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0000SV1NS701\d11757$\doc\財政\06 決算・健全化\99 財政状況の推移\財政状況の推移（R6決算）\"/>
    </mc:Choice>
  </mc:AlternateContent>
  <xr:revisionPtr revIDLastSave="0" documentId="8_{B03A4026-F852-448E-B4C6-0841B82B4588}" xr6:coauthVersionLast="47" xr6:coauthVersionMax="47" xr10:uidLastSave="{00000000-0000-0000-0000-000000000000}"/>
  <workbookProtection workbookAlgorithmName="SHA-512" workbookHashValue="xdchimkPmoTAis/scuNt6+WKDkm/ogJy9gYVFsTivgHzHEu/LNnZgJm9SMKh817fJ16uiPipYnEMBZ/vdf3oDA==" workbookSaltValue="wLL6loq2G66uKmqh1DeRjw==" workbookSpinCount="100000" lockStructure="1"/>
  <bookViews>
    <workbookView xWindow="28680" yWindow="1740" windowWidth="29040" windowHeight="15720" tabRatio="860" firstSheet="1" activeTab="1" xr2:uid="{00000000-000D-0000-FFFF-FFFF00000000}"/>
  </bookViews>
  <sheets>
    <sheet name="Sheet1" sheetId="1" state="hidden" r:id="rId1"/>
    <sheet name="決算推移" sheetId="2" r:id="rId2"/>
    <sheet name="財政指標" sheetId="3" r:id="rId3"/>
    <sheet name="健全化判断比率" sheetId="4" r:id="rId4"/>
    <sheet name="R6年度" sheetId="5" state="hidden" r:id="rId5"/>
    <sheet name="R5年度" sheetId="6" state="hidden" r:id="rId6"/>
    <sheet name="R4年度" sheetId="7" state="hidden" r:id="rId7"/>
    <sheet name="R3年度" sheetId="8" state="hidden" r:id="rId8"/>
    <sheet name="R2年度" sheetId="9" state="hidden" r:id="rId9"/>
    <sheet name="R1年度" sheetId="10" state="hidden" r:id="rId10"/>
    <sheet name="30年度" sheetId="11" state="hidden" r:id="rId11"/>
    <sheet name="29年度" sheetId="12" state="hidden" r:id="rId12"/>
    <sheet name="28年度" sheetId="13" state="hidden" r:id="rId13"/>
    <sheet name="27年度" sheetId="14" state="hidden" r:id="rId14"/>
    <sheet name="26年度" sheetId="15" state="hidden" r:id="rId15"/>
    <sheet name="25年度" sheetId="16" state="hidden" r:id="rId16"/>
    <sheet name="24年度" sheetId="17" state="hidden" r:id="rId17"/>
    <sheet name="23年度" sheetId="18" state="hidden" r:id="rId18"/>
    <sheet name="22年度" sheetId="19" state="hidden" r:id="rId19"/>
    <sheet name="21年度" sheetId="20" state="hidden" r:id="rId20"/>
    <sheet name="20年度" sheetId="21" state="hidden" r:id="rId21"/>
    <sheet name="19年度" sheetId="22" state="hidden" r:id="rId22"/>
    <sheet name="18年度" sheetId="23" state="hidden" r:id="rId23"/>
    <sheet name="17年度" sheetId="24" state="hidden" r:id="rId24"/>
    <sheet name="16年度" sheetId="25" state="hidden" r:id="rId25"/>
    <sheet name="15年度" sheetId="26" state="hidden" r:id="rId26"/>
    <sheet name="14年度" sheetId="27" state="hidden" r:id="rId27"/>
    <sheet name="13年度" sheetId="28" state="hidden" r:id="rId28"/>
    <sheet name="12年度" sheetId="29" state="hidden" r:id="rId29"/>
    <sheet name="11年度" sheetId="30" state="hidden" r:id="rId30"/>
    <sheet name="10年度" sheetId="31" state="hidden" r:id="rId31"/>
    <sheet name="9年度" sheetId="32" state="hidden" r:id="rId32"/>
    <sheet name="8年度" sheetId="33" state="hidden" r:id="rId33"/>
    <sheet name="7年度" sheetId="34" state="hidden" r:id="rId34"/>
    <sheet name="6年度" sheetId="35" state="hidden" r:id="rId35"/>
    <sheet name="5年度" sheetId="36" state="hidden" r:id="rId36"/>
    <sheet name="4年度" sheetId="37" state="hidden" r:id="rId37"/>
    <sheet name="3年度" sheetId="38" state="hidden" r:id="rId38"/>
    <sheet name="2年度" sheetId="39" state="hidden" r:id="rId39"/>
    <sheet name="1年度" sheetId="40" state="hidden" r:id="rId40"/>
  </sheets>
  <definedNames>
    <definedName name="_xlnm.Print_Area" localSheetId="13">'27年度'!$A$1:$GX$59</definedName>
    <definedName name="_xlnm.Print_Area" localSheetId="12">'28年度'!$A$1:$GX$59</definedName>
    <definedName name="_xlnm.Print_Area" localSheetId="11">'29年度'!$A$1:$GX$59</definedName>
    <definedName name="_xlnm.Print_Area" localSheetId="10">'30年度'!$A$1:$GV$59</definedName>
    <definedName name="_xlnm.Print_Area" localSheetId="9">'R1年度'!$A$1:$GW$59</definedName>
    <definedName name="_xlnm.Print_Area" localSheetId="8">'R2年度'!$A$1:$GX$59</definedName>
    <definedName name="_xlnm.Print_Area" localSheetId="7">'R3年度'!$A$1:$GX$59</definedName>
    <definedName name="_xlnm.Print_Area" localSheetId="6">'R4年度'!$A$1:$GX$59</definedName>
    <definedName name="_xlnm.Print_Area" localSheetId="5">'R5年度'!$A$1:$GX$59</definedName>
    <definedName name="_xlnm.Print_Area" localSheetId="4">'R6年度'!$A$1:$GX$59</definedName>
    <definedName name="_xlnm.Print_Area" localSheetId="1">決算推移!$A$1:$AN$134</definedName>
    <definedName name="_xlnm.Print_Area" localSheetId="3">健全化判断比率!$A$1:$X$18</definedName>
    <definedName name="_xlnm.Print_Area" localSheetId="2">財政指標!$A$1:$AO$71</definedName>
    <definedName name="_xlnm.Print_Titles" localSheetId="20">'20年度'!$B:$B</definedName>
    <definedName name="_xlnm.Print_Titles" localSheetId="19">'21年度'!$B:$B</definedName>
    <definedName name="_xlnm.Print_Titles" localSheetId="18">'22年度'!$B:$B</definedName>
    <definedName name="_xlnm.Print_Titles" localSheetId="17">'23年度'!$B:$B</definedName>
    <definedName name="_xlnm.Print_Titles" localSheetId="16">'24年度'!$B:$B</definedName>
    <definedName name="_xlnm.Print_Titles" localSheetId="15">'25年度'!$B:$B</definedName>
    <definedName name="_xlnm.Print_Titles" localSheetId="14">'26年度'!$B:$B</definedName>
    <definedName name="_xlnm.Print_Titles" localSheetId="13">'27年度'!$B:$B</definedName>
    <definedName name="_xlnm.Print_Titles" localSheetId="12">'28年度'!$B:$B</definedName>
    <definedName name="_xlnm.Print_Titles" localSheetId="11">'29年度'!$B:$B</definedName>
    <definedName name="_xlnm.Print_Titles" localSheetId="10">'30年度'!$B:$B</definedName>
    <definedName name="_xlnm.Print_Titles" localSheetId="9">'R1年度'!$B:$B</definedName>
    <definedName name="_xlnm.Print_Titles" localSheetId="8">'R2年度'!$B:$B</definedName>
    <definedName name="_xlnm.Print_Titles" localSheetId="7">'R3年度'!$B:$B</definedName>
    <definedName name="_xlnm.Print_Titles" localSheetId="6">'R4年度'!$B:$B</definedName>
    <definedName name="_xlnm.Print_Titles" localSheetId="5">'R5年度'!$B:$B</definedName>
    <definedName name="_xlnm.Print_Titles" localSheetId="4">'R6年度'!$B:$B</definedName>
    <definedName name="_xlnm.Print_Titles" localSheetId="1">決算推移!$B:$D</definedName>
    <definedName name="_xlnm.Print_Titles" localSheetId="3">健全化判断比率!$B:$F</definedName>
    <definedName name="_xlnm.Print_Titles" localSheetId="2">財政指標!$B:$E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J53" i="40" l="1"/>
  <c r="EZ50" i="40"/>
  <c r="ER50" i="40"/>
  <c r="EH50" i="40"/>
  <c r="FI50" i="40" s="1"/>
  <c r="EG50" i="40"/>
  <c r="EF50" i="40"/>
  <c r="DF50" i="40"/>
  <c r="DE50" i="40"/>
  <c r="CZ50" i="40"/>
  <c r="CN50" i="40"/>
  <c r="CM50" i="40"/>
  <c r="CL50" i="40"/>
  <c r="CD50" i="40"/>
  <c r="BW50" i="40"/>
  <c r="BU50" i="40"/>
  <c r="BP50" i="40"/>
  <c r="BK50" i="40"/>
  <c r="BC50" i="40"/>
  <c r="BA50" i="40"/>
  <c r="AU50" i="40"/>
  <c r="AT50" i="40"/>
  <c r="AS50" i="40"/>
  <c r="AD50" i="40"/>
  <c r="AC50" i="40"/>
  <c r="Q50" i="40"/>
  <c r="I50" i="40"/>
  <c r="GI49" i="40"/>
  <c r="GE49" i="40"/>
  <c r="GD49" i="40"/>
  <c r="GB49" i="40"/>
  <c r="GA49" i="40"/>
  <c r="FZ49" i="40"/>
  <c r="FY49" i="40"/>
  <c r="FW49" i="40"/>
  <c r="FX49" i="40" s="1"/>
  <c r="FM49" i="40"/>
  <c r="FL49" i="40"/>
  <c r="FJ49" i="40"/>
  <c r="FH49" i="40"/>
  <c r="FG49" i="40" s="1"/>
  <c r="FF49" i="40"/>
  <c r="FE49" i="40"/>
  <c r="FD49" i="40"/>
  <c r="FC49" i="40"/>
  <c r="FB49" i="40"/>
  <c r="FA49" i="40"/>
  <c r="EZ49" i="40"/>
  <c r="EY49" i="40"/>
  <c r="EX49" i="40"/>
  <c r="EW49" i="40"/>
  <c r="EV49" i="40"/>
  <c r="EU49" i="40"/>
  <c r="ET49" i="40"/>
  <c r="ES49" i="40"/>
  <c r="ER49" i="40"/>
  <c r="EQ49" i="40"/>
  <c r="EO49" i="40"/>
  <c r="EN49" i="40"/>
  <c r="EM49" i="40"/>
  <c r="EJ49" i="40"/>
  <c r="EI49" i="40"/>
  <c r="EH49" i="40"/>
  <c r="FI49" i="40" s="1"/>
  <c r="EG49" i="40"/>
  <c r="EF49" i="40"/>
  <c r="ED49" i="40"/>
  <c r="EC49" i="40"/>
  <c r="EA49" i="40"/>
  <c r="DZ49" i="40"/>
  <c r="DW49" i="40"/>
  <c r="DV49" i="40"/>
  <c r="DU49" i="40"/>
  <c r="DT49" i="40"/>
  <c r="DS49" i="40"/>
  <c r="DR49" i="40"/>
  <c r="DQ49" i="40"/>
  <c r="DP49" i="40"/>
  <c r="DO49" i="40"/>
  <c r="DN49" i="40"/>
  <c r="DM49" i="40"/>
  <c r="DL49" i="40"/>
  <c r="DK49" i="40"/>
  <c r="DJ49" i="40"/>
  <c r="DI49" i="40"/>
  <c r="DH49" i="40"/>
  <c r="DG49" i="40"/>
  <c r="DF49" i="40"/>
  <c r="DE49" i="40"/>
  <c r="DD49" i="40"/>
  <c r="DC49" i="40"/>
  <c r="CZ49" i="40"/>
  <c r="CY49" i="40"/>
  <c r="CX49" i="40"/>
  <c r="CV49" i="40"/>
  <c r="CU49" i="40"/>
  <c r="CT49" i="40" s="1"/>
  <c r="CS49" i="40"/>
  <c r="CR49" i="40"/>
  <c r="CQ49" i="40"/>
  <c r="CP49" i="40"/>
  <c r="CO49" i="40"/>
  <c r="CN49" i="40"/>
  <c r="CM49" i="40"/>
  <c r="CL49" i="40"/>
  <c r="CK49" i="40"/>
  <c r="CJ49" i="40"/>
  <c r="CI49" i="40"/>
  <c r="CH49" i="40"/>
  <c r="CG49" i="40"/>
  <c r="CF49" i="40"/>
  <c r="CE49" i="40"/>
  <c r="CD49" i="40"/>
  <c r="CC49" i="40"/>
  <c r="CB49" i="40"/>
  <c r="CA49" i="40"/>
  <c r="BZ49" i="40"/>
  <c r="BY49" i="40"/>
  <c r="BX49" i="40"/>
  <c r="BW49" i="40"/>
  <c r="BU49" i="40"/>
  <c r="BP49" i="40"/>
  <c r="BO49" i="40"/>
  <c r="BN49" i="40"/>
  <c r="BM49" i="40"/>
  <c r="BL49" i="40"/>
  <c r="BK49" i="40"/>
  <c r="BJ49" i="40"/>
  <c r="BI49" i="40"/>
  <c r="BH49" i="40"/>
  <c r="BG49" i="40"/>
  <c r="BF49" i="40"/>
  <c r="BE49" i="40"/>
  <c r="BD49" i="40"/>
  <c r="BC49" i="40"/>
  <c r="BB49" i="40"/>
  <c r="BA49" i="40"/>
  <c r="AZ49" i="40"/>
  <c r="AY49" i="40"/>
  <c r="AX49" i="40"/>
  <c r="AW49" i="40"/>
  <c r="AV49" i="40"/>
  <c r="AU49" i="40"/>
  <c r="AT49" i="40"/>
  <c r="AS49" i="40"/>
  <c r="AR49" i="40"/>
  <c r="AQ49" i="40"/>
  <c r="AP49" i="40"/>
  <c r="AO49" i="40"/>
  <c r="AN49" i="40"/>
  <c r="AM49" i="40"/>
  <c r="AL49" i="40" s="1"/>
  <c r="AK49" i="40"/>
  <c r="AJ49" i="40"/>
  <c r="AH49" i="40" s="1"/>
  <c r="AI49" i="40"/>
  <c r="AG49" i="40"/>
  <c r="AF49" i="40"/>
  <c r="AE49" i="40"/>
  <c r="AD49" i="40"/>
  <c r="AC49" i="40"/>
  <c r="AA49" i="40"/>
  <c r="Y49" i="40"/>
  <c r="U49" i="40"/>
  <c r="S49" i="40"/>
  <c r="R49" i="40"/>
  <c r="Q49" i="40"/>
  <c r="P49" i="40"/>
  <c r="O49" i="40"/>
  <c r="N49" i="40"/>
  <c r="M49" i="40"/>
  <c r="L49" i="40"/>
  <c r="K49" i="40"/>
  <c r="J49" i="40"/>
  <c r="I49" i="40"/>
  <c r="H49" i="40"/>
  <c r="G49" i="40"/>
  <c r="F49" i="40"/>
  <c r="E49" i="40"/>
  <c r="C49" i="40"/>
  <c r="GE48" i="40"/>
  <c r="FX48" i="40"/>
  <c r="FI48" i="40"/>
  <c r="EW48" i="40"/>
  <c r="FG48" i="40" s="1"/>
  <c r="EP48" i="40"/>
  <c r="DV48" i="40"/>
  <c r="CZ48" i="40"/>
  <c r="CW48" i="40"/>
  <c r="CT48" i="40"/>
  <c r="CJ48" i="40"/>
  <c r="BP48" i="40"/>
  <c r="BO48" i="40"/>
  <c r="AL48" i="40"/>
  <c r="AH48" i="40"/>
  <c r="T48" i="40"/>
  <c r="G48" i="40"/>
  <c r="D48" i="40"/>
  <c r="FX47" i="40"/>
  <c r="FI47" i="40"/>
  <c r="EW47" i="40"/>
  <c r="FG47" i="40" s="1"/>
  <c r="DV47" i="40"/>
  <c r="CZ47" i="40"/>
  <c r="CW47" i="40"/>
  <c r="CT47" i="40"/>
  <c r="CJ47" i="40"/>
  <c r="BP47" i="40"/>
  <c r="BO47" i="40"/>
  <c r="AL47" i="40"/>
  <c r="AH47" i="40"/>
  <c r="T47" i="40"/>
  <c r="EP47" i="40" s="1"/>
  <c r="G47" i="40"/>
  <c r="D47" i="40"/>
  <c r="FX46" i="40"/>
  <c r="FI46" i="40"/>
  <c r="FG46" i="40"/>
  <c r="EW46" i="40"/>
  <c r="DV46" i="40"/>
  <c r="CZ46" i="40"/>
  <c r="CW46" i="40"/>
  <c r="CT46" i="40"/>
  <c r="CJ46" i="40"/>
  <c r="BP46" i="40"/>
  <c r="AL46" i="40"/>
  <c r="AH46" i="40"/>
  <c r="T46" i="40"/>
  <c r="G46" i="40"/>
  <c r="D46" i="40"/>
  <c r="GE45" i="40"/>
  <c r="FX45" i="40"/>
  <c r="FI45" i="40"/>
  <c r="EW45" i="40"/>
  <c r="FG45" i="40" s="1"/>
  <c r="DV45" i="40"/>
  <c r="CZ45" i="40"/>
  <c r="CW45" i="40"/>
  <c r="CT45" i="40"/>
  <c r="CJ45" i="40"/>
  <c r="BP45" i="40"/>
  <c r="BO45" i="40"/>
  <c r="AL45" i="40"/>
  <c r="AH45" i="40"/>
  <c r="T45" i="40"/>
  <c r="EP45" i="40" s="1"/>
  <c r="G45" i="40"/>
  <c r="D45" i="40"/>
  <c r="FX44" i="40"/>
  <c r="FI44" i="40"/>
  <c r="FG44" i="40"/>
  <c r="EW44" i="40"/>
  <c r="DV44" i="40"/>
  <c r="CZ44" i="40"/>
  <c r="CW44" i="40"/>
  <c r="CT44" i="40"/>
  <c r="CJ44" i="40"/>
  <c r="BP44" i="40"/>
  <c r="BO44" i="40" s="1"/>
  <c r="AL44" i="40"/>
  <c r="AH44" i="40"/>
  <c r="T44" i="40"/>
  <c r="EP44" i="40" s="1"/>
  <c r="G44" i="40"/>
  <c r="D44" i="40"/>
  <c r="FX43" i="40"/>
  <c r="FI43" i="40"/>
  <c r="FG43" i="40"/>
  <c r="EW43" i="40"/>
  <c r="DV43" i="40"/>
  <c r="CZ43" i="40"/>
  <c r="CW43" i="40"/>
  <c r="CT43" i="40"/>
  <c r="CJ43" i="40"/>
  <c r="BP43" i="40"/>
  <c r="BO43" i="40" s="1"/>
  <c r="AL43" i="40"/>
  <c r="AH43" i="40"/>
  <c r="T43" i="40"/>
  <c r="EP43" i="40" s="1"/>
  <c r="G43" i="40"/>
  <c r="D43" i="40"/>
  <c r="GE42" i="40"/>
  <c r="FX42" i="40"/>
  <c r="FI42" i="40"/>
  <c r="EW42" i="40"/>
  <c r="FG42" i="40" s="1"/>
  <c r="EP42" i="40"/>
  <c r="DV42" i="40"/>
  <c r="CZ42" i="40"/>
  <c r="CW42" i="40"/>
  <c r="CT42" i="40"/>
  <c r="CJ42" i="40"/>
  <c r="BP42" i="40"/>
  <c r="BO42" i="40"/>
  <c r="AL42" i="40"/>
  <c r="AH42" i="40"/>
  <c r="T42" i="40"/>
  <c r="G42" i="40"/>
  <c r="D42" i="40"/>
  <c r="FX41" i="40"/>
  <c r="FI41" i="40"/>
  <c r="EW41" i="40"/>
  <c r="FG41" i="40" s="1"/>
  <c r="DV41" i="40"/>
  <c r="CZ41" i="40"/>
  <c r="CW41" i="40"/>
  <c r="CT41" i="40"/>
  <c r="CJ41" i="40"/>
  <c r="BP41" i="40"/>
  <c r="BO41" i="40"/>
  <c r="AL41" i="40"/>
  <c r="AH41" i="40"/>
  <c r="T41" i="40"/>
  <c r="EP41" i="40" s="1"/>
  <c r="G41" i="40"/>
  <c r="D41" i="40"/>
  <c r="GE40" i="40"/>
  <c r="FX40" i="40"/>
  <c r="FI40" i="40"/>
  <c r="EW40" i="40"/>
  <c r="FG40" i="40" s="1"/>
  <c r="EP40" i="40"/>
  <c r="DV40" i="40"/>
  <c r="CZ40" i="40"/>
  <c r="CW40" i="40"/>
  <c r="CT40" i="40"/>
  <c r="CJ40" i="40"/>
  <c r="BP40" i="40"/>
  <c r="BO40" i="40"/>
  <c r="AL40" i="40"/>
  <c r="AH40" i="40"/>
  <c r="T40" i="40"/>
  <c r="G40" i="40"/>
  <c r="D40" i="40"/>
  <c r="FX39" i="40"/>
  <c r="FI39" i="40"/>
  <c r="EW39" i="40"/>
  <c r="FG39" i="40" s="1"/>
  <c r="DV39" i="40"/>
  <c r="CZ39" i="40"/>
  <c r="CW39" i="40"/>
  <c r="CT39" i="40"/>
  <c r="CJ39" i="40"/>
  <c r="BP39" i="40"/>
  <c r="BO39" i="40"/>
  <c r="AL39" i="40"/>
  <c r="AH39" i="40"/>
  <c r="T39" i="40"/>
  <c r="EP39" i="40" s="1"/>
  <c r="G39" i="40"/>
  <c r="D39" i="40"/>
  <c r="FX38" i="40"/>
  <c r="FI38" i="40"/>
  <c r="FG38" i="40"/>
  <c r="EW38" i="40"/>
  <c r="DV38" i="40"/>
  <c r="CZ38" i="40"/>
  <c r="CW38" i="40"/>
  <c r="CT38" i="40"/>
  <c r="CJ38" i="40"/>
  <c r="BP38" i="40"/>
  <c r="BO38" i="40" s="1"/>
  <c r="AL38" i="40"/>
  <c r="AH38" i="40"/>
  <c r="T38" i="40"/>
  <c r="EP38" i="40" s="1"/>
  <c r="G38" i="40"/>
  <c r="D38" i="40"/>
  <c r="GI37" i="40"/>
  <c r="GD37" i="40"/>
  <c r="GB37" i="40"/>
  <c r="GB50" i="40" s="1"/>
  <c r="GA37" i="40"/>
  <c r="GA50" i="40" s="1"/>
  <c r="FZ37" i="40"/>
  <c r="FZ50" i="40" s="1"/>
  <c r="FY37" i="40"/>
  <c r="FY50" i="40" s="1"/>
  <c r="FX37" i="40"/>
  <c r="FW37" i="40"/>
  <c r="FM37" i="40"/>
  <c r="FL37" i="40"/>
  <c r="FJ37" i="40"/>
  <c r="FJ50" i="40" s="1"/>
  <c r="FH37" i="40"/>
  <c r="FH50" i="40" s="1"/>
  <c r="FF37" i="40"/>
  <c r="FF50" i="40" s="1"/>
  <c r="FE37" i="40"/>
  <c r="FE50" i="40" s="1"/>
  <c r="FD37" i="40"/>
  <c r="FC37" i="40"/>
  <c r="FC50" i="40" s="1"/>
  <c r="FB37" i="40"/>
  <c r="FB50" i="40" s="1"/>
  <c r="FA37" i="40"/>
  <c r="FA50" i="40" s="1"/>
  <c r="EZ37" i="40"/>
  <c r="EY37" i="40"/>
  <c r="EY50" i="40" s="1"/>
  <c r="EX37" i="40"/>
  <c r="EV37" i="40"/>
  <c r="EV50" i="40" s="1"/>
  <c r="EU37" i="40"/>
  <c r="ET37" i="40"/>
  <c r="ET50" i="40" s="1"/>
  <c r="ES37" i="40"/>
  <c r="ES50" i="40" s="1"/>
  <c r="ER37" i="40"/>
  <c r="EQ37" i="40"/>
  <c r="EQ50" i="40" s="1"/>
  <c r="EO37" i="40"/>
  <c r="EO50" i="40" s="1"/>
  <c r="EN37" i="40"/>
  <c r="EN50" i="40" s="1"/>
  <c r="EM37" i="40"/>
  <c r="EJ37" i="40"/>
  <c r="EJ50" i="40" s="1"/>
  <c r="EI37" i="40"/>
  <c r="EI50" i="40" s="1"/>
  <c r="EH37" i="40"/>
  <c r="FI37" i="40" s="1"/>
  <c r="EG37" i="40"/>
  <c r="EF37" i="40"/>
  <c r="ED37" i="40"/>
  <c r="ED50" i="40" s="1"/>
  <c r="EC37" i="40"/>
  <c r="EC50" i="40" s="1"/>
  <c r="EA37" i="40"/>
  <c r="DZ37" i="40"/>
  <c r="DZ50" i="40" s="1"/>
  <c r="DW37" i="40"/>
  <c r="DW50" i="40" s="1"/>
  <c r="DV50" i="40" s="1"/>
  <c r="DV37" i="40"/>
  <c r="DU37" i="40"/>
  <c r="DU50" i="40" s="1"/>
  <c r="DT37" i="40"/>
  <c r="DT50" i="40" s="1"/>
  <c r="DS37" i="40"/>
  <c r="DS50" i="40" s="1"/>
  <c r="DR37" i="40"/>
  <c r="DR50" i="40" s="1"/>
  <c r="DQ37" i="40"/>
  <c r="DP37" i="40"/>
  <c r="DP50" i="40" s="1"/>
  <c r="DO37" i="40"/>
  <c r="DO50" i="40" s="1"/>
  <c r="DN37" i="40"/>
  <c r="DN50" i="40" s="1"/>
  <c r="DM37" i="40"/>
  <c r="DM50" i="40" s="1"/>
  <c r="DL37" i="40"/>
  <c r="DL50" i="40" s="1"/>
  <c r="DK37" i="40"/>
  <c r="DK50" i="40" s="1"/>
  <c r="DJ37" i="40"/>
  <c r="DJ50" i="40" s="1"/>
  <c r="DI37" i="40"/>
  <c r="DH37" i="40"/>
  <c r="DH50" i="40" s="1"/>
  <c r="DG37" i="40"/>
  <c r="DG50" i="40" s="1"/>
  <c r="DF37" i="40"/>
  <c r="DE37" i="40"/>
  <c r="DD37" i="40"/>
  <c r="DD50" i="40" s="1"/>
  <c r="DC37" i="40"/>
  <c r="DC50" i="40" s="1"/>
  <c r="CZ37" i="40"/>
  <c r="CY37" i="40"/>
  <c r="CX37" i="40"/>
  <c r="CX50" i="40" s="1"/>
  <c r="CV37" i="40"/>
  <c r="CV50" i="40" s="1"/>
  <c r="CU37" i="40"/>
  <c r="CU50" i="40" s="1"/>
  <c r="CT37" i="40"/>
  <c r="CS37" i="40"/>
  <c r="CS50" i="40" s="1"/>
  <c r="CR37" i="40"/>
  <c r="CR50" i="40" s="1"/>
  <c r="CQ37" i="40"/>
  <c r="CQ50" i="40" s="1"/>
  <c r="CP37" i="40"/>
  <c r="CP50" i="40" s="1"/>
  <c r="CO37" i="40"/>
  <c r="CO50" i="40" s="1"/>
  <c r="CN37" i="40"/>
  <c r="CM37" i="40"/>
  <c r="CL37" i="40"/>
  <c r="CK37" i="40"/>
  <c r="CK50" i="40" s="1"/>
  <c r="CI37" i="40"/>
  <c r="CJ37" i="40" s="1"/>
  <c r="CH37" i="40"/>
  <c r="CH50" i="40" s="1"/>
  <c r="CG37" i="40"/>
  <c r="CG50" i="40" s="1"/>
  <c r="CF37" i="40"/>
  <c r="CF50" i="40" s="1"/>
  <c r="CE37" i="40"/>
  <c r="CE50" i="40" s="1"/>
  <c r="CD37" i="40"/>
  <c r="CC37" i="40"/>
  <c r="CB37" i="40"/>
  <c r="CB50" i="40" s="1"/>
  <c r="CA37" i="40"/>
  <c r="CA50" i="40" s="1"/>
  <c r="BZ37" i="40"/>
  <c r="BZ50" i="40" s="1"/>
  <c r="BY37" i="40"/>
  <c r="BY50" i="40" s="1"/>
  <c r="BX37" i="40"/>
  <c r="BX50" i="40" s="1"/>
  <c r="BW37" i="40"/>
  <c r="BU37" i="40"/>
  <c r="BP37" i="40"/>
  <c r="BN37" i="40"/>
  <c r="BO37" i="40" s="1"/>
  <c r="BM37" i="40"/>
  <c r="BM50" i="40" s="1"/>
  <c r="BL37" i="40"/>
  <c r="BL50" i="40" s="1"/>
  <c r="BK37" i="40"/>
  <c r="BJ37" i="40"/>
  <c r="BJ50" i="40" s="1"/>
  <c r="BI37" i="40"/>
  <c r="BI50" i="40" s="1"/>
  <c r="BH37" i="40"/>
  <c r="BG37" i="40"/>
  <c r="BF37" i="40"/>
  <c r="BF50" i="40" s="1"/>
  <c r="BE37" i="40"/>
  <c r="BE50" i="40" s="1"/>
  <c r="BD37" i="40"/>
  <c r="BD50" i="40" s="1"/>
  <c r="BC37" i="40"/>
  <c r="BB37" i="40"/>
  <c r="BB50" i="40" s="1"/>
  <c r="BA37" i="40"/>
  <c r="AZ37" i="40"/>
  <c r="AY37" i="40"/>
  <c r="AX37" i="40"/>
  <c r="AX50" i="40" s="1"/>
  <c r="AW37" i="40"/>
  <c r="AW50" i="40" s="1"/>
  <c r="AV37" i="40"/>
  <c r="AV50" i="40" s="1"/>
  <c r="AU37" i="40"/>
  <c r="AT37" i="40"/>
  <c r="AS37" i="40"/>
  <c r="AR37" i="40"/>
  <c r="AQ37" i="40"/>
  <c r="AP37" i="40"/>
  <c r="AO37" i="40"/>
  <c r="AO50" i="40" s="1"/>
  <c r="AN37" i="40"/>
  <c r="AN50" i="40" s="1"/>
  <c r="AM37" i="40"/>
  <c r="AM50" i="40" s="1"/>
  <c r="AK37" i="40"/>
  <c r="AK50" i="40" s="1"/>
  <c r="AJ37" i="40"/>
  <c r="AI37" i="40"/>
  <c r="AH37" i="40"/>
  <c r="AG37" i="40"/>
  <c r="AG50" i="40" s="1"/>
  <c r="AF37" i="40"/>
  <c r="AF50" i="40" s="1"/>
  <c r="AE37" i="40"/>
  <c r="AE50" i="40" s="1"/>
  <c r="AD37" i="40"/>
  <c r="AC37" i="40"/>
  <c r="AA37" i="40"/>
  <c r="Y37" i="40"/>
  <c r="U37" i="40"/>
  <c r="S37" i="40"/>
  <c r="S50" i="40" s="1"/>
  <c r="R37" i="40"/>
  <c r="Q37" i="40"/>
  <c r="P37" i="40"/>
  <c r="P50" i="40" s="1"/>
  <c r="O37" i="40"/>
  <c r="N37" i="40"/>
  <c r="M37" i="40"/>
  <c r="L37" i="40"/>
  <c r="L50" i="40" s="1"/>
  <c r="K37" i="40"/>
  <c r="K50" i="40" s="1"/>
  <c r="J37" i="40"/>
  <c r="J50" i="40" s="1"/>
  <c r="I37" i="40"/>
  <c r="H37" i="40"/>
  <c r="G37" i="40" s="1"/>
  <c r="F37" i="40"/>
  <c r="E37" i="40"/>
  <c r="C37" i="40"/>
  <c r="C50" i="40" s="1"/>
  <c r="GE36" i="40"/>
  <c r="FX36" i="40"/>
  <c r="FI36" i="40"/>
  <c r="EW36" i="40"/>
  <c r="FG36" i="40" s="1"/>
  <c r="EP36" i="40"/>
  <c r="DV36" i="40"/>
  <c r="CZ36" i="40"/>
  <c r="CW36" i="40"/>
  <c r="CT36" i="40"/>
  <c r="CJ36" i="40"/>
  <c r="BP36" i="40"/>
  <c r="BO36" i="40" s="1"/>
  <c r="AL36" i="40"/>
  <c r="AH36" i="40"/>
  <c r="T36" i="40"/>
  <c r="G36" i="40"/>
  <c r="D36" i="40"/>
  <c r="GE35" i="40"/>
  <c r="FX35" i="40"/>
  <c r="FI35" i="40"/>
  <c r="FG35" i="40"/>
  <c r="EW35" i="40"/>
  <c r="DV35" i="40"/>
  <c r="CZ35" i="40"/>
  <c r="CW35" i="40"/>
  <c r="CT35" i="40"/>
  <c r="CJ35" i="40"/>
  <c r="BP35" i="40"/>
  <c r="BO35" i="40" s="1"/>
  <c r="AL35" i="40"/>
  <c r="AH35" i="40"/>
  <c r="T35" i="40"/>
  <c r="G35" i="40"/>
  <c r="D35" i="40"/>
  <c r="GE34" i="40"/>
  <c r="FX34" i="40"/>
  <c r="FI34" i="40"/>
  <c r="EW34" i="40"/>
  <c r="FG34" i="40" s="1"/>
  <c r="EP34" i="40"/>
  <c r="DV34" i="40"/>
  <c r="CZ34" i="40"/>
  <c r="CW34" i="40"/>
  <c r="CT34" i="40"/>
  <c r="CJ34" i="40"/>
  <c r="BP34" i="40"/>
  <c r="BO34" i="40"/>
  <c r="AL34" i="40"/>
  <c r="AH34" i="40"/>
  <c r="T34" i="40"/>
  <c r="G34" i="40"/>
  <c r="D34" i="40"/>
  <c r="GE33" i="40"/>
  <c r="FX33" i="40"/>
  <c r="FI33" i="40"/>
  <c r="EW33" i="40"/>
  <c r="FG33" i="40" s="1"/>
  <c r="DV33" i="40"/>
  <c r="CZ33" i="40"/>
  <c r="CW33" i="40"/>
  <c r="CT33" i="40"/>
  <c r="CJ33" i="40"/>
  <c r="BP33" i="40"/>
  <c r="BO33" i="40"/>
  <c r="AL33" i="40"/>
  <c r="AH33" i="40"/>
  <c r="T33" i="40"/>
  <c r="EP33" i="40" s="1"/>
  <c r="G33" i="40"/>
  <c r="D33" i="40"/>
  <c r="GE32" i="40"/>
  <c r="FX32" i="40"/>
  <c r="FI32" i="40"/>
  <c r="EW32" i="40"/>
  <c r="FG32" i="40" s="1"/>
  <c r="EP32" i="40"/>
  <c r="DV32" i="40"/>
  <c r="CZ32" i="40"/>
  <c r="CW32" i="40"/>
  <c r="CT32" i="40"/>
  <c r="CJ32" i="40"/>
  <c r="BP32" i="40"/>
  <c r="BO32" i="40"/>
  <c r="AL32" i="40"/>
  <c r="AH32" i="40"/>
  <c r="T32" i="40"/>
  <c r="G32" i="40"/>
  <c r="D32" i="40"/>
  <c r="GE31" i="40"/>
  <c r="FX31" i="40"/>
  <c r="FI31" i="40"/>
  <c r="FG31" i="40"/>
  <c r="EW31" i="40"/>
  <c r="DV31" i="40"/>
  <c r="CZ31" i="40"/>
  <c r="CW31" i="40"/>
  <c r="CT31" i="40"/>
  <c r="CJ31" i="40"/>
  <c r="BP31" i="40"/>
  <c r="BO31" i="40" s="1"/>
  <c r="AL31" i="40"/>
  <c r="AH31" i="40"/>
  <c r="T31" i="40"/>
  <c r="EP31" i="40" s="1"/>
  <c r="G31" i="40"/>
  <c r="D31" i="40"/>
  <c r="GE30" i="40"/>
  <c r="FX30" i="40"/>
  <c r="FI30" i="40"/>
  <c r="EW30" i="40"/>
  <c r="FG30" i="40" s="1"/>
  <c r="EP30" i="40"/>
  <c r="DV30" i="40"/>
  <c r="CZ30" i="40"/>
  <c r="CW30" i="40"/>
  <c r="CT30" i="40"/>
  <c r="CJ30" i="40"/>
  <c r="BP30" i="40"/>
  <c r="BO30" i="40"/>
  <c r="AL30" i="40"/>
  <c r="AH30" i="40"/>
  <c r="T30" i="40"/>
  <c r="G30" i="40"/>
  <c r="D30" i="40"/>
  <c r="GE29" i="40"/>
  <c r="FX29" i="40"/>
  <c r="FI29" i="40"/>
  <c r="EW29" i="40"/>
  <c r="FG29" i="40" s="1"/>
  <c r="DV29" i="40"/>
  <c r="CZ29" i="40"/>
  <c r="CW29" i="40"/>
  <c r="CT29" i="40"/>
  <c r="CJ29" i="40"/>
  <c r="BP29" i="40"/>
  <c r="BO29" i="40"/>
  <c r="AL29" i="40"/>
  <c r="AH29" i="40"/>
  <c r="T29" i="40"/>
  <c r="EP29" i="40" s="1"/>
  <c r="G29" i="40"/>
  <c r="D29" i="40"/>
  <c r="GE28" i="40"/>
  <c r="FX28" i="40"/>
  <c r="FI28" i="40"/>
  <c r="EW28" i="40"/>
  <c r="FG28" i="40" s="1"/>
  <c r="EP28" i="40"/>
  <c r="DV28" i="40"/>
  <c r="CZ28" i="40"/>
  <c r="CW28" i="40"/>
  <c r="CT28" i="40"/>
  <c r="CJ28" i="40"/>
  <c r="BP28" i="40"/>
  <c r="BO28" i="40"/>
  <c r="AL28" i="40"/>
  <c r="AH28" i="40"/>
  <c r="T28" i="40"/>
  <c r="G28" i="40"/>
  <c r="D28" i="40"/>
  <c r="GE27" i="40"/>
  <c r="FX27" i="40"/>
  <c r="FI27" i="40"/>
  <c r="FG27" i="40"/>
  <c r="EW27" i="40"/>
  <c r="DV27" i="40"/>
  <c r="CZ27" i="40"/>
  <c r="CW27" i="40"/>
  <c r="CT27" i="40"/>
  <c r="CJ27" i="40"/>
  <c r="BP27" i="40"/>
  <c r="BO27" i="40" s="1"/>
  <c r="AL27" i="40"/>
  <c r="AH27" i="40"/>
  <c r="T27" i="40"/>
  <c r="G27" i="40"/>
  <c r="D27" i="40"/>
  <c r="GE26" i="40"/>
  <c r="FX26" i="40"/>
  <c r="FI26" i="40"/>
  <c r="EW26" i="40"/>
  <c r="FG26" i="40" s="1"/>
  <c r="EP26" i="40"/>
  <c r="DV26" i="40"/>
  <c r="CZ26" i="40"/>
  <c r="CW26" i="40"/>
  <c r="CT26" i="40"/>
  <c r="CJ26" i="40"/>
  <c r="BP26" i="40"/>
  <c r="BO26" i="40"/>
  <c r="AL26" i="40"/>
  <c r="AH26" i="40"/>
  <c r="T26" i="40"/>
  <c r="G26" i="40"/>
  <c r="D26" i="40"/>
  <c r="GE25" i="40"/>
  <c r="FX25" i="40"/>
  <c r="FI25" i="40"/>
  <c r="FG25" i="40"/>
  <c r="EW25" i="40"/>
  <c r="DV25" i="40"/>
  <c r="CZ25" i="40"/>
  <c r="CW25" i="40"/>
  <c r="CT25" i="40"/>
  <c r="CJ25" i="40"/>
  <c r="BP25" i="40"/>
  <c r="BO25" i="40"/>
  <c r="AL25" i="40"/>
  <c r="AH25" i="40"/>
  <c r="T25" i="40"/>
  <c r="G25" i="40"/>
  <c r="D25" i="40"/>
  <c r="GE24" i="40"/>
  <c r="FX24" i="40"/>
  <c r="FI24" i="40"/>
  <c r="EW24" i="40"/>
  <c r="FG24" i="40" s="1"/>
  <c r="EP24" i="40"/>
  <c r="DV24" i="40"/>
  <c r="CZ24" i="40"/>
  <c r="CW24" i="40"/>
  <c r="CT24" i="40"/>
  <c r="CJ24" i="40"/>
  <c r="BP24" i="40"/>
  <c r="BO24" i="40"/>
  <c r="AL24" i="40"/>
  <c r="AH24" i="40"/>
  <c r="T24" i="40"/>
  <c r="G24" i="40"/>
  <c r="D24" i="40"/>
  <c r="GE23" i="40"/>
  <c r="FX23" i="40"/>
  <c r="FI23" i="40"/>
  <c r="FG23" i="40"/>
  <c r="EW23" i="40"/>
  <c r="DV23" i="40"/>
  <c r="CZ23" i="40"/>
  <c r="CW23" i="40"/>
  <c r="CT23" i="40"/>
  <c r="CJ23" i="40"/>
  <c r="BP23" i="40"/>
  <c r="BO23" i="40" s="1"/>
  <c r="AL23" i="40"/>
  <c r="AH23" i="40"/>
  <c r="T23" i="40"/>
  <c r="EP23" i="40" s="1"/>
  <c r="G23" i="40"/>
  <c r="D23" i="40"/>
  <c r="GE22" i="40"/>
  <c r="FX22" i="40"/>
  <c r="FI22" i="40"/>
  <c r="EW22" i="40"/>
  <c r="FG22" i="40" s="1"/>
  <c r="EP22" i="40"/>
  <c r="DV22" i="40"/>
  <c r="CZ22" i="40"/>
  <c r="CW22" i="40"/>
  <c r="CT22" i="40"/>
  <c r="CJ22" i="40"/>
  <c r="BP22" i="40"/>
  <c r="BO22" i="40"/>
  <c r="AL22" i="40"/>
  <c r="AH22" i="40"/>
  <c r="T22" i="40"/>
  <c r="G22" i="40"/>
  <c r="D22" i="40"/>
  <c r="GE21" i="40"/>
  <c r="FX21" i="40"/>
  <c r="FI21" i="40"/>
  <c r="FG21" i="40"/>
  <c r="EW21" i="40"/>
  <c r="DV21" i="40"/>
  <c r="CZ21" i="40"/>
  <c r="CW21" i="40"/>
  <c r="CT21" i="40"/>
  <c r="CJ21" i="40"/>
  <c r="BP21" i="40"/>
  <c r="BO21" i="40"/>
  <c r="AL21" i="40"/>
  <c r="AH21" i="40"/>
  <c r="T21" i="40"/>
  <c r="EP21" i="40" s="1"/>
  <c r="G21" i="40"/>
  <c r="D21" i="40"/>
  <c r="GE20" i="40"/>
  <c r="FX20" i="40"/>
  <c r="FI20" i="40"/>
  <c r="EW20" i="40"/>
  <c r="FG20" i="40" s="1"/>
  <c r="EP20" i="40"/>
  <c r="DV20" i="40"/>
  <c r="CZ20" i="40"/>
  <c r="CW20" i="40"/>
  <c r="CT20" i="40"/>
  <c r="CJ20" i="40"/>
  <c r="BP20" i="40"/>
  <c r="BO20" i="40"/>
  <c r="AL20" i="40"/>
  <c r="AH20" i="40"/>
  <c r="T20" i="40"/>
  <c r="G20" i="40"/>
  <c r="D20" i="40"/>
  <c r="GE19" i="40"/>
  <c r="FX19" i="40"/>
  <c r="FI19" i="40"/>
  <c r="FG19" i="40"/>
  <c r="EW19" i="40"/>
  <c r="DV19" i="40"/>
  <c r="CZ19" i="40"/>
  <c r="CW19" i="40"/>
  <c r="CT19" i="40"/>
  <c r="CJ19" i="40"/>
  <c r="BP19" i="40"/>
  <c r="BO19" i="40" s="1"/>
  <c r="AL19" i="40"/>
  <c r="AH19" i="40"/>
  <c r="T19" i="40"/>
  <c r="EP19" i="40" s="1"/>
  <c r="G19" i="40"/>
  <c r="D19" i="40"/>
  <c r="GE18" i="40"/>
  <c r="FX18" i="40"/>
  <c r="FI18" i="40"/>
  <c r="EW18" i="40"/>
  <c r="FG18" i="40" s="1"/>
  <c r="EP18" i="40"/>
  <c r="DV18" i="40"/>
  <c r="CZ18" i="40"/>
  <c r="CW18" i="40"/>
  <c r="CT18" i="40"/>
  <c r="CJ18" i="40"/>
  <c r="BP18" i="40"/>
  <c r="BO18" i="40"/>
  <c r="AL18" i="40"/>
  <c r="AH18" i="40"/>
  <c r="T18" i="40"/>
  <c r="G18" i="40"/>
  <c r="D18" i="40"/>
  <c r="GE17" i="40"/>
  <c r="FX17" i="40"/>
  <c r="FI17" i="40"/>
  <c r="FG17" i="40"/>
  <c r="EW17" i="40"/>
  <c r="DV17" i="40"/>
  <c r="CZ17" i="40"/>
  <c r="CW17" i="40"/>
  <c r="CT17" i="40"/>
  <c r="CJ17" i="40"/>
  <c r="BP17" i="40"/>
  <c r="BO17" i="40" s="1"/>
  <c r="AL17" i="40"/>
  <c r="AH17" i="40"/>
  <c r="T17" i="40"/>
  <c r="G17" i="40"/>
  <c r="D17" i="40"/>
  <c r="GE16" i="40"/>
  <c r="FX16" i="40"/>
  <c r="FI16" i="40"/>
  <c r="EW16" i="40"/>
  <c r="FG16" i="40" s="1"/>
  <c r="EP16" i="40"/>
  <c r="DV16" i="40"/>
  <c r="CZ16" i="40"/>
  <c r="CW16" i="40"/>
  <c r="CT16" i="40"/>
  <c r="CJ16" i="40"/>
  <c r="BP16" i="40"/>
  <c r="BO16" i="40"/>
  <c r="AL16" i="40"/>
  <c r="AH16" i="40"/>
  <c r="T16" i="40"/>
  <c r="G16" i="40"/>
  <c r="D16" i="40"/>
  <c r="GE15" i="40"/>
  <c r="FX15" i="40"/>
  <c r="FI15" i="40"/>
  <c r="FG15" i="40"/>
  <c r="EW15" i="40"/>
  <c r="DV15" i="40"/>
  <c r="CZ15" i="40"/>
  <c r="CW15" i="40"/>
  <c r="CT15" i="40"/>
  <c r="CJ15" i="40"/>
  <c r="BP15" i="40"/>
  <c r="BO15" i="40" s="1"/>
  <c r="AL15" i="40"/>
  <c r="AH15" i="40"/>
  <c r="T15" i="40"/>
  <c r="EP15" i="40" s="1"/>
  <c r="G15" i="40"/>
  <c r="D15" i="40"/>
  <c r="GE14" i="40"/>
  <c r="FX14" i="40"/>
  <c r="FI14" i="40"/>
  <c r="EW14" i="40"/>
  <c r="FG14" i="40" s="1"/>
  <c r="DV14" i="40"/>
  <c r="CZ14" i="40"/>
  <c r="CW14" i="40"/>
  <c r="CT14" i="40"/>
  <c r="CJ14" i="40"/>
  <c r="BP14" i="40"/>
  <c r="BO14" i="40"/>
  <c r="AL14" i="40"/>
  <c r="AH14" i="40"/>
  <c r="T14" i="40"/>
  <c r="EP14" i="40" s="1"/>
  <c r="G14" i="40"/>
  <c r="D14" i="40"/>
  <c r="GE13" i="40"/>
  <c r="FX13" i="40"/>
  <c r="FI13" i="40"/>
  <c r="EW13" i="40"/>
  <c r="FG13" i="40" s="1"/>
  <c r="DV13" i="40"/>
  <c r="CZ13" i="40"/>
  <c r="CW13" i="40"/>
  <c r="CT13" i="40"/>
  <c r="CJ13" i="40"/>
  <c r="BP13" i="40"/>
  <c r="BO13" i="40"/>
  <c r="AL13" i="40"/>
  <c r="AH13" i="40"/>
  <c r="T13" i="40"/>
  <c r="EP13" i="40" s="1"/>
  <c r="G13" i="40"/>
  <c r="D13" i="40"/>
  <c r="GE12" i="40"/>
  <c r="FX12" i="40"/>
  <c r="FI12" i="40"/>
  <c r="EW12" i="40"/>
  <c r="FG12" i="40" s="1"/>
  <c r="EP12" i="40"/>
  <c r="DV12" i="40"/>
  <c r="CZ12" i="40"/>
  <c r="CW12" i="40"/>
  <c r="CT12" i="40"/>
  <c r="CJ12" i="40"/>
  <c r="BP12" i="40"/>
  <c r="BO12" i="40"/>
  <c r="AL12" i="40"/>
  <c r="AH12" i="40"/>
  <c r="T12" i="40"/>
  <c r="G12" i="40"/>
  <c r="D12" i="40"/>
  <c r="GE11" i="40"/>
  <c r="FX11" i="40"/>
  <c r="FI11" i="40"/>
  <c r="FG11" i="40"/>
  <c r="EW11" i="40"/>
  <c r="DV11" i="40"/>
  <c r="CZ11" i="40"/>
  <c r="CW11" i="40"/>
  <c r="CT11" i="40"/>
  <c r="CJ11" i="40"/>
  <c r="BP11" i="40"/>
  <c r="BO11" i="40" s="1"/>
  <c r="AL11" i="40"/>
  <c r="AH11" i="40"/>
  <c r="T11" i="40"/>
  <c r="G11" i="40"/>
  <c r="D11" i="40"/>
  <c r="GE10" i="40"/>
  <c r="FX10" i="40"/>
  <c r="FI10" i="40"/>
  <c r="EW10" i="40"/>
  <c r="FG10" i="40" s="1"/>
  <c r="DV10" i="40"/>
  <c r="CZ10" i="40"/>
  <c r="CW10" i="40"/>
  <c r="CT10" i="40"/>
  <c r="CJ10" i="40"/>
  <c r="BP10" i="40"/>
  <c r="BO10" i="40"/>
  <c r="AL10" i="40"/>
  <c r="AH10" i="40"/>
  <c r="T10" i="40"/>
  <c r="EP10" i="40" s="1"/>
  <c r="G10" i="40"/>
  <c r="D10" i="40"/>
  <c r="GE9" i="40"/>
  <c r="FX9" i="40"/>
  <c r="FI9" i="40"/>
  <c r="EW9" i="40"/>
  <c r="FG9" i="40" s="1"/>
  <c r="DV9" i="40"/>
  <c r="CZ9" i="40"/>
  <c r="CW9" i="40"/>
  <c r="CT9" i="40"/>
  <c r="CJ9" i="40"/>
  <c r="BP9" i="40"/>
  <c r="BO9" i="40"/>
  <c r="AL9" i="40"/>
  <c r="AH9" i="40"/>
  <c r="T9" i="40"/>
  <c r="EP9" i="40" s="1"/>
  <c r="G9" i="40"/>
  <c r="D9" i="40"/>
  <c r="GE8" i="40"/>
  <c r="FX8" i="40"/>
  <c r="FI8" i="40"/>
  <c r="FG8" i="40"/>
  <c r="EW8" i="40"/>
  <c r="EP8" i="40"/>
  <c r="DV8" i="40"/>
  <c r="CZ8" i="40"/>
  <c r="CW8" i="40"/>
  <c r="CT8" i="40"/>
  <c r="CJ8" i="40"/>
  <c r="BP8" i="40"/>
  <c r="BO8" i="40" s="1"/>
  <c r="AL8" i="40"/>
  <c r="AH8" i="40"/>
  <c r="T8" i="40"/>
  <c r="G8" i="40"/>
  <c r="D8" i="40"/>
  <c r="GE7" i="40"/>
  <c r="FX7" i="40"/>
  <c r="FI7" i="40"/>
  <c r="FG7" i="40"/>
  <c r="EW7" i="40"/>
  <c r="DV7" i="40"/>
  <c r="CZ7" i="40"/>
  <c r="CW7" i="40"/>
  <c r="CT7" i="40"/>
  <c r="CJ7" i="40"/>
  <c r="BP7" i="40"/>
  <c r="BO7" i="40" s="1"/>
  <c r="AL7" i="40"/>
  <c r="AH7" i="40"/>
  <c r="T7" i="40"/>
  <c r="EP7" i="40" s="1"/>
  <c r="G7" i="40"/>
  <c r="D7" i="40"/>
  <c r="GE6" i="40"/>
  <c r="FX6" i="40"/>
  <c r="FI6" i="40"/>
  <c r="EW6" i="40"/>
  <c r="FG6" i="40" s="1"/>
  <c r="EP6" i="40"/>
  <c r="DV6" i="40"/>
  <c r="CZ6" i="40"/>
  <c r="CW6" i="40"/>
  <c r="CT6" i="40"/>
  <c r="CJ6" i="40"/>
  <c r="BP6" i="40"/>
  <c r="BO6" i="40"/>
  <c r="AL6" i="40"/>
  <c r="AH6" i="40"/>
  <c r="T6" i="40"/>
  <c r="G6" i="40"/>
  <c r="D6" i="40"/>
  <c r="FJ52" i="39"/>
  <c r="GD50" i="39"/>
  <c r="GE50" i="39" s="1"/>
  <c r="GB50" i="39"/>
  <c r="GA50" i="39"/>
  <c r="FJ50" i="39"/>
  <c r="FH50" i="39"/>
  <c r="EZ50" i="39"/>
  <c r="EL50" i="39"/>
  <c r="EJ50" i="39"/>
  <c r="EI50" i="39"/>
  <c r="DW50" i="39"/>
  <c r="DV50" i="39"/>
  <c r="DO50" i="39"/>
  <c r="DK50" i="39"/>
  <c r="CZ50" i="39"/>
  <c r="CX50" i="39"/>
  <c r="CP50" i="39"/>
  <c r="CO50" i="39"/>
  <c r="CN50" i="39"/>
  <c r="CG50" i="39"/>
  <c r="CF50" i="39"/>
  <c r="CE50" i="39"/>
  <c r="BY50" i="39"/>
  <c r="BX50" i="39"/>
  <c r="BW50" i="39"/>
  <c r="BP50" i="39"/>
  <c r="BL50" i="39"/>
  <c r="BJ50" i="39"/>
  <c r="BD50" i="39"/>
  <c r="AZ50" i="39"/>
  <c r="AY50" i="39"/>
  <c r="AQ50" i="39"/>
  <c r="AF50" i="39"/>
  <c r="S50" i="39"/>
  <c r="R50" i="39"/>
  <c r="K50" i="39"/>
  <c r="J50" i="39"/>
  <c r="I50" i="39"/>
  <c r="C50" i="39"/>
  <c r="GI49" i="39"/>
  <c r="GE49" i="39"/>
  <c r="GD49" i="39"/>
  <c r="GB49" i="39"/>
  <c r="GA49" i="39"/>
  <c r="FZ49" i="39"/>
  <c r="FY49" i="39"/>
  <c r="FW49" i="39"/>
  <c r="FX49" i="39" s="1"/>
  <c r="FM49" i="39"/>
  <c r="FL49" i="39"/>
  <c r="FJ49" i="39"/>
  <c r="FH49" i="39"/>
  <c r="FG49" i="39" s="1"/>
  <c r="FF49" i="39"/>
  <c r="FE49" i="39"/>
  <c r="FD49" i="39"/>
  <c r="FC49" i="39"/>
  <c r="FA49" i="39"/>
  <c r="EZ49" i="39"/>
  <c r="EY49" i="39"/>
  <c r="EX49" i="39"/>
  <c r="EW49" i="39"/>
  <c r="EV49" i="39"/>
  <c r="EU49" i="39"/>
  <c r="ET49" i="39"/>
  <c r="ES49" i="39"/>
  <c r="ER49" i="39"/>
  <c r="ER50" i="39" s="1"/>
  <c r="EQ49" i="39"/>
  <c r="EP49" i="39" s="1"/>
  <c r="EO49" i="39"/>
  <c r="EN49" i="39"/>
  <c r="EM49" i="39"/>
  <c r="EL49" i="39"/>
  <c r="EJ49" i="39"/>
  <c r="EI49" i="39"/>
  <c r="EH49" i="39"/>
  <c r="FI49" i="39" s="1"/>
  <c r="EG49" i="39"/>
  <c r="EF49" i="39"/>
  <c r="ED49" i="39"/>
  <c r="EC49" i="39"/>
  <c r="EA49" i="39"/>
  <c r="DZ49" i="39"/>
  <c r="DW49" i="39"/>
  <c r="DV49" i="39"/>
  <c r="DU49" i="39"/>
  <c r="DT49" i="39"/>
  <c r="DS49" i="39"/>
  <c r="DR49" i="39"/>
  <c r="DQ49" i="39"/>
  <c r="DP49" i="39"/>
  <c r="DO49" i="39"/>
  <c r="DN49" i="39"/>
  <c r="DM49" i="39"/>
  <c r="DL49" i="39"/>
  <c r="DK49" i="39"/>
  <c r="DJ49" i="39"/>
  <c r="DI49" i="39"/>
  <c r="DH49" i="39"/>
  <c r="DG49" i="39"/>
  <c r="DG50" i="39" s="1"/>
  <c r="DF49" i="39"/>
  <c r="DE49" i="39"/>
  <c r="DD49" i="39"/>
  <c r="DC49" i="39"/>
  <c r="CZ49" i="39"/>
  <c r="CY49" i="39"/>
  <c r="CX49" i="39"/>
  <c r="CW49" i="39"/>
  <c r="CV49" i="39"/>
  <c r="CU49" i="39"/>
  <c r="CT49" i="39"/>
  <c r="CS49" i="39"/>
  <c r="CR49" i="39"/>
  <c r="CQ49" i="39"/>
  <c r="CP49" i="39"/>
  <c r="CO49" i="39"/>
  <c r="CN49" i="39"/>
  <c r="CM49" i="39"/>
  <c r="CL49" i="39"/>
  <c r="CK49" i="39"/>
  <c r="CJ49" i="39"/>
  <c r="CI49" i="39"/>
  <c r="CH49" i="39"/>
  <c r="CG49" i="39"/>
  <c r="CF49" i="39"/>
  <c r="CE49" i="39"/>
  <c r="CD49" i="39"/>
  <c r="CC49" i="39"/>
  <c r="CB49" i="39"/>
  <c r="CA49" i="39"/>
  <c r="BZ49" i="39"/>
  <c r="BY49" i="39"/>
  <c r="BX49" i="39"/>
  <c r="BW49" i="39"/>
  <c r="BU49" i="39"/>
  <c r="BP49" i="39"/>
  <c r="BO49" i="39"/>
  <c r="BN49" i="39"/>
  <c r="BM49" i="39"/>
  <c r="BL49" i="39"/>
  <c r="BK49" i="39"/>
  <c r="BJ49" i="39"/>
  <c r="BI49" i="39"/>
  <c r="BH49" i="39"/>
  <c r="BH50" i="39" s="1"/>
  <c r="BG49" i="39"/>
  <c r="BF49" i="39"/>
  <c r="BE49" i="39"/>
  <c r="BD49" i="39"/>
  <c r="BC49" i="39"/>
  <c r="BB49" i="39"/>
  <c r="BA49" i="39"/>
  <c r="AZ49" i="39"/>
  <c r="AY49" i="39"/>
  <c r="AX49" i="39"/>
  <c r="AW49" i="39"/>
  <c r="AV49" i="39"/>
  <c r="AV50" i="39" s="1"/>
  <c r="AU49" i="39"/>
  <c r="AT49" i="39"/>
  <c r="AS49" i="39"/>
  <c r="AR49" i="39"/>
  <c r="AQ49" i="39"/>
  <c r="AP49" i="39"/>
  <c r="AO49" i="39"/>
  <c r="AN49" i="39"/>
  <c r="AN50" i="39" s="1"/>
  <c r="AM49" i="39"/>
  <c r="AL49" i="39" s="1"/>
  <c r="AK49" i="39"/>
  <c r="AJ49" i="39"/>
  <c r="AI49" i="39"/>
  <c r="AG49" i="39"/>
  <c r="AF49" i="39"/>
  <c r="AE49" i="39"/>
  <c r="AD49" i="39"/>
  <c r="AC49" i="39"/>
  <c r="AA49" i="39"/>
  <c r="Y49" i="39"/>
  <c r="T49" i="39" s="1"/>
  <c r="U49" i="39"/>
  <c r="S49" i="39"/>
  <c r="R49" i="39"/>
  <c r="Q49" i="39"/>
  <c r="P49" i="39"/>
  <c r="O49" i="39"/>
  <c r="N49" i="39"/>
  <c r="M49" i="39"/>
  <c r="L49" i="39"/>
  <c r="K49" i="39"/>
  <c r="J49" i="39"/>
  <c r="I49" i="39"/>
  <c r="H49" i="39"/>
  <c r="G49" i="39"/>
  <c r="F49" i="39"/>
  <c r="D49" i="39" s="1"/>
  <c r="E49" i="39"/>
  <c r="C49" i="39"/>
  <c r="GE48" i="39"/>
  <c r="FX48" i="39"/>
  <c r="FI48" i="39"/>
  <c r="EW48" i="39"/>
  <c r="FG48" i="39" s="1"/>
  <c r="DV48" i="39"/>
  <c r="CZ48" i="39"/>
  <c r="CW48" i="39"/>
  <c r="CT48" i="39"/>
  <c r="CJ48" i="39"/>
  <c r="BP48" i="39"/>
  <c r="BO48" i="39"/>
  <c r="AL48" i="39"/>
  <c r="AH48" i="39"/>
  <c r="T48" i="39"/>
  <c r="EP48" i="39" s="1"/>
  <c r="G48" i="39"/>
  <c r="D48" i="39"/>
  <c r="FX47" i="39"/>
  <c r="FI47" i="39"/>
  <c r="FG47" i="39"/>
  <c r="EW47" i="39"/>
  <c r="EP47" i="39"/>
  <c r="DV47" i="39"/>
  <c r="CZ47" i="39"/>
  <c r="CW47" i="39"/>
  <c r="CT47" i="39"/>
  <c r="CJ47" i="39"/>
  <c r="BP47" i="39"/>
  <c r="BO47" i="39" s="1"/>
  <c r="AL47" i="39"/>
  <c r="AH47" i="39"/>
  <c r="T47" i="39"/>
  <c r="G47" i="39"/>
  <c r="D47" i="39"/>
  <c r="GE46" i="39"/>
  <c r="FX46" i="39"/>
  <c r="FI46" i="39"/>
  <c r="EW46" i="39"/>
  <c r="FG46" i="39" s="1"/>
  <c r="DV46" i="39"/>
  <c r="CZ46" i="39"/>
  <c r="CW46" i="39"/>
  <c r="CT46" i="39"/>
  <c r="CJ46" i="39"/>
  <c r="BP46" i="39"/>
  <c r="EP46" i="39" s="1"/>
  <c r="AL46" i="39"/>
  <c r="AH46" i="39"/>
  <c r="T46" i="39"/>
  <c r="G46" i="39"/>
  <c r="D46" i="39"/>
  <c r="GE45" i="39"/>
  <c r="FX45" i="39"/>
  <c r="FI45" i="39"/>
  <c r="FG45" i="39"/>
  <c r="EW45" i="39"/>
  <c r="DV45" i="39"/>
  <c r="CZ45" i="39"/>
  <c r="CW45" i="39"/>
  <c r="CT45" i="39"/>
  <c r="CJ45" i="39"/>
  <c r="BP45" i="39"/>
  <c r="BO45" i="39" s="1"/>
  <c r="AL45" i="39"/>
  <c r="AH45" i="39"/>
  <c r="T45" i="39"/>
  <c r="G45" i="39"/>
  <c r="D45" i="39"/>
  <c r="FX44" i="39"/>
  <c r="FI44" i="39"/>
  <c r="EW44" i="39"/>
  <c r="FG44" i="39" s="1"/>
  <c r="EP44" i="39"/>
  <c r="DV44" i="39"/>
  <c r="CZ44" i="39"/>
  <c r="CW44" i="39"/>
  <c r="CT44" i="39"/>
  <c r="CJ44" i="39"/>
  <c r="BP44" i="39"/>
  <c r="BO44" i="39"/>
  <c r="AL44" i="39"/>
  <c r="AH44" i="39"/>
  <c r="T44" i="39"/>
  <c r="G44" i="39"/>
  <c r="D44" i="39"/>
  <c r="GE43" i="39"/>
  <c r="FX43" i="39"/>
  <c r="FI43" i="39"/>
  <c r="FG43" i="39"/>
  <c r="EW43" i="39"/>
  <c r="DV43" i="39"/>
  <c r="CZ43" i="39"/>
  <c r="CW43" i="39"/>
  <c r="CT43" i="39"/>
  <c r="CJ43" i="39"/>
  <c r="BP43" i="39"/>
  <c r="BO43" i="39"/>
  <c r="AL43" i="39"/>
  <c r="AH43" i="39"/>
  <c r="T43" i="39"/>
  <c r="EP43" i="39" s="1"/>
  <c r="G43" i="39"/>
  <c r="D43" i="39"/>
  <c r="GE42" i="39"/>
  <c r="FX42" i="39"/>
  <c r="FI42" i="39"/>
  <c r="EW42" i="39"/>
  <c r="FG42" i="39" s="1"/>
  <c r="DV42" i="39"/>
  <c r="CZ42" i="39"/>
  <c r="CW42" i="39"/>
  <c r="CT42" i="39"/>
  <c r="CJ42" i="39"/>
  <c r="BP42" i="39"/>
  <c r="BO42" i="39"/>
  <c r="AL42" i="39"/>
  <c r="AH42" i="39"/>
  <c r="T42" i="39"/>
  <c r="EP42" i="39" s="1"/>
  <c r="G42" i="39"/>
  <c r="D42" i="39"/>
  <c r="FX41" i="39"/>
  <c r="FI41" i="39"/>
  <c r="EW41" i="39"/>
  <c r="FG41" i="39" s="1"/>
  <c r="DV41" i="39"/>
  <c r="CZ41" i="39"/>
  <c r="CW41" i="39"/>
  <c r="CT41" i="39"/>
  <c r="CJ41" i="39"/>
  <c r="BP41" i="39"/>
  <c r="BO41" i="39"/>
  <c r="AL41" i="39"/>
  <c r="AH41" i="39"/>
  <c r="T41" i="39"/>
  <c r="EP41" i="39" s="1"/>
  <c r="G41" i="39"/>
  <c r="D41" i="39"/>
  <c r="GE40" i="39"/>
  <c r="FX40" i="39"/>
  <c r="FI40" i="39"/>
  <c r="FG40" i="39"/>
  <c r="EW40" i="39"/>
  <c r="EP40" i="39"/>
  <c r="DV40" i="39"/>
  <c r="CZ40" i="39"/>
  <c r="CW40" i="39"/>
  <c r="CT40" i="39"/>
  <c r="CJ40" i="39"/>
  <c r="BP40" i="39"/>
  <c r="BO40" i="39" s="1"/>
  <c r="AL40" i="39"/>
  <c r="AH40" i="39"/>
  <c r="T40" i="39"/>
  <c r="G40" i="39"/>
  <c r="D40" i="39"/>
  <c r="FX39" i="39"/>
  <c r="FI39" i="39"/>
  <c r="EW39" i="39"/>
  <c r="FG39" i="39" s="1"/>
  <c r="DV39" i="39"/>
  <c r="CZ39" i="39"/>
  <c r="CW39" i="39"/>
  <c r="CT39" i="39"/>
  <c r="CJ39" i="39"/>
  <c r="BP39" i="39"/>
  <c r="EP39" i="39" s="1"/>
  <c r="AL39" i="39"/>
  <c r="AH39" i="39"/>
  <c r="T39" i="39"/>
  <c r="G39" i="39"/>
  <c r="D39" i="39"/>
  <c r="FX38" i="39"/>
  <c r="FI38" i="39"/>
  <c r="FG38" i="39"/>
  <c r="EW38" i="39"/>
  <c r="DV38" i="39"/>
  <c r="CZ38" i="39"/>
  <c r="CW38" i="39"/>
  <c r="CT38" i="39"/>
  <c r="CJ38" i="39"/>
  <c r="BP38" i="39"/>
  <c r="BO38" i="39" s="1"/>
  <c r="AL38" i="39"/>
  <c r="AH38" i="39"/>
  <c r="T38" i="39"/>
  <c r="EP38" i="39" s="1"/>
  <c r="G38" i="39"/>
  <c r="D38" i="39"/>
  <c r="GI37" i="39"/>
  <c r="GI50" i="39" s="1"/>
  <c r="GE37" i="39"/>
  <c r="GD37" i="39"/>
  <c r="GB37" i="39"/>
  <c r="GA37" i="39"/>
  <c r="FZ37" i="39"/>
  <c r="FZ50" i="39" s="1"/>
  <c r="FY37" i="39"/>
  <c r="FY50" i="39" s="1"/>
  <c r="FW37" i="39"/>
  <c r="FW50" i="39" s="1"/>
  <c r="FX50" i="39" s="1"/>
  <c r="FM37" i="39"/>
  <c r="FL37" i="39"/>
  <c r="FL50" i="39" s="1"/>
  <c r="FJ37" i="39"/>
  <c r="FJ53" i="39" s="1"/>
  <c r="FH37" i="39"/>
  <c r="FF37" i="39"/>
  <c r="FF50" i="39" s="1"/>
  <c r="FE37" i="39"/>
  <c r="FE50" i="39" s="1"/>
  <c r="FD37" i="39"/>
  <c r="FD50" i="39" s="1"/>
  <c r="FC37" i="39"/>
  <c r="FC50" i="39" s="1"/>
  <c r="FA37" i="39"/>
  <c r="FA50" i="39" s="1"/>
  <c r="EZ37" i="39"/>
  <c r="EY37" i="39"/>
  <c r="EY50" i="39" s="1"/>
  <c r="EX37" i="39"/>
  <c r="EX50" i="39" s="1"/>
  <c r="EW37" i="39"/>
  <c r="EV37" i="39"/>
  <c r="EV50" i="39" s="1"/>
  <c r="EU37" i="39"/>
  <c r="ET37" i="39"/>
  <c r="ET50" i="39" s="1"/>
  <c r="ES37" i="39"/>
  <c r="ES50" i="39" s="1"/>
  <c r="ER37" i="39"/>
  <c r="EQ37" i="39"/>
  <c r="EQ50" i="39" s="1"/>
  <c r="EO37" i="39"/>
  <c r="EO50" i="39" s="1"/>
  <c r="EN37" i="39"/>
  <c r="EN50" i="39" s="1"/>
  <c r="EM37" i="39"/>
  <c r="EM50" i="39" s="1"/>
  <c r="EL37" i="39"/>
  <c r="EJ37" i="39"/>
  <c r="EI37" i="39"/>
  <c r="EH37" i="39"/>
  <c r="FI37" i="39" s="1"/>
  <c r="EG37" i="39"/>
  <c r="EG50" i="39" s="1"/>
  <c r="EF37" i="39"/>
  <c r="EF50" i="39" s="1"/>
  <c r="ED37" i="39"/>
  <c r="ED50" i="39" s="1"/>
  <c r="EC37" i="39"/>
  <c r="EC50" i="39" s="1"/>
  <c r="EA37" i="39"/>
  <c r="EA50" i="39" s="1"/>
  <c r="DZ37" i="39"/>
  <c r="DZ50" i="39" s="1"/>
  <c r="DW37" i="39"/>
  <c r="DV37" i="39"/>
  <c r="DU37" i="39"/>
  <c r="DU50" i="39" s="1"/>
  <c r="DT37" i="39"/>
  <c r="DT50" i="39" s="1"/>
  <c r="DS37" i="39"/>
  <c r="DS50" i="39" s="1"/>
  <c r="DR37" i="39"/>
  <c r="DR50" i="39" s="1"/>
  <c r="DQ37" i="39"/>
  <c r="DQ50" i="39" s="1"/>
  <c r="DP37" i="39"/>
  <c r="DP50" i="39" s="1"/>
  <c r="DO37" i="39"/>
  <c r="DN37" i="39"/>
  <c r="DN50" i="39" s="1"/>
  <c r="DM37" i="39"/>
  <c r="DM50" i="39" s="1"/>
  <c r="DL37" i="39"/>
  <c r="DL50" i="39" s="1"/>
  <c r="DK37" i="39"/>
  <c r="DJ37" i="39"/>
  <c r="DJ50" i="39" s="1"/>
  <c r="DI37" i="39"/>
  <c r="DI50" i="39" s="1"/>
  <c r="DH37" i="39"/>
  <c r="DH50" i="39" s="1"/>
  <c r="DG37" i="39"/>
  <c r="DF37" i="39"/>
  <c r="DF50" i="39" s="1"/>
  <c r="DE37" i="39"/>
  <c r="DE50" i="39" s="1"/>
  <c r="DD37" i="39"/>
  <c r="DD50" i="39" s="1"/>
  <c r="DC37" i="39"/>
  <c r="DC50" i="39" s="1"/>
  <c r="CZ37" i="39"/>
  <c r="CY37" i="39"/>
  <c r="CY50" i="39" s="1"/>
  <c r="CW50" i="39" s="1"/>
  <c r="CX37" i="39"/>
  <c r="CV37" i="39"/>
  <c r="CV50" i="39" s="1"/>
  <c r="CU37" i="39"/>
  <c r="CU50" i="39" s="1"/>
  <c r="CT50" i="39" s="1"/>
  <c r="CT37" i="39"/>
  <c r="CS37" i="39"/>
  <c r="CS50" i="39" s="1"/>
  <c r="CR37" i="39"/>
  <c r="CR50" i="39" s="1"/>
  <c r="CQ37" i="39"/>
  <c r="CQ50" i="39" s="1"/>
  <c r="CP37" i="39"/>
  <c r="CO37" i="39"/>
  <c r="CN37" i="39"/>
  <c r="CM37" i="39"/>
  <c r="CM50" i="39" s="1"/>
  <c r="CL37" i="39"/>
  <c r="CL50" i="39" s="1"/>
  <c r="CK37" i="39"/>
  <c r="CK50" i="39" s="1"/>
  <c r="CI37" i="39"/>
  <c r="CI50" i="39" s="1"/>
  <c r="CH37" i="39"/>
  <c r="CG37" i="39"/>
  <c r="CF37" i="39"/>
  <c r="CE37" i="39"/>
  <c r="CD37" i="39"/>
  <c r="CD50" i="39" s="1"/>
  <c r="CC37" i="39"/>
  <c r="CC50" i="39" s="1"/>
  <c r="CB37" i="39"/>
  <c r="CB50" i="39" s="1"/>
  <c r="CA37" i="39"/>
  <c r="CA50" i="39" s="1"/>
  <c r="BZ37" i="39"/>
  <c r="BZ50" i="39" s="1"/>
  <c r="BY37" i="39"/>
  <c r="BX37" i="39"/>
  <c r="BW37" i="39"/>
  <c r="BU37" i="39"/>
  <c r="BU50" i="39" s="1"/>
  <c r="BP37" i="39"/>
  <c r="BN37" i="39"/>
  <c r="BM37" i="39"/>
  <c r="BM50" i="39" s="1"/>
  <c r="BL37" i="39"/>
  <c r="BK37" i="39"/>
  <c r="BK50" i="39" s="1"/>
  <c r="BJ37" i="39"/>
  <c r="BI37" i="39"/>
  <c r="BI50" i="39" s="1"/>
  <c r="BH37" i="39"/>
  <c r="BG37" i="39"/>
  <c r="BG50" i="39" s="1"/>
  <c r="BF37" i="39"/>
  <c r="BF50" i="39" s="1"/>
  <c r="BE37" i="39"/>
  <c r="BE50" i="39" s="1"/>
  <c r="BD37" i="39"/>
  <c r="BC37" i="39"/>
  <c r="BC50" i="39" s="1"/>
  <c r="BB37" i="39"/>
  <c r="BB50" i="39" s="1"/>
  <c r="BA37" i="39"/>
  <c r="BA50" i="39" s="1"/>
  <c r="AZ37" i="39"/>
  <c r="AY37" i="39"/>
  <c r="AX37" i="39"/>
  <c r="AX50" i="39" s="1"/>
  <c r="AW37" i="39"/>
  <c r="AW50" i="39" s="1"/>
  <c r="AV37" i="39"/>
  <c r="AU37" i="39"/>
  <c r="AU50" i="39" s="1"/>
  <c r="AT37" i="39"/>
  <c r="AT50" i="39" s="1"/>
  <c r="AS37" i="39"/>
  <c r="AS50" i="39" s="1"/>
  <c r="AR37" i="39"/>
  <c r="AR50" i="39" s="1"/>
  <c r="AQ37" i="39"/>
  <c r="AP37" i="39"/>
  <c r="AP50" i="39" s="1"/>
  <c r="AO37" i="39"/>
  <c r="AN37" i="39"/>
  <c r="AM37" i="39"/>
  <c r="AM50" i="39" s="1"/>
  <c r="AK37" i="39"/>
  <c r="AK50" i="39" s="1"/>
  <c r="AJ37" i="39"/>
  <c r="AI37" i="39"/>
  <c r="AI50" i="39" s="1"/>
  <c r="AH37" i="39"/>
  <c r="AG37" i="39"/>
  <c r="AG50" i="39" s="1"/>
  <c r="AF37" i="39"/>
  <c r="AE37" i="39"/>
  <c r="AE50" i="39" s="1"/>
  <c r="AD37" i="39"/>
  <c r="AD50" i="39" s="1"/>
  <c r="AC37" i="39"/>
  <c r="AC50" i="39" s="1"/>
  <c r="AA37" i="39"/>
  <c r="AA50" i="39" s="1"/>
  <c r="Y37" i="39"/>
  <c r="U37" i="39"/>
  <c r="U50" i="39" s="1"/>
  <c r="T37" i="39"/>
  <c r="EP37" i="39" s="1"/>
  <c r="S37" i="39"/>
  <c r="R37" i="39"/>
  <c r="Q37" i="39"/>
  <c r="Q50" i="39" s="1"/>
  <c r="P37" i="39"/>
  <c r="P50" i="39" s="1"/>
  <c r="O37" i="39"/>
  <c r="O50" i="39" s="1"/>
  <c r="N37" i="39"/>
  <c r="M37" i="39"/>
  <c r="M50" i="39" s="1"/>
  <c r="L37" i="39"/>
  <c r="L50" i="39" s="1"/>
  <c r="K37" i="39"/>
  <c r="J37" i="39"/>
  <c r="I37" i="39"/>
  <c r="H37" i="39"/>
  <c r="H50" i="39" s="1"/>
  <c r="G50" i="39" s="1"/>
  <c r="F37" i="39"/>
  <c r="E37" i="39"/>
  <c r="E50" i="39" s="1"/>
  <c r="D37" i="39"/>
  <c r="C37" i="39"/>
  <c r="GE36" i="39"/>
  <c r="FX36" i="39"/>
  <c r="FI36" i="39"/>
  <c r="EW36" i="39"/>
  <c r="FG36" i="39" s="1"/>
  <c r="EP36" i="39"/>
  <c r="DV36" i="39"/>
  <c r="CZ36" i="39"/>
  <c r="CW36" i="39"/>
  <c r="CT36" i="39"/>
  <c r="CJ36" i="39"/>
  <c r="BP36" i="39"/>
  <c r="BO36" i="39"/>
  <c r="AL36" i="39"/>
  <c r="AH36" i="39"/>
  <c r="T36" i="39"/>
  <c r="G36" i="39"/>
  <c r="D36" i="39"/>
  <c r="GE35" i="39"/>
  <c r="FX35" i="39"/>
  <c r="FI35" i="39"/>
  <c r="EW35" i="39"/>
  <c r="FG35" i="39" s="1"/>
  <c r="DV35" i="39"/>
  <c r="CZ35" i="39"/>
  <c r="CW35" i="39"/>
  <c r="CT35" i="39"/>
  <c r="CJ35" i="39"/>
  <c r="BP35" i="39"/>
  <c r="BO35" i="39" s="1"/>
  <c r="AL35" i="39"/>
  <c r="AH35" i="39"/>
  <c r="T35" i="39"/>
  <c r="G35" i="39"/>
  <c r="D35" i="39"/>
  <c r="GE34" i="39"/>
  <c r="FX34" i="39"/>
  <c r="FI34" i="39"/>
  <c r="EW34" i="39"/>
  <c r="FG34" i="39" s="1"/>
  <c r="DV34" i="39"/>
  <c r="CZ34" i="39"/>
  <c r="CW34" i="39"/>
  <c r="CT34" i="39"/>
  <c r="CJ34" i="39"/>
  <c r="BP34" i="39"/>
  <c r="BO34" i="39"/>
  <c r="AL34" i="39"/>
  <c r="AH34" i="39"/>
  <c r="T34" i="39"/>
  <c r="EP34" i="39" s="1"/>
  <c r="G34" i="39"/>
  <c r="D34" i="39"/>
  <c r="GE33" i="39"/>
  <c r="FX33" i="39"/>
  <c r="FI33" i="39"/>
  <c r="EW33" i="39"/>
  <c r="FG33" i="39" s="1"/>
  <c r="EP33" i="39"/>
  <c r="DV33" i="39"/>
  <c r="CZ33" i="39"/>
  <c r="CW33" i="39"/>
  <c r="CT33" i="39"/>
  <c r="CJ33" i="39"/>
  <c r="BP33" i="39"/>
  <c r="BO33" i="39"/>
  <c r="AL33" i="39"/>
  <c r="AH33" i="39"/>
  <c r="T33" i="39"/>
  <c r="G33" i="39"/>
  <c r="D33" i="39"/>
  <c r="GE32" i="39"/>
  <c r="FX32" i="39"/>
  <c r="FI32" i="39"/>
  <c r="EW32" i="39"/>
  <c r="FG32" i="39" s="1"/>
  <c r="DV32" i="39"/>
  <c r="CZ32" i="39"/>
  <c r="CW32" i="39"/>
  <c r="CT32" i="39"/>
  <c r="CJ32" i="39"/>
  <c r="BP32" i="39"/>
  <c r="EP32" i="39" s="1"/>
  <c r="BO32" i="39"/>
  <c r="AL32" i="39"/>
  <c r="AH32" i="39"/>
  <c r="T32" i="39"/>
  <c r="G32" i="39"/>
  <c r="D32" i="39"/>
  <c r="GE31" i="39"/>
  <c r="FX31" i="39"/>
  <c r="FI31" i="39"/>
  <c r="EW31" i="39"/>
  <c r="FG31" i="39" s="1"/>
  <c r="DV31" i="39"/>
  <c r="CZ31" i="39"/>
  <c r="CW31" i="39"/>
  <c r="CT31" i="39"/>
  <c r="CJ31" i="39"/>
  <c r="BP31" i="39"/>
  <c r="BO31" i="39" s="1"/>
  <c r="AL31" i="39"/>
  <c r="AH31" i="39"/>
  <c r="T31" i="39"/>
  <c r="EP31" i="39" s="1"/>
  <c r="G31" i="39"/>
  <c r="D31" i="39"/>
  <c r="GE30" i="39"/>
  <c r="FX30" i="39"/>
  <c r="FI30" i="39"/>
  <c r="EW30" i="39"/>
  <c r="FG30" i="39" s="1"/>
  <c r="EP30" i="39"/>
  <c r="DV30" i="39"/>
  <c r="CZ30" i="39"/>
  <c r="CW30" i="39"/>
  <c r="CT30" i="39"/>
  <c r="CJ30" i="39"/>
  <c r="BP30" i="39"/>
  <c r="BO30" i="39"/>
  <c r="AL30" i="39"/>
  <c r="AH30" i="39"/>
  <c r="T30" i="39"/>
  <c r="G30" i="39"/>
  <c r="D30" i="39"/>
  <c r="GE29" i="39"/>
  <c r="FX29" i="39"/>
  <c r="FI29" i="39"/>
  <c r="EW29" i="39"/>
  <c r="FG29" i="39" s="1"/>
  <c r="DV29" i="39"/>
  <c r="CZ29" i="39"/>
  <c r="CW29" i="39"/>
  <c r="CT29" i="39"/>
  <c r="CJ29" i="39"/>
  <c r="BP29" i="39"/>
  <c r="BO29" i="39"/>
  <c r="AL29" i="39"/>
  <c r="AH29" i="39"/>
  <c r="T29" i="39"/>
  <c r="EP29" i="39" s="1"/>
  <c r="G29" i="39"/>
  <c r="D29" i="39"/>
  <c r="GE28" i="39"/>
  <c r="FX28" i="39"/>
  <c r="FI28" i="39"/>
  <c r="EW28" i="39"/>
  <c r="FG28" i="39" s="1"/>
  <c r="EP28" i="39"/>
  <c r="DV28" i="39"/>
  <c r="CZ28" i="39"/>
  <c r="CW28" i="39"/>
  <c r="CT28" i="39"/>
  <c r="CJ28" i="39"/>
  <c r="BP28" i="39"/>
  <c r="BO28" i="39"/>
  <c r="AL28" i="39"/>
  <c r="AH28" i="39"/>
  <c r="T28" i="39"/>
  <c r="G28" i="39"/>
  <c r="D28" i="39"/>
  <c r="GE27" i="39"/>
  <c r="FX27" i="39"/>
  <c r="FI27" i="39"/>
  <c r="EW27" i="39"/>
  <c r="FG27" i="39" s="1"/>
  <c r="DV27" i="39"/>
  <c r="CZ27" i="39"/>
  <c r="CW27" i="39"/>
  <c r="CT27" i="39"/>
  <c r="CJ27" i="39"/>
  <c r="BP27" i="39"/>
  <c r="BO27" i="39"/>
  <c r="AL27" i="39"/>
  <c r="AH27" i="39"/>
  <c r="T27" i="39"/>
  <c r="EP27" i="39" s="1"/>
  <c r="G27" i="39"/>
  <c r="D27" i="39"/>
  <c r="GE26" i="39"/>
  <c r="FX26" i="39"/>
  <c r="FI26" i="39"/>
  <c r="EW26" i="39"/>
  <c r="FG26" i="39" s="1"/>
  <c r="EP26" i="39"/>
  <c r="DV26" i="39"/>
  <c r="CZ26" i="39"/>
  <c r="CW26" i="39"/>
  <c r="CT26" i="39"/>
  <c r="CJ26" i="39"/>
  <c r="BP26" i="39"/>
  <c r="BO26" i="39"/>
  <c r="AL26" i="39"/>
  <c r="AH26" i="39"/>
  <c r="T26" i="39"/>
  <c r="G26" i="39"/>
  <c r="D26" i="39"/>
  <c r="GE25" i="39"/>
  <c r="FX25" i="39"/>
  <c r="FI25" i="39"/>
  <c r="FG25" i="39"/>
  <c r="EW25" i="39"/>
  <c r="DV25" i="39"/>
  <c r="CZ25" i="39"/>
  <c r="CW25" i="39"/>
  <c r="CT25" i="39"/>
  <c r="CJ25" i="39"/>
  <c r="BP25" i="39"/>
  <c r="AL25" i="39"/>
  <c r="AH25" i="39"/>
  <c r="T25" i="39"/>
  <c r="G25" i="39"/>
  <c r="D25" i="39"/>
  <c r="GE24" i="39"/>
  <c r="FX24" i="39"/>
  <c r="FI24" i="39"/>
  <c r="FG24" i="39"/>
  <c r="EW24" i="39"/>
  <c r="DV24" i="39"/>
  <c r="CZ24" i="39"/>
  <c r="CW24" i="39"/>
  <c r="CT24" i="39"/>
  <c r="CJ24" i="39"/>
  <c r="BP24" i="39"/>
  <c r="EP24" i="39" s="1"/>
  <c r="BO24" i="39"/>
  <c r="AL24" i="39"/>
  <c r="AH24" i="39"/>
  <c r="T24" i="39"/>
  <c r="G24" i="39"/>
  <c r="D24" i="39"/>
  <c r="GE23" i="39"/>
  <c r="FX23" i="39"/>
  <c r="FI23" i="39"/>
  <c r="EW23" i="39"/>
  <c r="FG23" i="39" s="1"/>
  <c r="DV23" i="39"/>
  <c r="CZ23" i="39"/>
  <c r="CW23" i="39"/>
  <c r="CT23" i="39"/>
  <c r="CJ23" i="39"/>
  <c r="BP23" i="39"/>
  <c r="BO23" i="39" s="1"/>
  <c r="AL23" i="39"/>
  <c r="AH23" i="39"/>
  <c r="T23" i="39"/>
  <c r="G23" i="39"/>
  <c r="D23" i="39"/>
  <c r="GE22" i="39"/>
  <c r="FX22" i="39"/>
  <c r="FI22" i="39"/>
  <c r="EW22" i="39"/>
  <c r="FG22" i="39" s="1"/>
  <c r="DV22" i="39"/>
  <c r="CZ22" i="39"/>
  <c r="CW22" i="39"/>
  <c r="CT22" i="39"/>
  <c r="CJ22" i="39"/>
  <c r="BP22" i="39"/>
  <c r="BO22" i="39"/>
  <c r="AL22" i="39"/>
  <c r="AH22" i="39"/>
  <c r="T22" i="39"/>
  <c r="EP22" i="39" s="1"/>
  <c r="G22" i="39"/>
  <c r="D22" i="39"/>
  <c r="GE21" i="39"/>
  <c r="FX21" i="39"/>
  <c r="FI21" i="39"/>
  <c r="EW21" i="39"/>
  <c r="FG21" i="39" s="1"/>
  <c r="DV21" i="39"/>
  <c r="CZ21" i="39"/>
  <c r="CW21" i="39"/>
  <c r="CT21" i="39"/>
  <c r="CJ21" i="39"/>
  <c r="BP21" i="39"/>
  <c r="BO21" i="39"/>
  <c r="AL21" i="39"/>
  <c r="AH21" i="39"/>
  <c r="T21" i="39"/>
  <c r="EP21" i="39" s="1"/>
  <c r="G21" i="39"/>
  <c r="D21" i="39"/>
  <c r="GE20" i="39"/>
  <c r="FX20" i="39"/>
  <c r="FI20" i="39"/>
  <c r="EW20" i="39"/>
  <c r="FG20" i="39" s="1"/>
  <c r="EP20" i="39"/>
  <c r="DV20" i="39"/>
  <c r="CZ20" i="39"/>
  <c r="CW20" i="39"/>
  <c r="CT20" i="39"/>
  <c r="CJ20" i="39"/>
  <c r="BP20" i="39"/>
  <c r="BO20" i="39"/>
  <c r="AL20" i="39"/>
  <c r="AH20" i="39"/>
  <c r="T20" i="39"/>
  <c r="G20" i="39"/>
  <c r="D20" i="39"/>
  <c r="GE19" i="39"/>
  <c r="FX19" i="39"/>
  <c r="FI19" i="39"/>
  <c r="EW19" i="39"/>
  <c r="FG19" i="39" s="1"/>
  <c r="DV19" i="39"/>
  <c r="CZ19" i="39"/>
  <c r="CW19" i="39"/>
  <c r="CT19" i="39"/>
  <c r="CJ19" i="39"/>
  <c r="BP19" i="39"/>
  <c r="BO19" i="39"/>
  <c r="AL19" i="39"/>
  <c r="AH19" i="39"/>
  <c r="T19" i="39"/>
  <c r="G19" i="39"/>
  <c r="D19" i="39"/>
  <c r="GE18" i="39"/>
  <c r="FX18" i="39"/>
  <c r="FI18" i="39"/>
  <c r="EW18" i="39"/>
  <c r="FG18" i="39" s="1"/>
  <c r="DV18" i="39"/>
  <c r="CZ18" i="39"/>
  <c r="CW18" i="39"/>
  <c r="CT18" i="39"/>
  <c r="CJ18" i="39"/>
  <c r="BP18" i="39"/>
  <c r="BO18" i="39"/>
  <c r="AL18" i="39"/>
  <c r="AH18" i="39"/>
  <c r="T18" i="39"/>
  <c r="EP18" i="39" s="1"/>
  <c r="G18" i="39"/>
  <c r="D18" i="39"/>
  <c r="GE17" i="39"/>
  <c r="FX17" i="39"/>
  <c r="FI17" i="39"/>
  <c r="EW17" i="39"/>
  <c r="FG17" i="39" s="1"/>
  <c r="DV17" i="39"/>
  <c r="CZ17" i="39"/>
  <c r="CW17" i="39"/>
  <c r="CT17" i="39"/>
  <c r="CJ17" i="39"/>
  <c r="BP17" i="39"/>
  <c r="BO17" i="39"/>
  <c r="AL17" i="39"/>
  <c r="AH17" i="39"/>
  <c r="T17" i="39"/>
  <c r="EP17" i="39" s="1"/>
  <c r="G17" i="39"/>
  <c r="D17" i="39"/>
  <c r="GE16" i="39"/>
  <c r="FX16" i="39"/>
  <c r="FI16" i="39"/>
  <c r="EW16" i="39"/>
  <c r="FG16" i="39" s="1"/>
  <c r="EP16" i="39"/>
  <c r="DV16" i="39"/>
  <c r="CZ16" i="39"/>
  <c r="CW16" i="39"/>
  <c r="CT16" i="39"/>
  <c r="CJ16" i="39"/>
  <c r="BP16" i="39"/>
  <c r="BO16" i="39"/>
  <c r="AL16" i="39"/>
  <c r="AH16" i="39"/>
  <c r="T16" i="39"/>
  <c r="G16" i="39"/>
  <c r="D16" i="39"/>
  <c r="GE15" i="39"/>
  <c r="FX15" i="39"/>
  <c r="FI15" i="39"/>
  <c r="FG15" i="39"/>
  <c r="EW15" i="39"/>
  <c r="DV15" i="39"/>
  <c r="CZ15" i="39"/>
  <c r="CW15" i="39"/>
  <c r="CT15" i="39"/>
  <c r="CJ15" i="39"/>
  <c r="BP15" i="39"/>
  <c r="BO15" i="39"/>
  <c r="AL15" i="39"/>
  <c r="AH15" i="39"/>
  <c r="T15" i="39"/>
  <c r="EP15" i="39" s="1"/>
  <c r="G15" i="39"/>
  <c r="D15" i="39"/>
  <c r="GE14" i="39"/>
  <c r="FX14" i="39"/>
  <c r="FI14" i="39"/>
  <c r="EW14" i="39"/>
  <c r="FG14" i="39" s="1"/>
  <c r="EP14" i="39"/>
  <c r="DV14" i="39"/>
  <c r="CZ14" i="39"/>
  <c r="CW14" i="39"/>
  <c r="CT14" i="39"/>
  <c r="CJ14" i="39"/>
  <c r="BP14" i="39"/>
  <c r="BO14" i="39"/>
  <c r="AL14" i="39"/>
  <c r="AH14" i="39"/>
  <c r="T14" i="39"/>
  <c r="G14" i="39"/>
  <c r="D14" i="39"/>
  <c r="GE13" i="39"/>
  <c r="FX13" i="39"/>
  <c r="FI13" i="39"/>
  <c r="EW13" i="39"/>
  <c r="FG13" i="39" s="1"/>
  <c r="DV13" i="39"/>
  <c r="CZ13" i="39"/>
  <c r="CW13" i="39"/>
  <c r="CT13" i="39"/>
  <c r="CJ13" i="39"/>
  <c r="BP13" i="39"/>
  <c r="BO13" i="39" s="1"/>
  <c r="AL13" i="39"/>
  <c r="AH13" i="39"/>
  <c r="T13" i="39"/>
  <c r="G13" i="39"/>
  <c r="D13" i="39"/>
  <c r="GE12" i="39"/>
  <c r="FX12" i="39"/>
  <c r="FI12" i="39"/>
  <c r="EW12" i="39"/>
  <c r="FG12" i="39" s="1"/>
  <c r="EP12" i="39"/>
  <c r="DV12" i="39"/>
  <c r="CZ12" i="39"/>
  <c r="CW12" i="39"/>
  <c r="CT12" i="39"/>
  <c r="CJ12" i="39"/>
  <c r="BP12" i="39"/>
  <c r="BO12" i="39"/>
  <c r="AL12" i="39"/>
  <c r="AH12" i="39"/>
  <c r="T12" i="39"/>
  <c r="G12" i="39"/>
  <c r="D12" i="39"/>
  <c r="GE11" i="39"/>
  <c r="FX11" i="39"/>
  <c r="FI11" i="39"/>
  <c r="EW11" i="39"/>
  <c r="FG11" i="39" s="1"/>
  <c r="DV11" i="39"/>
  <c r="CZ11" i="39"/>
  <c r="CW11" i="39"/>
  <c r="CT11" i="39"/>
  <c r="CJ11" i="39"/>
  <c r="BP11" i="39"/>
  <c r="BO11" i="39"/>
  <c r="AL11" i="39"/>
  <c r="AH11" i="39"/>
  <c r="T11" i="39"/>
  <c r="EP11" i="39" s="1"/>
  <c r="G11" i="39"/>
  <c r="D11" i="39"/>
  <c r="GE10" i="39"/>
  <c r="FX10" i="39"/>
  <c r="FI10" i="39"/>
  <c r="EW10" i="39"/>
  <c r="FG10" i="39" s="1"/>
  <c r="DV10" i="39"/>
  <c r="CZ10" i="39"/>
  <c r="CW10" i="39"/>
  <c r="CT10" i="39"/>
  <c r="CJ10" i="39"/>
  <c r="BP10" i="39"/>
  <c r="BO10" i="39"/>
  <c r="AL10" i="39"/>
  <c r="AH10" i="39"/>
  <c r="T10" i="39"/>
  <c r="EP10" i="39" s="1"/>
  <c r="G10" i="39"/>
  <c r="D10" i="39"/>
  <c r="GE9" i="39"/>
  <c r="FX9" i="39"/>
  <c r="FI9" i="39"/>
  <c r="EW9" i="39"/>
  <c r="FG9" i="39" s="1"/>
  <c r="EP9" i="39"/>
  <c r="DV9" i="39"/>
  <c r="CZ9" i="39"/>
  <c r="CW9" i="39"/>
  <c r="CT9" i="39"/>
  <c r="CJ9" i="39"/>
  <c r="BP9" i="39"/>
  <c r="BO9" i="39"/>
  <c r="AL9" i="39"/>
  <c r="AH9" i="39"/>
  <c r="T9" i="39"/>
  <c r="G9" i="39"/>
  <c r="D9" i="39"/>
  <c r="GE8" i="39"/>
  <c r="FX8" i="39"/>
  <c r="FI8" i="39"/>
  <c r="EW8" i="39"/>
  <c r="FG8" i="39" s="1"/>
  <c r="DV8" i="39"/>
  <c r="CZ8" i="39"/>
  <c r="CW8" i="39"/>
  <c r="CT8" i="39"/>
  <c r="CJ8" i="39"/>
  <c r="BP8" i="39"/>
  <c r="EP8" i="39" s="1"/>
  <c r="BO8" i="39"/>
  <c r="AL8" i="39"/>
  <c r="AH8" i="39"/>
  <c r="T8" i="39"/>
  <c r="G8" i="39"/>
  <c r="D8" i="39"/>
  <c r="GE7" i="39"/>
  <c r="FX7" i="39"/>
  <c r="FI7" i="39"/>
  <c r="EW7" i="39"/>
  <c r="FG7" i="39" s="1"/>
  <c r="DV7" i="39"/>
  <c r="CZ7" i="39"/>
  <c r="CW7" i="39"/>
  <c r="CT7" i="39"/>
  <c r="CJ7" i="39"/>
  <c r="BP7" i="39"/>
  <c r="BO7" i="39" s="1"/>
  <c r="AL7" i="39"/>
  <c r="AH7" i="39"/>
  <c r="T7" i="39"/>
  <c r="G7" i="39"/>
  <c r="D7" i="39"/>
  <c r="GE6" i="39"/>
  <c r="FX6" i="39"/>
  <c r="FI6" i="39"/>
  <c r="EW6" i="39"/>
  <c r="FG6" i="39" s="1"/>
  <c r="DV6" i="39"/>
  <c r="CZ6" i="39"/>
  <c r="CW6" i="39"/>
  <c r="CT6" i="39"/>
  <c r="CJ6" i="39"/>
  <c r="BP6" i="39"/>
  <c r="BO6" i="39"/>
  <c r="AL6" i="39"/>
  <c r="AH6" i="39"/>
  <c r="T6" i="39"/>
  <c r="EP6" i="39" s="1"/>
  <c r="G6" i="39"/>
  <c r="D6" i="39"/>
  <c r="FJ52" i="38"/>
  <c r="GB50" i="38"/>
  <c r="GA50" i="38"/>
  <c r="FM50" i="38"/>
  <c r="FJ50" i="38"/>
  <c r="FD50" i="38"/>
  <c r="FC50" i="38"/>
  <c r="FA50" i="38"/>
  <c r="EV50" i="38"/>
  <c r="ES50" i="38"/>
  <c r="EM50" i="38"/>
  <c r="EJ50" i="38"/>
  <c r="EI50" i="38"/>
  <c r="EC50" i="38"/>
  <c r="DW50" i="38"/>
  <c r="DV50" i="38" s="1"/>
  <c r="DQ50" i="38"/>
  <c r="DP50" i="38"/>
  <c r="DO50" i="38"/>
  <c r="DJ50" i="38"/>
  <c r="DG50" i="38"/>
  <c r="DA50" i="38"/>
  <c r="CY50" i="38"/>
  <c r="CT50" i="38"/>
  <c r="CQ50" i="38"/>
  <c r="CK50" i="38"/>
  <c r="CI50" i="38"/>
  <c r="CD50" i="38"/>
  <c r="CA50" i="38"/>
  <c r="BP50" i="38"/>
  <c r="BO50" i="38"/>
  <c r="BN50" i="38"/>
  <c r="BI50" i="38"/>
  <c r="BF50" i="38"/>
  <c r="AZ50" i="38"/>
  <c r="AY50" i="38"/>
  <c r="AX50" i="38"/>
  <c r="AS50" i="38"/>
  <c r="AP50" i="38"/>
  <c r="AJ50" i="38"/>
  <c r="AI50" i="38"/>
  <c r="AH50" i="38" s="1"/>
  <c r="Y50" i="38"/>
  <c r="P50" i="38"/>
  <c r="O50" i="38"/>
  <c r="N50" i="38"/>
  <c r="F50" i="38"/>
  <c r="GI49" i="38"/>
  <c r="GD49" i="38"/>
  <c r="GE49" i="38" s="1"/>
  <c r="GC49" i="38"/>
  <c r="GC50" i="38" s="1"/>
  <c r="GB49" i="38"/>
  <c r="GA49" i="38"/>
  <c r="FZ49" i="38"/>
  <c r="FY49" i="38"/>
  <c r="FW49" i="38"/>
  <c r="FX49" i="38" s="1"/>
  <c r="FM49" i="38"/>
  <c r="FL49" i="38"/>
  <c r="FL50" i="38" s="1"/>
  <c r="FK49" i="38"/>
  <c r="FK50" i="38" s="1"/>
  <c r="FJ49" i="38"/>
  <c r="FH49" i="38"/>
  <c r="FF49" i="38"/>
  <c r="FE49" i="38"/>
  <c r="FD49" i="38"/>
  <c r="FC49" i="38"/>
  <c r="FA49" i="38"/>
  <c r="EZ49" i="38"/>
  <c r="EY49" i="38"/>
  <c r="EX49" i="38"/>
  <c r="EW49" i="38"/>
  <c r="EV49" i="38"/>
  <c r="EU49" i="38"/>
  <c r="ET49" i="38"/>
  <c r="ET50" i="38" s="1"/>
  <c r="ES49" i="38"/>
  <c r="ER49" i="38"/>
  <c r="EQ49" i="38"/>
  <c r="EO49" i="38"/>
  <c r="EN49" i="38"/>
  <c r="EM49" i="38"/>
  <c r="EJ49" i="38"/>
  <c r="EI49" i="38"/>
  <c r="EH49" i="38"/>
  <c r="FI49" i="38" s="1"/>
  <c r="EG49" i="38"/>
  <c r="EF49" i="38"/>
  <c r="ED49" i="38"/>
  <c r="EC49" i="38"/>
  <c r="EA49" i="38"/>
  <c r="EA50" i="38" s="1"/>
  <c r="DZ49" i="38"/>
  <c r="DZ50" i="38" s="1"/>
  <c r="DW49" i="38"/>
  <c r="DV49" i="38"/>
  <c r="DU49" i="38"/>
  <c r="DT49" i="38"/>
  <c r="DS49" i="38"/>
  <c r="DR49" i="38"/>
  <c r="DQ49" i="38"/>
  <c r="DP49" i="38"/>
  <c r="DO49" i="38"/>
  <c r="DN49" i="38"/>
  <c r="DM49" i="38"/>
  <c r="DL49" i="38"/>
  <c r="DK49" i="38"/>
  <c r="DJ49" i="38"/>
  <c r="DI49" i="38"/>
  <c r="DI50" i="38" s="1"/>
  <c r="DH49" i="38"/>
  <c r="DH50" i="38" s="1"/>
  <c r="DG49" i="38"/>
  <c r="DF49" i="38"/>
  <c r="DE49" i="38"/>
  <c r="DD49" i="38"/>
  <c r="DC49" i="38"/>
  <c r="DB49" i="38"/>
  <c r="DA49" i="38"/>
  <c r="CZ49" i="38"/>
  <c r="CY49" i="38"/>
  <c r="CX49" i="38"/>
  <c r="CW49" i="38"/>
  <c r="CV49" i="38"/>
  <c r="CU49" i="38"/>
  <c r="CT49" i="38"/>
  <c r="CS49" i="38"/>
  <c r="CS50" i="38" s="1"/>
  <c r="CR49" i="38"/>
  <c r="CR50" i="38" s="1"/>
  <c r="CQ49" i="38"/>
  <c r="CP49" i="38"/>
  <c r="CO49" i="38"/>
  <c r="CN49" i="38"/>
  <c r="CM49" i="38"/>
  <c r="CL49" i="38"/>
  <c r="CK49" i="38"/>
  <c r="CJ49" i="38"/>
  <c r="CI49" i="38"/>
  <c r="CH49" i="38"/>
  <c r="CG49" i="38"/>
  <c r="CF49" i="38"/>
  <c r="CE49" i="38"/>
  <c r="CD49" i="38"/>
  <c r="CC49" i="38"/>
  <c r="CC50" i="38" s="1"/>
  <c r="CB49" i="38"/>
  <c r="CB50" i="38" s="1"/>
  <c r="CA49" i="38"/>
  <c r="BZ49" i="38"/>
  <c r="BY49" i="38"/>
  <c r="BX49" i="38"/>
  <c r="BW49" i="38"/>
  <c r="BU49" i="38"/>
  <c r="BP49" i="38"/>
  <c r="BO49" i="38"/>
  <c r="BN49" i="38"/>
  <c r="BM49" i="38"/>
  <c r="BL49" i="38"/>
  <c r="BK49" i="38"/>
  <c r="BJ49" i="38"/>
  <c r="BI49" i="38"/>
  <c r="BH49" i="38"/>
  <c r="BH50" i="38" s="1"/>
  <c r="BG49" i="38"/>
  <c r="BG50" i="38" s="1"/>
  <c r="BF49" i="38"/>
  <c r="BE49" i="38"/>
  <c r="BD49" i="38"/>
  <c r="BC49" i="38"/>
  <c r="BB49" i="38"/>
  <c r="BA49" i="38"/>
  <c r="AZ49" i="38"/>
  <c r="AY49" i="38"/>
  <c r="AX49" i="38"/>
  <c r="AW49" i="38"/>
  <c r="AV49" i="38"/>
  <c r="AU49" i="38"/>
  <c r="AT49" i="38"/>
  <c r="AS49" i="38"/>
  <c r="AR49" i="38"/>
  <c r="AR50" i="38" s="1"/>
  <c r="AQ49" i="38"/>
  <c r="AQ50" i="38" s="1"/>
  <c r="AP49" i="38"/>
  <c r="AO49" i="38"/>
  <c r="AN49" i="38"/>
  <c r="AM49" i="38"/>
  <c r="AL49" i="38"/>
  <c r="AK49" i="38"/>
  <c r="AJ49" i="38"/>
  <c r="AI49" i="38"/>
  <c r="AH49" i="38" s="1"/>
  <c r="AG49" i="38"/>
  <c r="AF49" i="38"/>
  <c r="AE49" i="38"/>
  <c r="AD49" i="38"/>
  <c r="AC49" i="38"/>
  <c r="AA49" i="38"/>
  <c r="AA50" i="38" s="1"/>
  <c r="Z49" i="38"/>
  <c r="Y49" i="38"/>
  <c r="U49" i="38"/>
  <c r="S49" i="38"/>
  <c r="R49" i="38"/>
  <c r="Q49" i="38"/>
  <c r="P49" i="38"/>
  <c r="O49" i="38"/>
  <c r="N49" i="38"/>
  <c r="M49" i="38"/>
  <c r="L49" i="38"/>
  <c r="K49" i="38"/>
  <c r="J49" i="38"/>
  <c r="I49" i="38"/>
  <c r="G49" i="38" s="1"/>
  <c r="H49" i="38"/>
  <c r="H50" i="38" s="1"/>
  <c r="F49" i="38"/>
  <c r="E49" i="38"/>
  <c r="D49" i="38"/>
  <c r="C49" i="38"/>
  <c r="GE48" i="38"/>
  <c r="FX48" i="38"/>
  <c r="FI48" i="38"/>
  <c r="FG48" i="38"/>
  <c r="EW48" i="38"/>
  <c r="DV48" i="38"/>
  <c r="CZ48" i="38"/>
  <c r="CW48" i="38"/>
  <c r="CT48" i="38"/>
  <c r="CJ48" i="38"/>
  <c r="BP48" i="38"/>
  <c r="BO48" i="38" s="1"/>
  <c r="AL48" i="38"/>
  <c r="AH48" i="38"/>
  <c r="T48" i="38"/>
  <c r="EP48" i="38" s="1"/>
  <c r="G48" i="38"/>
  <c r="D48" i="38"/>
  <c r="FX47" i="38"/>
  <c r="FI47" i="38"/>
  <c r="EW47" i="38"/>
  <c r="FG47" i="38" s="1"/>
  <c r="DV47" i="38"/>
  <c r="CZ47" i="38"/>
  <c r="CW47" i="38"/>
  <c r="CT47" i="38"/>
  <c r="CJ47" i="38"/>
  <c r="BP47" i="38"/>
  <c r="BO47" i="38" s="1"/>
  <c r="AL47" i="38"/>
  <c r="AH47" i="38"/>
  <c r="T47" i="38"/>
  <c r="EP47" i="38" s="1"/>
  <c r="G47" i="38"/>
  <c r="D47" i="38"/>
  <c r="GE46" i="38"/>
  <c r="FX46" i="38"/>
  <c r="FI46" i="38"/>
  <c r="EW46" i="38"/>
  <c r="FG46" i="38" s="1"/>
  <c r="EP46" i="38"/>
  <c r="DV46" i="38"/>
  <c r="CZ46" i="38"/>
  <c r="CW46" i="38"/>
  <c r="CT46" i="38"/>
  <c r="CJ46" i="38"/>
  <c r="BP46" i="38"/>
  <c r="BO46" i="38"/>
  <c r="AL46" i="38"/>
  <c r="AH46" i="38"/>
  <c r="T46" i="38"/>
  <c r="G46" i="38"/>
  <c r="D46" i="38"/>
  <c r="GE45" i="38"/>
  <c r="FX45" i="38"/>
  <c r="FI45" i="38"/>
  <c r="EW45" i="38"/>
  <c r="FG45" i="38" s="1"/>
  <c r="DV45" i="38"/>
  <c r="CZ45" i="38"/>
  <c r="CW45" i="38"/>
  <c r="CT45" i="38"/>
  <c r="CJ45" i="38"/>
  <c r="BP45" i="38"/>
  <c r="EP45" i="38" s="1"/>
  <c r="BO45" i="38"/>
  <c r="AL45" i="38"/>
  <c r="AH45" i="38"/>
  <c r="T45" i="38"/>
  <c r="G45" i="38"/>
  <c r="D45" i="38"/>
  <c r="FX44" i="38"/>
  <c r="FI44" i="38"/>
  <c r="FG44" i="38"/>
  <c r="EW44" i="38"/>
  <c r="EP44" i="38"/>
  <c r="DV44" i="38"/>
  <c r="CZ44" i="38"/>
  <c r="CW44" i="38"/>
  <c r="CT44" i="38"/>
  <c r="CJ44" i="38"/>
  <c r="BP44" i="38"/>
  <c r="BO44" i="38" s="1"/>
  <c r="AL44" i="38"/>
  <c r="AH44" i="38"/>
  <c r="T44" i="38"/>
  <c r="G44" i="38"/>
  <c r="D44" i="38"/>
  <c r="GE43" i="38"/>
  <c r="FX43" i="38"/>
  <c r="FI43" i="38"/>
  <c r="FG43" i="38"/>
  <c r="EW43" i="38"/>
  <c r="DV43" i="38"/>
  <c r="CZ43" i="38"/>
  <c r="CW43" i="38"/>
  <c r="CT43" i="38"/>
  <c r="CJ43" i="38"/>
  <c r="BP43" i="38"/>
  <c r="BO43" i="38" s="1"/>
  <c r="AL43" i="38"/>
  <c r="AH43" i="38"/>
  <c r="T43" i="38"/>
  <c r="EP43" i="38" s="1"/>
  <c r="G43" i="38"/>
  <c r="D43" i="38"/>
  <c r="GE42" i="38"/>
  <c r="FX42" i="38"/>
  <c r="FI42" i="38"/>
  <c r="EW42" i="38"/>
  <c r="FG42" i="38" s="1"/>
  <c r="DV42" i="38"/>
  <c r="CZ42" i="38"/>
  <c r="CW42" i="38"/>
  <c r="CT42" i="38"/>
  <c r="CJ42" i="38"/>
  <c r="BP42" i="38"/>
  <c r="BO42" i="38" s="1"/>
  <c r="AL42" i="38"/>
  <c r="AH42" i="38"/>
  <c r="T42" i="38"/>
  <c r="EP42" i="38" s="1"/>
  <c r="G42" i="38"/>
  <c r="D42" i="38"/>
  <c r="FX41" i="38"/>
  <c r="FI41" i="38"/>
  <c r="EW41" i="38"/>
  <c r="FG41" i="38" s="1"/>
  <c r="DV41" i="38"/>
  <c r="CZ41" i="38"/>
  <c r="CW41" i="38"/>
  <c r="CT41" i="38"/>
  <c r="CJ41" i="38"/>
  <c r="BP41" i="38"/>
  <c r="BO41" i="38"/>
  <c r="AL41" i="38"/>
  <c r="AH41" i="38"/>
  <c r="T41" i="38"/>
  <c r="EP41" i="38" s="1"/>
  <c r="G41" i="38"/>
  <c r="D41" i="38"/>
  <c r="GE40" i="38"/>
  <c r="FX40" i="38"/>
  <c r="FI40" i="38"/>
  <c r="EW40" i="38"/>
  <c r="FG40" i="38" s="1"/>
  <c r="EP40" i="38"/>
  <c r="DV40" i="38"/>
  <c r="CZ40" i="38"/>
  <c r="CW40" i="38"/>
  <c r="CT40" i="38"/>
  <c r="CJ40" i="38"/>
  <c r="BP40" i="38"/>
  <c r="BO40" i="38"/>
  <c r="AL40" i="38"/>
  <c r="AH40" i="38"/>
  <c r="T40" i="38"/>
  <c r="G40" i="38"/>
  <c r="D40" i="38"/>
  <c r="FX39" i="38"/>
  <c r="FI39" i="38"/>
  <c r="EW39" i="38"/>
  <c r="FG39" i="38" s="1"/>
  <c r="EP39" i="38"/>
  <c r="DV39" i="38"/>
  <c r="CZ39" i="38"/>
  <c r="CW39" i="38"/>
  <c r="CT39" i="38"/>
  <c r="CJ39" i="38"/>
  <c r="BP39" i="38"/>
  <c r="BO39" i="38"/>
  <c r="AL39" i="38"/>
  <c r="AH39" i="38"/>
  <c r="T39" i="38"/>
  <c r="G39" i="38"/>
  <c r="D39" i="38"/>
  <c r="FX38" i="38"/>
  <c r="FI38" i="38"/>
  <c r="EW38" i="38"/>
  <c r="FG38" i="38" s="1"/>
  <c r="DV38" i="38"/>
  <c r="CZ38" i="38"/>
  <c r="CW38" i="38"/>
  <c r="CT38" i="38"/>
  <c r="CJ38" i="38"/>
  <c r="BP38" i="38"/>
  <c r="BO38" i="38"/>
  <c r="AL38" i="38"/>
  <c r="AH38" i="38"/>
  <c r="T38" i="38"/>
  <c r="EP38" i="38" s="1"/>
  <c r="G38" i="38"/>
  <c r="D38" i="38"/>
  <c r="GI37" i="38"/>
  <c r="GI50" i="38" s="1"/>
  <c r="GD37" i="38"/>
  <c r="GD50" i="38" s="1"/>
  <c r="GE50" i="38" s="1"/>
  <c r="GC37" i="38"/>
  <c r="GB37" i="38"/>
  <c r="GA37" i="38"/>
  <c r="FZ37" i="38"/>
  <c r="FZ50" i="38" s="1"/>
  <c r="FY37" i="38"/>
  <c r="FY50" i="38" s="1"/>
  <c r="FW37" i="38"/>
  <c r="FW50" i="38" s="1"/>
  <c r="FX50" i="38" s="1"/>
  <c r="FM37" i="38"/>
  <c r="FL37" i="38"/>
  <c r="FK37" i="38"/>
  <c r="FJ37" i="38"/>
  <c r="FJ53" i="38" s="1"/>
  <c r="FH37" i="38"/>
  <c r="FH50" i="38" s="1"/>
  <c r="FF37" i="38"/>
  <c r="FF50" i="38" s="1"/>
  <c r="FE37" i="38"/>
  <c r="FE50" i="38" s="1"/>
  <c r="FD37" i="38"/>
  <c r="FC37" i="38"/>
  <c r="FA37" i="38"/>
  <c r="EZ37" i="38"/>
  <c r="EZ50" i="38" s="1"/>
  <c r="EY37" i="38"/>
  <c r="EY50" i="38" s="1"/>
  <c r="EX37" i="38"/>
  <c r="EX50" i="38" s="1"/>
  <c r="EV37" i="38"/>
  <c r="EU37" i="38"/>
  <c r="ET37" i="38"/>
  <c r="ES37" i="38"/>
  <c r="ER37" i="38"/>
  <c r="ER50" i="38" s="1"/>
  <c r="EQ37" i="38"/>
  <c r="EQ50" i="38" s="1"/>
  <c r="EO37" i="38"/>
  <c r="EO50" i="38" s="1"/>
  <c r="EN37" i="38"/>
  <c r="EN50" i="38" s="1"/>
  <c r="EM37" i="38"/>
  <c r="EJ37" i="38"/>
  <c r="EI37" i="38"/>
  <c r="EH37" i="38"/>
  <c r="EH50" i="38" s="1"/>
  <c r="FI50" i="38" s="1"/>
  <c r="EG37" i="38"/>
  <c r="EG50" i="38" s="1"/>
  <c r="EF37" i="38"/>
  <c r="EF50" i="38" s="1"/>
  <c r="ED37" i="38"/>
  <c r="ED50" i="38" s="1"/>
  <c r="EC37" i="38"/>
  <c r="EA37" i="38"/>
  <c r="DZ37" i="38"/>
  <c r="DW37" i="38"/>
  <c r="DV37" i="38"/>
  <c r="DU37" i="38"/>
  <c r="DU50" i="38" s="1"/>
  <c r="DT37" i="38"/>
  <c r="DT50" i="38" s="1"/>
  <c r="DS37" i="38"/>
  <c r="DS50" i="38" s="1"/>
  <c r="DR37" i="38"/>
  <c r="DR50" i="38" s="1"/>
  <c r="DQ37" i="38"/>
  <c r="DP37" i="38"/>
  <c r="DO37" i="38"/>
  <c r="DN37" i="38"/>
  <c r="DN50" i="38" s="1"/>
  <c r="DM37" i="38"/>
  <c r="DM50" i="38" s="1"/>
  <c r="DL37" i="38"/>
  <c r="DL50" i="38" s="1"/>
  <c r="DK37" i="38"/>
  <c r="DK50" i="38" s="1"/>
  <c r="DJ37" i="38"/>
  <c r="DI37" i="38"/>
  <c r="DH37" i="38"/>
  <c r="DG37" i="38"/>
  <c r="DF37" i="38"/>
  <c r="DF50" i="38" s="1"/>
  <c r="DE37" i="38"/>
  <c r="DE50" i="38" s="1"/>
  <c r="DD37" i="38"/>
  <c r="DD50" i="38" s="1"/>
  <c r="DC37" i="38"/>
  <c r="DC50" i="38" s="1"/>
  <c r="DB37" i="38"/>
  <c r="DB50" i="38" s="1"/>
  <c r="CZ50" i="38" s="1"/>
  <c r="DA37" i="38"/>
  <c r="CZ37" i="38" s="1"/>
  <c r="CY37" i="38"/>
  <c r="CX37" i="38"/>
  <c r="CX50" i="38" s="1"/>
  <c r="CW37" i="38"/>
  <c r="CV37" i="38"/>
  <c r="CV50" i="38" s="1"/>
  <c r="CU37" i="38"/>
  <c r="CU50" i="38" s="1"/>
  <c r="CS37" i="38"/>
  <c r="CR37" i="38"/>
  <c r="CQ37" i="38"/>
  <c r="CP37" i="38"/>
  <c r="CP50" i="38" s="1"/>
  <c r="CO37" i="38"/>
  <c r="CO50" i="38" s="1"/>
  <c r="CN37" i="38"/>
  <c r="CN50" i="38" s="1"/>
  <c r="CM37" i="38"/>
  <c r="CM50" i="38" s="1"/>
  <c r="CL37" i="38"/>
  <c r="CL50" i="38" s="1"/>
  <c r="CK37" i="38"/>
  <c r="CI37" i="38"/>
  <c r="CH37" i="38"/>
  <c r="CH50" i="38" s="1"/>
  <c r="CJ50" i="38" s="1"/>
  <c r="CG37" i="38"/>
  <c r="CG50" i="38" s="1"/>
  <c r="CF37" i="38"/>
  <c r="CF50" i="38" s="1"/>
  <c r="CE37" i="38"/>
  <c r="CE50" i="38" s="1"/>
  <c r="CD37" i="38"/>
  <c r="CC37" i="38"/>
  <c r="CB37" i="38"/>
  <c r="CA37" i="38"/>
  <c r="BZ37" i="38"/>
  <c r="BZ50" i="38" s="1"/>
  <c r="BY37" i="38"/>
  <c r="BY50" i="38" s="1"/>
  <c r="BX37" i="38"/>
  <c r="BX50" i="38" s="1"/>
  <c r="BW37" i="38"/>
  <c r="BW50" i="38" s="1"/>
  <c r="BU37" i="38"/>
  <c r="BU50" i="38" s="1"/>
  <c r="BP37" i="38"/>
  <c r="BN37" i="38"/>
  <c r="BO37" i="38" s="1"/>
  <c r="BM37" i="38"/>
  <c r="BM50" i="38" s="1"/>
  <c r="BL37" i="38"/>
  <c r="BL50" i="38" s="1"/>
  <c r="BK37" i="38"/>
  <c r="BK50" i="38" s="1"/>
  <c r="BJ37" i="38"/>
  <c r="BJ50" i="38" s="1"/>
  <c r="BI37" i="38"/>
  <c r="BH37" i="38"/>
  <c r="BG37" i="38"/>
  <c r="BF37" i="38"/>
  <c r="BE37" i="38"/>
  <c r="BE50" i="38" s="1"/>
  <c r="BD37" i="38"/>
  <c r="BD50" i="38" s="1"/>
  <c r="BC37" i="38"/>
  <c r="BC50" i="38" s="1"/>
  <c r="BB37" i="38"/>
  <c r="BB50" i="38" s="1"/>
  <c r="BA37" i="38"/>
  <c r="BA50" i="38" s="1"/>
  <c r="AZ37" i="38"/>
  <c r="AY37" i="38"/>
  <c r="AX37" i="38"/>
  <c r="AW37" i="38"/>
  <c r="AW50" i="38" s="1"/>
  <c r="AV37" i="38"/>
  <c r="AV50" i="38" s="1"/>
  <c r="AU37" i="38"/>
  <c r="AU50" i="38" s="1"/>
  <c r="AT37" i="38"/>
  <c r="AT50" i="38" s="1"/>
  <c r="AS37" i="38"/>
  <c r="AR37" i="38"/>
  <c r="AQ37" i="38"/>
  <c r="AP37" i="38"/>
  <c r="AO37" i="38"/>
  <c r="AO50" i="38" s="1"/>
  <c r="AN37" i="38"/>
  <c r="AN50" i="38" s="1"/>
  <c r="AM37" i="38"/>
  <c r="AM50" i="38" s="1"/>
  <c r="AL50" i="38" s="1"/>
  <c r="AK37" i="38"/>
  <c r="AK50" i="38" s="1"/>
  <c r="AJ37" i="38"/>
  <c r="AI37" i="38"/>
  <c r="AH37" i="38" s="1"/>
  <c r="AG37" i="38"/>
  <c r="AG50" i="38" s="1"/>
  <c r="AF37" i="38"/>
  <c r="AF50" i="38" s="1"/>
  <c r="AE37" i="38"/>
  <c r="AE50" i="38" s="1"/>
  <c r="AD37" i="38"/>
  <c r="AD50" i="38" s="1"/>
  <c r="AC37" i="38"/>
  <c r="AC50" i="38" s="1"/>
  <c r="AA37" i="38"/>
  <c r="Z37" i="38"/>
  <c r="Y37" i="38"/>
  <c r="U37" i="38"/>
  <c r="U50" i="38" s="1"/>
  <c r="T37" i="38"/>
  <c r="S37" i="38"/>
  <c r="S50" i="38" s="1"/>
  <c r="R37" i="38"/>
  <c r="R50" i="38" s="1"/>
  <c r="Q37" i="38"/>
  <c r="Q50" i="38" s="1"/>
  <c r="P37" i="38"/>
  <c r="O37" i="38"/>
  <c r="N37" i="38"/>
  <c r="M37" i="38"/>
  <c r="M50" i="38" s="1"/>
  <c r="L37" i="38"/>
  <c r="L50" i="38" s="1"/>
  <c r="K37" i="38"/>
  <c r="K50" i="38" s="1"/>
  <c r="J37" i="38"/>
  <c r="J50" i="38" s="1"/>
  <c r="I37" i="38"/>
  <c r="I50" i="38" s="1"/>
  <c r="H37" i="38"/>
  <c r="F37" i="38"/>
  <c r="E37" i="38"/>
  <c r="E50" i="38" s="1"/>
  <c r="D50" i="38" s="1"/>
  <c r="D37" i="38"/>
  <c r="C37" i="38"/>
  <c r="C50" i="38" s="1"/>
  <c r="GE36" i="38"/>
  <c r="FX36" i="38"/>
  <c r="FI36" i="38"/>
  <c r="EW36" i="38"/>
  <c r="FG36" i="38" s="1"/>
  <c r="DV36" i="38"/>
  <c r="CZ36" i="38"/>
  <c r="CW36" i="38"/>
  <c r="CT36" i="38"/>
  <c r="CJ36" i="38"/>
  <c r="BP36" i="38"/>
  <c r="BO36" i="38"/>
  <c r="AL36" i="38"/>
  <c r="AH36" i="38"/>
  <c r="T36" i="38"/>
  <c r="EP36" i="38" s="1"/>
  <c r="G36" i="38"/>
  <c r="D36" i="38"/>
  <c r="GE35" i="38"/>
  <c r="FX35" i="38"/>
  <c r="FI35" i="38"/>
  <c r="EW35" i="38"/>
  <c r="FG35" i="38" s="1"/>
  <c r="DV35" i="38"/>
  <c r="CZ35" i="38"/>
  <c r="CW35" i="38"/>
  <c r="CT35" i="38"/>
  <c r="CJ35" i="38"/>
  <c r="BP35" i="38"/>
  <c r="BO35" i="38"/>
  <c r="AL35" i="38"/>
  <c r="AH35" i="38"/>
  <c r="T35" i="38"/>
  <c r="EP35" i="38" s="1"/>
  <c r="G35" i="38"/>
  <c r="D35" i="38"/>
  <c r="GE34" i="38"/>
  <c r="FX34" i="38"/>
  <c r="FI34" i="38"/>
  <c r="FG34" i="38"/>
  <c r="EW34" i="38"/>
  <c r="EP34" i="38"/>
  <c r="DV34" i="38"/>
  <c r="CZ34" i="38"/>
  <c r="CW34" i="38"/>
  <c r="CT34" i="38"/>
  <c r="CJ34" i="38"/>
  <c r="BP34" i="38"/>
  <c r="BO34" i="38" s="1"/>
  <c r="AL34" i="38"/>
  <c r="AH34" i="38"/>
  <c r="T34" i="38"/>
  <c r="G34" i="38"/>
  <c r="D34" i="38"/>
  <c r="GE33" i="38"/>
  <c r="FX33" i="38"/>
  <c r="FI33" i="38"/>
  <c r="FG33" i="38"/>
  <c r="EW33" i="38"/>
  <c r="DV33" i="38"/>
  <c r="CZ33" i="38"/>
  <c r="CW33" i="38"/>
  <c r="CT33" i="38"/>
  <c r="CJ33" i="38"/>
  <c r="BP33" i="38"/>
  <c r="BO33" i="38" s="1"/>
  <c r="AL33" i="38"/>
  <c r="AH33" i="38"/>
  <c r="T33" i="38"/>
  <c r="EP33" i="38" s="1"/>
  <c r="G33" i="38"/>
  <c r="D33" i="38"/>
  <c r="GE32" i="38"/>
  <c r="FX32" i="38"/>
  <c r="FI32" i="38"/>
  <c r="EW32" i="38"/>
  <c r="FG32" i="38" s="1"/>
  <c r="DV32" i="38"/>
  <c r="CZ32" i="38"/>
  <c r="CW32" i="38"/>
  <c r="CT32" i="38"/>
  <c r="CJ32" i="38"/>
  <c r="BP32" i="38"/>
  <c r="BO32" i="38" s="1"/>
  <c r="AL32" i="38"/>
  <c r="AH32" i="38"/>
  <c r="T32" i="38"/>
  <c r="EP32" i="38" s="1"/>
  <c r="G32" i="38"/>
  <c r="D32" i="38"/>
  <c r="GE31" i="38"/>
  <c r="FX31" i="38"/>
  <c r="FI31" i="38"/>
  <c r="EW31" i="38"/>
  <c r="FG31" i="38" s="1"/>
  <c r="DV31" i="38"/>
  <c r="CZ31" i="38"/>
  <c r="CW31" i="38"/>
  <c r="CT31" i="38"/>
  <c r="CJ31" i="38"/>
  <c r="BP31" i="38"/>
  <c r="BO31" i="38"/>
  <c r="AL31" i="38"/>
  <c r="AH31" i="38"/>
  <c r="T31" i="38"/>
  <c r="EP31" i="38" s="1"/>
  <c r="G31" i="38"/>
  <c r="D31" i="38"/>
  <c r="GE30" i="38"/>
  <c r="FX30" i="38"/>
  <c r="FI30" i="38"/>
  <c r="EW30" i="38"/>
  <c r="FG30" i="38" s="1"/>
  <c r="EP30" i="38"/>
  <c r="DV30" i="38"/>
  <c r="CZ30" i="38"/>
  <c r="CW30" i="38"/>
  <c r="CT30" i="38"/>
  <c r="CJ30" i="38"/>
  <c r="BP30" i="38"/>
  <c r="BO30" i="38"/>
  <c r="AL30" i="38"/>
  <c r="AH30" i="38"/>
  <c r="T30" i="38"/>
  <c r="G30" i="38"/>
  <c r="D30" i="38"/>
  <c r="GE29" i="38"/>
  <c r="FX29" i="38"/>
  <c r="FI29" i="38"/>
  <c r="FG29" i="38"/>
  <c r="EW29" i="38"/>
  <c r="DV29" i="38"/>
  <c r="CZ29" i="38"/>
  <c r="CW29" i="38"/>
  <c r="CT29" i="38"/>
  <c r="CJ29" i="38"/>
  <c r="BP29" i="38"/>
  <c r="BO29" i="38" s="1"/>
  <c r="AL29" i="38"/>
  <c r="AH29" i="38"/>
  <c r="T29" i="38"/>
  <c r="EP29" i="38" s="1"/>
  <c r="G29" i="38"/>
  <c r="D29" i="38"/>
  <c r="GE28" i="38"/>
  <c r="FX28" i="38"/>
  <c r="FI28" i="38"/>
  <c r="EW28" i="38"/>
  <c r="FG28" i="38" s="1"/>
  <c r="DV28" i="38"/>
  <c r="CZ28" i="38"/>
  <c r="CW28" i="38"/>
  <c r="CT28" i="38"/>
  <c r="CJ28" i="38"/>
  <c r="BP28" i="38"/>
  <c r="BO28" i="38" s="1"/>
  <c r="AL28" i="38"/>
  <c r="AH28" i="38"/>
  <c r="T28" i="38"/>
  <c r="EP28" i="38" s="1"/>
  <c r="G28" i="38"/>
  <c r="D28" i="38"/>
  <c r="GE27" i="38"/>
  <c r="FX27" i="38"/>
  <c r="FI27" i="38"/>
  <c r="EW27" i="38"/>
  <c r="FG27" i="38" s="1"/>
  <c r="EP27" i="38"/>
  <c r="DV27" i="38"/>
  <c r="CZ27" i="38"/>
  <c r="CW27" i="38"/>
  <c r="CT27" i="38"/>
  <c r="CJ27" i="38"/>
  <c r="BP27" i="38"/>
  <c r="BO27" i="38"/>
  <c r="AL27" i="38"/>
  <c r="AH27" i="38"/>
  <c r="T27" i="38"/>
  <c r="G27" i="38"/>
  <c r="D27" i="38"/>
  <c r="GE26" i="38"/>
  <c r="FX26" i="38"/>
  <c r="FI26" i="38"/>
  <c r="FG26" i="38"/>
  <c r="EW26" i="38"/>
  <c r="DV26" i="38"/>
  <c r="CZ26" i="38"/>
  <c r="CW26" i="38"/>
  <c r="CT26" i="38"/>
  <c r="CJ26" i="38"/>
  <c r="BP26" i="38"/>
  <c r="AL26" i="38"/>
  <c r="AH26" i="38"/>
  <c r="T26" i="38"/>
  <c r="G26" i="38"/>
  <c r="D26" i="38"/>
  <c r="GE25" i="38"/>
  <c r="FX25" i="38"/>
  <c r="FI25" i="38"/>
  <c r="FG25" i="38"/>
  <c r="EW25" i="38"/>
  <c r="DV25" i="38"/>
  <c r="CZ25" i="38"/>
  <c r="CW25" i="38"/>
  <c r="CT25" i="38"/>
  <c r="CJ25" i="38"/>
  <c r="BP25" i="38"/>
  <c r="BO25" i="38" s="1"/>
  <c r="AL25" i="38"/>
  <c r="AH25" i="38"/>
  <c r="T25" i="38"/>
  <c r="G25" i="38"/>
  <c r="D25" i="38"/>
  <c r="GE24" i="38"/>
  <c r="FX24" i="38"/>
  <c r="FI24" i="38"/>
  <c r="EW24" i="38"/>
  <c r="FG24" i="38" s="1"/>
  <c r="DV24" i="38"/>
  <c r="CZ24" i="38"/>
  <c r="CW24" i="38"/>
  <c r="CT24" i="38"/>
  <c r="CJ24" i="38"/>
  <c r="BP24" i="38"/>
  <c r="BO24" i="38"/>
  <c r="AL24" i="38"/>
  <c r="AH24" i="38"/>
  <c r="T24" i="38"/>
  <c r="EP24" i="38" s="1"/>
  <c r="G24" i="38"/>
  <c r="D24" i="38"/>
  <c r="GE23" i="38"/>
  <c r="FX23" i="38"/>
  <c r="FI23" i="38"/>
  <c r="EW23" i="38"/>
  <c r="FG23" i="38" s="1"/>
  <c r="DV23" i="38"/>
  <c r="CZ23" i="38"/>
  <c r="CW23" i="38"/>
  <c r="CT23" i="38"/>
  <c r="CJ23" i="38"/>
  <c r="BP23" i="38"/>
  <c r="BO23" i="38"/>
  <c r="AL23" i="38"/>
  <c r="AH23" i="38"/>
  <c r="T23" i="38"/>
  <c r="EP23" i="38" s="1"/>
  <c r="G23" i="38"/>
  <c r="D23" i="38"/>
  <c r="GE22" i="38"/>
  <c r="FX22" i="38"/>
  <c r="FI22" i="38"/>
  <c r="EW22" i="38"/>
  <c r="FG22" i="38" s="1"/>
  <c r="EP22" i="38"/>
  <c r="DV22" i="38"/>
  <c r="CZ22" i="38"/>
  <c r="CW22" i="38"/>
  <c r="CT22" i="38"/>
  <c r="CJ22" i="38"/>
  <c r="BP22" i="38"/>
  <c r="BO22" i="38"/>
  <c r="AL22" i="38"/>
  <c r="AH22" i="38"/>
  <c r="T22" i="38"/>
  <c r="G22" i="38"/>
  <c r="D22" i="38"/>
  <c r="GE21" i="38"/>
  <c r="FX21" i="38"/>
  <c r="FI21" i="38"/>
  <c r="FG21" i="38"/>
  <c r="EW21" i="38"/>
  <c r="DV21" i="38"/>
  <c r="CZ21" i="38"/>
  <c r="CW21" i="38"/>
  <c r="CT21" i="38"/>
  <c r="CJ21" i="38"/>
  <c r="BP21" i="38"/>
  <c r="BO21" i="38" s="1"/>
  <c r="AL21" i="38"/>
  <c r="AH21" i="38"/>
  <c r="T21" i="38"/>
  <c r="EP21" i="38" s="1"/>
  <c r="G21" i="38"/>
  <c r="D21" i="38"/>
  <c r="GE20" i="38"/>
  <c r="FX20" i="38"/>
  <c r="FI20" i="38"/>
  <c r="FG20" i="38"/>
  <c r="EW20" i="38"/>
  <c r="DV20" i="38"/>
  <c r="CZ20" i="38"/>
  <c r="CW20" i="38"/>
  <c r="CT20" i="38"/>
  <c r="CJ20" i="38"/>
  <c r="BP20" i="38"/>
  <c r="BO20" i="38" s="1"/>
  <c r="AL20" i="38"/>
  <c r="AH20" i="38"/>
  <c r="T20" i="38"/>
  <c r="EP20" i="38" s="1"/>
  <c r="G20" i="38"/>
  <c r="D20" i="38"/>
  <c r="GE19" i="38"/>
  <c r="FX19" i="38"/>
  <c r="FI19" i="38"/>
  <c r="EW19" i="38"/>
  <c r="FG19" i="38" s="1"/>
  <c r="EP19" i="38"/>
  <c r="DV19" i="38"/>
  <c r="CZ19" i="38"/>
  <c r="CW19" i="38"/>
  <c r="CT19" i="38"/>
  <c r="CJ19" i="38"/>
  <c r="BP19" i="38"/>
  <c r="BO19" i="38"/>
  <c r="AL19" i="38"/>
  <c r="AH19" i="38"/>
  <c r="T19" i="38"/>
  <c r="G19" i="38"/>
  <c r="D19" i="38"/>
  <c r="GE18" i="38"/>
  <c r="FX18" i="38"/>
  <c r="FI18" i="38"/>
  <c r="EW18" i="38"/>
  <c r="FG18" i="38" s="1"/>
  <c r="DV18" i="38"/>
  <c r="CZ18" i="38"/>
  <c r="CW18" i="38"/>
  <c r="CT18" i="38"/>
  <c r="CJ18" i="38"/>
  <c r="BP18" i="38"/>
  <c r="BO18" i="38"/>
  <c r="AL18" i="38"/>
  <c r="AH18" i="38"/>
  <c r="T18" i="38"/>
  <c r="EP18" i="38" s="1"/>
  <c r="G18" i="38"/>
  <c r="D18" i="38"/>
  <c r="GE17" i="38"/>
  <c r="FX17" i="38"/>
  <c r="FI17" i="38"/>
  <c r="EW17" i="38"/>
  <c r="FG17" i="38" s="1"/>
  <c r="DV17" i="38"/>
  <c r="CZ17" i="38"/>
  <c r="CW17" i="38"/>
  <c r="CT17" i="38"/>
  <c r="CJ17" i="38"/>
  <c r="BP17" i="38"/>
  <c r="BO17" i="38"/>
  <c r="AL17" i="38"/>
  <c r="AH17" i="38"/>
  <c r="T17" i="38"/>
  <c r="EP17" i="38" s="1"/>
  <c r="G17" i="38"/>
  <c r="D17" i="38"/>
  <c r="GE16" i="38"/>
  <c r="FX16" i="38"/>
  <c r="FI16" i="38"/>
  <c r="FG16" i="38"/>
  <c r="EW16" i="38"/>
  <c r="DV16" i="38"/>
  <c r="CZ16" i="38"/>
  <c r="CW16" i="38"/>
  <c r="CT16" i="38"/>
  <c r="CJ16" i="38"/>
  <c r="BP16" i="38"/>
  <c r="BO16" i="38" s="1"/>
  <c r="AL16" i="38"/>
  <c r="AH16" i="38"/>
  <c r="T16" i="38"/>
  <c r="EP16" i="38" s="1"/>
  <c r="G16" i="38"/>
  <c r="D16" i="38"/>
  <c r="GE15" i="38"/>
  <c r="FX15" i="38"/>
  <c r="FI15" i="38"/>
  <c r="EW15" i="38"/>
  <c r="FG15" i="38" s="1"/>
  <c r="EP15" i="38"/>
  <c r="DV15" i="38"/>
  <c r="CZ15" i="38"/>
  <c r="CW15" i="38"/>
  <c r="CT15" i="38"/>
  <c r="CJ15" i="38"/>
  <c r="BP15" i="38"/>
  <c r="BO15" i="38"/>
  <c r="AL15" i="38"/>
  <c r="AH15" i="38"/>
  <c r="T15" i="38"/>
  <c r="G15" i="38"/>
  <c r="D15" i="38"/>
  <c r="GE14" i="38"/>
  <c r="FX14" i="38"/>
  <c r="FI14" i="38"/>
  <c r="FG14" i="38"/>
  <c r="EW14" i="38"/>
  <c r="DV14" i="38"/>
  <c r="CZ14" i="38"/>
  <c r="CW14" i="38"/>
  <c r="CT14" i="38"/>
  <c r="CJ14" i="38"/>
  <c r="BP14" i="38"/>
  <c r="BO14" i="38" s="1"/>
  <c r="AL14" i="38"/>
  <c r="AH14" i="38"/>
  <c r="T14" i="38"/>
  <c r="G14" i="38"/>
  <c r="D14" i="38"/>
  <c r="GE13" i="38"/>
  <c r="FX13" i="38"/>
  <c r="FI13" i="38"/>
  <c r="EW13" i="38"/>
  <c r="FG13" i="38" s="1"/>
  <c r="DV13" i="38"/>
  <c r="CZ13" i="38"/>
  <c r="CW13" i="38"/>
  <c r="CT13" i="38"/>
  <c r="CJ13" i="38"/>
  <c r="BP13" i="38"/>
  <c r="BO13" i="38"/>
  <c r="AL13" i="38"/>
  <c r="AH13" i="38"/>
  <c r="T13" i="38"/>
  <c r="EP13" i="38" s="1"/>
  <c r="G13" i="38"/>
  <c r="D13" i="38"/>
  <c r="GE12" i="38"/>
  <c r="FX12" i="38"/>
  <c r="FI12" i="38"/>
  <c r="FG12" i="38"/>
  <c r="EW12" i="38"/>
  <c r="DV12" i="38"/>
  <c r="CZ12" i="38"/>
  <c r="CW12" i="38"/>
  <c r="CT12" i="38"/>
  <c r="CJ12" i="38"/>
  <c r="BP12" i="38"/>
  <c r="BO12" i="38" s="1"/>
  <c r="AL12" i="38"/>
  <c r="AH12" i="38"/>
  <c r="T12" i="38"/>
  <c r="EP12" i="38" s="1"/>
  <c r="G12" i="38"/>
  <c r="D12" i="38"/>
  <c r="GE11" i="38"/>
  <c r="FX11" i="38"/>
  <c r="FI11" i="38"/>
  <c r="EW11" i="38"/>
  <c r="FG11" i="38" s="1"/>
  <c r="EP11" i="38"/>
  <c r="DV11" i="38"/>
  <c r="CZ11" i="38"/>
  <c r="CW11" i="38"/>
  <c r="CT11" i="38"/>
  <c r="CJ11" i="38"/>
  <c r="BP11" i="38"/>
  <c r="BO11" i="38"/>
  <c r="AL11" i="38"/>
  <c r="AH11" i="38"/>
  <c r="T11" i="38"/>
  <c r="G11" i="38"/>
  <c r="D11" i="38"/>
  <c r="GE10" i="38"/>
  <c r="FX10" i="38"/>
  <c r="FI10" i="38"/>
  <c r="FG10" i="38"/>
  <c r="EW10" i="38"/>
  <c r="DV10" i="38"/>
  <c r="CZ10" i="38"/>
  <c r="CW10" i="38"/>
  <c r="CT10" i="38"/>
  <c r="CJ10" i="38"/>
  <c r="BP10" i="38"/>
  <c r="BO10" i="38"/>
  <c r="AL10" i="38"/>
  <c r="AH10" i="38"/>
  <c r="T10" i="38"/>
  <c r="G10" i="38"/>
  <c r="D10" i="38"/>
  <c r="GE9" i="38"/>
  <c r="FX9" i="38"/>
  <c r="FI9" i="38"/>
  <c r="EW9" i="38"/>
  <c r="FG9" i="38" s="1"/>
  <c r="DV9" i="38"/>
  <c r="CZ9" i="38"/>
  <c r="CW9" i="38"/>
  <c r="CT9" i="38"/>
  <c r="CJ9" i="38"/>
  <c r="BP9" i="38"/>
  <c r="BO9" i="38"/>
  <c r="AL9" i="38"/>
  <c r="AH9" i="38"/>
  <c r="T9" i="38"/>
  <c r="EP9" i="38" s="1"/>
  <c r="G9" i="38"/>
  <c r="D9" i="38"/>
  <c r="GE8" i="38"/>
  <c r="FX8" i="38"/>
  <c r="FI8" i="38"/>
  <c r="FG8" i="38"/>
  <c r="EW8" i="38"/>
  <c r="DV8" i="38"/>
  <c r="CZ8" i="38"/>
  <c r="CW8" i="38"/>
  <c r="CT8" i="38"/>
  <c r="CJ8" i="38"/>
  <c r="BP8" i="38"/>
  <c r="BO8" i="38" s="1"/>
  <c r="AL8" i="38"/>
  <c r="AH8" i="38"/>
  <c r="T8" i="38"/>
  <c r="EP8" i="38" s="1"/>
  <c r="G8" i="38"/>
  <c r="D8" i="38"/>
  <c r="GE7" i="38"/>
  <c r="FX7" i="38"/>
  <c r="FI7" i="38"/>
  <c r="EW7" i="38"/>
  <c r="FG7" i="38" s="1"/>
  <c r="EP7" i="38"/>
  <c r="DV7" i="38"/>
  <c r="CZ7" i="38"/>
  <c r="CW7" i="38"/>
  <c r="CT7" i="38"/>
  <c r="CJ7" i="38"/>
  <c r="BP7" i="38"/>
  <c r="BO7" i="38"/>
  <c r="AL7" i="38"/>
  <c r="AH7" i="38"/>
  <c r="T7" i="38"/>
  <c r="G7" i="38"/>
  <c r="D7" i="38"/>
  <c r="GE6" i="38"/>
  <c r="FX6" i="38"/>
  <c r="FI6" i="38"/>
  <c r="FG6" i="38"/>
  <c r="EW6" i="38"/>
  <c r="DV6" i="38"/>
  <c r="CZ6" i="38"/>
  <c r="CW6" i="38"/>
  <c r="CT6" i="38"/>
  <c r="CJ6" i="38"/>
  <c r="BP6" i="38"/>
  <c r="BO6" i="38"/>
  <c r="AL6" i="38"/>
  <c r="AH6" i="38"/>
  <c r="T6" i="38"/>
  <c r="EP6" i="38" s="1"/>
  <c r="G6" i="38"/>
  <c r="D6" i="38"/>
  <c r="FJ52" i="37"/>
  <c r="GI50" i="37"/>
  <c r="FH50" i="37"/>
  <c r="EX50" i="37"/>
  <c r="EQ50" i="37"/>
  <c r="EH50" i="37"/>
  <c r="EG50" i="37"/>
  <c r="EF50" i="37"/>
  <c r="DT50" i="37"/>
  <c r="DN50" i="37"/>
  <c r="DM50" i="37"/>
  <c r="DL50" i="37"/>
  <c r="DF50" i="37"/>
  <c r="DD50" i="37"/>
  <c r="CX50" i="37"/>
  <c r="CV50" i="37"/>
  <c r="CP50" i="37"/>
  <c r="CO50" i="37"/>
  <c r="CN50" i="37"/>
  <c r="CG50" i="37"/>
  <c r="CF50" i="37"/>
  <c r="BY50" i="37"/>
  <c r="BX50" i="37"/>
  <c r="BP50" i="37"/>
  <c r="BM50" i="37"/>
  <c r="BK50" i="37"/>
  <c r="BC50" i="37"/>
  <c r="AW50" i="37"/>
  <c r="AU50" i="37"/>
  <c r="AM50" i="37"/>
  <c r="AF50" i="37"/>
  <c r="AE50" i="37"/>
  <c r="S50" i="37"/>
  <c r="K50" i="37"/>
  <c r="C50" i="37"/>
  <c r="GI49" i="37"/>
  <c r="GD49" i="37"/>
  <c r="GE49" i="37" s="1"/>
  <c r="GC49" i="37"/>
  <c r="GB49" i="37"/>
  <c r="GA49" i="37"/>
  <c r="FZ49" i="37"/>
  <c r="FZ50" i="37" s="1"/>
  <c r="FY49" i="37"/>
  <c r="FY50" i="37" s="1"/>
  <c r="FW49" i="37"/>
  <c r="FX49" i="37" s="1"/>
  <c r="FM49" i="37"/>
  <c r="FL49" i="37"/>
  <c r="FK49" i="37"/>
  <c r="FJ49" i="37"/>
  <c r="FI49" i="37"/>
  <c r="FH49" i="37"/>
  <c r="FF49" i="37"/>
  <c r="FE49" i="37"/>
  <c r="FD49" i="37"/>
  <c r="FC49" i="37"/>
  <c r="FA49" i="37"/>
  <c r="EZ49" i="37"/>
  <c r="EZ50" i="37" s="1"/>
  <c r="EY49" i="37"/>
  <c r="EY50" i="37" s="1"/>
  <c r="EX49" i="37"/>
  <c r="EW49" i="37" s="1"/>
  <c r="EV49" i="37"/>
  <c r="EU49" i="37"/>
  <c r="ET49" i="37"/>
  <c r="ES49" i="37"/>
  <c r="ER49" i="37"/>
  <c r="ER50" i="37" s="1"/>
  <c r="EQ49" i="37"/>
  <c r="EO49" i="37"/>
  <c r="EN49" i="37"/>
  <c r="EM49" i="37"/>
  <c r="EJ49" i="37"/>
  <c r="EI49" i="37"/>
  <c r="EH49" i="37"/>
  <c r="EG49" i="37"/>
  <c r="EF49" i="37"/>
  <c r="ED49" i="37"/>
  <c r="EC49" i="37"/>
  <c r="EA49" i="37"/>
  <c r="DZ49" i="37"/>
  <c r="DW49" i="37"/>
  <c r="DV49" i="37" s="1"/>
  <c r="DU49" i="37"/>
  <c r="DU50" i="37" s="1"/>
  <c r="DT49" i="37"/>
  <c r="DS49" i="37"/>
  <c r="DR49" i="37"/>
  <c r="DQ49" i="37"/>
  <c r="DP49" i="37"/>
  <c r="DO49" i="37"/>
  <c r="DN49" i="37"/>
  <c r="DM49" i="37"/>
  <c r="DL49" i="37"/>
  <c r="DK49" i="37"/>
  <c r="DJ49" i="37"/>
  <c r="DI49" i="37"/>
  <c r="DH49" i="37"/>
  <c r="DG49" i="37"/>
  <c r="DF49" i="37"/>
  <c r="DE49" i="37"/>
  <c r="DE50" i="37" s="1"/>
  <c r="DD49" i="37"/>
  <c r="DC49" i="37"/>
  <c r="DB49" i="37"/>
  <c r="DA49" i="37"/>
  <c r="CZ49" i="37"/>
  <c r="CY49" i="37"/>
  <c r="CW49" i="37" s="1"/>
  <c r="CX49" i="37"/>
  <c r="CV49" i="37"/>
  <c r="CU49" i="37"/>
  <c r="CT49" i="37"/>
  <c r="CS49" i="37"/>
  <c r="CR49" i="37"/>
  <c r="CQ49" i="37"/>
  <c r="CP49" i="37"/>
  <c r="CO49" i="37"/>
  <c r="CN49" i="37"/>
  <c r="CM49" i="37"/>
  <c r="CL49" i="37"/>
  <c r="CK49" i="37"/>
  <c r="CI49" i="37"/>
  <c r="CH49" i="37"/>
  <c r="CG49" i="37"/>
  <c r="CF49" i="37"/>
  <c r="CE49" i="37"/>
  <c r="CD49" i="37"/>
  <c r="CC49" i="37"/>
  <c r="CB49" i="37"/>
  <c r="CA49" i="37"/>
  <c r="BZ49" i="37"/>
  <c r="BZ50" i="37" s="1"/>
  <c r="BY49" i="37"/>
  <c r="BX49" i="37"/>
  <c r="BW49" i="37"/>
  <c r="BU49" i="37"/>
  <c r="BP49" i="37"/>
  <c r="BN49" i="37"/>
  <c r="BO49" i="37" s="1"/>
  <c r="BM49" i="37"/>
  <c r="BL49" i="37"/>
  <c r="BL50" i="37" s="1"/>
  <c r="BK49" i="37"/>
  <c r="BJ49" i="37"/>
  <c r="BI49" i="37"/>
  <c r="BH49" i="37"/>
  <c r="BG49" i="37"/>
  <c r="BF49" i="37"/>
  <c r="BE49" i="37"/>
  <c r="BE50" i="37" s="1"/>
  <c r="BD49" i="37"/>
  <c r="BD50" i="37" s="1"/>
  <c r="BC49" i="37"/>
  <c r="BB49" i="37"/>
  <c r="BA49" i="37"/>
  <c r="AZ49" i="37"/>
  <c r="AY49" i="37"/>
  <c r="AX49" i="37"/>
  <c r="AW49" i="37"/>
  <c r="AV49" i="37"/>
  <c r="AV50" i="37" s="1"/>
  <c r="AU49" i="37"/>
  <c r="AT49" i="37"/>
  <c r="AS49" i="37"/>
  <c r="AR49" i="37"/>
  <c r="AQ49" i="37"/>
  <c r="AP49" i="37"/>
  <c r="AO49" i="37"/>
  <c r="AO50" i="37" s="1"/>
  <c r="AN49" i="37"/>
  <c r="AN50" i="37" s="1"/>
  <c r="AM49" i="37"/>
  <c r="AK49" i="37"/>
  <c r="AJ49" i="37"/>
  <c r="AI49" i="37"/>
  <c r="AH49" i="37"/>
  <c r="AG49" i="37"/>
  <c r="AG50" i="37" s="1"/>
  <c r="AF49" i="37"/>
  <c r="AE49" i="37"/>
  <c r="AD49" i="37"/>
  <c r="AC49" i="37"/>
  <c r="AA49" i="37"/>
  <c r="Z49" i="37"/>
  <c r="Y49" i="37"/>
  <c r="T49" i="37" s="1"/>
  <c r="U49" i="37"/>
  <c r="U50" i="37" s="1"/>
  <c r="S49" i="37"/>
  <c r="R49" i="37"/>
  <c r="Q49" i="37"/>
  <c r="P49" i="37"/>
  <c r="O49" i="37"/>
  <c r="N49" i="37"/>
  <c r="M49" i="37"/>
  <c r="M50" i="37" s="1"/>
  <c r="L49" i="37"/>
  <c r="L50" i="37" s="1"/>
  <c r="K49" i="37"/>
  <c r="J49" i="37"/>
  <c r="I49" i="37"/>
  <c r="H49" i="37"/>
  <c r="G49" i="37"/>
  <c r="F49" i="37"/>
  <c r="D49" i="37" s="1"/>
  <c r="E49" i="37"/>
  <c r="E50" i="37" s="1"/>
  <c r="C49" i="37"/>
  <c r="GE48" i="37"/>
  <c r="FX48" i="37"/>
  <c r="FI48" i="37"/>
  <c r="EW48" i="37"/>
  <c r="FG48" i="37" s="1"/>
  <c r="EP48" i="37"/>
  <c r="DV48" i="37"/>
  <c r="CZ48" i="37"/>
  <c r="CW48" i="37"/>
  <c r="CT48" i="37"/>
  <c r="CJ48" i="37"/>
  <c r="BP48" i="37"/>
  <c r="BO48" i="37"/>
  <c r="AL48" i="37"/>
  <c r="AH48" i="37"/>
  <c r="T48" i="37"/>
  <c r="G48" i="37"/>
  <c r="D48" i="37"/>
  <c r="FX47" i="37"/>
  <c r="FI47" i="37"/>
  <c r="EW47" i="37"/>
  <c r="FG47" i="37" s="1"/>
  <c r="EP47" i="37"/>
  <c r="DV47" i="37"/>
  <c r="CZ47" i="37"/>
  <c r="CW47" i="37"/>
  <c r="CT47" i="37"/>
  <c r="CJ47" i="37"/>
  <c r="BP47" i="37"/>
  <c r="BO47" i="37"/>
  <c r="AL47" i="37"/>
  <c r="AH47" i="37"/>
  <c r="T47" i="37"/>
  <c r="G47" i="37"/>
  <c r="D47" i="37"/>
  <c r="GE46" i="37"/>
  <c r="FX46" i="37"/>
  <c r="FI46" i="37"/>
  <c r="FG46" i="37"/>
  <c r="EW46" i="37"/>
  <c r="DV46" i="37"/>
  <c r="CZ46" i="37"/>
  <c r="CW46" i="37"/>
  <c r="CT46" i="37"/>
  <c r="CJ46" i="37"/>
  <c r="BP46" i="37"/>
  <c r="BO46" i="37" s="1"/>
  <c r="AL46" i="37"/>
  <c r="AH46" i="37"/>
  <c r="T46" i="37"/>
  <c r="EP46" i="37" s="1"/>
  <c r="G46" i="37"/>
  <c r="D46" i="37"/>
  <c r="GE45" i="37"/>
  <c r="FX45" i="37"/>
  <c r="FI45" i="37"/>
  <c r="EW45" i="37"/>
  <c r="FG45" i="37" s="1"/>
  <c r="DV45" i="37"/>
  <c r="CZ45" i="37"/>
  <c r="CW45" i="37"/>
  <c r="CT45" i="37"/>
  <c r="CJ45" i="37"/>
  <c r="BP45" i="37"/>
  <c r="BO45" i="37"/>
  <c r="AL45" i="37"/>
  <c r="AH45" i="37"/>
  <c r="T45" i="37"/>
  <c r="EP45" i="37" s="1"/>
  <c r="G45" i="37"/>
  <c r="D45" i="37"/>
  <c r="FX44" i="37"/>
  <c r="FI44" i="37"/>
  <c r="FG44" i="37"/>
  <c r="EW44" i="37"/>
  <c r="DV44" i="37"/>
  <c r="CZ44" i="37"/>
  <c r="CW44" i="37"/>
  <c r="CT44" i="37"/>
  <c r="CJ44" i="37"/>
  <c r="BP44" i="37"/>
  <c r="BO44" i="37" s="1"/>
  <c r="AL44" i="37"/>
  <c r="AH44" i="37"/>
  <c r="T44" i="37"/>
  <c r="EP44" i="37" s="1"/>
  <c r="G44" i="37"/>
  <c r="D44" i="37"/>
  <c r="GE43" i="37"/>
  <c r="FX43" i="37"/>
  <c r="FI43" i="37"/>
  <c r="FG43" i="37"/>
  <c r="EW43" i="37"/>
  <c r="DV43" i="37"/>
  <c r="CZ43" i="37"/>
  <c r="CW43" i="37"/>
  <c r="CT43" i="37"/>
  <c r="CJ43" i="37"/>
  <c r="BP43" i="37"/>
  <c r="BO43" i="37" s="1"/>
  <c r="AL43" i="37"/>
  <c r="AH43" i="37"/>
  <c r="T43" i="37"/>
  <c r="G43" i="37"/>
  <c r="D43" i="37"/>
  <c r="GE42" i="37"/>
  <c r="FX42" i="37"/>
  <c r="FI42" i="37"/>
  <c r="FG42" i="37"/>
  <c r="EW42" i="37"/>
  <c r="DV42" i="37"/>
  <c r="CZ42" i="37"/>
  <c r="CW42" i="37"/>
  <c r="CT42" i="37"/>
  <c r="CJ42" i="37"/>
  <c r="BP42" i="37"/>
  <c r="BO42" i="37"/>
  <c r="AL42" i="37"/>
  <c r="AH42" i="37"/>
  <c r="T42" i="37"/>
  <c r="G42" i="37"/>
  <c r="D42" i="37"/>
  <c r="FX41" i="37"/>
  <c r="FI41" i="37"/>
  <c r="FG41" i="37"/>
  <c r="EW41" i="37"/>
  <c r="DV41" i="37"/>
  <c r="CZ41" i="37"/>
  <c r="CW41" i="37"/>
  <c r="CT41" i="37"/>
  <c r="CJ41" i="37"/>
  <c r="BP41" i="37"/>
  <c r="BO41" i="37" s="1"/>
  <c r="AL41" i="37"/>
  <c r="AH41" i="37"/>
  <c r="T41" i="37"/>
  <c r="G41" i="37"/>
  <c r="D41" i="37"/>
  <c r="GE40" i="37"/>
  <c r="FX40" i="37"/>
  <c r="FI40" i="37"/>
  <c r="EW40" i="37"/>
  <c r="FG40" i="37" s="1"/>
  <c r="DV40" i="37"/>
  <c r="CZ40" i="37"/>
  <c r="CW40" i="37"/>
  <c r="CT40" i="37"/>
  <c r="CJ40" i="37"/>
  <c r="BP40" i="37"/>
  <c r="BO40" i="37"/>
  <c r="AL40" i="37"/>
  <c r="AH40" i="37"/>
  <c r="T40" i="37"/>
  <c r="EP40" i="37" s="1"/>
  <c r="G40" i="37"/>
  <c r="D40" i="37"/>
  <c r="FX39" i="37"/>
  <c r="FI39" i="37"/>
  <c r="FG39" i="37"/>
  <c r="EW39" i="37"/>
  <c r="DV39" i="37"/>
  <c r="CZ39" i="37"/>
  <c r="CW39" i="37"/>
  <c r="CT39" i="37"/>
  <c r="CJ39" i="37"/>
  <c r="BP39" i="37"/>
  <c r="BO39" i="37" s="1"/>
  <c r="AL39" i="37"/>
  <c r="AH39" i="37"/>
  <c r="T39" i="37"/>
  <c r="EP39" i="37" s="1"/>
  <c r="G39" i="37"/>
  <c r="D39" i="37"/>
  <c r="FX38" i="37"/>
  <c r="FI38" i="37"/>
  <c r="EW38" i="37"/>
  <c r="FG38" i="37" s="1"/>
  <c r="EP38" i="37"/>
  <c r="DV38" i="37"/>
  <c r="CZ38" i="37"/>
  <c r="CW38" i="37"/>
  <c r="CT38" i="37"/>
  <c r="CJ38" i="37"/>
  <c r="BP38" i="37"/>
  <c r="BO38" i="37"/>
  <c r="AL38" i="37"/>
  <c r="AH38" i="37"/>
  <c r="T38" i="37"/>
  <c r="G38" i="37"/>
  <c r="D38" i="37"/>
  <c r="GI37" i="37"/>
  <c r="GD37" i="37"/>
  <c r="GC37" i="37"/>
  <c r="GC50" i="37" s="1"/>
  <c r="GB37" i="37"/>
  <c r="GB50" i="37" s="1"/>
  <c r="GA37" i="37"/>
  <c r="FZ37" i="37"/>
  <c r="FY37" i="37"/>
  <c r="FW37" i="37"/>
  <c r="FW50" i="37" s="1"/>
  <c r="FM37" i="37"/>
  <c r="FM50" i="37" s="1"/>
  <c r="FL37" i="37"/>
  <c r="FL50" i="37" s="1"/>
  <c r="FK37" i="37"/>
  <c r="FK50" i="37" s="1"/>
  <c r="FJ37" i="37"/>
  <c r="FH37" i="37"/>
  <c r="FF37" i="37"/>
  <c r="FF50" i="37" s="1"/>
  <c r="FE37" i="37"/>
  <c r="FE50" i="37" s="1"/>
  <c r="FD37" i="37"/>
  <c r="FD50" i="37" s="1"/>
  <c r="FC37" i="37"/>
  <c r="FC50" i="37" s="1"/>
  <c r="FA37" i="37"/>
  <c r="FA50" i="37" s="1"/>
  <c r="EZ37" i="37"/>
  <c r="EY37" i="37"/>
  <c r="EX37" i="37"/>
  <c r="EV37" i="37"/>
  <c r="EV50" i="37" s="1"/>
  <c r="EU37" i="37"/>
  <c r="EU50" i="37" s="1"/>
  <c r="ET37" i="37"/>
  <c r="ET50" i="37" s="1"/>
  <c r="ES37" i="37"/>
  <c r="ER37" i="37"/>
  <c r="EQ37" i="37"/>
  <c r="EO37" i="37"/>
  <c r="EO50" i="37" s="1"/>
  <c r="EN37" i="37"/>
  <c r="EN50" i="37" s="1"/>
  <c r="EM37" i="37"/>
  <c r="EM50" i="37" s="1"/>
  <c r="EJ37" i="37"/>
  <c r="EJ50" i="37" s="1"/>
  <c r="EI37" i="37"/>
  <c r="EH37" i="37"/>
  <c r="EG37" i="37"/>
  <c r="EF37" i="37"/>
  <c r="ED37" i="37"/>
  <c r="ED50" i="37" s="1"/>
  <c r="EC37" i="37"/>
  <c r="EC50" i="37" s="1"/>
  <c r="EA37" i="37"/>
  <c r="EA50" i="37" s="1"/>
  <c r="DZ37" i="37"/>
  <c r="DZ50" i="37" s="1"/>
  <c r="DW37" i="37"/>
  <c r="DU37" i="37"/>
  <c r="DT37" i="37"/>
  <c r="DS37" i="37"/>
  <c r="DS50" i="37" s="1"/>
  <c r="DR37" i="37"/>
  <c r="DR50" i="37" s="1"/>
  <c r="DQ37" i="37"/>
  <c r="DQ50" i="37" s="1"/>
  <c r="DP37" i="37"/>
  <c r="DP50" i="37" s="1"/>
  <c r="DO37" i="37"/>
  <c r="DN37" i="37"/>
  <c r="DM37" i="37"/>
  <c r="DL37" i="37"/>
  <c r="DK37" i="37"/>
  <c r="DK50" i="37" s="1"/>
  <c r="DJ37" i="37"/>
  <c r="DJ50" i="37" s="1"/>
  <c r="DI37" i="37"/>
  <c r="DI50" i="37" s="1"/>
  <c r="DH37" i="37"/>
  <c r="DH50" i="37" s="1"/>
  <c r="DG37" i="37"/>
  <c r="DF37" i="37"/>
  <c r="DE37" i="37"/>
  <c r="DD37" i="37"/>
  <c r="DC37" i="37"/>
  <c r="DC50" i="37" s="1"/>
  <c r="DB37" i="37"/>
  <c r="DA37" i="37"/>
  <c r="DA50" i="37" s="1"/>
  <c r="CY37" i="37"/>
  <c r="CX37" i="37"/>
  <c r="CW37" i="37" s="1"/>
  <c r="CV37" i="37"/>
  <c r="CU37" i="37"/>
  <c r="CU50" i="37" s="1"/>
  <c r="CT37" i="37"/>
  <c r="CS37" i="37"/>
  <c r="CS50" i="37" s="1"/>
  <c r="CR37" i="37"/>
  <c r="CR50" i="37" s="1"/>
  <c r="CQ37" i="37"/>
  <c r="CP37" i="37"/>
  <c r="CO37" i="37"/>
  <c r="CN37" i="37"/>
  <c r="CM37" i="37"/>
  <c r="CM50" i="37" s="1"/>
  <c r="CL37" i="37"/>
  <c r="CL50" i="37" s="1"/>
  <c r="CK37" i="37"/>
  <c r="CK50" i="37" s="1"/>
  <c r="CI37" i="37"/>
  <c r="CH37" i="37"/>
  <c r="CG37" i="37"/>
  <c r="CF37" i="37"/>
  <c r="CE37" i="37"/>
  <c r="CE50" i="37" s="1"/>
  <c r="CD37" i="37"/>
  <c r="CD50" i="37" s="1"/>
  <c r="CC37" i="37"/>
  <c r="CC50" i="37" s="1"/>
  <c r="CB37" i="37"/>
  <c r="CB50" i="37" s="1"/>
  <c r="CA37" i="37"/>
  <c r="BZ37" i="37"/>
  <c r="BY37" i="37"/>
  <c r="BX37" i="37"/>
  <c r="BW37" i="37"/>
  <c r="BW50" i="37" s="1"/>
  <c r="BU37" i="37"/>
  <c r="BU50" i="37" s="1"/>
  <c r="BP37" i="37"/>
  <c r="BN37" i="37"/>
  <c r="BM37" i="37"/>
  <c r="BL37" i="37"/>
  <c r="BK37" i="37"/>
  <c r="BJ37" i="37"/>
  <c r="BJ50" i="37" s="1"/>
  <c r="BI37" i="37"/>
  <c r="BI50" i="37" s="1"/>
  <c r="BH37" i="37"/>
  <c r="BH50" i="37" s="1"/>
  <c r="BG37" i="37"/>
  <c r="BG50" i="37" s="1"/>
  <c r="BF37" i="37"/>
  <c r="BE37" i="37"/>
  <c r="BD37" i="37"/>
  <c r="BC37" i="37"/>
  <c r="BB37" i="37"/>
  <c r="BB50" i="37" s="1"/>
  <c r="BA37" i="37"/>
  <c r="BA50" i="37" s="1"/>
  <c r="AZ37" i="37"/>
  <c r="AZ50" i="37" s="1"/>
  <c r="AY37" i="37"/>
  <c r="AY50" i="37" s="1"/>
  <c r="AX37" i="37"/>
  <c r="AW37" i="37"/>
  <c r="AV37" i="37"/>
  <c r="AU37" i="37"/>
  <c r="AT37" i="37"/>
  <c r="AT50" i="37" s="1"/>
  <c r="AS37" i="37"/>
  <c r="AS50" i="37" s="1"/>
  <c r="AR37" i="37"/>
  <c r="AR50" i="37" s="1"/>
  <c r="AQ37" i="37"/>
  <c r="AQ50" i="37" s="1"/>
  <c r="AP37" i="37"/>
  <c r="AO37" i="37"/>
  <c r="AN37" i="37"/>
  <c r="AM37" i="37"/>
  <c r="AK37" i="37"/>
  <c r="AK50" i="37" s="1"/>
  <c r="AJ37" i="37"/>
  <c r="AJ50" i="37" s="1"/>
  <c r="AI37" i="37"/>
  <c r="AG37" i="37"/>
  <c r="AF37" i="37"/>
  <c r="AE37" i="37"/>
  <c r="AD37" i="37"/>
  <c r="AD50" i="37" s="1"/>
  <c r="AC37" i="37"/>
  <c r="AC50" i="37" s="1"/>
  <c r="AA37" i="37"/>
  <c r="AA50" i="37" s="1"/>
  <c r="Z37" i="37"/>
  <c r="Z50" i="37" s="1"/>
  <c r="Y37" i="37"/>
  <c r="U37" i="37"/>
  <c r="S37" i="37"/>
  <c r="R37" i="37"/>
  <c r="R50" i="37" s="1"/>
  <c r="Q37" i="37"/>
  <c r="Q50" i="37" s="1"/>
  <c r="P37" i="37"/>
  <c r="P50" i="37" s="1"/>
  <c r="O37" i="37"/>
  <c r="O50" i="37" s="1"/>
  <c r="N37" i="37"/>
  <c r="N50" i="37" s="1"/>
  <c r="M37" i="37"/>
  <c r="L37" i="37"/>
  <c r="K37" i="37"/>
  <c r="J37" i="37"/>
  <c r="J50" i="37" s="1"/>
  <c r="I37" i="37"/>
  <c r="I50" i="37" s="1"/>
  <c r="H37" i="37"/>
  <c r="H50" i="37" s="1"/>
  <c r="G50" i="37" s="1"/>
  <c r="G37" i="37"/>
  <c r="F37" i="37"/>
  <c r="E37" i="37"/>
  <c r="C37" i="37"/>
  <c r="GE36" i="37"/>
  <c r="FX36" i="37"/>
  <c r="FI36" i="37"/>
  <c r="EW36" i="37"/>
  <c r="FG36" i="37" s="1"/>
  <c r="DV36" i="37"/>
  <c r="CZ36" i="37"/>
  <c r="CW36" i="37"/>
  <c r="CT36" i="37"/>
  <c r="CJ36" i="37"/>
  <c r="BP36" i="37"/>
  <c r="EP36" i="37" s="1"/>
  <c r="BO36" i="37"/>
  <c r="AL36" i="37"/>
  <c r="AH36" i="37"/>
  <c r="T36" i="37"/>
  <c r="G36" i="37"/>
  <c r="D36" i="37"/>
  <c r="GE35" i="37"/>
  <c r="FX35" i="37"/>
  <c r="FI35" i="37"/>
  <c r="EW35" i="37"/>
  <c r="FG35" i="37" s="1"/>
  <c r="DV35" i="37"/>
  <c r="CZ35" i="37"/>
  <c r="CW35" i="37"/>
  <c r="CT35" i="37"/>
  <c r="CJ35" i="37"/>
  <c r="BP35" i="37"/>
  <c r="BO35" i="37"/>
  <c r="AL35" i="37"/>
  <c r="AH35" i="37"/>
  <c r="T35" i="37"/>
  <c r="EP35" i="37" s="1"/>
  <c r="G35" i="37"/>
  <c r="D35" i="37"/>
  <c r="GE34" i="37"/>
  <c r="FX34" i="37"/>
  <c r="FI34" i="37"/>
  <c r="EW34" i="37"/>
  <c r="FG34" i="37" s="1"/>
  <c r="EP34" i="37"/>
  <c r="DV34" i="37"/>
  <c r="CZ34" i="37"/>
  <c r="CW34" i="37"/>
  <c r="CT34" i="37"/>
  <c r="CJ34" i="37"/>
  <c r="BP34" i="37"/>
  <c r="BO34" i="37"/>
  <c r="AL34" i="37"/>
  <c r="AH34" i="37"/>
  <c r="T34" i="37"/>
  <c r="G34" i="37"/>
  <c r="D34" i="37"/>
  <c r="GE33" i="37"/>
  <c r="FX33" i="37"/>
  <c r="FI33" i="37"/>
  <c r="FG33" i="37"/>
  <c r="EW33" i="37"/>
  <c r="DV33" i="37"/>
  <c r="CZ33" i="37"/>
  <c r="CW33" i="37"/>
  <c r="CT33" i="37"/>
  <c r="CJ33" i="37"/>
  <c r="BP33" i="37"/>
  <c r="AL33" i="37"/>
  <c r="AH33" i="37"/>
  <c r="T33" i="37"/>
  <c r="G33" i="37"/>
  <c r="D33" i="37"/>
  <c r="GE32" i="37"/>
  <c r="FX32" i="37"/>
  <c r="FI32" i="37"/>
  <c r="FG32" i="37"/>
  <c r="EW32" i="37"/>
  <c r="DV32" i="37"/>
  <c r="CZ32" i="37"/>
  <c r="CW32" i="37"/>
  <c r="CT32" i="37"/>
  <c r="CJ32" i="37"/>
  <c r="BP32" i="37"/>
  <c r="EP32" i="37" s="1"/>
  <c r="BO32" i="37"/>
  <c r="AL32" i="37"/>
  <c r="AH32" i="37"/>
  <c r="T32" i="37"/>
  <c r="G32" i="37"/>
  <c r="D32" i="37"/>
  <c r="GE31" i="37"/>
  <c r="FX31" i="37"/>
  <c r="FI31" i="37"/>
  <c r="EW31" i="37"/>
  <c r="FG31" i="37" s="1"/>
  <c r="DV31" i="37"/>
  <c r="CZ31" i="37"/>
  <c r="CW31" i="37"/>
  <c r="CT31" i="37"/>
  <c r="CJ31" i="37"/>
  <c r="BP31" i="37"/>
  <c r="BO31" i="37"/>
  <c r="AL31" i="37"/>
  <c r="AH31" i="37"/>
  <c r="T31" i="37"/>
  <c r="EP31" i="37" s="1"/>
  <c r="G31" i="37"/>
  <c r="D31" i="37"/>
  <c r="GE30" i="37"/>
  <c r="FX30" i="37"/>
  <c r="FI30" i="37"/>
  <c r="EW30" i="37"/>
  <c r="FG30" i="37" s="1"/>
  <c r="DV30" i="37"/>
  <c r="CZ30" i="37"/>
  <c r="CW30" i="37"/>
  <c r="CT30" i="37"/>
  <c r="CJ30" i="37"/>
  <c r="BP30" i="37"/>
  <c r="BO30" i="37"/>
  <c r="AL30" i="37"/>
  <c r="AH30" i="37"/>
  <c r="T30" i="37"/>
  <c r="EP30" i="37" s="1"/>
  <c r="G30" i="37"/>
  <c r="D30" i="37"/>
  <c r="GE29" i="37"/>
  <c r="FX29" i="37"/>
  <c r="FI29" i="37"/>
  <c r="EW29" i="37"/>
  <c r="FG29" i="37" s="1"/>
  <c r="EP29" i="37"/>
  <c r="DV29" i="37"/>
  <c r="CZ29" i="37"/>
  <c r="CW29" i="37"/>
  <c r="CT29" i="37"/>
  <c r="CJ29" i="37"/>
  <c r="BP29" i="37"/>
  <c r="BO29" i="37"/>
  <c r="AL29" i="37"/>
  <c r="AH29" i="37"/>
  <c r="T29" i="37"/>
  <c r="G29" i="37"/>
  <c r="D29" i="37"/>
  <c r="GE28" i="37"/>
  <c r="FX28" i="37"/>
  <c r="FI28" i="37"/>
  <c r="EW28" i="37"/>
  <c r="FG28" i="37" s="1"/>
  <c r="DV28" i="37"/>
  <c r="CZ28" i="37"/>
  <c r="CW28" i="37"/>
  <c r="CT28" i="37"/>
  <c r="CJ28" i="37"/>
  <c r="BP28" i="37"/>
  <c r="EP28" i="37" s="1"/>
  <c r="AL28" i="37"/>
  <c r="AH28" i="37"/>
  <c r="T28" i="37"/>
  <c r="G28" i="37"/>
  <c r="D28" i="37"/>
  <c r="GE27" i="37"/>
  <c r="FX27" i="37"/>
  <c r="FI27" i="37"/>
  <c r="EW27" i="37"/>
  <c r="FG27" i="37" s="1"/>
  <c r="DV27" i="37"/>
  <c r="CZ27" i="37"/>
  <c r="CW27" i="37"/>
  <c r="CT27" i="37"/>
  <c r="CJ27" i="37"/>
  <c r="BP27" i="37"/>
  <c r="BO27" i="37"/>
  <c r="AL27" i="37"/>
  <c r="AH27" i="37"/>
  <c r="T27" i="37"/>
  <c r="EP27" i="37" s="1"/>
  <c r="G27" i="37"/>
  <c r="D27" i="37"/>
  <c r="GE26" i="37"/>
  <c r="FX26" i="37"/>
  <c r="FI26" i="37"/>
  <c r="EW26" i="37"/>
  <c r="FG26" i="37" s="1"/>
  <c r="DV26" i="37"/>
  <c r="CZ26" i="37"/>
  <c r="CW26" i="37"/>
  <c r="CT26" i="37"/>
  <c r="CJ26" i="37"/>
  <c r="BP26" i="37"/>
  <c r="BO26" i="37"/>
  <c r="AL26" i="37"/>
  <c r="AH26" i="37"/>
  <c r="T26" i="37"/>
  <c r="EP26" i="37" s="1"/>
  <c r="G26" i="37"/>
  <c r="D26" i="37"/>
  <c r="GE25" i="37"/>
  <c r="FX25" i="37"/>
  <c r="FI25" i="37"/>
  <c r="FG25" i="37"/>
  <c r="EW25" i="37"/>
  <c r="EP25" i="37"/>
  <c r="DV25" i="37"/>
  <c r="CZ25" i="37"/>
  <c r="CW25" i="37"/>
  <c r="CT25" i="37"/>
  <c r="CJ25" i="37"/>
  <c r="BP25" i="37"/>
  <c r="BO25" i="37" s="1"/>
  <c r="AL25" i="37"/>
  <c r="AH25" i="37"/>
  <c r="T25" i="37"/>
  <c r="G25" i="37"/>
  <c r="D25" i="37"/>
  <c r="GE24" i="37"/>
  <c r="FX24" i="37"/>
  <c r="FI24" i="37"/>
  <c r="FG24" i="37"/>
  <c r="EW24" i="37"/>
  <c r="DV24" i="37"/>
  <c r="CZ24" i="37"/>
  <c r="CW24" i="37"/>
  <c r="CT24" i="37"/>
  <c r="CJ24" i="37"/>
  <c r="BP24" i="37"/>
  <c r="EP24" i="37" s="1"/>
  <c r="BO24" i="37"/>
  <c r="AL24" i="37"/>
  <c r="AH24" i="37"/>
  <c r="T24" i="37"/>
  <c r="G24" i="37"/>
  <c r="D24" i="37"/>
  <c r="GE23" i="37"/>
  <c r="FX23" i="37"/>
  <c r="FI23" i="37"/>
  <c r="EW23" i="37"/>
  <c r="FG23" i="37" s="1"/>
  <c r="DV23" i="37"/>
  <c r="CZ23" i="37"/>
  <c r="CW23" i="37"/>
  <c r="CT23" i="37"/>
  <c r="CJ23" i="37"/>
  <c r="BP23" i="37"/>
  <c r="BO23" i="37"/>
  <c r="AL23" i="37"/>
  <c r="AH23" i="37"/>
  <c r="T23" i="37"/>
  <c r="EP23" i="37" s="1"/>
  <c r="G23" i="37"/>
  <c r="D23" i="37"/>
  <c r="GE22" i="37"/>
  <c r="FX22" i="37"/>
  <c r="FI22" i="37"/>
  <c r="EW22" i="37"/>
  <c r="FG22" i="37" s="1"/>
  <c r="DV22" i="37"/>
  <c r="CZ22" i="37"/>
  <c r="CW22" i="37"/>
  <c r="CT22" i="37"/>
  <c r="CJ22" i="37"/>
  <c r="BP22" i="37"/>
  <c r="BO22" i="37"/>
  <c r="AL22" i="37"/>
  <c r="AH22" i="37"/>
  <c r="T22" i="37"/>
  <c r="EP22" i="37" s="1"/>
  <c r="G22" i="37"/>
  <c r="D22" i="37"/>
  <c r="GE21" i="37"/>
  <c r="FX21" i="37"/>
  <c r="FI21" i="37"/>
  <c r="EW21" i="37"/>
  <c r="FG21" i="37" s="1"/>
  <c r="EP21" i="37"/>
  <c r="DV21" i="37"/>
  <c r="CZ21" i="37"/>
  <c r="CW21" i="37"/>
  <c r="CT21" i="37"/>
  <c r="CJ21" i="37"/>
  <c r="BP21" i="37"/>
  <c r="BO21" i="37"/>
  <c r="AL21" i="37"/>
  <c r="AH21" i="37"/>
  <c r="T21" i="37"/>
  <c r="G21" i="37"/>
  <c r="D21" i="37"/>
  <c r="GE20" i="37"/>
  <c r="FX20" i="37"/>
  <c r="FI20" i="37"/>
  <c r="EW20" i="37"/>
  <c r="FG20" i="37" s="1"/>
  <c r="DV20" i="37"/>
  <c r="CZ20" i="37"/>
  <c r="CW20" i="37"/>
  <c r="CT20" i="37"/>
  <c r="CJ20" i="37"/>
  <c r="BP20" i="37"/>
  <c r="EP20" i="37" s="1"/>
  <c r="AL20" i="37"/>
  <c r="AH20" i="37"/>
  <c r="T20" i="37"/>
  <c r="G20" i="37"/>
  <c r="D20" i="37"/>
  <c r="GE19" i="37"/>
  <c r="FX19" i="37"/>
  <c r="FI19" i="37"/>
  <c r="FG19" i="37"/>
  <c r="EW19" i="37"/>
  <c r="DV19" i="37"/>
  <c r="CZ19" i="37"/>
  <c r="CW19" i="37"/>
  <c r="CT19" i="37"/>
  <c r="CJ19" i="37"/>
  <c r="BP19" i="37"/>
  <c r="BO19" i="37"/>
  <c r="AL19" i="37"/>
  <c r="AH19" i="37"/>
  <c r="T19" i="37"/>
  <c r="G19" i="37"/>
  <c r="D19" i="37"/>
  <c r="GE18" i="37"/>
  <c r="FX18" i="37"/>
  <c r="FI18" i="37"/>
  <c r="EW18" i="37"/>
  <c r="FG18" i="37" s="1"/>
  <c r="DV18" i="37"/>
  <c r="CZ18" i="37"/>
  <c r="CW18" i="37"/>
  <c r="CT18" i="37"/>
  <c r="CJ18" i="37"/>
  <c r="BP18" i="37"/>
  <c r="BO18" i="37"/>
  <c r="AL18" i="37"/>
  <c r="AH18" i="37"/>
  <c r="T18" i="37"/>
  <c r="EP18" i="37" s="1"/>
  <c r="G18" i="37"/>
  <c r="D18" i="37"/>
  <c r="GE17" i="37"/>
  <c r="FX17" i="37"/>
  <c r="FI17" i="37"/>
  <c r="EW17" i="37"/>
  <c r="FG17" i="37" s="1"/>
  <c r="DV17" i="37"/>
  <c r="CZ17" i="37"/>
  <c r="CW17" i="37"/>
  <c r="CT17" i="37"/>
  <c r="CJ17" i="37"/>
  <c r="BP17" i="37"/>
  <c r="BO17" i="37"/>
  <c r="AL17" i="37"/>
  <c r="AH17" i="37"/>
  <c r="T17" i="37"/>
  <c r="EP17" i="37" s="1"/>
  <c r="G17" i="37"/>
  <c r="D17" i="37"/>
  <c r="GE16" i="37"/>
  <c r="FX16" i="37"/>
  <c r="FI16" i="37"/>
  <c r="EW16" i="37"/>
  <c r="FG16" i="37" s="1"/>
  <c r="EP16" i="37"/>
  <c r="DV16" i="37"/>
  <c r="CZ16" i="37"/>
  <c r="CW16" i="37"/>
  <c r="CT16" i="37"/>
  <c r="CJ16" i="37"/>
  <c r="BP16" i="37"/>
  <c r="BO16" i="37"/>
  <c r="AL16" i="37"/>
  <c r="AH16" i="37"/>
  <c r="T16" i="37"/>
  <c r="G16" i="37"/>
  <c r="D16" i="37"/>
  <c r="GE15" i="37"/>
  <c r="FX15" i="37"/>
  <c r="FI15" i="37"/>
  <c r="EW15" i="37"/>
  <c r="FG15" i="37" s="1"/>
  <c r="DV15" i="37"/>
  <c r="CZ15" i="37"/>
  <c r="CW15" i="37"/>
  <c r="CT15" i="37"/>
  <c r="CJ15" i="37"/>
  <c r="BP15" i="37"/>
  <c r="BO15" i="37" s="1"/>
  <c r="AL15" i="37"/>
  <c r="AH15" i="37"/>
  <c r="T15" i="37"/>
  <c r="EP15" i="37" s="1"/>
  <c r="G15" i="37"/>
  <c r="D15" i="37"/>
  <c r="GE14" i="37"/>
  <c r="FX14" i="37"/>
  <c r="FI14" i="37"/>
  <c r="EW14" i="37"/>
  <c r="FG14" i="37" s="1"/>
  <c r="EP14" i="37"/>
  <c r="DV14" i="37"/>
  <c r="CZ14" i="37"/>
  <c r="CW14" i="37"/>
  <c r="CT14" i="37"/>
  <c r="CJ14" i="37"/>
  <c r="BP14" i="37"/>
  <c r="BO14" i="37"/>
  <c r="AL14" i="37"/>
  <c r="AH14" i="37"/>
  <c r="T14" i="37"/>
  <c r="G14" i="37"/>
  <c r="D14" i="37"/>
  <c r="GE13" i="37"/>
  <c r="FX13" i="37"/>
  <c r="FI13" i="37"/>
  <c r="EW13" i="37"/>
  <c r="FG13" i="37" s="1"/>
  <c r="DV13" i="37"/>
  <c r="CZ13" i="37"/>
  <c r="CW13" i="37"/>
  <c r="CT13" i="37"/>
  <c r="CJ13" i="37"/>
  <c r="BP13" i="37"/>
  <c r="BO13" i="37"/>
  <c r="AL13" i="37"/>
  <c r="AH13" i="37"/>
  <c r="T13" i="37"/>
  <c r="G13" i="37"/>
  <c r="D13" i="37"/>
  <c r="GE12" i="37"/>
  <c r="FX12" i="37"/>
  <c r="FI12" i="37"/>
  <c r="EW12" i="37"/>
  <c r="FG12" i="37" s="1"/>
  <c r="EP12" i="37"/>
  <c r="DV12" i="37"/>
  <c r="CZ12" i="37"/>
  <c r="CW12" i="37"/>
  <c r="CT12" i="37"/>
  <c r="CJ12" i="37"/>
  <c r="BP12" i="37"/>
  <c r="BO12" i="37"/>
  <c r="AL12" i="37"/>
  <c r="AH12" i="37"/>
  <c r="T12" i="37"/>
  <c r="G12" i="37"/>
  <c r="D12" i="37"/>
  <c r="GE11" i="37"/>
  <c r="FX11" i="37"/>
  <c r="FI11" i="37"/>
  <c r="FG11" i="37"/>
  <c r="EW11" i="37"/>
  <c r="DV11" i="37"/>
  <c r="CZ11" i="37"/>
  <c r="CW11" i="37"/>
  <c r="CT11" i="37"/>
  <c r="CJ11" i="37"/>
  <c r="BP11" i="37"/>
  <c r="BO11" i="37"/>
  <c r="AL11" i="37"/>
  <c r="AH11" i="37"/>
  <c r="T11" i="37"/>
  <c r="G11" i="37"/>
  <c r="D11" i="37"/>
  <c r="GE10" i="37"/>
  <c r="FX10" i="37"/>
  <c r="FI10" i="37"/>
  <c r="EW10" i="37"/>
  <c r="FG10" i="37" s="1"/>
  <c r="DV10" i="37"/>
  <c r="CZ10" i="37"/>
  <c r="CW10" i="37"/>
  <c r="CT10" i="37"/>
  <c r="CJ10" i="37"/>
  <c r="BP10" i="37"/>
  <c r="BO10" i="37"/>
  <c r="AL10" i="37"/>
  <c r="AH10" i="37"/>
  <c r="T10" i="37"/>
  <c r="EP10" i="37" s="1"/>
  <c r="G10" i="37"/>
  <c r="D10" i="37"/>
  <c r="GE9" i="37"/>
  <c r="FX9" i="37"/>
  <c r="FI9" i="37"/>
  <c r="EW9" i="37"/>
  <c r="FG9" i="37" s="1"/>
  <c r="EP9" i="37"/>
  <c r="DV9" i="37"/>
  <c r="CZ9" i="37"/>
  <c r="CW9" i="37"/>
  <c r="CT9" i="37"/>
  <c r="CJ9" i="37"/>
  <c r="BP9" i="37"/>
  <c r="BO9" i="37"/>
  <c r="AL9" i="37"/>
  <c r="AH9" i="37"/>
  <c r="T9" i="37"/>
  <c r="G9" i="37"/>
  <c r="D9" i="37"/>
  <c r="GE8" i="37"/>
  <c r="FX8" i="37"/>
  <c r="FI8" i="37"/>
  <c r="EW8" i="37"/>
  <c r="FG8" i="37" s="1"/>
  <c r="DV8" i="37"/>
  <c r="CZ8" i="37"/>
  <c r="CW8" i="37"/>
  <c r="CT8" i="37"/>
  <c r="CJ8" i="37"/>
  <c r="BP8" i="37"/>
  <c r="EP8" i="37" s="1"/>
  <c r="AL8" i="37"/>
  <c r="AH8" i="37"/>
  <c r="T8" i="37"/>
  <c r="G8" i="37"/>
  <c r="D8" i="37"/>
  <c r="GE7" i="37"/>
  <c r="FX7" i="37"/>
  <c r="FI7" i="37"/>
  <c r="EW7" i="37"/>
  <c r="FG7" i="37" s="1"/>
  <c r="DV7" i="37"/>
  <c r="CZ7" i="37"/>
  <c r="CW7" i="37"/>
  <c r="CT7" i="37"/>
  <c r="CJ7" i="37"/>
  <c r="BP7" i="37"/>
  <c r="BO7" i="37" s="1"/>
  <c r="AL7" i="37"/>
  <c r="AH7" i="37"/>
  <c r="T7" i="37"/>
  <c r="EP7" i="37" s="1"/>
  <c r="G7" i="37"/>
  <c r="D7" i="37"/>
  <c r="GE6" i="37"/>
  <c r="FX6" i="37"/>
  <c r="FI6" i="37"/>
  <c r="EW6" i="37"/>
  <c r="FG6" i="37" s="1"/>
  <c r="DV6" i="37"/>
  <c r="CZ6" i="37"/>
  <c r="CW6" i="37"/>
  <c r="CT6" i="37"/>
  <c r="CJ6" i="37"/>
  <c r="BP6" i="37"/>
  <c r="BO6" i="37"/>
  <c r="AL6" i="37"/>
  <c r="AH6" i="37"/>
  <c r="T6" i="37"/>
  <c r="EP6" i="37" s="1"/>
  <c r="G6" i="37"/>
  <c r="D6" i="37"/>
  <c r="FJ52" i="36"/>
  <c r="GD50" i="36"/>
  <c r="GC50" i="36"/>
  <c r="FK50" i="36"/>
  <c r="EJ50" i="36"/>
  <c r="EA50" i="36"/>
  <c r="DL50" i="36"/>
  <c r="DB50" i="36"/>
  <c r="CS50" i="36"/>
  <c r="CR50" i="36"/>
  <c r="CI50" i="36"/>
  <c r="CG50" i="36"/>
  <c r="BY50" i="36"/>
  <c r="BP50" i="36"/>
  <c r="BI50" i="36"/>
  <c r="BG50" i="36"/>
  <c r="AZ50" i="36"/>
  <c r="AN50" i="36"/>
  <c r="AF50" i="36"/>
  <c r="AE50" i="36"/>
  <c r="Q50" i="36"/>
  <c r="J50" i="36"/>
  <c r="I50" i="36"/>
  <c r="GI49" i="36"/>
  <c r="GI50" i="36" s="1"/>
  <c r="GE49" i="36"/>
  <c r="GD49" i="36"/>
  <c r="GC49" i="36"/>
  <c r="GB49" i="36"/>
  <c r="GA49" i="36"/>
  <c r="FZ49" i="36"/>
  <c r="FY49" i="36"/>
  <c r="FW49" i="36"/>
  <c r="FX49" i="36" s="1"/>
  <c r="FM49" i="36"/>
  <c r="FL49" i="36"/>
  <c r="FK49" i="36"/>
  <c r="FJ49" i="36"/>
  <c r="FH49" i="36"/>
  <c r="FF49" i="36"/>
  <c r="FE49" i="36"/>
  <c r="FD49" i="36"/>
  <c r="FC49" i="36"/>
  <c r="FA49" i="36"/>
  <c r="EZ49" i="36"/>
  <c r="EY49" i="36"/>
  <c r="EX49" i="36"/>
  <c r="EX50" i="36" s="1"/>
  <c r="EW49" i="36"/>
  <c r="EV49" i="36"/>
  <c r="FG49" i="36" s="1"/>
  <c r="EU49" i="36"/>
  <c r="ET49" i="36"/>
  <c r="ES49" i="36"/>
  <c r="ER49" i="36"/>
  <c r="EQ49" i="36"/>
  <c r="EO49" i="36"/>
  <c r="EO50" i="36" s="1"/>
  <c r="EN49" i="36"/>
  <c r="EP49" i="36" s="1"/>
  <c r="EM49" i="36"/>
  <c r="EJ49" i="36"/>
  <c r="EI49" i="36"/>
  <c r="EH49" i="36"/>
  <c r="FI49" i="36" s="1"/>
  <c r="EG49" i="36"/>
  <c r="EF49" i="36"/>
  <c r="EF50" i="36" s="1"/>
  <c r="ED49" i="36"/>
  <c r="ED50" i="36" s="1"/>
  <c r="EC49" i="36"/>
  <c r="EA49" i="36"/>
  <c r="DZ49" i="36"/>
  <c r="DY49" i="36"/>
  <c r="DW49" i="36"/>
  <c r="DV49" i="36"/>
  <c r="DU49" i="36"/>
  <c r="DU50" i="36" s="1"/>
  <c r="DT49" i="36"/>
  <c r="DS49" i="36"/>
  <c r="DR49" i="36"/>
  <c r="DQ49" i="36"/>
  <c r="DP49" i="36"/>
  <c r="DO49" i="36"/>
  <c r="DN49" i="36"/>
  <c r="DM49" i="36"/>
  <c r="DM50" i="36" s="1"/>
  <c r="DL49" i="36"/>
  <c r="DK49" i="36"/>
  <c r="DJ49" i="36"/>
  <c r="DI49" i="36"/>
  <c r="DH49" i="36"/>
  <c r="DG49" i="36"/>
  <c r="DF49" i="36"/>
  <c r="DE49" i="36"/>
  <c r="DE50" i="36" s="1"/>
  <c r="DD49" i="36"/>
  <c r="DD50" i="36" s="1"/>
  <c r="DC49" i="36"/>
  <c r="DC50" i="36" s="1"/>
  <c r="DB49" i="36"/>
  <c r="DA49" i="36"/>
  <c r="CZ49" i="36"/>
  <c r="CY49" i="36"/>
  <c r="CX49" i="36"/>
  <c r="CW49" i="36"/>
  <c r="CV49" i="36"/>
  <c r="CU49" i="36"/>
  <c r="CS49" i="36"/>
  <c r="CR49" i="36"/>
  <c r="CQ49" i="36"/>
  <c r="CP49" i="36"/>
  <c r="CO49" i="36"/>
  <c r="CO50" i="36" s="1"/>
  <c r="CN49" i="36"/>
  <c r="CM49" i="36"/>
  <c r="CM50" i="36" s="1"/>
  <c r="CL49" i="36"/>
  <c r="CK49" i="36"/>
  <c r="CI49" i="36"/>
  <c r="CH49" i="36"/>
  <c r="CJ49" i="36" s="1"/>
  <c r="CG49" i="36"/>
  <c r="CF49" i="36"/>
  <c r="CE49" i="36"/>
  <c r="CD49" i="36"/>
  <c r="CC49" i="36"/>
  <c r="CB49" i="36"/>
  <c r="CA49" i="36"/>
  <c r="BZ49" i="36"/>
  <c r="BY49" i="36"/>
  <c r="BX49" i="36"/>
  <c r="BX50" i="36" s="1"/>
  <c r="BW49" i="36"/>
  <c r="BW50" i="36" s="1"/>
  <c r="BU49" i="36"/>
  <c r="BP49" i="36"/>
  <c r="BN49" i="36"/>
  <c r="BO49" i="36" s="1"/>
  <c r="BM49" i="36"/>
  <c r="BL49" i="36"/>
  <c r="BL50" i="36" s="1"/>
  <c r="BK49" i="36"/>
  <c r="BJ49" i="36"/>
  <c r="BJ50" i="36" s="1"/>
  <c r="BI49" i="36"/>
  <c r="BH49" i="36"/>
  <c r="BG49" i="36"/>
  <c r="BF49" i="36"/>
  <c r="BE49" i="36"/>
  <c r="BD49" i="36"/>
  <c r="BD50" i="36" s="1"/>
  <c r="BC49" i="36"/>
  <c r="BC50" i="36" s="1"/>
  <c r="BB49" i="36"/>
  <c r="BB50" i="36" s="1"/>
  <c r="BA49" i="36"/>
  <c r="AZ49" i="36"/>
  <c r="AY49" i="36"/>
  <c r="AX49" i="36"/>
  <c r="AW49" i="36"/>
  <c r="AV49" i="36"/>
  <c r="AV50" i="36" s="1"/>
  <c r="AU49" i="36"/>
  <c r="AT49" i="36"/>
  <c r="AT50" i="36" s="1"/>
  <c r="AS49" i="36"/>
  <c r="AR49" i="36"/>
  <c r="AQ49" i="36"/>
  <c r="AP49" i="36"/>
  <c r="AO49" i="36"/>
  <c r="AN49" i="36"/>
  <c r="AM49" i="36"/>
  <c r="AL49" i="36"/>
  <c r="AK49" i="36"/>
  <c r="AJ49" i="36"/>
  <c r="AI49" i="36"/>
  <c r="AH49" i="36"/>
  <c r="AG49" i="36"/>
  <c r="AF49" i="36"/>
  <c r="AE49" i="36"/>
  <c r="AD49" i="36"/>
  <c r="AD50" i="36" s="1"/>
  <c r="AC49" i="36"/>
  <c r="AA49" i="36"/>
  <c r="Z49" i="36"/>
  <c r="Y49" i="36"/>
  <c r="T49" i="36" s="1"/>
  <c r="U49" i="36"/>
  <c r="S49" i="36"/>
  <c r="R49" i="36"/>
  <c r="R50" i="36" s="1"/>
  <c r="Q49" i="36"/>
  <c r="P49" i="36"/>
  <c r="O49" i="36"/>
  <c r="N49" i="36"/>
  <c r="M49" i="36"/>
  <c r="L49" i="36"/>
  <c r="L50" i="36" s="1"/>
  <c r="K49" i="36"/>
  <c r="J49" i="36"/>
  <c r="I49" i="36"/>
  <c r="H49" i="36"/>
  <c r="G49" i="36" s="1"/>
  <c r="F49" i="36"/>
  <c r="D49" i="36" s="1"/>
  <c r="E49" i="36"/>
  <c r="C49" i="36"/>
  <c r="GE48" i="36"/>
  <c r="FX48" i="36"/>
  <c r="FI48" i="36"/>
  <c r="EW48" i="36"/>
  <c r="FG48" i="36" s="1"/>
  <c r="DV48" i="36"/>
  <c r="CZ48" i="36"/>
  <c r="CW48" i="36"/>
  <c r="CT48" i="36"/>
  <c r="CJ48" i="36"/>
  <c r="BP48" i="36"/>
  <c r="BO48" i="36"/>
  <c r="AL48" i="36"/>
  <c r="AH48" i="36"/>
  <c r="T48" i="36"/>
  <c r="EP48" i="36" s="1"/>
  <c r="G48" i="36"/>
  <c r="D48" i="36"/>
  <c r="FX47" i="36"/>
  <c r="FI47" i="36"/>
  <c r="FG47" i="36"/>
  <c r="EW47" i="36"/>
  <c r="DV47" i="36"/>
  <c r="CZ47" i="36"/>
  <c r="CW47" i="36"/>
  <c r="CT47" i="36"/>
  <c r="CJ47" i="36"/>
  <c r="BP47" i="36"/>
  <c r="BO47" i="36" s="1"/>
  <c r="AL47" i="36"/>
  <c r="AH47" i="36"/>
  <c r="T47" i="36"/>
  <c r="EP47" i="36" s="1"/>
  <c r="G47" i="36"/>
  <c r="D47" i="36"/>
  <c r="GE46" i="36"/>
  <c r="FX46" i="36"/>
  <c r="FI46" i="36"/>
  <c r="EW46" i="36"/>
  <c r="FG46" i="36" s="1"/>
  <c r="EP46" i="36"/>
  <c r="DV46" i="36"/>
  <c r="CZ46" i="36"/>
  <c r="CW46" i="36"/>
  <c r="CT46" i="36"/>
  <c r="CJ46" i="36"/>
  <c r="BP46" i="36"/>
  <c r="BO46" i="36"/>
  <c r="AL46" i="36"/>
  <c r="AH46" i="36"/>
  <c r="T46" i="36"/>
  <c r="G46" i="36"/>
  <c r="D46" i="36"/>
  <c r="GE45" i="36"/>
  <c r="FX45" i="36"/>
  <c r="FI45" i="36"/>
  <c r="FG45" i="36"/>
  <c r="EW45" i="36"/>
  <c r="DV45" i="36"/>
  <c r="CZ45" i="36"/>
  <c r="CW45" i="36"/>
  <c r="CT45" i="36"/>
  <c r="CJ45" i="36"/>
  <c r="BP45" i="36"/>
  <c r="AL45" i="36"/>
  <c r="AH45" i="36"/>
  <c r="T45" i="36"/>
  <c r="G45" i="36"/>
  <c r="D45" i="36"/>
  <c r="FX44" i="36"/>
  <c r="FI44" i="36"/>
  <c r="EW44" i="36"/>
  <c r="FG44" i="36" s="1"/>
  <c r="EP44" i="36"/>
  <c r="DV44" i="36"/>
  <c r="CZ44" i="36"/>
  <c r="CW44" i="36"/>
  <c r="CT44" i="36"/>
  <c r="CJ44" i="36"/>
  <c r="BP44" i="36"/>
  <c r="BO44" i="36"/>
  <c r="AL44" i="36"/>
  <c r="AH44" i="36"/>
  <c r="T44" i="36"/>
  <c r="G44" i="36"/>
  <c r="D44" i="36"/>
  <c r="GE43" i="36"/>
  <c r="FX43" i="36"/>
  <c r="FI43" i="36"/>
  <c r="FG43" i="36"/>
  <c r="EW43" i="36"/>
  <c r="DV43" i="36"/>
  <c r="CZ43" i="36"/>
  <c r="CW43" i="36"/>
  <c r="CT43" i="36"/>
  <c r="CJ43" i="36"/>
  <c r="BP43" i="36"/>
  <c r="BO43" i="36" s="1"/>
  <c r="AL43" i="36"/>
  <c r="AH43" i="36"/>
  <c r="T43" i="36"/>
  <c r="EP43" i="36" s="1"/>
  <c r="G43" i="36"/>
  <c r="D43" i="36"/>
  <c r="GE42" i="36"/>
  <c r="FX42" i="36"/>
  <c r="FI42" i="36"/>
  <c r="EW42" i="36"/>
  <c r="FG42" i="36" s="1"/>
  <c r="EP42" i="36"/>
  <c r="DV42" i="36"/>
  <c r="CZ42" i="36"/>
  <c r="CW42" i="36"/>
  <c r="CT42" i="36"/>
  <c r="CJ42" i="36"/>
  <c r="BP42" i="36"/>
  <c r="BO42" i="36"/>
  <c r="AL42" i="36"/>
  <c r="AH42" i="36"/>
  <c r="T42" i="36"/>
  <c r="G42" i="36"/>
  <c r="D42" i="36"/>
  <c r="FX41" i="36"/>
  <c r="FI41" i="36"/>
  <c r="FG41" i="36"/>
  <c r="EW41" i="36"/>
  <c r="DV41" i="36"/>
  <c r="CZ41" i="36"/>
  <c r="CW41" i="36"/>
  <c r="CT41" i="36"/>
  <c r="CJ41" i="36"/>
  <c r="BP41" i="36"/>
  <c r="BO41" i="36" s="1"/>
  <c r="AL41" i="36"/>
  <c r="AH41" i="36"/>
  <c r="T41" i="36"/>
  <c r="EP41" i="36" s="1"/>
  <c r="G41" i="36"/>
  <c r="D41" i="36"/>
  <c r="GE40" i="36"/>
  <c r="FX40" i="36"/>
  <c r="FI40" i="36"/>
  <c r="FG40" i="36"/>
  <c r="EW40" i="36"/>
  <c r="DV40" i="36"/>
  <c r="CZ40" i="36"/>
  <c r="CW40" i="36"/>
  <c r="CT40" i="36"/>
  <c r="CJ40" i="36"/>
  <c r="BP40" i="36"/>
  <c r="BO40" i="36" s="1"/>
  <c r="AL40" i="36"/>
  <c r="AH40" i="36"/>
  <c r="T40" i="36"/>
  <c r="EP40" i="36" s="1"/>
  <c r="G40" i="36"/>
  <c r="D40" i="36"/>
  <c r="FX39" i="36"/>
  <c r="FI39" i="36"/>
  <c r="EW39" i="36"/>
  <c r="FG39" i="36" s="1"/>
  <c r="DV39" i="36"/>
  <c r="CZ39" i="36"/>
  <c r="CW39" i="36"/>
  <c r="CT39" i="36"/>
  <c r="CJ39" i="36"/>
  <c r="BP39" i="36"/>
  <c r="BO39" i="36"/>
  <c r="AL39" i="36"/>
  <c r="AH39" i="36"/>
  <c r="T39" i="36"/>
  <c r="EP39" i="36" s="1"/>
  <c r="G39" i="36"/>
  <c r="D39" i="36"/>
  <c r="FX38" i="36"/>
  <c r="FI38" i="36"/>
  <c r="EW38" i="36"/>
  <c r="FG38" i="36" s="1"/>
  <c r="EP38" i="36"/>
  <c r="DV38" i="36"/>
  <c r="CZ38" i="36"/>
  <c r="CW38" i="36"/>
  <c r="CT38" i="36"/>
  <c r="CJ38" i="36"/>
  <c r="BP38" i="36"/>
  <c r="BO38" i="36"/>
  <c r="AL38" i="36"/>
  <c r="AH38" i="36"/>
  <c r="T38" i="36"/>
  <c r="G38" i="36"/>
  <c r="D38" i="36"/>
  <c r="GI37" i="36"/>
  <c r="GD37" i="36"/>
  <c r="GC37" i="36"/>
  <c r="GB37" i="36"/>
  <c r="GB50" i="36" s="1"/>
  <c r="GA37" i="36"/>
  <c r="GA50" i="36" s="1"/>
  <c r="FZ37" i="36"/>
  <c r="FZ50" i="36" s="1"/>
  <c r="FY37" i="36"/>
  <c r="FY50" i="36" s="1"/>
  <c r="FW37" i="36"/>
  <c r="FM37" i="36"/>
  <c r="FM50" i="36" s="1"/>
  <c r="FL37" i="36"/>
  <c r="FL50" i="36" s="1"/>
  <c r="FK37" i="36"/>
  <c r="FJ37" i="36"/>
  <c r="FH37" i="36"/>
  <c r="FF37" i="36"/>
  <c r="FE37" i="36"/>
  <c r="FD37" i="36"/>
  <c r="FD50" i="36" s="1"/>
  <c r="FC37" i="36"/>
  <c r="FC50" i="36" s="1"/>
  <c r="FA37" i="36"/>
  <c r="EZ37" i="36"/>
  <c r="EZ50" i="36" s="1"/>
  <c r="EY37" i="36"/>
  <c r="EY50" i="36" s="1"/>
  <c r="EX37" i="36"/>
  <c r="EV37" i="36"/>
  <c r="EU37" i="36"/>
  <c r="EU50" i="36" s="1"/>
  <c r="ET37" i="36"/>
  <c r="ET50" i="36" s="1"/>
  <c r="ES37" i="36"/>
  <c r="ES50" i="36" s="1"/>
  <c r="ER37" i="36"/>
  <c r="ER50" i="36" s="1"/>
  <c r="EQ37" i="36"/>
  <c r="EO37" i="36"/>
  <c r="EN37" i="36"/>
  <c r="EM37" i="36"/>
  <c r="EM50" i="36" s="1"/>
  <c r="EJ37" i="36"/>
  <c r="EI37" i="36"/>
  <c r="EI50" i="36" s="1"/>
  <c r="EH37" i="36"/>
  <c r="EG37" i="36"/>
  <c r="EG50" i="36" s="1"/>
  <c r="EF37" i="36"/>
  <c r="ED37" i="36"/>
  <c r="EC37" i="36"/>
  <c r="EA37" i="36"/>
  <c r="DZ37" i="36"/>
  <c r="DZ50" i="36" s="1"/>
  <c r="DY37" i="36"/>
  <c r="DY50" i="36" s="1"/>
  <c r="DW37" i="36"/>
  <c r="DW50" i="36" s="1"/>
  <c r="DV50" i="36" s="1"/>
  <c r="DU37" i="36"/>
  <c r="DT37" i="36"/>
  <c r="DT50" i="36" s="1"/>
  <c r="DS37" i="36"/>
  <c r="DR37" i="36"/>
  <c r="DR50" i="36" s="1"/>
  <c r="DQ37" i="36"/>
  <c r="DQ50" i="36" s="1"/>
  <c r="DP37" i="36"/>
  <c r="DP50" i="36" s="1"/>
  <c r="DO37" i="36"/>
  <c r="DO50" i="36" s="1"/>
  <c r="DN37" i="36"/>
  <c r="DN50" i="36" s="1"/>
  <c r="DM37" i="36"/>
  <c r="DL37" i="36"/>
  <c r="DK37" i="36"/>
  <c r="DJ37" i="36"/>
  <c r="DJ50" i="36" s="1"/>
  <c r="DI37" i="36"/>
  <c r="DI50" i="36" s="1"/>
  <c r="DH37" i="36"/>
  <c r="DH50" i="36" s="1"/>
  <c r="DG37" i="36"/>
  <c r="DG50" i="36" s="1"/>
  <c r="DF37" i="36"/>
  <c r="DF50" i="36" s="1"/>
  <c r="DE37" i="36"/>
  <c r="DD37" i="36"/>
  <c r="DC37" i="36"/>
  <c r="DB37" i="36"/>
  <c r="DA37" i="36"/>
  <c r="DA50" i="36" s="1"/>
  <c r="CZ50" i="36" s="1"/>
  <c r="CZ37" i="36"/>
  <c r="CY37" i="36"/>
  <c r="CY50" i="36" s="1"/>
  <c r="CX37" i="36"/>
  <c r="CV37" i="36"/>
  <c r="CU37" i="36"/>
  <c r="CT37" i="36"/>
  <c r="CS37" i="36"/>
  <c r="CR37" i="36"/>
  <c r="CQ37" i="36"/>
  <c r="CQ50" i="36" s="1"/>
  <c r="CP37" i="36"/>
  <c r="CP50" i="36" s="1"/>
  <c r="CO37" i="36"/>
  <c r="CN37" i="36"/>
  <c r="CM37" i="36"/>
  <c r="CL37" i="36"/>
  <c r="CL50" i="36" s="1"/>
  <c r="CK37" i="36"/>
  <c r="CK50" i="36" s="1"/>
  <c r="CI37" i="36"/>
  <c r="CH37" i="36"/>
  <c r="CG37" i="36"/>
  <c r="CF37" i="36"/>
  <c r="CE37" i="36"/>
  <c r="CD37" i="36"/>
  <c r="CD50" i="36" s="1"/>
  <c r="CC37" i="36"/>
  <c r="CC50" i="36" s="1"/>
  <c r="CB37" i="36"/>
  <c r="CB50" i="36" s="1"/>
  <c r="CA37" i="36"/>
  <c r="CA50" i="36" s="1"/>
  <c r="BZ37" i="36"/>
  <c r="BZ50" i="36" s="1"/>
  <c r="BY37" i="36"/>
  <c r="BX37" i="36"/>
  <c r="BW37" i="36"/>
  <c r="BU37" i="36"/>
  <c r="BU50" i="36" s="1"/>
  <c r="BP37" i="36"/>
  <c r="BN37" i="36"/>
  <c r="BM37" i="36"/>
  <c r="BM50" i="36" s="1"/>
  <c r="BL37" i="36"/>
  <c r="BK37" i="36"/>
  <c r="BK50" i="36" s="1"/>
  <c r="BJ37" i="36"/>
  <c r="BI37" i="36"/>
  <c r="BH37" i="36"/>
  <c r="BH50" i="36" s="1"/>
  <c r="BG37" i="36"/>
  <c r="BF37" i="36"/>
  <c r="BF50" i="36" s="1"/>
  <c r="BE37" i="36"/>
  <c r="BE50" i="36" s="1"/>
  <c r="BD37" i="36"/>
  <c r="BC37" i="36"/>
  <c r="BB37" i="36"/>
  <c r="BA37" i="36"/>
  <c r="BA50" i="36" s="1"/>
  <c r="AZ37" i="36"/>
  <c r="AY37" i="36"/>
  <c r="AY50" i="36" s="1"/>
  <c r="AX37" i="36"/>
  <c r="AX50" i="36" s="1"/>
  <c r="AW37" i="36"/>
  <c r="AW50" i="36" s="1"/>
  <c r="AV37" i="36"/>
  <c r="AU37" i="36"/>
  <c r="AU50" i="36" s="1"/>
  <c r="AT37" i="36"/>
  <c r="AS37" i="36"/>
  <c r="AS50" i="36" s="1"/>
  <c r="AR37" i="36"/>
  <c r="AR50" i="36" s="1"/>
  <c r="AQ37" i="36"/>
  <c r="AQ50" i="36" s="1"/>
  <c r="AP37" i="36"/>
  <c r="AP50" i="36" s="1"/>
  <c r="AO37" i="36"/>
  <c r="AO50" i="36" s="1"/>
  <c r="AN37" i="36"/>
  <c r="AM37" i="36"/>
  <c r="AM50" i="36" s="1"/>
  <c r="AK37" i="36"/>
  <c r="AK50" i="36" s="1"/>
  <c r="AJ37" i="36"/>
  <c r="AJ50" i="36" s="1"/>
  <c r="AI37" i="36"/>
  <c r="AI50" i="36" s="1"/>
  <c r="AH50" i="36" s="1"/>
  <c r="AH37" i="36"/>
  <c r="AG37" i="36"/>
  <c r="AG50" i="36" s="1"/>
  <c r="AF37" i="36"/>
  <c r="AE37" i="36"/>
  <c r="AD37" i="36"/>
  <c r="AC37" i="36"/>
  <c r="AC50" i="36" s="1"/>
  <c r="AA37" i="36"/>
  <c r="AA50" i="36" s="1"/>
  <c r="Z37" i="36"/>
  <c r="Z50" i="36" s="1"/>
  <c r="Y37" i="36"/>
  <c r="Y50" i="36" s="1"/>
  <c r="U37" i="36"/>
  <c r="S37" i="36"/>
  <c r="S50" i="36" s="1"/>
  <c r="R37" i="36"/>
  <c r="Q37" i="36"/>
  <c r="P37" i="36"/>
  <c r="P50" i="36" s="1"/>
  <c r="O37" i="36"/>
  <c r="O50" i="36" s="1"/>
  <c r="N37" i="36"/>
  <c r="N50" i="36" s="1"/>
  <c r="M37" i="36"/>
  <c r="M50" i="36" s="1"/>
  <c r="L37" i="36"/>
  <c r="K37" i="36"/>
  <c r="K50" i="36" s="1"/>
  <c r="J37" i="36"/>
  <c r="I37" i="36"/>
  <c r="H37" i="36"/>
  <c r="H50" i="36" s="1"/>
  <c r="F37" i="36"/>
  <c r="F50" i="36" s="1"/>
  <c r="E37" i="36"/>
  <c r="C37" i="36"/>
  <c r="C50" i="36" s="1"/>
  <c r="GE36" i="36"/>
  <c r="FX36" i="36"/>
  <c r="FI36" i="36"/>
  <c r="FG36" i="36"/>
  <c r="EW36" i="36"/>
  <c r="DV36" i="36"/>
  <c r="CZ36" i="36"/>
  <c r="CW36" i="36"/>
  <c r="CT36" i="36"/>
  <c r="CJ36" i="36"/>
  <c r="BP36" i="36"/>
  <c r="BO36" i="36" s="1"/>
  <c r="AL36" i="36"/>
  <c r="AH36" i="36"/>
  <c r="T36" i="36"/>
  <c r="EP36" i="36" s="1"/>
  <c r="G36" i="36"/>
  <c r="D36" i="36"/>
  <c r="GE35" i="36"/>
  <c r="FX35" i="36"/>
  <c r="FI35" i="36"/>
  <c r="FG35" i="36"/>
  <c r="EW35" i="36"/>
  <c r="DV35" i="36"/>
  <c r="CZ35" i="36"/>
  <c r="CW35" i="36"/>
  <c r="CT35" i="36"/>
  <c r="CJ35" i="36"/>
  <c r="BP35" i="36"/>
  <c r="BO35" i="36" s="1"/>
  <c r="AL35" i="36"/>
  <c r="AH35" i="36"/>
  <c r="T35" i="36"/>
  <c r="EP35" i="36" s="1"/>
  <c r="G35" i="36"/>
  <c r="D35" i="36"/>
  <c r="GE34" i="36"/>
  <c r="FX34" i="36"/>
  <c r="FI34" i="36"/>
  <c r="EW34" i="36"/>
  <c r="FG34" i="36" s="1"/>
  <c r="EP34" i="36"/>
  <c r="DV34" i="36"/>
  <c r="CZ34" i="36"/>
  <c r="CW34" i="36"/>
  <c r="CT34" i="36"/>
  <c r="CJ34" i="36"/>
  <c r="BP34" i="36"/>
  <c r="BO34" i="36"/>
  <c r="AL34" i="36"/>
  <c r="AH34" i="36"/>
  <c r="T34" i="36"/>
  <c r="G34" i="36"/>
  <c r="D34" i="36"/>
  <c r="GE33" i="36"/>
  <c r="FX33" i="36"/>
  <c r="FI33" i="36"/>
  <c r="FG33" i="36"/>
  <c r="EW33" i="36"/>
  <c r="DV33" i="36"/>
  <c r="CZ33" i="36"/>
  <c r="CW33" i="36"/>
  <c r="CT33" i="36"/>
  <c r="CJ33" i="36"/>
  <c r="BP33" i="36"/>
  <c r="BO33" i="36" s="1"/>
  <c r="AL33" i="36"/>
  <c r="AH33" i="36"/>
  <c r="T33" i="36"/>
  <c r="EP33" i="36" s="1"/>
  <c r="G33" i="36"/>
  <c r="D33" i="36"/>
  <c r="GE32" i="36"/>
  <c r="FX32" i="36"/>
  <c r="FI32" i="36"/>
  <c r="EW32" i="36"/>
  <c r="FG32" i="36" s="1"/>
  <c r="DV32" i="36"/>
  <c r="CZ32" i="36"/>
  <c r="CW32" i="36"/>
  <c r="CT32" i="36"/>
  <c r="CJ32" i="36"/>
  <c r="BP32" i="36"/>
  <c r="BO32" i="36"/>
  <c r="AL32" i="36"/>
  <c r="AH32" i="36"/>
  <c r="T32" i="36"/>
  <c r="EP32" i="36" s="1"/>
  <c r="G32" i="36"/>
  <c r="D32" i="36"/>
  <c r="GE31" i="36"/>
  <c r="FX31" i="36"/>
  <c r="FI31" i="36"/>
  <c r="FG31" i="36"/>
  <c r="EW31" i="36"/>
  <c r="EP31" i="36"/>
  <c r="DV31" i="36"/>
  <c r="CZ31" i="36"/>
  <c r="CW31" i="36"/>
  <c r="CT31" i="36"/>
  <c r="CJ31" i="36"/>
  <c r="BP31" i="36"/>
  <c r="BO31" i="36" s="1"/>
  <c r="AL31" i="36"/>
  <c r="AH31" i="36"/>
  <c r="T31" i="36"/>
  <c r="G31" i="36"/>
  <c r="D31" i="36"/>
  <c r="GE30" i="36"/>
  <c r="FX30" i="36"/>
  <c r="FI30" i="36"/>
  <c r="EW30" i="36"/>
  <c r="FG30" i="36" s="1"/>
  <c r="EP30" i="36"/>
  <c r="DV30" i="36"/>
  <c r="CZ30" i="36"/>
  <c r="CW30" i="36"/>
  <c r="CT30" i="36"/>
  <c r="CJ30" i="36"/>
  <c r="BP30" i="36"/>
  <c r="BO30" i="36"/>
  <c r="AL30" i="36"/>
  <c r="AH30" i="36"/>
  <c r="T30" i="36"/>
  <c r="G30" i="36"/>
  <c r="D30" i="36"/>
  <c r="GE29" i="36"/>
  <c r="FX29" i="36"/>
  <c r="FI29" i="36"/>
  <c r="FG29" i="36"/>
  <c r="EW29" i="36"/>
  <c r="DV29" i="36"/>
  <c r="CZ29" i="36"/>
  <c r="CW29" i="36"/>
  <c r="CT29" i="36"/>
  <c r="CJ29" i="36"/>
  <c r="BP29" i="36"/>
  <c r="BO29" i="36"/>
  <c r="AL29" i="36"/>
  <c r="AH29" i="36"/>
  <c r="T29" i="36"/>
  <c r="G29" i="36"/>
  <c r="D29" i="36"/>
  <c r="GE28" i="36"/>
  <c r="FX28" i="36"/>
  <c r="FI28" i="36"/>
  <c r="FG28" i="36"/>
  <c r="EW28" i="36"/>
  <c r="EP28" i="36"/>
  <c r="DV28" i="36"/>
  <c r="CZ28" i="36"/>
  <c r="CW28" i="36"/>
  <c r="CT28" i="36"/>
  <c r="CJ28" i="36"/>
  <c r="BP28" i="36"/>
  <c r="BO28" i="36" s="1"/>
  <c r="AL28" i="36"/>
  <c r="AH28" i="36"/>
  <c r="T28" i="36"/>
  <c r="G28" i="36"/>
  <c r="D28" i="36"/>
  <c r="GE27" i="36"/>
  <c r="FX27" i="36"/>
  <c r="FI27" i="36"/>
  <c r="FG27" i="36"/>
  <c r="EW27" i="36"/>
  <c r="DV27" i="36"/>
  <c r="CZ27" i="36"/>
  <c r="CW27" i="36"/>
  <c r="CT27" i="36"/>
  <c r="CJ27" i="36"/>
  <c r="BP27" i="36"/>
  <c r="BO27" i="36" s="1"/>
  <c r="AL27" i="36"/>
  <c r="AH27" i="36"/>
  <c r="T27" i="36"/>
  <c r="EP27" i="36" s="1"/>
  <c r="G27" i="36"/>
  <c r="D27" i="36"/>
  <c r="GE26" i="36"/>
  <c r="FX26" i="36"/>
  <c r="FI26" i="36"/>
  <c r="EW26" i="36"/>
  <c r="FG26" i="36" s="1"/>
  <c r="DV26" i="36"/>
  <c r="CZ26" i="36"/>
  <c r="CW26" i="36"/>
  <c r="CT26" i="36"/>
  <c r="CJ26" i="36"/>
  <c r="BP26" i="36"/>
  <c r="BO26" i="36"/>
  <c r="AL26" i="36"/>
  <c r="AH26" i="36"/>
  <c r="T26" i="36"/>
  <c r="EP26" i="36" s="1"/>
  <c r="G26" i="36"/>
  <c r="D26" i="36"/>
  <c r="GE25" i="36"/>
  <c r="FX25" i="36"/>
  <c r="FI25" i="36"/>
  <c r="FG25" i="36"/>
  <c r="EW25" i="36"/>
  <c r="EP25" i="36"/>
  <c r="DV25" i="36"/>
  <c r="CZ25" i="36"/>
  <c r="CW25" i="36"/>
  <c r="CT25" i="36"/>
  <c r="CJ25" i="36"/>
  <c r="BP25" i="36"/>
  <c r="BO25" i="36" s="1"/>
  <c r="AL25" i="36"/>
  <c r="AH25" i="36"/>
  <c r="T25" i="36"/>
  <c r="G25" i="36"/>
  <c r="D25" i="36"/>
  <c r="GE24" i="36"/>
  <c r="FX24" i="36"/>
  <c r="FI24" i="36"/>
  <c r="FG24" i="36"/>
  <c r="EW24" i="36"/>
  <c r="DV24" i="36"/>
  <c r="CZ24" i="36"/>
  <c r="CW24" i="36"/>
  <c r="CT24" i="36"/>
  <c r="CJ24" i="36"/>
  <c r="BP24" i="36"/>
  <c r="BO24" i="36" s="1"/>
  <c r="AL24" i="36"/>
  <c r="AH24" i="36"/>
  <c r="T24" i="36"/>
  <c r="EP24" i="36" s="1"/>
  <c r="G24" i="36"/>
  <c r="D24" i="36"/>
  <c r="GE23" i="36"/>
  <c r="FX23" i="36"/>
  <c r="FI23" i="36"/>
  <c r="FG23" i="36"/>
  <c r="EW23" i="36"/>
  <c r="DV23" i="36"/>
  <c r="CZ23" i="36"/>
  <c r="CW23" i="36"/>
  <c r="CT23" i="36"/>
  <c r="CJ23" i="36"/>
  <c r="BP23" i="36"/>
  <c r="BO23" i="36" s="1"/>
  <c r="AL23" i="36"/>
  <c r="AH23" i="36"/>
  <c r="T23" i="36"/>
  <c r="EP23" i="36" s="1"/>
  <c r="G23" i="36"/>
  <c r="D23" i="36"/>
  <c r="GE22" i="36"/>
  <c r="FX22" i="36"/>
  <c r="FI22" i="36"/>
  <c r="FG22" i="36"/>
  <c r="EW22" i="36"/>
  <c r="DV22" i="36"/>
  <c r="CZ22" i="36"/>
  <c r="CW22" i="36"/>
  <c r="CT22" i="36"/>
  <c r="CJ22" i="36"/>
  <c r="BP22" i="36"/>
  <c r="BO22" i="36" s="1"/>
  <c r="AL22" i="36"/>
  <c r="AH22" i="36"/>
  <c r="T22" i="36"/>
  <c r="EP22" i="36" s="1"/>
  <c r="G22" i="36"/>
  <c r="D22" i="36"/>
  <c r="GE21" i="36"/>
  <c r="FX21" i="36"/>
  <c r="FI21" i="36"/>
  <c r="EW21" i="36"/>
  <c r="FG21" i="36" s="1"/>
  <c r="EP21" i="36"/>
  <c r="DV21" i="36"/>
  <c r="CZ21" i="36"/>
  <c r="CW21" i="36"/>
  <c r="CT21" i="36"/>
  <c r="CJ21" i="36"/>
  <c r="BP21" i="36"/>
  <c r="BO21" i="36"/>
  <c r="AL21" i="36"/>
  <c r="AH21" i="36"/>
  <c r="T21" i="36"/>
  <c r="G21" i="36"/>
  <c r="D21" i="36"/>
  <c r="GE20" i="36"/>
  <c r="FX20" i="36"/>
  <c r="FI20" i="36"/>
  <c r="EW20" i="36"/>
  <c r="FG20" i="36" s="1"/>
  <c r="DV20" i="36"/>
  <c r="CZ20" i="36"/>
  <c r="CW20" i="36"/>
  <c r="CT20" i="36"/>
  <c r="CJ20" i="36"/>
  <c r="BP20" i="36"/>
  <c r="BO20" i="36"/>
  <c r="AL20" i="36"/>
  <c r="AH20" i="36"/>
  <c r="T20" i="36"/>
  <c r="G20" i="36"/>
  <c r="D20" i="36"/>
  <c r="GE19" i="36"/>
  <c r="FX19" i="36"/>
  <c r="FI19" i="36"/>
  <c r="FG19" i="36"/>
  <c r="EW19" i="36"/>
  <c r="EP19" i="36"/>
  <c r="DV19" i="36"/>
  <c r="CZ19" i="36"/>
  <c r="CW19" i="36"/>
  <c r="CT19" i="36"/>
  <c r="CJ19" i="36"/>
  <c r="BP19" i="36"/>
  <c r="BO19" i="36" s="1"/>
  <c r="AL19" i="36"/>
  <c r="AH19" i="36"/>
  <c r="T19" i="36"/>
  <c r="G19" i="36"/>
  <c r="D19" i="36"/>
  <c r="GE18" i="36"/>
  <c r="FX18" i="36"/>
  <c r="FI18" i="36"/>
  <c r="EW18" i="36"/>
  <c r="FG18" i="36" s="1"/>
  <c r="DV18" i="36"/>
  <c r="CZ18" i="36"/>
  <c r="CW18" i="36"/>
  <c r="CT18" i="36"/>
  <c r="CJ18" i="36"/>
  <c r="BP18" i="36"/>
  <c r="BO18" i="36"/>
  <c r="AL18" i="36"/>
  <c r="AH18" i="36"/>
  <c r="T18" i="36"/>
  <c r="EP18" i="36" s="1"/>
  <c r="G18" i="36"/>
  <c r="D18" i="36"/>
  <c r="GE17" i="36"/>
  <c r="FX17" i="36"/>
  <c r="FI17" i="36"/>
  <c r="EW17" i="36"/>
  <c r="FG17" i="36" s="1"/>
  <c r="DV17" i="36"/>
  <c r="CZ17" i="36"/>
  <c r="CW17" i="36"/>
  <c r="CT17" i="36"/>
  <c r="CJ17" i="36"/>
  <c r="BP17" i="36"/>
  <c r="BO17" i="36"/>
  <c r="AL17" i="36"/>
  <c r="AH17" i="36"/>
  <c r="T17" i="36"/>
  <c r="EP17" i="36" s="1"/>
  <c r="G17" i="36"/>
  <c r="D17" i="36"/>
  <c r="GE16" i="36"/>
  <c r="FX16" i="36"/>
  <c r="FI16" i="36"/>
  <c r="FG16" i="36"/>
  <c r="EW16" i="36"/>
  <c r="EP16" i="36"/>
  <c r="DV16" i="36"/>
  <c r="CZ16" i="36"/>
  <c r="CW16" i="36"/>
  <c r="CT16" i="36"/>
  <c r="CJ16" i="36"/>
  <c r="BP16" i="36"/>
  <c r="BO16" i="36" s="1"/>
  <c r="AL16" i="36"/>
  <c r="AH16" i="36"/>
  <c r="T16" i="36"/>
  <c r="G16" i="36"/>
  <c r="D16" i="36"/>
  <c r="GE15" i="36"/>
  <c r="FX15" i="36"/>
  <c r="FI15" i="36"/>
  <c r="FG15" i="36"/>
  <c r="EW15" i="36"/>
  <c r="DV15" i="36"/>
  <c r="CZ15" i="36"/>
  <c r="CW15" i="36"/>
  <c r="CT15" i="36"/>
  <c r="CJ15" i="36"/>
  <c r="BP15" i="36"/>
  <c r="BO15" i="36" s="1"/>
  <c r="AL15" i="36"/>
  <c r="AH15" i="36"/>
  <c r="T15" i="36"/>
  <c r="EP15" i="36" s="1"/>
  <c r="G15" i="36"/>
  <c r="D15" i="36"/>
  <c r="GE14" i="36"/>
  <c r="FX14" i="36"/>
  <c r="FI14" i="36"/>
  <c r="FG14" i="36"/>
  <c r="EW14" i="36"/>
  <c r="EP14" i="36"/>
  <c r="DV14" i="36"/>
  <c r="CZ14" i="36"/>
  <c r="CW14" i="36"/>
  <c r="CT14" i="36"/>
  <c r="CJ14" i="36"/>
  <c r="BP14" i="36"/>
  <c r="BO14" i="36" s="1"/>
  <c r="AL14" i="36"/>
  <c r="AH14" i="36"/>
  <c r="T14" i="36"/>
  <c r="G14" i="36"/>
  <c r="D14" i="36"/>
  <c r="GE13" i="36"/>
  <c r="FX13" i="36"/>
  <c r="FI13" i="36"/>
  <c r="FG13" i="36"/>
  <c r="EW13" i="36"/>
  <c r="DV13" i="36"/>
  <c r="CZ13" i="36"/>
  <c r="CW13" i="36"/>
  <c r="CT13" i="36"/>
  <c r="CJ13" i="36"/>
  <c r="BP13" i="36"/>
  <c r="BO13" i="36" s="1"/>
  <c r="AL13" i="36"/>
  <c r="AH13" i="36"/>
  <c r="T13" i="36"/>
  <c r="EP13" i="36" s="1"/>
  <c r="G13" i="36"/>
  <c r="D13" i="36"/>
  <c r="GE12" i="36"/>
  <c r="FX12" i="36"/>
  <c r="FI12" i="36"/>
  <c r="EW12" i="36"/>
  <c r="FG12" i="36" s="1"/>
  <c r="EP12" i="36"/>
  <c r="DV12" i="36"/>
  <c r="CZ12" i="36"/>
  <c r="CW12" i="36"/>
  <c r="CT12" i="36"/>
  <c r="CJ12" i="36"/>
  <c r="BP12" i="36"/>
  <c r="BO12" i="36"/>
  <c r="AL12" i="36"/>
  <c r="AH12" i="36"/>
  <c r="T12" i="36"/>
  <c r="G12" i="36"/>
  <c r="D12" i="36"/>
  <c r="GE11" i="36"/>
  <c r="FX11" i="36"/>
  <c r="FI11" i="36"/>
  <c r="FG11" i="36"/>
  <c r="EW11" i="36"/>
  <c r="DV11" i="36"/>
  <c r="CZ11" i="36"/>
  <c r="CW11" i="36"/>
  <c r="CT11" i="36"/>
  <c r="CJ11" i="36"/>
  <c r="BP11" i="36"/>
  <c r="AL11" i="36"/>
  <c r="AH11" i="36"/>
  <c r="T11" i="36"/>
  <c r="G11" i="36"/>
  <c r="D11" i="36"/>
  <c r="GE10" i="36"/>
  <c r="FX10" i="36"/>
  <c r="FI10" i="36"/>
  <c r="FG10" i="36"/>
  <c r="EW10" i="36"/>
  <c r="DV10" i="36"/>
  <c r="CZ10" i="36"/>
  <c r="CW10" i="36"/>
  <c r="CT10" i="36"/>
  <c r="CJ10" i="36"/>
  <c r="BP10" i="36"/>
  <c r="BO10" i="36" s="1"/>
  <c r="AL10" i="36"/>
  <c r="AH10" i="36"/>
  <c r="T10" i="36"/>
  <c r="EP10" i="36" s="1"/>
  <c r="G10" i="36"/>
  <c r="D10" i="36"/>
  <c r="GE9" i="36"/>
  <c r="FX9" i="36"/>
  <c r="FI9" i="36"/>
  <c r="EW9" i="36"/>
  <c r="FG9" i="36" s="1"/>
  <c r="DV9" i="36"/>
  <c r="CZ9" i="36"/>
  <c r="CW9" i="36"/>
  <c r="CT9" i="36"/>
  <c r="CJ9" i="36"/>
  <c r="BP9" i="36"/>
  <c r="BO9" i="36"/>
  <c r="AL9" i="36"/>
  <c r="AH9" i="36"/>
  <c r="T9" i="36"/>
  <c r="EP9" i="36" s="1"/>
  <c r="G9" i="36"/>
  <c r="D9" i="36"/>
  <c r="GE8" i="36"/>
  <c r="FX8" i="36"/>
  <c r="FI8" i="36"/>
  <c r="EW8" i="36"/>
  <c r="FG8" i="36" s="1"/>
  <c r="DV8" i="36"/>
  <c r="CZ8" i="36"/>
  <c r="CW8" i="36"/>
  <c r="CT8" i="36"/>
  <c r="CJ8" i="36"/>
  <c r="BP8" i="36"/>
  <c r="BO8" i="36"/>
  <c r="AL8" i="36"/>
  <c r="AH8" i="36"/>
  <c r="T8" i="36"/>
  <c r="EP8" i="36" s="1"/>
  <c r="G8" i="36"/>
  <c r="D8" i="36"/>
  <c r="GE7" i="36"/>
  <c r="FX7" i="36"/>
  <c r="FI7" i="36"/>
  <c r="FG7" i="36"/>
  <c r="EW7" i="36"/>
  <c r="EP7" i="36"/>
  <c r="DV7" i="36"/>
  <c r="CZ7" i="36"/>
  <c r="CW7" i="36"/>
  <c r="CT7" i="36"/>
  <c r="CJ7" i="36"/>
  <c r="BP7" i="36"/>
  <c r="BO7" i="36" s="1"/>
  <c r="AL7" i="36"/>
  <c r="AH7" i="36"/>
  <c r="T7" i="36"/>
  <c r="G7" i="36"/>
  <c r="D7" i="36"/>
  <c r="GE6" i="36"/>
  <c r="FX6" i="36"/>
  <c r="FI6" i="36"/>
  <c r="EW6" i="36"/>
  <c r="FG6" i="36" s="1"/>
  <c r="DV6" i="36"/>
  <c r="CZ6" i="36"/>
  <c r="CW6" i="36"/>
  <c r="CT6" i="36"/>
  <c r="CJ6" i="36"/>
  <c r="BP6" i="36"/>
  <c r="BO6" i="36"/>
  <c r="AL6" i="36"/>
  <c r="AH6" i="36"/>
  <c r="T6" i="36"/>
  <c r="G6" i="36"/>
  <c r="D6" i="36"/>
  <c r="FJ52" i="35"/>
  <c r="GE49" i="35" s="1"/>
  <c r="GI50" i="35"/>
  <c r="FD50" i="35"/>
  <c r="EV50" i="35"/>
  <c r="EU50" i="35"/>
  <c r="EM50" i="35"/>
  <c r="DP50" i="35"/>
  <c r="DN50" i="35"/>
  <c r="DF50" i="35"/>
  <c r="CV50" i="35"/>
  <c r="CU50" i="35"/>
  <c r="CT50" i="35" s="1"/>
  <c r="CL50" i="35"/>
  <c r="CD50" i="35"/>
  <c r="CC50" i="35"/>
  <c r="BU50" i="35"/>
  <c r="BQ50" i="35"/>
  <c r="BP50" i="35" s="1"/>
  <c r="BI50" i="35"/>
  <c r="BF50" i="35"/>
  <c r="AX50" i="35"/>
  <c r="AP50" i="35"/>
  <c r="AO50" i="35"/>
  <c r="Y50" i="35"/>
  <c r="U50" i="35"/>
  <c r="T50" i="35"/>
  <c r="N50" i="35"/>
  <c r="GI49" i="35"/>
  <c r="GD49" i="35"/>
  <c r="GC49" i="35"/>
  <c r="GB49" i="35"/>
  <c r="GB50" i="35" s="1"/>
  <c r="GA49" i="35"/>
  <c r="FZ49" i="35"/>
  <c r="FY49" i="35"/>
  <c r="FW49" i="35"/>
  <c r="FX49" i="35" s="1"/>
  <c r="FM49" i="35"/>
  <c r="FL49" i="35"/>
  <c r="FK49" i="35"/>
  <c r="FJ49" i="35"/>
  <c r="FH49" i="35"/>
  <c r="FF49" i="35"/>
  <c r="FE49" i="35"/>
  <c r="FD49" i="35"/>
  <c r="FC49" i="35"/>
  <c r="FC50" i="35" s="1"/>
  <c r="FA49" i="35"/>
  <c r="EW49" i="35" s="1"/>
  <c r="EZ49" i="35"/>
  <c r="EY49" i="35"/>
  <c r="EX49" i="35"/>
  <c r="EV49" i="35"/>
  <c r="EU49" i="35"/>
  <c r="ET49" i="35"/>
  <c r="ET50" i="35" s="1"/>
  <c r="ES49" i="35"/>
  <c r="ER49" i="35"/>
  <c r="EQ49" i="35"/>
  <c r="EO49" i="35"/>
  <c r="EN49" i="35"/>
  <c r="EM49" i="35"/>
  <c r="EJ49" i="35"/>
  <c r="EJ50" i="35" s="1"/>
  <c r="EI49" i="35"/>
  <c r="EI50" i="35" s="1"/>
  <c r="EH49" i="35"/>
  <c r="FI49" i="35" s="1"/>
  <c r="EG49" i="35"/>
  <c r="EF49" i="35"/>
  <c r="ED49" i="35"/>
  <c r="EC49" i="35"/>
  <c r="EA49" i="35"/>
  <c r="DZ49" i="35"/>
  <c r="DZ50" i="35" s="1"/>
  <c r="DY49" i="35"/>
  <c r="DY50" i="35" s="1"/>
  <c r="DW49" i="35"/>
  <c r="DV49" i="35" s="1"/>
  <c r="DU49" i="35"/>
  <c r="DT49" i="35"/>
  <c r="DS49" i="35"/>
  <c r="DR49" i="35"/>
  <c r="DQ49" i="35"/>
  <c r="DQ50" i="35" s="1"/>
  <c r="DP49" i="35"/>
  <c r="DO49" i="35"/>
  <c r="DN49" i="35"/>
  <c r="DM49" i="35"/>
  <c r="DL49" i="35"/>
  <c r="DK49" i="35"/>
  <c r="DJ49" i="35"/>
  <c r="DI49" i="35"/>
  <c r="DI50" i="35" s="1"/>
  <c r="DH49" i="35"/>
  <c r="DG49" i="35"/>
  <c r="DF49" i="35"/>
  <c r="DE49" i="35"/>
  <c r="DD49" i="35"/>
  <c r="DC49" i="35"/>
  <c r="DB49" i="35"/>
  <c r="DA49" i="35"/>
  <c r="DA50" i="35" s="1"/>
  <c r="CZ49" i="35"/>
  <c r="CY49" i="35"/>
  <c r="CX49" i="35"/>
  <c r="CW49" i="35" s="1"/>
  <c r="CV49" i="35"/>
  <c r="CT49" i="35" s="1"/>
  <c r="CU49" i="35"/>
  <c r="CS49" i="35"/>
  <c r="CR49" i="35"/>
  <c r="CQ49" i="35"/>
  <c r="CP49" i="35"/>
  <c r="CO49" i="35"/>
  <c r="CN49" i="35"/>
  <c r="CM49" i="35"/>
  <c r="CL49" i="35"/>
  <c r="CK49" i="35"/>
  <c r="CK50" i="35" s="1"/>
  <c r="CI49" i="35"/>
  <c r="CJ49" i="35" s="1"/>
  <c r="CH49" i="35"/>
  <c r="CG49" i="35"/>
  <c r="CF49" i="35"/>
  <c r="CE49" i="35"/>
  <c r="CD49" i="35"/>
  <c r="CC49" i="35"/>
  <c r="CB49" i="35"/>
  <c r="CA49" i="35"/>
  <c r="BZ49" i="35"/>
  <c r="BY49" i="35"/>
  <c r="BX49" i="35"/>
  <c r="BW49" i="35"/>
  <c r="BU49" i="35"/>
  <c r="BQ49" i="35"/>
  <c r="BP49" i="35"/>
  <c r="BO49" i="35"/>
  <c r="BN49" i="35"/>
  <c r="BM49" i="35"/>
  <c r="BL49" i="35"/>
  <c r="BK49" i="35"/>
  <c r="BJ49" i="35"/>
  <c r="BI49" i="35"/>
  <c r="BH49" i="35"/>
  <c r="BG49" i="35"/>
  <c r="BF49" i="35"/>
  <c r="BE49" i="35"/>
  <c r="BD49" i="35"/>
  <c r="BC49" i="35"/>
  <c r="BB49" i="35"/>
  <c r="BA49" i="35"/>
  <c r="BA50" i="35" s="1"/>
  <c r="AZ49" i="35"/>
  <c r="AY49" i="35"/>
  <c r="AX49" i="35"/>
  <c r="AW49" i="35"/>
  <c r="AV49" i="35"/>
  <c r="AU49" i="35"/>
  <c r="AT49" i="35"/>
  <c r="AS49" i="35"/>
  <c r="AS50" i="35" s="1"/>
  <c r="AR49" i="35"/>
  <c r="AQ49" i="35"/>
  <c r="AP49" i="35"/>
  <c r="AO49" i="35"/>
  <c r="AN49" i="35"/>
  <c r="AL49" i="35" s="1"/>
  <c r="AM49" i="35"/>
  <c r="AK49" i="35"/>
  <c r="AK50" i="35" s="1"/>
  <c r="AJ49" i="35"/>
  <c r="AI49" i="35"/>
  <c r="AH49" i="35" s="1"/>
  <c r="AG49" i="35"/>
  <c r="AF49" i="35"/>
  <c r="AE49" i="35"/>
  <c r="AD49" i="35"/>
  <c r="AC49" i="35"/>
  <c r="AC50" i="35" s="1"/>
  <c r="AA49" i="35"/>
  <c r="Z49" i="35"/>
  <c r="Y49" i="35"/>
  <c r="U49" i="35"/>
  <c r="S49" i="35"/>
  <c r="R49" i="35"/>
  <c r="Q49" i="35"/>
  <c r="Q50" i="35" s="1"/>
  <c r="P49" i="35"/>
  <c r="O49" i="35"/>
  <c r="N49" i="35"/>
  <c r="M49" i="35"/>
  <c r="L49" i="35"/>
  <c r="K49" i="35"/>
  <c r="J49" i="35"/>
  <c r="I49" i="35"/>
  <c r="I50" i="35" s="1"/>
  <c r="H49" i="35"/>
  <c r="G49" i="35" s="1"/>
  <c r="F49" i="35"/>
  <c r="E49" i="35"/>
  <c r="D49" i="35"/>
  <c r="C49" i="35"/>
  <c r="GE48" i="35"/>
  <c r="FX48" i="35"/>
  <c r="FI48" i="35"/>
  <c r="FG48" i="35"/>
  <c r="EW48" i="35"/>
  <c r="DV48" i="35"/>
  <c r="CZ48" i="35"/>
  <c r="CW48" i="35"/>
  <c r="CT48" i="35"/>
  <c r="CJ48" i="35"/>
  <c r="BP48" i="35"/>
  <c r="BO48" i="35" s="1"/>
  <c r="AL48" i="35"/>
  <c r="AH48" i="35"/>
  <c r="T48" i="35"/>
  <c r="G48" i="35"/>
  <c r="D48" i="35"/>
  <c r="FX47" i="35"/>
  <c r="FI47" i="35"/>
  <c r="FG47" i="35"/>
  <c r="EW47" i="35"/>
  <c r="EP47" i="35"/>
  <c r="DV47" i="35"/>
  <c r="CZ47" i="35"/>
  <c r="CW47" i="35"/>
  <c r="CT47" i="35"/>
  <c r="CJ47" i="35"/>
  <c r="BP47" i="35"/>
  <c r="BO47" i="35" s="1"/>
  <c r="AL47" i="35"/>
  <c r="AH47" i="35"/>
  <c r="T47" i="35"/>
  <c r="G47" i="35"/>
  <c r="D47" i="35"/>
  <c r="GE46" i="35"/>
  <c r="FX46" i="35"/>
  <c r="FI46" i="35"/>
  <c r="FG46" i="35"/>
  <c r="EW46" i="35"/>
  <c r="DV46" i="35"/>
  <c r="CZ46" i="35"/>
  <c r="CW46" i="35"/>
  <c r="CT46" i="35"/>
  <c r="CJ46" i="35"/>
  <c r="BP46" i="35"/>
  <c r="BO46" i="35" s="1"/>
  <c r="AL46" i="35"/>
  <c r="AH46" i="35"/>
  <c r="T46" i="35"/>
  <c r="EP46" i="35" s="1"/>
  <c r="G46" i="35"/>
  <c r="D46" i="35"/>
  <c r="GE45" i="35"/>
  <c r="FX45" i="35"/>
  <c r="FI45" i="35"/>
  <c r="EW45" i="35"/>
  <c r="FG45" i="35" s="1"/>
  <c r="EP45" i="35"/>
  <c r="DV45" i="35"/>
  <c r="CZ45" i="35"/>
  <c r="CW45" i="35"/>
  <c r="CT45" i="35"/>
  <c r="CJ45" i="35"/>
  <c r="BP45" i="35"/>
  <c r="BO45" i="35"/>
  <c r="AL45" i="35"/>
  <c r="AH45" i="35"/>
  <c r="T45" i="35"/>
  <c r="G45" i="35"/>
  <c r="D45" i="35"/>
  <c r="FX44" i="35"/>
  <c r="FI44" i="35"/>
  <c r="FG44" i="35"/>
  <c r="EW44" i="35"/>
  <c r="EP44" i="35"/>
  <c r="DV44" i="35"/>
  <c r="CZ44" i="35"/>
  <c r="CW44" i="35"/>
  <c r="CT44" i="35"/>
  <c r="CJ44" i="35"/>
  <c r="BP44" i="35"/>
  <c r="BO44" i="35" s="1"/>
  <c r="AL44" i="35"/>
  <c r="AH44" i="35"/>
  <c r="T44" i="35"/>
  <c r="G44" i="35"/>
  <c r="D44" i="35"/>
  <c r="GE43" i="35"/>
  <c r="FX43" i="35"/>
  <c r="FI43" i="35"/>
  <c r="FG43" i="35"/>
  <c r="EW43" i="35"/>
  <c r="DV43" i="35"/>
  <c r="CZ43" i="35"/>
  <c r="CW43" i="35"/>
  <c r="CT43" i="35"/>
  <c r="CJ43" i="35"/>
  <c r="BP43" i="35"/>
  <c r="BO43" i="35" s="1"/>
  <c r="AL43" i="35"/>
  <c r="AH43" i="35"/>
  <c r="T43" i="35"/>
  <c r="EP43" i="35" s="1"/>
  <c r="G43" i="35"/>
  <c r="D43" i="35"/>
  <c r="GE42" i="35"/>
  <c r="FX42" i="35"/>
  <c r="FI42" i="35"/>
  <c r="EW42" i="35"/>
  <c r="FG42" i="35" s="1"/>
  <c r="DV42" i="35"/>
  <c r="CZ42" i="35"/>
  <c r="CW42" i="35"/>
  <c r="CT42" i="35"/>
  <c r="CJ42" i="35"/>
  <c r="BP42" i="35"/>
  <c r="BO42" i="35"/>
  <c r="AL42" i="35"/>
  <c r="AH42" i="35"/>
  <c r="T42" i="35"/>
  <c r="EP42" i="35" s="1"/>
  <c r="G42" i="35"/>
  <c r="D42" i="35"/>
  <c r="FX41" i="35"/>
  <c r="FI41" i="35"/>
  <c r="FG41" i="35"/>
  <c r="EW41" i="35"/>
  <c r="DV41" i="35"/>
  <c r="CZ41" i="35"/>
  <c r="CW41" i="35"/>
  <c r="CT41" i="35"/>
  <c r="CJ41" i="35"/>
  <c r="BP41" i="35"/>
  <c r="BO41" i="35" s="1"/>
  <c r="AL41" i="35"/>
  <c r="AH41" i="35"/>
  <c r="T41" i="35"/>
  <c r="EP41" i="35" s="1"/>
  <c r="G41" i="35"/>
  <c r="D41" i="35"/>
  <c r="GE40" i="35"/>
  <c r="FX40" i="35"/>
  <c r="FI40" i="35"/>
  <c r="EW40" i="35"/>
  <c r="FG40" i="35" s="1"/>
  <c r="EP40" i="35"/>
  <c r="DV40" i="35"/>
  <c r="CZ40" i="35"/>
  <c r="CW40" i="35"/>
  <c r="CT40" i="35"/>
  <c r="CJ40" i="35"/>
  <c r="BP40" i="35"/>
  <c r="BO40" i="35"/>
  <c r="AL40" i="35"/>
  <c r="AH40" i="35"/>
  <c r="T40" i="35"/>
  <c r="G40" i="35"/>
  <c r="D40" i="35"/>
  <c r="FX39" i="35"/>
  <c r="FI39" i="35"/>
  <c r="EW39" i="35"/>
  <c r="FG39" i="35" s="1"/>
  <c r="EP39" i="35"/>
  <c r="DV39" i="35"/>
  <c r="CZ39" i="35"/>
  <c r="CW39" i="35"/>
  <c r="CT39" i="35"/>
  <c r="CJ39" i="35"/>
  <c r="BP39" i="35"/>
  <c r="BO39" i="35"/>
  <c r="AL39" i="35"/>
  <c r="AH39" i="35"/>
  <c r="T39" i="35"/>
  <c r="G39" i="35"/>
  <c r="D39" i="35"/>
  <c r="FX38" i="35"/>
  <c r="FI38" i="35"/>
  <c r="FG38" i="35"/>
  <c r="EW38" i="35"/>
  <c r="DV38" i="35"/>
  <c r="CZ38" i="35"/>
  <c r="CW38" i="35"/>
  <c r="CT38" i="35"/>
  <c r="CJ38" i="35"/>
  <c r="BP38" i="35"/>
  <c r="BO38" i="35"/>
  <c r="AL38" i="35"/>
  <c r="AH38" i="35"/>
  <c r="T38" i="35"/>
  <c r="EP38" i="35" s="1"/>
  <c r="G38" i="35"/>
  <c r="D38" i="35"/>
  <c r="GI37" i="35"/>
  <c r="GD37" i="35"/>
  <c r="GD50" i="35" s="1"/>
  <c r="GC37" i="35"/>
  <c r="GC50" i="35" s="1"/>
  <c r="GB37" i="35"/>
  <c r="GA37" i="35"/>
  <c r="GA50" i="35" s="1"/>
  <c r="FZ37" i="35"/>
  <c r="FY37" i="35"/>
  <c r="FY50" i="35" s="1"/>
  <c r="FX37" i="35"/>
  <c r="FW37" i="35"/>
  <c r="FW50" i="35" s="1"/>
  <c r="FM37" i="35"/>
  <c r="FM50" i="35" s="1"/>
  <c r="FL37" i="35"/>
  <c r="FL50" i="35" s="1"/>
  <c r="FK37" i="35"/>
  <c r="FJ37" i="35"/>
  <c r="FH37" i="35"/>
  <c r="FH50" i="35" s="1"/>
  <c r="FF37" i="35"/>
  <c r="FF50" i="35" s="1"/>
  <c r="FE37" i="35"/>
  <c r="FE50" i="35" s="1"/>
  <c r="FD37" i="35"/>
  <c r="FC37" i="35"/>
  <c r="FA37" i="35"/>
  <c r="EZ37" i="35"/>
  <c r="EY37" i="35"/>
  <c r="EY50" i="35" s="1"/>
  <c r="EX37" i="35"/>
  <c r="EV37" i="35"/>
  <c r="EU37" i="35"/>
  <c r="ET37" i="35"/>
  <c r="ES37" i="35"/>
  <c r="ER37" i="35"/>
  <c r="EQ37" i="35"/>
  <c r="EQ50" i="35" s="1"/>
  <c r="EP37" i="35"/>
  <c r="EO37" i="35"/>
  <c r="EO50" i="35" s="1"/>
  <c r="EN37" i="35"/>
  <c r="EN50" i="35" s="1"/>
  <c r="EM37" i="35"/>
  <c r="EJ37" i="35"/>
  <c r="EI37" i="35"/>
  <c r="EH37" i="35"/>
  <c r="EG37" i="35"/>
  <c r="EG50" i="35" s="1"/>
  <c r="EF37" i="35"/>
  <c r="EF50" i="35" s="1"/>
  <c r="ED37" i="35"/>
  <c r="ED50" i="35" s="1"/>
  <c r="EC37" i="35"/>
  <c r="EC50" i="35" s="1"/>
  <c r="EA37" i="35"/>
  <c r="EA50" i="35" s="1"/>
  <c r="DZ37" i="35"/>
  <c r="DY37" i="35"/>
  <c r="DW37" i="35"/>
  <c r="DV37" i="35"/>
  <c r="DU37" i="35"/>
  <c r="DU50" i="35" s="1"/>
  <c r="DT37" i="35"/>
  <c r="DT50" i="35" s="1"/>
  <c r="DS37" i="35"/>
  <c r="DS50" i="35" s="1"/>
  <c r="DR37" i="35"/>
  <c r="DR50" i="35" s="1"/>
  <c r="DQ37" i="35"/>
  <c r="DP37" i="35"/>
  <c r="DO37" i="35"/>
  <c r="DN37" i="35"/>
  <c r="DM37" i="35"/>
  <c r="DM50" i="35" s="1"/>
  <c r="DL37" i="35"/>
  <c r="DL50" i="35" s="1"/>
  <c r="DK37" i="35"/>
  <c r="DK50" i="35" s="1"/>
  <c r="DJ37" i="35"/>
  <c r="DJ50" i="35" s="1"/>
  <c r="DI37" i="35"/>
  <c r="DH37" i="35"/>
  <c r="DH50" i="35" s="1"/>
  <c r="DG37" i="35"/>
  <c r="DF37" i="35"/>
  <c r="DE37" i="35"/>
  <c r="DE50" i="35" s="1"/>
  <c r="DD37" i="35"/>
  <c r="DD50" i="35" s="1"/>
  <c r="DC37" i="35"/>
  <c r="DC50" i="35" s="1"/>
  <c r="DB37" i="35"/>
  <c r="DB50" i="35" s="1"/>
  <c r="DA37" i="35"/>
  <c r="CZ37" i="35"/>
  <c r="CY37" i="35"/>
  <c r="CX37" i="35"/>
  <c r="CX50" i="35" s="1"/>
  <c r="CW37" i="35"/>
  <c r="CV37" i="35"/>
  <c r="CU37" i="35"/>
  <c r="CS37" i="35"/>
  <c r="CS50" i="35" s="1"/>
  <c r="CR37" i="35"/>
  <c r="CR50" i="35" s="1"/>
  <c r="CQ37" i="35"/>
  <c r="CP37" i="35"/>
  <c r="CP50" i="35" s="1"/>
  <c r="CO37" i="35"/>
  <c r="CO50" i="35" s="1"/>
  <c r="CN37" i="35"/>
  <c r="CN50" i="35" s="1"/>
  <c r="CM37" i="35"/>
  <c r="CM50" i="35" s="1"/>
  <c r="CL37" i="35"/>
  <c r="CK37" i="35"/>
  <c r="CJ37" i="35"/>
  <c r="CI37" i="35"/>
  <c r="CH37" i="35"/>
  <c r="CH50" i="35" s="1"/>
  <c r="CG37" i="35"/>
  <c r="CG50" i="35" s="1"/>
  <c r="CF37" i="35"/>
  <c r="CF50" i="35" s="1"/>
  <c r="CE37" i="35"/>
  <c r="CE50" i="35" s="1"/>
  <c r="CD37" i="35"/>
  <c r="CC37" i="35"/>
  <c r="CB37" i="35"/>
  <c r="CB50" i="35" s="1"/>
  <c r="CA37" i="35"/>
  <c r="BZ37" i="35"/>
  <c r="BZ50" i="35" s="1"/>
  <c r="BY37" i="35"/>
  <c r="BY50" i="35" s="1"/>
  <c r="BX37" i="35"/>
  <c r="BX50" i="35" s="1"/>
  <c r="BW37" i="35"/>
  <c r="BW50" i="35" s="1"/>
  <c r="BU37" i="35"/>
  <c r="BQ37" i="35"/>
  <c r="BP37" i="35"/>
  <c r="BN37" i="35"/>
  <c r="BN50" i="35" s="1"/>
  <c r="BM37" i="35"/>
  <c r="BM50" i="35" s="1"/>
  <c r="BL37" i="35"/>
  <c r="BL50" i="35" s="1"/>
  <c r="BK37" i="35"/>
  <c r="BK50" i="35" s="1"/>
  <c r="BJ37" i="35"/>
  <c r="BJ50" i="35" s="1"/>
  <c r="BI37" i="35"/>
  <c r="BH37" i="35"/>
  <c r="BH50" i="35" s="1"/>
  <c r="BG37" i="35"/>
  <c r="BF37" i="35"/>
  <c r="BE37" i="35"/>
  <c r="BE50" i="35" s="1"/>
  <c r="BD37" i="35"/>
  <c r="BD50" i="35" s="1"/>
  <c r="BC37" i="35"/>
  <c r="BC50" i="35" s="1"/>
  <c r="BB37" i="35"/>
  <c r="BB50" i="35" s="1"/>
  <c r="BA37" i="35"/>
  <c r="AZ37" i="35"/>
  <c r="AZ50" i="35" s="1"/>
  <c r="AY37" i="35"/>
  <c r="AX37" i="35"/>
  <c r="AW37" i="35"/>
  <c r="AW50" i="35" s="1"/>
  <c r="AV37" i="35"/>
  <c r="AV50" i="35" s="1"/>
  <c r="AU37" i="35"/>
  <c r="AU50" i="35" s="1"/>
  <c r="AT37" i="35"/>
  <c r="AT50" i="35" s="1"/>
  <c r="AS37" i="35"/>
  <c r="AR37" i="35"/>
  <c r="AR50" i="35" s="1"/>
  <c r="AQ37" i="35"/>
  <c r="AP37" i="35"/>
  <c r="AO37" i="35"/>
  <c r="AN37" i="35"/>
  <c r="AN50" i="35" s="1"/>
  <c r="AM37" i="35"/>
  <c r="AK37" i="35"/>
  <c r="AJ37" i="35"/>
  <c r="AI37" i="35"/>
  <c r="AI50" i="35" s="1"/>
  <c r="AG37" i="35"/>
  <c r="AG50" i="35" s="1"/>
  <c r="AF37" i="35"/>
  <c r="AF50" i="35" s="1"/>
  <c r="AE37" i="35"/>
  <c r="AE50" i="35" s="1"/>
  <c r="AD37" i="35"/>
  <c r="AD50" i="35" s="1"/>
  <c r="AC37" i="35"/>
  <c r="AA37" i="35"/>
  <c r="AA50" i="35" s="1"/>
  <c r="Z37" i="35"/>
  <c r="Z50" i="35" s="1"/>
  <c r="Y37" i="35"/>
  <c r="U37" i="35"/>
  <c r="T37" i="35"/>
  <c r="S37" i="35"/>
  <c r="S50" i="35" s="1"/>
  <c r="R37" i="35"/>
  <c r="R50" i="35" s="1"/>
  <c r="Q37" i="35"/>
  <c r="P37" i="35"/>
  <c r="O37" i="35"/>
  <c r="O50" i="35" s="1"/>
  <c r="N37" i="35"/>
  <c r="M37" i="35"/>
  <c r="M50" i="35" s="1"/>
  <c r="L37" i="35"/>
  <c r="L50" i="35" s="1"/>
  <c r="K37" i="35"/>
  <c r="K50" i="35" s="1"/>
  <c r="J37" i="35"/>
  <c r="J50" i="35" s="1"/>
  <c r="I37" i="35"/>
  <c r="H37" i="35"/>
  <c r="F37" i="35"/>
  <c r="F50" i="35" s="1"/>
  <c r="E37" i="35"/>
  <c r="E50" i="35" s="1"/>
  <c r="D50" i="35" s="1"/>
  <c r="C37" i="35"/>
  <c r="C50" i="35" s="1"/>
  <c r="GE36" i="35"/>
  <c r="FX36" i="35"/>
  <c r="FI36" i="35"/>
  <c r="EW36" i="35"/>
  <c r="FG36" i="35" s="1"/>
  <c r="DV36" i="35"/>
  <c r="CZ36" i="35"/>
  <c r="CW36" i="35"/>
  <c r="CT36" i="35"/>
  <c r="CJ36" i="35"/>
  <c r="BP36" i="35"/>
  <c r="BO36" i="35" s="1"/>
  <c r="AL36" i="35"/>
  <c r="AH36" i="35"/>
  <c r="T36" i="35"/>
  <c r="EP36" i="35" s="1"/>
  <c r="G36" i="35"/>
  <c r="D36" i="35"/>
  <c r="GE35" i="35"/>
  <c r="FX35" i="35"/>
  <c r="FI35" i="35"/>
  <c r="EW35" i="35"/>
  <c r="FG35" i="35" s="1"/>
  <c r="EP35" i="35"/>
  <c r="DV35" i="35"/>
  <c r="CZ35" i="35"/>
  <c r="CW35" i="35"/>
  <c r="CT35" i="35"/>
  <c r="CJ35" i="35"/>
  <c r="BP35" i="35"/>
  <c r="BO35" i="35"/>
  <c r="AL35" i="35"/>
  <c r="AH35" i="35"/>
  <c r="T35" i="35"/>
  <c r="G35" i="35"/>
  <c r="D35" i="35"/>
  <c r="GE34" i="35"/>
  <c r="FX34" i="35"/>
  <c r="FI34" i="35"/>
  <c r="FG34" i="35"/>
  <c r="EW34" i="35"/>
  <c r="DV34" i="35"/>
  <c r="CZ34" i="35"/>
  <c r="CW34" i="35"/>
  <c r="CT34" i="35"/>
  <c r="CJ34" i="35"/>
  <c r="BP34" i="35"/>
  <c r="BO34" i="35" s="1"/>
  <c r="AL34" i="35"/>
  <c r="AH34" i="35"/>
  <c r="T34" i="35"/>
  <c r="EP34" i="35" s="1"/>
  <c r="G34" i="35"/>
  <c r="D34" i="35"/>
  <c r="GE33" i="35"/>
  <c r="FX33" i="35"/>
  <c r="FI33" i="35"/>
  <c r="EW33" i="35"/>
  <c r="FG33" i="35" s="1"/>
  <c r="DV33" i="35"/>
  <c r="CZ33" i="35"/>
  <c r="CW33" i="35"/>
  <c r="CT33" i="35"/>
  <c r="CJ33" i="35"/>
  <c r="BP33" i="35"/>
  <c r="BO33" i="35"/>
  <c r="AL33" i="35"/>
  <c r="AH33" i="35"/>
  <c r="T33" i="35"/>
  <c r="EP33" i="35" s="1"/>
  <c r="G33" i="35"/>
  <c r="D33" i="35"/>
  <c r="GE32" i="35"/>
  <c r="FX32" i="35"/>
  <c r="FI32" i="35"/>
  <c r="EW32" i="35"/>
  <c r="FG32" i="35" s="1"/>
  <c r="EP32" i="35"/>
  <c r="DV32" i="35"/>
  <c r="CZ32" i="35"/>
  <c r="CW32" i="35"/>
  <c r="CT32" i="35"/>
  <c r="CJ32" i="35"/>
  <c r="BP32" i="35"/>
  <c r="BO32" i="35"/>
  <c r="AL32" i="35"/>
  <c r="AH32" i="35"/>
  <c r="T32" i="35"/>
  <c r="G32" i="35"/>
  <c r="D32" i="35"/>
  <c r="GE31" i="35"/>
  <c r="FX31" i="35"/>
  <c r="FI31" i="35"/>
  <c r="FG31" i="35"/>
  <c r="EW31" i="35"/>
  <c r="DV31" i="35"/>
  <c r="CZ31" i="35"/>
  <c r="CW31" i="35"/>
  <c r="CT31" i="35"/>
  <c r="CJ31" i="35"/>
  <c r="BP31" i="35"/>
  <c r="EP31" i="35" s="1"/>
  <c r="BO31" i="35"/>
  <c r="AL31" i="35"/>
  <c r="AH31" i="35"/>
  <c r="T31" i="35"/>
  <c r="G31" i="35"/>
  <c r="D31" i="35"/>
  <c r="GE30" i="35"/>
  <c r="FX30" i="35"/>
  <c r="FI30" i="35"/>
  <c r="FG30" i="35"/>
  <c r="EW30" i="35"/>
  <c r="DV30" i="35"/>
  <c r="CZ30" i="35"/>
  <c r="CW30" i="35"/>
  <c r="CT30" i="35"/>
  <c r="CJ30" i="35"/>
  <c r="BP30" i="35"/>
  <c r="BO30" i="35" s="1"/>
  <c r="AL30" i="35"/>
  <c r="AH30" i="35"/>
  <c r="T30" i="35"/>
  <c r="G30" i="35"/>
  <c r="D30" i="35"/>
  <c r="GE29" i="35"/>
  <c r="FX29" i="35"/>
  <c r="FI29" i="35"/>
  <c r="EW29" i="35"/>
  <c r="FG29" i="35" s="1"/>
  <c r="DV29" i="35"/>
  <c r="CZ29" i="35"/>
  <c r="CW29" i="35"/>
  <c r="CT29" i="35"/>
  <c r="CJ29" i="35"/>
  <c r="BP29" i="35"/>
  <c r="BO29" i="35"/>
  <c r="AL29" i="35"/>
  <c r="AH29" i="35"/>
  <c r="T29" i="35"/>
  <c r="EP29" i="35" s="1"/>
  <c r="G29" i="35"/>
  <c r="D29" i="35"/>
  <c r="GE28" i="35"/>
  <c r="FX28" i="35"/>
  <c r="FI28" i="35"/>
  <c r="FG28" i="35"/>
  <c r="EW28" i="35"/>
  <c r="DV28" i="35"/>
  <c r="CZ28" i="35"/>
  <c r="CW28" i="35"/>
  <c r="CT28" i="35"/>
  <c r="CJ28" i="35"/>
  <c r="BP28" i="35"/>
  <c r="BO28" i="35" s="1"/>
  <c r="AL28" i="35"/>
  <c r="AH28" i="35"/>
  <c r="T28" i="35"/>
  <c r="EP28" i="35" s="1"/>
  <c r="G28" i="35"/>
  <c r="D28" i="35"/>
  <c r="GE27" i="35"/>
  <c r="FX27" i="35"/>
  <c r="FI27" i="35"/>
  <c r="EW27" i="35"/>
  <c r="FG27" i="35" s="1"/>
  <c r="EP27" i="35"/>
  <c r="DV27" i="35"/>
  <c r="CZ27" i="35"/>
  <c r="CW27" i="35"/>
  <c r="CT27" i="35"/>
  <c r="CJ27" i="35"/>
  <c r="BP27" i="35"/>
  <c r="BO27" i="35"/>
  <c r="AL27" i="35"/>
  <c r="AH27" i="35"/>
  <c r="T27" i="35"/>
  <c r="G27" i="35"/>
  <c r="D27" i="35"/>
  <c r="GE26" i="35"/>
  <c r="FX26" i="35"/>
  <c r="FI26" i="35"/>
  <c r="FG26" i="35"/>
  <c r="EW26" i="35"/>
  <c r="DV26" i="35"/>
  <c r="CZ26" i="35"/>
  <c r="CW26" i="35"/>
  <c r="CT26" i="35"/>
  <c r="CJ26" i="35"/>
  <c r="BP26" i="35"/>
  <c r="BO26" i="35"/>
  <c r="AL26" i="35"/>
  <c r="AH26" i="35"/>
  <c r="T26" i="35"/>
  <c r="G26" i="35"/>
  <c r="D26" i="35"/>
  <c r="GE25" i="35"/>
  <c r="FX25" i="35"/>
  <c r="FI25" i="35"/>
  <c r="EW25" i="35"/>
  <c r="FG25" i="35" s="1"/>
  <c r="DV25" i="35"/>
  <c r="CZ25" i="35"/>
  <c r="CW25" i="35"/>
  <c r="CT25" i="35"/>
  <c r="CJ25" i="35"/>
  <c r="BP25" i="35"/>
  <c r="BO25" i="35"/>
  <c r="AL25" i="35"/>
  <c r="AH25" i="35"/>
  <c r="T25" i="35"/>
  <c r="EP25" i="35" s="1"/>
  <c r="G25" i="35"/>
  <c r="D25" i="35"/>
  <c r="GE24" i="35"/>
  <c r="FX24" i="35"/>
  <c r="FI24" i="35"/>
  <c r="FG24" i="35"/>
  <c r="EW24" i="35"/>
  <c r="DV24" i="35"/>
  <c r="CZ24" i="35"/>
  <c r="CW24" i="35"/>
  <c r="CT24" i="35"/>
  <c r="CJ24" i="35"/>
  <c r="BP24" i="35"/>
  <c r="BO24" i="35" s="1"/>
  <c r="AL24" i="35"/>
  <c r="AH24" i="35"/>
  <c r="T24" i="35"/>
  <c r="EP24" i="35" s="1"/>
  <c r="G24" i="35"/>
  <c r="D24" i="35"/>
  <c r="GE23" i="35"/>
  <c r="FX23" i="35"/>
  <c r="FI23" i="35"/>
  <c r="FG23" i="35"/>
  <c r="EW23" i="35"/>
  <c r="EP23" i="35"/>
  <c r="DV23" i="35"/>
  <c r="CZ23" i="35"/>
  <c r="CW23" i="35"/>
  <c r="CT23" i="35"/>
  <c r="CJ23" i="35"/>
  <c r="BP23" i="35"/>
  <c r="BO23" i="35" s="1"/>
  <c r="AL23" i="35"/>
  <c r="AH23" i="35"/>
  <c r="T23" i="35"/>
  <c r="G23" i="35"/>
  <c r="D23" i="35"/>
  <c r="GE22" i="35"/>
  <c r="FX22" i="35"/>
  <c r="FI22" i="35"/>
  <c r="EW22" i="35"/>
  <c r="FG22" i="35" s="1"/>
  <c r="DV22" i="35"/>
  <c r="CZ22" i="35"/>
  <c r="CW22" i="35"/>
  <c r="CT22" i="35"/>
  <c r="CJ22" i="35"/>
  <c r="BP22" i="35"/>
  <c r="BO22" i="35"/>
  <c r="AL22" i="35"/>
  <c r="AH22" i="35"/>
  <c r="T22" i="35"/>
  <c r="EP22" i="35" s="1"/>
  <c r="G22" i="35"/>
  <c r="D22" i="35"/>
  <c r="GE21" i="35"/>
  <c r="FX21" i="35"/>
  <c r="FI21" i="35"/>
  <c r="EW21" i="35"/>
  <c r="FG21" i="35" s="1"/>
  <c r="EP21" i="35"/>
  <c r="DV21" i="35"/>
  <c r="CZ21" i="35"/>
  <c r="CW21" i="35"/>
  <c r="CT21" i="35"/>
  <c r="CJ21" i="35"/>
  <c r="BP21" i="35"/>
  <c r="BO21" i="35"/>
  <c r="AL21" i="35"/>
  <c r="AH21" i="35"/>
  <c r="T21" i="35"/>
  <c r="G21" i="35"/>
  <c r="D21" i="35"/>
  <c r="GE20" i="35"/>
  <c r="FX20" i="35"/>
  <c r="FI20" i="35"/>
  <c r="EW20" i="35"/>
  <c r="FG20" i="35" s="1"/>
  <c r="DV20" i="35"/>
  <c r="CZ20" i="35"/>
  <c r="CW20" i="35"/>
  <c r="CT20" i="35"/>
  <c r="CJ20" i="35"/>
  <c r="BP20" i="35"/>
  <c r="BO20" i="35"/>
  <c r="AL20" i="35"/>
  <c r="AH20" i="35"/>
  <c r="T20" i="35"/>
  <c r="EP20" i="35" s="1"/>
  <c r="G20" i="35"/>
  <c r="D20" i="35"/>
  <c r="GE19" i="35"/>
  <c r="FX19" i="35"/>
  <c r="FI19" i="35"/>
  <c r="FG19" i="35"/>
  <c r="EW19" i="35"/>
  <c r="DV19" i="35"/>
  <c r="CZ19" i="35"/>
  <c r="CW19" i="35"/>
  <c r="CT19" i="35"/>
  <c r="CJ19" i="35"/>
  <c r="BP19" i="35"/>
  <c r="BO19" i="35" s="1"/>
  <c r="AL19" i="35"/>
  <c r="AH19" i="35"/>
  <c r="T19" i="35"/>
  <c r="EP19" i="35" s="1"/>
  <c r="G19" i="35"/>
  <c r="D19" i="35"/>
  <c r="GE18" i="35"/>
  <c r="FX18" i="35"/>
  <c r="FI18" i="35"/>
  <c r="FG18" i="35"/>
  <c r="EW18" i="35"/>
  <c r="DV18" i="35"/>
  <c r="CZ18" i="35"/>
  <c r="CW18" i="35"/>
  <c r="CT18" i="35"/>
  <c r="CJ18" i="35"/>
  <c r="BP18" i="35"/>
  <c r="BO18" i="35" s="1"/>
  <c r="AL18" i="35"/>
  <c r="AH18" i="35"/>
  <c r="T18" i="35"/>
  <c r="EP18" i="35" s="1"/>
  <c r="G18" i="35"/>
  <c r="D18" i="35"/>
  <c r="GE17" i="35"/>
  <c r="FX17" i="35"/>
  <c r="FI17" i="35"/>
  <c r="EW17" i="35"/>
  <c r="FG17" i="35" s="1"/>
  <c r="EP17" i="35"/>
  <c r="DV17" i="35"/>
  <c r="CZ17" i="35"/>
  <c r="CW17" i="35"/>
  <c r="CT17" i="35"/>
  <c r="CJ17" i="35"/>
  <c r="BP17" i="35"/>
  <c r="BO17" i="35"/>
  <c r="AL17" i="35"/>
  <c r="AH17" i="35"/>
  <c r="T17" i="35"/>
  <c r="G17" i="35"/>
  <c r="D17" i="35"/>
  <c r="GE16" i="35"/>
  <c r="FX16" i="35"/>
  <c r="FI16" i="35"/>
  <c r="FG16" i="35"/>
  <c r="EW16" i="35"/>
  <c r="DV16" i="35"/>
  <c r="CZ16" i="35"/>
  <c r="CW16" i="35"/>
  <c r="CT16" i="35"/>
  <c r="CJ16" i="35"/>
  <c r="BP16" i="35"/>
  <c r="BO16" i="35"/>
  <c r="AL16" i="35"/>
  <c r="AH16" i="35"/>
  <c r="T16" i="35"/>
  <c r="G16" i="35"/>
  <c r="D16" i="35"/>
  <c r="GE15" i="35"/>
  <c r="FX15" i="35"/>
  <c r="FI15" i="35"/>
  <c r="FG15" i="35"/>
  <c r="EW15" i="35"/>
  <c r="DV15" i="35"/>
  <c r="CZ15" i="35"/>
  <c r="CW15" i="35"/>
  <c r="CT15" i="35"/>
  <c r="CJ15" i="35"/>
  <c r="BP15" i="35"/>
  <c r="BO15" i="35" s="1"/>
  <c r="AL15" i="35"/>
  <c r="AH15" i="35"/>
  <c r="T15" i="35"/>
  <c r="EP15" i="35" s="1"/>
  <c r="G15" i="35"/>
  <c r="D15" i="35"/>
  <c r="GE14" i="35"/>
  <c r="FX14" i="35"/>
  <c r="FI14" i="35"/>
  <c r="FG14" i="35"/>
  <c r="EW14" i="35"/>
  <c r="DV14" i="35"/>
  <c r="CZ14" i="35"/>
  <c r="CW14" i="35"/>
  <c r="CT14" i="35"/>
  <c r="CJ14" i="35"/>
  <c r="BP14" i="35"/>
  <c r="BO14" i="35" s="1"/>
  <c r="AL14" i="35"/>
  <c r="AH14" i="35"/>
  <c r="T14" i="35"/>
  <c r="EP14" i="35" s="1"/>
  <c r="G14" i="35"/>
  <c r="D14" i="35"/>
  <c r="GE13" i="35"/>
  <c r="FX13" i="35"/>
  <c r="FI13" i="35"/>
  <c r="EW13" i="35"/>
  <c r="FG13" i="35" s="1"/>
  <c r="EP13" i="35"/>
  <c r="DV13" i="35"/>
  <c r="CZ13" i="35"/>
  <c r="CW13" i="35"/>
  <c r="CT13" i="35"/>
  <c r="CJ13" i="35"/>
  <c r="BP13" i="35"/>
  <c r="BO13" i="35"/>
  <c r="AL13" i="35"/>
  <c r="AH13" i="35"/>
  <c r="T13" i="35"/>
  <c r="G13" i="35"/>
  <c r="D13" i="35"/>
  <c r="GE12" i="35"/>
  <c r="FX12" i="35"/>
  <c r="FI12" i="35"/>
  <c r="EW12" i="35"/>
  <c r="FG12" i="35" s="1"/>
  <c r="DV12" i="35"/>
  <c r="CZ12" i="35"/>
  <c r="CW12" i="35"/>
  <c r="CT12" i="35"/>
  <c r="CJ12" i="35"/>
  <c r="BP12" i="35"/>
  <c r="BO12" i="35" s="1"/>
  <c r="AL12" i="35"/>
  <c r="AH12" i="35"/>
  <c r="T12" i="35"/>
  <c r="G12" i="35"/>
  <c r="D12" i="35"/>
  <c r="GE11" i="35"/>
  <c r="FX11" i="35"/>
  <c r="FI11" i="35"/>
  <c r="FG11" i="35"/>
  <c r="EW11" i="35"/>
  <c r="DV11" i="35"/>
  <c r="CZ11" i="35"/>
  <c r="CW11" i="35"/>
  <c r="CT11" i="35"/>
  <c r="CJ11" i="35"/>
  <c r="BP11" i="35"/>
  <c r="BO11" i="35" s="1"/>
  <c r="AL11" i="35"/>
  <c r="AH11" i="35"/>
  <c r="T11" i="35"/>
  <c r="EP11" i="35" s="1"/>
  <c r="G11" i="35"/>
  <c r="D11" i="35"/>
  <c r="GE10" i="35"/>
  <c r="FX10" i="35"/>
  <c r="FI10" i="35"/>
  <c r="FG10" i="35"/>
  <c r="EW10" i="35"/>
  <c r="DV10" i="35"/>
  <c r="CZ10" i="35"/>
  <c r="CW10" i="35"/>
  <c r="CT10" i="35"/>
  <c r="CJ10" i="35"/>
  <c r="BP10" i="35"/>
  <c r="BO10" i="35" s="1"/>
  <c r="AL10" i="35"/>
  <c r="AH10" i="35"/>
  <c r="T10" i="35"/>
  <c r="EP10" i="35" s="1"/>
  <c r="G10" i="35"/>
  <c r="D10" i="35"/>
  <c r="GE9" i="35"/>
  <c r="FX9" i="35"/>
  <c r="FI9" i="35"/>
  <c r="EW9" i="35"/>
  <c r="FG9" i="35" s="1"/>
  <c r="EP9" i="35"/>
  <c r="DV9" i="35"/>
  <c r="CZ9" i="35"/>
  <c r="CW9" i="35"/>
  <c r="CT9" i="35"/>
  <c r="CJ9" i="35"/>
  <c r="BP9" i="35"/>
  <c r="BO9" i="35"/>
  <c r="AL9" i="35"/>
  <c r="AH9" i="35"/>
  <c r="T9" i="35"/>
  <c r="G9" i="35"/>
  <c r="D9" i="35"/>
  <c r="GE8" i="35"/>
  <c r="FX8" i="35"/>
  <c r="FI8" i="35"/>
  <c r="FG8" i="35"/>
  <c r="EW8" i="35"/>
  <c r="DV8" i="35"/>
  <c r="CZ8" i="35"/>
  <c r="CW8" i="35"/>
  <c r="CT8" i="35"/>
  <c r="CJ8" i="35"/>
  <c r="BP8" i="35"/>
  <c r="BO8" i="35" s="1"/>
  <c r="AL8" i="35"/>
  <c r="AH8" i="35"/>
  <c r="T8" i="35"/>
  <c r="EP8" i="35" s="1"/>
  <c r="G8" i="35"/>
  <c r="D8" i="35"/>
  <c r="GE7" i="35"/>
  <c r="FX7" i="35"/>
  <c r="FI7" i="35"/>
  <c r="FG7" i="35"/>
  <c r="EW7" i="35"/>
  <c r="DV7" i="35"/>
  <c r="CZ7" i="35"/>
  <c r="CW7" i="35"/>
  <c r="CT7" i="35"/>
  <c r="CJ7" i="35"/>
  <c r="BP7" i="35"/>
  <c r="BO7" i="35" s="1"/>
  <c r="AL7" i="35"/>
  <c r="AH7" i="35"/>
  <c r="T7" i="35"/>
  <c r="EP7" i="35" s="1"/>
  <c r="G7" i="35"/>
  <c r="D7" i="35"/>
  <c r="GE6" i="35"/>
  <c r="FX6" i="35"/>
  <c r="FI6" i="35"/>
  <c r="FG6" i="35"/>
  <c r="EW6" i="35"/>
  <c r="DV6" i="35"/>
  <c r="CZ6" i="35"/>
  <c r="CW6" i="35"/>
  <c r="CT6" i="35"/>
  <c r="CJ6" i="35"/>
  <c r="BP6" i="35"/>
  <c r="BO6" i="35" s="1"/>
  <c r="AL6" i="35"/>
  <c r="AH6" i="35"/>
  <c r="T6" i="35"/>
  <c r="EP6" i="35" s="1"/>
  <c r="G6" i="35"/>
  <c r="D6" i="35"/>
  <c r="FJ52" i="34"/>
  <c r="GE49" i="34" s="1"/>
  <c r="GB50" i="34"/>
  <c r="FL50" i="34"/>
  <c r="FK50" i="34"/>
  <c r="FE50" i="34"/>
  <c r="FC50" i="34"/>
  <c r="EV50" i="34"/>
  <c r="ET50" i="34"/>
  <c r="EM50" i="34"/>
  <c r="EL50" i="34"/>
  <c r="EC50" i="34"/>
  <c r="EA50" i="34"/>
  <c r="DR50" i="34"/>
  <c r="DL50" i="34"/>
  <c r="DK50" i="34"/>
  <c r="DJ50" i="34"/>
  <c r="DB50" i="34"/>
  <c r="CL50" i="34"/>
  <c r="CD50" i="34"/>
  <c r="BX50" i="34"/>
  <c r="BU50" i="34"/>
  <c r="BJ50" i="34"/>
  <c r="BB50" i="34"/>
  <c r="AV50" i="34"/>
  <c r="AT50" i="34"/>
  <c r="AE50" i="34"/>
  <c r="AD50" i="34"/>
  <c r="R50" i="34"/>
  <c r="J50" i="34"/>
  <c r="C50" i="34"/>
  <c r="GI49" i="34"/>
  <c r="GD49" i="34"/>
  <c r="GC49" i="34"/>
  <c r="GB49" i="34"/>
  <c r="GA49" i="34"/>
  <c r="FZ49" i="34"/>
  <c r="FY49" i="34"/>
  <c r="FX49" i="34"/>
  <c r="FW49" i="34"/>
  <c r="FM49" i="34"/>
  <c r="FL49" i="34"/>
  <c r="FK49" i="34"/>
  <c r="FJ49" i="34"/>
  <c r="FH49" i="34"/>
  <c r="FG49" i="34" s="1"/>
  <c r="FF49" i="34"/>
  <c r="FE49" i="34"/>
  <c r="FD49" i="34"/>
  <c r="FC49" i="34"/>
  <c r="FA49" i="34"/>
  <c r="EZ49" i="34"/>
  <c r="EY49" i="34"/>
  <c r="EX49" i="34"/>
  <c r="EW49" i="34" s="1"/>
  <c r="EV49" i="34"/>
  <c r="EU49" i="34"/>
  <c r="ET49" i="34"/>
  <c r="ES49" i="34"/>
  <c r="ER49" i="34"/>
  <c r="EQ49" i="34"/>
  <c r="EO49" i="34"/>
  <c r="EN49" i="34"/>
  <c r="EM49" i="34"/>
  <c r="EL49" i="34"/>
  <c r="EJ49" i="34"/>
  <c r="EI49" i="34"/>
  <c r="EH49" i="34"/>
  <c r="FI49" i="34" s="1"/>
  <c r="EG49" i="34"/>
  <c r="EF49" i="34"/>
  <c r="ED49" i="34"/>
  <c r="EC49" i="34"/>
  <c r="EA49" i="34"/>
  <c r="DZ49" i="34"/>
  <c r="DY49" i="34"/>
  <c r="DW49" i="34"/>
  <c r="DV49" i="34"/>
  <c r="DU49" i="34"/>
  <c r="DT49" i="34"/>
  <c r="DS49" i="34"/>
  <c r="DR49" i="34"/>
  <c r="DQ49" i="34"/>
  <c r="DP49" i="34"/>
  <c r="DO49" i="34"/>
  <c r="DN49" i="34"/>
  <c r="DM49" i="34"/>
  <c r="DL49" i="34"/>
  <c r="DK49" i="34"/>
  <c r="DJ49" i="34"/>
  <c r="DI49" i="34"/>
  <c r="DH49" i="34"/>
  <c r="DG49" i="34"/>
  <c r="DF49" i="34"/>
  <c r="DE49" i="34"/>
  <c r="DD49" i="34"/>
  <c r="DC49" i="34"/>
  <c r="DB49" i="34"/>
  <c r="DA49" i="34"/>
  <c r="CZ49" i="34"/>
  <c r="CY49" i="34"/>
  <c r="CX49" i="34"/>
  <c r="CW49" i="34" s="1"/>
  <c r="CV49" i="34"/>
  <c r="CU49" i="34"/>
  <c r="CT49" i="34" s="1"/>
  <c r="CS49" i="34"/>
  <c r="CR49" i="34"/>
  <c r="CQ49" i="34"/>
  <c r="CP49" i="34"/>
  <c r="CO49" i="34"/>
  <c r="CN49" i="34"/>
  <c r="CM49" i="34"/>
  <c r="CL49" i="34"/>
  <c r="CK49" i="34"/>
  <c r="CJ49" i="34"/>
  <c r="CI49" i="34"/>
  <c r="CH49" i="34"/>
  <c r="CG49" i="34"/>
  <c r="CF49" i="34"/>
  <c r="CE49" i="34"/>
  <c r="CD49" i="34"/>
  <c r="CC49" i="34"/>
  <c r="CB49" i="34"/>
  <c r="CA49" i="34"/>
  <c r="BZ49" i="34"/>
  <c r="BY49" i="34"/>
  <c r="BX49" i="34"/>
  <c r="BW49" i="34"/>
  <c r="BU49" i="34"/>
  <c r="BQ49" i="34"/>
  <c r="BP49" i="34"/>
  <c r="BO49" i="34" s="1"/>
  <c r="BN49" i="34"/>
  <c r="BM49" i="34"/>
  <c r="BL49" i="34"/>
  <c r="BK49" i="34"/>
  <c r="BJ49" i="34"/>
  <c r="BI49" i="34"/>
  <c r="BH49" i="34"/>
  <c r="BG49" i="34"/>
  <c r="BF49" i="34"/>
  <c r="BE49" i="34"/>
  <c r="BD49" i="34"/>
  <c r="BC49" i="34"/>
  <c r="BB49" i="34"/>
  <c r="BA49" i="34"/>
  <c r="AZ49" i="34"/>
  <c r="AY49" i="34"/>
  <c r="AX49" i="34"/>
  <c r="AW49" i="34"/>
  <c r="AV49" i="34"/>
  <c r="AU49" i="34"/>
  <c r="AT49" i="34"/>
  <c r="AS49" i="34"/>
  <c r="AR49" i="34"/>
  <c r="AQ49" i="34"/>
  <c r="AP49" i="34"/>
  <c r="AO49" i="34"/>
  <c r="AN49" i="34"/>
  <c r="AM49" i="34"/>
  <c r="AL49" i="34" s="1"/>
  <c r="AK49" i="34"/>
  <c r="AJ49" i="34"/>
  <c r="AI49" i="34"/>
  <c r="AH49" i="34" s="1"/>
  <c r="AG49" i="34"/>
  <c r="AF49" i="34"/>
  <c r="AE49" i="34"/>
  <c r="AD49" i="34"/>
  <c r="AC49" i="34"/>
  <c r="AA49" i="34"/>
  <c r="Z49" i="34"/>
  <c r="Y49" i="34"/>
  <c r="U49" i="34"/>
  <c r="S49" i="34"/>
  <c r="R49" i="34"/>
  <c r="Q49" i="34"/>
  <c r="P49" i="34"/>
  <c r="O49" i="34"/>
  <c r="N49" i="34"/>
  <c r="M49" i="34"/>
  <c r="L49" i="34"/>
  <c r="K49" i="34"/>
  <c r="J49" i="34"/>
  <c r="I49" i="34"/>
  <c r="H49" i="34"/>
  <c r="G49" i="34" s="1"/>
  <c r="F49" i="34"/>
  <c r="E49" i="34"/>
  <c r="C49" i="34"/>
  <c r="GE48" i="34"/>
  <c r="FX48" i="34"/>
  <c r="FI48" i="34"/>
  <c r="FG48" i="34"/>
  <c r="EW48" i="34"/>
  <c r="DV48" i="34"/>
  <c r="CZ48" i="34"/>
  <c r="CW48" i="34"/>
  <c r="CT48" i="34"/>
  <c r="CJ48" i="34"/>
  <c r="BP48" i="34"/>
  <c r="BO48" i="34" s="1"/>
  <c r="AL48" i="34"/>
  <c r="AH48" i="34"/>
  <c r="T48" i="34"/>
  <c r="G48" i="34"/>
  <c r="D48" i="34"/>
  <c r="FX47" i="34"/>
  <c r="FI47" i="34"/>
  <c r="FG47" i="34"/>
  <c r="EW47" i="34"/>
  <c r="DV47" i="34"/>
  <c r="CZ47" i="34"/>
  <c r="CW47" i="34"/>
  <c r="CT47" i="34"/>
  <c r="CJ47" i="34"/>
  <c r="BP47" i="34"/>
  <c r="BO47" i="34" s="1"/>
  <c r="AL47" i="34"/>
  <c r="AH47" i="34"/>
  <c r="T47" i="34"/>
  <c r="G47" i="34"/>
  <c r="D47" i="34"/>
  <c r="GE46" i="34"/>
  <c r="FX46" i="34"/>
  <c r="FI46" i="34"/>
  <c r="EW46" i="34"/>
  <c r="FG46" i="34" s="1"/>
  <c r="DV46" i="34"/>
  <c r="CZ46" i="34"/>
  <c r="CW46" i="34"/>
  <c r="CT46" i="34"/>
  <c r="CJ46" i="34"/>
  <c r="BP46" i="34"/>
  <c r="BO46" i="34"/>
  <c r="AL46" i="34"/>
  <c r="AH46" i="34"/>
  <c r="T46" i="34"/>
  <c r="EP46" i="34" s="1"/>
  <c r="G46" i="34"/>
  <c r="D46" i="34"/>
  <c r="GE45" i="34"/>
  <c r="FX45" i="34"/>
  <c r="FI45" i="34"/>
  <c r="FG45" i="34"/>
  <c r="EW45" i="34"/>
  <c r="EP45" i="34"/>
  <c r="DV45" i="34"/>
  <c r="CZ45" i="34"/>
  <c r="CW45" i="34"/>
  <c r="CT45" i="34"/>
  <c r="CJ45" i="34"/>
  <c r="BP45" i="34"/>
  <c r="BO45" i="34" s="1"/>
  <c r="AL45" i="34"/>
  <c r="AH45" i="34"/>
  <c r="T45" i="34"/>
  <c r="G45" i="34"/>
  <c r="D45" i="34"/>
  <c r="FX44" i="34"/>
  <c r="FI44" i="34"/>
  <c r="EW44" i="34"/>
  <c r="FG44" i="34" s="1"/>
  <c r="EP44" i="34"/>
  <c r="DV44" i="34"/>
  <c r="CZ44" i="34"/>
  <c r="CW44" i="34"/>
  <c r="CT44" i="34"/>
  <c r="CJ44" i="34"/>
  <c r="BP44" i="34"/>
  <c r="BO44" i="34"/>
  <c r="AL44" i="34"/>
  <c r="AH44" i="34"/>
  <c r="T44" i="34"/>
  <c r="G44" i="34"/>
  <c r="D44" i="34"/>
  <c r="GE43" i="34"/>
  <c r="FX43" i="34"/>
  <c r="FI43" i="34"/>
  <c r="EW43" i="34"/>
  <c r="FG43" i="34" s="1"/>
  <c r="DV43" i="34"/>
  <c r="CZ43" i="34"/>
  <c r="CW43" i="34"/>
  <c r="CT43" i="34"/>
  <c r="CJ43" i="34"/>
  <c r="BP43" i="34"/>
  <c r="BO43" i="34" s="1"/>
  <c r="AL43" i="34"/>
  <c r="AH43" i="34"/>
  <c r="T43" i="34"/>
  <c r="G43" i="34"/>
  <c r="D43" i="34"/>
  <c r="GE42" i="34"/>
  <c r="FX42" i="34"/>
  <c r="FI42" i="34"/>
  <c r="FG42" i="34"/>
  <c r="EW42" i="34"/>
  <c r="EP42" i="34"/>
  <c r="DV42" i="34"/>
  <c r="CZ42" i="34"/>
  <c r="CW42" i="34"/>
  <c r="CT42" i="34"/>
  <c r="CJ42" i="34"/>
  <c r="BP42" i="34"/>
  <c r="BO42" i="34" s="1"/>
  <c r="AL42" i="34"/>
  <c r="AH42" i="34"/>
  <c r="T42" i="34"/>
  <c r="G42" i="34"/>
  <c r="D42" i="34"/>
  <c r="FX41" i="34"/>
  <c r="FI41" i="34"/>
  <c r="EW41" i="34"/>
  <c r="FG41" i="34" s="1"/>
  <c r="DV41" i="34"/>
  <c r="CZ41" i="34"/>
  <c r="CW41" i="34"/>
  <c r="CT41" i="34"/>
  <c r="CJ41" i="34"/>
  <c r="BP41" i="34"/>
  <c r="BO41" i="34"/>
  <c r="AL41" i="34"/>
  <c r="AH41" i="34"/>
  <c r="T41" i="34"/>
  <c r="EP41" i="34" s="1"/>
  <c r="G41" i="34"/>
  <c r="D41" i="34"/>
  <c r="GE40" i="34"/>
  <c r="FX40" i="34"/>
  <c r="FI40" i="34"/>
  <c r="FG40" i="34"/>
  <c r="EW40" i="34"/>
  <c r="EP40" i="34"/>
  <c r="DV40" i="34"/>
  <c r="CZ40" i="34"/>
  <c r="CW40" i="34"/>
  <c r="CT40" i="34"/>
  <c r="CJ40" i="34"/>
  <c r="BP40" i="34"/>
  <c r="BO40" i="34" s="1"/>
  <c r="AL40" i="34"/>
  <c r="AH40" i="34"/>
  <c r="T40" i="34"/>
  <c r="G40" i="34"/>
  <c r="D40" i="34"/>
  <c r="FX39" i="34"/>
  <c r="FI39" i="34"/>
  <c r="EW39" i="34"/>
  <c r="FG39" i="34" s="1"/>
  <c r="EP39" i="34"/>
  <c r="DV39" i="34"/>
  <c r="CZ39" i="34"/>
  <c r="CW39" i="34"/>
  <c r="CT39" i="34"/>
  <c r="CJ39" i="34"/>
  <c r="BP39" i="34"/>
  <c r="BO39" i="34"/>
  <c r="AL39" i="34"/>
  <c r="AH39" i="34"/>
  <c r="T39" i="34"/>
  <c r="G39" i="34"/>
  <c r="D39" i="34"/>
  <c r="FX38" i="34"/>
  <c r="FI38" i="34"/>
  <c r="FG38" i="34"/>
  <c r="EW38" i="34"/>
  <c r="DV38" i="34"/>
  <c r="CZ38" i="34"/>
  <c r="CW38" i="34"/>
  <c r="CT38" i="34"/>
  <c r="CJ38" i="34"/>
  <c r="BP38" i="34"/>
  <c r="BO38" i="34" s="1"/>
  <c r="AL38" i="34"/>
  <c r="AH38" i="34"/>
  <c r="T38" i="34"/>
  <c r="G38" i="34"/>
  <c r="D38" i="34"/>
  <c r="GI37" i="34"/>
  <c r="GE37" i="34"/>
  <c r="GD37" i="34"/>
  <c r="GD50" i="34" s="1"/>
  <c r="GC37" i="34"/>
  <c r="GC50" i="34" s="1"/>
  <c r="GB37" i="34"/>
  <c r="GA37" i="34"/>
  <c r="GA50" i="34" s="1"/>
  <c r="FZ37" i="34"/>
  <c r="FZ50" i="34" s="1"/>
  <c r="FY37" i="34"/>
  <c r="FY50" i="34" s="1"/>
  <c r="FW37" i="34"/>
  <c r="FM37" i="34"/>
  <c r="FM50" i="34" s="1"/>
  <c r="FL37" i="34"/>
  <c r="FK37" i="34"/>
  <c r="FJ37" i="34"/>
  <c r="FJ50" i="34" s="1"/>
  <c r="FI37" i="34"/>
  <c r="FH37" i="34"/>
  <c r="FF37" i="34"/>
  <c r="FF50" i="34" s="1"/>
  <c r="FE37" i="34"/>
  <c r="FD37" i="34"/>
  <c r="FD50" i="34" s="1"/>
  <c r="FC37" i="34"/>
  <c r="FA37" i="34"/>
  <c r="FA50" i="34" s="1"/>
  <c r="EZ37" i="34"/>
  <c r="EZ50" i="34" s="1"/>
  <c r="EY37" i="34"/>
  <c r="EX37" i="34"/>
  <c r="EX50" i="34" s="1"/>
  <c r="EW50" i="34" s="1"/>
  <c r="EW37" i="34"/>
  <c r="EV37" i="34"/>
  <c r="EU37" i="34"/>
  <c r="EU50" i="34" s="1"/>
  <c r="ET37" i="34"/>
  <c r="ES37" i="34"/>
  <c r="ES50" i="34" s="1"/>
  <c r="ER37" i="34"/>
  <c r="ER50" i="34" s="1"/>
  <c r="EQ37" i="34"/>
  <c r="EQ50" i="34" s="1"/>
  <c r="EO37" i="34"/>
  <c r="EO50" i="34" s="1"/>
  <c r="EN37" i="34"/>
  <c r="EN50" i="34" s="1"/>
  <c r="EM37" i="34"/>
  <c r="EL37" i="34"/>
  <c r="EJ37" i="34"/>
  <c r="EJ50" i="34" s="1"/>
  <c r="EI37" i="34"/>
  <c r="EI50" i="34" s="1"/>
  <c r="EH37" i="34"/>
  <c r="EH50" i="34" s="1"/>
  <c r="FI50" i="34" s="1"/>
  <c r="EG37" i="34"/>
  <c r="EF37" i="34"/>
  <c r="EF50" i="34" s="1"/>
  <c r="ED37" i="34"/>
  <c r="ED50" i="34" s="1"/>
  <c r="EC37" i="34"/>
  <c r="EA37" i="34"/>
  <c r="DZ37" i="34"/>
  <c r="DZ50" i="34" s="1"/>
  <c r="DY37" i="34"/>
  <c r="DY50" i="34" s="1"/>
  <c r="DW37" i="34"/>
  <c r="DW50" i="34" s="1"/>
  <c r="DV50" i="34" s="1"/>
  <c r="DU37" i="34"/>
  <c r="DU50" i="34" s="1"/>
  <c r="DT37" i="34"/>
  <c r="DT50" i="34" s="1"/>
  <c r="DS37" i="34"/>
  <c r="DS50" i="34" s="1"/>
  <c r="DR37" i="34"/>
  <c r="DQ37" i="34"/>
  <c r="DQ50" i="34" s="1"/>
  <c r="DP37" i="34"/>
  <c r="DP50" i="34" s="1"/>
  <c r="DO37" i="34"/>
  <c r="DO50" i="34" s="1"/>
  <c r="DN37" i="34"/>
  <c r="DM37" i="34"/>
  <c r="DM50" i="34" s="1"/>
  <c r="DL37" i="34"/>
  <c r="DK37" i="34"/>
  <c r="DJ37" i="34"/>
  <c r="DI37" i="34"/>
  <c r="DI50" i="34" s="1"/>
  <c r="DH37" i="34"/>
  <c r="DH50" i="34" s="1"/>
  <c r="DG37" i="34"/>
  <c r="DG50" i="34" s="1"/>
  <c r="DF37" i="34"/>
  <c r="DE37" i="34"/>
  <c r="DE50" i="34" s="1"/>
  <c r="DD37" i="34"/>
  <c r="DD50" i="34" s="1"/>
  <c r="DC37" i="34"/>
  <c r="DC50" i="34" s="1"/>
  <c r="DB37" i="34"/>
  <c r="DA37" i="34"/>
  <c r="DA50" i="34" s="1"/>
  <c r="CZ50" i="34" s="1"/>
  <c r="CZ37" i="34"/>
  <c r="CY37" i="34"/>
  <c r="CY50" i="34" s="1"/>
  <c r="CX37" i="34"/>
  <c r="CW37" i="34"/>
  <c r="CV37" i="34"/>
  <c r="CV50" i="34" s="1"/>
  <c r="CU37" i="34"/>
  <c r="CS37" i="34"/>
  <c r="CS50" i="34" s="1"/>
  <c r="CR37" i="34"/>
  <c r="CR50" i="34" s="1"/>
  <c r="CQ37" i="34"/>
  <c r="CQ50" i="34" s="1"/>
  <c r="CP37" i="34"/>
  <c r="CP50" i="34" s="1"/>
  <c r="CO37" i="34"/>
  <c r="CO50" i="34" s="1"/>
  <c r="CN37" i="34"/>
  <c r="CN50" i="34" s="1"/>
  <c r="CM37" i="34"/>
  <c r="CM50" i="34" s="1"/>
  <c r="CL37" i="34"/>
  <c r="CK37" i="34"/>
  <c r="CK50" i="34" s="1"/>
  <c r="CJ37" i="34"/>
  <c r="CI37" i="34"/>
  <c r="CI50" i="34" s="1"/>
  <c r="CH37" i="34"/>
  <c r="CH50" i="34" s="1"/>
  <c r="CG37" i="34"/>
  <c r="CG50" i="34" s="1"/>
  <c r="CF37" i="34"/>
  <c r="CF50" i="34" s="1"/>
  <c r="CE37" i="34"/>
  <c r="CE50" i="34" s="1"/>
  <c r="CD37" i="34"/>
  <c r="CC37" i="34"/>
  <c r="CC50" i="34" s="1"/>
  <c r="CB37" i="34"/>
  <c r="CB50" i="34" s="1"/>
  <c r="CA37" i="34"/>
  <c r="CA50" i="34" s="1"/>
  <c r="BZ37" i="34"/>
  <c r="BZ50" i="34" s="1"/>
  <c r="BY37" i="34"/>
  <c r="BY50" i="34" s="1"/>
  <c r="BX37" i="34"/>
  <c r="BW37" i="34"/>
  <c r="BW50" i="34" s="1"/>
  <c r="BU37" i="34"/>
  <c r="BQ37" i="34"/>
  <c r="BQ50" i="34" s="1"/>
  <c r="BP50" i="34" s="1"/>
  <c r="BP37" i="34"/>
  <c r="BO37" i="34" s="1"/>
  <c r="BN37" i="34"/>
  <c r="BN50" i="34" s="1"/>
  <c r="BO50" i="34" s="1"/>
  <c r="BM37" i="34"/>
  <c r="BM50" i="34" s="1"/>
  <c r="BL37" i="34"/>
  <c r="BL50" i="34" s="1"/>
  <c r="BK37" i="34"/>
  <c r="BK50" i="34" s="1"/>
  <c r="BJ37" i="34"/>
  <c r="BI37" i="34"/>
  <c r="BI50" i="34" s="1"/>
  <c r="BH37" i="34"/>
  <c r="BG37" i="34"/>
  <c r="BG50" i="34" s="1"/>
  <c r="BF37" i="34"/>
  <c r="BF50" i="34" s="1"/>
  <c r="BE37" i="34"/>
  <c r="BE50" i="34" s="1"/>
  <c r="BD37" i="34"/>
  <c r="BD50" i="34" s="1"/>
  <c r="BC37" i="34"/>
  <c r="BC50" i="34" s="1"/>
  <c r="BB37" i="34"/>
  <c r="BA37" i="34"/>
  <c r="BA50" i="34" s="1"/>
  <c r="AZ37" i="34"/>
  <c r="AY37" i="34"/>
  <c r="AY50" i="34" s="1"/>
  <c r="AX37" i="34"/>
  <c r="AX50" i="34" s="1"/>
  <c r="AW37" i="34"/>
  <c r="AW50" i="34" s="1"/>
  <c r="AV37" i="34"/>
  <c r="AU37" i="34"/>
  <c r="AU50" i="34" s="1"/>
  <c r="AT37" i="34"/>
  <c r="AS37" i="34"/>
  <c r="AS50" i="34" s="1"/>
  <c r="AR37" i="34"/>
  <c r="AQ37" i="34"/>
  <c r="AQ50" i="34" s="1"/>
  <c r="AP37" i="34"/>
  <c r="AP50" i="34" s="1"/>
  <c r="AO37" i="34"/>
  <c r="AO50" i="34" s="1"/>
  <c r="AN37" i="34"/>
  <c r="AN50" i="34" s="1"/>
  <c r="AM37" i="34"/>
  <c r="AK37" i="34"/>
  <c r="AK50" i="34" s="1"/>
  <c r="AJ37" i="34"/>
  <c r="AJ50" i="34" s="1"/>
  <c r="AI37" i="34"/>
  <c r="AG37" i="34"/>
  <c r="AG50" i="34" s="1"/>
  <c r="AF37" i="34"/>
  <c r="AF50" i="34" s="1"/>
  <c r="AE37" i="34"/>
  <c r="AD37" i="34"/>
  <c r="AC37" i="34"/>
  <c r="AC50" i="34" s="1"/>
  <c r="AA37" i="34"/>
  <c r="AA50" i="34" s="1"/>
  <c r="Z37" i="34"/>
  <c r="Z50" i="34" s="1"/>
  <c r="Y37" i="34"/>
  <c r="U37" i="34"/>
  <c r="U50" i="34" s="1"/>
  <c r="S37" i="34"/>
  <c r="S50" i="34" s="1"/>
  <c r="R37" i="34"/>
  <c r="Q37" i="34"/>
  <c r="Q50" i="34" s="1"/>
  <c r="P37" i="34"/>
  <c r="O37" i="34"/>
  <c r="O50" i="34" s="1"/>
  <c r="N37" i="34"/>
  <c r="M37" i="34"/>
  <c r="M50" i="34" s="1"/>
  <c r="L37" i="34"/>
  <c r="L50" i="34" s="1"/>
  <c r="K37" i="34"/>
  <c r="K50" i="34" s="1"/>
  <c r="J37" i="34"/>
  <c r="I37" i="34"/>
  <c r="I50" i="34" s="1"/>
  <c r="H37" i="34"/>
  <c r="F37" i="34"/>
  <c r="F50" i="34" s="1"/>
  <c r="D50" i="34" s="1"/>
  <c r="E37" i="34"/>
  <c r="E50" i="34" s="1"/>
  <c r="D37" i="34"/>
  <c r="C37" i="34"/>
  <c r="GE36" i="34"/>
  <c r="FX36" i="34"/>
  <c r="FI36" i="34"/>
  <c r="FG36" i="34"/>
  <c r="EW36" i="34"/>
  <c r="DV36" i="34"/>
  <c r="CZ36" i="34"/>
  <c r="CW36" i="34"/>
  <c r="CT36" i="34"/>
  <c r="CJ36" i="34"/>
  <c r="BP36" i="34"/>
  <c r="BO36" i="34" s="1"/>
  <c r="AL36" i="34"/>
  <c r="AH36" i="34"/>
  <c r="T36" i="34"/>
  <c r="EP36" i="34" s="1"/>
  <c r="G36" i="34"/>
  <c r="D36" i="34"/>
  <c r="GE35" i="34"/>
  <c r="FX35" i="34"/>
  <c r="FI35" i="34"/>
  <c r="FG35" i="34"/>
  <c r="EW35" i="34"/>
  <c r="DV35" i="34"/>
  <c r="CZ35" i="34"/>
  <c r="CW35" i="34"/>
  <c r="CT35" i="34"/>
  <c r="CJ35" i="34"/>
  <c r="BP35" i="34"/>
  <c r="AL35" i="34"/>
  <c r="AH35" i="34"/>
  <c r="T35" i="34"/>
  <c r="G35" i="34"/>
  <c r="D35" i="34"/>
  <c r="GE34" i="34"/>
  <c r="FX34" i="34"/>
  <c r="FI34" i="34"/>
  <c r="FG34" i="34"/>
  <c r="EW34" i="34"/>
  <c r="DV34" i="34"/>
  <c r="CZ34" i="34"/>
  <c r="CW34" i="34"/>
  <c r="CT34" i="34"/>
  <c r="CJ34" i="34"/>
  <c r="BP34" i="34"/>
  <c r="BO34" i="34" s="1"/>
  <c r="AL34" i="34"/>
  <c r="AH34" i="34"/>
  <c r="T34" i="34"/>
  <c r="EP34" i="34" s="1"/>
  <c r="G34" i="34"/>
  <c r="D34" i="34"/>
  <c r="GE33" i="34"/>
  <c r="FX33" i="34"/>
  <c r="FI33" i="34"/>
  <c r="EW33" i="34"/>
  <c r="FG33" i="34" s="1"/>
  <c r="DV33" i="34"/>
  <c r="CZ33" i="34"/>
  <c r="CW33" i="34"/>
  <c r="CT33" i="34"/>
  <c r="CJ33" i="34"/>
  <c r="BP33" i="34"/>
  <c r="BO33" i="34"/>
  <c r="AL33" i="34"/>
  <c r="AH33" i="34"/>
  <c r="T33" i="34"/>
  <c r="EP33" i="34" s="1"/>
  <c r="G33" i="34"/>
  <c r="D33" i="34"/>
  <c r="GE32" i="34"/>
  <c r="FX32" i="34"/>
  <c r="FI32" i="34"/>
  <c r="FG32" i="34"/>
  <c r="EW32" i="34"/>
  <c r="EP32" i="34"/>
  <c r="DV32" i="34"/>
  <c r="CZ32" i="34"/>
  <c r="CW32" i="34"/>
  <c r="CT32" i="34"/>
  <c r="CJ32" i="34"/>
  <c r="BP32" i="34"/>
  <c r="BO32" i="34" s="1"/>
  <c r="AL32" i="34"/>
  <c r="AH32" i="34"/>
  <c r="T32" i="34"/>
  <c r="G32" i="34"/>
  <c r="D32" i="34"/>
  <c r="GE31" i="34"/>
  <c r="FX31" i="34"/>
  <c r="FI31" i="34"/>
  <c r="EW31" i="34"/>
  <c r="FG31" i="34" s="1"/>
  <c r="DV31" i="34"/>
  <c r="CZ31" i="34"/>
  <c r="CW31" i="34"/>
  <c r="CT31" i="34"/>
  <c r="CJ31" i="34"/>
  <c r="BP31" i="34"/>
  <c r="EP31" i="34" s="1"/>
  <c r="BO31" i="34"/>
  <c r="AL31" i="34"/>
  <c r="AH31" i="34"/>
  <c r="T31" i="34"/>
  <c r="G31" i="34"/>
  <c r="D31" i="34"/>
  <c r="GE30" i="34"/>
  <c r="FX30" i="34"/>
  <c r="FI30" i="34"/>
  <c r="FG30" i="34"/>
  <c r="EW30" i="34"/>
  <c r="DV30" i="34"/>
  <c r="CZ30" i="34"/>
  <c r="CW30" i="34"/>
  <c r="CT30" i="34"/>
  <c r="CJ30" i="34"/>
  <c r="BP30" i="34"/>
  <c r="BO30" i="34" s="1"/>
  <c r="AL30" i="34"/>
  <c r="AH30" i="34"/>
  <c r="T30" i="34"/>
  <c r="EP30" i="34" s="1"/>
  <c r="G30" i="34"/>
  <c r="D30" i="34"/>
  <c r="GE29" i="34"/>
  <c r="FX29" i="34"/>
  <c r="FI29" i="34"/>
  <c r="EW29" i="34"/>
  <c r="FG29" i="34" s="1"/>
  <c r="DV29" i="34"/>
  <c r="CZ29" i="34"/>
  <c r="CW29" i="34"/>
  <c r="CT29" i="34"/>
  <c r="CJ29" i="34"/>
  <c r="BP29" i="34"/>
  <c r="BO29" i="34"/>
  <c r="AL29" i="34"/>
  <c r="AH29" i="34"/>
  <c r="T29" i="34"/>
  <c r="EP29" i="34" s="1"/>
  <c r="G29" i="34"/>
  <c r="D29" i="34"/>
  <c r="GE28" i="34"/>
  <c r="FX28" i="34"/>
  <c r="FI28" i="34"/>
  <c r="FG28" i="34"/>
  <c r="EW28" i="34"/>
  <c r="EP28" i="34"/>
  <c r="DV28" i="34"/>
  <c r="CZ28" i="34"/>
  <c r="CW28" i="34"/>
  <c r="CT28" i="34"/>
  <c r="CJ28" i="34"/>
  <c r="BP28" i="34"/>
  <c r="BO28" i="34" s="1"/>
  <c r="AL28" i="34"/>
  <c r="AH28" i="34"/>
  <c r="T28" i="34"/>
  <c r="G28" i="34"/>
  <c r="D28" i="34"/>
  <c r="GE27" i="34"/>
  <c r="FX27" i="34"/>
  <c r="FI27" i="34"/>
  <c r="EW27" i="34"/>
  <c r="FG27" i="34" s="1"/>
  <c r="DV27" i="34"/>
  <c r="CZ27" i="34"/>
  <c r="CW27" i="34"/>
  <c r="CT27" i="34"/>
  <c r="CJ27" i="34"/>
  <c r="BP27" i="34"/>
  <c r="EP27" i="34" s="1"/>
  <c r="AL27" i="34"/>
  <c r="AH27" i="34"/>
  <c r="T27" i="34"/>
  <c r="G27" i="34"/>
  <c r="D27" i="34"/>
  <c r="GE26" i="34"/>
  <c r="FX26" i="34"/>
  <c r="FI26" i="34"/>
  <c r="FG26" i="34"/>
  <c r="EW26" i="34"/>
  <c r="DV26" i="34"/>
  <c r="CZ26" i="34"/>
  <c r="CW26" i="34"/>
  <c r="CT26" i="34"/>
  <c r="CJ26" i="34"/>
  <c r="BP26" i="34"/>
  <c r="BO26" i="34" s="1"/>
  <c r="AL26" i="34"/>
  <c r="AH26" i="34"/>
  <c r="T26" i="34"/>
  <c r="G26" i="34"/>
  <c r="D26" i="34"/>
  <c r="GE25" i="34"/>
  <c r="FX25" i="34"/>
  <c r="FI25" i="34"/>
  <c r="EW25" i="34"/>
  <c r="FG25" i="34" s="1"/>
  <c r="DV25" i="34"/>
  <c r="CZ25" i="34"/>
  <c r="CW25" i="34"/>
  <c r="CT25" i="34"/>
  <c r="CJ25" i="34"/>
  <c r="BP25" i="34"/>
  <c r="BO25" i="34"/>
  <c r="AL25" i="34"/>
  <c r="AH25" i="34"/>
  <c r="T25" i="34"/>
  <c r="EP25" i="34" s="1"/>
  <c r="G25" i="34"/>
  <c r="D25" i="34"/>
  <c r="GE24" i="34"/>
  <c r="FX24" i="34"/>
  <c r="FI24" i="34"/>
  <c r="FG24" i="34"/>
  <c r="EW24" i="34"/>
  <c r="EP24" i="34"/>
  <c r="DV24" i="34"/>
  <c r="CZ24" i="34"/>
  <c r="CW24" i="34"/>
  <c r="CT24" i="34"/>
  <c r="CJ24" i="34"/>
  <c r="BP24" i="34"/>
  <c r="BO24" i="34" s="1"/>
  <c r="AL24" i="34"/>
  <c r="AH24" i="34"/>
  <c r="T24" i="34"/>
  <c r="G24" i="34"/>
  <c r="D24" i="34"/>
  <c r="GE23" i="34"/>
  <c r="FX23" i="34"/>
  <c r="FI23" i="34"/>
  <c r="EW23" i="34"/>
  <c r="FG23" i="34" s="1"/>
  <c r="EP23" i="34"/>
  <c r="DV23" i="34"/>
  <c r="CZ23" i="34"/>
  <c r="CW23" i="34"/>
  <c r="CT23" i="34"/>
  <c r="CJ23" i="34"/>
  <c r="BP23" i="34"/>
  <c r="BO23" i="34"/>
  <c r="AL23" i="34"/>
  <c r="AH23" i="34"/>
  <c r="T23" i="34"/>
  <c r="G23" i="34"/>
  <c r="D23" i="34"/>
  <c r="GE22" i="34"/>
  <c r="FX22" i="34"/>
  <c r="FI22" i="34"/>
  <c r="FG22" i="34"/>
  <c r="EW22" i="34"/>
  <c r="DV22" i="34"/>
  <c r="CZ22" i="34"/>
  <c r="CW22" i="34"/>
  <c r="CT22" i="34"/>
  <c r="CJ22" i="34"/>
  <c r="BP22" i="34"/>
  <c r="BO22" i="34" s="1"/>
  <c r="AL22" i="34"/>
  <c r="AH22" i="34"/>
  <c r="T22" i="34"/>
  <c r="G22" i="34"/>
  <c r="D22" i="34"/>
  <c r="GE21" i="34"/>
  <c r="FX21" i="34"/>
  <c r="FI21" i="34"/>
  <c r="EW21" i="34"/>
  <c r="FG21" i="34" s="1"/>
  <c r="DV21" i="34"/>
  <c r="CZ21" i="34"/>
  <c r="CW21" i="34"/>
  <c r="CT21" i="34"/>
  <c r="CJ21" i="34"/>
  <c r="BP21" i="34"/>
  <c r="BO21" i="34"/>
  <c r="AL21" i="34"/>
  <c r="AH21" i="34"/>
  <c r="T21" i="34"/>
  <c r="EP21" i="34" s="1"/>
  <c r="G21" i="34"/>
  <c r="D21" i="34"/>
  <c r="GE20" i="34"/>
  <c r="FX20" i="34"/>
  <c r="FI20" i="34"/>
  <c r="FG20" i="34"/>
  <c r="EW20" i="34"/>
  <c r="DV20" i="34"/>
  <c r="CZ20" i="34"/>
  <c r="CW20" i="34"/>
  <c r="CT20" i="34"/>
  <c r="CJ20" i="34"/>
  <c r="BP20" i="34"/>
  <c r="BO20" i="34" s="1"/>
  <c r="AL20" i="34"/>
  <c r="AH20" i="34"/>
  <c r="T20" i="34"/>
  <c r="EP20" i="34" s="1"/>
  <c r="G20" i="34"/>
  <c r="D20" i="34"/>
  <c r="GE19" i="34"/>
  <c r="FX19" i="34"/>
  <c r="FI19" i="34"/>
  <c r="FG19" i="34"/>
  <c r="EW19" i="34"/>
  <c r="DV19" i="34"/>
  <c r="CZ19" i="34"/>
  <c r="CW19" i="34"/>
  <c r="CT19" i="34"/>
  <c r="CJ19" i="34"/>
  <c r="BP19" i="34"/>
  <c r="BO19" i="34" s="1"/>
  <c r="AL19" i="34"/>
  <c r="AH19" i="34"/>
  <c r="T19" i="34"/>
  <c r="G19" i="34"/>
  <c r="D19" i="34"/>
  <c r="GE18" i="34"/>
  <c r="FX18" i="34"/>
  <c r="FI18" i="34"/>
  <c r="FG18" i="34"/>
  <c r="EW18" i="34"/>
  <c r="DV18" i="34"/>
  <c r="CZ18" i="34"/>
  <c r="CW18" i="34"/>
  <c r="CT18" i="34"/>
  <c r="CJ18" i="34"/>
  <c r="BP18" i="34"/>
  <c r="BO18" i="34" s="1"/>
  <c r="AL18" i="34"/>
  <c r="AH18" i="34"/>
  <c r="T18" i="34"/>
  <c r="EP18" i="34" s="1"/>
  <c r="G18" i="34"/>
  <c r="D18" i="34"/>
  <c r="GE17" i="34"/>
  <c r="FX17" i="34"/>
  <c r="FI17" i="34"/>
  <c r="EW17" i="34"/>
  <c r="FG17" i="34" s="1"/>
  <c r="DV17" i="34"/>
  <c r="CZ17" i="34"/>
  <c r="CW17" i="34"/>
  <c r="CT17" i="34"/>
  <c r="CJ17" i="34"/>
  <c r="BP17" i="34"/>
  <c r="BO17" i="34"/>
  <c r="AL17" i="34"/>
  <c r="AH17" i="34"/>
  <c r="T17" i="34"/>
  <c r="EP17" i="34" s="1"/>
  <c r="G17" i="34"/>
  <c r="D17" i="34"/>
  <c r="GE16" i="34"/>
  <c r="FX16" i="34"/>
  <c r="FI16" i="34"/>
  <c r="FG16" i="34"/>
  <c r="EW16" i="34"/>
  <c r="EP16" i="34"/>
  <c r="DV16" i="34"/>
  <c r="CZ16" i="34"/>
  <c r="CW16" i="34"/>
  <c r="CT16" i="34"/>
  <c r="CJ16" i="34"/>
  <c r="BP16" i="34"/>
  <c r="BO16" i="34" s="1"/>
  <c r="AL16" i="34"/>
  <c r="AH16" i="34"/>
  <c r="T16" i="34"/>
  <c r="G16" i="34"/>
  <c r="D16" i="34"/>
  <c r="GE15" i="34"/>
  <c r="FX15" i="34"/>
  <c r="FI15" i="34"/>
  <c r="EW15" i="34"/>
  <c r="FG15" i="34" s="1"/>
  <c r="DV15" i="34"/>
  <c r="CZ15" i="34"/>
  <c r="CW15" i="34"/>
  <c r="CT15" i="34"/>
  <c r="CJ15" i="34"/>
  <c r="BP15" i="34"/>
  <c r="EP15" i="34" s="1"/>
  <c r="AL15" i="34"/>
  <c r="AH15" i="34"/>
  <c r="T15" i="34"/>
  <c r="G15" i="34"/>
  <c r="D15" i="34"/>
  <c r="GE14" i="34"/>
  <c r="FX14" i="34"/>
  <c r="FI14" i="34"/>
  <c r="FG14" i="34"/>
  <c r="EW14" i="34"/>
  <c r="DV14" i="34"/>
  <c r="CZ14" i="34"/>
  <c r="CW14" i="34"/>
  <c r="CT14" i="34"/>
  <c r="CJ14" i="34"/>
  <c r="BP14" i="34"/>
  <c r="BO14" i="34" s="1"/>
  <c r="AL14" i="34"/>
  <c r="AH14" i="34"/>
  <c r="T14" i="34"/>
  <c r="G14" i="34"/>
  <c r="D14" i="34"/>
  <c r="GE13" i="34"/>
  <c r="FX13" i="34"/>
  <c r="FI13" i="34"/>
  <c r="EW13" i="34"/>
  <c r="FG13" i="34" s="1"/>
  <c r="DV13" i="34"/>
  <c r="CZ13" i="34"/>
  <c r="CW13" i="34"/>
  <c r="CT13" i="34"/>
  <c r="CJ13" i="34"/>
  <c r="BP13" i="34"/>
  <c r="BO13" i="34"/>
  <c r="AL13" i="34"/>
  <c r="AH13" i="34"/>
  <c r="T13" i="34"/>
  <c r="EP13" i="34" s="1"/>
  <c r="G13" i="34"/>
  <c r="D13" i="34"/>
  <c r="GE12" i="34"/>
  <c r="FX12" i="34"/>
  <c r="FI12" i="34"/>
  <c r="FG12" i="34"/>
  <c r="EW12" i="34"/>
  <c r="EP12" i="34"/>
  <c r="DV12" i="34"/>
  <c r="CZ12" i="34"/>
  <c r="CW12" i="34"/>
  <c r="CT12" i="34"/>
  <c r="CJ12" i="34"/>
  <c r="BP12" i="34"/>
  <c r="BO12" i="34" s="1"/>
  <c r="AL12" i="34"/>
  <c r="AH12" i="34"/>
  <c r="T12" i="34"/>
  <c r="G12" i="34"/>
  <c r="D12" i="34"/>
  <c r="GE11" i="34"/>
  <c r="FX11" i="34"/>
  <c r="FI11" i="34"/>
  <c r="EW11" i="34"/>
  <c r="FG11" i="34" s="1"/>
  <c r="DV11" i="34"/>
  <c r="CZ11" i="34"/>
  <c r="CW11" i="34"/>
  <c r="CT11" i="34"/>
  <c r="CJ11" i="34"/>
  <c r="BP11" i="34"/>
  <c r="EP11" i="34" s="1"/>
  <c r="AL11" i="34"/>
  <c r="AH11" i="34"/>
  <c r="T11" i="34"/>
  <c r="G11" i="34"/>
  <c r="D11" i="34"/>
  <c r="GE10" i="34"/>
  <c r="FX10" i="34"/>
  <c r="FI10" i="34"/>
  <c r="FG10" i="34"/>
  <c r="EW10" i="34"/>
  <c r="DV10" i="34"/>
  <c r="CZ10" i="34"/>
  <c r="CW10" i="34"/>
  <c r="CT10" i="34"/>
  <c r="CJ10" i="34"/>
  <c r="BP10" i="34"/>
  <c r="BO10" i="34" s="1"/>
  <c r="AL10" i="34"/>
  <c r="AH10" i="34"/>
  <c r="T10" i="34"/>
  <c r="G10" i="34"/>
  <c r="D10" i="34"/>
  <c r="GE9" i="34"/>
  <c r="FX9" i="34"/>
  <c r="FI9" i="34"/>
  <c r="EW9" i="34"/>
  <c r="FG9" i="34" s="1"/>
  <c r="DV9" i="34"/>
  <c r="CZ9" i="34"/>
  <c r="CW9" i="34"/>
  <c r="CT9" i="34"/>
  <c r="CJ9" i="34"/>
  <c r="BP9" i="34"/>
  <c r="BO9" i="34"/>
  <c r="AL9" i="34"/>
  <c r="AH9" i="34"/>
  <c r="T9" i="34"/>
  <c r="EP9" i="34" s="1"/>
  <c r="G9" i="34"/>
  <c r="D9" i="34"/>
  <c r="GE8" i="34"/>
  <c r="FX8" i="34"/>
  <c r="FI8" i="34"/>
  <c r="FG8" i="34"/>
  <c r="EW8" i="34"/>
  <c r="DV8" i="34"/>
  <c r="CZ8" i="34"/>
  <c r="CW8" i="34"/>
  <c r="CT8" i="34"/>
  <c r="CJ8" i="34"/>
  <c r="BP8" i="34"/>
  <c r="BO8" i="34" s="1"/>
  <c r="AL8" i="34"/>
  <c r="AH8" i="34"/>
  <c r="T8" i="34"/>
  <c r="EP8" i="34" s="1"/>
  <c r="G8" i="34"/>
  <c r="D8" i="34"/>
  <c r="GE7" i="34"/>
  <c r="FX7" i="34"/>
  <c r="FI7" i="34"/>
  <c r="EW7" i="34"/>
  <c r="FG7" i="34" s="1"/>
  <c r="EP7" i="34"/>
  <c r="DV7" i="34"/>
  <c r="CZ7" i="34"/>
  <c r="CW7" i="34"/>
  <c r="CT7" i="34"/>
  <c r="CJ7" i="34"/>
  <c r="BP7" i="34"/>
  <c r="BO7" i="34"/>
  <c r="AL7" i="34"/>
  <c r="AH7" i="34"/>
  <c r="T7" i="34"/>
  <c r="G7" i="34"/>
  <c r="D7" i="34"/>
  <c r="GE6" i="34"/>
  <c r="FX6" i="34"/>
  <c r="FI6" i="34"/>
  <c r="FG6" i="34"/>
  <c r="EW6" i="34"/>
  <c r="DV6" i="34"/>
  <c r="CZ6" i="34"/>
  <c r="CW6" i="34"/>
  <c r="CT6" i="34"/>
  <c r="CJ6" i="34"/>
  <c r="BP6" i="34"/>
  <c r="BO6" i="34" s="1"/>
  <c r="AL6" i="34"/>
  <c r="AH6" i="34"/>
  <c r="T6" i="34"/>
  <c r="G6" i="34"/>
  <c r="D6" i="34"/>
  <c r="FJ53" i="33"/>
  <c r="FJ52" i="33"/>
  <c r="GA50" i="33"/>
  <c r="FY50" i="33"/>
  <c r="FJ50" i="33"/>
  <c r="FH50" i="33"/>
  <c r="FA50" i="33"/>
  <c r="ES50" i="33"/>
  <c r="EI50" i="33"/>
  <c r="DY50" i="33"/>
  <c r="DW50" i="33"/>
  <c r="DV50" i="33" s="1"/>
  <c r="DP50" i="33"/>
  <c r="DH50" i="33"/>
  <c r="CY50" i="33"/>
  <c r="CX50" i="33"/>
  <c r="CW50" i="33" s="1"/>
  <c r="CR50" i="33"/>
  <c r="CB50" i="33"/>
  <c r="CA50" i="33"/>
  <c r="BH50" i="33"/>
  <c r="AZ50" i="33"/>
  <c r="AX50" i="33"/>
  <c r="AR50" i="33"/>
  <c r="AJ50" i="33"/>
  <c r="AA50" i="33"/>
  <c r="Y50" i="33"/>
  <c r="P50" i="33"/>
  <c r="H50" i="33"/>
  <c r="GI49" i="33"/>
  <c r="GD49" i="33"/>
  <c r="GE49" i="33" s="1"/>
  <c r="GC49" i="33"/>
  <c r="GB49" i="33"/>
  <c r="GA49" i="33"/>
  <c r="FZ49" i="33"/>
  <c r="FY49" i="33"/>
  <c r="FX49" i="33"/>
  <c r="FW49" i="33"/>
  <c r="FM49" i="33"/>
  <c r="FL49" i="33"/>
  <c r="FK49" i="33"/>
  <c r="FJ49" i="33"/>
  <c r="FH49" i="33"/>
  <c r="FF49" i="33"/>
  <c r="FE49" i="33"/>
  <c r="FD49" i="33"/>
  <c r="FC49" i="33"/>
  <c r="FA49" i="33"/>
  <c r="EZ49" i="33"/>
  <c r="EY49" i="33"/>
  <c r="EX49" i="33"/>
  <c r="EW49" i="33" s="1"/>
  <c r="EV49" i="33"/>
  <c r="EU49" i="33"/>
  <c r="ET49" i="33"/>
  <c r="ES49" i="33"/>
  <c r="ER49" i="33"/>
  <c r="EQ49" i="33"/>
  <c r="EO49" i="33"/>
  <c r="EN49" i="33"/>
  <c r="EM49" i="33"/>
  <c r="EJ49" i="33"/>
  <c r="EI49" i="33"/>
  <c r="EH49" i="33"/>
  <c r="FI49" i="33" s="1"/>
  <c r="EG49" i="33"/>
  <c r="EF49" i="33"/>
  <c r="ED49" i="33"/>
  <c r="EC49" i="33"/>
  <c r="EA49" i="33"/>
  <c r="DZ49" i="33"/>
  <c r="DY49" i="33"/>
  <c r="DW49" i="33"/>
  <c r="DV49" i="33"/>
  <c r="DU49" i="33"/>
  <c r="DT49" i="33"/>
  <c r="DS49" i="33"/>
  <c r="DR49" i="33"/>
  <c r="DQ49" i="33"/>
  <c r="DP49" i="33"/>
  <c r="DO49" i="33"/>
  <c r="DN49" i="33"/>
  <c r="DM49" i="33"/>
  <c r="DL49" i="33"/>
  <c r="DK49" i="33"/>
  <c r="DJ49" i="33"/>
  <c r="DI49" i="33"/>
  <c r="DH49" i="33"/>
  <c r="DG49" i="33"/>
  <c r="DF49" i="33"/>
  <c r="DE49" i="33"/>
  <c r="DD49" i="33"/>
  <c r="DC49" i="33"/>
  <c r="DB49" i="33"/>
  <c r="DA49" i="33"/>
  <c r="CY49" i="33"/>
  <c r="CX49" i="33"/>
  <c r="CW49" i="33" s="1"/>
  <c r="CV49" i="33"/>
  <c r="CU49" i="33"/>
  <c r="CT49" i="33"/>
  <c r="CS49" i="33"/>
  <c r="CR49" i="33"/>
  <c r="CQ49" i="33"/>
  <c r="CP49" i="33"/>
  <c r="CO49" i="33"/>
  <c r="CN49" i="33"/>
  <c r="CM49" i="33"/>
  <c r="CL49" i="33"/>
  <c r="CK49" i="33"/>
  <c r="CI49" i="33"/>
  <c r="CH49" i="33"/>
  <c r="CJ49" i="33" s="1"/>
  <c r="CG49" i="33"/>
  <c r="CF49" i="33"/>
  <c r="CE49" i="33"/>
  <c r="CD49" i="33"/>
  <c r="CC49" i="33"/>
  <c r="CB49" i="33"/>
  <c r="CA49" i="33"/>
  <c r="BZ49" i="33"/>
  <c r="BY49" i="33"/>
  <c r="BX49" i="33"/>
  <c r="BW49" i="33"/>
  <c r="BU49" i="33"/>
  <c r="BQ49" i="33"/>
  <c r="BP49" i="33" s="1"/>
  <c r="BN49" i="33"/>
  <c r="BM49" i="33"/>
  <c r="BL49" i="33"/>
  <c r="BK49" i="33"/>
  <c r="BJ49" i="33"/>
  <c r="BI49" i="33"/>
  <c r="BH49" i="33"/>
  <c r="BG49" i="33"/>
  <c r="BF49" i="33"/>
  <c r="BE49" i="33"/>
  <c r="BD49" i="33"/>
  <c r="BC49" i="33"/>
  <c r="BB49" i="33"/>
  <c r="BA49" i="33"/>
  <c r="AZ49" i="33"/>
  <c r="AY49" i="33"/>
  <c r="AX49" i="33"/>
  <c r="AW49" i="33"/>
  <c r="AV49" i="33"/>
  <c r="AU49" i="33"/>
  <c r="AT49" i="33"/>
  <c r="AS49" i="33"/>
  <c r="AR49" i="33"/>
  <c r="AQ49" i="33"/>
  <c r="AP49" i="33"/>
  <c r="AO49" i="33"/>
  <c r="AN49" i="33"/>
  <c r="AM49" i="33"/>
  <c r="AL49" i="33" s="1"/>
  <c r="AK49" i="33"/>
  <c r="AJ49" i="33"/>
  <c r="AI49" i="33"/>
  <c r="AH49" i="33"/>
  <c r="AG49" i="33"/>
  <c r="AF49" i="33"/>
  <c r="AE49" i="33"/>
  <c r="AD49" i="33"/>
  <c r="AC49" i="33"/>
  <c r="AA49" i="33"/>
  <c r="Z49" i="33"/>
  <c r="Y49" i="33"/>
  <c r="U49" i="33"/>
  <c r="T49" i="33" s="1"/>
  <c r="S49" i="33"/>
  <c r="R49" i="33"/>
  <c r="Q49" i="33"/>
  <c r="P49" i="33"/>
  <c r="O49" i="33"/>
  <c r="N49" i="33"/>
  <c r="M49" i="33"/>
  <c r="L49" i="33"/>
  <c r="K49" i="33"/>
  <c r="J49" i="33"/>
  <c r="I49" i="33"/>
  <c r="H49" i="33"/>
  <c r="F49" i="33"/>
  <c r="E49" i="33"/>
  <c r="D49" i="33" s="1"/>
  <c r="C49" i="33"/>
  <c r="GE48" i="33"/>
  <c r="FX48" i="33"/>
  <c r="FI48" i="33"/>
  <c r="EW48" i="33"/>
  <c r="FG48" i="33" s="1"/>
  <c r="DV48" i="33"/>
  <c r="CZ48" i="33"/>
  <c r="CW48" i="33"/>
  <c r="CT48" i="33"/>
  <c r="CJ48" i="33"/>
  <c r="BP48" i="33"/>
  <c r="BO48" i="33"/>
  <c r="AL48" i="33"/>
  <c r="AH48" i="33"/>
  <c r="T48" i="33"/>
  <c r="EP48" i="33" s="1"/>
  <c r="G48" i="33"/>
  <c r="D48" i="33"/>
  <c r="FX47" i="33"/>
  <c r="FI47" i="33"/>
  <c r="FG47" i="33"/>
  <c r="EW47" i="33"/>
  <c r="DV47" i="33"/>
  <c r="CZ47" i="33"/>
  <c r="CW47" i="33"/>
  <c r="CT47" i="33"/>
  <c r="CJ47" i="33"/>
  <c r="BP47" i="33"/>
  <c r="BO47" i="33" s="1"/>
  <c r="AL47" i="33"/>
  <c r="AH47" i="33"/>
  <c r="T47" i="33"/>
  <c r="EP47" i="33" s="1"/>
  <c r="G47" i="33"/>
  <c r="D47" i="33"/>
  <c r="GE46" i="33"/>
  <c r="FX46" i="33"/>
  <c r="FI46" i="33"/>
  <c r="EW46" i="33"/>
  <c r="FG46" i="33" s="1"/>
  <c r="EP46" i="33"/>
  <c r="DV46" i="33"/>
  <c r="CZ46" i="33"/>
  <c r="CW46" i="33"/>
  <c r="CT46" i="33"/>
  <c r="CJ46" i="33"/>
  <c r="BP46" i="33"/>
  <c r="BO46" i="33"/>
  <c r="AL46" i="33"/>
  <c r="AH46" i="33"/>
  <c r="T46" i="33"/>
  <c r="G46" i="33"/>
  <c r="D46" i="33"/>
  <c r="GE45" i="33"/>
  <c r="FX45" i="33"/>
  <c r="FI45" i="33"/>
  <c r="FG45" i="33"/>
  <c r="EW45" i="33"/>
  <c r="DV45" i="33"/>
  <c r="CZ45" i="33"/>
  <c r="CW45" i="33"/>
  <c r="CT45" i="33"/>
  <c r="CJ45" i="33"/>
  <c r="BP45" i="33"/>
  <c r="BO45" i="33" s="1"/>
  <c r="AL45" i="33"/>
  <c r="AH45" i="33"/>
  <c r="T45" i="33"/>
  <c r="EP45" i="33" s="1"/>
  <c r="G45" i="33"/>
  <c r="D45" i="33"/>
  <c r="FX44" i="33"/>
  <c r="FI44" i="33"/>
  <c r="FG44" i="33"/>
  <c r="EW44" i="33"/>
  <c r="DV44" i="33"/>
  <c r="CZ44" i="33"/>
  <c r="CW44" i="33"/>
  <c r="CT44" i="33"/>
  <c r="CJ44" i="33"/>
  <c r="BP44" i="33"/>
  <c r="BO44" i="33" s="1"/>
  <c r="AL44" i="33"/>
  <c r="AH44" i="33"/>
  <c r="T44" i="33"/>
  <c r="G44" i="33"/>
  <c r="D44" i="33"/>
  <c r="GE43" i="33"/>
  <c r="FX43" i="33"/>
  <c r="FI43" i="33"/>
  <c r="EW43" i="33"/>
  <c r="FG43" i="33" s="1"/>
  <c r="DV43" i="33"/>
  <c r="CZ43" i="33"/>
  <c r="CW43" i="33"/>
  <c r="CT43" i="33"/>
  <c r="CJ43" i="33"/>
  <c r="BP43" i="33"/>
  <c r="BO43" i="33"/>
  <c r="AL43" i="33"/>
  <c r="AH43" i="33"/>
  <c r="T43" i="33"/>
  <c r="EP43" i="33" s="1"/>
  <c r="G43" i="33"/>
  <c r="D43" i="33"/>
  <c r="GE42" i="33"/>
  <c r="FX42" i="33"/>
  <c r="FI42" i="33"/>
  <c r="FG42" i="33"/>
  <c r="EW42" i="33"/>
  <c r="DV42" i="33"/>
  <c r="CZ42" i="33"/>
  <c r="CW42" i="33"/>
  <c r="CT42" i="33"/>
  <c r="CJ42" i="33"/>
  <c r="BP42" i="33"/>
  <c r="BO42" i="33" s="1"/>
  <c r="AL42" i="33"/>
  <c r="AH42" i="33"/>
  <c r="T42" i="33"/>
  <c r="EP42" i="33" s="1"/>
  <c r="G42" i="33"/>
  <c r="D42" i="33"/>
  <c r="FX41" i="33"/>
  <c r="FI41" i="33"/>
  <c r="EW41" i="33"/>
  <c r="FG41" i="33" s="1"/>
  <c r="EP41" i="33"/>
  <c r="DV41" i="33"/>
  <c r="CZ41" i="33"/>
  <c r="CW41" i="33"/>
  <c r="CT41" i="33"/>
  <c r="CJ41" i="33"/>
  <c r="BP41" i="33"/>
  <c r="BO41" i="33"/>
  <c r="AL41" i="33"/>
  <c r="AH41" i="33"/>
  <c r="T41" i="33"/>
  <c r="G41" i="33"/>
  <c r="D41" i="33"/>
  <c r="GE40" i="33"/>
  <c r="FX40" i="33"/>
  <c r="FI40" i="33"/>
  <c r="FG40" i="33"/>
  <c r="EW40" i="33"/>
  <c r="DV40" i="33"/>
  <c r="CZ40" i="33"/>
  <c r="CW40" i="33"/>
  <c r="CT40" i="33"/>
  <c r="CJ40" i="33"/>
  <c r="BP40" i="33"/>
  <c r="BO40" i="33" s="1"/>
  <c r="AL40" i="33"/>
  <c r="AH40" i="33"/>
  <c r="T40" i="33"/>
  <c r="EP40" i="33" s="1"/>
  <c r="G40" i="33"/>
  <c r="D40" i="33"/>
  <c r="FX39" i="33"/>
  <c r="FI39" i="33"/>
  <c r="FG39" i="33"/>
  <c r="EW39" i="33"/>
  <c r="DV39" i="33"/>
  <c r="CZ39" i="33"/>
  <c r="CW39" i="33"/>
  <c r="CT39" i="33"/>
  <c r="CJ39" i="33"/>
  <c r="BP39" i="33"/>
  <c r="BO39" i="33" s="1"/>
  <c r="AL39" i="33"/>
  <c r="AH39" i="33"/>
  <c r="T39" i="33"/>
  <c r="EP39" i="33" s="1"/>
  <c r="G39" i="33"/>
  <c r="D39" i="33"/>
  <c r="FX38" i="33"/>
  <c r="FI38" i="33"/>
  <c r="FG38" i="33"/>
  <c r="EW38" i="33"/>
  <c r="EP38" i="33"/>
  <c r="DV38" i="33"/>
  <c r="CZ38" i="33"/>
  <c r="CW38" i="33"/>
  <c r="CT38" i="33"/>
  <c r="CJ38" i="33"/>
  <c r="BP38" i="33"/>
  <c r="BO38" i="33" s="1"/>
  <c r="AL38" i="33"/>
  <c r="AH38" i="33"/>
  <c r="T38" i="33"/>
  <c r="G38" i="33"/>
  <c r="D38" i="33"/>
  <c r="GI37" i="33"/>
  <c r="GI50" i="33" s="1"/>
  <c r="GE37" i="33"/>
  <c r="GD37" i="33"/>
  <c r="GD50" i="33" s="1"/>
  <c r="GC37" i="33"/>
  <c r="GC50" i="33" s="1"/>
  <c r="GB37" i="33"/>
  <c r="GB50" i="33" s="1"/>
  <c r="GA37" i="33"/>
  <c r="FZ37" i="33"/>
  <c r="FZ50" i="33" s="1"/>
  <c r="FY37" i="33"/>
  <c r="FX37" i="33"/>
  <c r="FW37" i="33"/>
  <c r="FW50" i="33" s="1"/>
  <c r="FX50" i="33" s="1"/>
  <c r="FM37" i="33"/>
  <c r="FM50" i="33" s="1"/>
  <c r="FL37" i="33"/>
  <c r="FL50" i="33" s="1"/>
  <c r="FK37" i="33"/>
  <c r="FK50" i="33" s="1"/>
  <c r="FJ37" i="33"/>
  <c r="FI37" i="33"/>
  <c r="FH37" i="33"/>
  <c r="FF37" i="33"/>
  <c r="FF50" i="33" s="1"/>
  <c r="FE37" i="33"/>
  <c r="FE50" i="33" s="1"/>
  <c r="FD37" i="33"/>
  <c r="FD50" i="33" s="1"/>
  <c r="FC37" i="33"/>
  <c r="FC50" i="33" s="1"/>
  <c r="FA37" i="33"/>
  <c r="EZ37" i="33"/>
  <c r="EZ50" i="33" s="1"/>
  <c r="EY37" i="33"/>
  <c r="EY50" i="33" s="1"/>
  <c r="EX37" i="33"/>
  <c r="EV37" i="33"/>
  <c r="EV50" i="33" s="1"/>
  <c r="EU37" i="33"/>
  <c r="EU50" i="33" s="1"/>
  <c r="ET37" i="33"/>
  <c r="ET50" i="33" s="1"/>
  <c r="ES37" i="33"/>
  <c r="ER37" i="33"/>
  <c r="ER50" i="33" s="1"/>
  <c r="EQ37" i="33"/>
  <c r="EQ50" i="33" s="1"/>
  <c r="EO37" i="33"/>
  <c r="EO50" i="33" s="1"/>
  <c r="EN37" i="33"/>
  <c r="EN50" i="33" s="1"/>
  <c r="EM37" i="33"/>
  <c r="EJ37" i="33"/>
  <c r="EJ50" i="33" s="1"/>
  <c r="EI37" i="33"/>
  <c r="EH37" i="33"/>
  <c r="EH50" i="33" s="1"/>
  <c r="FI50" i="33" s="1"/>
  <c r="EG37" i="33"/>
  <c r="EG50" i="33" s="1"/>
  <c r="EF37" i="33"/>
  <c r="EF50" i="33" s="1"/>
  <c r="ED37" i="33"/>
  <c r="ED50" i="33" s="1"/>
  <c r="EC37" i="33"/>
  <c r="EC50" i="33" s="1"/>
  <c r="EA37" i="33"/>
  <c r="DZ37" i="33"/>
  <c r="DZ50" i="33" s="1"/>
  <c r="DY37" i="33"/>
  <c r="DW37" i="33"/>
  <c r="DV37" i="33"/>
  <c r="DU37" i="33"/>
  <c r="DU50" i="33" s="1"/>
  <c r="DT37" i="33"/>
  <c r="DT50" i="33" s="1"/>
  <c r="DS37" i="33"/>
  <c r="DS50" i="33" s="1"/>
  <c r="DR37" i="33"/>
  <c r="DQ37" i="33"/>
  <c r="DQ50" i="33" s="1"/>
  <c r="DP37" i="33"/>
  <c r="DO37" i="33"/>
  <c r="DO50" i="33" s="1"/>
  <c r="DN37" i="33"/>
  <c r="DN50" i="33" s="1"/>
  <c r="DM37" i="33"/>
  <c r="DM50" i="33" s="1"/>
  <c r="DL37" i="33"/>
  <c r="DL50" i="33" s="1"/>
  <c r="DK37" i="33"/>
  <c r="DK50" i="33" s="1"/>
  <c r="DJ37" i="33"/>
  <c r="DI37" i="33"/>
  <c r="DI50" i="33" s="1"/>
  <c r="DH37" i="33"/>
  <c r="DG37" i="33"/>
  <c r="DG50" i="33" s="1"/>
  <c r="DF37" i="33"/>
  <c r="DF50" i="33" s="1"/>
  <c r="DE37" i="33"/>
  <c r="DE50" i="33" s="1"/>
  <c r="DD37" i="33"/>
  <c r="DD50" i="33" s="1"/>
  <c r="DC37" i="33"/>
  <c r="DC50" i="33" s="1"/>
  <c r="DB37" i="33"/>
  <c r="DA37" i="33"/>
  <c r="CY37" i="33"/>
  <c r="CX37" i="33"/>
  <c r="CW37" i="33"/>
  <c r="CV37" i="33"/>
  <c r="CV50" i="33" s="1"/>
  <c r="CU37" i="33"/>
  <c r="CT37" i="33"/>
  <c r="CS37" i="33"/>
  <c r="CS50" i="33" s="1"/>
  <c r="CR37" i="33"/>
  <c r="CQ37" i="33"/>
  <c r="CQ50" i="33" s="1"/>
  <c r="CP37" i="33"/>
  <c r="CP50" i="33" s="1"/>
  <c r="CO37" i="33"/>
  <c r="CO50" i="33" s="1"/>
  <c r="CN37" i="33"/>
  <c r="CN50" i="33" s="1"/>
  <c r="CM37" i="33"/>
  <c r="CL37" i="33"/>
  <c r="CK37" i="33"/>
  <c r="CK50" i="33" s="1"/>
  <c r="CI37" i="33"/>
  <c r="CI50" i="33" s="1"/>
  <c r="CH37" i="33"/>
  <c r="CG37" i="33"/>
  <c r="CG50" i="33" s="1"/>
  <c r="CF37" i="33"/>
  <c r="CF50" i="33" s="1"/>
  <c r="CE37" i="33"/>
  <c r="CE50" i="33" s="1"/>
  <c r="CD37" i="33"/>
  <c r="CC37" i="33"/>
  <c r="CB37" i="33"/>
  <c r="CA37" i="33"/>
  <c r="BZ37" i="33"/>
  <c r="BZ50" i="33" s="1"/>
  <c r="BY37" i="33"/>
  <c r="BY50" i="33" s="1"/>
  <c r="BX37" i="33"/>
  <c r="BX50" i="33" s="1"/>
  <c r="BW37" i="33"/>
  <c r="BW50" i="33" s="1"/>
  <c r="BU37" i="33"/>
  <c r="BQ37" i="33"/>
  <c r="BN37" i="33"/>
  <c r="BN50" i="33" s="1"/>
  <c r="BM37" i="33"/>
  <c r="BM50" i="33" s="1"/>
  <c r="BL37" i="33"/>
  <c r="BL50" i="33" s="1"/>
  <c r="BK37" i="33"/>
  <c r="BK50" i="33" s="1"/>
  <c r="BJ37" i="33"/>
  <c r="BJ50" i="33" s="1"/>
  <c r="BI37" i="33"/>
  <c r="BH37" i="33"/>
  <c r="BG37" i="33"/>
  <c r="BG50" i="33" s="1"/>
  <c r="BF37" i="33"/>
  <c r="BF50" i="33" s="1"/>
  <c r="BE37" i="33"/>
  <c r="BE50" i="33" s="1"/>
  <c r="BD37" i="33"/>
  <c r="BD50" i="33" s="1"/>
  <c r="BC37" i="33"/>
  <c r="BC50" i="33" s="1"/>
  <c r="BB37" i="33"/>
  <c r="BB50" i="33" s="1"/>
  <c r="BA37" i="33"/>
  <c r="AZ37" i="33"/>
  <c r="AY37" i="33"/>
  <c r="AY50" i="33" s="1"/>
  <c r="AX37" i="33"/>
  <c r="AW37" i="33"/>
  <c r="AW50" i="33" s="1"/>
  <c r="AV37" i="33"/>
  <c r="AV50" i="33" s="1"/>
  <c r="AU37" i="33"/>
  <c r="AU50" i="33" s="1"/>
  <c r="AT37" i="33"/>
  <c r="AT50" i="33" s="1"/>
  <c r="AS37" i="33"/>
  <c r="AR37" i="33"/>
  <c r="AQ37" i="33"/>
  <c r="AQ50" i="33" s="1"/>
  <c r="AP37" i="33"/>
  <c r="AP50" i="33" s="1"/>
  <c r="AO37" i="33"/>
  <c r="AO50" i="33" s="1"/>
  <c r="AN37" i="33"/>
  <c r="AN50" i="33" s="1"/>
  <c r="AM37" i="33"/>
  <c r="AM50" i="33" s="1"/>
  <c r="AL50" i="33" s="1"/>
  <c r="AL37" i="33"/>
  <c r="AK37" i="33"/>
  <c r="AJ37" i="33"/>
  <c r="AI37" i="33"/>
  <c r="AI50" i="33" s="1"/>
  <c r="AH50" i="33" s="1"/>
  <c r="AH37" i="33"/>
  <c r="AG37" i="33"/>
  <c r="AG50" i="33" s="1"/>
  <c r="AF37" i="33"/>
  <c r="AF50" i="33" s="1"/>
  <c r="AE37" i="33"/>
  <c r="AE50" i="33" s="1"/>
  <c r="AD37" i="33"/>
  <c r="AD50" i="33" s="1"/>
  <c r="AC37" i="33"/>
  <c r="AA37" i="33"/>
  <c r="Z37" i="33"/>
  <c r="Z50" i="33" s="1"/>
  <c r="Y37" i="33"/>
  <c r="U37" i="33"/>
  <c r="S37" i="33"/>
  <c r="S50" i="33" s="1"/>
  <c r="R37" i="33"/>
  <c r="R50" i="33" s="1"/>
  <c r="Q37" i="33"/>
  <c r="Q50" i="33" s="1"/>
  <c r="P37" i="33"/>
  <c r="O37" i="33"/>
  <c r="O50" i="33" s="1"/>
  <c r="N37" i="33"/>
  <c r="N50" i="33" s="1"/>
  <c r="M37" i="33"/>
  <c r="M50" i="33" s="1"/>
  <c r="L37" i="33"/>
  <c r="L50" i="33" s="1"/>
  <c r="K37" i="33"/>
  <c r="K50" i="33" s="1"/>
  <c r="J37" i="33"/>
  <c r="J50" i="33" s="1"/>
  <c r="I37" i="33"/>
  <c r="H37" i="33"/>
  <c r="F37" i="33"/>
  <c r="F50" i="33" s="1"/>
  <c r="E37" i="33"/>
  <c r="E50" i="33" s="1"/>
  <c r="D50" i="33" s="1"/>
  <c r="C37" i="33"/>
  <c r="C50" i="33" s="1"/>
  <c r="GE36" i="33"/>
  <c r="FX36" i="33"/>
  <c r="FI36" i="33"/>
  <c r="FG36" i="33"/>
  <c r="EW36" i="33"/>
  <c r="EP36" i="33"/>
  <c r="DV36" i="33"/>
  <c r="CZ36" i="33"/>
  <c r="CW36" i="33"/>
  <c r="CT36" i="33"/>
  <c r="CJ36" i="33"/>
  <c r="BP36" i="33"/>
  <c r="BO36" i="33" s="1"/>
  <c r="AL36" i="33"/>
  <c r="AH36" i="33"/>
  <c r="T36" i="33"/>
  <c r="G36" i="33"/>
  <c r="D36" i="33"/>
  <c r="GE35" i="33"/>
  <c r="FX35" i="33"/>
  <c r="FI35" i="33"/>
  <c r="FG35" i="33"/>
  <c r="EW35" i="33"/>
  <c r="DV35" i="33"/>
  <c r="CZ35" i="33"/>
  <c r="CW35" i="33"/>
  <c r="CT35" i="33"/>
  <c r="CJ35" i="33"/>
  <c r="BP35" i="33"/>
  <c r="BO35" i="33"/>
  <c r="AL35" i="33"/>
  <c r="AH35" i="33"/>
  <c r="T35" i="33"/>
  <c r="EP35" i="33" s="1"/>
  <c r="G35" i="33"/>
  <c r="D35" i="33"/>
  <c r="GE34" i="33"/>
  <c r="FX34" i="33"/>
  <c r="FI34" i="33"/>
  <c r="FG34" i="33"/>
  <c r="EW34" i="33"/>
  <c r="EP34" i="33"/>
  <c r="DV34" i="33"/>
  <c r="CZ34" i="33"/>
  <c r="CW34" i="33"/>
  <c r="CT34" i="33"/>
  <c r="CJ34" i="33"/>
  <c r="BP34" i="33"/>
  <c r="BO34" i="33" s="1"/>
  <c r="AL34" i="33"/>
  <c r="AH34" i="33"/>
  <c r="T34" i="33"/>
  <c r="G34" i="33"/>
  <c r="D34" i="33"/>
  <c r="GE33" i="33"/>
  <c r="FX33" i="33"/>
  <c r="FI33" i="33"/>
  <c r="FG33" i="33"/>
  <c r="EW33" i="33"/>
  <c r="DV33" i="33"/>
  <c r="CZ33" i="33"/>
  <c r="CW33" i="33"/>
  <c r="CT33" i="33"/>
  <c r="CJ33" i="33"/>
  <c r="BP33" i="33"/>
  <c r="BO33" i="33" s="1"/>
  <c r="AL33" i="33"/>
  <c r="AH33" i="33"/>
  <c r="T33" i="33"/>
  <c r="G33" i="33"/>
  <c r="D33" i="33"/>
  <c r="GE32" i="33"/>
  <c r="FX32" i="33"/>
  <c r="FI32" i="33"/>
  <c r="FG32" i="33"/>
  <c r="EW32" i="33"/>
  <c r="DV32" i="33"/>
  <c r="CZ32" i="33"/>
  <c r="CW32" i="33"/>
  <c r="CT32" i="33"/>
  <c r="CJ32" i="33"/>
  <c r="BP32" i="33"/>
  <c r="BO32" i="33" s="1"/>
  <c r="AL32" i="33"/>
  <c r="AH32" i="33"/>
  <c r="T32" i="33"/>
  <c r="G32" i="33"/>
  <c r="D32" i="33"/>
  <c r="GE31" i="33"/>
  <c r="FX31" i="33"/>
  <c r="FI31" i="33"/>
  <c r="FG31" i="33"/>
  <c r="EW31" i="33"/>
  <c r="DV31" i="33"/>
  <c r="CZ31" i="33"/>
  <c r="CW31" i="33"/>
  <c r="CT31" i="33"/>
  <c r="CJ31" i="33"/>
  <c r="BP31" i="33"/>
  <c r="BO31" i="33" s="1"/>
  <c r="AL31" i="33"/>
  <c r="AH31" i="33"/>
  <c r="T31" i="33"/>
  <c r="G31" i="33"/>
  <c r="D31" i="33"/>
  <c r="GE30" i="33"/>
  <c r="FX30" i="33"/>
  <c r="FI30" i="33"/>
  <c r="FG30" i="33"/>
  <c r="EW30" i="33"/>
  <c r="EP30" i="33"/>
  <c r="DV30" i="33"/>
  <c r="CZ30" i="33"/>
  <c r="CW30" i="33"/>
  <c r="CT30" i="33"/>
  <c r="CJ30" i="33"/>
  <c r="BP30" i="33"/>
  <c r="BO30" i="33" s="1"/>
  <c r="AL30" i="33"/>
  <c r="AH30" i="33"/>
  <c r="T30" i="33"/>
  <c r="G30" i="33"/>
  <c r="D30" i="33"/>
  <c r="GE29" i="33"/>
  <c r="FX29" i="33"/>
  <c r="FI29" i="33"/>
  <c r="FG29" i="33"/>
  <c r="EW29" i="33"/>
  <c r="DV29" i="33"/>
  <c r="CZ29" i="33"/>
  <c r="CW29" i="33"/>
  <c r="CT29" i="33"/>
  <c r="CJ29" i="33"/>
  <c r="BP29" i="33"/>
  <c r="BO29" i="33" s="1"/>
  <c r="AL29" i="33"/>
  <c r="AH29" i="33"/>
  <c r="T29" i="33"/>
  <c r="G29" i="33"/>
  <c r="D29" i="33"/>
  <c r="GE28" i="33"/>
  <c r="FX28" i="33"/>
  <c r="FI28" i="33"/>
  <c r="FG28" i="33"/>
  <c r="EW28" i="33"/>
  <c r="DV28" i="33"/>
  <c r="CZ28" i="33"/>
  <c r="CW28" i="33"/>
  <c r="CT28" i="33"/>
  <c r="CJ28" i="33"/>
  <c r="BP28" i="33"/>
  <c r="BO28" i="33" s="1"/>
  <c r="AL28" i="33"/>
  <c r="AH28" i="33"/>
  <c r="T28" i="33"/>
  <c r="EP28" i="33" s="1"/>
  <c r="G28" i="33"/>
  <c r="D28" i="33"/>
  <c r="GE27" i="33"/>
  <c r="FX27" i="33"/>
  <c r="FI27" i="33"/>
  <c r="EW27" i="33"/>
  <c r="FG27" i="33" s="1"/>
  <c r="EP27" i="33"/>
  <c r="DV27" i="33"/>
  <c r="CZ27" i="33"/>
  <c r="CW27" i="33"/>
  <c r="CT27" i="33"/>
  <c r="CJ27" i="33"/>
  <c r="BP27" i="33"/>
  <c r="BO27" i="33"/>
  <c r="AL27" i="33"/>
  <c r="AH27" i="33"/>
  <c r="T27" i="33"/>
  <c r="G27" i="33"/>
  <c r="D27" i="33"/>
  <c r="GE26" i="33"/>
  <c r="FX26" i="33"/>
  <c r="FI26" i="33"/>
  <c r="EW26" i="33"/>
  <c r="FG26" i="33" s="1"/>
  <c r="DV26" i="33"/>
  <c r="CZ26" i="33"/>
  <c r="CW26" i="33"/>
  <c r="CT26" i="33"/>
  <c r="CJ26" i="33"/>
  <c r="BP26" i="33"/>
  <c r="BO26" i="33" s="1"/>
  <c r="AL26" i="33"/>
  <c r="AH26" i="33"/>
  <c r="T26" i="33"/>
  <c r="EP26" i="33" s="1"/>
  <c r="G26" i="33"/>
  <c r="D26" i="33"/>
  <c r="GE25" i="33"/>
  <c r="FX25" i="33"/>
  <c r="FI25" i="33"/>
  <c r="FG25" i="33"/>
  <c r="EW25" i="33"/>
  <c r="DV25" i="33"/>
  <c r="CZ25" i="33"/>
  <c r="CW25" i="33"/>
  <c r="CT25" i="33"/>
  <c r="CJ25" i="33"/>
  <c r="BP25" i="33"/>
  <c r="BO25" i="33" s="1"/>
  <c r="AL25" i="33"/>
  <c r="AH25" i="33"/>
  <c r="T25" i="33"/>
  <c r="EP25" i="33" s="1"/>
  <c r="G25" i="33"/>
  <c r="D25" i="33"/>
  <c r="GE24" i="33"/>
  <c r="FX24" i="33"/>
  <c r="FI24" i="33"/>
  <c r="FG24" i="33"/>
  <c r="EW24" i="33"/>
  <c r="EP24" i="33"/>
  <c r="DV24" i="33"/>
  <c r="CZ24" i="33"/>
  <c r="CW24" i="33"/>
  <c r="CT24" i="33"/>
  <c r="CJ24" i="33"/>
  <c r="BP24" i="33"/>
  <c r="BO24" i="33" s="1"/>
  <c r="AL24" i="33"/>
  <c r="AH24" i="33"/>
  <c r="T24" i="33"/>
  <c r="G24" i="33"/>
  <c r="D24" i="33"/>
  <c r="GE23" i="33"/>
  <c r="FX23" i="33"/>
  <c r="FI23" i="33"/>
  <c r="FG23" i="33"/>
  <c r="EW23" i="33"/>
  <c r="DV23" i="33"/>
  <c r="CZ23" i="33"/>
  <c r="CW23" i="33"/>
  <c r="CT23" i="33"/>
  <c r="CJ23" i="33"/>
  <c r="BP23" i="33"/>
  <c r="BO23" i="33" s="1"/>
  <c r="AL23" i="33"/>
  <c r="AH23" i="33"/>
  <c r="T23" i="33"/>
  <c r="EP23" i="33" s="1"/>
  <c r="G23" i="33"/>
  <c r="D23" i="33"/>
  <c r="GE22" i="33"/>
  <c r="FX22" i="33"/>
  <c r="FI22" i="33"/>
  <c r="FG22" i="33"/>
  <c r="EW22" i="33"/>
  <c r="EP22" i="33"/>
  <c r="DV22" i="33"/>
  <c r="CZ22" i="33"/>
  <c r="CW22" i="33"/>
  <c r="CT22" i="33"/>
  <c r="CJ22" i="33"/>
  <c r="BP22" i="33"/>
  <c r="BO22" i="33" s="1"/>
  <c r="AL22" i="33"/>
  <c r="AH22" i="33"/>
  <c r="T22" i="33"/>
  <c r="G22" i="33"/>
  <c r="D22" i="33"/>
  <c r="GE21" i="33"/>
  <c r="FX21" i="33"/>
  <c r="FI21" i="33"/>
  <c r="FG21" i="33"/>
  <c r="EW21" i="33"/>
  <c r="DV21" i="33"/>
  <c r="CZ21" i="33"/>
  <c r="CW21" i="33"/>
  <c r="CT21" i="33"/>
  <c r="CJ21" i="33"/>
  <c r="BP21" i="33"/>
  <c r="BO21" i="33" s="1"/>
  <c r="AL21" i="33"/>
  <c r="AH21" i="33"/>
  <c r="T21" i="33"/>
  <c r="G21" i="33"/>
  <c r="D21" i="33"/>
  <c r="GE20" i="33"/>
  <c r="FX20" i="33"/>
  <c r="FI20" i="33"/>
  <c r="FG20" i="33"/>
  <c r="EW20" i="33"/>
  <c r="DV20" i="33"/>
  <c r="CZ20" i="33"/>
  <c r="CW20" i="33"/>
  <c r="CT20" i="33"/>
  <c r="CJ20" i="33"/>
  <c r="BP20" i="33"/>
  <c r="AL20" i="33"/>
  <c r="AH20" i="33"/>
  <c r="T20" i="33"/>
  <c r="G20" i="33"/>
  <c r="D20" i="33"/>
  <c r="GE19" i="33"/>
  <c r="FX19" i="33"/>
  <c r="FI19" i="33"/>
  <c r="FG19" i="33"/>
  <c r="EW19" i="33"/>
  <c r="DV19" i="33"/>
  <c r="CZ19" i="33"/>
  <c r="CW19" i="33"/>
  <c r="CT19" i="33"/>
  <c r="CJ19" i="33"/>
  <c r="BP19" i="33"/>
  <c r="BO19" i="33"/>
  <c r="AL19" i="33"/>
  <c r="AH19" i="33"/>
  <c r="T19" i="33"/>
  <c r="EP19" i="33" s="1"/>
  <c r="G19" i="33"/>
  <c r="D19" i="33"/>
  <c r="GE18" i="33"/>
  <c r="FX18" i="33"/>
  <c r="FI18" i="33"/>
  <c r="EW18" i="33"/>
  <c r="FG18" i="33" s="1"/>
  <c r="EP18" i="33"/>
  <c r="DV18" i="33"/>
  <c r="CZ18" i="33"/>
  <c r="CW18" i="33"/>
  <c r="CT18" i="33"/>
  <c r="CJ18" i="33"/>
  <c r="BP18" i="33"/>
  <c r="BO18" i="33"/>
  <c r="AL18" i="33"/>
  <c r="AH18" i="33"/>
  <c r="T18" i="33"/>
  <c r="G18" i="33"/>
  <c r="D18" i="33"/>
  <c r="GE17" i="33"/>
  <c r="FX17" i="33"/>
  <c r="FI17" i="33"/>
  <c r="FG17" i="33"/>
  <c r="EW17" i="33"/>
  <c r="DV17" i="33"/>
  <c r="CZ17" i="33"/>
  <c r="CW17" i="33"/>
  <c r="CT17" i="33"/>
  <c r="CJ17" i="33"/>
  <c r="BP17" i="33"/>
  <c r="BO17" i="33" s="1"/>
  <c r="AL17" i="33"/>
  <c r="AH17" i="33"/>
  <c r="T17" i="33"/>
  <c r="EP17" i="33" s="1"/>
  <c r="G17" i="33"/>
  <c r="D17" i="33"/>
  <c r="GE16" i="33"/>
  <c r="FX16" i="33"/>
  <c r="FI16" i="33"/>
  <c r="FG16" i="33"/>
  <c r="EW16" i="33"/>
  <c r="EP16" i="33"/>
  <c r="DV16" i="33"/>
  <c r="CZ16" i="33"/>
  <c r="CW16" i="33"/>
  <c r="CT16" i="33"/>
  <c r="CJ16" i="33"/>
  <c r="BP16" i="33"/>
  <c r="BO16" i="33" s="1"/>
  <c r="AL16" i="33"/>
  <c r="AH16" i="33"/>
  <c r="T16" i="33"/>
  <c r="G16" i="33"/>
  <c r="D16" i="33"/>
  <c r="GE15" i="33"/>
  <c r="FX15" i="33"/>
  <c r="FI15" i="33"/>
  <c r="EW15" i="33"/>
  <c r="FG15" i="33" s="1"/>
  <c r="DV15" i="33"/>
  <c r="CZ15" i="33"/>
  <c r="CW15" i="33"/>
  <c r="CT15" i="33"/>
  <c r="CJ15" i="33"/>
  <c r="BP15" i="33"/>
  <c r="BO15" i="33" s="1"/>
  <c r="AL15" i="33"/>
  <c r="AH15" i="33"/>
  <c r="T15" i="33"/>
  <c r="EP15" i="33" s="1"/>
  <c r="G15" i="33"/>
  <c r="D15" i="33"/>
  <c r="GE14" i="33"/>
  <c r="FX14" i="33"/>
  <c r="FI14" i="33"/>
  <c r="FG14" i="33"/>
  <c r="EW14" i="33"/>
  <c r="DV14" i="33"/>
  <c r="CZ14" i="33"/>
  <c r="CW14" i="33"/>
  <c r="CT14" i="33"/>
  <c r="CJ14" i="33"/>
  <c r="BP14" i="33"/>
  <c r="BO14" i="33" s="1"/>
  <c r="AL14" i="33"/>
  <c r="AH14" i="33"/>
  <c r="T14" i="33"/>
  <c r="EP14" i="33" s="1"/>
  <c r="G14" i="33"/>
  <c r="D14" i="33"/>
  <c r="GE13" i="33"/>
  <c r="FX13" i="33"/>
  <c r="FI13" i="33"/>
  <c r="FG13" i="33"/>
  <c r="EW13" i="33"/>
  <c r="EP13" i="33"/>
  <c r="DV13" i="33"/>
  <c r="CZ13" i="33"/>
  <c r="CW13" i="33"/>
  <c r="CT13" i="33"/>
  <c r="CJ13" i="33"/>
  <c r="BP13" i="33"/>
  <c r="BO13" i="33" s="1"/>
  <c r="AL13" i="33"/>
  <c r="AH13" i="33"/>
  <c r="T13" i="33"/>
  <c r="G13" i="33"/>
  <c r="D13" i="33"/>
  <c r="GE12" i="33"/>
  <c r="FX12" i="33"/>
  <c r="FI12" i="33"/>
  <c r="EW12" i="33"/>
  <c r="FG12" i="33" s="1"/>
  <c r="DV12" i="33"/>
  <c r="CZ12" i="33"/>
  <c r="CW12" i="33"/>
  <c r="CT12" i="33"/>
  <c r="CJ12" i="33"/>
  <c r="BP12" i="33"/>
  <c r="BO12" i="33"/>
  <c r="AL12" i="33"/>
  <c r="AH12" i="33"/>
  <c r="T12" i="33"/>
  <c r="EP12" i="33" s="1"/>
  <c r="G12" i="33"/>
  <c r="D12" i="33"/>
  <c r="GE11" i="33"/>
  <c r="FX11" i="33"/>
  <c r="FI11" i="33"/>
  <c r="FG11" i="33"/>
  <c r="EW11" i="33"/>
  <c r="EP11" i="33"/>
  <c r="DV11" i="33"/>
  <c r="CZ11" i="33"/>
  <c r="CW11" i="33"/>
  <c r="CT11" i="33"/>
  <c r="CJ11" i="33"/>
  <c r="BP11" i="33"/>
  <c r="BO11" i="33" s="1"/>
  <c r="AL11" i="33"/>
  <c r="AH11" i="33"/>
  <c r="T11" i="33"/>
  <c r="G11" i="33"/>
  <c r="D11" i="33"/>
  <c r="GE10" i="33"/>
  <c r="FX10" i="33"/>
  <c r="FI10" i="33"/>
  <c r="EW10" i="33"/>
  <c r="FG10" i="33" s="1"/>
  <c r="DV10" i="33"/>
  <c r="CZ10" i="33"/>
  <c r="CW10" i="33"/>
  <c r="CT10" i="33"/>
  <c r="CJ10" i="33"/>
  <c r="BP10" i="33"/>
  <c r="BO10" i="33"/>
  <c r="AL10" i="33"/>
  <c r="AH10" i="33"/>
  <c r="T10" i="33"/>
  <c r="EP10" i="33" s="1"/>
  <c r="G10" i="33"/>
  <c r="D10" i="33"/>
  <c r="GE9" i="33"/>
  <c r="FX9" i="33"/>
  <c r="FI9" i="33"/>
  <c r="FG9" i="33"/>
  <c r="EW9" i="33"/>
  <c r="EP9" i="33"/>
  <c r="DV9" i="33"/>
  <c r="CZ9" i="33"/>
  <c r="CW9" i="33"/>
  <c r="CT9" i="33"/>
  <c r="CJ9" i="33"/>
  <c r="BP9" i="33"/>
  <c r="BO9" i="33" s="1"/>
  <c r="AL9" i="33"/>
  <c r="AH9" i="33"/>
  <c r="T9" i="33"/>
  <c r="G9" i="33"/>
  <c r="D9" i="33"/>
  <c r="GE8" i="33"/>
  <c r="FX8" i="33"/>
  <c r="FI8" i="33"/>
  <c r="EW8" i="33"/>
  <c r="FG8" i="33" s="1"/>
  <c r="DV8" i="33"/>
  <c r="CZ8" i="33"/>
  <c r="CW8" i="33"/>
  <c r="CT8" i="33"/>
  <c r="CJ8" i="33"/>
  <c r="BP8" i="33"/>
  <c r="BO8" i="33"/>
  <c r="AL8" i="33"/>
  <c r="AH8" i="33"/>
  <c r="T8" i="33"/>
  <c r="EP8" i="33" s="1"/>
  <c r="G8" i="33"/>
  <c r="D8" i="33"/>
  <c r="GE7" i="33"/>
  <c r="FX7" i="33"/>
  <c r="FI7" i="33"/>
  <c r="EW7" i="33"/>
  <c r="FG7" i="33" s="1"/>
  <c r="DV7" i="33"/>
  <c r="CZ7" i="33"/>
  <c r="CW7" i="33"/>
  <c r="CT7" i="33"/>
  <c r="CJ7" i="33"/>
  <c r="BP7" i="33"/>
  <c r="BO7" i="33"/>
  <c r="AL7" i="33"/>
  <c r="AH7" i="33"/>
  <c r="T7" i="33"/>
  <c r="EP7" i="33" s="1"/>
  <c r="G7" i="33"/>
  <c r="D7" i="33"/>
  <c r="GE6" i="33"/>
  <c r="FX6" i="33"/>
  <c r="FI6" i="33"/>
  <c r="FG6" i="33"/>
  <c r="EW6" i="33"/>
  <c r="EP6" i="33"/>
  <c r="DV6" i="33"/>
  <c r="CZ6" i="33"/>
  <c r="CW6" i="33"/>
  <c r="CT6" i="33"/>
  <c r="CJ6" i="33"/>
  <c r="BP6" i="33"/>
  <c r="BO6" i="33" s="1"/>
  <c r="AL6" i="33"/>
  <c r="AH6" i="33"/>
  <c r="T6" i="33"/>
  <c r="G6" i="33"/>
  <c r="D6" i="33"/>
  <c r="FJ52" i="32"/>
  <c r="GE50" i="32"/>
  <c r="GB50" i="32"/>
  <c r="FJ50" i="32"/>
  <c r="EY50" i="32"/>
  <c r="EQ50" i="32"/>
  <c r="EO50" i="32"/>
  <c r="EM50" i="32"/>
  <c r="DY50" i="32"/>
  <c r="DO50" i="32"/>
  <c r="DN50" i="32"/>
  <c r="DH50" i="32"/>
  <c r="DF50" i="32"/>
  <c r="DE50" i="32"/>
  <c r="DD50" i="32"/>
  <c r="CX50" i="32"/>
  <c r="CR50" i="32"/>
  <c r="CP50" i="32"/>
  <c r="CL50" i="32"/>
  <c r="CH50" i="32"/>
  <c r="CC50" i="32"/>
  <c r="BY50" i="32"/>
  <c r="BX50" i="32"/>
  <c r="BR50" i="32"/>
  <c r="BK50" i="32"/>
  <c r="BJ50" i="32"/>
  <c r="BB50" i="32"/>
  <c r="BA50" i="32"/>
  <c r="AZ50" i="32"/>
  <c r="AT50" i="32"/>
  <c r="AS50" i="32"/>
  <c r="AP50" i="32"/>
  <c r="AJ50" i="32"/>
  <c r="AG50" i="32"/>
  <c r="AE50" i="32"/>
  <c r="AA50" i="32"/>
  <c r="S50" i="32"/>
  <c r="Q50" i="32"/>
  <c r="K50" i="32"/>
  <c r="C50" i="32"/>
  <c r="GI49" i="32"/>
  <c r="GE49" i="32"/>
  <c r="GD49" i="32"/>
  <c r="GC49" i="32"/>
  <c r="GB49" i="32"/>
  <c r="GA49" i="32"/>
  <c r="FZ49" i="32"/>
  <c r="FY49" i="32"/>
  <c r="FY50" i="32" s="1"/>
  <c r="FX49" i="32"/>
  <c r="FW49" i="32"/>
  <c r="FM49" i="32"/>
  <c r="FL49" i="32"/>
  <c r="FK49" i="32"/>
  <c r="FJ49" i="32"/>
  <c r="FH49" i="32"/>
  <c r="FH50" i="32" s="1"/>
  <c r="FF49" i="32"/>
  <c r="FE49" i="32"/>
  <c r="FD49" i="32"/>
  <c r="FC49" i="32"/>
  <c r="FC50" i="32" s="1"/>
  <c r="FA49" i="32"/>
  <c r="EZ49" i="32"/>
  <c r="EY49" i="32"/>
  <c r="EX49" i="32"/>
  <c r="EW49" i="32" s="1"/>
  <c r="EV49" i="32"/>
  <c r="EU49" i="32"/>
  <c r="ET49" i="32"/>
  <c r="ES49" i="32"/>
  <c r="ER49" i="32"/>
  <c r="EQ49" i="32"/>
  <c r="EO49" i="32"/>
  <c r="EN49" i="32"/>
  <c r="EM49" i="32"/>
  <c r="EJ49" i="32"/>
  <c r="EI49" i="32"/>
  <c r="EH49" i="32"/>
  <c r="FI49" i="32" s="1"/>
  <c r="EG49" i="32"/>
  <c r="EG50" i="32" s="1"/>
  <c r="EF49" i="32"/>
  <c r="ED49" i="32"/>
  <c r="EC49" i="32"/>
  <c r="EA49" i="32"/>
  <c r="DZ49" i="32"/>
  <c r="DZ50" i="32" s="1"/>
  <c r="DY49" i="32"/>
  <c r="DW49" i="32"/>
  <c r="DV49" i="32" s="1"/>
  <c r="DU49" i="32"/>
  <c r="DT49" i="32"/>
  <c r="DS49" i="32"/>
  <c r="DR49" i="32"/>
  <c r="DR50" i="32" s="1"/>
  <c r="DQ49" i="32"/>
  <c r="DP49" i="32"/>
  <c r="DO49" i="32"/>
  <c r="DN49" i="32"/>
  <c r="DM49" i="32"/>
  <c r="DL49" i="32"/>
  <c r="DK49" i="32"/>
  <c r="DJ49" i="32"/>
  <c r="DJ50" i="32" s="1"/>
  <c r="DI49" i="32"/>
  <c r="DH49" i="32"/>
  <c r="DG49" i="32"/>
  <c r="DF49" i="32"/>
  <c r="DE49" i="32"/>
  <c r="DD49" i="32"/>
  <c r="DC49" i="32"/>
  <c r="DB49" i="32"/>
  <c r="DA49" i="32"/>
  <c r="CY49" i="32"/>
  <c r="CX49" i="32"/>
  <c r="CW49" i="32" s="1"/>
  <c r="CV49" i="32"/>
  <c r="CU49" i="32"/>
  <c r="CS49" i="32"/>
  <c r="CR49" i="32"/>
  <c r="CQ49" i="32"/>
  <c r="CP49" i="32"/>
  <c r="CO49" i="32"/>
  <c r="CN49" i="32"/>
  <c r="CM49" i="32"/>
  <c r="CL49" i="32"/>
  <c r="CK49" i="32"/>
  <c r="CK50" i="32" s="1"/>
  <c r="CI49" i="32"/>
  <c r="CI50" i="32" s="1"/>
  <c r="CH49" i="32"/>
  <c r="CJ49" i="32" s="1"/>
  <c r="CG49" i="32"/>
  <c r="CF49" i="32"/>
  <c r="CE49" i="32"/>
  <c r="CD49" i="32"/>
  <c r="CD50" i="32" s="1"/>
  <c r="CC49" i="32"/>
  <c r="CB49" i="32"/>
  <c r="CA49" i="32"/>
  <c r="BZ49" i="32"/>
  <c r="BZ50" i="32" s="1"/>
  <c r="BY49" i="32"/>
  <c r="BX49" i="32"/>
  <c r="BW49" i="32"/>
  <c r="BU49" i="32"/>
  <c r="BU50" i="32" s="1"/>
  <c r="BR49" i="32"/>
  <c r="BQ49" i="32"/>
  <c r="BP49" i="32"/>
  <c r="BO49" i="32"/>
  <c r="BN49" i="32"/>
  <c r="BM49" i="32"/>
  <c r="BL49" i="32"/>
  <c r="BK49" i="32"/>
  <c r="BJ49" i="32"/>
  <c r="BI49" i="32"/>
  <c r="BH49" i="32"/>
  <c r="BG49" i="32"/>
  <c r="BG50" i="32" s="1"/>
  <c r="BF49" i="32"/>
  <c r="BE49" i="32"/>
  <c r="BD49" i="32"/>
  <c r="BC49" i="32"/>
  <c r="BB49" i="32"/>
  <c r="BA49" i="32"/>
  <c r="AZ49" i="32"/>
  <c r="AY49" i="32"/>
  <c r="AY50" i="32" s="1"/>
  <c r="AX49" i="32"/>
  <c r="AW49" i="32"/>
  <c r="AV49" i="32"/>
  <c r="AU49" i="32"/>
  <c r="AT49" i="32"/>
  <c r="AS49" i="32"/>
  <c r="AR49" i="32"/>
  <c r="AQ49" i="32"/>
  <c r="AQ50" i="32" s="1"/>
  <c r="AP49" i="32"/>
  <c r="AO49" i="32"/>
  <c r="AN49" i="32"/>
  <c r="AM49" i="32"/>
  <c r="AL49" i="32" s="1"/>
  <c r="AK49" i="32"/>
  <c r="AJ49" i="32"/>
  <c r="AI49" i="32"/>
  <c r="AI50" i="32" s="1"/>
  <c r="AH50" i="32" s="1"/>
  <c r="AH49" i="32"/>
  <c r="AG49" i="32"/>
  <c r="AF49" i="32"/>
  <c r="AE49" i="32"/>
  <c r="AD49" i="32"/>
  <c r="AC49" i="32"/>
  <c r="AA49" i="32"/>
  <c r="Z49" i="32"/>
  <c r="Z50" i="32" s="1"/>
  <c r="Y49" i="32"/>
  <c r="Y50" i="32" s="1"/>
  <c r="X49" i="32"/>
  <c r="U49" i="32"/>
  <c r="T49" i="32" s="1"/>
  <c r="EP49" i="32" s="1"/>
  <c r="S49" i="32"/>
  <c r="R49" i="32"/>
  <c r="Q49" i="32"/>
  <c r="P49" i="32"/>
  <c r="P50" i="32" s="1"/>
  <c r="O49" i="32"/>
  <c r="O50" i="32" s="1"/>
  <c r="N49" i="32"/>
  <c r="M49" i="32"/>
  <c r="L49" i="32"/>
  <c r="K49" i="32"/>
  <c r="J49" i="32"/>
  <c r="I49" i="32"/>
  <c r="H49" i="32"/>
  <c r="H50" i="32" s="1"/>
  <c r="F49" i="32"/>
  <c r="E49" i="32"/>
  <c r="D49" i="32" s="1"/>
  <c r="C49" i="32"/>
  <c r="GE48" i="32"/>
  <c r="FX48" i="32"/>
  <c r="FI48" i="32"/>
  <c r="FG48" i="32"/>
  <c r="EW48" i="32"/>
  <c r="DV48" i="32"/>
  <c r="CZ48" i="32"/>
  <c r="CW48" i="32"/>
  <c r="CT48" i="32"/>
  <c r="CJ48" i="32"/>
  <c r="BP48" i="32"/>
  <c r="AL48" i="32"/>
  <c r="AH48" i="32"/>
  <c r="T48" i="32"/>
  <c r="G48" i="32"/>
  <c r="D48" i="32"/>
  <c r="FX47" i="32"/>
  <c r="FI47" i="32"/>
  <c r="EW47" i="32"/>
  <c r="FG47" i="32" s="1"/>
  <c r="EP47" i="32"/>
  <c r="DV47" i="32"/>
  <c r="CZ47" i="32"/>
  <c r="CW47" i="32"/>
  <c r="CT47" i="32"/>
  <c r="CJ47" i="32"/>
  <c r="BP47" i="32"/>
  <c r="BO47" i="32"/>
  <c r="AL47" i="32"/>
  <c r="AH47" i="32"/>
  <c r="T47" i="32"/>
  <c r="G47" i="32"/>
  <c r="D47" i="32"/>
  <c r="GE46" i="32"/>
  <c r="FX46" i="32"/>
  <c r="FI46" i="32"/>
  <c r="FG46" i="32"/>
  <c r="EW46" i="32"/>
  <c r="DV46" i="32"/>
  <c r="CZ46" i="32"/>
  <c r="CW46" i="32"/>
  <c r="CT46" i="32"/>
  <c r="CJ46" i="32"/>
  <c r="BP46" i="32"/>
  <c r="BO46" i="32" s="1"/>
  <c r="AL46" i="32"/>
  <c r="AH46" i="32"/>
  <c r="T46" i="32"/>
  <c r="G46" i="32"/>
  <c r="D46" i="32"/>
  <c r="GE45" i="32"/>
  <c r="FX45" i="32"/>
  <c r="FI45" i="32"/>
  <c r="EW45" i="32"/>
  <c r="FG45" i="32" s="1"/>
  <c r="DV45" i="32"/>
  <c r="CZ45" i="32"/>
  <c r="CW45" i="32"/>
  <c r="CT45" i="32"/>
  <c r="CJ45" i="32"/>
  <c r="BP45" i="32"/>
  <c r="BO45" i="32"/>
  <c r="AL45" i="32"/>
  <c r="AH45" i="32"/>
  <c r="T45" i="32"/>
  <c r="EP45" i="32" s="1"/>
  <c r="G45" i="32"/>
  <c r="D45" i="32"/>
  <c r="FX44" i="32"/>
  <c r="FI44" i="32"/>
  <c r="EW44" i="32"/>
  <c r="FG44" i="32" s="1"/>
  <c r="DV44" i="32"/>
  <c r="CZ44" i="32"/>
  <c r="CW44" i="32"/>
  <c r="CT44" i="32"/>
  <c r="CJ44" i="32"/>
  <c r="BP44" i="32"/>
  <c r="BO44" i="32"/>
  <c r="AL44" i="32"/>
  <c r="AH44" i="32"/>
  <c r="T44" i="32"/>
  <c r="EP44" i="32" s="1"/>
  <c r="G44" i="32"/>
  <c r="D44" i="32"/>
  <c r="GE43" i="32"/>
  <c r="FX43" i="32"/>
  <c r="FI43" i="32"/>
  <c r="FG43" i="32"/>
  <c r="EW43" i="32"/>
  <c r="EP43" i="32"/>
  <c r="DV43" i="32"/>
  <c r="CZ43" i="32"/>
  <c r="CW43" i="32"/>
  <c r="CT43" i="32"/>
  <c r="CJ43" i="32"/>
  <c r="BP43" i="32"/>
  <c r="BO43" i="32" s="1"/>
  <c r="AL43" i="32"/>
  <c r="AH43" i="32"/>
  <c r="T43" i="32"/>
  <c r="G43" i="32"/>
  <c r="D43" i="32"/>
  <c r="GE42" i="32"/>
  <c r="FX42" i="32"/>
  <c r="FI42" i="32"/>
  <c r="EW42" i="32"/>
  <c r="FG42" i="32" s="1"/>
  <c r="DV42" i="32"/>
  <c r="CZ42" i="32"/>
  <c r="CW42" i="32"/>
  <c r="CT42" i="32"/>
  <c r="CJ42" i="32"/>
  <c r="BP42" i="32"/>
  <c r="EP42" i="32" s="1"/>
  <c r="BO42" i="32"/>
  <c r="AL42" i="32"/>
  <c r="AH42" i="32"/>
  <c r="T42" i="32"/>
  <c r="G42" i="32"/>
  <c r="D42" i="32"/>
  <c r="FX41" i="32"/>
  <c r="FI41" i="32"/>
  <c r="FG41" i="32"/>
  <c r="EW41" i="32"/>
  <c r="DV41" i="32"/>
  <c r="CZ41" i="32"/>
  <c r="CW41" i="32"/>
  <c r="CT41" i="32"/>
  <c r="CJ41" i="32"/>
  <c r="BP41" i="32"/>
  <c r="BO41" i="32"/>
  <c r="AL41" i="32"/>
  <c r="AH41" i="32"/>
  <c r="T41" i="32"/>
  <c r="G41" i="32"/>
  <c r="D41" i="32"/>
  <c r="GE40" i="32"/>
  <c r="FX40" i="32"/>
  <c r="FI40" i="32"/>
  <c r="EW40" i="32"/>
  <c r="FG40" i="32" s="1"/>
  <c r="DV40" i="32"/>
  <c r="CZ40" i="32"/>
  <c r="CW40" i="32"/>
  <c r="CT40" i="32"/>
  <c r="CJ40" i="32"/>
  <c r="BP40" i="32"/>
  <c r="BO40" i="32"/>
  <c r="AL40" i="32"/>
  <c r="AH40" i="32"/>
  <c r="T40" i="32"/>
  <c r="EP40" i="32" s="1"/>
  <c r="G40" i="32"/>
  <c r="D40" i="32"/>
  <c r="FX39" i="32"/>
  <c r="FI39" i="32"/>
  <c r="EW39" i="32"/>
  <c r="FG39" i="32" s="1"/>
  <c r="DV39" i="32"/>
  <c r="CZ39" i="32"/>
  <c r="CW39" i="32"/>
  <c r="CT39" i="32"/>
  <c r="CJ39" i="32"/>
  <c r="BP39" i="32"/>
  <c r="BO39" i="32" s="1"/>
  <c r="AL39" i="32"/>
  <c r="AH39" i="32"/>
  <c r="T39" i="32"/>
  <c r="G39" i="32"/>
  <c r="D39" i="32"/>
  <c r="FX38" i="32"/>
  <c r="FI38" i="32"/>
  <c r="FG38" i="32"/>
  <c r="EW38" i="32"/>
  <c r="DV38" i="32"/>
  <c r="CZ38" i="32"/>
  <c r="CW38" i="32"/>
  <c r="CT38" i="32"/>
  <c r="CJ38" i="32"/>
  <c r="BP38" i="32"/>
  <c r="BO38" i="32" s="1"/>
  <c r="AL38" i="32"/>
  <c r="AH38" i="32"/>
  <c r="T38" i="32"/>
  <c r="EP38" i="32" s="1"/>
  <c r="G38" i="32"/>
  <c r="D38" i="32"/>
  <c r="GI37" i="32"/>
  <c r="GI50" i="32" s="1"/>
  <c r="GE37" i="32"/>
  <c r="GD37" i="32"/>
  <c r="GD50" i="32" s="1"/>
  <c r="GC37" i="32"/>
  <c r="GB37" i="32"/>
  <c r="GA37" i="32"/>
  <c r="GA50" i="32" s="1"/>
  <c r="FZ37" i="32"/>
  <c r="FZ50" i="32" s="1"/>
  <c r="FY37" i="32"/>
  <c r="FW37" i="32"/>
  <c r="FM37" i="32"/>
  <c r="FM50" i="32" s="1"/>
  <c r="FL37" i="32"/>
  <c r="FL50" i="32" s="1"/>
  <c r="FK37" i="32"/>
  <c r="FJ37" i="32"/>
  <c r="FJ53" i="32" s="1"/>
  <c r="FH37" i="32"/>
  <c r="FF37" i="32"/>
  <c r="FF50" i="32" s="1"/>
  <c r="FE37" i="32"/>
  <c r="FE50" i="32" s="1"/>
  <c r="FD37" i="32"/>
  <c r="FC37" i="32"/>
  <c r="FA37" i="32"/>
  <c r="FA50" i="32" s="1"/>
  <c r="EZ37" i="32"/>
  <c r="EZ50" i="32" s="1"/>
  <c r="EY37" i="32"/>
  <c r="EX37" i="32"/>
  <c r="EX50" i="32" s="1"/>
  <c r="EW50" i="32" s="1"/>
  <c r="EV37" i="32"/>
  <c r="EV50" i="32" s="1"/>
  <c r="EU37" i="32"/>
  <c r="ET37" i="32"/>
  <c r="ES37" i="32"/>
  <c r="ES50" i="32" s="1"/>
  <c r="ER37" i="32"/>
  <c r="ER50" i="32" s="1"/>
  <c r="EQ37" i="32"/>
  <c r="EO37" i="32"/>
  <c r="EN37" i="32"/>
  <c r="EN50" i="32" s="1"/>
  <c r="EM37" i="32"/>
  <c r="EJ37" i="32"/>
  <c r="EI37" i="32"/>
  <c r="EI50" i="32" s="1"/>
  <c r="EH37" i="32"/>
  <c r="EH50" i="32" s="1"/>
  <c r="FI50" i="32" s="1"/>
  <c r="EG37" i="32"/>
  <c r="EF37" i="32"/>
  <c r="EF50" i="32" s="1"/>
  <c r="ED37" i="32"/>
  <c r="ED50" i="32" s="1"/>
  <c r="EC37" i="32"/>
  <c r="EC50" i="32" s="1"/>
  <c r="EA37" i="32"/>
  <c r="EA50" i="32" s="1"/>
  <c r="DZ37" i="32"/>
  <c r="DY37" i="32"/>
  <c r="DW37" i="32"/>
  <c r="DV37" i="32" s="1"/>
  <c r="DU37" i="32"/>
  <c r="DT37" i="32"/>
  <c r="DT50" i="32" s="1"/>
  <c r="DS37" i="32"/>
  <c r="DS50" i="32" s="1"/>
  <c r="DR37" i="32"/>
  <c r="DQ37" i="32"/>
  <c r="DQ50" i="32" s="1"/>
  <c r="DP37" i="32"/>
  <c r="DP50" i="32" s="1"/>
  <c r="DO37" i="32"/>
  <c r="DN37" i="32"/>
  <c r="DM37" i="32"/>
  <c r="DM50" i="32" s="1"/>
  <c r="DL37" i="32"/>
  <c r="DL50" i="32" s="1"/>
  <c r="DK37" i="32"/>
  <c r="DK50" i="32" s="1"/>
  <c r="DJ37" i="32"/>
  <c r="DI37" i="32"/>
  <c r="DI50" i="32" s="1"/>
  <c r="DH37" i="32"/>
  <c r="DG37" i="32"/>
  <c r="DG50" i="32" s="1"/>
  <c r="DF37" i="32"/>
  <c r="DE37" i="32"/>
  <c r="DD37" i="32"/>
  <c r="DC37" i="32"/>
  <c r="DC50" i="32" s="1"/>
  <c r="DB37" i="32"/>
  <c r="DA37" i="32"/>
  <c r="DA50" i="32" s="1"/>
  <c r="CY37" i="32"/>
  <c r="CY50" i="32" s="1"/>
  <c r="CX37" i="32"/>
  <c r="CV37" i="32"/>
  <c r="CV50" i="32" s="1"/>
  <c r="CU37" i="32"/>
  <c r="CS37" i="32"/>
  <c r="CR37" i="32"/>
  <c r="CQ37" i="32"/>
  <c r="CQ50" i="32" s="1"/>
  <c r="CP37" i="32"/>
  <c r="CO37" i="32"/>
  <c r="CO50" i="32" s="1"/>
  <c r="CN37" i="32"/>
  <c r="CN50" i="32" s="1"/>
  <c r="CM37" i="32"/>
  <c r="CM50" i="32" s="1"/>
  <c r="CL37" i="32"/>
  <c r="CK37" i="32"/>
  <c r="CJ37" i="32"/>
  <c r="CI37" i="32"/>
  <c r="CH37" i="32"/>
  <c r="CG37" i="32"/>
  <c r="CG50" i="32" s="1"/>
  <c r="CF37" i="32"/>
  <c r="CF50" i="32" s="1"/>
  <c r="CE37" i="32"/>
  <c r="CE50" i="32" s="1"/>
  <c r="CD37" i="32"/>
  <c r="CC37" i="32"/>
  <c r="CB37" i="32"/>
  <c r="CB50" i="32" s="1"/>
  <c r="CA37" i="32"/>
  <c r="BZ37" i="32"/>
  <c r="BY37" i="32"/>
  <c r="BX37" i="32"/>
  <c r="BW37" i="32"/>
  <c r="BW50" i="32" s="1"/>
  <c r="BU37" i="32"/>
  <c r="BR37" i="32"/>
  <c r="BQ37" i="32"/>
  <c r="BQ50" i="32" s="1"/>
  <c r="BP50" i="32" s="1"/>
  <c r="BN37" i="32"/>
  <c r="BN50" i="32" s="1"/>
  <c r="BO50" i="32" s="1"/>
  <c r="BM37" i="32"/>
  <c r="BM50" i="32" s="1"/>
  <c r="BL37" i="32"/>
  <c r="BL50" i="32" s="1"/>
  <c r="BK37" i="32"/>
  <c r="BJ37" i="32"/>
  <c r="BI37" i="32"/>
  <c r="BI50" i="32" s="1"/>
  <c r="BH37" i="32"/>
  <c r="BH50" i="32" s="1"/>
  <c r="BG37" i="32"/>
  <c r="BF37" i="32"/>
  <c r="BF50" i="32" s="1"/>
  <c r="BE37" i="32"/>
  <c r="BE50" i="32" s="1"/>
  <c r="BD37" i="32"/>
  <c r="BD50" i="32" s="1"/>
  <c r="BC37" i="32"/>
  <c r="BC50" i="32" s="1"/>
  <c r="BB37" i="32"/>
  <c r="BA37" i="32"/>
  <c r="AZ37" i="32"/>
  <c r="AY37" i="32"/>
  <c r="AX37" i="32"/>
  <c r="AX50" i="32" s="1"/>
  <c r="AW37" i="32"/>
  <c r="AW50" i="32" s="1"/>
  <c r="AV37" i="32"/>
  <c r="AV50" i="32" s="1"/>
  <c r="AU37" i="32"/>
  <c r="AU50" i="32" s="1"/>
  <c r="AT37" i="32"/>
  <c r="AS37" i="32"/>
  <c r="AR37" i="32"/>
  <c r="AR50" i="32" s="1"/>
  <c r="AQ37" i="32"/>
  <c r="AP37" i="32"/>
  <c r="AO37" i="32"/>
  <c r="AO50" i="32" s="1"/>
  <c r="AN37" i="32"/>
  <c r="AN50" i="32" s="1"/>
  <c r="AM37" i="32"/>
  <c r="AK37" i="32"/>
  <c r="AK50" i="32" s="1"/>
  <c r="AJ37" i="32"/>
  <c r="AI37" i="32"/>
  <c r="AH37" i="32"/>
  <c r="AG37" i="32"/>
  <c r="AF37" i="32"/>
  <c r="AF50" i="32" s="1"/>
  <c r="AE37" i="32"/>
  <c r="AD37" i="32"/>
  <c r="AD50" i="32" s="1"/>
  <c r="AC37" i="32"/>
  <c r="AC50" i="32" s="1"/>
  <c r="AA37" i="32"/>
  <c r="Z37" i="32"/>
  <c r="Y37" i="32"/>
  <c r="X37" i="32"/>
  <c r="X50" i="32" s="1"/>
  <c r="U37" i="32"/>
  <c r="U50" i="32" s="1"/>
  <c r="S37" i="32"/>
  <c r="R37" i="32"/>
  <c r="R50" i="32" s="1"/>
  <c r="Q37" i="32"/>
  <c r="P37" i="32"/>
  <c r="O37" i="32"/>
  <c r="N37" i="32"/>
  <c r="N50" i="32" s="1"/>
  <c r="M37" i="32"/>
  <c r="M50" i="32" s="1"/>
  <c r="L37" i="32"/>
  <c r="L50" i="32" s="1"/>
  <c r="K37" i="32"/>
  <c r="J37" i="32"/>
  <c r="J50" i="32" s="1"/>
  <c r="I37" i="32"/>
  <c r="H37" i="32"/>
  <c r="G37" i="32"/>
  <c r="F37" i="32"/>
  <c r="F50" i="32" s="1"/>
  <c r="E37" i="32"/>
  <c r="E50" i="32" s="1"/>
  <c r="D50" i="32" s="1"/>
  <c r="C37" i="32"/>
  <c r="GE36" i="32"/>
  <c r="FX36" i="32"/>
  <c r="FI36" i="32"/>
  <c r="EW36" i="32"/>
  <c r="FG36" i="32" s="1"/>
  <c r="EP36" i="32"/>
  <c r="DV36" i="32"/>
  <c r="CZ36" i="32"/>
  <c r="CW36" i="32"/>
  <c r="CT36" i="32"/>
  <c r="CJ36" i="32"/>
  <c r="BP36" i="32"/>
  <c r="BO36" i="32"/>
  <c r="AL36" i="32"/>
  <c r="AH36" i="32"/>
  <c r="T36" i="32"/>
  <c r="G36" i="32"/>
  <c r="D36" i="32"/>
  <c r="GE35" i="32"/>
  <c r="FX35" i="32"/>
  <c r="FI35" i="32"/>
  <c r="FG35" i="32"/>
  <c r="EW35" i="32"/>
  <c r="DV35" i="32"/>
  <c r="CZ35" i="32"/>
  <c r="CW35" i="32"/>
  <c r="CT35" i="32"/>
  <c r="CJ35" i="32"/>
  <c r="BP35" i="32"/>
  <c r="BO35" i="32" s="1"/>
  <c r="AL35" i="32"/>
  <c r="AH35" i="32"/>
  <c r="T35" i="32"/>
  <c r="EP35" i="32" s="1"/>
  <c r="G35" i="32"/>
  <c r="D35" i="32"/>
  <c r="GE34" i="32"/>
  <c r="FX34" i="32"/>
  <c r="FI34" i="32"/>
  <c r="EW34" i="32"/>
  <c r="FG34" i="32" s="1"/>
  <c r="EP34" i="32"/>
  <c r="DV34" i="32"/>
  <c r="CZ34" i="32"/>
  <c r="CW34" i="32"/>
  <c r="CT34" i="32"/>
  <c r="CJ34" i="32"/>
  <c r="BP34" i="32"/>
  <c r="BO34" i="32"/>
  <c r="AL34" i="32"/>
  <c r="AH34" i="32"/>
  <c r="T34" i="32"/>
  <c r="G34" i="32"/>
  <c r="D34" i="32"/>
  <c r="GE33" i="32"/>
  <c r="FX33" i="32"/>
  <c r="FI33" i="32"/>
  <c r="FG33" i="32"/>
  <c r="EW33" i="32"/>
  <c r="DV33" i="32"/>
  <c r="CZ33" i="32"/>
  <c r="CW33" i="32"/>
  <c r="CT33" i="32"/>
  <c r="CJ33" i="32"/>
  <c r="BP33" i="32"/>
  <c r="BO33" i="32" s="1"/>
  <c r="AL33" i="32"/>
  <c r="AH33" i="32"/>
  <c r="T33" i="32"/>
  <c r="EP33" i="32" s="1"/>
  <c r="G33" i="32"/>
  <c r="D33" i="32"/>
  <c r="GE32" i="32"/>
  <c r="FX32" i="32"/>
  <c r="FI32" i="32"/>
  <c r="FG32" i="32"/>
  <c r="EW32" i="32"/>
  <c r="DV32" i="32"/>
  <c r="CZ32" i="32"/>
  <c r="CW32" i="32"/>
  <c r="CT32" i="32"/>
  <c r="CJ32" i="32"/>
  <c r="BP32" i="32"/>
  <c r="BO32" i="32" s="1"/>
  <c r="AL32" i="32"/>
  <c r="AH32" i="32"/>
  <c r="T32" i="32"/>
  <c r="EP32" i="32" s="1"/>
  <c r="G32" i="32"/>
  <c r="D32" i="32"/>
  <c r="GE31" i="32"/>
  <c r="FX31" i="32"/>
  <c r="FI31" i="32"/>
  <c r="FG31" i="32"/>
  <c r="EW31" i="32"/>
  <c r="EP31" i="32"/>
  <c r="DV31" i="32"/>
  <c r="CZ31" i="32"/>
  <c r="CW31" i="32"/>
  <c r="CT31" i="32"/>
  <c r="CJ31" i="32"/>
  <c r="BP31" i="32"/>
  <c r="BO31" i="32" s="1"/>
  <c r="AL31" i="32"/>
  <c r="AH31" i="32"/>
  <c r="T31" i="32"/>
  <c r="G31" i="32"/>
  <c r="D31" i="32"/>
  <c r="GE30" i="32"/>
  <c r="FX30" i="32"/>
  <c r="FI30" i="32"/>
  <c r="FG30" i="32"/>
  <c r="EW30" i="32"/>
  <c r="DV30" i="32"/>
  <c r="CZ30" i="32"/>
  <c r="CW30" i="32"/>
  <c r="CT30" i="32"/>
  <c r="CJ30" i="32"/>
  <c r="BP30" i="32"/>
  <c r="BO30" i="32" s="1"/>
  <c r="AL30" i="32"/>
  <c r="AH30" i="32"/>
  <c r="T30" i="32"/>
  <c r="EP30" i="32" s="1"/>
  <c r="G30" i="32"/>
  <c r="D30" i="32"/>
  <c r="GE29" i="32"/>
  <c r="FX29" i="32"/>
  <c r="FI29" i="32"/>
  <c r="FG29" i="32"/>
  <c r="EW29" i="32"/>
  <c r="EP29" i="32"/>
  <c r="DV29" i="32"/>
  <c r="CZ29" i="32"/>
  <c r="CW29" i="32"/>
  <c r="CT29" i="32"/>
  <c r="CJ29" i="32"/>
  <c r="BP29" i="32"/>
  <c r="BO29" i="32" s="1"/>
  <c r="AL29" i="32"/>
  <c r="AH29" i="32"/>
  <c r="T29" i="32"/>
  <c r="G29" i="32"/>
  <c r="D29" i="32"/>
  <c r="GE28" i="32"/>
  <c r="FX28" i="32"/>
  <c r="FI28" i="32"/>
  <c r="EW28" i="32"/>
  <c r="FG28" i="32" s="1"/>
  <c r="EP28" i="32"/>
  <c r="DV28" i="32"/>
  <c r="CZ28" i="32"/>
  <c r="CW28" i="32"/>
  <c r="CT28" i="32"/>
  <c r="CJ28" i="32"/>
  <c r="BP28" i="32"/>
  <c r="BO28" i="32"/>
  <c r="AL28" i="32"/>
  <c r="AH28" i="32"/>
  <c r="T28" i="32"/>
  <c r="G28" i="32"/>
  <c r="D28" i="32"/>
  <c r="GE27" i="32"/>
  <c r="FX27" i="32"/>
  <c r="FI27" i="32"/>
  <c r="FG27" i="32"/>
  <c r="EW27" i="32"/>
  <c r="DV27" i="32"/>
  <c r="CZ27" i="32"/>
  <c r="CW27" i="32"/>
  <c r="CT27" i="32"/>
  <c r="CJ27" i="32"/>
  <c r="BP27" i="32"/>
  <c r="AL27" i="32"/>
  <c r="AH27" i="32"/>
  <c r="T27" i="32"/>
  <c r="G27" i="32"/>
  <c r="D27" i="32"/>
  <c r="GE26" i="32"/>
  <c r="FX26" i="32"/>
  <c r="FI26" i="32"/>
  <c r="FG26" i="32"/>
  <c r="EW26" i="32"/>
  <c r="DV26" i="32"/>
  <c r="CZ26" i="32"/>
  <c r="CW26" i="32"/>
  <c r="CT26" i="32"/>
  <c r="CJ26" i="32"/>
  <c r="BP26" i="32"/>
  <c r="BO26" i="32" s="1"/>
  <c r="AL26" i="32"/>
  <c r="AH26" i="32"/>
  <c r="T26" i="32"/>
  <c r="G26" i="32"/>
  <c r="D26" i="32"/>
  <c r="GE25" i="32"/>
  <c r="FX25" i="32"/>
  <c r="FI25" i="32"/>
  <c r="FG25" i="32"/>
  <c r="EW25" i="32"/>
  <c r="EP25" i="32"/>
  <c r="DV25" i="32"/>
  <c r="CZ25" i="32"/>
  <c r="CW25" i="32"/>
  <c r="CT25" i="32"/>
  <c r="CJ25" i="32"/>
  <c r="BP25" i="32"/>
  <c r="BO25" i="32" s="1"/>
  <c r="AL25" i="32"/>
  <c r="AH25" i="32"/>
  <c r="T25" i="32"/>
  <c r="G25" i="32"/>
  <c r="D25" i="32"/>
  <c r="GE24" i="32"/>
  <c r="FX24" i="32"/>
  <c r="FI24" i="32"/>
  <c r="FG24" i="32"/>
  <c r="EW24" i="32"/>
  <c r="DV24" i="32"/>
  <c r="CZ24" i="32"/>
  <c r="CW24" i="32"/>
  <c r="CT24" i="32"/>
  <c r="CJ24" i="32"/>
  <c r="BP24" i="32"/>
  <c r="BO24" i="32" s="1"/>
  <c r="AL24" i="32"/>
  <c r="AH24" i="32"/>
  <c r="T24" i="32"/>
  <c r="EP24" i="32" s="1"/>
  <c r="G24" i="32"/>
  <c r="D24" i="32"/>
  <c r="GE23" i="32"/>
  <c r="FX23" i="32"/>
  <c r="FI23" i="32"/>
  <c r="EW23" i="32"/>
  <c r="FG23" i="32" s="1"/>
  <c r="EP23" i="32"/>
  <c r="DV23" i="32"/>
  <c r="CZ23" i="32"/>
  <c r="CW23" i="32"/>
  <c r="CT23" i="32"/>
  <c r="CJ23" i="32"/>
  <c r="BP23" i="32"/>
  <c r="BO23" i="32"/>
  <c r="AL23" i="32"/>
  <c r="AH23" i="32"/>
  <c r="T23" i="32"/>
  <c r="G23" i="32"/>
  <c r="D23" i="32"/>
  <c r="GE22" i="32"/>
  <c r="FX22" i="32"/>
  <c r="FI22" i="32"/>
  <c r="EW22" i="32"/>
  <c r="FG22" i="32" s="1"/>
  <c r="DV22" i="32"/>
  <c r="CZ22" i="32"/>
  <c r="CW22" i="32"/>
  <c r="CT22" i="32"/>
  <c r="CJ22" i="32"/>
  <c r="BP22" i="32"/>
  <c r="BO22" i="32" s="1"/>
  <c r="AL22" i="32"/>
  <c r="AH22" i="32"/>
  <c r="T22" i="32"/>
  <c r="EP22" i="32" s="1"/>
  <c r="G22" i="32"/>
  <c r="D22" i="32"/>
  <c r="GE21" i="32"/>
  <c r="FX21" i="32"/>
  <c r="FI21" i="32"/>
  <c r="FG21" i="32"/>
  <c r="EW21" i="32"/>
  <c r="EP21" i="32"/>
  <c r="DV21" i="32"/>
  <c r="CZ21" i="32"/>
  <c r="CW21" i="32"/>
  <c r="CT21" i="32"/>
  <c r="CJ21" i="32"/>
  <c r="BP21" i="32"/>
  <c r="BO21" i="32" s="1"/>
  <c r="AL21" i="32"/>
  <c r="AH21" i="32"/>
  <c r="T21" i="32"/>
  <c r="G21" i="32"/>
  <c r="D21" i="32"/>
  <c r="GE20" i="32"/>
  <c r="FX20" i="32"/>
  <c r="FI20" i="32"/>
  <c r="EW20" i="32"/>
  <c r="FG20" i="32" s="1"/>
  <c r="EP20" i="32"/>
  <c r="DV20" i="32"/>
  <c r="CZ20" i="32"/>
  <c r="CW20" i="32"/>
  <c r="CT20" i="32"/>
  <c r="CJ20" i="32"/>
  <c r="BP20" i="32"/>
  <c r="BO20" i="32"/>
  <c r="AL20" i="32"/>
  <c r="AH20" i="32"/>
  <c r="T20" i="32"/>
  <c r="G20" i="32"/>
  <c r="D20" i="32"/>
  <c r="GE19" i="32"/>
  <c r="FX19" i="32"/>
  <c r="FI19" i="32"/>
  <c r="FG19" i="32"/>
  <c r="EW19" i="32"/>
  <c r="DV19" i="32"/>
  <c r="CZ19" i="32"/>
  <c r="CW19" i="32"/>
  <c r="CT19" i="32"/>
  <c r="CJ19" i="32"/>
  <c r="BP19" i="32"/>
  <c r="BO19" i="32" s="1"/>
  <c r="AL19" i="32"/>
  <c r="AH19" i="32"/>
  <c r="T19" i="32"/>
  <c r="EP19" i="32" s="1"/>
  <c r="G19" i="32"/>
  <c r="D19" i="32"/>
  <c r="GE18" i="32"/>
  <c r="FX18" i="32"/>
  <c r="FI18" i="32"/>
  <c r="EW18" i="32"/>
  <c r="FG18" i="32" s="1"/>
  <c r="EP18" i="32"/>
  <c r="DV18" i="32"/>
  <c r="CZ18" i="32"/>
  <c r="CW18" i="32"/>
  <c r="CT18" i="32"/>
  <c r="CJ18" i="32"/>
  <c r="BP18" i="32"/>
  <c r="BO18" i="32"/>
  <c r="AL18" i="32"/>
  <c r="AH18" i="32"/>
  <c r="T18" i="32"/>
  <c r="G18" i="32"/>
  <c r="D18" i="32"/>
  <c r="GE17" i="32"/>
  <c r="FX17" i="32"/>
  <c r="FI17" i="32"/>
  <c r="FG17" i="32"/>
  <c r="EW17" i="32"/>
  <c r="DV17" i="32"/>
  <c r="CZ17" i="32"/>
  <c r="CW17" i="32"/>
  <c r="CT17" i="32"/>
  <c r="CJ17" i="32"/>
  <c r="BP17" i="32"/>
  <c r="BO17" i="32" s="1"/>
  <c r="AL17" i="32"/>
  <c r="AH17" i="32"/>
  <c r="T17" i="32"/>
  <c r="G17" i="32"/>
  <c r="D17" i="32"/>
  <c r="GE16" i="32"/>
  <c r="FX16" i="32"/>
  <c r="FI16" i="32"/>
  <c r="FG16" i="32"/>
  <c r="EW16" i="32"/>
  <c r="DV16" i="32"/>
  <c r="CZ16" i="32"/>
  <c r="CW16" i="32"/>
  <c r="CT16" i="32"/>
  <c r="CJ16" i="32"/>
  <c r="BP16" i="32"/>
  <c r="AL16" i="32"/>
  <c r="AH16" i="32"/>
  <c r="T16" i="32"/>
  <c r="G16" i="32"/>
  <c r="D16" i="32"/>
  <c r="GE15" i="32"/>
  <c r="FX15" i="32"/>
  <c r="FI15" i="32"/>
  <c r="FG15" i="32"/>
  <c r="EW15" i="32"/>
  <c r="DV15" i="32"/>
  <c r="CZ15" i="32"/>
  <c r="CW15" i="32"/>
  <c r="CT15" i="32"/>
  <c r="CJ15" i="32"/>
  <c r="BP15" i="32"/>
  <c r="BO15" i="32" s="1"/>
  <c r="AL15" i="32"/>
  <c r="AH15" i="32"/>
  <c r="T15" i="32"/>
  <c r="G15" i="32"/>
  <c r="D15" i="32"/>
  <c r="GE14" i="32"/>
  <c r="FX14" i="32"/>
  <c r="FI14" i="32"/>
  <c r="EW14" i="32"/>
  <c r="FG14" i="32" s="1"/>
  <c r="DV14" i="32"/>
  <c r="CZ14" i="32"/>
  <c r="CW14" i="32"/>
  <c r="CT14" i="32"/>
  <c r="CJ14" i="32"/>
  <c r="BP14" i="32"/>
  <c r="BO14" i="32"/>
  <c r="AL14" i="32"/>
  <c r="AH14" i="32"/>
  <c r="T14" i="32"/>
  <c r="EP14" i="32" s="1"/>
  <c r="G14" i="32"/>
  <c r="D14" i="32"/>
  <c r="GE13" i="32"/>
  <c r="FX13" i="32"/>
  <c r="FI13" i="32"/>
  <c r="FG13" i="32"/>
  <c r="EW13" i="32"/>
  <c r="EP13" i="32"/>
  <c r="DV13" i="32"/>
  <c r="CZ13" i="32"/>
  <c r="CW13" i="32"/>
  <c r="CT13" i="32"/>
  <c r="CJ13" i="32"/>
  <c r="BP13" i="32"/>
  <c r="BO13" i="32" s="1"/>
  <c r="AL13" i="32"/>
  <c r="AH13" i="32"/>
  <c r="T13" i="32"/>
  <c r="G13" i="32"/>
  <c r="D13" i="32"/>
  <c r="GE12" i="32"/>
  <c r="FX12" i="32"/>
  <c r="FI12" i="32"/>
  <c r="EW12" i="32"/>
  <c r="FG12" i="32" s="1"/>
  <c r="DV12" i="32"/>
  <c r="CZ12" i="32"/>
  <c r="CW12" i="32"/>
  <c r="CT12" i="32"/>
  <c r="CJ12" i="32"/>
  <c r="BP12" i="32"/>
  <c r="BO12" i="32" s="1"/>
  <c r="AL12" i="32"/>
  <c r="AH12" i="32"/>
  <c r="T12" i="32"/>
  <c r="EP12" i="32" s="1"/>
  <c r="G12" i="32"/>
  <c r="D12" i="32"/>
  <c r="GE11" i="32"/>
  <c r="FX11" i="32"/>
  <c r="FI11" i="32"/>
  <c r="EW11" i="32"/>
  <c r="FG11" i="32" s="1"/>
  <c r="EP11" i="32"/>
  <c r="DV11" i="32"/>
  <c r="CZ11" i="32"/>
  <c r="CW11" i="32"/>
  <c r="CT11" i="32"/>
  <c r="CJ11" i="32"/>
  <c r="BP11" i="32"/>
  <c r="BO11" i="32"/>
  <c r="AL11" i="32"/>
  <c r="AH11" i="32"/>
  <c r="T11" i="32"/>
  <c r="G11" i="32"/>
  <c r="D11" i="32"/>
  <c r="GE10" i="32"/>
  <c r="FX10" i="32"/>
  <c r="FI10" i="32"/>
  <c r="FG10" i="32"/>
  <c r="EW10" i="32"/>
  <c r="DV10" i="32"/>
  <c r="CZ10" i="32"/>
  <c r="CW10" i="32"/>
  <c r="CT10" i="32"/>
  <c r="CJ10" i="32"/>
  <c r="BP10" i="32"/>
  <c r="BO10" i="32" s="1"/>
  <c r="AL10" i="32"/>
  <c r="AH10" i="32"/>
  <c r="T10" i="32"/>
  <c r="G10" i="32"/>
  <c r="D10" i="32"/>
  <c r="GE9" i="32"/>
  <c r="FX9" i="32"/>
  <c r="FI9" i="32"/>
  <c r="FG9" i="32"/>
  <c r="EW9" i="32"/>
  <c r="EP9" i="32"/>
  <c r="DV9" i="32"/>
  <c r="CZ9" i="32"/>
  <c r="CW9" i="32"/>
  <c r="CT9" i="32"/>
  <c r="CJ9" i="32"/>
  <c r="BP9" i="32"/>
  <c r="BO9" i="32" s="1"/>
  <c r="AL9" i="32"/>
  <c r="AH9" i="32"/>
  <c r="T9" i="32"/>
  <c r="G9" i="32"/>
  <c r="D9" i="32"/>
  <c r="GE8" i="32"/>
  <c r="FX8" i="32"/>
  <c r="FI8" i="32"/>
  <c r="EW8" i="32"/>
  <c r="FG8" i="32" s="1"/>
  <c r="DV8" i="32"/>
  <c r="CZ8" i="32"/>
  <c r="CW8" i="32"/>
  <c r="CT8" i="32"/>
  <c r="CJ8" i="32"/>
  <c r="BP8" i="32"/>
  <c r="BO8" i="32"/>
  <c r="AL8" i="32"/>
  <c r="AH8" i="32"/>
  <c r="T8" i="32"/>
  <c r="EP8" i="32" s="1"/>
  <c r="G8" i="32"/>
  <c r="D8" i="32"/>
  <c r="GE7" i="32"/>
  <c r="FX7" i="32"/>
  <c r="FI7" i="32"/>
  <c r="FG7" i="32"/>
  <c r="EW7" i="32"/>
  <c r="EP7" i="32"/>
  <c r="DV7" i="32"/>
  <c r="CZ7" i="32"/>
  <c r="CW7" i="32"/>
  <c r="CT7" i="32"/>
  <c r="CJ7" i="32"/>
  <c r="BP7" i="32"/>
  <c r="BO7" i="32" s="1"/>
  <c r="AL7" i="32"/>
  <c r="AH7" i="32"/>
  <c r="T7" i="32"/>
  <c r="G7" i="32"/>
  <c r="D7" i="32"/>
  <c r="GE6" i="32"/>
  <c r="FX6" i="32"/>
  <c r="FI6" i="32"/>
  <c r="EW6" i="32"/>
  <c r="FG6" i="32" s="1"/>
  <c r="EP6" i="32"/>
  <c r="DV6" i="32"/>
  <c r="CZ6" i="32"/>
  <c r="CW6" i="32"/>
  <c r="CT6" i="32"/>
  <c r="CJ6" i="32"/>
  <c r="BP6" i="32"/>
  <c r="BO6" i="32"/>
  <c r="AL6" i="32"/>
  <c r="AH6" i="32"/>
  <c r="T6" i="32"/>
  <c r="G6" i="32"/>
  <c r="D6" i="32"/>
  <c r="FJ52" i="31"/>
  <c r="GC50" i="31"/>
  <c r="EY50" i="31"/>
  <c r="EJ50" i="31"/>
  <c r="EC50" i="31"/>
  <c r="DZ50" i="31"/>
  <c r="DT50" i="31"/>
  <c r="DL50" i="31"/>
  <c r="DF50" i="31"/>
  <c r="DD50" i="31"/>
  <c r="CU50" i="31"/>
  <c r="CL50" i="31"/>
  <c r="CK50" i="31"/>
  <c r="CJ50" i="31"/>
  <c r="CB50" i="31"/>
  <c r="BM50" i="31"/>
  <c r="BD50" i="31"/>
  <c r="BC50" i="31"/>
  <c r="AW50" i="31"/>
  <c r="AU50" i="31"/>
  <c r="AT50" i="31"/>
  <c r="AO50" i="31"/>
  <c r="AK50" i="31"/>
  <c r="AI50" i="31"/>
  <c r="AG50" i="31"/>
  <c r="X50" i="31"/>
  <c r="U50" i="31"/>
  <c r="M50" i="31"/>
  <c r="L50" i="31"/>
  <c r="K50" i="31"/>
  <c r="J50" i="31"/>
  <c r="GI49" i="31"/>
  <c r="GE49" i="31"/>
  <c r="GD49" i="31"/>
  <c r="GC49" i="31"/>
  <c r="GB49" i="31"/>
  <c r="GA49" i="31"/>
  <c r="FZ49" i="31"/>
  <c r="FY49" i="31"/>
  <c r="FX49" i="31"/>
  <c r="FW49" i="31"/>
  <c r="FW50" i="31" s="1"/>
  <c r="FM49" i="31"/>
  <c r="FL49" i="31"/>
  <c r="FK49" i="31"/>
  <c r="FJ49" i="31"/>
  <c r="FH49" i="31"/>
  <c r="FF49" i="31"/>
  <c r="FF50" i="31" s="1"/>
  <c r="FE49" i="31"/>
  <c r="FD49" i="31"/>
  <c r="FC49" i="31"/>
  <c r="FA49" i="31"/>
  <c r="EZ49" i="31"/>
  <c r="EY49" i="31"/>
  <c r="EX49" i="31"/>
  <c r="EV49" i="31"/>
  <c r="EU49" i="31"/>
  <c r="ET49" i="31"/>
  <c r="ES49" i="31"/>
  <c r="ER49" i="31"/>
  <c r="EQ49" i="31"/>
  <c r="EO49" i="31"/>
  <c r="EO50" i="31" s="1"/>
  <c r="EN49" i="31"/>
  <c r="EM49" i="31"/>
  <c r="EJ49" i="31"/>
  <c r="EI49" i="31"/>
  <c r="EH49" i="31"/>
  <c r="FI49" i="31" s="1"/>
  <c r="EG49" i="31"/>
  <c r="EF49" i="31"/>
  <c r="EE49" i="31"/>
  <c r="EE50" i="31" s="1"/>
  <c r="ED49" i="31"/>
  <c r="EC49" i="31"/>
  <c r="EA49" i="31"/>
  <c r="DZ49" i="31"/>
  <c r="DY49" i="31"/>
  <c r="DX49" i="31"/>
  <c r="DW49" i="31"/>
  <c r="DV49" i="31" s="1"/>
  <c r="DU49" i="31"/>
  <c r="DT49" i="31"/>
  <c r="DS49" i="31"/>
  <c r="DR49" i="31"/>
  <c r="DQ49" i="31"/>
  <c r="DP49" i="31"/>
  <c r="DO49" i="31"/>
  <c r="DO50" i="31" s="1"/>
  <c r="DN49" i="31"/>
  <c r="DM49" i="31"/>
  <c r="DL49" i="31"/>
  <c r="DK49" i="31"/>
  <c r="DJ49" i="31"/>
  <c r="DI49" i="31"/>
  <c r="DH49" i="31"/>
  <c r="DG49" i="31"/>
  <c r="DG50" i="31" s="1"/>
  <c r="DF49" i="31"/>
  <c r="DE49" i="31"/>
  <c r="DD49" i="31"/>
  <c r="DC49" i="31"/>
  <c r="DB49" i="31"/>
  <c r="DA49" i="31"/>
  <c r="CZ49" i="31" s="1"/>
  <c r="CY49" i="31"/>
  <c r="CX49" i="31"/>
  <c r="CW49" i="31" s="1"/>
  <c r="CV49" i="31"/>
  <c r="CT49" i="31" s="1"/>
  <c r="CU49" i="31"/>
  <c r="CS49" i="31"/>
  <c r="CR49" i="31"/>
  <c r="CQ49" i="31"/>
  <c r="CP49" i="31"/>
  <c r="CO49" i="31"/>
  <c r="CN49" i="31"/>
  <c r="CN50" i="31" s="1"/>
  <c r="CM49" i="31"/>
  <c r="CL49" i="31"/>
  <c r="CK49" i="31"/>
  <c r="CI49" i="31"/>
  <c r="CH49" i="31"/>
  <c r="CJ49" i="31" s="1"/>
  <c r="CG49" i="31"/>
  <c r="CF49" i="31"/>
  <c r="CF50" i="31" s="1"/>
  <c r="CE49" i="31"/>
  <c r="CD49" i="31"/>
  <c r="CC49" i="31"/>
  <c r="CB49" i="31"/>
  <c r="CA49" i="31"/>
  <c r="BZ49" i="31"/>
  <c r="BY49" i="31"/>
  <c r="BX49" i="31"/>
  <c r="BX50" i="31" s="1"/>
  <c r="BW49" i="31"/>
  <c r="BU49" i="31"/>
  <c r="BT49" i="31"/>
  <c r="BS49" i="31"/>
  <c r="BR49" i="31"/>
  <c r="BQ49" i="31"/>
  <c r="BP49" i="31" s="1"/>
  <c r="BN49" i="31"/>
  <c r="BO49" i="31" s="1"/>
  <c r="BM49" i="31"/>
  <c r="BL49" i="31"/>
  <c r="BK49" i="31"/>
  <c r="BJ49" i="31"/>
  <c r="BI49" i="31"/>
  <c r="BH49" i="31"/>
  <c r="BG49" i="31"/>
  <c r="BG50" i="31" s="1"/>
  <c r="BF49" i="31"/>
  <c r="BF50" i="31" s="1"/>
  <c r="BE49" i="31"/>
  <c r="BD49" i="31"/>
  <c r="BC49" i="31"/>
  <c r="BB49" i="31"/>
  <c r="BA49" i="31"/>
  <c r="AZ49" i="31"/>
  <c r="AY49" i="31"/>
  <c r="AY50" i="31" s="1"/>
  <c r="AX49" i="31"/>
  <c r="AW49" i="31"/>
  <c r="AV49" i="31"/>
  <c r="AU49" i="31"/>
  <c r="AT49" i="31"/>
  <c r="AS49" i="31"/>
  <c r="AR49" i="31"/>
  <c r="AQ49" i="31"/>
  <c r="AQ50" i="31" s="1"/>
  <c r="AP49" i="31"/>
  <c r="AO49" i="31"/>
  <c r="AN49" i="31"/>
  <c r="AM49" i="31"/>
  <c r="AK49" i="31"/>
  <c r="AJ49" i="31"/>
  <c r="AI49" i="31"/>
  <c r="AH49" i="31" s="1"/>
  <c r="AG49" i="31"/>
  <c r="AF49" i="31"/>
  <c r="AE49" i="31"/>
  <c r="AD49" i="31"/>
  <c r="AC49" i="31"/>
  <c r="AA49" i="31"/>
  <c r="Z49" i="31"/>
  <c r="Z50" i="31" s="1"/>
  <c r="Y49" i="31"/>
  <c r="X49" i="31"/>
  <c r="U49" i="31"/>
  <c r="R49" i="31"/>
  <c r="Q49" i="31"/>
  <c r="P49" i="31"/>
  <c r="O49" i="31"/>
  <c r="O50" i="31" s="1"/>
  <c r="N49" i="31"/>
  <c r="M49" i="31"/>
  <c r="L49" i="31"/>
  <c r="K49" i="31"/>
  <c r="J49" i="31"/>
  <c r="I49" i="31"/>
  <c r="H49" i="31"/>
  <c r="G49" i="31"/>
  <c r="F49" i="31"/>
  <c r="E49" i="31"/>
  <c r="C49" i="31"/>
  <c r="GE48" i="31"/>
  <c r="FX48" i="31"/>
  <c r="FI48" i="31"/>
  <c r="FG48" i="31"/>
  <c r="EW48" i="31"/>
  <c r="DV48" i="31"/>
  <c r="CZ48" i="31"/>
  <c r="CW48" i="31"/>
  <c r="CT48" i="31"/>
  <c r="CJ48" i="31"/>
  <c r="BP48" i="31"/>
  <c r="BO48" i="31"/>
  <c r="AL48" i="31"/>
  <c r="AH48" i="31"/>
  <c r="T48" i="31"/>
  <c r="G48" i="31"/>
  <c r="D48" i="31"/>
  <c r="FX47" i="31"/>
  <c r="FI47" i="31"/>
  <c r="FG47" i="31"/>
  <c r="EW47" i="31"/>
  <c r="DV47" i="31"/>
  <c r="CZ47" i="31"/>
  <c r="CW47" i="31"/>
  <c r="CT47" i="31"/>
  <c r="CJ47" i="31"/>
  <c r="BP47" i="31"/>
  <c r="AL47" i="31"/>
  <c r="AH47" i="31"/>
  <c r="T47" i="31"/>
  <c r="G47" i="31"/>
  <c r="D47" i="31"/>
  <c r="GE46" i="31"/>
  <c r="FX46" i="31"/>
  <c r="FI46" i="31"/>
  <c r="FG46" i="31"/>
  <c r="EW46" i="31"/>
  <c r="DV46" i="31"/>
  <c r="CZ46" i="31"/>
  <c r="CW46" i="31"/>
  <c r="CT46" i="31"/>
  <c r="CJ46" i="31"/>
  <c r="BP46" i="31"/>
  <c r="AL46" i="31"/>
  <c r="AH46" i="31"/>
  <c r="T46" i="31"/>
  <c r="G46" i="31"/>
  <c r="D46" i="31"/>
  <c r="GE45" i="31"/>
  <c r="FX45" i="31"/>
  <c r="FI45" i="31"/>
  <c r="EW45" i="31"/>
  <c r="FG45" i="31" s="1"/>
  <c r="DV45" i="31"/>
  <c r="CZ45" i="31"/>
  <c r="CW45" i="31"/>
  <c r="CT45" i="31"/>
  <c r="CJ45" i="31"/>
  <c r="BP45" i="31"/>
  <c r="BO45" i="31" s="1"/>
  <c r="AL45" i="31"/>
  <c r="AH45" i="31"/>
  <c r="T45" i="31"/>
  <c r="G45" i="31"/>
  <c r="D45" i="31"/>
  <c r="FX44" i="31"/>
  <c r="FI44" i="31"/>
  <c r="FG44" i="31"/>
  <c r="EW44" i="31"/>
  <c r="EP44" i="31"/>
  <c r="DV44" i="31"/>
  <c r="CZ44" i="31"/>
  <c r="CW44" i="31"/>
  <c r="CT44" i="31"/>
  <c r="CJ44" i="31"/>
  <c r="BP44" i="31"/>
  <c r="BO44" i="31" s="1"/>
  <c r="AL44" i="31"/>
  <c r="AH44" i="31"/>
  <c r="T44" i="31"/>
  <c r="G44" i="31"/>
  <c r="D44" i="31"/>
  <c r="GE43" i="31"/>
  <c r="FX43" i="31"/>
  <c r="FI43" i="31"/>
  <c r="FG43" i="31"/>
  <c r="EW43" i="31"/>
  <c r="DV43" i="31"/>
  <c r="CZ43" i="31"/>
  <c r="CW43" i="31"/>
  <c r="CT43" i="31"/>
  <c r="CJ43" i="31"/>
  <c r="BP43" i="31"/>
  <c r="BO43" i="31" s="1"/>
  <c r="AL43" i="31"/>
  <c r="AH43" i="31"/>
  <c r="T43" i="31"/>
  <c r="G43" i="31"/>
  <c r="D43" i="31"/>
  <c r="GE42" i="31"/>
  <c r="FX42" i="31"/>
  <c r="FI42" i="31"/>
  <c r="EW42" i="31"/>
  <c r="FG42" i="31" s="1"/>
  <c r="DV42" i="31"/>
  <c r="CZ42" i="31"/>
  <c r="CW42" i="31"/>
  <c r="CT42" i="31"/>
  <c r="CJ42" i="31"/>
  <c r="BP42" i="31"/>
  <c r="BO42" i="31" s="1"/>
  <c r="AL42" i="31"/>
  <c r="AH42" i="31"/>
  <c r="T42" i="31"/>
  <c r="EP42" i="31" s="1"/>
  <c r="G42" i="31"/>
  <c r="D42" i="31"/>
  <c r="FX41" i="31"/>
  <c r="FI41" i="31"/>
  <c r="FG41" i="31"/>
  <c r="EW41" i="31"/>
  <c r="EP41" i="31"/>
  <c r="DV41" i="31"/>
  <c r="CZ41" i="31"/>
  <c r="CW41" i="31"/>
  <c r="CT41" i="31"/>
  <c r="CJ41" i="31"/>
  <c r="BP41" i="31"/>
  <c r="BO41" i="31" s="1"/>
  <c r="AL41" i="31"/>
  <c r="AH41" i="31"/>
  <c r="T41" i="31"/>
  <c r="G41" i="31"/>
  <c r="D41" i="31"/>
  <c r="FX40" i="31"/>
  <c r="FI40" i="31"/>
  <c r="EW40" i="31"/>
  <c r="FG40" i="31" s="1"/>
  <c r="EP40" i="31"/>
  <c r="DV40" i="31"/>
  <c r="CZ40" i="31"/>
  <c r="CW40" i="31"/>
  <c r="CT40" i="31"/>
  <c r="CJ40" i="31"/>
  <c r="BP40" i="31"/>
  <c r="BO40" i="31"/>
  <c r="AL40" i="31"/>
  <c r="AH40" i="31"/>
  <c r="T40" i="31"/>
  <c r="G40" i="31"/>
  <c r="D40" i="31"/>
  <c r="FX39" i="31"/>
  <c r="FI39" i="31"/>
  <c r="EW39" i="31"/>
  <c r="FG39" i="31" s="1"/>
  <c r="DV39" i="31"/>
  <c r="CZ39" i="31"/>
  <c r="CW39" i="31"/>
  <c r="CT39" i="31"/>
  <c r="CJ39" i="31"/>
  <c r="BP39" i="31"/>
  <c r="BO39" i="31"/>
  <c r="AL39" i="31"/>
  <c r="AH39" i="31"/>
  <c r="T39" i="31"/>
  <c r="EP39" i="31" s="1"/>
  <c r="G39" i="31"/>
  <c r="D39" i="31"/>
  <c r="FX38" i="31"/>
  <c r="FI38" i="31"/>
  <c r="FG38" i="31"/>
  <c r="EW38" i="31"/>
  <c r="EP38" i="31"/>
  <c r="DV38" i="31"/>
  <c r="CZ38" i="31"/>
  <c r="CW38" i="31"/>
  <c r="CT38" i="31"/>
  <c r="CJ38" i="31"/>
  <c r="BP38" i="31"/>
  <c r="BO38" i="31" s="1"/>
  <c r="AL38" i="31"/>
  <c r="AH38" i="31"/>
  <c r="T38" i="31"/>
  <c r="G38" i="31"/>
  <c r="D38" i="31"/>
  <c r="GI37" i="31"/>
  <c r="GI50" i="31" s="1"/>
  <c r="GD37" i="31"/>
  <c r="GD50" i="31" s="1"/>
  <c r="GC37" i="31"/>
  <c r="GB37" i="31"/>
  <c r="GB50" i="31" s="1"/>
  <c r="GA37" i="31"/>
  <c r="GA50" i="31" s="1"/>
  <c r="FZ37" i="31"/>
  <c r="FZ50" i="31" s="1"/>
  <c r="FY37" i="31"/>
  <c r="FY50" i="31" s="1"/>
  <c r="FW37" i="31"/>
  <c r="FM37" i="31"/>
  <c r="FM50" i="31" s="1"/>
  <c r="FL37" i="31"/>
  <c r="FL50" i="31" s="1"/>
  <c r="FK37" i="31"/>
  <c r="FK50" i="31" s="1"/>
  <c r="FJ37" i="31"/>
  <c r="FH37" i="31"/>
  <c r="FH50" i="31" s="1"/>
  <c r="FF37" i="31"/>
  <c r="FE37" i="31"/>
  <c r="FE50" i="31" s="1"/>
  <c r="FD37" i="31"/>
  <c r="FD50" i="31" s="1"/>
  <c r="FC37" i="31"/>
  <c r="FC50" i="31" s="1"/>
  <c r="FA37" i="31"/>
  <c r="FA50" i="31" s="1"/>
  <c r="EZ37" i="31"/>
  <c r="EZ50" i="31" s="1"/>
  <c r="EY37" i="31"/>
  <c r="EX37" i="31"/>
  <c r="EV37" i="31"/>
  <c r="EV50" i="31" s="1"/>
  <c r="EU37" i="31"/>
  <c r="EU50" i="31" s="1"/>
  <c r="ET37" i="31"/>
  <c r="ET50" i="31" s="1"/>
  <c r="ES37" i="31"/>
  <c r="ES50" i="31" s="1"/>
  <c r="ER37" i="31"/>
  <c r="ER50" i="31" s="1"/>
  <c r="EQ37" i="31"/>
  <c r="EO37" i="31"/>
  <c r="EN37" i="31"/>
  <c r="EN50" i="31" s="1"/>
  <c r="EM37" i="31"/>
  <c r="EM50" i="31" s="1"/>
  <c r="EJ37" i="31"/>
  <c r="EI37" i="31"/>
  <c r="EI50" i="31" s="1"/>
  <c r="EH37" i="31"/>
  <c r="EH50" i="31" s="1"/>
  <c r="EG37" i="31"/>
  <c r="EG50" i="31" s="1"/>
  <c r="EF37" i="31"/>
  <c r="ED37" i="31"/>
  <c r="ED50" i="31" s="1"/>
  <c r="EC37" i="31"/>
  <c r="EA37" i="31"/>
  <c r="EA50" i="31" s="1"/>
  <c r="DZ37" i="31"/>
  <c r="DY37" i="31"/>
  <c r="DY50" i="31" s="1"/>
  <c r="DX37" i="31"/>
  <c r="DX50" i="31" s="1"/>
  <c r="DW37" i="31"/>
  <c r="DU37" i="31"/>
  <c r="DU50" i="31" s="1"/>
  <c r="DT37" i="31"/>
  <c r="DS37" i="31"/>
  <c r="DS50" i="31" s="1"/>
  <c r="DR37" i="31"/>
  <c r="DR50" i="31" s="1"/>
  <c r="DQ37" i="31"/>
  <c r="DQ50" i="31" s="1"/>
  <c r="DP37" i="31"/>
  <c r="DP50" i="31" s="1"/>
  <c r="DO37" i="31"/>
  <c r="DN37" i="31"/>
  <c r="DN50" i="31" s="1"/>
  <c r="DM37" i="31"/>
  <c r="DM50" i="31" s="1"/>
  <c r="DL37" i="31"/>
  <c r="DK37" i="31"/>
  <c r="DK50" i="31" s="1"/>
  <c r="DJ37" i="31"/>
  <c r="DJ50" i="31" s="1"/>
  <c r="DI37" i="31"/>
  <c r="DI50" i="31" s="1"/>
  <c r="DH37" i="31"/>
  <c r="DH50" i="31" s="1"/>
  <c r="DG37" i="31"/>
  <c r="DF37" i="31"/>
  <c r="DE37" i="31"/>
  <c r="DE50" i="31" s="1"/>
  <c r="DD37" i="31"/>
  <c r="DC37" i="31"/>
  <c r="DC50" i="31" s="1"/>
  <c r="DB37" i="31"/>
  <c r="DB50" i="31" s="1"/>
  <c r="DA37" i="31"/>
  <c r="DA50" i="31" s="1"/>
  <c r="CZ37" i="31"/>
  <c r="CY37" i="31"/>
  <c r="CX37" i="31"/>
  <c r="CV37" i="31"/>
  <c r="CU37" i="31"/>
  <c r="CT37" i="31" s="1"/>
  <c r="CS37" i="31"/>
  <c r="CS50" i="31" s="1"/>
  <c r="CR37" i="31"/>
  <c r="CR50" i="31" s="1"/>
  <c r="CQ37" i="31"/>
  <c r="CQ50" i="31" s="1"/>
  <c r="CP37" i="31"/>
  <c r="CP50" i="31" s="1"/>
  <c r="CO37" i="31"/>
  <c r="CO50" i="31" s="1"/>
  <c r="CN37" i="31"/>
  <c r="CM37" i="31"/>
  <c r="CM50" i="31" s="1"/>
  <c r="CL37" i="31"/>
  <c r="CK37" i="31"/>
  <c r="CI37" i="31"/>
  <c r="CI50" i="31" s="1"/>
  <c r="CH37" i="31"/>
  <c r="CH50" i="31" s="1"/>
  <c r="CG37" i="31"/>
  <c r="CG50" i="31" s="1"/>
  <c r="CF37" i="31"/>
  <c r="CE37" i="31"/>
  <c r="CE50" i="31" s="1"/>
  <c r="CD37" i="31"/>
  <c r="CD50" i="31" s="1"/>
  <c r="CC37" i="31"/>
  <c r="CC50" i="31" s="1"/>
  <c r="CB37" i="31"/>
  <c r="CA37" i="31"/>
  <c r="CA50" i="31" s="1"/>
  <c r="BZ37" i="31"/>
  <c r="BZ50" i="31" s="1"/>
  <c r="BY37" i="31"/>
  <c r="BY50" i="31" s="1"/>
  <c r="BX37" i="31"/>
  <c r="BW37" i="31"/>
  <c r="BW50" i="31" s="1"/>
  <c r="BU37" i="31"/>
  <c r="BU50" i="31" s="1"/>
  <c r="BT37" i="31"/>
  <c r="BT50" i="31" s="1"/>
  <c r="BS37" i="31"/>
  <c r="BS50" i="31" s="1"/>
  <c r="BR37" i="31"/>
  <c r="BR50" i="31" s="1"/>
  <c r="BQ37" i="31"/>
  <c r="BP37" i="31" s="1"/>
  <c r="BN37" i="31"/>
  <c r="BM37" i="31"/>
  <c r="BL37" i="31"/>
  <c r="BL50" i="31" s="1"/>
  <c r="BK37" i="31"/>
  <c r="BK50" i="31" s="1"/>
  <c r="BJ37" i="31"/>
  <c r="BJ50" i="31" s="1"/>
  <c r="BI37" i="31"/>
  <c r="BI50" i="31" s="1"/>
  <c r="BH37" i="31"/>
  <c r="BH50" i="31" s="1"/>
  <c r="BG37" i="31"/>
  <c r="BF37" i="31"/>
  <c r="BE37" i="31"/>
  <c r="BE50" i="31" s="1"/>
  <c r="BD37" i="31"/>
  <c r="BC37" i="31"/>
  <c r="BB37" i="31"/>
  <c r="BB50" i="31" s="1"/>
  <c r="BA37" i="31"/>
  <c r="BA50" i="31" s="1"/>
  <c r="AZ37" i="31"/>
  <c r="AZ50" i="31" s="1"/>
  <c r="AY37" i="31"/>
  <c r="AX37" i="31"/>
  <c r="AW37" i="31"/>
  <c r="AV37" i="31"/>
  <c r="AV50" i="31" s="1"/>
  <c r="AU37" i="31"/>
  <c r="AT37" i="31"/>
  <c r="AS37" i="31"/>
  <c r="AS50" i="31" s="1"/>
  <c r="AR37" i="31"/>
  <c r="AR50" i="31" s="1"/>
  <c r="AQ37" i="31"/>
  <c r="AP37" i="31"/>
  <c r="AO37" i="31"/>
  <c r="AN37" i="31"/>
  <c r="AN50" i="31" s="1"/>
  <c r="AM37" i="31"/>
  <c r="AM50" i="31" s="1"/>
  <c r="AK37" i="31"/>
  <c r="AJ37" i="31"/>
  <c r="AI37" i="31"/>
  <c r="AG37" i="31"/>
  <c r="AF37" i="31"/>
  <c r="AF50" i="31" s="1"/>
  <c r="AE37" i="31"/>
  <c r="AE50" i="31" s="1"/>
  <c r="AD37" i="31"/>
  <c r="AD50" i="31" s="1"/>
  <c r="AC37" i="31"/>
  <c r="AC50" i="31" s="1"/>
  <c r="AA37" i="31"/>
  <c r="AA50" i="31" s="1"/>
  <c r="Z37" i="31"/>
  <c r="Y37" i="31"/>
  <c r="X37" i="31"/>
  <c r="U37" i="31"/>
  <c r="T37" i="31" s="1"/>
  <c r="R37" i="31"/>
  <c r="R50" i="31" s="1"/>
  <c r="Q37" i="31"/>
  <c r="Q50" i="31" s="1"/>
  <c r="P37" i="31"/>
  <c r="P50" i="31" s="1"/>
  <c r="O37" i="31"/>
  <c r="N37" i="31"/>
  <c r="N50" i="31" s="1"/>
  <c r="M37" i="31"/>
  <c r="L37" i="31"/>
  <c r="K37" i="31"/>
  <c r="J37" i="31"/>
  <c r="I37" i="31"/>
  <c r="I50" i="31" s="1"/>
  <c r="H37" i="31"/>
  <c r="F37" i="31"/>
  <c r="E37" i="31"/>
  <c r="D37" i="31" s="1"/>
  <c r="C37" i="31"/>
  <c r="C50" i="31" s="1"/>
  <c r="GE36" i="31"/>
  <c r="FX36" i="31"/>
  <c r="FI36" i="31"/>
  <c r="EW36" i="31"/>
  <c r="FG36" i="31" s="1"/>
  <c r="DV36" i="31"/>
  <c r="CZ36" i="31"/>
  <c r="CW36" i="31"/>
  <c r="CT36" i="31"/>
  <c r="CJ36" i="31"/>
  <c r="BP36" i="31"/>
  <c r="BO36" i="31"/>
  <c r="AL36" i="31"/>
  <c r="AH36" i="31"/>
  <c r="T36" i="31"/>
  <c r="EP36" i="31" s="1"/>
  <c r="G36" i="31"/>
  <c r="D36" i="31"/>
  <c r="GE35" i="31"/>
  <c r="FX35" i="31"/>
  <c r="FI35" i="31"/>
  <c r="EW35" i="31"/>
  <c r="FG35" i="31" s="1"/>
  <c r="EP35" i="31"/>
  <c r="DV35" i="31"/>
  <c r="CZ35" i="31"/>
  <c r="CW35" i="31"/>
  <c r="CT35" i="31"/>
  <c r="CJ35" i="31"/>
  <c r="BP35" i="31"/>
  <c r="BO35" i="31"/>
  <c r="AL35" i="31"/>
  <c r="AH35" i="31"/>
  <c r="T35" i="31"/>
  <c r="G35" i="31"/>
  <c r="D35" i="31"/>
  <c r="GE34" i="31"/>
  <c r="FX34" i="31"/>
  <c r="FI34" i="31"/>
  <c r="FG34" i="31"/>
  <c r="EW34" i="31"/>
  <c r="DV34" i="31"/>
  <c r="CZ34" i="31"/>
  <c r="CW34" i="31"/>
  <c r="CT34" i="31"/>
  <c r="CJ34" i="31"/>
  <c r="BP34" i="31"/>
  <c r="AL34" i="31"/>
  <c r="AH34" i="31"/>
  <c r="T34" i="31"/>
  <c r="G34" i="31"/>
  <c r="D34" i="31"/>
  <c r="GE33" i="31"/>
  <c r="FX33" i="31"/>
  <c r="FI33" i="31"/>
  <c r="EW33" i="31"/>
  <c r="FG33" i="31" s="1"/>
  <c r="DV33" i="31"/>
  <c r="CZ33" i="31"/>
  <c r="CW33" i="31"/>
  <c r="CT33" i="31"/>
  <c r="CJ33" i="31"/>
  <c r="BP33" i="31"/>
  <c r="BO33" i="31" s="1"/>
  <c r="AL33" i="31"/>
  <c r="AH33" i="31"/>
  <c r="T33" i="31"/>
  <c r="EP33" i="31" s="1"/>
  <c r="G33" i="31"/>
  <c r="D33" i="31"/>
  <c r="GE32" i="31"/>
  <c r="FX32" i="31"/>
  <c r="FI32" i="31"/>
  <c r="FG32" i="31"/>
  <c r="EW32" i="31"/>
  <c r="DV32" i="31"/>
  <c r="CZ32" i="31"/>
  <c r="CW32" i="31"/>
  <c r="CT32" i="31"/>
  <c r="CJ32" i="31"/>
  <c r="BP32" i="31"/>
  <c r="BO32" i="31" s="1"/>
  <c r="AL32" i="31"/>
  <c r="AH32" i="31"/>
  <c r="T32" i="31"/>
  <c r="EP32" i="31" s="1"/>
  <c r="G32" i="31"/>
  <c r="D32" i="31"/>
  <c r="GE31" i="31"/>
  <c r="FX31" i="31"/>
  <c r="FI31" i="31"/>
  <c r="FG31" i="31"/>
  <c r="EW31" i="31"/>
  <c r="DV31" i="31"/>
  <c r="CZ31" i="31"/>
  <c r="CW31" i="31"/>
  <c r="CT31" i="31"/>
  <c r="CJ31" i="31"/>
  <c r="BP31" i="31"/>
  <c r="BO31" i="31" s="1"/>
  <c r="AL31" i="31"/>
  <c r="AH31" i="31"/>
  <c r="T31" i="31"/>
  <c r="EP31" i="31" s="1"/>
  <c r="G31" i="31"/>
  <c r="D31" i="31"/>
  <c r="GE30" i="31"/>
  <c r="FX30" i="31"/>
  <c r="FI30" i="31"/>
  <c r="FG30" i="31"/>
  <c r="EW30" i="31"/>
  <c r="DV30" i="31"/>
  <c r="CZ30" i="31"/>
  <c r="CW30" i="31"/>
  <c r="CT30" i="31"/>
  <c r="CJ30" i="31"/>
  <c r="BP30" i="31"/>
  <c r="BO30" i="31" s="1"/>
  <c r="AL30" i="31"/>
  <c r="AH30" i="31"/>
  <c r="T30" i="31"/>
  <c r="G30" i="31"/>
  <c r="D30" i="31"/>
  <c r="GE29" i="31"/>
  <c r="FX29" i="31"/>
  <c r="FI29" i="31"/>
  <c r="FG29" i="31"/>
  <c r="EW29" i="31"/>
  <c r="DV29" i="31"/>
  <c r="CZ29" i="31"/>
  <c r="CW29" i="31"/>
  <c r="CT29" i="31"/>
  <c r="CJ29" i="31"/>
  <c r="BP29" i="31"/>
  <c r="BO29" i="31" s="1"/>
  <c r="AL29" i="31"/>
  <c r="AH29" i="31"/>
  <c r="T29" i="31"/>
  <c r="EP29" i="31" s="1"/>
  <c r="G29" i="31"/>
  <c r="D29" i="31"/>
  <c r="GE28" i="31"/>
  <c r="FX28" i="31"/>
  <c r="FI28" i="31"/>
  <c r="EW28" i="31"/>
  <c r="FG28" i="31" s="1"/>
  <c r="DV28" i="31"/>
  <c r="CZ28" i="31"/>
  <c r="CW28" i="31"/>
  <c r="CT28" i="31"/>
  <c r="CJ28" i="31"/>
  <c r="BP28" i="31"/>
  <c r="BO28" i="31"/>
  <c r="AL28" i="31"/>
  <c r="AH28" i="31"/>
  <c r="T28" i="31"/>
  <c r="EP28" i="31" s="1"/>
  <c r="G28" i="31"/>
  <c r="D28" i="31"/>
  <c r="GE27" i="31"/>
  <c r="FX27" i="31"/>
  <c r="FI27" i="31"/>
  <c r="FG27" i="31"/>
  <c r="EW27" i="31"/>
  <c r="EP27" i="31"/>
  <c r="DV27" i="31"/>
  <c r="CZ27" i="31"/>
  <c r="CW27" i="31"/>
  <c r="CT27" i="31"/>
  <c r="CJ27" i="31"/>
  <c r="BP27" i="31"/>
  <c r="BO27" i="31" s="1"/>
  <c r="AL27" i="31"/>
  <c r="AH27" i="31"/>
  <c r="T27" i="31"/>
  <c r="G27" i="31"/>
  <c r="D27" i="31"/>
  <c r="GE26" i="31"/>
  <c r="FX26" i="31"/>
  <c r="FI26" i="31"/>
  <c r="EW26" i="31"/>
  <c r="FG26" i="31" s="1"/>
  <c r="EP26" i="31"/>
  <c r="DV26" i="31"/>
  <c r="CZ26" i="31"/>
  <c r="CW26" i="31"/>
  <c r="CT26" i="31"/>
  <c r="CJ26" i="31"/>
  <c r="BP26" i="31"/>
  <c r="BO26" i="31"/>
  <c r="AL26" i="31"/>
  <c r="AH26" i="31"/>
  <c r="T26" i="31"/>
  <c r="G26" i="31"/>
  <c r="D26" i="31"/>
  <c r="GE25" i="31"/>
  <c r="FX25" i="31"/>
  <c r="FI25" i="31"/>
  <c r="FG25" i="31"/>
  <c r="EW25" i="31"/>
  <c r="DV25" i="31"/>
  <c r="CZ25" i="31"/>
  <c r="CW25" i="31"/>
  <c r="CT25" i="31"/>
  <c r="CJ25" i="31"/>
  <c r="BP25" i="31"/>
  <c r="BO25" i="31"/>
  <c r="AL25" i="31"/>
  <c r="AH25" i="31"/>
  <c r="T25" i="31"/>
  <c r="EP25" i="31" s="1"/>
  <c r="G25" i="31"/>
  <c r="D25" i="31"/>
  <c r="GE24" i="31"/>
  <c r="FX24" i="31"/>
  <c r="FI24" i="31"/>
  <c r="FG24" i="31"/>
  <c r="EW24" i="31"/>
  <c r="EP24" i="31"/>
  <c r="DV24" i="31"/>
  <c r="CZ24" i="31"/>
  <c r="CW24" i="31"/>
  <c r="CT24" i="31"/>
  <c r="CJ24" i="31"/>
  <c r="BP24" i="31"/>
  <c r="BO24" i="31" s="1"/>
  <c r="AL24" i="31"/>
  <c r="AH24" i="31"/>
  <c r="T24" i="31"/>
  <c r="G24" i="31"/>
  <c r="D24" i="31"/>
  <c r="GE23" i="31"/>
  <c r="FX23" i="31"/>
  <c r="FI23" i="31"/>
  <c r="FG23" i="31"/>
  <c r="EW23" i="31"/>
  <c r="DV23" i="31"/>
  <c r="CZ23" i="31"/>
  <c r="CW23" i="31"/>
  <c r="CT23" i="31"/>
  <c r="CJ23" i="31"/>
  <c r="BP23" i="31"/>
  <c r="BO23" i="31" s="1"/>
  <c r="AL23" i="31"/>
  <c r="AH23" i="31"/>
  <c r="T23" i="31"/>
  <c r="EP23" i="31" s="1"/>
  <c r="G23" i="31"/>
  <c r="D23" i="31"/>
  <c r="GE22" i="31"/>
  <c r="FX22" i="31"/>
  <c r="FI22" i="31"/>
  <c r="FG22" i="31"/>
  <c r="EW22" i="31"/>
  <c r="EP22" i="31"/>
  <c r="DV22" i="31"/>
  <c r="CZ22" i="31"/>
  <c r="CW22" i="31"/>
  <c r="CT22" i="31"/>
  <c r="CJ22" i="31"/>
  <c r="BP22" i="31"/>
  <c r="BO22" i="31" s="1"/>
  <c r="AL22" i="31"/>
  <c r="AH22" i="31"/>
  <c r="T22" i="31"/>
  <c r="G22" i="31"/>
  <c r="D22" i="31"/>
  <c r="GE21" i="31"/>
  <c r="FX21" i="31"/>
  <c r="FI21" i="31"/>
  <c r="FG21" i="31"/>
  <c r="EW21" i="31"/>
  <c r="DV21" i="31"/>
  <c r="CZ21" i="31"/>
  <c r="CW21" i="31"/>
  <c r="CT21" i="31"/>
  <c r="CJ21" i="31"/>
  <c r="BP21" i="31"/>
  <c r="AL21" i="31"/>
  <c r="AH21" i="31"/>
  <c r="T21" i="31"/>
  <c r="G21" i="31"/>
  <c r="D21" i="31"/>
  <c r="GE20" i="31"/>
  <c r="FX20" i="31"/>
  <c r="FI20" i="31"/>
  <c r="FG20" i="31"/>
  <c r="EW20" i="31"/>
  <c r="DV20" i="31"/>
  <c r="CZ20" i="31"/>
  <c r="CW20" i="31"/>
  <c r="CT20" i="31"/>
  <c r="CJ20" i="31"/>
  <c r="BP20" i="31"/>
  <c r="BO20" i="31" s="1"/>
  <c r="AL20" i="31"/>
  <c r="AH20" i="31"/>
  <c r="T20" i="31"/>
  <c r="G20" i="31"/>
  <c r="D20" i="31"/>
  <c r="GE19" i="31"/>
  <c r="FX19" i="31"/>
  <c r="FI19" i="31"/>
  <c r="FG19" i="31"/>
  <c r="EW19" i="31"/>
  <c r="EP19" i="31"/>
  <c r="DV19" i="31"/>
  <c r="CZ19" i="31"/>
  <c r="CW19" i="31"/>
  <c r="CT19" i="31"/>
  <c r="CJ19" i="31"/>
  <c r="BP19" i="31"/>
  <c r="BO19" i="31" s="1"/>
  <c r="AL19" i="31"/>
  <c r="AH19" i="31"/>
  <c r="T19" i="31"/>
  <c r="G19" i="31"/>
  <c r="D19" i="31"/>
  <c r="GE18" i="31"/>
  <c r="FX18" i="31"/>
  <c r="FI18" i="31"/>
  <c r="FG18" i="31"/>
  <c r="EW18" i="31"/>
  <c r="DV18" i="31"/>
  <c r="CZ18" i="31"/>
  <c r="CW18" i="31"/>
  <c r="CT18" i="31"/>
  <c r="CJ18" i="31"/>
  <c r="BP18" i="31"/>
  <c r="BO18" i="31" s="1"/>
  <c r="AL18" i="31"/>
  <c r="AH18" i="31"/>
  <c r="T18" i="31"/>
  <c r="EP18" i="31" s="1"/>
  <c r="G18" i="31"/>
  <c r="D18" i="31"/>
  <c r="GE17" i="31"/>
  <c r="FX17" i="31"/>
  <c r="FI17" i="31"/>
  <c r="EW17" i="31"/>
  <c r="FG17" i="31" s="1"/>
  <c r="EP17" i="31"/>
  <c r="DV17" i="31"/>
  <c r="CZ17" i="31"/>
  <c r="CW17" i="31"/>
  <c r="CT17" i="31"/>
  <c r="CJ17" i="31"/>
  <c r="BP17" i="31"/>
  <c r="BO17" i="31"/>
  <c r="AL17" i="31"/>
  <c r="AH17" i="31"/>
  <c r="T17" i="31"/>
  <c r="G17" i="31"/>
  <c r="D17" i="31"/>
  <c r="GE16" i="31"/>
  <c r="FX16" i="31"/>
  <c r="FI16" i="31"/>
  <c r="EW16" i="31"/>
  <c r="FG16" i="31" s="1"/>
  <c r="DV16" i="31"/>
  <c r="CZ16" i="31"/>
  <c r="CW16" i="31"/>
  <c r="CT16" i="31"/>
  <c r="CJ16" i="31"/>
  <c r="BP16" i="31"/>
  <c r="BO16" i="31" s="1"/>
  <c r="AL16" i="31"/>
  <c r="AH16" i="31"/>
  <c r="T16" i="31"/>
  <c r="EP16" i="31" s="1"/>
  <c r="G16" i="31"/>
  <c r="D16" i="31"/>
  <c r="GE15" i="31"/>
  <c r="FX15" i="31"/>
  <c r="FI15" i="31"/>
  <c r="FG15" i="31"/>
  <c r="EW15" i="31"/>
  <c r="EP15" i="31"/>
  <c r="DV15" i="31"/>
  <c r="CZ15" i="31"/>
  <c r="CW15" i="31"/>
  <c r="CT15" i="31"/>
  <c r="CJ15" i="31"/>
  <c r="BP15" i="31"/>
  <c r="BO15" i="31" s="1"/>
  <c r="AL15" i="31"/>
  <c r="AH15" i="31"/>
  <c r="T15" i="31"/>
  <c r="G15" i="31"/>
  <c r="D15" i="31"/>
  <c r="GE14" i="31"/>
  <c r="FX14" i="31"/>
  <c r="FI14" i="31"/>
  <c r="EW14" i="31"/>
  <c r="FG14" i="31" s="1"/>
  <c r="DV14" i="31"/>
  <c r="CZ14" i="31"/>
  <c r="CW14" i="31"/>
  <c r="CT14" i="31"/>
  <c r="CJ14" i="31"/>
  <c r="BP14" i="31"/>
  <c r="BO14" i="31"/>
  <c r="AL14" i="31"/>
  <c r="AH14" i="31"/>
  <c r="T14" i="31"/>
  <c r="EP14" i="31" s="1"/>
  <c r="G14" i="31"/>
  <c r="D14" i="31"/>
  <c r="GE13" i="31"/>
  <c r="FX13" i="31"/>
  <c r="FI13" i="31"/>
  <c r="FG13" i="31"/>
  <c r="EW13" i="31"/>
  <c r="EP13" i="31"/>
  <c r="DV13" i="31"/>
  <c r="CZ13" i="31"/>
  <c r="CW13" i="31"/>
  <c r="CT13" i="31"/>
  <c r="CJ13" i="31"/>
  <c r="BP13" i="31"/>
  <c r="BO13" i="31" s="1"/>
  <c r="AL13" i="31"/>
  <c r="AH13" i="31"/>
  <c r="T13" i="31"/>
  <c r="G13" i="31"/>
  <c r="D13" i="31"/>
  <c r="GE12" i="31"/>
  <c r="FX12" i="31"/>
  <c r="FI12" i="31"/>
  <c r="FG12" i="31"/>
  <c r="EW12" i="31"/>
  <c r="DV12" i="31"/>
  <c r="CZ12" i="31"/>
  <c r="CW12" i="31"/>
  <c r="CT12" i="31"/>
  <c r="CJ12" i="31"/>
  <c r="BP12" i="31"/>
  <c r="EP12" i="31" s="1"/>
  <c r="BO12" i="31"/>
  <c r="AL12" i="31"/>
  <c r="AH12" i="31"/>
  <c r="T12" i="31"/>
  <c r="G12" i="31"/>
  <c r="D12" i="31"/>
  <c r="GE11" i="31"/>
  <c r="FX11" i="31"/>
  <c r="FI11" i="31"/>
  <c r="FG11" i="31"/>
  <c r="EW11" i="31"/>
  <c r="DV11" i="31"/>
  <c r="CZ11" i="31"/>
  <c r="CW11" i="31"/>
  <c r="CT11" i="31"/>
  <c r="CJ11" i="31"/>
  <c r="BP11" i="31"/>
  <c r="BO11" i="31" s="1"/>
  <c r="AL11" i="31"/>
  <c r="AH11" i="31"/>
  <c r="T11" i="31"/>
  <c r="G11" i="31"/>
  <c r="D11" i="31"/>
  <c r="GE10" i="31"/>
  <c r="FX10" i="31"/>
  <c r="FI10" i="31"/>
  <c r="FG10" i="31"/>
  <c r="EW10" i="31"/>
  <c r="EP10" i="31"/>
  <c r="DV10" i="31"/>
  <c r="CZ10" i="31"/>
  <c r="CW10" i="31"/>
  <c r="CT10" i="31"/>
  <c r="CJ10" i="31"/>
  <c r="BP10" i="31"/>
  <c r="BO10" i="31" s="1"/>
  <c r="AL10" i="31"/>
  <c r="AH10" i="31"/>
  <c r="T10" i="31"/>
  <c r="G10" i="31"/>
  <c r="D10" i="31"/>
  <c r="GE9" i="31"/>
  <c r="FX9" i="31"/>
  <c r="FI9" i="31"/>
  <c r="FG9" i="31"/>
  <c r="EW9" i="31"/>
  <c r="DV9" i="31"/>
  <c r="CZ9" i="31"/>
  <c r="CW9" i="31"/>
  <c r="CT9" i="31"/>
  <c r="CJ9" i="31"/>
  <c r="BP9" i="31"/>
  <c r="BO9" i="31" s="1"/>
  <c r="AL9" i="31"/>
  <c r="AH9" i="31"/>
  <c r="T9" i="31"/>
  <c r="G9" i="31"/>
  <c r="D9" i="31"/>
  <c r="GE8" i="31"/>
  <c r="FX8" i="31"/>
  <c r="FI8" i="31"/>
  <c r="EW8" i="31"/>
  <c r="FG8" i="31" s="1"/>
  <c r="EP8" i="31"/>
  <c r="DV8" i="31"/>
  <c r="CZ8" i="31"/>
  <c r="CW8" i="31"/>
  <c r="CT8" i="31"/>
  <c r="CJ8" i="31"/>
  <c r="BP8" i="31"/>
  <c r="BO8" i="31"/>
  <c r="AL8" i="31"/>
  <c r="AH8" i="31"/>
  <c r="T8" i="31"/>
  <c r="G8" i="31"/>
  <c r="D8" i="31"/>
  <c r="GE7" i="31"/>
  <c r="FX7" i="31"/>
  <c r="FI7" i="31"/>
  <c r="FG7" i="31"/>
  <c r="EW7" i="31"/>
  <c r="DV7" i="31"/>
  <c r="CZ7" i="31"/>
  <c r="CW7" i="31"/>
  <c r="CT7" i="31"/>
  <c r="CJ7" i="31"/>
  <c r="BP7" i="31"/>
  <c r="AL7" i="31"/>
  <c r="AH7" i="31"/>
  <c r="T7" i="31"/>
  <c r="G7" i="31"/>
  <c r="D7" i="31"/>
  <c r="GE6" i="31"/>
  <c r="FX6" i="31"/>
  <c r="FI6" i="31"/>
  <c r="FG6" i="31"/>
  <c r="EW6" i="31"/>
  <c r="DV6" i="31"/>
  <c r="CZ6" i="31"/>
  <c r="CW6" i="31"/>
  <c r="CT6" i="31"/>
  <c r="CJ6" i="31"/>
  <c r="BP6" i="31"/>
  <c r="BO6" i="31" s="1"/>
  <c r="AL6" i="31"/>
  <c r="AH6" i="31"/>
  <c r="T6" i="31"/>
  <c r="EP6" i="31" s="1"/>
  <c r="G6" i="31"/>
  <c r="D6" i="31"/>
  <c r="FJ52" i="30"/>
  <c r="FM50" i="30"/>
  <c r="FK50" i="30"/>
  <c r="FE50" i="30"/>
  <c r="EQ50" i="30"/>
  <c r="EN50" i="30"/>
  <c r="EM50" i="30"/>
  <c r="ED50" i="30"/>
  <c r="EA50" i="30"/>
  <c r="DY50" i="30"/>
  <c r="DU50" i="30"/>
  <c r="DT50" i="30"/>
  <c r="DS50" i="30"/>
  <c r="DK50" i="30"/>
  <c r="DI50" i="30"/>
  <c r="DE50" i="30"/>
  <c r="DC50" i="30"/>
  <c r="CX50" i="30"/>
  <c r="CO50" i="30"/>
  <c r="CI50" i="30"/>
  <c r="CG50" i="30"/>
  <c r="CA50" i="30"/>
  <c r="BY50" i="30"/>
  <c r="BW50" i="30"/>
  <c r="BM50" i="30"/>
  <c r="BK50" i="30"/>
  <c r="BE50" i="30"/>
  <c r="BC50" i="30"/>
  <c r="AY50" i="30"/>
  <c r="AU50" i="30"/>
  <c r="AQ50" i="30"/>
  <c r="AO50" i="30"/>
  <c r="AM50" i="30"/>
  <c r="AG50" i="30"/>
  <c r="Y50" i="30"/>
  <c r="P50" i="30"/>
  <c r="N50" i="30"/>
  <c r="H50" i="30"/>
  <c r="F50" i="30"/>
  <c r="GI49" i="30"/>
  <c r="GD49" i="30"/>
  <c r="GC49" i="30"/>
  <c r="GB49" i="30"/>
  <c r="GB50" i="30" s="1"/>
  <c r="GA49" i="30"/>
  <c r="FZ49" i="30"/>
  <c r="FY49" i="30"/>
  <c r="FY50" i="30" s="1"/>
  <c r="FW49" i="30"/>
  <c r="FM49" i="30"/>
  <c r="FL49" i="30"/>
  <c r="FK49" i="30"/>
  <c r="FJ49" i="30"/>
  <c r="FX49" i="30" s="1"/>
  <c r="FI49" i="30"/>
  <c r="FH49" i="30"/>
  <c r="FF49" i="30"/>
  <c r="FE49" i="30"/>
  <c r="FD49" i="30"/>
  <c r="FC49" i="30"/>
  <c r="FC50" i="30" s="1"/>
  <c r="FA49" i="30"/>
  <c r="EZ49" i="30"/>
  <c r="EY49" i="30"/>
  <c r="EX49" i="30"/>
  <c r="EV49" i="30"/>
  <c r="EV50" i="30" s="1"/>
  <c r="EU49" i="30"/>
  <c r="ET49" i="30"/>
  <c r="ET50" i="30" s="1"/>
  <c r="ES49" i="30"/>
  <c r="ER49" i="30"/>
  <c r="EQ49" i="30"/>
  <c r="EO49" i="30"/>
  <c r="EN49" i="30"/>
  <c r="EM49" i="30"/>
  <c r="EJ49" i="30"/>
  <c r="EJ50" i="30" s="1"/>
  <c r="EI49" i="30"/>
  <c r="EH49" i="30"/>
  <c r="EG49" i="30"/>
  <c r="EF49" i="30"/>
  <c r="ED49" i="30"/>
  <c r="EC49" i="30"/>
  <c r="EA49" i="30"/>
  <c r="DZ49" i="30"/>
  <c r="DY49" i="30"/>
  <c r="DX49" i="30"/>
  <c r="DW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DD49" i="30"/>
  <c r="DC49" i="30"/>
  <c r="DB49" i="30"/>
  <c r="DA49" i="30"/>
  <c r="CZ49" i="30"/>
  <c r="CY49" i="30"/>
  <c r="CX49" i="30"/>
  <c r="CV49" i="30"/>
  <c r="CU49" i="30"/>
  <c r="CS49" i="30"/>
  <c r="CR49" i="30"/>
  <c r="CQ49" i="30"/>
  <c r="CP49" i="30"/>
  <c r="CO49" i="30"/>
  <c r="CN49" i="30"/>
  <c r="CM49" i="30"/>
  <c r="CM50" i="30" s="1"/>
  <c r="CL49" i="30"/>
  <c r="CK49" i="30"/>
  <c r="CI49" i="30"/>
  <c r="CH49" i="30"/>
  <c r="CJ49" i="30" s="1"/>
  <c r="CG49" i="30"/>
  <c r="CF49" i="30"/>
  <c r="CE49" i="30"/>
  <c r="CE50" i="30" s="1"/>
  <c r="CD49" i="30"/>
  <c r="CC49" i="30"/>
  <c r="CB49" i="30"/>
  <c r="CA49" i="30"/>
  <c r="BZ49" i="30"/>
  <c r="BY49" i="30"/>
  <c r="BX49" i="30"/>
  <c r="BW49" i="30"/>
  <c r="BU49" i="30"/>
  <c r="BQ49" i="30"/>
  <c r="BP49" i="30"/>
  <c r="BN49" i="30"/>
  <c r="BO49" i="30" s="1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AU49" i="30"/>
  <c r="AT49" i="30"/>
  <c r="AS49" i="30"/>
  <c r="AR49" i="30"/>
  <c r="AQ49" i="30"/>
  <c r="AP49" i="30"/>
  <c r="AO49" i="30"/>
  <c r="AN49" i="30"/>
  <c r="AM49" i="30"/>
  <c r="AK49" i="30"/>
  <c r="AJ49" i="30"/>
  <c r="AI49" i="30"/>
  <c r="AI50" i="30" s="1"/>
  <c r="AG49" i="30"/>
  <c r="AF49" i="30"/>
  <c r="AE49" i="30"/>
  <c r="AE50" i="30" s="1"/>
  <c r="AD49" i="30"/>
  <c r="AC49" i="30"/>
  <c r="AB49" i="30"/>
  <c r="AA49" i="30"/>
  <c r="AA50" i="30" s="1"/>
  <c r="Z49" i="30"/>
  <c r="Y49" i="30"/>
  <c r="X49" i="30"/>
  <c r="U49" i="30"/>
  <c r="R49" i="30"/>
  <c r="Q49" i="30"/>
  <c r="P49" i="30"/>
  <c r="O49" i="30"/>
  <c r="N49" i="30"/>
  <c r="M49" i="30"/>
  <c r="L49" i="30"/>
  <c r="L50" i="30" s="1"/>
  <c r="K49" i="30"/>
  <c r="J49" i="30"/>
  <c r="I49" i="30"/>
  <c r="H49" i="30"/>
  <c r="G49" i="30"/>
  <c r="F49" i="30"/>
  <c r="E49" i="30"/>
  <c r="D49" i="30" s="1"/>
  <c r="C49" i="30"/>
  <c r="GE48" i="30"/>
  <c r="FX48" i="30"/>
  <c r="FI48" i="30"/>
  <c r="FG48" i="30"/>
  <c r="EW48" i="30"/>
  <c r="EP48" i="30"/>
  <c r="DV48" i="30"/>
  <c r="CZ48" i="30"/>
  <c r="CW48" i="30"/>
  <c r="CT48" i="30"/>
  <c r="CJ48" i="30"/>
  <c r="BP48" i="30"/>
  <c r="BO48" i="30" s="1"/>
  <c r="AL48" i="30"/>
  <c r="AH48" i="30"/>
  <c r="T48" i="30"/>
  <c r="G48" i="30"/>
  <c r="D48" i="30"/>
  <c r="FX47" i="30"/>
  <c r="FI47" i="30"/>
  <c r="EW47" i="30"/>
  <c r="FG47" i="30" s="1"/>
  <c r="DV47" i="30"/>
  <c r="CZ47" i="30"/>
  <c r="CW47" i="30"/>
  <c r="CT47" i="30"/>
  <c r="CJ47" i="30"/>
  <c r="BP47" i="30"/>
  <c r="BO47" i="30"/>
  <c r="AL47" i="30"/>
  <c r="AH47" i="30"/>
  <c r="T47" i="30"/>
  <c r="EP47" i="30" s="1"/>
  <c r="G47" i="30"/>
  <c r="D47" i="30"/>
  <c r="GE46" i="30"/>
  <c r="FX46" i="30"/>
  <c r="FI46" i="30"/>
  <c r="EW46" i="30"/>
  <c r="FG46" i="30" s="1"/>
  <c r="EP46" i="30"/>
  <c r="DV46" i="30"/>
  <c r="CZ46" i="30"/>
  <c r="CW46" i="30"/>
  <c r="CT46" i="30"/>
  <c r="CJ46" i="30"/>
  <c r="BP46" i="30"/>
  <c r="BO46" i="30"/>
  <c r="AL46" i="30"/>
  <c r="AH46" i="30"/>
  <c r="T46" i="30"/>
  <c r="G46" i="30"/>
  <c r="D46" i="30"/>
  <c r="GE45" i="30"/>
  <c r="FX45" i="30"/>
  <c r="FI45" i="30"/>
  <c r="FG45" i="30"/>
  <c r="EW45" i="30"/>
  <c r="DV45" i="30"/>
  <c r="CZ45" i="30"/>
  <c r="CW45" i="30"/>
  <c r="CT45" i="30"/>
  <c r="CJ45" i="30"/>
  <c r="BP45" i="30"/>
  <c r="AL45" i="30"/>
  <c r="AH45" i="30"/>
  <c r="T45" i="30"/>
  <c r="G45" i="30"/>
  <c r="D45" i="30"/>
  <c r="FX44" i="30"/>
  <c r="FI44" i="30"/>
  <c r="EW44" i="30"/>
  <c r="FG44" i="30" s="1"/>
  <c r="EP44" i="30"/>
  <c r="DV44" i="30"/>
  <c r="CZ44" i="30"/>
  <c r="CW44" i="30"/>
  <c r="CT44" i="30"/>
  <c r="CJ44" i="30"/>
  <c r="BP44" i="30"/>
  <c r="BO44" i="30"/>
  <c r="AL44" i="30"/>
  <c r="AH44" i="30"/>
  <c r="T44" i="30"/>
  <c r="G44" i="30"/>
  <c r="D44" i="30"/>
  <c r="GE43" i="30"/>
  <c r="FX43" i="30"/>
  <c r="FI43" i="30"/>
  <c r="FG43" i="30"/>
  <c r="EW43" i="30"/>
  <c r="DV43" i="30"/>
  <c r="CZ43" i="30"/>
  <c r="CW43" i="30"/>
  <c r="CT43" i="30"/>
  <c r="CJ43" i="30"/>
  <c r="BP43" i="30"/>
  <c r="BO43" i="30" s="1"/>
  <c r="AL43" i="30"/>
  <c r="AH43" i="30"/>
  <c r="T43" i="30"/>
  <c r="G43" i="30"/>
  <c r="D43" i="30"/>
  <c r="GE42" i="30"/>
  <c r="FX42" i="30"/>
  <c r="FI42" i="30"/>
  <c r="EW42" i="30"/>
  <c r="FG42" i="30" s="1"/>
  <c r="EP42" i="30"/>
  <c r="DV42" i="30"/>
  <c r="CZ42" i="30"/>
  <c r="CW42" i="30"/>
  <c r="CT42" i="30"/>
  <c r="CJ42" i="30"/>
  <c r="BP42" i="30"/>
  <c r="BO42" i="30"/>
  <c r="AL42" i="30"/>
  <c r="AH42" i="30"/>
  <c r="T42" i="30"/>
  <c r="G42" i="30"/>
  <c r="D42" i="30"/>
  <c r="FX41" i="30"/>
  <c r="FI41" i="30"/>
  <c r="FG41" i="30"/>
  <c r="EW41" i="30"/>
  <c r="EP41" i="30"/>
  <c r="DV41" i="30"/>
  <c r="CZ41" i="30"/>
  <c r="CW41" i="30"/>
  <c r="CT41" i="30"/>
  <c r="CJ41" i="30"/>
  <c r="BP41" i="30"/>
  <c r="BO41" i="30" s="1"/>
  <c r="AL41" i="30"/>
  <c r="AH41" i="30"/>
  <c r="T41" i="30"/>
  <c r="G41" i="30"/>
  <c r="D41" i="30"/>
  <c r="FX40" i="30"/>
  <c r="FI40" i="30"/>
  <c r="EW40" i="30"/>
  <c r="FG40" i="30" s="1"/>
  <c r="DV40" i="30"/>
  <c r="CZ40" i="30"/>
  <c r="CW40" i="30"/>
  <c r="CT40" i="30"/>
  <c r="CJ40" i="30"/>
  <c r="BP40" i="30"/>
  <c r="BO40" i="30"/>
  <c r="AL40" i="30"/>
  <c r="AH40" i="30"/>
  <c r="T40" i="30"/>
  <c r="EP40" i="30" s="1"/>
  <c r="G40" i="30"/>
  <c r="D40" i="30"/>
  <c r="FX39" i="30"/>
  <c r="FI39" i="30"/>
  <c r="FG39" i="30"/>
  <c r="EW39" i="30"/>
  <c r="DV39" i="30"/>
  <c r="CZ39" i="30"/>
  <c r="CW39" i="30"/>
  <c r="CT39" i="30"/>
  <c r="CJ39" i="30"/>
  <c r="BP39" i="30"/>
  <c r="EP39" i="30" s="1"/>
  <c r="BO39" i="30"/>
  <c r="AL39" i="30"/>
  <c r="AH39" i="30"/>
  <c r="T39" i="30"/>
  <c r="G39" i="30"/>
  <c r="D39" i="30"/>
  <c r="FX38" i="30"/>
  <c r="FI38" i="30"/>
  <c r="FG38" i="30"/>
  <c r="EW38" i="30"/>
  <c r="EP38" i="30"/>
  <c r="DV38" i="30"/>
  <c r="CZ38" i="30"/>
  <c r="CW38" i="30"/>
  <c r="CT38" i="30"/>
  <c r="CJ38" i="30"/>
  <c r="BP38" i="30"/>
  <c r="BO38" i="30" s="1"/>
  <c r="AL38" i="30"/>
  <c r="AH38" i="30"/>
  <c r="T38" i="30"/>
  <c r="G38" i="30"/>
  <c r="D38" i="30"/>
  <c r="GI37" i="30"/>
  <c r="GI50" i="30" s="1"/>
  <c r="GD37" i="30"/>
  <c r="GD50" i="30" s="1"/>
  <c r="GC37" i="30"/>
  <c r="GC50" i="30" s="1"/>
  <c r="GB37" i="30"/>
  <c r="GA37" i="30"/>
  <c r="GA50" i="30" s="1"/>
  <c r="FZ37" i="30"/>
  <c r="FY37" i="30"/>
  <c r="FW37" i="30"/>
  <c r="FW50" i="30" s="1"/>
  <c r="FM37" i="30"/>
  <c r="FL37" i="30"/>
  <c r="FK37" i="30"/>
  <c r="FJ37" i="30"/>
  <c r="FH37" i="30"/>
  <c r="FF37" i="30"/>
  <c r="FF50" i="30" s="1"/>
  <c r="FE37" i="30"/>
  <c r="FD37" i="30"/>
  <c r="FC37" i="30"/>
  <c r="FA37" i="30"/>
  <c r="FA50" i="30" s="1"/>
  <c r="EZ37" i="30"/>
  <c r="EY37" i="30"/>
  <c r="EX37" i="30"/>
  <c r="EX50" i="30" s="1"/>
  <c r="EW50" i="30" s="1"/>
  <c r="EV37" i="30"/>
  <c r="EU37" i="30"/>
  <c r="EU50" i="30" s="1"/>
  <c r="ET37" i="30"/>
  <c r="ES37" i="30"/>
  <c r="ER37" i="30"/>
  <c r="EQ37" i="30"/>
  <c r="EO37" i="30"/>
  <c r="EO50" i="30" s="1"/>
  <c r="EN37" i="30"/>
  <c r="EM37" i="30"/>
  <c r="EJ37" i="30"/>
  <c r="EI37" i="30"/>
  <c r="EI50" i="30" s="1"/>
  <c r="EH37" i="30"/>
  <c r="EG37" i="30"/>
  <c r="EF37" i="30"/>
  <c r="EF50" i="30" s="1"/>
  <c r="EE37" i="30"/>
  <c r="ED37" i="30"/>
  <c r="EC37" i="30"/>
  <c r="EA37" i="30"/>
  <c r="DZ37" i="30"/>
  <c r="DZ50" i="30" s="1"/>
  <c r="DY37" i="30"/>
  <c r="DX37" i="30"/>
  <c r="DW37" i="30"/>
  <c r="DV37" i="30" s="1"/>
  <c r="DU37" i="30"/>
  <c r="DT37" i="30"/>
  <c r="DS37" i="30"/>
  <c r="DR37" i="30"/>
  <c r="DR50" i="30" s="1"/>
  <c r="DQ37" i="30"/>
  <c r="DQ50" i="30" s="1"/>
  <c r="DP37" i="30"/>
  <c r="DO37" i="30"/>
  <c r="DO50" i="30" s="1"/>
  <c r="DN37" i="30"/>
  <c r="DN50" i="30" s="1"/>
  <c r="DM37" i="30"/>
  <c r="DM50" i="30" s="1"/>
  <c r="DL37" i="30"/>
  <c r="DL50" i="30" s="1"/>
  <c r="DK37" i="30"/>
  <c r="DJ37" i="30"/>
  <c r="DJ50" i="30" s="1"/>
  <c r="DI37" i="30"/>
  <c r="DH37" i="30"/>
  <c r="DG37" i="30"/>
  <c r="DG50" i="30" s="1"/>
  <c r="DF37" i="30"/>
  <c r="DF50" i="30" s="1"/>
  <c r="DE37" i="30"/>
  <c r="DD37" i="30"/>
  <c r="DC37" i="30"/>
  <c r="DB37" i="30"/>
  <c r="DB50" i="30" s="1"/>
  <c r="DA37" i="30"/>
  <c r="DA50" i="30" s="1"/>
  <c r="CY37" i="30"/>
  <c r="CY50" i="30" s="1"/>
  <c r="CW50" i="30" s="1"/>
  <c r="CX37" i="30"/>
  <c r="CV37" i="30"/>
  <c r="CV50" i="30" s="1"/>
  <c r="CU37" i="30"/>
  <c r="CT37" i="30"/>
  <c r="CS37" i="30"/>
  <c r="CS50" i="30" s="1"/>
  <c r="CR37" i="30"/>
  <c r="CR50" i="30" s="1"/>
  <c r="CQ37" i="30"/>
  <c r="CP37" i="30"/>
  <c r="CP50" i="30" s="1"/>
  <c r="CO37" i="30"/>
  <c r="CN37" i="30"/>
  <c r="CN50" i="30" s="1"/>
  <c r="CM37" i="30"/>
  <c r="CL37" i="30"/>
  <c r="CL50" i="30" s="1"/>
  <c r="CK37" i="30"/>
  <c r="CK50" i="30" s="1"/>
  <c r="CJ37" i="30"/>
  <c r="CI37" i="30"/>
  <c r="CH37" i="30"/>
  <c r="CG37" i="30"/>
  <c r="CF37" i="30"/>
  <c r="CF50" i="30" s="1"/>
  <c r="CE37" i="30"/>
  <c r="CD37" i="30"/>
  <c r="CD50" i="30" s="1"/>
  <c r="CC37" i="30"/>
  <c r="CC50" i="30" s="1"/>
  <c r="CB37" i="30"/>
  <c r="CB50" i="30" s="1"/>
  <c r="CA37" i="30"/>
  <c r="BZ37" i="30"/>
  <c r="BZ50" i="30" s="1"/>
  <c r="BY37" i="30"/>
  <c r="BX37" i="30"/>
  <c r="BX50" i="30" s="1"/>
  <c r="BW37" i="30"/>
  <c r="BU37" i="30"/>
  <c r="BU50" i="30" s="1"/>
  <c r="BQ37" i="30"/>
  <c r="BN37" i="30"/>
  <c r="BM37" i="30"/>
  <c r="BL37" i="30"/>
  <c r="BL50" i="30" s="1"/>
  <c r="BK37" i="30"/>
  <c r="BJ37" i="30"/>
  <c r="BJ50" i="30" s="1"/>
  <c r="BI37" i="30"/>
  <c r="BI50" i="30" s="1"/>
  <c r="BH37" i="30"/>
  <c r="BH50" i="30" s="1"/>
  <c r="BG37" i="30"/>
  <c r="BF37" i="30"/>
  <c r="BE37" i="30"/>
  <c r="BD37" i="30"/>
  <c r="BD50" i="30" s="1"/>
  <c r="BC37" i="30"/>
  <c r="BB37" i="30"/>
  <c r="BB50" i="30" s="1"/>
  <c r="BA37" i="30"/>
  <c r="BA50" i="30" s="1"/>
  <c r="AZ37" i="30"/>
  <c r="AZ50" i="30" s="1"/>
  <c r="AY37" i="30"/>
  <c r="AX37" i="30"/>
  <c r="AW37" i="30"/>
  <c r="AW50" i="30" s="1"/>
  <c r="AV37" i="30"/>
  <c r="AV50" i="30" s="1"/>
  <c r="AU37" i="30"/>
  <c r="AT37" i="30"/>
  <c r="AT50" i="30" s="1"/>
  <c r="AS37" i="30"/>
  <c r="AS50" i="30" s="1"/>
  <c r="AR37" i="30"/>
  <c r="AR50" i="30" s="1"/>
  <c r="AQ37" i="30"/>
  <c r="AP37" i="30"/>
  <c r="AO37" i="30"/>
  <c r="AN37" i="30"/>
  <c r="AN50" i="30" s="1"/>
  <c r="AM37" i="30"/>
  <c r="AL37" i="30"/>
  <c r="AK37" i="30"/>
  <c r="AK50" i="30" s="1"/>
  <c r="AJ37" i="30"/>
  <c r="AI37" i="30"/>
  <c r="AG37" i="30"/>
  <c r="AF37" i="30"/>
  <c r="AE37" i="30"/>
  <c r="AD37" i="30"/>
  <c r="AD50" i="30" s="1"/>
  <c r="AC37" i="30"/>
  <c r="AC50" i="30" s="1"/>
  <c r="AB37" i="30"/>
  <c r="AB50" i="30" s="1"/>
  <c r="AA37" i="30"/>
  <c r="Z37" i="30"/>
  <c r="Z50" i="30" s="1"/>
  <c r="Y37" i="30"/>
  <c r="X37" i="30"/>
  <c r="U37" i="30"/>
  <c r="T37" i="30"/>
  <c r="R37" i="30"/>
  <c r="R50" i="30" s="1"/>
  <c r="Q37" i="30"/>
  <c r="Q50" i="30" s="1"/>
  <c r="P37" i="30"/>
  <c r="O37" i="30"/>
  <c r="O50" i="30" s="1"/>
  <c r="N37" i="30"/>
  <c r="M37" i="30"/>
  <c r="L37" i="30"/>
  <c r="K37" i="30"/>
  <c r="K50" i="30" s="1"/>
  <c r="J37" i="30"/>
  <c r="J50" i="30" s="1"/>
  <c r="I37" i="30"/>
  <c r="H37" i="30"/>
  <c r="F37" i="30"/>
  <c r="E37" i="30"/>
  <c r="D37" i="30" s="1"/>
  <c r="C37" i="30"/>
  <c r="C50" i="30" s="1"/>
  <c r="GE36" i="30"/>
  <c r="FX36" i="30"/>
  <c r="FI36" i="30"/>
  <c r="EW36" i="30"/>
  <c r="FG36" i="30" s="1"/>
  <c r="DV36" i="30"/>
  <c r="CZ36" i="30"/>
  <c r="CW36" i="30"/>
  <c r="CT36" i="30"/>
  <c r="CJ36" i="30"/>
  <c r="BP36" i="30"/>
  <c r="BO36" i="30" s="1"/>
  <c r="AL36" i="30"/>
  <c r="AH36" i="30"/>
  <c r="T36" i="30"/>
  <c r="G36" i="30"/>
  <c r="D36" i="30"/>
  <c r="GE35" i="30"/>
  <c r="FX35" i="30"/>
  <c r="FI35" i="30"/>
  <c r="FG35" i="30"/>
  <c r="EW35" i="30"/>
  <c r="EP35" i="30"/>
  <c r="DV35" i="30"/>
  <c r="CZ35" i="30"/>
  <c r="CW35" i="30"/>
  <c r="CT35" i="30"/>
  <c r="CJ35" i="30"/>
  <c r="BP35" i="30"/>
  <c r="BO35" i="30" s="1"/>
  <c r="AL35" i="30"/>
  <c r="AH35" i="30"/>
  <c r="T35" i="30"/>
  <c r="G35" i="30"/>
  <c r="D35" i="30"/>
  <c r="GE34" i="30"/>
  <c r="FX34" i="30"/>
  <c r="FI34" i="30"/>
  <c r="EW34" i="30"/>
  <c r="FG34" i="30" s="1"/>
  <c r="DV34" i="30"/>
  <c r="CZ34" i="30"/>
  <c r="CW34" i="30"/>
  <c r="CT34" i="30"/>
  <c r="CJ34" i="30"/>
  <c r="BP34" i="30"/>
  <c r="BO34" i="30"/>
  <c r="AL34" i="30"/>
  <c r="AH34" i="30"/>
  <c r="T34" i="30"/>
  <c r="EP34" i="30" s="1"/>
  <c r="G34" i="30"/>
  <c r="D34" i="30"/>
  <c r="GE33" i="30"/>
  <c r="FX33" i="30"/>
  <c r="FI33" i="30"/>
  <c r="EW33" i="30"/>
  <c r="FG33" i="30" s="1"/>
  <c r="EP33" i="30"/>
  <c r="DV33" i="30"/>
  <c r="CZ33" i="30"/>
  <c r="CW33" i="30"/>
  <c r="CT33" i="30"/>
  <c r="CJ33" i="30"/>
  <c r="BP33" i="30"/>
  <c r="BO33" i="30"/>
  <c r="AL33" i="30"/>
  <c r="AH33" i="30"/>
  <c r="T33" i="30"/>
  <c r="G33" i="30"/>
  <c r="D33" i="30"/>
  <c r="GE32" i="30"/>
  <c r="FX32" i="30"/>
  <c r="FI32" i="30"/>
  <c r="EW32" i="30"/>
  <c r="FG32" i="30" s="1"/>
  <c r="DV32" i="30"/>
  <c r="CZ32" i="30"/>
  <c r="CW32" i="30"/>
  <c r="CT32" i="30"/>
  <c r="CJ32" i="30"/>
  <c r="BP32" i="30"/>
  <c r="BO32" i="30" s="1"/>
  <c r="AL32" i="30"/>
  <c r="AH32" i="30"/>
  <c r="T32" i="30"/>
  <c r="G32" i="30"/>
  <c r="D32" i="30"/>
  <c r="GE31" i="30"/>
  <c r="FX31" i="30"/>
  <c r="FI31" i="30"/>
  <c r="FG31" i="30"/>
  <c r="EW31" i="30"/>
  <c r="DV31" i="30"/>
  <c r="CZ31" i="30"/>
  <c r="CW31" i="30"/>
  <c r="CT31" i="30"/>
  <c r="CJ31" i="30"/>
  <c r="BP31" i="30"/>
  <c r="BO31" i="30" s="1"/>
  <c r="AL31" i="30"/>
  <c r="AH31" i="30"/>
  <c r="T31" i="30"/>
  <c r="EP31" i="30" s="1"/>
  <c r="G31" i="30"/>
  <c r="D31" i="30"/>
  <c r="GE30" i="30"/>
  <c r="FX30" i="30"/>
  <c r="FI30" i="30"/>
  <c r="EW30" i="30"/>
  <c r="FG30" i="30" s="1"/>
  <c r="EP30" i="30"/>
  <c r="DV30" i="30"/>
  <c r="CZ30" i="30"/>
  <c r="CW30" i="30"/>
  <c r="CT30" i="30"/>
  <c r="CJ30" i="30"/>
  <c r="BP30" i="30"/>
  <c r="BO30" i="30"/>
  <c r="AL30" i="30"/>
  <c r="AH30" i="30"/>
  <c r="T30" i="30"/>
  <c r="G30" i="30"/>
  <c r="D30" i="30"/>
  <c r="GE29" i="30"/>
  <c r="FX29" i="30"/>
  <c r="FI29" i="30"/>
  <c r="EW29" i="30"/>
  <c r="FG29" i="30" s="1"/>
  <c r="DV29" i="30"/>
  <c r="CZ29" i="30"/>
  <c r="CW29" i="30"/>
  <c r="CT29" i="30"/>
  <c r="CJ29" i="30"/>
  <c r="BP29" i="30"/>
  <c r="BO29" i="30"/>
  <c r="AL29" i="30"/>
  <c r="AH29" i="30"/>
  <c r="T29" i="30"/>
  <c r="EP29" i="30" s="1"/>
  <c r="G29" i="30"/>
  <c r="D29" i="30"/>
  <c r="GE28" i="30"/>
  <c r="FX28" i="30"/>
  <c r="FI28" i="30"/>
  <c r="EW28" i="30"/>
  <c r="FG28" i="30" s="1"/>
  <c r="EP28" i="30"/>
  <c r="DV28" i="30"/>
  <c r="CZ28" i="30"/>
  <c r="CW28" i="30"/>
  <c r="CT28" i="30"/>
  <c r="CJ28" i="30"/>
  <c r="BP28" i="30"/>
  <c r="BO28" i="30"/>
  <c r="AL28" i="30"/>
  <c r="AH28" i="30"/>
  <c r="T28" i="30"/>
  <c r="G28" i="30"/>
  <c r="D28" i="30"/>
  <c r="GE27" i="30"/>
  <c r="FX27" i="30"/>
  <c r="FI27" i="30"/>
  <c r="FG27" i="30"/>
  <c r="EW27" i="30"/>
  <c r="DV27" i="30"/>
  <c r="CZ27" i="30"/>
  <c r="CW27" i="30"/>
  <c r="CT27" i="30"/>
  <c r="CJ27" i="30"/>
  <c r="BP27" i="30"/>
  <c r="BO27" i="30" s="1"/>
  <c r="AL27" i="30"/>
  <c r="AH27" i="30"/>
  <c r="T27" i="30"/>
  <c r="G27" i="30"/>
  <c r="D27" i="30"/>
  <c r="GE26" i="30"/>
  <c r="FX26" i="30"/>
  <c r="FI26" i="30"/>
  <c r="FG26" i="30"/>
  <c r="EW26" i="30"/>
  <c r="DV26" i="30"/>
  <c r="CZ26" i="30"/>
  <c r="CW26" i="30"/>
  <c r="CT26" i="30"/>
  <c r="CJ26" i="30"/>
  <c r="BP26" i="30"/>
  <c r="BO26" i="30" s="1"/>
  <c r="AL26" i="30"/>
  <c r="AH26" i="30"/>
  <c r="T26" i="30"/>
  <c r="EP26" i="30" s="1"/>
  <c r="G26" i="30"/>
  <c r="D26" i="30"/>
  <c r="GE25" i="30"/>
  <c r="FX25" i="30"/>
  <c r="FI25" i="30"/>
  <c r="FG25" i="30"/>
  <c r="EW25" i="30"/>
  <c r="DV25" i="30"/>
  <c r="CZ25" i="30"/>
  <c r="CW25" i="30"/>
  <c r="CT25" i="30"/>
  <c r="CJ25" i="30"/>
  <c r="BP25" i="30"/>
  <c r="BO25" i="30" s="1"/>
  <c r="AL25" i="30"/>
  <c r="AH25" i="30"/>
  <c r="T25" i="30"/>
  <c r="EP25" i="30" s="1"/>
  <c r="G25" i="30"/>
  <c r="D25" i="30"/>
  <c r="GE24" i="30"/>
  <c r="FX24" i="30"/>
  <c r="FI24" i="30"/>
  <c r="FG24" i="30"/>
  <c r="EW24" i="30"/>
  <c r="DV24" i="30"/>
  <c r="CZ24" i="30"/>
  <c r="CW24" i="30"/>
  <c r="CT24" i="30"/>
  <c r="CJ24" i="30"/>
  <c r="BP24" i="30"/>
  <c r="BO24" i="30" s="1"/>
  <c r="AL24" i="30"/>
  <c r="AH24" i="30"/>
  <c r="T24" i="30"/>
  <c r="EP24" i="30" s="1"/>
  <c r="G24" i="30"/>
  <c r="D24" i="30"/>
  <c r="GE23" i="30"/>
  <c r="FX23" i="30"/>
  <c r="FI23" i="30"/>
  <c r="FG23" i="30"/>
  <c r="EW23" i="30"/>
  <c r="EP23" i="30"/>
  <c r="DV23" i="30"/>
  <c r="CZ23" i="30"/>
  <c r="CW23" i="30"/>
  <c r="CT23" i="30"/>
  <c r="CJ23" i="30"/>
  <c r="BP23" i="30"/>
  <c r="BO23" i="30" s="1"/>
  <c r="AL23" i="30"/>
  <c r="AH23" i="30"/>
  <c r="T23" i="30"/>
  <c r="G23" i="30"/>
  <c r="D23" i="30"/>
  <c r="GE22" i="30"/>
  <c r="FX22" i="30"/>
  <c r="FI22" i="30"/>
  <c r="EW22" i="30"/>
  <c r="FG22" i="30" s="1"/>
  <c r="DV22" i="30"/>
  <c r="CZ22" i="30"/>
  <c r="CW22" i="30"/>
  <c r="CT22" i="30"/>
  <c r="CJ22" i="30"/>
  <c r="BP22" i="30"/>
  <c r="BO22" i="30" s="1"/>
  <c r="AL22" i="30"/>
  <c r="AH22" i="30"/>
  <c r="T22" i="30"/>
  <c r="EP22" i="30" s="1"/>
  <c r="G22" i="30"/>
  <c r="D22" i="30"/>
  <c r="GE21" i="30"/>
  <c r="FX21" i="30"/>
  <c r="FI21" i="30"/>
  <c r="EW21" i="30"/>
  <c r="FG21" i="30" s="1"/>
  <c r="EP21" i="30"/>
  <c r="DV21" i="30"/>
  <c r="CZ21" i="30"/>
  <c r="CW21" i="30"/>
  <c r="CT21" i="30"/>
  <c r="CJ21" i="30"/>
  <c r="BP21" i="30"/>
  <c r="BO21" i="30"/>
  <c r="AL21" i="30"/>
  <c r="AH21" i="30"/>
  <c r="T21" i="30"/>
  <c r="G21" i="30"/>
  <c r="D21" i="30"/>
  <c r="GE20" i="30"/>
  <c r="FX20" i="30"/>
  <c r="FI20" i="30"/>
  <c r="EW20" i="30"/>
  <c r="FG20" i="30" s="1"/>
  <c r="DV20" i="30"/>
  <c r="CZ20" i="30"/>
  <c r="CW20" i="30"/>
  <c r="CT20" i="30"/>
  <c r="CJ20" i="30"/>
  <c r="BP20" i="30"/>
  <c r="BO20" i="30"/>
  <c r="AL20" i="30"/>
  <c r="AH20" i="30"/>
  <c r="T20" i="30"/>
  <c r="G20" i="30"/>
  <c r="D20" i="30"/>
  <c r="GE19" i="30"/>
  <c r="FX19" i="30"/>
  <c r="FI19" i="30"/>
  <c r="FG19" i="30"/>
  <c r="EW19" i="30"/>
  <c r="DV19" i="30"/>
  <c r="CZ19" i="30"/>
  <c r="CW19" i="30"/>
  <c r="CT19" i="30"/>
  <c r="CJ19" i="30"/>
  <c r="BP19" i="30"/>
  <c r="BO19" i="30" s="1"/>
  <c r="AL19" i="30"/>
  <c r="AH19" i="30"/>
  <c r="T19" i="30"/>
  <c r="EP19" i="30" s="1"/>
  <c r="G19" i="30"/>
  <c r="D19" i="30"/>
  <c r="GE18" i="30"/>
  <c r="FX18" i="30"/>
  <c r="FI18" i="30"/>
  <c r="EW18" i="30"/>
  <c r="FG18" i="30" s="1"/>
  <c r="DV18" i="30"/>
  <c r="CZ18" i="30"/>
  <c r="CW18" i="30"/>
  <c r="CT18" i="30"/>
  <c r="CJ18" i="30"/>
  <c r="BP18" i="30"/>
  <c r="BO18" i="30"/>
  <c r="AL18" i="30"/>
  <c r="AH18" i="30"/>
  <c r="T18" i="30"/>
  <c r="EP18" i="30" s="1"/>
  <c r="G18" i="30"/>
  <c r="D18" i="30"/>
  <c r="GE17" i="30"/>
  <c r="FX17" i="30"/>
  <c r="FI17" i="30"/>
  <c r="FG17" i="30"/>
  <c r="EW17" i="30"/>
  <c r="DV17" i="30"/>
  <c r="CZ17" i="30"/>
  <c r="CW17" i="30"/>
  <c r="CT17" i="30"/>
  <c r="CJ17" i="30"/>
  <c r="BP17" i="30"/>
  <c r="BO17" i="30" s="1"/>
  <c r="AL17" i="30"/>
  <c r="AH17" i="30"/>
  <c r="T17" i="30"/>
  <c r="EP17" i="30" s="1"/>
  <c r="G17" i="30"/>
  <c r="D17" i="30"/>
  <c r="GE16" i="30"/>
  <c r="FX16" i="30"/>
  <c r="FI16" i="30"/>
  <c r="EW16" i="30"/>
  <c r="FG16" i="30" s="1"/>
  <c r="EP16" i="30"/>
  <c r="DV16" i="30"/>
  <c r="CZ16" i="30"/>
  <c r="CW16" i="30"/>
  <c r="CT16" i="30"/>
  <c r="CJ16" i="30"/>
  <c r="BP16" i="30"/>
  <c r="BO16" i="30"/>
  <c r="AL16" i="30"/>
  <c r="AH16" i="30"/>
  <c r="T16" i="30"/>
  <c r="G16" i="30"/>
  <c r="D16" i="30"/>
  <c r="GE15" i="30"/>
  <c r="FX15" i="30"/>
  <c r="FI15" i="30"/>
  <c r="FG15" i="30"/>
  <c r="EW15" i="30"/>
  <c r="DV15" i="30"/>
  <c r="CZ15" i="30"/>
  <c r="CW15" i="30"/>
  <c r="CT15" i="30"/>
  <c r="CJ15" i="30"/>
  <c r="BP15" i="30"/>
  <c r="BO15" i="30" s="1"/>
  <c r="AL15" i="30"/>
  <c r="AH15" i="30"/>
  <c r="T15" i="30"/>
  <c r="EP15" i="30" s="1"/>
  <c r="G15" i="30"/>
  <c r="D15" i="30"/>
  <c r="GE14" i="30"/>
  <c r="FX14" i="30"/>
  <c r="FI14" i="30"/>
  <c r="FG14" i="30"/>
  <c r="EW14" i="30"/>
  <c r="EP14" i="30"/>
  <c r="DV14" i="30"/>
  <c r="CZ14" i="30"/>
  <c r="CW14" i="30"/>
  <c r="CT14" i="30"/>
  <c r="CJ14" i="30"/>
  <c r="BP14" i="30"/>
  <c r="BO14" i="30" s="1"/>
  <c r="AL14" i="30"/>
  <c r="AH14" i="30"/>
  <c r="T14" i="30"/>
  <c r="G14" i="30"/>
  <c r="D14" i="30"/>
  <c r="GE13" i="30"/>
  <c r="FX13" i="30"/>
  <c r="FI13" i="30"/>
  <c r="EW13" i="30"/>
  <c r="FG13" i="30" s="1"/>
  <c r="DV13" i="30"/>
  <c r="CZ13" i="30"/>
  <c r="CW13" i="30"/>
  <c r="CT13" i="30"/>
  <c r="CJ13" i="30"/>
  <c r="BP13" i="30"/>
  <c r="BO13" i="30"/>
  <c r="AL13" i="30"/>
  <c r="AH13" i="30"/>
  <c r="T13" i="30"/>
  <c r="EP13" i="30" s="1"/>
  <c r="G13" i="30"/>
  <c r="D13" i="30"/>
  <c r="GE12" i="30"/>
  <c r="FX12" i="30"/>
  <c r="FI12" i="30"/>
  <c r="EW12" i="30"/>
  <c r="FG12" i="30" s="1"/>
  <c r="EP12" i="30"/>
  <c r="DV12" i="30"/>
  <c r="CZ12" i="30"/>
  <c r="CW12" i="30"/>
  <c r="CT12" i="30"/>
  <c r="CJ12" i="30"/>
  <c r="BP12" i="30"/>
  <c r="BO12" i="30"/>
  <c r="AL12" i="30"/>
  <c r="AH12" i="30"/>
  <c r="T12" i="30"/>
  <c r="G12" i="30"/>
  <c r="D12" i="30"/>
  <c r="GE11" i="30"/>
  <c r="FX11" i="30"/>
  <c r="FI11" i="30"/>
  <c r="FG11" i="30"/>
  <c r="EW11" i="30"/>
  <c r="DV11" i="30"/>
  <c r="CZ11" i="30"/>
  <c r="CW11" i="30"/>
  <c r="CT11" i="30"/>
  <c r="CJ11" i="30"/>
  <c r="BP11" i="30"/>
  <c r="BO11" i="30" s="1"/>
  <c r="AL11" i="30"/>
  <c r="AH11" i="30"/>
  <c r="T11" i="30"/>
  <c r="G11" i="30"/>
  <c r="D11" i="30"/>
  <c r="GE10" i="30"/>
  <c r="FX10" i="30"/>
  <c r="FI10" i="30"/>
  <c r="EW10" i="30"/>
  <c r="FG10" i="30" s="1"/>
  <c r="EP10" i="30"/>
  <c r="DV10" i="30"/>
  <c r="CZ10" i="30"/>
  <c r="CW10" i="30"/>
  <c r="CT10" i="30"/>
  <c r="CJ10" i="30"/>
  <c r="BP10" i="30"/>
  <c r="BO10" i="30"/>
  <c r="AL10" i="30"/>
  <c r="AH10" i="30"/>
  <c r="T10" i="30"/>
  <c r="G10" i="30"/>
  <c r="D10" i="30"/>
  <c r="GE9" i="30"/>
  <c r="FX9" i="30"/>
  <c r="FI9" i="30"/>
  <c r="EW9" i="30"/>
  <c r="FG9" i="30" s="1"/>
  <c r="DV9" i="30"/>
  <c r="CZ9" i="30"/>
  <c r="CW9" i="30"/>
  <c r="CT9" i="30"/>
  <c r="CJ9" i="30"/>
  <c r="BP9" i="30"/>
  <c r="BO9" i="30"/>
  <c r="AL9" i="30"/>
  <c r="AH9" i="30"/>
  <c r="T9" i="30"/>
  <c r="EP9" i="30" s="1"/>
  <c r="G9" i="30"/>
  <c r="D9" i="30"/>
  <c r="GE8" i="30"/>
  <c r="FX8" i="30"/>
  <c r="FI8" i="30"/>
  <c r="FG8" i="30"/>
  <c r="EW8" i="30"/>
  <c r="DV8" i="30"/>
  <c r="CZ8" i="30"/>
  <c r="CW8" i="30"/>
  <c r="CT8" i="30"/>
  <c r="CJ8" i="30"/>
  <c r="BP8" i="30"/>
  <c r="BO8" i="30" s="1"/>
  <c r="AL8" i="30"/>
  <c r="AH8" i="30"/>
  <c r="T8" i="30"/>
  <c r="EP8" i="30" s="1"/>
  <c r="G8" i="30"/>
  <c r="D8" i="30"/>
  <c r="GE7" i="30"/>
  <c r="FX7" i="30"/>
  <c r="FI7" i="30"/>
  <c r="FG7" i="30"/>
  <c r="EW7" i="30"/>
  <c r="EP7" i="30"/>
  <c r="DV7" i="30"/>
  <c r="CZ7" i="30"/>
  <c r="CW7" i="30"/>
  <c r="CT7" i="30"/>
  <c r="CJ7" i="30"/>
  <c r="BP7" i="30"/>
  <c r="BO7" i="30" s="1"/>
  <c r="AL7" i="30"/>
  <c r="AH7" i="30"/>
  <c r="T7" i="30"/>
  <c r="G7" i="30"/>
  <c r="D7" i="30"/>
  <c r="GE6" i="30"/>
  <c r="FX6" i="30"/>
  <c r="FI6" i="30"/>
  <c r="EW6" i="30"/>
  <c r="FG6" i="30" s="1"/>
  <c r="DV6" i="30"/>
  <c r="CZ6" i="30"/>
  <c r="CW6" i="30"/>
  <c r="CT6" i="30"/>
  <c r="CJ6" i="30"/>
  <c r="BP6" i="30"/>
  <c r="BO6" i="30"/>
  <c r="AL6" i="30"/>
  <c r="AH6" i="30"/>
  <c r="T6" i="30"/>
  <c r="EP6" i="30" s="1"/>
  <c r="G6" i="30"/>
  <c r="D6" i="30"/>
  <c r="FJ52" i="29"/>
  <c r="GB50" i="29"/>
  <c r="GA50" i="29"/>
  <c r="FD50" i="29"/>
  <c r="FC50" i="29"/>
  <c r="EM50" i="29"/>
  <c r="EA50" i="29"/>
  <c r="DL50" i="29"/>
  <c r="DD50" i="29"/>
  <c r="CV50" i="29"/>
  <c r="CN50" i="29"/>
  <c r="CI50" i="29"/>
  <c r="CF50" i="29"/>
  <c r="BZ50" i="29"/>
  <c r="BX50" i="29"/>
  <c r="BM50" i="29"/>
  <c r="BL50" i="29"/>
  <c r="BI50" i="29"/>
  <c r="BG50" i="29"/>
  <c r="BE50" i="29"/>
  <c r="AY50" i="29"/>
  <c r="AQ50" i="29"/>
  <c r="AO50" i="29"/>
  <c r="AK50" i="29"/>
  <c r="AI50" i="29"/>
  <c r="AG50" i="29"/>
  <c r="AB50" i="29"/>
  <c r="AA50" i="29"/>
  <c r="Y50" i="29"/>
  <c r="P50" i="29"/>
  <c r="N50" i="29"/>
  <c r="M50" i="29"/>
  <c r="H50" i="29"/>
  <c r="F50" i="29"/>
  <c r="GI49" i="29"/>
  <c r="GI50" i="29" s="1"/>
  <c r="GE49" i="29"/>
  <c r="GD49" i="29"/>
  <c r="GC49" i="29"/>
  <c r="GB49" i="29"/>
  <c r="GA49" i="29"/>
  <c r="FZ49" i="29"/>
  <c r="FY49" i="29"/>
  <c r="FX49" i="29"/>
  <c r="FW49" i="29"/>
  <c r="FW50" i="29" s="1"/>
  <c r="FM49" i="29"/>
  <c r="FL49" i="29"/>
  <c r="FK49" i="29"/>
  <c r="FK50" i="29" s="1"/>
  <c r="FJ49" i="29"/>
  <c r="FJ50" i="29" s="1"/>
  <c r="FH49" i="29"/>
  <c r="FF49" i="29"/>
  <c r="FF50" i="29" s="1"/>
  <c r="FE49" i="29"/>
  <c r="FD49" i="29"/>
  <c r="FC49" i="29"/>
  <c r="FA49" i="29"/>
  <c r="FA50" i="29" s="1"/>
  <c r="EZ49" i="29"/>
  <c r="EY49" i="29"/>
  <c r="EX49" i="29"/>
  <c r="EX50" i="29" s="1"/>
  <c r="EW50" i="29" s="1"/>
  <c r="EW49" i="29"/>
  <c r="EV49" i="29"/>
  <c r="EU49" i="29"/>
  <c r="ET49" i="29"/>
  <c r="ET50" i="29" s="1"/>
  <c r="ES49" i="29"/>
  <c r="ES50" i="29" s="1"/>
  <c r="ER49" i="29"/>
  <c r="EQ49" i="29"/>
  <c r="EO49" i="29"/>
  <c r="EN49" i="29"/>
  <c r="EM49" i="29"/>
  <c r="EL49" i="29"/>
  <c r="EL50" i="29" s="1"/>
  <c r="EJ49" i="29"/>
  <c r="EJ50" i="29" s="1"/>
  <c r="EI49" i="29"/>
  <c r="EH49" i="29"/>
  <c r="EG49" i="29"/>
  <c r="EF49" i="29"/>
  <c r="EF50" i="29" s="1"/>
  <c r="ED49" i="29"/>
  <c r="ED50" i="29" s="1"/>
  <c r="EC49" i="29"/>
  <c r="EB49" i="29"/>
  <c r="EB50" i="29" s="1"/>
  <c r="EA49" i="29"/>
  <c r="DZ49" i="29"/>
  <c r="DY49" i="29"/>
  <c r="DX49" i="29"/>
  <c r="DW49" i="29"/>
  <c r="DV49" i="29"/>
  <c r="DU49" i="29"/>
  <c r="DT49" i="29"/>
  <c r="DS49" i="29"/>
  <c r="DS50" i="29" s="1"/>
  <c r="DR49" i="29"/>
  <c r="DQ49" i="29"/>
  <c r="DP49" i="29"/>
  <c r="DO49" i="29"/>
  <c r="DO50" i="29" s="1"/>
  <c r="DN49" i="29"/>
  <c r="DN50" i="29" s="1"/>
  <c r="DM49" i="29"/>
  <c r="DL49" i="29"/>
  <c r="DK49" i="29"/>
  <c r="DJ49" i="29"/>
  <c r="DI49" i="29"/>
  <c r="DH49" i="29"/>
  <c r="DG49" i="29"/>
  <c r="DF49" i="29"/>
  <c r="DE49" i="29"/>
  <c r="DD49" i="29"/>
  <c r="DC49" i="29"/>
  <c r="DB49" i="29"/>
  <c r="DA49" i="29"/>
  <c r="CZ49" i="29"/>
  <c r="CY49" i="29"/>
  <c r="CY50" i="29" s="1"/>
  <c r="CX49" i="29"/>
  <c r="CV49" i="29"/>
  <c r="CU49" i="29"/>
  <c r="CT49" i="29" s="1"/>
  <c r="CS49" i="29"/>
  <c r="CR49" i="29"/>
  <c r="CQ49" i="29"/>
  <c r="CP49" i="29"/>
  <c r="CP50" i="29" s="1"/>
  <c r="CO49" i="29"/>
  <c r="CN49" i="29"/>
  <c r="CM49" i="29"/>
  <c r="CM50" i="29" s="1"/>
  <c r="CL49" i="29"/>
  <c r="CK49" i="29"/>
  <c r="CI49" i="29"/>
  <c r="CH49" i="29"/>
  <c r="CJ49" i="29" s="1"/>
  <c r="CG49" i="29"/>
  <c r="CF49" i="29"/>
  <c r="CE49" i="29"/>
  <c r="CE50" i="29" s="1"/>
  <c r="CD49" i="29"/>
  <c r="CC49" i="29"/>
  <c r="CB49" i="29"/>
  <c r="CA49" i="29"/>
  <c r="CA50" i="29" s="1"/>
  <c r="BZ49" i="29"/>
  <c r="BY49" i="29"/>
  <c r="BX49" i="29"/>
  <c r="BW49" i="29"/>
  <c r="BW50" i="29" s="1"/>
  <c r="BU49" i="29"/>
  <c r="BT49" i="29"/>
  <c r="BS49" i="29"/>
  <c r="BR49" i="29"/>
  <c r="BR50" i="29" s="1"/>
  <c r="BQ49" i="29"/>
  <c r="BQ50" i="29" s="1"/>
  <c r="BP49" i="29"/>
  <c r="BN49" i="29"/>
  <c r="BO49" i="29" s="1"/>
  <c r="BM49" i="29"/>
  <c r="BL49" i="29"/>
  <c r="BK49" i="29"/>
  <c r="BJ49" i="29"/>
  <c r="BI49" i="29"/>
  <c r="BH49" i="29"/>
  <c r="BG49" i="29"/>
  <c r="BF49" i="29"/>
  <c r="BE49" i="29"/>
  <c r="BD49" i="29"/>
  <c r="BC49" i="29"/>
  <c r="BB49" i="29"/>
  <c r="BA49" i="29"/>
  <c r="AZ49" i="29"/>
  <c r="AZ50" i="29" s="1"/>
  <c r="AY49" i="29"/>
  <c r="AX49" i="29"/>
  <c r="AX50" i="29" s="1"/>
  <c r="AW49" i="29"/>
  <c r="AV49" i="29"/>
  <c r="AU49" i="29"/>
  <c r="AT49" i="29"/>
  <c r="AS49" i="29"/>
  <c r="AS50" i="29" s="1"/>
  <c r="AR49" i="29"/>
  <c r="AQ49" i="29"/>
  <c r="AP49" i="29"/>
  <c r="AL49" i="29" s="1"/>
  <c r="AO49" i="29"/>
  <c r="AN49" i="29"/>
  <c r="AM49" i="29"/>
  <c r="AK49" i="29"/>
  <c r="AJ49" i="29"/>
  <c r="AI49" i="29"/>
  <c r="AH49" i="29"/>
  <c r="AG49" i="29"/>
  <c r="AF49" i="29"/>
  <c r="AE49" i="29"/>
  <c r="AD49" i="29"/>
  <c r="AC49" i="29"/>
  <c r="AC50" i="29" s="1"/>
  <c r="AB49" i="29"/>
  <c r="AA49" i="29"/>
  <c r="Z49" i="29"/>
  <c r="T49" i="29" s="1"/>
  <c r="Y49" i="29"/>
  <c r="X49" i="29"/>
  <c r="U49" i="29"/>
  <c r="R49" i="29"/>
  <c r="Q49" i="29"/>
  <c r="Q50" i="29" s="1"/>
  <c r="P49" i="29"/>
  <c r="O49" i="29"/>
  <c r="N49" i="29"/>
  <c r="M49" i="29"/>
  <c r="L49" i="29"/>
  <c r="K49" i="29"/>
  <c r="J49" i="29"/>
  <c r="J50" i="29" s="1"/>
  <c r="I49" i="29"/>
  <c r="H49" i="29"/>
  <c r="G49" i="29"/>
  <c r="F49" i="29"/>
  <c r="E49" i="29"/>
  <c r="D49" i="29" s="1"/>
  <c r="C49" i="29"/>
  <c r="GE48" i="29"/>
  <c r="FX48" i="29"/>
  <c r="FI48" i="29"/>
  <c r="FG48" i="29"/>
  <c r="EW48" i="29"/>
  <c r="EP48" i="29"/>
  <c r="DV48" i="29"/>
  <c r="CZ48" i="29"/>
  <c r="CW48" i="29"/>
  <c r="CT48" i="29"/>
  <c r="CJ48" i="29"/>
  <c r="BP48" i="29"/>
  <c r="BO48" i="29" s="1"/>
  <c r="AL48" i="29"/>
  <c r="AH48" i="29"/>
  <c r="T48" i="29"/>
  <c r="G48" i="29"/>
  <c r="D48" i="29"/>
  <c r="FX47" i="29"/>
  <c r="FI47" i="29"/>
  <c r="EW47" i="29"/>
  <c r="FG47" i="29" s="1"/>
  <c r="EP47" i="29"/>
  <c r="DV47" i="29"/>
  <c r="CZ47" i="29"/>
  <c r="CW47" i="29"/>
  <c r="CT47" i="29"/>
  <c r="CJ47" i="29"/>
  <c r="BP47" i="29"/>
  <c r="BO47" i="29"/>
  <c r="AL47" i="29"/>
  <c r="AH47" i="29"/>
  <c r="T47" i="29"/>
  <c r="G47" i="29"/>
  <c r="D47" i="29"/>
  <c r="GE46" i="29"/>
  <c r="FX46" i="29"/>
  <c r="FI46" i="29"/>
  <c r="EW46" i="29"/>
  <c r="FG46" i="29" s="1"/>
  <c r="DV46" i="29"/>
  <c r="CZ46" i="29"/>
  <c r="CW46" i="29"/>
  <c r="CT46" i="29"/>
  <c r="CJ46" i="29"/>
  <c r="BP46" i="29"/>
  <c r="BO46" i="29"/>
  <c r="AL46" i="29"/>
  <c r="AH46" i="29"/>
  <c r="T46" i="29"/>
  <c r="G46" i="29"/>
  <c r="D46" i="29"/>
  <c r="GE45" i="29"/>
  <c r="FX45" i="29"/>
  <c r="FI45" i="29"/>
  <c r="EW45" i="29"/>
  <c r="FG45" i="29" s="1"/>
  <c r="EP45" i="29"/>
  <c r="DV45" i="29"/>
  <c r="CZ45" i="29"/>
  <c r="CW45" i="29"/>
  <c r="CT45" i="29"/>
  <c r="CJ45" i="29"/>
  <c r="BP45" i="29"/>
  <c r="BO45" i="29"/>
  <c r="AL45" i="29"/>
  <c r="AH45" i="29"/>
  <c r="T45" i="29"/>
  <c r="G45" i="29"/>
  <c r="D45" i="29"/>
  <c r="FX44" i="29"/>
  <c r="FI44" i="29"/>
  <c r="FG44" i="29"/>
  <c r="EW44" i="29"/>
  <c r="DV44" i="29"/>
  <c r="CZ44" i="29"/>
  <c r="CW44" i="29"/>
  <c r="CT44" i="29"/>
  <c r="CJ44" i="29"/>
  <c r="BP44" i="29"/>
  <c r="BO44" i="29" s="1"/>
  <c r="AL44" i="29"/>
  <c r="AH44" i="29"/>
  <c r="T44" i="29"/>
  <c r="EP44" i="29" s="1"/>
  <c r="G44" i="29"/>
  <c r="D44" i="29"/>
  <c r="GE43" i="29"/>
  <c r="FX43" i="29"/>
  <c r="FI43" i="29"/>
  <c r="FG43" i="29"/>
  <c r="EW43" i="29"/>
  <c r="EP43" i="29"/>
  <c r="DV43" i="29"/>
  <c r="CZ43" i="29"/>
  <c r="CW43" i="29"/>
  <c r="CT43" i="29"/>
  <c r="CJ43" i="29"/>
  <c r="BP43" i="29"/>
  <c r="BO43" i="29" s="1"/>
  <c r="AL43" i="29"/>
  <c r="AH43" i="29"/>
  <c r="T43" i="29"/>
  <c r="G43" i="29"/>
  <c r="D43" i="29"/>
  <c r="GE42" i="29"/>
  <c r="FX42" i="29"/>
  <c r="FI42" i="29"/>
  <c r="EW42" i="29"/>
  <c r="FG42" i="29" s="1"/>
  <c r="EP42" i="29"/>
  <c r="DV42" i="29"/>
  <c r="CZ42" i="29"/>
  <c r="CW42" i="29"/>
  <c r="CT42" i="29"/>
  <c r="CJ42" i="29"/>
  <c r="BP42" i="29"/>
  <c r="BO42" i="29"/>
  <c r="AL42" i="29"/>
  <c r="AH42" i="29"/>
  <c r="T42" i="29"/>
  <c r="G42" i="29"/>
  <c r="D42" i="29"/>
  <c r="FX41" i="29"/>
  <c r="FI41" i="29"/>
  <c r="EW41" i="29"/>
  <c r="FG41" i="29" s="1"/>
  <c r="DV41" i="29"/>
  <c r="CZ41" i="29"/>
  <c r="CW41" i="29"/>
  <c r="CT41" i="29"/>
  <c r="CJ41" i="29"/>
  <c r="BP41" i="29"/>
  <c r="BO41" i="29"/>
  <c r="AL41" i="29"/>
  <c r="AH41" i="29"/>
  <c r="T41" i="29"/>
  <c r="EP41" i="29" s="1"/>
  <c r="G41" i="29"/>
  <c r="D41" i="29"/>
  <c r="FX40" i="29"/>
  <c r="FI40" i="29"/>
  <c r="FG40" i="29"/>
  <c r="EW40" i="29"/>
  <c r="DV40" i="29"/>
  <c r="CZ40" i="29"/>
  <c r="CW40" i="29"/>
  <c r="CT40" i="29"/>
  <c r="CJ40" i="29"/>
  <c r="BP40" i="29"/>
  <c r="BO40" i="29"/>
  <c r="AL40" i="29"/>
  <c r="AH40" i="29"/>
  <c r="T40" i="29"/>
  <c r="EP40" i="29" s="1"/>
  <c r="G40" i="29"/>
  <c r="D40" i="29"/>
  <c r="FX39" i="29"/>
  <c r="FI39" i="29"/>
  <c r="FG39" i="29"/>
  <c r="EW39" i="29"/>
  <c r="EP39" i="29"/>
  <c r="DV39" i="29"/>
  <c r="CZ39" i="29"/>
  <c r="CW39" i="29"/>
  <c r="CT39" i="29"/>
  <c r="CJ39" i="29"/>
  <c r="BP39" i="29"/>
  <c r="BO39" i="29" s="1"/>
  <c r="AL39" i="29"/>
  <c r="AH39" i="29"/>
  <c r="T39" i="29"/>
  <c r="G39" i="29"/>
  <c r="D39" i="29"/>
  <c r="FX38" i="29"/>
  <c r="FI38" i="29"/>
  <c r="EW38" i="29"/>
  <c r="FG38" i="29" s="1"/>
  <c r="EP38" i="29"/>
  <c r="DV38" i="29"/>
  <c r="CZ38" i="29"/>
  <c r="CW38" i="29"/>
  <c r="CT38" i="29"/>
  <c r="CJ38" i="29"/>
  <c r="BP38" i="29"/>
  <c r="BO38" i="29"/>
  <c r="AL38" i="29"/>
  <c r="AH38" i="29"/>
  <c r="T38" i="29"/>
  <c r="G38" i="29"/>
  <c r="D38" i="29"/>
  <c r="GI37" i="29"/>
  <c r="GD37" i="29"/>
  <c r="GC37" i="29"/>
  <c r="GC50" i="29" s="1"/>
  <c r="GB37" i="29"/>
  <c r="GA37" i="29"/>
  <c r="FZ37" i="29"/>
  <c r="FZ50" i="29" s="1"/>
  <c r="FY37" i="29"/>
  <c r="FY50" i="29" s="1"/>
  <c r="FX37" i="29"/>
  <c r="FW37" i="29"/>
  <c r="FM37" i="29"/>
  <c r="FM50" i="29" s="1"/>
  <c r="FL37" i="29"/>
  <c r="FL50" i="29" s="1"/>
  <c r="FK37" i="29"/>
  <c r="FJ37" i="29"/>
  <c r="FH37" i="29"/>
  <c r="FF37" i="29"/>
  <c r="FE37" i="29"/>
  <c r="FD37" i="29"/>
  <c r="FC37" i="29"/>
  <c r="FA37" i="29"/>
  <c r="EZ37" i="29"/>
  <c r="EZ50" i="29" s="1"/>
  <c r="EY37" i="29"/>
  <c r="EY50" i="29" s="1"/>
  <c r="EX37" i="29"/>
  <c r="EW37" i="29" s="1"/>
  <c r="EV37" i="29"/>
  <c r="EU37" i="29"/>
  <c r="EU50" i="29" s="1"/>
  <c r="ET37" i="29"/>
  <c r="ES37" i="29"/>
  <c r="ER37" i="29"/>
  <c r="ER50" i="29" s="1"/>
  <c r="EQ37" i="29"/>
  <c r="EO37" i="29"/>
  <c r="EN37" i="29"/>
  <c r="EM37" i="29"/>
  <c r="EL37" i="29"/>
  <c r="EJ37" i="29"/>
  <c r="EI37" i="29"/>
  <c r="EI50" i="29" s="1"/>
  <c r="EH37" i="29"/>
  <c r="EG37" i="29"/>
  <c r="EG50" i="29" s="1"/>
  <c r="EF37" i="29"/>
  <c r="ED37" i="29"/>
  <c r="EC37" i="29"/>
  <c r="EC50" i="29" s="1"/>
  <c r="EB37" i="29"/>
  <c r="EA37" i="29"/>
  <c r="DZ37" i="29"/>
  <c r="DZ50" i="29" s="1"/>
  <c r="DY37" i="29"/>
  <c r="DY50" i="29" s="1"/>
  <c r="DX37" i="29"/>
  <c r="DV37" i="29" s="1"/>
  <c r="DW37" i="29"/>
  <c r="DU37" i="29"/>
  <c r="DU50" i="29" s="1"/>
  <c r="DT37" i="29"/>
  <c r="DT50" i="29" s="1"/>
  <c r="DS37" i="29"/>
  <c r="DR37" i="29"/>
  <c r="DR50" i="29" s="1"/>
  <c r="DQ37" i="29"/>
  <c r="DQ50" i="29" s="1"/>
  <c r="DP37" i="29"/>
  <c r="DP50" i="29" s="1"/>
  <c r="DO37" i="29"/>
  <c r="DN37" i="29"/>
  <c r="DM37" i="29"/>
  <c r="DM50" i="29" s="1"/>
  <c r="DL37" i="29"/>
  <c r="DK37" i="29"/>
  <c r="DJ37" i="29"/>
  <c r="DJ50" i="29" s="1"/>
  <c r="DI37" i="29"/>
  <c r="DI50" i="29" s="1"/>
  <c r="DH37" i="29"/>
  <c r="DH50" i="29" s="1"/>
  <c r="DG37" i="29"/>
  <c r="DF37" i="29"/>
  <c r="DE37" i="29"/>
  <c r="DE50" i="29" s="1"/>
  <c r="DD37" i="29"/>
  <c r="DC37" i="29"/>
  <c r="DC50" i="29" s="1"/>
  <c r="DB37" i="29"/>
  <c r="DB50" i="29" s="1"/>
  <c r="DA37" i="29"/>
  <c r="DA50" i="29" s="1"/>
  <c r="CZ50" i="29" s="1"/>
  <c r="CZ37" i="29"/>
  <c r="CY37" i="29"/>
  <c r="CX37" i="29"/>
  <c r="CW37" i="29"/>
  <c r="CV37" i="29"/>
  <c r="CU37" i="29"/>
  <c r="CT37" i="29"/>
  <c r="CS37" i="29"/>
  <c r="CS50" i="29" s="1"/>
  <c r="CR37" i="29"/>
  <c r="CR50" i="29" s="1"/>
  <c r="CQ37" i="29"/>
  <c r="CP37" i="29"/>
  <c r="CO37" i="29"/>
  <c r="CN37" i="29"/>
  <c r="CM37" i="29"/>
  <c r="CL37" i="29"/>
  <c r="CL50" i="29" s="1"/>
  <c r="CK37" i="29"/>
  <c r="CK50" i="29" s="1"/>
  <c r="CJ37" i="29"/>
  <c r="CI37" i="29"/>
  <c r="CH37" i="29"/>
  <c r="CG37" i="29"/>
  <c r="CG50" i="29" s="1"/>
  <c r="CF37" i="29"/>
  <c r="CE37" i="29"/>
  <c r="CD37" i="29"/>
  <c r="CD50" i="29" s="1"/>
  <c r="CC37" i="29"/>
  <c r="CC50" i="29" s="1"/>
  <c r="CB37" i="29"/>
  <c r="CB50" i="29" s="1"/>
  <c r="CA37" i="29"/>
  <c r="BZ37" i="29"/>
  <c r="BY37" i="29"/>
  <c r="BY50" i="29" s="1"/>
  <c r="BX37" i="29"/>
  <c r="BW37" i="29"/>
  <c r="BU37" i="29"/>
  <c r="BU50" i="29" s="1"/>
  <c r="BT37" i="29"/>
  <c r="BT50" i="29" s="1"/>
  <c r="BS37" i="29"/>
  <c r="BR37" i="29"/>
  <c r="BQ37" i="29"/>
  <c r="BN37" i="29"/>
  <c r="BM37" i="29"/>
  <c r="BL37" i="29"/>
  <c r="BK37" i="29"/>
  <c r="BK50" i="29" s="1"/>
  <c r="BJ37" i="29"/>
  <c r="BJ50" i="29" s="1"/>
  <c r="BI37" i="29"/>
  <c r="BH37" i="29"/>
  <c r="BH50" i="29" s="1"/>
  <c r="BG37" i="29"/>
  <c r="BF37" i="29"/>
  <c r="BE37" i="29"/>
  <c r="BD37" i="29"/>
  <c r="BD50" i="29" s="1"/>
  <c r="BC37" i="29"/>
  <c r="BC50" i="29" s="1"/>
  <c r="BB37" i="29"/>
  <c r="BB50" i="29" s="1"/>
  <c r="BA37" i="29"/>
  <c r="AZ37" i="29"/>
  <c r="AY37" i="29"/>
  <c r="AX37" i="29"/>
  <c r="AW37" i="29"/>
  <c r="AW50" i="29" s="1"/>
  <c r="AV37" i="29"/>
  <c r="AV50" i="29" s="1"/>
  <c r="AU37" i="29"/>
  <c r="AU50" i="29" s="1"/>
  <c r="AT37" i="29"/>
  <c r="AT50" i="29" s="1"/>
  <c r="AS37" i="29"/>
  <c r="AR37" i="29"/>
  <c r="AQ37" i="29"/>
  <c r="AP37" i="29"/>
  <c r="AO37" i="29"/>
  <c r="AN37" i="29"/>
  <c r="AN50" i="29" s="1"/>
  <c r="AM37" i="29"/>
  <c r="AM50" i="29" s="1"/>
  <c r="AL37" i="29"/>
  <c r="AK37" i="29"/>
  <c r="AJ37" i="29"/>
  <c r="AJ50" i="29" s="1"/>
  <c r="AH50" i="29" s="1"/>
  <c r="AI37" i="29"/>
  <c r="AH37" i="29"/>
  <c r="AG37" i="29"/>
  <c r="AF37" i="29"/>
  <c r="AF50" i="29" s="1"/>
  <c r="AE37" i="29"/>
  <c r="AE50" i="29" s="1"/>
  <c r="AD37" i="29"/>
  <c r="AD50" i="29" s="1"/>
  <c r="AC37" i="29"/>
  <c r="AB37" i="29"/>
  <c r="AA37" i="29"/>
  <c r="Z37" i="29"/>
  <c r="Y37" i="29"/>
  <c r="X37" i="29"/>
  <c r="X50" i="29" s="1"/>
  <c r="U37" i="29"/>
  <c r="U50" i="29" s="1"/>
  <c r="T37" i="29"/>
  <c r="R37" i="29"/>
  <c r="Q37" i="29"/>
  <c r="P37" i="29"/>
  <c r="O37" i="29"/>
  <c r="N37" i="29"/>
  <c r="M37" i="29"/>
  <c r="L37" i="29"/>
  <c r="L50" i="29" s="1"/>
  <c r="K37" i="29"/>
  <c r="K50" i="29" s="1"/>
  <c r="J37" i="29"/>
  <c r="I37" i="29"/>
  <c r="H37" i="29"/>
  <c r="G37" i="29"/>
  <c r="F37" i="29"/>
  <c r="E37" i="29"/>
  <c r="E50" i="29" s="1"/>
  <c r="D50" i="29" s="1"/>
  <c r="D37" i="29"/>
  <c r="C37" i="29"/>
  <c r="C50" i="29" s="1"/>
  <c r="GE36" i="29"/>
  <c r="FX36" i="29"/>
  <c r="FI36" i="29"/>
  <c r="FG36" i="29"/>
  <c r="EW36" i="29"/>
  <c r="DV36" i="29"/>
  <c r="CZ36" i="29"/>
  <c r="CW36" i="29"/>
  <c r="CT36" i="29"/>
  <c r="CJ36" i="29"/>
  <c r="BP36" i="29"/>
  <c r="BO36" i="29" s="1"/>
  <c r="AL36" i="29"/>
  <c r="AH36" i="29"/>
  <c r="T36" i="29"/>
  <c r="EP36" i="29" s="1"/>
  <c r="G36" i="29"/>
  <c r="D36" i="29"/>
  <c r="GE35" i="29"/>
  <c r="FX35" i="29"/>
  <c r="FI35" i="29"/>
  <c r="EW35" i="29"/>
  <c r="FG35" i="29" s="1"/>
  <c r="EP35" i="29"/>
  <c r="DV35" i="29"/>
  <c r="CZ35" i="29"/>
  <c r="CW35" i="29"/>
  <c r="CT35" i="29"/>
  <c r="CJ35" i="29"/>
  <c r="BP35" i="29"/>
  <c r="BO35" i="29"/>
  <c r="AL35" i="29"/>
  <c r="AH35" i="29"/>
  <c r="T35" i="29"/>
  <c r="G35" i="29"/>
  <c r="D35" i="29"/>
  <c r="GE34" i="29"/>
  <c r="FX34" i="29"/>
  <c r="FI34" i="29"/>
  <c r="FG34" i="29"/>
  <c r="EW34" i="29"/>
  <c r="DV34" i="29"/>
  <c r="CZ34" i="29"/>
  <c r="CW34" i="29"/>
  <c r="CT34" i="29"/>
  <c r="CJ34" i="29"/>
  <c r="BP34" i="29"/>
  <c r="BO34" i="29" s="1"/>
  <c r="AL34" i="29"/>
  <c r="AH34" i="29"/>
  <c r="T34" i="29"/>
  <c r="EP34" i="29" s="1"/>
  <c r="G34" i="29"/>
  <c r="D34" i="29"/>
  <c r="GE33" i="29"/>
  <c r="FX33" i="29"/>
  <c r="FI33" i="29"/>
  <c r="FG33" i="29"/>
  <c r="EW33" i="29"/>
  <c r="DV33" i="29"/>
  <c r="CZ33" i="29"/>
  <c r="CW33" i="29"/>
  <c r="CT33" i="29"/>
  <c r="CJ33" i="29"/>
  <c r="BP33" i="29"/>
  <c r="AL33" i="29"/>
  <c r="AH33" i="29"/>
  <c r="T33" i="29"/>
  <c r="G33" i="29"/>
  <c r="D33" i="29"/>
  <c r="GE32" i="29"/>
  <c r="FX32" i="29"/>
  <c r="FI32" i="29"/>
  <c r="EW32" i="29"/>
  <c r="FG32" i="29" s="1"/>
  <c r="DV32" i="29"/>
  <c r="CZ32" i="29"/>
  <c r="CW32" i="29"/>
  <c r="CT32" i="29"/>
  <c r="CJ32" i="29"/>
  <c r="BP32" i="29"/>
  <c r="BO32" i="29" s="1"/>
  <c r="AL32" i="29"/>
  <c r="AH32" i="29"/>
  <c r="T32" i="29"/>
  <c r="G32" i="29"/>
  <c r="D32" i="29"/>
  <c r="GE31" i="29"/>
  <c r="FX31" i="29"/>
  <c r="FI31" i="29"/>
  <c r="EW31" i="29"/>
  <c r="FG31" i="29" s="1"/>
  <c r="EP31" i="29"/>
  <c r="DV31" i="29"/>
  <c r="CZ31" i="29"/>
  <c r="CW31" i="29"/>
  <c r="CT31" i="29"/>
  <c r="CJ31" i="29"/>
  <c r="BP31" i="29"/>
  <c r="BO31" i="29"/>
  <c r="AL31" i="29"/>
  <c r="AH31" i="29"/>
  <c r="T31" i="29"/>
  <c r="G31" i="29"/>
  <c r="D31" i="29"/>
  <c r="GE30" i="29"/>
  <c r="FX30" i="29"/>
  <c r="FI30" i="29"/>
  <c r="EW30" i="29"/>
  <c r="FG30" i="29" s="1"/>
  <c r="DV30" i="29"/>
  <c r="CZ30" i="29"/>
  <c r="CW30" i="29"/>
  <c r="CT30" i="29"/>
  <c r="CJ30" i="29"/>
  <c r="BP30" i="29"/>
  <c r="BO30" i="29"/>
  <c r="AL30" i="29"/>
  <c r="AH30" i="29"/>
  <c r="T30" i="29"/>
  <c r="EP30" i="29" s="1"/>
  <c r="G30" i="29"/>
  <c r="D30" i="29"/>
  <c r="GE29" i="29"/>
  <c r="FX29" i="29"/>
  <c r="FI29" i="29"/>
  <c r="FG29" i="29"/>
  <c r="EW29" i="29"/>
  <c r="DV29" i="29"/>
  <c r="CZ29" i="29"/>
  <c r="CW29" i="29"/>
  <c r="CT29" i="29"/>
  <c r="CJ29" i="29"/>
  <c r="BP29" i="29"/>
  <c r="BO29" i="29" s="1"/>
  <c r="AL29" i="29"/>
  <c r="AH29" i="29"/>
  <c r="T29" i="29"/>
  <c r="EP29" i="29" s="1"/>
  <c r="G29" i="29"/>
  <c r="D29" i="29"/>
  <c r="GE28" i="29"/>
  <c r="FX28" i="29"/>
  <c r="FI28" i="29"/>
  <c r="EW28" i="29"/>
  <c r="FG28" i="29" s="1"/>
  <c r="EP28" i="29"/>
  <c r="DV28" i="29"/>
  <c r="CZ28" i="29"/>
  <c r="CW28" i="29"/>
  <c r="CT28" i="29"/>
  <c r="CJ28" i="29"/>
  <c r="BP28" i="29"/>
  <c r="BO28" i="29"/>
  <c r="AL28" i="29"/>
  <c r="AH28" i="29"/>
  <c r="T28" i="29"/>
  <c r="G28" i="29"/>
  <c r="D28" i="29"/>
  <c r="GE27" i="29"/>
  <c r="FX27" i="29"/>
  <c r="FI27" i="29"/>
  <c r="FG27" i="29"/>
  <c r="EW27" i="29"/>
  <c r="DV27" i="29"/>
  <c r="CZ27" i="29"/>
  <c r="CW27" i="29"/>
  <c r="CT27" i="29"/>
  <c r="CJ27" i="29"/>
  <c r="BP27" i="29"/>
  <c r="BO27" i="29" s="1"/>
  <c r="AL27" i="29"/>
  <c r="AH27" i="29"/>
  <c r="T27" i="29"/>
  <c r="EP27" i="29" s="1"/>
  <c r="G27" i="29"/>
  <c r="D27" i="29"/>
  <c r="GE26" i="29"/>
  <c r="FX26" i="29"/>
  <c r="FI26" i="29"/>
  <c r="FG26" i="29"/>
  <c r="EW26" i="29"/>
  <c r="DV26" i="29"/>
  <c r="CZ26" i="29"/>
  <c r="CW26" i="29"/>
  <c r="CT26" i="29"/>
  <c r="CJ26" i="29"/>
  <c r="BP26" i="29"/>
  <c r="BO26" i="29" s="1"/>
  <c r="AL26" i="29"/>
  <c r="AH26" i="29"/>
  <c r="T26" i="29"/>
  <c r="EP26" i="29" s="1"/>
  <c r="G26" i="29"/>
  <c r="D26" i="29"/>
  <c r="GE25" i="29"/>
  <c r="FX25" i="29"/>
  <c r="FI25" i="29"/>
  <c r="FG25" i="29"/>
  <c r="EW25" i="29"/>
  <c r="EP25" i="29"/>
  <c r="DV25" i="29"/>
  <c r="CZ25" i="29"/>
  <c r="CW25" i="29"/>
  <c r="CT25" i="29"/>
  <c r="CJ25" i="29"/>
  <c r="BP25" i="29"/>
  <c r="BO25" i="29" s="1"/>
  <c r="AL25" i="29"/>
  <c r="AH25" i="29"/>
  <c r="T25" i="29"/>
  <c r="G25" i="29"/>
  <c r="D25" i="29"/>
  <c r="GE24" i="29"/>
  <c r="FX24" i="29"/>
  <c r="FI24" i="29"/>
  <c r="EW24" i="29"/>
  <c r="FG24" i="29" s="1"/>
  <c r="EP24" i="29"/>
  <c r="DV24" i="29"/>
  <c r="CZ24" i="29"/>
  <c r="CW24" i="29"/>
  <c r="CT24" i="29"/>
  <c r="CJ24" i="29"/>
  <c r="BP24" i="29"/>
  <c r="BO24" i="29"/>
  <c r="AL24" i="29"/>
  <c r="AH24" i="29"/>
  <c r="T24" i="29"/>
  <c r="G24" i="29"/>
  <c r="D24" i="29"/>
  <c r="GE23" i="29"/>
  <c r="FX23" i="29"/>
  <c r="FI23" i="29"/>
  <c r="FG23" i="29"/>
  <c r="EW23" i="29"/>
  <c r="DV23" i="29"/>
  <c r="CZ23" i="29"/>
  <c r="CW23" i="29"/>
  <c r="CT23" i="29"/>
  <c r="CJ23" i="29"/>
  <c r="BP23" i="29"/>
  <c r="BO23" i="29"/>
  <c r="AL23" i="29"/>
  <c r="AH23" i="29"/>
  <c r="T23" i="29"/>
  <c r="EP23" i="29" s="1"/>
  <c r="G23" i="29"/>
  <c r="D23" i="29"/>
  <c r="GE22" i="29"/>
  <c r="FX22" i="29"/>
  <c r="FI22" i="29"/>
  <c r="EW22" i="29"/>
  <c r="FG22" i="29" s="1"/>
  <c r="EP22" i="29"/>
  <c r="DV22" i="29"/>
  <c r="CZ22" i="29"/>
  <c r="CW22" i="29"/>
  <c r="CT22" i="29"/>
  <c r="CJ22" i="29"/>
  <c r="BP22" i="29"/>
  <c r="BO22" i="29"/>
  <c r="AL22" i="29"/>
  <c r="AH22" i="29"/>
  <c r="T22" i="29"/>
  <c r="G22" i="29"/>
  <c r="D22" i="29"/>
  <c r="GE21" i="29"/>
  <c r="FX21" i="29"/>
  <c r="FI21" i="29"/>
  <c r="FG21" i="29"/>
  <c r="EW21" i="29"/>
  <c r="DV21" i="29"/>
  <c r="CZ21" i="29"/>
  <c r="CW21" i="29"/>
  <c r="CT21" i="29"/>
  <c r="CJ21" i="29"/>
  <c r="BP21" i="29"/>
  <c r="BO21" i="29" s="1"/>
  <c r="AL21" i="29"/>
  <c r="AH21" i="29"/>
  <c r="T21" i="29"/>
  <c r="EP21" i="29" s="1"/>
  <c r="G21" i="29"/>
  <c r="D21" i="29"/>
  <c r="GE20" i="29"/>
  <c r="FX20" i="29"/>
  <c r="FI20" i="29"/>
  <c r="FG20" i="29"/>
  <c r="EW20" i="29"/>
  <c r="EP20" i="29"/>
  <c r="DV20" i="29"/>
  <c r="CZ20" i="29"/>
  <c r="CW20" i="29"/>
  <c r="CT20" i="29"/>
  <c r="CJ20" i="29"/>
  <c r="BP20" i="29"/>
  <c r="BO20" i="29" s="1"/>
  <c r="AL20" i="29"/>
  <c r="AH20" i="29"/>
  <c r="T20" i="29"/>
  <c r="G20" i="29"/>
  <c r="D20" i="29"/>
  <c r="GE19" i="29"/>
  <c r="FX19" i="29"/>
  <c r="FI19" i="29"/>
  <c r="FG19" i="29"/>
  <c r="EW19" i="29"/>
  <c r="DV19" i="29"/>
  <c r="CZ19" i="29"/>
  <c r="CW19" i="29"/>
  <c r="CT19" i="29"/>
  <c r="CJ19" i="29"/>
  <c r="BP19" i="29"/>
  <c r="BO19" i="29" s="1"/>
  <c r="AL19" i="29"/>
  <c r="AH19" i="29"/>
  <c r="T19" i="29"/>
  <c r="G19" i="29"/>
  <c r="D19" i="29"/>
  <c r="GE18" i="29"/>
  <c r="FX18" i="29"/>
  <c r="FI18" i="29"/>
  <c r="FG18" i="29"/>
  <c r="EW18" i="29"/>
  <c r="DV18" i="29"/>
  <c r="CZ18" i="29"/>
  <c r="CW18" i="29"/>
  <c r="CT18" i="29"/>
  <c r="CJ18" i="29"/>
  <c r="BP18" i="29"/>
  <c r="BO18" i="29" s="1"/>
  <c r="AL18" i="29"/>
  <c r="AH18" i="29"/>
  <c r="T18" i="29"/>
  <c r="EP18" i="29" s="1"/>
  <c r="G18" i="29"/>
  <c r="D18" i="29"/>
  <c r="GE17" i="29"/>
  <c r="FX17" i="29"/>
  <c r="FI17" i="29"/>
  <c r="FG17" i="29"/>
  <c r="EW17" i="29"/>
  <c r="EP17" i="29"/>
  <c r="DV17" i="29"/>
  <c r="CZ17" i="29"/>
  <c r="CW17" i="29"/>
  <c r="CT17" i="29"/>
  <c r="CJ17" i="29"/>
  <c r="BP17" i="29"/>
  <c r="BO17" i="29" s="1"/>
  <c r="AL17" i="29"/>
  <c r="AH17" i="29"/>
  <c r="T17" i="29"/>
  <c r="G17" i="29"/>
  <c r="D17" i="29"/>
  <c r="GE16" i="29"/>
  <c r="FX16" i="29"/>
  <c r="FI16" i="29"/>
  <c r="EW16" i="29"/>
  <c r="FG16" i="29" s="1"/>
  <c r="DV16" i="29"/>
  <c r="CZ16" i="29"/>
  <c r="CW16" i="29"/>
  <c r="CT16" i="29"/>
  <c r="CJ16" i="29"/>
  <c r="BP16" i="29"/>
  <c r="BO16" i="29"/>
  <c r="AL16" i="29"/>
  <c r="AH16" i="29"/>
  <c r="T16" i="29"/>
  <c r="EP16" i="29" s="1"/>
  <c r="G16" i="29"/>
  <c r="D16" i="29"/>
  <c r="GE15" i="29"/>
  <c r="FX15" i="29"/>
  <c r="FI15" i="29"/>
  <c r="EW15" i="29"/>
  <c r="FG15" i="29" s="1"/>
  <c r="EP15" i="29"/>
  <c r="DV15" i="29"/>
  <c r="CZ15" i="29"/>
  <c r="CW15" i="29"/>
  <c r="CT15" i="29"/>
  <c r="CJ15" i="29"/>
  <c r="BP15" i="29"/>
  <c r="BO15" i="29"/>
  <c r="AL15" i="29"/>
  <c r="AH15" i="29"/>
  <c r="T15" i="29"/>
  <c r="G15" i="29"/>
  <c r="D15" i="29"/>
  <c r="GE14" i="29"/>
  <c r="FX14" i="29"/>
  <c r="FI14" i="29"/>
  <c r="EW14" i="29"/>
  <c r="FG14" i="29" s="1"/>
  <c r="DV14" i="29"/>
  <c r="CZ14" i="29"/>
  <c r="CW14" i="29"/>
  <c r="CT14" i="29"/>
  <c r="CJ14" i="29"/>
  <c r="BP14" i="29"/>
  <c r="BO14" i="29" s="1"/>
  <c r="AL14" i="29"/>
  <c r="AH14" i="29"/>
  <c r="T14" i="29"/>
  <c r="EP14" i="29" s="1"/>
  <c r="G14" i="29"/>
  <c r="D14" i="29"/>
  <c r="GE13" i="29"/>
  <c r="FX13" i="29"/>
  <c r="FI13" i="29"/>
  <c r="FG13" i="29"/>
  <c r="EW13" i="29"/>
  <c r="EP13" i="29"/>
  <c r="DV13" i="29"/>
  <c r="CZ13" i="29"/>
  <c r="CW13" i="29"/>
  <c r="CT13" i="29"/>
  <c r="CJ13" i="29"/>
  <c r="BP13" i="29"/>
  <c r="BO13" i="29" s="1"/>
  <c r="AL13" i="29"/>
  <c r="AH13" i="29"/>
  <c r="T13" i="29"/>
  <c r="G13" i="29"/>
  <c r="D13" i="29"/>
  <c r="GE12" i="29"/>
  <c r="FX12" i="29"/>
  <c r="FI12" i="29"/>
  <c r="EW12" i="29"/>
  <c r="FG12" i="29" s="1"/>
  <c r="DV12" i="29"/>
  <c r="CZ12" i="29"/>
  <c r="CW12" i="29"/>
  <c r="CT12" i="29"/>
  <c r="CJ12" i="29"/>
  <c r="BP12" i="29"/>
  <c r="BO12" i="29" s="1"/>
  <c r="AL12" i="29"/>
  <c r="AH12" i="29"/>
  <c r="T12" i="29"/>
  <c r="EP12" i="29" s="1"/>
  <c r="G12" i="29"/>
  <c r="D12" i="29"/>
  <c r="GE11" i="29"/>
  <c r="FX11" i="29"/>
  <c r="FI11" i="29"/>
  <c r="FG11" i="29"/>
  <c r="EW11" i="29"/>
  <c r="DV11" i="29"/>
  <c r="CZ11" i="29"/>
  <c r="CW11" i="29"/>
  <c r="CT11" i="29"/>
  <c r="CJ11" i="29"/>
  <c r="BP11" i="29"/>
  <c r="BO11" i="29" s="1"/>
  <c r="AL11" i="29"/>
  <c r="AH11" i="29"/>
  <c r="T11" i="29"/>
  <c r="EP11" i="29" s="1"/>
  <c r="G11" i="29"/>
  <c r="D11" i="29"/>
  <c r="GE10" i="29"/>
  <c r="FX10" i="29"/>
  <c r="FI10" i="29"/>
  <c r="EW10" i="29"/>
  <c r="FG10" i="29" s="1"/>
  <c r="DV10" i="29"/>
  <c r="CZ10" i="29"/>
  <c r="CW10" i="29"/>
  <c r="CT10" i="29"/>
  <c r="CJ10" i="29"/>
  <c r="BP10" i="29"/>
  <c r="BO10" i="29"/>
  <c r="AL10" i="29"/>
  <c r="AH10" i="29"/>
  <c r="T10" i="29"/>
  <c r="EP10" i="29" s="1"/>
  <c r="G10" i="29"/>
  <c r="D10" i="29"/>
  <c r="GE9" i="29"/>
  <c r="FX9" i="29"/>
  <c r="FI9" i="29"/>
  <c r="FG9" i="29"/>
  <c r="EW9" i="29"/>
  <c r="DV9" i="29"/>
  <c r="CZ9" i="29"/>
  <c r="CW9" i="29"/>
  <c r="CT9" i="29"/>
  <c r="CJ9" i="29"/>
  <c r="BP9" i="29"/>
  <c r="BO9" i="29" s="1"/>
  <c r="AL9" i="29"/>
  <c r="AH9" i="29"/>
  <c r="T9" i="29"/>
  <c r="EP9" i="29" s="1"/>
  <c r="G9" i="29"/>
  <c r="D9" i="29"/>
  <c r="GE8" i="29"/>
  <c r="FX8" i="29"/>
  <c r="FI8" i="29"/>
  <c r="EW8" i="29"/>
  <c r="FG8" i="29" s="1"/>
  <c r="EP8" i="29"/>
  <c r="DV8" i="29"/>
  <c r="CZ8" i="29"/>
  <c r="CW8" i="29"/>
  <c r="CT8" i="29"/>
  <c r="CJ8" i="29"/>
  <c r="BP8" i="29"/>
  <c r="BO8" i="29"/>
  <c r="AL8" i="29"/>
  <c r="AH8" i="29"/>
  <c r="T8" i="29"/>
  <c r="G8" i="29"/>
  <c r="D8" i="29"/>
  <c r="GE7" i="29"/>
  <c r="FX7" i="29"/>
  <c r="FI7" i="29"/>
  <c r="EW7" i="29"/>
  <c r="FG7" i="29" s="1"/>
  <c r="DV7" i="29"/>
  <c r="CZ7" i="29"/>
  <c r="CW7" i="29"/>
  <c r="CT7" i="29"/>
  <c r="CJ7" i="29"/>
  <c r="BP7" i="29"/>
  <c r="BO7" i="29"/>
  <c r="AL7" i="29"/>
  <c r="AH7" i="29"/>
  <c r="T7" i="29"/>
  <c r="G7" i="29"/>
  <c r="D7" i="29"/>
  <c r="GE6" i="29"/>
  <c r="FX6" i="29"/>
  <c r="FI6" i="29"/>
  <c r="EW6" i="29"/>
  <c r="FG6" i="29" s="1"/>
  <c r="EP6" i="29"/>
  <c r="DV6" i="29"/>
  <c r="CZ6" i="29"/>
  <c r="CW6" i="29"/>
  <c r="CT6" i="29"/>
  <c r="CJ6" i="29"/>
  <c r="BP6" i="29"/>
  <c r="BO6" i="29"/>
  <c r="AL6" i="29"/>
  <c r="AH6" i="29"/>
  <c r="T6" i="29"/>
  <c r="G6" i="29"/>
  <c r="D6" i="29"/>
  <c r="FJ52" i="28"/>
  <c r="GI50" i="28"/>
  <c r="FK50" i="28"/>
  <c r="EO50" i="28"/>
  <c r="EM50" i="28"/>
  <c r="EJ50" i="28"/>
  <c r="DZ50" i="28"/>
  <c r="DY50" i="28"/>
  <c r="DP50" i="28"/>
  <c r="DF50" i="28"/>
  <c r="CX50" i="28"/>
  <c r="CV50" i="28"/>
  <c r="CP50" i="28"/>
  <c r="CN50" i="28"/>
  <c r="CM50" i="28"/>
  <c r="CH50" i="28"/>
  <c r="CE50" i="28"/>
  <c r="CD50" i="28"/>
  <c r="BZ50" i="28"/>
  <c r="BU50" i="28"/>
  <c r="BS50" i="28"/>
  <c r="BK50" i="28"/>
  <c r="BH50" i="28"/>
  <c r="AR50" i="28"/>
  <c r="AJ50" i="28"/>
  <c r="AH50" i="28"/>
  <c r="AB50" i="28"/>
  <c r="Z50" i="28"/>
  <c r="Y50" i="28"/>
  <c r="Q50" i="28"/>
  <c r="N50" i="28"/>
  <c r="M50" i="28"/>
  <c r="I50" i="28"/>
  <c r="G50" i="28" s="1"/>
  <c r="E50" i="28"/>
  <c r="D50" i="28" s="1"/>
  <c r="GI49" i="28"/>
  <c r="GE49" i="28"/>
  <c r="GD49" i="28"/>
  <c r="GC49" i="28"/>
  <c r="GB49" i="28"/>
  <c r="GA49" i="28"/>
  <c r="FZ49" i="28"/>
  <c r="FY49" i="28"/>
  <c r="FW49" i="28"/>
  <c r="FM49" i="28"/>
  <c r="FL49" i="28"/>
  <c r="FK49" i="28"/>
  <c r="FJ49" i="28"/>
  <c r="FI49" i="28"/>
  <c r="FH49" i="28"/>
  <c r="FF49" i="28"/>
  <c r="FE49" i="28"/>
  <c r="FD49" i="28"/>
  <c r="FC49" i="28"/>
  <c r="FA49" i="28"/>
  <c r="EW49" i="28" s="1"/>
  <c r="EZ49" i="28"/>
  <c r="EY49" i="28"/>
  <c r="EX49" i="28"/>
  <c r="EV49" i="28"/>
  <c r="EU49" i="28"/>
  <c r="ET49" i="28"/>
  <c r="ES49" i="28"/>
  <c r="FG49" i="28" s="1"/>
  <c r="ER49" i="28"/>
  <c r="EQ49" i="28"/>
  <c r="EO49" i="28"/>
  <c r="EN49" i="28"/>
  <c r="EM49" i="28"/>
  <c r="EJ49" i="28"/>
  <c r="EI49" i="28"/>
  <c r="EH49" i="28"/>
  <c r="EG49" i="28"/>
  <c r="EF49" i="28"/>
  <c r="ED49" i="28"/>
  <c r="ED50" i="28" s="1"/>
  <c r="EC49" i="28"/>
  <c r="EB49" i="28"/>
  <c r="EA49" i="28"/>
  <c r="DZ49" i="28"/>
  <c r="DY49" i="28"/>
  <c r="DX49" i="28"/>
  <c r="DW49" i="28"/>
  <c r="DV49" i="28"/>
  <c r="DU49" i="28"/>
  <c r="DT49" i="28"/>
  <c r="DS49" i="28"/>
  <c r="DR49" i="28"/>
  <c r="DQ49" i="28"/>
  <c r="DP49" i="28"/>
  <c r="DO49" i="28"/>
  <c r="DN49" i="28"/>
  <c r="DM49" i="28"/>
  <c r="DL49" i="28"/>
  <c r="DK49" i="28"/>
  <c r="DJ49" i="28"/>
  <c r="DI49" i="28"/>
  <c r="DH49" i="28"/>
  <c r="DG49" i="28"/>
  <c r="DF49" i="28"/>
  <c r="DE49" i="28"/>
  <c r="DD49" i="28"/>
  <c r="DC49" i="28"/>
  <c r="DB49" i="28"/>
  <c r="DA49" i="28"/>
  <c r="CZ49" i="28" s="1"/>
  <c r="CY49" i="28"/>
  <c r="CX49" i="28"/>
  <c r="CW49" i="28" s="1"/>
  <c r="CV49" i="28"/>
  <c r="CU49" i="28"/>
  <c r="CT49" i="28"/>
  <c r="CS49" i="28"/>
  <c r="CR49" i="28"/>
  <c r="CQ49" i="28"/>
  <c r="CP49" i="28"/>
  <c r="CO49" i="28"/>
  <c r="CN49" i="28"/>
  <c r="CM49" i="28"/>
  <c r="CL49" i="28"/>
  <c r="CK49" i="28"/>
  <c r="CJ49" i="28"/>
  <c r="CI49" i="28"/>
  <c r="CH49" i="28"/>
  <c r="CG49" i="28"/>
  <c r="CF49" i="28"/>
  <c r="CE49" i="28"/>
  <c r="CD49" i="28"/>
  <c r="CC49" i="28"/>
  <c r="CB49" i="28"/>
  <c r="CA49" i="28"/>
  <c r="BZ49" i="28"/>
  <c r="BY49" i="28"/>
  <c r="BX49" i="28"/>
  <c r="BW49" i="28"/>
  <c r="BU49" i="28"/>
  <c r="BS49" i="28"/>
  <c r="BR49" i="28"/>
  <c r="BQ49" i="28"/>
  <c r="BN49" i="28"/>
  <c r="BM49" i="28"/>
  <c r="BL49" i="28"/>
  <c r="BK49" i="28"/>
  <c r="BJ49" i="28"/>
  <c r="BI49" i="28"/>
  <c r="BH49" i="28"/>
  <c r="BG49" i="28"/>
  <c r="BF49" i="28"/>
  <c r="BE49" i="28"/>
  <c r="BD49" i="28"/>
  <c r="BC49" i="28"/>
  <c r="BB49" i="28"/>
  <c r="BA49" i="28"/>
  <c r="AZ49" i="28"/>
  <c r="AY49" i="28"/>
  <c r="AX49" i="28"/>
  <c r="AW49" i="28"/>
  <c r="AV49" i="28"/>
  <c r="AU49" i="28"/>
  <c r="AT49" i="28"/>
  <c r="AS49" i="28"/>
  <c r="AR49" i="28"/>
  <c r="AQ49" i="28"/>
  <c r="AP49" i="28"/>
  <c r="AO49" i="28"/>
  <c r="AN49" i="28"/>
  <c r="AM49" i="28"/>
  <c r="AL49" i="28"/>
  <c r="AK49" i="28"/>
  <c r="AJ49" i="28"/>
  <c r="AI49" i="28"/>
  <c r="AH49" i="28"/>
  <c r="AG49" i="28"/>
  <c r="AF49" i="28"/>
  <c r="AE49" i="28"/>
  <c r="AD49" i="28"/>
  <c r="AC49" i="28"/>
  <c r="AB49" i="28"/>
  <c r="AA49" i="28"/>
  <c r="Z49" i="28"/>
  <c r="Y49" i="28"/>
  <c r="X49" i="28"/>
  <c r="U49" i="28"/>
  <c r="T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GE48" i="28"/>
  <c r="FX48" i="28"/>
  <c r="FI48" i="28"/>
  <c r="EW48" i="28"/>
  <c r="FG48" i="28" s="1"/>
  <c r="DV48" i="28"/>
  <c r="CZ48" i="28"/>
  <c r="CW48" i="28"/>
  <c r="CT48" i="28"/>
  <c r="CJ48" i="28"/>
  <c r="BP48" i="28"/>
  <c r="BO48" i="28"/>
  <c r="AL48" i="28"/>
  <c r="AH48" i="28"/>
  <c r="T48" i="28"/>
  <c r="EP48" i="28" s="1"/>
  <c r="G48" i="28"/>
  <c r="D48" i="28"/>
  <c r="FX47" i="28"/>
  <c r="FI47" i="28"/>
  <c r="FG47" i="28"/>
  <c r="EW47" i="28"/>
  <c r="DV47" i="28"/>
  <c r="CZ47" i="28"/>
  <c r="CW47" i="28"/>
  <c r="CT47" i="28"/>
  <c r="CJ47" i="28"/>
  <c r="BP47" i="28"/>
  <c r="BO47" i="28" s="1"/>
  <c r="AL47" i="28"/>
  <c r="AH47" i="28"/>
  <c r="T47" i="28"/>
  <c r="EP47" i="28" s="1"/>
  <c r="G47" i="28"/>
  <c r="D47" i="28"/>
  <c r="GE46" i="28"/>
  <c r="FX46" i="28"/>
  <c r="FI46" i="28"/>
  <c r="EW46" i="28"/>
  <c r="FG46" i="28" s="1"/>
  <c r="EP46" i="28"/>
  <c r="DV46" i="28"/>
  <c r="CZ46" i="28"/>
  <c r="CW46" i="28"/>
  <c r="CT46" i="28"/>
  <c r="CJ46" i="28"/>
  <c r="BP46" i="28"/>
  <c r="BO46" i="28"/>
  <c r="AL46" i="28"/>
  <c r="AH46" i="28"/>
  <c r="T46" i="28"/>
  <c r="G46" i="28"/>
  <c r="D46" i="28"/>
  <c r="GE45" i="28"/>
  <c r="FX45" i="28"/>
  <c r="FI45" i="28"/>
  <c r="FG45" i="28"/>
  <c r="EW45" i="28"/>
  <c r="DV45" i="28"/>
  <c r="CZ45" i="28"/>
  <c r="CW45" i="28"/>
  <c r="CT45" i="28"/>
  <c r="CJ45" i="28"/>
  <c r="BP45" i="28"/>
  <c r="BO45" i="28" s="1"/>
  <c r="AL45" i="28"/>
  <c r="AH45" i="28"/>
  <c r="T45" i="28"/>
  <c r="EP45" i="28" s="1"/>
  <c r="G45" i="28"/>
  <c r="D45" i="28"/>
  <c r="FX44" i="28"/>
  <c r="FI44" i="28"/>
  <c r="EW44" i="28"/>
  <c r="FG44" i="28" s="1"/>
  <c r="EP44" i="28"/>
  <c r="DV44" i="28"/>
  <c r="CZ44" i="28"/>
  <c r="CW44" i="28"/>
  <c r="CT44" i="28"/>
  <c r="CJ44" i="28"/>
  <c r="BP44" i="28"/>
  <c r="BO44" i="28"/>
  <c r="AL44" i="28"/>
  <c r="AH44" i="28"/>
  <c r="T44" i="28"/>
  <c r="G44" i="28"/>
  <c r="D44" i="28"/>
  <c r="GE43" i="28"/>
  <c r="FX43" i="28"/>
  <c r="FI43" i="28"/>
  <c r="EW43" i="28"/>
  <c r="FG43" i="28" s="1"/>
  <c r="DV43" i="28"/>
  <c r="CZ43" i="28"/>
  <c r="CW43" i="28"/>
  <c r="CT43" i="28"/>
  <c r="CJ43" i="28"/>
  <c r="BP43" i="28"/>
  <c r="BO43" i="28"/>
  <c r="AL43" i="28"/>
  <c r="AH43" i="28"/>
  <c r="T43" i="28"/>
  <c r="EP43" i="28" s="1"/>
  <c r="G43" i="28"/>
  <c r="D43" i="28"/>
  <c r="GE42" i="28"/>
  <c r="FX42" i="28"/>
  <c r="FI42" i="28"/>
  <c r="EW42" i="28"/>
  <c r="FG42" i="28" s="1"/>
  <c r="EP42" i="28"/>
  <c r="DV42" i="28"/>
  <c r="CZ42" i="28"/>
  <c r="CW42" i="28"/>
  <c r="CT42" i="28"/>
  <c r="CJ42" i="28"/>
  <c r="BP42" i="28"/>
  <c r="BO42" i="28"/>
  <c r="AL42" i="28"/>
  <c r="AH42" i="28"/>
  <c r="T42" i="28"/>
  <c r="G42" i="28"/>
  <c r="D42" i="28"/>
  <c r="FX41" i="28"/>
  <c r="FI41" i="28"/>
  <c r="EW41" i="28"/>
  <c r="FG41" i="28" s="1"/>
  <c r="EP41" i="28"/>
  <c r="DV41" i="28"/>
  <c r="CZ41" i="28"/>
  <c r="CW41" i="28"/>
  <c r="CT41" i="28"/>
  <c r="CJ41" i="28"/>
  <c r="BP41" i="28"/>
  <c r="BO41" i="28"/>
  <c r="AL41" i="28"/>
  <c r="AH41" i="28"/>
  <c r="T41" i="28"/>
  <c r="G41" i="28"/>
  <c r="D41" i="28"/>
  <c r="FX40" i="28"/>
  <c r="FI40" i="28"/>
  <c r="EW40" i="28"/>
  <c r="FG40" i="28" s="1"/>
  <c r="DV40" i="28"/>
  <c r="CZ40" i="28"/>
  <c r="CW40" i="28"/>
  <c r="CT40" i="28"/>
  <c r="CJ40" i="28"/>
  <c r="BP40" i="28"/>
  <c r="BO40" i="28" s="1"/>
  <c r="AL40" i="28"/>
  <c r="AH40" i="28"/>
  <c r="T40" i="28"/>
  <c r="EP40" i="28" s="1"/>
  <c r="G40" i="28"/>
  <c r="D40" i="28"/>
  <c r="FX39" i="28"/>
  <c r="FI39" i="28"/>
  <c r="FG39" i="28"/>
  <c r="EW39" i="28"/>
  <c r="DV39" i="28"/>
  <c r="CZ39" i="28"/>
  <c r="CW39" i="28"/>
  <c r="CT39" i="28"/>
  <c r="CJ39" i="28"/>
  <c r="BP39" i="28"/>
  <c r="BO39" i="28" s="1"/>
  <c r="AL39" i="28"/>
  <c r="AH39" i="28"/>
  <c r="T39" i="28"/>
  <c r="EP39" i="28" s="1"/>
  <c r="G39" i="28"/>
  <c r="D39" i="28"/>
  <c r="FX38" i="28"/>
  <c r="FI38" i="28"/>
  <c r="EW38" i="28"/>
  <c r="FG38" i="28" s="1"/>
  <c r="EP38" i="28"/>
  <c r="DV38" i="28"/>
  <c r="CZ38" i="28"/>
  <c r="CW38" i="28"/>
  <c r="CT38" i="28"/>
  <c r="CJ38" i="28"/>
  <c r="BP38" i="28"/>
  <c r="BO38" i="28"/>
  <c r="AL38" i="28"/>
  <c r="AH38" i="28"/>
  <c r="T38" i="28"/>
  <c r="G38" i="28"/>
  <c r="D38" i="28"/>
  <c r="GI37" i="28"/>
  <c r="GD37" i="28"/>
  <c r="GD50" i="28" s="1"/>
  <c r="GC37" i="28"/>
  <c r="GC50" i="28" s="1"/>
  <c r="GB37" i="28"/>
  <c r="GB50" i="28" s="1"/>
  <c r="GA37" i="28"/>
  <c r="GA50" i="28" s="1"/>
  <c r="FZ37" i="28"/>
  <c r="FY37" i="28"/>
  <c r="FY50" i="28" s="1"/>
  <c r="FX37" i="28"/>
  <c r="FW37" i="28"/>
  <c r="FM37" i="28"/>
  <c r="FM50" i="28" s="1"/>
  <c r="FL37" i="28"/>
  <c r="FL50" i="28" s="1"/>
  <c r="FK37" i="28"/>
  <c r="FJ37" i="28"/>
  <c r="FH37" i="28"/>
  <c r="FH50" i="28" s="1"/>
  <c r="FF37" i="28"/>
  <c r="FE37" i="28"/>
  <c r="FE50" i="28" s="1"/>
  <c r="FD37" i="28"/>
  <c r="FD50" i="28" s="1"/>
  <c r="FC37" i="28"/>
  <c r="FC50" i="28" s="1"/>
  <c r="FA37" i="28"/>
  <c r="FA50" i="28" s="1"/>
  <c r="EZ37" i="28"/>
  <c r="EY37" i="28"/>
  <c r="EY50" i="28" s="1"/>
  <c r="EX37" i="28"/>
  <c r="EV37" i="28"/>
  <c r="EV50" i="28" s="1"/>
  <c r="EU37" i="28"/>
  <c r="EU50" i="28" s="1"/>
  <c r="ET37" i="28"/>
  <c r="ET50" i="28" s="1"/>
  <c r="ES37" i="28"/>
  <c r="ES50" i="28" s="1"/>
  <c r="ER37" i="28"/>
  <c r="ER50" i="28" s="1"/>
  <c r="EQ37" i="28"/>
  <c r="EQ50" i="28" s="1"/>
  <c r="EO37" i="28"/>
  <c r="EN37" i="28"/>
  <c r="EN50" i="28" s="1"/>
  <c r="EM37" i="28"/>
  <c r="EJ37" i="28"/>
  <c r="EI37" i="28"/>
  <c r="EI50" i="28" s="1"/>
  <c r="EH37" i="28"/>
  <c r="EH50" i="28" s="1"/>
  <c r="EG37" i="28"/>
  <c r="EG50" i="28" s="1"/>
  <c r="EF37" i="28"/>
  <c r="EF50" i="28" s="1"/>
  <c r="ED37" i="28"/>
  <c r="EC37" i="28"/>
  <c r="EC50" i="28" s="1"/>
  <c r="EB37" i="28"/>
  <c r="EB50" i="28" s="1"/>
  <c r="EA37" i="28"/>
  <c r="EA50" i="28" s="1"/>
  <c r="DZ37" i="28"/>
  <c r="DY37" i="28"/>
  <c r="DX37" i="28"/>
  <c r="DX50" i="28" s="1"/>
  <c r="DW37" i="28"/>
  <c r="DU37" i="28"/>
  <c r="DU50" i="28" s="1"/>
  <c r="DT37" i="28"/>
  <c r="DT50" i="28" s="1"/>
  <c r="DS37" i="28"/>
  <c r="DS50" i="28" s="1"/>
  <c r="DR37" i="28"/>
  <c r="DR50" i="28" s="1"/>
  <c r="DQ37" i="28"/>
  <c r="DQ50" i="28" s="1"/>
  <c r="DP37" i="28"/>
  <c r="DO37" i="28"/>
  <c r="DO50" i="28" s="1"/>
  <c r="DN37" i="28"/>
  <c r="DN50" i="28" s="1"/>
  <c r="DM37" i="28"/>
  <c r="DM50" i="28" s="1"/>
  <c r="DL37" i="28"/>
  <c r="DL50" i="28" s="1"/>
  <c r="DK37" i="28"/>
  <c r="DK50" i="28" s="1"/>
  <c r="DJ37" i="28"/>
  <c r="DJ50" i="28" s="1"/>
  <c r="DI37" i="28"/>
  <c r="DI50" i="28" s="1"/>
  <c r="DH37" i="28"/>
  <c r="DH50" i="28" s="1"/>
  <c r="DG37" i="28"/>
  <c r="DG50" i="28" s="1"/>
  <c r="DF37" i="28"/>
  <c r="DE37" i="28"/>
  <c r="DE50" i="28" s="1"/>
  <c r="DD37" i="28"/>
  <c r="DD50" i="28" s="1"/>
  <c r="DC37" i="28"/>
  <c r="DC50" i="28" s="1"/>
  <c r="DB37" i="28"/>
  <c r="DB50" i="28" s="1"/>
  <c r="DA37" i="28"/>
  <c r="DA50" i="28" s="1"/>
  <c r="CZ50" i="28" s="1"/>
  <c r="CZ37" i="28"/>
  <c r="CY37" i="28"/>
  <c r="CX37" i="28"/>
  <c r="CV37" i="28"/>
  <c r="CU37" i="28"/>
  <c r="CU50" i="28" s="1"/>
  <c r="CT50" i="28" s="1"/>
  <c r="CS37" i="28"/>
  <c r="CS50" i="28" s="1"/>
  <c r="CR37" i="28"/>
  <c r="CR50" i="28" s="1"/>
  <c r="CQ37" i="28"/>
  <c r="CQ50" i="28" s="1"/>
  <c r="CP37" i="28"/>
  <c r="CO37" i="28"/>
  <c r="CO50" i="28" s="1"/>
  <c r="CN37" i="28"/>
  <c r="CM37" i="28"/>
  <c r="CL37" i="28"/>
  <c r="CL50" i="28" s="1"/>
  <c r="CK37" i="28"/>
  <c r="CK50" i="28" s="1"/>
  <c r="CI37" i="28"/>
  <c r="CI50" i="28" s="1"/>
  <c r="CJ50" i="28" s="1"/>
  <c r="CH37" i="28"/>
  <c r="CG37" i="28"/>
  <c r="CG50" i="28" s="1"/>
  <c r="CF37" i="28"/>
  <c r="CF50" i="28" s="1"/>
  <c r="CE37" i="28"/>
  <c r="CD37" i="28"/>
  <c r="CC37" i="28"/>
  <c r="CC50" i="28" s="1"/>
  <c r="CB37" i="28"/>
  <c r="CB50" i="28" s="1"/>
  <c r="CA37" i="28"/>
  <c r="CA50" i="28" s="1"/>
  <c r="BZ37" i="28"/>
  <c r="BY37" i="28"/>
  <c r="BY50" i="28" s="1"/>
  <c r="BX37" i="28"/>
  <c r="BX50" i="28" s="1"/>
  <c r="BW37" i="28"/>
  <c r="BW50" i="28" s="1"/>
  <c r="BU37" i="28"/>
  <c r="BS37" i="28"/>
  <c r="BR37" i="28"/>
  <c r="BR50" i="28" s="1"/>
  <c r="BQ37" i="28"/>
  <c r="BN37" i="28"/>
  <c r="BM37" i="28"/>
  <c r="BM50" i="28" s="1"/>
  <c r="BL37" i="28"/>
  <c r="BL50" i="28" s="1"/>
  <c r="BK37" i="28"/>
  <c r="BJ37" i="28"/>
  <c r="BJ50" i="28" s="1"/>
  <c r="BI37" i="28"/>
  <c r="BI50" i="28" s="1"/>
  <c r="BH37" i="28"/>
  <c r="BG37" i="28"/>
  <c r="BG50" i="28" s="1"/>
  <c r="BF37" i="28"/>
  <c r="BF50" i="28" s="1"/>
  <c r="BE37" i="28"/>
  <c r="BE50" i="28" s="1"/>
  <c r="BD37" i="28"/>
  <c r="BD50" i="28" s="1"/>
  <c r="BC37" i="28"/>
  <c r="BC50" i="28" s="1"/>
  <c r="BB37" i="28"/>
  <c r="BB50" i="28" s="1"/>
  <c r="BA37" i="28"/>
  <c r="BA50" i="28" s="1"/>
  <c r="AZ37" i="28"/>
  <c r="AZ50" i="28" s="1"/>
  <c r="AY37" i="28"/>
  <c r="AY50" i="28" s="1"/>
  <c r="AX37" i="28"/>
  <c r="AX50" i="28" s="1"/>
  <c r="AW37" i="28"/>
  <c r="AW50" i="28" s="1"/>
  <c r="AV37" i="28"/>
  <c r="AV50" i="28" s="1"/>
  <c r="AU37" i="28"/>
  <c r="AU50" i="28" s="1"/>
  <c r="AT37" i="28"/>
  <c r="AT50" i="28" s="1"/>
  <c r="AS37" i="28"/>
  <c r="AS50" i="28" s="1"/>
  <c r="AR37" i="28"/>
  <c r="AQ37" i="28"/>
  <c r="AQ50" i="28" s="1"/>
  <c r="AP37" i="28"/>
  <c r="AP50" i="28" s="1"/>
  <c r="AO37" i="28"/>
  <c r="AO50" i="28" s="1"/>
  <c r="AN37" i="28"/>
  <c r="AN50" i="28" s="1"/>
  <c r="AM37" i="28"/>
  <c r="AM50" i="28" s="1"/>
  <c r="AL50" i="28" s="1"/>
  <c r="AL37" i="28"/>
  <c r="AK37" i="28"/>
  <c r="AK50" i="28" s="1"/>
  <c r="AJ37" i="28"/>
  <c r="AI37" i="28"/>
  <c r="AI50" i="28" s="1"/>
  <c r="AH37" i="28"/>
  <c r="AG37" i="28"/>
  <c r="AG50" i="28" s="1"/>
  <c r="AF37" i="28"/>
  <c r="AF50" i="28" s="1"/>
  <c r="AE37" i="28"/>
  <c r="AE50" i="28" s="1"/>
  <c r="AD37" i="28"/>
  <c r="AD50" i="28" s="1"/>
  <c r="AC37" i="28"/>
  <c r="AC50" i="28" s="1"/>
  <c r="AB37" i="28"/>
  <c r="AA37" i="28"/>
  <c r="AA50" i="28" s="1"/>
  <c r="Z37" i="28"/>
  <c r="Y37" i="28"/>
  <c r="X37" i="28"/>
  <c r="X50" i="28" s="1"/>
  <c r="U37" i="28"/>
  <c r="U50" i="28" s="1"/>
  <c r="T50" i="28" s="1"/>
  <c r="T37" i="28"/>
  <c r="R37" i="28"/>
  <c r="R50" i="28" s="1"/>
  <c r="Q37" i="28"/>
  <c r="P37" i="28"/>
  <c r="P50" i="28" s="1"/>
  <c r="O37" i="28"/>
  <c r="O50" i="28" s="1"/>
  <c r="N37" i="28"/>
  <c r="M37" i="28"/>
  <c r="L37" i="28"/>
  <c r="L50" i="28" s="1"/>
  <c r="K37" i="28"/>
  <c r="K50" i="28" s="1"/>
  <c r="J37" i="28"/>
  <c r="J50" i="28" s="1"/>
  <c r="I37" i="28"/>
  <c r="H37" i="28"/>
  <c r="H50" i="28" s="1"/>
  <c r="G37" i="28"/>
  <c r="F37" i="28"/>
  <c r="F50" i="28" s="1"/>
  <c r="E37" i="28"/>
  <c r="D37" i="28"/>
  <c r="C37" i="28"/>
  <c r="C50" i="28" s="1"/>
  <c r="GE36" i="28"/>
  <c r="FX36" i="28"/>
  <c r="FI36" i="28"/>
  <c r="EW36" i="28"/>
  <c r="FG36" i="28" s="1"/>
  <c r="DV36" i="28"/>
  <c r="CZ36" i="28"/>
  <c r="CW36" i="28"/>
  <c r="CT36" i="28"/>
  <c r="CJ36" i="28"/>
  <c r="BP36" i="28"/>
  <c r="BO36" i="28"/>
  <c r="AL36" i="28"/>
  <c r="AH36" i="28"/>
  <c r="T36" i="28"/>
  <c r="EP36" i="28" s="1"/>
  <c r="G36" i="28"/>
  <c r="D36" i="28"/>
  <c r="GE35" i="28"/>
  <c r="FX35" i="28"/>
  <c r="FI35" i="28"/>
  <c r="EW35" i="28"/>
  <c r="FG35" i="28" s="1"/>
  <c r="EP35" i="28"/>
  <c r="DV35" i="28"/>
  <c r="CZ35" i="28"/>
  <c r="CW35" i="28"/>
  <c r="CT35" i="28"/>
  <c r="CJ35" i="28"/>
  <c r="BP35" i="28"/>
  <c r="BO35" i="28"/>
  <c r="AL35" i="28"/>
  <c r="AH35" i="28"/>
  <c r="T35" i="28"/>
  <c r="G35" i="28"/>
  <c r="D35" i="28"/>
  <c r="GE34" i="28"/>
  <c r="FX34" i="28"/>
  <c r="FI34" i="28"/>
  <c r="EW34" i="28"/>
  <c r="FG34" i="28" s="1"/>
  <c r="DV34" i="28"/>
  <c r="CZ34" i="28"/>
  <c r="CW34" i="28"/>
  <c r="CT34" i="28"/>
  <c r="CJ34" i="28"/>
  <c r="BP34" i="28"/>
  <c r="BO34" i="28"/>
  <c r="AL34" i="28"/>
  <c r="AH34" i="28"/>
  <c r="T34" i="28"/>
  <c r="EP34" i="28" s="1"/>
  <c r="G34" i="28"/>
  <c r="D34" i="28"/>
  <c r="GE33" i="28"/>
  <c r="FX33" i="28"/>
  <c r="FI33" i="28"/>
  <c r="EW33" i="28"/>
  <c r="FG33" i="28" s="1"/>
  <c r="EP33" i="28"/>
  <c r="DV33" i="28"/>
  <c r="CZ33" i="28"/>
  <c r="CW33" i="28"/>
  <c r="CT33" i="28"/>
  <c r="CJ33" i="28"/>
  <c r="BP33" i="28"/>
  <c r="BO33" i="28"/>
  <c r="AL33" i="28"/>
  <c r="AH33" i="28"/>
  <c r="T33" i="28"/>
  <c r="G33" i="28"/>
  <c r="D33" i="28"/>
  <c r="GE32" i="28"/>
  <c r="FX32" i="28"/>
  <c r="FI32" i="28"/>
  <c r="EW32" i="28"/>
  <c r="FG32" i="28" s="1"/>
  <c r="DV32" i="28"/>
  <c r="CZ32" i="28"/>
  <c r="CW32" i="28"/>
  <c r="CT32" i="28"/>
  <c r="CJ32" i="28"/>
  <c r="BP32" i="28"/>
  <c r="BO32" i="28"/>
  <c r="AL32" i="28"/>
  <c r="AH32" i="28"/>
  <c r="T32" i="28"/>
  <c r="EP32" i="28" s="1"/>
  <c r="G32" i="28"/>
  <c r="D32" i="28"/>
  <c r="GE31" i="28"/>
  <c r="FX31" i="28"/>
  <c r="FI31" i="28"/>
  <c r="EW31" i="28"/>
  <c r="FG31" i="28" s="1"/>
  <c r="EP31" i="28"/>
  <c r="DV31" i="28"/>
  <c r="CZ31" i="28"/>
  <c r="CW31" i="28"/>
  <c r="CT31" i="28"/>
  <c r="CJ31" i="28"/>
  <c r="BP31" i="28"/>
  <c r="BO31" i="28"/>
  <c r="AL31" i="28"/>
  <c r="AH31" i="28"/>
  <c r="T31" i="28"/>
  <c r="G31" i="28"/>
  <c r="D31" i="28"/>
  <c r="GE30" i="28"/>
  <c r="FX30" i="28"/>
  <c r="FI30" i="28"/>
  <c r="FG30" i="28"/>
  <c r="EW30" i="28"/>
  <c r="DV30" i="28"/>
  <c r="CZ30" i="28"/>
  <c r="CW30" i="28"/>
  <c r="CT30" i="28"/>
  <c r="CJ30" i="28"/>
  <c r="BP30" i="28"/>
  <c r="BO30" i="28" s="1"/>
  <c r="AL30" i="28"/>
  <c r="AH30" i="28"/>
  <c r="T30" i="28"/>
  <c r="G30" i="28"/>
  <c r="D30" i="28"/>
  <c r="GE29" i="28"/>
  <c r="FX29" i="28"/>
  <c r="FI29" i="28"/>
  <c r="EW29" i="28"/>
  <c r="FG29" i="28" s="1"/>
  <c r="EP29" i="28"/>
  <c r="DV29" i="28"/>
  <c r="CZ29" i="28"/>
  <c r="CW29" i="28"/>
  <c r="CT29" i="28"/>
  <c r="CJ29" i="28"/>
  <c r="BP29" i="28"/>
  <c r="BO29" i="28"/>
  <c r="AL29" i="28"/>
  <c r="AH29" i="28"/>
  <c r="T29" i="28"/>
  <c r="G29" i="28"/>
  <c r="D29" i="28"/>
  <c r="GE28" i="28"/>
  <c r="FX28" i="28"/>
  <c r="FI28" i="28"/>
  <c r="EW28" i="28"/>
  <c r="FG28" i="28" s="1"/>
  <c r="DV28" i="28"/>
  <c r="CZ28" i="28"/>
  <c r="CW28" i="28"/>
  <c r="CT28" i="28"/>
  <c r="CJ28" i="28"/>
  <c r="BP28" i="28"/>
  <c r="BO28" i="28"/>
  <c r="AL28" i="28"/>
  <c r="AH28" i="28"/>
  <c r="T28" i="28"/>
  <c r="EP28" i="28" s="1"/>
  <c r="G28" i="28"/>
  <c r="D28" i="28"/>
  <c r="GE27" i="28"/>
  <c r="FX27" i="28"/>
  <c r="FI27" i="28"/>
  <c r="EW27" i="28"/>
  <c r="FG27" i="28" s="1"/>
  <c r="EP27" i="28"/>
  <c r="DV27" i="28"/>
  <c r="CZ27" i="28"/>
  <c r="CW27" i="28"/>
  <c r="CT27" i="28"/>
  <c r="CJ27" i="28"/>
  <c r="BP27" i="28"/>
  <c r="BO27" i="28"/>
  <c r="AL27" i="28"/>
  <c r="AH27" i="28"/>
  <c r="T27" i="28"/>
  <c r="G27" i="28"/>
  <c r="D27" i="28"/>
  <c r="GE26" i="28"/>
  <c r="FX26" i="28"/>
  <c r="FI26" i="28"/>
  <c r="FG26" i="28"/>
  <c r="EW26" i="28"/>
  <c r="DV26" i="28"/>
  <c r="CZ26" i="28"/>
  <c r="CW26" i="28"/>
  <c r="CT26" i="28"/>
  <c r="CJ26" i="28"/>
  <c r="BP26" i="28"/>
  <c r="BO26" i="28"/>
  <c r="AL26" i="28"/>
  <c r="AH26" i="28"/>
  <c r="T26" i="28"/>
  <c r="EP26" i="28" s="1"/>
  <c r="G26" i="28"/>
  <c r="D26" i="28"/>
  <c r="GE25" i="28"/>
  <c r="FX25" i="28"/>
  <c r="FI25" i="28"/>
  <c r="EW25" i="28"/>
  <c r="FG25" i="28" s="1"/>
  <c r="EP25" i="28"/>
  <c r="DV25" i="28"/>
  <c r="CZ25" i="28"/>
  <c r="CW25" i="28"/>
  <c r="CT25" i="28"/>
  <c r="CJ25" i="28"/>
  <c r="BP25" i="28"/>
  <c r="BO25" i="28"/>
  <c r="AL25" i="28"/>
  <c r="AH25" i="28"/>
  <c r="T25" i="28"/>
  <c r="G25" i="28"/>
  <c r="D25" i="28"/>
  <c r="GE24" i="28"/>
  <c r="FX24" i="28"/>
  <c r="FI24" i="28"/>
  <c r="EW24" i="28"/>
  <c r="FG24" i="28" s="1"/>
  <c r="DV24" i="28"/>
  <c r="CZ24" i="28"/>
  <c r="CW24" i="28"/>
  <c r="CT24" i="28"/>
  <c r="CJ24" i="28"/>
  <c r="BP24" i="28"/>
  <c r="BO24" i="28"/>
  <c r="AL24" i="28"/>
  <c r="AH24" i="28"/>
  <c r="T24" i="28"/>
  <c r="EP24" i="28" s="1"/>
  <c r="G24" i="28"/>
  <c r="D24" i="28"/>
  <c r="GE23" i="28"/>
  <c r="FX23" i="28"/>
  <c r="FI23" i="28"/>
  <c r="EW23" i="28"/>
  <c r="FG23" i="28" s="1"/>
  <c r="EP23" i="28"/>
  <c r="DV23" i="28"/>
  <c r="CZ23" i="28"/>
  <c r="CW23" i="28"/>
  <c r="CT23" i="28"/>
  <c r="CJ23" i="28"/>
  <c r="BP23" i="28"/>
  <c r="BO23" i="28"/>
  <c r="AL23" i="28"/>
  <c r="AH23" i="28"/>
  <c r="T23" i="28"/>
  <c r="G23" i="28"/>
  <c r="D23" i="28"/>
  <c r="GE22" i="28"/>
  <c r="FX22" i="28"/>
  <c r="FI22" i="28"/>
  <c r="EW22" i="28"/>
  <c r="FG22" i="28" s="1"/>
  <c r="DV22" i="28"/>
  <c r="CZ22" i="28"/>
  <c r="CW22" i="28"/>
  <c r="CT22" i="28"/>
  <c r="CJ22" i="28"/>
  <c r="BP22" i="28"/>
  <c r="BO22" i="28"/>
  <c r="AL22" i="28"/>
  <c r="AH22" i="28"/>
  <c r="T22" i="28"/>
  <c r="G22" i="28"/>
  <c r="D22" i="28"/>
  <c r="GE21" i="28"/>
  <c r="FX21" i="28"/>
  <c r="FI21" i="28"/>
  <c r="EW21" i="28"/>
  <c r="FG21" i="28" s="1"/>
  <c r="EP21" i="28"/>
  <c r="DV21" i="28"/>
  <c r="CZ21" i="28"/>
  <c r="CW21" i="28"/>
  <c r="CT21" i="28"/>
  <c r="CJ21" i="28"/>
  <c r="BP21" i="28"/>
  <c r="BO21" i="28"/>
  <c r="AL21" i="28"/>
  <c r="AH21" i="28"/>
  <c r="T21" i="28"/>
  <c r="G21" i="28"/>
  <c r="D21" i="28"/>
  <c r="GE20" i="28"/>
  <c r="FX20" i="28"/>
  <c r="FI20" i="28"/>
  <c r="EW20" i="28"/>
  <c r="FG20" i="28" s="1"/>
  <c r="DV20" i="28"/>
  <c r="CZ20" i="28"/>
  <c r="CW20" i="28"/>
  <c r="CT20" i="28"/>
  <c r="CJ20" i="28"/>
  <c r="BP20" i="28"/>
  <c r="BO20" i="28"/>
  <c r="AL20" i="28"/>
  <c r="AH20" i="28"/>
  <c r="T20" i="28"/>
  <c r="EP20" i="28" s="1"/>
  <c r="G20" i="28"/>
  <c r="D20" i="28"/>
  <c r="GE19" i="28"/>
  <c r="FX19" i="28"/>
  <c r="FI19" i="28"/>
  <c r="EW19" i="28"/>
  <c r="FG19" i="28" s="1"/>
  <c r="EP19" i="28"/>
  <c r="DV19" i="28"/>
  <c r="CZ19" i="28"/>
  <c r="CW19" i="28"/>
  <c r="CT19" i="28"/>
  <c r="CJ19" i="28"/>
  <c r="BP19" i="28"/>
  <c r="BO19" i="28"/>
  <c r="AL19" i="28"/>
  <c r="AH19" i="28"/>
  <c r="T19" i="28"/>
  <c r="G19" i="28"/>
  <c r="D19" i="28"/>
  <c r="GE18" i="28"/>
  <c r="FX18" i="28"/>
  <c r="FI18" i="28"/>
  <c r="FG18" i="28"/>
  <c r="EW18" i="28"/>
  <c r="DV18" i="28"/>
  <c r="CZ18" i="28"/>
  <c r="CW18" i="28"/>
  <c r="CT18" i="28"/>
  <c r="CJ18" i="28"/>
  <c r="BP18" i="28"/>
  <c r="BO18" i="28" s="1"/>
  <c r="AL18" i="28"/>
  <c r="AH18" i="28"/>
  <c r="T18" i="28"/>
  <c r="G18" i="28"/>
  <c r="D18" i="28"/>
  <c r="GE17" i="28"/>
  <c r="FX17" i="28"/>
  <c r="FI17" i="28"/>
  <c r="EW17" i="28"/>
  <c r="FG17" i="28" s="1"/>
  <c r="EP17" i="28"/>
  <c r="DV17" i="28"/>
  <c r="CZ17" i="28"/>
  <c r="CW17" i="28"/>
  <c r="CT17" i="28"/>
  <c r="CJ17" i="28"/>
  <c r="BP17" i="28"/>
  <c r="BO17" i="28"/>
  <c r="AL17" i="28"/>
  <c r="AH17" i="28"/>
  <c r="T17" i="28"/>
  <c r="G17" i="28"/>
  <c r="D17" i="28"/>
  <c r="GE16" i="28"/>
  <c r="FX16" i="28"/>
  <c r="FI16" i="28"/>
  <c r="EW16" i="28"/>
  <c r="FG16" i="28" s="1"/>
  <c r="DV16" i="28"/>
  <c r="CZ16" i="28"/>
  <c r="CW16" i="28"/>
  <c r="CT16" i="28"/>
  <c r="CJ16" i="28"/>
  <c r="BP16" i="28"/>
  <c r="BO16" i="28"/>
  <c r="AL16" i="28"/>
  <c r="AH16" i="28"/>
  <c r="T16" i="28"/>
  <c r="EP16" i="28" s="1"/>
  <c r="G16" i="28"/>
  <c r="D16" i="28"/>
  <c r="GE15" i="28"/>
  <c r="FX15" i="28"/>
  <c r="FI15" i="28"/>
  <c r="EW15" i="28"/>
  <c r="FG15" i="28" s="1"/>
  <c r="EP15" i="28"/>
  <c r="DV15" i="28"/>
  <c r="CZ15" i="28"/>
  <c r="CW15" i="28"/>
  <c r="CT15" i="28"/>
  <c r="CJ15" i="28"/>
  <c r="BP15" i="28"/>
  <c r="BO15" i="28"/>
  <c r="AL15" i="28"/>
  <c r="AH15" i="28"/>
  <c r="T15" i="28"/>
  <c r="G15" i="28"/>
  <c r="D15" i="28"/>
  <c r="GE14" i="28"/>
  <c r="FX14" i="28"/>
  <c r="FI14" i="28"/>
  <c r="EW14" i="28"/>
  <c r="FG14" i="28" s="1"/>
  <c r="DV14" i="28"/>
  <c r="CZ14" i="28"/>
  <c r="CW14" i="28"/>
  <c r="CT14" i="28"/>
  <c r="CJ14" i="28"/>
  <c r="BP14" i="28"/>
  <c r="BO14" i="28" s="1"/>
  <c r="AL14" i="28"/>
  <c r="AH14" i="28"/>
  <c r="T14" i="28"/>
  <c r="EP14" i="28" s="1"/>
  <c r="G14" i="28"/>
  <c r="D14" i="28"/>
  <c r="GE13" i="28"/>
  <c r="FX13" i="28"/>
  <c r="FI13" i="28"/>
  <c r="EW13" i="28"/>
  <c r="FG13" i="28" s="1"/>
  <c r="EP13" i="28"/>
  <c r="DV13" i="28"/>
  <c r="CZ13" i="28"/>
  <c r="CW13" i="28"/>
  <c r="CT13" i="28"/>
  <c r="CJ13" i="28"/>
  <c r="BP13" i="28"/>
  <c r="BO13" i="28"/>
  <c r="AL13" i="28"/>
  <c r="AH13" i="28"/>
  <c r="T13" i="28"/>
  <c r="G13" i="28"/>
  <c r="D13" i="28"/>
  <c r="GE12" i="28"/>
  <c r="FX12" i="28"/>
  <c r="FI12" i="28"/>
  <c r="EW12" i="28"/>
  <c r="FG12" i="28" s="1"/>
  <c r="DV12" i="28"/>
  <c r="CZ12" i="28"/>
  <c r="CW12" i="28"/>
  <c r="CT12" i="28"/>
  <c r="CJ12" i="28"/>
  <c r="BP12" i="28"/>
  <c r="BO12" i="28"/>
  <c r="AL12" i="28"/>
  <c r="AH12" i="28"/>
  <c r="T12" i="28"/>
  <c r="EP12" i="28" s="1"/>
  <c r="G12" i="28"/>
  <c r="D12" i="28"/>
  <c r="GE11" i="28"/>
  <c r="FX11" i="28"/>
  <c r="FI11" i="28"/>
  <c r="EW11" i="28"/>
  <c r="FG11" i="28" s="1"/>
  <c r="EP11" i="28"/>
  <c r="DV11" i="28"/>
  <c r="CZ11" i="28"/>
  <c r="CW11" i="28"/>
  <c r="CT11" i="28"/>
  <c r="CJ11" i="28"/>
  <c r="BP11" i="28"/>
  <c r="BO11" i="28"/>
  <c r="AL11" i="28"/>
  <c r="AH11" i="28"/>
  <c r="T11" i="28"/>
  <c r="G11" i="28"/>
  <c r="D11" i="28"/>
  <c r="GE10" i="28"/>
  <c r="FX10" i="28"/>
  <c r="FI10" i="28"/>
  <c r="FG10" i="28"/>
  <c r="EW10" i="28"/>
  <c r="DV10" i="28"/>
  <c r="CZ10" i="28"/>
  <c r="CW10" i="28"/>
  <c r="CT10" i="28"/>
  <c r="CJ10" i="28"/>
  <c r="BP10" i="28"/>
  <c r="BO10" i="28"/>
  <c r="AL10" i="28"/>
  <c r="AH10" i="28"/>
  <c r="T10" i="28"/>
  <c r="G10" i="28"/>
  <c r="D10" i="28"/>
  <c r="GE9" i="28"/>
  <c r="FX9" i="28"/>
  <c r="FI9" i="28"/>
  <c r="EW9" i="28"/>
  <c r="FG9" i="28" s="1"/>
  <c r="EP9" i="28"/>
  <c r="DV9" i="28"/>
  <c r="CZ9" i="28"/>
  <c r="CW9" i="28"/>
  <c r="CT9" i="28"/>
  <c r="CJ9" i="28"/>
  <c r="BP9" i="28"/>
  <c r="BO9" i="28"/>
  <c r="AL9" i="28"/>
  <c r="AH9" i="28"/>
  <c r="T9" i="28"/>
  <c r="G9" i="28"/>
  <c r="D9" i="28"/>
  <c r="GE8" i="28"/>
  <c r="FX8" i="28"/>
  <c r="FI8" i="28"/>
  <c r="EW8" i="28"/>
  <c r="FG8" i="28" s="1"/>
  <c r="DV8" i="28"/>
  <c r="CZ8" i="28"/>
  <c r="CW8" i="28"/>
  <c r="CT8" i="28"/>
  <c r="CJ8" i="28"/>
  <c r="BP8" i="28"/>
  <c r="BO8" i="28"/>
  <c r="AL8" i="28"/>
  <c r="AH8" i="28"/>
  <c r="T8" i="28"/>
  <c r="EP8" i="28" s="1"/>
  <c r="G8" i="28"/>
  <c r="D8" i="28"/>
  <c r="GE7" i="28"/>
  <c r="FX7" i="28"/>
  <c r="FI7" i="28"/>
  <c r="EW7" i="28"/>
  <c r="FG7" i="28" s="1"/>
  <c r="EP7" i="28"/>
  <c r="DV7" i="28"/>
  <c r="CZ7" i="28"/>
  <c r="CW7" i="28"/>
  <c r="CT7" i="28"/>
  <c r="CJ7" i="28"/>
  <c r="BP7" i="28"/>
  <c r="BO7" i="28"/>
  <c r="AL7" i="28"/>
  <c r="AH7" i="28"/>
  <c r="T7" i="28"/>
  <c r="G7" i="28"/>
  <c r="D7" i="28"/>
  <c r="GE6" i="28"/>
  <c r="FX6" i="28"/>
  <c r="FI6" i="28"/>
  <c r="EW6" i="28"/>
  <c r="FG6" i="28" s="1"/>
  <c r="DV6" i="28"/>
  <c r="CZ6" i="28"/>
  <c r="CW6" i="28"/>
  <c r="CT6" i="28"/>
  <c r="CJ6" i="28"/>
  <c r="BP6" i="28"/>
  <c r="BO6" i="28" s="1"/>
  <c r="AL6" i="28"/>
  <c r="AH6" i="28"/>
  <c r="T6" i="28"/>
  <c r="EP6" i="28" s="1"/>
  <c r="G6" i="28"/>
  <c r="D6" i="28"/>
  <c r="FJ52" i="27"/>
  <c r="EY50" i="27"/>
  <c r="EX50" i="27"/>
  <c r="EW50" i="27" s="1"/>
  <c r="CI50" i="27"/>
  <c r="CJ50" i="27" s="1"/>
  <c r="BA50" i="27"/>
  <c r="R50" i="27"/>
  <c r="GI49" i="27"/>
  <c r="GD49" i="27"/>
  <c r="GC49" i="27"/>
  <c r="GB49" i="27"/>
  <c r="GA49" i="27"/>
  <c r="FZ49" i="27"/>
  <c r="FY49" i="27"/>
  <c r="FX49" i="27"/>
  <c r="FW49" i="27"/>
  <c r="FM49" i="27"/>
  <c r="FL49" i="27"/>
  <c r="FK49" i="27"/>
  <c r="FJ49" i="27"/>
  <c r="FH49" i="27"/>
  <c r="FG49" i="27" s="1"/>
  <c r="FF49" i="27"/>
  <c r="FE49" i="27"/>
  <c r="FD49" i="27"/>
  <c r="FC49" i="27"/>
  <c r="FA49" i="27"/>
  <c r="EZ49" i="27"/>
  <c r="EY49" i="27"/>
  <c r="EX49" i="27"/>
  <c r="EW49" i="27" s="1"/>
  <c r="EV49" i="27"/>
  <c r="EU49" i="27"/>
  <c r="ET49" i="27"/>
  <c r="ES49" i="27"/>
  <c r="ER49" i="27"/>
  <c r="EQ49" i="27"/>
  <c r="EO49" i="27"/>
  <c r="EN49" i="27"/>
  <c r="EM49" i="27"/>
  <c r="EJ49" i="27"/>
  <c r="EI49" i="27"/>
  <c r="EH49" i="27"/>
  <c r="FI49" i="27" s="1"/>
  <c r="EG49" i="27"/>
  <c r="EF49" i="27"/>
  <c r="ED49" i="27"/>
  <c r="EC49" i="27"/>
  <c r="EB49" i="27"/>
  <c r="EA49" i="27"/>
  <c r="DZ49" i="27"/>
  <c r="DY49" i="27"/>
  <c r="DX49" i="27"/>
  <c r="DW49" i="27"/>
  <c r="DW50" i="27" s="1"/>
  <c r="DU49" i="27"/>
  <c r="DT49" i="27"/>
  <c r="DS49" i="27"/>
  <c r="DR49" i="27"/>
  <c r="DQ49" i="27"/>
  <c r="DP49" i="27"/>
  <c r="DP50" i="27" s="1"/>
  <c r="DO49" i="27"/>
  <c r="DO50" i="27" s="1"/>
  <c r="DN49" i="27"/>
  <c r="DM49" i="27"/>
  <c r="DL49" i="27"/>
  <c r="DK49" i="27"/>
  <c r="DJ49" i="27"/>
  <c r="DI49" i="27"/>
  <c r="DH49" i="27"/>
  <c r="DH50" i="27" s="1"/>
  <c r="DG49" i="27"/>
  <c r="DG50" i="27" s="1"/>
  <c r="DF49" i="27"/>
  <c r="DE49" i="27"/>
  <c r="DD49" i="27"/>
  <c r="DC49" i="27"/>
  <c r="DB49" i="27"/>
  <c r="DA49" i="27"/>
  <c r="CZ49" i="27"/>
  <c r="CY49" i="27"/>
  <c r="CW49" i="27" s="1"/>
  <c r="CX49" i="27"/>
  <c r="CV49" i="27"/>
  <c r="CU49" i="27"/>
  <c r="CT49" i="27" s="1"/>
  <c r="CS49" i="27"/>
  <c r="CR49" i="27"/>
  <c r="CQ49" i="27"/>
  <c r="CQ50" i="27" s="1"/>
  <c r="CP49" i="27"/>
  <c r="CO49" i="27"/>
  <c r="CN49" i="27"/>
  <c r="CM49" i="27"/>
  <c r="CL49" i="27"/>
  <c r="CK49" i="27"/>
  <c r="CI49" i="27"/>
  <c r="CJ49" i="27" s="1"/>
  <c r="CH49" i="27"/>
  <c r="CG49" i="27"/>
  <c r="CF49" i="27"/>
  <c r="CE49" i="27"/>
  <c r="CD49" i="27"/>
  <c r="CC49" i="27"/>
  <c r="CB49" i="27"/>
  <c r="CA49" i="27"/>
  <c r="CA50" i="27" s="1"/>
  <c r="BZ49" i="27"/>
  <c r="BY49" i="27"/>
  <c r="BX49" i="27"/>
  <c r="BW49" i="27"/>
  <c r="BU49" i="27"/>
  <c r="BS49" i="27"/>
  <c r="BR49" i="27"/>
  <c r="BQ49" i="27"/>
  <c r="BP49" i="27" s="1"/>
  <c r="BN49" i="27"/>
  <c r="BO49" i="27" s="1"/>
  <c r="BM49" i="27"/>
  <c r="BL49" i="27"/>
  <c r="BK49" i="27"/>
  <c r="BJ49" i="27"/>
  <c r="BI49" i="27"/>
  <c r="BH49" i="27"/>
  <c r="BG49" i="27"/>
  <c r="BF49" i="27"/>
  <c r="BE49" i="27"/>
  <c r="BD49" i="27"/>
  <c r="BC49" i="27"/>
  <c r="BB49" i="27"/>
  <c r="BA49" i="27"/>
  <c r="AZ49" i="27"/>
  <c r="AY49" i="27"/>
  <c r="AX49" i="27"/>
  <c r="AW49" i="27"/>
  <c r="AV49" i="27"/>
  <c r="AU49" i="27"/>
  <c r="AT49" i="27"/>
  <c r="AS49" i="27"/>
  <c r="AR49" i="27"/>
  <c r="AQ49" i="27"/>
  <c r="AP49" i="27"/>
  <c r="AO49" i="27"/>
  <c r="AN49" i="27"/>
  <c r="AM49" i="27"/>
  <c r="AL49" i="27" s="1"/>
  <c r="AK49" i="27"/>
  <c r="AJ49" i="27"/>
  <c r="AI49" i="27"/>
  <c r="AH49" i="27"/>
  <c r="AG49" i="27"/>
  <c r="AF49" i="27"/>
  <c r="AE49" i="27"/>
  <c r="AD49" i="27"/>
  <c r="AC49" i="27"/>
  <c r="AB49" i="27"/>
  <c r="AA49" i="27"/>
  <c r="Z49" i="27"/>
  <c r="Y49" i="27"/>
  <c r="X49" i="27"/>
  <c r="U49" i="27"/>
  <c r="T49" i="27" s="1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GE48" i="27"/>
  <c r="FX48" i="27"/>
  <c r="FI48" i="27"/>
  <c r="EW48" i="27"/>
  <c r="FG48" i="27" s="1"/>
  <c r="DV48" i="27"/>
  <c r="CZ48" i="27"/>
  <c r="CW48" i="27"/>
  <c r="CT48" i="27"/>
  <c r="CJ48" i="27"/>
  <c r="BP48" i="27"/>
  <c r="BO48" i="27"/>
  <c r="AL48" i="27"/>
  <c r="AH48" i="27"/>
  <c r="T48" i="27"/>
  <c r="EP48" i="27" s="1"/>
  <c r="G48" i="27"/>
  <c r="D48" i="27"/>
  <c r="FX47" i="27"/>
  <c r="FI47" i="27"/>
  <c r="FG47" i="27"/>
  <c r="EW47" i="27"/>
  <c r="EP47" i="27"/>
  <c r="DV47" i="27"/>
  <c r="CZ47" i="27"/>
  <c r="CW47" i="27"/>
  <c r="CT47" i="27"/>
  <c r="CJ47" i="27"/>
  <c r="BP47" i="27"/>
  <c r="BO47" i="27" s="1"/>
  <c r="AL47" i="27"/>
  <c r="AH47" i="27"/>
  <c r="T47" i="27"/>
  <c r="G47" i="27"/>
  <c r="D47" i="27"/>
  <c r="GE46" i="27"/>
  <c r="FX46" i="27"/>
  <c r="FI46" i="27"/>
  <c r="EW46" i="27"/>
  <c r="FG46" i="27" s="1"/>
  <c r="DV46" i="27"/>
  <c r="CZ46" i="27"/>
  <c r="CW46" i="27"/>
  <c r="CT46" i="27"/>
  <c r="CJ46" i="27"/>
  <c r="BP46" i="27"/>
  <c r="EP46" i="27" s="1"/>
  <c r="BO46" i="27"/>
  <c r="AL46" i="27"/>
  <c r="AH46" i="27"/>
  <c r="T46" i="27"/>
  <c r="G46" i="27"/>
  <c r="D46" i="27"/>
  <c r="GE45" i="27"/>
  <c r="FX45" i="27"/>
  <c r="FI45" i="27"/>
  <c r="FG45" i="27"/>
  <c r="EW45" i="27"/>
  <c r="DV45" i="27"/>
  <c r="CZ45" i="27"/>
  <c r="CW45" i="27"/>
  <c r="CT45" i="27"/>
  <c r="CJ45" i="27"/>
  <c r="BP45" i="27"/>
  <c r="BO45" i="27" s="1"/>
  <c r="AL45" i="27"/>
  <c r="AH45" i="27"/>
  <c r="T45" i="27"/>
  <c r="G45" i="27"/>
  <c r="D45" i="27"/>
  <c r="FX44" i="27"/>
  <c r="FI44" i="27"/>
  <c r="EW44" i="27"/>
  <c r="FG44" i="27" s="1"/>
  <c r="EP44" i="27"/>
  <c r="DV44" i="27"/>
  <c r="CZ44" i="27"/>
  <c r="CW44" i="27"/>
  <c r="CT44" i="27"/>
  <c r="CJ44" i="27"/>
  <c r="BP44" i="27"/>
  <c r="BO44" i="27"/>
  <c r="AL44" i="27"/>
  <c r="AH44" i="27"/>
  <c r="T44" i="27"/>
  <c r="G44" i="27"/>
  <c r="D44" i="27"/>
  <c r="GE43" i="27"/>
  <c r="FX43" i="27"/>
  <c r="FI43" i="27"/>
  <c r="EW43" i="27"/>
  <c r="FG43" i="27" s="1"/>
  <c r="DV43" i="27"/>
  <c r="CZ43" i="27"/>
  <c r="CW43" i="27"/>
  <c r="CT43" i="27"/>
  <c r="CJ43" i="27"/>
  <c r="BP43" i="27"/>
  <c r="BO43" i="27"/>
  <c r="AL43" i="27"/>
  <c r="AH43" i="27"/>
  <c r="T43" i="27"/>
  <c r="EP43" i="27" s="1"/>
  <c r="G43" i="27"/>
  <c r="D43" i="27"/>
  <c r="GE42" i="27"/>
  <c r="FX42" i="27"/>
  <c r="FI42" i="27"/>
  <c r="EW42" i="27"/>
  <c r="FG42" i="27" s="1"/>
  <c r="EP42" i="27"/>
  <c r="DV42" i="27"/>
  <c r="CZ42" i="27"/>
  <c r="CW42" i="27"/>
  <c r="CT42" i="27"/>
  <c r="CJ42" i="27"/>
  <c r="BP42" i="27"/>
  <c r="BO42" i="27"/>
  <c r="AL42" i="27"/>
  <c r="AH42" i="27"/>
  <c r="T42" i="27"/>
  <c r="G42" i="27"/>
  <c r="D42" i="27"/>
  <c r="FX41" i="27"/>
  <c r="FI41" i="27"/>
  <c r="FG41" i="27"/>
  <c r="EW41" i="27"/>
  <c r="DV41" i="27"/>
  <c r="CZ41" i="27"/>
  <c r="CW41" i="27"/>
  <c r="CT41" i="27"/>
  <c r="CJ41" i="27"/>
  <c r="BP41" i="27"/>
  <c r="BO41" i="27" s="1"/>
  <c r="AL41" i="27"/>
  <c r="AH41" i="27"/>
  <c r="T41" i="27"/>
  <c r="G41" i="27"/>
  <c r="D41" i="27"/>
  <c r="FX40" i="27"/>
  <c r="FI40" i="27"/>
  <c r="FG40" i="27"/>
  <c r="EW40" i="27"/>
  <c r="DV40" i="27"/>
  <c r="CZ40" i="27"/>
  <c r="CW40" i="27"/>
  <c r="CT40" i="27"/>
  <c r="CJ40" i="27"/>
  <c r="BP40" i="27"/>
  <c r="BO40" i="27" s="1"/>
  <c r="AL40" i="27"/>
  <c r="AH40" i="27"/>
  <c r="T40" i="27"/>
  <c r="G40" i="27"/>
  <c r="D40" i="27"/>
  <c r="FX39" i="27"/>
  <c r="FI39" i="27"/>
  <c r="FG39" i="27"/>
  <c r="EW39" i="27"/>
  <c r="DV39" i="27"/>
  <c r="CZ39" i="27"/>
  <c r="CW39" i="27"/>
  <c r="CT39" i="27"/>
  <c r="CJ39" i="27"/>
  <c r="BP39" i="27"/>
  <c r="BO39" i="27" s="1"/>
  <c r="AL39" i="27"/>
  <c r="AH39" i="27"/>
  <c r="T39" i="27"/>
  <c r="G39" i="27"/>
  <c r="D39" i="27"/>
  <c r="FX38" i="27"/>
  <c r="FI38" i="27"/>
  <c r="EW38" i="27"/>
  <c r="FG38" i="27" s="1"/>
  <c r="EP38" i="27"/>
  <c r="DV38" i="27"/>
  <c r="CZ38" i="27"/>
  <c r="CW38" i="27"/>
  <c r="CT38" i="27"/>
  <c r="CJ38" i="27"/>
  <c r="BP38" i="27"/>
  <c r="BO38" i="27"/>
  <c r="AL38" i="27"/>
  <c r="AH38" i="27"/>
  <c r="T38" i="27"/>
  <c r="G38" i="27"/>
  <c r="D38" i="27"/>
  <c r="GI37" i="27"/>
  <c r="GI50" i="27" s="1"/>
  <c r="GD37" i="27"/>
  <c r="GE37" i="27" s="1"/>
  <c r="GC37" i="27"/>
  <c r="GC50" i="27" s="1"/>
  <c r="GB37" i="27"/>
  <c r="GB50" i="27" s="1"/>
  <c r="GA37" i="27"/>
  <c r="GA50" i="27" s="1"/>
  <c r="FZ37" i="27"/>
  <c r="FZ50" i="27" s="1"/>
  <c r="FY37" i="27"/>
  <c r="FY50" i="27" s="1"/>
  <c r="FX37" i="27"/>
  <c r="FW37" i="27"/>
  <c r="FW50" i="27" s="1"/>
  <c r="FX50" i="27" s="1"/>
  <c r="FM37" i="27"/>
  <c r="FM50" i="27" s="1"/>
  <c r="FL37" i="27"/>
  <c r="FL50" i="27" s="1"/>
  <c r="FK37" i="27"/>
  <c r="FK50" i="27" s="1"/>
  <c r="FJ37" i="27"/>
  <c r="FJ50" i="27" s="1"/>
  <c r="FI37" i="27"/>
  <c r="FH37" i="27"/>
  <c r="FH50" i="27" s="1"/>
  <c r="FF37" i="27"/>
  <c r="FF50" i="27" s="1"/>
  <c r="FE37" i="27"/>
  <c r="FE50" i="27" s="1"/>
  <c r="FD37" i="27"/>
  <c r="FD50" i="27" s="1"/>
  <c r="FC37" i="27"/>
  <c r="FC50" i="27" s="1"/>
  <c r="FA37" i="27"/>
  <c r="FA50" i="27" s="1"/>
  <c r="EZ37" i="27"/>
  <c r="EZ50" i="27" s="1"/>
  <c r="EY37" i="27"/>
  <c r="EX37" i="27"/>
  <c r="EW37" i="27" s="1"/>
  <c r="EV37" i="27"/>
  <c r="EV50" i="27" s="1"/>
  <c r="EU37" i="27"/>
  <c r="ET37" i="27"/>
  <c r="ET50" i="27" s="1"/>
  <c r="ES37" i="27"/>
  <c r="ES50" i="27" s="1"/>
  <c r="ER37" i="27"/>
  <c r="ER50" i="27" s="1"/>
  <c r="EQ37" i="27"/>
  <c r="EO37" i="27"/>
  <c r="EO50" i="27" s="1"/>
  <c r="EN37" i="27"/>
  <c r="EN50" i="27" s="1"/>
  <c r="EM37" i="27"/>
  <c r="EM50" i="27" s="1"/>
  <c r="EJ37" i="27"/>
  <c r="EJ50" i="27" s="1"/>
  <c r="EI37" i="27"/>
  <c r="EI50" i="27" s="1"/>
  <c r="EH37" i="27"/>
  <c r="EH50" i="27" s="1"/>
  <c r="FI50" i="27" s="1"/>
  <c r="EG37" i="27"/>
  <c r="EF37" i="27"/>
  <c r="EF50" i="27" s="1"/>
  <c r="ED37" i="27"/>
  <c r="ED50" i="27" s="1"/>
  <c r="EC37" i="27"/>
  <c r="EC50" i="27" s="1"/>
  <c r="EB37" i="27"/>
  <c r="EB50" i="27" s="1"/>
  <c r="EA37" i="27"/>
  <c r="EA50" i="27" s="1"/>
  <c r="DZ37" i="27"/>
  <c r="DZ50" i="27" s="1"/>
  <c r="DY37" i="27"/>
  <c r="DY50" i="27" s="1"/>
  <c r="DX37" i="27"/>
  <c r="DW37" i="27"/>
  <c r="DU37" i="27"/>
  <c r="DU50" i="27" s="1"/>
  <c r="DT37" i="27"/>
  <c r="DT50" i="27" s="1"/>
  <c r="DS37" i="27"/>
  <c r="DS50" i="27" s="1"/>
  <c r="DR37" i="27"/>
  <c r="DR50" i="27" s="1"/>
  <c r="DQ37" i="27"/>
  <c r="DQ50" i="27" s="1"/>
  <c r="DP37" i="27"/>
  <c r="DO37" i="27"/>
  <c r="DN37" i="27"/>
  <c r="DN50" i="27" s="1"/>
  <c r="DM37" i="27"/>
  <c r="DM50" i="27" s="1"/>
  <c r="DL37" i="27"/>
  <c r="DL50" i="27" s="1"/>
  <c r="DK37" i="27"/>
  <c r="DK50" i="27" s="1"/>
  <c r="DJ37" i="27"/>
  <c r="DJ50" i="27" s="1"/>
  <c r="DI37" i="27"/>
  <c r="DI50" i="27" s="1"/>
  <c r="DH37" i="27"/>
  <c r="DG37" i="27"/>
  <c r="DF37" i="27"/>
  <c r="DF50" i="27" s="1"/>
  <c r="DE37" i="27"/>
  <c r="DE50" i="27" s="1"/>
  <c r="DD37" i="27"/>
  <c r="DD50" i="27" s="1"/>
  <c r="DC37" i="27"/>
  <c r="DC50" i="27" s="1"/>
  <c r="DB37" i="27"/>
  <c r="DB50" i="27" s="1"/>
  <c r="DA37" i="27"/>
  <c r="DA50" i="27" s="1"/>
  <c r="CZ50" i="27" s="1"/>
  <c r="CY37" i="27"/>
  <c r="CW37" i="27" s="1"/>
  <c r="CX37" i="27"/>
  <c r="CX50" i="27" s="1"/>
  <c r="CV37" i="27"/>
  <c r="CV50" i="27" s="1"/>
  <c r="CU37" i="27"/>
  <c r="CU50" i="27" s="1"/>
  <c r="CT50" i="27" s="1"/>
  <c r="CT37" i="27"/>
  <c r="CS37" i="27"/>
  <c r="CS50" i="27" s="1"/>
  <c r="CR37" i="27"/>
  <c r="CR50" i="27" s="1"/>
  <c r="CQ37" i="27"/>
  <c r="CP37" i="27"/>
  <c r="CP50" i="27" s="1"/>
  <c r="CO37" i="27"/>
  <c r="CO50" i="27" s="1"/>
  <c r="CN37" i="27"/>
  <c r="CN50" i="27" s="1"/>
  <c r="CM37" i="27"/>
  <c r="CM50" i="27" s="1"/>
  <c r="CL37" i="27"/>
  <c r="CL50" i="27" s="1"/>
  <c r="CK37" i="27"/>
  <c r="CK50" i="27" s="1"/>
  <c r="CJ37" i="27"/>
  <c r="CI37" i="27"/>
  <c r="CH37" i="27"/>
  <c r="CH50" i="27" s="1"/>
  <c r="CG37" i="27"/>
  <c r="CG50" i="27" s="1"/>
  <c r="CF37" i="27"/>
  <c r="CF50" i="27" s="1"/>
  <c r="CE37" i="27"/>
  <c r="CE50" i="27" s="1"/>
  <c r="CD37" i="27"/>
  <c r="CD50" i="27" s="1"/>
  <c r="CC37" i="27"/>
  <c r="CC50" i="27" s="1"/>
  <c r="CB37" i="27"/>
  <c r="CB50" i="27" s="1"/>
  <c r="CA37" i="27"/>
  <c r="BZ37" i="27"/>
  <c r="BZ50" i="27" s="1"/>
  <c r="BY37" i="27"/>
  <c r="BY50" i="27" s="1"/>
  <c r="BX37" i="27"/>
  <c r="BX50" i="27" s="1"/>
  <c r="BW37" i="27"/>
  <c r="BW50" i="27" s="1"/>
  <c r="BU37" i="27"/>
  <c r="BU50" i="27" s="1"/>
  <c r="BS37" i="27"/>
  <c r="BS50" i="27" s="1"/>
  <c r="BR37" i="27"/>
  <c r="BR50" i="27" s="1"/>
  <c r="BQ37" i="27"/>
  <c r="BN37" i="27"/>
  <c r="BM37" i="27"/>
  <c r="BM50" i="27" s="1"/>
  <c r="BL37" i="27"/>
  <c r="BL50" i="27" s="1"/>
  <c r="BK37" i="27"/>
  <c r="BK50" i="27" s="1"/>
  <c r="BJ37" i="27"/>
  <c r="BJ50" i="27" s="1"/>
  <c r="BI37" i="27"/>
  <c r="BI50" i="27" s="1"/>
  <c r="BH37" i="27"/>
  <c r="BH50" i="27" s="1"/>
  <c r="BG37" i="27"/>
  <c r="BG50" i="27" s="1"/>
  <c r="BF37" i="27"/>
  <c r="BF50" i="27" s="1"/>
  <c r="BE37" i="27"/>
  <c r="BE50" i="27" s="1"/>
  <c r="BD37" i="27"/>
  <c r="BD50" i="27" s="1"/>
  <c r="BC37" i="27"/>
  <c r="BC50" i="27" s="1"/>
  <c r="BB37" i="27"/>
  <c r="BB50" i="27" s="1"/>
  <c r="BA37" i="27"/>
  <c r="AZ37" i="27"/>
  <c r="AZ50" i="27" s="1"/>
  <c r="AY37" i="27"/>
  <c r="AY50" i="27" s="1"/>
  <c r="AX37" i="27"/>
  <c r="AX50" i="27" s="1"/>
  <c r="AW37" i="27"/>
  <c r="AW50" i="27" s="1"/>
  <c r="AV37" i="27"/>
  <c r="AV50" i="27" s="1"/>
  <c r="AU37" i="27"/>
  <c r="AU50" i="27" s="1"/>
  <c r="AT37" i="27"/>
  <c r="AT50" i="27" s="1"/>
  <c r="AS37" i="27"/>
  <c r="AS50" i="27" s="1"/>
  <c r="AR37" i="27"/>
  <c r="AR50" i="27" s="1"/>
  <c r="AQ37" i="27"/>
  <c r="AQ50" i="27" s="1"/>
  <c r="AP37" i="27"/>
  <c r="AP50" i="27" s="1"/>
  <c r="AO37" i="27"/>
  <c r="AO50" i="27" s="1"/>
  <c r="AN37" i="27"/>
  <c r="AN50" i="27" s="1"/>
  <c r="AM37" i="27"/>
  <c r="AM50" i="27" s="1"/>
  <c r="AL50" i="27" s="1"/>
  <c r="AL37" i="27"/>
  <c r="AK37" i="27"/>
  <c r="AK50" i="27" s="1"/>
  <c r="AJ37" i="27"/>
  <c r="AJ50" i="27" s="1"/>
  <c r="AI37" i="27"/>
  <c r="AI50" i="27" s="1"/>
  <c r="AH37" i="27"/>
  <c r="AG37" i="27"/>
  <c r="AG50" i="27" s="1"/>
  <c r="AF37" i="27"/>
  <c r="AF50" i="27" s="1"/>
  <c r="AE37" i="27"/>
  <c r="AE50" i="27" s="1"/>
  <c r="AD37" i="27"/>
  <c r="AD50" i="27" s="1"/>
  <c r="AC37" i="27"/>
  <c r="AC50" i="27" s="1"/>
  <c r="AB37" i="27"/>
  <c r="AB50" i="27" s="1"/>
  <c r="AA37" i="27"/>
  <c r="AA50" i="27" s="1"/>
  <c r="Z37" i="27"/>
  <c r="Z50" i="27" s="1"/>
  <c r="Y37" i="27"/>
  <c r="Y50" i="27" s="1"/>
  <c r="X37" i="27"/>
  <c r="X50" i="27" s="1"/>
  <c r="U37" i="27"/>
  <c r="U50" i="27" s="1"/>
  <c r="T50" i="27" s="1"/>
  <c r="T37" i="27"/>
  <c r="R37" i="27"/>
  <c r="Q37" i="27"/>
  <c r="Q50" i="27" s="1"/>
  <c r="P37" i="27"/>
  <c r="P50" i="27" s="1"/>
  <c r="O37" i="27"/>
  <c r="O50" i="27" s="1"/>
  <c r="N37" i="27"/>
  <c r="N50" i="27" s="1"/>
  <c r="M37" i="27"/>
  <c r="M50" i="27" s="1"/>
  <c r="L37" i="27"/>
  <c r="L50" i="27" s="1"/>
  <c r="K37" i="27"/>
  <c r="K50" i="27" s="1"/>
  <c r="J37" i="27"/>
  <c r="J50" i="27" s="1"/>
  <c r="I37" i="27"/>
  <c r="I50" i="27" s="1"/>
  <c r="H37" i="27"/>
  <c r="H50" i="27" s="1"/>
  <c r="G37" i="27"/>
  <c r="F37" i="27"/>
  <c r="F50" i="27" s="1"/>
  <c r="E37" i="27"/>
  <c r="E50" i="27" s="1"/>
  <c r="D50" i="27" s="1"/>
  <c r="D37" i="27"/>
  <c r="C37" i="27"/>
  <c r="C50" i="27" s="1"/>
  <c r="GE36" i="27"/>
  <c r="FX36" i="27"/>
  <c r="FI36" i="27"/>
  <c r="FG36" i="27"/>
  <c r="EW36" i="27"/>
  <c r="DV36" i="27"/>
  <c r="CZ36" i="27"/>
  <c r="CW36" i="27"/>
  <c r="CT36" i="27"/>
  <c r="CJ36" i="27"/>
  <c r="BP36" i="27"/>
  <c r="BO36" i="27" s="1"/>
  <c r="AL36" i="27"/>
  <c r="AH36" i="27"/>
  <c r="T36" i="27"/>
  <c r="EP36" i="27" s="1"/>
  <c r="G36" i="27"/>
  <c r="D36" i="27"/>
  <c r="GE35" i="27"/>
  <c r="FX35" i="27"/>
  <c r="FI35" i="27"/>
  <c r="EW35" i="27"/>
  <c r="FG35" i="27" s="1"/>
  <c r="EP35" i="27"/>
  <c r="DV35" i="27"/>
  <c r="CZ35" i="27"/>
  <c r="CW35" i="27"/>
  <c r="CT35" i="27"/>
  <c r="CJ35" i="27"/>
  <c r="BP35" i="27"/>
  <c r="BO35" i="27"/>
  <c r="AL35" i="27"/>
  <c r="AH35" i="27"/>
  <c r="T35" i="27"/>
  <c r="G35" i="27"/>
  <c r="D35" i="27"/>
  <c r="GE34" i="27"/>
  <c r="FX34" i="27"/>
  <c r="FI34" i="27"/>
  <c r="FG34" i="27"/>
  <c r="EW34" i="27"/>
  <c r="DV34" i="27"/>
  <c r="CZ34" i="27"/>
  <c r="CW34" i="27"/>
  <c r="CT34" i="27"/>
  <c r="CJ34" i="27"/>
  <c r="BP34" i="27"/>
  <c r="BO34" i="27"/>
  <c r="AL34" i="27"/>
  <c r="AH34" i="27"/>
  <c r="T34" i="27"/>
  <c r="G34" i="27"/>
  <c r="D34" i="27"/>
  <c r="GE33" i="27"/>
  <c r="FX33" i="27"/>
  <c r="FI33" i="27"/>
  <c r="EW33" i="27"/>
  <c r="FG33" i="27" s="1"/>
  <c r="EP33" i="27"/>
  <c r="DV33" i="27"/>
  <c r="CZ33" i="27"/>
  <c r="CW33" i="27"/>
  <c r="CT33" i="27"/>
  <c r="CJ33" i="27"/>
  <c r="BP33" i="27"/>
  <c r="BO33" i="27"/>
  <c r="AL33" i="27"/>
  <c r="AH33" i="27"/>
  <c r="T33" i="27"/>
  <c r="G33" i="27"/>
  <c r="D33" i="27"/>
  <c r="GE32" i="27"/>
  <c r="FX32" i="27"/>
  <c r="FI32" i="27"/>
  <c r="FG32" i="27"/>
  <c r="EW32" i="27"/>
  <c r="DV32" i="27"/>
  <c r="CZ32" i="27"/>
  <c r="CW32" i="27"/>
  <c r="CT32" i="27"/>
  <c r="CJ32" i="27"/>
  <c r="BP32" i="27"/>
  <c r="BO32" i="27" s="1"/>
  <c r="AL32" i="27"/>
  <c r="AH32" i="27"/>
  <c r="T32" i="27"/>
  <c r="EP32" i="27" s="1"/>
  <c r="G32" i="27"/>
  <c r="D32" i="27"/>
  <c r="GE31" i="27"/>
  <c r="FX31" i="27"/>
  <c r="FI31" i="27"/>
  <c r="FG31" i="27"/>
  <c r="EW31" i="27"/>
  <c r="EP31" i="27"/>
  <c r="DV31" i="27"/>
  <c r="CZ31" i="27"/>
  <c r="CW31" i="27"/>
  <c r="CT31" i="27"/>
  <c r="CJ31" i="27"/>
  <c r="BP31" i="27"/>
  <c r="BO31" i="27" s="1"/>
  <c r="AL31" i="27"/>
  <c r="AH31" i="27"/>
  <c r="T31" i="27"/>
  <c r="G31" i="27"/>
  <c r="D31" i="27"/>
  <c r="GE30" i="27"/>
  <c r="FX30" i="27"/>
  <c r="FI30" i="27"/>
  <c r="EW30" i="27"/>
  <c r="FG30" i="27" s="1"/>
  <c r="DV30" i="27"/>
  <c r="CZ30" i="27"/>
  <c r="CW30" i="27"/>
  <c r="CT30" i="27"/>
  <c r="CJ30" i="27"/>
  <c r="BP30" i="27"/>
  <c r="BO30" i="27"/>
  <c r="AL30" i="27"/>
  <c r="AH30" i="27"/>
  <c r="T30" i="27"/>
  <c r="EP30" i="27" s="1"/>
  <c r="G30" i="27"/>
  <c r="D30" i="27"/>
  <c r="GE29" i="27"/>
  <c r="FX29" i="27"/>
  <c r="FI29" i="27"/>
  <c r="EW29" i="27"/>
  <c r="FG29" i="27" s="1"/>
  <c r="EP29" i="27"/>
  <c r="DV29" i="27"/>
  <c r="CZ29" i="27"/>
  <c r="CW29" i="27"/>
  <c r="CT29" i="27"/>
  <c r="CJ29" i="27"/>
  <c r="BP29" i="27"/>
  <c r="BO29" i="27"/>
  <c r="AL29" i="27"/>
  <c r="AH29" i="27"/>
  <c r="T29" i="27"/>
  <c r="G29" i="27"/>
  <c r="D29" i="27"/>
  <c r="GE28" i="27"/>
  <c r="FX28" i="27"/>
  <c r="FI28" i="27"/>
  <c r="FG28" i="27"/>
  <c r="EW28" i="27"/>
  <c r="DV28" i="27"/>
  <c r="CZ28" i="27"/>
  <c r="CW28" i="27"/>
  <c r="CT28" i="27"/>
  <c r="CJ28" i="27"/>
  <c r="BP28" i="27"/>
  <c r="AL28" i="27"/>
  <c r="AH28" i="27"/>
  <c r="T28" i="27"/>
  <c r="G28" i="27"/>
  <c r="D28" i="27"/>
  <c r="GE27" i="27"/>
  <c r="FX27" i="27"/>
  <c r="FI27" i="27"/>
  <c r="FG27" i="27"/>
  <c r="EW27" i="27"/>
  <c r="DV27" i="27"/>
  <c r="CZ27" i="27"/>
  <c r="CW27" i="27"/>
  <c r="CT27" i="27"/>
  <c r="CJ27" i="27"/>
  <c r="BP27" i="27"/>
  <c r="BO27" i="27" s="1"/>
  <c r="AL27" i="27"/>
  <c r="AH27" i="27"/>
  <c r="T27" i="27"/>
  <c r="G27" i="27"/>
  <c r="D27" i="27"/>
  <c r="GE26" i="27"/>
  <c r="FX26" i="27"/>
  <c r="FI26" i="27"/>
  <c r="EW26" i="27"/>
  <c r="FG26" i="27" s="1"/>
  <c r="DV26" i="27"/>
  <c r="CZ26" i="27"/>
  <c r="CW26" i="27"/>
  <c r="CT26" i="27"/>
  <c r="CJ26" i="27"/>
  <c r="BP26" i="27"/>
  <c r="BO26" i="27"/>
  <c r="AL26" i="27"/>
  <c r="AH26" i="27"/>
  <c r="T26" i="27"/>
  <c r="EP26" i="27" s="1"/>
  <c r="G26" i="27"/>
  <c r="D26" i="27"/>
  <c r="GE25" i="27"/>
  <c r="FX25" i="27"/>
  <c r="FI25" i="27"/>
  <c r="EW25" i="27"/>
  <c r="FG25" i="27" s="1"/>
  <c r="DV25" i="27"/>
  <c r="CZ25" i="27"/>
  <c r="CW25" i="27"/>
  <c r="CT25" i="27"/>
  <c r="CJ25" i="27"/>
  <c r="BP25" i="27"/>
  <c r="BO25" i="27"/>
  <c r="AL25" i="27"/>
  <c r="AH25" i="27"/>
  <c r="T25" i="27"/>
  <c r="EP25" i="27" s="1"/>
  <c r="G25" i="27"/>
  <c r="D25" i="27"/>
  <c r="GE24" i="27"/>
  <c r="FX24" i="27"/>
  <c r="FI24" i="27"/>
  <c r="EW24" i="27"/>
  <c r="FG24" i="27" s="1"/>
  <c r="EP24" i="27"/>
  <c r="DV24" i="27"/>
  <c r="CZ24" i="27"/>
  <c r="CW24" i="27"/>
  <c r="CT24" i="27"/>
  <c r="CJ24" i="27"/>
  <c r="BP24" i="27"/>
  <c r="BO24" i="27"/>
  <c r="AL24" i="27"/>
  <c r="AH24" i="27"/>
  <c r="T24" i="27"/>
  <c r="G24" i="27"/>
  <c r="D24" i="27"/>
  <c r="GE23" i="27"/>
  <c r="FX23" i="27"/>
  <c r="FI23" i="27"/>
  <c r="FG23" i="27"/>
  <c r="EW23" i="27"/>
  <c r="DV23" i="27"/>
  <c r="CZ23" i="27"/>
  <c r="CW23" i="27"/>
  <c r="CT23" i="27"/>
  <c r="CJ23" i="27"/>
  <c r="BP23" i="27"/>
  <c r="AL23" i="27"/>
  <c r="AH23" i="27"/>
  <c r="T23" i="27"/>
  <c r="G23" i="27"/>
  <c r="D23" i="27"/>
  <c r="GE22" i="27"/>
  <c r="FX22" i="27"/>
  <c r="FI22" i="27"/>
  <c r="FG22" i="27"/>
  <c r="EW22" i="27"/>
  <c r="DV22" i="27"/>
  <c r="CZ22" i="27"/>
  <c r="CW22" i="27"/>
  <c r="CT22" i="27"/>
  <c r="CJ22" i="27"/>
  <c r="BP22" i="27"/>
  <c r="BO22" i="27" s="1"/>
  <c r="AL22" i="27"/>
  <c r="AH22" i="27"/>
  <c r="T22" i="27"/>
  <c r="G22" i="27"/>
  <c r="D22" i="27"/>
  <c r="GE21" i="27"/>
  <c r="FX21" i="27"/>
  <c r="FI21" i="27"/>
  <c r="EW21" i="27"/>
  <c r="FG21" i="27" s="1"/>
  <c r="DV21" i="27"/>
  <c r="CZ21" i="27"/>
  <c r="CW21" i="27"/>
  <c r="CT21" i="27"/>
  <c r="CJ21" i="27"/>
  <c r="BP21" i="27"/>
  <c r="BO21" i="27"/>
  <c r="AL21" i="27"/>
  <c r="AH21" i="27"/>
  <c r="T21" i="27"/>
  <c r="EP21" i="27" s="1"/>
  <c r="G21" i="27"/>
  <c r="D21" i="27"/>
  <c r="GE20" i="27"/>
  <c r="FX20" i="27"/>
  <c r="FI20" i="27"/>
  <c r="EW20" i="27"/>
  <c r="FG20" i="27" s="1"/>
  <c r="DV20" i="27"/>
  <c r="CZ20" i="27"/>
  <c r="CW20" i="27"/>
  <c r="CT20" i="27"/>
  <c r="CJ20" i="27"/>
  <c r="BP20" i="27"/>
  <c r="BO20" i="27"/>
  <c r="AL20" i="27"/>
  <c r="AH20" i="27"/>
  <c r="T20" i="27"/>
  <c r="EP20" i="27" s="1"/>
  <c r="G20" i="27"/>
  <c r="D20" i="27"/>
  <c r="GE19" i="27"/>
  <c r="FX19" i="27"/>
  <c r="FI19" i="27"/>
  <c r="EW19" i="27"/>
  <c r="FG19" i="27" s="1"/>
  <c r="EP19" i="27"/>
  <c r="DV19" i="27"/>
  <c r="CZ19" i="27"/>
  <c r="CW19" i="27"/>
  <c r="CT19" i="27"/>
  <c r="CJ19" i="27"/>
  <c r="BP19" i="27"/>
  <c r="BO19" i="27"/>
  <c r="AL19" i="27"/>
  <c r="AH19" i="27"/>
  <c r="T19" i="27"/>
  <c r="G19" i="27"/>
  <c r="D19" i="27"/>
  <c r="GE18" i="27"/>
  <c r="FX18" i="27"/>
  <c r="FI18" i="27"/>
  <c r="FG18" i="27"/>
  <c r="EW18" i="27"/>
  <c r="DV18" i="27"/>
  <c r="CZ18" i="27"/>
  <c r="CW18" i="27"/>
  <c r="CT18" i="27"/>
  <c r="CJ18" i="27"/>
  <c r="BP18" i="27"/>
  <c r="BO18" i="27"/>
  <c r="AL18" i="27"/>
  <c r="AH18" i="27"/>
  <c r="T18" i="27"/>
  <c r="G18" i="27"/>
  <c r="D18" i="27"/>
  <c r="GE17" i="27"/>
  <c r="FX17" i="27"/>
  <c r="FI17" i="27"/>
  <c r="EW17" i="27"/>
  <c r="FG17" i="27" s="1"/>
  <c r="EP17" i="27"/>
  <c r="DV17" i="27"/>
  <c r="CZ17" i="27"/>
  <c r="CW17" i="27"/>
  <c r="CT17" i="27"/>
  <c r="CJ17" i="27"/>
  <c r="BP17" i="27"/>
  <c r="BO17" i="27"/>
  <c r="AL17" i="27"/>
  <c r="AH17" i="27"/>
  <c r="T17" i="27"/>
  <c r="G17" i="27"/>
  <c r="D17" i="27"/>
  <c r="GE16" i="27"/>
  <c r="FX16" i="27"/>
  <c r="FI16" i="27"/>
  <c r="FG16" i="27"/>
  <c r="EW16" i="27"/>
  <c r="DV16" i="27"/>
  <c r="CZ16" i="27"/>
  <c r="CW16" i="27"/>
  <c r="CT16" i="27"/>
  <c r="CJ16" i="27"/>
  <c r="BP16" i="27"/>
  <c r="BO16" i="27" s="1"/>
  <c r="AL16" i="27"/>
  <c r="AH16" i="27"/>
  <c r="T16" i="27"/>
  <c r="EP16" i="27" s="1"/>
  <c r="G16" i="27"/>
  <c r="D16" i="27"/>
  <c r="GE15" i="27"/>
  <c r="FX15" i="27"/>
  <c r="FI15" i="27"/>
  <c r="EW15" i="27"/>
  <c r="FG15" i="27" s="1"/>
  <c r="EP15" i="27"/>
  <c r="DV15" i="27"/>
  <c r="CZ15" i="27"/>
  <c r="CW15" i="27"/>
  <c r="CT15" i="27"/>
  <c r="CJ15" i="27"/>
  <c r="BP15" i="27"/>
  <c r="BO15" i="27"/>
  <c r="AL15" i="27"/>
  <c r="AH15" i="27"/>
  <c r="T15" i="27"/>
  <c r="G15" i="27"/>
  <c r="D15" i="27"/>
  <c r="GE14" i="27"/>
  <c r="FX14" i="27"/>
  <c r="FI14" i="27"/>
  <c r="EW14" i="27"/>
  <c r="FG14" i="27" s="1"/>
  <c r="DV14" i="27"/>
  <c r="CZ14" i="27"/>
  <c r="CW14" i="27"/>
  <c r="CT14" i="27"/>
  <c r="CJ14" i="27"/>
  <c r="BP14" i="27"/>
  <c r="BO14" i="27"/>
  <c r="AL14" i="27"/>
  <c r="AH14" i="27"/>
  <c r="T14" i="27"/>
  <c r="EP14" i="27" s="1"/>
  <c r="G14" i="27"/>
  <c r="D14" i="27"/>
  <c r="GE13" i="27"/>
  <c r="FX13" i="27"/>
  <c r="FI13" i="27"/>
  <c r="EW13" i="27"/>
  <c r="FG13" i="27" s="1"/>
  <c r="EP13" i="27"/>
  <c r="DV13" i="27"/>
  <c r="CZ13" i="27"/>
  <c r="CW13" i="27"/>
  <c r="CT13" i="27"/>
  <c r="CJ13" i="27"/>
  <c r="BP13" i="27"/>
  <c r="BO13" i="27"/>
  <c r="AL13" i="27"/>
  <c r="AH13" i="27"/>
  <c r="T13" i="27"/>
  <c r="G13" i="27"/>
  <c r="D13" i="27"/>
  <c r="GE12" i="27"/>
  <c r="FX12" i="27"/>
  <c r="FI12" i="27"/>
  <c r="FG12" i="27"/>
  <c r="EW12" i="27"/>
  <c r="DV12" i="27"/>
  <c r="CZ12" i="27"/>
  <c r="CW12" i="27"/>
  <c r="CT12" i="27"/>
  <c r="CJ12" i="27"/>
  <c r="BP12" i="27"/>
  <c r="AL12" i="27"/>
  <c r="AH12" i="27"/>
  <c r="T12" i="27"/>
  <c r="G12" i="27"/>
  <c r="D12" i="27"/>
  <c r="GE11" i="27"/>
  <c r="FX11" i="27"/>
  <c r="FI11" i="27"/>
  <c r="FG11" i="27"/>
  <c r="EW11" i="27"/>
  <c r="DV11" i="27"/>
  <c r="CZ11" i="27"/>
  <c r="CW11" i="27"/>
  <c r="CT11" i="27"/>
  <c r="CJ11" i="27"/>
  <c r="BP11" i="27"/>
  <c r="BO11" i="27" s="1"/>
  <c r="AL11" i="27"/>
  <c r="AH11" i="27"/>
  <c r="T11" i="27"/>
  <c r="G11" i="27"/>
  <c r="D11" i="27"/>
  <c r="GE10" i="27"/>
  <c r="FX10" i="27"/>
  <c r="FI10" i="27"/>
  <c r="EW10" i="27"/>
  <c r="FG10" i="27" s="1"/>
  <c r="DV10" i="27"/>
  <c r="CZ10" i="27"/>
  <c r="CW10" i="27"/>
  <c r="CT10" i="27"/>
  <c r="CJ10" i="27"/>
  <c r="BP10" i="27"/>
  <c r="BO10" i="27"/>
  <c r="AL10" i="27"/>
  <c r="AH10" i="27"/>
  <c r="T10" i="27"/>
  <c r="EP10" i="27" s="1"/>
  <c r="G10" i="27"/>
  <c r="D10" i="27"/>
  <c r="GE9" i="27"/>
  <c r="FX9" i="27"/>
  <c r="FI9" i="27"/>
  <c r="EW9" i="27"/>
  <c r="FG9" i="27" s="1"/>
  <c r="DV9" i="27"/>
  <c r="CZ9" i="27"/>
  <c r="CW9" i="27"/>
  <c r="CT9" i="27"/>
  <c r="CJ9" i="27"/>
  <c r="BP9" i="27"/>
  <c r="BO9" i="27"/>
  <c r="AL9" i="27"/>
  <c r="AH9" i="27"/>
  <c r="T9" i="27"/>
  <c r="EP9" i="27" s="1"/>
  <c r="G9" i="27"/>
  <c r="D9" i="27"/>
  <c r="GE8" i="27"/>
  <c r="FX8" i="27"/>
  <c r="FI8" i="27"/>
  <c r="EW8" i="27"/>
  <c r="FG8" i="27" s="1"/>
  <c r="EP8" i="27"/>
  <c r="DV8" i="27"/>
  <c r="CZ8" i="27"/>
  <c r="CW8" i="27"/>
  <c r="CT8" i="27"/>
  <c r="CJ8" i="27"/>
  <c r="BP8" i="27"/>
  <c r="BO8" i="27"/>
  <c r="AL8" i="27"/>
  <c r="AH8" i="27"/>
  <c r="T8" i="27"/>
  <c r="G8" i="27"/>
  <c r="D8" i="27"/>
  <c r="GE7" i="27"/>
  <c r="FX7" i="27"/>
  <c r="FI7" i="27"/>
  <c r="FG7" i="27"/>
  <c r="EW7" i="27"/>
  <c r="DV7" i="27"/>
  <c r="CZ7" i="27"/>
  <c r="CW7" i="27"/>
  <c r="CT7" i="27"/>
  <c r="CJ7" i="27"/>
  <c r="BP7" i="27"/>
  <c r="AL7" i="27"/>
  <c r="AH7" i="27"/>
  <c r="T7" i="27"/>
  <c r="G7" i="27"/>
  <c r="D7" i="27"/>
  <c r="GE6" i="27"/>
  <c r="FX6" i="27"/>
  <c r="FI6" i="27"/>
  <c r="EW6" i="27"/>
  <c r="FG6" i="27" s="1"/>
  <c r="DV6" i="27"/>
  <c r="CZ6" i="27"/>
  <c r="CW6" i="27"/>
  <c r="CT6" i="27"/>
  <c r="CJ6" i="27"/>
  <c r="BP6" i="27"/>
  <c r="BO6" i="27" s="1"/>
  <c r="AL6" i="27"/>
  <c r="AH6" i="27"/>
  <c r="T6" i="27"/>
  <c r="G6" i="27"/>
  <c r="D6" i="27"/>
  <c r="FJ53" i="26"/>
  <c r="FJ52" i="26"/>
  <c r="GI50" i="26"/>
  <c r="FJ50" i="26"/>
  <c r="FC50" i="26"/>
  <c r="EY50" i="26"/>
  <c r="EX50" i="26"/>
  <c r="ES50" i="26"/>
  <c r="ER50" i="26"/>
  <c r="EQ50" i="26"/>
  <c r="EM50" i="26"/>
  <c r="EF50" i="26"/>
  <c r="DZ50" i="26"/>
  <c r="DW50" i="26"/>
  <c r="DS50" i="26"/>
  <c r="DP50" i="26"/>
  <c r="DO50" i="26"/>
  <c r="DI50" i="26"/>
  <c r="DG50" i="26"/>
  <c r="DD50" i="26"/>
  <c r="CY50" i="26"/>
  <c r="CQ50" i="26"/>
  <c r="CM50" i="26"/>
  <c r="CI50" i="26"/>
  <c r="CC50" i="26"/>
  <c r="CA50" i="26"/>
  <c r="BS50" i="26"/>
  <c r="BR50" i="26"/>
  <c r="BJ50" i="26"/>
  <c r="BF50" i="26"/>
  <c r="BC50" i="26"/>
  <c r="BB50" i="26"/>
  <c r="AV50" i="26"/>
  <c r="AT50" i="26"/>
  <c r="AM50" i="26"/>
  <c r="AG50" i="26"/>
  <c r="AD50" i="26"/>
  <c r="Z50" i="26"/>
  <c r="U50" i="26"/>
  <c r="M50" i="26"/>
  <c r="K50" i="26"/>
  <c r="H50" i="26"/>
  <c r="C50" i="26"/>
  <c r="GI49" i="26"/>
  <c r="GD49" i="26"/>
  <c r="GC49" i="26"/>
  <c r="GC50" i="26" s="1"/>
  <c r="GB49" i="26"/>
  <c r="GA49" i="26"/>
  <c r="FZ49" i="26"/>
  <c r="FY49" i="26"/>
  <c r="FY50" i="26" s="1"/>
  <c r="FW49" i="26"/>
  <c r="FX49" i="26" s="1"/>
  <c r="FM49" i="26"/>
  <c r="FL49" i="26"/>
  <c r="FL50" i="26" s="1"/>
  <c r="FK49" i="26"/>
  <c r="FK50" i="26" s="1"/>
  <c r="FJ49" i="26"/>
  <c r="FH49" i="26"/>
  <c r="FF49" i="26"/>
  <c r="FE49" i="26"/>
  <c r="FD49" i="26"/>
  <c r="FC49" i="26"/>
  <c r="FA49" i="26"/>
  <c r="EW49" i="26" s="1"/>
  <c r="EZ49" i="26"/>
  <c r="EY49" i="26"/>
  <c r="EX49" i="26"/>
  <c r="EV49" i="26"/>
  <c r="EU49" i="26"/>
  <c r="ET49" i="26"/>
  <c r="ET50" i="26" s="1"/>
  <c r="ES49" i="26"/>
  <c r="ER49" i="26"/>
  <c r="EQ49" i="26"/>
  <c r="EO49" i="26"/>
  <c r="EN49" i="26"/>
  <c r="EM49" i="26"/>
  <c r="EJ49" i="26"/>
  <c r="EI49" i="26"/>
  <c r="EH49" i="26"/>
  <c r="FI49" i="26" s="1"/>
  <c r="EG49" i="26"/>
  <c r="EG50" i="26" s="1"/>
  <c r="EF49" i="26"/>
  <c r="ED49" i="26"/>
  <c r="EC49" i="26"/>
  <c r="EB49" i="26"/>
  <c r="EA49" i="26"/>
  <c r="DZ49" i="26"/>
  <c r="DY49" i="26"/>
  <c r="DX49" i="26"/>
  <c r="DV49" i="26" s="1"/>
  <c r="DW49" i="26"/>
  <c r="DU49" i="26"/>
  <c r="DT49" i="26"/>
  <c r="DS49" i="26"/>
  <c r="DR49" i="26"/>
  <c r="DR50" i="26" s="1"/>
  <c r="DQ49" i="26"/>
  <c r="DQ50" i="26" s="1"/>
  <c r="DP49" i="26"/>
  <c r="DO49" i="26"/>
  <c r="DN49" i="26"/>
  <c r="DM49" i="26"/>
  <c r="DL49" i="26"/>
  <c r="DK49" i="26"/>
  <c r="DJ49" i="26"/>
  <c r="DJ50" i="26" s="1"/>
  <c r="DI49" i="26"/>
  <c r="DH49" i="26"/>
  <c r="DH50" i="26" s="1"/>
  <c r="DG49" i="26"/>
  <c r="DF49" i="26"/>
  <c r="DE49" i="26"/>
  <c r="DD49" i="26"/>
  <c r="DC49" i="26"/>
  <c r="DB49" i="26"/>
  <c r="DA49" i="26"/>
  <c r="CZ49" i="26" s="1"/>
  <c r="CY49" i="26"/>
  <c r="CX49" i="26"/>
  <c r="CW49" i="26"/>
  <c r="CV49" i="26"/>
  <c r="CU49" i="26"/>
  <c r="CT49" i="26"/>
  <c r="CS49" i="26"/>
  <c r="CR49" i="26"/>
  <c r="CR50" i="26" s="1"/>
  <c r="CQ49" i="26"/>
  <c r="CP49" i="26"/>
  <c r="CO49" i="26"/>
  <c r="CN49" i="26"/>
  <c r="CM49" i="26"/>
  <c r="CL49" i="26"/>
  <c r="CK49" i="26"/>
  <c r="CK50" i="26" s="1"/>
  <c r="CJ49" i="26"/>
  <c r="CI49" i="26"/>
  <c r="CH49" i="26"/>
  <c r="CG49" i="26"/>
  <c r="CF49" i="26"/>
  <c r="CE49" i="26"/>
  <c r="CD49" i="26"/>
  <c r="CC49" i="26"/>
  <c r="CB49" i="26"/>
  <c r="CB50" i="26" s="1"/>
  <c r="CA49" i="26"/>
  <c r="BZ49" i="26"/>
  <c r="BY49" i="26"/>
  <c r="BX49" i="26"/>
  <c r="BW49" i="26"/>
  <c r="BU49" i="26"/>
  <c r="BT49" i="26"/>
  <c r="BS49" i="26"/>
  <c r="BP49" i="26" s="1"/>
  <c r="BR49" i="26"/>
  <c r="BQ49" i="26"/>
  <c r="BN49" i="26"/>
  <c r="BO49" i="26" s="1"/>
  <c r="BM49" i="26"/>
  <c r="BM50" i="26" s="1"/>
  <c r="BL49" i="26"/>
  <c r="BK49" i="26"/>
  <c r="BK50" i="26" s="1"/>
  <c r="BJ49" i="26"/>
  <c r="BI49" i="26"/>
  <c r="BH49" i="26"/>
  <c r="BG49" i="26"/>
  <c r="BF49" i="26"/>
  <c r="BE49" i="26"/>
  <c r="BD49" i="26"/>
  <c r="BC49" i="26"/>
  <c r="BB49" i="26"/>
  <c r="BA49" i="26"/>
  <c r="AZ49" i="26"/>
  <c r="AY49" i="26"/>
  <c r="AX49" i="26"/>
  <c r="AW49" i="26"/>
  <c r="AV49" i="26"/>
  <c r="AU49" i="26"/>
  <c r="AU50" i="26" s="1"/>
  <c r="AT49" i="26"/>
  <c r="AS49" i="26"/>
  <c r="AR49" i="26"/>
  <c r="AQ49" i="26"/>
  <c r="AP49" i="26"/>
  <c r="AO49" i="26"/>
  <c r="AN49" i="26"/>
  <c r="AM49" i="26"/>
  <c r="AK49" i="26"/>
  <c r="AJ49" i="26"/>
  <c r="AI49" i="26"/>
  <c r="AH49" i="26"/>
  <c r="AG49" i="26"/>
  <c r="AF49" i="26"/>
  <c r="AE49" i="26"/>
  <c r="AE50" i="26" s="1"/>
  <c r="AD49" i="26"/>
  <c r="AC49" i="26"/>
  <c r="AB49" i="26"/>
  <c r="AA49" i="26"/>
  <c r="Z49" i="26"/>
  <c r="Y49" i="26"/>
  <c r="X49" i="26"/>
  <c r="U49" i="26"/>
  <c r="R49" i="26"/>
  <c r="Q49" i="26"/>
  <c r="P49" i="26"/>
  <c r="O49" i="26"/>
  <c r="N49" i="26"/>
  <c r="M49" i="26"/>
  <c r="L49" i="26"/>
  <c r="L50" i="26" s="1"/>
  <c r="K49" i="26"/>
  <c r="J49" i="26"/>
  <c r="I49" i="26"/>
  <c r="G49" i="26" s="1"/>
  <c r="H49" i="26"/>
  <c r="F49" i="26"/>
  <c r="E49" i="26"/>
  <c r="D49" i="26"/>
  <c r="C49" i="26"/>
  <c r="GE48" i="26"/>
  <c r="FX48" i="26"/>
  <c r="FI48" i="26"/>
  <c r="EW48" i="26"/>
  <c r="FG48" i="26" s="1"/>
  <c r="EP48" i="26"/>
  <c r="DV48" i="26"/>
  <c r="CZ48" i="26"/>
  <c r="CW48" i="26"/>
  <c r="CT48" i="26"/>
  <c r="CJ48" i="26"/>
  <c r="BP48" i="26"/>
  <c r="BO48" i="26"/>
  <c r="AL48" i="26"/>
  <c r="AH48" i="26"/>
  <c r="T48" i="26"/>
  <c r="G48" i="26"/>
  <c r="D48" i="26"/>
  <c r="FX47" i="26"/>
  <c r="FI47" i="26"/>
  <c r="EW47" i="26"/>
  <c r="FG47" i="26" s="1"/>
  <c r="EP47" i="26"/>
  <c r="DV47" i="26"/>
  <c r="CZ47" i="26"/>
  <c r="CW47" i="26"/>
  <c r="CT47" i="26"/>
  <c r="CJ47" i="26"/>
  <c r="BP47" i="26"/>
  <c r="BO47" i="26"/>
  <c r="AL47" i="26"/>
  <c r="AH47" i="26"/>
  <c r="T47" i="26"/>
  <c r="G47" i="26"/>
  <c r="D47" i="26"/>
  <c r="GE46" i="26"/>
  <c r="FX46" i="26"/>
  <c r="FI46" i="26"/>
  <c r="FG46" i="26"/>
  <c r="EW46" i="26"/>
  <c r="DV46" i="26"/>
  <c r="CZ46" i="26"/>
  <c r="CW46" i="26"/>
  <c r="CT46" i="26"/>
  <c r="CJ46" i="26"/>
  <c r="BP46" i="26"/>
  <c r="BO46" i="26" s="1"/>
  <c r="AL46" i="26"/>
  <c r="AH46" i="26"/>
  <c r="T46" i="26"/>
  <c r="G46" i="26"/>
  <c r="D46" i="26"/>
  <c r="GE45" i="26"/>
  <c r="FX45" i="26"/>
  <c r="FI45" i="26"/>
  <c r="EW45" i="26"/>
  <c r="FG45" i="26" s="1"/>
  <c r="DV45" i="26"/>
  <c r="CZ45" i="26"/>
  <c r="CW45" i="26"/>
  <c r="CT45" i="26"/>
  <c r="CJ45" i="26"/>
  <c r="BP45" i="26"/>
  <c r="BO45" i="26"/>
  <c r="AL45" i="26"/>
  <c r="AH45" i="26"/>
  <c r="T45" i="26"/>
  <c r="EP45" i="26" s="1"/>
  <c r="G45" i="26"/>
  <c r="D45" i="26"/>
  <c r="FX44" i="26"/>
  <c r="FI44" i="26"/>
  <c r="FG44" i="26"/>
  <c r="EW44" i="26"/>
  <c r="DV44" i="26"/>
  <c r="CZ44" i="26"/>
  <c r="CW44" i="26"/>
  <c r="CT44" i="26"/>
  <c r="CJ44" i="26"/>
  <c r="BP44" i="26"/>
  <c r="AL44" i="26"/>
  <c r="AH44" i="26"/>
  <c r="T44" i="26"/>
  <c r="G44" i="26"/>
  <c r="D44" i="26"/>
  <c r="GE43" i="26"/>
  <c r="FX43" i="26"/>
  <c r="FI43" i="26"/>
  <c r="EW43" i="26"/>
  <c r="FG43" i="26" s="1"/>
  <c r="DV43" i="26"/>
  <c r="CZ43" i="26"/>
  <c r="CW43" i="26"/>
  <c r="CT43" i="26"/>
  <c r="CJ43" i="26"/>
  <c r="BP43" i="26"/>
  <c r="EP43" i="26" s="1"/>
  <c r="BO43" i="26"/>
  <c r="AL43" i="26"/>
  <c r="AH43" i="26"/>
  <c r="T43" i="26"/>
  <c r="G43" i="26"/>
  <c r="D43" i="26"/>
  <c r="GE42" i="26"/>
  <c r="FX42" i="26"/>
  <c r="FI42" i="26"/>
  <c r="EW42" i="26"/>
  <c r="FG42" i="26" s="1"/>
  <c r="DV42" i="26"/>
  <c r="CZ42" i="26"/>
  <c r="CW42" i="26"/>
  <c r="CT42" i="26"/>
  <c r="CJ42" i="26"/>
  <c r="BP42" i="26"/>
  <c r="BO42" i="26" s="1"/>
  <c r="AL42" i="26"/>
  <c r="AH42" i="26"/>
  <c r="T42" i="26"/>
  <c r="G42" i="26"/>
  <c r="D42" i="26"/>
  <c r="FX41" i="26"/>
  <c r="FI41" i="26"/>
  <c r="FG41" i="26"/>
  <c r="EW41" i="26"/>
  <c r="DV41" i="26"/>
  <c r="CZ41" i="26"/>
  <c r="CW41" i="26"/>
  <c r="CT41" i="26"/>
  <c r="CJ41" i="26"/>
  <c r="BP41" i="26"/>
  <c r="BO41" i="26" s="1"/>
  <c r="AL41" i="26"/>
  <c r="AH41" i="26"/>
  <c r="T41" i="26"/>
  <c r="G41" i="26"/>
  <c r="D41" i="26"/>
  <c r="FX40" i="26"/>
  <c r="FI40" i="26"/>
  <c r="EW40" i="26"/>
  <c r="FG40" i="26" s="1"/>
  <c r="DV40" i="26"/>
  <c r="CZ40" i="26"/>
  <c r="CW40" i="26"/>
  <c r="CT40" i="26"/>
  <c r="CJ40" i="26"/>
  <c r="BP40" i="26"/>
  <c r="BO40" i="26"/>
  <c r="AL40" i="26"/>
  <c r="AH40" i="26"/>
  <c r="T40" i="26"/>
  <c r="EP40" i="26" s="1"/>
  <c r="G40" i="26"/>
  <c r="D40" i="26"/>
  <c r="FX39" i="26"/>
  <c r="FI39" i="26"/>
  <c r="EW39" i="26"/>
  <c r="FG39" i="26" s="1"/>
  <c r="DV39" i="26"/>
  <c r="CZ39" i="26"/>
  <c r="CW39" i="26"/>
  <c r="CT39" i="26"/>
  <c r="CJ39" i="26"/>
  <c r="BP39" i="26"/>
  <c r="BO39" i="26"/>
  <c r="AL39" i="26"/>
  <c r="AH39" i="26"/>
  <c r="T39" i="26"/>
  <c r="EP39" i="26" s="1"/>
  <c r="G39" i="26"/>
  <c r="D39" i="26"/>
  <c r="FX38" i="26"/>
  <c r="FI38" i="26"/>
  <c r="FG38" i="26"/>
  <c r="EW38" i="26"/>
  <c r="DV38" i="26"/>
  <c r="CZ38" i="26"/>
  <c r="CW38" i="26"/>
  <c r="CT38" i="26"/>
  <c r="CJ38" i="26"/>
  <c r="BP38" i="26"/>
  <c r="BO38" i="26" s="1"/>
  <c r="AL38" i="26"/>
  <c r="AH38" i="26"/>
  <c r="T38" i="26"/>
  <c r="EP38" i="26" s="1"/>
  <c r="G38" i="26"/>
  <c r="D38" i="26"/>
  <c r="GI37" i="26"/>
  <c r="GE37" i="26"/>
  <c r="GD37" i="26"/>
  <c r="GC37" i="26"/>
  <c r="GB37" i="26"/>
  <c r="GB50" i="26" s="1"/>
  <c r="GA37" i="26"/>
  <c r="GA50" i="26" s="1"/>
  <c r="FZ37" i="26"/>
  <c r="FZ50" i="26" s="1"/>
  <c r="FY37" i="26"/>
  <c r="FW37" i="26"/>
  <c r="FM37" i="26"/>
  <c r="FM50" i="26" s="1"/>
  <c r="FL37" i="26"/>
  <c r="FK37" i="26"/>
  <c r="FJ37" i="26"/>
  <c r="FI37" i="26"/>
  <c r="FH37" i="26"/>
  <c r="FF37" i="26"/>
  <c r="FF50" i="26" s="1"/>
  <c r="FE37" i="26"/>
  <c r="FD37" i="26"/>
  <c r="FD50" i="26" s="1"/>
  <c r="FC37" i="26"/>
  <c r="FA37" i="26"/>
  <c r="EZ37" i="26"/>
  <c r="EZ50" i="26" s="1"/>
  <c r="EY37" i="26"/>
  <c r="EX37" i="26"/>
  <c r="EW37" i="26"/>
  <c r="EV37" i="26"/>
  <c r="EV50" i="26" s="1"/>
  <c r="EU37" i="26"/>
  <c r="EU50" i="26" s="1"/>
  <c r="ET37" i="26"/>
  <c r="ES37" i="26"/>
  <c r="ER37" i="26"/>
  <c r="EQ37" i="26"/>
  <c r="EO37" i="26"/>
  <c r="EO50" i="26" s="1"/>
  <c r="EN37" i="26"/>
  <c r="EN50" i="26" s="1"/>
  <c r="EM37" i="26"/>
  <c r="EJ37" i="26"/>
  <c r="EJ50" i="26" s="1"/>
  <c r="EI37" i="26"/>
  <c r="EI50" i="26" s="1"/>
  <c r="EH37" i="26"/>
  <c r="EG37" i="26"/>
  <c r="EF37" i="26"/>
  <c r="ED37" i="26"/>
  <c r="ED50" i="26" s="1"/>
  <c r="EC37" i="26"/>
  <c r="EC50" i="26" s="1"/>
  <c r="EB37" i="26"/>
  <c r="EB50" i="26" s="1"/>
  <c r="EA37" i="26"/>
  <c r="EA50" i="26" s="1"/>
  <c r="DZ37" i="26"/>
  <c r="DY37" i="26"/>
  <c r="DY50" i="26" s="1"/>
  <c r="DX37" i="26"/>
  <c r="DW37" i="26"/>
  <c r="DV37" i="26"/>
  <c r="DU37" i="26"/>
  <c r="DU50" i="26" s="1"/>
  <c r="DT37" i="26"/>
  <c r="DT50" i="26" s="1"/>
  <c r="DS37" i="26"/>
  <c r="DR37" i="26"/>
  <c r="DQ37" i="26"/>
  <c r="DP37" i="26"/>
  <c r="DO37" i="26"/>
  <c r="DN37" i="26"/>
  <c r="DN50" i="26" s="1"/>
  <c r="DM37" i="26"/>
  <c r="DM50" i="26" s="1"/>
  <c r="DL37" i="26"/>
  <c r="DL50" i="26" s="1"/>
  <c r="DK37" i="26"/>
  <c r="DK50" i="26" s="1"/>
  <c r="DJ37" i="26"/>
  <c r="DI37" i="26"/>
  <c r="DH37" i="26"/>
  <c r="DG37" i="26"/>
  <c r="DF37" i="26"/>
  <c r="DF50" i="26" s="1"/>
  <c r="DE37" i="26"/>
  <c r="DE50" i="26" s="1"/>
  <c r="DD37" i="26"/>
  <c r="DC37" i="26"/>
  <c r="DC50" i="26" s="1"/>
  <c r="DB37" i="26"/>
  <c r="DB50" i="26" s="1"/>
  <c r="DA37" i="26"/>
  <c r="CZ37" i="26" s="1"/>
  <c r="CY37" i="26"/>
  <c r="CX37" i="26"/>
  <c r="CX50" i="26" s="1"/>
  <c r="CW37" i="26"/>
  <c r="CV37" i="26"/>
  <c r="CV50" i="26" s="1"/>
  <c r="CU37" i="26"/>
  <c r="CU50" i="26" s="1"/>
  <c r="CT50" i="26" s="1"/>
  <c r="CT37" i="26"/>
  <c r="CS37" i="26"/>
  <c r="CS50" i="26" s="1"/>
  <c r="CR37" i="26"/>
  <c r="CQ37" i="26"/>
  <c r="CP37" i="26"/>
  <c r="CP50" i="26" s="1"/>
  <c r="CO37" i="26"/>
  <c r="CO50" i="26" s="1"/>
  <c r="CN37" i="26"/>
  <c r="CN50" i="26" s="1"/>
  <c r="CM37" i="26"/>
  <c r="CL37" i="26"/>
  <c r="CL50" i="26" s="1"/>
  <c r="CK37" i="26"/>
  <c r="CI37" i="26"/>
  <c r="CH37" i="26"/>
  <c r="CG37" i="26"/>
  <c r="CG50" i="26" s="1"/>
  <c r="CF37" i="26"/>
  <c r="CF50" i="26" s="1"/>
  <c r="CE37" i="26"/>
  <c r="CE50" i="26" s="1"/>
  <c r="CD37" i="26"/>
  <c r="CD50" i="26" s="1"/>
  <c r="CC37" i="26"/>
  <c r="CB37" i="26"/>
  <c r="CA37" i="26"/>
  <c r="BZ37" i="26"/>
  <c r="BZ50" i="26" s="1"/>
  <c r="BY37" i="26"/>
  <c r="BY50" i="26" s="1"/>
  <c r="BX37" i="26"/>
  <c r="BX50" i="26" s="1"/>
  <c r="BW37" i="26"/>
  <c r="BW50" i="26" s="1"/>
  <c r="BU37" i="26"/>
  <c r="BU50" i="26" s="1"/>
  <c r="BT37" i="26"/>
  <c r="BT50" i="26" s="1"/>
  <c r="BS37" i="26"/>
  <c r="BR37" i="26"/>
  <c r="BQ37" i="26"/>
  <c r="BQ50" i="26" s="1"/>
  <c r="BP37" i="26"/>
  <c r="BO37" i="26"/>
  <c r="BN37" i="26"/>
  <c r="BN50" i="26" s="1"/>
  <c r="BM37" i="26"/>
  <c r="BL37" i="26"/>
  <c r="BL50" i="26" s="1"/>
  <c r="BK37" i="26"/>
  <c r="BJ37" i="26"/>
  <c r="BI37" i="26"/>
  <c r="BI50" i="26" s="1"/>
  <c r="BH37" i="26"/>
  <c r="BH50" i="26" s="1"/>
  <c r="BG37" i="26"/>
  <c r="BG50" i="26" s="1"/>
  <c r="BF37" i="26"/>
  <c r="BE37" i="26"/>
  <c r="BE50" i="26" s="1"/>
  <c r="BD37" i="26"/>
  <c r="BD50" i="26" s="1"/>
  <c r="BC37" i="26"/>
  <c r="BB37" i="26"/>
  <c r="BA37" i="26"/>
  <c r="BA50" i="26" s="1"/>
  <c r="AZ37" i="26"/>
  <c r="AZ50" i="26" s="1"/>
  <c r="AY37" i="26"/>
  <c r="AY50" i="26" s="1"/>
  <c r="AX37" i="26"/>
  <c r="AX50" i="26" s="1"/>
  <c r="AW37" i="26"/>
  <c r="AW50" i="26" s="1"/>
  <c r="AV37" i="26"/>
  <c r="AU37" i="26"/>
  <c r="AT37" i="26"/>
  <c r="AS37" i="26"/>
  <c r="AS50" i="26" s="1"/>
  <c r="AR37" i="26"/>
  <c r="AR50" i="26" s="1"/>
  <c r="AQ37" i="26"/>
  <c r="AQ50" i="26" s="1"/>
  <c r="AP37" i="26"/>
  <c r="AP50" i="26" s="1"/>
  <c r="AO37" i="26"/>
  <c r="AO50" i="26" s="1"/>
  <c r="AN37" i="26"/>
  <c r="AL37" i="26" s="1"/>
  <c r="AM37" i="26"/>
  <c r="AK37" i="26"/>
  <c r="AK50" i="26" s="1"/>
  <c r="AJ37" i="26"/>
  <c r="AJ50" i="26" s="1"/>
  <c r="AI37" i="26"/>
  <c r="AI50" i="26" s="1"/>
  <c r="AH50" i="26" s="1"/>
  <c r="AH37" i="26"/>
  <c r="AG37" i="26"/>
  <c r="AF37" i="26"/>
  <c r="AF50" i="26" s="1"/>
  <c r="AE37" i="26"/>
  <c r="AD37" i="26"/>
  <c r="AC37" i="26"/>
  <c r="AC50" i="26" s="1"/>
  <c r="AB37" i="26"/>
  <c r="AB50" i="26" s="1"/>
  <c r="AA37" i="26"/>
  <c r="AA50" i="26" s="1"/>
  <c r="Z37" i="26"/>
  <c r="Y37" i="26"/>
  <c r="Y50" i="26" s="1"/>
  <c r="X37" i="26"/>
  <c r="U37" i="26"/>
  <c r="R37" i="26"/>
  <c r="R50" i="26" s="1"/>
  <c r="Q37" i="26"/>
  <c r="P37" i="26"/>
  <c r="P50" i="26" s="1"/>
  <c r="O37" i="26"/>
  <c r="O50" i="26" s="1"/>
  <c r="N37" i="26"/>
  <c r="N50" i="26" s="1"/>
  <c r="M37" i="26"/>
  <c r="L37" i="26"/>
  <c r="K37" i="26"/>
  <c r="J37" i="26"/>
  <c r="J50" i="26" s="1"/>
  <c r="I37" i="26"/>
  <c r="H37" i="26"/>
  <c r="G37" i="26"/>
  <c r="F37" i="26"/>
  <c r="F50" i="26" s="1"/>
  <c r="E37" i="26"/>
  <c r="E50" i="26" s="1"/>
  <c r="C37" i="26"/>
  <c r="GE36" i="26"/>
  <c r="FX36" i="26"/>
  <c r="FI36" i="26"/>
  <c r="EW36" i="26"/>
  <c r="FG36" i="26" s="1"/>
  <c r="EP36" i="26"/>
  <c r="DV36" i="26"/>
  <c r="CZ36" i="26"/>
  <c r="CW36" i="26"/>
  <c r="CT36" i="26"/>
  <c r="CJ36" i="26"/>
  <c r="BP36" i="26"/>
  <c r="BO36" i="26"/>
  <c r="AL36" i="26"/>
  <c r="AH36" i="26"/>
  <c r="T36" i="26"/>
  <c r="G36" i="26"/>
  <c r="D36" i="26"/>
  <c r="GE35" i="26"/>
  <c r="FX35" i="26"/>
  <c r="FI35" i="26"/>
  <c r="FG35" i="26"/>
  <c r="EW35" i="26"/>
  <c r="DV35" i="26"/>
  <c r="CZ35" i="26"/>
  <c r="CW35" i="26"/>
  <c r="CT35" i="26"/>
  <c r="CJ35" i="26"/>
  <c r="BP35" i="26"/>
  <c r="BO35" i="26" s="1"/>
  <c r="AL35" i="26"/>
  <c r="AH35" i="26"/>
  <c r="T35" i="26"/>
  <c r="G35" i="26"/>
  <c r="D35" i="26"/>
  <c r="GE34" i="26"/>
  <c r="FX34" i="26"/>
  <c r="FI34" i="26"/>
  <c r="EW34" i="26"/>
  <c r="FG34" i="26" s="1"/>
  <c r="DV34" i="26"/>
  <c r="CZ34" i="26"/>
  <c r="CW34" i="26"/>
  <c r="CT34" i="26"/>
  <c r="CJ34" i="26"/>
  <c r="BP34" i="26"/>
  <c r="BO34" i="26"/>
  <c r="AL34" i="26"/>
  <c r="AH34" i="26"/>
  <c r="T34" i="26"/>
  <c r="EP34" i="26" s="1"/>
  <c r="G34" i="26"/>
  <c r="D34" i="26"/>
  <c r="GE33" i="26"/>
  <c r="FX33" i="26"/>
  <c r="FI33" i="26"/>
  <c r="FG33" i="26"/>
  <c r="EW33" i="26"/>
  <c r="EP33" i="26"/>
  <c r="DV33" i="26"/>
  <c r="CZ33" i="26"/>
  <c r="CW33" i="26"/>
  <c r="CT33" i="26"/>
  <c r="CJ33" i="26"/>
  <c r="BP33" i="26"/>
  <c r="BO33" i="26" s="1"/>
  <c r="AL33" i="26"/>
  <c r="AH33" i="26"/>
  <c r="T33" i="26"/>
  <c r="G33" i="26"/>
  <c r="D33" i="26"/>
  <c r="GE32" i="26"/>
  <c r="FX32" i="26"/>
  <c r="FI32" i="26"/>
  <c r="FG32" i="26"/>
  <c r="EW32" i="26"/>
  <c r="DV32" i="26"/>
  <c r="CZ32" i="26"/>
  <c r="CW32" i="26"/>
  <c r="CT32" i="26"/>
  <c r="CJ32" i="26"/>
  <c r="BP32" i="26"/>
  <c r="BO32" i="26" s="1"/>
  <c r="AL32" i="26"/>
  <c r="AH32" i="26"/>
  <c r="T32" i="26"/>
  <c r="G32" i="26"/>
  <c r="D32" i="26"/>
  <c r="GE31" i="26"/>
  <c r="FX31" i="26"/>
  <c r="FI31" i="26"/>
  <c r="FG31" i="26"/>
  <c r="EW31" i="26"/>
  <c r="DV31" i="26"/>
  <c r="CZ31" i="26"/>
  <c r="CW31" i="26"/>
  <c r="CT31" i="26"/>
  <c r="CJ31" i="26"/>
  <c r="BP31" i="26"/>
  <c r="BO31" i="26" s="1"/>
  <c r="AL31" i="26"/>
  <c r="AH31" i="26"/>
  <c r="T31" i="26"/>
  <c r="EP31" i="26" s="1"/>
  <c r="G31" i="26"/>
  <c r="D31" i="26"/>
  <c r="GE30" i="26"/>
  <c r="FX30" i="26"/>
  <c r="FI30" i="26"/>
  <c r="EW30" i="26"/>
  <c r="FG30" i="26" s="1"/>
  <c r="DV30" i="26"/>
  <c r="CZ30" i="26"/>
  <c r="CW30" i="26"/>
  <c r="CT30" i="26"/>
  <c r="CJ30" i="26"/>
  <c r="BP30" i="26"/>
  <c r="BO30" i="26"/>
  <c r="AL30" i="26"/>
  <c r="AH30" i="26"/>
  <c r="T30" i="26"/>
  <c r="EP30" i="26" s="1"/>
  <c r="G30" i="26"/>
  <c r="D30" i="26"/>
  <c r="GE29" i="26"/>
  <c r="FX29" i="26"/>
  <c r="FI29" i="26"/>
  <c r="EW29" i="26"/>
  <c r="FG29" i="26" s="1"/>
  <c r="EP29" i="26"/>
  <c r="DV29" i="26"/>
  <c r="CZ29" i="26"/>
  <c r="CW29" i="26"/>
  <c r="CT29" i="26"/>
  <c r="CJ29" i="26"/>
  <c r="BP29" i="26"/>
  <c r="BO29" i="26"/>
  <c r="AL29" i="26"/>
  <c r="AH29" i="26"/>
  <c r="T29" i="26"/>
  <c r="G29" i="26"/>
  <c r="D29" i="26"/>
  <c r="GE28" i="26"/>
  <c r="FX28" i="26"/>
  <c r="FI28" i="26"/>
  <c r="FG28" i="26"/>
  <c r="EW28" i="26"/>
  <c r="DV28" i="26"/>
  <c r="CZ28" i="26"/>
  <c r="CW28" i="26"/>
  <c r="CT28" i="26"/>
  <c r="CJ28" i="26"/>
  <c r="BP28" i="26"/>
  <c r="AL28" i="26"/>
  <c r="AH28" i="26"/>
  <c r="T28" i="26"/>
  <c r="G28" i="26"/>
  <c r="D28" i="26"/>
  <c r="GE27" i="26"/>
  <c r="FX27" i="26"/>
  <c r="FI27" i="26"/>
  <c r="FG27" i="26"/>
  <c r="EW27" i="26"/>
  <c r="DV27" i="26"/>
  <c r="CZ27" i="26"/>
  <c r="CW27" i="26"/>
  <c r="CT27" i="26"/>
  <c r="CJ27" i="26"/>
  <c r="BP27" i="26"/>
  <c r="BO27" i="26" s="1"/>
  <c r="AL27" i="26"/>
  <c r="AH27" i="26"/>
  <c r="T27" i="26"/>
  <c r="G27" i="26"/>
  <c r="D27" i="26"/>
  <c r="GE26" i="26"/>
  <c r="FX26" i="26"/>
  <c r="FI26" i="26"/>
  <c r="EW26" i="26"/>
  <c r="FG26" i="26" s="1"/>
  <c r="EP26" i="26"/>
  <c r="DV26" i="26"/>
  <c r="CZ26" i="26"/>
  <c r="CW26" i="26"/>
  <c r="CT26" i="26"/>
  <c r="CJ26" i="26"/>
  <c r="BP26" i="26"/>
  <c r="BO26" i="26"/>
  <c r="AL26" i="26"/>
  <c r="AH26" i="26"/>
  <c r="T26" i="26"/>
  <c r="G26" i="26"/>
  <c r="D26" i="26"/>
  <c r="GE25" i="26"/>
  <c r="FX25" i="26"/>
  <c r="FI25" i="26"/>
  <c r="FG25" i="26"/>
  <c r="EW25" i="26"/>
  <c r="DV25" i="26"/>
  <c r="CZ25" i="26"/>
  <c r="CW25" i="26"/>
  <c r="CT25" i="26"/>
  <c r="CJ25" i="26"/>
  <c r="BP25" i="26"/>
  <c r="BO25" i="26" s="1"/>
  <c r="AL25" i="26"/>
  <c r="AH25" i="26"/>
  <c r="T25" i="26"/>
  <c r="EP25" i="26" s="1"/>
  <c r="G25" i="26"/>
  <c r="D25" i="26"/>
  <c r="GE24" i="26"/>
  <c r="FX24" i="26"/>
  <c r="FI24" i="26"/>
  <c r="EW24" i="26"/>
  <c r="FG24" i="26" s="1"/>
  <c r="EP24" i="26"/>
  <c r="DV24" i="26"/>
  <c r="CZ24" i="26"/>
  <c r="CW24" i="26"/>
  <c r="CT24" i="26"/>
  <c r="CJ24" i="26"/>
  <c r="BP24" i="26"/>
  <c r="BO24" i="26"/>
  <c r="AL24" i="26"/>
  <c r="AH24" i="26"/>
  <c r="T24" i="26"/>
  <c r="G24" i="26"/>
  <c r="D24" i="26"/>
  <c r="GE23" i="26"/>
  <c r="FX23" i="26"/>
  <c r="FI23" i="26"/>
  <c r="FG23" i="26"/>
  <c r="EW23" i="26"/>
  <c r="DV23" i="26"/>
  <c r="CZ23" i="26"/>
  <c r="CW23" i="26"/>
  <c r="CT23" i="26"/>
  <c r="CJ23" i="26"/>
  <c r="BP23" i="26"/>
  <c r="BO23" i="26" s="1"/>
  <c r="AL23" i="26"/>
  <c r="AH23" i="26"/>
  <c r="T23" i="26"/>
  <c r="EP23" i="26" s="1"/>
  <c r="G23" i="26"/>
  <c r="D23" i="26"/>
  <c r="GE22" i="26"/>
  <c r="FX22" i="26"/>
  <c r="FI22" i="26"/>
  <c r="EW22" i="26"/>
  <c r="FG22" i="26" s="1"/>
  <c r="EP22" i="26"/>
  <c r="DV22" i="26"/>
  <c r="CZ22" i="26"/>
  <c r="CW22" i="26"/>
  <c r="CT22" i="26"/>
  <c r="CJ22" i="26"/>
  <c r="BP22" i="26"/>
  <c r="BO22" i="26"/>
  <c r="AL22" i="26"/>
  <c r="AH22" i="26"/>
  <c r="T22" i="26"/>
  <c r="G22" i="26"/>
  <c r="D22" i="26"/>
  <c r="GE21" i="26"/>
  <c r="FX21" i="26"/>
  <c r="FI21" i="26"/>
  <c r="FG21" i="26"/>
  <c r="EW21" i="26"/>
  <c r="DV21" i="26"/>
  <c r="CZ21" i="26"/>
  <c r="CW21" i="26"/>
  <c r="CT21" i="26"/>
  <c r="CJ21" i="26"/>
  <c r="BP21" i="26"/>
  <c r="AL21" i="26"/>
  <c r="AH21" i="26"/>
  <c r="T21" i="26"/>
  <c r="G21" i="26"/>
  <c r="D21" i="26"/>
  <c r="GE20" i="26"/>
  <c r="FX20" i="26"/>
  <c r="FI20" i="26"/>
  <c r="EW20" i="26"/>
  <c r="FG20" i="26" s="1"/>
  <c r="DV20" i="26"/>
  <c r="CZ20" i="26"/>
  <c r="CW20" i="26"/>
  <c r="CT20" i="26"/>
  <c r="CJ20" i="26"/>
  <c r="BP20" i="26"/>
  <c r="EP20" i="26" s="1"/>
  <c r="BO20" i="26"/>
  <c r="AL20" i="26"/>
  <c r="AH20" i="26"/>
  <c r="T20" i="26"/>
  <c r="G20" i="26"/>
  <c r="D20" i="26"/>
  <c r="GE19" i="26"/>
  <c r="FX19" i="26"/>
  <c r="FI19" i="26"/>
  <c r="FG19" i="26"/>
  <c r="EW19" i="26"/>
  <c r="DV19" i="26"/>
  <c r="CZ19" i="26"/>
  <c r="CW19" i="26"/>
  <c r="CT19" i="26"/>
  <c r="CJ19" i="26"/>
  <c r="BP19" i="26"/>
  <c r="BO19" i="26" s="1"/>
  <c r="AL19" i="26"/>
  <c r="AH19" i="26"/>
  <c r="T19" i="26"/>
  <c r="G19" i="26"/>
  <c r="D19" i="26"/>
  <c r="GE18" i="26"/>
  <c r="FX18" i="26"/>
  <c r="FI18" i="26"/>
  <c r="EW18" i="26"/>
  <c r="FG18" i="26" s="1"/>
  <c r="DV18" i="26"/>
  <c r="CZ18" i="26"/>
  <c r="CW18" i="26"/>
  <c r="CT18" i="26"/>
  <c r="CJ18" i="26"/>
  <c r="BP18" i="26"/>
  <c r="BO18" i="26"/>
  <c r="AL18" i="26"/>
  <c r="AH18" i="26"/>
  <c r="T18" i="26"/>
  <c r="EP18" i="26" s="1"/>
  <c r="G18" i="26"/>
  <c r="D18" i="26"/>
  <c r="GE17" i="26"/>
  <c r="FX17" i="26"/>
  <c r="FI17" i="26"/>
  <c r="EW17" i="26"/>
  <c r="FG17" i="26" s="1"/>
  <c r="EP17" i="26"/>
  <c r="DV17" i="26"/>
  <c r="CZ17" i="26"/>
  <c r="CW17" i="26"/>
  <c r="CT17" i="26"/>
  <c r="CJ17" i="26"/>
  <c r="BP17" i="26"/>
  <c r="BO17" i="26"/>
  <c r="AL17" i="26"/>
  <c r="AH17" i="26"/>
  <c r="T17" i="26"/>
  <c r="G17" i="26"/>
  <c r="D17" i="26"/>
  <c r="GE16" i="26"/>
  <c r="FX16" i="26"/>
  <c r="FI16" i="26"/>
  <c r="EW16" i="26"/>
  <c r="FG16" i="26" s="1"/>
  <c r="DV16" i="26"/>
  <c r="CZ16" i="26"/>
  <c r="CW16" i="26"/>
  <c r="CT16" i="26"/>
  <c r="CJ16" i="26"/>
  <c r="BP16" i="26"/>
  <c r="EP16" i="26" s="1"/>
  <c r="BO16" i="26"/>
  <c r="AL16" i="26"/>
  <c r="AH16" i="26"/>
  <c r="T16" i="26"/>
  <c r="G16" i="26"/>
  <c r="D16" i="26"/>
  <c r="GE15" i="26"/>
  <c r="FX15" i="26"/>
  <c r="FI15" i="26"/>
  <c r="FG15" i="26"/>
  <c r="EW15" i="26"/>
  <c r="DV15" i="26"/>
  <c r="CZ15" i="26"/>
  <c r="CW15" i="26"/>
  <c r="CT15" i="26"/>
  <c r="CJ15" i="26"/>
  <c r="BP15" i="26"/>
  <c r="BO15" i="26" s="1"/>
  <c r="AL15" i="26"/>
  <c r="AH15" i="26"/>
  <c r="T15" i="26"/>
  <c r="G15" i="26"/>
  <c r="D15" i="26"/>
  <c r="GE14" i="26"/>
  <c r="FX14" i="26"/>
  <c r="FI14" i="26"/>
  <c r="EW14" i="26"/>
  <c r="FG14" i="26" s="1"/>
  <c r="EP14" i="26"/>
  <c r="DV14" i="26"/>
  <c r="CZ14" i="26"/>
  <c r="CW14" i="26"/>
  <c r="CT14" i="26"/>
  <c r="CJ14" i="26"/>
  <c r="BP14" i="26"/>
  <c r="BO14" i="26"/>
  <c r="AL14" i="26"/>
  <c r="AH14" i="26"/>
  <c r="T14" i="26"/>
  <c r="G14" i="26"/>
  <c r="D14" i="26"/>
  <c r="GE13" i="26"/>
  <c r="FX13" i="26"/>
  <c r="FI13" i="26"/>
  <c r="EW13" i="26"/>
  <c r="FG13" i="26" s="1"/>
  <c r="DV13" i="26"/>
  <c r="CZ13" i="26"/>
  <c r="CW13" i="26"/>
  <c r="CT13" i="26"/>
  <c r="CJ13" i="26"/>
  <c r="BP13" i="26"/>
  <c r="BO13" i="26"/>
  <c r="AL13" i="26"/>
  <c r="AH13" i="26"/>
  <c r="T13" i="26"/>
  <c r="EP13" i="26" s="1"/>
  <c r="G13" i="26"/>
  <c r="D13" i="26"/>
  <c r="GE12" i="26"/>
  <c r="FX12" i="26"/>
  <c r="FI12" i="26"/>
  <c r="EW12" i="26"/>
  <c r="FG12" i="26" s="1"/>
  <c r="EP12" i="26"/>
  <c r="DV12" i="26"/>
  <c r="CZ12" i="26"/>
  <c r="CW12" i="26"/>
  <c r="CT12" i="26"/>
  <c r="CJ12" i="26"/>
  <c r="BP12" i="26"/>
  <c r="BO12" i="26"/>
  <c r="AL12" i="26"/>
  <c r="AH12" i="26"/>
  <c r="T12" i="26"/>
  <c r="G12" i="26"/>
  <c r="D12" i="26"/>
  <c r="GE11" i="26"/>
  <c r="FX11" i="26"/>
  <c r="FI11" i="26"/>
  <c r="FG11" i="26"/>
  <c r="EW11" i="26"/>
  <c r="DV11" i="26"/>
  <c r="CZ11" i="26"/>
  <c r="CW11" i="26"/>
  <c r="CT11" i="26"/>
  <c r="CJ11" i="26"/>
  <c r="BP11" i="26"/>
  <c r="BO11" i="26" s="1"/>
  <c r="AL11" i="26"/>
  <c r="AH11" i="26"/>
  <c r="T11" i="26"/>
  <c r="EP11" i="26" s="1"/>
  <c r="G11" i="26"/>
  <c r="D11" i="26"/>
  <c r="GE10" i="26"/>
  <c r="FX10" i="26"/>
  <c r="FI10" i="26"/>
  <c r="EW10" i="26"/>
  <c r="FG10" i="26" s="1"/>
  <c r="EP10" i="26"/>
  <c r="DV10" i="26"/>
  <c r="CZ10" i="26"/>
  <c r="CW10" i="26"/>
  <c r="CT10" i="26"/>
  <c r="CJ10" i="26"/>
  <c r="BP10" i="26"/>
  <c r="BO10" i="26"/>
  <c r="AL10" i="26"/>
  <c r="AH10" i="26"/>
  <c r="T10" i="26"/>
  <c r="G10" i="26"/>
  <c r="D10" i="26"/>
  <c r="GE9" i="26"/>
  <c r="FX9" i="26"/>
  <c r="FI9" i="26"/>
  <c r="EW9" i="26"/>
  <c r="FG9" i="26" s="1"/>
  <c r="DV9" i="26"/>
  <c r="CZ9" i="26"/>
  <c r="CW9" i="26"/>
  <c r="CT9" i="26"/>
  <c r="CJ9" i="26"/>
  <c r="BP9" i="26"/>
  <c r="BO9" i="26"/>
  <c r="AL9" i="26"/>
  <c r="AH9" i="26"/>
  <c r="T9" i="26"/>
  <c r="EP9" i="26" s="1"/>
  <c r="G9" i="26"/>
  <c r="D9" i="26"/>
  <c r="GE8" i="26"/>
  <c r="FX8" i="26"/>
  <c r="FI8" i="26"/>
  <c r="FG8" i="26"/>
  <c r="EW8" i="26"/>
  <c r="EP8" i="26"/>
  <c r="DV8" i="26"/>
  <c r="CZ8" i="26"/>
  <c r="CW8" i="26"/>
  <c r="CT8" i="26"/>
  <c r="CJ8" i="26"/>
  <c r="BP8" i="26"/>
  <c r="BO8" i="26" s="1"/>
  <c r="AL8" i="26"/>
  <c r="AH8" i="26"/>
  <c r="T8" i="26"/>
  <c r="G8" i="26"/>
  <c r="D8" i="26"/>
  <c r="GE7" i="26"/>
  <c r="FX7" i="26"/>
  <c r="FI7" i="26"/>
  <c r="FG7" i="26"/>
  <c r="EW7" i="26"/>
  <c r="DV7" i="26"/>
  <c r="CZ7" i="26"/>
  <c r="CW7" i="26"/>
  <c r="CT7" i="26"/>
  <c r="CJ7" i="26"/>
  <c r="BP7" i="26"/>
  <c r="BO7" i="26" s="1"/>
  <c r="AL7" i="26"/>
  <c r="AH7" i="26"/>
  <c r="T7" i="26"/>
  <c r="G7" i="26"/>
  <c r="D7" i="26"/>
  <c r="GE6" i="26"/>
  <c r="FX6" i="26"/>
  <c r="FI6" i="26"/>
  <c r="EW6" i="26"/>
  <c r="FG6" i="26" s="1"/>
  <c r="DV6" i="26"/>
  <c r="CZ6" i="26"/>
  <c r="CW6" i="26"/>
  <c r="CT6" i="26"/>
  <c r="CJ6" i="26"/>
  <c r="BP6" i="26"/>
  <c r="BO6" i="26"/>
  <c r="AL6" i="26"/>
  <c r="AH6" i="26"/>
  <c r="T6" i="26"/>
  <c r="EP6" i="26" s="1"/>
  <c r="G6" i="26"/>
  <c r="D6" i="26"/>
  <c r="FJ51" i="25"/>
  <c r="GE49" i="25"/>
  <c r="GA49" i="25"/>
  <c r="FL49" i="25"/>
  <c r="FF49" i="25"/>
  <c r="FC49" i="25"/>
  <c r="EV49" i="25"/>
  <c r="EM49" i="25"/>
  <c r="EH49" i="25"/>
  <c r="EA49" i="25"/>
  <c r="DR49" i="25"/>
  <c r="DN49" i="25"/>
  <c r="DI49" i="25"/>
  <c r="DA49" i="25"/>
  <c r="CV49" i="25"/>
  <c r="CP49" i="25"/>
  <c r="CM49" i="25"/>
  <c r="CD49" i="25"/>
  <c r="BX49" i="25"/>
  <c r="BT49" i="25"/>
  <c r="BL49" i="25"/>
  <c r="BJ49" i="25"/>
  <c r="BD49" i="25"/>
  <c r="AV49" i="25"/>
  <c r="AR49" i="25"/>
  <c r="AN49" i="25"/>
  <c r="AI49" i="25"/>
  <c r="AF49" i="25"/>
  <c r="Z49" i="25"/>
  <c r="K49" i="25"/>
  <c r="H49" i="25"/>
  <c r="GI48" i="25"/>
  <c r="GE48" i="25"/>
  <c r="GD48" i="25"/>
  <c r="GC48" i="25"/>
  <c r="GB48" i="25"/>
  <c r="GA48" i="25"/>
  <c r="FZ48" i="25"/>
  <c r="FZ49" i="25" s="1"/>
  <c r="FY48" i="25"/>
  <c r="FX48" i="25"/>
  <c r="FW48" i="25"/>
  <c r="FM48" i="25"/>
  <c r="FL48" i="25"/>
  <c r="FK48" i="25"/>
  <c r="FJ48" i="25"/>
  <c r="FH48" i="25"/>
  <c r="FF48" i="25"/>
  <c r="FE48" i="25"/>
  <c r="FD48" i="25"/>
  <c r="FC48" i="25"/>
  <c r="FA48" i="25"/>
  <c r="EZ48" i="25"/>
  <c r="EZ49" i="25" s="1"/>
  <c r="EY48" i="25"/>
  <c r="EX48" i="25"/>
  <c r="EW48" i="25" s="1"/>
  <c r="FG48" i="25" s="1"/>
  <c r="EV48" i="25"/>
  <c r="EU48" i="25"/>
  <c r="ET48" i="25"/>
  <c r="ES48" i="25"/>
  <c r="ER48" i="25"/>
  <c r="ER49" i="25" s="1"/>
  <c r="EQ48" i="25"/>
  <c r="EO48" i="25"/>
  <c r="EN48" i="25"/>
  <c r="EM48" i="25"/>
  <c r="EJ48" i="25"/>
  <c r="EI48" i="25"/>
  <c r="EH48" i="25"/>
  <c r="FI48" i="25" s="1"/>
  <c r="EG48" i="25"/>
  <c r="EF48" i="25"/>
  <c r="ED48" i="25"/>
  <c r="EC48" i="25"/>
  <c r="EB48" i="25"/>
  <c r="EA48" i="25"/>
  <c r="DZ48" i="25"/>
  <c r="DY48" i="25"/>
  <c r="DY49" i="25" s="1"/>
  <c r="DX48" i="25"/>
  <c r="DW48" i="25"/>
  <c r="DV48" i="25" s="1"/>
  <c r="DU48" i="25"/>
  <c r="DT48" i="25"/>
  <c r="DS48" i="25"/>
  <c r="DR48" i="25"/>
  <c r="DQ48" i="25"/>
  <c r="DQ49" i="25" s="1"/>
  <c r="DP48" i="25"/>
  <c r="DO48" i="25"/>
  <c r="DN48" i="25"/>
  <c r="DM48" i="25"/>
  <c r="DL48" i="25"/>
  <c r="DK48" i="25"/>
  <c r="DJ48" i="25"/>
  <c r="DI48" i="25"/>
  <c r="DH48" i="25"/>
  <c r="DG48" i="25"/>
  <c r="DF48" i="25"/>
  <c r="DE48" i="25"/>
  <c r="DD48" i="25"/>
  <c r="DC48" i="25"/>
  <c r="DB48" i="25"/>
  <c r="DA48" i="25"/>
  <c r="CZ48" i="25"/>
  <c r="CY48" i="25"/>
  <c r="CY49" i="25" s="1"/>
  <c r="CX48" i="25"/>
  <c r="CV48" i="25"/>
  <c r="CU48" i="25"/>
  <c r="CT48" i="25"/>
  <c r="CS48" i="25"/>
  <c r="CS49" i="25" s="1"/>
  <c r="CR48" i="25"/>
  <c r="CQ48" i="25"/>
  <c r="CP48" i="25"/>
  <c r="CO48" i="25"/>
  <c r="CN48" i="25"/>
  <c r="CM48" i="25"/>
  <c r="CL48" i="25"/>
  <c r="CK48" i="25"/>
  <c r="CK49" i="25" s="1"/>
  <c r="CI48" i="25"/>
  <c r="CJ48" i="25" s="1"/>
  <c r="CH48" i="25"/>
  <c r="CG48" i="25"/>
  <c r="CF48" i="25"/>
  <c r="CE48" i="25"/>
  <c r="CD48" i="25"/>
  <c r="CC48" i="25"/>
  <c r="CC49" i="25" s="1"/>
  <c r="CB48" i="25"/>
  <c r="CA48" i="25"/>
  <c r="BZ48" i="25"/>
  <c r="BY48" i="25"/>
  <c r="BX48" i="25"/>
  <c r="BW48" i="25"/>
  <c r="BU48" i="25"/>
  <c r="BT48" i="25"/>
  <c r="BS48" i="25"/>
  <c r="BR48" i="25"/>
  <c r="BQ48" i="25"/>
  <c r="BN48" i="25"/>
  <c r="BM48" i="25"/>
  <c r="BL48" i="25"/>
  <c r="BK48" i="25"/>
  <c r="BJ48" i="25"/>
  <c r="BI48" i="25"/>
  <c r="BH48" i="25"/>
  <c r="BG48" i="25"/>
  <c r="BF48" i="25"/>
  <c r="BE48" i="25"/>
  <c r="BD48" i="25"/>
  <c r="BC48" i="25"/>
  <c r="BB48" i="25"/>
  <c r="BA48" i="25"/>
  <c r="BA49" i="25" s="1"/>
  <c r="AZ48" i="25"/>
  <c r="AY48" i="25"/>
  <c r="AX48" i="25"/>
  <c r="AW48" i="25"/>
  <c r="AV48" i="25"/>
  <c r="AU48" i="25"/>
  <c r="AT48" i="25"/>
  <c r="AS48" i="25"/>
  <c r="AR48" i="25"/>
  <c r="AQ48" i="25"/>
  <c r="AP48" i="25"/>
  <c r="AL48" i="25" s="1"/>
  <c r="AO48" i="25"/>
  <c r="AN48" i="25"/>
  <c r="AM48" i="25"/>
  <c r="AK48" i="25"/>
  <c r="AJ48" i="25"/>
  <c r="AI48" i="25"/>
  <c r="AH48" i="25"/>
  <c r="AG48" i="25"/>
  <c r="AF48" i="25"/>
  <c r="AE48" i="25"/>
  <c r="AD48" i="25"/>
  <c r="AC48" i="25"/>
  <c r="AC49" i="25" s="1"/>
  <c r="AB48" i="25"/>
  <c r="AA48" i="25"/>
  <c r="Z48" i="25"/>
  <c r="Y48" i="25"/>
  <c r="X48" i="25"/>
  <c r="X49" i="25" s="1"/>
  <c r="W48" i="25"/>
  <c r="V48" i="25"/>
  <c r="U48" i="25"/>
  <c r="T48" i="25" s="1"/>
  <c r="S48" i="25"/>
  <c r="R48" i="25"/>
  <c r="Q48" i="25"/>
  <c r="P48" i="25"/>
  <c r="P49" i="25" s="1"/>
  <c r="O48" i="25"/>
  <c r="N48" i="25"/>
  <c r="M48" i="25"/>
  <c r="L48" i="25"/>
  <c r="K48" i="25"/>
  <c r="J48" i="25"/>
  <c r="I48" i="25"/>
  <c r="H48" i="25"/>
  <c r="G48" i="25"/>
  <c r="F48" i="25"/>
  <c r="E48" i="25"/>
  <c r="D48" i="25" s="1"/>
  <c r="C48" i="25"/>
  <c r="GE47" i="25"/>
  <c r="FX47" i="25"/>
  <c r="FI47" i="25"/>
  <c r="EW47" i="25"/>
  <c r="FG47" i="25" s="1"/>
  <c r="EP47" i="25"/>
  <c r="DV47" i="25"/>
  <c r="CZ47" i="25"/>
  <c r="CW47" i="25"/>
  <c r="CT47" i="25"/>
  <c r="CJ47" i="25"/>
  <c r="BP47" i="25"/>
  <c r="BO47" i="25"/>
  <c r="AL47" i="25"/>
  <c r="AH47" i="25"/>
  <c r="T47" i="25"/>
  <c r="G47" i="25"/>
  <c r="D47" i="25"/>
  <c r="GE46" i="25"/>
  <c r="FX46" i="25"/>
  <c r="FI46" i="25"/>
  <c r="FG46" i="25"/>
  <c r="EW46" i="25"/>
  <c r="DV46" i="25"/>
  <c r="CZ46" i="25"/>
  <c r="CW46" i="25"/>
  <c r="CT46" i="25"/>
  <c r="CJ46" i="25"/>
  <c r="BP46" i="25"/>
  <c r="BO46" i="25"/>
  <c r="AL46" i="25"/>
  <c r="AH46" i="25"/>
  <c r="T46" i="25"/>
  <c r="EP46" i="25" s="1"/>
  <c r="G46" i="25"/>
  <c r="D46" i="25"/>
  <c r="GE45" i="25"/>
  <c r="FX45" i="25"/>
  <c r="FI45" i="25"/>
  <c r="EW45" i="25"/>
  <c r="FG45" i="25" s="1"/>
  <c r="EP45" i="25"/>
  <c r="DV45" i="25"/>
  <c r="CZ45" i="25"/>
  <c r="CW45" i="25"/>
  <c r="CT45" i="25"/>
  <c r="CJ45" i="25"/>
  <c r="BP45" i="25"/>
  <c r="BO45" i="25"/>
  <c r="AL45" i="25"/>
  <c r="AH45" i="25"/>
  <c r="T45" i="25"/>
  <c r="G45" i="25"/>
  <c r="D45" i="25"/>
  <c r="GE44" i="25"/>
  <c r="FX44" i="25"/>
  <c r="FI44" i="25"/>
  <c r="EW44" i="25"/>
  <c r="FG44" i="25" s="1"/>
  <c r="DV44" i="25"/>
  <c r="CZ44" i="25"/>
  <c r="CW44" i="25"/>
  <c r="CT44" i="25"/>
  <c r="CJ44" i="25"/>
  <c r="BP44" i="25"/>
  <c r="BO44" i="25"/>
  <c r="AL44" i="25"/>
  <c r="AH44" i="25"/>
  <c r="T44" i="25"/>
  <c r="EP44" i="25" s="1"/>
  <c r="G44" i="25"/>
  <c r="D44" i="25"/>
  <c r="GE43" i="25"/>
  <c r="FX43" i="25"/>
  <c r="FI43" i="25"/>
  <c r="FG43" i="25"/>
  <c r="EW43" i="25"/>
  <c r="EP43" i="25"/>
  <c r="DV43" i="25"/>
  <c r="CZ43" i="25"/>
  <c r="CW43" i="25"/>
  <c r="CT43" i="25"/>
  <c r="CJ43" i="25"/>
  <c r="BP43" i="25"/>
  <c r="BO43" i="25" s="1"/>
  <c r="AL43" i="25"/>
  <c r="AH43" i="25"/>
  <c r="T43" i="25"/>
  <c r="G43" i="25"/>
  <c r="D43" i="25"/>
  <c r="GE42" i="25"/>
  <c r="FX42" i="25"/>
  <c r="FI42" i="25"/>
  <c r="EW42" i="25"/>
  <c r="FG42" i="25" s="1"/>
  <c r="DV42" i="25"/>
  <c r="CZ42" i="25"/>
  <c r="CW42" i="25"/>
  <c r="CT42" i="25"/>
  <c r="CJ42" i="25"/>
  <c r="BP42" i="25"/>
  <c r="BO42" i="25"/>
  <c r="AL42" i="25"/>
  <c r="AH42" i="25"/>
  <c r="T42" i="25"/>
  <c r="EP42" i="25" s="1"/>
  <c r="G42" i="25"/>
  <c r="D42" i="25"/>
  <c r="FX41" i="25"/>
  <c r="FI41" i="25"/>
  <c r="FG41" i="25"/>
  <c r="EW41" i="25"/>
  <c r="EP41" i="25"/>
  <c r="DV41" i="25"/>
  <c r="CZ41" i="25"/>
  <c r="CW41" i="25"/>
  <c r="CT41" i="25"/>
  <c r="CJ41" i="25"/>
  <c r="BP41" i="25"/>
  <c r="BO41" i="25" s="1"/>
  <c r="AL41" i="25"/>
  <c r="AH41" i="25"/>
  <c r="T41" i="25"/>
  <c r="G41" i="25"/>
  <c r="D41" i="25"/>
  <c r="FX40" i="25"/>
  <c r="FI40" i="25"/>
  <c r="EW40" i="25"/>
  <c r="FG40" i="25" s="1"/>
  <c r="EP40" i="25"/>
  <c r="DV40" i="25"/>
  <c r="CZ40" i="25"/>
  <c r="CW40" i="25"/>
  <c r="CT40" i="25"/>
  <c r="CJ40" i="25"/>
  <c r="BP40" i="25"/>
  <c r="BO40" i="25"/>
  <c r="AL40" i="25"/>
  <c r="AH40" i="25"/>
  <c r="T40" i="25"/>
  <c r="G40" i="25"/>
  <c r="D40" i="25"/>
  <c r="FX39" i="25"/>
  <c r="FI39" i="25"/>
  <c r="EW39" i="25"/>
  <c r="FG39" i="25" s="1"/>
  <c r="EP39" i="25"/>
  <c r="DV39" i="25"/>
  <c r="CZ39" i="25"/>
  <c r="CW39" i="25"/>
  <c r="CT39" i="25"/>
  <c r="CJ39" i="25"/>
  <c r="BP39" i="25"/>
  <c r="BO39" i="25"/>
  <c r="AL39" i="25"/>
  <c r="AH39" i="25"/>
  <c r="T39" i="25"/>
  <c r="G39" i="25"/>
  <c r="D39" i="25"/>
  <c r="GE38" i="25"/>
  <c r="FX38" i="25"/>
  <c r="FI38" i="25"/>
  <c r="FG38" i="25"/>
  <c r="EW38" i="25"/>
  <c r="DV38" i="25"/>
  <c r="CZ38" i="25"/>
  <c r="CW38" i="25"/>
  <c r="CT38" i="25"/>
  <c r="CJ38" i="25"/>
  <c r="BP38" i="25"/>
  <c r="AL38" i="25"/>
  <c r="AH38" i="25"/>
  <c r="T38" i="25"/>
  <c r="G38" i="25"/>
  <c r="D38" i="25"/>
  <c r="GI37" i="25"/>
  <c r="GI49" i="25" s="1"/>
  <c r="GE37" i="25"/>
  <c r="GD37" i="25"/>
  <c r="GD49" i="25" s="1"/>
  <c r="GC37" i="25"/>
  <c r="GC49" i="25" s="1"/>
  <c r="GB37" i="25"/>
  <c r="GB49" i="25" s="1"/>
  <c r="GA37" i="25"/>
  <c r="FZ37" i="25"/>
  <c r="FY37" i="25"/>
  <c r="FY49" i="25" s="1"/>
  <c r="FW37" i="25"/>
  <c r="FM37" i="25"/>
  <c r="FM49" i="25" s="1"/>
  <c r="FL37" i="25"/>
  <c r="FK37" i="25"/>
  <c r="FK49" i="25" s="1"/>
  <c r="FJ37" i="25"/>
  <c r="FJ52" i="25" s="1"/>
  <c r="FH37" i="25"/>
  <c r="FF37" i="25"/>
  <c r="FE37" i="25"/>
  <c r="FE49" i="25" s="1"/>
  <c r="FD37" i="25"/>
  <c r="FD49" i="25" s="1"/>
  <c r="FC37" i="25"/>
  <c r="FA37" i="25"/>
  <c r="EZ37" i="25"/>
  <c r="EY37" i="25"/>
  <c r="EX37" i="25"/>
  <c r="EX49" i="25" s="1"/>
  <c r="EV37" i="25"/>
  <c r="EU37" i="25"/>
  <c r="EU49" i="25" s="1"/>
  <c r="ET37" i="25"/>
  <c r="ET49" i="25" s="1"/>
  <c r="ES37" i="25"/>
  <c r="ES49" i="25" s="1"/>
  <c r="ER37" i="25"/>
  <c r="EQ37" i="25"/>
  <c r="EO37" i="25"/>
  <c r="EO49" i="25" s="1"/>
  <c r="EN37" i="25"/>
  <c r="EN49" i="25" s="1"/>
  <c r="EM37" i="25"/>
  <c r="EJ37" i="25"/>
  <c r="EJ49" i="25" s="1"/>
  <c r="EI37" i="25"/>
  <c r="EI49" i="25" s="1"/>
  <c r="EH37" i="25"/>
  <c r="FI37" i="25" s="1"/>
  <c r="EG37" i="25"/>
  <c r="EF37" i="25"/>
  <c r="EF49" i="25" s="1"/>
  <c r="ED37" i="25"/>
  <c r="ED49" i="25" s="1"/>
  <c r="EC37" i="25"/>
  <c r="EC49" i="25" s="1"/>
  <c r="EB37" i="25"/>
  <c r="EB49" i="25" s="1"/>
  <c r="EA37" i="25"/>
  <c r="DZ37" i="25"/>
  <c r="DZ49" i="25" s="1"/>
  <c r="DY37" i="25"/>
  <c r="DX37" i="25"/>
  <c r="DW37" i="25"/>
  <c r="DV37" i="25"/>
  <c r="DU37" i="25"/>
  <c r="DU49" i="25" s="1"/>
  <c r="DT37" i="25"/>
  <c r="DT49" i="25" s="1"/>
  <c r="DS37" i="25"/>
  <c r="DS49" i="25" s="1"/>
  <c r="DR37" i="25"/>
  <c r="DQ37" i="25"/>
  <c r="DP37" i="25"/>
  <c r="DO37" i="25"/>
  <c r="DO49" i="25" s="1"/>
  <c r="DN37" i="25"/>
  <c r="DM37" i="25"/>
  <c r="DM49" i="25" s="1"/>
  <c r="DL37" i="25"/>
  <c r="DL49" i="25" s="1"/>
  <c r="DK37" i="25"/>
  <c r="DK49" i="25" s="1"/>
  <c r="DJ37" i="25"/>
  <c r="DJ49" i="25" s="1"/>
  <c r="DI37" i="25"/>
  <c r="DH37" i="25"/>
  <c r="DG37" i="25"/>
  <c r="DG49" i="25" s="1"/>
  <c r="DF37" i="25"/>
  <c r="DF49" i="25" s="1"/>
  <c r="DE37" i="25"/>
  <c r="DE49" i="25" s="1"/>
  <c r="DD37" i="25"/>
  <c r="DD49" i="25" s="1"/>
  <c r="DC37" i="25"/>
  <c r="DC49" i="25" s="1"/>
  <c r="DB37" i="25"/>
  <c r="DA37" i="25"/>
  <c r="CY37" i="25"/>
  <c r="CX37" i="25"/>
  <c r="CX49" i="25" s="1"/>
  <c r="CW37" i="25"/>
  <c r="CV37" i="25"/>
  <c r="CU37" i="25"/>
  <c r="CU49" i="25" s="1"/>
  <c r="CT49" i="25" s="1"/>
  <c r="CT37" i="25"/>
  <c r="CS37" i="25"/>
  <c r="CR37" i="25"/>
  <c r="CQ37" i="25"/>
  <c r="CQ49" i="25" s="1"/>
  <c r="CP37" i="25"/>
  <c r="CO37" i="25"/>
  <c r="CO49" i="25" s="1"/>
  <c r="CN37" i="25"/>
  <c r="CN49" i="25" s="1"/>
  <c r="CM37" i="25"/>
  <c r="CL37" i="25"/>
  <c r="CL49" i="25" s="1"/>
  <c r="CK37" i="25"/>
  <c r="CI37" i="25"/>
  <c r="CH37" i="25"/>
  <c r="CJ37" i="25" s="1"/>
  <c r="CG37" i="25"/>
  <c r="CG49" i="25" s="1"/>
  <c r="CF37" i="25"/>
  <c r="CF49" i="25" s="1"/>
  <c r="CE37" i="25"/>
  <c r="CE49" i="25" s="1"/>
  <c r="CD37" i="25"/>
  <c r="CC37" i="25"/>
  <c r="CB37" i="25"/>
  <c r="CA37" i="25"/>
  <c r="BZ37" i="25"/>
  <c r="BZ49" i="25" s="1"/>
  <c r="BY37" i="25"/>
  <c r="BY49" i="25" s="1"/>
  <c r="BX37" i="25"/>
  <c r="BW37" i="25"/>
  <c r="BW49" i="25" s="1"/>
  <c r="BU37" i="25"/>
  <c r="BU49" i="25" s="1"/>
  <c r="BT37" i="25"/>
  <c r="BS37" i="25"/>
  <c r="BR37" i="25"/>
  <c r="BQ37" i="25"/>
  <c r="BQ49" i="25" s="1"/>
  <c r="BP37" i="25"/>
  <c r="BO37" i="25" s="1"/>
  <c r="BN37" i="25"/>
  <c r="BM37" i="25"/>
  <c r="BM49" i="25" s="1"/>
  <c r="BL37" i="25"/>
  <c r="BK37" i="25"/>
  <c r="BJ37" i="25"/>
  <c r="BI37" i="25"/>
  <c r="BH37" i="25"/>
  <c r="BH49" i="25" s="1"/>
  <c r="BG37" i="25"/>
  <c r="BG49" i="25" s="1"/>
  <c r="BF37" i="25"/>
  <c r="BF49" i="25" s="1"/>
  <c r="BE37" i="25"/>
  <c r="BE49" i="25" s="1"/>
  <c r="BD37" i="25"/>
  <c r="BC37" i="25"/>
  <c r="BB37" i="25"/>
  <c r="BB49" i="25" s="1"/>
  <c r="BA37" i="25"/>
  <c r="AZ37" i="25"/>
  <c r="AZ49" i="25" s="1"/>
  <c r="AY37" i="25"/>
  <c r="AY49" i="25" s="1"/>
  <c r="AX37" i="25"/>
  <c r="AX49" i="25" s="1"/>
  <c r="AW37" i="25"/>
  <c r="AW49" i="25" s="1"/>
  <c r="AV37" i="25"/>
  <c r="AU37" i="25"/>
  <c r="AT37" i="25"/>
  <c r="AT49" i="25" s="1"/>
  <c r="AS37" i="25"/>
  <c r="AR37" i="25"/>
  <c r="AQ37" i="25"/>
  <c r="AQ49" i="25" s="1"/>
  <c r="AP37" i="25"/>
  <c r="AP49" i="25" s="1"/>
  <c r="AO37" i="25"/>
  <c r="AN37" i="25"/>
  <c r="AM37" i="25"/>
  <c r="AK37" i="25"/>
  <c r="AJ37" i="25"/>
  <c r="AJ49" i="25" s="1"/>
  <c r="AI37" i="25"/>
  <c r="AH37" i="25" s="1"/>
  <c r="AG37" i="25"/>
  <c r="AG49" i="25" s="1"/>
  <c r="AF37" i="25"/>
  <c r="AE37" i="25"/>
  <c r="AD37" i="25"/>
  <c r="AD49" i="25" s="1"/>
  <c r="AC37" i="25"/>
  <c r="AB37" i="25"/>
  <c r="AB49" i="25" s="1"/>
  <c r="AA37" i="25"/>
  <c r="AA49" i="25" s="1"/>
  <c r="Z37" i="25"/>
  <c r="Y37" i="25"/>
  <c r="Y49" i="25" s="1"/>
  <c r="X37" i="25"/>
  <c r="W37" i="25"/>
  <c r="V37" i="25"/>
  <c r="V49" i="25" s="1"/>
  <c r="U37" i="25"/>
  <c r="U49" i="25" s="1"/>
  <c r="S37" i="25"/>
  <c r="S49" i="25" s="1"/>
  <c r="R37" i="25"/>
  <c r="Q37" i="25"/>
  <c r="Q49" i="25" s="1"/>
  <c r="P37" i="25"/>
  <c r="O37" i="25"/>
  <c r="N37" i="25"/>
  <c r="N49" i="25" s="1"/>
  <c r="M37" i="25"/>
  <c r="M49" i="25" s="1"/>
  <c r="L37" i="25"/>
  <c r="L49" i="25" s="1"/>
  <c r="K37" i="25"/>
  <c r="J37" i="25"/>
  <c r="I37" i="25"/>
  <c r="H37" i="25"/>
  <c r="F37" i="25"/>
  <c r="F49" i="25" s="1"/>
  <c r="E37" i="25"/>
  <c r="E49" i="25" s="1"/>
  <c r="D37" i="25"/>
  <c r="C37" i="25"/>
  <c r="GE36" i="25"/>
  <c r="FX36" i="25"/>
  <c r="FI36" i="25"/>
  <c r="EW36" i="25"/>
  <c r="FG36" i="25" s="1"/>
  <c r="EP36" i="25"/>
  <c r="DV36" i="25"/>
  <c r="CZ36" i="25"/>
  <c r="CW36" i="25"/>
  <c r="CT36" i="25"/>
  <c r="CJ36" i="25"/>
  <c r="BP36" i="25"/>
  <c r="BO36" i="25"/>
  <c r="AL36" i="25"/>
  <c r="AH36" i="25"/>
  <c r="T36" i="25"/>
  <c r="G36" i="25"/>
  <c r="D36" i="25"/>
  <c r="GE35" i="25"/>
  <c r="FX35" i="25"/>
  <c r="FI35" i="25"/>
  <c r="EW35" i="25"/>
  <c r="FG35" i="25" s="1"/>
  <c r="DV35" i="25"/>
  <c r="CZ35" i="25"/>
  <c r="CW35" i="25"/>
  <c r="CT35" i="25"/>
  <c r="CJ35" i="25"/>
  <c r="BP35" i="25"/>
  <c r="BO35" i="25"/>
  <c r="AL35" i="25"/>
  <c r="AH35" i="25"/>
  <c r="T35" i="25"/>
  <c r="EP35" i="25" s="1"/>
  <c r="G35" i="25"/>
  <c r="D35" i="25"/>
  <c r="GE34" i="25"/>
  <c r="FX34" i="25"/>
  <c r="FI34" i="25"/>
  <c r="FG34" i="25"/>
  <c r="EW34" i="25"/>
  <c r="EP34" i="25"/>
  <c r="DV34" i="25"/>
  <c r="CZ34" i="25"/>
  <c r="CW34" i="25"/>
  <c r="CT34" i="25"/>
  <c r="CJ34" i="25"/>
  <c r="BP34" i="25"/>
  <c r="BO34" i="25" s="1"/>
  <c r="AL34" i="25"/>
  <c r="AH34" i="25"/>
  <c r="T34" i="25"/>
  <c r="G34" i="25"/>
  <c r="D34" i="25"/>
  <c r="GE33" i="25"/>
  <c r="FX33" i="25"/>
  <c r="FI33" i="25"/>
  <c r="FG33" i="25"/>
  <c r="EW33" i="25"/>
  <c r="DV33" i="25"/>
  <c r="CZ33" i="25"/>
  <c r="CW33" i="25"/>
  <c r="CT33" i="25"/>
  <c r="CJ33" i="25"/>
  <c r="BP33" i="25"/>
  <c r="BO33" i="25" s="1"/>
  <c r="AL33" i="25"/>
  <c r="AH33" i="25"/>
  <c r="T33" i="25"/>
  <c r="G33" i="25"/>
  <c r="D33" i="25"/>
  <c r="GE32" i="25"/>
  <c r="FX32" i="25"/>
  <c r="FI32" i="25"/>
  <c r="FG32" i="25"/>
  <c r="EW32" i="25"/>
  <c r="DV32" i="25"/>
  <c r="CZ32" i="25"/>
  <c r="CW32" i="25"/>
  <c r="CT32" i="25"/>
  <c r="CJ32" i="25"/>
  <c r="BP32" i="25"/>
  <c r="BO32" i="25" s="1"/>
  <c r="AL32" i="25"/>
  <c r="AH32" i="25"/>
  <c r="T32" i="25"/>
  <c r="EP32" i="25" s="1"/>
  <c r="G32" i="25"/>
  <c r="D32" i="25"/>
  <c r="GE31" i="25"/>
  <c r="FX31" i="25"/>
  <c r="FI31" i="25"/>
  <c r="EW31" i="25"/>
  <c r="FG31" i="25" s="1"/>
  <c r="EP31" i="25"/>
  <c r="DV31" i="25"/>
  <c r="CZ31" i="25"/>
  <c r="CW31" i="25"/>
  <c r="CT31" i="25"/>
  <c r="CJ31" i="25"/>
  <c r="BP31" i="25"/>
  <c r="BO31" i="25"/>
  <c r="AL31" i="25"/>
  <c r="AH31" i="25"/>
  <c r="T31" i="25"/>
  <c r="G31" i="25"/>
  <c r="D31" i="25"/>
  <c r="GE30" i="25"/>
  <c r="FX30" i="25"/>
  <c r="FI30" i="25"/>
  <c r="FG30" i="25"/>
  <c r="EW30" i="25"/>
  <c r="DV30" i="25"/>
  <c r="CZ30" i="25"/>
  <c r="CW30" i="25"/>
  <c r="CT30" i="25"/>
  <c r="CJ30" i="25"/>
  <c r="BP30" i="25"/>
  <c r="AL30" i="25"/>
  <c r="AH30" i="25"/>
  <c r="T30" i="25"/>
  <c r="G30" i="25"/>
  <c r="D30" i="25"/>
  <c r="GE29" i="25"/>
  <c r="FX29" i="25"/>
  <c r="FI29" i="25"/>
  <c r="FG29" i="25"/>
  <c r="EW29" i="25"/>
  <c r="DV29" i="25"/>
  <c r="CZ29" i="25"/>
  <c r="CW29" i="25"/>
  <c r="CT29" i="25"/>
  <c r="CJ29" i="25"/>
  <c r="BP29" i="25"/>
  <c r="BO29" i="25" s="1"/>
  <c r="AL29" i="25"/>
  <c r="AH29" i="25"/>
  <c r="T29" i="25"/>
  <c r="G29" i="25"/>
  <c r="D29" i="25"/>
  <c r="GE28" i="25"/>
  <c r="FX28" i="25"/>
  <c r="FI28" i="25"/>
  <c r="FG28" i="25"/>
  <c r="EW28" i="25"/>
  <c r="DV28" i="25"/>
  <c r="CZ28" i="25"/>
  <c r="CW28" i="25"/>
  <c r="CT28" i="25"/>
  <c r="CJ28" i="25"/>
  <c r="BP28" i="25"/>
  <c r="BO28" i="25" s="1"/>
  <c r="AL28" i="25"/>
  <c r="AH28" i="25"/>
  <c r="T28" i="25"/>
  <c r="G28" i="25"/>
  <c r="D28" i="25"/>
  <c r="GE27" i="25"/>
  <c r="FX27" i="25"/>
  <c r="FI27" i="25"/>
  <c r="EW27" i="25"/>
  <c r="FG27" i="25" s="1"/>
  <c r="EP27" i="25"/>
  <c r="DV27" i="25"/>
  <c r="CZ27" i="25"/>
  <c r="CW27" i="25"/>
  <c r="CT27" i="25"/>
  <c r="CJ27" i="25"/>
  <c r="BP27" i="25"/>
  <c r="BO27" i="25"/>
  <c r="AL27" i="25"/>
  <c r="AH27" i="25"/>
  <c r="T27" i="25"/>
  <c r="G27" i="25"/>
  <c r="D27" i="25"/>
  <c r="GE26" i="25"/>
  <c r="FX26" i="25"/>
  <c r="FI26" i="25"/>
  <c r="EW26" i="25"/>
  <c r="FG26" i="25" s="1"/>
  <c r="DV26" i="25"/>
  <c r="CZ26" i="25"/>
  <c r="CW26" i="25"/>
  <c r="CT26" i="25"/>
  <c r="CJ26" i="25"/>
  <c r="BP26" i="25"/>
  <c r="BO26" i="25"/>
  <c r="AL26" i="25"/>
  <c r="AH26" i="25"/>
  <c r="T26" i="25"/>
  <c r="EP26" i="25" s="1"/>
  <c r="G26" i="25"/>
  <c r="D26" i="25"/>
  <c r="GE25" i="25"/>
  <c r="FX25" i="25"/>
  <c r="FI25" i="25"/>
  <c r="FG25" i="25"/>
  <c r="EW25" i="25"/>
  <c r="EP25" i="25"/>
  <c r="DV25" i="25"/>
  <c r="CZ25" i="25"/>
  <c r="CW25" i="25"/>
  <c r="CT25" i="25"/>
  <c r="CJ25" i="25"/>
  <c r="BP25" i="25"/>
  <c r="BO25" i="25" s="1"/>
  <c r="AL25" i="25"/>
  <c r="AH25" i="25"/>
  <c r="T25" i="25"/>
  <c r="G25" i="25"/>
  <c r="D25" i="25"/>
  <c r="GE24" i="25"/>
  <c r="FX24" i="25"/>
  <c r="FI24" i="25"/>
  <c r="EW24" i="25"/>
  <c r="FG24" i="25" s="1"/>
  <c r="DV24" i="25"/>
  <c r="CZ24" i="25"/>
  <c r="CW24" i="25"/>
  <c r="CT24" i="25"/>
  <c r="CJ24" i="25"/>
  <c r="BP24" i="25"/>
  <c r="BO24" i="25"/>
  <c r="AL24" i="25"/>
  <c r="AH24" i="25"/>
  <c r="T24" i="25"/>
  <c r="EP24" i="25" s="1"/>
  <c r="G24" i="25"/>
  <c r="D24" i="25"/>
  <c r="GE23" i="25"/>
  <c r="FX23" i="25"/>
  <c r="FI23" i="25"/>
  <c r="FG23" i="25"/>
  <c r="EW23" i="25"/>
  <c r="DV23" i="25"/>
  <c r="CZ23" i="25"/>
  <c r="CW23" i="25"/>
  <c r="CT23" i="25"/>
  <c r="CJ23" i="25"/>
  <c r="BP23" i="25"/>
  <c r="BO23" i="25" s="1"/>
  <c r="AL23" i="25"/>
  <c r="AH23" i="25"/>
  <c r="T23" i="25"/>
  <c r="EP23" i="25" s="1"/>
  <c r="G23" i="25"/>
  <c r="D23" i="25"/>
  <c r="GE22" i="25"/>
  <c r="FX22" i="25"/>
  <c r="FI22" i="25"/>
  <c r="EW22" i="25"/>
  <c r="FG22" i="25" s="1"/>
  <c r="EP22" i="25"/>
  <c r="DV22" i="25"/>
  <c r="CZ22" i="25"/>
  <c r="CW22" i="25"/>
  <c r="CT22" i="25"/>
  <c r="CJ22" i="25"/>
  <c r="BP22" i="25"/>
  <c r="BO22" i="25"/>
  <c r="AL22" i="25"/>
  <c r="AH22" i="25"/>
  <c r="T22" i="25"/>
  <c r="G22" i="25"/>
  <c r="D22" i="25"/>
  <c r="GE21" i="25"/>
  <c r="FX21" i="25"/>
  <c r="FI21" i="25"/>
  <c r="FG21" i="25"/>
  <c r="EW21" i="25"/>
  <c r="DV21" i="25"/>
  <c r="CZ21" i="25"/>
  <c r="CW21" i="25"/>
  <c r="CT21" i="25"/>
  <c r="CJ21" i="25"/>
  <c r="BP21" i="25"/>
  <c r="BO21" i="25" s="1"/>
  <c r="AL21" i="25"/>
  <c r="AH21" i="25"/>
  <c r="T21" i="25"/>
  <c r="EP21" i="25" s="1"/>
  <c r="G21" i="25"/>
  <c r="D21" i="25"/>
  <c r="GE20" i="25"/>
  <c r="FX20" i="25"/>
  <c r="FI20" i="25"/>
  <c r="FG20" i="25"/>
  <c r="EW20" i="25"/>
  <c r="EP20" i="25"/>
  <c r="DV20" i="25"/>
  <c r="CZ20" i="25"/>
  <c r="CW20" i="25"/>
  <c r="CT20" i="25"/>
  <c r="CJ20" i="25"/>
  <c r="BP20" i="25"/>
  <c r="BO20" i="25" s="1"/>
  <c r="AL20" i="25"/>
  <c r="AH20" i="25"/>
  <c r="T20" i="25"/>
  <c r="G20" i="25"/>
  <c r="D20" i="25"/>
  <c r="GE19" i="25"/>
  <c r="FX19" i="25"/>
  <c r="FI19" i="25"/>
  <c r="FG19" i="25"/>
  <c r="EW19" i="25"/>
  <c r="DV19" i="25"/>
  <c r="CZ19" i="25"/>
  <c r="CW19" i="25"/>
  <c r="CT19" i="25"/>
  <c r="CJ19" i="25"/>
  <c r="BP19" i="25"/>
  <c r="BO19" i="25" s="1"/>
  <c r="AL19" i="25"/>
  <c r="AH19" i="25"/>
  <c r="T19" i="25"/>
  <c r="EP19" i="25" s="1"/>
  <c r="G19" i="25"/>
  <c r="D19" i="25"/>
  <c r="GE18" i="25"/>
  <c r="FX18" i="25"/>
  <c r="FI18" i="25"/>
  <c r="EW18" i="25"/>
  <c r="FG18" i="25" s="1"/>
  <c r="EP18" i="25"/>
  <c r="DV18" i="25"/>
  <c r="CZ18" i="25"/>
  <c r="CW18" i="25"/>
  <c r="CT18" i="25"/>
  <c r="CJ18" i="25"/>
  <c r="BP18" i="25"/>
  <c r="BO18" i="25"/>
  <c r="AL18" i="25"/>
  <c r="AH18" i="25"/>
  <c r="T18" i="25"/>
  <c r="G18" i="25"/>
  <c r="D18" i="25"/>
  <c r="GE17" i="25"/>
  <c r="FX17" i="25"/>
  <c r="FI17" i="25"/>
  <c r="FG17" i="25"/>
  <c r="EW17" i="25"/>
  <c r="DV17" i="25"/>
  <c r="CZ17" i="25"/>
  <c r="CW17" i="25"/>
  <c r="CT17" i="25"/>
  <c r="CJ17" i="25"/>
  <c r="BP17" i="25"/>
  <c r="BO17" i="25" s="1"/>
  <c r="AL17" i="25"/>
  <c r="AH17" i="25"/>
  <c r="T17" i="25"/>
  <c r="G17" i="25"/>
  <c r="D17" i="25"/>
  <c r="GE16" i="25"/>
  <c r="FX16" i="25"/>
  <c r="FI16" i="25"/>
  <c r="FG16" i="25"/>
  <c r="EW16" i="25"/>
  <c r="DV16" i="25"/>
  <c r="CZ16" i="25"/>
  <c r="CW16" i="25"/>
  <c r="CT16" i="25"/>
  <c r="CJ16" i="25"/>
  <c r="BP16" i="25"/>
  <c r="AL16" i="25"/>
  <c r="AH16" i="25"/>
  <c r="T16" i="25"/>
  <c r="G16" i="25"/>
  <c r="D16" i="25"/>
  <c r="GE15" i="25"/>
  <c r="FX15" i="25"/>
  <c r="FI15" i="25"/>
  <c r="EW15" i="25"/>
  <c r="FG15" i="25" s="1"/>
  <c r="DV15" i="25"/>
  <c r="CZ15" i="25"/>
  <c r="CW15" i="25"/>
  <c r="CT15" i="25"/>
  <c r="CJ15" i="25"/>
  <c r="BP15" i="25"/>
  <c r="BO15" i="25"/>
  <c r="AL15" i="25"/>
  <c r="AH15" i="25"/>
  <c r="T15" i="25"/>
  <c r="EP15" i="25" s="1"/>
  <c r="G15" i="25"/>
  <c r="D15" i="25"/>
  <c r="GE14" i="25"/>
  <c r="FX14" i="25"/>
  <c r="FI14" i="25"/>
  <c r="FG14" i="25"/>
  <c r="EW14" i="25"/>
  <c r="DV14" i="25"/>
  <c r="CZ14" i="25"/>
  <c r="CW14" i="25"/>
  <c r="CT14" i="25"/>
  <c r="CJ14" i="25"/>
  <c r="BP14" i="25"/>
  <c r="BO14" i="25" s="1"/>
  <c r="AL14" i="25"/>
  <c r="AH14" i="25"/>
  <c r="T14" i="25"/>
  <c r="EP14" i="25" s="1"/>
  <c r="G14" i="25"/>
  <c r="D14" i="25"/>
  <c r="GE13" i="25"/>
  <c r="FX13" i="25"/>
  <c r="FI13" i="25"/>
  <c r="FG13" i="25"/>
  <c r="EW13" i="25"/>
  <c r="EP13" i="25"/>
  <c r="DV13" i="25"/>
  <c r="CZ13" i="25"/>
  <c r="CW13" i="25"/>
  <c r="CT13" i="25"/>
  <c r="CJ13" i="25"/>
  <c r="BP13" i="25"/>
  <c r="BO13" i="25" s="1"/>
  <c r="AL13" i="25"/>
  <c r="AH13" i="25"/>
  <c r="T13" i="25"/>
  <c r="G13" i="25"/>
  <c r="D13" i="25"/>
  <c r="GE12" i="25"/>
  <c r="FX12" i="25"/>
  <c r="FI12" i="25"/>
  <c r="EW12" i="25"/>
  <c r="FG12" i="25" s="1"/>
  <c r="DV12" i="25"/>
  <c r="CZ12" i="25"/>
  <c r="CW12" i="25"/>
  <c r="CT12" i="25"/>
  <c r="CJ12" i="25"/>
  <c r="BP12" i="25"/>
  <c r="BO12" i="25"/>
  <c r="AL12" i="25"/>
  <c r="AH12" i="25"/>
  <c r="T12" i="25"/>
  <c r="EP12" i="25" s="1"/>
  <c r="G12" i="25"/>
  <c r="D12" i="25"/>
  <c r="GE11" i="25"/>
  <c r="FX11" i="25"/>
  <c r="FI11" i="25"/>
  <c r="FG11" i="25"/>
  <c r="EW11" i="25"/>
  <c r="EP11" i="25"/>
  <c r="DV11" i="25"/>
  <c r="CZ11" i="25"/>
  <c r="CW11" i="25"/>
  <c r="CT11" i="25"/>
  <c r="CJ11" i="25"/>
  <c r="BP11" i="25"/>
  <c r="BO11" i="25" s="1"/>
  <c r="AL11" i="25"/>
  <c r="AH11" i="25"/>
  <c r="T11" i="25"/>
  <c r="G11" i="25"/>
  <c r="D11" i="25"/>
  <c r="GE10" i="25"/>
  <c r="FX10" i="25"/>
  <c r="FI10" i="25"/>
  <c r="FG10" i="25"/>
  <c r="EW10" i="25"/>
  <c r="DV10" i="25"/>
  <c r="CZ10" i="25"/>
  <c r="CW10" i="25"/>
  <c r="CT10" i="25"/>
  <c r="CJ10" i="25"/>
  <c r="BP10" i="25"/>
  <c r="BO10" i="25" s="1"/>
  <c r="AL10" i="25"/>
  <c r="AH10" i="25"/>
  <c r="T10" i="25"/>
  <c r="G10" i="25"/>
  <c r="D10" i="25"/>
  <c r="GE9" i="25"/>
  <c r="FX9" i="25"/>
  <c r="FI9" i="25"/>
  <c r="FG9" i="25"/>
  <c r="EW9" i="25"/>
  <c r="DV9" i="25"/>
  <c r="CZ9" i="25"/>
  <c r="CW9" i="25"/>
  <c r="CT9" i="25"/>
  <c r="CJ9" i="25"/>
  <c r="BP9" i="25"/>
  <c r="BO9" i="25" s="1"/>
  <c r="AL9" i="25"/>
  <c r="AH9" i="25"/>
  <c r="T9" i="25"/>
  <c r="EP9" i="25" s="1"/>
  <c r="G9" i="25"/>
  <c r="D9" i="25"/>
  <c r="GE8" i="25"/>
  <c r="FX8" i="25"/>
  <c r="FI8" i="25"/>
  <c r="EW8" i="25"/>
  <c r="FG8" i="25" s="1"/>
  <c r="EP8" i="25"/>
  <c r="DV8" i="25"/>
  <c r="CZ8" i="25"/>
  <c r="CW8" i="25"/>
  <c r="CT8" i="25"/>
  <c r="CJ8" i="25"/>
  <c r="BP8" i="25"/>
  <c r="BO8" i="25"/>
  <c r="AL8" i="25"/>
  <c r="AH8" i="25"/>
  <c r="T8" i="25"/>
  <c r="G8" i="25"/>
  <c r="D8" i="25"/>
  <c r="GE7" i="25"/>
  <c r="FX7" i="25"/>
  <c r="FI7" i="25"/>
  <c r="FG7" i="25"/>
  <c r="EW7" i="25"/>
  <c r="DV7" i="25"/>
  <c r="CZ7" i="25"/>
  <c r="CW7" i="25"/>
  <c r="CT7" i="25"/>
  <c r="CJ7" i="25"/>
  <c r="BP7" i="25"/>
  <c r="AL7" i="25"/>
  <c r="AH7" i="25"/>
  <c r="T7" i="25"/>
  <c r="G7" i="25"/>
  <c r="D7" i="25"/>
  <c r="GE6" i="25"/>
  <c r="FX6" i="25"/>
  <c r="FI6" i="25"/>
  <c r="EW6" i="25"/>
  <c r="FG6" i="25" s="1"/>
  <c r="DV6" i="25"/>
  <c r="CZ6" i="25"/>
  <c r="CW6" i="25"/>
  <c r="CT6" i="25"/>
  <c r="CJ6" i="25"/>
  <c r="BP6" i="25"/>
  <c r="BO6" i="25"/>
  <c r="AL6" i="25"/>
  <c r="AH6" i="25"/>
  <c r="T6" i="25"/>
  <c r="EP6" i="25" s="1"/>
  <c r="G6" i="25"/>
  <c r="D6" i="25"/>
  <c r="EI56" i="24"/>
  <c r="FJ52" i="24"/>
  <c r="FJ51" i="24"/>
  <c r="GB49" i="24"/>
  <c r="FF49" i="24"/>
  <c r="EZ49" i="24"/>
  <c r="EQ49" i="24"/>
  <c r="EH49" i="24"/>
  <c r="DQ49" i="24"/>
  <c r="DI49" i="24"/>
  <c r="DA49" i="24"/>
  <c r="CZ49" i="24" s="1"/>
  <c r="CK49" i="24"/>
  <c r="CC49" i="24"/>
  <c r="BT49" i="24"/>
  <c r="BA49" i="24"/>
  <c r="P49" i="24"/>
  <c r="H49" i="24"/>
  <c r="GI48" i="24"/>
  <c r="GD48" i="24"/>
  <c r="GE48" i="24" s="1"/>
  <c r="GC48" i="24"/>
  <c r="GC49" i="24" s="1"/>
  <c r="GB48" i="24"/>
  <c r="GA48" i="24"/>
  <c r="FZ48" i="24"/>
  <c r="FY48" i="24"/>
  <c r="FW48" i="24"/>
  <c r="FM48" i="24"/>
  <c r="FL48" i="24"/>
  <c r="FL49" i="24" s="1"/>
  <c r="FK48" i="24"/>
  <c r="FK49" i="24" s="1"/>
  <c r="FJ48" i="24"/>
  <c r="FI48" i="24" s="1"/>
  <c r="FH48" i="24"/>
  <c r="FF48" i="24"/>
  <c r="FE48" i="24"/>
  <c r="FD48" i="24"/>
  <c r="FC48" i="24"/>
  <c r="FC49" i="24" s="1"/>
  <c r="FA48" i="24"/>
  <c r="EW48" i="24" s="1"/>
  <c r="EZ48" i="24"/>
  <c r="EY48" i="24"/>
  <c r="EX48" i="24"/>
  <c r="EV48" i="24"/>
  <c r="EU48" i="24"/>
  <c r="ET48" i="24"/>
  <c r="ES48" i="24"/>
  <c r="ER48" i="24"/>
  <c r="EQ48" i="24"/>
  <c r="EO48" i="24"/>
  <c r="EN48" i="24"/>
  <c r="EM48" i="24"/>
  <c r="EL48" i="24"/>
  <c r="EJ48" i="24"/>
  <c r="EI48" i="24"/>
  <c r="EH48" i="24"/>
  <c r="EG48" i="24"/>
  <c r="EF48" i="24"/>
  <c r="ED48" i="24"/>
  <c r="EC48" i="24"/>
  <c r="EB48" i="24"/>
  <c r="EA48" i="24"/>
  <c r="DZ48" i="24"/>
  <c r="DY48" i="24"/>
  <c r="DX48" i="24"/>
  <c r="DW48" i="24"/>
  <c r="DV48" i="24"/>
  <c r="DU48" i="24"/>
  <c r="DT48" i="24"/>
  <c r="DS48" i="24"/>
  <c r="DR48" i="24"/>
  <c r="DQ48" i="24"/>
  <c r="DP48" i="24"/>
  <c r="DO48" i="24"/>
  <c r="DN48" i="24"/>
  <c r="DM48" i="24"/>
  <c r="DL48" i="24"/>
  <c r="DK48" i="24"/>
  <c r="DJ48" i="24"/>
  <c r="DI48" i="24"/>
  <c r="DH48" i="24"/>
  <c r="DG48" i="24"/>
  <c r="DF48" i="24"/>
  <c r="DE48" i="24"/>
  <c r="DD48" i="24"/>
  <c r="DC48" i="24"/>
  <c r="DB48" i="24"/>
  <c r="DA48" i="24"/>
  <c r="CZ48" i="24"/>
  <c r="CY48" i="24"/>
  <c r="CX48" i="24"/>
  <c r="CW48" i="24" s="1"/>
  <c r="CV48" i="24"/>
  <c r="CU48" i="24"/>
  <c r="CT48" i="24" s="1"/>
  <c r="CS48" i="24"/>
  <c r="CR48" i="24"/>
  <c r="CQ48" i="24"/>
  <c r="CP48" i="24"/>
  <c r="CO48" i="24"/>
  <c r="CN48" i="24"/>
  <c r="CM48" i="24"/>
  <c r="CL48" i="24"/>
  <c r="CK48" i="24"/>
  <c r="CI48" i="24"/>
  <c r="CH48" i="24"/>
  <c r="CJ48" i="24" s="1"/>
  <c r="CG48" i="24"/>
  <c r="CF48" i="24"/>
  <c r="CE48" i="24"/>
  <c r="CD48" i="24"/>
  <c r="CC48" i="24"/>
  <c r="CB48" i="24"/>
  <c r="CA48" i="24"/>
  <c r="BZ48" i="24"/>
  <c r="BY48" i="24"/>
  <c r="BX48" i="24"/>
  <c r="BW48" i="24"/>
  <c r="BU48" i="24"/>
  <c r="BT48" i="24"/>
  <c r="BS48" i="24"/>
  <c r="BR48" i="24"/>
  <c r="BQ48" i="24"/>
  <c r="BP48" i="24" s="1"/>
  <c r="BN48" i="24"/>
  <c r="BO48" i="24" s="1"/>
  <c r="BM48" i="24"/>
  <c r="BL48" i="24"/>
  <c r="BK48" i="24"/>
  <c r="BJ48" i="24"/>
  <c r="BI48" i="24"/>
  <c r="BH48" i="24"/>
  <c r="BG48" i="24"/>
  <c r="BF48" i="24"/>
  <c r="BE48" i="24"/>
  <c r="BD48" i="24"/>
  <c r="BC48" i="24"/>
  <c r="BB48" i="24"/>
  <c r="BA48" i="24"/>
  <c r="AZ48" i="24"/>
  <c r="AY48" i="24"/>
  <c r="AX48" i="24"/>
  <c r="AW48" i="24"/>
  <c r="AV48" i="24"/>
  <c r="AU48" i="24"/>
  <c r="AT48" i="24"/>
  <c r="AS48" i="24"/>
  <c r="AR48" i="24"/>
  <c r="AQ48" i="24"/>
  <c r="AP48" i="24"/>
  <c r="AL48" i="24" s="1"/>
  <c r="AO48" i="24"/>
  <c r="AN48" i="24"/>
  <c r="AM48" i="24"/>
  <c r="AK48" i="24"/>
  <c r="AJ48" i="24"/>
  <c r="AI48" i="24"/>
  <c r="AH48" i="24"/>
  <c r="AG48" i="24"/>
  <c r="AF48" i="24"/>
  <c r="AE48" i="24"/>
  <c r="AD48" i="24"/>
  <c r="AC48" i="24"/>
  <c r="AB48" i="24"/>
  <c r="AA48" i="24"/>
  <c r="Z48" i="24"/>
  <c r="Y48" i="24"/>
  <c r="X48" i="24"/>
  <c r="W48" i="24"/>
  <c r="V48" i="24"/>
  <c r="U48" i="24"/>
  <c r="T48" i="24" s="1"/>
  <c r="S48" i="24"/>
  <c r="R48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 s="1"/>
  <c r="C48" i="24"/>
  <c r="EP48" i="24" s="1"/>
  <c r="FX47" i="24"/>
  <c r="FI47" i="24"/>
  <c r="EW47" i="24"/>
  <c r="FG47" i="24" s="1"/>
  <c r="EP47" i="24"/>
  <c r="DV47" i="24"/>
  <c r="CZ47" i="24"/>
  <c r="CW47" i="24"/>
  <c r="CT47" i="24"/>
  <c r="CJ47" i="24"/>
  <c r="BP47" i="24"/>
  <c r="BO47" i="24"/>
  <c r="AL47" i="24"/>
  <c r="AH47" i="24"/>
  <c r="T47" i="24"/>
  <c r="G47" i="24"/>
  <c r="D47" i="24"/>
  <c r="GE46" i="24"/>
  <c r="FX46" i="24"/>
  <c r="FI46" i="24"/>
  <c r="EW46" i="24"/>
  <c r="FG46" i="24" s="1"/>
  <c r="DV46" i="24"/>
  <c r="CZ46" i="24"/>
  <c r="CW46" i="24"/>
  <c r="CT46" i="24"/>
  <c r="CJ46" i="24"/>
  <c r="BP46" i="24"/>
  <c r="BO46" i="24"/>
  <c r="AL46" i="24"/>
  <c r="AH46" i="24"/>
  <c r="T46" i="24"/>
  <c r="EP46" i="24" s="1"/>
  <c r="G46" i="24"/>
  <c r="D46" i="24"/>
  <c r="GE45" i="24"/>
  <c r="FX45" i="24"/>
  <c r="FI45" i="24"/>
  <c r="EW45" i="24"/>
  <c r="FG45" i="24" s="1"/>
  <c r="EP45" i="24"/>
  <c r="DV45" i="24"/>
  <c r="CZ45" i="24"/>
  <c r="CW45" i="24"/>
  <c r="CT45" i="24"/>
  <c r="CJ45" i="24"/>
  <c r="BP45" i="24"/>
  <c r="BO45" i="24"/>
  <c r="AL45" i="24"/>
  <c r="AH45" i="24"/>
  <c r="T45" i="24"/>
  <c r="G45" i="24"/>
  <c r="D45" i="24"/>
  <c r="FX44" i="24"/>
  <c r="FI44" i="24"/>
  <c r="EW44" i="24"/>
  <c r="FG44" i="24" s="1"/>
  <c r="DV44" i="24"/>
  <c r="CZ44" i="24"/>
  <c r="CW44" i="24"/>
  <c r="CT44" i="24"/>
  <c r="CJ44" i="24"/>
  <c r="BP44" i="24"/>
  <c r="BO44" i="24"/>
  <c r="AL44" i="24"/>
  <c r="AH44" i="24"/>
  <c r="T44" i="24"/>
  <c r="EP44" i="24" s="1"/>
  <c r="G44" i="24"/>
  <c r="D44" i="24"/>
  <c r="GE43" i="24"/>
  <c r="FX43" i="24"/>
  <c r="FI43" i="24"/>
  <c r="FG43" i="24"/>
  <c r="EW43" i="24"/>
  <c r="DV43" i="24"/>
  <c r="CZ43" i="24"/>
  <c r="CW43" i="24"/>
  <c r="CT43" i="24"/>
  <c r="CJ43" i="24"/>
  <c r="BP43" i="24"/>
  <c r="BO43" i="24" s="1"/>
  <c r="AL43" i="24"/>
  <c r="AH43" i="24"/>
  <c r="T43" i="24"/>
  <c r="EP43" i="24" s="1"/>
  <c r="G43" i="24"/>
  <c r="D43" i="24"/>
  <c r="GE42" i="24"/>
  <c r="FX42" i="24"/>
  <c r="FI42" i="24"/>
  <c r="EW42" i="24"/>
  <c r="FG42" i="24" s="1"/>
  <c r="EP42" i="24"/>
  <c r="DV42" i="24"/>
  <c r="CZ42" i="24"/>
  <c r="CW42" i="24"/>
  <c r="CT42" i="24"/>
  <c r="CJ42" i="24"/>
  <c r="BP42" i="24"/>
  <c r="BO42" i="24"/>
  <c r="AL42" i="24"/>
  <c r="AH42" i="24"/>
  <c r="T42" i="24"/>
  <c r="G42" i="24"/>
  <c r="D42" i="24"/>
  <c r="FX41" i="24"/>
  <c r="FI41" i="24"/>
  <c r="EW41" i="24"/>
  <c r="FG41" i="24" s="1"/>
  <c r="DV41" i="24"/>
  <c r="CZ41" i="24"/>
  <c r="CW41" i="24"/>
  <c r="CT41" i="24"/>
  <c r="CJ41" i="24"/>
  <c r="BP41" i="24"/>
  <c r="BO41" i="24"/>
  <c r="AL41" i="24"/>
  <c r="AH41" i="24"/>
  <c r="T41" i="24"/>
  <c r="EP41" i="24" s="1"/>
  <c r="G41" i="24"/>
  <c r="D41" i="24"/>
  <c r="FX40" i="24"/>
  <c r="FI40" i="24"/>
  <c r="FG40" i="24"/>
  <c r="EW40" i="24"/>
  <c r="DV40" i="24"/>
  <c r="CZ40" i="24"/>
  <c r="CW40" i="24"/>
  <c r="CT40" i="24"/>
  <c r="CJ40" i="24"/>
  <c r="BP40" i="24"/>
  <c r="AL40" i="24"/>
  <c r="AH40" i="24"/>
  <c r="T40" i="24"/>
  <c r="G40" i="24"/>
  <c r="D40" i="24"/>
  <c r="FX39" i="24"/>
  <c r="FI39" i="24"/>
  <c r="EW39" i="24"/>
  <c r="FG39" i="24" s="1"/>
  <c r="EP39" i="24"/>
  <c r="DV39" i="24"/>
  <c r="CZ39" i="24"/>
  <c r="CW39" i="24"/>
  <c r="CT39" i="24"/>
  <c r="CJ39" i="24"/>
  <c r="BP39" i="24"/>
  <c r="BO39" i="24"/>
  <c r="AL39" i="24"/>
  <c r="AH39" i="24"/>
  <c r="T39" i="24"/>
  <c r="G39" i="24"/>
  <c r="D39" i="24"/>
  <c r="FX38" i="24"/>
  <c r="FI38" i="24"/>
  <c r="EW38" i="24"/>
  <c r="FG38" i="24" s="1"/>
  <c r="DV38" i="24"/>
  <c r="CZ38" i="24"/>
  <c r="CW38" i="24"/>
  <c r="CT38" i="24"/>
  <c r="CJ38" i="24"/>
  <c r="BP38" i="24"/>
  <c r="BO38" i="24"/>
  <c r="AL38" i="24"/>
  <c r="AH38" i="24"/>
  <c r="T38" i="24"/>
  <c r="EP38" i="24" s="1"/>
  <c r="G38" i="24"/>
  <c r="D38" i="24"/>
  <c r="GI37" i="24"/>
  <c r="GI49" i="24" s="1"/>
  <c r="GD37" i="24"/>
  <c r="GC37" i="24"/>
  <c r="GB37" i="24"/>
  <c r="GA37" i="24"/>
  <c r="FZ37" i="24"/>
  <c r="FZ49" i="24" s="1"/>
  <c r="FY37" i="24"/>
  <c r="FY49" i="24" s="1"/>
  <c r="FX37" i="24"/>
  <c r="FW37" i="24"/>
  <c r="FW49" i="24" s="1"/>
  <c r="FM37" i="24"/>
  <c r="FM49" i="24" s="1"/>
  <c r="FL37" i="24"/>
  <c r="FK37" i="24"/>
  <c r="FJ37" i="24"/>
  <c r="FH37" i="24"/>
  <c r="FH49" i="24" s="1"/>
  <c r="FF37" i="24"/>
  <c r="FE37" i="24"/>
  <c r="FD37" i="24"/>
  <c r="FD49" i="24" s="1"/>
  <c r="FC37" i="24"/>
  <c r="FA37" i="24"/>
  <c r="EZ37" i="24"/>
  <c r="EY37" i="24"/>
  <c r="EY49" i="24" s="1"/>
  <c r="EX37" i="24"/>
  <c r="EV37" i="24"/>
  <c r="EV49" i="24" s="1"/>
  <c r="EU37" i="24"/>
  <c r="EU49" i="24" s="1"/>
  <c r="ET37" i="24"/>
  <c r="ET49" i="24" s="1"/>
  <c r="ES37" i="24"/>
  <c r="ES49" i="24" s="1"/>
  <c r="ER37" i="24"/>
  <c r="ER49" i="24" s="1"/>
  <c r="EQ37" i="24"/>
  <c r="EO37" i="24"/>
  <c r="EO49" i="24" s="1"/>
  <c r="EN37" i="24"/>
  <c r="EN49" i="24" s="1"/>
  <c r="EM37" i="24"/>
  <c r="EM49" i="24" s="1"/>
  <c r="EL37" i="24"/>
  <c r="EL49" i="24" s="1"/>
  <c r="EJ37" i="24"/>
  <c r="EJ49" i="24" s="1"/>
  <c r="EI37" i="24"/>
  <c r="EI49" i="24" s="1"/>
  <c r="EI57" i="24" s="1"/>
  <c r="EH37" i="24"/>
  <c r="FI37" i="24" s="1"/>
  <c r="EG37" i="24"/>
  <c r="EG49" i="24" s="1"/>
  <c r="EF37" i="24"/>
  <c r="EF49" i="24" s="1"/>
  <c r="ED37" i="24"/>
  <c r="ED49" i="24" s="1"/>
  <c r="EC37" i="24"/>
  <c r="EC49" i="24" s="1"/>
  <c r="EB37" i="24"/>
  <c r="EB49" i="24" s="1"/>
  <c r="EA37" i="24"/>
  <c r="EA49" i="24" s="1"/>
  <c r="DZ37" i="24"/>
  <c r="DZ49" i="24" s="1"/>
  <c r="DY37" i="24"/>
  <c r="DY49" i="24" s="1"/>
  <c r="DX37" i="24"/>
  <c r="DX49" i="24" s="1"/>
  <c r="DW37" i="24"/>
  <c r="DW49" i="24" s="1"/>
  <c r="DV49" i="24" s="1"/>
  <c r="DV37" i="24"/>
  <c r="DU37" i="24"/>
  <c r="DU49" i="24" s="1"/>
  <c r="DT37" i="24"/>
  <c r="DT49" i="24" s="1"/>
  <c r="DS37" i="24"/>
  <c r="DS49" i="24" s="1"/>
  <c r="DR37" i="24"/>
  <c r="DR49" i="24" s="1"/>
  <c r="DQ37" i="24"/>
  <c r="DP37" i="24"/>
  <c r="DP49" i="24" s="1"/>
  <c r="DO37" i="24"/>
  <c r="DO49" i="24" s="1"/>
  <c r="DN37" i="24"/>
  <c r="DN49" i="24" s="1"/>
  <c r="DM37" i="24"/>
  <c r="DM49" i="24" s="1"/>
  <c r="DL37" i="24"/>
  <c r="DL49" i="24" s="1"/>
  <c r="DK37" i="24"/>
  <c r="DK49" i="24" s="1"/>
  <c r="DJ37" i="24"/>
  <c r="DJ49" i="24" s="1"/>
  <c r="DI37" i="24"/>
  <c r="DH37" i="24"/>
  <c r="DH49" i="24" s="1"/>
  <c r="DG37" i="24"/>
  <c r="DG49" i="24" s="1"/>
  <c r="DF37" i="24"/>
  <c r="DF49" i="24" s="1"/>
  <c r="DE37" i="24"/>
  <c r="DE49" i="24" s="1"/>
  <c r="DD37" i="24"/>
  <c r="DD49" i="24" s="1"/>
  <c r="DC37" i="24"/>
  <c r="DC49" i="24" s="1"/>
  <c r="DB37" i="24"/>
  <c r="DB49" i="24" s="1"/>
  <c r="DA37" i="24"/>
  <c r="CZ37" i="24"/>
  <c r="CY37" i="24"/>
  <c r="CY49" i="24" s="1"/>
  <c r="CX37" i="24"/>
  <c r="CW37" i="24" s="1"/>
  <c r="CV37" i="24"/>
  <c r="CV49" i="24" s="1"/>
  <c r="CU37" i="24"/>
  <c r="CU49" i="24" s="1"/>
  <c r="CT49" i="24" s="1"/>
  <c r="CS37" i="24"/>
  <c r="CS49" i="24" s="1"/>
  <c r="CR37" i="24"/>
  <c r="CR49" i="24" s="1"/>
  <c r="CQ37" i="24"/>
  <c r="CQ49" i="24" s="1"/>
  <c r="CP37" i="24"/>
  <c r="CP49" i="24" s="1"/>
  <c r="CO37" i="24"/>
  <c r="CO49" i="24" s="1"/>
  <c r="CN37" i="24"/>
  <c r="CN49" i="24" s="1"/>
  <c r="CM37" i="24"/>
  <c r="CM49" i="24" s="1"/>
  <c r="CL37" i="24"/>
  <c r="CL49" i="24" s="1"/>
  <c r="CK37" i="24"/>
  <c r="CI37" i="24"/>
  <c r="CI49" i="24" s="1"/>
  <c r="CH37" i="24"/>
  <c r="CJ37" i="24" s="1"/>
  <c r="CG37" i="24"/>
  <c r="CG49" i="24" s="1"/>
  <c r="CF37" i="24"/>
  <c r="CF49" i="24" s="1"/>
  <c r="CE37" i="24"/>
  <c r="CE49" i="24" s="1"/>
  <c r="CD37" i="24"/>
  <c r="CD49" i="24" s="1"/>
  <c r="CC37" i="24"/>
  <c r="CB37" i="24"/>
  <c r="CB49" i="24" s="1"/>
  <c r="CA37" i="24"/>
  <c r="CA49" i="24" s="1"/>
  <c r="BZ37" i="24"/>
  <c r="BZ49" i="24" s="1"/>
  <c r="BY37" i="24"/>
  <c r="BY49" i="24" s="1"/>
  <c r="BX37" i="24"/>
  <c r="BX49" i="24" s="1"/>
  <c r="BW37" i="24"/>
  <c r="BW49" i="24" s="1"/>
  <c r="BU37" i="24"/>
  <c r="BU49" i="24" s="1"/>
  <c r="BT37" i="24"/>
  <c r="BS37" i="24"/>
  <c r="BS49" i="24" s="1"/>
  <c r="BR37" i="24"/>
  <c r="BR49" i="24" s="1"/>
  <c r="BQ37" i="24"/>
  <c r="BN37" i="24"/>
  <c r="BM37" i="24"/>
  <c r="BM49" i="24" s="1"/>
  <c r="BL37" i="24"/>
  <c r="BL49" i="24" s="1"/>
  <c r="BK37" i="24"/>
  <c r="BK49" i="24" s="1"/>
  <c r="BJ37" i="24"/>
  <c r="BJ49" i="24" s="1"/>
  <c r="BI37" i="24"/>
  <c r="BI49" i="24" s="1"/>
  <c r="BH37" i="24"/>
  <c r="BH49" i="24" s="1"/>
  <c r="BG37" i="24"/>
  <c r="BG49" i="24" s="1"/>
  <c r="BF37" i="24"/>
  <c r="BF49" i="24" s="1"/>
  <c r="BE37" i="24"/>
  <c r="BE49" i="24" s="1"/>
  <c r="BD37" i="24"/>
  <c r="BD49" i="24" s="1"/>
  <c r="BC37" i="24"/>
  <c r="BC49" i="24" s="1"/>
  <c r="BB37" i="24"/>
  <c r="BB49" i="24" s="1"/>
  <c r="BA37" i="24"/>
  <c r="AZ37" i="24"/>
  <c r="AZ49" i="24" s="1"/>
  <c r="AY37" i="24"/>
  <c r="AY49" i="24" s="1"/>
  <c r="AX37" i="24"/>
  <c r="AX49" i="24" s="1"/>
  <c r="AW37" i="24"/>
  <c r="AW49" i="24" s="1"/>
  <c r="AV37" i="24"/>
  <c r="AV49" i="24" s="1"/>
  <c r="AU37" i="24"/>
  <c r="AU49" i="24" s="1"/>
  <c r="AT37" i="24"/>
  <c r="AT49" i="24" s="1"/>
  <c r="AS37" i="24"/>
  <c r="AS49" i="24" s="1"/>
  <c r="AR37" i="24"/>
  <c r="AR49" i="24" s="1"/>
  <c r="AQ37" i="24"/>
  <c r="AQ49" i="24" s="1"/>
  <c r="AP37" i="24"/>
  <c r="AP49" i="24" s="1"/>
  <c r="AO37" i="24"/>
  <c r="AO49" i="24" s="1"/>
  <c r="AN37" i="24"/>
  <c r="AN49" i="24" s="1"/>
  <c r="AM37" i="24"/>
  <c r="AM49" i="24" s="1"/>
  <c r="AK37" i="24"/>
  <c r="AK49" i="24" s="1"/>
  <c r="AJ37" i="24"/>
  <c r="AJ49" i="24" s="1"/>
  <c r="AI37" i="24"/>
  <c r="AI49" i="24" s="1"/>
  <c r="AH37" i="24"/>
  <c r="AG37" i="24"/>
  <c r="AG49" i="24" s="1"/>
  <c r="AF37" i="24"/>
  <c r="AF49" i="24" s="1"/>
  <c r="AE37" i="24"/>
  <c r="AE49" i="24" s="1"/>
  <c r="AD37" i="24"/>
  <c r="AD49" i="24" s="1"/>
  <c r="AC37" i="24"/>
  <c r="AC49" i="24" s="1"/>
  <c r="AB37" i="24"/>
  <c r="AB49" i="24" s="1"/>
  <c r="AA37" i="24"/>
  <c r="AA49" i="24" s="1"/>
  <c r="Z37" i="24"/>
  <c r="Z49" i="24" s="1"/>
  <c r="Y37" i="24"/>
  <c r="Y49" i="24" s="1"/>
  <c r="X37" i="24"/>
  <c r="X49" i="24" s="1"/>
  <c r="W37" i="24"/>
  <c r="W49" i="24" s="1"/>
  <c r="V37" i="24"/>
  <c r="V49" i="24" s="1"/>
  <c r="U37" i="24"/>
  <c r="S37" i="24"/>
  <c r="S49" i="24" s="1"/>
  <c r="R37" i="24"/>
  <c r="R49" i="24" s="1"/>
  <c r="Q37" i="24"/>
  <c r="Q49" i="24" s="1"/>
  <c r="P37" i="24"/>
  <c r="O37" i="24"/>
  <c r="O49" i="24" s="1"/>
  <c r="N37" i="24"/>
  <c r="N49" i="24" s="1"/>
  <c r="M37" i="24"/>
  <c r="M49" i="24" s="1"/>
  <c r="L37" i="24"/>
  <c r="L49" i="24" s="1"/>
  <c r="K37" i="24"/>
  <c r="K49" i="24" s="1"/>
  <c r="J37" i="24"/>
  <c r="J49" i="24" s="1"/>
  <c r="I37" i="24"/>
  <c r="I49" i="24" s="1"/>
  <c r="H37" i="24"/>
  <c r="G37" i="24"/>
  <c r="F37" i="24"/>
  <c r="F49" i="24" s="1"/>
  <c r="E37" i="24"/>
  <c r="C37" i="24"/>
  <c r="C49" i="24" s="1"/>
  <c r="GE36" i="24"/>
  <c r="FX36" i="24"/>
  <c r="FI36" i="24"/>
  <c r="EW36" i="24"/>
  <c r="FG36" i="24" s="1"/>
  <c r="EP36" i="24"/>
  <c r="DV36" i="24"/>
  <c r="CZ36" i="24"/>
  <c r="CW36" i="24"/>
  <c r="CT36" i="24"/>
  <c r="CJ36" i="24"/>
  <c r="BP36" i="24"/>
  <c r="BO36" i="24"/>
  <c r="AL36" i="24"/>
  <c r="AH36" i="24"/>
  <c r="T36" i="24"/>
  <c r="G36" i="24"/>
  <c r="D36" i="24"/>
  <c r="GE35" i="24"/>
  <c r="FX35" i="24"/>
  <c r="FI35" i="24"/>
  <c r="FG35" i="24"/>
  <c r="EW35" i="24"/>
  <c r="DV35" i="24"/>
  <c r="CZ35" i="24"/>
  <c r="CW35" i="24"/>
  <c r="CT35" i="24"/>
  <c r="CJ35" i="24"/>
  <c r="BP35" i="24"/>
  <c r="BO35" i="24" s="1"/>
  <c r="AL35" i="24"/>
  <c r="AH35" i="24"/>
  <c r="T35" i="24"/>
  <c r="G35" i="24"/>
  <c r="D35" i="24"/>
  <c r="GE34" i="24"/>
  <c r="FX34" i="24"/>
  <c r="FI34" i="24"/>
  <c r="EW34" i="24"/>
  <c r="FG34" i="24" s="1"/>
  <c r="DV34" i="24"/>
  <c r="CZ34" i="24"/>
  <c r="CW34" i="24"/>
  <c r="CT34" i="24"/>
  <c r="CJ34" i="24"/>
  <c r="BP34" i="24"/>
  <c r="BO34" i="24"/>
  <c r="AL34" i="24"/>
  <c r="AH34" i="24"/>
  <c r="T34" i="24"/>
  <c r="EP34" i="24" s="1"/>
  <c r="G34" i="24"/>
  <c r="D34" i="24"/>
  <c r="GE33" i="24"/>
  <c r="FX33" i="24"/>
  <c r="FI33" i="24"/>
  <c r="EW33" i="24"/>
  <c r="FG33" i="24" s="1"/>
  <c r="DV33" i="24"/>
  <c r="CZ33" i="24"/>
  <c r="CW33" i="24"/>
  <c r="CT33" i="24"/>
  <c r="CJ33" i="24"/>
  <c r="BP33" i="24"/>
  <c r="BO33" i="24"/>
  <c r="AL33" i="24"/>
  <c r="AH33" i="24"/>
  <c r="T33" i="24"/>
  <c r="EP33" i="24" s="1"/>
  <c r="G33" i="24"/>
  <c r="D33" i="24"/>
  <c r="GE32" i="24"/>
  <c r="FX32" i="24"/>
  <c r="FI32" i="24"/>
  <c r="FG32" i="24"/>
  <c r="EW32" i="24"/>
  <c r="DV32" i="24"/>
  <c r="CZ32" i="24"/>
  <c r="CW32" i="24"/>
  <c r="CT32" i="24"/>
  <c r="CJ32" i="24"/>
  <c r="BP32" i="24"/>
  <c r="BO32" i="24" s="1"/>
  <c r="AL32" i="24"/>
  <c r="AH32" i="24"/>
  <c r="T32" i="24"/>
  <c r="G32" i="24"/>
  <c r="D32" i="24"/>
  <c r="GE31" i="24"/>
  <c r="FX31" i="24"/>
  <c r="FI31" i="24"/>
  <c r="FG31" i="24"/>
  <c r="EW31" i="24"/>
  <c r="DV31" i="24"/>
  <c r="CZ31" i="24"/>
  <c r="CW31" i="24"/>
  <c r="CT31" i="24"/>
  <c r="CJ31" i="24"/>
  <c r="BP31" i="24"/>
  <c r="BO31" i="24" s="1"/>
  <c r="AL31" i="24"/>
  <c r="AH31" i="24"/>
  <c r="T31" i="24"/>
  <c r="EP31" i="24" s="1"/>
  <c r="G31" i="24"/>
  <c r="D31" i="24"/>
  <c r="GE30" i="24"/>
  <c r="FX30" i="24"/>
  <c r="FI30" i="24"/>
  <c r="EW30" i="24"/>
  <c r="FG30" i="24" s="1"/>
  <c r="DV30" i="24"/>
  <c r="CZ30" i="24"/>
  <c r="CW30" i="24"/>
  <c r="CT30" i="24"/>
  <c r="CJ30" i="24"/>
  <c r="BP30" i="24"/>
  <c r="BO30" i="24"/>
  <c r="AL30" i="24"/>
  <c r="AH30" i="24"/>
  <c r="T30" i="24"/>
  <c r="EP30" i="24" s="1"/>
  <c r="G30" i="24"/>
  <c r="D30" i="24"/>
  <c r="GE29" i="24"/>
  <c r="FX29" i="24"/>
  <c r="FI29" i="24"/>
  <c r="EW29" i="24"/>
  <c r="FG29" i="24" s="1"/>
  <c r="EP29" i="24"/>
  <c r="DV29" i="24"/>
  <c r="CZ29" i="24"/>
  <c r="CW29" i="24"/>
  <c r="CT29" i="24"/>
  <c r="CJ29" i="24"/>
  <c r="BP29" i="24"/>
  <c r="BO29" i="24"/>
  <c r="AL29" i="24"/>
  <c r="AH29" i="24"/>
  <c r="T29" i="24"/>
  <c r="G29" i="24"/>
  <c r="D29" i="24"/>
  <c r="GE28" i="24"/>
  <c r="FX28" i="24"/>
  <c r="FI28" i="24"/>
  <c r="FG28" i="24"/>
  <c r="EW28" i="24"/>
  <c r="DV28" i="24"/>
  <c r="CZ28" i="24"/>
  <c r="CW28" i="24"/>
  <c r="CT28" i="24"/>
  <c r="CJ28" i="24"/>
  <c r="BP28" i="24"/>
  <c r="BO28" i="24" s="1"/>
  <c r="AL28" i="24"/>
  <c r="AH28" i="24"/>
  <c r="T28" i="24"/>
  <c r="G28" i="24"/>
  <c r="D28" i="24"/>
  <c r="GE27" i="24"/>
  <c r="FX27" i="24"/>
  <c r="FI27" i="24"/>
  <c r="FG27" i="24"/>
  <c r="EW27" i="24"/>
  <c r="DV27" i="24"/>
  <c r="CZ27" i="24"/>
  <c r="CW27" i="24"/>
  <c r="CT27" i="24"/>
  <c r="CJ27" i="24"/>
  <c r="BP27" i="24"/>
  <c r="BO27" i="24" s="1"/>
  <c r="AL27" i="24"/>
  <c r="AH27" i="24"/>
  <c r="T27" i="24"/>
  <c r="EP27" i="24" s="1"/>
  <c r="G27" i="24"/>
  <c r="D27" i="24"/>
  <c r="GE26" i="24"/>
  <c r="FX26" i="24"/>
  <c r="FI26" i="24"/>
  <c r="EW26" i="24"/>
  <c r="FG26" i="24" s="1"/>
  <c r="DV26" i="24"/>
  <c r="CZ26" i="24"/>
  <c r="CW26" i="24"/>
  <c r="CT26" i="24"/>
  <c r="CJ26" i="24"/>
  <c r="BP26" i="24"/>
  <c r="BO26" i="24"/>
  <c r="AL26" i="24"/>
  <c r="AH26" i="24"/>
  <c r="T26" i="24"/>
  <c r="EP26" i="24" s="1"/>
  <c r="G26" i="24"/>
  <c r="D26" i="24"/>
  <c r="GE25" i="24"/>
  <c r="FX25" i="24"/>
  <c r="FI25" i="24"/>
  <c r="FG25" i="24"/>
  <c r="EW25" i="24"/>
  <c r="EP25" i="24"/>
  <c r="DV25" i="24"/>
  <c r="CZ25" i="24"/>
  <c r="CW25" i="24"/>
  <c r="CT25" i="24"/>
  <c r="CJ25" i="24"/>
  <c r="BP25" i="24"/>
  <c r="BO25" i="24" s="1"/>
  <c r="AL25" i="24"/>
  <c r="AH25" i="24"/>
  <c r="T25" i="24"/>
  <c r="G25" i="24"/>
  <c r="D25" i="24"/>
  <c r="GE24" i="24"/>
  <c r="FX24" i="24"/>
  <c r="FI24" i="24"/>
  <c r="FG24" i="24"/>
  <c r="EW24" i="24"/>
  <c r="DV24" i="24"/>
  <c r="CZ24" i="24"/>
  <c r="CW24" i="24"/>
  <c r="CT24" i="24"/>
  <c r="CJ24" i="24"/>
  <c r="BP24" i="24"/>
  <c r="BO24" i="24" s="1"/>
  <c r="AL24" i="24"/>
  <c r="AH24" i="24"/>
  <c r="T24" i="24"/>
  <c r="G24" i="24"/>
  <c r="D24" i="24"/>
  <c r="GE23" i="24"/>
  <c r="FX23" i="24"/>
  <c r="FI23" i="24"/>
  <c r="FG23" i="24"/>
  <c r="EW23" i="24"/>
  <c r="DV23" i="24"/>
  <c r="CZ23" i="24"/>
  <c r="CW23" i="24"/>
  <c r="CT23" i="24"/>
  <c r="CJ23" i="24"/>
  <c r="BP23" i="24"/>
  <c r="BO23" i="24" s="1"/>
  <c r="AL23" i="24"/>
  <c r="AH23" i="24"/>
  <c r="T23" i="24"/>
  <c r="EP23" i="24" s="1"/>
  <c r="G23" i="24"/>
  <c r="D23" i="24"/>
  <c r="GE22" i="24"/>
  <c r="FX22" i="24"/>
  <c r="FI22" i="24"/>
  <c r="EW22" i="24"/>
  <c r="FG22" i="24" s="1"/>
  <c r="DV22" i="24"/>
  <c r="CZ22" i="24"/>
  <c r="CW22" i="24"/>
  <c r="CT22" i="24"/>
  <c r="CJ22" i="24"/>
  <c r="BP22" i="24"/>
  <c r="BO22" i="24"/>
  <c r="AL22" i="24"/>
  <c r="AH22" i="24"/>
  <c r="T22" i="24"/>
  <c r="EP22" i="24" s="1"/>
  <c r="G22" i="24"/>
  <c r="D22" i="24"/>
  <c r="GE21" i="24"/>
  <c r="FX21" i="24"/>
  <c r="FI21" i="24"/>
  <c r="FG21" i="24"/>
  <c r="EW21" i="24"/>
  <c r="DV21" i="24"/>
  <c r="CZ21" i="24"/>
  <c r="CW21" i="24"/>
  <c r="CT21" i="24"/>
  <c r="CJ21" i="24"/>
  <c r="BP21" i="24"/>
  <c r="BO21" i="24" s="1"/>
  <c r="AL21" i="24"/>
  <c r="AH21" i="24"/>
  <c r="T21" i="24"/>
  <c r="EP21" i="24" s="1"/>
  <c r="G21" i="24"/>
  <c r="D21" i="24"/>
  <c r="GE20" i="24"/>
  <c r="FX20" i="24"/>
  <c r="FI20" i="24"/>
  <c r="EW20" i="24"/>
  <c r="FG20" i="24" s="1"/>
  <c r="EP20" i="24"/>
  <c r="DV20" i="24"/>
  <c r="CZ20" i="24"/>
  <c r="CW20" i="24"/>
  <c r="CT20" i="24"/>
  <c r="CJ20" i="24"/>
  <c r="BP20" i="24"/>
  <c r="BO20" i="24"/>
  <c r="AL20" i="24"/>
  <c r="AH20" i="24"/>
  <c r="T20" i="24"/>
  <c r="G20" i="24"/>
  <c r="D20" i="24"/>
  <c r="GE19" i="24"/>
  <c r="FX19" i="24"/>
  <c r="FI19" i="24"/>
  <c r="FG19" i="24"/>
  <c r="EW19" i="24"/>
  <c r="DV19" i="24"/>
  <c r="CZ19" i="24"/>
  <c r="CW19" i="24"/>
  <c r="CT19" i="24"/>
  <c r="CJ19" i="24"/>
  <c r="BP19" i="24"/>
  <c r="BO19" i="24" s="1"/>
  <c r="AL19" i="24"/>
  <c r="AH19" i="24"/>
  <c r="T19" i="24"/>
  <c r="G19" i="24"/>
  <c r="D19" i="24"/>
  <c r="GE18" i="24"/>
  <c r="FX18" i="24"/>
  <c r="FI18" i="24"/>
  <c r="EW18" i="24"/>
  <c r="FG18" i="24" s="1"/>
  <c r="DV18" i="24"/>
  <c r="CZ18" i="24"/>
  <c r="CW18" i="24"/>
  <c r="CT18" i="24"/>
  <c r="CJ18" i="24"/>
  <c r="BP18" i="24"/>
  <c r="BO18" i="24"/>
  <c r="AL18" i="24"/>
  <c r="AH18" i="24"/>
  <c r="T18" i="24"/>
  <c r="EP18" i="24" s="1"/>
  <c r="G18" i="24"/>
  <c r="D18" i="24"/>
  <c r="GE17" i="24"/>
  <c r="FX17" i="24"/>
  <c r="FI17" i="24"/>
  <c r="FG17" i="24"/>
  <c r="EW17" i="24"/>
  <c r="EP17" i="24"/>
  <c r="DV17" i="24"/>
  <c r="CZ17" i="24"/>
  <c r="CW17" i="24"/>
  <c r="CT17" i="24"/>
  <c r="CJ17" i="24"/>
  <c r="BP17" i="24"/>
  <c r="BO17" i="24" s="1"/>
  <c r="AL17" i="24"/>
  <c r="AH17" i="24"/>
  <c r="T17" i="24"/>
  <c r="G17" i="24"/>
  <c r="D17" i="24"/>
  <c r="GE16" i="24"/>
  <c r="FX16" i="24"/>
  <c r="FI16" i="24"/>
  <c r="FG16" i="24"/>
  <c r="EW16" i="24"/>
  <c r="DV16" i="24"/>
  <c r="CZ16" i="24"/>
  <c r="CW16" i="24"/>
  <c r="CT16" i="24"/>
  <c r="CJ16" i="24"/>
  <c r="BP16" i="24"/>
  <c r="BO16" i="24" s="1"/>
  <c r="AL16" i="24"/>
  <c r="AH16" i="24"/>
  <c r="T16" i="24"/>
  <c r="G16" i="24"/>
  <c r="D16" i="24"/>
  <c r="GE15" i="24"/>
  <c r="FX15" i="24"/>
  <c r="FI15" i="24"/>
  <c r="FG15" i="24"/>
  <c r="EW15" i="24"/>
  <c r="DV15" i="24"/>
  <c r="CZ15" i="24"/>
  <c r="CW15" i="24"/>
  <c r="CT15" i="24"/>
  <c r="CJ15" i="24"/>
  <c r="BP15" i="24"/>
  <c r="BO15" i="24" s="1"/>
  <c r="AL15" i="24"/>
  <c r="AH15" i="24"/>
  <c r="T15" i="24"/>
  <c r="EP15" i="24" s="1"/>
  <c r="G15" i="24"/>
  <c r="D15" i="24"/>
  <c r="GE14" i="24"/>
  <c r="FX14" i="24"/>
  <c r="FI14" i="24"/>
  <c r="EW14" i="24"/>
  <c r="FG14" i="24" s="1"/>
  <c r="DV14" i="24"/>
  <c r="CZ14" i="24"/>
  <c r="CW14" i="24"/>
  <c r="CT14" i="24"/>
  <c r="CJ14" i="24"/>
  <c r="BP14" i="24"/>
  <c r="BO14" i="24"/>
  <c r="AL14" i="24"/>
  <c r="AH14" i="24"/>
  <c r="T14" i="24"/>
  <c r="EP14" i="24" s="1"/>
  <c r="G14" i="24"/>
  <c r="D14" i="24"/>
  <c r="GE13" i="24"/>
  <c r="FX13" i="24"/>
  <c r="FI13" i="24"/>
  <c r="EW13" i="24"/>
  <c r="FG13" i="24" s="1"/>
  <c r="EP13" i="24"/>
  <c r="DV13" i="24"/>
  <c r="CZ13" i="24"/>
  <c r="CW13" i="24"/>
  <c r="CT13" i="24"/>
  <c r="CJ13" i="24"/>
  <c r="BP13" i="24"/>
  <c r="BO13" i="24"/>
  <c r="AL13" i="24"/>
  <c r="AH13" i="24"/>
  <c r="T13" i="24"/>
  <c r="G13" i="24"/>
  <c r="D13" i="24"/>
  <c r="GE12" i="24"/>
  <c r="FX12" i="24"/>
  <c r="FI12" i="24"/>
  <c r="EW12" i="24"/>
  <c r="FG12" i="24" s="1"/>
  <c r="DV12" i="24"/>
  <c r="CZ12" i="24"/>
  <c r="CW12" i="24"/>
  <c r="CT12" i="24"/>
  <c r="CJ12" i="24"/>
  <c r="BP12" i="24"/>
  <c r="EP12" i="24" s="1"/>
  <c r="BO12" i="24"/>
  <c r="AL12" i="24"/>
  <c r="AH12" i="24"/>
  <c r="T12" i="24"/>
  <c r="G12" i="24"/>
  <c r="D12" i="24"/>
  <c r="GE11" i="24"/>
  <c r="FX11" i="24"/>
  <c r="FI11" i="24"/>
  <c r="FG11" i="24"/>
  <c r="EW11" i="24"/>
  <c r="DV11" i="24"/>
  <c r="CZ11" i="24"/>
  <c r="CW11" i="24"/>
  <c r="CT11" i="24"/>
  <c r="CJ11" i="24"/>
  <c r="BP11" i="24"/>
  <c r="BO11" i="24" s="1"/>
  <c r="AL11" i="24"/>
  <c r="AH11" i="24"/>
  <c r="T11" i="24"/>
  <c r="G11" i="24"/>
  <c r="D11" i="24"/>
  <c r="GE10" i="24"/>
  <c r="FX10" i="24"/>
  <c r="FI10" i="24"/>
  <c r="EW10" i="24"/>
  <c r="FG10" i="24" s="1"/>
  <c r="EP10" i="24"/>
  <c r="DV10" i="24"/>
  <c r="CZ10" i="24"/>
  <c r="CW10" i="24"/>
  <c r="CT10" i="24"/>
  <c r="CJ10" i="24"/>
  <c r="BP10" i="24"/>
  <c r="BO10" i="24"/>
  <c r="AL10" i="24"/>
  <c r="AH10" i="24"/>
  <c r="T10" i="24"/>
  <c r="G10" i="24"/>
  <c r="D10" i="24"/>
  <c r="GE9" i="24"/>
  <c r="FX9" i="24"/>
  <c r="FI9" i="24"/>
  <c r="FG9" i="24"/>
  <c r="EW9" i="24"/>
  <c r="DV9" i="24"/>
  <c r="CZ9" i="24"/>
  <c r="CW9" i="24"/>
  <c r="CT9" i="24"/>
  <c r="CJ9" i="24"/>
  <c r="BP9" i="24"/>
  <c r="BO9" i="24" s="1"/>
  <c r="AL9" i="24"/>
  <c r="AH9" i="24"/>
  <c r="T9" i="24"/>
  <c r="EP9" i="24" s="1"/>
  <c r="G9" i="24"/>
  <c r="D9" i="24"/>
  <c r="GE8" i="24"/>
  <c r="FX8" i="24"/>
  <c r="FI8" i="24"/>
  <c r="EW8" i="24"/>
  <c r="FG8" i="24" s="1"/>
  <c r="EP8" i="24"/>
  <c r="DV8" i="24"/>
  <c r="CZ8" i="24"/>
  <c r="CW8" i="24"/>
  <c r="CT8" i="24"/>
  <c r="CJ8" i="24"/>
  <c r="BP8" i="24"/>
  <c r="BO8" i="24"/>
  <c r="AL8" i="24"/>
  <c r="AH8" i="24"/>
  <c r="T8" i="24"/>
  <c r="G8" i="24"/>
  <c r="D8" i="24"/>
  <c r="GE7" i="24"/>
  <c r="FX7" i="24"/>
  <c r="FI7" i="24"/>
  <c r="FG7" i="24"/>
  <c r="EW7" i="24"/>
  <c r="DV7" i="24"/>
  <c r="CZ7" i="24"/>
  <c r="CW7" i="24"/>
  <c r="CT7" i="24"/>
  <c r="CJ7" i="24"/>
  <c r="BP7" i="24"/>
  <c r="BO7" i="24" s="1"/>
  <c r="AL7" i="24"/>
  <c r="AH7" i="24"/>
  <c r="T7" i="24"/>
  <c r="EP7" i="24" s="1"/>
  <c r="G7" i="24"/>
  <c r="D7" i="24"/>
  <c r="GE6" i="24"/>
  <c r="FX6" i="24"/>
  <c r="FI6" i="24"/>
  <c r="EW6" i="24"/>
  <c r="FG6" i="24" s="1"/>
  <c r="EP6" i="24"/>
  <c r="DV6" i="24"/>
  <c r="CZ6" i="24"/>
  <c r="CW6" i="24"/>
  <c r="CT6" i="24"/>
  <c r="CJ6" i="24"/>
  <c r="BP6" i="24"/>
  <c r="BO6" i="24"/>
  <c r="AL6" i="24"/>
  <c r="AH6" i="24"/>
  <c r="T6" i="24"/>
  <c r="G6" i="24"/>
  <c r="D6" i="24"/>
  <c r="FJ51" i="23"/>
  <c r="FJ52" i="23" s="1"/>
  <c r="EI51" i="23"/>
  <c r="EI52" i="23" s="1"/>
  <c r="GE49" i="23"/>
  <c r="GC49" i="23"/>
  <c r="FX49" i="23"/>
  <c r="FI49" i="23"/>
  <c r="FG49" i="23"/>
  <c r="EW49" i="23"/>
  <c r="DV49" i="23"/>
  <c r="CZ49" i="23"/>
  <c r="CW49" i="23"/>
  <c r="CT49" i="23"/>
  <c r="CJ49" i="23"/>
  <c r="BP49" i="23"/>
  <c r="BO49" i="23" s="1"/>
  <c r="AL49" i="23"/>
  <c r="AH49" i="23"/>
  <c r="T49" i="23"/>
  <c r="EP49" i="23" s="1"/>
  <c r="G49" i="23"/>
  <c r="D49" i="23"/>
  <c r="GE48" i="23"/>
  <c r="GC48" i="23"/>
  <c r="FX48" i="23"/>
  <c r="FI48" i="23"/>
  <c r="EW48" i="23"/>
  <c r="FG48" i="23" s="1"/>
  <c r="DV48" i="23"/>
  <c r="CZ48" i="23"/>
  <c r="CW48" i="23"/>
  <c r="CT48" i="23"/>
  <c r="CJ48" i="23"/>
  <c r="BP48" i="23"/>
  <c r="BO48" i="23"/>
  <c r="AL48" i="23"/>
  <c r="AH48" i="23"/>
  <c r="T48" i="23"/>
  <c r="EP48" i="23" s="1"/>
  <c r="G48" i="23"/>
  <c r="D48" i="23"/>
  <c r="FX47" i="23"/>
  <c r="FI47" i="23"/>
  <c r="EW47" i="23"/>
  <c r="FG47" i="23" s="1"/>
  <c r="EP47" i="23"/>
  <c r="DV47" i="23"/>
  <c r="CZ47" i="23"/>
  <c r="CW47" i="23"/>
  <c r="CT47" i="23"/>
  <c r="CJ47" i="23"/>
  <c r="BP47" i="23"/>
  <c r="BO47" i="23"/>
  <c r="AL47" i="23"/>
  <c r="AH47" i="23"/>
  <c r="T47" i="23"/>
  <c r="G47" i="23"/>
  <c r="D47" i="23"/>
  <c r="FX46" i="23"/>
  <c r="FI46" i="23"/>
  <c r="FG46" i="23"/>
  <c r="EW46" i="23"/>
  <c r="DV46" i="23"/>
  <c r="CZ46" i="23"/>
  <c r="CW46" i="23"/>
  <c r="CT46" i="23"/>
  <c r="CJ46" i="23"/>
  <c r="BP46" i="23"/>
  <c r="BO46" i="23" s="1"/>
  <c r="AL46" i="23"/>
  <c r="AH46" i="23"/>
  <c r="T46" i="23"/>
  <c r="G46" i="23"/>
  <c r="D46" i="23"/>
  <c r="GE45" i="23"/>
  <c r="FX45" i="23"/>
  <c r="FI45" i="23"/>
  <c r="FG45" i="23"/>
  <c r="EW45" i="23"/>
  <c r="DV45" i="23"/>
  <c r="CZ45" i="23"/>
  <c r="CW45" i="23"/>
  <c r="CT45" i="23"/>
  <c r="CJ45" i="23"/>
  <c r="BP45" i="23"/>
  <c r="BO45" i="23" s="1"/>
  <c r="AL45" i="23"/>
  <c r="AH45" i="23"/>
  <c r="T45" i="23"/>
  <c r="G45" i="23"/>
  <c r="D45" i="23"/>
  <c r="FX44" i="23"/>
  <c r="FI44" i="23"/>
  <c r="FG44" i="23"/>
  <c r="EW44" i="23"/>
  <c r="DV44" i="23"/>
  <c r="CZ44" i="23"/>
  <c r="CW44" i="23"/>
  <c r="CT44" i="23"/>
  <c r="CJ44" i="23"/>
  <c r="BP44" i="23"/>
  <c r="BO44" i="23" s="1"/>
  <c r="AL44" i="23"/>
  <c r="AH44" i="23"/>
  <c r="T44" i="23"/>
  <c r="EP44" i="23" s="1"/>
  <c r="G44" i="23"/>
  <c r="D44" i="23"/>
  <c r="GE43" i="23"/>
  <c r="FX43" i="23"/>
  <c r="FI43" i="23"/>
  <c r="FG43" i="23"/>
  <c r="EW43" i="23"/>
  <c r="DV43" i="23"/>
  <c r="CZ43" i="23"/>
  <c r="CW43" i="23"/>
  <c r="CT43" i="23"/>
  <c r="CJ43" i="23"/>
  <c r="BP43" i="23"/>
  <c r="BO43" i="23" s="1"/>
  <c r="AL43" i="23"/>
  <c r="AH43" i="23"/>
  <c r="T43" i="23"/>
  <c r="G43" i="23"/>
  <c r="D43" i="23"/>
  <c r="GE42" i="23"/>
  <c r="FX42" i="23"/>
  <c r="FI42" i="23"/>
  <c r="FG42" i="23"/>
  <c r="EW42" i="23"/>
  <c r="DV42" i="23"/>
  <c r="CZ42" i="23"/>
  <c r="CW42" i="23"/>
  <c r="CT42" i="23"/>
  <c r="CJ42" i="23"/>
  <c r="BP42" i="23"/>
  <c r="BO42" i="23" s="1"/>
  <c r="AL42" i="23"/>
  <c r="AH42" i="23"/>
  <c r="T42" i="23"/>
  <c r="G42" i="23"/>
  <c r="D42" i="23"/>
  <c r="FX41" i="23"/>
  <c r="FI41" i="23"/>
  <c r="FG41" i="23"/>
  <c r="EW41" i="23"/>
  <c r="EP41" i="23"/>
  <c r="DV41" i="23"/>
  <c r="CZ41" i="23"/>
  <c r="CW41" i="23"/>
  <c r="CT41" i="23"/>
  <c r="CJ41" i="23"/>
  <c r="BP41" i="23"/>
  <c r="BO41" i="23" s="1"/>
  <c r="AL41" i="23"/>
  <c r="AH41" i="23"/>
  <c r="T41" i="23"/>
  <c r="G41" i="23"/>
  <c r="D41" i="23"/>
  <c r="FX40" i="23"/>
  <c r="FI40" i="23"/>
  <c r="EW40" i="23"/>
  <c r="FG40" i="23" s="1"/>
  <c r="DV40" i="23"/>
  <c r="CZ40" i="23"/>
  <c r="CW40" i="23"/>
  <c r="CT40" i="23"/>
  <c r="CJ40" i="23"/>
  <c r="BP40" i="23"/>
  <c r="BO40" i="23" s="1"/>
  <c r="AL40" i="23"/>
  <c r="AH40" i="23"/>
  <c r="T40" i="23"/>
  <c r="EP40" i="23" s="1"/>
  <c r="G40" i="23"/>
  <c r="D40" i="23"/>
  <c r="FX39" i="23"/>
  <c r="FI39" i="23"/>
  <c r="FG39" i="23"/>
  <c r="EW39" i="23"/>
  <c r="DV39" i="23"/>
  <c r="CZ39" i="23"/>
  <c r="CW39" i="23"/>
  <c r="CT39" i="23"/>
  <c r="CJ39" i="23"/>
  <c r="BP39" i="23"/>
  <c r="BO39" i="23" s="1"/>
  <c r="AL39" i="23"/>
  <c r="AH39" i="23"/>
  <c r="T39" i="23"/>
  <c r="EP39" i="23" s="1"/>
  <c r="G39" i="23"/>
  <c r="D39" i="23"/>
  <c r="FX38" i="23"/>
  <c r="FI38" i="23"/>
  <c r="FG38" i="23"/>
  <c r="EW38" i="23"/>
  <c r="DV38" i="23"/>
  <c r="CZ38" i="23"/>
  <c r="CW38" i="23"/>
  <c r="CT38" i="23"/>
  <c r="CJ38" i="23"/>
  <c r="BP38" i="23"/>
  <c r="BO38" i="23" s="1"/>
  <c r="AL38" i="23"/>
  <c r="AH38" i="23"/>
  <c r="T38" i="23"/>
  <c r="EP38" i="23" s="1"/>
  <c r="G38" i="23"/>
  <c r="D38" i="23"/>
  <c r="GE37" i="23"/>
  <c r="GC37" i="23"/>
  <c r="FX37" i="23"/>
  <c r="FI37" i="23"/>
  <c r="EW37" i="23"/>
  <c r="FG37" i="23" s="1"/>
  <c r="EP37" i="23"/>
  <c r="DV37" i="23"/>
  <c r="CZ37" i="23"/>
  <c r="CW37" i="23"/>
  <c r="CT37" i="23"/>
  <c r="CJ37" i="23"/>
  <c r="BP37" i="23"/>
  <c r="BO37" i="23"/>
  <c r="AL37" i="23"/>
  <c r="AH37" i="23"/>
  <c r="T37" i="23"/>
  <c r="G37" i="23"/>
  <c r="D37" i="23"/>
  <c r="GE36" i="23"/>
  <c r="FX36" i="23"/>
  <c r="FI36" i="23"/>
  <c r="EW36" i="23"/>
  <c r="FG36" i="23" s="1"/>
  <c r="DV36" i="23"/>
  <c r="CZ36" i="23"/>
  <c r="CW36" i="23"/>
  <c r="CT36" i="23"/>
  <c r="CJ36" i="23"/>
  <c r="BP36" i="23"/>
  <c r="EP36" i="23" s="1"/>
  <c r="BO36" i="23"/>
  <c r="AL36" i="23"/>
  <c r="AH36" i="23"/>
  <c r="T36" i="23"/>
  <c r="G36" i="23"/>
  <c r="D36" i="23"/>
  <c r="GE35" i="23"/>
  <c r="FX35" i="23"/>
  <c r="FI35" i="23"/>
  <c r="FG35" i="23"/>
  <c r="EW35" i="23"/>
  <c r="DV35" i="23"/>
  <c r="CZ35" i="23"/>
  <c r="CW35" i="23"/>
  <c r="CT35" i="23"/>
  <c r="CJ35" i="23"/>
  <c r="BP35" i="23"/>
  <c r="BO35" i="23" s="1"/>
  <c r="AL35" i="23"/>
  <c r="AH35" i="23"/>
  <c r="T35" i="23"/>
  <c r="G35" i="23"/>
  <c r="D35" i="23"/>
  <c r="GE34" i="23"/>
  <c r="FX34" i="23"/>
  <c r="FI34" i="23"/>
  <c r="EW34" i="23"/>
  <c r="FG34" i="23" s="1"/>
  <c r="EP34" i="23"/>
  <c r="DV34" i="23"/>
  <c r="CZ34" i="23"/>
  <c r="CW34" i="23"/>
  <c r="CT34" i="23"/>
  <c r="CJ34" i="23"/>
  <c r="BP34" i="23"/>
  <c r="BO34" i="23"/>
  <c r="AL34" i="23"/>
  <c r="AH34" i="23"/>
  <c r="T34" i="23"/>
  <c r="G34" i="23"/>
  <c r="D34" i="23"/>
  <c r="GE33" i="23"/>
  <c r="FX33" i="23"/>
  <c r="FI33" i="23"/>
  <c r="FG33" i="23"/>
  <c r="EW33" i="23"/>
  <c r="DV33" i="23"/>
  <c r="CZ33" i="23"/>
  <c r="CW33" i="23"/>
  <c r="CT33" i="23"/>
  <c r="CJ33" i="23"/>
  <c r="BP33" i="23"/>
  <c r="BO33" i="23" s="1"/>
  <c r="AL33" i="23"/>
  <c r="AH33" i="23"/>
  <c r="T33" i="23"/>
  <c r="EP33" i="23" s="1"/>
  <c r="G33" i="23"/>
  <c r="D33" i="23"/>
  <c r="GE32" i="23"/>
  <c r="FX32" i="23"/>
  <c r="FI32" i="23"/>
  <c r="EW32" i="23"/>
  <c r="FG32" i="23" s="1"/>
  <c r="EP32" i="23"/>
  <c r="DV32" i="23"/>
  <c r="CZ32" i="23"/>
  <c r="CW32" i="23"/>
  <c r="CT32" i="23"/>
  <c r="CJ32" i="23"/>
  <c r="BP32" i="23"/>
  <c r="BO32" i="23"/>
  <c r="AL32" i="23"/>
  <c r="AH32" i="23"/>
  <c r="T32" i="23"/>
  <c r="G32" i="23"/>
  <c r="D32" i="23"/>
  <c r="GE31" i="23"/>
  <c r="FX31" i="23"/>
  <c r="FI31" i="23"/>
  <c r="FG31" i="23"/>
  <c r="EW31" i="23"/>
  <c r="DV31" i="23"/>
  <c r="CZ31" i="23"/>
  <c r="CW31" i="23"/>
  <c r="CT31" i="23"/>
  <c r="CJ31" i="23"/>
  <c r="BP31" i="23"/>
  <c r="BO31" i="23" s="1"/>
  <c r="AL31" i="23"/>
  <c r="AH31" i="23"/>
  <c r="T31" i="23"/>
  <c r="EP31" i="23" s="1"/>
  <c r="G31" i="23"/>
  <c r="D31" i="23"/>
  <c r="GE30" i="23"/>
  <c r="FX30" i="23"/>
  <c r="FI30" i="23"/>
  <c r="EW30" i="23"/>
  <c r="FG30" i="23" s="1"/>
  <c r="EP30" i="23"/>
  <c r="DV30" i="23"/>
  <c r="CZ30" i="23"/>
  <c r="CW30" i="23"/>
  <c r="CT30" i="23"/>
  <c r="CJ30" i="23"/>
  <c r="BP30" i="23"/>
  <c r="BO30" i="23"/>
  <c r="AL30" i="23"/>
  <c r="AH30" i="23"/>
  <c r="T30" i="23"/>
  <c r="G30" i="23"/>
  <c r="D30" i="23"/>
  <c r="GE29" i="23"/>
  <c r="FX29" i="23"/>
  <c r="FI29" i="23"/>
  <c r="EW29" i="23"/>
  <c r="FG29" i="23" s="1"/>
  <c r="DV29" i="23"/>
  <c r="CZ29" i="23"/>
  <c r="CW29" i="23"/>
  <c r="CT29" i="23"/>
  <c r="CJ29" i="23"/>
  <c r="BP29" i="23"/>
  <c r="BO29" i="23"/>
  <c r="AL29" i="23"/>
  <c r="AH29" i="23"/>
  <c r="T29" i="23"/>
  <c r="EP29" i="23" s="1"/>
  <c r="G29" i="23"/>
  <c r="D29" i="23"/>
  <c r="GE28" i="23"/>
  <c r="FX28" i="23"/>
  <c r="FI28" i="23"/>
  <c r="EW28" i="23"/>
  <c r="FG28" i="23" s="1"/>
  <c r="EP28" i="23"/>
  <c r="DV28" i="23"/>
  <c r="CZ28" i="23"/>
  <c r="CW28" i="23"/>
  <c r="CT28" i="23"/>
  <c r="CJ28" i="23"/>
  <c r="BP28" i="23"/>
  <c r="BO28" i="23"/>
  <c r="AL28" i="23"/>
  <c r="AH28" i="23"/>
  <c r="T28" i="23"/>
  <c r="G28" i="23"/>
  <c r="D28" i="23"/>
  <c r="GE27" i="23"/>
  <c r="FX27" i="23"/>
  <c r="FI27" i="23"/>
  <c r="FG27" i="23"/>
  <c r="EW27" i="23"/>
  <c r="DV27" i="23"/>
  <c r="CZ27" i="23"/>
  <c r="CW27" i="23"/>
  <c r="CT27" i="23"/>
  <c r="CJ27" i="23"/>
  <c r="BP27" i="23"/>
  <c r="BO27" i="23" s="1"/>
  <c r="AL27" i="23"/>
  <c r="AH27" i="23"/>
  <c r="T27" i="23"/>
  <c r="G27" i="23"/>
  <c r="D27" i="23"/>
  <c r="GE26" i="23"/>
  <c r="FX26" i="23"/>
  <c r="FI26" i="23"/>
  <c r="EW26" i="23"/>
  <c r="FG26" i="23" s="1"/>
  <c r="DV26" i="23"/>
  <c r="CZ26" i="23"/>
  <c r="CW26" i="23"/>
  <c r="CT26" i="23"/>
  <c r="CJ26" i="23"/>
  <c r="BP26" i="23"/>
  <c r="BO26" i="23"/>
  <c r="AL26" i="23"/>
  <c r="AH26" i="23"/>
  <c r="T26" i="23"/>
  <c r="EP26" i="23" s="1"/>
  <c r="G26" i="23"/>
  <c r="D26" i="23"/>
  <c r="GE25" i="23"/>
  <c r="FX25" i="23"/>
  <c r="FI25" i="23"/>
  <c r="EW25" i="23"/>
  <c r="FG25" i="23" s="1"/>
  <c r="EP25" i="23"/>
  <c r="DV25" i="23"/>
  <c r="CZ25" i="23"/>
  <c r="CW25" i="23"/>
  <c r="CT25" i="23"/>
  <c r="CJ25" i="23"/>
  <c r="BP25" i="23"/>
  <c r="BO25" i="23"/>
  <c r="AL25" i="23"/>
  <c r="AH25" i="23"/>
  <c r="T25" i="23"/>
  <c r="G25" i="23"/>
  <c r="D25" i="23"/>
  <c r="GE24" i="23"/>
  <c r="FX24" i="23"/>
  <c r="FI24" i="23"/>
  <c r="FG24" i="23"/>
  <c r="EW24" i="23"/>
  <c r="DV24" i="23"/>
  <c r="CZ24" i="23"/>
  <c r="CW24" i="23"/>
  <c r="CT24" i="23"/>
  <c r="CJ24" i="23"/>
  <c r="BP24" i="23"/>
  <c r="BO24" i="23" s="1"/>
  <c r="AL24" i="23"/>
  <c r="AH24" i="23"/>
  <c r="T24" i="23"/>
  <c r="G24" i="23"/>
  <c r="D24" i="23"/>
  <c r="GE23" i="23"/>
  <c r="FX23" i="23"/>
  <c r="FI23" i="23"/>
  <c r="FG23" i="23"/>
  <c r="EW23" i="23"/>
  <c r="DV23" i="23"/>
  <c r="CZ23" i="23"/>
  <c r="CW23" i="23"/>
  <c r="CT23" i="23"/>
  <c r="CJ23" i="23"/>
  <c r="BP23" i="23"/>
  <c r="BO23" i="23" s="1"/>
  <c r="AL23" i="23"/>
  <c r="AH23" i="23"/>
  <c r="T23" i="23"/>
  <c r="G23" i="23"/>
  <c r="D23" i="23"/>
  <c r="GE22" i="23"/>
  <c r="FX22" i="23"/>
  <c r="FI22" i="23"/>
  <c r="EW22" i="23"/>
  <c r="FG22" i="23" s="1"/>
  <c r="DV22" i="23"/>
  <c r="CZ22" i="23"/>
  <c r="CW22" i="23"/>
  <c r="CT22" i="23"/>
  <c r="CJ22" i="23"/>
  <c r="BP22" i="23"/>
  <c r="BO22" i="23"/>
  <c r="AL22" i="23"/>
  <c r="AH22" i="23"/>
  <c r="T22" i="23"/>
  <c r="EP22" i="23" s="1"/>
  <c r="G22" i="23"/>
  <c r="D22" i="23"/>
  <c r="GE21" i="23"/>
  <c r="FX21" i="23"/>
  <c r="FI21" i="23"/>
  <c r="EW21" i="23"/>
  <c r="FG21" i="23" s="1"/>
  <c r="DV21" i="23"/>
  <c r="CZ21" i="23"/>
  <c r="CW21" i="23"/>
  <c r="CT21" i="23"/>
  <c r="CJ21" i="23"/>
  <c r="BP21" i="23"/>
  <c r="BO21" i="23"/>
  <c r="AL21" i="23"/>
  <c r="AH21" i="23"/>
  <c r="T21" i="23"/>
  <c r="EP21" i="23" s="1"/>
  <c r="G21" i="23"/>
  <c r="D21" i="23"/>
  <c r="GE20" i="23"/>
  <c r="FX20" i="23"/>
  <c r="FI20" i="23"/>
  <c r="FG20" i="23"/>
  <c r="EW20" i="23"/>
  <c r="DV20" i="23"/>
  <c r="CZ20" i="23"/>
  <c r="CW20" i="23"/>
  <c r="CT20" i="23"/>
  <c r="CJ20" i="23"/>
  <c r="BP20" i="23"/>
  <c r="BO20" i="23" s="1"/>
  <c r="AL20" i="23"/>
  <c r="AH20" i="23"/>
  <c r="T20" i="23"/>
  <c r="G20" i="23"/>
  <c r="D20" i="23"/>
  <c r="GE19" i="23"/>
  <c r="FX19" i="23"/>
  <c r="FI19" i="23"/>
  <c r="FG19" i="23"/>
  <c r="EW19" i="23"/>
  <c r="DV19" i="23"/>
  <c r="CZ19" i="23"/>
  <c r="CW19" i="23"/>
  <c r="CT19" i="23"/>
  <c r="CJ19" i="23"/>
  <c r="BP19" i="23"/>
  <c r="BO19" i="23" s="1"/>
  <c r="AL19" i="23"/>
  <c r="AH19" i="23"/>
  <c r="T19" i="23"/>
  <c r="EP19" i="23" s="1"/>
  <c r="G19" i="23"/>
  <c r="D19" i="23"/>
  <c r="GE18" i="23"/>
  <c r="FX18" i="23"/>
  <c r="FI18" i="23"/>
  <c r="EW18" i="23"/>
  <c r="FG18" i="23" s="1"/>
  <c r="DV18" i="23"/>
  <c r="CZ18" i="23"/>
  <c r="CW18" i="23"/>
  <c r="CT18" i="23"/>
  <c r="CJ18" i="23"/>
  <c r="BP18" i="23"/>
  <c r="BO18" i="23"/>
  <c r="AL18" i="23"/>
  <c r="AH18" i="23"/>
  <c r="T18" i="23"/>
  <c r="EP18" i="23" s="1"/>
  <c r="G18" i="23"/>
  <c r="D18" i="23"/>
  <c r="GE17" i="23"/>
  <c r="FX17" i="23"/>
  <c r="FI17" i="23"/>
  <c r="FG17" i="23"/>
  <c r="EW17" i="23"/>
  <c r="DV17" i="23"/>
  <c r="CZ17" i="23"/>
  <c r="CW17" i="23"/>
  <c r="CT17" i="23"/>
  <c r="CJ17" i="23"/>
  <c r="BP17" i="23"/>
  <c r="BO17" i="23" s="1"/>
  <c r="AL17" i="23"/>
  <c r="AH17" i="23"/>
  <c r="T17" i="23"/>
  <c r="G17" i="23"/>
  <c r="D17" i="23"/>
  <c r="GE16" i="23"/>
  <c r="FX16" i="23"/>
  <c r="FI16" i="23"/>
  <c r="FG16" i="23"/>
  <c r="EW16" i="23"/>
  <c r="DV16" i="23"/>
  <c r="CZ16" i="23"/>
  <c r="CW16" i="23"/>
  <c r="CT16" i="23"/>
  <c r="CJ16" i="23"/>
  <c r="BP16" i="23"/>
  <c r="BO16" i="23" s="1"/>
  <c r="AL16" i="23"/>
  <c r="AH16" i="23"/>
  <c r="T16" i="23"/>
  <c r="G16" i="23"/>
  <c r="D16" i="23"/>
  <c r="GE15" i="23"/>
  <c r="FX15" i="23"/>
  <c r="FI15" i="23"/>
  <c r="FG15" i="23"/>
  <c r="EW15" i="23"/>
  <c r="DV15" i="23"/>
  <c r="CZ15" i="23"/>
  <c r="CW15" i="23"/>
  <c r="CT15" i="23"/>
  <c r="CJ15" i="23"/>
  <c r="BP15" i="23"/>
  <c r="BO15" i="23" s="1"/>
  <c r="AL15" i="23"/>
  <c r="AH15" i="23"/>
  <c r="T15" i="23"/>
  <c r="EP15" i="23" s="1"/>
  <c r="G15" i="23"/>
  <c r="D15" i="23"/>
  <c r="GE14" i="23"/>
  <c r="FX14" i="23"/>
  <c r="FI14" i="23"/>
  <c r="EW14" i="23"/>
  <c r="FG14" i="23" s="1"/>
  <c r="DV14" i="23"/>
  <c r="CZ14" i="23"/>
  <c r="CW14" i="23"/>
  <c r="CT14" i="23"/>
  <c r="CJ14" i="23"/>
  <c r="BP14" i="23"/>
  <c r="BO14" i="23"/>
  <c r="AL14" i="23"/>
  <c r="AH14" i="23"/>
  <c r="T14" i="23"/>
  <c r="EP14" i="23" s="1"/>
  <c r="G14" i="23"/>
  <c r="D14" i="23"/>
  <c r="GE13" i="23"/>
  <c r="FX13" i="23"/>
  <c r="FI13" i="23"/>
  <c r="FG13" i="23"/>
  <c r="EW13" i="23"/>
  <c r="DV13" i="23"/>
  <c r="CZ13" i="23"/>
  <c r="CW13" i="23"/>
  <c r="CT13" i="23"/>
  <c r="CJ13" i="23"/>
  <c r="BP13" i="23"/>
  <c r="BO13" i="23" s="1"/>
  <c r="AL13" i="23"/>
  <c r="AH13" i="23"/>
  <c r="T13" i="23"/>
  <c r="EP13" i="23" s="1"/>
  <c r="G13" i="23"/>
  <c r="D13" i="23"/>
  <c r="GE12" i="23"/>
  <c r="FX12" i="23"/>
  <c r="FI12" i="23"/>
  <c r="EW12" i="23"/>
  <c r="FG12" i="23" s="1"/>
  <c r="EP12" i="23"/>
  <c r="DV12" i="23"/>
  <c r="CZ12" i="23"/>
  <c r="CW12" i="23"/>
  <c r="CT12" i="23"/>
  <c r="CJ12" i="23"/>
  <c r="BP12" i="23"/>
  <c r="BO12" i="23"/>
  <c r="AL12" i="23"/>
  <c r="AH12" i="23"/>
  <c r="T12" i="23"/>
  <c r="G12" i="23"/>
  <c r="D12" i="23"/>
  <c r="GE11" i="23"/>
  <c r="FX11" i="23"/>
  <c r="FI11" i="23"/>
  <c r="FG11" i="23"/>
  <c r="EW11" i="23"/>
  <c r="DV11" i="23"/>
  <c r="CZ11" i="23"/>
  <c r="CW11" i="23"/>
  <c r="CT11" i="23"/>
  <c r="CJ11" i="23"/>
  <c r="BP11" i="23"/>
  <c r="BO11" i="23" s="1"/>
  <c r="AL11" i="23"/>
  <c r="AH11" i="23"/>
  <c r="T11" i="23"/>
  <c r="G11" i="23"/>
  <c r="D11" i="23"/>
  <c r="GE10" i="23"/>
  <c r="FX10" i="23"/>
  <c r="FI10" i="23"/>
  <c r="EW10" i="23"/>
  <c r="FG10" i="23" s="1"/>
  <c r="EP10" i="23"/>
  <c r="DV10" i="23"/>
  <c r="CZ10" i="23"/>
  <c r="CW10" i="23"/>
  <c r="CT10" i="23"/>
  <c r="CJ10" i="23"/>
  <c r="BP10" i="23"/>
  <c r="BO10" i="23"/>
  <c r="AL10" i="23"/>
  <c r="AH10" i="23"/>
  <c r="T10" i="23"/>
  <c r="G10" i="23"/>
  <c r="D10" i="23"/>
  <c r="GE9" i="23"/>
  <c r="FX9" i="23"/>
  <c r="FI9" i="23"/>
  <c r="FG9" i="23"/>
  <c r="EW9" i="23"/>
  <c r="DV9" i="23"/>
  <c r="CZ9" i="23"/>
  <c r="CW9" i="23"/>
  <c r="CT9" i="23"/>
  <c r="CJ9" i="23"/>
  <c r="BP9" i="23"/>
  <c r="BO9" i="23" s="1"/>
  <c r="AL9" i="23"/>
  <c r="AH9" i="23"/>
  <c r="T9" i="23"/>
  <c r="G9" i="23"/>
  <c r="D9" i="23"/>
  <c r="GE8" i="23"/>
  <c r="FX8" i="23"/>
  <c r="FI8" i="23"/>
  <c r="FG8" i="23"/>
  <c r="EW8" i="23"/>
  <c r="DV8" i="23"/>
  <c r="CZ8" i="23"/>
  <c r="CW8" i="23"/>
  <c r="CT8" i="23"/>
  <c r="CJ8" i="23"/>
  <c r="BP8" i="23"/>
  <c r="BO8" i="23" s="1"/>
  <c r="AL8" i="23"/>
  <c r="AH8" i="23"/>
  <c r="T8" i="23"/>
  <c r="G8" i="23"/>
  <c r="D8" i="23"/>
  <c r="GE7" i="23"/>
  <c r="FX7" i="23"/>
  <c r="FI7" i="23"/>
  <c r="FG7" i="23"/>
  <c r="EW7" i="23"/>
  <c r="DV7" i="23"/>
  <c r="CZ7" i="23"/>
  <c r="CW7" i="23"/>
  <c r="CT7" i="23"/>
  <c r="CJ7" i="23"/>
  <c r="BP7" i="23"/>
  <c r="BO7" i="23" s="1"/>
  <c r="AL7" i="23"/>
  <c r="AH7" i="23"/>
  <c r="T7" i="23"/>
  <c r="EP7" i="23" s="1"/>
  <c r="G7" i="23"/>
  <c r="D7" i="23"/>
  <c r="GE6" i="23"/>
  <c r="FX6" i="23"/>
  <c r="FI6" i="23"/>
  <c r="EW6" i="23"/>
  <c r="FG6" i="23" s="1"/>
  <c r="DV6" i="23"/>
  <c r="CZ6" i="23"/>
  <c r="CW6" i="23"/>
  <c r="CT6" i="23"/>
  <c r="CJ6" i="23"/>
  <c r="BP6" i="23"/>
  <c r="BO6" i="23"/>
  <c r="AL6" i="23"/>
  <c r="AH6" i="23"/>
  <c r="T6" i="23"/>
  <c r="EP6" i="23" s="1"/>
  <c r="G6" i="23"/>
  <c r="D6" i="23"/>
  <c r="GI56" i="22"/>
  <c r="GD56" i="22"/>
  <c r="GB56" i="22"/>
  <c r="GA56" i="22"/>
  <c r="FZ56" i="22"/>
  <c r="FY56" i="22"/>
  <c r="FW56" i="22"/>
  <c r="FM56" i="22"/>
  <c r="FL56" i="22"/>
  <c r="FK56" i="22"/>
  <c r="FJ56" i="22"/>
  <c r="FI56" i="22"/>
  <c r="FH56" i="22"/>
  <c r="FF56" i="22"/>
  <c r="FE56" i="22"/>
  <c r="FD56" i="22"/>
  <c r="FC56" i="22"/>
  <c r="FB56" i="22"/>
  <c r="FA56" i="22"/>
  <c r="EZ56" i="22"/>
  <c r="EY56" i="22"/>
  <c r="EX56" i="22"/>
  <c r="EV56" i="22"/>
  <c r="EU56" i="22"/>
  <c r="ET56" i="22"/>
  <c r="ES56" i="22"/>
  <c r="ER56" i="22"/>
  <c r="EQ56" i="22"/>
  <c r="EO56" i="22"/>
  <c r="EN56" i="22"/>
  <c r="EM56" i="22"/>
  <c r="EL56" i="22"/>
  <c r="EK56" i="22"/>
  <c r="EJ56" i="22"/>
  <c r="EI56" i="22"/>
  <c r="EH56" i="22"/>
  <c r="EG56" i="22"/>
  <c r="EF56" i="22"/>
  <c r="EE56" i="22"/>
  <c r="ED56" i="22"/>
  <c r="EC56" i="22"/>
  <c r="EB56" i="22"/>
  <c r="EA56" i="22"/>
  <c r="DZ56" i="22"/>
  <c r="DY56" i="22"/>
  <c r="DX56" i="22"/>
  <c r="DW56" i="22"/>
  <c r="DU56" i="22"/>
  <c r="DT56" i="22"/>
  <c r="DS56" i="22"/>
  <c r="DR56" i="22"/>
  <c r="DQ56" i="22"/>
  <c r="DP56" i="22"/>
  <c r="DO56" i="22"/>
  <c r="DN56" i="22"/>
  <c r="DM56" i="22"/>
  <c r="DL56" i="22"/>
  <c r="DK56" i="22"/>
  <c r="DJ56" i="22"/>
  <c r="DI56" i="22"/>
  <c r="DH56" i="22"/>
  <c r="DG56" i="22"/>
  <c r="DF56" i="22"/>
  <c r="DE56" i="22"/>
  <c r="DD56" i="22"/>
  <c r="DC56" i="22"/>
  <c r="DB56" i="22"/>
  <c r="DA56" i="22"/>
  <c r="CY56" i="22"/>
  <c r="CX56" i="22"/>
  <c r="CV56" i="22"/>
  <c r="CU56" i="22"/>
  <c r="CS56" i="22"/>
  <c r="CR56" i="22"/>
  <c r="CQ56" i="22"/>
  <c r="CP56" i="22"/>
  <c r="CO56" i="22"/>
  <c r="CN56" i="22"/>
  <c r="CM56" i="22"/>
  <c r="CL56" i="22"/>
  <c r="CK56" i="22"/>
  <c r="CI56" i="22"/>
  <c r="CH56" i="22"/>
  <c r="CG56" i="22"/>
  <c r="CF56" i="22"/>
  <c r="CE56" i="22"/>
  <c r="CD56" i="22"/>
  <c r="CC56" i="22"/>
  <c r="CB56" i="22"/>
  <c r="CA56" i="22"/>
  <c r="BZ56" i="22"/>
  <c r="BY56" i="22"/>
  <c r="BX56" i="22"/>
  <c r="BW56" i="22"/>
  <c r="BV56" i="22"/>
  <c r="BU56" i="22"/>
  <c r="BT56" i="22"/>
  <c r="BS56" i="22"/>
  <c r="BR56" i="22"/>
  <c r="BQ56" i="22"/>
  <c r="BN56" i="22"/>
  <c r="BM56" i="22"/>
  <c r="BL56" i="22"/>
  <c r="BK56" i="22"/>
  <c r="BJ56" i="22"/>
  <c r="BI56" i="22"/>
  <c r="BH56" i="22"/>
  <c r="BG56" i="22"/>
  <c r="BF56" i="22"/>
  <c r="BE56" i="22"/>
  <c r="BD56" i="22"/>
  <c r="BC56" i="22"/>
  <c r="BB56" i="22"/>
  <c r="BA56" i="22"/>
  <c r="AZ56" i="22"/>
  <c r="AY56" i="22"/>
  <c r="AX56" i="22"/>
  <c r="AW56" i="22"/>
  <c r="AV56" i="22"/>
  <c r="AU56" i="22"/>
  <c r="AT56" i="22"/>
  <c r="AS56" i="22"/>
  <c r="AR56" i="22"/>
  <c r="AQ56" i="22"/>
  <c r="AP56" i="22"/>
  <c r="AO56" i="22"/>
  <c r="AN56" i="22"/>
  <c r="AM56" i="22"/>
  <c r="AK56" i="22"/>
  <c r="AJ56" i="22"/>
  <c r="AI56" i="22"/>
  <c r="AH56" i="22"/>
  <c r="AG56" i="22"/>
  <c r="AF56" i="22"/>
  <c r="AE56" i="22"/>
  <c r="AD56" i="22"/>
  <c r="AC56" i="22"/>
  <c r="AB56" i="22"/>
  <c r="AA56" i="22"/>
  <c r="Z56" i="22"/>
  <c r="Y56" i="22"/>
  <c r="X56" i="22"/>
  <c r="W56" i="22"/>
  <c r="V56" i="22"/>
  <c r="U56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F56" i="22"/>
  <c r="E56" i="22"/>
  <c r="C56" i="22"/>
  <c r="GI55" i="22"/>
  <c r="GD55" i="22"/>
  <c r="GB55" i="22"/>
  <c r="GA55" i="22"/>
  <c r="FZ55" i="22"/>
  <c r="FY55" i="22"/>
  <c r="FW55" i="22"/>
  <c r="FM55" i="22"/>
  <c r="FL55" i="22"/>
  <c r="FK55" i="22"/>
  <c r="FJ55" i="22"/>
  <c r="FH55" i="22"/>
  <c r="FF55" i="22"/>
  <c r="FE55" i="22"/>
  <c r="FD55" i="22"/>
  <c r="FC55" i="22"/>
  <c r="FB55" i="22"/>
  <c r="FA55" i="22"/>
  <c r="EZ55" i="22"/>
  <c r="EY55" i="22"/>
  <c r="EX55" i="22"/>
  <c r="EV55" i="22"/>
  <c r="EU55" i="22"/>
  <c r="ET55" i="22"/>
  <c r="ES55" i="22"/>
  <c r="ER55" i="22"/>
  <c r="EQ55" i="22"/>
  <c r="EO55" i="22"/>
  <c r="EN55" i="22"/>
  <c r="EM55" i="22"/>
  <c r="EL55" i="22"/>
  <c r="EK55" i="22"/>
  <c r="EJ55" i="22"/>
  <c r="EI55" i="22"/>
  <c r="EH55" i="22"/>
  <c r="EG55" i="22"/>
  <c r="EF55" i="22"/>
  <c r="EE55" i="22"/>
  <c r="ED55" i="22"/>
  <c r="EC55" i="22"/>
  <c r="EB55" i="22"/>
  <c r="EA55" i="22"/>
  <c r="DZ55" i="22"/>
  <c r="DY55" i="22"/>
  <c r="DX55" i="22"/>
  <c r="DW55" i="22"/>
  <c r="DU55" i="22"/>
  <c r="DT55" i="22"/>
  <c r="DS55" i="22"/>
  <c r="DR55" i="22"/>
  <c r="DQ55" i="22"/>
  <c r="DP55" i="22"/>
  <c r="DO55" i="22"/>
  <c r="DN55" i="22"/>
  <c r="DM55" i="22"/>
  <c r="DL55" i="22"/>
  <c r="DK55" i="22"/>
  <c r="DJ55" i="22"/>
  <c r="DI55" i="22"/>
  <c r="DH55" i="22"/>
  <c r="DG55" i="22"/>
  <c r="DF55" i="22"/>
  <c r="DE55" i="22"/>
  <c r="DD55" i="22"/>
  <c r="DC55" i="22"/>
  <c r="DB55" i="22"/>
  <c r="DA55" i="22"/>
  <c r="CY55" i="22"/>
  <c r="CX55" i="22"/>
  <c r="CV55" i="22"/>
  <c r="CU55" i="22"/>
  <c r="CS55" i="22"/>
  <c r="CR55" i="22"/>
  <c r="CQ55" i="22"/>
  <c r="CP55" i="22"/>
  <c r="CO55" i="22"/>
  <c r="CN55" i="22"/>
  <c r="CM55" i="22"/>
  <c r="CL55" i="22"/>
  <c r="CK55" i="22"/>
  <c r="CI55" i="22"/>
  <c r="CH55" i="22"/>
  <c r="CG55" i="22"/>
  <c r="CF55" i="22"/>
  <c r="CE55" i="22"/>
  <c r="CD55" i="22"/>
  <c r="CC55" i="22"/>
  <c r="CB55" i="22"/>
  <c r="CA55" i="22"/>
  <c r="BZ55" i="22"/>
  <c r="BY55" i="22"/>
  <c r="BX55" i="22"/>
  <c r="BW55" i="22"/>
  <c r="BV55" i="22"/>
  <c r="BU55" i="22"/>
  <c r="BT55" i="22"/>
  <c r="BS55" i="22"/>
  <c r="BR55" i="22"/>
  <c r="BQ55" i="22"/>
  <c r="BN55" i="22"/>
  <c r="BM55" i="22"/>
  <c r="BL55" i="22"/>
  <c r="BK55" i="22"/>
  <c r="BJ55" i="22"/>
  <c r="BI55" i="22"/>
  <c r="BH55" i="22"/>
  <c r="BG55" i="22"/>
  <c r="BF55" i="22"/>
  <c r="BE55" i="22"/>
  <c r="BD55" i="22"/>
  <c r="BC55" i="22"/>
  <c r="BB55" i="22"/>
  <c r="BA55" i="22"/>
  <c r="AZ55" i="22"/>
  <c r="AY55" i="22"/>
  <c r="AX55" i="22"/>
  <c r="AW55" i="22"/>
  <c r="AV55" i="22"/>
  <c r="AU55" i="22"/>
  <c r="AT55" i="22"/>
  <c r="AS55" i="22"/>
  <c r="AR55" i="22"/>
  <c r="AQ55" i="22"/>
  <c r="AP55" i="22"/>
  <c r="AO55" i="22"/>
  <c r="AN55" i="22"/>
  <c r="AM55" i="22"/>
  <c r="AK55" i="22"/>
  <c r="AJ55" i="22"/>
  <c r="AI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F55" i="22"/>
  <c r="E55" i="22"/>
  <c r="C55" i="22"/>
  <c r="GI54" i="22"/>
  <c r="GD54" i="22"/>
  <c r="GC54" i="22"/>
  <c r="GB54" i="22"/>
  <c r="GA54" i="22"/>
  <c r="FZ54" i="22"/>
  <c r="FY54" i="22"/>
  <c r="FW54" i="22"/>
  <c r="FM54" i="22"/>
  <c r="FL54" i="22"/>
  <c r="FK54" i="22"/>
  <c r="FJ54" i="22"/>
  <c r="FH54" i="22"/>
  <c r="FF54" i="22"/>
  <c r="FE54" i="22"/>
  <c r="FD54" i="22"/>
  <c r="FC54" i="22"/>
  <c r="FB54" i="22"/>
  <c r="FA54" i="22"/>
  <c r="EZ54" i="22"/>
  <c r="EY54" i="22"/>
  <c r="EX54" i="22"/>
  <c r="EV54" i="22"/>
  <c r="EU54" i="22"/>
  <c r="ET54" i="22"/>
  <c r="ES54" i="22"/>
  <c r="ER54" i="22"/>
  <c r="EQ54" i="22"/>
  <c r="EO54" i="22"/>
  <c r="EN54" i="22"/>
  <c r="EM54" i="22"/>
  <c r="EL54" i="22"/>
  <c r="EK54" i="22"/>
  <c r="EJ54" i="22"/>
  <c r="EI54" i="22"/>
  <c r="EH54" i="22"/>
  <c r="EG54" i="22"/>
  <c r="EF54" i="22"/>
  <c r="EE54" i="22"/>
  <c r="ED54" i="22"/>
  <c r="EC54" i="22"/>
  <c r="EB54" i="22"/>
  <c r="EA54" i="22"/>
  <c r="DZ54" i="22"/>
  <c r="DY54" i="22"/>
  <c r="DX54" i="22"/>
  <c r="DW54" i="22"/>
  <c r="DU54" i="22"/>
  <c r="DT54" i="22"/>
  <c r="DS54" i="22"/>
  <c r="DR54" i="22"/>
  <c r="DQ54" i="22"/>
  <c r="DP54" i="22"/>
  <c r="DO54" i="22"/>
  <c r="DN54" i="22"/>
  <c r="DM54" i="22"/>
  <c r="DL54" i="22"/>
  <c r="DK54" i="22"/>
  <c r="DJ54" i="22"/>
  <c r="DI54" i="22"/>
  <c r="DH54" i="22"/>
  <c r="DG54" i="22"/>
  <c r="DF54" i="22"/>
  <c r="DE54" i="22"/>
  <c r="DD54" i="22"/>
  <c r="DC54" i="22"/>
  <c r="DB54" i="22"/>
  <c r="DA54" i="22"/>
  <c r="CY54" i="22"/>
  <c r="CX54" i="22"/>
  <c r="CV54" i="22"/>
  <c r="CU54" i="22"/>
  <c r="CS54" i="22"/>
  <c r="CR54" i="22"/>
  <c r="CQ54" i="22"/>
  <c r="CP54" i="22"/>
  <c r="CO54" i="22"/>
  <c r="CN54" i="22"/>
  <c r="CM54" i="22"/>
  <c r="CL54" i="22"/>
  <c r="CK54" i="22"/>
  <c r="CI54" i="22"/>
  <c r="CH54" i="22"/>
  <c r="CG54" i="22"/>
  <c r="CF54" i="22"/>
  <c r="CE54" i="22"/>
  <c r="CD54" i="22"/>
  <c r="CC54" i="22"/>
  <c r="CB54" i="22"/>
  <c r="CA54" i="22"/>
  <c r="BZ54" i="22"/>
  <c r="BY54" i="22"/>
  <c r="BX54" i="22"/>
  <c r="BW54" i="22"/>
  <c r="BV54" i="22"/>
  <c r="BU54" i="22"/>
  <c r="BT54" i="22"/>
  <c r="BS54" i="22"/>
  <c r="BR54" i="22"/>
  <c r="BQ54" i="22"/>
  <c r="BN54" i="22"/>
  <c r="BM54" i="22"/>
  <c r="BL54" i="22"/>
  <c r="BK54" i="22"/>
  <c r="BJ54" i="22"/>
  <c r="BI54" i="22"/>
  <c r="BH54" i="22"/>
  <c r="BG54" i="22"/>
  <c r="BF54" i="22"/>
  <c r="BE54" i="22"/>
  <c r="BD54" i="22"/>
  <c r="BC54" i="22"/>
  <c r="BB54" i="22"/>
  <c r="BA54" i="22"/>
  <c r="AZ54" i="22"/>
  <c r="AY54" i="22"/>
  <c r="AX54" i="22"/>
  <c r="AW54" i="22"/>
  <c r="AV54" i="22"/>
  <c r="AU54" i="22"/>
  <c r="AT54" i="22"/>
  <c r="AS54" i="22"/>
  <c r="AR54" i="22"/>
  <c r="AQ54" i="22"/>
  <c r="AP54" i="22"/>
  <c r="AO54" i="22"/>
  <c r="AN54" i="22"/>
  <c r="AM54" i="22"/>
  <c r="AK54" i="22"/>
  <c r="AJ54" i="22"/>
  <c r="AI54" i="22"/>
  <c r="AG54" i="22"/>
  <c r="AF54" i="22"/>
  <c r="AE54" i="22"/>
  <c r="AD54" i="22"/>
  <c r="AC54" i="22"/>
  <c r="AB54" i="22"/>
  <c r="AA54" i="22"/>
  <c r="Z54" i="22"/>
  <c r="Y54" i="22"/>
  <c r="X54" i="22"/>
  <c r="W54" i="22"/>
  <c r="V54" i="22"/>
  <c r="U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F54" i="22"/>
  <c r="E54" i="22"/>
  <c r="C54" i="22"/>
  <c r="EI52" i="22"/>
  <c r="FJ51" i="22"/>
  <c r="GE48" i="22" s="1"/>
  <c r="EI51" i="22"/>
  <c r="FX49" i="22"/>
  <c r="FV49" i="22"/>
  <c r="FI49" i="22"/>
  <c r="EW49" i="22"/>
  <c r="FG49" i="22" s="1"/>
  <c r="DV49" i="22"/>
  <c r="CZ49" i="22"/>
  <c r="CW49" i="22"/>
  <c r="CT49" i="22"/>
  <c r="CJ49" i="22"/>
  <c r="BP49" i="22"/>
  <c r="BO49" i="22"/>
  <c r="AL49" i="22"/>
  <c r="AH49" i="22"/>
  <c r="T49" i="22"/>
  <c r="EP49" i="22" s="1"/>
  <c r="G49" i="22"/>
  <c r="D49" i="22"/>
  <c r="GC48" i="22"/>
  <c r="GC55" i="22" s="1"/>
  <c r="FX48" i="22"/>
  <c r="FV48" i="22"/>
  <c r="FI48" i="22"/>
  <c r="FG48" i="22"/>
  <c r="EW48" i="22"/>
  <c r="EW55" i="22" s="1"/>
  <c r="DV48" i="22"/>
  <c r="DV56" i="22" s="1"/>
  <c r="CZ48" i="22"/>
  <c r="CW48" i="22"/>
  <c r="CT48" i="22"/>
  <c r="CJ48" i="22"/>
  <c r="BP48" i="22"/>
  <c r="BP55" i="22" s="1"/>
  <c r="AL48" i="22"/>
  <c r="AL55" i="22" s="1"/>
  <c r="AH48" i="22"/>
  <c r="T48" i="22"/>
  <c r="T56" i="22" s="1"/>
  <c r="G48" i="22"/>
  <c r="D48" i="22"/>
  <c r="FX47" i="22"/>
  <c r="FV47" i="22"/>
  <c r="FI47" i="22"/>
  <c r="FG47" i="22"/>
  <c r="EW47" i="22"/>
  <c r="DV47" i="22"/>
  <c r="CZ47" i="22"/>
  <c r="CW47" i="22"/>
  <c r="CT47" i="22"/>
  <c r="CJ47" i="22"/>
  <c r="BP47" i="22"/>
  <c r="BO47" i="22" s="1"/>
  <c r="AL47" i="22"/>
  <c r="AH47" i="22"/>
  <c r="T47" i="22"/>
  <c r="G47" i="22"/>
  <c r="D47" i="22"/>
  <c r="FX46" i="22"/>
  <c r="FV46" i="22"/>
  <c r="FI46" i="22"/>
  <c r="EW46" i="22"/>
  <c r="FG46" i="22" s="1"/>
  <c r="DV46" i="22"/>
  <c r="CZ46" i="22"/>
  <c r="CW46" i="22"/>
  <c r="CT46" i="22"/>
  <c r="CJ46" i="22"/>
  <c r="BP46" i="22"/>
  <c r="BO46" i="22" s="1"/>
  <c r="AL46" i="22"/>
  <c r="AH46" i="22"/>
  <c r="T46" i="22"/>
  <c r="EP46" i="22" s="1"/>
  <c r="G46" i="22"/>
  <c r="D46" i="22"/>
  <c r="GE45" i="22"/>
  <c r="FX45" i="22"/>
  <c r="FV45" i="22"/>
  <c r="FI45" i="22"/>
  <c r="EW45" i="22"/>
  <c r="FG45" i="22" s="1"/>
  <c r="EP45" i="22"/>
  <c r="DV45" i="22"/>
  <c r="CZ45" i="22"/>
  <c r="CW45" i="22"/>
  <c r="CT45" i="22"/>
  <c r="CJ45" i="22"/>
  <c r="BP45" i="22"/>
  <c r="BO45" i="22"/>
  <c r="AL45" i="22"/>
  <c r="AH45" i="22"/>
  <c r="T45" i="22"/>
  <c r="G45" i="22"/>
  <c r="D45" i="22"/>
  <c r="FX44" i="22"/>
  <c r="FV44" i="22"/>
  <c r="FI44" i="22"/>
  <c r="EW44" i="22"/>
  <c r="FG44" i="22" s="1"/>
  <c r="DV44" i="22"/>
  <c r="CZ44" i="22"/>
  <c r="CW44" i="22"/>
  <c r="CT44" i="22"/>
  <c r="CJ44" i="22"/>
  <c r="BP44" i="22"/>
  <c r="BO44" i="22"/>
  <c r="AL44" i="22"/>
  <c r="AH44" i="22"/>
  <c r="T44" i="22"/>
  <c r="EP44" i="22" s="1"/>
  <c r="G44" i="22"/>
  <c r="D44" i="22"/>
  <c r="GE43" i="22"/>
  <c r="FX43" i="22"/>
  <c r="FV43" i="22"/>
  <c r="FI43" i="22"/>
  <c r="FG43" i="22"/>
  <c r="EW43" i="22"/>
  <c r="DV43" i="22"/>
  <c r="CZ43" i="22"/>
  <c r="CW43" i="22"/>
  <c r="CT43" i="22"/>
  <c r="CJ43" i="22"/>
  <c r="BP43" i="22"/>
  <c r="BO43" i="22"/>
  <c r="AL43" i="22"/>
  <c r="AH43" i="22"/>
  <c r="T43" i="22"/>
  <c r="EP43" i="22" s="1"/>
  <c r="G43" i="22"/>
  <c r="D43" i="22"/>
  <c r="GE42" i="22"/>
  <c r="FX42" i="22"/>
  <c r="FV42" i="22"/>
  <c r="FI42" i="22"/>
  <c r="EW42" i="22"/>
  <c r="FG42" i="22" s="1"/>
  <c r="DV42" i="22"/>
  <c r="CZ42" i="22"/>
  <c r="CW42" i="22"/>
  <c r="CW55" i="22" s="1"/>
  <c r="CT42" i="22"/>
  <c r="CJ42" i="22"/>
  <c r="BP42" i="22"/>
  <c r="BO42" i="22"/>
  <c r="AL42" i="22"/>
  <c r="AH42" i="22"/>
  <c r="T42" i="22"/>
  <c r="EP42" i="22" s="1"/>
  <c r="G42" i="22"/>
  <c r="D42" i="22"/>
  <c r="FX41" i="22"/>
  <c r="FV41" i="22"/>
  <c r="FI41" i="22"/>
  <c r="EW41" i="22"/>
  <c r="FG41" i="22" s="1"/>
  <c r="EP41" i="22"/>
  <c r="DV41" i="22"/>
  <c r="DV55" i="22" s="1"/>
  <c r="CZ41" i="22"/>
  <c r="CW41" i="22"/>
  <c r="CT41" i="22"/>
  <c r="CJ41" i="22"/>
  <c r="BP41" i="22"/>
  <c r="BO41" i="22"/>
  <c r="AL41" i="22"/>
  <c r="AH41" i="22"/>
  <c r="T41" i="22"/>
  <c r="G41" i="22"/>
  <c r="D41" i="22"/>
  <c r="FX40" i="22"/>
  <c r="FV40" i="22"/>
  <c r="FI40" i="22"/>
  <c r="EW40" i="22"/>
  <c r="FG40" i="22" s="1"/>
  <c r="DV40" i="22"/>
  <c r="CZ40" i="22"/>
  <c r="CW40" i="22"/>
  <c r="CT40" i="22"/>
  <c r="CJ40" i="22"/>
  <c r="BP40" i="22"/>
  <c r="EP40" i="22" s="1"/>
  <c r="BO40" i="22"/>
  <c r="AL40" i="22"/>
  <c r="AH40" i="22"/>
  <c r="T40" i="22"/>
  <c r="G40" i="22"/>
  <c r="D40" i="22"/>
  <c r="FX39" i="22"/>
  <c r="FV39" i="22"/>
  <c r="FI39" i="22"/>
  <c r="FI55" i="22" s="1"/>
  <c r="FG39" i="22"/>
  <c r="EW39" i="22"/>
  <c r="DV39" i="22"/>
  <c r="CZ39" i="22"/>
  <c r="CW39" i="22"/>
  <c r="CT39" i="22"/>
  <c r="CJ39" i="22"/>
  <c r="BP39" i="22"/>
  <c r="BO39" i="22" s="1"/>
  <c r="AL39" i="22"/>
  <c r="AH39" i="22"/>
  <c r="AH55" i="22" s="1"/>
  <c r="T39" i="22"/>
  <c r="G39" i="22"/>
  <c r="D39" i="22"/>
  <c r="FX38" i="22"/>
  <c r="FV38" i="22"/>
  <c r="FI38" i="22"/>
  <c r="EW38" i="22"/>
  <c r="FG38" i="22" s="1"/>
  <c r="EP38" i="22"/>
  <c r="DV38" i="22"/>
  <c r="CZ38" i="22"/>
  <c r="CW38" i="22"/>
  <c r="CT38" i="22"/>
  <c r="CT55" i="22" s="1"/>
  <c r="CJ38" i="22"/>
  <c r="BP38" i="22"/>
  <c r="BO38" i="22"/>
  <c r="AL38" i="22"/>
  <c r="AH38" i="22"/>
  <c r="T38" i="22"/>
  <c r="G38" i="22"/>
  <c r="D38" i="22"/>
  <c r="D55" i="22" s="1"/>
  <c r="GE37" i="22"/>
  <c r="GC37" i="22"/>
  <c r="FX37" i="22"/>
  <c r="FV37" i="22"/>
  <c r="FI37" i="22"/>
  <c r="FI54" i="22" s="1"/>
  <c r="EW37" i="22"/>
  <c r="EW54" i="22" s="1"/>
  <c r="EP37" i="22"/>
  <c r="DV37" i="22"/>
  <c r="CZ37" i="22"/>
  <c r="CZ56" i="22" s="1"/>
  <c r="CW37" i="22"/>
  <c r="CW56" i="22" s="1"/>
  <c r="CT37" i="22"/>
  <c r="CT56" i="22" s="1"/>
  <c r="CJ37" i="22"/>
  <c r="CJ56" i="22" s="1"/>
  <c r="BP37" i="22"/>
  <c r="BP56" i="22" s="1"/>
  <c r="BO37" i="22"/>
  <c r="AL37" i="22"/>
  <c r="AL56" i="22" s="1"/>
  <c r="AH37" i="22"/>
  <c r="T37" i="22"/>
  <c r="G37" i="22"/>
  <c r="D37" i="22"/>
  <c r="D54" i="22" s="1"/>
  <c r="GE36" i="22"/>
  <c r="FX36" i="22"/>
  <c r="FV36" i="22"/>
  <c r="FI36" i="22"/>
  <c r="FG36" i="22"/>
  <c r="EW36" i="22"/>
  <c r="DV36" i="22"/>
  <c r="CZ36" i="22"/>
  <c r="CW36" i="22"/>
  <c r="CT36" i="22"/>
  <c r="CJ36" i="22"/>
  <c r="BP36" i="22"/>
  <c r="BO36" i="22" s="1"/>
  <c r="AL36" i="22"/>
  <c r="AH36" i="22"/>
  <c r="T36" i="22"/>
  <c r="EP36" i="22" s="1"/>
  <c r="G36" i="22"/>
  <c r="D36" i="22"/>
  <c r="GE35" i="22"/>
  <c r="FX35" i="22"/>
  <c r="FV35" i="22"/>
  <c r="FI35" i="22"/>
  <c r="EW35" i="22"/>
  <c r="FG35" i="22" s="1"/>
  <c r="DV35" i="22"/>
  <c r="CZ35" i="22"/>
  <c r="CW35" i="22"/>
  <c r="CT35" i="22"/>
  <c r="CJ35" i="22"/>
  <c r="BP35" i="22"/>
  <c r="BO35" i="22"/>
  <c r="AL35" i="22"/>
  <c r="AH35" i="22"/>
  <c r="T35" i="22"/>
  <c r="EP35" i="22" s="1"/>
  <c r="G35" i="22"/>
  <c r="D35" i="22"/>
  <c r="GE34" i="22"/>
  <c r="FX34" i="22"/>
  <c r="FV34" i="22"/>
  <c r="FI34" i="22"/>
  <c r="EW34" i="22"/>
  <c r="FG34" i="22" s="1"/>
  <c r="DV34" i="22"/>
  <c r="CZ34" i="22"/>
  <c r="CW34" i="22"/>
  <c r="CT34" i="22"/>
  <c r="CJ34" i="22"/>
  <c r="BP34" i="22"/>
  <c r="BO34" i="22" s="1"/>
  <c r="AL34" i="22"/>
  <c r="AH34" i="22"/>
  <c r="T34" i="22"/>
  <c r="EP34" i="22" s="1"/>
  <c r="G34" i="22"/>
  <c r="D34" i="22"/>
  <c r="GE33" i="22"/>
  <c r="FX33" i="22"/>
  <c r="FV33" i="22"/>
  <c r="FI33" i="22"/>
  <c r="EW33" i="22"/>
  <c r="FG33" i="22" s="1"/>
  <c r="EP33" i="22"/>
  <c r="DV33" i="22"/>
  <c r="CZ33" i="22"/>
  <c r="CW33" i="22"/>
  <c r="CT33" i="22"/>
  <c r="CJ33" i="22"/>
  <c r="BP33" i="22"/>
  <c r="BO33" i="22"/>
  <c r="AL33" i="22"/>
  <c r="AH33" i="22"/>
  <c r="T33" i="22"/>
  <c r="G33" i="22"/>
  <c r="D33" i="22"/>
  <c r="GE32" i="22"/>
  <c r="FX32" i="22"/>
  <c r="FV32" i="22"/>
  <c r="FI32" i="22"/>
  <c r="FG32" i="22"/>
  <c r="EW32" i="22"/>
  <c r="DV32" i="22"/>
  <c r="CZ32" i="22"/>
  <c r="CW32" i="22"/>
  <c r="CT32" i="22"/>
  <c r="CJ32" i="22"/>
  <c r="BP32" i="22"/>
  <c r="BO32" i="22" s="1"/>
  <c r="AL32" i="22"/>
  <c r="AH32" i="22"/>
  <c r="T32" i="22"/>
  <c r="G32" i="22"/>
  <c r="D32" i="22"/>
  <c r="GE31" i="22"/>
  <c r="FX31" i="22"/>
  <c r="FV31" i="22"/>
  <c r="FI31" i="22"/>
  <c r="FG31" i="22"/>
  <c r="EW31" i="22"/>
  <c r="DV31" i="22"/>
  <c r="CZ31" i="22"/>
  <c r="CW31" i="22"/>
  <c r="CT31" i="22"/>
  <c r="CJ31" i="22"/>
  <c r="BP31" i="22"/>
  <c r="BO31" i="22" s="1"/>
  <c r="AL31" i="22"/>
  <c r="AH31" i="22"/>
  <c r="T31" i="22"/>
  <c r="G31" i="22"/>
  <c r="D31" i="22"/>
  <c r="GE30" i="22"/>
  <c r="FX30" i="22"/>
  <c r="FV30" i="22"/>
  <c r="FI30" i="22"/>
  <c r="EW30" i="22"/>
  <c r="FG30" i="22" s="1"/>
  <c r="DV30" i="22"/>
  <c r="CZ30" i="22"/>
  <c r="CW30" i="22"/>
  <c r="CT30" i="22"/>
  <c r="CJ30" i="22"/>
  <c r="BP30" i="22"/>
  <c r="BO30" i="22"/>
  <c r="AL30" i="22"/>
  <c r="AH30" i="22"/>
  <c r="T30" i="22"/>
  <c r="EP30" i="22" s="1"/>
  <c r="G30" i="22"/>
  <c r="D30" i="22"/>
  <c r="GE29" i="22"/>
  <c r="FX29" i="22"/>
  <c r="FV29" i="22"/>
  <c r="FI29" i="22"/>
  <c r="EW29" i="22"/>
  <c r="FG29" i="22" s="1"/>
  <c r="DV29" i="22"/>
  <c r="CZ29" i="22"/>
  <c r="CW29" i="22"/>
  <c r="CT29" i="22"/>
  <c r="CJ29" i="22"/>
  <c r="BP29" i="22"/>
  <c r="EP29" i="22" s="1"/>
  <c r="BO29" i="22"/>
  <c r="AL29" i="22"/>
  <c r="AH29" i="22"/>
  <c r="T29" i="22"/>
  <c r="G29" i="22"/>
  <c r="D29" i="22"/>
  <c r="GE28" i="22"/>
  <c r="FX28" i="22"/>
  <c r="FV28" i="22"/>
  <c r="FI28" i="22"/>
  <c r="FG28" i="22"/>
  <c r="EW28" i="22"/>
  <c r="DV28" i="22"/>
  <c r="CZ28" i="22"/>
  <c r="CW28" i="22"/>
  <c r="CT28" i="22"/>
  <c r="CJ28" i="22"/>
  <c r="BP28" i="22"/>
  <c r="BO28" i="22" s="1"/>
  <c r="AL28" i="22"/>
  <c r="AH28" i="22"/>
  <c r="T28" i="22"/>
  <c r="EP28" i="22" s="1"/>
  <c r="G28" i="22"/>
  <c r="D28" i="22"/>
  <c r="GE27" i="22"/>
  <c r="FX27" i="22"/>
  <c r="FV27" i="22"/>
  <c r="FI27" i="22"/>
  <c r="EW27" i="22"/>
  <c r="FG27" i="22" s="1"/>
  <c r="DV27" i="22"/>
  <c r="CZ27" i="22"/>
  <c r="CW27" i="22"/>
  <c r="CT27" i="22"/>
  <c r="CJ27" i="22"/>
  <c r="BP27" i="22"/>
  <c r="BO27" i="22"/>
  <c r="AL27" i="22"/>
  <c r="AH27" i="22"/>
  <c r="T27" i="22"/>
  <c r="EP27" i="22" s="1"/>
  <c r="G27" i="22"/>
  <c r="D27" i="22"/>
  <c r="GE26" i="22"/>
  <c r="FX26" i="22"/>
  <c r="FV26" i="22"/>
  <c r="FI26" i="22"/>
  <c r="EW26" i="22"/>
  <c r="FG26" i="22" s="1"/>
  <c r="DV26" i="22"/>
  <c r="CZ26" i="22"/>
  <c r="CW26" i="22"/>
  <c r="CT26" i="22"/>
  <c r="CJ26" i="22"/>
  <c r="BP26" i="22"/>
  <c r="BO26" i="22" s="1"/>
  <c r="AL26" i="22"/>
  <c r="AH26" i="22"/>
  <c r="T26" i="22"/>
  <c r="G26" i="22"/>
  <c r="D26" i="22"/>
  <c r="GE25" i="22"/>
  <c r="FX25" i="22"/>
  <c r="FV25" i="22"/>
  <c r="FI25" i="22"/>
  <c r="EW25" i="22"/>
  <c r="FG25" i="22" s="1"/>
  <c r="EP25" i="22"/>
  <c r="DV25" i="22"/>
  <c r="CZ25" i="22"/>
  <c r="CW25" i="22"/>
  <c r="CT25" i="22"/>
  <c r="CJ25" i="22"/>
  <c r="BP25" i="22"/>
  <c r="BO25" i="22"/>
  <c r="AL25" i="22"/>
  <c r="AH25" i="22"/>
  <c r="T25" i="22"/>
  <c r="G25" i="22"/>
  <c r="D25" i="22"/>
  <c r="GE24" i="22"/>
  <c r="FX24" i="22"/>
  <c r="FV24" i="22"/>
  <c r="FI24" i="22"/>
  <c r="FG24" i="22"/>
  <c r="EW24" i="22"/>
  <c r="EP24" i="22"/>
  <c r="DV24" i="22"/>
  <c r="CZ24" i="22"/>
  <c r="CW24" i="22"/>
  <c r="CT24" i="22"/>
  <c r="CJ24" i="22"/>
  <c r="BP24" i="22"/>
  <c r="BO24" i="22" s="1"/>
  <c r="AL24" i="22"/>
  <c r="AH24" i="22"/>
  <c r="T24" i="22"/>
  <c r="G24" i="22"/>
  <c r="D24" i="22"/>
  <c r="GE23" i="22"/>
  <c r="FX23" i="22"/>
  <c r="FV23" i="22"/>
  <c r="FI23" i="22"/>
  <c r="FG23" i="22"/>
  <c r="EW23" i="22"/>
  <c r="DV23" i="22"/>
  <c r="CZ23" i="22"/>
  <c r="CW23" i="22"/>
  <c r="CT23" i="22"/>
  <c r="CJ23" i="22"/>
  <c r="BP23" i="22"/>
  <c r="BO23" i="22" s="1"/>
  <c r="AL23" i="22"/>
  <c r="AH23" i="22"/>
  <c r="T23" i="22"/>
  <c r="EP23" i="22" s="1"/>
  <c r="G23" i="22"/>
  <c r="D23" i="22"/>
  <c r="GE22" i="22"/>
  <c r="FX22" i="22"/>
  <c r="FV22" i="22"/>
  <c r="FI22" i="22"/>
  <c r="EW22" i="22"/>
  <c r="FG22" i="22" s="1"/>
  <c r="DV22" i="22"/>
  <c r="CZ22" i="22"/>
  <c r="CW22" i="22"/>
  <c r="CT22" i="22"/>
  <c r="CJ22" i="22"/>
  <c r="BP22" i="22"/>
  <c r="BO22" i="22"/>
  <c r="AL22" i="22"/>
  <c r="AH22" i="22"/>
  <c r="T22" i="22"/>
  <c r="EP22" i="22" s="1"/>
  <c r="G22" i="22"/>
  <c r="D22" i="22"/>
  <c r="GE21" i="22"/>
  <c r="FX21" i="22"/>
  <c r="FV21" i="22"/>
  <c r="FI21" i="22"/>
  <c r="FG21" i="22"/>
  <c r="EW21" i="22"/>
  <c r="DV21" i="22"/>
  <c r="CZ21" i="22"/>
  <c r="CW21" i="22"/>
  <c r="CT21" i="22"/>
  <c r="CJ21" i="22"/>
  <c r="BP21" i="22"/>
  <c r="BO21" i="22" s="1"/>
  <c r="AL21" i="22"/>
  <c r="AH21" i="22"/>
  <c r="T21" i="22"/>
  <c r="G21" i="22"/>
  <c r="D21" i="22"/>
  <c r="GE20" i="22"/>
  <c r="FX20" i="22"/>
  <c r="FV20" i="22"/>
  <c r="FI20" i="22"/>
  <c r="FG20" i="22"/>
  <c r="EW20" i="22"/>
  <c r="DV20" i="22"/>
  <c r="CZ20" i="22"/>
  <c r="CW20" i="22"/>
  <c r="CT20" i="22"/>
  <c r="CJ20" i="22"/>
  <c r="BP20" i="22"/>
  <c r="BO20" i="22" s="1"/>
  <c r="AL20" i="22"/>
  <c r="AH20" i="22"/>
  <c r="T20" i="22"/>
  <c r="EP20" i="22" s="1"/>
  <c r="G20" i="22"/>
  <c r="D20" i="22"/>
  <c r="GE19" i="22"/>
  <c r="FX19" i="22"/>
  <c r="FV19" i="22"/>
  <c r="FI19" i="22"/>
  <c r="EW19" i="22"/>
  <c r="FG19" i="22" s="1"/>
  <c r="DV19" i="22"/>
  <c r="CZ19" i="22"/>
  <c r="CW19" i="22"/>
  <c r="CT19" i="22"/>
  <c r="CJ19" i="22"/>
  <c r="BP19" i="22"/>
  <c r="BO19" i="22"/>
  <c r="AL19" i="22"/>
  <c r="AH19" i="22"/>
  <c r="T19" i="22"/>
  <c r="EP19" i="22" s="1"/>
  <c r="G19" i="22"/>
  <c r="D19" i="22"/>
  <c r="GE18" i="22"/>
  <c r="FX18" i="22"/>
  <c r="FV18" i="22"/>
  <c r="FI18" i="22"/>
  <c r="FG18" i="22"/>
  <c r="EW18" i="22"/>
  <c r="DV18" i="22"/>
  <c r="CZ18" i="22"/>
  <c r="CW18" i="22"/>
  <c r="CT18" i="22"/>
  <c r="CJ18" i="22"/>
  <c r="BP18" i="22"/>
  <c r="BO18" i="22"/>
  <c r="AL18" i="22"/>
  <c r="AH18" i="22"/>
  <c r="T18" i="22"/>
  <c r="EP18" i="22" s="1"/>
  <c r="G18" i="22"/>
  <c r="D18" i="22"/>
  <c r="GE17" i="22"/>
  <c r="FX17" i="22"/>
  <c r="FV17" i="22"/>
  <c r="FI17" i="22"/>
  <c r="EW17" i="22"/>
  <c r="FG17" i="22" s="1"/>
  <c r="DV17" i="22"/>
  <c r="CZ17" i="22"/>
  <c r="CW17" i="22"/>
  <c r="CT17" i="22"/>
  <c r="CJ17" i="22"/>
  <c r="BP17" i="22"/>
  <c r="BO17" i="22"/>
  <c r="AL17" i="22"/>
  <c r="AH17" i="22"/>
  <c r="T17" i="22"/>
  <c r="EP17" i="22" s="1"/>
  <c r="G17" i="22"/>
  <c r="D17" i="22"/>
  <c r="GE16" i="22"/>
  <c r="FX16" i="22"/>
  <c r="FV16" i="22"/>
  <c r="FI16" i="22"/>
  <c r="FG16" i="22"/>
  <c r="EW16" i="22"/>
  <c r="EP16" i="22"/>
  <c r="DV16" i="22"/>
  <c r="CZ16" i="22"/>
  <c r="CW16" i="22"/>
  <c r="CT16" i="22"/>
  <c r="CJ16" i="22"/>
  <c r="BP16" i="22"/>
  <c r="BO16" i="22" s="1"/>
  <c r="AL16" i="22"/>
  <c r="AH16" i="22"/>
  <c r="T16" i="22"/>
  <c r="G16" i="22"/>
  <c r="D16" i="22"/>
  <c r="GE15" i="22"/>
  <c r="FX15" i="22"/>
  <c r="FV15" i="22"/>
  <c r="FI15" i="22"/>
  <c r="FG15" i="22"/>
  <c r="EW15" i="22"/>
  <c r="DV15" i="22"/>
  <c r="CZ15" i="22"/>
  <c r="CW15" i="22"/>
  <c r="CT15" i="22"/>
  <c r="CJ15" i="22"/>
  <c r="BP15" i="22"/>
  <c r="BO15" i="22" s="1"/>
  <c r="AL15" i="22"/>
  <c r="AH15" i="22"/>
  <c r="T15" i="22"/>
  <c r="G15" i="22"/>
  <c r="D15" i="22"/>
  <c r="GE14" i="22"/>
  <c r="FX14" i="22"/>
  <c r="FV14" i="22"/>
  <c r="FI14" i="22"/>
  <c r="FG14" i="22"/>
  <c r="EW14" i="22"/>
  <c r="DV14" i="22"/>
  <c r="CZ14" i="22"/>
  <c r="CW14" i="22"/>
  <c r="CT14" i="22"/>
  <c r="CJ14" i="22"/>
  <c r="BP14" i="22"/>
  <c r="BO14" i="22" s="1"/>
  <c r="AL14" i="22"/>
  <c r="AH14" i="22"/>
  <c r="T14" i="22"/>
  <c r="EP14" i="22" s="1"/>
  <c r="G14" i="22"/>
  <c r="D14" i="22"/>
  <c r="GE13" i="22"/>
  <c r="FX13" i="22"/>
  <c r="FV13" i="22"/>
  <c r="FI13" i="22"/>
  <c r="EW13" i="22"/>
  <c r="FG13" i="22" s="1"/>
  <c r="EP13" i="22"/>
  <c r="DV13" i="22"/>
  <c r="CZ13" i="22"/>
  <c r="CW13" i="22"/>
  <c r="CT13" i="22"/>
  <c r="CJ13" i="22"/>
  <c r="BP13" i="22"/>
  <c r="BO13" i="22"/>
  <c r="AL13" i="22"/>
  <c r="AH13" i="22"/>
  <c r="T13" i="22"/>
  <c r="G13" i="22"/>
  <c r="D13" i="22"/>
  <c r="GE12" i="22"/>
  <c r="FX12" i="22"/>
  <c r="FV12" i="22"/>
  <c r="FI12" i="22"/>
  <c r="FG12" i="22"/>
  <c r="EW12" i="22"/>
  <c r="EP12" i="22"/>
  <c r="DV12" i="22"/>
  <c r="CZ12" i="22"/>
  <c r="CW12" i="22"/>
  <c r="CT12" i="22"/>
  <c r="CJ12" i="22"/>
  <c r="BP12" i="22"/>
  <c r="BO12" i="22" s="1"/>
  <c r="AL12" i="22"/>
  <c r="AH12" i="22"/>
  <c r="T12" i="22"/>
  <c r="G12" i="22"/>
  <c r="D12" i="22"/>
  <c r="GE11" i="22"/>
  <c r="FX11" i="22"/>
  <c r="FV11" i="22"/>
  <c r="FI11" i="22"/>
  <c r="FG11" i="22"/>
  <c r="EW11" i="22"/>
  <c r="DV11" i="22"/>
  <c r="CZ11" i="22"/>
  <c r="CW11" i="22"/>
  <c r="CT11" i="22"/>
  <c r="CJ11" i="22"/>
  <c r="BP11" i="22"/>
  <c r="BO11" i="22" s="1"/>
  <c r="AL11" i="22"/>
  <c r="AH11" i="22"/>
  <c r="T11" i="22"/>
  <c r="EP11" i="22" s="1"/>
  <c r="G11" i="22"/>
  <c r="D11" i="22"/>
  <c r="GE10" i="22"/>
  <c r="FX10" i="22"/>
  <c r="FV10" i="22"/>
  <c r="FI10" i="22"/>
  <c r="EW10" i="22"/>
  <c r="FG10" i="22" s="1"/>
  <c r="DV10" i="22"/>
  <c r="CZ10" i="22"/>
  <c r="CW10" i="22"/>
  <c r="CT10" i="22"/>
  <c r="CJ10" i="22"/>
  <c r="BP10" i="22"/>
  <c r="BO10" i="22"/>
  <c r="AL10" i="22"/>
  <c r="AH10" i="22"/>
  <c r="T10" i="22"/>
  <c r="EP10" i="22" s="1"/>
  <c r="G10" i="22"/>
  <c r="D10" i="22"/>
  <c r="GE9" i="22"/>
  <c r="FX9" i="22"/>
  <c r="FV9" i="22"/>
  <c r="FI9" i="22"/>
  <c r="EW9" i="22"/>
  <c r="FG9" i="22" s="1"/>
  <c r="EP9" i="22"/>
  <c r="DV9" i="22"/>
  <c r="CZ9" i="22"/>
  <c r="CW9" i="22"/>
  <c r="CT9" i="22"/>
  <c r="CJ9" i="22"/>
  <c r="BP9" i="22"/>
  <c r="BO9" i="22"/>
  <c r="AL9" i="22"/>
  <c r="AH9" i="22"/>
  <c r="T9" i="22"/>
  <c r="G9" i="22"/>
  <c r="D9" i="22"/>
  <c r="GE8" i="22"/>
  <c r="FX8" i="22"/>
  <c r="FV8" i="22"/>
  <c r="FI8" i="22"/>
  <c r="EW8" i="22"/>
  <c r="FG8" i="22" s="1"/>
  <c r="EP8" i="22"/>
  <c r="DV8" i="22"/>
  <c r="CZ8" i="22"/>
  <c r="CW8" i="22"/>
  <c r="CT8" i="22"/>
  <c r="CJ8" i="22"/>
  <c r="BP8" i="22"/>
  <c r="BO8" i="22"/>
  <c r="AL8" i="22"/>
  <c r="AH8" i="22"/>
  <c r="T8" i="22"/>
  <c r="G8" i="22"/>
  <c r="D8" i="22"/>
  <c r="GE7" i="22"/>
  <c r="FX7" i="22"/>
  <c r="FV7" i="22"/>
  <c r="FI7" i="22"/>
  <c r="FG7" i="22"/>
  <c r="EW7" i="22"/>
  <c r="DV7" i="22"/>
  <c r="CZ7" i="22"/>
  <c r="CW7" i="22"/>
  <c r="CT7" i="22"/>
  <c r="CJ7" i="22"/>
  <c r="BP7" i="22"/>
  <c r="BO7" i="22" s="1"/>
  <c r="AL7" i="22"/>
  <c r="AH7" i="22"/>
  <c r="T7" i="22"/>
  <c r="EP7" i="22" s="1"/>
  <c r="G7" i="22"/>
  <c r="D7" i="22"/>
  <c r="GE6" i="22"/>
  <c r="FX6" i="22"/>
  <c r="FV6" i="22"/>
  <c r="FI6" i="22"/>
  <c r="EW6" i="22"/>
  <c r="FG6" i="22" s="1"/>
  <c r="EP6" i="22"/>
  <c r="DV6" i="22"/>
  <c r="CZ6" i="22"/>
  <c r="CZ54" i="22" s="1"/>
  <c r="CW6" i="22"/>
  <c r="CT6" i="22"/>
  <c r="CJ6" i="22"/>
  <c r="BP6" i="22"/>
  <c r="BO6" i="22"/>
  <c r="AL6" i="22"/>
  <c r="AH6" i="22"/>
  <c r="AH54" i="22" s="1"/>
  <c r="T6" i="22"/>
  <c r="T54" i="22" s="1"/>
  <c r="G6" i="22"/>
  <c r="D6" i="22"/>
  <c r="GI56" i="21"/>
  <c r="GD56" i="21"/>
  <c r="GC56" i="21"/>
  <c r="GB56" i="21"/>
  <c r="GA56" i="21"/>
  <c r="FZ56" i="21"/>
  <c r="FY56" i="21"/>
  <c r="FW56" i="21"/>
  <c r="FM56" i="21"/>
  <c r="FL56" i="21"/>
  <c r="FK56" i="21"/>
  <c r="FJ56" i="21"/>
  <c r="FH56" i="21"/>
  <c r="FF56" i="21"/>
  <c r="FE56" i="21"/>
  <c r="FD56" i="21"/>
  <c r="FC56" i="21"/>
  <c r="FB56" i="21"/>
  <c r="FA56" i="21"/>
  <c r="EZ56" i="21"/>
  <c r="EY56" i="21"/>
  <c r="EX56" i="21"/>
  <c r="EV56" i="21"/>
  <c r="EU56" i="21"/>
  <c r="ET56" i="21"/>
  <c r="ES56" i="21"/>
  <c r="ER56" i="21"/>
  <c r="EQ56" i="21"/>
  <c r="EO56" i="21"/>
  <c r="EN56" i="21"/>
  <c r="EM56" i="21"/>
  <c r="EL56" i="21"/>
  <c r="EK56" i="21"/>
  <c r="EJ56" i="21"/>
  <c r="EI56" i="21"/>
  <c r="EH56" i="21"/>
  <c r="EG56" i="21"/>
  <c r="EF56" i="21"/>
  <c r="EE56" i="21"/>
  <c r="ED56" i="21"/>
  <c r="EC56" i="21"/>
  <c r="EB56" i="21"/>
  <c r="EA56" i="21"/>
  <c r="DZ56" i="21"/>
  <c r="DY56" i="21"/>
  <c r="DX56" i="21"/>
  <c r="DW56" i="21"/>
  <c r="DU56" i="21"/>
  <c r="DT56" i="21"/>
  <c r="DS56" i="21"/>
  <c r="DR56" i="21"/>
  <c r="DQ56" i="21"/>
  <c r="DP56" i="21"/>
  <c r="DO56" i="21"/>
  <c r="DN56" i="21"/>
  <c r="DM56" i="21"/>
  <c r="DL56" i="21"/>
  <c r="DK56" i="21"/>
  <c r="DJ56" i="21"/>
  <c r="DI56" i="21"/>
  <c r="DH56" i="21"/>
  <c r="DG56" i="21"/>
  <c r="DF56" i="21"/>
  <c r="DE56" i="21"/>
  <c r="DD56" i="21"/>
  <c r="DC56" i="21"/>
  <c r="DB56" i="21"/>
  <c r="DA56" i="21"/>
  <c r="CY56" i="21"/>
  <c r="CX56" i="21"/>
  <c r="CV56" i="21"/>
  <c r="CU56" i="21"/>
  <c r="CS56" i="21"/>
  <c r="CR56" i="21"/>
  <c r="CQ56" i="21"/>
  <c r="CP56" i="21"/>
  <c r="CO56" i="21"/>
  <c r="CN56" i="21"/>
  <c r="CM56" i="21"/>
  <c r="CL56" i="21"/>
  <c r="CK56" i="21"/>
  <c r="CI56" i="21"/>
  <c r="CH56" i="21"/>
  <c r="CG56" i="21"/>
  <c r="CF56" i="21"/>
  <c r="CE56" i="21"/>
  <c r="CD56" i="21"/>
  <c r="CC56" i="21"/>
  <c r="CB56" i="21"/>
  <c r="CA56" i="21"/>
  <c r="BZ56" i="21"/>
  <c r="BY56" i="21"/>
  <c r="BX56" i="21"/>
  <c r="BW56" i="21"/>
  <c r="BV56" i="21"/>
  <c r="BU56" i="21"/>
  <c r="BT56" i="21"/>
  <c r="BS56" i="21"/>
  <c r="BR56" i="21"/>
  <c r="BQ56" i="21"/>
  <c r="BP56" i="21"/>
  <c r="BN56" i="21"/>
  <c r="BM56" i="21"/>
  <c r="BL56" i="21"/>
  <c r="BK56" i="21"/>
  <c r="BJ56" i="21"/>
  <c r="BI56" i="21"/>
  <c r="BH56" i="21"/>
  <c r="BG56" i="21"/>
  <c r="BF56" i="21"/>
  <c r="BE56" i="21"/>
  <c r="BD56" i="21"/>
  <c r="BC56" i="21"/>
  <c r="BB56" i="21"/>
  <c r="BA56" i="21"/>
  <c r="AZ56" i="21"/>
  <c r="AY56" i="21"/>
  <c r="AX56" i="21"/>
  <c r="AW56" i="21"/>
  <c r="AV56" i="21"/>
  <c r="AU56" i="21"/>
  <c r="AT56" i="21"/>
  <c r="AS56" i="21"/>
  <c r="AR56" i="21"/>
  <c r="AQ56" i="21"/>
  <c r="AP56" i="21"/>
  <c r="AO56" i="21"/>
  <c r="AN56" i="21"/>
  <c r="AM56" i="21"/>
  <c r="AK56" i="21"/>
  <c r="AJ56" i="21"/>
  <c r="AI56" i="21"/>
  <c r="AG56" i="21"/>
  <c r="AF56" i="21"/>
  <c r="AE56" i="21"/>
  <c r="AD56" i="21"/>
  <c r="AC56" i="21"/>
  <c r="AB56" i="21"/>
  <c r="AA56" i="21"/>
  <c r="Z56" i="21"/>
  <c r="Y56" i="21"/>
  <c r="X56" i="21"/>
  <c r="W56" i="21"/>
  <c r="V56" i="21"/>
  <c r="U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F56" i="21"/>
  <c r="E56" i="21"/>
  <c r="C56" i="21"/>
  <c r="GI55" i="21"/>
  <c r="GD55" i="21"/>
  <c r="GC55" i="21"/>
  <c r="GB55" i="21"/>
  <c r="GA55" i="21"/>
  <c r="FZ55" i="21"/>
  <c r="FY55" i="21"/>
  <c r="FW55" i="21"/>
  <c r="FM55" i="21"/>
  <c r="FL55" i="21"/>
  <c r="FK55" i="21"/>
  <c r="FJ55" i="21"/>
  <c r="FH55" i="21"/>
  <c r="FF55" i="21"/>
  <c r="FE55" i="21"/>
  <c r="FD55" i="21"/>
  <c r="FC55" i="21"/>
  <c r="FB55" i="21"/>
  <c r="FA55" i="21"/>
  <c r="EZ55" i="21"/>
  <c r="EY55" i="21"/>
  <c r="EX55" i="21"/>
  <c r="EV55" i="21"/>
  <c r="EU55" i="21"/>
  <c r="ET55" i="21"/>
  <c r="ES55" i="21"/>
  <c r="ER55" i="21"/>
  <c r="EQ55" i="21"/>
  <c r="EO55" i="21"/>
  <c r="EN55" i="21"/>
  <c r="EM55" i="21"/>
  <c r="EL55" i="21"/>
  <c r="EK55" i="21"/>
  <c r="EJ55" i="21"/>
  <c r="EI55" i="21"/>
  <c r="EH55" i="21"/>
  <c r="EG55" i="21"/>
  <c r="EF55" i="21"/>
  <c r="EE55" i="21"/>
  <c r="ED55" i="21"/>
  <c r="EC55" i="21"/>
  <c r="EB55" i="21"/>
  <c r="EA55" i="21"/>
  <c r="DZ55" i="21"/>
  <c r="DY55" i="21"/>
  <c r="DX55" i="21"/>
  <c r="DW55" i="21"/>
  <c r="DU55" i="21"/>
  <c r="DT55" i="21"/>
  <c r="DS55" i="21"/>
  <c r="DR55" i="21"/>
  <c r="DQ55" i="21"/>
  <c r="DP55" i="21"/>
  <c r="DO55" i="21"/>
  <c r="DN55" i="21"/>
  <c r="DM55" i="21"/>
  <c r="DL55" i="21"/>
  <c r="DK55" i="21"/>
  <c r="DJ55" i="21"/>
  <c r="DI55" i="21"/>
  <c r="DH55" i="21"/>
  <c r="DG55" i="21"/>
  <c r="DF55" i="21"/>
  <c r="DE55" i="21"/>
  <c r="DD55" i="21"/>
  <c r="DC55" i="21"/>
  <c r="DB55" i="21"/>
  <c r="DA55" i="21"/>
  <c r="CY55" i="21"/>
  <c r="CX55" i="21"/>
  <c r="CV55" i="21"/>
  <c r="CU55" i="21"/>
  <c r="CS55" i="21"/>
  <c r="CR55" i="21"/>
  <c r="CQ55" i="21"/>
  <c r="CP55" i="21"/>
  <c r="CO55" i="21"/>
  <c r="CN55" i="21"/>
  <c r="CM55" i="21"/>
  <c r="CL55" i="21"/>
  <c r="CK55" i="21"/>
  <c r="CI55" i="21"/>
  <c r="CH55" i="21"/>
  <c r="CG55" i="21"/>
  <c r="CF55" i="21"/>
  <c r="CE55" i="21"/>
  <c r="CD55" i="21"/>
  <c r="CC55" i="21"/>
  <c r="CB55" i="21"/>
  <c r="CA55" i="21"/>
  <c r="BZ55" i="21"/>
  <c r="BY55" i="21"/>
  <c r="BX55" i="21"/>
  <c r="BW55" i="21"/>
  <c r="BV55" i="21"/>
  <c r="BU55" i="21"/>
  <c r="BT55" i="21"/>
  <c r="BS55" i="21"/>
  <c r="BR55" i="21"/>
  <c r="BQ55" i="21"/>
  <c r="BN55" i="21"/>
  <c r="BM55" i="21"/>
  <c r="BL55" i="21"/>
  <c r="BK55" i="21"/>
  <c r="BJ55" i="21"/>
  <c r="BI55" i="21"/>
  <c r="BH55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K55" i="21"/>
  <c r="AJ55" i="21"/>
  <c r="AI55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F55" i="21"/>
  <c r="E55" i="21"/>
  <c r="C55" i="21"/>
  <c r="GI54" i="21"/>
  <c r="GD54" i="21"/>
  <c r="GC54" i="21"/>
  <c r="GB54" i="21"/>
  <c r="GA54" i="21"/>
  <c r="FZ54" i="21"/>
  <c r="FY54" i="21"/>
  <c r="FW54" i="21"/>
  <c r="FM54" i="21"/>
  <c r="FL54" i="21"/>
  <c r="FK54" i="21"/>
  <c r="FJ54" i="21"/>
  <c r="FH54" i="21"/>
  <c r="FF54" i="21"/>
  <c r="FE54" i="21"/>
  <c r="FD54" i="21"/>
  <c r="FC54" i="21"/>
  <c r="FB54" i="21"/>
  <c r="FA54" i="21"/>
  <c r="EZ54" i="21"/>
  <c r="EY54" i="21"/>
  <c r="EX54" i="21"/>
  <c r="EV54" i="21"/>
  <c r="EU54" i="21"/>
  <c r="ET54" i="21"/>
  <c r="ES54" i="21"/>
  <c r="ER54" i="21"/>
  <c r="EQ54" i="21"/>
  <c r="EO54" i="21"/>
  <c r="EN54" i="21"/>
  <c r="EM54" i="21"/>
  <c r="EL54" i="21"/>
  <c r="EK54" i="21"/>
  <c r="EJ54" i="21"/>
  <c r="EI54" i="21"/>
  <c r="EH54" i="21"/>
  <c r="EG54" i="21"/>
  <c r="EF54" i="21"/>
  <c r="EE54" i="21"/>
  <c r="ED54" i="21"/>
  <c r="EC54" i="21"/>
  <c r="EB54" i="21"/>
  <c r="EA54" i="21"/>
  <c r="DZ54" i="21"/>
  <c r="DY54" i="21"/>
  <c r="DX54" i="21"/>
  <c r="DW54" i="21"/>
  <c r="DU54" i="21"/>
  <c r="DT54" i="21"/>
  <c r="DS54" i="21"/>
  <c r="DR54" i="21"/>
  <c r="DQ54" i="21"/>
  <c r="DP54" i="21"/>
  <c r="DO54" i="21"/>
  <c r="DN54" i="21"/>
  <c r="DM54" i="21"/>
  <c r="DL54" i="21"/>
  <c r="DK54" i="21"/>
  <c r="DJ54" i="21"/>
  <c r="DI54" i="21"/>
  <c r="DH54" i="21"/>
  <c r="DG54" i="21"/>
  <c r="DF54" i="21"/>
  <c r="DE54" i="21"/>
  <c r="DD54" i="21"/>
  <c r="DC54" i="21"/>
  <c r="DB54" i="21"/>
  <c r="DA54" i="21"/>
  <c r="CY54" i="21"/>
  <c r="CX54" i="21"/>
  <c r="CV54" i="21"/>
  <c r="CU54" i="21"/>
  <c r="CS54" i="21"/>
  <c r="CR54" i="21"/>
  <c r="CQ54" i="21"/>
  <c r="CP54" i="21"/>
  <c r="CO54" i="21"/>
  <c r="CN54" i="21"/>
  <c r="CM54" i="21"/>
  <c r="CL54" i="21"/>
  <c r="CK54" i="21"/>
  <c r="CI54" i="21"/>
  <c r="CH54" i="21"/>
  <c r="CG54" i="21"/>
  <c r="CF54" i="21"/>
  <c r="CE54" i="21"/>
  <c r="CD54" i="21"/>
  <c r="CC54" i="21"/>
  <c r="CB54" i="21"/>
  <c r="CA54" i="21"/>
  <c r="BZ54" i="21"/>
  <c r="BY54" i="21"/>
  <c r="BX54" i="21"/>
  <c r="BW54" i="21"/>
  <c r="BV54" i="21"/>
  <c r="BU54" i="21"/>
  <c r="BT54" i="21"/>
  <c r="BS54" i="21"/>
  <c r="BR54" i="21"/>
  <c r="BQ54" i="21"/>
  <c r="BN54" i="21"/>
  <c r="BM54" i="21"/>
  <c r="BL54" i="21"/>
  <c r="BK54" i="21"/>
  <c r="BJ54" i="21"/>
  <c r="BI54" i="21"/>
  <c r="BH54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K54" i="21"/>
  <c r="AJ54" i="21"/>
  <c r="AI54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F54" i="21"/>
  <c r="E54" i="21"/>
  <c r="C54" i="21"/>
  <c r="FK52" i="21"/>
  <c r="FJ52" i="21"/>
  <c r="FK51" i="21"/>
  <c r="FJ51" i="21"/>
  <c r="EI51" i="21"/>
  <c r="EI52" i="21" s="1"/>
  <c r="GE49" i="21"/>
  <c r="FX49" i="21"/>
  <c r="FV49" i="21"/>
  <c r="FI49" i="21"/>
  <c r="FI56" i="21" s="1"/>
  <c r="FG49" i="21"/>
  <c r="EW49" i="21"/>
  <c r="DV49" i="21"/>
  <c r="CZ49" i="21"/>
  <c r="CW49" i="21"/>
  <c r="CT49" i="21"/>
  <c r="CJ49" i="21"/>
  <c r="CJ56" i="21" s="1"/>
  <c r="BP49" i="21"/>
  <c r="BO49" i="21" s="1"/>
  <c r="AL49" i="21"/>
  <c r="AH49" i="21"/>
  <c r="T49" i="21"/>
  <c r="EP49" i="21" s="1"/>
  <c r="G49" i="21"/>
  <c r="D49" i="21"/>
  <c r="GE48" i="21"/>
  <c r="FX48" i="21"/>
  <c r="FV48" i="21"/>
  <c r="FI48" i="21"/>
  <c r="FI55" i="21" s="1"/>
  <c r="EW48" i="21"/>
  <c r="EP48" i="21"/>
  <c r="DV48" i="21"/>
  <c r="DV55" i="21" s="1"/>
  <c r="CZ48" i="21"/>
  <c r="CW48" i="21"/>
  <c r="CW56" i="21" s="1"/>
  <c r="CT48" i="21"/>
  <c r="CJ48" i="21"/>
  <c r="BP48" i="21"/>
  <c r="BP55" i="21" s="1"/>
  <c r="BO48" i="21"/>
  <c r="AL48" i="21"/>
  <c r="AL55" i="21" s="1"/>
  <c r="AH48" i="21"/>
  <c r="AH55" i="21" s="1"/>
  <c r="T48" i="21"/>
  <c r="T56" i="21" s="1"/>
  <c r="G48" i="21"/>
  <c r="G55" i="21" s="1"/>
  <c r="D48" i="21"/>
  <c r="FX47" i="21"/>
  <c r="FV47" i="21"/>
  <c r="FI47" i="21"/>
  <c r="EW47" i="21"/>
  <c r="FG47" i="21" s="1"/>
  <c r="DV47" i="21"/>
  <c r="CZ47" i="21"/>
  <c r="CW47" i="21"/>
  <c r="CT47" i="21"/>
  <c r="CJ47" i="21"/>
  <c r="BP47" i="21"/>
  <c r="EP47" i="21" s="1"/>
  <c r="BO47" i="21"/>
  <c r="AL47" i="21"/>
  <c r="AH47" i="21"/>
  <c r="T47" i="21"/>
  <c r="G47" i="21"/>
  <c r="D47" i="21"/>
  <c r="FX46" i="21"/>
  <c r="FV46" i="21"/>
  <c r="FI46" i="21"/>
  <c r="EW46" i="21"/>
  <c r="FG46" i="21" s="1"/>
  <c r="DV46" i="21"/>
  <c r="CZ46" i="21"/>
  <c r="CW46" i="21"/>
  <c r="CT46" i="21"/>
  <c r="CJ46" i="21"/>
  <c r="BP46" i="21"/>
  <c r="BO46" i="21" s="1"/>
  <c r="AL46" i="21"/>
  <c r="AH46" i="21"/>
  <c r="T46" i="21"/>
  <c r="G46" i="21"/>
  <c r="D46" i="21"/>
  <c r="GE45" i="21"/>
  <c r="FX45" i="21"/>
  <c r="FV45" i="21"/>
  <c r="FI45" i="21"/>
  <c r="FG45" i="21"/>
  <c r="EW45" i="21"/>
  <c r="DV45" i="21"/>
  <c r="CZ45" i="21"/>
  <c r="CW45" i="21"/>
  <c r="CT45" i="21"/>
  <c r="CJ45" i="21"/>
  <c r="BP45" i="21"/>
  <c r="BO45" i="21" s="1"/>
  <c r="AL45" i="21"/>
  <c r="AH45" i="21"/>
  <c r="T45" i="21"/>
  <c r="EP45" i="21" s="1"/>
  <c r="G45" i="21"/>
  <c r="D45" i="21"/>
  <c r="FX44" i="21"/>
  <c r="FV44" i="21"/>
  <c r="FI44" i="21"/>
  <c r="EW44" i="21"/>
  <c r="FG44" i="21" s="1"/>
  <c r="EP44" i="21"/>
  <c r="DV44" i="21"/>
  <c r="CZ44" i="21"/>
  <c r="CW44" i="21"/>
  <c r="CT44" i="21"/>
  <c r="CJ44" i="21"/>
  <c r="BP44" i="21"/>
  <c r="BO44" i="21"/>
  <c r="AL44" i="21"/>
  <c r="AH44" i="21"/>
  <c r="T44" i="21"/>
  <c r="G44" i="21"/>
  <c r="D44" i="21"/>
  <c r="GE43" i="21"/>
  <c r="FX43" i="21"/>
  <c r="FV43" i="21"/>
  <c r="FI43" i="21"/>
  <c r="FG43" i="21"/>
  <c r="EW43" i="21"/>
  <c r="DV43" i="21"/>
  <c r="CZ43" i="21"/>
  <c r="CW43" i="21"/>
  <c r="CT43" i="21"/>
  <c r="CJ43" i="21"/>
  <c r="BP43" i="21"/>
  <c r="BO43" i="21"/>
  <c r="AL43" i="21"/>
  <c r="AH43" i="21"/>
  <c r="T43" i="21"/>
  <c r="G43" i="21"/>
  <c r="D43" i="21"/>
  <c r="GE42" i="21"/>
  <c r="FX42" i="21"/>
  <c r="FV42" i="21"/>
  <c r="FI42" i="21"/>
  <c r="FG42" i="21"/>
  <c r="EW42" i="21"/>
  <c r="DV42" i="21"/>
  <c r="CZ42" i="21"/>
  <c r="CW42" i="21"/>
  <c r="CT42" i="21"/>
  <c r="CJ42" i="21"/>
  <c r="BP42" i="21"/>
  <c r="BO42" i="21" s="1"/>
  <c r="AL42" i="21"/>
  <c r="AH42" i="21"/>
  <c r="T42" i="21"/>
  <c r="EP42" i="21" s="1"/>
  <c r="G42" i="21"/>
  <c r="D42" i="21"/>
  <c r="FX41" i="21"/>
  <c r="FV41" i="21"/>
  <c r="FI41" i="21"/>
  <c r="FG41" i="21"/>
  <c r="EW41" i="21"/>
  <c r="DV41" i="21"/>
  <c r="CZ41" i="21"/>
  <c r="CW41" i="21"/>
  <c r="CT41" i="21"/>
  <c r="CJ41" i="21"/>
  <c r="BP41" i="21"/>
  <c r="BO41" i="21" s="1"/>
  <c r="AL41" i="21"/>
  <c r="AH41" i="21"/>
  <c r="T41" i="21"/>
  <c r="EP41" i="21" s="1"/>
  <c r="G41" i="21"/>
  <c r="D41" i="21"/>
  <c r="FX40" i="21"/>
  <c r="FV40" i="21"/>
  <c r="FI40" i="21"/>
  <c r="FG40" i="21"/>
  <c r="EW40" i="21"/>
  <c r="EP40" i="21"/>
  <c r="DV40" i="21"/>
  <c r="CZ40" i="21"/>
  <c r="CW40" i="21"/>
  <c r="CT40" i="21"/>
  <c r="CJ40" i="21"/>
  <c r="BP40" i="21"/>
  <c r="BO40" i="21" s="1"/>
  <c r="AL40" i="21"/>
  <c r="AH40" i="21"/>
  <c r="T40" i="21"/>
  <c r="G40" i="21"/>
  <c r="D40" i="21"/>
  <c r="FX39" i="21"/>
  <c r="FV39" i="21"/>
  <c r="FI39" i="21"/>
  <c r="FG39" i="21"/>
  <c r="EW39" i="21"/>
  <c r="DV39" i="21"/>
  <c r="CZ39" i="21"/>
  <c r="CW39" i="21"/>
  <c r="CT39" i="21"/>
  <c r="CJ39" i="21"/>
  <c r="BP39" i="21"/>
  <c r="BO39" i="21" s="1"/>
  <c r="AL39" i="21"/>
  <c r="AH39" i="21"/>
  <c r="T39" i="21"/>
  <c r="G39" i="21"/>
  <c r="D39" i="21"/>
  <c r="FX38" i="21"/>
  <c r="FV38" i="21"/>
  <c r="FI38" i="21"/>
  <c r="EW38" i="21"/>
  <c r="FG38" i="21" s="1"/>
  <c r="EP38" i="21"/>
  <c r="DV38" i="21"/>
  <c r="CZ38" i="21"/>
  <c r="CW38" i="21"/>
  <c r="CT38" i="21"/>
  <c r="CT55" i="21" s="1"/>
  <c r="CJ38" i="21"/>
  <c r="BP38" i="21"/>
  <c r="BO38" i="21"/>
  <c r="AL38" i="21"/>
  <c r="AH38" i="21"/>
  <c r="T38" i="21"/>
  <c r="G38" i="21"/>
  <c r="D38" i="21"/>
  <c r="D55" i="21" s="1"/>
  <c r="GE37" i="21"/>
  <c r="FX37" i="21"/>
  <c r="FV37" i="21"/>
  <c r="FI37" i="21"/>
  <c r="FG37" i="21"/>
  <c r="EW37" i="21"/>
  <c r="EP37" i="21"/>
  <c r="DV37" i="21"/>
  <c r="DV56" i="21" s="1"/>
  <c r="CZ37" i="21"/>
  <c r="CW37" i="21"/>
  <c r="CT37" i="21"/>
  <c r="CT56" i="21" s="1"/>
  <c r="CJ37" i="21"/>
  <c r="CJ54" i="21" s="1"/>
  <c r="BP37" i="21"/>
  <c r="BO37" i="21" s="1"/>
  <c r="AL37" i="21"/>
  <c r="AL56" i="21" s="1"/>
  <c r="AH37" i="21"/>
  <c r="AH56" i="21" s="1"/>
  <c r="T37" i="21"/>
  <c r="G37" i="21"/>
  <c r="D37" i="21"/>
  <c r="D56" i="21" s="1"/>
  <c r="GE36" i="21"/>
  <c r="FX36" i="21"/>
  <c r="FV36" i="21"/>
  <c r="FI36" i="21"/>
  <c r="FG36" i="21"/>
  <c r="EW36" i="21"/>
  <c r="DV36" i="21"/>
  <c r="CZ36" i="21"/>
  <c r="CW36" i="21"/>
  <c r="CT36" i="21"/>
  <c r="CJ36" i="21"/>
  <c r="BP36" i="21"/>
  <c r="BO36" i="21" s="1"/>
  <c r="AL36" i="21"/>
  <c r="AH36" i="21"/>
  <c r="T36" i="21"/>
  <c r="EP36" i="21" s="1"/>
  <c r="G36" i="21"/>
  <c r="D36" i="21"/>
  <c r="GE35" i="21"/>
  <c r="FX35" i="21"/>
  <c r="FV35" i="21"/>
  <c r="FI35" i="21"/>
  <c r="EW35" i="21"/>
  <c r="FG35" i="21" s="1"/>
  <c r="EP35" i="21"/>
  <c r="DV35" i="21"/>
  <c r="CZ35" i="21"/>
  <c r="CW35" i="21"/>
  <c r="CT35" i="21"/>
  <c r="CJ35" i="21"/>
  <c r="BP35" i="21"/>
  <c r="BO35" i="21"/>
  <c r="AL35" i="21"/>
  <c r="AH35" i="21"/>
  <c r="T35" i="21"/>
  <c r="G35" i="21"/>
  <c r="D35" i="21"/>
  <c r="GE34" i="21"/>
  <c r="FX34" i="21"/>
  <c r="FV34" i="21"/>
  <c r="FI34" i="21"/>
  <c r="FG34" i="21"/>
  <c r="EW34" i="21"/>
  <c r="DV34" i="21"/>
  <c r="CZ34" i="21"/>
  <c r="CW34" i="21"/>
  <c r="CT34" i="21"/>
  <c r="CJ34" i="21"/>
  <c r="BP34" i="21"/>
  <c r="BO34" i="21" s="1"/>
  <c r="AL34" i="21"/>
  <c r="AH34" i="21"/>
  <c r="T34" i="21"/>
  <c r="EP34" i="21" s="1"/>
  <c r="G34" i="21"/>
  <c r="D34" i="21"/>
  <c r="GE33" i="21"/>
  <c r="FX33" i="21"/>
  <c r="FV33" i="21"/>
  <c r="FI33" i="21"/>
  <c r="EW33" i="21"/>
  <c r="FG33" i="21" s="1"/>
  <c r="EP33" i="21"/>
  <c r="DV33" i="21"/>
  <c r="CZ33" i="21"/>
  <c r="CW33" i="21"/>
  <c r="CT33" i="21"/>
  <c r="CJ33" i="21"/>
  <c r="BP33" i="21"/>
  <c r="BO33" i="21"/>
  <c r="AL33" i="21"/>
  <c r="AH33" i="21"/>
  <c r="T33" i="21"/>
  <c r="G33" i="21"/>
  <c r="D33" i="21"/>
  <c r="GE32" i="21"/>
  <c r="FX32" i="21"/>
  <c r="FV32" i="21"/>
  <c r="FI32" i="21"/>
  <c r="EW32" i="21"/>
  <c r="FG32" i="21" s="1"/>
  <c r="EP32" i="21"/>
  <c r="DV32" i="21"/>
  <c r="CZ32" i="21"/>
  <c r="CW32" i="21"/>
  <c r="CT32" i="21"/>
  <c r="CJ32" i="21"/>
  <c r="BP32" i="21"/>
  <c r="BO32" i="21"/>
  <c r="AL32" i="21"/>
  <c r="AH32" i="21"/>
  <c r="T32" i="21"/>
  <c r="G32" i="21"/>
  <c r="D32" i="21"/>
  <c r="GE31" i="21"/>
  <c r="FX31" i="21"/>
  <c r="FV31" i="21"/>
  <c r="FI31" i="21"/>
  <c r="FG31" i="21"/>
  <c r="EW31" i="21"/>
  <c r="DV31" i="21"/>
  <c r="CZ31" i="21"/>
  <c r="CW31" i="21"/>
  <c r="CT31" i="21"/>
  <c r="CJ31" i="21"/>
  <c r="BP31" i="21"/>
  <c r="BO31" i="21" s="1"/>
  <c r="AL31" i="21"/>
  <c r="AH31" i="21"/>
  <c r="T31" i="21"/>
  <c r="EP31" i="21" s="1"/>
  <c r="G31" i="21"/>
  <c r="D31" i="21"/>
  <c r="GE30" i="21"/>
  <c r="FX30" i="21"/>
  <c r="FV30" i="21"/>
  <c r="FI30" i="21"/>
  <c r="FG30" i="21"/>
  <c r="EW30" i="21"/>
  <c r="EP30" i="21"/>
  <c r="DV30" i="21"/>
  <c r="CZ30" i="21"/>
  <c r="CW30" i="21"/>
  <c r="CT30" i="21"/>
  <c r="CJ30" i="21"/>
  <c r="BP30" i="21"/>
  <c r="BO30" i="21" s="1"/>
  <c r="AL30" i="21"/>
  <c r="AH30" i="21"/>
  <c r="T30" i="21"/>
  <c r="G30" i="21"/>
  <c r="D30" i="21"/>
  <c r="GE29" i="21"/>
  <c r="FX29" i="21"/>
  <c r="FV29" i="21"/>
  <c r="FI29" i="21"/>
  <c r="EW29" i="21"/>
  <c r="FG29" i="21" s="1"/>
  <c r="EP29" i="21"/>
  <c r="DV29" i="21"/>
  <c r="CZ29" i="21"/>
  <c r="CW29" i="21"/>
  <c r="CT29" i="21"/>
  <c r="CJ29" i="21"/>
  <c r="BP29" i="21"/>
  <c r="BO29" i="21"/>
  <c r="AL29" i="21"/>
  <c r="AH29" i="21"/>
  <c r="T29" i="21"/>
  <c r="G29" i="21"/>
  <c r="D29" i="21"/>
  <c r="GE28" i="21"/>
  <c r="FX28" i="21"/>
  <c r="FV28" i="21"/>
  <c r="FI28" i="21"/>
  <c r="FG28" i="21"/>
  <c r="EW28" i="21"/>
  <c r="EP28" i="21"/>
  <c r="DV28" i="21"/>
  <c r="CZ28" i="21"/>
  <c r="CW28" i="21"/>
  <c r="CT28" i="21"/>
  <c r="CJ28" i="21"/>
  <c r="BP28" i="21"/>
  <c r="BO28" i="21" s="1"/>
  <c r="AL28" i="21"/>
  <c r="AH28" i="21"/>
  <c r="T28" i="21"/>
  <c r="G28" i="21"/>
  <c r="D28" i="21"/>
  <c r="GE27" i="21"/>
  <c r="FX27" i="21"/>
  <c r="FV27" i="21"/>
  <c r="FI27" i="21"/>
  <c r="FG27" i="21"/>
  <c r="EW27" i="21"/>
  <c r="EP27" i="21"/>
  <c r="DV27" i="21"/>
  <c r="CZ27" i="21"/>
  <c r="CW27" i="21"/>
  <c r="CT27" i="21"/>
  <c r="CJ27" i="21"/>
  <c r="BP27" i="21"/>
  <c r="BO27" i="21" s="1"/>
  <c r="AL27" i="21"/>
  <c r="AH27" i="21"/>
  <c r="T27" i="21"/>
  <c r="G27" i="21"/>
  <c r="D27" i="21"/>
  <c r="GE26" i="21"/>
  <c r="FX26" i="21"/>
  <c r="FV26" i="21"/>
  <c r="FI26" i="21"/>
  <c r="EW26" i="21"/>
  <c r="FG26" i="21" s="1"/>
  <c r="EP26" i="21"/>
  <c r="DV26" i="21"/>
  <c r="CZ26" i="21"/>
  <c r="CW26" i="21"/>
  <c r="CT26" i="21"/>
  <c r="CJ26" i="21"/>
  <c r="BP26" i="21"/>
  <c r="BO26" i="21"/>
  <c r="AL26" i="21"/>
  <c r="AH26" i="21"/>
  <c r="T26" i="21"/>
  <c r="G26" i="21"/>
  <c r="D26" i="21"/>
  <c r="GE25" i="21"/>
  <c r="FX25" i="21"/>
  <c r="FV25" i="21"/>
  <c r="FI25" i="21"/>
  <c r="EW25" i="21"/>
  <c r="FG25" i="21" s="1"/>
  <c r="DV25" i="21"/>
  <c r="CZ25" i="21"/>
  <c r="CW25" i="21"/>
  <c r="CT25" i="21"/>
  <c r="CJ25" i="21"/>
  <c r="BP25" i="21"/>
  <c r="BO25" i="21"/>
  <c r="AL25" i="21"/>
  <c r="AH25" i="21"/>
  <c r="T25" i="21"/>
  <c r="EP25" i="21" s="1"/>
  <c r="G25" i="21"/>
  <c r="D25" i="21"/>
  <c r="GE24" i="21"/>
  <c r="FX24" i="21"/>
  <c r="FV24" i="21"/>
  <c r="FI24" i="21"/>
  <c r="FG24" i="21"/>
  <c r="EW24" i="21"/>
  <c r="EP24" i="21"/>
  <c r="DV24" i="21"/>
  <c r="CZ24" i="21"/>
  <c r="CW24" i="21"/>
  <c r="CT24" i="21"/>
  <c r="CJ24" i="21"/>
  <c r="BP24" i="21"/>
  <c r="BO24" i="21" s="1"/>
  <c r="AL24" i="21"/>
  <c r="AH24" i="21"/>
  <c r="T24" i="21"/>
  <c r="G24" i="21"/>
  <c r="D24" i="21"/>
  <c r="GE23" i="21"/>
  <c r="FX23" i="21"/>
  <c r="FV23" i="21"/>
  <c r="FI23" i="21"/>
  <c r="EW23" i="21"/>
  <c r="FG23" i="21" s="1"/>
  <c r="DV23" i="21"/>
  <c r="CZ23" i="21"/>
  <c r="CW23" i="21"/>
  <c r="CT23" i="21"/>
  <c r="CJ23" i="21"/>
  <c r="BP23" i="21"/>
  <c r="BO23" i="21" s="1"/>
  <c r="AL23" i="21"/>
  <c r="AH23" i="21"/>
  <c r="T23" i="21"/>
  <c r="G23" i="21"/>
  <c r="D23" i="21"/>
  <c r="GE22" i="21"/>
  <c r="FX22" i="21"/>
  <c r="FV22" i="21"/>
  <c r="FI22" i="21"/>
  <c r="FG22" i="21"/>
  <c r="EW22" i="21"/>
  <c r="DV22" i="21"/>
  <c r="CZ22" i="21"/>
  <c r="CW22" i="21"/>
  <c r="CT22" i="21"/>
  <c r="CJ22" i="21"/>
  <c r="BP22" i="21"/>
  <c r="BO22" i="21" s="1"/>
  <c r="AL22" i="21"/>
  <c r="AH22" i="21"/>
  <c r="T22" i="21"/>
  <c r="EP22" i="21" s="1"/>
  <c r="G22" i="21"/>
  <c r="D22" i="21"/>
  <c r="GE21" i="21"/>
  <c r="FX21" i="21"/>
  <c r="FV21" i="21"/>
  <c r="FI21" i="21"/>
  <c r="FG21" i="21"/>
  <c r="EW21" i="21"/>
  <c r="EP21" i="21"/>
  <c r="DV21" i="21"/>
  <c r="CZ21" i="21"/>
  <c r="CW21" i="21"/>
  <c r="CT21" i="21"/>
  <c r="CJ21" i="21"/>
  <c r="BP21" i="21"/>
  <c r="BO21" i="21" s="1"/>
  <c r="AL21" i="21"/>
  <c r="AH21" i="21"/>
  <c r="T21" i="21"/>
  <c r="G21" i="21"/>
  <c r="D21" i="21"/>
  <c r="GE20" i="21"/>
  <c r="FX20" i="21"/>
  <c r="FV20" i="21"/>
  <c r="FI20" i="21"/>
  <c r="FG20" i="21"/>
  <c r="EW20" i="21"/>
  <c r="EP20" i="21"/>
  <c r="DV20" i="21"/>
  <c r="CZ20" i="21"/>
  <c r="CW20" i="21"/>
  <c r="CT20" i="21"/>
  <c r="CJ20" i="21"/>
  <c r="BP20" i="21"/>
  <c r="BO20" i="21" s="1"/>
  <c r="AL20" i="21"/>
  <c r="AH20" i="21"/>
  <c r="T20" i="21"/>
  <c r="G20" i="21"/>
  <c r="D20" i="21"/>
  <c r="GE19" i="21"/>
  <c r="FX19" i="21"/>
  <c r="FV19" i="21"/>
  <c r="FI19" i="21"/>
  <c r="FG19" i="21"/>
  <c r="EW19" i="21"/>
  <c r="DV19" i="21"/>
  <c r="CZ19" i="21"/>
  <c r="CW19" i="21"/>
  <c r="CT19" i="21"/>
  <c r="CJ19" i="21"/>
  <c r="BP19" i="21"/>
  <c r="BO19" i="21" s="1"/>
  <c r="AL19" i="21"/>
  <c r="AH19" i="21"/>
  <c r="T19" i="21"/>
  <c r="EP19" i="21" s="1"/>
  <c r="G19" i="21"/>
  <c r="D19" i="21"/>
  <c r="GE18" i="21"/>
  <c r="FX18" i="21"/>
  <c r="FV18" i="21"/>
  <c r="FI18" i="21"/>
  <c r="FG18" i="21"/>
  <c r="EW18" i="21"/>
  <c r="EP18" i="21"/>
  <c r="DV18" i="21"/>
  <c r="CZ18" i="21"/>
  <c r="CW18" i="21"/>
  <c r="CT18" i="21"/>
  <c r="CJ18" i="21"/>
  <c r="BP18" i="21"/>
  <c r="BO18" i="21" s="1"/>
  <c r="AL18" i="21"/>
  <c r="AH18" i="21"/>
  <c r="T18" i="21"/>
  <c r="G18" i="21"/>
  <c r="D18" i="21"/>
  <c r="GE17" i="21"/>
  <c r="FX17" i="21"/>
  <c r="FV17" i="21"/>
  <c r="FI17" i="21"/>
  <c r="EW17" i="21"/>
  <c r="FG17" i="21" s="1"/>
  <c r="EP17" i="21"/>
  <c r="DV17" i="21"/>
  <c r="CZ17" i="21"/>
  <c r="CW17" i="21"/>
  <c r="CT17" i="21"/>
  <c r="CJ17" i="21"/>
  <c r="BP17" i="21"/>
  <c r="BO17" i="21"/>
  <c r="AL17" i="21"/>
  <c r="AH17" i="21"/>
  <c r="T17" i="21"/>
  <c r="G17" i="21"/>
  <c r="D17" i="21"/>
  <c r="GE16" i="21"/>
  <c r="FX16" i="21"/>
  <c r="FV16" i="21"/>
  <c r="FI16" i="21"/>
  <c r="FG16" i="21"/>
  <c r="EW16" i="21"/>
  <c r="DV16" i="21"/>
  <c r="CZ16" i="21"/>
  <c r="CW16" i="21"/>
  <c r="CT16" i="21"/>
  <c r="CJ16" i="21"/>
  <c r="BP16" i="21"/>
  <c r="BO16" i="21" s="1"/>
  <c r="AL16" i="21"/>
  <c r="AH16" i="21"/>
  <c r="T16" i="21"/>
  <c r="EP16" i="21" s="1"/>
  <c r="G16" i="21"/>
  <c r="D16" i="21"/>
  <c r="GE15" i="21"/>
  <c r="FX15" i="21"/>
  <c r="FV15" i="21"/>
  <c r="FI15" i="21"/>
  <c r="FG15" i="21"/>
  <c r="EW15" i="21"/>
  <c r="DV15" i="21"/>
  <c r="CZ15" i="21"/>
  <c r="CW15" i="21"/>
  <c r="CT15" i="21"/>
  <c r="CJ15" i="21"/>
  <c r="BP15" i="21"/>
  <c r="BO15" i="21"/>
  <c r="AL15" i="21"/>
  <c r="AH15" i="21"/>
  <c r="T15" i="21"/>
  <c r="EP15" i="21" s="1"/>
  <c r="G15" i="21"/>
  <c r="D15" i="21"/>
  <c r="GE14" i="21"/>
  <c r="FX14" i="21"/>
  <c r="FV14" i="21"/>
  <c r="FI14" i="21"/>
  <c r="FG14" i="21"/>
  <c r="EW14" i="21"/>
  <c r="DV14" i="21"/>
  <c r="CZ14" i="21"/>
  <c r="CW14" i="21"/>
  <c r="CT14" i="21"/>
  <c r="CJ14" i="21"/>
  <c r="BP14" i="21"/>
  <c r="BO14" i="21" s="1"/>
  <c r="AL14" i="21"/>
  <c r="AH14" i="21"/>
  <c r="T14" i="21"/>
  <c r="G14" i="21"/>
  <c r="D14" i="21"/>
  <c r="GE13" i="21"/>
  <c r="FX13" i="21"/>
  <c r="FV13" i="21"/>
  <c r="FI13" i="21"/>
  <c r="FG13" i="21"/>
  <c r="EW13" i="21"/>
  <c r="DV13" i="21"/>
  <c r="CZ13" i="21"/>
  <c r="CW13" i="21"/>
  <c r="CT13" i="21"/>
  <c r="CJ13" i="21"/>
  <c r="BP13" i="21"/>
  <c r="BO13" i="21" s="1"/>
  <c r="AL13" i="21"/>
  <c r="AH13" i="21"/>
  <c r="T13" i="21"/>
  <c r="G13" i="21"/>
  <c r="D13" i="21"/>
  <c r="GE12" i="21"/>
  <c r="FX12" i="21"/>
  <c r="FV12" i="21"/>
  <c r="FI12" i="21"/>
  <c r="FG12" i="21"/>
  <c r="EW12" i="21"/>
  <c r="EP12" i="21"/>
  <c r="DV12" i="21"/>
  <c r="CZ12" i="21"/>
  <c r="CW12" i="21"/>
  <c r="CT12" i="21"/>
  <c r="CJ12" i="21"/>
  <c r="BP12" i="21"/>
  <c r="BO12" i="21" s="1"/>
  <c r="AL12" i="21"/>
  <c r="AH12" i="21"/>
  <c r="T12" i="21"/>
  <c r="G12" i="21"/>
  <c r="D12" i="21"/>
  <c r="GE11" i="21"/>
  <c r="FX11" i="21"/>
  <c r="FV11" i="21"/>
  <c r="FI11" i="21"/>
  <c r="FG11" i="21"/>
  <c r="EW11" i="21"/>
  <c r="DV11" i="21"/>
  <c r="CZ11" i="21"/>
  <c r="CW11" i="21"/>
  <c r="CT11" i="21"/>
  <c r="CJ11" i="21"/>
  <c r="BP11" i="21"/>
  <c r="BO11" i="21" s="1"/>
  <c r="AL11" i="21"/>
  <c r="AH11" i="21"/>
  <c r="T11" i="21"/>
  <c r="G11" i="21"/>
  <c r="D11" i="21"/>
  <c r="GE10" i="21"/>
  <c r="FX10" i="21"/>
  <c r="FV10" i="21"/>
  <c r="FI10" i="21"/>
  <c r="FG10" i="21"/>
  <c r="EW10" i="21"/>
  <c r="DV10" i="21"/>
  <c r="CZ10" i="21"/>
  <c r="CW10" i="21"/>
  <c r="CT10" i="21"/>
  <c r="CJ10" i="21"/>
  <c r="BP10" i="21"/>
  <c r="BO10" i="21" s="1"/>
  <c r="AL10" i="21"/>
  <c r="AH10" i="21"/>
  <c r="T10" i="21"/>
  <c r="EP10" i="21" s="1"/>
  <c r="G10" i="21"/>
  <c r="D10" i="21"/>
  <c r="GE9" i="21"/>
  <c r="FX9" i="21"/>
  <c r="FV9" i="21"/>
  <c r="FI9" i="21"/>
  <c r="EW9" i="21"/>
  <c r="FG9" i="21" s="1"/>
  <c r="EP9" i="21"/>
  <c r="DV9" i="21"/>
  <c r="CZ9" i="21"/>
  <c r="CW9" i="21"/>
  <c r="CT9" i="21"/>
  <c r="CJ9" i="21"/>
  <c r="BP9" i="21"/>
  <c r="BO9" i="21"/>
  <c r="AL9" i="21"/>
  <c r="AH9" i="21"/>
  <c r="T9" i="21"/>
  <c r="G9" i="21"/>
  <c r="D9" i="21"/>
  <c r="GE8" i="21"/>
  <c r="FX8" i="21"/>
  <c r="FV8" i="21"/>
  <c r="FI8" i="21"/>
  <c r="FG8" i="21"/>
  <c r="EW8" i="21"/>
  <c r="DV8" i="21"/>
  <c r="CZ8" i="21"/>
  <c r="CW8" i="21"/>
  <c r="CT8" i="21"/>
  <c r="CJ8" i="21"/>
  <c r="BP8" i="21"/>
  <c r="BO8" i="21" s="1"/>
  <c r="AL8" i="21"/>
  <c r="AH8" i="21"/>
  <c r="T8" i="21"/>
  <c r="G8" i="21"/>
  <c r="D8" i="21"/>
  <c r="GE7" i="21"/>
  <c r="FX7" i="21"/>
  <c r="FV7" i="21"/>
  <c r="FI7" i="21"/>
  <c r="FI54" i="21" s="1"/>
  <c r="FG7" i="21"/>
  <c r="EW7" i="21"/>
  <c r="DV7" i="21"/>
  <c r="CZ7" i="21"/>
  <c r="CW7" i="21"/>
  <c r="CT7" i="21"/>
  <c r="CJ7" i="21"/>
  <c r="BP7" i="21"/>
  <c r="BO7" i="21" s="1"/>
  <c r="AL7" i="21"/>
  <c r="AH7" i="21"/>
  <c r="T7" i="21"/>
  <c r="EP7" i="21" s="1"/>
  <c r="G7" i="21"/>
  <c r="D7" i="21"/>
  <c r="GE6" i="21"/>
  <c r="FX6" i="21"/>
  <c r="FV6" i="21"/>
  <c r="FI6" i="21"/>
  <c r="EW6" i="21"/>
  <c r="FG6" i="21" s="1"/>
  <c r="EP6" i="21"/>
  <c r="DV6" i="21"/>
  <c r="CZ6" i="21"/>
  <c r="CZ54" i="21" s="1"/>
  <c r="CW6" i="21"/>
  <c r="CW54" i="21" s="1"/>
  <c r="CT6" i="21"/>
  <c r="CJ6" i="21"/>
  <c r="BP6" i="21"/>
  <c r="BO6" i="21"/>
  <c r="AL6" i="21"/>
  <c r="AH6" i="21"/>
  <c r="T6" i="21"/>
  <c r="G6" i="21"/>
  <c r="D6" i="21"/>
  <c r="GI56" i="20"/>
  <c r="GD56" i="20"/>
  <c r="GC56" i="20"/>
  <c r="GB56" i="20"/>
  <c r="GA56" i="20"/>
  <c r="FZ56" i="20"/>
  <c r="FY56" i="20"/>
  <c r="FW56" i="20"/>
  <c r="FM56" i="20"/>
  <c r="FL56" i="20"/>
  <c r="FK56" i="20"/>
  <c r="FJ56" i="20"/>
  <c r="FI56" i="20"/>
  <c r="FH56" i="20"/>
  <c r="FF56" i="20"/>
  <c r="FE56" i="20"/>
  <c r="FD56" i="20"/>
  <c r="FC56" i="20"/>
  <c r="FB56" i="20"/>
  <c r="FA56" i="20"/>
  <c r="EZ56" i="20"/>
  <c r="EY56" i="20"/>
  <c r="EX56" i="20"/>
  <c r="EV56" i="20"/>
  <c r="EU56" i="20"/>
  <c r="ET56" i="20"/>
  <c r="ES56" i="20"/>
  <c r="ER56" i="20"/>
  <c r="EQ56" i="20"/>
  <c r="EO56" i="20"/>
  <c r="EN56" i="20"/>
  <c r="EM56" i="20"/>
  <c r="EL56" i="20"/>
  <c r="EK56" i="20"/>
  <c r="EJ56" i="20"/>
  <c r="EI56" i="20"/>
  <c r="EH56" i="20"/>
  <c r="EG56" i="20"/>
  <c r="EF56" i="20"/>
  <c r="EE56" i="20"/>
  <c r="ED56" i="20"/>
  <c r="EC56" i="20"/>
  <c r="EB56" i="20"/>
  <c r="EA56" i="20"/>
  <c r="DZ56" i="20"/>
  <c r="DY56" i="20"/>
  <c r="DX56" i="20"/>
  <c r="DW56" i="20"/>
  <c r="DU56" i="20"/>
  <c r="DT56" i="20"/>
  <c r="DS56" i="20"/>
  <c r="DR56" i="20"/>
  <c r="DQ56" i="20"/>
  <c r="DP56" i="20"/>
  <c r="DO56" i="20"/>
  <c r="DN56" i="20"/>
  <c r="DM56" i="20"/>
  <c r="DL56" i="20"/>
  <c r="DK56" i="20"/>
  <c r="DJ56" i="20"/>
  <c r="DI56" i="20"/>
  <c r="DH56" i="20"/>
  <c r="DG56" i="20"/>
  <c r="DF56" i="20"/>
  <c r="DE56" i="20"/>
  <c r="DD56" i="20"/>
  <c r="DC56" i="20"/>
  <c r="DB56" i="20"/>
  <c r="DA56" i="20"/>
  <c r="CY56" i="20"/>
  <c r="CX56" i="20"/>
  <c r="CV56" i="20"/>
  <c r="CU56" i="20"/>
  <c r="CS56" i="20"/>
  <c r="CR56" i="20"/>
  <c r="CQ56" i="20"/>
  <c r="CP56" i="20"/>
  <c r="CO56" i="20"/>
  <c r="CN56" i="20"/>
  <c r="CM56" i="20"/>
  <c r="CL56" i="20"/>
  <c r="CK56" i="20"/>
  <c r="CI56" i="20"/>
  <c r="CH56" i="20"/>
  <c r="CG56" i="20"/>
  <c r="CF56" i="20"/>
  <c r="CE56" i="20"/>
  <c r="CD56" i="20"/>
  <c r="CC56" i="20"/>
  <c r="CB56" i="20"/>
  <c r="CA56" i="20"/>
  <c r="BZ56" i="20"/>
  <c r="BY56" i="20"/>
  <c r="BX56" i="20"/>
  <c r="BW56" i="20"/>
  <c r="BV56" i="20"/>
  <c r="BU56" i="20"/>
  <c r="BT56" i="20"/>
  <c r="BS56" i="20"/>
  <c r="BR56" i="20"/>
  <c r="BQ56" i="20"/>
  <c r="BN56" i="20"/>
  <c r="BM56" i="20"/>
  <c r="BL56" i="20"/>
  <c r="BK56" i="20"/>
  <c r="BJ56" i="20"/>
  <c r="BI56" i="20"/>
  <c r="BH56" i="20"/>
  <c r="BG56" i="20"/>
  <c r="BF56" i="20"/>
  <c r="BE56" i="20"/>
  <c r="BD56" i="20"/>
  <c r="BC56" i="20"/>
  <c r="BB56" i="20"/>
  <c r="BA56" i="20"/>
  <c r="AZ56" i="20"/>
  <c r="AY56" i="20"/>
  <c r="AX56" i="20"/>
  <c r="AW56" i="20"/>
  <c r="AV56" i="20"/>
  <c r="AU56" i="20"/>
  <c r="AT56" i="20"/>
  <c r="AS56" i="20"/>
  <c r="AR56" i="20"/>
  <c r="AQ56" i="20"/>
  <c r="AP56" i="20"/>
  <c r="AO56" i="20"/>
  <c r="AN56" i="20"/>
  <c r="AM56" i="20"/>
  <c r="AK56" i="20"/>
  <c r="AJ56" i="20"/>
  <c r="AI56" i="20"/>
  <c r="AG56" i="20"/>
  <c r="AF56" i="20"/>
  <c r="AE56" i="20"/>
  <c r="AD56" i="20"/>
  <c r="AC56" i="20"/>
  <c r="AB56" i="20"/>
  <c r="AA56" i="20"/>
  <c r="Z56" i="20"/>
  <c r="Y56" i="20"/>
  <c r="X56" i="20"/>
  <c r="W56" i="20"/>
  <c r="V56" i="20"/>
  <c r="U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F56" i="20"/>
  <c r="E56" i="20"/>
  <c r="C56" i="20"/>
  <c r="GI55" i="20"/>
  <c r="GD55" i="20"/>
  <c r="GC55" i="20"/>
  <c r="GB55" i="20"/>
  <c r="GA55" i="20"/>
  <c r="FZ55" i="20"/>
  <c r="FY55" i="20"/>
  <c r="FW55" i="20"/>
  <c r="FM55" i="20"/>
  <c r="FL55" i="20"/>
  <c r="FK55" i="20"/>
  <c r="FJ55" i="20"/>
  <c r="FH55" i="20"/>
  <c r="FF55" i="20"/>
  <c r="FE55" i="20"/>
  <c r="FD55" i="20"/>
  <c r="FC55" i="20"/>
  <c r="FB55" i="20"/>
  <c r="FA55" i="20"/>
  <c r="EZ55" i="20"/>
  <c r="EY55" i="20"/>
  <c r="EX55" i="20"/>
  <c r="EV55" i="20"/>
  <c r="EU55" i="20"/>
  <c r="ET55" i="20"/>
  <c r="ES55" i="20"/>
  <c r="ER55" i="20"/>
  <c r="EQ55" i="20"/>
  <c r="EO55" i="20"/>
  <c r="EN55" i="20"/>
  <c r="EM55" i="20"/>
  <c r="EL55" i="20"/>
  <c r="EK55" i="20"/>
  <c r="EJ55" i="20"/>
  <c r="EI55" i="20"/>
  <c r="EH55" i="20"/>
  <c r="EG55" i="20"/>
  <c r="EF55" i="20"/>
  <c r="EE55" i="20"/>
  <c r="ED55" i="20"/>
  <c r="EC55" i="20"/>
  <c r="EB55" i="20"/>
  <c r="EA55" i="20"/>
  <c r="DZ55" i="20"/>
  <c r="DY55" i="20"/>
  <c r="DX55" i="20"/>
  <c r="DW55" i="20"/>
  <c r="DU55" i="20"/>
  <c r="DT55" i="20"/>
  <c r="DS55" i="20"/>
  <c r="DR55" i="20"/>
  <c r="DQ55" i="20"/>
  <c r="DP55" i="20"/>
  <c r="DO55" i="20"/>
  <c r="DN55" i="20"/>
  <c r="DM55" i="20"/>
  <c r="DL55" i="20"/>
  <c r="DK55" i="20"/>
  <c r="DJ55" i="20"/>
  <c r="DI55" i="20"/>
  <c r="DH55" i="20"/>
  <c r="DG55" i="20"/>
  <c r="DF55" i="20"/>
  <c r="DE55" i="20"/>
  <c r="DD55" i="20"/>
  <c r="DC55" i="20"/>
  <c r="DB55" i="20"/>
  <c r="DA55" i="20"/>
  <c r="CY55" i="20"/>
  <c r="CX55" i="20"/>
  <c r="CV55" i="20"/>
  <c r="CU55" i="20"/>
  <c r="CS55" i="20"/>
  <c r="CR55" i="20"/>
  <c r="CQ55" i="20"/>
  <c r="CP55" i="20"/>
  <c r="CO55" i="20"/>
  <c r="CN55" i="20"/>
  <c r="CM55" i="20"/>
  <c r="CL55" i="20"/>
  <c r="CK55" i="20"/>
  <c r="CI55" i="20"/>
  <c r="CH55" i="20"/>
  <c r="CG55" i="20"/>
  <c r="CF55" i="20"/>
  <c r="CE55" i="20"/>
  <c r="CD55" i="20"/>
  <c r="CC55" i="20"/>
  <c r="CB55" i="20"/>
  <c r="CA55" i="20"/>
  <c r="BZ55" i="20"/>
  <c r="BY55" i="20"/>
  <c r="BX55" i="20"/>
  <c r="BW55" i="20"/>
  <c r="BV55" i="20"/>
  <c r="BU55" i="20"/>
  <c r="BT55" i="20"/>
  <c r="BS55" i="20"/>
  <c r="BR55" i="20"/>
  <c r="BQ55" i="20"/>
  <c r="BN55" i="20"/>
  <c r="BM55" i="20"/>
  <c r="BL55" i="20"/>
  <c r="BK55" i="20"/>
  <c r="BJ55" i="20"/>
  <c r="BI55" i="20"/>
  <c r="BH55" i="20"/>
  <c r="BG55" i="20"/>
  <c r="BF55" i="20"/>
  <c r="BE55" i="20"/>
  <c r="BD55" i="20"/>
  <c r="BC55" i="20"/>
  <c r="BB55" i="20"/>
  <c r="BA55" i="20"/>
  <c r="AZ55" i="20"/>
  <c r="AY55" i="20"/>
  <c r="AX55" i="20"/>
  <c r="AW55" i="20"/>
  <c r="AV55" i="20"/>
  <c r="AU55" i="20"/>
  <c r="AT55" i="20"/>
  <c r="AS55" i="20"/>
  <c r="AR55" i="20"/>
  <c r="AQ55" i="20"/>
  <c r="AP55" i="20"/>
  <c r="AO55" i="20"/>
  <c r="AN55" i="20"/>
  <c r="AM55" i="20"/>
  <c r="AK55" i="20"/>
  <c r="AJ55" i="20"/>
  <c r="AI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F55" i="20"/>
  <c r="E55" i="20"/>
  <c r="C55" i="20"/>
  <c r="GI54" i="20"/>
  <c r="GD54" i="20"/>
  <c r="GC54" i="20"/>
  <c r="GB54" i="20"/>
  <c r="GA54" i="20"/>
  <c r="FZ54" i="20"/>
  <c r="FY54" i="20"/>
  <c r="FW54" i="20"/>
  <c r="FM54" i="20"/>
  <c r="FL54" i="20"/>
  <c r="FK54" i="20"/>
  <c r="FJ54" i="20"/>
  <c r="FH54" i="20"/>
  <c r="FF54" i="20"/>
  <c r="FE54" i="20"/>
  <c r="FD54" i="20"/>
  <c r="FC54" i="20"/>
  <c r="FB54" i="20"/>
  <c r="FA54" i="20"/>
  <c r="EZ54" i="20"/>
  <c r="EY54" i="20"/>
  <c r="EX54" i="20"/>
  <c r="EV54" i="20"/>
  <c r="EU54" i="20"/>
  <c r="ET54" i="20"/>
  <c r="ES54" i="20"/>
  <c r="ER54" i="20"/>
  <c r="EQ54" i="20"/>
  <c r="EO54" i="20"/>
  <c r="EN54" i="20"/>
  <c r="EM54" i="20"/>
  <c r="EL54" i="20"/>
  <c r="EK54" i="20"/>
  <c r="EJ54" i="20"/>
  <c r="EI54" i="20"/>
  <c r="EH54" i="20"/>
  <c r="EG54" i="20"/>
  <c r="EF54" i="20"/>
  <c r="EE54" i="20"/>
  <c r="ED54" i="20"/>
  <c r="EC54" i="20"/>
  <c r="EB54" i="20"/>
  <c r="EA54" i="20"/>
  <c r="DZ54" i="20"/>
  <c r="DY54" i="20"/>
  <c r="DX54" i="20"/>
  <c r="DW54" i="20"/>
  <c r="DU54" i="20"/>
  <c r="DT54" i="20"/>
  <c r="DS54" i="20"/>
  <c r="DR54" i="20"/>
  <c r="DQ54" i="20"/>
  <c r="DP54" i="20"/>
  <c r="DO54" i="20"/>
  <c r="DN54" i="20"/>
  <c r="DM54" i="20"/>
  <c r="DL54" i="20"/>
  <c r="DK54" i="20"/>
  <c r="DJ54" i="20"/>
  <c r="DI54" i="20"/>
  <c r="DH54" i="20"/>
  <c r="DG54" i="20"/>
  <c r="DF54" i="20"/>
  <c r="DE54" i="20"/>
  <c r="DD54" i="20"/>
  <c r="DC54" i="20"/>
  <c r="DB54" i="20"/>
  <c r="DA54" i="20"/>
  <c r="CY54" i="20"/>
  <c r="CX54" i="20"/>
  <c r="CV54" i="20"/>
  <c r="CU54" i="20"/>
  <c r="CS54" i="20"/>
  <c r="CR54" i="20"/>
  <c r="CQ54" i="20"/>
  <c r="CP54" i="20"/>
  <c r="CO54" i="20"/>
  <c r="CN54" i="20"/>
  <c r="CM54" i="20"/>
  <c r="CL54" i="20"/>
  <c r="CK54" i="20"/>
  <c r="CI54" i="20"/>
  <c r="CH54" i="20"/>
  <c r="CG54" i="20"/>
  <c r="CF54" i="20"/>
  <c r="CE54" i="20"/>
  <c r="CD54" i="20"/>
  <c r="CC54" i="20"/>
  <c r="CB54" i="20"/>
  <c r="CA54" i="20"/>
  <c r="BZ54" i="20"/>
  <c r="BY54" i="20"/>
  <c r="BX54" i="20"/>
  <c r="BW54" i="20"/>
  <c r="BV54" i="20"/>
  <c r="BU54" i="20"/>
  <c r="BT54" i="20"/>
  <c r="BS54" i="20"/>
  <c r="BR54" i="20"/>
  <c r="BQ54" i="20"/>
  <c r="BN54" i="20"/>
  <c r="BM54" i="20"/>
  <c r="BL54" i="20"/>
  <c r="BK54" i="20"/>
  <c r="BJ54" i="20"/>
  <c r="BI54" i="20"/>
  <c r="BH54" i="20"/>
  <c r="BG54" i="20"/>
  <c r="BF54" i="20"/>
  <c r="BE54" i="20"/>
  <c r="BD54" i="20"/>
  <c r="BC54" i="20"/>
  <c r="BB54" i="20"/>
  <c r="BA54" i="20"/>
  <c r="AZ54" i="20"/>
  <c r="AY54" i="20"/>
  <c r="AX54" i="20"/>
  <c r="AW54" i="20"/>
  <c r="AV54" i="20"/>
  <c r="AU54" i="20"/>
  <c r="AT54" i="20"/>
  <c r="AS54" i="20"/>
  <c r="AR54" i="20"/>
  <c r="AQ54" i="20"/>
  <c r="AP54" i="20"/>
  <c r="AO54" i="20"/>
  <c r="AN54" i="20"/>
  <c r="AM54" i="20"/>
  <c r="AK54" i="20"/>
  <c r="AJ54" i="20"/>
  <c r="AI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F54" i="20"/>
  <c r="E54" i="20"/>
  <c r="C54" i="20"/>
  <c r="FK52" i="20"/>
  <c r="EI52" i="20"/>
  <c r="FK51" i="20"/>
  <c r="FJ51" i="20"/>
  <c r="FJ52" i="20" s="1"/>
  <c r="GE49" i="20" s="1"/>
  <c r="EI51" i="20"/>
  <c r="FX49" i="20"/>
  <c r="FV49" i="20"/>
  <c r="FI49" i="20"/>
  <c r="FG49" i="20"/>
  <c r="EW49" i="20"/>
  <c r="DV49" i="20"/>
  <c r="CZ49" i="20"/>
  <c r="CW49" i="20"/>
  <c r="CT49" i="20"/>
  <c r="CT56" i="20" s="1"/>
  <c r="CJ49" i="20"/>
  <c r="BP49" i="20"/>
  <c r="BO49" i="20" s="1"/>
  <c r="AL49" i="20"/>
  <c r="AH49" i="20"/>
  <c r="T49" i="20"/>
  <c r="EP49" i="20" s="1"/>
  <c r="G49" i="20"/>
  <c r="D49" i="20"/>
  <c r="D56" i="20" s="1"/>
  <c r="FX48" i="20"/>
  <c r="FV48" i="20"/>
  <c r="FI48" i="20"/>
  <c r="EW48" i="20"/>
  <c r="FG48" i="20" s="1"/>
  <c r="FG55" i="20" s="1"/>
  <c r="EP48" i="20"/>
  <c r="DV48" i="20"/>
  <c r="DV55" i="20" s="1"/>
  <c r="CZ48" i="20"/>
  <c r="CZ55" i="20" s="1"/>
  <c r="CW48" i="20"/>
  <c r="CW55" i="20" s="1"/>
  <c r="CT48" i="20"/>
  <c r="CT55" i="20" s="1"/>
  <c r="CJ48" i="20"/>
  <c r="CJ55" i="20" s="1"/>
  <c r="BP48" i="20"/>
  <c r="BO48" i="20"/>
  <c r="BO55" i="20" s="1"/>
  <c r="AL48" i="20"/>
  <c r="AL55" i="20" s="1"/>
  <c r="AH48" i="20"/>
  <c r="AH55" i="20" s="1"/>
  <c r="T48" i="20"/>
  <c r="G48" i="20"/>
  <c r="G55" i="20" s="1"/>
  <c r="D48" i="20"/>
  <c r="FX47" i="20"/>
  <c r="FV47" i="20"/>
  <c r="FI47" i="20"/>
  <c r="EW47" i="20"/>
  <c r="FG47" i="20" s="1"/>
  <c r="DV47" i="20"/>
  <c r="CZ47" i="20"/>
  <c r="CW47" i="20"/>
  <c r="CT47" i="20"/>
  <c r="CJ47" i="20"/>
  <c r="BP47" i="20"/>
  <c r="BO47" i="20"/>
  <c r="AL47" i="20"/>
  <c r="AH47" i="20"/>
  <c r="T47" i="20"/>
  <c r="EP47" i="20" s="1"/>
  <c r="G47" i="20"/>
  <c r="D47" i="20"/>
  <c r="FX46" i="20"/>
  <c r="FV46" i="20"/>
  <c r="FI46" i="20"/>
  <c r="EW46" i="20"/>
  <c r="FG46" i="20" s="1"/>
  <c r="EP46" i="20"/>
  <c r="DV46" i="20"/>
  <c r="CZ46" i="20"/>
  <c r="CW46" i="20"/>
  <c r="CT46" i="20"/>
  <c r="CJ46" i="20"/>
  <c r="BP46" i="20"/>
  <c r="BO46" i="20"/>
  <c r="AL46" i="20"/>
  <c r="AH46" i="20"/>
  <c r="T46" i="20"/>
  <c r="G46" i="20"/>
  <c r="D46" i="20"/>
  <c r="GE45" i="20"/>
  <c r="FX45" i="20"/>
  <c r="FV45" i="20"/>
  <c r="FI45" i="20"/>
  <c r="FG45" i="20"/>
  <c r="EW45" i="20"/>
  <c r="DV45" i="20"/>
  <c r="CZ45" i="20"/>
  <c r="CW45" i="20"/>
  <c r="CT45" i="20"/>
  <c r="CJ45" i="20"/>
  <c r="BP45" i="20"/>
  <c r="BO45" i="20" s="1"/>
  <c r="AL45" i="20"/>
  <c r="AH45" i="20"/>
  <c r="T45" i="20"/>
  <c r="EP45" i="20" s="1"/>
  <c r="G45" i="20"/>
  <c r="D45" i="20"/>
  <c r="FX44" i="20"/>
  <c r="FV44" i="20"/>
  <c r="FI44" i="20"/>
  <c r="FG44" i="20"/>
  <c r="EW44" i="20"/>
  <c r="EP44" i="20"/>
  <c r="DV44" i="20"/>
  <c r="CZ44" i="20"/>
  <c r="CW44" i="20"/>
  <c r="CT44" i="20"/>
  <c r="CJ44" i="20"/>
  <c r="BP44" i="20"/>
  <c r="BO44" i="20" s="1"/>
  <c r="AL44" i="20"/>
  <c r="AH44" i="20"/>
  <c r="T44" i="20"/>
  <c r="G44" i="20"/>
  <c r="D44" i="20"/>
  <c r="FX43" i="20"/>
  <c r="FV43" i="20"/>
  <c r="FI43" i="20"/>
  <c r="FG43" i="20"/>
  <c r="EW43" i="20"/>
  <c r="DV43" i="20"/>
  <c r="CZ43" i="20"/>
  <c r="CW43" i="20"/>
  <c r="CT43" i="20"/>
  <c r="CJ43" i="20"/>
  <c r="BP43" i="20"/>
  <c r="BO43" i="20" s="1"/>
  <c r="AL43" i="20"/>
  <c r="AH43" i="20"/>
  <c r="T43" i="20"/>
  <c r="G43" i="20"/>
  <c r="D43" i="20"/>
  <c r="GE42" i="20"/>
  <c r="FX42" i="20"/>
  <c r="FV42" i="20"/>
  <c r="FI42" i="20"/>
  <c r="FG42" i="20"/>
  <c r="EW42" i="20"/>
  <c r="DV42" i="20"/>
  <c r="CZ42" i="20"/>
  <c r="CW42" i="20"/>
  <c r="CT42" i="20"/>
  <c r="CJ42" i="20"/>
  <c r="BP42" i="20"/>
  <c r="BO42" i="20" s="1"/>
  <c r="AL42" i="20"/>
  <c r="AH42" i="20"/>
  <c r="T42" i="20"/>
  <c r="EP42" i="20" s="1"/>
  <c r="G42" i="20"/>
  <c r="D42" i="20"/>
  <c r="FX41" i="20"/>
  <c r="FV41" i="20"/>
  <c r="FI41" i="20"/>
  <c r="EW41" i="20"/>
  <c r="FG41" i="20" s="1"/>
  <c r="EP41" i="20"/>
  <c r="DV41" i="20"/>
  <c r="CZ41" i="20"/>
  <c r="CW41" i="20"/>
  <c r="CT41" i="20"/>
  <c r="CJ41" i="20"/>
  <c r="BP41" i="20"/>
  <c r="BO41" i="20"/>
  <c r="AL41" i="20"/>
  <c r="AH41" i="20"/>
  <c r="T41" i="20"/>
  <c r="G41" i="20"/>
  <c r="D41" i="20"/>
  <c r="FX40" i="20"/>
  <c r="FV40" i="20"/>
  <c r="FI40" i="20"/>
  <c r="EW40" i="20"/>
  <c r="FG40" i="20" s="1"/>
  <c r="DV40" i="20"/>
  <c r="CZ40" i="20"/>
  <c r="CW40" i="20"/>
  <c r="CT40" i="20"/>
  <c r="CJ40" i="20"/>
  <c r="BP40" i="20"/>
  <c r="BP55" i="20" s="1"/>
  <c r="BO40" i="20"/>
  <c r="AL40" i="20"/>
  <c r="AH40" i="20"/>
  <c r="T40" i="20"/>
  <c r="EP40" i="20" s="1"/>
  <c r="G40" i="20"/>
  <c r="D40" i="20"/>
  <c r="FX39" i="20"/>
  <c r="FV39" i="20"/>
  <c r="FI39" i="20"/>
  <c r="EW39" i="20"/>
  <c r="FG39" i="20" s="1"/>
  <c r="EP39" i="20"/>
  <c r="DV39" i="20"/>
  <c r="CZ39" i="20"/>
  <c r="CW39" i="20"/>
  <c r="CT39" i="20"/>
  <c r="CJ39" i="20"/>
  <c r="BP39" i="20"/>
  <c r="BO39" i="20"/>
  <c r="AL39" i="20"/>
  <c r="AH39" i="20"/>
  <c r="T39" i="20"/>
  <c r="G39" i="20"/>
  <c r="D39" i="20"/>
  <c r="D55" i="20" s="1"/>
  <c r="FX38" i="20"/>
  <c r="FV38" i="20"/>
  <c r="FI38" i="20"/>
  <c r="FI55" i="20" s="1"/>
  <c r="FG38" i="20"/>
  <c r="EW38" i="20"/>
  <c r="DV38" i="20"/>
  <c r="CZ38" i="20"/>
  <c r="CW38" i="20"/>
  <c r="CT38" i="20"/>
  <c r="CJ38" i="20"/>
  <c r="BP38" i="20"/>
  <c r="BO38" i="20" s="1"/>
  <c r="AL38" i="20"/>
  <c r="AH38" i="20"/>
  <c r="T38" i="20"/>
  <c r="EP38" i="20" s="1"/>
  <c r="G38" i="20"/>
  <c r="D38" i="20"/>
  <c r="GE37" i="20"/>
  <c r="FX37" i="20"/>
  <c r="FV37" i="20"/>
  <c r="FI37" i="20"/>
  <c r="FI54" i="20" s="1"/>
  <c r="FG37" i="20"/>
  <c r="EW37" i="20"/>
  <c r="EW54" i="20" s="1"/>
  <c r="EP37" i="20"/>
  <c r="DV37" i="20"/>
  <c r="DV54" i="20" s="1"/>
  <c r="CZ37" i="20"/>
  <c r="CZ56" i="20" s="1"/>
  <c r="CW37" i="20"/>
  <c r="CW54" i="20" s="1"/>
  <c r="CT37" i="20"/>
  <c r="CJ37" i="20"/>
  <c r="CJ56" i="20" s="1"/>
  <c r="BP37" i="20"/>
  <c r="BP54" i="20" s="1"/>
  <c r="AL37" i="20"/>
  <c r="AL54" i="20" s="1"/>
  <c r="AH37" i="20"/>
  <c r="T37" i="20"/>
  <c r="T56" i="20" s="1"/>
  <c r="G37" i="20"/>
  <c r="G54" i="20" s="1"/>
  <c r="D37" i="20"/>
  <c r="GE36" i="20"/>
  <c r="FX36" i="20"/>
  <c r="FV36" i="20"/>
  <c r="FI36" i="20"/>
  <c r="EW36" i="20"/>
  <c r="FG36" i="20" s="1"/>
  <c r="EP36" i="20"/>
  <c r="DV36" i="20"/>
  <c r="CZ36" i="20"/>
  <c r="CW36" i="20"/>
  <c r="CT36" i="20"/>
  <c r="CJ36" i="20"/>
  <c r="BP36" i="20"/>
  <c r="BO36" i="20"/>
  <c r="AL36" i="20"/>
  <c r="AH36" i="20"/>
  <c r="T36" i="20"/>
  <c r="G36" i="20"/>
  <c r="D36" i="20"/>
  <c r="GE35" i="20"/>
  <c r="FX35" i="20"/>
  <c r="FV35" i="20"/>
  <c r="FI35" i="20"/>
  <c r="FG35" i="20"/>
  <c r="EW35" i="20"/>
  <c r="DV35" i="20"/>
  <c r="CZ35" i="20"/>
  <c r="CW35" i="20"/>
  <c r="CT35" i="20"/>
  <c r="CJ35" i="20"/>
  <c r="BP35" i="20"/>
  <c r="BO35" i="20" s="1"/>
  <c r="AL35" i="20"/>
  <c r="AH35" i="20"/>
  <c r="T35" i="20"/>
  <c r="EP35" i="20" s="1"/>
  <c r="G35" i="20"/>
  <c r="D35" i="20"/>
  <c r="GE34" i="20"/>
  <c r="FX34" i="20"/>
  <c r="FV34" i="20"/>
  <c r="FI34" i="20"/>
  <c r="EW34" i="20"/>
  <c r="FG34" i="20" s="1"/>
  <c r="DV34" i="20"/>
  <c r="CZ34" i="20"/>
  <c r="CW34" i="20"/>
  <c r="CT34" i="20"/>
  <c r="CJ34" i="20"/>
  <c r="BP34" i="20"/>
  <c r="BO34" i="20"/>
  <c r="AL34" i="20"/>
  <c r="AH34" i="20"/>
  <c r="T34" i="20"/>
  <c r="EP34" i="20" s="1"/>
  <c r="G34" i="20"/>
  <c r="D34" i="20"/>
  <c r="GE33" i="20"/>
  <c r="FX33" i="20"/>
  <c r="FV33" i="20"/>
  <c r="FI33" i="20"/>
  <c r="FG33" i="20"/>
  <c r="EW33" i="20"/>
  <c r="DV33" i="20"/>
  <c r="CZ33" i="20"/>
  <c r="CW33" i="20"/>
  <c r="CT33" i="20"/>
  <c r="CJ33" i="20"/>
  <c r="BP33" i="20"/>
  <c r="BO33" i="20" s="1"/>
  <c r="AL33" i="20"/>
  <c r="AH33" i="20"/>
  <c r="T33" i="20"/>
  <c r="EP33" i="20" s="1"/>
  <c r="G33" i="20"/>
  <c r="D33" i="20"/>
  <c r="GE32" i="20"/>
  <c r="FX32" i="20"/>
  <c r="FV32" i="20"/>
  <c r="FI32" i="20"/>
  <c r="EW32" i="20"/>
  <c r="FG32" i="20" s="1"/>
  <c r="EP32" i="20"/>
  <c r="DV32" i="20"/>
  <c r="CZ32" i="20"/>
  <c r="CW32" i="20"/>
  <c r="CT32" i="20"/>
  <c r="CJ32" i="20"/>
  <c r="BP32" i="20"/>
  <c r="BO32" i="20"/>
  <c r="AL32" i="20"/>
  <c r="AH32" i="20"/>
  <c r="T32" i="20"/>
  <c r="G32" i="20"/>
  <c r="D32" i="20"/>
  <c r="GE31" i="20"/>
  <c r="FX31" i="20"/>
  <c r="FV31" i="20"/>
  <c r="FI31" i="20"/>
  <c r="FG31" i="20"/>
  <c r="EW31" i="20"/>
  <c r="DV31" i="20"/>
  <c r="CZ31" i="20"/>
  <c r="CW31" i="20"/>
  <c r="CT31" i="20"/>
  <c r="CJ31" i="20"/>
  <c r="BP31" i="20"/>
  <c r="BO31" i="20" s="1"/>
  <c r="AL31" i="20"/>
  <c r="AH31" i="20"/>
  <c r="T31" i="20"/>
  <c r="G31" i="20"/>
  <c r="D31" i="20"/>
  <c r="GE30" i="20"/>
  <c r="FX30" i="20"/>
  <c r="FV30" i="20"/>
  <c r="FI30" i="20"/>
  <c r="FG30" i="20"/>
  <c r="EW30" i="20"/>
  <c r="DV30" i="20"/>
  <c r="CZ30" i="20"/>
  <c r="CW30" i="20"/>
  <c r="CT30" i="20"/>
  <c r="CJ30" i="20"/>
  <c r="BP30" i="20"/>
  <c r="BO30" i="20" s="1"/>
  <c r="AL30" i="20"/>
  <c r="AH30" i="20"/>
  <c r="T30" i="20"/>
  <c r="EP30" i="20" s="1"/>
  <c r="G30" i="20"/>
  <c r="D30" i="20"/>
  <c r="GE29" i="20"/>
  <c r="FX29" i="20"/>
  <c r="FV29" i="20"/>
  <c r="FI29" i="20"/>
  <c r="FG29" i="20"/>
  <c r="EW29" i="20"/>
  <c r="EP29" i="20"/>
  <c r="DV29" i="20"/>
  <c r="CZ29" i="20"/>
  <c r="CW29" i="20"/>
  <c r="CT29" i="20"/>
  <c r="CJ29" i="20"/>
  <c r="BP29" i="20"/>
  <c r="BO29" i="20" s="1"/>
  <c r="AL29" i="20"/>
  <c r="AH29" i="20"/>
  <c r="T29" i="20"/>
  <c r="G29" i="20"/>
  <c r="D29" i="20"/>
  <c r="GE28" i="20"/>
  <c r="FX28" i="20"/>
  <c r="FV28" i="20"/>
  <c r="FI28" i="20"/>
  <c r="EW28" i="20"/>
  <c r="FG28" i="20" s="1"/>
  <c r="EP28" i="20"/>
  <c r="DV28" i="20"/>
  <c r="CZ28" i="20"/>
  <c r="CW28" i="20"/>
  <c r="CT28" i="20"/>
  <c r="CJ28" i="20"/>
  <c r="BP28" i="20"/>
  <c r="BO28" i="20"/>
  <c r="AL28" i="20"/>
  <c r="AH28" i="20"/>
  <c r="T28" i="20"/>
  <c r="G28" i="20"/>
  <c r="D28" i="20"/>
  <c r="GE27" i="20"/>
  <c r="FX27" i="20"/>
  <c r="FV27" i="20"/>
  <c r="FI27" i="20"/>
  <c r="FG27" i="20"/>
  <c r="EW27" i="20"/>
  <c r="DV27" i="20"/>
  <c r="CZ27" i="20"/>
  <c r="CW27" i="20"/>
  <c r="CT27" i="20"/>
  <c r="CJ27" i="20"/>
  <c r="BP27" i="20"/>
  <c r="BO27" i="20" s="1"/>
  <c r="AL27" i="20"/>
  <c r="AH27" i="20"/>
  <c r="T27" i="20"/>
  <c r="EP27" i="20" s="1"/>
  <c r="G27" i="20"/>
  <c r="D27" i="20"/>
  <c r="GE26" i="20"/>
  <c r="FX26" i="20"/>
  <c r="FV26" i="20"/>
  <c r="FI26" i="20"/>
  <c r="EW26" i="20"/>
  <c r="FG26" i="20" s="1"/>
  <c r="DV26" i="20"/>
  <c r="CZ26" i="20"/>
  <c r="CW26" i="20"/>
  <c r="CT26" i="20"/>
  <c r="CJ26" i="20"/>
  <c r="BP26" i="20"/>
  <c r="BO26" i="20"/>
  <c r="AL26" i="20"/>
  <c r="AH26" i="20"/>
  <c r="T26" i="20"/>
  <c r="EP26" i="20" s="1"/>
  <c r="G26" i="20"/>
  <c r="D26" i="20"/>
  <c r="GE25" i="20"/>
  <c r="FX25" i="20"/>
  <c r="FV25" i="20"/>
  <c r="FI25" i="20"/>
  <c r="FG25" i="20"/>
  <c r="EW25" i="20"/>
  <c r="DV25" i="20"/>
  <c r="CZ25" i="20"/>
  <c r="CW25" i="20"/>
  <c r="CT25" i="20"/>
  <c r="CJ25" i="20"/>
  <c r="BP25" i="20"/>
  <c r="BO25" i="20" s="1"/>
  <c r="AL25" i="20"/>
  <c r="AH25" i="20"/>
  <c r="T25" i="20"/>
  <c r="EP25" i="20" s="1"/>
  <c r="G25" i="20"/>
  <c r="D25" i="20"/>
  <c r="GE24" i="20"/>
  <c r="FX24" i="20"/>
  <c r="FV24" i="20"/>
  <c r="FI24" i="20"/>
  <c r="EW24" i="20"/>
  <c r="FG24" i="20" s="1"/>
  <c r="EP24" i="20"/>
  <c r="DV24" i="20"/>
  <c r="CZ24" i="20"/>
  <c r="CW24" i="20"/>
  <c r="CT24" i="20"/>
  <c r="CJ24" i="20"/>
  <c r="BP24" i="20"/>
  <c r="BO24" i="20"/>
  <c r="AL24" i="20"/>
  <c r="AH24" i="20"/>
  <c r="T24" i="20"/>
  <c r="G24" i="20"/>
  <c r="D24" i="20"/>
  <c r="GE23" i="20"/>
  <c r="FX23" i="20"/>
  <c r="FV23" i="20"/>
  <c r="FI23" i="20"/>
  <c r="FG23" i="20"/>
  <c r="EW23" i="20"/>
  <c r="DV23" i="20"/>
  <c r="CZ23" i="20"/>
  <c r="CW23" i="20"/>
  <c r="CT23" i="20"/>
  <c r="CJ23" i="20"/>
  <c r="BP23" i="20"/>
  <c r="BO23" i="20" s="1"/>
  <c r="AL23" i="20"/>
  <c r="AH23" i="20"/>
  <c r="T23" i="20"/>
  <c r="G23" i="20"/>
  <c r="D23" i="20"/>
  <c r="GE22" i="20"/>
  <c r="FX22" i="20"/>
  <c r="FV22" i="20"/>
  <c r="FI22" i="20"/>
  <c r="FG22" i="20"/>
  <c r="EW22" i="20"/>
  <c r="DV22" i="20"/>
  <c r="CZ22" i="20"/>
  <c r="CW22" i="20"/>
  <c r="CT22" i="20"/>
  <c r="CJ22" i="20"/>
  <c r="BP22" i="20"/>
  <c r="BO22" i="20" s="1"/>
  <c r="AL22" i="20"/>
  <c r="AH22" i="20"/>
  <c r="T22" i="20"/>
  <c r="EP22" i="20" s="1"/>
  <c r="G22" i="20"/>
  <c r="D22" i="20"/>
  <c r="GE21" i="20"/>
  <c r="FX21" i="20"/>
  <c r="FV21" i="20"/>
  <c r="FI21" i="20"/>
  <c r="FG21" i="20"/>
  <c r="EW21" i="20"/>
  <c r="EP21" i="20"/>
  <c r="DV21" i="20"/>
  <c r="CZ21" i="20"/>
  <c r="CW21" i="20"/>
  <c r="CT21" i="20"/>
  <c r="CJ21" i="20"/>
  <c r="BP21" i="20"/>
  <c r="BO21" i="20" s="1"/>
  <c r="AL21" i="20"/>
  <c r="AH21" i="20"/>
  <c r="T21" i="20"/>
  <c r="G21" i="20"/>
  <c r="D21" i="20"/>
  <c r="GE20" i="20"/>
  <c r="FX20" i="20"/>
  <c r="FV20" i="20"/>
  <c r="FI20" i="20"/>
  <c r="EW20" i="20"/>
  <c r="FG20" i="20" s="1"/>
  <c r="EP20" i="20"/>
  <c r="DV20" i="20"/>
  <c r="CZ20" i="20"/>
  <c r="CW20" i="20"/>
  <c r="CT20" i="20"/>
  <c r="CJ20" i="20"/>
  <c r="BP20" i="20"/>
  <c r="BO20" i="20"/>
  <c r="AL20" i="20"/>
  <c r="AH20" i="20"/>
  <c r="T20" i="20"/>
  <c r="G20" i="20"/>
  <c r="D20" i="20"/>
  <c r="GE19" i="20"/>
  <c r="FX19" i="20"/>
  <c r="FV19" i="20"/>
  <c r="FI19" i="20"/>
  <c r="FG19" i="20"/>
  <c r="EW19" i="20"/>
  <c r="DV19" i="20"/>
  <c r="CZ19" i="20"/>
  <c r="CW19" i="20"/>
  <c r="CT19" i="20"/>
  <c r="CJ19" i="20"/>
  <c r="BP19" i="20"/>
  <c r="BO19" i="20" s="1"/>
  <c r="AL19" i="20"/>
  <c r="AH19" i="20"/>
  <c r="T19" i="20"/>
  <c r="EP19" i="20" s="1"/>
  <c r="G19" i="20"/>
  <c r="D19" i="20"/>
  <c r="GE18" i="20"/>
  <c r="FX18" i="20"/>
  <c r="FV18" i="20"/>
  <c r="FI18" i="20"/>
  <c r="EW18" i="20"/>
  <c r="FG18" i="20" s="1"/>
  <c r="DV18" i="20"/>
  <c r="CZ18" i="20"/>
  <c r="CW18" i="20"/>
  <c r="CT18" i="20"/>
  <c r="CJ18" i="20"/>
  <c r="BP18" i="20"/>
  <c r="BO18" i="20"/>
  <c r="AL18" i="20"/>
  <c r="AH18" i="20"/>
  <c r="T18" i="20"/>
  <c r="EP18" i="20" s="1"/>
  <c r="G18" i="20"/>
  <c r="D18" i="20"/>
  <c r="GE17" i="20"/>
  <c r="FX17" i="20"/>
  <c r="FV17" i="20"/>
  <c r="FI17" i="20"/>
  <c r="FG17" i="20"/>
  <c r="EW17" i="20"/>
  <c r="DV17" i="20"/>
  <c r="CZ17" i="20"/>
  <c r="CW17" i="20"/>
  <c r="CT17" i="20"/>
  <c r="CJ17" i="20"/>
  <c r="BP17" i="20"/>
  <c r="BO17" i="20" s="1"/>
  <c r="AL17" i="20"/>
  <c r="AH17" i="20"/>
  <c r="T17" i="20"/>
  <c r="EP17" i="20" s="1"/>
  <c r="G17" i="20"/>
  <c r="D17" i="20"/>
  <c r="GE16" i="20"/>
  <c r="FX16" i="20"/>
  <c r="FV16" i="20"/>
  <c r="FI16" i="20"/>
  <c r="EW16" i="20"/>
  <c r="FG16" i="20" s="1"/>
  <c r="EP16" i="20"/>
  <c r="DV16" i="20"/>
  <c r="CZ16" i="20"/>
  <c r="CW16" i="20"/>
  <c r="CT16" i="20"/>
  <c r="CJ16" i="20"/>
  <c r="BP16" i="20"/>
  <c r="BO16" i="20"/>
  <c r="AL16" i="20"/>
  <c r="AH16" i="20"/>
  <c r="T16" i="20"/>
  <c r="G16" i="20"/>
  <c r="D16" i="20"/>
  <c r="GE15" i="20"/>
  <c r="FX15" i="20"/>
  <c r="FV15" i="20"/>
  <c r="FI15" i="20"/>
  <c r="FG15" i="20"/>
  <c r="EW15" i="20"/>
  <c r="DV15" i="20"/>
  <c r="CZ15" i="20"/>
  <c r="CW15" i="20"/>
  <c r="CT15" i="20"/>
  <c r="CJ15" i="20"/>
  <c r="BP15" i="20"/>
  <c r="BO15" i="20" s="1"/>
  <c r="AL15" i="20"/>
  <c r="AH15" i="20"/>
  <c r="T15" i="20"/>
  <c r="G15" i="20"/>
  <c r="D15" i="20"/>
  <c r="GE14" i="20"/>
  <c r="FX14" i="20"/>
  <c r="FV14" i="20"/>
  <c r="FI14" i="20"/>
  <c r="FG14" i="20"/>
  <c r="EW14" i="20"/>
  <c r="DV14" i="20"/>
  <c r="CZ14" i="20"/>
  <c r="CW14" i="20"/>
  <c r="CT14" i="20"/>
  <c r="CJ14" i="20"/>
  <c r="BP14" i="20"/>
  <c r="BO14" i="20" s="1"/>
  <c r="AL14" i="20"/>
  <c r="AH14" i="20"/>
  <c r="T14" i="20"/>
  <c r="EP14" i="20" s="1"/>
  <c r="G14" i="20"/>
  <c r="D14" i="20"/>
  <c r="GE13" i="20"/>
  <c r="FX13" i="20"/>
  <c r="FV13" i="20"/>
  <c r="FI13" i="20"/>
  <c r="FG13" i="20"/>
  <c r="EW13" i="20"/>
  <c r="EP13" i="20"/>
  <c r="DV13" i="20"/>
  <c r="CZ13" i="20"/>
  <c r="CW13" i="20"/>
  <c r="CT13" i="20"/>
  <c r="CJ13" i="20"/>
  <c r="BP13" i="20"/>
  <c r="BO13" i="20" s="1"/>
  <c r="AL13" i="20"/>
  <c r="AH13" i="20"/>
  <c r="T13" i="20"/>
  <c r="G13" i="20"/>
  <c r="D13" i="20"/>
  <c r="GE12" i="20"/>
  <c r="FX12" i="20"/>
  <c r="FV12" i="20"/>
  <c r="FI12" i="20"/>
  <c r="EW12" i="20"/>
  <c r="FG12" i="20" s="1"/>
  <c r="EP12" i="20"/>
  <c r="DV12" i="20"/>
  <c r="CZ12" i="20"/>
  <c r="CW12" i="20"/>
  <c r="CT12" i="20"/>
  <c r="CJ12" i="20"/>
  <c r="BP12" i="20"/>
  <c r="BO12" i="20"/>
  <c r="AL12" i="20"/>
  <c r="AH12" i="20"/>
  <c r="T12" i="20"/>
  <c r="G12" i="20"/>
  <c r="D12" i="20"/>
  <c r="GE11" i="20"/>
  <c r="FX11" i="20"/>
  <c r="FV11" i="20"/>
  <c r="FI11" i="20"/>
  <c r="FG11" i="20"/>
  <c r="EW11" i="20"/>
  <c r="DV11" i="20"/>
  <c r="CZ11" i="20"/>
  <c r="CW11" i="20"/>
  <c r="CT11" i="20"/>
  <c r="CJ11" i="20"/>
  <c r="BP11" i="20"/>
  <c r="BO11" i="20" s="1"/>
  <c r="AL11" i="20"/>
  <c r="AH11" i="20"/>
  <c r="T11" i="20"/>
  <c r="EP11" i="20" s="1"/>
  <c r="G11" i="20"/>
  <c r="D11" i="20"/>
  <c r="GE10" i="20"/>
  <c r="FX10" i="20"/>
  <c r="FV10" i="20"/>
  <c r="FI10" i="20"/>
  <c r="EW10" i="20"/>
  <c r="FG10" i="20" s="1"/>
  <c r="DV10" i="20"/>
  <c r="CZ10" i="20"/>
  <c r="CW10" i="20"/>
  <c r="CT10" i="20"/>
  <c r="CJ10" i="20"/>
  <c r="BP10" i="20"/>
  <c r="BO10" i="20"/>
  <c r="AL10" i="20"/>
  <c r="AH10" i="20"/>
  <c r="T10" i="20"/>
  <c r="EP10" i="20" s="1"/>
  <c r="G10" i="20"/>
  <c r="D10" i="20"/>
  <c r="GE9" i="20"/>
  <c r="FX9" i="20"/>
  <c r="FV9" i="20"/>
  <c r="FI9" i="20"/>
  <c r="FG9" i="20"/>
  <c r="EW9" i="20"/>
  <c r="DV9" i="20"/>
  <c r="CZ9" i="20"/>
  <c r="CW9" i="20"/>
  <c r="CT9" i="20"/>
  <c r="CJ9" i="20"/>
  <c r="BP9" i="20"/>
  <c r="BO9" i="20" s="1"/>
  <c r="AL9" i="20"/>
  <c r="AH9" i="20"/>
  <c r="T9" i="20"/>
  <c r="EP9" i="20" s="1"/>
  <c r="G9" i="20"/>
  <c r="D9" i="20"/>
  <c r="GE8" i="20"/>
  <c r="FX8" i="20"/>
  <c r="FV8" i="20"/>
  <c r="FI8" i="20"/>
  <c r="EW8" i="20"/>
  <c r="FG8" i="20" s="1"/>
  <c r="EP8" i="20"/>
  <c r="DV8" i="20"/>
  <c r="CZ8" i="20"/>
  <c r="CW8" i="20"/>
  <c r="CT8" i="20"/>
  <c r="CJ8" i="20"/>
  <c r="BP8" i="20"/>
  <c r="BO8" i="20"/>
  <c r="AL8" i="20"/>
  <c r="AH8" i="20"/>
  <c r="T8" i="20"/>
  <c r="G8" i="20"/>
  <c r="D8" i="20"/>
  <c r="GE7" i="20"/>
  <c r="FX7" i="20"/>
  <c r="FV7" i="20"/>
  <c r="FI7" i="20"/>
  <c r="FG7" i="20"/>
  <c r="EW7" i="20"/>
  <c r="DV7" i="20"/>
  <c r="CZ7" i="20"/>
  <c r="CW7" i="20"/>
  <c r="CT7" i="20"/>
  <c r="CT54" i="20" s="1"/>
  <c r="CJ7" i="20"/>
  <c r="BP7" i="20"/>
  <c r="BO7" i="20" s="1"/>
  <c r="AL7" i="20"/>
  <c r="AH7" i="20"/>
  <c r="T7" i="20"/>
  <c r="G7" i="20"/>
  <c r="D7" i="20"/>
  <c r="D54" i="20" s="1"/>
  <c r="GE6" i="20"/>
  <c r="FX6" i="20"/>
  <c r="FV6" i="20"/>
  <c r="FI6" i="20"/>
  <c r="FG6" i="20"/>
  <c r="EW6" i="20"/>
  <c r="DV6" i="20"/>
  <c r="CZ6" i="20"/>
  <c r="CW6" i="20"/>
  <c r="CT6" i="20"/>
  <c r="CJ6" i="20"/>
  <c r="CJ54" i="20" s="1"/>
  <c r="BP6" i="20"/>
  <c r="BO6" i="20" s="1"/>
  <c r="AL6" i="20"/>
  <c r="AH6" i="20"/>
  <c r="AH54" i="20" s="1"/>
  <c r="T6" i="20"/>
  <c r="EP6" i="20" s="1"/>
  <c r="G6" i="20"/>
  <c r="D6" i="20"/>
  <c r="GI56" i="19"/>
  <c r="GD56" i="19"/>
  <c r="GC56" i="19"/>
  <c r="GB56" i="19"/>
  <c r="GA56" i="19"/>
  <c r="FZ56" i="19"/>
  <c r="FY56" i="19"/>
  <c r="FW56" i="19"/>
  <c r="FM56" i="19"/>
  <c r="FL56" i="19"/>
  <c r="FK56" i="19"/>
  <c r="FJ56" i="19"/>
  <c r="FH56" i="19"/>
  <c r="FF56" i="19"/>
  <c r="FE56" i="19"/>
  <c r="FD56" i="19"/>
  <c r="FC56" i="19"/>
  <c r="FB56" i="19"/>
  <c r="FA56" i="19"/>
  <c r="EZ56" i="19"/>
  <c r="EY56" i="19"/>
  <c r="EX56" i="19"/>
  <c r="EV56" i="19"/>
  <c r="EU56" i="19"/>
  <c r="ET56" i="19"/>
  <c r="ES56" i="19"/>
  <c r="ER56" i="19"/>
  <c r="EQ56" i="19"/>
  <c r="EO56" i="19"/>
  <c r="EN56" i="19"/>
  <c r="EM56" i="19"/>
  <c r="EL56" i="19"/>
  <c r="EK56" i="19"/>
  <c r="EJ56" i="19"/>
  <c r="EI56" i="19"/>
  <c r="EH56" i="19"/>
  <c r="EG56" i="19"/>
  <c r="EF56" i="19"/>
  <c r="EE56" i="19"/>
  <c r="ED56" i="19"/>
  <c r="EC56" i="19"/>
  <c r="EB56" i="19"/>
  <c r="EA56" i="19"/>
  <c r="DZ56" i="19"/>
  <c r="DY56" i="19"/>
  <c r="DX56" i="19"/>
  <c r="DW56" i="19"/>
  <c r="DU56" i="19"/>
  <c r="DT56" i="19"/>
  <c r="DS56" i="19"/>
  <c r="DR56" i="19"/>
  <c r="DQ56" i="19"/>
  <c r="DP56" i="19"/>
  <c r="DO56" i="19"/>
  <c r="DN56" i="19"/>
  <c r="DM56" i="19"/>
  <c r="DL56" i="19"/>
  <c r="DK56" i="19"/>
  <c r="DJ56" i="19"/>
  <c r="DI56" i="19"/>
  <c r="DH56" i="19"/>
  <c r="DG56" i="19"/>
  <c r="DF56" i="19"/>
  <c r="DE56" i="19"/>
  <c r="DD56" i="19"/>
  <c r="DC56" i="19"/>
  <c r="DB56" i="19"/>
  <c r="DA56" i="19"/>
  <c r="CY56" i="19"/>
  <c r="CX56" i="19"/>
  <c r="CV56" i="19"/>
  <c r="CU56" i="19"/>
  <c r="CS56" i="19"/>
  <c r="CR56" i="19"/>
  <c r="CQ56" i="19"/>
  <c r="CP56" i="19"/>
  <c r="CO56" i="19"/>
  <c r="CN56" i="19"/>
  <c r="CM56" i="19"/>
  <c r="CL56" i="19"/>
  <c r="CK56" i="19"/>
  <c r="CJ56" i="19"/>
  <c r="CI56" i="19"/>
  <c r="CH56" i="19"/>
  <c r="CG56" i="19"/>
  <c r="CF56" i="19"/>
  <c r="CE56" i="19"/>
  <c r="CD56" i="19"/>
  <c r="CC56" i="19"/>
  <c r="CB56" i="19"/>
  <c r="CA56" i="19"/>
  <c r="BZ56" i="19"/>
  <c r="BY56" i="19"/>
  <c r="BX56" i="19"/>
  <c r="BW56" i="19"/>
  <c r="BV56" i="19"/>
  <c r="BU56" i="19"/>
  <c r="BT56" i="19"/>
  <c r="BS56" i="19"/>
  <c r="BR56" i="19"/>
  <c r="BQ56" i="19"/>
  <c r="BN56" i="19"/>
  <c r="BM56" i="19"/>
  <c r="BL56" i="19"/>
  <c r="BK56" i="19"/>
  <c r="BJ56" i="19"/>
  <c r="BI56" i="19"/>
  <c r="BH56" i="19"/>
  <c r="BG56" i="19"/>
  <c r="BF56" i="19"/>
  <c r="BE56" i="19"/>
  <c r="BD56" i="19"/>
  <c r="BC56" i="19"/>
  <c r="BB56" i="19"/>
  <c r="BA56" i="19"/>
  <c r="AZ56" i="19"/>
  <c r="AY56" i="19"/>
  <c r="AX56" i="19"/>
  <c r="AW56" i="19"/>
  <c r="AV56" i="19"/>
  <c r="AU56" i="19"/>
  <c r="AT56" i="19"/>
  <c r="AS56" i="19"/>
  <c r="AR56" i="19"/>
  <c r="AQ56" i="19"/>
  <c r="AP56" i="19"/>
  <c r="AO56" i="19"/>
  <c r="AN56" i="19"/>
  <c r="AM56" i="19"/>
  <c r="AK56" i="19"/>
  <c r="AJ56" i="19"/>
  <c r="AI56" i="19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F56" i="19"/>
  <c r="E56" i="19"/>
  <c r="C56" i="19"/>
  <c r="GI55" i="19"/>
  <c r="GD55" i="19"/>
  <c r="GC55" i="19"/>
  <c r="GB55" i="19"/>
  <c r="GA55" i="19"/>
  <c r="FZ55" i="19"/>
  <c r="FY55" i="19"/>
  <c r="FW55" i="19"/>
  <c r="FM55" i="19"/>
  <c r="FL55" i="19"/>
  <c r="FK55" i="19"/>
  <c r="FJ55" i="19"/>
  <c r="FH55" i="19"/>
  <c r="FF55" i="19"/>
  <c r="FE55" i="19"/>
  <c r="FD55" i="19"/>
  <c r="FC55" i="19"/>
  <c r="FB55" i="19"/>
  <c r="FA55" i="19"/>
  <c r="EZ55" i="19"/>
  <c r="EY55" i="19"/>
  <c r="EX55" i="19"/>
  <c r="EV55" i="19"/>
  <c r="EU55" i="19"/>
  <c r="ET55" i="19"/>
  <c r="ES55" i="19"/>
  <c r="ER55" i="19"/>
  <c r="EQ55" i="19"/>
  <c r="EO55" i="19"/>
  <c r="EN55" i="19"/>
  <c r="EM55" i="19"/>
  <c r="EL55" i="19"/>
  <c r="EK55" i="19"/>
  <c r="EJ55" i="19"/>
  <c r="EI55" i="19"/>
  <c r="EH55" i="19"/>
  <c r="EG55" i="19"/>
  <c r="EF55" i="19"/>
  <c r="EE55" i="19"/>
  <c r="ED55" i="19"/>
  <c r="EC55" i="19"/>
  <c r="EB55" i="19"/>
  <c r="EA55" i="19"/>
  <c r="DZ55" i="19"/>
  <c r="DY55" i="19"/>
  <c r="DX55" i="19"/>
  <c r="DW55" i="19"/>
  <c r="DU55" i="19"/>
  <c r="DT55" i="19"/>
  <c r="DS55" i="19"/>
  <c r="DR55" i="19"/>
  <c r="DQ55" i="19"/>
  <c r="DP55" i="19"/>
  <c r="DO55" i="19"/>
  <c r="DN55" i="19"/>
  <c r="DM55" i="19"/>
  <c r="DL55" i="19"/>
  <c r="DK55" i="19"/>
  <c r="DJ55" i="19"/>
  <c r="DI55" i="19"/>
  <c r="DH55" i="19"/>
  <c r="DG55" i="19"/>
  <c r="DF55" i="19"/>
  <c r="DE55" i="19"/>
  <c r="DD55" i="19"/>
  <c r="DC55" i="19"/>
  <c r="DB55" i="19"/>
  <c r="DA55" i="19"/>
  <c r="CY55" i="19"/>
  <c r="CX55" i="19"/>
  <c r="CV55" i="19"/>
  <c r="CU55" i="19"/>
  <c r="CS55" i="19"/>
  <c r="CR55" i="19"/>
  <c r="CQ55" i="19"/>
  <c r="CP55" i="19"/>
  <c r="CO55" i="19"/>
  <c r="CN55" i="19"/>
  <c r="CM55" i="19"/>
  <c r="CL55" i="19"/>
  <c r="CK55" i="19"/>
  <c r="CJ55" i="19"/>
  <c r="CI55" i="19"/>
  <c r="CH55" i="19"/>
  <c r="CG55" i="19"/>
  <c r="CF55" i="19"/>
  <c r="CE55" i="19"/>
  <c r="CD55" i="19"/>
  <c r="CC55" i="19"/>
  <c r="CB55" i="19"/>
  <c r="CA55" i="19"/>
  <c r="BZ55" i="19"/>
  <c r="BY55" i="19"/>
  <c r="BX55" i="19"/>
  <c r="BW55" i="19"/>
  <c r="BV55" i="19"/>
  <c r="BU55" i="19"/>
  <c r="BT55" i="19"/>
  <c r="BS55" i="19"/>
  <c r="BR55" i="19"/>
  <c r="BQ55" i="19"/>
  <c r="BN55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K55" i="19"/>
  <c r="AJ55" i="19"/>
  <c r="AI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F55" i="19"/>
  <c r="E55" i="19"/>
  <c r="C55" i="19"/>
  <c r="GI54" i="19"/>
  <c r="GD54" i="19"/>
  <c r="GC54" i="19"/>
  <c r="GB54" i="19"/>
  <c r="GA54" i="19"/>
  <c r="FZ54" i="19"/>
  <c r="FY54" i="19"/>
  <c r="FW54" i="19"/>
  <c r="FM54" i="19"/>
  <c r="FL54" i="19"/>
  <c r="FK54" i="19"/>
  <c r="FJ54" i="19"/>
  <c r="FH54" i="19"/>
  <c r="FF54" i="19"/>
  <c r="FE54" i="19"/>
  <c r="FD54" i="19"/>
  <c r="FC54" i="19"/>
  <c r="FB54" i="19"/>
  <c r="FA54" i="19"/>
  <c r="EZ54" i="19"/>
  <c r="EY54" i="19"/>
  <c r="EX54" i="19"/>
  <c r="EV54" i="19"/>
  <c r="EU54" i="19"/>
  <c r="ET54" i="19"/>
  <c r="ES54" i="19"/>
  <c r="ER54" i="19"/>
  <c r="EQ54" i="19"/>
  <c r="EO54" i="19"/>
  <c r="EN54" i="19"/>
  <c r="EM54" i="19"/>
  <c r="EL54" i="19"/>
  <c r="EK54" i="19"/>
  <c r="EJ54" i="19"/>
  <c r="EI54" i="19"/>
  <c r="EH54" i="19"/>
  <c r="EG54" i="19"/>
  <c r="EF54" i="19"/>
  <c r="EE54" i="19"/>
  <c r="ED54" i="19"/>
  <c r="EC54" i="19"/>
  <c r="EB54" i="19"/>
  <c r="EA54" i="19"/>
  <c r="DZ54" i="19"/>
  <c r="DY54" i="19"/>
  <c r="DX54" i="19"/>
  <c r="DW54" i="19"/>
  <c r="DU54" i="19"/>
  <c r="DT54" i="19"/>
  <c r="DS54" i="19"/>
  <c r="DR54" i="19"/>
  <c r="DQ54" i="19"/>
  <c r="DP54" i="19"/>
  <c r="DO54" i="19"/>
  <c r="DN54" i="19"/>
  <c r="DM54" i="19"/>
  <c r="DL54" i="19"/>
  <c r="DK54" i="19"/>
  <c r="DJ54" i="19"/>
  <c r="DI54" i="19"/>
  <c r="DH54" i="19"/>
  <c r="DG54" i="19"/>
  <c r="DF54" i="19"/>
  <c r="DE54" i="19"/>
  <c r="DD54" i="19"/>
  <c r="DC54" i="19"/>
  <c r="DB54" i="19"/>
  <c r="DA54" i="19"/>
  <c r="CY54" i="19"/>
  <c r="CX54" i="19"/>
  <c r="CV54" i="19"/>
  <c r="CU54" i="19"/>
  <c r="CS54" i="19"/>
  <c r="CR54" i="19"/>
  <c r="CQ54" i="19"/>
  <c r="CP54" i="19"/>
  <c r="CO54" i="19"/>
  <c r="CN54" i="19"/>
  <c r="CM54" i="19"/>
  <c r="CL54" i="19"/>
  <c r="CK54" i="19"/>
  <c r="CJ54" i="19"/>
  <c r="CI54" i="19"/>
  <c r="CH54" i="19"/>
  <c r="CG54" i="19"/>
  <c r="CF54" i="19"/>
  <c r="CE54" i="19"/>
  <c r="CD54" i="19"/>
  <c r="CC54" i="19"/>
  <c r="CB54" i="19"/>
  <c r="CA54" i="19"/>
  <c r="BZ54" i="19"/>
  <c r="BY54" i="19"/>
  <c r="BX54" i="19"/>
  <c r="BW54" i="19"/>
  <c r="BV54" i="19"/>
  <c r="BU54" i="19"/>
  <c r="BT54" i="19"/>
  <c r="BS54" i="19"/>
  <c r="BR54" i="19"/>
  <c r="BQ54" i="19"/>
  <c r="BN54" i="19"/>
  <c r="BM54" i="19"/>
  <c r="BL54" i="19"/>
  <c r="BK54" i="19"/>
  <c r="BJ54" i="19"/>
  <c r="BI54" i="19"/>
  <c r="BH54" i="19"/>
  <c r="BG54" i="19"/>
  <c r="BF54" i="19"/>
  <c r="BE54" i="19"/>
  <c r="BD54" i="19"/>
  <c r="BC54" i="19"/>
  <c r="BB54" i="19"/>
  <c r="BA54" i="19"/>
  <c r="AZ54" i="19"/>
  <c r="AY54" i="19"/>
  <c r="AX54" i="19"/>
  <c r="AW54" i="19"/>
  <c r="AV54" i="19"/>
  <c r="AU54" i="19"/>
  <c r="AT54" i="19"/>
  <c r="AS54" i="19"/>
  <c r="AR54" i="19"/>
  <c r="AQ54" i="19"/>
  <c r="AP54" i="19"/>
  <c r="AO54" i="19"/>
  <c r="AN54" i="19"/>
  <c r="AM54" i="19"/>
  <c r="AK54" i="19"/>
  <c r="AJ54" i="19"/>
  <c r="AI54" i="19"/>
  <c r="AG54" i="19"/>
  <c r="AF54" i="19"/>
  <c r="AE54" i="19"/>
  <c r="AD54" i="19"/>
  <c r="AC54" i="19"/>
  <c r="AB54" i="19"/>
  <c r="AA54" i="19"/>
  <c r="Z54" i="19"/>
  <c r="Y54" i="19"/>
  <c r="X54" i="19"/>
  <c r="W54" i="19"/>
  <c r="V54" i="19"/>
  <c r="U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F54" i="19"/>
  <c r="E54" i="19"/>
  <c r="C54" i="19"/>
  <c r="FJ52" i="19"/>
  <c r="GE49" i="19" s="1"/>
  <c r="FK51" i="19"/>
  <c r="FK52" i="19" s="1"/>
  <c r="FJ51" i="19"/>
  <c r="EI51" i="19"/>
  <c r="EI52" i="19" s="1"/>
  <c r="FX49" i="19"/>
  <c r="FV49" i="19"/>
  <c r="FI49" i="19"/>
  <c r="EW49" i="19"/>
  <c r="FG49" i="19" s="1"/>
  <c r="DV49" i="19"/>
  <c r="CZ49" i="19"/>
  <c r="CW49" i="19"/>
  <c r="CT49" i="19"/>
  <c r="BP49" i="19"/>
  <c r="BO49" i="19" s="1"/>
  <c r="AL49" i="19"/>
  <c r="AH49" i="19"/>
  <c r="T49" i="19"/>
  <c r="EP49" i="19" s="1"/>
  <c r="G49" i="19"/>
  <c r="D49" i="19"/>
  <c r="FX48" i="19"/>
  <c r="FV48" i="19"/>
  <c r="FI48" i="19"/>
  <c r="FI55" i="19" s="1"/>
  <c r="EW48" i="19"/>
  <c r="FG48" i="19" s="1"/>
  <c r="DV48" i="19"/>
  <c r="DV55" i="19" s="1"/>
  <c r="CZ48" i="19"/>
  <c r="CZ55" i="19" s="1"/>
  <c r="CW48" i="19"/>
  <c r="CW55" i="19" s="1"/>
  <c r="CT48" i="19"/>
  <c r="BP48" i="19"/>
  <c r="BO48" i="19" s="1"/>
  <c r="AL48" i="19"/>
  <c r="AL55" i="19" s="1"/>
  <c r="AH48" i="19"/>
  <c r="T48" i="19"/>
  <c r="EP48" i="19" s="1"/>
  <c r="G48" i="19"/>
  <c r="G55" i="19" s="1"/>
  <c r="D48" i="19"/>
  <c r="D55" i="19" s="1"/>
  <c r="FX47" i="19"/>
  <c r="FV47" i="19"/>
  <c r="FI47" i="19"/>
  <c r="FG47" i="19"/>
  <c r="EW47" i="19"/>
  <c r="EP47" i="19"/>
  <c r="DV47" i="19"/>
  <c r="CZ47" i="19"/>
  <c r="CW47" i="19"/>
  <c r="CT47" i="19"/>
  <c r="BP47" i="19"/>
  <c r="BO47" i="19"/>
  <c r="AL47" i="19"/>
  <c r="AH47" i="19"/>
  <c r="T47" i="19"/>
  <c r="G47" i="19"/>
  <c r="D47" i="19"/>
  <c r="FX46" i="19"/>
  <c r="FV46" i="19"/>
  <c r="FI46" i="19"/>
  <c r="EW46" i="19"/>
  <c r="FG46" i="19" s="1"/>
  <c r="DV46" i="19"/>
  <c r="CZ46" i="19"/>
  <c r="CW46" i="19"/>
  <c r="CT46" i="19"/>
  <c r="BP46" i="19"/>
  <c r="BO46" i="19" s="1"/>
  <c r="AL46" i="19"/>
  <c r="AH46" i="19"/>
  <c r="T46" i="19"/>
  <c r="EP46" i="19" s="1"/>
  <c r="G46" i="19"/>
  <c r="D46" i="19"/>
  <c r="GE45" i="19"/>
  <c r="FX45" i="19"/>
  <c r="FV45" i="19"/>
  <c r="FI45" i="19"/>
  <c r="EW45" i="19"/>
  <c r="FG45" i="19" s="1"/>
  <c r="DV45" i="19"/>
  <c r="CZ45" i="19"/>
  <c r="CW45" i="19"/>
  <c r="CT45" i="19"/>
  <c r="BP45" i="19"/>
  <c r="BO45" i="19" s="1"/>
  <c r="AL45" i="19"/>
  <c r="AH45" i="19"/>
  <c r="T45" i="19"/>
  <c r="EP45" i="19" s="1"/>
  <c r="G45" i="19"/>
  <c r="D45" i="19"/>
  <c r="FX44" i="19"/>
  <c r="FV44" i="19"/>
  <c r="FI44" i="19"/>
  <c r="FG44" i="19"/>
  <c r="EW44" i="19"/>
  <c r="EP44" i="19"/>
  <c r="DV44" i="19"/>
  <c r="CZ44" i="19"/>
  <c r="CW44" i="19"/>
  <c r="CT44" i="19"/>
  <c r="BP44" i="19"/>
  <c r="BO44" i="19"/>
  <c r="AL44" i="19"/>
  <c r="AH44" i="19"/>
  <c r="T44" i="19"/>
  <c r="G44" i="19"/>
  <c r="D44" i="19"/>
  <c r="FX43" i="19"/>
  <c r="FV43" i="19"/>
  <c r="FI43" i="19"/>
  <c r="EW43" i="19"/>
  <c r="FG43" i="19" s="1"/>
  <c r="DV43" i="19"/>
  <c r="CZ43" i="19"/>
  <c r="CW43" i="19"/>
  <c r="CT43" i="19"/>
  <c r="BP43" i="19"/>
  <c r="BO43" i="19" s="1"/>
  <c r="AL43" i="19"/>
  <c r="AH43" i="19"/>
  <c r="T43" i="19"/>
  <c r="EP43" i="19" s="1"/>
  <c r="G43" i="19"/>
  <c r="D43" i="19"/>
  <c r="GE42" i="19"/>
  <c r="FX42" i="19"/>
  <c r="FV42" i="19"/>
  <c r="FI42" i="19"/>
  <c r="EW42" i="19"/>
  <c r="FG42" i="19" s="1"/>
  <c r="DV42" i="19"/>
  <c r="CZ42" i="19"/>
  <c r="CW42" i="19"/>
  <c r="CT42" i="19"/>
  <c r="BP42" i="19"/>
  <c r="BO42" i="19" s="1"/>
  <c r="AL42" i="19"/>
  <c r="AH42" i="19"/>
  <c r="T42" i="19"/>
  <c r="EP42" i="19" s="1"/>
  <c r="G42" i="19"/>
  <c r="D42" i="19"/>
  <c r="FX41" i="19"/>
  <c r="FV41" i="19"/>
  <c r="FI41" i="19"/>
  <c r="FG41" i="19"/>
  <c r="EW41" i="19"/>
  <c r="EP41" i="19"/>
  <c r="DV41" i="19"/>
  <c r="CZ41" i="19"/>
  <c r="CW41" i="19"/>
  <c r="CT41" i="19"/>
  <c r="CT55" i="19" s="1"/>
  <c r="BP41" i="19"/>
  <c r="BO41" i="19"/>
  <c r="AL41" i="19"/>
  <c r="AH41" i="19"/>
  <c r="T41" i="19"/>
  <c r="G41" i="19"/>
  <c r="D41" i="19"/>
  <c r="FX40" i="19"/>
  <c r="FV40" i="19"/>
  <c r="FI40" i="19"/>
  <c r="EW40" i="19"/>
  <c r="FG40" i="19" s="1"/>
  <c r="DV40" i="19"/>
  <c r="CZ40" i="19"/>
  <c r="CW40" i="19"/>
  <c r="CT40" i="19"/>
  <c r="BP40" i="19"/>
  <c r="BO40" i="19" s="1"/>
  <c r="AL40" i="19"/>
  <c r="AH40" i="19"/>
  <c r="T40" i="19"/>
  <c r="EP40" i="19" s="1"/>
  <c r="G40" i="19"/>
  <c r="D40" i="19"/>
  <c r="FX39" i="19"/>
  <c r="FV39" i="19"/>
  <c r="FI39" i="19"/>
  <c r="FG39" i="19"/>
  <c r="EW39" i="19"/>
  <c r="EP39" i="19"/>
  <c r="DV39" i="19"/>
  <c r="CZ39" i="19"/>
  <c r="CW39" i="19"/>
  <c r="CT39" i="19"/>
  <c r="BP39" i="19"/>
  <c r="BO39" i="19"/>
  <c r="AL39" i="19"/>
  <c r="AH39" i="19"/>
  <c r="AH55" i="19" s="1"/>
  <c r="T39" i="19"/>
  <c r="G39" i="19"/>
  <c r="D39" i="19"/>
  <c r="FX38" i="19"/>
  <c r="FV38" i="19"/>
  <c r="FI38" i="19"/>
  <c r="EW38" i="19"/>
  <c r="FG38" i="19" s="1"/>
  <c r="DV38" i="19"/>
  <c r="CZ38" i="19"/>
  <c r="CW38" i="19"/>
  <c r="CT38" i="19"/>
  <c r="BP38" i="19"/>
  <c r="BO38" i="19" s="1"/>
  <c r="AL38" i="19"/>
  <c r="AH38" i="19"/>
  <c r="T38" i="19"/>
  <c r="EP38" i="19" s="1"/>
  <c r="G38" i="19"/>
  <c r="D38" i="19"/>
  <c r="GE37" i="19"/>
  <c r="FX37" i="19"/>
  <c r="FV37" i="19"/>
  <c r="FI37" i="19"/>
  <c r="EW37" i="19"/>
  <c r="DV37" i="19"/>
  <c r="CZ37" i="19"/>
  <c r="CZ56" i="19" s="1"/>
  <c r="CW37" i="19"/>
  <c r="CT37" i="19"/>
  <c r="BP37" i="19"/>
  <c r="AL37" i="19"/>
  <c r="AH37" i="19"/>
  <c r="AH56" i="19" s="1"/>
  <c r="T37" i="19"/>
  <c r="EP37" i="19" s="1"/>
  <c r="G37" i="19"/>
  <c r="G56" i="19" s="1"/>
  <c r="D37" i="19"/>
  <c r="FX36" i="19"/>
  <c r="FV36" i="19"/>
  <c r="FI36" i="19"/>
  <c r="FG36" i="19"/>
  <c r="EW36" i="19"/>
  <c r="EP36" i="19"/>
  <c r="DV36" i="19"/>
  <c r="CZ36" i="19"/>
  <c r="CW36" i="19"/>
  <c r="CT36" i="19"/>
  <c r="BP36" i="19"/>
  <c r="BO36" i="19"/>
  <c r="AL36" i="19"/>
  <c r="AH36" i="19"/>
  <c r="T36" i="19"/>
  <c r="G36" i="19"/>
  <c r="D36" i="19"/>
  <c r="GE35" i="19"/>
  <c r="FX35" i="19"/>
  <c r="FV35" i="19"/>
  <c r="FI35" i="19"/>
  <c r="FG35" i="19"/>
  <c r="EW35" i="19"/>
  <c r="EP35" i="19"/>
  <c r="DV35" i="19"/>
  <c r="CZ35" i="19"/>
  <c r="CW35" i="19"/>
  <c r="CT35" i="19"/>
  <c r="BP35" i="19"/>
  <c r="BO35" i="19"/>
  <c r="AL35" i="19"/>
  <c r="AH35" i="19"/>
  <c r="T35" i="19"/>
  <c r="G35" i="19"/>
  <c r="D35" i="19"/>
  <c r="GE34" i="19"/>
  <c r="FX34" i="19"/>
  <c r="FV34" i="19"/>
  <c r="FI34" i="19"/>
  <c r="FG34" i="19"/>
  <c r="EW34" i="19"/>
  <c r="EP34" i="19"/>
  <c r="DV34" i="19"/>
  <c r="CZ34" i="19"/>
  <c r="CW34" i="19"/>
  <c r="CT34" i="19"/>
  <c r="BP34" i="19"/>
  <c r="BO34" i="19"/>
  <c r="AL34" i="19"/>
  <c r="AH34" i="19"/>
  <c r="T34" i="19"/>
  <c r="G34" i="19"/>
  <c r="D34" i="19"/>
  <c r="GE33" i="19"/>
  <c r="FX33" i="19"/>
  <c r="FV33" i="19"/>
  <c r="FI33" i="19"/>
  <c r="FG33" i="19"/>
  <c r="EW33" i="19"/>
  <c r="EP33" i="19"/>
  <c r="DV33" i="19"/>
  <c r="CZ33" i="19"/>
  <c r="CW33" i="19"/>
  <c r="CT33" i="19"/>
  <c r="BP33" i="19"/>
  <c r="BO33" i="19"/>
  <c r="AL33" i="19"/>
  <c r="AH33" i="19"/>
  <c r="T33" i="19"/>
  <c r="G33" i="19"/>
  <c r="D33" i="19"/>
  <c r="GE32" i="19"/>
  <c r="FX32" i="19"/>
  <c r="FV32" i="19"/>
  <c r="FI32" i="19"/>
  <c r="FG32" i="19"/>
  <c r="EW32" i="19"/>
  <c r="EP32" i="19"/>
  <c r="DV32" i="19"/>
  <c r="CZ32" i="19"/>
  <c r="CW32" i="19"/>
  <c r="CT32" i="19"/>
  <c r="BP32" i="19"/>
  <c r="BO32" i="19"/>
  <c r="AL32" i="19"/>
  <c r="AH32" i="19"/>
  <c r="T32" i="19"/>
  <c r="G32" i="19"/>
  <c r="D32" i="19"/>
  <c r="GE31" i="19"/>
  <c r="FX31" i="19"/>
  <c r="FV31" i="19"/>
  <c r="FI31" i="19"/>
  <c r="FG31" i="19"/>
  <c r="EW31" i="19"/>
  <c r="EP31" i="19"/>
  <c r="DV31" i="19"/>
  <c r="CZ31" i="19"/>
  <c r="CW31" i="19"/>
  <c r="CT31" i="19"/>
  <c r="BP31" i="19"/>
  <c r="BO31" i="19"/>
  <c r="AL31" i="19"/>
  <c r="AH31" i="19"/>
  <c r="T31" i="19"/>
  <c r="G31" i="19"/>
  <c r="D31" i="19"/>
  <c r="GE30" i="19"/>
  <c r="FX30" i="19"/>
  <c r="FV30" i="19"/>
  <c r="FI30" i="19"/>
  <c r="FG30" i="19"/>
  <c r="EW30" i="19"/>
  <c r="EP30" i="19"/>
  <c r="DV30" i="19"/>
  <c r="CZ30" i="19"/>
  <c r="CW30" i="19"/>
  <c r="CT30" i="19"/>
  <c r="BP30" i="19"/>
  <c r="BO30" i="19"/>
  <c r="AL30" i="19"/>
  <c r="AH30" i="19"/>
  <c r="T30" i="19"/>
  <c r="G30" i="19"/>
  <c r="D30" i="19"/>
  <c r="GE29" i="19"/>
  <c r="FX29" i="19"/>
  <c r="FV29" i="19"/>
  <c r="FI29" i="19"/>
  <c r="FG29" i="19"/>
  <c r="EW29" i="19"/>
  <c r="EP29" i="19"/>
  <c r="DV29" i="19"/>
  <c r="CZ29" i="19"/>
  <c r="CW29" i="19"/>
  <c r="CT29" i="19"/>
  <c r="BP29" i="19"/>
  <c r="BO29" i="19"/>
  <c r="AL29" i="19"/>
  <c r="AH29" i="19"/>
  <c r="T29" i="19"/>
  <c r="G29" i="19"/>
  <c r="D29" i="19"/>
  <c r="GE28" i="19"/>
  <c r="FX28" i="19"/>
  <c r="FV28" i="19"/>
  <c r="FI28" i="19"/>
  <c r="FG28" i="19"/>
  <c r="EW28" i="19"/>
  <c r="EP28" i="19"/>
  <c r="DV28" i="19"/>
  <c r="CZ28" i="19"/>
  <c r="CW28" i="19"/>
  <c r="CT28" i="19"/>
  <c r="BP28" i="19"/>
  <c r="BO28" i="19"/>
  <c r="AL28" i="19"/>
  <c r="AH28" i="19"/>
  <c r="T28" i="19"/>
  <c r="G28" i="19"/>
  <c r="D28" i="19"/>
  <c r="GE27" i="19"/>
  <c r="FX27" i="19"/>
  <c r="FV27" i="19"/>
  <c r="FI27" i="19"/>
  <c r="FG27" i="19"/>
  <c r="EW27" i="19"/>
  <c r="EP27" i="19"/>
  <c r="DV27" i="19"/>
  <c r="CZ27" i="19"/>
  <c r="CW27" i="19"/>
  <c r="CT27" i="19"/>
  <c r="BP27" i="19"/>
  <c r="BO27" i="19"/>
  <c r="AL27" i="19"/>
  <c r="AH27" i="19"/>
  <c r="T27" i="19"/>
  <c r="G27" i="19"/>
  <c r="D27" i="19"/>
  <c r="GE26" i="19"/>
  <c r="FX26" i="19"/>
  <c r="FV26" i="19"/>
  <c r="FI26" i="19"/>
  <c r="FG26" i="19"/>
  <c r="EW26" i="19"/>
  <c r="EP26" i="19"/>
  <c r="DV26" i="19"/>
  <c r="CZ26" i="19"/>
  <c r="CW26" i="19"/>
  <c r="CT26" i="19"/>
  <c r="BP26" i="19"/>
  <c r="BO26" i="19"/>
  <c r="AL26" i="19"/>
  <c r="AH26" i="19"/>
  <c r="T26" i="19"/>
  <c r="G26" i="19"/>
  <c r="D26" i="19"/>
  <c r="GE25" i="19"/>
  <c r="FX25" i="19"/>
  <c r="FV25" i="19"/>
  <c r="FI25" i="19"/>
  <c r="FG25" i="19"/>
  <c r="EW25" i="19"/>
  <c r="EP25" i="19"/>
  <c r="DV25" i="19"/>
  <c r="CZ25" i="19"/>
  <c r="CW25" i="19"/>
  <c r="CT25" i="19"/>
  <c r="BP25" i="19"/>
  <c r="BO25" i="19"/>
  <c r="AL25" i="19"/>
  <c r="AH25" i="19"/>
  <c r="T25" i="19"/>
  <c r="G25" i="19"/>
  <c r="D25" i="19"/>
  <c r="GE24" i="19"/>
  <c r="FX24" i="19"/>
  <c r="FV24" i="19"/>
  <c r="FI24" i="19"/>
  <c r="FG24" i="19"/>
  <c r="EW24" i="19"/>
  <c r="EP24" i="19"/>
  <c r="DV24" i="19"/>
  <c r="CZ24" i="19"/>
  <c r="CW24" i="19"/>
  <c r="CT24" i="19"/>
  <c r="BP24" i="19"/>
  <c r="BO24" i="19"/>
  <c r="AL24" i="19"/>
  <c r="AH24" i="19"/>
  <c r="T24" i="19"/>
  <c r="G24" i="19"/>
  <c r="D24" i="19"/>
  <c r="GE23" i="19"/>
  <c r="FX23" i="19"/>
  <c r="FV23" i="19"/>
  <c r="FI23" i="19"/>
  <c r="FG23" i="19"/>
  <c r="EW23" i="19"/>
  <c r="EP23" i="19"/>
  <c r="DV23" i="19"/>
  <c r="CZ23" i="19"/>
  <c r="CW23" i="19"/>
  <c r="CT23" i="19"/>
  <c r="BP23" i="19"/>
  <c r="BO23" i="19"/>
  <c r="AL23" i="19"/>
  <c r="AH23" i="19"/>
  <c r="T23" i="19"/>
  <c r="G23" i="19"/>
  <c r="D23" i="19"/>
  <c r="GE22" i="19"/>
  <c r="FX22" i="19"/>
  <c r="FV22" i="19"/>
  <c r="FI22" i="19"/>
  <c r="FG22" i="19"/>
  <c r="EW22" i="19"/>
  <c r="EP22" i="19"/>
  <c r="DV22" i="19"/>
  <c r="CZ22" i="19"/>
  <c r="CW22" i="19"/>
  <c r="CT22" i="19"/>
  <c r="BP22" i="19"/>
  <c r="BO22" i="19"/>
  <c r="AL22" i="19"/>
  <c r="AH22" i="19"/>
  <c r="T22" i="19"/>
  <c r="G22" i="19"/>
  <c r="D22" i="19"/>
  <c r="GE21" i="19"/>
  <c r="FX21" i="19"/>
  <c r="FV21" i="19"/>
  <c r="FI21" i="19"/>
  <c r="FG21" i="19"/>
  <c r="EW21" i="19"/>
  <c r="EP21" i="19"/>
  <c r="DV21" i="19"/>
  <c r="CZ21" i="19"/>
  <c r="CW21" i="19"/>
  <c r="CT21" i="19"/>
  <c r="BP21" i="19"/>
  <c r="BO21" i="19"/>
  <c r="AL21" i="19"/>
  <c r="AH21" i="19"/>
  <c r="T21" i="19"/>
  <c r="G21" i="19"/>
  <c r="D21" i="19"/>
  <c r="FX20" i="19"/>
  <c r="FV20" i="19"/>
  <c r="FI20" i="19"/>
  <c r="EW20" i="19"/>
  <c r="FG20" i="19" s="1"/>
  <c r="DV20" i="19"/>
  <c r="CZ20" i="19"/>
  <c r="CW20" i="19"/>
  <c r="CT20" i="19"/>
  <c r="BP20" i="19"/>
  <c r="BO20" i="19" s="1"/>
  <c r="AL20" i="19"/>
  <c r="AH20" i="19"/>
  <c r="T20" i="19"/>
  <c r="G20" i="19"/>
  <c r="D20" i="19"/>
  <c r="GE19" i="19"/>
  <c r="FX19" i="19"/>
  <c r="FV19" i="19"/>
  <c r="FI19" i="19"/>
  <c r="EW19" i="19"/>
  <c r="FG19" i="19" s="1"/>
  <c r="DV19" i="19"/>
  <c r="CZ19" i="19"/>
  <c r="CW19" i="19"/>
  <c r="CT19" i="19"/>
  <c r="BP19" i="19"/>
  <c r="BO19" i="19" s="1"/>
  <c r="AL19" i="19"/>
  <c r="AH19" i="19"/>
  <c r="T19" i="19"/>
  <c r="EP19" i="19" s="1"/>
  <c r="G19" i="19"/>
  <c r="D19" i="19"/>
  <c r="GE18" i="19"/>
  <c r="FX18" i="19"/>
  <c r="FV18" i="19"/>
  <c r="FI18" i="19"/>
  <c r="EW18" i="19"/>
  <c r="FG18" i="19" s="1"/>
  <c r="DV18" i="19"/>
  <c r="CZ18" i="19"/>
  <c r="CW18" i="19"/>
  <c r="CT18" i="19"/>
  <c r="BP18" i="19"/>
  <c r="BO18" i="19" s="1"/>
  <c r="AL18" i="19"/>
  <c r="AH18" i="19"/>
  <c r="T18" i="19"/>
  <c r="EP18" i="19" s="1"/>
  <c r="G18" i="19"/>
  <c r="D18" i="19"/>
  <c r="GE17" i="19"/>
  <c r="FX17" i="19"/>
  <c r="FV17" i="19"/>
  <c r="FI17" i="19"/>
  <c r="EW17" i="19"/>
  <c r="FG17" i="19" s="1"/>
  <c r="DV17" i="19"/>
  <c r="CZ17" i="19"/>
  <c r="CW17" i="19"/>
  <c r="CT17" i="19"/>
  <c r="BP17" i="19"/>
  <c r="BO17" i="19" s="1"/>
  <c r="AL17" i="19"/>
  <c r="AH17" i="19"/>
  <c r="T17" i="19"/>
  <c r="EP17" i="19" s="1"/>
  <c r="G17" i="19"/>
  <c r="D17" i="19"/>
  <c r="GE16" i="19"/>
  <c r="FX16" i="19"/>
  <c r="FV16" i="19"/>
  <c r="FI16" i="19"/>
  <c r="EW16" i="19"/>
  <c r="FG16" i="19" s="1"/>
  <c r="DV16" i="19"/>
  <c r="CZ16" i="19"/>
  <c r="CW16" i="19"/>
  <c r="CT16" i="19"/>
  <c r="BP16" i="19"/>
  <c r="BO16" i="19" s="1"/>
  <c r="AL16" i="19"/>
  <c r="AH16" i="19"/>
  <c r="T16" i="19"/>
  <c r="G16" i="19"/>
  <c r="D16" i="19"/>
  <c r="GE15" i="19"/>
  <c r="FX15" i="19"/>
  <c r="FV15" i="19"/>
  <c r="FI15" i="19"/>
  <c r="EW15" i="19"/>
  <c r="FG15" i="19" s="1"/>
  <c r="DV15" i="19"/>
  <c r="CZ15" i="19"/>
  <c r="CW15" i="19"/>
  <c r="CT15" i="19"/>
  <c r="BP15" i="19"/>
  <c r="BO15" i="19" s="1"/>
  <c r="AL15" i="19"/>
  <c r="AH15" i="19"/>
  <c r="T15" i="19"/>
  <c r="EP15" i="19" s="1"/>
  <c r="G15" i="19"/>
  <c r="D15" i="19"/>
  <c r="GE14" i="19"/>
  <c r="FX14" i="19"/>
  <c r="FV14" i="19"/>
  <c r="FI14" i="19"/>
  <c r="EW14" i="19"/>
  <c r="FG14" i="19" s="1"/>
  <c r="DV14" i="19"/>
  <c r="CZ14" i="19"/>
  <c r="CW14" i="19"/>
  <c r="CT14" i="19"/>
  <c r="BP14" i="19"/>
  <c r="BO14" i="19" s="1"/>
  <c r="AL14" i="19"/>
  <c r="AH14" i="19"/>
  <c r="T14" i="19"/>
  <c r="EP14" i="19" s="1"/>
  <c r="G14" i="19"/>
  <c r="D14" i="19"/>
  <c r="GE13" i="19"/>
  <c r="FX13" i="19"/>
  <c r="FV13" i="19"/>
  <c r="FI13" i="19"/>
  <c r="EW13" i="19"/>
  <c r="FG13" i="19" s="1"/>
  <c r="DV13" i="19"/>
  <c r="CZ13" i="19"/>
  <c r="CW13" i="19"/>
  <c r="CT13" i="19"/>
  <c r="BP13" i="19"/>
  <c r="BO13" i="19" s="1"/>
  <c r="AL13" i="19"/>
  <c r="AH13" i="19"/>
  <c r="T13" i="19"/>
  <c r="EP13" i="19" s="1"/>
  <c r="G13" i="19"/>
  <c r="D13" i="19"/>
  <c r="FX12" i="19"/>
  <c r="FV12" i="19"/>
  <c r="FI12" i="19"/>
  <c r="FG12" i="19"/>
  <c r="EW12" i="19"/>
  <c r="EP12" i="19"/>
  <c r="DV12" i="19"/>
  <c r="CZ12" i="19"/>
  <c r="CW12" i="19"/>
  <c r="CT12" i="19"/>
  <c r="BP12" i="19"/>
  <c r="BO12" i="19"/>
  <c r="AL12" i="19"/>
  <c r="AH12" i="19"/>
  <c r="T12" i="19"/>
  <c r="G12" i="19"/>
  <c r="D12" i="19"/>
  <c r="GE11" i="19"/>
  <c r="FX11" i="19"/>
  <c r="FV11" i="19"/>
  <c r="FI11" i="19"/>
  <c r="FG11" i="19"/>
  <c r="EW11" i="19"/>
  <c r="EP11" i="19"/>
  <c r="DV11" i="19"/>
  <c r="CZ11" i="19"/>
  <c r="CW11" i="19"/>
  <c r="CT11" i="19"/>
  <c r="BP11" i="19"/>
  <c r="BO11" i="19"/>
  <c r="AL11" i="19"/>
  <c r="AH11" i="19"/>
  <c r="T11" i="19"/>
  <c r="G11" i="19"/>
  <c r="D11" i="19"/>
  <c r="GE10" i="19"/>
  <c r="FX10" i="19"/>
  <c r="FV10" i="19"/>
  <c r="FI10" i="19"/>
  <c r="FG10" i="19"/>
  <c r="EW10" i="19"/>
  <c r="EP10" i="19"/>
  <c r="DV10" i="19"/>
  <c r="CZ10" i="19"/>
  <c r="CW10" i="19"/>
  <c r="CT10" i="19"/>
  <c r="BP10" i="19"/>
  <c r="BO10" i="19"/>
  <c r="AL10" i="19"/>
  <c r="AH10" i="19"/>
  <c r="T10" i="19"/>
  <c r="G10" i="19"/>
  <c r="D10" i="19"/>
  <c r="GE9" i="19"/>
  <c r="FX9" i="19"/>
  <c r="FV9" i="19"/>
  <c r="FI9" i="19"/>
  <c r="FG9" i="19"/>
  <c r="EW9" i="19"/>
  <c r="EP9" i="19"/>
  <c r="DV9" i="19"/>
  <c r="CZ9" i="19"/>
  <c r="CW9" i="19"/>
  <c r="CT9" i="19"/>
  <c r="BP9" i="19"/>
  <c r="BO9" i="19"/>
  <c r="AL9" i="19"/>
  <c r="AH9" i="19"/>
  <c r="T9" i="19"/>
  <c r="G9" i="19"/>
  <c r="D9" i="19"/>
  <c r="GE8" i="19"/>
  <c r="FX8" i="19"/>
  <c r="FV8" i="19"/>
  <c r="FI8" i="19"/>
  <c r="FG8" i="19"/>
  <c r="EW8" i="19"/>
  <c r="EP8" i="19"/>
  <c r="DV8" i="19"/>
  <c r="CZ8" i="19"/>
  <c r="CW8" i="19"/>
  <c r="CT8" i="19"/>
  <c r="BP8" i="19"/>
  <c r="BO8" i="19"/>
  <c r="AL8" i="19"/>
  <c r="AH8" i="19"/>
  <c r="T8" i="19"/>
  <c r="G8" i="19"/>
  <c r="D8" i="19"/>
  <c r="GE7" i="19"/>
  <c r="FX7" i="19"/>
  <c r="FV7" i="19"/>
  <c r="FI7" i="19"/>
  <c r="FG7" i="19"/>
  <c r="EW7" i="19"/>
  <c r="EP7" i="19"/>
  <c r="DV7" i="19"/>
  <c r="CZ7" i="19"/>
  <c r="CW7" i="19"/>
  <c r="CT7" i="19"/>
  <c r="BP7" i="19"/>
  <c r="BO7" i="19"/>
  <c r="AL7" i="19"/>
  <c r="AH7" i="19"/>
  <c r="T7" i="19"/>
  <c r="G7" i="19"/>
  <c r="D7" i="19"/>
  <c r="GE6" i="19"/>
  <c r="FX6" i="19"/>
  <c r="FV6" i="19"/>
  <c r="FI6" i="19"/>
  <c r="FG6" i="19"/>
  <c r="EW6" i="19"/>
  <c r="EP6" i="19"/>
  <c r="DV6" i="19"/>
  <c r="CZ6" i="19"/>
  <c r="CW6" i="19"/>
  <c r="CT6" i="19"/>
  <c r="BP6" i="19"/>
  <c r="BO6" i="19"/>
  <c r="AL6" i="19"/>
  <c r="AH6" i="19"/>
  <c r="AH54" i="19" s="1"/>
  <c r="T6" i="19"/>
  <c r="G6" i="19"/>
  <c r="D6" i="19"/>
  <c r="GI59" i="18"/>
  <c r="GD59" i="18"/>
  <c r="GC59" i="18"/>
  <c r="GB59" i="18"/>
  <c r="GA59" i="18"/>
  <c r="FZ59" i="18"/>
  <c r="FY59" i="18"/>
  <c r="FW59" i="18"/>
  <c r="FM59" i="18"/>
  <c r="FL59" i="18"/>
  <c r="FK59" i="18"/>
  <c r="FJ59" i="18"/>
  <c r="FH59" i="18"/>
  <c r="FF59" i="18"/>
  <c r="FE59" i="18"/>
  <c r="FD59" i="18"/>
  <c r="FC59" i="18"/>
  <c r="FB59" i="18"/>
  <c r="FA59" i="18"/>
  <c r="EZ59" i="18"/>
  <c r="EY59" i="18"/>
  <c r="EX59" i="18"/>
  <c r="EW59" i="18"/>
  <c r="EV59" i="18"/>
  <c r="EU59" i="18"/>
  <c r="ET59" i="18"/>
  <c r="ES59" i="18"/>
  <c r="ER59" i="18"/>
  <c r="EQ59" i="18"/>
  <c r="EO59" i="18"/>
  <c r="EN59" i="18"/>
  <c r="EM59" i="18"/>
  <c r="EL59" i="18"/>
  <c r="EK59" i="18"/>
  <c r="EJ59" i="18"/>
  <c r="EI59" i="18"/>
  <c r="EH59" i="18"/>
  <c r="EG59" i="18"/>
  <c r="EF59" i="18"/>
  <c r="EE59" i="18"/>
  <c r="ED59" i="18"/>
  <c r="EC59" i="18"/>
  <c r="EB59" i="18"/>
  <c r="EA59" i="18"/>
  <c r="DZ59" i="18"/>
  <c r="DY59" i="18"/>
  <c r="DX59" i="18"/>
  <c r="DW59" i="18"/>
  <c r="DU59" i="18"/>
  <c r="DT59" i="18"/>
  <c r="DS59" i="18"/>
  <c r="DR59" i="18"/>
  <c r="DQ59" i="18"/>
  <c r="DP59" i="18"/>
  <c r="DO59" i="18"/>
  <c r="DN59" i="18"/>
  <c r="DM59" i="18"/>
  <c r="DL59" i="18"/>
  <c r="DK59" i="18"/>
  <c r="DJ59" i="18"/>
  <c r="DI59" i="18"/>
  <c r="DH59" i="18"/>
  <c r="DG59" i="18"/>
  <c r="DF59" i="18"/>
  <c r="DE59" i="18"/>
  <c r="DD59" i="18"/>
  <c r="DC59" i="18"/>
  <c r="DB59" i="18"/>
  <c r="DA59" i="18"/>
  <c r="CY59" i="18"/>
  <c r="CX59" i="18"/>
  <c r="CV59" i="18"/>
  <c r="CU59" i="18"/>
  <c r="CS59" i="18"/>
  <c r="CR59" i="18"/>
  <c r="CQ59" i="18"/>
  <c r="CP59" i="18"/>
  <c r="CO59" i="18"/>
  <c r="CN59" i="18"/>
  <c r="CM59" i="18"/>
  <c r="CL59" i="18"/>
  <c r="CK59" i="18"/>
  <c r="CI59" i="18"/>
  <c r="CH59" i="18"/>
  <c r="CG59" i="18"/>
  <c r="CF59" i="18"/>
  <c r="CE59" i="18"/>
  <c r="CD59" i="18"/>
  <c r="CC59" i="18"/>
  <c r="CB59" i="18"/>
  <c r="CA59" i="18"/>
  <c r="BZ59" i="18"/>
  <c r="BY59" i="18"/>
  <c r="BX59" i="18"/>
  <c r="BW59" i="18"/>
  <c r="BV59" i="18"/>
  <c r="BU59" i="18"/>
  <c r="BT59" i="18"/>
  <c r="BS59" i="18"/>
  <c r="BR59" i="18"/>
  <c r="BQ59" i="18"/>
  <c r="BN59" i="18"/>
  <c r="BM59" i="18"/>
  <c r="BL59" i="18"/>
  <c r="BK59" i="18"/>
  <c r="BJ59" i="18"/>
  <c r="BI59" i="18"/>
  <c r="BH59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K59" i="18"/>
  <c r="AJ59" i="18"/>
  <c r="AI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F59" i="18"/>
  <c r="E59" i="18"/>
  <c r="C59" i="18"/>
  <c r="GI58" i="18"/>
  <c r="GD58" i="18"/>
  <c r="GC58" i="18"/>
  <c r="GB58" i="18"/>
  <c r="GA58" i="18"/>
  <c r="FZ58" i="18"/>
  <c r="FY58" i="18"/>
  <c r="FW58" i="18"/>
  <c r="FM58" i="18"/>
  <c r="FL58" i="18"/>
  <c r="FK58" i="18"/>
  <c r="FJ58" i="18"/>
  <c r="FH58" i="18"/>
  <c r="FF58" i="18"/>
  <c r="FE58" i="18"/>
  <c r="FD58" i="18"/>
  <c r="FC58" i="18"/>
  <c r="FB58" i="18"/>
  <c r="FA58" i="18"/>
  <c r="EZ58" i="18"/>
  <c r="EY58" i="18"/>
  <c r="EX58" i="18"/>
  <c r="EW58" i="18"/>
  <c r="EV58" i="18"/>
  <c r="EU58" i="18"/>
  <c r="ET58" i="18"/>
  <c r="ES58" i="18"/>
  <c r="ER58" i="18"/>
  <c r="EQ58" i="18"/>
  <c r="EO58" i="18"/>
  <c r="EN58" i="18"/>
  <c r="EM58" i="18"/>
  <c r="EL58" i="18"/>
  <c r="EK58" i="18"/>
  <c r="EJ58" i="18"/>
  <c r="EI58" i="18"/>
  <c r="EH58" i="18"/>
  <c r="EG58" i="18"/>
  <c r="EF58" i="18"/>
  <c r="EE58" i="18"/>
  <c r="ED58" i="18"/>
  <c r="EC58" i="18"/>
  <c r="EB58" i="18"/>
  <c r="EA58" i="18"/>
  <c r="DZ58" i="18"/>
  <c r="DY58" i="18"/>
  <c r="DX58" i="18"/>
  <c r="DW58" i="18"/>
  <c r="DU58" i="18"/>
  <c r="DT58" i="18"/>
  <c r="DS58" i="18"/>
  <c r="DR58" i="18"/>
  <c r="DQ58" i="18"/>
  <c r="DP58" i="18"/>
  <c r="DO58" i="18"/>
  <c r="DN58" i="18"/>
  <c r="DM58" i="18"/>
  <c r="DL58" i="18"/>
  <c r="DK58" i="18"/>
  <c r="DJ58" i="18"/>
  <c r="DI58" i="18"/>
  <c r="DH58" i="18"/>
  <c r="DG58" i="18"/>
  <c r="DF58" i="18"/>
  <c r="DE58" i="18"/>
  <c r="DD58" i="18"/>
  <c r="DC58" i="18"/>
  <c r="DB58" i="18"/>
  <c r="DA58" i="18"/>
  <c r="CY58" i="18"/>
  <c r="CX58" i="18"/>
  <c r="CV58" i="18"/>
  <c r="CU58" i="18"/>
  <c r="CS58" i="18"/>
  <c r="CR58" i="18"/>
  <c r="CQ58" i="18"/>
  <c r="CP58" i="18"/>
  <c r="CO58" i="18"/>
  <c r="CN58" i="18"/>
  <c r="CM58" i="18"/>
  <c r="CL58" i="18"/>
  <c r="CK58" i="18"/>
  <c r="CI58" i="18"/>
  <c r="CH58" i="18"/>
  <c r="CG58" i="18"/>
  <c r="CF58" i="18"/>
  <c r="CE58" i="18"/>
  <c r="CD58" i="18"/>
  <c r="CC58" i="18"/>
  <c r="CB58" i="18"/>
  <c r="CA58" i="18"/>
  <c r="BZ58" i="18"/>
  <c r="BY58" i="18"/>
  <c r="BX58" i="18"/>
  <c r="BW58" i="18"/>
  <c r="BV58" i="18"/>
  <c r="BU58" i="18"/>
  <c r="BT58" i="18"/>
  <c r="BS58" i="18"/>
  <c r="BR58" i="18"/>
  <c r="BQ58" i="18"/>
  <c r="BN58" i="18"/>
  <c r="BM58" i="18"/>
  <c r="BL58" i="18"/>
  <c r="BK58" i="18"/>
  <c r="BJ58" i="18"/>
  <c r="BI58" i="18"/>
  <c r="BH58" i="18"/>
  <c r="BG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K58" i="18"/>
  <c r="AJ58" i="18"/>
  <c r="AI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F58" i="18"/>
  <c r="E58" i="18"/>
  <c r="C58" i="18"/>
  <c r="GI57" i="18"/>
  <c r="GD57" i="18"/>
  <c r="GC57" i="18"/>
  <c r="GB57" i="18"/>
  <c r="GA57" i="18"/>
  <c r="FZ57" i="18"/>
  <c r="FY57" i="18"/>
  <c r="FW57" i="18"/>
  <c r="FM57" i="18"/>
  <c r="FL57" i="18"/>
  <c r="FK57" i="18"/>
  <c r="FJ57" i="18"/>
  <c r="FH57" i="18"/>
  <c r="FF57" i="18"/>
  <c r="FE57" i="18"/>
  <c r="FD57" i="18"/>
  <c r="FC57" i="18"/>
  <c r="FB57" i="18"/>
  <c r="FA57" i="18"/>
  <c r="EZ57" i="18"/>
  <c r="EY57" i="18"/>
  <c r="EX57" i="18"/>
  <c r="EV57" i="18"/>
  <c r="EU57" i="18"/>
  <c r="ET57" i="18"/>
  <c r="ES57" i="18"/>
  <c r="ER57" i="18"/>
  <c r="EQ57" i="18"/>
  <c r="EO57" i="18"/>
  <c r="EN57" i="18"/>
  <c r="EM57" i="18"/>
  <c r="EL57" i="18"/>
  <c r="EK57" i="18"/>
  <c r="EJ57" i="18"/>
  <c r="EI57" i="18"/>
  <c r="EH57" i="18"/>
  <c r="EG57" i="18"/>
  <c r="EF57" i="18"/>
  <c r="EE57" i="18"/>
  <c r="ED57" i="18"/>
  <c r="EC57" i="18"/>
  <c r="EB57" i="18"/>
  <c r="EA57" i="18"/>
  <c r="DZ57" i="18"/>
  <c r="DY57" i="18"/>
  <c r="DX57" i="18"/>
  <c r="DW57" i="18"/>
  <c r="DU57" i="18"/>
  <c r="DT57" i="18"/>
  <c r="DS57" i="18"/>
  <c r="DR57" i="18"/>
  <c r="DQ57" i="18"/>
  <c r="DP57" i="18"/>
  <c r="DO57" i="18"/>
  <c r="DN57" i="18"/>
  <c r="DM57" i="18"/>
  <c r="DL57" i="18"/>
  <c r="DK57" i="18"/>
  <c r="DJ57" i="18"/>
  <c r="DI57" i="18"/>
  <c r="DH57" i="18"/>
  <c r="DG57" i="18"/>
  <c r="DF57" i="18"/>
  <c r="DE57" i="18"/>
  <c r="DD57" i="18"/>
  <c r="DC57" i="18"/>
  <c r="DB57" i="18"/>
  <c r="DA57" i="18"/>
  <c r="CY57" i="18"/>
  <c r="CX57" i="18"/>
  <c r="CV57" i="18"/>
  <c r="CU57" i="18"/>
  <c r="CS57" i="18"/>
  <c r="CR57" i="18"/>
  <c r="CQ57" i="18"/>
  <c r="CP57" i="18"/>
  <c r="CO57" i="18"/>
  <c r="CN57" i="18"/>
  <c r="CM57" i="18"/>
  <c r="CL57" i="18"/>
  <c r="CK57" i="18"/>
  <c r="CI57" i="18"/>
  <c r="CH57" i="18"/>
  <c r="CG57" i="18"/>
  <c r="CF57" i="18"/>
  <c r="CE57" i="18"/>
  <c r="CD57" i="18"/>
  <c r="CC57" i="18"/>
  <c r="CB57" i="18"/>
  <c r="CA57" i="18"/>
  <c r="BZ57" i="18"/>
  <c r="BY57" i="18"/>
  <c r="BX57" i="18"/>
  <c r="BW57" i="18"/>
  <c r="BV57" i="18"/>
  <c r="BU57" i="18"/>
  <c r="BT57" i="18"/>
  <c r="BS57" i="18"/>
  <c r="BR57" i="18"/>
  <c r="BQ57" i="18"/>
  <c r="BN57" i="18"/>
  <c r="BM57" i="18"/>
  <c r="BL57" i="18"/>
  <c r="BK57" i="18"/>
  <c r="BJ57" i="18"/>
  <c r="BI57" i="18"/>
  <c r="BH57" i="18"/>
  <c r="BG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K57" i="18"/>
  <c r="AJ57" i="18"/>
  <c r="AI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F57" i="18"/>
  <c r="E57" i="18"/>
  <c r="C57" i="18"/>
  <c r="GI56" i="18"/>
  <c r="GD56" i="18"/>
  <c r="GC56" i="18"/>
  <c r="GB56" i="18"/>
  <c r="GA56" i="18"/>
  <c r="FZ56" i="18"/>
  <c r="FY56" i="18"/>
  <c r="FW56" i="18"/>
  <c r="FM56" i="18"/>
  <c r="FL56" i="18"/>
  <c r="FK56" i="18"/>
  <c r="FJ56" i="18"/>
  <c r="FH56" i="18"/>
  <c r="FF56" i="18"/>
  <c r="FE56" i="18"/>
  <c r="FD56" i="18"/>
  <c r="FC56" i="18"/>
  <c r="FB56" i="18"/>
  <c r="FA56" i="18"/>
  <c r="EZ56" i="18"/>
  <c r="EY56" i="18"/>
  <c r="EX56" i="18"/>
  <c r="EV56" i="18"/>
  <c r="EU56" i="18"/>
  <c r="ET56" i="18"/>
  <c r="ES56" i="18"/>
  <c r="ER56" i="18"/>
  <c r="EQ56" i="18"/>
  <c r="EO56" i="18"/>
  <c r="EN56" i="18"/>
  <c r="EM56" i="18"/>
  <c r="EL56" i="18"/>
  <c r="EK56" i="18"/>
  <c r="EJ56" i="18"/>
  <c r="EI56" i="18"/>
  <c r="EH56" i="18"/>
  <c r="EG56" i="18"/>
  <c r="EF56" i="18"/>
  <c r="EE56" i="18"/>
  <c r="ED56" i="18"/>
  <c r="EC56" i="18"/>
  <c r="EB56" i="18"/>
  <c r="EA56" i="18"/>
  <c r="DZ56" i="18"/>
  <c r="DY56" i="18"/>
  <c r="DX56" i="18"/>
  <c r="DW56" i="18"/>
  <c r="DU56" i="18"/>
  <c r="DT56" i="18"/>
  <c r="DS56" i="18"/>
  <c r="DR56" i="18"/>
  <c r="DQ56" i="18"/>
  <c r="DP56" i="18"/>
  <c r="DO56" i="18"/>
  <c r="DN56" i="18"/>
  <c r="DM56" i="18"/>
  <c r="DL56" i="18"/>
  <c r="DK56" i="18"/>
  <c r="DJ56" i="18"/>
  <c r="DI56" i="18"/>
  <c r="DH56" i="18"/>
  <c r="DG56" i="18"/>
  <c r="DF56" i="18"/>
  <c r="DE56" i="18"/>
  <c r="DD56" i="18"/>
  <c r="DC56" i="18"/>
  <c r="DB56" i="18"/>
  <c r="DA56" i="18"/>
  <c r="CY56" i="18"/>
  <c r="CX56" i="18"/>
  <c r="CV56" i="18"/>
  <c r="CU56" i="18"/>
  <c r="CS56" i="18"/>
  <c r="CR56" i="18"/>
  <c r="CQ56" i="18"/>
  <c r="CP56" i="18"/>
  <c r="CO56" i="18"/>
  <c r="CN56" i="18"/>
  <c r="CM56" i="18"/>
  <c r="CL56" i="18"/>
  <c r="CK56" i="18"/>
  <c r="CI56" i="18"/>
  <c r="CH56" i="18"/>
  <c r="CG56" i="18"/>
  <c r="CF56" i="18"/>
  <c r="CE56" i="18"/>
  <c r="CD56" i="18"/>
  <c r="CC56" i="18"/>
  <c r="CB56" i="18"/>
  <c r="CA56" i="18"/>
  <c r="BZ56" i="18"/>
  <c r="BY56" i="18"/>
  <c r="BX56" i="18"/>
  <c r="BW56" i="18"/>
  <c r="BV56" i="18"/>
  <c r="BU56" i="18"/>
  <c r="BT56" i="18"/>
  <c r="BS56" i="18"/>
  <c r="BR56" i="18"/>
  <c r="BQ56" i="18"/>
  <c r="BN56" i="18"/>
  <c r="BM56" i="18"/>
  <c r="BL56" i="18"/>
  <c r="BK56" i="18"/>
  <c r="BJ56" i="18"/>
  <c r="BI56" i="18"/>
  <c r="BH56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K56" i="18"/>
  <c r="AJ56" i="18"/>
  <c r="AI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F56" i="18"/>
  <c r="E56" i="18"/>
  <c r="C56" i="18"/>
  <c r="FK54" i="18"/>
  <c r="FK53" i="18"/>
  <c r="FJ53" i="18"/>
  <c r="FJ54" i="18" s="1"/>
  <c r="EI53" i="18"/>
  <c r="EI54" i="18" s="1"/>
  <c r="GV52" i="18"/>
  <c r="FX52" i="18"/>
  <c r="FV52" i="18"/>
  <c r="FI52" i="18"/>
  <c r="FG52" i="18"/>
  <c r="EW52" i="18"/>
  <c r="DV52" i="18"/>
  <c r="CZ52" i="18"/>
  <c r="CW52" i="18"/>
  <c r="CT52" i="18"/>
  <c r="CJ52" i="18"/>
  <c r="BP52" i="18"/>
  <c r="BO52" i="18" s="1"/>
  <c r="AL52" i="18"/>
  <c r="AH52" i="18"/>
  <c r="T52" i="18"/>
  <c r="EP52" i="18" s="1"/>
  <c r="G52" i="18"/>
  <c r="D52" i="18"/>
  <c r="GV51" i="18"/>
  <c r="FX51" i="18"/>
  <c r="FV51" i="18"/>
  <c r="FI51" i="18"/>
  <c r="FI59" i="18" s="1"/>
  <c r="EW51" i="18"/>
  <c r="FG51" i="18" s="1"/>
  <c r="DV51" i="18"/>
  <c r="CZ51" i="18"/>
  <c r="CW51" i="18"/>
  <c r="CT51" i="18"/>
  <c r="CJ51" i="18"/>
  <c r="BP51" i="18"/>
  <c r="BO51" i="18"/>
  <c r="AL51" i="18"/>
  <c r="AH51" i="18"/>
  <c r="AH58" i="18" s="1"/>
  <c r="T51" i="18"/>
  <c r="EP51" i="18" s="1"/>
  <c r="G51" i="18"/>
  <c r="D51" i="18"/>
  <c r="GV50" i="18"/>
  <c r="FX50" i="18"/>
  <c r="FV50" i="18"/>
  <c r="FI50" i="18"/>
  <c r="FG50" i="18"/>
  <c r="EW50" i="18"/>
  <c r="EP50" i="18"/>
  <c r="DV50" i="18"/>
  <c r="CZ50" i="18"/>
  <c r="CW50" i="18"/>
  <c r="CT50" i="18"/>
  <c r="CJ50" i="18"/>
  <c r="BP50" i="18"/>
  <c r="BO50" i="18" s="1"/>
  <c r="AL50" i="18"/>
  <c r="AH50" i="18"/>
  <c r="T50" i="18"/>
  <c r="G50" i="18"/>
  <c r="D50" i="18"/>
  <c r="GV49" i="18"/>
  <c r="FX49" i="18"/>
  <c r="FV49" i="18"/>
  <c r="FI49" i="18"/>
  <c r="EW49" i="18"/>
  <c r="FG49" i="18" s="1"/>
  <c r="DV49" i="18"/>
  <c r="CZ49" i="18"/>
  <c r="CW49" i="18"/>
  <c r="CT49" i="18"/>
  <c r="CJ49" i="18"/>
  <c r="BP49" i="18"/>
  <c r="BO49" i="18"/>
  <c r="AL49" i="18"/>
  <c r="AH49" i="18"/>
  <c r="T49" i="18"/>
  <c r="EP49" i="18" s="1"/>
  <c r="G49" i="18"/>
  <c r="D49" i="18"/>
  <c r="GV48" i="18"/>
  <c r="GE48" i="18"/>
  <c r="FX48" i="18"/>
  <c r="FV48" i="18"/>
  <c r="FI48" i="18"/>
  <c r="FG48" i="18"/>
  <c r="EW48" i="18"/>
  <c r="DV48" i="18"/>
  <c r="CZ48" i="18"/>
  <c r="CW48" i="18"/>
  <c r="CT48" i="18"/>
  <c r="CJ48" i="18"/>
  <c r="BP48" i="18"/>
  <c r="BO48" i="18"/>
  <c r="AL48" i="18"/>
  <c r="AH48" i="18"/>
  <c r="T48" i="18"/>
  <c r="EP48" i="18" s="1"/>
  <c r="G48" i="18"/>
  <c r="D48" i="18"/>
  <c r="GV47" i="18"/>
  <c r="GE47" i="18"/>
  <c r="FX47" i="18"/>
  <c r="FV47" i="18"/>
  <c r="FI47" i="18"/>
  <c r="EW47" i="18"/>
  <c r="FG47" i="18" s="1"/>
  <c r="DV47" i="18"/>
  <c r="CZ47" i="18"/>
  <c r="CW47" i="18"/>
  <c r="CT47" i="18"/>
  <c r="CJ47" i="18"/>
  <c r="BP47" i="18"/>
  <c r="BO47" i="18"/>
  <c r="AL47" i="18"/>
  <c r="AH47" i="18"/>
  <c r="T47" i="18"/>
  <c r="EP47" i="18" s="1"/>
  <c r="G47" i="18"/>
  <c r="D47" i="18"/>
  <c r="GV46" i="18"/>
  <c r="FX46" i="18"/>
  <c r="FV46" i="18"/>
  <c r="FI46" i="18"/>
  <c r="FG46" i="18"/>
  <c r="EW46" i="18"/>
  <c r="EP46" i="18"/>
  <c r="DV46" i="18"/>
  <c r="CZ46" i="18"/>
  <c r="CW46" i="18"/>
  <c r="CT46" i="18"/>
  <c r="CJ46" i="18"/>
  <c r="BP46" i="18"/>
  <c r="BO46" i="18" s="1"/>
  <c r="AL46" i="18"/>
  <c r="AH46" i="18"/>
  <c r="T46" i="18"/>
  <c r="G46" i="18"/>
  <c r="D46" i="18"/>
  <c r="GV45" i="18"/>
  <c r="FX45" i="18"/>
  <c r="FV45" i="18"/>
  <c r="FI45" i="18"/>
  <c r="EW45" i="18"/>
  <c r="FG45" i="18" s="1"/>
  <c r="EP45" i="18"/>
  <c r="DV45" i="18"/>
  <c r="CZ45" i="18"/>
  <c r="CW45" i="18"/>
  <c r="CT45" i="18"/>
  <c r="CJ45" i="18"/>
  <c r="BP45" i="18"/>
  <c r="BO45" i="18"/>
  <c r="AL45" i="18"/>
  <c r="AH45" i="18"/>
  <c r="T45" i="18"/>
  <c r="G45" i="18"/>
  <c r="D45" i="18"/>
  <c r="GV44" i="18"/>
  <c r="GW50" i="18" s="1"/>
  <c r="GE50" i="18" s="1"/>
  <c r="GE44" i="18"/>
  <c r="FX44" i="18"/>
  <c r="FV44" i="18"/>
  <c r="FI44" i="18"/>
  <c r="EW44" i="18"/>
  <c r="FG44" i="18" s="1"/>
  <c r="EP44" i="18"/>
  <c r="DV44" i="18"/>
  <c r="CZ44" i="18"/>
  <c r="CW44" i="18"/>
  <c r="CT44" i="18"/>
  <c r="CJ44" i="18"/>
  <c r="BP44" i="18"/>
  <c r="BO44" i="18"/>
  <c r="AL44" i="18"/>
  <c r="AH44" i="18"/>
  <c r="T44" i="18"/>
  <c r="G44" i="18"/>
  <c r="D44" i="18"/>
  <c r="GV43" i="18"/>
  <c r="FX43" i="18"/>
  <c r="FV43" i="18"/>
  <c r="FI43" i="18"/>
  <c r="FG43" i="18"/>
  <c r="EW43" i="18"/>
  <c r="EP43" i="18"/>
  <c r="DV43" i="18"/>
  <c r="CZ43" i="18"/>
  <c r="CW43" i="18"/>
  <c r="CT43" i="18"/>
  <c r="CJ43" i="18"/>
  <c r="BP43" i="18"/>
  <c r="BO43" i="18" s="1"/>
  <c r="AL43" i="18"/>
  <c r="AH43" i="18"/>
  <c r="T43" i="18"/>
  <c r="G43" i="18"/>
  <c r="D43" i="18"/>
  <c r="D57" i="18" s="1"/>
  <c r="GV42" i="18"/>
  <c r="FX42" i="18"/>
  <c r="FV42" i="18"/>
  <c r="FI42" i="18"/>
  <c r="EW42" i="18"/>
  <c r="FG42" i="18" s="1"/>
  <c r="DV42" i="18"/>
  <c r="CZ42" i="18"/>
  <c r="CZ57" i="18" s="1"/>
  <c r="CW42" i="18"/>
  <c r="CT42" i="18"/>
  <c r="CJ42" i="18"/>
  <c r="BP42" i="18"/>
  <c r="BO42" i="18"/>
  <c r="AL42" i="18"/>
  <c r="AH42" i="18"/>
  <c r="T42" i="18"/>
  <c r="EP42" i="18" s="1"/>
  <c r="G42" i="18"/>
  <c r="D42" i="18"/>
  <c r="GV41" i="18"/>
  <c r="FX41" i="18"/>
  <c r="FV41" i="18"/>
  <c r="FI41" i="18"/>
  <c r="EW41" i="18"/>
  <c r="FG41" i="18" s="1"/>
  <c r="EP41" i="18"/>
  <c r="DV41" i="18"/>
  <c r="CZ41" i="18"/>
  <c r="CW41" i="18"/>
  <c r="CT41" i="18"/>
  <c r="CJ41" i="18"/>
  <c r="BP41" i="18"/>
  <c r="BO41" i="18"/>
  <c r="AL41" i="18"/>
  <c r="AL57" i="18" s="1"/>
  <c r="AH41" i="18"/>
  <c r="T41" i="18"/>
  <c r="G41" i="18"/>
  <c r="D41" i="18"/>
  <c r="GV40" i="18"/>
  <c r="FX40" i="18"/>
  <c r="FV40" i="18"/>
  <c r="FI40" i="18"/>
  <c r="FI57" i="18" s="1"/>
  <c r="EW40" i="18"/>
  <c r="FG40" i="18" s="1"/>
  <c r="EP40" i="18"/>
  <c r="DV40" i="18"/>
  <c r="CZ40" i="18"/>
  <c r="CW40" i="18"/>
  <c r="CW57" i="18" s="1"/>
  <c r="CT40" i="18"/>
  <c r="CJ40" i="18"/>
  <c r="BP40" i="18"/>
  <c r="BO40" i="18"/>
  <c r="AL40" i="18"/>
  <c r="AH40" i="18"/>
  <c r="T40" i="18"/>
  <c r="G40" i="18"/>
  <c r="G57" i="18" s="1"/>
  <c r="D40" i="18"/>
  <c r="GV39" i="18"/>
  <c r="FX39" i="18"/>
  <c r="FV39" i="18"/>
  <c r="FI39" i="18"/>
  <c r="FG39" i="18"/>
  <c r="FG58" i="18" s="1"/>
  <c r="EW39" i="18"/>
  <c r="DV39" i="18"/>
  <c r="DV58" i="18" s="1"/>
  <c r="CZ39" i="18"/>
  <c r="CW39" i="18"/>
  <c r="CW58" i="18" s="1"/>
  <c r="CT39" i="18"/>
  <c r="CJ39" i="18"/>
  <c r="BP39" i="18"/>
  <c r="BP58" i="18" s="1"/>
  <c r="AL39" i="18"/>
  <c r="AL56" i="18" s="1"/>
  <c r="AH39" i="18"/>
  <c r="T39" i="18"/>
  <c r="T58" i="18" s="1"/>
  <c r="G39" i="18"/>
  <c r="D39" i="18"/>
  <c r="D58" i="18" s="1"/>
  <c r="GV38" i="18"/>
  <c r="FX38" i="18"/>
  <c r="FV38" i="18"/>
  <c r="FI38" i="18"/>
  <c r="EW38" i="18"/>
  <c r="FG38" i="18" s="1"/>
  <c r="EP38" i="18"/>
  <c r="DV38" i="18"/>
  <c r="CZ38" i="18"/>
  <c r="CW38" i="18"/>
  <c r="CT38" i="18"/>
  <c r="CJ38" i="18"/>
  <c r="BP38" i="18"/>
  <c r="BO38" i="18"/>
  <c r="AL38" i="18"/>
  <c r="AH38" i="18"/>
  <c r="T38" i="18"/>
  <c r="G38" i="18"/>
  <c r="D38" i="18"/>
  <c r="GV37" i="18"/>
  <c r="GE37" i="18"/>
  <c r="FX37" i="18"/>
  <c r="FV37" i="18"/>
  <c r="FI37" i="18"/>
  <c r="EW37" i="18"/>
  <c r="FG37" i="18" s="1"/>
  <c r="EP37" i="18"/>
  <c r="DV37" i="18"/>
  <c r="CZ37" i="18"/>
  <c r="CW37" i="18"/>
  <c r="CT37" i="18"/>
  <c r="CJ37" i="18"/>
  <c r="BP37" i="18"/>
  <c r="BO37" i="18"/>
  <c r="AL37" i="18"/>
  <c r="AH37" i="18"/>
  <c r="T37" i="18"/>
  <c r="G37" i="18"/>
  <c r="D37" i="18"/>
  <c r="GV36" i="18"/>
  <c r="GE36" i="18"/>
  <c r="FX36" i="18"/>
  <c r="FV36" i="18"/>
  <c r="FI36" i="18"/>
  <c r="EW36" i="18"/>
  <c r="FG36" i="18" s="1"/>
  <c r="EP36" i="18"/>
  <c r="DV36" i="18"/>
  <c r="CZ36" i="18"/>
  <c r="CW36" i="18"/>
  <c r="CT36" i="18"/>
  <c r="CJ36" i="18"/>
  <c r="BP36" i="18"/>
  <c r="BO36" i="18"/>
  <c r="AL36" i="18"/>
  <c r="AH36" i="18"/>
  <c r="T36" i="18"/>
  <c r="G36" i="18"/>
  <c r="D36" i="18"/>
  <c r="GV35" i="18"/>
  <c r="GE35" i="18"/>
  <c r="FX35" i="18"/>
  <c r="FV35" i="18"/>
  <c r="FI35" i="18"/>
  <c r="EW35" i="18"/>
  <c r="FG35" i="18" s="1"/>
  <c r="EP35" i="18"/>
  <c r="DV35" i="18"/>
  <c r="CZ35" i="18"/>
  <c r="CW35" i="18"/>
  <c r="CT35" i="18"/>
  <c r="CJ35" i="18"/>
  <c r="BP35" i="18"/>
  <c r="BO35" i="18"/>
  <c r="AL35" i="18"/>
  <c r="AH35" i="18"/>
  <c r="T35" i="18"/>
  <c r="G35" i="18"/>
  <c r="D35" i="18"/>
  <c r="GV34" i="18"/>
  <c r="GE34" i="18"/>
  <c r="FX34" i="18"/>
  <c r="FV34" i="18"/>
  <c r="FI34" i="18"/>
  <c r="EW34" i="18"/>
  <c r="FG34" i="18" s="1"/>
  <c r="EP34" i="18"/>
  <c r="DV34" i="18"/>
  <c r="CZ34" i="18"/>
  <c r="CW34" i="18"/>
  <c r="CT34" i="18"/>
  <c r="CJ34" i="18"/>
  <c r="BP34" i="18"/>
  <c r="BO34" i="18"/>
  <c r="AL34" i="18"/>
  <c r="AH34" i="18"/>
  <c r="T34" i="18"/>
  <c r="G34" i="18"/>
  <c r="D34" i="18"/>
  <c r="GV33" i="18"/>
  <c r="GE33" i="18"/>
  <c r="FX33" i="18"/>
  <c r="FV33" i="18"/>
  <c r="FI33" i="18"/>
  <c r="EW33" i="18"/>
  <c r="FG33" i="18" s="1"/>
  <c r="EP33" i="18"/>
  <c r="DV33" i="18"/>
  <c r="CZ33" i="18"/>
  <c r="CW33" i="18"/>
  <c r="CT33" i="18"/>
  <c r="CJ33" i="18"/>
  <c r="BP33" i="18"/>
  <c r="BO33" i="18"/>
  <c r="AL33" i="18"/>
  <c r="AH33" i="18"/>
  <c r="T33" i="18"/>
  <c r="G33" i="18"/>
  <c r="D33" i="18"/>
  <c r="GV32" i="18"/>
  <c r="GE32" i="18"/>
  <c r="FX32" i="18"/>
  <c r="FV32" i="18"/>
  <c r="FI32" i="18"/>
  <c r="EW32" i="18"/>
  <c r="FG32" i="18" s="1"/>
  <c r="EP32" i="18"/>
  <c r="DV32" i="18"/>
  <c r="CZ32" i="18"/>
  <c r="CW32" i="18"/>
  <c r="CT32" i="18"/>
  <c r="CJ32" i="18"/>
  <c r="BP32" i="18"/>
  <c r="BO32" i="18"/>
  <c r="AL32" i="18"/>
  <c r="AH32" i="18"/>
  <c r="T32" i="18"/>
  <c r="G32" i="18"/>
  <c r="D32" i="18"/>
  <c r="GV31" i="18"/>
  <c r="GE31" i="18"/>
  <c r="FX31" i="18"/>
  <c r="FV31" i="18"/>
  <c r="FI31" i="18"/>
  <c r="EW31" i="18"/>
  <c r="FG31" i="18" s="1"/>
  <c r="EP31" i="18"/>
  <c r="DV31" i="18"/>
  <c r="CZ31" i="18"/>
  <c r="CW31" i="18"/>
  <c r="CT31" i="18"/>
  <c r="CJ31" i="18"/>
  <c r="BP31" i="18"/>
  <c r="BO31" i="18"/>
  <c r="AL31" i="18"/>
  <c r="AH31" i="18"/>
  <c r="T31" i="18"/>
  <c r="G31" i="18"/>
  <c r="D31" i="18"/>
  <c r="GV30" i="18"/>
  <c r="GE30" i="18"/>
  <c r="FX30" i="18"/>
  <c r="FV30" i="18"/>
  <c r="FI30" i="18"/>
  <c r="EW30" i="18"/>
  <c r="FG30" i="18" s="1"/>
  <c r="EP30" i="18"/>
  <c r="DV30" i="18"/>
  <c r="CZ30" i="18"/>
  <c r="CW30" i="18"/>
  <c r="CT30" i="18"/>
  <c r="CJ30" i="18"/>
  <c r="BP30" i="18"/>
  <c r="BO30" i="18"/>
  <c r="AL30" i="18"/>
  <c r="AH30" i="18"/>
  <c r="T30" i="18"/>
  <c r="G30" i="18"/>
  <c r="D30" i="18"/>
  <c r="GV29" i="18"/>
  <c r="GE29" i="18"/>
  <c r="FX29" i="18"/>
  <c r="FV29" i="18"/>
  <c r="FI29" i="18"/>
  <c r="EW29" i="18"/>
  <c r="FG29" i="18" s="1"/>
  <c r="EP29" i="18"/>
  <c r="DV29" i="18"/>
  <c r="CZ29" i="18"/>
  <c r="CW29" i="18"/>
  <c r="CT29" i="18"/>
  <c r="CJ29" i="18"/>
  <c r="BP29" i="18"/>
  <c r="BO29" i="18"/>
  <c r="AL29" i="18"/>
  <c r="AH29" i="18"/>
  <c r="T29" i="18"/>
  <c r="G29" i="18"/>
  <c r="D29" i="18"/>
  <c r="GV28" i="18"/>
  <c r="GE28" i="18"/>
  <c r="FX28" i="18"/>
  <c r="FV28" i="18"/>
  <c r="FI28" i="18"/>
  <c r="EW28" i="18"/>
  <c r="FG28" i="18" s="1"/>
  <c r="EP28" i="18"/>
  <c r="DV28" i="18"/>
  <c r="CZ28" i="18"/>
  <c r="CW28" i="18"/>
  <c r="CT28" i="18"/>
  <c r="CJ28" i="18"/>
  <c r="BP28" i="18"/>
  <c r="BO28" i="18"/>
  <c r="AL28" i="18"/>
  <c r="AH28" i="18"/>
  <c r="T28" i="18"/>
  <c r="G28" i="18"/>
  <c r="D28" i="18"/>
  <c r="GV27" i="18"/>
  <c r="GE27" i="18"/>
  <c r="FX27" i="18"/>
  <c r="FV27" i="18"/>
  <c r="FI27" i="18"/>
  <c r="EW27" i="18"/>
  <c r="FG27" i="18" s="1"/>
  <c r="EP27" i="18"/>
  <c r="DV27" i="18"/>
  <c r="CZ27" i="18"/>
  <c r="CW27" i="18"/>
  <c r="CT27" i="18"/>
  <c r="CJ27" i="18"/>
  <c r="BP27" i="18"/>
  <c r="BO27" i="18"/>
  <c r="AL27" i="18"/>
  <c r="AH27" i="18"/>
  <c r="T27" i="18"/>
  <c r="G27" i="18"/>
  <c r="D27" i="18"/>
  <c r="GV26" i="18"/>
  <c r="GE26" i="18"/>
  <c r="FX26" i="18"/>
  <c r="FV26" i="18"/>
  <c r="FI26" i="18"/>
  <c r="EW26" i="18"/>
  <c r="FG26" i="18" s="1"/>
  <c r="EP26" i="18"/>
  <c r="DV26" i="18"/>
  <c r="CZ26" i="18"/>
  <c r="CW26" i="18"/>
  <c r="CT26" i="18"/>
  <c r="CJ26" i="18"/>
  <c r="BP26" i="18"/>
  <c r="BO26" i="18"/>
  <c r="AL26" i="18"/>
  <c r="AH26" i="18"/>
  <c r="T26" i="18"/>
  <c r="G26" i="18"/>
  <c r="D26" i="18"/>
  <c r="GV25" i="18"/>
  <c r="FX25" i="18"/>
  <c r="FV25" i="18"/>
  <c r="FI25" i="18"/>
  <c r="FG25" i="18"/>
  <c r="EW25" i="18"/>
  <c r="DV25" i="18"/>
  <c r="CZ25" i="18"/>
  <c r="CW25" i="18"/>
  <c r="CT25" i="18"/>
  <c r="CJ25" i="18"/>
  <c r="BP25" i="18"/>
  <c r="BO25" i="18" s="1"/>
  <c r="AL25" i="18"/>
  <c r="AH25" i="18"/>
  <c r="T25" i="18"/>
  <c r="EP25" i="18" s="1"/>
  <c r="G25" i="18"/>
  <c r="D25" i="18"/>
  <c r="GV24" i="18"/>
  <c r="GE24" i="18"/>
  <c r="FX24" i="18"/>
  <c r="FV24" i="18"/>
  <c r="FI24" i="18"/>
  <c r="FG24" i="18"/>
  <c r="EW24" i="18"/>
  <c r="DV24" i="18"/>
  <c r="CZ24" i="18"/>
  <c r="CW24" i="18"/>
  <c r="CT24" i="18"/>
  <c r="CJ24" i="18"/>
  <c r="BP24" i="18"/>
  <c r="BO24" i="18" s="1"/>
  <c r="AL24" i="18"/>
  <c r="AH24" i="18"/>
  <c r="T24" i="18"/>
  <c r="G24" i="18"/>
  <c r="D24" i="18"/>
  <c r="GV23" i="18"/>
  <c r="GE23" i="18"/>
  <c r="FX23" i="18"/>
  <c r="FV23" i="18"/>
  <c r="FI23" i="18"/>
  <c r="FG23" i="18"/>
  <c r="EW23" i="18"/>
  <c r="DV23" i="18"/>
  <c r="CZ23" i="18"/>
  <c r="CW23" i="18"/>
  <c r="CT23" i="18"/>
  <c r="CJ23" i="18"/>
  <c r="BP23" i="18"/>
  <c r="BO23" i="18" s="1"/>
  <c r="AL23" i="18"/>
  <c r="AH23" i="18"/>
  <c r="T23" i="18"/>
  <c r="EP23" i="18" s="1"/>
  <c r="G23" i="18"/>
  <c r="D23" i="18"/>
  <c r="GV22" i="18"/>
  <c r="FX22" i="18"/>
  <c r="FV22" i="18"/>
  <c r="FI22" i="18"/>
  <c r="EW22" i="18"/>
  <c r="FG22" i="18" s="1"/>
  <c r="DV22" i="18"/>
  <c r="CZ22" i="18"/>
  <c r="CW22" i="18"/>
  <c r="CT22" i="18"/>
  <c r="CJ22" i="18"/>
  <c r="BP22" i="18"/>
  <c r="BO22" i="18" s="1"/>
  <c r="AL22" i="18"/>
  <c r="AH22" i="18"/>
  <c r="T22" i="18"/>
  <c r="EP22" i="18" s="1"/>
  <c r="G22" i="18"/>
  <c r="D22" i="18"/>
  <c r="GV21" i="18"/>
  <c r="GE21" i="18"/>
  <c r="FX21" i="18"/>
  <c r="FV21" i="18"/>
  <c r="FI21" i="18"/>
  <c r="EW21" i="18"/>
  <c r="FG21" i="18" s="1"/>
  <c r="DV21" i="18"/>
  <c r="CZ21" i="18"/>
  <c r="CW21" i="18"/>
  <c r="CT21" i="18"/>
  <c r="CJ21" i="18"/>
  <c r="BP21" i="18"/>
  <c r="BO21" i="18"/>
  <c r="AL21" i="18"/>
  <c r="AH21" i="18"/>
  <c r="T21" i="18"/>
  <c r="EP21" i="18" s="1"/>
  <c r="G21" i="18"/>
  <c r="D21" i="18"/>
  <c r="GV20" i="18"/>
  <c r="GE20" i="18"/>
  <c r="FX20" i="18"/>
  <c r="FV20" i="18"/>
  <c r="FI20" i="18"/>
  <c r="FG20" i="18"/>
  <c r="EW20" i="18"/>
  <c r="DV20" i="18"/>
  <c r="CZ20" i="18"/>
  <c r="CW20" i="18"/>
  <c r="CT20" i="18"/>
  <c r="CJ20" i="18"/>
  <c r="BP20" i="18"/>
  <c r="BO20" i="18"/>
  <c r="AL20" i="18"/>
  <c r="AH20" i="18"/>
  <c r="T20" i="18"/>
  <c r="G20" i="18"/>
  <c r="D20" i="18"/>
  <c r="GV19" i="18"/>
  <c r="GE19" i="18"/>
  <c r="FX19" i="18"/>
  <c r="FV19" i="18"/>
  <c r="FI19" i="18"/>
  <c r="EW19" i="18"/>
  <c r="FG19" i="18" s="1"/>
  <c r="DV19" i="18"/>
  <c r="CZ19" i="18"/>
  <c r="CW19" i="18"/>
  <c r="CT19" i="18"/>
  <c r="CJ19" i="18"/>
  <c r="BP19" i="18"/>
  <c r="BO19" i="18"/>
  <c r="AL19" i="18"/>
  <c r="AH19" i="18"/>
  <c r="T19" i="18"/>
  <c r="EP19" i="18" s="1"/>
  <c r="G19" i="18"/>
  <c r="D19" i="18"/>
  <c r="GV18" i="18"/>
  <c r="GE18" i="18"/>
  <c r="FX18" i="18"/>
  <c r="FV18" i="18"/>
  <c r="FI18" i="18"/>
  <c r="EW18" i="18"/>
  <c r="FG18" i="18" s="1"/>
  <c r="DV18" i="18"/>
  <c r="CZ18" i="18"/>
  <c r="CW18" i="18"/>
  <c r="CT18" i="18"/>
  <c r="CJ18" i="18"/>
  <c r="BP18" i="18"/>
  <c r="BO18" i="18" s="1"/>
  <c r="AL18" i="18"/>
  <c r="AH18" i="18"/>
  <c r="T18" i="18"/>
  <c r="G18" i="18"/>
  <c r="D18" i="18"/>
  <c r="GV17" i="18"/>
  <c r="GE17" i="18"/>
  <c r="FX17" i="18"/>
  <c r="FV17" i="18"/>
  <c r="FI17" i="18"/>
  <c r="EW17" i="18"/>
  <c r="FG17" i="18" s="1"/>
  <c r="DV17" i="18"/>
  <c r="CZ17" i="18"/>
  <c r="CW17" i="18"/>
  <c r="CT17" i="18"/>
  <c r="CJ17" i="18"/>
  <c r="BP17" i="18"/>
  <c r="BO17" i="18"/>
  <c r="AL17" i="18"/>
  <c r="AH17" i="18"/>
  <c r="T17" i="18"/>
  <c r="EP17" i="18" s="1"/>
  <c r="G17" i="18"/>
  <c r="D17" i="18"/>
  <c r="GV16" i="18"/>
  <c r="GE16" i="18"/>
  <c r="FX16" i="18"/>
  <c r="FV16" i="18"/>
  <c r="FI16" i="18"/>
  <c r="FG16" i="18"/>
  <c r="EW16" i="18"/>
  <c r="DV16" i="18"/>
  <c r="CZ16" i="18"/>
  <c r="CW16" i="18"/>
  <c r="CT16" i="18"/>
  <c r="CJ16" i="18"/>
  <c r="BP16" i="18"/>
  <c r="BO16" i="18"/>
  <c r="AL16" i="18"/>
  <c r="AH16" i="18"/>
  <c r="T16" i="18"/>
  <c r="EP16" i="18" s="1"/>
  <c r="G16" i="18"/>
  <c r="D16" i="18"/>
  <c r="GV15" i="18"/>
  <c r="GW39" i="18" s="1"/>
  <c r="GE15" i="18"/>
  <c r="FX15" i="18"/>
  <c r="FV15" i="18"/>
  <c r="FI15" i="18"/>
  <c r="FI56" i="18" s="1"/>
  <c r="EW15" i="18"/>
  <c r="FG15" i="18" s="1"/>
  <c r="DV15" i="18"/>
  <c r="DV56" i="18" s="1"/>
  <c r="CZ15" i="18"/>
  <c r="CW15" i="18"/>
  <c r="CT15" i="18"/>
  <c r="CJ15" i="18"/>
  <c r="BP15" i="18"/>
  <c r="BO15" i="18"/>
  <c r="AL15" i="18"/>
  <c r="AH15" i="18"/>
  <c r="AH56" i="18" s="1"/>
  <c r="T15" i="18"/>
  <c r="EP15" i="18" s="1"/>
  <c r="G15" i="18"/>
  <c r="D15" i="18"/>
  <c r="GV14" i="18"/>
  <c r="FX14" i="18"/>
  <c r="FV14" i="18"/>
  <c r="FI14" i="18"/>
  <c r="FG14" i="18"/>
  <c r="EW14" i="18"/>
  <c r="DV14" i="18"/>
  <c r="CZ14" i="18"/>
  <c r="CW14" i="18"/>
  <c r="CT14" i="18"/>
  <c r="CJ14" i="18"/>
  <c r="BP14" i="18"/>
  <c r="BO14" i="18" s="1"/>
  <c r="AL14" i="18"/>
  <c r="AH14" i="18"/>
  <c r="T14" i="18"/>
  <c r="EP14" i="18" s="1"/>
  <c r="G14" i="18"/>
  <c r="D14" i="18"/>
  <c r="GV13" i="18"/>
  <c r="GE13" i="18"/>
  <c r="FX13" i="18"/>
  <c r="FV13" i="18"/>
  <c r="FI13" i="18"/>
  <c r="FG13" i="18"/>
  <c r="EW13" i="18"/>
  <c r="DV13" i="18"/>
  <c r="CZ13" i="18"/>
  <c r="CW13" i="18"/>
  <c r="CT13" i="18"/>
  <c r="CJ13" i="18"/>
  <c r="BP13" i="18"/>
  <c r="BO13" i="18" s="1"/>
  <c r="AL13" i="18"/>
  <c r="AH13" i="18"/>
  <c r="T13" i="18"/>
  <c r="EP13" i="18" s="1"/>
  <c r="G13" i="18"/>
  <c r="D13" i="18"/>
  <c r="GV12" i="18"/>
  <c r="GE12" i="18"/>
  <c r="FX12" i="18"/>
  <c r="FV12" i="18"/>
  <c r="FI12" i="18"/>
  <c r="FG12" i="18"/>
  <c r="EW12" i="18"/>
  <c r="EP12" i="18"/>
  <c r="DV12" i="18"/>
  <c r="CZ12" i="18"/>
  <c r="CW12" i="18"/>
  <c r="CT12" i="18"/>
  <c r="CJ12" i="18"/>
  <c r="BP12" i="18"/>
  <c r="BO12" i="18" s="1"/>
  <c r="AL12" i="18"/>
  <c r="AH12" i="18"/>
  <c r="T12" i="18"/>
  <c r="G12" i="18"/>
  <c r="D12" i="18"/>
  <c r="GV11" i="18"/>
  <c r="GE11" i="18"/>
  <c r="FX11" i="18"/>
  <c r="FV11" i="18"/>
  <c r="FI11" i="18"/>
  <c r="FG11" i="18"/>
  <c r="EW11" i="18"/>
  <c r="DV11" i="18"/>
  <c r="CZ11" i="18"/>
  <c r="CW11" i="18"/>
  <c r="CT11" i="18"/>
  <c r="CJ11" i="18"/>
  <c r="BP11" i="18"/>
  <c r="BO11" i="18" s="1"/>
  <c r="AL11" i="18"/>
  <c r="AH11" i="18"/>
  <c r="T11" i="18"/>
  <c r="EP11" i="18" s="1"/>
  <c r="G11" i="18"/>
  <c r="D11" i="18"/>
  <c r="GV10" i="18"/>
  <c r="GE10" i="18"/>
  <c r="FX10" i="18"/>
  <c r="FV10" i="18"/>
  <c r="FI10" i="18"/>
  <c r="FG10" i="18"/>
  <c r="EW10" i="18"/>
  <c r="DV10" i="18"/>
  <c r="CZ10" i="18"/>
  <c r="CW10" i="18"/>
  <c r="CT10" i="18"/>
  <c r="CJ10" i="18"/>
  <c r="BP10" i="18"/>
  <c r="BO10" i="18" s="1"/>
  <c r="AL10" i="18"/>
  <c r="AH10" i="18"/>
  <c r="T10" i="18"/>
  <c r="EP10" i="18" s="1"/>
  <c r="G10" i="18"/>
  <c r="D10" i="18"/>
  <c r="GV9" i="18"/>
  <c r="GE9" i="18"/>
  <c r="FX9" i="18"/>
  <c r="FV9" i="18"/>
  <c r="FI9" i="18"/>
  <c r="FG9" i="18"/>
  <c r="EW9" i="18"/>
  <c r="DV9" i="18"/>
  <c r="CZ9" i="18"/>
  <c r="CW9" i="18"/>
  <c r="CW56" i="18" s="1"/>
  <c r="CT9" i="18"/>
  <c r="CJ9" i="18"/>
  <c r="BP9" i="18"/>
  <c r="BO9" i="18" s="1"/>
  <c r="AL9" i="18"/>
  <c r="AH9" i="18"/>
  <c r="T9" i="18"/>
  <c r="G9" i="18"/>
  <c r="D9" i="18"/>
  <c r="D56" i="18" s="1"/>
  <c r="GV8" i="18"/>
  <c r="GE8" i="18"/>
  <c r="FX8" i="18"/>
  <c r="FV8" i="18"/>
  <c r="FI8" i="18"/>
  <c r="FG8" i="18"/>
  <c r="EW8" i="18"/>
  <c r="EP8" i="18"/>
  <c r="DV8" i="18"/>
  <c r="CZ8" i="18"/>
  <c r="CW8" i="18"/>
  <c r="CT8" i="18"/>
  <c r="CJ8" i="18"/>
  <c r="BP8" i="18"/>
  <c r="BO8" i="18" s="1"/>
  <c r="AL8" i="18"/>
  <c r="AH8" i="18"/>
  <c r="T8" i="18"/>
  <c r="G8" i="18"/>
  <c r="D8" i="18"/>
  <c r="GV7" i="18"/>
  <c r="GE7" i="18"/>
  <c r="FX7" i="18"/>
  <c r="FV7" i="18"/>
  <c r="FI7" i="18"/>
  <c r="FG7" i="18"/>
  <c r="FG59" i="18" s="1"/>
  <c r="EW7" i="18"/>
  <c r="EP7" i="18"/>
  <c r="DV7" i="18"/>
  <c r="CZ7" i="18"/>
  <c r="CW7" i="18"/>
  <c r="CW59" i="18" s="1"/>
  <c r="CT7" i="18"/>
  <c r="BP7" i="18"/>
  <c r="BO7" i="18"/>
  <c r="AL7" i="18"/>
  <c r="AH7" i="18"/>
  <c r="T7" i="18"/>
  <c r="G7" i="18"/>
  <c r="D7" i="18"/>
  <c r="D59" i="18" s="1"/>
  <c r="GV6" i="18"/>
  <c r="FX6" i="18"/>
  <c r="FV6" i="18"/>
  <c r="FI6" i="18"/>
  <c r="FG6" i="18"/>
  <c r="EW6" i="18"/>
  <c r="EP6" i="18"/>
  <c r="DV6" i="18"/>
  <c r="DV59" i="18" s="1"/>
  <c r="CZ6" i="18"/>
  <c r="CZ59" i="18" s="1"/>
  <c r="CW6" i="18"/>
  <c r="CT6" i="18"/>
  <c r="CT59" i="18" s="1"/>
  <c r="BP6" i="18"/>
  <c r="BO6" i="18"/>
  <c r="AL6" i="18"/>
  <c r="AH6" i="18"/>
  <c r="AH59" i="18" s="1"/>
  <c r="T6" i="18"/>
  <c r="G6" i="18"/>
  <c r="G59" i="18" s="1"/>
  <c r="D6" i="18"/>
  <c r="GI59" i="17"/>
  <c r="GC59" i="17"/>
  <c r="GB59" i="17"/>
  <c r="GA59" i="17"/>
  <c r="FZ59" i="17"/>
  <c r="FY59" i="17"/>
  <c r="FW59" i="17"/>
  <c r="FM59" i="17"/>
  <c r="FL59" i="17"/>
  <c r="FK59" i="17"/>
  <c r="FJ59" i="17"/>
  <c r="FH59" i="17"/>
  <c r="FF59" i="17"/>
  <c r="FE59" i="17"/>
  <c r="FD59" i="17"/>
  <c r="FC59" i="17"/>
  <c r="FB59" i="17"/>
  <c r="FA59" i="17"/>
  <c r="EZ59" i="17"/>
  <c r="EY59" i="17"/>
  <c r="EX59" i="17"/>
  <c r="EV59" i="17"/>
  <c r="EU59" i="17"/>
  <c r="ET59" i="17"/>
  <c r="ES59" i="17"/>
  <c r="ER59" i="17"/>
  <c r="EQ59" i="17"/>
  <c r="EO59" i="17"/>
  <c r="EN59" i="17"/>
  <c r="EM59" i="17"/>
  <c r="EL59" i="17"/>
  <c r="EK59" i="17"/>
  <c r="EJ59" i="17"/>
  <c r="EI59" i="17"/>
  <c r="EH59" i="17"/>
  <c r="EG59" i="17"/>
  <c r="EF59" i="17"/>
  <c r="EE59" i="17"/>
  <c r="ED59" i="17"/>
  <c r="EC59" i="17"/>
  <c r="EB59" i="17"/>
  <c r="EA59" i="17"/>
  <c r="DZ59" i="17"/>
  <c r="DY59" i="17"/>
  <c r="DX59" i="17"/>
  <c r="DW59" i="17"/>
  <c r="DU59" i="17"/>
  <c r="DT59" i="17"/>
  <c r="DS59" i="17"/>
  <c r="DR59" i="17"/>
  <c r="DQ59" i="17"/>
  <c r="DP59" i="17"/>
  <c r="DO59" i="17"/>
  <c r="DN59" i="17"/>
  <c r="DM59" i="17"/>
  <c r="DL59" i="17"/>
  <c r="DK59" i="17"/>
  <c r="DJ59" i="17"/>
  <c r="DI59" i="17"/>
  <c r="DH59" i="17"/>
  <c r="DG59" i="17"/>
  <c r="DF59" i="17"/>
  <c r="DE59" i="17"/>
  <c r="DD59" i="17"/>
  <c r="DC59" i="17"/>
  <c r="DB59" i="17"/>
  <c r="DA59" i="17"/>
  <c r="CY59" i="17"/>
  <c r="CX59" i="17"/>
  <c r="CW59" i="17"/>
  <c r="CV59" i="17"/>
  <c r="CU59" i="17"/>
  <c r="CS59" i="17"/>
  <c r="CR59" i="17"/>
  <c r="CQ59" i="17"/>
  <c r="CP59" i="17"/>
  <c r="CO59" i="17"/>
  <c r="CN59" i="17"/>
  <c r="CM59" i="17"/>
  <c r="CL59" i="17"/>
  <c r="CK59" i="17"/>
  <c r="CI59" i="17"/>
  <c r="CH59" i="17"/>
  <c r="CG59" i="17"/>
  <c r="CF59" i="17"/>
  <c r="CE59" i="17"/>
  <c r="CD59" i="17"/>
  <c r="CC59" i="17"/>
  <c r="CB59" i="17"/>
  <c r="CA59" i="17"/>
  <c r="BZ59" i="17"/>
  <c r="BY59" i="17"/>
  <c r="BX59" i="17"/>
  <c r="BW59" i="17"/>
  <c r="BV59" i="17"/>
  <c r="BU59" i="17"/>
  <c r="BT59" i="17"/>
  <c r="BS59" i="17"/>
  <c r="BR59" i="17"/>
  <c r="BQ59" i="17"/>
  <c r="BN59" i="17"/>
  <c r="BM59" i="17"/>
  <c r="BL59" i="17"/>
  <c r="BK59" i="17"/>
  <c r="BJ59" i="17"/>
  <c r="BI59" i="17"/>
  <c r="BH59" i="17"/>
  <c r="BG59" i="17"/>
  <c r="BF59" i="17"/>
  <c r="BE59" i="17"/>
  <c r="BD59" i="17"/>
  <c r="BC59" i="17"/>
  <c r="BB59" i="17"/>
  <c r="BA59" i="17"/>
  <c r="AZ59" i="17"/>
  <c r="AY59" i="17"/>
  <c r="AX59" i="17"/>
  <c r="AW59" i="17"/>
  <c r="AV59" i="17"/>
  <c r="AU59" i="17"/>
  <c r="AT59" i="17"/>
  <c r="AS59" i="17"/>
  <c r="AR59" i="17"/>
  <c r="AQ59" i="17"/>
  <c r="AP59" i="17"/>
  <c r="AO59" i="17"/>
  <c r="AN59" i="17"/>
  <c r="AM59" i="17"/>
  <c r="AK59" i="17"/>
  <c r="AJ59" i="17"/>
  <c r="AI59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S59" i="17"/>
  <c r="R59" i="17"/>
  <c r="Q59" i="17"/>
  <c r="P59" i="17"/>
  <c r="O59" i="17"/>
  <c r="N59" i="17"/>
  <c r="M59" i="17"/>
  <c r="L59" i="17"/>
  <c r="K59" i="17"/>
  <c r="J59" i="17"/>
  <c r="I59" i="17"/>
  <c r="H59" i="17"/>
  <c r="F59" i="17"/>
  <c r="E59" i="17"/>
  <c r="C59" i="17"/>
  <c r="GI58" i="17"/>
  <c r="GD58" i="17"/>
  <c r="GC58" i="17"/>
  <c r="GB58" i="17"/>
  <c r="GA58" i="17"/>
  <c r="FZ58" i="17"/>
  <c r="FY58" i="17"/>
  <c r="FW58" i="17"/>
  <c r="FM58" i="17"/>
  <c r="FL58" i="17"/>
  <c r="FK58" i="17"/>
  <c r="FJ58" i="17"/>
  <c r="FH58" i="17"/>
  <c r="FF58" i="17"/>
  <c r="FE58" i="17"/>
  <c r="FD58" i="17"/>
  <c r="FC58" i="17"/>
  <c r="FB58" i="17"/>
  <c r="FA58" i="17"/>
  <c r="EZ58" i="17"/>
  <c r="EY58" i="17"/>
  <c r="EX58" i="17"/>
  <c r="EV58" i="17"/>
  <c r="EU58" i="17"/>
  <c r="ET58" i="17"/>
  <c r="ES58" i="17"/>
  <c r="ER58" i="17"/>
  <c r="EQ58" i="17"/>
  <c r="EO58" i="17"/>
  <c r="EN58" i="17"/>
  <c r="EM58" i="17"/>
  <c r="EL58" i="17"/>
  <c r="EK58" i="17"/>
  <c r="EJ58" i="17"/>
  <c r="EI58" i="17"/>
  <c r="EH58" i="17"/>
  <c r="EG58" i="17"/>
  <c r="EF58" i="17"/>
  <c r="EE58" i="17"/>
  <c r="ED58" i="17"/>
  <c r="EC58" i="17"/>
  <c r="EB58" i="17"/>
  <c r="EA58" i="17"/>
  <c r="DZ58" i="17"/>
  <c r="DY58" i="17"/>
  <c r="DX58" i="17"/>
  <c r="DW58" i="17"/>
  <c r="DU58" i="17"/>
  <c r="DT58" i="17"/>
  <c r="DS58" i="17"/>
  <c r="DR58" i="17"/>
  <c r="DQ58" i="17"/>
  <c r="DP58" i="17"/>
  <c r="DO58" i="17"/>
  <c r="DN58" i="17"/>
  <c r="DM58" i="17"/>
  <c r="DL58" i="17"/>
  <c r="DK58" i="17"/>
  <c r="DJ58" i="17"/>
  <c r="DI58" i="17"/>
  <c r="DH58" i="17"/>
  <c r="DG58" i="17"/>
  <c r="DF58" i="17"/>
  <c r="DE58" i="17"/>
  <c r="DD58" i="17"/>
  <c r="DC58" i="17"/>
  <c r="DB58" i="17"/>
  <c r="DA58" i="17"/>
  <c r="CY58" i="17"/>
  <c r="CX58" i="17"/>
  <c r="CV58" i="17"/>
  <c r="CU58" i="17"/>
  <c r="CS58" i="17"/>
  <c r="CR58" i="17"/>
  <c r="CQ58" i="17"/>
  <c r="CP58" i="17"/>
  <c r="CO58" i="17"/>
  <c r="CN58" i="17"/>
  <c r="CM58" i="17"/>
  <c r="CL58" i="17"/>
  <c r="CK58" i="17"/>
  <c r="CI58" i="17"/>
  <c r="CH58" i="17"/>
  <c r="CG58" i="17"/>
  <c r="CF58" i="17"/>
  <c r="CE58" i="17"/>
  <c r="CD58" i="17"/>
  <c r="CC58" i="17"/>
  <c r="CB58" i="17"/>
  <c r="CA58" i="17"/>
  <c r="BZ58" i="17"/>
  <c r="BY58" i="17"/>
  <c r="BX58" i="17"/>
  <c r="BW58" i="17"/>
  <c r="BV58" i="17"/>
  <c r="BU58" i="17"/>
  <c r="BT58" i="17"/>
  <c r="BS58" i="17"/>
  <c r="BR58" i="17"/>
  <c r="BQ58" i="17"/>
  <c r="BN58" i="17"/>
  <c r="BM58" i="17"/>
  <c r="BL58" i="17"/>
  <c r="BK58" i="17"/>
  <c r="BJ58" i="17"/>
  <c r="BI58" i="17"/>
  <c r="BH58" i="17"/>
  <c r="BG58" i="17"/>
  <c r="BF58" i="17"/>
  <c r="BE58" i="17"/>
  <c r="BD58" i="17"/>
  <c r="BC58" i="17"/>
  <c r="BB58" i="17"/>
  <c r="BA58" i="17"/>
  <c r="AZ58" i="17"/>
  <c r="AY58" i="17"/>
  <c r="AX58" i="17"/>
  <c r="AW58" i="17"/>
  <c r="AV58" i="17"/>
  <c r="AU58" i="17"/>
  <c r="AT58" i="17"/>
  <c r="AS58" i="17"/>
  <c r="AR58" i="17"/>
  <c r="AQ58" i="17"/>
  <c r="AP58" i="17"/>
  <c r="AO58" i="17"/>
  <c r="AN58" i="17"/>
  <c r="AM58" i="17"/>
  <c r="AK58" i="17"/>
  <c r="AJ58" i="17"/>
  <c r="AI58" i="17"/>
  <c r="AG58" i="17"/>
  <c r="AF58" i="17"/>
  <c r="AE58" i="17"/>
  <c r="AD58" i="17"/>
  <c r="AC58" i="17"/>
  <c r="AB58" i="17"/>
  <c r="AA58" i="17"/>
  <c r="Z58" i="17"/>
  <c r="Y58" i="17"/>
  <c r="X58" i="17"/>
  <c r="W58" i="17"/>
  <c r="V58" i="17"/>
  <c r="U58" i="17"/>
  <c r="S58" i="17"/>
  <c r="R58" i="17"/>
  <c r="Q58" i="17"/>
  <c r="P58" i="17"/>
  <c r="O58" i="17"/>
  <c r="N58" i="17"/>
  <c r="M58" i="17"/>
  <c r="L58" i="17"/>
  <c r="K58" i="17"/>
  <c r="J58" i="17"/>
  <c r="I58" i="17"/>
  <c r="H58" i="17"/>
  <c r="F58" i="17"/>
  <c r="E58" i="17"/>
  <c r="C58" i="17"/>
  <c r="GI57" i="17"/>
  <c r="GD57" i="17"/>
  <c r="GC57" i="17"/>
  <c r="GB57" i="17"/>
  <c r="GA57" i="17"/>
  <c r="FZ57" i="17"/>
  <c r="FY57" i="17"/>
  <c r="FW57" i="17"/>
  <c r="FM57" i="17"/>
  <c r="FL57" i="17"/>
  <c r="FK57" i="17"/>
  <c r="FJ57" i="17"/>
  <c r="FH57" i="17"/>
  <c r="FF57" i="17"/>
  <c r="FE57" i="17"/>
  <c r="FD57" i="17"/>
  <c r="FC57" i="17"/>
  <c r="FB57" i="17"/>
  <c r="FA57" i="17"/>
  <c r="EZ57" i="17"/>
  <c r="EY57" i="17"/>
  <c r="EX57" i="17"/>
  <c r="EV57" i="17"/>
  <c r="EU57" i="17"/>
  <c r="ET57" i="17"/>
  <c r="ES57" i="17"/>
  <c r="ER57" i="17"/>
  <c r="EQ57" i="17"/>
  <c r="EO57" i="17"/>
  <c r="EN57" i="17"/>
  <c r="EM57" i="17"/>
  <c r="EL57" i="17"/>
  <c r="EK57" i="17"/>
  <c r="EJ57" i="17"/>
  <c r="EI57" i="17"/>
  <c r="EH57" i="17"/>
  <c r="EG57" i="17"/>
  <c r="EF57" i="17"/>
  <c r="EE57" i="17"/>
  <c r="ED57" i="17"/>
  <c r="EC57" i="17"/>
  <c r="EB57" i="17"/>
  <c r="EA57" i="17"/>
  <c r="DZ57" i="17"/>
  <c r="DY57" i="17"/>
  <c r="DX57" i="17"/>
  <c r="DW57" i="17"/>
  <c r="DU57" i="17"/>
  <c r="DT57" i="17"/>
  <c r="DS57" i="17"/>
  <c r="DR57" i="17"/>
  <c r="DQ57" i="17"/>
  <c r="DP57" i="17"/>
  <c r="DO57" i="17"/>
  <c r="DN57" i="17"/>
  <c r="DM57" i="17"/>
  <c r="DL57" i="17"/>
  <c r="DK57" i="17"/>
  <c r="DJ57" i="17"/>
  <c r="DI57" i="17"/>
  <c r="DH57" i="17"/>
  <c r="DG57" i="17"/>
  <c r="DF57" i="17"/>
  <c r="DE57" i="17"/>
  <c r="DD57" i="17"/>
  <c r="DC57" i="17"/>
  <c r="DB57" i="17"/>
  <c r="DA57" i="17"/>
  <c r="CZ57" i="17"/>
  <c r="CY57" i="17"/>
  <c r="CX57" i="17"/>
  <c r="CV57" i="17"/>
  <c r="CU57" i="17"/>
  <c r="CS57" i="17"/>
  <c r="CR57" i="17"/>
  <c r="CQ57" i="17"/>
  <c r="CP57" i="17"/>
  <c r="CO57" i="17"/>
  <c r="CN57" i="17"/>
  <c r="CM57" i="17"/>
  <c r="CL57" i="17"/>
  <c r="CK57" i="17"/>
  <c r="CI57" i="17"/>
  <c r="CH57" i="17"/>
  <c r="CG57" i="17"/>
  <c r="CF57" i="17"/>
  <c r="CE57" i="17"/>
  <c r="CD57" i="17"/>
  <c r="CC57" i="17"/>
  <c r="CB57" i="17"/>
  <c r="CA57" i="17"/>
  <c r="BZ57" i="17"/>
  <c r="BY57" i="17"/>
  <c r="BX57" i="17"/>
  <c r="BW57" i="17"/>
  <c r="BV57" i="17"/>
  <c r="BU57" i="17"/>
  <c r="BT57" i="17"/>
  <c r="BS57" i="17"/>
  <c r="BR57" i="17"/>
  <c r="BQ57" i="17"/>
  <c r="BN57" i="17"/>
  <c r="BM57" i="17"/>
  <c r="BL57" i="17"/>
  <c r="BK57" i="17"/>
  <c r="BJ57" i="17"/>
  <c r="BI57" i="17"/>
  <c r="BH57" i="17"/>
  <c r="BG57" i="17"/>
  <c r="BF57" i="17"/>
  <c r="BE57" i="17"/>
  <c r="BD57" i="17"/>
  <c r="BC57" i="17"/>
  <c r="BB57" i="17"/>
  <c r="BA57" i="17"/>
  <c r="AZ57" i="17"/>
  <c r="AY57" i="17"/>
  <c r="AX57" i="17"/>
  <c r="AW57" i="17"/>
  <c r="AV57" i="17"/>
  <c r="AU57" i="17"/>
  <c r="AT57" i="17"/>
  <c r="AS57" i="17"/>
  <c r="AR57" i="17"/>
  <c r="AQ57" i="17"/>
  <c r="AP57" i="17"/>
  <c r="AO57" i="17"/>
  <c r="AN57" i="17"/>
  <c r="AM57" i="17"/>
  <c r="AK57" i="17"/>
  <c r="AJ57" i="17"/>
  <c r="AI57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F57" i="17"/>
  <c r="E57" i="17"/>
  <c r="C57" i="17"/>
  <c r="GI56" i="17"/>
  <c r="GD56" i="17"/>
  <c r="GC56" i="17"/>
  <c r="GB56" i="17"/>
  <c r="GA56" i="17"/>
  <c r="FZ56" i="17"/>
  <c r="FY56" i="17"/>
  <c r="FW56" i="17"/>
  <c r="FM56" i="17"/>
  <c r="FL56" i="17"/>
  <c r="FK56" i="17"/>
  <c r="FJ56" i="17"/>
  <c r="FH56" i="17"/>
  <c r="FF56" i="17"/>
  <c r="FE56" i="17"/>
  <c r="FD56" i="17"/>
  <c r="FC56" i="17"/>
  <c r="FB56" i="17"/>
  <c r="FA56" i="17"/>
  <c r="EZ56" i="17"/>
  <c r="EY56" i="17"/>
  <c r="EX56" i="17"/>
  <c r="EV56" i="17"/>
  <c r="EU56" i="17"/>
  <c r="ET56" i="17"/>
  <c r="ES56" i="17"/>
  <c r="ER56" i="17"/>
  <c r="EQ56" i="17"/>
  <c r="EO56" i="17"/>
  <c r="EN56" i="17"/>
  <c r="EM56" i="17"/>
  <c r="EL56" i="17"/>
  <c r="EK56" i="17"/>
  <c r="EJ56" i="17"/>
  <c r="EI56" i="17"/>
  <c r="EH56" i="17"/>
  <c r="EG56" i="17"/>
  <c r="EF56" i="17"/>
  <c r="EE56" i="17"/>
  <c r="ED56" i="17"/>
  <c r="EC56" i="17"/>
  <c r="EB56" i="17"/>
  <c r="EA56" i="17"/>
  <c r="DZ56" i="17"/>
  <c r="DY56" i="17"/>
  <c r="DX56" i="17"/>
  <c r="DW56" i="17"/>
  <c r="DU56" i="17"/>
  <c r="DT56" i="17"/>
  <c r="DS56" i="17"/>
  <c r="DR56" i="17"/>
  <c r="DQ56" i="17"/>
  <c r="DP56" i="17"/>
  <c r="DO56" i="17"/>
  <c r="DN56" i="17"/>
  <c r="DM56" i="17"/>
  <c r="DL56" i="17"/>
  <c r="DK56" i="17"/>
  <c r="DJ56" i="17"/>
  <c r="DI56" i="17"/>
  <c r="DH56" i="17"/>
  <c r="DG56" i="17"/>
  <c r="DF56" i="17"/>
  <c r="DE56" i="17"/>
  <c r="DD56" i="17"/>
  <c r="DC56" i="17"/>
  <c r="DB56" i="17"/>
  <c r="DA56" i="17"/>
  <c r="CY56" i="17"/>
  <c r="CX56" i="17"/>
  <c r="CV56" i="17"/>
  <c r="CU56" i="17"/>
  <c r="CS56" i="17"/>
  <c r="CR56" i="17"/>
  <c r="CQ56" i="17"/>
  <c r="CP56" i="17"/>
  <c r="CO56" i="17"/>
  <c r="CN56" i="17"/>
  <c r="CM56" i="17"/>
  <c r="CL56" i="17"/>
  <c r="CK56" i="17"/>
  <c r="CI56" i="17"/>
  <c r="CH56" i="17"/>
  <c r="CG56" i="17"/>
  <c r="CF56" i="17"/>
  <c r="CE56" i="17"/>
  <c r="CD56" i="17"/>
  <c r="CC56" i="17"/>
  <c r="CB56" i="17"/>
  <c r="CA56" i="17"/>
  <c r="BZ56" i="17"/>
  <c r="BY56" i="17"/>
  <c r="BX56" i="17"/>
  <c r="BW56" i="17"/>
  <c r="BV56" i="17"/>
  <c r="BU56" i="17"/>
  <c r="BT56" i="17"/>
  <c r="BS56" i="17"/>
  <c r="BR56" i="17"/>
  <c r="BQ56" i="17"/>
  <c r="BN56" i="17"/>
  <c r="BM56" i="17"/>
  <c r="BL56" i="17"/>
  <c r="BK56" i="17"/>
  <c r="BJ56" i="17"/>
  <c r="BI56" i="17"/>
  <c r="BH56" i="17"/>
  <c r="BG56" i="17"/>
  <c r="BF56" i="17"/>
  <c r="BE56" i="17"/>
  <c r="BD56" i="17"/>
  <c r="BC56" i="17"/>
  <c r="BB56" i="17"/>
  <c r="BA56" i="17"/>
  <c r="AZ56" i="17"/>
  <c r="AY56" i="17"/>
  <c r="AX56" i="17"/>
  <c r="AW56" i="17"/>
  <c r="AV56" i="17"/>
  <c r="AU56" i="17"/>
  <c r="AT56" i="17"/>
  <c r="AS56" i="17"/>
  <c r="AR56" i="17"/>
  <c r="AQ56" i="17"/>
  <c r="AP56" i="17"/>
  <c r="AO56" i="17"/>
  <c r="AN56" i="17"/>
  <c r="AM56" i="17"/>
  <c r="AK56" i="17"/>
  <c r="AJ56" i="17"/>
  <c r="AI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F56" i="17"/>
  <c r="E56" i="17"/>
  <c r="C56" i="17"/>
  <c r="FK54" i="17"/>
  <c r="FK53" i="17"/>
  <c r="FJ53" i="17"/>
  <c r="FJ54" i="17" s="1"/>
  <c r="EI53" i="17"/>
  <c r="EI54" i="17" s="1"/>
  <c r="GV52" i="17"/>
  <c r="GD52" i="17"/>
  <c r="GD59" i="17" s="1"/>
  <c r="FX52" i="17"/>
  <c r="FV52" i="17"/>
  <c r="FI52" i="17"/>
  <c r="FI59" i="17" s="1"/>
  <c r="EW52" i="17"/>
  <c r="FG52" i="17" s="1"/>
  <c r="DV52" i="17"/>
  <c r="CZ52" i="17"/>
  <c r="CW52" i="17"/>
  <c r="CT52" i="17"/>
  <c r="CJ52" i="17"/>
  <c r="BP52" i="17"/>
  <c r="BP59" i="17" s="1"/>
  <c r="AL52" i="17"/>
  <c r="AH52" i="17"/>
  <c r="T52" i="17"/>
  <c r="EP52" i="17" s="1"/>
  <c r="G52" i="17"/>
  <c r="D52" i="17"/>
  <c r="GV51" i="17"/>
  <c r="FX51" i="17"/>
  <c r="FV51" i="17"/>
  <c r="FI51" i="17"/>
  <c r="FG51" i="17"/>
  <c r="EW51" i="17"/>
  <c r="DV51" i="17"/>
  <c r="CZ51" i="17"/>
  <c r="CW51" i="17"/>
  <c r="CT51" i="17"/>
  <c r="CJ51" i="17"/>
  <c r="BP51" i="17"/>
  <c r="BO51" i="17" s="1"/>
  <c r="AL51" i="17"/>
  <c r="AL58" i="17" s="1"/>
  <c r="AH51" i="17"/>
  <c r="T51" i="17"/>
  <c r="EP51" i="17" s="1"/>
  <c r="G51" i="17"/>
  <c r="D51" i="17"/>
  <c r="D59" i="17" s="1"/>
  <c r="GV50" i="17"/>
  <c r="FX50" i="17"/>
  <c r="FV50" i="17"/>
  <c r="FI50" i="17"/>
  <c r="EW50" i="17"/>
  <c r="FG50" i="17" s="1"/>
  <c r="EP50" i="17"/>
  <c r="DV50" i="17"/>
  <c r="CZ50" i="17"/>
  <c r="CW50" i="17"/>
  <c r="CW57" i="17" s="1"/>
  <c r="CT50" i="17"/>
  <c r="CT57" i="17" s="1"/>
  <c r="CJ50" i="17"/>
  <c r="BP50" i="17"/>
  <c r="BO50" i="17"/>
  <c r="AL50" i="17"/>
  <c r="AH50" i="17"/>
  <c r="T50" i="17"/>
  <c r="G50" i="17"/>
  <c r="G57" i="17" s="1"/>
  <c r="D50" i="17"/>
  <c r="D57" i="17" s="1"/>
  <c r="GV49" i="17"/>
  <c r="FX49" i="17"/>
  <c r="FV49" i="17"/>
  <c r="FI49" i="17"/>
  <c r="FG49" i="17"/>
  <c r="EW49" i="17"/>
  <c r="DV49" i="17"/>
  <c r="CZ49" i="17"/>
  <c r="CW49" i="17"/>
  <c r="CT49" i="17"/>
  <c r="CJ49" i="17"/>
  <c r="BP49" i="17"/>
  <c r="BO49" i="17" s="1"/>
  <c r="AL49" i="17"/>
  <c r="AH49" i="17"/>
  <c r="T49" i="17"/>
  <c r="EP49" i="17" s="1"/>
  <c r="G49" i="17"/>
  <c r="D49" i="17"/>
  <c r="GV48" i="17"/>
  <c r="GE48" i="17"/>
  <c r="FX48" i="17"/>
  <c r="FV48" i="17"/>
  <c r="FI48" i="17"/>
  <c r="FG48" i="17"/>
  <c r="EW48" i="17"/>
  <c r="DV48" i="17"/>
  <c r="CZ48" i="17"/>
  <c r="CW48" i="17"/>
  <c r="CT48" i="17"/>
  <c r="CJ48" i="17"/>
  <c r="BP48" i="17"/>
  <c r="BO48" i="17" s="1"/>
  <c r="AL48" i="17"/>
  <c r="AH48" i="17"/>
  <c r="T48" i="17"/>
  <c r="G48" i="17"/>
  <c r="D48" i="17"/>
  <c r="GV47" i="17"/>
  <c r="GE47" i="17"/>
  <c r="FX47" i="17"/>
  <c r="FV47" i="17"/>
  <c r="FI47" i="17"/>
  <c r="FG47" i="17"/>
  <c r="EW47" i="17"/>
  <c r="DV47" i="17"/>
  <c r="CZ47" i="17"/>
  <c r="CW47" i="17"/>
  <c r="CT47" i="17"/>
  <c r="CJ47" i="17"/>
  <c r="BP47" i="17"/>
  <c r="BO47" i="17" s="1"/>
  <c r="AL47" i="17"/>
  <c r="AH47" i="17"/>
  <c r="T47" i="17"/>
  <c r="EP47" i="17" s="1"/>
  <c r="G47" i="17"/>
  <c r="D47" i="17"/>
  <c r="GV46" i="17"/>
  <c r="FX46" i="17"/>
  <c r="FV46" i="17"/>
  <c r="FI46" i="17"/>
  <c r="FI57" i="17" s="1"/>
  <c r="EW46" i="17"/>
  <c r="FG46" i="17" s="1"/>
  <c r="DV46" i="17"/>
  <c r="CZ46" i="17"/>
  <c r="CW46" i="17"/>
  <c r="CT46" i="17"/>
  <c r="CJ46" i="17"/>
  <c r="BP46" i="17"/>
  <c r="BO46" i="17" s="1"/>
  <c r="AL46" i="17"/>
  <c r="AH46" i="17"/>
  <c r="T46" i="17"/>
  <c r="EP46" i="17" s="1"/>
  <c r="G46" i="17"/>
  <c r="D46" i="17"/>
  <c r="GV45" i="17"/>
  <c r="FX45" i="17"/>
  <c r="FV45" i="17"/>
  <c r="FI45" i="17"/>
  <c r="FG45" i="17"/>
  <c r="EW45" i="17"/>
  <c r="DV45" i="17"/>
  <c r="CZ45" i="17"/>
  <c r="CW45" i="17"/>
  <c r="CT45" i="17"/>
  <c r="CJ45" i="17"/>
  <c r="BP45" i="17"/>
  <c r="BO45" i="17" s="1"/>
  <c r="AL45" i="17"/>
  <c r="AH45" i="17"/>
  <c r="T45" i="17"/>
  <c r="G45" i="17"/>
  <c r="D45" i="17"/>
  <c r="GV44" i="17"/>
  <c r="GE44" i="17"/>
  <c r="FX44" i="17"/>
  <c r="FV44" i="17"/>
  <c r="FI44" i="17"/>
  <c r="EW44" i="17"/>
  <c r="FG44" i="17" s="1"/>
  <c r="DV44" i="17"/>
  <c r="CZ44" i="17"/>
  <c r="CW44" i="17"/>
  <c r="CT44" i="17"/>
  <c r="CJ44" i="17"/>
  <c r="BP44" i="17"/>
  <c r="EP44" i="17" s="1"/>
  <c r="BO44" i="17"/>
  <c r="AL44" i="17"/>
  <c r="AH44" i="17"/>
  <c r="T44" i="17"/>
  <c r="G44" i="17"/>
  <c r="D44" i="17"/>
  <c r="GV43" i="17"/>
  <c r="FX43" i="17"/>
  <c r="FV43" i="17"/>
  <c r="FI43" i="17"/>
  <c r="EW43" i="17"/>
  <c r="FG43" i="17" s="1"/>
  <c r="EP43" i="17"/>
  <c r="DV43" i="17"/>
  <c r="CZ43" i="17"/>
  <c r="CW43" i="17"/>
  <c r="CT43" i="17"/>
  <c r="CJ43" i="17"/>
  <c r="BP43" i="17"/>
  <c r="BO43" i="17"/>
  <c r="AL43" i="17"/>
  <c r="AH43" i="17"/>
  <c r="T43" i="17"/>
  <c r="G43" i="17"/>
  <c r="D43" i="17"/>
  <c r="GV42" i="17"/>
  <c r="FX42" i="17"/>
  <c r="FV42" i="17"/>
  <c r="FI42" i="17"/>
  <c r="FG42" i="17"/>
  <c r="EW42" i="17"/>
  <c r="EP42" i="17"/>
  <c r="DV42" i="17"/>
  <c r="CZ42" i="17"/>
  <c r="CW42" i="17"/>
  <c r="CT42" i="17"/>
  <c r="CJ42" i="17"/>
  <c r="BP42" i="17"/>
  <c r="BO42" i="17" s="1"/>
  <c r="AL42" i="17"/>
  <c r="AL57" i="17" s="1"/>
  <c r="AH42" i="17"/>
  <c r="T42" i="17"/>
  <c r="G42" i="17"/>
  <c r="D42" i="17"/>
  <c r="GV41" i="17"/>
  <c r="FX41" i="17"/>
  <c r="FV41" i="17"/>
  <c r="FI41" i="17"/>
  <c r="FG41" i="17"/>
  <c r="EW41" i="17"/>
  <c r="DV41" i="17"/>
  <c r="CZ41" i="17"/>
  <c r="CW41" i="17"/>
  <c r="CT41" i="17"/>
  <c r="CJ41" i="17"/>
  <c r="BP41" i="17"/>
  <c r="BP57" i="17" s="1"/>
  <c r="BO41" i="17"/>
  <c r="AL41" i="17"/>
  <c r="AH41" i="17"/>
  <c r="T41" i="17"/>
  <c r="G41" i="17"/>
  <c r="D41" i="17"/>
  <c r="GV40" i="17"/>
  <c r="FX40" i="17"/>
  <c r="FV40" i="17"/>
  <c r="FI40" i="17"/>
  <c r="FG40" i="17"/>
  <c r="EW40" i="17"/>
  <c r="DV40" i="17"/>
  <c r="CZ40" i="17"/>
  <c r="CW40" i="17"/>
  <c r="CT40" i="17"/>
  <c r="CJ40" i="17"/>
  <c r="BP40" i="17"/>
  <c r="BO40" i="17" s="1"/>
  <c r="AL40" i="17"/>
  <c r="AH40" i="17"/>
  <c r="T40" i="17"/>
  <c r="EP40" i="17" s="1"/>
  <c r="G40" i="17"/>
  <c r="D40" i="17"/>
  <c r="GV39" i="17"/>
  <c r="FX39" i="17"/>
  <c r="FV39" i="17"/>
  <c r="FI39" i="17"/>
  <c r="FI58" i="17" s="1"/>
  <c r="EW39" i="17"/>
  <c r="DV39" i="17"/>
  <c r="CZ39" i="17"/>
  <c r="CW39" i="17"/>
  <c r="CW58" i="17" s="1"/>
  <c r="CT39" i="17"/>
  <c r="CJ39" i="17"/>
  <c r="BP39" i="17"/>
  <c r="BP58" i="17" s="1"/>
  <c r="AL39" i="17"/>
  <c r="AH39" i="17"/>
  <c r="AH58" i="17" s="1"/>
  <c r="T39" i="17"/>
  <c r="T58" i="17" s="1"/>
  <c r="G39" i="17"/>
  <c r="D39" i="17"/>
  <c r="D58" i="17" s="1"/>
  <c r="GV38" i="17"/>
  <c r="FX38" i="17"/>
  <c r="FV38" i="17"/>
  <c r="FI38" i="17"/>
  <c r="FG38" i="17"/>
  <c r="EW38" i="17"/>
  <c r="DV38" i="17"/>
  <c r="CZ38" i="17"/>
  <c r="CW38" i="17"/>
  <c r="CT38" i="17"/>
  <c r="CJ38" i="17"/>
  <c r="BP38" i="17"/>
  <c r="BO38" i="17" s="1"/>
  <c r="AL38" i="17"/>
  <c r="AH38" i="17"/>
  <c r="T38" i="17"/>
  <c r="G38" i="17"/>
  <c r="D38" i="17"/>
  <c r="GV37" i="17"/>
  <c r="FX37" i="17"/>
  <c r="FV37" i="17"/>
  <c r="FI37" i="17"/>
  <c r="EW37" i="17"/>
  <c r="FG37" i="17" s="1"/>
  <c r="EP37" i="17"/>
  <c r="DV37" i="17"/>
  <c r="CZ37" i="17"/>
  <c r="CW37" i="17"/>
  <c r="CT37" i="17"/>
  <c r="CJ37" i="17"/>
  <c r="BP37" i="17"/>
  <c r="BO37" i="17"/>
  <c r="AL37" i="17"/>
  <c r="AH37" i="17"/>
  <c r="T37" i="17"/>
  <c r="G37" i="17"/>
  <c r="D37" i="17"/>
  <c r="GV36" i="17"/>
  <c r="GE36" i="17"/>
  <c r="FX36" i="17"/>
  <c r="FV36" i="17"/>
  <c r="FI36" i="17"/>
  <c r="EW36" i="17"/>
  <c r="FG36" i="17" s="1"/>
  <c r="EP36" i="17"/>
  <c r="DV36" i="17"/>
  <c r="CZ36" i="17"/>
  <c r="CW36" i="17"/>
  <c r="CT36" i="17"/>
  <c r="CJ36" i="17"/>
  <c r="BP36" i="17"/>
  <c r="BO36" i="17"/>
  <c r="AL36" i="17"/>
  <c r="AH36" i="17"/>
  <c r="T36" i="17"/>
  <c r="G36" i="17"/>
  <c r="D36" i="17"/>
  <c r="GV35" i="17"/>
  <c r="GE35" i="17"/>
  <c r="FX35" i="17"/>
  <c r="FV35" i="17"/>
  <c r="FI35" i="17"/>
  <c r="EW35" i="17"/>
  <c r="FG35" i="17" s="1"/>
  <c r="EP35" i="17"/>
  <c r="DV35" i="17"/>
  <c r="CZ35" i="17"/>
  <c r="CW35" i="17"/>
  <c r="CT35" i="17"/>
  <c r="CJ35" i="17"/>
  <c r="BP35" i="17"/>
  <c r="BO35" i="17"/>
  <c r="AL35" i="17"/>
  <c r="AH35" i="17"/>
  <c r="T35" i="17"/>
  <c r="G35" i="17"/>
  <c r="D35" i="17"/>
  <c r="GV34" i="17"/>
  <c r="GE34" i="17"/>
  <c r="FX34" i="17"/>
  <c r="FV34" i="17"/>
  <c r="FI34" i="17"/>
  <c r="EW34" i="17"/>
  <c r="FG34" i="17" s="1"/>
  <c r="EP34" i="17"/>
  <c r="DV34" i="17"/>
  <c r="CZ34" i="17"/>
  <c r="CW34" i="17"/>
  <c r="CT34" i="17"/>
  <c r="CJ34" i="17"/>
  <c r="BP34" i="17"/>
  <c r="BO34" i="17"/>
  <c r="AL34" i="17"/>
  <c r="AH34" i="17"/>
  <c r="T34" i="17"/>
  <c r="G34" i="17"/>
  <c r="D34" i="17"/>
  <c r="GV33" i="17"/>
  <c r="GE33" i="17"/>
  <c r="FX33" i="17"/>
  <c r="FV33" i="17"/>
  <c r="FI33" i="17"/>
  <c r="EW33" i="17"/>
  <c r="FG33" i="17" s="1"/>
  <c r="EP33" i="17"/>
  <c r="DV33" i="17"/>
  <c r="CZ33" i="17"/>
  <c r="CW33" i="17"/>
  <c r="CT33" i="17"/>
  <c r="CJ33" i="17"/>
  <c r="BP33" i="17"/>
  <c r="BO33" i="17"/>
  <c r="AL33" i="17"/>
  <c r="AH33" i="17"/>
  <c r="T33" i="17"/>
  <c r="G33" i="17"/>
  <c r="D33" i="17"/>
  <c r="GV32" i="17"/>
  <c r="GE32" i="17"/>
  <c r="FX32" i="17"/>
  <c r="FV32" i="17"/>
  <c r="FI32" i="17"/>
  <c r="EW32" i="17"/>
  <c r="FG32" i="17" s="1"/>
  <c r="EP32" i="17"/>
  <c r="DV32" i="17"/>
  <c r="CZ32" i="17"/>
  <c r="CW32" i="17"/>
  <c r="CT32" i="17"/>
  <c r="CJ32" i="17"/>
  <c r="BP32" i="17"/>
  <c r="BO32" i="17"/>
  <c r="AL32" i="17"/>
  <c r="AH32" i="17"/>
  <c r="T32" i="17"/>
  <c r="G32" i="17"/>
  <c r="D32" i="17"/>
  <c r="GV31" i="17"/>
  <c r="GE31" i="17"/>
  <c r="FX31" i="17"/>
  <c r="FV31" i="17"/>
  <c r="FI31" i="17"/>
  <c r="EW31" i="17"/>
  <c r="FG31" i="17" s="1"/>
  <c r="EP31" i="17"/>
  <c r="DV31" i="17"/>
  <c r="CZ31" i="17"/>
  <c r="CW31" i="17"/>
  <c r="CT31" i="17"/>
  <c r="CJ31" i="17"/>
  <c r="BP31" i="17"/>
  <c r="BO31" i="17"/>
  <c r="AL31" i="17"/>
  <c r="AH31" i="17"/>
  <c r="T31" i="17"/>
  <c r="G31" i="17"/>
  <c r="D31" i="17"/>
  <c r="GV30" i="17"/>
  <c r="GE30" i="17"/>
  <c r="FX30" i="17"/>
  <c r="FV30" i="17"/>
  <c r="FI30" i="17"/>
  <c r="EW30" i="17"/>
  <c r="FG30" i="17" s="1"/>
  <c r="EP30" i="17"/>
  <c r="DV30" i="17"/>
  <c r="CZ30" i="17"/>
  <c r="CW30" i="17"/>
  <c r="CT30" i="17"/>
  <c r="CJ30" i="17"/>
  <c r="BP30" i="17"/>
  <c r="BO30" i="17"/>
  <c r="AL30" i="17"/>
  <c r="AH30" i="17"/>
  <c r="T30" i="17"/>
  <c r="G30" i="17"/>
  <c r="D30" i="17"/>
  <c r="GV29" i="17"/>
  <c r="FX29" i="17"/>
  <c r="FV29" i="17"/>
  <c r="FI29" i="17"/>
  <c r="FG29" i="17"/>
  <c r="EW29" i="17"/>
  <c r="DV29" i="17"/>
  <c r="CZ29" i="17"/>
  <c r="CW29" i="17"/>
  <c r="CT29" i="17"/>
  <c r="CJ29" i="17"/>
  <c r="BP29" i="17"/>
  <c r="BO29" i="17" s="1"/>
  <c r="AL29" i="17"/>
  <c r="AH29" i="17"/>
  <c r="T29" i="17"/>
  <c r="EP29" i="17" s="1"/>
  <c r="G29" i="17"/>
  <c r="D29" i="17"/>
  <c r="GV28" i="17"/>
  <c r="GE28" i="17"/>
  <c r="FX28" i="17"/>
  <c r="FV28" i="17"/>
  <c r="FI28" i="17"/>
  <c r="FG28" i="17"/>
  <c r="EW28" i="17"/>
  <c r="DV28" i="17"/>
  <c r="CZ28" i="17"/>
  <c r="CW28" i="17"/>
  <c r="CT28" i="17"/>
  <c r="CJ28" i="17"/>
  <c r="BP28" i="17"/>
  <c r="BO28" i="17" s="1"/>
  <c r="AL28" i="17"/>
  <c r="AH28" i="17"/>
  <c r="T28" i="17"/>
  <c r="G28" i="17"/>
  <c r="D28" i="17"/>
  <c r="GV27" i="17"/>
  <c r="GE27" i="17"/>
  <c r="FX27" i="17"/>
  <c r="FV27" i="17"/>
  <c r="FI27" i="17"/>
  <c r="FG27" i="17"/>
  <c r="EW27" i="17"/>
  <c r="DV27" i="17"/>
  <c r="CZ27" i="17"/>
  <c r="CW27" i="17"/>
  <c r="CT27" i="17"/>
  <c r="CJ27" i="17"/>
  <c r="BP27" i="17"/>
  <c r="BO27" i="17" s="1"/>
  <c r="AL27" i="17"/>
  <c r="AH27" i="17"/>
  <c r="T27" i="17"/>
  <c r="EP27" i="17" s="1"/>
  <c r="G27" i="17"/>
  <c r="D27" i="17"/>
  <c r="GV26" i="17"/>
  <c r="GE26" i="17"/>
  <c r="FX26" i="17"/>
  <c r="FV26" i="17"/>
  <c r="FI26" i="17"/>
  <c r="FG26" i="17"/>
  <c r="EW26" i="17"/>
  <c r="EP26" i="17"/>
  <c r="DV26" i="17"/>
  <c r="CZ26" i="17"/>
  <c r="CW26" i="17"/>
  <c r="CT26" i="17"/>
  <c r="CJ26" i="17"/>
  <c r="BP26" i="17"/>
  <c r="BO26" i="17" s="1"/>
  <c r="AL26" i="17"/>
  <c r="AH26" i="17"/>
  <c r="T26" i="17"/>
  <c r="G26" i="17"/>
  <c r="D26" i="17"/>
  <c r="GV25" i="17"/>
  <c r="FX25" i="17"/>
  <c r="FV25" i="17"/>
  <c r="FI25" i="17"/>
  <c r="EW25" i="17"/>
  <c r="FG25" i="17" s="1"/>
  <c r="DV25" i="17"/>
  <c r="CZ25" i="17"/>
  <c r="CW25" i="17"/>
  <c r="CT25" i="17"/>
  <c r="CJ25" i="17"/>
  <c r="BP25" i="17"/>
  <c r="BO25" i="17"/>
  <c r="AL25" i="17"/>
  <c r="AH25" i="17"/>
  <c r="T25" i="17"/>
  <c r="EP25" i="17" s="1"/>
  <c r="G25" i="17"/>
  <c r="D25" i="17"/>
  <c r="GV24" i="17"/>
  <c r="GE24" i="17"/>
  <c r="FX24" i="17"/>
  <c r="FV24" i="17"/>
  <c r="FI24" i="17"/>
  <c r="FG24" i="17"/>
  <c r="EW24" i="17"/>
  <c r="DV24" i="17"/>
  <c r="CZ24" i="17"/>
  <c r="CW24" i="17"/>
  <c r="CT24" i="17"/>
  <c r="CJ24" i="17"/>
  <c r="BP24" i="17"/>
  <c r="BO24" i="17"/>
  <c r="AL24" i="17"/>
  <c r="AH24" i="17"/>
  <c r="T24" i="17"/>
  <c r="G24" i="17"/>
  <c r="D24" i="17"/>
  <c r="GV23" i="17"/>
  <c r="GE23" i="17"/>
  <c r="FX23" i="17"/>
  <c r="FV23" i="17"/>
  <c r="FI23" i="17"/>
  <c r="EW23" i="17"/>
  <c r="FG23" i="17" s="1"/>
  <c r="DV23" i="17"/>
  <c r="CZ23" i="17"/>
  <c r="CW23" i="17"/>
  <c r="CT23" i="17"/>
  <c r="CJ23" i="17"/>
  <c r="BP23" i="17"/>
  <c r="BO23" i="17"/>
  <c r="AL23" i="17"/>
  <c r="AH23" i="17"/>
  <c r="T23" i="17"/>
  <c r="EP23" i="17" s="1"/>
  <c r="G23" i="17"/>
  <c r="D23" i="17"/>
  <c r="GV22" i="17"/>
  <c r="FX22" i="17"/>
  <c r="FV22" i="17"/>
  <c r="FI22" i="17"/>
  <c r="FG22" i="17"/>
  <c r="EW22" i="17"/>
  <c r="EP22" i="17"/>
  <c r="DV22" i="17"/>
  <c r="CZ22" i="17"/>
  <c r="CW22" i="17"/>
  <c r="CT22" i="17"/>
  <c r="CJ22" i="17"/>
  <c r="BP22" i="17"/>
  <c r="BO22" i="17" s="1"/>
  <c r="AL22" i="17"/>
  <c r="AH22" i="17"/>
  <c r="T22" i="17"/>
  <c r="G22" i="17"/>
  <c r="D22" i="17"/>
  <c r="GV21" i="17"/>
  <c r="FX21" i="17"/>
  <c r="FV21" i="17"/>
  <c r="FI21" i="17"/>
  <c r="EW21" i="17"/>
  <c r="FG21" i="17" s="1"/>
  <c r="EP21" i="17"/>
  <c r="DV21" i="17"/>
  <c r="CZ21" i="17"/>
  <c r="CW21" i="17"/>
  <c r="CT21" i="17"/>
  <c r="CJ21" i="17"/>
  <c r="BP21" i="17"/>
  <c r="BO21" i="17"/>
  <c r="AL21" i="17"/>
  <c r="AH21" i="17"/>
  <c r="T21" i="17"/>
  <c r="G21" i="17"/>
  <c r="D21" i="17"/>
  <c r="GV20" i="17"/>
  <c r="GE20" i="17"/>
  <c r="FX20" i="17"/>
  <c r="FV20" i="17"/>
  <c r="FI20" i="17"/>
  <c r="EW20" i="17"/>
  <c r="FG20" i="17" s="1"/>
  <c r="EP20" i="17"/>
  <c r="DV20" i="17"/>
  <c r="CZ20" i="17"/>
  <c r="CW20" i="17"/>
  <c r="CT20" i="17"/>
  <c r="CJ20" i="17"/>
  <c r="BP20" i="17"/>
  <c r="BO20" i="17"/>
  <c r="AL20" i="17"/>
  <c r="AH20" i="17"/>
  <c r="T20" i="17"/>
  <c r="G20" i="17"/>
  <c r="D20" i="17"/>
  <c r="GV19" i="17"/>
  <c r="GE19" i="17"/>
  <c r="FX19" i="17"/>
  <c r="FV19" i="17"/>
  <c r="FI19" i="17"/>
  <c r="EW19" i="17"/>
  <c r="FG19" i="17" s="1"/>
  <c r="EP19" i="17"/>
  <c r="DV19" i="17"/>
  <c r="CZ19" i="17"/>
  <c r="CW19" i="17"/>
  <c r="CT19" i="17"/>
  <c r="CJ19" i="17"/>
  <c r="BP19" i="17"/>
  <c r="BO19" i="17"/>
  <c r="AL19" i="17"/>
  <c r="AH19" i="17"/>
  <c r="T19" i="17"/>
  <c r="G19" i="17"/>
  <c r="D19" i="17"/>
  <c r="GV18" i="17"/>
  <c r="GE18" i="17"/>
  <c r="FX18" i="17"/>
  <c r="FV18" i="17"/>
  <c r="FI18" i="17"/>
  <c r="EW18" i="17"/>
  <c r="FG18" i="17" s="1"/>
  <c r="EP18" i="17"/>
  <c r="DV18" i="17"/>
  <c r="CZ18" i="17"/>
  <c r="CW18" i="17"/>
  <c r="CT18" i="17"/>
  <c r="CJ18" i="17"/>
  <c r="BP18" i="17"/>
  <c r="BO18" i="17"/>
  <c r="AL18" i="17"/>
  <c r="AH18" i="17"/>
  <c r="T18" i="17"/>
  <c r="G18" i="17"/>
  <c r="D18" i="17"/>
  <c r="GV17" i="17"/>
  <c r="GE17" i="17"/>
  <c r="FX17" i="17"/>
  <c r="FV17" i="17"/>
  <c r="FI17" i="17"/>
  <c r="EW17" i="17"/>
  <c r="FG17" i="17" s="1"/>
  <c r="EP17" i="17"/>
  <c r="DV17" i="17"/>
  <c r="CZ17" i="17"/>
  <c r="CW17" i="17"/>
  <c r="CT17" i="17"/>
  <c r="CJ17" i="17"/>
  <c r="BP17" i="17"/>
  <c r="BO17" i="17"/>
  <c r="AL17" i="17"/>
  <c r="AH17" i="17"/>
  <c r="T17" i="17"/>
  <c r="G17" i="17"/>
  <c r="D17" i="17"/>
  <c r="GV16" i="17"/>
  <c r="GE16" i="17"/>
  <c r="FX16" i="17"/>
  <c r="FV16" i="17"/>
  <c r="FI16" i="17"/>
  <c r="EW16" i="17"/>
  <c r="FG16" i="17" s="1"/>
  <c r="EP16" i="17"/>
  <c r="DV16" i="17"/>
  <c r="CZ16" i="17"/>
  <c r="CW16" i="17"/>
  <c r="CT16" i="17"/>
  <c r="CJ16" i="17"/>
  <c r="BP16" i="17"/>
  <c r="BO16" i="17"/>
  <c r="AL16" i="17"/>
  <c r="AH16" i="17"/>
  <c r="T16" i="17"/>
  <c r="G16" i="17"/>
  <c r="D16" i="17"/>
  <c r="GV15" i="17"/>
  <c r="FX15" i="17"/>
  <c r="FV15" i="17"/>
  <c r="FI15" i="17"/>
  <c r="FG15" i="17"/>
  <c r="EW15" i="17"/>
  <c r="EP15" i="17"/>
  <c r="DV15" i="17"/>
  <c r="CZ15" i="17"/>
  <c r="CW15" i="17"/>
  <c r="CT15" i="17"/>
  <c r="CJ15" i="17"/>
  <c r="BP15" i="17"/>
  <c r="BO15" i="17" s="1"/>
  <c r="AL15" i="17"/>
  <c r="AH15" i="17"/>
  <c r="T15" i="17"/>
  <c r="G15" i="17"/>
  <c r="D15" i="17"/>
  <c r="GV14" i="17"/>
  <c r="FX14" i="17"/>
  <c r="FV14" i="17"/>
  <c r="FI14" i="17"/>
  <c r="EW14" i="17"/>
  <c r="FG14" i="17" s="1"/>
  <c r="DV14" i="17"/>
  <c r="CZ14" i="17"/>
  <c r="CW14" i="17"/>
  <c r="CT14" i="17"/>
  <c r="CJ14" i="17"/>
  <c r="BP14" i="17"/>
  <c r="BO14" i="17"/>
  <c r="AL14" i="17"/>
  <c r="AH14" i="17"/>
  <c r="T14" i="17"/>
  <c r="EP14" i="17" s="1"/>
  <c r="G14" i="17"/>
  <c r="D14" i="17"/>
  <c r="GV13" i="17"/>
  <c r="GE13" i="17"/>
  <c r="FX13" i="17"/>
  <c r="FV13" i="17"/>
  <c r="FI13" i="17"/>
  <c r="FG13" i="17"/>
  <c r="EW13" i="17"/>
  <c r="DV13" i="17"/>
  <c r="CZ13" i="17"/>
  <c r="CW13" i="17"/>
  <c r="CT13" i="17"/>
  <c r="CJ13" i="17"/>
  <c r="BP13" i="17"/>
  <c r="BO13" i="17"/>
  <c r="AL13" i="17"/>
  <c r="AH13" i="17"/>
  <c r="T13" i="17"/>
  <c r="EP13" i="17" s="1"/>
  <c r="G13" i="17"/>
  <c r="D13" i="17"/>
  <c r="GV12" i="17"/>
  <c r="GE12" i="17"/>
  <c r="FX12" i="17"/>
  <c r="FV12" i="17"/>
  <c r="FI12" i="17"/>
  <c r="EW12" i="17"/>
  <c r="FG12" i="17" s="1"/>
  <c r="DV12" i="17"/>
  <c r="CZ12" i="17"/>
  <c r="CW12" i="17"/>
  <c r="CT12" i="17"/>
  <c r="CJ12" i="17"/>
  <c r="BP12" i="17"/>
  <c r="BO12" i="17"/>
  <c r="AL12" i="17"/>
  <c r="AH12" i="17"/>
  <c r="T12" i="17"/>
  <c r="EP12" i="17" s="1"/>
  <c r="G12" i="17"/>
  <c r="D12" i="17"/>
  <c r="GV11" i="17"/>
  <c r="FX11" i="17"/>
  <c r="FV11" i="17"/>
  <c r="FI11" i="17"/>
  <c r="FG11" i="17"/>
  <c r="EW11" i="17"/>
  <c r="DV11" i="17"/>
  <c r="CZ11" i="17"/>
  <c r="CW11" i="17"/>
  <c r="CT11" i="17"/>
  <c r="CJ11" i="17"/>
  <c r="BP11" i="17"/>
  <c r="BO11" i="17" s="1"/>
  <c r="AL11" i="17"/>
  <c r="AH11" i="17"/>
  <c r="T11" i="17"/>
  <c r="EP11" i="17" s="1"/>
  <c r="G11" i="17"/>
  <c r="D11" i="17"/>
  <c r="GV10" i="17"/>
  <c r="GE10" i="17"/>
  <c r="FX10" i="17"/>
  <c r="FV10" i="17"/>
  <c r="FI10" i="17"/>
  <c r="FG10" i="17"/>
  <c r="EW10" i="17"/>
  <c r="DV10" i="17"/>
  <c r="CZ10" i="17"/>
  <c r="CW10" i="17"/>
  <c r="CT10" i="17"/>
  <c r="CJ10" i="17"/>
  <c r="BP10" i="17"/>
  <c r="BO10" i="17" s="1"/>
  <c r="AL10" i="17"/>
  <c r="AH10" i="17"/>
  <c r="T10" i="17"/>
  <c r="EP10" i="17" s="1"/>
  <c r="G10" i="17"/>
  <c r="D10" i="17"/>
  <c r="GV9" i="17"/>
  <c r="FX9" i="17"/>
  <c r="FV9" i="17"/>
  <c r="FI9" i="17"/>
  <c r="EW9" i="17"/>
  <c r="FG9" i="17" s="1"/>
  <c r="EP9" i="17"/>
  <c r="DV9" i="17"/>
  <c r="CZ9" i="17"/>
  <c r="CW9" i="17"/>
  <c r="CW56" i="17" s="1"/>
  <c r="CT9" i="17"/>
  <c r="CJ9" i="17"/>
  <c r="BP9" i="17"/>
  <c r="BO9" i="17"/>
  <c r="AL9" i="17"/>
  <c r="AH9" i="17"/>
  <c r="AH56" i="17" s="1"/>
  <c r="T9" i="17"/>
  <c r="G9" i="17"/>
  <c r="D9" i="17"/>
  <c r="GV8" i="17"/>
  <c r="FX8" i="17"/>
  <c r="FV8" i="17"/>
  <c r="FI8" i="17"/>
  <c r="FI56" i="17" s="1"/>
  <c r="FG8" i="17"/>
  <c r="EW8" i="17"/>
  <c r="DV8" i="17"/>
  <c r="CZ8" i="17"/>
  <c r="CW8" i="17"/>
  <c r="CT8" i="17"/>
  <c r="CJ8" i="17"/>
  <c r="BP8" i="17"/>
  <c r="BO8" i="17" s="1"/>
  <c r="AL8" i="17"/>
  <c r="AL56" i="17" s="1"/>
  <c r="AH8" i="17"/>
  <c r="T8" i="17"/>
  <c r="G8" i="17"/>
  <c r="D8" i="17"/>
  <c r="D56" i="17" s="1"/>
  <c r="GV7" i="17"/>
  <c r="GE7" i="17"/>
  <c r="FX7" i="17"/>
  <c r="FV7" i="17"/>
  <c r="FI7" i="17"/>
  <c r="FG7" i="17"/>
  <c r="EW7" i="17"/>
  <c r="EP7" i="17"/>
  <c r="DV7" i="17"/>
  <c r="CZ7" i="17"/>
  <c r="CW7" i="17"/>
  <c r="CT7" i="17"/>
  <c r="BP7" i="17"/>
  <c r="BO7" i="17"/>
  <c r="AL7" i="17"/>
  <c r="AH7" i="17"/>
  <c r="T7" i="17"/>
  <c r="T59" i="17" s="1"/>
  <c r="G7" i="17"/>
  <c r="D7" i="17"/>
  <c r="GV6" i="17"/>
  <c r="FX6" i="17"/>
  <c r="FV6" i="17"/>
  <c r="FI6" i="17"/>
  <c r="FG6" i="17"/>
  <c r="EW6" i="17"/>
  <c r="EW59" i="17" s="1"/>
  <c r="EP6" i="17"/>
  <c r="DV6" i="17"/>
  <c r="CZ6" i="17"/>
  <c r="CW6" i="17"/>
  <c r="CT6" i="17"/>
  <c r="CT59" i="17" s="1"/>
  <c r="BP6" i="17"/>
  <c r="BO6" i="17"/>
  <c r="AL6" i="17"/>
  <c r="AL59" i="17" s="1"/>
  <c r="AH6" i="17"/>
  <c r="AH59" i="17" s="1"/>
  <c r="T6" i="17"/>
  <c r="G6" i="17"/>
  <c r="D6" i="17"/>
  <c r="GI59" i="16"/>
  <c r="GD59" i="16"/>
  <c r="GC59" i="16"/>
  <c r="GB59" i="16"/>
  <c r="GA59" i="16"/>
  <c r="FZ59" i="16"/>
  <c r="FY59" i="16"/>
  <c r="FW59" i="16"/>
  <c r="FM59" i="16"/>
  <c r="FL59" i="16"/>
  <c r="FK59" i="16"/>
  <c r="FJ59" i="16"/>
  <c r="FH59" i="16"/>
  <c r="FF59" i="16"/>
  <c r="FE59" i="16"/>
  <c r="FD59" i="16"/>
  <c r="FC59" i="16"/>
  <c r="FB59" i="16"/>
  <c r="FA59" i="16"/>
  <c r="EZ59" i="16"/>
  <c r="EY59" i="16"/>
  <c r="EX59" i="16"/>
  <c r="EV59" i="16"/>
  <c r="EU59" i="16"/>
  <c r="ET59" i="16"/>
  <c r="ES59" i="16"/>
  <c r="ER59" i="16"/>
  <c r="EQ59" i="16"/>
  <c r="EO59" i="16"/>
  <c r="EN59" i="16"/>
  <c r="EM59" i="16"/>
  <c r="EL59" i="16"/>
  <c r="EK59" i="16"/>
  <c r="EJ59" i="16"/>
  <c r="EI59" i="16"/>
  <c r="EH59" i="16"/>
  <c r="EG59" i="16"/>
  <c r="EF59" i="16"/>
  <c r="EE59" i="16"/>
  <c r="ED59" i="16"/>
  <c r="EC59" i="16"/>
  <c r="EB59" i="16"/>
  <c r="EA59" i="16"/>
  <c r="DZ59" i="16"/>
  <c r="DY59" i="16"/>
  <c r="DX59" i="16"/>
  <c r="DW59" i="16"/>
  <c r="DU59" i="16"/>
  <c r="DT59" i="16"/>
  <c r="DS59" i="16"/>
  <c r="DR59" i="16"/>
  <c r="DQ59" i="16"/>
  <c r="DP59" i="16"/>
  <c r="DO59" i="16"/>
  <c r="DN59" i="16"/>
  <c r="DM59" i="16"/>
  <c r="DL59" i="16"/>
  <c r="DK59" i="16"/>
  <c r="DJ59" i="16"/>
  <c r="DI59" i="16"/>
  <c r="DH59" i="16"/>
  <c r="DG59" i="16"/>
  <c r="DF59" i="16"/>
  <c r="DE59" i="16"/>
  <c r="DD59" i="16"/>
  <c r="DC59" i="16"/>
  <c r="DB59" i="16"/>
  <c r="DA59" i="16"/>
  <c r="CY59" i="16"/>
  <c r="CX59" i="16"/>
  <c r="CV59" i="16"/>
  <c r="CU59" i="16"/>
  <c r="CS59" i="16"/>
  <c r="CR59" i="16"/>
  <c r="CQ59" i="16"/>
  <c r="CP59" i="16"/>
  <c r="CO59" i="16"/>
  <c r="CN59" i="16"/>
  <c r="CM59" i="16"/>
  <c r="CL59" i="16"/>
  <c r="CK59" i="16"/>
  <c r="CI59" i="16"/>
  <c r="CH59" i="16"/>
  <c r="CG59" i="16"/>
  <c r="CF59" i="16"/>
  <c r="CE59" i="16"/>
  <c r="CD59" i="16"/>
  <c r="CC59" i="16"/>
  <c r="CB59" i="16"/>
  <c r="CA59" i="16"/>
  <c r="BZ59" i="16"/>
  <c r="BY59" i="16"/>
  <c r="BX59" i="16"/>
  <c r="BW59" i="16"/>
  <c r="BV59" i="16"/>
  <c r="BU59" i="16"/>
  <c r="BT59" i="16"/>
  <c r="BS59" i="16"/>
  <c r="BR59" i="16"/>
  <c r="BQ59" i="16"/>
  <c r="BN59" i="16"/>
  <c r="BM59" i="16"/>
  <c r="BL59" i="16"/>
  <c r="BK59" i="16"/>
  <c r="BJ59" i="16"/>
  <c r="BI59" i="16"/>
  <c r="BH59" i="16"/>
  <c r="BG59" i="16"/>
  <c r="BF59" i="16"/>
  <c r="BE59" i="16"/>
  <c r="BD59" i="16"/>
  <c r="BC59" i="16"/>
  <c r="BB59" i="16"/>
  <c r="BA59" i="16"/>
  <c r="AZ59" i="16"/>
  <c r="AY59" i="16"/>
  <c r="AX59" i="16"/>
  <c r="AW59" i="16"/>
  <c r="AV59" i="16"/>
  <c r="AU59" i="16"/>
  <c r="AT59" i="16"/>
  <c r="AS59" i="16"/>
  <c r="AR59" i="16"/>
  <c r="AQ59" i="16"/>
  <c r="AP59" i="16"/>
  <c r="AO59" i="16"/>
  <c r="AN59" i="16"/>
  <c r="AM59" i="16"/>
  <c r="AK59" i="16"/>
  <c r="AJ59" i="16"/>
  <c r="AI59" i="16"/>
  <c r="AG59" i="16"/>
  <c r="AF59" i="16"/>
  <c r="AE59" i="16"/>
  <c r="AD59" i="16"/>
  <c r="AC59" i="16"/>
  <c r="AB59" i="16"/>
  <c r="AA59" i="16"/>
  <c r="Z59" i="16"/>
  <c r="Y59" i="16"/>
  <c r="X59" i="16"/>
  <c r="W59" i="16"/>
  <c r="V59" i="16"/>
  <c r="U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F59" i="16"/>
  <c r="E59" i="16"/>
  <c r="C59" i="16"/>
  <c r="GI58" i="16"/>
  <c r="GD58" i="16"/>
  <c r="GC58" i="16"/>
  <c r="GB58" i="16"/>
  <c r="GA58" i="16"/>
  <c r="FZ58" i="16"/>
  <c r="FY58" i="16"/>
  <c r="FW58" i="16"/>
  <c r="FM58" i="16"/>
  <c r="FL58" i="16"/>
  <c r="FK58" i="16"/>
  <c r="FJ58" i="16"/>
  <c r="FH58" i="16"/>
  <c r="FF58" i="16"/>
  <c r="FE58" i="16"/>
  <c r="FD58" i="16"/>
  <c r="FC58" i="16"/>
  <c r="FB58" i="16"/>
  <c r="FA58" i="16"/>
  <c r="EZ58" i="16"/>
  <c r="EY58" i="16"/>
  <c r="EX58" i="16"/>
  <c r="EV58" i="16"/>
  <c r="EU58" i="16"/>
  <c r="ET58" i="16"/>
  <c r="ES58" i="16"/>
  <c r="ER58" i="16"/>
  <c r="EQ58" i="16"/>
  <c r="EO58" i="16"/>
  <c r="EN58" i="16"/>
  <c r="EM58" i="16"/>
  <c r="EL58" i="16"/>
  <c r="EK58" i="16"/>
  <c r="EJ58" i="16"/>
  <c r="EI58" i="16"/>
  <c r="EH58" i="16"/>
  <c r="EG58" i="16"/>
  <c r="EF58" i="16"/>
  <c r="EE58" i="16"/>
  <c r="ED58" i="16"/>
  <c r="EC58" i="16"/>
  <c r="EB58" i="16"/>
  <c r="EA58" i="16"/>
  <c r="DZ58" i="16"/>
  <c r="DY58" i="16"/>
  <c r="DX58" i="16"/>
  <c r="DW58" i="16"/>
  <c r="DU58" i="16"/>
  <c r="DT58" i="16"/>
  <c r="DS58" i="16"/>
  <c r="DR58" i="16"/>
  <c r="DQ58" i="16"/>
  <c r="DP58" i="16"/>
  <c r="DO58" i="16"/>
  <c r="DN58" i="16"/>
  <c r="DM58" i="16"/>
  <c r="DL58" i="16"/>
  <c r="DK58" i="16"/>
  <c r="DJ58" i="16"/>
  <c r="DI58" i="16"/>
  <c r="DH58" i="16"/>
  <c r="DG58" i="16"/>
  <c r="DF58" i="16"/>
  <c r="DE58" i="16"/>
  <c r="DD58" i="16"/>
  <c r="DC58" i="16"/>
  <c r="DB58" i="16"/>
  <c r="DA58" i="16"/>
  <c r="CY58" i="16"/>
  <c r="CX58" i="16"/>
  <c r="CV58" i="16"/>
  <c r="CU58" i="16"/>
  <c r="CS58" i="16"/>
  <c r="CR58" i="16"/>
  <c r="CQ58" i="16"/>
  <c r="CP58" i="16"/>
  <c r="CO58" i="16"/>
  <c r="CN58" i="16"/>
  <c r="CM58" i="16"/>
  <c r="CL58" i="16"/>
  <c r="CK58" i="16"/>
  <c r="CI58" i="16"/>
  <c r="CH58" i="16"/>
  <c r="CG58" i="16"/>
  <c r="CF58" i="16"/>
  <c r="CE58" i="16"/>
  <c r="CD58" i="16"/>
  <c r="CC58" i="16"/>
  <c r="CB58" i="16"/>
  <c r="CA58" i="16"/>
  <c r="BZ58" i="16"/>
  <c r="BY58" i="16"/>
  <c r="BX58" i="16"/>
  <c r="BW58" i="16"/>
  <c r="BV58" i="16"/>
  <c r="BU58" i="16"/>
  <c r="BT58" i="16"/>
  <c r="BS58" i="16"/>
  <c r="BR58" i="16"/>
  <c r="BQ58" i="16"/>
  <c r="BN58" i="16"/>
  <c r="BM58" i="16"/>
  <c r="BL58" i="16"/>
  <c r="BK58" i="16"/>
  <c r="BJ58" i="16"/>
  <c r="BI58" i="16"/>
  <c r="BH58" i="16"/>
  <c r="BG58" i="16"/>
  <c r="BF58" i="16"/>
  <c r="BE58" i="16"/>
  <c r="BD58" i="16"/>
  <c r="BC58" i="16"/>
  <c r="BB58" i="16"/>
  <c r="BA58" i="16"/>
  <c r="AZ58" i="16"/>
  <c r="AY58" i="16"/>
  <c r="AX58" i="16"/>
  <c r="AW58" i="16"/>
  <c r="AV58" i="16"/>
  <c r="AU58" i="16"/>
  <c r="AT58" i="16"/>
  <c r="AS58" i="16"/>
  <c r="AR58" i="16"/>
  <c r="AQ58" i="16"/>
  <c r="AP58" i="16"/>
  <c r="AO58" i="16"/>
  <c r="AN58" i="16"/>
  <c r="AM58" i="16"/>
  <c r="AK58" i="16"/>
  <c r="AJ58" i="16"/>
  <c r="AI58" i="16"/>
  <c r="AG58" i="16"/>
  <c r="AF58" i="16"/>
  <c r="AE58" i="16"/>
  <c r="AD58" i="16"/>
  <c r="AC58" i="16"/>
  <c r="AB58" i="16"/>
  <c r="AA58" i="16"/>
  <c r="Z58" i="16"/>
  <c r="Y58" i="16"/>
  <c r="X58" i="16"/>
  <c r="W58" i="16"/>
  <c r="V58" i="16"/>
  <c r="U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F58" i="16"/>
  <c r="E58" i="16"/>
  <c r="C58" i="16"/>
  <c r="GI57" i="16"/>
  <c r="GD57" i="16"/>
  <c r="GC57" i="16"/>
  <c r="GB57" i="16"/>
  <c r="GA57" i="16"/>
  <c r="FZ57" i="16"/>
  <c r="FY57" i="16"/>
  <c r="FW57" i="16"/>
  <c r="FM57" i="16"/>
  <c r="FL57" i="16"/>
  <c r="FK57" i="16"/>
  <c r="FJ57" i="16"/>
  <c r="FH57" i="16"/>
  <c r="FF57" i="16"/>
  <c r="FE57" i="16"/>
  <c r="FD57" i="16"/>
  <c r="FC57" i="16"/>
  <c r="FB57" i="16"/>
  <c r="FA57" i="16"/>
  <c r="EZ57" i="16"/>
  <c r="EY57" i="16"/>
  <c r="EX57" i="16"/>
  <c r="EV57" i="16"/>
  <c r="EU57" i="16"/>
  <c r="ET57" i="16"/>
  <c r="ES57" i="16"/>
  <c r="ER57" i="16"/>
  <c r="EQ57" i="16"/>
  <c r="EO57" i="16"/>
  <c r="EN57" i="16"/>
  <c r="EM57" i="16"/>
  <c r="EL57" i="16"/>
  <c r="EK57" i="16"/>
  <c r="EJ57" i="16"/>
  <c r="EI57" i="16"/>
  <c r="EH57" i="16"/>
  <c r="EG57" i="16"/>
  <c r="EF57" i="16"/>
  <c r="EE57" i="16"/>
  <c r="ED57" i="16"/>
  <c r="EC57" i="16"/>
  <c r="EB57" i="16"/>
  <c r="EA57" i="16"/>
  <c r="DZ57" i="16"/>
  <c r="DY57" i="16"/>
  <c r="DX57" i="16"/>
  <c r="DW57" i="16"/>
  <c r="DU57" i="16"/>
  <c r="DT57" i="16"/>
  <c r="DS57" i="16"/>
  <c r="DR57" i="16"/>
  <c r="DQ57" i="16"/>
  <c r="DP57" i="16"/>
  <c r="DO57" i="16"/>
  <c r="DN57" i="16"/>
  <c r="DM57" i="16"/>
  <c r="DL57" i="16"/>
  <c r="DK57" i="16"/>
  <c r="DJ57" i="16"/>
  <c r="DI57" i="16"/>
  <c r="DH57" i="16"/>
  <c r="DG57" i="16"/>
  <c r="DF57" i="16"/>
  <c r="DE57" i="16"/>
  <c r="DD57" i="16"/>
  <c r="DC57" i="16"/>
  <c r="DB57" i="16"/>
  <c r="DA57" i="16"/>
  <c r="CY57" i="16"/>
  <c r="CX57" i="16"/>
  <c r="CV57" i="16"/>
  <c r="CU57" i="16"/>
  <c r="CS57" i="16"/>
  <c r="CR57" i="16"/>
  <c r="CQ57" i="16"/>
  <c r="CP57" i="16"/>
  <c r="CO57" i="16"/>
  <c r="CN57" i="16"/>
  <c r="CM57" i="16"/>
  <c r="CL57" i="16"/>
  <c r="CK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K57" i="16"/>
  <c r="AJ57" i="16"/>
  <c r="AI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F57" i="16"/>
  <c r="E57" i="16"/>
  <c r="C57" i="16"/>
  <c r="GI56" i="16"/>
  <c r="GD56" i="16"/>
  <c r="GC56" i="16"/>
  <c r="GB56" i="16"/>
  <c r="GA56" i="16"/>
  <c r="FZ56" i="16"/>
  <c r="FY56" i="16"/>
  <c r="FW56" i="16"/>
  <c r="FM56" i="16"/>
  <c r="FL56" i="16"/>
  <c r="FK56" i="16"/>
  <c r="FJ56" i="16"/>
  <c r="FH56" i="16"/>
  <c r="FF56" i="16"/>
  <c r="FE56" i="16"/>
  <c r="FD56" i="16"/>
  <c r="FC56" i="16"/>
  <c r="FB56" i="16"/>
  <c r="FA56" i="16"/>
  <c r="EZ56" i="16"/>
  <c r="EY56" i="16"/>
  <c r="EX56" i="16"/>
  <c r="EV56" i="16"/>
  <c r="EU56" i="16"/>
  <c r="ET56" i="16"/>
  <c r="ES56" i="16"/>
  <c r="ER56" i="16"/>
  <c r="EQ56" i="16"/>
  <c r="EO56" i="16"/>
  <c r="EN56" i="16"/>
  <c r="EM56" i="16"/>
  <c r="EL56" i="16"/>
  <c r="EK56" i="16"/>
  <c r="EJ56" i="16"/>
  <c r="EI56" i="16"/>
  <c r="EH56" i="16"/>
  <c r="EG56" i="16"/>
  <c r="EF56" i="16"/>
  <c r="EE56" i="16"/>
  <c r="ED56" i="16"/>
  <c r="EC56" i="16"/>
  <c r="EB56" i="16"/>
  <c r="EA56" i="16"/>
  <c r="DZ56" i="16"/>
  <c r="DY56" i="16"/>
  <c r="DX56" i="16"/>
  <c r="DW56" i="16"/>
  <c r="DU56" i="16"/>
  <c r="DT56" i="16"/>
  <c r="DS56" i="16"/>
  <c r="DR56" i="16"/>
  <c r="DQ56" i="16"/>
  <c r="DP56" i="16"/>
  <c r="DO56" i="16"/>
  <c r="DN56" i="16"/>
  <c r="DM56" i="16"/>
  <c r="DL56" i="16"/>
  <c r="DK56" i="16"/>
  <c r="DJ56" i="16"/>
  <c r="DI56" i="16"/>
  <c r="DH56" i="16"/>
  <c r="DG56" i="16"/>
  <c r="DF56" i="16"/>
  <c r="DE56" i="16"/>
  <c r="DD56" i="16"/>
  <c r="DC56" i="16"/>
  <c r="DB56" i="16"/>
  <c r="DA56" i="16"/>
  <c r="CY56" i="16"/>
  <c r="CX56" i="16"/>
  <c r="CV56" i="16"/>
  <c r="CU56" i="16"/>
  <c r="CS56" i="16"/>
  <c r="CR56" i="16"/>
  <c r="CQ56" i="16"/>
  <c r="CP56" i="16"/>
  <c r="CO56" i="16"/>
  <c r="CN56" i="16"/>
  <c r="CM56" i="16"/>
  <c r="CL56" i="16"/>
  <c r="CK56" i="16"/>
  <c r="CI56" i="16"/>
  <c r="CH56" i="16"/>
  <c r="CG56" i="16"/>
  <c r="CF56" i="16"/>
  <c r="CE56" i="16"/>
  <c r="CD56" i="16"/>
  <c r="CC56" i="16"/>
  <c r="CB56" i="16"/>
  <c r="CA56" i="16"/>
  <c r="BZ56" i="16"/>
  <c r="BY56" i="16"/>
  <c r="BX56" i="16"/>
  <c r="BW56" i="16"/>
  <c r="BV56" i="16"/>
  <c r="BU56" i="16"/>
  <c r="BT56" i="16"/>
  <c r="BS56" i="16"/>
  <c r="BR56" i="16"/>
  <c r="BQ56" i="16"/>
  <c r="BN56" i="16"/>
  <c r="BM56" i="16"/>
  <c r="BL56" i="16"/>
  <c r="BK56" i="16"/>
  <c r="BJ56" i="16"/>
  <c r="BI56" i="16"/>
  <c r="BH56" i="16"/>
  <c r="BG56" i="16"/>
  <c r="BF56" i="16"/>
  <c r="BE56" i="16"/>
  <c r="BD56" i="16"/>
  <c r="BC56" i="16"/>
  <c r="BB56" i="16"/>
  <c r="BA56" i="16"/>
  <c r="AZ56" i="16"/>
  <c r="AY56" i="16"/>
  <c r="AX56" i="16"/>
  <c r="AW56" i="16"/>
  <c r="AV56" i="16"/>
  <c r="AU56" i="16"/>
  <c r="AT56" i="16"/>
  <c r="AS56" i="16"/>
  <c r="AR56" i="16"/>
  <c r="AQ56" i="16"/>
  <c r="AP56" i="16"/>
  <c r="AO56" i="16"/>
  <c r="AN56" i="16"/>
  <c r="AM56" i="16"/>
  <c r="AK56" i="16"/>
  <c r="AJ56" i="16"/>
  <c r="AI56" i="16"/>
  <c r="AG56" i="16"/>
  <c r="AF56" i="16"/>
  <c r="AE56" i="16"/>
  <c r="AD56" i="16"/>
  <c r="AC56" i="16"/>
  <c r="AB56" i="16"/>
  <c r="AA56" i="16"/>
  <c r="Z56" i="16"/>
  <c r="Y56" i="16"/>
  <c r="X56" i="16"/>
  <c r="W56" i="16"/>
  <c r="V56" i="16"/>
  <c r="U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F56" i="16"/>
  <c r="E56" i="16"/>
  <c r="C56" i="16"/>
  <c r="FJ54" i="16"/>
  <c r="EI54" i="16"/>
  <c r="FK53" i="16"/>
  <c r="FK54" i="16" s="1"/>
  <c r="FJ53" i="16"/>
  <c r="EI53" i="16"/>
  <c r="GV52" i="16"/>
  <c r="FX52" i="16"/>
  <c r="FV52" i="16"/>
  <c r="FI52" i="16"/>
  <c r="EW52" i="16"/>
  <c r="FG52" i="16" s="1"/>
  <c r="DV52" i="16"/>
  <c r="CZ52" i="16"/>
  <c r="CW52" i="16"/>
  <c r="CT52" i="16"/>
  <c r="CJ52" i="16"/>
  <c r="BP52" i="16"/>
  <c r="EP52" i="16" s="1"/>
  <c r="BO52" i="16"/>
  <c r="AL52" i="16"/>
  <c r="AH52" i="16"/>
  <c r="T52" i="16"/>
  <c r="G52" i="16"/>
  <c r="D52" i="16"/>
  <c r="GV51" i="16"/>
  <c r="FX51" i="16"/>
  <c r="FV51" i="16"/>
  <c r="FI51" i="16"/>
  <c r="FG51" i="16"/>
  <c r="EW51" i="16"/>
  <c r="EP51" i="16"/>
  <c r="DV51" i="16"/>
  <c r="CZ51" i="16"/>
  <c r="CW51" i="16"/>
  <c r="CT51" i="16"/>
  <c r="CJ51" i="16"/>
  <c r="BP51" i="16"/>
  <c r="BO51" i="16" s="1"/>
  <c r="AL51" i="16"/>
  <c r="AH51" i="16"/>
  <c r="T51" i="16"/>
  <c r="G51" i="16"/>
  <c r="D51" i="16"/>
  <c r="GV50" i="16"/>
  <c r="FX50" i="16"/>
  <c r="FV50" i="16"/>
  <c r="FI50" i="16"/>
  <c r="FI57" i="16" s="1"/>
  <c r="EW50" i="16"/>
  <c r="FG50" i="16" s="1"/>
  <c r="DV50" i="16"/>
  <c r="DV57" i="16" s="1"/>
  <c r="CZ50" i="16"/>
  <c r="CZ57" i="16" s="1"/>
  <c r="CW50" i="16"/>
  <c r="CW57" i="16" s="1"/>
  <c r="CT50" i="16"/>
  <c r="CJ50" i="16"/>
  <c r="BP50" i="16"/>
  <c r="BP57" i="16" s="1"/>
  <c r="BO50" i="16"/>
  <c r="AL50" i="16"/>
  <c r="AL57" i="16" s="1"/>
  <c r="AH50" i="16"/>
  <c r="AH57" i="16" s="1"/>
  <c r="T50" i="16"/>
  <c r="T57" i="16" s="1"/>
  <c r="G50" i="16"/>
  <c r="G58" i="16" s="1"/>
  <c r="D50" i="16"/>
  <c r="D57" i="16" s="1"/>
  <c r="GV49" i="16"/>
  <c r="FX49" i="16"/>
  <c r="FV49" i="16"/>
  <c r="FI49" i="16"/>
  <c r="FG49" i="16"/>
  <c r="EW49" i="16"/>
  <c r="EP49" i="16"/>
  <c r="DV49" i="16"/>
  <c r="CZ49" i="16"/>
  <c r="CW49" i="16"/>
  <c r="CT49" i="16"/>
  <c r="CJ49" i="16"/>
  <c r="BP49" i="16"/>
  <c r="BO49" i="16" s="1"/>
  <c r="AL49" i="16"/>
  <c r="AH49" i="16"/>
  <c r="T49" i="16"/>
  <c r="G49" i="16"/>
  <c r="D49" i="16"/>
  <c r="GV48" i="16"/>
  <c r="GE48" i="16"/>
  <c r="FX48" i="16"/>
  <c r="FV48" i="16"/>
  <c r="FI48" i="16"/>
  <c r="FG48" i="16"/>
  <c r="EW48" i="16"/>
  <c r="DV48" i="16"/>
  <c r="CZ48" i="16"/>
  <c r="CW48" i="16"/>
  <c r="CT48" i="16"/>
  <c r="CJ48" i="16"/>
  <c r="BP48" i="16"/>
  <c r="BO48" i="16" s="1"/>
  <c r="AL48" i="16"/>
  <c r="AH48" i="16"/>
  <c r="T48" i="16"/>
  <c r="EP48" i="16" s="1"/>
  <c r="G48" i="16"/>
  <c r="D48" i="16"/>
  <c r="GV47" i="16"/>
  <c r="FX47" i="16"/>
  <c r="FV47" i="16"/>
  <c r="FI47" i="16"/>
  <c r="EW47" i="16"/>
  <c r="FG47" i="16" s="1"/>
  <c r="EP47" i="16"/>
  <c r="DV47" i="16"/>
  <c r="CZ47" i="16"/>
  <c r="CW47" i="16"/>
  <c r="CT47" i="16"/>
  <c r="CJ47" i="16"/>
  <c r="BP47" i="16"/>
  <c r="BO47" i="16"/>
  <c r="AL47" i="16"/>
  <c r="AH47" i="16"/>
  <c r="T47" i="16"/>
  <c r="G47" i="16"/>
  <c r="D47" i="16"/>
  <c r="GV46" i="16"/>
  <c r="FX46" i="16"/>
  <c r="FV46" i="16"/>
  <c r="FI46" i="16"/>
  <c r="FG46" i="16"/>
  <c r="EW46" i="16"/>
  <c r="DV46" i="16"/>
  <c r="CZ46" i="16"/>
  <c r="CW46" i="16"/>
  <c r="CT46" i="16"/>
  <c r="CJ46" i="16"/>
  <c r="BP46" i="16"/>
  <c r="BO46" i="16" s="1"/>
  <c r="AL46" i="16"/>
  <c r="AH46" i="16"/>
  <c r="T46" i="16"/>
  <c r="G46" i="16"/>
  <c r="D46" i="16"/>
  <c r="GV45" i="16"/>
  <c r="FX45" i="16"/>
  <c r="FV45" i="16"/>
  <c r="FI45" i="16"/>
  <c r="EW45" i="16"/>
  <c r="FG45" i="16" s="1"/>
  <c r="DV45" i="16"/>
  <c r="CZ45" i="16"/>
  <c r="CW45" i="16"/>
  <c r="CT45" i="16"/>
  <c r="CJ45" i="16"/>
  <c r="BP45" i="16"/>
  <c r="BO45" i="16"/>
  <c r="AL45" i="16"/>
  <c r="AH45" i="16"/>
  <c r="T45" i="16"/>
  <c r="EP45" i="16" s="1"/>
  <c r="G45" i="16"/>
  <c r="D45" i="16"/>
  <c r="GV44" i="16"/>
  <c r="GE44" i="16" s="1"/>
  <c r="FX44" i="16"/>
  <c r="FV44" i="16"/>
  <c r="FI44" i="16"/>
  <c r="EW44" i="16"/>
  <c r="FG44" i="16" s="1"/>
  <c r="DV44" i="16"/>
  <c r="CZ44" i="16"/>
  <c r="CW44" i="16"/>
  <c r="CT44" i="16"/>
  <c r="CJ44" i="16"/>
  <c r="BP44" i="16"/>
  <c r="EP44" i="16" s="1"/>
  <c r="BO44" i="16"/>
  <c r="AL44" i="16"/>
  <c r="AH44" i="16"/>
  <c r="T44" i="16"/>
  <c r="G44" i="16"/>
  <c r="D44" i="16"/>
  <c r="GV43" i="16"/>
  <c r="FX43" i="16"/>
  <c r="FV43" i="16"/>
  <c r="FI43" i="16"/>
  <c r="FG43" i="16"/>
  <c r="EW43" i="16"/>
  <c r="DV43" i="16"/>
  <c r="CZ43" i="16"/>
  <c r="CW43" i="16"/>
  <c r="CT43" i="16"/>
  <c r="CJ43" i="16"/>
  <c r="BP43" i="16"/>
  <c r="BO43" i="16" s="1"/>
  <c r="AL43" i="16"/>
  <c r="AH43" i="16"/>
  <c r="T43" i="16"/>
  <c r="EP43" i="16" s="1"/>
  <c r="G43" i="16"/>
  <c r="D43" i="16"/>
  <c r="GV42" i="16"/>
  <c r="FX42" i="16"/>
  <c r="FV42" i="16"/>
  <c r="FI42" i="16"/>
  <c r="EW42" i="16"/>
  <c r="FG42" i="16" s="1"/>
  <c r="EP42" i="16"/>
  <c r="DV42" i="16"/>
  <c r="CZ42" i="16"/>
  <c r="CW42" i="16"/>
  <c r="CT42" i="16"/>
  <c r="CJ42" i="16"/>
  <c r="BP42" i="16"/>
  <c r="BO42" i="16"/>
  <c r="AL42" i="16"/>
  <c r="AH42" i="16"/>
  <c r="T42" i="16"/>
  <c r="G42" i="16"/>
  <c r="D42" i="16"/>
  <c r="GV41" i="16"/>
  <c r="FX41" i="16"/>
  <c r="FV41" i="16"/>
  <c r="FI41" i="16"/>
  <c r="FG41" i="16"/>
  <c r="EW41" i="16"/>
  <c r="DV41" i="16"/>
  <c r="CZ41" i="16"/>
  <c r="CW41" i="16"/>
  <c r="CT41" i="16"/>
  <c r="CT57" i="16" s="1"/>
  <c r="CJ41" i="16"/>
  <c r="BP41" i="16"/>
  <c r="BO41" i="16" s="1"/>
  <c r="AL41" i="16"/>
  <c r="AH41" i="16"/>
  <c r="T41" i="16"/>
  <c r="G41" i="16"/>
  <c r="D41" i="16"/>
  <c r="GV40" i="16"/>
  <c r="FX40" i="16"/>
  <c r="FV40" i="16"/>
  <c r="FI40" i="16"/>
  <c r="EW40" i="16"/>
  <c r="FG40" i="16" s="1"/>
  <c r="DV40" i="16"/>
  <c r="CZ40" i="16"/>
  <c r="CW40" i="16"/>
  <c r="CT40" i="16"/>
  <c r="CJ40" i="16"/>
  <c r="BP40" i="16"/>
  <c r="BO40" i="16"/>
  <c r="AL40" i="16"/>
  <c r="AH40" i="16"/>
  <c r="T40" i="16"/>
  <c r="EP40" i="16" s="1"/>
  <c r="G40" i="16"/>
  <c r="D40" i="16"/>
  <c r="GV39" i="16"/>
  <c r="FX39" i="16"/>
  <c r="FV39" i="16"/>
  <c r="FI39" i="16"/>
  <c r="FI56" i="16" s="1"/>
  <c r="FG39" i="16"/>
  <c r="FG58" i="16" s="1"/>
  <c r="EW39" i="16"/>
  <c r="EW58" i="16" s="1"/>
  <c r="DV39" i="16"/>
  <c r="CZ39" i="16"/>
  <c r="CZ58" i="16" s="1"/>
  <c r="CW39" i="16"/>
  <c r="CW56" i="16" s="1"/>
  <c r="CT39" i="16"/>
  <c r="CT56" i="16" s="1"/>
  <c r="CJ39" i="16"/>
  <c r="BP39" i="16"/>
  <c r="BP56" i="16" s="1"/>
  <c r="AL39" i="16"/>
  <c r="AL58" i="16" s="1"/>
  <c r="AH39" i="16"/>
  <c r="AH56" i="16" s="1"/>
  <c r="T39" i="16"/>
  <c r="T56" i="16" s="1"/>
  <c r="G39" i="16"/>
  <c r="D39" i="16"/>
  <c r="D56" i="16" s="1"/>
  <c r="GV38" i="16"/>
  <c r="FX38" i="16"/>
  <c r="FV38" i="16"/>
  <c r="FI38" i="16"/>
  <c r="EW38" i="16"/>
  <c r="FG38" i="16" s="1"/>
  <c r="DV38" i="16"/>
  <c r="CZ38" i="16"/>
  <c r="CW38" i="16"/>
  <c r="CT38" i="16"/>
  <c r="CJ38" i="16"/>
  <c r="BP38" i="16"/>
  <c r="BO38" i="16"/>
  <c r="AL38" i="16"/>
  <c r="AH38" i="16"/>
  <c r="T38" i="16"/>
  <c r="EP38" i="16" s="1"/>
  <c r="G38" i="16"/>
  <c r="D38" i="16"/>
  <c r="GV37" i="16"/>
  <c r="FX37" i="16"/>
  <c r="FV37" i="16"/>
  <c r="FI37" i="16"/>
  <c r="FG37" i="16"/>
  <c r="EW37" i="16"/>
  <c r="EP37" i="16"/>
  <c r="DV37" i="16"/>
  <c r="CZ37" i="16"/>
  <c r="CW37" i="16"/>
  <c r="CT37" i="16"/>
  <c r="CJ37" i="16"/>
  <c r="BP37" i="16"/>
  <c r="BO37" i="16" s="1"/>
  <c r="AL37" i="16"/>
  <c r="AH37" i="16"/>
  <c r="T37" i="16"/>
  <c r="G37" i="16"/>
  <c r="D37" i="16"/>
  <c r="GV36" i="16"/>
  <c r="GE36" i="16"/>
  <c r="FX36" i="16"/>
  <c r="FV36" i="16"/>
  <c r="FI36" i="16"/>
  <c r="FG36" i="16"/>
  <c r="EW36" i="16"/>
  <c r="DV36" i="16"/>
  <c r="CZ36" i="16"/>
  <c r="CW36" i="16"/>
  <c r="CT36" i="16"/>
  <c r="CJ36" i="16"/>
  <c r="BP36" i="16"/>
  <c r="BO36" i="16" s="1"/>
  <c r="AL36" i="16"/>
  <c r="AH36" i="16"/>
  <c r="T36" i="16"/>
  <c r="EP36" i="16" s="1"/>
  <c r="G36" i="16"/>
  <c r="D36" i="16"/>
  <c r="GV35" i="16"/>
  <c r="GE35" i="16"/>
  <c r="FX35" i="16"/>
  <c r="FV35" i="16"/>
  <c r="FI35" i="16"/>
  <c r="FG35" i="16"/>
  <c r="EW35" i="16"/>
  <c r="EP35" i="16"/>
  <c r="DV35" i="16"/>
  <c r="CZ35" i="16"/>
  <c r="CW35" i="16"/>
  <c r="CT35" i="16"/>
  <c r="CJ35" i="16"/>
  <c r="BP35" i="16"/>
  <c r="BO35" i="16" s="1"/>
  <c r="AL35" i="16"/>
  <c r="AH35" i="16"/>
  <c r="T35" i="16"/>
  <c r="G35" i="16"/>
  <c r="D35" i="16"/>
  <c r="GV34" i="16"/>
  <c r="FX34" i="16"/>
  <c r="FV34" i="16"/>
  <c r="FI34" i="16"/>
  <c r="EW34" i="16"/>
  <c r="FG34" i="16" s="1"/>
  <c r="DV34" i="16"/>
  <c r="CZ34" i="16"/>
  <c r="CW34" i="16"/>
  <c r="CT34" i="16"/>
  <c r="CJ34" i="16"/>
  <c r="BP34" i="16"/>
  <c r="EP34" i="16" s="1"/>
  <c r="BO34" i="16"/>
  <c r="AL34" i="16"/>
  <c r="AH34" i="16"/>
  <c r="T34" i="16"/>
  <c r="G34" i="16"/>
  <c r="D34" i="16"/>
  <c r="GV33" i="16"/>
  <c r="FX33" i="16"/>
  <c r="FV33" i="16"/>
  <c r="FI33" i="16"/>
  <c r="FG33" i="16"/>
  <c r="EW33" i="16"/>
  <c r="DV33" i="16"/>
  <c r="CZ33" i="16"/>
  <c r="CW33" i="16"/>
  <c r="CT33" i="16"/>
  <c r="CJ33" i="16"/>
  <c r="BP33" i="16"/>
  <c r="BO33" i="16" s="1"/>
  <c r="AL33" i="16"/>
  <c r="AH33" i="16"/>
  <c r="T33" i="16"/>
  <c r="EP33" i="16" s="1"/>
  <c r="G33" i="16"/>
  <c r="D33" i="16"/>
  <c r="GV32" i="16"/>
  <c r="FX32" i="16"/>
  <c r="FV32" i="16"/>
  <c r="FI32" i="16"/>
  <c r="EW32" i="16"/>
  <c r="FG32" i="16" s="1"/>
  <c r="DV32" i="16"/>
  <c r="CZ32" i="16"/>
  <c r="CW32" i="16"/>
  <c r="CT32" i="16"/>
  <c r="CJ32" i="16"/>
  <c r="BP32" i="16"/>
  <c r="EP32" i="16" s="1"/>
  <c r="BO32" i="16"/>
  <c r="AL32" i="16"/>
  <c r="AH32" i="16"/>
  <c r="T32" i="16"/>
  <c r="G32" i="16"/>
  <c r="D32" i="16"/>
  <c r="GV31" i="16"/>
  <c r="GE31" i="16" s="1"/>
  <c r="FX31" i="16"/>
  <c r="FV31" i="16"/>
  <c r="FI31" i="16"/>
  <c r="EW31" i="16"/>
  <c r="FG31" i="16" s="1"/>
  <c r="DV31" i="16"/>
  <c r="CZ31" i="16"/>
  <c r="CW31" i="16"/>
  <c r="CT31" i="16"/>
  <c r="CJ31" i="16"/>
  <c r="BP31" i="16"/>
  <c r="BO31" i="16"/>
  <c r="AL31" i="16"/>
  <c r="AH31" i="16"/>
  <c r="T31" i="16"/>
  <c r="EP31" i="16" s="1"/>
  <c r="G31" i="16"/>
  <c r="D31" i="16"/>
  <c r="GV30" i="16"/>
  <c r="GE30" i="16"/>
  <c r="FX30" i="16"/>
  <c r="FV30" i="16"/>
  <c r="FI30" i="16"/>
  <c r="EW30" i="16"/>
  <c r="FG30" i="16" s="1"/>
  <c r="DV30" i="16"/>
  <c r="CZ30" i="16"/>
  <c r="CW30" i="16"/>
  <c r="CT30" i="16"/>
  <c r="CJ30" i="16"/>
  <c r="BP30" i="16"/>
  <c r="EP30" i="16" s="1"/>
  <c r="BO30" i="16"/>
  <c r="AL30" i="16"/>
  <c r="AH30" i="16"/>
  <c r="T30" i="16"/>
  <c r="G30" i="16"/>
  <c r="D30" i="16"/>
  <c r="GV29" i="16"/>
  <c r="FX29" i="16"/>
  <c r="FV29" i="16"/>
  <c r="FI29" i="16"/>
  <c r="FG29" i="16"/>
  <c r="EW29" i="16"/>
  <c r="DV29" i="16"/>
  <c r="CZ29" i="16"/>
  <c r="CW29" i="16"/>
  <c r="CT29" i="16"/>
  <c r="CJ29" i="16"/>
  <c r="BP29" i="16"/>
  <c r="BO29" i="16" s="1"/>
  <c r="AL29" i="16"/>
  <c r="AH29" i="16"/>
  <c r="T29" i="16"/>
  <c r="EP29" i="16" s="1"/>
  <c r="G29" i="16"/>
  <c r="D29" i="16"/>
  <c r="GV28" i="16"/>
  <c r="FX28" i="16"/>
  <c r="FV28" i="16"/>
  <c r="FI28" i="16"/>
  <c r="EW28" i="16"/>
  <c r="FG28" i="16" s="1"/>
  <c r="EP28" i="16"/>
  <c r="DV28" i="16"/>
  <c r="CZ28" i="16"/>
  <c r="CW28" i="16"/>
  <c r="CT28" i="16"/>
  <c r="CJ28" i="16"/>
  <c r="BP28" i="16"/>
  <c r="BO28" i="16"/>
  <c r="AL28" i="16"/>
  <c r="AH28" i="16"/>
  <c r="T28" i="16"/>
  <c r="G28" i="16"/>
  <c r="D28" i="16"/>
  <c r="GV27" i="16"/>
  <c r="GE27" i="16" s="1"/>
  <c r="FX27" i="16"/>
  <c r="FV27" i="16"/>
  <c r="FI27" i="16"/>
  <c r="EW27" i="16"/>
  <c r="FG27" i="16" s="1"/>
  <c r="DV27" i="16"/>
  <c r="CZ27" i="16"/>
  <c r="CW27" i="16"/>
  <c r="CT27" i="16"/>
  <c r="CJ27" i="16"/>
  <c r="BP27" i="16"/>
  <c r="EP27" i="16" s="1"/>
  <c r="BO27" i="16"/>
  <c r="AL27" i="16"/>
  <c r="AH27" i="16"/>
  <c r="T27" i="16"/>
  <c r="G27" i="16"/>
  <c r="D27" i="16"/>
  <c r="GV26" i="16"/>
  <c r="GE26" i="16" s="1"/>
  <c r="FX26" i="16"/>
  <c r="FV26" i="16"/>
  <c r="FI26" i="16"/>
  <c r="EW26" i="16"/>
  <c r="FG26" i="16" s="1"/>
  <c r="EP26" i="16"/>
  <c r="DV26" i="16"/>
  <c r="CZ26" i="16"/>
  <c r="CW26" i="16"/>
  <c r="CT26" i="16"/>
  <c r="CJ26" i="16"/>
  <c r="BP26" i="16"/>
  <c r="BO26" i="16"/>
  <c r="AL26" i="16"/>
  <c r="AH26" i="16"/>
  <c r="T26" i="16"/>
  <c r="G26" i="16"/>
  <c r="D26" i="16"/>
  <c r="GV25" i="16"/>
  <c r="FX25" i="16"/>
  <c r="FV25" i="16"/>
  <c r="FI25" i="16"/>
  <c r="FG25" i="16"/>
  <c r="EW25" i="16"/>
  <c r="DV25" i="16"/>
  <c r="CZ25" i="16"/>
  <c r="CW25" i="16"/>
  <c r="CT25" i="16"/>
  <c r="CJ25" i="16"/>
  <c r="BP25" i="16"/>
  <c r="BO25" i="16" s="1"/>
  <c r="AL25" i="16"/>
  <c r="AH25" i="16"/>
  <c r="T25" i="16"/>
  <c r="G25" i="16"/>
  <c r="D25" i="16"/>
  <c r="GV24" i="16"/>
  <c r="FX24" i="16"/>
  <c r="FV24" i="16"/>
  <c r="FI24" i="16"/>
  <c r="EW24" i="16"/>
  <c r="FG24" i="16" s="1"/>
  <c r="DV24" i="16"/>
  <c r="CZ24" i="16"/>
  <c r="CW24" i="16"/>
  <c r="CT24" i="16"/>
  <c r="CJ24" i="16"/>
  <c r="BP24" i="16"/>
  <c r="BO24" i="16"/>
  <c r="AL24" i="16"/>
  <c r="AH24" i="16"/>
  <c r="T24" i="16"/>
  <c r="EP24" i="16" s="1"/>
  <c r="G24" i="16"/>
  <c r="D24" i="16"/>
  <c r="GV23" i="16"/>
  <c r="GE23" i="16" s="1"/>
  <c r="FX23" i="16"/>
  <c r="FV23" i="16"/>
  <c r="FI23" i="16"/>
  <c r="EW23" i="16"/>
  <c r="FG23" i="16" s="1"/>
  <c r="DV23" i="16"/>
  <c r="CZ23" i="16"/>
  <c r="CW23" i="16"/>
  <c r="CT23" i="16"/>
  <c r="CJ23" i="16"/>
  <c r="BP23" i="16"/>
  <c r="EP23" i="16" s="1"/>
  <c r="BO23" i="16"/>
  <c r="AL23" i="16"/>
  <c r="AH23" i="16"/>
  <c r="T23" i="16"/>
  <c r="G23" i="16"/>
  <c r="D23" i="16"/>
  <c r="GV22" i="16"/>
  <c r="FX22" i="16"/>
  <c r="FV22" i="16"/>
  <c r="FI22" i="16"/>
  <c r="FG22" i="16"/>
  <c r="EW22" i="16"/>
  <c r="DV22" i="16"/>
  <c r="CZ22" i="16"/>
  <c r="CW22" i="16"/>
  <c r="CT22" i="16"/>
  <c r="CJ22" i="16"/>
  <c r="BP22" i="16"/>
  <c r="BO22" i="16" s="1"/>
  <c r="AL22" i="16"/>
  <c r="AH22" i="16"/>
  <c r="T22" i="16"/>
  <c r="EP22" i="16" s="1"/>
  <c r="G22" i="16"/>
  <c r="D22" i="16"/>
  <c r="GV21" i="16"/>
  <c r="FX21" i="16"/>
  <c r="FV21" i="16"/>
  <c r="FI21" i="16"/>
  <c r="EW21" i="16"/>
  <c r="FG21" i="16" s="1"/>
  <c r="EP21" i="16"/>
  <c r="DV21" i="16"/>
  <c r="CZ21" i="16"/>
  <c r="CW21" i="16"/>
  <c r="CT21" i="16"/>
  <c r="CJ21" i="16"/>
  <c r="BP21" i="16"/>
  <c r="BO21" i="16"/>
  <c r="AL21" i="16"/>
  <c r="AH21" i="16"/>
  <c r="T21" i="16"/>
  <c r="G21" i="16"/>
  <c r="D21" i="16"/>
  <c r="GV20" i="16"/>
  <c r="FX20" i="16"/>
  <c r="FV20" i="16"/>
  <c r="FI20" i="16"/>
  <c r="FG20" i="16"/>
  <c r="EW20" i="16"/>
  <c r="DV20" i="16"/>
  <c r="CZ20" i="16"/>
  <c r="CW20" i="16"/>
  <c r="CT20" i="16"/>
  <c r="CJ20" i="16"/>
  <c r="BP20" i="16"/>
  <c r="BO20" i="16" s="1"/>
  <c r="AL20" i="16"/>
  <c r="AH20" i="16"/>
  <c r="T20" i="16"/>
  <c r="G20" i="16"/>
  <c r="D20" i="16"/>
  <c r="GV19" i="16"/>
  <c r="GE19" i="16"/>
  <c r="FX19" i="16"/>
  <c r="FV19" i="16"/>
  <c r="FI19" i="16"/>
  <c r="FG19" i="16"/>
  <c r="EW19" i="16"/>
  <c r="DV19" i="16"/>
  <c r="CZ19" i="16"/>
  <c r="CW19" i="16"/>
  <c r="CT19" i="16"/>
  <c r="CJ19" i="16"/>
  <c r="BP19" i="16"/>
  <c r="BO19" i="16" s="1"/>
  <c r="AL19" i="16"/>
  <c r="AH19" i="16"/>
  <c r="T19" i="16"/>
  <c r="EP19" i="16" s="1"/>
  <c r="G19" i="16"/>
  <c r="D19" i="16"/>
  <c r="GV18" i="16"/>
  <c r="FX18" i="16"/>
  <c r="FV18" i="16"/>
  <c r="FI18" i="16"/>
  <c r="EW18" i="16"/>
  <c r="FG18" i="16" s="1"/>
  <c r="DV18" i="16"/>
  <c r="CZ18" i="16"/>
  <c r="CW18" i="16"/>
  <c r="CT18" i="16"/>
  <c r="CJ18" i="16"/>
  <c r="BP18" i="16"/>
  <c r="EP18" i="16" s="1"/>
  <c r="BO18" i="16"/>
  <c r="AL18" i="16"/>
  <c r="AH18" i="16"/>
  <c r="T18" i="16"/>
  <c r="G18" i="16"/>
  <c r="D18" i="16"/>
  <c r="GV17" i="16"/>
  <c r="GE17" i="16"/>
  <c r="FX17" i="16"/>
  <c r="FV17" i="16"/>
  <c r="FI17" i="16"/>
  <c r="EW17" i="16"/>
  <c r="FG17" i="16" s="1"/>
  <c r="DV17" i="16"/>
  <c r="CZ17" i="16"/>
  <c r="CW17" i="16"/>
  <c r="CT17" i="16"/>
  <c r="CJ17" i="16"/>
  <c r="BP17" i="16"/>
  <c r="BO17" i="16"/>
  <c r="AL17" i="16"/>
  <c r="AH17" i="16"/>
  <c r="T17" i="16"/>
  <c r="EP17" i="16" s="1"/>
  <c r="G17" i="16"/>
  <c r="D17" i="16"/>
  <c r="GV16" i="16"/>
  <c r="GE16" i="16" s="1"/>
  <c r="FX16" i="16"/>
  <c r="FV16" i="16"/>
  <c r="FI16" i="16"/>
  <c r="EW16" i="16"/>
  <c r="FG16" i="16" s="1"/>
  <c r="DV16" i="16"/>
  <c r="CZ16" i="16"/>
  <c r="CW16" i="16"/>
  <c r="CT16" i="16"/>
  <c r="CJ16" i="16"/>
  <c r="BP16" i="16"/>
  <c r="EP16" i="16" s="1"/>
  <c r="BO16" i="16"/>
  <c r="AL16" i="16"/>
  <c r="AH16" i="16"/>
  <c r="T16" i="16"/>
  <c r="G16" i="16"/>
  <c r="D16" i="16"/>
  <c r="GV15" i="16"/>
  <c r="FX15" i="16"/>
  <c r="FV15" i="16"/>
  <c r="FI15" i="16"/>
  <c r="FG15" i="16"/>
  <c r="EW15" i="16"/>
  <c r="DV15" i="16"/>
  <c r="CZ15" i="16"/>
  <c r="CW15" i="16"/>
  <c r="CT15" i="16"/>
  <c r="CJ15" i="16"/>
  <c r="BP15" i="16"/>
  <c r="BO15" i="16" s="1"/>
  <c r="AL15" i="16"/>
  <c r="AH15" i="16"/>
  <c r="T15" i="16"/>
  <c r="EP15" i="16" s="1"/>
  <c r="G15" i="16"/>
  <c r="D15" i="16"/>
  <c r="GV14" i="16"/>
  <c r="FX14" i="16"/>
  <c r="FV14" i="16"/>
  <c r="FI14" i="16"/>
  <c r="EW14" i="16"/>
  <c r="FG14" i="16" s="1"/>
  <c r="EP14" i="16"/>
  <c r="DV14" i="16"/>
  <c r="CZ14" i="16"/>
  <c r="CW14" i="16"/>
  <c r="CT14" i="16"/>
  <c r="CJ14" i="16"/>
  <c r="BP14" i="16"/>
  <c r="BO14" i="16"/>
  <c r="AL14" i="16"/>
  <c r="AH14" i="16"/>
  <c r="T14" i="16"/>
  <c r="G14" i="16"/>
  <c r="D14" i="16"/>
  <c r="GV13" i="16"/>
  <c r="GE13" i="16" s="1"/>
  <c r="FX13" i="16"/>
  <c r="FV13" i="16"/>
  <c r="FI13" i="16"/>
  <c r="EW13" i="16"/>
  <c r="FG13" i="16" s="1"/>
  <c r="DV13" i="16"/>
  <c r="CZ13" i="16"/>
  <c r="CW13" i="16"/>
  <c r="CT13" i="16"/>
  <c r="CJ13" i="16"/>
  <c r="BP13" i="16"/>
  <c r="EP13" i="16" s="1"/>
  <c r="BO13" i="16"/>
  <c r="AL13" i="16"/>
  <c r="AH13" i="16"/>
  <c r="T13" i="16"/>
  <c r="G13" i="16"/>
  <c r="D13" i="16"/>
  <c r="GV12" i="16"/>
  <c r="GE12" i="16" s="1"/>
  <c r="FX12" i="16"/>
  <c r="FV12" i="16"/>
  <c r="FI12" i="16"/>
  <c r="EW12" i="16"/>
  <c r="FG12" i="16" s="1"/>
  <c r="EP12" i="16"/>
  <c r="DV12" i="16"/>
  <c r="CZ12" i="16"/>
  <c r="CW12" i="16"/>
  <c r="CT12" i="16"/>
  <c r="CJ12" i="16"/>
  <c r="BP12" i="16"/>
  <c r="BO12" i="16"/>
  <c r="AL12" i="16"/>
  <c r="AH12" i="16"/>
  <c r="T12" i="16"/>
  <c r="G12" i="16"/>
  <c r="D12" i="16"/>
  <c r="GV11" i="16"/>
  <c r="FX11" i="16"/>
  <c r="FV11" i="16"/>
  <c r="FI11" i="16"/>
  <c r="FG11" i="16"/>
  <c r="EW11" i="16"/>
  <c r="DV11" i="16"/>
  <c r="CZ11" i="16"/>
  <c r="CW11" i="16"/>
  <c r="CT11" i="16"/>
  <c r="CJ11" i="16"/>
  <c r="BP11" i="16"/>
  <c r="BO11" i="16" s="1"/>
  <c r="AL11" i="16"/>
  <c r="AH11" i="16"/>
  <c r="T11" i="16"/>
  <c r="G11" i="16"/>
  <c r="D11" i="16"/>
  <c r="GV10" i="16"/>
  <c r="FX10" i="16"/>
  <c r="FV10" i="16"/>
  <c r="FI10" i="16"/>
  <c r="EW10" i="16"/>
  <c r="FG10" i="16" s="1"/>
  <c r="DV10" i="16"/>
  <c r="CZ10" i="16"/>
  <c r="CW10" i="16"/>
  <c r="CT10" i="16"/>
  <c r="CJ10" i="16"/>
  <c r="BP10" i="16"/>
  <c r="BO10" i="16"/>
  <c r="AL10" i="16"/>
  <c r="AH10" i="16"/>
  <c r="T10" i="16"/>
  <c r="EP10" i="16" s="1"/>
  <c r="G10" i="16"/>
  <c r="D10" i="16"/>
  <c r="GV9" i="16"/>
  <c r="FX9" i="16"/>
  <c r="FV9" i="16"/>
  <c r="FI9" i="16"/>
  <c r="EW9" i="16"/>
  <c r="FG9" i="16" s="1"/>
  <c r="EP9" i="16"/>
  <c r="DV9" i="16"/>
  <c r="CZ9" i="16"/>
  <c r="CZ56" i="16" s="1"/>
  <c r="CW9" i="16"/>
  <c r="CT9" i="16"/>
  <c r="CJ9" i="16"/>
  <c r="BP9" i="16"/>
  <c r="BO9" i="16"/>
  <c r="AL9" i="16"/>
  <c r="AH9" i="16"/>
  <c r="T9" i="16"/>
  <c r="G9" i="16"/>
  <c r="D9" i="16"/>
  <c r="GV8" i="16"/>
  <c r="FX8" i="16"/>
  <c r="FV8" i="16"/>
  <c r="FI8" i="16"/>
  <c r="EW8" i="16"/>
  <c r="EW56" i="16" s="1"/>
  <c r="DV8" i="16"/>
  <c r="DV56" i="16" s="1"/>
  <c r="CZ8" i="16"/>
  <c r="CW8" i="16"/>
  <c r="CT8" i="16"/>
  <c r="CJ8" i="16"/>
  <c r="BP8" i="16"/>
  <c r="EP8" i="16" s="1"/>
  <c r="BO8" i="16"/>
  <c r="AL8" i="16"/>
  <c r="AH8" i="16"/>
  <c r="T8" i="16"/>
  <c r="G8" i="16"/>
  <c r="G56" i="16" s="1"/>
  <c r="D8" i="16"/>
  <c r="GV7" i="16"/>
  <c r="GE7" i="16" s="1"/>
  <c r="FX7" i="16"/>
  <c r="FV7" i="16"/>
  <c r="FI7" i="16"/>
  <c r="EW7" i="16"/>
  <c r="FG7" i="16" s="1"/>
  <c r="DV7" i="16"/>
  <c r="CZ7" i="16"/>
  <c r="CW7" i="16"/>
  <c r="CT7" i="16"/>
  <c r="BP7" i="16"/>
  <c r="BO7" i="16" s="1"/>
  <c r="AL7" i="16"/>
  <c r="AH7" i="16"/>
  <c r="AH59" i="16" s="1"/>
  <c r="T7" i="16"/>
  <c r="EP7" i="16" s="1"/>
  <c r="G7" i="16"/>
  <c r="D7" i="16"/>
  <c r="GV6" i="16"/>
  <c r="FX6" i="16"/>
  <c r="FV6" i="16"/>
  <c r="FI6" i="16"/>
  <c r="FI59" i="16" s="1"/>
  <c r="EW6" i="16"/>
  <c r="EW59" i="16" s="1"/>
  <c r="DV6" i="16"/>
  <c r="DV59" i="16" s="1"/>
  <c r="CZ6" i="16"/>
  <c r="CW6" i="16"/>
  <c r="CW59" i="16" s="1"/>
  <c r="CT6" i="16"/>
  <c r="BP6" i="16"/>
  <c r="BP59" i="16" s="1"/>
  <c r="BO6" i="16"/>
  <c r="AL6" i="16"/>
  <c r="AL59" i="16" s="1"/>
  <c r="AH6" i="16"/>
  <c r="T6" i="16"/>
  <c r="T59" i="16" s="1"/>
  <c r="G6" i="16"/>
  <c r="D6" i="16"/>
  <c r="D59" i="16" s="1"/>
  <c r="GI59" i="15"/>
  <c r="GD59" i="15"/>
  <c r="GC59" i="15"/>
  <c r="GB59" i="15"/>
  <c r="GA59" i="15"/>
  <c r="FZ59" i="15"/>
  <c r="FY59" i="15"/>
  <c r="FW59" i="15"/>
  <c r="FM59" i="15"/>
  <c r="FL59" i="15"/>
  <c r="FK59" i="15"/>
  <c r="FJ59" i="15"/>
  <c r="FH59" i="15"/>
  <c r="FF59" i="15"/>
  <c r="FE59" i="15"/>
  <c r="FD59" i="15"/>
  <c r="FC59" i="15"/>
  <c r="FB59" i="15"/>
  <c r="FA59" i="15"/>
  <c r="EZ59" i="15"/>
  <c r="EY59" i="15"/>
  <c r="EX59" i="15"/>
  <c r="EV59" i="15"/>
  <c r="EU59" i="15"/>
  <c r="ET59" i="15"/>
  <c r="ES59" i="15"/>
  <c r="ER59" i="15"/>
  <c r="EQ59" i="15"/>
  <c r="EO59" i="15"/>
  <c r="EN59" i="15"/>
  <c r="EM59" i="15"/>
  <c r="EL59" i="15"/>
  <c r="EK59" i="15"/>
  <c r="EJ59" i="15"/>
  <c r="EI59" i="15"/>
  <c r="EH59" i="15"/>
  <c r="EG59" i="15"/>
  <c r="EF59" i="15"/>
  <c r="EE59" i="15"/>
  <c r="ED59" i="15"/>
  <c r="EC59" i="15"/>
  <c r="EB59" i="15"/>
  <c r="EA59" i="15"/>
  <c r="DZ59" i="15"/>
  <c r="DY59" i="15"/>
  <c r="DX59" i="15"/>
  <c r="DW59" i="15"/>
  <c r="DU59" i="15"/>
  <c r="DT59" i="15"/>
  <c r="DS59" i="15"/>
  <c r="DR59" i="15"/>
  <c r="DQ59" i="15"/>
  <c r="DP59" i="15"/>
  <c r="DO59" i="15"/>
  <c r="DN59" i="15"/>
  <c r="DM59" i="15"/>
  <c r="DL59" i="15"/>
  <c r="DK59" i="15"/>
  <c r="DJ59" i="15"/>
  <c r="DI59" i="15"/>
  <c r="DH59" i="15"/>
  <c r="DG59" i="15"/>
  <c r="DF59" i="15"/>
  <c r="DE59" i="15"/>
  <c r="DD59" i="15"/>
  <c r="DC59" i="15"/>
  <c r="DB59" i="15"/>
  <c r="DA59" i="15"/>
  <c r="CY59" i="15"/>
  <c r="CX59" i="15"/>
  <c r="CV59" i="15"/>
  <c r="CU59" i="15"/>
  <c r="CS59" i="15"/>
  <c r="CR59" i="15"/>
  <c r="CQ59" i="15"/>
  <c r="CP59" i="15"/>
  <c r="CO59" i="15"/>
  <c r="CN59" i="15"/>
  <c r="CM59" i="15"/>
  <c r="CL59" i="15"/>
  <c r="CK59" i="15"/>
  <c r="CI59" i="15"/>
  <c r="CH59" i="15"/>
  <c r="CG59" i="15"/>
  <c r="CF59" i="15"/>
  <c r="CE59" i="15"/>
  <c r="CD59" i="15"/>
  <c r="CC59" i="15"/>
  <c r="CB59" i="15"/>
  <c r="CA59" i="15"/>
  <c r="BZ59" i="15"/>
  <c r="BY59" i="15"/>
  <c r="BX59" i="15"/>
  <c r="BW59" i="15"/>
  <c r="BV59" i="15"/>
  <c r="BU59" i="15"/>
  <c r="BT59" i="15"/>
  <c r="BS59" i="15"/>
  <c r="BR59" i="15"/>
  <c r="BQ59" i="15"/>
  <c r="BN59" i="15"/>
  <c r="BM59" i="15"/>
  <c r="BL59" i="15"/>
  <c r="BK59" i="15"/>
  <c r="BJ59" i="15"/>
  <c r="BI59" i="15"/>
  <c r="BH59" i="15"/>
  <c r="BG59" i="15"/>
  <c r="BF59" i="15"/>
  <c r="BE59" i="15"/>
  <c r="BD59" i="15"/>
  <c r="BC59" i="15"/>
  <c r="BB59" i="15"/>
  <c r="BA59" i="15"/>
  <c r="AZ59" i="15"/>
  <c r="AY59" i="15"/>
  <c r="AX59" i="15"/>
  <c r="AW59" i="15"/>
  <c r="AV59" i="15"/>
  <c r="AU59" i="15"/>
  <c r="AT59" i="15"/>
  <c r="AS59" i="15"/>
  <c r="AR59" i="15"/>
  <c r="AQ59" i="15"/>
  <c r="AP59" i="15"/>
  <c r="AO59" i="15"/>
  <c r="AN59" i="15"/>
  <c r="AM59" i="15"/>
  <c r="AK59" i="15"/>
  <c r="AJ59" i="15"/>
  <c r="AI59" i="15"/>
  <c r="AG59" i="15"/>
  <c r="AF59" i="15"/>
  <c r="AE59" i="15"/>
  <c r="AD59" i="15"/>
  <c r="AC59" i="15"/>
  <c r="AB59" i="15"/>
  <c r="AA59" i="15"/>
  <c r="Z59" i="15"/>
  <c r="Y59" i="15"/>
  <c r="X59" i="15"/>
  <c r="W59" i="15"/>
  <c r="V59" i="15"/>
  <c r="U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F59" i="15"/>
  <c r="E59" i="15"/>
  <c r="C59" i="15"/>
  <c r="GI58" i="15"/>
  <c r="GD58" i="15"/>
  <c r="GC58" i="15"/>
  <c r="GB58" i="15"/>
  <c r="GA58" i="15"/>
  <c r="FZ58" i="15"/>
  <c r="FY58" i="15"/>
  <c r="FW58" i="15"/>
  <c r="FM58" i="15"/>
  <c r="FL58" i="15"/>
  <c r="FK58" i="15"/>
  <c r="FJ58" i="15"/>
  <c r="FH58" i="15"/>
  <c r="FF58" i="15"/>
  <c r="FE58" i="15"/>
  <c r="FD58" i="15"/>
  <c r="FC58" i="15"/>
  <c r="FB58" i="15"/>
  <c r="FA58" i="15"/>
  <c r="EZ58" i="15"/>
  <c r="EY58" i="15"/>
  <c r="EX58" i="15"/>
  <c r="EV58" i="15"/>
  <c r="EU58" i="15"/>
  <c r="ET58" i="15"/>
  <c r="ES58" i="15"/>
  <c r="ER58" i="15"/>
  <c r="EQ58" i="15"/>
  <c r="EO58" i="15"/>
  <c r="EN58" i="15"/>
  <c r="EM58" i="15"/>
  <c r="EL58" i="15"/>
  <c r="EK58" i="15"/>
  <c r="EJ58" i="15"/>
  <c r="EI58" i="15"/>
  <c r="EH58" i="15"/>
  <c r="EG58" i="15"/>
  <c r="EF58" i="15"/>
  <c r="EE58" i="15"/>
  <c r="ED58" i="15"/>
  <c r="EC58" i="15"/>
  <c r="EB58" i="15"/>
  <c r="EA58" i="15"/>
  <c r="DZ58" i="15"/>
  <c r="DY58" i="15"/>
  <c r="DX58" i="15"/>
  <c r="DW58" i="15"/>
  <c r="DU58" i="15"/>
  <c r="DT58" i="15"/>
  <c r="DS58" i="15"/>
  <c r="DR58" i="15"/>
  <c r="DQ58" i="15"/>
  <c r="DP58" i="15"/>
  <c r="DO58" i="15"/>
  <c r="DN58" i="15"/>
  <c r="DM58" i="15"/>
  <c r="DL58" i="15"/>
  <c r="DK58" i="15"/>
  <c r="DJ58" i="15"/>
  <c r="DI58" i="15"/>
  <c r="DH58" i="15"/>
  <c r="DG58" i="15"/>
  <c r="DF58" i="15"/>
  <c r="DE58" i="15"/>
  <c r="DD58" i="15"/>
  <c r="DC58" i="15"/>
  <c r="DB58" i="15"/>
  <c r="DA58" i="15"/>
  <c r="CY58" i="15"/>
  <c r="CX58" i="15"/>
  <c r="CV58" i="15"/>
  <c r="CU58" i="15"/>
  <c r="CS58" i="15"/>
  <c r="CR58" i="15"/>
  <c r="CQ58" i="15"/>
  <c r="CP58" i="15"/>
  <c r="CO58" i="15"/>
  <c r="CN58" i="15"/>
  <c r="CM58" i="15"/>
  <c r="CL58" i="15"/>
  <c r="CK58" i="15"/>
  <c r="CI58" i="15"/>
  <c r="CH58" i="15"/>
  <c r="CG58" i="15"/>
  <c r="CF58" i="15"/>
  <c r="CE58" i="15"/>
  <c r="CD58" i="15"/>
  <c r="CC58" i="15"/>
  <c r="CB58" i="15"/>
  <c r="CA58" i="15"/>
  <c r="BZ58" i="15"/>
  <c r="BY58" i="15"/>
  <c r="BX58" i="15"/>
  <c r="BW58" i="15"/>
  <c r="BV58" i="15"/>
  <c r="BU58" i="15"/>
  <c r="BT58" i="15"/>
  <c r="BS58" i="15"/>
  <c r="BR58" i="15"/>
  <c r="BQ58" i="15"/>
  <c r="BN58" i="15"/>
  <c r="BM58" i="15"/>
  <c r="BL58" i="15"/>
  <c r="BK58" i="15"/>
  <c r="BJ58" i="15"/>
  <c r="BI58" i="15"/>
  <c r="BH58" i="15"/>
  <c r="BG58" i="15"/>
  <c r="BF58" i="15"/>
  <c r="BE58" i="15"/>
  <c r="BD58" i="15"/>
  <c r="BC58" i="15"/>
  <c r="BB58" i="15"/>
  <c r="BA58" i="15"/>
  <c r="AZ58" i="15"/>
  <c r="AY58" i="15"/>
  <c r="AX58" i="15"/>
  <c r="AW58" i="15"/>
  <c r="AV58" i="15"/>
  <c r="AU58" i="15"/>
  <c r="AT58" i="15"/>
  <c r="AS58" i="15"/>
  <c r="AR58" i="15"/>
  <c r="AQ58" i="15"/>
  <c r="AP58" i="15"/>
  <c r="AO58" i="15"/>
  <c r="AN58" i="15"/>
  <c r="AM58" i="15"/>
  <c r="AK58" i="15"/>
  <c r="AJ58" i="15"/>
  <c r="AI58" i="15"/>
  <c r="AG58" i="15"/>
  <c r="AF58" i="15"/>
  <c r="AE58" i="15"/>
  <c r="AD58" i="15"/>
  <c r="AC58" i="15"/>
  <c r="AB58" i="15"/>
  <c r="AA58" i="15"/>
  <c r="Z58" i="15"/>
  <c r="Y58" i="15"/>
  <c r="X58" i="15"/>
  <c r="W58" i="15"/>
  <c r="V58" i="15"/>
  <c r="U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F58" i="15"/>
  <c r="E58" i="15"/>
  <c r="C58" i="15"/>
  <c r="GI57" i="15"/>
  <c r="GD57" i="15"/>
  <c r="GC57" i="15"/>
  <c r="GB57" i="15"/>
  <c r="GA57" i="15"/>
  <c r="FZ57" i="15"/>
  <c r="FY57" i="15"/>
  <c r="FW57" i="15"/>
  <c r="FM57" i="15"/>
  <c r="FL57" i="15"/>
  <c r="FK57" i="15"/>
  <c r="FJ57" i="15"/>
  <c r="FH57" i="15"/>
  <c r="FF57" i="15"/>
  <c r="FE57" i="15"/>
  <c r="FD57" i="15"/>
  <c r="FC57" i="15"/>
  <c r="FB57" i="15"/>
  <c r="FA57" i="15"/>
  <c r="EZ57" i="15"/>
  <c r="EY57" i="15"/>
  <c r="EX57" i="15"/>
  <c r="EV57" i="15"/>
  <c r="EU57" i="15"/>
  <c r="ET57" i="15"/>
  <c r="ES57" i="15"/>
  <c r="ER57" i="15"/>
  <c r="EQ57" i="15"/>
  <c r="EO57" i="15"/>
  <c r="EN57" i="15"/>
  <c r="EM57" i="15"/>
  <c r="EL57" i="15"/>
  <c r="EK57" i="15"/>
  <c r="EJ57" i="15"/>
  <c r="EI57" i="15"/>
  <c r="EH57" i="15"/>
  <c r="EG57" i="15"/>
  <c r="EF57" i="15"/>
  <c r="EE57" i="15"/>
  <c r="ED57" i="15"/>
  <c r="EC57" i="15"/>
  <c r="EB57" i="15"/>
  <c r="EA57" i="15"/>
  <c r="DZ57" i="15"/>
  <c r="DY57" i="15"/>
  <c r="DX57" i="15"/>
  <c r="DW57" i="15"/>
  <c r="DU57" i="15"/>
  <c r="DT57" i="15"/>
  <c r="DS57" i="15"/>
  <c r="DR57" i="15"/>
  <c r="DQ57" i="15"/>
  <c r="DP57" i="15"/>
  <c r="DO57" i="15"/>
  <c r="DN57" i="15"/>
  <c r="DM57" i="15"/>
  <c r="DL57" i="15"/>
  <c r="DK57" i="15"/>
  <c r="DJ57" i="15"/>
  <c r="DI57" i="15"/>
  <c r="DH57" i="15"/>
  <c r="DG57" i="15"/>
  <c r="DF57" i="15"/>
  <c r="DE57" i="15"/>
  <c r="DD57" i="15"/>
  <c r="DC57" i="15"/>
  <c r="DB57" i="15"/>
  <c r="DA57" i="15"/>
  <c r="CY57" i="15"/>
  <c r="CX57" i="15"/>
  <c r="CV57" i="15"/>
  <c r="CU57" i="15"/>
  <c r="CS57" i="15"/>
  <c r="CR57" i="15"/>
  <c r="CQ57" i="15"/>
  <c r="CP57" i="15"/>
  <c r="CO57" i="15"/>
  <c r="CN57" i="15"/>
  <c r="CM57" i="15"/>
  <c r="CL57" i="15"/>
  <c r="CK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K57" i="15"/>
  <c r="AJ57" i="15"/>
  <c r="AI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F57" i="15"/>
  <c r="E57" i="15"/>
  <c r="C57" i="15"/>
  <c r="GI56" i="15"/>
  <c r="GD56" i="15"/>
  <c r="GC56" i="15"/>
  <c r="GB56" i="15"/>
  <c r="GA56" i="15"/>
  <c r="FZ56" i="15"/>
  <c r="FY56" i="15"/>
  <c r="FW56" i="15"/>
  <c r="FM56" i="15"/>
  <c r="FL56" i="15"/>
  <c r="FK56" i="15"/>
  <c r="FJ56" i="15"/>
  <c r="FH56" i="15"/>
  <c r="FF56" i="15"/>
  <c r="FE56" i="15"/>
  <c r="FD56" i="15"/>
  <c r="FC56" i="15"/>
  <c r="FB56" i="15"/>
  <c r="FA56" i="15"/>
  <c r="EZ56" i="15"/>
  <c r="EY56" i="15"/>
  <c r="EX56" i="15"/>
  <c r="EV56" i="15"/>
  <c r="EU56" i="15"/>
  <c r="ET56" i="15"/>
  <c r="ES56" i="15"/>
  <c r="ER56" i="15"/>
  <c r="EQ56" i="15"/>
  <c r="EO56" i="15"/>
  <c r="EN56" i="15"/>
  <c r="EM56" i="15"/>
  <c r="EL56" i="15"/>
  <c r="EK56" i="15"/>
  <c r="EJ56" i="15"/>
  <c r="EI56" i="15"/>
  <c r="EH56" i="15"/>
  <c r="EG56" i="15"/>
  <c r="EF56" i="15"/>
  <c r="EE56" i="15"/>
  <c r="ED56" i="15"/>
  <c r="EC56" i="15"/>
  <c r="EB56" i="15"/>
  <c r="EA56" i="15"/>
  <c r="DZ56" i="15"/>
  <c r="DY56" i="15"/>
  <c r="DX56" i="15"/>
  <c r="DW56" i="15"/>
  <c r="DU56" i="15"/>
  <c r="DT56" i="15"/>
  <c r="DS56" i="15"/>
  <c r="DR56" i="15"/>
  <c r="DQ56" i="15"/>
  <c r="DP56" i="15"/>
  <c r="DO56" i="15"/>
  <c r="DN56" i="15"/>
  <c r="DM56" i="15"/>
  <c r="DL56" i="15"/>
  <c r="DK56" i="15"/>
  <c r="DJ56" i="15"/>
  <c r="DI56" i="15"/>
  <c r="DH56" i="15"/>
  <c r="DG56" i="15"/>
  <c r="DF56" i="15"/>
  <c r="DE56" i="15"/>
  <c r="DD56" i="15"/>
  <c r="DC56" i="15"/>
  <c r="DB56" i="15"/>
  <c r="DA56" i="15"/>
  <c r="CY56" i="15"/>
  <c r="CX56" i="15"/>
  <c r="CV56" i="15"/>
  <c r="CU56" i="15"/>
  <c r="CS56" i="15"/>
  <c r="CR56" i="15"/>
  <c r="CQ56" i="15"/>
  <c r="CP56" i="15"/>
  <c r="CO56" i="15"/>
  <c r="CN56" i="15"/>
  <c r="CM56" i="15"/>
  <c r="CL56" i="15"/>
  <c r="CK56" i="15"/>
  <c r="CI56" i="15"/>
  <c r="CH56" i="15"/>
  <c r="CG56" i="15"/>
  <c r="CF56" i="15"/>
  <c r="CE56" i="15"/>
  <c r="CD56" i="15"/>
  <c r="CC56" i="15"/>
  <c r="CB56" i="15"/>
  <c r="CA56" i="15"/>
  <c r="BZ56" i="15"/>
  <c r="BY56" i="15"/>
  <c r="BX56" i="15"/>
  <c r="BW56" i="15"/>
  <c r="BV56" i="15"/>
  <c r="BU56" i="15"/>
  <c r="BT56" i="15"/>
  <c r="BS56" i="15"/>
  <c r="BR56" i="15"/>
  <c r="BQ56" i="15"/>
  <c r="BN56" i="15"/>
  <c r="BM56" i="15"/>
  <c r="BL56" i="15"/>
  <c r="BK56" i="15"/>
  <c r="BJ56" i="15"/>
  <c r="BI56" i="15"/>
  <c r="BH56" i="15"/>
  <c r="BG56" i="15"/>
  <c r="BF56" i="15"/>
  <c r="BE56" i="15"/>
  <c r="BD56" i="15"/>
  <c r="BC56" i="15"/>
  <c r="BB56" i="15"/>
  <c r="BA56" i="15"/>
  <c r="AZ56" i="15"/>
  <c r="AY56" i="15"/>
  <c r="AX56" i="15"/>
  <c r="AW56" i="15"/>
  <c r="AV56" i="15"/>
  <c r="AU56" i="15"/>
  <c r="AT56" i="15"/>
  <c r="AS56" i="15"/>
  <c r="AR56" i="15"/>
  <c r="AQ56" i="15"/>
  <c r="AP56" i="15"/>
  <c r="AO56" i="15"/>
  <c r="AN56" i="15"/>
  <c r="AM56" i="15"/>
  <c r="AK56" i="15"/>
  <c r="AJ56" i="15"/>
  <c r="AI56" i="15"/>
  <c r="AG56" i="15"/>
  <c r="AF56" i="15"/>
  <c r="AE56" i="15"/>
  <c r="AD56" i="15"/>
  <c r="AC56" i="15"/>
  <c r="AB56" i="15"/>
  <c r="AA56" i="15"/>
  <c r="Z56" i="15"/>
  <c r="Y56" i="15"/>
  <c r="X56" i="15"/>
  <c r="W56" i="15"/>
  <c r="V56" i="15"/>
  <c r="U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F56" i="15"/>
  <c r="E56" i="15"/>
  <c r="C56" i="15"/>
  <c r="FJ54" i="15"/>
  <c r="FK53" i="15"/>
  <c r="FK54" i="15" s="1"/>
  <c r="FJ53" i="15"/>
  <c r="EI53" i="15"/>
  <c r="EI54" i="15" s="1"/>
  <c r="GV52" i="15"/>
  <c r="FX52" i="15"/>
  <c r="FV52" i="15"/>
  <c r="FI52" i="15"/>
  <c r="EW52" i="15"/>
  <c r="FG52" i="15" s="1"/>
  <c r="EP52" i="15"/>
  <c r="DV52" i="15"/>
  <c r="CZ52" i="15"/>
  <c r="CW52" i="15"/>
  <c r="CT52" i="15"/>
  <c r="CJ52" i="15"/>
  <c r="BP52" i="15"/>
  <c r="BO52" i="15"/>
  <c r="AL52" i="15"/>
  <c r="AH52" i="15"/>
  <c r="AH59" i="15" s="1"/>
  <c r="T52" i="15"/>
  <c r="G52" i="15"/>
  <c r="D52" i="15"/>
  <c r="GV51" i="15"/>
  <c r="FX51" i="15"/>
  <c r="FV51" i="15"/>
  <c r="FI51" i="15"/>
  <c r="FG51" i="15"/>
  <c r="EW51" i="15"/>
  <c r="DV51" i="15"/>
  <c r="CZ51" i="15"/>
  <c r="CW51" i="15"/>
  <c r="CT51" i="15"/>
  <c r="CJ51" i="15"/>
  <c r="BP51" i="15"/>
  <c r="BO51" i="15" s="1"/>
  <c r="AL51" i="15"/>
  <c r="AH51" i="15"/>
  <c r="T51" i="15"/>
  <c r="EP51" i="15" s="1"/>
  <c r="G51" i="15"/>
  <c r="D51" i="15"/>
  <c r="GV50" i="15"/>
  <c r="FX50" i="15"/>
  <c r="FV50" i="15"/>
  <c r="FI50" i="15"/>
  <c r="EW50" i="15"/>
  <c r="EW57" i="15" s="1"/>
  <c r="DV50" i="15"/>
  <c r="DV57" i="15" s="1"/>
  <c r="CZ50" i="15"/>
  <c r="CW50" i="15"/>
  <c r="CW57" i="15" s="1"/>
  <c r="CT50" i="15"/>
  <c r="CT57" i="15" s="1"/>
  <c r="CJ50" i="15"/>
  <c r="BP50" i="15"/>
  <c r="EP50" i="15" s="1"/>
  <c r="BO50" i="15"/>
  <c r="AL50" i="15"/>
  <c r="AH50" i="15"/>
  <c r="AH57" i="15" s="1"/>
  <c r="T50" i="15"/>
  <c r="G50" i="15"/>
  <c r="G58" i="15" s="1"/>
  <c r="D50" i="15"/>
  <c r="GV49" i="15"/>
  <c r="FX49" i="15"/>
  <c r="FV49" i="15"/>
  <c r="FI49" i="15"/>
  <c r="FG49" i="15"/>
  <c r="EW49" i="15"/>
  <c r="DV49" i="15"/>
  <c r="CZ49" i="15"/>
  <c r="CW49" i="15"/>
  <c r="CT49" i="15"/>
  <c r="CJ49" i="15"/>
  <c r="BP49" i="15"/>
  <c r="BO49" i="15" s="1"/>
  <c r="AL49" i="15"/>
  <c r="AH49" i="15"/>
  <c r="T49" i="15"/>
  <c r="EP49" i="15" s="1"/>
  <c r="G49" i="15"/>
  <c r="D49" i="15"/>
  <c r="GV48" i="15"/>
  <c r="GE48" i="15"/>
  <c r="FX48" i="15"/>
  <c r="FV48" i="15"/>
  <c r="FI48" i="15"/>
  <c r="EW48" i="15"/>
  <c r="FG48" i="15" s="1"/>
  <c r="EP48" i="15"/>
  <c r="DV48" i="15"/>
  <c r="CZ48" i="15"/>
  <c r="CW48" i="15"/>
  <c r="CT48" i="15"/>
  <c r="CJ48" i="15"/>
  <c r="BP48" i="15"/>
  <c r="BO48" i="15"/>
  <c r="AL48" i="15"/>
  <c r="AH48" i="15"/>
  <c r="T48" i="15"/>
  <c r="G48" i="15"/>
  <c r="D48" i="15"/>
  <c r="GV47" i="15"/>
  <c r="FX47" i="15"/>
  <c r="FV47" i="15"/>
  <c r="FI47" i="15"/>
  <c r="EW47" i="15"/>
  <c r="FG47" i="15" s="1"/>
  <c r="DV47" i="15"/>
  <c r="CZ47" i="15"/>
  <c r="CW47" i="15"/>
  <c r="CT47" i="15"/>
  <c r="CJ47" i="15"/>
  <c r="BP47" i="15"/>
  <c r="BO47" i="15"/>
  <c r="AL47" i="15"/>
  <c r="AH47" i="15"/>
  <c r="T47" i="15"/>
  <c r="EP47" i="15" s="1"/>
  <c r="G47" i="15"/>
  <c r="D47" i="15"/>
  <c r="GV46" i="15"/>
  <c r="FX46" i="15"/>
  <c r="FV46" i="15"/>
  <c r="FI46" i="15"/>
  <c r="FG46" i="15"/>
  <c r="EW46" i="15"/>
  <c r="DV46" i="15"/>
  <c r="CZ46" i="15"/>
  <c r="CW46" i="15"/>
  <c r="CT46" i="15"/>
  <c r="CJ46" i="15"/>
  <c r="BP46" i="15"/>
  <c r="BO46" i="15" s="1"/>
  <c r="AL46" i="15"/>
  <c r="AH46" i="15"/>
  <c r="T46" i="15"/>
  <c r="EP46" i="15" s="1"/>
  <c r="G46" i="15"/>
  <c r="D46" i="15"/>
  <c r="GV45" i="15"/>
  <c r="FX45" i="15"/>
  <c r="FV45" i="15"/>
  <c r="FI45" i="15"/>
  <c r="EW45" i="15"/>
  <c r="FG45" i="15" s="1"/>
  <c r="DV45" i="15"/>
  <c r="CZ45" i="15"/>
  <c r="CW45" i="15"/>
  <c r="CT45" i="15"/>
  <c r="CJ45" i="15"/>
  <c r="BP45" i="15"/>
  <c r="EP45" i="15" s="1"/>
  <c r="BO45" i="15"/>
  <c r="AL45" i="15"/>
  <c r="AH45" i="15"/>
  <c r="T45" i="15"/>
  <c r="G45" i="15"/>
  <c r="D45" i="15"/>
  <c r="GV44" i="15"/>
  <c r="GE44" i="15" s="1"/>
  <c r="FX44" i="15"/>
  <c r="FV44" i="15"/>
  <c r="FI44" i="15"/>
  <c r="EW44" i="15"/>
  <c r="FG44" i="15" s="1"/>
  <c r="DV44" i="15"/>
  <c r="CZ44" i="15"/>
  <c r="CW44" i="15"/>
  <c r="CT44" i="15"/>
  <c r="CJ44" i="15"/>
  <c r="BP44" i="15"/>
  <c r="BO44" i="15"/>
  <c r="AL44" i="15"/>
  <c r="AH44" i="15"/>
  <c r="T44" i="15"/>
  <c r="EP44" i="15" s="1"/>
  <c r="G44" i="15"/>
  <c r="D44" i="15"/>
  <c r="GV43" i="15"/>
  <c r="FX43" i="15"/>
  <c r="FV43" i="15"/>
  <c r="FI43" i="15"/>
  <c r="FG43" i="15"/>
  <c r="EW43" i="15"/>
  <c r="EP43" i="15"/>
  <c r="DV43" i="15"/>
  <c r="CZ43" i="15"/>
  <c r="CW43" i="15"/>
  <c r="CT43" i="15"/>
  <c r="CJ43" i="15"/>
  <c r="BP43" i="15"/>
  <c r="BO43" i="15" s="1"/>
  <c r="AL43" i="15"/>
  <c r="AH43" i="15"/>
  <c r="T43" i="15"/>
  <c r="G43" i="15"/>
  <c r="D43" i="15"/>
  <c r="GV42" i="15"/>
  <c r="FX42" i="15"/>
  <c r="FV42" i="15"/>
  <c r="FI42" i="15"/>
  <c r="EW42" i="15"/>
  <c r="FG42" i="15" s="1"/>
  <c r="DV42" i="15"/>
  <c r="CZ42" i="15"/>
  <c r="CW42" i="15"/>
  <c r="CT42" i="15"/>
  <c r="CJ42" i="15"/>
  <c r="BP42" i="15"/>
  <c r="BO42" i="15"/>
  <c r="AL42" i="15"/>
  <c r="AH42" i="15"/>
  <c r="T42" i="15"/>
  <c r="EP42" i="15" s="1"/>
  <c r="G42" i="15"/>
  <c r="G57" i="15" s="1"/>
  <c r="D42" i="15"/>
  <c r="GV41" i="15"/>
  <c r="FX41" i="15"/>
  <c r="FV41" i="15"/>
  <c r="FI41" i="15"/>
  <c r="FG41" i="15"/>
  <c r="EW41" i="15"/>
  <c r="DV41" i="15"/>
  <c r="CZ41" i="15"/>
  <c r="CZ57" i="15" s="1"/>
  <c r="CW41" i="15"/>
  <c r="CT41" i="15"/>
  <c r="CJ41" i="15"/>
  <c r="BP41" i="15"/>
  <c r="BO41" i="15" s="1"/>
  <c r="AL41" i="15"/>
  <c r="AH41" i="15"/>
  <c r="T41" i="15"/>
  <c r="G41" i="15"/>
  <c r="D41" i="15"/>
  <c r="D57" i="15" s="1"/>
  <c r="GV40" i="15"/>
  <c r="FX40" i="15"/>
  <c r="FV40" i="15"/>
  <c r="FI40" i="15"/>
  <c r="EW40" i="15"/>
  <c r="FG40" i="15" s="1"/>
  <c r="DV40" i="15"/>
  <c r="CZ40" i="15"/>
  <c r="CW40" i="15"/>
  <c r="CT40" i="15"/>
  <c r="CJ40" i="15"/>
  <c r="BP40" i="15"/>
  <c r="EP40" i="15" s="1"/>
  <c r="BO40" i="15"/>
  <c r="AL40" i="15"/>
  <c r="AH40" i="15"/>
  <c r="T40" i="15"/>
  <c r="G40" i="15"/>
  <c r="D40" i="15"/>
  <c r="GV39" i="15"/>
  <c r="FX39" i="15"/>
  <c r="FV39" i="15"/>
  <c r="FI39" i="15"/>
  <c r="FG39" i="15"/>
  <c r="EW39" i="15"/>
  <c r="DV39" i="15"/>
  <c r="DV58" i="15" s="1"/>
  <c r="CZ39" i="15"/>
  <c r="CW39" i="15"/>
  <c r="CW58" i="15" s="1"/>
  <c r="CT39" i="15"/>
  <c r="CT58" i="15" s="1"/>
  <c r="CJ39" i="15"/>
  <c r="BP39" i="15"/>
  <c r="BP58" i="15" s="1"/>
  <c r="AL39" i="15"/>
  <c r="AL58" i="15" s="1"/>
  <c r="AH39" i="15"/>
  <c r="AH58" i="15" s="1"/>
  <c r="T39" i="15"/>
  <c r="G39" i="15"/>
  <c r="D39" i="15"/>
  <c r="D58" i="15" s="1"/>
  <c r="GV38" i="15"/>
  <c r="FX38" i="15"/>
  <c r="FV38" i="15"/>
  <c r="FI38" i="15"/>
  <c r="EW38" i="15"/>
  <c r="FG38" i="15" s="1"/>
  <c r="DV38" i="15"/>
  <c r="CZ38" i="15"/>
  <c r="CW38" i="15"/>
  <c r="CT38" i="15"/>
  <c r="CJ38" i="15"/>
  <c r="BP38" i="15"/>
  <c r="EP38" i="15" s="1"/>
  <c r="BO38" i="15"/>
  <c r="AL38" i="15"/>
  <c r="AH38" i="15"/>
  <c r="T38" i="15"/>
  <c r="G38" i="15"/>
  <c r="D38" i="15"/>
  <c r="GV37" i="15"/>
  <c r="FX37" i="15"/>
  <c r="FV37" i="15"/>
  <c r="FI37" i="15"/>
  <c r="FG37" i="15"/>
  <c r="EW37" i="15"/>
  <c r="DV37" i="15"/>
  <c r="CZ37" i="15"/>
  <c r="CW37" i="15"/>
  <c r="CT37" i="15"/>
  <c r="CJ37" i="15"/>
  <c r="BP37" i="15"/>
  <c r="BO37" i="15" s="1"/>
  <c r="AL37" i="15"/>
  <c r="AH37" i="15"/>
  <c r="T37" i="15"/>
  <c r="EP37" i="15" s="1"/>
  <c r="G37" i="15"/>
  <c r="D37" i="15"/>
  <c r="GV36" i="15"/>
  <c r="GE36" i="15"/>
  <c r="FX36" i="15"/>
  <c r="FV36" i="15"/>
  <c r="FI36" i="15"/>
  <c r="FG36" i="15"/>
  <c r="EW36" i="15"/>
  <c r="DV36" i="15"/>
  <c r="CZ36" i="15"/>
  <c r="CW36" i="15"/>
  <c r="CT36" i="15"/>
  <c r="CJ36" i="15"/>
  <c r="BP36" i="15"/>
  <c r="BO36" i="15" s="1"/>
  <c r="AL36" i="15"/>
  <c r="AH36" i="15"/>
  <c r="T36" i="15"/>
  <c r="G36" i="15"/>
  <c r="D36" i="15"/>
  <c r="GV35" i="15"/>
  <c r="GE35" i="15"/>
  <c r="FX35" i="15"/>
  <c r="FV35" i="15"/>
  <c r="FI35" i="15"/>
  <c r="FG35" i="15"/>
  <c r="EW35" i="15"/>
  <c r="DV35" i="15"/>
  <c r="CZ35" i="15"/>
  <c r="CW35" i="15"/>
  <c r="CT35" i="15"/>
  <c r="CJ35" i="15"/>
  <c r="BP35" i="15"/>
  <c r="BO35" i="15" s="1"/>
  <c r="AL35" i="15"/>
  <c r="AH35" i="15"/>
  <c r="T35" i="15"/>
  <c r="EP35" i="15" s="1"/>
  <c r="G35" i="15"/>
  <c r="D35" i="15"/>
  <c r="GV34" i="15"/>
  <c r="FX34" i="15"/>
  <c r="FV34" i="15"/>
  <c r="FI34" i="15"/>
  <c r="EW34" i="15"/>
  <c r="FG34" i="15" s="1"/>
  <c r="EP34" i="15"/>
  <c r="DV34" i="15"/>
  <c r="CZ34" i="15"/>
  <c r="CW34" i="15"/>
  <c r="CT34" i="15"/>
  <c r="CJ34" i="15"/>
  <c r="BP34" i="15"/>
  <c r="BO34" i="15"/>
  <c r="AL34" i="15"/>
  <c r="AH34" i="15"/>
  <c r="T34" i="15"/>
  <c r="G34" i="15"/>
  <c r="D34" i="15"/>
  <c r="GV33" i="15"/>
  <c r="FX33" i="15"/>
  <c r="FV33" i="15"/>
  <c r="FI33" i="15"/>
  <c r="FG33" i="15"/>
  <c r="EW33" i="15"/>
  <c r="DV33" i="15"/>
  <c r="CZ33" i="15"/>
  <c r="CW33" i="15"/>
  <c r="CT33" i="15"/>
  <c r="CJ33" i="15"/>
  <c r="BP33" i="15"/>
  <c r="AL33" i="15"/>
  <c r="AH33" i="15"/>
  <c r="T33" i="15"/>
  <c r="G33" i="15"/>
  <c r="D33" i="15"/>
  <c r="GV32" i="15"/>
  <c r="FX32" i="15"/>
  <c r="FV32" i="15"/>
  <c r="FI32" i="15"/>
  <c r="EW32" i="15"/>
  <c r="FG32" i="15" s="1"/>
  <c r="DV32" i="15"/>
  <c r="CZ32" i="15"/>
  <c r="CW32" i="15"/>
  <c r="CT32" i="15"/>
  <c r="CJ32" i="15"/>
  <c r="BP32" i="15"/>
  <c r="BO32" i="15"/>
  <c r="AL32" i="15"/>
  <c r="AH32" i="15"/>
  <c r="T32" i="15"/>
  <c r="EP32" i="15" s="1"/>
  <c r="G32" i="15"/>
  <c r="D32" i="15"/>
  <c r="GV31" i="15"/>
  <c r="GE31" i="15" s="1"/>
  <c r="FX31" i="15"/>
  <c r="FV31" i="15"/>
  <c r="FI31" i="15"/>
  <c r="EW31" i="15"/>
  <c r="FG31" i="15" s="1"/>
  <c r="DV31" i="15"/>
  <c r="CZ31" i="15"/>
  <c r="CW31" i="15"/>
  <c r="CT31" i="15"/>
  <c r="CJ31" i="15"/>
  <c r="BP31" i="15"/>
  <c r="EP31" i="15" s="1"/>
  <c r="AL31" i="15"/>
  <c r="AH31" i="15"/>
  <c r="T31" i="15"/>
  <c r="G31" i="15"/>
  <c r="D31" i="15"/>
  <c r="GV30" i="15"/>
  <c r="GE30" i="15"/>
  <c r="FX30" i="15"/>
  <c r="FV30" i="15"/>
  <c r="FI30" i="15"/>
  <c r="EW30" i="15"/>
  <c r="FG30" i="15" s="1"/>
  <c r="DV30" i="15"/>
  <c r="CZ30" i="15"/>
  <c r="CW30" i="15"/>
  <c r="CT30" i="15"/>
  <c r="CJ30" i="15"/>
  <c r="BP30" i="15"/>
  <c r="BO30" i="15"/>
  <c r="AL30" i="15"/>
  <c r="AH30" i="15"/>
  <c r="T30" i="15"/>
  <c r="EP30" i="15" s="1"/>
  <c r="G30" i="15"/>
  <c r="D30" i="15"/>
  <c r="GV29" i="15"/>
  <c r="FX29" i="15"/>
  <c r="FV29" i="15"/>
  <c r="FI29" i="15"/>
  <c r="FG29" i="15"/>
  <c r="EW29" i="15"/>
  <c r="DV29" i="15"/>
  <c r="CZ29" i="15"/>
  <c r="CW29" i="15"/>
  <c r="CT29" i="15"/>
  <c r="CJ29" i="15"/>
  <c r="BP29" i="15"/>
  <c r="BO29" i="15" s="1"/>
  <c r="AL29" i="15"/>
  <c r="AH29" i="15"/>
  <c r="T29" i="15"/>
  <c r="G29" i="15"/>
  <c r="D29" i="15"/>
  <c r="GV28" i="15"/>
  <c r="FX28" i="15"/>
  <c r="FV28" i="15"/>
  <c r="FI28" i="15"/>
  <c r="EW28" i="15"/>
  <c r="FG28" i="15" s="1"/>
  <c r="DV28" i="15"/>
  <c r="CZ28" i="15"/>
  <c r="CW28" i="15"/>
  <c r="CT28" i="15"/>
  <c r="CJ28" i="15"/>
  <c r="BP28" i="15"/>
  <c r="BO28" i="15"/>
  <c r="AL28" i="15"/>
  <c r="AH28" i="15"/>
  <c r="T28" i="15"/>
  <c r="EP28" i="15" s="1"/>
  <c r="G28" i="15"/>
  <c r="D28" i="15"/>
  <c r="GV27" i="15"/>
  <c r="GE27" i="15" s="1"/>
  <c r="FX27" i="15"/>
  <c r="FV27" i="15"/>
  <c r="FI27" i="15"/>
  <c r="EW27" i="15"/>
  <c r="FG27" i="15" s="1"/>
  <c r="EP27" i="15"/>
  <c r="DV27" i="15"/>
  <c r="CZ27" i="15"/>
  <c r="CW27" i="15"/>
  <c r="CT27" i="15"/>
  <c r="CJ27" i="15"/>
  <c r="BP27" i="15"/>
  <c r="BO27" i="15"/>
  <c r="AL27" i="15"/>
  <c r="AH27" i="15"/>
  <c r="T27" i="15"/>
  <c r="G27" i="15"/>
  <c r="D27" i="15"/>
  <c r="GV26" i="15"/>
  <c r="GE26" i="15" s="1"/>
  <c r="FX26" i="15"/>
  <c r="FV26" i="15"/>
  <c r="FI26" i="15"/>
  <c r="EW26" i="15"/>
  <c r="FG26" i="15" s="1"/>
  <c r="DV26" i="15"/>
  <c r="CZ26" i="15"/>
  <c r="CW26" i="15"/>
  <c r="CT26" i="15"/>
  <c r="CJ26" i="15"/>
  <c r="BP26" i="15"/>
  <c r="BO26" i="15"/>
  <c r="AL26" i="15"/>
  <c r="AH26" i="15"/>
  <c r="T26" i="15"/>
  <c r="EP26" i="15" s="1"/>
  <c r="G26" i="15"/>
  <c r="D26" i="15"/>
  <c r="GV25" i="15"/>
  <c r="FX25" i="15"/>
  <c r="FV25" i="15"/>
  <c r="FI25" i="15"/>
  <c r="FG25" i="15"/>
  <c r="EW25" i="15"/>
  <c r="EP25" i="15"/>
  <c r="DV25" i="15"/>
  <c r="CZ25" i="15"/>
  <c r="CW25" i="15"/>
  <c r="CT25" i="15"/>
  <c r="CJ25" i="15"/>
  <c r="BP25" i="15"/>
  <c r="BO25" i="15" s="1"/>
  <c r="AL25" i="15"/>
  <c r="AH25" i="15"/>
  <c r="T25" i="15"/>
  <c r="G25" i="15"/>
  <c r="D25" i="15"/>
  <c r="GV24" i="15"/>
  <c r="FX24" i="15"/>
  <c r="FV24" i="15"/>
  <c r="FI24" i="15"/>
  <c r="FG24" i="15"/>
  <c r="EW24" i="15"/>
  <c r="DV24" i="15"/>
  <c r="CZ24" i="15"/>
  <c r="CW24" i="15"/>
  <c r="CT24" i="15"/>
  <c r="CJ24" i="15"/>
  <c r="BP24" i="15"/>
  <c r="EP24" i="15" s="1"/>
  <c r="AL24" i="15"/>
  <c r="AH24" i="15"/>
  <c r="T24" i="15"/>
  <c r="G24" i="15"/>
  <c r="D24" i="15"/>
  <c r="GV23" i="15"/>
  <c r="GE23" i="15"/>
  <c r="FX23" i="15"/>
  <c r="FV23" i="15"/>
  <c r="FI23" i="15"/>
  <c r="EW23" i="15"/>
  <c r="FG23" i="15" s="1"/>
  <c r="DV23" i="15"/>
  <c r="CZ23" i="15"/>
  <c r="CW23" i="15"/>
  <c r="CT23" i="15"/>
  <c r="CJ23" i="15"/>
  <c r="BP23" i="15"/>
  <c r="BO23" i="15"/>
  <c r="AL23" i="15"/>
  <c r="AH23" i="15"/>
  <c r="T23" i="15"/>
  <c r="EP23" i="15" s="1"/>
  <c r="G23" i="15"/>
  <c r="D23" i="15"/>
  <c r="GV22" i="15"/>
  <c r="FX22" i="15"/>
  <c r="FV22" i="15"/>
  <c r="FI22" i="15"/>
  <c r="FG22" i="15"/>
  <c r="EW22" i="15"/>
  <c r="EP22" i="15"/>
  <c r="DV22" i="15"/>
  <c r="CZ22" i="15"/>
  <c r="CW22" i="15"/>
  <c r="CT22" i="15"/>
  <c r="CJ22" i="15"/>
  <c r="BP22" i="15"/>
  <c r="BO22" i="15" s="1"/>
  <c r="AL22" i="15"/>
  <c r="AH22" i="15"/>
  <c r="T22" i="15"/>
  <c r="G22" i="15"/>
  <c r="D22" i="15"/>
  <c r="GV21" i="15"/>
  <c r="FX21" i="15"/>
  <c r="FV21" i="15"/>
  <c r="FI21" i="15"/>
  <c r="EW21" i="15"/>
  <c r="FG21" i="15" s="1"/>
  <c r="DV21" i="15"/>
  <c r="CZ21" i="15"/>
  <c r="CW21" i="15"/>
  <c r="CT21" i="15"/>
  <c r="CJ21" i="15"/>
  <c r="BP21" i="15"/>
  <c r="BO21" i="15"/>
  <c r="AL21" i="15"/>
  <c r="AH21" i="15"/>
  <c r="T21" i="15"/>
  <c r="EP21" i="15" s="1"/>
  <c r="G21" i="15"/>
  <c r="D21" i="15"/>
  <c r="GV20" i="15"/>
  <c r="FX20" i="15"/>
  <c r="FV20" i="15"/>
  <c r="FI20" i="15"/>
  <c r="FG20" i="15"/>
  <c r="EW20" i="15"/>
  <c r="EP20" i="15"/>
  <c r="DV20" i="15"/>
  <c r="CZ20" i="15"/>
  <c r="CW20" i="15"/>
  <c r="CT20" i="15"/>
  <c r="CJ20" i="15"/>
  <c r="BP20" i="15"/>
  <c r="BO20" i="15" s="1"/>
  <c r="AL20" i="15"/>
  <c r="AH20" i="15"/>
  <c r="T20" i="15"/>
  <c r="G20" i="15"/>
  <c r="D20" i="15"/>
  <c r="GV19" i="15"/>
  <c r="GE19" i="15"/>
  <c r="FX19" i="15"/>
  <c r="FV19" i="15"/>
  <c r="FI19" i="15"/>
  <c r="FG19" i="15"/>
  <c r="EW19" i="15"/>
  <c r="DV19" i="15"/>
  <c r="CZ19" i="15"/>
  <c r="CW19" i="15"/>
  <c r="CT19" i="15"/>
  <c r="CJ19" i="15"/>
  <c r="BP19" i="15"/>
  <c r="BO19" i="15" s="1"/>
  <c r="AL19" i="15"/>
  <c r="AH19" i="15"/>
  <c r="T19" i="15"/>
  <c r="G19" i="15"/>
  <c r="D19" i="15"/>
  <c r="GV18" i="15"/>
  <c r="FX18" i="15"/>
  <c r="FV18" i="15"/>
  <c r="FI18" i="15"/>
  <c r="EW18" i="15"/>
  <c r="FG18" i="15" s="1"/>
  <c r="DV18" i="15"/>
  <c r="CZ18" i="15"/>
  <c r="CW18" i="15"/>
  <c r="CT18" i="15"/>
  <c r="CJ18" i="15"/>
  <c r="BP18" i="15"/>
  <c r="BO18" i="15"/>
  <c r="AL18" i="15"/>
  <c r="AH18" i="15"/>
  <c r="T18" i="15"/>
  <c r="EP18" i="15" s="1"/>
  <c r="G18" i="15"/>
  <c r="D18" i="15"/>
  <c r="GV17" i="15"/>
  <c r="GE17" i="15" s="1"/>
  <c r="FX17" i="15"/>
  <c r="FV17" i="15"/>
  <c r="FI17" i="15"/>
  <c r="EW17" i="15"/>
  <c r="FG17" i="15" s="1"/>
  <c r="DV17" i="15"/>
  <c r="CZ17" i="15"/>
  <c r="CW17" i="15"/>
  <c r="CT17" i="15"/>
  <c r="CJ17" i="15"/>
  <c r="BP17" i="15"/>
  <c r="EP17" i="15" s="1"/>
  <c r="AL17" i="15"/>
  <c r="AH17" i="15"/>
  <c r="T17" i="15"/>
  <c r="G17" i="15"/>
  <c r="D17" i="15"/>
  <c r="GV16" i="15"/>
  <c r="GE16" i="15"/>
  <c r="FX16" i="15"/>
  <c r="FV16" i="15"/>
  <c r="FI16" i="15"/>
  <c r="EW16" i="15"/>
  <c r="FG16" i="15" s="1"/>
  <c r="DV16" i="15"/>
  <c r="CZ16" i="15"/>
  <c r="CW16" i="15"/>
  <c r="CT16" i="15"/>
  <c r="CJ16" i="15"/>
  <c r="BP16" i="15"/>
  <c r="BO16" i="15"/>
  <c r="AL16" i="15"/>
  <c r="AH16" i="15"/>
  <c r="T16" i="15"/>
  <c r="EP16" i="15" s="1"/>
  <c r="G16" i="15"/>
  <c r="D16" i="15"/>
  <c r="GV15" i="15"/>
  <c r="FX15" i="15"/>
  <c r="FV15" i="15"/>
  <c r="FI15" i="15"/>
  <c r="EW15" i="15"/>
  <c r="FG15" i="15" s="1"/>
  <c r="DV15" i="15"/>
  <c r="CZ15" i="15"/>
  <c r="CW15" i="15"/>
  <c r="CT15" i="15"/>
  <c r="CJ15" i="15"/>
  <c r="BP15" i="15"/>
  <c r="EP15" i="15" s="1"/>
  <c r="BO15" i="15"/>
  <c r="AL15" i="15"/>
  <c r="AH15" i="15"/>
  <c r="T15" i="15"/>
  <c r="G15" i="15"/>
  <c r="D15" i="15"/>
  <c r="GV14" i="15"/>
  <c r="FX14" i="15"/>
  <c r="FV14" i="15"/>
  <c r="FI14" i="15"/>
  <c r="EW14" i="15"/>
  <c r="FG14" i="15" s="1"/>
  <c r="DV14" i="15"/>
  <c r="CZ14" i="15"/>
  <c r="CW14" i="15"/>
  <c r="CT14" i="15"/>
  <c r="CJ14" i="15"/>
  <c r="BP14" i="15"/>
  <c r="BO14" i="15"/>
  <c r="AL14" i="15"/>
  <c r="AH14" i="15"/>
  <c r="T14" i="15"/>
  <c r="EP14" i="15" s="1"/>
  <c r="G14" i="15"/>
  <c r="D14" i="15"/>
  <c r="GV13" i="15"/>
  <c r="GE13" i="15" s="1"/>
  <c r="FX13" i="15"/>
  <c r="FV13" i="15"/>
  <c r="FI13" i="15"/>
  <c r="EW13" i="15"/>
  <c r="FG13" i="15" s="1"/>
  <c r="EP13" i="15"/>
  <c r="DV13" i="15"/>
  <c r="CZ13" i="15"/>
  <c r="CW13" i="15"/>
  <c r="CT13" i="15"/>
  <c r="CJ13" i="15"/>
  <c r="BP13" i="15"/>
  <c r="BO13" i="15"/>
  <c r="AL13" i="15"/>
  <c r="AH13" i="15"/>
  <c r="T13" i="15"/>
  <c r="G13" i="15"/>
  <c r="D13" i="15"/>
  <c r="GV12" i="15"/>
  <c r="FX12" i="15"/>
  <c r="FV12" i="15"/>
  <c r="FI12" i="15"/>
  <c r="EW12" i="15"/>
  <c r="FG12" i="15" s="1"/>
  <c r="DV12" i="15"/>
  <c r="CZ12" i="15"/>
  <c r="CW12" i="15"/>
  <c r="CT12" i="15"/>
  <c r="CJ12" i="15"/>
  <c r="BP12" i="15"/>
  <c r="BO12" i="15"/>
  <c r="AL12" i="15"/>
  <c r="AH12" i="15"/>
  <c r="T12" i="15"/>
  <c r="EP12" i="15" s="1"/>
  <c r="G12" i="15"/>
  <c r="D12" i="15"/>
  <c r="GV11" i="15"/>
  <c r="FX11" i="15"/>
  <c r="FV11" i="15"/>
  <c r="FI11" i="15"/>
  <c r="FG11" i="15"/>
  <c r="EW11" i="15"/>
  <c r="EP11" i="15"/>
  <c r="DV11" i="15"/>
  <c r="CZ11" i="15"/>
  <c r="CW11" i="15"/>
  <c r="CT11" i="15"/>
  <c r="CJ11" i="15"/>
  <c r="BP11" i="15"/>
  <c r="BO11" i="15" s="1"/>
  <c r="AL11" i="15"/>
  <c r="AH11" i="15"/>
  <c r="T11" i="15"/>
  <c r="G11" i="15"/>
  <c r="D11" i="15"/>
  <c r="GV10" i="15"/>
  <c r="FX10" i="15"/>
  <c r="FV10" i="15"/>
  <c r="FI10" i="15"/>
  <c r="FG10" i="15"/>
  <c r="EW10" i="15"/>
  <c r="DV10" i="15"/>
  <c r="CZ10" i="15"/>
  <c r="CW10" i="15"/>
  <c r="CT10" i="15"/>
  <c r="CJ10" i="15"/>
  <c r="BP10" i="15"/>
  <c r="BO10" i="15"/>
  <c r="AL10" i="15"/>
  <c r="AH10" i="15"/>
  <c r="T10" i="15"/>
  <c r="G10" i="15"/>
  <c r="D10" i="15"/>
  <c r="GV9" i="15"/>
  <c r="FX9" i="15"/>
  <c r="FV9" i="15"/>
  <c r="FI9" i="15"/>
  <c r="FG9" i="15"/>
  <c r="EW9" i="15"/>
  <c r="DV9" i="15"/>
  <c r="CZ9" i="15"/>
  <c r="CW9" i="15"/>
  <c r="CT9" i="15"/>
  <c r="CJ9" i="15"/>
  <c r="BP9" i="15"/>
  <c r="BO9" i="15" s="1"/>
  <c r="AL9" i="15"/>
  <c r="AH9" i="15"/>
  <c r="T9" i="15"/>
  <c r="EP9" i="15" s="1"/>
  <c r="G9" i="15"/>
  <c r="D9" i="15"/>
  <c r="GV8" i="15"/>
  <c r="FX8" i="15"/>
  <c r="FV8" i="15"/>
  <c r="FI8" i="15"/>
  <c r="EW8" i="15"/>
  <c r="FG8" i="15" s="1"/>
  <c r="EP8" i="15"/>
  <c r="DV8" i="15"/>
  <c r="CZ8" i="15"/>
  <c r="CW8" i="15"/>
  <c r="CT8" i="15"/>
  <c r="CJ8" i="15"/>
  <c r="BP8" i="15"/>
  <c r="BO8" i="15"/>
  <c r="AL8" i="15"/>
  <c r="AH8" i="15"/>
  <c r="T8" i="15"/>
  <c r="G8" i="15"/>
  <c r="D8" i="15"/>
  <c r="GV7" i="15"/>
  <c r="GE7" i="15" s="1"/>
  <c r="FX7" i="15"/>
  <c r="FV7" i="15"/>
  <c r="FI7" i="15"/>
  <c r="EW7" i="15"/>
  <c r="FG7" i="15" s="1"/>
  <c r="DV7" i="15"/>
  <c r="CZ7" i="15"/>
  <c r="CW7" i="15"/>
  <c r="CT7" i="15"/>
  <c r="BP7" i="15"/>
  <c r="BO7" i="15" s="1"/>
  <c r="AL7" i="15"/>
  <c r="AH7" i="15"/>
  <c r="T7" i="15"/>
  <c r="EP7" i="15" s="1"/>
  <c r="G7" i="15"/>
  <c r="D7" i="15"/>
  <c r="GV6" i="15"/>
  <c r="FX6" i="15"/>
  <c r="FV6" i="15"/>
  <c r="FI6" i="15"/>
  <c r="EW6" i="15"/>
  <c r="DV6" i="15"/>
  <c r="DV59" i="15" s="1"/>
  <c r="CZ6" i="15"/>
  <c r="CZ59" i="15" s="1"/>
  <c r="CW6" i="15"/>
  <c r="CW59" i="15" s="1"/>
  <c r="CT6" i="15"/>
  <c r="BP6" i="15"/>
  <c r="AL6" i="15"/>
  <c r="AH6" i="15"/>
  <c r="T6" i="15"/>
  <c r="G6" i="15"/>
  <c r="G59" i="15" s="1"/>
  <c r="D6" i="15"/>
  <c r="GD59" i="14"/>
  <c r="GC59" i="14"/>
  <c r="GB59" i="14"/>
  <c r="GA59" i="14"/>
  <c r="FZ59" i="14"/>
  <c r="FY59" i="14"/>
  <c r="FW59" i="14"/>
  <c r="FM59" i="14"/>
  <c r="FL59" i="14"/>
  <c r="FK59" i="14"/>
  <c r="FJ59" i="14"/>
  <c r="FH59" i="14"/>
  <c r="FF59" i="14"/>
  <c r="FE59" i="14"/>
  <c r="FD59" i="14"/>
  <c r="FC59" i="14"/>
  <c r="FB59" i="14"/>
  <c r="FA59" i="14"/>
  <c r="EZ59" i="14"/>
  <c r="EY59" i="14"/>
  <c r="EX59" i="14"/>
  <c r="EW59" i="14"/>
  <c r="EV59" i="14"/>
  <c r="EU59" i="14"/>
  <c r="ET59" i="14"/>
  <c r="ES59" i="14"/>
  <c r="ER59" i="14"/>
  <c r="EQ59" i="14"/>
  <c r="EO59" i="14"/>
  <c r="EN59" i="14"/>
  <c r="EM59" i="14"/>
  <c r="EK59" i="14"/>
  <c r="EJ59" i="14"/>
  <c r="EI59" i="14"/>
  <c r="EH59" i="14"/>
  <c r="EG59" i="14"/>
  <c r="EF59" i="14"/>
  <c r="EE59" i="14"/>
  <c r="ED59" i="14"/>
  <c r="EC59" i="14"/>
  <c r="EB59" i="14"/>
  <c r="EA59" i="14"/>
  <c r="DZ59" i="14"/>
  <c r="DY59" i="14"/>
  <c r="DX59" i="14"/>
  <c r="DW59" i="14"/>
  <c r="DU59" i="14"/>
  <c r="DT59" i="14"/>
  <c r="DS59" i="14"/>
  <c r="DR59" i="14"/>
  <c r="DQ59" i="14"/>
  <c r="DP59" i="14"/>
  <c r="DO59" i="14"/>
  <c r="DN59" i="14"/>
  <c r="DM59" i="14"/>
  <c r="DL59" i="14"/>
  <c r="DK59" i="14"/>
  <c r="DJ59" i="14"/>
  <c r="DI59" i="14"/>
  <c r="DH59" i="14"/>
  <c r="DG59" i="14"/>
  <c r="DF59" i="14"/>
  <c r="DE59" i="14"/>
  <c r="DD59" i="14"/>
  <c r="DC59" i="14"/>
  <c r="DB59" i="14"/>
  <c r="DA59" i="14"/>
  <c r="CY59" i="14"/>
  <c r="CX59" i="14"/>
  <c r="CV59" i="14"/>
  <c r="CU59" i="14"/>
  <c r="CS59" i="14"/>
  <c r="CR59" i="14"/>
  <c r="CQ59" i="14"/>
  <c r="CP59" i="14"/>
  <c r="CO59" i="14"/>
  <c r="CN59" i="14"/>
  <c r="CM59" i="14"/>
  <c r="CL59" i="14"/>
  <c r="CK59" i="14"/>
  <c r="CI59" i="14"/>
  <c r="CH59" i="14"/>
  <c r="CG59" i="14"/>
  <c r="CF59" i="14"/>
  <c r="CE59" i="14"/>
  <c r="CD59" i="14"/>
  <c r="CC59" i="14"/>
  <c r="CB59" i="14"/>
  <c r="CA59" i="14"/>
  <c r="BZ59" i="14"/>
  <c r="BY59" i="14"/>
  <c r="BX59" i="14"/>
  <c r="BW59" i="14"/>
  <c r="BV59" i="14"/>
  <c r="BU59" i="14"/>
  <c r="BT59" i="14"/>
  <c r="BS59" i="14"/>
  <c r="BR59" i="14"/>
  <c r="BQ59" i="14"/>
  <c r="BN59" i="14"/>
  <c r="BM59" i="14"/>
  <c r="BL59" i="14"/>
  <c r="BK59" i="14"/>
  <c r="BJ59" i="14"/>
  <c r="BI59" i="14"/>
  <c r="BH59" i="14"/>
  <c r="BG59" i="14"/>
  <c r="BF59" i="14"/>
  <c r="BE59" i="14"/>
  <c r="BD59" i="14"/>
  <c r="BC59" i="14"/>
  <c r="BB59" i="14"/>
  <c r="BA59" i="14"/>
  <c r="AZ59" i="14"/>
  <c r="AY59" i="14"/>
  <c r="AX59" i="14"/>
  <c r="AW59" i="14"/>
  <c r="AV59" i="14"/>
  <c r="AU59" i="14"/>
  <c r="AT59" i="14"/>
  <c r="AS59" i="14"/>
  <c r="AR59" i="14"/>
  <c r="AQ59" i="14"/>
  <c r="AP59" i="14"/>
  <c r="AO59" i="14"/>
  <c r="AN59" i="14"/>
  <c r="AM59" i="14"/>
  <c r="AK59" i="14"/>
  <c r="AJ59" i="14"/>
  <c r="AI59" i="14"/>
  <c r="AH59" i="14"/>
  <c r="AG59" i="14"/>
  <c r="AF59" i="14"/>
  <c r="AE59" i="14"/>
  <c r="AD59" i="14"/>
  <c r="AC59" i="14"/>
  <c r="AB59" i="14"/>
  <c r="AA59" i="14"/>
  <c r="Z59" i="14"/>
  <c r="Y59" i="14"/>
  <c r="X59" i="14"/>
  <c r="W59" i="14"/>
  <c r="V59" i="14"/>
  <c r="U59" i="14"/>
  <c r="S59" i="14"/>
  <c r="R59" i="14"/>
  <c r="Q59" i="14"/>
  <c r="P59" i="14"/>
  <c r="O59" i="14"/>
  <c r="N59" i="14"/>
  <c r="M59" i="14"/>
  <c r="L59" i="14"/>
  <c r="K59" i="14"/>
  <c r="J59" i="14"/>
  <c r="I59" i="14"/>
  <c r="H59" i="14"/>
  <c r="F59" i="14"/>
  <c r="E59" i="14"/>
  <c r="C59" i="14"/>
  <c r="GC58" i="14"/>
  <c r="GB58" i="14"/>
  <c r="GA58" i="14"/>
  <c r="FZ58" i="14"/>
  <c r="FY58" i="14"/>
  <c r="FW58" i="14"/>
  <c r="FM58" i="14"/>
  <c r="FL58" i="14"/>
  <c r="FK58" i="14"/>
  <c r="FJ58" i="14"/>
  <c r="FH58" i="14"/>
  <c r="FF58" i="14"/>
  <c r="FE58" i="14"/>
  <c r="FD58" i="14"/>
  <c r="FC58" i="14"/>
  <c r="FB58" i="14"/>
  <c r="FA58" i="14"/>
  <c r="EZ58" i="14"/>
  <c r="EY58" i="14"/>
  <c r="EX58" i="14"/>
  <c r="EV58" i="14"/>
  <c r="EU58" i="14"/>
  <c r="ET58" i="14"/>
  <c r="ES58" i="14"/>
  <c r="ER58" i="14"/>
  <c r="EQ58" i="14"/>
  <c r="EO58" i="14"/>
  <c r="EN58" i="14"/>
  <c r="EM58" i="14"/>
  <c r="EK58" i="14"/>
  <c r="EJ58" i="14"/>
  <c r="EI58" i="14"/>
  <c r="EH58" i="14"/>
  <c r="EG58" i="14"/>
  <c r="EF58" i="14"/>
  <c r="EE58" i="14"/>
  <c r="ED58" i="14"/>
  <c r="EC58" i="14"/>
  <c r="EB58" i="14"/>
  <c r="EA58" i="14"/>
  <c r="DZ58" i="14"/>
  <c r="DY58" i="14"/>
  <c r="DX58" i="14"/>
  <c r="DW58" i="14"/>
  <c r="DU58" i="14"/>
  <c r="DT58" i="14"/>
  <c r="DS58" i="14"/>
  <c r="DR58" i="14"/>
  <c r="DQ58" i="14"/>
  <c r="DP58" i="14"/>
  <c r="DO58" i="14"/>
  <c r="DN58" i="14"/>
  <c r="DM58" i="14"/>
  <c r="DL58" i="14"/>
  <c r="DK58" i="14"/>
  <c r="DJ58" i="14"/>
  <c r="DI58" i="14"/>
  <c r="DH58" i="14"/>
  <c r="DG58" i="14"/>
  <c r="DF58" i="14"/>
  <c r="DE58" i="14"/>
  <c r="DD58" i="14"/>
  <c r="DC58" i="14"/>
  <c r="DB58" i="14"/>
  <c r="DA58" i="14"/>
  <c r="CZ58" i="14"/>
  <c r="CY58" i="14"/>
  <c r="CX58" i="14"/>
  <c r="CV58" i="14"/>
  <c r="CU58" i="14"/>
  <c r="CS58" i="14"/>
  <c r="CR58" i="14"/>
  <c r="CQ58" i="14"/>
  <c r="CP58" i="14"/>
  <c r="CO58" i="14"/>
  <c r="CN58" i="14"/>
  <c r="CM58" i="14"/>
  <c r="CL58" i="14"/>
  <c r="CK58" i="14"/>
  <c r="CI58" i="14"/>
  <c r="CH58" i="14"/>
  <c r="CG58" i="14"/>
  <c r="CF58" i="14"/>
  <c r="CE58" i="14"/>
  <c r="CD58" i="14"/>
  <c r="CC58" i="14"/>
  <c r="CB58" i="14"/>
  <c r="CA58" i="14"/>
  <c r="BZ58" i="14"/>
  <c r="BY58" i="14"/>
  <c r="BX58" i="14"/>
  <c r="BW58" i="14"/>
  <c r="BV58" i="14"/>
  <c r="BU58" i="14"/>
  <c r="BT58" i="14"/>
  <c r="BS58" i="14"/>
  <c r="BR58" i="14"/>
  <c r="BQ58" i="14"/>
  <c r="BN58" i="14"/>
  <c r="BM58" i="14"/>
  <c r="BL58" i="14"/>
  <c r="BK58" i="14"/>
  <c r="BJ58" i="14"/>
  <c r="BI58" i="14"/>
  <c r="BH58" i="14"/>
  <c r="BG58" i="14"/>
  <c r="BF58" i="14"/>
  <c r="BE58" i="14"/>
  <c r="BD58" i="14"/>
  <c r="BC58" i="14"/>
  <c r="BB58" i="14"/>
  <c r="BA58" i="14"/>
  <c r="AZ58" i="14"/>
  <c r="AY58" i="14"/>
  <c r="AX58" i="14"/>
  <c r="AW58" i="14"/>
  <c r="AV58" i="14"/>
  <c r="AU58" i="14"/>
  <c r="AT58" i="14"/>
  <c r="AS58" i="14"/>
  <c r="AR58" i="14"/>
  <c r="AQ58" i="14"/>
  <c r="AP58" i="14"/>
  <c r="AO58" i="14"/>
  <c r="AN58" i="14"/>
  <c r="AM58" i="14"/>
  <c r="AK58" i="14"/>
  <c r="AJ58" i="14"/>
  <c r="AI58" i="14"/>
  <c r="AG58" i="14"/>
  <c r="AF58" i="14"/>
  <c r="AE58" i="14"/>
  <c r="AD58" i="14"/>
  <c r="AC58" i="14"/>
  <c r="AB58" i="14"/>
  <c r="AA58" i="14"/>
  <c r="Z58" i="14"/>
  <c r="Y58" i="14"/>
  <c r="X58" i="14"/>
  <c r="W58" i="14"/>
  <c r="V58" i="14"/>
  <c r="U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F58" i="14"/>
  <c r="E58" i="14"/>
  <c r="C58" i="14"/>
  <c r="GD57" i="14"/>
  <c r="GC57" i="14"/>
  <c r="GB57" i="14"/>
  <c r="GA57" i="14"/>
  <c r="FZ57" i="14"/>
  <c r="FY57" i="14"/>
  <c r="FW57" i="14"/>
  <c r="FM57" i="14"/>
  <c r="FL57" i="14"/>
  <c r="FK57" i="14"/>
  <c r="FJ57" i="14"/>
  <c r="FH57" i="14"/>
  <c r="FF57" i="14"/>
  <c r="FE57" i="14"/>
  <c r="FD57" i="14"/>
  <c r="FC57" i="14"/>
  <c r="FB57" i="14"/>
  <c r="FA57" i="14"/>
  <c r="EZ57" i="14"/>
  <c r="EY57" i="14"/>
  <c r="EX57" i="14"/>
  <c r="EV57" i="14"/>
  <c r="EU57" i="14"/>
  <c r="ET57" i="14"/>
  <c r="ES57" i="14"/>
  <c r="ER57" i="14"/>
  <c r="EQ57" i="14"/>
  <c r="EO57" i="14"/>
  <c r="EN57" i="14"/>
  <c r="EM57" i="14"/>
  <c r="EK57" i="14"/>
  <c r="EJ57" i="14"/>
  <c r="EI57" i="14"/>
  <c r="EH57" i="14"/>
  <c r="EG57" i="14"/>
  <c r="EF57" i="14"/>
  <c r="EE57" i="14"/>
  <c r="ED57" i="14"/>
  <c r="EC57" i="14"/>
  <c r="EB57" i="14"/>
  <c r="EA57" i="14"/>
  <c r="DZ57" i="14"/>
  <c r="DY57" i="14"/>
  <c r="DX57" i="14"/>
  <c r="DW57" i="14"/>
  <c r="DU57" i="14"/>
  <c r="DT57" i="14"/>
  <c r="DS57" i="14"/>
  <c r="DR57" i="14"/>
  <c r="DQ57" i="14"/>
  <c r="DP57" i="14"/>
  <c r="DO57" i="14"/>
  <c r="DN57" i="14"/>
  <c r="DM57" i="14"/>
  <c r="DL57" i="14"/>
  <c r="DK57" i="14"/>
  <c r="DJ57" i="14"/>
  <c r="DI57" i="14"/>
  <c r="DH57" i="14"/>
  <c r="DG57" i="14"/>
  <c r="DF57" i="14"/>
  <c r="DE57" i="14"/>
  <c r="DD57" i="14"/>
  <c r="DC57" i="14"/>
  <c r="DB57" i="14"/>
  <c r="DA57" i="14"/>
  <c r="CY57" i="14"/>
  <c r="CX57" i="14"/>
  <c r="CV57" i="14"/>
  <c r="CU57" i="14"/>
  <c r="CS57" i="14"/>
  <c r="CR57" i="14"/>
  <c r="CQ57" i="14"/>
  <c r="CP57" i="14"/>
  <c r="CO57" i="14"/>
  <c r="CN57" i="14"/>
  <c r="CM57" i="14"/>
  <c r="CL57" i="14"/>
  <c r="CK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K57" i="14"/>
  <c r="AJ57" i="14"/>
  <c r="AI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F57" i="14"/>
  <c r="E57" i="14"/>
  <c r="C57" i="14"/>
  <c r="GC56" i="14"/>
  <c r="GB56" i="14"/>
  <c r="GA56" i="14"/>
  <c r="FZ56" i="14"/>
  <c r="FY56" i="14"/>
  <c r="FW56" i="14"/>
  <c r="FM56" i="14"/>
  <c r="FL56" i="14"/>
  <c r="FK56" i="14"/>
  <c r="FJ56" i="14"/>
  <c r="FH56" i="14"/>
  <c r="FF56" i="14"/>
  <c r="FE56" i="14"/>
  <c r="FD56" i="14"/>
  <c r="FC56" i="14"/>
  <c r="FB56" i="14"/>
  <c r="FA56" i="14"/>
  <c r="EZ56" i="14"/>
  <c r="EY56" i="14"/>
  <c r="EX56" i="14"/>
  <c r="EV56" i="14"/>
  <c r="EU56" i="14"/>
  <c r="ET56" i="14"/>
  <c r="ES56" i="14"/>
  <c r="ER56" i="14"/>
  <c r="EQ56" i="14"/>
  <c r="EO56" i="14"/>
  <c r="EN56" i="14"/>
  <c r="EM56" i="14"/>
  <c r="EK56" i="14"/>
  <c r="EJ56" i="14"/>
  <c r="EI56" i="14"/>
  <c r="EH56" i="14"/>
  <c r="EG56" i="14"/>
  <c r="EF56" i="14"/>
  <c r="EE56" i="14"/>
  <c r="ED56" i="14"/>
  <c r="EC56" i="14"/>
  <c r="EB56" i="14"/>
  <c r="EA56" i="14"/>
  <c r="DZ56" i="14"/>
  <c r="DY56" i="14"/>
  <c r="DX56" i="14"/>
  <c r="DW56" i="14"/>
  <c r="DU56" i="14"/>
  <c r="DT56" i="14"/>
  <c r="DS56" i="14"/>
  <c r="DR56" i="14"/>
  <c r="DQ56" i="14"/>
  <c r="DP56" i="14"/>
  <c r="DO56" i="14"/>
  <c r="DN56" i="14"/>
  <c r="DM56" i="14"/>
  <c r="DL56" i="14"/>
  <c r="DK56" i="14"/>
  <c r="DJ56" i="14"/>
  <c r="DI56" i="14"/>
  <c r="DH56" i="14"/>
  <c r="DG56" i="14"/>
  <c r="DF56" i="14"/>
  <c r="DE56" i="14"/>
  <c r="DD56" i="14"/>
  <c r="DC56" i="14"/>
  <c r="DB56" i="14"/>
  <c r="DA56" i="14"/>
  <c r="CY56" i="14"/>
  <c r="CX56" i="14"/>
  <c r="CV56" i="14"/>
  <c r="CU56" i="14"/>
  <c r="CS56" i="14"/>
  <c r="CR56" i="14"/>
  <c r="CQ56" i="14"/>
  <c r="CP56" i="14"/>
  <c r="CO56" i="14"/>
  <c r="CN56" i="14"/>
  <c r="CM56" i="14"/>
  <c r="CL56" i="14"/>
  <c r="CK56" i="14"/>
  <c r="CI56" i="14"/>
  <c r="CH56" i="14"/>
  <c r="CG56" i="14"/>
  <c r="CF56" i="14"/>
  <c r="CE56" i="14"/>
  <c r="CD56" i="14"/>
  <c r="CC56" i="14"/>
  <c r="CB56" i="14"/>
  <c r="CA56" i="14"/>
  <c r="BZ56" i="14"/>
  <c r="BY56" i="14"/>
  <c r="BX56" i="14"/>
  <c r="BW56" i="14"/>
  <c r="BV56" i="14"/>
  <c r="BU56" i="14"/>
  <c r="BT56" i="14"/>
  <c r="BS56" i="14"/>
  <c r="BR56" i="14"/>
  <c r="BQ56" i="14"/>
  <c r="BN56" i="14"/>
  <c r="BM56" i="14"/>
  <c r="BL56" i="14"/>
  <c r="BK56" i="14"/>
  <c r="BJ56" i="14"/>
  <c r="BI56" i="14"/>
  <c r="BH56" i="14"/>
  <c r="BG56" i="14"/>
  <c r="BF56" i="14"/>
  <c r="BE56" i="14"/>
  <c r="BD56" i="14"/>
  <c r="BC56" i="14"/>
  <c r="BB56" i="14"/>
  <c r="BA56" i="14"/>
  <c r="AZ56" i="14"/>
  <c r="AY56" i="14"/>
  <c r="AX56" i="14"/>
  <c r="AW56" i="14"/>
  <c r="AV56" i="14"/>
  <c r="AU56" i="14"/>
  <c r="AT56" i="14"/>
  <c r="AS56" i="14"/>
  <c r="AR56" i="14"/>
  <c r="AQ56" i="14"/>
  <c r="AP56" i="14"/>
  <c r="AO56" i="14"/>
  <c r="AN56" i="14"/>
  <c r="AM56" i="14"/>
  <c r="AK56" i="14"/>
  <c r="AJ56" i="14"/>
  <c r="AI56" i="14"/>
  <c r="AG56" i="14"/>
  <c r="AF56" i="14"/>
  <c r="AE56" i="14"/>
  <c r="AD56" i="14"/>
  <c r="AC56" i="14"/>
  <c r="AB56" i="14"/>
  <c r="AA56" i="14"/>
  <c r="Z56" i="14"/>
  <c r="Y56" i="14"/>
  <c r="X56" i="14"/>
  <c r="W56" i="14"/>
  <c r="V56" i="14"/>
  <c r="U56" i="14"/>
  <c r="S56" i="14"/>
  <c r="R56" i="14"/>
  <c r="Q56" i="14"/>
  <c r="P56" i="14"/>
  <c r="O56" i="14"/>
  <c r="N56" i="14"/>
  <c r="M56" i="14"/>
  <c r="L56" i="14"/>
  <c r="K56" i="14"/>
  <c r="J56" i="14"/>
  <c r="I56" i="14"/>
  <c r="H56" i="14"/>
  <c r="F56" i="14"/>
  <c r="E56" i="14"/>
  <c r="C56" i="14"/>
  <c r="FJ54" i="14"/>
  <c r="FK53" i="14"/>
  <c r="FK54" i="14" s="1"/>
  <c r="FJ53" i="14"/>
  <c r="EI53" i="14"/>
  <c r="EI54" i="14" s="1"/>
  <c r="GV52" i="14"/>
  <c r="FX52" i="14"/>
  <c r="FI52" i="14"/>
  <c r="EW52" i="14"/>
  <c r="FG52" i="14" s="1"/>
  <c r="EM52" i="14"/>
  <c r="DV52" i="14"/>
  <c r="CZ52" i="14"/>
  <c r="CW52" i="14"/>
  <c r="CT52" i="14"/>
  <c r="CJ52" i="14"/>
  <c r="BP52" i="14"/>
  <c r="BO52" i="14"/>
  <c r="AL52" i="14"/>
  <c r="AH52" i="14"/>
  <c r="T52" i="14"/>
  <c r="EP52" i="14" s="1"/>
  <c r="G52" i="14"/>
  <c r="D52" i="14"/>
  <c r="GV51" i="14"/>
  <c r="FX51" i="14"/>
  <c r="FI51" i="14"/>
  <c r="FG51" i="14"/>
  <c r="FG59" i="14" s="1"/>
  <c r="EW51" i="14"/>
  <c r="EP51" i="14"/>
  <c r="DV51" i="14"/>
  <c r="CZ51" i="14"/>
  <c r="CW51" i="14"/>
  <c r="CT51" i="14"/>
  <c r="CJ51" i="14"/>
  <c r="BP51" i="14"/>
  <c r="BO51" i="14"/>
  <c r="AL51" i="14"/>
  <c r="AH51" i="14"/>
  <c r="T51" i="14"/>
  <c r="G51" i="14"/>
  <c r="D51" i="14"/>
  <c r="GV50" i="14"/>
  <c r="GI50" i="14"/>
  <c r="GI57" i="14" s="1"/>
  <c r="FX50" i="14"/>
  <c r="FI50" i="14"/>
  <c r="FG50" i="14"/>
  <c r="EW50" i="14"/>
  <c r="EW57" i="14" s="1"/>
  <c r="EP50" i="14"/>
  <c r="EL50" i="14"/>
  <c r="EL57" i="14" s="1"/>
  <c r="DV50" i="14"/>
  <c r="CZ50" i="14"/>
  <c r="CW50" i="14"/>
  <c r="CW57" i="14" s="1"/>
  <c r="CT50" i="14"/>
  <c r="CJ50" i="14"/>
  <c r="BP50" i="14"/>
  <c r="BO50" i="14"/>
  <c r="BO57" i="14" s="1"/>
  <c r="AL50" i="14"/>
  <c r="AH50" i="14"/>
  <c r="AH57" i="14" s="1"/>
  <c r="T50" i="14"/>
  <c r="G50" i="14"/>
  <c r="D50" i="14"/>
  <c r="GV49" i="14"/>
  <c r="FX49" i="14"/>
  <c r="FI49" i="14"/>
  <c r="EW49" i="14"/>
  <c r="FG49" i="14" s="1"/>
  <c r="DV49" i="14"/>
  <c r="CZ49" i="14"/>
  <c r="CW49" i="14"/>
  <c r="CT49" i="14"/>
  <c r="CJ49" i="14"/>
  <c r="BP49" i="14"/>
  <c r="BO49" i="14"/>
  <c r="AL49" i="14"/>
  <c r="AH49" i="14"/>
  <c r="T49" i="14"/>
  <c r="EP49" i="14" s="1"/>
  <c r="G49" i="14"/>
  <c r="D49" i="14"/>
  <c r="GV48" i="14"/>
  <c r="GE48" i="14" s="1"/>
  <c r="FX48" i="14"/>
  <c r="FI48" i="14"/>
  <c r="FG48" i="14"/>
  <c r="EW48" i="14"/>
  <c r="EP48" i="14"/>
  <c r="DV48" i="14"/>
  <c r="CZ48" i="14"/>
  <c r="CW48" i="14"/>
  <c r="CT48" i="14"/>
  <c r="CJ48" i="14"/>
  <c r="BP48" i="14"/>
  <c r="BO48" i="14" s="1"/>
  <c r="AL48" i="14"/>
  <c r="AH48" i="14"/>
  <c r="T48" i="14"/>
  <c r="G48" i="14"/>
  <c r="D48" i="14"/>
  <c r="GV47" i="14"/>
  <c r="FX47" i="14"/>
  <c r="FI47" i="14"/>
  <c r="EW47" i="14"/>
  <c r="FG47" i="14" s="1"/>
  <c r="DV47" i="14"/>
  <c r="CZ47" i="14"/>
  <c r="CW47" i="14"/>
  <c r="CT47" i="14"/>
  <c r="CJ47" i="14"/>
  <c r="BP47" i="14"/>
  <c r="BO47" i="14"/>
  <c r="AL47" i="14"/>
  <c r="AH47" i="14"/>
  <c r="T47" i="14"/>
  <c r="EP47" i="14" s="1"/>
  <c r="G47" i="14"/>
  <c r="D47" i="14"/>
  <c r="GV46" i="14"/>
  <c r="FX46" i="14"/>
  <c r="FI46" i="14"/>
  <c r="FG46" i="14"/>
  <c r="EW46" i="14"/>
  <c r="EP46" i="14"/>
  <c r="DV46" i="14"/>
  <c r="CZ46" i="14"/>
  <c r="CW46" i="14"/>
  <c r="CT46" i="14"/>
  <c r="CJ46" i="14"/>
  <c r="BP46" i="14"/>
  <c r="BO46" i="14" s="1"/>
  <c r="AL46" i="14"/>
  <c r="AH46" i="14"/>
  <c r="T46" i="14"/>
  <c r="G46" i="14"/>
  <c r="D46" i="14"/>
  <c r="GV45" i="14"/>
  <c r="FX45" i="14"/>
  <c r="FI45" i="14"/>
  <c r="FG45" i="14"/>
  <c r="EW45" i="14"/>
  <c r="DV45" i="14"/>
  <c r="CZ45" i="14"/>
  <c r="CW45" i="14"/>
  <c r="CT45" i="14"/>
  <c r="CJ45" i="14"/>
  <c r="BP45" i="14"/>
  <c r="BO45" i="14" s="1"/>
  <c r="AL45" i="14"/>
  <c r="AH45" i="14"/>
  <c r="T45" i="14"/>
  <c r="EP45" i="14" s="1"/>
  <c r="G45" i="14"/>
  <c r="D45" i="14"/>
  <c r="GV44" i="14"/>
  <c r="GE44" i="14"/>
  <c r="FX44" i="14"/>
  <c r="FI44" i="14"/>
  <c r="EW44" i="14"/>
  <c r="FG44" i="14" s="1"/>
  <c r="EP44" i="14"/>
  <c r="DV44" i="14"/>
  <c r="CZ44" i="14"/>
  <c r="CW44" i="14"/>
  <c r="CT44" i="14"/>
  <c r="CJ44" i="14"/>
  <c r="BP44" i="14"/>
  <c r="BO44" i="14"/>
  <c r="AL44" i="14"/>
  <c r="AH44" i="14"/>
  <c r="T44" i="14"/>
  <c r="G44" i="14"/>
  <c r="D44" i="14"/>
  <c r="GV43" i="14"/>
  <c r="FX43" i="14"/>
  <c r="FI43" i="14"/>
  <c r="FG43" i="14"/>
  <c r="EW43" i="14"/>
  <c r="DV43" i="14"/>
  <c r="CZ43" i="14"/>
  <c r="CW43" i="14"/>
  <c r="CT43" i="14"/>
  <c r="CJ43" i="14"/>
  <c r="BP43" i="14"/>
  <c r="BO43" i="14"/>
  <c r="AL43" i="14"/>
  <c r="AH43" i="14"/>
  <c r="T43" i="14"/>
  <c r="EP43" i="14" s="1"/>
  <c r="G43" i="14"/>
  <c r="D43" i="14"/>
  <c r="GV42" i="14"/>
  <c r="FX42" i="14"/>
  <c r="FI42" i="14"/>
  <c r="EW42" i="14"/>
  <c r="FG42" i="14" s="1"/>
  <c r="DV42" i="14"/>
  <c r="CZ42" i="14"/>
  <c r="CW42" i="14"/>
  <c r="CT42" i="14"/>
  <c r="CJ42" i="14"/>
  <c r="BP42" i="14"/>
  <c r="BO42" i="14"/>
  <c r="AL42" i="14"/>
  <c r="AH42" i="14"/>
  <c r="T42" i="14"/>
  <c r="EP42" i="14" s="1"/>
  <c r="G42" i="14"/>
  <c r="D42" i="14"/>
  <c r="D57" i="14" s="1"/>
  <c r="GV41" i="14"/>
  <c r="FX41" i="14"/>
  <c r="FI41" i="14"/>
  <c r="EW41" i="14"/>
  <c r="FG41" i="14" s="1"/>
  <c r="DV41" i="14"/>
  <c r="CZ41" i="14"/>
  <c r="CW41" i="14"/>
  <c r="CT41" i="14"/>
  <c r="CJ41" i="14"/>
  <c r="BP41" i="14"/>
  <c r="BO41" i="14"/>
  <c r="AL41" i="14"/>
  <c r="AH41" i="14"/>
  <c r="T41" i="14"/>
  <c r="EP41" i="14" s="1"/>
  <c r="G41" i="14"/>
  <c r="D41" i="14"/>
  <c r="GV40" i="14"/>
  <c r="FX40" i="14"/>
  <c r="FI40" i="14"/>
  <c r="EW40" i="14"/>
  <c r="FG40" i="14" s="1"/>
  <c r="EP40" i="14"/>
  <c r="DV40" i="14"/>
  <c r="CZ40" i="14"/>
  <c r="CW40" i="14"/>
  <c r="CT40" i="14"/>
  <c r="CJ40" i="14"/>
  <c r="BP40" i="14"/>
  <c r="BO40" i="14"/>
  <c r="AL40" i="14"/>
  <c r="AL57" i="14" s="1"/>
  <c r="AH40" i="14"/>
  <c r="T40" i="14"/>
  <c r="G40" i="14"/>
  <c r="D40" i="14"/>
  <c r="GV39" i="14"/>
  <c r="GI39" i="14"/>
  <c r="GI51" i="14" s="1"/>
  <c r="GD39" i="14"/>
  <c r="GD56" i="14" s="1"/>
  <c r="FX39" i="14"/>
  <c r="FI39" i="14"/>
  <c r="EW39" i="14"/>
  <c r="EL39" i="14"/>
  <c r="EL51" i="14" s="1"/>
  <c r="DV39" i="14"/>
  <c r="DV56" i="14" s="1"/>
  <c r="CZ39" i="14"/>
  <c r="CZ56" i="14" s="1"/>
  <c r="CW39" i="14"/>
  <c r="CT39" i="14"/>
  <c r="CT58" i="14" s="1"/>
  <c r="CJ39" i="14"/>
  <c r="BP39" i="14"/>
  <c r="AL39" i="14"/>
  <c r="AH39" i="14"/>
  <c r="T39" i="14"/>
  <c r="G39" i="14"/>
  <c r="D39" i="14"/>
  <c r="GV38" i="14"/>
  <c r="FX38" i="14"/>
  <c r="FI38" i="14"/>
  <c r="FG38" i="14"/>
  <c r="EW38" i="14"/>
  <c r="DV38" i="14"/>
  <c r="CZ38" i="14"/>
  <c r="CW38" i="14"/>
  <c r="CT38" i="14"/>
  <c r="CJ38" i="14"/>
  <c r="BP38" i="14"/>
  <c r="BO38" i="14" s="1"/>
  <c r="AL38" i="14"/>
  <c r="AH38" i="14"/>
  <c r="T38" i="14"/>
  <c r="EP38" i="14" s="1"/>
  <c r="G38" i="14"/>
  <c r="D38" i="14"/>
  <c r="GV37" i="14"/>
  <c r="FX37" i="14"/>
  <c r="FI37" i="14"/>
  <c r="FG37" i="14"/>
  <c r="EW37" i="14"/>
  <c r="DV37" i="14"/>
  <c r="CZ37" i="14"/>
  <c r="CW37" i="14"/>
  <c r="CT37" i="14"/>
  <c r="CJ37" i="14"/>
  <c r="BP37" i="14"/>
  <c r="BO37" i="14" s="1"/>
  <c r="AL37" i="14"/>
  <c r="AH37" i="14"/>
  <c r="T37" i="14"/>
  <c r="EP37" i="14" s="1"/>
  <c r="G37" i="14"/>
  <c r="D37" i="14"/>
  <c r="GV36" i="14"/>
  <c r="GE36" i="14" s="1"/>
  <c r="FX36" i="14"/>
  <c r="FI36" i="14"/>
  <c r="EW36" i="14"/>
  <c r="FG36" i="14" s="1"/>
  <c r="DV36" i="14"/>
  <c r="CZ36" i="14"/>
  <c r="CW36" i="14"/>
  <c r="CT36" i="14"/>
  <c r="CJ36" i="14"/>
  <c r="BP36" i="14"/>
  <c r="BO36" i="14"/>
  <c r="AL36" i="14"/>
  <c r="AH36" i="14"/>
  <c r="T36" i="14"/>
  <c r="EP36" i="14" s="1"/>
  <c r="G36" i="14"/>
  <c r="D36" i="14"/>
  <c r="GV35" i="14"/>
  <c r="GE35" i="14"/>
  <c r="FX35" i="14"/>
  <c r="FI35" i="14"/>
  <c r="FG35" i="14"/>
  <c r="EW35" i="14"/>
  <c r="EP35" i="14"/>
  <c r="DV35" i="14"/>
  <c r="CZ35" i="14"/>
  <c r="CW35" i="14"/>
  <c r="CT35" i="14"/>
  <c r="CJ35" i="14"/>
  <c r="BP35" i="14"/>
  <c r="BO35" i="14" s="1"/>
  <c r="AL35" i="14"/>
  <c r="AH35" i="14"/>
  <c r="T35" i="14"/>
  <c r="G35" i="14"/>
  <c r="D35" i="14"/>
  <c r="GV34" i="14"/>
  <c r="FX34" i="14"/>
  <c r="FI34" i="14"/>
  <c r="FG34" i="14"/>
  <c r="EW34" i="14"/>
  <c r="DV34" i="14"/>
  <c r="CZ34" i="14"/>
  <c r="CW34" i="14"/>
  <c r="CT34" i="14"/>
  <c r="CJ34" i="14"/>
  <c r="BP34" i="14"/>
  <c r="BO34" i="14" s="1"/>
  <c r="AL34" i="14"/>
  <c r="AH34" i="14"/>
  <c r="T34" i="14"/>
  <c r="G34" i="14"/>
  <c r="D34" i="14"/>
  <c r="GV33" i="14"/>
  <c r="FX33" i="14"/>
  <c r="FI33" i="14"/>
  <c r="FG33" i="14"/>
  <c r="EW33" i="14"/>
  <c r="DV33" i="14"/>
  <c r="CZ33" i="14"/>
  <c r="CW33" i="14"/>
  <c r="CT33" i="14"/>
  <c r="CJ33" i="14"/>
  <c r="BP33" i="14"/>
  <c r="BO33" i="14" s="1"/>
  <c r="AL33" i="14"/>
  <c r="AH33" i="14"/>
  <c r="T33" i="14"/>
  <c r="G33" i="14"/>
  <c r="D33" i="14"/>
  <c r="GV32" i="14"/>
  <c r="FX32" i="14"/>
  <c r="FI32" i="14"/>
  <c r="FG32" i="14"/>
  <c r="EW32" i="14"/>
  <c r="DV32" i="14"/>
  <c r="CZ32" i="14"/>
  <c r="CW32" i="14"/>
  <c r="CT32" i="14"/>
  <c r="CJ32" i="14"/>
  <c r="BP32" i="14"/>
  <c r="BO32" i="14" s="1"/>
  <c r="AL32" i="14"/>
  <c r="AH32" i="14"/>
  <c r="T32" i="14"/>
  <c r="EP32" i="14" s="1"/>
  <c r="G32" i="14"/>
  <c r="D32" i="14"/>
  <c r="GV31" i="14"/>
  <c r="GE31" i="14"/>
  <c r="FX31" i="14"/>
  <c r="FI31" i="14"/>
  <c r="EW31" i="14"/>
  <c r="FG31" i="14" s="1"/>
  <c r="DV31" i="14"/>
  <c r="CZ31" i="14"/>
  <c r="CW31" i="14"/>
  <c r="CT31" i="14"/>
  <c r="CJ31" i="14"/>
  <c r="BP31" i="14"/>
  <c r="BO31" i="14" s="1"/>
  <c r="AL31" i="14"/>
  <c r="AH31" i="14"/>
  <c r="T31" i="14"/>
  <c r="EP31" i="14" s="1"/>
  <c r="G31" i="14"/>
  <c r="D31" i="14"/>
  <c r="GV30" i="14"/>
  <c r="GE30" i="14"/>
  <c r="FX30" i="14"/>
  <c r="FI30" i="14"/>
  <c r="FG30" i="14"/>
  <c r="EW30" i="14"/>
  <c r="EP30" i="14"/>
  <c r="DV30" i="14"/>
  <c r="CZ30" i="14"/>
  <c r="CW30" i="14"/>
  <c r="CT30" i="14"/>
  <c r="CJ30" i="14"/>
  <c r="BP30" i="14"/>
  <c r="BO30" i="14" s="1"/>
  <c r="AL30" i="14"/>
  <c r="AH30" i="14"/>
  <c r="T30" i="14"/>
  <c r="G30" i="14"/>
  <c r="D30" i="14"/>
  <c r="GV29" i="14"/>
  <c r="FX29" i="14"/>
  <c r="FI29" i="14"/>
  <c r="FG29" i="14"/>
  <c r="EW29" i="14"/>
  <c r="EP29" i="14"/>
  <c r="DV29" i="14"/>
  <c r="CZ29" i="14"/>
  <c r="CW29" i="14"/>
  <c r="CT29" i="14"/>
  <c r="CJ29" i="14"/>
  <c r="BP29" i="14"/>
  <c r="BO29" i="14" s="1"/>
  <c r="AL29" i="14"/>
  <c r="AH29" i="14"/>
  <c r="T29" i="14"/>
  <c r="G29" i="14"/>
  <c r="D29" i="14"/>
  <c r="GV28" i="14"/>
  <c r="FX28" i="14"/>
  <c r="FI28" i="14"/>
  <c r="FG28" i="14"/>
  <c r="EW28" i="14"/>
  <c r="DV28" i="14"/>
  <c r="CZ28" i="14"/>
  <c r="CW28" i="14"/>
  <c r="CT28" i="14"/>
  <c r="CJ28" i="14"/>
  <c r="BP28" i="14"/>
  <c r="AL28" i="14"/>
  <c r="AH28" i="14"/>
  <c r="T28" i="14"/>
  <c r="G28" i="14"/>
  <c r="D28" i="14"/>
  <c r="GV27" i="14"/>
  <c r="GE27" i="14"/>
  <c r="FX27" i="14"/>
  <c r="FI27" i="14"/>
  <c r="EW27" i="14"/>
  <c r="FG27" i="14" s="1"/>
  <c r="DV27" i="14"/>
  <c r="CZ27" i="14"/>
  <c r="CW27" i="14"/>
  <c r="CT27" i="14"/>
  <c r="CJ27" i="14"/>
  <c r="BP27" i="14"/>
  <c r="BO27" i="14"/>
  <c r="AL27" i="14"/>
  <c r="AH27" i="14"/>
  <c r="T27" i="14"/>
  <c r="EP27" i="14" s="1"/>
  <c r="G27" i="14"/>
  <c r="D27" i="14"/>
  <c r="GV26" i="14"/>
  <c r="GE26" i="14" s="1"/>
  <c r="FX26" i="14"/>
  <c r="FI26" i="14"/>
  <c r="FG26" i="14"/>
  <c r="EW26" i="14"/>
  <c r="DV26" i="14"/>
  <c r="CZ26" i="14"/>
  <c r="CW26" i="14"/>
  <c r="CT26" i="14"/>
  <c r="CJ26" i="14"/>
  <c r="BP26" i="14"/>
  <c r="BO26" i="14" s="1"/>
  <c r="AL26" i="14"/>
  <c r="AH26" i="14"/>
  <c r="T26" i="14"/>
  <c r="EP26" i="14" s="1"/>
  <c r="G26" i="14"/>
  <c r="D26" i="14"/>
  <c r="GV25" i="14"/>
  <c r="FX25" i="14"/>
  <c r="FI25" i="14"/>
  <c r="EW25" i="14"/>
  <c r="FG25" i="14" s="1"/>
  <c r="DV25" i="14"/>
  <c r="CZ25" i="14"/>
  <c r="CW25" i="14"/>
  <c r="CT25" i="14"/>
  <c r="CJ25" i="14"/>
  <c r="BP25" i="14"/>
  <c r="BO25" i="14"/>
  <c r="AL25" i="14"/>
  <c r="AH25" i="14"/>
  <c r="T25" i="14"/>
  <c r="EP25" i="14" s="1"/>
  <c r="G25" i="14"/>
  <c r="D25" i="14"/>
  <c r="GV24" i="14"/>
  <c r="FX24" i="14"/>
  <c r="FI24" i="14"/>
  <c r="FG24" i="14"/>
  <c r="EW24" i="14"/>
  <c r="EP24" i="14"/>
  <c r="DV24" i="14"/>
  <c r="CZ24" i="14"/>
  <c r="CW24" i="14"/>
  <c r="CT24" i="14"/>
  <c r="CJ24" i="14"/>
  <c r="BP24" i="14"/>
  <c r="BO24" i="14" s="1"/>
  <c r="AL24" i="14"/>
  <c r="AH24" i="14"/>
  <c r="T24" i="14"/>
  <c r="G24" i="14"/>
  <c r="D24" i="14"/>
  <c r="GV23" i="14"/>
  <c r="GE23" i="14"/>
  <c r="FX23" i="14"/>
  <c r="FI23" i="14"/>
  <c r="EW23" i="14"/>
  <c r="FG23" i="14" s="1"/>
  <c r="DV23" i="14"/>
  <c r="CZ23" i="14"/>
  <c r="CW23" i="14"/>
  <c r="CT23" i="14"/>
  <c r="CJ23" i="14"/>
  <c r="BP23" i="14"/>
  <c r="BO23" i="14"/>
  <c r="AL23" i="14"/>
  <c r="AH23" i="14"/>
  <c r="T23" i="14"/>
  <c r="EP23" i="14" s="1"/>
  <c r="G23" i="14"/>
  <c r="D23" i="14"/>
  <c r="GV22" i="14"/>
  <c r="FX22" i="14"/>
  <c r="FI22" i="14"/>
  <c r="EW22" i="14"/>
  <c r="FG22" i="14" s="1"/>
  <c r="EP22" i="14"/>
  <c r="DV22" i="14"/>
  <c r="CZ22" i="14"/>
  <c r="CW22" i="14"/>
  <c r="CT22" i="14"/>
  <c r="CJ22" i="14"/>
  <c r="BP22" i="14"/>
  <c r="BO22" i="14"/>
  <c r="AL22" i="14"/>
  <c r="AH22" i="14"/>
  <c r="T22" i="14"/>
  <c r="G22" i="14"/>
  <c r="D22" i="14"/>
  <c r="GV21" i="14"/>
  <c r="FX21" i="14"/>
  <c r="FI21" i="14"/>
  <c r="FG21" i="14"/>
  <c r="EW21" i="14"/>
  <c r="DV21" i="14"/>
  <c r="CZ21" i="14"/>
  <c r="CW21" i="14"/>
  <c r="CT21" i="14"/>
  <c r="CJ21" i="14"/>
  <c r="BP21" i="14"/>
  <c r="BO21" i="14" s="1"/>
  <c r="AL21" i="14"/>
  <c r="AH21" i="14"/>
  <c r="T21" i="14"/>
  <c r="G21" i="14"/>
  <c r="D21" i="14"/>
  <c r="GV20" i="14"/>
  <c r="FX20" i="14"/>
  <c r="FI20" i="14"/>
  <c r="EW20" i="14"/>
  <c r="FG20" i="14" s="1"/>
  <c r="DV20" i="14"/>
  <c r="CZ20" i="14"/>
  <c r="CW20" i="14"/>
  <c r="CT20" i="14"/>
  <c r="CJ20" i="14"/>
  <c r="BP20" i="14"/>
  <c r="BO20" i="14"/>
  <c r="AL20" i="14"/>
  <c r="AH20" i="14"/>
  <c r="T20" i="14"/>
  <c r="EP20" i="14" s="1"/>
  <c r="G20" i="14"/>
  <c r="D20" i="14"/>
  <c r="GV19" i="14"/>
  <c r="GE19" i="14" s="1"/>
  <c r="FX19" i="14"/>
  <c r="FI19" i="14"/>
  <c r="FG19" i="14"/>
  <c r="EW19" i="14"/>
  <c r="DV19" i="14"/>
  <c r="CZ19" i="14"/>
  <c r="CW19" i="14"/>
  <c r="CT19" i="14"/>
  <c r="CJ19" i="14"/>
  <c r="BP19" i="14"/>
  <c r="BO19" i="14" s="1"/>
  <c r="AL19" i="14"/>
  <c r="AH19" i="14"/>
  <c r="T19" i="14"/>
  <c r="EP19" i="14" s="1"/>
  <c r="G19" i="14"/>
  <c r="D19" i="14"/>
  <c r="GV18" i="14"/>
  <c r="FX18" i="14"/>
  <c r="FI18" i="14"/>
  <c r="FG18" i="14"/>
  <c r="EW18" i="14"/>
  <c r="DV18" i="14"/>
  <c r="CZ18" i="14"/>
  <c r="CW18" i="14"/>
  <c r="CT18" i="14"/>
  <c r="CJ18" i="14"/>
  <c r="BP18" i="14"/>
  <c r="BO18" i="14" s="1"/>
  <c r="AL18" i="14"/>
  <c r="AH18" i="14"/>
  <c r="T18" i="14"/>
  <c r="EP18" i="14" s="1"/>
  <c r="G18" i="14"/>
  <c r="D18" i="14"/>
  <c r="GV17" i="14"/>
  <c r="GE17" i="14"/>
  <c r="FX17" i="14"/>
  <c r="FI17" i="14"/>
  <c r="EW17" i="14"/>
  <c r="FG17" i="14" s="1"/>
  <c r="DV17" i="14"/>
  <c r="CZ17" i="14"/>
  <c r="CW17" i="14"/>
  <c r="CT17" i="14"/>
  <c r="CJ17" i="14"/>
  <c r="BP17" i="14"/>
  <c r="BO17" i="14"/>
  <c r="AL17" i="14"/>
  <c r="AH17" i="14"/>
  <c r="T17" i="14"/>
  <c r="EP17" i="14" s="1"/>
  <c r="G17" i="14"/>
  <c r="D17" i="14"/>
  <c r="GV16" i="14"/>
  <c r="GE16" i="14" s="1"/>
  <c r="FX16" i="14"/>
  <c r="FI16" i="14"/>
  <c r="FG16" i="14"/>
  <c r="EW16" i="14"/>
  <c r="EP16" i="14"/>
  <c r="DV16" i="14"/>
  <c r="CZ16" i="14"/>
  <c r="CW16" i="14"/>
  <c r="CT16" i="14"/>
  <c r="CJ16" i="14"/>
  <c r="BP16" i="14"/>
  <c r="BO16" i="14" s="1"/>
  <c r="AL16" i="14"/>
  <c r="AH16" i="14"/>
  <c r="T16" i="14"/>
  <c r="G16" i="14"/>
  <c r="D16" i="14"/>
  <c r="GV15" i="14"/>
  <c r="FX15" i="14"/>
  <c r="FI15" i="14"/>
  <c r="EW15" i="14"/>
  <c r="FG15" i="14" s="1"/>
  <c r="EP15" i="14"/>
  <c r="DV15" i="14"/>
  <c r="CZ15" i="14"/>
  <c r="CW15" i="14"/>
  <c r="CT15" i="14"/>
  <c r="CJ15" i="14"/>
  <c r="BP15" i="14"/>
  <c r="BO15" i="14"/>
  <c r="AL15" i="14"/>
  <c r="AH15" i="14"/>
  <c r="T15" i="14"/>
  <c r="G15" i="14"/>
  <c r="D15" i="14"/>
  <c r="GV14" i="14"/>
  <c r="FX14" i="14"/>
  <c r="FI14" i="14"/>
  <c r="FG14" i="14"/>
  <c r="EW14" i="14"/>
  <c r="DV14" i="14"/>
  <c r="CZ14" i="14"/>
  <c r="CW14" i="14"/>
  <c r="CT14" i="14"/>
  <c r="CJ14" i="14"/>
  <c r="BP14" i="14"/>
  <c r="BO14" i="14" s="1"/>
  <c r="AL14" i="14"/>
  <c r="AH14" i="14"/>
  <c r="T14" i="14"/>
  <c r="G14" i="14"/>
  <c r="D14" i="14"/>
  <c r="GV13" i="14"/>
  <c r="GE13" i="14"/>
  <c r="FX13" i="14"/>
  <c r="FI13" i="14"/>
  <c r="EW13" i="14"/>
  <c r="FG13" i="14" s="1"/>
  <c r="DV13" i="14"/>
  <c r="CZ13" i="14"/>
  <c r="CW13" i="14"/>
  <c r="CT13" i="14"/>
  <c r="CJ13" i="14"/>
  <c r="BP13" i="14"/>
  <c r="BO13" i="14"/>
  <c r="AL13" i="14"/>
  <c r="AH13" i="14"/>
  <c r="T13" i="14"/>
  <c r="EP13" i="14" s="1"/>
  <c r="G13" i="14"/>
  <c r="G56" i="14" s="1"/>
  <c r="D13" i="14"/>
  <c r="GV12" i="14"/>
  <c r="FX12" i="14"/>
  <c r="FI12" i="14"/>
  <c r="FG12" i="14"/>
  <c r="EW12" i="14"/>
  <c r="DV12" i="14"/>
  <c r="CZ12" i="14"/>
  <c r="CW12" i="14"/>
  <c r="CT12" i="14"/>
  <c r="CJ12" i="14"/>
  <c r="BP12" i="14"/>
  <c r="BO12" i="14" s="1"/>
  <c r="AL12" i="14"/>
  <c r="AH12" i="14"/>
  <c r="T12" i="14"/>
  <c r="EP12" i="14" s="1"/>
  <c r="G12" i="14"/>
  <c r="D12" i="14"/>
  <c r="GV11" i="14"/>
  <c r="FX11" i="14"/>
  <c r="FI11" i="14"/>
  <c r="FG11" i="14"/>
  <c r="EW11" i="14"/>
  <c r="DV11" i="14"/>
  <c r="CZ11" i="14"/>
  <c r="CW11" i="14"/>
  <c r="CT11" i="14"/>
  <c r="CJ11" i="14"/>
  <c r="BP11" i="14"/>
  <c r="BO11" i="14" s="1"/>
  <c r="AL11" i="14"/>
  <c r="AH11" i="14"/>
  <c r="T11" i="14"/>
  <c r="EP11" i="14" s="1"/>
  <c r="G11" i="14"/>
  <c r="D11" i="14"/>
  <c r="GV10" i="14"/>
  <c r="FX10" i="14"/>
  <c r="FI10" i="14"/>
  <c r="FG10" i="14"/>
  <c r="EW10" i="14"/>
  <c r="EP10" i="14"/>
  <c r="DV10" i="14"/>
  <c r="CZ10" i="14"/>
  <c r="CW10" i="14"/>
  <c r="CT10" i="14"/>
  <c r="CJ10" i="14"/>
  <c r="BP10" i="14"/>
  <c r="BO10" i="14" s="1"/>
  <c r="AL10" i="14"/>
  <c r="AH10" i="14"/>
  <c r="T10" i="14"/>
  <c r="G10" i="14"/>
  <c r="D10" i="14"/>
  <c r="GV9" i="14"/>
  <c r="FX9" i="14"/>
  <c r="FI9" i="14"/>
  <c r="FG9" i="14"/>
  <c r="EW9" i="14"/>
  <c r="EP9" i="14"/>
  <c r="DV9" i="14"/>
  <c r="CZ9" i="14"/>
  <c r="CW9" i="14"/>
  <c r="CT9" i="14"/>
  <c r="CJ9" i="14"/>
  <c r="BP9" i="14"/>
  <c r="BO9" i="14" s="1"/>
  <c r="AL9" i="14"/>
  <c r="AH9" i="14"/>
  <c r="T9" i="14"/>
  <c r="G9" i="14"/>
  <c r="D9" i="14"/>
  <c r="GV8" i="14"/>
  <c r="FX8" i="14"/>
  <c r="FI8" i="14"/>
  <c r="FG8" i="14"/>
  <c r="EW8" i="14"/>
  <c r="DV8" i="14"/>
  <c r="CZ8" i="14"/>
  <c r="CW8" i="14"/>
  <c r="CT8" i="14"/>
  <c r="CJ8" i="14"/>
  <c r="BP8" i="14"/>
  <c r="BO8" i="14" s="1"/>
  <c r="AL8" i="14"/>
  <c r="AH8" i="14"/>
  <c r="T8" i="14"/>
  <c r="G8" i="14"/>
  <c r="D8" i="14"/>
  <c r="GV7" i="14"/>
  <c r="FX7" i="14"/>
  <c r="FI7" i="14"/>
  <c r="FG7" i="14"/>
  <c r="EW7" i="14"/>
  <c r="DV7" i="14"/>
  <c r="CZ7" i="14"/>
  <c r="CW7" i="14"/>
  <c r="CT7" i="14"/>
  <c r="BP7" i="14"/>
  <c r="BO7" i="14" s="1"/>
  <c r="AL7" i="14"/>
  <c r="AH7" i="14"/>
  <c r="T7" i="14"/>
  <c r="G7" i="14"/>
  <c r="D7" i="14"/>
  <c r="GV6" i="14"/>
  <c r="FX6" i="14"/>
  <c r="FI6" i="14"/>
  <c r="EW6" i="14"/>
  <c r="FG6" i="14" s="1"/>
  <c r="DV6" i="14"/>
  <c r="DV59" i="14" s="1"/>
  <c r="CZ6" i="14"/>
  <c r="CW6" i="14"/>
  <c r="CW59" i="14" s="1"/>
  <c r="CT6" i="14"/>
  <c r="CT59" i="14" s="1"/>
  <c r="BP6" i="14"/>
  <c r="AL6" i="14"/>
  <c r="AL59" i="14" s="1"/>
  <c r="AH6" i="14"/>
  <c r="T6" i="14"/>
  <c r="G6" i="14"/>
  <c r="D6" i="14"/>
  <c r="D59" i="14" s="1"/>
  <c r="GI59" i="13"/>
  <c r="GD59" i="13"/>
  <c r="GC59" i="13"/>
  <c r="GB59" i="13"/>
  <c r="GA59" i="13"/>
  <c r="FZ59" i="13"/>
  <c r="FY59" i="13"/>
  <c r="FW59" i="13"/>
  <c r="FM59" i="13"/>
  <c r="FL59" i="13"/>
  <c r="FK59" i="13"/>
  <c r="FJ59" i="13"/>
  <c r="FH59" i="13"/>
  <c r="FF59" i="13"/>
  <c r="FE59" i="13"/>
  <c r="FD59" i="13"/>
  <c r="FC59" i="13"/>
  <c r="FB59" i="13"/>
  <c r="FA59" i="13"/>
  <c r="EZ59" i="13"/>
  <c r="EY59" i="13"/>
  <c r="EX59" i="13"/>
  <c r="EV59" i="13"/>
  <c r="EU59" i="13"/>
  <c r="ET59" i="13"/>
  <c r="ES59" i="13"/>
  <c r="ER59" i="13"/>
  <c r="EQ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U59" i="13"/>
  <c r="DT59" i="13"/>
  <c r="DS59" i="13"/>
  <c r="DR59" i="13"/>
  <c r="DQ59" i="13"/>
  <c r="DP59" i="13"/>
  <c r="DO59" i="13"/>
  <c r="DN59" i="13"/>
  <c r="DM59" i="13"/>
  <c r="DL59" i="13"/>
  <c r="DK59" i="13"/>
  <c r="DJ59" i="13"/>
  <c r="DI59" i="13"/>
  <c r="DH59" i="13"/>
  <c r="DG59" i="13"/>
  <c r="DF59" i="13"/>
  <c r="DE59" i="13"/>
  <c r="DD59" i="13"/>
  <c r="DC59" i="13"/>
  <c r="DB59" i="13"/>
  <c r="DA59" i="13"/>
  <c r="CY59" i="13"/>
  <c r="CX59" i="13"/>
  <c r="CV59" i="13"/>
  <c r="CU59" i="13"/>
  <c r="CS59" i="13"/>
  <c r="CR59" i="13"/>
  <c r="CQ59" i="13"/>
  <c r="CP59" i="13"/>
  <c r="CO59" i="13"/>
  <c r="CN59" i="13"/>
  <c r="CM59" i="13"/>
  <c r="CL59" i="13"/>
  <c r="CK59" i="13"/>
  <c r="CI59" i="13"/>
  <c r="CH59" i="13"/>
  <c r="CG59" i="13"/>
  <c r="CF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AQ59" i="13"/>
  <c r="AP59" i="13"/>
  <c r="AO59" i="13"/>
  <c r="AN59" i="13"/>
  <c r="AM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F59" i="13"/>
  <c r="E59" i="13"/>
  <c r="C59" i="13"/>
  <c r="GI58" i="13"/>
  <c r="GD58" i="13"/>
  <c r="GC58" i="13"/>
  <c r="GB58" i="13"/>
  <c r="GA58" i="13"/>
  <c r="FZ58" i="13"/>
  <c r="FY58" i="13"/>
  <c r="FW58" i="13"/>
  <c r="FM58" i="13"/>
  <c r="FL58" i="13"/>
  <c r="FK58" i="13"/>
  <c r="FJ58" i="13"/>
  <c r="FH58" i="13"/>
  <c r="FF58" i="13"/>
  <c r="FE58" i="13"/>
  <c r="FD58" i="13"/>
  <c r="FC58" i="13"/>
  <c r="FB58" i="13"/>
  <c r="FA58" i="13"/>
  <c r="EZ58" i="13"/>
  <c r="EY58" i="13"/>
  <c r="EX58" i="13"/>
  <c r="EV58" i="13"/>
  <c r="EU58" i="13"/>
  <c r="ET58" i="13"/>
  <c r="ES58" i="13"/>
  <c r="ER58" i="13"/>
  <c r="EQ58" i="13"/>
  <c r="EO58" i="13"/>
  <c r="EN58" i="13"/>
  <c r="EM58" i="13"/>
  <c r="EL58" i="13"/>
  <c r="EK58" i="13"/>
  <c r="EJ58" i="13"/>
  <c r="EI58" i="13"/>
  <c r="EH58" i="13"/>
  <c r="EG58" i="13"/>
  <c r="EF58" i="13"/>
  <c r="EE58" i="13"/>
  <c r="ED58" i="13"/>
  <c r="EC58" i="13"/>
  <c r="EB58" i="13"/>
  <c r="EA58" i="13"/>
  <c r="DZ58" i="13"/>
  <c r="DY58" i="13"/>
  <c r="DX58" i="13"/>
  <c r="DW58" i="13"/>
  <c r="DV58" i="13"/>
  <c r="DU58" i="13"/>
  <c r="DT58" i="13"/>
  <c r="DS58" i="13"/>
  <c r="DR58" i="13"/>
  <c r="DQ58" i="13"/>
  <c r="DP58" i="13"/>
  <c r="DO58" i="13"/>
  <c r="DN58" i="13"/>
  <c r="DM58" i="13"/>
  <c r="DL58" i="13"/>
  <c r="DK58" i="13"/>
  <c r="DJ58" i="13"/>
  <c r="DI58" i="13"/>
  <c r="DH58" i="13"/>
  <c r="DG58" i="13"/>
  <c r="DF58" i="13"/>
  <c r="DE58" i="13"/>
  <c r="DD58" i="13"/>
  <c r="DC58" i="13"/>
  <c r="DB58" i="13"/>
  <c r="DA58" i="13"/>
  <c r="CY58" i="13"/>
  <c r="CX58" i="13"/>
  <c r="CW58" i="13"/>
  <c r="CV58" i="13"/>
  <c r="CU58" i="13"/>
  <c r="CS58" i="13"/>
  <c r="CR58" i="13"/>
  <c r="CQ58" i="13"/>
  <c r="CP58" i="13"/>
  <c r="CO58" i="13"/>
  <c r="CN58" i="13"/>
  <c r="CM58" i="13"/>
  <c r="CL58" i="13"/>
  <c r="CK58" i="13"/>
  <c r="CI58" i="13"/>
  <c r="CH58" i="13"/>
  <c r="CG58" i="13"/>
  <c r="CF58" i="13"/>
  <c r="CE58" i="13"/>
  <c r="CD58" i="13"/>
  <c r="CC58" i="13"/>
  <c r="CB58" i="13"/>
  <c r="CA58" i="13"/>
  <c r="BZ58" i="13"/>
  <c r="BY58" i="13"/>
  <c r="BX58" i="13"/>
  <c r="BW58" i="13"/>
  <c r="BV58" i="13"/>
  <c r="BU58" i="13"/>
  <c r="BT58" i="13"/>
  <c r="BS58" i="13"/>
  <c r="BR58" i="13"/>
  <c r="BQ58" i="13"/>
  <c r="BP58" i="13"/>
  <c r="BN58" i="13"/>
  <c r="BM58" i="13"/>
  <c r="BL58" i="13"/>
  <c r="BK58" i="13"/>
  <c r="BJ58" i="13"/>
  <c r="BI58" i="13"/>
  <c r="BH58" i="13"/>
  <c r="BG58" i="13"/>
  <c r="BF58" i="13"/>
  <c r="BE58" i="13"/>
  <c r="BD58" i="13"/>
  <c r="BC58" i="13"/>
  <c r="BB58" i="13"/>
  <c r="BA58" i="13"/>
  <c r="AZ58" i="13"/>
  <c r="AY58" i="13"/>
  <c r="AX58" i="13"/>
  <c r="AW58" i="13"/>
  <c r="AV58" i="13"/>
  <c r="AU58" i="13"/>
  <c r="AT58" i="13"/>
  <c r="AS58" i="13"/>
  <c r="AR58" i="13"/>
  <c r="AQ58" i="13"/>
  <c r="AP58" i="13"/>
  <c r="AO58" i="13"/>
  <c r="AN58" i="13"/>
  <c r="AM58" i="13"/>
  <c r="AK58" i="13"/>
  <c r="AJ58" i="13"/>
  <c r="AI58" i="13"/>
  <c r="AG58" i="13"/>
  <c r="AF58" i="13"/>
  <c r="AE58" i="13"/>
  <c r="AD58" i="13"/>
  <c r="AC58" i="13"/>
  <c r="AB58" i="13"/>
  <c r="AA58" i="13"/>
  <c r="Z58" i="13"/>
  <c r="Y58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F58" i="13"/>
  <c r="E58" i="13"/>
  <c r="C58" i="13"/>
  <c r="GI57" i="13"/>
  <c r="GD57" i="13"/>
  <c r="GC57" i="13"/>
  <c r="GB57" i="13"/>
  <c r="GA57" i="13"/>
  <c r="FZ57" i="13"/>
  <c r="FY57" i="13"/>
  <c r="FW57" i="13"/>
  <c r="FM57" i="13"/>
  <c r="FL57" i="13"/>
  <c r="FK57" i="13"/>
  <c r="FJ57" i="13"/>
  <c r="FH57" i="13"/>
  <c r="FF57" i="13"/>
  <c r="FE57" i="13"/>
  <c r="FD57" i="13"/>
  <c r="FC57" i="13"/>
  <c r="FB57" i="13"/>
  <c r="FA57" i="13"/>
  <c r="EZ57" i="13"/>
  <c r="EY57" i="13"/>
  <c r="EX57" i="13"/>
  <c r="EV57" i="13"/>
  <c r="EU57" i="13"/>
  <c r="ET57" i="13"/>
  <c r="ES57" i="13"/>
  <c r="ER57" i="13"/>
  <c r="EQ57" i="13"/>
  <c r="EO57" i="13"/>
  <c r="EN57" i="13"/>
  <c r="EM57" i="13"/>
  <c r="EL57" i="13"/>
  <c r="EK57" i="13"/>
  <c r="EJ57" i="13"/>
  <c r="EI57" i="13"/>
  <c r="EH57" i="13"/>
  <c r="EG57" i="13"/>
  <c r="EF57" i="13"/>
  <c r="EE57" i="13"/>
  <c r="ED57" i="13"/>
  <c r="EC57" i="13"/>
  <c r="EB57" i="13"/>
  <c r="EA57" i="13"/>
  <c r="DZ57" i="13"/>
  <c r="DY57" i="13"/>
  <c r="DX57" i="13"/>
  <c r="DW57" i="13"/>
  <c r="DU57" i="13"/>
  <c r="DT57" i="13"/>
  <c r="DS57" i="13"/>
  <c r="DR57" i="13"/>
  <c r="DQ57" i="13"/>
  <c r="DP57" i="13"/>
  <c r="DO57" i="13"/>
  <c r="DN57" i="13"/>
  <c r="DM57" i="13"/>
  <c r="DL57" i="13"/>
  <c r="DK57" i="13"/>
  <c r="DJ57" i="13"/>
  <c r="DI57" i="13"/>
  <c r="DH57" i="13"/>
  <c r="DG57" i="13"/>
  <c r="DF57" i="13"/>
  <c r="DE57" i="13"/>
  <c r="DD57" i="13"/>
  <c r="DC57" i="13"/>
  <c r="DB57" i="13"/>
  <c r="DA57" i="13"/>
  <c r="CY57" i="13"/>
  <c r="CX57" i="13"/>
  <c r="CV57" i="13"/>
  <c r="CU57" i="13"/>
  <c r="CS57" i="13"/>
  <c r="CR57" i="13"/>
  <c r="CQ57" i="13"/>
  <c r="CP57" i="13"/>
  <c r="CO57" i="13"/>
  <c r="CN57" i="13"/>
  <c r="CM57" i="13"/>
  <c r="CL57" i="13"/>
  <c r="CK57" i="13"/>
  <c r="CI57" i="13"/>
  <c r="CH57" i="13"/>
  <c r="CG57" i="13"/>
  <c r="CF57" i="13"/>
  <c r="CE57" i="13"/>
  <c r="CD57" i="13"/>
  <c r="CC57" i="13"/>
  <c r="CB57" i="13"/>
  <c r="CA57" i="13"/>
  <c r="BZ57" i="13"/>
  <c r="BY57" i="13"/>
  <c r="BX57" i="13"/>
  <c r="BW57" i="13"/>
  <c r="BV57" i="13"/>
  <c r="BU57" i="13"/>
  <c r="BT57" i="13"/>
  <c r="BS57" i="13"/>
  <c r="BR57" i="13"/>
  <c r="BQ57" i="13"/>
  <c r="BN57" i="13"/>
  <c r="BM57" i="13"/>
  <c r="BL57" i="13"/>
  <c r="BK57" i="13"/>
  <c r="BJ57" i="13"/>
  <c r="BI57" i="13"/>
  <c r="BH57" i="13"/>
  <c r="BG57" i="13"/>
  <c r="BF57" i="13"/>
  <c r="BE57" i="13"/>
  <c r="BD57" i="13"/>
  <c r="BC57" i="13"/>
  <c r="BB57" i="13"/>
  <c r="BA57" i="13"/>
  <c r="AZ57" i="13"/>
  <c r="AY57" i="13"/>
  <c r="AX57" i="13"/>
  <c r="AW57" i="13"/>
  <c r="AV57" i="13"/>
  <c r="AU57" i="13"/>
  <c r="AT57" i="13"/>
  <c r="AS57" i="13"/>
  <c r="AR57" i="13"/>
  <c r="AQ57" i="13"/>
  <c r="AP57" i="13"/>
  <c r="AO57" i="13"/>
  <c r="AN57" i="13"/>
  <c r="AM57" i="13"/>
  <c r="AK57" i="13"/>
  <c r="AJ57" i="13"/>
  <c r="AI57" i="13"/>
  <c r="AG57" i="13"/>
  <c r="AF57" i="13"/>
  <c r="AE57" i="13"/>
  <c r="AD57" i="13"/>
  <c r="AC57" i="13"/>
  <c r="AB57" i="13"/>
  <c r="AA57" i="13"/>
  <c r="Z57" i="13"/>
  <c r="Y57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F57" i="13"/>
  <c r="E57" i="13"/>
  <c r="C57" i="13"/>
  <c r="GI56" i="13"/>
  <c r="GD56" i="13"/>
  <c r="GC56" i="13"/>
  <c r="GB56" i="13"/>
  <c r="GA56" i="13"/>
  <c r="FZ56" i="13"/>
  <c r="FY56" i="13"/>
  <c r="FW56" i="13"/>
  <c r="FM56" i="13"/>
  <c r="FL56" i="13"/>
  <c r="FK56" i="13"/>
  <c r="FJ56" i="13"/>
  <c r="FH56" i="13"/>
  <c r="FF56" i="13"/>
  <c r="FE56" i="13"/>
  <c r="FD56" i="13"/>
  <c r="FC56" i="13"/>
  <c r="FB56" i="13"/>
  <c r="FA56" i="13"/>
  <c r="EZ56" i="13"/>
  <c r="EY56" i="13"/>
  <c r="EX56" i="13"/>
  <c r="EV56" i="13"/>
  <c r="EU56" i="13"/>
  <c r="ET56" i="13"/>
  <c r="ES56" i="13"/>
  <c r="ER56" i="13"/>
  <c r="EQ56" i="13"/>
  <c r="EO56" i="13"/>
  <c r="EN56" i="13"/>
  <c r="EM56" i="13"/>
  <c r="EL56" i="13"/>
  <c r="EK56" i="13"/>
  <c r="EJ56" i="13"/>
  <c r="EI56" i="13"/>
  <c r="EH56" i="13"/>
  <c r="EG56" i="13"/>
  <c r="EF56" i="13"/>
  <c r="EE56" i="13"/>
  <c r="ED56" i="13"/>
  <c r="EC56" i="13"/>
  <c r="EB56" i="13"/>
  <c r="EA56" i="13"/>
  <c r="DZ56" i="13"/>
  <c r="DY56" i="13"/>
  <c r="DX56" i="13"/>
  <c r="DW56" i="13"/>
  <c r="DU56" i="13"/>
  <c r="DT56" i="13"/>
  <c r="DS56" i="13"/>
  <c r="DR56" i="13"/>
  <c r="DQ56" i="13"/>
  <c r="DP56" i="13"/>
  <c r="DO56" i="13"/>
  <c r="DN56" i="13"/>
  <c r="DM56" i="13"/>
  <c r="DL56" i="13"/>
  <c r="DK56" i="13"/>
  <c r="DJ56" i="13"/>
  <c r="DI56" i="13"/>
  <c r="DH56" i="13"/>
  <c r="DG56" i="13"/>
  <c r="DF56" i="13"/>
  <c r="DE56" i="13"/>
  <c r="DD56" i="13"/>
  <c r="DC56" i="13"/>
  <c r="DB56" i="13"/>
  <c r="DA56" i="13"/>
  <c r="CY56" i="13"/>
  <c r="CX56" i="13"/>
  <c r="CV56" i="13"/>
  <c r="CU56" i="13"/>
  <c r="CS56" i="13"/>
  <c r="CR56" i="13"/>
  <c r="CQ56" i="13"/>
  <c r="CP56" i="13"/>
  <c r="CO56" i="13"/>
  <c r="CN56" i="13"/>
  <c r="CM56" i="13"/>
  <c r="CL56" i="13"/>
  <c r="CK56" i="13"/>
  <c r="CI56" i="13"/>
  <c r="CH56" i="13"/>
  <c r="CG56" i="13"/>
  <c r="CF56" i="13"/>
  <c r="CE56" i="13"/>
  <c r="CD56" i="13"/>
  <c r="CC56" i="13"/>
  <c r="CB56" i="13"/>
  <c r="CA56" i="13"/>
  <c r="BZ56" i="13"/>
  <c r="BY56" i="13"/>
  <c r="BX56" i="13"/>
  <c r="BW56" i="13"/>
  <c r="BV56" i="13"/>
  <c r="BU56" i="13"/>
  <c r="BT56" i="13"/>
  <c r="BS56" i="13"/>
  <c r="BR56" i="13"/>
  <c r="BQ56" i="13"/>
  <c r="BN56" i="13"/>
  <c r="BM56" i="13"/>
  <c r="BL56" i="13"/>
  <c r="BK56" i="13"/>
  <c r="BJ56" i="13"/>
  <c r="BI56" i="13"/>
  <c r="BH56" i="13"/>
  <c r="BG56" i="13"/>
  <c r="BF56" i="13"/>
  <c r="BE56" i="13"/>
  <c r="BD56" i="13"/>
  <c r="BC56" i="13"/>
  <c r="BB56" i="13"/>
  <c r="BA56" i="13"/>
  <c r="AZ56" i="13"/>
  <c r="AY56" i="13"/>
  <c r="AX56" i="13"/>
  <c r="AW56" i="13"/>
  <c r="AV56" i="13"/>
  <c r="AU56" i="13"/>
  <c r="AT56" i="13"/>
  <c r="AS56" i="13"/>
  <c r="AR56" i="13"/>
  <c r="AQ56" i="13"/>
  <c r="AP56" i="13"/>
  <c r="AO56" i="13"/>
  <c r="AN56" i="13"/>
  <c r="AM56" i="13"/>
  <c r="AK56" i="13"/>
  <c r="AJ56" i="13"/>
  <c r="AI56" i="13"/>
  <c r="AG56" i="13"/>
  <c r="AF56" i="13"/>
  <c r="AE56" i="13"/>
  <c r="AD56" i="13"/>
  <c r="AC56" i="13"/>
  <c r="AB56" i="13"/>
  <c r="AA56" i="13"/>
  <c r="Z56" i="13"/>
  <c r="Y56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F56" i="13"/>
  <c r="E56" i="13"/>
  <c r="C56" i="13"/>
  <c r="FK53" i="13"/>
  <c r="FK54" i="13" s="1"/>
  <c r="FJ53" i="13"/>
  <c r="FJ54" i="13" s="1"/>
  <c r="EI53" i="13"/>
  <c r="EI54" i="13" s="1"/>
  <c r="GV52" i="13"/>
  <c r="FX52" i="13"/>
  <c r="FI52" i="13"/>
  <c r="FG52" i="13"/>
  <c r="EW52" i="13"/>
  <c r="EW59" i="13" s="1"/>
  <c r="EP52" i="13"/>
  <c r="DV52" i="13"/>
  <c r="CZ52" i="13"/>
  <c r="CW52" i="13"/>
  <c r="CT52" i="13"/>
  <c r="CJ52" i="13"/>
  <c r="BP52" i="13"/>
  <c r="BO52" i="13" s="1"/>
  <c r="AL52" i="13"/>
  <c r="AL59" i="13" s="1"/>
  <c r="AH52" i="13"/>
  <c r="T52" i="13"/>
  <c r="G52" i="13"/>
  <c r="D52" i="13"/>
  <c r="GV51" i="13"/>
  <c r="FX51" i="13"/>
  <c r="FI51" i="13"/>
  <c r="FG51" i="13"/>
  <c r="FG59" i="13" s="1"/>
  <c r="EW51" i="13"/>
  <c r="DV51" i="13"/>
  <c r="CZ51" i="13"/>
  <c r="CW51" i="13"/>
  <c r="CT51" i="13"/>
  <c r="CJ51" i="13"/>
  <c r="BP51" i="13"/>
  <c r="BO51" i="13" s="1"/>
  <c r="AL51" i="13"/>
  <c r="AH51" i="13"/>
  <c r="T51" i="13"/>
  <c r="G51" i="13"/>
  <c r="G58" i="13" s="1"/>
  <c r="D51" i="13"/>
  <c r="GV50" i="13"/>
  <c r="FX50" i="13"/>
  <c r="FI50" i="13"/>
  <c r="EW50" i="13"/>
  <c r="FG50" i="13" s="1"/>
  <c r="DV50" i="13"/>
  <c r="CZ50" i="13"/>
  <c r="CW50" i="13"/>
  <c r="CT50" i="13"/>
  <c r="CJ50" i="13"/>
  <c r="BP50" i="13"/>
  <c r="BO50" i="13"/>
  <c r="AL50" i="13"/>
  <c r="AH50" i="13"/>
  <c r="T50" i="13"/>
  <c r="EP50" i="13" s="1"/>
  <c r="G50" i="13"/>
  <c r="D50" i="13"/>
  <c r="GV49" i="13"/>
  <c r="FX49" i="13"/>
  <c r="FI49" i="13"/>
  <c r="FG49" i="13"/>
  <c r="EW49" i="13"/>
  <c r="EP49" i="13"/>
  <c r="DV49" i="13"/>
  <c r="CZ49" i="13"/>
  <c r="CW49" i="13"/>
  <c r="CT49" i="13"/>
  <c r="CJ49" i="13"/>
  <c r="BP49" i="13"/>
  <c r="BO49" i="13" s="1"/>
  <c r="AL49" i="13"/>
  <c r="AH49" i="13"/>
  <c r="T49" i="13"/>
  <c r="G49" i="13"/>
  <c r="D49" i="13"/>
  <c r="GV48" i="13"/>
  <c r="GE48" i="13"/>
  <c r="FX48" i="13"/>
  <c r="FI48" i="13"/>
  <c r="EW48" i="13"/>
  <c r="FG48" i="13" s="1"/>
  <c r="DV48" i="13"/>
  <c r="CZ48" i="13"/>
  <c r="CW48" i="13"/>
  <c r="CT48" i="13"/>
  <c r="CJ48" i="13"/>
  <c r="BP48" i="13"/>
  <c r="BO48" i="13"/>
  <c r="AL48" i="13"/>
  <c r="AH48" i="13"/>
  <c r="T48" i="13"/>
  <c r="EP48" i="13" s="1"/>
  <c r="G48" i="13"/>
  <c r="D48" i="13"/>
  <c r="GV47" i="13"/>
  <c r="FX47" i="13"/>
  <c r="FI47" i="13"/>
  <c r="EW47" i="13"/>
  <c r="FG47" i="13" s="1"/>
  <c r="EP47" i="13"/>
  <c r="DV47" i="13"/>
  <c r="CZ47" i="13"/>
  <c r="CW47" i="13"/>
  <c r="CT47" i="13"/>
  <c r="CJ47" i="13"/>
  <c r="BP47" i="13"/>
  <c r="BO47" i="13"/>
  <c r="AL47" i="13"/>
  <c r="AH47" i="13"/>
  <c r="T47" i="13"/>
  <c r="G47" i="13"/>
  <c r="D47" i="13"/>
  <c r="GV46" i="13"/>
  <c r="FX46" i="13"/>
  <c r="FI46" i="13"/>
  <c r="EW46" i="13"/>
  <c r="FG46" i="13" s="1"/>
  <c r="DV46" i="13"/>
  <c r="CZ46" i="13"/>
  <c r="CW46" i="13"/>
  <c r="CT46" i="13"/>
  <c r="CJ46" i="13"/>
  <c r="BP46" i="13"/>
  <c r="BO46" i="13" s="1"/>
  <c r="AL46" i="13"/>
  <c r="AH46" i="13"/>
  <c r="T46" i="13"/>
  <c r="G46" i="13"/>
  <c r="D46" i="13"/>
  <c r="GV45" i="13"/>
  <c r="FX45" i="13"/>
  <c r="FI45" i="13"/>
  <c r="EW45" i="13"/>
  <c r="DV45" i="13"/>
  <c r="CZ45" i="13"/>
  <c r="CW45" i="13"/>
  <c r="CT45" i="13"/>
  <c r="CJ45" i="13"/>
  <c r="BP45" i="13"/>
  <c r="BO45" i="13"/>
  <c r="AL45" i="13"/>
  <c r="AH45" i="13"/>
  <c r="T45" i="13"/>
  <c r="EP45" i="13" s="1"/>
  <c r="G45" i="13"/>
  <c r="D45" i="13"/>
  <c r="GV44" i="13"/>
  <c r="FX44" i="13"/>
  <c r="FI44" i="13"/>
  <c r="FG44" i="13"/>
  <c r="EW44" i="13"/>
  <c r="DV44" i="13"/>
  <c r="CZ44" i="13"/>
  <c r="CW44" i="13"/>
  <c r="CT44" i="13"/>
  <c r="CJ44" i="13"/>
  <c r="BP44" i="13"/>
  <c r="BO44" i="13" s="1"/>
  <c r="AL44" i="13"/>
  <c r="AH44" i="13"/>
  <c r="T44" i="13"/>
  <c r="G44" i="13"/>
  <c r="D44" i="13"/>
  <c r="GV43" i="13"/>
  <c r="FX43" i="13"/>
  <c r="FI43" i="13"/>
  <c r="FG43" i="13"/>
  <c r="EW43" i="13"/>
  <c r="DV43" i="13"/>
  <c r="CZ43" i="13"/>
  <c r="CW43" i="13"/>
  <c r="CT43" i="13"/>
  <c r="CJ43" i="13"/>
  <c r="BP43" i="13"/>
  <c r="BO43" i="13" s="1"/>
  <c r="AL43" i="13"/>
  <c r="AH43" i="13"/>
  <c r="T43" i="13"/>
  <c r="EP43" i="13" s="1"/>
  <c r="G43" i="13"/>
  <c r="D43" i="13"/>
  <c r="GV42" i="13"/>
  <c r="FX42" i="13"/>
  <c r="FI42" i="13"/>
  <c r="FG42" i="13"/>
  <c r="EW42" i="13"/>
  <c r="DV42" i="13"/>
  <c r="CZ42" i="13"/>
  <c r="CW42" i="13"/>
  <c r="CT42" i="13"/>
  <c r="CJ42" i="13"/>
  <c r="BP42" i="13"/>
  <c r="BO42" i="13" s="1"/>
  <c r="AL42" i="13"/>
  <c r="AH42" i="13"/>
  <c r="T42" i="13"/>
  <c r="EP42" i="13" s="1"/>
  <c r="G42" i="13"/>
  <c r="D42" i="13"/>
  <c r="GV41" i="13"/>
  <c r="FX41" i="13"/>
  <c r="FI41" i="13"/>
  <c r="FG41" i="13"/>
  <c r="EW41" i="13"/>
  <c r="EP41" i="13"/>
  <c r="DV41" i="13"/>
  <c r="CZ41" i="13"/>
  <c r="CW41" i="13"/>
  <c r="CW57" i="13" s="1"/>
  <c r="CT41" i="13"/>
  <c r="CJ41" i="13"/>
  <c r="BP41" i="13"/>
  <c r="BO41" i="13" s="1"/>
  <c r="AL41" i="13"/>
  <c r="AH41" i="13"/>
  <c r="T41" i="13"/>
  <c r="G41" i="13"/>
  <c r="D41" i="13"/>
  <c r="GV40" i="13"/>
  <c r="FX40" i="13"/>
  <c r="FI40" i="13"/>
  <c r="FG40" i="13"/>
  <c r="EW40" i="13"/>
  <c r="DV40" i="13"/>
  <c r="CZ40" i="13"/>
  <c r="CW40" i="13"/>
  <c r="CT40" i="13"/>
  <c r="CJ40" i="13"/>
  <c r="BP40" i="13"/>
  <c r="BO40" i="13" s="1"/>
  <c r="AL40" i="13"/>
  <c r="AL57" i="13" s="1"/>
  <c r="AH40" i="13"/>
  <c r="AH57" i="13" s="1"/>
  <c r="T40" i="13"/>
  <c r="EP40" i="13" s="1"/>
  <c r="G40" i="13"/>
  <c r="D40" i="13"/>
  <c r="GV39" i="13"/>
  <c r="FX39" i="13"/>
  <c r="FI39" i="13"/>
  <c r="FG39" i="13"/>
  <c r="EW39" i="13"/>
  <c r="EW58" i="13" s="1"/>
  <c r="EP39" i="13"/>
  <c r="DV39" i="13"/>
  <c r="CZ39" i="13"/>
  <c r="CW39" i="13"/>
  <c r="CT39" i="13"/>
  <c r="CJ39" i="13"/>
  <c r="BP39" i="13"/>
  <c r="AL39" i="13"/>
  <c r="AL58" i="13" s="1"/>
  <c r="AH39" i="13"/>
  <c r="T39" i="13"/>
  <c r="G39" i="13"/>
  <c r="D39" i="13"/>
  <c r="GV38" i="13"/>
  <c r="FX38" i="13"/>
  <c r="FI38" i="13"/>
  <c r="FG38" i="13"/>
  <c r="EW38" i="13"/>
  <c r="EP38" i="13"/>
  <c r="DV38" i="13"/>
  <c r="CZ38" i="13"/>
  <c r="CW38" i="13"/>
  <c r="CT38" i="13"/>
  <c r="CJ38" i="13"/>
  <c r="BP38" i="13"/>
  <c r="BO38" i="13" s="1"/>
  <c r="AL38" i="13"/>
  <c r="AH38" i="13"/>
  <c r="T38" i="13"/>
  <c r="G38" i="13"/>
  <c r="D38" i="13"/>
  <c r="GV37" i="13"/>
  <c r="FX37" i="13"/>
  <c r="FI37" i="13"/>
  <c r="FG37" i="13"/>
  <c r="EW37" i="13"/>
  <c r="DV37" i="13"/>
  <c r="CZ37" i="13"/>
  <c r="CW37" i="13"/>
  <c r="CT37" i="13"/>
  <c r="CJ37" i="13"/>
  <c r="BP37" i="13"/>
  <c r="BO37" i="13" s="1"/>
  <c r="AL37" i="13"/>
  <c r="AH37" i="13"/>
  <c r="T37" i="13"/>
  <c r="EP37" i="13" s="1"/>
  <c r="G37" i="13"/>
  <c r="D37" i="13"/>
  <c r="GV36" i="13"/>
  <c r="GE36" i="13"/>
  <c r="FX36" i="13"/>
  <c r="FI36" i="13"/>
  <c r="EW36" i="13"/>
  <c r="FG36" i="13" s="1"/>
  <c r="DV36" i="13"/>
  <c r="CZ36" i="13"/>
  <c r="CW36" i="13"/>
  <c r="CT36" i="13"/>
  <c r="CJ36" i="13"/>
  <c r="BP36" i="13"/>
  <c r="BO36" i="13" s="1"/>
  <c r="AL36" i="13"/>
  <c r="AH36" i="13"/>
  <c r="T36" i="13"/>
  <c r="G36" i="13"/>
  <c r="D36" i="13"/>
  <c r="GV35" i="13"/>
  <c r="FX35" i="13"/>
  <c r="FI35" i="13"/>
  <c r="EW35" i="13"/>
  <c r="FG35" i="13" s="1"/>
  <c r="DV35" i="13"/>
  <c r="CZ35" i="13"/>
  <c r="CW35" i="13"/>
  <c r="CT35" i="13"/>
  <c r="CJ35" i="13"/>
  <c r="BP35" i="13"/>
  <c r="BO35" i="13"/>
  <c r="AL35" i="13"/>
  <c r="AH35" i="13"/>
  <c r="T35" i="13"/>
  <c r="EP35" i="13" s="1"/>
  <c r="G35" i="13"/>
  <c r="D35" i="13"/>
  <c r="GV34" i="13"/>
  <c r="FX34" i="13"/>
  <c r="FI34" i="13"/>
  <c r="EW34" i="13"/>
  <c r="FG34" i="13" s="1"/>
  <c r="DV34" i="13"/>
  <c r="CZ34" i="13"/>
  <c r="CW34" i="13"/>
  <c r="CT34" i="13"/>
  <c r="CJ34" i="13"/>
  <c r="BP34" i="13"/>
  <c r="BO34" i="13"/>
  <c r="AL34" i="13"/>
  <c r="AH34" i="13"/>
  <c r="T34" i="13"/>
  <c r="EP34" i="13" s="1"/>
  <c r="G34" i="13"/>
  <c r="D34" i="13"/>
  <c r="GV33" i="13"/>
  <c r="FX33" i="13"/>
  <c r="FI33" i="13"/>
  <c r="EW33" i="13"/>
  <c r="FG33" i="13" s="1"/>
  <c r="EP33" i="13"/>
  <c r="DV33" i="13"/>
  <c r="CZ33" i="13"/>
  <c r="CW33" i="13"/>
  <c r="CT33" i="13"/>
  <c r="CJ33" i="13"/>
  <c r="BP33" i="13"/>
  <c r="BO33" i="13"/>
  <c r="AL33" i="13"/>
  <c r="AH33" i="13"/>
  <c r="T33" i="13"/>
  <c r="G33" i="13"/>
  <c r="D33" i="13"/>
  <c r="GV32" i="13"/>
  <c r="FX32" i="13"/>
  <c r="FI32" i="13"/>
  <c r="EW32" i="13"/>
  <c r="FG32" i="13" s="1"/>
  <c r="DV32" i="13"/>
  <c r="CZ32" i="13"/>
  <c r="CW32" i="13"/>
  <c r="CT32" i="13"/>
  <c r="CJ32" i="13"/>
  <c r="BP32" i="13"/>
  <c r="BO32" i="13" s="1"/>
  <c r="AL32" i="13"/>
  <c r="AH32" i="13"/>
  <c r="T32" i="13"/>
  <c r="EP32" i="13" s="1"/>
  <c r="G32" i="13"/>
  <c r="D32" i="13"/>
  <c r="GV31" i="13"/>
  <c r="GE31" i="13"/>
  <c r="FX31" i="13"/>
  <c r="FI31" i="13"/>
  <c r="FG31" i="13"/>
  <c r="EW31" i="13"/>
  <c r="EP31" i="13"/>
  <c r="DV31" i="13"/>
  <c r="CZ31" i="13"/>
  <c r="CW31" i="13"/>
  <c r="CT31" i="13"/>
  <c r="CJ31" i="13"/>
  <c r="BP31" i="13"/>
  <c r="BO31" i="13" s="1"/>
  <c r="AL31" i="13"/>
  <c r="AH31" i="13"/>
  <c r="T31" i="13"/>
  <c r="G31" i="13"/>
  <c r="D31" i="13"/>
  <c r="GV30" i="13"/>
  <c r="GE30" i="13"/>
  <c r="FX30" i="13"/>
  <c r="FI30" i="13"/>
  <c r="EW30" i="13"/>
  <c r="FG30" i="13" s="1"/>
  <c r="EP30" i="13"/>
  <c r="DV30" i="13"/>
  <c r="CZ30" i="13"/>
  <c r="CW30" i="13"/>
  <c r="CT30" i="13"/>
  <c r="CJ30" i="13"/>
  <c r="BP30" i="13"/>
  <c r="BO30" i="13"/>
  <c r="AL30" i="13"/>
  <c r="AH30" i="13"/>
  <c r="T30" i="13"/>
  <c r="G30" i="13"/>
  <c r="D30" i="13"/>
  <c r="GV29" i="13"/>
  <c r="FX29" i="13"/>
  <c r="FI29" i="13"/>
  <c r="FG29" i="13"/>
  <c r="EW29" i="13"/>
  <c r="DV29" i="13"/>
  <c r="CZ29" i="13"/>
  <c r="CW29" i="13"/>
  <c r="CT29" i="13"/>
  <c r="CJ29" i="13"/>
  <c r="BP29" i="13"/>
  <c r="BO29" i="13" s="1"/>
  <c r="AL29" i="13"/>
  <c r="AH29" i="13"/>
  <c r="T29" i="13"/>
  <c r="G29" i="13"/>
  <c r="D29" i="13"/>
  <c r="GV28" i="13"/>
  <c r="FX28" i="13"/>
  <c r="FI28" i="13"/>
  <c r="EW28" i="13"/>
  <c r="FG28" i="13" s="1"/>
  <c r="DV28" i="13"/>
  <c r="CZ28" i="13"/>
  <c r="CW28" i="13"/>
  <c r="CT28" i="13"/>
  <c r="CJ28" i="13"/>
  <c r="BP28" i="13"/>
  <c r="BO28" i="13"/>
  <c r="AL28" i="13"/>
  <c r="AH28" i="13"/>
  <c r="T28" i="13"/>
  <c r="EP28" i="13" s="1"/>
  <c r="G28" i="13"/>
  <c r="D28" i="13"/>
  <c r="GV27" i="13"/>
  <c r="GE27" i="13" s="1"/>
  <c r="FX27" i="13"/>
  <c r="FI27" i="13"/>
  <c r="FG27" i="13"/>
  <c r="EW27" i="13"/>
  <c r="DV27" i="13"/>
  <c r="CZ27" i="13"/>
  <c r="CW27" i="13"/>
  <c r="CT27" i="13"/>
  <c r="CJ27" i="13"/>
  <c r="BP27" i="13"/>
  <c r="BO27" i="13" s="1"/>
  <c r="AL27" i="13"/>
  <c r="AH27" i="13"/>
  <c r="T27" i="13"/>
  <c r="EP27" i="13" s="1"/>
  <c r="G27" i="13"/>
  <c r="D27" i="13"/>
  <c r="GV26" i="13"/>
  <c r="GE26" i="13"/>
  <c r="FX26" i="13"/>
  <c r="FI26" i="13"/>
  <c r="EW26" i="13"/>
  <c r="FG26" i="13" s="1"/>
  <c r="DV26" i="13"/>
  <c r="CZ26" i="13"/>
  <c r="CW26" i="13"/>
  <c r="CT26" i="13"/>
  <c r="CJ26" i="13"/>
  <c r="BP26" i="13"/>
  <c r="BO26" i="13" s="1"/>
  <c r="AL26" i="13"/>
  <c r="AH26" i="13"/>
  <c r="T26" i="13"/>
  <c r="EP26" i="13" s="1"/>
  <c r="G26" i="13"/>
  <c r="D26" i="13"/>
  <c r="GV25" i="13"/>
  <c r="FX25" i="13"/>
  <c r="FI25" i="13"/>
  <c r="EW25" i="13"/>
  <c r="FG25" i="13" s="1"/>
  <c r="DV25" i="13"/>
  <c r="CZ25" i="13"/>
  <c r="CW25" i="13"/>
  <c r="CT25" i="13"/>
  <c r="CJ25" i="13"/>
  <c r="BP25" i="13"/>
  <c r="BO25" i="13"/>
  <c r="AL25" i="13"/>
  <c r="AH25" i="13"/>
  <c r="T25" i="13"/>
  <c r="EP25" i="13" s="1"/>
  <c r="G25" i="13"/>
  <c r="D25" i="13"/>
  <c r="GV24" i="13"/>
  <c r="FX24" i="13"/>
  <c r="FI24" i="13"/>
  <c r="EW24" i="13"/>
  <c r="FG24" i="13" s="1"/>
  <c r="DV24" i="13"/>
  <c r="CZ24" i="13"/>
  <c r="CW24" i="13"/>
  <c r="CT24" i="13"/>
  <c r="CJ24" i="13"/>
  <c r="BP24" i="13"/>
  <c r="BO24" i="13"/>
  <c r="AL24" i="13"/>
  <c r="AH24" i="13"/>
  <c r="T24" i="13"/>
  <c r="EP24" i="13" s="1"/>
  <c r="G24" i="13"/>
  <c r="D24" i="13"/>
  <c r="GV23" i="13"/>
  <c r="GE23" i="13" s="1"/>
  <c r="FX23" i="13"/>
  <c r="FI23" i="13"/>
  <c r="EW23" i="13"/>
  <c r="FG23" i="13" s="1"/>
  <c r="DV23" i="13"/>
  <c r="CZ23" i="13"/>
  <c r="CW23" i="13"/>
  <c r="CT23" i="13"/>
  <c r="CJ23" i="13"/>
  <c r="BP23" i="13"/>
  <c r="BO23" i="13"/>
  <c r="AL23" i="13"/>
  <c r="AH23" i="13"/>
  <c r="T23" i="13"/>
  <c r="EP23" i="13" s="1"/>
  <c r="G23" i="13"/>
  <c r="D23" i="13"/>
  <c r="GV22" i="13"/>
  <c r="FX22" i="13"/>
  <c r="FI22" i="13"/>
  <c r="FG22" i="13"/>
  <c r="EW22" i="13"/>
  <c r="DV22" i="13"/>
  <c r="CZ22" i="13"/>
  <c r="CW22" i="13"/>
  <c r="CT22" i="13"/>
  <c r="CJ22" i="13"/>
  <c r="BP22" i="13"/>
  <c r="BO22" i="13" s="1"/>
  <c r="AL22" i="13"/>
  <c r="AH22" i="13"/>
  <c r="T22" i="13"/>
  <c r="G22" i="13"/>
  <c r="D22" i="13"/>
  <c r="GV21" i="13"/>
  <c r="FX21" i="13"/>
  <c r="FI21" i="13"/>
  <c r="FG21" i="13"/>
  <c r="EW21" i="13"/>
  <c r="DV21" i="13"/>
  <c r="CZ21" i="13"/>
  <c r="CW21" i="13"/>
  <c r="CT21" i="13"/>
  <c r="CJ21" i="13"/>
  <c r="BP21" i="13"/>
  <c r="BO21" i="13" s="1"/>
  <c r="AL21" i="13"/>
  <c r="AH21" i="13"/>
  <c r="T21" i="13"/>
  <c r="G21" i="13"/>
  <c r="D21" i="13"/>
  <c r="GV20" i="13"/>
  <c r="FX20" i="13"/>
  <c r="FI20" i="13"/>
  <c r="FG20" i="13"/>
  <c r="EW20" i="13"/>
  <c r="DV20" i="13"/>
  <c r="CZ20" i="13"/>
  <c r="CW20" i="13"/>
  <c r="CT20" i="13"/>
  <c r="CJ20" i="13"/>
  <c r="BP20" i="13"/>
  <c r="BO20" i="13" s="1"/>
  <c r="AL20" i="13"/>
  <c r="AH20" i="13"/>
  <c r="T20" i="13"/>
  <c r="G20" i="13"/>
  <c r="D20" i="13"/>
  <c r="GV19" i="13"/>
  <c r="GE19" i="13"/>
  <c r="FX19" i="13"/>
  <c r="FI19" i="13"/>
  <c r="FG19" i="13"/>
  <c r="EW19" i="13"/>
  <c r="DV19" i="13"/>
  <c r="CZ19" i="13"/>
  <c r="CW19" i="13"/>
  <c r="CT19" i="13"/>
  <c r="CJ19" i="13"/>
  <c r="BP19" i="13"/>
  <c r="BO19" i="13"/>
  <c r="AL19" i="13"/>
  <c r="AH19" i="13"/>
  <c r="T19" i="13"/>
  <c r="EP19" i="13" s="1"/>
  <c r="G19" i="13"/>
  <c r="D19" i="13"/>
  <c r="GV18" i="13"/>
  <c r="FX18" i="13"/>
  <c r="FI18" i="13"/>
  <c r="EW18" i="13"/>
  <c r="FG18" i="13" s="1"/>
  <c r="DV18" i="13"/>
  <c r="CZ18" i="13"/>
  <c r="CW18" i="13"/>
  <c r="CT18" i="13"/>
  <c r="CJ18" i="13"/>
  <c r="BP18" i="13"/>
  <c r="BO18" i="13"/>
  <c r="AL18" i="13"/>
  <c r="AH18" i="13"/>
  <c r="T18" i="13"/>
  <c r="EP18" i="13" s="1"/>
  <c r="G18" i="13"/>
  <c r="D18" i="13"/>
  <c r="GV17" i="13"/>
  <c r="GE17" i="13" s="1"/>
  <c r="FX17" i="13"/>
  <c r="FI17" i="13"/>
  <c r="FG17" i="13"/>
  <c r="EW17" i="13"/>
  <c r="EP17" i="13"/>
  <c r="DV17" i="13"/>
  <c r="CZ17" i="13"/>
  <c r="CW17" i="13"/>
  <c r="CT17" i="13"/>
  <c r="CJ17" i="13"/>
  <c r="BP17" i="13"/>
  <c r="BO17" i="13" s="1"/>
  <c r="AL17" i="13"/>
  <c r="AH17" i="13"/>
  <c r="T17" i="13"/>
  <c r="G17" i="13"/>
  <c r="D17" i="13"/>
  <c r="GV16" i="13"/>
  <c r="GE16" i="13"/>
  <c r="FX16" i="13"/>
  <c r="FI16" i="13"/>
  <c r="FG16" i="13"/>
  <c r="EW16" i="13"/>
  <c r="DV16" i="13"/>
  <c r="CZ16" i="13"/>
  <c r="CW16" i="13"/>
  <c r="CT16" i="13"/>
  <c r="CJ16" i="13"/>
  <c r="BP16" i="13"/>
  <c r="BO16" i="13"/>
  <c r="AL16" i="13"/>
  <c r="AH16" i="13"/>
  <c r="T16" i="13"/>
  <c r="EP16" i="13" s="1"/>
  <c r="G16" i="13"/>
  <c r="D16" i="13"/>
  <c r="GV15" i="13"/>
  <c r="FX15" i="13"/>
  <c r="FI15" i="13"/>
  <c r="EW15" i="13"/>
  <c r="FG15" i="13" s="1"/>
  <c r="DV15" i="13"/>
  <c r="CZ15" i="13"/>
  <c r="CW15" i="13"/>
  <c r="CT15" i="13"/>
  <c r="CJ15" i="13"/>
  <c r="BP15" i="13"/>
  <c r="BO15" i="13"/>
  <c r="AL15" i="13"/>
  <c r="AH15" i="13"/>
  <c r="T15" i="13"/>
  <c r="EP15" i="13" s="1"/>
  <c r="G15" i="13"/>
  <c r="D15" i="13"/>
  <c r="GV14" i="13"/>
  <c r="FX14" i="13"/>
  <c r="FI14" i="13"/>
  <c r="EW14" i="13"/>
  <c r="FG14" i="13" s="1"/>
  <c r="DV14" i="13"/>
  <c r="CZ14" i="13"/>
  <c r="CW14" i="13"/>
  <c r="CT14" i="13"/>
  <c r="CJ14" i="13"/>
  <c r="BP14" i="13"/>
  <c r="BO14" i="13"/>
  <c r="AL14" i="13"/>
  <c r="AH14" i="13"/>
  <c r="T14" i="13"/>
  <c r="EP14" i="13" s="1"/>
  <c r="G14" i="13"/>
  <c r="D14" i="13"/>
  <c r="GV13" i="13"/>
  <c r="GE13" i="13" s="1"/>
  <c r="FX13" i="13"/>
  <c r="FI13" i="13"/>
  <c r="EW13" i="13"/>
  <c r="FG13" i="13" s="1"/>
  <c r="EP13" i="13"/>
  <c r="DV13" i="13"/>
  <c r="CZ13" i="13"/>
  <c r="CW13" i="13"/>
  <c r="CT13" i="13"/>
  <c r="CJ13" i="13"/>
  <c r="BP13" i="13"/>
  <c r="BO13" i="13"/>
  <c r="AL13" i="13"/>
  <c r="AL56" i="13" s="1"/>
  <c r="AH13" i="13"/>
  <c r="T13" i="13"/>
  <c r="G13" i="13"/>
  <c r="D13" i="13"/>
  <c r="GV12" i="13"/>
  <c r="GW39" i="13" s="1"/>
  <c r="GE12" i="13"/>
  <c r="FX12" i="13"/>
  <c r="FI12" i="13"/>
  <c r="EW12" i="13"/>
  <c r="FG12" i="13" s="1"/>
  <c r="DV12" i="13"/>
  <c r="CZ12" i="13"/>
  <c r="CW12" i="13"/>
  <c r="CT12" i="13"/>
  <c r="CJ12" i="13"/>
  <c r="BP12" i="13"/>
  <c r="BO12" i="13"/>
  <c r="AL12" i="13"/>
  <c r="AH12" i="13"/>
  <c r="T12" i="13"/>
  <c r="EP12" i="13" s="1"/>
  <c r="G12" i="13"/>
  <c r="D12" i="13"/>
  <c r="GV11" i="13"/>
  <c r="FX11" i="13"/>
  <c r="FI11" i="13"/>
  <c r="EW11" i="13"/>
  <c r="FG11" i="13" s="1"/>
  <c r="DV11" i="13"/>
  <c r="CZ11" i="13"/>
  <c r="CW11" i="13"/>
  <c r="CT11" i="13"/>
  <c r="CJ11" i="13"/>
  <c r="BP11" i="13"/>
  <c r="BO11" i="13"/>
  <c r="AL11" i="13"/>
  <c r="AH11" i="13"/>
  <c r="T11" i="13"/>
  <c r="EP11" i="13" s="1"/>
  <c r="G11" i="13"/>
  <c r="D11" i="13"/>
  <c r="GV10" i="13"/>
  <c r="FX10" i="13"/>
  <c r="FI10" i="13"/>
  <c r="EW10" i="13"/>
  <c r="FG10" i="13" s="1"/>
  <c r="EP10" i="13"/>
  <c r="DV10" i="13"/>
  <c r="CZ10" i="13"/>
  <c r="CW10" i="13"/>
  <c r="CT10" i="13"/>
  <c r="CJ10" i="13"/>
  <c r="BP10" i="13"/>
  <c r="BO10" i="13"/>
  <c r="AL10" i="13"/>
  <c r="AH10" i="13"/>
  <c r="T10" i="13"/>
  <c r="G10" i="13"/>
  <c r="D10" i="13"/>
  <c r="GV9" i="13"/>
  <c r="FX9" i="13"/>
  <c r="FI9" i="13"/>
  <c r="FG9" i="13"/>
  <c r="EW9" i="13"/>
  <c r="DV9" i="13"/>
  <c r="CZ9" i="13"/>
  <c r="CW9" i="13"/>
  <c r="CT9" i="13"/>
  <c r="CJ9" i="13"/>
  <c r="BP9" i="13"/>
  <c r="BO9" i="13"/>
  <c r="AL9" i="13"/>
  <c r="AH9" i="13"/>
  <c r="T9" i="13"/>
  <c r="EP9" i="13" s="1"/>
  <c r="G9" i="13"/>
  <c r="D9" i="13"/>
  <c r="GV8" i="13"/>
  <c r="FX8" i="13"/>
  <c r="FI8" i="13"/>
  <c r="EW8" i="13"/>
  <c r="FG8" i="13" s="1"/>
  <c r="DV8" i="13"/>
  <c r="CZ8" i="13"/>
  <c r="CW8" i="13"/>
  <c r="CT8" i="13"/>
  <c r="CJ8" i="13"/>
  <c r="BP8" i="13"/>
  <c r="BO8" i="13"/>
  <c r="AL8" i="13"/>
  <c r="AH8" i="13"/>
  <c r="T8" i="13"/>
  <c r="EP8" i="13" s="1"/>
  <c r="G8" i="13"/>
  <c r="G56" i="13" s="1"/>
  <c r="D8" i="13"/>
  <c r="GV7" i="13"/>
  <c r="FX7" i="13"/>
  <c r="FI7" i="13"/>
  <c r="EW7" i="13"/>
  <c r="FG7" i="13" s="1"/>
  <c r="DV7" i="13"/>
  <c r="CZ7" i="13"/>
  <c r="CW7" i="13"/>
  <c r="CW59" i="13" s="1"/>
  <c r="CT7" i="13"/>
  <c r="BP7" i="13"/>
  <c r="BO7" i="13" s="1"/>
  <c r="AL7" i="13"/>
  <c r="AH7" i="13"/>
  <c r="T7" i="13"/>
  <c r="G7" i="13"/>
  <c r="D7" i="13"/>
  <c r="D59" i="13" s="1"/>
  <c r="GV6" i="13"/>
  <c r="FX6" i="13"/>
  <c r="FI6" i="13"/>
  <c r="FG6" i="13"/>
  <c r="EW6" i="13"/>
  <c r="DV6" i="13"/>
  <c r="DV59" i="13" s="1"/>
  <c r="CZ6" i="13"/>
  <c r="CZ59" i="13" s="1"/>
  <c r="CW6" i="13"/>
  <c r="CT6" i="13"/>
  <c r="CT59" i="13" s="1"/>
  <c r="BP6" i="13"/>
  <c r="BO6" i="13"/>
  <c r="AL6" i="13"/>
  <c r="AH6" i="13"/>
  <c r="T6" i="13"/>
  <c r="EP6" i="13" s="1"/>
  <c r="G6" i="13"/>
  <c r="G59" i="13" s="1"/>
  <c r="D6" i="13"/>
  <c r="EK59" i="12"/>
  <c r="EE59" i="12"/>
  <c r="EA59" i="12"/>
  <c r="BW59" i="12"/>
  <c r="BV59" i="12"/>
  <c r="AX59" i="12"/>
  <c r="AO59" i="12"/>
  <c r="S59" i="12"/>
  <c r="EQ58" i="12"/>
  <c r="EK58" i="12"/>
  <c r="EE58" i="12"/>
  <c r="EA58" i="12"/>
  <c r="DE58" i="12"/>
  <c r="BV58" i="12"/>
  <c r="AO58" i="12"/>
  <c r="S58" i="12"/>
  <c r="GC57" i="12"/>
  <c r="GA57" i="12"/>
  <c r="FW57" i="12"/>
  <c r="FJ57" i="12"/>
  <c r="FF57" i="12"/>
  <c r="FD57" i="12"/>
  <c r="FB57" i="12"/>
  <c r="EX57" i="12"/>
  <c r="EV57" i="12"/>
  <c r="ET57" i="12"/>
  <c r="EN57" i="12"/>
  <c r="EL57" i="12"/>
  <c r="EK57" i="12"/>
  <c r="EG57" i="12"/>
  <c r="EF57" i="12"/>
  <c r="EE57" i="12"/>
  <c r="ED57" i="12"/>
  <c r="EB57" i="12"/>
  <c r="EA57" i="12"/>
  <c r="DW57" i="12"/>
  <c r="DU57" i="12"/>
  <c r="DO57" i="12"/>
  <c r="DN57" i="12"/>
  <c r="DM57" i="12"/>
  <c r="DL57" i="12"/>
  <c r="DG57" i="12"/>
  <c r="DE57" i="12"/>
  <c r="CY57" i="12"/>
  <c r="CQ57" i="12"/>
  <c r="CP57" i="12"/>
  <c r="CO57" i="12"/>
  <c r="CI57" i="12"/>
  <c r="CG57" i="12"/>
  <c r="CF57" i="12"/>
  <c r="CE57" i="12"/>
  <c r="CA57" i="12"/>
  <c r="BY57" i="12"/>
  <c r="BX57" i="12"/>
  <c r="BW57" i="12"/>
  <c r="BV57" i="12"/>
  <c r="BR57" i="12"/>
  <c r="BQ57" i="12"/>
  <c r="BJ57" i="12"/>
  <c r="BH57" i="12"/>
  <c r="BG57" i="12"/>
  <c r="BB57" i="12"/>
  <c r="AZ57" i="12"/>
  <c r="AY57" i="12"/>
  <c r="AT57" i="12"/>
  <c r="AR57" i="12"/>
  <c r="AQ57" i="12"/>
  <c r="AO57" i="12"/>
  <c r="AK57" i="12"/>
  <c r="AI57" i="12"/>
  <c r="AG57" i="12"/>
  <c r="AC57" i="12"/>
  <c r="AA57" i="12"/>
  <c r="Y57" i="12"/>
  <c r="U57" i="12"/>
  <c r="S57" i="12"/>
  <c r="Q57" i="12"/>
  <c r="L57" i="12"/>
  <c r="GD56" i="12"/>
  <c r="GB56" i="12"/>
  <c r="FZ56" i="12"/>
  <c r="FJ56" i="12"/>
  <c r="FF56" i="12"/>
  <c r="FE56" i="12"/>
  <c r="FA56" i="12"/>
  <c r="EY56" i="12"/>
  <c r="ES56" i="12"/>
  <c r="EQ56" i="12"/>
  <c r="EO56" i="12"/>
  <c r="EK56" i="12"/>
  <c r="EH56" i="12"/>
  <c r="EG56" i="12"/>
  <c r="EE56" i="12"/>
  <c r="EA56" i="12"/>
  <c r="DZ56" i="12"/>
  <c r="DW56" i="12"/>
  <c r="DU56" i="12"/>
  <c r="DR56" i="12"/>
  <c r="DM56" i="12"/>
  <c r="DJ56" i="12"/>
  <c r="DG56" i="12"/>
  <c r="DE56" i="12"/>
  <c r="DB56" i="12"/>
  <c r="CM56" i="12"/>
  <c r="CL56" i="12"/>
  <c r="CH56" i="12"/>
  <c r="CF56" i="12"/>
  <c r="CD56" i="12"/>
  <c r="CB56" i="12"/>
  <c r="BZ56" i="12"/>
  <c r="BV56" i="12"/>
  <c r="BU56" i="12"/>
  <c r="BM56" i="12"/>
  <c r="BF56" i="12"/>
  <c r="BE56" i="12"/>
  <c r="AW56" i="12"/>
  <c r="AR56" i="12"/>
  <c r="AP56" i="12"/>
  <c r="AO56" i="12"/>
  <c r="AN56" i="12"/>
  <c r="AJ56" i="12"/>
  <c r="AG56" i="12"/>
  <c r="AF56" i="12"/>
  <c r="AD56" i="12"/>
  <c r="AB56" i="12"/>
  <c r="X56" i="12"/>
  <c r="V56" i="12"/>
  <c r="S56" i="12"/>
  <c r="F56" i="12"/>
  <c r="FK53" i="12"/>
  <c r="FJ53" i="12"/>
  <c r="EI53" i="12"/>
  <c r="EY52" i="12"/>
  <c r="EY59" i="12" s="1"/>
  <c r="EQ52" i="12"/>
  <c r="DW52" i="12"/>
  <c r="DV52" i="12" s="1"/>
  <c r="BZ52" i="12"/>
  <c r="BX52" i="12"/>
  <c r="AY52" i="12"/>
  <c r="FJ51" i="12"/>
  <c r="FF51" i="12"/>
  <c r="FF52" i="12" s="1"/>
  <c r="EX51" i="12"/>
  <c r="EG51" i="12"/>
  <c r="DW51" i="12"/>
  <c r="DU51" i="12"/>
  <c r="DM51" i="12"/>
  <c r="DG51" i="12"/>
  <c r="DE51" i="12"/>
  <c r="CV51" i="12"/>
  <c r="CS51" i="12"/>
  <c r="CF51" i="12"/>
  <c r="CE51" i="12"/>
  <c r="CE52" i="12" s="1"/>
  <c r="BX51" i="12"/>
  <c r="BW51" i="12"/>
  <c r="BW52" i="12" s="1"/>
  <c r="BH51" i="12"/>
  <c r="BG51" i="12"/>
  <c r="BF51" i="12"/>
  <c r="AX51" i="12"/>
  <c r="AX52" i="12" s="1"/>
  <c r="AQ51" i="12"/>
  <c r="AG51" i="12"/>
  <c r="AG52" i="12" s="1"/>
  <c r="U51" i="12"/>
  <c r="GI50" i="12"/>
  <c r="GI57" i="12" s="1"/>
  <c r="GD50" i="12"/>
  <c r="GC50" i="12"/>
  <c r="GB50" i="12"/>
  <c r="GA50" i="12"/>
  <c r="FZ50" i="12"/>
  <c r="FY50" i="12"/>
  <c r="FY57" i="12" s="1"/>
  <c r="FW50" i="12"/>
  <c r="FM50" i="12"/>
  <c r="FM57" i="12" s="1"/>
  <c r="FL50" i="12"/>
  <c r="FL57" i="12" s="1"/>
  <c r="FK50" i="12"/>
  <c r="FJ50" i="12"/>
  <c r="FH50" i="12"/>
  <c r="FH51" i="12" s="1"/>
  <c r="FF50" i="12"/>
  <c r="FE50" i="12"/>
  <c r="FE57" i="12" s="1"/>
  <c r="FD50" i="12"/>
  <c r="FC50" i="12"/>
  <c r="FC57" i="12" s="1"/>
  <c r="FB50" i="12"/>
  <c r="FA50" i="12"/>
  <c r="EZ50" i="12"/>
  <c r="EY50" i="12"/>
  <c r="EY57" i="12" s="1"/>
  <c r="EX50" i="12"/>
  <c r="EV50" i="12"/>
  <c r="EU50" i="12"/>
  <c r="EU57" i="12" s="1"/>
  <c r="ET50" i="12"/>
  <c r="ES50" i="12"/>
  <c r="ER50" i="12"/>
  <c r="ER57" i="12" s="1"/>
  <c r="EQ50" i="12"/>
  <c r="EO50" i="12"/>
  <c r="EO57" i="12" s="1"/>
  <c r="EN50" i="12"/>
  <c r="EM50" i="12"/>
  <c r="EM57" i="12" s="1"/>
  <c r="EL50" i="12"/>
  <c r="EJ50" i="12"/>
  <c r="EJ57" i="12" s="1"/>
  <c r="EI50" i="12"/>
  <c r="EI57" i="12" s="1"/>
  <c r="EH50" i="12"/>
  <c r="EH57" i="12" s="1"/>
  <c r="EG50" i="12"/>
  <c r="EF50" i="12"/>
  <c r="ED50" i="12"/>
  <c r="EC50" i="12"/>
  <c r="EC57" i="12" s="1"/>
  <c r="EB50" i="12"/>
  <c r="DZ50" i="12"/>
  <c r="DZ57" i="12" s="1"/>
  <c r="DY50" i="12"/>
  <c r="DY57" i="12" s="1"/>
  <c r="DX50" i="12"/>
  <c r="DW50" i="12"/>
  <c r="DV50" i="12"/>
  <c r="DU50" i="12"/>
  <c r="DT50" i="12"/>
  <c r="DT57" i="12" s="1"/>
  <c r="DS50" i="12"/>
  <c r="DS57" i="12" s="1"/>
  <c r="DR50" i="12"/>
  <c r="DR57" i="12" s="1"/>
  <c r="DQ50" i="12"/>
  <c r="DQ57" i="12" s="1"/>
  <c r="DP50" i="12"/>
  <c r="DO50" i="12"/>
  <c r="DN50" i="12"/>
  <c r="DM50" i="12"/>
  <c r="DL50" i="12"/>
  <c r="DK50" i="12"/>
  <c r="DK57" i="12" s="1"/>
  <c r="DJ50" i="12"/>
  <c r="DJ57" i="12" s="1"/>
  <c r="DI50" i="12"/>
  <c r="DI57" i="12" s="1"/>
  <c r="DH50" i="12"/>
  <c r="DG50" i="12"/>
  <c r="DF50" i="12"/>
  <c r="DF57" i="12" s="1"/>
  <c r="DE50" i="12"/>
  <c r="DD50" i="12"/>
  <c r="DD57" i="12" s="1"/>
  <c r="DC50" i="12"/>
  <c r="DC57" i="12" s="1"/>
  <c r="DB50" i="12"/>
  <c r="DB57" i="12" s="1"/>
  <c r="DA50" i="12"/>
  <c r="DA57" i="12" s="1"/>
  <c r="CY50" i="12"/>
  <c r="CX50" i="12"/>
  <c r="CW50" i="12" s="1"/>
  <c r="CV50" i="12"/>
  <c r="CV57" i="12" s="1"/>
  <c r="CU50" i="12"/>
  <c r="CU57" i="12" s="1"/>
  <c r="CT50" i="12"/>
  <c r="CS50" i="12"/>
  <c r="CS57" i="12" s="1"/>
  <c r="CR50" i="12"/>
  <c r="CR57" i="12" s="1"/>
  <c r="CQ50" i="12"/>
  <c r="CP50" i="12"/>
  <c r="CO50" i="12"/>
  <c r="CN50" i="12"/>
  <c r="CN57" i="12" s="1"/>
  <c r="CM50" i="12"/>
  <c r="CM57" i="12" s="1"/>
  <c r="CL50" i="12"/>
  <c r="CL57" i="12" s="1"/>
  <c r="CK50" i="12"/>
  <c r="CK57" i="12" s="1"/>
  <c r="CJ50" i="12"/>
  <c r="CI50" i="12"/>
  <c r="CH50" i="12"/>
  <c r="CH57" i="12" s="1"/>
  <c r="CG50" i="12"/>
  <c r="CF50" i="12"/>
  <c r="CE50" i="12"/>
  <c r="CD50" i="12"/>
  <c r="CD57" i="12" s="1"/>
  <c r="CC50" i="12"/>
  <c r="CC57" i="12" s="1"/>
  <c r="CB50" i="12"/>
  <c r="CA50" i="12"/>
  <c r="BZ50" i="12"/>
  <c r="BZ57" i="12" s="1"/>
  <c r="BY50" i="12"/>
  <c r="BX50" i="12"/>
  <c r="BW50" i="12"/>
  <c r="BU50" i="12"/>
  <c r="BU57" i="12" s="1"/>
  <c r="BT50" i="12"/>
  <c r="BT57" i="12" s="1"/>
  <c r="BS50" i="12"/>
  <c r="BR50" i="12"/>
  <c r="BQ50" i="12"/>
  <c r="BN50" i="12"/>
  <c r="BN57" i="12" s="1"/>
  <c r="BM50" i="12"/>
  <c r="BM57" i="12" s="1"/>
  <c r="BL50" i="12"/>
  <c r="BL57" i="12" s="1"/>
  <c r="BK50" i="12"/>
  <c r="BJ50" i="12"/>
  <c r="BI50" i="12"/>
  <c r="BI57" i="12" s="1"/>
  <c r="BH50" i="12"/>
  <c r="BG50" i="12"/>
  <c r="BF50" i="12"/>
  <c r="BF57" i="12" s="1"/>
  <c r="BE50" i="12"/>
  <c r="BE57" i="12" s="1"/>
  <c r="BD50" i="12"/>
  <c r="BD57" i="12" s="1"/>
  <c r="BC50" i="12"/>
  <c r="BB50" i="12"/>
  <c r="BA50" i="12"/>
  <c r="BA57" i="12" s="1"/>
  <c r="AZ50" i="12"/>
  <c r="AY50" i="12"/>
  <c r="AX50" i="12"/>
  <c r="AX57" i="12" s="1"/>
  <c r="AW50" i="12"/>
  <c r="AW57" i="12" s="1"/>
  <c r="AV50" i="12"/>
  <c r="AV57" i="12" s="1"/>
  <c r="AU50" i="12"/>
  <c r="AT50" i="12"/>
  <c r="AS50" i="12"/>
  <c r="AS57" i="12" s="1"/>
  <c r="AR50" i="12"/>
  <c r="AQ50" i="12"/>
  <c r="AP50" i="12"/>
  <c r="AP57" i="12" s="1"/>
  <c r="AN50" i="12"/>
  <c r="AM50" i="12"/>
  <c r="AM57" i="12" s="1"/>
  <c r="AK50" i="12"/>
  <c r="AJ50" i="12"/>
  <c r="AI50" i="12"/>
  <c r="AG50" i="12"/>
  <c r="AF50" i="12"/>
  <c r="AF57" i="12" s="1"/>
  <c r="AE50" i="12"/>
  <c r="AE51" i="12" s="1"/>
  <c r="AD50" i="12"/>
  <c r="AC50" i="12"/>
  <c r="AB50" i="12"/>
  <c r="AA50" i="12"/>
  <c r="Z50" i="12"/>
  <c r="Z57" i="12" s="1"/>
  <c r="Y50" i="12"/>
  <c r="X50" i="12"/>
  <c r="W50" i="12"/>
  <c r="V50" i="12"/>
  <c r="T50" i="12" s="1"/>
  <c r="T57" i="12" s="1"/>
  <c r="U50" i="12"/>
  <c r="R50" i="12"/>
  <c r="R57" i="12" s="1"/>
  <c r="Q50" i="12"/>
  <c r="P50" i="12"/>
  <c r="P57" i="12" s="1"/>
  <c r="O50" i="12"/>
  <c r="N50" i="12"/>
  <c r="M50" i="12"/>
  <c r="M57" i="12" s="1"/>
  <c r="L50" i="12"/>
  <c r="K50" i="12"/>
  <c r="K57" i="12" s="1"/>
  <c r="J50" i="12"/>
  <c r="J57" i="12" s="1"/>
  <c r="I50" i="12"/>
  <c r="I57" i="12" s="1"/>
  <c r="H50" i="12"/>
  <c r="H57" i="12" s="1"/>
  <c r="G50" i="12"/>
  <c r="G57" i="12" s="1"/>
  <c r="F50" i="12"/>
  <c r="E50" i="12"/>
  <c r="C50" i="12"/>
  <c r="C57" i="12" s="1"/>
  <c r="GV49" i="12"/>
  <c r="FX49" i="12"/>
  <c r="FI49" i="12"/>
  <c r="EW49" i="12"/>
  <c r="FG49" i="12" s="1"/>
  <c r="DV49" i="12"/>
  <c r="CZ49" i="12"/>
  <c r="CW49" i="12"/>
  <c r="CT49" i="12"/>
  <c r="CJ49" i="12"/>
  <c r="BP49" i="12"/>
  <c r="BO49" i="12"/>
  <c r="AL49" i="12"/>
  <c r="AH49" i="12"/>
  <c r="T49" i="12"/>
  <c r="EP49" i="12" s="1"/>
  <c r="G49" i="12"/>
  <c r="D49" i="12"/>
  <c r="GV48" i="12"/>
  <c r="GE48" i="12"/>
  <c r="FX48" i="12"/>
  <c r="FI48" i="12"/>
  <c r="EW48" i="12"/>
  <c r="FG48" i="12" s="1"/>
  <c r="DV48" i="12"/>
  <c r="CZ48" i="12"/>
  <c r="CW48" i="12"/>
  <c r="CT48" i="12"/>
  <c r="CJ48" i="12"/>
  <c r="BP48" i="12"/>
  <c r="BO48" i="12"/>
  <c r="AL48" i="12"/>
  <c r="AH48" i="12"/>
  <c r="T48" i="12"/>
  <c r="EP48" i="12" s="1"/>
  <c r="G48" i="12"/>
  <c r="D48" i="12"/>
  <c r="GV47" i="12"/>
  <c r="FX47" i="12"/>
  <c r="FI47" i="12"/>
  <c r="EW47" i="12"/>
  <c r="FG47" i="12" s="1"/>
  <c r="DV47" i="12"/>
  <c r="DV57" i="12" s="1"/>
  <c r="CZ47" i="12"/>
  <c r="CW47" i="12"/>
  <c r="CT47" i="12"/>
  <c r="CJ47" i="12"/>
  <c r="BP47" i="12"/>
  <c r="BO47" i="12"/>
  <c r="AL47" i="12"/>
  <c r="AH47" i="12"/>
  <c r="T47" i="12"/>
  <c r="EP47" i="12" s="1"/>
  <c r="G47" i="12"/>
  <c r="D47" i="12"/>
  <c r="GV46" i="12"/>
  <c r="FX46" i="12"/>
  <c r="FI46" i="12"/>
  <c r="EW46" i="12"/>
  <c r="FG46" i="12" s="1"/>
  <c r="EP46" i="12"/>
  <c r="DV46" i="12"/>
  <c r="CZ46" i="12"/>
  <c r="CW46" i="12"/>
  <c r="CT46" i="12"/>
  <c r="CJ46" i="12"/>
  <c r="BP46" i="12"/>
  <c r="BO46" i="12"/>
  <c r="AL46" i="12"/>
  <c r="AH46" i="12"/>
  <c r="T46" i="12"/>
  <c r="G46" i="12"/>
  <c r="D46" i="12"/>
  <c r="GV45" i="12"/>
  <c r="FX45" i="12"/>
  <c r="FI45" i="12"/>
  <c r="FG45" i="12"/>
  <c r="EW45" i="12"/>
  <c r="DV45" i="12"/>
  <c r="CZ45" i="12"/>
  <c r="CW45" i="12"/>
  <c r="CT45" i="12"/>
  <c r="CJ45" i="12"/>
  <c r="BP45" i="12"/>
  <c r="BO45" i="12" s="1"/>
  <c r="AL45" i="12"/>
  <c r="AH45" i="12"/>
  <c r="T45" i="12"/>
  <c r="G45" i="12"/>
  <c r="D45" i="12"/>
  <c r="GV44" i="12"/>
  <c r="GW50" i="12" s="1"/>
  <c r="GE44" i="12"/>
  <c r="FX44" i="12"/>
  <c r="FI44" i="12"/>
  <c r="FG44" i="12"/>
  <c r="EW44" i="12"/>
  <c r="DV44" i="12"/>
  <c r="CZ44" i="12"/>
  <c r="CW44" i="12"/>
  <c r="CT44" i="12"/>
  <c r="CJ44" i="12"/>
  <c r="BP44" i="12"/>
  <c r="BO44" i="12" s="1"/>
  <c r="AL44" i="12"/>
  <c r="AH44" i="12"/>
  <c r="T44" i="12"/>
  <c r="EP44" i="12" s="1"/>
  <c r="G44" i="12"/>
  <c r="D44" i="12"/>
  <c r="GV43" i="12"/>
  <c r="FX43" i="12"/>
  <c r="FI43" i="12"/>
  <c r="FG43" i="12"/>
  <c r="EW43" i="12"/>
  <c r="DV43" i="12"/>
  <c r="CZ43" i="12"/>
  <c r="CW43" i="12"/>
  <c r="CT43" i="12"/>
  <c r="CJ43" i="12"/>
  <c r="BP43" i="12"/>
  <c r="BO43" i="12" s="1"/>
  <c r="AL43" i="12"/>
  <c r="AH43" i="12"/>
  <c r="T43" i="12"/>
  <c r="EP43" i="12" s="1"/>
  <c r="G43" i="12"/>
  <c r="D43" i="12"/>
  <c r="GV42" i="12"/>
  <c r="FX42" i="12"/>
  <c r="FI42" i="12"/>
  <c r="EW42" i="12"/>
  <c r="FG42" i="12" s="1"/>
  <c r="DV42" i="12"/>
  <c r="CZ42" i="12"/>
  <c r="CW42" i="12"/>
  <c r="CT42" i="12"/>
  <c r="CJ42" i="12"/>
  <c r="BP42" i="12"/>
  <c r="BO42" i="12"/>
  <c r="AL42" i="12"/>
  <c r="AH42" i="12"/>
  <c r="T42" i="12"/>
  <c r="EP42" i="12" s="1"/>
  <c r="G42" i="12"/>
  <c r="D42" i="12"/>
  <c r="GV41" i="12"/>
  <c r="FX41" i="12"/>
  <c r="FI41" i="12"/>
  <c r="FG41" i="12"/>
  <c r="EW41" i="12"/>
  <c r="DV41" i="12"/>
  <c r="CZ41" i="12"/>
  <c r="CW41" i="12"/>
  <c r="CT41" i="12"/>
  <c r="CJ41" i="12"/>
  <c r="BP41" i="12"/>
  <c r="BO41" i="12" s="1"/>
  <c r="AL41" i="12"/>
  <c r="AH41" i="12"/>
  <c r="T41" i="12"/>
  <c r="EP41" i="12" s="1"/>
  <c r="G41" i="12"/>
  <c r="D41" i="12"/>
  <c r="GV40" i="12"/>
  <c r="FX40" i="12"/>
  <c r="FI40" i="12"/>
  <c r="FG40" i="12"/>
  <c r="EW40" i="12"/>
  <c r="EP40" i="12"/>
  <c r="DV40" i="12"/>
  <c r="CZ40" i="12"/>
  <c r="CW40" i="12"/>
  <c r="CT40" i="12"/>
  <c r="CJ40" i="12"/>
  <c r="BP40" i="12"/>
  <c r="BO40" i="12" s="1"/>
  <c r="AL40" i="12"/>
  <c r="AH40" i="12"/>
  <c r="T40" i="12"/>
  <c r="G40" i="12"/>
  <c r="D40" i="12"/>
  <c r="GV39" i="12"/>
  <c r="GI39" i="12"/>
  <c r="GI51" i="12" s="1"/>
  <c r="GD39" i="12"/>
  <c r="GD51" i="12" s="1"/>
  <c r="GC39" i="12"/>
  <c r="GB39" i="12"/>
  <c r="GA39" i="12"/>
  <c r="FZ39" i="12"/>
  <c r="FY39" i="12"/>
  <c r="FW39" i="12"/>
  <c r="FM39" i="12"/>
  <c r="FM51" i="12" s="1"/>
  <c r="FL39" i="12"/>
  <c r="FK39" i="12"/>
  <c r="FJ39" i="12"/>
  <c r="FJ54" i="12" s="1"/>
  <c r="FH39" i="12"/>
  <c r="FF39" i="12"/>
  <c r="FE39" i="12"/>
  <c r="FE51" i="12" s="1"/>
  <c r="FD39" i="12"/>
  <c r="FC39" i="12"/>
  <c r="FB39" i="12"/>
  <c r="FA39" i="12"/>
  <c r="FA51" i="12" s="1"/>
  <c r="FA52" i="12" s="1"/>
  <c r="EZ39" i="12"/>
  <c r="EY39" i="12"/>
  <c r="EY51" i="12" s="1"/>
  <c r="EY58" i="12" s="1"/>
  <c r="EX39" i="12"/>
  <c r="EV39" i="12"/>
  <c r="EU39" i="12"/>
  <c r="ET39" i="12"/>
  <c r="ES39" i="12"/>
  <c r="ES51" i="12" s="1"/>
  <c r="ER39" i="12"/>
  <c r="EQ39" i="12"/>
  <c r="EQ51" i="12" s="1"/>
  <c r="EQ59" i="12" s="1"/>
  <c r="EO39" i="12"/>
  <c r="EN39" i="12"/>
  <c r="EM39" i="12"/>
  <c r="EL39" i="12"/>
  <c r="EL51" i="12" s="1"/>
  <c r="EJ39" i="12"/>
  <c r="EI39" i="12"/>
  <c r="EH39" i="12"/>
  <c r="EG39" i="12"/>
  <c r="EF39" i="12"/>
  <c r="ED39" i="12"/>
  <c r="EC39" i="12"/>
  <c r="EB39" i="12"/>
  <c r="DZ39" i="12"/>
  <c r="DY39" i="12"/>
  <c r="DX39" i="12"/>
  <c r="DW39" i="12"/>
  <c r="DV39" i="12" s="1"/>
  <c r="DU39" i="12"/>
  <c r="DT39" i="12"/>
  <c r="DS39" i="12"/>
  <c r="DR39" i="12"/>
  <c r="DQ39" i="12"/>
  <c r="DP39" i="12"/>
  <c r="DP51" i="12" s="1"/>
  <c r="DO39" i="12"/>
  <c r="DN39" i="12"/>
  <c r="DN56" i="12" s="1"/>
  <c r="DM39" i="12"/>
  <c r="DL39" i="12"/>
  <c r="DK39" i="12"/>
  <c r="DJ39" i="12"/>
  <c r="DI39" i="12"/>
  <c r="DH39" i="12"/>
  <c r="DH51" i="12" s="1"/>
  <c r="DG39" i="12"/>
  <c r="DF39" i="12"/>
  <c r="DF56" i="12" s="1"/>
  <c r="DE39" i="12"/>
  <c r="DD39" i="12"/>
  <c r="DC39" i="12"/>
  <c r="DB39" i="12"/>
  <c r="DA39" i="12"/>
  <c r="CY39" i="12"/>
  <c r="CX39" i="12"/>
  <c r="CX56" i="12" s="1"/>
  <c r="CV39" i="12"/>
  <c r="CU39" i="12"/>
  <c r="CS39" i="12"/>
  <c r="CR39" i="12"/>
  <c r="CR51" i="12" s="1"/>
  <c r="CQ39" i="12"/>
  <c r="CP39" i="12"/>
  <c r="CP56" i="12" s="1"/>
  <c r="CO39" i="12"/>
  <c r="CN39" i="12"/>
  <c r="CM39" i="12"/>
  <c r="CM51" i="12" s="1"/>
  <c r="CL39" i="12"/>
  <c r="CK39" i="12"/>
  <c r="CI39" i="12"/>
  <c r="CH39" i="12"/>
  <c r="CH51" i="12" s="1"/>
  <c r="CG39" i="12"/>
  <c r="CF39" i="12"/>
  <c r="CE39" i="12"/>
  <c r="CD39" i="12"/>
  <c r="CC39" i="12"/>
  <c r="CB39" i="12"/>
  <c r="CA39" i="12"/>
  <c r="BZ39" i="12"/>
  <c r="BZ51" i="12" s="1"/>
  <c r="BY39" i="12"/>
  <c r="BX39" i="12"/>
  <c r="BX58" i="12" s="1"/>
  <c r="BW39" i="12"/>
  <c r="BU39" i="12"/>
  <c r="BT39" i="12"/>
  <c r="BS39" i="12"/>
  <c r="BR39" i="12"/>
  <c r="BR56" i="12" s="1"/>
  <c r="BQ39" i="12"/>
  <c r="BQ56" i="12" s="1"/>
  <c r="BN39" i="12"/>
  <c r="BM39" i="12"/>
  <c r="BL39" i="12"/>
  <c r="BK39" i="12"/>
  <c r="BK51" i="12" s="1"/>
  <c r="BK52" i="12" s="1"/>
  <c r="BK59" i="12" s="1"/>
  <c r="BJ39" i="12"/>
  <c r="BI39" i="12"/>
  <c r="BI56" i="12" s="1"/>
  <c r="BH39" i="12"/>
  <c r="BG39" i="12"/>
  <c r="BF39" i="12"/>
  <c r="BE39" i="12"/>
  <c r="BD39" i="12"/>
  <c r="BD56" i="12" s="1"/>
  <c r="BC39" i="12"/>
  <c r="BC51" i="12" s="1"/>
  <c r="BB39" i="12"/>
  <c r="BA39" i="12"/>
  <c r="BA56" i="12" s="1"/>
  <c r="AZ39" i="12"/>
  <c r="AY39" i="12"/>
  <c r="AY51" i="12" s="1"/>
  <c r="AX39" i="12"/>
  <c r="AX58" i="12" s="1"/>
  <c r="AW39" i="12"/>
  <c r="AV39" i="12"/>
  <c r="AU39" i="12"/>
  <c r="AU51" i="12" s="1"/>
  <c r="AT39" i="12"/>
  <c r="AS39" i="12"/>
  <c r="AS56" i="12" s="1"/>
  <c r="AR39" i="12"/>
  <c r="AR51" i="12" s="1"/>
  <c r="AQ39" i="12"/>
  <c r="AP39" i="12"/>
  <c r="AP51" i="12" s="1"/>
  <c r="AN39" i="12"/>
  <c r="AM39" i="12"/>
  <c r="AK39" i="12"/>
  <c r="AJ39" i="12"/>
  <c r="AI39" i="12"/>
  <c r="AG39" i="12"/>
  <c r="AF39" i="12"/>
  <c r="AE39" i="12"/>
  <c r="AE56" i="12" s="1"/>
  <c r="AD39" i="12"/>
  <c r="AD51" i="12" s="1"/>
  <c r="AC39" i="12"/>
  <c r="AC51" i="12" s="1"/>
  <c r="AB39" i="12"/>
  <c r="AB51" i="12" s="1"/>
  <c r="AA39" i="12"/>
  <c r="Z39" i="12"/>
  <c r="Y39" i="12"/>
  <c r="Y56" i="12" s="1"/>
  <c r="X39" i="12"/>
  <c r="W39" i="12"/>
  <c r="W56" i="12" s="1"/>
  <c r="V39" i="12"/>
  <c r="V51" i="12" s="1"/>
  <c r="U39" i="12"/>
  <c r="R39" i="12"/>
  <c r="Q39" i="12"/>
  <c r="P39" i="12"/>
  <c r="P51" i="12" s="1"/>
  <c r="O39" i="12"/>
  <c r="O56" i="12" s="1"/>
  <c r="N39" i="12"/>
  <c r="N51" i="12" s="1"/>
  <c r="M39" i="12"/>
  <c r="M56" i="12" s="1"/>
  <c r="L39" i="12"/>
  <c r="K39" i="12"/>
  <c r="J39" i="12"/>
  <c r="I39" i="12"/>
  <c r="H39" i="12"/>
  <c r="F39" i="12"/>
  <c r="E39" i="12"/>
  <c r="E56" i="12" s="1"/>
  <c r="D39" i="12"/>
  <c r="C39" i="12"/>
  <c r="GV38" i="12"/>
  <c r="FX38" i="12"/>
  <c r="FI38" i="12"/>
  <c r="EW38" i="12"/>
  <c r="FG38" i="12" s="1"/>
  <c r="DV38" i="12"/>
  <c r="CZ38" i="12"/>
  <c r="CW38" i="12"/>
  <c r="CT38" i="12"/>
  <c r="CJ38" i="12"/>
  <c r="BP38" i="12"/>
  <c r="BO38" i="12"/>
  <c r="AL38" i="12"/>
  <c r="AH38" i="12"/>
  <c r="T38" i="12"/>
  <c r="EP38" i="12" s="1"/>
  <c r="G38" i="12"/>
  <c r="D38" i="12"/>
  <c r="GV37" i="12"/>
  <c r="FX37" i="12"/>
  <c r="FI37" i="12"/>
  <c r="EW37" i="12"/>
  <c r="FG37" i="12" s="1"/>
  <c r="DV37" i="12"/>
  <c r="CZ37" i="12"/>
  <c r="CW37" i="12"/>
  <c r="CT37" i="12"/>
  <c r="CJ37" i="12"/>
  <c r="BP37" i="12"/>
  <c r="BO37" i="12"/>
  <c r="AL37" i="12"/>
  <c r="AH37" i="12"/>
  <c r="T37" i="12"/>
  <c r="EP37" i="12" s="1"/>
  <c r="G37" i="12"/>
  <c r="D37" i="12"/>
  <c r="GV36" i="12"/>
  <c r="GE36" i="12" s="1"/>
  <c r="FX36" i="12"/>
  <c r="FI36" i="12"/>
  <c r="FG36" i="12"/>
  <c r="EW36" i="12"/>
  <c r="DV36" i="12"/>
  <c r="CZ36" i="12"/>
  <c r="CW36" i="12"/>
  <c r="CT36" i="12"/>
  <c r="CJ36" i="12"/>
  <c r="BP36" i="12"/>
  <c r="BO36" i="12" s="1"/>
  <c r="AL36" i="12"/>
  <c r="AH36" i="12"/>
  <c r="T36" i="12"/>
  <c r="G36" i="12"/>
  <c r="D36" i="12"/>
  <c r="GV35" i="12"/>
  <c r="FX35" i="12"/>
  <c r="FI35" i="12"/>
  <c r="FG35" i="12"/>
  <c r="EW35" i="12"/>
  <c r="EP35" i="12"/>
  <c r="DV35" i="12"/>
  <c r="CZ35" i="12"/>
  <c r="CW35" i="12"/>
  <c r="CT35" i="12"/>
  <c r="CJ35" i="12"/>
  <c r="BP35" i="12"/>
  <c r="BO35" i="12" s="1"/>
  <c r="AL35" i="12"/>
  <c r="AH35" i="12"/>
  <c r="T35" i="12"/>
  <c r="G35" i="12"/>
  <c r="D35" i="12"/>
  <c r="GV34" i="12"/>
  <c r="FX34" i="12"/>
  <c r="FI34" i="12"/>
  <c r="FG34" i="12"/>
  <c r="EW34" i="12"/>
  <c r="DV34" i="12"/>
  <c r="CZ34" i="12"/>
  <c r="CW34" i="12"/>
  <c r="CT34" i="12"/>
  <c r="CJ34" i="12"/>
  <c r="BP34" i="12"/>
  <c r="BO34" i="12" s="1"/>
  <c r="AL34" i="12"/>
  <c r="AH34" i="12"/>
  <c r="T34" i="12"/>
  <c r="EP34" i="12" s="1"/>
  <c r="G34" i="12"/>
  <c r="D34" i="12"/>
  <c r="GV33" i="12"/>
  <c r="FX33" i="12"/>
  <c r="FI33" i="12"/>
  <c r="FG33" i="12"/>
  <c r="EW33" i="12"/>
  <c r="DV33" i="12"/>
  <c r="CZ33" i="12"/>
  <c r="CW33" i="12"/>
  <c r="CT33" i="12"/>
  <c r="CJ33" i="12"/>
  <c r="BP33" i="12"/>
  <c r="BO33" i="12" s="1"/>
  <c r="AL33" i="12"/>
  <c r="AH33" i="12"/>
  <c r="T33" i="12"/>
  <c r="G33" i="12"/>
  <c r="D33" i="12"/>
  <c r="GV32" i="12"/>
  <c r="FX32" i="12"/>
  <c r="FI32" i="12"/>
  <c r="FG32" i="12"/>
  <c r="EW32" i="12"/>
  <c r="DV32" i="12"/>
  <c r="CZ32" i="12"/>
  <c r="CW32" i="12"/>
  <c r="CT32" i="12"/>
  <c r="CJ32" i="12"/>
  <c r="BP32" i="12"/>
  <c r="BO32" i="12" s="1"/>
  <c r="AL32" i="12"/>
  <c r="AH32" i="12"/>
  <c r="T32" i="12"/>
  <c r="G32" i="12"/>
  <c r="D32" i="12"/>
  <c r="GV31" i="12"/>
  <c r="GE31" i="12"/>
  <c r="FX31" i="12"/>
  <c r="FI31" i="12"/>
  <c r="EW31" i="12"/>
  <c r="FG31" i="12" s="1"/>
  <c r="DV31" i="12"/>
  <c r="CZ31" i="12"/>
  <c r="CW31" i="12"/>
  <c r="CT31" i="12"/>
  <c r="CJ31" i="12"/>
  <c r="BP31" i="12"/>
  <c r="BO31" i="12"/>
  <c r="AL31" i="12"/>
  <c r="AH31" i="12"/>
  <c r="T31" i="12"/>
  <c r="EP31" i="12" s="1"/>
  <c r="G31" i="12"/>
  <c r="D31" i="12"/>
  <c r="GV30" i="12"/>
  <c r="GE30" i="12"/>
  <c r="FX30" i="12"/>
  <c r="FI30" i="12"/>
  <c r="FG30" i="12"/>
  <c r="EW30" i="12"/>
  <c r="EP30" i="12"/>
  <c r="DV30" i="12"/>
  <c r="CZ30" i="12"/>
  <c r="CW30" i="12"/>
  <c r="CT30" i="12"/>
  <c r="CJ30" i="12"/>
  <c r="BP30" i="12"/>
  <c r="BO30" i="12" s="1"/>
  <c r="AL30" i="12"/>
  <c r="AH30" i="12"/>
  <c r="T30" i="12"/>
  <c r="G30" i="12"/>
  <c r="D30" i="12"/>
  <c r="GV29" i="12"/>
  <c r="FX29" i="12"/>
  <c r="FI29" i="12"/>
  <c r="EW29" i="12"/>
  <c r="FG29" i="12" s="1"/>
  <c r="EP29" i="12"/>
  <c r="DV29" i="12"/>
  <c r="CZ29" i="12"/>
  <c r="CW29" i="12"/>
  <c r="CT29" i="12"/>
  <c r="CJ29" i="12"/>
  <c r="BP29" i="12"/>
  <c r="BO29" i="12"/>
  <c r="AL29" i="12"/>
  <c r="AH29" i="12"/>
  <c r="T29" i="12"/>
  <c r="G29" i="12"/>
  <c r="D29" i="12"/>
  <c r="GV28" i="12"/>
  <c r="FX28" i="12"/>
  <c r="FI28" i="12"/>
  <c r="FG28" i="12"/>
  <c r="EW28" i="12"/>
  <c r="DV28" i="12"/>
  <c r="CZ28" i="12"/>
  <c r="CW28" i="12"/>
  <c r="CT28" i="12"/>
  <c r="CJ28" i="12"/>
  <c r="BP28" i="12"/>
  <c r="BO28" i="12" s="1"/>
  <c r="AL28" i="12"/>
  <c r="AH28" i="12"/>
  <c r="T28" i="12"/>
  <c r="G28" i="12"/>
  <c r="D28" i="12"/>
  <c r="GV27" i="12"/>
  <c r="GE27" i="12"/>
  <c r="FX27" i="12"/>
  <c r="FI27" i="12"/>
  <c r="EW27" i="12"/>
  <c r="FG27" i="12" s="1"/>
  <c r="DV27" i="12"/>
  <c r="CZ27" i="12"/>
  <c r="CW27" i="12"/>
  <c r="CT27" i="12"/>
  <c r="CJ27" i="12"/>
  <c r="BP27" i="12"/>
  <c r="BO27" i="12"/>
  <c r="AL27" i="12"/>
  <c r="AH27" i="12"/>
  <c r="T27" i="12"/>
  <c r="EP27" i="12" s="1"/>
  <c r="G27" i="12"/>
  <c r="D27" i="12"/>
  <c r="GV26" i="12"/>
  <c r="GE26" i="12" s="1"/>
  <c r="FX26" i="12"/>
  <c r="FI26" i="12"/>
  <c r="FG26" i="12"/>
  <c r="EW26" i="12"/>
  <c r="EP26" i="12"/>
  <c r="DV26" i="12"/>
  <c r="CZ26" i="12"/>
  <c r="CW26" i="12"/>
  <c r="CT26" i="12"/>
  <c r="CJ26" i="12"/>
  <c r="BP26" i="12"/>
  <c r="BO26" i="12" s="1"/>
  <c r="AL26" i="12"/>
  <c r="AH26" i="12"/>
  <c r="T26" i="12"/>
  <c r="G26" i="12"/>
  <c r="D26" i="12"/>
  <c r="GV25" i="12"/>
  <c r="FX25" i="12"/>
  <c r="FI25" i="12"/>
  <c r="FG25" i="12"/>
  <c r="EW25" i="12"/>
  <c r="DV25" i="12"/>
  <c r="CZ25" i="12"/>
  <c r="CW25" i="12"/>
  <c r="CT25" i="12"/>
  <c r="CJ25" i="12"/>
  <c r="BP25" i="12"/>
  <c r="BO25" i="12" s="1"/>
  <c r="AL25" i="12"/>
  <c r="AH25" i="12"/>
  <c r="T25" i="12"/>
  <c r="EP25" i="12" s="1"/>
  <c r="G25" i="12"/>
  <c r="D25" i="12"/>
  <c r="GV24" i="12"/>
  <c r="FX24" i="12"/>
  <c r="FI24" i="12"/>
  <c r="FG24" i="12"/>
  <c r="EW24" i="12"/>
  <c r="DV24" i="12"/>
  <c r="CZ24" i="12"/>
  <c r="CW24" i="12"/>
  <c r="CT24" i="12"/>
  <c r="CJ24" i="12"/>
  <c r="BP24" i="12"/>
  <c r="AL24" i="12"/>
  <c r="AH24" i="12"/>
  <c r="T24" i="12"/>
  <c r="G24" i="12"/>
  <c r="D24" i="12"/>
  <c r="GV23" i="12"/>
  <c r="GE23" i="12"/>
  <c r="FX23" i="12"/>
  <c r="FI23" i="12"/>
  <c r="FG23" i="12"/>
  <c r="EW23" i="12"/>
  <c r="DV23" i="12"/>
  <c r="CZ23" i="12"/>
  <c r="CW23" i="12"/>
  <c r="CT23" i="12"/>
  <c r="CJ23" i="12"/>
  <c r="BP23" i="12"/>
  <c r="AL23" i="12"/>
  <c r="AH23" i="12"/>
  <c r="T23" i="12"/>
  <c r="G23" i="12"/>
  <c r="D23" i="12"/>
  <c r="GV22" i="12"/>
  <c r="FX22" i="12"/>
  <c r="FI22" i="12"/>
  <c r="FG22" i="12"/>
  <c r="EW22" i="12"/>
  <c r="DV22" i="12"/>
  <c r="CZ22" i="12"/>
  <c r="CW22" i="12"/>
  <c r="CT22" i="12"/>
  <c r="CJ22" i="12"/>
  <c r="BP22" i="12"/>
  <c r="BO22" i="12"/>
  <c r="AL22" i="12"/>
  <c r="AH22" i="12"/>
  <c r="T22" i="12"/>
  <c r="EP22" i="12" s="1"/>
  <c r="G22" i="12"/>
  <c r="D22" i="12"/>
  <c r="GV21" i="12"/>
  <c r="FX21" i="12"/>
  <c r="FI21" i="12"/>
  <c r="EW21" i="12"/>
  <c r="FG21" i="12" s="1"/>
  <c r="DV21" i="12"/>
  <c r="CZ21" i="12"/>
  <c r="CW21" i="12"/>
  <c r="CT21" i="12"/>
  <c r="CJ21" i="12"/>
  <c r="BP21" i="12"/>
  <c r="BO21" i="12"/>
  <c r="AL21" i="12"/>
  <c r="AH21" i="12"/>
  <c r="T21" i="12"/>
  <c r="EP21" i="12" s="1"/>
  <c r="G21" i="12"/>
  <c r="D21" i="12"/>
  <c r="GV20" i="12"/>
  <c r="FX20" i="12"/>
  <c r="FI20" i="12"/>
  <c r="FG20" i="12"/>
  <c r="EW20" i="12"/>
  <c r="EP20" i="12"/>
  <c r="DV20" i="12"/>
  <c r="CZ20" i="12"/>
  <c r="CW20" i="12"/>
  <c r="CT20" i="12"/>
  <c r="CJ20" i="12"/>
  <c r="BP20" i="12"/>
  <c r="BO20" i="12" s="1"/>
  <c r="AL20" i="12"/>
  <c r="AH20" i="12"/>
  <c r="T20" i="12"/>
  <c r="G20" i="12"/>
  <c r="D20" i="12"/>
  <c r="GV19" i="12"/>
  <c r="GE19" i="12"/>
  <c r="FX19" i="12"/>
  <c r="FI19" i="12"/>
  <c r="FG19" i="12"/>
  <c r="EW19" i="12"/>
  <c r="DV19" i="12"/>
  <c r="CZ19" i="12"/>
  <c r="CW19" i="12"/>
  <c r="CT19" i="12"/>
  <c r="CJ19" i="12"/>
  <c r="BP19" i="12"/>
  <c r="BO19" i="12"/>
  <c r="AL19" i="12"/>
  <c r="AH19" i="12"/>
  <c r="T19" i="12"/>
  <c r="G19" i="12"/>
  <c r="D19" i="12"/>
  <c r="GV18" i="12"/>
  <c r="FX18" i="12"/>
  <c r="FI18" i="12"/>
  <c r="FG18" i="12"/>
  <c r="EW18" i="12"/>
  <c r="DV18" i="12"/>
  <c r="CZ18" i="12"/>
  <c r="CW18" i="12"/>
  <c r="CT18" i="12"/>
  <c r="CJ18" i="12"/>
  <c r="BP18" i="12"/>
  <c r="BO18" i="12" s="1"/>
  <c r="AL18" i="12"/>
  <c r="AH18" i="12"/>
  <c r="T18" i="12"/>
  <c r="EP18" i="12" s="1"/>
  <c r="G18" i="12"/>
  <c r="D18" i="12"/>
  <c r="GV17" i="12"/>
  <c r="GE17" i="12"/>
  <c r="FX17" i="12"/>
  <c r="FI17" i="12"/>
  <c r="EW17" i="12"/>
  <c r="FG17" i="12" s="1"/>
  <c r="EP17" i="12"/>
  <c r="DV17" i="12"/>
  <c r="CZ17" i="12"/>
  <c r="CW17" i="12"/>
  <c r="CT17" i="12"/>
  <c r="CJ17" i="12"/>
  <c r="BP17" i="12"/>
  <c r="BO17" i="12"/>
  <c r="AL17" i="12"/>
  <c r="AH17" i="12"/>
  <c r="T17" i="12"/>
  <c r="G17" i="12"/>
  <c r="D17" i="12"/>
  <c r="GV16" i="12"/>
  <c r="GE16" i="12" s="1"/>
  <c r="FX16" i="12"/>
  <c r="FI16" i="12"/>
  <c r="FG16" i="12"/>
  <c r="EW16" i="12"/>
  <c r="DV16" i="12"/>
  <c r="CZ16" i="12"/>
  <c r="CW16" i="12"/>
  <c r="CT16" i="12"/>
  <c r="CJ16" i="12"/>
  <c r="BP16" i="12"/>
  <c r="BO16" i="12" s="1"/>
  <c r="AL16" i="12"/>
  <c r="AH16" i="12"/>
  <c r="T16" i="12"/>
  <c r="G16" i="12"/>
  <c r="D16" i="12"/>
  <c r="GV15" i="12"/>
  <c r="FX15" i="12"/>
  <c r="FI15" i="12"/>
  <c r="FG15" i="12"/>
  <c r="EW15" i="12"/>
  <c r="DV15" i="12"/>
  <c r="CZ15" i="12"/>
  <c r="CW15" i="12"/>
  <c r="CT15" i="12"/>
  <c r="CJ15" i="12"/>
  <c r="BP15" i="12"/>
  <c r="AL15" i="12"/>
  <c r="AH15" i="12"/>
  <c r="T15" i="12"/>
  <c r="G15" i="12"/>
  <c r="D15" i="12"/>
  <c r="GV14" i="12"/>
  <c r="FX14" i="12"/>
  <c r="FI14" i="12"/>
  <c r="EW14" i="12"/>
  <c r="FG14" i="12" s="1"/>
  <c r="DV14" i="12"/>
  <c r="CZ14" i="12"/>
  <c r="CW14" i="12"/>
  <c r="CT14" i="12"/>
  <c r="CJ14" i="12"/>
  <c r="BP14" i="12"/>
  <c r="BO14" i="12"/>
  <c r="AL14" i="12"/>
  <c r="AH14" i="12"/>
  <c r="T14" i="12"/>
  <c r="EP14" i="12" s="1"/>
  <c r="G14" i="12"/>
  <c r="D14" i="12"/>
  <c r="GV13" i="12"/>
  <c r="GE13" i="12"/>
  <c r="FX13" i="12"/>
  <c r="FI13" i="12"/>
  <c r="EW13" i="12"/>
  <c r="FG13" i="12" s="1"/>
  <c r="EP13" i="12"/>
  <c r="DV13" i="12"/>
  <c r="CZ13" i="12"/>
  <c r="CW13" i="12"/>
  <c r="CT13" i="12"/>
  <c r="CJ13" i="12"/>
  <c r="BP13" i="12"/>
  <c r="BO13" i="12"/>
  <c r="AL13" i="12"/>
  <c r="AH13" i="12"/>
  <c r="T13" i="12"/>
  <c r="G13" i="12"/>
  <c r="D13" i="12"/>
  <c r="GV12" i="12"/>
  <c r="GE12" i="12"/>
  <c r="FX12" i="12"/>
  <c r="FI12" i="12"/>
  <c r="FG12" i="12"/>
  <c r="EW12" i="12"/>
  <c r="DV12" i="12"/>
  <c r="CZ12" i="12"/>
  <c r="CW12" i="12"/>
  <c r="CT12" i="12"/>
  <c r="CJ12" i="12"/>
  <c r="BP12" i="12"/>
  <c r="BO12" i="12" s="1"/>
  <c r="AL12" i="12"/>
  <c r="AH12" i="12"/>
  <c r="T12" i="12"/>
  <c r="G12" i="12"/>
  <c r="D12" i="12"/>
  <c r="GV11" i="12"/>
  <c r="FX11" i="12"/>
  <c r="FI11" i="12"/>
  <c r="FG11" i="12"/>
  <c r="EW11" i="12"/>
  <c r="DV11" i="12"/>
  <c r="CZ11" i="12"/>
  <c r="CW11" i="12"/>
  <c r="CT11" i="12"/>
  <c r="CJ11" i="12"/>
  <c r="BP11" i="12"/>
  <c r="BO11" i="12" s="1"/>
  <c r="AL11" i="12"/>
  <c r="AH11" i="12"/>
  <c r="T11" i="12"/>
  <c r="G11" i="12"/>
  <c r="D11" i="12"/>
  <c r="GV10" i="12"/>
  <c r="FX10" i="12"/>
  <c r="FI10" i="12"/>
  <c r="FG10" i="12"/>
  <c r="EW10" i="12"/>
  <c r="EP10" i="12"/>
  <c r="DV10" i="12"/>
  <c r="CZ10" i="12"/>
  <c r="CW10" i="12"/>
  <c r="CT10" i="12"/>
  <c r="CJ10" i="12"/>
  <c r="BP10" i="12"/>
  <c r="BO10" i="12" s="1"/>
  <c r="AL10" i="12"/>
  <c r="AH10" i="12"/>
  <c r="T10" i="12"/>
  <c r="G10" i="12"/>
  <c r="D10" i="12"/>
  <c r="GV9" i="12"/>
  <c r="FX9" i="12"/>
  <c r="FI9" i="12"/>
  <c r="FG9" i="12"/>
  <c r="EW9" i="12"/>
  <c r="DV9" i="12"/>
  <c r="CZ9" i="12"/>
  <c r="CW9" i="12"/>
  <c r="CT9" i="12"/>
  <c r="CJ9" i="12"/>
  <c r="BP9" i="12"/>
  <c r="BO9" i="12" s="1"/>
  <c r="AL9" i="12"/>
  <c r="AH9" i="12"/>
  <c r="T9" i="12"/>
  <c r="G9" i="12"/>
  <c r="D9" i="12"/>
  <c r="GV8" i="12"/>
  <c r="FX8" i="12"/>
  <c r="FI8" i="12"/>
  <c r="FG8" i="12"/>
  <c r="EW8" i="12"/>
  <c r="DV8" i="12"/>
  <c r="CZ8" i="12"/>
  <c r="CW8" i="12"/>
  <c r="CT8" i="12"/>
  <c r="CJ8" i="12"/>
  <c r="BP8" i="12"/>
  <c r="BO8" i="12" s="1"/>
  <c r="AL8" i="12"/>
  <c r="AH8" i="12"/>
  <c r="T8" i="12"/>
  <c r="G8" i="12"/>
  <c r="D8" i="12"/>
  <c r="GV7" i="12"/>
  <c r="FX7" i="12"/>
  <c r="FI7" i="12"/>
  <c r="FG7" i="12"/>
  <c r="EW7" i="12"/>
  <c r="DV7" i="12"/>
  <c r="CZ7" i="12"/>
  <c r="CW7" i="12"/>
  <c r="CT7" i="12"/>
  <c r="BP7" i="12"/>
  <c r="BO7" i="12"/>
  <c r="AL7" i="12"/>
  <c r="AH7" i="12"/>
  <c r="T7" i="12"/>
  <c r="EP7" i="12" s="1"/>
  <c r="G7" i="12"/>
  <c r="D7" i="12"/>
  <c r="GV6" i="12"/>
  <c r="FX6" i="12"/>
  <c r="FI6" i="12"/>
  <c r="FG6" i="12"/>
  <c r="EW6" i="12"/>
  <c r="DV6" i="12"/>
  <c r="CZ6" i="12"/>
  <c r="CW6" i="12"/>
  <c r="CT6" i="12"/>
  <c r="BP6" i="12"/>
  <c r="BO6" i="12" s="1"/>
  <c r="AL6" i="12"/>
  <c r="AH6" i="12"/>
  <c r="T6" i="12"/>
  <c r="G6" i="12"/>
  <c r="D6" i="12"/>
  <c r="EK59" i="11"/>
  <c r="EE59" i="11"/>
  <c r="EA59" i="11"/>
  <c r="DE59" i="11"/>
  <c r="BV59" i="11"/>
  <c r="BL59" i="11"/>
  <c r="AO59" i="11"/>
  <c r="S59" i="11"/>
  <c r="I59" i="11"/>
  <c r="H59" i="11"/>
  <c r="EK58" i="11"/>
  <c r="EE58" i="11"/>
  <c r="DP58" i="11"/>
  <c r="DH58" i="11"/>
  <c r="BV58" i="11"/>
  <c r="I58" i="11"/>
  <c r="H58" i="11"/>
  <c r="GD57" i="11"/>
  <c r="GC57" i="11"/>
  <c r="GB57" i="11"/>
  <c r="FM57" i="11"/>
  <c r="FL57" i="11"/>
  <c r="FK57" i="11"/>
  <c r="FE57" i="11"/>
  <c r="FC57" i="11"/>
  <c r="EY57" i="11"/>
  <c r="ER57" i="11"/>
  <c r="EO57" i="11"/>
  <c r="EM57" i="11"/>
  <c r="EK57" i="11"/>
  <c r="EJ57" i="11"/>
  <c r="EF57" i="11"/>
  <c r="EE57" i="11"/>
  <c r="EA57" i="11"/>
  <c r="DY57" i="11"/>
  <c r="DX57" i="11"/>
  <c r="DS57" i="11"/>
  <c r="DP57" i="11"/>
  <c r="DN57" i="11"/>
  <c r="DL57" i="11"/>
  <c r="DF57" i="11"/>
  <c r="DE57" i="11"/>
  <c r="CX57" i="11"/>
  <c r="CW57" i="11"/>
  <c r="CV57" i="11"/>
  <c r="CQ57" i="11"/>
  <c r="CP57" i="11"/>
  <c r="CO57" i="11"/>
  <c r="CN57" i="11"/>
  <c r="CH57" i="11"/>
  <c r="CG57" i="11"/>
  <c r="CF57" i="11"/>
  <c r="CE57" i="11"/>
  <c r="CD57" i="11"/>
  <c r="BZ57" i="11"/>
  <c r="BY57" i="11"/>
  <c r="BX57" i="11"/>
  <c r="BW57" i="11"/>
  <c r="BV57" i="11"/>
  <c r="BQ57" i="11"/>
  <c r="BI57" i="11"/>
  <c r="BH57" i="11"/>
  <c r="BG57" i="11"/>
  <c r="BA57" i="11"/>
  <c r="AZ57" i="11"/>
  <c r="AY57" i="11"/>
  <c r="AT57" i="11"/>
  <c r="AS57" i="11"/>
  <c r="AR57" i="11"/>
  <c r="AQ57" i="11"/>
  <c r="AO57" i="11"/>
  <c r="AJ57" i="11"/>
  <c r="AI57" i="11"/>
  <c r="AD57" i="11"/>
  <c r="AC57" i="11"/>
  <c r="AB57" i="11"/>
  <c r="AA57" i="11"/>
  <c r="Z57" i="11"/>
  <c r="V57" i="11"/>
  <c r="S57" i="11"/>
  <c r="R57" i="11"/>
  <c r="L57" i="11"/>
  <c r="K57" i="11"/>
  <c r="J57" i="11"/>
  <c r="C57" i="11"/>
  <c r="GI56" i="11"/>
  <c r="GA56" i="11"/>
  <c r="FZ56" i="11"/>
  <c r="FY56" i="11"/>
  <c r="FW56" i="11"/>
  <c r="FM56" i="11"/>
  <c r="FH56" i="11"/>
  <c r="FF56" i="11"/>
  <c r="FD56" i="11"/>
  <c r="EZ56" i="11"/>
  <c r="EY56" i="11"/>
  <c r="EX56" i="11"/>
  <c r="ER56" i="11"/>
  <c r="EQ56" i="11"/>
  <c r="EK56" i="11"/>
  <c r="EI56" i="11"/>
  <c r="EH56" i="11"/>
  <c r="EG56" i="11"/>
  <c r="EF56" i="11"/>
  <c r="EE56" i="11"/>
  <c r="EB56" i="11"/>
  <c r="DZ56" i="11"/>
  <c r="DY56" i="11"/>
  <c r="DX56" i="11"/>
  <c r="DT56" i="11"/>
  <c r="DS56" i="11"/>
  <c r="DR56" i="11"/>
  <c r="DQ56" i="11"/>
  <c r="DP56" i="11"/>
  <c r="DL56" i="11"/>
  <c r="DJ56" i="11"/>
  <c r="DI56" i="11"/>
  <c r="DH56" i="11"/>
  <c r="DB56" i="11"/>
  <c r="DA56" i="11"/>
  <c r="CU56" i="11"/>
  <c r="CS56" i="11"/>
  <c r="CR56" i="11"/>
  <c r="CM56" i="11"/>
  <c r="CL56" i="11"/>
  <c r="CK56" i="11"/>
  <c r="CE56" i="11"/>
  <c r="CD56" i="11"/>
  <c r="CC56" i="11"/>
  <c r="CB56" i="11"/>
  <c r="BV56" i="11"/>
  <c r="BU56" i="11"/>
  <c r="BT56" i="11"/>
  <c r="BS56" i="11"/>
  <c r="BM56" i="11"/>
  <c r="BL56" i="11"/>
  <c r="BK56" i="11"/>
  <c r="BF56" i="11"/>
  <c r="BE56" i="11"/>
  <c r="BD56" i="11"/>
  <c r="BC56" i="11"/>
  <c r="AW56" i="11"/>
  <c r="AV56" i="11"/>
  <c r="AU56" i="11"/>
  <c r="AO56" i="11"/>
  <c r="AN56" i="11"/>
  <c r="AM56" i="11"/>
  <c r="AG56" i="11"/>
  <c r="AF56" i="11"/>
  <c r="AE56" i="11"/>
  <c r="Y56" i="11"/>
  <c r="X56" i="11"/>
  <c r="W56" i="11"/>
  <c r="S56" i="11"/>
  <c r="Q56" i="11"/>
  <c r="P56" i="11"/>
  <c r="O56" i="11"/>
  <c r="I56" i="11"/>
  <c r="H56" i="11"/>
  <c r="FK53" i="11"/>
  <c r="FJ53" i="11"/>
  <c r="EI53" i="11"/>
  <c r="ER52" i="11"/>
  <c r="DY52" i="11"/>
  <c r="DX52" i="11"/>
  <c r="DP52" i="11"/>
  <c r="DM52" i="11"/>
  <c r="DH52" i="11"/>
  <c r="CK52" i="11"/>
  <c r="BZ52" i="11"/>
  <c r="BL52" i="11"/>
  <c r="BI52" i="11"/>
  <c r="BD52" i="11"/>
  <c r="BD59" i="11" s="1"/>
  <c r="W52" i="11"/>
  <c r="GD51" i="11"/>
  <c r="GC51" i="11"/>
  <c r="FM51" i="11"/>
  <c r="FD51" i="11"/>
  <c r="FD52" i="11" s="1"/>
  <c r="FC51" i="11"/>
  <c r="FC52" i="11" s="1"/>
  <c r="EV51" i="11"/>
  <c r="EU51" i="11"/>
  <c r="EF51" i="11"/>
  <c r="EC51" i="11"/>
  <c r="DT51" i="11"/>
  <c r="DS51" i="11"/>
  <c r="DM51" i="11"/>
  <c r="DL51" i="11"/>
  <c r="DE51" i="11"/>
  <c r="DE52" i="11" s="1"/>
  <c r="CU51" i="11"/>
  <c r="CM51" i="11"/>
  <c r="CM52" i="11" s="1"/>
  <c r="CL51" i="11"/>
  <c r="CF51" i="11"/>
  <c r="CD51" i="11"/>
  <c r="CD52" i="11" s="1"/>
  <c r="BZ51" i="11"/>
  <c r="BU51" i="11"/>
  <c r="BU52" i="11" s="1"/>
  <c r="BQ51" i="11"/>
  <c r="BI51" i="11"/>
  <c r="BF51" i="11"/>
  <c r="BA51" i="11"/>
  <c r="AS51" i="11"/>
  <c r="AR51" i="11"/>
  <c r="AF51" i="11"/>
  <c r="Q51" i="11"/>
  <c r="I51" i="11"/>
  <c r="I52" i="11" s="1"/>
  <c r="H51" i="11"/>
  <c r="H52" i="11" s="1"/>
  <c r="G51" i="11"/>
  <c r="C51" i="11"/>
  <c r="GI50" i="11"/>
  <c r="GD50" i="11"/>
  <c r="GC50" i="11"/>
  <c r="GB50" i="11"/>
  <c r="GA50" i="11"/>
  <c r="FZ50" i="11"/>
  <c r="FZ57" i="11" s="1"/>
  <c r="FY50" i="11"/>
  <c r="FW50" i="11"/>
  <c r="FW57" i="11" s="1"/>
  <c r="FM50" i="11"/>
  <c r="FL50" i="11"/>
  <c r="FK50" i="11"/>
  <c r="FJ50" i="11"/>
  <c r="FH50" i="11"/>
  <c r="FH58" i="11" s="1"/>
  <c r="FF50" i="11"/>
  <c r="FF57" i="11" s="1"/>
  <c r="FE50" i="11"/>
  <c r="FD50" i="11"/>
  <c r="FD57" i="11" s="1"/>
  <c r="FC50" i="11"/>
  <c r="FB50" i="11"/>
  <c r="FB57" i="11" s="1"/>
  <c r="FA50" i="11"/>
  <c r="FA57" i="11" s="1"/>
  <c r="EZ50" i="11"/>
  <c r="EY50" i="11"/>
  <c r="EY58" i="11" s="1"/>
  <c r="EX50" i="11"/>
  <c r="EX58" i="11" s="1"/>
  <c r="EV50" i="11"/>
  <c r="EV57" i="11" s="1"/>
  <c r="EU50" i="11"/>
  <c r="EU57" i="11" s="1"/>
  <c r="ET50" i="11"/>
  <c r="ET57" i="11" s="1"/>
  <c r="ES50" i="11"/>
  <c r="ES57" i="11" s="1"/>
  <c r="ER50" i="11"/>
  <c r="ER58" i="11" s="1"/>
  <c r="EQ50" i="11"/>
  <c r="EQ58" i="11" s="1"/>
  <c r="EO50" i="11"/>
  <c r="EN50" i="11"/>
  <c r="EN57" i="11" s="1"/>
  <c r="EM50" i="11"/>
  <c r="EL50" i="11"/>
  <c r="EL57" i="11" s="1"/>
  <c r="EJ50" i="11"/>
  <c r="EI50" i="11"/>
  <c r="EI57" i="11" s="1"/>
  <c r="EH50" i="11"/>
  <c r="EH57" i="11" s="1"/>
  <c r="EG50" i="11"/>
  <c r="EG58" i="11" s="1"/>
  <c r="EF50" i="11"/>
  <c r="ED50" i="11"/>
  <c r="ED57" i="11" s="1"/>
  <c r="EC50" i="11"/>
  <c r="EC57" i="11" s="1"/>
  <c r="EB50" i="11"/>
  <c r="DZ50" i="11"/>
  <c r="DY50" i="11"/>
  <c r="DY58" i="11" s="1"/>
  <c r="DX50" i="11"/>
  <c r="DX51" i="11" s="1"/>
  <c r="DW50" i="11"/>
  <c r="DV50" i="11" s="1"/>
  <c r="DU50" i="11"/>
  <c r="DU57" i="11" s="1"/>
  <c r="DT50" i="11"/>
  <c r="DT57" i="11" s="1"/>
  <c r="DS50" i="11"/>
  <c r="DR50" i="11"/>
  <c r="DR57" i="11" s="1"/>
  <c r="DQ50" i="11"/>
  <c r="DP50" i="11"/>
  <c r="DP51" i="11" s="1"/>
  <c r="DO50" i="11"/>
  <c r="DO57" i="11" s="1"/>
  <c r="DN50" i="11"/>
  <c r="DM50" i="11"/>
  <c r="DM57" i="11" s="1"/>
  <c r="DL50" i="11"/>
  <c r="DK50" i="11"/>
  <c r="DK57" i="11" s="1"/>
  <c r="DJ50" i="11"/>
  <c r="DJ57" i="11" s="1"/>
  <c r="DI50" i="11"/>
  <c r="DH50" i="11"/>
  <c r="DH51" i="11" s="1"/>
  <c r="DG50" i="11"/>
  <c r="DG57" i="11" s="1"/>
  <c r="DF50" i="11"/>
  <c r="DE50" i="11"/>
  <c r="DD50" i="11"/>
  <c r="DD57" i="11" s="1"/>
  <c r="DC50" i="11"/>
  <c r="DC57" i="11" s="1"/>
  <c r="DB50" i="11"/>
  <c r="DB57" i="11" s="1"/>
  <c r="DA50" i="11"/>
  <c r="CY50" i="11"/>
  <c r="CW50" i="11" s="1"/>
  <c r="CX50" i="11"/>
  <c r="CV50" i="11"/>
  <c r="CU50" i="11"/>
  <c r="CU57" i="11" s="1"/>
  <c r="CS50" i="11"/>
  <c r="CS57" i="11" s="1"/>
  <c r="CR50" i="11"/>
  <c r="CQ50" i="11"/>
  <c r="CP50" i="11"/>
  <c r="CO50" i="11"/>
  <c r="CN50" i="11"/>
  <c r="CM50" i="11"/>
  <c r="CM57" i="11" s="1"/>
  <c r="CL50" i="11"/>
  <c r="CL57" i="11" s="1"/>
  <c r="CK50" i="11"/>
  <c r="CK57" i="11" s="1"/>
  <c r="CJ50" i="11"/>
  <c r="CI50" i="11"/>
  <c r="CI57" i="11" s="1"/>
  <c r="CH50" i="11"/>
  <c r="CG50" i="11"/>
  <c r="CF50" i="11"/>
  <c r="CE50" i="11"/>
  <c r="CD50" i="11"/>
  <c r="CC50" i="11"/>
  <c r="CC57" i="11" s="1"/>
  <c r="CB50" i="11"/>
  <c r="CA50" i="11"/>
  <c r="CA57" i="11" s="1"/>
  <c r="BZ50" i="11"/>
  <c r="BY50" i="11"/>
  <c r="BX50" i="11"/>
  <c r="BW50" i="11"/>
  <c r="BU50" i="11"/>
  <c r="BU57" i="11" s="1"/>
  <c r="BT50" i="11"/>
  <c r="BT57" i="11" s="1"/>
  <c r="BS50" i="11"/>
  <c r="BR50" i="11"/>
  <c r="BQ50" i="11"/>
  <c r="BN50" i="11"/>
  <c r="BN57" i="11" s="1"/>
  <c r="BM50" i="11"/>
  <c r="BM57" i="11" s="1"/>
  <c r="BL50" i="11"/>
  <c r="BL57" i="11" s="1"/>
  <c r="BK50" i="11"/>
  <c r="BJ50" i="11"/>
  <c r="BJ57" i="11" s="1"/>
  <c r="BI50" i="11"/>
  <c r="BH50" i="11"/>
  <c r="BG50" i="11"/>
  <c r="BF50" i="11"/>
  <c r="BF57" i="11" s="1"/>
  <c r="BE50" i="11"/>
  <c r="BE57" i="11" s="1"/>
  <c r="BD50" i="11"/>
  <c r="BD57" i="11" s="1"/>
  <c r="BC50" i="11"/>
  <c r="BB50" i="11"/>
  <c r="BB57" i="11" s="1"/>
  <c r="BA50" i="11"/>
  <c r="AZ50" i="11"/>
  <c r="AY50" i="11"/>
  <c r="AX50" i="11"/>
  <c r="AX57" i="11" s="1"/>
  <c r="AW50" i="11"/>
  <c r="AW57" i="11" s="1"/>
  <c r="AV50" i="11"/>
  <c r="AV57" i="11" s="1"/>
  <c r="AU50" i="11"/>
  <c r="AT50" i="11"/>
  <c r="AS50" i="11"/>
  <c r="AR50" i="11"/>
  <c r="AQ50" i="11"/>
  <c r="AP50" i="11"/>
  <c r="AP57" i="11" s="1"/>
  <c r="AN50" i="11"/>
  <c r="AN57" i="11" s="1"/>
  <c r="AM50" i="11"/>
  <c r="AM57" i="11" s="1"/>
  <c r="AK50" i="11"/>
  <c r="AK57" i="11" s="1"/>
  <c r="AJ50" i="11"/>
  <c r="AI50" i="11"/>
  <c r="AH50" i="11" s="1"/>
  <c r="AG50" i="11"/>
  <c r="AG51" i="11" s="1"/>
  <c r="AF50" i="11"/>
  <c r="AF57" i="11" s="1"/>
  <c r="AE50" i="11"/>
  <c r="AE57" i="11" s="1"/>
  <c r="AD50" i="11"/>
  <c r="AC50" i="11"/>
  <c r="AB50" i="11"/>
  <c r="AA50" i="11"/>
  <c r="Z50" i="11"/>
  <c r="Y50" i="11"/>
  <c r="Y57" i="11" s="1"/>
  <c r="X50" i="11"/>
  <c r="X57" i="11" s="1"/>
  <c r="W50" i="11"/>
  <c r="W57" i="11" s="1"/>
  <c r="V50" i="11"/>
  <c r="U50" i="11"/>
  <c r="R50" i="11"/>
  <c r="Q50" i="11"/>
  <c r="Q57" i="11" s="1"/>
  <c r="P50" i="11"/>
  <c r="P57" i="11" s="1"/>
  <c r="O50" i="11"/>
  <c r="N50" i="11"/>
  <c r="N57" i="11" s="1"/>
  <c r="M50" i="11"/>
  <c r="L50" i="11"/>
  <c r="K50" i="11"/>
  <c r="J50" i="11"/>
  <c r="I50" i="11"/>
  <c r="I57" i="11" s="1"/>
  <c r="H50" i="11"/>
  <c r="H57" i="11" s="1"/>
  <c r="G50" i="11"/>
  <c r="F50" i="11"/>
  <c r="F57" i="11" s="1"/>
  <c r="E50" i="11"/>
  <c r="E57" i="11" s="1"/>
  <c r="C50" i="11"/>
  <c r="GV49" i="11"/>
  <c r="FX49" i="11"/>
  <c r="FI49" i="11"/>
  <c r="FG49" i="11"/>
  <c r="EW49" i="11"/>
  <c r="DV49" i="11"/>
  <c r="CZ49" i="11"/>
  <c r="CW49" i="11"/>
  <c r="CT49" i="11"/>
  <c r="CJ49" i="11"/>
  <c r="BP49" i="11"/>
  <c r="BO49" i="11" s="1"/>
  <c r="AL49" i="11"/>
  <c r="AH49" i="11"/>
  <c r="T49" i="11"/>
  <c r="G49" i="11"/>
  <c r="D49" i="11"/>
  <c r="GV48" i="11"/>
  <c r="GE48" i="11"/>
  <c r="FX48" i="11"/>
  <c r="FI48" i="11"/>
  <c r="FG48" i="11"/>
  <c r="EW48" i="11"/>
  <c r="DV48" i="11"/>
  <c r="CZ48" i="11"/>
  <c r="CW48" i="11"/>
  <c r="CT48" i="11"/>
  <c r="CJ48" i="11"/>
  <c r="BP48" i="11"/>
  <c r="BO48" i="11" s="1"/>
  <c r="AL48" i="11"/>
  <c r="AH48" i="11"/>
  <c r="T48" i="11"/>
  <c r="EP48" i="11" s="1"/>
  <c r="G48" i="11"/>
  <c r="D48" i="11"/>
  <c r="GV47" i="11"/>
  <c r="FX47" i="11"/>
  <c r="FI47" i="11"/>
  <c r="FG47" i="11"/>
  <c r="EW47" i="11"/>
  <c r="DV47" i="11"/>
  <c r="CZ47" i="11"/>
  <c r="CW47" i="11"/>
  <c r="CT47" i="11"/>
  <c r="CJ47" i="11"/>
  <c r="BP47" i="11"/>
  <c r="BO47" i="11" s="1"/>
  <c r="AL47" i="11"/>
  <c r="AH47" i="11"/>
  <c r="T47" i="11"/>
  <c r="EP47" i="11" s="1"/>
  <c r="G47" i="11"/>
  <c r="D47" i="11"/>
  <c r="GV46" i="11"/>
  <c r="FX46" i="11"/>
  <c r="FI46" i="11"/>
  <c r="EW46" i="11"/>
  <c r="FG46" i="11" s="1"/>
  <c r="EP46" i="11"/>
  <c r="DV46" i="11"/>
  <c r="CZ46" i="11"/>
  <c r="CW46" i="11"/>
  <c r="CT46" i="11"/>
  <c r="CJ46" i="11"/>
  <c r="BP46" i="11"/>
  <c r="BO46" i="11"/>
  <c r="AL46" i="11"/>
  <c r="AH46" i="11"/>
  <c r="T46" i="11"/>
  <c r="G46" i="11"/>
  <c r="D46" i="11"/>
  <c r="GV45" i="11"/>
  <c r="FX45" i="11"/>
  <c r="FI45" i="11"/>
  <c r="FG45" i="11"/>
  <c r="EW45" i="11"/>
  <c r="DV45" i="11"/>
  <c r="CZ45" i="11"/>
  <c r="CW45" i="11"/>
  <c r="CT45" i="11"/>
  <c r="CJ45" i="11"/>
  <c r="BP45" i="11"/>
  <c r="AL45" i="11"/>
  <c r="AH45" i="11"/>
  <c r="T45" i="11"/>
  <c r="G45" i="11"/>
  <c r="D45" i="11"/>
  <c r="GV44" i="11"/>
  <c r="GW50" i="11" s="1"/>
  <c r="GE50" i="11" s="1"/>
  <c r="GE44" i="11"/>
  <c r="FX44" i="11"/>
  <c r="FI44" i="11"/>
  <c r="EW44" i="11"/>
  <c r="FG44" i="11" s="1"/>
  <c r="DV44" i="11"/>
  <c r="CZ44" i="11"/>
  <c r="CW44" i="11"/>
  <c r="CT44" i="11"/>
  <c r="CJ44" i="11"/>
  <c r="BP44" i="11"/>
  <c r="BO44" i="11"/>
  <c r="AL44" i="11"/>
  <c r="AH44" i="11"/>
  <c r="T44" i="11"/>
  <c r="EP44" i="11" s="1"/>
  <c r="G44" i="11"/>
  <c r="D44" i="11"/>
  <c r="GV43" i="11"/>
  <c r="FX43" i="11"/>
  <c r="FI43" i="11"/>
  <c r="EW43" i="11"/>
  <c r="FG43" i="11" s="1"/>
  <c r="EP43" i="11"/>
  <c r="DV43" i="11"/>
  <c r="CZ43" i="11"/>
  <c r="CW43" i="11"/>
  <c r="CT43" i="11"/>
  <c r="CJ43" i="11"/>
  <c r="BP43" i="11"/>
  <c r="BO43" i="11"/>
  <c r="AL43" i="11"/>
  <c r="AH43" i="11"/>
  <c r="T43" i="11"/>
  <c r="G43" i="11"/>
  <c r="D43" i="11"/>
  <c r="GV42" i="11"/>
  <c r="FX42" i="11"/>
  <c r="FI42" i="11"/>
  <c r="FG42" i="11"/>
  <c r="EW42" i="11"/>
  <c r="DV42" i="11"/>
  <c r="CZ42" i="11"/>
  <c r="CW42" i="11"/>
  <c r="CT42" i="11"/>
  <c r="CJ42" i="11"/>
  <c r="BP42" i="11"/>
  <c r="BO42" i="11" s="1"/>
  <c r="AL42" i="11"/>
  <c r="AH42" i="11"/>
  <c r="T42" i="11"/>
  <c r="G42" i="11"/>
  <c r="D42" i="11"/>
  <c r="GV41" i="11"/>
  <c r="FX41" i="11"/>
  <c r="FI41" i="11"/>
  <c r="EW41" i="11"/>
  <c r="FG41" i="11" s="1"/>
  <c r="DV41" i="11"/>
  <c r="CZ41" i="11"/>
  <c r="CW41" i="11"/>
  <c r="CT41" i="11"/>
  <c r="CJ41" i="11"/>
  <c r="BP41" i="11"/>
  <c r="BO41" i="11" s="1"/>
  <c r="AL41" i="11"/>
  <c r="AH41" i="11"/>
  <c r="T41" i="11"/>
  <c r="G41" i="11"/>
  <c r="D41" i="11"/>
  <c r="GV40" i="11"/>
  <c r="FX40" i="11"/>
  <c r="FI40" i="11"/>
  <c r="EW40" i="11"/>
  <c r="FG40" i="11" s="1"/>
  <c r="DV40" i="11"/>
  <c r="CZ40" i="11"/>
  <c r="CW40" i="11"/>
  <c r="CT40" i="11"/>
  <c r="CJ40" i="11"/>
  <c r="BP40" i="11"/>
  <c r="BO40" i="11"/>
  <c r="AL40" i="11"/>
  <c r="AH40" i="11"/>
  <c r="AH57" i="11" s="1"/>
  <c r="T40" i="11"/>
  <c r="EP40" i="11" s="1"/>
  <c r="G40" i="11"/>
  <c r="D40" i="11"/>
  <c r="GI39" i="11"/>
  <c r="GD39" i="11"/>
  <c r="GC39" i="11"/>
  <c r="GC56" i="11" s="1"/>
  <c r="GB39" i="11"/>
  <c r="GA39" i="11"/>
  <c r="FZ39" i="11"/>
  <c r="FZ51" i="11" s="1"/>
  <c r="FY39" i="11"/>
  <c r="FY51" i="11" s="1"/>
  <c r="FY52" i="11" s="1"/>
  <c r="FW39" i="11"/>
  <c r="FM39" i="11"/>
  <c r="FM58" i="11" s="1"/>
  <c r="FL39" i="11"/>
  <c r="FL56" i="11" s="1"/>
  <c r="FK39" i="11"/>
  <c r="FK56" i="11" s="1"/>
  <c r="FJ39" i="11"/>
  <c r="FH39" i="11"/>
  <c r="FH51" i="11" s="1"/>
  <c r="FH52" i="11" s="1"/>
  <c r="FF39" i="11"/>
  <c r="FE39" i="11"/>
  <c r="FE56" i="11" s="1"/>
  <c r="FD39" i="11"/>
  <c r="FC39" i="11"/>
  <c r="FC56" i="11" s="1"/>
  <c r="FB39" i="11"/>
  <c r="FB56" i="11" s="1"/>
  <c r="FA39" i="11"/>
  <c r="EZ39" i="11"/>
  <c r="EY39" i="11"/>
  <c r="EY51" i="11" s="1"/>
  <c r="EY52" i="11" s="1"/>
  <c r="EX39" i="11"/>
  <c r="EX51" i="11" s="1"/>
  <c r="EV39" i="11"/>
  <c r="EU39" i="11"/>
  <c r="ET39" i="11"/>
  <c r="ET56" i="11" s="1"/>
  <c r="ES39" i="11"/>
  <c r="ER39" i="11"/>
  <c r="ER51" i="11" s="1"/>
  <c r="ER59" i="11" s="1"/>
  <c r="EQ39" i="11"/>
  <c r="EQ51" i="11" s="1"/>
  <c r="EQ52" i="11" s="1"/>
  <c r="EO39" i="11"/>
  <c r="EO56" i="11" s="1"/>
  <c r="EN39" i="11"/>
  <c r="EM39" i="11"/>
  <c r="EL39" i="11"/>
  <c r="EJ39" i="11"/>
  <c r="EJ56" i="11" s="1"/>
  <c r="EI39" i="11"/>
  <c r="EI51" i="11" s="1"/>
  <c r="EH39" i="11"/>
  <c r="EG39" i="11"/>
  <c r="EG51" i="11" s="1"/>
  <c r="EG52" i="11" s="1"/>
  <c r="EG59" i="11" s="1"/>
  <c r="EF39" i="11"/>
  <c r="ED39" i="11"/>
  <c r="EC39" i="11"/>
  <c r="EB39" i="11"/>
  <c r="EA39" i="11"/>
  <c r="EA56" i="11" s="1"/>
  <c r="DZ39" i="11"/>
  <c r="DY39" i="11"/>
  <c r="DY51" i="11" s="1"/>
  <c r="DY59" i="11" s="1"/>
  <c r="DX39" i="11"/>
  <c r="DW39" i="11"/>
  <c r="DV39" i="11"/>
  <c r="DU39" i="11"/>
  <c r="DU51" i="11" s="1"/>
  <c r="DT39" i="11"/>
  <c r="DS39" i="11"/>
  <c r="DR39" i="11"/>
  <c r="DQ39" i="11"/>
  <c r="DP39" i="11"/>
  <c r="DO39" i="11"/>
  <c r="DN39" i="11"/>
  <c r="DM39" i="11"/>
  <c r="DL39" i="11"/>
  <c r="DK39" i="11"/>
  <c r="DJ39" i="11"/>
  <c r="DI39" i="11"/>
  <c r="DH39" i="11"/>
  <c r="DG39" i="11"/>
  <c r="DF39" i="11"/>
  <c r="DF56" i="11" s="1"/>
  <c r="DE39" i="11"/>
  <c r="DD39" i="11"/>
  <c r="DC39" i="11"/>
  <c r="DB39" i="11"/>
  <c r="DA39" i="11"/>
  <c r="CY39" i="11"/>
  <c r="CX39" i="11"/>
  <c r="CX56" i="11" s="1"/>
  <c r="CW39" i="11"/>
  <c r="CV39" i="11"/>
  <c r="CU39" i="11"/>
  <c r="CS39" i="11"/>
  <c r="CS51" i="11" s="1"/>
  <c r="CR39" i="11"/>
  <c r="CQ39" i="11"/>
  <c r="CP39" i="11"/>
  <c r="CP56" i="11" s="1"/>
  <c r="CO39" i="11"/>
  <c r="CN39" i="11"/>
  <c r="CM39" i="11"/>
  <c r="CL39" i="11"/>
  <c r="CL58" i="11" s="1"/>
  <c r="CK39" i="11"/>
  <c r="CK51" i="11" s="1"/>
  <c r="CI39" i="11"/>
  <c r="CH39" i="11"/>
  <c r="CH56" i="11" s="1"/>
  <c r="CG39" i="11"/>
  <c r="CG56" i="11" s="1"/>
  <c r="CF39" i="11"/>
  <c r="CE39" i="11"/>
  <c r="CE51" i="11" s="1"/>
  <c r="CD39" i="11"/>
  <c r="CC39" i="11"/>
  <c r="CB39" i="11"/>
  <c r="CA39" i="11"/>
  <c r="BZ39" i="11"/>
  <c r="BY39" i="11"/>
  <c r="BY56" i="11" s="1"/>
  <c r="BX39" i="11"/>
  <c r="BX51" i="11" s="1"/>
  <c r="BX52" i="11" s="1"/>
  <c r="BW39" i="11"/>
  <c r="BU39" i="11"/>
  <c r="BT39" i="11"/>
  <c r="BS39" i="11"/>
  <c r="BR39" i="11"/>
  <c r="BQ39" i="11"/>
  <c r="BN39" i="11"/>
  <c r="BN56" i="11" s="1"/>
  <c r="BM39" i="11"/>
  <c r="BL39" i="11"/>
  <c r="BL51" i="11" s="1"/>
  <c r="BK39" i="11"/>
  <c r="BJ39" i="11"/>
  <c r="BI39" i="11"/>
  <c r="BH39" i="11"/>
  <c r="BH51" i="11" s="1"/>
  <c r="BG39" i="11"/>
  <c r="BG56" i="11" s="1"/>
  <c r="BF39" i="11"/>
  <c r="BF58" i="11" s="1"/>
  <c r="BE39" i="11"/>
  <c r="BD39" i="11"/>
  <c r="BD51" i="11" s="1"/>
  <c r="BC39" i="11"/>
  <c r="BB39" i="11"/>
  <c r="BA39" i="11"/>
  <c r="AZ39" i="11"/>
  <c r="AZ51" i="11" s="1"/>
  <c r="AY39" i="11"/>
  <c r="AY56" i="11" s="1"/>
  <c r="AX39" i="11"/>
  <c r="AX56" i="11" s="1"/>
  <c r="AW39" i="11"/>
  <c r="AV39" i="11"/>
  <c r="AV51" i="11" s="1"/>
  <c r="AV52" i="11" s="1"/>
  <c r="AV59" i="11" s="1"/>
  <c r="AU39" i="11"/>
  <c r="AT39" i="11"/>
  <c r="AS39" i="11"/>
  <c r="AS56" i="11" s="1"/>
  <c r="AR39" i="11"/>
  <c r="AQ39" i="11"/>
  <c r="AP39" i="11"/>
  <c r="AO39" i="11"/>
  <c r="AO58" i="11" s="1"/>
  <c r="AN39" i="11"/>
  <c r="AM39" i="11"/>
  <c r="AM51" i="11" s="1"/>
  <c r="AK39" i="11"/>
  <c r="AJ39" i="11"/>
  <c r="AJ51" i="11" s="1"/>
  <c r="AJ52" i="11" s="1"/>
  <c r="AI39" i="11"/>
  <c r="AG39" i="11"/>
  <c r="AF39" i="11"/>
  <c r="AE39" i="11"/>
  <c r="AE51" i="11" s="1"/>
  <c r="AD39" i="11"/>
  <c r="AC39" i="11"/>
  <c r="AB39" i="11"/>
  <c r="AA39" i="11"/>
  <c r="AA51" i="11" s="1"/>
  <c r="Z39" i="11"/>
  <c r="Z51" i="11" s="1"/>
  <c r="Y39" i="11"/>
  <c r="X39" i="11"/>
  <c r="W39" i="11"/>
  <c r="W51" i="11" s="1"/>
  <c r="V39" i="11"/>
  <c r="U39" i="11"/>
  <c r="S39" i="11"/>
  <c r="S58" i="11" s="1"/>
  <c r="R39" i="11"/>
  <c r="R56" i="11" s="1"/>
  <c r="Q39" i="11"/>
  <c r="P39" i="11"/>
  <c r="O39" i="11"/>
  <c r="N39" i="11"/>
  <c r="M39" i="11"/>
  <c r="L39" i="11"/>
  <c r="K39" i="11"/>
  <c r="K51" i="11" s="1"/>
  <c r="J39" i="11"/>
  <c r="J51" i="11" s="1"/>
  <c r="I39" i="11"/>
  <c r="H39" i="11"/>
  <c r="G39" i="11" s="1"/>
  <c r="F39" i="11"/>
  <c r="E39" i="11"/>
  <c r="C39" i="11"/>
  <c r="GV38" i="11"/>
  <c r="FX38" i="11"/>
  <c r="FI38" i="11"/>
  <c r="EW38" i="11"/>
  <c r="FG38" i="11" s="1"/>
  <c r="EP38" i="11"/>
  <c r="DV38" i="11"/>
  <c r="CZ38" i="11"/>
  <c r="CW38" i="11"/>
  <c r="CT38" i="11"/>
  <c r="CJ38" i="11"/>
  <c r="BP38" i="11"/>
  <c r="BO38" i="11"/>
  <c r="AL38" i="11"/>
  <c r="AH38" i="11"/>
  <c r="T38" i="11"/>
  <c r="G38" i="11"/>
  <c r="D38" i="11"/>
  <c r="GV37" i="11"/>
  <c r="FX37" i="11"/>
  <c r="FI37" i="11"/>
  <c r="EW37" i="11"/>
  <c r="FG37" i="11" s="1"/>
  <c r="DV37" i="11"/>
  <c r="CZ37" i="11"/>
  <c r="CW37" i="11"/>
  <c r="CT37" i="11"/>
  <c r="CJ37" i="11"/>
  <c r="BP37" i="11"/>
  <c r="EP37" i="11" s="1"/>
  <c r="BO37" i="11"/>
  <c r="AL37" i="11"/>
  <c r="AH37" i="11"/>
  <c r="T37" i="11"/>
  <c r="G37" i="11"/>
  <c r="D37" i="11"/>
  <c r="GV36" i="11"/>
  <c r="GE36" i="11"/>
  <c r="FX36" i="11"/>
  <c r="FI36" i="11"/>
  <c r="FG36" i="11"/>
  <c r="EW36" i="11"/>
  <c r="DV36" i="11"/>
  <c r="CZ36" i="11"/>
  <c r="CW36" i="11"/>
  <c r="CT36" i="11"/>
  <c r="CJ36" i="11"/>
  <c r="BP36" i="11"/>
  <c r="BO36" i="11" s="1"/>
  <c r="AL36" i="11"/>
  <c r="AH36" i="11"/>
  <c r="T36" i="11"/>
  <c r="EP36" i="11" s="1"/>
  <c r="G36" i="11"/>
  <c r="D36" i="11"/>
  <c r="GV35" i="11"/>
  <c r="FX35" i="11"/>
  <c r="FI35" i="11"/>
  <c r="FG35" i="11"/>
  <c r="EW35" i="11"/>
  <c r="EP35" i="11"/>
  <c r="DV35" i="11"/>
  <c r="CZ35" i="11"/>
  <c r="CW35" i="11"/>
  <c r="CT35" i="11"/>
  <c r="CJ35" i="11"/>
  <c r="BP35" i="11"/>
  <c r="BO35" i="11" s="1"/>
  <c r="AL35" i="11"/>
  <c r="AH35" i="11"/>
  <c r="T35" i="11"/>
  <c r="G35" i="11"/>
  <c r="D35" i="11"/>
  <c r="GV34" i="11"/>
  <c r="FX34" i="11"/>
  <c r="FI34" i="11"/>
  <c r="EW34" i="11"/>
  <c r="FG34" i="11" s="1"/>
  <c r="DV34" i="11"/>
  <c r="CZ34" i="11"/>
  <c r="CW34" i="11"/>
  <c r="CT34" i="11"/>
  <c r="CJ34" i="11"/>
  <c r="BP34" i="11"/>
  <c r="BO34" i="11"/>
  <c r="AL34" i="11"/>
  <c r="AH34" i="11"/>
  <c r="T34" i="11"/>
  <c r="EP34" i="11" s="1"/>
  <c r="G34" i="11"/>
  <c r="D34" i="11"/>
  <c r="GV33" i="11"/>
  <c r="FX33" i="11"/>
  <c r="FI33" i="11"/>
  <c r="FG33" i="11"/>
  <c r="EW33" i="11"/>
  <c r="EP33" i="11"/>
  <c r="DV33" i="11"/>
  <c r="CZ33" i="11"/>
  <c r="CW33" i="11"/>
  <c r="CT33" i="11"/>
  <c r="CJ33" i="11"/>
  <c r="BP33" i="11"/>
  <c r="BO33" i="11" s="1"/>
  <c r="AL33" i="11"/>
  <c r="AH33" i="11"/>
  <c r="T33" i="11"/>
  <c r="G33" i="11"/>
  <c r="D33" i="11"/>
  <c r="GV32" i="11"/>
  <c r="FX32" i="11"/>
  <c r="FI32" i="11"/>
  <c r="FG32" i="11"/>
  <c r="EW32" i="11"/>
  <c r="DV32" i="11"/>
  <c r="CZ32" i="11"/>
  <c r="CW32" i="11"/>
  <c r="CT32" i="11"/>
  <c r="CJ32" i="11"/>
  <c r="BP32" i="11"/>
  <c r="BO32" i="11" s="1"/>
  <c r="AL32" i="11"/>
  <c r="AH32" i="11"/>
  <c r="T32" i="11"/>
  <c r="G32" i="11"/>
  <c r="D32" i="11"/>
  <c r="GV31" i="11"/>
  <c r="GE31" i="11" s="1"/>
  <c r="FX31" i="11"/>
  <c r="FI31" i="11"/>
  <c r="EW31" i="11"/>
  <c r="FG31" i="11" s="1"/>
  <c r="DV31" i="11"/>
  <c r="CZ31" i="11"/>
  <c r="CW31" i="11"/>
  <c r="CT31" i="11"/>
  <c r="CJ31" i="11"/>
  <c r="BP31" i="11"/>
  <c r="BO31" i="11"/>
  <c r="AL31" i="11"/>
  <c r="AH31" i="11"/>
  <c r="T31" i="11"/>
  <c r="EP31" i="11" s="1"/>
  <c r="G31" i="11"/>
  <c r="D31" i="11"/>
  <c r="GV30" i="11"/>
  <c r="GE30" i="11"/>
  <c r="FX30" i="11"/>
  <c r="FI30" i="11"/>
  <c r="EW30" i="11"/>
  <c r="FG30" i="11" s="1"/>
  <c r="EP30" i="11"/>
  <c r="DV30" i="11"/>
  <c r="CZ30" i="11"/>
  <c r="CW30" i="11"/>
  <c r="CT30" i="11"/>
  <c r="CJ30" i="11"/>
  <c r="BP30" i="11"/>
  <c r="BO30" i="11"/>
  <c r="AL30" i="11"/>
  <c r="AH30" i="11"/>
  <c r="T30" i="11"/>
  <c r="G30" i="11"/>
  <c r="D30" i="11"/>
  <c r="GV29" i="11"/>
  <c r="FX29" i="11"/>
  <c r="FI29" i="11"/>
  <c r="FG29" i="11"/>
  <c r="EW29" i="11"/>
  <c r="DV29" i="11"/>
  <c r="CZ29" i="11"/>
  <c r="CW29" i="11"/>
  <c r="CT29" i="11"/>
  <c r="CJ29" i="11"/>
  <c r="BP29" i="11"/>
  <c r="BO29" i="11" s="1"/>
  <c r="AL29" i="11"/>
  <c r="AH29" i="11"/>
  <c r="T29" i="11"/>
  <c r="G29" i="11"/>
  <c r="D29" i="11"/>
  <c r="GV28" i="11"/>
  <c r="FX28" i="11"/>
  <c r="FI28" i="11"/>
  <c r="FG28" i="11"/>
  <c r="EW28" i="11"/>
  <c r="DV28" i="11"/>
  <c r="CZ28" i="11"/>
  <c r="CW28" i="11"/>
  <c r="CT28" i="11"/>
  <c r="CJ28" i="11"/>
  <c r="BP28" i="11"/>
  <c r="BO28" i="11" s="1"/>
  <c r="AL28" i="11"/>
  <c r="AH28" i="11"/>
  <c r="T28" i="11"/>
  <c r="EP28" i="11" s="1"/>
  <c r="G28" i="11"/>
  <c r="D28" i="11"/>
  <c r="GV27" i="11"/>
  <c r="GE27" i="11"/>
  <c r="FX27" i="11"/>
  <c r="FI27" i="11"/>
  <c r="EW27" i="11"/>
  <c r="FG27" i="11" s="1"/>
  <c r="EP27" i="11"/>
  <c r="DV27" i="11"/>
  <c r="CZ27" i="11"/>
  <c r="CW27" i="11"/>
  <c r="CT27" i="11"/>
  <c r="CJ27" i="11"/>
  <c r="BP27" i="11"/>
  <c r="BO27" i="11"/>
  <c r="AL27" i="11"/>
  <c r="AH27" i="11"/>
  <c r="T27" i="11"/>
  <c r="G27" i="11"/>
  <c r="D27" i="11"/>
  <c r="GV26" i="11"/>
  <c r="GE26" i="11" s="1"/>
  <c r="FX26" i="11"/>
  <c r="FI26" i="11"/>
  <c r="FG26" i="11"/>
  <c r="EW26" i="11"/>
  <c r="DV26" i="11"/>
  <c r="CZ26" i="11"/>
  <c r="CW26" i="11"/>
  <c r="CT26" i="11"/>
  <c r="CJ26" i="11"/>
  <c r="BP26" i="11"/>
  <c r="BO26" i="11" s="1"/>
  <c r="AL26" i="11"/>
  <c r="AH26" i="11"/>
  <c r="T26" i="11"/>
  <c r="G26" i="11"/>
  <c r="D26" i="11"/>
  <c r="GV25" i="11"/>
  <c r="FX25" i="11"/>
  <c r="FI25" i="11"/>
  <c r="FG25" i="11"/>
  <c r="EW25" i="11"/>
  <c r="DV25" i="11"/>
  <c r="CZ25" i="11"/>
  <c r="CW25" i="11"/>
  <c r="CT25" i="11"/>
  <c r="CJ25" i="11"/>
  <c r="BP25" i="11"/>
  <c r="BO25" i="11" s="1"/>
  <c r="AL25" i="11"/>
  <c r="AH25" i="11"/>
  <c r="T25" i="11"/>
  <c r="EP25" i="11" s="1"/>
  <c r="G25" i="11"/>
  <c r="D25" i="11"/>
  <c r="GV24" i="11"/>
  <c r="FX24" i="11"/>
  <c r="FI24" i="11"/>
  <c r="EW24" i="11"/>
  <c r="FG24" i="11" s="1"/>
  <c r="EP24" i="11"/>
  <c r="DV24" i="11"/>
  <c r="CZ24" i="11"/>
  <c r="CW24" i="11"/>
  <c r="CT24" i="11"/>
  <c r="CJ24" i="11"/>
  <c r="BP24" i="11"/>
  <c r="BO24" i="11"/>
  <c r="AL24" i="11"/>
  <c r="AH24" i="11"/>
  <c r="T24" i="11"/>
  <c r="G24" i="11"/>
  <c r="D24" i="11"/>
  <c r="GV23" i="11"/>
  <c r="GE23" i="11"/>
  <c r="FX23" i="11"/>
  <c r="FI23" i="11"/>
  <c r="FG23" i="11"/>
  <c r="EW23" i="11"/>
  <c r="DV23" i="11"/>
  <c r="CZ23" i="11"/>
  <c r="CW23" i="11"/>
  <c r="CT23" i="11"/>
  <c r="CJ23" i="11"/>
  <c r="BP23" i="11"/>
  <c r="BO23" i="11" s="1"/>
  <c r="AL23" i="11"/>
  <c r="AH23" i="11"/>
  <c r="T23" i="11"/>
  <c r="EP23" i="11" s="1"/>
  <c r="G23" i="11"/>
  <c r="D23" i="11"/>
  <c r="GV22" i="11"/>
  <c r="FX22" i="11"/>
  <c r="FI22" i="11"/>
  <c r="EW22" i="11"/>
  <c r="FG22" i="11" s="1"/>
  <c r="DV22" i="11"/>
  <c r="CZ22" i="11"/>
  <c r="CW22" i="11"/>
  <c r="CT22" i="11"/>
  <c r="CJ22" i="11"/>
  <c r="BP22" i="11"/>
  <c r="BO22" i="11"/>
  <c r="AL22" i="11"/>
  <c r="AH22" i="11"/>
  <c r="T22" i="11"/>
  <c r="EP22" i="11" s="1"/>
  <c r="G22" i="11"/>
  <c r="D22" i="11"/>
  <c r="GV21" i="11"/>
  <c r="FX21" i="11"/>
  <c r="FI21" i="11"/>
  <c r="EW21" i="11"/>
  <c r="FG21" i="11" s="1"/>
  <c r="EP21" i="11"/>
  <c r="DV21" i="11"/>
  <c r="CZ21" i="11"/>
  <c r="CW21" i="11"/>
  <c r="CT21" i="11"/>
  <c r="CJ21" i="11"/>
  <c r="BP21" i="11"/>
  <c r="BO21" i="11"/>
  <c r="AL21" i="11"/>
  <c r="AH21" i="11"/>
  <c r="T21" i="11"/>
  <c r="G21" i="11"/>
  <c r="D21" i="11"/>
  <c r="GV20" i="11"/>
  <c r="FX20" i="11"/>
  <c r="FI20" i="11"/>
  <c r="EW20" i="11"/>
  <c r="FG20" i="11" s="1"/>
  <c r="DV20" i="11"/>
  <c r="CZ20" i="11"/>
  <c r="CW20" i="11"/>
  <c r="CT20" i="11"/>
  <c r="CJ20" i="11"/>
  <c r="BP20" i="11"/>
  <c r="EP20" i="11" s="1"/>
  <c r="BO20" i="11"/>
  <c r="AL20" i="11"/>
  <c r="AH20" i="11"/>
  <c r="T20" i="11"/>
  <c r="G20" i="11"/>
  <c r="D20" i="11"/>
  <c r="GV19" i="11"/>
  <c r="GE19" i="11"/>
  <c r="FX19" i="11"/>
  <c r="FI19" i="11"/>
  <c r="FG19" i="11"/>
  <c r="EW19" i="11"/>
  <c r="DV19" i="11"/>
  <c r="CZ19" i="11"/>
  <c r="CW19" i="11"/>
  <c r="CT19" i="11"/>
  <c r="CJ19" i="11"/>
  <c r="BP19" i="11"/>
  <c r="BO19" i="11" s="1"/>
  <c r="AL19" i="11"/>
  <c r="AH19" i="11"/>
  <c r="T19" i="11"/>
  <c r="EP19" i="11" s="1"/>
  <c r="G19" i="11"/>
  <c r="D19" i="11"/>
  <c r="GV18" i="11"/>
  <c r="FX18" i="11"/>
  <c r="FI18" i="11"/>
  <c r="FG18" i="11"/>
  <c r="EW18" i="11"/>
  <c r="EP18" i="11"/>
  <c r="DV18" i="11"/>
  <c r="CZ18" i="11"/>
  <c r="CW18" i="11"/>
  <c r="CT18" i="11"/>
  <c r="CJ18" i="11"/>
  <c r="BP18" i="11"/>
  <c r="BO18" i="11" s="1"/>
  <c r="AL18" i="11"/>
  <c r="AH18" i="11"/>
  <c r="T18" i="11"/>
  <c r="G18" i="11"/>
  <c r="D18" i="11"/>
  <c r="GV17" i="11"/>
  <c r="GE17" i="11"/>
  <c r="FX17" i="11"/>
  <c r="FI17" i="11"/>
  <c r="FG17" i="11"/>
  <c r="EW17" i="11"/>
  <c r="DV17" i="11"/>
  <c r="CZ17" i="11"/>
  <c r="CW17" i="11"/>
  <c r="CT17" i="11"/>
  <c r="CJ17" i="11"/>
  <c r="BP17" i="11"/>
  <c r="BO17" i="11" s="1"/>
  <c r="AL17" i="11"/>
  <c r="AH17" i="11"/>
  <c r="T17" i="11"/>
  <c r="G17" i="11"/>
  <c r="D17" i="11"/>
  <c r="GV16" i="11"/>
  <c r="GW39" i="11" s="1"/>
  <c r="GE16" i="11"/>
  <c r="FX16" i="11"/>
  <c r="FI16" i="11"/>
  <c r="FG16" i="11"/>
  <c r="EW16" i="11"/>
  <c r="DV16" i="11"/>
  <c r="CZ16" i="11"/>
  <c r="CW16" i="11"/>
  <c r="CT16" i="11"/>
  <c r="CJ16" i="11"/>
  <c r="BP16" i="11"/>
  <c r="BO16" i="11" s="1"/>
  <c r="AL16" i="11"/>
  <c r="AH16" i="11"/>
  <c r="T16" i="11"/>
  <c r="G16" i="11"/>
  <c r="D16" i="11"/>
  <c r="GV15" i="11"/>
  <c r="FX15" i="11"/>
  <c r="FI15" i="11"/>
  <c r="FG15" i="11"/>
  <c r="EW15" i="11"/>
  <c r="DV15" i="11"/>
  <c r="CZ15" i="11"/>
  <c r="CW15" i="11"/>
  <c r="CT15" i="11"/>
  <c r="CJ15" i="11"/>
  <c r="BP15" i="11"/>
  <c r="BO15" i="11" s="1"/>
  <c r="AL15" i="11"/>
  <c r="AH15" i="11"/>
  <c r="T15" i="11"/>
  <c r="EP15" i="11" s="1"/>
  <c r="G15" i="11"/>
  <c r="D15" i="11"/>
  <c r="GV14" i="11"/>
  <c r="FX14" i="11"/>
  <c r="FI14" i="11"/>
  <c r="FG14" i="11"/>
  <c r="EW14" i="11"/>
  <c r="DV14" i="11"/>
  <c r="CZ14" i="11"/>
  <c r="CW14" i="11"/>
  <c r="CT14" i="11"/>
  <c r="CJ14" i="11"/>
  <c r="BP14" i="11"/>
  <c r="BO14" i="11" s="1"/>
  <c r="AL14" i="11"/>
  <c r="AH14" i="11"/>
  <c r="T14" i="11"/>
  <c r="EP14" i="11" s="1"/>
  <c r="G14" i="11"/>
  <c r="D14" i="11"/>
  <c r="GV13" i="11"/>
  <c r="GE13" i="11"/>
  <c r="FX13" i="11"/>
  <c r="FI13" i="11"/>
  <c r="EW13" i="11"/>
  <c r="FG13" i="11" s="1"/>
  <c r="DV13" i="11"/>
  <c r="CZ13" i="11"/>
  <c r="CW13" i="11"/>
  <c r="CT13" i="11"/>
  <c r="CJ13" i="11"/>
  <c r="BP13" i="11"/>
  <c r="EP13" i="11" s="1"/>
  <c r="BO13" i="11"/>
  <c r="AL13" i="11"/>
  <c r="AH13" i="11"/>
  <c r="T13" i="11"/>
  <c r="G13" i="11"/>
  <c r="D13" i="11"/>
  <c r="GV12" i="11"/>
  <c r="GE12" i="11"/>
  <c r="FX12" i="11"/>
  <c r="FI12" i="11"/>
  <c r="FG12" i="11"/>
  <c r="EW12" i="11"/>
  <c r="DV12" i="11"/>
  <c r="CZ12" i="11"/>
  <c r="CW12" i="11"/>
  <c r="CT12" i="11"/>
  <c r="CJ12" i="11"/>
  <c r="BP12" i="11"/>
  <c r="BO12" i="11" s="1"/>
  <c r="AL12" i="11"/>
  <c r="AH12" i="11"/>
  <c r="T12" i="11"/>
  <c r="EP12" i="11" s="1"/>
  <c r="G12" i="11"/>
  <c r="D12" i="11"/>
  <c r="GV11" i="11"/>
  <c r="FX11" i="11"/>
  <c r="FI11" i="11"/>
  <c r="EW11" i="11"/>
  <c r="FG11" i="11" s="1"/>
  <c r="EP11" i="11"/>
  <c r="DV11" i="11"/>
  <c r="CZ11" i="11"/>
  <c r="CW11" i="11"/>
  <c r="CT11" i="11"/>
  <c r="CJ11" i="11"/>
  <c r="BP11" i="11"/>
  <c r="BO11" i="11"/>
  <c r="AL11" i="11"/>
  <c r="AL39" i="11" s="1"/>
  <c r="AH11" i="11"/>
  <c r="T11" i="11"/>
  <c r="G11" i="11"/>
  <c r="D11" i="11"/>
  <c r="GV10" i="11"/>
  <c r="FX10" i="11"/>
  <c r="FI10" i="11"/>
  <c r="FG10" i="11"/>
  <c r="EW10" i="11"/>
  <c r="DV10" i="11"/>
  <c r="CZ10" i="11"/>
  <c r="CW10" i="11"/>
  <c r="CT10" i="11"/>
  <c r="CJ10" i="11"/>
  <c r="BP10" i="11"/>
  <c r="AL10" i="11"/>
  <c r="AH10" i="11"/>
  <c r="T10" i="11"/>
  <c r="G10" i="11"/>
  <c r="D10" i="11"/>
  <c r="GV9" i="11"/>
  <c r="FX9" i="11"/>
  <c r="FI9" i="11"/>
  <c r="FG9" i="11"/>
  <c r="EW9" i="11"/>
  <c r="DV9" i="11"/>
  <c r="CZ9" i="11"/>
  <c r="CW9" i="11"/>
  <c r="CT9" i="11"/>
  <c r="CJ9" i="11"/>
  <c r="BP9" i="11"/>
  <c r="BO9" i="11" s="1"/>
  <c r="AL9" i="11"/>
  <c r="AH9" i="11"/>
  <c r="T9" i="11"/>
  <c r="EP9" i="11" s="1"/>
  <c r="G9" i="11"/>
  <c r="D9" i="11"/>
  <c r="GV8" i="11"/>
  <c r="FX8" i="11"/>
  <c r="FI8" i="11"/>
  <c r="FG8" i="11"/>
  <c r="EW8" i="11"/>
  <c r="EP8" i="11"/>
  <c r="DV8" i="11"/>
  <c r="CZ8" i="11"/>
  <c r="CW8" i="11"/>
  <c r="CT8" i="11"/>
  <c r="CJ8" i="11"/>
  <c r="BP8" i="11"/>
  <c r="BO8" i="11" s="1"/>
  <c r="AL8" i="11"/>
  <c r="AH8" i="11"/>
  <c r="T8" i="11"/>
  <c r="G8" i="11"/>
  <c r="D8" i="11"/>
  <c r="GV7" i="11"/>
  <c r="FX7" i="11"/>
  <c r="FI7" i="11"/>
  <c r="EW7" i="11"/>
  <c r="FG7" i="11" s="1"/>
  <c r="EP7" i="11"/>
  <c r="DV7" i="11"/>
  <c r="CZ7" i="11"/>
  <c r="CW7" i="11"/>
  <c r="CT7" i="11"/>
  <c r="BP7" i="11"/>
  <c r="BO7" i="11"/>
  <c r="AL7" i="11"/>
  <c r="AH7" i="11"/>
  <c r="T7" i="11"/>
  <c r="G7" i="11"/>
  <c r="D7" i="11"/>
  <c r="GV6" i="11"/>
  <c r="FX6" i="11"/>
  <c r="FI6" i="11"/>
  <c r="FG6" i="11"/>
  <c r="EW6" i="11"/>
  <c r="DV6" i="11"/>
  <c r="CZ6" i="11"/>
  <c r="CW6" i="11"/>
  <c r="CT6" i="11"/>
  <c r="BP6" i="11"/>
  <c r="BO6" i="11"/>
  <c r="AL6" i="11"/>
  <c r="AH6" i="11"/>
  <c r="T6" i="11"/>
  <c r="EP6" i="11" s="1"/>
  <c r="G6" i="11"/>
  <c r="D6" i="11"/>
  <c r="GD59" i="10"/>
  <c r="GC59" i="10"/>
  <c r="GB59" i="10"/>
  <c r="GA59" i="10"/>
  <c r="FZ59" i="10"/>
  <c r="FX59" i="10"/>
  <c r="FN59" i="10"/>
  <c r="FM59" i="10"/>
  <c r="FL59" i="10"/>
  <c r="FK59" i="10"/>
  <c r="FI59" i="10"/>
  <c r="FG59" i="10"/>
  <c r="FF59" i="10"/>
  <c r="FE59" i="10"/>
  <c r="FD59" i="10"/>
  <c r="FC59" i="10"/>
  <c r="FB59" i="10"/>
  <c r="FA59" i="10"/>
  <c r="EZ59" i="10"/>
  <c r="EY59" i="10"/>
  <c r="EW59" i="10"/>
  <c r="EV59" i="10"/>
  <c r="EU59" i="10"/>
  <c r="ET59" i="10"/>
  <c r="ES59" i="10"/>
  <c r="ER59" i="10"/>
  <c r="EP59" i="10"/>
  <c r="EO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V59" i="10"/>
  <c r="DU59" i="10"/>
  <c r="DT59" i="10"/>
  <c r="DS59" i="10"/>
  <c r="DR59" i="10"/>
  <c r="DQ59" i="10"/>
  <c r="DP59" i="10"/>
  <c r="DO59" i="10"/>
  <c r="DN59" i="10"/>
  <c r="DM59" i="10"/>
  <c r="DL59" i="10"/>
  <c r="DK59" i="10"/>
  <c r="DJ59" i="10"/>
  <c r="DI59" i="10"/>
  <c r="DH59" i="10"/>
  <c r="DG59" i="10"/>
  <c r="DF59" i="10"/>
  <c r="DE59" i="10"/>
  <c r="DD59" i="10"/>
  <c r="DC59" i="10"/>
  <c r="DB59" i="10"/>
  <c r="CZ59" i="10"/>
  <c r="CY59" i="10"/>
  <c r="CW59" i="10"/>
  <c r="CV59" i="10"/>
  <c r="CT59" i="10"/>
  <c r="CS59" i="10"/>
  <c r="CR59" i="10"/>
  <c r="CQ59" i="10"/>
  <c r="CP59" i="10"/>
  <c r="CO59" i="10"/>
  <c r="CN59" i="10"/>
  <c r="CM59" i="10"/>
  <c r="CL59" i="10"/>
  <c r="CJ59" i="10"/>
  <c r="CI59" i="10"/>
  <c r="CH59" i="10"/>
  <c r="CG59" i="10"/>
  <c r="CF59" i="10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L59" i="10"/>
  <c r="AK59" i="10"/>
  <c r="AJ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F59" i="10"/>
  <c r="E59" i="10"/>
  <c r="C59" i="10"/>
  <c r="GD58" i="10"/>
  <c r="GC58" i="10"/>
  <c r="GB58" i="10"/>
  <c r="GA58" i="10"/>
  <c r="FZ58" i="10"/>
  <c r="FX58" i="10"/>
  <c r="FN58" i="10"/>
  <c r="FM58" i="10"/>
  <c r="FL58" i="10"/>
  <c r="FK58" i="10"/>
  <c r="FI58" i="10"/>
  <c r="FG58" i="10"/>
  <c r="FF58" i="10"/>
  <c r="FE58" i="10"/>
  <c r="FD58" i="10"/>
  <c r="FC58" i="10"/>
  <c r="FB58" i="10"/>
  <c r="FA58" i="10"/>
  <c r="EZ58" i="10"/>
  <c r="EY58" i="10"/>
  <c r="EX58" i="10"/>
  <c r="EW58" i="10"/>
  <c r="EV58" i="10"/>
  <c r="EU58" i="10"/>
  <c r="ET58" i="10"/>
  <c r="ES58" i="10"/>
  <c r="ER58" i="10"/>
  <c r="EP58" i="10"/>
  <c r="EO58" i="10"/>
  <c r="EL58" i="10"/>
  <c r="EK58" i="10"/>
  <c r="EJ58" i="10"/>
  <c r="EI58" i="10"/>
  <c r="EH58" i="10"/>
  <c r="EG58" i="10"/>
  <c r="EF58" i="10"/>
  <c r="EE58" i="10"/>
  <c r="ED58" i="10"/>
  <c r="EC58" i="10"/>
  <c r="EB58" i="10"/>
  <c r="EA58" i="10"/>
  <c r="DZ58" i="10"/>
  <c r="DY58" i="10"/>
  <c r="DX58" i="10"/>
  <c r="DV58" i="10"/>
  <c r="DU58" i="10"/>
  <c r="DT58" i="10"/>
  <c r="DS58" i="10"/>
  <c r="DR58" i="10"/>
  <c r="DQ58" i="10"/>
  <c r="DP58" i="10"/>
  <c r="DO58" i="10"/>
  <c r="DN58" i="10"/>
  <c r="DM58" i="10"/>
  <c r="DL58" i="10"/>
  <c r="DK58" i="10"/>
  <c r="DJ58" i="10"/>
  <c r="DI58" i="10"/>
  <c r="DH58" i="10"/>
  <c r="DG58" i="10"/>
  <c r="DF58" i="10"/>
  <c r="DE58" i="10"/>
  <c r="DD58" i="10"/>
  <c r="DC58" i="10"/>
  <c r="DB58" i="10"/>
  <c r="CZ58" i="10"/>
  <c r="CY58" i="10"/>
  <c r="CW58" i="10"/>
  <c r="CV58" i="10"/>
  <c r="CT58" i="10"/>
  <c r="CS58" i="10"/>
  <c r="CR58" i="10"/>
  <c r="CQ58" i="10"/>
  <c r="CP58" i="10"/>
  <c r="CO58" i="10"/>
  <c r="CN58" i="10"/>
  <c r="CM58" i="10"/>
  <c r="CL58" i="10"/>
  <c r="CJ58" i="10"/>
  <c r="CI58" i="10"/>
  <c r="CH58" i="10"/>
  <c r="CG58" i="10"/>
  <c r="CF58" i="10"/>
  <c r="CE58" i="10"/>
  <c r="CD58" i="10"/>
  <c r="CC58" i="10"/>
  <c r="CB58" i="10"/>
  <c r="CA58" i="10"/>
  <c r="BZ58" i="10"/>
  <c r="BY58" i="10"/>
  <c r="BX58" i="10"/>
  <c r="BW58" i="10"/>
  <c r="BV58" i="10"/>
  <c r="BU58" i="10"/>
  <c r="BT58" i="10"/>
  <c r="BS58" i="10"/>
  <c r="BR58" i="10"/>
  <c r="BQ58" i="10"/>
  <c r="BO58" i="10"/>
  <c r="BN58" i="10"/>
  <c r="BM58" i="10"/>
  <c r="BL58" i="10"/>
  <c r="BK58" i="10"/>
  <c r="BJ58" i="10"/>
  <c r="BI58" i="10"/>
  <c r="BH58" i="10"/>
  <c r="BG58" i="10"/>
  <c r="BF58" i="10"/>
  <c r="BE58" i="10"/>
  <c r="BD58" i="10"/>
  <c r="BC58" i="10"/>
  <c r="BB58" i="10"/>
  <c r="BA58" i="10"/>
  <c r="AZ58" i="10"/>
  <c r="AY58" i="10"/>
  <c r="AX58" i="10"/>
  <c r="AW58" i="10"/>
  <c r="AV58" i="10"/>
  <c r="AU58" i="10"/>
  <c r="AT58" i="10"/>
  <c r="AS58" i="10"/>
  <c r="AR58" i="10"/>
  <c r="AQ58" i="10"/>
  <c r="AP58" i="10"/>
  <c r="AO58" i="10"/>
  <c r="AN58" i="10"/>
  <c r="AL58" i="10"/>
  <c r="AK58" i="10"/>
  <c r="AJ58" i="10"/>
  <c r="AH58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R58" i="10"/>
  <c r="Q58" i="10"/>
  <c r="P58" i="10"/>
  <c r="O58" i="10"/>
  <c r="N58" i="10"/>
  <c r="M58" i="10"/>
  <c r="L58" i="10"/>
  <c r="K58" i="10"/>
  <c r="J58" i="10"/>
  <c r="I58" i="10"/>
  <c r="H58" i="10"/>
  <c r="F58" i="10"/>
  <c r="E58" i="10"/>
  <c r="C58" i="10"/>
  <c r="GJ57" i="10"/>
  <c r="GD57" i="10"/>
  <c r="GC57" i="10"/>
  <c r="GB57" i="10"/>
  <c r="GA57" i="10"/>
  <c r="FZ57" i="10"/>
  <c r="FX57" i="10"/>
  <c r="FN57" i="10"/>
  <c r="FM57" i="10"/>
  <c r="FL57" i="10"/>
  <c r="FK57" i="10"/>
  <c r="FI57" i="10"/>
  <c r="FG57" i="10"/>
  <c r="FF57" i="10"/>
  <c r="FE57" i="10"/>
  <c r="FD57" i="10"/>
  <c r="FC57" i="10"/>
  <c r="FB57" i="10"/>
  <c r="FA57" i="10"/>
  <c r="EZ57" i="10"/>
  <c r="EY57" i="10"/>
  <c r="EW57" i="10"/>
  <c r="EV57" i="10"/>
  <c r="EU57" i="10"/>
  <c r="ET57" i="10"/>
  <c r="ES57" i="10"/>
  <c r="ER57" i="10"/>
  <c r="EP57" i="10"/>
  <c r="EO57" i="10"/>
  <c r="EN57" i="10"/>
  <c r="EL57" i="10"/>
  <c r="EK57" i="10"/>
  <c r="EJ57" i="10"/>
  <c r="EI57" i="10"/>
  <c r="EH57" i="10"/>
  <c r="EG57" i="10"/>
  <c r="EF57" i="10"/>
  <c r="EE57" i="10"/>
  <c r="ED57" i="10"/>
  <c r="EC57" i="10"/>
  <c r="EB57" i="10"/>
  <c r="EA57" i="10"/>
  <c r="DZ57" i="10"/>
  <c r="DY57" i="10"/>
  <c r="DX57" i="10"/>
  <c r="DV57" i="10"/>
  <c r="DU57" i="10"/>
  <c r="DT57" i="10"/>
  <c r="DS57" i="10"/>
  <c r="DR57" i="10"/>
  <c r="DQ57" i="10"/>
  <c r="DP57" i="10"/>
  <c r="DO57" i="10"/>
  <c r="DN57" i="10"/>
  <c r="DM57" i="10"/>
  <c r="DL57" i="10"/>
  <c r="DK57" i="10"/>
  <c r="DJ57" i="10"/>
  <c r="DI57" i="10"/>
  <c r="DH57" i="10"/>
  <c r="DG57" i="10"/>
  <c r="DF57" i="10"/>
  <c r="DE57" i="10"/>
  <c r="DD57" i="10"/>
  <c r="DC57" i="10"/>
  <c r="DB57" i="10"/>
  <c r="CZ57" i="10"/>
  <c r="CY57" i="10"/>
  <c r="CW57" i="10"/>
  <c r="CV57" i="10"/>
  <c r="CT57" i="10"/>
  <c r="CS57" i="10"/>
  <c r="CR57" i="10"/>
  <c r="CQ57" i="10"/>
  <c r="CP57" i="10"/>
  <c r="CO57" i="10"/>
  <c r="CN57" i="10"/>
  <c r="CM57" i="10"/>
  <c r="CL57" i="10"/>
  <c r="CJ57" i="10"/>
  <c r="CI57" i="10"/>
  <c r="CH57" i="10"/>
  <c r="CG57" i="10"/>
  <c r="CF57" i="10"/>
  <c r="CE57" i="10"/>
  <c r="CD57" i="10"/>
  <c r="CC57" i="10"/>
  <c r="CB57" i="10"/>
  <c r="CA57" i="10"/>
  <c r="BZ57" i="10"/>
  <c r="BY57" i="10"/>
  <c r="BX57" i="10"/>
  <c r="BW57" i="10"/>
  <c r="BV57" i="10"/>
  <c r="BU57" i="10"/>
  <c r="BT57" i="10"/>
  <c r="BS57" i="10"/>
  <c r="BR57" i="10"/>
  <c r="BO57" i="10"/>
  <c r="BN57" i="10"/>
  <c r="BM57" i="10"/>
  <c r="BL57" i="10"/>
  <c r="BK57" i="10"/>
  <c r="BJ57" i="10"/>
  <c r="BI57" i="10"/>
  <c r="BH57" i="10"/>
  <c r="BG57" i="10"/>
  <c r="BF57" i="10"/>
  <c r="BE57" i="10"/>
  <c r="BD57" i="10"/>
  <c r="BC57" i="10"/>
  <c r="BB57" i="10"/>
  <c r="BA57" i="10"/>
  <c r="AZ57" i="10"/>
  <c r="AY57" i="10"/>
  <c r="AX57" i="10"/>
  <c r="AW57" i="10"/>
  <c r="AV57" i="10"/>
  <c r="AU57" i="10"/>
  <c r="AT57" i="10"/>
  <c r="AS57" i="10"/>
  <c r="AR57" i="10"/>
  <c r="AQ57" i="10"/>
  <c r="AP57" i="10"/>
  <c r="AO57" i="10"/>
  <c r="AN57" i="10"/>
  <c r="AL57" i="10"/>
  <c r="AK57" i="10"/>
  <c r="AJ57" i="10"/>
  <c r="AH57" i="10"/>
  <c r="AG57" i="10"/>
  <c r="AF57" i="10"/>
  <c r="AE57" i="10"/>
  <c r="AD57" i="10"/>
  <c r="AC57" i="10"/>
  <c r="AB57" i="10"/>
  <c r="AA57" i="10"/>
  <c r="Z57" i="10"/>
  <c r="Y57" i="10"/>
  <c r="X57" i="10"/>
  <c r="W57" i="10"/>
  <c r="V57" i="10"/>
  <c r="U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F57" i="10"/>
  <c r="E57" i="10"/>
  <c r="C57" i="10"/>
  <c r="GJ56" i="10"/>
  <c r="GE56" i="10"/>
  <c r="GD56" i="10"/>
  <c r="GC56" i="10"/>
  <c r="GB56" i="10"/>
  <c r="GA56" i="10"/>
  <c r="FZ56" i="10"/>
  <c r="FX56" i="10"/>
  <c r="FN56" i="10"/>
  <c r="FM56" i="10"/>
  <c r="FL56" i="10"/>
  <c r="FK56" i="10"/>
  <c r="FI56" i="10"/>
  <c r="FG56" i="10"/>
  <c r="FF56" i="10"/>
  <c r="FE56" i="10"/>
  <c r="FD56" i="10"/>
  <c r="FC56" i="10"/>
  <c r="FB56" i="10"/>
  <c r="FA56" i="10"/>
  <c r="EZ56" i="10"/>
  <c r="EY56" i="10"/>
  <c r="EW56" i="10"/>
  <c r="EV56" i="10"/>
  <c r="EU56" i="10"/>
  <c r="ET56" i="10"/>
  <c r="ES56" i="10"/>
  <c r="ER56" i="10"/>
  <c r="EP56" i="10"/>
  <c r="EO56" i="10"/>
  <c r="EN56" i="10"/>
  <c r="EM56" i="10"/>
  <c r="EL56" i="10"/>
  <c r="EK56" i="10"/>
  <c r="EJ56" i="10"/>
  <c r="EI56" i="10"/>
  <c r="EH56" i="10"/>
  <c r="EG56" i="10"/>
  <c r="EF56" i="10"/>
  <c r="EE56" i="10"/>
  <c r="ED56" i="10"/>
  <c r="EC56" i="10"/>
  <c r="EB56" i="10"/>
  <c r="EA56" i="10"/>
  <c r="DZ56" i="10"/>
  <c r="DY56" i="10"/>
  <c r="DX56" i="10"/>
  <c r="DV56" i="10"/>
  <c r="DU56" i="10"/>
  <c r="DT56" i="10"/>
  <c r="DS56" i="10"/>
  <c r="DR56" i="10"/>
  <c r="DQ56" i="10"/>
  <c r="DP56" i="10"/>
  <c r="DO56" i="10"/>
  <c r="DN56" i="10"/>
  <c r="DM56" i="10"/>
  <c r="DL56" i="10"/>
  <c r="DK56" i="10"/>
  <c r="DJ56" i="10"/>
  <c r="DI56" i="10"/>
  <c r="DH56" i="10"/>
  <c r="DG56" i="10"/>
  <c r="DF56" i="10"/>
  <c r="DE56" i="10"/>
  <c r="DD56" i="10"/>
  <c r="DC56" i="10"/>
  <c r="DB56" i="10"/>
  <c r="CZ56" i="10"/>
  <c r="CY56" i="10"/>
  <c r="CW56" i="10"/>
  <c r="CV56" i="10"/>
  <c r="CT56" i="10"/>
  <c r="CS56" i="10"/>
  <c r="CR56" i="10"/>
  <c r="CQ56" i="10"/>
  <c r="CP56" i="10"/>
  <c r="CO56" i="10"/>
  <c r="CN56" i="10"/>
  <c r="CM56" i="10"/>
  <c r="CL56" i="10"/>
  <c r="CJ56" i="10"/>
  <c r="CI56" i="10"/>
  <c r="CH56" i="10"/>
  <c r="CG56" i="10"/>
  <c r="CF56" i="10"/>
  <c r="CE56" i="10"/>
  <c r="CD56" i="10"/>
  <c r="CC56" i="10"/>
  <c r="CB56" i="10"/>
  <c r="CA56" i="10"/>
  <c r="BZ56" i="10"/>
  <c r="BY56" i="10"/>
  <c r="BX56" i="10"/>
  <c r="BW56" i="10"/>
  <c r="BV56" i="10"/>
  <c r="BU56" i="10"/>
  <c r="BT56" i="10"/>
  <c r="BS56" i="10"/>
  <c r="BR56" i="10"/>
  <c r="BO56" i="10"/>
  <c r="BN56" i="10"/>
  <c r="BM56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O56" i="10"/>
  <c r="AN56" i="10"/>
  <c r="AL56" i="10"/>
  <c r="AK56" i="10"/>
  <c r="AJ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R56" i="10"/>
  <c r="Q56" i="10"/>
  <c r="P56" i="10"/>
  <c r="O56" i="10"/>
  <c r="N56" i="10"/>
  <c r="M56" i="10"/>
  <c r="L56" i="10"/>
  <c r="K56" i="10"/>
  <c r="J56" i="10"/>
  <c r="I56" i="10"/>
  <c r="H56" i="10"/>
  <c r="F56" i="10"/>
  <c r="E56" i="10"/>
  <c r="C56" i="10"/>
  <c r="EJ54" i="10"/>
  <c r="FL53" i="10"/>
  <c r="FL54" i="10" s="1"/>
  <c r="FK53" i="10"/>
  <c r="FK54" i="10" s="1"/>
  <c r="EJ53" i="10"/>
  <c r="GW52" i="10"/>
  <c r="FY52" i="10"/>
  <c r="FJ52" i="10"/>
  <c r="FH52" i="10"/>
  <c r="EX52" i="10"/>
  <c r="DW52" i="10"/>
  <c r="DA52" i="10"/>
  <c r="CX52" i="10"/>
  <c r="CU52" i="10"/>
  <c r="CK52" i="10"/>
  <c r="BQ52" i="10"/>
  <c r="BP52" i="10" s="1"/>
  <c r="AM52" i="10"/>
  <c r="AI52" i="10"/>
  <c r="T52" i="10"/>
  <c r="EQ52" i="10" s="1"/>
  <c r="G52" i="10"/>
  <c r="D52" i="10"/>
  <c r="GW51" i="10"/>
  <c r="GE51" i="10"/>
  <c r="GE52" i="10" s="1"/>
  <c r="FY51" i="10"/>
  <c r="FJ51" i="10"/>
  <c r="FH51" i="10"/>
  <c r="EX51" i="10"/>
  <c r="EM51" i="10"/>
  <c r="DW51" i="10"/>
  <c r="DA51" i="10"/>
  <c r="CX51" i="10"/>
  <c r="CX58" i="10" s="1"/>
  <c r="CU51" i="10"/>
  <c r="CK51" i="10"/>
  <c r="BQ51" i="10"/>
  <c r="BP51" i="10" s="1"/>
  <c r="AM51" i="10"/>
  <c r="AI51" i="10"/>
  <c r="T51" i="10"/>
  <c r="EQ51" i="10" s="1"/>
  <c r="G51" i="10"/>
  <c r="D51" i="10"/>
  <c r="GW50" i="10"/>
  <c r="GJ50" i="10"/>
  <c r="GE50" i="10"/>
  <c r="FY50" i="10"/>
  <c r="FJ50" i="10"/>
  <c r="FH50" i="10"/>
  <c r="EX50" i="10"/>
  <c r="EN50" i="10"/>
  <c r="EM50" i="10"/>
  <c r="EM57" i="10" s="1"/>
  <c r="DW50" i="10"/>
  <c r="DA50" i="10"/>
  <c r="DA57" i="10" s="1"/>
  <c r="CX50" i="10"/>
  <c r="CU50" i="10"/>
  <c r="CK50" i="10"/>
  <c r="BQ50" i="10"/>
  <c r="AM50" i="10"/>
  <c r="AM57" i="10" s="1"/>
  <c r="AI50" i="10"/>
  <c r="T50" i="10"/>
  <c r="G50" i="10"/>
  <c r="G57" i="10" s="1"/>
  <c r="D50" i="10"/>
  <c r="GW49" i="10"/>
  <c r="FY49" i="10"/>
  <c r="FJ49" i="10"/>
  <c r="FH49" i="10"/>
  <c r="EX49" i="10"/>
  <c r="DW49" i="10"/>
  <c r="DA49" i="10"/>
  <c r="CX49" i="10"/>
  <c r="CU49" i="10"/>
  <c r="CK49" i="10"/>
  <c r="BQ49" i="10"/>
  <c r="BP49" i="10" s="1"/>
  <c r="AM49" i="10"/>
  <c r="AI49" i="10"/>
  <c r="T49" i="10"/>
  <c r="EQ49" i="10" s="1"/>
  <c r="G49" i="10"/>
  <c r="D49" i="10"/>
  <c r="GW48" i="10"/>
  <c r="GF48" i="10"/>
  <c r="FY48" i="10"/>
  <c r="FJ48" i="10"/>
  <c r="EX48" i="10"/>
  <c r="FH48" i="10" s="1"/>
  <c r="DW48" i="10"/>
  <c r="DA48" i="10"/>
  <c r="CX48" i="10"/>
  <c r="CU48" i="10"/>
  <c r="CK48" i="10"/>
  <c r="BQ48" i="10"/>
  <c r="BP48" i="10" s="1"/>
  <c r="AM48" i="10"/>
  <c r="AI48" i="10"/>
  <c r="T48" i="10"/>
  <c r="G48" i="10"/>
  <c r="D48" i="10"/>
  <c r="GW47" i="10"/>
  <c r="FY47" i="10"/>
  <c r="FJ47" i="10"/>
  <c r="EX47" i="10"/>
  <c r="FH47" i="10" s="1"/>
  <c r="DW47" i="10"/>
  <c r="DA47" i="10"/>
  <c r="CX47" i="10"/>
  <c r="CU47" i="10"/>
  <c r="CK47" i="10"/>
  <c r="BQ47" i="10"/>
  <c r="BP47" i="10"/>
  <c r="AM47" i="10"/>
  <c r="AI47" i="10"/>
  <c r="T47" i="10"/>
  <c r="EQ47" i="10" s="1"/>
  <c r="G47" i="10"/>
  <c r="D47" i="10"/>
  <c r="GW46" i="10"/>
  <c r="FY46" i="10"/>
  <c r="FJ46" i="10"/>
  <c r="EX46" i="10"/>
  <c r="FH46" i="10" s="1"/>
  <c r="DW46" i="10"/>
  <c r="DA46" i="10"/>
  <c r="CX46" i="10"/>
  <c r="CU46" i="10"/>
  <c r="CK46" i="10"/>
  <c r="BQ46" i="10"/>
  <c r="BP46" i="10"/>
  <c r="AM46" i="10"/>
  <c r="AI46" i="10"/>
  <c r="T46" i="10"/>
  <c r="EQ46" i="10" s="1"/>
  <c r="G46" i="10"/>
  <c r="D46" i="10"/>
  <c r="GW45" i="10"/>
  <c r="FY45" i="10"/>
  <c r="FJ45" i="10"/>
  <c r="EX45" i="10"/>
  <c r="FH45" i="10" s="1"/>
  <c r="EQ45" i="10"/>
  <c r="DW45" i="10"/>
  <c r="DA45" i="10"/>
  <c r="CX45" i="10"/>
  <c r="CU45" i="10"/>
  <c r="CK45" i="10"/>
  <c r="BQ45" i="10"/>
  <c r="BP45" i="10"/>
  <c r="AM45" i="10"/>
  <c r="AI45" i="10"/>
  <c r="T45" i="10"/>
  <c r="G45" i="10"/>
  <c r="D45" i="10"/>
  <c r="GW44" i="10"/>
  <c r="FY44" i="10"/>
  <c r="FJ44" i="10"/>
  <c r="FH44" i="10"/>
  <c r="EX44" i="10"/>
  <c r="DW44" i="10"/>
  <c r="DA44" i="10"/>
  <c r="CX44" i="10"/>
  <c r="CU44" i="10"/>
  <c r="CK44" i="10"/>
  <c r="BQ44" i="10"/>
  <c r="BP44" i="10" s="1"/>
  <c r="AM44" i="10"/>
  <c r="AI44" i="10"/>
  <c r="T44" i="10"/>
  <c r="G44" i="10"/>
  <c r="D44" i="10"/>
  <c r="GW43" i="10"/>
  <c r="FY43" i="10"/>
  <c r="FJ43" i="10"/>
  <c r="FH43" i="10"/>
  <c r="EX43" i="10"/>
  <c r="DW43" i="10"/>
  <c r="DA43" i="10"/>
  <c r="CX43" i="10"/>
  <c r="CU43" i="10"/>
  <c r="CK43" i="10"/>
  <c r="BQ43" i="10"/>
  <c r="BP43" i="10" s="1"/>
  <c r="AM43" i="10"/>
  <c r="AI43" i="10"/>
  <c r="T43" i="10"/>
  <c r="EQ43" i="10" s="1"/>
  <c r="G43" i="10"/>
  <c r="D43" i="10"/>
  <c r="GW42" i="10"/>
  <c r="FY42" i="10"/>
  <c r="FJ42" i="10"/>
  <c r="EX42" i="10"/>
  <c r="FH42" i="10" s="1"/>
  <c r="EQ42" i="10"/>
  <c r="DW42" i="10"/>
  <c r="DA42" i="10"/>
  <c r="CX42" i="10"/>
  <c r="CU42" i="10"/>
  <c r="CK42" i="10"/>
  <c r="BQ42" i="10"/>
  <c r="BP42" i="10"/>
  <c r="AM42" i="10"/>
  <c r="AI42" i="10"/>
  <c r="T42" i="10"/>
  <c r="G42" i="10"/>
  <c r="D42" i="10"/>
  <c r="GW41" i="10"/>
  <c r="FY41" i="10"/>
  <c r="FJ41" i="10"/>
  <c r="EX41" i="10"/>
  <c r="EX57" i="10" s="1"/>
  <c r="DW41" i="10"/>
  <c r="DA41" i="10"/>
  <c r="CX41" i="10"/>
  <c r="CU41" i="10"/>
  <c r="CK41" i="10"/>
  <c r="BQ41" i="10"/>
  <c r="EQ41" i="10" s="1"/>
  <c r="AM41" i="10"/>
  <c r="AI41" i="10"/>
  <c r="T41" i="10"/>
  <c r="G41" i="10"/>
  <c r="D41" i="10"/>
  <c r="GW40" i="10"/>
  <c r="FY40" i="10"/>
  <c r="FJ40" i="10"/>
  <c r="FH40" i="10"/>
  <c r="EX40" i="10"/>
  <c r="DW40" i="10"/>
  <c r="DA40" i="10"/>
  <c r="CX40" i="10"/>
  <c r="CU40" i="10"/>
  <c r="CK40" i="10"/>
  <c r="BQ40" i="10"/>
  <c r="BP40" i="10" s="1"/>
  <c r="AM40" i="10"/>
  <c r="AI40" i="10"/>
  <c r="T40" i="10"/>
  <c r="G40" i="10"/>
  <c r="D40" i="10"/>
  <c r="GW39" i="10"/>
  <c r="GJ39" i="10"/>
  <c r="GE39" i="10"/>
  <c r="FY39" i="10"/>
  <c r="FJ39" i="10"/>
  <c r="FH39" i="10"/>
  <c r="EX39" i="10"/>
  <c r="EN39" i="10"/>
  <c r="EN51" i="10" s="1"/>
  <c r="EM39" i="10"/>
  <c r="DW39" i="10"/>
  <c r="DA39" i="10"/>
  <c r="CX39" i="10"/>
  <c r="CU39" i="10"/>
  <c r="BQ39" i="10"/>
  <c r="BP39" i="10" s="1"/>
  <c r="AP39" i="10"/>
  <c r="AP56" i="10" s="1"/>
  <c r="S39" i="10"/>
  <c r="S56" i="10" s="1"/>
  <c r="G39" i="10"/>
  <c r="D39" i="10"/>
  <c r="D58" i="10" s="1"/>
  <c r="GW38" i="10"/>
  <c r="FY38" i="10"/>
  <c r="FJ38" i="10"/>
  <c r="FH38" i="10"/>
  <c r="EX38" i="10"/>
  <c r="DW38" i="10"/>
  <c r="DA38" i="10"/>
  <c r="CX38" i="10"/>
  <c r="CU38" i="10"/>
  <c r="CK38" i="10"/>
  <c r="BQ38" i="10"/>
  <c r="BP38" i="10" s="1"/>
  <c r="AM38" i="10"/>
  <c r="AI38" i="10"/>
  <c r="T38" i="10"/>
  <c r="G38" i="10"/>
  <c r="D38" i="10"/>
  <c r="GW37" i="10"/>
  <c r="FY37" i="10"/>
  <c r="FJ37" i="10"/>
  <c r="EX37" i="10"/>
  <c r="FH37" i="10" s="1"/>
  <c r="EQ37" i="10"/>
  <c r="DW37" i="10"/>
  <c r="DA37" i="10"/>
  <c r="CX37" i="10"/>
  <c r="CU37" i="10"/>
  <c r="CK37" i="10"/>
  <c r="BQ37" i="10"/>
  <c r="BP37" i="10"/>
  <c r="AM37" i="10"/>
  <c r="AI37" i="10"/>
  <c r="T37" i="10"/>
  <c r="G37" i="10"/>
  <c r="D37" i="10"/>
  <c r="GW36" i="10"/>
  <c r="GF36" i="10"/>
  <c r="FY36" i="10"/>
  <c r="FJ36" i="10"/>
  <c r="EX36" i="10"/>
  <c r="FH36" i="10" s="1"/>
  <c r="DW36" i="10"/>
  <c r="DA36" i="10"/>
  <c r="CX36" i="10"/>
  <c r="CU36" i="10"/>
  <c r="CK36" i="10"/>
  <c r="BQ36" i="10"/>
  <c r="BP36" i="10"/>
  <c r="AM36" i="10"/>
  <c r="AI36" i="10"/>
  <c r="T36" i="10"/>
  <c r="EQ36" i="10" s="1"/>
  <c r="G36" i="10"/>
  <c r="D36" i="10"/>
  <c r="GW35" i="10"/>
  <c r="FY35" i="10"/>
  <c r="FJ35" i="10"/>
  <c r="EX35" i="10"/>
  <c r="FH35" i="10" s="1"/>
  <c r="EQ35" i="10"/>
  <c r="DW35" i="10"/>
  <c r="DA35" i="10"/>
  <c r="CX35" i="10"/>
  <c r="CU35" i="10"/>
  <c r="CK35" i="10"/>
  <c r="BQ35" i="10"/>
  <c r="BP35" i="10"/>
  <c r="AM35" i="10"/>
  <c r="AI35" i="10"/>
  <c r="T35" i="10"/>
  <c r="G35" i="10"/>
  <c r="D35" i="10"/>
  <c r="GW34" i="10"/>
  <c r="FY34" i="10"/>
  <c r="FJ34" i="10"/>
  <c r="EX34" i="10"/>
  <c r="FH34" i="10" s="1"/>
  <c r="DW34" i="10"/>
  <c r="DA34" i="10"/>
  <c r="CX34" i="10"/>
  <c r="CU34" i="10"/>
  <c r="CK34" i="10"/>
  <c r="BQ34" i="10"/>
  <c r="EQ34" i="10" s="1"/>
  <c r="BP34" i="10"/>
  <c r="AM34" i="10"/>
  <c r="AI34" i="10"/>
  <c r="T34" i="10"/>
  <c r="G34" i="10"/>
  <c r="D34" i="10"/>
  <c r="GW33" i="10"/>
  <c r="FY33" i="10"/>
  <c r="FJ33" i="10"/>
  <c r="FH33" i="10"/>
  <c r="EX33" i="10"/>
  <c r="DW33" i="10"/>
  <c r="DA33" i="10"/>
  <c r="CX33" i="10"/>
  <c r="CU33" i="10"/>
  <c r="CK33" i="10"/>
  <c r="BQ33" i="10"/>
  <c r="BP33" i="10" s="1"/>
  <c r="AM33" i="10"/>
  <c r="AI33" i="10"/>
  <c r="T33" i="10"/>
  <c r="G33" i="10"/>
  <c r="D33" i="10"/>
  <c r="GW32" i="10"/>
  <c r="FY32" i="10"/>
  <c r="FJ32" i="10"/>
  <c r="EX32" i="10"/>
  <c r="FH32" i="10" s="1"/>
  <c r="DW32" i="10"/>
  <c r="DA32" i="10"/>
  <c r="CX32" i="10"/>
  <c r="CU32" i="10"/>
  <c r="CK32" i="10"/>
  <c r="BQ32" i="10"/>
  <c r="BP32" i="10"/>
  <c r="AM32" i="10"/>
  <c r="AI32" i="10"/>
  <c r="T32" i="10"/>
  <c r="EQ32" i="10" s="1"/>
  <c r="G32" i="10"/>
  <c r="D32" i="10"/>
  <c r="GW31" i="10"/>
  <c r="GF31" i="10" s="1"/>
  <c r="FY31" i="10"/>
  <c r="FJ31" i="10"/>
  <c r="EX31" i="10"/>
  <c r="FH31" i="10" s="1"/>
  <c r="EQ31" i="10"/>
  <c r="DW31" i="10"/>
  <c r="DA31" i="10"/>
  <c r="CX31" i="10"/>
  <c r="CU31" i="10"/>
  <c r="CK31" i="10"/>
  <c r="BQ31" i="10"/>
  <c r="BP31" i="10"/>
  <c r="AM31" i="10"/>
  <c r="AI31" i="10"/>
  <c r="T31" i="10"/>
  <c r="G31" i="10"/>
  <c r="D31" i="10"/>
  <c r="GW30" i="10"/>
  <c r="GF30" i="10"/>
  <c r="FY30" i="10"/>
  <c r="FJ30" i="10"/>
  <c r="FH30" i="10"/>
  <c r="EX30" i="10"/>
  <c r="DW30" i="10"/>
  <c r="DA30" i="10"/>
  <c r="CX30" i="10"/>
  <c r="CU30" i="10"/>
  <c r="CK30" i="10"/>
  <c r="BQ30" i="10"/>
  <c r="BP30" i="10"/>
  <c r="AM30" i="10"/>
  <c r="AI30" i="10"/>
  <c r="T30" i="10"/>
  <c r="EQ30" i="10" s="1"/>
  <c r="G30" i="10"/>
  <c r="D30" i="10"/>
  <c r="GW29" i="10"/>
  <c r="FY29" i="10"/>
  <c r="FJ29" i="10"/>
  <c r="EX29" i="10"/>
  <c r="FH29" i="10" s="1"/>
  <c r="DW29" i="10"/>
  <c r="DA29" i="10"/>
  <c r="CX29" i="10"/>
  <c r="CU29" i="10"/>
  <c r="CK29" i="10"/>
  <c r="BQ29" i="10"/>
  <c r="BP29" i="10"/>
  <c r="AM29" i="10"/>
  <c r="AI29" i="10"/>
  <c r="T29" i="10"/>
  <c r="EQ29" i="10" s="1"/>
  <c r="G29" i="10"/>
  <c r="D29" i="10"/>
  <c r="GW28" i="10"/>
  <c r="FY28" i="10"/>
  <c r="FJ28" i="10"/>
  <c r="EX28" i="10"/>
  <c r="FH28" i="10" s="1"/>
  <c r="DW28" i="10"/>
  <c r="DA28" i="10"/>
  <c r="CX28" i="10"/>
  <c r="CU28" i="10"/>
  <c r="CK28" i="10"/>
  <c r="BQ28" i="10"/>
  <c r="BP28" i="10"/>
  <c r="AM28" i="10"/>
  <c r="AI28" i="10"/>
  <c r="T28" i="10"/>
  <c r="EQ28" i="10" s="1"/>
  <c r="G28" i="10"/>
  <c r="D28" i="10"/>
  <c r="GW27" i="10"/>
  <c r="GF27" i="10" s="1"/>
  <c r="FY27" i="10"/>
  <c r="FJ27" i="10"/>
  <c r="EX27" i="10"/>
  <c r="FH27" i="10" s="1"/>
  <c r="EQ27" i="10"/>
  <c r="DW27" i="10"/>
  <c r="DA27" i="10"/>
  <c r="CX27" i="10"/>
  <c r="CU27" i="10"/>
  <c r="CK27" i="10"/>
  <c r="BQ27" i="10"/>
  <c r="BP27" i="10"/>
  <c r="AM27" i="10"/>
  <c r="AI27" i="10"/>
  <c r="T27" i="10"/>
  <c r="G27" i="10"/>
  <c r="D27" i="10"/>
  <c r="GW26" i="10"/>
  <c r="GF26" i="10"/>
  <c r="FY26" i="10"/>
  <c r="FJ26" i="10"/>
  <c r="EX26" i="10"/>
  <c r="FH26" i="10" s="1"/>
  <c r="DW26" i="10"/>
  <c r="DA26" i="10"/>
  <c r="CX26" i="10"/>
  <c r="CU26" i="10"/>
  <c r="CK26" i="10"/>
  <c r="BQ26" i="10"/>
  <c r="BP26" i="10"/>
  <c r="AM26" i="10"/>
  <c r="AI26" i="10"/>
  <c r="T26" i="10"/>
  <c r="EQ26" i="10" s="1"/>
  <c r="G26" i="10"/>
  <c r="D26" i="10"/>
  <c r="GW25" i="10"/>
  <c r="FY25" i="10"/>
  <c r="FJ25" i="10"/>
  <c r="EX25" i="10"/>
  <c r="FH25" i="10" s="1"/>
  <c r="DW25" i="10"/>
  <c r="DA25" i="10"/>
  <c r="CX25" i="10"/>
  <c r="CU25" i="10"/>
  <c r="CK25" i="10"/>
  <c r="BQ25" i="10"/>
  <c r="BP25" i="10"/>
  <c r="AM25" i="10"/>
  <c r="AI25" i="10"/>
  <c r="T25" i="10"/>
  <c r="EQ25" i="10" s="1"/>
  <c r="G25" i="10"/>
  <c r="D25" i="10"/>
  <c r="GW24" i="10"/>
  <c r="FY24" i="10"/>
  <c r="FJ24" i="10"/>
  <c r="EX24" i="10"/>
  <c r="FH24" i="10" s="1"/>
  <c r="EQ24" i="10"/>
  <c r="DW24" i="10"/>
  <c r="DA24" i="10"/>
  <c r="CX24" i="10"/>
  <c r="CU24" i="10"/>
  <c r="CK24" i="10"/>
  <c r="BQ24" i="10"/>
  <c r="BP24" i="10"/>
  <c r="AM24" i="10"/>
  <c r="AI24" i="10"/>
  <c r="T24" i="10"/>
  <c r="G24" i="10"/>
  <c r="D24" i="10"/>
  <c r="GW23" i="10"/>
  <c r="GF23" i="10"/>
  <c r="FY23" i="10"/>
  <c r="FJ23" i="10"/>
  <c r="FH23" i="10"/>
  <c r="EX23" i="10"/>
  <c r="DW23" i="10"/>
  <c r="DA23" i="10"/>
  <c r="CX23" i="10"/>
  <c r="CU23" i="10"/>
  <c r="CK23" i="10"/>
  <c r="BQ23" i="10"/>
  <c r="BP23" i="10" s="1"/>
  <c r="AM23" i="10"/>
  <c r="AI23" i="10"/>
  <c r="T23" i="10"/>
  <c r="EQ23" i="10" s="1"/>
  <c r="G23" i="10"/>
  <c r="D23" i="10"/>
  <c r="GW22" i="10"/>
  <c r="FY22" i="10"/>
  <c r="FJ22" i="10"/>
  <c r="FH22" i="10"/>
  <c r="EX22" i="10"/>
  <c r="EQ22" i="10"/>
  <c r="DW22" i="10"/>
  <c r="DA22" i="10"/>
  <c r="CX22" i="10"/>
  <c r="CU22" i="10"/>
  <c r="CK22" i="10"/>
  <c r="BQ22" i="10"/>
  <c r="BP22" i="10" s="1"/>
  <c r="AM22" i="10"/>
  <c r="AI22" i="10"/>
  <c r="T22" i="10"/>
  <c r="G22" i="10"/>
  <c r="D22" i="10"/>
  <c r="GW21" i="10"/>
  <c r="FY21" i="10"/>
  <c r="FJ21" i="10"/>
  <c r="EX21" i="10"/>
  <c r="FH21" i="10" s="1"/>
  <c r="DW21" i="10"/>
  <c r="DA21" i="10"/>
  <c r="CX21" i="10"/>
  <c r="CU21" i="10"/>
  <c r="CK21" i="10"/>
  <c r="BQ21" i="10"/>
  <c r="EQ21" i="10" s="1"/>
  <c r="BP21" i="10"/>
  <c r="AM21" i="10"/>
  <c r="AI21" i="10"/>
  <c r="T21" i="10"/>
  <c r="G21" i="10"/>
  <c r="D21" i="10"/>
  <c r="GW20" i="10"/>
  <c r="FY20" i="10"/>
  <c r="FJ20" i="10"/>
  <c r="FH20" i="10"/>
  <c r="EX20" i="10"/>
  <c r="DW20" i="10"/>
  <c r="DA20" i="10"/>
  <c r="CX20" i="10"/>
  <c r="CU20" i="10"/>
  <c r="CK20" i="10"/>
  <c r="BQ20" i="10"/>
  <c r="AM20" i="10"/>
  <c r="AI20" i="10"/>
  <c r="T20" i="10"/>
  <c r="G20" i="10"/>
  <c r="D20" i="10"/>
  <c r="GW19" i="10"/>
  <c r="GF19" i="10"/>
  <c r="FY19" i="10"/>
  <c r="FJ19" i="10"/>
  <c r="EX19" i="10"/>
  <c r="FH19" i="10" s="1"/>
  <c r="DW19" i="10"/>
  <c r="DA19" i="10"/>
  <c r="CX19" i="10"/>
  <c r="CU19" i="10"/>
  <c r="CK19" i="10"/>
  <c r="BQ19" i="10"/>
  <c r="BP19" i="10"/>
  <c r="AM19" i="10"/>
  <c r="AI19" i="10"/>
  <c r="T19" i="10"/>
  <c r="EQ19" i="10" s="1"/>
  <c r="G19" i="10"/>
  <c r="D19" i="10"/>
  <c r="GW18" i="10"/>
  <c r="FY18" i="10"/>
  <c r="FJ18" i="10"/>
  <c r="EX18" i="10"/>
  <c r="FH18" i="10" s="1"/>
  <c r="EQ18" i="10"/>
  <c r="DW18" i="10"/>
  <c r="DA18" i="10"/>
  <c r="CX18" i="10"/>
  <c r="CU18" i="10"/>
  <c r="CK18" i="10"/>
  <c r="BQ18" i="10"/>
  <c r="BP18" i="10"/>
  <c r="AM18" i="10"/>
  <c r="AI18" i="10"/>
  <c r="T18" i="10"/>
  <c r="G18" i="10"/>
  <c r="D18" i="10"/>
  <c r="GW17" i="10"/>
  <c r="GF17" i="10" s="1"/>
  <c r="FY17" i="10"/>
  <c r="FJ17" i="10"/>
  <c r="FH17" i="10"/>
  <c r="EX17" i="10"/>
  <c r="DW17" i="10"/>
  <c r="DA17" i="10"/>
  <c r="CX17" i="10"/>
  <c r="CU17" i="10"/>
  <c r="CK17" i="10"/>
  <c r="BQ17" i="10"/>
  <c r="BP17" i="10" s="1"/>
  <c r="AM17" i="10"/>
  <c r="AI17" i="10"/>
  <c r="T17" i="10"/>
  <c r="G17" i="10"/>
  <c r="D17" i="10"/>
  <c r="GW16" i="10"/>
  <c r="GF16" i="10"/>
  <c r="FY16" i="10"/>
  <c r="FJ16" i="10"/>
  <c r="EX16" i="10"/>
  <c r="FH16" i="10" s="1"/>
  <c r="DW16" i="10"/>
  <c r="DA16" i="10"/>
  <c r="CX16" i="10"/>
  <c r="CU16" i="10"/>
  <c r="CK16" i="10"/>
  <c r="BQ16" i="10"/>
  <c r="BP16" i="10"/>
  <c r="AM16" i="10"/>
  <c r="AI16" i="10"/>
  <c r="T16" i="10"/>
  <c r="EQ16" i="10" s="1"/>
  <c r="G16" i="10"/>
  <c r="D16" i="10"/>
  <c r="GW15" i="10"/>
  <c r="FY15" i="10"/>
  <c r="FJ15" i="10"/>
  <c r="EX15" i="10"/>
  <c r="FH15" i="10" s="1"/>
  <c r="EQ15" i="10"/>
  <c r="DW15" i="10"/>
  <c r="DA15" i="10"/>
  <c r="CX15" i="10"/>
  <c r="CU15" i="10"/>
  <c r="CK15" i="10"/>
  <c r="BQ15" i="10"/>
  <c r="BP15" i="10"/>
  <c r="AM15" i="10"/>
  <c r="AI15" i="10"/>
  <c r="T15" i="10"/>
  <c r="G15" i="10"/>
  <c r="D15" i="10"/>
  <c r="GW14" i="10"/>
  <c r="FY14" i="10"/>
  <c r="FJ14" i="10"/>
  <c r="FH14" i="10"/>
  <c r="EX14" i="10"/>
  <c r="DW14" i="10"/>
  <c r="DA14" i="10"/>
  <c r="CX14" i="10"/>
  <c r="CU14" i="10"/>
  <c r="CK14" i="10"/>
  <c r="BQ14" i="10"/>
  <c r="AM14" i="10"/>
  <c r="AI14" i="10"/>
  <c r="T14" i="10"/>
  <c r="G14" i="10"/>
  <c r="D14" i="10"/>
  <c r="GW13" i="10"/>
  <c r="GF13" i="10" s="1"/>
  <c r="FY13" i="10"/>
  <c r="FJ13" i="10"/>
  <c r="FH13" i="10"/>
  <c r="EX13" i="10"/>
  <c r="DW13" i="10"/>
  <c r="DA13" i="10"/>
  <c r="CX13" i="10"/>
  <c r="CU13" i="10"/>
  <c r="CK13" i="10"/>
  <c r="BQ13" i="10"/>
  <c r="BP13" i="10" s="1"/>
  <c r="AM13" i="10"/>
  <c r="AI13" i="10"/>
  <c r="T13" i="10"/>
  <c r="G13" i="10"/>
  <c r="D13" i="10"/>
  <c r="GW12" i="10"/>
  <c r="GF12" i="10" s="1"/>
  <c r="FY12" i="10"/>
  <c r="FJ12" i="10"/>
  <c r="EX12" i="10"/>
  <c r="FH12" i="10" s="1"/>
  <c r="DW12" i="10"/>
  <c r="DA12" i="10"/>
  <c r="CX12" i="10"/>
  <c r="CU12" i="10"/>
  <c r="CK12" i="10"/>
  <c r="BQ12" i="10"/>
  <c r="BP12" i="10"/>
  <c r="AM12" i="10"/>
  <c r="AI12" i="10"/>
  <c r="AI39" i="10" s="1"/>
  <c r="T12" i="10"/>
  <c r="EQ12" i="10" s="1"/>
  <c r="G12" i="10"/>
  <c r="D12" i="10"/>
  <c r="GW11" i="10"/>
  <c r="FY11" i="10"/>
  <c r="FJ11" i="10"/>
  <c r="EX11" i="10"/>
  <c r="FH11" i="10" s="1"/>
  <c r="EQ11" i="10"/>
  <c r="DW11" i="10"/>
  <c r="DW56" i="10" s="1"/>
  <c r="DA11" i="10"/>
  <c r="CX11" i="10"/>
  <c r="CU11" i="10"/>
  <c r="CK11" i="10"/>
  <c r="BQ11" i="10"/>
  <c r="BP11" i="10"/>
  <c r="AM11" i="10"/>
  <c r="AI11" i="10"/>
  <c r="T11" i="10"/>
  <c r="G11" i="10"/>
  <c r="D11" i="10"/>
  <c r="GW10" i="10"/>
  <c r="FY10" i="10"/>
  <c r="FJ10" i="10"/>
  <c r="FH10" i="10"/>
  <c r="EX10" i="10"/>
  <c r="DW10" i="10"/>
  <c r="DA10" i="10"/>
  <c r="CX10" i="10"/>
  <c r="CU10" i="10"/>
  <c r="CK10" i="10"/>
  <c r="BQ10" i="10"/>
  <c r="BQ56" i="10" s="1"/>
  <c r="AM10" i="10"/>
  <c r="AI10" i="10"/>
  <c r="T10" i="10"/>
  <c r="G10" i="10"/>
  <c r="D10" i="10"/>
  <c r="GW9" i="10"/>
  <c r="FY9" i="10"/>
  <c r="FJ9" i="10"/>
  <c r="EX9" i="10"/>
  <c r="FH9" i="10" s="1"/>
  <c r="DW9" i="10"/>
  <c r="DA9" i="10"/>
  <c r="CX9" i="10"/>
  <c r="CU9" i="10"/>
  <c r="CK9" i="10"/>
  <c r="BQ9" i="10"/>
  <c r="BP9" i="10"/>
  <c r="AM9" i="10"/>
  <c r="AI9" i="10"/>
  <c r="T9" i="10"/>
  <c r="EQ9" i="10" s="1"/>
  <c r="G9" i="10"/>
  <c r="D9" i="10"/>
  <c r="GW8" i="10"/>
  <c r="FY8" i="10"/>
  <c r="FJ8" i="10"/>
  <c r="EX8" i="10"/>
  <c r="FH8" i="10" s="1"/>
  <c r="DW8" i="10"/>
  <c r="DA8" i="10"/>
  <c r="CX8" i="10"/>
  <c r="CU8" i="10"/>
  <c r="CK8" i="10"/>
  <c r="BQ8" i="10"/>
  <c r="BP8" i="10"/>
  <c r="AM8" i="10"/>
  <c r="AI8" i="10"/>
  <c r="T8" i="10"/>
  <c r="G8" i="10"/>
  <c r="D8" i="10"/>
  <c r="GW7" i="10"/>
  <c r="FY7" i="10"/>
  <c r="FJ7" i="10"/>
  <c r="EX7" i="10"/>
  <c r="FH7" i="10" s="1"/>
  <c r="EQ7" i="10"/>
  <c r="DW7" i="10"/>
  <c r="DW59" i="10" s="1"/>
  <c r="DA7" i="10"/>
  <c r="CX7" i="10"/>
  <c r="CU7" i="10"/>
  <c r="CK7" i="10"/>
  <c r="BQ7" i="10"/>
  <c r="BP7" i="10"/>
  <c r="AM7" i="10"/>
  <c r="AM59" i="10" s="1"/>
  <c r="AI7" i="10"/>
  <c r="AI59" i="10" s="1"/>
  <c r="T7" i="10"/>
  <c r="G7" i="10"/>
  <c r="D7" i="10"/>
  <c r="GW6" i="10"/>
  <c r="FY6" i="10"/>
  <c r="FJ6" i="10"/>
  <c r="FH6" i="10"/>
  <c r="FH59" i="10" s="1"/>
  <c r="EX6" i="10"/>
  <c r="EX59" i="10" s="1"/>
  <c r="DW6" i="10"/>
  <c r="DA6" i="10"/>
  <c r="CX6" i="10"/>
  <c r="CU6" i="10"/>
  <c r="CU59" i="10" s="1"/>
  <c r="CK6" i="10"/>
  <c r="BQ6" i="10"/>
  <c r="BP6" i="10"/>
  <c r="BP59" i="10" s="1"/>
  <c r="AM6" i="10"/>
  <c r="AI6" i="10"/>
  <c r="T6" i="10"/>
  <c r="EQ6" i="10" s="1"/>
  <c r="G6" i="10"/>
  <c r="D6" i="10"/>
  <c r="D59" i="10" s="1"/>
  <c r="GE59" i="9"/>
  <c r="GD59" i="9"/>
  <c r="GC59" i="9"/>
  <c r="GB59" i="9"/>
  <c r="GA59" i="9"/>
  <c r="FY59" i="9"/>
  <c r="FO59" i="9"/>
  <c r="FN59" i="9"/>
  <c r="FM59" i="9"/>
  <c r="FL59" i="9"/>
  <c r="FJ59" i="9"/>
  <c r="FH59" i="9"/>
  <c r="FG59" i="9"/>
  <c r="FF59" i="9"/>
  <c r="FE59" i="9"/>
  <c r="FD59" i="9"/>
  <c r="FC59" i="9"/>
  <c r="FB59" i="9"/>
  <c r="FA59" i="9"/>
  <c r="EZ59" i="9"/>
  <c r="EX59" i="9"/>
  <c r="EW59" i="9"/>
  <c r="EV59" i="9"/>
  <c r="EU59" i="9"/>
  <c r="ET59" i="9"/>
  <c r="ES59" i="9"/>
  <c r="EQ59" i="9"/>
  <c r="EP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W59" i="9"/>
  <c r="DV59" i="9"/>
  <c r="DU59" i="9"/>
  <c r="DT59" i="9"/>
  <c r="DS59" i="9"/>
  <c r="DR59" i="9"/>
  <c r="DQ59" i="9"/>
  <c r="DP59" i="9"/>
  <c r="DO59" i="9"/>
  <c r="DN59" i="9"/>
  <c r="DM59" i="9"/>
  <c r="DL59" i="9"/>
  <c r="DK59" i="9"/>
  <c r="DJ59" i="9"/>
  <c r="DI59" i="9"/>
  <c r="DH59" i="9"/>
  <c r="DG59" i="9"/>
  <c r="DF59" i="9"/>
  <c r="DE59" i="9"/>
  <c r="DD59" i="9"/>
  <c r="DC59" i="9"/>
  <c r="DA59" i="9"/>
  <c r="CZ59" i="9"/>
  <c r="CX59" i="9"/>
  <c r="CW59" i="9"/>
  <c r="CU59" i="9"/>
  <c r="CT59" i="9"/>
  <c r="CS59" i="9"/>
  <c r="CR59" i="9"/>
  <c r="CQ59" i="9"/>
  <c r="CP59" i="9"/>
  <c r="CO59" i="9"/>
  <c r="CN59" i="9"/>
  <c r="CM59" i="9"/>
  <c r="CK59" i="9"/>
  <c r="CJ59" i="9"/>
  <c r="CI59" i="9"/>
  <c r="CH59" i="9"/>
  <c r="CG59" i="9"/>
  <c r="CF59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M59" i="9"/>
  <c r="AL59" i="9"/>
  <c r="AK59" i="9"/>
  <c r="AI59" i="9"/>
  <c r="AH59" i="9"/>
  <c r="AG59" i="9"/>
  <c r="AF59" i="9"/>
  <c r="AE59" i="9"/>
  <c r="AD59" i="9"/>
  <c r="AB59" i="9"/>
  <c r="AA59" i="9"/>
  <c r="Z59" i="9"/>
  <c r="Y59" i="9"/>
  <c r="X59" i="9"/>
  <c r="W59" i="9"/>
  <c r="V59" i="9"/>
  <c r="U59" i="9"/>
  <c r="S59" i="9"/>
  <c r="R59" i="9"/>
  <c r="Q59" i="9"/>
  <c r="P59" i="9"/>
  <c r="O59" i="9"/>
  <c r="N59" i="9"/>
  <c r="M59" i="9"/>
  <c r="L59" i="9"/>
  <c r="K59" i="9"/>
  <c r="J59" i="9"/>
  <c r="I59" i="9"/>
  <c r="H59" i="9"/>
  <c r="F59" i="9"/>
  <c r="E59" i="9"/>
  <c r="C59" i="9"/>
  <c r="GE58" i="9"/>
  <c r="GD58" i="9"/>
  <c r="GC58" i="9"/>
  <c r="GB58" i="9"/>
  <c r="GA58" i="9"/>
  <c r="FY58" i="9"/>
  <c r="FO58" i="9"/>
  <c r="FN58" i="9"/>
  <c r="FM58" i="9"/>
  <c r="FL58" i="9"/>
  <c r="FJ58" i="9"/>
  <c r="FH58" i="9"/>
  <c r="FG58" i="9"/>
  <c r="FF58" i="9"/>
  <c r="FE58" i="9"/>
  <c r="FD58" i="9"/>
  <c r="FC58" i="9"/>
  <c r="FB58" i="9"/>
  <c r="FA58" i="9"/>
  <c r="EZ58" i="9"/>
  <c r="EX58" i="9"/>
  <c r="EW58" i="9"/>
  <c r="EV58" i="9"/>
  <c r="EU58" i="9"/>
  <c r="ET58" i="9"/>
  <c r="ES58" i="9"/>
  <c r="EQ58" i="9"/>
  <c r="EP58" i="9"/>
  <c r="EN58" i="9"/>
  <c r="EM58" i="9"/>
  <c r="EL58" i="9"/>
  <c r="EK58" i="9"/>
  <c r="EJ58" i="9"/>
  <c r="EI58" i="9"/>
  <c r="EH58" i="9"/>
  <c r="EG58" i="9"/>
  <c r="EF58" i="9"/>
  <c r="EE58" i="9"/>
  <c r="ED58" i="9"/>
  <c r="EC58" i="9"/>
  <c r="EB58" i="9"/>
  <c r="EA58" i="9"/>
  <c r="DZ58" i="9"/>
  <c r="DY58" i="9"/>
  <c r="DW58" i="9"/>
  <c r="DV58" i="9"/>
  <c r="DU58" i="9"/>
  <c r="DT58" i="9"/>
  <c r="DS58" i="9"/>
  <c r="DR58" i="9"/>
  <c r="DQ58" i="9"/>
  <c r="DP58" i="9"/>
  <c r="DO58" i="9"/>
  <c r="DN58" i="9"/>
  <c r="DM58" i="9"/>
  <c r="DL58" i="9"/>
  <c r="DK58" i="9"/>
  <c r="DJ58" i="9"/>
  <c r="DI58" i="9"/>
  <c r="DH58" i="9"/>
  <c r="DG58" i="9"/>
  <c r="DF58" i="9"/>
  <c r="DE58" i="9"/>
  <c r="DD58" i="9"/>
  <c r="DC58" i="9"/>
  <c r="DA58" i="9"/>
  <c r="CZ58" i="9"/>
  <c r="CX58" i="9"/>
  <c r="CW58" i="9"/>
  <c r="CV58" i="9"/>
  <c r="CU58" i="9"/>
  <c r="CT58" i="9"/>
  <c r="CS58" i="9"/>
  <c r="CR58" i="9"/>
  <c r="CQ58" i="9"/>
  <c r="CP58" i="9"/>
  <c r="CO58" i="9"/>
  <c r="CN58" i="9"/>
  <c r="CM58" i="9"/>
  <c r="CK58" i="9"/>
  <c r="CJ58" i="9"/>
  <c r="CI58" i="9"/>
  <c r="CH58" i="9"/>
  <c r="CG58" i="9"/>
  <c r="CF58" i="9"/>
  <c r="CE58" i="9"/>
  <c r="CD58" i="9"/>
  <c r="CC58" i="9"/>
  <c r="CB58" i="9"/>
  <c r="CA58" i="9"/>
  <c r="BZ58" i="9"/>
  <c r="BY58" i="9"/>
  <c r="BX58" i="9"/>
  <c r="BW58" i="9"/>
  <c r="BV58" i="9"/>
  <c r="BU58" i="9"/>
  <c r="BT58" i="9"/>
  <c r="BS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P58" i="9"/>
  <c r="AO58" i="9"/>
  <c r="AM58" i="9"/>
  <c r="AL58" i="9"/>
  <c r="AK58" i="9"/>
  <c r="AI58" i="9"/>
  <c r="AH58" i="9"/>
  <c r="AG58" i="9"/>
  <c r="AF58" i="9"/>
  <c r="AE58" i="9"/>
  <c r="AD58" i="9"/>
  <c r="AB58" i="9"/>
  <c r="AA58" i="9"/>
  <c r="Z58" i="9"/>
  <c r="Y58" i="9"/>
  <c r="X58" i="9"/>
  <c r="W58" i="9"/>
  <c r="V58" i="9"/>
  <c r="U58" i="9"/>
  <c r="R58" i="9"/>
  <c r="Q58" i="9"/>
  <c r="P58" i="9"/>
  <c r="O58" i="9"/>
  <c r="N58" i="9"/>
  <c r="M58" i="9"/>
  <c r="L58" i="9"/>
  <c r="K58" i="9"/>
  <c r="J58" i="9"/>
  <c r="I58" i="9"/>
  <c r="H58" i="9"/>
  <c r="F58" i="9"/>
  <c r="E58" i="9"/>
  <c r="D58" i="9"/>
  <c r="C58" i="9"/>
  <c r="GE57" i="9"/>
  <c r="GD57" i="9"/>
  <c r="GC57" i="9"/>
  <c r="GB57" i="9"/>
  <c r="GA57" i="9"/>
  <c r="FY57" i="9"/>
  <c r="FO57" i="9"/>
  <c r="FN57" i="9"/>
  <c r="FM57" i="9"/>
  <c r="FL57" i="9"/>
  <c r="FJ57" i="9"/>
  <c r="FH57" i="9"/>
  <c r="FG57" i="9"/>
  <c r="FF57" i="9"/>
  <c r="FE57" i="9"/>
  <c r="FD57" i="9"/>
  <c r="FC57" i="9"/>
  <c r="FB57" i="9"/>
  <c r="FA57" i="9"/>
  <c r="EZ57" i="9"/>
  <c r="EX57" i="9"/>
  <c r="EW57" i="9"/>
  <c r="EV57" i="9"/>
  <c r="EU57" i="9"/>
  <c r="ET57" i="9"/>
  <c r="ES57" i="9"/>
  <c r="EQ57" i="9"/>
  <c r="EP57" i="9"/>
  <c r="EN57" i="9"/>
  <c r="EM57" i="9"/>
  <c r="EL57" i="9"/>
  <c r="EK57" i="9"/>
  <c r="EJ57" i="9"/>
  <c r="EI57" i="9"/>
  <c r="EH57" i="9"/>
  <c r="EG57" i="9"/>
  <c r="EF57" i="9"/>
  <c r="EE57" i="9"/>
  <c r="ED57" i="9"/>
  <c r="EC57" i="9"/>
  <c r="EB57" i="9"/>
  <c r="EA57" i="9"/>
  <c r="DZ57" i="9"/>
  <c r="DY57" i="9"/>
  <c r="DW57" i="9"/>
  <c r="DV57" i="9"/>
  <c r="DU57" i="9"/>
  <c r="DT57" i="9"/>
  <c r="DS57" i="9"/>
  <c r="DR57" i="9"/>
  <c r="DQ57" i="9"/>
  <c r="DP57" i="9"/>
  <c r="DO57" i="9"/>
  <c r="DN57" i="9"/>
  <c r="DM57" i="9"/>
  <c r="DL57" i="9"/>
  <c r="DK57" i="9"/>
  <c r="DJ57" i="9"/>
  <c r="DI57" i="9"/>
  <c r="DH57" i="9"/>
  <c r="DG57" i="9"/>
  <c r="DF57" i="9"/>
  <c r="DE57" i="9"/>
  <c r="DD57" i="9"/>
  <c r="DC57" i="9"/>
  <c r="DA57" i="9"/>
  <c r="CZ57" i="9"/>
  <c r="CX57" i="9"/>
  <c r="CW57" i="9"/>
  <c r="CU57" i="9"/>
  <c r="CT57" i="9"/>
  <c r="CS57" i="9"/>
  <c r="CR57" i="9"/>
  <c r="CQ57" i="9"/>
  <c r="CP57" i="9"/>
  <c r="CO57" i="9"/>
  <c r="CN57" i="9"/>
  <c r="CM57" i="9"/>
  <c r="CK57" i="9"/>
  <c r="CJ57" i="9"/>
  <c r="CI57" i="9"/>
  <c r="CH57" i="9"/>
  <c r="CG57" i="9"/>
  <c r="CF57" i="9"/>
  <c r="CE57" i="9"/>
  <c r="CD57" i="9"/>
  <c r="CC57" i="9"/>
  <c r="CB57" i="9"/>
  <c r="CA57" i="9"/>
  <c r="BZ57" i="9"/>
  <c r="BY57" i="9"/>
  <c r="BX57" i="9"/>
  <c r="BW57" i="9"/>
  <c r="BV57" i="9"/>
  <c r="BU57" i="9"/>
  <c r="BT57" i="9"/>
  <c r="BS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M57" i="9"/>
  <c r="AL57" i="9"/>
  <c r="AK57" i="9"/>
  <c r="AI57" i="9"/>
  <c r="AH57" i="9"/>
  <c r="AG57" i="9"/>
  <c r="AF57" i="9"/>
  <c r="AE57" i="9"/>
  <c r="AD57" i="9"/>
  <c r="AB57" i="9"/>
  <c r="AA57" i="9"/>
  <c r="Z57" i="9"/>
  <c r="Y57" i="9"/>
  <c r="X57" i="9"/>
  <c r="W57" i="9"/>
  <c r="V57" i="9"/>
  <c r="U57" i="9"/>
  <c r="S57" i="9"/>
  <c r="R57" i="9"/>
  <c r="Q57" i="9"/>
  <c r="P57" i="9"/>
  <c r="O57" i="9"/>
  <c r="N57" i="9"/>
  <c r="M57" i="9"/>
  <c r="L57" i="9"/>
  <c r="K57" i="9"/>
  <c r="J57" i="9"/>
  <c r="I57" i="9"/>
  <c r="H57" i="9"/>
  <c r="F57" i="9"/>
  <c r="E57" i="9"/>
  <c r="D57" i="9"/>
  <c r="C57" i="9"/>
  <c r="GK56" i="9"/>
  <c r="GE56" i="9"/>
  <c r="GD56" i="9"/>
  <c r="GC56" i="9"/>
  <c r="GB56" i="9"/>
  <c r="GA56" i="9"/>
  <c r="FY56" i="9"/>
  <c r="FO56" i="9"/>
  <c r="FN56" i="9"/>
  <c r="FM56" i="9"/>
  <c r="FL56" i="9"/>
  <c r="FJ56" i="9"/>
  <c r="FH56" i="9"/>
  <c r="FG56" i="9"/>
  <c r="FF56" i="9"/>
  <c r="FE56" i="9"/>
  <c r="FD56" i="9"/>
  <c r="FC56" i="9"/>
  <c r="FB56" i="9"/>
  <c r="FA56" i="9"/>
  <c r="EZ56" i="9"/>
  <c r="EX56" i="9"/>
  <c r="EW56" i="9"/>
  <c r="EV56" i="9"/>
  <c r="EU56" i="9"/>
  <c r="ET56" i="9"/>
  <c r="ES56" i="9"/>
  <c r="EQ56" i="9"/>
  <c r="EP56" i="9"/>
  <c r="EN56" i="9"/>
  <c r="EM56" i="9"/>
  <c r="EL56" i="9"/>
  <c r="EK56" i="9"/>
  <c r="EJ56" i="9"/>
  <c r="EI56" i="9"/>
  <c r="EH56" i="9"/>
  <c r="EG56" i="9"/>
  <c r="EF56" i="9"/>
  <c r="EE56" i="9"/>
  <c r="ED56" i="9"/>
  <c r="EC56" i="9"/>
  <c r="EB56" i="9"/>
  <c r="EA56" i="9"/>
  <c r="DZ56" i="9"/>
  <c r="DY56" i="9"/>
  <c r="DW56" i="9"/>
  <c r="DV56" i="9"/>
  <c r="DU56" i="9"/>
  <c r="DT56" i="9"/>
  <c r="DS56" i="9"/>
  <c r="DR56" i="9"/>
  <c r="DQ56" i="9"/>
  <c r="DP56" i="9"/>
  <c r="DO56" i="9"/>
  <c r="DN56" i="9"/>
  <c r="DM56" i="9"/>
  <c r="DL56" i="9"/>
  <c r="DK56" i="9"/>
  <c r="DJ56" i="9"/>
  <c r="DI56" i="9"/>
  <c r="DH56" i="9"/>
  <c r="DG56" i="9"/>
  <c r="DF56" i="9"/>
  <c r="DE56" i="9"/>
  <c r="DD56" i="9"/>
  <c r="DC56" i="9"/>
  <c r="DA56" i="9"/>
  <c r="CZ56" i="9"/>
  <c r="CX56" i="9"/>
  <c r="CW56" i="9"/>
  <c r="CU56" i="9"/>
  <c r="CT56" i="9"/>
  <c r="CS56" i="9"/>
  <c r="CR56" i="9"/>
  <c r="CQ56" i="9"/>
  <c r="CP56" i="9"/>
  <c r="CO56" i="9"/>
  <c r="CN56" i="9"/>
  <c r="CM56" i="9"/>
  <c r="CK56" i="9"/>
  <c r="CJ56" i="9"/>
  <c r="CI56" i="9"/>
  <c r="CH56" i="9"/>
  <c r="CG56" i="9"/>
  <c r="CF56" i="9"/>
  <c r="CE56" i="9"/>
  <c r="CD56" i="9"/>
  <c r="CC56" i="9"/>
  <c r="CB56" i="9"/>
  <c r="CA56" i="9"/>
  <c r="BZ56" i="9"/>
  <c r="BY56" i="9"/>
  <c r="BX56" i="9"/>
  <c r="BW56" i="9"/>
  <c r="BV56" i="9"/>
  <c r="BU56" i="9"/>
  <c r="BT56" i="9"/>
  <c r="BS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P56" i="9"/>
  <c r="AO56" i="9"/>
  <c r="AM56" i="9"/>
  <c r="AL56" i="9"/>
  <c r="AK56" i="9"/>
  <c r="AI56" i="9"/>
  <c r="AH56" i="9"/>
  <c r="AG56" i="9"/>
  <c r="AF56" i="9"/>
  <c r="AE56" i="9"/>
  <c r="AD56" i="9"/>
  <c r="AB56" i="9"/>
  <c r="AA56" i="9"/>
  <c r="Z56" i="9"/>
  <c r="Y56" i="9"/>
  <c r="X56" i="9"/>
  <c r="W56" i="9"/>
  <c r="V56" i="9"/>
  <c r="U56" i="9"/>
  <c r="S56" i="9"/>
  <c r="R56" i="9"/>
  <c r="Q56" i="9"/>
  <c r="P56" i="9"/>
  <c r="O56" i="9"/>
  <c r="N56" i="9"/>
  <c r="M56" i="9"/>
  <c r="L56" i="9"/>
  <c r="K56" i="9"/>
  <c r="J56" i="9"/>
  <c r="I56" i="9"/>
  <c r="H56" i="9"/>
  <c r="F56" i="9"/>
  <c r="E56" i="9"/>
  <c r="C56" i="9"/>
  <c r="FM54" i="9"/>
  <c r="FL54" i="9"/>
  <c r="EK54" i="9"/>
  <c r="FM53" i="9"/>
  <c r="FL53" i="9"/>
  <c r="EK53" i="9"/>
  <c r="GX52" i="9"/>
  <c r="FZ52" i="9"/>
  <c r="FK52" i="9"/>
  <c r="EY52" i="9"/>
  <c r="FI52" i="9" s="1"/>
  <c r="DX52" i="9"/>
  <c r="DB52" i="9"/>
  <c r="CY52" i="9"/>
  <c r="CV52" i="9"/>
  <c r="CL52" i="9"/>
  <c r="BR52" i="9"/>
  <c r="BQ52" i="9" s="1"/>
  <c r="AN52" i="9"/>
  <c r="AJ52" i="9"/>
  <c r="T52" i="9"/>
  <c r="G52" i="9"/>
  <c r="D52" i="9"/>
  <c r="GX51" i="9"/>
  <c r="FZ51" i="9"/>
  <c r="FK51" i="9"/>
  <c r="EY51" i="9"/>
  <c r="FI51" i="9" s="1"/>
  <c r="ER51" i="9"/>
  <c r="DX51" i="9"/>
  <c r="DX58" i="9" s="1"/>
  <c r="DB51" i="9"/>
  <c r="CY51" i="9"/>
  <c r="CV51" i="9"/>
  <c r="CL51" i="9"/>
  <c r="BR51" i="9"/>
  <c r="BR58" i="9" s="1"/>
  <c r="BQ51" i="9"/>
  <c r="AN51" i="9"/>
  <c r="AJ51" i="9"/>
  <c r="T51" i="9"/>
  <c r="G51" i="9"/>
  <c r="D51" i="9"/>
  <c r="GX50" i="9"/>
  <c r="GK50" i="9"/>
  <c r="GK57" i="9" s="1"/>
  <c r="GF50" i="9"/>
  <c r="FZ50" i="9"/>
  <c r="FK50" i="9"/>
  <c r="EY50" i="9"/>
  <c r="EO50" i="9"/>
  <c r="EO57" i="9" s="1"/>
  <c r="EN50" i="9"/>
  <c r="DX50" i="9"/>
  <c r="DB50" i="9"/>
  <c r="CY50" i="9"/>
  <c r="CV50" i="9"/>
  <c r="CL50" i="9"/>
  <c r="BR50" i="9"/>
  <c r="BQ50" i="9"/>
  <c r="AN50" i="9"/>
  <c r="AJ50" i="9"/>
  <c r="T50" i="9"/>
  <c r="G50" i="9"/>
  <c r="D50" i="9"/>
  <c r="GX49" i="9"/>
  <c r="FZ49" i="9"/>
  <c r="FK49" i="9"/>
  <c r="FI49" i="9"/>
  <c r="EY49" i="9"/>
  <c r="DX49" i="9"/>
  <c r="DB49" i="9"/>
  <c r="CY49" i="9"/>
  <c r="CV49" i="9"/>
  <c r="CL49" i="9"/>
  <c r="BR49" i="9"/>
  <c r="ER49" i="9" s="1"/>
  <c r="AN49" i="9"/>
  <c r="AJ49" i="9"/>
  <c r="T49" i="9"/>
  <c r="G49" i="9"/>
  <c r="D49" i="9"/>
  <c r="GX48" i="9"/>
  <c r="GY50" i="9" s="1"/>
  <c r="GG48" i="9"/>
  <c r="FZ48" i="9"/>
  <c r="FK48" i="9"/>
  <c r="FI48" i="9"/>
  <c r="EY48" i="9"/>
  <c r="DX48" i="9"/>
  <c r="DB48" i="9"/>
  <c r="CY48" i="9"/>
  <c r="CV48" i="9"/>
  <c r="CL48" i="9"/>
  <c r="BR48" i="9"/>
  <c r="BQ48" i="9" s="1"/>
  <c r="AN48" i="9"/>
  <c r="AJ48" i="9"/>
  <c r="T48" i="9"/>
  <c r="G48" i="9"/>
  <c r="D48" i="9"/>
  <c r="GX47" i="9"/>
  <c r="FZ47" i="9"/>
  <c r="FK47" i="9"/>
  <c r="FI47" i="9"/>
  <c r="EY47" i="9"/>
  <c r="DX47" i="9"/>
  <c r="DB47" i="9"/>
  <c r="CY47" i="9"/>
  <c r="CV47" i="9"/>
  <c r="CL47" i="9"/>
  <c r="BR47" i="9"/>
  <c r="BQ47" i="9"/>
  <c r="AN47" i="9"/>
  <c r="AJ47" i="9"/>
  <c r="T47" i="9"/>
  <c r="G47" i="9"/>
  <c r="D47" i="9"/>
  <c r="GX46" i="9"/>
  <c r="FZ46" i="9"/>
  <c r="FK46" i="9"/>
  <c r="EY46" i="9"/>
  <c r="FI46" i="9" s="1"/>
  <c r="ER46" i="9"/>
  <c r="DX46" i="9"/>
  <c r="DB46" i="9"/>
  <c r="CY46" i="9"/>
  <c r="CV46" i="9"/>
  <c r="CV57" i="9" s="1"/>
  <c r="CL46" i="9"/>
  <c r="BR46" i="9"/>
  <c r="BQ46" i="9"/>
  <c r="AN46" i="9"/>
  <c r="AJ46" i="9"/>
  <c r="T46" i="9"/>
  <c r="G46" i="9"/>
  <c r="D46" i="9"/>
  <c r="GX45" i="9"/>
  <c r="FZ45" i="9"/>
  <c r="FK45" i="9"/>
  <c r="FI45" i="9"/>
  <c r="EY45" i="9"/>
  <c r="DX45" i="9"/>
  <c r="DB45" i="9"/>
  <c r="CY45" i="9"/>
  <c r="CV45" i="9"/>
  <c r="CL45" i="9"/>
  <c r="BR45" i="9"/>
  <c r="BQ45" i="9" s="1"/>
  <c r="AN45" i="9"/>
  <c r="AJ45" i="9"/>
  <c r="T45" i="9"/>
  <c r="G45" i="9"/>
  <c r="D45" i="9"/>
  <c r="GX44" i="9"/>
  <c r="GG44" i="9"/>
  <c r="FZ44" i="9"/>
  <c r="FK44" i="9"/>
  <c r="EY44" i="9"/>
  <c r="FI44" i="9" s="1"/>
  <c r="DX44" i="9"/>
  <c r="DB44" i="9"/>
  <c r="CY44" i="9"/>
  <c r="CV44" i="9"/>
  <c r="CL44" i="9"/>
  <c r="BR44" i="9"/>
  <c r="BQ44" i="9"/>
  <c r="AN44" i="9"/>
  <c r="AJ44" i="9"/>
  <c r="T44" i="9"/>
  <c r="ER44" i="9" s="1"/>
  <c r="G44" i="9"/>
  <c r="D44" i="9"/>
  <c r="GX43" i="9"/>
  <c r="FZ43" i="9"/>
  <c r="FK43" i="9"/>
  <c r="FI43" i="9"/>
  <c r="EY43" i="9"/>
  <c r="ER43" i="9"/>
  <c r="DX43" i="9"/>
  <c r="DB43" i="9"/>
  <c r="CY43" i="9"/>
  <c r="CV43" i="9"/>
  <c r="CL43" i="9"/>
  <c r="BR43" i="9"/>
  <c r="BQ43" i="9" s="1"/>
  <c r="AN43" i="9"/>
  <c r="AJ43" i="9"/>
  <c r="T43" i="9"/>
  <c r="G43" i="9"/>
  <c r="D43" i="9"/>
  <c r="GX42" i="9"/>
  <c r="FZ42" i="9"/>
  <c r="FK42" i="9"/>
  <c r="FI42" i="9"/>
  <c r="EY42" i="9"/>
  <c r="DX42" i="9"/>
  <c r="DB42" i="9"/>
  <c r="CY42" i="9"/>
  <c r="CV42" i="9"/>
  <c r="CL42" i="9"/>
  <c r="BR42" i="9"/>
  <c r="BQ42" i="9"/>
  <c r="AN42" i="9"/>
  <c r="AJ42" i="9"/>
  <c r="T42" i="9"/>
  <c r="ER42" i="9" s="1"/>
  <c r="G42" i="9"/>
  <c r="D42" i="9"/>
  <c r="GX41" i="9"/>
  <c r="FZ41" i="9"/>
  <c r="FK41" i="9"/>
  <c r="EY41" i="9"/>
  <c r="FI41" i="9" s="1"/>
  <c r="DX41" i="9"/>
  <c r="DB41" i="9"/>
  <c r="CY41" i="9"/>
  <c r="CV41" i="9"/>
  <c r="CL41" i="9"/>
  <c r="BR41" i="9"/>
  <c r="BQ41" i="9"/>
  <c r="AN41" i="9"/>
  <c r="AJ41" i="9"/>
  <c r="T41" i="9"/>
  <c r="ER41" i="9" s="1"/>
  <c r="G41" i="9"/>
  <c r="D41" i="9"/>
  <c r="GX40" i="9"/>
  <c r="FZ40" i="9"/>
  <c r="FK40" i="9"/>
  <c r="EY40" i="9"/>
  <c r="FI40" i="9" s="1"/>
  <c r="DX40" i="9"/>
  <c r="DX57" i="9" s="1"/>
  <c r="DB40" i="9"/>
  <c r="DB57" i="9" s="1"/>
  <c r="CY40" i="9"/>
  <c r="CV40" i="9"/>
  <c r="CL40" i="9"/>
  <c r="BR40" i="9"/>
  <c r="BQ40" i="9"/>
  <c r="AN40" i="9"/>
  <c r="AJ40" i="9"/>
  <c r="AJ57" i="9" s="1"/>
  <c r="T40" i="9"/>
  <c r="G40" i="9"/>
  <c r="D40" i="9"/>
  <c r="GX39" i="9"/>
  <c r="GK39" i="9"/>
  <c r="GF39" i="9"/>
  <c r="FZ39" i="9"/>
  <c r="FK39" i="9"/>
  <c r="EY39" i="9"/>
  <c r="EO39" i="9"/>
  <c r="EO51" i="9" s="1"/>
  <c r="EN39" i="9"/>
  <c r="EN51" i="9" s="1"/>
  <c r="EN52" i="9" s="1"/>
  <c r="DX39" i="9"/>
  <c r="DB39" i="9"/>
  <c r="DB58" i="9" s="1"/>
  <c r="CY39" i="9"/>
  <c r="CY58" i="9" s="1"/>
  <c r="CV39" i="9"/>
  <c r="BR39" i="9"/>
  <c r="BQ39" i="9"/>
  <c r="BQ58" i="9" s="1"/>
  <c r="AQ39" i="9"/>
  <c r="AQ58" i="9" s="1"/>
  <c r="S39" i="9"/>
  <c r="S58" i="9" s="1"/>
  <c r="G39" i="9"/>
  <c r="D39" i="9"/>
  <c r="GX38" i="9"/>
  <c r="FZ38" i="9"/>
  <c r="FK38" i="9"/>
  <c r="EY38" i="9"/>
  <c r="FI38" i="9" s="1"/>
  <c r="DX38" i="9"/>
  <c r="DB38" i="9"/>
  <c r="CY38" i="9"/>
  <c r="CV38" i="9"/>
  <c r="CL38" i="9"/>
  <c r="BR38" i="9"/>
  <c r="BQ38" i="9"/>
  <c r="AN38" i="9"/>
  <c r="AJ38" i="9"/>
  <c r="T38" i="9"/>
  <c r="G38" i="9"/>
  <c r="D38" i="9"/>
  <c r="GX37" i="9"/>
  <c r="FZ37" i="9"/>
  <c r="FK37" i="9"/>
  <c r="EY37" i="9"/>
  <c r="FI37" i="9" s="1"/>
  <c r="DX37" i="9"/>
  <c r="DB37" i="9"/>
  <c r="CY37" i="9"/>
  <c r="CV37" i="9"/>
  <c r="CL37" i="9"/>
  <c r="BR37" i="9"/>
  <c r="BQ37" i="9"/>
  <c r="AN37" i="9"/>
  <c r="AJ37" i="9"/>
  <c r="T37" i="9"/>
  <c r="ER37" i="9" s="1"/>
  <c r="G37" i="9"/>
  <c r="D37" i="9"/>
  <c r="GX36" i="9"/>
  <c r="GG36" i="9" s="1"/>
  <c r="FZ36" i="9"/>
  <c r="FK36" i="9"/>
  <c r="FI36" i="9"/>
  <c r="EY36" i="9"/>
  <c r="DX36" i="9"/>
  <c r="DB36" i="9"/>
  <c r="CY36" i="9"/>
  <c r="CV36" i="9"/>
  <c r="CL36" i="9"/>
  <c r="BR36" i="9"/>
  <c r="BQ36" i="9" s="1"/>
  <c r="AN36" i="9"/>
  <c r="AJ36" i="9"/>
  <c r="T36" i="9"/>
  <c r="G36" i="9"/>
  <c r="D36" i="9"/>
  <c r="GX35" i="9"/>
  <c r="FZ35" i="9"/>
  <c r="FK35" i="9"/>
  <c r="EY35" i="9"/>
  <c r="FI35" i="9" s="1"/>
  <c r="ER35" i="9"/>
  <c r="DX35" i="9"/>
  <c r="DB35" i="9"/>
  <c r="CY35" i="9"/>
  <c r="CV35" i="9"/>
  <c r="CL35" i="9"/>
  <c r="BR35" i="9"/>
  <c r="BQ35" i="9"/>
  <c r="AN35" i="9"/>
  <c r="AJ35" i="9"/>
  <c r="T35" i="9"/>
  <c r="G35" i="9"/>
  <c r="D35" i="9"/>
  <c r="GX34" i="9"/>
  <c r="FZ34" i="9"/>
  <c r="FK34" i="9"/>
  <c r="FI34" i="9"/>
  <c r="EY34" i="9"/>
  <c r="DX34" i="9"/>
  <c r="DB34" i="9"/>
  <c r="CY34" i="9"/>
  <c r="CV34" i="9"/>
  <c r="CL34" i="9"/>
  <c r="BR34" i="9"/>
  <c r="BQ34" i="9" s="1"/>
  <c r="AN34" i="9"/>
  <c r="AJ34" i="9"/>
  <c r="T34" i="9"/>
  <c r="ER34" i="9" s="1"/>
  <c r="G34" i="9"/>
  <c r="D34" i="9"/>
  <c r="GX33" i="9"/>
  <c r="FZ33" i="9"/>
  <c r="FK33" i="9"/>
  <c r="FI33" i="9"/>
  <c r="EY33" i="9"/>
  <c r="DX33" i="9"/>
  <c r="DB33" i="9"/>
  <c r="CY33" i="9"/>
  <c r="CV33" i="9"/>
  <c r="CL33" i="9"/>
  <c r="BR33" i="9"/>
  <c r="BQ33" i="9" s="1"/>
  <c r="AN33" i="9"/>
  <c r="AJ33" i="9"/>
  <c r="T33" i="9"/>
  <c r="ER33" i="9" s="1"/>
  <c r="G33" i="9"/>
  <c r="D33" i="9"/>
  <c r="GX32" i="9"/>
  <c r="FZ32" i="9"/>
  <c r="FK32" i="9"/>
  <c r="EY32" i="9"/>
  <c r="FI32" i="9" s="1"/>
  <c r="ER32" i="9"/>
  <c r="DX32" i="9"/>
  <c r="DB32" i="9"/>
  <c r="CY32" i="9"/>
  <c r="CV32" i="9"/>
  <c r="CL32" i="9"/>
  <c r="BR32" i="9"/>
  <c r="BQ32" i="9"/>
  <c r="AN32" i="9"/>
  <c r="AJ32" i="9"/>
  <c r="T32" i="9"/>
  <c r="G32" i="9"/>
  <c r="D32" i="9"/>
  <c r="GX31" i="9"/>
  <c r="GG31" i="9"/>
  <c r="FZ31" i="9"/>
  <c r="FK31" i="9"/>
  <c r="FI31" i="9"/>
  <c r="EY31" i="9"/>
  <c r="DX31" i="9"/>
  <c r="DB31" i="9"/>
  <c r="CY31" i="9"/>
  <c r="CV31" i="9"/>
  <c r="CL31" i="9"/>
  <c r="BR31" i="9"/>
  <c r="BQ31" i="9"/>
  <c r="AN31" i="9"/>
  <c r="AJ31" i="9"/>
  <c r="T31" i="9"/>
  <c r="ER31" i="9" s="1"/>
  <c r="G31" i="9"/>
  <c r="D31" i="9"/>
  <c r="GX30" i="9"/>
  <c r="GG30" i="9"/>
  <c r="FZ30" i="9"/>
  <c r="FK30" i="9"/>
  <c r="FI30" i="9"/>
  <c r="EY30" i="9"/>
  <c r="DX30" i="9"/>
  <c r="DB30" i="9"/>
  <c r="CY30" i="9"/>
  <c r="CV30" i="9"/>
  <c r="CL30" i="9"/>
  <c r="BR30" i="9"/>
  <c r="AN30" i="9"/>
  <c r="AJ30" i="9"/>
  <c r="T30" i="9"/>
  <c r="G30" i="9"/>
  <c r="D30" i="9"/>
  <c r="GX29" i="9"/>
  <c r="FZ29" i="9"/>
  <c r="FK29" i="9"/>
  <c r="FI29" i="9"/>
  <c r="EY29" i="9"/>
  <c r="DX29" i="9"/>
  <c r="DB29" i="9"/>
  <c r="CY29" i="9"/>
  <c r="CV29" i="9"/>
  <c r="CL29" i="9"/>
  <c r="BR29" i="9"/>
  <c r="BQ29" i="9" s="1"/>
  <c r="AN29" i="9"/>
  <c r="AJ29" i="9"/>
  <c r="T29" i="9"/>
  <c r="G29" i="9"/>
  <c r="D29" i="9"/>
  <c r="GX28" i="9"/>
  <c r="FZ28" i="9"/>
  <c r="FK28" i="9"/>
  <c r="EY28" i="9"/>
  <c r="FI28" i="9" s="1"/>
  <c r="ER28" i="9"/>
  <c r="DX28" i="9"/>
  <c r="DB28" i="9"/>
  <c r="CY28" i="9"/>
  <c r="CV28" i="9"/>
  <c r="CL28" i="9"/>
  <c r="BR28" i="9"/>
  <c r="BQ28" i="9"/>
  <c r="AN28" i="9"/>
  <c r="AJ28" i="9"/>
  <c r="T28" i="9"/>
  <c r="G28" i="9"/>
  <c r="D28" i="9"/>
  <c r="GX27" i="9"/>
  <c r="GG27" i="9" s="1"/>
  <c r="FZ27" i="9"/>
  <c r="FK27" i="9"/>
  <c r="EY27" i="9"/>
  <c r="FI27" i="9" s="1"/>
  <c r="DX27" i="9"/>
  <c r="DB27" i="9"/>
  <c r="CY27" i="9"/>
  <c r="CV27" i="9"/>
  <c r="CL27" i="9"/>
  <c r="BR27" i="9"/>
  <c r="BQ27" i="9"/>
  <c r="AN27" i="9"/>
  <c r="AJ27" i="9"/>
  <c r="T27" i="9"/>
  <c r="ER27" i="9" s="1"/>
  <c r="G27" i="9"/>
  <c r="D27" i="9"/>
  <c r="GX26" i="9"/>
  <c r="GG26" i="9" s="1"/>
  <c r="FZ26" i="9"/>
  <c r="FK26" i="9"/>
  <c r="FI26" i="9"/>
  <c r="EY26" i="9"/>
  <c r="DX26" i="9"/>
  <c r="DB26" i="9"/>
  <c r="CY26" i="9"/>
  <c r="CV26" i="9"/>
  <c r="CL26" i="9"/>
  <c r="BR26" i="9"/>
  <c r="BQ26" i="9" s="1"/>
  <c r="AN26" i="9"/>
  <c r="AJ26" i="9"/>
  <c r="T26" i="9"/>
  <c r="ER26" i="9" s="1"/>
  <c r="G26" i="9"/>
  <c r="D26" i="9"/>
  <c r="GX25" i="9"/>
  <c r="FZ25" i="9"/>
  <c r="FK25" i="9"/>
  <c r="EY25" i="9"/>
  <c r="FI25" i="9" s="1"/>
  <c r="ER25" i="9"/>
  <c r="DX25" i="9"/>
  <c r="DB25" i="9"/>
  <c r="CY25" i="9"/>
  <c r="CV25" i="9"/>
  <c r="CL25" i="9"/>
  <c r="BR25" i="9"/>
  <c r="BQ25" i="9"/>
  <c r="AN25" i="9"/>
  <c r="AJ25" i="9"/>
  <c r="T25" i="9"/>
  <c r="G25" i="9"/>
  <c r="D25" i="9"/>
  <c r="GX24" i="9"/>
  <c r="FZ24" i="9"/>
  <c r="FK24" i="9"/>
  <c r="FI24" i="9"/>
  <c r="EY24" i="9"/>
  <c r="DX24" i="9"/>
  <c r="DB24" i="9"/>
  <c r="CY24" i="9"/>
  <c r="CV24" i="9"/>
  <c r="CL24" i="9"/>
  <c r="BR24" i="9"/>
  <c r="BQ24" i="9" s="1"/>
  <c r="AN24" i="9"/>
  <c r="AJ24" i="9"/>
  <c r="T24" i="9"/>
  <c r="ER24" i="9" s="1"/>
  <c r="G24" i="9"/>
  <c r="D24" i="9"/>
  <c r="GX23" i="9"/>
  <c r="GG23" i="9" s="1"/>
  <c r="FZ23" i="9"/>
  <c r="FK23" i="9"/>
  <c r="EY23" i="9"/>
  <c r="FI23" i="9" s="1"/>
  <c r="ER23" i="9"/>
  <c r="DX23" i="9"/>
  <c r="DB23" i="9"/>
  <c r="CY23" i="9"/>
  <c r="CV23" i="9"/>
  <c r="CL23" i="9"/>
  <c r="BR23" i="9"/>
  <c r="BQ23" i="9"/>
  <c r="AN23" i="9"/>
  <c r="AJ23" i="9"/>
  <c r="T23" i="9"/>
  <c r="G23" i="9"/>
  <c r="D23" i="9"/>
  <c r="GX22" i="9"/>
  <c r="FZ22" i="9"/>
  <c r="FK22" i="9"/>
  <c r="FI22" i="9"/>
  <c r="EY22" i="9"/>
  <c r="DX22" i="9"/>
  <c r="DB22" i="9"/>
  <c r="CY22" i="9"/>
  <c r="CV22" i="9"/>
  <c r="CL22" i="9"/>
  <c r="BR22" i="9"/>
  <c r="ER22" i="9" s="1"/>
  <c r="BQ22" i="9"/>
  <c r="AN22" i="9"/>
  <c r="AJ22" i="9"/>
  <c r="T22" i="9"/>
  <c r="G22" i="9"/>
  <c r="D22" i="9"/>
  <c r="GX21" i="9"/>
  <c r="FZ21" i="9"/>
  <c r="FK21" i="9"/>
  <c r="EY21" i="9"/>
  <c r="FI21" i="9" s="1"/>
  <c r="ER21" i="9"/>
  <c r="DX21" i="9"/>
  <c r="DB21" i="9"/>
  <c r="CY21" i="9"/>
  <c r="CV21" i="9"/>
  <c r="CL21" i="9"/>
  <c r="BR21" i="9"/>
  <c r="BQ21" i="9"/>
  <c r="AN21" i="9"/>
  <c r="AJ21" i="9"/>
  <c r="T21" i="9"/>
  <c r="G21" i="9"/>
  <c r="D21" i="9"/>
  <c r="GX20" i="9"/>
  <c r="FZ20" i="9"/>
  <c r="FK20" i="9"/>
  <c r="FI20" i="9"/>
  <c r="EY20" i="9"/>
  <c r="DX20" i="9"/>
  <c r="DB20" i="9"/>
  <c r="CY20" i="9"/>
  <c r="CV20" i="9"/>
  <c r="CL20" i="9"/>
  <c r="BR20" i="9"/>
  <c r="BQ20" i="9" s="1"/>
  <c r="AN20" i="9"/>
  <c r="AJ20" i="9"/>
  <c r="T20" i="9"/>
  <c r="G20" i="9"/>
  <c r="D20" i="9"/>
  <c r="GX19" i="9"/>
  <c r="GG19" i="9" s="1"/>
  <c r="FZ19" i="9"/>
  <c r="FK19" i="9"/>
  <c r="EY19" i="9"/>
  <c r="FI19" i="9" s="1"/>
  <c r="DX19" i="9"/>
  <c r="DB19" i="9"/>
  <c r="CY19" i="9"/>
  <c r="CV19" i="9"/>
  <c r="CL19" i="9"/>
  <c r="BR19" i="9"/>
  <c r="BQ19" i="9"/>
  <c r="AN19" i="9"/>
  <c r="AJ19" i="9"/>
  <c r="T19" i="9"/>
  <c r="ER19" i="9" s="1"/>
  <c r="G19" i="9"/>
  <c r="D19" i="9"/>
  <c r="GX18" i="9"/>
  <c r="FZ18" i="9"/>
  <c r="FK18" i="9"/>
  <c r="FI18" i="9"/>
  <c r="EY18" i="9"/>
  <c r="DX18" i="9"/>
  <c r="DB18" i="9"/>
  <c r="CY18" i="9"/>
  <c r="CV18" i="9"/>
  <c r="CL18" i="9"/>
  <c r="BR18" i="9"/>
  <c r="BQ18" i="9" s="1"/>
  <c r="AN18" i="9"/>
  <c r="AJ18" i="9"/>
  <c r="T18" i="9"/>
  <c r="ER18" i="9" s="1"/>
  <c r="G18" i="9"/>
  <c r="D18" i="9"/>
  <c r="GX17" i="9"/>
  <c r="GG17" i="9" s="1"/>
  <c r="FZ17" i="9"/>
  <c r="FK17" i="9"/>
  <c r="EY17" i="9"/>
  <c r="FI17" i="9" s="1"/>
  <c r="DX17" i="9"/>
  <c r="DB17" i="9"/>
  <c r="CY17" i="9"/>
  <c r="CV17" i="9"/>
  <c r="CL17" i="9"/>
  <c r="BR17" i="9"/>
  <c r="BQ17" i="9"/>
  <c r="AN17" i="9"/>
  <c r="AJ17" i="9"/>
  <c r="T17" i="9"/>
  <c r="ER17" i="9" s="1"/>
  <c r="G17" i="9"/>
  <c r="D17" i="9"/>
  <c r="GX16" i="9"/>
  <c r="GG16" i="9"/>
  <c r="FZ16" i="9"/>
  <c r="FK16" i="9"/>
  <c r="EY16" i="9"/>
  <c r="FI16" i="9" s="1"/>
  <c r="ER16" i="9"/>
  <c r="DX16" i="9"/>
  <c r="DB16" i="9"/>
  <c r="CY16" i="9"/>
  <c r="CV16" i="9"/>
  <c r="CL16" i="9"/>
  <c r="BR16" i="9"/>
  <c r="BQ16" i="9"/>
  <c r="AN16" i="9"/>
  <c r="AJ16" i="9"/>
  <c r="T16" i="9"/>
  <c r="G16" i="9"/>
  <c r="D16" i="9"/>
  <c r="GX15" i="9"/>
  <c r="FZ15" i="9"/>
  <c r="FK15" i="9"/>
  <c r="FI15" i="9"/>
  <c r="EY15" i="9"/>
  <c r="DX15" i="9"/>
  <c r="DB15" i="9"/>
  <c r="CY15" i="9"/>
  <c r="CV15" i="9"/>
  <c r="CL15" i="9"/>
  <c r="BR15" i="9"/>
  <c r="BQ15" i="9" s="1"/>
  <c r="AN15" i="9"/>
  <c r="AJ15" i="9"/>
  <c r="T15" i="9"/>
  <c r="ER15" i="9" s="1"/>
  <c r="G15" i="9"/>
  <c r="D15" i="9"/>
  <c r="GX14" i="9"/>
  <c r="FZ14" i="9"/>
  <c r="FK14" i="9"/>
  <c r="FI14" i="9"/>
  <c r="EY14" i="9"/>
  <c r="ER14" i="9"/>
  <c r="DX14" i="9"/>
  <c r="DB14" i="9"/>
  <c r="CY14" i="9"/>
  <c r="CV14" i="9"/>
  <c r="CL14" i="9"/>
  <c r="BR14" i="9"/>
  <c r="BQ14" i="9" s="1"/>
  <c r="AN14" i="9"/>
  <c r="AJ14" i="9"/>
  <c r="T14" i="9"/>
  <c r="G14" i="9"/>
  <c r="D14" i="9"/>
  <c r="GX13" i="9"/>
  <c r="GG13" i="9"/>
  <c r="FZ13" i="9"/>
  <c r="FK13" i="9"/>
  <c r="EY13" i="9"/>
  <c r="FI13" i="9" s="1"/>
  <c r="ER13" i="9"/>
  <c r="DX13" i="9"/>
  <c r="DB13" i="9"/>
  <c r="CY13" i="9"/>
  <c r="CV13" i="9"/>
  <c r="CL13" i="9"/>
  <c r="BR13" i="9"/>
  <c r="BQ13" i="9"/>
  <c r="AN13" i="9"/>
  <c r="AJ13" i="9"/>
  <c r="T13" i="9"/>
  <c r="G13" i="9"/>
  <c r="D13" i="9"/>
  <c r="GX12" i="9"/>
  <c r="GG12" i="9" s="1"/>
  <c r="FZ12" i="9"/>
  <c r="FK12" i="9"/>
  <c r="FI12" i="9"/>
  <c r="EY12" i="9"/>
  <c r="ER12" i="9"/>
  <c r="DX12" i="9"/>
  <c r="DB12" i="9"/>
  <c r="CY12" i="9"/>
  <c r="CV12" i="9"/>
  <c r="CL12" i="9"/>
  <c r="BR12" i="9"/>
  <c r="BQ12" i="9" s="1"/>
  <c r="AN12" i="9"/>
  <c r="AJ12" i="9"/>
  <c r="T12" i="9"/>
  <c r="G12" i="9"/>
  <c r="D12" i="9"/>
  <c r="GX11" i="9"/>
  <c r="FZ11" i="9"/>
  <c r="FK11" i="9"/>
  <c r="FI11" i="9"/>
  <c r="EY11" i="9"/>
  <c r="DX11" i="9"/>
  <c r="DB11" i="9"/>
  <c r="CY11" i="9"/>
  <c r="CV11" i="9"/>
  <c r="CL11" i="9"/>
  <c r="BR11" i="9"/>
  <c r="AN11" i="9"/>
  <c r="AJ11" i="9"/>
  <c r="T11" i="9"/>
  <c r="G11" i="9"/>
  <c r="D11" i="9"/>
  <c r="GX10" i="9"/>
  <c r="FZ10" i="9"/>
  <c r="FK10" i="9"/>
  <c r="FI10" i="9"/>
  <c r="EY10" i="9"/>
  <c r="DX10" i="9"/>
  <c r="DB10" i="9"/>
  <c r="CY10" i="9"/>
  <c r="CV10" i="9"/>
  <c r="CL10" i="9"/>
  <c r="BR10" i="9"/>
  <c r="BQ10" i="9" s="1"/>
  <c r="AN10" i="9"/>
  <c r="AJ10" i="9"/>
  <c r="T10" i="9"/>
  <c r="G10" i="9"/>
  <c r="D10" i="9"/>
  <c r="GX9" i="9"/>
  <c r="FZ9" i="9"/>
  <c r="FK9" i="9"/>
  <c r="EY9" i="9"/>
  <c r="FI9" i="9" s="1"/>
  <c r="DX9" i="9"/>
  <c r="DB9" i="9"/>
  <c r="CY9" i="9"/>
  <c r="CV9" i="9"/>
  <c r="CL9" i="9"/>
  <c r="BR9" i="9"/>
  <c r="BQ9" i="9"/>
  <c r="AN9" i="9"/>
  <c r="AJ9" i="9"/>
  <c r="T9" i="9"/>
  <c r="ER9" i="9" s="1"/>
  <c r="G9" i="9"/>
  <c r="D9" i="9"/>
  <c r="GX8" i="9"/>
  <c r="FZ8" i="9"/>
  <c r="FK8" i="9"/>
  <c r="FI8" i="9"/>
  <c r="EY8" i="9"/>
  <c r="DX8" i="9"/>
  <c r="DX56" i="9" s="1"/>
  <c r="DB8" i="9"/>
  <c r="DB56" i="9" s="1"/>
  <c r="CY8" i="9"/>
  <c r="CV8" i="9"/>
  <c r="CL8" i="9"/>
  <c r="BR8" i="9"/>
  <c r="BQ8" i="9" s="1"/>
  <c r="AN8" i="9"/>
  <c r="AJ8" i="9"/>
  <c r="T8" i="9"/>
  <c r="T39" i="9" s="1"/>
  <c r="G8" i="9"/>
  <c r="D8" i="9"/>
  <c r="GX7" i="9"/>
  <c r="FZ7" i="9"/>
  <c r="FK7" i="9"/>
  <c r="EY7" i="9"/>
  <c r="EY59" i="9" s="1"/>
  <c r="ER7" i="9"/>
  <c r="DX7" i="9"/>
  <c r="DB7" i="9"/>
  <c r="CY7" i="9"/>
  <c r="CV7" i="9"/>
  <c r="CL7" i="9"/>
  <c r="BR7" i="9"/>
  <c r="BQ7" i="9"/>
  <c r="AN7" i="9"/>
  <c r="AN59" i="9" s="1"/>
  <c r="AJ7" i="9"/>
  <c r="T7" i="9"/>
  <c r="G7" i="9"/>
  <c r="G59" i="9" s="1"/>
  <c r="D7" i="9"/>
  <c r="GX6" i="9"/>
  <c r="FZ6" i="9"/>
  <c r="FK6" i="9"/>
  <c r="FI6" i="9"/>
  <c r="EY6" i="9"/>
  <c r="DX6" i="9"/>
  <c r="DX59" i="9" s="1"/>
  <c r="DB6" i="9"/>
  <c r="DB59" i="9" s="1"/>
  <c r="CY6" i="9"/>
  <c r="CV6" i="9"/>
  <c r="CL6" i="9"/>
  <c r="BR6" i="9"/>
  <c r="AN6" i="9"/>
  <c r="AJ6" i="9"/>
  <c r="AJ59" i="9" s="1"/>
  <c r="T6" i="9"/>
  <c r="G6" i="9"/>
  <c r="D6" i="9"/>
  <c r="D59" i="9" s="1"/>
  <c r="GE59" i="8"/>
  <c r="GD59" i="8"/>
  <c r="GC59" i="8"/>
  <c r="GB59" i="8"/>
  <c r="GA59" i="8"/>
  <c r="FY59" i="8"/>
  <c r="FO59" i="8"/>
  <c r="FN59" i="8"/>
  <c r="FM59" i="8"/>
  <c r="FL59" i="8"/>
  <c r="FJ59" i="8"/>
  <c r="FH59" i="8"/>
  <c r="FG59" i="8"/>
  <c r="FF59" i="8"/>
  <c r="FE59" i="8"/>
  <c r="FD59" i="8"/>
  <c r="FC59" i="8"/>
  <c r="FB59" i="8"/>
  <c r="FA59" i="8"/>
  <c r="EZ59" i="8"/>
  <c r="EX59" i="8"/>
  <c r="EW59" i="8"/>
  <c r="EV59" i="8"/>
  <c r="EU59" i="8"/>
  <c r="ET59" i="8"/>
  <c r="ES59" i="8"/>
  <c r="EQ59" i="8"/>
  <c r="EP59" i="8"/>
  <c r="EO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X59" i="8"/>
  <c r="CW59" i="8"/>
  <c r="CU59" i="8"/>
  <c r="CT59" i="8"/>
  <c r="CS59" i="8"/>
  <c r="CR59" i="8"/>
  <c r="CQ59" i="8"/>
  <c r="CP59" i="8"/>
  <c r="CO59" i="8"/>
  <c r="CN59" i="8"/>
  <c r="CM59" i="8"/>
  <c r="CK59" i="8"/>
  <c r="CJ59" i="8"/>
  <c r="CI59" i="8"/>
  <c r="CH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M59" i="8"/>
  <c r="AL59" i="8"/>
  <c r="AK59" i="8"/>
  <c r="AI59" i="8"/>
  <c r="AH59" i="8"/>
  <c r="AG59" i="8"/>
  <c r="AF59" i="8"/>
  <c r="AE59" i="8"/>
  <c r="AD59" i="8"/>
  <c r="AB59" i="8"/>
  <c r="AA59" i="8"/>
  <c r="Z59" i="8"/>
  <c r="Y59" i="8"/>
  <c r="X59" i="8"/>
  <c r="W59" i="8"/>
  <c r="V59" i="8"/>
  <c r="U59" i="8"/>
  <c r="S59" i="8"/>
  <c r="R59" i="8"/>
  <c r="Q59" i="8"/>
  <c r="P59" i="8"/>
  <c r="O59" i="8"/>
  <c r="N59" i="8"/>
  <c r="M59" i="8"/>
  <c r="L59" i="8"/>
  <c r="K59" i="8"/>
  <c r="J59" i="8"/>
  <c r="I59" i="8"/>
  <c r="H59" i="8"/>
  <c r="F59" i="8"/>
  <c r="E59" i="8"/>
  <c r="C59" i="8"/>
  <c r="GE58" i="8"/>
  <c r="GD58" i="8"/>
  <c r="GC58" i="8"/>
  <c r="GB58" i="8"/>
  <c r="GA58" i="8"/>
  <c r="FY58" i="8"/>
  <c r="FO58" i="8"/>
  <c r="FN58" i="8"/>
  <c r="FM58" i="8"/>
  <c r="FL58" i="8"/>
  <c r="FJ58" i="8"/>
  <c r="FH58" i="8"/>
  <c r="FG58" i="8"/>
  <c r="FF58" i="8"/>
  <c r="FE58" i="8"/>
  <c r="FD58" i="8"/>
  <c r="FC58" i="8"/>
  <c r="FB58" i="8"/>
  <c r="FA58" i="8"/>
  <c r="EZ58" i="8"/>
  <c r="EY58" i="8"/>
  <c r="EX58" i="8"/>
  <c r="EW58" i="8"/>
  <c r="EV58" i="8"/>
  <c r="EU58" i="8"/>
  <c r="ET58" i="8"/>
  <c r="ES58" i="8"/>
  <c r="EQ58" i="8"/>
  <c r="EP58" i="8"/>
  <c r="EO58" i="8"/>
  <c r="EM58" i="8"/>
  <c r="EL58" i="8"/>
  <c r="EK58" i="8"/>
  <c r="EJ58" i="8"/>
  <c r="EI58" i="8"/>
  <c r="EH58" i="8"/>
  <c r="EG58" i="8"/>
  <c r="EF58" i="8"/>
  <c r="EE58" i="8"/>
  <c r="ED58" i="8"/>
  <c r="EC58" i="8"/>
  <c r="EB58" i="8"/>
  <c r="EA58" i="8"/>
  <c r="DZ58" i="8"/>
  <c r="DY58" i="8"/>
  <c r="DW58" i="8"/>
  <c r="DV58" i="8"/>
  <c r="DU58" i="8"/>
  <c r="DT58" i="8"/>
  <c r="DS58" i="8"/>
  <c r="DR58" i="8"/>
  <c r="DQ58" i="8"/>
  <c r="DP58" i="8"/>
  <c r="DO58" i="8"/>
  <c r="DN58" i="8"/>
  <c r="DM58" i="8"/>
  <c r="DL58" i="8"/>
  <c r="DK58" i="8"/>
  <c r="DJ58" i="8"/>
  <c r="DI58" i="8"/>
  <c r="DH58" i="8"/>
  <c r="DG58" i="8"/>
  <c r="DF58" i="8"/>
  <c r="DE58" i="8"/>
  <c r="DD58" i="8"/>
  <c r="DC58" i="8"/>
  <c r="DA58" i="8"/>
  <c r="CZ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M58" i="8"/>
  <c r="AL58" i="8"/>
  <c r="AK58" i="8"/>
  <c r="AI58" i="8"/>
  <c r="AH58" i="8"/>
  <c r="AG58" i="8"/>
  <c r="AF58" i="8"/>
  <c r="AE58" i="8"/>
  <c r="AD58" i="8"/>
  <c r="AB58" i="8"/>
  <c r="AA58" i="8"/>
  <c r="Z58" i="8"/>
  <c r="Y58" i="8"/>
  <c r="X58" i="8"/>
  <c r="W58" i="8"/>
  <c r="V58" i="8"/>
  <c r="U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C58" i="8"/>
  <c r="GK57" i="8"/>
  <c r="GF57" i="8"/>
  <c r="GE57" i="8"/>
  <c r="GD57" i="8"/>
  <c r="GC57" i="8"/>
  <c r="GB57" i="8"/>
  <c r="GA57" i="8"/>
  <c r="FY57" i="8"/>
  <c r="FO57" i="8"/>
  <c r="FN57" i="8"/>
  <c r="FM57" i="8"/>
  <c r="FL57" i="8"/>
  <c r="FJ57" i="8"/>
  <c r="FH57" i="8"/>
  <c r="FG57" i="8"/>
  <c r="FF57" i="8"/>
  <c r="FE57" i="8"/>
  <c r="FD57" i="8"/>
  <c r="FC57" i="8"/>
  <c r="FB57" i="8"/>
  <c r="FA57" i="8"/>
  <c r="EZ57" i="8"/>
  <c r="EX57" i="8"/>
  <c r="EW57" i="8"/>
  <c r="EV57" i="8"/>
  <c r="EU57" i="8"/>
  <c r="ET57" i="8"/>
  <c r="ES57" i="8"/>
  <c r="EQ57" i="8"/>
  <c r="EP57" i="8"/>
  <c r="EO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A57" i="8"/>
  <c r="CZ57" i="8"/>
  <c r="CX57" i="8"/>
  <c r="CW57" i="8"/>
  <c r="CU57" i="8"/>
  <c r="CT57" i="8"/>
  <c r="CS57" i="8"/>
  <c r="CR57" i="8"/>
  <c r="CQ57" i="8"/>
  <c r="CP57" i="8"/>
  <c r="CO57" i="8"/>
  <c r="CN57" i="8"/>
  <c r="CM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M57" i="8"/>
  <c r="AL57" i="8"/>
  <c r="AK57" i="8"/>
  <c r="AI57" i="8"/>
  <c r="AH57" i="8"/>
  <c r="AG57" i="8"/>
  <c r="AF57" i="8"/>
  <c r="AE57" i="8"/>
  <c r="AD57" i="8"/>
  <c r="AB57" i="8"/>
  <c r="AA57" i="8"/>
  <c r="Z57" i="8"/>
  <c r="Y57" i="8"/>
  <c r="X57" i="8"/>
  <c r="W57" i="8"/>
  <c r="V57" i="8"/>
  <c r="U57" i="8"/>
  <c r="S57" i="8"/>
  <c r="R57" i="8"/>
  <c r="Q57" i="8"/>
  <c r="P57" i="8"/>
  <c r="O57" i="8"/>
  <c r="N57" i="8"/>
  <c r="M57" i="8"/>
  <c r="L57" i="8"/>
  <c r="K57" i="8"/>
  <c r="J57" i="8"/>
  <c r="I57" i="8"/>
  <c r="H57" i="8"/>
  <c r="F57" i="8"/>
  <c r="E57" i="8"/>
  <c r="D57" i="8"/>
  <c r="C57" i="8"/>
  <c r="GE56" i="8"/>
  <c r="GD56" i="8"/>
  <c r="GC56" i="8"/>
  <c r="GB56" i="8"/>
  <c r="GA56" i="8"/>
  <c r="FY56" i="8"/>
  <c r="FO56" i="8"/>
  <c r="FN56" i="8"/>
  <c r="FM56" i="8"/>
  <c r="FL56" i="8"/>
  <c r="FJ56" i="8"/>
  <c r="FH56" i="8"/>
  <c r="FG56" i="8"/>
  <c r="FF56" i="8"/>
  <c r="FE56" i="8"/>
  <c r="FD56" i="8"/>
  <c r="FC56" i="8"/>
  <c r="FB56" i="8"/>
  <c r="FA56" i="8"/>
  <c r="EZ56" i="8"/>
  <c r="EX56" i="8"/>
  <c r="EW56" i="8"/>
  <c r="EV56" i="8"/>
  <c r="EU56" i="8"/>
  <c r="ET56" i="8"/>
  <c r="ES56" i="8"/>
  <c r="EQ56" i="8"/>
  <c r="EP56" i="8"/>
  <c r="EO56" i="8"/>
  <c r="EN56" i="8"/>
  <c r="EM56" i="8"/>
  <c r="EL56" i="8"/>
  <c r="EK56" i="8"/>
  <c r="EJ56" i="8"/>
  <c r="EI56" i="8"/>
  <c r="EH56" i="8"/>
  <c r="EG56" i="8"/>
  <c r="EF56" i="8"/>
  <c r="EE56" i="8"/>
  <c r="ED56" i="8"/>
  <c r="EC56" i="8"/>
  <c r="EB56" i="8"/>
  <c r="EA56" i="8"/>
  <c r="DZ56" i="8"/>
  <c r="DY56" i="8"/>
  <c r="DW56" i="8"/>
  <c r="DV56" i="8"/>
  <c r="DU56" i="8"/>
  <c r="DT56" i="8"/>
  <c r="DS56" i="8"/>
  <c r="DR56" i="8"/>
  <c r="DQ56" i="8"/>
  <c r="DP56" i="8"/>
  <c r="DO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X56" i="8"/>
  <c r="CW56" i="8"/>
  <c r="CU56" i="8"/>
  <c r="CT56" i="8"/>
  <c r="CS56" i="8"/>
  <c r="CR56" i="8"/>
  <c r="CQ56" i="8"/>
  <c r="CP56" i="8"/>
  <c r="CO56" i="8"/>
  <c r="CN56" i="8"/>
  <c r="CM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M56" i="8"/>
  <c r="AL56" i="8"/>
  <c r="AK56" i="8"/>
  <c r="AI56" i="8"/>
  <c r="AH56" i="8"/>
  <c r="AG56" i="8"/>
  <c r="AF56" i="8"/>
  <c r="AE56" i="8"/>
  <c r="AD56" i="8"/>
  <c r="AB56" i="8"/>
  <c r="AA56" i="8"/>
  <c r="Z56" i="8"/>
  <c r="Y56" i="8"/>
  <c r="X56" i="8"/>
  <c r="W56" i="8"/>
  <c r="V56" i="8"/>
  <c r="U56" i="8"/>
  <c r="S56" i="8"/>
  <c r="R56" i="8"/>
  <c r="Q56" i="8"/>
  <c r="P56" i="8"/>
  <c r="O56" i="8"/>
  <c r="N56" i="8"/>
  <c r="M56" i="8"/>
  <c r="L56" i="8"/>
  <c r="K56" i="8"/>
  <c r="J56" i="8"/>
  <c r="I56" i="8"/>
  <c r="H56" i="8"/>
  <c r="F56" i="8"/>
  <c r="E56" i="8"/>
  <c r="C56" i="8"/>
  <c r="FM54" i="8"/>
  <c r="FL54" i="8"/>
  <c r="FM53" i="8"/>
  <c r="FL53" i="8"/>
  <c r="EK53" i="8"/>
  <c r="EK54" i="8" s="1"/>
  <c r="GX52" i="8"/>
  <c r="GK52" i="8"/>
  <c r="FZ52" i="8"/>
  <c r="FK52" i="8"/>
  <c r="FI52" i="8"/>
  <c r="EY52" i="8"/>
  <c r="ER52" i="8"/>
  <c r="EN52" i="8"/>
  <c r="DX52" i="8"/>
  <c r="DB52" i="8"/>
  <c r="CY52" i="8"/>
  <c r="CV52" i="8"/>
  <c r="CL52" i="8"/>
  <c r="BR52" i="8"/>
  <c r="BQ52" i="8"/>
  <c r="AN52" i="8"/>
  <c r="AJ52" i="8"/>
  <c r="AJ59" i="8" s="1"/>
  <c r="T52" i="8"/>
  <c r="G52" i="8"/>
  <c r="D52" i="8"/>
  <c r="GX51" i="8"/>
  <c r="GK51" i="8"/>
  <c r="GK59" i="8" s="1"/>
  <c r="GF51" i="8"/>
  <c r="GF52" i="8" s="1"/>
  <c r="FZ51" i="8"/>
  <c r="FK51" i="8"/>
  <c r="EY51" i="8"/>
  <c r="FI51" i="8" s="1"/>
  <c r="EN51" i="8"/>
  <c r="DX51" i="8"/>
  <c r="DB51" i="8"/>
  <c r="CY51" i="8"/>
  <c r="CV51" i="8"/>
  <c r="CL51" i="8"/>
  <c r="BR51" i="8"/>
  <c r="BQ51" i="8" s="1"/>
  <c r="BQ59" i="8" s="1"/>
  <c r="AN51" i="8"/>
  <c r="AN59" i="8" s="1"/>
  <c r="AJ51" i="8"/>
  <c r="T51" i="8"/>
  <c r="G51" i="8"/>
  <c r="D51" i="8"/>
  <c r="GY50" i="8"/>
  <c r="GX50" i="8"/>
  <c r="GK50" i="8"/>
  <c r="GG50" i="8"/>
  <c r="GF50" i="8"/>
  <c r="FZ50" i="8"/>
  <c r="FK50" i="8"/>
  <c r="EY50" i="8"/>
  <c r="EN50" i="8"/>
  <c r="EN57" i="8" s="1"/>
  <c r="DX50" i="8"/>
  <c r="DB50" i="8"/>
  <c r="DB57" i="8" s="1"/>
  <c r="CY50" i="8"/>
  <c r="CY58" i="8" s="1"/>
  <c r="CV50" i="8"/>
  <c r="CL50" i="8"/>
  <c r="BR50" i="8"/>
  <c r="BQ50" i="8"/>
  <c r="AN50" i="8"/>
  <c r="AJ50" i="8"/>
  <c r="AJ57" i="8" s="1"/>
  <c r="T50" i="8"/>
  <c r="ER50" i="8" s="1"/>
  <c r="G50" i="8"/>
  <c r="D50" i="8"/>
  <c r="GX49" i="8"/>
  <c r="FZ49" i="8"/>
  <c r="FK49" i="8"/>
  <c r="EY49" i="8"/>
  <c r="FI49" i="8" s="1"/>
  <c r="ER49" i="8"/>
  <c r="DX49" i="8"/>
  <c r="DB49" i="8"/>
  <c r="CY49" i="8"/>
  <c r="CV49" i="8"/>
  <c r="CL49" i="8"/>
  <c r="BR49" i="8"/>
  <c r="BQ49" i="8"/>
  <c r="AN49" i="8"/>
  <c r="AJ49" i="8"/>
  <c r="T49" i="8"/>
  <c r="G49" i="8"/>
  <c r="D49" i="8"/>
  <c r="GX48" i="8"/>
  <c r="GG48" i="8" s="1"/>
  <c r="FZ48" i="8"/>
  <c r="FK48" i="8"/>
  <c r="FI48" i="8"/>
  <c r="EY48" i="8"/>
  <c r="DX48" i="8"/>
  <c r="DB48" i="8"/>
  <c r="CY48" i="8"/>
  <c r="CV48" i="8"/>
  <c r="CL48" i="8"/>
  <c r="BR48" i="8"/>
  <c r="BQ48" i="8" s="1"/>
  <c r="AN48" i="8"/>
  <c r="AJ48" i="8"/>
  <c r="T48" i="8"/>
  <c r="G48" i="8"/>
  <c r="D48" i="8"/>
  <c r="GX47" i="8"/>
  <c r="FZ47" i="8"/>
  <c r="FK47" i="8"/>
  <c r="EY47" i="8"/>
  <c r="FI47" i="8" s="1"/>
  <c r="ER47" i="8"/>
  <c r="DX47" i="8"/>
  <c r="DB47" i="8"/>
  <c r="CY47" i="8"/>
  <c r="CV47" i="8"/>
  <c r="CL47" i="8"/>
  <c r="BR47" i="8"/>
  <c r="BQ47" i="8"/>
  <c r="AN47" i="8"/>
  <c r="AJ47" i="8"/>
  <c r="T47" i="8"/>
  <c r="G47" i="8"/>
  <c r="D47" i="8"/>
  <c r="GX46" i="8"/>
  <c r="FZ46" i="8"/>
  <c r="FK46" i="8"/>
  <c r="FI46" i="8"/>
  <c r="EY46" i="8"/>
  <c r="DX46" i="8"/>
  <c r="DB46" i="8"/>
  <c r="CY46" i="8"/>
  <c r="CV46" i="8"/>
  <c r="CL46" i="8"/>
  <c r="BR46" i="8"/>
  <c r="BQ46" i="8" s="1"/>
  <c r="AN46" i="8"/>
  <c r="AJ46" i="8"/>
  <c r="T46" i="8"/>
  <c r="G46" i="8"/>
  <c r="D46" i="8"/>
  <c r="GX45" i="8"/>
  <c r="FZ45" i="8"/>
  <c r="FK45" i="8"/>
  <c r="FI45" i="8"/>
  <c r="EY45" i="8"/>
  <c r="ER45" i="8"/>
  <c r="DX45" i="8"/>
  <c r="DB45" i="8"/>
  <c r="CY45" i="8"/>
  <c r="CV45" i="8"/>
  <c r="CL45" i="8"/>
  <c r="BR45" i="8"/>
  <c r="BQ45" i="8" s="1"/>
  <c r="AN45" i="8"/>
  <c r="AJ45" i="8"/>
  <c r="T45" i="8"/>
  <c r="G45" i="8"/>
  <c r="D45" i="8"/>
  <c r="GX44" i="8"/>
  <c r="GG44" i="8"/>
  <c r="FZ44" i="8"/>
  <c r="FK44" i="8"/>
  <c r="EY44" i="8"/>
  <c r="FI44" i="8" s="1"/>
  <c r="ER44" i="8"/>
  <c r="DX44" i="8"/>
  <c r="DB44" i="8"/>
  <c r="CY44" i="8"/>
  <c r="CY57" i="8" s="1"/>
  <c r="CV44" i="8"/>
  <c r="CL44" i="8"/>
  <c r="BR44" i="8"/>
  <c r="BQ44" i="8"/>
  <c r="AN44" i="8"/>
  <c r="AJ44" i="8"/>
  <c r="T44" i="8"/>
  <c r="G44" i="8"/>
  <c r="D44" i="8"/>
  <c r="GX43" i="8"/>
  <c r="FZ43" i="8"/>
  <c r="FK43" i="8"/>
  <c r="EY43" i="8"/>
  <c r="FI43" i="8" s="1"/>
  <c r="DX43" i="8"/>
  <c r="DB43" i="8"/>
  <c r="CY43" i="8"/>
  <c r="CV43" i="8"/>
  <c r="CL43" i="8"/>
  <c r="BR43" i="8"/>
  <c r="BQ43" i="8"/>
  <c r="AN43" i="8"/>
  <c r="AJ43" i="8"/>
  <c r="T43" i="8"/>
  <c r="ER43" i="8" s="1"/>
  <c r="G43" i="8"/>
  <c r="D43" i="8"/>
  <c r="GX42" i="8"/>
  <c r="FZ42" i="8"/>
  <c r="FK42" i="8"/>
  <c r="EY42" i="8"/>
  <c r="FI42" i="8" s="1"/>
  <c r="ER42" i="8"/>
  <c r="DX42" i="8"/>
  <c r="DB42" i="8"/>
  <c r="CY42" i="8"/>
  <c r="CV42" i="8"/>
  <c r="CL42" i="8"/>
  <c r="BR42" i="8"/>
  <c r="BQ42" i="8"/>
  <c r="AN42" i="8"/>
  <c r="AJ42" i="8"/>
  <c r="T42" i="8"/>
  <c r="G42" i="8"/>
  <c r="D42" i="8"/>
  <c r="GX41" i="8"/>
  <c r="FZ41" i="8"/>
  <c r="FK41" i="8"/>
  <c r="EY41" i="8"/>
  <c r="FI41" i="8" s="1"/>
  <c r="DX41" i="8"/>
  <c r="DB41" i="8"/>
  <c r="CY41" i="8"/>
  <c r="CV41" i="8"/>
  <c r="CL41" i="8"/>
  <c r="BR41" i="8"/>
  <c r="BQ41" i="8" s="1"/>
  <c r="BQ57" i="8" s="1"/>
  <c r="AN41" i="8"/>
  <c r="AJ41" i="8"/>
  <c r="T41" i="8"/>
  <c r="G41" i="8"/>
  <c r="D41" i="8"/>
  <c r="GX40" i="8"/>
  <c r="FZ40" i="8"/>
  <c r="FK40" i="8"/>
  <c r="EY40" i="8"/>
  <c r="FI40" i="8" s="1"/>
  <c r="ER40" i="8"/>
  <c r="DX40" i="8"/>
  <c r="DB40" i="8"/>
  <c r="CY40" i="8"/>
  <c r="CV40" i="8"/>
  <c r="CL40" i="8"/>
  <c r="BR40" i="8"/>
  <c r="BQ40" i="8"/>
  <c r="AN40" i="8"/>
  <c r="AJ40" i="8"/>
  <c r="T40" i="8"/>
  <c r="G40" i="8"/>
  <c r="D40" i="8"/>
  <c r="GX39" i="8"/>
  <c r="GK39" i="8"/>
  <c r="GK58" i="8" s="1"/>
  <c r="GF39" i="8"/>
  <c r="GF56" i="8" s="1"/>
  <c r="FZ39" i="8"/>
  <c r="FK39" i="8"/>
  <c r="EY39" i="8"/>
  <c r="EN39" i="8"/>
  <c r="DX39" i="8"/>
  <c r="DB39" i="8"/>
  <c r="CY39" i="8"/>
  <c r="CV39" i="8"/>
  <c r="BR39" i="8"/>
  <c r="BQ39" i="8" s="1"/>
  <c r="AQ39" i="8"/>
  <c r="S39" i="8"/>
  <c r="S58" i="8" s="1"/>
  <c r="G39" i="8"/>
  <c r="D39" i="8"/>
  <c r="GX38" i="8"/>
  <c r="FZ38" i="8"/>
  <c r="FK38" i="8"/>
  <c r="FI38" i="8"/>
  <c r="EY38" i="8"/>
  <c r="DX38" i="8"/>
  <c r="DB38" i="8"/>
  <c r="CY38" i="8"/>
  <c r="CV38" i="8"/>
  <c r="CL38" i="8"/>
  <c r="BR38" i="8"/>
  <c r="AN38" i="8"/>
  <c r="AJ38" i="8"/>
  <c r="T38" i="8"/>
  <c r="G38" i="8"/>
  <c r="D38" i="8"/>
  <c r="GX37" i="8"/>
  <c r="FZ37" i="8"/>
  <c r="FK37" i="8"/>
  <c r="FI37" i="8"/>
  <c r="EY37" i="8"/>
  <c r="DX37" i="8"/>
  <c r="DB37" i="8"/>
  <c r="CY37" i="8"/>
  <c r="CV37" i="8"/>
  <c r="CL37" i="8"/>
  <c r="BR37" i="8"/>
  <c r="AN37" i="8"/>
  <c r="AJ37" i="8"/>
  <c r="T37" i="8"/>
  <c r="G37" i="8"/>
  <c r="D37" i="8"/>
  <c r="GX36" i="8"/>
  <c r="GG36" i="8"/>
  <c r="FZ36" i="8"/>
  <c r="FK36" i="8"/>
  <c r="EY36" i="8"/>
  <c r="FI36" i="8" s="1"/>
  <c r="ER36" i="8"/>
  <c r="DX36" i="8"/>
  <c r="DB36" i="8"/>
  <c r="CY36" i="8"/>
  <c r="CV36" i="8"/>
  <c r="CL36" i="8"/>
  <c r="BR36" i="8"/>
  <c r="BQ36" i="8"/>
  <c r="AN36" i="8"/>
  <c r="AJ36" i="8"/>
  <c r="T36" i="8"/>
  <c r="G36" i="8"/>
  <c r="D36" i="8"/>
  <c r="GX35" i="8"/>
  <c r="FZ35" i="8"/>
  <c r="FK35" i="8"/>
  <c r="EY35" i="8"/>
  <c r="FI35" i="8" s="1"/>
  <c r="DX35" i="8"/>
  <c r="DB35" i="8"/>
  <c r="CY35" i="8"/>
  <c r="CV35" i="8"/>
  <c r="CL35" i="8"/>
  <c r="BR35" i="8"/>
  <c r="BQ35" i="8"/>
  <c r="AN35" i="8"/>
  <c r="AJ35" i="8"/>
  <c r="T35" i="8"/>
  <c r="ER35" i="8" s="1"/>
  <c r="G35" i="8"/>
  <c r="D35" i="8"/>
  <c r="GX34" i="8"/>
  <c r="FZ34" i="8"/>
  <c r="FK34" i="8"/>
  <c r="EY34" i="8"/>
  <c r="FI34" i="8" s="1"/>
  <c r="ER34" i="8"/>
  <c r="DX34" i="8"/>
  <c r="DB34" i="8"/>
  <c r="CY34" i="8"/>
  <c r="CV34" i="8"/>
  <c r="CL34" i="8"/>
  <c r="BR34" i="8"/>
  <c r="BQ34" i="8"/>
  <c r="AN34" i="8"/>
  <c r="AJ34" i="8"/>
  <c r="T34" i="8"/>
  <c r="G34" i="8"/>
  <c r="D34" i="8"/>
  <c r="GX33" i="8"/>
  <c r="FZ33" i="8"/>
  <c r="FK33" i="8"/>
  <c r="EY33" i="8"/>
  <c r="FI33" i="8" s="1"/>
  <c r="DX33" i="8"/>
  <c r="DB33" i="8"/>
  <c r="CY33" i="8"/>
  <c r="CV33" i="8"/>
  <c r="CL33" i="8"/>
  <c r="BR33" i="8"/>
  <c r="BQ33" i="8" s="1"/>
  <c r="AN33" i="8"/>
  <c r="AJ33" i="8"/>
  <c r="T33" i="8"/>
  <c r="G33" i="8"/>
  <c r="D33" i="8"/>
  <c r="GX32" i="8"/>
  <c r="FZ32" i="8"/>
  <c r="FK32" i="8"/>
  <c r="EY32" i="8"/>
  <c r="FI32" i="8" s="1"/>
  <c r="ER32" i="8"/>
  <c r="DX32" i="8"/>
  <c r="DB32" i="8"/>
  <c r="CY32" i="8"/>
  <c r="CV32" i="8"/>
  <c r="CL32" i="8"/>
  <c r="BR32" i="8"/>
  <c r="BQ32" i="8"/>
  <c r="AN32" i="8"/>
  <c r="AJ32" i="8"/>
  <c r="T32" i="8"/>
  <c r="G32" i="8"/>
  <c r="D32" i="8"/>
  <c r="GX31" i="8"/>
  <c r="GG31" i="8"/>
  <c r="FZ31" i="8"/>
  <c r="FK31" i="8"/>
  <c r="FI31" i="8"/>
  <c r="EY31" i="8"/>
  <c r="DX31" i="8"/>
  <c r="DB31" i="8"/>
  <c r="CY31" i="8"/>
  <c r="CV31" i="8"/>
  <c r="CL31" i="8"/>
  <c r="BR31" i="8"/>
  <c r="BQ31" i="8" s="1"/>
  <c r="AN31" i="8"/>
  <c r="AJ31" i="8"/>
  <c r="T31" i="8"/>
  <c r="ER31" i="8" s="1"/>
  <c r="G31" i="8"/>
  <c r="D31" i="8"/>
  <c r="GX30" i="8"/>
  <c r="GG30" i="8"/>
  <c r="FZ30" i="8"/>
  <c r="FK30" i="8"/>
  <c r="EY30" i="8"/>
  <c r="FI30" i="8" s="1"/>
  <c r="DX30" i="8"/>
  <c r="DB30" i="8"/>
  <c r="CY30" i="8"/>
  <c r="CV30" i="8"/>
  <c r="CL30" i="8"/>
  <c r="BR30" i="8"/>
  <c r="BQ30" i="8"/>
  <c r="AN30" i="8"/>
  <c r="AJ30" i="8"/>
  <c r="T30" i="8"/>
  <c r="ER30" i="8" s="1"/>
  <c r="G30" i="8"/>
  <c r="D30" i="8"/>
  <c r="GX29" i="8"/>
  <c r="FZ29" i="8"/>
  <c r="FK29" i="8"/>
  <c r="EY29" i="8"/>
  <c r="FI29" i="8" s="1"/>
  <c r="ER29" i="8"/>
  <c r="DX29" i="8"/>
  <c r="DB29" i="8"/>
  <c r="CY29" i="8"/>
  <c r="CV29" i="8"/>
  <c r="CL29" i="8"/>
  <c r="BR29" i="8"/>
  <c r="BQ29" i="8"/>
  <c r="AN29" i="8"/>
  <c r="AJ29" i="8"/>
  <c r="T29" i="8"/>
  <c r="G29" i="8"/>
  <c r="D29" i="8"/>
  <c r="GX28" i="8"/>
  <c r="FZ28" i="8"/>
  <c r="FK28" i="8"/>
  <c r="EY28" i="8"/>
  <c r="FI28" i="8" s="1"/>
  <c r="DX28" i="8"/>
  <c r="DB28" i="8"/>
  <c r="CY28" i="8"/>
  <c r="CV28" i="8"/>
  <c r="CL28" i="8"/>
  <c r="BR28" i="8"/>
  <c r="BQ28" i="8"/>
  <c r="AN28" i="8"/>
  <c r="AJ28" i="8"/>
  <c r="T28" i="8"/>
  <c r="G28" i="8"/>
  <c r="D28" i="8"/>
  <c r="GX27" i="8"/>
  <c r="GG27" i="8"/>
  <c r="FZ27" i="8"/>
  <c r="FK27" i="8"/>
  <c r="FI27" i="8"/>
  <c r="EY27" i="8"/>
  <c r="DX27" i="8"/>
  <c r="DB27" i="8"/>
  <c r="CY27" i="8"/>
  <c r="CV27" i="8"/>
  <c r="CL27" i="8"/>
  <c r="BR27" i="8"/>
  <c r="ER27" i="8" s="1"/>
  <c r="BQ27" i="8"/>
  <c r="AN27" i="8"/>
  <c r="AJ27" i="8"/>
  <c r="T27" i="8"/>
  <c r="G27" i="8"/>
  <c r="D27" i="8"/>
  <c r="GX26" i="8"/>
  <c r="GG26" i="8"/>
  <c r="FZ26" i="8"/>
  <c r="FK26" i="8"/>
  <c r="EY26" i="8"/>
  <c r="FI26" i="8" s="1"/>
  <c r="ER26" i="8"/>
  <c r="DX26" i="8"/>
  <c r="DB26" i="8"/>
  <c r="CY26" i="8"/>
  <c r="CV26" i="8"/>
  <c r="CL26" i="8"/>
  <c r="BR26" i="8"/>
  <c r="BQ26" i="8"/>
  <c r="AN26" i="8"/>
  <c r="AJ26" i="8"/>
  <c r="T26" i="8"/>
  <c r="G26" i="8"/>
  <c r="D26" i="8"/>
  <c r="GX25" i="8"/>
  <c r="FZ25" i="8"/>
  <c r="FK25" i="8"/>
  <c r="EY25" i="8"/>
  <c r="FI25" i="8" s="1"/>
  <c r="DX25" i="8"/>
  <c r="DB25" i="8"/>
  <c r="CY25" i="8"/>
  <c r="CV25" i="8"/>
  <c r="CL25" i="8"/>
  <c r="BR25" i="8"/>
  <c r="BQ25" i="8"/>
  <c r="AN25" i="8"/>
  <c r="AJ25" i="8"/>
  <c r="T25" i="8"/>
  <c r="ER25" i="8" s="1"/>
  <c r="G25" i="8"/>
  <c r="D25" i="8"/>
  <c r="GX24" i="8"/>
  <c r="FZ24" i="8"/>
  <c r="FK24" i="8"/>
  <c r="EY24" i="8"/>
  <c r="FI24" i="8" s="1"/>
  <c r="ER24" i="8"/>
  <c r="DX24" i="8"/>
  <c r="DB24" i="8"/>
  <c r="CY24" i="8"/>
  <c r="CV24" i="8"/>
  <c r="CL24" i="8"/>
  <c r="BR24" i="8"/>
  <c r="BQ24" i="8"/>
  <c r="AN24" i="8"/>
  <c r="AJ24" i="8"/>
  <c r="T24" i="8"/>
  <c r="G24" i="8"/>
  <c r="D24" i="8"/>
  <c r="GX23" i="8"/>
  <c r="GG23" i="8" s="1"/>
  <c r="FZ23" i="8"/>
  <c r="FK23" i="8"/>
  <c r="FI23" i="8"/>
  <c r="EY23" i="8"/>
  <c r="DX23" i="8"/>
  <c r="DB23" i="8"/>
  <c r="CY23" i="8"/>
  <c r="CV23" i="8"/>
  <c r="CL23" i="8"/>
  <c r="BR23" i="8"/>
  <c r="BQ23" i="8" s="1"/>
  <c r="AN23" i="8"/>
  <c r="AJ23" i="8"/>
  <c r="T23" i="8"/>
  <c r="G23" i="8"/>
  <c r="D23" i="8"/>
  <c r="GX22" i="8"/>
  <c r="FZ22" i="8"/>
  <c r="FK22" i="8"/>
  <c r="EY22" i="8"/>
  <c r="FI22" i="8" s="1"/>
  <c r="DX22" i="8"/>
  <c r="DB22" i="8"/>
  <c r="CY22" i="8"/>
  <c r="CV22" i="8"/>
  <c r="CL22" i="8"/>
  <c r="BR22" i="8"/>
  <c r="BQ22" i="8"/>
  <c r="AN22" i="8"/>
  <c r="AJ22" i="8"/>
  <c r="T22" i="8"/>
  <c r="ER22" i="8" s="1"/>
  <c r="G22" i="8"/>
  <c r="D22" i="8"/>
  <c r="GX21" i="8"/>
  <c r="FZ21" i="8"/>
  <c r="FK21" i="8"/>
  <c r="FI21" i="8"/>
  <c r="EY21" i="8"/>
  <c r="ER21" i="8"/>
  <c r="DX21" i="8"/>
  <c r="DB21" i="8"/>
  <c r="CY21" i="8"/>
  <c r="CV21" i="8"/>
  <c r="CL21" i="8"/>
  <c r="BR21" i="8"/>
  <c r="BQ21" i="8" s="1"/>
  <c r="AN21" i="8"/>
  <c r="AJ21" i="8"/>
  <c r="T21" i="8"/>
  <c r="G21" i="8"/>
  <c r="D21" i="8"/>
  <c r="GX20" i="8"/>
  <c r="FZ20" i="8"/>
  <c r="FK20" i="8"/>
  <c r="EY20" i="8"/>
  <c r="FI20" i="8" s="1"/>
  <c r="DX20" i="8"/>
  <c r="DB20" i="8"/>
  <c r="CY20" i="8"/>
  <c r="CV20" i="8"/>
  <c r="CL20" i="8"/>
  <c r="BR20" i="8"/>
  <c r="ER20" i="8" s="1"/>
  <c r="AN20" i="8"/>
  <c r="AJ20" i="8"/>
  <c r="T20" i="8"/>
  <c r="G20" i="8"/>
  <c r="D20" i="8"/>
  <c r="GX19" i="8"/>
  <c r="GG19" i="8"/>
  <c r="FZ19" i="8"/>
  <c r="FK19" i="8"/>
  <c r="EY19" i="8"/>
  <c r="FI19" i="8" s="1"/>
  <c r="ER19" i="8"/>
  <c r="DX19" i="8"/>
  <c r="DB19" i="8"/>
  <c r="CY19" i="8"/>
  <c r="CV19" i="8"/>
  <c r="CL19" i="8"/>
  <c r="BR19" i="8"/>
  <c r="BQ19" i="8"/>
  <c r="AN19" i="8"/>
  <c r="AJ19" i="8"/>
  <c r="T19" i="8"/>
  <c r="G19" i="8"/>
  <c r="D19" i="8"/>
  <c r="GX18" i="8"/>
  <c r="FZ18" i="8"/>
  <c r="FK18" i="8"/>
  <c r="EY18" i="8"/>
  <c r="FI18" i="8" s="1"/>
  <c r="DX18" i="8"/>
  <c r="DB18" i="8"/>
  <c r="CY18" i="8"/>
  <c r="CV18" i="8"/>
  <c r="CL18" i="8"/>
  <c r="BR18" i="8"/>
  <c r="BQ18" i="8"/>
  <c r="AN18" i="8"/>
  <c r="AJ18" i="8"/>
  <c r="T18" i="8"/>
  <c r="ER18" i="8" s="1"/>
  <c r="G18" i="8"/>
  <c r="D18" i="8"/>
  <c r="GX17" i="8"/>
  <c r="GG17" i="8"/>
  <c r="FZ17" i="8"/>
  <c r="FK17" i="8"/>
  <c r="EY17" i="8"/>
  <c r="FI17" i="8" s="1"/>
  <c r="ER17" i="8"/>
  <c r="DX17" i="8"/>
  <c r="DB17" i="8"/>
  <c r="CY17" i="8"/>
  <c r="CV17" i="8"/>
  <c r="CL17" i="8"/>
  <c r="BR17" i="8"/>
  <c r="BQ17" i="8"/>
  <c r="AN17" i="8"/>
  <c r="AJ17" i="8"/>
  <c r="T17" i="8"/>
  <c r="G17" i="8"/>
  <c r="D17" i="8"/>
  <c r="GX16" i="8"/>
  <c r="GG16" i="8"/>
  <c r="FZ16" i="8"/>
  <c r="FK16" i="8"/>
  <c r="EY16" i="8"/>
  <c r="FI16" i="8" s="1"/>
  <c r="ER16" i="8"/>
  <c r="DX16" i="8"/>
  <c r="DB16" i="8"/>
  <c r="CY16" i="8"/>
  <c r="CV16" i="8"/>
  <c r="CL16" i="8"/>
  <c r="BR16" i="8"/>
  <c r="BQ16" i="8"/>
  <c r="AN16" i="8"/>
  <c r="AJ16" i="8"/>
  <c r="T16" i="8"/>
  <c r="G16" i="8"/>
  <c r="D16" i="8"/>
  <c r="GX15" i="8"/>
  <c r="FZ15" i="8"/>
  <c r="FK15" i="8"/>
  <c r="EY15" i="8"/>
  <c r="FI15" i="8" s="1"/>
  <c r="DX15" i="8"/>
  <c r="DB15" i="8"/>
  <c r="CY15" i="8"/>
  <c r="CV15" i="8"/>
  <c r="CL15" i="8"/>
  <c r="BR15" i="8"/>
  <c r="BQ15" i="8" s="1"/>
  <c r="AN15" i="8"/>
  <c r="AJ15" i="8"/>
  <c r="T15" i="8"/>
  <c r="G15" i="8"/>
  <c r="D15" i="8"/>
  <c r="GX14" i="8"/>
  <c r="FZ14" i="8"/>
  <c r="FK14" i="8"/>
  <c r="EY14" i="8"/>
  <c r="FI14" i="8" s="1"/>
  <c r="ER14" i="8"/>
  <c r="DX14" i="8"/>
  <c r="DB14" i="8"/>
  <c r="CY14" i="8"/>
  <c r="CV14" i="8"/>
  <c r="CL14" i="8"/>
  <c r="BR14" i="8"/>
  <c r="BQ14" i="8"/>
  <c r="AN14" i="8"/>
  <c r="AJ14" i="8"/>
  <c r="T14" i="8"/>
  <c r="G14" i="8"/>
  <c r="D14" i="8"/>
  <c r="GX13" i="8"/>
  <c r="GG13" i="8" s="1"/>
  <c r="FZ13" i="8"/>
  <c r="FK13" i="8"/>
  <c r="FI13" i="8"/>
  <c r="EY13" i="8"/>
  <c r="DX13" i="8"/>
  <c r="DB13" i="8"/>
  <c r="CY13" i="8"/>
  <c r="CV13" i="8"/>
  <c r="CL13" i="8"/>
  <c r="BR13" i="8"/>
  <c r="BQ13" i="8" s="1"/>
  <c r="AN13" i="8"/>
  <c r="AJ13" i="8"/>
  <c r="T13" i="8"/>
  <c r="ER13" i="8" s="1"/>
  <c r="G13" i="8"/>
  <c r="D13" i="8"/>
  <c r="GX12" i="8"/>
  <c r="GG12" i="8" s="1"/>
  <c r="FZ12" i="8"/>
  <c r="FK12" i="8"/>
  <c r="EY12" i="8"/>
  <c r="FI12" i="8" s="1"/>
  <c r="DX12" i="8"/>
  <c r="DB12" i="8"/>
  <c r="CY12" i="8"/>
  <c r="CV12" i="8"/>
  <c r="CL12" i="8"/>
  <c r="BR12" i="8"/>
  <c r="BQ12" i="8"/>
  <c r="AN12" i="8"/>
  <c r="AJ12" i="8"/>
  <c r="AJ39" i="8" s="1"/>
  <c r="T12" i="8"/>
  <c r="ER12" i="8" s="1"/>
  <c r="G12" i="8"/>
  <c r="D12" i="8"/>
  <c r="GX11" i="8"/>
  <c r="FZ11" i="8"/>
  <c r="FK11" i="8"/>
  <c r="EY11" i="8"/>
  <c r="FI11" i="8" s="1"/>
  <c r="ER11" i="8"/>
  <c r="DX11" i="8"/>
  <c r="DB11" i="8"/>
  <c r="CY11" i="8"/>
  <c r="CV11" i="8"/>
  <c r="CL11" i="8"/>
  <c r="BR11" i="8"/>
  <c r="BQ11" i="8"/>
  <c r="AN11" i="8"/>
  <c r="AJ11" i="8"/>
  <c r="T11" i="8"/>
  <c r="G11" i="8"/>
  <c r="D11" i="8"/>
  <c r="GX10" i="8"/>
  <c r="FZ10" i="8"/>
  <c r="FK10" i="8"/>
  <c r="FI10" i="8"/>
  <c r="EY10" i="8"/>
  <c r="DX10" i="8"/>
  <c r="DB10" i="8"/>
  <c r="CY10" i="8"/>
  <c r="CV10" i="8"/>
  <c r="CL10" i="8"/>
  <c r="BR10" i="8"/>
  <c r="BQ10" i="8"/>
  <c r="AN10" i="8"/>
  <c r="AJ10" i="8"/>
  <c r="T10" i="8"/>
  <c r="G10" i="8"/>
  <c r="D10" i="8"/>
  <c r="GX9" i="8"/>
  <c r="FZ9" i="8"/>
  <c r="FK9" i="8"/>
  <c r="EY9" i="8"/>
  <c r="FI9" i="8" s="1"/>
  <c r="ER9" i="8"/>
  <c r="DX9" i="8"/>
  <c r="DB9" i="8"/>
  <c r="CY9" i="8"/>
  <c r="CV9" i="8"/>
  <c r="CL9" i="8"/>
  <c r="BR9" i="8"/>
  <c r="BQ9" i="8"/>
  <c r="AN9" i="8"/>
  <c r="AN39" i="8" s="1"/>
  <c r="AJ9" i="8"/>
  <c r="T9" i="8"/>
  <c r="G9" i="8"/>
  <c r="D9" i="8"/>
  <c r="GX8" i="8"/>
  <c r="FZ8" i="8"/>
  <c r="FK8" i="8"/>
  <c r="FI8" i="8"/>
  <c r="EY8" i="8"/>
  <c r="DX8" i="8"/>
  <c r="DB8" i="8"/>
  <c r="CY8" i="8"/>
  <c r="CV8" i="8"/>
  <c r="CL8" i="8"/>
  <c r="BR8" i="8"/>
  <c r="BQ8" i="8"/>
  <c r="AN8" i="8"/>
  <c r="AJ8" i="8"/>
  <c r="T8" i="8"/>
  <c r="G8" i="8"/>
  <c r="D8" i="8"/>
  <c r="GX7" i="8"/>
  <c r="FZ7" i="8"/>
  <c r="FK7" i="8"/>
  <c r="EY7" i="8"/>
  <c r="FI7" i="8" s="1"/>
  <c r="ER7" i="8"/>
  <c r="DX7" i="8"/>
  <c r="DB7" i="8"/>
  <c r="CY7" i="8"/>
  <c r="CV7" i="8"/>
  <c r="CL7" i="8"/>
  <c r="BR7" i="8"/>
  <c r="BQ7" i="8"/>
  <c r="AN7" i="8"/>
  <c r="AJ7" i="8"/>
  <c r="T7" i="8"/>
  <c r="G7" i="8"/>
  <c r="D7" i="8"/>
  <c r="D59" i="8" s="1"/>
  <c r="GX6" i="8"/>
  <c r="FZ6" i="8"/>
  <c r="FK6" i="8"/>
  <c r="EY6" i="8"/>
  <c r="FI6" i="8" s="1"/>
  <c r="FI59" i="8" s="1"/>
  <c r="DX6" i="8"/>
  <c r="DX59" i="8" s="1"/>
  <c r="DB6" i="8"/>
  <c r="DB59" i="8" s="1"/>
  <c r="CY6" i="8"/>
  <c r="CY59" i="8" s="1"/>
  <c r="CV6" i="8"/>
  <c r="CV59" i="8" s="1"/>
  <c r="CL6" i="8"/>
  <c r="BR6" i="8"/>
  <c r="BQ6" i="8"/>
  <c r="AN6" i="8"/>
  <c r="AJ6" i="8"/>
  <c r="T6" i="8"/>
  <c r="G6" i="8"/>
  <c r="G59" i="8" s="1"/>
  <c r="D6" i="8"/>
  <c r="GE59" i="7"/>
  <c r="GD59" i="7"/>
  <c r="GC59" i="7"/>
  <c r="GB59" i="7"/>
  <c r="GA59" i="7"/>
  <c r="FY59" i="7"/>
  <c r="FO59" i="7"/>
  <c r="FN59" i="7"/>
  <c r="FM59" i="7"/>
  <c r="FL59" i="7"/>
  <c r="FJ59" i="7"/>
  <c r="FH59" i="7"/>
  <c r="FG59" i="7"/>
  <c r="FF59" i="7"/>
  <c r="FE59" i="7"/>
  <c r="FD59" i="7"/>
  <c r="FC59" i="7"/>
  <c r="FB59" i="7"/>
  <c r="FA59" i="7"/>
  <c r="EZ59" i="7"/>
  <c r="EX59" i="7"/>
  <c r="EW59" i="7"/>
  <c r="EV59" i="7"/>
  <c r="EU59" i="7"/>
  <c r="ET59" i="7"/>
  <c r="ES59" i="7"/>
  <c r="EQ59" i="7"/>
  <c r="EP59" i="7"/>
  <c r="EO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DI59" i="7"/>
  <c r="DH59" i="7"/>
  <c r="DG59" i="7"/>
  <c r="DF59" i="7"/>
  <c r="DE59" i="7"/>
  <c r="DD59" i="7"/>
  <c r="DC59" i="7"/>
  <c r="DA59" i="7"/>
  <c r="CZ59" i="7"/>
  <c r="CX59" i="7"/>
  <c r="CW59" i="7"/>
  <c r="CU59" i="7"/>
  <c r="CT59" i="7"/>
  <c r="CS59" i="7"/>
  <c r="CR59" i="7"/>
  <c r="CQ59" i="7"/>
  <c r="CP59" i="7"/>
  <c r="CO59" i="7"/>
  <c r="CN59" i="7"/>
  <c r="CM59" i="7"/>
  <c r="CK59" i="7"/>
  <c r="CJ59" i="7"/>
  <c r="CI59" i="7"/>
  <c r="CH59" i="7"/>
  <c r="CG59" i="7"/>
  <c r="CF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M59" i="7"/>
  <c r="AL59" i="7"/>
  <c r="AK59" i="7"/>
  <c r="AI59" i="7"/>
  <c r="AH59" i="7"/>
  <c r="AG59" i="7"/>
  <c r="AF59" i="7"/>
  <c r="AE59" i="7"/>
  <c r="AD59" i="7"/>
  <c r="AB59" i="7"/>
  <c r="AA59" i="7"/>
  <c r="Z59" i="7"/>
  <c r="Y59" i="7"/>
  <c r="X59" i="7"/>
  <c r="W59" i="7"/>
  <c r="V59" i="7"/>
  <c r="U59" i="7"/>
  <c r="S59" i="7"/>
  <c r="R59" i="7"/>
  <c r="Q59" i="7"/>
  <c r="P59" i="7"/>
  <c r="O59" i="7"/>
  <c r="N59" i="7"/>
  <c r="M59" i="7"/>
  <c r="L59" i="7"/>
  <c r="K59" i="7"/>
  <c r="J59" i="7"/>
  <c r="I59" i="7"/>
  <c r="H59" i="7"/>
  <c r="F59" i="7"/>
  <c r="E59" i="7"/>
  <c r="C59" i="7"/>
  <c r="GE58" i="7"/>
  <c r="GD58" i="7"/>
  <c r="GC58" i="7"/>
  <c r="GB58" i="7"/>
  <c r="GA58" i="7"/>
  <c r="FY58" i="7"/>
  <c r="FO58" i="7"/>
  <c r="FN58" i="7"/>
  <c r="FM58" i="7"/>
  <c r="FL58" i="7"/>
  <c r="FJ58" i="7"/>
  <c r="FH58" i="7"/>
  <c r="FG58" i="7"/>
  <c r="FF58" i="7"/>
  <c r="FE58" i="7"/>
  <c r="FD58" i="7"/>
  <c r="FC58" i="7"/>
  <c r="FB58" i="7"/>
  <c r="FA58" i="7"/>
  <c r="EZ58" i="7"/>
  <c r="EX58" i="7"/>
  <c r="EW58" i="7"/>
  <c r="EV58" i="7"/>
  <c r="EU58" i="7"/>
  <c r="ET58" i="7"/>
  <c r="ES58" i="7"/>
  <c r="EQ58" i="7"/>
  <c r="EP58" i="7"/>
  <c r="EO58" i="7"/>
  <c r="EM58" i="7"/>
  <c r="EL58" i="7"/>
  <c r="EK58" i="7"/>
  <c r="EJ58" i="7"/>
  <c r="EI58" i="7"/>
  <c r="EH58" i="7"/>
  <c r="EG58" i="7"/>
  <c r="EF58" i="7"/>
  <c r="EE58" i="7"/>
  <c r="ED58" i="7"/>
  <c r="EC58" i="7"/>
  <c r="EB58" i="7"/>
  <c r="EA58" i="7"/>
  <c r="DZ58" i="7"/>
  <c r="DY58" i="7"/>
  <c r="DW58" i="7"/>
  <c r="DV58" i="7"/>
  <c r="DU58" i="7"/>
  <c r="DT58" i="7"/>
  <c r="DS58" i="7"/>
  <c r="DR58" i="7"/>
  <c r="DQ58" i="7"/>
  <c r="DP58" i="7"/>
  <c r="DO58" i="7"/>
  <c r="DN58" i="7"/>
  <c r="DM58" i="7"/>
  <c r="DL58" i="7"/>
  <c r="DK58" i="7"/>
  <c r="DJ58" i="7"/>
  <c r="DI58" i="7"/>
  <c r="DH58" i="7"/>
  <c r="DG58" i="7"/>
  <c r="DF58" i="7"/>
  <c r="DE58" i="7"/>
  <c r="DD58" i="7"/>
  <c r="DC58" i="7"/>
  <c r="DA58" i="7"/>
  <c r="CZ58" i="7"/>
  <c r="CX58" i="7"/>
  <c r="CW58" i="7"/>
  <c r="CU58" i="7"/>
  <c r="CT58" i="7"/>
  <c r="CS58" i="7"/>
  <c r="CR58" i="7"/>
  <c r="CQ58" i="7"/>
  <c r="CP58" i="7"/>
  <c r="CO58" i="7"/>
  <c r="CN58" i="7"/>
  <c r="CM58" i="7"/>
  <c r="CK58" i="7"/>
  <c r="CJ58" i="7"/>
  <c r="CI58" i="7"/>
  <c r="CH58" i="7"/>
  <c r="CG58" i="7"/>
  <c r="CF58" i="7"/>
  <c r="CE58" i="7"/>
  <c r="CD58" i="7"/>
  <c r="CC58" i="7"/>
  <c r="CB58" i="7"/>
  <c r="CA58" i="7"/>
  <c r="BZ58" i="7"/>
  <c r="BY58" i="7"/>
  <c r="BX58" i="7"/>
  <c r="BW58" i="7"/>
  <c r="BV58" i="7"/>
  <c r="BU58" i="7"/>
  <c r="BT58" i="7"/>
  <c r="BS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P58" i="7"/>
  <c r="AO58" i="7"/>
  <c r="AM58" i="7"/>
  <c r="AL58" i="7"/>
  <c r="AK58" i="7"/>
  <c r="AI58" i="7"/>
  <c r="AH58" i="7"/>
  <c r="AG58" i="7"/>
  <c r="AF58" i="7"/>
  <c r="AE58" i="7"/>
  <c r="AD58" i="7"/>
  <c r="AB58" i="7"/>
  <c r="AA58" i="7"/>
  <c r="Z58" i="7"/>
  <c r="Y58" i="7"/>
  <c r="X58" i="7"/>
  <c r="W58" i="7"/>
  <c r="V58" i="7"/>
  <c r="U58" i="7"/>
  <c r="R58" i="7"/>
  <c r="Q58" i="7"/>
  <c r="P58" i="7"/>
  <c r="O58" i="7"/>
  <c r="N58" i="7"/>
  <c r="M58" i="7"/>
  <c r="L58" i="7"/>
  <c r="K58" i="7"/>
  <c r="J58" i="7"/>
  <c r="I58" i="7"/>
  <c r="H58" i="7"/>
  <c r="F58" i="7"/>
  <c r="E58" i="7"/>
  <c r="C58" i="7"/>
  <c r="GE57" i="7"/>
  <c r="GD57" i="7"/>
  <c r="GC57" i="7"/>
  <c r="GB57" i="7"/>
  <c r="GA57" i="7"/>
  <c r="FY57" i="7"/>
  <c r="FO57" i="7"/>
  <c r="FN57" i="7"/>
  <c r="FM57" i="7"/>
  <c r="FL57" i="7"/>
  <c r="FJ57" i="7"/>
  <c r="FH57" i="7"/>
  <c r="FG57" i="7"/>
  <c r="FF57" i="7"/>
  <c r="FE57" i="7"/>
  <c r="FD57" i="7"/>
  <c r="FC57" i="7"/>
  <c r="FB57" i="7"/>
  <c r="FA57" i="7"/>
  <c r="EZ57" i="7"/>
  <c r="EX57" i="7"/>
  <c r="EW57" i="7"/>
  <c r="EV57" i="7"/>
  <c r="EU57" i="7"/>
  <c r="ET57" i="7"/>
  <c r="ES57" i="7"/>
  <c r="EQ57" i="7"/>
  <c r="EP57" i="7"/>
  <c r="EO57" i="7"/>
  <c r="EN57" i="7"/>
  <c r="EM57" i="7"/>
  <c r="EL57" i="7"/>
  <c r="EK57" i="7"/>
  <c r="EJ57" i="7"/>
  <c r="EI57" i="7"/>
  <c r="EH57" i="7"/>
  <c r="EG57" i="7"/>
  <c r="EF57" i="7"/>
  <c r="EE57" i="7"/>
  <c r="ED57" i="7"/>
  <c r="EC57" i="7"/>
  <c r="EB57" i="7"/>
  <c r="EA57" i="7"/>
  <c r="DZ57" i="7"/>
  <c r="DY57" i="7"/>
  <c r="DW57" i="7"/>
  <c r="DV57" i="7"/>
  <c r="DU57" i="7"/>
  <c r="DT57" i="7"/>
  <c r="DS57" i="7"/>
  <c r="DR57" i="7"/>
  <c r="DQ57" i="7"/>
  <c r="DP57" i="7"/>
  <c r="DO57" i="7"/>
  <c r="DN57" i="7"/>
  <c r="DM57" i="7"/>
  <c r="DL57" i="7"/>
  <c r="DK57" i="7"/>
  <c r="DJ57" i="7"/>
  <c r="DI57" i="7"/>
  <c r="DH57" i="7"/>
  <c r="DG57" i="7"/>
  <c r="DF57" i="7"/>
  <c r="DE57" i="7"/>
  <c r="DD57" i="7"/>
  <c r="DC57" i="7"/>
  <c r="DA57" i="7"/>
  <c r="CZ57" i="7"/>
  <c r="CX57" i="7"/>
  <c r="CW57" i="7"/>
  <c r="CU57" i="7"/>
  <c r="CT57" i="7"/>
  <c r="CS57" i="7"/>
  <c r="CR57" i="7"/>
  <c r="CQ57" i="7"/>
  <c r="CP57" i="7"/>
  <c r="CO57" i="7"/>
  <c r="CN57" i="7"/>
  <c r="CM57" i="7"/>
  <c r="CK57" i="7"/>
  <c r="CJ57" i="7"/>
  <c r="CI57" i="7"/>
  <c r="CH57" i="7"/>
  <c r="CG57" i="7"/>
  <c r="CF57" i="7"/>
  <c r="CE57" i="7"/>
  <c r="CD57" i="7"/>
  <c r="CC57" i="7"/>
  <c r="CB57" i="7"/>
  <c r="CA57" i="7"/>
  <c r="BZ57" i="7"/>
  <c r="BY57" i="7"/>
  <c r="BX57" i="7"/>
  <c r="BW57" i="7"/>
  <c r="BV57" i="7"/>
  <c r="BU57" i="7"/>
  <c r="BT57" i="7"/>
  <c r="BS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M57" i="7"/>
  <c r="AL57" i="7"/>
  <c r="AK57" i="7"/>
  <c r="AI57" i="7"/>
  <c r="AH57" i="7"/>
  <c r="AG57" i="7"/>
  <c r="AF57" i="7"/>
  <c r="AE57" i="7"/>
  <c r="AD57" i="7"/>
  <c r="AB57" i="7"/>
  <c r="AA57" i="7"/>
  <c r="Z57" i="7"/>
  <c r="Y57" i="7"/>
  <c r="X57" i="7"/>
  <c r="W57" i="7"/>
  <c r="V57" i="7"/>
  <c r="U57" i="7"/>
  <c r="S57" i="7"/>
  <c r="R57" i="7"/>
  <c r="Q57" i="7"/>
  <c r="P57" i="7"/>
  <c r="O57" i="7"/>
  <c r="N57" i="7"/>
  <c r="M57" i="7"/>
  <c r="L57" i="7"/>
  <c r="K57" i="7"/>
  <c r="J57" i="7"/>
  <c r="I57" i="7"/>
  <c r="H57" i="7"/>
  <c r="F57" i="7"/>
  <c r="E57" i="7"/>
  <c r="C57" i="7"/>
  <c r="GK56" i="7"/>
  <c r="GE56" i="7"/>
  <c r="GD56" i="7"/>
  <c r="GC56" i="7"/>
  <c r="GB56" i="7"/>
  <c r="GA56" i="7"/>
  <c r="FY56" i="7"/>
  <c r="FO56" i="7"/>
  <c r="FN56" i="7"/>
  <c r="FM56" i="7"/>
  <c r="FL56" i="7"/>
  <c r="FJ56" i="7"/>
  <c r="FH56" i="7"/>
  <c r="FG56" i="7"/>
  <c r="FF56" i="7"/>
  <c r="FE56" i="7"/>
  <c r="FD56" i="7"/>
  <c r="FC56" i="7"/>
  <c r="FB56" i="7"/>
  <c r="FA56" i="7"/>
  <c r="EZ56" i="7"/>
  <c r="EX56" i="7"/>
  <c r="EW56" i="7"/>
  <c r="EV56" i="7"/>
  <c r="EU56" i="7"/>
  <c r="ET56" i="7"/>
  <c r="ES56" i="7"/>
  <c r="EQ56" i="7"/>
  <c r="EP56" i="7"/>
  <c r="EO56" i="7"/>
  <c r="EN56" i="7"/>
  <c r="EM56" i="7"/>
  <c r="EL56" i="7"/>
  <c r="EK56" i="7"/>
  <c r="EJ56" i="7"/>
  <c r="EI56" i="7"/>
  <c r="EH56" i="7"/>
  <c r="EG56" i="7"/>
  <c r="EF56" i="7"/>
  <c r="EE56" i="7"/>
  <c r="ED56" i="7"/>
  <c r="EC56" i="7"/>
  <c r="EB56" i="7"/>
  <c r="EA56" i="7"/>
  <c r="DZ56" i="7"/>
  <c r="DY56" i="7"/>
  <c r="DW56" i="7"/>
  <c r="DV56" i="7"/>
  <c r="DU56" i="7"/>
  <c r="DT56" i="7"/>
  <c r="DS56" i="7"/>
  <c r="DR56" i="7"/>
  <c r="DQ56" i="7"/>
  <c r="DP56" i="7"/>
  <c r="DO56" i="7"/>
  <c r="DN56" i="7"/>
  <c r="DM56" i="7"/>
  <c r="DL56" i="7"/>
  <c r="DK56" i="7"/>
  <c r="DJ56" i="7"/>
  <c r="DI56" i="7"/>
  <c r="DH56" i="7"/>
  <c r="DG56" i="7"/>
  <c r="DF56" i="7"/>
  <c r="DE56" i="7"/>
  <c r="DD56" i="7"/>
  <c r="DC56" i="7"/>
  <c r="DA56" i="7"/>
  <c r="CZ56" i="7"/>
  <c r="CX56" i="7"/>
  <c r="CW56" i="7"/>
  <c r="CU56" i="7"/>
  <c r="CT56" i="7"/>
  <c r="CS56" i="7"/>
  <c r="CR56" i="7"/>
  <c r="CQ56" i="7"/>
  <c r="CP56" i="7"/>
  <c r="CO56" i="7"/>
  <c r="CN56" i="7"/>
  <c r="CM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P56" i="7"/>
  <c r="AO56" i="7"/>
  <c r="AM56" i="7"/>
  <c r="AL56" i="7"/>
  <c r="AK56" i="7"/>
  <c r="AI56" i="7"/>
  <c r="AH56" i="7"/>
  <c r="AG56" i="7"/>
  <c r="AF56" i="7"/>
  <c r="AE56" i="7"/>
  <c r="AD56" i="7"/>
  <c r="AB56" i="7"/>
  <c r="AA56" i="7"/>
  <c r="Z56" i="7"/>
  <c r="Y56" i="7"/>
  <c r="X56" i="7"/>
  <c r="W56" i="7"/>
  <c r="V56" i="7"/>
  <c r="U56" i="7"/>
  <c r="R56" i="7"/>
  <c r="Q56" i="7"/>
  <c r="P56" i="7"/>
  <c r="O56" i="7"/>
  <c r="N56" i="7"/>
  <c r="M56" i="7"/>
  <c r="L56" i="7"/>
  <c r="K56" i="7"/>
  <c r="J56" i="7"/>
  <c r="I56" i="7"/>
  <c r="H56" i="7"/>
  <c r="F56" i="7"/>
  <c r="E56" i="7"/>
  <c r="C56" i="7"/>
  <c r="FL54" i="7"/>
  <c r="FM53" i="7"/>
  <c r="FM54" i="7" s="1"/>
  <c r="FL53" i="7"/>
  <c r="EK53" i="7"/>
  <c r="EK54" i="7" s="1"/>
  <c r="GX52" i="7"/>
  <c r="FZ52" i="7"/>
  <c r="FK52" i="7"/>
  <c r="FI52" i="7"/>
  <c r="EY52" i="7"/>
  <c r="DX52" i="7"/>
  <c r="DB52" i="7"/>
  <c r="CY52" i="7"/>
  <c r="CV52" i="7"/>
  <c r="CL52" i="7"/>
  <c r="BR52" i="7"/>
  <c r="BQ52" i="7"/>
  <c r="AN52" i="7"/>
  <c r="AJ52" i="7"/>
  <c r="T52" i="7"/>
  <c r="ER52" i="7" s="1"/>
  <c r="G52" i="7"/>
  <c r="D52" i="7"/>
  <c r="GX51" i="7"/>
  <c r="FZ51" i="7"/>
  <c r="FK51" i="7"/>
  <c r="EY51" i="7"/>
  <c r="FI51" i="7" s="1"/>
  <c r="DX51" i="7"/>
  <c r="DB51" i="7"/>
  <c r="CY51" i="7"/>
  <c r="CV51" i="7"/>
  <c r="CL51" i="7"/>
  <c r="BR51" i="7"/>
  <c r="BQ51" i="7" s="1"/>
  <c r="AN51" i="7"/>
  <c r="AJ51" i="7"/>
  <c r="T51" i="7"/>
  <c r="G51" i="7"/>
  <c r="D51" i="7"/>
  <c r="GX50" i="7"/>
  <c r="GK50" i="7"/>
  <c r="GK57" i="7" s="1"/>
  <c r="GF50" i="7"/>
  <c r="FZ50" i="7"/>
  <c r="FK50" i="7"/>
  <c r="FI50" i="7"/>
  <c r="FI57" i="7" s="1"/>
  <c r="EY50" i="7"/>
  <c r="EN50" i="7"/>
  <c r="DX50" i="7"/>
  <c r="DB50" i="7"/>
  <c r="CY50" i="7"/>
  <c r="CV50" i="7"/>
  <c r="CV58" i="7" s="1"/>
  <c r="CL50" i="7"/>
  <c r="BR50" i="7"/>
  <c r="ER50" i="7" s="1"/>
  <c r="AN50" i="7"/>
  <c r="AJ50" i="7"/>
  <c r="T50" i="7"/>
  <c r="G50" i="7"/>
  <c r="D50" i="7"/>
  <c r="D57" i="7" s="1"/>
  <c r="GX49" i="7"/>
  <c r="FZ49" i="7"/>
  <c r="FK49" i="7"/>
  <c r="EY49" i="7"/>
  <c r="FI49" i="7" s="1"/>
  <c r="DX49" i="7"/>
  <c r="DB49" i="7"/>
  <c r="CY49" i="7"/>
  <c r="CV49" i="7"/>
  <c r="CL49" i="7"/>
  <c r="BR49" i="7"/>
  <c r="BQ49" i="7"/>
  <c r="AN49" i="7"/>
  <c r="AJ49" i="7"/>
  <c r="T49" i="7"/>
  <c r="ER49" i="7" s="1"/>
  <c r="G49" i="7"/>
  <c r="D49" i="7"/>
  <c r="GX48" i="7"/>
  <c r="GG48" i="7" s="1"/>
  <c r="FZ48" i="7"/>
  <c r="FK48" i="7"/>
  <c r="EY48" i="7"/>
  <c r="FI48" i="7" s="1"/>
  <c r="DX48" i="7"/>
  <c r="DB48" i="7"/>
  <c r="CY48" i="7"/>
  <c r="CV48" i="7"/>
  <c r="CL48" i="7"/>
  <c r="BR48" i="7"/>
  <c r="BR57" i="7" s="1"/>
  <c r="BQ48" i="7"/>
  <c r="AN48" i="7"/>
  <c r="AJ48" i="7"/>
  <c r="T48" i="7"/>
  <c r="ER48" i="7" s="1"/>
  <c r="G48" i="7"/>
  <c r="D48" i="7"/>
  <c r="GX47" i="7"/>
  <c r="FZ47" i="7"/>
  <c r="FK47" i="7"/>
  <c r="EY47" i="7"/>
  <c r="FI47" i="7" s="1"/>
  <c r="ER47" i="7"/>
  <c r="DX47" i="7"/>
  <c r="DB47" i="7"/>
  <c r="CY47" i="7"/>
  <c r="CV47" i="7"/>
  <c r="CL47" i="7"/>
  <c r="BR47" i="7"/>
  <c r="BQ47" i="7"/>
  <c r="AN47" i="7"/>
  <c r="AJ47" i="7"/>
  <c r="T47" i="7"/>
  <c r="G47" i="7"/>
  <c r="D47" i="7"/>
  <c r="GX46" i="7"/>
  <c r="FZ46" i="7"/>
  <c r="FK46" i="7"/>
  <c r="FI46" i="7"/>
  <c r="EY46" i="7"/>
  <c r="DX46" i="7"/>
  <c r="DB46" i="7"/>
  <c r="CY46" i="7"/>
  <c r="CV46" i="7"/>
  <c r="CL46" i="7"/>
  <c r="BR46" i="7"/>
  <c r="BQ46" i="7" s="1"/>
  <c r="AN46" i="7"/>
  <c r="AJ46" i="7"/>
  <c r="T46" i="7"/>
  <c r="ER46" i="7" s="1"/>
  <c r="G46" i="7"/>
  <c r="D46" i="7"/>
  <c r="GX45" i="7"/>
  <c r="FZ45" i="7"/>
  <c r="FK45" i="7"/>
  <c r="EY45" i="7"/>
  <c r="FI45" i="7" s="1"/>
  <c r="ER45" i="7"/>
  <c r="DX45" i="7"/>
  <c r="DB45" i="7"/>
  <c r="CY45" i="7"/>
  <c r="CV45" i="7"/>
  <c r="CL45" i="7"/>
  <c r="BR45" i="7"/>
  <c r="BQ45" i="7"/>
  <c r="AN45" i="7"/>
  <c r="AJ45" i="7"/>
  <c r="T45" i="7"/>
  <c r="G45" i="7"/>
  <c r="D45" i="7"/>
  <c r="GX44" i="7"/>
  <c r="GG44" i="7"/>
  <c r="FZ44" i="7"/>
  <c r="FK44" i="7"/>
  <c r="FI44" i="7"/>
  <c r="EY44" i="7"/>
  <c r="ER44" i="7"/>
  <c r="DX44" i="7"/>
  <c r="DB44" i="7"/>
  <c r="CY44" i="7"/>
  <c r="CV44" i="7"/>
  <c r="CL44" i="7"/>
  <c r="BR44" i="7"/>
  <c r="BQ44" i="7" s="1"/>
  <c r="AN44" i="7"/>
  <c r="AJ44" i="7"/>
  <c r="T44" i="7"/>
  <c r="G44" i="7"/>
  <c r="D44" i="7"/>
  <c r="GX43" i="7"/>
  <c r="FZ43" i="7"/>
  <c r="FK43" i="7"/>
  <c r="EY43" i="7"/>
  <c r="FI43" i="7" s="1"/>
  <c r="DX43" i="7"/>
  <c r="DB43" i="7"/>
  <c r="CY43" i="7"/>
  <c r="CV43" i="7"/>
  <c r="CL43" i="7"/>
  <c r="BR43" i="7"/>
  <c r="BQ43" i="7"/>
  <c r="AN43" i="7"/>
  <c r="AJ43" i="7"/>
  <c r="T43" i="7"/>
  <c r="G43" i="7"/>
  <c r="D43" i="7"/>
  <c r="GX42" i="7"/>
  <c r="FZ42" i="7"/>
  <c r="FK42" i="7"/>
  <c r="EY42" i="7"/>
  <c r="FI42" i="7" s="1"/>
  <c r="DX42" i="7"/>
  <c r="DB42" i="7"/>
  <c r="CY42" i="7"/>
  <c r="CV42" i="7"/>
  <c r="CL42" i="7"/>
  <c r="BR42" i="7"/>
  <c r="BQ42" i="7"/>
  <c r="AN42" i="7"/>
  <c r="AJ42" i="7"/>
  <c r="T42" i="7"/>
  <c r="ER42" i="7" s="1"/>
  <c r="G42" i="7"/>
  <c r="D42" i="7"/>
  <c r="GX41" i="7"/>
  <c r="FZ41" i="7"/>
  <c r="FK41" i="7"/>
  <c r="EY41" i="7"/>
  <c r="FI41" i="7" s="1"/>
  <c r="DX41" i="7"/>
  <c r="DB41" i="7"/>
  <c r="CY41" i="7"/>
  <c r="CY57" i="7" s="1"/>
  <c r="CV41" i="7"/>
  <c r="CL41" i="7"/>
  <c r="BR41" i="7"/>
  <c r="BQ41" i="7"/>
  <c r="AN41" i="7"/>
  <c r="AJ41" i="7"/>
  <c r="T41" i="7"/>
  <c r="T57" i="7" s="1"/>
  <c r="G41" i="7"/>
  <c r="D41" i="7"/>
  <c r="GX40" i="7"/>
  <c r="FZ40" i="7"/>
  <c r="FK40" i="7"/>
  <c r="EY40" i="7"/>
  <c r="FI40" i="7" s="1"/>
  <c r="ER40" i="7"/>
  <c r="DX40" i="7"/>
  <c r="DB40" i="7"/>
  <c r="CY40" i="7"/>
  <c r="CV40" i="7"/>
  <c r="CL40" i="7"/>
  <c r="BR40" i="7"/>
  <c r="BQ40" i="7"/>
  <c r="AN40" i="7"/>
  <c r="AJ40" i="7"/>
  <c r="AJ57" i="7" s="1"/>
  <c r="T40" i="7"/>
  <c r="G40" i="7"/>
  <c r="D40" i="7"/>
  <c r="GX39" i="7"/>
  <c r="GK39" i="7"/>
  <c r="GF39" i="7"/>
  <c r="GF51" i="7" s="1"/>
  <c r="FZ39" i="7"/>
  <c r="FK39" i="7"/>
  <c r="EY39" i="7"/>
  <c r="FI39" i="7" s="1"/>
  <c r="EN39" i="7"/>
  <c r="DX39" i="7"/>
  <c r="DX58" i="7" s="1"/>
  <c r="DB39" i="7"/>
  <c r="DB58" i="7" s="1"/>
  <c r="CY39" i="7"/>
  <c r="CV39" i="7"/>
  <c r="BR39" i="7"/>
  <c r="BQ39" i="7"/>
  <c r="AQ39" i="7"/>
  <c r="AQ56" i="7" s="1"/>
  <c r="S39" i="7"/>
  <c r="S58" i="7" s="1"/>
  <c r="G39" i="7"/>
  <c r="D39" i="7"/>
  <c r="GX38" i="7"/>
  <c r="FZ38" i="7"/>
  <c r="FK38" i="7"/>
  <c r="FI38" i="7"/>
  <c r="EY38" i="7"/>
  <c r="DX38" i="7"/>
  <c r="DB38" i="7"/>
  <c r="CY38" i="7"/>
  <c r="CV38" i="7"/>
  <c r="CL38" i="7"/>
  <c r="BR38" i="7"/>
  <c r="BQ38" i="7" s="1"/>
  <c r="AN38" i="7"/>
  <c r="AJ38" i="7"/>
  <c r="T38" i="7"/>
  <c r="G38" i="7"/>
  <c r="D38" i="7"/>
  <c r="GX37" i="7"/>
  <c r="FZ37" i="7"/>
  <c r="FK37" i="7"/>
  <c r="EY37" i="7"/>
  <c r="FI37" i="7" s="1"/>
  <c r="DX37" i="7"/>
  <c r="DB37" i="7"/>
  <c r="CY37" i="7"/>
  <c r="CV37" i="7"/>
  <c r="CL37" i="7"/>
  <c r="BR37" i="7"/>
  <c r="BQ37" i="7"/>
  <c r="AN37" i="7"/>
  <c r="AJ37" i="7"/>
  <c r="T37" i="7"/>
  <c r="ER37" i="7" s="1"/>
  <c r="G37" i="7"/>
  <c r="D37" i="7"/>
  <c r="GX36" i="7"/>
  <c r="GG36" i="7"/>
  <c r="FZ36" i="7"/>
  <c r="FK36" i="7"/>
  <c r="FI36" i="7"/>
  <c r="EY36" i="7"/>
  <c r="ER36" i="7"/>
  <c r="DX36" i="7"/>
  <c r="DB36" i="7"/>
  <c r="CY36" i="7"/>
  <c r="CV36" i="7"/>
  <c r="CL36" i="7"/>
  <c r="BR36" i="7"/>
  <c r="BQ36" i="7" s="1"/>
  <c r="AN36" i="7"/>
  <c r="AJ36" i="7"/>
  <c r="T36" i="7"/>
  <c r="G36" i="7"/>
  <c r="D36" i="7"/>
  <c r="GX35" i="7"/>
  <c r="FZ35" i="7"/>
  <c r="FK35" i="7"/>
  <c r="FI35" i="7"/>
  <c r="EY35" i="7"/>
  <c r="DX35" i="7"/>
  <c r="DB35" i="7"/>
  <c r="CY35" i="7"/>
  <c r="CV35" i="7"/>
  <c r="CL35" i="7"/>
  <c r="BR35" i="7"/>
  <c r="BQ35" i="7"/>
  <c r="AN35" i="7"/>
  <c r="AJ35" i="7"/>
  <c r="T35" i="7"/>
  <c r="ER35" i="7" s="1"/>
  <c r="G35" i="7"/>
  <c r="D35" i="7"/>
  <c r="GX34" i="7"/>
  <c r="FZ34" i="7"/>
  <c r="FK34" i="7"/>
  <c r="EY34" i="7"/>
  <c r="FI34" i="7" s="1"/>
  <c r="DX34" i="7"/>
  <c r="DB34" i="7"/>
  <c r="CY34" i="7"/>
  <c r="CV34" i="7"/>
  <c r="CL34" i="7"/>
  <c r="BR34" i="7"/>
  <c r="BQ34" i="7"/>
  <c r="AN34" i="7"/>
  <c r="AJ34" i="7"/>
  <c r="T34" i="7"/>
  <c r="ER34" i="7" s="1"/>
  <c r="G34" i="7"/>
  <c r="D34" i="7"/>
  <c r="GX33" i="7"/>
  <c r="FZ33" i="7"/>
  <c r="FK33" i="7"/>
  <c r="EY33" i="7"/>
  <c r="FI33" i="7" s="1"/>
  <c r="ER33" i="7"/>
  <c r="DX33" i="7"/>
  <c r="DB33" i="7"/>
  <c r="CY33" i="7"/>
  <c r="CV33" i="7"/>
  <c r="CL33" i="7"/>
  <c r="BR33" i="7"/>
  <c r="BQ33" i="7"/>
  <c r="AN33" i="7"/>
  <c r="AJ33" i="7"/>
  <c r="T33" i="7"/>
  <c r="G33" i="7"/>
  <c r="D33" i="7"/>
  <c r="GX32" i="7"/>
  <c r="FZ32" i="7"/>
  <c r="FK32" i="7"/>
  <c r="EY32" i="7"/>
  <c r="FI32" i="7" s="1"/>
  <c r="DX32" i="7"/>
  <c r="DB32" i="7"/>
  <c r="CY32" i="7"/>
  <c r="CV32" i="7"/>
  <c r="CL32" i="7"/>
  <c r="BR32" i="7"/>
  <c r="ER32" i="7" s="1"/>
  <c r="BQ32" i="7"/>
  <c r="AN32" i="7"/>
  <c r="AJ32" i="7"/>
  <c r="T32" i="7"/>
  <c r="G32" i="7"/>
  <c r="D32" i="7"/>
  <c r="GX31" i="7"/>
  <c r="GG31" i="7"/>
  <c r="FZ31" i="7"/>
  <c r="FK31" i="7"/>
  <c r="FI31" i="7"/>
  <c r="EY31" i="7"/>
  <c r="DX31" i="7"/>
  <c r="DB31" i="7"/>
  <c r="CY31" i="7"/>
  <c r="CV31" i="7"/>
  <c r="CL31" i="7"/>
  <c r="BR31" i="7"/>
  <c r="BQ31" i="7" s="1"/>
  <c r="AN31" i="7"/>
  <c r="AJ31" i="7"/>
  <c r="T31" i="7"/>
  <c r="ER31" i="7" s="1"/>
  <c r="G31" i="7"/>
  <c r="D31" i="7"/>
  <c r="GX30" i="7"/>
  <c r="GG30" i="7"/>
  <c r="FZ30" i="7"/>
  <c r="FK30" i="7"/>
  <c r="EY30" i="7"/>
  <c r="FI30" i="7" s="1"/>
  <c r="ER30" i="7"/>
  <c r="DX30" i="7"/>
  <c r="DB30" i="7"/>
  <c r="CY30" i="7"/>
  <c r="CV30" i="7"/>
  <c r="CL30" i="7"/>
  <c r="BR30" i="7"/>
  <c r="BQ30" i="7"/>
  <c r="AN30" i="7"/>
  <c r="AJ30" i="7"/>
  <c r="T30" i="7"/>
  <c r="G30" i="7"/>
  <c r="D30" i="7"/>
  <c r="GX29" i="7"/>
  <c r="FZ29" i="7"/>
  <c r="FK29" i="7"/>
  <c r="EY29" i="7"/>
  <c r="FI29" i="7" s="1"/>
  <c r="DX29" i="7"/>
  <c r="DB29" i="7"/>
  <c r="CY29" i="7"/>
  <c r="CV29" i="7"/>
  <c r="CL29" i="7"/>
  <c r="BR29" i="7"/>
  <c r="ER29" i="7" s="1"/>
  <c r="BQ29" i="7"/>
  <c r="AN29" i="7"/>
  <c r="AJ29" i="7"/>
  <c r="T29" i="7"/>
  <c r="G29" i="7"/>
  <c r="D29" i="7"/>
  <c r="GX28" i="7"/>
  <c r="FZ28" i="7"/>
  <c r="FK28" i="7"/>
  <c r="EY28" i="7"/>
  <c r="FI28" i="7" s="1"/>
  <c r="DX28" i="7"/>
  <c r="DB28" i="7"/>
  <c r="CY28" i="7"/>
  <c r="CV28" i="7"/>
  <c r="CL28" i="7"/>
  <c r="BR28" i="7"/>
  <c r="BQ28" i="7" s="1"/>
  <c r="AN28" i="7"/>
  <c r="AJ28" i="7"/>
  <c r="T28" i="7"/>
  <c r="G28" i="7"/>
  <c r="D28" i="7"/>
  <c r="GX27" i="7"/>
  <c r="GG27" i="7"/>
  <c r="FZ27" i="7"/>
  <c r="FK27" i="7"/>
  <c r="EY27" i="7"/>
  <c r="FI27" i="7" s="1"/>
  <c r="DX27" i="7"/>
  <c r="DB27" i="7"/>
  <c r="CY27" i="7"/>
  <c r="CV27" i="7"/>
  <c r="CL27" i="7"/>
  <c r="BR27" i="7"/>
  <c r="BQ27" i="7"/>
  <c r="AN27" i="7"/>
  <c r="AJ27" i="7"/>
  <c r="T27" i="7"/>
  <c r="ER27" i="7" s="1"/>
  <c r="G27" i="7"/>
  <c r="D27" i="7"/>
  <c r="GX26" i="7"/>
  <c r="GG26" i="7"/>
  <c r="FZ26" i="7"/>
  <c r="FK26" i="7"/>
  <c r="EY26" i="7"/>
  <c r="FI26" i="7" s="1"/>
  <c r="ER26" i="7"/>
  <c r="DX26" i="7"/>
  <c r="DB26" i="7"/>
  <c r="CY26" i="7"/>
  <c r="CV26" i="7"/>
  <c r="CL26" i="7"/>
  <c r="BR26" i="7"/>
  <c r="BQ26" i="7"/>
  <c r="AN26" i="7"/>
  <c r="AJ26" i="7"/>
  <c r="T26" i="7"/>
  <c r="G26" i="7"/>
  <c r="D26" i="7"/>
  <c r="GX25" i="7"/>
  <c r="FZ25" i="7"/>
  <c r="FK25" i="7"/>
  <c r="EY25" i="7"/>
  <c r="FI25" i="7" s="1"/>
  <c r="DX25" i="7"/>
  <c r="DB25" i="7"/>
  <c r="CY25" i="7"/>
  <c r="CV25" i="7"/>
  <c r="CL25" i="7"/>
  <c r="BR25" i="7"/>
  <c r="BQ25" i="7" s="1"/>
  <c r="AN25" i="7"/>
  <c r="AJ25" i="7"/>
  <c r="T25" i="7"/>
  <c r="G25" i="7"/>
  <c r="D25" i="7"/>
  <c r="GX24" i="7"/>
  <c r="FZ24" i="7"/>
  <c r="FK24" i="7"/>
  <c r="EY24" i="7"/>
  <c r="FI24" i="7" s="1"/>
  <c r="DX24" i="7"/>
  <c r="DB24" i="7"/>
  <c r="CY24" i="7"/>
  <c r="CV24" i="7"/>
  <c r="CL24" i="7"/>
  <c r="BR24" i="7"/>
  <c r="BQ24" i="7"/>
  <c r="AN24" i="7"/>
  <c r="AJ24" i="7"/>
  <c r="T24" i="7"/>
  <c r="ER24" i="7" s="1"/>
  <c r="G24" i="7"/>
  <c r="D24" i="7"/>
  <c r="GX23" i="7"/>
  <c r="GG23" i="7" s="1"/>
  <c r="FZ23" i="7"/>
  <c r="FK23" i="7"/>
  <c r="FI23" i="7"/>
  <c r="EY23" i="7"/>
  <c r="DX23" i="7"/>
  <c r="DB23" i="7"/>
  <c r="CY23" i="7"/>
  <c r="CV23" i="7"/>
  <c r="CL23" i="7"/>
  <c r="BR23" i="7"/>
  <c r="AN23" i="7"/>
  <c r="AJ23" i="7"/>
  <c r="T23" i="7"/>
  <c r="G23" i="7"/>
  <c r="D23" i="7"/>
  <c r="GX22" i="7"/>
  <c r="FZ22" i="7"/>
  <c r="FK22" i="7"/>
  <c r="EY22" i="7"/>
  <c r="FI22" i="7" s="1"/>
  <c r="DX22" i="7"/>
  <c r="DB22" i="7"/>
  <c r="CY22" i="7"/>
  <c r="CV22" i="7"/>
  <c r="CL22" i="7"/>
  <c r="BR22" i="7"/>
  <c r="ER22" i="7" s="1"/>
  <c r="BQ22" i="7"/>
  <c r="AN22" i="7"/>
  <c r="AJ22" i="7"/>
  <c r="T22" i="7"/>
  <c r="G22" i="7"/>
  <c r="D22" i="7"/>
  <c r="GX21" i="7"/>
  <c r="FZ21" i="7"/>
  <c r="FK21" i="7"/>
  <c r="FI21" i="7"/>
  <c r="EY21" i="7"/>
  <c r="DX21" i="7"/>
  <c r="DB21" i="7"/>
  <c r="CY21" i="7"/>
  <c r="CV21" i="7"/>
  <c r="CL21" i="7"/>
  <c r="BR21" i="7"/>
  <c r="BQ21" i="7" s="1"/>
  <c r="AN21" i="7"/>
  <c r="AJ21" i="7"/>
  <c r="T21" i="7"/>
  <c r="G21" i="7"/>
  <c r="D21" i="7"/>
  <c r="GX20" i="7"/>
  <c r="FZ20" i="7"/>
  <c r="FK20" i="7"/>
  <c r="EY20" i="7"/>
  <c r="FI20" i="7" s="1"/>
  <c r="DX20" i="7"/>
  <c r="DB20" i="7"/>
  <c r="CY20" i="7"/>
  <c r="CV20" i="7"/>
  <c r="CL20" i="7"/>
  <c r="BR20" i="7"/>
  <c r="BQ20" i="7"/>
  <c r="AN20" i="7"/>
  <c r="AJ20" i="7"/>
  <c r="T20" i="7"/>
  <c r="ER20" i="7" s="1"/>
  <c r="G20" i="7"/>
  <c r="D20" i="7"/>
  <c r="GX19" i="7"/>
  <c r="GG19" i="7"/>
  <c r="FZ19" i="7"/>
  <c r="FK19" i="7"/>
  <c r="FI19" i="7"/>
  <c r="EY19" i="7"/>
  <c r="ER19" i="7"/>
  <c r="DX19" i="7"/>
  <c r="DB19" i="7"/>
  <c r="CY19" i="7"/>
  <c r="CV19" i="7"/>
  <c r="CL19" i="7"/>
  <c r="BR19" i="7"/>
  <c r="BQ19" i="7" s="1"/>
  <c r="AN19" i="7"/>
  <c r="AJ19" i="7"/>
  <c r="T19" i="7"/>
  <c r="G19" i="7"/>
  <c r="D19" i="7"/>
  <c r="GX18" i="7"/>
  <c r="FZ18" i="7"/>
  <c r="FK18" i="7"/>
  <c r="FI18" i="7"/>
  <c r="EY18" i="7"/>
  <c r="DX18" i="7"/>
  <c r="DB18" i="7"/>
  <c r="CY18" i="7"/>
  <c r="CV18" i="7"/>
  <c r="CL18" i="7"/>
  <c r="BR18" i="7"/>
  <c r="BQ18" i="7"/>
  <c r="AN18" i="7"/>
  <c r="AJ18" i="7"/>
  <c r="T18" i="7"/>
  <c r="ER18" i="7" s="1"/>
  <c r="G18" i="7"/>
  <c r="D18" i="7"/>
  <c r="GX17" i="7"/>
  <c r="GY39" i="7" s="1"/>
  <c r="FZ17" i="7"/>
  <c r="FK17" i="7"/>
  <c r="EY17" i="7"/>
  <c r="FI17" i="7" s="1"/>
  <c r="ER17" i="7"/>
  <c r="DX17" i="7"/>
  <c r="DB17" i="7"/>
  <c r="CY17" i="7"/>
  <c r="CV17" i="7"/>
  <c r="CL17" i="7"/>
  <c r="BR17" i="7"/>
  <c r="BQ17" i="7"/>
  <c r="AN17" i="7"/>
  <c r="AJ17" i="7"/>
  <c r="T17" i="7"/>
  <c r="G17" i="7"/>
  <c r="D17" i="7"/>
  <c r="GX16" i="7"/>
  <c r="GG16" i="7"/>
  <c r="FZ16" i="7"/>
  <c r="FK16" i="7"/>
  <c r="EY16" i="7"/>
  <c r="FI16" i="7" s="1"/>
  <c r="ER16" i="7"/>
  <c r="DX16" i="7"/>
  <c r="DB16" i="7"/>
  <c r="CY16" i="7"/>
  <c r="CV16" i="7"/>
  <c r="CL16" i="7"/>
  <c r="BR16" i="7"/>
  <c r="BQ16" i="7"/>
  <c r="AN16" i="7"/>
  <c r="AJ16" i="7"/>
  <c r="T16" i="7"/>
  <c r="G16" i="7"/>
  <c r="D16" i="7"/>
  <c r="GX15" i="7"/>
  <c r="FZ15" i="7"/>
  <c r="FK15" i="7"/>
  <c r="FI15" i="7"/>
  <c r="EY15" i="7"/>
  <c r="DX15" i="7"/>
  <c r="DB15" i="7"/>
  <c r="CY15" i="7"/>
  <c r="CV15" i="7"/>
  <c r="CL15" i="7"/>
  <c r="BR15" i="7"/>
  <c r="BQ15" i="7"/>
  <c r="AN15" i="7"/>
  <c r="AJ15" i="7"/>
  <c r="T15" i="7"/>
  <c r="ER15" i="7" s="1"/>
  <c r="G15" i="7"/>
  <c r="D15" i="7"/>
  <c r="GX14" i="7"/>
  <c r="FZ14" i="7"/>
  <c r="FK14" i="7"/>
  <c r="EY14" i="7"/>
  <c r="FI14" i="7" s="1"/>
  <c r="DX14" i="7"/>
  <c r="DB14" i="7"/>
  <c r="CY14" i="7"/>
  <c r="CV14" i="7"/>
  <c r="CL14" i="7"/>
  <c r="BR14" i="7"/>
  <c r="BQ14" i="7"/>
  <c r="AN14" i="7"/>
  <c r="AJ14" i="7"/>
  <c r="T14" i="7"/>
  <c r="ER14" i="7" s="1"/>
  <c r="G14" i="7"/>
  <c r="D14" i="7"/>
  <c r="GX13" i="7"/>
  <c r="GG13" i="7" s="1"/>
  <c r="FZ13" i="7"/>
  <c r="FK13" i="7"/>
  <c r="EY13" i="7"/>
  <c r="FI13" i="7" s="1"/>
  <c r="DX13" i="7"/>
  <c r="DB13" i="7"/>
  <c r="CY13" i="7"/>
  <c r="CV13" i="7"/>
  <c r="CL13" i="7"/>
  <c r="BR13" i="7"/>
  <c r="BQ13" i="7"/>
  <c r="AN13" i="7"/>
  <c r="AJ13" i="7"/>
  <c r="T13" i="7"/>
  <c r="ER13" i="7" s="1"/>
  <c r="G13" i="7"/>
  <c r="D13" i="7"/>
  <c r="GX12" i="7"/>
  <c r="GG12" i="7"/>
  <c r="FZ12" i="7"/>
  <c r="FK12" i="7"/>
  <c r="EY12" i="7"/>
  <c r="FI12" i="7" s="1"/>
  <c r="DX12" i="7"/>
  <c r="DB12" i="7"/>
  <c r="CY12" i="7"/>
  <c r="CV12" i="7"/>
  <c r="CL12" i="7"/>
  <c r="BR12" i="7"/>
  <c r="BQ12" i="7"/>
  <c r="AN12" i="7"/>
  <c r="AJ12" i="7"/>
  <c r="T12" i="7"/>
  <c r="G12" i="7"/>
  <c r="D12" i="7"/>
  <c r="GX11" i="7"/>
  <c r="FZ11" i="7"/>
  <c r="FK11" i="7"/>
  <c r="EY11" i="7"/>
  <c r="FI11" i="7" s="1"/>
  <c r="DX11" i="7"/>
  <c r="DB11" i="7"/>
  <c r="CY11" i="7"/>
  <c r="CV11" i="7"/>
  <c r="CL11" i="7"/>
  <c r="BR11" i="7"/>
  <c r="BQ11" i="7"/>
  <c r="AN11" i="7"/>
  <c r="AJ11" i="7"/>
  <c r="T11" i="7"/>
  <c r="ER11" i="7" s="1"/>
  <c r="G11" i="7"/>
  <c r="D11" i="7"/>
  <c r="GX10" i="7"/>
  <c r="FZ10" i="7"/>
  <c r="FK10" i="7"/>
  <c r="EY10" i="7"/>
  <c r="FI10" i="7" s="1"/>
  <c r="DX10" i="7"/>
  <c r="DB10" i="7"/>
  <c r="CY10" i="7"/>
  <c r="CV10" i="7"/>
  <c r="CL10" i="7"/>
  <c r="BR10" i="7"/>
  <c r="BQ10" i="7"/>
  <c r="AN10" i="7"/>
  <c r="AJ10" i="7"/>
  <c r="T10" i="7"/>
  <c r="ER10" i="7" s="1"/>
  <c r="G10" i="7"/>
  <c r="D10" i="7"/>
  <c r="GX9" i="7"/>
  <c r="FZ9" i="7"/>
  <c r="FK9" i="7"/>
  <c r="EY9" i="7"/>
  <c r="FI9" i="7" s="1"/>
  <c r="ER9" i="7"/>
  <c r="DX9" i="7"/>
  <c r="DB9" i="7"/>
  <c r="CY9" i="7"/>
  <c r="CV9" i="7"/>
  <c r="CL9" i="7"/>
  <c r="BR9" i="7"/>
  <c r="BQ9" i="7"/>
  <c r="AN9" i="7"/>
  <c r="AN39" i="7" s="1"/>
  <c r="AJ9" i="7"/>
  <c r="T9" i="7"/>
  <c r="G9" i="7"/>
  <c r="D9" i="7"/>
  <c r="GX8" i="7"/>
  <c r="FZ8" i="7"/>
  <c r="FK8" i="7"/>
  <c r="FI8" i="7"/>
  <c r="EY8" i="7"/>
  <c r="DX8" i="7"/>
  <c r="DB8" i="7"/>
  <c r="CY8" i="7"/>
  <c r="CV8" i="7"/>
  <c r="CL8" i="7"/>
  <c r="BR8" i="7"/>
  <c r="BQ8" i="7"/>
  <c r="AN8" i="7"/>
  <c r="AJ8" i="7"/>
  <c r="T8" i="7"/>
  <c r="G8" i="7"/>
  <c r="D8" i="7"/>
  <c r="GX7" i="7"/>
  <c r="FZ7" i="7"/>
  <c r="FK7" i="7"/>
  <c r="EY7" i="7"/>
  <c r="FI7" i="7" s="1"/>
  <c r="DX7" i="7"/>
  <c r="DB7" i="7"/>
  <c r="CY7" i="7"/>
  <c r="CV7" i="7"/>
  <c r="CV59" i="7" s="1"/>
  <c r="CL7" i="7"/>
  <c r="BR7" i="7"/>
  <c r="BQ7" i="7"/>
  <c r="AN7" i="7"/>
  <c r="AJ7" i="7"/>
  <c r="T7" i="7"/>
  <c r="ER7" i="7" s="1"/>
  <c r="G7" i="7"/>
  <c r="D7" i="7"/>
  <c r="D59" i="7" s="1"/>
  <c r="GX6" i="7"/>
  <c r="FZ6" i="7"/>
  <c r="FK6" i="7"/>
  <c r="EY6" i="7"/>
  <c r="ER6" i="7"/>
  <c r="DX6" i="7"/>
  <c r="DB6" i="7"/>
  <c r="DB59" i="7" s="1"/>
  <c r="CY6" i="7"/>
  <c r="CY59" i="7" s="1"/>
  <c r="CV6" i="7"/>
  <c r="CL6" i="7"/>
  <c r="BR6" i="7"/>
  <c r="BQ6" i="7"/>
  <c r="BQ59" i="7" s="1"/>
  <c r="AN6" i="7"/>
  <c r="AN59" i="7" s="1"/>
  <c r="AJ6" i="7"/>
  <c r="T6" i="7"/>
  <c r="T59" i="7" s="1"/>
  <c r="G6" i="7"/>
  <c r="G59" i="7" s="1"/>
  <c r="D6" i="7"/>
  <c r="GE62" i="6"/>
  <c r="GD62" i="6"/>
  <c r="GC62" i="6"/>
  <c r="GB62" i="6"/>
  <c r="GA62" i="6"/>
  <c r="FY62" i="6"/>
  <c r="FO62" i="6"/>
  <c r="FN62" i="6"/>
  <c r="FM62" i="6"/>
  <c r="FL62" i="6"/>
  <c r="FJ62" i="6"/>
  <c r="FH62" i="6"/>
  <c r="FG62" i="6"/>
  <c r="FF62" i="6"/>
  <c r="FE62" i="6"/>
  <c r="FD62" i="6"/>
  <c r="FC62" i="6"/>
  <c r="FB62" i="6"/>
  <c r="FA62" i="6"/>
  <c r="EZ62" i="6"/>
  <c r="EX62" i="6"/>
  <c r="EW62" i="6"/>
  <c r="EV62" i="6"/>
  <c r="EU62" i="6"/>
  <c r="ET62" i="6"/>
  <c r="ES62" i="6"/>
  <c r="EQ62" i="6"/>
  <c r="EP62" i="6"/>
  <c r="EM62" i="6"/>
  <c r="EL62" i="6"/>
  <c r="EK62" i="6"/>
  <c r="EJ62" i="6"/>
  <c r="EI62" i="6"/>
  <c r="EH62" i="6"/>
  <c r="EG62" i="6"/>
  <c r="EF62" i="6"/>
  <c r="EE62" i="6"/>
  <c r="ED62" i="6"/>
  <c r="EC62" i="6"/>
  <c r="EB62" i="6"/>
  <c r="EA62" i="6"/>
  <c r="DZ62" i="6"/>
  <c r="DY62" i="6"/>
  <c r="DW62" i="6"/>
  <c r="DV62" i="6"/>
  <c r="DU62" i="6"/>
  <c r="DT62" i="6"/>
  <c r="DS62" i="6"/>
  <c r="DR62" i="6"/>
  <c r="DQ62" i="6"/>
  <c r="DP62" i="6"/>
  <c r="DO62" i="6"/>
  <c r="DN62" i="6"/>
  <c r="DM62" i="6"/>
  <c r="DL62" i="6"/>
  <c r="DK62" i="6"/>
  <c r="DJ62" i="6"/>
  <c r="DI62" i="6"/>
  <c r="DH62" i="6"/>
  <c r="DG62" i="6"/>
  <c r="DF62" i="6"/>
  <c r="DE62" i="6"/>
  <c r="DD62" i="6"/>
  <c r="DC62" i="6"/>
  <c r="DA62" i="6"/>
  <c r="CZ62" i="6"/>
  <c r="CX62" i="6"/>
  <c r="CW62" i="6"/>
  <c r="CU62" i="6"/>
  <c r="CT62" i="6"/>
  <c r="CS62" i="6"/>
  <c r="CR62" i="6"/>
  <c r="CQ62" i="6"/>
  <c r="CP62" i="6"/>
  <c r="CO62" i="6"/>
  <c r="CN62" i="6"/>
  <c r="CM62" i="6"/>
  <c r="CK62" i="6"/>
  <c r="CJ62" i="6"/>
  <c r="CI62" i="6"/>
  <c r="CH62" i="6"/>
  <c r="CG62" i="6"/>
  <c r="CF62" i="6"/>
  <c r="CE62" i="6"/>
  <c r="CD62" i="6"/>
  <c r="CC62" i="6"/>
  <c r="CB62" i="6"/>
  <c r="CA62" i="6"/>
  <c r="BZ62" i="6"/>
  <c r="BY62" i="6"/>
  <c r="BX62" i="6"/>
  <c r="BW62" i="6"/>
  <c r="BV62" i="6"/>
  <c r="BU62" i="6"/>
  <c r="BT62" i="6"/>
  <c r="BS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M62" i="6"/>
  <c r="AL62" i="6"/>
  <c r="AK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S62" i="6"/>
  <c r="R62" i="6"/>
  <c r="Q62" i="6"/>
  <c r="P62" i="6"/>
  <c r="O62" i="6"/>
  <c r="N62" i="6"/>
  <c r="M62" i="6"/>
  <c r="L62" i="6"/>
  <c r="K62" i="6"/>
  <c r="J62" i="6"/>
  <c r="I62" i="6"/>
  <c r="H62" i="6"/>
  <c r="F62" i="6"/>
  <c r="E62" i="6"/>
  <c r="C62" i="6"/>
  <c r="GR61" i="6"/>
  <c r="GQ61" i="6"/>
  <c r="GE59" i="6"/>
  <c r="GD59" i="6"/>
  <c r="GC59" i="6"/>
  <c r="GB59" i="6"/>
  <c r="GA59" i="6"/>
  <c r="FY59" i="6"/>
  <c r="FO59" i="6"/>
  <c r="FN59" i="6"/>
  <c r="FM59" i="6"/>
  <c r="FL59" i="6"/>
  <c r="FJ59" i="6"/>
  <c r="FH59" i="6"/>
  <c r="FG59" i="6"/>
  <c r="FF59" i="6"/>
  <c r="FE59" i="6"/>
  <c r="FD59" i="6"/>
  <c r="FC59" i="6"/>
  <c r="FB59" i="6"/>
  <c r="FA59" i="6"/>
  <c r="EZ59" i="6"/>
  <c r="EX59" i="6"/>
  <c r="EW59" i="6"/>
  <c r="EV59" i="6"/>
  <c r="EU59" i="6"/>
  <c r="ET59" i="6"/>
  <c r="ES59" i="6"/>
  <c r="EQ59" i="6"/>
  <c r="EP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DK59" i="6"/>
  <c r="DJ59" i="6"/>
  <c r="DI59" i="6"/>
  <c r="DH59" i="6"/>
  <c r="DG59" i="6"/>
  <c r="DF59" i="6"/>
  <c r="DE59" i="6"/>
  <c r="DD59" i="6"/>
  <c r="DC59" i="6"/>
  <c r="DA59" i="6"/>
  <c r="CZ59" i="6"/>
  <c r="CX59" i="6"/>
  <c r="CW59" i="6"/>
  <c r="CU59" i="6"/>
  <c r="CT59" i="6"/>
  <c r="CS59" i="6"/>
  <c r="CR59" i="6"/>
  <c r="CQ59" i="6"/>
  <c r="CP59" i="6"/>
  <c r="CO59" i="6"/>
  <c r="CN59" i="6"/>
  <c r="CM59" i="6"/>
  <c r="CK59" i="6"/>
  <c r="CJ59" i="6"/>
  <c r="CI59" i="6"/>
  <c r="CH59" i="6"/>
  <c r="CG59" i="6"/>
  <c r="CF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M59" i="6"/>
  <c r="AL59" i="6"/>
  <c r="AK59" i="6"/>
  <c r="AI59" i="6"/>
  <c r="AH59" i="6"/>
  <c r="AG59" i="6"/>
  <c r="AF59" i="6"/>
  <c r="AE59" i="6"/>
  <c r="AD59" i="6"/>
  <c r="AB59" i="6"/>
  <c r="AA59" i="6"/>
  <c r="Z59" i="6"/>
  <c r="Y59" i="6"/>
  <c r="X59" i="6"/>
  <c r="W59" i="6"/>
  <c r="V59" i="6"/>
  <c r="U59" i="6"/>
  <c r="S59" i="6"/>
  <c r="R59" i="6"/>
  <c r="Q59" i="6"/>
  <c r="P59" i="6"/>
  <c r="O59" i="6"/>
  <c r="N59" i="6"/>
  <c r="M59" i="6"/>
  <c r="L59" i="6"/>
  <c r="K59" i="6"/>
  <c r="J59" i="6"/>
  <c r="I59" i="6"/>
  <c r="H59" i="6"/>
  <c r="F59" i="6"/>
  <c r="E59" i="6"/>
  <c r="C59" i="6"/>
  <c r="GE58" i="6"/>
  <c r="GD58" i="6"/>
  <c r="GC58" i="6"/>
  <c r="GB58" i="6"/>
  <c r="GA58" i="6"/>
  <c r="FY58" i="6"/>
  <c r="FO58" i="6"/>
  <c r="FN58" i="6"/>
  <c r="FM58" i="6"/>
  <c r="FL58" i="6"/>
  <c r="FJ58" i="6"/>
  <c r="FH58" i="6"/>
  <c r="FG58" i="6"/>
  <c r="FF58" i="6"/>
  <c r="FE58" i="6"/>
  <c r="FD58" i="6"/>
  <c r="FC58" i="6"/>
  <c r="FB58" i="6"/>
  <c r="FA58" i="6"/>
  <c r="EZ58" i="6"/>
  <c r="EX58" i="6"/>
  <c r="EW58" i="6"/>
  <c r="EV58" i="6"/>
  <c r="EU58" i="6"/>
  <c r="ET58" i="6"/>
  <c r="ES58" i="6"/>
  <c r="EQ58" i="6"/>
  <c r="EP58" i="6"/>
  <c r="EM58" i="6"/>
  <c r="EL58" i="6"/>
  <c r="EK58" i="6"/>
  <c r="EJ58" i="6"/>
  <c r="EI58" i="6"/>
  <c r="EH58" i="6"/>
  <c r="EG58" i="6"/>
  <c r="EF58" i="6"/>
  <c r="EE58" i="6"/>
  <c r="ED58" i="6"/>
  <c r="EC58" i="6"/>
  <c r="EB58" i="6"/>
  <c r="EA58" i="6"/>
  <c r="DZ58" i="6"/>
  <c r="DY58" i="6"/>
  <c r="DW58" i="6"/>
  <c r="DV58" i="6"/>
  <c r="DU58" i="6"/>
  <c r="DT58" i="6"/>
  <c r="DS58" i="6"/>
  <c r="DR58" i="6"/>
  <c r="DQ58" i="6"/>
  <c r="DP58" i="6"/>
  <c r="DO58" i="6"/>
  <c r="DN58" i="6"/>
  <c r="DM58" i="6"/>
  <c r="DL58" i="6"/>
  <c r="DK58" i="6"/>
  <c r="DJ58" i="6"/>
  <c r="DI58" i="6"/>
  <c r="DH58" i="6"/>
  <c r="DG58" i="6"/>
  <c r="DF58" i="6"/>
  <c r="DE58" i="6"/>
  <c r="DD58" i="6"/>
  <c r="DC58" i="6"/>
  <c r="DA58" i="6"/>
  <c r="CZ58" i="6"/>
  <c r="CX58" i="6"/>
  <c r="CW58" i="6"/>
  <c r="CV58" i="6"/>
  <c r="CU58" i="6"/>
  <c r="CT58" i="6"/>
  <c r="CS58" i="6"/>
  <c r="CR58" i="6"/>
  <c r="CQ58" i="6"/>
  <c r="CP58" i="6"/>
  <c r="CO58" i="6"/>
  <c r="CN58" i="6"/>
  <c r="CM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M58" i="6"/>
  <c r="AL58" i="6"/>
  <c r="AK58" i="6"/>
  <c r="AI58" i="6"/>
  <c r="AH58" i="6"/>
  <c r="AG58" i="6"/>
  <c r="AF58" i="6"/>
  <c r="AE58" i="6"/>
  <c r="AD58" i="6"/>
  <c r="AB58" i="6"/>
  <c r="AA58" i="6"/>
  <c r="Z58" i="6"/>
  <c r="Y58" i="6"/>
  <c r="X58" i="6"/>
  <c r="W58" i="6"/>
  <c r="V58" i="6"/>
  <c r="U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C58" i="6"/>
  <c r="GF57" i="6"/>
  <c r="GE57" i="6"/>
  <c r="GD57" i="6"/>
  <c r="GC57" i="6"/>
  <c r="GB57" i="6"/>
  <c r="GA57" i="6"/>
  <c r="FY57" i="6"/>
  <c r="FO57" i="6"/>
  <c r="FN57" i="6"/>
  <c r="FM57" i="6"/>
  <c r="FL57" i="6"/>
  <c r="FJ57" i="6"/>
  <c r="FH57" i="6"/>
  <c r="FG57" i="6"/>
  <c r="FF57" i="6"/>
  <c r="FE57" i="6"/>
  <c r="FD57" i="6"/>
  <c r="FC57" i="6"/>
  <c r="FB57" i="6"/>
  <c r="FA57" i="6"/>
  <c r="EZ57" i="6"/>
  <c r="EX57" i="6"/>
  <c r="EW57" i="6"/>
  <c r="EV57" i="6"/>
  <c r="EU57" i="6"/>
  <c r="ET57" i="6"/>
  <c r="ES57" i="6"/>
  <c r="EQ57" i="6"/>
  <c r="EP57" i="6"/>
  <c r="EO57" i="6"/>
  <c r="EM57" i="6"/>
  <c r="EL57" i="6"/>
  <c r="EK57" i="6"/>
  <c r="EJ57" i="6"/>
  <c r="EI57" i="6"/>
  <c r="EH57" i="6"/>
  <c r="EG57" i="6"/>
  <c r="EF57" i="6"/>
  <c r="EE57" i="6"/>
  <c r="ED57" i="6"/>
  <c r="EC57" i="6"/>
  <c r="EB57" i="6"/>
  <c r="EA57" i="6"/>
  <c r="DZ57" i="6"/>
  <c r="DY57" i="6"/>
  <c r="DW57" i="6"/>
  <c r="DV57" i="6"/>
  <c r="DU57" i="6"/>
  <c r="DT57" i="6"/>
  <c r="DS57" i="6"/>
  <c r="DR57" i="6"/>
  <c r="DQ57" i="6"/>
  <c r="DP57" i="6"/>
  <c r="DO57" i="6"/>
  <c r="DN57" i="6"/>
  <c r="DM57" i="6"/>
  <c r="DL57" i="6"/>
  <c r="DK57" i="6"/>
  <c r="DJ57" i="6"/>
  <c r="DI57" i="6"/>
  <c r="DH57" i="6"/>
  <c r="DG57" i="6"/>
  <c r="DF57" i="6"/>
  <c r="DE57" i="6"/>
  <c r="DD57" i="6"/>
  <c r="DC57" i="6"/>
  <c r="DA57" i="6"/>
  <c r="CZ57" i="6"/>
  <c r="CX57" i="6"/>
  <c r="CW57" i="6"/>
  <c r="CU57" i="6"/>
  <c r="CT57" i="6"/>
  <c r="CS57" i="6"/>
  <c r="CR57" i="6"/>
  <c r="CQ57" i="6"/>
  <c r="CP57" i="6"/>
  <c r="CO57" i="6"/>
  <c r="CN57" i="6"/>
  <c r="CM57" i="6"/>
  <c r="CK57" i="6"/>
  <c r="CJ57" i="6"/>
  <c r="CI57" i="6"/>
  <c r="CH57" i="6"/>
  <c r="CG57" i="6"/>
  <c r="CF57" i="6"/>
  <c r="CE57" i="6"/>
  <c r="CD57" i="6"/>
  <c r="CC57" i="6"/>
  <c r="CB57" i="6"/>
  <c r="CA57" i="6"/>
  <c r="BZ57" i="6"/>
  <c r="BY57" i="6"/>
  <c r="BX57" i="6"/>
  <c r="BW57" i="6"/>
  <c r="BV57" i="6"/>
  <c r="BU57" i="6"/>
  <c r="BT57" i="6"/>
  <c r="BS57" i="6"/>
  <c r="BP57" i="6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M57" i="6"/>
  <c r="AL57" i="6"/>
  <c r="AK57" i="6"/>
  <c r="AI57" i="6"/>
  <c r="AH57" i="6"/>
  <c r="AG57" i="6"/>
  <c r="AF57" i="6"/>
  <c r="AE57" i="6"/>
  <c r="AD57" i="6"/>
  <c r="AB57" i="6"/>
  <c r="AA57" i="6"/>
  <c r="Z57" i="6"/>
  <c r="Y57" i="6"/>
  <c r="X57" i="6"/>
  <c r="W57" i="6"/>
  <c r="V57" i="6"/>
  <c r="U57" i="6"/>
  <c r="S57" i="6"/>
  <c r="R57" i="6"/>
  <c r="Q57" i="6"/>
  <c r="P57" i="6"/>
  <c r="O57" i="6"/>
  <c r="N57" i="6"/>
  <c r="M57" i="6"/>
  <c r="L57" i="6"/>
  <c r="K57" i="6"/>
  <c r="J57" i="6"/>
  <c r="I57" i="6"/>
  <c r="H57" i="6"/>
  <c r="F57" i="6"/>
  <c r="E57" i="6"/>
  <c r="C57" i="6"/>
  <c r="GF56" i="6"/>
  <c r="GE56" i="6"/>
  <c r="GD56" i="6"/>
  <c r="GC56" i="6"/>
  <c r="GB56" i="6"/>
  <c r="GA56" i="6"/>
  <c r="FY56" i="6"/>
  <c r="FO56" i="6"/>
  <c r="FN56" i="6"/>
  <c r="FM56" i="6"/>
  <c r="FL56" i="6"/>
  <c r="FJ56" i="6"/>
  <c r="FH56" i="6"/>
  <c r="FG56" i="6"/>
  <c r="FF56" i="6"/>
  <c r="FE56" i="6"/>
  <c r="FD56" i="6"/>
  <c r="FC56" i="6"/>
  <c r="FB56" i="6"/>
  <c r="FA56" i="6"/>
  <c r="EZ56" i="6"/>
  <c r="EX56" i="6"/>
  <c r="EW56" i="6"/>
  <c r="EV56" i="6"/>
  <c r="EU56" i="6"/>
  <c r="ET56" i="6"/>
  <c r="ES56" i="6"/>
  <c r="EQ56" i="6"/>
  <c r="EP56" i="6"/>
  <c r="EO56" i="6"/>
  <c r="EM56" i="6"/>
  <c r="EL56" i="6"/>
  <c r="EK56" i="6"/>
  <c r="EJ56" i="6"/>
  <c r="EI56" i="6"/>
  <c r="EH56" i="6"/>
  <c r="EG56" i="6"/>
  <c r="EF56" i="6"/>
  <c r="EE56" i="6"/>
  <c r="ED56" i="6"/>
  <c r="EC56" i="6"/>
  <c r="EB56" i="6"/>
  <c r="EA56" i="6"/>
  <c r="DZ56" i="6"/>
  <c r="DY56" i="6"/>
  <c r="DW56" i="6"/>
  <c r="DV56" i="6"/>
  <c r="DU56" i="6"/>
  <c r="DT56" i="6"/>
  <c r="DS56" i="6"/>
  <c r="DR56" i="6"/>
  <c r="DQ56" i="6"/>
  <c r="DP56" i="6"/>
  <c r="DO56" i="6"/>
  <c r="DN56" i="6"/>
  <c r="DM56" i="6"/>
  <c r="DL56" i="6"/>
  <c r="DK56" i="6"/>
  <c r="DJ56" i="6"/>
  <c r="DI56" i="6"/>
  <c r="DH56" i="6"/>
  <c r="DG56" i="6"/>
  <c r="DF56" i="6"/>
  <c r="DE56" i="6"/>
  <c r="DD56" i="6"/>
  <c r="DC56" i="6"/>
  <c r="DA56" i="6"/>
  <c r="CZ56" i="6"/>
  <c r="CX56" i="6"/>
  <c r="CW56" i="6"/>
  <c r="CU56" i="6"/>
  <c r="CT56" i="6"/>
  <c r="CS56" i="6"/>
  <c r="CR56" i="6"/>
  <c r="CQ56" i="6"/>
  <c r="CP56" i="6"/>
  <c r="CO56" i="6"/>
  <c r="CN56" i="6"/>
  <c r="CM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P56" i="6"/>
  <c r="AO56" i="6"/>
  <c r="AM56" i="6"/>
  <c r="AL56" i="6"/>
  <c r="AK56" i="6"/>
  <c r="AI56" i="6"/>
  <c r="AH56" i="6"/>
  <c r="AG56" i="6"/>
  <c r="AF56" i="6"/>
  <c r="AE56" i="6"/>
  <c r="AD56" i="6"/>
  <c r="AB56" i="6"/>
  <c r="AA56" i="6"/>
  <c r="Z56" i="6"/>
  <c r="Y56" i="6"/>
  <c r="X56" i="6"/>
  <c r="W56" i="6"/>
  <c r="V56" i="6"/>
  <c r="U56" i="6"/>
  <c r="S56" i="6"/>
  <c r="R56" i="6"/>
  <c r="Q56" i="6"/>
  <c r="P56" i="6"/>
  <c r="O56" i="6"/>
  <c r="N56" i="6"/>
  <c r="M56" i="6"/>
  <c r="L56" i="6"/>
  <c r="K56" i="6"/>
  <c r="J56" i="6"/>
  <c r="I56" i="6"/>
  <c r="H56" i="6"/>
  <c r="F56" i="6"/>
  <c r="E56" i="6"/>
  <c r="C56" i="6"/>
  <c r="FM53" i="6"/>
  <c r="FL53" i="6"/>
  <c r="EK53" i="6"/>
  <c r="GX52" i="6"/>
  <c r="FZ52" i="6"/>
  <c r="FK52" i="6"/>
  <c r="EY52" i="6"/>
  <c r="FI52" i="6" s="1"/>
  <c r="DX52" i="6"/>
  <c r="DB52" i="6"/>
  <c r="CY52" i="6"/>
  <c r="CV52" i="6"/>
  <c r="CL52" i="6"/>
  <c r="BR52" i="6"/>
  <c r="ER52" i="6" s="1"/>
  <c r="AN52" i="6"/>
  <c r="AJ52" i="6"/>
  <c r="AJ59" i="6" s="1"/>
  <c r="T52" i="6"/>
  <c r="G52" i="6"/>
  <c r="D52" i="6"/>
  <c r="GX51" i="6"/>
  <c r="FZ51" i="6"/>
  <c r="FK51" i="6"/>
  <c r="EY51" i="6"/>
  <c r="FI51" i="6" s="1"/>
  <c r="EO51" i="6"/>
  <c r="EO52" i="6" s="1"/>
  <c r="DX51" i="6"/>
  <c r="DB51" i="6"/>
  <c r="CY51" i="6"/>
  <c r="CV51" i="6"/>
  <c r="CL51" i="6"/>
  <c r="BR51" i="6"/>
  <c r="ER51" i="6" s="1"/>
  <c r="BQ51" i="6"/>
  <c r="AN51" i="6"/>
  <c r="AJ51" i="6"/>
  <c r="T51" i="6"/>
  <c r="G51" i="6"/>
  <c r="D51" i="6"/>
  <c r="GX50" i="6"/>
  <c r="GK50" i="6"/>
  <c r="GK57" i="6" s="1"/>
  <c r="GF50" i="6"/>
  <c r="GG50" i="6" s="1"/>
  <c r="FZ50" i="6"/>
  <c r="FK50" i="6"/>
  <c r="EY50" i="6"/>
  <c r="EO50" i="6"/>
  <c r="EN50" i="6"/>
  <c r="EN57" i="6" s="1"/>
  <c r="DX50" i="6"/>
  <c r="DB50" i="6"/>
  <c r="CY50" i="6"/>
  <c r="CV50" i="6"/>
  <c r="CL50" i="6"/>
  <c r="BR50" i="6"/>
  <c r="BR57" i="6" s="1"/>
  <c r="BQ50" i="6"/>
  <c r="AN50" i="6"/>
  <c r="AJ50" i="6"/>
  <c r="T50" i="6"/>
  <c r="G50" i="6"/>
  <c r="D50" i="6"/>
  <c r="GX49" i="6"/>
  <c r="FZ49" i="6"/>
  <c r="FK49" i="6"/>
  <c r="FI49" i="6"/>
  <c r="EY49" i="6"/>
  <c r="DX49" i="6"/>
  <c r="DB49" i="6"/>
  <c r="CY49" i="6"/>
  <c r="CV49" i="6"/>
  <c r="CL49" i="6"/>
  <c r="BR49" i="6"/>
  <c r="BQ49" i="6"/>
  <c r="AN49" i="6"/>
  <c r="AJ49" i="6"/>
  <c r="T49" i="6"/>
  <c r="ER49" i="6" s="1"/>
  <c r="G49" i="6"/>
  <c r="D49" i="6"/>
  <c r="GX48" i="6"/>
  <c r="GG48" i="6"/>
  <c r="FZ48" i="6"/>
  <c r="FK48" i="6"/>
  <c r="EY48" i="6"/>
  <c r="FI48" i="6" s="1"/>
  <c r="DX48" i="6"/>
  <c r="DB48" i="6"/>
  <c r="CY48" i="6"/>
  <c r="CV48" i="6"/>
  <c r="CL48" i="6"/>
  <c r="BR48" i="6"/>
  <c r="BQ48" i="6"/>
  <c r="AN48" i="6"/>
  <c r="AJ48" i="6"/>
  <c r="T48" i="6"/>
  <c r="ER48" i="6" s="1"/>
  <c r="G48" i="6"/>
  <c r="D48" i="6"/>
  <c r="GX47" i="6"/>
  <c r="FZ47" i="6"/>
  <c r="FK47" i="6"/>
  <c r="FI47" i="6"/>
  <c r="EY47" i="6"/>
  <c r="ER47" i="6"/>
  <c r="DX47" i="6"/>
  <c r="DB47" i="6"/>
  <c r="CY47" i="6"/>
  <c r="CV47" i="6"/>
  <c r="CL47" i="6"/>
  <c r="BR47" i="6"/>
  <c r="BQ47" i="6" s="1"/>
  <c r="AN47" i="6"/>
  <c r="AJ47" i="6"/>
  <c r="T47" i="6"/>
  <c r="G47" i="6"/>
  <c r="D47" i="6"/>
  <c r="GX46" i="6"/>
  <c r="FZ46" i="6"/>
  <c r="FK46" i="6"/>
  <c r="FI46" i="6"/>
  <c r="EY46" i="6"/>
  <c r="DX46" i="6"/>
  <c r="DB46" i="6"/>
  <c r="CY46" i="6"/>
  <c r="CV46" i="6"/>
  <c r="CL46" i="6"/>
  <c r="BR46" i="6"/>
  <c r="AN46" i="6"/>
  <c r="AJ46" i="6"/>
  <c r="T46" i="6"/>
  <c r="G46" i="6"/>
  <c r="D46" i="6"/>
  <c r="GX45" i="6"/>
  <c r="FZ45" i="6"/>
  <c r="FK45" i="6"/>
  <c r="FI45" i="6"/>
  <c r="EY45" i="6"/>
  <c r="DX45" i="6"/>
  <c r="DB45" i="6"/>
  <c r="CY45" i="6"/>
  <c r="CV45" i="6"/>
  <c r="CL45" i="6"/>
  <c r="BR45" i="6"/>
  <c r="BQ45" i="6" s="1"/>
  <c r="AN45" i="6"/>
  <c r="AJ45" i="6"/>
  <c r="T45" i="6"/>
  <c r="G45" i="6"/>
  <c r="D45" i="6"/>
  <c r="GX44" i="6"/>
  <c r="GY50" i="6" s="1"/>
  <c r="GG44" i="6"/>
  <c r="FZ44" i="6"/>
  <c r="FK44" i="6"/>
  <c r="EY44" i="6"/>
  <c r="FI44" i="6" s="1"/>
  <c r="DX44" i="6"/>
  <c r="DB44" i="6"/>
  <c r="CY44" i="6"/>
  <c r="CV44" i="6"/>
  <c r="CL44" i="6"/>
  <c r="BR44" i="6"/>
  <c r="BQ44" i="6"/>
  <c r="AN44" i="6"/>
  <c r="AJ44" i="6"/>
  <c r="T44" i="6"/>
  <c r="ER44" i="6" s="1"/>
  <c r="G44" i="6"/>
  <c r="D44" i="6"/>
  <c r="GX43" i="6"/>
  <c r="FZ43" i="6"/>
  <c r="FK43" i="6"/>
  <c r="EY43" i="6"/>
  <c r="FI43" i="6" s="1"/>
  <c r="ER43" i="6"/>
  <c r="DX43" i="6"/>
  <c r="DB43" i="6"/>
  <c r="CY43" i="6"/>
  <c r="CV43" i="6"/>
  <c r="CL43" i="6"/>
  <c r="BR43" i="6"/>
  <c r="BQ43" i="6"/>
  <c r="AN43" i="6"/>
  <c r="AJ43" i="6"/>
  <c r="T43" i="6"/>
  <c r="G43" i="6"/>
  <c r="D43" i="6"/>
  <c r="GX42" i="6"/>
  <c r="FZ42" i="6"/>
  <c r="FK42" i="6"/>
  <c r="EY42" i="6"/>
  <c r="FI42" i="6" s="1"/>
  <c r="DX42" i="6"/>
  <c r="DB42" i="6"/>
  <c r="CY42" i="6"/>
  <c r="CV42" i="6"/>
  <c r="CL42" i="6"/>
  <c r="BR42" i="6"/>
  <c r="BQ42" i="6"/>
  <c r="AN42" i="6"/>
  <c r="AJ42" i="6"/>
  <c r="T42" i="6"/>
  <c r="ER42" i="6" s="1"/>
  <c r="G42" i="6"/>
  <c r="D42" i="6"/>
  <c r="GX41" i="6"/>
  <c r="FZ41" i="6"/>
  <c r="FK41" i="6"/>
  <c r="FI41" i="6"/>
  <c r="EY41" i="6"/>
  <c r="DX41" i="6"/>
  <c r="DB41" i="6"/>
  <c r="CY41" i="6"/>
  <c r="CV41" i="6"/>
  <c r="CL41" i="6"/>
  <c r="BR41" i="6"/>
  <c r="BQ41" i="6" s="1"/>
  <c r="AN41" i="6"/>
  <c r="AJ41" i="6"/>
  <c r="T41" i="6"/>
  <c r="ER41" i="6" s="1"/>
  <c r="G41" i="6"/>
  <c r="D41" i="6"/>
  <c r="GX40" i="6"/>
  <c r="FZ40" i="6"/>
  <c r="FK40" i="6"/>
  <c r="EY40" i="6"/>
  <c r="FI40" i="6" s="1"/>
  <c r="ER40" i="6"/>
  <c r="DX40" i="6"/>
  <c r="DB40" i="6"/>
  <c r="DB57" i="6" s="1"/>
  <c r="CY40" i="6"/>
  <c r="CY57" i="6" s="1"/>
  <c r="CV40" i="6"/>
  <c r="CL40" i="6"/>
  <c r="BR40" i="6"/>
  <c r="BQ40" i="6"/>
  <c r="AN40" i="6"/>
  <c r="AJ40" i="6"/>
  <c r="T40" i="6"/>
  <c r="G40" i="6"/>
  <c r="G57" i="6" s="1"/>
  <c r="D40" i="6"/>
  <c r="GX39" i="6"/>
  <c r="GK39" i="6"/>
  <c r="GF39" i="6"/>
  <c r="FZ39" i="6"/>
  <c r="FK39" i="6"/>
  <c r="FI39" i="6"/>
  <c r="EY39" i="6"/>
  <c r="EO39" i="6"/>
  <c r="EN39" i="6"/>
  <c r="DX39" i="6"/>
  <c r="DB39" i="6"/>
  <c r="CY39" i="6"/>
  <c r="CY58" i="6" s="1"/>
  <c r="CV39" i="6"/>
  <c r="BR39" i="6"/>
  <c r="BR58" i="6" s="1"/>
  <c r="BQ39" i="6"/>
  <c r="AQ39" i="6"/>
  <c r="AQ56" i="6" s="1"/>
  <c r="S39" i="6"/>
  <c r="G39" i="6"/>
  <c r="D39" i="6"/>
  <c r="D58" i="6" s="1"/>
  <c r="GX38" i="6"/>
  <c r="FZ38" i="6"/>
  <c r="FK38" i="6"/>
  <c r="FI38" i="6"/>
  <c r="EY38" i="6"/>
  <c r="DX38" i="6"/>
  <c r="DB38" i="6"/>
  <c r="CY38" i="6"/>
  <c r="CV38" i="6"/>
  <c r="CL38" i="6"/>
  <c r="BR38" i="6"/>
  <c r="BQ38" i="6"/>
  <c r="AN38" i="6"/>
  <c r="AJ38" i="6"/>
  <c r="T38" i="6"/>
  <c r="G38" i="6"/>
  <c r="D38" i="6"/>
  <c r="GX37" i="6"/>
  <c r="FZ37" i="6"/>
  <c r="FK37" i="6"/>
  <c r="FI37" i="6"/>
  <c r="EY37" i="6"/>
  <c r="DX37" i="6"/>
  <c r="DB37" i="6"/>
  <c r="CY37" i="6"/>
  <c r="CV37" i="6"/>
  <c r="CL37" i="6"/>
  <c r="BR37" i="6"/>
  <c r="BQ37" i="6" s="1"/>
  <c r="AN37" i="6"/>
  <c r="AJ37" i="6"/>
  <c r="T37" i="6"/>
  <c r="ER37" i="6" s="1"/>
  <c r="G37" i="6"/>
  <c r="D37" i="6"/>
  <c r="GX36" i="6"/>
  <c r="GG36" i="6" s="1"/>
  <c r="FZ36" i="6"/>
  <c r="FK36" i="6"/>
  <c r="FI36" i="6"/>
  <c r="EY36" i="6"/>
  <c r="DX36" i="6"/>
  <c r="DB36" i="6"/>
  <c r="CY36" i="6"/>
  <c r="CV36" i="6"/>
  <c r="CL36" i="6"/>
  <c r="BR36" i="6"/>
  <c r="AN36" i="6"/>
  <c r="AJ36" i="6"/>
  <c r="T36" i="6"/>
  <c r="G36" i="6"/>
  <c r="D36" i="6"/>
  <c r="GX35" i="6"/>
  <c r="FZ35" i="6"/>
  <c r="FK35" i="6"/>
  <c r="EY35" i="6"/>
  <c r="FI35" i="6" s="1"/>
  <c r="DX35" i="6"/>
  <c r="DB35" i="6"/>
  <c r="CY35" i="6"/>
  <c r="CV35" i="6"/>
  <c r="CL35" i="6"/>
  <c r="BR35" i="6"/>
  <c r="ER35" i="6" s="1"/>
  <c r="BQ35" i="6"/>
  <c r="AN35" i="6"/>
  <c r="AJ35" i="6"/>
  <c r="T35" i="6"/>
  <c r="G35" i="6"/>
  <c r="D35" i="6"/>
  <c r="GX34" i="6"/>
  <c r="FZ34" i="6"/>
  <c r="FK34" i="6"/>
  <c r="FI34" i="6"/>
  <c r="EY34" i="6"/>
  <c r="DX34" i="6"/>
  <c r="DB34" i="6"/>
  <c r="CY34" i="6"/>
  <c r="CV34" i="6"/>
  <c r="CL34" i="6"/>
  <c r="BR34" i="6"/>
  <c r="BQ34" i="6" s="1"/>
  <c r="AN34" i="6"/>
  <c r="AJ34" i="6"/>
  <c r="T34" i="6"/>
  <c r="G34" i="6"/>
  <c r="D34" i="6"/>
  <c r="GX33" i="6"/>
  <c r="FZ33" i="6"/>
  <c r="FK33" i="6"/>
  <c r="EY33" i="6"/>
  <c r="FI33" i="6" s="1"/>
  <c r="DX33" i="6"/>
  <c r="DB33" i="6"/>
  <c r="CY33" i="6"/>
  <c r="CV33" i="6"/>
  <c r="CL33" i="6"/>
  <c r="BR33" i="6"/>
  <c r="BQ33" i="6"/>
  <c r="AN33" i="6"/>
  <c r="AJ33" i="6"/>
  <c r="T33" i="6"/>
  <c r="ER33" i="6" s="1"/>
  <c r="G33" i="6"/>
  <c r="D33" i="6"/>
  <c r="GX32" i="6"/>
  <c r="FZ32" i="6"/>
  <c r="FK32" i="6"/>
  <c r="EY32" i="6"/>
  <c r="FI32" i="6" s="1"/>
  <c r="ER32" i="6"/>
  <c r="DX32" i="6"/>
  <c r="DB32" i="6"/>
  <c r="CY32" i="6"/>
  <c r="CV32" i="6"/>
  <c r="CL32" i="6"/>
  <c r="BR32" i="6"/>
  <c r="BQ32" i="6"/>
  <c r="AN32" i="6"/>
  <c r="AJ32" i="6"/>
  <c r="T32" i="6"/>
  <c r="G32" i="6"/>
  <c r="D32" i="6"/>
  <c r="GX31" i="6"/>
  <c r="GG31" i="6"/>
  <c r="FZ31" i="6"/>
  <c r="FK31" i="6"/>
  <c r="FI31" i="6"/>
  <c r="EY31" i="6"/>
  <c r="DX31" i="6"/>
  <c r="DB31" i="6"/>
  <c r="CY31" i="6"/>
  <c r="CV31" i="6"/>
  <c r="CL31" i="6"/>
  <c r="BR31" i="6"/>
  <c r="BQ31" i="6"/>
  <c r="AN31" i="6"/>
  <c r="AJ31" i="6"/>
  <c r="T31" i="6"/>
  <c r="ER31" i="6" s="1"/>
  <c r="G31" i="6"/>
  <c r="D31" i="6"/>
  <c r="GX30" i="6"/>
  <c r="GG30" i="6"/>
  <c r="FZ30" i="6"/>
  <c r="FK30" i="6"/>
  <c r="EY30" i="6"/>
  <c r="FI30" i="6" s="1"/>
  <c r="ER30" i="6"/>
  <c r="DX30" i="6"/>
  <c r="DB30" i="6"/>
  <c r="CY30" i="6"/>
  <c r="CV30" i="6"/>
  <c r="CL30" i="6"/>
  <c r="BR30" i="6"/>
  <c r="BQ30" i="6"/>
  <c r="AN30" i="6"/>
  <c r="AJ30" i="6"/>
  <c r="T30" i="6"/>
  <c r="G30" i="6"/>
  <c r="D30" i="6"/>
  <c r="GX29" i="6"/>
  <c r="FZ29" i="6"/>
  <c r="FK29" i="6"/>
  <c r="FI29" i="6"/>
  <c r="EY29" i="6"/>
  <c r="DX29" i="6"/>
  <c r="DB29" i="6"/>
  <c r="CY29" i="6"/>
  <c r="CV29" i="6"/>
  <c r="CL29" i="6"/>
  <c r="BR29" i="6"/>
  <c r="BQ29" i="6" s="1"/>
  <c r="AN29" i="6"/>
  <c r="AJ29" i="6"/>
  <c r="T29" i="6"/>
  <c r="ER29" i="6" s="1"/>
  <c r="G29" i="6"/>
  <c r="D29" i="6"/>
  <c r="GX28" i="6"/>
  <c r="FZ28" i="6"/>
  <c r="FK28" i="6"/>
  <c r="EY28" i="6"/>
  <c r="FI28" i="6" s="1"/>
  <c r="ER28" i="6"/>
  <c r="DX28" i="6"/>
  <c r="DB28" i="6"/>
  <c r="CY28" i="6"/>
  <c r="CV28" i="6"/>
  <c r="CL28" i="6"/>
  <c r="BR28" i="6"/>
  <c r="BQ28" i="6"/>
  <c r="AN28" i="6"/>
  <c r="AJ28" i="6"/>
  <c r="T28" i="6"/>
  <c r="G28" i="6"/>
  <c r="D28" i="6"/>
  <c r="GX27" i="6"/>
  <c r="GG27" i="6"/>
  <c r="FZ27" i="6"/>
  <c r="FK27" i="6"/>
  <c r="FI27" i="6"/>
  <c r="EY27" i="6"/>
  <c r="DX27" i="6"/>
  <c r="DB27" i="6"/>
  <c r="CY27" i="6"/>
  <c r="CV27" i="6"/>
  <c r="CL27" i="6"/>
  <c r="BR27" i="6"/>
  <c r="BQ27" i="6" s="1"/>
  <c r="AN27" i="6"/>
  <c r="AJ27" i="6"/>
  <c r="T27" i="6"/>
  <c r="ER27" i="6" s="1"/>
  <c r="G27" i="6"/>
  <c r="D27" i="6"/>
  <c r="GX26" i="6"/>
  <c r="GG26" i="6" s="1"/>
  <c r="FZ26" i="6"/>
  <c r="FK26" i="6"/>
  <c r="FI26" i="6"/>
  <c r="EY26" i="6"/>
  <c r="DX26" i="6"/>
  <c r="DB26" i="6"/>
  <c r="CY26" i="6"/>
  <c r="CV26" i="6"/>
  <c r="CL26" i="6"/>
  <c r="BR26" i="6"/>
  <c r="AN26" i="6"/>
  <c r="AJ26" i="6"/>
  <c r="T26" i="6"/>
  <c r="G26" i="6"/>
  <c r="D26" i="6"/>
  <c r="GX25" i="6"/>
  <c r="FZ25" i="6"/>
  <c r="FK25" i="6"/>
  <c r="EY25" i="6"/>
  <c r="FI25" i="6" s="1"/>
  <c r="DX25" i="6"/>
  <c r="DB25" i="6"/>
  <c r="CY25" i="6"/>
  <c r="CV25" i="6"/>
  <c r="CL25" i="6"/>
  <c r="BR25" i="6"/>
  <c r="ER25" i="6" s="1"/>
  <c r="BQ25" i="6"/>
  <c r="AN25" i="6"/>
  <c r="AJ25" i="6"/>
  <c r="T25" i="6"/>
  <c r="G25" i="6"/>
  <c r="D25" i="6"/>
  <c r="GX24" i="6"/>
  <c r="FZ24" i="6"/>
  <c r="FK24" i="6"/>
  <c r="FI24" i="6"/>
  <c r="EY24" i="6"/>
  <c r="DX24" i="6"/>
  <c r="DB24" i="6"/>
  <c r="CY24" i="6"/>
  <c r="CV24" i="6"/>
  <c r="CL24" i="6"/>
  <c r="BR24" i="6"/>
  <c r="BQ24" i="6" s="1"/>
  <c r="AN24" i="6"/>
  <c r="AJ24" i="6"/>
  <c r="T24" i="6"/>
  <c r="G24" i="6"/>
  <c r="D24" i="6"/>
  <c r="GX23" i="6"/>
  <c r="GG23" i="6"/>
  <c r="FZ23" i="6"/>
  <c r="FK23" i="6"/>
  <c r="EY23" i="6"/>
  <c r="FI23" i="6" s="1"/>
  <c r="ER23" i="6"/>
  <c r="DX23" i="6"/>
  <c r="DB23" i="6"/>
  <c r="CY23" i="6"/>
  <c r="CV23" i="6"/>
  <c r="CL23" i="6"/>
  <c r="BR23" i="6"/>
  <c r="BQ23" i="6"/>
  <c r="AN23" i="6"/>
  <c r="AJ23" i="6"/>
  <c r="T23" i="6"/>
  <c r="G23" i="6"/>
  <c r="D23" i="6"/>
  <c r="GX22" i="6"/>
  <c r="FZ22" i="6"/>
  <c r="FK22" i="6"/>
  <c r="EY22" i="6"/>
  <c r="FI22" i="6" s="1"/>
  <c r="DX22" i="6"/>
  <c r="DB22" i="6"/>
  <c r="CY22" i="6"/>
  <c r="CV22" i="6"/>
  <c r="CL22" i="6"/>
  <c r="BR22" i="6"/>
  <c r="ER22" i="6" s="1"/>
  <c r="BQ22" i="6"/>
  <c r="AN22" i="6"/>
  <c r="AJ22" i="6"/>
  <c r="T22" i="6"/>
  <c r="G22" i="6"/>
  <c r="D22" i="6"/>
  <c r="GX21" i="6"/>
  <c r="FZ21" i="6"/>
  <c r="FK21" i="6"/>
  <c r="FI21" i="6"/>
  <c r="EY21" i="6"/>
  <c r="DX21" i="6"/>
  <c r="DB21" i="6"/>
  <c r="CY21" i="6"/>
  <c r="CV21" i="6"/>
  <c r="CL21" i="6"/>
  <c r="BR21" i="6"/>
  <c r="BQ21" i="6" s="1"/>
  <c r="AN21" i="6"/>
  <c r="AJ21" i="6"/>
  <c r="T21" i="6"/>
  <c r="G21" i="6"/>
  <c r="D21" i="6"/>
  <c r="GX20" i="6"/>
  <c r="FZ20" i="6"/>
  <c r="FK20" i="6"/>
  <c r="FI20" i="6"/>
  <c r="EY20" i="6"/>
  <c r="DX20" i="6"/>
  <c r="DB20" i="6"/>
  <c r="CY20" i="6"/>
  <c r="CV20" i="6"/>
  <c r="CL20" i="6"/>
  <c r="BR20" i="6"/>
  <c r="BQ20" i="6" s="1"/>
  <c r="AN20" i="6"/>
  <c r="AJ20" i="6"/>
  <c r="T20" i="6"/>
  <c r="ER20" i="6" s="1"/>
  <c r="G20" i="6"/>
  <c r="D20" i="6"/>
  <c r="GX19" i="6"/>
  <c r="GG19" i="6" s="1"/>
  <c r="FZ19" i="6"/>
  <c r="FK19" i="6"/>
  <c r="EY19" i="6"/>
  <c r="FI19" i="6" s="1"/>
  <c r="ER19" i="6"/>
  <c r="DX19" i="6"/>
  <c r="DB19" i="6"/>
  <c r="CY19" i="6"/>
  <c r="CV19" i="6"/>
  <c r="CL19" i="6"/>
  <c r="BR19" i="6"/>
  <c r="BQ19" i="6"/>
  <c r="AN19" i="6"/>
  <c r="AJ19" i="6"/>
  <c r="T19" i="6"/>
  <c r="G19" i="6"/>
  <c r="D19" i="6"/>
  <c r="GX18" i="6"/>
  <c r="FZ18" i="6"/>
  <c r="FK18" i="6"/>
  <c r="FI18" i="6"/>
  <c r="EY18" i="6"/>
  <c r="DX18" i="6"/>
  <c r="DB18" i="6"/>
  <c r="CY18" i="6"/>
  <c r="CV18" i="6"/>
  <c r="CL18" i="6"/>
  <c r="BR18" i="6"/>
  <c r="AN18" i="6"/>
  <c r="AJ18" i="6"/>
  <c r="T18" i="6"/>
  <c r="G18" i="6"/>
  <c r="D18" i="6"/>
  <c r="GX17" i="6"/>
  <c r="GG17" i="6"/>
  <c r="FZ17" i="6"/>
  <c r="FK17" i="6"/>
  <c r="EY17" i="6"/>
  <c r="FI17" i="6" s="1"/>
  <c r="DX17" i="6"/>
  <c r="DB17" i="6"/>
  <c r="CY17" i="6"/>
  <c r="CV17" i="6"/>
  <c r="CL17" i="6"/>
  <c r="BR17" i="6"/>
  <c r="BQ17" i="6" s="1"/>
  <c r="AN17" i="6"/>
  <c r="AJ17" i="6"/>
  <c r="T17" i="6"/>
  <c r="ER17" i="6" s="1"/>
  <c r="G17" i="6"/>
  <c r="D17" i="6"/>
  <c r="GX16" i="6"/>
  <c r="GG16" i="6" s="1"/>
  <c r="FZ16" i="6"/>
  <c r="FK16" i="6"/>
  <c r="EY16" i="6"/>
  <c r="FI16" i="6" s="1"/>
  <c r="ER16" i="6"/>
  <c r="DX16" i="6"/>
  <c r="DB16" i="6"/>
  <c r="CY16" i="6"/>
  <c r="CV16" i="6"/>
  <c r="CL16" i="6"/>
  <c r="BR16" i="6"/>
  <c r="BQ16" i="6"/>
  <c r="AN16" i="6"/>
  <c r="AJ16" i="6"/>
  <c r="T16" i="6"/>
  <c r="G16" i="6"/>
  <c r="D16" i="6"/>
  <c r="GX15" i="6"/>
  <c r="FZ15" i="6"/>
  <c r="FK15" i="6"/>
  <c r="EY15" i="6"/>
  <c r="FI15" i="6" s="1"/>
  <c r="DX15" i="6"/>
  <c r="DB15" i="6"/>
  <c r="CY15" i="6"/>
  <c r="CV15" i="6"/>
  <c r="CL15" i="6"/>
  <c r="BR15" i="6"/>
  <c r="ER15" i="6" s="1"/>
  <c r="BQ15" i="6"/>
  <c r="AN15" i="6"/>
  <c r="AJ15" i="6"/>
  <c r="T15" i="6"/>
  <c r="G15" i="6"/>
  <c r="D15" i="6"/>
  <c r="GX14" i="6"/>
  <c r="FZ14" i="6"/>
  <c r="FK14" i="6"/>
  <c r="FI14" i="6"/>
  <c r="EY14" i="6"/>
  <c r="DX14" i="6"/>
  <c r="DB14" i="6"/>
  <c r="CY14" i="6"/>
  <c r="CV14" i="6"/>
  <c r="CL14" i="6"/>
  <c r="BR14" i="6"/>
  <c r="BQ14" i="6" s="1"/>
  <c r="AN14" i="6"/>
  <c r="AJ14" i="6"/>
  <c r="T14" i="6"/>
  <c r="G14" i="6"/>
  <c r="D14" i="6"/>
  <c r="GX13" i="6"/>
  <c r="FZ13" i="6"/>
  <c r="FK13" i="6"/>
  <c r="EY13" i="6"/>
  <c r="FI13" i="6" s="1"/>
  <c r="ER13" i="6"/>
  <c r="DX13" i="6"/>
  <c r="DB13" i="6"/>
  <c r="CY13" i="6"/>
  <c r="CV13" i="6"/>
  <c r="CL13" i="6"/>
  <c r="BR13" i="6"/>
  <c r="BQ13" i="6"/>
  <c r="AN13" i="6"/>
  <c r="AJ13" i="6"/>
  <c r="T13" i="6"/>
  <c r="G13" i="6"/>
  <c r="D13" i="6"/>
  <c r="GX12" i="6"/>
  <c r="GG12" i="6"/>
  <c r="FZ12" i="6"/>
  <c r="FK12" i="6"/>
  <c r="EY12" i="6"/>
  <c r="FI12" i="6" s="1"/>
  <c r="ER12" i="6"/>
  <c r="DX12" i="6"/>
  <c r="DB12" i="6"/>
  <c r="CY12" i="6"/>
  <c r="CV12" i="6"/>
  <c r="CL12" i="6"/>
  <c r="BR12" i="6"/>
  <c r="BQ12" i="6"/>
  <c r="AN12" i="6"/>
  <c r="AJ12" i="6"/>
  <c r="T12" i="6"/>
  <c r="G12" i="6"/>
  <c r="D12" i="6"/>
  <c r="GX11" i="6"/>
  <c r="FZ11" i="6"/>
  <c r="FK11" i="6"/>
  <c r="FI11" i="6"/>
  <c r="EY11" i="6"/>
  <c r="DX11" i="6"/>
  <c r="DB11" i="6"/>
  <c r="CY11" i="6"/>
  <c r="CV11" i="6"/>
  <c r="CL11" i="6"/>
  <c r="BR11" i="6"/>
  <c r="BQ11" i="6" s="1"/>
  <c r="AN11" i="6"/>
  <c r="AJ11" i="6"/>
  <c r="T11" i="6"/>
  <c r="ER11" i="6" s="1"/>
  <c r="G11" i="6"/>
  <c r="D11" i="6"/>
  <c r="GX10" i="6"/>
  <c r="FZ10" i="6"/>
  <c r="FK10" i="6"/>
  <c r="EY10" i="6"/>
  <c r="FI10" i="6" s="1"/>
  <c r="ER10" i="6"/>
  <c r="DX10" i="6"/>
  <c r="DB10" i="6"/>
  <c r="CY10" i="6"/>
  <c r="CY56" i="6" s="1"/>
  <c r="CV10" i="6"/>
  <c r="CL10" i="6"/>
  <c r="BR10" i="6"/>
  <c r="BQ10" i="6"/>
  <c r="AN10" i="6"/>
  <c r="AJ10" i="6"/>
  <c r="T10" i="6"/>
  <c r="G10" i="6"/>
  <c r="G56" i="6" s="1"/>
  <c r="D10" i="6"/>
  <c r="GX9" i="6"/>
  <c r="FZ9" i="6"/>
  <c r="FK9" i="6"/>
  <c r="FI9" i="6"/>
  <c r="EY9" i="6"/>
  <c r="DX9" i="6"/>
  <c r="DB9" i="6"/>
  <c r="CY9" i="6"/>
  <c r="CV9" i="6"/>
  <c r="CL9" i="6"/>
  <c r="BR9" i="6"/>
  <c r="BQ9" i="6"/>
  <c r="AN9" i="6"/>
  <c r="AJ9" i="6"/>
  <c r="AJ39" i="6" s="1"/>
  <c r="T9" i="6"/>
  <c r="ER9" i="6" s="1"/>
  <c r="G9" i="6"/>
  <c r="D9" i="6"/>
  <c r="GX8" i="6"/>
  <c r="FZ8" i="6"/>
  <c r="FK8" i="6"/>
  <c r="EY8" i="6"/>
  <c r="FI8" i="6" s="1"/>
  <c r="ER8" i="6"/>
  <c r="DX8" i="6"/>
  <c r="DB8" i="6"/>
  <c r="CY8" i="6"/>
  <c r="CV8" i="6"/>
  <c r="CL8" i="6"/>
  <c r="BR8" i="6"/>
  <c r="BQ8" i="6"/>
  <c r="AN8" i="6"/>
  <c r="AN39" i="6" s="1"/>
  <c r="AJ8" i="6"/>
  <c r="T8" i="6"/>
  <c r="G8" i="6"/>
  <c r="D8" i="6"/>
  <c r="D56" i="6" s="1"/>
  <c r="GX7" i="6"/>
  <c r="FZ7" i="6"/>
  <c r="FK7" i="6"/>
  <c r="FI7" i="6"/>
  <c r="EY7" i="6"/>
  <c r="DX7" i="6"/>
  <c r="DB7" i="6"/>
  <c r="CY7" i="6"/>
  <c r="CV7" i="6"/>
  <c r="CL7" i="6"/>
  <c r="BR7" i="6"/>
  <c r="AN7" i="6"/>
  <c r="AJ7" i="6"/>
  <c r="T7" i="6"/>
  <c r="G7" i="6"/>
  <c r="D7" i="6"/>
  <c r="GX6" i="6"/>
  <c r="FZ6" i="6"/>
  <c r="FK6" i="6"/>
  <c r="EY6" i="6"/>
  <c r="FI6" i="6" s="1"/>
  <c r="FI59" i="6" s="1"/>
  <c r="DX6" i="6"/>
  <c r="DB6" i="6"/>
  <c r="DB59" i="6" s="1"/>
  <c r="CY6" i="6"/>
  <c r="CV6" i="6"/>
  <c r="CV59" i="6" s="1"/>
  <c r="CL6" i="6"/>
  <c r="BR6" i="6"/>
  <c r="BQ6" i="6"/>
  <c r="AN6" i="6"/>
  <c r="AN59" i="6" s="1"/>
  <c r="AJ6" i="6"/>
  <c r="T6" i="6"/>
  <c r="G6" i="6"/>
  <c r="G59" i="6" s="1"/>
  <c r="D6" i="6"/>
  <c r="D59" i="6" s="1"/>
  <c r="GE62" i="5"/>
  <c r="GD62" i="5"/>
  <c r="GC62" i="5"/>
  <c r="GB62" i="5"/>
  <c r="GA62" i="5"/>
  <c r="FY62" i="5"/>
  <c r="FO62" i="5"/>
  <c r="FN62" i="5"/>
  <c r="FM62" i="5"/>
  <c r="FL62" i="5"/>
  <c r="FJ62" i="5"/>
  <c r="FH62" i="5"/>
  <c r="FG62" i="5"/>
  <c r="FF62" i="5"/>
  <c r="FE62" i="5"/>
  <c r="FD62" i="5"/>
  <c r="FC62" i="5"/>
  <c r="FB62" i="5"/>
  <c r="FA62" i="5"/>
  <c r="EZ62" i="5"/>
  <c r="EX62" i="5"/>
  <c r="EW62" i="5"/>
  <c r="EV62" i="5"/>
  <c r="EU62" i="5"/>
  <c r="ET62" i="5"/>
  <c r="ES62" i="5"/>
  <c r="EQ62" i="5"/>
  <c r="EP62" i="5"/>
  <c r="EM62" i="5"/>
  <c r="EL62" i="5"/>
  <c r="EK62" i="5"/>
  <c r="EJ62" i="5"/>
  <c r="EI62" i="5"/>
  <c r="EH62" i="5"/>
  <c r="EG62" i="5"/>
  <c r="EF62" i="5"/>
  <c r="EE62" i="5"/>
  <c r="ED62" i="5"/>
  <c r="EC62" i="5"/>
  <c r="EB62" i="5"/>
  <c r="EA62" i="5"/>
  <c r="DZ62" i="5"/>
  <c r="DY62" i="5"/>
  <c r="DW62" i="5"/>
  <c r="DV62" i="5"/>
  <c r="DU62" i="5"/>
  <c r="DT62" i="5"/>
  <c r="DS62" i="5"/>
  <c r="DR62" i="5"/>
  <c r="DQ62" i="5"/>
  <c r="DP62" i="5"/>
  <c r="DO62" i="5"/>
  <c r="DN62" i="5"/>
  <c r="DM62" i="5"/>
  <c r="DL62" i="5"/>
  <c r="DK62" i="5"/>
  <c r="DJ62" i="5"/>
  <c r="DI62" i="5"/>
  <c r="DH62" i="5"/>
  <c r="DG62" i="5"/>
  <c r="DF62" i="5"/>
  <c r="DE62" i="5"/>
  <c r="DD62" i="5"/>
  <c r="DC62" i="5"/>
  <c r="DA62" i="5"/>
  <c r="CZ62" i="5"/>
  <c r="CX62" i="5"/>
  <c r="CW62" i="5"/>
  <c r="CU62" i="5"/>
  <c r="CT62" i="5"/>
  <c r="CS62" i="5"/>
  <c r="CR62" i="5"/>
  <c r="CQ62" i="5"/>
  <c r="CP62" i="5"/>
  <c r="CO62" i="5"/>
  <c r="CN62" i="5"/>
  <c r="CM62" i="5"/>
  <c r="CK62" i="5"/>
  <c r="CJ62" i="5"/>
  <c r="CI62" i="5"/>
  <c r="CH62" i="5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P62" i="5"/>
  <c r="BO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M62" i="5"/>
  <c r="AL62" i="5"/>
  <c r="AK62" i="5"/>
  <c r="AI62" i="5"/>
  <c r="AH62" i="5"/>
  <c r="AG62" i="5"/>
  <c r="AF62" i="5"/>
  <c r="AE62" i="5"/>
  <c r="AD62" i="5"/>
  <c r="AC62" i="5"/>
  <c r="AB62" i="5"/>
  <c r="AA62" i="5"/>
  <c r="Y62" i="5"/>
  <c r="X62" i="5"/>
  <c r="W62" i="5"/>
  <c r="V62" i="5"/>
  <c r="U62" i="5"/>
  <c r="S62" i="5"/>
  <c r="R62" i="5"/>
  <c r="Q62" i="5"/>
  <c r="P62" i="5"/>
  <c r="O62" i="5"/>
  <c r="N62" i="5"/>
  <c r="M62" i="5"/>
  <c r="L62" i="5"/>
  <c r="K62" i="5"/>
  <c r="J62" i="5"/>
  <c r="I62" i="5"/>
  <c r="H62" i="5"/>
  <c r="F62" i="5"/>
  <c r="E62" i="5"/>
  <c r="C62" i="5"/>
  <c r="GQ61" i="5"/>
  <c r="GK59" i="5"/>
  <c r="GE59" i="5"/>
  <c r="GD59" i="5"/>
  <c r="GC59" i="5"/>
  <c r="GB59" i="5"/>
  <c r="GA59" i="5"/>
  <c r="FY59" i="5"/>
  <c r="FO59" i="5"/>
  <c r="FN59" i="5"/>
  <c r="FM59" i="5"/>
  <c r="FL59" i="5"/>
  <c r="FJ59" i="5"/>
  <c r="FH59" i="5"/>
  <c r="FG59" i="5"/>
  <c r="FF59" i="5"/>
  <c r="FE59" i="5"/>
  <c r="FD59" i="5"/>
  <c r="FC59" i="5"/>
  <c r="FB59" i="5"/>
  <c r="FA59" i="5"/>
  <c r="EZ59" i="5"/>
  <c r="EY59" i="5"/>
  <c r="EX59" i="5"/>
  <c r="EW59" i="5"/>
  <c r="EV59" i="5"/>
  <c r="EU59" i="5"/>
  <c r="ET59" i="5"/>
  <c r="ES59" i="5"/>
  <c r="EQ59" i="5"/>
  <c r="EP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DE59" i="5"/>
  <c r="DD59" i="5"/>
  <c r="DC59" i="5"/>
  <c r="DA59" i="5"/>
  <c r="CZ59" i="5"/>
  <c r="CX59" i="5"/>
  <c r="CW59" i="5"/>
  <c r="CU59" i="5"/>
  <c r="CT59" i="5"/>
  <c r="CS59" i="5"/>
  <c r="CR59" i="5"/>
  <c r="CQ59" i="5"/>
  <c r="CP59" i="5"/>
  <c r="CO59" i="5"/>
  <c r="CN59" i="5"/>
  <c r="CM59" i="5"/>
  <c r="CK59" i="5"/>
  <c r="CJ59" i="5"/>
  <c r="CI59" i="5"/>
  <c r="CH59" i="5"/>
  <c r="CG59" i="5"/>
  <c r="CF59" i="5"/>
  <c r="CE59" i="5"/>
  <c r="CD59" i="5"/>
  <c r="CC59" i="5"/>
  <c r="CB59" i="5"/>
  <c r="BZ59" i="5"/>
  <c r="BY59" i="5"/>
  <c r="BX59" i="5"/>
  <c r="BW59" i="5"/>
  <c r="BV59" i="5"/>
  <c r="BU59" i="5"/>
  <c r="BT59" i="5"/>
  <c r="BS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M59" i="5"/>
  <c r="AL59" i="5"/>
  <c r="AK59" i="5"/>
  <c r="AI59" i="5"/>
  <c r="AH59" i="5"/>
  <c r="AG59" i="5"/>
  <c r="AF59" i="5"/>
  <c r="AE59" i="5"/>
  <c r="AD59" i="5"/>
  <c r="AB59" i="5"/>
  <c r="AA59" i="5"/>
  <c r="Y59" i="5"/>
  <c r="X59" i="5"/>
  <c r="W59" i="5"/>
  <c r="V59" i="5"/>
  <c r="U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C59" i="5"/>
  <c r="GE58" i="5"/>
  <c r="GD58" i="5"/>
  <c r="GC58" i="5"/>
  <c r="GB58" i="5"/>
  <c r="GA58" i="5"/>
  <c r="FY58" i="5"/>
  <c r="FO58" i="5"/>
  <c r="FN58" i="5"/>
  <c r="FM58" i="5"/>
  <c r="FL58" i="5"/>
  <c r="FJ58" i="5"/>
  <c r="FH58" i="5"/>
  <c r="FG58" i="5"/>
  <c r="FF58" i="5"/>
  <c r="FE58" i="5"/>
  <c r="FD58" i="5"/>
  <c r="FC58" i="5"/>
  <c r="FB58" i="5"/>
  <c r="FA58" i="5"/>
  <c r="EZ58" i="5"/>
  <c r="EX58" i="5"/>
  <c r="EW58" i="5"/>
  <c r="EV58" i="5"/>
  <c r="EU58" i="5"/>
  <c r="ET58" i="5"/>
  <c r="ES58" i="5"/>
  <c r="EQ58" i="5"/>
  <c r="EP58" i="5"/>
  <c r="EN58" i="5"/>
  <c r="EM58" i="5"/>
  <c r="EL58" i="5"/>
  <c r="EK58" i="5"/>
  <c r="EJ58" i="5"/>
  <c r="EI58" i="5"/>
  <c r="EH58" i="5"/>
  <c r="EG58" i="5"/>
  <c r="EF58" i="5"/>
  <c r="EE58" i="5"/>
  <c r="ED58" i="5"/>
  <c r="EC58" i="5"/>
  <c r="EB58" i="5"/>
  <c r="EA58" i="5"/>
  <c r="DZ58" i="5"/>
  <c r="DY58" i="5"/>
  <c r="DX58" i="5"/>
  <c r="DW58" i="5"/>
  <c r="DV58" i="5"/>
  <c r="DU58" i="5"/>
  <c r="DT58" i="5"/>
  <c r="DS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DE58" i="5"/>
  <c r="DD58" i="5"/>
  <c r="DC58" i="5"/>
  <c r="DA58" i="5"/>
  <c r="CZ58" i="5"/>
  <c r="CX58" i="5"/>
  <c r="CW58" i="5"/>
  <c r="CU58" i="5"/>
  <c r="CT58" i="5"/>
  <c r="CS58" i="5"/>
  <c r="CR58" i="5"/>
  <c r="CQ58" i="5"/>
  <c r="CP58" i="5"/>
  <c r="CO58" i="5"/>
  <c r="CN58" i="5"/>
  <c r="CM58" i="5"/>
  <c r="CK58" i="5"/>
  <c r="CJ58" i="5"/>
  <c r="CI58" i="5"/>
  <c r="CH58" i="5"/>
  <c r="CG58" i="5"/>
  <c r="CF58" i="5"/>
  <c r="CE58" i="5"/>
  <c r="CD58" i="5"/>
  <c r="CC58" i="5"/>
  <c r="CB58" i="5"/>
  <c r="BZ58" i="5"/>
  <c r="BY58" i="5"/>
  <c r="BX58" i="5"/>
  <c r="BW58" i="5"/>
  <c r="BV58" i="5"/>
  <c r="BU58" i="5"/>
  <c r="BT58" i="5"/>
  <c r="BS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P58" i="5"/>
  <c r="AO58" i="5"/>
  <c r="AM58" i="5"/>
  <c r="AL58" i="5"/>
  <c r="AK58" i="5"/>
  <c r="AI58" i="5"/>
  <c r="AH58" i="5"/>
  <c r="AG58" i="5"/>
  <c r="AF58" i="5"/>
  <c r="AE58" i="5"/>
  <c r="AD58" i="5"/>
  <c r="AB58" i="5"/>
  <c r="AA58" i="5"/>
  <c r="Y58" i="5"/>
  <c r="X58" i="5"/>
  <c r="W58" i="5"/>
  <c r="V58" i="5"/>
  <c r="U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C58" i="5"/>
  <c r="GE57" i="5"/>
  <c r="GD57" i="5"/>
  <c r="GC57" i="5"/>
  <c r="GB57" i="5"/>
  <c r="GA57" i="5"/>
  <c r="FY57" i="5"/>
  <c r="FO57" i="5"/>
  <c r="FN57" i="5"/>
  <c r="FM57" i="5"/>
  <c r="FL57" i="5"/>
  <c r="FJ57" i="5"/>
  <c r="FH57" i="5"/>
  <c r="FG57" i="5"/>
  <c r="FF57" i="5"/>
  <c r="FE57" i="5"/>
  <c r="FD57" i="5"/>
  <c r="FC57" i="5"/>
  <c r="FB57" i="5"/>
  <c r="FA57" i="5"/>
  <c r="EZ57" i="5"/>
  <c r="EX57" i="5"/>
  <c r="EW57" i="5"/>
  <c r="EV57" i="5"/>
  <c r="EU57" i="5"/>
  <c r="ET57" i="5"/>
  <c r="ES57" i="5"/>
  <c r="EQ57" i="5"/>
  <c r="EP57" i="5"/>
  <c r="EN57" i="5"/>
  <c r="EM57" i="5"/>
  <c r="EL57" i="5"/>
  <c r="EK57" i="5"/>
  <c r="EJ57" i="5"/>
  <c r="EI57" i="5"/>
  <c r="EH57" i="5"/>
  <c r="EG57" i="5"/>
  <c r="EF57" i="5"/>
  <c r="EE57" i="5"/>
  <c r="ED57" i="5"/>
  <c r="EC57" i="5"/>
  <c r="EB57" i="5"/>
  <c r="EA57" i="5"/>
  <c r="DZ57" i="5"/>
  <c r="DY57" i="5"/>
  <c r="DW57" i="5"/>
  <c r="DV57" i="5"/>
  <c r="DU57" i="5"/>
  <c r="DT57" i="5"/>
  <c r="DS57" i="5"/>
  <c r="DR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DE57" i="5"/>
  <c r="DD57" i="5"/>
  <c r="DC57" i="5"/>
  <c r="DA57" i="5"/>
  <c r="CZ57" i="5"/>
  <c r="CX57" i="5"/>
  <c r="CW57" i="5"/>
  <c r="CU57" i="5"/>
  <c r="CT57" i="5"/>
  <c r="CS57" i="5"/>
  <c r="CR57" i="5"/>
  <c r="CQ57" i="5"/>
  <c r="CP57" i="5"/>
  <c r="CO57" i="5"/>
  <c r="CN57" i="5"/>
  <c r="CM57" i="5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P57" i="5"/>
  <c r="BO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M57" i="5"/>
  <c r="AL57" i="5"/>
  <c r="AK57" i="5"/>
  <c r="AI57" i="5"/>
  <c r="AH57" i="5"/>
  <c r="AG57" i="5"/>
  <c r="AF57" i="5"/>
  <c r="AE57" i="5"/>
  <c r="AD57" i="5"/>
  <c r="AB57" i="5"/>
  <c r="AA57" i="5"/>
  <c r="Y57" i="5"/>
  <c r="X57" i="5"/>
  <c r="W57" i="5"/>
  <c r="V57" i="5"/>
  <c r="U57" i="5"/>
  <c r="S57" i="5"/>
  <c r="R57" i="5"/>
  <c r="Q57" i="5"/>
  <c r="P57" i="5"/>
  <c r="O57" i="5"/>
  <c r="N57" i="5"/>
  <c r="M57" i="5"/>
  <c r="L57" i="5"/>
  <c r="K57" i="5"/>
  <c r="J57" i="5"/>
  <c r="I57" i="5"/>
  <c r="H57" i="5"/>
  <c r="F57" i="5"/>
  <c r="E57" i="5"/>
  <c r="C57" i="5"/>
  <c r="GF56" i="5"/>
  <c r="GE56" i="5"/>
  <c r="GD56" i="5"/>
  <c r="GC56" i="5"/>
  <c r="GB56" i="5"/>
  <c r="GA56" i="5"/>
  <c r="FY56" i="5"/>
  <c r="FO56" i="5"/>
  <c r="FN56" i="5"/>
  <c r="FM56" i="5"/>
  <c r="FL56" i="5"/>
  <c r="FJ56" i="5"/>
  <c r="FH56" i="5"/>
  <c r="FG56" i="5"/>
  <c r="FF56" i="5"/>
  <c r="FE56" i="5"/>
  <c r="FD56" i="5"/>
  <c r="FC56" i="5"/>
  <c r="FB56" i="5"/>
  <c r="FA56" i="5"/>
  <c r="EZ56" i="5"/>
  <c r="EX56" i="5"/>
  <c r="EW56" i="5"/>
  <c r="EV56" i="5"/>
  <c r="EU56" i="5"/>
  <c r="ET56" i="5"/>
  <c r="ES56" i="5"/>
  <c r="EQ56" i="5"/>
  <c r="EP56" i="5"/>
  <c r="EO56" i="5"/>
  <c r="EN56" i="5"/>
  <c r="EM56" i="5"/>
  <c r="EL56" i="5"/>
  <c r="EK56" i="5"/>
  <c r="EJ56" i="5"/>
  <c r="EI56" i="5"/>
  <c r="EH56" i="5"/>
  <c r="EG56" i="5"/>
  <c r="EF56" i="5"/>
  <c r="EE56" i="5"/>
  <c r="ED56" i="5"/>
  <c r="EC56" i="5"/>
  <c r="EB56" i="5"/>
  <c r="EA56" i="5"/>
  <c r="DZ56" i="5"/>
  <c r="DY56" i="5"/>
  <c r="DW56" i="5"/>
  <c r="DV56" i="5"/>
  <c r="DU56" i="5"/>
  <c r="DT56" i="5"/>
  <c r="DS56" i="5"/>
  <c r="DR56" i="5"/>
  <c r="DQ56" i="5"/>
  <c r="DP56" i="5"/>
  <c r="DO56" i="5"/>
  <c r="DN56" i="5"/>
  <c r="DM56" i="5"/>
  <c r="DL56" i="5"/>
  <c r="DK56" i="5"/>
  <c r="DJ56" i="5"/>
  <c r="DI56" i="5"/>
  <c r="DH56" i="5"/>
  <c r="DG56" i="5"/>
  <c r="DF56" i="5"/>
  <c r="DE56" i="5"/>
  <c r="DD56" i="5"/>
  <c r="DC56" i="5"/>
  <c r="DA56" i="5"/>
  <c r="CZ56" i="5"/>
  <c r="CX56" i="5"/>
  <c r="CW56" i="5"/>
  <c r="CU56" i="5"/>
  <c r="CT56" i="5"/>
  <c r="CS56" i="5"/>
  <c r="CR56" i="5"/>
  <c r="CQ56" i="5"/>
  <c r="CP56" i="5"/>
  <c r="CO56" i="5"/>
  <c r="CN56" i="5"/>
  <c r="CM56" i="5"/>
  <c r="CK56" i="5"/>
  <c r="CJ56" i="5"/>
  <c r="CI56" i="5"/>
  <c r="CH56" i="5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P56" i="5"/>
  <c r="AO56" i="5"/>
  <c r="AM56" i="5"/>
  <c r="AL56" i="5"/>
  <c r="AK56" i="5"/>
  <c r="AI56" i="5"/>
  <c r="AH56" i="5"/>
  <c r="AG56" i="5"/>
  <c r="AF56" i="5"/>
  <c r="AE56" i="5"/>
  <c r="AD56" i="5"/>
  <c r="AB56" i="5"/>
  <c r="AA56" i="5"/>
  <c r="Y56" i="5"/>
  <c r="X56" i="5"/>
  <c r="W56" i="5"/>
  <c r="V56" i="5"/>
  <c r="U56" i="5"/>
  <c r="R56" i="5"/>
  <c r="Q56" i="5"/>
  <c r="P56" i="5"/>
  <c r="O56" i="5"/>
  <c r="N56" i="5"/>
  <c r="M56" i="5"/>
  <c r="L56" i="5"/>
  <c r="K56" i="5"/>
  <c r="J56" i="5"/>
  <c r="I56" i="5"/>
  <c r="H56" i="5"/>
  <c r="F56" i="5"/>
  <c r="E56" i="5"/>
  <c r="C56" i="5"/>
  <c r="FM53" i="5"/>
  <c r="GR61" i="5" s="1"/>
  <c r="FL53" i="5"/>
  <c r="EK53" i="5"/>
  <c r="GX52" i="5"/>
  <c r="FZ52" i="5"/>
  <c r="FK52" i="5"/>
  <c r="FI52" i="5"/>
  <c r="EY52" i="5"/>
  <c r="ER52" i="5"/>
  <c r="EO52" i="5"/>
  <c r="DX52" i="5"/>
  <c r="DB52" i="5"/>
  <c r="CY52" i="5"/>
  <c r="CV52" i="5"/>
  <c r="CV59" i="5" s="1"/>
  <c r="CL52" i="5"/>
  <c r="BR52" i="5"/>
  <c r="BQ52" i="5"/>
  <c r="AN52" i="5"/>
  <c r="AJ52" i="5"/>
  <c r="T52" i="5"/>
  <c r="G52" i="5"/>
  <c r="D52" i="5"/>
  <c r="GX51" i="5"/>
  <c r="GK51" i="5"/>
  <c r="GK52" i="5" s="1"/>
  <c r="FZ51" i="5"/>
  <c r="FK51" i="5"/>
  <c r="EY51" i="5"/>
  <c r="FI51" i="5" s="1"/>
  <c r="EO51" i="5"/>
  <c r="EO58" i="5" s="1"/>
  <c r="DX51" i="5"/>
  <c r="DB51" i="5"/>
  <c r="CY51" i="5"/>
  <c r="CV51" i="5"/>
  <c r="CL51" i="5"/>
  <c r="CA51" i="5"/>
  <c r="CA59" i="5" s="1"/>
  <c r="BR51" i="5"/>
  <c r="BQ51" i="5" s="1"/>
  <c r="AN51" i="5"/>
  <c r="AJ51" i="5"/>
  <c r="T51" i="5"/>
  <c r="ER51" i="5" s="1"/>
  <c r="G51" i="5"/>
  <c r="D51" i="5"/>
  <c r="GY50" i="5"/>
  <c r="GX50" i="5"/>
  <c r="GK50" i="5"/>
  <c r="GK57" i="5" s="1"/>
  <c r="GF50" i="5"/>
  <c r="FZ50" i="5"/>
  <c r="FK50" i="5"/>
  <c r="FI50" i="5"/>
  <c r="EY50" i="5"/>
  <c r="EO50" i="5"/>
  <c r="EO57" i="5" s="1"/>
  <c r="EN50" i="5"/>
  <c r="DX50" i="5"/>
  <c r="DB50" i="5"/>
  <c r="CY50" i="5"/>
  <c r="CV50" i="5"/>
  <c r="CL50" i="5"/>
  <c r="BR50" i="5"/>
  <c r="BQ50" i="5" s="1"/>
  <c r="AN50" i="5"/>
  <c r="AJ50" i="5"/>
  <c r="T50" i="5"/>
  <c r="ER50" i="5" s="1"/>
  <c r="G50" i="5"/>
  <c r="D50" i="5"/>
  <c r="D57" i="5" s="1"/>
  <c r="GX49" i="5"/>
  <c r="FZ49" i="5"/>
  <c r="FK49" i="5"/>
  <c r="EY49" i="5"/>
  <c r="FI49" i="5" s="1"/>
  <c r="ER49" i="5"/>
  <c r="DX49" i="5"/>
  <c r="DB49" i="5"/>
  <c r="CY49" i="5"/>
  <c r="CV49" i="5"/>
  <c r="CL49" i="5"/>
  <c r="BR49" i="5"/>
  <c r="BQ49" i="5"/>
  <c r="AN49" i="5"/>
  <c r="AJ49" i="5"/>
  <c r="T49" i="5"/>
  <c r="G49" i="5"/>
  <c r="D49" i="5"/>
  <c r="GX48" i="5"/>
  <c r="GG48" i="5"/>
  <c r="FZ48" i="5"/>
  <c r="FK48" i="5"/>
  <c r="FI48" i="5"/>
  <c r="EY48" i="5"/>
  <c r="ER48" i="5"/>
  <c r="DX48" i="5"/>
  <c r="DB48" i="5"/>
  <c r="CY48" i="5"/>
  <c r="CV48" i="5"/>
  <c r="CL48" i="5"/>
  <c r="BR48" i="5"/>
  <c r="BQ48" i="5" s="1"/>
  <c r="AN48" i="5"/>
  <c r="AJ48" i="5"/>
  <c r="AJ57" i="5" s="1"/>
  <c r="T48" i="5"/>
  <c r="G48" i="5"/>
  <c r="D48" i="5"/>
  <c r="GX47" i="5"/>
  <c r="FZ47" i="5"/>
  <c r="FK47" i="5"/>
  <c r="EY47" i="5"/>
  <c r="FI47" i="5" s="1"/>
  <c r="DX47" i="5"/>
  <c r="DB47" i="5"/>
  <c r="CY47" i="5"/>
  <c r="CV47" i="5"/>
  <c r="CL47" i="5"/>
  <c r="BR47" i="5"/>
  <c r="BQ47" i="5"/>
  <c r="AN47" i="5"/>
  <c r="AJ47" i="5"/>
  <c r="T47" i="5"/>
  <c r="ER47" i="5" s="1"/>
  <c r="G47" i="5"/>
  <c r="D47" i="5"/>
  <c r="GX46" i="5"/>
  <c r="FZ46" i="5"/>
  <c r="FK46" i="5"/>
  <c r="EY46" i="5"/>
  <c r="FI46" i="5" s="1"/>
  <c r="DX46" i="5"/>
  <c r="DB46" i="5"/>
  <c r="CY46" i="5"/>
  <c r="CV46" i="5"/>
  <c r="CL46" i="5"/>
  <c r="BR46" i="5"/>
  <c r="BQ46" i="5"/>
  <c r="AN46" i="5"/>
  <c r="AJ46" i="5"/>
  <c r="T46" i="5"/>
  <c r="ER46" i="5" s="1"/>
  <c r="G46" i="5"/>
  <c r="D46" i="5"/>
  <c r="GX45" i="5"/>
  <c r="FZ45" i="5"/>
  <c r="FK45" i="5"/>
  <c r="EY45" i="5"/>
  <c r="FI45" i="5" s="1"/>
  <c r="DX45" i="5"/>
  <c r="DB45" i="5"/>
  <c r="CY45" i="5"/>
  <c r="CV45" i="5"/>
  <c r="CL45" i="5"/>
  <c r="BR45" i="5"/>
  <c r="BQ45" i="5"/>
  <c r="AN45" i="5"/>
  <c r="AJ45" i="5"/>
  <c r="T45" i="5"/>
  <c r="ER45" i="5" s="1"/>
  <c r="G45" i="5"/>
  <c r="D45" i="5"/>
  <c r="GX44" i="5"/>
  <c r="GG44" i="5"/>
  <c r="FZ44" i="5"/>
  <c r="FK44" i="5"/>
  <c r="EY44" i="5"/>
  <c r="EY57" i="5" s="1"/>
  <c r="DX44" i="5"/>
  <c r="DB44" i="5"/>
  <c r="CY44" i="5"/>
  <c r="CV44" i="5"/>
  <c r="CL44" i="5"/>
  <c r="BR44" i="5"/>
  <c r="ER44" i="5" s="1"/>
  <c r="AN44" i="5"/>
  <c r="AJ44" i="5"/>
  <c r="T44" i="5"/>
  <c r="G44" i="5"/>
  <c r="D44" i="5"/>
  <c r="GX43" i="5"/>
  <c r="FZ43" i="5"/>
  <c r="FK43" i="5"/>
  <c r="FI43" i="5"/>
  <c r="EY43" i="5"/>
  <c r="DX43" i="5"/>
  <c r="DB43" i="5"/>
  <c r="CY43" i="5"/>
  <c r="CV43" i="5"/>
  <c r="CL43" i="5"/>
  <c r="BR43" i="5"/>
  <c r="BQ43" i="5" s="1"/>
  <c r="AN43" i="5"/>
  <c r="AJ43" i="5"/>
  <c r="T43" i="5"/>
  <c r="ER43" i="5" s="1"/>
  <c r="G43" i="5"/>
  <c r="D43" i="5"/>
  <c r="GX42" i="5"/>
  <c r="FZ42" i="5"/>
  <c r="FK42" i="5"/>
  <c r="EY42" i="5"/>
  <c r="FI42" i="5" s="1"/>
  <c r="ER42" i="5"/>
  <c r="DX42" i="5"/>
  <c r="DB42" i="5"/>
  <c r="CY42" i="5"/>
  <c r="CV42" i="5"/>
  <c r="CL42" i="5"/>
  <c r="BR42" i="5"/>
  <c r="BQ42" i="5"/>
  <c r="AN42" i="5"/>
  <c r="AJ42" i="5"/>
  <c r="T42" i="5"/>
  <c r="G42" i="5"/>
  <c r="D42" i="5"/>
  <c r="GX41" i="5"/>
  <c r="FZ41" i="5"/>
  <c r="FK41" i="5"/>
  <c r="EY41" i="5"/>
  <c r="FI41" i="5" s="1"/>
  <c r="DX41" i="5"/>
  <c r="DB41" i="5"/>
  <c r="CY41" i="5"/>
  <c r="CV41" i="5"/>
  <c r="CL41" i="5"/>
  <c r="BR41" i="5"/>
  <c r="BQ41" i="5" s="1"/>
  <c r="AN41" i="5"/>
  <c r="AJ41" i="5"/>
  <c r="T41" i="5"/>
  <c r="T57" i="5" s="1"/>
  <c r="G41" i="5"/>
  <c r="D41" i="5"/>
  <c r="GX40" i="5"/>
  <c r="FZ40" i="5"/>
  <c r="FK40" i="5"/>
  <c r="EY40" i="5"/>
  <c r="FI40" i="5" s="1"/>
  <c r="ER40" i="5"/>
  <c r="DX40" i="5"/>
  <c r="DB40" i="5"/>
  <c r="CY40" i="5"/>
  <c r="CV40" i="5"/>
  <c r="CL40" i="5"/>
  <c r="BR40" i="5"/>
  <c r="BQ40" i="5"/>
  <c r="AN40" i="5"/>
  <c r="AJ40" i="5"/>
  <c r="T40" i="5"/>
  <c r="G40" i="5"/>
  <c r="D40" i="5"/>
  <c r="GX39" i="5"/>
  <c r="GK39" i="5"/>
  <c r="GK58" i="5" s="1"/>
  <c r="GF39" i="5"/>
  <c r="GF51" i="5" s="1"/>
  <c r="FZ39" i="5"/>
  <c r="FK39" i="5"/>
  <c r="EY39" i="5"/>
  <c r="EY58" i="5" s="1"/>
  <c r="EO39" i="5"/>
  <c r="EN39" i="5"/>
  <c r="EN51" i="5" s="1"/>
  <c r="DX39" i="5"/>
  <c r="DB39" i="5"/>
  <c r="CY39" i="5"/>
  <c r="CV39" i="5"/>
  <c r="CV58" i="5" s="1"/>
  <c r="BR39" i="5"/>
  <c r="BQ39" i="5"/>
  <c r="AQ39" i="5"/>
  <c r="S39" i="5"/>
  <c r="S56" i="5" s="1"/>
  <c r="G39" i="5"/>
  <c r="D39" i="5"/>
  <c r="GX38" i="5"/>
  <c r="FZ38" i="5"/>
  <c r="FK38" i="5"/>
  <c r="EY38" i="5"/>
  <c r="FI38" i="5" s="1"/>
  <c r="ER38" i="5"/>
  <c r="DX38" i="5"/>
  <c r="DB38" i="5"/>
  <c r="CY38" i="5"/>
  <c r="CV38" i="5"/>
  <c r="CL38" i="5"/>
  <c r="BR38" i="5"/>
  <c r="BQ38" i="5"/>
  <c r="AN38" i="5"/>
  <c r="AJ38" i="5"/>
  <c r="T38" i="5"/>
  <c r="G38" i="5"/>
  <c r="D38" i="5"/>
  <c r="GX37" i="5"/>
  <c r="FZ37" i="5"/>
  <c r="FK37" i="5"/>
  <c r="EY37" i="5"/>
  <c r="FI37" i="5" s="1"/>
  <c r="DX37" i="5"/>
  <c r="DB37" i="5"/>
  <c r="CY37" i="5"/>
  <c r="CV37" i="5"/>
  <c r="CL37" i="5"/>
  <c r="BR37" i="5"/>
  <c r="BQ37" i="5" s="1"/>
  <c r="AN37" i="5"/>
  <c r="AJ37" i="5"/>
  <c r="T37" i="5"/>
  <c r="ER37" i="5" s="1"/>
  <c r="G37" i="5"/>
  <c r="D37" i="5"/>
  <c r="GX36" i="5"/>
  <c r="GG36" i="5"/>
  <c r="FZ36" i="5"/>
  <c r="FK36" i="5"/>
  <c r="FI36" i="5"/>
  <c r="EY36" i="5"/>
  <c r="DX36" i="5"/>
  <c r="DB36" i="5"/>
  <c r="CY36" i="5"/>
  <c r="CV36" i="5"/>
  <c r="CL36" i="5"/>
  <c r="BR36" i="5"/>
  <c r="BQ36" i="5"/>
  <c r="AN36" i="5"/>
  <c r="AJ36" i="5"/>
  <c r="T36" i="5"/>
  <c r="ER36" i="5" s="1"/>
  <c r="G36" i="5"/>
  <c r="D36" i="5"/>
  <c r="GX35" i="5"/>
  <c r="FZ35" i="5"/>
  <c r="FK35" i="5"/>
  <c r="EY35" i="5"/>
  <c r="FI35" i="5" s="1"/>
  <c r="DX35" i="5"/>
  <c r="DB35" i="5"/>
  <c r="CY35" i="5"/>
  <c r="CV35" i="5"/>
  <c r="CL35" i="5"/>
  <c r="BR35" i="5"/>
  <c r="BQ35" i="5"/>
  <c r="AN35" i="5"/>
  <c r="AJ35" i="5"/>
  <c r="T35" i="5"/>
  <c r="ER35" i="5" s="1"/>
  <c r="G35" i="5"/>
  <c r="D35" i="5"/>
  <c r="GX34" i="5"/>
  <c r="FZ34" i="5"/>
  <c r="FK34" i="5"/>
  <c r="EY34" i="5"/>
  <c r="FI34" i="5" s="1"/>
  <c r="ER34" i="5"/>
  <c r="DX34" i="5"/>
  <c r="DB34" i="5"/>
  <c r="CY34" i="5"/>
  <c r="CV34" i="5"/>
  <c r="CL34" i="5"/>
  <c r="BR34" i="5"/>
  <c r="BQ34" i="5"/>
  <c r="AN34" i="5"/>
  <c r="AJ34" i="5"/>
  <c r="T34" i="5"/>
  <c r="G34" i="5"/>
  <c r="D34" i="5"/>
  <c r="GX33" i="5"/>
  <c r="FZ33" i="5"/>
  <c r="FK33" i="5"/>
  <c r="EY33" i="5"/>
  <c r="FI33" i="5" s="1"/>
  <c r="DX33" i="5"/>
  <c r="DB33" i="5"/>
  <c r="CY33" i="5"/>
  <c r="CV33" i="5"/>
  <c r="CL33" i="5"/>
  <c r="BR33" i="5"/>
  <c r="ER33" i="5" s="1"/>
  <c r="BQ33" i="5"/>
  <c r="AN33" i="5"/>
  <c r="AJ33" i="5"/>
  <c r="T33" i="5"/>
  <c r="G33" i="5"/>
  <c r="D33" i="5"/>
  <c r="GX32" i="5"/>
  <c r="FZ32" i="5"/>
  <c r="FK32" i="5"/>
  <c r="FI32" i="5"/>
  <c r="EY32" i="5"/>
  <c r="DX32" i="5"/>
  <c r="DB32" i="5"/>
  <c r="CY32" i="5"/>
  <c r="CV32" i="5"/>
  <c r="CL32" i="5"/>
  <c r="BR32" i="5"/>
  <c r="BQ32" i="5" s="1"/>
  <c r="AN32" i="5"/>
  <c r="AJ32" i="5"/>
  <c r="T32" i="5"/>
  <c r="G32" i="5"/>
  <c r="D32" i="5"/>
  <c r="GX31" i="5"/>
  <c r="GG31" i="5"/>
  <c r="FZ31" i="5"/>
  <c r="FK31" i="5"/>
  <c r="EY31" i="5"/>
  <c r="FI31" i="5" s="1"/>
  <c r="ER31" i="5"/>
  <c r="DX31" i="5"/>
  <c r="DB31" i="5"/>
  <c r="CY31" i="5"/>
  <c r="CV31" i="5"/>
  <c r="CL31" i="5"/>
  <c r="BR31" i="5"/>
  <c r="BQ31" i="5"/>
  <c r="AN31" i="5"/>
  <c r="AJ31" i="5"/>
  <c r="T31" i="5"/>
  <c r="G31" i="5"/>
  <c r="D31" i="5"/>
  <c r="GX30" i="5"/>
  <c r="GG30" i="5"/>
  <c r="FZ30" i="5"/>
  <c r="FK30" i="5"/>
  <c r="EY30" i="5"/>
  <c r="FI30" i="5" s="1"/>
  <c r="ER30" i="5"/>
  <c r="DX30" i="5"/>
  <c r="DB30" i="5"/>
  <c r="CY30" i="5"/>
  <c r="CV30" i="5"/>
  <c r="CL30" i="5"/>
  <c r="BR30" i="5"/>
  <c r="BQ30" i="5"/>
  <c r="AN30" i="5"/>
  <c r="AJ30" i="5"/>
  <c r="T30" i="5"/>
  <c r="G30" i="5"/>
  <c r="D30" i="5"/>
  <c r="GX29" i="5"/>
  <c r="FZ29" i="5"/>
  <c r="FK29" i="5"/>
  <c r="FI29" i="5"/>
  <c r="EY29" i="5"/>
  <c r="DX29" i="5"/>
  <c r="DB29" i="5"/>
  <c r="CY29" i="5"/>
  <c r="CV29" i="5"/>
  <c r="CL29" i="5"/>
  <c r="BR29" i="5"/>
  <c r="BQ29" i="5"/>
  <c r="AN29" i="5"/>
  <c r="AJ29" i="5"/>
  <c r="T29" i="5"/>
  <c r="G29" i="5"/>
  <c r="D29" i="5"/>
  <c r="GX28" i="5"/>
  <c r="FZ28" i="5"/>
  <c r="FK28" i="5"/>
  <c r="EY28" i="5"/>
  <c r="FI28" i="5" s="1"/>
  <c r="ER28" i="5"/>
  <c r="DX28" i="5"/>
  <c r="DB28" i="5"/>
  <c r="CY28" i="5"/>
  <c r="CV28" i="5"/>
  <c r="CL28" i="5"/>
  <c r="BR28" i="5"/>
  <c r="BQ28" i="5"/>
  <c r="AN28" i="5"/>
  <c r="AJ28" i="5"/>
  <c r="T28" i="5"/>
  <c r="G28" i="5"/>
  <c r="D28" i="5"/>
  <c r="GX27" i="5"/>
  <c r="GG27" i="5" s="1"/>
  <c r="FZ27" i="5"/>
  <c r="FK27" i="5"/>
  <c r="FI27" i="5"/>
  <c r="EY27" i="5"/>
  <c r="DX27" i="5"/>
  <c r="DB27" i="5"/>
  <c r="CY27" i="5"/>
  <c r="CV27" i="5"/>
  <c r="CL27" i="5"/>
  <c r="BR27" i="5"/>
  <c r="BQ27" i="5" s="1"/>
  <c r="AN27" i="5"/>
  <c r="AJ27" i="5"/>
  <c r="T27" i="5"/>
  <c r="G27" i="5"/>
  <c r="D27" i="5"/>
  <c r="GX26" i="5"/>
  <c r="GG26" i="5" s="1"/>
  <c r="FZ26" i="5"/>
  <c r="FK26" i="5"/>
  <c r="FI26" i="5"/>
  <c r="EY26" i="5"/>
  <c r="DX26" i="5"/>
  <c r="DB26" i="5"/>
  <c r="CY26" i="5"/>
  <c r="CV26" i="5"/>
  <c r="CL26" i="5"/>
  <c r="BR26" i="5"/>
  <c r="BQ26" i="5"/>
  <c r="AN26" i="5"/>
  <c r="AJ26" i="5"/>
  <c r="T26" i="5"/>
  <c r="ER26" i="5" s="1"/>
  <c r="G26" i="5"/>
  <c r="D26" i="5"/>
  <c r="GX25" i="5"/>
  <c r="FZ25" i="5"/>
  <c r="FK25" i="5"/>
  <c r="EY25" i="5"/>
  <c r="FI25" i="5" s="1"/>
  <c r="DX25" i="5"/>
  <c r="DB25" i="5"/>
  <c r="CY25" i="5"/>
  <c r="CV25" i="5"/>
  <c r="CL25" i="5"/>
  <c r="BR25" i="5"/>
  <c r="BQ25" i="5"/>
  <c r="AN25" i="5"/>
  <c r="AJ25" i="5"/>
  <c r="T25" i="5"/>
  <c r="ER25" i="5" s="1"/>
  <c r="G25" i="5"/>
  <c r="D25" i="5"/>
  <c r="GX24" i="5"/>
  <c r="FZ24" i="5"/>
  <c r="FK24" i="5"/>
  <c r="EY24" i="5"/>
  <c r="FI24" i="5" s="1"/>
  <c r="ER24" i="5"/>
  <c r="DX24" i="5"/>
  <c r="DB24" i="5"/>
  <c r="CY24" i="5"/>
  <c r="CV24" i="5"/>
  <c r="CL24" i="5"/>
  <c r="BR24" i="5"/>
  <c r="BQ24" i="5"/>
  <c r="AN24" i="5"/>
  <c r="AJ24" i="5"/>
  <c r="T24" i="5"/>
  <c r="G24" i="5"/>
  <c r="D24" i="5"/>
  <c r="GX23" i="5"/>
  <c r="GG23" i="5"/>
  <c r="FZ23" i="5"/>
  <c r="FK23" i="5"/>
  <c r="FI23" i="5"/>
  <c r="EY23" i="5"/>
  <c r="DX23" i="5"/>
  <c r="DB23" i="5"/>
  <c r="CY23" i="5"/>
  <c r="CV23" i="5"/>
  <c r="CL23" i="5"/>
  <c r="BR23" i="5"/>
  <c r="BQ23" i="5" s="1"/>
  <c r="AN23" i="5"/>
  <c r="AJ23" i="5"/>
  <c r="T23" i="5"/>
  <c r="G23" i="5"/>
  <c r="D23" i="5"/>
  <c r="GX22" i="5"/>
  <c r="FZ22" i="5"/>
  <c r="FK22" i="5"/>
  <c r="FI22" i="5"/>
  <c r="EY22" i="5"/>
  <c r="DX22" i="5"/>
  <c r="DB22" i="5"/>
  <c r="CY22" i="5"/>
  <c r="CV22" i="5"/>
  <c r="CL22" i="5"/>
  <c r="BR22" i="5"/>
  <c r="BQ22" i="5" s="1"/>
  <c r="AN22" i="5"/>
  <c r="AJ22" i="5"/>
  <c r="T22" i="5"/>
  <c r="G22" i="5"/>
  <c r="D22" i="5"/>
  <c r="GX21" i="5"/>
  <c r="FZ21" i="5"/>
  <c r="FK21" i="5"/>
  <c r="EY21" i="5"/>
  <c r="FI21" i="5" s="1"/>
  <c r="ER21" i="5"/>
  <c r="DX21" i="5"/>
  <c r="DB21" i="5"/>
  <c r="CY21" i="5"/>
  <c r="CV21" i="5"/>
  <c r="CL21" i="5"/>
  <c r="BR21" i="5"/>
  <c r="BQ21" i="5"/>
  <c r="AN21" i="5"/>
  <c r="AJ21" i="5"/>
  <c r="T21" i="5"/>
  <c r="G21" i="5"/>
  <c r="D21" i="5"/>
  <c r="GX20" i="5"/>
  <c r="FZ20" i="5"/>
  <c r="FK20" i="5"/>
  <c r="FI20" i="5"/>
  <c r="EY20" i="5"/>
  <c r="DX20" i="5"/>
  <c r="DB20" i="5"/>
  <c r="CY20" i="5"/>
  <c r="CV20" i="5"/>
  <c r="CL20" i="5"/>
  <c r="BR20" i="5"/>
  <c r="BQ20" i="5" s="1"/>
  <c r="AN20" i="5"/>
  <c r="AJ20" i="5"/>
  <c r="T20" i="5"/>
  <c r="G20" i="5"/>
  <c r="D20" i="5"/>
  <c r="GX19" i="5"/>
  <c r="GG19" i="5"/>
  <c r="FZ19" i="5"/>
  <c r="FK19" i="5"/>
  <c r="FI19" i="5"/>
  <c r="EY19" i="5"/>
  <c r="DX19" i="5"/>
  <c r="DB19" i="5"/>
  <c r="CY19" i="5"/>
  <c r="CV19" i="5"/>
  <c r="CL19" i="5"/>
  <c r="BR19" i="5"/>
  <c r="BQ19" i="5"/>
  <c r="AN19" i="5"/>
  <c r="AJ19" i="5"/>
  <c r="T19" i="5"/>
  <c r="G19" i="5"/>
  <c r="D19" i="5"/>
  <c r="GX18" i="5"/>
  <c r="FZ18" i="5"/>
  <c r="FK18" i="5"/>
  <c r="EY18" i="5"/>
  <c r="FI18" i="5" s="1"/>
  <c r="DX18" i="5"/>
  <c r="DB18" i="5"/>
  <c r="CY18" i="5"/>
  <c r="CV18" i="5"/>
  <c r="CL18" i="5"/>
  <c r="BR18" i="5"/>
  <c r="BQ18" i="5"/>
  <c r="AN18" i="5"/>
  <c r="AJ18" i="5"/>
  <c r="T18" i="5"/>
  <c r="ER18" i="5" s="1"/>
  <c r="G18" i="5"/>
  <c r="D18" i="5"/>
  <c r="GX17" i="5"/>
  <c r="GG17" i="5" s="1"/>
  <c r="FZ17" i="5"/>
  <c r="FK17" i="5"/>
  <c r="FI17" i="5"/>
  <c r="EY17" i="5"/>
  <c r="ER17" i="5"/>
  <c r="DX17" i="5"/>
  <c r="DB17" i="5"/>
  <c r="CY17" i="5"/>
  <c r="CV17" i="5"/>
  <c r="CL17" i="5"/>
  <c r="BR17" i="5"/>
  <c r="BQ17" i="5" s="1"/>
  <c r="AN17" i="5"/>
  <c r="AJ17" i="5"/>
  <c r="T17" i="5"/>
  <c r="G17" i="5"/>
  <c r="D17" i="5"/>
  <c r="GX16" i="5"/>
  <c r="GY39" i="5" s="1"/>
  <c r="FZ16" i="5"/>
  <c r="FK16" i="5"/>
  <c r="FI16" i="5"/>
  <c r="EY16" i="5"/>
  <c r="DX16" i="5"/>
  <c r="DB16" i="5"/>
  <c r="CY16" i="5"/>
  <c r="CV16" i="5"/>
  <c r="CL16" i="5"/>
  <c r="BR16" i="5"/>
  <c r="BQ16" i="5"/>
  <c r="AN16" i="5"/>
  <c r="AJ16" i="5"/>
  <c r="T16" i="5"/>
  <c r="G16" i="5"/>
  <c r="D16" i="5"/>
  <c r="GX15" i="5"/>
  <c r="FZ15" i="5"/>
  <c r="FK15" i="5"/>
  <c r="EY15" i="5"/>
  <c r="FI15" i="5" s="1"/>
  <c r="DX15" i="5"/>
  <c r="DB15" i="5"/>
  <c r="CY15" i="5"/>
  <c r="CV15" i="5"/>
  <c r="CL15" i="5"/>
  <c r="BR15" i="5"/>
  <c r="BQ15" i="5" s="1"/>
  <c r="AN15" i="5"/>
  <c r="AJ15" i="5"/>
  <c r="T15" i="5"/>
  <c r="ER15" i="5" s="1"/>
  <c r="G15" i="5"/>
  <c r="D15" i="5"/>
  <c r="GX14" i="5"/>
  <c r="FZ14" i="5"/>
  <c r="FK14" i="5"/>
  <c r="EY14" i="5"/>
  <c r="FI14" i="5" s="1"/>
  <c r="ER14" i="5"/>
  <c r="DX14" i="5"/>
  <c r="DB14" i="5"/>
  <c r="CY14" i="5"/>
  <c r="CV14" i="5"/>
  <c r="CL14" i="5"/>
  <c r="BR14" i="5"/>
  <c r="BQ14" i="5"/>
  <c r="AN14" i="5"/>
  <c r="AJ14" i="5"/>
  <c r="T14" i="5"/>
  <c r="G14" i="5"/>
  <c r="D14" i="5"/>
  <c r="GX13" i="5"/>
  <c r="GG13" i="5"/>
  <c r="FZ13" i="5"/>
  <c r="FK13" i="5"/>
  <c r="FI13" i="5"/>
  <c r="EY13" i="5"/>
  <c r="DX13" i="5"/>
  <c r="DB13" i="5"/>
  <c r="CY13" i="5"/>
  <c r="CV13" i="5"/>
  <c r="CL13" i="5"/>
  <c r="CL39" i="5" s="1"/>
  <c r="BR13" i="5"/>
  <c r="ER13" i="5" s="1"/>
  <c r="AN13" i="5"/>
  <c r="AJ13" i="5"/>
  <c r="T13" i="5"/>
  <c r="G13" i="5"/>
  <c r="D13" i="5"/>
  <c r="GX12" i="5"/>
  <c r="GG12" i="5"/>
  <c r="FZ12" i="5"/>
  <c r="FK12" i="5"/>
  <c r="FI12" i="5"/>
  <c r="EY12" i="5"/>
  <c r="DX12" i="5"/>
  <c r="DB12" i="5"/>
  <c r="CY12" i="5"/>
  <c r="CV12" i="5"/>
  <c r="CL12" i="5"/>
  <c r="BR12" i="5"/>
  <c r="BQ12" i="5" s="1"/>
  <c r="AN12" i="5"/>
  <c r="AJ12" i="5"/>
  <c r="T12" i="5"/>
  <c r="ER12" i="5" s="1"/>
  <c r="G12" i="5"/>
  <c r="D12" i="5"/>
  <c r="GX11" i="5"/>
  <c r="FZ11" i="5"/>
  <c r="FK11" i="5"/>
  <c r="FI11" i="5"/>
  <c r="EY11" i="5"/>
  <c r="DX11" i="5"/>
  <c r="DB11" i="5"/>
  <c r="CY11" i="5"/>
  <c r="CV11" i="5"/>
  <c r="CL11" i="5"/>
  <c r="BR11" i="5"/>
  <c r="BQ11" i="5" s="1"/>
  <c r="AN11" i="5"/>
  <c r="AJ11" i="5"/>
  <c r="T11" i="5"/>
  <c r="ER11" i="5" s="1"/>
  <c r="G11" i="5"/>
  <c r="D11" i="5"/>
  <c r="GX10" i="5"/>
  <c r="FZ10" i="5"/>
  <c r="FK10" i="5"/>
  <c r="EY10" i="5"/>
  <c r="FI10" i="5" s="1"/>
  <c r="ER10" i="5"/>
  <c r="DX10" i="5"/>
  <c r="DB10" i="5"/>
  <c r="CY10" i="5"/>
  <c r="CV10" i="5"/>
  <c r="CL10" i="5"/>
  <c r="BR10" i="5"/>
  <c r="BQ10" i="5"/>
  <c r="AN10" i="5"/>
  <c r="AJ10" i="5"/>
  <c r="T10" i="5"/>
  <c r="G10" i="5"/>
  <c r="D10" i="5"/>
  <c r="GX9" i="5"/>
  <c r="FZ9" i="5"/>
  <c r="FK9" i="5"/>
  <c r="EY9" i="5"/>
  <c r="FI9" i="5" s="1"/>
  <c r="DX9" i="5"/>
  <c r="DB9" i="5"/>
  <c r="CY9" i="5"/>
  <c r="CV9" i="5"/>
  <c r="CL9" i="5"/>
  <c r="BR9" i="5"/>
  <c r="BQ9" i="5" s="1"/>
  <c r="AN9" i="5"/>
  <c r="AJ9" i="5"/>
  <c r="T9" i="5"/>
  <c r="G9" i="5"/>
  <c r="D9" i="5"/>
  <c r="GX8" i="5"/>
  <c r="FZ8" i="5"/>
  <c r="FK8" i="5"/>
  <c r="FI8" i="5"/>
  <c r="EY8" i="5"/>
  <c r="DX8" i="5"/>
  <c r="DX56" i="5" s="1"/>
  <c r="DB8" i="5"/>
  <c r="DB56" i="5" s="1"/>
  <c r="CY8" i="5"/>
  <c r="CV8" i="5"/>
  <c r="CL8" i="5"/>
  <c r="BR8" i="5"/>
  <c r="BQ8" i="5" s="1"/>
  <c r="AN8" i="5"/>
  <c r="AJ8" i="5"/>
  <c r="T8" i="5"/>
  <c r="T39" i="5" s="1"/>
  <c r="G8" i="5"/>
  <c r="D8" i="5"/>
  <c r="GX7" i="5"/>
  <c r="FZ7" i="5"/>
  <c r="FK7" i="5"/>
  <c r="EY7" i="5"/>
  <c r="FI7" i="5" s="1"/>
  <c r="ER7" i="5"/>
  <c r="DX7" i="5"/>
  <c r="DB7" i="5"/>
  <c r="DB59" i="5" s="1"/>
  <c r="CY7" i="5"/>
  <c r="CV7" i="5"/>
  <c r="CL7" i="5"/>
  <c r="BR7" i="5"/>
  <c r="BQ7" i="5"/>
  <c r="AN7" i="5"/>
  <c r="AN59" i="5" s="1"/>
  <c r="AJ7" i="5"/>
  <c r="T7" i="5"/>
  <c r="G7" i="5"/>
  <c r="D7" i="5"/>
  <c r="GX6" i="5"/>
  <c r="FZ6" i="5"/>
  <c r="FK6" i="5"/>
  <c r="FI6" i="5"/>
  <c r="FI59" i="5" s="1"/>
  <c r="EY6" i="5"/>
  <c r="DX6" i="5"/>
  <c r="DX59" i="5" s="1"/>
  <c r="DB6" i="5"/>
  <c r="CY6" i="5"/>
  <c r="CY59" i="5" s="1"/>
  <c r="CV6" i="5"/>
  <c r="CL6" i="5"/>
  <c r="BR6" i="5"/>
  <c r="AN6" i="5"/>
  <c r="AJ6" i="5"/>
  <c r="AJ59" i="5" s="1"/>
  <c r="T6" i="5"/>
  <c r="T59" i="5" s="1"/>
  <c r="G6" i="5"/>
  <c r="D6" i="5"/>
  <c r="K2" i="4"/>
  <c r="S12" i="4" s="1"/>
  <c r="H2" i="3"/>
  <c r="J64" i="3" s="1"/>
  <c r="AN131" i="2"/>
  <c r="AM131" i="2"/>
  <c r="AL131" i="2"/>
  <c r="AK131" i="2"/>
  <c r="AJ131" i="2"/>
  <c r="AI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AN130" i="2"/>
  <c r="AM130" i="2"/>
  <c r="AL130" i="2"/>
  <c r="AK130" i="2"/>
  <c r="AJ130" i="2"/>
  <c r="AI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AN129" i="2"/>
  <c r="AM129" i="2"/>
  <c r="AL129" i="2"/>
  <c r="AK129" i="2"/>
  <c r="AJ129" i="2"/>
  <c r="AI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AN128" i="2"/>
  <c r="AM128" i="2"/>
  <c r="AL128" i="2"/>
  <c r="AK128" i="2"/>
  <c r="AJ128" i="2"/>
  <c r="AI128" i="2"/>
  <c r="AH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AN127" i="2"/>
  <c r="AM127" i="2"/>
  <c r="AL127" i="2"/>
  <c r="AK127" i="2"/>
  <c r="AJ127" i="2"/>
  <c r="AI127" i="2"/>
  <c r="AF127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AN123" i="2"/>
  <c r="AM123" i="2"/>
  <c r="AL123" i="2"/>
  <c r="AK123" i="2"/>
  <c r="AJ123" i="2"/>
  <c r="AI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AN122" i="2"/>
  <c r="AM122" i="2"/>
  <c r="AL122" i="2"/>
  <c r="AK122" i="2"/>
  <c r="AJ122" i="2"/>
  <c r="AI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AN121" i="2"/>
  <c r="AM121" i="2"/>
  <c r="AL121" i="2"/>
  <c r="AK121" i="2"/>
  <c r="AJ121" i="2"/>
  <c r="AI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AN120" i="2"/>
  <c r="AM120" i="2"/>
  <c r="AL120" i="2"/>
  <c r="AK120" i="2"/>
  <c r="AJ120" i="2"/>
  <c r="AI120" i="2"/>
  <c r="AH120" i="2"/>
  <c r="AF120" i="2"/>
  <c r="AE120" i="2"/>
  <c r="AD120" i="2"/>
  <c r="AC120" i="2"/>
  <c r="AB120" i="2"/>
  <c r="AA120" i="2"/>
  <c r="Z120" i="2"/>
  <c r="Y120" i="2"/>
  <c r="X120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AN118" i="2"/>
  <c r="AM118" i="2"/>
  <c r="AL118" i="2"/>
  <c r="AK118" i="2"/>
  <c r="AJ118" i="2"/>
  <c r="AI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AN117" i="2"/>
  <c r="AM117" i="2"/>
  <c r="AL117" i="2"/>
  <c r="AK117" i="2"/>
  <c r="AJ117" i="2"/>
  <c r="AI117" i="2"/>
  <c r="AH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AN116" i="2"/>
  <c r="AM116" i="2"/>
  <c r="AL116" i="2"/>
  <c r="AK116" i="2"/>
  <c r="AJ116" i="2"/>
  <c r="AI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AN115" i="2"/>
  <c r="AM115" i="2"/>
  <c r="AL115" i="2"/>
  <c r="AK115" i="2"/>
  <c r="AJ115" i="2"/>
  <c r="AI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AN114" i="2"/>
  <c r="AM114" i="2"/>
  <c r="AL114" i="2"/>
  <c r="AK114" i="2"/>
  <c r="AJ114" i="2"/>
  <c r="AI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AN113" i="2"/>
  <c r="AM113" i="2"/>
  <c r="AL113" i="2"/>
  <c r="AK113" i="2"/>
  <c r="AJ113" i="2"/>
  <c r="AI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AN112" i="2"/>
  <c r="AM112" i="2"/>
  <c r="AL112" i="2"/>
  <c r="AK112" i="2"/>
  <c r="AJ112" i="2"/>
  <c r="AI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AN111" i="2"/>
  <c r="AM111" i="2"/>
  <c r="AL111" i="2"/>
  <c r="AK111" i="2"/>
  <c r="AJ111" i="2"/>
  <c r="AI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AN110" i="2"/>
  <c r="AM110" i="2"/>
  <c r="AL110" i="2"/>
  <c r="AK110" i="2"/>
  <c r="AJ110" i="2"/>
  <c r="AI110" i="2"/>
  <c r="AH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AN109" i="2"/>
  <c r="AM109" i="2"/>
  <c r="AL109" i="2"/>
  <c r="AK109" i="2"/>
  <c r="AJ109" i="2"/>
  <c r="AI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AN108" i="2"/>
  <c r="AM108" i="2"/>
  <c r="AL108" i="2"/>
  <c r="AK108" i="2"/>
  <c r="AJ108" i="2"/>
  <c r="AI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AN107" i="2"/>
  <c r="AM107" i="2"/>
  <c r="AL107" i="2"/>
  <c r="AK107" i="2"/>
  <c r="AJ107" i="2"/>
  <c r="AI107" i="2"/>
  <c r="AH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AN106" i="2"/>
  <c r="AM106" i="2"/>
  <c r="AL106" i="2"/>
  <c r="AK106" i="2"/>
  <c r="AJ106" i="2"/>
  <c r="AI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AN105" i="2"/>
  <c r="AM105" i="2"/>
  <c r="AL105" i="2"/>
  <c r="AK105" i="2"/>
  <c r="AJ105" i="2"/>
  <c r="AI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AN104" i="2"/>
  <c r="AM104" i="2"/>
  <c r="AL104" i="2"/>
  <c r="AK104" i="2"/>
  <c r="AJ104" i="2"/>
  <c r="AI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AN103" i="2"/>
  <c r="AM103" i="2"/>
  <c r="AL103" i="2"/>
  <c r="AK103" i="2"/>
  <c r="AJ103" i="2"/>
  <c r="AI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AN102" i="2"/>
  <c r="AM102" i="2"/>
  <c r="AL102" i="2"/>
  <c r="AK102" i="2"/>
  <c r="AJ102" i="2"/>
  <c r="AI102" i="2"/>
  <c r="AH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AN101" i="2"/>
  <c r="AM101" i="2"/>
  <c r="AL101" i="2"/>
  <c r="AK101" i="2"/>
  <c r="AJ101" i="2"/>
  <c r="AI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AN100" i="2"/>
  <c r="AM100" i="2"/>
  <c r="AL100" i="2"/>
  <c r="AK100" i="2"/>
  <c r="AJ100" i="2"/>
  <c r="AI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AN99" i="2"/>
  <c r="AM99" i="2"/>
  <c r="AL99" i="2"/>
  <c r="AK99" i="2"/>
  <c r="AJ99" i="2"/>
  <c r="AI99" i="2"/>
  <c r="AH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AN98" i="2"/>
  <c r="AM98" i="2"/>
  <c r="AL98" i="2"/>
  <c r="AK98" i="2"/>
  <c r="AJ98" i="2"/>
  <c r="AI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AN97" i="2"/>
  <c r="AM97" i="2"/>
  <c r="AL97" i="2"/>
  <c r="AK97" i="2"/>
  <c r="AJ97" i="2"/>
  <c r="AI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AN96" i="2"/>
  <c r="AM96" i="2"/>
  <c r="AL96" i="2"/>
  <c r="AK96" i="2"/>
  <c r="AJ96" i="2"/>
  <c r="AI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AN95" i="2"/>
  <c r="AM95" i="2"/>
  <c r="AL95" i="2"/>
  <c r="AK95" i="2"/>
  <c r="AJ95" i="2"/>
  <c r="AI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AN94" i="2"/>
  <c r="AM94" i="2"/>
  <c r="AL94" i="2"/>
  <c r="AK94" i="2"/>
  <c r="AJ94" i="2"/>
  <c r="AI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AN93" i="2"/>
  <c r="AM93" i="2"/>
  <c r="AL93" i="2"/>
  <c r="AK93" i="2"/>
  <c r="AJ93" i="2"/>
  <c r="AI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AN92" i="2"/>
  <c r="AM92" i="2"/>
  <c r="AL92" i="2"/>
  <c r="AK92" i="2"/>
  <c r="AJ92" i="2"/>
  <c r="AI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AN91" i="2"/>
  <c r="AM91" i="2"/>
  <c r="AL91" i="2"/>
  <c r="AK91" i="2"/>
  <c r="AJ91" i="2"/>
  <c r="AI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AN90" i="2"/>
  <c r="AM90" i="2"/>
  <c r="AL90" i="2"/>
  <c r="AK90" i="2"/>
  <c r="AJ90" i="2"/>
  <c r="AI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AN89" i="2"/>
  <c r="AM89" i="2"/>
  <c r="AL89" i="2"/>
  <c r="AK89" i="2"/>
  <c r="AJ89" i="2"/>
  <c r="AI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AN88" i="2"/>
  <c r="AM88" i="2"/>
  <c r="AL88" i="2"/>
  <c r="AK88" i="2"/>
  <c r="AJ88" i="2"/>
  <c r="AI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AI87" i="2"/>
  <c r="AH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AN86" i="2"/>
  <c r="AM86" i="2"/>
  <c r="AL86" i="2"/>
  <c r="AK86" i="2"/>
  <c r="AJ86" i="2"/>
  <c r="AI86" i="2"/>
  <c r="AF86" i="2"/>
  <c r="AE86" i="2"/>
  <c r="AD86" i="2"/>
  <c r="AC86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AN85" i="2"/>
  <c r="AM85" i="2"/>
  <c r="AL85" i="2"/>
  <c r="AK85" i="2"/>
  <c r="AJ85" i="2"/>
  <c r="AI85" i="2"/>
  <c r="AH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AN84" i="2"/>
  <c r="AM84" i="2"/>
  <c r="AL84" i="2"/>
  <c r="AK84" i="2"/>
  <c r="AJ84" i="2"/>
  <c r="AI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AN83" i="2"/>
  <c r="AM83" i="2"/>
  <c r="AL83" i="2"/>
  <c r="AK83" i="2"/>
  <c r="AJ83" i="2"/>
  <c r="AI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AN82" i="2"/>
  <c r="AM82" i="2"/>
  <c r="AL82" i="2"/>
  <c r="AK82" i="2"/>
  <c r="AJ82" i="2"/>
  <c r="AI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AN81" i="2"/>
  <c r="AM81" i="2"/>
  <c r="AL81" i="2"/>
  <c r="AK81" i="2"/>
  <c r="AJ81" i="2"/>
  <c r="AI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AN80" i="2"/>
  <c r="AM80" i="2"/>
  <c r="AL80" i="2"/>
  <c r="AK80" i="2"/>
  <c r="AJ80" i="2"/>
  <c r="AI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AN79" i="2"/>
  <c r="AM79" i="2"/>
  <c r="AL79" i="2"/>
  <c r="AK79" i="2"/>
  <c r="AJ79" i="2"/>
  <c r="AI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AN78" i="2"/>
  <c r="AM78" i="2"/>
  <c r="AL78" i="2"/>
  <c r="AK78" i="2"/>
  <c r="AJ78" i="2"/>
  <c r="AI78" i="2"/>
  <c r="AH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AN77" i="2"/>
  <c r="AM77" i="2"/>
  <c r="AL77" i="2"/>
  <c r="AK77" i="2"/>
  <c r="AJ77" i="2"/>
  <c r="AI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AN76" i="2"/>
  <c r="AM76" i="2"/>
  <c r="AL76" i="2"/>
  <c r="AK76" i="2"/>
  <c r="AJ76" i="2"/>
  <c r="AI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AN75" i="2"/>
  <c r="AM75" i="2"/>
  <c r="AL75" i="2"/>
  <c r="AK75" i="2"/>
  <c r="AJ75" i="2"/>
  <c r="AI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AN73" i="2"/>
  <c r="AM73" i="2"/>
  <c r="AL73" i="2"/>
  <c r="AK73" i="2"/>
  <c r="AJ73" i="2"/>
  <c r="AI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AN71" i="2"/>
  <c r="AM71" i="2"/>
  <c r="AL71" i="2"/>
  <c r="AK71" i="2"/>
  <c r="AJ71" i="2"/>
  <c r="AI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H68" i="2"/>
  <c r="AN66" i="2"/>
  <c r="AM66" i="2"/>
  <c r="AL66" i="2"/>
  <c r="AK66" i="2"/>
  <c r="AJ66" i="2"/>
  <c r="AI66" i="2"/>
  <c r="AH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AN65" i="2"/>
  <c r="AM65" i="2"/>
  <c r="AL65" i="2"/>
  <c r="AK65" i="2"/>
  <c r="AJ65" i="2"/>
  <c r="AI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AN64" i="2"/>
  <c r="AM64" i="2"/>
  <c r="AL64" i="2"/>
  <c r="AK64" i="2"/>
  <c r="AJ64" i="2"/>
  <c r="AI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AN63" i="2"/>
  <c r="AL63" i="2"/>
  <c r="AK63" i="2"/>
  <c r="AJ63" i="2"/>
  <c r="AI63" i="2"/>
  <c r="AF63" i="2"/>
  <c r="AE63" i="2"/>
  <c r="AD63" i="2"/>
  <c r="AC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AN62" i="2"/>
  <c r="AM62" i="2"/>
  <c r="AL62" i="2"/>
  <c r="AK62" i="2"/>
  <c r="AJ62" i="2"/>
  <c r="AI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AN61" i="2"/>
  <c r="AM61" i="2"/>
  <c r="AL61" i="2"/>
  <c r="AK61" i="2"/>
  <c r="AJ61" i="2"/>
  <c r="AI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AN60" i="2"/>
  <c r="AM60" i="2"/>
  <c r="AL60" i="2"/>
  <c r="AK60" i="2"/>
  <c r="AJ60" i="2"/>
  <c r="AI60" i="2"/>
  <c r="AH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AN59" i="2"/>
  <c r="AM59" i="2"/>
  <c r="AL59" i="2"/>
  <c r="AK59" i="2"/>
  <c r="AJ59" i="2"/>
  <c r="AI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AN58" i="2"/>
  <c r="AM58" i="2"/>
  <c r="AL58" i="2"/>
  <c r="AK58" i="2"/>
  <c r="AJ58" i="2"/>
  <c r="AI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AN57" i="2"/>
  <c r="AM57" i="2"/>
  <c r="AL57" i="2"/>
  <c r="AK57" i="2"/>
  <c r="AJ57" i="2"/>
  <c r="AI57" i="2"/>
  <c r="AH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AN56" i="2"/>
  <c r="AM56" i="2"/>
  <c r="AL56" i="2"/>
  <c r="AK56" i="2"/>
  <c r="AJ56" i="2"/>
  <c r="AI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AN55" i="2"/>
  <c r="AM55" i="2"/>
  <c r="AL55" i="2"/>
  <c r="AK55" i="2"/>
  <c r="AJ55" i="2"/>
  <c r="AI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AN54" i="2"/>
  <c r="AM54" i="2"/>
  <c r="AL54" i="2"/>
  <c r="AK54" i="2"/>
  <c r="AJ54" i="2"/>
  <c r="AI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AN53" i="2"/>
  <c r="AM53" i="2"/>
  <c r="AL53" i="2"/>
  <c r="AK53" i="2"/>
  <c r="AJ53" i="2"/>
  <c r="AI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AN52" i="2"/>
  <c r="AM52" i="2"/>
  <c r="AL52" i="2"/>
  <c r="AK52" i="2"/>
  <c r="AJ52" i="2"/>
  <c r="AI52" i="2"/>
  <c r="AH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AN51" i="2"/>
  <c r="AM51" i="2"/>
  <c r="AL51" i="2"/>
  <c r="AK51" i="2"/>
  <c r="AJ51" i="2"/>
  <c r="AI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AN50" i="2"/>
  <c r="AM50" i="2"/>
  <c r="AL50" i="2"/>
  <c r="AK50" i="2"/>
  <c r="AJ50" i="2"/>
  <c r="AI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AN49" i="2"/>
  <c r="AM49" i="2"/>
  <c r="AL49" i="2"/>
  <c r="AK49" i="2"/>
  <c r="AJ49" i="2"/>
  <c r="AI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AN48" i="2"/>
  <c r="AM48" i="2"/>
  <c r="AL48" i="2"/>
  <c r="AK48" i="2"/>
  <c r="AJ48" i="2"/>
  <c r="AI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AN47" i="2"/>
  <c r="AM47" i="2"/>
  <c r="AL47" i="2"/>
  <c r="AK47" i="2"/>
  <c r="AJ47" i="2"/>
  <c r="AI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AN46" i="2"/>
  <c r="AM46" i="2"/>
  <c r="AL46" i="2"/>
  <c r="AK46" i="2"/>
  <c r="AJ46" i="2"/>
  <c r="AI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AN45" i="2"/>
  <c r="AM45" i="2"/>
  <c r="AL45" i="2"/>
  <c r="AK45" i="2"/>
  <c r="AJ45" i="2"/>
  <c r="AI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AN44" i="2"/>
  <c r="AM44" i="2"/>
  <c r="AL44" i="2"/>
  <c r="AK44" i="2"/>
  <c r="AJ44" i="2"/>
  <c r="AI44" i="2"/>
  <c r="AH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AN43" i="2"/>
  <c r="AM43" i="2"/>
  <c r="AL43" i="2"/>
  <c r="AK43" i="2"/>
  <c r="AJ43" i="2"/>
  <c r="AI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AN42" i="2"/>
  <c r="AM42" i="2"/>
  <c r="AL42" i="2"/>
  <c r="AK42" i="2"/>
  <c r="AJ42" i="2"/>
  <c r="AI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AN41" i="2"/>
  <c r="AM41" i="2"/>
  <c r="AL41" i="2"/>
  <c r="AK41" i="2"/>
  <c r="AJ41" i="2"/>
  <c r="AI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AN40" i="2"/>
  <c r="AM40" i="2"/>
  <c r="AL40" i="2"/>
  <c r="AK40" i="2"/>
  <c r="AJ40" i="2"/>
  <c r="AI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AN39" i="2"/>
  <c r="AM39" i="2"/>
  <c r="AL39" i="2"/>
  <c r="AK39" i="2"/>
  <c r="AJ39" i="2"/>
  <c r="AI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AN38" i="2"/>
  <c r="AM38" i="2"/>
  <c r="AL38" i="2"/>
  <c r="AK38" i="2"/>
  <c r="AJ38" i="2"/>
  <c r="AI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AN37" i="2"/>
  <c r="AM37" i="2"/>
  <c r="AL37" i="2"/>
  <c r="AK37" i="2"/>
  <c r="AJ37" i="2"/>
  <c r="AI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AN36" i="2"/>
  <c r="AM36" i="2"/>
  <c r="AL36" i="2"/>
  <c r="AK36" i="2"/>
  <c r="AJ36" i="2"/>
  <c r="AI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AN35" i="2"/>
  <c r="AM35" i="2"/>
  <c r="AL35" i="2"/>
  <c r="AK35" i="2"/>
  <c r="AJ35" i="2"/>
  <c r="AI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AN34" i="2"/>
  <c r="AM34" i="2"/>
  <c r="AL34" i="2"/>
  <c r="AK34" i="2"/>
  <c r="AJ34" i="2"/>
  <c r="AI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AN33" i="2"/>
  <c r="AM33" i="2"/>
  <c r="AL33" i="2"/>
  <c r="AK33" i="2"/>
  <c r="AJ33" i="2"/>
  <c r="AI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AN32" i="2"/>
  <c r="AM32" i="2"/>
  <c r="AL32" i="2"/>
  <c r="AK32" i="2"/>
  <c r="AJ32" i="2"/>
  <c r="AI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AN31" i="2"/>
  <c r="AM31" i="2"/>
  <c r="AL31" i="2"/>
  <c r="AK31" i="2"/>
  <c r="AJ31" i="2"/>
  <c r="AI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AN30" i="2"/>
  <c r="AM30" i="2"/>
  <c r="AL30" i="2"/>
  <c r="AK30" i="2"/>
  <c r="AJ30" i="2"/>
  <c r="AI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AN29" i="2"/>
  <c r="AM29" i="2"/>
  <c r="AL29" i="2"/>
  <c r="AK29" i="2"/>
  <c r="AJ29" i="2"/>
  <c r="AI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AN28" i="2"/>
  <c r="AM28" i="2"/>
  <c r="AL28" i="2"/>
  <c r="AK28" i="2"/>
  <c r="AJ28" i="2"/>
  <c r="AI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AN27" i="2"/>
  <c r="AM27" i="2"/>
  <c r="AL27" i="2"/>
  <c r="AK27" i="2"/>
  <c r="AJ27" i="2"/>
  <c r="AI27" i="2"/>
  <c r="AH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AN26" i="2"/>
  <c r="AM26" i="2"/>
  <c r="AL26" i="2"/>
  <c r="AK26" i="2"/>
  <c r="AJ26" i="2"/>
  <c r="AI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AN25" i="2"/>
  <c r="AM25" i="2"/>
  <c r="AL25" i="2"/>
  <c r="AK25" i="2"/>
  <c r="AJ25" i="2"/>
  <c r="AI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AN24" i="2"/>
  <c r="AM24" i="2"/>
  <c r="AL24" i="2"/>
  <c r="AK24" i="2"/>
  <c r="AJ24" i="2"/>
  <c r="AI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V23" i="2"/>
  <c r="U23" i="2"/>
  <c r="T23" i="2"/>
  <c r="M22" i="2"/>
  <c r="L22" i="2"/>
  <c r="K22" i="2"/>
  <c r="J22" i="2"/>
  <c r="I22" i="2"/>
  <c r="H22" i="2"/>
  <c r="G22" i="2"/>
  <c r="F22" i="2"/>
  <c r="E22" i="2"/>
  <c r="AN21" i="2"/>
  <c r="AM21" i="2"/>
  <c r="AL21" i="2"/>
  <c r="AK21" i="2"/>
  <c r="AJ21" i="2"/>
  <c r="AI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AN20" i="2"/>
  <c r="AM20" i="2"/>
  <c r="AL20" i="2"/>
  <c r="AK20" i="2"/>
  <c r="AJ20" i="2"/>
  <c r="AI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AN19" i="2"/>
  <c r="AM19" i="2"/>
  <c r="AL19" i="2"/>
  <c r="AK19" i="2"/>
  <c r="AJ19" i="2"/>
  <c r="AI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AN18" i="2"/>
  <c r="AM18" i="2"/>
  <c r="AL18" i="2"/>
  <c r="AK18" i="2"/>
  <c r="AJ18" i="2"/>
  <c r="AI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AN17" i="2"/>
  <c r="AM17" i="2"/>
  <c r="AL17" i="2"/>
  <c r="AK17" i="2"/>
  <c r="AJ17" i="2"/>
  <c r="AI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AN16" i="2"/>
  <c r="AM16" i="2"/>
  <c r="AL16" i="2"/>
  <c r="AK16" i="2"/>
  <c r="AJ16" i="2"/>
  <c r="AI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AN15" i="2"/>
  <c r="AM15" i="2"/>
  <c r="AL15" i="2"/>
  <c r="AK15" i="2"/>
  <c r="AJ15" i="2"/>
  <c r="AI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AN14" i="2"/>
  <c r="AM14" i="2"/>
  <c r="AL14" i="2"/>
  <c r="AK14" i="2"/>
  <c r="AJ14" i="2"/>
  <c r="AI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AN13" i="2"/>
  <c r="AM13" i="2"/>
  <c r="AL13" i="2"/>
  <c r="AK13" i="2"/>
  <c r="AJ13" i="2"/>
  <c r="AI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AN12" i="2"/>
  <c r="AM12" i="2"/>
  <c r="AL12" i="2"/>
  <c r="AK12" i="2"/>
  <c r="AJ12" i="2"/>
  <c r="AI12" i="2"/>
  <c r="AH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AN11" i="2"/>
  <c r="AM11" i="2"/>
  <c r="AL11" i="2"/>
  <c r="AK11" i="2"/>
  <c r="AJ11" i="2"/>
  <c r="AI11" i="2"/>
  <c r="AH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AN10" i="2"/>
  <c r="AM10" i="2"/>
  <c r="AL10" i="2"/>
  <c r="AK10" i="2"/>
  <c r="AJ10" i="2"/>
  <c r="AI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AN9" i="2"/>
  <c r="AM9" i="2"/>
  <c r="AL9" i="2"/>
  <c r="AK9" i="2"/>
  <c r="AJ9" i="2"/>
  <c r="AI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AN8" i="2"/>
  <c r="AM8" i="2"/>
  <c r="AL8" i="2"/>
  <c r="AK8" i="2"/>
  <c r="AJ8" i="2"/>
  <c r="AI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AN7" i="2"/>
  <c r="AM7" i="2"/>
  <c r="AL7" i="2"/>
  <c r="AK7" i="2"/>
  <c r="AJ7" i="2"/>
  <c r="AI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AN6" i="2"/>
  <c r="AM6" i="2"/>
  <c r="AL6" i="2"/>
  <c r="AK6" i="2"/>
  <c r="AJ6" i="2"/>
  <c r="AI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I14" i="4" l="1"/>
  <c r="N15" i="4"/>
  <c r="O8" i="4"/>
  <c r="S8" i="4"/>
  <c r="H10" i="4"/>
  <c r="H14" i="4"/>
  <c r="K6" i="3"/>
  <c r="L8" i="3"/>
  <c r="I10" i="3"/>
  <c r="AN11" i="3"/>
  <c r="AM13" i="3"/>
  <c r="AG15" i="3"/>
  <c r="AL17" i="3"/>
  <c r="P20" i="3"/>
  <c r="W22" i="3"/>
  <c r="AK27" i="3"/>
  <c r="AD34" i="3"/>
  <c r="X44" i="3"/>
  <c r="L55" i="3"/>
  <c r="Y68" i="3"/>
  <c r="O6" i="3"/>
  <c r="M8" i="3"/>
  <c r="J10" i="3"/>
  <c r="I12" i="3"/>
  <c r="AN13" i="3"/>
  <c r="AK15" i="3"/>
  <c r="G18" i="3"/>
  <c r="Q20" i="3"/>
  <c r="X22" i="3"/>
  <c r="N28" i="3"/>
  <c r="H35" i="3"/>
  <c r="L45" i="3"/>
  <c r="AF55" i="3"/>
  <c r="Q69" i="3"/>
  <c r="AG7" i="3"/>
  <c r="AD9" i="3"/>
  <c r="Y11" i="3"/>
  <c r="X13" i="3"/>
  <c r="U15" i="3"/>
  <c r="U17" i="3"/>
  <c r="AD19" i="3"/>
  <c r="F22" i="3"/>
  <c r="Y26" i="3"/>
  <c r="M33" i="3"/>
  <c r="N42" i="3"/>
  <c r="AN52" i="3"/>
  <c r="F65" i="3"/>
  <c r="AB6" i="3"/>
  <c r="W10" i="3"/>
  <c r="S14" i="3"/>
  <c r="W18" i="3"/>
  <c r="O15" i="4"/>
  <c r="AE6" i="3"/>
  <c r="AC8" i="3"/>
  <c r="AB10" i="3"/>
  <c r="Y12" i="3"/>
  <c r="T14" i="3"/>
  <c r="S16" i="3"/>
  <c r="Y18" i="3"/>
  <c r="AJ20" i="3"/>
  <c r="P23" i="3"/>
  <c r="AH29" i="3"/>
  <c r="N37" i="3"/>
  <c r="Z47" i="3"/>
  <c r="Y58" i="3"/>
  <c r="X5" i="4"/>
  <c r="L11" i="4"/>
  <c r="AA8" i="3"/>
  <c r="W12" i="3"/>
  <c r="O16" i="3"/>
  <c r="AG20" i="3"/>
  <c r="AO22" i="3"/>
  <c r="U29" i="3"/>
  <c r="AD36" i="3"/>
  <c r="AO46" i="3"/>
  <c r="AN57" i="3"/>
  <c r="I10" i="4"/>
  <c r="N7" i="3"/>
  <c r="I9" i="3"/>
  <c r="H11" i="3"/>
  <c r="AO12" i="3"/>
  <c r="AJ14" i="3"/>
  <c r="AK16" i="3"/>
  <c r="F19" i="3"/>
  <c r="N21" i="3"/>
  <c r="Y24" i="3"/>
  <c r="H31" i="3"/>
  <c r="AM38" i="3"/>
  <c r="AC49" i="3"/>
  <c r="AF60" i="3"/>
  <c r="H6" i="4"/>
  <c r="M11" i="4"/>
  <c r="O7" i="3"/>
  <c r="N9" i="3"/>
  <c r="I11" i="3"/>
  <c r="F13" i="3"/>
  <c r="F15" i="3"/>
  <c r="AO16" i="3"/>
  <c r="I19" i="3"/>
  <c r="U21" i="3"/>
  <c r="AM24" i="3"/>
  <c r="T31" i="3"/>
  <c r="U39" i="3"/>
  <c r="N50" i="3"/>
  <c r="Z61" i="3"/>
  <c r="L7" i="4"/>
  <c r="R12" i="4"/>
  <c r="AC7" i="3"/>
  <c r="AC9" i="3"/>
  <c r="X11" i="3"/>
  <c r="U13" i="3"/>
  <c r="S15" i="3"/>
  <c r="S17" i="3"/>
  <c r="X19" i="3"/>
  <c r="AN21" i="3"/>
  <c r="N26" i="3"/>
  <c r="AG32" i="3"/>
  <c r="AE41" i="3"/>
  <c r="P52" i="3"/>
  <c r="M7" i="4"/>
  <c r="U69" i="3"/>
  <c r="AN68" i="3"/>
  <c r="U68" i="3"/>
  <c r="H68" i="3"/>
  <c r="Y67" i="3"/>
  <c r="I67" i="3"/>
  <c r="AC66" i="3"/>
  <c r="M66" i="3"/>
  <c r="Q65" i="3"/>
  <c r="AJ64" i="3"/>
  <c r="U64" i="3"/>
  <c r="I64" i="3"/>
  <c r="AF63" i="3"/>
  <c r="R63" i="3"/>
  <c r="G63" i="3"/>
  <c r="AA62" i="3"/>
  <c r="P62" i="3"/>
  <c r="AN61" i="3"/>
  <c r="Y61" i="3"/>
  <c r="N61" i="3"/>
  <c r="AK60" i="3"/>
  <c r="W60" i="3"/>
  <c r="L60" i="3"/>
  <c r="AK59" i="3"/>
  <c r="Z59" i="3"/>
  <c r="N59" i="3"/>
  <c r="AN58" i="3"/>
  <c r="AB58" i="3"/>
  <c r="Q58" i="3"/>
  <c r="G58" i="3"/>
  <c r="AC57" i="3"/>
  <c r="S57" i="3"/>
  <c r="H57" i="3"/>
  <c r="AF56" i="3"/>
  <c r="V56" i="3"/>
  <c r="J56" i="3"/>
  <c r="AJ55" i="3"/>
  <c r="X55" i="3"/>
  <c r="M55" i="3"/>
  <c r="AM54" i="3"/>
  <c r="Z54" i="3"/>
  <c r="P54" i="3"/>
  <c r="F54" i="3"/>
  <c r="AB53" i="3"/>
  <c r="R53" i="3"/>
  <c r="F53" i="3"/>
  <c r="AF52" i="3"/>
  <c r="V52" i="3"/>
  <c r="J52" i="3"/>
  <c r="AJ51" i="3"/>
  <c r="Z51" i="3"/>
  <c r="N51" i="3"/>
  <c r="AN50" i="3"/>
  <c r="AD50" i="3"/>
  <c r="R50" i="3"/>
  <c r="H50" i="3"/>
  <c r="AH49" i="3"/>
  <c r="V49" i="3"/>
  <c r="L49" i="3"/>
  <c r="AL48" i="3"/>
  <c r="Z48" i="3"/>
  <c r="P48" i="3"/>
  <c r="F48" i="3"/>
  <c r="AD47" i="3"/>
  <c r="T47" i="3"/>
  <c r="J47" i="3"/>
  <c r="AE69" i="3"/>
  <c r="L69" i="3"/>
  <c r="AC68" i="3"/>
  <c r="J68" i="3"/>
  <c r="AD67" i="3"/>
  <c r="H67" i="3"/>
  <c r="Z66" i="3"/>
  <c r="H66" i="3"/>
  <c r="I65" i="3"/>
  <c r="Z64" i="3"/>
  <c r="L64" i="3"/>
  <c r="AG63" i="3"/>
  <c r="Q63" i="3"/>
  <c r="AO62" i="3"/>
  <c r="X62" i="3"/>
  <c r="I62" i="3"/>
  <c r="AE61" i="3"/>
  <c r="P61" i="3"/>
  <c r="AN60" i="3"/>
  <c r="V60" i="3"/>
  <c r="I60" i="3"/>
  <c r="AF59" i="3"/>
  <c r="T59" i="3"/>
  <c r="H59" i="3"/>
  <c r="AE58" i="3"/>
  <c r="R58" i="3"/>
  <c r="F58" i="3"/>
  <c r="AA57" i="3"/>
  <c r="N57" i="3"/>
  <c r="AM56" i="3"/>
  <c r="Y56" i="3"/>
  <c r="N56" i="3"/>
  <c r="AK55" i="3"/>
  <c r="V55" i="3"/>
  <c r="K55" i="3"/>
  <c r="AG54" i="3"/>
  <c r="V54" i="3"/>
  <c r="I54" i="3"/>
  <c r="AD53" i="3"/>
  <c r="S53" i="3"/>
  <c r="AO52" i="3"/>
  <c r="AD52" i="3"/>
  <c r="Q52" i="3"/>
  <c r="F52" i="3"/>
  <c r="AC51" i="3"/>
  <c r="R51" i="3"/>
  <c r="AO50" i="3"/>
  <c r="AB50" i="3"/>
  <c r="P50" i="3"/>
  <c r="AN49" i="3"/>
  <c r="AB49" i="3"/>
  <c r="P49" i="3"/>
  <c r="AN48" i="3"/>
  <c r="AB48" i="3"/>
  <c r="O48" i="3"/>
  <c r="AL47" i="3"/>
  <c r="AA47" i="3"/>
  <c r="N47" i="3"/>
  <c r="AM46" i="3"/>
  <c r="AB46" i="3"/>
  <c r="Q46" i="3"/>
  <c r="G46" i="3"/>
  <c r="AF45" i="3"/>
  <c r="U45" i="3"/>
  <c r="K45" i="3"/>
  <c r="AJ44" i="3"/>
  <c r="Y44" i="3"/>
  <c r="O44" i="3"/>
  <c r="AN43" i="3"/>
  <c r="AA43" i="3"/>
  <c r="AN42" i="3"/>
  <c r="AA42" i="3"/>
  <c r="P42" i="3"/>
  <c r="AO41" i="3"/>
  <c r="AD41" i="3"/>
  <c r="R41" i="3"/>
  <c r="H41" i="3"/>
  <c r="AD40" i="3"/>
  <c r="T40" i="3"/>
  <c r="AD39" i="3"/>
  <c r="T39" i="3"/>
  <c r="J39" i="3"/>
  <c r="AG38" i="3"/>
  <c r="W38" i="3"/>
  <c r="L38" i="3"/>
  <c r="AK37" i="3"/>
  <c r="X37" i="3"/>
  <c r="M37" i="3"/>
  <c r="AM36" i="3"/>
  <c r="Z36" i="3"/>
  <c r="P36" i="3"/>
  <c r="F36" i="3"/>
  <c r="AB35" i="3"/>
  <c r="R35" i="3"/>
  <c r="F35" i="3"/>
  <c r="AF34" i="3"/>
  <c r="V34" i="3"/>
  <c r="J34" i="3"/>
  <c r="AJ33" i="3"/>
  <c r="V33" i="3"/>
  <c r="L33" i="3"/>
  <c r="AL32" i="3"/>
  <c r="Y32" i="3"/>
  <c r="O32" i="3"/>
  <c r="AN31" i="3"/>
  <c r="AB31" i="3"/>
  <c r="R31" i="3"/>
  <c r="F31" i="3"/>
  <c r="AE30" i="3"/>
  <c r="T30" i="3"/>
  <c r="I30" i="3"/>
  <c r="AI29" i="3"/>
  <c r="X29" i="3"/>
  <c r="M29" i="3"/>
  <c r="AM28" i="3"/>
  <c r="Z28" i="3"/>
  <c r="P28" i="3"/>
  <c r="F28" i="3"/>
  <c r="AB27" i="3"/>
  <c r="R27" i="3"/>
  <c r="F27" i="3"/>
  <c r="AE26" i="3"/>
  <c r="T26" i="3"/>
  <c r="I26" i="3"/>
  <c r="AF25" i="3"/>
  <c r="U25" i="3"/>
  <c r="K25" i="3"/>
  <c r="AJ24" i="3"/>
  <c r="X24" i="3"/>
  <c r="N24" i="3"/>
  <c r="AL23" i="3"/>
  <c r="Z23" i="3"/>
  <c r="N23" i="3"/>
  <c r="AN22" i="3"/>
  <c r="AB22" i="3"/>
  <c r="Q22" i="3"/>
  <c r="G22" i="3"/>
  <c r="AB21" i="3"/>
  <c r="R21" i="3"/>
  <c r="F21" i="3"/>
  <c r="AE20" i="3"/>
  <c r="T20" i="3"/>
  <c r="AN19" i="3"/>
  <c r="AC19" i="3"/>
  <c r="Q19" i="3"/>
  <c r="G19" i="3"/>
  <c r="AC18" i="3"/>
  <c r="S18" i="3"/>
  <c r="I18" i="3"/>
  <c r="AF17" i="3"/>
  <c r="V17" i="3"/>
  <c r="K17" i="3"/>
  <c r="AJ16" i="3"/>
  <c r="W16" i="3"/>
  <c r="V69" i="3"/>
  <c r="AI68" i="3"/>
  <c r="P68" i="3"/>
  <c r="AE67" i="3"/>
  <c r="G67" i="3"/>
  <c r="U66" i="3"/>
  <c r="U65" i="3"/>
  <c r="AG64" i="3"/>
  <c r="Q64" i="3"/>
  <c r="AK63" i="3"/>
  <c r="U63" i="3"/>
  <c r="AL62" i="3"/>
  <c r="T62" i="3"/>
  <c r="AO61" i="3"/>
  <c r="W61" i="3"/>
  <c r="G61" i="3"/>
  <c r="Y60" i="3"/>
  <c r="J60" i="3"/>
  <c r="AD59" i="3"/>
  <c r="R59" i="3"/>
  <c r="AM58" i="3"/>
  <c r="X58" i="3"/>
  <c r="J58" i="3"/>
  <c r="AD57" i="3"/>
  <c r="P57" i="3"/>
  <c r="AL56" i="3"/>
  <c r="W56" i="3"/>
  <c r="H56" i="3"/>
  <c r="AC55" i="3"/>
  <c r="P55" i="3"/>
  <c r="AL54" i="3"/>
  <c r="W54" i="3"/>
  <c r="H54" i="3"/>
  <c r="AA53" i="3"/>
  <c r="M53" i="3"/>
  <c r="AJ52" i="3"/>
  <c r="W52" i="3"/>
  <c r="H52" i="3"/>
  <c r="AD51" i="3"/>
  <c r="P51" i="3"/>
  <c r="AL50" i="3"/>
  <c r="X50" i="3"/>
  <c r="J50" i="3"/>
  <c r="AF49" i="3"/>
  <c r="S49" i="3"/>
  <c r="AO48" i="3"/>
  <c r="Y48" i="3"/>
  <c r="L48" i="3"/>
  <c r="AI47" i="3"/>
  <c r="U47" i="3"/>
  <c r="F47" i="3"/>
  <c r="AE46" i="3"/>
  <c r="R46" i="3"/>
  <c r="F46" i="3"/>
  <c r="AC45" i="3"/>
  <c r="R45" i="3"/>
  <c r="AO44" i="3"/>
  <c r="AD44" i="3"/>
  <c r="Q44" i="3"/>
  <c r="F44" i="3"/>
  <c r="Z43" i="3"/>
  <c r="AK42" i="3"/>
  <c r="V42" i="3"/>
  <c r="K42" i="3"/>
  <c r="AG41" i="3"/>
  <c r="V41" i="3"/>
  <c r="I41" i="3"/>
  <c r="AC40" i="3"/>
  <c r="R40" i="3"/>
  <c r="AA39" i="3"/>
  <c r="N39" i="3"/>
  <c r="W69" i="3"/>
  <c r="AG68" i="3"/>
  <c r="I68" i="3"/>
  <c r="U67" i="3"/>
  <c r="AH66" i="3"/>
  <c r="I66" i="3"/>
  <c r="G65" i="3"/>
  <c r="R64" i="3"/>
  <c r="AJ63" i="3"/>
  <c r="O63" i="3"/>
  <c r="AF62" i="3"/>
  <c r="M62" i="3"/>
  <c r="AC61" i="3"/>
  <c r="J61" i="3"/>
  <c r="Z60" i="3"/>
  <c r="H60" i="3"/>
  <c r="AB59" i="3"/>
  <c r="L59" i="3"/>
  <c r="AF58" i="3"/>
  <c r="O58" i="3"/>
  <c r="AJ57" i="3"/>
  <c r="R57" i="3"/>
  <c r="AJ56" i="3"/>
  <c r="R56" i="3"/>
  <c r="AN55" i="3"/>
  <c r="U55" i="3"/>
  <c r="F55" i="3"/>
  <c r="Y54" i="3"/>
  <c r="J54" i="3"/>
  <c r="Z53" i="3"/>
  <c r="K53" i="3"/>
  <c r="AE52" i="3"/>
  <c r="O52" i="3"/>
  <c r="AI51" i="3"/>
  <c r="T51" i="3"/>
  <c r="AM50" i="3"/>
  <c r="W50" i="3"/>
  <c r="G50" i="3"/>
  <c r="AA49" i="3"/>
  <c r="K49" i="3"/>
  <c r="AF48" i="3"/>
  <c r="Q48" i="3"/>
  <c r="AJ47" i="3"/>
  <c r="S47" i="3"/>
  <c r="AN46" i="3"/>
  <c r="Y46" i="3"/>
  <c r="L46" i="3"/>
  <c r="AI45" i="3"/>
  <c r="T45" i="3"/>
  <c r="F45" i="3"/>
  <c r="AB44" i="3"/>
  <c r="N44" i="3"/>
  <c r="AJ43" i="3"/>
  <c r="T43" i="3"/>
  <c r="AB42" i="3"/>
  <c r="M42" i="3"/>
  <c r="AJ41" i="3"/>
  <c r="T41" i="3"/>
  <c r="F41" i="3"/>
  <c r="Z40" i="3"/>
  <c r="AJ39" i="3"/>
  <c r="S39" i="3"/>
  <c r="AO38" i="3"/>
  <c r="AB38" i="3"/>
  <c r="P38" i="3"/>
  <c r="AN37" i="3"/>
  <c r="Z37" i="3"/>
  <c r="L37" i="3"/>
  <c r="AJ36" i="3"/>
  <c r="W36" i="3"/>
  <c r="J36" i="3"/>
  <c r="AF35" i="3"/>
  <c r="AG69" i="3"/>
  <c r="F69" i="3"/>
  <c r="K68" i="3"/>
  <c r="T67" i="3"/>
  <c r="AB66" i="3"/>
  <c r="T65" i="3"/>
  <c r="AA64" i="3"/>
  <c r="F64" i="3"/>
  <c r="W63" i="3"/>
  <c r="AG62" i="3"/>
  <c r="K62" i="3"/>
  <c r="X61" i="3"/>
  <c r="AO60" i="3"/>
  <c r="Q60" i="3"/>
  <c r="AJ59" i="3"/>
  <c r="P59" i="3"/>
  <c r="AG58" i="3"/>
  <c r="N58" i="3"/>
  <c r="AB57" i="3"/>
  <c r="K57" i="3"/>
  <c r="AB56" i="3"/>
  <c r="I56" i="3"/>
  <c r="AA55" i="3"/>
  <c r="H55" i="3"/>
  <c r="X54" i="3"/>
  <c r="AN53" i="3"/>
  <c r="U53" i="3"/>
  <c r="AM52" i="3"/>
  <c r="T52" i="3"/>
  <c r="AL51" i="3"/>
  <c r="U51" i="3"/>
  <c r="AJ50" i="3"/>
  <c r="T50" i="3"/>
  <c r="AK49" i="3"/>
  <c r="T49" i="3"/>
  <c r="AJ48" i="3"/>
  <c r="T48" i="3"/>
  <c r="AK47" i="3"/>
  <c r="R47" i="3"/>
  <c r="AJ46" i="3"/>
  <c r="V46" i="3"/>
  <c r="AN45" i="3"/>
  <c r="Z45" i="3"/>
  <c r="J45" i="3"/>
  <c r="AE44" i="3"/>
  <c r="L44" i="3"/>
  <c r="AD43" i="3"/>
  <c r="AL42" i="3"/>
  <c r="T42" i="3"/>
  <c r="AN41" i="3"/>
  <c r="X41" i="3"/>
  <c r="G41" i="3"/>
  <c r="X40" i="3"/>
  <c r="AC39" i="3"/>
  <c r="M39" i="3"/>
  <c r="AJ38" i="3"/>
  <c r="T38" i="3"/>
  <c r="G38" i="3"/>
  <c r="AA37" i="3"/>
  <c r="K37" i="3"/>
  <c r="AF36" i="3"/>
  <c r="R36" i="3"/>
  <c r="AN35" i="3"/>
  <c r="X35" i="3"/>
  <c r="L35" i="3"/>
  <c r="AJ34" i="3"/>
  <c r="X34" i="3"/>
  <c r="L34" i="3"/>
  <c r="AF33" i="3"/>
  <c r="T33" i="3"/>
  <c r="H33" i="3"/>
  <c r="AE32" i="3"/>
  <c r="R32" i="3"/>
  <c r="G32" i="3"/>
  <c r="AC31" i="3"/>
  <c r="P31" i="3"/>
  <c r="AN30" i="3"/>
  <c r="Z30" i="3"/>
  <c r="O30" i="3"/>
  <c r="AL29" i="3"/>
  <c r="AA29" i="3"/>
  <c r="N29" i="3"/>
  <c r="AL28" i="3"/>
  <c r="X28" i="3"/>
  <c r="L28" i="3"/>
  <c r="AJ27" i="3"/>
  <c r="U27" i="3"/>
  <c r="J27" i="3"/>
  <c r="AF26" i="3"/>
  <c r="R26" i="3"/>
  <c r="G26" i="3"/>
  <c r="AB25" i="3"/>
  <c r="P25" i="3"/>
  <c r="AN24" i="3"/>
  <c r="Z24" i="3"/>
  <c r="O24" i="3"/>
  <c r="AK23" i="3"/>
  <c r="V23" i="3"/>
  <c r="K23" i="3"/>
  <c r="AG22" i="3"/>
  <c r="V22" i="3"/>
  <c r="I22" i="3"/>
  <c r="AC21" i="3"/>
  <c r="P21" i="3"/>
  <c r="AN20" i="3"/>
  <c r="Z20" i="3"/>
  <c r="O20" i="3"/>
  <c r="AF19" i="3"/>
  <c r="U19" i="3"/>
  <c r="H19" i="3"/>
  <c r="AB18" i="3"/>
  <c r="Q18" i="3"/>
  <c r="AN17" i="3"/>
  <c r="AA17" i="3"/>
  <c r="O17" i="3"/>
  <c r="AM16" i="3"/>
  <c r="Y16" i="3"/>
  <c r="L16" i="3"/>
  <c r="AL15" i="3"/>
  <c r="Y15" i="3"/>
  <c r="O15" i="3"/>
  <c r="AO14" i="3"/>
  <c r="AA14" i="3"/>
  <c r="Q14" i="3"/>
  <c r="AO13" i="3"/>
  <c r="AD13" i="3"/>
  <c r="S13" i="3"/>
  <c r="H13" i="3"/>
  <c r="AE12" i="3"/>
  <c r="T12" i="3"/>
  <c r="J12" i="3"/>
  <c r="AG11" i="3"/>
  <c r="W11" i="3"/>
  <c r="M11" i="3"/>
  <c r="AK10" i="3"/>
  <c r="Y10" i="3"/>
  <c r="M10" i="3"/>
  <c r="AM9" i="3"/>
  <c r="AA9" i="3"/>
  <c r="P9" i="3"/>
  <c r="F9" i="3"/>
  <c r="AB8" i="3"/>
  <c r="R8" i="3"/>
  <c r="G8" i="3"/>
  <c r="AE7" i="3"/>
  <c r="U7" i="3"/>
  <c r="I7" i="3"/>
  <c r="AC6" i="3"/>
  <c r="S6" i="3"/>
  <c r="I6" i="3"/>
  <c r="AB69" i="3"/>
  <c r="AJ68" i="3"/>
  <c r="AO67" i="3"/>
  <c r="Q67" i="3"/>
  <c r="X66" i="3"/>
  <c r="P65" i="3"/>
  <c r="Y64" i="3"/>
  <c r="AO63" i="3"/>
  <c r="P63" i="3"/>
  <c r="AC62" i="3"/>
  <c r="H62" i="3"/>
  <c r="V61" i="3"/>
  <c r="AG60" i="3"/>
  <c r="P60" i="3"/>
  <c r="AI59" i="3"/>
  <c r="M59" i="3"/>
  <c r="AD58" i="3"/>
  <c r="L58" i="3"/>
  <c r="Z57" i="3"/>
  <c r="J57" i="3"/>
  <c r="Z56" i="3"/>
  <c r="G56" i="3"/>
  <c r="Z55" i="3"/>
  <c r="AO54" i="3"/>
  <c r="T54" i="3"/>
  <c r="AL53" i="3"/>
  <c r="T53" i="3"/>
  <c r="AL52" i="3"/>
  <c r="R52" i="3"/>
  <c r="AK51" i="3"/>
  <c r="S51" i="3"/>
  <c r="AH50" i="3"/>
  <c r="Q50" i="3"/>
  <c r="AJ49" i="3"/>
  <c r="R49" i="3"/>
  <c r="AH48" i="3"/>
  <c r="R48" i="3"/>
  <c r="AH47" i="3"/>
  <c r="P47" i="3"/>
  <c r="AH46" i="3"/>
  <c r="T46" i="3"/>
  <c r="AL45" i="3"/>
  <c r="X45" i="3"/>
  <c r="H45" i="3"/>
  <c r="Z44" i="3"/>
  <c r="J44" i="3"/>
  <c r="AC43" i="3"/>
  <c r="AJ42" i="3"/>
  <c r="S42" i="3"/>
  <c r="AM41" i="3"/>
  <c r="W41" i="3"/>
  <c r="AN40" i="3"/>
  <c r="V40" i="3"/>
  <c r="AB39" i="3"/>
  <c r="L39" i="3"/>
  <c r="AF38" i="3"/>
  <c r="R38" i="3"/>
  <c r="F38" i="3"/>
  <c r="V37" i="3"/>
  <c r="J37" i="3"/>
  <c r="AE36" i="3"/>
  <c r="Q36" i="3"/>
  <c r="AL35" i="3"/>
  <c r="V35" i="3"/>
  <c r="K35" i="3"/>
  <c r="AH34" i="3"/>
  <c r="W34" i="3"/>
  <c r="I34" i="3"/>
  <c r="AD33" i="3"/>
  <c r="S33" i="3"/>
  <c r="F33" i="3"/>
  <c r="AD32" i="3"/>
  <c r="Q32" i="3"/>
  <c r="F32" i="3"/>
  <c r="O69" i="3"/>
  <c r="S68" i="3"/>
  <c r="N67" i="3"/>
  <c r="Q66" i="3"/>
  <c r="AD64" i="3"/>
  <c r="AM63" i="3"/>
  <c r="I63" i="3"/>
  <c r="Q62" i="3"/>
  <c r="T61" i="3"/>
  <c r="AB60" i="3"/>
  <c r="AN59" i="3"/>
  <c r="K59" i="3"/>
  <c r="W58" i="3"/>
  <c r="AK57" i="3"/>
  <c r="F57" i="3"/>
  <c r="Q56" i="3"/>
  <c r="AD55" i="3"/>
  <c r="AN54" i="3"/>
  <c r="O54" i="3"/>
  <c r="X53" i="3"/>
  <c r="AH52" i="3"/>
  <c r="L52" i="3"/>
  <c r="X51" i="3"/>
  <c r="AG50" i="3"/>
  <c r="L50" i="3"/>
  <c r="X49" i="3"/>
  <c r="AG48" i="3"/>
  <c r="I48" i="3"/>
  <c r="X47" i="3"/>
  <c r="AG46" i="3"/>
  <c r="N46" i="3"/>
  <c r="AB45" i="3"/>
  <c r="AN44" i="3"/>
  <c r="V44" i="3"/>
  <c r="AK43" i="3"/>
  <c r="AF42" i="3"/>
  <c r="L42" i="3"/>
  <c r="Z41" i="3"/>
  <c r="AL40" i="3"/>
  <c r="AN39" i="3"/>
  <c r="R39" i="3"/>
  <c r="AE38" i="3"/>
  <c r="N38" i="3"/>
  <c r="AC37" i="3"/>
  <c r="H37" i="3"/>
  <c r="Y36" i="3"/>
  <c r="H36" i="3"/>
  <c r="U35" i="3"/>
  <c r="AO34" i="3"/>
  <c r="Z34" i="3"/>
  <c r="H34" i="3"/>
  <c r="AA33" i="3"/>
  <c r="K33" i="3"/>
  <c r="AB32" i="3"/>
  <c r="L32" i="3"/>
  <c r="AF31" i="3"/>
  <c r="S31" i="3"/>
  <c r="AM30" i="3"/>
  <c r="X30" i="3"/>
  <c r="J30" i="3"/>
  <c r="AF29" i="3"/>
  <c r="S29" i="3"/>
  <c r="AO28" i="3"/>
  <c r="Y28" i="3"/>
  <c r="J28" i="3"/>
  <c r="AD27" i="3"/>
  <c r="P27" i="3"/>
  <c r="AM26" i="3"/>
  <c r="X26" i="3"/>
  <c r="J26" i="3"/>
  <c r="AC25" i="3"/>
  <c r="N25" i="3"/>
  <c r="AL24" i="3"/>
  <c r="V24" i="3"/>
  <c r="H24" i="3"/>
  <c r="AB23" i="3"/>
  <c r="M23" i="3"/>
  <c r="M69" i="3"/>
  <c r="R68" i="3"/>
  <c r="L67" i="3"/>
  <c r="K66" i="3"/>
  <c r="AB64" i="3"/>
  <c r="AD63" i="3"/>
  <c r="H63" i="3"/>
  <c r="N62" i="3"/>
  <c r="Q61" i="3"/>
  <c r="X60" i="3"/>
  <c r="AL59" i="3"/>
  <c r="J59" i="3"/>
  <c r="V58" i="3"/>
  <c r="AF57" i="3"/>
  <c r="AO56" i="3"/>
  <c r="P56" i="3"/>
  <c r="AB55" i="3"/>
  <c r="AJ54" i="3"/>
  <c r="N54" i="3"/>
  <c r="V53" i="3"/>
  <c r="AG52" i="3"/>
  <c r="I52" i="3"/>
  <c r="V51" i="3"/>
  <c r="AF50" i="3"/>
  <c r="I50" i="3"/>
  <c r="U49" i="3"/>
  <c r="AE48" i="3"/>
  <c r="H48" i="3"/>
  <c r="V47" i="3"/>
  <c r="AF46" i="3"/>
  <c r="J46" i="3"/>
  <c r="AA45" i="3"/>
  <c r="AM44" i="3"/>
  <c r="T44" i="3"/>
  <c r="AF43" i="3"/>
  <c r="AD42" i="3"/>
  <c r="J42" i="3"/>
  <c r="Y41" i="3"/>
  <c r="AK40" i="3"/>
  <c r="AL39" i="3"/>
  <c r="P39" i="3"/>
  <c r="AD38" i="3"/>
  <c r="J38" i="3"/>
  <c r="AB37" i="3"/>
  <c r="F37" i="3"/>
  <c r="X36" i="3"/>
  <c r="G36" i="3"/>
  <c r="T35" i="3"/>
  <c r="AN34" i="3"/>
  <c r="Y34" i="3"/>
  <c r="G34" i="3"/>
  <c r="Z33" i="3"/>
  <c r="J33" i="3"/>
  <c r="Z32" i="3"/>
  <c r="J32" i="3"/>
  <c r="AD31" i="3"/>
  <c r="N31" i="3"/>
  <c r="AL30" i="3"/>
  <c r="W30" i="3"/>
  <c r="H30" i="3"/>
  <c r="AD29" i="3"/>
  <c r="R29" i="3"/>
  <c r="AN28" i="3"/>
  <c r="W28" i="3"/>
  <c r="I28" i="3"/>
  <c r="AC27" i="3"/>
  <c r="N27" i="3"/>
  <c r="AL26" i="3"/>
  <c r="W26" i="3"/>
  <c r="H26" i="3"/>
  <c r="AA25" i="3"/>
  <c r="M25" i="3"/>
  <c r="AG24" i="3"/>
  <c r="T24" i="3"/>
  <c r="G24" i="3"/>
  <c r="AA23" i="3"/>
  <c r="L23" i="3"/>
  <c r="I69" i="3"/>
  <c r="AM67" i="3"/>
  <c r="AO66" i="3"/>
  <c r="Y65" i="3"/>
  <c r="X64" i="3"/>
  <c r="AB63" i="3"/>
  <c r="F63" i="3"/>
  <c r="F62" i="3"/>
  <c r="O61" i="3"/>
  <c r="T60" i="3"/>
  <c r="AC59" i="3"/>
  <c r="F59" i="3"/>
  <c r="T58" i="3"/>
  <c r="X57" i="3"/>
  <c r="AN56" i="3"/>
  <c r="O56" i="3"/>
  <c r="T55" i="3"/>
  <c r="AF54" i="3"/>
  <c r="L54" i="3"/>
  <c r="P53" i="3"/>
  <c r="AB52" i="3"/>
  <c r="G52" i="3"/>
  <c r="M51" i="3"/>
  <c r="AE50" i="3"/>
  <c r="F50" i="3"/>
  <c r="N49" i="3"/>
  <c r="AD48" i="3"/>
  <c r="G48" i="3"/>
  <c r="M47" i="3"/>
  <c r="AD46" i="3"/>
  <c r="I46" i="3"/>
  <c r="V45" i="3"/>
  <c r="AL44" i="3"/>
  <c r="R44" i="3"/>
  <c r="AB43" i="3"/>
  <c r="AC42" i="3"/>
  <c r="H42" i="3"/>
  <c r="Q41" i="3"/>
  <c r="AJ40" i="3"/>
  <c r="AK39" i="3"/>
  <c r="K39" i="3"/>
  <c r="Z38" i="3"/>
  <c r="I38" i="3"/>
  <c r="U37" i="3"/>
  <c r="AO36" i="3"/>
  <c r="V36" i="3"/>
  <c r="AK35" i="3"/>
  <c r="S35" i="3"/>
  <c r="AM34" i="3"/>
  <c r="T34" i="3"/>
  <c r="F34" i="3"/>
  <c r="X33" i="3"/>
  <c r="AO32" i="3"/>
  <c r="X32" i="3"/>
  <c r="I32" i="3"/>
  <c r="AA31" i="3"/>
  <c r="M31" i="3"/>
  <c r="AJ30" i="3"/>
  <c r="V30" i="3"/>
  <c r="G30" i="3"/>
  <c r="AC29" i="3"/>
  <c r="P29" i="3"/>
  <c r="AJ28" i="3"/>
  <c r="V28" i="3"/>
  <c r="H28" i="3"/>
  <c r="AA27" i="3"/>
  <c r="M27" i="3"/>
  <c r="AJ26" i="3"/>
  <c r="V26" i="3"/>
  <c r="F26" i="3"/>
  <c r="Z25" i="3"/>
  <c r="L25" i="3"/>
  <c r="AF24" i="3"/>
  <c r="R24" i="3"/>
  <c r="F24" i="3"/>
  <c r="X23" i="3"/>
  <c r="J23" i="3"/>
  <c r="G69" i="3"/>
  <c r="AJ67" i="3"/>
  <c r="AK66" i="3"/>
  <c r="V65" i="3"/>
  <c r="S64" i="3"/>
  <c r="Z63" i="3"/>
  <c r="AJ62" i="3"/>
  <c r="AL61" i="3"/>
  <c r="M61" i="3"/>
  <c r="R60" i="3"/>
  <c r="AA59" i="3"/>
  <c r="AO58" i="3"/>
  <c r="P58" i="3"/>
  <c r="V57" i="3"/>
  <c r="AG56" i="3"/>
  <c r="L56" i="3"/>
  <c r="S55" i="3"/>
  <c r="AE54" i="3"/>
  <c r="G54" i="3"/>
  <c r="N53" i="3"/>
  <c r="Z52" i="3"/>
  <c r="AN51" i="3"/>
  <c r="L51" i="3"/>
  <c r="Z50" i="3"/>
  <c r="AL49" i="3"/>
  <c r="M49" i="3"/>
  <c r="X48" i="3"/>
  <c r="AN47" i="3"/>
  <c r="L47" i="3"/>
  <c r="Z46" i="3"/>
  <c r="H46" i="3"/>
  <c r="S45" i="3"/>
  <c r="AH44" i="3"/>
  <c r="P44" i="3"/>
  <c r="X43" i="3"/>
  <c r="Z42" i="3"/>
  <c r="F42" i="3"/>
  <c r="P41" i="3"/>
  <c r="AF40" i="3"/>
  <c r="AF39" i="3"/>
  <c r="H39" i="3"/>
  <c r="Y38" i="3"/>
  <c r="H38" i="3"/>
  <c r="T37" i="3"/>
  <c r="AN36" i="3"/>
  <c r="T36" i="3"/>
  <c r="AJ35" i="3"/>
  <c r="P35" i="3"/>
  <c r="AL34" i="3"/>
  <c r="R34" i="3"/>
  <c r="AN33" i="3"/>
  <c r="U33" i="3"/>
  <c r="AN32" i="3"/>
  <c r="W32" i="3"/>
  <c r="H32" i="3"/>
  <c r="Z31" i="3"/>
  <c r="L31" i="3"/>
  <c r="AG30" i="3"/>
  <c r="R30" i="3"/>
  <c r="F30" i="3"/>
  <c r="AB29" i="3"/>
  <c r="L29" i="3"/>
  <c r="AG28" i="3"/>
  <c r="T28" i="3"/>
  <c r="G28" i="3"/>
  <c r="Z27" i="3"/>
  <c r="L27" i="3"/>
  <c r="AG26" i="3"/>
  <c r="Q26" i="3"/>
  <c r="AN25" i="3"/>
  <c r="X25" i="3"/>
  <c r="J25" i="3"/>
  <c r="AE24" i="3"/>
  <c r="Q24" i="3"/>
  <c r="AN23" i="3"/>
  <c r="U23" i="3"/>
  <c r="H23" i="3"/>
  <c r="AD22" i="3"/>
  <c r="O22" i="3"/>
  <c r="AJ21" i="3"/>
  <c r="T21" i="3"/>
  <c r="AO20" i="3"/>
  <c r="Y20" i="3"/>
  <c r="L20" i="3"/>
  <c r="AA19" i="3"/>
  <c r="N19" i="3"/>
  <c r="AJ18" i="3"/>
  <c r="T18" i="3"/>
  <c r="AO17" i="3"/>
  <c r="Y17" i="3"/>
  <c r="M17" i="3"/>
  <c r="AE16" i="3"/>
  <c r="R16" i="3"/>
  <c r="AO15" i="3"/>
  <c r="AC15" i="3"/>
  <c r="P15" i="3"/>
  <c r="AM14" i="3"/>
  <c r="Y14" i="3"/>
  <c r="L14" i="3"/>
  <c r="AK13" i="3"/>
  <c r="W13" i="3"/>
  <c r="K13" i="3"/>
  <c r="AG12" i="3"/>
  <c r="S12" i="3"/>
  <c r="G12" i="3"/>
  <c r="AD11" i="3"/>
  <c r="Q11" i="3"/>
  <c r="F11" i="3"/>
  <c r="AA10" i="3"/>
  <c r="O10" i="3"/>
  <c r="AL9" i="3"/>
  <c r="X9" i="3"/>
  <c r="M9" i="3"/>
  <c r="AJ8" i="3"/>
  <c r="U8" i="3"/>
  <c r="J8" i="3"/>
  <c r="AF7" i="3"/>
  <c r="S7" i="3"/>
  <c r="G7" i="3"/>
  <c r="Z6" i="3"/>
  <c r="M6" i="3"/>
  <c r="Q5" i="3"/>
  <c r="AF68" i="3"/>
  <c r="AG67" i="3"/>
  <c r="AI66" i="3"/>
  <c r="N65" i="3"/>
  <c r="P64" i="3"/>
  <c r="Y63" i="3"/>
  <c r="Z62" i="3"/>
  <c r="AJ61" i="3"/>
  <c r="H61" i="3"/>
  <c r="O60" i="3"/>
  <c r="X59" i="3"/>
  <c r="AL58" i="3"/>
  <c r="I58" i="3"/>
  <c r="U57" i="3"/>
  <c r="AE56" i="3"/>
  <c r="F56" i="3"/>
  <c r="R55" i="3"/>
  <c r="AD54" i="3"/>
  <c r="AK53" i="3"/>
  <c r="L53" i="3"/>
  <c r="Y52" i="3"/>
  <c r="AH51" i="3"/>
  <c r="K51" i="3"/>
  <c r="Y50" i="3"/>
  <c r="AI49" i="3"/>
  <c r="J49" i="3"/>
  <c r="W48" i="3"/>
  <c r="AF47" i="3"/>
  <c r="K47" i="3"/>
  <c r="X46" i="3"/>
  <c r="AK45" i="3"/>
  <c r="P45" i="3"/>
  <c r="AG44" i="3"/>
  <c r="I44" i="3"/>
  <c r="V43" i="3"/>
  <c r="X42" i="3"/>
  <c r="AL41" i="3"/>
  <c r="O41" i="3"/>
  <c r="AB40" i="3"/>
  <c r="Z39" i="3"/>
  <c r="F39" i="3"/>
  <c r="X38" i="3"/>
  <c r="AL37" i="3"/>
  <c r="S37" i="3"/>
  <c r="AL36" i="3"/>
  <c r="O36" i="3"/>
  <c r="AD35" i="3"/>
  <c r="N35" i="3"/>
  <c r="AG34" i="3"/>
  <c r="Q34" i="3"/>
  <c r="AL33" i="3"/>
  <c r="R33" i="3"/>
  <c r="AM32" i="3"/>
  <c r="V32" i="3"/>
  <c r="AL31" i="3"/>
  <c r="X31" i="3"/>
  <c r="K31" i="3"/>
  <c r="AF30" i="3"/>
  <c r="Q30" i="3"/>
  <c r="AN29" i="3"/>
  <c r="Z29" i="3"/>
  <c r="K29" i="3"/>
  <c r="AF28" i="3"/>
  <c r="R28" i="3"/>
  <c r="AN27" i="3"/>
  <c r="X27" i="3"/>
  <c r="K27" i="3"/>
  <c r="AD26" i="3"/>
  <c r="P26" i="3"/>
  <c r="AL25" i="3"/>
  <c r="V25" i="3"/>
  <c r="H25" i="3"/>
  <c r="AD24" i="3"/>
  <c r="P24" i="3"/>
  <c r="AJ23" i="3"/>
  <c r="T23" i="3"/>
  <c r="F23" i="3"/>
  <c r="Z22" i="3"/>
  <c r="N22" i="3"/>
  <c r="AF21" i="3"/>
  <c r="S21" i="3"/>
  <c r="AM20" i="3"/>
  <c r="X20" i="3"/>
  <c r="AO19" i="3"/>
  <c r="Y19" i="3"/>
  <c r="M19" i="3"/>
  <c r="AG18" i="3"/>
  <c r="R18" i="3"/>
  <c r="AM17" i="3"/>
  <c r="X17" i="3"/>
  <c r="I17" i="3"/>
  <c r="AC16" i="3"/>
  <c r="Q16" i="3"/>
  <c r="AN15" i="3"/>
  <c r="AA15" i="3"/>
  <c r="N15" i="3"/>
  <c r="AK14" i="3"/>
  <c r="W14" i="3"/>
  <c r="K14" i="3"/>
  <c r="AG13" i="3"/>
  <c r="V13" i="3"/>
  <c r="I13" i="3"/>
  <c r="AC12" i="3"/>
  <c r="R12" i="3"/>
  <c r="AO11" i="3"/>
  <c r="AC11" i="3"/>
  <c r="P11" i="3"/>
  <c r="AO10" i="3"/>
  <c r="Z10" i="3"/>
  <c r="L10" i="3"/>
  <c r="AK9" i="3"/>
  <c r="W9" i="3"/>
  <c r="K9" i="3"/>
  <c r="AG8" i="3"/>
  <c r="T8" i="3"/>
  <c r="I8" i="3"/>
  <c r="AD7" i="3"/>
  <c r="Q7" i="3"/>
  <c r="F7" i="3"/>
  <c r="Y6" i="3"/>
  <c r="L6" i="3"/>
  <c r="G5" i="3"/>
  <c r="AA68" i="3"/>
  <c r="AF67" i="3"/>
  <c r="AG66" i="3"/>
  <c r="L65" i="3"/>
  <c r="N64" i="3"/>
  <c r="X63" i="3"/>
  <c r="Y62" i="3"/>
  <c r="AG61" i="3"/>
  <c r="F61" i="3"/>
  <c r="N60" i="3"/>
  <c r="V59" i="3"/>
  <c r="AJ58" i="3"/>
  <c r="H58" i="3"/>
  <c r="T57" i="3"/>
  <c r="AD56" i="3"/>
  <c r="AL55" i="3"/>
  <c r="N55" i="3"/>
  <c r="AB54" i="3"/>
  <c r="AJ53" i="3"/>
  <c r="J53" i="3"/>
  <c r="X52" i="3"/>
  <c r="AF51" i="3"/>
  <c r="J51" i="3"/>
  <c r="V50" i="3"/>
  <c r="AD49" i="3"/>
  <c r="H49" i="3"/>
  <c r="V48" i="3"/>
  <c r="AC47" i="3"/>
  <c r="H47" i="3"/>
  <c r="W46" i="3"/>
  <c r="AJ45" i="3"/>
  <c r="N45" i="3"/>
  <c r="AF44" i="3"/>
  <c r="H44" i="3"/>
  <c r="U43" i="3"/>
  <c r="U42" i="3"/>
  <c r="AF41" i="3"/>
  <c r="N41" i="3"/>
  <c r="AA40" i="3"/>
  <c r="X39" i="3"/>
  <c r="AN38" i="3"/>
  <c r="V38" i="3"/>
  <c r="AJ37" i="3"/>
  <c r="R37" i="3"/>
  <c r="AG36" i="3"/>
  <c r="N36" i="3"/>
  <c r="AC35" i="3"/>
  <c r="M35" i="3"/>
  <c r="AE34" i="3"/>
  <c r="P34" i="3"/>
  <c r="AK33" i="3"/>
  <c r="P33" i="3"/>
  <c r="AJ32" i="3"/>
  <c r="T32" i="3"/>
  <c r="AK31" i="3"/>
  <c r="V31" i="3"/>
  <c r="J31" i="3"/>
  <c r="AD30" i="3"/>
  <c r="P30" i="3"/>
  <c r="AK29" i="3"/>
  <c r="V29" i="3"/>
  <c r="J29" i="3"/>
  <c r="AE28" i="3"/>
  <c r="Q28" i="3"/>
  <c r="AL27" i="3"/>
  <c r="V27" i="3"/>
  <c r="H27" i="3"/>
  <c r="AB26" i="3"/>
  <c r="O26" i="3"/>
  <c r="AK25" i="3"/>
  <c r="T25" i="3"/>
  <c r="F25" i="3"/>
  <c r="AB24" i="3"/>
  <c r="L24" i="3"/>
  <c r="AF23" i="3"/>
  <c r="S23" i="3"/>
  <c r="Q6" i="3"/>
  <c r="AG6" i="3"/>
  <c r="P7" i="3"/>
  <c r="AK7" i="3"/>
  <c r="O8" i="3"/>
  <c r="AE8" i="3"/>
  <c r="O9" i="3"/>
  <c r="AE9" i="3"/>
  <c r="K10" i="3"/>
  <c r="AC10" i="3"/>
  <c r="K11" i="3"/>
  <c r="AA11" i="3"/>
  <c r="K12" i="3"/>
  <c r="Z12" i="3"/>
  <c r="G13" i="3"/>
  <c r="Y13" i="3"/>
  <c r="G14" i="3"/>
  <c r="U14" i="3"/>
  <c r="G15" i="3"/>
  <c r="V15" i="3"/>
  <c r="AM15" i="3"/>
  <c r="T16" i="3"/>
  <c r="F17" i="3"/>
  <c r="W17" i="3"/>
  <c r="J18" i="3"/>
  <c r="Z18" i="3"/>
  <c r="K19" i="3"/>
  <c r="AE19" i="3"/>
  <c r="R20" i="3"/>
  <c r="AL20" i="3"/>
  <c r="V21" i="3"/>
  <c r="H22" i="3"/>
  <c r="Y22" i="3"/>
  <c r="R23" i="3"/>
  <c r="AO24" i="3"/>
  <c r="Z26" i="3"/>
  <c r="O28" i="3"/>
  <c r="AJ29" i="3"/>
  <c r="U31" i="3"/>
  <c r="N33" i="3"/>
  <c r="J35" i="3"/>
  <c r="P37" i="3"/>
  <c r="V39" i="3"/>
  <c r="R42" i="3"/>
  <c r="M45" i="3"/>
  <c r="AB47" i="3"/>
  <c r="O50" i="3"/>
  <c r="H53" i="3"/>
  <c r="AI55" i="3"/>
  <c r="Z58" i="3"/>
  <c r="AF61" i="3"/>
  <c r="H65" i="3"/>
  <c r="X69" i="3"/>
  <c r="V5" i="3"/>
  <c r="R6" i="3"/>
  <c r="AM6" i="3"/>
  <c r="V7" i="3"/>
  <c r="AL7" i="3"/>
  <c r="Q8" i="3"/>
  <c r="AK8" i="3"/>
  <c r="Q9" i="3"/>
  <c r="AF9" i="3"/>
  <c r="Q10" i="3"/>
  <c r="AE10" i="3"/>
  <c r="N11" i="3"/>
  <c r="AE11" i="3"/>
  <c r="L12" i="3"/>
  <c r="AA12" i="3"/>
  <c r="M13" i="3"/>
  <c r="AA13" i="3"/>
  <c r="I14" i="3"/>
  <c r="Z14" i="3"/>
  <c r="H15" i="3"/>
  <c r="W15" i="3"/>
  <c r="G16" i="3"/>
  <c r="U16" i="3"/>
  <c r="G17" i="3"/>
  <c r="AC17" i="3"/>
  <c r="K18" i="3"/>
  <c r="AA18" i="3"/>
  <c r="O19" i="3"/>
  <c r="AG19" i="3"/>
  <c r="V20" i="3"/>
  <c r="H21" i="3"/>
  <c r="X21" i="3"/>
  <c r="J22" i="3"/>
  <c r="AE22" i="3"/>
  <c r="AC23" i="3"/>
  <c r="R25" i="3"/>
  <c r="AN26" i="3"/>
  <c r="AB28" i="3"/>
  <c r="L30" i="3"/>
  <c r="AI31" i="3"/>
  <c r="AB33" i="3"/>
  <c r="Z35" i="3"/>
  <c r="AD37" i="3"/>
  <c r="S40" i="3"/>
  <c r="R43" i="3"/>
  <c r="AD45" i="3"/>
  <c r="J48" i="3"/>
  <c r="F51" i="3"/>
  <c r="AC53" i="3"/>
  <c r="T56" i="3"/>
  <c r="S59" i="3"/>
  <c r="R62" i="3"/>
  <c r="R66" i="3"/>
  <c r="AA5" i="3"/>
  <c r="T6" i="3"/>
  <c r="AO6" i="3"/>
  <c r="W7" i="3"/>
  <c r="AM7" i="3"/>
  <c r="S8" i="3"/>
  <c r="AM8" i="3"/>
  <c r="S9" i="3"/>
  <c r="AG9" i="3"/>
  <c r="R10" i="3"/>
  <c r="AG10" i="3"/>
  <c r="O11" i="3"/>
  <c r="AF11" i="3"/>
  <c r="M12" i="3"/>
  <c r="AB12" i="3"/>
  <c r="N13" i="3"/>
  <c r="AC13" i="3"/>
  <c r="J14" i="3"/>
  <c r="AB14" i="3"/>
  <c r="I15" i="3"/>
  <c r="X15" i="3"/>
  <c r="I16" i="3"/>
  <c r="Z16" i="3"/>
  <c r="H17" i="3"/>
  <c r="AD17" i="3"/>
  <c r="L18" i="3"/>
  <c r="AE18" i="3"/>
  <c r="P19" i="3"/>
  <c r="AK19" i="3"/>
  <c r="W20" i="3"/>
  <c r="J21" i="3"/>
  <c r="Z21" i="3"/>
  <c r="L22" i="3"/>
  <c r="AF22" i="3"/>
  <c r="AD23" i="3"/>
  <c r="S25" i="3"/>
  <c r="AO26" i="3"/>
  <c r="AD28" i="3"/>
  <c r="N30" i="3"/>
  <c r="AJ31" i="3"/>
  <c r="AC33" i="3"/>
  <c r="AA35" i="3"/>
  <c r="AF37" i="3"/>
  <c r="U40" i="3"/>
  <c r="S43" i="3"/>
  <c r="AH45" i="3"/>
  <c r="N48" i="3"/>
  <c r="H51" i="3"/>
  <c r="AF53" i="3"/>
  <c r="X56" i="3"/>
  <c r="U59" i="3"/>
  <c r="V62" i="3"/>
  <c r="S66" i="3"/>
  <c r="AK5" i="3"/>
  <c r="U6" i="3"/>
  <c r="H7" i="3"/>
  <c r="X7" i="3"/>
  <c r="AN7" i="3"/>
  <c r="W8" i="3"/>
  <c r="AO8" i="3"/>
  <c r="U9" i="3"/>
  <c r="AN9" i="3"/>
  <c r="S10" i="3"/>
  <c r="AJ10" i="3"/>
  <c r="S11" i="3"/>
  <c r="AK11" i="3"/>
  <c r="O12" i="3"/>
  <c r="AJ12" i="3"/>
  <c r="O13" i="3"/>
  <c r="AE13" i="3"/>
  <c r="M14" i="3"/>
  <c r="AC14" i="3"/>
  <c r="K15" i="3"/>
  <c r="AD15" i="3"/>
  <c r="J16" i="3"/>
  <c r="AA16" i="3"/>
  <c r="N17" i="3"/>
  <c r="AE17" i="3"/>
  <c r="M18" i="3"/>
  <c r="AK18" i="3"/>
  <c r="S19" i="3"/>
  <c r="AL19" i="3"/>
  <c r="AB20" i="3"/>
  <c r="K21" i="3"/>
  <c r="AA21" i="3"/>
  <c r="P22" i="3"/>
  <c r="AJ22" i="3"/>
  <c r="I24" i="3"/>
  <c r="AD25" i="3"/>
  <c r="S27" i="3"/>
  <c r="F29" i="3"/>
  <c r="Y30" i="3"/>
  <c r="N32" i="3"/>
  <c r="N34" i="3"/>
  <c r="I36" i="3"/>
  <c r="O38" i="3"/>
  <c r="J41" i="3"/>
  <c r="AL43" i="3"/>
  <c r="O46" i="3"/>
  <c r="AM48" i="3"/>
  <c r="AA51" i="3"/>
  <c r="Q54" i="3"/>
  <c r="L57" i="3"/>
  <c r="F60" i="3"/>
  <c r="L63" i="3"/>
  <c r="V67" i="3"/>
  <c r="G6" i="3"/>
  <c r="W6" i="3"/>
  <c r="K7" i="3"/>
  <c r="Y7" i="3"/>
  <c r="AO7" i="3"/>
  <c r="Y8" i="3"/>
  <c r="G9" i="3"/>
  <c r="V9" i="3"/>
  <c r="AO9" i="3"/>
  <c r="T10" i="3"/>
  <c r="AM10" i="3"/>
  <c r="U11" i="3"/>
  <c r="AL11" i="3"/>
  <c r="Q12" i="3"/>
  <c r="AK12" i="3"/>
  <c r="P13" i="3"/>
  <c r="AF13" i="3"/>
  <c r="O14" i="3"/>
  <c r="AE14" i="3"/>
  <c r="M15" i="3"/>
  <c r="AE15" i="3"/>
  <c r="K16" i="3"/>
  <c r="AB16" i="3"/>
  <c r="P17" i="3"/>
  <c r="AG17" i="3"/>
  <c r="O18" i="3"/>
  <c r="AM18" i="3"/>
  <c r="V19" i="3"/>
  <c r="AM19" i="3"/>
  <c r="AD20" i="3"/>
  <c r="L21" i="3"/>
  <c r="AD21" i="3"/>
  <c r="R22" i="3"/>
  <c r="AL22" i="3"/>
  <c r="J24" i="3"/>
  <c r="AJ25" i="3"/>
  <c r="T27" i="3"/>
  <c r="H29" i="3"/>
  <c r="AB30" i="3"/>
  <c r="P32" i="3"/>
  <c r="O34" i="3"/>
  <c r="L36" i="3"/>
  <c r="Q38" i="3"/>
  <c r="L41" i="3"/>
  <c r="G44" i="3"/>
  <c r="P46" i="3"/>
  <c r="F49" i="3"/>
  <c r="AB51" i="3"/>
  <c r="R54" i="3"/>
  <c r="M57" i="3"/>
  <c r="G60" i="3"/>
  <c r="N63" i="3"/>
  <c r="W67" i="3"/>
  <c r="J6" i="3"/>
  <c r="AA6" i="3"/>
  <c r="M7" i="3"/>
  <c r="AA7" i="3"/>
  <c r="K8" i="3"/>
  <c r="Z8" i="3"/>
  <c r="H9" i="3"/>
  <c r="Y9" i="3"/>
  <c r="G10" i="3"/>
  <c r="U10" i="3"/>
  <c r="G11" i="3"/>
  <c r="V11" i="3"/>
  <c r="AM11" i="3"/>
  <c r="U12" i="3"/>
  <c r="AM12" i="3"/>
  <c r="Q13" i="3"/>
  <c r="AL13" i="3"/>
  <c r="R14" i="3"/>
  <c r="AG14" i="3"/>
  <c r="Q15" i="3"/>
  <c r="AF15" i="3"/>
  <c r="M16" i="3"/>
  <c r="AG16" i="3"/>
  <c r="Q17" i="3"/>
  <c r="AK17" i="3"/>
  <c r="U18" i="3"/>
  <c r="AO18" i="3"/>
  <c r="W19" i="3"/>
  <c r="N20" i="3"/>
  <c r="AF20" i="3"/>
  <c r="M21" i="3"/>
  <c r="AL21" i="3"/>
  <c r="T22" i="3"/>
  <c r="AM22" i="3"/>
  <c r="W24" i="3"/>
  <c r="L26" i="3"/>
  <c r="AF27" i="3"/>
  <c r="T29" i="3"/>
  <c r="AO30" i="3"/>
  <c r="AF32" i="3"/>
  <c r="AB34" i="3"/>
  <c r="AB36" i="3"/>
  <c r="AL38" i="3"/>
  <c r="AB41" i="3"/>
  <c r="W44" i="3"/>
  <c r="AL46" i="3"/>
  <c r="Z49" i="3"/>
  <c r="N52" i="3"/>
  <c r="J55" i="3"/>
  <c r="AL57" i="3"/>
  <c r="AD60" i="3"/>
  <c r="H64" i="3"/>
  <c r="T68" i="3"/>
  <c r="S15" i="4"/>
  <c r="T15" i="4"/>
  <c r="H15" i="4"/>
  <c r="P14" i="4"/>
  <c r="X13" i="4"/>
  <c r="L13" i="4"/>
  <c r="T12" i="4"/>
  <c r="J12" i="4"/>
  <c r="P11" i="4"/>
  <c r="X10" i="4"/>
  <c r="N10" i="4"/>
  <c r="T9" i="4"/>
  <c r="J9" i="4"/>
  <c r="R8" i="4"/>
  <c r="X7" i="4"/>
  <c r="N7" i="4"/>
  <c r="V6" i="4"/>
  <c r="J6" i="4"/>
  <c r="R5" i="4"/>
  <c r="H5" i="4"/>
  <c r="Q15" i="4"/>
  <c r="X14" i="4"/>
  <c r="K14" i="4"/>
  <c r="R13" i="4"/>
  <c r="W12" i="4"/>
  <c r="L12" i="4"/>
  <c r="Q11" i="4"/>
  <c r="W10" i="4"/>
  <c r="J10" i="4"/>
  <c r="Q9" i="4"/>
  <c r="V8" i="4"/>
  <c r="K8" i="4"/>
  <c r="P7" i="4"/>
  <c r="W6" i="4"/>
  <c r="I6" i="4"/>
  <c r="P5" i="4"/>
  <c r="M15" i="4"/>
  <c r="Q14" i="4"/>
  <c r="T13" i="4"/>
  <c r="H13" i="4"/>
  <c r="K12" i="4"/>
  <c r="N11" i="4"/>
  <c r="R10" i="4"/>
  <c r="X9" i="4"/>
  <c r="I9" i="4"/>
  <c r="M8" i="4"/>
  <c r="Q7" i="4"/>
  <c r="S6" i="4"/>
  <c r="G6" i="4"/>
  <c r="K5" i="4"/>
  <c r="X15" i="4"/>
  <c r="I15" i="4"/>
  <c r="J14" i="4"/>
  <c r="M13" i="4"/>
  <c r="O12" i="4"/>
  <c r="T11" i="4"/>
  <c r="S10" i="4"/>
  <c r="U9" i="4"/>
  <c r="W8" i="4"/>
  <c r="G8" i="4"/>
  <c r="I7" i="4"/>
  <c r="N6" i="4"/>
  <c r="M5" i="4"/>
  <c r="W15" i="4"/>
  <c r="W14" i="4"/>
  <c r="G14" i="4"/>
  <c r="V12" i="4"/>
  <c r="W11" i="4"/>
  <c r="G11" i="4"/>
  <c r="G10" i="4"/>
  <c r="U8" i="4"/>
  <c r="V7" i="4"/>
  <c r="X6" i="4"/>
  <c r="U5" i="4"/>
  <c r="V15" i="4"/>
  <c r="V14" i="4"/>
  <c r="U13" i="4"/>
  <c r="U12" i="4"/>
  <c r="V11" i="4"/>
  <c r="V10" i="4"/>
  <c r="S9" i="4"/>
  <c r="T8" i="4"/>
  <c r="U7" i="4"/>
  <c r="R6" i="4"/>
  <c r="T5" i="4"/>
  <c r="K6" i="4"/>
  <c r="O7" i="4"/>
  <c r="H9" i="4"/>
  <c r="K10" i="4"/>
  <c r="O11" i="4"/>
  <c r="I13" i="4"/>
  <c r="N14" i="4"/>
  <c r="P15" i="4"/>
  <c r="I5" i="4"/>
  <c r="O6" i="4"/>
  <c r="T7" i="4"/>
  <c r="K9" i="4"/>
  <c r="O10" i="4"/>
  <c r="U11" i="4"/>
  <c r="J13" i="4"/>
  <c r="O14" i="4"/>
  <c r="U15" i="4"/>
  <c r="J5" i="4"/>
  <c r="P6" i="4"/>
  <c r="W7" i="4"/>
  <c r="L9" i="4"/>
  <c r="P10" i="4"/>
  <c r="X11" i="4"/>
  <c r="K13" i="4"/>
  <c r="R14" i="4"/>
  <c r="L5" i="4"/>
  <c r="Q6" i="4"/>
  <c r="J8" i="4"/>
  <c r="M9" i="4"/>
  <c r="Q10" i="4"/>
  <c r="G12" i="4"/>
  <c r="P13" i="4"/>
  <c r="S14" i="4"/>
  <c r="Q5" i="4"/>
  <c r="G7" i="4"/>
  <c r="L8" i="4"/>
  <c r="P9" i="4"/>
  <c r="H11" i="4"/>
  <c r="M12" i="4"/>
  <c r="Q13" i="4"/>
  <c r="G15" i="4"/>
  <c r="S5" i="4"/>
  <c r="H7" i="4"/>
  <c r="N8" i="4"/>
  <c r="R9" i="4"/>
  <c r="I11" i="4"/>
  <c r="N12" i="4"/>
  <c r="S13" i="4"/>
  <c r="L15" i="4"/>
  <c r="AN56" i="6"/>
  <c r="AN58" i="6"/>
  <c r="AJ58" i="6"/>
  <c r="AJ56" i="6"/>
  <c r="T56" i="5"/>
  <c r="ER39" i="5"/>
  <c r="T58" i="5"/>
  <c r="GG39" i="5"/>
  <c r="GY51" i="5"/>
  <c r="GY52" i="5" s="1"/>
  <c r="ER27" i="5"/>
  <c r="AQ58" i="5"/>
  <c r="AQ56" i="5"/>
  <c r="EN59" i="5"/>
  <c r="EN52" i="5"/>
  <c r="CA58" i="5"/>
  <c r="GY39" i="6"/>
  <c r="BQ18" i="6"/>
  <c r="ER18" i="6"/>
  <c r="G56" i="7"/>
  <c r="AA69" i="3"/>
  <c r="S69" i="3"/>
  <c r="K69" i="3"/>
  <c r="AM68" i="3"/>
  <c r="AE68" i="3"/>
  <c r="W68" i="3"/>
  <c r="O68" i="3"/>
  <c r="G68" i="3"/>
  <c r="AI67" i="3"/>
  <c r="AA67" i="3"/>
  <c r="S67" i="3"/>
  <c r="K67" i="3"/>
  <c r="AM66" i="3"/>
  <c r="AE66" i="3"/>
  <c r="W66" i="3"/>
  <c r="O66" i="3"/>
  <c r="G66" i="3"/>
  <c r="AA65" i="3"/>
  <c r="S65" i="3"/>
  <c r="K65" i="3"/>
  <c r="AE64" i="3"/>
  <c r="W64" i="3"/>
  <c r="O64" i="3"/>
  <c r="G64" i="3"/>
  <c r="AA63" i="3"/>
  <c r="S63" i="3"/>
  <c r="K63" i="3"/>
  <c r="AM62" i="3"/>
  <c r="AE62" i="3"/>
  <c r="W62" i="3"/>
  <c r="O62" i="3"/>
  <c r="G62" i="3"/>
  <c r="AA61" i="3"/>
  <c r="S61" i="3"/>
  <c r="K61" i="3"/>
  <c r="AM60" i="3"/>
  <c r="AE60" i="3"/>
  <c r="Z69" i="3"/>
  <c r="R69" i="3"/>
  <c r="J69" i="3"/>
  <c r="AL68" i="3"/>
  <c r="AD68" i="3"/>
  <c r="V68" i="3"/>
  <c r="N68" i="3"/>
  <c r="F68" i="3"/>
  <c r="AH67" i="3"/>
  <c r="Z67" i="3"/>
  <c r="R67" i="3"/>
  <c r="J67" i="3"/>
  <c r="AL66" i="3"/>
  <c r="AD66" i="3"/>
  <c r="V66" i="3"/>
  <c r="N66" i="3"/>
  <c r="F66" i="3"/>
  <c r="Z65" i="3"/>
  <c r="R65" i="3"/>
  <c r="J65" i="3"/>
  <c r="AD69" i="3"/>
  <c r="T69" i="3"/>
  <c r="H69" i="3"/>
  <c r="AH68" i="3"/>
  <c r="X68" i="3"/>
  <c r="L68" i="3"/>
  <c r="AL67" i="3"/>
  <c r="AB67" i="3"/>
  <c r="P67" i="3"/>
  <c r="F67" i="3"/>
  <c r="AF66" i="3"/>
  <c r="T66" i="3"/>
  <c r="J66" i="3"/>
  <c r="X65" i="3"/>
  <c r="F6" i="3"/>
  <c r="N6" i="3"/>
  <c r="V6" i="3"/>
  <c r="AD6" i="3"/>
  <c r="AL6" i="3"/>
  <c r="J7" i="3"/>
  <c r="R7" i="3"/>
  <c r="Z7" i="3"/>
  <c r="F8" i="3"/>
  <c r="N8" i="3"/>
  <c r="V8" i="3"/>
  <c r="AD8" i="3"/>
  <c r="AL8" i="3"/>
  <c r="J9" i="3"/>
  <c r="R9" i="3"/>
  <c r="Z9" i="3"/>
  <c r="F10" i="3"/>
  <c r="N10" i="3"/>
  <c r="V10" i="3"/>
  <c r="AD10" i="3"/>
  <c r="AL10" i="3"/>
  <c r="J11" i="3"/>
  <c r="R11" i="3"/>
  <c r="Z11" i="3"/>
  <c r="F12" i="3"/>
  <c r="N12" i="3"/>
  <c r="V12" i="3"/>
  <c r="AD12" i="3"/>
  <c r="AL12" i="3"/>
  <c r="J13" i="3"/>
  <c r="R13" i="3"/>
  <c r="Z13" i="3"/>
  <c r="F14" i="3"/>
  <c r="N14" i="3"/>
  <c r="V14" i="3"/>
  <c r="AD14" i="3"/>
  <c r="AL14" i="3"/>
  <c r="J15" i="3"/>
  <c r="R15" i="3"/>
  <c r="Z15" i="3"/>
  <c r="F16" i="3"/>
  <c r="N16" i="3"/>
  <c r="V16" i="3"/>
  <c r="AD16" i="3"/>
  <c r="AL16" i="3"/>
  <c r="J17" i="3"/>
  <c r="R17" i="3"/>
  <c r="Z17" i="3"/>
  <c r="F18" i="3"/>
  <c r="N18" i="3"/>
  <c r="V18" i="3"/>
  <c r="AD18" i="3"/>
  <c r="AL18" i="3"/>
  <c r="J19" i="3"/>
  <c r="R19" i="3"/>
  <c r="Z19" i="3"/>
  <c r="K20" i="3"/>
  <c r="S20" i="3"/>
  <c r="AA20" i="3"/>
  <c r="G21" i="3"/>
  <c r="O21" i="3"/>
  <c r="W21" i="3"/>
  <c r="AE21" i="3"/>
  <c r="AM21" i="3"/>
  <c r="K22" i="3"/>
  <c r="S22" i="3"/>
  <c r="AA22" i="3"/>
  <c r="AI22" i="3"/>
  <c r="G23" i="3"/>
  <c r="O23" i="3"/>
  <c r="W23" i="3"/>
  <c r="AE23" i="3"/>
  <c r="AM23" i="3"/>
  <c r="K24" i="3"/>
  <c r="S24" i="3"/>
  <c r="AA24" i="3"/>
  <c r="G25" i="3"/>
  <c r="O25" i="3"/>
  <c r="W25" i="3"/>
  <c r="AE25" i="3"/>
  <c r="AM25" i="3"/>
  <c r="K26" i="3"/>
  <c r="S26" i="3"/>
  <c r="AA26" i="3"/>
  <c r="G27" i="3"/>
  <c r="O27" i="3"/>
  <c r="W27" i="3"/>
  <c r="AE27" i="3"/>
  <c r="AM27" i="3"/>
  <c r="K28" i="3"/>
  <c r="S28" i="3"/>
  <c r="AA28" i="3"/>
  <c r="G29" i="3"/>
  <c r="O29" i="3"/>
  <c r="W29" i="3"/>
  <c r="AE29" i="3"/>
  <c r="AM29" i="3"/>
  <c r="K30" i="3"/>
  <c r="S30" i="3"/>
  <c r="AA30" i="3"/>
  <c r="G31" i="3"/>
  <c r="O31" i="3"/>
  <c r="W31" i="3"/>
  <c r="AE31" i="3"/>
  <c r="AM31" i="3"/>
  <c r="K32" i="3"/>
  <c r="S32" i="3"/>
  <c r="AA32" i="3"/>
  <c r="AI32" i="3"/>
  <c r="G33" i="3"/>
  <c r="O33" i="3"/>
  <c r="W33" i="3"/>
  <c r="AE33" i="3"/>
  <c r="AM33" i="3"/>
  <c r="K34" i="3"/>
  <c r="S34" i="3"/>
  <c r="AA34" i="3"/>
  <c r="G35" i="3"/>
  <c r="O35" i="3"/>
  <c r="W35" i="3"/>
  <c r="AE35" i="3"/>
  <c r="AM35" i="3"/>
  <c r="K36" i="3"/>
  <c r="S36" i="3"/>
  <c r="AA36" i="3"/>
  <c r="AI36" i="3"/>
  <c r="G37" i="3"/>
  <c r="O37" i="3"/>
  <c r="W37" i="3"/>
  <c r="AE37" i="3"/>
  <c r="AM37" i="3"/>
  <c r="K38" i="3"/>
  <c r="S38" i="3"/>
  <c r="AA38" i="3"/>
  <c r="G39" i="3"/>
  <c r="O39" i="3"/>
  <c r="W39" i="3"/>
  <c r="AE39" i="3"/>
  <c r="AM39" i="3"/>
  <c r="W40" i="3"/>
  <c r="AE40" i="3"/>
  <c r="AM40" i="3"/>
  <c r="K41" i="3"/>
  <c r="S41" i="3"/>
  <c r="AA41" i="3"/>
  <c r="G42" i="3"/>
  <c r="O42" i="3"/>
  <c r="W42" i="3"/>
  <c r="AE42" i="3"/>
  <c r="AM42" i="3"/>
  <c r="W43" i="3"/>
  <c r="AE43" i="3"/>
  <c r="AM43" i="3"/>
  <c r="K44" i="3"/>
  <c r="S44" i="3"/>
  <c r="AA44" i="3"/>
  <c r="AI44" i="3"/>
  <c r="G45" i="3"/>
  <c r="O45" i="3"/>
  <c r="W45" i="3"/>
  <c r="AE45" i="3"/>
  <c r="AM45" i="3"/>
  <c r="K46" i="3"/>
  <c r="S46" i="3"/>
  <c r="AA46" i="3"/>
  <c r="AI46" i="3"/>
  <c r="G47" i="3"/>
  <c r="O47" i="3"/>
  <c r="W47" i="3"/>
  <c r="AE47" i="3"/>
  <c r="AM47" i="3"/>
  <c r="K48" i="3"/>
  <c r="S48" i="3"/>
  <c r="AA48" i="3"/>
  <c r="AI48" i="3"/>
  <c r="G49" i="3"/>
  <c r="O49" i="3"/>
  <c r="W49" i="3"/>
  <c r="AE49" i="3"/>
  <c r="AM49" i="3"/>
  <c r="K50" i="3"/>
  <c r="S50" i="3"/>
  <c r="AA50" i="3"/>
  <c r="AI50" i="3"/>
  <c r="G51" i="3"/>
  <c r="O51" i="3"/>
  <c r="W51" i="3"/>
  <c r="AE51" i="3"/>
  <c r="AM51" i="3"/>
  <c r="K52" i="3"/>
  <c r="S52" i="3"/>
  <c r="AA52" i="3"/>
  <c r="AI52" i="3"/>
  <c r="G53" i="3"/>
  <c r="O53" i="3"/>
  <c r="W53" i="3"/>
  <c r="AE53" i="3"/>
  <c r="AM53" i="3"/>
  <c r="K54" i="3"/>
  <c r="S54" i="3"/>
  <c r="AA54" i="3"/>
  <c r="G55" i="3"/>
  <c r="O55" i="3"/>
  <c r="W55" i="3"/>
  <c r="AE55" i="3"/>
  <c r="AM55" i="3"/>
  <c r="K56" i="3"/>
  <c r="S56" i="3"/>
  <c r="AA56" i="3"/>
  <c r="G57" i="3"/>
  <c r="O57" i="3"/>
  <c r="W57" i="3"/>
  <c r="AE57" i="3"/>
  <c r="AM57" i="3"/>
  <c r="K58" i="3"/>
  <c r="S58" i="3"/>
  <c r="AA58" i="3"/>
  <c r="G59" i="3"/>
  <c r="O59" i="3"/>
  <c r="W59" i="3"/>
  <c r="AE59" i="3"/>
  <c r="AM59" i="3"/>
  <c r="K60" i="3"/>
  <c r="S60" i="3"/>
  <c r="AA60" i="3"/>
  <c r="AJ60" i="3"/>
  <c r="I61" i="3"/>
  <c r="R61" i="3"/>
  <c r="AB61" i="3"/>
  <c r="AK61" i="3"/>
  <c r="J62" i="3"/>
  <c r="S62" i="3"/>
  <c r="AB62" i="3"/>
  <c r="AK62" i="3"/>
  <c r="J63" i="3"/>
  <c r="T63" i="3"/>
  <c r="AC63" i="3"/>
  <c r="AL63" i="3"/>
  <c r="K64" i="3"/>
  <c r="T64" i="3"/>
  <c r="AC64" i="3"/>
  <c r="AL64" i="3"/>
  <c r="M65" i="3"/>
  <c r="W65" i="3"/>
  <c r="L66" i="3"/>
  <c r="Y66" i="3"/>
  <c r="AJ66" i="3"/>
  <c r="M67" i="3"/>
  <c r="X67" i="3"/>
  <c r="AK67" i="3"/>
  <c r="M68" i="3"/>
  <c r="Z68" i="3"/>
  <c r="AK68" i="3"/>
  <c r="N69" i="3"/>
  <c r="Y69" i="3"/>
  <c r="AL69" i="3"/>
  <c r="GG16" i="5"/>
  <c r="ER20" i="5"/>
  <c r="AN57" i="5"/>
  <c r="EY56" i="5"/>
  <c r="CL39" i="6"/>
  <c r="BR56" i="6"/>
  <c r="ER46" i="6"/>
  <c r="BQ46" i="6"/>
  <c r="D56" i="7"/>
  <c r="D58" i="7"/>
  <c r="AJ58" i="8"/>
  <c r="AJ56" i="8"/>
  <c r="S58" i="5"/>
  <c r="ER34" i="6"/>
  <c r="ER59" i="7"/>
  <c r="L5" i="3"/>
  <c r="H6" i="3"/>
  <c r="P6" i="3"/>
  <c r="X6" i="3"/>
  <c r="AF6" i="3"/>
  <c r="AN6" i="3"/>
  <c r="L7" i="3"/>
  <c r="T7" i="3"/>
  <c r="AB7" i="3"/>
  <c r="AJ7" i="3"/>
  <c r="H8" i="3"/>
  <c r="P8" i="3"/>
  <c r="X8" i="3"/>
  <c r="AF8" i="3"/>
  <c r="AN8" i="3"/>
  <c r="L9" i="3"/>
  <c r="T9" i="3"/>
  <c r="AB9" i="3"/>
  <c r="AJ9" i="3"/>
  <c r="H10" i="3"/>
  <c r="P10" i="3"/>
  <c r="X10" i="3"/>
  <c r="AF10" i="3"/>
  <c r="AN10" i="3"/>
  <c r="L11" i="3"/>
  <c r="T11" i="3"/>
  <c r="AB11" i="3"/>
  <c r="AJ11" i="3"/>
  <c r="H12" i="3"/>
  <c r="P12" i="3"/>
  <c r="X12" i="3"/>
  <c r="AF12" i="3"/>
  <c r="AN12" i="3"/>
  <c r="L13" i="3"/>
  <c r="T13" i="3"/>
  <c r="AB13" i="3"/>
  <c r="AJ13" i="3"/>
  <c r="H14" i="3"/>
  <c r="P14" i="3"/>
  <c r="X14" i="3"/>
  <c r="AF14" i="3"/>
  <c r="AN14" i="3"/>
  <c r="L15" i="3"/>
  <c r="T15" i="3"/>
  <c r="AB15" i="3"/>
  <c r="AJ15" i="3"/>
  <c r="H16" i="3"/>
  <c r="P16" i="3"/>
  <c r="X16" i="3"/>
  <c r="AF16" i="3"/>
  <c r="AN16" i="3"/>
  <c r="L17" i="3"/>
  <c r="T17" i="3"/>
  <c r="AB17" i="3"/>
  <c r="AJ17" i="3"/>
  <c r="H18" i="3"/>
  <c r="P18" i="3"/>
  <c r="X18" i="3"/>
  <c r="AF18" i="3"/>
  <c r="AN18" i="3"/>
  <c r="L19" i="3"/>
  <c r="T19" i="3"/>
  <c r="AB19" i="3"/>
  <c r="AJ19" i="3"/>
  <c r="M20" i="3"/>
  <c r="U20" i="3"/>
  <c r="AC20" i="3"/>
  <c r="AK20" i="3"/>
  <c r="I21" i="3"/>
  <c r="Q21" i="3"/>
  <c r="Y21" i="3"/>
  <c r="AG21" i="3"/>
  <c r="AO21" i="3"/>
  <c r="M22" i="3"/>
  <c r="U22" i="3"/>
  <c r="AC22" i="3"/>
  <c r="AK22" i="3"/>
  <c r="I23" i="3"/>
  <c r="Q23" i="3"/>
  <c r="Y23" i="3"/>
  <c r="AG23" i="3"/>
  <c r="AO23" i="3"/>
  <c r="M24" i="3"/>
  <c r="U24" i="3"/>
  <c r="AC24" i="3"/>
  <c r="AK24" i="3"/>
  <c r="I25" i="3"/>
  <c r="Q25" i="3"/>
  <c r="Y25" i="3"/>
  <c r="AG25" i="3"/>
  <c r="AO25" i="3"/>
  <c r="M26" i="3"/>
  <c r="U26" i="3"/>
  <c r="AC26" i="3"/>
  <c r="AK26" i="3"/>
  <c r="I27" i="3"/>
  <c r="Q27" i="3"/>
  <c r="Y27" i="3"/>
  <c r="AG27" i="3"/>
  <c r="AO27" i="3"/>
  <c r="M28" i="3"/>
  <c r="U28" i="3"/>
  <c r="AC28" i="3"/>
  <c r="AK28" i="3"/>
  <c r="I29" i="3"/>
  <c r="Q29" i="3"/>
  <c r="Y29" i="3"/>
  <c r="AG29" i="3"/>
  <c r="AO29" i="3"/>
  <c r="M30" i="3"/>
  <c r="U30" i="3"/>
  <c r="AC30" i="3"/>
  <c r="AK30" i="3"/>
  <c r="I31" i="3"/>
  <c r="Q31" i="3"/>
  <c r="Y31" i="3"/>
  <c r="AG31" i="3"/>
  <c r="AO31" i="3"/>
  <c r="M32" i="3"/>
  <c r="U32" i="3"/>
  <c r="AC32" i="3"/>
  <c r="AK32" i="3"/>
  <c r="I33" i="3"/>
  <c r="Q33" i="3"/>
  <c r="Y33" i="3"/>
  <c r="AG33" i="3"/>
  <c r="AO33" i="3"/>
  <c r="M34" i="3"/>
  <c r="U34" i="3"/>
  <c r="AC34" i="3"/>
  <c r="AK34" i="3"/>
  <c r="I35" i="3"/>
  <c r="Q35" i="3"/>
  <c r="Y35" i="3"/>
  <c r="AG35" i="3"/>
  <c r="AO35" i="3"/>
  <c r="M36" i="3"/>
  <c r="U36" i="3"/>
  <c r="AC36" i="3"/>
  <c r="AK36" i="3"/>
  <c r="I37" i="3"/>
  <c r="Q37" i="3"/>
  <c r="Y37" i="3"/>
  <c r="AG37" i="3"/>
  <c r="AO37" i="3"/>
  <c r="M38" i="3"/>
  <c r="U38" i="3"/>
  <c r="AC38" i="3"/>
  <c r="AK38" i="3"/>
  <c r="I39" i="3"/>
  <c r="Q39" i="3"/>
  <c r="Y39" i="3"/>
  <c r="AG39" i="3"/>
  <c r="AO39" i="3"/>
  <c r="Y40" i="3"/>
  <c r="AG40" i="3"/>
  <c r="AO40" i="3"/>
  <c r="M41" i="3"/>
  <c r="U41" i="3"/>
  <c r="AC41" i="3"/>
  <c r="AK41" i="3"/>
  <c r="I42" i="3"/>
  <c r="Q42" i="3"/>
  <c r="Y42" i="3"/>
  <c r="AG42" i="3"/>
  <c r="AO42" i="3"/>
  <c r="Y43" i="3"/>
  <c r="AG43" i="3"/>
  <c r="AO43" i="3"/>
  <c r="M44" i="3"/>
  <c r="U44" i="3"/>
  <c r="AC44" i="3"/>
  <c r="AK44" i="3"/>
  <c r="I45" i="3"/>
  <c r="Q45" i="3"/>
  <c r="Y45" i="3"/>
  <c r="AG45" i="3"/>
  <c r="AO45" i="3"/>
  <c r="M46" i="3"/>
  <c r="U46" i="3"/>
  <c r="AC46" i="3"/>
  <c r="AK46" i="3"/>
  <c r="I47" i="3"/>
  <c r="Q47" i="3"/>
  <c r="Y47" i="3"/>
  <c r="AG47" i="3"/>
  <c r="AO47" i="3"/>
  <c r="M48" i="3"/>
  <c r="U48" i="3"/>
  <c r="AC48" i="3"/>
  <c r="AK48" i="3"/>
  <c r="I49" i="3"/>
  <c r="Q49" i="3"/>
  <c r="Y49" i="3"/>
  <c r="AG49" i="3"/>
  <c r="AO49" i="3"/>
  <c r="M50" i="3"/>
  <c r="U50" i="3"/>
  <c r="AC50" i="3"/>
  <c r="AK50" i="3"/>
  <c r="I51" i="3"/>
  <c r="Q51" i="3"/>
  <c r="Y51" i="3"/>
  <c r="AG51" i="3"/>
  <c r="AO51" i="3"/>
  <c r="M52" i="3"/>
  <c r="U52" i="3"/>
  <c r="AC52" i="3"/>
  <c r="AK52" i="3"/>
  <c r="I53" i="3"/>
  <c r="Q53" i="3"/>
  <c r="Y53" i="3"/>
  <c r="AG53" i="3"/>
  <c r="AO53" i="3"/>
  <c r="M54" i="3"/>
  <c r="U54" i="3"/>
  <c r="AC54" i="3"/>
  <c r="AK54" i="3"/>
  <c r="I55" i="3"/>
  <c r="Q55" i="3"/>
  <c r="Y55" i="3"/>
  <c r="AG55" i="3"/>
  <c r="AO55" i="3"/>
  <c r="M56" i="3"/>
  <c r="U56" i="3"/>
  <c r="AC56" i="3"/>
  <c r="AK56" i="3"/>
  <c r="I57" i="3"/>
  <c r="Q57" i="3"/>
  <c r="Y57" i="3"/>
  <c r="AG57" i="3"/>
  <c r="AO57" i="3"/>
  <c r="M58" i="3"/>
  <c r="U58" i="3"/>
  <c r="AC58" i="3"/>
  <c r="AK58" i="3"/>
  <c r="I59" i="3"/>
  <c r="Q59" i="3"/>
  <c r="Y59" i="3"/>
  <c r="AG59" i="3"/>
  <c r="AO59" i="3"/>
  <c r="M60" i="3"/>
  <c r="U60" i="3"/>
  <c r="AC60" i="3"/>
  <c r="AL60" i="3"/>
  <c r="L61" i="3"/>
  <c r="U61" i="3"/>
  <c r="AD61" i="3"/>
  <c r="AM61" i="3"/>
  <c r="L62" i="3"/>
  <c r="U62" i="3"/>
  <c r="AD62" i="3"/>
  <c r="AN62" i="3"/>
  <c r="M63" i="3"/>
  <c r="V63" i="3"/>
  <c r="AE63" i="3"/>
  <c r="AN63" i="3"/>
  <c r="M64" i="3"/>
  <c r="V64" i="3"/>
  <c r="AF64" i="3"/>
  <c r="AO64" i="3"/>
  <c r="O65" i="3"/>
  <c r="P66" i="3"/>
  <c r="AA66" i="3"/>
  <c r="AN66" i="3"/>
  <c r="O67" i="3"/>
  <c r="AC67" i="3"/>
  <c r="AN67" i="3"/>
  <c r="Q68" i="3"/>
  <c r="AB68" i="3"/>
  <c r="AO68" i="3"/>
  <c r="P69" i="3"/>
  <c r="AC69" i="3"/>
  <c r="AO69" i="3"/>
  <c r="ER16" i="5"/>
  <c r="ER23" i="5"/>
  <c r="FI39" i="5"/>
  <c r="BQ44" i="5"/>
  <c r="BQ57" i="5" s="1"/>
  <c r="FI44" i="5"/>
  <c r="FI57" i="5" s="1"/>
  <c r="CY59" i="6"/>
  <c r="ER14" i="6"/>
  <c r="ER24" i="6"/>
  <c r="DX57" i="6"/>
  <c r="AN57" i="6"/>
  <c r="AJ39" i="7"/>
  <c r="DX56" i="7"/>
  <c r="BQ13" i="5"/>
  <c r="BQ56" i="5" s="1"/>
  <c r="D56" i="5"/>
  <c r="D58" i="5"/>
  <c r="CV57" i="5"/>
  <c r="CV56" i="5"/>
  <c r="ER6" i="6"/>
  <c r="T59" i="6"/>
  <c r="T39" i="6"/>
  <c r="DB56" i="6"/>
  <c r="GF58" i="6"/>
  <c r="GF51" i="6"/>
  <c r="AN58" i="7"/>
  <c r="AN56" i="7"/>
  <c r="G56" i="5"/>
  <c r="CY57" i="5"/>
  <c r="EO59" i="5"/>
  <c r="ER36" i="6"/>
  <c r="BQ36" i="6"/>
  <c r="DX58" i="6"/>
  <c r="DX56" i="6"/>
  <c r="FI50" i="6"/>
  <c r="EY57" i="6"/>
  <c r="EY58" i="6"/>
  <c r="GG39" i="7"/>
  <c r="AJ39" i="5"/>
  <c r="ER8" i="5"/>
  <c r="ER9" i="5"/>
  <c r="ER32" i="5"/>
  <c r="GG51" i="5"/>
  <c r="GF52" i="5"/>
  <c r="GF59" i="5" s="1"/>
  <c r="ER41" i="5"/>
  <c r="ER57" i="5" s="1"/>
  <c r="GF57" i="5"/>
  <c r="GG50" i="5"/>
  <c r="GF58" i="5"/>
  <c r="ER21" i="6"/>
  <c r="ER26" i="6"/>
  <c r="BQ26" i="6"/>
  <c r="EN51" i="6"/>
  <c r="EN56" i="6"/>
  <c r="GK56" i="6"/>
  <c r="GK58" i="6"/>
  <c r="GK51" i="6"/>
  <c r="ER23" i="7"/>
  <c r="BQ23" i="7"/>
  <c r="BQ56" i="7" s="1"/>
  <c r="BR59" i="5"/>
  <c r="BQ6" i="5"/>
  <c r="BQ59" i="5" s="1"/>
  <c r="ER6" i="5"/>
  <c r="ER59" i="5" s="1"/>
  <c r="DX57" i="5"/>
  <c r="BR58" i="5"/>
  <c r="BQ7" i="6"/>
  <c r="BQ59" i="6" s="1"/>
  <c r="BR59" i="6"/>
  <c r="BQ56" i="6"/>
  <c r="FI56" i="6"/>
  <c r="GG13" i="6"/>
  <c r="DB58" i="6"/>
  <c r="CV56" i="7"/>
  <c r="GF59" i="7"/>
  <c r="GF52" i="7"/>
  <c r="AN56" i="8"/>
  <c r="AN58" i="8"/>
  <c r="D59" i="5"/>
  <c r="AN39" i="5"/>
  <c r="ER19" i="5"/>
  <c r="ER29" i="5"/>
  <c r="CY56" i="5"/>
  <c r="G57" i="5"/>
  <c r="DB57" i="5"/>
  <c r="GK56" i="5"/>
  <c r="BR57" i="5"/>
  <c r="DB58" i="5"/>
  <c r="ER50" i="6"/>
  <c r="EY59" i="6"/>
  <c r="AJ59" i="7"/>
  <c r="DX59" i="7"/>
  <c r="T39" i="7"/>
  <c r="BR56" i="7"/>
  <c r="BR58" i="7"/>
  <c r="BQ50" i="7"/>
  <c r="BQ57" i="7" s="1"/>
  <c r="GY50" i="7"/>
  <c r="GY51" i="7" s="1"/>
  <c r="DB56" i="7"/>
  <c r="AQ58" i="7"/>
  <c r="ER6" i="8"/>
  <c r="T59" i="8"/>
  <c r="CY56" i="8"/>
  <c r="BQ20" i="8"/>
  <c r="BQ56" i="8" s="1"/>
  <c r="ER23" i="8"/>
  <c r="EY56" i="8"/>
  <c r="FI39" i="8"/>
  <c r="G57" i="8"/>
  <c r="D56" i="9"/>
  <c r="BQ30" i="9"/>
  <c r="BQ56" i="9" s="1"/>
  <c r="ER30" i="9"/>
  <c r="BQ57" i="9"/>
  <c r="AL56" i="11"/>
  <c r="EY57" i="7"/>
  <c r="EY56" i="7"/>
  <c r="BQ37" i="8"/>
  <c r="ER37" i="8"/>
  <c r="BQ38" i="8"/>
  <c r="ER38" i="8"/>
  <c r="T59" i="9"/>
  <c r="ER6" i="9"/>
  <c r="D57" i="6"/>
  <c r="CV57" i="6"/>
  <c r="EY59" i="7"/>
  <c r="FI6" i="7"/>
  <c r="FI59" i="7" s="1"/>
  <c r="GG17" i="7"/>
  <c r="CY56" i="7"/>
  <c r="GF58" i="7"/>
  <c r="GF56" i="7"/>
  <c r="DX57" i="7"/>
  <c r="BQ58" i="8"/>
  <c r="ER39" i="9"/>
  <c r="T56" i="9"/>
  <c r="T58" i="9"/>
  <c r="ER21" i="7"/>
  <c r="ER38" i="7"/>
  <c r="ER51" i="7"/>
  <c r="EY58" i="7"/>
  <c r="CV56" i="8"/>
  <c r="EO52" i="9"/>
  <c r="AK6" i="3" s="1"/>
  <c r="EO59" i="9"/>
  <c r="DX59" i="6"/>
  <c r="ER7" i="6"/>
  <c r="T57" i="6"/>
  <c r="ER12" i="7"/>
  <c r="GK58" i="7"/>
  <c r="GK51" i="7"/>
  <c r="ER43" i="7"/>
  <c r="G57" i="7"/>
  <c r="CY58" i="7"/>
  <c r="CV57" i="7"/>
  <c r="EY56" i="9"/>
  <c r="T57" i="9"/>
  <c r="ER40" i="9"/>
  <c r="AI56" i="10"/>
  <c r="AI58" i="10"/>
  <c r="ER22" i="5"/>
  <c r="BR56" i="5"/>
  <c r="BQ58" i="5"/>
  <c r="CY58" i="5"/>
  <c r="BQ58" i="6"/>
  <c r="EY56" i="6"/>
  <c r="ER45" i="6"/>
  <c r="AJ57" i="6"/>
  <c r="BQ52" i="6"/>
  <c r="AM63" i="2" s="1"/>
  <c r="CL39" i="7"/>
  <c r="ER28" i="7"/>
  <c r="EN51" i="7"/>
  <c r="ER41" i="7"/>
  <c r="ER57" i="7" s="1"/>
  <c r="DB57" i="7"/>
  <c r="GG50" i="7"/>
  <c r="ER28" i="8"/>
  <c r="AN57" i="8"/>
  <c r="BR57" i="8"/>
  <c r="T57" i="8"/>
  <c r="BQ11" i="9"/>
  <c r="ER11" i="9"/>
  <c r="BR56" i="9"/>
  <c r="EO59" i="6"/>
  <c r="EO58" i="6"/>
  <c r="DX56" i="8"/>
  <c r="DX58" i="8"/>
  <c r="GY39" i="8"/>
  <c r="ER38" i="6"/>
  <c r="CV56" i="6"/>
  <c r="BQ57" i="6"/>
  <c r="ER25" i="7"/>
  <c r="FI58" i="7"/>
  <c r="FI56" i="7"/>
  <c r="AN57" i="7"/>
  <c r="CL39" i="8"/>
  <c r="ER15" i="8"/>
  <c r="ER46" i="8"/>
  <c r="ER48" i="9"/>
  <c r="AQ56" i="9"/>
  <c r="GK58" i="9"/>
  <c r="EQ38" i="10"/>
  <c r="EM58" i="10"/>
  <c r="GJ58" i="10"/>
  <c r="BP41" i="10"/>
  <c r="FH41" i="10"/>
  <c r="FH57" i="10" s="1"/>
  <c r="EQ44" i="10"/>
  <c r="Z52" i="11"/>
  <c r="Z59" i="11" s="1"/>
  <c r="FA58" i="11"/>
  <c r="FA56" i="11"/>
  <c r="EW39" i="11"/>
  <c r="FG39" i="11" s="1"/>
  <c r="FA51" i="11"/>
  <c r="DA57" i="11"/>
  <c r="CZ50" i="11"/>
  <c r="CZ57" i="11" s="1"/>
  <c r="DQ58" i="11"/>
  <c r="DQ57" i="11"/>
  <c r="DZ57" i="11"/>
  <c r="DZ51" i="11"/>
  <c r="DZ58" i="11"/>
  <c r="CF52" i="11"/>
  <c r="AH80" i="2" s="1"/>
  <c r="CF59" i="11"/>
  <c r="DS52" i="11"/>
  <c r="AH113" i="2" s="1"/>
  <c r="DS59" i="11"/>
  <c r="DS58" i="11"/>
  <c r="BO24" i="12"/>
  <c r="EP24" i="12"/>
  <c r="G57" i="9"/>
  <c r="CY57" i="9"/>
  <c r="GF57" i="9"/>
  <c r="GG50" i="9"/>
  <c r="BP10" i="10"/>
  <c r="BP20" i="10"/>
  <c r="EQ20" i="10"/>
  <c r="EN58" i="10"/>
  <c r="EN52" i="10"/>
  <c r="AJ6" i="3" s="1"/>
  <c r="J52" i="11"/>
  <c r="J59" i="11"/>
  <c r="AA52" i="11"/>
  <c r="AA59" i="11" s="1"/>
  <c r="BH52" i="11"/>
  <c r="AH56" i="2" s="1"/>
  <c r="BR56" i="11"/>
  <c r="BR51" i="11"/>
  <c r="BR58" i="11" s="1"/>
  <c r="BP39" i="11"/>
  <c r="CA58" i="11"/>
  <c r="CA51" i="11"/>
  <c r="CA56" i="11"/>
  <c r="CI58" i="11"/>
  <c r="CI51" i="11"/>
  <c r="CI56" i="11"/>
  <c r="DB58" i="11"/>
  <c r="EI52" i="11"/>
  <c r="AH130" i="2" s="1"/>
  <c r="EI54" i="11"/>
  <c r="EI58" i="11"/>
  <c r="ES56" i="11"/>
  <c r="ES51" i="11"/>
  <c r="BO45" i="11"/>
  <c r="EP45" i="11"/>
  <c r="AG52" i="11"/>
  <c r="AH34" i="2" s="1"/>
  <c r="C52" i="11"/>
  <c r="BA59" i="11"/>
  <c r="AC59" i="12"/>
  <c r="AC52" i="12"/>
  <c r="AG30" i="2" s="1"/>
  <c r="FH52" i="12"/>
  <c r="FH59" i="12" s="1"/>
  <c r="EY57" i="8"/>
  <c r="FI50" i="8"/>
  <c r="FI57" i="8" s="1"/>
  <c r="CY56" i="9"/>
  <c r="GF56" i="9"/>
  <c r="EQ33" i="10"/>
  <c r="GX39" i="10"/>
  <c r="CU57" i="10"/>
  <c r="D57" i="10"/>
  <c r="CX57" i="10"/>
  <c r="EM52" i="10"/>
  <c r="EM59" i="10" s="1"/>
  <c r="BS51" i="11"/>
  <c r="BS57" i="11"/>
  <c r="CB57" i="11"/>
  <c r="CB51" i="11"/>
  <c r="CR51" i="11"/>
  <c r="CR57" i="11"/>
  <c r="CR58" i="11"/>
  <c r="BF52" i="11"/>
  <c r="AH54" i="2" s="1"/>
  <c r="GC52" i="11"/>
  <c r="GC59" i="11" s="1"/>
  <c r="AJ59" i="11"/>
  <c r="AE52" i="12"/>
  <c r="AG32" i="2" s="1"/>
  <c r="AE59" i="12"/>
  <c r="BR59" i="7"/>
  <c r="G58" i="7"/>
  <c r="GF57" i="7"/>
  <c r="T39" i="8"/>
  <c r="ER8" i="8"/>
  <c r="D56" i="8"/>
  <c r="D58" i="8"/>
  <c r="BR59" i="9"/>
  <c r="BQ6" i="9"/>
  <c r="BQ59" i="9" s="1"/>
  <c r="AJ39" i="9"/>
  <c r="ER8" i="9"/>
  <c r="ER20" i="9"/>
  <c r="ER36" i="9"/>
  <c r="GK51" i="9"/>
  <c r="G59" i="10"/>
  <c r="CX59" i="10"/>
  <c r="CK39" i="10"/>
  <c r="BP58" i="10"/>
  <c r="EX56" i="10"/>
  <c r="GE58" i="10"/>
  <c r="GE57" i="10"/>
  <c r="AT56" i="11"/>
  <c r="AT51" i="11"/>
  <c r="AT58" i="11"/>
  <c r="BB56" i="11"/>
  <c r="BB51" i="11"/>
  <c r="BB58" i="11" s="1"/>
  <c r="BJ58" i="11"/>
  <c r="BJ56" i="11"/>
  <c r="BJ51" i="11"/>
  <c r="EF52" i="11"/>
  <c r="AH127" i="2" s="1"/>
  <c r="N5" i="4"/>
  <c r="V5" i="4"/>
  <c r="L6" i="4"/>
  <c r="T6" i="4"/>
  <c r="J7" i="4"/>
  <c r="R7" i="4"/>
  <c r="H8" i="4"/>
  <c r="P8" i="4"/>
  <c r="X8" i="4"/>
  <c r="N9" i="4"/>
  <c r="V9" i="4"/>
  <c r="L10" i="4"/>
  <c r="T10" i="4"/>
  <c r="J11" i="4"/>
  <c r="R11" i="4"/>
  <c r="H12" i="4"/>
  <c r="P12" i="4"/>
  <c r="X12" i="4"/>
  <c r="N13" i="4"/>
  <c r="V13" i="4"/>
  <c r="L14" i="4"/>
  <c r="T14" i="4"/>
  <c r="J15" i="4"/>
  <c r="R15" i="4"/>
  <c r="S56" i="7"/>
  <c r="G56" i="8"/>
  <c r="ER41" i="8"/>
  <c r="ER57" i="8" s="1"/>
  <c r="CV57" i="8"/>
  <c r="ER51" i="8"/>
  <c r="GF59" i="8"/>
  <c r="FI7" i="9"/>
  <c r="FI59" i="9" s="1"/>
  <c r="AN39" i="9"/>
  <c r="ER10" i="9"/>
  <c r="ER29" i="9"/>
  <c r="BQ49" i="9"/>
  <c r="AN57" i="9"/>
  <c r="EQ59" i="10"/>
  <c r="DA59" i="10"/>
  <c r="BP14" i="10"/>
  <c r="BP56" i="10" s="1"/>
  <c r="EQ14" i="10"/>
  <c r="EQ17" i="10"/>
  <c r="CU56" i="10"/>
  <c r="CU58" i="10"/>
  <c r="FH56" i="10"/>
  <c r="FH58" i="10"/>
  <c r="EQ50" i="10"/>
  <c r="T57" i="10"/>
  <c r="DW57" i="10"/>
  <c r="EN59" i="10"/>
  <c r="AH39" i="11"/>
  <c r="C58" i="11"/>
  <c r="V56" i="11"/>
  <c r="V51" i="11"/>
  <c r="V58" i="11"/>
  <c r="AD56" i="11"/>
  <c r="AD51" i="11"/>
  <c r="AD58" i="11" s="1"/>
  <c r="DU52" i="11"/>
  <c r="AH115" i="2" s="1"/>
  <c r="GA57" i="11"/>
  <c r="GA51" i="11"/>
  <c r="BQ59" i="11"/>
  <c r="BQ52" i="11"/>
  <c r="EU52" i="11"/>
  <c r="AI25" i="3" s="1"/>
  <c r="EU59" i="11"/>
  <c r="K52" i="11"/>
  <c r="DI57" i="11"/>
  <c r="EL52" i="12"/>
  <c r="EL59" i="12"/>
  <c r="G5" i="4"/>
  <c r="O5" i="4"/>
  <c r="W5" i="4"/>
  <c r="M6" i="4"/>
  <c r="U6" i="4"/>
  <c r="K7" i="4"/>
  <c r="S7" i="4"/>
  <c r="I8" i="4"/>
  <c r="Q8" i="4"/>
  <c r="G9" i="4"/>
  <c r="O9" i="4"/>
  <c r="W9" i="4"/>
  <c r="M10" i="4"/>
  <c r="U10" i="4"/>
  <c r="K11" i="4"/>
  <c r="S11" i="4"/>
  <c r="I12" i="4"/>
  <c r="Q12" i="4"/>
  <c r="G13" i="4"/>
  <c r="O13" i="4"/>
  <c r="W13" i="4"/>
  <c r="M14" i="4"/>
  <c r="U14" i="4"/>
  <c r="K15" i="4"/>
  <c r="ER8" i="7"/>
  <c r="BR59" i="8"/>
  <c r="ER10" i="8"/>
  <c r="ER33" i="8"/>
  <c r="DB58" i="8"/>
  <c r="DB56" i="8"/>
  <c r="ER48" i="8"/>
  <c r="EN59" i="8"/>
  <c r="BR58" i="8"/>
  <c r="EN58" i="8"/>
  <c r="GF58" i="8"/>
  <c r="CV59" i="9"/>
  <c r="EN59" i="9"/>
  <c r="GY39" i="9"/>
  <c r="GY51" i="9" s="1"/>
  <c r="GY52" i="9" s="1"/>
  <c r="ER45" i="9"/>
  <c r="GF51" i="9"/>
  <c r="GF58" i="9" s="1"/>
  <c r="ER52" i="9"/>
  <c r="AK21" i="3" s="1"/>
  <c r="CX56" i="10"/>
  <c r="EQ40" i="10"/>
  <c r="GX50" i="10"/>
  <c r="GF50" i="10" s="1"/>
  <c r="GF44" i="10"/>
  <c r="AI57" i="10"/>
  <c r="GW51" i="11"/>
  <c r="GW52" i="11" s="1"/>
  <c r="E56" i="11"/>
  <c r="E51" i="11"/>
  <c r="E58" i="11" s="1"/>
  <c r="D39" i="11"/>
  <c r="N56" i="11"/>
  <c r="N51" i="11"/>
  <c r="N58" i="11"/>
  <c r="BW58" i="11"/>
  <c r="CE52" i="11"/>
  <c r="AH79" i="2" s="1"/>
  <c r="FZ59" i="11"/>
  <c r="FZ52" i="11"/>
  <c r="AI60" i="3" s="1"/>
  <c r="FJ57" i="11"/>
  <c r="GV50" i="11"/>
  <c r="Q52" i="11"/>
  <c r="AH20" i="2" s="1"/>
  <c r="Q58" i="11"/>
  <c r="AR59" i="12"/>
  <c r="AR52" i="12"/>
  <c r="AG40" i="2" s="1"/>
  <c r="AR58" i="12"/>
  <c r="BR56" i="8"/>
  <c r="EY59" i="8"/>
  <c r="CL39" i="9"/>
  <c r="EO56" i="9"/>
  <c r="EO58" i="9"/>
  <c r="ER47" i="9"/>
  <c r="BR57" i="9"/>
  <c r="T39" i="10"/>
  <c r="EQ8" i="10"/>
  <c r="D56" i="10"/>
  <c r="GA58" i="11"/>
  <c r="AF59" i="11"/>
  <c r="AF52" i="11"/>
  <c r="AH33" i="2" s="1"/>
  <c r="G39" i="12"/>
  <c r="H56" i="12"/>
  <c r="H51" i="12"/>
  <c r="P52" i="12"/>
  <c r="AG19" i="2" s="1"/>
  <c r="DX57" i="8"/>
  <c r="CV56" i="9"/>
  <c r="FI39" i="9"/>
  <c r="EY58" i="9"/>
  <c r="G58" i="9"/>
  <c r="G58" i="10"/>
  <c r="G56" i="10"/>
  <c r="BQ57" i="10"/>
  <c r="GE59" i="10"/>
  <c r="BO10" i="11"/>
  <c r="EP10" i="11"/>
  <c r="FJ58" i="11"/>
  <c r="GV39" i="11"/>
  <c r="FX39" i="11"/>
  <c r="FJ56" i="11"/>
  <c r="FI39" i="11"/>
  <c r="FJ54" i="11"/>
  <c r="FJ51" i="11"/>
  <c r="GB58" i="11"/>
  <c r="GB56" i="11"/>
  <c r="GB51" i="11"/>
  <c r="M58" i="11"/>
  <c r="AR59" i="11"/>
  <c r="AR52" i="11"/>
  <c r="AH40" i="2" s="1"/>
  <c r="AZ52" i="11"/>
  <c r="AH48" i="2" s="1"/>
  <c r="BX59" i="11"/>
  <c r="F56" i="11"/>
  <c r="F51" i="11"/>
  <c r="F58" i="11" s="1"/>
  <c r="W59" i="11"/>
  <c r="BS58" i="11"/>
  <c r="CB58" i="11"/>
  <c r="CK59" i="11"/>
  <c r="DC58" i="11"/>
  <c r="R51" i="11"/>
  <c r="BG51" i="11"/>
  <c r="CG51" i="11"/>
  <c r="CU59" i="11"/>
  <c r="CU52" i="11"/>
  <c r="DF51" i="11"/>
  <c r="DT52" i="11"/>
  <c r="AH114" i="2" s="1"/>
  <c r="EJ51" i="11"/>
  <c r="EJ58" i="11" s="1"/>
  <c r="BA52" i="11"/>
  <c r="AH49" i="2" s="1"/>
  <c r="EZ57" i="11"/>
  <c r="CD58" i="11"/>
  <c r="DX58" i="11"/>
  <c r="I58" i="12"/>
  <c r="I51" i="12"/>
  <c r="I56" i="12"/>
  <c r="Q56" i="12"/>
  <c r="AA56" i="12"/>
  <c r="AA51" i="12"/>
  <c r="AA58" i="12" s="1"/>
  <c r="AI58" i="12"/>
  <c r="AI56" i="12"/>
  <c r="AI51" i="12"/>
  <c r="CA56" i="12"/>
  <c r="CA58" i="12"/>
  <c r="CA51" i="12"/>
  <c r="CJ39" i="12"/>
  <c r="CI56" i="12"/>
  <c r="CR52" i="12"/>
  <c r="AG92" i="2" s="1"/>
  <c r="DC51" i="12"/>
  <c r="DC58" i="12" s="1"/>
  <c r="DC56" i="12"/>
  <c r="DK58" i="12"/>
  <c r="DK56" i="12"/>
  <c r="DK51" i="12"/>
  <c r="DS56" i="12"/>
  <c r="EC51" i="12"/>
  <c r="EC58" i="12" s="1"/>
  <c r="EC56" i="12"/>
  <c r="EM58" i="12"/>
  <c r="EM56" i="12"/>
  <c r="EM51" i="12"/>
  <c r="EV56" i="12"/>
  <c r="EV51" i="12"/>
  <c r="FE59" i="12"/>
  <c r="FE52" i="12"/>
  <c r="AH33" i="3" s="1"/>
  <c r="FE58" i="12"/>
  <c r="FY58" i="12"/>
  <c r="FY56" i="12"/>
  <c r="FY51" i="12"/>
  <c r="AH50" i="12"/>
  <c r="AH57" i="12" s="1"/>
  <c r="AJ57" i="12"/>
  <c r="BS57" i="12"/>
  <c r="CB57" i="12"/>
  <c r="CB58" i="12"/>
  <c r="ES57" i="12"/>
  <c r="ES58" i="12"/>
  <c r="GV50" i="12"/>
  <c r="FX50" i="12"/>
  <c r="FK57" i="12"/>
  <c r="T51" i="12"/>
  <c r="U59" i="12"/>
  <c r="U52" i="12"/>
  <c r="DI51" i="12"/>
  <c r="EW51" i="12"/>
  <c r="EX52" i="12"/>
  <c r="EX59" i="12" s="1"/>
  <c r="FG45" i="13"/>
  <c r="FG57" i="13" s="1"/>
  <c r="EW57" i="13"/>
  <c r="BO6" i="14"/>
  <c r="BO59" i="14" s="1"/>
  <c r="BP59" i="14"/>
  <c r="ER50" i="9"/>
  <c r="EQ10" i="10"/>
  <c r="DA58" i="10"/>
  <c r="EQ48" i="10"/>
  <c r="DA56" i="10"/>
  <c r="EP17" i="11"/>
  <c r="EP29" i="11"/>
  <c r="G58" i="11"/>
  <c r="AF58" i="11"/>
  <c r="BT51" i="11"/>
  <c r="CC51" i="11"/>
  <c r="CU58" i="11"/>
  <c r="CT39" i="11"/>
  <c r="DD58" i="11"/>
  <c r="DL58" i="11"/>
  <c r="DT58" i="11"/>
  <c r="EL56" i="11"/>
  <c r="EU56" i="11"/>
  <c r="EU58" i="11"/>
  <c r="GD56" i="11"/>
  <c r="GE39" i="11"/>
  <c r="EP42" i="11"/>
  <c r="T50" i="11"/>
  <c r="T57" i="11" s="1"/>
  <c r="AL50" i="11"/>
  <c r="AL57" i="11" s="1"/>
  <c r="AU51" i="11"/>
  <c r="AU57" i="11"/>
  <c r="BC51" i="11"/>
  <c r="BC57" i="11"/>
  <c r="BK51" i="11"/>
  <c r="BK57" i="11"/>
  <c r="CT50" i="11"/>
  <c r="CT57" i="11" s="1"/>
  <c r="G52" i="11"/>
  <c r="G59" i="11" s="1"/>
  <c r="AW51" i="11"/>
  <c r="BW51" i="11"/>
  <c r="CH51" i="11"/>
  <c r="CV51" i="11"/>
  <c r="DJ51" i="11"/>
  <c r="EL51" i="11"/>
  <c r="FK51" i="11"/>
  <c r="AM52" i="11"/>
  <c r="J56" i="11"/>
  <c r="AI56" i="11"/>
  <c r="CV56" i="11"/>
  <c r="M57" i="11"/>
  <c r="CY57" i="11"/>
  <c r="J58" i="11"/>
  <c r="Z58" i="11"/>
  <c r="AM58" i="11"/>
  <c r="BC58" i="11"/>
  <c r="CE58" i="11"/>
  <c r="CD59" i="11"/>
  <c r="EY59" i="11"/>
  <c r="EP8" i="12"/>
  <c r="EP32" i="12"/>
  <c r="J51" i="12"/>
  <c r="J58" i="12" s="1"/>
  <c r="J56" i="12"/>
  <c r="R51" i="12"/>
  <c r="R56" i="12"/>
  <c r="AB59" i="12"/>
  <c r="AJ51" i="12"/>
  <c r="AJ58" i="12" s="1"/>
  <c r="AT58" i="12"/>
  <c r="AT56" i="12"/>
  <c r="AT51" i="12"/>
  <c r="BB56" i="12"/>
  <c r="BB51" i="12"/>
  <c r="BJ58" i="12"/>
  <c r="BJ56" i="12"/>
  <c r="BJ51" i="12"/>
  <c r="BS51" i="12"/>
  <c r="BS58" i="12" s="1"/>
  <c r="CB51" i="12"/>
  <c r="CK56" i="12"/>
  <c r="CK51" i="12"/>
  <c r="CS58" i="12"/>
  <c r="DD58" i="12"/>
  <c r="DD56" i="12"/>
  <c r="DD51" i="12"/>
  <c r="DL56" i="12"/>
  <c r="DL51" i="12"/>
  <c r="DT56" i="12"/>
  <c r="DT51" i="12"/>
  <c r="DT58" i="12" s="1"/>
  <c r="ED56" i="12"/>
  <c r="ED58" i="12"/>
  <c r="ED51" i="12"/>
  <c r="EN56" i="12"/>
  <c r="EN58" i="12"/>
  <c r="EN51" i="12"/>
  <c r="AB58" i="12"/>
  <c r="AB57" i="12"/>
  <c r="BD51" i="12"/>
  <c r="CS56" i="12"/>
  <c r="CR58" i="12"/>
  <c r="CT56" i="13"/>
  <c r="GE12" i="14"/>
  <c r="GW39" i="14"/>
  <c r="GK56" i="8"/>
  <c r="EY57" i="9"/>
  <c r="FI50" i="9"/>
  <c r="FI57" i="9" s="1"/>
  <c r="AM39" i="10"/>
  <c r="DW58" i="10"/>
  <c r="Y58" i="11"/>
  <c r="DE58" i="11"/>
  <c r="DE56" i="11"/>
  <c r="DM58" i="11"/>
  <c r="DM56" i="11"/>
  <c r="DU58" i="11"/>
  <c r="DU56" i="11"/>
  <c r="EC58" i="11"/>
  <c r="EC56" i="11"/>
  <c r="EM56" i="11"/>
  <c r="EM58" i="11"/>
  <c r="EV58" i="11"/>
  <c r="FD58" i="11"/>
  <c r="GI51" i="11"/>
  <c r="GI58" i="11" s="1"/>
  <c r="D50" i="11"/>
  <c r="D57" i="11" s="1"/>
  <c r="X51" i="11"/>
  <c r="X58" i="11" s="1"/>
  <c r="AI51" i="11"/>
  <c r="AI58" i="11" s="1"/>
  <c r="AX51" i="11"/>
  <c r="BI59" i="11"/>
  <c r="CL59" i="11"/>
  <c r="CL52" i="11"/>
  <c r="AH86" i="2" s="1"/>
  <c r="DK51" i="11"/>
  <c r="EM51" i="11"/>
  <c r="FL51" i="11"/>
  <c r="K56" i="11"/>
  <c r="BW56" i="11"/>
  <c r="DK56" i="11"/>
  <c r="EV56" i="11"/>
  <c r="EB57" i="11"/>
  <c r="K58" i="11"/>
  <c r="AA58" i="11"/>
  <c r="BD58" i="11"/>
  <c r="BT58" i="11"/>
  <c r="CG58" i="11"/>
  <c r="CX58" i="11"/>
  <c r="EP16" i="12"/>
  <c r="EP28" i="12"/>
  <c r="U56" i="12"/>
  <c r="T39" i="12"/>
  <c r="U58" i="12"/>
  <c r="AC56" i="12"/>
  <c r="AC58" i="12"/>
  <c r="AK56" i="12"/>
  <c r="AK51" i="12"/>
  <c r="AU59" i="12"/>
  <c r="AU52" i="12"/>
  <c r="AG43" i="2" s="1"/>
  <c r="BC52" i="12"/>
  <c r="AG51" i="2" s="1"/>
  <c r="BT58" i="12"/>
  <c r="BT56" i="12"/>
  <c r="BT51" i="12"/>
  <c r="CC51" i="12"/>
  <c r="CC56" i="12"/>
  <c r="CT39" i="12"/>
  <c r="CU58" i="12"/>
  <c r="CU56" i="12"/>
  <c r="CU51" i="12"/>
  <c r="AL50" i="12"/>
  <c r="AL57" i="12" s="1"/>
  <c r="AU58" i="12"/>
  <c r="AU57" i="12"/>
  <c r="BC57" i="12"/>
  <c r="BC58" i="12"/>
  <c r="BK58" i="12"/>
  <c r="BK57" i="12"/>
  <c r="CT57" i="12"/>
  <c r="BF52" i="12"/>
  <c r="BF59" i="12"/>
  <c r="BF58" i="12"/>
  <c r="CF52" i="12"/>
  <c r="AG80" i="2" s="1"/>
  <c r="CF58" i="12"/>
  <c r="DS51" i="12"/>
  <c r="DS58" i="12" s="1"/>
  <c r="AB52" i="12"/>
  <c r="AG29" i="2" s="1"/>
  <c r="CZ56" i="13"/>
  <c r="EP8" i="14"/>
  <c r="CW56" i="11"/>
  <c r="DN58" i="11"/>
  <c r="DN56" i="11"/>
  <c r="DV56" i="11"/>
  <c r="ED56" i="11"/>
  <c r="EP49" i="11"/>
  <c r="EX57" i="11"/>
  <c r="EW50" i="11"/>
  <c r="EW57" i="11" s="1"/>
  <c r="Y51" i="11"/>
  <c r="AY51" i="11"/>
  <c r="BM51" i="11"/>
  <c r="BY51" i="11"/>
  <c r="CX51" i="11"/>
  <c r="DL52" i="11"/>
  <c r="AH106" i="2" s="1"/>
  <c r="EN51" i="11"/>
  <c r="EN58" i="11" s="1"/>
  <c r="FB51" i="11"/>
  <c r="EW51" i="11" s="1"/>
  <c r="AS52" i="11"/>
  <c r="AH41" i="2" s="1"/>
  <c r="EV52" i="11"/>
  <c r="EV59" i="11" s="1"/>
  <c r="GD52" i="11"/>
  <c r="Z56" i="11"/>
  <c r="EQ57" i="11"/>
  <c r="AS58" i="11"/>
  <c r="BU58" i="11"/>
  <c r="EA58" i="11"/>
  <c r="FB58" i="11"/>
  <c r="GC58" i="11"/>
  <c r="EP9" i="12"/>
  <c r="BO15" i="12"/>
  <c r="EP15" i="12"/>
  <c r="EP33" i="12"/>
  <c r="L51" i="12"/>
  <c r="L56" i="12"/>
  <c r="L58" i="12"/>
  <c r="V52" i="12"/>
  <c r="AG26" i="2" s="1"/>
  <c r="AD59" i="12"/>
  <c r="AD52" i="12"/>
  <c r="AL39" i="12"/>
  <c r="AM56" i="12"/>
  <c r="AM51" i="12"/>
  <c r="AM58" i="12" s="1"/>
  <c r="AV56" i="12"/>
  <c r="BL58" i="12"/>
  <c r="BL56" i="12"/>
  <c r="BL51" i="12"/>
  <c r="CM52" i="12"/>
  <c r="AG87" i="2" s="1"/>
  <c r="CM58" i="12"/>
  <c r="CM59" i="12"/>
  <c r="D50" i="12"/>
  <c r="E57" i="12"/>
  <c r="V57" i="12"/>
  <c r="V58" i="12"/>
  <c r="AD57" i="12"/>
  <c r="AD58" i="12"/>
  <c r="CI51" i="12"/>
  <c r="DU52" i="12"/>
  <c r="AG115" i="2" s="1"/>
  <c r="DU58" i="12"/>
  <c r="EP26" i="11"/>
  <c r="AY58" i="11"/>
  <c r="BG58" i="11"/>
  <c r="BO39" i="11"/>
  <c r="BX58" i="11"/>
  <c r="BX56" i="11"/>
  <c r="CF58" i="11"/>
  <c r="CF56" i="11"/>
  <c r="CO58" i="11"/>
  <c r="CO56" i="11"/>
  <c r="DG56" i="11"/>
  <c r="DG51" i="11"/>
  <c r="DO56" i="11"/>
  <c r="DO51" i="11"/>
  <c r="DO58" i="11" s="1"/>
  <c r="DW56" i="11"/>
  <c r="DW51" i="11"/>
  <c r="EF58" i="11"/>
  <c r="FY59" i="11"/>
  <c r="DV57" i="11"/>
  <c r="FX50" i="11"/>
  <c r="AN51" i="11"/>
  <c r="BN51" i="11"/>
  <c r="BN58" i="11" s="1"/>
  <c r="BZ59" i="11"/>
  <c r="CN51" i="11"/>
  <c r="CN58" i="11" s="1"/>
  <c r="DB51" i="11"/>
  <c r="DM59" i="11"/>
  <c r="EB51" i="11"/>
  <c r="EO51" i="11"/>
  <c r="AE52" i="11"/>
  <c r="AH32" i="2" s="1"/>
  <c r="CS52" i="11"/>
  <c r="AH93" i="2" s="1"/>
  <c r="FK54" i="11"/>
  <c r="AA56" i="11"/>
  <c r="CN56" i="11"/>
  <c r="CM58" i="11"/>
  <c r="FC58" i="11"/>
  <c r="GD58" i="11"/>
  <c r="BU59" i="11"/>
  <c r="EP6" i="12"/>
  <c r="EP11" i="12"/>
  <c r="EP12" i="12"/>
  <c r="EP19" i="12"/>
  <c r="D56" i="12"/>
  <c r="DO58" i="12"/>
  <c r="ER58" i="12"/>
  <c r="ER56" i="12"/>
  <c r="ER51" i="12"/>
  <c r="EP39" i="12"/>
  <c r="FA59" i="12"/>
  <c r="FK56" i="12"/>
  <c r="FK54" i="12"/>
  <c r="GC56" i="12"/>
  <c r="GC58" i="12"/>
  <c r="F57" i="12"/>
  <c r="F51" i="12"/>
  <c r="N57" i="12"/>
  <c r="N58" i="12"/>
  <c r="W51" i="12"/>
  <c r="W58" i="12" s="1"/>
  <c r="W57" i="12"/>
  <c r="AE57" i="12"/>
  <c r="AE58" i="12"/>
  <c r="AN57" i="12"/>
  <c r="BH52" i="12"/>
  <c r="AG56" i="2" s="1"/>
  <c r="CS52" i="12"/>
  <c r="AG93" i="2" s="1"/>
  <c r="FK51" i="12"/>
  <c r="FK58" i="12" s="1"/>
  <c r="BP56" i="14"/>
  <c r="BO39" i="14"/>
  <c r="BP58" i="14"/>
  <c r="L58" i="11"/>
  <c r="L56" i="11"/>
  <c r="L51" i="11"/>
  <c r="T39" i="11"/>
  <c r="EP39" i="11" s="1"/>
  <c r="AB56" i="11"/>
  <c r="AJ58" i="11"/>
  <c r="AJ56" i="11"/>
  <c r="AR58" i="11"/>
  <c r="AR56" i="11"/>
  <c r="AZ58" i="11"/>
  <c r="AZ56" i="11"/>
  <c r="BH58" i="11"/>
  <c r="BH56" i="11"/>
  <c r="CY56" i="11"/>
  <c r="CY51" i="11"/>
  <c r="FZ58" i="11"/>
  <c r="G57" i="11"/>
  <c r="O57" i="11"/>
  <c r="AG57" i="11"/>
  <c r="AG58" i="11"/>
  <c r="DX59" i="11"/>
  <c r="FY57" i="11"/>
  <c r="FY58" i="11"/>
  <c r="O51" i="11"/>
  <c r="AP51" i="11"/>
  <c r="CO51" i="11"/>
  <c r="DC51" i="11"/>
  <c r="DN51" i="11"/>
  <c r="EC52" i="11"/>
  <c r="AH122" i="2" s="1"/>
  <c r="FD59" i="11"/>
  <c r="EX52" i="11"/>
  <c r="AI28" i="3" s="1"/>
  <c r="C56" i="11"/>
  <c r="AP56" i="11"/>
  <c r="DC56" i="11"/>
  <c r="EN56" i="11"/>
  <c r="EG57" i="11"/>
  <c r="FH57" i="11"/>
  <c r="GI57" i="11"/>
  <c r="R58" i="11"/>
  <c r="AE58" i="11"/>
  <c r="CM59" i="11"/>
  <c r="EQ59" i="11"/>
  <c r="FC59" i="11"/>
  <c r="GD59" i="11"/>
  <c r="BO23" i="12"/>
  <c r="EP23" i="12"/>
  <c r="EP36" i="12"/>
  <c r="N59" i="12"/>
  <c r="N52" i="12"/>
  <c r="AG17" i="2" s="1"/>
  <c r="AP52" i="12"/>
  <c r="AP59" i="12"/>
  <c r="AP58" i="12"/>
  <c r="CO58" i="12"/>
  <c r="CW39" i="12"/>
  <c r="CY56" i="12"/>
  <c r="CY51" i="12"/>
  <c r="DH59" i="12"/>
  <c r="DH52" i="12"/>
  <c r="AG102" i="2" s="1"/>
  <c r="DP52" i="12"/>
  <c r="AG110" i="2" s="1"/>
  <c r="DY58" i="12"/>
  <c r="DY56" i="12"/>
  <c r="DY51" i="12"/>
  <c r="EI56" i="12"/>
  <c r="EI51" i="12"/>
  <c r="ES52" i="12"/>
  <c r="AH23" i="3" s="1"/>
  <c r="FB56" i="12"/>
  <c r="FB58" i="12"/>
  <c r="FB51" i="12"/>
  <c r="FL56" i="12"/>
  <c r="FL51" i="12"/>
  <c r="GD52" i="12"/>
  <c r="GD59" i="12" s="1"/>
  <c r="GD58" i="12"/>
  <c r="O57" i="12"/>
  <c r="X57" i="12"/>
  <c r="CW57" i="12"/>
  <c r="FH57" i="12"/>
  <c r="FZ57" i="12"/>
  <c r="AQ52" i="12"/>
  <c r="AG39" i="2" s="1"/>
  <c r="CV52" i="12"/>
  <c r="CV59" i="12" s="1"/>
  <c r="EG59" i="12"/>
  <c r="EG52" i="12"/>
  <c r="AG128" i="2" s="1"/>
  <c r="EG58" i="12"/>
  <c r="GC51" i="12"/>
  <c r="BD58" i="12"/>
  <c r="AH56" i="13"/>
  <c r="CY59" i="9"/>
  <c r="ER38" i="9"/>
  <c r="G56" i="9"/>
  <c r="EQ13" i="10"/>
  <c r="S58" i="10"/>
  <c r="T59" i="10"/>
  <c r="CJ39" i="11"/>
  <c r="EP16" i="11"/>
  <c r="EP32" i="11"/>
  <c r="M56" i="11"/>
  <c r="M51" i="11"/>
  <c r="U56" i="11"/>
  <c r="U51" i="11"/>
  <c r="AC56" i="11"/>
  <c r="AC51" i="11"/>
  <c r="AK56" i="11"/>
  <c r="AK51" i="11"/>
  <c r="BA58" i="11"/>
  <c r="BA56" i="11"/>
  <c r="BI58" i="11"/>
  <c r="BI56" i="11"/>
  <c r="BQ56" i="11"/>
  <c r="BQ58" i="11"/>
  <c r="BZ56" i="11"/>
  <c r="BZ58" i="11"/>
  <c r="CQ56" i="11"/>
  <c r="CQ51" i="11"/>
  <c r="DA51" i="11"/>
  <c r="DA58" i="11" s="1"/>
  <c r="DI51" i="11"/>
  <c r="DI58" i="11" s="1"/>
  <c r="DQ51" i="11"/>
  <c r="EH51" i="11"/>
  <c r="EZ51" i="11"/>
  <c r="EZ58" i="11" s="1"/>
  <c r="EP41" i="11"/>
  <c r="BP50" i="11"/>
  <c r="BP57" i="11" s="1"/>
  <c r="DH59" i="11"/>
  <c r="DP59" i="11"/>
  <c r="FI50" i="11"/>
  <c r="P51" i="11"/>
  <c r="AB51" i="11"/>
  <c r="AQ51" i="11"/>
  <c r="BE51" i="11"/>
  <c r="CP51" i="11"/>
  <c r="CP58" i="11" s="1"/>
  <c r="DD51" i="11"/>
  <c r="DR51" i="11"/>
  <c r="ED51" i="11"/>
  <c r="ET51" i="11"/>
  <c r="FE51" i="11"/>
  <c r="FM52" i="11"/>
  <c r="G56" i="11"/>
  <c r="AQ56" i="11"/>
  <c r="DD56" i="11"/>
  <c r="U57" i="11"/>
  <c r="BR57" i="11"/>
  <c r="DH57" i="11"/>
  <c r="DW57" i="11"/>
  <c r="AV58" i="11"/>
  <c r="BL58" i="11"/>
  <c r="BY58" i="11"/>
  <c r="DF58" i="11"/>
  <c r="DR58" i="11"/>
  <c r="FH59" i="11"/>
  <c r="F58" i="12"/>
  <c r="AY59" i="12"/>
  <c r="BP39" i="12"/>
  <c r="BY56" i="12"/>
  <c r="BY58" i="12"/>
  <c r="BY51" i="12"/>
  <c r="CG56" i="12"/>
  <c r="CG58" i="12"/>
  <c r="CG51" i="12"/>
  <c r="CZ39" i="12"/>
  <c r="DA56" i="12"/>
  <c r="DA51" i="12"/>
  <c r="DI58" i="12"/>
  <c r="DI56" i="12"/>
  <c r="DQ56" i="12"/>
  <c r="DQ51" i="12"/>
  <c r="DQ58" i="12" s="1"/>
  <c r="ET56" i="12"/>
  <c r="ET58" i="12"/>
  <c r="ET51" i="12"/>
  <c r="FC51" i="12"/>
  <c r="FC58" i="12"/>
  <c r="FC56" i="12"/>
  <c r="FM58" i="12"/>
  <c r="FM52" i="12"/>
  <c r="EZ57" i="12"/>
  <c r="EZ51" i="12"/>
  <c r="FI50" i="12"/>
  <c r="BR51" i="12"/>
  <c r="DE59" i="12"/>
  <c r="DE52" i="12"/>
  <c r="EP44" i="13"/>
  <c r="EP57" i="13" s="1"/>
  <c r="D58" i="13"/>
  <c r="D57" i="13"/>
  <c r="CT58" i="13"/>
  <c r="CT57" i="13"/>
  <c r="FG57" i="14"/>
  <c r="P58" i="12"/>
  <c r="P56" i="12"/>
  <c r="Z56" i="12"/>
  <c r="Z51" i="12"/>
  <c r="Z58" i="12" s="1"/>
  <c r="AH39" i="12"/>
  <c r="AZ58" i="12"/>
  <c r="AZ56" i="12"/>
  <c r="AZ51" i="12"/>
  <c r="BH58" i="12"/>
  <c r="BH56" i="12"/>
  <c r="BZ59" i="12"/>
  <c r="BZ58" i="12"/>
  <c r="CH59" i="12"/>
  <c r="CH52" i="12"/>
  <c r="AG82" i="2" s="1"/>
  <c r="CH58" i="12"/>
  <c r="CQ56" i="12"/>
  <c r="CQ51" i="12"/>
  <c r="DR58" i="12"/>
  <c r="EB58" i="12"/>
  <c r="EB56" i="12"/>
  <c r="EB51" i="12"/>
  <c r="EL56" i="12"/>
  <c r="EL58" i="12"/>
  <c r="EU56" i="12"/>
  <c r="FD56" i="12"/>
  <c r="FD51" i="12"/>
  <c r="FX39" i="12"/>
  <c r="FW56" i="12"/>
  <c r="FW51" i="12"/>
  <c r="GI52" i="12"/>
  <c r="GI59" i="12" s="1"/>
  <c r="GI58" i="12"/>
  <c r="CZ50" i="12"/>
  <c r="CZ57" i="12" s="1"/>
  <c r="DH57" i="12"/>
  <c r="DH58" i="12"/>
  <c r="DP57" i="12"/>
  <c r="DP58" i="12"/>
  <c r="DX58" i="12"/>
  <c r="DX57" i="12"/>
  <c r="FA58" i="12"/>
  <c r="EW50" i="12"/>
  <c r="EW57" i="12" s="1"/>
  <c r="FA57" i="12"/>
  <c r="GB57" i="12"/>
  <c r="GB51" i="12"/>
  <c r="Q51" i="12"/>
  <c r="Q58" i="12" s="1"/>
  <c r="AV51" i="12"/>
  <c r="AV58" i="12" s="1"/>
  <c r="EU51" i="12"/>
  <c r="DV56" i="13"/>
  <c r="EP21" i="13"/>
  <c r="EP28" i="14"/>
  <c r="BO28" i="14"/>
  <c r="EP34" i="14"/>
  <c r="GI52" i="14"/>
  <c r="AF69" i="3" s="1"/>
  <c r="GI59" i="14"/>
  <c r="FF59" i="12"/>
  <c r="EP22" i="13"/>
  <c r="T56" i="13"/>
  <c r="BP57" i="13"/>
  <c r="AL56" i="14"/>
  <c r="FG39" i="14"/>
  <c r="EW58" i="14"/>
  <c r="EW56" i="14"/>
  <c r="GD58" i="14"/>
  <c r="G56" i="15"/>
  <c r="CW56" i="15"/>
  <c r="CT57" i="14"/>
  <c r="DV58" i="14"/>
  <c r="EL58" i="14"/>
  <c r="GI58" i="14"/>
  <c r="D59" i="15"/>
  <c r="D56" i="15"/>
  <c r="EP29" i="15"/>
  <c r="CZ56" i="15"/>
  <c r="CZ58" i="15"/>
  <c r="FG57" i="16"/>
  <c r="FJ52" i="12"/>
  <c r="FJ59" i="12"/>
  <c r="DG58" i="12"/>
  <c r="G57" i="13"/>
  <c r="G57" i="14"/>
  <c r="CT56" i="14"/>
  <c r="T59" i="14"/>
  <c r="BO24" i="15"/>
  <c r="BO33" i="15"/>
  <c r="EP33" i="15"/>
  <c r="T58" i="15"/>
  <c r="EP39" i="15"/>
  <c r="T56" i="15"/>
  <c r="GE39" i="13"/>
  <c r="BP56" i="13"/>
  <c r="BO39" i="13"/>
  <c r="FG56" i="13"/>
  <c r="FG58" i="13"/>
  <c r="CZ57" i="13"/>
  <c r="T58" i="13"/>
  <c r="BP59" i="13"/>
  <c r="CZ57" i="14"/>
  <c r="EP6" i="15"/>
  <c r="EP59" i="15" s="1"/>
  <c r="T59" i="15"/>
  <c r="FG6" i="15"/>
  <c r="FG59" i="15" s="1"/>
  <c r="EW59" i="15"/>
  <c r="EW56" i="15"/>
  <c r="BX59" i="12"/>
  <c r="DW59" i="12"/>
  <c r="DV51" i="12"/>
  <c r="DV59" i="12" s="1"/>
  <c r="DW58" i="12"/>
  <c r="FJ58" i="12"/>
  <c r="EP36" i="13"/>
  <c r="GW50" i="13"/>
  <c r="GE50" i="13" s="1"/>
  <c r="GE44" i="13"/>
  <c r="DV57" i="13"/>
  <c r="CZ58" i="13"/>
  <c r="T59" i="13"/>
  <c r="CZ59" i="14"/>
  <c r="D56" i="14"/>
  <c r="D58" i="14"/>
  <c r="CW56" i="14"/>
  <c r="GE39" i="14"/>
  <c r="DV57" i="14"/>
  <c r="AL58" i="14"/>
  <c r="BO57" i="15"/>
  <c r="BP50" i="10"/>
  <c r="BP57" i="10" s="1"/>
  <c r="GJ51" i="10"/>
  <c r="CZ39" i="11"/>
  <c r="FF51" i="11"/>
  <c r="FF58" i="11" s="1"/>
  <c r="FW51" i="11"/>
  <c r="FW58" i="11" s="1"/>
  <c r="W58" i="11"/>
  <c r="CS58" i="11"/>
  <c r="GW39" i="12"/>
  <c r="AN51" i="12"/>
  <c r="BE58" i="12"/>
  <c r="BU58" i="12"/>
  <c r="CD51" i="12"/>
  <c r="CV58" i="12"/>
  <c r="CV56" i="12"/>
  <c r="EF51" i="12"/>
  <c r="EO51" i="12"/>
  <c r="EX58" i="12"/>
  <c r="EW39" i="12"/>
  <c r="FF58" i="12"/>
  <c r="FZ51" i="12"/>
  <c r="GD57" i="12"/>
  <c r="GE50" i="12"/>
  <c r="Y51" i="12"/>
  <c r="N56" i="12"/>
  <c r="AX56" i="12"/>
  <c r="BX56" i="12"/>
  <c r="EX56" i="12"/>
  <c r="EP7" i="13"/>
  <c r="EP29" i="13"/>
  <c r="G59" i="14"/>
  <c r="EP7" i="14"/>
  <c r="EP21" i="14"/>
  <c r="GW50" i="14"/>
  <c r="GE50" i="14" s="1"/>
  <c r="EL56" i="14"/>
  <c r="GI56" i="14"/>
  <c r="AL59" i="15"/>
  <c r="EP10" i="15"/>
  <c r="BO17" i="15"/>
  <c r="EP19" i="15"/>
  <c r="EP41" i="15"/>
  <c r="EP57" i="15" s="1"/>
  <c r="T57" i="15"/>
  <c r="BO57" i="16"/>
  <c r="CK58" i="11"/>
  <c r="X51" i="12"/>
  <c r="X58" i="12" s="1"/>
  <c r="AF51" i="12"/>
  <c r="BW58" i="12"/>
  <c r="BW56" i="12"/>
  <c r="CE58" i="12"/>
  <c r="CE56" i="12"/>
  <c r="CN56" i="12"/>
  <c r="DV56" i="12"/>
  <c r="DV58" i="12"/>
  <c r="FH58" i="12"/>
  <c r="FG39" i="12"/>
  <c r="FH56" i="12"/>
  <c r="GA56" i="12"/>
  <c r="EP45" i="12"/>
  <c r="BN51" i="12"/>
  <c r="BN58" i="12" s="1"/>
  <c r="CN51" i="12"/>
  <c r="DM59" i="12"/>
  <c r="DM52" i="12"/>
  <c r="AG107" i="2" s="1"/>
  <c r="BG52" i="12"/>
  <c r="AG55" i="2" s="1"/>
  <c r="DG52" i="12"/>
  <c r="AG101" i="2" s="1"/>
  <c r="DM58" i="12"/>
  <c r="AG59" i="12"/>
  <c r="CE59" i="12"/>
  <c r="EP20" i="13"/>
  <c r="EP56" i="13" s="1"/>
  <c r="D56" i="13"/>
  <c r="CW56" i="13"/>
  <c r="BO57" i="13"/>
  <c r="EP51" i="13"/>
  <c r="EP58" i="13" s="1"/>
  <c r="EP6" i="14"/>
  <c r="EP14" i="14"/>
  <c r="EP33" i="14"/>
  <c r="T56" i="14"/>
  <c r="EP39" i="14"/>
  <c r="T58" i="14"/>
  <c r="EP57" i="14"/>
  <c r="T57" i="14"/>
  <c r="BP57" i="14"/>
  <c r="BO6" i="15"/>
  <c r="BO59" i="15" s="1"/>
  <c r="BP59" i="15"/>
  <c r="EP36" i="15"/>
  <c r="AG58" i="12"/>
  <c r="AQ58" i="12"/>
  <c r="AQ56" i="12"/>
  <c r="AY58" i="12"/>
  <c r="AY56" i="12"/>
  <c r="BG58" i="12"/>
  <c r="BG56" i="12"/>
  <c r="BO39" i="12"/>
  <c r="DX51" i="12"/>
  <c r="EH51" i="12"/>
  <c r="EZ58" i="12"/>
  <c r="EZ56" i="12"/>
  <c r="BP50" i="12"/>
  <c r="EQ57" i="12"/>
  <c r="CO51" i="12"/>
  <c r="DO51" i="12"/>
  <c r="GA51" i="12"/>
  <c r="BN56" i="12"/>
  <c r="CO56" i="12"/>
  <c r="DO56" i="12"/>
  <c r="CX57" i="12"/>
  <c r="BO59" i="13"/>
  <c r="EP46" i="13"/>
  <c r="AH58" i="14"/>
  <c r="AH56" i="14"/>
  <c r="EL59" i="14"/>
  <c r="EL52" i="14"/>
  <c r="AF5" i="3" s="1"/>
  <c r="G58" i="14"/>
  <c r="CT59" i="15"/>
  <c r="GE12" i="15"/>
  <c r="GW39" i="15"/>
  <c r="BO31" i="15"/>
  <c r="AL57" i="15"/>
  <c r="FG59" i="17"/>
  <c r="GW51" i="18"/>
  <c r="GE39" i="18"/>
  <c r="CT56" i="15"/>
  <c r="BP57" i="15"/>
  <c r="EP11" i="16"/>
  <c r="EP20" i="16"/>
  <c r="EP25" i="16"/>
  <c r="EP39" i="16"/>
  <c r="GW39" i="16"/>
  <c r="EP41" i="16"/>
  <c r="EP46" i="16"/>
  <c r="G57" i="16"/>
  <c r="CT58" i="16"/>
  <c r="G59" i="17"/>
  <c r="CZ59" i="17"/>
  <c r="EP28" i="17"/>
  <c r="EP48" i="17"/>
  <c r="BP56" i="17"/>
  <c r="EP59" i="18"/>
  <c r="EP9" i="18"/>
  <c r="EP18" i="18"/>
  <c r="EP24" i="18"/>
  <c r="CT56" i="18"/>
  <c r="BO57" i="18"/>
  <c r="FG57" i="18"/>
  <c r="BP56" i="18"/>
  <c r="BP57" i="18"/>
  <c r="EP56" i="19"/>
  <c r="EW54" i="19"/>
  <c r="FI39" i="12"/>
  <c r="O51" i="12"/>
  <c r="AW51" i="12"/>
  <c r="AW58" i="12" s="1"/>
  <c r="BE51" i="12"/>
  <c r="BM51" i="12"/>
  <c r="BU51" i="12"/>
  <c r="CL51" i="12"/>
  <c r="CL58" i="12" s="1"/>
  <c r="DB51" i="12"/>
  <c r="DB58" i="12" s="1"/>
  <c r="DJ51" i="12"/>
  <c r="DJ58" i="12" s="1"/>
  <c r="DR51" i="12"/>
  <c r="DZ51" i="12"/>
  <c r="EJ51" i="12"/>
  <c r="EJ58" i="12" s="1"/>
  <c r="AU56" i="12"/>
  <c r="BC56" i="12"/>
  <c r="BK56" i="12"/>
  <c r="BS56" i="12"/>
  <c r="CR56" i="12"/>
  <c r="DH56" i="12"/>
  <c r="DP56" i="12"/>
  <c r="DX56" i="12"/>
  <c r="EF56" i="12"/>
  <c r="FM56" i="12"/>
  <c r="GI56" i="12"/>
  <c r="E58" i="12"/>
  <c r="AS58" i="12"/>
  <c r="BA58" i="12"/>
  <c r="BI58" i="12"/>
  <c r="DF58" i="12"/>
  <c r="AH58" i="13"/>
  <c r="CW58" i="14"/>
  <c r="GW50" i="15"/>
  <c r="GE50" i="15" s="1"/>
  <c r="AH56" i="15"/>
  <c r="FG56" i="15"/>
  <c r="EW58" i="15"/>
  <c r="EP6" i="16"/>
  <c r="EP59" i="16" s="1"/>
  <c r="FG8" i="16"/>
  <c r="FG56" i="16" s="1"/>
  <c r="BO39" i="16"/>
  <c r="AL56" i="16"/>
  <c r="EW57" i="16"/>
  <c r="AH58" i="16"/>
  <c r="FI58" i="16"/>
  <c r="DV59" i="17"/>
  <c r="GW39" i="17"/>
  <c r="EP45" i="17"/>
  <c r="EP57" i="17" s="1"/>
  <c r="T56" i="17"/>
  <c r="EW57" i="17"/>
  <c r="AL59" i="18"/>
  <c r="G56" i="18"/>
  <c r="T56" i="18"/>
  <c r="EW57" i="18"/>
  <c r="AL58" i="18"/>
  <c r="FI54" i="19"/>
  <c r="EP55" i="19"/>
  <c r="FG55" i="19"/>
  <c r="BO56" i="21"/>
  <c r="BO54" i="21"/>
  <c r="FG54" i="21"/>
  <c r="BO55" i="21"/>
  <c r="EP59" i="17"/>
  <c r="CT56" i="17"/>
  <c r="T57" i="17"/>
  <c r="CT58" i="17"/>
  <c r="CZ56" i="18"/>
  <c r="CZ58" i="18"/>
  <c r="CT57" i="18"/>
  <c r="CT58" i="18"/>
  <c r="FG56" i="18"/>
  <c r="T57" i="18"/>
  <c r="BP59" i="18"/>
  <c r="AL54" i="19"/>
  <c r="FG50" i="15"/>
  <c r="FG57" i="15" s="1"/>
  <c r="BP56" i="15"/>
  <c r="BO59" i="16"/>
  <c r="FG6" i="16"/>
  <c r="FG59" i="16" s="1"/>
  <c r="D58" i="16"/>
  <c r="T58" i="16"/>
  <c r="BP58" i="16"/>
  <c r="CW58" i="16"/>
  <c r="EP38" i="17"/>
  <c r="G56" i="17"/>
  <c r="EP20" i="19"/>
  <c r="BP54" i="19"/>
  <c r="DV56" i="15"/>
  <c r="CZ56" i="17"/>
  <c r="BO59" i="18"/>
  <c r="EP39" i="18"/>
  <c r="T59" i="18"/>
  <c r="G54" i="19"/>
  <c r="CT54" i="19"/>
  <c r="BO55" i="19"/>
  <c r="C51" i="12"/>
  <c r="K51" i="12"/>
  <c r="K58" i="12" s="1"/>
  <c r="AS51" i="12"/>
  <c r="BA51" i="12"/>
  <c r="BI51" i="12"/>
  <c r="BQ51" i="12"/>
  <c r="CP51" i="12"/>
  <c r="CX51" i="12"/>
  <c r="DF51" i="12"/>
  <c r="DN51" i="12"/>
  <c r="DN58" i="12" s="1"/>
  <c r="C56" i="12"/>
  <c r="K56" i="12"/>
  <c r="EJ56" i="12"/>
  <c r="EH58" i="12"/>
  <c r="EW56" i="13"/>
  <c r="BO39" i="15"/>
  <c r="AL56" i="15"/>
  <c r="CT59" i="16"/>
  <c r="EP50" i="16"/>
  <c r="GW50" i="16"/>
  <c r="GE50" i="16" s="1"/>
  <c r="EP24" i="17"/>
  <c r="DV58" i="17"/>
  <c r="AH57" i="17"/>
  <c r="DV57" i="17"/>
  <c r="BO52" i="17"/>
  <c r="AB63" i="2" s="1"/>
  <c r="EP20" i="18"/>
  <c r="BO39" i="18"/>
  <c r="EW56" i="18"/>
  <c r="DV57" i="18"/>
  <c r="CW54" i="19"/>
  <c r="EP55" i="20"/>
  <c r="EW56" i="17"/>
  <c r="GW50" i="17"/>
  <c r="GE50" i="17" s="1"/>
  <c r="EW58" i="17"/>
  <c r="AH57" i="18"/>
  <c r="EP57" i="18"/>
  <c r="D54" i="19"/>
  <c r="FG54" i="20"/>
  <c r="BO56" i="22"/>
  <c r="FG55" i="22"/>
  <c r="E51" i="12"/>
  <c r="M51" i="12"/>
  <c r="M58" i="12" s="1"/>
  <c r="G59" i="16"/>
  <c r="CZ59" i="16"/>
  <c r="DV58" i="16"/>
  <c r="EP8" i="17"/>
  <c r="BO39" i="17"/>
  <c r="FG39" i="17"/>
  <c r="EP41" i="17"/>
  <c r="BO57" i="17"/>
  <c r="FG57" i="17"/>
  <c r="DV56" i="17"/>
  <c r="FI58" i="18"/>
  <c r="EP16" i="19"/>
  <c r="EP54" i="19" s="1"/>
  <c r="DV54" i="19"/>
  <c r="BO54" i="22"/>
  <c r="EW56" i="19"/>
  <c r="EP7" i="20"/>
  <c r="EP54" i="20" s="1"/>
  <c r="EP15" i="20"/>
  <c r="EP23" i="20"/>
  <c r="EP31" i="20"/>
  <c r="EP43" i="20"/>
  <c r="CZ54" i="20"/>
  <c r="EW55" i="20"/>
  <c r="AH56" i="20"/>
  <c r="EP56" i="20"/>
  <c r="FG56" i="20"/>
  <c r="EP8" i="21"/>
  <c r="EP54" i="21" s="1"/>
  <c r="EP11" i="21"/>
  <c r="EP14" i="21"/>
  <c r="EP39" i="21"/>
  <c r="AH54" i="21"/>
  <c r="CT54" i="21"/>
  <c r="G56" i="21"/>
  <c r="EP26" i="22"/>
  <c r="EP32" i="22"/>
  <c r="EP48" i="22"/>
  <c r="EP55" i="22" s="1"/>
  <c r="EP9" i="23"/>
  <c r="EP16" i="23"/>
  <c r="EP23" i="23"/>
  <c r="EP43" i="23"/>
  <c r="EP45" i="23"/>
  <c r="EP24" i="24"/>
  <c r="GE37" i="24"/>
  <c r="GD49" i="24"/>
  <c r="GE49" i="24" s="1"/>
  <c r="G49" i="24"/>
  <c r="DX50" i="27"/>
  <c r="EG50" i="27"/>
  <c r="EP39" i="17"/>
  <c r="G58" i="17"/>
  <c r="CZ58" i="17"/>
  <c r="G58" i="18"/>
  <c r="BO37" i="19"/>
  <c r="FG37" i="19"/>
  <c r="CZ54" i="19"/>
  <c r="EW55" i="19"/>
  <c r="CT56" i="19"/>
  <c r="GE48" i="20"/>
  <c r="G54" i="21"/>
  <c r="CZ55" i="21"/>
  <c r="T55" i="21"/>
  <c r="CW55" i="21"/>
  <c r="G54" i="22"/>
  <c r="BO48" i="22"/>
  <c r="BO55" i="22" s="1"/>
  <c r="GC49" i="22"/>
  <c r="CJ54" i="22"/>
  <c r="G56" i="22"/>
  <c r="EP11" i="23"/>
  <c r="EP19" i="24"/>
  <c r="FE49" i="24"/>
  <c r="FX49" i="24"/>
  <c r="BO7" i="25"/>
  <c r="EP7" i="25"/>
  <c r="BO30" i="25"/>
  <c r="EP30" i="25"/>
  <c r="D49" i="25"/>
  <c r="BP48" i="25"/>
  <c r="EP48" i="25" s="1"/>
  <c r="DV50" i="27"/>
  <c r="EQ50" i="27"/>
  <c r="EP49" i="27"/>
  <c r="EQ50" i="29"/>
  <c r="EP37" i="29"/>
  <c r="BP56" i="20"/>
  <c r="T54" i="21"/>
  <c r="BP54" i="21"/>
  <c r="T55" i="22"/>
  <c r="EP17" i="23"/>
  <c r="EP24" i="23"/>
  <c r="EP46" i="23"/>
  <c r="EP32" i="24"/>
  <c r="BO37" i="24"/>
  <c r="BN49" i="24"/>
  <c r="AO49" i="25"/>
  <c r="AL37" i="25"/>
  <c r="EW37" i="28"/>
  <c r="FG37" i="28" s="1"/>
  <c r="EX50" i="28"/>
  <c r="EW50" i="28" s="1"/>
  <c r="BS50" i="29"/>
  <c r="BP37" i="29"/>
  <c r="EH50" i="29"/>
  <c r="FI50" i="29" s="1"/>
  <c r="FI37" i="29"/>
  <c r="GE48" i="19"/>
  <c r="D56" i="19"/>
  <c r="T56" i="19"/>
  <c r="BP56" i="19"/>
  <c r="BO37" i="20"/>
  <c r="EW56" i="20"/>
  <c r="T55" i="20"/>
  <c r="CW56" i="20"/>
  <c r="D54" i="21"/>
  <c r="DV54" i="22"/>
  <c r="CJ55" i="22"/>
  <c r="CT54" i="22"/>
  <c r="AH49" i="24"/>
  <c r="BP37" i="24"/>
  <c r="EX49" i="24"/>
  <c r="EW37" i="24"/>
  <c r="FG37" i="24" s="1"/>
  <c r="U49" i="24"/>
  <c r="T49" i="24" s="1"/>
  <c r="EP49" i="24" s="1"/>
  <c r="CH49" i="24"/>
  <c r="CJ49" i="24" s="1"/>
  <c r="EU50" i="27"/>
  <c r="FG37" i="27"/>
  <c r="BO21" i="31"/>
  <c r="EP21" i="31"/>
  <c r="T55" i="19"/>
  <c r="BP55" i="19"/>
  <c r="CW56" i="19"/>
  <c r="FI56" i="19"/>
  <c r="T54" i="20"/>
  <c r="AL56" i="20"/>
  <c r="DV56" i="20"/>
  <c r="EP56" i="21"/>
  <c r="EW55" i="21"/>
  <c r="AL54" i="21"/>
  <c r="DV54" i="21"/>
  <c r="AL54" i="22"/>
  <c r="BO16" i="25"/>
  <c r="EP16" i="25"/>
  <c r="I49" i="25"/>
  <c r="G49" i="25" s="1"/>
  <c r="G37" i="25"/>
  <c r="CW49" i="25"/>
  <c r="BO21" i="26"/>
  <c r="EP21" i="26"/>
  <c r="BO23" i="27"/>
  <c r="EP23" i="27"/>
  <c r="AJ50" i="30"/>
  <c r="AH37" i="30"/>
  <c r="T54" i="19"/>
  <c r="AL56" i="19"/>
  <c r="DV56" i="19"/>
  <c r="G56" i="20"/>
  <c r="EP13" i="21"/>
  <c r="EW56" i="21"/>
  <c r="FG48" i="21"/>
  <c r="EP31" i="22"/>
  <c r="EW56" i="22"/>
  <c r="G55" i="22"/>
  <c r="FJ52" i="22"/>
  <c r="GE49" i="22" s="1"/>
  <c r="BP54" i="22"/>
  <c r="EP20" i="23"/>
  <c r="EP27" i="23"/>
  <c r="EP28" i="24"/>
  <c r="EP35" i="24"/>
  <c r="T37" i="24"/>
  <c r="EP37" i="24" s="1"/>
  <c r="GA49" i="24"/>
  <c r="J49" i="25"/>
  <c r="R49" i="25"/>
  <c r="FA49" i="25"/>
  <c r="EW49" i="25" s="1"/>
  <c r="EW37" i="25"/>
  <c r="FG37" i="25" s="1"/>
  <c r="BO38" i="25"/>
  <c r="EP38" i="25"/>
  <c r="AH49" i="25"/>
  <c r="DW49" i="25"/>
  <c r="BO28" i="27"/>
  <c r="EP28" i="27"/>
  <c r="FG50" i="27"/>
  <c r="EP23" i="21"/>
  <c r="EP46" i="21"/>
  <c r="EP55" i="21" s="1"/>
  <c r="CJ55" i="21"/>
  <c r="EP21" i="22"/>
  <c r="FG37" i="22"/>
  <c r="EP47" i="22"/>
  <c r="CZ55" i="22"/>
  <c r="CW54" i="22"/>
  <c r="D56" i="22"/>
  <c r="GC56" i="22"/>
  <c r="EP8" i="23"/>
  <c r="EP42" i="23"/>
  <c r="EP16" i="24"/>
  <c r="D37" i="24"/>
  <c r="AL37" i="24"/>
  <c r="FA49" i="24"/>
  <c r="BO40" i="24"/>
  <c r="EP40" i="24"/>
  <c r="FG48" i="24"/>
  <c r="FJ49" i="24"/>
  <c r="FI49" i="24" s="1"/>
  <c r="EP28" i="25"/>
  <c r="AS49" i="25"/>
  <c r="BI49" i="25"/>
  <c r="BR49" i="25"/>
  <c r="CA49" i="25"/>
  <c r="CI49" i="25"/>
  <c r="D50" i="26"/>
  <c r="BO50" i="26"/>
  <c r="BO44" i="26"/>
  <c r="EP44" i="26"/>
  <c r="BO7" i="27"/>
  <c r="EP7" i="27"/>
  <c r="EP43" i="21"/>
  <c r="EW54" i="21"/>
  <c r="CZ56" i="21"/>
  <c r="EP15" i="22"/>
  <c r="EP54" i="22" s="1"/>
  <c r="EP39" i="22"/>
  <c r="EP35" i="23"/>
  <c r="EP11" i="24"/>
  <c r="AL49" i="24"/>
  <c r="CT37" i="24"/>
  <c r="FX48" i="24"/>
  <c r="E49" i="24"/>
  <c r="D49" i="24" s="1"/>
  <c r="BQ49" i="24"/>
  <c r="BP49" i="24" s="1"/>
  <c r="CX49" i="24"/>
  <c r="CW49" i="24" s="1"/>
  <c r="EP10" i="25"/>
  <c r="EP33" i="25"/>
  <c r="EP37" i="25"/>
  <c r="T37" i="25"/>
  <c r="AK49" i="25"/>
  <c r="CZ37" i="25"/>
  <c r="DB49" i="25"/>
  <c r="FW49" i="25"/>
  <c r="FX49" i="25" s="1"/>
  <c r="FX37" i="25"/>
  <c r="CW48" i="25"/>
  <c r="BN49" i="25"/>
  <c r="BO28" i="26"/>
  <c r="EP28" i="26"/>
  <c r="BO12" i="27"/>
  <c r="EP12" i="27"/>
  <c r="EP37" i="27"/>
  <c r="CW49" i="29"/>
  <c r="CX50" i="29"/>
  <c r="CW50" i="29" s="1"/>
  <c r="C49" i="25"/>
  <c r="CH49" i="25"/>
  <c r="CZ49" i="25"/>
  <c r="CW50" i="26"/>
  <c r="EP42" i="26"/>
  <c r="DV37" i="28"/>
  <c r="DW50" i="28"/>
  <c r="DV50" i="28" s="1"/>
  <c r="FZ50" i="28"/>
  <c r="DX50" i="29"/>
  <c r="I50" i="30"/>
  <c r="G50" i="30" s="1"/>
  <c r="G37" i="30"/>
  <c r="AH50" i="30"/>
  <c r="AL50" i="40"/>
  <c r="EP19" i="26"/>
  <c r="BP50" i="26"/>
  <c r="CH50" i="26"/>
  <c r="CJ50" i="26" s="1"/>
  <c r="CJ37" i="26"/>
  <c r="EP37" i="26"/>
  <c r="EP41" i="26"/>
  <c r="FG49" i="26"/>
  <c r="AN50" i="26"/>
  <c r="AL50" i="26" s="1"/>
  <c r="DA50" i="26"/>
  <c r="CZ50" i="26" s="1"/>
  <c r="EH50" i="26"/>
  <c r="FI50" i="26" s="1"/>
  <c r="CW37" i="28"/>
  <c r="CY50" i="28"/>
  <c r="CW50" i="28" s="1"/>
  <c r="T50" i="29"/>
  <c r="EP49" i="29"/>
  <c r="O49" i="25"/>
  <c r="W49" i="25"/>
  <c r="T49" i="25" s="1"/>
  <c r="AE49" i="25"/>
  <c r="AM49" i="25"/>
  <c r="AL49" i="25" s="1"/>
  <c r="AU49" i="25"/>
  <c r="BC49" i="25"/>
  <c r="BK49" i="25"/>
  <c r="BS49" i="25"/>
  <c r="BP49" i="25" s="1"/>
  <c r="CB49" i="25"/>
  <c r="CR49" i="25"/>
  <c r="DH49" i="25"/>
  <c r="DP49" i="25"/>
  <c r="DX49" i="25"/>
  <c r="EG49" i="25"/>
  <c r="EQ49" i="25"/>
  <c r="EY49" i="25"/>
  <c r="FH49" i="25"/>
  <c r="FJ49" i="25"/>
  <c r="FI49" i="25" s="1"/>
  <c r="EP7" i="26"/>
  <c r="EP32" i="26"/>
  <c r="I50" i="26"/>
  <c r="G50" i="26" s="1"/>
  <c r="Q50" i="26"/>
  <c r="FG37" i="26"/>
  <c r="DX50" i="26"/>
  <c r="DV50" i="26" s="1"/>
  <c r="FH50" i="26"/>
  <c r="EP6" i="27"/>
  <c r="EP22" i="27"/>
  <c r="CW50" i="27"/>
  <c r="DV37" i="27"/>
  <c r="EP40" i="27"/>
  <c r="GE49" i="27"/>
  <c r="EP18" i="28"/>
  <c r="BO37" i="28"/>
  <c r="EP19" i="29"/>
  <c r="BP50" i="29"/>
  <c r="EP29" i="25"/>
  <c r="EP27" i="26"/>
  <c r="GD50" i="26"/>
  <c r="GE50" i="26" s="1"/>
  <c r="EP11" i="27"/>
  <c r="EP27" i="27"/>
  <c r="BO37" i="27"/>
  <c r="BN50" i="27"/>
  <c r="EP39" i="27"/>
  <c r="BQ50" i="27"/>
  <c r="BP50" i="27" s="1"/>
  <c r="CY50" i="27"/>
  <c r="EP30" i="28"/>
  <c r="BP37" i="28"/>
  <c r="EP37" i="28" s="1"/>
  <c r="BQ50" i="28"/>
  <c r="BP50" i="28" s="1"/>
  <c r="EP50" i="28" s="1"/>
  <c r="EP15" i="26"/>
  <c r="EP18" i="27"/>
  <c r="EP34" i="27"/>
  <c r="G50" i="27"/>
  <c r="AH50" i="27"/>
  <c r="BP37" i="27"/>
  <c r="CZ37" i="27"/>
  <c r="EP41" i="27"/>
  <c r="EP45" i="27"/>
  <c r="EP10" i="28"/>
  <c r="CJ37" i="28"/>
  <c r="BP49" i="28"/>
  <c r="EP49" i="28" s="1"/>
  <c r="BO33" i="29"/>
  <c r="EP33" i="29"/>
  <c r="O50" i="29"/>
  <c r="AP50" i="29"/>
  <c r="AL50" i="29" s="1"/>
  <c r="BN50" i="29"/>
  <c r="CO50" i="29"/>
  <c r="EP35" i="26"/>
  <c r="T37" i="26"/>
  <c r="FE50" i="26"/>
  <c r="FW50" i="26"/>
  <c r="FX50" i="26" s="1"/>
  <c r="FX37" i="26"/>
  <c r="EP46" i="26"/>
  <c r="AL49" i="26"/>
  <c r="GE49" i="26"/>
  <c r="X50" i="26"/>
  <c r="T50" i="26" s="1"/>
  <c r="EP50" i="26" s="1"/>
  <c r="EP22" i="28"/>
  <c r="FX49" i="28"/>
  <c r="DF50" i="29"/>
  <c r="FG37" i="29"/>
  <c r="FH50" i="29"/>
  <c r="FG50" i="29" s="1"/>
  <c r="FX50" i="29"/>
  <c r="EP17" i="25"/>
  <c r="D37" i="26"/>
  <c r="T49" i="26"/>
  <c r="EP49" i="26" s="1"/>
  <c r="FA50" i="26"/>
  <c r="EW50" i="26" s="1"/>
  <c r="DV49" i="27"/>
  <c r="EV50" i="29"/>
  <c r="FG49" i="29"/>
  <c r="EP11" i="30"/>
  <c r="BQ50" i="30"/>
  <c r="BP50" i="30" s="1"/>
  <c r="BP37" i="30"/>
  <c r="EP37" i="30" s="1"/>
  <c r="FJ53" i="27"/>
  <c r="EZ50" i="28"/>
  <c r="FI37" i="28"/>
  <c r="FJ53" i="30"/>
  <c r="FJ50" i="30"/>
  <c r="FX37" i="30"/>
  <c r="GE37" i="30"/>
  <c r="FG49" i="32"/>
  <c r="CT37" i="28"/>
  <c r="FJ50" i="28"/>
  <c r="FI50" i="28" s="1"/>
  <c r="FW50" i="28"/>
  <c r="FX50" i="28" s="1"/>
  <c r="FJ53" i="28"/>
  <c r="GE50" i="28" s="1"/>
  <c r="BO45" i="30"/>
  <c r="EP45" i="30"/>
  <c r="EP49" i="30"/>
  <c r="FJ53" i="31"/>
  <c r="GE50" i="31" s="1"/>
  <c r="GE37" i="31"/>
  <c r="FX37" i="31"/>
  <c r="FI37" i="31"/>
  <c r="BO16" i="32"/>
  <c r="EP16" i="32"/>
  <c r="BN50" i="28"/>
  <c r="BO50" i="28" s="1"/>
  <c r="EP32" i="29"/>
  <c r="Z50" i="29"/>
  <c r="BF50" i="29"/>
  <c r="BO37" i="29"/>
  <c r="EP32" i="30"/>
  <c r="DV49" i="30"/>
  <c r="EF50" i="31"/>
  <c r="EP37" i="31"/>
  <c r="EQ50" i="31"/>
  <c r="BO49" i="28"/>
  <c r="FE50" i="29"/>
  <c r="GD50" i="29"/>
  <c r="GE37" i="29"/>
  <c r="M50" i="30"/>
  <c r="X50" i="30"/>
  <c r="AF50" i="30"/>
  <c r="ES50" i="30"/>
  <c r="BO34" i="31"/>
  <c r="EP34" i="31"/>
  <c r="CX50" i="31"/>
  <c r="DV37" i="31"/>
  <c r="DW50" i="31"/>
  <c r="DV50" i="31" s="1"/>
  <c r="FD50" i="32"/>
  <c r="FW50" i="32"/>
  <c r="FX50" i="32" s="1"/>
  <c r="FX37" i="32"/>
  <c r="GD50" i="27"/>
  <c r="GE50" i="27" s="1"/>
  <c r="I50" i="29"/>
  <c r="G50" i="29" s="1"/>
  <c r="AR50" i="29"/>
  <c r="CH50" i="29"/>
  <c r="CJ50" i="29" s="1"/>
  <c r="EN50" i="29"/>
  <c r="EP46" i="29"/>
  <c r="EP20" i="30"/>
  <c r="AP50" i="30"/>
  <c r="AL50" i="30" s="1"/>
  <c r="BN50" i="30"/>
  <c r="BO50" i="30" s="1"/>
  <c r="FX50" i="30"/>
  <c r="EU50" i="32"/>
  <c r="FG50" i="32" s="1"/>
  <c r="G50" i="32"/>
  <c r="FF50" i="28"/>
  <c r="FG50" i="28" s="1"/>
  <c r="GE37" i="28"/>
  <c r="EP7" i="29"/>
  <c r="R50" i="29"/>
  <c r="BA50" i="29"/>
  <c r="CQ50" i="29"/>
  <c r="DG50" i="29"/>
  <c r="DW50" i="29"/>
  <c r="DV50" i="29" s="1"/>
  <c r="EO50" i="29"/>
  <c r="CU50" i="29"/>
  <c r="CT50" i="29" s="1"/>
  <c r="EP36" i="30"/>
  <c r="E50" i="30"/>
  <c r="D50" i="30" s="1"/>
  <c r="EW49" i="31"/>
  <c r="FG49" i="31" s="1"/>
  <c r="EX50" i="31"/>
  <c r="EW50" i="31" s="1"/>
  <c r="FJ50" i="31"/>
  <c r="FI50" i="31" s="1"/>
  <c r="EP27" i="32"/>
  <c r="BO27" i="32"/>
  <c r="T50" i="32"/>
  <c r="EP50" i="32" s="1"/>
  <c r="CJ50" i="32"/>
  <c r="BO20" i="33"/>
  <c r="EP20" i="33"/>
  <c r="FI49" i="29"/>
  <c r="DD50" i="30"/>
  <c r="EC50" i="30"/>
  <c r="FD50" i="30"/>
  <c r="FL50" i="30"/>
  <c r="AH49" i="30"/>
  <c r="AP50" i="31"/>
  <c r="AL50" i="31" s="1"/>
  <c r="AX50" i="31"/>
  <c r="CY50" i="31"/>
  <c r="T49" i="31"/>
  <c r="EP49" i="31" s="1"/>
  <c r="EW37" i="32"/>
  <c r="FG37" i="32" s="1"/>
  <c r="CZ49" i="32"/>
  <c r="EP31" i="33"/>
  <c r="EP32" i="33"/>
  <c r="BO11" i="34"/>
  <c r="GE50" i="30"/>
  <c r="F50" i="31"/>
  <c r="D49" i="31"/>
  <c r="CW37" i="30"/>
  <c r="EW37" i="30"/>
  <c r="FG37" i="30" s="1"/>
  <c r="EP9" i="31"/>
  <c r="EP20" i="31"/>
  <c r="CZ50" i="31"/>
  <c r="EP10" i="32"/>
  <c r="CU50" i="32"/>
  <c r="CT50" i="32" s="1"/>
  <c r="CT37" i="32"/>
  <c r="G49" i="32"/>
  <c r="AX50" i="30"/>
  <c r="BF50" i="30"/>
  <c r="CH50" i="30"/>
  <c r="CJ50" i="30" s="1"/>
  <c r="DW50" i="30"/>
  <c r="EP43" i="30"/>
  <c r="CU50" i="30"/>
  <c r="CT50" i="30" s="1"/>
  <c r="CT49" i="30"/>
  <c r="EP11" i="31"/>
  <c r="EP30" i="31"/>
  <c r="AJ50" i="31"/>
  <c r="AH50" i="31" s="1"/>
  <c r="AH37" i="31"/>
  <c r="CJ37" i="31"/>
  <c r="BQ50" i="31"/>
  <c r="BP50" i="31" s="1"/>
  <c r="EP21" i="33"/>
  <c r="DK50" i="29"/>
  <c r="FJ53" i="29"/>
  <c r="EP27" i="30"/>
  <c r="BG50" i="30"/>
  <c r="BO37" i="30"/>
  <c r="CQ50" i="30"/>
  <c r="CZ37" i="30"/>
  <c r="DH50" i="30"/>
  <c r="DP50" i="30"/>
  <c r="DX50" i="30"/>
  <c r="EG50" i="30"/>
  <c r="EY50" i="30"/>
  <c r="FH50" i="30"/>
  <c r="FG50" i="30" s="1"/>
  <c r="AL49" i="30"/>
  <c r="EW49" i="30"/>
  <c r="FG49" i="30" s="1"/>
  <c r="BO7" i="31"/>
  <c r="EP7" i="31"/>
  <c r="FG50" i="31"/>
  <c r="BO46" i="31"/>
  <c r="EP46" i="31"/>
  <c r="BO47" i="31"/>
  <c r="EP47" i="31"/>
  <c r="AL49" i="31"/>
  <c r="Y50" i="31"/>
  <c r="T50" i="31" s="1"/>
  <c r="CV50" i="31"/>
  <c r="CT50" i="31" s="1"/>
  <c r="EP15" i="32"/>
  <c r="AM50" i="32"/>
  <c r="AL50" i="32" s="1"/>
  <c r="AL37" i="32"/>
  <c r="BO48" i="32"/>
  <c r="EP48" i="32"/>
  <c r="BO27" i="34"/>
  <c r="CT37" i="34"/>
  <c r="CU50" i="34"/>
  <c r="CT50" i="34" s="1"/>
  <c r="CZ50" i="30"/>
  <c r="EH50" i="30"/>
  <c r="ER50" i="30"/>
  <c r="EP50" i="30" s="1"/>
  <c r="EZ50" i="30"/>
  <c r="FI37" i="30"/>
  <c r="FZ50" i="30"/>
  <c r="U50" i="30"/>
  <c r="T50" i="30" s="1"/>
  <c r="T49" i="30"/>
  <c r="CW49" i="30"/>
  <c r="H50" i="31"/>
  <c r="G50" i="31" s="1"/>
  <c r="G37" i="31"/>
  <c r="EJ50" i="32"/>
  <c r="ET50" i="32"/>
  <c r="CW50" i="32"/>
  <c r="I50" i="33"/>
  <c r="G50" i="33" s="1"/>
  <c r="G37" i="33"/>
  <c r="AL37" i="31"/>
  <c r="EP43" i="31"/>
  <c r="EP45" i="31"/>
  <c r="D37" i="32"/>
  <c r="T37" i="32"/>
  <c r="CW37" i="32"/>
  <c r="DU50" i="32"/>
  <c r="EP46" i="32"/>
  <c r="EP29" i="33"/>
  <c r="G49" i="33"/>
  <c r="FH50" i="34"/>
  <c r="FG50" i="34" s="1"/>
  <c r="EP26" i="32"/>
  <c r="FI37" i="32"/>
  <c r="CT49" i="32"/>
  <c r="D37" i="33"/>
  <c r="U50" i="33"/>
  <c r="T50" i="33" s="1"/>
  <c r="EP50" i="33" s="1"/>
  <c r="T37" i="33"/>
  <c r="EP37" i="33" s="1"/>
  <c r="CJ37" i="33"/>
  <c r="CH50" i="33"/>
  <c r="CJ50" i="33" s="1"/>
  <c r="BO15" i="34"/>
  <c r="EP19" i="34"/>
  <c r="H50" i="34"/>
  <c r="G50" i="34" s="1"/>
  <c r="P50" i="34"/>
  <c r="AL37" i="34"/>
  <c r="AM50" i="34"/>
  <c r="AL50" i="34" s="1"/>
  <c r="EG50" i="34"/>
  <c r="EY50" i="34"/>
  <c r="E50" i="31"/>
  <c r="EP39" i="32"/>
  <c r="DA50" i="33"/>
  <c r="CZ37" i="33"/>
  <c r="GE50" i="33"/>
  <c r="BO35" i="34"/>
  <c r="EP35" i="34"/>
  <c r="EX50" i="35"/>
  <c r="EW50" i="35" s="1"/>
  <c r="EW37" i="35"/>
  <c r="FG37" i="35" s="1"/>
  <c r="GE49" i="30"/>
  <c r="EW37" i="31"/>
  <c r="FG37" i="31" s="1"/>
  <c r="EP48" i="31"/>
  <c r="BP37" i="32"/>
  <c r="BO37" i="32" s="1"/>
  <c r="CA50" i="32"/>
  <c r="CZ37" i="32"/>
  <c r="FK50" i="32"/>
  <c r="BO37" i="33"/>
  <c r="DB50" i="33"/>
  <c r="DJ50" i="33"/>
  <c r="DR50" i="33"/>
  <c r="EA50" i="33"/>
  <c r="EM50" i="33"/>
  <c r="EP10" i="34"/>
  <c r="EP26" i="34"/>
  <c r="AM50" i="35"/>
  <c r="AL50" i="35" s="1"/>
  <c r="AL37" i="35"/>
  <c r="BO37" i="31"/>
  <c r="BN50" i="31"/>
  <c r="BO50" i="31" s="1"/>
  <c r="CW37" i="31"/>
  <c r="EP17" i="32"/>
  <c r="GC50" i="32"/>
  <c r="BQ50" i="33"/>
  <c r="BP50" i="33" s="1"/>
  <c r="BO50" i="33" s="1"/>
  <c r="BP37" i="33"/>
  <c r="CC50" i="33"/>
  <c r="CL50" i="33"/>
  <c r="I50" i="32"/>
  <c r="CS50" i="32"/>
  <c r="DB50" i="32"/>
  <c r="CZ50" i="32" s="1"/>
  <c r="DW50" i="32"/>
  <c r="DV50" i="32" s="1"/>
  <c r="EP33" i="33"/>
  <c r="BO49" i="33"/>
  <c r="FG49" i="33"/>
  <c r="EP50" i="35"/>
  <c r="CT49" i="36"/>
  <c r="CU50" i="36"/>
  <c r="CT50" i="36" s="1"/>
  <c r="T50" i="37"/>
  <c r="EP44" i="33"/>
  <c r="EP49" i="33"/>
  <c r="EP22" i="34"/>
  <c r="CX50" i="34"/>
  <c r="CW50" i="34" s="1"/>
  <c r="DF50" i="34"/>
  <c r="DN50" i="34"/>
  <c r="CJ50" i="35"/>
  <c r="T37" i="36"/>
  <c r="U50" i="36"/>
  <c r="T50" i="36" s="1"/>
  <c r="BN50" i="36"/>
  <c r="BO50" i="36" s="1"/>
  <c r="BO37" i="36"/>
  <c r="EC50" i="36"/>
  <c r="EN50" i="36"/>
  <c r="D37" i="37"/>
  <c r="F50" i="37"/>
  <c r="D50" i="37" s="1"/>
  <c r="CJ50" i="34"/>
  <c r="EP38" i="34"/>
  <c r="EP43" i="34"/>
  <c r="T49" i="34"/>
  <c r="EP49" i="34" s="1"/>
  <c r="EP12" i="35"/>
  <c r="DK50" i="36"/>
  <c r="DS50" i="36"/>
  <c r="FJ53" i="36"/>
  <c r="FJ50" i="36"/>
  <c r="EP14" i="34"/>
  <c r="T37" i="34"/>
  <c r="EP37" i="34" s="1"/>
  <c r="EP48" i="34"/>
  <c r="D49" i="34"/>
  <c r="D37" i="36"/>
  <c r="E50" i="36"/>
  <c r="D50" i="36" s="1"/>
  <c r="EP47" i="34"/>
  <c r="EP16" i="35"/>
  <c r="AH50" i="35"/>
  <c r="EP41" i="32"/>
  <c r="AC50" i="33"/>
  <c r="AK50" i="33"/>
  <c r="AS50" i="33"/>
  <c r="BA50" i="33"/>
  <c r="BI50" i="33"/>
  <c r="BU50" i="33"/>
  <c r="CD50" i="33"/>
  <c r="CM50" i="33"/>
  <c r="CU50" i="33"/>
  <c r="CT50" i="33" s="1"/>
  <c r="EX50" i="33"/>
  <c r="EW50" i="33" s="1"/>
  <c r="FG50" i="33" s="1"/>
  <c r="EW37" i="33"/>
  <c r="FG37" i="33" s="1"/>
  <c r="CZ49" i="33"/>
  <c r="EP6" i="34"/>
  <c r="N50" i="34"/>
  <c r="Y50" i="34"/>
  <c r="T50" i="34" s="1"/>
  <c r="EP50" i="34" s="1"/>
  <c r="AI50" i="34"/>
  <c r="AH50" i="34" s="1"/>
  <c r="AR50" i="34"/>
  <c r="AZ50" i="34"/>
  <c r="BH50" i="34"/>
  <c r="FW50" i="34"/>
  <c r="FX50" i="34" s="1"/>
  <c r="FX37" i="34"/>
  <c r="GI50" i="34"/>
  <c r="AH37" i="34"/>
  <c r="DV37" i="34"/>
  <c r="FG37" i="34"/>
  <c r="BO50" i="35"/>
  <c r="ES50" i="35"/>
  <c r="FG50" i="35" s="1"/>
  <c r="FA50" i="35"/>
  <c r="FK50" i="35"/>
  <c r="CV50" i="36"/>
  <c r="GE50" i="36"/>
  <c r="BO33" i="37"/>
  <c r="EP33" i="37"/>
  <c r="G37" i="34"/>
  <c r="EP30" i="35"/>
  <c r="D37" i="35"/>
  <c r="CZ50" i="35"/>
  <c r="BO11" i="36"/>
  <c r="EP11" i="36"/>
  <c r="G50" i="36"/>
  <c r="CF50" i="36"/>
  <c r="CX50" i="36"/>
  <c r="CW50" i="36" s="1"/>
  <c r="CW37" i="36"/>
  <c r="DV37" i="36"/>
  <c r="EW37" i="36"/>
  <c r="FA50" i="36"/>
  <c r="EW50" i="36" s="1"/>
  <c r="GE37" i="36"/>
  <c r="BO45" i="36"/>
  <c r="EP45" i="36"/>
  <c r="EP48" i="35"/>
  <c r="FG49" i="35"/>
  <c r="EP29" i="36"/>
  <c r="AL50" i="36"/>
  <c r="FI37" i="36"/>
  <c r="EH50" i="36"/>
  <c r="FI50" i="36" s="1"/>
  <c r="EP50" i="37"/>
  <c r="FJ53" i="34"/>
  <c r="GE50" i="34" s="1"/>
  <c r="EP26" i="35"/>
  <c r="AJ50" i="35"/>
  <c r="AH37" i="35"/>
  <c r="CT37" i="35"/>
  <c r="GE37" i="35"/>
  <c r="T49" i="35"/>
  <c r="EP6" i="36"/>
  <c r="CH50" i="36"/>
  <c r="CJ50" i="36" s="1"/>
  <c r="CJ37" i="36"/>
  <c r="BO20" i="37"/>
  <c r="H50" i="35"/>
  <c r="G50" i="35" s="1"/>
  <c r="G37" i="35"/>
  <c r="P50" i="35"/>
  <c r="EP49" i="35"/>
  <c r="EP20" i="36"/>
  <c r="FE50" i="36"/>
  <c r="CJ49" i="37"/>
  <c r="CH50" i="37"/>
  <c r="EP43" i="37"/>
  <c r="FG49" i="37"/>
  <c r="BO26" i="38"/>
  <c r="EP26" i="38"/>
  <c r="AQ50" i="35"/>
  <c r="AY50" i="35"/>
  <c r="BG50" i="35"/>
  <c r="BO37" i="35"/>
  <c r="CA50" i="35"/>
  <c r="CI50" i="35"/>
  <c r="CQ50" i="35"/>
  <c r="CY50" i="35"/>
  <c r="CW50" i="35" s="1"/>
  <c r="DG50" i="35"/>
  <c r="DO50" i="35"/>
  <c r="DW50" i="35"/>
  <c r="DV50" i="35" s="1"/>
  <c r="EH50" i="35"/>
  <c r="ER50" i="35"/>
  <c r="EZ50" i="35"/>
  <c r="FI37" i="35"/>
  <c r="FZ50" i="35"/>
  <c r="G37" i="36"/>
  <c r="EV50" i="36"/>
  <c r="FX37" i="36"/>
  <c r="BO8" i="37"/>
  <c r="DB50" i="37"/>
  <c r="CZ37" i="37"/>
  <c r="FX37" i="37"/>
  <c r="FJ50" i="37"/>
  <c r="AL37" i="38"/>
  <c r="CW50" i="38"/>
  <c r="FJ53" i="35"/>
  <c r="GE50" i="35" s="1"/>
  <c r="FJ50" i="35"/>
  <c r="FX50" i="35" s="1"/>
  <c r="FF50" i="36"/>
  <c r="FW50" i="36"/>
  <c r="FX50" i="36" s="1"/>
  <c r="EP11" i="37"/>
  <c r="EP19" i="37"/>
  <c r="FJ53" i="37"/>
  <c r="G50" i="38"/>
  <c r="AL37" i="36"/>
  <c r="CE50" i="36"/>
  <c r="FH50" i="36"/>
  <c r="FG37" i="36"/>
  <c r="BO28" i="37"/>
  <c r="GD50" i="37"/>
  <c r="GE50" i="37" s="1"/>
  <c r="GE37" i="37"/>
  <c r="AL37" i="39"/>
  <c r="AO50" i="39"/>
  <c r="BO46" i="39"/>
  <c r="CN50" i="36"/>
  <c r="EQ50" i="36"/>
  <c r="EP50" i="36" s="1"/>
  <c r="EP37" i="36"/>
  <c r="EP13" i="37"/>
  <c r="AI50" i="37"/>
  <c r="AH50" i="37" s="1"/>
  <c r="AH37" i="37"/>
  <c r="CT50" i="37"/>
  <c r="FI37" i="37"/>
  <c r="ES50" i="37"/>
  <c r="FG50" i="37" s="1"/>
  <c r="BN50" i="39"/>
  <c r="BO50" i="39" s="1"/>
  <c r="BO37" i="39"/>
  <c r="AL37" i="37"/>
  <c r="DV37" i="37"/>
  <c r="DW50" i="37"/>
  <c r="DV50" i="37" s="1"/>
  <c r="EI50" i="37"/>
  <c r="BO25" i="39"/>
  <c r="EP25" i="39"/>
  <c r="AH50" i="39"/>
  <c r="CY50" i="37"/>
  <c r="CW50" i="37" s="1"/>
  <c r="DG50" i="37"/>
  <c r="DO50" i="37"/>
  <c r="EP42" i="37"/>
  <c r="EP49" i="37"/>
  <c r="AL50" i="37"/>
  <c r="EW50" i="37"/>
  <c r="EP10" i="38"/>
  <c r="AP50" i="37"/>
  <c r="AX50" i="37"/>
  <c r="BF50" i="37"/>
  <c r="BN50" i="37"/>
  <c r="BO50" i="37" s="1"/>
  <c r="CA50" i="37"/>
  <c r="CI50" i="37"/>
  <c r="CQ50" i="37"/>
  <c r="EP41" i="37"/>
  <c r="T37" i="37"/>
  <c r="EP37" i="37" s="1"/>
  <c r="Y50" i="37"/>
  <c r="BO37" i="37"/>
  <c r="CJ37" i="37"/>
  <c r="CZ50" i="37"/>
  <c r="EW37" i="37"/>
  <c r="FG37" i="37" s="1"/>
  <c r="GA50" i="37"/>
  <c r="AL49" i="37"/>
  <c r="EP14" i="38"/>
  <c r="FG37" i="39"/>
  <c r="FX37" i="39"/>
  <c r="EU50" i="39"/>
  <c r="CH50" i="39"/>
  <c r="CJ50" i="39" s="1"/>
  <c r="CJ37" i="39"/>
  <c r="T50" i="38"/>
  <c r="EP50" i="38" s="1"/>
  <c r="GE37" i="38"/>
  <c r="FG49" i="38"/>
  <c r="EP13" i="39"/>
  <c r="N50" i="39"/>
  <c r="Y50" i="39"/>
  <c r="T50" i="39" s="1"/>
  <c r="EP50" i="39" s="1"/>
  <c r="EW37" i="40"/>
  <c r="FG37" i="40" s="1"/>
  <c r="EX50" i="40"/>
  <c r="EW50" i="40" s="1"/>
  <c r="R50" i="40"/>
  <c r="CT37" i="38"/>
  <c r="EW37" i="38"/>
  <c r="FG37" i="38" s="1"/>
  <c r="FX37" i="38"/>
  <c r="T49" i="38"/>
  <c r="EP49" i="38" s="1"/>
  <c r="F50" i="39"/>
  <c r="D50" i="39" s="1"/>
  <c r="AJ50" i="39"/>
  <c r="BO39" i="39"/>
  <c r="EP45" i="39"/>
  <c r="EP17" i="40"/>
  <c r="AP50" i="40"/>
  <c r="AL37" i="40"/>
  <c r="EP25" i="38"/>
  <c r="EP37" i="38"/>
  <c r="EW50" i="38"/>
  <c r="Z50" i="38"/>
  <c r="U50" i="40"/>
  <c r="T37" i="40"/>
  <c r="EP37" i="40" s="1"/>
  <c r="T49" i="40"/>
  <c r="EP49" i="40" s="1"/>
  <c r="G37" i="38"/>
  <c r="EU50" i="38"/>
  <c r="FG50" i="38" s="1"/>
  <c r="AL50" i="39"/>
  <c r="FM50" i="39"/>
  <c r="AH49" i="39"/>
  <c r="CT50" i="40"/>
  <c r="D49" i="40"/>
  <c r="G37" i="39"/>
  <c r="M50" i="40"/>
  <c r="Y50" i="40"/>
  <c r="AI50" i="40"/>
  <c r="AH50" i="40" s="1"/>
  <c r="AQ50" i="40"/>
  <c r="AY50" i="40"/>
  <c r="BG50" i="40"/>
  <c r="CC50" i="40"/>
  <c r="FI37" i="38"/>
  <c r="EP7" i="39"/>
  <c r="EP23" i="39"/>
  <c r="EW50" i="39"/>
  <c r="FG50" i="39" s="1"/>
  <c r="E50" i="40"/>
  <c r="D37" i="40"/>
  <c r="N50" i="40"/>
  <c r="AA50" i="40"/>
  <c r="AJ50" i="40"/>
  <c r="AR50" i="40"/>
  <c r="AZ50" i="40"/>
  <c r="BH50" i="40"/>
  <c r="BO46" i="40"/>
  <c r="EP46" i="40"/>
  <c r="CW49" i="40"/>
  <c r="H50" i="40"/>
  <c r="G50" i="40" s="1"/>
  <c r="EP25" i="40"/>
  <c r="EP35" i="40"/>
  <c r="F50" i="40"/>
  <c r="O50" i="40"/>
  <c r="FL50" i="40"/>
  <c r="GD50" i="40"/>
  <c r="CJ37" i="38"/>
  <c r="EP19" i="39"/>
  <c r="EP35" i="39"/>
  <c r="EP11" i="40"/>
  <c r="CW50" i="40"/>
  <c r="FM50" i="40"/>
  <c r="GI50" i="40"/>
  <c r="CW37" i="39"/>
  <c r="EH50" i="39"/>
  <c r="FI50" i="39" s="1"/>
  <c r="EP27" i="40"/>
  <c r="CY50" i="40"/>
  <c r="DI50" i="40"/>
  <c r="DQ50" i="40"/>
  <c r="EA50" i="40"/>
  <c r="EM50" i="40"/>
  <c r="EU50" i="40"/>
  <c r="FG50" i="40" s="1"/>
  <c r="FD50" i="40"/>
  <c r="FW50" i="40"/>
  <c r="FX50" i="40" s="1"/>
  <c r="CW37" i="40"/>
  <c r="BN50" i="40"/>
  <c r="BO50" i="40" s="1"/>
  <c r="CI50" i="40"/>
  <c r="CJ50" i="40" s="1"/>
  <c r="GY52" i="7" l="1"/>
  <c r="GG51" i="7"/>
  <c r="EP56" i="11"/>
  <c r="FG56" i="11"/>
  <c r="BR52" i="12"/>
  <c r="BR59" i="12" s="1"/>
  <c r="D50" i="40"/>
  <c r="CW50" i="31"/>
  <c r="EP49" i="25"/>
  <c r="FG55" i="21"/>
  <c r="FG56" i="21"/>
  <c r="EP50" i="29"/>
  <c r="EP56" i="22"/>
  <c r="DF52" i="12"/>
  <c r="AG100" i="2" s="1"/>
  <c r="C52" i="12"/>
  <c r="BO56" i="16"/>
  <c r="BO58" i="16"/>
  <c r="DR59" i="12"/>
  <c r="DR52" i="12"/>
  <c r="AG112" i="2" s="1"/>
  <c r="O52" i="12"/>
  <c r="AG18" i="2" s="1"/>
  <c r="O59" i="12"/>
  <c r="GE39" i="16"/>
  <c r="GW51" i="16"/>
  <c r="GE51" i="18"/>
  <c r="GW52" i="18"/>
  <c r="GE52" i="18" s="1"/>
  <c r="AB65" i="3" s="1"/>
  <c r="BP57" i="12"/>
  <c r="BO50" i="12"/>
  <c r="BO57" i="12" s="1"/>
  <c r="FG56" i="12"/>
  <c r="EO58" i="12"/>
  <c r="EO52" i="12"/>
  <c r="AH19" i="3" s="1"/>
  <c r="EP58" i="15"/>
  <c r="EP56" i="15"/>
  <c r="FC59" i="12"/>
  <c r="FC52" i="12"/>
  <c r="AH31" i="3" s="1"/>
  <c r="FE59" i="11"/>
  <c r="FE52" i="11"/>
  <c r="AI33" i="3" s="1"/>
  <c r="AB52" i="11"/>
  <c r="AH29" i="2" s="1"/>
  <c r="EH52" i="11"/>
  <c r="EH59" i="11"/>
  <c r="EH58" i="11"/>
  <c r="FI51" i="11"/>
  <c r="AC59" i="11"/>
  <c r="AC58" i="11"/>
  <c r="AC52" i="11"/>
  <c r="ES59" i="12"/>
  <c r="DP59" i="12"/>
  <c r="L59" i="11"/>
  <c r="L52" i="11"/>
  <c r="CS59" i="12"/>
  <c r="AN52" i="11"/>
  <c r="AH38" i="2" s="1"/>
  <c r="EX59" i="11"/>
  <c r="DU59" i="12"/>
  <c r="D57" i="12"/>
  <c r="V59" i="12"/>
  <c r="DL59" i="11"/>
  <c r="CF59" i="12"/>
  <c r="BC59" i="12"/>
  <c r="FK52" i="11"/>
  <c r="FK59" i="11"/>
  <c r="FK58" i="11"/>
  <c r="EP59" i="13"/>
  <c r="CA52" i="12"/>
  <c r="AG75" i="2" s="1"/>
  <c r="DF52" i="11"/>
  <c r="AH100" i="2" s="1"/>
  <c r="CS59" i="11"/>
  <c r="GB52" i="11"/>
  <c r="AI62" i="3" s="1"/>
  <c r="T56" i="10"/>
  <c r="EQ39" i="10"/>
  <c r="T58" i="10"/>
  <c r="GA59" i="11"/>
  <c r="GA52" i="11"/>
  <c r="AI61" i="3" s="1"/>
  <c r="EF59" i="11"/>
  <c r="AT59" i="11"/>
  <c r="AT52" i="11"/>
  <c r="AH42" i="2" s="1"/>
  <c r="AJ58" i="9"/>
  <c r="AJ56" i="9"/>
  <c r="GX51" i="10"/>
  <c r="GF39" i="10"/>
  <c r="AH6" i="2"/>
  <c r="AI7" i="3"/>
  <c r="AI11" i="3"/>
  <c r="AH13" i="2"/>
  <c r="EN59" i="7"/>
  <c r="EN52" i="7"/>
  <c r="ER59" i="8"/>
  <c r="GG52" i="7"/>
  <c r="AM65" i="3" s="1"/>
  <c r="AJ58" i="7"/>
  <c r="AJ56" i="7"/>
  <c r="FI58" i="5"/>
  <c r="FI56" i="5"/>
  <c r="ER58" i="5"/>
  <c r="ER56" i="5"/>
  <c r="AW52" i="12"/>
  <c r="AG45" i="2" s="1"/>
  <c r="AQ59" i="11"/>
  <c r="AQ52" i="11"/>
  <c r="AH39" i="2" s="1"/>
  <c r="AN56" i="9"/>
  <c r="AN58" i="9"/>
  <c r="T56" i="8"/>
  <c r="T58" i="8"/>
  <c r="ER39" i="8"/>
  <c r="ES52" i="11"/>
  <c r="ES59" i="11" s="1"/>
  <c r="T56" i="7"/>
  <c r="T58" i="7"/>
  <c r="ER39" i="7"/>
  <c r="FX50" i="37"/>
  <c r="FI50" i="37"/>
  <c r="D50" i="31"/>
  <c r="EP37" i="32"/>
  <c r="GE50" i="29"/>
  <c r="BO50" i="29"/>
  <c r="BO50" i="27"/>
  <c r="EP56" i="17"/>
  <c r="EP58" i="17"/>
  <c r="BO58" i="15"/>
  <c r="BO56" i="15"/>
  <c r="CW51" i="12"/>
  <c r="CX52" i="12"/>
  <c r="CX59" i="12"/>
  <c r="DJ52" i="12"/>
  <c r="AG104" i="2" s="1"/>
  <c r="EP58" i="16"/>
  <c r="EP56" i="16"/>
  <c r="EP58" i="14"/>
  <c r="EP56" i="14"/>
  <c r="Y52" i="12"/>
  <c r="Y59" i="12"/>
  <c r="EF52" i="12"/>
  <c r="AG127" i="2" s="1"/>
  <c r="EF58" i="12"/>
  <c r="AN52" i="12"/>
  <c r="AG38" i="2" s="1"/>
  <c r="CZ58" i="11"/>
  <c r="CZ56" i="11"/>
  <c r="EU52" i="12"/>
  <c r="AH25" i="3" s="1"/>
  <c r="EU58" i="12"/>
  <c r="Z59" i="12"/>
  <c r="Z52" i="12"/>
  <c r="EZ52" i="12"/>
  <c r="AH30" i="3" s="1"/>
  <c r="EZ59" i="12"/>
  <c r="ET52" i="12"/>
  <c r="AH24" i="3" s="1"/>
  <c r="ET59" i="12"/>
  <c r="BY52" i="12"/>
  <c r="AG73" i="2" s="1"/>
  <c r="BY59" i="12"/>
  <c r="ET52" i="11"/>
  <c r="AI24" i="3" s="1"/>
  <c r="ET58" i="11"/>
  <c r="P59" i="11"/>
  <c r="P52" i="11"/>
  <c r="AH19" i="2" s="1"/>
  <c r="DQ52" i="11"/>
  <c r="AH111" i="2" s="1"/>
  <c r="FL52" i="12"/>
  <c r="AH41" i="3" s="1"/>
  <c r="EI52" i="12"/>
  <c r="AG130" i="2" s="1"/>
  <c r="EI54" i="12"/>
  <c r="EI59" i="12"/>
  <c r="EC59" i="11"/>
  <c r="FG51" i="11"/>
  <c r="EO59" i="11"/>
  <c r="EO52" i="11"/>
  <c r="AI19" i="3" s="1"/>
  <c r="CJ51" i="12"/>
  <c r="CI52" i="12"/>
  <c r="CI59" i="12"/>
  <c r="T56" i="12"/>
  <c r="T58" i="12"/>
  <c r="AX52" i="11"/>
  <c r="AH46" i="2" s="1"/>
  <c r="AX59" i="11"/>
  <c r="GW51" i="14"/>
  <c r="EN52" i="12"/>
  <c r="AH17" i="3" s="1"/>
  <c r="CK52" i="12"/>
  <c r="AG85" i="2" s="1"/>
  <c r="CK59" i="12"/>
  <c r="BB52" i="12"/>
  <c r="AG50" i="2" s="1"/>
  <c r="EL52" i="11"/>
  <c r="EL59" i="11"/>
  <c r="P58" i="11"/>
  <c r="F52" i="11"/>
  <c r="AH9" i="2" s="1"/>
  <c r="P59" i="12"/>
  <c r="N52" i="11"/>
  <c r="AH17" i="2" s="1"/>
  <c r="V52" i="11"/>
  <c r="AH26" i="2" s="1"/>
  <c r="EQ57" i="10"/>
  <c r="BJ52" i="11"/>
  <c r="AH58" i="2" s="1"/>
  <c r="BF59" i="11"/>
  <c r="BS52" i="11"/>
  <c r="BS59" i="11" s="1"/>
  <c r="C59" i="11"/>
  <c r="CI59" i="11"/>
  <c r="CJ51" i="11"/>
  <c r="CI52" i="11"/>
  <c r="AS59" i="11"/>
  <c r="GY51" i="8"/>
  <c r="GG39" i="8"/>
  <c r="EN58" i="7"/>
  <c r="GK52" i="6"/>
  <c r="AN69" i="3" s="1"/>
  <c r="FI57" i="6"/>
  <c r="FI58" i="6"/>
  <c r="ER59" i="6"/>
  <c r="AI43" i="3"/>
  <c r="AI42" i="3"/>
  <c r="FG50" i="12"/>
  <c r="FG57" i="12" s="1"/>
  <c r="O52" i="11"/>
  <c r="AH18" i="2" s="1"/>
  <c r="T56" i="11"/>
  <c r="BO56" i="11"/>
  <c r="BR52" i="11"/>
  <c r="BR59" i="11" s="1"/>
  <c r="T50" i="40"/>
  <c r="EP50" i="40" s="1"/>
  <c r="EP50" i="27"/>
  <c r="CP52" i="12"/>
  <c r="AG90" i="2" s="1"/>
  <c r="GE39" i="17"/>
  <c r="GW51" i="17"/>
  <c r="DB52" i="12"/>
  <c r="DB59" i="12" s="1"/>
  <c r="BO59" i="17"/>
  <c r="CN59" i="12"/>
  <c r="CN52" i="12"/>
  <c r="AG88" i="2" s="1"/>
  <c r="AF52" i="12"/>
  <c r="AG33" i="2" s="1"/>
  <c r="GW51" i="12"/>
  <c r="GE39" i="12"/>
  <c r="GJ59" i="10"/>
  <c r="GJ52" i="10"/>
  <c r="AJ69" i="3" s="1"/>
  <c r="AV52" i="12"/>
  <c r="AG44" i="2" s="1"/>
  <c r="FX51" i="12"/>
  <c r="FW59" i="12"/>
  <c r="FW52" i="12"/>
  <c r="CQ52" i="12"/>
  <c r="AG91" i="2" s="1"/>
  <c r="CZ51" i="12"/>
  <c r="DA52" i="12"/>
  <c r="CZ52" i="12" s="1"/>
  <c r="AG96" i="2" s="1"/>
  <c r="ED52" i="11"/>
  <c r="AH123" i="2" s="1"/>
  <c r="DI52" i="11"/>
  <c r="AH103" i="2" s="1"/>
  <c r="DI59" i="11"/>
  <c r="U52" i="11"/>
  <c r="T51" i="11"/>
  <c r="U59" i="11"/>
  <c r="U58" i="11"/>
  <c r="W52" i="12"/>
  <c r="AG27" i="2" s="1"/>
  <c r="W59" i="12"/>
  <c r="EB52" i="11"/>
  <c r="AH121" i="2" s="1"/>
  <c r="FG50" i="11"/>
  <c r="FG57" i="11" s="1"/>
  <c r="DW52" i="11"/>
  <c r="DV52" i="11" s="1"/>
  <c r="AH116" i="2" s="1"/>
  <c r="DV51" i="11"/>
  <c r="AQ58" i="11"/>
  <c r="BG59" i="12"/>
  <c r="AL51" i="12"/>
  <c r="AM52" i="12"/>
  <c r="AM59" i="12"/>
  <c r="GE52" i="11"/>
  <c r="AI64" i="3"/>
  <c r="CX52" i="11"/>
  <c r="CX59" i="11"/>
  <c r="CW51" i="11"/>
  <c r="CC52" i="12"/>
  <c r="AG77" i="2" s="1"/>
  <c r="AI52" i="11"/>
  <c r="AH52" i="11" s="1"/>
  <c r="AH35" i="2" s="1"/>
  <c r="AH51" i="11"/>
  <c r="AH59" i="11" s="1"/>
  <c r="DL52" i="12"/>
  <c r="AG106" i="2" s="1"/>
  <c r="R52" i="12"/>
  <c r="R59" i="12" s="1"/>
  <c r="DJ52" i="11"/>
  <c r="AH104" i="2" s="1"/>
  <c r="DJ59" i="11"/>
  <c r="BK59" i="11"/>
  <c r="BK58" i="11"/>
  <c r="BK52" i="11"/>
  <c r="AH59" i="2" s="1"/>
  <c r="ER57" i="9"/>
  <c r="AH28" i="3"/>
  <c r="EV52" i="12"/>
  <c r="AH26" i="3" s="1"/>
  <c r="EV59" i="12"/>
  <c r="EC52" i="12"/>
  <c r="AG122" i="2" s="1"/>
  <c r="DC52" i="12"/>
  <c r="DC59" i="12"/>
  <c r="AI12" i="3"/>
  <c r="AH14" i="2"/>
  <c r="K59" i="11"/>
  <c r="AH36" i="3"/>
  <c r="EB58" i="11"/>
  <c r="ES58" i="11"/>
  <c r="ER59" i="9"/>
  <c r="FI58" i="8"/>
  <c r="FI56" i="8"/>
  <c r="AM64" i="3"/>
  <c r="T58" i="6"/>
  <c r="ER39" i="6"/>
  <c r="T56" i="6"/>
  <c r="CJ49" i="25"/>
  <c r="EW49" i="24"/>
  <c r="FG49" i="24" s="1"/>
  <c r="M59" i="12"/>
  <c r="M52" i="12"/>
  <c r="AG16" i="2" s="1"/>
  <c r="BQ52" i="12"/>
  <c r="BP51" i="12"/>
  <c r="CX58" i="12"/>
  <c r="CL52" i="12"/>
  <c r="AG86" i="2" s="1"/>
  <c r="CL59" i="12"/>
  <c r="GA52" i="12"/>
  <c r="AH61" i="3" s="1"/>
  <c r="FI51" i="12"/>
  <c r="EH52" i="12"/>
  <c r="EH59" i="12"/>
  <c r="BN52" i="12"/>
  <c r="X59" i="12"/>
  <c r="X52" i="12"/>
  <c r="AG28" i="2" s="1"/>
  <c r="BO58" i="13"/>
  <c r="BO56" i="13"/>
  <c r="AH40" i="3"/>
  <c r="AH39" i="3"/>
  <c r="Q52" i="12"/>
  <c r="AG20" i="2" s="1"/>
  <c r="Q59" i="12"/>
  <c r="BR58" i="12"/>
  <c r="AH42" i="3"/>
  <c r="DR52" i="11"/>
  <c r="AH112" i="2" s="1"/>
  <c r="DR59" i="11"/>
  <c r="CZ51" i="11"/>
  <c r="DA52" i="11"/>
  <c r="CZ52" i="11" s="1"/>
  <c r="AH96" i="2" s="1"/>
  <c r="AQ59" i="12"/>
  <c r="FL58" i="12"/>
  <c r="EI58" i="12"/>
  <c r="CY52" i="12"/>
  <c r="CY59" i="12" s="1"/>
  <c r="DN52" i="11"/>
  <c r="AH108" i="2" s="1"/>
  <c r="CY59" i="11"/>
  <c r="CY52" i="11"/>
  <c r="BH59" i="12"/>
  <c r="EP50" i="11"/>
  <c r="EP57" i="11" s="1"/>
  <c r="L52" i="12"/>
  <c r="L59" i="12" s="1"/>
  <c r="EO58" i="11"/>
  <c r="BY52" i="11"/>
  <c r="AH73" i="2" s="1"/>
  <c r="FE58" i="11"/>
  <c r="AF58" i="12"/>
  <c r="AH63" i="3"/>
  <c r="AG54" i="2"/>
  <c r="CC58" i="12"/>
  <c r="AK52" i="12"/>
  <c r="AG36" i="2" s="1"/>
  <c r="AN58" i="11"/>
  <c r="FL52" i="11"/>
  <c r="AI41" i="3" s="1"/>
  <c r="FL59" i="11"/>
  <c r="FL58" i="11"/>
  <c r="X52" i="11"/>
  <c r="AH28" i="2" s="1"/>
  <c r="CK58" i="12"/>
  <c r="BB58" i="12"/>
  <c r="R58" i="12"/>
  <c r="CV52" i="11"/>
  <c r="CT52" i="11" s="1"/>
  <c r="AH94" i="2" s="1"/>
  <c r="CT51" i="11"/>
  <c r="CT58" i="11"/>
  <c r="CT56" i="11"/>
  <c r="EV58" i="12"/>
  <c r="AI52" i="12"/>
  <c r="AI59" i="12"/>
  <c r="AH51" i="12"/>
  <c r="GE51" i="11"/>
  <c r="CG52" i="11"/>
  <c r="AH81" i="2" s="1"/>
  <c r="GV51" i="11"/>
  <c r="FJ52" i="11"/>
  <c r="FJ59" i="11"/>
  <c r="CY58" i="11"/>
  <c r="H52" i="12"/>
  <c r="H59" i="12" s="1"/>
  <c r="G51" i="12"/>
  <c r="D56" i="11"/>
  <c r="DU59" i="11"/>
  <c r="GG39" i="9"/>
  <c r="FG51" i="12"/>
  <c r="BH59" i="11"/>
  <c r="ER57" i="6"/>
  <c r="AJ58" i="5"/>
  <c r="AJ56" i="5"/>
  <c r="AI26" i="3"/>
  <c r="EP56" i="18"/>
  <c r="EP58" i="18"/>
  <c r="DZ59" i="12"/>
  <c r="DZ52" i="12"/>
  <c r="AG118" i="2" s="1"/>
  <c r="AH64" i="3"/>
  <c r="CT58" i="12"/>
  <c r="CT56" i="12"/>
  <c r="AH37" i="2"/>
  <c r="GG51" i="9"/>
  <c r="GF52" i="9"/>
  <c r="FG50" i="36"/>
  <c r="FX50" i="31"/>
  <c r="FG54" i="22"/>
  <c r="FG56" i="22"/>
  <c r="DV49" i="25"/>
  <c r="BO49" i="24"/>
  <c r="FG54" i="19"/>
  <c r="FG56" i="19"/>
  <c r="BO48" i="25"/>
  <c r="E52" i="12"/>
  <c r="D51" i="12"/>
  <c r="D58" i="12" s="1"/>
  <c r="BI52" i="12"/>
  <c r="AG57" i="2" s="1"/>
  <c r="CP58" i="12"/>
  <c r="BU52" i="12"/>
  <c r="AG66" i="2" s="1"/>
  <c r="DO59" i="12"/>
  <c r="DO52" i="12"/>
  <c r="AG109" i="2" s="1"/>
  <c r="DX52" i="12"/>
  <c r="AG120" i="2" s="1"/>
  <c r="FZ52" i="12"/>
  <c r="AH60" i="3" s="1"/>
  <c r="CD52" i="12"/>
  <c r="AG78" i="2" s="1"/>
  <c r="CD58" i="12"/>
  <c r="DG59" i="12"/>
  <c r="FG58" i="14"/>
  <c r="FG56" i="14"/>
  <c r="GB52" i="12"/>
  <c r="AH62" i="3" s="1"/>
  <c r="GB58" i="12"/>
  <c r="FW58" i="12"/>
  <c r="EB52" i="12"/>
  <c r="AG121" i="2" s="1"/>
  <c r="CQ58" i="12"/>
  <c r="AZ59" i="12"/>
  <c r="AZ52" i="12"/>
  <c r="AG48" i="2" s="1"/>
  <c r="FM59" i="12"/>
  <c r="DA58" i="12"/>
  <c r="BP58" i="12"/>
  <c r="BP56" i="12"/>
  <c r="DD52" i="11"/>
  <c r="CQ52" i="11"/>
  <c r="AH91" i="2" s="1"/>
  <c r="CQ58" i="11"/>
  <c r="M52" i="11"/>
  <c r="AH16" i="2" s="1"/>
  <c r="GC52" i="12"/>
  <c r="GC59" i="12" s="1"/>
  <c r="FZ58" i="12"/>
  <c r="O58" i="12"/>
  <c r="FB52" i="12"/>
  <c r="EW52" i="12" s="1"/>
  <c r="FB59" i="12"/>
  <c r="DY52" i="12"/>
  <c r="AG117" i="2" s="1"/>
  <c r="DY59" i="12"/>
  <c r="DC59" i="11"/>
  <c r="DC52" i="11"/>
  <c r="AN58" i="12"/>
  <c r="DB59" i="11"/>
  <c r="DB52" i="11"/>
  <c r="DW58" i="11"/>
  <c r="BL52" i="12"/>
  <c r="AG60" i="2" s="1"/>
  <c r="BL59" i="12"/>
  <c r="AL56" i="12"/>
  <c r="AL58" i="12"/>
  <c r="C58" i="12"/>
  <c r="BM52" i="11"/>
  <c r="AH61" i="2" s="1"/>
  <c r="BM58" i="11"/>
  <c r="CU52" i="12"/>
  <c r="CT52" i="12" s="1"/>
  <c r="AG94" i="2" s="1"/>
  <c r="CT51" i="12"/>
  <c r="CT59" i="12" s="1"/>
  <c r="CU59" i="12"/>
  <c r="BT52" i="12"/>
  <c r="AG65" i="2" s="1"/>
  <c r="BT59" i="12"/>
  <c r="AK58" i="12"/>
  <c r="EM52" i="11"/>
  <c r="AI6" i="3" s="1"/>
  <c r="EM59" i="11"/>
  <c r="ED52" i="12"/>
  <c r="AG123" i="2" s="1"/>
  <c r="ED59" i="12"/>
  <c r="DL58" i="12"/>
  <c r="CB52" i="12"/>
  <c r="AG76" i="2" s="1"/>
  <c r="AT59" i="12"/>
  <c r="AT52" i="12"/>
  <c r="AG42" i="2" s="1"/>
  <c r="CH52" i="11"/>
  <c r="AH82" i="2" s="1"/>
  <c r="CH58" i="11"/>
  <c r="BC59" i="11"/>
  <c r="BC52" i="11"/>
  <c r="AH51" i="2" s="1"/>
  <c r="DI52" i="12"/>
  <c r="AG103" i="2" s="1"/>
  <c r="DI59" i="12"/>
  <c r="FY52" i="12"/>
  <c r="AH59" i="3" s="1"/>
  <c r="FY59" i="12"/>
  <c r="CR59" i="12"/>
  <c r="I52" i="12"/>
  <c r="AG12" i="2" s="1"/>
  <c r="BG52" i="11"/>
  <c r="AH55" i="2" s="1"/>
  <c r="BG59" i="11"/>
  <c r="AL51" i="11"/>
  <c r="AL58" i="11" s="1"/>
  <c r="Q59" i="11"/>
  <c r="CV58" i="11"/>
  <c r="AH58" i="11"/>
  <c r="AH56" i="11"/>
  <c r="GK59" i="9"/>
  <c r="GK52" i="9"/>
  <c r="AK69" i="3" s="1"/>
  <c r="AG59" i="11"/>
  <c r="EI59" i="11"/>
  <c r="CA59" i="11"/>
  <c r="CA52" i="11"/>
  <c r="AH75" i="2" s="1"/>
  <c r="AZ59" i="11"/>
  <c r="DZ52" i="11"/>
  <c r="AH118" i="2" s="1"/>
  <c r="DZ59" i="11"/>
  <c r="FA52" i="11"/>
  <c r="FA59" i="11"/>
  <c r="AN56" i="5"/>
  <c r="AN58" i="5"/>
  <c r="BQ58" i="7"/>
  <c r="GF52" i="6"/>
  <c r="GF59" i="6" s="1"/>
  <c r="AH15" i="3"/>
  <c r="GY51" i="6"/>
  <c r="GY52" i="6" s="1"/>
  <c r="GG39" i="6"/>
  <c r="DN52" i="12"/>
  <c r="AG108" i="2" s="1"/>
  <c r="EW52" i="11"/>
  <c r="AI27" i="3" s="1"/>
  <c r="FK52" i="12"/>
  <c r="FK59" i="12" s="1"/>
  <c r="GV51" i="12"/>
  <c r="BN52" i="11"/>
  <c r="BN59" i="11" s="1"/>
  <c r="DG52" i="11"/>
  <c r="AH101" i="2" s="1"/>
  <c r="DG59" i="11"/>
  <c r="DG58" i="11"/>
  <c r="EN52" i="11"/>
  <c r="AI17" i="3" s="1"/>
  <c r="AJ59" i="12"/>
  <c r="AJ52" i="12"/>
  <c r="AI10" i="3"/>
  <c r="AH10" i="2"/>
  <c r="FI50" i="35"/>
  <c r="BO54" i="20"/>
  <c r="BO56" i="20"/>
  <c r="BO54" i="19"/>
  <c r="BO56" i="19"/>
  <c r="FG56" i="17"/>
  <c r="FG58" i="17"/>
  <c r="BO58" i="18"/>
  <c r="BO56" i="18"/>
  <c r="BA59" i="12"/>
  <c r="BA52" i="12"/>
  <c r="AG49" i="2" s="1"/>
  <c r="BQ58" i="12"/>
  <c r="BM59" i="12"/>
  <c r="BM52" i="12"/>
  <c r="AG61" i="2" s="1"/>
  <c r="GW51" i="15"/>
  <c r="GE39" i="15"/>
  <c r="CO52" i="12"/>
  <c r="AG89" i="2" s="1"/>
  <c r="BO56" i="12"/>
  <c r="Y58" i="12"/>
  <c r="EP59" i="14"/>
  <c r="CN58" i="12"/>
  <c r="FG58" i="15"/>
  <c r="AH55" i="3"/>
  <c r="AG99" i="2"/>
  <c r="DZ58" i="12"/>
  <c r="CZ56" i="12"/>
  <c r="CZ58" i="12"/>
  <c r="CP52" i="11"/>
  <c r="AH90" i="2" s="1"/>
  <c r="CP59" i="11"/>
  <c r="CY58" i="12"/>
  <c r="CO52" i="11"/>
  <c r="AH89" i="2" s="1"/>
  <c r="CO59" i="11"/>
  <c r="BO56" i="14"/>
  <c r="BO58" i="14"/>
  <c r="F59" i="12"/>
  <c r="F52" i="12"/>
  <c r="AG9" i="2" s="1"/>
  <c r="EP56" i="12"/>
  <c r="CN52" i="11"/>
  <c r="AH88" i="2" s="1"/>
  <c r="CN59" i="11"/>
  <c r="BO50" i="11"/>
  <c r="BO57" i="11" s="1"/>
  <c r="DO52" i="11"/>
  <c r="AH109" i="2" s="1"/>
  <c r="AH16" i="3"/>
  <c r="AG31" i="2"/>
  <c r="FM59" i="11"/>
  <c r="AY52" i="11"/>
  <c r="AH47" i="2" s="1"/>
  <c r="AY59" i="11"/>
  <c r="ED58" i="11"/>
  <c r="AX58" i="11"/>
  <c r="DS52" i="12"/>
  <c r="AG113" i="2" s="1"/>
  <c r="DK52" i="11"/>
  <c r="AH105" i="2" s="1"/>
  <c r="DK59" i="11"/>
  <c r="GI52" i="11"/>
  <c r="AI69" i="3" s="1"/>
  <c r="AM58" i="10"/>
  <c r="AM56" i="10"/>
  <c r="DD59" i="12"/>
  <c r="DD52" i="12"/>
  <c r="BS52" i="12"/>
  <c r="BS59" i="12" s="1"/>
  <c r="BW52" i="11"/>
  <c r="AH71" i="2" s="1"/>
  <c r="BW59" i="11"/>
  <c r="CC52" i="11"/>
  <c r="AH77" i="2" s="1"/>
  <c r="CC59" i="11"/>
  <c r="CC58" i="11"/>
  <c r="AG25" i="2"/>
  <c r="EM52" i="12"/>
  <c r="AH6" i="3" s="1"/>
  <c r="DK52" i="12"/>
  <c r="AG105" i="2" s="1"/>
  <c r="CI58" i="12"/>
  <c r="EJ52" i="11"/>
  <c r="AH131" i="2" s="1"/>
  <c r="R52" i="11"/>
  <c r="AM59" i="11"/>
  <c r="H58" i="12"/>
  <c r="CE59" i="11"/>
  <c r="D51" i="11"/>
  <c r="D58" i="11" s="1"/>
  <c r="E52" i="11"/>
  <c r="BP52" i="11"/>
  <c r="BB52" i="11"/>
  <c r="AH50" i="2" s="1"/>
  <c r="CR59" i="11"/>
  <c r="CR52" i="11"/>
  <c r="AH92" i="2" s="1"/>
  <c r="EW58" i="11"/>
  <c r="EW56" i="11"/>
  <c r="EN52" i="6"/>
  <c r="EN59" i="6" s="1"/>
  <c r="AI63" i="3"/>
  <c r="K52" i="12"/>
  <c r="K59" i="12"/>
  <c r="FF52" i="11"/>
  <c r="AI34" i="3" s="1"/>
  <c r="AH56" i="12"/>
  <c r="AH58" i="12"/>
  <c r="EZ52" i="11"/>
  <c r="AI30" i="3" s="1"/>
  <c r="DT52" i="12"/>
  <c r="AG114" i="2" s="1"/>
  <c r="CJ50" i="37"/>
  <c r="CZ50" i="33"/>
  <c r="FI50" i="30"/>
  <c r="DV50" i="30"/>
  <c r="EP50" i="31"/>
  <c r="FG50" i="26"/>
  <c r="FG49" i="25"/>
  <c r="BO49" i="25"/>
  <c r="BO58" i="17"/>
  <c r="BO56" i="17"/>
  <c r="EP57" i="16"/>
  <c r="AS52" i="12"/>
  <c r="AG41" i="2" s="1"/>
  <c r="EJ52" i="12"/>
  <c r="AG131" i="2" s="1"/>
  <c r="EJ59" i="12"/>
  <c r="BE59" i="12"/>
  <c r="BE52" i="12"/>
  <c r="AG53" i="2" s="1"/>
  <c r="EP50" i="12"/>
  <c r="EP57" i="12" s="1"/>
  <c r="GA58" i="12"/>
  <c r="EW58" i="12"/>
  <c r="EW56" i="12"/>
  <c r="BM58" i="12"/>
  <c r="FX51" i="11"/>
  <c r="FW59" i="11"/>
  <c r="FW52" i="11"/>
  <c r="GW51" i="13"/>
  <c r="FD52" i="12"/>
  <c r="AH32" i="3" s="1"/>
  <c r="FD58" i="12"/>
  <c r="DQ52" i="12"/>
  <c r="AG111" i="2" s="1"/>
  <c r="DQ59" i="12"/>
  <c r="CG52" i="12"/>
  <c r="AG81" i="2" s="1"/>
  <c r="BE52" i="11"/>
  <c r="BE59" i="11"/>
  <c r="AK58" i="11"/>
  <c r="AK52" i="11"/>
  <c r="AH36" i="2" s="1"/>
  <c r="CW58" i="12"/>
  <c r="CW56" i="12"/>
  <c r="AP52" i="11"/>
  <c r="AP59" i="11" s="1"/>
  <c r="O58" i="11"/>
  <c r="AB58" i="11"/>
  <c r="ER52" i="12"/>
  <c r="EP51" i="12"/>
  <c r="EP58" i="12" s="1"/>
  <c r="ER59" i="12"/>
  <c r="BE58" i="11"/>
  <c r="FB52" i="11"/>
  <c r="FB59" i="11"/>
  <c r="Y52" i="11"/>
  <c r="Y59" i="11" s="1"/>
  <c r="AP58" i="11"/>
  <c r="DJ58" i="11"/>
  <c r="BD52" i="12"/>
  <c r="BJ52" i="12"/>
  <c r="AG58" i="2" s="1"/>
  <c r="J52" i="12"/>
  <c r="J59" i="12"/>
  <c r="AW52" i="11"/>
  <c r="AH45" i="2" s="1"/>
  <c r="AW59" i="11"/>
  <c r="AW58" i="11"/>
  <c r="AU58" i="11"/>
  <c r="AU52" i="11"/>
  <c r="AH43" i="2" s="1"/>
  <c r="EL58" i="11"/>
  <c r="BT52" i="11"/>
  <c r="AH65" i="2" s="1"/>
  <c r="BT59" i="11"/>
  <c r="AA52" i="12"/>
  <c r="T52" i="12" s="1"/>
  <c r="AA59" i="12"/>
  <c r="DT59" i="11"/>
  <c r="DK58" i="11"/>
  <c r="AE59" i="11"/>
  <c r="FI58" i="9"/>
  <c r="FI56" i="9"/>
  <c r="G56" i="12"/>
  <c r="G58" i="12"/>
  <c r="BP51" i="11"/>
  <c r="BP59" i="11" s="1"/>
  <c r="AD52" i="11"/>
  <c r="CB59" i="11"/>
  <c r="CB52" i="11"/>
  <c r="AH76" i="2" s="1"/>
  <c r="BP56" i="11"/>
  <c r="GK52" i="7"/>
  <c r="AM69" i="3" s="1"/>
  <c r="GK59" i="7"/>
  <c r="ER58" i="9"/>
  <c r="ER56" i="9"/>
  <c r="EN58" i="6"/>
  <c r="GG52" i="5"/>
  <c r="AO65" i="3"/>
  <c r="AH69" i="3"/>
  <c r="AI65" i="3"/>
  <c r="AH27" i="3" l="1"/>
  <c r="EW59" i="12"/>
  <c r="FG52" i="12"/>
  <c r="AH35" i="3" s="1"/>
  <c r="AG24" i="2"/>
  <c r="T59" i="12"/>
  <c r="AG62" i="2"/>
  <c r="AH58" i="3"/>
  <c r="DV59" i="11"/>
  <c r="DV58" i="11"/>
  <c r="GI59" i="11"/>
  <c r="CO59" i="12"/>
  <c r="GG51" i="6"/>
  <c r="I59" i="12"/>
  <c r="X59" i="11"/>
  <c r="GV52" i="12"/>
  <c r="ER56" i="6"/>
  <c r="ER58" i="6"/>
  <c r="EC59" i="12"/>
  <c r="EP51" i="11"/>
  <c r="CZ59" i="12"/>
  <c r="O59" i="11"/>
  <c r="GK59" i="6"/>
  <c r="V59" i="11"/>
  <c r="GW52" i="14"/>
  <c r="GE52" i="14" s="1"/>
  <c r="AF65" i="3" s="1"/>
  <c r="GE51" i="14"/>
  <c r="FL59" i="12"/>
  <c r="ER58" i="7"/>
  <c r="ER56" i="7"/>
  <c r="GB59" i="11"/>
  <c r="FI52" i="11"/>
  <c r="AI38" i="3" s="1"/>
  <c r="AI37" i="3"/>
  <c r="AH129" i="2"/>
  <c r="FG58" i="11"/>
  <c r="BB59" i="11"/>
  <c r="AH21" i="2"/>
  <c r="EM59" i="12"/>
  <c r="M59" i="11"/>
  <c r="CD59" i="12"/>
  <c r="BU59" i="12"/>
  <c r="GG52" i="9"/>
  <c r="AK64" i="3"/>
  <c r="AK65" i="3"/>
  <c r="CG59" i="11"/>
  <c r="CT59" i="11"/>
  <c r="FI52" i="12"/>
  <c r="AH38" i="3" s="1"/>
  <c r="AH37" i="3"/>
  <c r="AG129" i="2"/>
  <c r="BP52" i="12"/>
  <c r="AI59" i="11"/>
  <c r="T52" i="11"/>
  <c r="AH24" i="2" s="1"/>
  <c r="AH25" i="2"/>
  <c r="EF59" i="12"/>
  <c r="DJ59" i="12"/>
  <c r="AH22" i="3"/>
  <c r="EZ59" i="11"/>
  <c r="AH64" i="2"/>
  <c r="AI20" i="3"/>
  <c r="R59" i="11"/>
  <c r="GE51" i="15"/>
  <c r="GW52" i="15"/>
  <c r="GE52" i="15" s="1"/>
  <c r="AE65" i="3" s="1"/>
  <c r="DN59" i="12"/>
  <c r="CH59" i="11"/>
  <c r="CV59" i="11"/>
  <c r="AH43" i="3"/>
  <c r="BQ59" i="12"/>
  <c r="CC59" i="12"/>
  <c r="AL52" i="12"/>
  <c r="AG37" i="2"/>
  <c r="EB59" i="11"/>
  <c r="CQ59" i="12"/>
  <c r="N59" i="11"/>
  <c r="FG59" i="11"/>
  <c r="DQ59" i="11"/>
  <c r="EU59" i="12"/>
  <c r="AI15" i="3"/>
  <c r="AH30" i="2"/>
  <c r="AB59" i="11"/>
  <c r="GW52" i="16"/>
  <c r="GE52" i="16" s="1"/>
  <c r="AD65" i="3" s="1"/>
  <c r="GE51" i="16"/>
  <c r="AG6" i="2"/>
  <c r="AH7" i="3"/>
  <c r="EP58" i="11"/>
  <c r="D52" i="12"/>
  <c r="AG8" i="2"/>
  <c r="DT59" i="12"/>
  <c r="BP58" i="11"/>
  <c r="AG13" i="2"/>
  <c r="AH11" i="3"/>
  <c r="AK59" i="11"/>
  <c r="FD59" i="12"/>
  <c r="AS59" i="12"/>
  <c r="D52" i="11"/>
  <c r="AH8" i="2"/>
  <c r="EJ59" i="11"/>
  <c r="AG98" i="2"/>
  <c r="AH54" i="3"/>
  <c r="DS59" i="12"/>
  <c r="BO51" i="11"/>
  <c r="BM59" i="11"/>
  <c r="CQ59" i="11"/>
  <c r="GB59" i="12"/>
  <c r="FZ59" i="12"/>
  <c r="BI59" i="12"/>
  <c r="GF59" i="9"/>
  <c r="G52" i="12"/>
  <c r="AG11" i="2"/>
  <c r="GA59" i="12"/>
  <c r="AL59" i="12"/>
  <c r="FX52" i="12"/>
  <c r="AH57" i="3" s="1"/>
  <c r="AH56" i="3"/>
  <c r="GW52" i="12"/>
  <c r="GE52" i="12" s="1"/>
  <c r="AH65" i="3" s="1"/>
  <c r="GE51" i="12"/>
  <c r="GE51" i="17"/>
  <c r="GW52" i="17"/>
  <c r="GE52" i="17" s="1"/>
  <c r="AC65" i="3" s="1"/>
  <c r="BO58" i="11"/>
  <c r="GY52" i="8"/>
  <c r="GG52" i="8" s="1"/>
  <c r="AL65" i="3" s="1"/>
  <c r="GG51" i="8"/>
  <c r="BB59" i="12"/>
  <c r="CW52" i="12"/>
  <c r="AG95" i="2" s="1"/>
  <c r="DF59" i="11"/>
  <c r="AN59" i="11"/>
  <c r="EO59" i="12"/>
  <c r="C59" i="12"/>
  <c r="EW59" i="11"/>
  <c r="GG52" i="6"/>
  <c r="AN65" i="3"/>
  <c r="AN64" i="3"/>
  <c r="AH12" i="3"/>
  <c r="AG14" i="2"/>
  <c r="FG59" i="12"/>
  <c r="AH14" i="3"/>
  <c r="AG21" i="2"/>
  <c r="CW58" i="11"/>
  <c r="AI23" i="3"/>
  <c r="FG52" i="11"/>
  <c r="AI35" i="3" s="1"/>
  <c r="AI16" i="3"/>
  <c r="AH31" i="2"/>
  <c r="BJ59" i="12"/>
  <c r="AI18" i="3"/>
  <c r="AH53" i="2"/>
  <c r="GW52" i="13"/>
  <c r="GE52" i="13" s="1"/>
  <c r="AG65" i="3" s="1"/>
  <c r="GE51" i="13"/>
  <c r="E59" i="11"/>
  <c r="DO59" i="11"/>
  <c r="AH98" i="2"/>
  <c r="AI54" i="3"/>
  <c r="DX59" i="12"/>
  <c r="D59" i="12"/>
  <c r="AL52" i="11"/>
  <c r="AL59" i="11" s="1"/>
  <c r="AH52" i="12"/>
  <c r="AG35" i="2" s="1"/>
  <c r="BY59" i="11"/>
  <c r="DA59" i="11"/>
  <c r="BN59" i="12"/>
  <c r="ED59" i="11"/>
  <c r="AF59" i="12"/>
  <c r="CJ52" i="11"/>
  <c r="AH84" i="2" s="1"/>
  <c r="AH83" i="2"/>
  <c r="BJ59" i="11"/>
  <c r="F59" i="11"/>
  <c r="ER56" i="8"/>
  <c r="ER58" i="8"/>
  <c r="AW59" i="12"/>
  <c r="GX52" i="10"/>
  <c r="GF52" i="10" s="1"/>
  <c r="AJ65" i="3" s="1"/>
  <c r="GF51" i="10"/>
  <c r="FG58" i="12"/>
  <c r="DF59" i="12"/>
  <c r="AG52" i="2"/>
  <c r="AH18" i="3"/>
  <c r="AG15" i="2"/>
  <c r="AH13" i="3"/>
  <c r="D59" i="11"/>
  <c r="BO52" i="11"/>
  <c r="AH63" i="2" s="1"/>
  <c r="AH62" i="2"/>
  <c r="AI58" i="3"/>
  <c r="AD59" i="11"/>
  <c r="AU59" i="11"/>
  <c r="BD59" i="12"/>
  <c r="CG59" i="12"/>
  <c r="FX52" i="11"/>
  <c r="AI57" i="3" s="1"/>
  <c r="AI56" i="3"/>
  <c r="FF59" i="11"/>
  <c r="DK59" i="12"/>
  <c r="EN59" i="11"/>
  <c r="CB59" i="12"/>
  <c r="AI53" i="3"/>
  <c r="AH97" i="2"/>
  <c r="DD59" i="11"/>
  <c r="EB59" i="12"/>
  <c r="E59" i="12"/>
  <c r="GV52" i="11"/>
  <c r="AI40" i="3"/>
  <c r="AI39" i="3"/>
  <c r="AK59" i="12"/>
  <c r="DN59" i="11"/>
  <c r="CZ59" i="11"/>
  <c r="BO51" i="12"/>
  <c r="AH53" i="3"/>
  <c r="AG97" i="2"/>
  <c r="DL59" i="12"/>
  <c r="CW52" i="11"/>
  <c r="AH95" i="2" s="1"/>
  <c r="DW59" i="11"/>
  <c r="DA59" i="12"/>
  <c r="AV59" i="12"/>
  <c r="CP59" i="12"/>
  <c r="T58" i="11"/>
  <c r="EN59" i="12"/>
  <c r="CJ52" i="12"/>
  <c r="AG84" i="2" s="1"/>
  <c r="AG83" i="2"/>
  <c r="ET59" i="11"/>
  <c r="AN59" i="12"/>
  <c r="EQ56" i="10"/>
  <c r="EQ58" i="10"/>
  <c r="CA59" i="12"/>
  <c r="AI13" i="3"/>
  <c r="AH15" i="2"/>
  <c r="CW59" i="12" l="1"/>
  <c r="AH10" i="3"/>
  <c r="AG10" i="2"/>
  <c r="G59" i="12"/>
  <c r="EP52" i="11"/>
  <c r="AI21" i="3" s="1"/>
  <c r="CW59" i="11"/>
  <c r="AG64" i="2"/>
  <c r="AH20" i="3"/>
  <c r="AI14" i="3"/>
  <c r="EP59" i="11"/>
  <c r="BO52" i="12"/>
  <c r="AG63" i="2" s="1"/>
  <c r="EP52" i="12"/>
  <c r="T59" i="11"/>
  <c r="AI8" i="3"/>
  <c r="AI9" i="3"/>
  <c r="AH7" i="2"/>
  <c r="AH59" i="12"/>
  <c r="AH8" i="3"/>
  <c r="AG7" i="2"/>
  <c r="AH9" i="3"/>
  <c r="BO59" i="12"/>
  <c r="BO58" i="12"/>
  <c r="BO59" i="11"/>
  <c r="BP59" i="12"/>
  <c r="AH21" i="3" l="1"/>
  <c r="EP59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Z83" authorId="0" shapeId="0" xr:uid="{00000000-0006-0000-0100-000001000000}">
      <text>
        <r>
          <rPr>
            <sz val="10"/>
            <rFont val="ＭＳ ゴシック"/>
            <family val="3"/>
            <charset val="128"/>
          </rPr>
          <t>Ｈ22年度決算は元金と利子をわける調査表がないため、「-」。</t>
        </r>
      </text>
    </comment>
    <comment ref="O92" authorId="0" shapeId="0" xr:uid="{00000000-0006-0000-0100-000002000000}">
      <text>
        <r>
          <rPr>
            <sz val="10"/>
            <rFont val="ＭＳ ゴシック"/>
            <family val="3"/>
            <charset val="128"/>
          </rPr>
          <t>急増要因
地域振興券交付事業</t>
        </r>
      </text>
    </comment>
    <comment ref="N128" authorId="0" shapeId="0" xr:uid="{00000000-0006-0000-0100-000003000000}">
      <text>
        <r>
          <rPr>
            <sz val="10"/>
            <rFont val="ＭＳ ゴシック"/>
            <family val="3"/>
            <charset val="128"/>
          </rPr>
          <t>急増要因
地域振興券交付事業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D4" authorId="0" shapeId="0" xr:uid="{00000000-0006-0000-0C00-000001000000}">
      <text>
        <r>
          <rPr>
            <sz val="10"/>
            <rFont val="ＭＳ ゴシック"/>
            <family val="3"/>
            <charset val="128"/>
          </rPr>
          <t>ここだけ単位は百万円!!</t>
        </r>
      </text>
    </comment>
    <comment ref="GI5" authorId="0" shapeId="0" xr:uid="{00000000-0006-0000-0C00-000002000000}">
      <text>
        <r>
          <rPr>
            <sz val="10"/>
            <rFont val="ＭＳ ゴシック"/>
            <family val="3"/>
            <charset val="128"/>
          </rPr>
          <t>政令市分は総務省HPより転記
（部門別職員数）
ハンドブックと突合OK</t>
        </r>
      </text>
    </comment>
    <comment ref="FJ53" authorId="0" shapeId="0" xr:uid="{00000000-0006-0000-0C00-000003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FK53" authorId="0" shapeId="0" xr:uid="{00000000-0006-0000-0C00-000004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EI54" authorId="0" shapeId="0" xr:uid="{00000000-0006-0000-0C00-000005000000}">
      <text>
        <r>
          <rPr>
            <sz val="10"/>
            <rFont val="ＭＳ ゴシック"/>
            <family val="3"/>
            <charset val="128"/>
          </rPr>
          <t>何に使うんやろう…</t>
        </r>
      </text>
    </comment>
    <comment ref="EM54" authorId="0" shapeId="0" xr:uid="{00000000-0006-0000-0C00-000006000000}">
      <text>
        <r>
          <rPr>
            <sz val="10"/>
            <rFont val="ＭＳ ゴシック"/>
            <family val="3"/>
            <charset val="128"/>
          </rPr>
          <t>前年度数値</t>
        </r>
      </text>
    </comment>
    <comment ref="GI54" authorId="0" shapeId="0" xr:uid="{00000000-0006-0000-0C00-000007000000}">
      <text>
        <r>
          <rPr>
            <sz val="10"/>
            <rFont val="ＭＳ ゴシック"/>
            <family val="3"/>
            <charset val="128"/>
          </rPr>
          <t>前年度数値
給与実態調査
（n年.4.1）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D4" authorId="0" shapeId="0" xr:uid="{00000000-0006-0000-0D00-000001000000}">
      <text>
        <r>
          <rPr>
            <sz val="10"/>
            <rFont val="ＭＳ ゴシック"/>
            <family val="3"/>
            <charset val="128"/>
          </rPr>
          <t>ここだけ単位は百万円!!</t>
        </r>
      </text>
    </comment>
    <comment ref="GI5" authorId="0" shapeId="0" xr:uid="{00000000-0006-0000-0D00-000002000000}">
      <text>
        <r>
          <rPr>
            <sz val="10"/>
            <rFont val="ＭＳ ゴシック"/>
            <family val="3"/>
            <charset val="128"/>
          </rPr>
          <t>政令市分は総務省HPより転記
（部門別職員数）
ハンドブックと突合OK</t>
        </r>
      </text>
    </comment>
    <comment ref="FJ53" authorId="0" shapeId="0" xr:uid="{00000000-0006-0000-0D00-000003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FK53" authorId="0" shapeId="0" xr:uid="{00000000-0006-0000-0D00-000004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EI54" authorId="0" shapeId="0" xr:uid="{00000000-0006-0000-0D00-000005000000}">
      <text>
        <r>
          <rPr>
            <sz val="10"/>
            <rFont val="ＭＳ ゴシック"/>
            <family val="3"/>
            <charset val="128"/>
          </rPr>
          <t>何に使うんやろう…</t>
        </r>
      </text>
    </comment>
    <comment ref="EM54" authorId="0" shapeId="0" xr:uid="{00000000-0006-0000-0D00-000006000000}">
      <text>
        <r>
          <rPr>
            <sz val="10"/>
            <rFont val="ＭＳ ゴシック"/>
            <family val="3"/>
            <charset val="128"/>
          </rPr>
          <t>前年度数値</t>
        </r>
      </text>
    </comment>
    <comment ref="GI54" authorId="0" shapeId="0" xr:uid="{00000000-0006-0000-0D00-000007000000}">
      <text>
        <r>
          <rPr>
            <sz val="10"/>
            <rFont val="ＭＳ ゴシック"/>
            <family val="3"/>
            <charset val="128"/>
          </rPr>
          <t>前年度数値
給与実態調査
（n年.4.1）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D4" authorId="0" shapeId="0" xr:uid="{00000000-0006-0000-0E00-000001000000}">
      <text>
        <r>
          <rPr>
            <sz val="10"/>
            <rFont val="ＭＳ ゴシック"/>
            <family val="3"/>
            <charset val="128"/>
          </rPr>
          <t>ここだけ単位は百万円!!</t>
        </r>
      </text>
    </comment>
    <comment ref="GI5" authorId="0" shapeId="0" xr:uid="{00000000-0006-0000-0E00-000002000000}">
      <text>
        <r>
          <rPr>
            <sz val="10"/>
            <rFont val="ＭＳ ゴシック"/>
            <family val="3"/>
            <charset val="128"/>
          </rPr>
          <t>政令市分は総務省HPより転記
（部門別職員数）
ハンドブックと突合OK</t>
        </r>
      </text>
    </comment>
    <comment ref="FJ53" authorId="0" shapeId="0" xr:uid="{00000000-0006-0000-0E00-000003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FK53" authorId="0" shapeId="0" xr:uid="{00000000-0006-0000-0E00-000004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EI54" authorId="0" shapeId="0" xr:uid="{00000000-0006-0000-0E00-000005000000}">
      <text>
        <r>
          <rPr>
            <sz val="10"/>
            <rFont val="ＭＳ ゴシック"/>
            <family val="3"/>
            <charset val="128"/>
          </rPr>
          <t>何に使うんやろう…</t>
        </r>
      </text>
    </comment>
    <comment ref="EM54" authorId="0" shapeId="0" xr:uid="{00000000-0006-0000-0E00-000006000000}">
      <text>
        <r>
          <rPr>
            <sz val="10"/>
            <rFont val="ＭＳ ゴシック"/>
            <family val="3"/>
            <charset val="128"/>
          </rPr>
          <t>前年度数値</t>
        </r>
      </text>
    </comment>
    <comment ref="GI54" authorId="0" shapeId="0" xr:uid="{00000000-0006-0000-0E00-000007000000}">
      <text>
        <r>
          <rPr>
            <sz val="10"/>
            <rFont val="ＭＳ ゴシック"/>
            <family val="3"/>
            <charset val="128"/>
          </rPr>
          <t>前年度数値
給与実態調査
（n年.4.1）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D4" authorId="0" shapeId="0" xr:uid="{00000000-0006-0000-0F00-000001000000}">
      <text>
        <r>
          <rPr>
            <sz val="10"/>
            <rFont val="ＭＳ ゴシック"/>
            <family val="3"/>
            <charset val="128"/>
          </rPr>
          <t>ここだけ単位は百万円!!</t>
        </r>
      </text>
    </comment>
    <comment ref="GI5" authorId="0" shapeId="0" xr:uid="{00000000-0006-0000-0F00-000002000000}">
      <text>
        <r>
          <rPr>
            <sz val="10"/>
            <rFont val="ＭＳ ゴシック"/>
            <family val="3"/>
            <charset val="128"/>
          </rPr>
          <t>政令市分は総務省HPより転記
（部門別職員数）
ハンドブックと突合OK</t>
        </r>
      </text>
    </comment>
    <comment ref="FJ53" authorId="0" shapeId="0" xr:uid="{00000000-0006-0000-0F00-000003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FK53" authorId="0" shapeId="0" xr:uid="{00000000-0006-0000-0F00-000004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EI54" authorId="0" shapeId="0" xr:uid="{00000000-0006-0000-0F00-000005000000}">
      <text>
        <r>
          <rPr>
            <sz val="10"/>
            <rFont val="ＭＳ ゴシック"/>
            <family val="3"/>
            <charset val="128"/>
          </rPr>
          <t>何に使うんやろう…</t>
        </r>
      </text>
    </comment>
    <comment ref="EM54" authorId="0" shapeId="0" xr:uid="{00000000-0006-0000-0F00-000006000000}">
      <text>
        <r>
          <rPr>
            <sz val="10"/>
            <rFont val="ＭＳ ゴシック"/>
            <family val="3"/>
            <charset val="128"/>
          </rPr>
          <t>前年度数値</t>
        </r>
      </text>
    </comment>
    <comment ref="GI54" authorId="0" shapeId="0" xr:uid="{00000000-0006-0000-0F00-000007000000}">
      <text>
        <r>
          <rPr>
            <sz val="10"/>
            <rFont val="ＭＳ ゴシック"/>
            <family val="3"/>
            <charset val="128"/>
          </rPr>
          <t>前年度数値
給与実態調査
（n年.4.1）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I5" authorId="0" shapeId="0" xr:uid="{00000000-0006-0000-1000-000001000000}">
      <text>
        <r>
          <rPr>
            <sz val="10"/>
            <rFont val="ＭＳ ゴシック"/>
            <family val="3"/>
            <charset val="128"/>
          </rPr>
          <t>政令市分は総務省HPより転記
（部門別職員数）
ハンドブックと突合OK</t>
        </r>
      </text>
    </comment>
    <comment ref="EM54" authorId="0" shapeId="0" xr:uid="{00000000-0006-0000-1000-000002000000}">
      <text>
        <r>
          <rPr>
            <sz val="10"/>
            <rFont val="ＭＳ ゴシック"/>
            <family val="3"/>
            <charset val="128"/>
          </rPr>
          <t>前年度数値</t>
        </r>
      </text>
    </comment>
    <comment ref="GI54" authorId="0" shapeId="0" xr:uid="{00000000-0006-0000-1000-000003000000}">
      <text>
        <r>
          <rPr>
            <sz val="10"/>
            <rFont val="ＭＳ ゴシック"/>
            <family val="3"/>
            <charset val="128"/>
          </rPr>
          <t>前年度数値
給与実態調査
（n年.4.1）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I5" authorId="0" shapeId="0" xr:uid="{00000000-0006-0000-1100-000001000000}">
      <text>
        <r>
          <rPr>
            <sz val="10"/>
            <rFont val="ＭＳ ゴシック"/>
            <family val="3"/>
            <charset val="128"/>
          </rPr>
          <t>政令市分は総務省HPより転記
（部門別職員数）
ハンドブックと突合OK</t>
        </r>
      </text>
    </comment>
    <comment ref="EM54" authorId="0" shapeId="0" xr:uid="{00000000-0006-0000-1100-000002000000}">
      <text>
        <r>
          <rPr>
            <sz val="10"/>
            <rFont val="ＭＳ ゴシック"/>
            <family val="3"/>
            <charset val="128"/>
          </rPr>
          <t>前年度数値</t>
        </r>
      </text>
    </comment>
    <comment ref="GI54" authorId="0" shapeId="0" xr:uid="{00000000-0006-0000-1100-000003000000}">
      <text>
        <r>
          <rPr>
            <sz val="10"/>
            <rFont val="ＭＳ ゴシック"/>
            <family val="3"/>
            <charset val="128"/>
          </rPr>
          <t>前年度数値
給与実態調査
（n年.4.1）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大阪府庁</author>
    <author/>
  </authors>
  <commentList>
    <comment ref="CI2" authorId="0" shapeId="0" xr:uid="{00000000-0006-0000-1200-000001000000}">
      <text>
        <r>
          <rPr>
            <sz val="10"/>
            <rFont val="ＭＳ ゴシック"/>
            <family val="3"/>
            <charset val="128"/>
          </rPr>
          <t xml:space="preserve">Ｈ２２決算から３５表廃止
</t>
        </r>
      </text>
    </comment>
    <comment ref="GD3" authorId="0" shapeId="0" xr:uid="{00000000-0006-0000-1200-000002000000}">
      <text>
        <r>
          <rPr>
            <sz val="10"/>
            <rFont val="ＭＳ ゴシック"/>
            <family val="3"/>
            <charset val="128"/>
          </rPr>
          <t>本来、なんでもﾗﾝｷﾝｸﾞから転記するが、今回は別冊ﾃﾞｰﾀと端数処理の違いで整合性がとれず…。
HPでは百万円単位で表示されるため別冊ﾃﾞｰﾀの数値を使用した。</t>
        </r>
      </text>
    </comment>
    <comment ref="EM52" authorId="1" shapeId="0" xr:uid="{00000000-0006-0000-1200-000003000000}">
      <text>
        <r>
          <rPr>
            <sz val="10"/>
            <rFont val="ＭＳ ゴシック"/>
            <family val="3"/>
            <charset val="128"/>
          </rPr>
          <t>前年度数値</t>
        </r>
      </text>
    </comment>
    <comment ref="GI52" authorId="1" shapeId="0" xr:uid="{00000000-0006-0000-1200-000004000000}">
      <text>
        <r>
          <rPr>
            <sz val="10"/>
            <rFont val="ＭＳ ゴシック"/>
            <family val="3"/>
            <charset val="128"/>
          </rPr>
          <t>前年度数値
給与実態調査
（n年.4.1）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大阪府庁</author>
    <author/>
  </authors>
  <commentList>
    <comment ref="GD3" authorId="0" shapeId="0" xr:uid="{00000000-0006-0000-1300-000001000000}">
      <text>
        <r>
          <rPr>
            <sz val="10"/>
            <rFont val="ＭＳ ゴシック"/>
            <family val="3"/>
            <charset val="128"/>
          </rPr>
          <t>本来、なんでもﾗﾝｷﾝｸﾞから転記するが、今回は別冊ﾃﾞｰﾀと端数処理の違いで整合性がとれず…。
HPでは百万円単位で表示されるため別冊ﾃﾞｰﾀの数値を使用した。</t>
        </r>
      </text>
    </comment>
    <comment ref="EM52" authorId="1" shapeId="0" xr:uid="{00000000-0006-0000-1300-000002000000}">
      <text>
        <r>
          <rPr>
            <sz val="10"/>
            <rFont val="ＭＳ ゴシック"/>
            <family val="3"/>
            <charset val="128"/>
          </rPr>
          <t>前年度数値</t>
        </r>
      </text>
    </comment>
    <comment ref="GI52" authorId="1" shapeId="0" xr:uid="{00000000-0006-0000-1300-000003000000}">
      <text>
        <r>
          <rPr>
            <sz val="10"/>
            <rFont val="ＭＳ ゴシック"/>
            <family val="3"/>
            <charset val="128"/>
          </rPr>
          <t>前年度数値
給与実態調査
（n年.4.1）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M52" authorId="0" shapeId="0" xr:uid="{00000000-0006-0000-1400-000001000000}">
      <text>
        <r>
          <rPr>
            <sz val="10"/>
            <rFont val="ＭＳ ゴシック"/>
            <family val="3"/>
            <charset val="128"/>
          </rPr>
          <t>前年度数値</t>
        </r>
      </text>
    </comment>
    <comment ref="GI52" authorId="0" shapeId="0" xr:uid="{00000000-0006-0000-1400-000002000000}">
      <text>
        <r>
          <rPr>
            <sz val="10"/>
            <rFont val="ＭＳ ゴシック"/>
            <family val="3"/>
            <charset val="128"/>
          </rPr>
          <t>前年度数値
給与実態調査
（n年.4.1）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S30" authorId="0" shapeId="0" xr:uid="{00000000-0006-0000-1500-000001000000}">
      <text>
        <r>
          <rPr>
            <sz val="10"/>
            <rFont val="ＭＳ ゴシック"/>
            <family val="3"/>
            <charset val="128"/>
          </rPr>
          <t>平成20年度修正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HOSTNAME</author>
  </authors>
  <commentList>
    <comment ref="C2" authorId="0" shapeId="0" xr:uid="{00000000-0006-0000-0400-000001000000}">
      <text>
        <r>
          <rPr>
            <sz val="10"/>
            <rFont val="ＭＳ ゴシック"/>
            <family val="3"/>
            <charset val="128"/>
          </rPr>
          <t>表-行-列標記は
BD⑦</t>
        </r>
      </text>
    </comment>
    <comment ref="GF4" authorId="0" shapeId="0" xr:uid="{00000000-0006-0000-0400-000002000000}">
      <text>
        <r>
          <rPr>
            <sz val="10"/>
            <rFont val="ＭＳ ゴシック"/>
            <family val="3"/>
            <charset val="128"/>
          </rPr>
          <t>ここだけ単位は百万円!!</t>
        </r>
      </text>
    </comment>
    <comment ref="GN5" authorId="1" shapeId="0" xr:uid="{00000000-0006-0000-0400-000003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Q5" authorId="1" shapeId="0" xr:uid="{00000000-0006-0000-0400-000004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T5" authorId="1" shapeId="0" xr:uid="{00000000-0006-0000-0400-000005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V5" authorId="1" shapeId="0" xr:uid="{00000000-0006-0000-0400-000006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FL53" authorId="0" shapeId="0" xr:uid="{00000000-0006-0000-0400-000007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FM53" authorId="0" shapeId="0" xr:uid="{00000000-0006-0000-0400-000008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FF61" authorId="0" shapeId="0" xr:uid="{00000000-0006-0000-0400-000009000000}">
      <text>
        <r>
          <rPr>
            <sz val="10"/>
            <rFont val="ＭＳ ゴシック"/>
            <family val="3"/>
            <charset val="128"/>
          </rPr>
          <t>何に使うんやろう…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I35" authorId="0" shapeId="0" xr:uid="{00000000-0006-0000-1700-000001000000}">
      <text>
        <r>
          <rPr>
            <sz val="10"/>
            <rFont val="ＭＳ ゴシック"/>
            <family val="3"/>
            <charset val="128"/>
          </rPr>
          <t xml:space="preserve">注意：使用料、繰越金、諸収入のその他
</t>
        </r>
      </text>
    </comment>
    <comment ref="BJ35" authorId="0" shapeId="0" xr:uid="{00000000-0006-0000-1700-000002000000}">
      <text>
        <r>
          <rPr>
            <sz val="10"/>
            <rFont val="ＭＳ ゴシック"/>
            <family val="3"/>
            <charset val="128"/>
          </rPr>
          <t>152,487+271</t>
        </r>
      </text>
    </comment>
    <comment ref="BU35" authorId="0" shapeId="0" xr:uid="{00000000-0006-0000-1700-000003000000}">
      <text>
        <r>
          <rPr>
            <sz val="10"/>
            <rFont val="ＭＳ ゴシック"/>
            <family val="3"/>
            <charset val="128"/>
          </rPr>
          <t xml:space="preserve">解散一組の数値を加算した。
</t>
        </r>
      </text>
    </comment>
    <comment ref="BW35" authorId="0" shapeId="0" xr:uid="{00000000-0006-0000-1700-000004000000}">
      <text>
        <r>
          <rPr>
            <sz val="10"/>
            <rFont val="ＭＳ ゴシック"/>
            <family val="3"/>
            <charset val="128"/>
          </rPr>
          <t>解散一組の数値を加算した。他費も同様。</t>
        </r>
      </text>
    </comment>
    <comment ref="BX35" authorId="0" shapeId="0" xr:uid="{00000000-0006-0000-1700-000005000000}">
      <text>
        <r>
          <rPr>
            <sz val="10"/>
            <rFont val="ＭＳ ゴシック"/>
            <family val="3"/>
            <charset val="128"/>
          </rPr>
          <t>17,114+3,018,855</t>
        </r>
      </text>
    </comment>
    <comment ref="BZ35" authorId="0" shapeId="0" xr:uid="{00000000-0006-0000-1700-000006000000}">
      <text>
        <r>
          <rPr>
            <sz val="10"/>
            <rFont val="ＭＳ ゴシック"/>
            <family val="3"/>
            <charset val="128"/>
          </rPr>
          <t>135+51,212</t>
        </r>
      </text>
    </comment>
    <comment ref="CI35" authorId="0" shapeId="0" xr:uid="{00000000-0006-0000-1700-000007000000}">
      <text>
        <r>
          <rPr>
            <sz val="10"/>
            <rFont val="ＭＳ ゴシック"/>
            <family val="3"/>
            <charset val="128"/>
          </rPr>
          <t>2,602+2,894,464</t>
        </r>
      </text>
    </comment>
    <comment ref="CL35" authorId="0" shapeId="0" xr:uid="{00000000-0006-0000-1700-000008000000}">
      <text>
        <r>
          <rPr>
            <sz val="10"/>
            <rFont val="ＭＳ ゴシック"/>
            <family val="3"/>
            <charset val="128"/>
          </rPr>
          <t xml:space="preserve"> 14,867+1,276,423</t>
        </r>
      </text>
    </comment>
    <comment ref="CM35" authorId="0" shapeId="0" xr:uid="{00000000-0006-0000-1700-000009000000}">
      <text>
        <r>
          <rPr>
            <sz val="10"/>
            <rFont val="ＭＳ ゴシック"/>
            <family val="3"/>
            <charset val="128"/>
          </rPr>
          <t>1,773+127,595</t>
        </r>
      </text>
    </comment>
    <comment ref="CN35" authorId="0" shapeId="0" xr:uid="{00000000-0006-0000-1700-00000A000000}">
      <text>
        <r>
          <rPr>
            <sz val="10"/>
            <rFont val="ＭＳ ゴシック"/>
            <family val="3"/>
            <charset val="128"/>
          </rPr>
          <t xml:space="preserve">1,708+317,989
</t>
        </r>
      </text>
    </comment>
    <comment ref="EH35" authorId="0" shapeId="0" xr:uid="{00000000-0006-0000-1700-00000B000000}">
      <text>
        <r>
          <rPr>
            <sz val="10"/>
            <rFont val="ＭＳ ゴシック"/>
            <family val="3"/>
            <charset val="128"/>
          </rPr>
          <t xml:space="preserve">解散一組加算後の収支にした。
</t>
        </r>
      </text>
    </comment>
    <comment ref="EH44" authorId="0" shapeId="0" xr:uid="{00000000-0006-0000-1700-00000C000000}">
      <text>
        <r>
          <rPr>
            <sz val="10"/>
            <rFont val="ＭＳ ゴシック"/>
            <family val="3"/>
            <charset val="128"/>
          </rPr>
          <t xml:space="preserve">正しい収支に変更した。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HOSTNAME</author>
  </authors>
  <commentList>
    <comment ref="C2" authorId="0" shapeId="0" xr:uid="{00000000-0006-0000-0500-000001000000}">
      <text>
        <r>
          <rPr>
            <sz val="10"/>
            <rFont val="ＭＳ ゴシック"/>
            <family val="3"/>
            <charset val="128"/>
          </rPr>
          <t>表-行-列標記は
BD⑦</t>
        </r>
      </text>
    </comment>
    <comment ref="GF4" authorId="0" shapeId="0" xr:uid="{00000000-0006-0000-0500-000002000000}">
      <text>
        <r>
          <rPr>
            <sz val="10"/>
            <rFont val="ＭＳ ゴシック"/>
            <family val="3"/>
            <charset val="128"/>
          </rPr>
          <t>ここだけ単位は百万円!!</t>
        </r>
      </text>
    </comment>
    <comment ref="GN5" authorId="1" shapeId="0" xr:uid="{00000000-0006-0000-0500-000003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Q5" authorId="1" shapeId="0" xr:uid="{00000000-0006-0000-0500-000004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T5" authorId="1" shapeId="0" xr:uid="{00000000-0006-0000-0500-000005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V5" authorId="1" shapeId="0" xr:uid="{00000000-0006-0000-0500-000006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FL53" authorId="0" shapeId="0" xr:uid="{00000000-0006-0000-0500-000007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FM53" authorId="0" shapeId="0" xr:uid="{00000000-0006-0000-0500-000008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FF61" authorId="0" shapeId="0" xr:uid="{00000000-0006-0000-0500-000009000000}">
      <text>
        <r>
          <rPr>
            <sz val="10"/>
            <rFont val="ＭＳ ゴシック"/>
            <family val="3"/>
            <charset val="128"/>
          </rPr>
          <t>何に使うんやろう…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HOSTNAME</author>
  </authors>
  <commentList>
    <comment ref="C2" authorId="0" shapeId="0" xr:uid="{00000000-0006-0000-0600-000001000000}">
      <text>
        <r>
          <rPr>
            <sz val="10"/>
            <rFont val="ＭＳ ゴシック"/>
            <family val="3"/>
            <charset val="128"/>
          </rPr>
          <t>表-行-列標記は
BD⑦</t>
        </r>
      </text>
    </comment>
    <comment ref="GF4" authorId="0" shapeId="0" xr:uid="{00000000-0006-0000-0600-000002000000}">
      <text>
        <r>
          <rPr>
            <sz val="10"/>
            <rFont val="ＭＳ ゴシック"/>
            <family val="3"/>
            <charset val="128"/>
          </rPr>
          <t>ここだけ単位は百万円!!</t>
        </r>
      </text>
    </comment>
    <comment ref="GN5" authorId="1" shapeId="0" xr:uid="{00000000-0006-0000-0600-000003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Q5" authorId="1" shapeId="0" xr:uid="{00000000-0006-0000-0600-000004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T5" authorId="1" shapeId="0" xr:uid="{00000000-0006-0000-0600-000005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V5" authorId="1" shapeId="0" xr:uid="{00000000-0006-0000-0600-000006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FL53" authorId="0" shapeId="0" xr:uid="{00000000-0006-0000-0600-000007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FM53" authorId="0" shapeId="0" xr:uid="{00000000-0006-0000-0600-000008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EK54" authorId="0" shapeId="0" xr:uid="{00000000-0006-0000-0600-000009000000}">
      <text>
        <r>
          <rPr>
            <sz val="10"/>
            <rFont val="ＭＳ ゴシック"/>
            <family val="3"/>
            <charset val="128"/>
          </rPr>
          <t>何に使うんやろう…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HOSTNAME</author>
  </authors>
  <commentList>
    <comment ref="C2" authorId="0" shapeId="0" xr:uid="{00000000-0006-0000-0700-000001000000}">
      <text>
        <r>
          <rPr>
            <sz val="10"/>
            <rFont val="ＭＳ ゴシック"/>
            <family val="3"/>
            <charset val="128"/>
          </rPr>
          <t>表-行-列標記は
BD⑦</t>
        </r>
      </text>
    </comment>
    <comment ref="GF4" authorId="0" shapeId="0" xr:uid="{00000000-0006-0000-0700-000002000000}">
      <text>
        <r>
          <rPr>
            <sz val="10"/>
            <rFont val="ＭＳ ゴシック"/>
            <family val="3"/>
            <charset val="128"/>
          </rPr>
          <t>ここだけ単位は百万円!!</t>
        </r>
      </text>
    </comment>
    <comment ref="GN5" authorId="1" shapeId="0" xr:uid="{00000000-0006-0000-0700-000003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Q5" authorId="1" shapeId="0" xr:uid="{00000000-0006-0000-0700-000004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T5" authorId="1" shapeId="0" xr:uid="{00000000-0006-0000-0700-000005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V5" authorId="1" shapeId="0" xr:uid="{00000000-0006-0000-0700-000006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FL53" authorId="0" shapeId="0" xr:uid="{00000000-0006-0000-0700-000007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FM53" authorId="0" shapeId="0" xr:uid="{00000000-0006-0000-0700-000008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EK54" authorId="0" shapeId="0" xr:uid="{00000000-0006-0000-0700-000009000000}">
      <text>
        <r>
          <rPr>
            <sz val="10"/>
            <rFont val="ＭＳ ゴシック"/>
            <family val="3"/>
            <charset val="128"/>
          </rPr>
          <t>何に使うんやろう…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HOSTNAME</author>
  </authors>
  <commentList>
    <comment ref="ET2" authorId="0" shapeId="0" xr:uid="{00000000-0006-0000-0800-000001000000}">
      <text>
        <r>
          <rPr>
            <sz val="10"/>
            <rFont val="ＭＳ ゴシック"/>
            <family val="3"/>
            <charset val="128"/>
          </rPr>
          <t>貼り替え済
負数のため赤字</t>
        </r>
      </text>
    </comment>
    <comment ref="EN3" authorId="0" shapeId="0" xr:uid="{00000000-0006-0000-0800-000002000000}">
      <text>
        <r>
          <rPr>
            <sz val="10"/>
            <rFont val="ＭＳ ゴシック"/>
            <family val="3"/>
            <charset val="128"/>
          </rPr>
          <t>R2国調については、作成時点で速報値しかないため、速報値を入力</t>
        </r>
      </text>
    </comment>
    <comment ref="GF4" authorId="0" shapeId="0" xr:uid="{00000000-0006-0000-0800-000003000000}">
      <text>
        <r>
          <rPr>
            <sz val="10"/>
            <rFont val="ＭＳ ゴシック"/>
            <family val="3"/>
            <charset val="128"/>
          </rPr>
          <t>ここだけ単位は百万円!!</t>
        </r>
      </text>
    </comment>
    <comment ref="GK5" authorId="0" shapeId="0" xr:uid="{00000000-0006-0000-0800-000004000000}">
      <text>
        <r>
          <rPr>
            <sz val="10"/>
            <rFont val="ＭＳ ゴシック"/>
            <family val="3"/>
            <charset val="128"/>
          </rPr>
          <t>総務省HPより転記
（部門別職員数）
ハンドブックは速報値のため
BDにしない</t>
        </r>
      </text>
    </comment>
    <comment ref="GN5" authorId="1" shapeId="0" xr:uid="{00000000-0006-0000-0800-000005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Q5" authorId="1" shapeId="0" xr:uid="{00000000-0006-0000-0800-000006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T5" authorId="1" shapeId="0" xr:uid="{00000000-0006-0000-0800-000007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V5" authorId="1" shapeId="0" xr:uid="{00000000-0006-0000-0800-000008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FL53" authorId="0" shapeId="0" xr:uid="{00000000-0006-0000-0800-000009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FM53" authorId="0" shapeId="0" xr:uid="{00000000-0006-0000-0800-00000A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EK54" authorId="0" shapeId="0" xr:uid="{00000000-0006-0000-0800-00000B000000}">
      <text>
        <r>
          <rPr>
            <sz val="10"/>
            <rFont val="ＭＳ ゴシック"/>
            <family val="3"/>
            <charset val="128"/>
          </rPr>
          <t>何に使うんやろう…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HOSTNAME</author>
  </authors>
  <commentList>
    <comment ref="GE4" authorId="0" shapeId="0" xr:uid="{00000000-0006-0000-0900-000001000000}">
      <text>
        <r>
          <rPr>
            <sz val="10"/>
            <rFont val="ＭＳ ゴシック"/>
            <family val="3"/>
            <charset val="128"/>
          </rPr>
          <t>ここだけ単位は百万円!!</t>
        </r>
      </text>
    </comment>
    <comment ref="GJ5" authorId="0" shapeId="0" xr:uid="{00000000-0006-0000-0900-000002000000}">
      <text>
        <r>
          <rPr>
            <sz val="10"/>
            <rFont val="ＭＳ ゴシック"/>
            <family val="3"/>
            <charset val="128"/>
          </rPr>
          <t>総務省HPより転記
（部門別職員数）
ハンドブックは速報値のため
BDにしない</t>
        </r>
      </text>
    </comment>
    <comment ref="GM5" authorId="1" shapeId="0" xr:uid="{00000000-0006-0000-0900-000003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P5" authorId="1" shapeId="0" xr:uid="{00000000-0006-0000-0900-000004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S5" authorId="1" shapeId="0" xr:uid="{00000000-0006-0000-0900-000005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U5" authorId="1" shapeId="0" xr:uid="{00000000-0006-0000-0900-000006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FK53" authorId="0" shapeId="0" xr:uid="{00000000-0006-0000-0900-000007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FL53" authorId="0" shapeId="0" xr:uid="{00000000-0006-0000-0900-000008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EJ54" authorId="0" shapeId="0" xr:uid="{00000000-0006-0000-0900-000009000000}">
      <text>
        <r>
          <rPr>
            <sz val="10"/>
            <rFont val="ＭＳ ゴシック"/>
            <family val="3"/>
            <charset val="128"/>
          </rPr>
          <t>何に使うんやろう…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HOSTNAME</author>
  </authors>
  <commentList>
    <comment ref="GD4" authorId="0" shapeId="0" xr:uid="{00000000-0006-0000-0A00-000001000000}">
      <text>
        <r>
          <rPr>
            <sz val="10"/>
            <rFont val="ＭＳ ゴシック"/>
            <family val="3"/>
            <charset val="128"/>
          </rPr>
          <t>ここだけ単位は百万円!!</t>
        </r>
      </text>
    </comment>
    <comment ref="GI5" authorId="0" shapeId="0" xr:uid="{00000000-0006-0000-0A00-000002000000}">
      <text>
        <r>
          <rPr>
            <sz val="10"/>
            <rFont val="ＭＳ ゴシック"/>
            <family val="3"/>
            <charset val="128"/>
          </rPr>
          <t>総務省HPより転記
（部門別職員数）
ハンドブックは速報値のため
BDにしない</t>
        </r>
      </text>
    </comment>
    <comment ref="GL5" authorId="1" shapeId="0" xr:uid="{00000000-0006-0000-0A00-000003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O5" authorId="1" shapeId="0" xr:uid="{00000000-0006-0000-0A00-000004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R5" authorId="1" shapeId="0" xr:uid="{00000000-0006-0000-0A00-000005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T5" authorId="1" shapeId="0" xr:uid="{00000000-0006-0000-0A00-000006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FJ53" authorId="0" shapeId="0" xr:uid="{00000000-0006-0000-0A00-000007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FK53" authorId="0" shapeId="0" xr:uid="{00000000-0006-0000-0A00-000008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EI54" authorId="0" shapeId="0" xr:uid="{00000000-0006-0000-0A00-000009000000}">
      <text>
        <r>
          <rPr>
            <sz val="10"/>
            <rFont val="ＭＳ ゴシック"/>
            <family val="3"/>
            <charset val="128"/>
          </rPr>
          <t>何に使うんやろう…</t>
        </r>
      </text>
    </comment>
    <comment ref="EM54" authorId="0" shapeId="0" xr:uid="{00000000-0006-0000-0A00-00000A000000}">
      <text>
        <r>
          <rPr>
            <sz val="10"/>
            <rFont val="ＭＳ ゴシック"/>
            <family val="3"/>
            <charset val="128"/>
          </rPr>
          <t>前年度数値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HOSTNAME</author>
  </authors>
  <commentList>
    <comment ref="GD4" authorId="0" shapeId="0" xr:uid="{00000000-0006-0000-0B00-000001000000}">
      <text>
        <r>
          <rPr>
            <sz val="10"/>
            <rFont val="ＭＳ ゴシック"/>
            <family val="3"/>
            <charset val="128"/>
          </rPr>
          <t>ここだけ単位は百万円!!</t>
        </r>
      </text>
    </comment>
    <comment ref="GI5" authorId="0" shapeId="0" xr:uid="{00000000-0006-0000-0B00-000002000000}">
      <text>
        <r>
          <rPr>
            <sz val="10"/>
            <rFont val="ＭＳ ゴシック"/>
            <family val="3"/>
            <charset val="128"/>
          </rPr>
          <t>政令市分は総務省HPより転記
（部門別職員数）
ハンドブックと突合OK</t>
        </r>
      </text>
    </comment>
    <comment ref="GL5" authorId="1" shapeId="0" xr:uid="{00000000-0006-0000-0B00-000003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O5" authorId="1" shapeId="0" xr:uid="{00000000-0006-0000-0B00-000004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R5" authorId="1" shapeId="0" xr:uid="{00000000-0006-0000-0B00-000005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GT5" authorId="1" shapeId="0" xr:uid="{00000000-0006-0000-0B00-000006000000}">
      <text>
        <r>
          <rPr>
            <sz val="10"/>
            <rFont val="ＭＳ ゴシック"/>
            <family val="3"/>
            <charset val="128"/>
          </rPr>
          <t>年度によって
変動しない</t>
        </r>
      </text>
    </comment>
    <comment ref="FJ53" authorId="0" shapeId="0" xr:uid="{00000000-0006-0000-0B00-000007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FK53" authorId="0" shapeId="0" xr:uid="{00000000-0006-0000-0B00-000008000000}">
      <text>
        <r>
          <rPr>
            <sz val="10"/>
            <rFont val="ＭＳ ゴシック"/>
            <family val="3"/>
            <charset val="128"/>
          </rPr>
          <t>何に使う？</t>
        </r>
      </text>
    </comment>
    <comment ref="EI54" authorId="0" shapeId="0" xr:uid="{00000000-0006-0000-0B00-000009000000}">
      <text>
        <r>
          <rPr>
            <sz val="10"/>
            <rFont val="ＭＳ ゴシック"/>
            <family val="3"/>
            <charset val="128"/>
          </rPr>
          <t>何に使うんやろう…</t>
        </r>
      </text>
    </comment>
    <comment ref="EM54" authorId="0" shapeId="0" xr:uid="{00000000-0006-0000-0B00-00000A000000}">
      <text>
        <r>
          <rPr>
            <sz val="10"/>
            <rFont val="ＭＳ ゴシック"/>
            <family val="3"/>
            <charset val="128"/>
          </rPr>
          <t>前年度数値</t>
        </r>
      </text>
    </comment>
  </commentList>
</comments>
</file>

<file path=xl/sharedStrings.xml><?xml version="1.0" encoding="utf-8"?>
<sst xmlns="http://schemas.openxmlformats.org/spreadsheetml/2006/main" count="18993" uniqueCount="862">
  <si>
    <t>府計</t>
  </si>
  <si>
    <t>大阪市</t>
  </si>
  <si>
    <t>01osaka</t>
  </si>
  <si>
    <t>堺市</t>
  </si>
  <si>
    <t>02sakai</t>
  </si>
  <si>
    <t>岸和田市</t>
  </si>
  <si>
    <t>03kishiwada</t>
  </si>
  <si>
    <t>豊中市</t>
  </si>
  <si>
    <t>04toyonaka</t>
  </si>
  <si>
    <t>池田市</t>
  </si>
  <si>
    <t>05ikeda</t>
  </si>
  <si>
    <t>吹田市</t>
  </si>
  <si>
    <t>06suita</t>
  </si>
  <si>
    <t>泉大津市</t>
  </si>
  <si>
    <t>07izumiootsu</t>
  </si>
  <si>
    <t>高槻市</t>
  </si>
  <si>
    <t>08takatsuki</t>
  </si>
  <si>
    <t>貝塚市</t>
  </si>
  <si>
    <t>09kaizuka</t>
  </si>
  <si>
    <t>守口市</t>
  </si>
  <si>
    <t>10moriguchi</t>
  </si>
  <si>
    <t>枚方市</t>
  </si>
  <si>
    <t>11hirakata</t>
  </si>
  <si>
    <t>茨木市</t>
  </si>
  <si>
    <t>12ibaraki</t>
  </si>
  <si>
    <t>八尾市</t>
  </si>
  <si>
    <t>13yao</t>
  </si>
  <si>
    <t>泉佐野市</t>
  </si>
  <si>
    <t>14izumisano</t>
  </si>
  <si>
    <t>富田林市</t>
  </si>
  <si>
    <t>15tondabayashi</t>
  </si>
  <si>
    <t>寝屋川市</t>
  </si>
  <si>
    <t>16neyagawa</t>
  </si>
  <si>
    <t>河内長野市</t>
  </si>
  <si>
    <t>17kawachinagano</t>
  </si>
  <si>
    <t>松原市</t>
  </si>
  <si>
    <t>18matsubara</t>
  </si>
  <si>
    <t>大東市</t>
  </si>
  <si>
    <t>19daito</t>
  </si>
  <si>
    <t>和泉市</t>
  </si>
  <si>
    <t>20izumi</t>
  </si>
  <si>
    <t>箕面市</t>
  </si>
  <si>
    <t>21minoh</t>
  </si>
  <si>
    <t>柏原市</t>
  </si>
  <si>
    <t>22kashiwara</t>
  </si>
  <si>
    <t>羽曳野市</t>
  </si>
  <si>
    <t>23habikino</t>
  </si>
  <si>
    <t>門真市</t>
  </si>
  <si>
    <t>24kadoma</t>
  </si>
  <si>
    <t>摂津市</t>
  </si>
  <si>
    <t>25settsu</t>
  </si>
  <si>
    <t>高石市</t>
  </si>
  <si>
    <t>26takaishi</t>
  </si>
  <si>
    <t>藤井寺市</t>
  </si>
  <si>
    <t>27fujiidera</t>
  </si>
  <si>
    <t>東大阪市</t>
  </si>
  <si>
    <t>28higashiosaka</t>
  </si>
  <si>
    <t>泉南市</t>
  </si>
  <si>
    <t>29sennan</t>
  </si>
  <si>
    <t>四條畷市</t>
  </si>
  <si>
    <t>30shijyounawate</t>
  </si>
  <si>
    <t>交野市</t>
  </si>
  <si>
    <t>31katano</t>
  </si>
  <si>
    <t>大阪狭山市</t>
  </si>
  <si>
    <t>32osakasayama</t>
  </si>
  <si>
    <t>阪南市</t>
  </si>
  <si>
    <t>33hannan</t>
  </si>
  <si>
    <t>都市計</t>
  </si>
  <si>
    <t>toshikei</t>
  </si>
  <si>
    <t>島本町</t>
  </si>
  <si>
    <t>34shimamoto</t>
  </si>
  <si>
    <t>豊能町</t>
  </si>
  <si>
    <t>35toyono</t>
  </si>
  <si>
    <t>能勢町</t>
  </si>
  <si>
    <t>36nose</t>
  </si>
  <si>
    <t>忠岡町</t>
  </si>
  <si>
    <t>37tadaoka</t>
  </si>
  <si>
    <t>熊取町</t>
  </si>
  <si>
    <t>38kumatori</t>
  </si>
  <si>
    <t>田尻町</t>
  </si>
  <si>
    <t>39tajiri</t>
  </si>
  <si>
    <t>岬町</t>
  </si>
  <si>
    <t>40misaki</t>
  </si>
  <si>
    <t>太子町</t>
  </si>
  <si>
    <t>41taishi</t>
  </si>
  <si>
    <t>河南町</t>
  </si>
  <si>
    <t>42kanan</t>
  </si>
  <si>
    <t>千早赤阪村</t>
  </si>
  <si>
    <t>43chihayaakasaka</t>
  </si>
  <si>
    <t>町村計</t>
  </si>
  <si>
    <t>chousonkei</t>
  </si>
  <si>
    <t>市町村計</t>
  </si>
  <si>
    <t>shichousonkei</t>
  </si>
  <si>
    <t>fukei</t>
  </si>
  <si>
    <t>歳入歳出決算額の推移</t>
  </si>
  <si>
    <t>市町村名</t>
  </si>
  <si>
    <t>←ご覧になりたい市町村を選択してください。</t>
  </si>
  <si>
    <t>※大阪市・堺市については、平成22年度以前の数値を表示できません。</t>
  </si>
  <si>
    <t>（歳入決算額）</t>
  </si>
  <si>
    <t>（単位：百万円）</t>
  </si>
  <si>
    <t>区　　分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</si>
  <si>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</si>
  <si>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</si>
  <si>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</si>
  <si>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</si>
  <si>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</si>
  <si>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</si>
  <si>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</si>
  <si>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</si>
  <si>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</si>
  <si>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</si>
  <si>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</si>
  <si>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</si>
  <si>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</si>
  <si>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</si>
  <si>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</si>
  <si>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</si>
  <si>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</si>
  <si>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</si>
  <si>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</si>
  <si>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</si>
  <si>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</si>
  <si>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</si>
  <si>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</si>
  <si>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</si>
  <si>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H25</t>
  </si>
  <si>
    <t>H26</t>
  </si>
  <si>
    <t>H27</t>
  </si>
  <si>
    <t>H28</t>
  </si>
  <si>
    <t>H29</t>
  </si>
  <si>
    <t>H30</t>
  </si>
  <si>
    <t>R1</t>
  </si>
  <si>
    <t>R2</t>
  </si>
  <si>
    <t>R3</t>
  </si>
  <si>
    <t>R4</t>
  </si>
  <si>
    <t>R5</t>
  </si>
  <si>
    <t>R6</t>
  </si>
  <si>
    <t>地 方 税</t>
  </si>
  <si>
    <t>うち個人市民税</t>
  </si>
  <si>
    <t>均 等 割</t>
  </si>
  <si>
    <t>所 得 割</t>
  </si>
  <si>
    <t>うち法人市民税</t>
  </si>
  <si>
    <t>法人税割</t>
  </si>
  <si>
    <t>うち固定資産税</t>
  </si>
  <si>
    <t>うち土 地</t>
  </si>
  <si>
    <t>うち家 屋</t>
  </si>
  <si>
    <t>うち償却資産</t>
  </si>
  <si>
    <t>うちたばこ税</t>
  </si>
  <si>
    <t>うち都市計画税</t>
  </si>
  <si>
    <t>土　地</t>
  </si>
  <si>
    <t>家　屋</t>
  </si>
  <si>
    <t>地方譲与税</t>
  </si>
  <si>
    <t>うち消費譲与税</t>
  </si>
  <si>
    <t>うち所得譲与税</t>
  </si>
  <si>
    <t>各種税交付金</t>
  </si>
  <si>
    <t>うち利子割</t>
  </si>
  <si>
    <t>うち配当割</t>
  </si>
  <si>
    <t>うち株式等譲渡所得割</t>
  </si>
  <si>
    <t>うち地方消費税</t>
  </si>
  <si>
    <t>地方特例交付金等</t>
  </si>
  <si>
    <t>地方交付税</t>
  </si>
  <si>
    <t>普通交付税</t>
  </si>
  <si>
    <t>特別交付税</t>
  </si>
  <si>
    <t>交通安全対策交付金</t>
  </si>
  <si>
    <t>分担金・負担金</t>
  </si>
  <si>
    <t>使用料・手数料</t>
  </si>
  <si>
    <t>国庫支出金</t>
  </si>
  <si>
    <t>うち生活保護負担金</t>
  </si>
  <si>
    <t>うち児童保護負担金</t>
  </si>
  <si>
    <t>うち普通建設事業(*2)</t>
  </si>
  <si>
    <t>うち災害復旧事業(*2)</t>
  </si>
  <si>
    <t>国有提供施設市町村交付金</t>
  </si>
  <si>
    <t>府支出金</t>
  </si>
  <si>
    <t>国庫財源を伴うもの</t>
  </si>
  <si>
    <t>うち普通建設事業</t>
  </si>
  <si>
    <t>府単独費のもの</t>
  </si>
  <si>
    <t>財産収入</t>
  </si>
  <si>
    <t>うち財産売払収入</t>
  </si>
  <si>
    <t>寄 附 金</t>
  </si>
  <si>
    <t>繰 入 金</t>
  </si>
  <si>
    <t>うち財調基金取崩し</t>
  </si>
  <si>
    <t>うち減債基金取崩し</t>
  </si>
  <si>
    <t>うち特目基金取崩し</t>
  </si>
  <si>
    <t>うち基金借入金</t>
  </si>
  <si>
    <t>繰 越 金</t>
  </si>
  <si>
    <t>うち純繰越金</t>
  </si>
  <si>
    <t>諸 収 入</t>
  </si>
  <si>
    <t>うち貸付金償還収入</t>
  </si>
  <si>
    <t>うち受託事業収入</t>
  </si>
  <si>
    <t>うち収益事業収入</t>
  </si>
  <si>
    <t>地 方 債</t>
  </si>
  <si>
    <t>建設地方債</t>
  </si>
  <si>
    <t>赤字地方債(*3)</t>
  </si>
  <si>
    <t>退職手当債</t>
  </si>
  <si>
    <t>歳　入　合　計</t>
  </si>
  <si>
    <t>（歳出決算額）</t>
  </si>
  <si>
    <t>人 件 費</t>
  </si>
  <si>
    <t>うち職 員 給</t>
  </si>
  <si>
    <t>うち退 職 金</t>
  </si>
  <si>
    <t>うち委員等報酬</t>
  </si>
  <si>
    <t>扶 助 費</t>
  </si>
  <si>
    <t>うち社会福祉費</t>
  </si>
  <si>
    <t>うち老人福祉費</t>
  </si>
  <si>
    <t>うち児童福祉費</t>
  </si>
  <si>
    <t>うち生活保護費</t>
  </si>
  <si>
    <t>うち衛 生 費</t>
  </si>
  <si>
    <t>うち教 育 費</t>
  </si>
  <si>
    <t>公 債 費</t>
  </si>
  <si>
    <t>元　金</t>
  </si>
  <si>
    <t>利　子(含む一借利子）</t>
  </si>
  <si>
    <t>物 件 費</t>
  </si>
  <si>
    <t>うち委 託 料</t>
  </si>
  <si>
    <t>うち賃    金</t>
  </si>
  <si>
    <t>うち需 用 費</t>
  </si>
  <si>
    <t>維持補修費</t>
  </si>
  <si>
    <t>補助費等</t>
  </si>
  <si>
    <t>うち一部事務組合負担金</t>
  </si>
  <si>
    <t>うち補助金交付金</t>
  </si>
  <si>
    <t>うち単独補助交付金</t>
  </si>
  <si>
    <t>うち法適企業会計繰出</t>
  </si>
  <si>
    <t>うち病院事業</t>
  </si>
  <si>
    <t>うち下水道事業</t>
  </si>
  <si>
    <t>普通建設事業</t>
  </si>
  <si>
    <t>うち補助事業</t>
  </si>
  <si>
    <t>うち単独事業</t>
  </si>
  <si>
    <t>うち府営事業負担金</t>
  </si>
  <si>
    <t>うち受託事業</t>
  </si>
  <si>
    <t>災害復旧事業</t>
  </si>
  <si>
    <t>積 立 金</t>
  </si>
  <si>
    <t>うち財政調整基金</t>
  </si>
  <si>
    <t>うち減債基金</t>
  </si>
  <si>
    <t>うち特定目的基金</t>
  </si>
  <si>
    <t>投資及び出資金</t>
  </si>
  <si>
    <t>うち公営企業会計分</t>
  </si>
  <si>
    <t>うち上水道事業</t>
  </si>
  <si>
    <t>貸 付 金</t>
  </si>
  <si>
    <t>繰 出 金</t>
  </si>
  <si>
    <t>うち住宅等用地造成事業</t>
  </si>
  <si>
    <t>うち駐車場整備事業</t>
  </si>
  <si>
    <t>うち国保事業勘定</t>
  </si>
  <si>
    <t>うち老人保健医療事業</t>
  </si>
  <si>
    <t>うち後期高齢者医療事業</t>
  </si>
  <si>
    <t>うち介護保険事業勘定</t>
  </si>
  <si>
    <t>前年度繰上充用金</t>
  </si>
  <si>
    <t>歳　出　合　計</t>
  </si>
  <si>
    <t>（収支差引）</t>
  </si>
  <si>
    <t>歳入歳出差引(形式収支)</t>
  </si>
  <si>
    <t>翌年度繰越財源</t>
  </si>
  <si>
    <t>実　質　収　支</t>
  </si>
  <si>
    <t>単 年 度 収 支</t>
  </si>
  <si>
    <t>実質単年度収支</t>
  </si>
  <si>
    <t xml:space="preserve"> *1 端数処理の関係で合計等と一致しない場合がある。</t>
  </si>
  <si>
    <t xml:space="preserve"> *2 委託金は含まない。</t>
  </si>
  <si>
    <t xml:space="preserve"> *3 臨時財政対策債＋減収補てん債（特例分）＋減税補てん債＋臨時税収補てん債</t>
  </si>
  <si>
    <t>財政指標等の推移</t>
  </si>
  <si>
    <t>団体名</t>
  </si>
  <si>
    <t>（単位：人、百万円）</t>
  </si>
  <si>
    <t>区　　　分</t>
  </si>
  <si>
    <t>人口</t>
  </si>
  <si>
    <t>国勢調査人口</t>
  </si>
  <si>
    <t>住基人口（*6）</t>
  </si>
  <si>
    <t>決　算　収　支　（一般財源等ベース）</t>
  </si>
  <si>
    <t>地　方　税</t>
  </si>
  <si>
    <t>市町村民税</t>
  </si>
  <si>
    <t>個人住民税</t>
  </si>
  <si>
    <t>法人住民税</t>
  </si>
  <si>
    <t>固定資産税</t>
  </si>
  <si>
    <t>うち土　　地</t>
  </si>
  <si>
    <t>うち家　　屋</t>
  </si>
  <si>
    <t>譲与税・交付金</t>
  </si>
  <si>
    <t>うち普通交付税</t>
  </si>
  <si>
    <t>繰　入　金</t>
  </si>
  <si>
    <t>うち財調・減債取崩</t>
  </si>
  <si>
    <t>赤字地方債</t>
  </si>
  <si>
    <t>そ　の　他</t>
  </si>
  <si>
    <t>人　件　費</t>
  </si>
  <si>
    <t>うち職　員　給</t>
  </si>
  <si>
    <t>扶　助　費</t>
  </si>
  <si>
    <t>公　債　費</t>
  </si>
  <si>
    <t>投資的経費</t>
  </si>
  <si>
    <t>うち補 助 事 業</t>
  </si>
  <si>
    <t>うち単 独 事 業</t>
  </si>
  <si>
    <t>物　件　費</t>
  </si>
  <si>
    <t>補 助 費 等</t>
  </si>
  <si>
    <t>繰　出　金</t>
  </si>
  <si>
    <t>実 質 収 支</t>
  </si>
  <si>
    <t>実質収支比率(%)(*5)</t>
  </si>
  <si>
    <t>財政力</t>
  </si>
  <si>
    <t>標準財政規模(臨財債除く)</t>
  </si>
  <si>
    <t>(標準財政規模(臨財債含む))</t>
  </si>
  <si>
    <t>基準財政収入額</t>
  </si>
  <si>
    <t>基準財政需要額</t>
  </si>
  <si>
    <t>(臨財債振替前）</t>
  </si>
  <si>
    <t>財政力指数</t>
  </si>
  <si>
    <t>経常収支等</t>
  </si>
  <si>
    <t>経常収支比率(%)</t>
  </si>
  <si>
    <t>うち人　件　費</t>
  </si>
  <si>
    <t>うち扶　助　費</t>
  </si>
  <si>
    <t>うち公　債　費</t>
  </si>
  <si>
    <t>うち物　件　費</t>
  </si>
  <si>
    <t>うち補 助 費 等</t>
  </si>
  <si>
    <t>うち繰　出　金</t>
  </si>
  <si>
    <t>実質公債費比率等(*4)</t>
  </si>
  <si>
    <t>投資</t>
  </si>
  <si>
    <t>普通建設事業費</t>
  </si>
  <si>
    <t>うち補 助 事 業 費</t>
  </si>
  <si>
    <t>うち単 独 事 業 費</t>
  </si>
  <si>
    <t>地方債</t>
  </si>
  <si>
    <t>地方債現在高</t>
  </si>
  <si>
    <t>対標準財政規模(%)(*5)</t>
  </si>
  <si>
    <t>新規発行額</t>
  </si>
  <si>
    <t>積立金</t>
  </si>
  <si>
    <t>積立金現在高</t>
  </si>
  <si>
    <t>財政調整基金</t>
  </si>
  <si>
    <t>減 債 基 金</t>
  </si>
  <si>
    <t>特定目的基金</t>
  </si>
  <si>
    <t>特目基金取崩</t>
  </si>
  <si>
    <t>公社</t>
  </si>
  <si>
    <t>土地開発公社保有量</t>
  </si>
  <si>
    <t>地方税</t>
  </si>
  <si>
    <t>税　徴　収　率 (%)</t>
  </si>
  <si>
    <t>現 年 課 税 分</t>
  </si>
  <si>
    <t>滞 納 繰 越 分</t>
  </si>
  <si>
    <t>普通会計職員数（４/１日現在）</t>
  </si>
  <si>
    <t xml:space="preserve"> *4 H16までは起債制限比率、H17より実質公債費比率を掲載。ともに3ヶ年平均。</t>
  </si>
  <si>
    <t xml:space="preserve"> *5 H20より分母に臨時財政対策債発行可能額を含む。</t>
  </si>
  <si>
    <t>*6　H24より住基人口に外国人含む。また、H24までは年度末人口、H25からは1.1現在人口</t>
  </si>
  <si>
    <t>健全化判断比率の推移</t>
  </si>
  <si>
    <t>（単位：％）</t>
  </si>
  <si>
    <t>健全化判断比率</t>
  </si>
  <si>
    <t>実質赤字比率</t>
  </si>
  <si>
    <t>（早期健全化基準）</t>
  </si>
  <si>
    <t>（財政再生基準）</t>
  </si>
  <si>
    <t>連結実質赤字比率</t>
  </si>
  <si>
    <t>実質公債費比率</t>
  </si>
  <si>
    <t>将来負担比率</t>
  </si>
  <si>
    <t>各比率の網掛け（黄色）は、早期健全化基準以上を表す。</t>
  </si>
  <si>
    <t>各比率の網掛け（赤色）は、財政再生基準以上を表す。</t>
  </si>
  <si>
    <t>04-01-01</t>
  </si>
  <si>
    <t>06-04-08</t>
  </si>
  <si>
    <t>06-05-08</t>
  </si>
  <si>
    <t>06-07-08</t>
  </si>
  <si>
    <t>06-08-08</t>
  </si>
  <si>
    <t>06-09-08</t>
  </si>
  <si>
    <t>06-11-08</t>
  </si>
  <si>
    <t>06-12-08</t>
  </si>
  <si>
    <t>06-13-08</t>
  </si>
  <si>
    <t>06-18-08</t>
  </si>
  <si>
    <t>06-29-08</t>
  </si>
  <si>
    <t>06-30-08</t>
  </si>
  <si>
    <t>06-31-08</t>
  </si>
  <si>
    <t>04-01-02</t>
  </si>
  <si>
    <t>不要</t>
  </si>
  <si>
    <t>04-01-9</t>
  </si>
  <si>
    <t>04-01-10</t>
  </si>
  <si>
    <t>04-01-11</t>
  </si>
  <si>
    <t>04-01-13</t>
  </si>
  <si>
    <t>04-01-14</t>
  </si>
  <si>
    <t>04-01-16</t>
  </si>
  <si>
    <t>04-01-17</t>
  </si>
  <si>
    <t>04-01-18</t>
  </si>
  <si>
    <t>04-01-19</t>
  </si>
  <si>
    <t>04-01-23</t>
  </si>
  <si>
    <t>04-01-24</t>
  </si>
  <si>
    <t>04-01-25</t>
  </si>
  <si>
    <t>04-01-27</t>
  </si>
  <si>
    <t>04-01-28</t>
  </si>
  <si>
    <t>04-01-32</t>
  </si>
  <si>
    <t>04-01-40</t>
  </si>
  <si>
    <t>04-01-43</t>
  </si>
  <si>
    <t>04-01-45</t>
  </si>
  <si>
    <t>04-01-46</t>
  </si>
  <si>
    <t>04-01-47</t>
  </si>
  <si>
    <t>04-01-50</t>
  </si>
  <si>
    <t>04-01-51</t>
  </si>
  <si>
    <t>04-01-69</t>
  </si>
  <si>
    <t>04-02-01</t>
  </si>
  <si>
    <t>04-02-02</t>
  </si>
  <si>
    <t>04-02-03</t>
  </si>
  <si>
    <t>04-02-06</t>
  </si>
  <si>
    <t>04-02-16</t>
  </si>
  <si>
    <t>04-02-17</t>
  </si>
  <si>
    <t>04-02-21</t>
  </si>
  <si>
    <t>04-02-23</t>
  </si>
  <si>
    <t>04-02-27</t>
  </si>
  <si>
    <t>04-02-31</t>
  </si>
  <si>
    <t>29-03-01</t>
  </si>
  <si>
    <t>29-03-02</t>
  </si>
  <si>
    <t>29-03-03</t>
  </si>
  <si>
    <t>27-23-09</t>
  </si>
  <si>
    <t>04-02-32</t>
  </si>
  <si>
    <t>04-02-33</t>
  </si>
  <si>
    <t>04-02-35</t>
  </si>
  <si>
    <t>04-02-39</t>
  </si>
  <si>
    <t>04-02-40</t>
  </si>
  <si>
    <t>04-02-43</t>
  </si>
  <si>
    <t>04-02-48</t>
  </si>
  <si>
    <t>33-87-02</t>
  </si>
  <si>
    <t>33-91-02</t>
  </si>
  <si>
    <t>33-89-02</t>
  </si>
  <si>
    <t>33-76-02</t>
  </si>
  <si>
    <t>04-02-52</t>
  </si>
  <si>
    <t>13-01-01</t>
  </si>
  <si>
    <t>13-02-01</t>
  </si>
  <si>
    <t>15-02-20</t>
  </si>
  <si>
    <t>15-01-02</t>
  </si>
  <si>
    <t>13-05-01</t>
  </si>
  <si>
    <t>47-21-01</t>
  </si>
  <si>
    <t>47-22-01</t>
  </si>
  <si>
    <t>47-23-01</t>
  </si>
  <si>
    <t>47-24-01</t>
  </si>
  <si>
    <t>47-27-01</t>
  </si>
  <si>
    <t>47-28-01</t>
  </si>
  <si>
    <t>13-32-01</t>
  </si>
  <si>
    <t>14-10-01</t>
  </si>
  <si>
    <t>13-03-01</t>
  </si>
  <si>
    <t>89-01-06</t>
  </si>
  <si>
    <t>89-01-01</t>
  </si>
  <si>
    <t>89-01-03</t>
  </si>
  <si>
    <t>13-04-01</t>
  </si>
  <si>
    <t>13-06-01</t>
  </si>
  <si>
    <t>13-10-01</t>
  </si>
  <si>
    <t>19-01-23</t>
  </si>
  <si>
    <t>19-01-43</t>
  </si>
  <si>
    <t>28-21-01</t>
  </si>
  <si>
    <t>28-21-03</t>
  </si>
  <si>
    <t>28-08-01</t>
  </si>
  <si>
    <t>28-08-03</t>
  </si>
  <si>
    <t>28-13-01</t>
  </si>
  <si>
    <t>28-13-03</t>
  </si>
  <si>
    <t>13-12-01</t>
  </si>
  <si>
    <t>13-13-01</t>
  </si>
  <si>
    <t>13-14-01</t>
  </si>
  <si>
    <t>13-16-01</t>
  </si>
  <si>
    <t>13-18-01</t>
  </si>
  <si>
    <t>13-21-01</t>
  </si>
  <si>
    <t>13-33-01</t>
  </si>
  <si>
    <t>29-02-01</t>
  </si>
  <si>
    <t>29-02-02</t>
  </si>
  <si>
    <t>29-02-03</t>
  </si>
  <si>
    <t>13-34-01</t>
  </si>
  <si>
    <t>30-16-05</t>
  </si>
  <si>
    <t>28-01-05</t>
  </si>
  <si>
    <t>28-08-05</t>
  </si>
  <si>
    <t>13-35-01</t>
  </si>
  <si>
    <t>30-01-05</t>
  </si>
  <si>
    <t>28-08-07</t>
  </si>
  <si>
    <t>13-36-01</t>
  </si>
  <si>
    <t>27-08-07</t>
  </si>
  <si>
    <t>27-07-07</t>
  </si>
  <si>
    <t>27-16-07</t>
  </si>
  <si>
    <t>27-10-07</t>
  </si>
  <si>
    <t>27-13-07</t>
  </si>
  <si>
    <t>27-15-07</t>
  </si>
  <si>
    <t>27-17-07</t>
  </si>
  <si>
    <t>13-37-01</t>
  </si>
  <si>
    <t>13-38-01</t>
  </si>
  <si>
    <t>02-01-03</t>
  </si>
  <si>
    <t>02-01-04</t>
  </si>
  <si>
    <t>02-01-05</t>
  </si>
  <si>
    <t>02-01-06</t>
  </si>
  <si>
    <t>02-01-10</t>
  </si>
  <si>
    <t>BD⑩</t>
  </si>
  <si>
    <t>BD⑤</t>
  </si>
  <si>
    <t>13-39-07</t>
  </si>
  <si>
    <t>13-39-06</t>
  </si>
  <si>
    <t>13-41-11</t>
  </si>
  <si>
    <t>13-39-11</t>
  </si>
  <si>
    <t>13-01-11</t>
  </si>
  <si>
    <t>13-02-11</t>
  </si>
  <si>
    <t>13-05-11</t>
  </si>
  <si>
    <t>13-32-11</t>
  </si>
  <si>
    <t>13-12-11</t>
  </si>
  <si>
    <t>13-13-11</t>
  </si>
  <si>
    <t>13-14-11</t>
  </si>
  <si>
    <t>13-21-11</t>
  </si>
  <si>
    <t>13-29-11</t>
  </si>
  <si>
    <t>13-03-11</t>
  </si>
  <si>
    <t>13-06-11</t>
  </si>
  <si>
    <t>13-10-11</t>
  </si>
  <si>
    <t>13-36-11</t>
  </si>
  <si>
    <t>13-38-11</t>
  </si>
  <si>
    <t>(00-01-08)－(09)</t>
  </si>
  <si>
    <t>00-01-09</t>
  </si>
  <si>
    <t>00-01-05</t>
  </si>
  <si>
    <t>00-01-06</t>
  </si>
  <si>
    <t>BD④</t>
  </si>
  <si>
    <t>BD⑨</t>
  </si>
  <si>
    <t>BD①</t>
  </si>
  <si>
    <t>33-97-09</t>
  </si>
  <si>
    <t>29-06-04</t>
  </si>
  <si>
    <t>29-06-01</t>
  </si>
  <si>
    <t>29-06-02</t>
  </si>
  <si>
    <t>29-06-03</t>
  </si>
  <si>
    <t>29-13-04</t>
  </si>
  <si>
    <t>BD③</t>
  </si>
  <si>
    <t>BD⑧</t>
  </si>
  <si>
    <t>BD⑥</t>
  </si>
  <si>
    <t>BD②</t>
  </si>
  <si>
    <t>地方特例交付金</t>
  </si>
  <si>
    <t>交通安全対策</t>
  </si>
  <si>
    <t>国有提供施設等</t>
  </si>
  <si>
    <t>寄附金</t>
  </si>
  <si>
    <t>繰入金</t>
  </si>
  <si>
    <t>繰越金</t>
  </si>
  <si>
    <t>諸収入</t>
  </si>
  <si>
    <t>歳入合計</t>
  </si>
  <si>
    <t>人件費</t>
  </si>
  <si>
    <t>扶助費</t>
  </si>
  <si>
    <t>公債費</t>
  </si>
  <si>
    <t>物件費</t>
  </si>
  <si>
    <t>貸付金</t>
  </si>
  <si>
    <t>繰出金</t>
  </si>
  <si>
    <t>繰上充用金</t>
  </si>
  <si>
    <t>歳出合計</t>
  </si>
  <si>
    <t>形式収支</t>
  </si>
  <si>
    <t>繰越財源</t>
  </si>
  <si>
    <t>実質収支</t>
  </si>
  <si>
    <t>単年度収支</t>
  </si>
  <si>
    <t>住基人口</t>
  </si>
  <si>
    <t>その他</t>
  </si>
  <si>
    <t>歳入合計・振替</t>
  </si>
  <si>
    <t>職員給</t>
  </si>
  <si>
    <t>災害復旧事業費</t>
  </si>
  <si>
    <t>失業対策事業費</t>
  </si>
  <si>
    <t>うち一組負担金</t>
  </si>
  <si>
    <t>標準財政規模</t>
  </si>
  <si>
    <t>臨時財政</t>
  </si>
  <si>
    <t>経常収支</t>
  </si>
  <si>
    <t>実質公債費</t>
  </si>
  <si>
    <t>対標準</t>
  </si>
  <si>
    <t>土地開発公社</t>
  </si>
  <si>
    <t>税徴収率</t>
  </si>
  <si>
    <t>部門別職員数</t>
  </si>
  <si>
    <t>実質</t>
  </si>
  <si>
    <t>連結実質</t>
  </si>
  <si>
    <t>将来</t>
  </si>
  <si>
    <t>個人市民税</t>
  </si>
  <si>
    <t>法人市民税</t>
  </si>
  <si>
    <t>たばこ税</t>
  </si>
  <si>
    <t>都市計画税</t>
  </si>
  <si>
    <t>所得譲与税</t>
  </si>
  <si>
    <t>利子割</t>
  </si>
  <si>
    <t>配当割</t>
  </si>
  <si>
    <t>株式等譲渡</t>
  </si>
  <si>
    <t>地方消費税</t>
  </si>
  <si>
    <t>ゴルフ場利用税</t>
  </si>
  <si>
    <t>軽油引取税交付金</t>
  </si>
  <si>
    <t>自動車税</t>
  </si>
  <si>
    <t>法人事業税</t>
  </si>
  <si>
    <t>特別交付金</t>
  </si>
  <si>
    <t>使用料</t>
  </si>
  <si>
    <t>手数料</t>
  </si>
  <si>
    <t>社会保障関連</t>
  </si>
  <si>
    <t>障害者自立</t>
  </si>
  <si>
    <t>所在市町村</t>
  </si>
  <si>
    <t>財産売払収入</t>
  </si>
  <si>
    <t>財調基金</t>
  </si>
  <si>
    <t>減債基金</t>
  </si>
  <si>
    <t>特目基金</t>
  </si>
  <si>
    <t>基金借入金</t>
  </si>
  <si>
    <t>純繰越金</t>
  </si>
  <si>
    <t>貸付金償還収入</t>
  </si>
  <si>
    <t>受託事業収入</t>
  </si>
  <si>
    <t>収益事業収入</t>
  </si>
  <si>
    <t>減収補てん</t>
  </si>
  <si>
    <t>退職金</t>
  </si>
  <si>
    <t>委員等報酬</t>
  </si>
  <si>
    <t>社会福祉費</t>
  </si>
  <si>
    <t>老人福祉費</t>
  </si>
  <si>
    <t>児童福祉費</t>
  </si>
  <si>
    <t>生活保護費</t>
  </si>
  <si>
    <t>衛生費</t>
  </si>
  <si>
    <t>教育費</t>
  </si>
  <si>
    <t>元金</t>
  </si>
  <si>
    <t>利子</t>
  </si>
  <si>
    <t>委託料</t>
  </si>
  <si>
    <t>賃金</t>
  </si>
  <si>
    <t>需用費</t>
  </si>
  <si>
    <t>一組負担金</t>
  </si>
  <si>
    <t>補助金交付金</t>
  </si>
  <si>
    <t>法適企業会計繰出</t>
  </si>
  <si>
    <t>補助事業</t>
  </si>
  <si>
    <t>単独事業</t>
  </si>
  <si>
    <t>府営事業負担金</t>
  </si>
  <si>
    <t>受託事業</t>
  </si>
  <si>
    <t>公営企業会計分</t>
  </si>
  <si>
    <t>下水道事業</t>
  </si>
  <si>
    <t>用地造成事業</t>
  </si>
  <si>
    <t>後期高齢者医療</t>
  </si>
  <si>
    <t>駐車場整備事業</t>
  </si>
  <si>
    <t>国民健康保険</t>
  </si>
  <si>
    <t>老人保健医療</t>
  </si>
  <si>
    <t>介護保険</t>
  </si>
  <si>
    <t>(7.1.1現在)</t>
  </si>
  <si>
    <t>一般財源ﾍﾞｰｽ</t>
  </si>
  <si>
    <t>比率</t>
  </si>
  <si>
    <t>（臨財債除く）</t>
  </si>
  <si>
    <t>対策債</t>
  </si>
  <si>
    <t>(除く錯誤)</t>
  </si>
  <si>
    <t>(３年平均)</t>
  </si>
  <si>
    <t>財政規模</t>
  </si>
  <si>
    <t>基金借入分</t>
  </si>
  <si>
    <t>保有量</t>
  </si>
  <si>
    <t>現年課税分</t>
  </si>
  <si>
    <t>滞納繰越分</t>
  </si>
  <si>
    <t>合計</t>
  </si>
  <si>
    <t>(R6.4.1)</t>
  </si>
  <si>
    <t>赤字比率</t>
  </si>
  <si>
    <t>早期</t>
  </si>
  <si>
    <t>財政</t>
  </si>
  <si>
    <t>負担比率</t>
  </si>
  <si>
    <t>均等割</t>
  </si>
  <si>
    <t>所得割</t>
  </si>
  <si>
    <t>土地</t>
  </si>
  <si>
    <t>家屋</t>
  </si>
  <si>
    <t>償却資産</t>
  </si>
  <si>
    <t>環境性能割</t>
  </si>
  <si>
    <t>児童保護費</t>
  </si>
  <si>
    <t>結核医療費</t>
  </si>
  <si>
    <t>支援給付費</t>
  </si>
  <si>
    <t>助成交付金</t>
  </si>
  <si>
    <t>児童保護負担金</t>
  </si>
  <si>
    <t>減税補てん</t>
  </si>
  <si>
    <t>（特例分）</t>
  </si>
  <si>
    <t>臨時財政対策</t>
  </si>
  <si>
    <t>単独補助交付金</t>
  </si>
  <si>
    <t>法適負担金</t>
  </si>
  <si>
    <t>法適補助金</t>
  </si>
  <si>
    <t>病院事業</t>
  </si>
  <si>
    <t>病院負担金</t>
  </si>
  <si>
    <t>病院補助金</t>
  </si>
  <si>
    <t>下水負担金</t>
  </si>
  <si>
    <t>下水補助金</t>
  </si>
  <si>
    <t>上水道事業</t>
  </si>
  <si>
    <t>宅地造成</t>
  </si>
  <si>
    <t>※H23より削除</t>
  </si>
  <si>
    <t>（外国人含む）</t>
  </si>
  <si>
    <t>(臨財債含む）</t>
  </si>
  <si>
    <t>発行可能額</t>
  </si>
  <si>
    <t>※H28から不使用</t>
  </si>
  <si>
    <t>(臨財債含む)</t>
  </si>
  <si>
    <t>(普通会計）</t>
  </si>
  <si>
    <t>健全化基準</t>
  </si>
  <si>
    <t>再生基準</t>
  </si>
  <si>
    <t>標準財政規模（百万円）</t>
  </si>
  <si>
    <t>-</t>
  </si>
  <si>
    <t>公社を保有しない団体の標準財政規模は分母に含まない</t>
  </si>
  <si>
    <t>↑公社保有団体の標準財政規模</t>
  </si>
  <si>
    <t>公社がなければ空欄、あっても保有量がなければ０（標財規模比も同じ）</t>
  </si>
  <si>
    <t>チェック</t>
  </si>
  <si>
    <t>プルーフ合計</t>
  </si>
  <si>
    <t>プルーフ合計との比較→</t>
  </si>
  <si>
    <t>04-01-15</t>
  </si>
  <si>
    <t>04-01-20</t>
  </si>
  <si>
    <t>33-86-02</t>
  </si>
  <si>
    <t>33-90-02</t>
  </si>
  <si>
    <t>33-88-02</t>
  </si>
  <si>
    <t>33-75-02</t>
  </si>
  <si>
    <t>15-02-19</t>
  </si>
  <si>
    <t>特別地方消費税</t>
  </si>
  <si>
    <t>自動車取得税</t>
  </si>
  <si>
    <t>(6.1.1現在)</t>
  </si>
  <si>
    <t>(R5.4.1)</t>
  </si>
  <si>
    <t>04-01-12</t>
  </si>
  <si>
    <t>04-01-21</t>
  </si>
  <si>
    <t>04-01-26</t>
  </si>
  <si>
    <t>04-01-30</t>
  </si>
  <si>
    <t>04-01-31</t>
  </si>
  <si>
    <t>04-01-35</t>
  </si>
  <si>
    <t>04-01-48</t>
  </si>
  <si>
    <t>04-01-49</t>
  </si>
  <si>
    <t>04-01-53</t>
  </si>
  <si>
    <t>04-01-54</t>
  </si>
  <si>
    <t>04-01-71</t>
  </si>
  <si>
    <t>33-98-09</t>
  </si>
  <si>
    <t>(5.1.1現在)</t>
  </si>
  <si>
    <t>(R4.4.1)</t>
  </si>
  <si>
    <t>04-01-70</t>
  </si>
  <si>
    <t>33-84-02</t>
  </si>
  <si>
    <t>33-73-02</t>
  </si>
  <si>
    <t>33-96-09</t>
  </si>
  <si>
    <t>(4.1.1現在)</t>
  </si>
  <si>
    <t>(R3.4.1)</t>
  </si>
  <si>
    <t>04-01-29</t>
  </si>
  <si>
    <t>04-01-34</t>
  </si>
  <si>
    <t>04-01-42</t>
  </si>
  <si>
    <t>04-01-52</t>
  </si>
  <si>
    <t>04-02-07</t>
  </si>
  <si>
    <t>04-02-18</t>
  </si>
  <si>
    <t>04-02-22</t>
  </si>
  <si>
    <t>04-02-24</t>
  </si>
  <si>
    <t>04-02-28</t>
  </si>
  <si>
    <t>04-02-34</t>
  </si>
  <si>
    <t>04-02-36</t>
  </si>
  <si>
    <t>04-02-41</t>
  </si>
  <si>
    <t>04-02-44</t>
  </si>
  <si>
    <t>04-02-49</t>
  </si>
  <si>
    <t>04-02-53</t>
  </si>
  <si>
    <t>交付税プルーフより</t>
  </si>
  <si>
    <t>ハンドブック原稿</t>
  </si>
  <si>
    <t>マスター</t>
  </si>
  <si>
    <t>政調会資料</t>
  </si>
  <si>
    <t>マスター資料「徴収率」</t>
  </si>
  <si>
    <t>行政Gﾊﾝﾄﾞﾌﾞｯｸ</t>
  </si>
  <si>
    <t>健全化判断比率（ハンドブック）</t>
  </si>
  <si>
    <t>職員数</t>
  </si>
  <si>
    <t>(3.1.1現在)</t>
  </si>
  <si>
    <t>(R2.4.1)</t>
  </si>
  <si>
    <t>04-01-66</t>
  </si>
  <si>
    <t>04-02-20</t>
  </si>
  <si>
    <t>04-02-26</t>
  </si>
  <si>
    <t>04-02-30</t>
  </si>
  <si>
    <t>04-02-38</t>
  </si>
  <si>
    <t>04-02-42</t>
  </si>
  <si>
    <t>04-02-47</t>
  </si>
  <si>
    <t>33-82-02</t>
  </si>
  <si>
    <t>33-72-02</t>
  </si>
  <si>
    <t>04-02-51</t>
  </si>
  <si>
    <t>15-01-34</t>
  </si>
  <si>
    <t>89-01-07</t>
  </si>
  <si>
    <t>89-01-04</t>
  </si>
  <si>
    <t>33-90-09</t>
  </si>
  <si>
    <t>(2.1.1現在)</t>
  </si>
  <si>
    <t>(H31.4.1)</t>
  </si>
  <si>
    <t>04-01-09</t>
  </si>
  <si>
    <t>04-01-22</t>
  </si>
  <si>
    <t>04-01-37</t>
  </si>
  <si>
    <t>04-01-41</t>
  </si>
  <si>
    <t>04-01-60</t>
  </si>
  <si>
    <t>33-77-02</t>
  </si>
  <si>
    <t>33-81-02</t>
  </si>
  <si>
    <t>33-79-02</t>
  </si>
  <si>
    <t>33-67-02</t>
  </si>
  <si>
    <t>33-85-09</t>
  </si>
  <si>
    <t>定員管理調査</t>
  </si>
  <si>
    <t>健全化判断比率（データ集）</t>
  </si>
  <si>
    <t>(31.1.1現在)</t>
  </si>
  <si>
    <t>(H30.4.1)</t>
  </si>
  <si>
    <t>04-02-29</t>
  </si>
  <si>
    <t>33-66-02</t>
  </si>
  <si>
    <t>33-70-02</t>
  </si>
  <si>
    <t>33-68-02</t>
  </si>
  <si>
    <t>33-56-02</t>
  </si>
  <si>
    <t>33-74-09</t>
  </si>
  <si>
    <t>なんでもﾗﾝｷﾝｸﾞ</t>
  </si>
  <si>
    <t>(30.1.1現在)</t>
  </si>
  <si>
    <t>(H29.4.1)</t>
  </si>
  <si>
    <t>33-58-02</t>
  </si>
  <si>
    <t>33-62-02</t>
  </si>
  <si>
    <t>33-60-02</t>
  </si>
  <si>
    <t>33-48-02</t>
  </si>
  <si>
    <t>33-66-09</t>
  </si>
  <si>
    <t>給与実態調査</t>
  </si>
  <si>
    <t>(29.1.1現在)</t>
  </si>
  <si>
    <t>(年度初)</t>
  </si>
  <si>
    <t>H23より削除</t>
  </si>
  <si>
    <t>H28から不使用</t>
  </si>
  <si>
    <t>×</t>
  </si>
  <si>
    <t>(28.1.1現在)</t>
  </si>
  <si>
    <t>（次回はH27）</t>
  </si>
  <si>
    <t>33-57-02</t>
  </si>
  <si>
    <t>33-61-02</t>
  </si>
  <si>
    <t>33-59-02</t>
  </si>
  <si>
    <t>33-46-02</t>
  </si>
  <si>
    <t>33-65-09</t>
  </si>
  <si>
    <t>(27.1.1現在)</t>
  </si>
  <si>
    <t>33-45-02</t>
  </si>
  <si>
    <t>33-64-09</t>
  </si>
  <si>
    <t>(26.1.1現在)</t>
  </si>
  <si>
    <t>33-53-02</t>
  </si>
  <si>
    <t>33-55-02</t>
  </si>
  <si>
    <t>33-42-02</t>
  </si>
  <si>
    <t>行政G　HPより</t>
  </si>
  <si>
    <t>33-61-09</t>
  </si>
  <si>
    <t>(決算年度末)</t>
  </si>
  <si>
    <t>04-01-59</t>
  </si>
  <si>
    <t>33-50-02</t>
  </si>
  <si>
    <t>33-54-02</t>
  </si>
  <si>
    <t>33-52-02</t>
  </si>
  <si>
    <t>33-39-02</t>
  </si>
  <si>
    <t>別冊ﾃﾞｰﾀP221より</t>
  </si>
  <si>
    <t>33-58-09</t>
  </si>
  <si>
    <t>04-01-58</t>
  </si>
  <si>
    <t>33-35-02</t>
  </si>
  <si>
    <t>04-02-46</t>
  </si>
  <si>
    <t>15-01-25</t>
  </si>
  <si>
    <t>35-01-01</t>
  </si>
  <si>
    <t>00-01-08-09</t>
  </si>
  <si>
    <t>00-01-10</t>
  </si>
  <si>
    <t>33-54-09</t>
  </si>
  <si>
    <t>ﾏｽﾀｰ（29表基金その他の状況）</t>
  </si>
  <si>
    <t>(年度末)</t>
  </si>
  <si>
    <t>老人保健費</t>
  </si>
  <si>
    <t>04-01-08</t>
  </si>
  <si>
    <t>04-01-03</t>
  </si>
  <si>
    <t>04-01-36</t>
  </si>
  <si>
    <t>04-01-39</t>
  </si>
  <si>
    <t>04-01-44</t>
  </si>
  <si>
    <t>04-01-56</t>
  </si>
  <si>
    <t>30-50-02</t>
  </si>
  <si>
    <t>04-02-15</t>
  </si>
  <si>
    <t>04-02-19</t>
  </si>
  <si>
    <t>04-02-25</t>
  </si>
  <si>
    <t>33-41-02</t>
  </si>
  <si>
    <t>33-43-02</t>
  </si>
  <si>
    <t>04-02-45</t>
  </si>
  <si>
    <t>33-52-09</t>
  </si>
  <si>
    <t>臨時税収補填</t>
  </si>
  <si>
    <t>27-23-08</t>
  </si>
  <si>
    <t>33-28-02</t>
  </si>
  <si>
    <t>28-21-02</t>
  </si>
  <si>
    <t>28-08-02</t>
  </si>
  <si>
    <t>28-13-02</t>
  </si>
  <si>
    <t>28-01-03</t>
  </si>
  <si>
    <t>28-08-04</t>
  </si>
  <si>
    <t>堺市を抜いていない</t>
  </si>
  <si>
    <t>27-22-08</t>
  </si>
  <si>
    <t>33-40-02</t>
  </si>
  <si>
    <t>33-26-02</t>
  </si>
  <si>
    <t>28-20-01</t>
  </si>
  <si>
    <t>28-20-02</t>
  </si>
  <si>
    <t>28-14-01</t>
  </si>
  <si>
    <t>28-14-02</t>
  </si>
  <si>
    <t>27-09-07</t>
  </si>
  <si>
    <t>27-12-07</t>
  </si>
  <si>
    <t>27-14-07</t>
  </si>
  <si>
    <t>起債制限</t>
  </si>
  <si>
    <t>住宅用地</t>
  </si>
  <si>
    <t>工業用地</t>
  </si>
  <si>
    <t>06-16-08</t>
  </si>
  <si>
    <t>06-27-08</t>
  </si>
  <si>
    <t>06-28-08</t>
  </si>
  <si>
    <t>04-01-38</t>
  </si>
  <si>
    <t>33-38-02</t>
  </si>
  <si>
    <t>33-25-02</t>
  </si>
  <si>
    <t>19-01-07</t>
  </si>
  <si>
    <t>19-01-01</t>
  </si>
  <si>
    <t>19-01-04</t>
  </si>
  <si>
    <t>美原町</t>
  </si>
  <si>
    <t>06-26-08</t>
  </si>
  <si>
    <t>33-34-02</t>
  </si>
  <si>
    <t>33-36-02</t>
  </si>
  <si>
    <t>33-21-02</t>
  </si>
  <si>
    <t>33-33-02</t>
  </si>
  <si>
    <t>33-20-02</t>
  </si>
  <si>
    <t>27-20-08</t>
  </si>
  <si>
    <t>33-32-02</t>
  </si>
  <si>
    <t>33-19-02</t>
  </si>
  <si>
    <t>33-31-02</t>
  </si>
  <si>
    <t>33-18-02</t>
  </si>
  <si>
    <t>消費譲与税</t>
  </si>
  <si>
    <t>04-01-33</t>
  </si>
  <si>
    <t>15-01-24</t>
  </si>
  <si>
    <t>28-19-01</t>
  </si>
  <si>
    <t>28-19-02</t>
  </si>
  <si>
    <t>27-11-07</t>
  </si>
  <si>
    <t>06-25-08</t>
  </si>
  <si>
    <t>27-19-08</t>
  </si>
  <si>
    <t>15-01-23</t>
  </si>
  <si>
    <t xml:space="preserve"> * 阪南市は、平成３年度市制施行のため町村に含め集計している</t>
  </si>
  <si>
    <t>15-01-22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</si>
</sst>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 * #,##0_ ;_ * \-#,##0_ ;_ * &quot;-&quot;_ ;_ @_ "/>
    <numFmt numFmtId="176" formatCode="#,##0;&quot;△ &quot;#,##0"/>
    <numFmt numFmtId="177" formatCode="#,##0.0;&quot;△ &quot;#,##0.0"/>
    <numFmt numFmtId="178" formatCode="#,##0.0_ "/>
    <numFmt numFmtId="179" formatCode="#,##0.000;&quot;△ &quot;#,##0.000"/>
    <numFmt numFmtId="180" formatCode="#,##0_ "/>
    <numFmt numFmtId="181" formatCode="#,##0.00;&quot;△ &quot;#,##0.00"/>
    <numFmt numFmtId="182" formatCode="\(#,##0.00\);\(&quot;△&quot;#,##0.00\)"/>
    <numFmt numFmtId="183" formatCode="\(#,##0.0\);\(&quot;△&quot;#,##0.0\)"/>
    <numFmt numFmtId="184" formatCode="0.000_);[Red]\(0.000\)"/>
    <numFmt numFmtId="185" formatCode="0.0_);[Red]\(0.0\)"/>
    <numFmt numFmtId="186" formatCode="_ * #,##0_ ;_ * \-#,##0_ ;_ * &quot;-&quot;_ ;@"/>
    <numFmt numFmtId="187" formatCode="#,##0.0;[Red]\-#,##0.0"/>
    <numFmt numFmtId="188" formatCode="0.0"/>
    <numFmt numFmtId="189" formatCode="0.0_ "/>
    <numFmt numFmtId="190" formatCode="0.000"/>
  </numFmts>
  <fonts count="24" x14ac:knownFonts="1">
    <font>
      <sz val="10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sz val="8"/>
      <name val="ＭＳ 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9"/>
      <color indexed="10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color indexed="10"/>
      <name val="ＭＳ 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rgb="FFFF000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sz val="10"/>
      <color rgb="FFEA1ECD"/>
      <name val="ＭＳ ゴシック"/>
      <family val="3"/>
      <charset val="128"/>
    </font>
    <font>
      <sz val="9"/>
      <color rgb="FFEA1ECD"/>
      <name val="ＭＳ ゴシック"/>
      <family val="3"/>
      <charset val="128"/>
    </font>
    <font>
      <sz val="9"/>
      <color rgb="FFFF00FF"/>
      <name val="ＭＳ ゴシック"/>
      <family val="3"/>
      <charset val="128"/>
    </font>
    <font>
      <sz val="10"/>
      <color rgb="FFFF00FF"/>
      <name val="ＭＳ ゴシック"/>
      <family val="3"/>
      <charset val="128"/>
    </font>
    <font>
      <sz val="10"/>
      <color rgb="FFFF66FF"/>
      <name val="ＭＳ ゴシック"/>
      <family val="3"/>
      <charset val="128"/>
    </font>
    <font>
      <sz val="8"/>
      <color rgb="FFFF0000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</fonts>
  <fills count="2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128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/>
      <top style="thin">
        <color indexed="64"/>
      </top>
      <bottom style="medium">
        <color indexed="64"/>
      </bottom>
      <diagonal style="hair">
        <color indexed="64"/>
      </diagonal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 diagonalUp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/>
      <top style="thin">
        <color indexed="64"/>
      </top>
      <bottom style="medium">
        <color indexed="64"/>
      </bottom>
      <diagonal style="hair">
        <color indexed="64"/>
      </diagonal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 diagonalUp="1">
      <left/>
      <right style="medium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medium">
        <color indexed="64"/>
      </right>
      <top style="thin">
        <color indexed="64"/>
      </top>
      <bottom style="medium">
        <color indexed="64"/>
      </bottom>
      <diagonal style="hair">
        <color indexed="64"/>
      </diagonal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9" fillId="0" borderId="0">
      <alignment vertical="center"/>
    </xf>
    <xf numFmtId="0" fontId="12" fillId="0" borderId="0">
      <alignment vertical="center"/>
    </xf>
    <xf numFmtId="0" fontId="11" fillId="0" borderId="0"/>
  </cellStyleXfs>
  <cellXfs count="565">
    <xf numFmtId="0" fontId="0" fillId="0" borderId="0" xfId="0" applyAlignment="1">
      <alignment vertical="center"/>
    </xf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0" fillId="2" borderId="0" xfId="0" applyFill="1" applyAlignment="1">
      <alignment horizontal="center" vertical="center"/>
    </xf>
    <xf numFmtId="0" fontId="0" fillId="4" borderId="0" xfId="0" applyFill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0" fillId="6" borderId="0" xfId="0" applyFill="1" applyAlignment="1">
      <alignment vertical="center"/>
    </xf>
    <xf numFmtId="0" fontId="1" fillId="6" borderId="0" xfId="0" applyFont="1" applyFill="1" applyAlignment="1">
      <alignment vertical="center"/>
    </xf>
    <xf numFmtId="38" fontId="0" fillId="2" borderId="0" xfId="1" applyFont="1" applyFill="1" applyAlignment="1">
      <alignment horizontal="center" vertical="center"/>
    </xf>
    <xf numFmtId="38" fontId="0" fillId="0" borderId="0" xfId="1" quotePrefix="1" applyFont="1" applyAlignment="1">
      <alignment horizontal="center" vertical="center"/>
    </xf>
    <xf numFmtId="38" fontId="4" fillId="4" borderId="0" xfId="1" applyFont="1" applyFill="1" applyAlignment="1">
      <alignment vertical="center"/>
    </xf>
    <xf numFmtId="3" fontId="4" fillId="0" borderId="29" xfId="0" applyNumberFormat="1" applyFont="1" applyBorder="1" applyAlignment="1">
      <alignment vertical="center"/>
    </xf>
    <xf numFmtId="3" fontId="4" fillId="0" borderId="12" xfId="0" applyNumberFormat="1" applyFont="1" applyBorder="1" applyAlignment="1">
      <alignment vertical="center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quotePrefix="1" applyFont="1" applyAlignment="1">
      <alignment horizontal="center" vertical="center"/>
    </xf>
    <xf numFmtId="0" fontId="0" fillId="7" borderId="0" xfId="0" applyFill="1" applyAlignment="1">
      <alignment vertical="center"/>
    </xf>
    <xf numFmtId="38" fontId="4" fillId="0" borderId="0" xfId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9" fillId="0" borderId="38" xfId="0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4" fillId="0" borderId="32" xfId="0" applyFont="1" applyBorder="1" applyAlignment="1">
      <alignment vertical="center"/>
    </xf>
    <xf numFmtId="0" fontId="4" fillId="0" borderId="40" xfId="0" applyFont="1" applyBorder="1" applyAlignment="1">
      <alignment vertical="center"/>
    </xf>
    <xf numFmtId="0" fontId="4" fillId="0" borderId="31" xfId="0" applyFont="1" applyBorder="1" applyAlignment="1">
      <alignment vertical="center"/>
    </xf>
    <xf numFmtId="0" fontId="9" fillId="8" borderId="41" xfId="0" applyFont="1" applyFill="1" applyBorder="1" applyAlignment="1">
      <alignment vertical="center"/>
    </xf>
    <xf numFmtId="0" fontId="9" fillId="8" borderId="42" xfId="0" applyFont="1" applyFill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10" fillId="7" borderId="41" xfId="0" applyFont="1" applyFill="1" applyBorder="1" applyAlignment="1">
      <alignment vertical="center"/>
    </xf>
    <xf numFmtId="0" fontId="10" fillId="7" borderId="42" xfId="0" applyFont="1" applyFill="1" applyBorder="1" applyAlignment="1">
      <alignment vertical="center"/>
    </xf>
    <xf numFmtId="0" fontId="0" fillId="8" borderId="0" xfId="0" applyFill="1" applyAlignment="1">
      <alignment vertical="center"/>
    </xf>
    <xf numFmtId="0" fontId="4" fillId="0" borderId="0" xfId="0" applyFont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10" fillId="8" borderId="0" xfId="0" applyFont="1" applyFill="1" applyAlignment="1">
      <alignment horizontal="center" vertical="center"/>
    </xf>
    <xf numFmtId="49" fontId="10" fillId="8" borderId="0" xfId="0" applyNumberFormat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1" fillId="2" borderId="0" xfId="0" applyFont="1" applyFill="1" applyAlignment="1">
      <alignment horizontal="center" vertical="center"/>
    </xf>
    <xf numFmtId="49" fontId="1" fillId="8" borderId="0" xfId="0" applyNumberFormat="1" applyFont="1" applyFill="1" applyAlignment="1">
      <alignment vertical="center"/>
    </xf>
    <xf numFmtId="0" fontId="9" fillId="0" borderId="47" xfId="0" applyFont="1" applyBorder="1" applyAlignment="1">
      <alignment vertical="center"/>
    </xf>
    <xf numFmtId="0" fontId="9" fillId="0" borderId="45" xfId="0" applyFont="1" applyBorder="1" applyAlignment="1">
      <alignment vertical="center"/>
    </xf>
    <xf numFmtId="0" fontId="9" fillId="0" borderId="50" xfId="0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9" fillId="0" borderId="5" xfId="0" applyFont="1" applyBorder="1" applyAlignment="1">
      <alignment vertical="center"/>
    </xf>
    <xf numFmtId="0" fontId="9" fillId="0" borderId="37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13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4" fillId="0" borderId="56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9" fillId="0" borderId="56" xfId="0" applyFont="1" applyBorder="1" applyAlignment="1">
      <alignment vertical="center"/>
    </xf>
    <xf numFmtId="0" fontId="0" fillId="0" borderId="56" xfId="0" applyBorder="1" applyAlignment="1">
      <alignment vertical="center"/>
    </xf>
    <xf numFmtId="38" fontId="4" fillId="0" borderId="0" xfId="1" applyFont="1" applyAlignment="1">
      <alignment vertical="center"/>
    </xf>
    <xf numFmtId="0" fontId="0" fillId="10" borderId="0" xfId="0" applyFill="1" applyAlignment="1">
      <alignment vertical="center"/>
    </xf>
    <xf numFmtId="38" fontId="4" fillId="3" borderId="0" xfId="1" applyFont="1" applyFill="1" applyAlignment="1">
      <alignment vertical="center"/>
    </xf>
    <xf numFmtId="38" fontId="4" fillId="11" borderId="0" xfId="1" applyFont="1" applyFill="1" applyAlignment="1">
      <alignment vertical="center"/>
    </xf>
    <xf numFmtId="0" fontId="0" fillId="11" borderId="0" xfId="0" applyFill="1" applyAlignment="1">
      <alignment vertical="center"/>
    </xf>
    <xf numFmtId="38" fontId="13" fillId="0" borderId="0" xfId="1" applyFont="1" applyAlignment="1">
      <alignment vertical="center" shrinkToFit="1"/>
    </xf>
    <xf numFmtId="38" fontId="13" fillId="0" borderId="29" xfId="1" applyFont="1" applyBorder="1" applyAlignment="1">
      <alignment vertical="center"/>
    </xf>
    <xf numFmtId="38" fontId="13" fillId="0" borderId="12" xfId="1" applyFont="1" applyBorder="1" applyAlignment="1">
      <alignment vertical="center"/>
    </xf>
    <xf numFmtId="0" fontId="13" fillId="0" borderId="0" xfId="0" applyFont="1" applyAlignment="1">
      <alignment horizontal="center" vertical="center"/>
    </xf>
    <xf numFmtId="49" fontId="0" fillId="8" borderId="0" xfId="0" applyNumberFormat="1" applyFill="1" applyAlignment="1">
      <alignment horizontal="center" vertical="center" shrinkToFit="1"/>
    </xf>
    <xf numFmtId="0" fontId="0" fillId="12" borderId="0" xfId="0" quotePrefix="1" applyFill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38" fontId="4" fillId="12" borderId="0" xfId="1" applyFont="1" applyFill="1" applyAlignment="1">
      <alignment vertical="center"/>
    </xf>
    <xf numFmtId="0" fontId="0" fillId="12" borderId="0" xfId="0" applyFill="1" applyAlignment="1">
      <alignment vertical="center"/>
    </xf>
    <xf numFmtId="0" fontId="0" fillId="8" borderId="0" xfId="0" applyFill="1" applyAlignment="1">
      <alignment horizontal="centerContinuous" vertical="center"/>
    </xf>
    <xf numFmtId="49" fontId="0" fillId="8" borderId="0" xfId="0" applyNumberFormat="1" applyFill="1" applyAlignment="1">
      <alignment vertical="center" shrinkToFit="1"/>
    </xf>
    <xf numFmtId="2" fontId="13" fillId="0" borderId="0" xfId="0" applyNumberFormat="1" applyFont="1" applyAlignment="1">
      <alignment vertical="center"/>
    </xf>
    <xf numFmtId="2" fontId="13" fillId="0" borderId="0" xfId="0" applyNumberFormat="1" applyFont="1" applyAlignment="1">
      <alignment horizontal="right" vertical="center"/>
    </xf>
    <xf numFmtId="0" fontId="0" fillId="0" borderId="0" xfId="0" applyAlignment="1">
      <alignment vertical="center"/>
    </xf>
    <xf numFmtId="0" fontId="9" fillId="0" borderId="56" xfId="0" applyFont="1" applyBorder="1" applyAlignment="1">
      <alignment horizontal="right" vertical="center"/>
    </xf>
    <xf numFmtId="0" fontId="0" fillId="0" borderId="56" xfId="0" applyBorder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5" fillId="8" borderId="0" xfId="0" quotePrefix="1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0" fillId="8" borderId="0" xfId="0" quotePrefix="1" applyFill="1" applyAlignment="1">
      <alignment horizontal="center" vertical="center"/>
    </xf>
    <xf numFmtId="0" fontId="0" fillId="8" borderId="0" xfId="0" applyFill="1" applyAlignment="1">
      <alignment vertical="center" shrinkToFit="1"/>
    </xf>
    <xf numFmtId="0" fontId="0" fillId="13" borderId="0" xfId="0" applyFill="1" applyAlignment="1">
      <alignment horizontal="center" vertical="center"/>
    </xf>
    <xf numFmtId="0" fontId="1" fillId="13" borderId="0" xfId="0" applyFont="1" applyFill="1" applyAlignment="1">
      <alignment horizontal="center" vertical="center"/>
    </xf>
    <xf numFmtId="38" fontId="0" fillId="0" borderId="0" xfId="1" applyFont="1" applyAlignment="1">
      <alignment vertical="center"/>
    </xf>
    <xf numFmtId="0" fontId="0" fillId="13" borderId="0" xfId="0" applyFill="1" applyAlignment="1">
      <alignment vertical="center"/>
    </xf>
    <xf numFmtId="38" fontId="13" fillId="0" borderId="0" xfId="1" applyFont="1" applyAlignment="1">
      <alignment vertical="center"/>
    </xf>
    <xf numFmtId="0" fontId="0" fillId="0" borderId="78" xfId="0" applyBorder="1" applyAlignment="1">
      <alignment horizontal="center" vertical="center"/>
    </xf>
    <xf numFmtId="38" fontId="13" fillId="14" borderId="0" xfId="1" applyFont="1" applyFill="1" applyAlignment="1">
      <alignment vertical="center"/>
    </xf>
    <xf numFmtId="0" fontId="16" fillId="0" borderId="0" xfId="0" applyFont="1" applyAlignment="1">
      <alignment vertical="center"/>
    </xf>
    <xf numFmtId="0" fontId="0" fillId="15" borderId="0" xfId="0" applyFill="1" applyAlignment="1">
      <alignment vertical="center"/>
    </xf>
    <xf numFmtId="38" fontId="4" fillId="14" borderId="0" xfId="1" applyFont="1" applyFill="1" applyAlignment="1">
      <alignment vertical="center"/>
    </xf>
    <xf numFmtId="0" fontId="0" fillId="16" borderId="0" xfId="0" applyFill="1" applyAlignment="1">
      <alignment vertical="center"/>
    </xf>
    <xf numFmtId="38" fontId="4" fillId="16" borderId="0" xfId="1" applyFont="1" applyFill="1" applyAlignment="1">
      <alignment vertical="center"/>
    </xf>
    <xf numFmtId="38" fontId="13" fillId="16" borderId="0" xfId="1" applyFont="1" applyFill="1" applyAlignment="1">
      <alignment vertical="center"/>
    </xf>
    <xf numFmtId="38" fontId="2" fillId="16" borderId="0" xfId="1" applyFont="1" applyFill="1" applyAlignment="1">
      <alignment vertical="center"/>
    </xf>
    <xf numFmtId="0" fontId="0" fillId="17" borderId="0" xfId="0" applyFill="1" applyAlignment="1">
      <alignment vertical="center"/>
    </xf>
    <xf numFmtId="38" fontId="4" fillId="17" borderId="0" xfId="1" applyFont="1" applyFill="1" applyAlignment="1">
      <alignment vertical="center"/>
    </xf>
    <xf numFmtId="38" fontId="13" fillId="17" borderId="0" xfId="1" applyFont="1" applyFill="1" applyAlignment="1">
      <alignment vertical="center"/>
    </xf>
    <xf numFmtId="38" fontId="2" fillId="17" borderId="0" xfId="1" applyFont="1" applyFill="1" applyAlignment="1">
      <alignment vertical="center"/>
    </xf>
    <xf numFmtId="0" fontId="13" fillId="16" borderId="0" xfId="0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78" xfId="0" applyFont="1" applyBorder="1" applyAlignment="1">
      <alignment horizontal="center" vertical="center"/>
    </xf>
    <xf numFmtId="38" fontId="13" fillId="16" borderId="0" xfId="1" applyFont="1" applyFill="1" applyAlignment="1">
      <alignment horizontal="right" vertical="center"/>
    </xf>
    <xf numFmtId="0" fontId="4" fillId="16" borderId="0" xfId="0" applyFont="1" applyFill="1" applyAlignment="1">
      <alignment horizontal="right" vertical="center"/>
    </xf>
    <xf numFmtId="49" fontId="16" fillId="8" borderId="0" xfId="0" applyNumberFormat="1" applyFont="1" applyFill="1" applyAlignment="1">
      <alignment vertical="center" shrinkToFit="1"/>
    </xf>
    <xf numFmtId="0" fontId="0" fillId="18" borderId="0" xfId="0" applyFill="1" applyAlignment="1">
      <alignment vertical="center"/>
    </xf>
    <xf numFmtId="0" fontId="13" fillId="0" borderId="0" xfId="0" applyFont="1" applyAlignment="1">
      <alignment horizontal="right" vertical="center"/>
    </xf>
    <xf numFmtId="0" fontId="13" fillId="16" borderId="0" xfId="0" applyFont="1" applyFill="1" applyAlignment="1">
      <alignment horizontal="right" vertical="center"/>
    </xf>
    <xf numFmtId="0" fontId="2" fillId="13" borderId="0" xfId="0" applyFont="1" applyFill="1" applyAlignment="1">
      <alignment horizontal="center" vertical="center"/>
    </xf>
    <xf numFmtId="0" fontId="0" fillId="19" borderId="0" xfId="0" applyFill="1" applyAlignment="1">
      <alignment vertical="center"/>
    </xf>
    <xf numFmtId="38" fontId="4" fillId="19" borderId="0" xfId="1" applyFont="1" applyFill="1" applyAlignment="1">
      <alignment vertical="center"/>
    </xf>
    <xf numFmtId="38" fontId="2" fillId="19" borderId="0" xfId="1" applyFont="1" applyFill="1" applyAlignment="1">
      <alignment vertical="center"/>
    </xf>
    <xf numFmtId="38" fontId="13" fillId="19" borderId="0" xfId="1" applyFont="1" applyFill="1" applyAlignment="1">
      <alignment vertical="center"/>
    </xf>
    <xf numFmtId="0" fontId="2" fillId="0" borderId="0" xfId="0" applyFont="1" applyAlignment="1">
      <alignment vertical="center"/>
    </xf>
    <xf numFmtId="0" fontId="17" fillId="8" borderId="0" xfId="0" quotePrefix="1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49" fontId="17" fillId="8" borderId="0" xfId="0" applyNumberFormat="1" applyFont="1" applyFill="1" applyAlignment="1">
      <alignment horizontal="center" vertical="center" shrinkToFit="1"/>
    </xf>
    <xf numFmtId="49" fontId="17" fillId="8" borderId="0" xfId="0" applyNumberFormat="1" applyFont="1" applyFill="1" applyAlignment="1">
      <alignment horizontal="center" vertical="center"/>
    </xf>
    <xf numFmtId="49" fontId="17" fillId="8" borderId="0" xfId="0" applyNumberFormat="1" applyFont="1" applyFill="1" applyAlignment="1">
      <alignment vertical="center" shrinkToFit="1"/>
    </xf>
    <xf numFmtId="38" fontId="18" fillId="19" borderId="0" xfId="1" applyFont="1" applyFill="1" applyAlignment="1">
      <alignment vertical="center"/>
    </xf>
    <xf numFmtId="38" fontId="18" fillId="16" borderId="0" xfId="1" applyFont="1" applyFill="1" applyAlignment="1">
      <alignment vertical="center"/>
    </xf>
    <xf numFmtId="0" fontId="18" fillId="0" borderId="0" xfId="0" applyFont="1" applyAlignment="1">
      <alignment horizontal="center" vertical="center"/>
    </xf>
    <xf numFmtId="38" fontId="18" fillId="0" borderId="0" xfId="1" applyFont="1" applyAlignment="1">
      <alignment vertical="center" shrinkToFit="1"/>
    </xf>
    <xf numFmtId="38" fontId="18" fillId="0" borderId="0" xfId="1" applyFont="1" applyAlignment="1">
      <alignment vertical="center"/>
    </xf>
    <xf numFmtId="0" fontId="18" fillId="16" borderId="0" xfId="0" applyFont="1" applyFill="1" applyAlignment="1">
      <alignment vertical="center"/>
    </xf>
    <xf numFmtId="0" fontId="18" fillId="0" borderId="0" xfId="0" applyFont="1" applyAlignment="1">
      <alignment vertical="center"/>
    </xf>
    <xf numFmtId="0" fontId="15" fillId="0" borderId="11" xfId="0" applyFont="1" applyBorder="1" applyAlignment="1">
      <alignment horizontal="center" vertical="center"/>
    </xf>
    <xf numFmtId="0" fontId="13" fillId="0" borderId="0" xfId="0" quotePrefix="1" applyFont="1" applyAlignment="1">
      <alignment horizontal="center" vertical="center"/>
    </xf>
    <xf numFmtId="0" fontId="20" fillId="8" borderId="0" xfId="0" applyFont="1" applyFill="1" applyAlignment="1">
      <alignment horizontal="center" vertical="center" shrinkToFit="1"/>
    </xf>
    <xf numFmtId="49" fontId="20" fillId="8" borderId="0" xfId="0" applyNumberFormat="1" applyFont="1" applyFill="1" applyAlignment="1">
      <alignment horizontal="center" vertical="center" shrinkToFit="1"/>
    </xf>
    <xf numFmtId="0" fontId="16" fillId="20" borderId="0" xfId="0" quotePrefix="1" applyFont="1" applyFill="1" applyAlignment="1">
      <alignment horizontal="center" vertical="center"/>
    </xf>
    <xf numFmtId="0" fontId="13" fillId="18" borderId="0" xfId="0" applyFont="1" applyFill="1" applyAlignment="1">
      <alignment horizontal="center" vertical="center"/>
    </xf>
    <xf numFmtId="0" fontId="16" fillId="8" borderId="0" xfId="0" quotePrefix="1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 shrinkToFit="1"/>
    </xf>
    <xf numFmtId="0" fontId="18" fillId="0" borderId="0" xfId="0" applyFont="1" applyAlignment="1">
      <alignment horizontal="right" vertical="center"/>
    </xf>
    <xf numFmtId="0" fontId="0" fillId="0" borderId="30" xfId="0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1" fillId="8" borderId="0" xfId="0" quotePrefix="1" applyFont="1" applyFill="1" applyAlignment="1">
      <alignment horizontal="center" vertical="center"/>
    </xf>
    <xf numFmtId="0" fontId="18" fillId="20" borderId="0" xfId="0" applyFont="1" applyFill="1" applyAlignment="1">
      <alignment vertical="center"/>
    </xf>
    <xf numFmtId="0" fontId="22" fillId="0" borderId="0" xfId="0" applyFont="1" applyAlignment="1">
      <alignment horizontal="center" vertical="center"/>
    </xf>
    <xf numFmtId="38" fontId="18" fillId="14" borderId="0" xfId="1" applyFont="1" applyFill="1" applyAlignment="1">
      <alignment vertical="center"/>
    </xf>
    <xf numFmtId="0" fontId="9" fillId="0" borderId="11" xfId="0" applyFont="1" applyBorder="1" applyAlignment="1">
      <alignment horizontal="center" vertical="center"/>
    </xf>
    <xf numFmtId="0" fontId="9" fillId="0" borderId="44" xfId="0" applyFont="1" applyBorder="1" applyAlignment="1">
      <alignment vertical="center"/>
    </xf>
    <xf numFmtId="0" fontId="9" fillId="0" borderId="34" xfId="0" applyFont="1" applyBorder="1" applyAlignment="1">
      <alignment vertical="center"/>
    </xf>
    <xf numFmtId="0" fontId="9" fillId="0" borderId="43" xfId="0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9" fillId="0" borderId="39" xfId="0" applyFont="1" applyBorder="1" applyAlignment="1">
      <alignment horizontal="center" vertical="center"/>
    </xf>
    <xf numFmtId="0" fontId="9" fillId="0" borderId="22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20" fillId="8" borderId="0" xfId="0" applyFont="1" applyFill="1" applyAlignment="1">
      <alignment horizontal="center"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0" borderId="0" xfId="0" applyAlignment="1"/>
    <xf numFmtId="176" fontId="9" fillId="0" borderId="44" xfId="0" applyNumberFormat="1" applyFont="1" applyBorder="1" applyAlignment="1">
      <alignment vertical="center"/>
    </xf>
    <xf numFmtId="176" fontId="9" fillId="0" borderId="55" xfId="0" applyNumberFormat="1" applyFont="1" applyBorder="1" applyAlignment="1">
      <alignment vertical="center"/>
    </xf>
    <xf numFmtId="176" fontId="9" fillId="0" borderId="62" xfId="0" applyNumberFormat="1" applyFont="1" applyBorder="1" applyAlignment="1">
      <alignment vertical="center"/>
    </xf>
    <xf numFmtId="176" fontId="9" fillId="0" borderId="93" xfId="0" applyNumberFormat="1" applyFont="1" applyBorder="1" applyAlignment="1">
      <alignment vertical="center"/>
    </xf>
    <xf numFmtId="176" fontId="9" fillId="0" borderId="11" xfId="0" applyNumberFormat="1" applyFont="1" applyBorder="1" applyAlignment="1">
      <alignment vertical="center"/>
    </xf>
    <xf numFmtId="176" fontId="9" fillId="0" borderId="46" xfId="0" applyNumberFormat="1" applyFont="1" applyBorder="1" applyAlignment="1">
      <alignment vertical="center"/>
    </xf>
    <xf numFmtId="176" fontId="9" fillId="0" borderId="58" xfId="0" applyNumberFormat="1" applyFont="1" applyBorder="1" applyAlignment="1">
      <alignment vertical="center"/>
    </xf>
    <xf numFmtId="176" fontId="9" fillId="0" borderId="74" xfId="0" applyNumberFormat="1" applyFont="1" applyBorder="1" applyAlignment="1">
      <alignment vertical="center"/>
    </xf>
    <xf numFmtId="176" fontId="9" fillId="0" borderId="94" xfId="0" applyNumberFormat="1" applyFont="1" applyBorder="1" applyAlignment="1">
      <alignment vertical="center"/>
    </xf>
    <xf numFmtId="176" fontId="9" fillId="0" borderId="16" xfId="1" applyNumberFormat="1" applyBorder="1" applyAlignment="1">
      <alignment vertical="center"/>
    </xf>
    <xf numFmtId="176" fontId="9" fillId="0" borderId="16" xfId="0" applyNumberFormat="1" applyFont="1" applyBorder="1" applyAlignment="1">
      <alignment vertical="center"/>
    </xf>
    <xf numFmtId="176" fontId="9" fillId="0" borderId="17" xfId="0" applyNumberFormat="1" applyFont="1" applyBorder="1" applyAlignment="1">
      <alignment vertical="center"/>
    </xf>
    <xf numFmtId="176" fontId="9" fillId="0" borderId="32" xfId="0" applyNumberFormat="1" applyFont="1" applyBorder="1" applyAlignment="1">
      <alignment vertical="center"/>
    </xf>
    <xf numFmtId="176" fontId="9" fillId="0" borderId="95" xfId="0" applyNumberFormat="1" applyFont="1" applyBorder="1" applyAlignment="1">
      <alignment vertical="center"/>
    </xf>
    <xf numFmtId="176" fontId="9" fillId="0" borderId="48" xfId="0" applyNumberFormat="1" applyFont="1" applyBorder="1" applyAlignment="1">
      <alignment vertical="center"/>
    </xf>
    <xf numFmtId="176" fontId="9" fillId="0" borderId="49" xfId="0" applyNumberFormat="1" applyFont="1" applyBorder="1" applyAlignment="1">
      <alignment vertical="center"/>
    </xf>
    <xf numFmtId="176" fontId="9" fillId="0" borderId="59" xfId="0" applyNumberFormat="1" applyFont="1" applyBorder="1" applyAlignment="1">
      <alignment vertical="center"/>
    </xf>
    <xf numFmtId="176" fontId="9" fillId="0" borderId="75" xfId="0" applyNumberFormat="1" applyFont="1" applyBorder="1" applyAlignment="1">
      <alignment vertical="center"/>
    </xf>
    <xf numFmtId="176" fontId="9" fillId="0" borderId="96" xfId="0" applyNumberFormat="1" applyFont="1" applyBorder="1" applyAlignment="1">
      <alignment vertical="center"/>
    </xf>
    <xf numFmtId="176" fontId="9" fillId="0" borderId="26" xfId="0" applyNumberFormat="1" applyFont="1" applyBorder="1" applyAlignment="1">
      <alignment vertical="center"/>
    </xf>
    <xf numFmtId="176" fontId="9" fillId="0" borderId="27" xfId="0" applyNumberFormat="1" applyFont="1" applyBorder="1" applyAlignment="1">
      <alignment vertical="center"/>
    </xf>
    <xf numFmtId="176" fontId="9" fillId="0" borderId="36" xfId="0" applyNumberFormat="1" applyFont="1" applyBorder="1" applyAlignment="1">
      <alignment vertical="center"/>
    </xf>
    <xf numFmtId="176" fontId="9" fillId="0" borderId="97" xfId="0" applyNumberFormat="1" applyFont="1" applyBorder="1" applyAlignment="1">
      <alignment vertical="center"/>
    </xf>
    <xf numFmtId="176" fontId="9" fillId="0" borderId="14" xfId="0" applyNumberFormat="1" applyFont="1" applyBorder="1" applyAlignment="1">
      <alignment vertical="center"/>
    </xf>
    <xf numFmtId="176" fontId="9" fillId="0" borderId="15" xfId="0" applyNumberFormat="1" applyFont="1" applyBorder="1" applyAlignment="1">
      <alignment vertical="center"/>
    </xf>
    <xf numFmtId="176" fontId="9" fillId="0" borderId="31" xfId="0" applyNumberFormat="1" applyFont="1" applyBorder="1" applyAlignment="1">
      <alignment vertical="center"/>
    </xf>
    <xf numFmtId="176" fontId="9" fillId="0" borderId="98" xfId="0" applyNumberFormat="1" applyFont="1" applyBorder="1" applyAlignment="1">
      <alignment vertical="center"/>
    </xf>
    <xf numFmtId="176" fontId="9" fillId="0" borderId="39" xfId="0" applyNumberFormat="1" applyFont="1" applyBorder="1" applyAlignment="1">
      <alignment vertical="center"/>
    </xf>
    <xf numFmtId="176" fontId="9" fillId="0" borderId="41" xfId="0" applyNumberFormat="1" applyFont="1" applyBorder="1" applyAlignment="1">
      <alignment vertical="center"/>
    </xf>
    <xf numFmtId="176" fontId="9" fillId="0" borderId="63" xfId="0" applyNumberFormat="1" applyFont="1" applyBorder="1" applyAlignment="1">
      <alignment vertical="center"/>
    </xf>
    <xf numFmtId="176" fontId="9" fillId="0" borderId="99" xfId="0" applyNumberFormat="1" applyFont="1" applyBorder="1" applyAlignment="1">
      <alignment vertical="center"/>
    </xf>
    <xf numFmtId="176" fontId="9" fillId="0" borderId="28" xfId="0" applyNumberFormat="1" applyFont="1" applyBorder="1" applyAlignment="1">
      <alignment vertical="center"/>
    </xf>
    <xf numFmtId="176" fontId="9" fillId="0" borderId="51" xfId="0" applyNumberFormat="1" applyFont="1" applyBorder="1" applyAlignment="1">
      <alignment vertical="center"/>
    </xf>
    <xf numFmtId="176" fontId="9" fillId="0" borderId="60" xfId="0" applyNumberFormat="1" applyFont="1" applyBorder="1" applyAlignment="1">
      <alignment vertical="center"/>
    </xf>
    <xf numFmtId="176" fontId="9" fillId="0" borderId="76" xfId="0" applyNumberFormat="1" applyFont="1" applyBorder="1" applyAlignment="1">
      <alignment vertical="center"/>
    </xf>
    <xf numFmtId="176" fontId="9" fillId="0" borderId="100" xfId="0" applyNumberFormat="1" applyFont="1" applyBorder="1" applyAlignment="1">
      <alignment vertical="center"/>
    </xf>
    <xf numFmtId="176" fontId="9" fillId="0" borderId="52" xfId="0" applyNumberFormat="1" applyFont="1" applyBorder="1" applyAlignment="1">
      <alignment vertical="center"/>
    </xf>
    <xf numFmtId="176" fontId="9" fillId="0" borderId="61" xfId="0" applyNumberFormat="1" applyFont="1" applyBorder="1" applyAlignment="1">
      <alignment vertical="center"/>
    </xf>
    <xf numFmtId="176" fontId="9" fillId="0" borderId="77" xfId="0" applyNumberFormat="1" applyFont="1" applyBorder="1" applyAlignment="1">
      <alignment vertical="center"/>
    </xf>
    <xf numFmtId="176" fontId="9" fillId="0" borderId="101" xfId="0" applyNumberFormat="1" applyFont="1" applyBorder="1" applyAlignment="1">
      <alignment vertical="center"/>
    </xf>
    <xf numFmtId="176" fontId="9" fillId="0" borderId="24" xfId="0" applyNumberFormat="1" applyFont="1" applyBorder="1" applyAlignment="1">
      <alignment vertical="center"/>
    </xf>
    <xf numFmtId="176" fontId="9" fillId="0" borderId="25" xfId="0" applyNumberFormat="1" applyFont="1" applyBorder="1" applyAlignment="1">
      <alignment vertical="center"/>
    </xf>
    <xf numFmtId="176" fontId="9" fillId="0" borderId="35" xfId="0" applyNumberFormat="1" applyFont="1" applyBorder="1" applyAlignment="1">
      <alignment vertical="center"/>
    </xf>
    <xf numFmtId="176" fontId="9" fillId="0" borderId="102" xfId="0" applyNumberFormat="1" applyFont="1" applyBorder="1" applyAlignment="1">
      <alignment vertical="center"/>
    </xf>
    <xf numFmtId="176" fontId="9" fillId="0" borderId="53" xfId="0" applyNumberFormat="1" applyFont="1" applyBorder="1" applyAlignment="1">
      <alignment vertical="center"/>
    </xf>
    <xf numFmtId="176" fontId="9" fillId="0" borderId="12" xfId="0" applyNumberFormat="1" applyFont="1" applyBorder="1" applyAlignment="1">
      <alignment vertical="center"/>
    </xf>
    <xf numFmtId="176" fontId="9" fillId="0" borderId="54" xfId="0" applyNumberFormat="1" applyFont="1" applyBorder="1" applyAlignment="1">
      <alignment vertical="center"/>
    </xf>
    <xf numFmtId="176" fontId="9" fillId="0" borderId="57" xfId="0" applyNumberFormat="1" applyFont="1" applyBorder="1" applyAlignment="1">
      <alignment vertical="center"/>
    </xf>
    <xf numFmtId="176" fontId="9" fillId="0" borderId="70" xfId="0" applyNumberFormat="1" applyFont="1" applyBorder="1" applyAlignment="1">
      <alignment vertical="center"/>
    </xf>
    <xf numFmtId="176" fontId="9" fillId="0" borderId="103" xfId="0" applyNumberFormat="1" applyFont="1" applyBorder="1" applyAlignment="1">
      <alignment vertical="center"/>
    </xf>
    <xf numFmtId="176" fontId="9" fillId="0" borderId="13" xfId="0" applyNumberFormat="1" applyFont="1" applyBorder="1" applyAlignment="1">
      <alignment vertical="center"/>
    </xf>
    <xf numFmtId="176" fontId="9" fillId="0" borderId="30" xfId="0" applyNumberFormat="1" applyFont="1" applyBorder="1" applyAlignment="1">
      <alignment vertical="center"/>
    </xf>
    <xf numFmtId="176" fontId="9" fillId="0" borderId="104" xfId="0" applyNumberFormat="1" applyFont="1" applyBorder="1" applyAlignment="1">
      <alignment vertical="center"/>
    </xf>
    <xf numFmtId="176" fontId="9" fillId="0" borderId="6" xfId="0" applyNumberFormat="1" applyFont="1" applyBorder="1" applyAlignment="1">
      <alignment vertical="center"/>
    </xf>
    <xf numFmtId="176" fontId="9" fillId="0" borderId="0" xfId="0" applyNumberFormat="1" applyFont="1" applyAlignment="1">
      <alignment vertical="center"/>
    </xf>
    <xf numFmtId="176" fontId="9" fillId="0" borderId="18" xfId="0" applyNumberFormat="1" applyFont="1" applyBorder="1" applyAlignment="1">
      <alignment vertical="center"/>
    </xf>
    <xf numFmtId="176" fontId="9" fillId="9" borderId="54" xfId="0" applyNumberFormat="1" applyFont="1" applyFill="1" applyBorder="1" applyAlignment="1">
      <alignment vertical="center"/>
    </xf>
    <xf numFmtId="176" fontId="9" fillId="9" borderId="57" xfId="0" applyNumberFormat="1" applyFont="1" applyFill="1" applyBorder="1" applyAlignment="1">
      <alignment vertical="center"/>
    </xf>
    <xf numFmtId="176" fontId="9" fillId="9" borderId="70" xfId="0" applyNumberFormat="1" applyFont="1" applyFill="1" applyBorder="1" applyAlignment="1">
      <alignment vertical="center"/>
    </xf>
    <xf numFmtId="176" fontId="9" fillId="0" borderId="79" xfId="0" applyNumberFormat="1" applyFont="1" applyBorder="1" applyAlignment="1">
      <alignment vertical="center"/>
    </xf>
    <xf numFmtId="176" fontId="9" fillId="0" borderId="81" xfId="0" applyNumberFormat="1" applyFont="1" applyBorder="1" applyAlignment="1">
      <alignment vertical="center"/>
    </xf>
    <xf numFmtId="176" fontId="9" fillId="0" borderId="82" xfId="0" applyNumberFormat="1" applyFont="1" applyBorder="1" applyAlignment="1">
      <alignment vertical="center"/>
    </xf>
    <xf numFmtId="176" fontId="9" fillId="0" borderId="5" xfId="0" applyNumberFormat="1" applyFont="1" applyBorder="1" applyAlignment="1">
      <alignment vertical="center"/>
    </xf>
    <xf numFmtId="176" fontId="9" fillId="0" borderId="56" xfId="0" applyNumberFormat="1" applyFont="1" applyBorder="1" applyAlignment="1">
      <alignment vertical="center"/>
    </xf>
    <xf numFmtId="176" fontId="9" fillId="0" borderId="83" xfId="0" applyNumberFormat="1" applyFont="1" applyBorder="1" applyAlignment="1">
      <alignment vertical="center"/>
    </xf>
    <xf numFmtId="176" fontId="9" fillId="0" borderId="22" xfId="0" applyNumberFormat="1" applyFont="1" applyBorder="1" applyAlignment="1">
      <alignment vertical="center"/>
    </xf>
    <xf numFmtId="176" fontId="9" fillId="0" borderId="23" xfId="0" applyNumberFormat="1" applyFont="1" applyBorder="1" applyAlignment="1">
      <alignment vertical="center"/>
    </xf>
    <xf numFmtId="176" fontId="9" fillId="0" borderId="34" xfId="0" applyNumberFormat="1" applyFont="1" applyBorder="1" applyAlignment="1">
      <alignment vertical="center"/>
    </xf>
    <xf numFmtId="176" fontId="9" fillId="0" borderId="84" xfId="0" applyNumberFormat="1" applyFont="1" applyBorder="1" applyAlignment="1">
      <alignment vertical="center"/>
    </xf>
    <xf numFmtId="176" fontId="9" fillId="0" borderId="7" xfId="0" applyNumberFormat="1" applyFont="1" applyBorder="1" applyAlignment="1">
      <alignment vertical="center"/>
    </xf>
    <xf numFmtId="176" fontId="9" fillId="0" borderId="37" xfId="0" applyNumberFormat="1" applyFont="1" applyBorder="1" applyAlignment="1">
      <alignment vertical="center"/>
    </xf>
    <xf numFmtId="176" fontId="9" fillId="0" borderId="85" xfId="0" applyNumberFormat="1" applyFont="1" applyBorder="1" applyAlignment="1">
      <alignment vertical="center"/>
    </xf>
    <xf numFmtId="176" fontId="9" fillId="0" borderId="72" xfId="0" applyNumberFormat="1" applyFont="1" applyBorder="1" applyAlignment="1">
      <alignment vertical="center"/>
    </xf>
    <xf numFmtId="176" fontId="9" fillId="0" borderId="73" xfId="0" applyNumberFormat="1" applyFont="1" applyBorder="1" applyAlignment="1">
      <alignment vertical="center"/>
    </xf>
    <xf numFmtId="176" fontId="9" fillId="0" borderId="71" xfId="0" applyNumberFormat="1" applyFont="1" applyBorder="1" applyAlignment="1">
      <alignment vertical="center"/>
    </xf>
    <xf numFmtId="176" fontId="9" fillId="0" borderId="86" xfId="0" applyNumberFormat="1" applyFont="1" applyBorder="1" applyAlignment="1">
      <alignment vertical="center"/>
    </xf>
    <xf numFmtId="176" fontId="9" fillId="0" borderId="80" xfId="0" applyNumberFormat="1" applyFont="1" applyBorder="1" applyAlignment="1">
      <alignment vertical="center"/>
    </xf>
    <xf numFmtId="176" fontId="9" fillId="0" borderId="87" xfId="0" applyNumberFormat="1" applyFont="1" applyBorder="1" applyAlignment="1">
      <alignment vertical="center"/>
    </xf>
    <xf numFmtId="176" fontId="9" fillId="0" borderId="88" xfId="0" applyNumberFormat="1" applyFont="1" applyBorder="1" applyAlignment="1">
      <alignment vertical="center"/>
    </xf>
    <xf numFmtId="176" fontId="9" fillId="0" borderId="89" xfId="0" applyNumberFormat="1" applyFont="1" applyBorder="1" applyAlignment="1">
      <alignment vertical="center"/>
    </xf>
    <xf numFmtId="176" fontId="9" fillId="0" borderId="90" xfId="0" applyNumberFormat="1" applyFont="1" applyBorder="1" applyAlignment="1">
      <alignment vertical="center"/>
    </xf>
    <xf numFmtId="176" fontId="9" fillId="0" borderId="19" xfId="0" applyNumberFormat="1" applyFont="1" applyBorder="1" applyAlignment="1">
      <alignment vertical="center"/>
    </xf>
    <xf numFmtId="176" fontId="9" fillId="0" borderId="33" xfId="0" applyNumberFormat="1" applyFont="1" applyBorder="1" applyAlignment="1">
      <alignment vertical="center"/>
    </xf>
    <xf numFmtId="176" fontId="9" fillId="0" borderId="91" xfId="0" applyNumberFormat="1" applyFont="1" applyBorder="1" applyAlignment="1">
      <alignment vertical="center"/>
    </xf>
    <xf numFmtId="176" fontId="9" fillId="0" borderId="39" xfId="0" applyNumberFormat="1" applyFont="1" applyBorder="1" applyAlignment="1">
      <alignment horizontal="right" vertical="center"/>
    </xf>
    <xf numFmtId="176" fontId="9" fillId="21" borderId="80" xfId="0" applyNumberFormat="1" applyFont="1" applyFill="1" applyBorder="1" applyAlignment="1">
      <alignment vertical="center"/>
    </xf>
    <xf numFmtId="176" fontId="4" fillId="0" borderId="44" xfId="0" applyNumberFormat="1" applyFont="1" applyBorder="1" applyAlignment="1">
      <alignment vertical="center"/>
    </xf>
    <xf numFmtId="176" fontId="4" fillId="0" borderId="55" xfId="0" applyNumberFormat="1" applyFont="1" applyBorder="1" applyAlignment="1">
      <alignment vertical="center"/>
    </xf>
    <xf numFmtId="176" fontId="4" fillId="0" borderId="62" xfId="0" applyNumberFormat="1" applyFont="1" applyBorder="1" applyAlignment="1">
      <alignment vertical="center"/>
    </xf>
    <xf numFmtId="176" fontId="4" fillId="0" borderId="79" xfId="0" applyNumberFormat="1" applyFont="1" applyBorder="1" applyAlignment="1">
      <alignment vertical="center"/>
    </xf>
    <xf numFmtId="176" fontId="4" fillId="0" borderId="24" xfId="0" applyNumberFormat="1" applyFont="1" applyBorder="1" applyAlignment="1">
      <alignment vertical="center"/>
    </xf>
    <xf numFmtId="176" fontId="4" fillId="0" borderId="25" xfId="0" applyNumberFormat="1" applyFont="1" applyBorder="1" applyAlignment="1">
      <alignment vertical="center"/>
    </xf>
    <xf numFmtId="176" fontId="4" fillId="0" borderId="35" xfId="0" applyNumberFormat="1" applyFont="1" applyBorder="1" applyAlignment="1">
      <alignment vertical="center"/>
    </xf>
    <xf numFmtId="176" fontId="4" fillId="0" borderId="82" xfId="0" applyNumberFormat="1" applyFont="1" applyBorder="1" applyAlignment="1">
      <alignment vertical="center"/>
    </xf>
    <xf numFmtId="176" fontId="4" fillId="0" borderId="11" xfId="0" applyNumberFormat="1" applyFont="1" applyBorder="1" applyAlignment="1">
      <alignment vertical="center"/>
    </xf>
    <xf numFmtId="176" fontId="4" fillId="0" borderId="12" xfId="0" applyNumberFormat="1" applyFont="1" applyBorder="1" applyAlignment="1">
      <alignment vertical="center"/>
    </xf>
    <xf numFmtId="176" fontId="4" fillId="0" borderId="6" xfId="0" applyNumberFormat="1" applyFont="1" applyBorder="1" applyAlignment="1">
      <alignment vertical="center"/>
    </xf>
    <xf numFmtId="176" fontId="4" fillId="0" borderId="0" xfId="0" applyNumberFormat="1" applyFont="1" applyAlignment="1">
      <alignment vertical="center"/>
    </xf>
    <xf numFmtId="176" fontId="4" fillId="0" borderId="90" xfId="0" applyNumberFormat="1" applyFont="1" applyBorder="1" applyAlignment="1">
      <alignment vertical="center"/>
    </xf>
    <xf numFmtId="176" fontId="4" fillId="0" borderId="16" xfId="0" applyNumberFormat="1" applyFont="1" applyBorder="1" applyAlignment="1">
      <alignment vertical="center"/>
    </xf>
    <xf numFmtId="176" fontId="4" fillId="0" borderId="17" xfId="0" applyNumberFormat="1" applyFont="1" applyBorder="1" applyAlignment="1">
      <alignment vertical="center"/>
    </xf>
    <xf numFmtId="176" fontId="4" fillId="0" borderId="32" xfId="0" applyNumberFormat="1" applyFont="1" applyBorder="1" applyAlignment="1">
      <alignment vertical="center"/>
    </xf>
    <xf numFmtId="176" fontId="4" fillId="0" borderId="89" xfId="0" applyNumberFormat="1" applyFont="1" applyBorder="1" applyAlignment="1">
      <alignment vertical="center"/>
    </xf>
    <xf numFmtId="176" fontId="4" fillId="0" borderId="13" xfId="0" applyNumberFormat="1" applyFont="1" applyBorder="1" applyAlignment="1">
      <alignment vertical="center"/>
    </xf>
    <xf numFmtId="176" fontId="4" fillId="0" borderId="30" xfId="0" applyNumberFormat="1" applyFont="1" applyBorder="1" applyAlignment="1">
      <alignment vertical="center"/>
    </xf>
    <xf numFmtId="176" fontId="4" fillId="0" borderId="83" xfId="0" applyNumberFormat="1" applyFont="1" applyBorder="1" applyAlignment="1">
      <alignment vertical="center"/>
    </xf>
    <xf numFmtId="176" fontId="4" fillId="0" borderId="39" xfId="0" applyNumberFormat="1" applyFont="1" applyBorder="1" applyAlignment="1">
      <alignment vertical="center"/>
    </xf>
    <xf numFmtId="176" fontId="4" fillId="0" borderId="41" xfId="0" applyNumberFormat="1" applyFont="1" applyBorder="1" applyAlignment="1">
      <alignment vertical="center"/>
    </xf>
    <xf numFmtId="176" fontId="4" fillId="0" borderId="63" xfId="0" applyNumberFormat="1" applyFont="1" applyBorder="1" applyAlignment="1">
      <alignment vertical="center"/>
    </xf>
    <xf numFmtId="176" fontId="4" fillId="0" borderId="81" xfId="0" applyNumberFormat="1" applyFont="1" applyBorder="1" applyAlignment="1">
      <alignment vertical="center"/>
    </xf>
    <xf numFmtId="176" fontId="4" fillId="0" borderId="14" xfId="0" applyNumberFormat="1" applyFont="1" applyBorder="1" applyAlignment="1">
      <alignment vertical="center"/>
    </xf>
    <xf numFmtId="176" fontId="4" fillId="0" borderId="15" xfId="0" applyNumberFormat="1" applyFont="1" applyBorder="1" applyAlignment="1">
      <alignment vertical="center"/>
    </xf>
    <xf numFmtId="176" fontId="4" fillId="0" borderId="31" xfId="0" applyNumberFormat="1" applyFont="1" applyBorder="1" applyAlignment="1">
      <alignment vertical="center"/>
    </xf>
    <xf numFmtId="176" fontId="4" fillId="0" borderId="88" xfId="0" applyNumberFormat="1" applyFont="1" applyBorder="1" applyAlignment="1">
      <alignment vertical="center"/>
    </xf>
    <xf numFmtId="176" fontId="4" fillId="0" borderId="51" xfId="0" applyNumberFormat="1" applyFont="1" applyBorder="1" applyAlignment="1">
      <alignment vertical="center"/>
    </xf>
    <xf numFmtId="176" fontId="4" fillId="0" borderId="48" xfId="0" applyNumberFormat="1" applyFont="1" applyBorder="1" applyAlignment="1">
      <alignment vertical="center"/>
    </xf>
    <xf numFmtId="176" fontId="4" fillId="0" borderId="5" xfId="0" applyNumberFormat="1" applyFont="1" applyBorder="1" applyAlignment="1">
      <alignment vertical="center"/>
    </xf>
    <xf numFmtId="176" fontId="4" fillId="0" borderId="56" xfId="0" applyNumberFormat="1" applyFont="1" applyBorder="1" applyAlignment="1">
      <alignment vertical="center"/>
    </xf>
    <xf numFmtId="176" fontId="4" fillId="0" borderId="87" xfId="0" applyNumberFormat="1" applyFont="1" applyBorder="1" applyAlignment="1">
      <alignment vertical="center"/>
    </xf>
    <xf numFmtId="176" fontId="4" fillId="9" borderId="64" xfId="0" applyNumberFormat="1" applyFont="1" applyFill="1" applyBorder="1" applyAlignment="1">
      <alignment vertical="center"/>
    </xf>
    <xf numFmtId="176" fontId="4" fillId="9" borderId="65" xfId="0" applyNumberFormat="1" applyFont="1" applyFill="1" applyBorder="1" applyAlignment="1">
      <alignment vertical="center"/>
    </xf>
    <xf numFmtId="176" fontId="4" fillId="9" borderId="66" xfId="0" applyNumberFormat="1" applyFont="1" applyFill="1" applyBorder="1" applyAlignment="1">
      <alignment vertical="center"/>
    </xf>
    <xf numFmtId="176" fontId="4" fillId="21" borderId="65" xfId="0" applyNumberFormat="1" applyFont="1" applyFill="1" applyBorder="1" applyAlignment="1">
      <alignment vertical="center"/>
    </xf>
    <xf numFmtId="176" fontId="4" fillId="21" borderId="92" xfId="0" applyNumberFormat="1" applyFont="1" applyFill="1" applyBorder="1" applyAlignment="1">
      <alignment vertical="center"/>
    </xf>
    <xf numFmtId="176" fontId="4" fillId="0" borderId="111" xfId="0" applyNumberFormat="1" applyFont="1" applyBorder="1" applyAlignment="1">
      <alignment vertical="center"/>
    </xf>
    <xf numFmtId="176" fontId="4" fillId="0" borderId="105" xfId="0" applyNumberFormat="1" applyFont="1" applyBorder="1" applyAlignment="1">
      <alignment vertical="center"/>
    </xf>
    <xf numFmtId="176" fontId="4" fillId="0" borderId="98" xfId="0" applyNumberFormat="1" applyFont="1" applyBorder="1" applyAlignment="1">
      <alignment vertical="center"/>
    </xf>
    <xf numFmtId="176" fontId="4" fillId="0" borderId="99" xfId="0" applyNumberFormat="1" applyFont="1" applyBorder="1" applyAlignment="1">
      <alignment vertical="center"/>
    </xf>
    <xf numFmtId="176" fontId="4" fillId="0" borderId="104" xfId="0" applyNumberFormat="1" applyFont="1" applyBorder="1" applyAlignment="1">
      <alignment vertical="center"/>
    </xf>
    <xf numFmtId="176" fontId="4" fillId="0" borderId="95" xfId="0" applyNumberFormat="1" applyFont="1" applyBorder="1" applyAlignment="1">
      <alignment vertical="center"/>
    </xf>
    <xf numFmtId="176" fontId="4" fillId="21" borderId="64" xfId="0" applyNumberFormat="1" applyFont="1" applyFill="1" applyBorder="1" applyAlignment="1">
      <alignment vertical="center"/>
    </xf>
    <xf numFmtId="176" fontId="4" fillId="21" borderId="106" xfId="0" applyNumberFormat="1" applyFont="1" applyFill="1" applyBorder="1" applyAlignment="1">
      <alignment vertical="center"/>
    </xf>
    <xf numFmtId="177" fontId="4" fillId="0" borderId="18" xfId="0" applyNumberFormat="1" applyFont="1" applyBorder="1" applyAlignment="1">
      <alignment vertical="center"/>
    </xf>
    <xf numFmtId="177" fontId="4" fillId="0" borderId="19" xfId="0" applyNumberFormat="1" applyFont="1" applyBorder="1" applyAlignment="1">
      <alignment vertical="center"/>
    </xf>
    <xf numFmtId="177" fontId="4" fillId="0" borderId="33" xfId="0" applyNumberFormat="1" applyFont="1" applyBorder="1" applyAlignment="1">
      <alignment vertical="center"/>
    </xf>
    <xf numFmtId="176" fontId="4" fillId="0" borderId="107" xfId="0" applyNumberFormat="1" applyFont="1" applyBorder="1" applyAlignment="1">
      <alignment vertical="center"/>
    </xf>
    <xf numFmtId="176" fontId="4" fillId="0" borderId="22" xfId="0" applyNumberFormat="1" applyFont="1" applyBorder="1" applyAlignment="1">
      <alignment vertical="center"/>
    </xf>
    <xf numFmtId="176" fontId="4" fillId="0" borderId="67" xfId="0" applyNumberFormat="1" applyFont="1" applyBorder="1" applyAlignment="1">
      <alignment vertical="center"/>
    </xf>
    <xf numFmtId="176" fontId="4" fillId="0" borderId="68" xfId="0" applyNumberFormat="1" applyFont="1" applyBorder="1" applyAlignment="1">
      <alignment vertical="center"/>
    </xf>
    <xf numFmtId="176" fontId="4" fillId="0" borderId="69" xfId="0" applyNumberFormat="1" applyFont="1" applyBorder="1" applyAlignment="1">
      <alignment vertical="center"/>
    </xf>
    <xf numFmtId="176" fontId="4" fillId="0" borderId="108" xfId="0" applyNumberFormat="1" applyFont="1" applyBorder="1" applyAlignment="1">
      <alignment vertical="center"/>
    </xf>
    <xf numFmtId="176" fontId="4" fillId="0" borderId="20" xfId="0" applyNumberFormat="1" applyFont="1" applyBorder="1" applyAlignment="1">
      <alignment vertical="center"/>
    </xf>
    <xf numFmtId="176" fontId="4" fillId="0" borderId="21" xfId="0" applyNumberFormat="1" applyFont="1" applyBorder="1" applyAlignment="1">
      <alignment vertical="center"/>
    </xf>
    <xf numFmtId="184" fontId="4" fillId="0" borderId="18" xfId="0" applyNumberFormat="1" applyFont="1" applyBorder="1" applyAlignment="1">
      <alignment vertical="center"/>
    </xf>
    <xf numFmtId="184" fontId="4" fillId="0" borderId="19" xfId="0" applyNumberFormat="1" applyFont="1" applyBorder="1" applyAlignment="1">
      <alignment vertical="center"/>
    </xf>
    <xf numFmtId="184" fontId="4" fillId="0" borderId="33" xfId="0" applyNumberFormat="1" applyFont="1" applyBorder="1" applyAlignment="1">
      <alignment vertical="center"/>
    </xf>
    <xf numFmtId="184" fontId="4" fillId="0" borderId="107" xfId="0" applyNumberFormat="1" applyFont="1" applyBorder="1" applyAlignment="1">
      <alignment vertical="center"/>
    </xf>
    <xf numFmtId="178" fontId="4" fillId="0" borderId="22" xfId="0" applyNumberFormat="1" applyFont="1" applyBorder="1" applyAlignment="1">
      <alignment vertical="center"/>
    </xf>
    <xf numFmtId="178" fontId="4" fillId="0" borderId="23" xfId="0" applyNumberFormat="1" applyFont="1" applyBorder="1" applyAlignment="1">
      <alignment vertical="center"/>
    </xf>
    <xf numFmtId="178" fontId="4" fillId="0" borderId="34" xfId="0" applyNumberFormat="1" applyFont="1" applyBorder="1" applyAlignment="1">
      <alignment vertical="center"/>
    </xf>
    <xf numFmtId="178" fontId="4" fillId="0" borderId="109" xfId="0" applyNumberFormat="1" applyFont="1" applyBorder="1" applyAlignment="1">
      <alignment vertical="center"/>
    </xf>
    <xf numFmtId="178" fontId="4" fillId="0" borderId="11" xfId="0" applyNumberFormat="1" applyFont="1" applyBorder="1" applyAlignment="1">
      <alignment vertical="center"/>
    </xf>
    <xf numFmtId="178" fontId="4" fillId="0" borderId="13" xfId="0" applyNumberFormat="1" applyFont="1" applyBorder="1" applyAlignment="1">
      <alignment vertical="center"/>
    </xf>
    <xf numFmtId="178" fontId="4" fillId="0" borderId="30" xfId="0" applyNumberFormat="1" applyFont="1" applyBorder="1" applyAlignment="1">
      <alignment vertical="center"/>
    </xf>
    <xf numFmtId="178" fontId="4" fillId="0" borderId="104" xfId="0" applyNumberFormat="1" applyFont="1" applyBorder="1" applyAlignment="1">
      <alignment vertical="center"/>
    </xf>
    <xf numFmtId="178" fontId="4" fillId="0" borderId="16" xfId="0" applyNumberFormat="1" applyFont="1" applyBorder="1" applyAlignment="1">
      <alignment vertical="center"/>
    </xf>
    <xf numFmtId="178" fontId="4" fillId="0" borderId="17" xfId="0" applyNumberFormat="1" applyFont="1" applyBorder="1" applyAlignment="1">
      <alignment vertical="center"/>
    </xf>
    <xf numFmtId="178" fontId="4" fillId="0" borderId="32" xfId="0" applyNumberFormat="1" applyFont="1" applyBorder="1" applyAlignment="1">
      <alignment vertical="center"/>
    </xf>
    <xf numFmtId="178" fontId="4" fillId="0" borderId="95" xfId="0" applyNumberFormat="1" applyFont="1" applyBorder="1" applyAlignment="1">
      <alignment vertical="center"/>
    </xf>
    <xf numFmtId="178" fontId="4" fillId="0" borderId="12" xfId="0" applyNumberFormat="1" applyFont="1" applyBorder="1" applyAlignment="1">
      <alignment vertical="center"/>
    </xf>
    <xf numFmtId="178" fontId="4" fillId="0" borderId="6" xfId="0" applyNumberFormat="1" applyFont="1" applyBorder="1" applyAlignment="1">
      <alignment vertical="center"/>
    </xf>
    <xf numFmtId="178" fontId="4" fillId="0" borderId="0" xfId="0" applyNumberFormat="1" applyFont="1" applyAlignment="1">
      <alignment vertical="center"/>
    </xf>
    <xf numFmtId="178" fontId="4" fillId="0" borderId="105" xfId="0" applyNumberFormat="1" applyFont="1" applyBorder="1" applyAlignment="1">
      <alignment vertical="center"/>
    </xf>
    <xf numFmtId="178" fontId="4" fillId="0" borderId="24" xfId="0" applyNumberFormat="1" applyFont="1" applyBorder="1" applyAlignment="1">
      <alignment vertical="center"/>
    </xf>
    <xf numFmtId="178" fontId="4" fillId="0" borderId="25" xfId="0" applyNumberFormat="1" applyFont="1" applyBorder="1" applyAlignment="1">
      <alignment vertical="center"/>
    </xf>
    <xf numFmtId="178" fontId="4" fillId="0" borderId="35" xfId="0" applyNumberFormat="1" applyFont="1" applyBorder="1" applyAlignment="1">
      <alignment vertical="center"/>
    </xf>
    <xf numFmtId="178" fontId="4" fillId="0" borderId="102" xfId="0" applyNumberFormat="1" applyFont="1" applyBorder="1" applyAlignment="1">
      <alignment vertical="center"/>
    </xf>
    <xf numFmtId="176" fontId="4" fillId="0" borderId="93" xfId="0" applyNumberFormat="1" applyFont="1" applyBorder="1" applyAlignment="1">
      <alignment vertical="center"/>
    </xf>
    <xf numFmtId="176" fontId="4" fillId="0" borderId="26" xfId="0" applyNumberFormat="1" applyFont="1" applyBorder="1" applyAlignment="1">
      <alignment vertical="center"/>
    </xf>
    <xf numFmtId="176" fontId="4" fillId="0" borderId="27" xfId="0" applyNumberFormat="1" applyFont="1" applyBorder="1" applyAlignment="1">
      <alignment vertical="center"/>
    </xf>
    <xf numFmtId="176" fontId="4" fillId="0" borderId="36" xfId="0" applyNumberFormat="1" applyFont="1" applyBorder="1" applyAlignment="1">
      <alignment vertical="center"/>
    </xf>
    <xf numFmtId="176" fontId="4" fillId="0" borderId="97" xfId="0" applyNumberFormat="1" applyFont="1" applyBorder="1" applyAlignment="1">
      <alignment vertical="center"/>
    </xf>
    <xf numFmtId="176" fontId="4" fillId="0" borderId="28" xfId="0" applyNumberFormat="1" applyFont="1" applyBorder="1" applyAlignment="1">
      <alignment vertical="center"/>
    </xf>
    <xf numFmtId="176" fontId="4" fillId="0" borderId="7" xfId="0" applyNumberFormat="1" applyFont="1" applyBorder="1" applyAlignment="1">
      <alignment vertical="center"/>
    </xf>
    <xf numFmtId="176" fontId="4" fillId="0" borderId="37" xfId="0" applyNumberFormat="1" applyFont="1" applyBorder="1" applyAlignment="1">
      <alignment vertical="center"/>
    </xf>
    <xf numFmtId="176" fontId="4" fillId="0" borderId="110" xfId="0" applyNumberFormat="1" applyFont="1" applyBorder="1" applyAlignment="1">
      <alignment vertical="center"/>
    </xf>
    <xf numFmtId="176" fontId="4" fillId="0" borderId="23" xfId="0" applyNumberFormat="1" applyFont="1" applyBorder="1" applyAlignment="1">
      <alignment vertical="center"/>
    </xf>
    <xf numFmtId="176" fontId="4" fillId="0" borderId="34" xfId="0" applyNumberFormat="1" applyFont="1" applyBorder="1" applyAlignment="1">
      <alignment vertical="center"/>
    </xf>
    <xf numFmtId="176" fontId="4" fillId="0" borderId="109" xfId="0" applyNumberFormat="1" applyFont="1" applyBorder="1" applyAlignment="1">
      <alignment vertical="center"/>
    </xf>
    <xf numFmtId="185" fontId="4" fillId="0" borderId="16" xfId="0" applyNumberFormat="1" applyFont="1" applyBorder="1" applyAlignment="1">
      <alignment vertical="center"/>
    </xf>
    <xf numFmtId="185" fontId="4" fillId="0" borderId="17" xfId="0" applyNumberFormat="1" applyFont="1" applyBorder="1" applyAlignment="1">
      <alignment vertical="center"/>
    </xf>
    <xf numFmtId="185" fontId="4" fillId="0" borderId="32" xfId="0" applyNumberFormat="1" applyFont="1" applyBorder="1" applyAlignment="1">
      <alignment vertical="center"/>
    </xf>
    <xf numFmtId="185" fontId="4" fillId="0" borderId="95" xfId="0" applyNumberFormat="1" applyFont="1" applyBorder="1" applyAlignment="1">
      <alignment vertical="center"/>
    </xf>
    <xf numFmtId="176" fontId="4" fillId="0" borderId="18" xfId="0" applyNumberFormat="1" applyFont="1" applyBorder="1" applyAlignment="1">
      <alignment vertical="center"/>
    </xf>
    <xf numFmtId="176" fontId="4" fillId="0" borderId="19" xfId="0" applyNumberFormat="1" applyFont="1" applyBorder="1" applyAlignment="1">
      <alignment vertical="center"/>
    </xf>
    <xf numFmtId="176" fontId="4" fillId="0" borderId="33" xfId="0" applyNumberFormat="1" applyFont="1" applyBorder="1" applyAlignment="1">
      <alignment vertical="center"/>
    </xf>
    <xf numFmtId="178" fontId="4" fillId="0" borderId="26" xfId="0" applyNumberFormat="1" applyFont="1" applyBorder="1" applyAlignment="1">
      <alignment vertical="center"/>
    </xf>
    <xf numFmtId="178" fontId="4" fillId="0" borderId="27" xfId="0" applyNumberFormat="1" applyFont="1" applyBorder="1" applyAlignment="1">
      <alignment vertical="center"/>
    </xf>
    <xf numFmtId="178" fontId="4" fillId="0" borderId="36" xfId="0" applyNumberFormat="1" applyFont="1" applyBorder="1" applyAlignment="1">
      <alignment vertical="center"/>
    </xf>
    <xf numFmtId="178" fontId="4" fillId="0" borderId="97" xfId="0" applyNumberFormat="1" applyFont="1" applyBorder="1" applyAlignment="1">
      <alignment vertical="center"/>
    </xf>
    <xf numFmtId="178" fontId="4" fillId="0" borderId="28" xfId="0" applyNumberFormat="1" applyFont="1" applyBorder="1" applyAlignment="1">
      <alignment vertical="center"/>
    </xf>
    <xf numFmtId="178" fontId="4" fillId="0" borderId="7" xfId="0" applyNumberFormat="1" applyFont="1" applyBorder="1" applyAlignment="1">
      <alignment vertical="center"/>
    </xf>
    <xf numFmtId="178" fontId="4" fillId="0" borderId="37" xfId="0" applyNumberFormat="1" applyFont="1" applyBorder="1" applyAlignment="1">
      <alignment vertical="center"/>
    </xf>
    <xf numFmtId="178" fontId="4" fillId="0" borderId="110" xfId="0" applyNumberFormat="1" applyFont="1" applyBorder="1" applyAlignment="1">
      <alignment vertical="center"/>
    </xf>
    <xf numFmtId="176" fontId="4" fillId="0" borderId="54" xfId="0" applyNumberFormat="1" applyFont="1" applyBorder="1" applyAlignment="1">
      <alignment vertical="center"/>
    </xf>
    <xf numFmtId="176" fontId="4" fillId="0" borderId="57" xfId="0" applyNumberFormat="1" applyFont="1" applyBorder="1" applyAlignment="1">
      <alignment vertical="center"/>
    </xf>
    <xf numFmtId="176" fontId="4" fillId="0" borderId="70" xfId="0" applyNumberFormat="1" applyFont="1" applyBorder="1" applyAlignment="1">
      <alignment vertical="center"/>
    </xf>
    <xf numFmtId="176" fontId="4" fillId="0" borderId="103" xfId="0" applyNumberFormat="1" applyFont="1" applyBorder="1" applyAlignment="1">
      <alignment vertical="center"/>
    </xf>
    <xf numFmtId="181" fontId="4" fillId="0" borderId="11" xfId="0" applyNumberFormat="1" applyFont="1" applyBorder="1" applyAlignment="1">
      <alignment horizontal="right" vertical="center"/>
    </xf>
    <xf numFmtId="182" fontId="4" fillId="0" borderId="16" xfId="0" applyNumberFormat="1" applyFont="1" applyBorder="1" applyAlignment="1">
      <alignment horizontal="right" vertical="center"/>
    </xf>
    <xf numFmtId="182" fontId="4" fillId="0" borderId="14" xfId="0" applyNumberFormat="1" applyFont="1" applyBorder="1" applyAlignment="1">
      <alignment horizontal="right" vertical="center"/>
    </xf>
    <xf numFmtId="177" fontId="4" fillId="0" borderId="11" xfId="0" applyNumberFormat="1" applyFont="1" applyBorder="1" applyAlignment="1">
      <alignment horizontal="right" vertical="center"/>
    </xf>
    <xf numFmtId="183" fontId="4" fillId="0" borderId="16" xfId="0" applyNumberFormat="1" applyFont="1" applyBorder="1" applyAlignment="1">
      <alignment horizontal="right" vertical="center"/>
    </xf>
    <xf numFmtId="183" fontId="4" fillId="0" borderId="14" xfId="0" applyNumberFormat="1" applyFont="1" applyBorder="1" applyAlignment="1">
      <alignment horizontal="right" vertical="center"/>
    </xf>
    <xf numFmtId="187" fontId="8" fillId="3" borderId="0" xfId="1" applyNumberFormat="1" applyFont="1" applyFill="1" applyAlignment="1">
      <alignment vertical="center"/>
    </xf>
    <xf numFmtId="188" fontId="18" fillId="0" borderId="0" xfId="0" applyNumberFormat="1" applyFont="1" applyAlignment="1">
      <alignment vertical="center"/>
    </xf>
    <xf numFmtId="177" fontId="18" fillId="0" borderId="0" xfId="0" applyNumberFormat="1" applyFont="1" applyAlignment="1">
      <alignment vertical="center"/>
    </xf>
    <xf numFmtId="189" fontId="18" fillId="0" borderId="0" xfId="0" applyNumberFormat="1" applyFont="1" applyAlignment="1">
      <alignment vertical="center"/>
    </xf>
    <xf numFmtId="177" fontId="19" fillId="0" borderId="0" xfId="0" applyNumberFormat="1" applyFont="1" applyAlignment="1">
      <alignment vertical="center"/>
    </xf>
    <xf numFmtId="177" fontId="4" fillId="3" borderId="0" xfId="0" applyNumberFormat="1" applyFont="1" applyFill="1" applyAlignment="1">
      <alignment vertical="center"/>
    </xf>
    <xf numFmtId="41" fontId="18" fillId="0" borderId="0" xfId="1" applyNumberFormat="1" applyFont="1" applyAlignment="1">
      <alignment horizontal="right" vertical="center"/>
    </xf>
    <xf numFmtId="177" fontId="4" fillId="3" borderId="0" xfId="0" applyNumberFormat="1" applyFont="1" applyFill="1" applyAlignment="1">
      <alignment horizontal="right" vertical="center"/>
    </xf>
    <xf numFmtId="181" fontId="4" fillId="0" borderId="0" xfId="0" applyNumberFormat="1" applyFont="1" applyAlignment="1">
      <alignment vertical="center"/>
    </xf>
    <xf numFmtId="177" fontId="4" fillId="0" borderId="0" xfId="0" applyNumberFormat="1" applyFont="1" applyAlignment="1">
      <alignment vertical="center"/>
    </xf>
    <xf numFmtId="188" fontId="4" fillId="0" borderId="0" xfId="0" applyNumberFormat="1" applyFont="1" applyAlignment="1">
      <alignment vertical="center"/>
    </xf>
    <xf numFmtId="179" fontId="18" fillId="0" borderId="0" xfId="0" applyNumberFormat="1" applyFont="1" applyAlignment="1">
      <alignment vertical="center"/>
    </xf>
    <xf numFmtId="181" fontId="18" fillId="0" borderId="0" xfId="0" applyNumberFormat="1" applyFont="1" applyAlignment="1">
      <alignment horizontal="right" vertical="center"/>
    </xf>
    <xf numFmtId="181" fontId="18" fillId="0" borderId="0" xfId="0" applyNumberFormat="1" applyFont="1" applyAlignment="1">
      <alignment vertical="center"/>
    </xf>
    <xf numFmtId="177" fontId="18" fillId="0" borderId="0" xfId="0" applyNumberFormat="1" applyFont="1" applyAlignment="1">
      <alignment horizontal="right" vertical="center"/>
    </xf>
    <xf numFmtId="176" fontId="0" fillId="0" borderId="0" xfId="0" applyNumberFormat="1" applyAlignment="1">
      <alignment vertical="center"/>
    </xf>
    <xf numFmtId="179" fontId="18" fillId="20" borderId="0" xfId="0" applyNumberFormat="1" applyFont="1" applyFill="1" applyAlignment="1">
      <alignment vertical="center"/>
    </xf>
    <xf numFmtId="187" fontId="8" fillId="19" borderId="0" xfId="1" applyNumberFormat="1" applyFont="1" applyFill="1" applyAlignment="1">
      <alignment vertical="center"/>
    </xf>
    <xf numFmtId="179" fontId="18" fillId="19" borderId="0" xfId="0" applyNumberFormat="1" applyFont="1" applyFill="1" applyAlignment="1">
      <alignment vertical="center"/>
    </xf>
    <xf numFmtId="188" fontId="18" fillId="19" borderId="0" xfId="0" applyNumberFormat="1" applyFont="1" applyFill="1" applyAlignment="1">
      <alignment vertical="center"/>
    </xf>
    <xf numFmtId="177" fontId="18" fillId="19" borderId="0" xfId="0" applyNumberFormat="1" applyFont="1" applyFill="1" applyAlignment="1">
      <alignment vertical="center"/>
    </xf>
    <xf numFmtId="189" fontId="18" fillId="19" borderId="0" xfId="0" applyNumberFormat="1" applyFont="1" applyFill="1" applyAlignment="1">
      <alignment vertical="center"/>
    </xf>
    <xf numFmtId="177" fontId="19" fillId="19" borderId="0" xfId="0" applyNumberFormat="1" applyFont="1" applyFill="1" applyAlignment="1">
      <alignment vertical="center"/>
    </xf>
    <xf numFmtId="177" fontId="4" fillId="19" borderId="0" xfId="0" applyNumberFormat="1" applyFont="1" applyFill="1" applyAlignment="1">
      <alignment vertical="center"/>
    </xf>
    <xf numFmtId="177" fontId="4" fillId="19" borderId="0" xfId="0" applyNumberFormat="1" applyFont="1" applyFill="1" applyAlignment="1">
      <alignment horizontal="right" vertical="center"/>
    </xf>
    <xf numFmtId="181" fontId="13" fillId="19" borderId="0" xfId="0" applyNumberFormat="1" applyFont="1" applyFill="1" applyAlignment="1">
      <alignment horizontal="right" vertical="center"/>
    </xf>
    <xf numFmtId="181" fontId="4" fillId="19" borderId="0" xfId="0" applyNumberFormat="1" applyFont="1" applyFill="1" applyAlignment="1">
      <alignment horizontal="right" vertical="center"/>
    </xf>
    <xf numFmtId="177" fontId="13" fillId="19" borderId="0" xfId="0" applyNumberFormat="1" applyFont="1" applyFill="1" applyAlignment="1">
      <alignment horizontal="right" vertical="center"/>
    </xf>
    <xf numFmtId="176" fontId="0" fillId="19" borderId="0" xfId="0" applyNumberFormat="1" applyFill="1" applyAlignment="1">
      <alignment vertical="center"/>
    </xf>
    <xf numFmtId="176" fontId="0" fillId="17" borderId="0" xfId="0" applyNumberFormat="1" applyFill="1" applyAlignment="1">
      <alignment vertical="center"/>
    </xf>
    <xf numFmtId="187" fontId="8" fillId="16" borderId="0" xfId="1" applyNumberFormat="1" applyFont="1" applyFill="1" applyAlignment="1">
      <alignment vertical="center"/>
    </xf>
    <xf numFmtId="190" fontId="18" fillId="16" borderId="0" xfId="0" applyNumberFormat="1" applyFont="1" applyFill="1" applyAlignment="1">
      <alignment vertical="center"/>
    </xf>
    <xf numFmtId="188" fontId="18" fillId="16" borderId="0" xfId="0" applyNumberFormat="1" applyFont="1" applyFill="1" applyAlignment="1">
      <alignment vertical="center"/>
    </xf>
    <xf numFmtId="189" fontId="18" fillId="16" borderId="0" xfId="0" applyNumberFormat="1" applyFont="1" applyFill="1" applyAlignment="1">
      <alignment vertical="center"/>
    </xf>
    <xf numFmtId="177" fontId="19" fillId="16" borderId="0" xfId="0" applyNumberFormat="1" applyFont="1" applyFill="1" applyAlignment="1">
      <alignment vertical="center"/>
    </xf>
    <xf numFmtId="177" fontId="4" fillId="16" borderId="0" xfId="0" applyNumberFormat="1" applyFont="1" applyFill="1" applyAlignment="1">
      <alignment vertical="center"/>
    </xf>
    <xf numFmtId="181" fontId="13" fillId="16" borderId="0" xfId="0" applyNumberFormat="1" applyFont="1" applyFill="1" applyAlignment="1">
      <alignment horizontal="right" vertical="center"/>
    </xf>
    <xf numFmtId="181" fontId="4" fillId="16" borderId="0" xfId="0" applyNumberFormat="1" applyFont="1" applyFill="1" applyAlignment="1">
      <alignment horizontal="right" vertical="center"/>
    </xf>
    <xf numFmtId="177" fontId="18" fillId="16" borderId="0" xfId="0" applyNumberFormat="1" applyFont="1" applyFill="1" applyAlignment="1">
      <alignment vertical="center"/>
    </xf>
    <xf numFmtId="177" fontId="13" fillId="16" borderId="0" xfId="0" applyNumberFormat="1" applyFont="1" applyFill="1" applyAlignment="1">
      <alignment horizontal="right" vertical="center"/>
    </xf>
    <xf numFmtId="176" fontId="0" fillId="16" borderId="0" xfId="0" applyNumberFormat="1" applyFill="1" applyAlignment="1">
      <alignment vertical="center"/>
    </xf>
    <xf numFmtId="176" fontId="0" fillId="3" borderId="0" xfId="0" applyNumberFormat="1" applyFill="1" applyAlignment="1">
      <alignment vertical="center"/>
    </xf>
    <xf numFmtId="186" fontId="11" fillId="0" borderId="0" xfId="3" applyNumberFormat="1"/>
    <xf numFmtId="186" fontId="0" fillId="0" borderId="0" xfId="0" applyNumberFormat="1" applyAlignment="1">
      <alignment vertical="center"/>
    </xf>
    <xf numFmtId="176" fontId="13" fillId="0" borderId="0" xfId="0" applyNumberFormat="1" applyFont="1" applyAlignment="1">
      <alignment vertical="center"/>
    </xf>
    <xf numFmtId="188" fontId="13" fillId="0" borderId="0" xfId="0" applyNumberFormat="1" applyFont="1" applyAlignment="1">
      <alignment vertical="center"/>
    </xf>
    <xf numFmtId="177" fontId="13" fillId="0" borderId="0" xfId="0" applyNumberFormat="1" applyFont="1" applyAlignment="1">
      <alignment vertical="center"/>
    </xf>
    <xf numFmtId="189" fontId="13" fillId="0" borderId="0" xfId="0" applyNumberFormat="1" applyFont="1" applyAlignment="1">
      <alignment vertical="center"/>
    </xf>
    <xf numFmtId="41" fontId="13" fillId="0" borderId="0" xfId="1" applyNumberFormat="1" applyFont="1" applyAlignment="1">
      <alignment horizontal="right" vertical="center"/>
    </xf>
    <xf numFmtId="179" fontId="13" fillId="0" borderId="0" xfId="0" applyNumberFormat="1" applyFont="1" applyAlignment="1">
      <alignment vertical="center"/>
    </xf>
    <xf numFmtId="181" fontId="13" fillId="0" borderId="0" xfId="0" applyNumberFormat="1" applyFont="1" applyAlignment="1">
      <alignment horizontal="right" vertical="center"/>
    </xf>
    <xf numFmtId="181" fontId="13" fillId="0" borderId="0" xfId="0" applyNumberFormat="1" applyFont="1" applyAlignment="1">
      <alignment vertical="center"/>
    </xf>
    <xf numFmtId="177" fontId="13" fillId="0" borderId="0" xfId="0" applyNumberFormat="1" applyFont="1" applyAlignment="1">
      <alignment horizontal="right" vertical="center"/>
    </xf>
    <xf numFmtId="179" fontId="13" fillId="19" borderId="0" xfId="0" applyNumberFormat="1" applyFont="1" applyFill="1" applyAlignment="1">
      <alignment vertical="center"/>
    </xf>
    <xf numFmtId="188" fontId="13" fillId="19" borderId="0" xfId="0" applyNumberFormat="1" applyFont="1" applyFill="1" applyAlignment="1">
      <alignment vertical="center"/>
    </xf>
    <xf numFmtId="177" fontId="13" fillId="19" borderId="0" xfId="0" applyNumberFormat="1" applyFont="1" applyFill="1" applyAlignment="1">
      <alignment vertical="center"/>
    </xf>
    <xf numFmtId="189" fontId="13" fillId="19" borderId="0" xfId="0" applyNumberFormat="1" applyFont="1" applyFill="1" applyAlignment="1">
      <alignment vertical="center"/>
    </xf>
    <xf numFmtId="190" fontId="13" fillId="16" borderId="0" xfId="0" applyNumberFormat="1" applyFont="1" applyFill="1" applyAlignment="1">
      <alignment vertical="center"/>
    </xf>
    <xf numFmtId="188" fontId="13" fillId="16" borderId="0" xfId="0" applyNumberFormat="1" applyFont="1" applyFill="1" applyAlignment="1">
      <alignment vertical="center"/>
    </xf>
    <xf numFmtId="189" fontId="13" fillId="16" borderId="0" xfId="0" applyNumberFormat="1" applyFont="1" applyFill="1" applyAlignment="1">
      <alignment vertical="center"/>
    </xf>
    <xf numFmtId="177" fontId="13" fillId="16" borderId="0" xfId="0" applyNumberFormat="1" applyFont="1" applyFill="1" applyAlignment="1">
      <alignment vertical="center"/>
    </xf>
    <xf numFmtId="189" fontId="13" fillId="0" borderId="0" xfId="0" applyNumberFormat="1" applyFont="1" applyAlignment="1">
      <alignment horizontal="right" vertical="center"/>
    </xf>
    <xf numFmtId="187" fontId="8" fillId="17" borderId="0" xfId="1" applyNumberFormat="1" applyFont="1" applyFill="1" applyAlignment="1">
      <alignment vertical="center"/>
    </xf>
    <xf numFmtId="179" fontId="13" fillId="17" borderId="0" xfId="0" applyNumberFormat="1" applyFont="1" applyFill="1" applyAlignment="1">
      <alignment vertical="center"/>
    </xf>
    <xf numFmtId="188" fontId="13" fillId="17" borderId="0" xfId="0" applyNumberFormat="1" applyFont="1" applyFill="1" applyAlignment="1">
      <alignment vertical="center"/>
    </xf>
    <xf numFmtId="177" fontId="13" fillId="17" borderId="0" xfId="0" applyNumberFormat="1" applyFont="1" applyFill="1" applyAlignment="1">
      <alignment vertical="center"/>
    </xf>
    <xf numFmtId="189" fontId="13" fillId="17" borderId="0" xfId="0" applyNumberFormat="1" applyFont="1" applyFill="1" applyAlignment="1">
      <alignment vertical="center"/>
    </xf>
    <xf numFmtId="177" fontId="4" fillId="17" borderId="0" xfId="0" applyNumberFormat="1" applyFont="1" applyFill="1" applyAlignment="1">
      <alignment vertical="center"/>
    </xf>
    <xf numFmtId="177" fontId="4" fillId="17" borderId="0" xfId="0" applyNumberFormat="1" applyFont="1" applyFill="1" applyAlignment="1">
      <alignment horizontal="right" vertical="center"/>
    </xf>
    <xf numFmtId="181" fontId="13" fillId="17" borderId="0" xfId="0" applyNumberFormat="1" applyFont="1" applyFill="1" applyAlignment="1">
      <alignment horizontal="right" vertical="center"/>
    </xf>
    <xf numFmtId="181" fontId="4" fillId="17" borderId="0" xfId="0" applyNumberFormat="1" applyFont="1" applyFill="1" applyAlignment="1">
      <alignment horizontal="right" vertical="center"/>
    </xf>
    <xf numFmtId="177" fontId="13" fillId="17" borderId="0" xfId="0" applyNumberFormat="1" applyFont="1" applyFill="1" applyAlignment="1">
      <alignment horizontal="right" vertical="center"/>
    </xf>
    <xf numFmtId="188" fontId="4" fillId="16" borderId="0" xfId="0" applyNumberFormat="1" applyFont="1" applyFill="1" applyAlignment="1">
      <alignment horizontal="right" vertical="center"/>
    </xf>
    <xf numFmtId="177" fontId="4" fillId="4" borderId="0" xfId="0" applyNumberFormat="1" applyFont="1" applyFill="1" applyAlignment="1">
      <alignment horizontal="right" vertical="center"/>
    </xf>
    <xf numFmtId="189" fontId="13" fillId="0" borderId="0" xfId="0" applyNumberFormat="1" applyFont="1" applyAlignment="1">
      <alignment horizontal="right"/>
    </xf>
    <xf numFmtId="41" fontId="13" fillId="0" borderId="0" xfId="1" applyNumberFormat="1" applyFont="1" applyAlignment="1">
      <alignment vertical="center"/>
    </xf>
    <xf numFmtId="176" fontId="4" fillId="3" borderId="0" xfId="0" applyNumberFormat="1" applyFont="1" applyFill="1" applyAlignment="1">
      <alignment vertical="center"/>
    </xf>
    <xf numFmtId="180" fontId="0" fillId="0" borderId="0" xfId="0" applyNumberFormat="1" applyAlignment="1">
      <alignment vertical="center"/>
    </xf>
    <xf numFmtId="176" fontId="4" fillId="0" borderId="0" xfId="0" applyNumberFormat="1" applyFont="1" applyAlignment="1">
      <alignment horizontal="right" vertical="center"/>
    </xf>
    <xf numFmtId="176" fontId="4" fillId="3" borderId="0" xfId="0" applyNumberFormat="1" applyFont="1" applyFill="1" applyAlignment="1">
      <alignment horizontal="right" vertical="center"/>
    </xf>
    <xf numFmtId="177" fontId="8" fillId="3" borderId="0" xfId="0" applyNumberFormat="1" applyFont="1" applyFill="1" applyAlignment="1">
      <alignment vertical="center"/>
    </xf>
    <xf numFmtId="179" fontId="4" fillId="0" borderId="0" xfId="0" applyNumberFormat="1" applyFont="1" applyAlignment="1">
      <alignment vertical="center"/>
    </xf>
    <xf numFmtId="181" fontId="0" fillId="0" borderId="0" xfId="0" applyNumberFormat="1" applyAlignment="1">
      <alignment horizontal="right" vertical="center"/>
    </xf>
    <xf numFmtId="181" fontId="0" fillId="0" borderId="0" xfId="0" applyNumberFormat="1" applyAlignment="1">
      <alignment vertical="center"/>
    </xf>
    <xf numFmtId="177" fontId="0" fillId="0" borderId="0" xfId="0" applyNumberFormat="1" applyAlignment="1">
      <alignment vertical="center"/>
    </xf>
    <xf numFmtId="177" fontId="0" fillId="0" borderId="0" xfId="0" applyNumberFormat="1" applyAlignment="1">
      <alignment horizontal="right" vertical="center"/>
    </xf>
    <xf numFmtId="177" fontId="4" fillId="4" borderId="0" xfId="0" applyNumberFormat="1" applyFont="1" applyFill="1" applyAlignment="1">
      <alignment vertical="center"/>
    </xf>
    <xf numFmtId="177" fontId="10" fillId="0" borderId="0" xfId="0" applyNumberFormat="1" applyFont="1" applyAlignment="1">
      <alignment horizontal="right" vertical="center"/>
    </xf>
    <xf numFmtId="176" fontId="4" fillId="4" borderId="0" xfId="0" applyNumberFormat="1" applyFont="1" applyFill="1" applyAlignment="1">
      <alignment vertical="center"/>
    </xf>
    <xf numFmtId="179" fontId="4" fillId="7" borderId="0" xfId="0" applyNumberFormat="1" applyFont="1" applyFill="1" applyAlignment="1">
      <alignment vertical="center"/>
    </xf>
    <xf numFmtId="177" fontId="4" fillId="7" borderId="0" xfId="0" applyNumberFormat="1" applyFont="1" applyFill="1" applyAlignment="1">
      <alignment vertical="center"/>
    </xf>
    <xf numFmtId="176" fontId="4" fillId="5" borderId="0" xfId="0" applyNumberFormat="1" applyFont="1" applyFill="1" applyAlignment="1">
      <alignment vertical="center"/>
    </xf>
    <xf numFmtId="176" fontId="9" fillId="0" borderId="41" xfId="0" applyNumberFormat="1" applyFont="1" applyBorder="1" applyAlignment="1">
      <alignment horizontal="left" vertical="center"/>
    </xf>
    <xf numFmtId="176" fontId="9" fillId="0" borderId="7" xfId="0" applyNumberFormat="1" applyFont="1" applyBorder="1" applyAlignment="1">
      <alignment horizontal="left" vertical="center"/>
    </xf>
    <xf numFmtId="0" fontId="9" fillId="0" borderId="54" xfId="0" applyFont="1" applyBorder="1" applyAlignment="1">
      <alignment horizontal="center" vertical="center"/>
    </xf>
    <xf numFmtId="0" fontId="0" fillId="0" borderId="113" xfId="0" applyBorder="1" applyAlignment="1"/>
    <xf numFmtId="0" fontId="9" fillId="0" borderId="117" xfId="0" applyFont="1" applyBorder="1" applyAlignment="1">
      <alignment vertical="center"/>
    </xf>
    <xf numFmtId="0" fontId="0" fillId="0" borderId="62" xfId="0" applyBorder="1" applyAlignment="1"/>
    <xf numFmtId="0" fontId="0" fillId="0" borderId="125" xfId="0" applyBorder="1" applyAlignment="1"/>
    <xf numFmtId="0" fontId="5" fillId="0" borderId="39" xfId="0" applyFont="1" applyBorder="1" applyAlignment="1">
      <alignment vertical="center"/>
    </xf>
    <xf numFmtId="0" fontId="0" fillId="0" borderId="42" xfId="0" applyBorder="1" applyAlignment="1"/>
    <xf numFmtId="0" fontId="9" fillId="0" borderId="11" xfId="0" applyFont="1" applyBorder="1" applyAlignment="1">
      <alignment vertical="center"/>
    </xf>
    <xf numFmtId="0" fontId="0" fillId="0" borderId="78" xfId="0" applyBorder="1" applyAlignment="1"/>
    <xf numFmtId="0" fontId="23" fillId="0" borderId="47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9" fillId="0" borderId="115" xfId="0" applyFont="1" applyBorder="1" applyAlignment="1">
      <alignment vertical="center"/>
    </xf>
    <xf numFmtId="0" fontId="0" fillId="0" borderId="34" xfId="0" applyBorder="1" applyAlignment="1"/>
    <xf numFmtId="0" fontId="0" fillId="0" borderId="112" xfId="0" applyBorder="1" applyAlignment="1"/>
    <xf numFmtId="0" fontId="5" fillId="0" borderId="24" xfId="0" applyFont="1" applyBorder="1" applyAlignment="1">
      <alignment vertical="center"/>
    </xf>
    <xf numFmtId="0" fontId="0" fillId="0" borderId="114" xfId="0" applyBorder="1" applyAlignment="1"/>
    <xf numFmtId="0" fontId="9" fillId="0" borderId="11" xfId="0" applyFont="1" applyBorder="1" applyAlignment="1">
      <alignment horizontal="center" vertical="center"/>
    </xf>
    <xf numFmtId="0" fontId="0" fillId="0" borderId="30" xfId="0" applyBorder="1" applyAlignment="1"/>
    <xf numFmtId="0" fontId="9" fillId="0" borderId="39" xfId="0" applyFont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9" fillId="0" borderId="43" xfId="0" applyFont="1" applyBorder="1" applyAlignment="1">
      <alignment vertical="center"/>
    </xf>
    <xf numFmtId="0" fontId="0" fillId="0" borderId="70" xfId="0" applyBorder="1" applyAlignment="1"/>
    <xf numFmtId="0" fontId="5" fillId="0" borderId="13" xfId="0" applyFont="1" applyBorder="1" applyAlignment="1">
      <alignment vertical="center"/>
    </xf>
    <xf numFmtId="0" fontId="9" fillId="0" borderId="24" xfId="0" applyFont="1" applyBorder="1" applyAlignment="1">
      <alignment vertical="center"/>
    </xf>
    <xf numFmtId="0" fontId="9" fillId="0" borderId="43" xfId="0" applyFont="1" applyBorder="1" applyAlignment="1">
      <alignment horizontal="center" vertical="center"/>
    </xf>
    <xf numFmtId="0" fontId="9" fillId="9" borderId="43" xfId="0" applyFont="1" applyFill="1" applyBorder="1" applyAlignment="1">
      <alignment horizontal="center" vertical="center"/>
    </xf>
    <xf numFmtId="0" fontId="4" fillId="0" borderId="43" xfId="0" applyFont="1" applyBorder="1" applyAlignment="1">
      <alignment vertical="center"/>
    </xf>
    <xf numFmtId="0" fontId="9" fillId="9" borderId="64" xfId="0" applyFont="1" applyFill="1" applyBorder="1" applyAlignment="1">
      <alignment horizontal="center" vertical="center"/>
    </xf>
    <xf numFmtId="0" fontId="0" fillId="0" borderId="66" xfId="0" applyBorder="1" applyAlignment="1"/>
    <xf numFmtId="0" fontId="0" fillId="0" borderId="119" xfId="0" applyBorder="1" applyAlignment="1"/>
    <xf numFmtId="0" fontId="4" fillId="0" borderId="49" xfId="0" applyFont="1" applyBorder="1" applyAlignment="1">
      <alignment vertical="center"/>
    </xf>
    <xf numFmtId="0" fontId="0" fillId="0" borderId="75" xfId="0" applyBorder="1" applyAlignment="1"/>
    <xf numFmtId="0" fontId="0" fillId="0" borderId="122" xfId="0" applyBorder="1" applyAlignment="1"/>
    <xf numFmtId="0" fontId="9" fillId="0" borderId="42" xfId="0" applyFont="1" applyBorder="1" applyAlignment="1">
      <alignment vertical="center"/>
    </xf>
    <xf numFmtId="0" fontId="0" fillId="0" borderId="63" xfId="0" applyBorder="1" applyAlignment="1"/>
    <xf numFmtId="0" fontId="9" fillId="0" borderId="117" xfId="0" applyFont="1" applyBorder="1" applyAlignment="1">
      <alignment horizontal="center" vertical="center" textRotation="255"/>
    </xf>
    <xf numFmtId="0" fontId="0" fillId="0" borderId="45" xfId="0" applyBorder="1" applyAlignment="1"/>
    <xf numFmtId="0" fontId="0" fillId="0" borderId="120" xfId="0" applyBorder="1" applyAlignment="1"/>
    <xf numFmtId="0" fontId="9" fillId="0" borderId="43" xfId="0" applyFont="1" applyBorder="1" applyAlignment="1">
      <alignment horizontal="center" vertical="center" textRotation="255"/>
    </xf>
    <xf numFmtId="0" fontId="0" fillId="0" borderId="123" xfId="0" applyBorder="1" applyAlignment="1"/>
    <xf numFmtId="0" fontId="4" fillId="0" borderId="24" xfId="0" applyFont="1" applyBorder="1" applyAlignment="1">
      <alignment vertical="center"/>
    </xf>
    <xf numFmtId="0" fontId="0" fillId="0" borderId="35" xfId="0" applyBorder="1" applyAlignment="1"/>
    <xf numFmtId="0" fontId="9" fillId="0" borderId="117" xfId="0" applyFont="1" applyBorder="1" applyAlignment="1">
      <alignment vertical="center" textRotation="255"/>
    </xf>
    <xf numFmtId="0" fontId="4" fillId="0" borderId="11" xfId="0" applyFont="1" applyBorder="1" applyAlignment="1">
      <alignment vertical="center"/>
    </xf>
    <xf numFmtId="0" fontId="9" fillId="0" borderId="29" xfId="0" applyFont="1" applyBorder="1" applyAlignment="1">
      <alignment vertical="center"/>
    </xf>
    <xf numFmtId="0" fontId="0" fillId="0" borderId="29" xfId="0" applyBorder="1" applyAlignment="1"/>
    <xf numFmtId="0" fontId="5" fillId="0" borderId="16" xfId="0" applyFont="1" applyBorder="1" applyAlignment="1">
      <alignment vertical="center"/>
    </xf>
    <xf numFmtId="0" fontId="0" fillId="0" borderId="126" xfId="0" applyBorder="1" applyAlignment="1"/>
    <xf numFmtId="0" fontId="9" fillId="0" borderId="22" xfId="0" applyFont="1" applyBorder="1" applyAlignment="1">
      <alignment vertical="center"/>
    </xf>
    <xf numFmtId="0" fontId="9" fillId="0" borderId="118" xfId="0" applyFont="1" applyBorder="1" applyAlignment="1">
      <alignment vertical="center"/>
    </xf>
    <xf numFmtId="0" fontId="0" fillId="0" borderId="118" xfId="0" applyBorder="1" applyAlignment="1"/>
    <xf numFmtId="0" fontId="9" fillId="0" borderId="125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0" fillId="0" borderId="116" xfId="0" applyBorder="1" applyAlignment="1"/>
    <xf numFmtId="0" fontId="9" fillId="0" borderId="44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0" fillId="0" borderId="56" xfId="0" applyBorder="1" applyAlignment="1"/>
    <xf numFmtId="0" fontId="9" fillId="0" borderId="78" xfId="0" applyFont="1" applyBorder="1" applyAlignment="1">
      <alignment vertical="center"/>
    </xf>
    <xf numFmtId="0" fontId="4" fillId="0" borderId="48" xfId="0" applyFont="1" applyBorder="1" applyAlignment="1">
      <alignment horizontal="center" vertical="center"/>
    </xf>
    <xf numFmtId="0" fontId="0" fillId="0" borderId="12" xfId="0" applyBorder="1" applyAlignment="1"/>
    <xf numFmtId="0" fontId="0" fillId="0" borderId="48" xfId="0" applyBorder="1" applyAlignment="1"/>
    <xf numFmtId="0" fontId="9" fillId="0" borderId="48" xfId="0" applyFont="1" applyBorder="1" applyAlignment="1">
      <alignment horizontal="center" vertical="center"/>
    </xf>
    <xf numFmtId="0" fontId="9" fillId="0" borderId="12" xfId="0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127" xfId="0" applyBorder="1" applyAlignment="1"/>
    <xf numFmtId="0" fontId="9" fillId="0" borderId="28" xfId="0" applyFont="1" applyBorder="1" applyAlignment="1">
      <alignment horizontal="center" vertical="center"/>
    </xf>
    <xf numFmtId="0" fontId="0" fillId="0" borderId="28" xfId="0" applyBorder="1" applyAlignment="1"/>
    <xf numFmtId="0" fontId="9" fillId="0" borderId="80" xfId="0" applyFont="1" applyBorder="1" applyAlignment="1">
      <alignment horizontal="center" vertical="center"/>
    </xf>
    <xf numFmtId="0" fontId="0" fillId="0" borderId="103" xfId="0" applyBorder="1" applyAlignment="1"/>
    <xf numFmtId="0" fontId="9" fillId="0" borderId="5" xfId="0" applyFont="1" applyBorder="1" applyAlignment="1">
      <alignment horizontal="center" vertical="center"/>
    </xf>
    <xf numFmtId="0" fontId="0" fillId="0" borderId="5" xfId="0" applyBorder="1" applyAlignment="1"/>
    <xf numFmtId="0" fontId="4" fillId="0" borderId="12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0" fillId="0" borderId="121" xfId="0" applyBorder="1" applyAlignment="1"/>
    <xf numFmtId="0" fontId="4" fillId="0" borderId="5" xfId="0" applyFont="1" applyBorder="1" applyAlignment="1">
      <alignment vertical="center"/>
    </xf>
    <xf numFmtId="0" fontId="0" fillId="0" borderId="24" xfId="0" applyBorder="1" applyAlignment="1">
      <alignment vertical="center"/>
    </xf>
    <xf numFmtId="0" fontId="4" fillId="0" borderId="18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4" fillId="0" borderId="26" xfId="0" applyFont="1" applyBorder="1" applyAlignment="1">
      <alignment vertical="center"/>
    </xf>
    <xf numFmtId="0" fontId="0" fillId="0" borderId="124" xfId="0" applyBorder="1" applyAlignment="1"/>
    <xf numFmtId="0" fontId="5" fillId="0" borderId="12" xfId="0" applyFont="1" applyBorder="1" applyAlignment="1">
      <alignment vertical="center"/>
    </xf>
    <xf numFmtId="0" fontId="5" fillId="0" borderId="26" xfId="0" applyFont="1" applyBorder="1" applyAlignment="1">
      <alignment vertical="center"/>
    </xf>
    <xf numFmtId="0" fontId="4" fillId="0" borderId="43" xfId="0" applyFont="1" applyBorder="1" applyAlignment="1">
      <alignment horizontal="center" vertical="center" textRotation="255"/>
    </xf>
    <xf numFmtId="0" fontId="4" fillId="0" borderId="38" xfId="0" applyFont="1" applyBorder="1" applyAlignment="1">
      <alignment horizontal="center" vertical="center" textRotation="255"/>
    </xf>
    <xf numFmtId="0" fontId="0" fillId="0" borderId="50" xfId="0" applyBorder="1" applyAlignment="1"/>
    <xf numFmtId="0" fontId="9" fillId="0" borderId="41" xfId="0" applyFont="1" applyBorder="1" applyAlignment="1">
      <alignment horizontal="center" vertical="center"/>
    </xf>
    <xf numFmtId="0" fontId="9" fillId="0" borderId="39" xfId="0" applyFont="1" applyBorder="1" applyAlignment="1">
      <alignment horizontal="center" vertical="center" textRotation="255"/>
    </xf>
    <xf numFmtId="0" fontId="20" fillId="8" borderId="0" xfId="0" applyFont="1" applyFill="1" applyAlignment="1">
      <alignment horizontal="center" vertical="center"/>
    </xf>
    <xf numFmtId="0" fontId="0" fillId="0" borderId="0" xfId="0" applyAlignment="1"/>
    <xf numFmtId="49" fontId="20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49" fontId="0" fillId="8" borderId="0" xfId="0" applyNumberFormat="1" applyFill="1" applyAlignment="1">
      <alignment horizontal="center" vertical="center"/>
    </xf>
  </cellXfs>
  <cellStyles count="4">
    <cellStyle name="桁区切り" xfId="1" builtinId="6"/>
    <cellStyle name="標準" xfId="0" builtinId="0"/>
    <cellStyle name="標準 2" xfId="2" xr:uid="{00000000-0005-0000-0000-000002000000}"/>
    <cellStyle name="標準 3" xfId="3" xr:uid="{00000000-0005-0000-0000-000003000000}"/>
  </cellStyles>
  <dxfs count="13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indexed="13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3"/>
  <dimension ref="A2:B51"/>
  <sheetViews>
    <sheetView workbookViewId="0">
      <selection activeCell="A5" sqref="A5"/>
    </sheetView>
  </sheetViews>
  <sheetFormatPr defaultRowHeight="12" x14ac:dyDescent="0.15"/>
  <sheetData>
    <row r="2" spans="1:2" ht="12.6" customHeight="1" thickBot="1" x14ac:dyDescent="0.2"/>
    <row r="3" spans="1:2" ht="12.6" customHeight="1" thickBot="1" x14ac:dyDescent="0.2">
      <c r="A3" s="473" t="s">
        <v>0</v>
      </c>
      <c r="B3" s="474"/>
    </row>
    <row r="5" spans="1:2" x14ac:dyDescent="0.15">
      <c r="A5" s="89" t="s">
        <v>1</v>
      </c>
      <c r="B5" s="89" t="s">
        <v>2</v>
      </c>
    </row>
    <row r="6" spans="1:2" x14ac:dyDescent="0.15">
      <c r="A6" s="89" t="s">
        <v>3</v>
      </c>
      <c r="B6" s="89" t="s">
        <v>4</v>
      </c>
    </row>
    <row r="7" spans="1:2" x14ac:dyDescent="0.15">
      <c r="A7" s="62" t="s">
        <v>5</v>
      </c>
      <c r="B7" s="89" t="s">
        <v>6</v>
      </c>
    </row>
    <row r="8" spans="1:2" x14ac:dyDescent="0.15">
      <c r="A8" s="62" t="s">
        <v>7</v>
      </c>
      <c r="B8" s="89" t="s">
        <v>8</v>
      </c>
    </row>
    <row r="9" spans="1:2" x14ac:dyDescent="0.15">
      <c r="A9" s="62" t="s">
        <v>9</v>
      </c>
      <c r="B9" s="89" t="s">
        <v>10</v>
      </c>
    </row>
    <row r="10" spans="1:2" x14ac:dyDescent="0.15">
      <c r="A10" s="62" t="s">
        <v>11</v>
      </c>
      <c r="B10" s="89" t="s">
        <v>12</v>
      </c>
    </row>
    <row r="11" spans="1:2" x14ac:dyDescent="0.15">
      <c r="A11" s="62" t="s">
        <v>13</v>
      </c>
      <c r="B11" s="89" t="s">
        <v>14</v>
      </c>
    </row>
    <row r="12" spans="1:2" x14ac:dyDescent="0.15">
      <c r="A12" s="62" t="s">
        <v>15</v>
      </c>
      <c r="B12" s="89" t="s">
        <v>16</v>
      </c>
    </row>
    <row r="13" spans="1:2" x14ac:dyDescent="0.15">
      <c r="A13" s="62" t="s">
        <v>17</v>
      </c>
      <c r="B13" s="89" t="s">
        <v>18</v>
      </c>
    </row>
    <row r="14" spans="1:2" x14ac:dyDescent="0.15">
      <c r="A14" s="62" t="s">
        <v>19</v>
      </c>
      <c r="B14" s="89" t="s">
        <v>20</v>
      </c>
    </row>
    <row r="15" spans="1:2" x14ac:dyDescent="0.15">
      <c r="A15" s="62" t="s">
        <v>21</v>
      </c>
      <c r="B15" s="89" t="s">
        <v>22</v>
      </c>
    </row>
    <row r="16" spans="1:2" x14ac:dyDescent="0.15">
      <c r="A16" s="62" t="s">
        <v>23</v>
      </c>
      <c r="B16" s="89" t="s">
        <v>24</v>
      </c>
    </row>
    <row r="17" spans="1:2" x14ac:dyDescent="0.15">
      <c r="A17" s="62" t="s">
        <v>25</v>
      </c>
      <c r="B17" s="89" t="s">
        <v>26</v>
      </c>
    </row>
    <row r="18" spans="1:2" x14ac:dyDescent="0.15">
      <c r="A18" s="62" t="s">
        <v>27</v>
      </c>
      <c r="B18" s="89" t="s">
        <v>28</v>
      </c>
    </row>
    <row r="19" spans="1:2" x14ac:dyDescent="0.15">
      <c r="A19" s="62" t="s">
        <v>29</v>
      </c>
      <c r="B19" s="89" t="s">
        <v>30</v>
      </c>
    </row>
    <row r="20" spans="1:2" x14ac:dyDescent="0.15">
      <c r="A20" s="62" t="s">
        <v>31</v>
      </c>
      <c r="B20" s="89" t="s">
        <v>32</v>
      </c>
    </row>
    <row r="21" spans="1:2" x14ac:dyDescent="0.15">
      <c r="A21" s="62" t="s">
        <v>33</v>
      </c>
      <c r="B21" s="89" t="s">
        <v>34</v>
      </c>
    </row>
    <row r="22" spans="1:2" x14ac:dyDescent="0.15">
      <c r="A22" s="62" t="s">
        <v>35</v>
      </c>
      <c r="B22" s="89" t="s">
        <v>36</v>
      </c>
    </row>
    <row r="23" spans="1:2" x14ac:dyDescent="0.15">
      <c r="A23" s="62" t="s">
        <v>37</v>
      </c>
      <c r="B23" s="89" t="s">
        <v>38</v>
      </c>
    </row>
    <row r="24" spans="1:2" x14ac:dyDescent="0.15">
      <c r="A24" s="62" t="s">
        <v>39</v>
      </c>
      <c r="B24" s="89" t="s">
        <v>40</v>
      </c>
    </row>
    <row r="25" spans="1:2" x14ac:dyDescent="0.15">
      <c r="A25" s="62" t="s">
        <v>41</v>
      </c>
      <c r="B25" s="89" t="s">
        <v>42</v>
      </c>
    </row>
    <row r="26" spans="1:2" x14ac:dyDescent="0.15">
      <c r="A26" s="62" t="s">
        <v>43</v>
      </c>
      <c r="B26" s="89" t="s">
        <v>44</v>
      </c>
    </row>
    <row r="27" spans="1:2" x14ac:dyDescent="0.15">
      <c r="A27" s="62" t="s">
        <v>45</v>
      </c>
      <c r="B27" s="89" t="s">
        <v>46</v>
      </c>
    </row>
    <row r="28" spans="1:2" x14ac:dyDescent="0.15">
      <c r="A28" s="62" t="s">
        <v>47</v>
      </c>
      <c r="B28" s="89" t="s">
        <v>48</v>
      </c>
    </row>
    <row r="29" spans="1:2" x14ac:dyDescent="0.15">
      <c r="A29" s="62" t="s">
        <v>49</v>
      </c>
      <c r="B29" s="89" t="s">
        <v>50</v>
      </c>
    </row>
    <row r="30" spans="1:2" x14ac:dyDescent="0.15">
      <c r="A30" s="62" t="s">
        <v>51</v>
      </c>
      <c r="B30" s="89" t="s">
        <v>52</v>
      </c>
    </row>
    <row r="31" spans="1:2" x14ac:dyDescent="0.15">
      <c r="A31" s="62" t="s">
        <v>53</v>
      </c>
      <c r="B31" s="89" t="s">
        <v>54</v>
      </c>
    </row>
    <row r="32" spans="1:2" x14ac:dyDescent="0.15">
      <c r="A32" s="62" t="s">
        <v>55</v>
      </c>
      <c r="B32" s="89" t="s">
        <v>56</v>
      </c>
    </row>
    <row r="33" spans="1:2" x14ac:dyDescent="0.15">
      <c r="A33" s="62" t="s">
        <v>57</v>
      </c>
      <c r="B33" s="89" t="s">
        <v>58</v>
      </c>
    </row>
    <row r="34" spans="1:2" x14ac:dyDescent="0.15">
      <c r="A34" s="62" t="s">
        <v>59</v>
      </c>
      <c r="B34" s="89" t="s">
        <v>60</v>
      </c>
    </row>
    <row r="35" spans="1:2" x14ac:dyDescent="0.15">
      <c r="A35" s="62" t="s">
        <v>61</v>
      </c>
      <c r="B35" s="89" t="s">
        <v>62</v>
      </c>
    </row>
    <row r="36" spans="1:2" x14ac:dyDescent="0.15">
      <c r="A36" s="62" t="s">
        <v>63</v>
      </c>
      <c r="B36" s="89" t="s">
        <v>64</v>
      </c>
    </row>
    <row r="37" spans="1:2" x14ac:dyDescent="0.15">
      <c r="A37" s="62" t="s">
        <v>65</v>
      </c>
      <c r="B37" s="89" t="s">
        <v>66</v>
      </c>
    </row>
    <row r="38" spans="1:2" x14ac:dyDescent="0.15">
      <c r="A38" s="62" t="s">
        <v>67</v>
      </c>
      <c r="B38" s="89" t="s">
        <v>68</v>
      </c>
    </row>
    <row r="39" spans="1:2" x14ac:dyDescent="0.15">
      <c r="A39" s="62" t="s">
        <v>69</v>
      </c>
      <c r="B39" s="89" t="s">
        <v>70</v>
      </c>
    </row>
    <row r="40" spans="1:2" x14ac:dyDescent="0.15">
      <c r="A40" s="62" t="s">
        <v>71</v>
      </c>
      <c r="B40" s="89" t="s">
        <v>72</v>
      </c>
    </row>
    <row r="41" spans="1:2" x14ac:dyDescent="0.15">
      <c r="A41" s="62" t="s">
        <v>73</v>
      </c>
      <c r="B41" s="89" t="s">
        <v>74</v>
      </c>
    </row>
    <row r="42" spans="1:2" x14ac:dyDescent="0.15">
      <c r="A42" s="62" t="s">
        <v>75</v>
      </c>
      <c r="B42" s="89" t="s">
        <v>76</v>
      </c>
    </row>
    <row r="43" spans="1:2" x14ac:dyDescent="0.15">
      <c r="A43" s="62" t="s">
        <v>77</v>
      </c>
      <c r="B43" s="89" t="s">
        <v>78</v>
      </c>
    </row>
    <row r="44" spans="1:2" x14ac:dyDescent="0.15">
      <c r="A44" s="62" t="s">
        <v>79</v>
      </c>
      <c r="B44" s="89" t="s">
        <v>80</v>
      </c>
    </row>
    <row r="45" spans="1:2" x14ac:dyDescent="0.15">
      <c r="A45" s="62" t="s">
        <v>81</v>
      </c>
      <c r="B45" s="89" t="s">
        <v>82</v>
      </c>
    </row>
    <row r="46" spans="1:2" x14ac:dyDescent="0.15">
      <c r="A46" s="62" t="s">
        <v>83</v>
      </c>
      <c r="B46" s="89" t="s">
        <v>84</v>
      </c>
    </row>
    <row r="47" spans="1:2" x14ac:dyDescent="0.15">
      <c r="A47" s="62" t="s">
        <v>85</v>
      </c>
      <c r="B47" s="89" t="s">
        <v>86</v>
      </c>
    </row>
    <row r="48" spans="1:2" x14ac:dyDescent="0.15">
      <c r="A48" s="62" t="s">
        <v>87</v>
      </c>
      <c r="B48" s="89" t="s">
        <v>88</v>
      </c>
    </row>
    <row r="49" spans="1:2" x14ac:dyDescent="0.15">
      <c r="A49" s="62" t="s">
        <v>89</v>
      </c>
      <c r="B49" s="89" t="s">
        <v>90</v>
      </c>
    </row>
    <row r="50" spans="1:2" x14ac:dyDescent="0.15">
      <c r="A50" s="62" t="s">
        <v>91</v>
      </c>
      <c r="B50" s="89" t="s">
        <v>92</v>
      </c>
    </row>
    <row r="51" spans="1:2" x14ac:dyDescent="0.15">
      <c r="A51" s="89" t="s">
        <v>0</v>
      </c>
      <c r="B51" s="89" t="s">
        <v>93</v>
      </c>
    </row>
  </sheetData>
  <mergeCells count="1">
    <mergeCell ref="A3:B3"/>
  </mergeCells>
  <phoneticPr fontId="3"/>
  <dataValidations count="1">
    <dataValidation type="list" allowBlank="1" showInputMessage="1" showErrorMessage="1" sqref="A3:B3" xr:uid="{00000000-0002-0000-0000-000000000000}">
      <formula1>$A$5:$A$51</formula1>
    </dataValidation>
  </dataValidation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5">
    <tabColor indexed="15"/>
    <pageSetUpPr fitToPage="1"/>
  </sheetPr>
  <dimension ref="A1:HW106"/>
  <sheetViews>
    <sheetView view="pageBreakPreview" zoomScaleNormal="90" zoomScaleSheetLayoutView="100" workbookViewId="0">
      <pane xSplit="2" ySplit="5" topLeftCell="GC6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4" width="13.6640625" style="174" customWidth="1"/>
    <col min="75" max="75" width="5.6640625" style="174" customWidth="1"/>
    <col min="76" max="135" width="13.6640625" style="174" customWidth="1"/>
    <col min="136" max="136" width="13.109375" style="174" customWidth="1"/>
    <col min="137" max="141" width="13.6640625" style="174" customWidth="1"/>
    <col min="142" max="142" width="3.6640625" style="174" customWidth="1"/>
    <col min="143" max="165" width="13.6640625" style="174" customWidth="1"/>
    <col min="166" max="166" width="12.33203125" style="174" bestFit="1" customWidth="1"/>
    <col min="167" max="170" width="13.6640625" style="174" customWidth="1"/>
    <col min="171" max="171" width="10.6640625" style="174" customWidth="1"/>
    <col min="172" max="178" width="8.6640625" style="174" customWidth="1"/>
    <col min="179" max="179" width="10.6640625" style="174" customWidth="1"/>
    <col min="180" max="180" width="13.6640625" style="174" customWidth="1"/>
    <col min="181" max="181" width="10.6640625" style="174" customWidth="1"/>
    <col min="182" max="187" width="13.6640625" style="174" customWidth="1"/>
    <col min="188" max="188" width="10.6640625" style="174" customWidth="1"/>
    <col min="189" max="191" width="9.6640625" style="174" customWidth="1"/>
    <col min="192" max="192" width="10.6640625" style="62" customWidth="1"/>
    <col min="193" max="193" width="8.5546875" style="174" bestFit="1" customWidth="1"/>
    <col min="194" max="194" width="10.33203125" style="174" bestFit="1" customWidth="1"/>
    <col min="195" max="195" width="8.5546875" style="174" bestFit="1" customWidth="1"/>
    <col min="196" max="196" width="9.6640625" style="174" bestFit="1" customWidth="1"/>
    <col min="197" max="197" width="10.33203125" style="174" bestFit="1" customWidth="1"/>
    <col min="198" max="198" width="8.5546875" style="174" bestFit="1" customWidth="1"/>
    <col min="199" max="199" width="11.88671875" style="174" bestFit="1" customWidth="1"/>
    <col min="200" max="200" width="10.33203125" style="174" bestFit="1" customWidth="1"/>
    <col min="201" max="201" width="8.5546875" style="174" bestFit="1" customWidth="1"/>
    <col min="202" max="202" width="9.6640625" style="174" bestFit="1" customWidth="1"/>
    <col min="203" max="203" width="10.33203125" style="174" bestFit="1" customWidth="1"/>
    <col min="204" max="231" width="13.6640625" style="174" customWidth="1"/>
  </cols>
  <sheetData>
    <row r="1" spans="2:231" x14ac:dyDescent="0.15">
      <c r="B1" s="98">
        <v>1</v>
      </c>
      <c r="C1" s="98">
        <v>2</v>
      </c>
      <c r="D1" s="98">
        <v>3</v>
      </c>
      <c r="E1" s="98">
        <v>4</v>
      </c>
      <c r="F1" s="98">
        <v>5</v>
      </c>
      <c r="G1" s="98">
        <v>6</v>
      </c>
      <c r="H1" s="98">
        <v>7</v>
      </c>
      <c r="I1" s="98">
        <v>8</v>
      </c>
      <c r="J1" s="98">
        <v>9</v>
      </c>
      <c r="K1" s="98">
        <v>10</v>
      </c>
      <c r="L1" s="98">
        <v>11</v>
      </c>
      <c r="M1" s="98">
        <v>12</v>
      </c>
      <c r="N1" s="98">
        <v>13</v>
      </c>
      <c r="O1" s="98">
        <v>14</v>
      </c>
      <c r="P1" s="98">
        <v>15</v>
      </c>
      <c r="Q1" s="98">
        <v>16</v>
      </c>
      <c r="R1" s="98">
        <v>17</v>
      </c>
      <c r="S1" s="98">
        <v>18</v>
      </c>
      <c r="T1" s="98">
        <v>19</v>
      </c>
      <c r="U1" s="98">
        <v>20</v>
      </c>
      <c r="V1" s="98">
        <v>21</v>
      </c>
      <c r="W1" s="98">
        <v>22</v>
      </c>
      <c r="X1" s="98">
        <v>23</v>
      </c>
      <c r="Y1" s="98">
        <v>24</v>
      </c>
      <c r="Z1" s="98">
        <v>25</v>
      </c>
      <c r="AA1" s="98">
        <v>26</v>
      </c>
      <c r="AB1" s="98">
        <v>27</v>
      </c>
      <c r="AC1" s="98">
        <v>28</v>
      </c>
      <c r="AD1" s="98">
        <v>29</v>
      </c>
      <c r="AE1" s="98">
        <v>30</v>
      </c>
      <c r="AF1" s="98">
        <v>31</v>
      </c>
      <c r="AG1" s="98">
        <v>32</v>
      </c>
      <c r="AH1" s="98">
        <v>33</v>
      </c>
      <c r="AI1" s="98">
        <v>34</v>
      </c>
      <c r="AJ1" s="98">
        <v>35</v>
      </c>
      <c r="AK1" s="98">
        <v>36</v>
      </c>
      <c r="AL1" s="98">
        <v>37</v>
      </c>
      <c r="AM1" s="98">
        <v>38</v>
      </c>
      <c r="AN1" s="98">
        <v>39</v>
      </c>
      <c r="AO1" s="98">
        <v>40</v>
      </c>
      <c r="AP1" s="98">
        <v>41</v>
      </c>
      <c r="AQ1" s="98">
        <v>42</v>
      </c>
      <c r="AR1" s="98">
        <v>43</v>
      </c>
      <c r="AS1" s="98">
        <v>44</v>
      </c>
      <c r="AT1" s="98">
        <v>45</v>
      </c>
      <c r="AU1" s="98">
        <v>46</v>
      </c>
      <c r="AV1" s="98">
        <v>47</v>
      </c>
      <c r="AW1" s="98">
        <v>48</v>
      </c>
      <c r="AX1" s="98">
        <v>49</v>
      </c>
      <c r="AY1" s="98">
        <v>50</v>
      </c>
      <c r="AZ1" s="98">
        <v>51</v>
      </c>
      <c r="BA1" s="98">
        <v>52</v>
      </c>
      <c r="BB1" s="98">
        <v>53</v>
      </c>
      <c r="BC1" s="98">
        <v>54</v>
      </c>
      <c r="BD1" s="98">
        <v>55</v>
      </c>
      <c r="BE1" s="98">
        <v>56</v>
      </c>
      <c r="BF1" s="98">
        <v>57</v>
      </c>
      <c r="BG1" s="98">
        <v>58</v>
      </c>
      <c r="BH1" s="98">
        <v>59</v>
      </c>
      <c r="BI1" s="98">
        <v>60</v>
      </c>
      <c r="BJ1" s="98">
        <v>61</v>
      </c>
      <c r="BK1" s="98">
        <v>62</v>
      </c>
      <c r="BL1" s="98">
        <v>63</v>
      </c>
      <c r="BM1" s="98">
        <v>64</v>
      </c>
      <c r="BN1" s="98">
        <v>65</v>
      </c>
      <c r="BO1" s="98">
        <v>66</v>
      </c>
      <c r="BP1" s="98">
        <v>67</v>
      </c>
      <c r="BQ1" s="98">
        <v>68</v>
      </c>
      <c r="BR1" s="98">
        <v>69</v>
      </c>
      <c r="BS1" s="98">
        <v>70</v>
      </c>
      <c r="BT1" s="98">
        <v>71</v>
      </c>
      <c r="BU1" s="98">
        <v>72</v>
      </c>
      <c r="BV1" s="98">
        <v>73</v>
      </c>
      <c r="BW1" s="98">
        <v>74</v>
      </c>
      <c r="BX1" s="98">
        <v>75</v>
      </c>
      <c r="BY1" s="98">
        <v>76</v>
      </c>
      <c r="BZ1" s="98">
        <v>77</v>
      </c>
      <c r="CA1" s="98">
        <v>78</v>
      </c>
      <c r="CB1" s="98">
        <v>79</v>
      </c>
      <c r="CC1" s="98">
        <v>80</v>
      </c>
      <c r="CD1" s="98">
        <v>81</v>
      </c>
      <c r="CE1" s="98">
        <v>82</v>
      </c>
      <c r="CF1" s="98">
        <v>83</v>
      </c>
      <c r="CG1" s="98">
        <v>84</v>
      </c>
      <c r="CH1" s="98">
        <v>85</v>
      </c>
      <c r="CI1" s="98">
        <v>86</v>
      </c>
      <c r="CJ1" s="98">
        <v>87</v>
      </c>
      <c r="CK1" s="98">
        <v>88</v>
      </c>
      <c r="CL1" s="98">
        <v>89</v>
      </c>
      <c r="CM1" s="98">
        <v>90</v>
      </c>
      <c r="CN1" s="98">
        <v>91</v>
      </c>
      <c r="CO1" s="98">
        <v>92</v>
      </c>
      <c r="CP1" s="98">
        <v>93</v>
      </c>
      <c r="CQ1" s="98">
        <v>94</v>
      </c>
      <c r="CR1" s="98">
        <v>95</v>
      </c>
      <c r="CS1" s="98">
        <v>96</v>
      </c>
      <c r="CT1" s="98">
        <v>97</v>
      </c>
      <c r="CU1" s="98">
        <v>98</v>
      </c>
      <c r="CV1" s="98">
        <v>99</v>
      </c>
      <c r="CW1" s="98">
        <v>100</v>
      </c>
      <c r="CX1" s="98">
        <v>101</v>
      </c>
      <c r="CY1" s="98">
        <v>102</v>
      </c>
      <c r="CZ1" s="98">
        <v>103</v>
      </c>
      <c r="DA1" s="98">
        <v>104</v>
      </c>
      <c r="DB1" s="98">
        <v>105</v>
      </c>
      <c r="DC1" s="98">
        <v>106</v>
      </c>
      <c r="DD1" s="98">
        <v>107</v>
      </c>
      <c r="DE1" s="98">
        <v>108</v>
      </c>
      <c r="DF1" s="98">
        <v>109</v>
      </c>
      <c r="DG1" s="98">
        <v>110</v>
      </c>
      <c r="DH1" s="98">
        <v>111</v>
      </c>
      <c r="DI1" s="98">
        <v>112</v>
      </c>
      <c r="DJ1" s="98">
        <v>113</v>
      </c>
      <c r="DK1" s="98">
        <v>114</v>
      </c>
      <c r="DL1" s="98">
        <v>115</v>
      </c>
      <c r="DM1" s="98">
        <v>116</v>
      </c>
      <c r="DN1" s="98">
        <v>117</v>
      </c>
      <c r="DO1" s="98">
        <v>118</v>
      </c>
      <c r="DP1" s="98">
        <v>119</v>
      </c>
      <c r="DQ1" s="98">
        <v>120</v>
      </c>
      <c r="DR1" s="98">
        <v>121</v>
      </c>
      <c r="DS1" s="98">
        <v>122</v>
      </c>
      <c r="DT1" s="98">
        <v>123</v>
      </c>
      <c r="DU1" s="98">
        <v>124</v>
      </c>
      <c r="DV1" s="98">
        <v>125</v>
      </c>
      <c r="DW1" s="98">
        <v>126</v>
      </c>
      <c r="DX1" s="98">
        <v>127</v>
      </c>
      <c r="DY1" s="98">
        <v>128</v>
      </c>
      <c r="DZ1" s="98">
        <v>129</v>
      </c>
      <c r="EA1" s="98">
        <v>130</v>
      </c>
      <c r="EB1" s="98">
        <v>131</v>
      </c>
      <c r="EC1" s="98">
        <v>132</v>
      </c>
      <c r="ED1" s="98">
        <v>133</v>
      </c>
      <c r="EE1" s="98">
        <v>134</v>
      </c>
      <c r="EF1" s="98">
        <v>135</v>
      </c>
      <c r="EG1" s="98">
        <v>136</v>
      </c>
      <c r="EH1" s="98">
        <v>137</v>
      </c>
      <c r="EI1" s="98">
        <v>138</v>
      </c>
      <c r="EJ1" s="98">
        <v>139</v>
      </c>
      <c r="EK1" s="98">
        <v>140</v>
      </c>
      <c r="EL1" s="98">
        <v>141</v>
      </c>
      <c r="EM1" s="98">
        <v>142</v>
      </c>
      <c r="EN1" s="98">
        <v>143</v>
      </c>
      <c r="EO1" s="98">
        <v>144</v>
      </c>
      <c r="EP1" s="98">
        <v>145</v>
      </c>
      <c r="EQ1" s="98">
        <v>146</v>
      </c>
      <c r="ER1" s="98">
        <v>147</v>
      </c>
      <c r="ES1" s="98">
        <v>148</v>
      </c>
      <c r="ET1" s="98">
        <v>149</v>
      </c>
      <c r="EU1" s="98">
        <v>150</v>
      </c>
      <c r="EV1" s="98">
        <v>151</v>
      </c>
      <c r="EW1" s="98">
        <v>152</v>
      </c>
      <c r="EX1" s="98">
        <v>153</v>
      </c>
      <c r="EY1" s="98">
        <v>154</v>
      </c>
      <c r="EZ1" s="98">
        <v>155</v>
      </c>
      <c r="FA1" s="98">
        <v>156</v>
      </c>
      <c r="FB1" s="98">
        <v>157</v>
      </c>
      <c r="FC1" s="98">
        <v>158</v>
      </c>
      <c r="FD1" s="98">
        <v>159</v>
      </c>
      <c r="FE1" s="98">
        <v>160</v>
      </c>
      <c r="FF1" s="98">
        <v>161</v>
      </c>
      <c r="FG1" s="98">
        <v>162</v>
      </c>
      <c r="FH1" s="98">
        <v>163</v>
      </c>
      <c r="FI1" s="98">
        <v>164</v>
      </c>
      <c r="FJ1" s="98">
        <v>165</v>
      </c>
      <c r="FK1" s="98">
        <v>166</v>
      </c>
      <c r="FL1" s="98">
        <v>167</v>
      </c>
      <c r="FM1" s="98">
        <v>168</v>
      </c>
      <c r="FN1" s="98">
        <v>169</v>
      </c>
      <c r="FO1" s="98">
        <v>170</v>
      </c>
      <c r="FP1" s="98">
        <v>171</v>
      </c>
      <c r="FQ1" s="98">
        <v>172</v>
      </c>
      <c r="FR1" s="98">
        <v>173</v>
      </c>
      <c r="FS1" s="98">
        <v>174</v>
      </c>
      <c r="FT1" s="98">
        <v>175</v>
      </c>
      <c r="FU1" s="98">
        <v>176</v>
      </c>
      <c r="FV1" s="98">
        <v>177</v>
      </c>
      <c r="FW1" s="98">
        <v>178</v>
      </c>
      <c r="FX1" s="98">
        <v>179</v>
      </c>
      <c r="FY1" s="98">
        <v>180</v>
      </c>
      <c r="FZ1" s="98">
        <v>181</v>
      </c>
      <c r="GA1" s="98">
        <v>182</v>
      </c>
      <c r="GB1" s="98">
        <v>183</v>
      </c>
      <c r="GC1" s="98">
        <v>184</v>
      </c>
      <c r="GD1" s="98">
        <v>185</v>
      </c>
      <c r="GE1" s="98">
        <v>186</v>
      </c>
      <c r="GF1" s="98">
        <v>187</v>
      </c>
      <c r="GG1" s="98">
        <v>188</v>
      </c>
      <c r="GH1" s="98">
        <v>189</v>
      </c>
      <c r="GI1" s="98">
        <v>190</v>
      </c>
      <c r="GJ1" s="125">
        <v>191</v>
      </c>
      <c r="GK1" s="98">
        <v>192</v>
      </c>
      <c r="GL1" s="98">
        <v>193</v>
      </c>
      <c r="GM1" s="98">
        <v>194</v>
      </c>
      <c r="GN1" s="98">
        <v>195</v>
      </c>
      <c r="GO1" s="98">
        <v>196</v>
      </c>
      <c r="GP1" s="98">
        <v>197</v>
      </c>
      <c r="GQ1" s="98">
        <v>198</v>
      </c>
      <c r="GR1" s="98">
        <v>199</v>
      </c>
      <c r="GS1" s="98">
        <v>200</v>
      </c>
      <c r="GT1" s="98">
        <v>201</v>
      </c>
      <c r="GU1" s="98">
        <v>202</v>
      </c>
    </row>
    <row r="2" spans="2:231" x14ac:dyDescent="0.15">
      <c r="C2" s="93" t="s">
        <v>338</v>
      </c>
      <c r="D2" s="94"/>
      <c r="E2" s="93" t="s">
        <v>339</v>
      </c>
      <c r="F2" s="93" t="s">
        <v>340</v>
      </c>
      <c r="G2" s="94"/>
      <c r="H2" s="93" t="s">
        <v>341</v>
      </c>
      <c r="I2" s="93" t="s">
        <v>342</v>
      </c>
      <c r="J2" s="93" t="s">
        <v>343</v>
      </c>
      <c r="K2" s="93" t="s">
        <v>344</v>
      </c>
      <c r="L2" s="93" t="s">
        <v>345</v>
      </c>
      <c r="M2" s="93" t="s">
        <v>346</v>
      </c>
      <c r="N2" s="93" t="s">
        <v>347</v>
      </c>
      <c r="O2" s="93" t="s">
        <v>348</v>
      </c>
      <c r="P2" s="93" t="s">
        <v>349</v>
      </c>
      <c r="Q2" s="93" t="s">
        <v>350</v>
      </c>
      <c r="R2" s="93" t="s">
        <v>351</v>
      </c>
      <c r="S2" s="93" t="s">
        <v>352</v>
      </c>
      <c r="T2" s="95"/>
      <c r="U2" s="93" t="s">
        <v>354</v>
      </c>
      <c r="V2" s="93" t="s">
        <v>355</v>
      </c>
      <c r="W2" s="93" t="s">
        <v>664</v>
      </c>
      <c r="X2" s="96" t="s">
        <v>357</v>
      </c>
      <c r="Y2" s="96" t="s">
        <v>653</v>
      </c>
      <c r="Z2" s="96" t="s">
        <v>358</v>
      </c>
      <c r="AA2" s="96" t="s">
        <v>359</v>
      </c>
      <c r="AB2" s="96" t="s">
        <v>361</v>
      </c>
      <c r="AC2" s="96" t="s">
        <v>654</v>
      </c>
      <c r="AD2" s="93" t="s">
        <v>364</v>
      </c>
      <c r="AE2" s="93" t="s">
        <v>666</v>
      </c>
      <c r="AF2" s="93" t="s">
        <v>365</v>
      </c>
      <c r="AG2" s="96" t="s">
        <v>684</v>
      </c>
      <c r="AH2" s="96" t="s">
        <v>667</v>
      </c>
      <c r="AI2" s="89"/>
      <c r="AJ2" s="96" t="s">
        <v>685</v>
      </c>
      <c r="AK2" s="96" t="s">
        <v>686</v>
      </c>
      <c r="AL2" s="96" t="s">
        <v>370</v>
      </c>
      <c r="AM2" s="29"/>
      <c r="AN2" s="96" t="s">
        <v>372</v>
      </c>
      <c r="AO2" s="96" t="s">
        <v>670</v>
      </c>
      <c r="AP2" s="96" t="s">
        <v>352</v>
      </c>
      <c r="AQ2" s="96" t="s">
        <v>671</v>
      </c>
      <c r="AR2" s="96" t="s">
        <v>687</v>
      </c>
      <c r="AS2" s="96" t="s">
        <v>672</v>
      </c>
      <c r="AT2" s="96" t="s">
        <v>709</v>
      </c>
      <c r="AU2" s="96" t="s">
        <v>376</v>
      </c>
      <c r="AV2" s="96" t="s">
        <v>377</v>
      </c>
      <c r="AW2" s="96" t="s">
        <v>378</v>
      </c>
      <c r="AX2" s="96" t="s">
        <v>688</v>
      </c>
      <c r="AY2" s="96" t="s">
        <v>380</v>
      </c>
      <c r="AZ2" s="96" t="s">
        <v>381</v>
      </c>
      <c r="BA2" s="96" t="s">
        <v>710</v>
      </c>
      <c r="BB2" s="96" t="s">
        <v>690</v>
      </c>
      <c r="BC2" s="96" t="s">
        <v>711</v>
      </c>
      <c r="BD2" s="96" t="s">
        <v>712</v>
      </c>
      <c r="BE2" s="96" t="s">
        <v>386</v>
      </c>
      <c r="BF2" s="96" t="s">
        <v>387</v>
      </c>
      <c r="BG2" s="96" t="s">
        <v>388</v>
      </c>
      <c r="BH2" s="96" t="s">
        <v>389</v>
      </c>
      <c r="BI2" s="96" t="s">
        <v>385</v>
      </c>
      <c r="BJ2" s="96" t="s">
        <v>390</v>
      </c>
      <c r="BK2" s="96" t="s">
        <v>693</v>
      </c>
      <c r="BL2" s="96" t="s">
        <v>713</v>
      </c>
      <c r="BM2" s="96" t="s">
        <v>393</v>
      </c>
      <c r="BN2" s="96" t="s">
        <v>714</v>
      </c>
      <c r="BO2" s="96" t="s">
        <v>715</v>
      </c>
      <c r="BP2" s="29"/>
      <c r="BQ2" s="29"/>
      <c r="BR2" s="96" t="s">
        <v>716</v>
      </c>
      <c r="BS2" s="96" t="s">
        <v>655</v>
      </c>
      <c r="BT2" s="96" t="s">
        <v>679</v>
      </c>
      <c r="BU2" s="96" t="s">
        <v>717</v>
      </c>
      <c r="BV2" s="96" t="s">
        <v>718</v>
      </c>
      <c r="BW2" s="89"/>
      <c r="BX2" s="96" t="s">
        <v>402</v>
      </c>
      <c r="BY2" s="96" t="s">
        <v>403</v>
      </c>
      <c r="BZ2" s="96" t="s">
        <v>719</v>
      </c>
      <c r="CA2" s="96" t="s">
        <v>405</v>
      </c>
      <c r="CB2" s="96" t="s">
        <v>406</v>
      </c>
      <c r="CC2" s="96" t="s">
        <v>407</v>
      </c>
      <c r="CD2" s="96" t="s">
        <v>408</v>
      </c>
      <c r="CE2" s="96" t="s">
        <v>409</v>
      </c>
      <c r="CF2" s="96" t="s">
        <v>410</v>
      </c>
      <c r="CG2" s="96" t="s">
        <v>411</v>
      </c>
      <c r="CH2" s="96" t="s">
        <v>412</v>
      </c>
      <c r="CI2" s="96" t="s">
        <v>413</v>
      </c>
      <c r="CJ2" s="96" t="s">
        <v>414</v>
      </c>
      <c r="CK2" s="81"/>
      <c r="CL2" s="96" t="s">
        <v>415</v>
      </c>
      <c r="CM2" s="96" t="s">
        <v>720</v>
      </c>
      <c r="CN2" s="96" t="s">
        <v>417</v>
      </c>
      <c r="CO2" s="96" t="s">
        <v>721</v>
      </c>
      <c r="CP2" s="96" t="s">
        <v>419</v>
      </c>
      <c r="CQ2" s="96" t="s">
        <v>420</v>
      </c>
      <c r="CR2" s="96" t="s">
        <v>421</v>
      </c>
      <c r="CS2" s="96" t="s">
        <v>422</v>
      </c>
      <c r="CT2" s="96" t="s">
        <v>423</v>
      </c>
      <c r="CU2" s="28"/>
      <c r="CV2" s="96" t="s">
        <v>424</v>
      </c>
      <c r="CW2" s="96" t="s">
        <v>425</v>
      </c>
      <c r="CX2" s="89"/>
      <c r="CY2" s="96" t="s">
        <v>426</v>
      </c>
      <c r="CZ2" s="96" t="s">
        <v>427</v>
      </c>
      <c r="DA2" s="89"/>
      <c r="DB2" s="96" t="s">
        <v>428</v>
      </c>
      <c r="DC2" s="96" t="s">
        <v>429</v>
      </c>
      <c r="DD2" s="96" t="s">
        <v>430</v>
      </c>
      <c r="DE2" s="96" t="s">
        <v>431</v>
      </c>
      <c r="DF2" s="96" t="s">
        <v>432</v>
      </c>
      <c r="DG2" s="96" t="s">
        <v>433</v>
      </c>
      <c r="DH2" s="96" t="s">
        <v>434</v>
      </c>
      <c r="DI2" s="96" t="s">
        <v>435</v>
      </c>
      <c r="DJ2" s="96" t="s">
        <v>436</v>
      </c>
      <c r="DK2" s="96" t="s">
        <v>437</v>
      </c>
      <c r="DL2" s="96" t="s">
        <v>438</v>
      </c>
      <c r="DM2" s="96" t="s">
        <v>439</v>
      </c>
      <c r="DN2" s="96" t="s">
        <v>440</v>
      </c>
      <c r="DO2" s="96" t="s">
        <v>441</v>
      </c>
      <c r="DP2" s="96" t="s">
        <v>442</v>
      </c>
      <c r="DQ2" s="96" t="s">
        <v>443</v>
      </c>
      <c r="DR2" s="96" t="s">
        <v>444</v>
      </c>
      <c r="DS2" s="96" t="s">
        <v>445</v>
      </c>
      <c r="DT2" s="96" t="s">
        <v>446</v>
      </c>
      <c r="DU2" s="96" t="s">
        <v>447</v>
      </c>
      <c r="DV2" s="96" t="s">
        <v>448</v>
      </c>
      <c r="DW2" s="89"/>
      <c r="DX2" s="96" t="s">
        <v>449</v>
      </c>
      <c r="DY2" s="173" t="s">
        <v>450</v>
      </c>
      <c r="DZ2" s="96" t="s">
        <v>451</v>
      </c>
      <c r="EA2" s="96" t="s">
        <v>452</v>
      </c>
      <c r="EB2" s="96" t="s">
        <v>453</v>
      </c>
      <c r="EC2" s="96" t="s">
        <v>454</v>
      </c>
      <c r="ED2" s="96" t="s">
        <v>455</v>
      </c>
      <c r="EE2" s="96" t="s">
        <v>456</v>
      </c>
      <c r="EF2" s="89"/>
      <c r="EG2" s="96" t="s">
        <v>457</v>
      </c>
      <c r="EH2" s="96" t="s">
        <v>458</v>
      </c>
      <c r="EI2" s="96" t="s">
        <v>459</v>
      </c>
      <c r="EJ2" s="96" t="s">
        <v>460</v>
      </c>
      <c r="EK2" s="96" t="s">
        <v>461</v>
      </c>
      <c r="EL2" s="89"/>
      <c r="EM2" s="89"/>
      <c r="EN2" s="97" t="s">
        <v>699</v>
      </c>
      <c r="EO2" s="96" t="s">
        <v>464</v>
      </c>
      <c r="EP2" s="96" t="s">
        <v>465</v>
      </c>
      <c r="EQ2" s="89"/>
      <c r="ER2" s="96" t="s">
        <v>466</v>
      </c>
      <c r="ES2" s="96" t="s">
        <v>467</v>
      </c>
      <c r="ET2" s="96" t="s">
        <v>468</v>
      </c>
      <c r="EU2" s="96" t="s">
        <v>469</v>
      </c>
      <c r="EV2" s="96" t="s">
        <v>470</v>
      </c>
      <c r="EW2" s="96" t="s">
        <v>471</v>
      </c>
      <c r="EX2" s="28"/>
      <c r="EY2" s="96" t="s">
        <v>472</v>
      </c>
      <c r="EZ2" s="96" t="s">
        <v>473</v>
      </c>
      <c r="FA2" s="96" t="s">
        <v>474</v>
      </c>
      <c r="FB2" s="96" t="s">
        <v>475</v>
      </c>
      <c r="FC2" s="96" t="s">
        <v>476</v>
      </c>
      <c r="FD2" s="96" t="s">
        <v>477</v>
      </c>
      <c r="FE2" s="96" t="s">
        <v>478</v>
      </c>
      <c r="FF2" s="96" t="s">
        <v>479</v>
      </c>
      <c r="FG2" s="96" t="s">
        <v>480</v>
      </c>
      <c r="FH2" s="89"/>
      <c r="FI2" s="96" t="s">
        <v>481</v>
      </c>
      <c r="FJ2" s="89"/>
      <c r="FK2" s="80" t="s">
        <v>482</v>
      </c>
      <c r="FL2" s="172" t="s">
        <v>483</v>
      </c>
      <c r="FM2" s="172" t="s">
        <v>484</v>
      </c>
      <c r="FN2" s="172" t="s">
        <v>485</v>
      </c>
      <c r="FO2" s="80" t="s">
        <v>700</v>
      </c>
      <c r="FP2" s="564" t="s">
        <v>701</v>
      </c>
      <c r="FQ2" s="561"/>
      <c r="FR2" s="561"/>
      <c r="FS2" s="561"/>
      <c r="FT2" s="561"/>
      <c r="FU2" s="561"/>
      <c r="FV2" s="561"/>
      <c r="FW2" s="89"/>
      <c r="FX2" s="96" t="s">
        <v>722</v>
      </c>
      <c r="FY2" s="89"/>
      <c r="FZ2" s="96" t="s">
        <v>490</v>
      </c>
      <c r="GA2" s="96" t="s">
        <v>491</v>
      </c>
      <c r="GB2" s="96" t="s">
        <v>492</v>
      </c>
      <c r="GC2" s="96" t="s">
        <v>493</v>
      </c>
      <c r="GD2" s="96" t="s">
        <v>494</v>
      </c>
      <c r="GE2" s="46" t="s">
        <v>702</v>
      </c>
      <c r="GF2" s="89"/>
      <c r="GG2" s="563" t="s">
        <v>703</v>
      </c>
      <c r="GH2" s="561"/>
      <c r="GI2" s="561"/>
      <c r="GJ2" s="121" t="s">
        <v>704</v>
      </c>
      <c r="GK2" s="563" t="s">
        <v>705</v>
      </c>
      <c r="GL2" s="561"/>
      <c r="GM2" s="561"/>
      <c r="GN2" s="561"/>
      <c r="GO2" s="561"/>
      <c r="GP2" s="561"/>
      <c r="GQ2" s="561"/>
      <c r="GR2" s="561"/>
      <c r="GS2" s="561"/>
      <c r="GT2" s="561"/>
      <c r="GU2" s="561"/>
    </row>
    <row r="3" spans="2:23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92"/>
      <c r="AC3" s="92" t="s">
        <v>159</v>
      </c>
      <c r="AD3" s="30" t="s">
        <v>160</v>
      </c>
      <c r="AE3" s="30"/>
      <c r="AF3" s="30"/>
      <c r="AG3" s="30" t="s">
        <v>500</v>
      </c>
      <c r="AH3" s="30" t="s">
        <v>164</v>
      </c>
      <c r="AI3" s="30" t="s">
        <v>165</v>
      </c>
      <c r="AJ3" s="30"/>
      <c r="AK3" s="30"/>
      <c r="AL3" s="30" t="s">
        <v>166</v>
      </c>
      <c r="AM3" s="30"/>
      <c r="AN3" s="30"/>
      <c r="AO3" s="30"/>
      <c r="AP3" s="30"/>
      <c r="AQ3" s="30"/>
      <c r="AR3" s="30"/>
      <c r="AS3" s="30"/>
      <c r="AT3" s="30" t="s">
        <v>501</v>
      </c>
      <c r="AU3" s="30" t="s">
        <v>172</v>
      </c>
      <c r="AV3" s="30"/>
      <c r="AW3" s="30"/>
      <c r="AX3" s="30"/>
      <c r="AY3" s="30"/>
      <c r="AZ3" s="30"/>
      <c r="BA3" s="30" t="s">
        <v>176</v>
      </c>
      <c r="BB3" s="30"/>
      <c r="BC3" s="30" t="s">
        <v>502</v>
      </c>
      <c r="BD3" s="30" t="s">
        <v>503</v>
      </c>
      <c r="BE3" s="30"/>
      <c r="BF3" s="30"/>
      <c r="BG3" s="30"/>
      <c r="BH3" s="30"/>
      <c r="BI3" s="30" t="s">
        <v>504</v>
      </c>
      <c r="BJ3" s="30"/>
      <c r="BK3" s="30" t="s">
        <v>505</v>
      </c>
      <c r="BL3" s="30"/>
      <c r="BM3" s="30"/>
      <c r="BN3" s="30"/>
      <c r="BO3" s="30" t="s">
        <v>307</v>
      </c>
      <c r="BP3" s="30"/>
      <c r="BQ3" s="30"/>
      <c r="BR3" s="30"/>
      <c r="BS3" s="30"/>
      <c r="BT3" s="30"/>
      <c r="BU3" s="30"/>
      <c r="BV3" s="30" t="s">
        <v>506</v>
      </c>
      <c r="BW3" s="89"/>
      <c r="BX3" s="30" t="s">
        <v>507</v>
      </c>
      <c r="BY3" s="30"/>
      <c r="BZ3" s="30"/>
      <c r="CA3" s="30"/>
      <c r="CB3" s="30" t="s">
        <v>508</v>
      </c>
      <c r="CC3" s="30"/>
      <c r="CD3" s="30"/>
      <c r="CE3" s="30"/>
      <c r="CF3" s="30"/>
      <c r="CG3" s="30"/>
      <c r="CH3" s="30"/>
      <c r="CI3" s="30" t="s">
        <v>509</v>
      </c>
      <c r="CJ3" s="30"/>
      <c r="CK3" s="82"/>
      <c r="CL3" s="30" t="s">
        <v>510</v>
      </c>
      <c r="CM3" s="30"/>
      <c r="CN3" s="30"/>
      <c r="CO3" s="30"/>
      <c r="CP3" s="30" t="s">
        <v>214</v>
      </c>
      <c r="CQ3" s="30" t="s">
        <v>215</v>
      </c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 t="s">
        <v>222</v>
      </c>
      <c r="DE3" s="30"/>
      <c r="DF3" s="30"/>
      <c r="DG3" s="30"/>
      <c r="DH3" s="30"/>
      <c r="DI3" s="30" t="s">
        <v>227</v>
      </c>
      <c r="DJ3" s="30" t="s">
        <v>311</v>
      </c>
      <c r="DK3" s="30"/>
      <c r="DL3" s="30"/>
      <c r="DM3" s="30"/>
      <c r="DN3" s="30" t="s">
        <v>232</v>
      </c>
      <c r="DO3" s="30"/>
      <c r="DP3" s="30"/>
      <c r="DQ3" s="30"/>
      <c r="DR3" s="30" t="s">
        <v>511</v>
      </c>
      <c r="DS3" s="30"/>
      <c r="DT3" s="30"/>
      <c r="DU3" s="30" t="s">
        <v>512</v>
      </c>
      <c r="DV3" s="30"/>
      <c r="DW3" s="30"/>
      <c r="DX3" s="30"/>
      <c r="DY3" s="30"/>
      <c r="DZ3" s="30"/>
      <c r="EA3" s="30"/>
      <c r="EB3" s="30"/>
      <c r="EC3" s="30"/>
      <c r="ED3" s="30" t="s">
        <v>513</v>
      </c>
      <c r="EE3" s="30" t="s">
        <v>514</v>
      </c>
      <c r="EF3" s="89"/>
      <c r="EG3" s="30" t="s">
        <v>515</v>
      </c>
      <c r="EH3" s="30" t="s">
        <v>516</v>
      </c>
      <c r="EI3" s="30" t="s">
        <v>517</v>
      </c>
      <c r="EJ3" s="30" t="s">
        <v>518</v>
      </c>
      <c r="EK3" s="30" t="s">
        <v>250</v>
      </c>
      <c r="EL3" s="89"/>
      <c r="EM3" s="30" t="s">
        <v>259</v>
      </c>
      <c r="EN3" s="30" t="s">
        <v>519</v>
      </c>
      <c r="EO3" s="30" t="s">
        <v>503</v>
      </c>
      <c r="EP3" s="30" t="s">
        <v>176</v>
      </c>
      <c r="EQ3" s="30" t="s">
        <v>520</v>
      </c>
      <c r="ER3" s="30" t="s">
        <v>506</v>
      </c>
      <c r="ES3" s="30" t="s">
        <v>521</v>
      </c>
      <c r="ET3" s="30" t="s">
        <v>507</v>
      </c>
      <c r="EU3" s="30" t="s">
        <v>522</v>
      </c>
      <c r="EV3" s="30" t="s">
        <v>508</v>
      </c>
      <c r="EW3" s="30" t="s">
        <v>509</v>
      </c>
      <c r="EX3" s="30" t="s">
        <v>279</v>
      </c>
      <c r="EY3" s="30" t="s">
        <v>304</v>
      </c>
      <c r="EZ3" s="30"/>
      <c r="FA3" s="30"/>
      <c r="FB3" s="30" t="s">
        <v>523</v>
      </c>
      <c r="FC3" s="30" t="s">
        <v>524</v>
      </c>
      <c r="FD3" s="30" t="s">
        <v>510</v>
      </c>
      <c r="FE3" s="30" t="s">
        <v>215</v>
      </c>
      <c r="FF3" s="30" t="s">
        <v>525</v>
      </c>
      <c r="FG3" s="30" t="s">
        <v>512</v>
      </c>
      <c r="FH3" s="30" t="s">
        <v>520</v>
      </c>
      <c r="FI3" s="30" t="s">
        <v>514</v>
      </c>
      <c r="FJ3" s="30" t="s">
        <v>517</v>
      </c>
      <c r="FK3" s="30" t="s">
        <v>526</v>
      </c>
      <c r="FL3" s="30" t="s">
        <v>527</v>
      </c>
      <c r="FM3" s="30" t="s">
        <v>290</v>
      </c>
      <c r="FN3" s="30" t="s">
        <v>291</v>
      </c>
      <c r="FO3" s="30" t="s">
        <v>293</v>
      </c>
      <c r="FP3" s="30" t="s">
        <v>528</v>
      </c>
      <c r="FQ3" s="89"/>
      <c r="FR3" s="89"/>
      <c r="FS3" s="89"/>
      <c r="FT3" s="89"/>
      <c r="FU3" s="89"/>
      <c r="FV3" s="89"/>
      <c r="FW3" s="30" t="s">
        <v>529</v>
      </c>
      <c r="FX3" s="30" t="s">
        <v>308</v>
      </c>
      <c r="FY3" s="30" t="s">
        <v>530</v>
      </c>
      <c r="FZ3" s="30" t="s">
        <v>312</v>
      </c>
      <c r="GA3" s="89"/>
      <c r="GB3" s="89"/>
      <c r="GC3" s="89"/>
      <c r="GD3" s="89"/>
      <c r="GE3" s="30" t="s">
        <v>531</v>
      </c>
      <c r="GF3" s="30" t="s">
        <v>530</v>
      </c>
      <c r="GG3" s="30" t="s">
        <v>532</v>
      </c>
      <c r="GH3" s="89"/>
      <c r="GI3" s="89"/>
      <c r="GJ3" s="30" t="s">
        <v>706</v>
      </c>
      <c r="GK3" s="89" t="s">
        <v>534</v>
      </c>
      <c r="GN3" s="89" t="s">
        <v>535</v>
      </c>
      <c r="GQ3" s="89" t="s">
        <v>529</v>
      </c>
      <c r="GT3" s="89" t="s">
        <v>536</v>
      </c>
    </row>
    <row r="4" spans="2:23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 t="s">
        <v>548</v>
      </c>
      <c r="AC4" s="30"/>
      <c r="AD4" s="30"/>
      <c r="AE4" s="30" t="s">
        <v>161</v>
      </c>
      <c r="AF4" s="30" t="s">
        <v>162</v>
      </c>
      <c r="AG4" s="30" t="s">
        <v>550</v>
      </c>
      <c r="AH4" s="30"/>
      <c r="AI4" s="30"/>
      <c r="AJ4" s="30" t="s">
        <v>551</v>
      </c>
      <c r="AK4" s="30" t="s">
        <v>552</v>
      </c>
      <c r="AL4" s="30"/>
      <c r="AM4" s="30" t="s">
        <v>553</v>
      </c>
      <c r="AN4" s="30"/>
      <c r="AO4" s="30"/>
      <c r="AP4" s="30"/>
      <c r="AQ4" s="30" t="s">
        <v>554</v>
      </c>
      <c r="AR4" s="30" t="s">
        <v>222</v>
      </c>
      <c r="AS4" s="30" t="s">
        <v>227</v>
      </c>
      <c r="AT4" s="30" t="s">
        <v>555</v>
      </c>
      <c r="AU4" s="30"/>
      <c r="AV4" s="31" t="s">
        <v>173</v>
      </c>
      <c r="AW4" s="30"/>
      <c r="AX4" s="30"/>
      <c r="AY4" s="30" t="s">
        <v>175</v>
      </c>
      <c r="AZ4" s="30"/>
      <c r="BA4" s="30"/>
      <c r="BB4" s="30" t="s">
        <v>556</v>
      </c>
      <c r="BC4" s="30"/>
      <c r="BD4" s="30"/>
      <c r="BE4" s="30" t="s">
        <v>557</v>
      </c>
      <c r="BF4" s="30" t="s">
        <v>558</v>
      </c>
      <c r="BG4" s="30" t="s">
        <v>559</v>
      </c>
      <c r="BH4" s="30" t="s">
        <v>560</v>
      </c>
      <c r="BI4" s="30"/>
      <c r="BJ4" s="30" t="s">
        <v>561</v>
      </c>
      <c r="BK4" s="30"/>
      <c r="BL4" s="30" t="s">
        <v>562</v>
      </c>
      <c r="BM4" s="30" t="s">
        <v>563</v>
      </c>
      <c r="BN4" s="30" t="s">
        <v>564</v>
      </c>
      <c r="BO4" s="30"/>
      <c r="BP4" s="30" t="s">
        <v>191</v>
      </c>
      <c r="BQ4" s="30" t="s">
        <v>273</v>
      </c>
      <c r="BR4" s="30"/>
      <c r="BS4" s="30" t="s">
        <v>565</v>
      </c>
      <c r="BT4" s="31"/>
      <c r="BU4" s="30" t="s">
        <v>193</v>
      </c>
      <c r="BV4" s="30"/>
      <c r="BW4" s="89"/>
      <c r="BX4" s="30"/>
      <c r="BY4" s="30" t="s">
        <v>522</v>
      </c>
      <c r="BZ4" s="30" t="s">
        <v>566</v>
      </c>
      <c r="CA4" s="30" t="s">
        <v>567</v>
      </c>
      <c r="CB4" s="30"/>
      <c r="CC4" s="30" t="s">
        <v>568</v>
      </c>
      <c r="CD4" s="30" t="s">
        <v>569</v>
      </c>
      <c r="CE4" s="30" t="s">
        <v>570</v>
      </c>
      <c r="CF4" s="30" t="s">
        <v>571</v>
      </c>
      <c r="CG4" s="30" t="s">
        <v>572</v>
      </c>
      <c r="CH4" s="30" t="s">
        <v>573</v>
      </c>
      <c r="CI4" s="30"/>
      <c r="CJ4" s="30" t="s">
        <v>574</v>
      </c>
      <c r="CK4" s="82" t="s">
        <v>575</v>
      </c>
      <c r="CL4" s="30"/>
      <c r="CM4" s="30" t="s">
        <v>576</v>
      </c>
      <c r="CN4" s="30" t="s">
        <v>577</v>
      </c>
      <c r="CO4" s="30" t="s">
        <v>578</v>
      </c>
      <c r="CP4" s="30"/>
      <c r="CQ4" s="30"/>
      <c r="CR4" s="30" t="s">
        <v>579</v>
      </c>
      <c r="CS4" s="30" t="s">
        <v>580</v>
      </c>
      <c r="CT4" s="30"/>
      <c r="CU4" s="30" t="s">
        <v>581</v>
      </c>
      <c r="CV4" s="30"/>
      <c r="CW4" s="30"/>
      <c r="CX4" s="30"/>
      <c r="CY4" s="30"/>
      <c r="CZ4" s="30"/>
      <c r="DA4" s="30"/>
      <c r="DB4" s="30"/>
      <c r="DC4" s="30"/>
      <c r="DD4" s="30"/>
      <c r="DE4" s="30" t="s">
        <v>582</v>
      </c>
      <c r="DF4" s="30" t="s">
        <v>583</v>
      </c>
      <c r="DG4" s="30" t="s">
        <v>584</v>
      </c>
      <c r="DH4" s="30" t="s">
        <v>585</v>
      </c>
      <c r="DI4" s="30"/>
      <c r="DJ4" s="30"/>
      <c r="DK4" s="30" t="s">
        <v>313</v>
      </c>
      <c r="DL4" s="30" t="s">
        <v>558</v>
      </c>
      <c r="DM4" s="30" t="s">
        <v>315</v>
      </c>
      <c r="DN4" s="30"/>
      <c r="DO4" s="30" t="s">
        <v>586</v>
      </c>
      <c r="DP4" s="30"/>
      <c r="DQ4" s="30"/>
      <c r="DR4" s="30"/>
      <c r="DS4" s="30" t="s">
        <v>586</v>
      </c>
      <c r="DT4" s="30"/>
      <c r="DU4" s="30"/>
      <c r="DV4" s="30" t="s">
        <v>587</v>
      </c>
      <c r="DW4" s="30" t="s">
        <v>588</v>
      </c>
      <c r="DX4" s="30"/>
      <c r="DY4" s="30" t="s">
        <v>589</v>
      </c>
      <c r="DZ4" s="30" t="s">
        <v>590</v>
      </c>
      <c r="EA4" s="30" t="s">
        <v>591</v>
      </c>
      <c r="EB4" s="30" t="s">
        <v>592</v>
      </c>
      <c r="EC4" s="30" t="s">
        <v>593</v>
      </c>
      <c r="ED4" s="30"/>
      <c r="EE4" s="30"/>
      <c r="EF4" s="89"/>
      <c r="EG4" s="89"/>
      <c r="EH4" s="89"/>
      <c r="EI4" s="89"/>
      <c r="EJ4" s="89"/>
      <c r="EK4" s="89"/>
      <c r="EL4" s="89"/>
      <c r="EM4" s="29"/>
      <c r="EN4" s="32" t="s">
        <v>723</v>
      </c>
      <c r="EO4" s="30"/>
      <c r="EP4" s="30"/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595</v>
      </c>
      <c r="EZ4" s="30" t="s">
        <v>223</v>
      </c>
      <c r="FA4" s="30" t="s">
        <v>224</v>
      </c>
      <c r="FB4" s="30"/>
      <c r="FC4" s="30"/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595</v>
      </c>
      <c r="FJ4" s="30" t="s">
        <v>596</v>
      </c>
      <c r="FK4" s="30" t="s">
        <v>597</v>
      </c>
      <c r="FL4" s="30" t="s">
        <v>598</v>
      </c>
      <c r="FM4" s="30" t="s">
        <v>599</v>
      </c>
      <c r="FN4" s="30" t="s">
        <v>599</v>
      </c>
      <c r="FO4" s="30" t="s">
        <v>600</v>
      </c>
      <c r="FP4" s="30" t="s">
        <v>596</v>
      </c>
      <c r="FQ4" s="30" t="s">
        <v>507</v>
      </c>
      <c r="FR4" s="30" t="s">
        <v>508</v>
      </c>
      <c r="FS4" s="30" t="s">
        <v>509</v>
      </c>
      <c r="FT4" s="30" t="s">
        <v>510</v>
      </c>
      <c r="FU4" s="30" t="s">
        <v>215</v>
      </c>
      <c r="FV4" s="30" t="s">
        <v>512</v>
      </c>
      <c r="FW4" s="30" t="s">
        <v>596</v>
      </c>
      <c r="FX4" s="89"/>
      <c r="FY4" s="30" t="s">
        <v>601</v>
      </c>
      <c r="FZ4" s="89"/>
      <c r="GA4" s="30" t="s">
        <v>313</v>
      </c>
      <c r="GB4" s="30" t="s">
        <v>558</v>
      </c>
      <c r="GC4" s="30" t="s">
        <v>315</v>
      </c>
      <c r="GD4" s="30" t="s">
        <v>602</v>
      </c>
      <c r="GE4" s="30" t="s">
        <v>603</v>
      </c>
      <c r="GF4" s="30" t="s">
        <v>601</v>
      </c>
      <c r="GG4" s="30" t="s">
        <v>604</v>
      </c>
      <c r="GH4" s="30" t="s">
        <v>605</v>
      </c>
      <c r="GI4" s="30" t="s">
        <v>606</v>
      </c>
      <c r="GJ4" s="79" t="s">
        <v>724</v>
      </c>
      <c r="GK4" s="30" t="s">
        <v>608</v>
      </c>
      <c r="GL4" s="89" t="s">
        <v>609</v>
      </c>
      <c r="GM4" s="89" t="s">
        <v>610</v>
      </c>
      <c r="GN4" s="89" t="s">
        <v>608</v>
      </c>
      <c r="GO4" s="89" t="s">
        <v>609</v>
      </c>
      <c r="GP4" s="89" t="s">
        <v>610</v>
      </c>
      <c r="GQ4" s="89" t="s">
        <v>596</v>
      </c>
      <c r="GR4" s="89" t="s">
        <v>609</v>
      </c>
      <c r="GS4" s="89" t="s">
        <v>610</v>
      </c>
      <c r="GT4" s="89" t="s">
        <v>611</v>
      </c>
      <c r="GU4" s="89" t="s">
        <v>609</v>
      </c>
    </row>
    <row r="5" spans="2:23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 t="s">
        <v>617</v>
      </c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 t="s">
        <v>571</v>
      </c>
      <c r="AO5" s="30" t="s">
        <v>618</v>
      </c>
      <c r="AP5" s="30" t="s">
        <v>619</v>
      </c>
      <c r="AQ5" s="30" t="s">
        <v>620</v>
      </c>
      <c r="AR5" s="30"/>
      <c r="AS5" s="30"/>
      <c r="AT5" s="30" t="s">
        <v>621</v>
      </c>
      <c r="AU5" s="30"/>
      <c r="AV5" s="30"/>
      <c r="AW5" s="30" t="s">
        <v>622</v>
      </c>
      <c r="AX5" s="30" t="s">
        <v>222</v>
      </c>
      <c r="AY5" s="30"/>
      <c r="AZ5" s="30" t="s">
        <v>222</v>
      </c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 t="s">
        <v>623</v>
      </c>
      <c r="BS5" s="47" t="s">
        <v>624</v>
      </c>
      <c r="BT5" s="30" t="s">
        <v>625</v>
      </c>
      <c r="BU5" s="30"/>
      <c r="BV5" s="30"/>
      <c r="BW5" s="89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82"/>
      <c r="CL5" s="30"/>
      <c r="CM5" s="30"/>
      <c r="CN5" s="30"/>
      <c r="CO5" s="30"/>
      <c r="CP5" s="30"/>
      <c r="CQ5" s="30"/>
      <c r="CR5" s="30"/>
      <c r="CS5" s="30"/>
      <c r="CT5" s="30" t="s">
        <v>626</v>
      </c>
      <c r="CU5" s="30"/>
      <c r="CV5" s="30" t="s">
        <v>627</v>
      </c>
      <c r="CW5" s="30" t="s">
        <v>628</v>
      </c>
      <c r="CX5" s="30" t="s">
        <v>629</v>
      </c>
      <c r="CY5" s="30" t="s">
        <v>630</v>
      </c>
      <c r="CZ5" s="30" t="s">
        <v>631</v>
      </c>
      <c r="DA5" s="30" t="s">
        <v>587</v>
      </c>
      <c r="DB5" s="30" t="s">
        <v>632</v>
      </c>
      <c r="DC5" s="30" t="s">
        <v>633</v>
      </c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 t="s">
        <v>634</v>
      </c>
      <c r="DQ5" s="30" t="s">
        <v>629</v>
      </c>
      <c r="DR5" s="30"/>
      <c r="DS5" s="30"/>
      <c r="DT5" s="30" t="s">
        <v>629</v>
      </c>
      <c r="DU5" s="30"/>
      <c r="DV5" s="30"/>
      <c r="DW5" s="30"/>
      <c r="DX5" s="30" t="s">
        <v>635</v>
      </c>
      <c r="DY5" s="48"/>
      <c r="DZ5" s="30"/>
      <c r="EA5" s="30"/>
      <c r="EB5" s="30" t="s">
        <v>636</v>
      </c>
      <c r="EC5" s="30"/>
      <c r="ED5" s="30"/>
      <c r="EE5" s="30"/>
      <c r="EF5" s="89"/>
      <c r="EG5" s="89"/>
      <c r="EH5" s="89"/>
      <c r="EI5" s="89"/>
      <c r="EJ5" s="89"/>
      <c r="EK5" s="89"/>
      <c r="EL5" s="89"/>
      <c r="EM5" s="89"/>
      <c r="EN5" s="89" t="s">
        <v>637</v>
      </c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30" t="s">
        <v>595</v>
      </c>
      <c r="FA5" s="30" t="s">
        <v>595</v>
      </c>
      <c r="FB5" s="89"/>
      <c r="FC5" s="89"/>
      <c r="FD5" s="89"/>
      <c r="FE5" s="89"/>
      <c r="FF5" s="89"/>
      <c r="FG5" s="89"/>
      <c r="FH5" s="89"/>
      <c r="FI5" s="89"/>
      <c r="FJ5" s="89" t="s">
        <v>638</v>
      </c>
      <c r="FK5" s="89"/>
      <c r="FL5" s="30" t="s">
        <v>639</v>
      </c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30" t="s">
        <v>600</v>
      </c>
      <c r="FX5" s="89"/>
      <c r="FY5" s="89" t="s">
        <v>638</v>
      </c>
      <c r="FZ5" s="89"/>
      <c r="GA5" s="89"/>
      <c r="GB5" s="89"/>
      <c r="GC5" s="89"/>
      <c r="GD5" s="30" t="s">
        <v>640</v>
      </c>
      <c r="GE5" s="89"/>
      <c r="GF5" s="89" t="s">
        <v>641</v>
      </c>
      <c r="GG5" s="70"/>
      <c r="GH5" s="89"/>
      <c r="GI5" s="89"/>
      <c r="GJ5" s="89" t="s">
        <v>642</v>
      </c>
      <c r="GK5" s="89"/>
      <c r="GL5" s="43" t="s">
        <v>643</v>
      </c>
      <c r="GM5" s="30" t="s">
        <v>644</v>
      </c>
      <c r="GN5" s="89"/>
      <c r="GO5" s="43" t="s">
        <v>643</v>
      </c>
      <c r="GP5" s="30" t="s">
        <v>644</v>
      </c>
      <c r="GQ5" s="89"/>
      <c r="GR5" s="43" t="s">
        <v>643</v>
      </c>
      <c r="GS5" s="30" t="s">
        <v>644</v>
      </c>
      <c r="GU5" s="30" t="s">
        <v>643</v>
      </c>
      <c r="GW5" s="89" t="s">
        <v>645</v>
      </c>
    </row>
    <row r="6" spans="2:231" s="89" customFormat="1" x14ac:dyDescent="0.15">
      <c r="B6" s="106" t="s">
        <v>1</v>
      </c>
      <c r="C6" s="102">
        <v>776114081</v>
      </c>
      <c r="D6" s="73">
        <f t="shared" ref="D6:D52" si="0">E6+F6</f>
        <v>212001686</v>
      </c>
      <c r="E6" s="102">
        <v>4490859</v>
      </c>
      <c r="F6" s="102">
        <v>207510827</v>
      </c>
      <c r="G6" s="73">
        <f t="shared" ref="G6:G52" si="1">H6+I6</f>
        <v>149944660</v>
      </c>
      <c r="H6" s="102">
        <v>19364580</v>
      </c>
      <c r="I6" s="102">
        <v>130580080</v>
      </c>
      <c r="J6" s="102">
        <v>295394892</v>
      </c>
      <c r="K6" s="102">
        <v>113860427</v>
      </c>
      <c r="L6" s="102">
        <v>142373504</v>
      </c>
      <c r="M6" s="102">
        <v>38899549</v>
      </c>
      <c r="N6" s="102">
        <v>28740722</v>
      </c>
      <c r="O6" s="102">
        <v>59782950</v>
      </c>
      <c r="P6" s="102">
        <v>28514675</v>
      </c>
      <c r="Q6" s="102">
        <v>31268275</v>
      </c>
      <c r="R6" s="102">
        <v>5916716</v>
      </c>
      <c r="S6" s="74"/>
      <c r="T6" s="73">
        <f t="shared" ref="T6:T38" si="2">SUM(U6:AB6)</f>
        <v>63410950</v>
      </c>
      <c r="U6" s="102">
        <v>557069</v>
      </c>
      <c r="V6" s="102">
        <v>2578214</v>
      </c>
      <c r="W6" s="102">
        <v>1492092</v>
      </c>
      <c r="X6" s="102">
        <v>56371568</v>
      </c>
      <c r="Y6" s="102">
        <v>0</v>
      </c>
      <c r="Z6" s="102">
        <v>0</v>
      </c>
      <c r="AA6" s="102">
        <v>1754279</v>
      </c>
      <c r="AB6" s="102">
        <v>657728</v>
      </c>
      <c r="AC6" s="102">
        <v>6000419</v>
      </c>
      <c r="AD6" s="102">
        <v>44514032</v>
      </c>
      <c r="AE6" s="102">
        <v>43529175</v>
      </c>
      <c r="AF6" s="102">
        <v>984831</v>
      </c>
      <c r="AG6" s="102">
        <v>741485</v>
      </c>
      <c r="AH6" s="102">
        <v>6362144</v>
      </c>
      <c r="AI6" s="73">
        <f t="shared" ref="AI6:AI38" si="3">AJ6+AK6</f>
        <v>69800983</v>
      </c>
      <c r="AJ6" s="102">
        <v>61498768</v>
      </c>
      <c r="AK6" s="102">
        <v>8302215</v>
      </c>
      <c r="AL6" s="102">
        <v>421184874</v>
      </c>
      <c r="AM6" s="73">
        <f t="shared" ref="AM6:AM38" si="4">SUM(AN6:AQ6)</f>
        <v>299421932</v>
      </c>
      <c r="AN6" s="102">
        <v>202942120</v>
      </c>
      <c r="AO6" s="102">
        <v>48794739</v>
      </c>
      <c r="AP6" s="74"/>
      <c r="AQ6" s="102">
        <v>47685073</v>
      </c>
      <c r="AR6" s="102">
        <v>23569153</v>
      </c>
      <c r="AS6" s="102">
        <v>34489</v>
      </c>
      <c r="AT6" s="102">
        <v>0</v>
      </c>
      <c r="AU6" s="102">
        <v>78612169</v>
      </c>
      <c r="AV6" s="102">
        <v>51093426</v>
      </c>
      <c r="AW6" s="102">
        <v>0</v>
      </c>
      <c r="AX6" s="102">
        <v>1972886</v>
      </c>
      <c r="AY6" s="102">
        <v>27518743</v>
      </c>
      <c r="AZ6" s="102">
        <v>247645</v>
      </c>
      <c r="BA6" s="102">
        <v>30428739</v>
      </c>
      <c r="BB6" s="102">
        <v>6776515</v>
      </c>
      <c r="BC6" s="102">
        <v>855636</v>
      </c>
      <c r="BD6" s="102">
        <v>7814435</v>
      </c>
      <c r="BE6" s="102">
        <v>386243</v>
      </c>
      <c r="BF6" s="102">
        <v>0</v>
      </c>
      <c r="BG6" s="102">
        <v>2475019</v>
      </c>
      <c r="BH6" s="102">
        <v>0</v>
      </c>
      <c r="BI6" s="102">
        <v>2566448</v>
      </c>
      <c r="BJ6" s="102">
        <v>429453</v>
      </c>
      <c r="BK6" s="102">
        <v>137395231</v>
      </c>
      <c r="BL6" s="102">
        <v>82859740</v>
      </c>
      <c r="BM6" s="102">
        <v>304668</v>
      </c>
      <c r="BN6" s="102">
        <v>9496305</v>
      </c>
      <c r="BO6" s="102">
        <v>100265273</v>
      </c>
      <c r="BP6" s="73">
        <f t="shared" ref="BP6:BP52" si="5">BO6-BQ6-BU6</f>
        <v>47511500</v>
      </c>
      <c r="BQ6" s="73">
        <f t="shared" ref="BQ6:BQ52" si="6">BR6+BS6+BT6</f>
        <v>52753773</v>
      </c>
      <c r="BR6" s="102">
        <v>0</v>
      </c>
      <c r="BS6" s="76">
        <v>0</v>
      </c>
      <c r="BT6" s="102">
        <v>52753773</v>
      </c>
      <c r="BU6" s="102">
        <v>0</v>
      </c>
      <c r="BV6" s="102">
        <v>1764214485</v>
      </c>
      <c r="BW6" s="71"/>
      <c r="BX6" s="102">
        <v>304487331</v>
      </c>
      <c r="BY6" s="102">
        <v>222496474</v>
      </c>
      <c r="BZ6" s="102">
        <v>22548457</v>
      </c>
      <c r="CA6" s="102">
        <v>9602875</v>
      </c>
      <c r="CB6" s="102">
        <v>572052046</v>
      </c>
      <c r="CC6" s="102">
        <v>108500154</v>
      </c>
      <c r="CD6" s="102">
        <v>3440665</v>
      </c>
      <c r="CE6" s="102">
        <v>161362013</v>
      </c>
      <c r="CF6" s="102">
        <v>272276478</v>
      </c>
      <c r="CG6" s="102">
        <v>13840054</v>
      </c>
      <c r="CH6" s="102">
        <v>12632682</v>
      </c>
      <c r="CI6" s="102">
        <v>225144490</v>
      </c>
      <c r="CJ6" s="102">
        <v>203652721</v>
      </c>
      <c r="CK6" s="83">
        <f t="shared" ref="CK6:CK38" si="7">IF(CJ6="","",CI6-CJ6)</f>
        <v>21491769</v>
      </c>
      <c r="CL6" s="102">
        <v>118395653</v>
      </c>
      <c r="CM6" s="102">
        <v>76831057</v>
      </c>
      <c r="CN6" s="102">
        <v>1779278</v>
      </c>
      <c r="CO6" s="102">
        <v>22237229</v>
      </c>
      <c r="CP6" s="102">
        <v>19739100</v>
      </c>
      <c r="CQ6" s="102">
        <v>119575092</v>
      </c>
      <c r="CR6" s="102">
        <v>7274250</v>
      </c>
      <c r="CS6" s="102">
        <v>51468434</v>
      </c>
      <c r="CT6" s="102">
        <v>43602068</v>
      </c>
      <c r="CU6" s="73">
        <f t="shared" ref="CU6:CU52" si="8">CV6+CW6</f>
        <v>32958192</v>
      </c>
      <c r="CV6" s="102">
        <v>223229</v>
      </c>
      <c r="CW6" s="102">
        <v>32734963</v>
      </c>
      <c r="CX6" s="73">
        <f t="shared" ref="CX6:CX52" si="9">CY6+CZ6</f>
        <v>0</v>
      </c>
      <c r="CY6" s="102">
        <v>0</v>
      </c>
      <c r="CZ6" s="102">
        <v>0</v>
      </c>
      <c r="DA6" s="73">
        <f t="shared" ref="DA6:DA52" si="10">DB6+DC6</f>
        <v>25793392</v>
      </c>
      <c r="DB6" s="102">
        <v>0</v>
      </c>
      <c r="DC6" s="102">
        <v>25793392</v>
      </c>
      <c r="DD6" s="102">
        <v>156343461</v>
      </c>
      <c r="DE6" s="102">
        <v>87510448</v>
      </c>
      <c r="DF6" s="102">
        <v>64984354</v>
      </c>
      <c r="DG6" s="102">
        <v>0</v>
      </c>
      <c r="DH6" s="102">
        <v>304668</v>
      </c>
      <c r="DI6" s="102">
        <v>962553</v>
      </c>
      <c r="DJ6" s="102">
        <v>3067929</v>
      </c>
      <c r="DK6" s="102">
        <v>1560892</v>
      </c>
      <c r="DL6" s="102">
        <v>0</v>
      </c>
      <c r="DM6" s="102">
        <v>1507037</v>
      </c>
      <c r="DN6" s="102">
        <v>1860062</v>
      </c>
      <c r="DO6" s="102">
        <v>1309212</v>
      </c>
      <c r="DP6" s="102">
        <v>0</v>
      </c>
      <c r="DQ6" s="102">
        <v>0</v>
      </c>
      <c r="DR6" s="102">
        <v>84630245</v>
      </c>
      <c r="DS6" s="102">
        <v>0</v>
      </c>
      <c r="DT6" s="102">
        <v>0</v>
      </c>
      <c r="DU6" s="102">
        <v>150531242</v>
      </c>
      <c r="DV6" s="102">
        <v>0</v>
      </c>
      <c r="DW6" s="73">
        <f t="shared" ref="DW6:DW52" si="11">DX6</f>
        <v>25622573</v>
      </c>
      <c r="DX6" s="102">
        <v>25622573</v>
      </c>
      <c r="DY6" s="102">
        <v>37480589</v>
      </c>
      <c r="DZ6" s="102">
        <v>0</v>
      </c>
      <c r="EA6" s="102">
        <v>34657140</v>
      </c>
      <c r="EB6" s="74">
        <v>0</v>
      </c>
      <c r="EC6" s="102">
        <v>42456450</v>
      </c>
      <c r="ED6" s="102">
        <v>0</v>
      </c>
      <c r="EE6" s="102">
        <v>1756789204</v>
      </c>
      <c r="EF6" s="71"/>
      <c r="EG6" s="102">
        <v>7425281</v>
      </c>
      <c r="EH6" s="102">
        <v>4753186</v>
      </c>
      <c r="EI6" s="102">
        <v>2672095</v>
      </c>
      <c r="EJ6" s="102">
        <v>2242642</v>
      </c>
      <c r="EK6" s="102">
        <v>3417291</v>
      </c>
      <c r="EL6" s="71"/>
      <c r="EM6" s="102">
        <v>2691185</v>
      </c>
      <c r="EN6" s="102">
        <v>2730420</v>
      </c>
      <c r="EO6" s="102">
        <v>386243</v>
      </c>
      <c r="EP6" s="102">
        <v>20176294</v>
      </c>
      <c r="EQ6" s="73">
        <f t="shared" ref="EQ6:EQ52" si="12">ER6-ES6-C6-R6-T6-AC6-AD6-BQ6-EO6-EP6</f>
        <v>47394663</v>
      </c>
      <c r="ER6" s="102">
        <v>908928553</v>
      </c>
      <c r="ES6" s="71">
        <v>-107738618</v>
      </c>
      <c r="ET6" s="102">
        <v>257170279</v>
      </c>
      <c r="EU6" s="102">
        <v>187931255</v>
      </c>
      <c r="EV6" s="102">
        <v>171746007</v>
      </c>
      <c r="EW6" s="102">
        <v>192038177</v>
      </c>
      <c r="EX6" s="73">
        <f t="shared" ref="EX6:EX52" si="13">EY6+FB6+FC6</f>
        <v>68717789</v>
      </c>
      <c r="EY6" s="102">
        <v>68711943</v>
      </c>
      <c r="EZ6" s="102">
        <v>25432503</v>
      </c>
      <c r="FA6" s="102">
        <v>42860449</v>
      </c>
      <c r="FB6" s="102">
        <v>5846</v>
      </c>
      <c r="FC6" s="102">
        <v>0</v>
      </c>
      <c r="FD6" s="102">
        <v>76500691</v>
      </c>
      <c r="FE6" s="102">
        <v>99600523</v>
      </c>
      <c r="FF6" s="102">
        <v>2029301</v>
      </c>
      <c r="FG6" s="102">
        <v>125879482</v>
      </c>
      <c r="FH6" s="73">
        <f t="shared" ref="FH6:FH52" si="14">FI6-ET6-EV6-EW6-EX6-FD6-FE6-FG6</f>
        <v>17588942</v>
      </c>
      <c r="FI6" s="102">
        <v>1009241890</v>
      </c>
      <c r="FJ6" s="379">
        <f t="shared" ref="FJ6:FJ52" si="15">ROUND(EI6/(FK6+FL6)*100,1)</f>
        <v>0.3</v>
      </c>
      <c r="FK6" s="102">
        <v>799085831</v>
      </c>
      <c r="FL6" s="102">
        <v>52754612</v>
      </c>
      <c r="FM6" s="102">
        <v>590216086</v>
      </c>
      <c r="FN6" s="102">
        <v>634409429</v>
      </c>
      <c r="FO6" s="151">
        <v>0.92600000000000005</v>
      </c>
      <c r="FP6" s="424">
        <v>93.4</v>
      </c>
      <c r="FQ6" s="151">
        <v>27.7</v>
      </c>
      <c r="FR6" s="424">
        <v>18.5</v>
      </c>
      <c r="FS6" s="424">
        <v>20.7</v>
      </c>
      <c r="FT6" s="425">
        <v>8</v>
      </c>
      <c r="FU6" s="424">
        <v>8</v>
      </c>
      <c r="FV6" s="426">
        <v>8.8000000000000007</v>
      </c>
      <c r="FW6" s="388">
        <v>3.2</v>
      </c>
      <c r="FX6" s="102">
        <v>1802866543</v>
      </c>
      <c r="FY6" s="384">
        <f t="shared" ref="FY6:FY52" si="16">ROUND(FX6/(FK6+FL6)*100,1)</f>
        <v>211.6</v>
      </c>
      <c r="FZ6" s="102">
        <v>226282313</v>
      </c>
      <c r="GA6" s="102">
        <v>161605595</v>
      </c>
      <c r="GB6" s="102">
        <v>0</v>
      </c>
      <c r="GC6" s="102">
        <v>64676718</v>
      </c>
      <c r="GD6" s="107">
        <v>0</v>
      </c>
      <c r="GE6" s="427"/>
      <c r="GF6" s="386"/>
      <c r="GG6" s="424">
        <v>99.3</v>
      </c>
      <c r="GH6" s="424">
        <v>35.700000000000003</v>
      </c>
      <c r="GI6" s="424">
        <v>98.6</v>
      </c>
      <c r="GJ6" s="102">
        <v>31984</v>
      </c>
      <c r="GK6" s="123" t="s">
        <v>646</v>
      </c>
      <c r="GL6" s="151">
        <v>11.25</v>
      </c>
      <c r="GM6" s="117">
        <v>20</v>
      </c>
      <c r="GN6" s="123" t="s">
        <v>646</v>
      </c>
      <c r="GO6" s="151">
        <v>16.25</v>
      </c>
      <c r="GP6" s="387">
        <v>30</v>
      </c>
      <c r="GQ6" s="424">
        <v>3.2</v>
      </c>
      <c r="GR6" s="388">
        <v>25</v>
      </c>
      <c r="GS6" s="388">
        <v>35</v>
      </c>
      <c r="GT6" s="151">
        <v>21.2</v>
      </c>
      <c r="GU6" s="389">
        <v>400</v>
      </c>
      <c r="GW6" s="100">
        <f t="shared" ref="GW6:GW52" si="17">ROUND((FK6+FL6)/1000,0)</f>
        <v>851840</v>
      </c>
    </row>
    <row r="7" spans="2:231" s="89" customFormat="1" x14ac:dyDescent="0.15">
      <c r="B7" s="106" t="s">
        <v>3</v>
      </c>
      <c r="C7" s="102">
        <v>151522672</v>
      </c>
      <c r="D7" s="73">
        <f t="shared" si="0"/>
        <v>60155502</v>
      </c>
      <c r="E7" s="102">
        <v>1339291</v>
      </c>
      <c r="F7" s="102">
        <v>58816211</v>
      </c>
      <c r="G7" s="73">
        <f t="shared" si="1"/>
        <v>11126300</v>
      </c>
      <c r="H7" s="102">
        <v>2353542</v>
      </c>
      <c r="I7" s="102">
        <v>8772758</v>
      </c>
      <c r="J7" s="102">
        <v>57874945</v>
      </c>
      <c r="K7" s="102">
        <v>22588483</v>
      </c>
      <c r="L7" s="102">
        <v>23505600</v>
      </c>
      <c r="M7" s="102">
        <v>10918164</v>
      </c>
      <c r="N7" s="102">
        <v>5680602</v>
      </c>
      <c r="O7" s="102">
        <v>10652125</v>
      </c>
      <c r="P7" s="102">
        <v>5809190</v>
      </c>
      <c r="Q7" s="102">
        <v>4842935</v>
      </c>
      <c r="R7" s="102">
        <v>2073984</v>
      </c>
      <c r="S7" s="74"/>
      <c r="T7" s="73">
        <f t="shared" si="2"/>
        <v>16038677</v>
      </c>
      <c r="U7" s="102">
        <v>167027</v>
      </c>
      <c r="V7" s="102">
        <v>771684</v>
      </c>
      <c r="W7" s="102">
        <v>445179</v>
      </c>
      <c r="X7" s="102">
        <v>13735233</v>
      </c>
      <c r="Y7" s="102">
        <v>133656</v>
      </c>
      <c r="Z7" s="102">
        <v>0</v>
      </c>
      <c r="AA7" s="102">
        <v>570902</v>
      </c>
      <c r="AB7" s="102">
        <v>214996</v>
      </c>
      <c r="AC7" s="102">
        <v>1963700</v>
      </c>
      <c r="AD7" s="102">
        <v>34195634</v>
      </c>
      <c r="AE7" s="102">
        <v>33168537</v>
      </c>
      <c r="AF7" s="102">
        <v>1026991</v>
      </c>
      <c r="AG7" s="102">
        <v>267299</v>
      </c>
      <c r="AH7" s="102">
        <v>2713566</v>
      </c>
      <c r="AI7" s="73">
        <f t="shared" si="3"/>
        <v>5768558</v>
      </c>
      <c r="AJ7" s="102">
        <v>3727487</v>
      </c>
      <c r="AK7" s="102">
        <v>2041071</v>
      </c>
      <c r="AL7" s="102">
        <v>103170879</v>
      </c>
      <c r="AM7" s="73">
        <f t="shared" si="4"/>
        <v>59050936</v>
      </c>
      <c r="AN7" s="102">
        <v>34614519</v>
      </c>
      <c r="AO7" s="102">
        <v>11990611</v>
      </c>
      <c r="AP7" s="74"/>
      <c r="AQ7" s="102">
        <v>12445806</v>
      </c>
      <c r="AR7" s="102">
        <v>3816469</v>
      </c>
      <c r="AS7" s="102">
        <v>90993</v>
      </c>
      <c r="AT7" s="102">
        <v>9756</v>
      </c>
      <c r="AU7" s="102">
        <v>24272852</v>
      </c>
      <c r="AV7" s="102">
        <v>15156768</v>
      </c>
      <c r="AW7" s="102">
        <v>4452597</v>
      </c>
      <c r="AX7" s="102">
        <v>1053278</v>
      </c>
      <c r="AY7" s="102">
        <v>9116084</v>
      </c>
      <c r="AZ7" s="102">
        <v>54414</v>
      </c>
      <c r="BA7" s="102">
        <v>5276553</v>
      </c>
      <c r="BB7" s="102">
        <v>4736518</v>
      </c>
      <c r="BC7" s="102">
        <v>614000</v>
      </c>
      <c r="BD7" s="102">
        <v>5553330</v>
      </c>
      <c r="BE7" s="102">
        <v>0</v>
      </c>
      <c r="BF7" s="102">
        <v>1580140</v>
      </c>
      <c r="BG7" s="102">
        <v>3973161</v>
      </c>
      <c r="BH7" s="102">
        <v>0</v>
      </c>
      <c r="BI7" s="102">
        <v>3907241</v>
      </c>
      <c r="BJ7" s="102">
        <v>1750332</v>
      </c>
      <c r="BK7" s="102">
        <v>7152397</v>
      </c>
      <c r="BL7" s="102">
        <v>1362898</v>
      </c>
      <c r="BM7" s="102">
        <v>183303</v>
      </c>
      <c r="BN7" s="102">
        <v>1833663</v>
      </c>
      <c r="BO7" s="102">
        <v>47631200</v>
      </c>
      <c r="BP7" s="73">
        <f t="shared" si="5"/>
        <v>25492600</v>
      </c>
      <c r="BQ7" s="73">
        <f t="shared" si="6"/>
        <v>22138600</v>
      </c>
      <c r="BR7" s="102">
        <v>0</v>
      </c>
      <c r="BS7" s="76">
        <v>0</v>
      </c>
      <c r="BT7" s="102">
        <v>22138600</v>
      </c>
      <c r="BU7" s="102">
        <v>0</v>
      </c>
      <c r="BV7" s="102">
        <v>418506038</v>
      </c>
      <c r="BW7" s="71"/>
      <c r="BX7" s="102">
        <v>82832299</v>
      </c>
      <c r="BY7" s="102">
        <v>60514383</v>
      </c>
      <c r="BZ7" s="102">
        <v>5165999</v>
      </c>
      <c r="CA7" s="102">
        <v>2833480</v>
      </c>
      <c r="CB7" s="102">
        <v>130281681</v>
      </c>
      <c r="CC7" s="102">
        <v>29435778</v>
      </c>
      <c r="CD7" s="102">
        <v>760942</v>
      </c>
      <c r="CE7" s="102">
        <v>48594664</v>
      </c>
      <c r="CF7" s="102">
        <v>46305178</v>
      </c>
      <c r="CG7" s="102">
        <v>3582439</v>
      </c>
      <c r="CH7" s="102">
        <v>1602551</v>
      </c>
      <c r="CI7" s="102">
        <v>36614317</v>
      </c>
      <c r="CJ7" s="102">
        <v>32529456</v>
      </c>
      <c r="CK7" s="83">
        <f t="shared" si="7"/>
        <v>4084861</v>
      </c>
      <c r="CL7" s="102">
        <v>45309865</v>
      </c>
      <c r="CM7" s="102">
        <v>30811068</v>
      </c>
      <c r="CN7" s="102">
        <v>2137793</v>
      </c>
      <c r="CO7" s="102">
        <v>5890774</v>
      </c>
      <c r="CP7" s="102">
        <v>5969497</v>
      </c>
      <c r="CQ7" s="102">
        <v>23305012</v>
      </c>
      <c r="CR7" s="102">
        <v>17125</v>
      </c>
      <c r="CS7" s="102">
        <v>7712823</v>
      </c>
      <c r="CT7" s="102">
        <v>3831847</v>
      </c>
      <c r="CU7" s="73">
        <f t="shared" si="8"/>
        <v>8416585</v>
      </c>
      <c r="CV7" s="102">
        <v>6945098</v>
      </c>
      <c r="CW7" s="102">
        <v>1471487</v>
      </c>
      <c r="CX7" s="73">
        <f t="shared" si="9"/>
        <v>0</v>
      </c>
      <c r="CY7" s="102">
        <v>0</v>
      </c>
      <c r="CZ7" s="102">
        <v>0</v>
      </c>
      <c r="DA7" s="73">
        <f t="shared" si="10"/>
        <v>8273439</v>
      </c>
      <c r="DB7" s="102">
        <v>6819184</v>
      </c>
      <c r="DC7" s="102">
        <v>1454255</v>
      </c>
      <c r="DD7" s="102">
        <v>49148343</v>
      </c>
      <c r="DE7" s="102">
        <v>27049236</v>
      </c>
      <c r="DF7" s="102">
        <v>21592707</v>
      </c>
      <c r="DG7" s="102">
        <v>0</v>
      </c>
      <c r="DH7" s="102">
        <v>97903</v>
      </c>
      <c r="DI7" s="102">
        <v>926624</v>
      </c>
      <c r="DJ7" s="102">
        <v>6905042</v>
      </c>
      <c r="DK7" s="102">
        <v>680277</v>
      </c>
      <c r="DL7" s="102">
        <v>99160</v>
      </c>
      <c r="DM7" s="102">
        <v>6125605</v>
      </c>
      <c r="DN7" s="102">
        <v>481000</v>
      </c>
      <c r="DO7" s="102">
        <v>0</v>
      </c>
      <c r="DP7" s="102">
        <v>0</v>
      </c>
      <c r="DQ7" s="102">
        <v>0</v>
      </c>
      <c r="DR7" s="102">
        <v>1226963</v>
      </c>
      <c r="DS7" s="102">
        <v>0</v>
      </c>
      <c r="DT7" s="102">
        <v>0</v>
      </c>
      <c r="DU7" s="102">
        <v>32724352</v>
      </c>
      <c r="DV7" s="102">
        <v>0</v>
      </c>
      <c r="DW7" s="73">
        <f t="shared" si="11"/>
        <v>0</v>
      </c>
      <c r="DX7" s="102">
        <v>0</v>
      </c>
      <c r="DY7" s="102">
        <v>12059297</v>
      </c>
      <c r="DZ7" s="102">
        <v>0</v>
      </c>
      <c r="EA7" s="102">
        <v>8634041</v>
      </c>
      <c r="EB7" s="74">
        <v>0</v>
      </c>
      <c r="EC7" s="102">
        <v>12014434</v>
      </c>
      <c r="ED7" s="102">
        <v>0</v>
      </c>
      <c r="EE7" s="102">
        <v>415724995</v>
      </c>
      <c r="EF7" s="71"/>
      <c r="EG7" s="102">
        <v>2781043</v>
      </c>
      <c r="EH7" s="102">
        <v>1340712</v>
      </c>
      <c r="EI7" s="102">
        <v>1440331</v>
      </c>
      <c r="EJ7" s="102">
        <v>-310002</v>
      </c>
      <c r="EK7" s="102">
        <v>370275</v>
      </c>
      <c r="EL7" s="71"/>
      <c r="EM7" s="102">
        <v>839310</v>
      </c>
      <c r="EN7" s="102">
        <v>834787</v>
      </c>
      <c r="EO7" s="102">
        <v>2376251</v>
      </c>
      <c r="EP7" s="102">
        <v>975135</v>
      </c>
      <c r="EQ7" s="73">
        <f t="shared" si="12"/>
        <v>16308559</v>
      </c>
      <c r="ER7" s="102">
        <v>212445462</v>
      </c>
      <c r="ES7" s="71">
        <v>-35147750</v>
      </c>
      <c r="ET7" s="102">
        <v>70425181</v>
      </c>
      <c r="EU7" s="102">
        <v>48576479</v>
      </c>
      <c r="EV7" s="102">
        <v>40324954</v>
      </c>
      <c r="EW7" s="102">
        <v>36359548</v>
      </c>
      <c r="EX7" s="73">
        <f t="shared" si="13"/>
        <v>7307874</v>
      </c>
      <c r="EY7" s="102">
        <v>7165780</v>
      </c>
      <c r="EZ7" s="102">
        <v>921402</v>
      </c>
      <c r="FA7" s="102">
        <v>6228881</v>
      </c>
      <c r="FB7" s="102">
        <v>142094</v>
      </c>
      <c r="FC7" s="102">
        <v>0</v>
      </c>
      <c r="FD7" s="102">
        <v>36600329</v>
      </c>
      <c r="FE7" s="102">
        <v>20910669</v>
      </c>
      <c r="FF7" s="102">
        <v>17125</v>
      </c>
      <c r="FG7" s="102">
        <v>26371733</v>
      </c>
      <c r="FH7" s="73">
        <f t="shared" si="14"/>
        <v>6688920</v>
      </c>
      <c r="FI7" s="102">
        <v>244989208</v>
      </c>
      <c r="FJ7" s="379">
        <f t="shared" si="15"/>
        <v>0.7</v>
      </c>
      <c r="FK7" s="102">
        <v>199130191</v>
      </c>
      <c r="FL7" s="102">
        <v>22138747</v>
      </c>
      <c r="FM7" s="102">
        <v>131650114</v>
      </c>
      <c r="FN7" s="102">
        <v>164959886</v>
      </c>
      <c r="FO7" s="151">
        <v>0.81399999999999995</v>
      </c>
      <c r="FP7" s="424">
        <v>100.7</v>
      </c>
      <c r="FQ7" s="151">
        <v>31.1</v>
      </c>
      <c r="FR7" s="424">
        <v>17.899999999999999</v>
      </c>
      <c r="FS7" s="424">
        <v>16.100000000000001</v>
      </c>
      <c r="FT7" s="425">
        <v>15</v>
      </c>
      <c r="FU7" s="424">
        <v>7.4</v>
      </c>
      <c r="FV7" s="426">
        <v>11.2</v>
      </c>
      <c r="FW7" s="388">
        <v>5.3</v>
      </c>
      <c r="FX7" s="102">
        <v>464721516</v>
      </c>
      <c r="FY7" s="384">
        <f t="shared" si="16"/>
        <v>210</v>
      </c>
      <c r="FZ7" s="102">
        <v>41138493</v>
      </c>
      <c r="GA7" s="102">
        <v>2500077</v>
      </c>
      <c r="GB7" s="102">
        <v>2376602</v>
      </c>
      <c r="GC7" s="102">
        <v>36261814</v>
      </c>
      <c r="GD7" s="107">
        <v>0</v>
      </c>
      <c r="GE7" s="427"/>
      <c r="GF7" s="386"/>
      <c r="GG7" s="424">
        <v>99.3</v>
      </c>
      <c r="GH7" s="424">
        <v>43.8</v>
      </c>
      <c r="GI7" s="424">
        <v>98.6</v>
      </c>
      <c r="GJ7" s="102">
        <v>8757</v>
      </c>
      <c r="GK7" s="123" t="s">
        <v>646</v>
      </c>
      <c r="GL7" s="151">
        <v>11.25</v>
      </c>
      <c r="GM7" s="117">
        <v>20</v>
      </c>
      <c r="GN7" s="123" t="s">
        <v>646</v>
      </c>
      <c r="GO7" s="151">
        <v>16.25</v>
      </c>
      <c r="GP7" s="387">
        <v>30</v>
      </c>
      <c r="GQ7" s="424">
        <v>5.3</v>
      </c>
      <c r="GR7" s="388">
        <v>25</v>
      </c>
      <c r="GS7" s="388">
        <v>35</v>
      </c>
      <c r="GT7" s="151">
        <v>9.4</v>
      </c>
      <c r="GU7" s="389">
        <v>400</v>
      </c>
      <c r="GW7" s="100">
        <f t="shared" si="17"/>
        <v>221269</v>
      </c>
    </row>
    <row r="8" spans="2:231" x14ac:dyDescent="0.15">
      <c r="B8" s="89" t="s">
        <v>5</v>
      </c>
      <c r="C8" s="102">
        <v>24796265</v>
      </c>
      <c r="D8" s="73">
        <f t="shared" si="0"/>
        <v>9226559</v>
      </c>
      <c r="E8" s="102">
        <v>305250</v>
      </c>
      <c r="F8" s="102">
        <v>8921309</v>
      </c>
      <c r="G8" s="73">
        <f t="shared" si="1"/>
        <v>1698841</v>
      </c>
      <c r="H8" s="102">
        <v>442288</v>
      </c>
      <c r="I8" s="102">
        <v>1256553</v>
      </c>
      <c r="J8" s="102">
        <v>10032747</v>
      </c>
      <c r="K8" s="102">
        <v>4071198</v>
      </c>
      <c r="L8" s="102">
        <v>4269152</v>
      </c>
      <c r="M8" s="102">
        <v>1401690</v>
      </c>
      <c r="N8" s="102">
        <v>1432231</v>
      </c>
      <c r="O8" s="102">
        <v>1977390</v>
      </c>
      <c r="P8" s="102">
        <v>1092784</v>
      </c>
      <c r="Q8" s="102">
        <v>884606</v>
      </c>
      <c r="R8" s="102">
        <v>349622</v>
      </c>
      <c r="S8" s="74"/>
      <c r="T8" s="73">
        <f t="shared" si="2"/>
        <v>3559243</v>
      </c>
      <c r="U8" s="102">
        <v>33374</v>
      </c>
      <c r="V8" s="102">
        <v>153926</v>
      </c>
      <c r="W8" s="102">
        <v>88518</v>
      </c>
      <c r="X8" s="102">
        <v>3116544</v>
      </c>
      <c r="Y8" s="102">
        <v>38313</v>
      </c>
      <c r="Z8" s="102">
        <v>0</v>
      </c>
      <c r="AA8" s="102">
        <v>98047</v>
      </c>
      <c r="AB8" s="102">
        <v>30521</v>
      </c>
      <c r="AC8" s="102">
        <v>477098</v>
      </c>
      <c r="AD8" s="102">
        <v>13324727</v>
      </c>
      <c r="AE8" s="102">
        <v>13002470</v>
      </c>
      <c r="AF8" s="102">
        <v>322257</v>
      </c>
      <c r="AG8" s="102">
        <v>30227</v>
      </c>
      <c r="AH8" s="102">
        <v>425490</v>
      </c>
      <c r="AI8" s="73">
        <f t="shared" si="3"/>
        <v>1326599</v>
      </c>
      <c r="AJ8" s="102">
        <v>955907</v>
      </c>
      <c r="AK8" s="102">
        <v>370692</v>
      </c>
      <c r="AL8" s="102">
        <v>16732470</v>
      </c>
      <c r="AM8" s="73">
        <f t="shared" si="4"/>
        <v>11960404</v>
      </c>
      <c r="AN8" s="102">
        <v>7716859</v>
      </c>
      <c r="AO8" s="102">
        <v>1890542</v>
      </c>
      <c r="AP8" s="74"/>
      <c r="AQ8" s="102">
        <v>2353003</v>
      </c>
      <c r="AR8" s="102">
        <v>111702</v>
      </c>
      <c r="AS8" s="102">
        <v>66474</v>
      </c>
      <c r="AT8" s="102">
        <v>0</v>
      </c>
      <c r="AU8" s="102">
        <v>6111836</v>
      </c>
      <c r="AV8" s="102">
        <v>3855200</v>
      </c>
      <c r="AW8" s="102">
        <v>849809</v>
      </c>
      <c r="AX8" s="102">
        <v>153375</v>
      </c>
      <c r="AY8" s="102">
        <v>2256636</v>
      </c>
      <c r="AZ8" s="102">
        <v>35395</v>
      </c>
      <c r="BA8" s="102">
        <v>2269391</v>
      </c>
      <c r="BB8" s="102">
        <v>2078507</v>
      </c>
      <c r="BC8" s="102">
        <v>376710</v>
      </c>
      <c r="BD8" s="102">
        <v>919177</v>
      </c>
      <c r="BE8" s="102">
        <v>0</v>
      </c>
      <c r="BF8" s="102">
        <v>0</v>
      </c>
      <c r="BG8" s="102">
        <v>267287</v>
      </c>
      <c r="BH8" s="102">
        <v>538881</v>
      </c>
      <c r="BI8" s="102">
        <v>339320</v>
      </c>
      <c r="BJ8" s="102">
        <v>55716</v>
      </c>
      <c r="BK8" s="102">
        <v>1177212</v>
      </c>
      <c r="BL8" s="102">
        <v>0</v>
      </c>
      <c r="BM8" s="102">
        <v>0</v>
      </c>
      <c r="BN8" s="102">
        <v>219384</v>
      </c>
      <c r="BO8" s="102">
        <v>2885500</v>
      </c>
      <c r="BP8" s="73">
        <f t="shared" si="5"/>
        <v>1197400</v>
      </c>
      <c r="BQ8" s="73">
        <f t="shared" si="6"/>
        <v>1688100</v>
      </c>
      <c r="BR8" s="102">
        <v>0</v>
      </c>
      <c r="BS8" s="102">
        <v>0</v>
      </c>
      <c r="BT8" s="102">
        <v>1688100</v>
      </c>
      <c r="BU8" s="102">
        <v>0</v>
      </c>
      <c r="BV8" s="102">
        <v>75100887</v>
      </c>
      <c r="BW8" s="71"/>
      <c r="BX8" s="102">
        <v>11640090</v>
      </c>
      <c r="BY8" s="102">
        <v>8101102</v>
      </c>
      <c r="BZ8" s="102">
        <v>745700</v>
      </c>
      <c r="CA8" s="102">
        <v>652462</v>
      </c>
      <c r="CB8" s="102">
        <v>27122610</v>
      </c>
      <c r="CC8" s="102">
        <v>5568286</v>
      </c>
      <c r="CD8" s="102">
        <v>97833</v>
      </c>
      <c r="CE8" s="102">
        <v>9869807</v>
      </c>
      <c r="CF8" s="102">
        <v>10380739</v>
      </c>
      <c r="CG8" s="102">
        <v>6995</v>
      </c>
      <c r="CH8" s="102">
        <v>1179635</v>
      </c>
      <c r="CI8" s="102">
        <v>7459111</v>
      </c>
      <c r="CJ8" s="102">
        <v>6956044</v>
      </c>
      <c r="CK8" s="83">
        <f t="shared" si="7"/>
        <v>503067</v>
      </c>
      <c r="CL8" s="102">
        <v>7959005</v>
      </c>
      <c r="CM8" s="102">
        <v>4993476</v>
      </c>
      <c r="CN8" s="102">
        <v>595421</v>
      </c>
      <c r="CO8" s="102">
        <v>1093863</v>
      </c>
      <c r="CP8" s="102">
        <v>504224</v>
      </c>
      <c r="CQ8" s="102">
        <v>7448821</v>
      </c>
      <c r="CR8" s="102">
        <v>1550918</v>
      </c>
      <c r="CS8" s="102">
        <v>1118279</v>
      </c>
      <c r="CT8" s="102">
        <v>672184</v>
      </c>
      <c r="CU8" s="73">
        <f t="shared" si="8"/>
        <v>3459961</v>
      </c>
      <c r="CV8" s="102">
        <v>2083142</v>
      </c>
      <c r="CW8" s="102">
        <v>1376819</v>
      </c>
      <c r="CX8" s="73">
        <f t="shared" si="9"/>
        <v>1101854</v>
      </c>
      <c r="CY8" s="102">
        <v>938219</v>
      </c>
      <c r="CZ8" s="102">
        <v>163635</v>
      </c>
      <c r="DA8" s="73">
        <f t="shared" si="10"/>
        <v>2264225</v>
      </c>
      <c r="DB8" s="102">
        <v>1105873</v>
      </c>
      <c r="DC8" s="102">
        <v>1158352</v>
      </c>
      <c r="DD8" s="102">
        <v>2232310</v>
      </c>
      <c r="DE8" s="102">
        <v>1150762</v>
      </c>
      <c r="DF8" s="102">
        <v>877497</v>
      </c>
      <c r="DG8" s="102">
        <v>199299</v>
      </c>
      <c r="DH8" s="102">
        <v>4752</v>
      </c>
      <c r="DI8" s="102">
        <v>222423</v>
      </c>
      <c r="DJ8" s="102">
        <v>1454260</v>
      </c>
      <c r="DK8" s="102">
        <v>100204</v>
      </c>
      <c r="DL8" s="102">
        <v>0</v>
      </c>
      <c r="DM8" s="102">
        <v>1354056</v>
      </c>
      <c r="DN8" s="102">
        <v>450043</v>
      </c>
      <c r="DO8" s="102">
        <v>450043</v>
      </c>
      <c r="DP8" s="102">
        <v>37500</v>
      </c>
      <c r="DQ8" s="102">
        <v>304875</v>
      </c>
      <c r="DR8" s="102">
        <v>0</v>
      </c>
      <c r="DS8" s="102">
        <v>0</v>
      </c>
      <c r="DT8" s="102">
        <v>0</v>
      </c>
      <c r="DU8" s="102">
        <v>8112010</v>
      </c>
      <c r="DV8" s="102">
        <v>0</v>
      </c>
      <c r="DW8" s="73">
        <f t="shared" si="11"/>
        <v>0</v>
      </c>
      <c r="DX8" s="102">
        <v>0</v>
      </c>
      <c r="DY8" s="102">
        <v>2848394</v>
      </c>
      <c r="DZ8" s="102">
        <v>0</v>
      </c>
      <c r="EA8" s="102">
        <v>2223115</v>
      </c>
      <c r="EB8" s="74">
        <v>0</v>
      </c>
      <c r="EC8" s="102">
        <v>2471149</v>
      </c>
      <c r="ED8" s="102">
        <v>0</v>
      </c>
      <c r="EE8" s="102">
        <v>74604907</v>
      </c>
      <c r="EF8" s="71"/>
      <c r="EG8" s="102">
        <v>495980</v>
      </c>
      <c r="EH8" s="102">
        <v>196171</v>
      </c>
      <c r="EI8" s="102">
        <v>299809</v>
      </c>
      <c r="EJ8" s="102">
        <v>187093</v>
      </c>
      <c r="EK8" s="102">
        <v>320558</v>
      </c>
      <c r="EL8" s="71"/>
      <c r="EM8" s="102">
        <v>194911</v>
      </c>
      <c r="EN8" s="102">
        <v>194162</v>
      </c>
      <c r="EO8" s="102">
        <v>556004</v>
      </c>
      <c r="EP8" s="102">
        <v>2268599</v>
      </c>
      <c r="EQ8" s="73">
        <f t="shared" si="12"/>
        <v>1608499</v>
      </c>
      <c r="ER8" s="102">
        <v>42537182</v>
      </c>
      <c r="ES8" s="71">
        <v>-6090975</v>
      </c>
      <c r="ET8" s="102">
        <v>10796464</v>
      </c>
      <c r="EU8" s="102">
        <v>7332142</v>
      </c>
      <c r="EV8" s="102">
        <v>8066891</v>
      </c>
      <c r="EW8" s="102">
        <v>7446179</v>
      </c>
      <c r="EX8" s="73">
        <f t="shared" si="13"/>
        <v>506756</v>
      </c>
      <c r="EY8" s="102">
        <v>486499</v>
      </c>
      <c r="EZ8" s="102">
        <v>24771</v>
      </c>
      <c r="FA8" s="102">
        <v>363014</v>
      </c>
      <c r="FB8" s="102">
        <v>20257</v>
      </c>
      <c r="FC8" s="102">
        <v>0</v>
      </c>
      <c r="FD8" s="102">
        <v>6524741</v>
      </c>
      <c r="FE8" s="102">
        <v>6392109</v>
      </c>
      <c r="FF8" s="102">
        <v>1550918</v>
      </c>
      <c r="FG8" s="102">
        <v>6461755</v>
      </c>
      <c r="FH8" s="73">
        <f t="shared" si="14"/>
        <v>1937282</v>
      </c>
      <c r="FI8" s="102">
        <v>48132177</v>
      </c>
      <c r="FJ8" s="379">
        <f t="shared" si="15"/>
        <v>0.7</v>
      </c>
      <c r="FK8" s="102">
        <v>39624405</v>
      </c>
      <c r="FL8" s="102">
        <v>2693449</v>
      </c>
      <c r="FM8" s="102">
        <v>20833642</v>
      </c>
      <c r="FN8" s="102">
        <v>33865938</v>
      </c>
      <c r="FO8" s="428">
        <v>0.62</v>
      </c>
      <c r="FP8" s="424">
        <v>101.9</v>
      </c>
      <c r="FQ8" s="425">
        <v>24.9</v>
      </c>
      <c r="FR8" s="424">
        <v>19.100000000000001</v>
      </c>
      <c r="FS8" s="424">
        <v>17.5</v>
      </c>
      <c r="FT8" s="425">
        <v>14.2</v>
      </c>
      <c r="FU8" s="424">
        <v>11.6</v>
      </c>
      <c r="FV8" s="426">
        <v>13</v>
      </c>
      <c r="FW8" s="388">
        <v>8.8000000000000007</v>
      </c>
      <c r="FX8" s="102">
        <v>65671679</v>
      </c>
      <c r="FY8" s="384">
        <f t="shared" si="16"/>
        <v>155.19999999999999</v>
      </c>
      <c r="FZ8" s="102">
        <v>6851778</v>
      </c>
      <c r="GA8" s="102">
        <v>2749167</v>
      </c>
      <c r="GB8" s="102">
        <v>40452</v>
      </c>
      <c r="GC8" s="102">
        <v>4062159</v>
      </c>
      <c r="GD8" s="107">
        <v>0</v>
      </c>
      <c r="GE8" s="427"/>
      <c r="GF8" s="386"/>
      <c r="GG8" s="424">
        <v>99.3</v>
      </c>
      <c r="GH8" s="424">
        <v>46.1</v>
      </c>
      <c r="GI8" s="424">
        <v>98.5</v>
      </c>
      <c r="GJ8" s="102">
        <v>1300</v>
      </c>
      <c r="GK8" s="429" t="s">
        <v>646</v>
      </c>
      <c r="GL8" s="429">
        <v>11.4</v>
      </c>
      <c r="GM8" s="117">
        <v>20</v>
      </c>
      <c r="GN8" s="429" t="s">
        <v>646</v>
      </c>
      <c r="GO8" s="430">
        <v>16.399999999999999</v>
      </c>
      <c r="GP8" s="387">
        <v>30</v>
      </c>
      <c r="GQ8" s="425">
        <v>8.8000000000000007</v>
      </c>
      <c r="GR8" s="388">
        <v>25</v>
      </c>
      <c r="GS8" s="388">
        <v>35</v>
      </c>
      <c r="GT8" s="431">
        <v>28.1</v>
      </c>
      <c r="GU8" s="388">
        <v>350</v>
      </c>
      <c r="GV8" s="394"/>
      <c r="GW8" s="100">
        <f t="shared" si="17"/>
        <v>42318</v>
      </c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  <c r="HW8" s="394"/>
    </row>
    <row r="9" spans="2:231" x14ac:dyDescent="0.15">
      <c r="B9" s="89" t="s">
        <v>7</v>
      </c>
      <c r="C9" s="102">
        <v>70805154</v>
      </c>
      <c r="D9" s="73">
        <f t="shared" si="0"/>
        <v>31690284</v>
      </c>
      <c r="E9" s="102">
        <v>667596</v>
      </c>
      <c r="F9" s="102">
        <v>31022688</v>
      </c>
      <c r="G9" s="73">
        <f t="shared" si="1"/>
        <v>4843290</v>
      </c>
      <c r="H9" s="102">
        <v>1162039</v>
      </c>
      <c r="I9" s="102">
        <v>3681251</v>
      </c>
      <c r="J9" s="102">
        <v>24985174</v>
      </c>
      <c r="K9" s="102">
        <v>10055521</v>
      </c>
      <c r="L9" s="102">
        <v>12156315</v>
      </c>
      <c r="M9" s="102">
        <v>2577902</v>
      </c>
      <c r="N9" s="102">
        <v>2053481</v>
      </c>
      <c r="O9" s="102">
        <v>5852794</v>
      </c>
      <c r="P9" s="102">
        <v>3143685</v>
      </c>
      <c r="Q9" s="102">
        <v>2709109</v>
      </c>
      <c r="R9" s="102">
        <v>2260704</v>
      </c>
      <c r="S9" s="74"/>
      <c r="T9" s="73">
        <f t="shared" si="2"/>
        <v>7435333</v>
      </c>
      <c r="U9" s="102">
        <v>109875</v>
      </c>
      <c r="V9" s="102">
        <v>507610</v>
      </c>
      <c r="W9" s="102">
        <v>292807</v>
      </c>
      <c r="X9" s="102">
        <v>6299377</v>
      </c>
      <c r="Y9" s="102">
        <v>0</v>
      </c>
      <c r="Z9" s="102">
        <v>0</v>
      </c>
      <c r="AA9" s="102">
        <v>172093</v>
      </c>
      <c r="AB9" s="102">
        <v>53571</v>
      </c>
      <c r="AC9" s="102">
        <v>870486</v>
      </c>
      <c r="AD9" s="102">
        <v>6188348</v>
      </c>
      <c r="AE9" s="102">
        <v>5583158</v>
      </c>
      <c r="AF9" s="102">
        <v>605153</v>
      </c>
      <c r="AG9" s="102">
        <v>40801</v>
      </c>
      <c r="AH9" s="102">
        <v>1310343</v>
      </c>
      <c r="AI9" s="73">
        <f t="shared" si="3"/>
        <v>2439573</v>
      </c>
      <c r="AJ9" s="102">
        <v>2140065</v>
      </c>
      <c r="AK9" s="102">
        <v>299508</v>
      </c>
      <c r="AL9" s="102">
        <v>32306068</v>
      </c>
      <c r="AM9" s="73">
        <f t="shared" si="4"/>
        <v>18957290</v>
      </c>
      <c r="AN9" s="102">
        <v>13514363</v>
      </c>
      <c r="AO9" s="102">
        <v>609173</v>
      </c>
      <c r="AP9" s="74"/>
      <c r="AQ9" s="102">
        <v>4833754</v>
      </c>
      <c r="AR9" s="102">
        <v>904667</v>
      </c>
      <c r="AS9" s="102">
        <v>0</v>
      </c>
      <c r="AT9" s="102">
        <v>0</v>
      </c>
      <c r="AU9" s="102">
        <v>10369492</v>
      </c>
      <c r="AV9" s="102">
        <v>6527653</v>
      </c>
      <c r="AW9" s="102">
        <v>0</v>
      </c>
      <c r="AX9" s="102">
        <v>36131</v>
      </c>
      <c r="AY9" s="102">
        <v>3841839</v>
      </c>
      <c r="AZ9" s="102">
        <v>18099</v>
      </c>
      <c r="BA9" s="102">
        <v>1288054</v>
      </c>
      <c r="BB9" s="102">
        <v>1181394</v>
      </c>
      <c r="BC9" s="102">
        <v>159002</v>
      </c>
      <c r="BD9" s="102">
        <v>648708</v>
      </c>
      <c r="BE9" s="102">
        <v>0</v>
      </c>
      <c r="BF9" s="102">
        <v>301787</v>
      </c>
      <c r="BG9" s="102">
        <v>217135</v>
      </c>
      <c r="BH9" s="102">
        <v>0</v>
      </c>
      <c r="BI9" s="102">
        <v>4322753</v>
      </c>
      <c r="BJ9" s="102">
        <v>3011156</v>
      </c>
      <c r="BK9" s="102">
        <v>2698198</v>
      </c>
      <c r="BL9" s="102">
        <v>186907</v>
      </c>
      <c r="BM9" s="102">
        <v>0</v>
      </c>
      <c r="BN9" s="102">
        <v>193932</v>
      </c>
      <c r="BO9" s="102">
        <v>8542545</v>
      </c>
      <c r="BP9" s="73">
        <f t="shared" si="5"/>
        <v>2989900</v>
      </c>
      <c r="BQ9" s="73">
        <f t="shared" si="6"/>
        <v>5552645</v>
      </c>
      <c r="BR9" s="102">
        <v>0</v>
      </c>
      <c r="BS9" s="102">
        <v>0</v>
      </c>
      <c r="BT9" s="102">
        <v>5552645</v>
      </c>
      <c r="BU9" s="102">
        <v>0</v>
      </c>
      <c r="BV9" s="102">
        <v>151685562</v>
      </c>
      <c r="BW9" s="71"/>
      <c r="BX9" s="102">
        <v>26165846</v>
      </c>
      <c r="BY9" s="102">
        <v>16941358</v>
      </c>
      <c r="BZ9" s="102">
        <v>1411428</v>
      </c>
      <c r="CA9" s="102">
        <v>3213217</v>
      </c>
      <c r="CB9" s="102">
        <v>50969238</v>
      </c>
      <c r="CC9" s="102">
        <v>11777335</v>
      </c>
      <c r="CD9" s="102">
        <v>252466</v>
      </c>
      <c r="CE9" s="102">
        <v>20605290</v>
      </c>
      <c r="CF9" s="102">
        <v>18038500</v>
      </c>
      <c r="CG9" s="102">
        <v>276599</v>
      </c>
      <c r="CH9" s="102">
        <v>16141</v>
      </c>
      <c r="CI9" s="102">
        <v>9743766</v>
      </c>
      <c r="CJ9" s="102">
        <v>9277309</v>
      </c>
      <c r="CK9" s="83">
        <f t="shared" si="7"/>
        <v>466457</v>
      </c>
      <c r="CL9" s="102">
        <v>17681134</v>
      </c>
      <c r="CM9" s="102">
        <v>10311654</v>
      </c>
      <c r="CN9" s="102">
        <v>734094</v>
      </c>
      <c r="CO9" s="102">
        <v>3496525</v>
      </c>
      <c r="CP9" s="102">
        <v>1227303</v>
      </c>
      <c r="CQ9" s="102">
        <v>12387342</v>
      </c>
      <c r="CR9" s="102">
        <v>1571454</v>
      </c>
      <c r="CS9" s="102">
        <v>3513859</v>
      </c>
      <c r="CT9" s="102">
        <v>3513859</v>
      </c>
      <c r="CU9" s="73">
        <f t="shared" si="8"/>
        <v>5358683</v>
      </c>
      <c r="CV9" s="102">
        <v>4769313</v>
      </c>
      <c r="CW9" s="102">
        <v>589370</v>
      </c>
      <c r="CX9" s="73">
        <f t="shared" si="9"/>
        <v>2261892</v>
      </c>
      <c r="CY9" s="102">
        <v>1871251</v>
      </c>
      <c r="CZ9" s="102">
        <v>390641</v>
      </c>
      <c r="DA9" s="73">
        <f t="shared" si="10"/>
        <v>2920539</v>
      </c>
      <c r="DB9" s="102">
        <v>2754728</v>
      </c>
      <c r="DC9" s="102">
        <v>165811</v>
      </c>
      <c r="DD9" s="102">
        <v>9166981</v>
      </c>
      <c r="DE9" s="102">
        <v>1519192</v>
      </c>
      <c r="DF9" s="102">
        <v>7647789</v>
      </c>
      <c r="DG9" s="102">
        <v>0</v>
      </c>
      <c r="DH9" s="102">
        <v>0</v>
      </c>
      <c r="DI9" s="102">
        <v>28305</v>
      </c>
      <c r="DJ9" s="102">
        <v>4067601</v>
      </c>
      <c r="DK9" s="102">
        <v>1246521</v>
      </c>
      <c r="DL9" s="102">
        <v>418002</v>
      </c>
      <c r="DM9" s="102">
        <v>2403078</v>
      </c>
      <c r="DN9" s="102">
        <v>90200</v>
      </c>
      <c r="DO9" s="102">
        <v>107000</v>
      </c>
      <c r="DP9" s="102">
        <v>107000</v>
      </c>
      <c r="DQ9" s="102">
        <v>0</v>
      </c>
      <c r="DR9" s="102">
        <v>400895</v>
      </c>
      <c r="DS9" s="102">
        <v>0</v>
      </c>
      <c r="DT9" s="102">
        <v>0</v>
      </c>
      <c r="DU9" s="102">
        <v>14410089</v>
      </c>
      <c r="DV9" s="102">
        <v>0</v>
      </c>
      <c r="DW9" s="73">
        <f t="shared" si="11"/>
        <v>0</v>
      </c>
      <c r="DX9" s="102">
        <v>0</v>
      </c>
      <c r="DY9" s="102">
        <v>5035501</v>
      </c>
      <c r="DZ9" s="102">
        <v>7335</v>
      </c>
      <c r="EA9" s="102">
        <v>3956833</v>
      </c>
      <c r="EB9" s="74">
        <v>0</v>
      </c>
      <c r="EC9" s="102">
        <v>5264930</v>
      </c>
      <c r="ED9" s="102">
        <v>0</v>
      </c>
      <c r="EE9" s="102">
        <v>146338700</v>
      </c>
      <c r="EF9" s="71"/>
      <c r="EG9" s="102">
        <v>5346862</v>
      </c>
      <c r="EH9" s="102">
        <v>483320</v>
      </c>
      <c r="EI9" s="102">
        <v>4863542</v>
      </c>
      <c r="EJ9" s="102">
        <v>1852386</v>
      </c>
      <c r="EK9" s="102">
        <v>3098907</v>
      </c>
      <c r="EL9" s="71"/>
      <c r="EM9" s="102">
        <v>395479</v>
      </c>
      <c r="EN9" s="102">
        <v>408464</v>
      </c>
      <c r="EO9" s="102">
        <v>355571</v>
      </c>
      <c r="EP9" s="102">
        <v>1284708</v>
      </c>
      <c r="EQ9" s="73">
        <f t="shared" si="12"/>
        <v>5593938</v>
      </c>
      <c r="ER9" s="102">
        <v>87600826</v>
      </c>
      <c r="ES9" s="71">
        <v>-12746061</v>
      </c>
      <c r="ET9" s="102">
        <v>24121178</v>
      </c>
      <c r="EU9" s="102">
        <v>15763273</v>
      </c>
      <c r="EV9" s="102">
        <v>15208706</v>
      </c>
      <c r="EW9" s="102">
        <v>9585535</v>
      </c>
      <c r="EX9" s="73">
        <f t="shared" si="13"/>
        <v>4214099</v>
      </c>
      <c r="EY9" s="102">
        <v>4213752</v>
      </c>
      <c r="EZ9" s="102">
        <v>258990</v>
      </c>
      <c r="FA9" s="102">
        <v>3954762</v>
      </c>
      <c r="FB9" s="102">
        <v>347</v>
      </c>
      <c r="FC9" s="102">
        <v>0</v>
      </c>
      <c r="FD9" s="102">
        <v>13862495</v>
      </c>
      <c r="FE9" s="102">
        <v>11038480</v>
      </c>
      <c r="FF9" s="102">
        <v>1571454</v>
      </c>
      <c r="FG9" s="102">
        <v>11696387</v>
      </c>
      <c r="FH9" s="73">
        <f t="shared" si="14"/>
        <v>5273145</v>
      </c>
      <c r="FI9" s="102">
        <v>95000025</v>
      </c>
      <c r="FJ9" s="379">
        <f t="shared" si="15"/>
        <v>5.8</v>
      </c>
      <c r="FK9" s="102">
        <v>78896499</v>
      </c>
      <c r="FL9" s="102">
        <v>5552645</v>
      </c>
      <c r="FM9" s="102">
        <v>56392698</v>
      </c>
      <c r="FN9" s="102">
        <v>62002749</v>
      </c>
      <c r="FO9" s="428">
        <v>0.91600000000000004</v>
      </c>
      <c r="FP9" s="424">
        <v>91.4</v>
      </c>
      <c r="FQ9" s="425">
        <v>26.9</v>
      </c>
      <c r="FR9" s="424">
        <v>17.2</v>
      </c>
      <c r="FS9" s="424">
        <v>10.9</v>
      </c>
      <c r="FT9" s="425">
        <v>14</v>
      </c>
      <c r="FU9" s="424">
        <v>9.9</v>
      </c>
      <c r="FV9" s="426">
        <v>11.3</v>
      </c>
      <c r="FW9" s="388">
        <v>3.1</v>
      </c>
      <c r="FX9" s="102">
        <v>87249318</v>
      </c>
      <c r="FY9" s="384">
        <f t="shared" si="16"/>
        <v>103.3</v>
      </c>
      <c r="FZ9" s="102">
        <v>15505939</v>
      </c>
      <c r="GA9" s="102">
        <v>6034712</v>
      </c>
      <c r="GB9" s="102">
        <v>1552005</v>
      </c>
      <c r="GC9" s="102">
        <v>7919222</v>
      </c>
      <c r="GD9" s="107">
        <v>0</v>
      </c>
      <c r="GE9" s="427"/>
      <c r="GF9" s="386"/>
      <c r="GG9" s="424">
        <v>99.2</v>
      </c>
      <c r="GH9" s="424">
        <v>28.1</v>
      </c>
      <c r="GI9" s="424">
        <v>97.4</v>
      </c>
      <c r="GJ9" s="102">
        <v>2387</v>
      </c>
      <c r="GK9" s="429" t="s">
        <v>646</v>
      </c>
      <c r="GL9" s="429">
        <v>11.25</v>
      </c>
      <c r="GM9" s="117">
        <v>20</v>
      </c>
      <c r="GN9" s="429" t="s">
        <v>646</v>
      </c>
      <c r="GO9" s="430">
        <v>16.25</v>
      </c>
      <c r="GP9" s="387">
        <v>30</v>
      </c>
      <c r="GQ9" s="425">
        <v>3.1</v>
      </c>
      <c r="GR9" s="388">
        <v>25</v>
      </c>
      <c r="GS9" s="388">
        <v>35</v>
      </c>
      <c r="GT9" s="431" t="s">
        <v>646</v>
      </c>
      <c r="GU9" s="388">
        <v>350</v>
      </c>
      <c r="GV9" s="394"/>
      <c r="GW9" s="100">
        <f t="shared" si="17"/>
        <v>84449</v>
      </c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  <c r="HW9" s="394"/>
    </row>
    <row r="10" spans="2:231" x14ac:dyDescent="0.15">
      <c r="B10" s="89" t="s">
        <v>9</v>
      </c>
      <c r="C10" s="102">
        <v>18307777</v>
      </c>
      <c r="D10" s="73">
        <f t="shared" si="0"/>
        <v>7209045</v>
      </c>
      <c r="E10" s="102">
        <v>175308</v>
      </c>
      <c r="F10" s="102">
        <v>7033737</v>
      </c>
      <c r="G10" s="73">
        <f t="shared" si="1"/>
        <v>2659187</v>
      </c>
      <c r="H10" s="102">
        <v>297542</v>
      </c>
      <c r="I10" s="102">
        <v>2361645</v>
      </c>
      <c r="J10" s="102">
        <v>6306346</v>
      </c>
      <c r="K10" s="102">
        <v>2701425</v>
      </c>
      <c r="L10" s="102">
        <v>2838172</v>
      </c>
      <c r="M10" s="102">
        <v>754159</v>
      </c>
      <c r="N10" s="102">
        <v>571627</v>
      </c>
      <c r="O10" s="102">
        <v>1440567</v>
      </c>
      <c r="P10" s="102">
        <v>827214</v>
      </c>
      <c r="Q10" s="102">
        <v>613353</v>
      </c>
      <c r="R10" s="102">
        <v>216733</v>
      </c>
      <c r="S10" s="74"/>
      <c r="T10" s="73">
        <f t="shared" si="2"/>
        <v>2029861</v>
      </c>
      <c r="U10" s="102">
        <v>25766</v>
      </c>
      <c r="V10" s="102">
        <v>118780</v>
      </c>
      <c r="W10" s="102">
        <v>68241</v>
      </c>
      <c r="X10" s="102">
        <v>1701718</v>
      </c>
      <c r="Y10" s="102">
        <v>56203</v>
      </c>
      <c r="Z10" s="102">
        <v>0</v>
      </c>
      <c r="AA10" s="102">
        <v>45111</v>
      </c>
      <c r="AB10" s="102">
        <v>14042</v>
      </c>
      <c r="AC10" s="102">
        <v>227044</v>
      </c>
      <c r="AD10" s="102">
        <v>2409922</v>
      </c>
      <c r="AE10" s="102">
        <v>1852206</v>
      </c>
      <c r="AF10" s="102">
        <v>557716</v>
      </c>
      <c r="AG10" s="102">
        <v>11056</v>
      </c>
      <c r="AH10" s="102">
        <v>213043</v>
      </c>
      <c r="AI10" s="73">
        <f t="shared" si="3"/>
        <v>966442</v>
      </c>
      <c r="AJ10" s="102">
        <v>701795</v>
      </c>
      <c r="AK10" s="102">
        <v>264647</v>
      </c>
      <c r="AL10" s="102">
        <v>7255739</v>
      </c>
      <c r="AM10" s="73">
        <f t="shared" si="4"/>
        <v>2895421</v>
      </c>
      <c r="AN10" s="102">
        <v>1234796</v>
      </c>
      <c r="AO10" s="102">
        <v>790305</v>
      </c>
      <c r="AP10" s="74"/>
      <c r="AQ10" s="102">
        <v>870320</v>
      </c>
      <c r="AR10" s="102">
        <v>1237489</v>
      </c>
      <c r="AS10" s="102">
        <v>0</v>
      </c>
      <c r="AT10" s="102">
        <v>0</v>
      </c>
      <c r="AU10" s="102">
        <v>2872550</v>
      </c>
      <c r="AV10" s="102">
        <v>1740952</v>
      </c>
      <c r="AW10" s="102">
        <v>344841</v>
      </c>
      <c r="AX10" s="102">
        <v>199024</v>
      </c>
      <c r="AY10" s="102">
        <v>1131598</v>
      </c>
      <c r="AZ10" s="102">
        <v>31667</v>
      </c>
      <c r="BA10" s="102">
        <v>314057</v>
      </c>
      <c r="BB10" s="102">
        <v>273292</v>
      </c>
      <c r="BC10" s="102">
        <v>113325</v>
      </c>
      <c r="BD10" s="102">
        <v>448388</v>
      </c>
      <c r="BE10" s="102">
        <v>200000</v>
      </c>
      <c r="BF10" s="102">
        <v>0</v>
      </c>
      <c r="BG10" s="102">
        <v>243372</v>
      </c>
      <c r="BH10" s="102">
        <v>0</v>
      </c>
      <c r="BI10" s="102">
        <v>137692</v>
      </c>
      <c r="BJ10" s="102">
        <v>21978</v>
      </c>
      <c r="BK10" s="102">
        <v>764395</v>
      </c>
      <c r="BL10" s="102">
        <v>113420</v>
      </c>
      <c r="BM10" s="102">
        <v>1667</v>
      </c>
      <c r="BN10" s="102">
        <v>134280</v>
      </c>
      <c r="BO10" s="102">
        <v>4560200</v>
      </c>
      <c r="BP10" s="73">
        <f t="shared" si="5"/>
        <v>3560200</v>
      </c>
      <c r="BQ10" s="73">
        <f t="shared" si="6"/>
        <v>1000000</v>
      </c>
      <c r="BR10" s="102">
        <v>0</v>
      </c>
      <c r="BS10" s="102">
        <v>0</v>
      </c>
      <c r="BT10" s="102">
        <v>1000000</v>
      </c>
      <c r="BU10" s="102">
        <v>0</v>
      </c>
      <c r="BV10" s="102">
        <v>40848224</v>
      </c>
      <c r="BW10" s="71"/>
      <c r="BX10" s="102">
        <v>6304748</v>
      </c>
      <c r="BY10" s="102">
        <v>4343883</v>
      </c>
      <c r="BZ10" s="102">
        <v>404126</v>
      </c>
      <c r="CA10" s="102">
        <v>275350</v>
      </c>
      <c r="CB10" s="102">
        <v>9198894</v>
      </c>
      <c r="CC10" s="102">
        <v>2272950</v>
      </c>
      <c r="CD10" s="102">
        <v>30992</v>
      </c>
      <c r="CE10" s="102">
        <v>4814583</v>
      </c>
      <c r="CF10" s="102">
        <v>1586827</v>
      </c>
      <c r="CG10" s="102">
        <v>12491</v>
      </c>
      <c r="CH10" s="102">
        <v>480651</v>
      </c>
      <c r="CI10" s="102">
        <v>3093623</v>
      </c>
      <c r="CJ10" s="102">
        <v>2876792</v>
      </c>
      <c r="CK10" s="83">
        <f t="shared" si="7"/>
        <v>216831</v>
      </c>
      <c r="CL10" s="102">
        <v>6349537</v>
      </c>
      <c r="CM10" s="102">
        <v>3735673</v>
      </c>
      <c r="CN10" s="102">
        <v>698776</v>
      </c>
      <c r="CO10" s="102">
        <v>791346</v>
      </c>
      <c r="CP10" s="102">
        <v>312185</v>
      </c>
      <c r="CQ10" s="102">
        <v>2694747</v>
      </c>
      <c r="CR10" s="102">
        <v>2310</v>
      </c>
      <c r="CS10" s="102">
        <v>817441</v>
      </c>
      <c r="CT10" s="102">
        <v>652489</v>
      </c>
      <c r="CU10" s="73">
        <f t="shared" si="8"/>
        <v>1025398</v>
      </c>
      <c r="CV10" s="102">
        <v>942773</v>
      </c>
      <c r="CW10" s="102">
        <v>82625</v>
      </c>
      <c r="CX10" s="73">
        <f t="shared" si="9"/>
        <v>279007</v>
      </c>
      <c r="CY10" s="102">
        <v>279007</v>
      </c>
      <c r="CZ10" s="102">
        <v>0</v>
      </c>
      <c r="DA10" s="73">
        <f t="shared" si="10"/>
        <v>743483</v>
      </c>
      <c r="DB10" s="102">
        <v>660858</v>
      </c>
      <c r="DC10" s="102">
        <v>82625</v>
      </c>
      <c r="DD10" s="102">
        <v>7438765</v>
      </c>
      <c r="DE10" s="102">
        <v>4254075</v>
      </c>
      <c r="DF10" s="102">
        <v>3184690</v>
      </c>
      <c r="DG10" s="102">
        <v>0</v>
      </c>
      <c r="DH10" s="102">
        <v>0</v>
      </c>
      <c r="DI10" s="102">
        <v>11731</v>
      </c>
      <c r="DJ10" s="102">
        <v>231324</v>
      </c>
      <c r="DK10" s="102">
        <v>2132</v>
      </c>
      <c r="DL10" s="102">
        <v>0</v>
      </c>
      <c r="DM10" s="102">
        <v>229192</v>
      </c>
      <c r="DN10" s="102">
        <v>774712</v>
      </c>
      <c r="DO10" s="102">
        <v>774712</v>
      </c>
      <c r="DP10" s="102">
        <v>0</v>
      </c>
      <c r="DQ10" s="102">
        <v>761118</v>
      </c>
      <c r="DR10" s="102">
        <v>111800</v>
      </c>
      <c r="DS10" s="102">
        <v>0</v>
      </c>
      <c r="DT10" s="102">
        <v>0</v>
      </c>
      <c r="DU10" s="102">
        <v>3819460</v>
      </c>
      <c r="DV10" s="102">
        <v>0</v>
      </c>
      <c r="DW10" s="73">
        <f t="shared" si="11"/>
        <v>0</v>
      </c>
      <c r="DX10" s="102">
        <v>0</v>
      </c>
      <c r="DY10" s="102">
        <v>1412745</v>
      </c>
      <c r="DZ10" s="102">
        <v>8521</v>
      </c>
      <c r="EA10" s="102">
        <v>983707</v>
      </c>
      <c r="EB10" s="74">
        <v>0</v>
      </c>
      <c r="EC10" s="102">
        <v>1414487</v>
      </c>
      <c r="ED10" s="102">
        <v>0</v>
      </c>
      <c r="EE10" s="102">
        <v>40341526</v>
      </c>
      <c r="EF10" s="71"/>
      <c r="EG10" s="102">
        <v>506698</v>
      </c>
      <c r="EH10" s="102">
        <v>397343</v>
      </c>
      <c r="EI10" s="102">
        <v>109355</v>
      </c>
      <c r="EJ10" s="102">
        <v>-12623</v>
      </c>
      <c r="EK10" s="102">
        <v>-198141</v>
      </c>
      <c r="EL10" s="71"/>
      <c r="EM10" s="102">
        <v>103069</v>
      </c>
      <c r="EN10" s="102">
        <v>103613</v>
      </c>
      <c r="EO10" s="102">
        <v>200000</v>
      </c>
      <c r="EP10" s="102">
        <v>310528</v>
      </c>
      <c r="EQ10" s="73">
        <f t="shared" si="12"/>
        <v>615020</v>
      </c>
      <c r="ER10" s="102">
        <v>23202393</v>
      </c>
      <c r="ES10" s="71">
        <v>-2114492</v>
      </c>
      <c r="ET10" s="102">
        <v>5968150</v>
      </c>
      <c r="EU10" s="102">
        <v>4103203</v>
      </c>
      <c r="EV10" s="102">
        <v>2881828</v>
      </c>
      <c r="EW10" s="102">
        <v>3093623</v>
      </c>
      <c r="EX10" s="73">
        <f t="shared" si="13"/>
        <v>1360441</v>
      </c>
      <c r="EY10" s="102">
        <v>1360441</v>
      </c>
      <c r="EZ10" s="102">
        <v>423645</v>
      </c>
      <c r="FA10" s="102">
        <v>936796</v>
      </c>
      <c r="FB10" s="102">
        <v>0</v>
      </c>
      <c r="FC10" s="102">
        <v>0</v>
      </c>
      <c r="FD10" s="102">
        <v>5064789</v>
      </c>
      <c r="FE10" s="102">
        <v>2159790</v>
      </c>
      <c r="FF10" s="102">
        <v>2310</v>
      </c>
      <c r="FG10" s="102">
        <v>3096458</v>
      </c>
      <c r="FH10" s="73">
        <f t="shared" si="14"/>
        <v>1185108</v>
      </c>
      <c r="FI10" s="102">
        <v>24810187</v>
      </c>
      <c r="FJ10" s="379">
        <f t="shared" si="15"/>
        <v>0.5</v>
      </c>
      <c r="FK10" s="102">
        <v>20711585</v>
      </c>
      <c r="FL10" s="102">
        <v>1055959</v>
      </c>
      <c r="FM10" s="102">
        <v>14520904</v>
      </c>
      <c r="FN10" s="102">
        <v>16387543</v>
      </c>
      <c r="FO10" s="428">
        <v>0.872</v>
      </c>
      <c r="FP10" s="424">
        <v>93.4</v>
      </c>
      <c r="FQ10" s="425">
        <v>25.8</v>
      </c>
      <c r="FR10" s="424">
        <v>12.8</v>
      </c>
      <c r="FS10" s="424">
        <v>13.7</v>
      </c>
      <c r="FT10" s="425">
        <v>19.899999999999999</v>
      </c>
      <c r="FU10" s="424">
        <v>6.9</v>
      </c>
      <c r="FV10" s="426">
        <v>13.1</v>
      </c>
      <c r="FW10" s="388">
        <v>4.7</v>
      </c>
      <c r="FX10" s="102">
        <v>36325056</v>
      </c>
      <c r="FY10" s="384">
        <f t="shared" si="16"/>
        <v>166.9</v>
      </c>
      <c r="FZ10" s="102">
        <v>7299401</v>
      </c>
      <c r="GA10" s="102">
        <v>5250190</v>
      </c>
      <c r="GB10" s="102">
        <v>0</v>
      </c>
      <c r="GC10" s="102">
        <v>2049211</v>
      </c>
      <c r="GD10" s="107">
        <v>0</v>
      </c>
      <c r="GE10" s="427"/>
      <c r="GF10" s="386"/>
      <c r="GG10" s="424">
        <v>99.3</v>
      </c>
      <c r="GH10" s="424">
        <v>32.1</v>
      </c>
      <c r="GI10" s="424">
        <v>97.4</v>
      </c>
      <c r="GJ10" s="102">
        <v>603</v>
      </c>
      <c r="GK10" s="429" t="s">
        <v>646</v>
      </c>
      <c r="GL10" s="429">
        <v>12.33</v>
      </c>
      <c r="GM10" s="117">
        <v>20</v>
      </c>
      <c r="GN10" s="429" t="s">
        <v>646</v>
      </c>
      <c r="GO10" s="430">
        <v>17.329999999999998</v>
      </c>
      <c r="GP10" s="387">
        <v>30</v>
      </c>
      <c r="GQ10" s="425">
        <v>4.7</v>
      </c>
      <c r="GR10" s="388">
        <v>25</v>
      </c>
      <c r="GS10" s="388">
        <v>35</v>
      </c>
      <c r="GT10" s="431" t="s">
        <v>646</v>
      </c>
      <c r="GU10" s="388">
        <v>350</v>
      </c>
      <c r="GV10" s="394"/>
      <c r="GW10" s="100">
        <f t="shared" si="17"/>
        <v>21768</v>
      </c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  <c r="HW10" s="394"/>
    </row>
    <row r="11" spans="2:231" x14ac:dyDescent="0.15">
      <c r="B11" s="89" t="s">
        <v>11</v>
      </c>
      <c r="C11" s="102">
        <v>68379527</v>
      </c>
      <c r="D11" s="73">
        <f t="shared" si="0"/>
        <v>28347352</v>
      </c>
      <c r="E11" s="102">
        <v>629334</v>
      </c>
      <c r="F11" s="102">
        <v>27718018</v>
      </c>
      <c r="G11" s="73">
        <f t="shared" si="1"/>
        <v>5232038</v>
      </c>
      <c r="H11" s="102">
        <v>1204455</v>
      </c>
      <c r="I11" s="102">
        <v>4027583</v>
      </c>
      <c r="J11" s="102">
        <v>26028104</v>
      </c>
      <c r="K11" s="102">
        <v>9590464</v>
      </c>
      <c r="L11" s="102">
        <v>12729805</v>
      </c>
      <c r="M11" s="102">
        <v>3061088</v>
      </c>
      <c r="N11" s="102">
        <v>1697917</v>
      </c>
      <c r="O11" s="102">
        <v>5710190</v>
      </c>
      <c r="P11" s="102">
        <v>2874650</v>
      </c>
      <c r="Q11" s="102">
        <v>2835540</v>
      </c>
      <c r="R11" s="102">
        <v>568105</v>
      </c>
      <c r="S11" s="74"/>
      <c r="T11" s="73">
        <f t="shared" si="2"/>
        <v>7201984</v>
      </c>
      <c r="U11" s="102">
        <v>102468</v>
      </c>
      <c r="V11" s="102">
        <v>473400</v>
      </c>
      <c r="W11" s="102">
        <v>273084</v>
      </c>
      <c r="X11" s="102">
        <v>6141371</v>
      </c>
      <c r="Y11" s="102">
        <v>0</v>
      </c>
      <c r="Z11" s="102">
        <v>0</v>
      </c>
      <c r="AA11" s="102">
        <v>161414</v>
      </c>
      <c r="AB11" s="102">
        <v>50247</v>
      </c>
      <c r="AC11" s="102">
        <v>986824</v>
      </c>
      <c r="AD11" s="102">
        <v>606070</v>
      </c>
      <c r="AE11" s="102">
        <v>364290</v>
      </c>
      <c r="AF11" s="102">
        <v>241756</v>
      </c>
      <c r="AG11" s="102">
        <v>37641</v>
      </c>
      <c r="AH11" s="102">
        <v>1051389</v>
      </c>
      <c r="AI11" s="73">
        <f t="shared" si="3"/>
        <v>2743319</v>
      </c>
      <c r="AJ11" s="102">
        <v>2178096</v>
      </c>
      <c r="AK11" s="102">
        <v>565223</v>
      </c>
      <c r="AL11" s="102">
        <v>24540658</v>
      </c>
      <c r="AM11" s="73">
        <f t="shared" si="4"/>
        <v>14626536</v>
      </c>
      <c r="AN11" s="102">
        <v>7482323</v>
      </c>
      <c r="AO11" s="102">
        <v>2782192</v>
      </c>
      <c r="AP11" s="74"/>
      <c r="AQ11" s="102">
        <v>4362021</v>
      </c>
      <c r="AR11" s="102">
        <v>1065796</v>
      </c>
      <c r="AS11" s="102">
        <v>0</v>
      </c>
      <c r="AT11" s="102">
        <v>0</v>
      </c>
      <c r="AU11" s="102">
        <v>9764384</v>
      </c>
      <c r="AV11" s="102">
        <v>6398567</v>
      </c>
      <c r="AW11" s="102">
        <v>1200941</v>
      </c>
      <c r="AX11" s="102">
        <v>537290</v>
      </c>
      <c r="AY11" s="102">
        <v>3365817</v>
      </c>
      <c r="AZ11" s="102">
        <v>67000</v>
      </c>
      <c r="BA11" s="102">
        <v>5090203</v>
      </c>
      <c r="BB11" s="102">
        <v>5026920</v>
      </c>
      <c r="BC11" s="102">
        <v>65181</v>
      </c>
      <c r="BD11" s="102">
        <v>365289</v>
      </c>
      <c r="BE11" s="102">
        <v>0</v>
      </c>
      <c r="BF11" s="102">
        <v>0</v>
      </c>
      <c r="BG11" s="102">
        <v>356478</v>
      </c>
      <c r="BH11" s="102">
        <v>0</v>
      </c>
      <c r="BI11" s="102">
        <v>3984546</v>
      </c>
      <c r="BJ11" s="102">
        <v>2455788</v>
      </c>
      <c r="BK11" s="102">
        <v>4295401</v>
      </c>
      <c r="BL11" s="102">
        <v>350793</v>
      </c>
      <c r="BM11" s="102">
        <v>140313</v>
      </c>
      <c r="BN11" s="102">
        <v>190120</v>
      </c>
      <c r="BO11" s="102">
        <v>7945500</v>
      </c>
      <c r="BP11" s="73">
        <f t="shared" si="5"/>
        <v>7945500</v>
      </c>
      <c r="BQ11" s="73">
        <f t="shared" si="6"/>
        <v>0</v>
      </c>
      <c r="BR11" s="102">
        <v>0</v>
      </c>
      <c r="BS11" s="102">
        <v>0</v>
      </c>
      <c r="BT11" s="102">
        <v>0</v>
      </c>
      <c r="BU11" s="102">
        <v>0</v>
      </c>
      <c r="BV11" s="102">
        <v>137626021</v>
      </c>
      <c r="BW11" s="71"/>
      <c r="BX11" s="102">
        <v>23032819</v>
      </c>
      <c r="BY11" s="102">
        <v>15602168</v>
      </c>
      <c r="BZ11" s="102">
        <v>1407327</v>
      </c>
      <c r="CA11" s="102">
        <v>1655624</v>
      </c>
      <c r="CB11" s="102">
        <v>40298838</v>
      </c>
      <c r="CC11" s="102">
        <v>9926618</v>
      </c>
      <c r="CD11" s="102">
        <v>87713</v>
      </c>
      <c r="CE11" s="102">
        <v>18502122</v>
      </c>
      <c r="CF11" s="102">
        <v>10092131</v>
      </c>
      <c r="CG11" s="102">
        <v>273946</v>
      </c>
      <c r="CH11" s="102">
        <v>1416268</v>
      </c>
      <c r="CI11" s="102">
        <v>5460027</v>
      </c>
      <c r="CJ11" s="102">
        <v>5120524</v>
      </c>
      <c r="CK11" s="83">
        <f t="shared" si="7"/>
        <v>339503</v>
      </c>
      <c r="CL11" s="102">
        <v>21105119</v>
      </c>
      <c r="CM11" s="102">
        <v>12846948</v>
      </c>
      <c r="CN11" s="102">
        <v>1699354</v>
      </c>
      <c r="CO11" s="102">
        <v>2617229</v>
      </c>
      <c r="CP11" s="102">
        <v>2497194</v>
      </c>
      <c r="CQ11" s="102">
        <v>7836118</v>
      </c>
      <c r="CR11" s="102">
        <v>8031</v>
      </c>
      <c r="CS11" s="102">
        <v>2177396</v>
      </c>
      <c r="CT11" s="102">
        <v>1524304</v>
      </c>
      <c r="CU11" s="73">
        <f t="shared" si="8"/>
        <v>2937615</v>
      </c>
      <c r="CV11" s="102">
        <v>2752836</v>
      </c>
      <c r="CW11" s="102">
        <v>184779</v>
      </c>
      <c r="CX11" s="73">
        <f t="shared" si="9"/>
        <v>0</v>
      </c>
      <c r="CY11" s="102">
        <v>0</v>
      </c>
      <c r="CZ11" s="102">
        <v>0</v>
      </c>
      <c r="DA11" s="73">
        <f t="shared" si="10"/>
        <v>2888559</v>
      </c>
      <c r="DB11" s="102">
        <v>2712531</v>
      </c>
      <c r="DC11" s="102">
        <v>176028</v>
      </c>
      <c r="DD11" s="102">
        <v>13268609</v>
      </c>
      <c r="DE11" s="102">
        <v>4720444</v>
      </c>
      <c r="DF11" s="102">
        <v>8393179</v>
      </c>
      <c r="DG11" s="102">
        <v>4606</v>
      </c>
      <c r="DH11" s="102">
        <v>150380</v>
      </c>
      <c r="DI11" s="102">
        <v>315283</v>
      </c>
      <c r="DJ11" s="102">
        <v>9460000</v>
      </c>
      <c r="DK11" s="102">
        <v>1227671</v>
      </c>
      <c r="DL11" s="102">
        <v>0</v>
      </c>
      <c r="DM11" s="102">
        <v>8232329</v>
      </c>
      <c r="DN11" s="102">
        <v>100</v>
      </c>
      <c r="DO11" s="102">
        <v>0</v>
      </c>
      <c r="DP11" s="102">
        <v>0</v>
      </c>
      <c r="DQ11" s="102">
        <v>0</v>
      </c>
      <c r="DR11" s="102">
        <v>371343</v>
      </c>
      <c r="DS11" s="102">
        <v>0</v>
      </c>
      <c r="DT11" s="102">
        <v>0</v>
      </c>
      <c r="DU11" s="102">
        <v>11890730</v>
      </c>
      <c r="DV11" s="102">
        <v>0</v>
      </c>
      <c r="DW11" s="73">
        <f t="shared" si="11"/>
        <v>0</v>
      </c>
      <c r="DX11" s="102">
        <v>0</v>
      </c>
      <c r="DY11" s="102">
        <v>4365251</v>
      </c>
      <c r="DZ11" s="102">
        <v>0</v>
      </c>
      <c r="EA11" s="102">
        <v>3293700</v>
      </c>
      <c r="EB11" s="74">
        <v>0</v>
      </c>
      <c r="EC11" s="102">
        <v>4103941</v>
      </c>
      <c r="ED11" s="102">
        <v>0</v>
      </c>
      <c r="EE11" s="102">
        <v>135536180</v>
      </c>
      <c r="EF11" s="71"/>
      <c r="EG11" s="102">
        <v>2089841</v>
      </c>
      <c r="EH11" s="102">
        <v>1675657</v>
      </c>
      <c r="EI11" s="102">
        <v>414184</v>
      </c>
      <c r="EJ11" s="102">
        <v>-2041604</v>
      </c>
      <c r="EK11" s="102">
        <v>-813933</v>
      </c>
      <c r="EL11" s="71"/>
      <c r="EM11" s="102">
        <v>374468</v>
      </c>
      <c r="EN11" s="102">
        <v>373557</v>
      </c>
      <c r="EO11" s="102">
        <v>73804</v>
      </c>
      <c r="EP11" s="102">
        <v>5088333</v>
      </c>
      <c r="EQ11" s="73">
        <f t="shared" si="12"/>
        <v>5795440</v>
      </c>
      <c r="ER11" s="102">
        <v>77780151</v>
      </c>
      <c r="ES11" s="71">
        <v>-10919936</v>
      </c>
      <c r="ET11" s="102">
        <v>21306619</v>
      </c>
      <c r="EU11" s="102">
        <v>14326094</v>
      </c>
      <c r="EV11" s="102">
        <v>12294616</v>
      </c>
      <c r="EW11" s="102">
        <v>5459294</v>
      </c>
      <c r="EX11" s="73">
        <f t="shared" si="13"/>
        <v>3803490</v>
      </c>
      <c r="EY11" s="102">
        <v>3752107</v>
      </c>
      <c r="EZ11" s="102">
        <v>237255</v>
      </c>
      <c r="FA11" s="102">
        <v>3502132</v>
      </c>
      <c r="FB11" s="102">
        <v>51383</v>
      </c>
      <c r="FC11" s="102">
        <v>0</v>
      </c>
      <c r="FD11" s="102">
        <v>16144366</v>
      </c>
      <c r="FE11" s="102">
        <v>6362968</v>
      </c>
      <c r="FF11" s="102">
        <v>8031</v>
      </c>
      <c r="FG11" s="102">
        <v>9495884</v>
      </c>
      <c r="FH11" s="73">
        <f t="shared" si="14"/>
        <v>11743009</v>
      </c>
      <c r="FI11" s="102">
        <v>86610246</v>
      </c>
      <c r="FJ11" s="379">
        <f t="shared" si="15"/>
        <v>0.6</v>
      </c>
      <c r="FK11" s="102">
        <v>70245170</v>
      </c>
      <c r="FL11" s="102">
        <v>1189905</v>
      </c>
      <c r="FM11" s="102">
        <v>53485093</v>
      </c>
      <c r="FN11" s="102">
        <v>54025452</v>
      </c>
      <c r="FO11" s="428">
        <v>0.99</v>
      </c>
      <c r="FP11" s="424">
        <v>96.7</v>
      </c>
      <c r="FQ11" s="425">
        <v>28.8</v>
      </c>
      <c r="FR11" s="424">
        <v>16.8</v>
      </c>
      <c r="FS11" s="424">
        <v>7.5</v>
      </c>
      <c r="FT11" s="425">
        <v>20.8</v>
      </c>
      <c r="FU11" s="424">
        <v>7.6</v>
      </c>
      <c r="FV11" s="426">
        <v>12</v>
      </c>
      <c r="FW11" s="388">
        <v>-2.7</v>
      </c>
      <c r="FX11" s="102">
        <v>51508727</v>
      </c>
      <c r="FY11" s="384">
        <f t="shared" si="16"/>
        <v>72.099999999999994</v>
      </c>
      <c r="FZ11" s="102">
        <v>32347686</v>
      </c>
      <c r="GA11" s="102">
        <v>13381519</v>
      </c>
      <c r="GB11" s="102">
        <v>0</v>
      </c>
      <c r="GC11" s="102">
        <v>18966167</v>
      </c>
      <c r="GD11" s="107">
        <v>0</v>
      </c>
      <c r="GE11" s="427"/>
      <c r="GF11" s="386"/>
      <c r="GG11" s="424">
        <v>99.5</v>
      </c>
      <c r="GH11" s="424">
        <v>34.1</v>
      </c>
      <c r="GI11" s="424">
        <v>98.4</v>
      </c>
      <c r="GJ11" s="102">
        <v>2422</v>
      </c>
      <c r="GK11" s="429" t="s">
        <v>646</v>
      </c>
      <c r="GL11" s="429">
        <v>11.25</v>
      </c>
      <c r="GM11" s="117">
        <v>20</v>
      </c>
      <c r="GN11" s="429" t="s">
        <v>646</v>
      </c>
      <c r="GO11" s="430">
        <v>16.25</v>
      </c>
      <c r="GP11" s="387">
        <v>30</v>
      </c>
      <c r="GQ11" s="425">
        <v>-2.7</v>
      </c>
      <c r="GR11" s="388">
        <v>25</v>
      </c>
      <c r="GS11" s="388">
        <v>35</v>
      </c>
      <c r="GT11" s="431" t="s">
        <v>646</v>
      </c>
      <c r="GU11" s="388">
        <v>350</v>
      </c>
      <c r="GV11" s="394"/>
      <c r="GW11" s="100">
        <f t="shared" si="17"/>
        <v>71435</v>
      </c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  <c r="HW11" s="394"/>
    </row>
    <row r="12" spans="2:231" x14ac:dyDescent="0.15">
      <c r="B12" s="89" t="s">
        <v>13</v>
      </c>
      <c r="C12" s="102">
        <v>11677574</v>
      </c>
      <c r="D12" s="73">
        <f t="shared" si="0"/>
        <v>3825632</v>
      </c>
      <c r="E12" s="102">
        <v>120062</v>
      </c>
      <c r="F12" s="102">
        <v>3705570</v>
      </c>
      <c r="G12" s="73">
        <f t="shared" si="1"/>
        <v>937656</v>
      </c>
      <c r="H12" s="102">
        <v>264255</v>
      </c>
      <c r="I12" s="102">
        <v>673401</v>
      </c>
      <c r="J12" s="102">
        <v>5229206</v>
      </c>
      <c r="K12" s="102">
        <v>1925019</v>
      </c>
      <c r="L12" s="102">
        <v>2068152</v>
      </c>
      <c r="M12" s="102">
        <v>707708</v>
      </c>
      <c r="N12" s="102">
        <v>588219</v>
      </c>
      <c r="O12" s="102">
        <v>979692</v>
      </c>
      <c r="P12" s="102">
        <v>525575</v>
      </c>
      <c r="Q12" s="102">
        <v>454117</v>
      </c>
      <c r="R12" s="102">
        <v>190352</v>
      </c>
      <c r="S12" s="74"/>
      <c r="T12" s="73">
        <f t="shared" si="2"/>
        <v>1412927</v>
      </c>
      <c r="U12" s="102">
        <v>13814</v>
      </c>
      <c r="V12" s="102">
        <v>63749</v>
      </c>
      <c r="W12" s="102">
        <v>36689</v>
      </c>
      <c r="X12" s="102">
        <v>1250771</v>
      </c>
      <c r="Y12" s="102">
        <v>0</v>
      </c>
      <c r="Z12" s="102">
        <v>0</v>
      </c>
      <c r="AA12" s="102">
        <v>36533</v>
      </c>
      <c r="AB12" s="102">
        <v>11371</v>
      </c>
      <c r="AC12" s="102">
        <v>200079</v>
      </c>
      <c r="AD12" s="102">
        <v>3890516</v>
      </c>
      <c r="AE12" s="102">
        <v>3588318</v>
      </c>
      <c r="AF12" s="102">
        <v>302198</v>
      </c>
      <c r="AG12" s="102">
        <v>12946</v>
      </c>
      <c r="AH12" s="102">
        <v>20432</v>
      </c>
      <c r="AI12" s="73">
        <f t="shared" si="3"/>
        <v>502659</v>
      </c>
      <c r="AJ12" s="102">
        <v>365233</v>
      </c>
      <c r="AK12" s="102">
        <v>137426</v>
      </c>
      <c r="AL12" s="102">
        <v>5248926</v>
      </c>
      <c r="AM12" s="73">
        <f t="shared" si="4"/>
        <v>3644978</v>
      </c>
      <c r="AN12" s="102">
        <v>2235942</v>
      </c>
      <c r="AO12" s="102">
        <v>479173</v>
      </c>
      <c r="AP12" s="74"/>
      <c r="AQ12" s="102">
        <v>929863</v>
      </c>
      <c r="AR12" s="102">
        <v>0</v>
      </c>
      <c r="AS12" s="102">
        <v>19410</v>
      </c>
      <c r="AT12" s="102">
        <v>0</v>
      </c>
      <c r="AU12" s="102">
        <v>1936531</v>
      </c>
      <c r="AV12" s="102">
        <v>1097604</v>
      </c>
      <c r="AW12" s="102">
        <v>212478</v>
      </c>
      <c r="AX12" s="102">
        <v>7609</v>
      </c>
      <c r="AY12" s="102">
        <v>838927</v>
      </c>
      <c r="AZ12" s="102">
        <v>818</v>
      </c>
      <c r="BA12" s="102">
        <v>136789</v>
      </c>
      <c r="BB12" s="102">
        <v>16694</v>
      </c>
      <c r="BC12" s="102">
        <v>462243</v>
      </c>
      <c r="BD12" s="102">
        <v>279086</v>
      </c>
      <c r="BE12" s="102">
        <v>0</v>
      </c>
      <c r="BF12" s="102">
        <v>0</v>
      </c>
      <c r="BG12" s="102">
        <v>215095</v>
      </c>
      <c r="BH12" s="102">
        <v>0</v>
      </c>
      <c r="BI12" s="102">
        <v>437879</v>
      </c>
      <c r="BJ12" s="102">
        <v>339612</v>
      </c>
      <c r="BK12" s="102">
        <v>575853</v>
      </c>
      <c r="BL12" s="102">
        <v>0</v>
      </c>
      <c r="BM12" s="102">
        <v>0</v>
      </c>
      <c r="BN12" s="102">
        <v>129165</v>
      </c>
      <c r="BO12" s="102">
        <v>1249271</v>
      </c>
      <c r="BP12" s="73">
        <f t="shared" si="5"/>
        <v>228200</v>
      </c>
      <c r="BQ12" s="73">
        <f t="shared" si="6"/>
        <v>1021071</v>
      </c>
      <c r="BR12" s="102">
        <v>0</v>
      </c>
      <c r="BS12" s="102">
        <v>0</v>
      </c>
      <c r="BT12" s="102">
        <v>1021071</v>
      </c>
      <c r="BU12" s="102">
        <v>0</v>
      </c>
      <c r="BV12" s="102">
        <v>28234063</v>
      </c>
      <c r="BW12" s="71"/>
      <c r="BX12" s="102">
        <v>4070625</v>
      </c>
      <c r="BY12" s="102">
        <v>2518303</v>
      </c>
      <c r="BZ12" s="102">
        <v>284870</v>
      </c>
      <c r="CA12" s="102">
        <v>428722</v>
      </c>
      <c r="CB12" s="102">
        <v>8556265</v>
      </c>
      <c r="CC12" s="102">
        <v>2181280</v>
      </c>
      <c r="CD12" s="102">
        <v>92587</v>
      </c>
      <c r="CE12" s="102">
        <v>3121730</v>
      </c>
      <c r="CF12" s="102">
        <v>2914721</v>
      </c>
      <c r="CG12" s="102">
        <v>4109</v>
      </c>
      <c r="CH12" s="102">
        <v>241838</v>
      </c>
      <c r="CI12" s="102">
        <v>2709769</v>
      </c>
      <c r="CJ12" s="102">
        <v>2423047</v>
      </c>
      <c r="CK12" s="83">
        <f t="shared" si="7"/>
        <v>286722</v>
      </c>
      <c r="CL12" s="102">
        <v>3312358</v>
      </c>
      <c r="CM12" s="102">
        <v>2061857</v>
      </c>
      <c r="CN12" s="102">
        <v>240568</v>
      </c>
      <c r="CO12" s="102">
        <v>447441</v>
      </c>
      <c r="CP12" s="102">
        <v>133973</v>
      </c>
      <c r="CQ12" s="102">
        <v>2169173</v>
      </c>
      <c r="CR12" s="102">
        <v>313214</v>
      </c>
      <c r="CS12" s="102">
        <v>323687</v>
      </c>
      <c r="CT12" s="102">
        <v>291429</v>
      </c>
      <c r="CU12" s="73">
        <f t="shared" si="8"/>
        <v>934979</v>
      </c>
      <c r="CV12" s="102">
        <v>927264</v>
      </c>
      <c r="CW12" s="102">
        <v>7715</v>
      </c>
      <c r="CX12" s="73">
        <f t="shared" si="9"/>
        <v>919947</v>
      </c>
      <c r="CY12" s="102">
        <v>919947</v>
      </c>
      <c r="CZ12" s="102">
        <v>0</v>
      </c>
      <c r="DA12" s="73">
        <f t="shared" si="10"/>
        <v>0</v>
      </c>
      <c r="DB12" s="102">
        <v>0</v>
      </c>
      <c r="DC12" s="102">
        <v>0</v>
      </c>
      <c r="DD12" s="102">
        <v>1079971</v>
      </c>
      <c r="DE12" s="102">
        <v>245069</v>
      </c>
      <c r="DF12" s="102">
        <v>834902</v>
      </c>
      <c r="DG12" s="102">
        <v>0</v>
      </c>
      <c r="DH12" s="102">
        <v>0</v>
      </c>
      <c r="DI12" s="102">
        <v>165277</v>
      </c>
      <c r="DJ12" s="102">
        <v>1359346</v>
      </c>
      <c r="DK12" s="102">
        <v>728882</v>
      </c>
      <c r="DL12" s="102">
        <v>0</v>
      </c>
      <c r="DM12" s="102">
        <v>630464</v>
      </c>
      <c r="DN12" s="102">
        <v>0</v>
      </c>
      <c r="DO12" s="102">
        <v>0</v>
      </c>
      <c r="DP12" s="102">
        <v>0</v>
      </c>
      <c r="DQ12" s="102">
        <v>0</v>
      </c>
      <c r="DR12" s="102">
        <v>0</v>
      </c>
      <c r="DS12" s="102">
        <v>0</v>
      </c>
      <c r="DT12" s="102">
        <v>0</v>
      </c>
      <c r="DU12" s="102">
        <v>4189174</v>
      </c>
      <c r="DV12" s="102">
        <v>1472257</v>
      </c>
      <c r="DW12" s="73">
        <f t="shared" si="11"/>
        <v>0</v>
      </c>
      <c r="DX12" s="102">
        <v>0</v>
      </c>
      <c r="DY12" s="102">
        <v>1024415</v>
      </c>
      <c r="DZ12" s="102">
        <v>0</v>
      </c>
      <c r="EA12" s="102">
        <v>806883</v>
      </c>
      <c r="EB12" s="74">
        <v>0</v>
      </c>
      <c r="EC12" s="102">
        <v>885619</v>
      </c>
      <c r="ED12" s="102">
        <v>0</v>
      </c>
      <c r="EE12" s="102">
        <v>27745931</v>
      </c>
      <c r="EF12" s="71"/>
      <c r="EG12" s="102">
        <v>488132</v>
      </c>
      <c r="EH12" s="102">
        <v>37443</v>
      </c>
      <c r="EI12" s="102">
        <v>450689</v>
      </c>
      <c r="EJ12" s="102">
        <v>111077</v>
      </c>
      <c r="EK12" s="102">
        <v>839959</v>
      </c>
      <c r="EL12" s="71"/>
      <c r="EM12" s="102">
        <v>75897</v>
      </c>
      <c r="EN12" s="102">
        <v>74605</v>
      </c>
      <c r="EO12" s="102">
        <v>0</v>
      </c>
      <c r="EP12" s="102">
        <v>4684</v>
      </c>
      <c r="EQ12" s="73">
        <f t="shared" si="12"/>
        <v>880934</v>
      </c>
      <c r="ER12" s="102">
        <v>17384394</v>
      </c>
      <c r="ES12" s="71">
        <v>-1893743</v>
      </c>
      <c r="ET12" s="102">
        <v>3587269</v>
      </c>
      <c r="EU12" s="102">
        <v>2182515</v>
      </c>
      <c r="EV12" s="102">
        <v>2724725</v>
      </c>
      <c r="EW12" s="102">
        <v>2681610</v>
      </c>
      <c r="EX12" s="73">
        <f t="shared" si="13"/>
        <v>707689</v>
      </c>
      <c r="EY12" s="102">
        <v>693218</v>
      </c>
      <c r="EZ12" s="102">
        <v>77724</v>
      </c>
      <c r="FA12" s="102">
        <v>615494</v>
      </c>
      <c r="FB12" s="102">
        <v>14471</v>
      </c>
      <c r="FC12" s="102">
        <v>0</v>
      </c>
      <c r="FD12" s="102">
        <v>2738711</v>
      </c>
      <c r="FE12" s="102">
        <v>2032893</v>
      </c>
      <c r="FF12" s="102">
        <v>313214</v>
      </c>
      <c r="FG12" s="102">
        <v>3453053</v>
      </c>
      <c r="FH12" s="73">
        <f t="shared" si="14"/>
        <v>864055</v>
      </c>
      <c r="FI12" s="102">
        <v>18790005</v>
      </c>
      <c r="FJ12" s="379">
        <f t="shared" si="15"/>
        <v>2.7</v>
      </c>
      <c r="FK12" s="102">
        <v>15678383</v>
      </c>
      <c r="FL12" s="102">
        <v>1021071</v>
      </c>
      <c r="FM12" s="102">
        <v>9427006</v>
      </c>
      <c r="FN12" s="102">
        <v>12959357</v>
      </c>
      <c r="FO12" s="428">
        <v>0.73199999999999998</v>
      </c>
      <c r="FP12" s="424">
        <v>95.2</v>
      </c>
      <c r="FQ12" s="425">
        <v>20.2</v>
      </c>
      <c r="FR12" s="424">
        <v>15.8</v>
      </c>
      <c r="FS12" s="424">
        <v>15.6</v>
      </c>
      <c r="FT12" s="425">
        <v>14.3</v>
      </c>
      <c r="FU12" s="424">
        <v>9.6</v>
      </c>
      <c r="FV12" s="426">
        <v>18.899999999999999</v>
      </c>
      <c r="FW12" s="388">
        <v>10.4</v>
      </c>
      <c r="FX12" s="102">
        <v>27956155</v>
      </c>
      <c r="FY12" s="384">
        <f t="shared" si="16"/>
        <v>167.4</v>
      </c>
      <c r="FZ12" s="102">
        <v>6542297</v>
      </c>
      <c r="GA12" s="102">
        <v>2957200</v>
      </c>
      <c r="GB12" s="102">
        <v>0</v>
      </c>
      <c r="GC12" s="102">
        <v>3585097</v>
      </c>
      <c r="GD12" s="107">
        <v>0</v>
      </c>
      <c r="GE12" s="427">
        <v>1944</v>
      </c>
      <c r="GF12" s="386">
        <f>IF(GE12=0,"-",ROUND(GE12/(GW12)*100,1))</f>
        <v>11.6</v>
      </c>
      <c r="GG12" s="424">
        <v>99.3</v>
      </c>
      <c r="GH12" s="424">
        <v>34.700000000000003</v>
      </c>
      <c r="GI12" s="424">
        <v>97.9</v>
      </c>
      <c r="GJ12" s="102">
        <v>434</v>
      </c>
      <c r="GK12" s="429" t="s">
        <v>646</v>
      </c>
      <c r="GL12" s="429">
        <v>12.66</v>
      </c>
      <c r="GM12" s="117">
        <v>20</v>
      </c>
      <c r="GN12" s="429" t="s">
        <v>646</v>
      </c>
      <c r="GO12" s="430">
        <v>17.66</v>
      </c>
      <c r="GP12" s="387">
        <v>30</v>
      </c>
      <c r="GQ12" s="425">
        <v>10.4</v>
      </c>
      <c r="GR12" s="388">
        <v>25</v>
      </c>
      <c r="GS12" s="388">
        <v>35</v>
      </c>
      <c r="GT12" s="431">
        <v>47.9</v>
      </c>
      <c r="GU12" s="388">
        <v>350</v>
      </c>
      <c r="GV12" s="394"/>
      <c r="GW12" s="100">
        <f t="shared" si="17"/>
        <v>16699</v>
      </c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  <c r="HW12" s="394"/>
    </row>
    <row r="13" spans="2:231" ht="12.75" customHeight="1" x14ac:dyDescent="0.15">
      <c r="B13" s="89" t="s">
        <v>15</v>
      </c>
      <c r="C13" s="102">
        <v>51038267</v>
      </c>
      <c r="D13" s="73">
        <f t="shared" si="0"/>
        <v>20901724</v>
      </c>
      <c r="E13" s="102">
        <v>587805</v>
      </c>
      <c r="F13" s="102">
        <v>20313919</v>
      </c>
      <c r="G13" s="73">
        <f t="shared" si="1"/>
        <v>3585564</v>
      </c>
      <c r="H13" s="102">
        <v>827105</v>
      </c>
      <c r="I13" s="102">
        <v>2758459</v>
      </c>
      <c r="J13" s="102">
        <v>19356693</v>
      </c>
      <c r="K13" s="102">
        <v>7953534</v>
      </c>
      <c r="L13" s="102">
        <v>8683963</v>
      </c>
      <c r="M13" s="102">
        <v>2469238</v>
      </c>
      <c r="N13" s="102">
        <v>1594194</v>
      </c>
      <c r="O13" s="102">
        <v>4003329</v>
      </c>
      <c r="P13" s="102">
        <v>2174786</v>
      </c>
      <c r="Q13" s="102">
        <v>1828543</v>
      </c>
      <c r="R13" s="102">
        <v>588777</v>
      </c>
      <c r="S13" s="74"/>
      <c r="T13" s="73">
        <f t="shared" si="2"/>
        <v>6366322</v>
      </c>
      <c r="U13" s="102">
        <v>76440</v>
      </c>
      <c r="V13" s="102">
        <v>352375</v>
      </c>
      <c r="W13" s="102">
        <v>202458</v>
      </c>
      <c r="X13" s="102">
        <v>5469378</v>
      </c>
      <c r="Y13" s="102">
        <v>47437</v>
      </c>
      <c r="Z13" s="102">
        <v>0</v>
      </c>
      <c r="AA13" s="102">
        <v>166429</v>
      </c>
      <c r="AB13" s="102">
        <v>51805</v>
      </c>
      <c r="AC13" s="102">
        <v>884104</v>
      </c>
      <c r="AD13" s="102">
        <v>10455384</v>
      </c>
      <c r="AE13" s="102">
        <v>9705601</v>
      </c>
      <c r="AF13" s="102">
        <v>749783</v>
      </c>
      <c r="AG13" s="102">
        <v>40611</v>
      </c>
      <c r="AH13" s="102">
        <v>864429</v>
      </c>
      <c r="AI13" s="73">
        <f t="shared" si="3"/>
        <v>2728499</v>
      </c>
      <c r="AJ13" s="102">
        <v>2231015</v>
      </c>
      <c r="AK13" s="102">
        <v>497484</v>
      </c>
      <c r="AL13" s="102">
        <v>24736397</v>
      </c>
      <c r="AM13" s="73">
        <f t="shared" si="4"/>
        <v>14255811</v>
      </c>
      <c r="AN13" s="102">
        <v>7784078</v>
      </c>
      <c r="AO13" s="102">
        <v>2984419</v>
      </c>
      <c r="AP13" s="74"/>
      <c r="AQ13" s="102">
        <v>3487314</v>
      </c>
      <c r="AR13" s="102">
        <v>1342961</v>
      </c>
      <c r="AS13" s="102">
        <v>132439</v>
      </c>
      <c r="AT13" s="102">
        <v>0</v>
      </c>
      <c r="AU13" s="102">
        <v>8640646</v>
      </c>
      <c r="AV13" s="102">
        <v>6503946</v>
      </c>
      <c r="AW13" s="102">
        <v>1495566</v>
      </c>
      <c r="AX13" s="102">
        <v>412367</v>
      </c>
      <c r="AY13" s="102">
        <v>2136700</v>
      </c>
      <c r="AZ13" s="102">
        <v>14645</v>
      </c>
      <c r="BA13" s="102">
        <v>228485</v>
      </c>
      <c r="BB13" s="102">
        <v>73936</v>
      </c>
      <c r="BC13" s="102">
        <v>73648</v>
      </c>
      <c r="BD13" s="102">
        <v>2775899</v>
      </c>
      <c r="BE13" s="102">
        <v>0</v>
      </c>
      <c r="BF13" s="102">
        <v>0</v>
      </c>
      <c r="BG13" s="102">
        <v>2771807</v>
      </c>
      <c r="BH13" s="102">
        <v>0</v>
      </c>
      <c r="BI13" s="102">
        <v>2566192</v>
      </c>
      <c r="BJ13" s="102">
        <v>499701</v>
      </c>
      <c r="BK13" s="102">
        <v>1990090</v>
      </c>
      <c r="BL13" s="102">
        <v>582537</v>
      </c>
      <c r="BM13" s="102">
        <v>0</v>
      </c>
      <c r="BN13" s="102">
        <v>186014</v>
      </c>
      <c r="BO13" s="102">
        <v>5493300</v>
      </c>
      <c r="BP13" s="73">
        <f t="shared" si="5"/>
        <v>3293300</v>
      </c>
      <c r="BQ13" s="73">
        <f t="shared" si="6"/>
        <v>2200000</v>
      </c>
      <c r="BR13" s="102">
        <v>0</v>
      </c>
      <c r="BS13" s="102">
        <v>0</v>
      </c>
      <c r="BT13" s="102">
        <v>2200000</v>
      </c>
      <c r="BU13" s="102">
        <v>0</v>
      </c>
      <c r="BV13" s="102">
        <v>119471050</v>
      </c>
      <c r="BW13" s="71"/>
      <c r="BX13" s="102">
        <v>19811873</v>
      </c>
      <c r="BY13" s="102">
        <v>12974113</v>
      </c>
      <c r="BZ13" s="102">
        <v>771907</v>
      </c>
      <c r="CA13" s="102">
        <v>2392425</v>
      </c>
      <c r="CB13" s="102">
        <v>36301758</v>
      </c>
      <c r="CC13" s="102">
        <v>8617794</v>
      </c>
      <c r="CD13" s="102">
        <v>167227</v>
      </c>
      <c r="CE13" s="102">
        <v>15968996</v>
      </c>
      <c r="CF13" s="102">
        <v>9923345</v>
      </c>
      <c r="CG13" s="102">
        <v>358746</v>
      </c>
      <c r="CH13" s="102">
        <v>1248890</v>
      </c>
      <c r="CI13" s="102">
        <v>8154739</v>
      </c>
      <c r="CJ13" s="102">
        <v>8001636</v>
      </c>
      <c r="CK13" s="83">
        <f t="shared" si="7"/>
        <v>153103</v>
      </c>
      <c r="CL13" s="102">
        <v>15435025</v>
      </c>
      <c r="CM13" s="102">
        <v>9327438</v>
      </c>
      <c r="CN13" s="102">
        <v>1247128</v>
      </c>
      <c r="CO13" s="102">
        <v>2788755</v>
      </c>
      <c r="CP13" s="102">
        <v>1597527</v>
      </c>
      <c r="CQ13" s="102">
        <v>8311103</v>
      </c>
      <c r="CR13" s="102">
        <v>22947</v>
      </c>
      <c r="CS13" s="102">
        <v>2588567</v>
      </c>
      <c r="CT13" s="102">
        <v>1719677</v>
      </c>
      <c r="CU13" s="73">
        <f t="shared" si="8"/>
        <v>3442468</v>
      </c>
      <c r="CV13" s="102">
        <v>2100548</v>
      </c>
      <c r="CW13" s="102">
        <v>1341920</v>
      </c>
      <c r="CX13" s="73">
        <f t="shared" si="9"/>
        <v>0</v>
      </c>
      <c r="CY13" s="102">
        <v>0</v>
      </c>
      <c r="CZ13" s="102">
        <v>0</v>
      </c>
      <c r="DA13" s="73">
        <f t="shared" si="10"/>
        <v>2459657</v>
      </c>
      <c r="DB13" s="102">
        <v>2048914</v>
      </c>
      <c r="DC13" s="102">
        <v>410743</v>
      </c>
      <c r="DD13" s="102">
        <v>11355353</v>
      </c>
      <c r="DE13" s="102">
        <v>4903939</v>
      </c>
      <c r="DF13" s="102">
        <v>6381666</v>
      </c>
      <c r="DG13" s="102">
        <v>69748</v>
      </c>
      <c r="DH13" s="102">
        <v>0</v>
      </c>
      <c r="DI13" s="102">
        <v>301545</v>
      </c>
      <c r="DJ13" s="102">
        <v>390574</v>
      </c>
      <c r="DK13" s="102">
        <v>274748</v>
      </c>
      <c r="DL13" s="102">
        <v>637</v>
      </c>
      <c r="DM13" s="102">
        <v>115189</v>
      </c>
      <c r="DN13" s="102">
        <v>1061704</v>
      </c>
      <c r="DO13" s="102">
        <v>1061704</v>
      </c>
      <c r="DP13" s="102">
        <v>0</v>
      </c>
      <c r="DQ13" s="102">
        <v>0</v>
      </c>
      <c r="DR13" s="102">
        <v>589789</v>
      </c>
      <c r="DS13" s="102">
        <v>0</v>
      </c>
      <c r="DT13" s="102">
        <v>0</v>
      </c>
      <c r="DU13" s="102">
        <v>11578050</v>
      </c>
      <c r="DV13" s="102">
        <v>0</v>
      </c>
      <c r="DW13" s="73">
        <f t="shared" si="11"/>
        <v>0</v>
      </c>
      <c r="DX13" s="102">
        <v>0</v>
      </c>
      <c r="DY13" s="102">
        <v>5162495</v>
      </c>
      <c r="DZ13" s="102">
        <v>0</v>
      </c>
      <c r="EA13" s="102">
        <v>2436706</v>
      </c>
      <c r="EB13" s="74">
        <v>0</v>
      </c>
      <c r="EC13" s="102">
        <v>3978783</v>
      </c>
      <c r="ED13" s="102">
        <v>0</v>
      </c>
      <c r="EE13" s="102">
        <v>114889040</v>
      </c>
      <c r="EF13" s="71"/>
      <c r="EG13" s="102">
        <v>4582010</v>
      </c>
      <c r="EH13" s="102">
        <v>3936353</v>
      </c>
      <c r="EI13" s="102">
        <v>645657</v>
      </c>
      <c r="EJ13" s="102">
        <v>145956</v>
      </c>
      <c r="EK13" s="102">
        <v>420704</v>
      </c>
      <c r="EL13" s="71"/>
      <c r="EM13" s="102">
        <v>351829</v>
      </c>
      <c r="EN13" s="102">
        <v>351503</v>
      </c>
      <c r="EO13" s="102">
        <v>423000</v>
      </c>
      <c r="EP13" s="102">
        <v>144887</v>
      </c>
      <c r="EQ13" s="73">
        <f t="shared" si="12"/>
        <v>3451933</v>
      </c>
      <c r="ER13" s="102">
        <v>69373465</v>
      </c>
      <c r="ES13" s="71">
        <v>-6179209</v>
      </c>
      <c r="ET13" s="102">
        <v>18087135</v>
      </c>
      <c r="EU13" s="102">
        <v>11785242</v>
      </c>
      <c r="EV13" s="102">
        <v>10743086</v>
      </c>
      <c r="EW13" s="102">
        <v>7549094</v>
      </c>
      <c r="EX13" s="73">
        <f t="shared" si="13"/>
        <v>2564687</v>
      </c>
      <c r="EY13" s="102">
        <v>2482477</v>
      </c>
      <c r="EZ13" s="102">
        <v>573753</v>
      </c>
      <c r="FA13" s="102">
        <v>1838976</v>
      </c>
      <c r="FB13" s="102">
        <v>82210</v>
      </c>
      <c r="FC13" s="102">
        <v>0</v>
      </c>
      <c r="FD13" s="102">
        <v>12530212</v>
      </c>
      <c r="FE13" s="102">
        <v>7295847</v>
      </c>
      <c r="FF13" s="102">
        <v>22947</v>
      </c>
      <c r="FG13" s="102">
        <v>9344987</v>
      </c>
      <c r="FH13" s="73">
        <f t="shared" si="14"/>
        <v>2882312</v>
      </c>
      <c r="FI13" s="102">
        <v>70997360</v>
      </c>
      <c r="FJ13" s="379">
        <f t="shared" si="15"/>
        <v>0.9</v>
      </c>
      <c r="FK13" s="102">
        <v>63134087</v>
      </c>
      <c r="FL13" s="102">
        <v>5165114</v>
      </c>
      <c r="FM13" s="102">
        <v>41511527</v>
      </c>
      <c r="FN13" s="102">
        <v>51262275</v>
      </c>
      <c r="FO13" s="428">
        <v>0.81599999999999995</v>
      </c>
      <c r="FP13" s="424">
        <v>94.7</v>
      </c>
      <c r="FQ13" s="425">
        <v>26.7</v>
      </c>
      <c r="FR13" s="424">
        <v>16</v>
      </c>
      <c r="FS13" s="424">
        <v>11.2</v>
      </c>
      <c r="FT13" s="425">
        <v>17.399999999999999</v>
      </c>
      <c r="FU13" s="424">
        <v>7</v>
      </c>
      <c r="FV13" s="426">
        <v>13.8</v>
      </c>
      <c r="FW13" s="388">
        <v>-0.7</v>
      </c>
      <c r="FX13" s="102">
        <v>50035836</v>
      </c>
      <c r="FY13" s="384">
        <f t="shared" si="16"/>
        <v>73.3</v>
      </c>
      <c r="FZ13" s="102">
        <v>32359141</v>
      </c>
      <c r="GA13" s="102">
        <v>15116884</v>
      </c>
      <c r="GB13" s="102">
        <v>2531165</v>
      </c>
      <c r="GC13" s="102">
        <v>14711092</v>
      </c>
      <c r="GD13" s="107">
        <v>0</v>
      </c>
      <c r="GE13" s="427">
        <v>3077</v>
      </c>
      <c r="GF13" s="386">
        <f>IF(GE13=0,"-",ROUND(GE13/(GW13)*100,1))</f>
        <v>4.5</v>
      </c>
      <c r="GG13" s="424">
        <v>99.7</v>
      </c>
      <c r="GH13" s="424">
        <v>52.8</v>
      </c>
      <c r="GI13" s="424">
        <v>99.4</v>
      </c>
      <c r="GJ13" s="102">
        <v>2084</v>
      </c>
      <c r="GK13" s="429" t="s">
        <v>646</v>
      </c>
      <c r="GL13" s="429">
        <v>11.25</v>
      </c>
      <c r="GM13" s="117">
        <v>20</v>
      </c>
      <c r="GN13" s="429" t="s">
        <v>646</v>
      </c>
      <c r="GO13" s="430">
        <v>16.25</v>
      </c>
      <c r="GP13" s="387">
        <v>30</v>
      </c>
      <c r="GQ13" s="425">
        <v>-0.7</v>
      </c>
      <c r="GR13" s="388">
        <v>25</v>
      </c>
      <c r="GS13" s="388">
        <v>35</v>
      </c>
      <c r="GT13" s="431" t="s">
        <v>646</v>
      </c>
      <c r="GU13" s="388">
        <v>350</v>
      </c>
      <c r="GV13" s="394"/>
      <c r="GW13" s="100">
        <f t="shared" si="17"/>
        <v>68299</v>
      </c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  <c r="HW13" s="394"/>
    </row>
    <row r="14" spans="2:231" x14ac:dyDescent="0.15">
      <c r="B14" s="89" t="s">
        <v>17</v>
      </c>
      <c r="C14" s="102">
        <v>11549896</v>
      </c>
      <c r="D14" s="73">
        <f t="shared" si="0"/>
        <v>4135748</v>
      </c>
      <c r="E14" s="102">
        <v>137213</v>
      </c>
      <c r="F14" s="102">
        <v>3998535</v>
      </c>
      <c r="G14" s="73">
        <f t="shared" si="1"/>
        <v>778805</v>
      </c>
      <c r="H14" s="102">
        <v>195815</v>
      </c>
      <c r="I14" s="102">
        <v>582990</v>
      </c>
      <c r="J14" s="102">
        <v>4858148</v>
      </c>
      <c r="K14" s="102">
        <v>1585318</v>
      </c>
      <c r="L14" s="102">
        <v>2222228</v>
      </c>
      <c r="M14" s="102">
        <v>838268</v>
      </c>
      <c r="N14" s="102">
        <v>698422</v>
      </c>
      <c r="O14" s="102">
        <v>869088</v>
      </c>
      <c r="P14" s="102">
        <v>407549</v>
      </c>
      <c r="Q14" s="102">
        <v>461539</v>
      </c>
      <c r="R14" s="102">
        <v>171171</v>
      </c>
      <c r="S14" s="74"/>
      <c r="T14" s="73">
        <f t="shared" si="2"/>
        <v>1615407</v>
      </c>
      <c r="U14" s="102">
        <v>15021</v>
      </c>
      <c r="V14" s="102">
        <v>69278</v>
      </c>
      <c r="W14" s="102">
        <v>39834</v>
      </c>
      <c r="X14" s="102">
        <v>1427752</v>
      </c>
      <c r="Y14" s="102">
        <v>0</v>
      </c>
      <c r="Z14" s="102">
        <v>0</v>
      </c>
      <c r="AA14" s="102">
        <v>48443</v>
      </c>
      <c r="AB14" s="102">
        <v>15079</v>
      </c>
      <c r="AC14" s="102">
        <v>201946</v>
      </c>
      <c r="AD14" s="102">
        <v>5186455</v>
      </c>
      <c r="AE14" s="102">
        <v>4757314</v>
      </c>
      <c r="AF14" s="102">
        <v>429141</v>
      </c>
      <c r="AG14" s="102">
        <v>14164</v>
      </c>
      <c r="AH14" s="102">
        <v>69968</v>
      </c>
      <c r="AI14" s="73">
        <f t="shared" si="3"/>
        <v>522885</v>
      </c>
      <c r="AJ14" s="102">
        <v>394748</v>
      </c>
      <c r="AK14" s="102">
        <v>128137</v>
      </c>
      <c r="AL14" s="102">
        <v>5934614</v>
      </c>
      <c r="AM14" s="73">
        <f t="shared" si="4"/>
        <v>4027463</v>
      </c>
      <c r="AN14" s="102">
        <v>2044738</v>
      </c>
      <c r="AO14" s="102">
        <v>1129661</v>
      </c>
      <c r="AP14" s="74"/>
      <c r="AQ14" s="102">
        <v>853064</v>
      </c>
      <c r="AR14" s="102">
        <v>164769</v>
      </c>
      <c r="AS14" s="102">
        <v>0</v>
      </c>
      <c r="AT14" s="102">
        <v>0</v>
      </c>
      <c r="AU14" s="102">
        <v>2906272</v>
      </c>
      <c r="AV14" s="102">
        <v>1823079</v>
      </c>
      <c r="AW14" s="102">
        <v>415835</v>
      </c>
      <c r="AX14" s="102">
        <v>8503</v>
      </c>
      <c r="AY14" s="102">
        <v>1083193</v>
      </c>
      <c r="AZ14" s="102">
        <v>33808</v>
      </c>
      <c r="BA14" s="102">
        <v>29013</v>
      </c>
      <c r="BB14" s="102">
        <v>2789</v>
      </c>
      <c r="BC14" s="102">
        <v>465119</v>
      </c>
      <c r="BD14" s="102">
        <v>682534</v>
      </c>
      <c r="BE14" s="102">
        <v>0</v>
      </c>
      <c r="BF14" s="102">
        <v>0</v>
      </c>
      <c r="BG14" s="102">
        <v>677745</v>
      </c>
      <c r="BH14" s="102">
        <v>0</v>
      </c>
      <c r="BI14" s="102">
        <v>263171</v>
      </c>
      <c r="BJ14" s="102">
        <v>76704</v>
      </c>
      <c r="BK14" s="102">
        <v>773675</v>
      </c>
      <c r="BL14" s="102">
        <v>169389</v>
      </c>
      <c r="BM14" s="102">
        <v>0</v>
      </c>
      <c r="BN14" s="102">
        <v>131065</v>
      </c>
      <c r="BO14" s="102">
        <v>2763536</v>
      </c>
      <c r="BP14" s="73">
        <f t="shared" si="5"/>
        <v>1596500</v>
      </c>
      <c r="BQ14" s="73">
        <f t="shared" si="6"/>
        <v>1167036</v>
      </c>
      <c r="BR14" s="102">
        <v>0</v>
      </c>
      <c r="BS14" s="102">
        <v>0</v>
      </c>
      <c r="BT14" s="102">
        <v>1167036</v>
      </c>
      <c r="BU14" s="102">
        <v>0</v>
      </c>
      <c r="BV14" s="102">
        <v>33149826</v>
      </c>
      <c r="BW14" s="71"/>
      <c r="BX14" s="102">
        <v>5484579</v>
      </c>
      <c r="BY14" s="102">
        <v>3346613</v>
      </c>
      <c r="BZ14" s="102">
        <v>398283</v>
      </c>
      <c r="CA14" s="102">
        <v>657566</v>
      </c>
      <c r="CB14" s="102">
        <v>10183188</v>
      </c>
      <c r="CC14" s="102">
        <v>2137588</v>
      </c>
      <c r="CD14" s="102">
        <v>46106</v>
      </c>
      <c r="CE14" s="102">
        <v>4556955</v>
      </c>
      <c r="CF14" s="102">
        <v>2784222</v>
      </c>
      <c r="CG14" s="102">
        <v>0</v>
      </c>
      <c r="CH14" s="102">
        <v>658117</v>
      </c>
      <c r="CI14" s="102">
        <v>2414866</v>
      </c>
      <c r="CJ14" s="102">
        <v>2215069</v>
      </c>
      <c r="CK14" s="83">
        <f t="shared" si="7"/>
        <v>199797</v>
      </c>
      <c r="CL14" s="102">
        <v>3556083</v>
      </c>
      <c r="CM14" s="102">
        <v>1909479</v>
      </c>
      <c r="CN14" s="102">
        <v>387113</v>
      </c>
      <c r="CO14" s="102">
        <v>495959</v>
      </c>
      <c r="CP14" s="102">
        <v>221649</v>
      </c>
      <c r="CQ14" s="102">
        <v>4450737</v>
      </c>
      <c r="CR14" s="102">
        <v>835393</v>
      </c>
      <c r="CS14" s="102">
        <v>787319</v>
      </c>
      <c r="CT14" s="102">
        <v>734904</v>
      </c>
      <c r="CU14" s="73">
        <f t="shared" si="8"/>
        <v>2101312</v>
      </c>
      <c r="CV14" s="102">
        <v>1833773</v>
      </c>
      <c r="CW14" s="102">
        <v>267539</v>
      </c>
      <c r="CX14" s="73">
        <f t="shared" si="9"/>
        <v>900000</v>
      </c>
      <c r="CY14" s="102">
        <v>900000</v>
      </c>
      <c r="CZ14" s="102">
        <v>0</v>
      </c>
      <c r="DA14" s="73">
        <f t="shared" si="10"/>
        <v>1072756</v>
      </c>
      <c r="DB14" s="102">
        <v>921356</v>
      </c>
      <c r="DC14" s="102">
        <v>151400</v>
      </c>
      <c r="DD14" s="102">
        <v>2233699</v>
      </c>
      <c r="DE14" s="102">
        <v>589012</v>
      </c>
      <c r="DF14" s="102">
        <v>1567457</v>
      </c>
      <c r="DG14" s="102">
        <v>77230</v>
      </c>
      <c r="DH14" s="102">
        <v>0</v>
      </c>
      <c r="DI14" s="102">
        <v>10541</v>
      </c>
      <c r="DJ14" s="102">
        <v>955067</v>
      </c>
      <c r="DK14" s="102">
        <v>169000</v>
      </c>
      <c r="DL14" s="102">
        <v>0</v>
      </c>
      <c r="DM14" s="102">
        <v>786067</v>
      </c>
      <c r="DN14" s="102">
        <v>0</v>
      </c>
      <c r="DO14" s="102">
        <v>0</v>
      </c>
      <c r="DP14" s="102">
        <v>0</v>
      </c>
      <c r="DQ14" s="102">
        <v>0</v>
      </c>
      <c r="DR14" s="102">
        <v>157280</v>
      </c>
      <c r="DS14" s="102">
        <v>0</v>
      </c>
      <c r="DT14" s="102">
        <v>0</v>
      </c>
      <c r="DU14" s="102">
        <v>3271008</v>
      </c>
      <c r="DV14" s="102">
        <v>0</v>
      </c>
      <c r="DW14" s="73">
        <f t="shared" si="11"/>
        <v>0</v>
      </c>
      <c r="DX14" s="102">
        <v>0</v>
      </c>
      <c r="DY14" s="102">
        <v>1283748</v>
      </c>
      <c r="DZ14" s="102">
        <v>0</v>
      </c>
      <c r="EA14" s="102">
        <v>902561</v>
      </c>
      <c r="EB14" s="74">
        <v>0</v>
      </c>
      <c r="EC14" s="102">
        <v>1084699</v>
      </c>
      <c r="ED14" s="102">
        <v>0</v>
      </c>
      <c r="EE14" s="102">
        <v>32938697</v>
      </c>
      <c r="EF14" s="71"/>
      <c r="EG14" s="102">
        <v>211129</v>
      </c>
      <c r="EH14" s="102">
        <v>132674</v>
      </c>
      <c r="EI14" s="102">
        <v>78455</v>
      </c>
      <c r="EJ14" s="102">
        <v>1751</v>
      </c>
      <c r="EK14" s="102">
        <v>170751</v>
      </c>
      <c r="EL14" s="71"/>
      <c r="EM14" s="102">
        <v>88694</v>
      </c>
      <c r="EN14" s="102">
        <v>86276</v>
      </c>
      <c r="EO14" s="102">
        <v>54346</v>
      </c>
      <c r="EP14" s="102">
        <v>28992</v>
      </c>
      <c r="EQ14" s="73">
        <f t="shared" si="12"/>
        <v>633280</v>
      </c>
      <c r="ER14" s="102">
        <v>18739039</v>
      </c>
      <c r="ES14" s="71">
        <v>-1869490</v>
      </c>
      <c r="ET14" s="102">
        <v>5109917</v>
      </c>
      <c r="EU14" s="102">
        <v>3154822</v>
      </c>
      <c r="EV14" s="102">
        <v>2695762</v>
      </c>
      <c r="EW14" s="102">
        <v>2414866</v>
      </c>
      <c r="EX14" s="73">
        <f t="shared" si="13"/>
        <v>354989</v>
      </c>
      <c r="EY14" s="102">
        <v>354989</v>
      </c>
      <c r="EZ14" s="102">
        <v>5453</v>
      </c>
      <c r="FA14" s="102">
        <v>272306</v>
      </c>
      <c r="FB14" s="102">
        <v>0</v>
      </c>
      <c r="FC14" s="102">
        <v>0</v>
      </c>
      <c r="FD14" s="102">
        <v>2728376</v>
      </c>
      <c r="FE14" s="102">
        <v>3762617</v>
      </c>
      <c r="FF14" s="102">
        <v>835393</v>
      </c>
      <c r="FG14" s="102">
        <v>2552209</v>
      </c>
      <c r="FH14" s="73">
        <f t="shared" si="14"/>
        <v>778664</v>
      </c>
      <c r="FI14" s="102">
        <v>20397400</v>
      </c>
      <c r="FJ14" s="379">
        <f t="shared" si="15"/>
        <v>0.4</v>
      </c>
      <c r="FK14" s="102">
        <v>17258838</v>
      </c>
      <c r="FL14" s="102">
        <v>1167036</v>
      </c>
      <c r="FM14" s="102">
        <v>9772378</v>
      </c>
      <c r="FN14" s="102">
        <v>14542500</v>
      </c>
      <c r="FO14" s="428">
        <v>0.68100000000000005</v>
      </c>
      <c r="FP14" s="424">
        <v>97.5</v>
      </c>
      <c r="FQ14" s="425">
        <v>26.4</v>
      </c>
      <c r="FR14" s="424">
        <v>14.4</v>
      </c>
      <c r="FS14" s="424">
        <v>12.9</v>
      </c>
      <c r="FT14" s="425">
        <v>12.3</v>
      </c>
      <c r="FU14" s="424">
        <v>17.7</v>
      </c>
      <c r="FV14" s="426">
        <v>12.9</v>
      </c>
      <c r="FW14" s="388">
        <v>6.3</v>
      </c>
      <c r="FX14" s="102">
        <v>27858024</v>
      </c>
      <c r="FY14" s="384">
        <f t="shared" si="16"/>
        <v>151.19999999999999</v>
      </c>
      <c r="FZ14" s="102">
        <v>5211180</v>
      </c>
      <c r="GA14" s="102">
        <v>2600373</v>
      </c>
      <c r="GB14" s="102">
        <v>188585</v>
      </c>
      <c r="GC14" s="102">
        <v>2422222</v>
      </c>
      <c r="GD14" s="107">
        <v>0</v>
      </c>
      <c r="GE14" s="427"/>
      <c r="GF14" s="386"/>
      <c r="GG14" s="424">
        <v>99.2</v>
      </c>
      <c r="GH14" s="424">
        <v>43.5</v>
      </c>
      <c r="GI14" s="424">
        <v>97.7</v>
      </c>
      <c r="GJ14" s="102">
        <v>569</v>
      </c>
      <c r="GK14" s="429" t="s">
        <v>646</v>
      </c>
      <c r="GL14" s="429">
        <v>12.57</v>
      </c>
      <c r="GM14" s="117">
        <v>20</v>
      </c>
      <c r="GN14" s="429" t="s">
        <v>646</v>
      </c>
      <c r="GO14" s="430">
        <v>17.57</v>
      </c>
      <c r="GP14" s="387">
        <v>30</v>
      </c>
      <c r="GQ14" s="425">
        <v>6.3</v>
      </c>
      <c r="GR14" s="388">
        <v>25</v>
      </c>
      <c r="GS14" s="388">
        <v>35</v>
      </c>
      <c r="GT14" s="431">
        <v>32.6</v>
      </c>
      <c r="GU14" s="388">
        <v>350</v>
      </c>
      <c r="GV14" s="394"/>
      <c r="GW14" s="100">
        <f t="shared" si="17"/>
        <v>18426</v>
      </c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  <c r="HW14" s="394"/>
    </row>
    <row r="15" spans="2:231" x14ac:dyDescent="0.15">
      <c r="B15" s="89" t="s">
        <v>19</v>
      </c>
      <c r="C15" s="102">
        <v>22126621</v>
      </c>
      <c r="D15" s="73">
        <f t="shared" si="0"/>
        <v>7232344</v>
      </c>
      <c r="E15" s="102">
        <v>231355</v>
      </c>
      <c r="F15" s="102">
        <v>7000989</v>
      </c>
      <c r="G15" s="73">
        <f t="shared" si="1"/>
        <v>1878485</v>
      </c>
      <c r="H15" s="102">
        <v>506582</v>
      </c>
      <c r="I15" s="102">
        <v>1371903</v>
      </c>
      <c r="J15" s="102">
        <v>9221963</v>
      </c>
      <c r="K15" s="102">
        <v>3554259</v>
      </c>
      <c r="L15" s="102">
        <v>4168503</v>
      </c>
      <c r="M15" s="102">
        <v>1301267</v>
      </c>
      <c r="N15" s="102">
        <v>1008753</v>
      </c>
      <c r="O15" s="102">
        <v>1889437</v>
      </c>
      <c r="P15" s="102">
        <v>965540</v>
      </c>
      <c r="Q15" s="102">
        <v>923897</v>
      </c>
      <c r="R15" s="102">
        <v>212725</v>
      </c>
      <c r="S15" s="74"/>
      <c r="T15" s="73">
        <f t="shared" si="2"/>
        <v>2672742</v>
      </c>
      <c r="U15" s="102">
        <v>26140</v>
      </c>
      <c r="V15" s="102">
        <v>120945</v>
      </c>
      <c r="W15" s="102">
        <v>69950</v>
      </c>
      <c r="X15" s="102">
        <v>2376519</v>
      </c>
      <c r="Y15" s="102">
        <v>0</v>
      </c>
      <c r="Z15" s="102">
        <v>0</v>
      </c>
      <c r="AA15" s="102">
        <v>60390</v>
      </c>
      <c r="AB15" s="102">
        <v>18798</v>
      </c>
      <c r="AC15" s="102">
        <v>278919</v>
      </c>
      <c r="AD15" s="102">
        <v>7343063</v>
      </c>
      <c r="AE15" s="102">
        <v>6685556</v>
      </c>
      <c r="AF15" s="102">
        <v>657507</v>
      </c>
      <c r="AG15" s="102">
        <v>18259</v>
      </c>
      <c r="AH15" s="102">
        <v>967756</v>
      </c>
      <c r="AI15" s="73">
        <f t="shared" si="3"/>
        <v>870608</v>
      </c>
      <c r="AJ15" s="102">
        <v>584614</v>
      </c>
      <c r="AK15" s="102">
        <v>285994</v>
      </c>
      <c r="AL15" s="102">
        <v>16626454</v>
      </c>
      <c r="AM15" s="73">
        <f t="shared" si="4"/>
        <v>12615862</v>
      </c>
      <c r="AN15" s="102">
        <v>7797445</v>
      </c>
      <c r="AO15" s="102">
        <v>2633447</v>
      </c>
      <c r="AP15" s="74"/>
      <c r="AQ15" s="102">
        <v>2184970</v>
      </c>
      <c r="AR15" s="102">
        <v>312575</v>
      </c>
      <c r="AS15" s="102">
        <v>0</v>
      </c>
      <c r="AT15" s="102">
        <v>0</v>
      </c>
      <c r="AU15" s="102">
        <v>5033648</v>
      </c>
      <c r="AV15" s="102">
        <v>3246282</v>
      </c>
      <c r="AW15" s="102">
        <v>1177142</v>
      </c>
      <c r="AX15" s="102">
        <v>246899</v>
      </c>
      <c r="AY15" s="102">
        <v>1787366</v>
      </c>
      <c r="AZ15" s="102">
        <v>17008</v>
      </c>
      <c r="BA15" s="102">
        <v>549447</v>
      </c>
      <c r="BB15" s="102">
        <v>459155</v>
      </c>
      <c r="BC15" s="102">
        <v>81066</v>
      </c>
      <c r="BD15" s="102">
        <v>348993</v>
      </c>
      <c r="BE15" s="102">
        <v>0</v>
      </c>
      <c r="BF15" s="102">
        <v>255211</v>
      </c>
      <c r="BG15" s="102">
        <v>93782</v>
      </c>
      <c r="BH15" s="102">
        <v>0</v>
      </c>
      <c r="BI15" s="102">
        <v>381346</v>
      </c>
      <c r="BJ15" s="102">
        <v>322220</v>
      </c>
      <c r="BK15" s="102">
        <v>1107663</v>
      </c>
      <c r="BL15" s="102">
        <v>9710</v>
      </c>
      <c r="BM15" s="102">
        <v>0</v>
      </c>
      <c r="BN15" s="102">
        <v>143219</v>
      </c>
      <c r="BO15" s="102">
        <v>4704244</v>
      </c>
      <c r="BP15" s="73">
        <f t="shared" si="5"/>
        <v>2765500</v>
      </c>
      <c r="BQ15" s="73">
        <f t="shared" si="6"/>
        <v>1938744</v>
      </c>
      <c r="BR15" s="102">
        <v>0</v>
      </c>
      <c r="BS15" s="102">
        <v>0</v>
      </c>
      <c r="BT15" s="102">
        <v>1938744</v>
      </c>
      <c r="BU15" s="102">
        <v>0</v>
      </c>
      <c r="BV15" s="102">
        <v>63323554</v>
      </c>
      <c r="BW15" s="71"/>
      <c r="BX15" s="102">
        <v>6621696</v>
      </c>
      <c r="BY15" s="102">
        <v>4359005</v>
      </c>
      <c r="BZ15" s="102">
        <v>858155</v>
      </c>
      <c r="CA15" s="102">
        <v>122653</v>
      </c>
      <c r="CB15" s="102">
        <v>25679468</v>
      </c>
      <c r="CC15" s="102">
        <v>4727436</v>
      </c>
      <c r="CD15" s="102">
        <v>11111</v>
      </c>
      <c r="CE15" s="102">
        <v>8871805</v>
      </c>
      <c r="CF15" s="102">
        <v>10261374</v>
      </c>
      <c r="CG15" s="102">
        <v>944425</v>
      </c>
      <c r="CH15" s="102">
        <v>861187</v>
      </c>
      <c r="CI15" s="102">
        <v>5706978</v>
      </c>
      <c r="CJ15" s="102">
        <v>5273687</v>
      </c>
      <c r="CK15" s="83">
        <f t="shared" si="7"/>
        <v>433291</v>
      </c>
      <c r="CL15" s="102">
        <v>6956945</v>
      </c>
      <c r="CM15" s="102">
        <v>4827251</v>
      </c>
      <c r="CN15" s="102">
        <v>135719</v>
      </c>
      <c r="CO15" s="102">
        <v>749518</v>
      </c>
      <c r="CP15" s="102">
        <v>246061</v>
      </c>
      <c r="CQ15" s="102">
        <v>5174018</v>
      </c>
      <c r="CR15" s="102">
        <v>1971523</v>
      </c>
      <c r="CS15" s="102">
        <v>967103</v>
      </c>
      <c r="CT15" s="102">
        <v>458143</v>
      </c>
      <c r="CU15" s="73">
        <f t="shared" si="8"/>
        <v>1389224</v>
      </c>
      <c r="CV15" s="102">
        <v>1389224</v>
      </c>
      <c r="CW15" s="102">
        <v>0</v>
      </c>
      <c r="CX15" s="73">
        <f t="shared" si="9"/>
        <v>0</v>
      </c>
      <c r="CY15" s="102">
        <v>0</v>
      </c>
      <c r="CZ15" s="102">
        <v>0</v>
      </c>
      <c r="DA15" s="73">
        <f t="shared" si="10"/>
        <v>1363947</v>
      </c>
      <c r="DB15" s="102">
        <v>1363947</v>
      </c>
      <c r="DC15" s="102">
        <v>0</v>
      </c>
      <c r="DD15" s="102">
        <v>3833258</v>
      </c>
      <c r="DE15" s="102">
        <v>2280237</v>
      </c>
      <c r="DF15" s="102">
        <v>1553021</v>
      </c>
      <c r="DG15" s="102">
        <v>0</v>
      </c>
      <c r="DH15" s="102">
        <v>0</v>
      </c>
      <c r="DI15" s="102">
        <v>3123</v>
      </c>
      <c r="DJ15" s="102">
        <v>443136</v>
      </c>
      <c r="DK15" s="102">
        <v>16386</v>
      </c>
      <c r="DL15" s="102">
        <v>2358</v>
      </c>
      <c r="DM15" s="102">
        <v>424392</v>
      </c>
      <c r="DN15" s="102">
        <v>0</v>
      </c>
      <c r="DO15" s="102">
        <v>0</v>
      </c>
      <c r="DP15" s="102">
        <v>0</v>
      </c>
      <c r="DQ15" s="102">
        <v>0</v>
      </c>
      <c r="DR15" s="102">
        <v>0</v>
      </c>
      <c r="DS15" s="102">
        <v>0</v>
      </c>
      <c r="DT15" s="102">
        <v>0</v>
      </c>
      <c r="DU15" s="102">
        <v>6366147</v>
      </c>
      <c r="DV15" s="102">
        <v>0</v>
      </c>
      <c r="DW15" s="73">
        <f t="shared" si="11"/>
        <v>0</v>
      </c>
      <c r="DX15" s="102">
        <v>0</v>
      </c>
      <c r="DY15" s="102">
        <v>2195209</v>
      </c>
      <c r="DZ15" s="102">
        <v>0</v>
      </c>
      <c r="EA15" s="102">
        <v>1837357</v>
      </c>
      <c r="EB15" s="74">
        <v>0</v>
      </c>
      <c r="EC15" s="102">
        <v>2333581</v>
      </c>
      <c r="ED15" s="102">
        <v>0</v>
      </c>
      <c r="EE15" s="102">
        <v>61030830</v>
      </c>
      <c r="EF15" s="71"/>
      <c r="EG15" s="102">
        <v>2292724</v>
      </c>
      <c r="EH15" s="102">
        <v>497395</v>
      </c>
      <c r="EI15" s="102">
        <v>1795329</v>
      </c>
      <c r="EJ15" s="102">
        <v>873109</v>
      </c>
      <c r="EK15" s="102">
        <v>889495</v>
      </c>
      <c r="EL15" s="71"/>
      <c r="EM15" s="102">
        <v>143042</v>
      </c>
      <c r="EN15" s="102">
        <v>143884</v>
      </c>
      <c r="EO15" s="102">
        <v>255211</v>
      </c>
      <c r="EP15" s="102">
        <v>179344</v>
      </c>
      <c r="EQ15" s="73">
        <f t="shared" si="12"/>
        <v>1748908</v>
      </c>
      <c r="ER15" s="102">
        <v>32652329</v>
      </c>
      <c r="ES15" s="71">
        <v>-4103948</v>
      </c>
      <c r="ET15" s="102">
        <v>6180538</v>
      </c>
      <c r="EU15" s="102">
        <v>3946206</v>
      </c>
      <c r="EV15" s="102">
        <v>7203406</v>
      </c>
      <c r="EW15" s="102">
        <v>5676115</v>
      </c>
      <c r="EX15" s="73">
        <f t="shared" si="13"/>
        <v>306479</v>
      </c>
      <c r="EY15" s="102">
        <v>306456</v>
      </c>
      <c r="EZ15" s="102">
        <v>19778</v>
      </c>
      <c r="FA15" s="102">
        <v>286678</v>
      </c>
      <c r="FB15" s="102">
        <v>23</v>
      </c>
      <c r="FC15" s="102">
        <v>0</v>
      </c>
      <c r="FD15" s="102">
        <v>5362775</v>
      </c>
      <c r="FE15" s="102">
        <v>4686390</v>
      </c>
      <c r="FF15" s="102">
        <v>1970207</v>
      </c>
      <c r="FG15" s="102">
        <v>4853614</v>
      </c>
      <c r="FH15" s="73">
        <f t="shared" si="14"/>
        <v>194236</v>
      </c>
      <c r="FI15" s="102">
        <v>34463553</v>
      </c>
      <c r="FJ15" s="379">
        <f t="shared" si="15"/>
        <v>5.7</v>
      </c>
      <c r="FK15" s="102">
        <v>29372061</v>
      </c>
      <c r="FL15" s="102">
        <v>1938744</v>
      </c>
      <c r="FM15" s="102">
        <v>17641752</v>
      </c>
      <c r="FN15" s="102">
        <v>24348752</v>
      </c>
      <c r="FO15" s="428">
        <v>0.72399999999999998</v>
      </c>
      <c r="FP15" s="424">
        <v>99.5</v>
      </c>
      <c r="FQ15" s="425">
        <v>18.399999999999999</v>
      </c>
      <c r="FR15" s="424">
        <v>22.2</v>
      </c>
      <c r="FS15" s="424">
        <v>17.5</v>
      </c>
      <c r="FT15" s="425">
        <v>15</v>
      </c>
      <c r="FU15" s="424">
        <v>12.1</v>
      </c>
      <c r="FV15" s="426">
        <v>13.7</v>
      </c>
      <c r="FW15" s="388">
        <v>6.8</v>
      </c>
      <c r="FX15" s="102">
        <v>61984877</v>
      </c>
      <c r="FY15" s="384">
        <f t="shared" si="16"/>
        <v>198</v>
      </c>
      <c r="FZ15" s="102">
        <v>8788737</v>
      </c>
      <c r="GA15" s="102">
        <v>2929605</v>
      </c>
      <c r="GB15" s="102">
        <v>2476544</v>
      </c>
      <c r="GC15" s="102">
        <v>3382588</v>
      </c>
      <c r="GD15" s="107">
        <v>0</v>
      </c>
      <c r="GE15" s="427"/>
      <c r="GF15" s="386"/>
      <c r="GG15" s="424">
        <v>99.2</v>
      </c>
      <c r="GH15" s="424">
        <v>34.6</v>
      </c>
      <c r="GI15" s="424">
        <v>97.7</v>
      </c>
      <c r="GJ15" s="102">
        <v>609</v>
      </c>
      <c r="GK15" s="429" t="s">
        <v>646</v>
      </c>
      <c r="GL15" s="429">
        <v>11.75</v>
      </c>
      <c r="GM15" s="117">
        <v>20</v>
      </c>
      <c r="GN15" s="429" t="s">
        <v>646</v>
      </c>
      <c r="GO15" s="430">
        <v>16.75</v>
      </c>
      <c r="GP15" s="387">
        <v>30</v>
      </c>
      <c r="GQ15" s="425">
        <v>6.8</v>
      </c>
      <c r="GR15" s="388">
        <v>25</v>
      </c>
      <c r="GS15" s="388">
        <v>35</v>
      </c>
      <c r="GT15" s="431">
        <v>50.9</v>
      </c>
      <c r="GU15" s="388">
        <v>350</v>
      </c>
      <c r="GV15" s="394"/>
      <c r="GW15" s="100">
        <f t="shared" si="17"/>
        <v>31311</v>
      </c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  <c r="HW15" s="394"/>
    </row>
    <row r="16" spans="2:231" x14ac:dyDescent="0.15">
      <c r="B16" s="89" t="s">
        <v>21</v>
      </c>
      <c r="C16" s="102">
        <v>57029780</v>
      </c>
      <c r="D16" s="73">
        <f t="shared" si="0"/>
        <v>22918145</v>
      </c>
      <c r="E16" s="102">
        <v>662015</v>
      </c>
      <c r="F16" s="102">
        <v>22256130</v>
      </c>
      <c r="G16" s="73">
        <f t="shared" si="1"/>
        <v>3872484</v>
      </c>
      <c r="H16" s="102">
        <v>749675</v>
      </c>
      <c r="I16" s="102">
        <v>3122809</v>
      </c>
      <c r="J16" s="102">
        <v>21676055</v>
      </c>
      <c r="K16" s="102">
        <v>8348738</v>
      </c>
      <c r="L16" s="102">
        <v>10379627</v>
      </c>
      <c r="M16" s="102">
        <v>2614121</v>
      </c>
      <c r="N16" s="102">
        <v>1929698</v>
      </c>
      <c r="O16" s="102">
        <v>4640642</v>
      </c>
      <c r="P16" s="102">
        <v>2414426</v>
      </c>
      <c r="Q16" s="102">
        <v>2226216</v>
      </c>
      <c r="R16" s="102">
        <v>638014</v>
      </c>
      <c r="S16" s="74"/>
      <c r="T16" s="73">
        <f t="shared" si="2"/>
        <v>7310997</v>
      </c>
      <c r="U16" s="102">
        <v>84534</v>
      </c>
      <c r="V16" s="102">
        <v>389537</v>
      </c>
      <c r="W16" s="102">
        <v>223651</v>
      </c>
      <c r="X16" s="102">
        <v>6306742</v>
      </c>
      <c r="Y16" s="102">
        <v>68819</v>
      </c>
      <c r="Z16" s="102">
        <v>0</v>
      </c>
      <c r="AA16" s="102">
        <v>181282</v>
      </c>
      <c r="AB16" s="102">
        <v>56432</v>
      </c>
      <c r="AC16" s="102">
        <v>911399</v>
      </c>
      <c r="AD16" s="102">
        <v>12372956</v>
      </c>
      <c r="AE16" s="102">
        <v>11978290</v>
      </c>
      <c r="AF16" s="102">
        <v>394666</v>
      </c>
      <c r="AG16" s="102">
        <v>49116</v>
      </c>
      <c r="AH16" s="102">
        <v>1022505</v>
      </c>
      <c r="AI16" s="73">
        <f t="shared" si="3"/>
        <v>2224760</v>
      </c>
      <c r="AJ16" s="102">
        <v>1685485</v>
      </c>
      <c r="AK16" s="102">
        <v>539275</v>
      </c>
      <c r="AL16" s="102">
        <v>27771163</v>
      </c>
      <c r="AM16" s="73">
        <f t="shared" si="4"/>
        <v>16884957</v>
      </c>
      <c r="AN16" s="102">
        <v>9766535</v>
      </c>
      <c r="AO16" s="102">
        <v>3202119</v>
      </c>
      <c r="AP16" s="74"/>
      <c r="AQ16" s="102">
        <v>3916303</v>
      </c>
      <c r="AR16" s="102">
        <v>584880</v>
      </c>
      <c r="AS16" s="102">
        <v>428366</v>
      </c>
      <c r="AT16" s="102">
        <v>0</v>
      </c>
      <c r="AU16" s="102">
        <v>12974592</v>
      </c>
      <c r="AV16" s="102">
        <v>10055165</v>
      </c>
      <c r="AW16" s="102">
        <v>1415438</v>
      </c>
      <c r="AX16" s="102">
        <v>659328</v>
      </c>
      <c r="AY16" s="102">
        <v>2919427</v>
      </c>
      <c r="AZ16" s="102">
        <v>10335</v>
      </c>
      <c r="BA16" s="102">
        <v>200615</v>
      </c>
      <c r="BB16" s="102">
        <v>141778</v>
      </c>
      <c r="BC16" s="102">
        <v>117567</v>
      </c>
      <c r="BD16" s="102">
        <v>751697</v>
      </c>
      <c r="BE16" s="102">
        <v>0</v>
      </c>
      <c r="BF16" s="102">
        <v>308555</v>
      </c>
      <c r="BG16" s="102">
        <v>439889</v>
      </c>
      <c r="BH16" s="102">
        <v>0</v>
      </c>
      <c r="BI16" s="102">
        <v>2306619</v>
      </c>
      <c r="BJ16" s="102">
        <v>1580297</v>
      </c>
      <c r="BK16" s="102">
        <v>1430791</v>
      </c>
      <c r="BL16" s="102">
        <v>24995</v>
      </c>
      <c r="BM16" s="102">
        <v>0</v>
      </c>
      <c r="BN16" s="102">
        <v>195505</v>
      </c>
      <c r="BO16" s="102">
        <v>10897675</v>
      </c>
      <c r="BP16" s="73">
        <f t="shared" si="5"/>
        <v>5308100</v>
      </c>
      <c r="BQ16" s="73">
        <f t="shared" si="6"/>
        <v>5589575</v>
      </c>
      <c r="BR16" s="102">
        <v>0</v>
      </c>
      <c r="BS16" s="102">
        <v>0</v>
      </c>
      <c r="BT16" s="102">
        <v>5589575</v>
      </c>
      <c r="BU16" s="102">
        <v>0</v>
      </c>
      <c r="BV16" s="102">
        <v>138010246</v>
      </c>
      <c r="BW16" s="71"/>
      <c r="BX16" s="102">
        <v>20425022</v>
      </c>
      <c r="BY16" s="102">
        <v>14215197</v>
      </c>
      <c r="BZ16" s="102">
        <v>1069859</v>
      </c>
      <c r="CA16" s="102">
        <v>1448722</v>
      </c>
      <c r="CB16" s="102">
        <v>45119048</v>
      </c>
      <c r="CC16" s="102">
        <v>10207238</v>
      </c>
      <c r="CD16" s="102">
        <v>183269</v>
      </c>
      <c r="CE16" s="102">
        <v>20627630</v>
      </c>
      <c r="CF16" s="102">
        <v>13120616</v>
      </c>
      <c r="CG16" s="102">
        <v>130784</v>
      </c>
      <c r="CH16" s="102">
        <v>848831</v>
      </c>
      <c r="CI16" s="102">
        <v>9937556</v>
      </c>
      <c r="CJ16" s="102">
        <v>9371618</v>
      </c>
      <c r="CK16" s="83">
        <f t="shared" si="7"/>
        <v>565938</v>
      </c>
      <c r="CL16" s="102">
        <v>15089610</v>
      </c>
      <c r="CM16" s="102">
        <v>9613296</v>
      </c>
      <c r="CN16" s="102">
        <v>815874</v>
      </c>
      <c r="CO16" s="102">
        <v>2331342</v>
      </c>
      <c r="CP16" s="102">
        <v>1142761</v>
      </c>
      <c r="CQ16" s="102">
        <v>15027809</v>
      </c>
      <c r="CR16" s="102">
        <v>4578688</v>
      </c>
      <c r="CS16" s="102">
        <v>2811834</v>
      </c>
      <c r="CT16" s="102">
        <v>2065388</v>
      </c>
      <c r="CU16" s="73">
        <f t="shared" si="8"/>
        <v>5739139</v>
      </c>
      <c r="CV16" s="102">
        <v>2846882</v>
      </c>
      <c r="CW16" s="102">
        <v>2892257</v>
      </c>
      <c r="CX16" s="73">
        <f t="shared" si="9"/>
        <v>1561497</v>
      </c>
      <c r="CY16" s="102">
        <v>1047479</v>
      </c>
      <c r="CZ16" s="102">
        <v>514018</v>
      </c>
      <c r="DA16" s="73">
        <f t="shared" si="10"/>
        <v>4035242</v>
      </c>
      <c r="DB16" s="102">
        <v>1773717</v>
      </c>
      <c r="DC16" s="102">
        <v>2261525</v>
      </c>
      <c r="DD16" s="102">
        <v>12189276</v>
      </c>
      <c r="DE16" s="102">
        <v>6126244</v>
      </c>
      <c r="DF16" s="102">
        <v>3642111</v>
      </c>
      <c r="DG16" s="102">
        <v>217</v>
      </c>
      <c r="DH16" s="102">
        <v>2420704</v>
      </c>
      <c r="DI16" s="102">
        <v>899245</v>
      </c>
      <c r="DJ16" s="102">
        <v>2231036</v>
      </c>
      <c r="DK16" s="102">
        <v>1338278</v>
      </c>
      <c r="DL16" s="102">
        <v>2392</v>
      </c>
      <c r="DM16" s="102">
        <v>890366</v>
      </c>
      <c r="DN16" s="102">
        <v>0</v>
      </c>
      <c r="DO16" s="102">
        <v>0</v>
      </c>
      <c r="DP16" s="102">
        <v>0</v>
      </c>
      <c r="DQ16" s="102">
        <v>0</v>
      </c>
      <c r="DR16" s="102">
        <v>29319</v>
      </c>
      <c r="DS16" s="102">
        <v>0</v>
      </c>
      <c r="DT16" s="102">
        <v>0</v>
      </c>
      <c r="DU16" s="102">
        <v>13402851</v>
      </c>
      <c r="DV16" s="102">
        <v>0</v>
      </c>
      <c r="DW16" s="73">
        <f t="shared" si="11"/>
        <v>0</v>
      </c>
      <c r="DX16" s="102">
        <v>0</v>
      </c>
      <c r="DY16" s="102">
        <v>5053421</v>
      </c>
      <c r="DZ16" s="102">
        <v>0</v>
      </c>
      <c r="EA16" s="102">
        <v>3615479</v>
      </c>
      <c r="EB16" s="74">
        <v>0</v>
      </c>
      <c r="EC16" s="102">
        <v>4733951</v>
      </c>
      <c r="ED16" s="102">
        <v>0</v>
      </c>
      <c r="EE16" s="102">
        <v>135493533</v>
      </c>
      <c r="EF16" s="71"/>
      <c r="EG16" s="102">
        <v>2516713</v>
      </c>
      <c r="EH16" s="102">
        <v>861775</v>
      </c>
      <c r="EI16" s="102">
        <v>1654938</v>
      </c>
      <c r="EJ16" s="102">
        <v>74641</v>
      </c>
      <c r="EK16" s="102">
        <v>1677054</v>
      </c>
      <c r="EL16" s="71"/>
      <c r="EM16" s="102">
        <v>404152</v>
      </c>
      <c r="EN16" s="102">
        <v>401074</v>
      </c>
      <c r="EO16" s="102">
        <v>312019</v>
      </c>
      <c r="EP16" s="102">
        <v>189076</v>
      </c>
      <c r="EQ16" s="73">
        <f t="shared" si="12"/>
        <v>3166951</v>
      </c>
      <c r="ER16" s="102">
        <v>78312262</v>
      </c>
      <c r="ES16" s="71">
        <v>-9208505</v>
      </c>
      <c r="ET16" s="102">
        <v>18527526</v>
      </c>
      <c r="EU16" s="102">
        <v>12713549</v>
      </c>
      <c r="EV16" s="102">
        <v>14492980</v>
      </c>
      <c r="EW16" s="102">
        <v>9694250</v>
      </c>
      <c r="EX16" s="73">
        <f t="shared" si="13"/>
        <v>2190817</v>
      </c>
      <c r="EY16" s="102">
        <v>2174544</v>
      </c>
      <c r="EZ16" s="102">
        <v>706875</v>
      </c>
      <c r="FA16" s="102">
        <v>1467452</v>
      </c>
      <c r="FB16" s="102">
        <v>16273</v>
      </c>
      <c r="FC16" s="102">
        <v>0</v>
      </c>
      <c r="FD16" s="102">
        <v>12403583</v>
      </c>
      <c r="FE16" s="102">
        <v>13833745</v>
      </c>
      <c r="FF16" s="102">
        <v>4566088</v>
      </c>
      <c r="FG16" s="102">
        <v>10693009</v>
      </c>
      <c r="FH16" s="73">
        <f t="shared" si="14"/>
        <v>3168144</v>
      </c>
      <c r="FI16" s="102">
        <v>85004054</v>
      </c>
      <c r="FJ16" s="379">
        <f t="shared" si="15"/>
        <v>2.1</v>
      </c>
      <c r="FK16" s="102">
        <v>72363463</v>
      </c>
      <c r="FL16" s="102">
        <v>5589575</v>
      </c>
      <c r="FM16" s="102">
        <v>47036732</v>
      </c>
      <c r="FN16" s="102">
        <v>59109214</v>
      </c>
      <c r="FO16" s="428">
        <v>0.79900000000000004</v>
      </c>
      <c r="FP16" s="424">
        <v>96.1</v>
      </c>
      <c r="FQ16" s="425">
        <v>23</v>
      </c>
      <c r="FR16" s="424">
        <v>18.2</v>
      </c>
      <c r="FS16" s="424">
        <v>11.9</v>
      </c>
      <c r="FT16" s="425">
        <v>14.3</v>
      </c>
      <c r="FU16" s="424">
        <v>14.8</v>
      </c>
      <c r="FV16" s="426">
        <v>12.7</v>
      </c>
      <c r="FW16" s="388">
        <v>-0.8</v>
      </c>
      <c r="FX16" s="102">
        <v>105708404</v>
      </c>
      <c r="FY16" s="384">
        <f t="shared" si="16"/>
        <v>135.6</v>
      </c>
      <c r="FZ16" s="102">
        <v>29422007</v>
      </c>
      <c r="GA16" s="102">
        <v>11357178</v>
      </c>
      <c r="GB16" s="102">
        <v>4401055</v>
      </c>
      <c r="GC16" s="102">
        <v>13663774</v>
      </c>
      <c r="GD16" s="107">
        <v>0</v>
      </c>
      <c r="GE16" s="427">
        <v>5285</v>
      </c>
      <c r="GF16" s="386">
        <f>IF(GE16=0,"-",ROUND(GE16/(GW16)*100,1))</f>
        <v>6.8</v>
      </c>
      <c r="GG16" s="424">
        <v>99.7</v>
      </c>
      <c r="GH16" s="424">
        <v>32.6</v>
      </c>
      <c r="GI16" s="424">
        <v>99.1</v>
      </c>
      <c r="GJ16" s="102">
        <v>2183</v>
      </c>
      <c r="GK16" s="429" t="s">
        <v>646</v>
      </c>
      <c r="GL16" s="429">
        <v>11.25</v>
      </c>
      <c r="GM16" s="117">
        <v>20</v>
      </c>
      <c r="GN16" s="429" t="s">
        <v>646</v>
      </c>
      <c r="GO16" s="430">
        <v>16.25</v>
      </c>
      <c r="GP16" s="387">
        <v>30</v>
      </c>
      <c r="GQ16" s="425">
        <v>-0.8</v>
      </c>
      <c r="GR16" s="388">
        <v>25</v>
      </c>
      <c r="GS16" s="388">
        <v>35</v>
      </c>
      <c r="GT16" s="431" t="s">
        <v>646</v>
      </c>
      <c r="GU16" s="388">
        <v>350</v>
      </c>
      <c r="GV16" s="394"/>
      <c r="GW16" s="100">
        <f t="shared" si="17"/>
        <v>77953</v>
      </c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  <c r="HW16" s="394"/>
    </row>
    <row r="17" spans="2:231" x14ac:dyDescent="0.15">
      <c r="B17" s="89" t="s">
        <v>23</v>
      </c>
      <c r="C17" s="102">
        <v>47717890</v>
      </c>
      <c r="D17" s="73">
        <f t="shared" si="0"/>
        <v>18393725</v>
      </c>
      <c r="E17" s="102">
        <v>480006</v>
      </c>
      <c r="F17" s="102">
        <v>17913719</v>
      </c>
      <c r="G17" s="73">
        <f t="shared" si="1"/>
        <v>3472811</v>
      </c>
      <c r="H17" s="102">
        <v>775037</v>
      </c>
      <c r="I17" s="102">
        <v>2697774</v>
      </c>
      <c r="J17" s="102">
        <v>19871085</v>
      </c>
      <c r="K17" s="102">
        <v>8102668</v>
      </c>
      <c r="L17" s="102">
        <v>8979622</v>
      </c>
      <c r="M17" s="102">
        <v>2551995</v>
      </c>
      <c r="N17" s="102">
        <v>1569519</v>
      </c>
      <c r="O17" s="102">
        <v>4076319</v>
      </c>
      <c r="P17" s="102">
        <v>2155084</v>
      </c>
      <c r="Q17" s="102">
        <v>1921235</v>
      </c>
      <c r="R17" s="102">
        <v>492532</v>
      </c>
      <c r="S17" s="74"/>
      <c r="T17" s="73">
        <f t="shared" si="2"/>
        <v>5394955</v>
      </c>
      <c r="U17" s="102">
        <v>66477</v>
      </c>
      <c r="V17" s="102">
        <v>306761</v>
      </c>
      <c r="W17" s="102">
        <v>176576</v>
      </c>
      <c r="X17" s="102">
        <v>4573067</v>
      </c>
      <c r="Y17" s="102">
        <v>88374</v>
      </c>
      <c r="Z17" s="102">
        <v>0</v>
      </c>
      <c r="AA17" s="102">
        <v>140090</v>
      </c>
      <c r="AB17" s="102">
        <v>43610</v>
      </c>
      <c r="AC17" s="102">
        <v>684970</v>
      </c>
      <c r="AD17" s="102">
        <v>1512730</v>
      </c>
      <c r="AE17" s="102">
        <v>1290514</v>
      </c>
      <c r="AF17" s="102">
        <v>222177</v>
      </c>
      <c r="AG17" s="102">
        <v>35772</v>
      </c>
      <c r="AH17" s="102">
        <v>472320</v>
      </c>
      <c r="AI17" s="73">
        <f t="shared" si="3"/>
        <v>1788413</v>
      </c>
      <c r="AJ17" s="102">
        <v>1354113</v>
      </c>
      <c r="AK17" s="102">
        <v>434300</v>
      </c>
      <c r="AL17" s="102">
        <v>17592415</v>
      </c>
      <c r="AM17" s="73">
        <f t="shared" si="4"/>
        <v>9436341</v>
      </c>
      <c r="AN17" s="102">
        <v>4466649</v>
      </c>
      <c r="AO17" s="102">
        <v>2638313</v>
      </c>
      <c r="AP17" s="74"/>
      <c r="AQ17" s="102">
        <v>2331379</v>
      </c>
      <c r="AR17" s="102">
        <v>948245</v>
      </c>
      <c r="AS17" s="102">
        <v>105753</v>
      </c>
      <c r="AT17" s="102">
        <v>0</v>
      </c>
      <c r="AU17" s="102">
        <v>7939115</v>
      </c>
      <c r="AV17" s="102">
        <v>5028831</v>
      </c>
      <c r="AW17" s="102">
        <v>1159149</v>
      </c>
      <c r="AX17" s="102">
        <v>444333</v>
      </c>
      <c r="AY17" s="102">
        <v>2910284</v>
      </c>
      <c r="AZ17" s="102">
        <v>181235</v>
      </c>
      <c r="BA17" s="102">
        <v>166169</v>
      </c>
      <c r="BB17" s="102">
        <v>120789</v>
      </c>
      <c r="BC17" s="102">
        <v>197470</v>
      </c>
      <c r="BD17" s="102">
        <v>368938</v>
      </c>
      <c r="BE17" s="102">
        <v>177890</v>
      </c>
      <c r="BF17" s="102">
        <v>0</v>
      </c>
      <c r="BG17" s="102">
        <v>85074</v>
      </c>
      <c r="BH17" s="102">
        <v>0</v>
      </c>
      <c r="BI17" s="102">
        <v>1513355</v>
      </c>
      <c r="BJ17" s="102">
        <v>446083</v>
      </c>
      <c r="BK17" s="102">
        <v>2760100</v>
      </c>
      <c r="BL17" s="102">
        <v>418426</v>
      </c>
      <c r="BM17" s="102">
        <v>7741</v>
      </c>
      <c r="BN17" s="102">
        <v>172248</v>
      </c>
      <c r="BO17" s="102">
        <v>3882600</v>
      </c>
      <c r="BP17" s="73">
        <f t="shared" si="5"/>
        <v>2260000</v>
      </c>
      <c r="BQ17" s="73">
        <f t="shared" si="6"/>
        <v>1622600</v>
      </c>
      <c r="BR17" s="102">
        <v>0</v>
      </c>
      <c r="BS17" s="102">
        <v>0</v>
      </c>
      <c r="BT17" s="102">
        <v>1622600</v>
      </c>
      <c r="BU17" s="102">
        <v>0</v>
      </c>
      <c r="BV17" s="102">
        <v>92519744</v>
      </c>
      <c r="BW17" s="71"/>
      <c r="BX17" s="102">
        <v>14647877</v>
      </c>
      <c r="BY17" s="102">
        <v>10393992</v>
      </c>
      <c r="BZ17" s="102">
        <v>823437</v>
      </c>
      <c r="CA17" s="102">
        <v>755289</v>
      </c>
      <c r="CB17" s="102">
        <v>28328620</v>
      </c>
      <c r="CC17" s="102">
        <v>6578741</v>
      </c>
      <c r="CD17" s="102">
        <v>158524</v>
      </c>
      <c r="CE17" s="102">
        <v>14337696</v>
      </c>
      <c r="CF17" s="102">
        <v>5904449</v>
      </c>
      <c r="CG17" s="102">
        <v>0</v>
      </c>
      <c r="CH17" s="102">
        <v>1349210</v>
      </c>
      <c r="CI17" s="102">
        <v>5106764</v>
      </c>
      <c r="CJ17" s="102">
        <v>4709258</v>
      </c>
      <c r="CK17" s="83">
        <f t="shared" si="7"/>
        <v>397506</v>
      </c>
      <c r="CL17" s="102">
        <v>16495825</v>
      </c>
      <c r="CM17" s="102">
        <v>8108949</v>
      </c>
      <c r="CN17" s="102">
        <v>1457720</v>
      </c>
      <c r="CO17" s="102">
        <v>4276717</v>
      </c>
      <c r="CP17" s="102">
        <v>1387322</v>
      </c>
      <c r="CQ17" s="102">
        <v>6778062</v>
      </c>
      <c r="CR17" s="102">
        <v>6424</v>
      </c>
      <c r="CS17" s="102">
        <v>3132175</v>
      </c>
      <c r="CT17" s="102">
        <v>2008866</v>
      </c>
      <c r="CU17" s="73">
        <f t="shared" si="8"/>
        <v>1977615</v>
      </c>
      <c r="CV17" s="102">
        <v>1062231</v>
      </c>
      <c r="CW17" s="102">
        <v>915384</v>
      </c>
      <c r="CX17" s="73">
        <f t="shared" si="9"/>
        <v>0</v>
      </c>
      <c r="CY17" s="102">
        <v>0</v>
      </c>
      <c r="CZ17" s="102">
        <v>0</v>
      </c>
      <c r="DA17" s="73">
        <f t="shared" si="10"/>
        <v>1954313</v>
      </c>
      <c r="DB17" s="102">
        <v>1058824</v>
      </c>
      <c r="DC17" s="102">
        <v>895489</v>
      </c>
      <c r="DD17" s="102">
        <v>7995445</v>
      </c>
      <c r="DE17" s="102">
        <v>2856730</v>
      </c>
      <c r="DF17" s="102">
        <v>5130974</v>
      </c>
      <c r="DG17" s="102">
        <v>0</v>
      </c>
      <c r="DH17" s="102">
        <v>7741</v>
      </c>
      <c r="DI17" s="102">
        <v>289885</v>
      </c>
      <c r="DJ17" s="102">
        <v>1018123</v>
      </c>
      <c r="DK17" s="102">
        <v>560</v>
      </c>
      <c r="DL17" s="102">
        <v>0</v>
      </c>
      <c r="DM17" s="102">
        <v>1017563</v>
      </c>
      <c r="DN17" s="102">
        <v>12559</v>
      </c>
      <c r="DO17" s="102">
        <v>10359</v>
      </c>
      <c r="DP17" s="102">
        <v>10359</v>
      </c>
      <c r="DQ17" s="102">
        <v>0</v>
      </c>
      <c r="DR17" s="102">
        <v>418385</v>
      </c>
      <c r="DS17" s="102">
        <v>0</v>
      </c>
      <c r="DT17" s="102">
        <v>0</v>
      </c>
      <c r="DU17" s="102">
        <v>8037936</v>
      </c>
      <c r="DV17" s="102">
        <v>0</v>
      </c>
      <c r="DW17" s="73">
        <f t="shared" si="11"/>
        <v>0</v>
      </c>
      <c r="DX17" s="102">
        <v>0</v>
      </c>
      <c r="DY17" s="102">
        <v>3331660</v>
      </c>
      <c r="DZ17" s="102">
        <v>0</v>
      </c>
      <c r="EA17" s="102">
        <v>1970836</v>
      </c>
      <c r="EB17" s="74">
        <v>0</v>
      </c>
      <c r="EC17" s="102">
        <v>2735440</v>
      </c>
      <c r="ED17" s="102">
        <v>0</v>
      </c>
      <c r="EE17" s="102">
        <v>90516803</v>
      </c>
      <c r="EF17" s="71"/>
      <c r="EG17" s="102">
        <v>2002941</v>
      </c>
      <c r="EH17" s="102">
        <v>1119117</v>
      </c>
      <c r="EI17" s="102">
        <v>883824</v>
      </c>
      <c r="EJ17" s="102">
        <v>-10259</v>
      </c>
      <c r="EK17" s="102">
        <v>-187589</v>
      </c>
      <c r="EL17" s="71"/>
      <c r="EM17" s="102">
        <v>280033</v>
      </c>
      <c r="EN17" s="102">
        <v>282362</v>
      </c>
      <c r="EO17" s="102">
        <v>283864</v>
      </c>
      <c r="EP17" s="102">
        <v>165343</v>
      </c>
      <c r="EQ17" s="73">
        <f t="shared" si="12"/>
        <v>2023383</v>
      </c>
      <c r="ER17" s="102">
        <v>55838849</v>
      </c>
      <c r="ES17" s="71">
        <v>-4059418</v>
      </c>
      <c r="ET17" s="102">
        <v>13098593</v>
      </c>
      <c r="EU17" s="102">
        <v>9044689</v>
      </c>
      <c r="EV17" s="102">
        <v>9051772</v>
      </c>
      <c r="EW17" s="102">
        <v>5106764</v>
      </c>
      <c r="EX17" s="73">
        <f t="shared" si="13"/>
        <v>3188356</v>
      </c>
      <c r="EY17" s="102">
        <v>3165973</v>
      </c>
      <c r="EZ17" s="102">
        <v>291181</v>
      </c>
      <c r="FA17" s="102">
        <v>2874792</v>
      </c>
      <c r="FB17" s="102">
        <v>22383</v>
      </c>
      <c r="FC17" s="102">
        <v>0</v>
      </c>
      <c r="FD17" s="102">
        <v>13339200</v>
      </c>
      <c r="FE17" s="102">
        <v>5627251</v>
      </c>
      <c r="FF17" s="102">
        <v>6424</v>
      </c>
      <c r="FG17" s="102">
        <v>6391857</v>
      </c>
      <c r="FH17" s="73">
        <f t="shared" si="14"/>
        <v>2091533</v>
      </c>
      <c r="FI17" s="102">
        <v>57895326</v>
      </c>
      <c r="FJ17" s="379">
        <f t="shared" si="15"/>
        <v>1.7</v>
      </c>
      <c r="FK17" s="102">
        <v>50376428</v>
      </c>
      <c r="FL17" s="102">
        <v>2042154</v>
      </c>
      <c r="FM17" s="102">
        <v>37955480</v>
      </c>
      <c r="FN17" s="102">
        <v>39280589</v>
      </c>
      <c r="FO17" s="428">
        <v>0.96799999999999997</v>
      </c>
      <c r="FP17" s="424">
        <v>92.8</v>
      </c>
      <c r="FQ17" s="425">
        <v>24</v>
      </c>
      <c r="FR17" s="424">
        <v>16.8</v>
      </c>
      <c r="FS17" s="424">
        <v>9.5</v>
      </c>
      <c r="FT17" s="425">
        <v>21.5</v>
      </c>
      <c r="FU17" s="424">
        <v>7.5</v>
      </c>
      <c r="FV17" s="426">
        <v>11.6</v>
      </c>
      <c r="FW17" s="388">
        <v>-3.1</v>
      </c>
      <c r="FX17" s="102">
        <v>50002023</v>
      </c>
      <c r="FY17" s="384">
        <f t="shared" si="16"/>
        <v>95.4</v>
      </c>
      <c r="FZ17" s="102">
        <v>22897710</v>
      </c>
      <c r="GA17" s="102">
        <v>7668290</v>
      </c>
      <c r="GB17" s="102">
        <v>0</v>
      </c>
      <c r="GC17" s="102">
        <v>15229420</v>
      </c>
      <c r="GD17" s="107">
        <v>0</v>
      </c>
      <c r="GE17" s="427">
        <v>825</v>
      </c>
      <c r="GF17" s="386">
        <f>IF(GE17=0,"-",ROUND(GE17/(GW17)*100,1))</f>
        <v>1.6</v>
      </c>
      <c r="GG17" s="424">
        <v>99.5</v>
      </c>
      <c r="GH17" s="424">
        <v>28.2</v>
      </c>
      <c r="GI17" s="424">
        <v>97.6</v>
      </c>
      <c r="GJ17" s="102">
        <v>1595</v>
      </c>
      <c r="GK17" s="429" t="s">
        <v>646</v>
      </c>
      <c r="GL17" s="429">
        <v>11.25</v>
      </c>
      <c r="GM17" s="117">
        <v>20</v>
      </c>
      <c r="GN17" s="429" t="s">
        <v>646</v>
      </c>
      <c r="GO17" s="430">
        <v>16.25</v>
      </c>
      <c r="GP17" s="387">
        <v>30</v>
      </c>
      <c r="GQ17" s="425">
        <v>-3.1</v>
      </c>
      <c r="GR17" s="388">
        <v>25</v>
      </c>
      <c r="GS17" s="388">
        <v>35</v>
      </c>
      <c r="GT17" s="431" t="s">
        <v>646</v>
      </c>
      <c r="GU17" s="388">
        <v>350</v>
      </c>
      <c r="GV17" s="394"/>
      <c r="GW17" s="100">
        <f t="shared" si="17"/>
        <v>52419</v>
      </c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  <c r="HW17" s="394"/>
    </row>
    <row r="18" spans="2:231" x14ac:dyDescent="0.15">
      <c r="B18" s="89" t="s">
        <v>25</v>
      </c>
      <c r="C18" s="102">
        <v>39579752</v>
      </c>
      <c r="D18" s="73">
        <f t="shared" si="0"/>
        <v>14248082</v>
      </c>
      <c r="E18" s="102">
        <v>427453</v>
      </c>
      <c r="F18" s="102">
        <v>13820629</v>
      </c>
      <c r="G18" s="73">
        <f t="shared" si="1"/>
        <v>3370345</v>
      </c>
      <c r="H18" s="102">
        <v>741160</v>
      </c>
      <c r="I18" s="102">
        <v>2629185</v>
      </c>
      <c r="J18" s="102">
        <v>16482929</v>
      </c>
      <c r="K18" s="102">
        <v>7157122</v>
      </c>
      <c r="L18" s="102">
        <v>6902726</v>
      </c>
      <c r="M18" s="102">
        <v>2143734</v>
      </c>
      <c r="N18" s="102">
        <v>1707421</v>
      </c>
      <c r="O18" s="102">
        <v>3394734</v>
      </c>
      <c r="P18" s="102">
        <v>1904820</v>
      </c>
      <c r="Q18" s="102">
        <v>1489914</v>
      </c>
      <c r="R18" s="102">
        <v>439432</v>
      </c>
      <c r="S18" s="74"/>
      <c r="T18" s="73">
        <f t="shared" si="2"/>
        <v>5111437</v>
      </c>
      <c r="U18" s="102">
        <v>51487</v>
      </c>
      <c r="V18" s="102">
        <v>237693</v>
      </c>
      <c r="W18" s="102">
        <v>136927</v>
      </c>
      <c r="X18" s="102">
        <v>4521777</v>
      </c>
      <c r="Y18" s="102">
        <v>0</v>
      </c>
      <c r="Z18" s="102">
        <v>0</v>
      </c>
      <c r="AA18" s="102">
        <v>124727</v>
      </c>
      <c r="AB18" s="102">
        <v>38826</v>
      </c>
      <c r="AC18" s="102">
        <v>615795</v>
      </c>
      <c r="AD18" s="102">
        <v>12175745</v>
      </c>
      <c r="AE18" s="102">
        <v>11610268</v>
      </c>
      <c r="AF18" s="102">
        <v>565421</v>
      </c>
      <c r="AG18" s="102">
        <v>34393</v>
      </c>
      <c r="AH18" s="102">
        <v>933037</v>
      </c>
      <c r="AI18" s="73">
        <f t="shared" si="3"/>
        <v>1683075</v>
      </c>
      <c r="AJ18" s="102">
        <v>1131077</v>
      </c>
      <c r="AK18" s="102">
        <v>551998</v>
      </c>
      <c r="AL18" s="102">
        <v>23259840</v>
      </c>
      <c r="AM18" s="73">
        <f t="shared" si="4"/>
        <v>16933280</v>
      </c>
      <c r="AN18" s="102">
        <v>10294338</v>
      </c>
      <c r="AO18" s="102">
        <v>3256617</v>
      </c>
      <c r="AP18" s="74"/>
      <c r="AQ18" s="102">
        <v>3382325</v>
      </c>
      <c r="AR18" s="102">
        <v>542568</v>
      </c>
      <c r="AS18" s="102">
        <v>0</v>
      </c>
      <c r="AT18" s="102">
        <v>53004</v>
      </c>
      <c r="AU18" s="102">
        <v>7628240</v>
      </c>
      <c r="AV18" s="102">
        <v>4778741</v>
      </c>
      <c r="AW18" s="102">
        <v>1475129</v>
      </c>
      <c r="AX18" s="102">
        <v>188286</v>
      </c>
      <c r="AY18" s="102">
        <v>2849499</v>
      </c>
      <c r="AZ18" s="102">
        <v>34701</v>
      </c>
      <c r="BA18" s="102">
        <v>137717</v>
      </c>
      <c r="BB18" s="102">
        <v>38912</v>
      </c>
      <c r="BC18" s="102">
        <v>144784</v>
      </c>
      <c r="BD18" s="102">
        <v>238494</v>
      </c>
      <c r="BE18" s="102">
        <v>0</v>
      </c>
      <c r="BF18" s="102">
        <v>0</v>
      </c>
      <c r="BG18" s="102">
        <v>238480</v>
      </c>
      <c r="BH18" s="102">
        <v>0</v>
      </c>
      <c r="BI18" s="102">
        <v>868566</v>
      </c>
      <c r="BJ18" s="102">
        <v>747004</v>
      </c>
      <c r="BK18" s="102">
        <v>1185516</v>
      </c>
      <c r="BL18" s="102">
        <v>279287</v>
      </c>
      <c r="BM18" s="102">
        <v>0</v>
      </c>
      <c r="BN18" s="102">
        <v>171341</v>
      </c>
      <c r="BO18" s="102">
        <v>7908742</v>
      </c>
      <c r="BP18" s="73">
        <f t="shared" si="5"/>
        <v>3376300</v>
      </c>
      <c r="BQ18" s="73">
        <f t="shared" si="6"/>
        <v>4532442</v>
      </c>
      <c r="BR18" s="102">
        <v>0</v>
      </c>
      <c r="BS18" s="102">
        <v>0</v>
      </c>
      <c r="BT18" s="102">
        <v>4532442</v>
      </c>
      <c r="BU18" s="102">
        <v>0</v>
      </c>
      <c r="BV18" s="102">
        <v>101997569</v>
      </c>
      <c r="BW18" s="71"/>
      <c r="BX18" s="102">
        <v>17338048</v>
      </c>
      <c r="BY18" s="102">
        <v>11631484</v>
      </c>
      <c r="BZ18" s="102">
        <v>683878</v>
      </c>
      <c r="CA18" s="102">
        <v>1876980</v>
      </c>
      <c r="CB18" s="102">
        <v>37456076</v>
      </c>
      <c r="CC18" s="102">
        <v>8268001</v>
      </c>
      <c r="CD18" s="102">
        <v>109059</v>
      </c>
      <c r="CE18" s="102">
        <v>13157888</v>
      </c>
      <c r="CF18" s="102">
        <v>13639349</v>
      </c>
      <c r="CG18" s="102">
        <v>932723</v>
      </c>
      <c r="CH18" s="102">
        <v>1346968</v>
      </c>
      <c r="CI18" s="102">
        <v>8800593</v>
      </c>
      <c r="CJ18" s="102">
        <v>8258056</v>
      </c>
      <c r="CK18" s="83">
        <f t="shared" si="7"/>
        <v>542537</v>
      </c>
      <c r="CL18" s="102">
        <v>9876494</v>
      </c>
      <c r="CM18" s="102">
        <v>6508166</v>
      </c>
      <c r="CN18" s="102">
        <v>645467</v>
      </c>
      <c r="CO18" s="102">
        <v>1605827</v>
      </c>
      <c r="CP18" s="102">
        <v>448773</v>
      </c>
      <c r="CQ18" s="102">
        <v>9393464</v>
      </c>
      <c r="CR18" s="102">
        <v>838153</v>
      </c>
      <c r="CS18" s="102">
        <v>2058617</v>
      </c>
      <c r="CT18" s="102">
        <v>1841312</v>
      </c>
      <c r="CU18" s="73">
        <f t="shared" si="8"/>
        <v>5473139</v>
      </c>
      <c r="CV18" s="102">
        <v>5473139</v>
      </c>
      <c r="CW18" s="102">
        <v>0</v>
      </c>
      <c r="CX18" s="73">
        <f t="shared" si="9"/>
        <v>1540946</v>
      </c>
      <c r="CY18" s="102">
        <v>1540946</v>
      </c>
      <c r="CZ18" s="102">
        <v>0</v>
      </c>
      <c r="DA18" s="73">
        <f t="shared" si="10"/>
        <v>3828901</v>
      </c>
      <c r="DB18" s="102">
        <v>3828901</v>
      </c>
      <c r="DC18" s="102">
        <v>0</v>
      </c>
      <c r="DD18" s="102">
        <v>5732689</v>
      </c>
      <c r="DE18" s="102">
        <v>2303169</v>
      </c>
      <c r="DF18" s="102">
        <v>3380232</v>
      </c>
      <c r="DG18" s="102">
        <v>46325</v>
      </c>
      <c r="DH18" s="102">
        <v>2963</v>
      </c>
      <c r="DI18" s="102">
        <v>69962</v>
      </c>
      <c r="DJ18" s="102">
        <v>555384</v>
      </c>
      <c r="DK18" s="102">
        <v>396145</v>
      </c>
      <c r="DL18" s="102">
        <v>0</v>
      </c>
      <c r="DM18" s="102">
        <v>159239</v>
      </c>
      <c r="DN18" s="102">
        <v>508162</v>
      </c>
      <c r="DO18" s="102">
        <v>508062</v>
      </c>
      <c r="DP18" s="102">
        <v>0</v>
      </c>
      <c r="DQ18" s="102">
        <v>0</v>
      </c>
      <c r="DR18" s="102">
        <v>293085</v>
      </c>
      <c r="DS18" s="102">
        <v>0</v>
      </c>
      <c r="DT18" s="102">
        <v>0</v>
      </c>
      <c r="DU18" s="102">
        <v>10052492</v>
      </c>
      <c r="DV18" s="102">
        <v>0</v>
      </c>
      <c r="DW18" s="73">
        <f t="shared" si="11"/>
        <v>0</v>
      </c>
      <c r="DX18" s="102">
        <v>0</v>
      </c>
      <c r="DY18" s="102">
        <v>3510567</v>
      </c>
      <c r="DZ18" s="102">
        <v>0</v>
      </c>
      <c r="EA18" s="102">
        <v>2794769</v>
      </c>
      <c r="EB18" s="74">
        <v>0</v>
      </c>
      <c r="EC18" s="102">
        <v>3744211</v>
      </c>
      <c r="ED18" s="102">
        <v>0</v>
      </c>
      <c r="EE18" s="102">
        <v>100525222</v>
      </c>
      <c r="EF18" s="71"/>
      <c r="EG18" s="102">
        <v>1472347</v>
      </c>
      <c r="EH18" s="102">
        <v>87422</v>
      </c>
      <c r="EI18" s="102">
        <v>1384925</v>
      </c>
      <c r="EJ18" s="102">
        <v>637921</v>
      </c>
      <c r="EK18" s="102">
        <v>1128366</v>
      </c>
      <c r="EL18" s="71"/>
      <c r="EM18" s="102">
        <v>268800</v>
      </c>
      <c r="EN18" s="102">
        <v>266349</v>
      </c>
      <c r="EO18" s="102">
        <v>3</v>
      </c>
      <c r="EP18" s="102">
        <v>87990</v>
      </c>
      <c r="EQ18" s="73">
        <f t="shared" si="12"/>
        <v>2001545</v>
      </c>
      <c r="ER18" s="102">
        <v>58009558</v>
      </c>
      <c r="ES18" s="71">
        <v>-6534583</v>
      </c>
      <c r="ET18" s="102">
        <v>15922469</v>
      </c>
      <c r="EU18" s="102">
        <v>10750646</v>
      </c>
      <c r="EV18" s="102">
        <v>11099512</v>
      </c>
      <c r="EW18" s="102">
        <v>8757572</v>
      </c>
      <c r="EX18" s="73">
        <f t="shared" si="13"/>
        <v>1222480</v>
      </c>
      <c r="EY18" s="102">
        <v>1217250</v>
      </c>
      <c r="EZ18" s="102">
        <v>111542</v>
      </c>
      <c r="FA18" s="102">
        <v>1104919</v>
      </c>
      <c r="FB18" s="102">
        <v>5230</v>
      </c>
      <c r="FC18" s="102">
        <v>0</v>
      </c>
      <c r="FD18" s="102">
        <v>8085930</v>
      </c>
      <c r="FE18" s="102">
        <v>8682085</v>
      </c>
      <c r="FF18" s="102">
        <v>516803</v>
      </c>
      <c r="FG18" s="102">
        <v>7967263</v>
      </c>
      <c r="FH18" s="73">
        <f t="shared" si="14"/>
        <v>1334483</v>
      </c>
      <c r="FI18" s="102">
        <v>63071794</v>
      </c>
      <c r="FJ18" s="379">
        <f t="shared" si="15"/>
        <v>2.4</v>
      </c>
      <c r="FK18" s="102">
        <v>52499767</v>
      </c>
      <c r="FL18" s="102">
        <v>4532442</v>
      </c>
      <c r="FM18" s="102">
        <v>31749687</v>
      </c>
      <c r="FN18" s="102">
        <v>43366225</v>
      </c>
      <c r="FO18" s="428">
        <v>0.748</v>
      </c>
      <c r="FP18" s="424">
        <v>100.4</v>
      </c>
      <c r="FQ18" s="425">
        <v>26.6</v>
      </c>
      <c r="FR18" s="424">
        <v>18.7</v>
      </c>
      <c r="FS18" s="424">
        <v>14.6</v>
      </c>
      <c r="FT18" s="425">
        <v>13</v>
      </c>
      <c r="FU18" s="424">
        <v>13.6</v>
      </c>
      <c r="FV18" s="426">
        <v>12.4</v>
      </c>
      <c r="FW18" s="388">
        <v>5.0999999999999996</v>
      </c>
      <c r="FX18" s="102">
        <v>97209209</v>
      </c>
      <c r="FY18" s="384">
        <f t="shared" si="16"/>
        <v>170.4</v>
      </c>
      <c r="FZ18" s="102">
        <v>8649930</v>
      </c>
      <c r="GA18" s="102">
        <v>6236353</v>
      </c>
      <c r="GB18" s="102">
        <v>0</v>
      </c>
      <c r="GC18" s="102">
        <v>2413577</v>
      </c>
      <c r="GD18" s="107">
        <v>0</v>
      </c>
      <c r="GE18" s="427"/>
      <c r="GF18" s="386"/>
      <c r="GG18" s="424">
        <v>99.3</v>
      </c>
      <c r="GH18" s="424">
        <v>29.4</v>
      </c>
      <c r="GI18" s="424">
        <v>97.9</v>
      </c>
      <c r="GJ18" s="102">
        <v>1723</v>
      </c>
      <c r="GK18" s="429" t="s">
        <v>646</v>
      </c>
      <c r="GL18" s="429">
        <v>11.25</v>
      </c>
      <c r="GM18" s="117">
        <v>20</v>
      </c>
      <c r="GN18" s="429" t="s">
        <v>646</v>
      </c>
      <c r="GO18" s="430">
        <v>16.25</v>
      </c>
      <c r="GP18" s="387">
        <v>30</v>
      </c>
      <c r="GQ18" s="425">
        <v>5.0999999999999996</v>
      </c>
      <c r="GR18" s="388">
        <v>25</v>
      </c>
      <c r="GS18" s="388">
        <v>35</v>
      </c>
      <c r="GT18" s="431">
        <v>10</v>
      </c>
      <c r="GU18" s="388">
        <v>350</v>
      </c>
      <c r="GV18" s="394"/>
      <c r="GW18" s="100">
        <f t="shared" si="17"/>
        <v>57032</v>
      </c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  <c r="HW18" s="394"/>
    </row>
    <row r="19" spans="2:231" x14ac:dyDescent="0.15">
      <c r="B19" s="89" t="s">
        <v>27</v>
      </c>
      <c r="C19" s="102">
        <v>21659835</v>
      </c>
      <c r="D19" s="73">
        <f t="shared" si="0"/>
        <v>4966324</v>
      </c>
      <c r="E19" s="102">
        <v>168028</v>
      </c>
      <c r="F19" s="102">
        <v>4798296</v>
      </c>
      <c r="G19" s="73">
        <f t="shared" si="1"/>
        <v>2625425</v>
      </c>
      <c r="H19" s="102">
        <v>478661</v>
      </c>
      <c r="I19" s="102">
        <v>2146764</v>
      </c>
      <c r="J19" s="102">
        <v>10026885</v>
      </c>
      <c r="K19" s="102">
        <v>3590904</v>
      </c>
      <c r="L19" s="102">
        <v>3791919</v>
      </c>
      <c r="M19" s="102">
        <v>2196736</v>
      </c>
      <c r="N19" s="102">
        <v>1886561</v>
      </c>
      <c r="O19" s="102">
        <v>1466862</v>
      </c>
      <c r="P19" s="102">
        <v>673443</v>
      </c>
      <c r="Q19" s="102">
        <v>793419</v>
      </c>
      <c r="R19" s="102">
        <v>207690</v>
      </c>
      <c r="S19" s="74"/>
      <c r="T19" s="73">
        <f t="shared" si="2"/>
        <v>2042091</v>
      </c>
      <c r="U19" s="102">
        <v>17403</v>
      </c>
      <c r="V19" s="102">
        <v>80445</v>
      </c>
      <c r="W19" s="102">
        <v>46449</v>
      </c>
      <c r="X19" s="102">
        <v>1787909</v>
      </c>
      <c r="Y19" s="102">
        <v>46502</v>
      </c>
      <c r="Z19" s="102">
        <v>0</v>
      </c>
      <c r="AA19" s="102">
        <v>48338</v>
      </c>
      <c r="AB19" s="102">
        <v>15045</v>
      </c>
      <c r="AC19" s="102">
        <v>208997</v>
      </c>
      <c r="AD19" s="102">
        <v>981010</v>
      </c>
      <c r="AE19" s="102">
        <v>927741</v>
      </c>
      <c r="AF19" s="102">
        <v>53269</v>
      </c>
      <c r="AG19" s="102">
        <v>17104</v>
      </c>
      <c r="AH19" s="102">
        <v>148798</v>
      </c>
      <c r="AI19" s="73">
        <f t="shared" si="3"/>
        <v>878378</v>
      </c>
      <c r="AJ19" s="102">
        <v>638029</v>
      </c>
      <c r="AK19" s="102">
        <v>240349</v>
      </c>
      <c r="AL19" s="102">
        <v>7325566</v>
      </c>
      <c r="AM19" s="73">
        <f t="shared" si="4"/>
        <v>4891902</v>
      </c>
      <c r="AN19" s="102">
        <v>2616770</v>
      </c>
      <c r="AO19" s="102">
        <v>959674</v>
      </c>
      <c r="AP19" s="74"/>
      <c r="AQ19" s="102">
        <v>1315458</v>
      </c>
      <c r="AR19" s="102">
        <v>193216</v>
      </c>
      <c r="AS19" s="102">
        <v>0</v>
      </c>
      <c r="AT19" s="102">
        <v>0</v>
      </c>
      <c r="AU19" s="102">
        <v>3267142</v>
      </c>
      <c r="AV19" s="102">
        <v>1951864</v>
      </c>
      <c r="AW19" s="102">
        <v>531038</v>
      </c>
      <c r="AX19" s="102">
        <v>15676</v>
      </c>
      <c r="AY19" s="102">
        <v>1315278</v>
      </c>
      <c r="AZ19" s="102">
        <v>44748</v>
      </c>
      <c r="BA19" s="102">
        <v>429153</v>
      </c>
      <c r="BB19" s="102">
        <v>276732</v>
      </c>
      <c r="BC19" s="102">
        <v>18575443</v>
      </c>
      <c r="BD19" s="102">
        <v>30084409</v>
      </c>
      <c r="BE19" s="102">
        <v>0</v>
      </c>
      <c r="BF19" s="102">
        <v>238400</v>
      </c>
      <c r="BG19" s="102">
        <v>29745935</v>
      </c>
      <c r="BH19" s="102">
        <v>100000</v>
      </c>
      <c r="BI19" s="102">
        <v>446238</v>
      </c>
      <c r="BJ19" s="102">
        <v>60539</v>
      </c>
      <c r="BK19" s="102">
        <v>4387689</v>
      </c>
      <c r="BL19" s="102">
        <v>3662232</v>
      </c>
      <c r="BM19" s="102">
        <v>0</v>
      </c>
      <c r="BN19" s="102">
        <v>108145</v>
      </c>
      <c r="BO19" s="102">
        <v>3608000</v>
      </c>
      <c r="BP19" s="73">
        <f t="shared" si="5"/>
        <v>2570400</v>
      </c>
      <c r="BQ19" s="73">
        <f t="shared" si="6"/>
        <v>1037600</v>
      </c>
      <c r="BR19" s="102">
        <v>0</v>
      </c>
      <c r="BS19" s="102">
        <v>0</v>
      </c>
      <c r="BT19" s="102">
        <v>1037600</v>
      </c>
      <c r="BU19" s="102">
        <v>0</v>
      </c>
      <c r="BV19" s="102">
        <v>94267543</v>
      </c>
      <c r="BW19" s="71"/>
      <c r="BX19" s="102">
        <v>5379155</v>
      </c>
      <c r="BY19" s="102">
        <v>3275054</v>
      </c>
      <c r="BZ19" s="102">
        <v>340104</v>
      </c>
      <c r="CA19" s="102">
        <v>493473</v>
      </c>
      <c r="CB19" s="102">
        <v>11309641</v>
      </c>
      <c r="CC19" s="102">
        <v>2668676</v>
      </c>
      <c r="CD19" s="102">
        <v>26627</v>
      </c>
      <c r="CE19" s="102">
        <v>4644296</v>
      </c>
      <c r="CF19" s="102">
        <v>3500770</v>
      </c>
      <c r="CG19" s="102">
        <v>26059</v>
      </c>
      <c r="CH19" s="102">
        <v>443213</v>
      </c>
      <c r="CI19" s="102">
        <v>5452124</v>
      </c>
      <c r="CJ19" s="102">
        <v>4790282</v>
      </c>
      <c r="CK19" s="83">
        <f t="shared" si="7"/>
        <v>661842</v>
      </c>
      <c r="CL19" s="102">
        <v>10942607</v>
      </c>
      <c r="CM19" s="102">
        <v>5199719</v>
      </c>
      <c r="CN19" s="102">
        <v>147083</v>
      </c>
      <c r="CO19" s="102">
        <v>710851</v>
      </c>
      <c r="CP19" s="102">
        <v>113244</v>
      </c>
      <c r="CQ19" s="102">
        <v>26250520</v>
      </c>
      <c r="CR19" s="102">
        <v>2197262</v>
      </c>
      <c r="CS19" s="102">
        <v>2326885</v>
      </c>
      <c r="CT19" s="102">
        <v>1792513</v>
      </c>
      <c r="CU19" s="73">
        <f t="shared" si="8"/>
        <v>4703</v>
      </c>
      <c r="CV19" s="102">
        <v>4703</v>
      </c>
      <c r="CW19" s="102">
        <v>0</v>
      </c>
      <c r="CX19" s="73">
        <f t="shared" si="9"/>
        <v>0</v>
      </c>
      <c r="CY19" s="102">
        <v>0</v>
      </c>
      <c r="CZ19" s="102">
        <v>0</v>
      </c>
      <c r="DA19" s="73">
        <f t="shared" si="10"/>
        <v>0</v>
      </c>
      <c r="DB19" s="102">
        <v>0</v>
      </c>
      <c r="DC19" s="102">
        <v>0</v>
      </c>
      <c r="DD19" s="102">
        <v>5766603</v>
      </c>
      <c r="DE19" s="102">
        <v>849275</v>
      </c>
      <c r="DF19" s="102">
        <v>4905730</v>
      </c>
      <c r="DG19" s="102">
        <v>11539</v>
      </c>
      <c r="DH19" s="102">
        <v>0</v>
      </c>
      <c r="DI19" s="102">
        <v>41459</v>
      </c>
      <c r="DJ19" s="102">
        <v>19245139</v>
      </c>
      <c r="DK19" s="102">
        <v>269219</v>
      </c>
      <c r="DL19" s="102">
        <v>118014</v>
      </c>
      <c r="DM19" s="102">
        <v>18857906</v>
      </c>
      <c r="DN19" s="102">
        <v>4900</v>
      </c>
      <c r="DO19" s="102">
        <v>0</v>
      </c>
      <c r="DP19" s="102">
        <v>0</v>
      </c>
      <c r="DQ19" s="102">
        <v>0</v>
      </c>
      <c r="DR19" s="102">
        <v>3881200</v>
      </c>
      <c r="DS19" s="102">
        <v>0</v>
      </c>
      <c r="DT19" s="102">
        <v>0</v>
      </c>
      <c r="DU19" s="102">
        <v>5598172</v>
      </c>
      <c r="DV19" s="102">
        <v>1633206</v>
      </c>
      <c r="DW19" s="73">
        <f t="shared" si="11"/>
        <v>0</v>
      </c>
      <c r="DX19" s="102">
        <v>0</v>
      </c>
      <c r="DY19" s="102">
        <v>1491365</v>
      </c>
      <c r="DZ19" s="102">
        <v>0</v>
      </c>
      <c r="EA19" s="102">
        <v>1139273</v>
      </c>
      <c r="EB19" s="74">
        <v>0</v>
      </c>
      <c r="EC19" s="102">
        <v>1333246</v>
      </c>
      <c r="ED19" s="102">
        <v>0</v>
      </c>
      <c r="EE19" s="102">
        <v>93984764</v>
      </c>
      <c r="EF19" s="71"/>
      <c r="EG19" s="102">
        <v>282779</v>
      </c>
      <c r="EH19" s="102">
        <v>149608</v>
      </c>
      <c r="EI19" s="102">
        <v>133171</v>
      </c>
      <c r="EJ19" s="102">
        <v>72632</v>
      </c>
      <c r="EK19" s="102">
        <v>580251</v>
      </c>
      <c r="EL19" s="71"/>
      <c r="EM19" s="102">
        <v>100966</v>
      </c>
      <c r="EN19" s="102">
        <v>100420</v>
      </c>
      <c r="EO19" s="102">
        <v>28344671</v>
      </c>
      <c r="EP19" s="102">
        <v>316471</v>
      </c>
      <c r="EQ19" s="73">
        <f t="shared" si="12"/>
        <v>987789</v>
      </c>
      <c r="ER19" s="102">
        <v>25116727</v>
      </c>
      <c r="ES19" s="71">
        <v>-30669427</v>
      </c>
      <c r="ET19" s="102">
        <v>4801013</v>
      </c>
      <c r="EU19" s="102">
        <v>2763724</v>
      </c>
      <c r="EV19" s="102">
        <v>3098299</v>
      </c>
      <c r="EW19" s="102">
        <v>5070730</v>
      </c>
      <c r="EX19" s="73">
        <f t="shared" si="13"/>
        <v>2061414</v>
      </c>
      <c r="EY19" s="102">
        <v>2021109</v>
      </c>
      <c r="EZ19" s="102">
        <v>16134</v>
      </c>
      <c r="FA19" s="102">
        <v>2002283</v>
      </c>
      <c r="FB19" s="102">
        <v>40305</v>
      </c>
      <c r="FC19" s="102">
        <v>0</v>
      </c>
      <c r="FD19" s="102">
        <v>9432371</v>
      </c>
      <c r="FE19" s="102">
        <v>25512726</v>
      </c>
      <c r="FF19" s="102">
        <v>2192703</v>
      </c>
      <c r="FG19" s="102">
        <v>4744506</v>
      </c>
      <c r="FH19" s="73">
        <f t="shared" si="14"/>
        <v>782316</v>
      </c>
      <c r="FI19" s="102">
        <v>55503375</v>
      </c>
      <c r="FJ19" s="379">
        <f t="shared" si="15"/>
        <v>0.6</v>
      </c>
      <c r="FK19" s="102">
        <v>22234773</v>
      </c>
      <c r="FL19" s="102">
        <v>1037601</v>
      </c>
      <c r="FM19" s="102">
        <v>16439029</v>
      </c>
      <c r="FN19" s="102">
        <v>17382079</v>
      </c>
      <c r="FO19" s="428">
        <v>0.94899999999999995</v>
      </c>
      <c r="FP19" s="424">
        <v>103.1</v>
      </c>
      <c r="FQ19" s="425">
        <v>18.899999999999999</v>
      </c>
      <c r="FR19" s="424">
        <v>12.7</v>
      </c>
      <c r="FS19" s="424">
        <v>19.8</v>
      </c>
      <c r="FT19" s="425">
        <v>18.7</v>
      </c>
      <c r="FU19" s="424">
        <v>14.8</v>
      </c>
      <c r="FV19" s="426">
        <v>17.899999999999999</v>
      </c>
      <c r="FW19" s="388">
        <v>13.5</v>
      </c>
      <c r="FX19" s="102">
        <v>63086141</v>
      </c>
      <c r="FY19" s="384">
        <f t="shared" si="16"/>
        <v>271.10000000000002</v>
      </c>
      <c r="FZ19" s="102">
        <v>17980179</v>
      </c>
      <c r="GA19" s="102">
        <v>1859201</v>
      </c>
      <c r="GB19" s="102">
        <v>565537</v>
      </c>
      <c r="GC19" s="102">
        <v>15555441</v>
      </c>
      <c r="GD19" s="107">
        <v>0</v>
      </c>
      <c r="GE19" s="427">
        <v>2365</v>
      </c>
      <c r="GF19" s="386">
        <f>IF(GE19=0,"-",ROUND(GE19/(GW19)*100,1))</f>
        <v>10.199999999999999</v>
      </c>
      <c r="GG19" s="424">
        <v>99.6</v>
      </c>
      <c r="GH19" s="424">
        <v>50.5</v>
      </c>
      <c r="GI19" s="424">
        <v>99.1</v>
      </c>
      <c r="GJ19" s="102">
        <v>488</v>
      </c>
      <c r="GK19" s="429" t="s">
        <v>646</v>
      </c>
      <c r="GL19" s="429">
        <v>12.21</v>
      </c>
      <c r="GM19" s="117">
        <v>20</v>
      </c>
      <c r="GN19" s="429" t="s">
        <v>646</v>
      </c>
      <c r="GO19" s="430">
        <v>17.21</v>
      </c>
      <c r="GP19" s="387">
        <v>30</v>
      </c>
      <c r="GQ19" s="425">
        <v>13.5</v>
      </c>
      <c r="GR19" s="388">
        <v>25</v>
      </c>
      <c r="GS19" s="388">
        <v>35</v>
      </c>
      <c r="GT19" s="431">
        <v>79.3</v>
      </c>
      <c r="GU19" s="388">
        <v>350</v>
      </c>
      <c r="GV19" s="394"/>
      <c r="GW19" s="100">
        <f t="shared" si="17"/>
        <v>23272</v>
      </c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  <c r="HW19" s="394"/>
    </row>
    <row r="20" spans="2:231" x14ac:dyDescent="0.15">
      <c r="B20" s="89" t="s">
        <v>29</v>
      </c>
      <c r="C20" s="102">
        <v>13729404</v>
      </c>
      <c r="D20" s="73">
        <f t="shared" si="0"/>
        <v>6197414</v>
      </c>
      <c r="E20" s="102">
        <v>185245</v>
      </c>
      <c r="F20" s="102">
        <v>6012169</v>
      </c>
      <c r="G20" s="73">
        <f t="shared" si="1"/>
        <v>641743</v>
      </c>
      <c r="H20" s="102">
        <v>206658</v>
      </c>
      <c r="I20" s="102">
        <v>435085</v>
      </c>
      <c r="J20" s="102">
        <v>5136804</v>
      </c>
      <c r="K20" s="102">
        <v>2007087</v>
      </c>
      <c r="L20" s="102">
        <v>2388646</v>
      </c>
      <c r="M20" s="102">
        <v>632517</v>
      </c>
      <c r="N20" s="102">
        <v>545117</v>
      </c>
      <c r="O20" s="102">
        <v>987837</v>
      </c>
      <c r="P20" s="102">
        <v>530672</v>
      </c>
      <c r="Q20" s="102">
        <v>457165</v>
      </c>
      <c r="R20" s="102">
        <v>206475</v>
      </c>
      <c r="S20" s="74"/>
      <c r="T20" s="73">
        <f t="shared" si="2"/>
        <v>2096213</v>
      </c>
      <c r="U20" s="102">
        <v>22600</v>
      </c>
      <c r="V20" s="102">
        <v>104065</v>
      </c>
      <c r="W20" s="102">
        <v>59659</v>
      </c>
      <c r="X20" s="102">
        <v>1786529</v>
      </c>
      <c r="Y20" s="102">
        <v>46269</v>
      </c>
      <c r="Z20" s="102">
        <v>0</v>
      </c>
      <c r="AA20" s="102">
        <v>58791</v>
      </c>
      <c r="AB20" s="102">
        <v>18300</v>
      </c>
      <c r="AC20" s="102">
        <v>234864</v>
      </c>
      <c r="AD20" s="102">
        <v>6635449</v>
      </c>
      <c r="AE20" s="102">
        <v>6422351</v>
      </c>
      <c r="AF20" s="102">
        <v>213098</v>
      </c>
      <c r="AG20" s="102">
        <v>15890</v>
      </c>
      <c r="AH20" s="102">
        <v>1040724</v>
      </c>
      <c r="AI20" s="73">
        <f t="shared" si="3"/>
        <v>965486</v>
      </c>
      <c r="AJ20" s="102">
        <v>618684</v>
      </c>
      <c r="AK20" s="102">
        <v>346802</v>
      </c>
      <c r="AL20" s="102">
        <v>8294586</v>
      </c>
      <c r="AM20" s="73">
        <f t="shared" si="4"/>
        <v>5086812</v>
      </c>
      <c r="AN20" s="102">
        <v>2835364</v>
      </c>
      <c r="AO20" s="102">
        <v>990746</v>
      </c>
      <c r="AP20" s="74"/>
      <c r="AQ20" s="102">
        <v>1260702</v>
      </c>
      <c r="AR20" s="102">
        <v>1147206</v>
      </c>
      <c r="AS20" s="102">
        <v>0</v>
      </c>
      <c r="AT20" s="102">
        <v>0</v>
      </c>
      <c r="AU20" s="102">
        <v>3098919</v>
      </c>
      <c r="AV20" s="102">
        <v>1835470</v>
      </c>
      <c r="AW20" s="102">
        <v>459113</v>
      </c>
      <c r="AX20" s="102">
        <v>30930</v>
      </c>
      <c r="AY20" s="102">
        <v>1263449</v>
      </c>
      <c r="AZ20" s="102">
        <v>2435</v>
      </c>
      <c r="BA20" s="102">
        <v>162691</v>
      </c>
      <c r="BB20" s="102">
        <v>146801</v>
      </c>
      <c r="BC20" s="102">
        <v>48238</v>
      </c>
      <c r="BD20" s="102">
        <v>1216961</v>
      </c>
      <c r="BE20" s="102">
        <v>271888</v>
      </c>
      <c r="BF20" s="102">
        <v>0</v>
      </c>
      <c r="BG20" s="102">
        <v>945073</v>
      </c>
      <c r="BH20" s="102">
        <v>0</v>
      </c>
      <c r="BI20" s="102">
        <v>876813</v>
      </c>
      <c r="BJ20" s="102">
        <v>772335</v>
      </c>
      <c r="BK20" s="102">
        <v>1553089</v>
      </c>
      <c r="BL20" s="102">
        <v>1145443</v>
      </c>
      <c r="BM20" s="102">
        <v>0</v>
      </c>
      <c r="BN20" s="102">
        <v>135450</v>
      </c>
      <c r="BO20" s="102">
        <v>4386900</v>
      </c>
      <c r="BP20" s="73">
        <f t="shared" si="5"/>
        <v>3077900</v>
      </c>
      <c r="BQ20" s="73">
        <f t="shared" si="6"/>
        <v>1309000</v>
      </c>
      <c r="BR20" s="102">
        <v>0</v>
      </c>
      <c r="BS20" s="102">
        <v>0</v>
      </c>
      <c r="BT20" s="102">
        <v>1309000</v>
      </c>
      <c r="BU20" s="102">
        <v>0</v>
      </c>
      <c r="BV20" s="102">
        <v>44562702</v>
      </c>
      <c r="BW20" s="71"/>
      <c r="BX20" s="102">
        <v>7679610</v>
      </c>
      <c r="BY20" s="102">
        <v>4978335</v>
      </c>
      <c r="BZ20" s="102">
        <v>587604</v>
      </c>
      <c r="CA20" s="102">
        <v>751490</v>
      </c>
      <c r="CB20" s="102">
        <v>12170442</v>
      </c>
      <c r="CC20" s="102">
        <v>3123403</v>
      </c>
      <c r="CD20" s="102">
        <v>37797</v>
      </c>
      <c r="CE20" s="102">
        <v>5010804</v>
      </c>
      <c r="CF20" s="102">
        <v>3860597</v>
      </c>
      <c r="CG20" s="102">
        <v>7583</v>
      </c>
      <c r="CH20" s="102">
        <v>130258</v>
      </c>
      <c r="CI20" s="102">
        <v>2745554</v>
      </c>
      <c r="CJ20" s="102">
        <v>2568224</v>
      </c>
      <c r="CK20" s="83">
        <f t="shared" si="7"/>
        <v>177330</v>
      </c>
      <c r="CL20" s="102">
        <v>5286000</v>
      </c>
      <c r="CM20" s="102">
        <v>3684744</v>
      </c>
      <c r="CN20" s="102">
        <v>492640</v>
      </c>
      <c r="CO20" s="102">
        <v>741647</v>
      </c>
      <c r="CP20" s="102">
        <v>285562</v>
      </c>
      <c r="CQ20" s="102">
        <v>3415188</v>
      </c>
      <c r="CR20" s="102">
        <v>841088</v>
      </c>
      <c r="CS20" s="102">
        <v>914585</v>
      </c>
      <c r="CT20" s="102">
        <v>643718</v>
      </c>
      <c r="CU20" s="73">
        <f t="shared" si="8"/>
        <v>1075830</v>
      </c>
      <c r="CV20" s="102">
        <v>81895</v>
      </c>
      <c r="CW20" s="102">
        <v>993935</v>
      </c>
      <c r="CX20" s="73">
        <f t="shared" si="9"/>
        <v>0</v>
      </c>
      <c r="CY20" s="102">
        <v>0</v>
      </c>
      <c r="CZ20" s="102">
        <v>0</v>
      </c>
      <c r="DA20" s="73">
        <f t="shared" si="10"/>
        <v>1059774</v>
      </c>
      <c r="DB20" s="102">
        <v>68115</v>
      </c>
      <c r="DC20" s="102">
        <v>991659</v>
      </c>
      <c r="DD20" s="102">
        <v>5912684</v>
      </c>
      <c r="DE20" s="102">
        <v>2058779</v>
      </c>
      <c r="DF20" s="102">
        <v>3653125</v>
      </c>
      <c r="DG20" s="102">
        <v>200780</v>
      </c>
      <c r="DH20" s="102">
        <v>0</v>
      </c>
      <c r="DI20" s="102">
        <v>25245</v>
      </c>
      <c r="DJ20" s="102">
        <v>549258</v>
      </c>
      <c r="DK20" s="102">
        <v>202261</v>
      </c>
      <c r="DL20" s="102">
        <v>0</v>
      </c>
      <c r="DM20" s="102">
        <v>346997</v>
      </c>
      <c r="DN20" s="102">
        <v>0</v>
      </c>
      <c r="DO20" s="102">
        <v>0</v>
      </c>
      <c r="DP20" s="102">
        <v>0</v>
      </c>
      <c r="DQ20" s="102">
        <v>0</v>
      </c>
      <c r="DR20" s="102">
        <v>1137200</v>
      </c>
      <c r="DS20" s="102">
        <v>0</v>
      </c>
      <c r="DT20" s="102">
        <v>0</v>
      </c>
      <c r="DU20" s="102">
        <v>4596731</v>
      </c>
      <c r="DV20" s="102">
        <v>0</v>
      </c>
      <c r="DW20" s="73">
        <f t="shared" si="11"/>
        <v>0</v>
      </c>
      <c r="DX20" s="102">
        <v>0</v>
      </c>
      <c r="DY20" s="102">
        <v>1659435</v>
      </c>
      <c r="DZ20" s="102">
        <v>0</v>
      </c>
      <c r="EA20" s="102">
        <v>1291819</v>
      </c>
      <c r="EB20" s="74">
        <v>0</v>
      </c>
      <c r="EC20" s="102">
        <v>1645477</v>
      </c>
      <c r="ED20" s="102">
        <v>0</v>
      </c>
      <c r="EE20" s="102">
        <v>43803474</v>
      </c>
      <c r="EF20" s="71"/>
      <c r="EG20" s="102">
        <v>759228</v>
      </c>
      <c r="EH20" s="102">
        <v>51024</v>
      </c>
      <c r="EI20" s="102">
        <v>708204</v>
      </c>
      <c r="EJ20" s="102">
        <v>-64131</v>
      </c>
      <c r="EK20" s="102">
        <v>135938</v>
      </c>
      <c r="EL20" s="71"/>
      <c r="EM20" s="102">
        <v>113984</v>
      </c>
      <c r="EN20" s="102">
        <v>111033</v>
      </c>
      <c r="EO20" s="102">
        <v>523888</v>
      </c>
      <c r="EP20" s="102">
        <v>153178</v>
      </c>
      <c r="EQ20" s="73">
        <f t="shared" si="12"/>
        <v>1218720</v>
      </c>
      <c r="ER20" s="102">
        <v>22918295</v>
      </c>
      <c r="ES20" s="71">
        <v>-3188896</v>
      </c>
      <c r="ET20" s="102">
        <v>6601590</v>
      </c>
      <c r="EU20" s="102">
        <v>4119264</v>
      </c>
      <c r="EV20" s="102">
        <v>3761424</v>
      </c>
      <c r="EW20" s="102">
        <v>2660301</v>
      </c>
      <c r="EX20" s="73">
        <f t="shared" si="13"/>
        <v>884764</v>
      </c>
      <c r="EY20" s="102">
        <v>881732</v>
      </c>
      <c r="EZ20" s="102">
        <v>164017</v>
      </c>
      <c r="FA20" s="102">
        <v>708664</v>
      </c>
      <c r="FB20" s="102">
        <v>3032</v>
      </c>
      <c r="FC20" s="102">
        <v>0</v>
      </c>
      <c r="FD20" s="102">
        <v>3950645</v>
      </c>
      <c r="FE20" s="102">
        <v>3147700</v>
      </c>
      <c r="FF20" s="102">
        <v>841088</v>
      </c>
      <c r="FG20" s="102">
        <v>3647274</v>
      </c>
      <c r="FH20" s="73">
        <f t="shared" si="14"/>
        <v>694265</v>
      </c>
      <c r="FI20" s="102">
        <v>25347963</v>
      </c>
      <c r="FJ20" s="379">
        <f t="shared" si="15"/>
        <v>3.1</v>
      </c>
      <c r="FK20" s="102">
        <v>21406184</v>
      </c>
      <c r="FL20" s="102">
        <v>1309314</v>
      </c>
      <c r="FM20" s="102">
        <v>11650082</v>
      </c>
      <c r="FN20" s="102">
        <v>18093379</v>
      </c>
      <c r="FO20" s="428">
        <v>0.64900000000000002</v>
      </c>
      <c r="FP20" s="424">
        <v>95.9</v>
      </c>
      <c r="FQ20" s="425">
        <v>27.7</v>
      </c>
      <c r="FR20" s="424">
        <v>16.2</v>
      </c>
      <c r="FS20" s="424">
        <v>10.3</v>
      </c>
      <c r="FT20" s="425">
        <v>16.100000000000001</v>
      </c>
      <c r="FU20" s="424">
        <v>9.8000000000000007</v>
      </c>
      <c r="FV20" s="426">
        <v>14.7</v>
      </c>
      <c r="FW20" s="388">
        <v>-1.2</v>
      </c>
      <c r="FX20" s="102">
        <v>31597672</v>
      </c>
      <c r="FY20" s="384">
        <f t="shared" si="16"/>
        <v>139.1</v>
      </c>
      <c r="FZ20" s="102">
        <v>10261981</v>
      </c>
      <c r="GA20" s="102">
        <v>3631729</v>
      </c>
      <c r="GB20" s="102">
        <v>0</v>
      </c>
      <c r="GC20" s="102">
        <v>6630252</v>
      </c>
      <c r="GD20" s="107">
        <v>0</v>
      </c>
      <c r="GE20" s="427"/>
      <c r="GF20" s="386"/>
      <c r="GG20" s="424">
        <v>99.7</v>
      </c>
      <c r="GH20" s="424">
        <v>38.9</v>
      </c>
      <c r="GI20" s="424">
        <v>98.4</v>
      </c>
      <c r="GJ20" s="102">
        <v>829</v>
      </c>
      <c r="GK20" s="429" t="s">
        <v>646</v>
      </c>
      <c r="GL20" s="429">
        <v>12.25</v>
      </c>
      <c r="GM20" s="117">
        <v>20</v>
      </c>
      <c r="GN20" s="429" t="s">
        <v>646</v>
      </c>
      <c r="GO20" s="430">
        <v>17.25</v>
      </c>
      <c r="GP20" s="387">
        <v>30</v>
      </c>
      <c r="GQ20" s="425">
        <v>-1.2</v>
      </c>
      <c r="GR20" s="388">
        <v>25</v>
      </c>
      <c r="GS20" s="388">
        <v>35</v>
      </c>
      <c r="GT20" s="431" t="s">
        <v>646</v>
      </c>
      <c r="GU20" s="388">
        <v>350</v>
      </c>
      <c r="GV20" s="394"/>
      <c r="GW20" s="100">
        <f t="shared" si="17"/>
        <v>22715</v>
      </c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  <c r="HW20" s="394"/>
    </row>
    <row r="21" spans="2:231" x14ac:dyDescent="0.15">
      <c r="B21" s="89" t="s">
        <v>31</v>
      </c>
      <c r="C21" s="102">
        <v>28885995</v>
      </c>
      <c r="D21" s="73">
        <f t="shared" si="0"/>
        <v>11485699</v>
      </c>
      <c r="E21" s="102">
        <v>370295</v>
      </c>
      <c r="F21" s="102">
        <v>11115404</v>
      </c>
      <c r="G21" s="73">
        <f t="shared" si="1"/>
        <v>1792081</v>
      </c>
      <c r="H21" s="102">
        <v>559736</v>
      </c>
      <c r="I21" s="102">
        <v>1232345</v>
      </c>
      <c r="J21" s="102">
        <v>11283615</v>
      </c>
      <c r="K21" s="102">
        <v>4690875</v>
      </c>
      <c r="L21" s="102">
        <v>5243813</v>
      </c>
      <c r="M21" s="102">
        <v>1062391</v>
      </c>
      <c r="N21" s="102">
        <v>1513773</v>
      </c>
      <c r="O21" s="102">
        <v>2489624</v>
      </c>
      <c r="P21" s="102">
        <v>1341389</v>
      </c>
      <c r="Q21" s="102">
        <v>1148235</v>
      </c>
      <c r="R21" s="102">
        <v>343468</v>
      </c>
      <c r="S21" s="74"/>
      <c r="T21" s="73">
        <f t="shared" si="2"/>
        <v>4173743</v>
      </c>
      <c r="U21" s="102">
        <v>41924</v>
      </c>
      <c r="V21" s="102">
        <v>193381</v>
      </c>
      <c r="W21" s="102">
        <v>111228</v>
      </c>
      <c r="X21" s="102">
        <v>3699532</v>
      </c>
      <c r="Y21" s="102">
        <v>0</v>
      </c>
      <c r="Z21" s="102">
        <v>0</v>
      </c>
      <c r="AA21" s="102">
        <v>97368</v>
      </c>
      <c r="AB21" s="102">
        <v>30310</v>
      </c>
      <c r="AC21" s="102">
        <v>430233</v>
      </c>
      <c r="AD21" s="102">
        <v>13426828</v>
      </c>
      <c r="AE21" s="102">
        <v>12908147</v>
      </c>
      <c r="AF21" s="102">
        <v>518681</v>
      </c>
      <c r="AG21" s="102">
        <v>30182</v>
      </c>
      <c r="AH21" s="102">
        <v>559398</v>
      </c>
      <c r="AI21" s="73">
        <f t="shared" si="3"/>
        <v>826997</v>
      </c>
      <c r="AJ21" s="102">
        <v>506335</v>
      </c>
      <c r="AK21" s="102">
        <v>320662</v>
      </c>
      <c r="AL21" s="102">
        <v>21360550</v>
      </c>
      <c r="AM21" s="73">
        <f t="shared" si="4"/>
        <v>14357219</v>
      </c>
      <c r="AN21" s="102">
        <v>9399217</v>
      </c>
      <c r="AO21" s="102">
        <v>1935610</v>
      </c>
      <c r="AP21" s="74"/>
      <c r="AQ21" s="102">
        <v>3022392</v>
      </c>
      <c r="AR21" s="102">
        <v>1052190</v>
      </c>
      <c r="AS21" s="102">
        <v>0</v>
      </c>
      <c r="AT21" s="102">
        <v>0</v>
      </c>
      <c r="AU21" s="102">
        <v>9806790</v>
      </c>
      <c r="AV21" s="102">
        <v>6949249</v>
      </c>
      <c r="AW21" s="102">
        <v>840379</v>
      </c>
      <c r="AX21" s="102">
        <v>0</v>
      </c>
      <c r="AY21" s="102">
        <v>2857541</v>
      </c>
      <c r="AZ21" s="102">
        <v>529745</v>
      </c>
      <c r="BA21" s="102">
        <v>123911</v>
      </c>
      <c r="BB21" s="102">
        <v>96493</v>
      </c>
      <c r="BC21" s="102">
        <v>61627</v>
      </c>
      <c r="BD21" s="102">
        <v>1122658</v>
      </c>
      <c r="BE21" s="102">
        <v>140000</v>
      </c>
      <c r="BF21" s="102">
        <v>439000</v>
      </c>
      <c r="BG21" s="102">
        <v>543658</v>
      </c>
      <c r="BH21" s="102">
        <v>0</v>
      </c>
      <c r="BI21" s="102">
        <v>1709937</v>
      </c>
      <c r="BJ21" s="102">
        <v>1658984</v>
      </c>
      <c r="BK21" s="102">
        <v>1119919</v>
      </c>
      <c r="BL21" s="102">
        <v>34764</v>
      </c>
      <c r="BM21" s="102">
        <v>0</v>
      </c>
      <c r="BN21" s="102">
        <v>162826</v>
      </c>
      <c r="BO21" s="102">
        <v>5237700</v>
      </c>
      <c r="BP21" s="73">
        <f t="shared" si="5"/>
        <v>2247700</v>
      </c>
      <c r="BQ21" s="73">
        <f t="shared" si="6"/>
        <v>2990000</v>
      </c>
      <c r="BR21" s="102">
        <v>0</v>
      </c>
      <c r="BS21" s="102">
        <v>0</v>
      </c>
      <c r="BT21" s="102">
        <v>2990000</v>
      </c>
      <c r="BU21" s="102">
        <v>0</v>
      </c>
      <c r="BV21" s="102">
        <v>89219936</v>
      </c>
      <c r="BW21" s="71"/>
      <c r="BX21" s="102">
        <v>10450675</v>
      </c>
      <c r="BY21" s="102">
        <v>7398187</v>
      </c>
      <c r="BZ21" s="102">
        <v>808643</v>
      </c>
      <c r="CA21" s="102">
        <v>301910</v>
      </c>
      <c r="CB21" s="102">
        <v>32389295</v>
      </c>
      <c r="CC21" s="102">
        <v>8011920</v>
      </c>
      <c r="CD21" s="102">
        <v>156014</v>
      </c>
      <c r="CE21" s="102">
        <v>10509907</v>
      </c>
      <c r="CF21" s="102">
        <v>12744526</v>
      </c>
      <c r="CG21" s="102">
        <v>97047</v>
      </c>
      <c r="CH21" s="102">
        <v>868541</v>
      </c>
      <c r="CI21" s="102">
        <v>6001786</v>
      </c>
      <c r="CJ21" s="102">
        <v>5641175</v>
      </c>
      <c r="CK21" s="83">
        <f t="shared" si="7"/>
        <v>360611</v>
      </c>
      <c r="CL21" s="102">
        <v>8427161</v>
      </c>
      <c r="CM21" s="102">
        <v>4849815</v>
      </c>
      <c r="CN21" s="102">
        <v>845533</v>
      </c>
      <c r="CO21" s="102">
        <v>1414596</v>
      </c>
      <c r="CP21" s="102">
        <v>159918</v>
      </c>
      <c r="CQ21" s="102">
        <v>7521757</v>
      </c>
      <c r="CR21" s="102">
        <v>2913680</v>
      </c>
      <c r="CS21" s="102">
        <v>1524420</v>
      </c>
      <c r="CT21" s="102">
        <v>1168168</v>
      </c>
      <c r="CU21" s="73">
        <f t="shared" si="8"/>
        <v>1616991</v>
      </c>
      <c r="CV21" s="102">
        <v>1616991</v>
      </c>
      <c r="CW21" s="102">
        <v>0</v>
      </c>
      <c r="CX21" s="73">
        <f t="shared" si="9"/>
        <v>0</v>
      </c>
      <c r="CY21" s="102">
        <v>0</v>
      </c>
      <c r="CZ21" s="102">
        <v>0</v>
      </c>
      <c r="DA21" s="73">
        <f t="shared" si="10"/>
        <v>1596361</v>
      </c>
      <c r="DB21" s="102">
        <v>1596361</v>
      </c>
      <c r="DC21" s="102">
        <v>0</v>
      </c>
      <c r="DD21" s="102">
        <v>8691773</v>
      </c>
      <c r="DE21" s="102">
        <v>2887883</v>
      </c>
      <c r="DF21" s="102">
        <v>1945585</v>
      </c>
      <c r="DG21" s="102">
        <v>611844</v>
      </c>
      <c r="DH21" s="102">
        <v>3246461</v>
      </c>
      <c r="DI21" s="102">
        <v>6718</v>
      </c>
      <c r="DJ21" s="102">
        <v>4220664</v>
      </c>
      <c r="DK21" s="102">
        <v>3085217</v>
      </c>
      <c r="DL21" s="102">
        <v>150341</v>
      </c>
      <c r="DM21" s="102">
        <v>985106</v>
      </c>
      <c r="DN21" s="102">
        <v>606614</v>
      </c>
      <c r="DO21" s="102">
        <v>606614</v>
      </c>
      <c r="DP21" s="102">
        <v>90142</v>
      </c>
      <c r="DQ21" s="102">
        <v>0</v>
      </c>
      <c r="DR21" s="102">
        <v>38240</v>
      </c>
      <c r="DS21" s="102">
        <v>0</v>
      </c>
      <c r="DT21" s="102">
        <v>0</v>
      </c>
      <c r="DU21" s="102">
        <v>8781509</v>
      </c>
      <c r="DV21" s="102">
        <v>0</v>
      </c>
      <c r="DW21" s="73">
        <f t="shared" si="11"/>
        <v>0</v>
      </c>
      <c r="DX21" s="102">
        <v>0</v>
      </c>
      <c r="DY21" s="102">
        <v>3272684</v>
      </c>
      <c r="DZ21" s="102">
        <v>0</v>
      </c>
      <c r="EA21" s="102">
        <v>2361577</v>
      </c>
      <c r="EB21" s="74">
        <v>0</v>
      </c>
      <c r="EC21" s="102">
        <v>3147248</v>
      </c>
      <c r="ED21" s="102">
        <v>0</v>
      </c>
      <c r="EE21" s="102">
        <v>87296110</v>
      </c>
      <c r="EF21" s="71"/>
      <c r="EG21" s="102">
        <v>1923826</v>
      </c>
      <c r="EH21" s="102">
        <v>60821</v>
      </c>
      <c r="EI21" s="102">
        <v>1863005</v>
      </c>
      <c r="EJ21" s="102">
        <v>204021</v>
      </c>
      <c r="EK21" s="102">
        <v>3159590</v>
      </c>
      <c r="EL21" s="71"/>
      <c r="EM21" s="102">
        <v>237518</v>
      </c>
      <c r="EN21" s="102">
        <v>231700</v>
      </c>
      <c r="EO21" s="102">
        <v>579000</v>
      </c>
      <c r="EP21" s="102">
        <v>91810</v>
      </c>
      <c r="EQ21" s="73">
        <f t="shared" si="12"/>
        <v>2491416</v>
      </c>
      <c r="ER21" s="102">
        <v>47290449</v>
      </c>
      <c r="ES21" s="71">
        <v>-6122044</v>
      </c>
      <c r="ET21" s="102">
        <v>9529361</v>
      </c>
      <c r="EU21" s="102">
        <v>6603490</v>
      </c>
      <c r="EV21" s="102">
        <v>9523347</v>
      </c>
      <c r="EW21" s="102">
        <v>5967941</v>
      </c>
      <c r="EX21" s="73">
        <f t="shared" si="13"/>
        <v>1392761</v>
      </c>
      <c r="EY21" s="102">
        <v>1392743</v>
      </c>
      <c r="EZ21" s="102">
        <v>107398</v>
      </c>
      <c r="FA21" s="102">
        <v>1223920</v>
      </c>
      <c r="FB21" s="102">
        <v>18</v>
      </c>
      <c r="FC21" s="102">
        <v>0</v>
      </c>
      <c r="FD21" s="102">
        <v>6420084</v>
      </c>
      <c r="FE21" s="102">
        <v>6769934</v>
      </c>
      <c r="FF21" s="102">
        <v>2912757</v>
      </c>
      <c r="FG21" s="102">
        <v>7064338</v>
      </c>
      <c r="FH21" s="73">
        <f t="shared" si="14"/>
        <v>4820901</v>
      </c>
      <c r="FI21" s="102">
        <v>51488667</v>
      </c>
      <c r="FJ21" s="379">
        <f t="shared" si="15"/>
        <v>4</v>
      </c>
      <c r="FK21" s="102">
        <v>43488885</v>
      </c>
      <c r="FL21" s="102">
        <v>3391398</v>
      </c>
      <c r="FM21" s="102">
        <v>23951775</v>
      </c>
      <c r="FN21" s="102">
        <v>36892413</v>
      </c>
      <c r="FO21" s="428">
        <v>0.66800000000000004</v>
      </c>
      <c r="FP21" s="424">
        <v>91.3</v>
      </c>
      <c r="FQ21" s="425">
        <v>19.399999999999999</v>
      </c>
      <c r="FR21" s="424">
        <v>20.100000000000001</v>
      </c>
      <c r="FS21" s="424">
        <v>12.6</v>
      </c>
      <c r="FT21" s="425">
        <v>11.4</v>
      </c>
      <c r="FU21" s="424">
        <v>12.6</v>
      </c>
      <c r="FV21" s="426">
        <v>13.8</v>
      </c>
      <c r="FW21" s="388">
        <v>0.4</v>
      </c>
      <c r="FX21" s="102">
        <v>61702941</v>
      </c>
      <c r="FY21" s="384">
        <f t="shared" si="16"/>
        <v>131.6</v>
      </c>
      <c r="FZ21" s="102">
        <v>18221864</v>
      </c>
      <c r="GA21" s="102">
        <v>10140647</v>
      </c>
      <c r="GB21" s="102">
        <v>791748</v>
      </c>
      <c r="GC21" s="102">
        <v>7289469</v>
      </c>
      <c r="GD21" s="107">
        <v>0</v>
      </c>
      <c r="GE21" s="427"/>
      <c r="GF21" s="386"/>
      <c r="GG21" s="424">
        <v>98.9</v>
      </c>
      <c r="GH21" s="424">
        <v>36.1</v>
      </c>
      <c r="GI21" s="424">
        <v>97</v>
      </c>
      <c r="GJ21" s="102">
        <v>1061</v>
      </c>
      <c r="GK21" s="429" t="s">
        <v>646</v>
      </c>
      <c r="GL21" s="429">
        <v>11.31</v>
      </c>
      <c r="GM21" s="117">
        <v>20</v>
      </c>
      <c r="GN21" s="429" t="s">
        <v>646</v>
      </c>
      <c r="GO21" s="430">
        <v>16.309999999999999</v>
      </c>
      <c r="GP21" s="387">
        <v>30</v>
      </c>
      <c r="GQ21" s="425">
        <v>0.4</v>
      </c>
      <c r="GR21" s="388">
        <v>25</v>
      </c>
      <c r="GS21" s="388">
        <v>35</v>
      </c>
      <c r="GT21" s="431" t="s">
        <v>646</v>
      </c>
      <c r="GU21" s="388">
        <v>350</v>
      </c>
      <c r="GV21" s="394"/>
      <c r="GW21" s="100">
        <f t="shared" si="17"/>
        <v>46880</v>
      </c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  <c r="HW21" s="394"/>
    </row>
    <row r="22" spans="2:231" x14ac:dyDescent="0.15">
      <c r="B22" s="89" t="s">
        <v>33</v>
      </c>
      <c r="C22" s="102">
        <v>12100353</v>
      </c>
      <c r="D22" s="73">
        <f t="shared" si="0"/>
        <v>5489630</v>
      </c>
      <c r="E22" s="102">
        <v>176315</v>
      </c>
      <c r="F22" s="102">
        <v>5313315</v>
      </c>
      <c r="G22" s="73">
        <f t="shared" si="1"/>
        <v>578999</v>
      </c>
      <c r="H22" s="102">
        <v>200131</v>
      </c>
      <c r="I22" s="102">
        <v>378868</v>
      </c>
      <c r="J22" s="102">
        <v>4474244</v>
      </c>
      <c r="K22" s="102">
        <v>1597729</v>
      </c>
      <c r="L22" s="102">
        <v>2130083</v>
      </c>
      <c r="M22" s="102">
        <v>676287</v>
      </c>
      <c r="N22" s="102">
        <v>448785</v>
      </c>
      <c r="O22" s="102">
        <v>906076</v>
      </c>
      <c r="P22" s="102">
        <v>465576</v>
      </c>
      <c r="Q22" s="102">
        <v>440500</v>
      </c>
      <c r="R22" s="102">
        <v>236389</v>
      </c>
      <c r="S22" s="74"/>
      <c r="T22" s="73">
        <f t="shared" si="2"/>
        <v>1886553</v>
      </c>
      <c r="U22" s="102">
        <v>20817</v>
      </c>
      <c r="V22" s="102">
        <v>95736</v>
      </c>
      <c r="W22" s="102">
        <v>54762</v>
      </c>
      <c r="X22" s="102">
        <v>1610977</v>
      </c>
      <c r="Y22" s="102">
        <v>18151</v>
      </c>
      <c r="Z22" s="102">
        <v>0</v>
      </c>
      <c r="AA22" s="102">
        <v>65669</v>
      </c>
      <c r="AB22" s="102">
        <v>20441</v>
      </c>
      <c r="AC22" s="102">
        <v>162535</v>
      </c>
      <c r="AD22" s="102">
        <v>6609084</v>
      </c>
      <c r="AE22" s="102">
        <v>6381058</v>
      </c>
      <c r="AF22" s="102">
        <v>228026</v>
      </c>
      <c r="AG22" s="102">
        <v>13951</v>
      </c>
      <c r="AH22" s="102">
        <v>275009</v>
      </c>
      <c r="AI22" s="73">
        <f t="shared" si="3"/>
        <v>639673</v>
      </c>
      <c r="AJ22" s="102">
        <v>320857</v>
      </c>
      <c r="AK22" s="102">
        <v>318816</v>
      </c>
      <c r="AL22" s="102">
        <v>6417224</v>
      </c>
      <c r="AM22" s="73">
        <f t="shared" si="4"/>
        <v>4180231</v>
      </c>
      <c r="AN22" s="102">
        <v>1899095</v>
      </c>
      <c r="AO22" s="102">
        <v>1197174</v>
      </c>
      <c r="AP22" s="74"/>
      <c r="AQ22" s="102">
        <v>1083962</v>
      </c>
      <c r="AR22" s="102">
        <v>122466</v>
      </c>
      <c r="AS22" s="102">
        <v>81047</v>
      </c>
      <c r="AT22" s="102">
        <v>0</v>
      </c>
      <c r="AU22" s="102">
        <v>2984420</v>
      </c>
      <c r="AV22" s="102">
        <v>1754485</v>
      </c>
      <c r="AW22" s="102">
        <v>552030</v>
      </c>
      <c r="AX22" s="102">
        <v>0</v>
      </c>
      <c r="AY22" s="102">
        <v>1229935</v>
      </c>
      <c r="AZ22" s="102">
        <v>4389</v>
      </c>
      <c r="BA22" s="102">
        <v>217363</v>
      </c>
      <c r="BB22" s="102">
        <v>24827</v>
      </c>
      <c r="BC22" s="102">
        <v>360623</v>
      </c>
      <c r="BD22" s="102">
        <v>194601</v>
      </c>
      <c r="BE22" s="102">
        <v>0</v>
      </c>
      <c r="BF22" s="102">
        <v>0</v>
      </c>
      <c r="BG22" s="102">
        <v>177477</v>
      </c>
      <c r="BH22" s="102">
        <v>0</v>
      </c>
      <c r="BI22" s="102">
        <v>138926</v>
      </c>
      <c r="BJ22" s="102">
        <v>226</v>
      </c>
      <c r="BK22" s="102">
        <v>451704</v>
      </c>
      <c r="BL22" s="102">
        <v>86476</v>
      </c>
      <c r="BM22" s="102">
        <v>0</v>
      </c>
      <c r="BN22" s="102">
        <v>0</v>
      </c>
      <c r="BO22" s="102">
        <v>2507500</v>
      </c>
      <c r="BP22" s="73">
        <f t="shared" si="5"/>
        <v>1309000</v>
      </c>
      <c r="BQ22" s="73">
        <f t="shared" si="6"/>
        <v>1198500</v>
      </c>
      <c r="BR22" s="102">
        <v>0</v>
      </c>
      <c r="BS22" s="102">
        <v>0</v>
      </c>
      <c r="BT22" s="102">
        <v>1198500</v>
      </c>
      <c r="BU22" s="102">
        <v>0</v>
      </c>
      <c r="BV22" s="102">
        <v>35195908</v>
      </c>
      <c r="BW22" s="71"/>
      <c r="BX22" s="102">
        <v>5938082</v>
      </c>
      <c r="BY22" s="102">
        <v>3545757</v>
      </c>
      <c r="BZ22" s="102">
        <v>532788</v>
      </c>
      <c r="CA22" s="102">
        <v>699747</v>
      </c>
      <c r="CB22" s="102">
        <v>10642228</v>
      </c>
      <c r="CC22" s="102">
        <v>2967679</v>
      </c>
      <c r="CD22" s="102">
        <v>63474</v>
      </c>
      <c r="CE22" s="102">
        <v>4464779</v>
      </c>
      <c r="CF22" s="102">
        <v>2486011</v>
      </c>
      <c r="CG22" s="102">
        <v>4277</v>
      </c>
      <c r="CH22" s="102">
        <v>656008</v>
      </c>
      <c r="CI22" s="102">
        <v>3187232</v>
      </c>
      <c r="CJ22" s="102">
        <v>3001972</v>
      </c>
      <c r="CK22" s="83">
        <f t="shared" si="7"/>
        <v>185260</v>
      </c>
      <c r="CL22" s="102">
        <v>4947012</v>
      </c>
      <c r="CM22" s="102">
        <v>3457741</v>
      </c>
      <c r="CN22" s="102">
        <v>284994</v>
      </c>
      <c r="CO22" s="102">
        <v>538872</v>
      </c>
      <c r="CP22" s="102">
        <v>127820</v>
      </c>
      <c r="CQ22" s="102">
        <v>2980808</v>
      </c>
      <c r="CR22" s="102">
        <v>528222</v>
      </c>
      <c r="CS22" s="102">
        <v>528448</v>
      </c>
      <c r="CT22" s="102">
        <v>415768</v>
      </c>
      <c r="CU22" s="73">
        <f t="shared" si="8"/>
        <v>1234265</v>
      </c>
      <c r="CV22" s="102">
        <v>5679</v>
      </c>
      <c r="CW22" s="102">
        <v>1228586</v>
      </c>
      <c r="CX22" s="73">
        <f t="shared" si="9"/>
        <v>0</v>
      </c>
      <c r="CY22" s="102">
        <v>0</v>
      </c>
      <c r="CZ22" s="102">
        <v>0</v>
      </c>
      <c r="DA22" s="73">
        <f t="shared" si="10"/>
        <v>1113962</v>
      </c>
      <c r="DB22" s="102">
        <v>0</v>
      </c>
      <c r="DC22" s="102">
        <v>1113962</v>
      </c>
      <c r="DD22" s="102">
        <v>1639255</v>
      </c>
      <c r="DE22" s="102">
        <v>558009</v>
      </c>
      <c r="DF22" s="102">
        <v>1037044</v>
      </c>
      <c r="DG22" s="102">
        <v>44202</v>
      </c>
      <c r="DH22" s="102">
        <v>0</v>
      </c>
      <c r="DI22" s="102">
        <v>317841</v>
      </c>
      <c r="DJ22" s="102">
        <v>954573</v>
      </c>
      <c r="DK22" s="102">
        <v>40788</v>
      </c>
      <c r="DL22" s="102">
        <v>79593</v>
      </c>
      <c r="DM22" s="102">
        <v>834192</v>
      </c>
      <c r="DN22" s="102">
        <v>0</v>
      </c>
      <c r="DO22" s="102">
        <v>0</v>
      </c>
      <c r="DP22" s="102">
        <v>0</v>
      </c>
      <c r="DQ22" s="102">
        <v>0</v>
      </c>
      <c r="DR22" s="102">
        <v>69135</v>
      </c>
      <c r="DS22" s="102">
        <v>0</v>
      </c>
      <c r="DT22" s="102">
        <v>0</v>
      </c>
      <c r="DU22" s="102">
        <v>4340594</v>
      </c>
      <c r="DV22" s="102">
        <v>0</v>
      </c>
      <c r="DW22" s="73">
        <f t="shared" si="11"/>
        <v>0</v>
      </c>
      <c r="DX22" s="102">
        <v>0</v>
      </c>
      <c r="DY22" s="102">
        <v>1734899</v>
      </c>
      <c r="DZ22" s="102">
        <v>0</v>
      </c>
      <c r="EA22" s="102">
        <v>1047987</v>
      </c>
      <c r="EB22" s="74">
        <v>0</v>
      </c>
      <c r="EC22" s="102">
        <v>1557708</v>
      </c>
      <c r="ED22" s="102">
        <v>0</v>
      </c>
      <c r="EE22" s="102">
        <v>35144580</v>
      </c>
      <c r="EF22" s="71"/>
      <c r="EG22" s="102">
        <v>51328</v>
      </c>
      <c r="EH22" s="102">
        <v>38291</v>
      </c>
      <c r="EI22" s="102">
        <v>13037</v>
      </c>
      <c r="EJ22" s="102">
        <v>12811</v>
      </c>
      <c r="EK22" s="102">
        <v>53599</v>
      </c>
      <c r="EL22" s="71"/>
      <c r="EM22" s="102">
        <v>106987</v>
      </c>
      <c r="EN22" s="102">
        <v>104562</v>
      </c>
      <c r="EO22" s="102">
        <v>0</v>
      </c>
      <c r="EP22" s="102">
        <v>65521</v>
      </c>
      <c r="EQ22" s="73">
        <f t="shared" si="12"/>
        <v>334181</v>
      </c>
      <c r="ER22" s="102">
        <v>21008865</v>
      </c>
      <c r="ES22" s="71">
        <v>-1584251</v>
      </c>
      <c r="ET22" s="102">
        <v>5347218</v>
      </c>
      <c r="EU22" s="102">
        <v>3274917</v>
      </c>
      <c r="EV22" s="102">
        <v>3033691</v>
      </c>
      <c r="EW22" s="102">
        <v>3137562</v>
      </c>
      <c r="EX22" s="73">
        <f t="shared" si="13"/>
        <v>197952</v>
      </c>
      <c r="EY22" s="102">
        <v>196538</v>
      </c>
      <c r="EZ22" s="102">
        <v>9954</v>
      </c>
      <c r="FA22" s="102">
        <v>183807</v>
      </c>
      <c r="FB22" s="102">
        <v>1414</v>
      </c>
      <c r="FC22" s="102">
        <v>0</v>
      </c>
      <c r="FD22" s="102">
        <v>4036443</v>
      </c>
      <c r="FE22" s="102">
        <v>2539373</v>
      </c>
      <c r="FF22" s="102">
        <v>442196</v>
      </c>
      <c r="FG22" s="102">
        <v>3506658</v>
      </c>
      <c r="FH22" s="73">
        <f t="shared" si="14"/>
        <v>748018</v>
      </c>
      <c r="FI22" s="102">
        <v>22546915</v>
      </c>
      <c r="FJ22" s="379">
        <f t="shared" si="15"/>
        <v>0.1</v>
      </c>
      <c r="FK22" s="102">
        <v>19728826</v>
      </c>
      <c r="FL22" s="102">
        <v>1198677</v>
      </c>
      <c r="FM22" s="102">
        <v>10483028</v>
      </c>
      <c r="FN22" s="102">
        <v>16878951</v>
      </c>
      <c r="FO22" s="428">
        <v>0.63100000000000001</v>
      </c>
      <c r="FP22" s="424">
        <v>99.2</v>
      </c>
      <c r="FQ22" s="425">
        <v>25.1</v>
      </c>
      <c r="FR22" s="424">
        <v>14.3</v>
      </c>
      <c r="FS22" s="424">
        <v>14.7</v>
      </c>
      <c r="FT22" s="425">
        <v>18.5</v>
      </c>
      <c r="FU22" s="424">
        <v>9.9</v>
      </c>
      <c r="FV22" s="426">
        <v>16</v>
      </c>
      <c r="FW22" s="388">
        <v>2.2999999999999998</v>
      </c>
      <c r="FX22" s="102">
        <v>30875535</v>
      </c>
      <c r="FY22" s="384">
        <f t="shared" si="16"/>
        <v>147.5</v>
      </c>
      <c r="FZ22" s="102">
        <v>8488208</v>
      </c>
      <c r="GA22" s="102">
        <v>2446635</v>
      </c>
      <c r="GB22" s="102">
        <v>486674</v>
      </c>
      <c r="GC22" s="102">
        <v>5554899</v>
      </c>
      <c r="GD22" s="107">
        <v>0</v>
      </c>
      <c r="GE22" s="427"/>
      <c r="GF22" s="386"/>
      <c r="GG22" s="424">
        <v>99.2</v>
      </c>
      <c r="GH22" s="424">
        <v>38.4</v>
      </c>
      <c r="GI22" s="424">
        <v>98.1</v>
      </c>
      <c r="GJ22" s="102">
        <v>542</v>
      </c>
      <c r="GK22" s="429" t="s">
        <v>646</v>
      </c>
      <c r="GL22" s="429">
        <v>12.41</v>
      </c>
      <c r="GM22" s="117">
        <v>20</v>
      </c>
      <c r="GN22" s="429" t="s">
        <v>646</v>
      </c>
      <c r="GO22" s="430">
        <v>17.41</v>
      </c>
      <c r="GP22" s="387">
        <v>30</v>
      </c>
      <c r="GQ22" s="425">
        <v>2.2999999999999998</v>
      </c>
      <c r="GR22" s="388">
        <v>25</v>
      </c>
      <c r="GS22" s="388">
        <v>35</v>
      </c>
      <c r="GT22" s="431" t="s">
        <v>646</v>
      </c>
      <c r="GU22" s="388">
        <v>350</v>
      </c>
      <c r="GV22" s="394"/>
      <c r="GW22" s="100">
        <f t="shared" si="17"/>
        <v>20928</v>
      </c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  <c r="HW22" s="394"/>
    </row>
    <row r="23" spans="2:231" x14ac:dyDescent="0.15">
      <c r="B23" s="89" t="s">
        <v>35</v>
      </c>
      <c r="C23" s="102">
        <v>14040130</v>
      </c>
      <c r="D23" s="73">
        <f t="shared" si="0"/>
        <v>5491298</v>
      </c>
      <c r="E23" s="102">
        <v>185920</v>
      </c>
      <c r="F23" s="102">
        <v>5305378</v>
      </c>
      <c r="G23" s="73">
        <f t="shared" si="1"/>
        <v>834372</v>
      </c>
      <c r="H23" s="102">
        <v>263008</v>
      </c>
      <c r="I23" s="102">
        <v>571364</v>
      </c>
      <c r="J23" s="102">
        <v>5470512</v>
      </c>
      <c r="K23" s="102">
        <v>2544353</v>
      </c>
      <c r="L23" s="102">
        <v>2302154</v>
      </c>
      <c r="M23" s="102">
        <v>580206</v>
      </c>
      <c r="N23" s="102">
        <v>866655</v>
      </c>
      <c r="O23" s="102">
        <v>1195389</v>
      </c>
      <c r="P23" s="102">
        <v>694126</v>
      </c>
      <c r="Q23" s="102">
        <v>501263</v>
      </c>
      <c r="R23" s="102">
        <v>184347</v>
      </c>
      <c r="S23" s="74"/>
      <c r="T23" s="73">
        <f t="shared" si="2"/>
        <v>2162937</v>
      </c>
      <c r="U23" s="102">
        <v>19869</v>
      </c>
      <c r="V23" s="102">
        <v>91715</v>
      </c>
      <c r="W23" s="102">
        <v>52816</v>
      </c>
      <c r="X23" s="102">
        <v>1929909</v>
      </c>
      <c r="Y23" s="102">
        <v>0</v>
      </c>
      <c r="Z23" s="102">
        <v>0</v>
      </c>
      <c r="AA23" s="102">
        <v>52337</v>
      </c>
      <c r="AB23" s="102">
        <v>16291</v>
      </c>
      <c r="AC23" s="102">
        <v>217583</v>
      </c>
      <c r="AD23" s="102">
        <v>8506966</v>
      </c>
      <c r="AE23" s="102">
        <v>8198105</v>
      </c>
      <c r="AF23" s="102">
        <v>308861</v>
      </c>
      <c r="AG23" s="102">
        <v>16218</v>
      </c>
      <c r="AH23" s="102">
        <v>291291</v>
      </c>
      <c r="AI23" s="73">
        <f t="shared" si="3"/>
        <v>574558</v>
      </c>
      <c r="AJ23" s="102">
        <v>377469</v>
      </c>
      <c r="AK23" s="102">
        <v>197089</v>
      </c>
      <c r="AL23" s="102">
        <v>10268797</v>
      </c>
      <c r="AM23" s="73">
        <f t="shared" si="4"/>
        <v>7328527</v>
      </c>
      <c r="AN23" s="102">
        <v>4630940</v>
      </c>
      <c r="AO23" s="102">
        <v>1246620</v>
      </c>
      <c r="AP23" s="74"/>
      <c r="AQ23" s="102">
        <v>1450967</v>
      </c>
      <c r="AR23" s="102">
        <v>116331</v>
      </c>
      <c r="AS23" s="102">
        <v>0</v>
      </c>
      <c r="AT23" s="102">
        <v>0</v>
      </c>
      <c r="AU23" s="102">
        <v>3492746</v>
      </c>
      <c r="AV23" s="102">
        <v>2014334</v>
      </c>
      <c r="AW23" s="102">
        <v>557688</v>
      </c>
      <c r="AX23" s="102">
        <v>3219</v>
      </c>
      <c r="AY23" s="102">
        <v>1478412</v>
      </c>
      <c r="AZ23" s="102">
        <v>0</v>
      </c>
      <c r="BA23" s="102">
        <v>236736</v>
      </c>
      <c r="BB23" s="102">
        <v>61506</v>
      </c>
      <c r="BC23" s="102">
        <v>40480</v>
      </c>
      <c r="BD23" s="102">
        <v>619998</v>
      </c>
      <c r="BE23" s="102">
        <v>75503</v>
      </c>
      <c r="BF23" s="102">
        <v>0</v>
      </c>
      <c r="BG23" s="102">
        <v>539068</v>
      </c>
      <c r="BH23" s="102">
        <v>614571</v>
      </c>
      <c r="BI23" s="102">
        <v>150902</v>
      </c>
      <c r="BJ23" s="102">
        <v>96053</v>
      </c>
      <c r="BK23" s="102">
        <v>337727</v>
      </c>
      <c r="BL23" s="102">
        <v>25004</v>
      </c>
      <c r="BM23" s="102">
        <v>0</v>
      </c>
      <c r="BN23" s="102">
        <v>0</v>
      </c>
      <c r="BO23" s="102">
        <v>4697400</v>
      </c>
      <c r="BP23" s="73">
        <f t="shared" si="5"/>
        <v>3331600</v>
      </c>
      <c r="BQ23" s="73">
        <f t="shared" si="6"/>
        <v>1365800</v>
      </c>
      <c r="BR23" s="102">
        <v>0</v>
      </c>
      <c r="BS23" s="102">
        <v>19400</v>
      </c>
      <c r="BT23" s="102">
        <v>1346400</v>
      </c>
      <c r="BU23" s="102">
        <v>0</v>
      </c>
      <c r="BV23" s="102">
        <v>45838816</v>
      </c>
      <c r="BW23" s="71"/>
      <c r="BX23" s="102">
        <v>7349784</v>
      </c>
      <c r="BY23" s="102">
        <v>5002053</v>
      </c>
      <c r="BZ23" s="102">
        <v>523882</v>
      </c>
      <c r="CA23" s="102">
        <v>370464</v>
      </c>
      <c r="CB23" s="102">
        <v>15713734</v>
      </c>
      <c r="CC23" s="102">
        <v>3395670</v>
      </c>
      <c r="CD23" s="102">
        <v>72407</v>
      </c>
      <c r="CE23" s="102">
        <v>5920055</v>
      </c>
      <c r="CF23" s="102">
        <v>5971803</v>
      </c>
      <c r="CG23" s="102">
        <v>10084</v>
      </c>
      <c r="CH23" s="102">
        <v>341335</v>
      </c>
      <c r="CI23" s="102">
        <v>4092415</v>
      </c>
      <c r="CJ23" s="102">
        <v>3778810</v>
      </c>
      <c r="CK23" s="83">
        <f t="shared" si="7"/>
        <v>313605</v>
      </c>
      <c r="CL23" s="102">
        <v>4963921</v>
      </c>
      <c r="CM23" s="102">
        <v>3178405</v>
      </c>
      <c r="CN23" s="102">
        <v>172143</v>
      </c>
      <c r="CO23" s="102">
        <v>703451</v>
      </c>
      <c r="CP23" s="102">
        <v>246346</v>
      </c>
      <c r="CQ23" s="102">
        <v>3835748</v>
      </c>
      <c r="CR23" s="102">
        <v>401783</v>
      </c>
      <c r="CS23" s="102">
        <v>1024165</v>
      </c>
      <c r="CT23" s="102">
        <v>740384</v>
      </c>
      <c r="CU23" s="73">
        <f t="shared" si="8"/>
        <v>1701139</v>
      </c>
      <c r="CV23" s="102">
        <v>6000</v>
      </c>
      <c r="CW23" s="102">
        <v>1695139</v>
      </c>
      <c r="CX23" s="73">
        <f t="shared" si="9"/>
        <v>0</v>
      </c>
      <c r="CY23" s="102">
        <v>0</v>
      </c>
      <c r="CZ23" s="102">
        <v>0</v>
      </c>
      <c r="DA23" s="73">
        <f t="shared" si="10"/>
        <v>1694241</v>
      </c>
      <c r="DB23" s="102">
        <v>0</v>
      </c>
      <c r="DC23" s="102">
        <v>1694241</v>
      </c>
      <c r="DD23" s="102">
        <v>3861129</v>
      </c>
      <c r="DE23" s="102">
        <v>1265572</v>
      </c>
      <c r="DF23" s="102">
        <v>2589243</v>
      </c>
      <c r="DG23" s="102">
        <v>0</v>
      </c>
      <c r="DH23" s="102">
        <v>0</v>
      </c>
      <c r="DI23" s="102">
        <v>123723</v>
      </c>
      <c r="DJ23" s="102">
        <v>187198</v>
      </c>
      <c r="DK23" s="102">
        <v>69546</v>
      </c>
      <c r="DL23" s="102">
        <v>3</v>
      </c>
      <c r="DM23" s="102">
        <v>117649</v>
      </c>
      <c r="DN23" s="102">
        <v>155759</v>
      </c>
      <c r="DO23" s="102">
        <v>155759</v>
      </c>
      <c r="DP23" s="102">
        <v>0</v>
      </c>
      <c r="DQ23" s="102">
        <v>0</v>
      </c>
      <c r="DR23" s="102">
        <v>25000</v>
      </c>
      <c r="DS23" s="102">
        <v>0</v>
      </c>
      <c r="DT23" s="102">
        <v>0</v>
      </c>
      <c r="DU23" s="102">
        <v>5145110</v>
      </c>
      <c r="DV23" s="102">
        <v>0</v>
      </c>
      <c r="DW23" s="73">
        <f t="shared" si="11"/>
        <v>0</v>
      </c>
      <c r="DX23" s="102">
        <v>0</v>
      </c>
      <c r="DY23" s="102">
        <v>1804115</v>
      </c>
      <c r="DZ23" s="102">
        <v>0</v>
      </c>
      <c r="EA23" s="102">
        <v>1600383</v>
      </c>
      <c r="EB23" s="74">
        <v>0</v>
      </c>
      <c r="EC23" s="102">
        <v>1740606</v>
      </c>
      <c r="ED23" s="102">
        <v>0</v>
      </c>
      <c r="EE23" s="102">
        <v>45699867</v>
      </c>
      <c r="EF23" s="71"/>
      <c r="EG23" s="102">
        <v>138949</v>
      </c>
      <c r="EH23" s="102">
        <v>26244</v>
      </c>
      <c r="EI23" s="102">
        <v>112705</v>
      </c>
      <c r="EJ23" s="102">
        <v>16652</v>
      </c>
      <c r="EK23" s="102">
        <v>10695</v>
      </c>
      <c r="EL23" s="71"/>
      <c r="EM23" s="102">
        <v>120750</v>
      </c>
      <c r="EN23" s="102">
        <v>119577</v>
      </c>
      <c r="EO23" s="102">
        <v>473427</v>
      </c>
      <c r="EP23" s="102">
        <v>235709</v>
      </c>
      <c r="EQ23" s="73">
        <f t="shared" si="12"/>
        <v>526043</v>
      </c>
      <c r="ER23" s="102">
        <v>25128181</v>
      </c>
      <c r="ES23" s="71">
        <v>-2584761</v>
      </c>
      <c r="ET23" s="102">
        <v>6833166</v>
      </c>
      <c r="EU23" s="102">
        <v>4702001</v>
      </c>
      <c r="EV23" s="102">
        <v>4358014</v>
      </c>
      <c r="EW23" s="102">
        <v>4092415</v>
      </c>
      <c r="EX23" s="73">
        <f t="shared" si="13"/>
        <v>194116</v>
      </c>
      <c r="EY23" s="102">
        <v>176637</v>
      </c>
      <c r="EZ23" s="102">
        <v>4874</v>
      </c>
      <c r="FA23" s="102">
        <v>171749</v>
      </c>
      <c r="FB23" s="102">
        <v>17479</v>
      </c>
      <c r="FC23" s="102">
        <v>0</v>
      </c>
      <c r="FD23" s="102">
        <v>4319272</v>
      </c>
      <c r="FE23" s="102">
        <v>3280425</v>
      </c>
      <c r="FF23" s="102">
        <v>250969</v>
      </c>
      <c r="FG23" s="102">
        <v>3962594</v>
      </c>
      <c r="FH23" s="73">
        <f t="shared" si="14"/>
        <v>533991</v>
      </c>
      <c r="FI23" s="102">
        <v>27573993</v>
      </c>
      <c r="FJ23" s="379">
        <f t="shared" si="15"/>
        <v>0.5</v>
      </c>
      <c r="FK23" s="102">
        <v>23345973</v>
      </c>
      <c r="FL23" s="102">
        <v>1346494</v>
      </c>
      <c r="FM23" s="102">
        <v>11878717</v>
      </c>
      <c r="FN23" s="102">
        <v>20064214</v>
      </c>
      <c r="FO23" s="428">
        <v>0.59799999999999998</v>
      </c>
      <c r="FP23" s="424">
        <v>102.5</v>
      </c>
      <c r="FQ23" s="425">
        <v>27</v>
      </c>
      <c r="FR23" s="424">
        <v>17.2</v>
      </c>
      <c r="FS23" s="424">
        <v>16.2</v>
      </c>
      <c r="FT23" s="425">
        <v>15.5</v>
      </c>
      <c r="FU23" s="424">
        <v>11.5</v>
      </c>
      <c r="FV23" s="426">
        <v>14.2</v>
      </c>
      <c r="FW23" s="388">
        <v>6.9</v>
      </c>
      <c r="FX23" s="102">
        <v>41778118</v>
      </c>
      <c r="FY23" s="384">
        <f t="shared" si="16"/>
        <v>169.2</v>
      </c>
      <c r="FZ23" s="102">
        <v>1370388</v>
      </c>
      <c r="GA23" s="102">
        <v>450841</v>
      </c>
      <c r="GB23" s="102">
        <v>21269</v>
      </c>
      <c r="GC23" s="102">
        <v>898278</v>
      </c>
      <c r="GD23" s="107">
        <v>0</v>
      </c>
      <c r="GE23" s="427">
        <v>1255</v>
      </c>
      <c r="GF23" s="386">
        <f>IF(GE23=0,"-",ROUND(GE23/(GW23)*100,1))</f>
        <v>5.0999999999999996</v>
      </c>
      <c r="GG23" s="424">
        <v>99.3</v>
      </c>
      <c r="GH23" s="424">
        <v>40.6</v>
      </c>
      <c r="GI23" s="424">
        <v>98</v>
      </c>
      <c r="GJ23" s="102">
        <v>744</v>
      </c>
      <c r="GK23" s="429" t="s">
        <v>646</v>
      </c>
      <c r="GL23" s="429">
        <v>12.1</v>
      </c>
      <c r="GM23" s="117">
        <v>20</v>
      </c>
      <c r="GN23" s="429" t="s">
        <v>646</v>
      </c>
      <c r="GO23" s="430">
        <v>17.100000000000001</v>
      </c>
      <c r="GP23" s="387">
        <v>30</v>
      </c>
      <c r="GQ23" s="425">
        <v>6.9</v>
      </c>
      <c r="GR23" s="388">
        <v>25</v>
      </c>
      <c r="GS23" s="388">
        <v>35</v>
      </c>
      <c r="GT23" s="431">
        <v>54</v>
      </c>
      <c r="GU23" s="388">
        <v>350</v>
      </c>
      <c r="GV23" s="394"/>
      <c r="GW23" s="100">
        <f t="shared" si="17"/>
        <v>24692</v>
      </c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  <c r="HW23" s="394"/>
    </row>
    <row r="24" spans="2:231" x14ac:dyDescent="0.15">
      <c r="B24" s="89" t="s">
        <v>37</v>
      </c>
      <c r="C24" s="102">
        <v>16938237</v>
      </c>
      <c r="D24" s="73">
        <f t="shared" si="0"/>
        <v>5914038</v>
      </c>
      <c r="E24" s="102">
        <v>198712</v>
      </c>
      <c r="F24" s="102">
        <v>5715326</v>
      </c>
      <c r="G24" s="73">
        <f t="shared" si="1"/>
        <v>1149709</v>
      </c>
      <c r="H24" s="102">
        <v>355835</v>
      </c>
      <c r="I24" s="102">
        <v>793874</v>
      </c>
      <c r="J24" s="102">
        <v>7376238</v>
      </c>
      <c r="K24" s="102">
        <v>3176709</v>
      </c>
      <c r="L24" s="102">
        <v>3162314</v>
      </c>
      <c r="M24" s="102">
        <v>865613</v>
      </c>
      <c r="N24" s="102">
        <v>800574</v>
      </c>
      <c r="O24" s="102">
        <v>1525565</v>
      </c>
      <c r="P24" s="102">
        <v>840586</v>
      </c>
      <c r="Q24" s="102">
        <v>684979</v>
      </c>
      <c r="R24" s="102">
        <v>190407</v>
      </c>
      <c r="S24" s="74"/>
      <c r="T24" s="73">
        <f t="shared" si="2"/>
        <v>2326586</v>
      </c>
      <c r="U24" s="102">
        <v>21416</v>
      </c>
      <c r="V24" s="102">
        <v>98779</v>
      </c>
      <c r="W24" s="102">
        <v>56806</v>
      </c>
      <c r="X24" s="102">
        <v>2056635</v>
      </c>
      <c r="Y24" s="102">
        <v>22049</v>
      </c>
      <c r="Z24" s="102">
        <v>0</v>
      </c>
      <c r="AA24" s="102">
        <v>54070</v>
      </c>
      <c r="AB24" s="102">
        <v>16831</v>
      </c>
      <c r="AC24" s="102">
        <v>211431</v>
      </c>
      <c r="AD24" s="102">
        <v>5167989</v>
      </c>
      <c r="AE24" s="102">
        <v>4854119</v>
      </c>
      <c r="AF24" s="102">
        <v>313870</v>
      </c>
      <c r="AG24" s="102">
        <v>12962</v>
      </c>
      <c r="AH24" s="102">
        <v>158346</v>
      </c>
      <c r="AI24" s="73">
        <f t="shared" si="3"/>
        <v>732551</v>
      </c>
      <c r="AJ24" s="102">
        <v>330710</v>
      </c>
      <c r="AK24" s="102">
        <v>401841</v>
      </c>
      <c r="AL24" s="102">
        <v>7982356</v>
      </c>
      <c r="AM24" s="73">
        <f t="shared" si="4"/>
        <v>4686206</v>
      </c>
      <c r="AN24" s="102">
        <v>1727853</v>
      </c>
      <c r="AO24" s="102">
        <v>1632171</v>
      </c>
      <c r="AP24" s="74"/>
      <c r="AQ24" s="102">
        <v>1326182</v>
      </c>
      <c r="AR24" s="102">
        <v>139959</v>
      </c>
      <c r="AS24" s="102">
        <v>0</v>
      </c>
      <c r="AT24" s="102">
        <v>0</v>
      </c>
      <c r="AU24" s="102">
        <v>3455200</v>
      </c>
      <c r="AV24" s="102">
        <v>2322978</v>
      </c>
      <c r="AW24" s="102">
        <v>743460</v>
      </c>
      <c r="AX24" s="102">
        <v>1815</v>
      </c>
      <c r="AY24" s="102">
        <v>1132222</v>
      </c>
      <c r="AZ24" s="102">
        <v>259</v>
      </c>
      <c r="BA24" s="102">
        <v>192642</v>
      </c>
      <c r="BB24" s="102">
        <v>92199</v>
      </c>
      <c r="BC24" s="102">
        <v>2490957</v>
      </c>
      <c r="BD24" s="102">
        <v>2322261</v>
      </c>
      <c r="BE24" s="102">
        <v>400000</v>
      </c>
      <c r="BF24" s="102">
        <v>1083239</v>
      </c>
      <c r="BG24" s="102">
        <v>839022</v>
      </c>
      <c r="BH24" s="102">
        <v>0</v>
      </c>
      <c r="BI24" s="102">
        <v>905629</v>
      </c>
      <c r="BJ24" s="102">
        <v>795720</v>
      </c>
      <c r="BK24" s="102">
        <v>945296</v>
      </c>
      <c r="BL24" s="102">
        <v>1450</v>
      </c>
      <c r="BM24" s="102">
        <v>0</v>
      </c>
      <c r="BN24" s="102">
        <v>0</v>
      </c>
      <c r="BO24" s="102">
        <v>3246044</v>
      </c>
      <c r="BP24" s="73">
        <f t="shared" si="5"/>
        <v>1697100</v>
      </c>
      <c r="BQ24" s="73">
        <f t="shared" si="6"/>
        <v>1548944</v>
      </c>
      <c r="BR24" s="102">
        <v>0</v>
      </c>
      <c r="BS24" s="102">
        <v>0</v>
      </c>
      <c r="BT24" s="102">
        <v>1548944</v>
      </c>
      <c r="BU24" s="102">
        <v>0</v>
      </c>
      <c r="BV24" s="102">
        <v>47278894</v>
      </c>
      <c r="BW24" s="71"/>
      <c r="BX24" s="102">
        <v>5185280</v>
      </c>
      <c r="BY24" s="102">
        <v>3554311</v>
      </c>
      <c r="BZ24" s="102">
        <v>375586</v>
      </c>
      <c r="CA24" s="102">
        <v>212474</v>
      </c>
      <c r="CB24" s="102">
        <v>12455366</v>
      </c>
      <c r="CC24" s="102">
        <v>3043487</v>
      </c>
      <c r="CD24" s="102">
        <v>40664</v>
      </c>
      <c r="CE24" s="102">
        <v>6661811</v>
      </c>
      <c r="CF24" s="102">
        <v>2218050</v>
      </c>
      <c r="CG24" s="102">
        <v>11896</v>
      </c>
      <c r="CH24" s="102">
        <v>479248</v>
      </c>
      <c r="CI24" s="102">
        <v>4613686</v>
      </c>
      <c r="CJ24" s="102">
        <v>4356977</v>
      </c>
      <c r="CK24" s="83">
        <f t="shared" si="7"/>
        <v>256709</v>
      </c>
      <c r="CL24" s="102">
        <v>7720063</v>
      </c>
      <c r="CM24" s="102">
        <v>4798220</v>
      </c>
      <c r="CN24" s="102">
        <v>338934</v>
      </c>
      <c r="CO24" s="102">
        <v>1827940</v>
      </c>
      <c r="CP24" s="102">
        <v>196392</v>
      </c>
      <c r="CQ24" s="102">
        <v>4732959</v>
      </c>
      <c r="CR24" s="102">
        <v>1807338</v>
      </c>
      <c r="CS24" s="102">
        <v>719415</v>
      </c>
      <c r="CT24" s="102">
        <v>286360</v>
      </c>
      <c r="CU24" s="73">
        <f t="shared" si="8"/>
        <v>1667784</v>
      </c>
      <c r="CV24" s="102">
        <v>1667784</v>
      </c>
      <c r="CW24" s="102">
        <v>0</v>
      </c>
      <c r="CX24" s="73">
        <f t="shared" si="9"/>
        <v>0</v>
      </c>
      <c r="CY24" s="102">
        <v>0</v>
      </c>
      <c r="CZ24" s="102">
        <v>0</v>
      </c>
      <c r="DA24" s="73">
        <f t="shared" si="10"/>
        <v>1651626</v>
      </c>
      <c r="DB24" s="102">
        <v>1651626</v>
      </c>
      <c r="DC24" s="102">
        <v>0</v>
      </c>
      <c r="DD24" s="102">
        <v>4343771</v>
      </c>
      <c r="DE24" s="102">
        <v>1901452</v>
      </c>
      <c r="DF24" s="102">
        <v>2442319</v>
      </c>
      <c r="DG24" s="102">
        <v>0</v>
      </c>
      <c r="DH24" s="102">
        <v>0</v>
      </c>
      <c r="DI24" s="102">
        <v>3520</v>
      </c>
      <c r="DJ24" s="102">
        <v>1611009</v>
      </c>
      <c r="DK24" s="102">
        <v>44015</v>
      </c>
      <c r="DL24" s="102">
        <v>41568</v>
      </c>
      <c r="DM24" s="102">
        <v>1525426</v>
      </c>
      <c r="DN24" s="102">
        <v>1059503</v>
      </c>
      <c r="DO24" s="102">
        <v>591703</v>
      </c>
      <c r="DP24" s="102">
        <v>0</v>
      </c>
      <c r="DQ24" s="102">
        <v>0</v>
      </c>
      <c r="DR24" s="102">
        <v>0</v>
      </c>
      <c r="DS24" s="102">
        <v>0</v>
      </c>
      <c r="DT24" s="102">
        <v>0</v>
      </c>
      <c r="DU24" s="102">
        <v>4609503</v>
      </c>
      <c r="DV24" s="102">
        <v>0</v>
      </c>
      <c r="DW24" s="73">
        <f t="shared" si="11"/>
        <v>0</v>
      </c>
      <c r="DX24" s="102">
        <v>0</v>
      </c>
      <c r="DY24" s="102">
        <v>1598550</v>
      </c>
      <c r="DZ24" s="102">
        <v>0</v>
      </c>
      <c r="EA24" s="102">
        <v>1513223</v>
      </c>
      <c r="EB24" s="74">
        <v>0</v>
      </c>
      <c r="EC24" s="102">
        <v>1497659</v>
      </c>
      <c r="ED24" s="102">
        <v>0</v>
      </c>
      <c r="EE24" s="102">
        <v>46531052</v>
      </c>
      <c r="EF24" s="71"/>
      <c r="EG24" s="102">
        <v>747842</v>
      </c>
      <c r="EH24" s="102">
        <v>174028</v>
      </c>
      <c r="EI24" s="102">
        <v>573814</v>
      </c>
      <c r="EJ24" s="102">
        <v>-221906</v>
      </c>
      <c r="EK24" s="102">
        <v>-577891</v>
      </c>
      <c r="EL24" s="71"/>
      <c r="EM24" s="102">
        <v>123217</v>
      </c>
      <c r="EN24" s="102">
        <v>120285</v>
      </c>
      <c r="EO24" s="102">
        <v>1483239</v>
      </c>
      <c r="EP24" s="102">
        <v>122647</v>
      </c>
      <c r="EQ24" s="73">
        <f t="shared" si="12"/>
        <v>3898158</v>
      </c>
      <c r="ER24" s="102">
        <v>24847612</v>
      </c>
      <c r="ES24" s="71">
        <v>-7040026</v>
      </c>
      <c r="ET24" s="102">
        <v>4671207</v>
      </c>
      <c r="EU24" s="102">
        <v>3091358</v>
      </c>
      <c r="EV24" s="102">
        <v>3750704</v>
      </c>
      <c r="EW24" s="102">
        <v>4587023</v>
      </c>
      <c r="EX24" s="73">
        <f t="shared" si="13"/>
        <v>1086491</v>
      </c>
      <c r="EY24" s="102">
        <v>1082971</v>
      </c>
      <c r="EZ24" s="102">
        <v>157912</v>
      </c>
      <c r="FA24" s="102">
        <v>925059</v>
      </c>
      <c r="FB24" s="102">
        <v>3520</v>
      </c>
      <c r="FC24" s="102">
        <v>0</v>
      </c>
      <c r="FD24" s="102">
        <v>6212284</v>
      </c>
      <c r="FE24" s="102">
        <v>4532416</v>
      </c>
      <c r="FF24" s="102">
        <v>1806235</v>
      </c>
      <c r="FG24" s="102">
        <v>3572061</v>
      </c>
      <c r="FH24" s="73">
        <f t="shared" si="14"/>
        <v>2727610</v>
      </c>
      <c r="FI24" s="102">
        <v>31139796</v>
      </c>
      <c r="FJ24" s="379">
        <f t="shared" si="15"/>
        <v>2.4</v>
      </c>
      <c r="FK24" s="102">
        <v>22651085</v>
      </c>
      <c r="FL24" s="102">
        <v>1548944</v>
      </c>
      <c r="FM24" s="102">
        <v>13909248</v>
      </c>
      <c r="FN24" s="102">
        <v>18742282</v>
      </c>
      <c r="FO24" s="428">
        <v>0.752</v>
      </c>
      <c r="FP24" s="424">
        <v>103.1</v>
      </c>
      <c r="FQ24" s="425">
        <v>18.399999999999999</v>
      </c>
      <c r="FR24" s="424">
        <v>15</v>
      </c>
      <c r="FS24" s="424">
        <v>18.399999999999999</v>
      </c>
      <c r="FT24" s="425">
        <v>19.3</v>
      </c>
      <c r="FU24" s="424">
        <v>15.8</v>
      </c>
      <c r="FV24" s="426">
        <v>13.2</v>
      </c>
      <c r="FW24" s="388">
        <v>6.2</v>
      </c>
      <c r="FX24" s="102">
        <v>34330116</v>
      </c>
      <c r="FY24" s="384">
        <f t="shared" si="16"/>
        <v>141.9</v>
      </c>
      <c r="FZ24" s="102">
        <v>16365392</v>
      </c>
      <c r="GA24" s="102">
        <v>4424409</v>
      </c>
      <c r="GB24" s="102">
        <v>502644</v>
      </c>
      <c r="GC24" s="102">
        <v>11438339</v>
      </c>
      <c r="GD24" s="107">
        <v>0</v>
      </c>
      <c r="GE24" s="427"/>
      <c r="GF24" s="386"/>
      <c r="GG24" s="424">
        <v>99.4</v>
      </c>
      <c r="GH24" s="424">
        <v>51</v>
      </c>
      <c r="GI24" s="424">
        <v>98.8</v>
      </c>
      <c r="GJ24" s="102">
        <v>531</v>
      </c>
      <c r="GK24" s="429" t="s">
        <v>646</v>
      </c>
      <c r="GL24" s="429">
        <v>12.14</v>
      </c>
      <c r="GM24" s="117">
        <v>20</v>
      </c>
      <c r="GN24" s="429" t="s">
        <v>646</v>
      </c>
      <c r="GO24" s="430">
        <v>17.14</v>
      </c>
      <c r="GP24" s="387">
        <v>30</v>
      </c>
      <c r="GQ24" s="425">
        <v>6.2</v>
      </c>
      <c r="GR24" s="388">
        <v>25</v>
      </c>
      <c r="GS24" s="388">
        <v>35</v>
      </c>
      <c r="GT24" s="431" t="s">
        <v>646</v>
      </c>
      <c r="GU24" s="388">
        <v>350</v>
      </c>
      <c r="GV24" s="394"/>
      <c r="GW24" s="100">
        <f t="shared" si="17"/>
        <v>24200</v>
      </c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  <c r="HW24" s="394"/>
    </row>
    <row r="25" spans="2:231" x14ac:dyDescent="0.15">
      <c r="B25" s="89" t="s">
        <v>39</v>
      </c>
      <c r="C25" s="102">
        <v>24089652</v>
      </c>
      <c r="D25" s="73">
        <f t="shared" si="0"/>
        <v>9714213</v>
      </c>
      <c r="E25" s="102">
        <v>295021</v>
      </c>
      <c r="F25" s="102">
        <v>9419192</v>
      </c>
      <c r="G25" s="73">
        <f t="shared" si="1"/>
        <v>1582113</v>
      </c>
      <c r="H25" s="102">
        <v>474017</v>
      </c>
      <c r="I25" s="102">
        <v>1108096</v>
      </c>
      <c r="J25" s="102">
        <v>9452691</v>
      </c>
      <c r="K25" s="102">
        <v>3378359</v>
      </c>
      <c r="L25" s="102">
        <v>4786761</v>
      </c>
      <c r="M25" s="102">
        <v>1205202</v>
      </c>
      <c r="N25" s="102">
        <v>1048815</v>
      </c>
      <c r="O25" s="102">
        <v>1919725</v>
      </c>
      <c r="P25" s="102">
        <v>922200</v>
      </c>
      <c r="Q25" s="102">
        <v>997525</v>
      </c>
      <c r="R25" s="102">
        <v>325609</v>
      </c>
      <c r="S25" s="74"/>
      <c r="T25" s="73">
        <f t="shared" si="2"/>
        <v>3328509</v>
      </c>
      <c r="U25" s="102">
        <v>35216</v>
      </c>
      <c r="V25" s="102">
        <v>162499</v>
      </c>
      <c r="W25" s="102">
        <v>93528</v>
      </c>
      <c r="X25" s="102">
        <v>2886969</v>
      </c>
      <c r="Y25" s="102">
        <v>29553</v>
      </c>
      <c r="Z25" s="102">
        <v>0</v>
      </c>
      <c r="AA25" s="102">
        <v>92081</v>
      </c>
      <c r="AB25" s="102">
        <v>28663</v>
      </c>
      <c r="AC25" s="102">
        <v>464124</v>
      </c>
      <c r="AD25" s="102">
        <v>7648345</v>
      </c>
      <c r="AE25" s="102">
        <v>7033970</v>
      </c>
      <c r="AF25" s="102">
        <v>614375</v>
      </c>
      <c r="AG25" s="102">
        <v>21303</v>
      </c>
      <c r="AH25" s="102">
        <v>67284</v>
      </c>
      <c r="AI25" s="73">
        <f t="shared" si="3"/>
        <v>1435743</v>
      </c>
      <c r="AJ25" s="102">
        <v>1038015</v>
      </c>
      <c r="AK25" s="102">
        <v>397728</v>
      </c>
      <c r="AL25" s="102">
        <v>13913060</v>
      </c>
      <c r="AM25" s="73">
        <f t="shared" si="4"/>
        <v>9286841</v>
      </c>
      <c r="AN25" s="102">
        <v>5400146</v>
      </c>
      <c r="AO25" s="102">
        <v>2107323</v>
      </c>
      <c r="AP25" s="74"/>
      <c r="AQ25" s="102">
        <v>1779372</v>
      </c>
      <c r="AR25" s="102">
        <v>961704</v>
      </c>
      <c r="AS25" s="102">
        <v>2309</v>
      </c>
      <c r="AT25" s="102">
        <v>218643</v>
      </c>
      <c r="AU25" s="102">
        <v>5129910</v>
      </c>
      <c r="AV25" s="102">
        <v>2894258</v>
      </c>
      <c r="AW25" s="102">
        <v>750245</v>
      </c>
      <c r="AX25" s="102">
        <v>0</v>
      </c>
      <c r="AY25" s="102">
        <v>2235652</v>
      </c>
      <c r="AZ25" s="102">
        <v>996</v>
      </c>
      <c r="BA25" s="102">
        <v>424591</v>
      </c>
      <c r="BB25" s="102">
        <v>415740</v>
      </c>
      <c r="BC25" s="102">
        <v>196108</v>
      </c>
      <c r="BD25" s="102">
        <v>852856</v>
      </c>
      <c r="BE25" s="102">
        <v>100000</v>
      </c>
      <c r="BF25" s="102">
        <v>0</v>
      </c>
      <c r="BG25" s="102">
        <v>460200</v>
      </c>
      <c r="BH25" s="102">
        <v>0</v>
      </c>
      <c r="BI25" s="102">
        <v>345021</v>
      </c>
      <c r="BJ25" s="102">
        <v>90076</v>
      </c>
      <c r="BK25" s="102">
        <v>950591</v>
      </c>
      <c r="BL25" s="102">
        <v>4014</v>
      </c>
      <c r="BM25" s="102">
        <v>0</v>
      </c>
      <c r="BN25" s="102">
        <v>0</v>
      </c>
      <c r="BO25" s="102">
        <v>4619900</v>
      </c>
      <c r="BP25" s="73">
        <f t="shared" si="5"/>
        <v>2470300</v>
      </c>
      <c r="BQ25" s="73">
        <f t="shared" si="6"/>
        <v>2149600</v>
      </c>
      <c r="BR25" s="102">
        <v>0</v>
      </c>
      <c r="BS25" s="102">
        <v>0</v>
      </c>
      <c r="BT25" s="102">
        <v>2149600</v>
      </c>
      <c r="BU25" s="102">
        <v>0</v>
      </c>
      <c r="BV25" s="102">
        <v>64031249</v>
      </c>
      <c r="BW25" s="71"/>
      <c r="BX25" s="102">
        <v>9055064</v>
      </c>
      <c r="BY25" s="102">
        <v>6091186</v>
      </c>
      <c r="BZ25" s="102">
        <v>400540</v>
      </c>
      <c r="CA25" s="102">
        <v>776002</v>
      </c>
      <c r="CB25" s="102">
        <v>21857311</v>
      </c>
      <c r="CC25" s="102">
        <v>4698151</v>
      </c>
      <c r="CD25" s="102">
        <v>118407</v>
      </c>
      <c r="CE25" s="102">
        <v>8964760</v>
      </c>
      <c r="CF25" s="102">
        <v>7047066</v>
      </c>
      <c r="CG25" s="102">
        <v>3922</v>
      </c>
      <c r="CH25" s="102">
        <v>1011315</v>
      </c>
      <c r="CI25" s="102">
        <v>6746849</v>
      </c>
      <c r="CJ25" s="102">
        <v>6416655</v>
      </c>
      <c r="CK25" s="83">
        <f t="shared" si="7"/>
        <v>330194</v>
      </c>
      <c r="CL25" s="102">
        <v>8010886</v>
      </c>
      <c r="CM25" s="102">
        <v>5480262</v>
      </c>
      <c r="CN25" s="102">
        <v>485736</v>
      </c>
      <c r="CO25" s="102">
        <v>917122</v>
      </c>
      <c r="CP25" s="102">
        <v>330419</v>
      </c>
      <c r="CQ25" s="102">
        <v>5255486</v>
      </c>
      <c r="CR25" s="102">
        <v>625586</v>
      </c>
      <c r="CS25" s="102">
        <v>1477654</v>
      </c>
      <c r="CT25" s="102">
        <v>542078</v>
      </c>
      <c r="CU25" s="73">
        <f t="shared" si="8"/>
        <v>1447132</v>
      </c>
      <c r="CV25" s="102">
        <v>505144</v>
      </c>
      <c r="CW25" s="102">
        <v>941988</v>
      </c>
      <c r="CX25" s="73">
        <f t="shared" si="9"/>
        <v>777835</v>
      </c>
      <c r="CY25" s="102">
        <v>0</v>
      </c>
      <c r="CZ25" s="102">
        <v>777835</v>
      </c>
      <c r="DA25" s="73">
        <f t="shared" si="10"/>
        <v>634524</v>
      </c>
      <c r="DB25" s="102">
        <v>487144</v>
      </c>
      <c r="DC25" s="102">
        <v>147380</v>
      </c>
      <c r="DD25" s="102">
        <v>5637088</v>
      </c>
      <c r="DE25" s="102">
        <v>3077556</v>
      </c>
      <c r="DF25" s="102">
        <v>2551817</v>
      </c>
      <c r="DG25" s="102">
        <v>7715</v>
      </c>
      <c r="DH25" s="102">
        <v>0</v>
      </c>
      <c r="DI25" s="102">
        <v>56465</v>
      </c>
      <c r="DJ25" s="102">
        <v>1150257</v>
      </c>
      <c r="DK25" s="102">
        <v>50910</v>
      </c>
      <c r="DL25" s="102">
        <v>30</v>
      </c>
      <c r="DM25" s="102">
        <v>1099317</v>
      </c>
      <c r="DN25" s="102">
        <v>0</v>
      </c>
      <c r="DO25" s="102">
        <v>0</v>
      </c>
      <c r="DP25" s="102">
        <v>0</v>
      </c>
      <c r="DQ25" s="102">
        <v>0</v>
      </c>
      <c r="DR25" s="102">
        <v>22106</v>
      </c>
      <c r="DS25" s="102">
        <v>0</v>
      </c>
      <c r="DT25" s="102">
        <v>0</v>
      </c>
      <c r="DU25" s="102">
        <v>5763973</v>
      </c>
      <c r="DV25" s="102">
        <v>26328</v>
      </c>
      <c r="DW25" s="73">
        <f t="shared" si="11"/>
        <v>0</v>
      </c>
      <c r="DX25" s="102">
        <v>0</v>
      </c>
      <c r="DY25" s="102">
        <v>2176989</v>
      </c>
      <c r="DZ25" s="102">
        <v>0</v>
      </c>
      <c r="EA25" s="102">
        <v>1580059</v>
      </c>
      <c r="EB25" s="74">
        <v>0</v>
      </c>
      <c r="EC25" s="102">
        <v>1980597</v>
      </c>
      <c r="ED25" s="102">
        <v>0</v>
      </c>
      <c r="EE25" s="102">
        <v>63885904</v>
      </c>
      <c r="EF25" s="71"/>
      <c r="EG25" s="102">
        <v>145345</v>
      </c>
      <c r="EH25" s="102">
        <v>105878</v>
      </c>
      <c r="EI25" s="102">
        <v>39467</v>
      </c>
      <c r="EJ25" s="102">
        <v>-50609</v>
      </c>
      <c r="EK25" s="102">
        <v>-99699</v>
      </c>
      <c r="EL25" s="71"/>
      <c r="EM25" s="102">
        <v>186109</v>
      </c>
      <c r="EN25" s="102">
        <v>186079</v>
      </c>
      <c r="EO25" s="102">
        <v>138658</v>
      </c>
      <c r="EP25" s="102">
        <v>423255</v>
      </c>
      <c r="EQ25" s="73">
        <f t="shared" si="12"/>
        <v>974573</v>
      </c>
      <c r="ER25" s="102">
        <v>36096185</v>
      </c>
      <c r="ES25" s="71">
        <v>-3446140</v>
      </c>
      <c r="ET25" s="102">
        <v>8302047</v>
      </c>
      <c r="EU25" s="102">
        <v>5546032</v>
      </c>
      <c r="EV25" s="102">
        <v>6609421</v>
      </c>
      <c r="EW25" s="102">
        <v>6602699</v>
      </c>
      <c r="EX25" s="73">
        <f t="shared" si="13"/>
        <v>1914413</v>
      </c>
      <c r="EY25" s="102">
        <v>1914413</v>
      </c>
      <c r="EZ25" s="102">
        <v>440195</v>
      </c>
      <c r="FA25" s="102">
        <v>1473853</v>
      </c>
      <c r="FB25" s="102">
        <v>0</v>
      </c>
      <c r="FC25" s="102">
        <v>0</v>
      </c>
      <c r="FD25" s="102">
        <v>6484922</v>
      </c>
      <c r="FE25" s="102">
        <v>3997393</v>
      </c>
      <c r="FF25" s="102">
        <v>625586</v>
      </c>
      <c r="FG25" s="102">
        <v>4494435</v>
      </c>
      <c r="FH25" s="73">
        <f t="shared" si="14"/>
        <v>991650</v>
      </c>
      <c r="FI25" s="102">
        <v>39396980</v>
      </c>
      <c r="FJ25" s="379">
        <f t="shared" si="15"/>
        <v>0.1</v>
      </c>
      <c r="FK25" s="102">
        <v>32586190</v>
      </c>
      <c r="FL25" s="102">
        <v>2149711</v>
      </c>
      <c r="FM25" s="102">
        <v>19969816</v>
      </c>
      <c r="FN25" s="102">
        <v>27027589</v>
      </c>
      <c r="FO25" s="428">
        <v>0.747</v>
      </c>
      <c r="FP25" s="424">
        <v>96.8</v>
      </c>
      <c r="FQ25" s="425">
        <v>22.9</v>
      </c>
      <c r="FR25" s="424">
        <v>18.3</v>
      </c>
      <c r="FS25" s="424">
        <v>18.3</v>
      </c>
      <c r="FT25" s="425">
        <v>15.9</v>
      </c>
      <c r="FU25" s="424">
        <v>8.6999999999999993</v>
      </c>
      <c r="FV25" s="426">
        <v>11.9</v>
      </c>
      <c r="FW25" s="388">
        <v>6.6</v>
      </c>
      <c r="FX25" s="102">
        <v>45185558</v>
      </c>
      <c r="FY25" s="384">
        <f t="shared" si="16"/>
        <v>130.1</v>
      </c>
      <c r="FZ25" s="102">
        <v>12183429</v>
      </c>
      <c r="GA25" s="102">
        <v>4076130</v>
      </c>
      <c r="GB25" s="102">
        <v>212280</v>
      </c>
      <c r="GC25" s="102">
        <v>7895019</v>
      </c>
      <c r="GD25" s="107">
        <v>0</v>
      </c>
      <c r="GE25" s="427"/>
      <c r="GF25" s="386"/>
      <c r="GG25" s="424">
        <v>99.4</v>
      </c>
      <c r="GH25" s="424">
        <v>36.1</v>
      </c>
      <c r="GI25" s="424">
        <v>98.2</v>
      </c>
      <c r="GJ25" s="102">
        <v>1016</v>
      </c>
      <c r="GK25" s="429" t="s">
        <v>646</v>
      </c>
      <c r="GL25" s="429">
        <v>11.62</v>
      </c>
      <c r="GM25" s="117">
        <v>20</v>
      </c>
      <c r="GN25" s="429" t="s">
        <v>646</v>
      </c>
      <c r="GO25" s="430">
        <v>16.62</v>
      </c>
      <c r="GP25" s="387">
        <v>30</v>
      </c>
      <c r="GQ25" s="425">
        <v>6.6</v>
      </c>
      <c r="GR25" s="388">
        <v>25</v>
      </c>
      <c r="GS25" s="388">
        <v>35</v>
      </c>
      <c r="GT25" s="431" t="s">
        <v>646</v>
      </c>
      <c r="GU25" s="388">
        <v>350</v>
      </c>
      <c r="GV25" s="394"/>
      <c r="GW25" s="100">
        <f t="shared" si="17"/>
        <v>34736</v>
      </c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  <c r="HW25" s="394"/>
    </row>
    <row r="26" spans="2:231" x14ac:dyDescent="0.15">
      <c r="B26" s="89" t="s">
        <v>41</v>
      </c>
      <c r="C26" s="102">
        <v>24061627</v>
      </c>
      <c r="D26" s="73">
        <f t="shared" si="0"/>
        <v>10514182</v>
      </c>
      <c r="E26" s="102">
        <v>226788</v>
      </c>
      <c r="F26" s="102">
        <v>10287394</v>
      </c>
      <c r="G26" s="73">
        <f t="shared" si="1"/>
        <v>1175245</v>
      </c>
      <c r="H26" s="102">
        <v>373058</v>
      </c>
      <c r="I26" s="102">
        <v>802187</v>
      </c>
      <c r="J26" s="102">
        <v>9176280</v>
      </c>
      <c r="K26" s="102">
        <v>4317189</v>
      </c>
      <c r="L26" s="102">
        <v>4081237</v>
      </c>
      <c r="M26" s="102">
        <v>762736</v>
      </c>
      <c r="N26" s="102">
        <v>682319</v>
      </c>
      <c r="O26" s="102">
        <v>2202565</v>
      </c>
      <c r="P26" s="102">
        <v>1306119</v>
      </c>
      <c r="Q26" s="102">
        <v>896446</v>
      </c>
      <c r="R26" s="102">
        <v>263328</v>
      </c>
      <c r="S26" s="74"/>
      <c r="T26" s="73">
        <f t="shared" si="2"/>
        <v>2525325</v>
      </c>
      <c r="U26" s="102">
        <v>38370</v>
      </c>
      <c r="V26" s="102">
        <v>176931</v>
      </c>
      <c r="W26" s="102">
        <v>101707</v>
      </c>
      <c r="X26" s="102">
        <v>2108507</v>
      </c>
      <c r="Y26" s="102">
        <v>1639</v>
      </c>
      <c r="Z26" s="102">
        <v>0</v>
      </c>
      <c r="AA26" s="102">
        <v>74866</v>
      </c>
      <c r="AB26" s="102">
        <v>23305</v>
      </c>
      <c r="AC26" s="102">
        <v>382358</v>
      </c>
      <c r="AD26" s="102">
        <v>1070050</v>
      </c>
      <c r="AE26" s="102">
        <v>926755</v>
      </c>
      <c r="AF26" s="102">
        <v>143295</v>
      </c>
      <c r="AG26" s="102">
        <v>15966</v>
      </c>
      <c r="AH26" s="102">
        <v>933988</v>
      </c>
      <c r="AI26" s="73">
        <f t="shared" si="3"/>
        <v>869436</v>
      </c>
      <c r="AJ26" s="102">
        <v>568609</v>
      </c>
      <c r="AK26" s="102">
        <v>300827</v>
      </c>
      <c r="AL26" s="102">
        <v>18040178</v>
      </c>
      <c r="AM26" s="73">
        <f t="shared" si="4"/>
        <v>4662429</v>
      </c>
      <c r="AN26" s="102">
        <v>1628560</v>
      </c>
      <c r="AO26" s="102">
        <v>1684809</v>
      </c>
      <c r="AP26" s="74"/>
      <c r="AQ26" s="102">
        <v>1349060</v>
      </c>
      <c r="AR26" s="102">
        <v>800131</v>
      </c>
      <c r="AS26" s="102">
        <v>17471</v>
      </c>
      <c r="AT26" s="102">
        <v>0</v>
      </c>
      <c r="AU26" s="102">
        <v>6274045</v>
      </c>
      <c r="AV26" s="102">
        <v>2443357</v>
      </c>
      <c r="AW26" s="102">
        <v>764722</v>
      </c>
      <c r="AX26" s="102">
        <v>0</v>
      </c>
      <c r="AY26" s="102">
        <v>3830688</v>
      </c>
      <c r="AZ26" s="102">
        <v>2438443</v>
      </c>
      <c r="BA26" s="102">
        <v>178125</v>
      </c>
      <c r="BB26" s="102">
        <v>3248</v>
      </c>
      <c r="BC26" s="102">
        <v>41414</v>
      </c>
      <c r="BD26" s="102">
        <v>3616202</v>
      </c>
      <c r="BE26" s="102">
        <v>1100000</v>
      </c>
      <c r="BF26" s="102">
        <v>250000</v>
      </c>
      <c r="BG26" s="102">
        <v>2266187</v>
      </c>
      <c r="BH26" s="102">
        <v>0</v>
      </c>
      <c r="BI26" s="102">
        <v>1966935</v>
      </c>
      <c r="BJ26" s="102">
        <v>739620</v>
      </c>
      <c r="BK26" s="102">
        <v>3084223</v>
      </c>
      <c r="BL26" s="102">
        <v>161567</v>
      </c>
      <c r="BM26" s="102">
        <v>0</v>
      </c>
      <c r="BN26" s="102">
        <v>2200000</v>
      </c>
      <c r="BO26" s="102">
        <v>6395511</v>
      </c>
      <c r="BP26" s="73">
        <f t="shared" si="5"/>
        <v>5224100</v>
      </c>
      <c r="BQ26" s="73">
        <f t="shared" si="6"/>
        <v>1171411</v>
      </c>
      <c r="BR26" s="102">
        <v>0</v>
      </c>
      <c r="BS26" s="102">
        <v>0</v>
      </c>
      <c r="BT26" s="102">
        <v>1171411</v>
      </c>
      <c r="BU26" s="102">
        <v>0</v>
      </c>
      <c r="BV26" s="102">
        <v>69718711</v>
      </c>
      <c r="BW26" s="71"/>
      <c r="BX26" s="102">
        <v>9533592</v>
      </c>
      <c r="BY26" s="102">
        <v>6663494</v>
      </c>
      <c r="BZ26" s="102">
        <v>522646</v>
      </c>
      <c r="CA26" s="102">
        <v>508789</v>
      </c>
      <c r="CB26" s="102">
        <v>13791191</v>
      </c>
      <c r="CC26" s="102">
        <v>3292205</v>
      </c>
      <c r="CD26" s="102">
        <v>156626</v>
      </c>
      <c r="CE26" s="102">
        <v>7458000</v>
      </c>
      <c r="CF26" s="102">
        <v>2158840</v>
      </c>
      <c r="CG26" s="102">
        <v>36391</v>
      </c>
      <c r="CH26" s="102">
        <v>689129</v>
      </c>
      <c r="CI26" s="102">
        <v>2644628</v>
      </c>
      <c r="CJ26" s="102">
        <v>2441803</v>
      </c>
      <c r="CK26" s="83">
        <f t="shared" si="7"/>
        <v>202825</v>
      </c>
      <c r="CL26" s="102">
        <v>8454691</v>
      </c>
      <c r="CM26" s="102">
        <v>6001547</v>
      </c>
      <c r="CN26" s="102">
        <v>482642</v>
      </c>
      <c r="CO26" s="102">
        <v>1225195</v>
      </c>
      <c r="CP26" s="102">
        <v>143304</v>
      </c>
      <c r="CQ26" s="102">
        <v>2530138</v>
      </c>
      <c r="CR26" s="102">
        <v>2839</v>
      </c>
      <c r="CS26" s="102">
        <v>1061299</v>
      </c>
      <c r="CT26" s="102">
        <v>837743</v>
      </c>
      <c r="CU26" s="73">
        <f t="shared" si="8"/>
        <v>374983</v>
      </c>
      <c r="CV26" s="102">
        <v>290852</v>
      </c>
      <c r="CW26" s="102">
        <v>84131</v>
      </c>
      <c r="CX26" s="73">
        <f t="shared" si="9"/>
        <v>31000</v>
      </c>
      <c r="CY26" s="102">
        <v>31000</v>
      </c>
      <c r="CZ26" s="102">
        <v>0</v>
      </c>
      <c r="DA26" s="73">
        <f t="shared" si="10"/>
        <v>316105</v>
      </c>
      <c r="DB26" s="102">
        <v>233148</v>
      </c>
      <c r="DC26" s="102">
        <v>82957</v>
      </c>
      <c r="DD26" s="102">
        <v>20062055</v>
      </c>
      <c r="DE26" s="102">
        <v>16749452</v>
      </c>
      <c r="DF26" s="102">
        <v>3291337</v>
      </c>
      <c r="DG26" s="102">
        <v>21266</v>
      </c>
      <c r="DH26" s="102">
        <v>0</v>
      </c>
      <c r="DI26" s="102">
        <v>161096</v>
      </c>
      <c r="DJ26" s="102">
        <v>1818122</v>
      </c>
      <c r="DK26" s="102">
        <v>6789</v>
      </c>
      <c r="DL26" s="102">
        <v>571</v>
      </c>
      <c r="DM26" s="102">
        <v>1810762</v>
      </c>
      <c r="DN26" s="102">
        <v>15000</v>
      </c>
      <c r="DO26" s="102">
        <v>0</v>
      </c>
      <c r="DP26" s="102">
        <v>0</v>
      </c>
      <c r="DQ26" s="102">
        <v>0</v>
      </c>
      <c r="DR26" s="102">
        <v>23297</v>
      </c>
      <c r="DS26" s="102">
        <v>0</v>
      </c>
      <c r="DT26" s="102">
        <v>0</v>
      </c>
      <c r="DU26" s="102">
        <v>4476036</v>
      </c>
      <c r="DV26" s="102">
        <v>0</v>
      </c>
      <c r="DW26" s="73">
        <f t="shared" si="11"/>
        <v>0</v>
      </c>
      <c r="DX26" s="102">
        <v>0</v>
      </c>
      <c r="DY26" s="102">
        <v>1522905</v>
      </c>
      <c r="DZ26" s="102">
        <v>0</v>
      </c>
      <c r="EA26" s="102">
        <v>1390910</v>
      </c>
      <c r="EB26" s="74">
        <v>0</v>
      </c>
      <c r="EC26" s="102">
        <v>1468840</v>
      </c>
      <c r="ED26" s="102">
        <v>0</v>
      </c>
      <c r="EE26" s="102">
        <v>63653150</v>
      </c>
      <c r="EF26" s="71"/>
      <c r="EG26" s="102">
        <v>6065561</v>
      </c>
      <c r="EH26" s="102">
        <v>3944042</v>
      </c>
      <c r="EI26" s="102">
        <v>2121519</v>
      </c>
      <c r="EJ26" s="102">
        <v>181899</v>
      </c>
      <c r="EK26" s="102">
        <v>-911312</v>
      </c>
      <c r="EL26" s="71"/>
      <c r="EM26" s="102">
        <v>133411</v>
      </c>
      <c r="EN26" s="102">
        <v>138377</v>
      </c>
      <c r="EO26" s="102">
        <v>1350431</v>
      </c>
      <c r="EP26" s="102">
        <v>168024</v>
      </c>
      <c r="EQ26" s="73">
        <f t="shared" si="12"/>
        <v>4335299</v>
      </c>
      <c r="ER26" s="102">
        <v>28318654</v>
      </c>
      <c r="ES26" s="71">
        <v>-7009199</v>
      </c>
      <c r="ET26" s="102">
        <v>8662932</v>
      </c>
      <c r="EU26" s="102">
        <v>5960638</v>
      </c>
      <c r="EV26" s="102">
        <v>4240563</v>
      </c>
      <c r="EW26" s="102">
        <v>2644628</v>
      </c>
      <c r="EX26" s="73">
        <f t="shared" si="13"/>
        <v>1062194</v>
      </c>
      <c r="EY26" s="102">
        <v>1055067</v>
      </c>
      <c r="EZ26" s="102">
        <v>319145</v>
      </c>
      <c r="FA26" s="102">
        <v>733232</v>
      </c>
      <c r="FB26" s="102">
        <v>7127</v>
      </c>
      <c r="FC26" s="102">
        <v>0</v>
      </c>
      <c r="FD26" s="102">
        <v>6537900</v>
      </c>
      <c r="FE26" s="102">
        <v>1902665</v>
      </c>
      <c r="FF26" s="102">
        <v>2839</v>
      </c>
      <c r="FG26" s="102">
        <v>3584258</v>
      </c>
      <c r="FH26" s="73">
        <f t="shared" si="14"/>
        <v>1932656</v>
      </c>
      <c r="FI26" s="102">
        <v>30567796</v>
      </c>
      <c r="FJ26" s="379">
        <f t="shared" si="15"/>
        <v>8</v>
      </c>
      <c r="FK26" s="102">
        <v>25362890</v>
      </c>
      <c r="FL26" s="102">
        <v>1171411</v>
      </c>
      <c r="FM26" s="102">
        <v>18653064</v>
      </c>
      <c r="FN26" s="102">
        <v>19597078</v>
      </c>
      <c r="FO26" s="428">
        <v>0.95699999999999996</v>
      </c>
      <c r="FP26" s="424">
        <v>93.9</v>
      </c>
      <c r="FQ26" s="425">
        <v>31.6</v>
      </c>
      <c r="FR26" s="424">
        <v>15.5</v>
      </c>
      <c r="FS26" s="424">
        <v>9.3000000000000007</v>
      </c>
      <c r="FT26" s="425">
        <v>20.6</v>
      </c>
      <c r="FU26" s="424">
        <v>5.0999999999999996</v>
      </c>
      <c r="FV26" s="426">
        <v>11.4</v>
      </c>
      <c r="FW26" s="388">
        <v>1.5</v>
      </c>
      <c r="FX26" s="102">
        <v>48288482</v>
      </c>
      <c r="FY26" s="384">
        <f t="shared" si="16"/>
        <v>182</v>
      </c>
      <c r="FZ26" s="102">
        <v>24289288</v>
      </c>
      <c r="GA26" s="102">
        <v>5005784</v>
      </c>
      <c r="GB26" s="102">
        <v>1914008</v>
      </c>
      <c r="GC26" s="102">
        <v>17369496</v>
      </c>
      <c r="GD26" s="107">
        <v>0</v>
      </c>
      <c r="GE26" s="427">
        <v>2791</v>
      </c>
      <c r="GF26" s="386">
        <f>IF(GE26=0,"-",ROUND(GE26/(GW26)*100,1))</f>
        <v>10.5</v>
      </c>
      <c r="GG26" s="424">
        <v>99.5</v>
      </c>
      <c r="GH26" s="424">
        <v>43.4</v>
      </c>
      <c r="GI26" s="424">
        <v>98.2</v>
      </c>
      <c r="GJ26" s="102">
        <v>953</v>
      </c>
      <c r="GK26" s="429" t="s">
        <v>646</v>
      </c>
      <c r="GL26" s="429">
        <v>11.99</v>
      </c>
      <c r="GM26" s="117">
        <v>20</v>
      </c>
      <c r="GN26" s="429" t="s">
        <v>646</v>
      </c>
      <c r="GO26" s="430">
        <v>16.989999999999998</v>
      </c>
      <c r="GP26" s="387">
        <v>30</v>
      </c>
      <c r="GQ26" s="425">
        <v>1.5</v>
      </c>
      <c r="GR26" s="388">
        <v>25</v>
      </c>
      <c r="GS26" s="388">
        <v>35</v>
      </c>
      <c r="GT26" s="431" t="s">
        <v>646</v>
      </c>
      <c r="GU26" s="388">
        <v>350</v>
      </c>
      <c r="GV26" s="394"/>
      <c r="GW26" s="100">
        <f t="shared" si="17"/>
        <v>26534</v>
      </c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  <c r="HW26" s="394"/>
    </row>
    <row r="27" spans="2:231" x14ac:dyDescent="0.15">
      <c r="B27" s="89" t="s">
        <v>43</v>
      </c>
      <c r="C27" s="102">
        <v>8916289</v>
      </c>
      <c r="D27" s="73">
        <f t="shared" si="0"/>
        <v>3555254</v>
      </c>
      <c r="E27" s="102">
        <v>115923</v>
      </c>
      <c r="F27" s="102">
        <v>3439331</v>
      </c>
      <c r="G27" s="73">
        <f t="shared" si="1"/>
        <v>613281</v>
      </c>
      <c r="H27" s="102">
        <v>136469</v>
      </c>
      <c r="I27" s="102">
        <v>476812</v>
      </c>
      <c r="J27" s="102">
        <v>3621218</v>
      </c>
      <c r="K27" s="102">
        <v>1346803</v>
      </c>
      <c r="L27" s="102">
        <v>1451518</v>
      </c>
      <c r="M27" s="102">
        <v>797968</v>
      </c>
      <c r="N27" s="102">
        <v>318898</v>
      </c>
      <c r="O27" s="102">
        <v>696609</v>
      </c>
      <c r="P27" s="102">
        <v>384396</v>
      </c>
      <c r="Q27" s="102">
        <v>312213</v>
      </c>
      <c r="R27" s="102">
        <v>126266</v>
      </c>
      <c r="S27" s="74"/>
      <c r="T27" s="73">
        <f t="shared" si="2"/>
        <v>1299446</v>
      </c>
      <c r="U27" s="102">
        <v>13028</v>
      </c>
      <c r="V27" s="102">
        <v>59985</v>
      </c>
      <c r="W27" s="102">
        <v>34386</v>
      </c>
      <c r="X27" s="102">
        <v>1144960</v>
      </c>
      <c r="Y27" s="102">
        <v>0</v>
      </c>
      <c r="Z27" s="102">
        <v>0</v>
      </c>
      <c r="AA27" s="102">
        <v>35909</v>
      </c>
      <c r="AB27" s="102">
        <v>11178</v>
      </c>
      <c r="AC27" s="102">
        <v>158144</v>
      </c>
      <c r="AD27" s="102">
        <v>4814922</v>
      </c>
      <c r="AE27" s="102">
        <v>4602437</v>
      </c>
      <c r="AF27" s="102">
        <v>212485</v>
      </c>
      <c r="AG27" s="102">
        <v>10573</v>
      </c>
      <c r="AH27" s="102">
        <v>204731</v>
      </c>
      <c r="AI27" s="73">
        <f t="shared" si="3"/>
        <v>355239</v>
      </c>
      <c r="AJ27" s="102">
        <v>318843</v>
      </c>
      <c r="AK27" s="102">
        <v>36396</v>
      </c>
      <c r="AL27" s="102">
        <v>4214069</v>
      </c>
      <c r="AM27" s="73">
        <f t="shared" si="4"/>
        <v>2879827</v>
      </c>
      <c r="AN27" s="102">
        <v>1460768</v>
      </c>
      <c r="AO27" s="102">
        <v>754972</v>
      </c>
      <c r="AP27" s="74"/>
      <c r="AQ27" s="102">
        <v>664087</v>
      </c>
      <c r="AR27" s="102">
        <v>84174</v>
      </c>
      <c r="AS27" s="102">
        <v>41612</v>
      </c>
      <c r="AT27" s="102">
        <v>0</v>
      </c>
      <c r="AU27" s="102">
        <v>1749135</v>
      </c>
      <c r="AV27" s="102">
        <v>1191186</v>
      </c>
      <c r="AW27" s="102">
        <v>281494</v>
      </c>
      <c r="AX27" s="102">
        <v>820</v>
      </c>
      <c r="AY27" s="102">
        <v>557949</v>
      </c>
      <c r="AZ27" s="102">
        <v>4810</v>
      </c>
      <c r="BA27" s="102">
        <v>38166</v>
      </c>
      <c r="BB27" s="102">
        <v>20860</v>
      </c>
      <c r="BC27" s="102">
        <v>175314</v>
      </c>
      <c r="BD27" s="102">
        <v>248045</v>
      </c>
      <c r="BE27" s="102">
        <v>135000</v>
      </c>
      <c r="BF27" s="102">
        <v>0</v>
      </c>
      <c r="BG27" s="102">
        <v>113045</v>
      </c>
      <c r="BH27" s="102">
        <v>0</v>
      </c>
      <c r="BI27" s="102">
        <v>625180</v>
      </c>
      <c r="BJ27" s="102">
        <v>600696</v>
      </c>
      <c r="BK27" s="102">
        <v>810030</v>
      </c>
      <c r="BL27" s="102">
        <v>490215</v>
      </c>
      <c r="BM27" s="102">
        <v>0</v>
      </c>
      <c r="BN27" s="102">
        <v>0</v>
      </c>
      <c r="BO27" s="102">
        <v>2176385</v>
      </c>
      <c r="BP27" s="73">
        <f t="shared" si="5"/>
        <v>1347500</v>
      </c>
      <c r="BQ27" s="73">
        <f t="shared" si="6"/>
        <v>828885</v>
      </c>
      <c r="BR27" s="102">
        <v>0</v>
      </c>
      <c r="BS27" s="102">
        <v>0</v>
      </c>
      <c r="BT27" s="102">
        <v>828885</v>
      </c>
      <c r="BU27" s="102">
        <v>0</v>
      </c>
      <c r="BV27" s="102">
        <v>25921934</v>
      </c>
      <c r="BW27" s="71"/>
      <c r="BX27" s="102">
        <v>3978809</v>
      </c>
      <c r="BY27" s="102">
        <v>2596162</v>
      </c>
      <c r="BZ27" s="102">
        <v>280359</v>
      </c>
      <c r="CA27" s="102">
        <v>296836</v>
      </c>
      <c r="CB27" s="102">
        <v>6732957</v>
      </c>
      <c r="CC27" s="102">
        <v>1829817</v>
      </c>
      <c r="CD27" s="102">
        <v>27958</v>
      </c>
      <c r="CE27" s="102">
        <v>2913158</v>
      </c>
      <c r="CF27" s="102">
        <v>1899050</v>
      </c>
      <c r="CG27" s="102">
        <v>3471</v>
      </c>
      <c r="CH27" s="102">
        <v>59503</v>
      </c>
      <c r="CI27" s="102">
        <v>1839069</v>
      </c>
      <c r="CJ27" s="102">
        <v>1720642</v>
      </c>
      <c r="CK27" s="83">
        <f t="shared" si="7"/>
        <v>118427</v>
      </c>
      <c r="CL27" s="102">
        <v>2680223</v>
      </c>
      <c r="CM27" s="102">
        <v>1653202</v>
      </c>
      <c r="CN27" s="102">
        <v>259671</v>
      </c>
      <c r="CO27" s="102">
        <v>284317</v>
      </c>
      <c r="CP27" s="102">
        <v>95733</v>
      </c>
      <c r="CQ27" s="102">
        <v>3990904</v>
      </c>
      <c r="CR27" s="102">
        <v>1791129</v>
      </c>
      <c r="CS27" s="102">
        <v>389561</v>
      </c>
      <c r="CT27" s="102">
        <v>183207</v>
      </c>
      <c r="CU27" s="73">
        <f t="shared" si="8"/>
        <v>1396107</v>
      </c>
      <c r="CV27" s="102">
        <v>878559</v>
      </c>
      <c r="CW27" s="102">
        <v>517548</v>
      </c>
      <c r="CX27" s="73">
        <f t="shared" si="9"/>
        <v>502213</v>
      </c>
      <c r="CY27" s="102">
        <v>407654</v>
      </c>
      <c r="CZ27" s="102">
        <v>94559</v>
      </c>
      <c r="DA27" s="73">
        <f t="shared" si="10"/>
        <v>885803</v>
      </c>
      <c r="DB27" s="102">
        <v>465905</v>
      </c>
      <c r="DC27" s="102">
        <v>419898</v>
      </c>
      <c r="DD27" s="102">
        <v>2052205</v>
      </c>
      <c r="DE27" s="102">
        <v>434485</v>
      </c>
      <c r="DF27" s="102">
        <v>1617720</v>
      </c>
      <c r="DG27" s="102">
        <v>0</v>
      </c>
      <c r="DH27" s="102">
        <v>0</v>
      </c>
      <c r="DI27" s="102">
        <v>97391</v>
      </c>
      <c r="DJ27" s="102">
        <v>478811</v>
      </c>
      <c r="DK27" s="102">
        <v>301697</v>
      </c>
      <c r="DL27" s="102">
        <v>0</v>
      </c>
      <c r="DM27" s="102">
        <v>177114</v>
      </c>
      <c r="DN27" s="102">
        <v>320000</v>
      </c>
      <c r="DO27" s="102">
        <v>320000</v>
      </c>
      <c r="DP27" s="102">
        <v>0</v>
      </c>
      <c r="DQ27" s="102">
        <v>320000</v>
      </c>
      <c r="DR27" s="102">
        <v>489877</v>
      </c>
      <c r="DS27" s="102">
        <v>0</v>
      </c>
      <c r="DT27" s="102">
        <v>0</v>
      </c>
      <c r="DU27" s="102">
        <v>2735814</v>
      </c>
      <c r="DV27" s="102">
        <v>0</v>
      </c>
      <c r="DW27" s="73">
        <f t="shared" si="11"/>
        <v>0</v>
      </c>
      <c r="DX27" s="102">
        <v>0</v>
      </c>
      <c r="DY27" s="102">
        <v>978796</v>
      </c>
      <c r="DZ27" s="102">
        <v>0</v>
      </c>
      <c r="EA27" s="102">
        <v>847046</v>
      </c>
      <c r="EB27" s="74">
        <v>0</v>
      </c>
      <c r="EC27" s="102">
        <v>905143</v>
      </c>
      <c r="ED27" s="102">
        <v>0</v>
      </c>
      <c r="EE27" s="102">
        <v>25491793</v>
      </c>
      <c r="EF27" s="71"/>
      <c r="EG27" s="102">
        <v>430141</v>
      </c>
      <c r="EH27" s="102">
        <v>239054</v>
      </c>
      <c r="EI27" s="102">
        <v>191087</v>
      </c>
      <c r="EJ27" s="102">
        <v>-409608</v>
      </c>
      <c r="EK27" s="102">
        <v>-238235</v>
      </c>
      <c r="EL27" s="71"/>
      <c r="EM27" s="102">
        <v>71112</v>
      </c>
      <c r="EN27" s="102">
        <v>68874</v>
      </c>
      <c r="EO27" s="102">
        <v>135000</v>
      </c>
      <c r="EP27" s="102">
        <v>32388</v>
      </c>
      <c r="EQ27" s="73">
        <f t="shared" si="12"/>
        <v>1001796</v>
      </c>
      <c r="ER27" s="102">
        <v>15325640</v>
      </c>
      <c r="ES27" s="71">
        <v>-1987496</v>
      </c>
      <c r="ET27" s="102">
        <v>3664294</v>
      </c>
      <c r="EU27" s="102">
        <v>2370103</v>
      </c>
      <c r="EV27" s="102">
        <v>1997071</v>
      </c>
      <c r="EW27" s="102">
        <v>1839069</v>
      </c>
      <c r="EX27" s="73">
        <f t="shared" si="13"/>
        <v>505163</v>
      </c>
      <c r="EY27" s="102">
        <v>497418</v>
      </c>
      <c r="EZ27" s="102">
        <v>19654</v>
      </c>
      <c r="FA27" s="102">
        <v>477764</v>
      </c>
      <c r="FB27" s="102">
        <v>7745</v>
      </c>
      <c r="FC27" s="102">
        <v>0</v>
      </c>
      <c r="FD27" s="102">
        <v>2096311</v>
      </c>
      <c r="FE27" s="102">
        <v>3748496</v>
      </c>
      <c r="FF27" s="102">
        <v>1790543</v>
      </c>
      <c r="FG27" s="102">
        <v>2153316</v>
      </c>
      <c r="FH27" s="73">
        <f t="shared" si="14"/>
        <v>879275</v>
      </c>
      <c r="FI27" s="102">
        <v>16882995</v>
      </c>
      <c r="FJ27" s="379">
        <f t="shared" si="15"/>
        <v>1.3</v>
      </c>
      <c r="FK27" s="102">
        <v>14084925</v>
      </c>
      <c r="FL27" s="102">
        <v>828885</v>
      </c>
      <c r="FM27" s="102">
        <v>7432652</v>
      </c>
      <c r="FN27" s="102">
        <v>12045698</v>
      </c>
      <c r="FO27" s="428">
        <v>0.62</v>
      </c>
      <c r="FP27" s="424">
        <v>95.5</v>
      </c>
      <c r="FQ27" s="425">
        <v>23.7</v>
      </c>
      <c r="FR27" s="424">
        <v>12.9</v>
      </c>
      <c r="FS27" s="424">
        <v>11.9</v>
      </c>
      <c r="FT27" s="425">
        <v>12.3</v>
      </c>
      <c r="FU27" s="424">
        <v>21.1</v>
      </c>
      <c r="FV27" s="426">
        <v>12.9</v>
      </c>
      <c r="FW27" s="388">
        <v>3.8</v>
      </c>
      <c r="FX27" s="102">
        <v>19639087</v>
      </c>
      <c r="FY27" s="384">
        <f t="shared" si="16"/>
        <v>131.69999999999999</v>
      </c>
      <c r="FZ27" s="102">
        <v>3589701</v>
      </c>
      <c r="GA27" s="102">
        <v>2252734</v>
      </c>
      <c r="GB27" s="102">
        <v>175</v>
      </c>
      <c r="GC27" s="102">
        <v>1336792</v>
      </c>
      <c r="GD27" s="107">
        <v>0</v>
      </c>
      <c r="GE27" s="427">
        <v>378</v>
      </c>
      <c r="GF27" s="386">
        <f>IF(GE27=0,"-",ROUND(GE27/(GW27)*100,1))</f>
        <v>2.5</v>
      </c>
      <c r="GG27" s="424">
        <v>99.3</v>
      </c>
      <c r="GH27" s="424">
        <v>42.7</v>
      </c>
      <c r="GI27" s="424">
        <v>98.5</v>
      </c>
      <c r="GJ27" s="102">
        <v>396</v>
      </c>
      <c r="GK27" s="429" t="s">
        <v>646</v>
      </c>
      <c r="GL27" s="429">
        <v>12.78</v>
      </c>
      <c r="GM27" s="117">
        <v>20</v>
      </c>
      <c r="GN27" s="429" t="s">
        <v>646</v>
      </c>
      <c r="GO27" s="430">
        <v>17.78</v>
      </c>
      <c r="GP27" s="387">
        <v>30</v>
      </c>
      <c r="GQ27" s="425">
        <v>3.8</v>
      </c>
      <c r="GR27" s="388">
        <v>25</v>
      </c>
      <c r="GS27" s="388">
        <v>35</v>
      </c>
      <c r="GT27" s="431" t="s">
        <v>646</v>
      </c>
      <c r="GU27" s="388">
        <v>350</v>
      </c>
      <c r="GV27" s="394"/>
      <c r="GW27" s="100">
        <f t="shared" si="17"/>
        <v>14914</v>
      </c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  <c r="HW27" s="394"/>
    </row>
    <row r="28" spans="2:231" x14ac:dyDescent="0.15">
      <c r="B28" s="89" t="s">
        <v>45</v>
      </c>
      <c r="C28" s="102">
        <v>12652210</v>
      </c>
      <c r="D28" s="73">
        <f t="shared" si="0"/>
        <v>5331460</v>
      </c>
      <c r="E28" s="102">
        <v>179457</v>
      </c>
      <c r="F28" s="102">
        <v>5152003</v>
      </c>
      <c r="G28" s="73">
        <f t="shared" si="1"/>
        <v>722857</v>
      </c>
      <c r="H28" s="102">
        <v>214103</v>
      </c>
      <c r="I28" s="102">
        <v>508754</v>
      </c>
      <c r="J28" s="102">
        <v>4746308</v>
      </c>
      <c r="K28" s="102">
        <v>2022893</v>
      </c>
      <c r="L28" s="102">
        <v>2174329</v>
      </c>
      <c r="M28" s="102">
        <v>504458</v>
      </c>
      <c r="N28" s="102">
        <v>614317</v>
      </c>
      <c r="O28" s="102">
        <v>1006208</v>
      </c>
      <c r="P28" s="102">
        <v>561112</v>
      </c>
      <c r="Q28" s="102">
        <v>445096</v>
      </c>
      <c r="R28" s="102">
        <v>200454</v>
      </c>
      <c r="S28" s="74"/>
      <c r="T28" s="73">
        <f t="shared" si="2"/>
        <v>2016003</v>
      </c>
      <c r="U28" s="102">
        <v>19629</v>
      </c>
      <c r="V28" s="102">
        <v>90476</v>
      </c>
      <c r="W28" s="102">
        <v>51968</v>
      </c>
      <c r="X28" s="102">
        <v>1779099</v>
      </c>
      <c r="Y28" s="102">
        <v>0</v>
      </c>
      <c r="Z28" s="102">
        <v>0</v>
      </c>
      <c r="AA28" s="102">
        <v>57067</v>
      </c>
      <c r="AB28" s="102">
        <v>17764</v>
      </c>
      <c r="AC28" s="102">
        <v>252878</v>
      </c>
      <c r="AD28" s="102">
        <v>8555193</v>
      </c>
      <c r="AE28" s="102">
        <v>8365212</v>
      </c>
      <c r="AF28" s="102">
        <v>189981</v>
      </c>
      <c r="AG28" s="102">
        <v>14903</v>
      </c>
      <c r="AH28" s="102">
        <v>196691</v>
      </c>
      <c r="AI28" s="73">
        <f t="shared" si="3"/>
        <v>540772</v>
      </c>
      <c r="AJ28" s="102">
        <v>486696</v>
      </c>
      <c r="AK28" s="102">
        <v>54076</v>
      </c>
      <c r="AL28" s="102">
        <v>8384693</v>
      </c>
      <c r="AM28" s="73">
        <f t="shared" si="4"/>
        <v>5642055</v>
      </c>
      <c r="AN28" s="102">
        <v>3758081</v>
      </c>
      <c r="AO28" s="102">
        <v>592554</v>
      </c>
      <c r="AP28" s="74"/>
      <c r="AQ28" s="102">
        <v>1291420</v>
      </c>
      <c r="AR28" s="102">
        <v>46037</v>
      </c>
      <c r="AS28" s="102">
        <v>10131</v>
      </c>
      <c r="AT28" s="102">
        <v>0</v>
      </c>
      <c r="AU28" s="102">
        <v>3180425</v>
      </c>
      <c r="AV28" s="102">
        <v>1969238</v>
      </c>
      <c r="AW28" s="102">
        <v>255352</v>
      </c>
      <c r="AX28" s="102">
        <v>151304</v>
      </c>
      <c r="AY28" s="102">
        <v>1211187</v>
      </c>
      <c r="AZ28" s="102">
        <v>1161</v>
      </c>
      <c r="BA28" s="102">
        <v>477310</v>
      </c>
      <c r="BB28" s="102">
        <v>461087</v>
      </c>
      <c r="BC28" s="102">
        <v>19136</v>
      </c>
      <c r="BD28" s="102">
        <v>29210</v>
      </c>
      <c r="BE28" s="102">
        <v>0</v>
      </c>
      <c r="BF28" s="102">
        <v>0</v>
      </c>
      <c r="BG28" s="102">
        <v>22104</v>
      </c>
      <c r="BH28" s="102">
        <v>0</v>
      </c>
      <c r="BI28" s="102">
        <v>63852</v>
      </c>
      <c r="BJ28" s="102">
        <v>56539</v>
      </c>
      <c r="BK28" s="102">
        <v>318811</v>
      </c>
      <c r="BL28" s="102">
        <v>1606</v>
      </c>
      <c r="BM28" s="102">
        <v>0</v>
      </c>
      <c r="BN28" s="102">
        <v>0</v>
      </c>
      <c r="BO28" s="102">
        <v>2866800</v>
      </c>
      <c r="BP28" s="73">
        <f t="shared" si="5"/>
        <v>1672000</v>
      </c>
      <c r="BQ28" s="73">
        <f t="shared" si="6"/>
        <v>1194800</v>
      </c>
      <c r="BR28" s="102">
        <v>0</v>
      </c>
      <c r="BS28" s="102">
        <v>0</v>
      </c>
      <c r="BT28" s="102">
        <v>1194800</v>
      </c>
      <c r="BU28" s="102">
        <v>0</v>
      </c>
      <c r="BV28" s="102">
        <v>39769341</v>
      </c>
      <c r="BW28" s="71"/>
      <c r="BX28" s="102">
        <v>5318982</v>
      </c>
      <c r="BY28" s="102">
        <v>3659513</v>
      </c>
      <c r="BZ28" s="102">
        <v>506822</v>
      </c>
      <c r="CA28" s="102">
        <v>80573</v>
      </c>
      <c r="CB28" s="102">
        <v>13562934</v>
      </c>
      <c r="CC28" s="102">
        <v>3143336</v>
      </c>
      <c r="CD28" s="102">
        <v>54954</v>
      </c>
      <c r="CE28" s="102">
        <v>5302817</v>
      </c>
      <c r="CF28" s="102">
        <v>4904141</v>
      </c>
      <c r="CG28" s="102">
        <v>0</v>
      </c>
      <c r="CH28" s="102">
        <v>157686</v>
      </c>
      <c r="CI28" s="102">
        <v>3488277</v>
      </c>
      <c r="CJ28" s="102">
        <v>3268430</v>
      </c>
      <c r="CK28" s="83">
        <f t="shared" si="7"/>
        <v>219847</v>
      </c>
      <c r="CL28" s="102">
        <v>4832614</v>
      </c>
      <c r="CM28" s="102">
        <v>2736636</v>
      </c>
      <c r="CN28" s="102">
        <v>781086</v>
      </c>
      <c r="CO28" s="102">
        <v>647536</v>
      </c>
      <c r="CP28" s="102">
        <v>120847</v>
      </c>
      <c r="CQ28" s="102">
        <v>4909731</v>
      </c>
      <c r="CR28" s="102">
        <v>2087883</v>
      </c>
      <c r="CS28" s="102">
        <v>632609</v>
      </c>
      <c r="CT28" s="102">
        <v>374784</v>
      </c>
      <c r="CU28" s="73">
        <f t="shared" si="8"/>
        <v>1569380</v>
      </c>
      <c r="CV28" s="102">
        <v>187674</v>
      </c>
      <c r="CW28" s="102">
        <v>1381706</v>
      </c>
      <c r="CX28" s="73">
        <f t="shared" si="9"/>
        <v>0</v>
      </c>
      <c r="CY28" s="102">
        <v>0</v>
      </c>
      <c r="CZ28" s="102">
        <v>0</v>
      </c>
      <c r="DA28" s="73">
        <f t="shared" si="10"/>
        <v>1565032</v>
      </c>
      <c r="DB28" s="102">
        <v>185206</v>
      </c>
      <c r="DC28" s="102">
        <v>1379826</v>
      </c>
      <c r="DD28" s="102">
        <v>2367770</v>
      </c>
      <c r="DE28" s="102">
        <v>643934</v>
      </c>
      <c r="DF28" s="102">
        <v>1721780</v>
      </c>
      <c r="DG28" s="102">
        <v>2056</v>
      </c>
      <c r="DH28" s="102">
        <v>0</v>
      </c>
      <c r="DI28" s="102">
        <v>34086</v>
      </c>
      <c r="DJ28" s="102">
        <v>284694</v>
      </c>
      <c r="DK28" s="102">
        <v>57059</v>
      </c>
      <c r="DL28" s="102">
        <v>204192</v>
      </c>
      <c r="DM28" s="102">
        <v>23443</v>
      </c>
      <c r="DN28" s="102">
        <v>0</v>
      </c>
      <c r="DO28" s="102">
        <v>0</v>
      </c>
      <c r="DP28" s="102">
        <v>0</v>
      </c>
      <c r="DQ28" s="102">
        <v>0</v>
      </c>
      <c r="DR28" s="102">
        <v>0</v>
      </c>
      <c r="DS28" s="102">
        <v>0</v>
      </c>
      <c r="DT28" s="102">
        <v>0</v>
      </c>
      <c r="DU28" s="102">
        <v>4489045</v>
      </c>
      <c r="DV28" s="102">
        <v>0</v>
      </c>
      <c r="DW28" s="73">
        <f t="shared" si="11"/>
        <v>0</v>
      </c>
      <c r="DX28" s="102">
        <v>0</v>
      </c>
      <c r="DY28" s="102">
        <v>1611305</v>
      </c>
      <c r="DZ28" s="102">
        <v>0</v>
      </c>
      <c r="EA28" s="102">
        <v>1244025</v>
      </c>
      <c r="EB28" s="74">
        <v>0</v>
      </c>
      <c r="EC28" s="102">
        <v>1571315</v>
      </c>
      <c r="ED28" s="102">
        <v>0</v>
      </c>
      <c r="EE28" s="102">
        <v>39408980</v>
      </c>
      <c r="EF28" s="71"/>
      <c r="EG28" s="102">
        <v>360361</v>
      </c>
      <c r="EH28" s="102">
        <v>3030</v>
      </c>
      <c r="EI28" s="102">
        <v>357331</v>
      </c>
      <c r="EJ28" s="102">
        <v>300792</v>
      </c>
      <c r="EK28" s="102">
        <v>357851</v>
      </c>
      <c r="EL28" s="71"/>
      <c r="EM28" s="102">
        <v>112683</v>
      </c>
      <c r="EN28" s="102">
        <v>111042</v>
      </c>
      <c r="EO28" s="102">
        <v>80</v>
      </c>
      <c r="EP28" s="102">
        <v>449573</v>
      </c>
      <c r="EQ28" s="73">
        <f t="shared" si="12"/>
        <v>405397</v>
      </c>
      <c r="ER28" s="102">
        <v>23691641</v>
      </c>
      <c r="ES28" s="71">
        <v>-2034947</v>
      </c>
      <c r="ET28" s="102">
        <v>4812973</v>
      </c>
      <c r="EU28" s="102">
        <v>3250995</v>
      </c>
      <c r="EV28" s="102">
        <v>4089210</v>
      </c>
      <c r="EW28" s="102">
        <v>3481911</v>
      </c>
      <c r="EX28" s="73">
        <f t="shared" si="13"/>
        <v>312599</v>
      </c>
      <c r="EY28" s="102">
        <v>301841</v>
      </c>
      <c r="EZ28" s="102">
        <v>51819</v>
      </c>
      <c r="FA28" s="102">
        <v>249866</v>
      </c>
      <c r="FB28" s="102">
        <v>10758</v>
      </c>
      <c r="FC28" s="102">
        <v>0</v>
      </c>
      <c r="FD28" s="102">
        <v>4086986</v>
      </c>
      <c r="FE28" s="102">
        <v>4648007</v>
      </c>
      <c r="FF28" s="102">
        <v>2087580</v>
      </c>
      <c r="FG28" s="102">
        <v>3566218</v>
      </c>
      <c r="FH28" s="73">
        <f t="shared" si="14"/>
        <v>368323</v>
      </c>
      <c r="FI28" s="102">
        <v>25366227</v>
      </c>
      <c r="FJ28" s="379">
        <f t="shared" si="15"/>
        <v>1.5</v>
      </c>
      <c r="FK28" s="102">
        <v>21997812</v>
      </c>
      <c r="FL28" s="102">
        <v>1194986</v>
      </c>
      <c r="FM28" s="102">
        <v>10717381</v>
      </c>
      <c r="FN28" s="102">
        <v>19107514</v>
      </c>
      <c r="FO28" s="428">
        <v>0.56699999999999995</v>
      </c>
      <c r="FP28" s="424">
        <v>98.8</v>
      </c>
      <c r="FQ28" s="425">
        <v>20.100000000000001</v>
      </c>
      <c r="FR28" s="424">
        <v>17.100000000000001</v>
      </c>
      <c r="FS28" s="424">
        <v>14.6</v>
      </c>
      <c r="FT28" s="425">
        <v>15.9</v>
      </c>
      <c r="FU28" s="424">
        <v>16.7</v>
      </c>
      <c r="FV28" s="426">
        <v>14</v>
      </c>
      <c r="FW28" s="388">
        <v>5.9</v>
      </c>
      <c r="FX28" s="102">
        <v>37272379</v>
      </c>
      <c r="FY28" s="384">
        <f t="shared" si="16"/>
        <v>160.69999999999999</v>
      </c>
      <c r="FZ28" s="102">
        <v>6014544</v>
      </c>
      <c r="GA28" s="102">
        <v>3676976</v>
      </c>
      <c r="GB28" s="102">
        <v>289721</v>
      </c>
      <c r="GC28" s="102">
        <v>2047847</v>
      </c>
      <c r="GD28" s="107">
        <v>0</v>
      </c>
      <c r="GE28" s="427"/>
      <c r="GF28" s="386"/>
      <c r="GG28" s="424">
        <v>99.3</v>
      </c>
      <c r="GH28" s="424">
        <v>41.2</v>
      </c>
      <c r="GI28" s="424">
        <v>97.8</v>
      </c>
      <c r="GJ28" s="102">
        <v>587</v>
      </c>
      <c r="GK28" s="429" t="s">
        <v>646</v>
      </c>
      <c r="GL28" s="429">
        <v>12.21</v>
      </c>
      <c r="GM28" s="117">
        <v>20</v>
      </c>
      <c r="GN28" s="429" t="s">
        <v>646</v>
      </c>
      <c r="GO28" s="430">
        <v>17.21</v>
      </c>
      <c r="GP28" s="387">
        <v>30</v>
      </c>
      <c r="GQ28" s="425">
        <v>5.9</v>
      </c>
      <c r="GR28" s="388">
        <v>25</v>
      </c>
      <c r="GS28" s="388">
        <v>35</v>
      </c>
      <c r="GT28" s="431">
        <v>12.3</v>
      </c>
      <c r="GU28" s="388">
        <v>350</v>
      </c>
      <c r="GV28" s="394"/>
      <c r="GW28" s="100">
        <f t="shared" si="17"/>
        <v>23193</v>
      </c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  <c r="HW28" s="394"/>
    </row>
    <row r="29" spans="2:231" x14ac:dyDescent="0.15">
      <c r="B29" s="89" t="s">
        <v>47</v>
      </c>
      <c r="C29" s="102">
        <v>19000049</v>
      </c>
      <c r="D29" s="73">
        <f t="shared" si="0"/>
        <v>5629056</v>
      </c>
      <c r="E29" s="102">
        <v>196539</v>
      </c>
      <c r="F29" s="102">
        <v>5432517</v>
      </c>
      <c r="G29" s="73">
        <f t="shared" si="1"/>
        <v>2421670</v>
      </c>
      <c r="H29" s="102">
        <v>465011</v>
      </c>
      <c r="I29" s="102">
        <v>1956659</v>
      </c>
      <c r="J29" s="102">
        <v>8015909</v>
      </c>
      <c r="K29" s="102">
        <v>3654071</v>
      </c>
      <c r="L29" s="102">
        <v>3226928</v>
      </c>
      <c r="M29" s="102">
        <v>1024314</v>
      </c>
      <c r="N29" s="102">
        <v>1123648</v>
      </c>
      <c r="O29" s="102">
        <v>1635311</v>
      </c>
      <c r="P29" s="102">
        <v>925186</v>
      </c>
      <c r="Q29" s="102">
        <v>710125</v>
      </c>
      <c r="R29" s="102">
        <v>180924</v>
      </c>
      <c r="S29" s="74"/>
      <c r="T29" s="73">
        <f t="shared" si="2"/>
        <v>2502625</v>
      </c>
      <c r="U29" s="102">
        <v>19997</v>
      </c>
      <c r="V29" s="102">
        <v>92370</v>
      </c>
      <c r="W29" s="102">
        <v>53262</v>
      </c>
      <c r="X29" s="102">
        <v>2269679</v>
      </c>
      <c r="Y29" s="102">
        <v>0</v>
      </c>
      <c r="Z29" s="102">
        <v>0</v>
      </c>
      <c r="AA29" s="102">
        <v>51338</v>
      </c>
      <c r="AB29" s="102">
        <v>15979</v>
      </c>
      <c r="AC29" s="102">
        <v>179177</v>
      </c>
      <c r="AD29" s="102">
        <v>6952578</v>
      </c>
      <c r="AE29" s="102">
        <v>6645826</v>
      </c>
      <c r="AF29" s="102">
        <v>306752</v>
      </c>
      <c r="AG29" s="102">
        <v>15374</v>
      </c>
      <c r="AH29" s="102">
        <v>124148</v>
      </c>
      <c r="AI29" s="73">
        <f t="shared" si="3"/>
        <v>1151927</v>
      </c>
      <c r="AJ29" s="102">
        <v>897707</v>
      </c>
      <c r="AK29" s="102">
        <v>254220</v>
      </c>
      <c r="AL29" s="102">
        <v>14892852</v>
      </c>
      <c r="AM29" s="73">
        <f t="shared" si="4"/>
        <v>10960245</v>
      </c>
      <c r="AN29" s="102">
        <v>7919965</v>
      </c>
      <c r="AO29" s="102">
        <v>1105935</v>
      </c>
      <c r="AP29" s="74"/>
      <c r="AQ29" s="102">
        <v>1934345</v>
      </c>
      <c r="AR29" s="102">
        <v>739726</v>
      </c>
      <c r="AS29" s="102">
        <v>7197</v>
      </c>
      <c r="AT29" s="102">
        <v>0</v>
      </c>
      <c r="AU29" s="102">
        <v>4100387</v>
      </c>
      <c r="AV29" s="102">
        <v>2349086</v>
      </c>
      <c r="AW29" s="102">
        <v>499280</v>
      </c>
      <c r="AX29" s="102">
        <v>87849</v>
      </c>
      <c r="AY29" s="102">
        <v>1751301</v>
      </c>
      <c r="AZ29" s="102">
        <v>281168</v>
      </c>
      <c r="BA29" s="102">
        <v>295449</v>
      </c>
      <c r="BB29" s="102">
        <v>230381</v>
      </c>
      <c r="BC29" s="102">
        <v>35914</v>
      </c>
      <c r="BD29" s="102">
        <v>728117</v>
      </c>
      <c r="BE29" s="102">
        <v>0</v>
      </c>
      <c r="BF29" s="102">
        <v>0</v>
      </c>
      <c r="BG29" s="102">
        <v>728117</v>
      </c>
      <c r="BH29" s="102">
        <v>0</v>
      </c>
      <c r="BI29" s="102">
        <v>34049</v>
      </c>
      <c r="BJ29" s="102">
        <v>1132</v>
      </c>
      <c r="BK29" s="102">
        <v>639151</v>
      </c>
      <c r="BL29" s="102">
        <v>5000</v>
      </c>
      <c r="BM29" s="102">
        <v>0</v>
      </c>
      <c r="BN29" s="102">
        <v>0</v>
      </c>
      <c r="BO29" s="102">
        <v>4855558</v>
      </c>
      <c r="BP29" s="73">
        <f t="shared" si="5"/>
        <v>3225700</v>
      </c>
      <c r="BQ29" s="73">
        <f t="shared" si="6"/>
        <v>1629858</v>
      </c>
      <c r="BR29" s="102">
        <v>0</v>
      </c>
      <c r="BS29" s="102">
        <v>0</v>
      </c>
      <c r="BT29" s="102">
        <v>1629858</v>
      </c>
      <c r="BU29" s="102">
        <v>0</v>
      </c>
      <c r="BV29" s="102">
        <v>55688279</v>
      </c>
      <c r="BW29" s="71"/>
      <c r="BX29" s="102">
        <v>6825295</v>
      </c>
      <c r="BY29" s="102">
        <v>4727383</v>
      </c>
      <c r="BZ29" s="102">
        <v>277457</v>
      </c>
      <c r="CA29" s="102">
        <v>406535</v>
      </c>
      <c r="CB29" s="102">
        <v>21035558</v>
      </c>
      <c r="CC29" s="102">
        <v>4446700</v>
      </c>
      <c r="CD29" s="102">
        <v>127979</v>
      </c>
      <c r="CE29" s="102">
        <v>5532189</v>
      </c>
      <c r="CF29" s="102">
        <v>10400943</v>
      </c>
      <c r="CG29" s="102">
        <v>16676</v>
      </c>
      <c r="CH29" s="102">
        <v>510991</v>
      </c>
      <c r="CI29" s="102">
        <v>4187610</v>
      </c>
      <c r="CJ29" s="102">
        <v>3836441</v>
      </c>
      <c r="CK29" s="83">
        <f t="shared" si="7"/>
        <v>351169</v>
      </c>
      <c r="CL29" s="102">
        <v>6006200</v>
      </c>
      <c r="CM29" s="102">
        <v>4341749</v>
      </c>
      <c r="CN29" s="102">
        <v>174105</v>
      </c>
      <c r="CO29" s="102">
        <v>783788</v>
      </c>
      <c r="CP29" s="102">
        <v>279785</v>
      </c>
      <c r="CQ29" s="102">
        <v>5487172</v>
      </c>
      <c r="CR29" s="102">
        <v>1697023</v>
      </c>
      <c r="CS29" s="102">
        <v>643371</v>
      </c>
      <c r="CT29" s="102">
        <v>449534</v>
      </c>
      <c r="CU29" s="73">
        <f t="shared" si="8"/>
        <v>1790025</v>
      </c>
      <c r="CV29" s="102">
        <v>1612204</v>
      </c>
      <c r="CW29" s="102">
        <v>177821</v>
      </c>
      <c r="CX29" s="73">
        <f t="shared" si="9"/>
        <v>0</v>
      </c>
      <c r="CY29" s="102">
        <v>0</v>
      </c>
      <c r="CZ29" s="102">
        <v>0</v>
      </c>
      <c r="DA29" s="73">
        <f t="shared" si="10"/>
        <v>1777502</v>
      </c>
      <c r="DB29" s="102">
        <v>1600941</v>
      </c>
      <c r="DC29" s="102">
        <v>176561</v>
      </c>
      <c r="DD29" s="102">
        <v>5902274</v>
      </c>
      <c r="DE29" s="102">
        <v>2778352</v>
      </c>
      <c r="DF29" s="102">
        <v>3123922</v>
      </c>
      <c r="DG29" s="102">
        <v>0</v>
      </c>
      <c r="DH29" s="102">
        <v>0</v>
      </c>
      <c r="DI29" s="102">
        <v>17886</v>
      </c>
      <c r="DJ29" s="102">
        <v>174607</v>
      </c>
      <c r="DK29" s="102">
        <v>10137</v>
      </c>
      <c r="DL29" s="102">
        <v>84</v>
      </c>
      <c r="DM29" s="102">
        <v>164386</v>
      </c>
      <c r="DN29" s="102">
        <v>0</v>
      </c>
      <c r="DO29" s="102">
        <v>0</v>
      </c>
      <c r="DP29" s="102">
        <v>0</v>
      </c>
      <c r="DQ29" s="102">
        <v>0</v>
      </c>
      <c r="DR29" s="102">
        <v>5000</v>
      </c>
      <c r="DS29" s="102">
        <v>0</v>
      </c>
      <c r="DT29" s="102">
        <v>0</v>
      </c>
      <c r="DU29" s="102">
        <v>5571988</v>
      </c>
      <c r="DV29" s="102">
        <v>0</v>
      </c>
      <c r="DW29" s="73">
        <f t="shared" si="11"/>
        <v>0</v>
      </c>
      <c r="DX29" s="102">
        <v>0</v>
      </c>
      <c r="DY29" s="102">
        <v>1784645</v>
      </c>
      <c r="DZ29" s="102">
        <v>0</v>
      </c>
      <c r="EA29" s="102">
        <v>1908185</v>
      </c>
      <c r="EB29" s="74">
        <v>0</v>
      </c>
      <c r="EC29" s="102">
        <v>1879158</v>
      </c>
      <c r="ED29" s="102">
        <v>0</v>
      </c>
      <c r="EE29" s="102">
        <v>55493375</v>
      </c>
      <c r="EF29" s="71"/>
      <c r="EG29" s="102">
        <v>194904</v>
      </c>
      <c r="EH29" s="102">
        <v>13592</v>
      </c>
      <c r="EI29" s="102">
        <v>181312</v>
      </c>
      <c r="EJ29" s="102">
        <v>180180</v>
      </c>
      <c r="EK29" s="102">
        <v>190317</v>
      </c>
      <c r="EL29" s="71"/>
      <c r="EM29" s="102">
        <v>123576</v>
      </c>
      <c r="EN29" s="102">
        <v>121575</v>
      </c>
      <c r="EO29" s="102">
        <v>0</v>
      </c>
      <c r="EP29" s="102">
        <v>294097</v>
      </c>
      <c r="EQ29" s="73">
        <f t="shared" si="12"/>
        <v>942397</v>
      </c>
      <c r="ER29" s="102">
        <v>28830727</v>
      </c>
      <c r="ES29" s="71">
        <v>-2850978</v>
      </c>
      <c r="ET29" s="102">
        <v>6352359</v>
      </c>
      <c r="EU29" s="102">
        <v>4426188</v>
      </c>
      <c r="EV29" s="102">
        <v>6134130</v>
      </c>
      <c r="EW29" s="102">
        <v>4109777</v>
      </c>
      <c r="EX29" s="73">
        <f t="shared" si="13"/>
        <v>504966</v>
      </c>
      <c r="EY29" s="102">
        <v>503903</v>
      </c>
      <c r="EZ29" s="102">
        <v>102765</v>
      </c>
      <c r="FA29" s="102">
        <v>401138</v>
      </c>
      <c r="FB29" s="102">
        <v>1063</v>
      </c>
      <c r="FC29" s="102">
        <v>0</v>
      </c>
      <c r="FD29" s="102">
        <v>4703404</v>
      </c>
      <c r="FE29" s="102">
        <v>5030998</v>
      </c>
      <c r="FF29" s="102">
        <v>1696411</v>
      </c>
      <c r="FG29" s="102">
        <v>4276335</v>
      </c>
      <c r="FH29" s="73">
        <f t="shared" si="14"/>
        <v>374832</v>
      </c>
      <c r="FI29" s="102">
        <v>31486801</v>
      </c>
      <c r="FJ29" s="379">
        <f t="shared" si="15"/>
        <v>0.7</v>
      </c>
      <c r="FK29" s="102">
        <v>25477643</v>
      </c>
      <c r="FL29" s="102">
        <v>1629858</v>
      </c>
      <c r="FM29" s="102">
        <v>14657245</v>
      </c>
      <c r="FN29" s="102">
        <v>21319099</v>
      </c>
      <c r="FO29" s="428">
        <v>0.69099999999999995</v>
      </c>
      <c r="FP29" s="424">
        <v>101.9</v>
      </c>
      <c r="FQ29" s="425">
        <v>22</v>
      </c>
      <c r="FR29" s="424">
        <v>21.2</v>
      </c>
      <c r="FS29" s="424">
        <v>14.3</v>
      </c>
      <c r="FT29" s="425">
        <v>15.1</v>
      </c>
      <c r="FU29" s="424">
        <v>15.7</v>
      </c>
      <c r="FV29" s="426">
        <v>12.9</v>
      </c>
      <c r="FW29" s="388">
        <v>4.5</v>
      </c>
      <c r="FX29" s="102">
        <v>51208784</v>
      </c>
      <c r="FY29" s="384">
        <f t="shared" si="16"/>
        <v>188.9</v>
      </c>
      <c r="FZ29" s="102">
        <v>5079893</v>
      </c>
      <c r="GA29" s="102">
        <v>1564595</v>
      </c>
      <c r="GB29" s="102">
        <v>212080</v>
      </c>
      <c r="GC29" s="102">
        <v>3303218</v>
      </c>
      <c r="GD29" s="107">
        <v>0</v>
      </c>
      <c r="GE29" s="427"/>
      <c r="GF29" s="386"/>
      <c r="GG29" s="424">
        <v>99.1</v>
      </c>
      <c r="GH29" s="424">
        <v>44</v>
      </c>
      <c r="GI29" s="424">
        <v>97.5</v>
      </c>
      <c r="GJ29" s="102">
        <v>743</v>
      </c>
      <c r="GK29" s="429" t="s">
        <v>646</v>
      </c>
      <c r="GL29" s="429">
        <v>11.95</v>
      </c>
      <c r="GM29" s="117">
        <v>20</v>
      </c>
      <c r="GN29" s="429" t="s">
        <v>646</v>
      </c>
      <c r="GO29" s="430">
        <v>16.95</v>
      </c>
      <c r="GP29" s="387">
        <v>30</v>
      </c>
      <c r="GQ29" s="425">
        <v>4.5</v>
      </c>
      <c r="GR29" s="388">
        <v>25</v>
      </c>
      <c r="GS29" s="388">
        <v>35</v>
      </c>
      <c r="GT29" s="431">
        <v>39</v>
      </c>
      <c r="GU29" s="388">
        <v>350</v>
      </c>
      <c r="GV29" s="394"/>
      <c r="GW29" s="100">
        <f t="shared" si="17"/>
        <v>27108</v>
      </c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  <c r="HW29" s="394"/>
    </row>
    <row r="30" spans="2:231" x14ac:dyDescent="0.15">
      <c r="B30" s="89" t="s">
        <v>49</v>
      </c>
      <c r="C30" s="102">
        <v>18708207</v>
      </c>
      <c r="D30" s="73">
        <f t="shared" si="0"/>
        <v>4637063</v>
      </c>
      <c r="E30" s="102">
        <v>147177</v>
      </c>
      <c r="F30" s="102">
        <v>4489886</v>
      </c>
      <c r="G30" s="73">
        <f t="shared" si="1"/>
        <v>2732903</v>
      </c>
      <c r="H30" s="102">
        <v>368257</v>
      </c>
      <c r="I30" s="102">
        <v>2364646</v>
      </c>
      <c r="J30" s="102">
        <v>8830997</v>
      </c>
      <c r="K30" s="102">
        <v>4063749</v>
      </c>
      <c r="L30" s="102">
        <v>2804028</v>
      </c>
      <c r="M30" s="102">
        <v>1902858</v>
      </c>
      <c r="N30" s="102">
        <v>731172</v>
      </c>
      <c r="O30" s="102">
        <v>1645853</v>
      </c>
      <c r="P30" s="102">
        <v>1018779</v>
      </c>
      <c r="Q30" s="102">
        <v>627074</v>
      </c>
      <c r="R30" s="102">
        <v>143535</v>
      </c>
      <c r="S30" s="74"/>
      <c r="T30" s="73">
        <f t="shared" si="2"/>
        <v>1772084</v>
      </c>
      <c r="U30" s="102">
        <v>16502</v>
      </c>
      <c r="V30" s="102">
        <v>76163</v>
      </c>
      <c r="W30" s="102">
        <v>43857</v>
      </c>
      <c r="X30" s="102">
        <v>1580019</v>
      </c>
      <c r="Y30" s="102">
        <v>1930</v>
      </c>
      <c r="Z30" s="102">
        <v>0</v>
      </c>
      <c r="AA30" s="102">
        <v>40887</v>
      </c>
      <c r="AB30" s="102">
        <v>12726</v>
      </c>
      <c r="AC30" s="102">
        <v>214197</v>
      </c>
      <c r="AD30" s="102">
        <v>439076</v>
      </c>
      <c r="AE30" s="102">
        <v>265644</v>
      </c>
      <c r="AF30" s="102">
        <v>173432</v>
      </c>
      <c r="AG30" s="102">
        <v>12561</v>
      </c>
      <c r="AH30" s="102">
        <v>522375</v>
      </c>
      <c r="AI30" s="73">
        <f t="shared" si="3"/>
        <v>508265</v>
      </c>
      <c r="AJ30" s="102">
        <v>382145</v>
      </c>
      <c r="AK30" s="102">
        <v>126120</v>
      </c>
      <c r="AL30" s="102">
        <v>6133285</v>
      </c>
      <c r="AM30" s="73">
        <f t="shared" si="4"/>
        <v>3746354</v>
      </c>
      <c r="AN30" s="102">
        <v>2069552</v>
      </c>
      <c r="AO30" s="102">
        <v>924793</v>
      </c>
      <c r="AP30" s="74"/>
      <c r="AQ30" s="102">
        <v>752009</v>
      </c>
      <c r="AR30" s="102">
        <v>283853</v>
      </c>
      <c r="AS30" s="102">
        <v>0</v>
      </c>
      <c r="AT30" s="102">
        <v>0</v>
      </c>
      <c r="AU30" s="102">
        <v>2470205</v>
      </c>
      <c r="AV30" s="102">
        <v>1815830</v>
      </c>
      <c r="AW30" s="102">
        <v>426741</v>
      </c>
      <c r="AX30" s="102">
        <v>2235</v>
      </c>
      <c r="AY30" s="102">
        <v>654375</v>
      </c>
      <c r="AZ30" s="102">
        <v>875</v>
      </c>
      <c r="BA30" s="102">
        <v>92766</v>
      </c>
      <c r="BB30" s="102">
        <v>52498</v>
      </c>
      <c r="BC30" s="102">
        <v>14224</v>
      </c>
      <c r="BD30" s="102">
        <v>82359</v>
      </c>
      <c r="BE30" s="102">
        <v>0</v>
      </c>
      <c r="BF30" s="102">
        <v>0</v>
      </c>
      <c r="BG30" s="102">
        <v>32130</v>
      </c>
      <c r="BH30" s="102">
        <v>0</v>
      </c>
      <c r="BI30" s="102">
        <v>451381</v>
      </c>
      <c r="BJ30" s="102">
        <v>405183</v>
      </c>
      <c r="BK30" s="102">
        <v>949071</v>
      </c>
      <c r="BL30" s="102">
        <v>270985</v>
      </c>
      <c r="BM30" s="102">
        <v>0</v>
      </c>
      <c r="BN30" s="102">
        <v>0</v>
      </c>
      <c r="BO30" s="102">
        <v>1150000</v>
      </c>
      <c r="BP30" s="73">
        <f t="shared" si="5"/>
        <v>1150000</v>
      </c>
      <c r="BQ30" s="73">
        <f t="shared" si="6"/>
        <v>0</v>
      </c>
      <c r="BR30" s="102">
        <v>0</v>
      </c>
      <c r="BS30" s="102">
        <v>0</v>
      </c>
      <c r="BT30" s="102">
        <v>0</v>
      </c>
      <c r="BU30" s="102">
        <v>0</v>
      </c>
      <c r="BV30" s="102">
        <v>33663591</v>
      </c>
      <c r="BW30" s="71"/>
      <c r="BX30" s="102">
        <v>5015960</v>
      </c>
      <c r="BY30" s="102">
        <v>3513762</v>
      </c>
      <c r="BZ30" s="102">
        <v>341786</v>
      </c>
      <c r="CA30" s="102">
        <v>126075</v>
      </c>
      <c r="CB30" s="102">
        <v>10770893</v>
      </c>
      <c r="CC30" s="102">
        <v>2375279</v>
      </c>
      <c r="CD30" s="102">
        <v>73301</v>
      </c>
      <c r="CE30" s="102">
        <v>5403977</v>
      </c>
      <c r="CF30" s="102">
        <v>2806835</v>
      </c>
      <c r="CG30" s="102">
        <v>4097</v>
      </c>
      <c r="CH30" s="102">
        <v>107404</v>
      </c>
      <c r="CI30" s="102">
        <v>1918142</v>
      </c>
      <c r="CJ30" s="102">
        <v>1792484</v>
      </c>
      <c r="CK30" s="83">
        <f t="shared" si="7"/>
        <v>125658</v>
      </c>
      <c r="CL30" s="102">
        <v>5612398</v>
      </c>
      <c r="CM30" s="102">
        <v>3535965</v>
      </c>
      <c r="CN30" s="102">
        <v>757146</v>
      </c>
      <c r="CO30" s="102">
        <v>867863</v>
      </c>
      <c r="CP30" s="102">
        <v>581620</v>
      </c>
      <c r="CQ30" s="102">
        <v>3552389</v>
      </c>
      <c r="CR30" s="102">
        <v>6915</v>
      </c>
      <c r="CS30" s="102">
        <v>597576</v>
      </c>
      <c r="CT30" s="102">
        <v>204032</v>
      </c>
      <c r="CU30" s="73">
        <f t="shared" si="8"/>
        <v>1825982</v>
      </c>
      <c r="CV30" s="102">
        <v>847477</v>
      </c>
      <c r="CW30" s="102">
        <v>978505</v>
      </c>
      <c r="CX30" s="73">
        <f t="shared" si="9"/>
        <v>0</v>
      </c>
      <c r="CY30" s="102">
        <v>0</v>
      </c>
      <c r="CZ30" s="102">
        <v>0</v>
      </c>
      <c r="DA30" s="73">
        <f t="shared" si="10"/>
        <v>1823337</v>
      </c>
      <c r="DB30" s="102">
        <v>847094</v>
      </c>
      <c r="DC30" s="102">
        <v>976243</v>
      </c>
      <c r="DD30" s="102">
        <v>2200433</v>
      </c>
      <c r="DE30" s="102">
        <v>717700</v>
      </c>
      <c r="DF30" s="102">
        <v>1332733</v>
      </c>
      <c r="DG30" s="102">
        <v>150000</v>
      </c>
      <c r="DH30" s="102">
        <v>0</v>
      </c>
      <c r="DI30" s="102">
        <v>13058</v>
      </c>
      <c r="DJ30" s="102">
        <v>522248</v>
      </c>
      <c r="DK30" s="102">
        <v>482963</v>
      </c>
      <c r="DL30" s="102">
        <v>3063</v>
      </c>
      <c r="DM30" s="102">
        <v>36222</v>
      </c>
      <c r="DN30" s="102">
        <v>0</v>
      </c>
      <c r="DO30" s="102">
        <v>0</v>
      </c>
      <c r="DP30" s="102">
        <v>0</v>
      </c>
      <c r="DQ30" s="102">
        <v>0</v>
      </c>
      <c r="DR30" s="102">
        <v>266095</v>
      </c>
      <c r="DS30" s="102">
        <v>0</v>
      </c>
      <c r="DT30" s="102">
        <v>0</v>
      </c>
      <c r="DU30" s="102">
        <v>2848930</v>
      </c>
      <c r="DV30" s="102">
        <v>0</v>
      </c>
      <c r="DW30" s="73">
        <f t="shared" si="11"/>
        <v>0</v>
      </c>
      <c r="DX30" s="102">
        <v>0</v>
      </c>
      <c r="DY30" s="102">
        <v>1004626</v>
      </c>
      <c r="DZ30" s="102">
        <v>24210</v>
      </c>
      <c r="EA30" s="102">
        <v>795526</v>
      </c>
      <c r="EB30" s="74">
        <v>0</v>
      </c>
      <c r="EC30" s="102">
        <v>1024567</v>
      </c>
      <c r="ED30" s="102">
        <v>0</v>
      </c>
      <c r="EE30" s="102">
        <v>33302166</v>
      </c>
      <c r="EF30" s="71"/>
      <c r="EG30" s="102">
        <v>361425</v>
      </c>
      <c r="EH30" s="102">
        <v>163592</v>
      </c>
      <c r="EI30" s="102">
        <v>197833</v>
      </c>
      <c r="EJ30" s="102">
        <v>-207350</v>
      </c>
      <c r="EK30" s="102">
        <v>275613</v>
      </c>
      <c r="EL30" s="71"/>
      <c r="EM30" s="102">
        <v>85007</v>
      </c>
      <c r="EN30" s="102">
        <v>86593</v>
      </c>
      <c r="EO30" s="102">
        <v>50229</v>
      </c>
      <c r="EP30" s="102">
        <v>86945</v>
      </c>
      <c r="EQ30" s="73">
        <f t="shared" si="12"/>
        <v>692407</v>
      </c>
      <c r="ER30" s="102">
        <v>21289660</v>
      </c>
      <c r="ES30" s="71">
        <v>-817020</v>
      </c>
      <c r="ET30" s="102">
        <v>4700025</v>
      </c>
      <c r="EU30" s="102">
        <v>3210379</v>
      </c>
      <c r="EV30" s="102">
        <v>3464473</v>
      </c>
      <c r="EW30" s="102">
        <v>1857468</v>
      </c>
      <c r="EX30" s="73">
        <f t="shared" si="13"/>
        <v>606241</v>
      </c>
      <c r="EY30" s="102">
        <v>606215</v>
      </c>
      <c r="EZ30" s="102">
        <v>25714</v>
      </c>
      <c r="FA30" s="102">
        <v>483701</v>
      </c>
      <c r="FB30" s="102">
        <v>26</v>
      </c>
      <c r="FC30" s="102">
        <v>0</v>
      </c>
      <c r="FD30" s="102">
        <v>4718003</v>
      </c>
      <c r="FE30" s="102">
        <v>3097831</v>
      </c>
      <c r="FF30" s="102">
        <v>6915</v>
      </c>
      <c r="FG30" s="102">
        <v>2210290</v>
      </c>
      <c r="FH30" s="73">
        <f t="shared" si="14"/>
        <v>1090924</v>
      </c>
      <c r="FI30" s="102">
        <v>21745255</v>
      </c>
      <c r="FJ30" s="379">
        <f t="shared" si="15"/>
        <v>1</v>
      </c>
      <c r="FK30" s="102">
        <v>18387693</v>
      </c>
      <c r="FL30" s="102">
        <v>478747</v>
      </c>
      <c r="FM30" s="102">
        <v>14009014</v>
      </c>
      <c r="FN30" s="102">
        <v>14287241</v>
      </c>
      <c r="FO30" s="428">
        <v>1.006</v>
      </c>
      <c r="FP30" s="424">
        <v>99.1</v>
      </c>
      <c r="FQ30" s="425">
        <v>23.9</v>
      </c>
      <c r="FR30" s="424">
        <v>17.7</v>
      </c>
      <c r="FS30" s="424">
        <v>9.5</v>
      </c>
      <c r="FT30" s="425">
        <v>22.4</v>
      </c>
      <c r="FU30" s="424">
        <v>11.9</v>
      </c>
      <c r="FV30" s="426">
        <v>10.8</v>
      </c>
      <c r="FW30" s="388">
        <v>0.2</v>
      </c>
      <c r="FX30" s="102">
        <v>17888069</v>
      </c>
      <c r="FY30" s="384">
        <f t="shared" si="16"/>
        <v>94.8</v>
      </c>
      <c r="FZ30" s="102">
        <v>13280849</v>
      </c>
      <c r="GA30" s="102">
        <v>5149785</v>
      </c>
      <c r="GB30" s="102">
        <v>3061697</v>
      </c>
      <c r="GC30" s="102">
        <v>5069367</v>
      </c>
      <c r="GD30" s="107">
        <v>0</v>
      </c>
      <c r="GE30" s="427">
        <v>0</v>
      </c>
      <c r="GF30" s="384">
        <f>ROUND(GE30/(FK30+FL30)*100,1)</f>
        <v>0</v>
      </c>
      <c r="GG30" s="424">
        <v>99.2</v>
      </c>
      <c r="GH30" s="424">
        <v>39.200000000000003</v>
      </c>
      <c r="GI30" s="424">
        <v>98</v>
      </c>
      <c r="GJ30" s="102">
        <v>545</v>
      </c>
      <c r="GK30" s="429" t="s">
        <v>646</v>
      </c>
      <c r="GL30" s="429">
        <v>12.55</v>
      </c>
      <c r="GM30" s="117">
        <v>20</v>
      </c>
      <c r="GN30" s="429" t="s">
        <v>646</v>
      </c>
      <c r="GO30" s="430">
        <v>17.55</v>
      </c>
      <c r="GP30" s="387">
        <v>30</v>
      </c>
      <c r="GQ30" s="425">
        <v>0.2</v>
      </c>
      <c r="GR30" s="388">
        <v>25</v>
      </c>
      <c r="GS30" s="388">
        <v>35</v>
      </c>
      <c r="GT30" s="431" t="s">
        <v>646</v>
      </c>
      <c r="GU30" s="388">
        <v>350</v>
      </c>
      <c r="GV30" s="394"/>
      <c r="GW30" s="100">
        <f t="shared" si="17"/>
        <v>18866</v>
      </c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  <c r="HW30" s="394"/>
    </row>
    <row r="31" spans="2:231" x14ac:dyDescent="0.15">
      <c r="B31" s="89" t="s">
        <v>51</v>
      </c>
      <c r="C31" s="102">
        <v>10295243</v>
      </c>
      <c r="D31" s="73">
        <f t="shared" si="0"/>
        <v>3250651</v>
      </c>
      <c r="E31" s="102">
        <v>94172</v>
      </c>
      <c r="F31" s="102">
        <v>3156479</v>
      </c>
      <c r="G31" s="73">
        <f t="shared" si="1"/>
        <v>613080</v>
      </c>
      <c r="H31" s="102">
        <v>162411</v>
      </c>
      <c r="I31" s="102">
        <v>450669</v>
      </c>
      <c r="J31" s="102">
        <v>5127589</v>
      </c>
      <c r="K31" s="102">
        <v>2259159</v>
      </c>
      <c r="L31" s="102">
        <v>1413315</v>
      </c>
      <c r="M31" s="102">
        <v>1399054</v>
      </c>
      <c r="N31" s="102">
        <v>321736</v>
      </c>
      <c r="O31" s="102">
        <v>903917</v>
      </c>
      <c r="P31" s="102">
        <v>585286</v>
      </c>
      <c r="Q31" s="102">
        <v>318631</v>
      </c>
      <c r="R31" s="102">
        <v>146776</v>
      </c>
      <c r="S31" s="74"/>
      <c r="T31" s="73">
        <f t="shared" si="2"/>
        <v>1038190</v>
      </c>
      <c r="U31" s="102">
        <v>11788</v>
      </c>
      <c r="V31" s="102">
        <v>54318</v>
      </c>
      <c r="W31" s="102">
        <v>31178</v>
      </c>
      <c r="X31" s="102">
        <v>906788</v>
      </c>
      <c r="Y31" s="102">
        <v>0</v>
      </c>
      <c r="Z31" s="102">
        <v>0</v>
      </c>
      <c r="AA31" s="102">
        <v>26019</v>
      </c>
      <c r="AB31" s="102">
        <v>8099</v>
      </c>
      <c r="AC31" s="102">
        <v>127103</v>
      </c>
      <c r="AD31" s="102">
        <v>1793743</v>
      </c>
      <c r="AE31" s="102">
        <v>1713842</v>
      </c>
      <c r="AF31" s="102">
        <v>79901</v>
      </c>
      <c r="AG31" s="102">
        <v>7558</v>
      </c>
      <c r="AH31" s="102">
        <v>1969</v>
      </c>
      <c r="AI31" s="73">
        <f t="shared" si="3"/>
        <v>289587</v>
      </c>
      <c r="AJ31" s="102">
        <v>226339</v>
      </c>
      <c r="AK31" s="102">
        <v>63248</v>
      </c>
      <c r="AL31" s="102">
        <v>4858774</v>
      </c>
      <c r="AM31" s="73">
        <f t="shared" si="4"/>
        <v>2498211</v>
      </c>
      <c r="AN31" s="102">
        <v>1394830</v>
      </c>
      <c r="AO31" s="102">
        <v>641631</v>
      </c>
      <c r="AP31" s="74"/>
      <c r="AQ31" s="102">
        <v>461750</v>
      </c>
      <c r="AR31" s="102">
        <v>242629</v>
      </c>
      <c r="AS31" s="102">
        <v>34026</v>
      </c>
      <c r="AT31" s="102">
        <v>0</v>
      </c>
      <c r="AU31" s="102">
        <v>1988842</v>
      </c>
      <c r="AV31" s="102">
        <v>1500399</v>
      </c>
      <c r="AW31" s="102">
        <v>286239</v>
      </c>
      <c r="AX31" s="102">
        <v>14038</v>
      </c>
      <c r="AY31" s="102">
        <v>488443</v>
      </c>
      <c r="AZ31" s="102">
        <v>1619</v>
      </c>
      <c r="BA31" s="102">
        <v>93295</v>
      </c>
      <c r="BB31" s="102">
        <v>9545</v>
      </c>
      <c r="BC31" s="102">
        <v>12155</v>
      </c>
      <c r="BD31" s="102">
        <v>1220588</v>
      </c>
      <c r="BE31" s="102">
        <v>928145</v>
      </c>
      <c r="BF31" s="102">
        <v>0</v>
      </c>
      <c r="BG31" s="102">
        <v>275916</v>
      </c>
      <c r="BH31" s="102">
        <v>0</v>
      </c>
      <c r="BI31" s="102">
        <v>281812</v>
      </c>
      <c r="BJ31" s="102">
        <v>135208</v>
      </c>
      <c r="BK31" s="102">
        <v>758234</v>
      </c>
      <c r="BL31" s="102">
        <v>385978</v>
      </c>
      <c r="BM31" s="102">
        <v>0</v>
      </c>
      <c r="BN31" s="102">
        <v>0</v>
      </c>
      <c r="BO31" s="102">
        <v>2624700</v>
      </c>
      <c r="BP31" s="73">
        <f t="shared" si="5"/>
        <v>1652900</v>
      </c>
      <c r="BQ31" s="73">
        <f t="shared" si="6"/>
        <v>971800</v>
      </c>
      <c r="BR31" s="102">
        <v>0</v>
      </c>
      <c r="BS31" s="102">
        <v>0</v>
      </c>
      <c r="BT31" s="102">
        <v>971800</v>
      </c>
      <c r="BU31" s="102">
        <v>0</v>
      </c>
      <c r="BV31" s="102">
        <v>25538569</v>
      </c>
      <c r="BW31" s="71"/>
      <c r="BX31" s="102">
        <v>2995216</v>
      </c>
      <c r="BY31" s="102">
        <v>1911471</v>
      </c>
      <c r="BZ31" s="102">
        <v>172968</v>
      </c>
      <c r="CA31" s="102">
        <v>206614</v>
      </c>
      <c r="CB31" s="102">
        <v>6538336</v>
      </c>
      <c r="CC31" s="102">
        <v>1667077</v>
      </c>
      <c r="CD31" s="102">
        <v>19455</v>
      </c>
      <c r="CE31" s="102">
        <v>3006011</v>
      </c>
      <c r="CF31" s="102">
        <v>1775940</v>
      </c>
      <c r="CG31" s="102">
        <v>106</v>
      </c>
      <c r="CH31" s="102">
        <v>69747</v>
      </c>
      <c r="CI31" s="102">
        <v>3816582</v>
      </c>
      <c r="CJ31" s="102">
        <v>3492630</v>
      </c>
      <c r="CK31" s="83">
        <f t="shared" si="7"/>
        <v>323952</v>
      </c>
      <c r="CL31" s="102">
        <v>2852360</v>
      </c>
      <c r="CM31" s="102">
        <v>1936661</v>
      </c>
      <c r="CN31" s="102">
        <v>236222</v>
      </c>
      <c r="CO31" s="102">
        <v>338712</v>
      </c>
      <c r="CP31" s="102">
        <v>112955</v>
      </c>
      <c r="CQ31" s="102">
        <v>2042723</v>
      </c>
      <c r="CR31" s="102">
        <v>254487</v>
      </c>
      <c r="CS31" s="102">
        <v>43424</v>
      </c>
      <c r="CT31" s="102">
        <v>33091</v>
      </c>
      <c r="CU31" s="73">
        <f t="shared" si="8"/>
        <v>6882</v>
      </c>
      <c r="CV31" s="102">
        <v>6882</v>
      </c>
      <c r="CW31" s="102">
        <v>0</v>
      </c>
      <c r="CX31" s="73">
        <f t="shared" si="9"/>
        <v>0</v>
      </c>
      <c r="CY31" s="102">
        <v>0</v>
      </c>
      <c r="CZ31" s="102">
        <v>0</v>
      </c>
      <c r="DA31" s="73">
        <f t="shared" si="10"/>
        <v>0</v>
      </c>
      <c r="DB31" s="102">
        <v>0</v>
      </c>
      <c r="DC31" s="102">
        <v>0</v>
      </c>
      <c r="DD31" s="102">
        <v>3652598</v>
      </c>
      <c r="DE31" s="102">
        <v>1990729</v>
      </c>
      <c r="DF31" s="102">
        <v>956347</v>
      </c>
      <c r="DG31" s="102">
        <v>558000</v>
      </c>
      <c r="DH31" s="102">
        <v>147522</v>
      </c>
      <c r="DI31" s="102">
        <v>29199</v>
      </c>
      <c r="DJ31" s="102">
        <v>126206</v>
      </c>
      <c r="DK31" s="102">
        <v>81242</v>
      </c>
      <c r="DL31" s="102">
        <v>0</v>
      </c>
      <c r="DM31" s="102">
        <v>44964</v>
      </c>
      <c r="DN31" s="102">
        <v>0</v>
      </c>
      <c r="DO31" s="102">
        <v>0</v>
      </c>
      <c r="DP31" s="102">
        <v>0</v>
      </c>
      <c r="DQ31" s="102">
        <v>0</v>
      </c>
      <c r="DR31" s="102">
        <v>7395</v>
      </c>
      <c r="DS31" s="102">
        <v>0</v>
      </c>
      <c r="DT31" s="102">
        <v>0</v>
      </c>
      <c r="DU31" s="102">
        <v>3243481</v>
      </c>
      <c r="DV31" s="102">
        <v>1030000</v>
      </c>
      <c r="DW31" s="73">
        <f t="shared" si="11"/>
        <v>0</v>
      </c>
      <c r="DX31" s="102">
        <v>0</v>
      </c>
      <c r="DY31" s="102">
        <v>844306</v>
      </c>
      <c r="DZ31" s="102">
        <v>0</v>
      </c>
      <c r="EA31" s="102">
        <v>645274</v>
      </c>
      <c r="EB31" s="74">
        <v>0</v>
      </c>
      <c r="EC31" s="102">
        <v>722201</v>
      </c>
      <c r="ED31" s="102">
        <v>0</v>
      </c>
      <c r="EE31" s="102">
        <v>25417051</v>
      </c>
      <c r="EF31" s="71"/>
      <c r="EG31" s="102">
        <v>121518</v>
      </c>
      <c r="EH31" s="102">
        <v>42546</v>
      </c>
      <c r="EI31" s="102">
        <v>78972</v>
      </c>
      <c r="EJ31" s="102">
        <v>-56236</v>
      </c>
      <c r="EK31" s="102">
        <v>-260979</v>
      </c>
      <c r="EL31" s="71"/>
      <c r="EM31" s="102">
        <v>56529</v>
      </c>
      <c r="EN31" s="102">
        <v>57805</v>
      </c>
      <c r="EO31" s="102">
        <v>1069253</v>
      </c>
      <c r="EP31" s="102">
        <v>82160</v>
      </c>
      <c r="EQ31" s="73">
        <f t="shared" si="12"/>
        <v>373250</v>
      </c>
      <c r="ER31" s="102">
        <v>13408613</v>
      </c>
      <c r="ES31" s="71">
        <v>-2488905</v>
      </c>
      <c r="ET31" s="102">
        <v>2680392</v>
      </c>
      <c r="EU31" s="102">
        <v>1673179</v>
      </c>
      <c r="EV31" s="102">
        <v>1940855</v>
      </c>
      <c r="EW31" s="102">
        <v>3422779</v>
      </c>
      <c r="EX31" s="73">
        <f t="shared" si="13"/>
        <v>809467</v>
      </c>
      <c r="EY31" s="102">
        <v>809467</v>
      </c>
      <c r="EZ31" s="102">
        <v>104635</v>
      </c>
      <c r="FA31" s="102">
        <v>621282</v>
      </c>
      <c r="FB31" s="102">
        <v>0</v>
      </c>
      <c r="FC31" s="102">
        <v>0</v>
      </c>
      <c r="FD31" s="102">
        <v>2263667</v>
      </c>
      <c r="FE31" s="102">
        <v>1737151</v>
      </c>
      <c r="FF31" s="102">
        <v>240843</v>
      </c>
      <c r="FG31" s="102">
        <v>2766898</v>
      </c>
      <c r="FH31" s="73">
        <f t="shared" si="14"/>
        <v>154791</v>
      </c>
      <c r="FI31" s="102">
        <v>15776000</v>
      </c>
      <c r="FJ31" s="379">
        <f t="shared" si="15"/>
        <v>0.6</v>
      </c>
      <c r="FK31" s="102">
        <v>12446396</v>
      </c>
      <c r="FL31" s="102">
        <v>971980</v>
      </c>
      <c r="FM31" s="102">
        <v>8292374</v>
      </c>
      <c r="FN31" s="102">
        <v>10010559</v>
      </c>
      <c r="FO31" s="428">
        <v>0.84099999999999997</v>
      </c>
      <c r="FP31" s="424">
        <v>98.9</v>
      </c>
      <c r="FQ31" s="425">
        <v>18.899999999999999</v>
      </c>
      <c r="FR31" s="424">
        <v>14.1</v>
      </c>
      <c r="FS31" s="424">
        <v>23.2</v>
      </c>
      <c r="FT31" s="425">
        <v>14.3</v>
      </c>
      <c r="FU31" s="424">
        <v>9</v>
      </c>
      <c r="FV31" s="426">
        <v>18.7</v>
      </c>
      <c r="FW31" s="388">
        <v>14.5</v>
      </c>
      <c r="FX31" s="102">
        <v>35959296</v>
      </c>
      <c r="FY31" s="384">
        <f t="shared" si="16"/>
        <v>268</v>
      </c>
      <c r="FZ31" s="102">
        <v>4266499</v>
      </c>
      <c r="GA31" s="102">
        <v>2105353</v>
      </c>
      <c r="GB31" s="102">
        <v>0</v>
      </c>
      <c r="GC31" s="102">
        <v>2161146</v>
      </c>
      <c r="GD31" s="107">
        <v>0</v>
      </c>
      <c r="GE31" s="427">
        <v>1503</v>
      </c>
      <c r="GF31" s="386">
        <f>IF(GE31=0,"-",ROUND(GE31/(GW31)*100,1))</f>
        <v>11.2</v>
      </c>
      <c r="GG31" s="424">
        <v>99.2</v>
      </c>
      <c r="GH31" s="424">
        <v>27.6</v>
      </c>
      <c r="GI31" s="424">
        <v>97.2</v>
      </c>
      <c r="GJ31" s="102">
        <v>310</v>
      </c>
      <c r="GK31" s="429" t="s">
        <v>646</v>
      </c>
      <c r="GL31" s="429">
        <v>12.91</v>
      </c>
      <c r="GM31" s="117">
        <v>20</v>
      </c>
      <c r="GN31" s="429" t="s">
        <v>646</v>
      </c>
      <c r="GO31" s="430">
        <v>17.91</v>
      </c>
      <c r="GP31" s="387">
        <v>30</v>
      </c>
      <c r="GQ31" s="425">
        <v>14.5</v>
      </c>
      <c r="GR31" s="388">
        <v>25</v>
      </c>
      <c r="GS31" s="388">
        <v>35</v>
      </c>
      <c r="GT31" s="431">
        <v>135.6</v>
      </c>
      <c r="GU31" s="388">
        <v>350</v>
      </c>
      <c r="GV31" s="394"/>
      <c r="GW31" s="100">
        <f t="shared" si="17"/>
        <v>13418</v>
      </c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  <c r="HW31" s="394"/>
    </row>
    <row r="32" spans="2:231" x14ac:dyDescent="0.15">
      <c r="B32" s="89" t="s">
        <v>53</v>
      </c>
      <c r="C32" s="102">
        <v>8411568</v>
      </c>
      <c r="D32" s="73">
        <f t="shared" si="0"/>
        <v>3522210</v>
      </c>
      <c r="E32" s="102">
        <v>104110</v>
      </c>
      <c r="F32" s="102">
        <v>3418100</v>
      </c>
      <c r="G32" s="73">
        <f t="shared" si="1"/>
        <v>520859</v>
      </c>
      <c r="H32" s="102">
        <v>140000</v>
      </c>
      <c r="I32" s="102">
        <v>380859</v>
      </c>
      <c r="J32" s="102">
        <v>3159988</v>
      </c>
      <c r="K32" s="102">
        <v>1269988</v>
      </c>
      <c r="L32" s="102">
        <v>1535233</v>
      </c>
      <c r="M32" s="102">
        <v>322729</v>
      </c>
      <c r="N32" s="102">
        <v>386546</v>
      </c>
      <c r="O32" s="102">
        <v>723187</v>
      </c>
      <c r="P32" s="102">
        <v>385223</v>
      </c>
      <c r="Q32" s="102">
        <v>337964</v>
      </c>
      <c r="R32" s="102">
        <v>106231</v>
      </c>
      <c r="S32" s="74"/>
      <c r="T32" s="73">
        <f t="shared" si="2"/>
        <v>1186883</v>
      </c>
      <c r="U32" s="102">
        <v>12667</v>
      </c>
      <c r="V32" s="102">
        <v>58531</v>
      </c>
      <c r="W32" s="102">
        <v>33769</v>
      </c>
      <c r="X32" s="102">
        <v>1042330</v>
      </c>
      <c r="Y32" s="102">
        <v>0</v>
      </c>
      <c r="Z32" s="102">
        <v>0</v>
      </c>
      <c r="AA32" s="102">
        <v>30190</v>
      </c>
      <c r="AB32" s="102">
        <v>9396</v>
      </c>
      <c r="AC32" s="102">
        <v>179956</v>
      </c>
      <c r="AD32" s="102">
        <v>4342623</v>
      </c>
      <c r="AE32" s="102">
        <v>4174269</v>
      </c>
      <c r="AF32" s="102">
        <v>168354</v>
      </c>
      <c r="AG32" s="102">
        <v>8727</v>
      </c>
      <c r="AH32" s="102">
        <v>105918</v>
      </c>
      <c r="AI32" s="73">
        <f t="shared" si="3"/>
        <v>397703</v>
      </c>
      <c r="AJ32" s="102">
        <v>354290</v>
      </c>
      <c r="AK32" s="102">
        <v>43413</v>
      </c>
      <c r="AL32" s="102">
        <v>4675492</v>
      </c>
      <c r="AM32" s="73">
        <f t="shared" si="4"/>
        <v>2879220</v>
      </c>
      <c r="AN32" s="102">
        <v>1818298</v>
      </c>
      <c r="AO32" s="102">
        <v>356243</v>
      </c>
      <c r="AP32" s="74"/>
      <c r="AQ32" s="102">
        <v>704679</v>
      </c>
      <c r="AR32" s="102">
        <v>266275</v>
      </c>
      <c r="AS32" s="102">
        <v>0</v>
      </c>
      <c r="AT32" s="102">
        <v>0</v>
      </c>
      <c r="AU32" s="102">
        <v>1888017</v>
      </c>
      <c r="AV32" s="102">
        <v>1136507</v>
      </c>
      <c r="AW32" s="102">
        <v>228423</v>
      </c>
      <c r="AX32" s="102">
        <v>190672</v>
      </c>
      <c r="AY32" s="102">
        <v>751510</v>
      </c>
      <c r="AZ32" s="102">
        <v>0</v>
      </c>
      <c r="BA32" s="102">
        <v>14960</v>
      </c>
      <c r="BB32" s="102">
        <v>556</v>
      </c>
      <c r="BC32" s="102">
        <v>42523</v>
      </c>
      <c r="BD32" s="102">
        <v>332403</v>
      </c>
      <c r="BE32" s="102">
        <v>250000</v>
      </c>
      <c r="BF32" s="102">
        <v>0</v>
      </c>
      <c r="BG32" s="102">
        <v>82403</v>
      </c>
      <c r="BH32" s="102">
        <v>0</v>
      </c>
      <c r="BI32" s="102">
        <v>145495</v>
      </c>
      <c r="BJ32" s="102">
        <v>105426</v>
      </c>
      <c r="BK32" s="102">
        <v>189637</v>
      </c>
      <c r="BL32" s="102">
        <v>0</v>
      </c>
      <c r="BM32" s="102">
        <v>0</v>
      </c>
      <c r="BN32" s="102">
        <v>0</v>
      </c>
      <c r="BO32" s="102">
        <v>1955500</v>
      </c>
      <c r="BP32" s="73">
        <f t="shared" si="5"/>
        <v>1204500</v>
      </c>
      <c r="BQ32" s="73">
        <f t="shared" si="6"/>
        <v>751000</v>
      </c>
      <c r="BR32" s="102">
        <v>0</v>
      </c>
      <c r="BS32" s="102">
        <v>0</v>
      </c>
      <c r="BT32" s="102">
        <v>751000</v>
      </c>
      <c r="BU32" s="102">
        <v>0</v>
      </c>
      <c r="BV32" s="102">
        <v>23983636</v>
      </c>
      <c r="BW32" s="71"/>
      <c r="BX32" s="102">
        <v>4123937</v>
      </c>
      <c r="BY32" s="102">
        <v>2708050</v>
      </c>
      <c r="BZ32" s="102">
        <v>299078</v>
      </c>
      <c r="CA32" s="102">
        <v>313308</v>
      </c>
      <c r="CB32" s="102">
        <v>6851918</v>
      </c>
      <c r="CC32" s="102">
        <v>1743767</v>
      </c>
      <c r="CD32" s="102">
        <v>19689</v>
      </c>
      <c r="CE32" s="102">
        <v>2886555</v>
      </c>
      <c r="CF32" s="102">
        <v>2135073</v>
      </c>
      <c r="CG32" s="102">
        <v>4609</v>
      </c>
      <c r="CH32" s="102">
        <v>62175</v>
      </c>
      <c r="CI32" s="102">
        <v>1366059</v>
      </c>
      <c r="CJ32" s="102">
        <v>1249203</v>
      </c>
      <c r="CK32" s="83">
        <f t="shared" si="7"/>
        <v>116856</v>
      </c>
      <c r="CL32" s="102">
        <v>2769922</v>
      </c>
      <c r="CM32" s="102">
        <v>1592756</v>
      </c>
      <c r="CN32" s="102">
        <v>353078</v>
      </c>
      <c r="CO32" s="102">
        <v>270260</v>
      </c>
      <c r="CP32" s="102">
        <v>136548</v>
      </c>
      <c r="CQ32" s="102">
        <v>4113258</v>
      </c>
      <c r="CR32" s="102">
        <v>1717632</v>
      </c>
      <c r="CS32" s="102">
        <v>308870</v>
      </c>
      <c r="CT32" s="102">
        <v>256236</v>
      </c>
      <c r="CU32" s="73">
        <f t="shared" si="8"/>
        <v>1414067</v>
      </c>
      <c r="CV32" s="102">
        <v>349719</v>
      </c>
      <c r="CW32" s="102">
        <v>1064348</v>
      </c>
      <c r="CX32" s="73">
        <f t="shared" si="9"/>
        <v>142763</v>
      </c>
      <c r="CY32" s="102">
        <v>52772</v>
      </c>
      <c r="CZ32" s="102">
        <v>89991</v>
      </c>
      <c r="DA32" s="73">
        <f t="shared" si="10"/>
        <v>1264121</v>
      </c>
      <c r="DB32" s="102">
        <v>290904</v>
      </c>
      <c r="DC32" s="102">
        <v>973217</v>
      </c>
      <c r="DD32" s="102">
        <v>1837812</v>
      </c>
      <c r="DE32" s="102">
        <v>893337</v>
      </c>
      <c r="DF32" s="102">
        <v>944475</v>
      </c>
      <c r="DG32" s="102">
        <v>0</v>
      </c>
      <c r="DH32" s="102">
        <v>0</v>
      </c>
      <c r="DI32" s="102">
        <v>0</v>
      </c>
      <c r="DJ32" s="102">
        <v>60713</v>
      </c>
      <c r="DK32" s="102">
        <v>792</v>
      </c>
      <c r="DL32" s="102">
        <v>2</v>
      </c>
      <c r="DM32" s="102">
        <v>59919</v>
      </c>
      <c r="DN32" s="102">
        <v>31700</v>
      </c>
      <c r="DO32" s="102">
        <v>31700</v>
      </c>
      <c r="DP32" s="102">
        <v>31700</v>
      </c>
      <c r="DQ32" s="102">
        <v>0</v>
      </c>
      <c r="DR32" s="102">
        <v>0</v>
      </c>
      <c r="DS32" s="102">
        <v>0</v>
      </c>
      <c r="DT32" s="102">
        <v>0</v>
      </c>
      <c r="DU32" s="102">
        <v>2637303</v>
      </c>
      <c r="DV32" s="102">
        <v>0</v>
      </c>
      <c r="DW32" s="73">
        <f t="shared" si="11"/>
        <v>0</v>
      </c>
      <c r="DX32" s="102">
        <v>0</v>
      </c>
      <c r="DY32" s="102">
        <v>875609</v>
      </c>
      <c r="DZ32" s="102">
        <v>0</v>
      </c>
      <c r="EA32" s="102">
        <v>831416</v>
      </c>
      <c r="EB32" s="74">
        <v>0</v>
      </c>
      <c r="EC32" s="102">
        <v>930277</v>
      </c>
      <c r="ED32" s="102">
        <v>0</v>
      </c>
      <c r="EE32" s="102">
        <v>23929170</v>
      </c>
      <c r="EF32" s="71"/>
      <c r="EG32" s="102">
        <v>54466</v>
      </c>
      <c r="EH32" s="102">
        <v>37495</v>
      </c>
      <c r="EI32" s="102">
        <v>16971</v>
      </c>
      <c r="EJ32" s="102">
        <v>-288455</v>
      </c>
      <c r="EK32" s="102">
        <v>-527597</v>
      </c>
      <c r="EL32" s="71"/>
      <c r="EM32" s="102">
        <v>65438</v>
      </c>
      <c r="EN32" s="102">
        <v>64509</v>
      </c>
      <c r="EO32" s="102">
        <v>250000</v>
      </c>
      <c r="EP32" s="102">
        <v>14958</v>
      </c>
      <c r="EQ32" s="73">
        <f t="shared" si="12"/>
        <v>565017</v>
      </c>
      <c r="ER32" s="102">
        <v>14235988</v>
      </c>
      <c r="ES32" s="71">
        <v>-1572248</v>
      </c>
      <c r="ET32" s="102">
        <v>3781677</v>
      </c>
      <c r="EU32" s="102">
        <v>2463186</v>
      </c>
      <c r="EV32" s="102">
        <v>2168792</v>
      </c>
      <c r="EW32" s="102">
        <v>1337638</v>
      </c>
      <c r="EX32" s="73">
        <f t="shared" si="13"/>
        <v>65286</v>
      </c>
      <c r="EY32" s="102">
        <v>65286</v>
      </c>
      <c r="EZ32" s="102">
        <v>30813</v>
      </c>
      <c r="FA32" s="102">
        <v>34473</v>
      </c>
      <c r="FB32" s="102">
        <v>0</v>
      </c>
      <c r="FC32" s="102">
        <v>0</v>
      </c>
      <c r="FD32" s="102">
        <v>2224728</v>
      </c>
      <c r="FE32" s="102">
        <v>3942203</v>
      </c>
      <c r="FF32" s="102">
        <v>1717323</v>
      </c>
      <c r="FG32" s="102">
        <v>2090856</v>
      </c>
      <c r="FH32" s="73">
        <f t="shared" si="14"/>
        <v>142590</v>
      </c>
      <c r="FI32" s="102">
        <v>15753770</v>
      </c>
      <c r="FJ32" s="379">
        <f t="shared" si="15"/>
        <v>0.1</v>
      </c>
      <c r="FK32" s="102">
        <v>12992511</v>
      </c>
      <c r="FL32" s="102">
        <v>751083</v>
      </c>
      <c r="FM32" s="102">
        <v>6859496</v>
      </c>
      <c r="FN32" s="102">
        <v>11039547</v>
      </c>
      <c r="FO32" s="428">
        <v>0.61799999999999999</v>
      </c>
      <c r="FP32" s="424">
        <v>100.2</v>
      </c>
      <c r="FQ32" s="425">
        <v>26.6</v>
      </c>
      <c r="FR32" s="424">
        <v>15.2</v>
      </c>
      <c r="FS32" s="424">
        <v>9.4</v>
      </c>
      <c r="FT32" s="425">
        <v>13.7</v>
      </c>
      <c r="FU32" s="424">
        <v>21</v>
      </c>
      <c r="FV32" s="426">
        <v>13.5</v>
      </c>
      <c r="FW32" s="388">
        <v>1.5</v>
      </c>
      <c r="FX32" s="102">
        <v>19392709</v>
      </c>
      <c r="FY32" s="384">
        <f t="shared" si="16"/>
        <v>141.1</v>
      </c>
      <c r="FZ32" s="102">
        <v>1995752</v>
      </c>
      <c r="GA32" s="102">
        <v>1493341</v>
      </c>
      <c r="GB32" s="102">
        <v>171852</v>
      </c>
      <c r="GC32" s="102">
        <v>330559</v>
      </c>
      <c r="GD32" s="107">
        <v>0</v>
      </c>
      <c r="GE32" s="427"/>
      <c r="GF32" s="386"/>
      <c r="GG32" s="424">
        <v>99.2</v>
      </c>
      <c r="GH32" s="424">
        <v>54</v>
      </c>
      <c r="GI32" s="424">
        <v>98</v>
      </c>
      <c r="GJ32" s="102">
        <v>461</v>
      </c>
      <c r="GK32" s="429" t="s">
        <v>646</v>
      </c>
      <c r="GL32" s="429">
        <v>12.88</v>
      </c>
      <c r="GM32" s="117">
        <v>20</v>
      </c>
      <c r="GN32" s="429" t="s">
        <v>646</v>
      </c>
      <c r="GO32" s="430">
        <v>17.88</v>
      </c>
      <c r="GP32" s="387">
        <v>30</v>
      </c>
      <c r="GQ32" s="425">
        <v>1.5</v>
      </c>
      <c r="GR32" s="388">
        <v>25</v>
      </c>
      <c r="GS32" s="388">
        <v>35</v>
      </c>
      <c r="GT32" s="431">
        <v>75.8</v>
      </c>
      <c r="GU32" s="388">
        <v>350</v>
      </c>
      <c r="GV32" s="394"/>
      <c r="GW32" s="100">
        <f t="shared" si="17"/>
        <v>13744</v>
      </c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  <c r="HW32" s="394"/>
    </row>
    <row r="33" spans="1:231" x14ac:dyDescent="0.15">
      <c r="B33" s="89" t="s">
        <v>55</v>
      </c>
      <c r="C33" s="102">
        <v>79651128</v>
      </c>
      <c r="D33" s="73">
        <f t="shared" si="0"/>
        <v>26298770</v>
      </c>
      <c r="E33" s="102">
        <v>781566</v>
      </c>
      <c r="F33" s="102">
        <v>25517204</v>
      </c>
      <c r="G33" s="73">
        <f t="shared" si="1"/>
        <v>6847668</v>
      </c>
      <c r="H33" s="102">
        <v>1554536</v>
      </c>
      <c r="I33" s="102">
        <v>5293132</v>
      </c>
      <c r="J33" s="102">
        <v>32029274</v>
      </c>
      <c r="K33" s="102">
        <v>15179712</v>
      </c>
      <c r="L33" s="102">
        <v>13007270</v>
      </c>
      <c r="M33" s="102">
        <v>3507153</v>
      </c>
      <c r="N33" s="102">
        <v>4481486</v>
      </c>
      <c r="O33" s="102">
        <v>6875846</v>
      </c>
      <c r="P33" s="102">
        <v>4010435</v>
      </c>
      <c r="Q33" s="102">
        <v>2865411</v>
      </c>
      <c r="R33" s="102">
        <v>769847</v>
      </c>
      <c r="S33" s="74"/>
      <c r="T33" s="73">
        <f t="shared" si="2"/>
        <v>9704275</v>
      </c>
      <c r="U33" s="102">
        <v>89348</v>
      </c>
      <c r="V33" s="102">
        <v>412416</v>
      </c>
      <c r="W33" s="102">
        <v>237519</v>
      </c>
      <c r="X33" s="102">
        <v>8678567</v>
      </c>
      <c r="Y33" s="102">
        <v>0</v>
      </c>
      <c r="Z33" s="102">
        <v>0</v>
      </c>
      <c r="AA33" s="102">
        <v>218429</v>
      </c>
      <c r="AB33" s="102">
        <v>67996</v>
      </c>
      <c r="AC33" s="102">
        <v>943700</v>
      </c>
      <c r="AD33" s="102">
        <v>20170254</v>
      </c>
      <c r="AE33" s="102">
        <v>19492453</v>
      </c>
      <c r="AF33" s="102">
        <v>677801</v>
      </c>
      <c r="AG33" s="102">
        <v>64577</v>
      </c>
      <c r="AH33" s="102">
        <v>2039418</v>
      </c>
      <c r="AI33" s="73">
        <f t="shared" si="3"/>
        <v>2430895</v>
      </c>
      <c r="AJ33" s="102">
        <v>2063869</v>
      </c>
      <c r="AK33" s="102">
        <v>367026</v>
      </c>
      <c r="AL33" s="102">
        <v>49396344</v>
      </c>
      <c r="AM33" s="73">
        <f t="shared" si="4"/>
        <v>33278840</v>
      </c>
      <c r="AN33" s="102">
        <v>24370467</v>
      </c>
      <c r="AO33" s="102">
        <v>2316965</v>
      </c>
      <c r="AP33" s="74"/>
      <c r="AQ33" s="102">
        <v>6591408</v>
      </c>
      <c r="AR33" s="102">
        <v>1059868</v>
      </c>
      <c r="AS33" s="102">
        <v>0</v>
      </c>
      <c r="AT33" s="102">
        <v>0</v>
      </c>
      <c r="AU33" s="102">
        <v>14314140</v>
      </c>
      <c r="AV33" s="102">
        <v>8972727</v>
      </c>
      <c r="AW33" s="102">
        <v>0</v>
      </c>
      <c r="AX33" s="102">
        <v>661454</v>
      </c>
      <c r="AY33" s="102">
        <v>5341413</v>
      </c>
      <c r="AZ33" s="102">
        <v>77120</v>
      </c>
      <c r="BA33" s="102">
        <v>3122116</v>
      </c>
      <c r="BB33" s="102">
        <v>2782011</v>
      </c>
      <c r="BC33" s="102">
        <v>73090</v>
      </c>
      <c r="BD33" s="102">
        <v>3755409</v>
      </c>
      <c r="BE33" s="102">
        <v>2900000</v>
      </c>
      <c r="BF33" s="102">
        <v>0</v>
      </c>
      <c r="BG33" s="102">
        <v>778285</v>
      </c>
      <c r="BH33" s="102">
        <v>0</v>
      </c>
      <c r="BI33" s="102">
        <v>2695211</v>
      </c>
      <c r="BJ33" s="102">
        <v>2578655</v>
      </c>
      <c r="BK33" s="102">
        <v>3381602</v>
      </c>
      <c r="BL33" s="102">
        <v>1843367</v>
      </c>
      <c r="BM33" s="102">
        <v>0</v>
      </c>
      <c r="BN33" s="102">
        <v>213396</v>
      </c>
      <c r="BO33" s="102">
        <v>14949900</v>
      </c>
      <c r="BP33" s="73">
        <f t="shared" si="5"/>
        <v>7316000</v>
      </c>
      <c r="BQ33" s="73">
        <f t="shared" si="6"/>
        <v>7633900</v>
      </c>
      <c r="BR33" s="102">
        <v>0</v>
      </c>
      <c r="BS33" s="102">
        <v>0</v>
      </c>
      <c r="BT33" s="102">
        <v>7633900</v>
      </c>
      <c r="BU33" s="102">
        <v>0</v>
      </c>
      <c r="BV33" s="102">
        <v>207461906</v>
      </c>
      <c r="BW33" s="71"/>
      <c r="BX33" s="102">
        <v>26630450</v>
      </c>
      <c r="BY33" s="102">
        <v>17797904</v>
      </c>
      <c r="BZ33" s="102">
        <v>1384137</v>
      </c>
      <c r="CA33" s="102">
        <v>2911540</v>
      </c>
      <c r="CB33" s="102">
        <v>75066893</v>
      </c>
      <c r="CC33" s="102">
        <v>15520426</v>
      </c>
      <c r="CD33" s="102">
        <v>560365</v>
      </c>
      <c r="CE33" s="102">
        <v>22927037</v>
      </c>
      <c r="CF33" s="102">
        <v>32247046</v>
      </c>
      <c r="CG33" s="102">
        <v>1505963</v>
      </c>
      <c r="CH33" s="102">
        <v>2306056</v>
      </c>
      <c r="CI33" s="102">
        <v>17444296</v>
      </c>
      <c r="CJ33" s="102">
        <v>16551962</v>
      </c>
      <c r="CK33" s="83">
        <f t="shared" si="7"/>
        <v>892334</v>
      </c>
      <c r="CL33" s="102">
        <v>18440311</v>
      </c>
      <c r="CM33" s="102">
        <v>13639462</v>
      </c>
      <c r="CN33" s="102">
        <v>233854</v>
      </c>
      <c r="CO33" s="102">
        <v>2051081</v>
      </c>
      <c r="CP33" s="102">
        <v>1571837</v>
      </c>
      <c r="CQ33" s="102">
        <v>18488717</v>
      </c>
      <c r="CR33" s="102">
        <v>1996052</v>
      </c>
      <c r="CS33" s="102">
        <v>3780846</v>
      </c>
      <c r="CT33" s="102">
        <v>3238721</v>
      </c>
      <c r="CU33" s="73">
        <f t="shared" si="8"/>
        <v>7795919</v>
      </c>
      <c r="CV33" s="102">
        <v>7444441</v>
      </c>
      <c r="CW33" s="102">
        <v>351478</v>
      </c>
      <c r="CX33" s="73">
        <f t="shared" si="9"/>
        <v>0</v>
      </c>
      <c r="CY33" s="102">
        <v>0</v>
      </c>
      <c r="CZ33" s="102">
        <v>0</v>
      </c>
      <c r="DA33" s="73">
        <f t="shared" si="10"/>
        <v>7689127</v>
      </c>
      <c r="DB33" s="102">
        <v>7342936</v>
      </c>
      <c r="DC33" s="102">
        <v>346191</v>
      </c>
      <c r="DD33" s="102">
        <v>17152109</v>
      </c>
      <c r="DE33" s="102">
        <v>8305648</v>
      </c>
      <c r="DF33" s="102">
        <v>8139214</v>
      </c>
      <c r="DG33" s="102">
        <v>243349</v>
      </c>
      <c r="DH33" s="102">
        <v>463898</v>
      </c>
      <c r="DI33" s="102">
        <v>24142</v>
      </c>
      <c r="DJ33" s="102">
        <v>6369604</v>
      </c>
      <c r="DK33" s="102">
        <v>3565600</v>
      </c>
      <c r="DL33" s="102">
        <v>240700</v>
      </c>
      <c r="DM33" s="102">
        <v>2563304</v>
      </c>
      <c r="DN33" s="102">
        <v>1518043</v>
      </c>
      <c r="DO33" s="102">
        <v>1517393</v>
      </c>
      <c r="DP33" s="102">
        <v>0</v>
      </c>
      <c r="DQ33" s="102">
        <v>0</v>
      </c>
      <c r="DR33" s="102">
        <v>1723036</v>
      </c>
      <c r="DS33" s="102">
        <v>0</v>
      </c>
      <c r="DT33" s="102">
        <v>0</v>
      </c>
      <c r="DU33" s="102">
        <v>19772617</v>
      </c>
      <c r="DV33" s="102">
        <v>0</v>
      </c>
      <c r="DW33" s="73">
        <f t="shared" si="11"/>
        <v>0</v>
      </c>
      <c r="DX33" s="102">
        <v>0</v>
      </c>
      <c r="DY33" s="102">
        <v>6693600</v>
      </c>
      <c r="DZ33" s="102">
        <v>0</v>
      </c>
      <c r="EA33" s="102">
        <v>6051835</v>
      </c>
      <c r="EB33" s="74">
        <v>0</v>
      </c>
      <c r="EC33" s="102">
        <v>7027176</v>
      </c>
      <c r="ED33" s="102">
        <v>0</v>
      </c>
      <c r="EE33" s="102">
        <v>204202055</v>
      </c>
      <c r="EF33" s="71"/>
      <c r="EG33" s="102">
        <v>3259851</v>
      </c>
      <c r="EH33" s="102">
        <v>345809</v>
      </c>
      <c r="EI33" s="102">
        <v>2914042</v>
      </c>
      <c r="EJ33" s="102">
        <v>335387</v>
      </c>
      <c r="EK33" s="102">
        <v>1001025</v>
      </c>
      <c r="EL33" s="71"/>
      <c r="EM33" s="102">
        <v>502784</v>
      </c>
      <c r="EN33" s="102">
        <v>488618</v>
      </c>
      <c r="EO33" s="102">
        <v>2900058</v>
      </c>
      <c r="EP33" s="102">
        <v>817404</v>
      </c>
      <c r="EQ33" s="73">
        <f t="shared" si="12"/>
        <v>4395502</v>
      </c>
      <c r="ER33" s="102">
        <v>111303781</v>
      </c>
      <c r="ES33" s="71">
        <v>-15682287</v>
      </c>
      <c r="ET33" s="102">
        <v>25084125</v>
      </c>
      <c r="EU33" s="102">
        <v>16542696</v>
      </c>
      <c r="EV33" s="102">
        <v>21988813</v>
      </c>
      <c r="EW33" s="102">
        <v>17444296</v>
      </c>
      <c r="EX33" s="73">
        <f t="shared" si="13"/>
        <v>4530198</v>
      </c>
      <c r="EY33" s="102">
        <v>4520033</v>
      </c>
      <c r="EZ33" s="102">
        <v>188200</v>
      </c>
      <c r="FA33" s="102">
        <v>4307384</v>
      </c>
      <c r="FB33" s="102">
        <v>10165</v>
      </c>
      <c r="FC33" s="102">
        <v>0</v>
      </c>
      <c r="FD33" s="102">
        <v>15193973</v>
      </c>
      <c r="FE33" s="102">
        <v>17049755</v>
      </c>
      <c r="FF33" s="102">
        <v>1996052</v>
      </c>
      <c r="FG33" s="102">
        <v>15369586</v>
      </c>
      <c r="FH33" s="73">
        <f t="shared" si="14"/>
        <v>7065471</v>
      </c>
      <c r="FI33" s="102">
        <v>123726217</v>
      </c>
      <c r="FJ33" s="379">
        <f t="shared" si="15"/>
        <v>2.7</v>
      </c>
      <c r="FK33" s="102">
        <v>101768240</v>
      </c>
      <c r="FL33" s="102">
        <v>7634048</v>
      </c>
      <c r="FM33" s="102">
        <v>63805869</v>
      </c>
      <c r="FN33" s="102">
        <v>83371748</v>
      </c>
      <c r="FO33" s="428">
        <v>0.76500000000000001</v>
      </c>
      <c r="FP33" s="424">
        <v>95.4</v>
      </c>
      <c r="FQ33" s="425">
        <v>22.2</v>
      </c>
      <c r="FR33" s="424">
        <v>19.600000000000001</v>
      </c>
      <c r="FS33" s="424">
        <v>15.5</v>
      </c>
      <c r="FT33" s="425">
        <v>12.3</v>
      </c>
      <c r="FU33" s="424">
        <v>12.7</v>
      </c>
      <c r="FV33" s="426">
        <v>12</v>
      </c>
      <c r="FW33" s="388">
        <v>5.0999999999999996</v>
      </c>
      <c r="FX33" s="102">
        <v>191206974</v>
      </c>
      <c r="FY33" s="384">
        <f t="shared" si="16"/>
        <v>174.8</v>
      </c>
      <c r="FZ33" s="102">
        <v>26734990</v>
      </c>
      <c r="GA33" s="102">
        <v>17105320</v>
      </c>
      <c r="GB33" s="102">
        <v>4371000</v>
      </c>
      <c r="GC33" s="102">
        <v>5258670</v>
      </c>
      <c r="GD33" s="107">
        <v>0</v>
      </c>
      <c r="GE33" s="427"/>
      <c r="GF33" s="386"/>
      <c r="GG33" s="424">
        <v>99.3</v>
      </c>
      <c r="GH33" s="424">
        <v>48.2</v>
      </c>
      <c r="GI33" s="424">
        <v>98.7</v>
      </c>
      <c r="GJ33" s="102">
        <v>2661</v>
      </c>
      <c r="GK33" s="429" t="s">
        <v>646</v>
      </c>
      <c r="GL33" s="429">
        <v>11.25</v>
      </c>
      <c r="GM33" s="117">
        <v>20</v>
      </c>
      <c r="GN33" s="429" t="s">
        <v>646</v>
      </c>
      <c r="GO33" s="430">
        <v>16.25</v>
      </c>
      <c r="GP33" s="387">
        <v>30</v>
      </c>
      <c r="GQ33" s="425">
        <v>5.0999999999999996</v>
      </c>
      <c r="GR33" s="388">
        <v>25</v>
      </c>
      <c r="GS33" s="388">
        <v>35</v>
      </c>
      <c r="GT33" s="431">
        <v>5.4</v>
      </c>
      <c r="GU33" s="388">
        <v>350</v>
      </c>
      <c r="GV33" s="394"/>
      <c r="GW33" s="100">
        <f t="shared" si="17"/>
        <v>109402</v>
      </c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  <c r="HW33" s="394"/>
    </row>
    <row r="34" spans="1:231" x14ac:dyDescent="0.15">
      <c r="B34" s="89" t="s">
        <v>57</v>
      </c>
      <c r="C34" s="102">
        <v>9008722</v>
      </c>
      <c r="D34" s="73">
        <f t="shared" si="0"/>
        <v>2421839</v>
      </c>
      <c r="E34" s="102">
        <v>92655</v>
      </c>
      <c r="F34" s="102">
        <v>2329184</v>
      </c>
      <c r="G34" s="73">
        <f t="shared" si="1"/>
        <v>567505</v>
      </c>
      <c r="H34" s="102">
        <v>185476</v>
      </c>
      <c r="I34" s="102">
        <v>382029</v>
      </c>
      <c r="J34" s="102">
        <v>4731650</v>
      </c>
      <c r="K34" s="102">
        <v>1952492</v>
      </c>
      <c r="L34" s="102">
        <v>1661969</v>
      </c>
      <c r="M34" s="102">
        <v>998078</v>
      </c>
      <c r="N34" s="102">
        <v>413418</v>
      </c>
      <c r="O34" s="102">
        <v>710280</v>
      </c>
      <c r="P34" s="102">
        <v>380189</v>
      </c>
      <c r="Q34" s="102">
        <v>330091</v>
      </c>
      <c r="R34" s="102">
        <v>160907</v>
      </c>
      <c r="S34" s="74"/>
      <c r="T34" s="73">
        <f t="shared" si="2"/>
        <v>1178234</v>
      </c>
      <c r="U34" s="102">
        <v>8807</v>
      </c>
      <c r="V34" s="102">
        <v>40603</v>
      </c>
      <c r="W34" s="102">
        <v>23327</v>
      </c>
      <c r="X34" s="102">
        <v>1020007</v>
      </c>
      <c r="Y34" s="102">
        <v>38631</v>
      </c>
      <c r="Z34" s="102">
        <v>0</v>
      </c>
      <c r="AA34" s="102">
        <v>35736</v>
      </c>
      <c r="AB34" s="102">
        <v>11123</v>
      </c>
      <c r="AC34" s="102">
        <v>117010</v>
      </c>
      <c r="AD34" s="102">
        <v>3256859</v>
      </c>
      <c r="AE34" s="102">
        <v>2851824</v>
      </c>
      <c r="AF34" s="102">
        <v>405035</v>
      </c>
      <c r="AG34" s="102">
        <v>9047</v>
      </c>
      <c r="AH34" s="102">
        <v>76392</v>
      </c>
      <c r="AI34" s="73">
        <f t="shared" si="3"/>
        <v>347320</v>
      </c>
      <c r="AJ34" s="102">
        <v>206530</v>
      </c>
      <c r="AK34" s="102">
        <v>140790</v>
      </c>
      <c r="AL34" s="102">
        <v>4433624</v>
      </c>
      <c r="AM34" s="73">
        <f t="shared" si="4"/>
        <v>2450973</v>
      </c>
      <c r="AN34" s="102">
        <v>1413875</v>
      </c>
      <c r="AO34" s="102">
        <v>242452</v>
      </c>
      <c r="AP34" s="74"/>
      <c r="AQ34" s="102">
        <v>794646</v>
      </c>
      <c r="AR34" s="102">
        <v>166078</v>
      </c>
      <c r="AS34" s="102">
        <v>31732</v>
      </c>
      <c r="AT34" s="102">
        <v>0</v>
      </c>
      <c r="AU34" s="102">
        <v>2021427</v>
      </c>
      <c r="AV34" s="102">
        <v>1161674</v>
      </c>
      <c r="AW34" s="102">
        <v>117180</v>
      </c>
      <c r="AX34" s="102">
        <v>19100</v>
      </c>
      <c r="AY34" s="102">
        <v>859753</v>
      </c>
      <c r="AZ34" s="102">
        <v>9346</v>
      </c>
      <c r="BA34" s="102">
        <v>34381</v>
      </c>
      <c r="BB34" s="102">
        <v>20984</v>
      </c>
      <c r="BC34" s="102">
        <v>486900</v>
      </c>
      <c r="BD34" s="102">
        <v>222194</v>
      </c>
      <c r="BE34" s="102">
        <v>0</v>
      </c>
      <c r="BF34" s="102">
        <v>0</v>
      </c>
      <c r="BG34" s="102">
        <v>216279</v>
      </c>
      <c r="BH34" s="102">
        <v>0</v>
      </c>
      <c r="BI34" s="102">
        <v>58084</v>
      </c>
      <c r="BJ34" s="102">
        <v>6349</v>
      </c>
      <c r="BK34" s="102">
        <v>327773</v>
      </c>
      <c r="BL34" s="102">
        <v>0</v>
      </c>
      <c r="BM34" s="102">
        <v>0</v>
      </c>
      <c r="BN34" s="102">
        <v>0</v>
      </c>
      <c r="BO34" s="102">
        <v>1799488</v>
      </c>
      <c r="BP34" s="73">
        <f t="shared" si="5"/>
        <v>900900</v>
      </c>
      <c r="BQ34" s="73">
        <f t="shared" si="6"/>
        <v>898588</v>
      </c>
      <c r="BR34" s="102">
        <v>0</v>
      </c>
      <c r="BS34" s="102">
        <v>0</v>
      </c>
      <c r="BT34" s="102">
        <v>898588</v>
      </c>
      <c r="BU34" s="102">
        <v>0</v>
      </c>
      <c r="BV34" s="102">
        <v>23538362</v>
      </c>
      <c r="BW34" s="71"/>
      <c r="BX34" s="102">
        <v>3638172</v>
      </c>
      <c r="BY34" s="102">
        <v>2635899</v>
      </c>
      <c r="BZ34" s="102">
        <v>200683</v>
      </c>
      <c r="CA34" s="102">
        <v>56892</v>
      </c>
      <c r="CB34" s="102">
        <v>6705258</v>
      </c>
      <c r="CC34" s="102">
        <v>1762382</v>
      </c>
      <c r="CD34" s="102">
        <v>25145</v>
      </c>
      <c r="CE34" s="102">
        <v>2924067</v>
      </c>
      <c r="CF34" s="102">
        <v>1756793</v>
      </c>
      <c r="CG34" s="102">
        <v>1212</v>
      </c>
      <c r="CH34" s="102">
        <v>228489</v>
      </c>
      <c r="CI34" s="102">
        <v>2553038</v>
      </c>
      <c r="CJ34" s="102">
        <v>2278539</v>
      </c>
      <c r="CK34" s="83">
        <f t="shared" si="7"/>
        <v>274499</v>
      </c>
      <c r="CL34" s="102">
        <v>2669963</v>
      </c>
      <c r="CM34" s="102">
        <v>1798596</v>
      </c>
      <c r="CN34" s="102">
        <v>168863</v>
      </c>
      <c r="CO34" s="102">
        <v>356436</v>
      </c>
      <c r="CP34" s="102">
        <v>147208</v>
      </c>
      <c r="CQ34" s="102">
        <v>2152434</v>
      </c>
      <c r="CR34" s="102">
        <v>1314509</v>
      </c>
      <c r="CS34" s="102">
        <v>391274</v>
      </c>
      <c r="CT34" s="102">
        <v>255609</v>
      </c>
      <c r="CU34" s="73">
        <f t="shared" si="8"/>
        <v>4795</v>
      </c>
      <c r="CV34" s="102">
        <v>2123</v>
      </c>
      <c r="CW34" s="102">
        <v>2672</v>
      </c>
      <c r="CX34" s="73">
        <f t="shared" si="9"/>
        <v>0</v>
      </c>
      <c r="CY34" s="102">
        <v>0</v>
      </c>
      <c r="CZ34" s="102">
        <v>0</v>
      </c>
      <c r="DA34" s="73">
        <f t="shared" si="10"/>
        <v>0</v>
      </c>
      <c r="DB34" s="102">
        <v>0</v>
      </c>
      <c r="DC34" s="102">
        <v>0</v>
      </c>
      <c r="DD34" s="102">
        <v>1253992</v>
      </c>
      <c r="DE34" s="102">
        <v>633726</v>
      </c>
      <c r="DF34" s="102">
        <v>606044</v>
      </c>
      <c r="DG34" s="102">
        <v>14222</v>
      </c>
      <c r="DH34" s="102">
        <v>0</v>
      </c>
      <c r="DI34" s="102">
        <v>81108</v>
      </c>
      <c r="DJ34" s="102">
        <v>798825</v>
      </c>
      <c r="DK34" s="102">
        <v>176000</v>
      </c>
      <c r="DL34" s="102">
        <v>12905</v>
      </c>
      <c r="DM34" s="102">
        <v>609920</v>
      </c>
      <c r="DN34" s="102">
        <v>11573</v>
      </c>
      <c r="DO34" s="102">
        <v>11573</v>
      </c>
      <c r="DP34" s="102">
        <v>11573</v>
      </c>
      <c r="DQ34" s="102">
        <v>0</v>
      </c>
      <c r="DR34" s="102">
        <v>0</v>
      </c>
      <c r="DS34" s="102">
        <v>0</v>
      </c>
      <c r="DT34" s="102">
        <v>0</v>
      </c>
      <c r="DU34" s="102">
        <v>3295877</v>
      </c>
      <c r="DV34" s="102">
        <v>765765</v>
      </c>
      <c r="DW34" s="73">
        <f t="shared" si="11"/>
        <v>0</v>
      </c>
      <c r="DX34" s="102">
        <v>0</v>
      </c>
      <c r="DY34" s="102">
        <v>879023</v>
      </c>
      <c r="DZ34" s="102">
        <v>0</v>
      </c>
      <c r="EA34" s="102">
        <v>844064</v>
      </c>
      <c r="EB34" s="74">
        <v>0</v>
      </c>
      <c r="EC34" s="102">
        <v>807025</v>
      </c>
      <c r="ED34" s="102">
        <v>0</v>
      </c>
      <c r="EE34" s="102">
        <v>23307448</v>
      </c>
      <c r="EF34" s="71"/>
      <c r="EG34" s="102">
        <v>230914</v>
      </c>
      <c r="EH34" s="102">
        <v>24340</v>
      </c>
      <c r="EI34" s="102">
        <v>206574</v>
      </c>
      <c r="EJ34" s="102">
        <v>200225</v>
      </c>
      <c r="EK34" s="102">
        <v>376225</v>
      </c>
      <c r="EL34" s="71"/>
      <c r="EM34" s="102">
        <v>62438</v>
      </c>
      <c r="EN34" s="102">
        <v>61615</v>
      </c>
      <c r="EO34" s="102">
        <v>0</v>
      </c>
      <c r="EP34" s="102">
        <v>33110</v>
      </c>
      <c r="EQ34" s="73">
        <f t="shared" si="12"/>
        <v>173026</v>
      </c>
      <c r="ER34" s="102">
        <v>13730779</v>
      </c>
      <c r="ES34" s="71">
        <v>-1095677</v>
      </c>
      <c r="ET34" s="102">
        <v>3225880</v>
      </c>
      <c r="EU34" s="102">
        <v>2250347</v>
      </c>
      <c r="EV34" s="102">
        <v>1761763</v>
      </c>
      <c r="EW34" s="102">
        <v>2553038</v>
      </c>
      <c r="EX34" s="73">
        <f t="shared" si="13"/>
        <v>139415</v>
      </c>
      <c r="EY34" s="102">
        <v>128081</v>
      </c>
      <c r="EZ34" s="102">
        <v>8237</v>
      </c>
      <c r="FA34" s="102">
        <v>115281</v>
      </c>
      <c r="FB34" s="102">
        <v>11334</v>
      </c>
      <c r="FC34" s="102">
        <v>0</v>
      </c>
      <c r="FD34" s="102">
        <v>1890022</v>
      </c>
      <c r="FE34" s="102">
        <v>1925383</v>
      </c>
      <c r="FF34" s="102">
        <v>1312303</v>
      </c>
      <c r="FG34" s="102">
        <v>2655390</v>
      </c>
      <c r="FH34" s="73">
        <f t="shared" si="14"/>
        <v>444651</v>
      </c>
      <c r="FI34" s="102">
        <v>14595542</v>
      </c>
      <c r="FJ34" s="379">
        <f t="shared" si="15"/>
        <v>1.6</v>
      </c>
      <c r="FK34" s="102">
        <v>12422585</v>
      </c>
      <c r="FL34" s="102">
        <v>898588</v>
      </c>
      <c r="FM34" s="102">
        <v>7474518</v>
      </c>
      <c r="FN34" s="102">
        <v>10278303</v>
      </c>
      <c r="FO34" s="428">
        <v>0.74</v>
      </c>
      <c r="FP34" s="424">
        <v>97.6</v>
      </c>
      <c r="FQ34" s="425">
        <v>23.1</v>
      </c>
      <c r="FR34" s="424">
        <v>12.9</v>
      </c>
      <c r="FS34" s="424">
        <v>18.8</v>
      </c>
      <c r="FT34" s="425">
        <v>12.9</v>
      </c>
      <c r="FU34" s="424">
        <v>11.7</v>
      </c>
      <c r="FV34" s="426">
        <v>17.399999999999999</v>
      </c>
      <c r="FW34" s="388">
        <v>10.5</v>
      </c>
      <c r="FX34" s="102">
        <v>28970861</v>
      </c>
      <c r="FY34" s="384">
        <f t="shared" si="16"/>
        <v>217.5</v>
      </c>
      <c r="FZ34" s="102">
        <v>4077268</v>
      </c>
      <c r="GA34" s="102">
        <v>803696</v>
      </c>
      <c r="GB34" s="102">
        <v>1291080</v>
      </c>
      <c r="GC34" s="102">
        <v>1982492</v>
      </c>
      <c r="GD34" s="107">
        <v>0</v>
      </c>
      <c r="GE34" s="427"/>
      <c r="GF34" s="386"/>
      <c r="GG34" s="424">
        <v>99.2</v>
      </c>
      <c r="GH34" s="424">
        <v>26</v>
      </c>
      <c r="GI34" s="424">
        <v>96.5</v>
      </c>
      <c r="GJ34" s="102">
        <v>372</v>
      </c>
      <c r="GK34" s="429" t="s">
        <v>646</v>
      </c>
      <c r="GL34" s="429">
        <v>12.92</v>
      </c>
      <c r="GM34" s="117">
        <v>20</v>
      </c>
      <c r="GN34" s="429" t="s">
        <v>646</v>
      </c>
      <c r="GO34" s="430">
        <v>17.920000000000002</v>
      </c>
      <c r="GP34" s="387">
        <v>30</v>
      </c>
      <c r="GQ34" s="425">
        <v>10.5</v>
      </c>
      <c r="GR34" s="388">
        <v>25</v>
      </c>
      <c r="GS34" s="388">
        <v>35</v>
      </c>
      <c r="GT34" s="431">
        <v>99.4</v>
      </c>
      <c r="GU34" s="388">
        <v>350</v>
      </c>
      <c r="GV34" s="394"/>
      <c r="GW34" s="100">
        <f t="shared" si="17"/>
        <v>13321</v>
      </c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  <c r="HW34" s="394"/>
    </row>
    <row r="35" spans="1:231" x14ac:dyDescent="0.15">
      <c r="B35" s="89" t="s">
        <v>59</v>
      </c>
      <c r="C35" s="102">
        <v>6955040</v>
      </c>
      <c r="D35" s="73">
        <f t="shared" si="0"/>
        <v>2880078</v>
      </c>
      <c r="E35" s="102">
        <v>89357</v>
      </c>
      <c r="F35" s="102">
        <v>2790721</v>
      </c>
      <c r="G35" s="73">
        <f t="shared" si="1"/>
        <v>330042</v>
      </c>
      <c r="H35" s="102">
        <v>141280</v>
      </c>
      <c r="I35" s="102">
        <v>188762</v>
      </c>
      <c r="J35" s="102">
        <v>2725369</v>
      </c>
      <c r="K35" s="102">
        <v>1132836</v>
      </c>
      <c r="L35" s="102">
        <v>1297466</v>
      </c>
      <c r="M35" s="102">
        <v>279227</v>
      </c>
      <c r="N35" s="102">
        <v>352285</v>
      </c>
      <c r="O35" s="102">
        <v>577964</v>
      </c>
      <c r="P35" s="102">
        <v>307717</v>
      </c>
      <c r="Q35" s="102">
        <v>270247</v>
      </c>
      <c r="R35" s="102">
        <v>99552</v>
      </c>
      <c r="S35" s="74"/>
      <c r="T35" s="73">
        <f t="shared" si="2"/>
        <v>991826</v>
      </c>
      <c r="U35" s="102">
        <v>10432</v>
      </c>
      <c r="V35" s="102">
        <v>48107</v>
      </c>
      <c r="W35" s="102">
        <v>27653</v>
      </c>
      <c r="X35" s="102">
        <v>840863</v>
      </c>
      <c r="Y35" s="102">
        <v>27646</v>
      </c>
      <c r="Z35" s="102">
        <v>0</v>
      </c>
      <c r="AA35" s="102">
        <v>28313</v>
      </c>
      <c r="AB35" s="102">
        <v>8812</v>
      </c>
      <c r="AC35" s="102">
        <v>130165</v>
      </c>
      <c r="AD35" s="102">
        <v>4036539</v>
      </c>
      <c r="AE35" s="102">
        <v>3655704</v>
      </c>
      <c r="AF35" s="102">
        <v>380835</v>
      </c>
      <c r="AG35" s="102">
        <v>6080</v>
      </c>
      <c r="AH35" s="102">
        <v>371402</v>
      </c>
      <c r="AI35" s="73">
        <f t="shared" si="3"/>
        <v>253937</v>
      </c>
      <c r="AJ35" s="102">
        <v>189134</v>
      </c>
      <c r="AK35" s="102">
        <v>64803</v>
      </c>
      <c r="AL35" s="102">
        <v>3639379</v>
      </c>
      <c r="AM35" s="73">
        <f t="shared" si="4"/>
        <v>2447805</v>
      </c>
      <c r="AN35" s="102">
        <v>1025731</v>
      </c>
      <c r="AO35" s="102">
        <v>746690</v>
      </c>
      <c r="AP35" s="74"/>
      <c r="AQ35" s="102">
        <v>675384</v>
      </c>
      <c r="AR35" s="102">
        <v>114051</v>
      </c>
      <c r="AS35" s="102">
        <v>3861</v>
      </c>
      <c r="AT35" s="102">
        <v>0</v>
      </c>
      <c r="AU35" s="102">
        <v>1786406</v>
      </c>
      <c r="AV35" s="102">
        <v>1173813</v>
      </c>
      <c r="AW35" s="102">
        <v>380174</v>
      </c>
      <c r="AX35" s="102">
        <v>2678</v>
      </c>
      <c r="AY35" s="102">
        <v>612593</v>
      </c>
      <c r="AZ35" s="102">
        <v>456</v>
      </c>
      <c r="BA35" s="102">
        <v>21054</v>
      </c>
      <c r="BB35" s="102">
        <v>4234</v>
      </c>
      <c r="BC35" s="102">
        <v>8183</v>
      </c>
      <c r="BD35" s="102">
        <v>3232</v>
      </c>
      <c r="BE35" s="102">
        <v>0</v>
      </c>
      <c r="BF35" s="102">
        <v>0</v>
      </c>
      <c r="BG35" s="102">
        <v>3232</v>
      </c>
      <c r="BH35" s="102">
        <v>0</v>
      </c>
      <c r="BI35" s="102">
        <v>406770</v>
      </c>
      <c r="BJ35" s="102">
        <v>404799</v>
      </c>
      <c r="BK35" s="102">
        <v>224532</v>
      </c>
      <c r="BL35" s="102">
        <v>0</v>
      </c>
      <c r="BM35" s="102">
        <v>1379</v>
      </c>
      <c r="BN35" s="102">
        <v>0</v>
      </c>
      <c r="BO35" s="102">
        <v>947200</v>
      </c>
      <c r="BP35" s="73">
        <f t="shared" si="5"/>
        <v>282100</v>
      </c>
      <c r="BQ35" s="73">
        <f t="shared" si="6"/>
        <v>665100</v>
      </c>
      <c r="BR35" s="102">
        <v>0</v>
      </c>
      <c r="BS35" s="102">
        <v>0</v>
      </c>
      <c r="BT35" s="102">
        <v>665100</v>
      </c>
      <c r="BU35" s="102">
        <v>0</v>
      </c>
      <c r="BV35" s="102">
        <v>19881297</v>
      </c>
      <c r="BW35" s="71"/>
      <c r="BX35" s="102">
        <v>2964344</v>
      </c>
      <c r="BY35" s="102">
        <v>2024127</v>
      </c>
      <c r="BZ35" s="102">
        <v>89686</v>
      </c>
      <c r="CA35" s="102">
        <v>257581</v>
      </c>
      <c r="CB35" s="102">
        <v>6154876</v>
      </c>
      <c r="CC35" s="102">
        <v>1634785</v>
      </c>
      <c r="CD35" s="102">
        <v>26727</v>
      </c>
      <c r="CE35" s="102">
        <v>2863972</v>
      </c>
      <c r="CF35" s="102">
        <v>1329327</v>
      </c>
      <c r="CG35" s="102">
        <v>2876</v>
      </c>
      <c r="CH35" s="102">
        <v>297189</v>
      </c>
      <c r="CI35" s="102">
        <v>1673499</v>
      </c>
      <c r="CJ35" s="102">
        <v>1567836</v>
      </c>
      <c r="CK35" s="83">
        <f t="shared" si="7"/>
        <v>105663</v>
      </c>
      <c r="CL35" s="102">
        <v>2325007</v>
      </c>
      <c r="CM35" s="102">
        <v>1643026</v>
      </c>
      <c r="CN35" s="102">
        <v>73836</v>
      </c>
      <c r="CO35" s="102">
        <v>247236</v>
      </c>
      <c r="CP35" s="102">
        <v>41631</v>
      </c>
      <c r="CQ35" s="102">
        <v>2786364</v>
      </c>
      <c r="CR35" s="102">
        <v>1400754</v>
      </c>
      <c r="CS35" s="102">
        <v>353018</v>
      </c>
      <c r="CT35" s="102">
        <v>230828</v>
      </c>
      <c r="CU35" s="73">
        <f t="shared" si="8"/>
        <v>761686</v>
      </c>
      <c r="CV35" s="102">
        <v>525227</v>
      </c>
      <c r="CW35" s="102">
        <v>236459</v>
      </c>
      <c r="CX35" s="73">
        <f t="shared" si="9"/>
        <v>0</v>
      </c>
      <c r="CY35" s="102">
        <v>0</v>
      </c>
      <c r="CZ35" s="102">
        <v>0</v>
      </c>
      <c r="DA35" s="73">
        <f t="shared" si="10"/>
        <v>754592</v>
      </c>
      <c r="DB35" s="102">
        <v>519531</v>
      </c>
      <c r="DC35" s="102">
        <v>235061</v>
      </c>
      <c r="DD35" s="102">
        <v>829454</v>
      </c>
      <c r="DE35" s="102">
        <v>293790</v>
      </c>
      <c r="DF35" s="102">
        <v>535664</v>
      </c>
      <c r="DG35" s="102">
        <v>0</v>
      </c>
      <c r="DH35" s="102">
        <v>0</v>
      </c>
      <c r="DI35" s="102">
        <v>21015</v>
      </c>
      <c r="DJ35" s="102">
        <v>483419</v>
      </c>
      <c r="DK35" s="102">
        <v>203358</v>
      </c>
      <c r="DL35" s="102">
        <v>33</v>
      </c>
      <c r="DM35" s="102">
        <v>280028</v>
      </c>
      <c r="DN35" s="102">
        <v>100000</v>
      </c>
      <c r="DO35" s="102">
        <v>100000</v>
      </c>
      <c r="DP35" s="102">
        <v>0</v>
      </c>
      <c r="DQ35" s="102">
        <v>0</v>
      </c>
      <c r="DR35" s="102">
        <v>0</v>
      </c>
      <c r="DS35" s="102">
        <v>0</v>
      </c>
      <c r="DT35" s="102">
        <v>0</v>
      </c>
      <c r="DU35" s="102">
        <v>2068419</v>
      </c>
      <c r="DV35" s="102">
        <v>0</v>
      </c>
      <c r="DW35" s="73">
        <f t="shared" si="11"/>
        <v>0</v>
      </c>
      <c r="DX35" s="102">
        <v>0</v>
      </c>
      <c r="DY35" s="102">
        <v>713639</v>
      </c>
      <c r="DZ35" s="102">
        <v>0</v>
      </c>
      <c r="EA35" s="102">
        <v>614518</v>
      </c>
      <c r="EB35" s="74">
        <v>0</v>
      </c>
      <c r="EC35" s="102">
        <v>740262</v>
      </c>
      <c r="ED35" s="102">
        <v>0</v>
      </c>
      <c r="EE35" s="102">
        <v>19448028</v>
      </c>
      <c r="EF35" s="71"/>
      <c r="EG35" s="102">
        <v>433269</v>
      </c>
      <c r="EH35" s="102">
        <v>11559</v>
      </c>
      <c r="EI35" s="102">
        <v>421710</v>
      </c>
      <c r="EJ35" s="102">
        <v>16911</v>
      </c>
      <c r="EK35" s="102">
        <v>220269</v>
      </c>
      <c r="EL35" s="71"/>
      <c r="EM35" s="102">
        <v>56075</v>
      </c>
      <c r="EN35" s="102">
        <v>55726</v>
      </c>
      <c r="EO35" s="102">
        <v>0</v>
      </c>
      <c r="EP35" s="102">
        <v>19415</v>
      </c>
      <c r="EQ35" s="73">
        <f t="shared" si="12"/>
        <v>703140</v>
      </c>
      <c r="ER35" s="102">
        <v>12219202</v>
      </c>
      <c r="ES35" s="71">
        <v>-1381575</v>
      </c>
      <c r="ET35" s="102">
        <v>2550644</v>
      </c>
      <c r="EU35" s="102">
        <v>1722866</v>
      </c>
      <c r="EV35" s="102">
        <v>1807370</v>
      </c>
      <c r="EW35" s="102">
        <v>1673499</v>
      </c>
      <c r="EX35" s="73">
        <f t="shared" si="13"/>
        <v>414009</v>
      </c>
      <c r="EY35" s="102">
        <v>412760</v>
      </c>
      <c r="EZ35" s="102">
        <v>8877</v>
      </c>
      <c r="FA35" s="102">
        <v>403883</v>
      </c>
      <c r="FB35" s="102">
        <v>1249</v>
      </c>
      <c r="FC35" s="102">
        <v>0</v>
      </c>
      <c r="FD35" s="102">
        <v>1808491</v>
      </c>
      <c r="FE35" s="102">
        <v>2649079</v>
      </c>
      <c r="FF35" s="102">
        <v>1400320</v>
      </c>
      <c r="FG35" s="102">
        <v>1641308</v>
      </c>
      <c r="FH35" s="73">
        <f t="shared" si="14"/>
        <v>623108</v>
      </c>
      <c r="FI35" s="102">
        <v>13167508</v>
      </c>
      <c r="FJ35" s="379">
        <f t="shared" si="15"/>
        <v>3.6</v>
      </c>
      <c r="FK35" s="102">
        <v>11064692</v>
      </c>
      <c r="FL35" s="102">
        <v>665221</v>
      </c>
      <c r="FM35" s="102">
        <v>5793507</v>
      </c>
      <c r="FN35" s="102">
        <v>9495703</v>
      </c>
      <c r="FO35" s="428">
        <v>0.61899999999999999</v>
      </c>
      <c r="FP35" s="424">
        <v>96.9</v>
      </c>
      <c r="FQ35" s="425">
        <v>20.8</v>
      </c>
      <c r="FR35" s="424">
        <v>15.1</v>
      </c>
      <c r="FS35" s="424">
        <v>14</v>
      </c>
      <c r="FT35" s="425">
        <v>13.5</v>
      </c>
      <c r="FU35" s="424">
        <v>20.5</v>
      </c>
      <c r="FV35" s="426">
        <v>12.7</v>
      </c>
      <c r="FW35" s="388">
        <v>5.6</v>
      </c>
      <c r="FX35" s="102">
        <v>15505875</v>
      </c>
      <c r="FY35" s="384">
        <f t="shared" si="16"/>
        <v>132.19999999999999</v>
      </c>
      <c r="FZ35" s="102">
        <v>5368821</v>
      </c>
      <c r="GA35" s="102">
        <v>1805386</v>
      </c>
      <c r="GB35" s="102">
        <v>51304</v>
      </c>
      <c r="GC35" s="102">
        <v>3512131</v>
      </c>
      <c r="GD35" s="107">
        <v>0</v>
      </c>
      <c r="GE35" s="427"/>
      <c r="GF35" s="386"/>
      <c r="GG35" s="424">
        <v>99.3</v>
      </c>
      <c r="GH35" s="424">
        <v>38.5</v>
      </c>
      <c r="GI35" s="424">
        <v>97.9</v>
      </c>
      <c r="GJ35" s="102">
        <v>300</v>
      </c>
      <c r="GK35" s="429" t="s">
        <v>646</v>
      </c>
      <c r="GL35" s="429">
        <v>13.09</v>
      </c>
      <c r="GM35" s="117">
        <v>20</v>
      </c>
      <c r="GN35" s="429" t="s">
        <v>646</v>
      </c>
      <c r="GO35" s="430">
        <v>18.09</v>
      </c>
      <c r="GP35" s="387">
        <v>30</v>
      </c>
      <c r="GQ35" s="425">
        <v>5.6</v>
      </c>
      <c r="GR35" s="388">
        <v>25</v>
      </c>
      <c r="GS35" s="388">
        <v>35</v>
      </c>
      <c r="GT35" s="431" t="s">
        <v>646</v>
      </c>
      <c r="GU35" s="388">
        <v>350</v>
      </c>
      <c r="GV35" s="394"/>
      <c r="GW35" s="100">
        <f t="shared" si="17"/>
        <v>11730</v>
      </c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  <c r="HW35" s="394"/>
    </row>
    <row r="36" spans="1:231" x14ac:dyDescent="0.15">
      <c r="B36" s="89" t="s">
        <v>61</v>
      </c>
      <c r="C36" s="102">
        <v>9563614</v>
      </c>
      <c r="D36" s="73">
        <f t="shared" si="0"/>
        <v>4441438</v>
      </c>
      <c r="E36" s="102">
        <v>129662</v>
      </c>
      <c r="F36" s="102">
        <v>4311776</v>
      </c>
      <c r="G36" s="73">
        <f t="shared" si="1"/>
        <v>375945</v>
      </c>
      <c r="H36" s="102">
        <v>145133</v>
      </c>
      <c r="I36" s="102">
        <v>230812</v>
      </c>
      <c r="J36" s="102">
        <v>3518072</v>
      </c>
      <c r="K36" s="102">
        <v>1446533</v>
      </c>
      <c r="L36" s="102">
        <v>1591318</v>
      </c>
      <c r="M36" s="102">
        <v>428993</v>
      </c>
      <c r="N36" s="102">
        <v>345007</v>
      </c>
      <c r="O36" s="102">
        <v>757485</v>
      </c>
      <c r="P36" s="102">
        <v>419904</v>
      </c>
      <c r="Q36" s="102">
        <v>337581</v>
      </c>
      <c r="R36" s="102">
        <v>131099</v>
      </c>
      <c r="S36" s="74"/>
      <c r="T36" s="73">
        <f t="shared" si="2"/>
        <v>1394443</v>
      </c>
      <c r="U36" s="102">
        <v>16226</v>
      </c>
      <c r="V36" s="102">
        <v>74813</v>
      </c>
      <c r="W36" s="102">
        <v>42996</v>
      </c>
      <c r="X36" s="102">
        <v>1141668</v>
      </c>
      <c r="Y36" s="102">
        <v>69885</v>
      </c>
      <c r="Z36" s="102">
        <v>0</v>
      </c>
      <c r="AA36" s="102">
        <v>37258</v>
      </c>
      <c r="AB36" s="102">
        <v>11597</v>
      </c>
      <c r="AC36" s="102">
        <v>210519</v>
      </c>
      <c r="AD36" s="102">
        <v>3525102</v>
      </c>
      <c r="AE36" s="102">
        <v>3339190</v>
      </c>
      <c r="AF36" s="102">
        <v>185912</v>
      </c>
      <c r="AG36" s="102">
        <v>9561</v>
      </c>
      <c r="AH36" s="102">
        <v>66058</v>
      </c>
      <c r="AI36" s="73">
        <f t="shared" si="3"/>
        <v>447367</v>
      </c>
      <c r="AJ36" s="102">
        <v>347366</v>
      </c>
      <c r="AK36" s="102">
        <v>100001</v>
      </c>
      <c r="AL36" s="102">
        <v>4395757</v>
      </c>
      <c r="AM36" s="73">
        <f t="shared" si="4"/>
        <v>2232344</v>
      </c>
      <c r="AN36" s="102">
        <v>1006042</v>
      </c>
      <c r="AO36" s="102">
        <v>512417</v>
      </c>
      <c r="AP36" s="74"/>
      <c r="AQ36" s="102">
        <v>713885</v>
      </c>
      <c r="AR36" s="102">
        <v>81020</v>
      </c>
      <c r="AS36" s="102">
        <v>3876</v>
      </c>
      <c r="AT36" s="102">
        <v>0</v>
      </c>
      <c r="AU36" s="102">
        <v>1966256</v>
      </c>
      <c r="AV36" s="102">
        <v>1473863</v>
      </c>
      <c r="AW36" s="102">
        <v>221149</v>
      </c>
      <c r="AX36" s="102">
        <v>34136</v>
      </c>
      <c r="AY36" s="102">
        <v>492393</v>
      </c>
      <c r="AZ36" s="102">
        <v>15979</v>
      </c>
      <c r="BA36" s="102">
        <v>68531</v>
      </c>
      <c r="BB36" s="102">
        <v>62790</v>
      </c>
      <c r="BC36" s="102">
        <v>27472</v>
      </c>
      <c r="BD36" s="102">
        <v>58856</v>
      </c>
      <c r="BE36" s="102">
        <v>2516</v>
      </c>
      <c r="BF36" s="102">
        <v>0</v>
      </c>
      <c r="BG36" s="102">
        <v>44831</v>
      </c>
      <c r="BH36" s="102">
        <v>0</v>
      </c>
      <c r="BI36" s="102">
        <v>511161</v>
      </c>
      <c r="BJ36" s="102">
        <v>413753</v>
      </c>
      <c r="BK36" s="102">
        <v>439647</v>
      </c>
      <c r="BL36" s="102">
        <v>0</v>
      </c>
      <c r="BM36" s="102">
        <v>0</v>
      </c>
      <c r="BN36" s="102">
        <v>0</v>
      </c>
      <c r="BO36" s="102">
        <v>2385033</v>
      </c>
      <c r="BP36" s="73">
        <f t="shared" si="5"/>
        <v>1444700</v>
      </c>
      <c r="BQ36" s="73">
        <f t="shared" si="6"/>
        <v>940333</v>
      </c>
      <c r="BR36" s="102">
        <v>0</v>
      </c>
      <c r="BS36" s="102">
        <v>0</v>
      </c>
      <c r="BT36" s="102">
        <v>940333</v>
      </c>
      <c r="BU36" s="102">
        <v>0</v>
      </c>
      <c r="BV36" s="102">
        <v>25200476</v>
      </c>
      <c r="BW36" s="71"/>
      <c r="BX36" s="102">
        <v>4976249</v>
      </c>
      <c r="BY36" s="102">
        <v>3144691</v>
      </c>
      <c r="BZ36" s="102">
        <v>134557</v>
      </c>
      <c r="CA36" s="102">
        <v>686953</v>
      </c>
      <c r="CB36" s="102">
        <v>6996046</v>
      </c>
      <c r="CC36" s="102">
        <v>1788399</v>
      </c>
      <c r="CD36" s="102">
        <v>34699</v>
      </c>
      <c r="CE36" s="102">
        <v>3458868</v>
      </c>
      <c r="CF36" s="102">
        <v>1374726</v>
      </c>
      <c r="CG36" s="102">
        <v>3681</v>
      </c>
      <c r="CH36" s="102">
        <v>335673</v>
      </c>
      <c r="CI36" s="102">
        <v>2927318</v>
      </c>
      <c r="CJ36" s="102">
        <v>2711521</v>
      </c>
      <c r="CK36" s="83">
        <f t="shared" si="7"/>
        <v>215797</v>
      </c>
      <c r="CL36" s="102">
        <v>3094986</v>
      </c>
      <c r="CM36" s="102">
        <v>1585539</v>
      </c>
      <c r="CN36" s="102">
        <v>205853</v>
      </c>
      <c r="CO36" s="102">
        <v>700147</v>
      </c>
      <c r="CP36" s="102">
        <v>74836</v>
      </c>
      <c r="CQ36" s="102">
        <v>1605500</v>
      </c>
      <c r="CR36" s="102">
        <v>876787</v>
      </c>
      <c r="CS36" s="102">
        <v>213897</v>
      </c>
      <c r="CT36" s="102">
        <v>116774</v>
      </c>
      <c r="CU36" s="73">
        <f t="shared" si="8"/>
        <v>143285</v>
      </c>
      <c r="CV36" s="102">
        <v>143285</v>
      </c>
      <c r="CW36" s="102">
        <v>0</v>
      </c>
      <c r="CX36" s="73">
        <f t="shared" si="9"/>
        <v>0</v>
      </c>
      <c r="CY36" s="102">
        <v>0</v>
      </c>
      <c r="CZ36" s="102">
        <v>0</v>
      </c>
      <c r="DA36" s="73">
        <f t="shared" si="10"/>
        <v>130000</v>
      </c>
      <c r="DB36" s="102">
        <v>130000</v>
      </c>
      <c r="DC36" s="102">
        <v>0</v>
      </c>
      <c r="DD36" s="102">
        <v>2402576</v>
      </c>
      <c r="DE36" s="102">
        <v>1140398</v>
      </c>
      <c r="DF36" s="102">
        <v>1251778</v>
      </c>
      <c r="DG36" s="102">
        <v>10400</v>
      </c>
      <c r="DH36" s="102">
        <v>0</v>
      </c>
      <c r="DI36" s="102">
        <v>0</v>
      </c>
      <c r="DJ36" s="102">
        <v>369438</v>
      </c>
      <c r="DK36" s="102">
        <v>210718</v>
      </c>
      <c r="DL36" s="102">
        <v>392</v>
      </c>
      <c r="DM36" s="102">
        <v>158328</v>
      </c>
      <c r="DN36" s="102">
        <v>0</v>
      </c>
      <c r="DO36" s="102">
        <v>0</v>
      </c>
      <c r="DP36" s="102">
        <v>0</v>
      </c>
      <c r="DQ36" s="102">
        <v>0</v>
      </c>
      <c r="DR36" s="102">
        <v>0</v>
      </c>
      <c r="DS36" s="102">
        <v>0</v>
      </c>
      <c r="DT36" s="102">
        <v>0</v>
      </c>
      <c r="DU36" s="102">
        <v>2501681</v>
      </c>
      <c r="DV36" s="102">
        <v>0</v>
      </c>
      <c r="DW36" s="73">
        <f t="shared" si="11"/>
        <v>0</v>
      </c>
      <c r="DX36" s="102">
        <v>0</v>
      </c>
      <c r="DY36" s="102">
        <v>942437</v>
      </c>
      <c r="DZ36" s="102">
        <v>0</v>
      </c>
      <c r="EA36" s="102">
        <v>708144</v>
      </c>
      <c r="EB36" s="74">
        <v>0</v>
      </c>
      <c r="EC36" s="102">
        <v>850629</v>
      </c>
      <c r="ED36" s="102">
        <v>0</v>
      </c>
      <c r="EE36" s="102">
        <v>24948630</v>
      </c>
      <c r="EF36" s="71"/>
      <c r="EG36" s="102">
        <v>251846</v>
      </c>
      <c r="EH36" s="102">
        <v>69749</v>
      </c>
      <c r="EI36" s="102">
        <v>182097</v>
      </c>
      <c r="EJ36" s="102">
        <v>-231656</v>
      </c>
      <c r="EK36" s="102">
        <v>-18346</v>
      </c>
      <c r="EL36" s="71"/>
      <c r="EM36" s="102">
        <v>76435</v>
      </c>
      <c r="EN36" s="102">
        <v>77632</v>
      </c>
      <c r="EO36" s="102">
        <v>3935</v>
      </c>
      <c r="EP36" s="102">
        <v>65106</v>
      </c>
      <c r="EQ36" s="73">
        <f t="shared" si="12"/>
        <v>670741</v>
      </c>
      <c r="ER36" s="102">
        <v>14834338</v>
      </c>
      <c r="ES36" s="71">
        <v>-1670554</v>
      </c>
      <c r="ET36" s="102">
        <v>4612056</v>
      </c>
      <c r="EU36" s="102">
        <v>2913541</v>
      </c>
      <c r="EV36" s="102">
        <v>2197126</v>
      </c>
      <c r="EW36" s="102">
        <v>2927318</v>
      </c>
      <c r="EX36" s="73">
        <f t="shared" si="13"/>
        <v>357908</v>
      </c>
      <c r="EY36" s="102">
        <v>357908</v>
      </c>
      <c r="EZ36" s="102">
        <v>162113</v>
      </c>
      <c r="FA36" s="102">
        <v>194695</v>
      </c>
      <c r="FB36" s="102">
        <v>0</v>
      </c>
      <c r="FC36" s="102">
        <v>0</v>
      </c>
      <c r="FD36" s="102">
        <v>2253846</v>
      </c>
      <c r="FE36" s="102">
        <v>1484691</v>
      </c>
      <c r="FF36" s="102">
        <v>876787</v>
      </c>
      <c r="FG36" s="102">
        <v>1992044</v>
      </c>
      <c r="FH36" s="73">
        <f t="shared" si="14"/>
        <v>428057</v>
      </c>
      <c r="FI36" s="102">
        <v>16253046</v>
      </c>
      <c r="FJ36" s="379">
        <f t="shared" si="15"/>
        <v>1.3</v>
      </c>
      <c r="FK36" s="102">
        <v>13608929</v>
      </c>
      <c r="FL36" s="102">
        <v>940333</v>
      </c>
      <c r="FM36" s="102">
        <v>8045516</v>
      </c>
      <c r="FN36" s="102">
        <v>11478605</v>
      </c>
      <c r="FO36" s="428">
        <v>0.70599999999999996</v>
      </c>
      <c r="FP36" s="424">
        <v>97.6</v>
      </c>
      <c r="FQ36" s="425">
        <v>30.3</v>
      </c>
      <c r="FR36" s="424">
        <v>14.7</v>
      </c>
      <c r="FS36" s="424">
        <v>19.5</v>
      </c>
      <c r="FT36" s="425">
        <v>11.6</v>
      </c>
      <c r="FU36" s="424">
        <v>8.6</v>
      </c>
      <c r="FV36" s="426">
        <v>12.4</v>
      </c>
      <c r="FW36" s="388">
        <v>9.4</v>
      </c>
      <c r="FX36" s="102">
        <v>28302262</v>
      </c>
      <c r="FY36" s="384">
        <f t="shared" si="16"/>
        <v>194.5</v>
      </c>
      <c r="FZ36" s="102">
        <v>6549837</v>
      </c>
      <c r="GA36" s="102">
        <v>3825594</v>
      </c>
      <c r="GB36" s="102">
        <v>653572</v>
      </c>
      <c r="GC36" s="102">
        <v>2070671</v>
      </c>
      <c r="GD36" s="107">
        <v>0</v>
      </c>
      <c r="GE36" s="427">
        <v>7599</v>
      </c>
      <c r="GF36" s="386">
        <f>IF(GE36=0,"-",ROUND(GE36/(GW36)*100,1))</f>
        <v>52.2</v>
      </c>
      <c r="GG36" s="424">
        <v>99.7</v>
      </c>
      <c r="GH36" s="424">
        <v>41.4</v>
      </c>
      <c r="GI36" s="424">
        <v>99.3</v>
      </c>
      <c r="GJ36" s="102">
        <v>483</v>
      </c>
      <c r="GK36" s="429" t="s">
        <v>646</v>
      </c>
      <c r="GL36" s="429">
        <v>12.81</v>
      </c>
      <c r="GM36" s="117">
        <v>20</v>
      </c>
      <c r="GN36" s="429" t="s">
        <v>646</v>
      </c>
      <c r="GO36" s="430">
        <v>17.809999999999999</v>
      </c>
      <c r="GP36" s="387">
        <v>30</v>
      </c>
      <c r="GQ36" s="425">
        <v>9.4</v>
      </c>
      <c r="GR36" s="388">
        <v>25</v>
      </c>
      <c r="GS36" s="388">
        <v>35</v>
      </c>
      <c r="GT36" s="431">
        <v>86.7</v>
      </c>
      <c r="GU36" s="388">
        <v>350</v>
      </c>
      <c r="GV36" s="394"/>
      <c r="GW36" s="100">
        <f t="shared" si="17"/>
        <v>14549</v>
      </c>
      <c r="GX36" s="394"/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  <c r="HW36" s="394"/>
    </row>
    <row r="37" spans="1:231" x14ac:dyDescent="0.15">
      <c r="B37" s="89" t="s">
        <v>63</v>
      </c>
      <c r="C37" s="102">
        <v>7441093</v>
      </c>
      <c r="D37" s="73">
        <f t="shared" si="0"/>
        <v>3578795</v>
      </c>
      <c r="E37" s="102">
        <v>98008</v>
      </c>
      <c r="F37" s="102">
        <v>3480787</v>
      </c>
      <c r="G37" s="73">
        <f t="shared" si="1"/>
        <v>306361</v>
      </c>
      <c r="H37" s="102">
        <v>115263</v>
      </c>
      <c r="I37" s="102">
        <v>191098</v>
      </c>
      <c r="J37" s="102">
        <v>2775577</v>
      </c>
      <c r="K37" s="102">
        <v>1116523</v>
      </c>
      <c r="L37" s="102">
        <v>1325838</v>
      </c>
      <c r="M37" s="102">
        <v>302217</v>
      </c>
      <c r="N37" s="102">
        <v>310273</v>
      </c>
      <c r="O37" s="102">
        <v>369789</v>
      </c>
      <c r="P37" s="102">
        <v>195980</v>
      </c>
      <c r="Q37" s="102">
        <v>173809</v>
      </c>
      <c r="R37" s="102">
        <v>111850</v>
      </c>
      <c r="S37" s="74"/>
      <c r="T37" s="73">
        <f t="shared" si="2"/>
        <v>1073542</v>
      </c>
      <c r="U37" s="102">
        <v>13213</v>
      </c>
      <c r="V37" s="102">
        <v>60933</v>
      </c>
      <c r="W37" s="102">
        <v>35023</v>
      </c>
      <c r="X37" s="102">
        <v>922466</v>
      </c>
      <c r="Y37" s="102">
        <v>0</v>
      </c>
      <c r="Z37" s="102">
        <v>0</v>
      </c>
      <c r="AA37" s="102">
        <v>31960</v>
      </c>
      <c r="AB37" s="102">
        <v>9947</v>
      </c>
      <c r="AC37" s="102">
        <v>172490</v>
      </c>
      <c r="AD37" s="102">
        <v>3060355</v>
      </c>
      <c r="AE37" s="102">
        <v>2821906</v>
      </c>
      <c r="AF37" s="102">
        <v>238449</v>
      </c>
      <c r="AG37" s="102">
        <v>8126</v>
      </c>
      <c r="AH37" s="102">
        <v>181741</v>
      </c>
      <c r="AI37" s="73">
        <f t="shared" si="3"/>
        <v>225955</v>
      </c>
      <c r="AJ37" s="102">
        <v>181390</v>
      </c>
      <c r="AK37" s="102">
        <v>44565</v>
      </c>
      <c r="AL37" s="102">
        <v>3383797</v>
      </c>
      <c r="AM37" s="73">
        <f t="shared" si="4"/>
        <v>1821150</v>
      </c>
      <c r="AN37" s="102">
        <v>835283</v>
      </c>
      <c r="AO37" s="102">
        <v>527061</v>
      </c>
      <c r="AP37" s="74"/>
      <c r="AQ37" s="102">
        <v>458806</v>
      </c>
      <c r="AR37" s="102">
        <v>62649</v>
      </c>
      <c r="AS37" s="102">
        <v>0</v>
      </c>
      <c r="AT37" s="102">
        <v>0</v>
      </c>
      <c r="AU37" s="102">
        <v>1631300</v>
      </c>
      <c r="AV37" s="102">
        <v>982389</v>
      </c>
      <c r="AW37" s="102">
        <v>228290</v>
      </c>
      <c r="AX37" s="102">
        <v>14424</v>
      </c>
      <c r="AY37" s="102">
        <v>648911</v>
      </c>
      <c r="AZ37" s="102">
        <v>1833</v>
      </c>
      <c r="BA37" s="102">
        <v>22253</v>
      </c>
      <c r="BB37" s="102">
        <v>1883</v>
      </c>
      <c r="BC37" s="102">
        <v>32545</v>
      </c>
      <c r="BD37" s="102">
        <v>182539</v>
      </c>
      <c r="BE37" s="102">
        <v>130000</v>
      </c>
      <c r="BF37" s="102">
        <v>0</v>
      </c>
      <c r="BG37" s="102">
        <v>50077</v>
      </c>
      <c r="BH37" s="102">
        <v>0</v>
      </c>
      <c r="BI37" s="102">
        <v>510234</v>
      </c>
      <c r="BJ37" s="102">
        <v>466291</v>
      </c>
      <c r="BK37" s="102">
        <v>161497</v>
      </c>
      <c r="BL37" s="102">
        <v>72</v>
      </c>
      <c r="BM37" s="102">
        <v>0</v>
      </c>
      <c r="BN37" s="102">
        <v>0</v>
      </c>
      <c r="BO37" s="102">
        <v>1703000</v>
      </c>
      <c r="BP37" s="73">
        <f t="shared" si="5"/>
        <v>970800</v>
      </c>
      <c r="BQ37" s="73">
        <f t="shared" si="6"/>
        <v>732200</v>
      </c>
      <c r="BR37" s="102">
        <v>0</v>
      </c>
      <c r="BS37" s="102">
        <v>0</v>
      </c>
      <c r="BT37" s="102">
        <v>732200</v>
      </c>
      <c r="BU37" s="102">
        <v>0</v>
      </c>
      <c r="BV37" s="102">
        <v>19902317</v>
      </c>
      <c r="BW37" s="71"/>
      <c r="BX37" s="102">
        <v>3865079</v>
      </c>
      <c r="BY37" s="102">
        <v>2523360</v>
      </c>
      <c r="BZ37" s="102">
        <v>211787</v>
      </c>
      <c r="CA37" s="102">
        <v>341895</v>
      </c>
      <c r="CB37" s="102">
        <v>5618368</v>
      </c>
      <c r="CC37" s="102">
        <v>1455222</v>
      </c>
      <c r="CD37" s="102">
        <v>24224</v>
      </c>
      <c r="CE37" s="102">
        <v>2695923</v>
      </c>
      <c r="CF37" s="102">
        <v>1091829</v>
      </c>
      <c r="CG37" s="102">
        <v>267</v>
      </c>
      <c r="CH37" s="102">
        <v>350903</v>
      </c>
      <c r="CI37" s="102">
        <v>1707642</v>
      </c>
      <c r="CJ37" s="102">
        <v>1624794</v>
      </c>
      <c r="CK37" s="83">
        <f t="shared" si="7"/>
        <v>82848</v>
      </c>
      <c r="CL37" s="102">
        <v>3315600</v>
      </c>
      <c r="CM37" s="102">
        <v>2270746</v>
      </c>
      <c r="CN37" s="102">
        <v>172953</v>
      </c>
      <c r="CO37" s="102">
        <v>368633</v>
      </c>
      <c r="CP37" s="102">
        <v>31829</v>
      </c>
      <c r="CQ37" s="102">
        <v>1618449</v>
      </c>
      <c r="CR37" s="102">
        <v>327072</v>
      </c>
      <c r="CS37" s="102">
        <v>438690</v>
      </c>
      <c r="CT37" s="102">
        <v>212931</v>
      </c>
      <c r="CU37" s="73">
        <f t="shared" si="8"/>
        <v>377334</v>
      </c>
      <c r="CV37" s="102">
        <v>99403</v>
      </c>
      <c r="CW37" s="102">
        <v>277931</v>
      </c>
      <c r="CX37" s="73">
        <f t="shared" si="9"/>
        <v>0</v>
      </c>
      <c r="CY37" s="102">
        <v>0</v>
      </c>
      <c r="CZ37" s="102">
        <v>0</v>
      </c>
      <c r="DA37" s="73">
        <f t="shared" si="10"/>
        <v>341337</v>
      </c>
      <c r="DB37" s="102">
        <v>63406</v>
      </c>
      <c r="DC37" s="102">
        <v>277931</v>
      </c>
      <c r="DD37" s="102">
        <v>1557237</v>
      </c>
      <c r="DE37" s="102">
        <v>438521</v>
      </c>
      <c r="DF37" s="102">
        <v>1106554</v>
      </c>
      <c r="DG37" s="102">
        <v>12162</v>
      </c>
      <c r="DH37" s="102">
        <v>0</v>
      </c>
      <c r="DI37" s="102">
        <v>0</v>
      </c>
      <c r="DJ37" s="102">
        <v>135514</v>
      </c>
      <c r="DK37" s="102">
        <v>2050</v>
      </c>
      <c r="DL37" s="102">
        <v>4</v>
      </c>
      <c r="DM37" s="102">
        <v>133460</v>
      </c>
      <c r="DN37" s="102">
        <v>0</v>
      </c>
      <c r="DO37" s="102">
        <v>0</v>
      </c>
      <c r="DP37" s="102">
        <v>0</v>
      </c>
      <c r="DQ37" s="102">
        <v>0</v>
      </c>
      <c r="DR37" s="102">
        <v>0</v>
      </c>
      <c r="DS37" s="102">
        <v>0</v>
      </c>
      <c r="DT37" s="102">
        <v>0</v>
      </c>
      <c r="DU37" s="102">
        <v>1986331</v>
      </c>
      <c r="DV37" s="102">
        <v>0</v>
      </c>
      <c r="DW37" s="73">
        <f t="shared" si="11"/>
        <v>0</v>
      </c>
      <c r="DX37" s="102">
        <v>0</v>
      </c>
      <c r="DY37" s="102">
        <v>730140</v>
      </c>
      <c r="DZ37" s="102">
        <v>0</v>
      </c>
      <c r="EA37" s="102">
        <v>493750</v>
      </c>
      <c r="EB37" s="74">
        <v>0</v>
      </c>
      <c r="EC37" s="102">
        <v>748007</v>
      </c>
      <c r="ED37" s="102">
        <v>0</v>
      </c>
      <c r="EE37" s="102">
        <v>19836049</v>
      </c>
      <c r="EF37" s="71"/>
      <c r="EG37" s="102">
        <v>66268</v>
      </c>
      <c r="EH37" s="102">
        <v>15183</v>
      </c>
      <c r="EI37" s="102">
        <v>51085</v>
      </c>
      <c r="EJ37" s="102">
        <v>-415206</v>
      </c>
      <c r="EK37" s="102">
        <v>-543156</v>
      </c>
      <c r="EL37" s="71"/>
      <c r="EM37" s="102">
        <v>57792</v>
      </c>
      <c r="EN37" s="102">
        <v>58746</v>
      </c>
      <c r="EO37" s="102">
        <v>182462</v>
      </c>
      <c r="EP37" s="102">
        <v>18430</v>
      </c>
      <c r="EQ37" s="73">
        <f t="shared" si="12"/>
        <v>670154</v>
      </c>
      <c r="ER37" s="102">
        <v>11867456</v>
      </c>
      <c r="ES37" s="71">
        <v>-1595120</v>
      </c>
      <c r="ET37" s="102">
        <v>3578040</v>
      </c>
      <c r="EU37" s="102">
        <v>2308777</v>
      </c>
      <c r="EV37" s="102">
        <v>1651097</v>
      </c>
      <c r="EW37" s="102">
        <v>1707642</v>
      </c>
      <c r="EX37" s="73">
        <f t="shared" si="13"/>
        <v>354288</v>
      </c>
      <c r="EY37" s="102">
        <v>354288</v>
      </c>
      <c r="EZ37" s="102">
        <v>13309</v>
      </c>
      <c r="FA37" s="102">
        <v>339908</v>
      </c>
      <c r="FB37" s="102">
        <v>0</v>
      </c>
      <c r="FC37" s="102">
        <v>0</v>
      </c>
      <c r="FD37" s="102">
        <v>2924168</v>
      </c>
      <c r="FE37" s="102">
        <v>1417960</v>
      </c>
      <c r="FF37" s="102">
        <v>327072</v>
      </c>
      <c r="FG37" s="102">
        <v>1598982</v>
      </c>
      <c r="FH37" s="73">
        <f t="shared" si="14"/>
        <v>164131</v>
      </c>
      <c r="FI37" s="102">
        <v>13396308</v>
      </c>
      <c r="FJ37" s="379">
        <f t="shared" si="15"/>
        <v>0.4</v>
      </c>
      <c r="FK37" s="102">
        <v>11143650</v>
      </c>
      <c r="FL37" s="102">
        <v>732308</v>
      </c>
      <c r="FM37" s="102">
        <v>6458415</v>
      </c>
      <c r="FN37" s="102">
        <v>9284519</v>
      </c>
      <c r="FO37" s="428">
        <v>0.70299999999999996</v>
      </c>
      <c r="FP37" s="424">
        <v>99.3</v>
      </c>
      <c r="FQ37" s="425">
        <v>29</v>
      </c>
      <c r="FR37" s="424">
        <v>13.7</v>
      </c>
      <c r="FS37" s="424">
        <v>14.2</v>
      </c>
      <c r="FT37" s="425">
        <v>22.2</v>
      </c>
      <c r="FU37" s="424">
        <v>7.3</v>
      </c>
      <c r="FV37" s="426">
        <v>12.7</v>
      </c>
      <c r="FW37" s="388">
        <v>1.9</v>
      </c>
      <c r="FX37" s="102">
        <v>17375012</v>
      </c>
      <c r="FY37" s="384">
        <f t="shared" si="16"/>
        <v>146.30000000000001</v>
      </c>
      <c r="FZ37" s="102">
        <v>3817081</v>
      </c>
      <c r="GA37" s="102">
        <v>3038143</v>
      </c>
      <c r="GB37" s="102">
        <v>36876</v>
      </c>
      <c r="GC37" s="102">
        <v>742062</v>
      </c>
      <c r="GD37" s="107">
        <v>0</v>
      </c>
      <c r="GE37" s="427"/>
      <c r="GF37" s="386"/>
      <c r="GG37" s="424">
        <v>99.1</v>
      </c>
      <c r="GH37" s="424">
        <v>24.2</v>
      </c>
      <c r="GI37" s="424">
        <v>96.6</v>
      </c>
      <c r="GJ37" s="102">
        <v>380</v>
      </c>
      <c r="GK37" s="429" t="s">
        <v>646</v>
      </c>
      <c r="GL37" s="429">
        <v>13.07</v>
      </c>
      <c r="GM37" s="117">
        <v>20</v>
      </c>
      <c r="GN37" s="429" t="s">
        <v>646</v>
      </c>
      <c r="GO37" s="430">
        <v>18.07</v>
      </c>
      <c r="GP37" s="387">
        <v>30</v>
      </c>
      <c r="GQ37" s="425">
        <v>1.9</v>
      </c>
      <c r="GR37" s="388">
        <v>25</v>
      </c>
      <c r="GS37" s="388">
        <v>35</v>
      </c>
      <c r="GT37" s="431" t="s">
        <v>646</v>
      </c>
      <c r="GU37" s="388">
        <v>350</v>
      </c>
      <c r="GV37" s="394"/>
      <c r="GW37" s="100">
        <f t="shared" si="17"/>
        <v>11876</v>
      </c>
      <c r="GX37" s="394"/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  <c r="HW37" s="394"/>
    </row>
    <row r="38" spans="1:231" x14ac:dyDescent="0.15">
      <c r="B38" s="89" t="s">
        <v>65</v>
      </c>
      <c r="C38" s="102">
        <v>5489748</v>
      </c>
      <c r="D38" s="73">
        <f t="shared" si="0"/>
        <v>2447264</v>
      </c>
      <c r="E38" s="102">
        <v>89359</v>
      </c>
      <c r="F38" s="102">
        <v>2357905</v>
      </c>
      <c r="G38" s="73">
        <f t="shared" si="1"/>
        <v>262620</v>
      </c>
      <c r="H38" s="102">
        <v>80653</v>
      </c>
      <c r="I38" s="102">
        <v>181967</v>
      </c>
      <c r="J38" s="102">
        <v>1991712</v>
      </c>
      <c r="K38" s="102">
        <v>650638</v>
      </c>
      <c r="L38" s="102">
        <v>1022157</v>
      </c>
      <c r="M38" s="102">
        <v>264128</v>
      </c>
      <c r="N38" s="102">
        <v>253150</v>
      </c>
      <c r="O38" s="102">
        <v>397565</v>
      </c>
      <c r="P38" s="102">
        <v>184123</v>
      </c>
      <c r="Q38" s="102">
        <v>213442</v>
      </c>
      <c r="R38" s="102">
        <v>111724</v>
      </c>
      <c r="S38" s="74"/>
      <c r="T38" s="73">
        <f t="shared" si="2"/>
        <v>922465</v>
      </c>
      <c r="U38" s="102">
        <v>9180</v>
      </c>
      <c r="V38" s="102">
        <v>42286</v>
      </c>
      <c r="W38" s="102">
        <v>24256</v>
      </c>
      <c r="X38" s="102">
        <v>802901</v>
      </c>
      <c r="Y38" s="102">
        <v>2310</v>
      </c>
      <c r="Z38" s="102">
        <v>0</v>
      </c>
      <c r="AA38" s="102">
        <v>31673</v>
      </c>
      <c r="AB38" s="102">
        <v>9859</v>
      </c>
      <c r="AC38" s="102">
        <v>113264</v>
      </c>
      <c r="AD38" s="102">
        <v>4611169</v>
      </c>
      <c r="AE38" s="102">
        <v>4340722</v>
      </c>
      <c r="AF38" s="102">
        <v>270447</v>
      </c>
      <c r="AG38" s="102">
        <v>6678</v>
      </c>
      <c r="AH38" s="102">
        <v>7990</v>
      </c>
      <c r="AI38" s="73">
        <f t="shared" si="3"/>
        <v>243759</v>
      </c>
      <c r="AJ38" s="102">
        <v>155651</v>
      </c>
      <c r="AK38" s="102">
        <v>88108</v>
      </c>
      <c r="AL38" s="102">
        <v>2929470</v>
      </c>
      <c r="AM38" s="73">
        <f t="shared" si="4"/>
        <v>1817378</v>
      </c>
      <c r="AN38" s="102">
        <v>835038</v>
      </c>
      <c r="AO38" s="102">
        <v>435019</v>
      </c>
      <c r="AP38" s="74"/>
      <c r="AQ38" s="102">
        <v>547321</v>
      </c>
      <c r="AR38" s="102">
        <v>105617</v>
      </c>
      <c r="AS38" s="102">
        <v>16327</v>
      </c>
      <c r="AT38" s="102">
        <v>0</v>
      </c>
      <c r="AU38" s="102">
        <v>1492135</v>
      </c>
      <c r="AV38" s="102">
        <v>804408</v>
      </c>
      <c r="AW38" s="102">
        <v>182601</v>
      </c>
      <c r="AX38" s="102">
        <v>0</v>
      </c>
      <c r="AY38" s="102">
        <v>687727</v>
      </c>
      <c r="AZ38" s="102">
        <v>0</v>
      </c>
      <c r="BA38" s="102">
        <v>11161</v>
      </c>
      <c r="BB38" s="102">
        <v>4335</v>
      </c>
      <c r="BC38" s="102">
        <v>257563</v>
      </c>
      <c r="BD38" s="102">
        <v>454539</v>
      </c>
      <c r="BE38" s="102">
        <v>206751</v>
      </c>
      <c r="BF38" s="102">
        <v>0</v>
      </c>
      <c r="BG38" s="102">
        <v>247748</v>
      </c>
      <c r="BH38" s="102">
        <v>0</v>
      </c>
      <c r="BI38" s="102">
        <v>272540</v>
      </c>
      <c r="BJ38" s="102">
        <v>266463</v>
      </c>
      <c r="BK38" s="102">
        <v>215507</v>
      </c>
      <c r="BL38" s="102">
        <v>0</v>
      </c>
      <c r="BM38" s="102">
        <v>0</v>
      </c>
      <c r="BN38" s="102">
        <v>0</v>
      </c>
      <c r="BO38" s="102">
        <v>945236</v>
      </c>
      <c r="BP38" s="73">
        <f t="shared" si="5"/>
        <v>387800</v>
      </c>
      <c r="BQ38" s="73">
        <f t="shared" si="6"/>
        <v>557436</v>
      </c>
      <c r="BR38" s="102">
        <v>0</v>
      </c>
      <c r="BS38" s="102">
        <v>0</v>
      </c>
      <c r="BT38" s="102">
        <v>557436</v>
      </c>
      <c r="BU38" s="102">
        <v>0</v>
      </c>
      <c r="BV38" s="102">
        <v>18084948</v>
      </c>
      <c r="BW38" s="71"/>
      <c r="BX38" s="102">
        <v>3047598</v>
      </c>
      <c r="BY38" s="102">
        <v>2185437</v>
      </c>
      <c r="BZ38" s="102">
        <v>199876</v>
      </c>
      <c r="CA38" s="102">
        <v>16469</v>
      </c>
      <c r="CB38" s="102">
        <v>4580609</v>
      </c>
      <c r="CC38" s="102">
        <v>1350822</v>
      </c>
      <c r="CD38" s="102">
        <v>27632</v>
      </c>
      <c r="CE38" s="102">
        <v>1892674</v>
      </c>
      <c r="CF38" s="102">
        <v>1081160</v>
      </c>
      <c r="CG38" s="102">
        <v>4057</v>
      </c>
      <c r="CH38" s="102">
        <v>212514</v>
      </c>
      <c r="CI38" s="102">
        <v>1861231</v>
      </c>
      <c r="CJ38" s="102">
        <v>1726181</v>
      </c>
      <c r="CK38" s="83">
        <f t="shared" si="7"/>
        <v>135050</v>
      </c>
      <c r="CL38" s="102">
        <v>2473460</v>
      </c>
      <c r="CM38" s="102">
        <v>1444711</v>
      </c>
      <c r="CN38" s="102">
        <v>401201</v>
      </c>
      <c r="CO38" s="102">
        <v>340809</v>
      </c>
      <c r="CP38" s="102">
        <v>60378</v>
      </c>
      <c r="CQ38" s="102">
        <v>2384984</v>
      </c>
      <c r="CR38" s="102">
        <v>1070056</v>
      </c>
      <c r="CS38" s="102">
        <v>276250</v>
      </c>
      <c r="CT38" s="102">
        <v>276250</v>
      </c>
      <c r="CU38" s="73">
        <f t="shared" si="8"/>
        <v>710751</v>
      </c>
      <c r="CV38" s="102">
        <v>297595</v>
      </c>
      <c r="CW38" s="102">
        <v>413156</v>
      </c>
      <c r="CX38" s="73">
        <f t="shared" si="9"/>
        <v>285569</v>
      </c>
      <c r="CY38" s="102">
        <v>237753</v>
      </c>
      <c r="CZ38" s="102">
        <v>47816</v>
      </c>
      <c r="DA38" s="73">
        <f t="shared" si="10"/>
        <v>425182</v>
      </c>
      <c r="DB38" s="102">
        <v>59842</v>
      </c>
      <c r="DC38" s="102">
        <v>365340</v>
      </c>
      <c r="DD38" s="102">
        <v>555461</v>
      </c>
      <c r="DE38" s="102">
        <v>285305</v>
      </c>
      <c r="DF38" s="102">
        <v>270156</v>
      </c>
      <c r="DG38" s="102">
        <v>0</v>
      </c>
      <c r="DH38" s="102">
        <v>0</v>
      </c>
      <c r="DI38" s="102">
        <v>50857</v>
      </c>
      <c r="DJ38" s="102">
        <v>280623</v>
      </c>
      <c r="DK38" s="102">
        <v>474</v>
      </c>
      <c r="DL38" s="102">
        <v>41</v>
      </c>
      <c r="DM38" s="102">
        <v>280108</v>
      </c>
      <c r="DN38" s="102">
        <v>148840</v>
      </c>
      <c r="DO38" s="102">
        <v>148840</v>
      </c>
      <c r="DP38" s="102">
        <v>0</v>
      </c>
      <c r="DQ38" s="102">
        <v>0</v>
      </c>
      <c r="DR38" s="102">
        <v>0</v>
      </c>
      <c r="DS38" s="102">
        <v>0</v>
      </c>
      <c r="DT38" s="102">
        <v>0</v>
      </c>
      <c r="DU38" s="102">
        <v>2367132</v>
      </c>
      <c r="DV38" s="102">
        <v>0</v>
      </c>
      <c r="DW38" s="73">
        <f t="shared" si="11"/>
        <v>0</v>
      </c>
      <c r="DX38" s="102">
        <v>0</v>
      </c>
      <c r="DY38" s="102">
        <v>909684</v>
      </c>
      <c r="DZ38" s="102">
        <v>0</v>
      </c>
      <c r="EA38" s="102">
        <v>655979</v>
      </c>
      <c r="EB38" s="74">
        <v>0</v>
      </c>
      <c r="EC38" s="102">
        <v>801469</v>
      </c>
      <c r="ED38" s="102">
        <v>0</v>
      </c>
      <c r="EE38" s="102">
        <v>17811173</v>
      </c>
      <c r="EF38" s="71"/>
      <c r="EG38" s="102">
        <v>273775</v>
      </c>
      <c r="EH38" s="102">
        <v>4852</v>
      </c>
      <c r="EI38" s="102">
        <v>268923</v>
      </c>
      <c r="EJ38" s="102">
        <v>2460</v>
      </c>
      <c r="EK38" s="102">
        <v>-203817</v>
      </c>
      <c r="EL38" s="71"/>
      <c r="EM38" s="102">
        <v>54276</v>
      </c>
      <c r="EN38" s="102">
        <v>53880</v>
      </c>
      <c r="EO38" s="102">
        <v>206791</v>
      </c>
      <c r="EP38" s="102">
        <v>6793</v>
      </c>
      <c r="EQ38" s="73">
        <f t="shared" si="12"/>
        <v>371947</v>
      </c>
      <c r="ER38" s="102">
        <v>11255048</v>
      </c>
      <c r="ES38" s="71">
        <v>-1136289</v>
      </c>
      <c r="ET38" s="102">
        <v>2781779</v>
      </c>
      <c r="EU38" s="102">
        <v>2185437</v>
      </c>
      <c r="EV38" s="102">
        <v>1278805</v>
      </c>
      <c r="EW38" s="102">
        <v>1858091</v>
      </c>
      <c r="EX38" s="73">
        <f t="shared" si="13"/>
        <v>71212</v>
      </c>
      <c r="EY38" s="102">
        <v>67997</v>
      </c>
      <c r="EZ38" s="102">
        <v>15734</v>
      </c>
      <c r="FA38" s="102">
        <v>52263</v>
      </c>
      <c r="FB38" s="102">
        <v>3215</v>
      </c>
      <c r="FC38" s="102">
        <v>0</v>
      </c>
      <c r="FD38" s="102">
        <v>1932744</v>
      </c>
      <c r="FE38" s="102">
        <v>2095534</v>
      </c>
      <c r="FF38" s="102">
        <v>1023578</v>
      </c>
      <c r="FG38" s="102">
        <v>1891142</v>
      </c>
      <c r="FH38" s="73">
        <f t="shared" si="14"/>
        <v>208255</v>
      </c>
      <c r="FI38" s="102">
        <v>12117562</v>
      </c>
      <c r="FJ38" s="379">
        <f t="shared" si="15"/>
        <v>2.4</v>
      </c>
      <c r="FK38" s="102">
        <v>10495331</v>
      </c>
      <c r="FL38" s="102">
        <v>557436</v>
      </c>
      <c r="FM38" s="102">
        <v>4864766</v>
      </c>
      <c r="FN38" s="102">
        <v>9213602</v>
      </c>
      <c r="FO38" s="428">
        <v>0.53700000000000003</v>
      </c>
      <c r="FP38" s="424">
        <v>98.2</v>
      </c>
      <c r="FQ38" s="425">
        <v>24.2</v>
      </c>
      <c r="FR38" s="424">
        <v>11.4</v>
      </c>
      <c r="FS38" s="424">
        <v>15</v>
      </c>
      <c r="FT38" s="425">
        <v>15.6</v>
      </c>
      <c r="FU38" s="424">
        <v>14</v>
      </c>
      <c r="FV38" s="426">
        <v>16.8</v>
      </c>
      <c r="FW38" s="388">
        <v>7.4</v>
      </c>
      <c r="FX38" s="102">
        <v>16884310</v>
      </c>
      <c r="FY38" s="384">
        <f t="shared" si="16"/>
        <v>152.80000000000001</v>
      </c>
      <c r="FZ38" s="102">
        <v>1832748</v>
      </c>
      <c r="GA38" s="102">
        <v>720683</v>
      </c>
      <c r="GB38" s="102">
        <v>216006</v>
      </c>
      <c r="GC38" s="102">
        <v>896059</v>
      </c>
      <c r="GD38" s="107">
        <v>0</v>
      </c>
      <c r="GE38" s="427"/>
      <c r="GF38" s="386"/>
      <c r="GG38" s="424">
        <v>98.7</v>
      </c>
      <c r="GH38" s="424">
        <v>32.700000000000003</v>
      </c>
      <c r="GI38" s="424">
        <v>96.5</v>
      </c>
      <c r="GJ38" s="102">
        <v>341</v>
      </c>
      <c r="GK38" s="429" t="s">
        <v>646</v>
      </c>
      <c r="GL38" s="429">
        <v>13.17</v>
      </c>
      <c r="GM38" s="117">
        <v>20</v>
      </c>
      <c r="GN38" s="429" t="s">
        <v>646</v>
      </c>
      <c r="GO38" s="430">
        <v>18.170000000000002</v>
      </c>
      <c r="GP38" s="387">
        <v>30</v>
      </c>
      <c r="GQ38" s="425">
        <v>7.4</v>
      </c>
      <c r="GR38" s="388">
        <v>25</v>
      </c>
      <c r="GS38" s="388">
        <v>35</v>
      </c>
      <c r="GT38" s="431">
        <v>76.2</v>
      </c>
      <c r="GU38" s="388">
        <v>350</v>
      </c>
      <c r="GV38" s="394"/>
      <c r="GW38" s="100">
        <f t="shared" si="17"/>
        <v>11053</v>
      </c>
      <c r="GX38" s="394"/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  <c r="HW38" s="394"/>
    </row>
    <row r="39" spans="1:231" s="112" customFormat="1" x14ac:dyDescent="0.15">
      <c r="A39" s="126"/>
      <c r="B39" s="126" t="s">
        <v>67</v>
      </c>
      <c r="C39" s="129">
        <v>774606647</v>
      </c>
      <c r="D39" s="127">
        <f t="shared" si="0"/>
        <v>295895316</v>
      </c>
      <c r="E39" s="129">
        <v>8347706</v>
      </c>
      <c r="F39" s="129">
        <v>287547610</v>
      </c>
      <c r="G39" s="127">
        <f t="shared" si="1"/>
        <v>59023984</v>
      </c>
      <c r="H39" s="129">
        <v>13785649</v>
      </c>
      <c r="I39" s="129">
        <v>45238335</v>
      </c>
      <c r="J39" s="129">
        <v>307719382</v>
      </c>
      <c r="K39" s="129">
        <v>126443868</v>
      </c>
      <c r="L39" s="129">
        <v>135796561</v>
      </c>
      <c r="M39" s="129">
        <v>40134035</v>
      </c>
      <c r="N39" s="129">
        <v>32296017</v>
      </c>
      <c r="O39" s="129">
        <v>63827839</v>
      </c>
      <c r="P39" s="129">
        <v>34618554</v>
      </c>
      <c r="Q39" s="129">
        <v>29209285</v>
      </c>
      <c r="R39" s="129">
        <v>10375045</v>
      </c>
      <c r="S39" s="129">
        <f>SUM(S8:S38)</f>
        <v>0</v>
      </c>
      <c r="T39" s="129">
        <f>SUM(T8:T38)</f>
        <v>95733181</v>
      </c>
      <c r="U39" s="129">
        <v>1063828</v>
      </c>
      <c r="V39" s="129">
        <v>4908606</v>
      </c>
      <c r="W39" s="129">
        <v>2824884</v>
      </c>
      <c r="X39" s="129">
        <v>83181330</v>
      </c>
      <c r="Y39" s="129">
        <v>603711</v>
      </c>
      <c r="Z39" s="129">
        <v>0</v>
      </c>
      <c r="AA39" s="129">
        <v>2402858</v>
      </c>
      <c r="AB39" s="129">
        <v>747964</v>
      </c>
      <c r="AC39" s="129">
        <v>11449392</v>
      </c>
      <c r="AD39" s="129">
        <v>191070050</v>
      </c>
      <c r="AE39" s="129">
        <v>180339260</v>
      </c>
      <c r="AF39" s="129">
        <v>10730634</v>
      </c>
      <c r="AG39" s="129">
        <v>642327</v>
      </c>
      <c r="AH39" s="129">
        <v>14724383</v>
      </c>
      <c r="AI39" s="129">
        <f>SUM(AI8:AI38)</f>
        <v>31912380</v>
      </c>
      <c r="AJ39" s="129">
        <v>23930816</v>
      </c>
      <c r="AK39" s="129">
        <v>7981564</v>
      </c>
      <c r="AL39" s="129">
        <v>406944597</v>
      </c>
      <c r="AM39" s="129">
        <f>SUM(AM8:AM38)</f>
        <v>253372912</v>
      </c>
      <c r="AN39" s="129">
        <v>152383941</v>
      </c>
      <c r="AO39" s="129">
        <v>43306820</v>
      </c>
      <c r="AP39" s="129">
        <f>SUM(AP8:AP38)</f>
        <v>0</v>
      </c>
      <c r="AQ39" s="129">
        <v>57682151</v>
      </c>
      <c r="AR39" s="129">
        <v>15000832</v>
      </c>
      <c r="AS39" s="129">
        <v>1002031</v>
      </c>
      <c r="AT39" s="129">
        <v>271647</v>
      </c>
      <c r="AU39" s="129">
        <v>152275153</v>
      </c>
      <c r="AV39" s="129">
        <v>97753135</v>
      </c>
      <c r="AW39" s="129">
        <v>18051926</v>
      </c>
      <c r="AX39" s="129">
        <v>4123495</v>
      </c>
      <c r="AY39" s="129">
        <v>54522018</v>
      </c>
      <c r="AZ39" s="129">
        <v>3860093</v>
      </c>
      <c r="BA39" s="129">
        <v>16666594</v>
      </c>
      <c r="BB39" s="129">
        <v>14182876</v>
      </c>
      <c r="BC39" s="129">
        <v>25256024</v>
      </c>
      <c r="BD39" s="129">
        <v>55174640</v>
      </c>
      <c r="BE39" s="129">
        <v>7017693</v>
      </c>
      <c r="BF39" s="129">
        <v>2876192</v>
      </c>
      <c r="BG39" s="129">
        <v>43716931</v>
      </c>
      <c r="BH39" s="129">
        <v>1253452</v>
      </c>
      <c r="BI39" s="129">
        <v>29717609</v>
      </c>
      <c r="BJ39" s="129">
        <v>19210306</v>
      </c>
      <c r="BK39" s="129">
        <v>40004624</v>
      </c>
      <c r="BL39" s="129">
        <v>10253637</v>
      </c>
      <c r="BM39" s="129">
        <v>151100</v>
      </c>
      <c r="BN39" s="129">
        <v>4686090</v>
      </c>
      <c r="BO39" s="129">
        <v>133890868</v>
      </c>
      <c r="BP39" s="127">
        <f t="shared" si="5"/>
        <v>78003900</v>
      </c>
      <c r="BQ39" s="127">
        <f t="shared" si="6"/>
        <v>55886968</v>
      </c>
      <c r="BR39" s="129">
        <v>0</v>
      </c>
      <c r="BS39" s="129">
        <v>19400</v>
      </c>
      <c r="BT39" s="129">
        <v>55867568</v>
      </c>
      <c r="BU39" s="129">
        <v>0</v>
      </c>
      <c r="BV39" s="129">
        <v>1990715161</v>
      </c>
      <c r="BW39" s="129"/>
      <c r="BX39" s="129">
        <v>289494556</v>
      </c>
      <c r="BY39" s="129">
        <v>194363354</v>
      </c>
      <c r="BZ39" s="129">
        <v>17049959</v>
      </c>
      <c r="CA39" s="129">
        <v>23294630</v>
      </c>
      <c r="CB39" s="129">
        <v>620157857</v>
      </c>
      <c r="CC39" s="129">
        <v>142182470</v>
      </c>
      <c r="CD39" s="129">
        <v>2931031</v>
      </c>
      <c r="CE39" s="129">
        <v>249876162</v>
      </c>
      <c r="CF39" s="129">
        <v>201436799</v>
      </c>
      <c r="CG39" s="129">
        <v>4685092</v>
      </c>
      <c r="CH39" s="129">
        <v>18965113</v>
      </c>
      <c r="CI39" s="129">
        <v>148854829</v>
      </c>
      <c r="CJ39" s="129">
        <v>139299601</v>
      </c>
      <c r="CK39" s="129">
        <f>SUM(CK8:CK38)</f>
        <v>9555228</v>
      </c>
      <c r="CL39" s="129">
        <v>239642520</v>
      </c>
      <c r="CM39" s="129">
        <v>149073689</v>
      </c>
      <c r="CN39" s="129">
        <v>15724807</v>
      </c>
      <c r="CO39" s="129">
        <v>36031014</v>
      </c>
      <c r="CP39" s="129">
        <v>14577184</v>
      </c>
      <c r="CQ39" s="129">
        <v>191326623</v>
      </c>
      <c r="CR39" s="129">
        <v>35557152</v>
      </c>
      <c r="CS39" s="129">
        <v>37942534</v>
      </c>
      <c r="CT39" s="129">
        <v>27741284</v>
      </c>
      <c r="CU39" s="127">
        <f t="shared" si="8"/>
        <v>60758573</v>
      </c>
      <c r="CV39" s="129">
        <v>42754762</v>
      </c>
      <c r="CW39" s="129">
        <v>18003811</v>
      </c>
      <c r="CX39" s="127">
        <f t="shared" si="9"/>
        <v>10304523</v>
      </c>
      <c r="CY39" s="129">
        <v>8226028</v>
      </c>
      <c r="CZ39" s="129">
        <v>2078495</v>
      </c>
      <c r="DA39" s="127">
        <f t="shared" si="10"/>
        <v>48254248</v>
      </c>
      <c r="DB39" s="129">
        <v>33771808</v>
      </c>
      <c r="DC39" s="129">
        <v>14482440</v>
      </c>
      <c r="DD39" s="129">
        <v>174204635</v>
      </c>
      <c r="DE39" s="129">
        <v>78852776</v>
      </c>
      <c r="DF39" s="129">
        <v>86616105</v>
      </c>
      <c r="DG39" s="129">
        <v>2284960</v>
      </c>
      <c r="DH39" s="129">
        <v>6444421</v>
      </c>
      <c r="DI39" s="129">
        <v>3422129</v>
      </c>
      <c r="DJ39" s="129">
        <v>61986773</v>
      </c>
      <c r="DK39" s="129">
        <v>14361362</v>
      </c>
      <c r="DL39" s="129">
        <v>1274925</v>
      </c>
      <c r="DM39" s="129">
        <v>46350486</v>
      </c>
      <c r="DN39" s="129">
        <v>6869412</v>
      </c>
      <c r="DO39" s="129">
        <v>6395462</v>
      </c>
      <c r="DP39" s="129">
        <v>288274</v>
      </c>
      <c r="DQ39" s="129">
        <v>1385993</v>
      </c>
      <c r="DR39" s="129">
        <v>10059477</v>
      </c>
      <c r="DS39" s="129">
        <v>0</v>
      </c>
      <c r="DT39" s="129">
        <v>0</v>
      </c>
      <c r="DU39" s="129">
        <v>191960193</v>
      </c>
      <c r="DV39" s="129">
        <v>4927556</v>
      </c>
      <c r="DW39" s="127">
        <f t="shared" si="11"/>
        <v>0</v>
      </c>
      <c r="DX39" s="129">
        <v>0</v>
      </c>
      <c r="DY39" s="129">
        <v>68452158</v>
      </c>
      <c r="DZ39" s="129">
        <v>40066</v>
      </c>
      <c r="EA39" s="129">
        <v>52386939</v>
      </c>
      <c r="EB39" s="129">
        <v>0</v>
      </c>
      <c r="EC39" s="129">
        <v>65129401</v>
      </c>
      <c r="ED39" s="129">
        <v>0</v>
      </c>
      <c r="EE39" s="129">
        <v>1952556188</v>
      </c>
      <c r="EF39" s="129"/>
      <c r="EG39" s="129">
        <v>38158973</v>
      </c>
      <c r="EH39" s="129">
        <v>14945407</v>
      </c>
      <c r="EI39" s="129">
        <v>23213566</v>
      </c>
      <c r="EJ39" s="129">
        <v>1398261</v>
      </c>
      <c r="EK39" s="129">
        <v>10326472</v>
      </c>
      <c r="EL39" s="129"/>
      <c r="EM39" s="129">
        <f>SUM(EM8:EM38)</f>
        <v>5127461</v>
      </c>
      <c r="EN39" s="129">
        <f>SUM(EN8:EN38)</f>
        <v>5104497</v>
      </c>
      <c r="EO39" s="129">
        <v>40204944</v>
      </c>
      <c r="EP39" s="129">
        <v>13249478</v>
      </c>
      <c r="EQ39" s="127">
        <f t="shared" si="12"/>
        <v>53250784</v>
      </c>
      <c r="ER39" s="129">
        <v>1084148289</v>
      </c>
      <c r="ES39" s="129">
        <v>-161678200</v>
      </c>
      <c r="ET39" s="129">
        <v>265278636</v>
      </c>
      <c r="EU39" s="129">
        <v>176481499</v>
      </c>
      <c r="EV39" s="129">
        <v>185318252</v>
      </c>
      <c r="EW39" s="129">
        <v>146440727</v>
      </c>
      <c r="EX39" s="127">
        <f t="shared" si="13"/>
        <v>37885140</v>
      </c>
      <c r="EY39" s="129">
        <v>37554113</v>
      </c>
      <c r="EZ39" s="129">
        <v>4682466</v>
      </c>
      <c r="FA39" s="129">
        <v>32321526</v>
      </c>
      <c r="FB39" s="129">
        <v>331027</v>
      </c>
      <c r="FC39" s="129">
        <v>0</v>
      </c>
      <c r="FD39" s="129">
        <v>192275442</v>
      </c>
      <c r="FE39" s="129">
        <v>172383895</v>
      </c>
      <c r="FF39" s="129">
        <v>34913889</v>
      </c>
      <c r="FG39" s="129">
        <v>152794965</v>
      </c>
      <c r="FH39" s="127">
        <f t="shared" si="14"/>
        <v>56627786</v>
      </c>
      <c r="FI39" s="129">
        <v>1209004843</v>
      </c>
      <c r="FJ39" s="396">
        <f t="shared" si="15"/>
        <v>2.2000000000000002</v>
      </c>
      <c r="FK39" s="129">
        <v>986855899</v>
      </c>
      <c r="FL39" s="129">
        <v>62385117</v>
      </c>
      <c r="FM39" s="129">
        <v>625672411</v>
      </c>
      <c r="FN39" s="129">
        <v>806760717</v>
      </c>
      <c r="FO39" s="432">
        <v>0.78100000000000003</v>
      </c>
      <c r="FP39" s="433">
        <v>96.7</v>
      </c>
      <c r="FQ39" s="434">
        <v>24.3</v>
      </c>
      <c r="FR39" s="433">
        <v>17.2</v>
      </c>
      <c r="FS39" s="433">
        <v>13.5</v>
      </c>
      <c r="FT39" s="434">
        <v>15.7</v>
      </c>
      <c r="FU39" s="433">
        <v>11.5</v>
      </c>
      <c r="FV39" s="435">
        <v>13</v>
      </c>
      <c r="FW39" s="402">
        <v>3.3</v>
      </c>
      <c r="FX39" s="129">
        <v>1497959489</v>
      </c>
      <c r="FY39" s="402">
        <f t="shared" si="16"/>
        <v>142.80000000000001</v>
      </c>
      <c r="FZ39" s="129">
        <v>367644518</v>
      </c>
      <c r="GA39" s="129">
        <v>151858453</v>
      </c>
      <c r="GB39" s="129">
        <v>26039329</v>
      </c>
      <c r="GC39" s="129">
        <v>189746736</v>
      </c>
      <c r="GD39" s="129">
        <v>0</v>
      </c>
      <c r="GE39" s="129">
        <f>SUM(GE8:GE38)</f>
        <v>27022</v>
      </c>
      <c r="GF39" s="403">
        <f>IF(GE39=0,"-",ROUND(GE39/GX39*100,1))</f>
        <v>7.7</v>
      </c>
      <c r="GG39" s="433">
        <v>99.4</v>
      </c>
      <c r="GH39" s="433">
        <v>36.1</v>
      </c>
      <c r="GI39" s="433">
        <v>98.2</v>
      </c>
      <c r="GJ39" s="129">
        <f>SUM(GJ8:GJ38)</f>
        <v>29652</v>
      </c>
      <c r="GK39" s="404" t="s">
        <v>646</v>
      </c>
      <c r="GL39" s="404" t="s">
        <v>646</v>
      </c>
      <c r="GM39" s="405" t="s">
        <v>646</v>
      </c>
      <c r="GN39" s="404" t="s">
        <v>646</v>
      </c>
      <c r="GO39" s="404" t="s">
        <v>646</v>
      </c>
      <c r="GP39" s="405" t="s">
        <v>646</v>
      </c>
      <c r="GQ39" s="434">
        <v>3.3</v>
      </c>
      <c r="GR39" s="403" t="s">
        <v>646</v>
      </c>
      <c r="GS39" s="403" t="s">
        <v>646</v>
      </c>
      <c r="GT39" s="406" t="s">
        <v>646</v>
      </c>
      <c r="GU39" s="403" t="s">
        <v>646</v>
      </c>
      <c r="GV39" s="407"/>
      <c r="GW39" s="128">
        <f t="shared" si="17"/>
        <v>1049241</v>
      </c>
      <c r="GX39" s="408">
        <f>GW12+GW13+GW16+GW17+GW19+GW23+GW26+GW27+GW30+GW31+GW36</f>
        <v>351615</v>
      </c>
      <c r="GY39" s="408"/>
      <c r="GZ39" s="408"/>
      <c r="HA39" s="408"/>
      <c r="HB39" s="408"/>
      <c r="HC39" s="408"/>
      <c r="HD39" s="408"/>
      <c r="HE39" s="408"/>
      <c r="HF39" s="408"/>
      <c r="HG39" s="408"/>
      <c r="HH39" s="408"/>
      <c r="HI39" s="408"/>
      <c r="HJ39" s="408"/>
      <c r="HK39" s="408"/>
      <c r="HL39" s="408"/>
      <c r="HM39" s="408"/>
      <c r="HN39" s="408"/>
      <c r="HO39" s="408"/>
      <c r="HP39" s="408"/>
      <c r="HQ39" s="408"/>
      <c r="HR39" s="408"/>
      <c r="HS39" s="408"/>
      <c r="HT39" s="408"/>
      <c r="HU39" s="408"/>
      <c r="HV39" s="408"/>
      <c r="HW39" s="408"/>
    </row>
    <row r="40" spans="1:231" x14ac:dyDescent="0.15">
      <c r="B40" s="89" t="s">
        <v>69</v>
      </c>
      <c r="C40" s="102">
        <v>5158774</v>
      </c>
      <c r="D40" s="73">
        <f t="shared" si="0"/>
        <v>1796794</v>
      </c>
      <c r="E40" s="102">
        <v>53250</v>
      </c>
      <c r="F40" s="102">
        <v>1743544</v>
      </c>
      <c r="G40" s="73">
        <f t="shared" si="1"/>
        <v>893381</v>
      </c>
      <c r="H40" s="102">
        <v>50364</v>
      </c>
      <c r="I40" s="102">
        <v>843017</v>
      </c>
      <c r="J40" s="102">
        <v>1944681</v>
      </c>
      <c r="K40" s="102">
        <v>646573</v>
      </c>
      <c r="L40" s="102">
        <v>897407</v>
      </c>
      <c r="M40" s="102">
        <v>374437</v>
      </c>
      <c r="N40" s="102">
        <v>107748</v>
      </c>
      <c r="O40" s="102">
        <v>384767</v>
      </c>
      <c r="P40" s="102">
        <v>183736</v>
      </c>
      <c r="Q40" s="102">
        <v>201031</v>
      </c>
      <c r="R40" s="102">
        <v>53475</v>
      </c>
      <c r="S40" s="74"/>
      <c r="T40" s="73">
        <f t="shared" ref="T40:T52" si="18">SUM(U40:AB40)</f>
        <v>563590</v>
      </c>
      <c r="U40" s="102">
        <v>6612</v>
      </c>
      <c r="V40" s="102">
        <v>30465</v>
      </c>
      <c r="W40" s="102">
        <v>17485</v>
      </c>
      <c r="X40" s="102">
        <v>447917</v>
      </c>
      <c r="Y40" s="102">
        <v>41303</v>
      </c>
      <c r="Z40" s="102">
        <v>0</v>
      </c>
      <c r="AA40" s="102">
        <v>15107</v>
      </c>
      <c r="AB40" s="102">
        <v>4701</v>
      </c>
      <c r="AC40" s="102">
        <v>117193</v>
      </c>
      <c r="AD40" s="102">
        <v>1252448</v>
      </c>
      <c r="AE40" s="102">
        <v>1185107</v>
      </c>
      <c r="AF40" s="102">
        <v>67341</v>
      </c>
      <c r="AG40" s="102">
        <v>2624</v>
      </c>
      <c r="AH40" s="102">
        <v>98132</v>
      </c>
      <c r="AI40" s="73">
        <f t="shared" ref="AI40:AI52" si="19">AJ40+AK40</f>
        <v>256373</v>
      </c>
      <c r="AJ40" s="102">
        <v>219145</v>
      </c>
      <c r="AK40" s="102">
        <v>37228</v>
      </c>
      <c r="AL40" s="102">
        <v>1551866</v>
      </c>
      <c r="AM40" s="73">
        <f t="shared" ref="AM40:AM52" si="20">SUM(AN40:AQ40)</f>
        <v>706791</v>
      </c>
      <c r="AN40" s="102">
        <v>215523</v>
      </c>
      <c r="AO40" s="102">
        <v>210710</v>
      </c>
      <c r="AP40" s="74"/>
      <c r="AQ40" s="102">
        <v>280558</v>
      </c>
      <c r="AR40" s="102">
        <v>185714</v>
      </c>
      <c r="AS40" s="102">
        <v>0</v>
      </c>
      <c r="AT40" s="102">
        <v>0</v>
      </c>
      <c r="AU40" s="102">
        <v>817811</v>
      </c>
      <c r="AV40" s="102">
        <v>469420</v>
      </c>
      <c r="AW40" s="102">
        <v>94785</v>
      </c>
      <c r="AX40" s="102">
        <v>11593</v>
      </c>
      <c r="AY40" s="102">
        <v>348391</v>
      </c>
      <c r="AZ40" s="102">
        <v>6177</v>
      </c>
      <c r="BA40" s="102">
        <v>5096</v>
      </c>
      <c r="BB40" s="102">
        <v>564</v>
      </c>
      <c r="BC40" s="102">
        <v>10865</v>
      </c>
      <c r="BD40" s="102">
        <v>261697</v>
      </c>
      <c r="BE40" s="102">
        <v>80000</v>
      </c>
      <c r="BF40" s="102">
        <v>50000</v>
      </c>
      <c r="BG40" s="102">
        <v>100329</v>
      </c>
      <c r="BH40" s="102">
        <v>0</v>
      </c>
      <c r="BI40" s="102">
        <v>162815</v>
      </c>
      <c r="BJ40" s="102">
        <v>48638</v>
      </c>
      <c r="BK40" s="102">
        <v>117504</v>
      </c>
      <c r="BL40" s="102">
        <v>17068</v>
      </c>
      <c r="BM40" s="102">
        <v>0</v>
      </c>
      <c r="BN40" s="102">
        <v>0</v>
      </c>
      <c r="BO40" s="102">
        <v>1057621</v>
      </c>
      <c r="BP40" s="73">
        <f t="shared" si="5"/>
        <v>605300</v>
      </c>
      <c r="BQ40" s="73">
        <f t="shared" si="6"/>
        <v>452321</v>
      </c>
      <c r="BR40" s="102">
        <v>0</v>
      </c>
      <c r="BS40" s="102">
        <v>0</v>
      </c>
      <c r="BT40" s="102">
        <v>452321</v>
      </c>
      <c r="BU40" s="102">
        <v>0</v>
      </c>
      <c r="BV40" s="102">
        <v>11487884</v>
      </c>
      <c r="BW40" s="71"/>
      <c r="BX40" s="102">
        <v>1990061</v>
      </c>
      <c r="BY40" s="102">
        <v>1373711</v>
      </c>
      <c r="BZ40" s="102">
        <v>47193</v>
      </c>
      <c r="CA40" s="102">
        <v>126499</v>
      </c>
      <c r="CB40" s="102">
        <v>2736568</v>
      </c>
      <c r="CC40" s="102">
        <v>894348</v>
      </c>
      <c r="CD40" s="102">
        <v>17341</v>
      </c>
      <c r="CE40" s="102">
        <v>1506442</v>
      </c>
      <c r="CF40" s="102">
        <v>234344</v>
      </c>
      <c r="CG40" s="102">
        <v>3082</v>
      </c>
      <c r="CH40" s="102">
        <v>81011</v>
      </c>
      <c r="CI40" s="102">
        <v>1071630</v>
      </c>
      <c r="CJ40" s="102">
        <v>1003595</v>
      </c>
      <c r="CK40" s="83">
        <f t="shared" ref="CK40:CK52" si="21">IF(CJ40="","",CI40-CJ40)</f>
        <v>68035</v>
      </c>
      <c r="CL40" s="102">
        <v>2533874</v>
      </c>
      <c r="CM40" s="102">
        <v>1242173</v>
      </c>
      <c r="CN40" s="102">
        <v>234572</v>
      </c>
      <c r="CO40" s="102">
        <v>300466</v>
      </c>
      <c r="CP40" s="102">
        <v>93867</v>
      </c>
      <c r="CQ40" s="102">
        <v>585174</v>
      </c>
      <c r="CR40" s="102">
        <v>1829</v>
      </c>
      <c r="CS40" s="102">
        <v>122079</v>
      </c>
      <c r="CT40" s="102">
        <v>88170</v>
      </c>
      <c r="CU40" s="73">
        <f t="shared" si="8"/>
        <v>242174</v>
      </c>
      <c r="CV40" s="102">
        <v>1127</v>
      </c>
      <c r="CW40" s="102">
        <v>241047</v>
      </c>
      <c r="CX40" s="73">
        <f t="shared" si="9"/>
        <v>0</v>
      </c>
      <c r="CY40" s="102">
        <v>0</v>
      </c>
      <c r="CZ40" s="102">
        <v>0</v>
      </c>
      <c r="DA40" s="73">
        <f t="shared" si="10"/>
        <v>239966</v>
      </c>
      <c r="DB40" s="102">
        <v>0</v>
      </c>
      <c r="DC40" s="102">
        <v>239966</v>
      </c>
      <c r="DD40" s="102">
        <v>764125</v>
      </c>
      <c r="DE40" s="102">
        <v>350434</v>
      </c>
      <c r="DF40" s="102">
        <v>413691</v>
      </c>
      <c r="DG40" s="102">
        <v>0</v>
      </c>
      <c r="DH40" s="102">
        <v>0</v>
      </c>
      <c r="DI40" s="102">
        <v>9822</v>
      </c>
      <c r="DJ40" s="102">
        <v>31304</v>
      </c>
      <c r="DK40" s="102">
        <v>29029</v>
      </c>
      <c r="DL40" s="102">
        <v>11</v>
      </c>
      <c r="DM40" s="102">
        <v>2264</v>
      </c>
      <c r="DN40" s="102">
        <v>186637</v>
      </c>
      <c r="DO40" s="102">
        <v>186637</v>
      </c>
      <c r="DP40" s="102">
        <v>1603</v>
      </c>
      <c r="DQ40" s="102">
        <v>0</v>
      </c>
      <c r="DR40" s="102">
        <v>16850</v>
      </c>
      <c r="DS40" s="102">
        <v>0</v>
      </c>
      <c r="DT40" s="102">
        <v>0</v>
      </c>
      <c r="DU40" s="102">
        <v>1125981</v>
      </c>
      <c r="DV40" s="102">
        <v>0</v>
      </c>
      <c r="DW40" s="73">
        <f t="shared" si="11"/>
        <v>0</v>
      </c>
      <c r="DX40" s="102">
        <v>0</v>
      </c>
      <c r="DY40" s="102">
        <v>411767</v>
      </c>
      <c r="DZ40" s="102">
        <v>0</v>
      </c>
      <c r="EA40" s="102">
        <v>312879</v>
      </c>
      <c r="EB40" s="74">
        <v>0</v>
      </c>
      <c r="EC40" s="102">
        <v>400840</v>
      </c>
      <c r="ED40" s="102">
        <v>0</v>
      </c>
      <c r="EE40" s="102">
        <v>11145893</v>
      </c>
      <c r="EF40" s="71"/>
      <c r="EG40" s="102">
        <v>341991</v>
      </c>
      <c r="EH40" s="102">
        <v>281119</v>
      </c>
      <c r="EI40" s="102">
        <v>60872</v>
      </c>
      <c r="EJ40" s="102">
        <v>12234</v>
      </c>
      <c r="EK40" s="102">
        <v>-38737</v>
      </c>
      <c r="EL40" s="71"/>
      <c r="EM40" s="102">
        <v>29983</v>
      </c>
      <c r="EN40" s="102">
        <v>31642</v>
      </c>
      <c r="EO40" s="102">
        <v>161368</v>
      </c>
      <c r="EP40" s="102">
        <v>5016</v>
      </c>
      <c r="EQ40" s="73">
        <f t="shared" si="12"/>
        <v>186728</v>
      </c>
      <c r="ER40" s="102">
        <v>7148104</v>
      </c>
      <c r="ES40" s="71">
        <v>-802809</v>
      </c>
      <c r="ET40" s="102">
        <v>1808528</v>
      </c>
      <c r="EU40" s="102">
        <v>1265746</v>
      </c>
      <c r="EV40" s="102">
        <v>1068912</v>
      </c>
      <c r="EW40" s="102">
        <v>1028731</v>
      </c>
      <c r="EX40" s="73">
        <f t="shared" si="13"/>
        <v>258438</v>
      </c>
      <c r="EY40" s="102">
        <v>255816</v>
      </c>
      <c r="EZ40" s="102">
        <v>61854</v>
      </c>
      <c r="FA40" s="102">
        <v>193962</v>
      </c>
      <c r="FB40" s="102">
        <v>2622</v>
      </c>
      <c r="FC40" s="102">
        <v>0</v>
      </c>
      <c r="FD40" s="102">
        <v>1724491</v>
      </c>
      <c r="FE40" s="102">
        <v>515164</v>
      </c>
      <c r="FF40" s="102">
        <v>1829</v>
      </c>
      <c r="FG40" s="102">
        <v>910632</v>
      </c>
      <c r="FH40" s="73">
        <f t="shared" si="14"/>
        <v>294026</v>
      </c>
      <c r="FI40" s="102">
        <v>7608922</v>
      </c>
      <c r="FJ40" s="379">
        <f t="shared" si="15"/>
        <v>0.9</v>
      </c>
      <c r="FK40" s="102">
        <v>6310160</v>
      </c>
      <c r="FL40" s="102">
        <v>452321</v>
      </c>
      <c r="FM40" s="102">
        <v>3981407</v>
      </c>
      <c r="FN40" s="102">
        <v>5171068</v>
      </c>
      <c r="FO40" s="428">
        <v>0.78200000000000003</v>
      </c>
      <c r="FP40" s="424">
        <v>97.2</v>
      </c>
      <c r="FQ40" s="425">
        <v>24.9</v>
      </c>
      <c r="FR40" s="424">
        <v>14.9</v>
      </c>
      <c r="FS40" s="424">
        <v>14.3</v>
      </c>
      <c r="FT40" s="425">
        <v>22.9</v>
      </c>
      <c r="FU40" s="424">
        <v>6.8</v>
      </c>
      <c r="FV40" s="426">
        <v>11.9</v>
      </c>
      <c r="FW40" s="388">
        <v>3.5</v>
      </c>
      <c r="FX40" s="102">
        <v>11501222</v>
      </c>
      <c r="FY40" s="384">
        <f t="shared" si="16"/>
        <v>170.1</v>
      </c>
      <c r="FZ40" s="102">
        <v>3847855</v>
      </c>
      <c r="GA40" s="102">
        <v>1455336</v>
      </c>
      <c r="GB40" s="102">
        <v>1025904</v>
      </c>
      <c r="GC40" s="102">
        <v>1366615</v>
      </c>
      <c r="GD40" s="107">
        <v>0</v>
      </c>
      <c r="GE40" s="427"/>
      <c r="GF40" s="386"/>
      <c r="GG40" s="424">
        <v>99.7</v>
      </c>
      <c r="GH40" s="424">
        <v>9.9</v>
      </c>
      <c r="GI40" s="424">
        <v>95.6</v>
      </c>
      <c r="GJ40" s="102">
        <v>240</v>
      </c>
      <c r="GK40" s="429" t="s">
        <v>646</v>
      </c>
      <c r="GL40" s="429">
        <v>14.13</v>
      </c>
      <c r="GM40" s="117">
        <v>20</v>
      </c>
      <c r="GN40" s="429" t="s">
        <v>646</v>
      </c>
      <c r="GO40" s="430">
        <v>19.13</v>
      </c>
      <c r="GP40" s="387">
        <v>30</v>
      </c>
      <c r="GQ40" s="425">
        <v>3.5</v>
      </c>
      <c r="GR40" s="388">
        <v>25</v>
      </c>
      <c r="GS40" s="388">
        <v>35</v>
      </c>
      <c r="GT40" s="431" t="s">
        <v>646</v>
      </c>
      <c r="GU40" s="388">
        <v>350</v>
      </c>
      <c r="GV40" s="394"/>
      <c r="GW40" s="100">
        <f t="shared" si="17"/>
        <v>6762</v>
      </c>
      <c r="GX40" s="394"/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  <c r="HW40" s="394"/>
    </row>
    <row r="41" spans="1:231" x14ac:dyDescent="0.15">
      <c r="B41" s="89" t="s">
        <v>71</v>
      </c>
      <c r="C41" s="102">
        <v>1797014</v>
      </c>
      <c r="D41" s="73">
        <f t="shared" si="0"/>
        <v>1044638</v>
      </c>
      <c r="E41" s="102">
        <v>35276</v>
      </c>
      <c r="F41" s="102">
        <v>1009362</v>
      </c>
      <c r="G41" s="73">
        <f t="shared" si="1"/>
        <v>40501</v>
      </c>
      <c r="H41" s="102">
        <v>18863</v>
      </c>
      <c r="I41" s="102">
        <v>21638</v>
      </c>
      <c r="J41" s="102">
        <v>632582</v>
      </c>
      <c r="K41" s="102">
        <v>180748</v>
      </c>
      <c r="L41" s="102">
        <v>320655</v>
      </c>
      <c r="M41" s="102">
        <v>131179</v>
      </c>
      <c r="N41" s="102">
        <v>42823</v>
      </c>
      <c r="O41" s="102">
        <v>0</v>
      </c>
      <c r="P41" s="102">
        <v>0</v>
      </c>
      <c r="Q41" s="102">
        <v>0</v>
      </c>
      <c r="R41" s="102">
        <v>57054</v>
      </c>
      <c r="S41" s="74"/>
      <c r="T41" s="73">
        <f t="shared" si="18"/>
        <v>336098</v>
      </c>
      <c r="U41" s="102">
        <v>4176</v>
      </c>
      <c r="V41" s="102">
        <v>19149</v>
      </c>
      <c r="W41" s="102">
        <v>10891</v>
      </c>
      <c r="X41" s="102">
        <v>273423</v>
      </c>
      <c r="Y41" s="102">
        <v>7455</v>
      </c>
      <c r="Z41" s="102">
        <v>0</v>
      </c>
      <c r="AA41" s="102">
        <v>16019</v>
      </c>
      <c r="AB41" s="102">
        <v>4985</v>
      </c>
      <c r="AC41" s="102">
        <v>32776</v>
      </c>
      <c r="AD41" s="102">
        <v>2353236</v>
      </c>
      <c r="AE41" s="102">
        <v>2070529</v>
      </c>
      <c r="AF41" s="102">
        <v>282707</v>
      </c>
      <c r="AG41" s="102">
        <v>2750</v>
      </c>
      <c r="AH41" s="102">
        <v>62104</v>
      </c>
      <c r="AI41" s="73">
        <f t="shared" si="19"/>
        <v>58780</v>
      </c>
      <c r="AJ41" s="102">
        <v>46496</v>
      </c>
      <c r="AK41" s="102">
        <v>12284</v>
      </c>
      <c r="AL41" s="102">
        <v>442983</v>
      </c>
      <c r="AM41" s="73">
        <f t="shared" si="20"/>
        <v>140893</v>
      </c>
      <c r="AN41" s="102">
        <v>0</v>
      </c>
      <c r="AO41" s="102">
        <v>0</v>
      </c>
      <c r="AP41" s="74"/>
      <c r="AQ41" s="102">
        <v>140893</v>
      </c>
      <c r="AR41" s="102">
        <v>0</v>
      </c>
      <c r="AS41" s="102">
        <v>5716</v>
      </c>
      <c r="AT41" s="102">
        <v>0</v>
      </c>
      <c r="AU41" s="102">
        <v>489891</v>
      </c>
      <c r="AV41" s="102">
        <v>228153</v>
      </c>
      <c r="AW41" s="102">
        <v>0</v>
      </c>
      <c r="AX41" s="102">
        <v>0</v>
      </c>
      <c r="AY41" s="102">
        <v>261738</v>
      </c>
      <c r="AZ41" s="102">
        <v>0</v>
      </c>
      <c r="BA41" s="102">
        <v>4559</v>
      </c>
      <c r="BB41" s="102">
        <v>0</v>
      </c>
      <c r="BC41" s="102">
        <v>24503</v>
      </c>
      <c r="BD41" s="102">
        <v>535766</v>
      </c>
      <c r="BE41" s="102">
        <v>290000</v>
      </c>
      <c r="BF41" s="102">
        <v>0</v>
      </c>
      <c r="BG41" s="102">
        <v>108124</v>
      </c>
      <c r="BH41" s="102">
        <v>0</v>
      </c>
      <c r="BI41" s="102">
        <v>277156</v>
      </c>
      <c r="BJ41" s="102">
        <v>47029</v>
      </c>
      <c r="BK41" s="102">
        <v>178387</v>
      </c>
      <c r="BL41" s="102">
        <v>5017</v>
      </c>
      <c r="BM41" s="102">
        <v>0</v>
      </c>
      <c r="BN41" s="102">
        <v>0</v>
      </c>
      <c r="BO41" s="102">
        <v>422554</v>
      </c>
      <c r="BP41" s="73">
        <f t="shared" si="5"/>
        <v>195500</v>
      </c>
      <c r="BQ41" s="73">
        <f t="shared" si="6"/>
        <v>227054</v>
      </c>
      <c r="BR41" s="102">
        <v>0</v>
      </c>
      <c r="BS41" s="102">
        <v>0</v>
      </c>
      <c r="BT41" s="102">
        <v>227054</v>
      </c>
      <c r="BU41" s="102">
        <v>0</v>
      </c>
      <c r="BV41" s="102">
        <v>7075611</v>
      </c>
      <c r="BW41" s="71"/>
      <c r="BX41" s="102">
        <v>1940476</v>
      </c>
      <c r="BY41" s="102">
        <v>1078543</v>
      </c>
      <c r="BZ41" s="102">
        <v>299161</v>
      </c>
      <c r="CA41" s="102">
        <v>211601</v>
      </c>
      <c r="CB41" s="102">
        <v>584193</v>
      </c>
      <c r="CC41" s="102">
        <v>377059</v>
      </c>
      <c r="CD41" s="102">
        <v>6876</v>
      </c>
      <c r="CE41" s="102">
        <v>189419</v>
      </c>
      <c r="CF41" s="102">
        <v>0</v>
      </c>
      <c r="CG41" s="102">
        <v>0</v>
      </c>
      <c r="CH41" s="102">
        <v>10839</v>
      </c>
      <c r="CI41" s="102">
        <v>544294</v>
      </c>
      <c r="CJ41" s="102">
        <v>508671</v>
      </c>
      <c r="CK41" s="83">
        <f t="shared" si="21"/>
        <v>35623</v>
      </c>
      <c r="CL41" s="102">
        <v>1071654</v>
      </c>
      <c r="CM41" s="102">
        <v>619674</v>
      </c>
      <c r="CN41" s="102">
        <v>60000</v>
      </c>
      <c r="CO41" s="102">
        <v>183074</v>
      </c>
      <c r="CP41" s="102">
        <v>149572</v>
      </c>
      <c r="CQ41" s="102">
        <v>886681</v>
      </c>
      <c r="CR41" s="102">
        <v>365517</v>
      </c>
      <c r="CS41" s="102">
        <v>111566</v>
      </c>
      <c r="CT41" s="102">
        <v>84979</v>
      </c>
      <c r="CU41" s="73">
        <f t="shared" si="8"/>
        <v>0</v>
      </c>
      <c r="CV41" s="102">
        <v>0</v>
      </c>
      <c r="CW41" s="102">
        <v>0</v>
      </c>
      <c r="CX41" s="73">
        <f t="shared" si="9"/>
        <v>0</v>
      </c>
      <c r="CY41" s="102">
        <v>0</v>
      </c>
      <c r="CZ41" s="102">
        <v>0</v>
      </c>
      <c r="DA41" s="73">
        <f t="shared" si="10"/>
        <v>0</v>
      </c>
      <c r="DB41" s="102">
        <v>0</v>
      </c>
      <c r="DC41" s="102">
        <v>0</v>
      </c>
      <c r="DD41" s="102">
        <v>484947</v>
      </c>
      <c r="DE41" s="102">
        <v>145900</v>
      </c>
      <c r="DF41" s="102">
        <v>284162</v>
      </c>
      <c r="DG41" s="102">
        <v>0</v>
      </c>
      <c r="DH41" s="102">
        <v>0</v>
      </c>
      <c r="DI41" s="102">
        <v>122566</v>
      </c>
      <c r="DJ41" s="102">
        <v>208191</v>
      </c>
      <c r="DK41" s="102">
        <v>44100</v>
      </c>
      <c r="DL41" s="102">
        <v>0</v>
      </c>
      <c r="DM41" s="102">
        <v>164091</v>
      </c>
      <c r="DN41" s="102">
        <v>0</v>
      </c>
      <c r="DO41" s="102">
        <v>0</v>
      </c>
      <c r="DP41" s="102">
        <v>0</v>
      </c>
      <c r="DQ41" s="102">
        <v>0</v>
      </c>
      <c r="DR41" s="102">
        <v>3500</v>
      </c>
      <c r="DS41" s="102">
        <v>0</v>
      </c>
      <c r="DT41" s="102">
        <v>0</v>
      </c>
      <c r="DU41" s="102">
        <v>938451</v>
      </c>
      <c r="DV41" s="102">
        <v>107820</v>
      </c>
      <c r="DW41" s="73">
        <f t="shared" si="11"/>
        <v>0</v>
      </c>
      <c r="DX41" s="102">
        <v>0</v>
      </c>
      <c r="DY41" s="102">
        <v>339021</v>
      </c>
      <c r="DZ41" s="102">
        <v>0</v>
      </c>
      <c r="EA41" s="102">
        <v>160786</v>
      </c>
      <c r="EB41" s="74">
        <v>0</v>
      </c>
      <c r="EC41" s="102">
        <v>310818</v>
      </c>
      <c r="ED41" s="102">
        <v>0</v>
      </c>
      <c r="EE41" s="102">
        <v>6934525</v>
      </c>
      <c r="EF41" s="71"/>
      <c r="EG41" s="102">
        <v>141086</v>
      </c>
      <c r="EH41" s="102">
        <v>76166</v>
      </c>
      <c r="EI41" s="102">
        <v>64920</v>
      </c>
      <c r="EJ41" s="102">
        <v>17891</v>
      </c>
      <c r="EK41" s="102">
        <v>-228009</v>
      </c>
      <c r="EL41" s="71"/>
      <c r="EM41" s="102">
        <v>19934</v>
      </c>
      <c r="EN41" s="102">
        <v>19339</v>
      </c>
      <c r="EO41" s="102">
        <v>363049</v>
      </c>
      <c r="EP41" s="102">
        <v>135</v>
      </c>
      <c r="EQ41" s="73">
        <f t="shared" si="12"/>
        <v>221149</v>
      </c>
      <c r="ER41" s="102">
        <v>4578928</v>
      </c>
      <c r="ES41" s="71">
        <v>-808637</v>
      </c>
      <c r="ET41" s="102">
        <v>1746641</v>
      </c>
      <c r="EU41" s="102">
        <v>925130</v>
      </c>
      <c r="EV41" s="102">
        <v>166763</v>
      </c>
      <c r="EW41" s="102">
        <v>544294</v>
      </c>
      <c r="EX41" s="73">
        <f t="shared" si="13"/>
        <v>146725</v>
      </c>
      <c r="EY41" s="102">
        <v>134895</v>
      </c>
      <c r="EZ41" s="102">
        <v>13357</v>
      </c>
      <c r="FA41" s="102">
        <v>107853</v>
      </c>
      <c r="FB41" s="102">
        <v>11830</v>
      </c>
      <c r="FC41" s="102">
        <v>0</v>
      </c>
      <c r="FD41" s="102">
        <v>869554</v>
      </c>
      <c r="FE41" s="102">
        <v>804297</v>
      </c>
      <c r="FF41" s="102">
        <v>365517</v>
      </c>
      <c r="FG41" s="102">
        <v>800512</v>
      </c>
      <c r="FH41" s="73">
        <f t="shared" si="14"/>
        <v>167693</v>
      </c>
      <c r="FI41" s="102">
        <v>5246479</v>
      </c>
      <c r="FJ41" s="379">
        <f t="shared" si="15"/>
        <v>1.4</v>
      </c>
      <c r="FK41" s="102">
        <v>4290944</v>
      </c>
      <c r="FL41" s="102">
        <v>227054</v>
      </c>
      <c r="FM41" s="102">
        <v>1764067</v>
      </c>
      <c r="FN41" s="102">
        <v>3837976</v>
      </c>
      <c r="FO41" s="428">
        <v>0.47299999999999998</v>
      </c>
      <c r="FP41" s="424">
        <v>104.2</v>
      </c>
      <c r="FQ41" s="425">
        <v>37.1</v>
      </c>
      <c r="FR41" s="424">
        <v>3.7</v>
      </c>
      <c r="FS41" s="424">
        <v>12</v>
      </c>
      <c r="FT41" s="425">
        <v>16.3</v>
      </c>
      <c r="FU41" s="424">
        <v>15.9</v>
      </c>
      <c r="FV41" s="426">
        <v>16.5</v>
      </c>
      <c r="FW41" s="388">
        <v>6.5</v>
      </c>
      <c r="FX41" s="102">
        <v>5856881</v>
      </c>
      <c r="FY41" s="384">
        <f t="shared" si="16"/>
        <v>129.6</v>
      </c>
      <c r="FZ41" s="102">
        <v>2437797</v>
      </c>
      <c r="GA41" s="102">
        <v>1496752</v>
      </c>
      <c r="GB41" s="102">
        <v>677</v>
      </c>
      <c r="GC41" s="102">
        <v>940368</v>
      </c>
      <c r="GD41" s="107">
        <v>0</v>
      </c>
      <c r="GE41" s="427"/>
      <c r="GF41" s="386"/>
      <c r="GG41" s="424">
        <v>99.2</v>
      </c>
      <c r="GH41" s="424">
        <v>26.4</v>
      </c>
      <c r="GI41" s="424">
        <v>97.4</v>
      </c>
      <c r="GJ41" s="102">
        <v>150</v>
      </c>
      <c r="GK41" s="429" t="s">
        <v>646</v>
      </c>
      <c r="GL41" s="429">
        <v>15</v>
      </c>
      <c r="GM41" s="117">
        <v>20</v>
      </c>
      <c r="GN41" s="429" t="s">
        <v>646</v>
      </c>
      <c r="GO41" s="430">
        <v>20</v>
      </c>
      <c r="GP41" s="387">
        <v>30</v>
      </c>
      <c r="GQ41" s="425">
        <v>6.5</v>
      </c>
      <c r="GR41" s="388">
        <v>25</v>
      </c>
      <c r="GS41" s="388">
        <v>35</v>
      </c>
      <c r="GT41" s="431" t="s">
        <v>646</v>
      </c>
      <c r="GU41" s="388">
        <v>350</v>
      </c>
      <c r="GV41" s="394"/>
      <c r="GW41" s="100">
        <f t="shared" si="17"/>
        <v>4518</v>
      </c>
      <c r="GX41" s="394"/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  <c r="HW41" s="394"/>
    </row>
    <row r="42" spans="1:231" x14ac:dyDescent="0.15">
      <c r="B42" s="89" t="s">
        <v>73</v>
      </c>
      <c r="C42" s="102">
        <v>1149509</v>
      </c>
      <c r="D42" s="73">
        <f t="shared" si="0"/>
        <v>394769</v>
      </c>
      <c r="E42" s="102">
        <v>17373</v>
      </c>
      <c r="F42" s="102">
        <v>377396</v>
      </c>
      <c r="G42" s="73">
        <f t="shared" si="1"/>
        <v>55784</v>
      </c>
      <c r="H42" s="102">
        <v>22082</v>
      </c>
      <c r="I42" s="102">
        <v>33702</v>
      </c>
      <c r="J42" s="102">
        <v>604139</v>
      </c>
      <c r="K42" s="102">
        <v>114036</v>
      </c>
      <c r="L42" s="102">
        <v>218558</v>
      </c>
      <c r="M42" s="102">
        <v>271545</v>
      </c>
      <c r="N42" s="102">
        <v>48435</v>
      </c>
      <c r="O42" s="102">
        <v>0</v>
      </c>
      <c r="P42" s="102">
        <v>0</v>
      </c>
      <c r="Q42" s="102">
        <v>0</v>
      </c>
      <c r="R42" s="102">
        <v>63840</v>
      </c>
      <c r="S42" s="74"/>
      <c r="T42" s="73">
        <f t="shared" si="18"/>
        <v>218387</v>
      </c>
      <c r="U42" s="102">
        <v>1528</v>
      </c>
      <c r="V42" s="102">
        <v>7018</v>
      </c>
      <c r="W42" s="102">
        <v>4005</v>
      </c>
      <c r="X42" s="102">
        <v>163382</v>
      </c>
      <c r="Y42" s="102">
        <v>19955</v>
      </c>
      <c r="Z42" s="102">
        <v>0</v>
      </c>
      <c r="AA42" s="102">
        <v>17160</v>
      </c>
      <c r="AB42" s="102">
        <v>5339</v>
      </c>
      <c r="AC42" s="102">
        <v>9115</v>
      </c>
      <c r="AD42" s="102">
        <v>2031036</v>
      </c>
      <c r="AE42" s="102">
        <v>1759753</v>
      </c>
      <c r="AF42" s="102">
        <v>271283</v>
      </c>
      <c r="AG42" s="102">
        <v>1549</v>
      </c>
      <c r="AH42" s="102">
        <v>13610</v>
      </c>
      <c r="AI42" s="73">
        <f t="shared" si="19"/>
        <v>77654</v>
      </c>
      <c r="AJ42" s="102">
        <v>41850</v>
      </c>
      <c r="AK42" s="102">
        <v>35804</v>
      </c>
      <c r="AL42" s="102">
        <v>528855</v>
      </c>
      <c r="AM42" s="73">
        <f t="shared" si="20"/>
        <v>120296</v>
      </c>
      <c r="AN42" s="102">
        <v>0</v>
      </c>
      <c r="AO42" s="102">
        <v>0</v>
      </c>
      <c r="AP42" s="74"/>
      <c r="AQ42" s="102">
        <v>120296</v>
      </c>
      <c r="AR42" s="102">
        <v>0</v>
      </c>
      <c r="AS42" s="102">
        <v>212227</v>
      </c>
      <c r="AT42" s="102">
        <v>0</v>
      </c>
      <c r="AU42" s="102">
        <v>362295</v>
      </c>
      <c r="AV42" s="102">
        <v>150526</v>
      </c>
      <c r="AW42" s="102">
        <v>0</v>
      </c>
      <c r="AX42" s="102">
        <v>0</v>
      </c>
      <c r="AY42" s="102">
        <v>211769</v>
      </c>
      <c r="AZ42" s="102">
        <v>0</v>
      </c>
      <c r="BA42" s="102">
        <v>4296</v>
      </c>
      <c r="BB42" s="102">
        <v>0</v>
      </c>
      <c r="BC42" s="102">
        <v>11477</v>
      </c>
      <c r="BD42" s="102">
        <v>448845</v>
      </c>
      <c r="BE42" s="102">
        <v>270000</v>
      </c>
      <c r="BF42" s="102">
        <v>0</v>
      </c>
      <c r="BG42" s="102">
        <v>177151</v>
      </c>
      <c r="BH42" s="102">
        <v>0</v>
      </c>
      <c r="BI42" s="102">
        <v>209564</v>
      </c>
      <c r="BJ42" s="102">
        <v>149444</v>
      </c>
      <c r="BK42" s="102">
        <v>81549</v>
      </c>
      <c r="BL42" s="102">
        <v>0</v>
      </c>
      <c r="BM42" s="102">
        <v>160</v>
      </c>
      <c r="BN42" s="102">
        <v>0</v>
      </c>
      <c r="BO42" s="102">
        <v>1100400</v>
      </c>
      <c r="BP42" s="73">
        <f t="shared" si="5"/>
        <v>964200</v>
      </c>
      <c r="BQ42" s="73">
        <f t="shared" si="6"/>
        <v>136200</v>
      </c>
      <c r="BR42" s="102">
        <v>0</v>
      </c>
      <c r="BS42" s="102">
        <v>0</v>
      </c>
      <c r="BT42" s="102">
        <v>136200</v>
      </c>
      <c r="BU42" s="102">
        <v>0</v>
      </c>
      <c r="BV42" s="102">
        <v>6311981</v>
      </c>
      <c r="BW42" s="71"/>
      <c r="BX42" s="102">
        <v>1030075</v>
      </c>
      <c r="BY42" s="102">
        <v>521727</v>
      </c>
      <c r="BZ42" s="102">
        <v>102533</v>
      </c>
      <c r="CA42" s="102">
        <v>149068</v>
      </c>
      <c r="CB42" s="102">
        <v>473782</v>
      </c>
      <c r="CC42" s="102">
        <v>297842</v>
      </c>
      <c r="CD42" s="102">
        <v>2748</v>
      </c>
      <c r="CE42" s="102">
        <v>140229</v>
      </c>
      <c r="CF42" s="102">
        <v>0</v>
      </c>
      <c r="CG42" s="102">
        <v>5473</v>
      </c>
      <c r="CH42" s="102">
        <v>27490</v>
      </c>
      <c r="CI42" s="102">
        <v>513478</v>
      </c>
      <c r="CJ42" s="102">
        <v>483232</v>
      </c>
      <c r="CK42" s="83">
        <f t="shared" si="21"/>
        <v>30246</v>
      </c>
      <c r="CL42" s="102">
        <v>754668</v>
      </c>
      <c r="CM42" s="102">
        <v>510344</v>
      </c>
      <c r="CN42" s="102">
        <v>11262</v>
      </c>
      <c r="CO42" s="102">
        <v>122980</v>
      </c>
      <c r="CP42" s="102">
        <v>17520</v>
      </c>
      <c r="CQ42" s="102">
        <v>808272</v>
      </c>
      <c r="CR42" s="102">
        <v>160216</v>
      </c>
      <c r="CS42" s="102">
        <v>154628</v>
      </c>
      <c r="CT42" s="102">
        <v>95435</v>
      </c>
      <c r="CU42" s="73">
        <f t="shared" si="8"/>
        <v>141593</v>
      </c>
      <c r="CV42" s="102">
        <v>4688</v>
      </c>
      <c r="CW42" s="102">
        <v>136905</v>
      </c>
      <c r="CX42" s="73">
        <f t="shared" si="9"/>
        <v>0</v>
      </c>
      <c r="CY42" s="102">
        <v>0</v>
      </c>
      <c r="CZ42" s="102">
        <v>0</v>
      </c>
      <c r="DA42" s="73">
        <f t="shared" si="10"/>
        <v>0</v>
      </c>
      <c r="DB42" s="102">
        <v>0</v>
      </c>
      <c r="DC42" s="102">
        <v>0</v>
      </c>
      <c r="DD42" s="102">
        <v>1061166</v>
      </c>
      <c r="DE42" s="102">
        <v>61805</v>
      </c>
      <c r="DF42" s="102">
        <v>999361</v>
      </c>
      <c r="DG42" s="102">
        <v>0</v>
      </c>
      <c r="DH42" s="102">
        <v>0</v>
      </c>
      <c r="DI42" s="102">
        <v>453848</v>
      </c>
      <c r="DJ42" s="102">
        <v>158778</v>
      </c>
      <c r="DK42" s="102">
        <v>118011</v>
      </c>
      <c r="DL42" s="102">
        <v>0</v>
      </c>
      <c r="DM42" s="102">
        <v>40767</v>
      </c>
      <c r="DN42" s="102">
        <v>65205</v>
      </c>
      <c r="DO42" s="102">
        <v>65205</v>
      </c>
      <c r="DP42" s="102">
        <v>65205</v>
      </c>
      <c r="DQ42" s="102">
        <v>0</v>
      </c>
      <c r="DR42" s="102">
        <v>0</v>
      </c>
      <c r="DS42" s="102">
        <v>0</v>
      </c>
      <c r="DT42" s="102">
        <v>0</v>
      </c>
      <c r="DU42" s="102">
        <v>752065</v>
      </c>
      <c r="DV42" s="102">
        <v>233000</v>
      </c>
      <c r="DW42" s="73">
        <f t="shared" si="11"/>
        <v>0</v>
      </c>
      <c r="DX42" s="102">
        <v>0</v>
      </c>
      <c r="DY42" s="102">
        <v>210247</v>
      </c>
      <c r="DZ42" s="102">
        <v>0</v>
      </c>
      <c r="EA42" s="102">
        <v>124401</v>
      </c>
      <c r="EB42" s="74">
        <v>0</v>
      </c>
      <c r="EC42" s="102">
        <v>174783</v>
      </c>
      <c r="ED42" s="102">
        <v>0</v>
      </c>
      <c r="EE42" s="102">
        <v>6088857</v>
      </c>
      <c r="EF42" s="71"/>
      <c r="EG42" s="102">
        <v>223124</v>
      </c>
      <c r="EH42" s="102">
        <v>68882</v>
      </c>
      <c r="EI42" s="102">
        <v>154242</v>
      </c>
      <c r="EJ42" s="102">
        <v>4798</v>
      </c>
      <c r="EK42" s="102">
        <v>-147191</v>
      </c>
      <c r="EL42" s="71"/>
      <c r="EM42" s="102">
        <v>10256</v>
      </c>
      <c r="EN42" s="102">
        <v>9885</v>
      </c>
      <c r="EO42" s="102">
        <v>372694</v>
      </c>
      <c r="EP42" s="102">
        <v>2325</v>
      </c>
      <c r="EQ42" s="73">
        <f t="shared" si="12"/>
        <v>272732</v>
      </c>
      <c r="ER42" s="102">
        <v>3473436</v>
      </c>
      <c r="ES42" s="71">
        <v>-782402</v>
      </c>
      <c r="ET42" s="102">
        <v>958215</v>
      </c>
      <c r="EU42" s="102">
        <v>475878</v>
      </c>
      <c r="EV42" s="102">
        <v>155352</v>
      </c>
      <c r="EW42" s="102">
        <v>513478</v>
      </c>
      <c r="EX42" s="73">
        <f t="shared" si="13"/>
        <v>239744</v>
      </c>
      <c r="EY42" s="102">
        <v>210087</v>
      </c>
      <c r="EZ42" s="102">
        <v>11419</v>
      </c>
      <c r="FA42" s="102">
        <v>198668</v>
      </c>
      <c r="FB42" s="102">
        <v>29657</v>
      </c>
      <c r="FC42" s="102">
        <v>0</v>
      </c>
      <c r="FD42" s="102">
        <v>605017</v>
      </c>
      <c r="FE42" s="102">
        <v>680728</v>
      </c>
      <c r="FF42" s="102">
        <v>160216</v>
      </c>
      <c r="FG42" s="102">
        <v>651366</v>
      </c>
      <c r="FH42" s="73">
        <f t="shared" si="14"/>
        <v>228814</v>
      </c>
      <c r="FI42" s="102">
        <v>4032714</v>
      </c>
      <c r="FJ42" s="379">
        <f t="shared" si="15"/>
        <v>4.5999999999999996</v>
      </c>
      <c r="FK42" s="102">
        <v>3187158</v>
      </c>
      <c r="FL42" s="102">
        <v>136200</v>
      </c>
      <c r="FM42" s="102">
        <v>1130184</v>
      </c>
      <c r="FN42" s="102">
        <v>2892079</v>
      </c>
      <c r="FO42" s="428">
        <v>0.39500000000000002</v>
      </c>
      <c r="FP42" s="424">
        <v>101.8</v>
      </c>
      <c r="FQ42" s="425">
        <v>26.5</v>
      </c>
      <c r="FR42" s="424">
        <v>4.5999999999999996</v>
      </c>
      <c r="FS42" s="424">
        <v>15.3</v>
      </c>
      <c r="FT42" s="425">
        <v>17</v>
      </c>
      <c r="FU42" s="424">
        <v>19.3</v>
      </c>
      <c r="FV42" s="426">
        <v>16.7</v>
      </c>
      <c r="FW42" s="388">
        <v>15.5</v>
      </c>
      <c r="FX42" s="102">
        <v>6234852</v>
      </c>
      <c r="FY42" s="384">
        <f t="shared" si="16"/>
        <v>187.6</v>
      </c>
      <c r="FZ42" s="102">
        <v>1705118</v>
      </c>
      <c r="GA42" s="102">
        <v>1350295</v>
      </c>
      <c r="GB42" s="102">
        <v>0</v>
      </c>
      <c r="GC42" s="102">
        <v>354823</v>
      </c>
      <c r="GD42" s="107">
        <v>0</v>
      </c>
      <c r="GE42" s="427"/>
      <c r="GF42" s="386"/>
      <c r="GG42" s="424">
        <v>98.8</v>
      </c>
      <c r="GH42" s="424">
        <v>22.8</v>
      </c>
      <c r="GI42" s="424">
        <v>95.8</v>
      </c>
      <c r="GJ42" s="102">
        <v>87</v>
      </c>
      <c r="GK42" s="429" t="s">
        <v>646</v>
      </c>
      <c r="GL42" s="429">
        <v>15</v>
      </c>
      <c r="GM42" s="117">
        <v>20</v>
      </c>
      <c r="GN42" s="429" t="s">
        <v>646</v>
      </c>
      <c r="GO42" s="430">
        <v>20</v>
      </c>
      <c r="GP42" s="387">
        <v>30</v>
      </c>
      <c r="GQ42" s="425">
        <v>15.5</v>
      </c>
      <c r="GR42" s="388">
        <v>25</v>
      </c>
      <c r="GS42" s="388">
        <v>35</v>
      </c>
      <c r="GT42" s="431">
        <v>118.2</v>
      </c>
      <c r="GU42" s="388">
        <v>350</v>
      </c>
      <c r="GV42" s="394"/>
      <c r="GW42" s="100">
        <f t="shared" si="17"/>
        <v>3323</v>
      </c>
      <c r="GX42" s="394"/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  <c r="HW42" s="394"/>
    </row>
    <row r="43" spans="1:231" x14ac:dyDescent="0.15">
      <c r="B43" s="89" t="s">
        <v>75</v>
      </c>
      <c r="C43" s="102">
        <v>2411125</v>
      </c>
      <c r="D43" s="73">
        <f t="shared" si="0"/>
        <v>757889</v>
      </c>
      <c r="E43" s="102">
        <v>26232</v>
      </c>
      <c r="F43" s="102">
        <v>731657</v>
      </c>
      <c r="G43" s="73">
        <f t="shared" si="1"/>
        <v>199245</v>
      </c>
      <c r="H43" s="102">
        <v>49191</v>
      </c>
      <c r="I43" s="102">
        <v>150054</v>
      </c>
      <c r="J43" s="102">
        <v>1081518</v>
      </c>
      <c r="K43" s="102">
        <v>509047</v>
      </c>
      <c r="L43" s="102">
        <v>396514</v>
      </c>
      <c r="M43" s="102">
        <v>164620</v>
      </c>
      <c r="N43" s="102">
        <v>108634</v>
      </c>
      <c r="O43" s="102">
        <v>225992</v>
      </c>
      <c r="P43" s="102">
        <v>138088</v>
      </c>
      <c r="Q43" s="102">
        <v>87904</v>
      </c>
      <c r="R43" s="102">
        <v>33454</v>
      </c>
      <c r="S43" s="74"/>
      <c r="T43" s="73">
        <f t="shared" si="18"/>
        <v>315883</v>
      </c>
      <c r="U43" s="102">
        <v>2712</v>
      </c>
      <c r="V43" s="102">
        <v>12547</v>
      </c>
      <c r="W43" s="102">
        <v>7250</v>
      </c>
      <c r="X43" s="102">
        <v>280842</v>
      </c>
      <c r="Y43" s="102">
        <v>0</v>
      </c>
      <c r="Z43" s="102">
        <v>0</v>
      </c>
      <c r="AA43" s="102">
        <v>9558</v>
      </c>
      <c r="AB43" s="102">
        <v>2974</v>
      </c>
      <c r="AC43" s="102">
        <v>45347</v>
      </c>
      <c r="AD43" s="102">
        <v>1747025</v>
      </c>
      <c r="AE43" s="102">
        <v>1488020</v>
      </c>
      <c r="AF43" s="102">
        <v>259005</v>
      </c>
      <c r="AG43" s="102">
        <v>2966</v>
      </c>
      <c r="AH43" s="102">
        <v>723</v>
      </c>
      <c r="AI43" s="73">
        <f t="shared" si="19"/>
        <v>112544</v>
      </c>
      <c r="AJ43" s="102">
        <v>68461</v>
      </c>
      <c r="AK43" s="102">
        <v>44083</v>
      </c>
      <c r="AL43" s="102">
        <v>620889</v>
      </c>
      <c r="AM43" s="73">
        <f t="shared" si="20"/>
        <v>234870</v>
      </c>
      <c r="AN43" s="102">
        <v>0</v>
      </c>
      <c r="AO43" s="102">
        <v>97248</v>
      </c>
      <c r="AP43" s="74"/>
      <c r="AQ43" s="102">
        <v>137622</v>
      </c>
      <c r="AR43" s="102">
        <v>5331</v>
      </c>
      <c r="AS43" s="102">
        <v>2563</v>
      </c>
      <c r="AT43" s="102">
        <v>0</v>
      </c>
      <c r="AU43" s="102">
        <v>521696</v>
      </c>
      <c r="AV43" s="102">
        <v>250493</v>
      </c>
      <c r="AW43" s="102">
        <v>46920</v>
      </c>
      <c r="AX43" s="102">
        <v>0</v>
      </c>
      <c r="AY43" s="102">
        <v>271203</v>
      </c>
      <c r="AZ43" s="102">
        <v>0</v>
      </c>
      <c r="BA43" s="102">
        <v>31091</v>
      </c>
      <c r="BB43" s="102">
        <v>2119</v>
      </c>
      <c r="BC43" s="102">
        <v>211226</v>
      </c>
      <c r="BD43" s="102">
        <v>100085</v>
      </c>
      <c r="BE43" s="102">
        <v>90000</v>
      </c>
      <c r="BF43" s="102">
        <v>0</v>
      </c>
      <c r="BG43" s="102">
        <v>3815</v>
      </c>
      <c r="BH43" s="102">
        <v>0</v>
      </c>
      <c r="BI43" s="102">
        <v>75582</v>
      </c>
      <c r="BJ43" s="102">
        <v>72102</v>
      </c>
      <c r="BK43" s="102">
        <v>144571</v>
      </c>
      <c r="BL43" s="102">
        <v>58</v>
      </c>
      <c r="BM43" s="102">
        <v>0</v>
      </c>
      <c r="BN43" s="102">
        <v>0</v>
      </c>
      <c r="BO43" s="102">
        <v>291371</v>
      </c>
      <c r="BP43" s="73">
        <f t="shared" si="5"/>
        <v>79000</v>
      </c>
      <c r="BQ43" s="73">
        <f t="shared" si="6"/>
        <v>212371</v>
      </c>
      <c r="BR43" s="102">
        <v>0</v>
      </c>
      <c r="BS43" s="102">
        <v>0</v>
      </c>
      <c r="BT43" s="102">
        <v>212371</v>
      </c>
      <c r="BU43" s="102">
        <v>0</v>
      </c>
      <c r="BV43" s="102">
        <v>6665578</v>
      </c>
      <c r="BW43" s="71"/>
      <c r="BX43" s="102">
        <v>1426642</v>
      </c>
      <c r="BY43" s="102">
        <v>955420</v>
      </c>
      <c r="BZ43" s="102">
        <v>166971</v>
      </c>
      <c r="CA43" s="102">
        <v>14127</v>
      </c>
      <c r="CB43" s="102">
        <v>1153415</v>
      </c>
      <c r="CC43" s="102">
        <v>491662</v>
      </c>
      <c r="CD43" s="102">
        <v>6710</v>
      </c>
      <c r="CE43" s="102">
        <v>609001</v>
      </c>
      <c r="CF43" s="102">
        <v>0</v>
      </c>
      <c r="CG43" s="102">
        <v>0</v>
      </c>
      <c r="CH43" s="102">
        <v>46042</v>
      </c>
      <c r="CI43" s="102">
        <v>724162</v>
      </c>
      <c r="CJ43" s="102">
        <v>659387</v>
      </c>
      <c r="CK43" s="83">
        <f t="shared" si="21"/>
        <v>64775</v>
      </c>
      <c r="CL43" s="102">
        <v>1379813</v>
      </c>
      <c r="CM43" s="102">
        <v>948599</v>
      </c>
      <c r="CN43" s="102">
        <v>105830</v>
      </c>
      <c r="CO43" s="102">
        <v>165631</v>
      </c>
      <c r="CP43" s="102">
        <v>22935</v>
      </c>
      <c r="CQ43" s="102">
        <v>334866</v>
      </c>
      <c r="CR43" s="102">
        <v>25252</v>
      </c>
      <c r="CS43" s="102">
        <v>78730</v>
      </c>
      <c r="CT43" s="102">
        <v>60228</v>
      </c>
      <c r="CU43" s="73">
        <f t="shared" si="8"/>
        <v>0</v>
      </c>
      <c r="CV43" s="102">
        <v>0</v>
      </c>
      <c r="CW43" s="102">
        <v>0</v>
      </c>
      <c r="CX43" s="73">
        <f t="shared" si="9"/>
        <v>0</v>
      </c>
      <c r="CY43" s="102">
        <v>0</v>
      </c>
      <c r="CZ43" s="102">
        <v>0</v>
      </c>
      <c r="DA43" s="73">
        <f t="shared" si="10"/>
        <v>0</v>
      </c>
      <c r="DB43" s="102">
        <v>0</v>
      </c>
      <c r="DC43" s="102">
        <v>0</v>
      </c>
      <c r="DD43" s="102">
        <v>98765</v>
      </c>
      <c r="DE43" s="102">
        <v>19742</v>
      </c>
      <c r="DF43" s="102">
        <v>77916</v>
      </c>
      <c r="DG43" s="102">
        <v>0</v>
      </c>
      <c r="DH43" s="102">
        <v>0</v>
      </c>
      <c r="DI43" s="102">
        <v>23499</v>
      </c>
      <c r="DJ43" s="102">
        <v>249570</v>
      </c>
      <c r="DK43" s="102">
        <v>166785</v>
      </c>
      <c r="DL43" s="102">
        <v>0</v>
      </c>
      <c r="DM43" s="102">
        <v>82785</v>
      </c>
      <c r="DN43" s="102">
        <v>0</v>
      </c>
      <c r="DO43" s="102">
        <v>0</v>
      </c>
      <c r="DP43" s="102">
        <v>0</v>
      </c>
      <c r="DQ43" s="102">
        <v>0</v>
      </c>
      <c r="DR43" s="102">
        <v>0</v>
      </c>
      <c r="DS43" s="102">
        <v>0</v>
      </c>
      <c r="DT43" s="102">
        <v>0</v>
      </c>
      <c r="DU43" s="102">
        <v>1227349</v>
      </c>
      <c r="DV43" s="102">
        <v>455376</v>
      </c>
      <c r="DW43" s="73">
        <f t="shared" si="11"/>
        <v>0</v>
      </c>
      <c r="DX43" s="102">
        <v>0</v>
      </c>
      <c r="DY43" s="102">
        <v>295221</v>
      </c>
      <c r="DZ43" s="102">
        <v>0</v>
      </c>
      <c r="EA43" s="102">
        <v>222375</v>
      </c>
      <c r="EB43" s="74">
        <v>0</v>
      </c>
      <c r="EC43" s="102">
        <v>254377</v>
      </c>
      <c r="ED43" s="102">
        <v>0</v>
      </c>
      <c r="EE43" s="102">
        <v>6641016</v>
      </c>
      <c r="EF43" s="71"/>
      <c r="EG43" s="102">
        <v>24562</v>
      </c>
      <c r="EH43" s="102">
        <v>4575</v>
      </c>
      <c r="EI43" s="102">
        <v>19987</v>
      </c>
      <c r="EJ43" s="102">
        <v>-52115</v>
      </c>
      <c r="EK43" s="102">
        <v>24670</v>
      </c>
      <c r="EL43" s="71"/>
      <c r="EM43" s="102">
        <v>17298</v>
      </c>
      <c r="EN43" s="102">
        <v>17110</v>
      </c>
      <c r="EO43" s="102">
        <v>96270</v>
      </c>
      <c r="EP43" s="102">
        <v>31068</v>
      </c>
      <c r="EQ43" s="73">
        <f t="shared" si="12"/>
        <v>189794</v>
      </c>
      <c r="ER43" s="102">
        <v>4555800</v>
      </c>
      <c r="ES43" s="71">
        <v>-526537</v>
      </c>
      <c r="ET43" s="102">
        <v>1357519</v>
      </c>
      <c r="EU43" s="102">
        <v>891668</v>
      </c>
      <c r="EV43" s="102">
        <v>387143</v>
      </c>
      <c r="EW43" s="102">
        <v>724162</v>
      </c>
      <c r="EX43" s="73">
        <f t="shared" si="13"/>
        <v>30121</v>
      </c>
      <c r="EY43" s="102">
        <v>29111</v>
      </c>
      <c r="EZ43" s="102">
        <v>2687</v>
      </c>
      <c r="FA43" s="102">
        <v>25817</v>
      </c>
      <c r="FB43" s="102">
        <v>1010</v>
      </c>
      <c r="FC43" s="102">
        <v>0</v>
      </c>
      <c r="FD43" s="102">
        <v>1168438</v>
      </c>
      <c r="FE43" s="102">
        <v>257103</v>
      </c>
      <c r="FF43" s="102">
        <v>25252</v>
      </c>
      <c r="FG43" s="102">
        <v>1072699</v>
      </c>
      <c r="FH43" s="73">
        <f t="shared" si="14"/>
        <v>60590</v>
      </c>
      <c r="FI43" s="102">
        <v>5057775</v>
      </c>
      <c r="FJ43" s="379">
        <f t="shared" si="15"/>
        <v>0.5</v>
      </c>
      <c r="FK43" s="102">
        <v>4022409</v>
      </c>
      <c r="FL43" s="102">
        <v>212371</v>
      </c>
      <c r="FM43" s="102">
        <v>1983739</v>
      </c>
      <c r="FN43" s="102">
        <v>3474819</v>
      </c>
      <c r="FO43" s="428">
        <v>0.56899999999999995</v>
      </c>
      <c r="FP43" s="424">
        <v>108.4</v>
      </c>
      <c r="FQ43" s="425">
        <v>31.2</v>
      </c>
      <c r="FR43" s="424">
        <v>8.9</v>
      </c>
      <c r="FS43" s="424">
        <v>16.7</v>
      </c>
      <c r="FT43" s="425">
        <v>23.9</v>
      </c>
      <c r="FU43" s="424">
        <v>3.4</v>
      </c>
      <c r="FV43" s="426">
        <v>23.9</v>
      </c>
      <c r="FW43" s="388">
        <v>10.9</v>
      </c>
      <c r="FX43" s="102">
        <v>7427930</v>
      </c>
      <c r="FY43" s="384">
        <f t="shared" si="16"/>
        <v>175.4</v>
      </c>
      <c r="FZ43" s="102">
        <v>749732</v>
      </c>
      <c r="GA43" s="102">
        <v>404934</v>
      </c>
      <c r="GB43" s="102">
        <v>0</v>
      </c>
      <c r="GC43" s="102">
        <v>344798</v>
      </c>
      <c r="GD43" s="107">
        <v>0</v>
      </c>
      <c r="GE43" s="427"/>
      <c r="GF43" s="386"/>
      <c r="GG43" s="424">
        <v>99.3</v>
      </c>
      <c r="GH43" s="424">
        <v>43.2</v>
      </c>
      <c r="GI43" s="424">
        <v>98.4</v>
      </c>
      <c r="GJ43" s="102">
        <v>159</v>
      </c>
      <c r="GK43" s="429" t="s">
        <v>646</v>
      </c>
      <c r="GL43" s="429">
        <v>15</v>
      </c>
      <c r="GM43" s="117">
        <v>20</v>
      </c>
      <c r="GN43" s="429" t="s">
        <v>646</v>
      </c>
      <c r="GO43" s="430">
        <v>20</v>
      </c>
      <c r="GP43" s="387">
        <v>30</v>
      </c>
      <c r="GQ43" s="425">
        <v>10.9</v>
      </c>
      <c r="GR43" s="388">
        <v>25</v>
      </c>
      <c r="GS43" s="388">
        <v>35</v>
      </c>
      <c r="GT43" s="431">
        <v>60.6</v>
      </c>
      <c r="GU43" s="388">
        <v>350</v>
      </c>
      <c r="GV43" s="394"/>
      <c r="GW43" s="100">
        <f t="shared" si="17"/>
        <v>4235</v>
      </c>
      <c r="GX43" s="394"/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  <c r="HW43" s="394"/>
    </row>
    <row r="44" spans="1:231" x14ac:dyDescent="0.15">
      <c r="B44" s="89" t="s">
        <v>77</v>
      </c>
      <c r="C44" s="102">
        <v>4254082</v>
      </c>
      <c r="D44" s="73">
        <f t="shared" si="0"/>
        <v>2274830</v>
      </c>
      <c r="E44" s="102">
        <v>72736</v>
      </c>
      <c r="F44" s="102">
        <v>2202094</v>
      </c>
      <c r="G44" s="73">
        <f t="shared" si="1"/>
        <v>115592</v>
      </c>
      <c r="H44" s="102">
        <v>53903</v>
      </c>
      <c r="I44" s="102">
        <v>61689</v>
      </c>
      <c r="J44" s="102">
        <v>1591508</v>
      </c>
      <c r="K44" s="102">
        <v>574361</v>
      </c>
      <c r="L44" s="102">
        <v>802789</v>
      </c>
      <c r="M44" s="102">
        <v>202444</v>
      </c>
      <c r="N44" s="102">
        <v>163288</v>
      </c>
      <c r="O44" s="102">
        <v>0</v>
      </c>
      <c r="P44" s="102">
        <v>0</v>
      </c>
      <c r="Q44" s="102">
        <v>0</v>
      </c>
      <c r="R44" s="102">
        <v>86156</v>
      </c>
      <c r="S44" s="74"/>
      <c r="T44" s="73">
        <f t="shared" si="18"/>
        <v>766387</v>
      </c>
      <c r="U44" s="102">
        <v>8340</v>
      </c>
      <c r="V44" s="102">
        <v>38430</v>
      </c>
      <c r="W44" s="102">
        <v>22061</v>
      </c>
      <c r="X44" s="102">
        <v>654567</v>
      </c>
      <c r="Y44" s="102">
        <v>10743</v>
      </c>
      <c r="Z44" s="102">
        <v>0</v>
      </c>
      <c r="AA44" s="102">
        <v>24592</v>
      </c>
      <c r="AB44" s="102">
        <v>7654</v>
      </c>
      <c r="AC44" s="102">
        <v>138357</v>
      </c>
      <c r="AD44" s="102">
        <v>2995854</v>
      </c>
      <c r="AE44" s="102">
        <v>2811666</v>
      </c>
      <c r="AF44" s="102">
        <v>184188</v>
      </c>
      <c r="AG44" s="102">
        <v>6125</v>
      </c>
      <c r="AH44" s="102">
        <v>5939</v>
      </c>
      <c r="AI44" s="73">
        <f t="shared" si="19"/>
        <v>353065</v>
      </c>
      <c r="AJ44" s="102">
        <v>254635</v>
      </c>
      <c r="AK44" s="102">
        <v>98430</v>
      </c>
      <c r="AL44" s="102">
        <v>1934765</v>
      </c>
      <c r="AM44" s="73">
        <f t="shared" si="20"/>
        <v>766912</v>
      </c>
      <c r="AN44" s="102">
        <v>0</v>
      </c>
      <c r="AO44" s="102">
        <v>369495</v>
      </c>
      <c r="AP44" s="74"/>
      <c r="AQ44" s="102">
        <v>397417</v>
      </c>
      <c r="AR44" s="102">
        <v>87039</v>
      </c>
      <c r="AS44" s="102">
        <v>70871</v>
      </c>
      <c r="AT44" s="102">
        <v>0</v>
      </c>
      <c r="AU44" s="102">
        <v>1181990</v>
      </c>
      <c r="AV44" s="102">
        <v>663973</v>
      </c>
      <c r="AW44" s="102">
        <v>163713</v>
      </c>
      <c r="AX44" s="102">
        <v>340</v>
      </c>
      <c r="AY44" s="102">
        <v>518017</v>
      </c>
      <c r="AZ44" s="102">
        <v>1052</v>
      </c>
      <c r="BA44" s="102">
        <v>15380</v>
      </c>
      <c r="BB44" s="102">
        <v>2302</v>
      </c>
      <c r="BC44" s="102">
        <v>223730</v>
      </c>
      <c r="BD44" s="102">
        <v>1228328</v>
      </c>
      <c r="BE44" s="102">
        <v>136000</v>
      </c>
      <c r="BF44" s="102">
        <v>0</v>
      </c>
      <c r="BG44" s="102">
        <v>1087282</v>
      </c>
      <c r="BH44" s="102">
        <v>0</v>
      </c>
      <c r="BI44" s="102">
        <v>218899</v>
      </c>
      <c r="BJ44" s="102">
        <v>96144</v>
      </c>
      <c r="BK44" s="102">
        <v>242620</v>
      </c>
      <c r="BL44" s="102">
        <v>0</v>
      </c>
      <c r="BM44" s="102">
        <v>0</v>
      </c>
      <c r="BN44" s="102">
        <v>0</v>
      </c>
      <c r="BO44" s="102">
        <v>1153870</v>
      </c>
      <c r="BP44" s="73">
        <f t="shared" si="5"/>
        <v>626870</v>
      </c>
      <c r="BQ44" s="73">
        <f t="shared" si="6"/>
        <v>527000</v>
      </c>
      <c r="BR44" s="102">
        <v>0</v>
      </c>
      <c r="BS44" s="102">
        <v>0</v>
      </c>
      <c r="BT44" s="102">
        <v>527000</v>
      </c>
      <c r="BU44" s="102">
        <v>0</v>
      </c>
      <c r="BV44" s="102">
        <v>14805547</v>
      </c>
      <c r="BW44" s="71"/>
      <c r="BX44" s="102">
        <v>2527923</v>
      </c>
      <c r="BY44" s="102">
        <v>1671446</v>
      </c>
      <c r="BZ44" s="102">
        <v>147937</v>
      </c>
      <c r="CA44" s="102">
        <v>208284</v>
      </c>
      <c r="CB44" s="102">
        <v>3025305</v>
      </c>
      <c r="CC44" s="102">
        <v>918153</v>
      </c>
      <c r="CD44" s="102">
        <v>18320</v>
      </c>
      <c r="CE44" s="102">
        <v>1839364</v>
      </c>
      <c r="CF44" s="102">
        <v>0</v>
      </c>
      <c r="CG44" s="102">
        <v>5018</v>
      </c>
      <c r="CH44" s="102">
        <v>244450</v>
      </c>
      <c r="CI44" s="102">
        <v>950666</v>
      </c>
      <c r="CJ44" s="102">
        <v>907487</v>
      </c>
      <c r="CK44" s="83">
        <f t="shared" si="21"/>
        <v>43179</v>
      </c>
      <c r="CL44" s="102">
        <v>2220030</v>
      </c>
      <c r="CM44" s="102">
        <v>1310017</v>
      </c>
      <c r="CN44" s="102">
        <v>174311</v>
      </c>
      <c r="CO44" s="102">
        <v>354974</v>
      </c>
      <c r="CP44" s="102">
        <v>191448</v>
      </c>
      <c r="CQ44" s="102">
        <v>1467191</v>
      </c>
      <c r="CR44" s="102">
        <v>509206</v>
      </c>
      <c r="CS44" s="102">
        <v>306921</v>
      </c>
      <c r="CT44" s="102">
        <v>194535</v>
      </c>
      <c r="CU44" s="73">
        <f t="shared" si="8"/>
        <v>328615</v>
      </c>
      <c r="CV44" s="102">
        <v>5381</v>
      </c>
      <c r="CW44" s="102">
        <v>323234</v>
      </c>
      <c r="CX44" s="73">
        <f t="shared" si="9"/>
        <v>0</v>
      </c>
      <c r="CY44" s="102">
        <v>0</v>
      </c>
      <c r="CZ44" s="102">
        <v>0</v>
      </c>
      <c r="DA44" s="73">
        <f t="shared" si="10"/>
        <v>322518</v>
      </c>
      <c r="DB44" s="102">
        <v>0</v>
      </c>
      <c r="DC44" s="102">
        <v>322518</v>
      </c>
      <c r="DD44" s="102">
        <v>1160396</v>
      </c>
      <c r="DE44" s="102">
        <v>547801</v>
      </c>
      <c r="DF44" s="102">
        <v>612209</v>
      </c>
      <c r="DG44" s="102">
        <v>386</v>
      </c>
      <c r="DH44" s="102">
        <v>0</v>
      </c>
      <c r="DI44" s="102">
        <v>228367</v>
      </c>
      <c r="DJ44" s="102">
        <v>1174946</v>
      </c>
      <c r="DK44" s="102">
        <v>49000</v>
      </c>
      <c r="DL44" s="102">
        <v>306</v>
      </c>
      <c r="DM44" s="102">
        <v>1125640</v>
      </c>
      <c r="DN44" s="102">
        <v>4000</v>
      </c>
      <c r="DO44" s="102">
        <v>4000</v>
      </c>
      <c r="DP44" s="102">
        <v>4000</v>
      </c>
      <c r="DQ44" s="102">
        <v>0</v>
      </c>
      <c r="DR44" s="102">
        <v>0</v>
      </c>
      <c r="DS44" s="102">
        <v>0</v>
      </c>
      <c r="DT44" s="102">
        <v>0</v>
      </c>
      <c r="DU44" s="102">
        <v>1513247</v>
      </c>
      <c r="DV44" s="102">
        <v>0</v>
      </c>
      <c r="DW44" s="73">
        <f t="shared" si="11"/>
        <v>0</v>
      </c>
      <c r="DX44" s="102">
        <v>0</v>
      </c>
      <c r="DY44" s="102">
        <v>582080</v>
      </c>
      <c r="DZ44" s="102">
        <v>0</v>
      </c>
      <c r="EA44" s="102">
        <v>389464</v>
      </c>
      <c r="EB44" s="74">
        <v>0</v>
      </c>
      <c r="EC44" s="102">
        <v>541703</v>
      </c>
      <c r="ED44" s="102">
        <v>0</v>
      </c>
      <c r="EE44" s="102">
        <v>14463519</v>
      </c>
      <c r="EF44" s="71"/>
      <c r="EG44" s="102">
        <v>342028</v>
      </c>
      <c r="EH44" s="102">
        <v>289286</v>
      </c>
      <c r="EI44" s="102">
        <v>52742</v>
      </c>
      <c r="EJ44" s="102">
        <v>-43402</v>
      </c>
      <c r="EK44" s="102">
        <v>-130402</v>
      </c>
      <c r="EL44" s="71"/>
      <c r="EM44" s="102">
        <v>44435</v>
      </c>
      <c r="EN44" s="102">
        <v>43671</v>
      </c>
      <c r="EO44" s="102">
        <v>173342</v>
      </c>
      <c r="EP44" s="102">
        <v>12122</v>
      </c>
      <c r="EQ44" s="73">
        <f t="shared" si="12"/>
        <v>440806</v>
      </c>
      <c r="ER44" s="102">
        <v>8246961</v>
      </c>
      <c r="ES44" s="71">
        <v>-1147145</v>
      </c>
      <c r="ET44" s="102">
        <v>2330488</v>
      </c>
      <c r="EU44" s="102">
        <v>1528672</v>
      </c>
      <c r="EV44" s="102">
        <v>1064620</v>
      </c>
      <c r="EW44" s="102">
        <v>925643</v>
      </c>
      <c r="EX44" s="73">
        <f t="shared" si="13"/>
        <v>322916</v>
      </c>
      <c r="EY44" s="102">
        <v>299975</v>
      </c>
      <c r="EZ44" s="102">
        <v>15742</v>
      </c>
      <c r="FA44" s="102">
        <v>283847</v>
      </c>
      <c r="FB44" s="102">
        <v>22941</v>
      </c>
      <c r="FC44" s="102">
        <v>0</v>
      </c>
      <c r="FD44" s="102">
        <v>1743331</v>
      </c>
      <c r="FE44" s="102">
        <v>1214772</v>
      </c>
      <c r="FF44" s="102">
        <v>508855</v>
      </c>
      <c r="FG44" s="102">
        <v>1213173</v>
      </c>
      <c r="FH44" s="73">
        <f t="shared" si="14"/>
        <v>237135</v>
      </c>
      <c r="FI44" s="102">
        <v>9052078</v>
      </c>
      <c r="FJ44" s="379">
        <f t="shared" si="15"/>
        <v>0.6</v>
      </c>
      <c r="FK44" s="102">
        <v>7956579</v>
      </c>
      <c r="FL44" s="102">
        <v>527355</v>
      </c>
      <c r="FM44" s="102">
        <v>4066583</v>
      </c>
      <c r="FN44" s="102">
        <v>6880450</v>
      </c>
      <c r="FO44" s="428">
        <v>0.60799999999999998</v>
      </c>
      <c r="FP44" s="424">
        <v>93.1</v>
      </c>
      <c r="FQ44" s="425">
        <v>25.6</v>
      </c>
      <c r="FR44" s="424">
        <v>12.2</v>
      </c>
      <c r="FS44" s="424">
        <v>10.6</v>
      </c>
      <c r="FT44" s="425">
        <v>17.600000000000001</v>
      </c>
      <c r="FU44" s="424">
        <v>12</v>
      </c>
      <c r="FV44" s="426">
        <v>13.6</v>
      </c>
      <c r="FW44" s="388">
        <v>4.8</v>
      </c>
      <c r="FX44" s="102">
        <v>8843414</v>
      </c>
      <c r="FY44" s="384">
        <f t="shared" si="16"/>
        <v>104.2</v>
      </c>
      <c r="FZ44" s="102">
        <v>7324093</v>
      </c>
      <c r="GA44" s="102">
        <v>1003221</v>
      </c>
      <c r="GB44" s="102">
        <v>617760</v>
      </c>
      <c r="GC44" s="102">
        <v>5703112</v>
      </c>
      <c r="GD44" s="107">
        <v>0</v>
      </c>
      <c r="GE44" s="427">
        <v>719</v>
      </c>
      <c r="GF44" s="386">
        <f>IF(GE44=0,"-",ROUND(GE44/(GW44)*100,1))</f>
        <v>8.5</v>
      </c>
      <c r="GG44" s="424">
        <v>99.4</v>
      </c>
      <c r="GH44" s="424">
        <v>41.4</v>
      </c>
      <c r="GI44" s="424">
        <v>98.3</v>
      </c>
      <c r="GJ44" s="102">
        <v>274</v>
      </c>
      <c r="GK44" s="429" t="s">
        <v>646</v>
      </c>
      <c r="GL44" s="429">
        <v>13.63</v>
      </c>
      <c r="GM44" s="117">
        <v>20</v>
      </c>
      <c r="GN44" s="429" t="s">
        <v>646</v>
      </c>
      <c r="GO44" s="430">
        <v>18.63</v>
      </c>
      <c r="GP44" s="387">
        <v>30</v>
      </c>
      <c r="GQ44" s="425">
        <v>4.8</v>
      </c>
      <c r="GR44" s="388">
        <v>25</v>
      </c>
      <c r="GS44" s="388">
        <v>35</v>
      </c>
      <c r="GT44" s="431" t="s">
        <v>646</v>
      </c>
      <c r="GU44" s="388">
        <v>350</v>
      </c>
      <c r="GV44" s="394"/>
      <c r="GW44" s="100">
        <f t="shared" si="17"/>
        <v>8484</v>
      </c>
      <c r="GX44" s="394"/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  <c r="HW44" s="394"/>
    </row>
    <row r="45" spans="1:231" x14ac:dyDescent="0.15">
      <c r="B45" s="89" t="s">
        <v>79</v>
      </c>
      <c r="C45" s="102">
        <v>4273792</v>
      </c>
      <c r="D45" s="73">
        <f t="shared" si="0"/>
        <v>380780</v>
      </c>
      <c r="E45" s="102">
        <v>13582</v>
      </c>
      <c r="F45" s="102">
        <v>367198</v>
      </c>
      <c r="G45" s="73">
        <f t="shared" si="1"/>
        <v>630638</v>
      </c>
      <c r="H45" s="102">
        <v>57605</v>
      </c>
      <c r="I45" s="102">
        <v>573033</v>
      </c>
      <c r="J45" s="102">
        <v>3060879</v>
      </c>
      <c r="K45" s="102">
        <v>1661900</v>
      </c>
      <c r="L45" s="102">
        <v>738670</v>
      </c>
      <c r="M45" s="102">
        <v>639571</v>
      </c>
      <c r="N45" s="102">
        <v>182085</v>
      </c>
      <c r="O45" s="102">
        <v>0</v>
      </c>
      <c r="P45" s="102">
        <v>0</v>
      </c>
      <c r="Q45" s="102">
        <v>0</v>
      </c>
      <c r="R45" s="102">
        <v>58851</v>
      </c>
      <c r="S45" s="74"/>
      <c r="T45" s="73">
        <f t="shared" si="18"/>
        <v>190005</v>
      </c>
      <c r="U45" s="102">
        <v>1461</v>
      </c>
      <c r="V45" s="102">
        <v>6766</v>
      </c>
      <c r="W45" s="102">
        <v>3912</v>
      </c>
      <c r="X45" s="102">
        <v>171769</v>
      </c>
      <c r="Y45" s="102">
        <v>0</v>
      </c>
      <c r="Z45" s="102">
        <v>0</v>
      </c>
      <c r="AA45" s="102">
        <v>4651</v>
      </c>
      <c r="AB45" s="102">
        <v>1446</v>
      </c>
      <c r="AC45" s="102">
        <v>35095</v>
      </c>
      <c r="AD45" s="102">
        <v>9237</v>
      </c>
      <c r="AE45" s="102">
        <v>0</v>
      </c>
      <c r="AF45" s="102">
        <v>9237</v>
      </c>
      <c r="AG45" s="102">
        <v>1281</v>
      </c>
      <c r="AH45" s="102">
        <v>462</v>
      </c>
      <c r="AI45" s="73">
        <f t="shared" si="19"/>
        <v>102578</v>
      </c>
      <c r="AJ45" s="102">
        <v>66726</v>
      </c>
      <c r="AK45" s="102">
        <v>35852</v>
      </c>
      <c r="AL45" s="102">
        <v>419207</v>
      </c>
      <c r="AM45" s="73">
        <f t="shared" si="20"/>
        <v>110973</v>
      </c>
      <c r="AN45" s="102">
        <v>0</v>
      </c>
      <c r="AO45" s="102">
        <v>0</v>
      </c>
      <c r="AP45" s="74"/>
      <c r="AQ45" s="102">
        <v>110973</v>
      </c>
      <c r="AR45" s="102">
        <v>0</v>
      </c>
      <c r="AS45" s="102">
        <v>0</v>
      </c>
      <c r="AT45" s="102">
        <v>0</v>
      </c>
      <c r="AU45" s="102">
        <v>272452</v>
      </c>
      <c r="AV45" s="102">
        <v>125952</v>
      </c>
      <c r="AW45" s="102">
        <v>0</v>
      </c>
      <c r="AX45" s="102">
        <v>0</v>
      </c>
      <c r="AY45" s="102">
        <v>146500</v>
      </c>
      <c r="AZ45" s="102">
        <v>1794</v>
      </c>
      <c r="BA45" s="102">
        <v>18420</v>
      </c>
      <c r="BB45" s="102">
        <v>0</v>
      </c>
      <c r="BC45" s="102">
        <v>2723</v>
      </c>
      <c r="BD45" s="102">
        <v>181637</v>
      </c>
      <c r="BE45" s="102">
        <v>0</v>
      </c>
      <c r="BF45" s="102">
        <v>0</v>
      </c>
      <c r="BG45" s="102">
        <v>181637</v>
      </c>
      <c r="BH45" s="102">
        <v>0</v>
      </c>
      <c r="BI45" s="102">
        <v>386039</v>
      </c>
      <c r="BJ45" s="102">
        <v>383039</v>
      </c>
      <c r="BK45" s="102">
        <v>42780</v>
      </c>
      <c r="BL45" s="102">
        <v>0</v>
      </c>
      <c r="BM45" s="102">
        <v>0</v>
      </c>
      <c r="BN45" s="102">
        <v>0</v>
      </c>
      <c r="BO45" s="102">
        <v>0</v>
      </c>
      <c r="BP45" s="73">
        <f t="shared" si="5"/>
        <v>0</v>
      </c>
      <c r="BQ45" s="73">
        <f t="shared" si="6"/>
        <v>0</v>
      </c>
      <c r="BR45" s="102">
        <v>0</v>
      </c>
      <c r="BS45" s="102">
        <v>0</v>
      </c>
      <c r="BT45" s="102">
        <v>0</v>
      </c>
      <c r="BU45" s="102">
        <v>0</v>
      </c>
      <c r="BV45" s="102">
        <v>5994559</v>
      </c>
      <c r="BW45" s="71"/>
      <c r="BX45" s="102">
        <v>1253060</v>
      </c>
      <c r="BY45" s="102">
        <v>743868</v>
      </c>
      <c r="BZ45" s="102">
        <v>70144</v>
      </c>
      <c r="CA45" s="102">
        <v>163067</v>
      </c>
      <c r="CB45" s="102">
        <v>531326</v>
      </c>
      <c r="CC45" s="102">
        <v>228737</v>
      </c>
      <c r="CD45" s="102">
        <v>5531</v>
      </c>
      <c r="CE45" s="102">
        <v>290415</v>
      </c>
      <c r="CF45" s="102">
        <v>0</v>
      </c>
      <c r="CG45" s="102">
        <v>1155</v>
      </c>
      <c r="CH45" s="102">
        <v>5488</v>
      </c>
      <c r="CI45" s="102">
        <v>77291</v>
      </c>
      <c r="CJ45" s="102">
        <v>70099</v>
      </c>
      <c r="CK45" s="83">
        <f t="shared" si="21"/>
        <v>7192</v>
      </c>
      <c r="CL45" s="102">
        <v>688267</v>
      </c>
      <c r="CM45" s="102">
        <v>404440</v>
      </c>
      <c r="CN45" s="102">
        <v>9474</v>
      </c>
      <c r="CO45" s="102">
        <v>157345</v>
      </c>
      <c r="CP45" s="102">
        <v>15022</v>
      </c>
      <c r="CQ45" s="102">
        <v>628397</v>
      </c>
      <c r="CR45" s="102">
        <v>353318</v>
      </c>
      <c r="CS45" s="102">
        <v>44367</v>
      </c>
      <c r="CT45" s="102">
        <v>40700</v>
      </c>
      <c r="CU45" s="73">
        <f t="shared" si="8"/>
        <v>0</v>
      </c>
      <c r="CV45" s="102">
        <v>0</v>
      </c>
      <c r="CW45" s="102">
        <v>0</v>
      </c>
      <c r="CX45" s="73">
        <f t="shared" si="9"/>
        <v>0</v>
      </c>
      <c r="CY45" s="102">
        <v>0</v>
      </c>
      <c r="CZ45" s="102">
        <v>0</v>
      </c>
      <c r="DA45" s="73">
        <f t="shared" si="10"/>
        <v>0</v>
      </c>
      <c r="DB45" s="102">
        <v>0</v>
      </c>
      <c r="DC45" s="102">
        <v>0</v>
      </c>
      <c r="DD45" s="102">
        <v>566059</v>
      </c>
      <c r="DE45" s="102">
        <v>310076</v>
      </c>
      <c r="DF45" s="102">
        <v>255983</v>
      </c>
      <c r="DG45" s="102">
        <v>0</v>
      </c>
      <c r="DH45" s="102">
        <v>0</v>
      </c>
      <c r="DI45" s="102">
        <v>7100</v>
      </c>
      <c r="DJ45" s="102">
        <v>799519</v>
      </c>
      <c r="DK45" s="102">
        <v>730732</v>
      </c>
      <c r="DL45" s="102">
        <v>0</v>
      </c>
      <c r="DM45" s="102">
        <v>68787</v>
      </c>
      <c r="DN45" s="102">
        <v>0</v>
      </c>
      <c r="DO45" s="102">
        <v>0</v>
      </c>
      <c r="DP45" s="102">
        <v>0</v>
      </c>
      <c r="DQ45" s="102">
        <v>0</v>
      </c>
      <c r="DR45" s="102">
        <v>0</v>
      </c>
      <c r="DS45" s="102">
        <v>0</v>
      </c>
      <c r="DT45" s="102">
        <v>0</v>
      </c>
      <c r="DU45" s="102">
        <v>875474</v>
      </c>
      <c r="DV45" s="102">
        <v>526285</v>
      </c>
      <c r="DW45" s="73">
        <f t="shared" si="11"/>
        <v>0</v>
      </c>
      <c r="DX45" s="102">
        <v>0</v>
      </c>
      <c r="DY45" s="102">
        <v>118498</v>
      </c>
      <c r="DZ45" s="102">
        <v>0</v>
      </c>
      <c r="EA45" s="102">
        <v>98963</v>
      </c>
      <c r="EB45" s="74">
        <v>0</v>
      </c>
      <c r="EC45" s="102">
        <v>131728</v>
      </c>
      <c r="ED45" s="102">
        <v>0</v>
      </c>
      <c r="EE45" s="102">
        <v>5441515</v>
      </c>
      <c r="EF45" s="71"/>
      <c r="EG45" s="102">
        <v>553044</v>
      </c>
      <c r="EH45" s="102">
        <v>115084</v>
      </c>
      <c r="EI45" s="102">
        <v>437960</v>
      </c>
      <c r="EJ45" s="102">
        <v>54921</v>
      </c>
      <c r="EK45" s="102">
        <v>785653</v>
      </c>
      <c r="EL45" s="71"/>
      <c r="EM45" s="102">
        <v>8417</v>
      </c>
      <c r="EN45" s="102">
        <v>8670</v>
      </c>
      <c r="EO45" s="102">
        <v>0</v>
      </c>
      <c r="EP45" s="102">
        <v>172</v>
      </c>
      <c r="EQ45" s="73">
        <f t="shared" si="12"/>
        <v>398942</v>
      </c>
      <c r="ER45" s="102">
        <v>4568261</v>
      </c>
      <c r="ES45" s="71">
        <v>-397833</v>
      </c>
      <c r="ET45" s="102">
        <v>1163473</v>
      </c>
      <c r="EU45" s="102">
        <v>667168</v>
      </c>
      <c r="EV45" s="102">
        <v>165287</v>
      </c>
      <c r="EW45" s="102">
        <v>77291</v>
      </c>
      <c r="EX45" s="73">
        <f t="shared" si="13"/>
        <v>252088</v>
      </c>
      <c r="EY45" s="102">
        <v>250485</v>
      </c>
      <c r="EZ45" s="102">
        <v>174996</v>
      </c>
      <c r="FA45" s="102">
        <v>75489</v>
      </c>
      <c r="FB45" s="102">
        <v>1603</v>
      </c>
      <c r="FC45" s="102">
        <v>0</v>
      </c>
      <c r="FD45" s="102">
        <v>565087</v>
      </c>
      <c r="FE45" s="102">
        <v>583430</v>
      </c>
      <c r="FF45" s="102">
        <v>352903</v>
      </c>
      <c r="FG45" s="102">
        <v>814304</v>
      </c>
      <c r="FH45" s="73">
        <f t="shared" si="14"/>
        <v>792090</v>
      </c>
      <c r="FI45" s="102">
        <v>4413050</v>
      </c>
      <c r="FJ45" s="379">
        <f t="shared" si="15"/>
        <v>9.3000000000000007</v>
      </c>
      <c r="FK45" s="102">
        <v>4709489</v>
      </c>
      <c r="FL45" s="102">
        <v>0</v>
      </c>
      <c r="FM45" s="102">
        <v>3583296</v>
      </c>
      <c r="FN45" s="102">
        <v>2187556</v>
      </c>
      <c r="FO45" s="428">
        <v>1.583</v>
      </c>
      <c r="FP45" s="424">
        <v>68.400000000000006</v>
      </c>
      <c r="FQ45" s="425">
        <v>25.4</v>
      </c>
      <c r="FR45" s="424">
        <v>3.6</v>
      </c>
      <c r="FS45" s="424">
        <v>1.7</v>
      </c>
      <c r="FT45" s="425">
        <v>12.2</v>
      </c>
      <c r="FU45" s="424">
        <v>9.9</v>
      </c>
      <c r="FV45" s="426">
        <v>15.3</v>
      </c>
      <c r="FW45" s="388">
        <v>5.8</v>
      </c>
      <c r="FX45" s="102">
        <v>357257</v>
      </c>
      <c r="FY45" s="384">
        <f t="shared" si="16"/>
        <v>7.6</v>
      </c>
      <c r="FZ45" s="102">
        <v>9420096</v>
      </c>
      <c r="GA45" s="102">
        <v>3687310</v>
      </c>
      <c r="GB45" s="102">
        <v>0</v>
      </c>
      <c r="GC45" s="102">
        <v>5732786</v>
      </c>
      <c r="GD45" s="107">
        <v>0</v>
      </c>
      <c r="GE45" s="427"/>
      <c r="GF45" s="386"/>
      <c r="GG45" s="424">
        <v>99.9</v>
      </c>
      <c r="GH45" s="424">
        <v>36.1</v>
      </c>
      <c r="GI45" s="424">
        <v>99.7</v>
      </c>
      <c r="GJ45" s="102">
        <v>115</v>
      </c>
      <c r="GK45" s="429" t="s">
        <v>646</v>
      </c>
      <c r="GL45" s="429">
        <v>15</v>
      </c>
      <c r="GM45" s="117">
        <v>20</v>
      </c>
      <c r="GN45" s="429" t="s">
        <v>646</v>
      </c>
      <c r="GO45" s="430">
        <v>20</v>
      </c>
      <c r="GP45" s="387">
        <v>30</v>
      </c>
      <c r="GQ45" s="425">
        <v>5.8</v>
      </c>
      <c r="GR45" s="388">
        <v>25</v>
      </c>
      <c r="GS45" s="388">
        <v>35</v>
      </c>
      <c r="GT45" s="431" t="s">
        <v>646</v>
      </c>
      <c r="GU45" s="388">
        <v>350</v>
      </c>
      <c r="GV45" s="394"/>
      <c r="GW45" s="100">
        <f t="shared" si="17"/>
        <v>4709</v>
      </c>
      <c r="GX45" s="394"/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  <c r="HW45" s="394"/>
    </row>
    <row r="46" spans="1:231" x14ac:dyDescent="0.15">
      <c r="B46" s="89" t="s">
        <v>81</v>
      </c>
      <c r="C46" s="102">
        <v>2077421</v>
      </c>
      <c r="D46" s="73">
        <f t="shared" si="0"/>
        <v>656031</v>
      </c>
      <c r="E46" s="102">
        <v>25768</v>
      </c>
      <c r="F46" s="102">
        <v>630263</v>
      </c>
      <c r="G46" s="73">
        <f t="shared" si="1"/>
        <v>101966</v>
      </c>
      <c r="H46" s="102">
        <v>34201</v>
      </c>
      <c r="I46" s="102">
        <v>67765</v>
      </c>
      <c r="J46" s="102">
        <v>1203575</v>
      </c>
      <c r="K46" s="102">
        <v>447499</v>
      </c>
      <c r="L46" s="102">
        <v>439255</v>
      </c>
      <c r="M46" s="102">
        <v>313365</v>
      </c>
      <c r="N46" s="102">
        <v>72154</v>
      </c>
      <c r="O46" s="102">
        <v>0</v>
      </c>
      <c r="P46" s="102">
        <v>0</v>
      </c>
      <c r="Q46" s="102">
        <v>0</v>
      </c>
      <c r="R46" s="102">
        <v>46938</v>
      </c>
      <c r="S46" s="74"/>
      <c r="T46" s="73">
        <f t="shared" si="18"/>
        <v>323720</v>
      </c>
      <c r="U46" s="102">
        <v>2471</v>
      </c>
      <c r="V46" s="102">
        <v>11398</v>
      </c>
      <c r="W46" s="102">
        <v>6553</v>
      </c>
      <c r="X46" s="102">
        <v>242925</v>
      </c>
      <c r="Y46" s="102">
        <v>43181</v>
      </c>
      <c r="Z46" s="102">
        <v>0</v>
      </c>
      <c r="AA46" s="102">
        <v>13112</v>
      </c>
      <c r="AB46" s="102">
        <v>4080</v>
      </c>
      <c r="AC46" s="102">
        <v>33443</v>
      </c>
      <c r="AD46" s="102">
        <v>2013873</v>
      </c>
      <c r="AE46" s="102">
        <v>1755931</v>
      </c>
      <c r="AF46" s="102">
        <v>257942</v>
      </c>
      <c r="AG46" s="102">
        <v>2203</v>
      </c>
      <c r="AH46" s="102">
        <v>18460</v>
      </c>
      <c r="AI46" s="73">
        <f t="shared" si="19"/>
        <v>115574</v>
      </c>
      <c r="AJ46" s="102">
        <v>98608</v>
      </c>
      <c r="AK46" s="102">
        <v>16966</v>
      </c>
      <c r="AL46" s="102">
        <v>954591</v>
      </c>
      <c r="AM46" s="73">
        <f t="shared" si="20"/>
        <v>218123</v>
      </c>
      <c r="AN46" s="102">
        <v>0</v>
      </c>
      <c r="AO46" s="102">
        <v>14588</v>
      </c>
      <c r="AP46" s="74"/>
      <c r="AQ46" s="102">
        <v>203535</v>
      </c>
      <c r="AR46" s="102">
        <v>137</v>
      </c>
      <c r="AS46" s="102">
        <v>28124</v>
      </c>
      <c r="AT46" s="102">
        <v>0</v>
      </c>
      <c r="AU46" s="102">
        <v>586271</v>
      </c>
      <c r="AV46" s="102">
        <v>243593</v>
      </c>
      <c r="AW46" s="102">
        <v>7274</v>
      </c>
      <c r="AX46" s="102">
        <v>1208</v>
      </c>
      <c r="AY46" s="102">
        <v>342678</v>
      </c>
      <c r="AZ46" s="102">
        <v>813</v>
      </c>
      <c r="BA46" s="102">
        <v>37698</v>
      </c>
      <c r="BB46" s="102">
        <v>713</v>
      </c>
      <c r="BC46" s="102">
        <v>10019</v>
      </c>
      <c r="BD46" s="102">
        <v>314056</v>
      </c>
      <c r="BE46" s="102">
        <v>5000</v>
      </c>
      <c r="BF46" s="102">
        <v>0</v>
      </c>
      <c r="BG46" s="102">
        <v>194070</v>
      </c>
      <c r="BH46" s="102">
        <v>0</v>
      </c>
      <c r="BI46" s="102">
        <v>138367</v>
      </c>
      <c r="BJ46" s="102">
        <v>60729</v>
      </c>
      <c r="BK46" s="102">
        <v>159929</v>
      </c>
      <c r="BL46" s="102">
        <v>550</v>
      </c>
      <c r="BM46" s="102">
        <v>0</v>
      </c>
      <c r="BN46" s="102">
        <v>0</v>
      </c>
      <c r="BO46" s="102">
        <v>725697</v>
      </c>
      <c r="BP46" s="73">
        <f t="shared" si="5"/>
        <v>508600</v>
      </c>
      <c r="BQ46" s="73">
        <f t="shared" si="6"/>
        <v>217097</v>
      </c>
      <c r="BR46" s="102">
        <v>0</v>
      </c>
      <c r="BS46" s="102">
        <v>0</v>
      </c>
      <c r="BT46" s="102">
        <v>217097</v>
      </c>
      <c r="BU46" s="102">
        <v>0</v>
      </c>
      <c r="BV46" s="102">
        <v>7558260</v>
      </c>
      <c r="BW46" s="71"/>
      <c r="BX46" s="102">
        <v>1361472</v>
      </c>
      <c r="BY46" s="102">
        <v>916609</v>
      </c>
      <c r="BZ46" s="102">
        <v>115199</v>
      </c>
      <c r="CA46" s="102">
        <v>24210</v>
      </c>
      <c r="CB46" s="102">
        <v>921884</v>
      </c>
      <c r="CC46" s="102">
        <v>479939</v>
      </c>
      <c r="CD46" s="102">
        <v>5113</v>
      </c>
      <c r="CE46" s="102">
        <v>424316</v>
      </c>
      <c r="CF46" s="102">
        <v>0</v>
      </c>
      <c r="CG46" s="102">
        <v>924</v>
      </c>
      <c r="CH46" s="102">
        <v>11592</v>
      </c>
      <c r="CI46" s="102">
        <v>675812</v>
      </c>
      <c r="CJ46" s="102">
        <v>629645</v>
      </c>
      <c r="CK46" s="83">
        <f t="shared" si="21"/>
        <v>46167</v>
      </c>
      <c r="CL46" s="102">
        <v>1327451</v>
      </c>
      <c r="CM46" s="102">
        <v>644846</v>
      </c>
      <c r="CN46" s="102">
        <v>251356</v>
      </c>
      <c r="CO46" s="102">
        <v>285672</v>
      </c>
      <c r="CP46" s="102">
        <v>120983</v>
      </c>
      <c r="CQ46" s="102">
        <v>535123</v>
      </c>
      <c r="CR46" s="102">
        <v>338697</v>
      </c>
      <c r="CS46" s="102">
        <v>94843</v>
      </c>
      <c r="CT46" s="102">
        <v>78197</v>
      </c>
      <c r="CU46" s="73">
        <f t="shared" si="8"/>
        <v>0</v>
      </c>
      <c r="CV46" s="102">
        <v>0</v>
      </c>
      <c r="CW46" s="102">
        <v>0</v>
      </c>
      <c r="CX46" s="73">
        <f t="shared" si="9"/>
        <v>0</v>
      </c>
      <c r="CY46" s="102">
        <v>0</v>
      </c>
      <c r="CZ46" s="102">
        <v>0</v>
      </c>
      <c r="DA46" s="73">
        <f t="shared" si="10"/>
        <v>0</v>
      </c>
      <c r="DB46" s="102">
        <v>0</v>
      </c>
      <c r="DC46" s="102">
        <v>0</v>
      </c>
      <c r="DD46" s="102">
        <v>1168647</v>
      </c>
      <c r="DE46" s="102">
        <v>739569</v>
      </c>
      <c r="DF46" s="102">
        <v>429078</v>
      </c>
      <c r="DG46" s="102">
        <v>0</v>
      </c>
      <c r="DH46" s="102">
        <v>0</v>
      </c>
      <c r="DI46" s="102">
        <v>118090</v>
      </c>
      <c r="DJ46" s="102">
        <v>81978</v>
      </c>
      <c r="DK46" s="102">
        <v>51063</v>
      </c>
      <c r="DL46" s="102">
        <v>2</v>
      </c>
      <c r="DM46" s="102">
        <v>30913</v>
      </c>
      <c r="DN46" s="102">
        <v>0</v>
      </c>
      <c r="DO46" s="102">
        <v>0</v>
      </c>
      <c r="DP46" s="102">
        <v>0</v>
      </c>
      <c r="DQ46" s="102">
        <v>0</v>
      </c>
      <c r="DR46" s="102">
        <v>0</v>
      </c>
      <c r="DS46" s="102">
        <v>0</v>
      </c>
      <c r="DT46" s="102">
        <v>0</v>
      </c>
      <c r="DU46" s="102">
        <v>1156860</v>
      </c>
      <c r="DV46" s="102">
        <v>297101</v>
      </c>
      <c r="DW46" s="73">
        <f t="shared" si="11"/>
        <v>0</v>
      </c>
      <c r="DX46" s="102">
        <v>0</v>
      </c>
      <c r="DY46" s="102">
        <v>369197</v>
      </c>
      <c r="DZ46" s="102">
        <v>0</v>
      </c>
      <c r="EA46" s="102">
        <v>179505</v>
      </c>
      <c r="EB46" s="74">
        <v>0</v>
      </c>
      <c r="EC46" s="102">
        <v>299732</v>
      </c>
      <c r="ED46" s="102">
        <v>0</v>
      </c>
      <c r="EE46" s="102">
        <v>7468300</v>
      </c>
      <c r="EF46" s="71"/>
      <c r="EG46" s="102">
        <v>89960</v>
      </c>
      <c r="EH46" s="102">
        <v>26134</v>
      </c>
      <c r="EI46" s="102">
        <v>63826</v>
      </c>
      <c r="EJ46" s="102">
        <v>3097</v>
      </c>
      <c r="EK46" s="102">
        <v>49160</v>
      </c>
      <c r="EL46" s="71"/>
      <c r="EM46" s="102">
        <v>15938</v>
      </c>
      <c r="EN46" s="102">
        <v>15634</v>
      </c>
      <c r="EO46" s="102">
        <v>13701</v>
      </c>
      <c r="EP46" s="102">
        <v>12286</v>
      </c>
      <c r="EQ46" s="73">
        <f t="shared" si="12"/>
        <v>198614</v>
      </c>
      <c r="ER46" s="102">
        <v>4497598</v>
      </c>
      <c r="ES46" s="71">
        <v>-439495</v>
      </c>
      <c r="ET46" s="102">
        <v>1236404</v>
      </c>
      <c r="EU46" s="102">
        <v>798747</v>
      </c>
      <c r="EV46" s="102">
        <v>329169</v>
      </c>
      <c r="EW46" s="102">
        <v>675812</v>
      </c>
      <c r="EX46" s="73">
        <f t="shared" si="13"/>
        <v>119028</v>
      </c>
      <c r="EY46" s="102">
        <v>119028</v>
      </c>
      <c r="EZ46" s="102">
        <v>5072</v>
      </c>
      <c r="FA46" s="102">
        <v>113956</v>
      </c>
      <c r="FB46" s="102">
        <v>0</v>
      </c>
      <c r="FC46" s="102">
        <v>0</v>
      </c>
      <c r="FD46" s="102">
        <v>870584</v>
      </c>
      <c r="FE46" s="102">
        <v>468197</v>
      </c>
      <c r="FF46" s="102">
        <v>338697</v>
      </c>
      <c r="FG46" s="102">
        <v>975886</v>
      </c>
      <c r="FH46" s="73">
        <f t="shared" si="14"/>
        <v>172053</v>
      </c>
      <c r="FI46" s="102">
        <v>4847133</v>
      </c>
      <c r="FJ46" s="379">
        <f t="shared" si="15"/>
        <v>1.5</v>
      </c>
      <c r="FK46" s="102">
        <v>4087821</v>
      </c>
      <c r="FL46" s="102">
        <v>217097</v>
      </c>
      <c r="FM46" s="102">
        <v>1824695</v>
      </c>
      <c r="FN46" s="102">
        <v>3583551</v>
      </c>
      <c r="FO46" s="428">
        <v>0.52</v>
      </c>
      <c r="FP46" s="424">
        <v>95.3</v>
      </c>
      <c r="FQ46" s="425">
        <v>25.6</v>
      </c>
      <c r="FR46" s="424">
        <v>7.3</v>
      </c>
      <c r="FS46" s="424">
        <v>15.1</v>
      </c>
      <c r="FT46" s="425">
        <v>17</v>
      </c>
      <c r="FU46" s="424">
        <v>9.6</v>
      </c>
      <c r="FV46" s="426">
        <v>18</v>
      </c>
      <c r="FW46" s="388">
        <v>11.3</v>
      </c>
      <c r="FX46" s="102">
        <v>8007198</v>
      </c>
      <c r="FY46" s="384">
        <f t="shared" si="16"/>
        <v>186</v>
      </c>
      <c r="FZ46" s="102">
        <v>1390389</v>
      </c>
      <c r="GA46" s="102">
        <v>687623</v>
      </c>
      <c r="GB46" s="102">
        <v>38470</v>
      </c>
      <c r="GC46" s="102">
        <v>664296</v>
      </c>
      <c r="GD46" s="107">
        <v>0</v>
      </c>
      <c r="GE46" s="427"/>
      <c r="GF46" s="386"/>
      <c r="GG46" s="424">
        <v>99.2</v>
      </c>
      <c r="GH46" s="424">
        <v>17.7</v>
      </c>
      <c r="GI46" s="424">
        <v>94.9</v>
      </c>
      <c r="GJ46" s="102">
        <v>153</v>
      </c>
      <c r="GK46" s="429" t="s">
        <v>646</v>
      </c>
      <c r="GL46" s="429">
        <v>15</v>
      </c>
      <c r="GM46" s="117">
        <v>20</v>
      </c>
      <c r="GN46" s="429" t="s">
        <v>646</v>
      </c>
      <c r="GO46" s="430">
        <v>20</v>
      </c>
      <c r="GP46" s="387">
        <v>30</v>
      </c>
      <c r="GQ46" s="425">
        <v>11.3</v>
      </c>
      <c r="GR46" s="388">
        <v>25</v>
      </c>
      <c r="GS46" s="388">
        <v>35</v>
      </c>
      <c r="GT46" s="431">
        <v>117.4</v>
      </c>
      <c r="GU46" s="388">
        <v>350</v>
      </c>
      <c r="GV46" s="394"/>
      <c r="GW46" s="100">
        <f t="shared" si="17"/>
        <v>4305</v>
      </c>
      <c r="GX46" s="394"/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  <c r="HW46" s="394"/>
    </row>
    <row r="47" spans="1:231" x14ac:dyDescent="0.15">
      <c r="B47" s="89" t="s">
        <v>83</v>
      </c>
      <c r="C47" s="102">
        <v>1452005</v>
      </c>
      <c r="D47" s="73">
        <f t="shared" si="0"/>
        <v>664892</v>
      </c>
      <c r="E47" s="102">
        <v>22667</v>
      </c>
      <c r="F47" s="102">
        <v>642225</v>
      </c>
      <c r="G47" s="73">
        <f t="shared" si="1"/>
        <v>44003</v>
      </c>
      <c r="H47" s="102">
        <v>19748</v>
      </c>
      <c r="I47" s="102">
        <v>24255</v>
      </c>
      <c r="J47" s="102">
        <v>518776</v>
      </c>
      <c r="K47" s="102">
        <v>197509</v>
      </c>
      <c r="L47" s="102">
        <v>256106</v>
      </c>
      <c r="M47" s="102">
        <v>65161</v>
      </c>
      <c r="N47" s="102">
        <v>186919</v>
      </c>
      <c r="O47" s="102">
        <v>0</v>
      </c>
      <c r="P47" s="102">
        <v>0</v>
      </c>
      <c r="Q47" s="102">
        <v>0</v>
      </c>
      <c r="R47" s="102">
        <v>36188</v>
      </c>
      <c r="S47" s="74"/>
      <c r="T47" s="73">
        <f t="shared" si="18"/>
        <v>260847</v>
      </c>
      <c r="U47" s="102">
        <v>2448</v>
      </c>
      <c r="V47" s="102">
        <v>11272</v>
      </c>
      <c r="W47" s="102">
        <v>6453</v>
      </c>
      <c r="X47" s="102">
        <v>203442</v>
      </c>
      <c r="Y47" s="102">
        <v>23685</v>
      </c>
      <c r="Z47" s="102">
        <v>0</v>
      </c>
      <c r="AA47" s="102">
        <v>10332</v>
      </c>
      <c r="AB47" s="102">
        <v>3215</v>
      </c>
      <c r="AC47" s="102">
        <v>24391</v>
      </c>
      <c r="AD47" s="102">
        <v>1511255</v>
      </c>
      <c r="AE47" s="102">
        <v>1311848</v>
      </c>
      <c r="AF47" s="102">
        <v>199407</v>
      </c>
      <c r="AG47" s="102">
        <v>2039</v>
      </c>
      <c r="AH47" s="102">
        <v>47392</v>
      </c>
      <c r="AI47" s="73">
        <f t="shared" si="19"/>
        <v>57105</v>
      </c>
      <c r="AJ47" s="102">
        <v>32058</v>
      </c>
      <c r="AK47" s="102">
        <v>25047</v>
      </c>
      <c r="AL47" s="102">
        <v>601265</v>
      </c>
      <c r="AM47" s="73">
        <f t="shared" si="20"/>
        <v>248392</v>
      </c>
      <c r="AN47" s="102">
        <v>0</v>
      </c>
      <c r="AO47" s="102">
        <v>130731</v>
      </c>
      <c r="AP47" s="74"/>
      <c r="AQ47" s="102">
        <v>117661</v>
      </c>
      <c r="AR47" s="102">
        <v>63660</v>
      </c>
      <c r="AS47" s="102">
        <v>17210</v>
      </c>
      <c r="AT47" s="102">
        <v>0</v>
      </c>
      <c r="AU47" s="102">
        <v>434402</v>
      </c>
      <c r="AV47" s="102">
        <v>265518</v>
      </c>
      <c r="AW47" s="102">
        <v>56024</v>
      </c>
      <c r="AX47" s="102">
        <v>80</v>
      </c>
      <c r="AY47" s="102">
        <v>168884</v>
      </c>
      <c r="AZ47" s="102">
        <v>92</v>
      </c>
      <c r="BA47" s="102">
        <v>5653</v>
      </c>
      <c r="BB47" s="102">
        <v>1690</v>
      </c>
      <c r="BC47" s="102">
        <v>5102</v>
      </c>
      <c r="BD47" s="102">
        <v>431620</v>
      </c>
      <c r="BE47" s="102">
        <v>260000</v>
      </c>
      <c r="BF47" s="102">
        <v>0</v>
      </c>
      <c r="BG47" s="102">
        <v>165504</v>
      </c>
      <c r="BH47" s="102">
        <v>0</v>
      </c>
      <c r="BI47" s="102">
        <v>29854</v>
      </c>
      <c r="BJ47" s="102">
        <v>29854</v>
      </c>
      <c r="BK47" s="102">
        <v>49419</v>
      </c>
      <c r="BL47" s="102">
        <v>0</v>
      </c>
      <c r="BM47" s="102">
        <v>0</v>
      </c>
      <c r="BN47" s="102">
        <v>0</v>
      </c>
      <c r="BO47" s="102">
        <v>298053</v>
      </c>
      <c r="BP47" s="73">
        <f t="shared" si="5"/>
        <v>142100</v>
      </c>
      <c r="BQ47" s="73">
        <f t="shared" si="6"/>
        <v>155953</v>
      </c>
      <c r="BR47" s="102">
        <v>0</v>
      </c>
      <c r="BS47" s="102">
        <v>0</v>
      </c>
      <c r="BT47" s="102">
        <v>155953</v>
      </c>
      <c r="BU47" s="102">
        <v>0</v>
      </c>
      <c r="BV47" s="102">
        <v>5246590</v>
      </c>
      <c r="BW47" s="71"/>
      <c r="BX47" s="102">
        <v>1096684</v>
      </c>
      <c r="BY47" s="102">
        <v>639796</v>
      </c>
      <c r="BZ47" s="102">
        <v>192257</v>
      </c>
      <c r="CA47" s="102">
        <v>11928</v>
      </c>
      <c r="CB47" s="102">
        <v>966323</v>
      </c>
      <c r="CC47" s="102">
        <v>305048</v>
      </c>
      <c r="CD47" s="102">
        <v>5223</v>
      </c>
      <c r="CE47" s="102">
        <v>603311</v>
      </c>
      <c r="CF47" s="102">
        <v>0</v>
      </c>
      <c r="CG47" s="102">
        <v>0</v>
      </c>
      <c r="CH47" s="102">
        <v>52741</v>
      </c>
      <c r="CI47" s="102">
        <v>435534</v>
      </c>
      <c r="CJ47" s="102">
        <v>404357</v>
      </c>
      <c r="CK47" s="83">
        <f t="shared" si="21"/>
        <v>31177</v>
      </c>
      <c r="CL47" s="102">
        <v>950862</v>
      </c>
      <c r="CM47" s="102">
        <v>528957</v>
      </c>
      <c r="CN47" s="102">
        <v>154841</v>
      </c>
      <c r="CO47" s="102">
        <v>89988</v>
      </c>
      <c r="CP47" s="102">
        <v>23213</v>
      </c>
      <c r="CQ47" s="102">
        <v>547401</v>
      </c>
      <c r="CR47" s="102">
        <v>92123</v>
      </c>
      <c r="CS47" s="102">
        <v>167459</v>
      </c>
      <c r="CT47" s="102">
        <v>121224</v>
      </c>
      <c r="CU47" s="73">
        <f t="shared" si="8"/>
        <v>0</v>
      </c>
      <c r="CV47" s="102">
        <v>0</v>
      </c>
      <c r="CW47" s="102">
        <v>0</v>
      </c>
      <c r="CX47" s="73">
        <f t="shared" si="9"/>
        <v>0</v>
      </c>
      <c r="CY47" s="102">
        <v>0</v>
      </c>
      <c r="CZ47" s="102">
        <v>0</v>
      </c>
      <c r="DA47" s="73">
        <f t="shared" si="10"/>
        <v>0</v>
      </c>
      <c r="DB47" s="102">
        <v>0</v>
      </c>
      <c r="DC47" s="102">
        <v>0</v>
      </c>
      <c r="DD47" s="102">
        <v>431611</v>
      </c>
      <c r="DE47" s="102">
        <v>143114</v>
      </c>
      <c r="DF47" s="102">
        <v>288497</v>
      </c>
      <c r="DG47" s="102">
        <v>0</v>
      </c>
      <c r="DH47" s="102">
        <v>0</v>
      </c>
      <c r="DI47" s="102">
        <v>0</v>
      </c>
      <c r="DJ47" s="102">
        <v>48347</v>
      </c>
      <c r="DK47" s="102">
        <v>35066</v>
      </c>
      <c r="DL47" s="102">
        <v>1</v>
      </c>
      <c r="DM47" s="102">
        <v>13280</v>
      </c>
      <c r="DN47" s="102">
        <v>0</v>
      </c>
      <c r="DO47" s="102">
        <v>0</v>
      </c>
      <c r="DP47" s="102">
        <v>0</v>
      </c>
      <c r="DQ47" s="102">
        <v>0</v>
      </c>
      <c r="DR47" s="102">
        <v>0</v>
      </c>
      <c r="DS47" s="102">
        <v>0</v>
      </c>
      <c r="DT47" s="102">
        <v>0</v>
      </c>
      <c r="DU47" s="102">
        <v>699134</v>
      </c>
      <c r="DV47" s="102">
        <v>165607</v>
      </c>
      <c r="DW47" s="73">
        <f t="shared" si="11"/>
        <v>0</v>
      </c>
      <c r="DX47" s="102">
        <v>0</v>
      </c>
      <c r="DY47" s="102">
        <v>185962</v>
      </c>
      <c r="DZ47" s="102">
        <v>0</v>
      </c>
      <c r="EA47" s="102">
        <v>136569</v>
      </c>
      <c r="EB47" s="74">
        <v>0</v>
      </c>
      <c r="EC47" s="102">
        <v>205906</v>
      </c>
      <c r="ED47" s="102">
        <v>0</v>
      </c>
      <c r="EE47" s="102">
        <v>5199109</v>
      </c>
      <c r="EF47" s="71"/>
      <c r="EG47" s="102">
        <v>47481</v>
      </c>
      <c r="EH47" s="102">
        <v>19529</v>
      </c>
      <c r="EI47" s="102">
        <v>27952</v>
      </c>
      <c r="EJ47" s="102">
        <v>-1902</v>
      </c>
      <c r="EK47" s="102">
        <v>-226836</v>
      </c>
      <c r="EL47" s="71"/>
      <c r="EM47" s="102">
        <v>13748</v>
      </c>
      <c r="EN47" s="102">
        <v>13305</v>
      </c>
      <c r="EO47" s="102">
        <v>348000</v>
      </c>
      <c r="EP47" s="102">
        <v>1690</v>
      </c>
      <c r="EQ47" s="73">
        <f t="shared" si="12"/>
        <v>67119</v>
      </c>
      <c r="ER47" s="102">
        <v>3286725</v>
      </c>
      <c r="ES47" s="71">
        <v>-570723</v>
      </c>
      <c r="ET47" s="102">
        <v>1047719</v>
      </c>
      <c r="EU47" s="102">
        <v>593667</v>
      </c>
      <c r="EV47" s="102">
        <v>274910</v>
      </c>
      <c r="EW47" s="102">
        <v>435534</v>
      </c>
      <c r="EX47" s="73">
        <f t="shared" si="13"/>
        <v>165167</v>
      </c>
      <c r="EY47" s="102">
        <v>165167</v>
      </c>
      <c r="EZ47" s="102">
        <v>7874</v>
      </c>
      <c r="FA47" s="102">
        <v>157293</v>
      </c>
      <c r="FB47" s="102">
        <v>0</v>
      </c>
      <c r="FC47" s="102">
        <v>0</v>
      </c>
      <c r="FD47" s="102">
        <v>772391</v>
      </c>
      <c r="FE47" s="102">
        <v>473463</v>
      </c>
      <c r="FF47" s="102">
        <v>86287</v>
      </c>
      <c r="FG47" s="102">
        <v>595634</v>
      </c>
      <c r="FH47" s="73">
        <f t="shared" si="14"/>
        <v>45149</v>
      </c>
      <c r="FI47" s="102">
        <v>3809967</v>
      </c>
      <c r="FJ47" s="379">
        <f t="shared" si="15"/>
        <v>0.9</v>
      </c>
      <c r="FK47" s="102">
        <v>3047267</v>
      </c>
      <c r="FL47" s="102">
        <v>155953</v>
      </c>
      <c r="FM47" s="102">
        <v>1366091</v>
      </c>
      <c r="FN47" s="102">
        <v>2679472</v>
      </c>
      <c r="FO47" s="428">
        <v>0.51200000000000001</v>
      </c>
      <c r="FP47" s="424">
        <v>103.7</v>
      </c>
      <c r="FQ47" s="425">
        <v>32</v>
      </c>
      <c r="FR47" s="424">
        <v>8.4</v>
      </c>
      <c r="FS47" s="424">
        <v>13.4</v>
      </c>
      <c r="FT47" s="425">
        <v>20.9</v>
      </c>
      <c r="FU47" s="424">
        <v>11.9</v>
      </c>
      <c r="FV47" s="426">
        <v>16.3</v>
      </c>
      <c r="FW47" s="388">
        <v>7.1</v>
      </c>
      <c r="FX47" s="102">
        <v>4228638</v>
      </c>
      <c r="FY47" s="384">
        <f t="shared" si="16"/>
        <v>132</v>
      </c>
      <c r="FZ47" s="102">
        <v>2902523</v>
      </c>
      <c r="GA47" s="102">
        <v>1494019</v>
      </c>
      <c r="GB47" s="102">
        <v>7876</v>
      </c>
      <c r="GC47" s="102">
        <v>1400628</v>
      </c>
      <c r="GD47" s="107">
        <v>0</v>
      </c>
      <c r="GE47" s="427"/>
      <c r="GF47" s="386"/>
      <c r="GG47" s="424">
        <v>98.9</v>
      </c>
      <c r="GH47" s="424">
        <v>46.4</v>
      </c>
      <c r="GI47" s="424">
        <v>97.9</v>
      </c>
      <c r="GJ47" s="102">
        <v>99</v>
      </c>
      <c r="GK47" s="429" t="s">
        <v>646</v>
      </c>
      <c r="GL47" s="429">
        <v>15</v>
      </c>
      <c r="GM47" s="117">
        <v>20</v>
      </c>
      <c r="GN47" s="429" t="s">
        <v>646</v>
      </c>
      <c r="GO47" s="430">
        <v>20</v>
      </c>
      <c r="GP47" s="387">
        <v>30</v>
      </c>
      <c r="GQ47" s="425">
        <v>7.1</v>
      </c>
      <c r="GR47" s="388">
        <v>25</v>
      </c>
      <c r="GS47" s="388">
        <v>35</v>
      </c>
      <c r="GT47" s="431" t="s">
        <v>646</v>
      </c>
      <c r="GU47" s="388">
        <v>350</v>
      </c>
      <c r="GV47" s="394"/>
      <c r="GW47" s="100">
        <f t="shared" si="17"/>
        <v>3203</v>
      </c>
      <c r="GX47" s="394"/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  <c r="HW47" s="394"/>
    </row>
    <row r="48" spans="1:231" x14ac:dyDescent="0.15">
      <c r="B48" s="89" t="s">
        <v>85</v>
      </c>
      <c r="C48" s="102">
        <v>1521098</v>
      </c>
      <c r="D48" s="73">
        <f t="shared" si="0"/>
        <v>750620</v>
      </c>
      <c r="E48" s="102">
        <v>26271</v>
      </c>
      <c r="F48" s="102">
        <v>724349</v>
      </c>
      <c r="G48" s="73">
        <f t="shared" si="1"/>
        <v>59260</v>
      </c>
      <c r="H48" s="102">
        <v>30120</v>
      </c>
      <c r="I48" s="102">
        <v>29140</v>
      </c>
      <c r="J48" s="102">
        <v>577693</v>
      </c>
      <c r="K48" s="102">
        <v>189368</v>
      </c>
      <c r="L48" s="102">
        <v>304559</v>
      </c>
      <c r="M48" s="102">
        <v>83766</v>
      </c>
      <c r="N48" s="102">
        <v>83959</v>
      </c>
      <c r="O48" s="102">
        <v>0</v>
      </c>
      <c r="P48" s="102">
        <v>0</v>
      </c>
      <c r="Q48" s="102">
        <v>0</v>
      </c>
      <c r="R48" s="102">
        <v>46562</v>
      </c>
      <c r="S48" s="74"/>
      <c r="T48" s="73">
        <f t="shared" si="18"/>
        <v>334058</v>
      </c>
      <c r="U48" s="102">
        <v>2907</v>
      </c>
      <c r="V48" s="102">
        <v>13396</v>
      </c>
      <c r="W48" s="102">
        <v>7687</v>
      </c>
      <c r="X48" s="102">
        <v>252287</v>
      </c>
      <c r="Y48" s="102">
        <v>40724</v>
      </c>
      <c r="Z48" s="102">
        <v>0</v>
      </c>
      <c r="AA48" s="102">
        <v>13009</v>
      </c>
      <c r="AB48" s="102">
        <v>4048</v>
      </c>
      <c r="AC48" s="102">
        <v>43148</v>
      </c>
      <c r="AD48" s="102">
        <v>2045009</v>
      </c>
      <c r="AE48" s="102">
        <v>1849028</v>
      </c>
      <c r="AF48" s="102">
        <v>195981</v>
      </c>
      <c r="AG48" s="102">
        <v>2187</v>
      </c>
      <c r="AH48" s="102">
        <v>6192</v>
      </c>
      <c r="AI48" s="73">
        <f t="shared" si="19"/>
        <v>111611</v>
      </c>
      <c r="AJ48" s="102">
        <v>56584</v>
      </c>
      <c r="AK48" s="102">
        <v>55027</v>
      </c>
      <c r="AL48" s="102">
        <v>600901</v>
      </c>
      <c r="AM48" s="73">
        <f t="shared" si="20"/>
        <v>185644</v>
      </c>
      <c r="AN48" s="102">
        <v>0</v>
      </c>
      <c r="AO48" s="102">
        <v>722</v>
      </c>
      <c r="AP48" s="74"/>
      <c r="AQ48" s="102">
        <v>184922</v>
      </c>
      <c r="AR48" s="102">
        <v>12070</v>
      </c>
      <c r="AS48" s="102">
        <v>0</v>
      </c>
      <c r="AT48" s="102">
        <v>0</v>
      </c>
      <c r="AU48" s="102">
        <v>465855</v>
      </c>
      <c r="AV48" s="102">
        <v>283228</v>
      </c>
      <c r="AW48" s="102">
        <v>32309</v>
      </c>
      <c r="AX48" s="102">
        <v>500</v>
      </c>
      <c r="AY48" s="102">
        <v>182627</v>
      </c>
      <c r="AZ48" s="102">
        <v>2716</v>
      </c>
      <c r="BA48" s="102">
        <v>5608</v>
      </c>
      <c r="BB48" s="102">
        <v>584</v>
      </c>
      <c r="BC48" s="102">
        <v>11655</v>
      </c>
      <c r="BD48" s="102">
        <v>177923</v>
      </c>
      <c r="BE48" s="102">
        <v>100000</v>
      </c>
      <c r="BF48" s="102">
        <v>0</v>
      </c>
      <c r="BG48" s="102">
        <v>76926</v>
      </c>
      <c r="BH48" s="102">
        <v>0</v>
      </c>
      <c r="BI48" s="102">
        <v>79519</v>
      </c>
      <c r="BJ48" s="102">
        <v>67036</v>
      </c>
      <c r="BK48" s="102">
        <v>77102</v>
      </c>
      <c r="BL48" s="102">
        <v>1100</v>
      </c>
      <c r="BM48" s="102">
        <v>0</v>
      </c>
      <c r="BN48" s="102">
        <v>0</v>
      </c>
      <c r="BO48" s="102">
        <v>996900</v>
      </c>
      <c r="BP48" s="73">
        <f t="shared" si="5"/>
        <v>819900</v>
      </c>
      <c r="BQ48" s="73">
        <f t="shared" si="6"/>
        <v>177000</v>
      </c>
      <c r="BR48" s="102">
        <v>0</v>
      </c>
      <c r="BS48" s="102">
        <v>0</v>
      </c>
      <c r="BT48" s="102">
        <v>177000</v>
      </c>
      <c r="BU48" s="102">
        <v>0</v>
      </c>
      <c r="BV48" s="102">
        <v>6525328</v>
      </c>
      <c r="BW48" s="71"/>
      <c r="BX48" s="102">
        <v>1248960</v>
      </c>
      <c r="BY48" s="102">
        <v>727685</v>
      </c>
      <c r="BZ48" s="102">
        <v>120604</v>
      </c>
      <c r="CA48" s="102">
        <v>97767</v>
      </c>
      <c r="CB48" s="102">
        <v>980197</v>
      </c>
      <c r="CC48" s="102">
        <v>479369</v>
      </c>
      <c r="CD48" s="102">
        <v>5560</v>
      </c>
      <c r="CE48" s="102">
        <v>448448</v>
      </c>
      <c r="CF48" s="102">
        <v>0</v>
      </c>
      <c r="CG48" s="102">
        <v>253</v>
      </c>
      <c r="CH48" s="102">
        <v>46567</v>
      </c>
      <c r="CI48" s="102">
        <v>550456</v>
      </c>
      <c r="CJ48" s="102">
        <v>511397</v>
      </c>
      <c r="CK48" s="83">
        <f t="shared" si="21"/>
        <v>39059</v>
      </c>
      <c r="CL48" s="102">
        <v>1018316</v>
      </c>
      <c r="CM48" s="102">
        <v>588527</v>
      </c>
      <c r="CN48" s="102">
        <v>75640</v>
      </c>
      <c r="CO48" s="102">
        <v>149622</v>
      </c>
      <c r="CP48" s="102">
        <v>12618</v>
      </c>
      <c r="CQ48" s="102">
        <v>805370</v>
      </c>
      <c r="CR48" s="102">
        <v>115953</v>
      </c>
      <c r="CS48" s="102">
        <v>169972</v>
      </c>
      <c r="CT48" s="102">
        <v>113710</v>
      </c>
      <c r="CU48" s="73">
        <f t="shared" si="8"/>
        <v>219276</v>
      </c>
      <c r="CV48" s="102">
        <v>4664</v>
      </c>
      <c r="CW48" s="102">
        <v>214612</v>
      </c>
      <c r="CX48" s="73">
        <f t="shared" si="9"/>
        <v>0</v>
      </c>
      <c r="CY48" s="102">
        <v>0</v>
      </c>
      <c r="CZ48" s="102">
        <v>0</v>
      </c>
      <c r="DA48" s="73">
        <f t="shared" si="10"/>
        <v>188404</v>
      </c>
      <c r="DB48" s="102">
        <v>3445</v>
      </c>
      <c r="DC48" s="102">
        <v>184959</v>
      </c>
      <c r="DD48" s="102">
        <v>1189143</v>
      </c>
      <c r="DE48" s="102">
        <v>194539</v>
      </c>
      <c r="DF48" s="102">
        <v>987642</v>
      </c>
      <c r="DG48" s="102">
        <v>6962</v>
      </c>
      <c r="DH48" s="102">
        <v>0</v>
      </c>
      <c r="DI48" s="102">
        <v>0</v>
      </c>
      <c r="DJ48" s="102">
        <v>15660</v>
      </c>
      <c r="DK48" s="102">
        <v>881</v>
      </c>
      <c r="DL48" s="102">
        <v>139</v>
      </c>
      <c r="DM48" s="102">
        <v>14640</v>
      </c>
      <c r="DN48" s="102">
        <v>0</v>
      </c>
      <c r="DO48" s="102">
        <v>0</v>
      </c>
      <c r="DP48" s="102">
        <v>0</v>
      </c>
      <c r="DQ48" s="102">
        <v>0</v>
      </c>
      <c r="DR48" s="102">
        <v>0</v>
      </c>
      <c r="DS48" s="102">
        <v>0</v>
      </c>
      <c r="DT48" s="102">
        <v>0</v>
      </c>
      <c r="DU48" s="102">
        <v>624741</v>
      </c>
      <c r="DV48" s="102">
        <v>0</v>
      </c>
      <c r="DW48" s="73">
        <f t="shared" si="11"/>
        <v>0</v>
      </c>
      <c r="DX48" s="102">
        <v>0</v>
      </c>
      <c r="DY48" s="102">
        <v>229702</v>
      </c>
      <c r="DZ48" s="102">
        <v>0</v>
      </c>
      <c r="EA48" s="102">
        <v>168276</v>
      </c>
      <c r="EB48" s="74">
        <v>0</v>
      </c>
      <c r="EC48" s="102">
        <v>225261</v>
      </c>
      <c r="ED48" s="102">
        <v>0</v>
      </c>
      <c r="EE48" s="102">
        <v>6445461</v>
      </c>
      <c r="EF48" s="71"/>
      <c r="EG48" s="102">
        <v>79867</v>
      </c>
      <c r="EH48" s="102">
        <v>4579</v>
      </c>
      <c r="EI48" s="102">
        <v>75288</v>
      </c>
      <c r="EJ48" s="102">
        <v>-61748</v>
      </c>
      <c r="EK48" s="102">
        <v>-160867</v>
      </c>
      <c r="EL48" s="71"/>
      <c r="EM48" s="102">
        <v>16126</v>
      </c>
      <c r="EN48" s="102">
        <v>15511</v>
      </c>
      <c r="EO48" s="102">
        <v>100996</v>
      </c>
      <c r="EP48" s="102">
        <v>584</v>
      </c>
      <c r="EQ48" s="73">
        <f t="shared" si="12"/>
        <v>127670</v>
      </c>
      <c r="ER48" s="102">
        <v>3992062</v>
      </c>
      <c r="ES48" s="71">
        <v>-404063</v>
      </c>
      <c r="ET48" s="102">
        <v>1156110</v>
      </c>
      <c r="EU48" s="102">
        <v>665568</v>
      </c>
      <c r="EV48" s="102">
        <v>341470</v>
      </c>
      <c r="EW48" s="102">
        <v>550456</v>
      </c>
      <c r="EX48" s="73">
        <f t="shared" si="13"/>
        <v>225383</v>
      </c>
      <c r="EY48" s="102">
        <v>225383</v>
      </c>
      <c r="EZ48" s="102">
        <v>15701</v>
      </c>
      <c r="FA48" s="102">
        <v>202720</v>
      </c>
      <c r="FB48" s="102">
        <v>0</v>
      </c>
      <c r="FC48" s="102">
        <v>0</v>
      </c>
      <c r="FD48" s="102">
        <v>804498</v>
      </c>
      <c r="FE48" s="102">
        <v>703792</v>
      </c>
      <c r="FF48" s="102">
        <v>115953</v>
      </c>
      <c r="FG48" s="102">
        <v>508517</v>
      </c>
      <c r="FH48" s="73">
        <f t="shared" si="14"/>
        <v>26032</v>
      </c>
      <c r="FI48" s="102">
        <v>4316258</v>
      </c>
      <c r="FJ48" s="379">
        <f t="shared" si="15"/>
        <v>1.9</v>
      </c>
      <c r="FK48" s="102">
        <v>3765671</v>
      </c>
      <c r="FL48" s="102">
        <v>177563</v>
      </c>
      <c r="FM48" s="102">
        <v>1512390</v>
      </c>
      <c r="FN48" s="102">
        <v>3364435</v>
      </c>
      <c r="FO48" s="428">
        <v>0.46100000000000002</v>
      </c>
      <c r="FP48" s="424">
        <v>91.5</v>
      </c>
      <c r="FQ48" s="425">
        <v>28</v>
      </c>
      <c r="FR48" s="424">
        <v>8.5</v>
      </c>
      <c r="FS48" s="424">
        <v>13.7</v>
      </c>
      <c r="FT48" s="425">
        <v>16.8</v>
      </c>
      <c r="FU48" s="424">
        <v>12.1</v>
      </c>
      <c r="FV48" s="426">
        <v>12</v>
      </c>
      <c r="FW48" s="388">
        <v>5.7</v>
      </c>
      <c r="FX48" s="102">
        <v>6523026</v>
      </c>
      <c r="FY48" s="384">
        <f t="shared" si="16"/>
        <v>165.4</v>
      </c>
      <c r="FZ48" s="102">
        <v>2456949</v>
      </c>
      <c r="GA48" s="102">
        <v>1147883</v>
      </c>
      <c r="GB48" s="102">
        <v>209939</v>
      </c>
      <c r="GC48" s="102">
        <v>1099127</v>
      </c>
      <c r="GD48" s="107">
        <v>0</v>
      </c>
      <c r="GE48" s="427">
        <v>110</v>
      </c>
      <c r="GF48" s="386">
        <f>IF(GE48=0,"-",ROUND(GE48/(GW48)*100,1))</f>
        <v>2.8</v>
      </c>
      <c r="GG48" s="424">
        <v>99.3</v>
      </c>
      <c r="GH48" s="424">
        <v>23.5</v>
      </c>
      <c r="GI48" s="424">
        <v>96.3</v>
      </c>
      <c r="GJ48" s="102">
        <v>121</v>
      </c>
      <c r="GK48" s="429" t="s">
        <v>646</v>
      </c>
      <c r="GL48" s="429">
        <v>15</v>
      </c>
      <c r="GM48" s="117">
        <v>20</v>
      </c>
      <c r="GN48" s="429" t="s">
        <v>646</v>
      </c>
      <c r="GO48" s="430">
        <v>20</v>
      </c>
      <c r="GP48" s="387">
        <v>30</v>
      </c>
      <c r="GQ48" s="425">
        <v>5.7</v>
      </c>
      <c r="GR48" s="388">
        <v>25</v>
      </c>
      <c r="GS48" s="388">
        <v>35</v>
      </c>
      <c r="GT48" s="431">
        <v>25</v>
      </c>
      <c r="GU48" s="388">
        <v>350</v>
      </c>
      <c r="GV48" s="394"/>
      <c r="GW48" s="100">
        <f t="shared" si="17"/>
        <v>3943</v>
      </c>
      <c r="GX48" s="394"/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  <c r="HW48" s="394"/>
    </row>
    <row r="49" spans="1:231" x14ac:dyDescent="0.15">
      <c r="B49" s="89" t="s">
        <v>87</v>
      </c>
      <c r="C49" s="102">
        <v>494948</v>
      </c>
      <c r="D49" s="73">
        <f t="shared" si="0"/>
        <v>204539</v>
      </c>
      <c r="E49" s="102">
        <v>8740</v>
      </c>
      <c r="F49" s="102">
        <v>195799</v>
      </c>
      <c r="G49" s="73">
        <f t="shared" si="1"/>
        <v>36984</v>
      </c>
      <c r="H49" s="102">
        <v>14153</v>
      </c>
      <c r="I49" s="102">
        <v>22831</v>
      </c>
      <c r="J49" s="102">
        <v>233466</v>
      </c>
      <c r="K49" s="102">
        <v>69078</v>
      </c>
      <c r="L49" s="102">
        <v>118125</v>
      </c>
      <c r="M49" s="102">
        <v>46263</v>
      </c>
      <c r="N49" s="102">
        <v>1892</v>
      </c>
      <c r="O49" s="102">
        <v>0</v>
      </c>
      <c r="P49" s="102">
        <v>0</v>
      </c>
      <c r="Q49" s="102">
        <v>0</v>
      </c>
      <c r="R49" s="102">
        <v>24333</v>
      </c>
      <c r="S49" s="74"/>
      <c r="T49" s="73">
        <f t="shared" si="18"/>
        <v>122005</v>
      </c>
      <c r="U49" s="102">
        <v>803</v>
      </c>
      <c r="V49" s="102">
        <v>3683</v>
      </c>
      <c r="W49" s="102">
        <v>2091</v>
      </c>
      <c r="X49" s="102">
        <v>87510</v>
      </c>
      <c r="Y49" s="102">
        <v>20407</v>
      </c>
      <c r="Z49" s="102">
        <v>0</v>
      </c>
      <c r="AA49" s="102">
        <v>5729</v>
      </c>
      <c r="AB49" s="102">
        <v>1782</v>
      </c>
      <c r="AC49" s="102">
        <v>5008</v>
      </c>
      <c r="AD49" s="102">
        <v>1432388</v>
      </c>
      <c r="AE49" s="102">
        <v>1238586</v>
      </c>
      <c r="AF49" s="102">
        <v>193802</v>
      </c>
      <c r="AG49" s="102">
        <v>673</v>
      </c>
      <c r="AH49" s="102">
        <v>6410</v>
      </c>
      <c r="AI49" s="73">
        <f t="shared" si="19"/>
        <v>22705</v>
      </c>
      <c r="AJ49" s="102">
        <v>9757</v>
      </c>
      <c r="AK49" s="102">
        <v>12948</v>
      </c>
      <c r="AL49" s="102">
        <v>182344</v>
      </c>
      <c r="AM49" s="73">
        <f t="shared" si="20"/>
        <v>84751</v>
      </c>
      <c r="AN49" s="102">
        <v>0</v>
      </c>
      <c r="AO49" s="102">
        <v>35564</v>
      </c>
      <c r="AP49" s="74"/>
      <c r="AQ49" s="102">
        <v>49187</v>
      </c>
      <c r="AR49" s="102">
        <v>443</v>
      </c>
      <c r="AS49" s="102">
        <v>0</v>
      </c>
      <c r="AT49" s="102">
        <v>0</v>
      </c>
      <c r="AU49" s="102">
        <v>277394</v>
      </c>
      <c r="AV49" s="102">
        <v>181342</v>
      </c>
      <c r="AW49" s="102">
        <v>16219</v>
      </c>
      <c r="AX49" s="102">
        <v>77151</v>
      </c>
      <c r="AY49" s="102">
        <v>96052</v>
      </c>
      <c r="AZ49" s="102">
        <v>14310</v>
      </c>
      <c r="BA49" s="102">
        <v>4123</v>
      </c>
      <c r="BB49" s="102">
        <v>0</v>
      </c>
      <c r="BC49" s="102">
        <v>7225</v>
      </c>
      <c r="BD49" s="102">
        <v>190755</v>
      </c>
      <c r="BE49" s="102">
        <v>150000</v>
      </c>
      <c r="BF49" s="102">
        <v>0</v>
      </c>
      <c r="BG49" s="102">
        <v>40755</v>
      </c>
      <c r="BH49" s="102">
        <v>0</v>
      </c>
      <c r="BI49" s="102">
        <v>105638</v>
      </c>
      <c r="BJ49" s="102">
        <v>86324</v>
      </c>
      <c r="BK49" s="102">
        <v>90326</v>
      </c>
      <c r="BL49" s="102">
        <v>0</v>
      </c>
      <c r="BM49" s="102">
        <v>0</v>
      </c>
      <c r="BN49" s="102">
        <v>0</v>
      </c>
      <c r="BO49" s="102">
        <v>407763</v>
      </c>
      <c r="BP49" s="73">
        <f t="shared" si="5"/>
        <v>339500</v>
      </c>
      <c r="BQ49" s="73">
        <f t="shared" si="6"/>
        <v>68263</v>
      </c>
      <c r="BR49" s="102">
        <v>0</v>
      </c>
      <c r="BS49" s="102">
        <v>0</v>
      </c>
      <c r="BT49" s="102">
        <v>68263</v>
      </c>
      <c r="BU49" s="102">
        <v>0</v>
      </c>
      <c r="BV49" s="102">
        <v>3374038</v>
      </c>
      <c r="BW49" s="71"/>
      <c r="BX49" s="102">
        <v>761103</v>
      </c>
      <c r="BY49" s="102">
        <v>500658</v>
      </c>
      <c r="BZ49" s="102">
        <v>68532</v>
      </c>
      <c r="CA49" s="102">
        <v>12625</v>
      </c>
      <c r="CB49" s="102">
        <v>309874</v>
      </c>
      <c r="CC49" s="102">
        <v>156583</v>
      </c>
      <c r="CD49" s="102">
        <v>3200</v>
      </c>
      <c r="CE49" s="102">
        <v>145678</v>
      </c>
      <c r="CF49" s="102">
        <v>0</v>
      </c>
      <c r="CG49" s="102">
        <v>517</v>
      </c>
      <c r="CH49" s="102">
        <v>3896</v>
      </c>
      <c r="CI49" s="102">
        <v>324591</v>
      </c>
      <c r="CJ49" s="102">
        <v>305654</v>
      </c>
      <c r="CK49" s="83">
        <f t="shared" si="21"/>
        <v>18937</v>
      </c>
      <c r="CL49" s="102">
        <v>621930</v>
      </c>
      <c r="CM49" s="102">
        <v>408438</v>
      </c>
      <c r="CN49" s="102">
        <v>68214</v>
      </c>
      <c r="CO49" s="102">
        <v>64460</v>
      </c>
      <c r="CP49" s="102">
        <v>3812</v>
      </c>
      <c r="CQ49" s="102">
        <v>327076</v>
      </c>
      <c r="CR49" s="102">
        <v>145085</v>
      </c>
      <c r="CS49" s="102">
        <v>42286</v>
      </c>
      <c r="CT49" s="102">
        <v>36163</v>
      </c>
      <c r="CU49" s="73">
        <f t="shared" si="8"/>
        <v>0</v>
      </c>
      <c r="CV49" s="102">
        <v>0</v>
      </c>
      <c r="CW49" s="102">
        <v>0</v>
      </c>
      <c r="CX49" s="73">
        <f t="shared" si="9"/>
        <v>0</v>
      </c>
      <c r="CY49" s="102">
        <v>0</v>
      </c>
      <c r="CZ49" s="102">
        <v>0</v>
      </c>
      <c r="DA49" s="73">
        <f t="shared" si="10"/>
        <v>0</v>
      </c>
      <c r="DB49" s="102">
        <v>0</v>
      </c>
      <c r="DC49" s="102">
        <v>0</v>
      </c>
      <c r="DD49" s="102">
        <v>491398</v>
      </c>
      <c r="DE49" s="102">
        <v>16978</v>
      </c>
      <c r="DF49" s="102">
        <v>474420</v>
      </c>
      <c r="DG49" s="102">
        <v>0</v>
      </c>
      <c r="DH49" s="102">
        <v>0</v>
      </c>
      <c r="DI49" s="102">
        <v>7067</v>
      </c>
      <c r="DJ49" s="102">
        <v>58647</v>
      </c>
      <c r="DK49" s="102">
        <v>15894</v>
      </c>
      <c r="DL49" s="102">
        <v>30258</v>
      </c>
      <c r="DM49" s="102">
        <v>12495</v>
      </c>
      <c r="DN49" s="102">
        <v>0</v>
      </c>
      <c r="DO49" s="102">
        <v>0</v>
      </c>
      <c r="DP49" s="102">
        <v>0</v>
      </c>
      <c r="DQ49" s="102">
        <v>0</v>
      </c>
      <c r="DR49" s="102">
        <v>0</v>
      </c>
      <c r="DS49" s="102">
        <v>0</v>
      </c>
      <c r="DT49" s="102">
        <v>0</v>
      </c>
      <c r="DU49" s="102">
        <v>441697</v>
      </c>
      <c r="DV49" s="102">
        <v>101157</v>
      </c>
      <c r="DW49" s="73">
        <f t="shared" si="11"/>
        <v>0</v>
      </c>
      <c r="DX49" s="102">
        <v>0</v>
      </c>
      <c r="DY49" s="102">
        <v>123929</v>
      </c>
      <c r="DZ49" s="102">
        <v>0</v>
      </c>
      <c r="EA49" s="102">
        <v>66412</v>
      </c>
      <c r="EB49" s="74">
        <v>0</v>
      </c>
      <c r="EC49" s="102">
        <v>95444</v>
      </c>
      <c r="ED49" s="102">
        <v>0</v>
      </c>
      <c r="EE49" s="102">
        <v>3347195</v>
      </c>
      <c r="EF49" s="71"/>
      <c r="EG49" s="102">
        <v>26843</v>
      </c>
      <c r="EH49" s="102">
        <v>6887</v>
      </c>
      <c r="EI49" s="102">
        <v>19956</v>
      </c>
      <c r="EJ49" s="102">
        <v>-66368</v>
      </c>
      <c r="EK49" s="102">
        <v>-200474</v>
      </c>
      <c r="EL49" s="71"/>
      <c r="EM49" s="102">
        <v>5378</v>
      </c>
      <c r="EN49" s="102">
        <v>5164</v>
      </c>
      <c r="EO49" s="102">
        <v>150000</v>
      </c>
      <c r="EP49" s="102">
        <v>60</v>
      </c>
      <c r="EQ49" s="73">
        <f t="shared" si="12"/>
        <v>123577</v>
      </c>
      <c r="ER49" s="102">
        <v>2079355</v>
      </c>
      <c r="ES49" s="71">
        <v>-341227</v>
      </c>
      <c r="ET49" s="102">
        <v>728537</v>
      </c>
      <c r="EU49" s="102">
        <v>471011</v>
      </c>
      <c r="EV49" s="102">
        <v>91528</v>
      </c>
      <c r="EW49" s="102">
        <v>324591</v>
      </c>
      <c r="EX49" s="73">
        <f t="shared" si="13"/>
        <v>77132</v>
      </c>
      <c r="EY49" s="102">
        <v>70065</v>
      </c>
      <c r="EZ49" s="102">
        <v>223</v>
      </c>
      <c r="FA49" s="102">
        <v>69842</v>
      </c>
      <c r="FB49" s="102">
        <v>7067</v>
      </c>
      <c r="FC49" s="102">
        <v>0</v>
      </c>
      <c r="FD49" s="102">
        <v>491069</v>
      </c>
      <c r="FE49" s="102">
        <v>233419</v>
      </c>
      <c r="FF49" s="102">
        <v>105085</v>
      </c>
      <c r="FG49" s="102">
        <v>393086</v>
      </c>
      <c r="FH49" s="73">
        <f t="shared" si="14"/>
        <v>54377</v>
      </c>
      <c r="FI49" s="102">
        <v>2393739</v>
      </c>
      <c r="FJ49" s="379">
        <f t="shared" si="15"/>
        <v>1</v>
      </c>
      <c r="FK49" s="102">
        <v>1884754</v>
      </c>
      <c r="FL49" s="102">
        <v>68263</v>
      </c>
      <c r="FM49" s="102">
        <v>514455</v>
      </c>
      <c r="FN49" s="102">
        <v>1754521</v>
      </c>
      <c r="FO49" s="428">
        <v>0.30399999999999999</v>
      </c>
      <c r="FP49" s="424">
        <v>94.1</v>
      </c>
      <c r="FQ49" s="425">
        <v>34.9</v>
      </c>
      <c r="FR49" s="424">
        <v>4.5999999999999996</v>
      </c>
      <c r="FS49" s="424">
        <v>16.600000000000001</v>
      </c>
      <c r="FT49" s="425">
        <v>20.3</v>
      </c>
      <c r="FU49" s="424">
        <v>4.5999999999999996</v>
      </c>
      <c r="FV49" s="426">
        <v>13.1</v>
      </c>
      <c r="FW49" s="388">
        <v>7.8</v>
      </c>
      <c r="FX49" s="102">
        <v>3597823</v>
      </c>
      <c r="FY49" s="384">
        <f t="shared" si="16"/>
        <v>184.2</v>
      </c>
      <c r="FZ49" s="102">
        <v>2071760</v>
      </c>
      <c r="GA49" s="102">
        <v>883904</v>
      </c>
      <c r="GB49" s="102">
        <v>275370</v>
      </c>
      <c r="GC49" s="102">
        <v>912486</v>
      </c>
      <c r="GD49" s="107">
        <v>0</v>
      </c>
      <c r="GE49" s="427"/>
      <c r="GF49" s="386"/>
      <c r="GG49" s="424">
        <v>99.8</v>
      </c>
      <c r="GH49" s="424">
        <v>41.4</v>
      </c>
      <c r="GI49" s="424">
        <v>99.5</v>
      </c>
      <c r="GJ49" s="102">
        <v>73</v>
      </c>
      <c r="GK49" s="429" t="s">
        <v>646</v>
      </c>
      <c r="GL49" s="429">
        <v>15</v>
      </c>
      <c r="GM49" s="117">
        <v>20</v>
      </c>
      <c r="GN49" s="429" t="s">
        <v>646</v>
      </c>
      <c r="GO49" s="429">
        <v>20</v>
      </c>
      <c r="GP49" s="387">
        <v>30</v>
      </c>
      <c r="GQ49" s="425">
        <v>7.8</v>
      </c>
      <c r="GR49" s="388">
        <v>25</v>
      </c>
      <c r="GS49" s="388">
        <v>35</v>
      </c>
      <c r="GT49" s="431" t="s">
        <v>646</v>
      </c>
      <c r="GU49" s="388">
        <v>350</v>
      </c>
      <c r="GV49" s="394"/>
      <c r="GW49" s="100">
        <f t="shared" si="17"/>
        <v>1953</v>
      </c>
      <c r="GX49" s="394"/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  <c r="HW49" s="394"/>
    </row>
    <row r="50" spans="1:231" s="112" customFormat="1" x14ac:dyDescent="0.15">
      <c r="A50" s="126"/>
      <c r="B50" s="126" t="s">
        <v>89</v>
      </c>
      <c r="C50" s="129">
        <v>24589768</v>
      </c>
      <c r="D50" s="127">
        <f t="shared" si="0"/>
        <v>8925782</v>
      </c>
      <c r="E50" s="129">
        <v>301895</v>
      </c>
      <c r="F50" s="129">
        <v>8623887</v>
      </c>
      <c r="G50" s="127">
        <f t="shared" si="1"/>
        <v>2177354</v>
      </c>
      <c r="H50" s="129">
        <v>350230</v>
      </c>
      <c r="I50" s="129">
        <v>1827124</v>
      </c>
      <c r="J50" s="129">
        <v>11448817</v>
      </c>
      <c r="K50" s="129">
        <v>4590119</v>
      </c>
      <c r="L50" s="129">
        <v>4492638</v>
      </c>
      <c r="M50" s="129">
        <v>2292351</v>
      </c>
      <c r="N50" s="129">
        <v>997937</v>
      </c>
      <c r="O50" s="129">
        <v>610759</v>
      </c>
      <c r="P50" s="129">
        <v>321824</v>
      </c>
      <c r="Q50" s="129">
        <v>288935</v>
      </c>
      <c r="R50" s="129">
        <v>506851</v>
      </c>
      <c r="S50" s="127"/>
      <c r="T50" s="127">
        <f t="shared" si="18"/>
        <v>3430980</v>
      </c>
      <c r="U50" s="129">
        <v>33458</v>
      </c>
      <c r="V50" s="129">
        <v>154124</v>
      </c>
      <c r="W50" s="129">
        <v>88388</v>
      </c>
      <c r="X50" s="129">
        <v>2778064</v>
      </c>
      <c r="Y50" s="129">
        <v>207453</v>
      </c>
      <c r="Z50" s="129">
        <v>0</v>
      </c>
      <c r="AA50" s="129">
        <v>129269</v>
      </c>
      <c r="AB50" s="129">
        <v>40224</v>
      </c>
      <c r="AC50" s="129">
        <v>483873</v>
      </c>
      <c r="AD50" s="129">
        <v>17391361</v>
      </c>
      <c r="AE50" s="129">
        <v>15470468</v>
      </c>
      <c r="AF50" s="129">
        <v>1920893</v>
      </c>
      <c r="AG50" s="129">
        <v>24397</v>
      </c>
      <c r="AH50" s="129">
        <v>259424</v>
      </c>
      <c r="AI50" s="127">
        <f t="shared" si="19"/>
        <v>1267989</v>
      </c>
      <c r="AJ50" s="129">
        <v>894320</v>
      </c>
      <c r="AK50" s="129">
        <v>373669</v>
      </c>
      <c r="AL50" s="129">
        <v>7837666</v>
      </c>
      <c r="AM50" s="127">
        <f t="shared" si="20"/>
        <v>2817645</v>
      </c>
      <c r="AN50" s="129">
        <v>215523</v>
      </c>
      <c r="AO50" s="129">
        <v>859058</v>
      </c>
      <c r="AP50" s="127"/>
      <c r="AQ50" s="129">
        <v>1743064</v>
      </c>
      <c r="AR50" s="129">
        <v>354394</v>
      </c>
      <c r="AS50" s="129">
        <v>336711</v>
      </c>
      <c r="AT50" s="129">
        <v>0</v>
      </c>
      <c r="AU50" s="129">
        <v>5410057</v>
      </c>
      <c r="AV50" s="129">
        <v>2862198</v>
      </c>
      <c r="AW50" s="129">
        <v>417244</v>
      </c>
      <c r="AX50" s="129">
        <v>90872</v>
      </c>
      <c r="AY50" s="129">
        <v>2547859</v>
      </c>
      <c r="AZ50" s="129">
        <v>26954</v>
      </c>
      <c r="BA50" s="129">
        <v>131924</v>
      </c>
      <c r="BB50" s="129">
        <v>7972</v>
      </c>
      <c r="BC50" s="129">
        <v>518525</v>
      </c>
      <c r="BD50" s="129">
        <v>3870712</v>
      </c>
      <c r="BE50" s="129">
        <v>1381000</v>
      </c>
      <c r="BF50" s="129">
        <v>50000</v>
      </c>
      <c r="BG50" s="129">
        <v>2135593</v>
      </c>
      <c r="BH50" s="129">
        <v>0</v>
      </c>
      <c r="BI50" s="129">
        <v>1683433</v>
      </c>
      <c r="BJ50" s="129">
        <v>1040339</v>
      </c>
      <c r="BK50" s="129">
        <v>1184187</v>
      </c>
      <c r="BL50" s="129">
        <v>23793</v>
      </c>
      <c r="BM50" s="129">
        <v>160</v>
      </c>
      <c r="BN50" s="129">
        <v>0</v>
      </c>
      <c r="BO50" s="129">
        <v>6454229</v>
      </c>
      <c r="BP50" s="127">
        <f t="shared" si="5"/>
        <v>4280970</v>
      </c>
      <c r="BQ50" s="127">
        <f t="shared" si="6"/>
        <v>2173259</v>
      </c>
      <c r="BR50" s="129">
        <v>0</v>
      </c>
      <c r="BS50" s="129">
        <v>0</v>
      </c>
      <c r="BT50" s="129">
        <v>2173259</v>
      </c>
      <c r="BU50" s="129">
        <v>0</v>
      </c>
      <c r="BV50" s="129">
        <v>75045376</v>
      </c>
      <c r="BW50" s="127"/>
      <c r="BX50" s="129">
        <v>14636456</v>
      </c>
      <c r="BY50" s="129">
        <v>9129463</v>
      </c>
      <c r="BZ50" s="129">
        <v>1330531</v>
      </c>
      <c r="CA50" s="129">
        <v>1019176</v>
      </c>
      <c r="CB50" s="129">
        <v>11682867</v>
      </c>
      <c r="CC50" s="129">
        <v>4628740</v>
      </c>
      <c r="CD50" s="129">
        <v>76622</v>
      </c>
      <c r="CE50" s="129">
        <v>6196623</v>
      </c>
      <c r="CF50" s="129">
        <v>234344</v>
      </c>
      <c r="CG50" s="129">
        <v>16422</v>
      </c>
      <c r="CH50" s="129">
        <v>530116</v>
      </c>
      <c r="CI50" s="129">
        <v>5867914</v>
      </c>
      <c r="CJ50" s="129">
        <v>5483524</v>
      </c>
      <c r="CK50" s="127">
        <f t="shared" si="21"/>
        <v>384390</v>
      </c>
      <c r="CL50" s="129">
        <v>12566865</v>
      </c>
      <c r="CM50" s="129">
        <v>7206015</v>
      </c>
      <c r="CN50" s="129">
        <v>1145500</v>
      </c>
      <c r="CO50" s="129">
        <v>1874212</v>
      </c>
      <c r="CP50" s="129">
        <v>650990</v>
      </c>
      <c r="CQ50" s="129">
        <v>6925551</v>
      </c>
      <c r="CR50" s="129">
        <v>2107196</v>
      </c>
      <c r="CS50" s="129">
        <v>1292851</v>
      </c>
      <c r="CT50" s="129">
        <v>913341</v>
      </c>
      <c r="CU50" s="127">
        <f t="shared" si="8"/>
        <v>931658</v>
      </c>
      <c r="CV50" s="129">
        <v>15860</v>
      </c>
      <c r="CW50" s="129">
        <v>915798</v>
      </c>
      <c r="CX50" s="127">
        <f t="shared" si="9"/>
        <v>0</v>
      </c>
      <c r="CY50" s="129">
        <v>0</v>
      </c>
      <c r="CZ50" s="129">
        <v>0</v>
      </c>
      <c r="DA50" s="127">
        <f t="shared" si="10"/>
        <v>750888</v>
      </c>
      <c r="DB50" s="129">
        <v>3445</v>
      </c>
      <c r="DC50" s="129">
        <v>747443</v>
      </c>
      <c r="DD50" s="129">
        <v>7416257</v>
      </c>
      <c r="DE50" s="129">
        <v>2529958</v>
      </c>
      <c r="DF50" s="129">
        <v>4822959</v>
      </c>
      <c r="DG50" s="129">
        <v>7348</v>
      </c>
      <c r="DH50" s="129">
        <v>0</v>
      </c>
      <c r="DI50" s="129">
        <v>970359</v>
      </c>
      <c r="DJ50" s="129">
        <v>2826940</v>
      </c>
      <c r="DK50" s="129">
        <v>1240561</v>
      </c>
      <c r="DL50" s="129">
        <v>30717</v>
      </c>
      <c r="DM50" s="129">
        <v>1555662</v>
      </c>
      <c r="DN50" s="129">
        <v>255842</v>
      </c>
      <c r="DO50" s="129">
        <v>255842</v>
      </c>
      <c r="DP50" s="129">
        <v>70808</v>
      </c>
      <c r="DQ50" s="129">
        <v>0</v>
      </c>
      <c r="DR50" s="129">
        <v>20350</v>
      </c>
      <c r="DS50" s="129">
        <v>0</v>
      </c>
      <c r="DT50" s="129">
        <v>0</v>
      </c>
      <c r="DU50" s="129">
        <v>9354999</v>
      </c>
      <c r="DV50" s="129">
        <v>1886346</v>
      </c>
      <c r="DW50" s="127">
        <f t="shared" si="11"/>
        <v>0</v>
      </c>
      <c r="DX50" s="129">
        <v>0</v>
      </c>
      <c r="DY50" s="129">
        <v>2865624</v>
      </c>
      <c r="DZ50" s="129">
        <v>0</v>
      </c>
      <c r="EA50" s="129">
        <v>1859630</v>
      </c>
      <c r="EB50" s="127">
        <v>0</v>
      </c>
      <c r="EC50" s="129">
        <v>2640592</v>
      </c>
      <c r="ED50" s="129">
        <v>0</v>
      </c>
      <c r="EE50" s="129">
        <v>73175390</v>
      </c>
      <c r="EF50" s="127"/>
      <c r="EG50" s="129">
        <v>1869986</v>
      </c>
      <c r="EH50" s="129">
        <v>892241</v>
      </c>
      <c r="EI50" s="129">
        <v>977745</v>
      </c>
      <c r="EJ50" s="129">
        <v>-132594</v>
      </c>
      <c r="EK50" s="129">
        <v>-273033</v>
      </c>
      <c r="EL50" s="127"/>
      <c r="EM50" s="129">
        <f>SUM(EM40:EM49)</f>
        <v>181513</v>
      </c>
      <c r="EN50" s="129">
        <f>SUM(EN40:EN49)</f>
        <v>179931</v>
      </c>
      <c r="EO50" s="129">
        <v>1779420</v>
      </c>
      <c r="EP50" s="129">
        <v>65458</v>
      </c>
      <c r="EQ50" s="127">
        <f t="shared" si="12"/>
        <v>2227131</v>
      </c>
      <c r="ER50" s="129">
        <v>46427230</v>
      </c>
      <c r="ES50" s="129">
        <v>-6220871</v>
      </c>
      <c r="ET50" s="129">
        <v>13533634</v>
      </c>
      <c r="EU50" s="129">
        <v>8283255</v>
      </c>
      <c r="EV50" s="129">
        <v>4045154</v>
      </c>
      <c r="EW50" s="129">
        <v>5799992</v>
      </c>
      <c r="EX50" s="127">
        <f t="shared" si="13"/>
        <v>1836742</v>
      </c>
      <c r="EY50" s="129">
        <v>1760012</v>
      </c>
      <c r="EZ50" s="129">
        <v>308925</v>
      </c>
      <c r="FA50" s="129">
        <v>1429447</v>
      </c>
      <c r="FB50" s="129">
        <v>76730</v>
      </c>
      <c r="FC50" s="129">
        <v>0</v>
      </c>
      <c r="FD50" s="129">
        <v>9614460</v>
      </c>
      <c r="FE50" s="129">
        <v>5934365</v>
      </c>
      <c r="FF50" s="129">
        <v>2060594</v>
      </c>
      <c r="FG50" s="129">
        <v>7935809</v>
      </c>
      <c r="FH50" s="127">
        <f t="shared" si="14"/>
        <v>2077959</v>
      </c>
      <c r="FI50" s="129">
        <v>50778115</v>
      </c>
      <c r="FJ50" s="396">
        <f t="shared" si="15"/>
        <v>2.2000000000000002</v>
      </c>
      <c r="FK50" s="129">
        <v>43262252</v>
      </c>
      <c r="FL50" s="129">
        <v>2174177</v>
      </c>
      <c r="FM50" s="129">
        <v>21726907</v>
      </c>
      <c r="FN50" s="129">
        <v>35825927</v>
      </c>
      <c r="FO50" s="432">
        <v>0.61299999999999999</v>
      </c>
      <c r="FP50" s="433">
        <v>95.3</v>
      </c>
      <c r="FQ50" s="434">
        <v>28.2</v>
      </c>
      <c r="FR50" s="433">
        <v>8.6999999999999993</v>
      </c>
      <c r="FS50" s="433">
        <v>12.5</v>
      </c>
      <c r="FT50" s="434">
        <v>18.5</v>
      </c>
      <c r="FU50" s="433">
        <v>10.6</v>
      </c>
      <c r="FV50" s="435">
        <v>15.4</v>
      </c>
      <c r="FW50" s="402">
        <v>7.2</v>
      </c>
      <c r="FX50" s="129">
        <v>62578241</v>
      </c>
      <c r="FY50" s="402">
        <f t="shared" si="16"/>
        <v>137.69999999999999</v>
      </c>
      <c r="FZ50" s="129">
        <v>34306312</v>
      </c>
      <c r="GA50" s="129">
        <v>13611277</v>
      </c>
      <c r="GB50" s="129">
        <v>2175996</v>
      </c>
      <c r="GC50" s="129">
        <v>18519039</v>
      </c>
      <c r="GD50" s="129">
        <v>0</v>
      </c>
      <c r="GE50" s="129">
        <f>SUM(GE40:GE49)</f>
        <v>829</v>
      </c>
      <c r="GF50" s="403">
        <f>IF(GE50=0,"-",ROUND(GE50/GX50*100,1))</f>
        <v>6.7</v>
      </c>
      <c r="GG50" s="433">
        <v>99.4</v>
      </c>
      <c r="GH50" s="433">
        <v>22.3</v>
      </c>
      <c r="GI50" s="433">
        <v>97.4</v>
      </c>
      <c r="GJ50" s="129">
        <f>SUM(GJ40:GJ49)</f>
        <v>1471</v>
      </c>
      <c r="GK50" s="404" t="s">
        <v>646</v>
      </c>
      <c r="GL50" s="404" t="s">
        <v>646</v>
      </c>
      <c r="GM50" s="405" t="s">
        <v>646</v>
      </c>
      <c r="GN50" s="404" t="s">
        <v>646</v>
      </c>
      <c r="GO50" s="404" t="s">
        <v>646</v>
      </c>
      <c r="GP50" s="405" t="s">
        <v>646</v>
      </c>
      <c r="GQ50" s="434">
        <v>7.2</v>
      </c>
      <c r="GR50" s="406" t="s">
        <v>646</v>
      </c>
      <c r="GS50" s="406" t="s">
        <v>646</v>
      </c>
      <c r="GT50" s="406" t="s">
        <v>646</v>
      </c>
      <c r="GU50" s="404" t="s">
        <v>646</v>
      </c>
      <c r="GV50" s="407"/>
      <c r="GW50" s="128">
        <f t="shared" si="17"/>
        <v>45436</v>
      </c>
      <c r="GX50" s="408">
        <f>GW44+GW48</f>
        <v>12427</v>
      </c>
      <c r="GY50" s="408"/>
      <c r="GZ50" s="408"/>
      <c r="HA50" s="408"/>
      <c r="HB50" s="408"/>
      <c r="HC50" s="408"/>
      <c r="HD50" s="408"/>
      <c r="HE50" s="408"/>
      <c r="HF50" s="408"/>
      <c r="HG50" s="408"/>
      <c r="HH50" s="408"/>
      <c r="HI50" s="408"/>
      <c r="HJ50" s="408"/>
      <c r="HK50" s="408"/>
      <c r="HL50" s="408"/>
      <c r="HM50" s="408"/>
      <c r="HN50" s="408"/>
      <c r="HO50" s="408"/>
      <c r="HP50" s="408"/>
      <c r="HQ50" s="408"/>
      <c r="HR50" s="408"/>
      <c r="HS50" s="408"/>
      <c r="HT50" s="408"/>
      <c r="HU50" s="408"/>
      <c r="HV50" s="408"/>
      <c r="HW50" s="408"/>
    </row>
    <row r="51" spans="1:231" s="112" customFormat="1" x14ac:dyDescent="0.15">
      <c r="A51" s="126"/>
      <c r="B51" s="126" t="s">
        <v>91</v>
      </c>
      <c r="C51" s="129">
        <v>799196415</v>
      </c>
      <c r="D51" s="127">
        <f t="shared" si="0"/>
        <v>304821098</v>
      </c>
      <c r="E51" s="129">
        <v>8649601</v>
      </c>
      <c r="F51" s="129">
        <v>296171497</v>
      </c>
      <c r="G51" s="127">
        <f t="shared" si="1"/>
        <v>61201338</v>
      </c>
      <c r="H51" s="129">
        <v>14135879</v>
      </c>
      <c r="I51" s="129">
        <v>47065459</v>
      </c>
      <c r="J51" s="129">
        <v>319168199</v>
      </c>
      <c r="K51" s="129">
        <v>131033987</v>
      </c>
      <c r="L51" s="129">
        <v>140289199</v>
      </c>
      <c r="M51" s="129">
        <v>42426386</v>
      </c>
      <c r="N51" s="129">
        <v>33293954</v>
      </c>
      <c r="O51" s="129">
        <v>64438598</v>
      </c>
      <c r="P51" s="129">
        <v>34940378</v>
      </c>
      <c r="Q51" s="129">
        <v>29498220</v>
      </c>
      <c r="R51" s="129">
        <v>10881896</v>
      </c>
      <c r="S51" s="127"/>
      <c r="T51" s="127">
        <f t="shared" si="18"/>
        <v>99164161</v>
      </c>
      <c r="U51" s="129">
        <v>1097286</v>
      </c>
      <c r="V51" s="129">
        <v>5062730</v>
      </c>
      <c r="W51" s="129">
        <v>2913272</v>
      </c>
      <c r="X51" s="129">
        <v>85959394</v>
      </c>
      <c r="Y51" s="129">
        <v>811164</v>
      </c>
      <c r="Z51" s="129">
        <v>0</v>
      </c>
      <c r="AA51" s="129">
        <v>2532127</v>
      </c>
      <c r="AB51" s="129">
        <v>788188</v>
      </c>
      <c r="AC51" s="129">
        <v>11933265</v>
      </c>
      <c r="AD51" s="129">
        <v>208461411</v>
      </c>
      <c r="AE51" s="129">
        <v>195809728</v>
      </c>
      <c r="AF51" s="129">
        <v>12651527</v>
      </c>
      <c r="AG51" s="129">
        <v>666724</v>
      </c>
      <c r="AH51" s="129">
        <v>14983807</v>
      </c>
      <c r="AI51" s="127">
        <f t="shared" si="19"/>
        <v>33180369</v>
      </c>
      <c r="AJ51" s="129">
        <v>24825136</v>
      </c>
      <c r="AK51" s="129">
        <v>8355233</v>
      </c>
      <c r="AL51" s="129">
        <v>414782263</v>
      </c>
      <c r="AM51" s="127">
        <f t="shared" si="20"/>
        <v>256190557</v>
      </c>
      <c r="AN51" s="129">
        <v>152599464</v>
      </c>
      <c r="AO51" s="129">
        <v>44165878</v>
      </c>
      <c r="AP51" s="127"/>
      <c r="AQ51" s="129">
        <v>59425215</v>
      </c>
      <c r="AR51" s="129">
        <v>15355226</v>
      </c>
      <c r="AS51" s="129">
        <v>1338742</v>
      </c>
      <c r="AT51" s="129">
        <v>271647</v>
      </c>
      <c r="AU51" s="129">
        <v>157685210</v>
      </c>
      <c r="AV51" s="129">
        <v>100615333</v>
      </c>
      <c r="AW51" s="129">
        <v>18469170</v>
      </c>
      <c r="AX51" s="129">
        <v>4214367</v>
      </c>
      <c r="AY51" s="129">
        <v>57069877</v>
      </c>
      <c r="AZ51" s="129">
        <v>3887047</v>
      </c>
      <c r="BA51" s="129">
        <v>16798518</v>
      </c>
      <c r="BB51" s="129">
        <v>14190848</v>
      </c>
      <c r="BC51" s="129">
        <v>25774549</v>
      </c>
      <c r="BD51" s="129">
        <v>59045352</v>
      </c>
      <c r="BE51" s="129">
        <v>8398693</v>
      </c>
      <c r="BF51" s="129">
        <v>2926192</v>
      </c>
      <c r="BG51" s="129">
        <v>45852524</v>
      </c>
      <c r="BH51" s="129">
        <v>1253452</v>
      </c>
      <c r="BI51" s="129">
        <v>31401042</v>
      </c>
      <c r="BJ51" s="129">
        <v>20250645</v>
      </c>
      <c r="BK51" s="129">
        <v>41188811</v>
      </c>
      <c r="BL51" s="129">
        <v>10277430</v>
      </c>
      <c r="BM51" s="129">
        <v>151260</v>
      </c>
      <c r="BN51" s="129">
        <v>4686090</v>
      </c>
      <c r="BO51" s="129">
        <v>140345097</v>
      </c>
      <c r="BP51" s="127">
        <f t="shared" si="5"/>
        <v>82284870</v>
      </c>
      <c r="BQ51" s="127">
        <f t="shared" si="6"/>
        <v>58060227</v>
      </c>
      <c r="BR51" s="129">
        <v>0</v>
      </c>
      <c r="BS51" s="129">
        <v>19400</v>
      </c>
      <c r="BT51" s="129">
        <v>58040827</v>
      </c>
      <c r="BU51" s="129">
        <v>0</v>
      </c>
      <c r="BV51" s="129">
        <v>2065760537</v>
      </c>
      <c r="BW51" s="127"/>
      <c r="BX51" s="129">
        <v>304131012</v>
      </c>
      <c r="BY51" s="129">
        <v>203492817</v>
      </c>
      <c r="BZ51" s="129">
        <v>18380490</v>
      </c>
      <c r="CA51" s="129">
        <v>24313806</v>
      </c>
      <c r="CB51" s="129">
        <v>631840724</v>
      </c>
      <c r="CC51" s="129">
        <v>146811210</v>
      </c>
      <c r="CD51" s="129">
        <v>3007653</v>
      </c>
      <c r="CE51" s="129">
        <v>256072785</v>
      </c>
      <c r="CF51" s="129">
        <v>201671143</v>
      </c>
      <c r="CG51" s="129">
        <v>4701514</v>
      </c>
      <c r="CH51" s="129">
        <v>19495229</v>
      </c>
      <c r="CI51" s="129">
        <v>154722743</v>
      </c>
      <c r="CJ51" s="129">
        <v>144783125</v>
      </c>
      <c r="CK51" s="127">
        <f t="shared" si="21"/>
        <v>9939618</v>
      </c>
      <c r="CL51" s="129">
        <v>252209385</v>
      </c>
      <c r="CM51" s="129">
        <v>156279704</v>
      </c>
      <c r="CN51" s="129">
        <v>16870307</v>
      </c>
      <c r="CO51" s="129">
        <v>37905226</v>
      </c>
      <c r="CP51" s="129">
        <v>15228174</v>
      </c>
      <c r="CQ51" s="129">
        <v>198252174</v>
      </c>
      <c r="CR51" s="129">
        <v>37664348</v>
      </c>
      <c r="CS51" s="129">
        <v>39235385</v>
      </c>
      <c r="CT51" s="129">
        <v>28654625</v>
      </c>
      <c r="CU51" s="127">
        <f t="shared" si="8"/>
        <v>61690231</v>
      </c>
      <c r="CV51" s="129">
        <v>42770622</v>
      </c>
      <c r="CW51" s="129">
        <v>18919609</v>
      </c>
      <c r="CX51" s="127">
        <f t="shared" si="9"/>
        <v>10304523</v>
      </c>
      <c r="CY51" s="129">
        <v>8226028</v>
      </c>
      <c r="CZ51" s="129">
        <v>2078495</v>
      </c>
      <c r="DA51" s="127">
        <f t="shared" si="10"/>
        <v>49005136</v>
      </c>
      <c r="DB51" s="129">
        <v>33775253</v>
      </c>
      <c r="DC51" s="129">
        <v>15229883</v>
      </c>
      <c r="DD51" s="129">
        <v>181620892</v>
      </c>
      <c r="DE51" s="129">
        <v>81382734</v>
      </c>
      <c r="DF51" s="129">
        <v>91439064</v>
      </c>
      <c r="DG51" s="129">
        <v>2292308</v>
      </c>
      <c r="DH51" s="129">
        <v>6444421</v>
      </c>
      <c r="DI51" s="129">
        <v>4392488</v>
      </c>
      <c r="DJ51" s="129">
        <v>64813713</v>
      </c>
      <c r="DK51" s="129">
        <v>15601923</v>
      </c>
      <c r="DL51" s="129">
        <v>1305642</v>
      </c>
      <c r="DM51" s="129">
        <v>47906148</v>
      </c>
      <c r="DN51" s="129">
        <v>7125254</v>
      </c>
      <c r="DO51" s="129">
        <v>6651304</v>
      </c>
      <c r="DP51" s="129">
        <v>359082</v>
      </c>
      <c r="DQ51" s="129">
        <v>1385993</v>
      </c>
      <c r="DR51" s="129">
        <v>10079827</v>
      </c>
      <c r="DS51" s="129">
        <v>0</v>
      </c>
      <c r="DT51" s="129">
        <v>0</v>
      </c>
      <c r="DU51" s="129">
        <v>201315192</v>
      </c>
      <c r="DV51" s="129">
        <v>6813902</v>
      </c>
      <c r="DW51" s="127">
        <f t="shared" si="11"/>
        <v>0</v>
      </c>
      <c r="DX51" s="129">
        <v>0</v>
      </c>
      <c r="DY51" s="129">
        <v>71317782</v>
      </c>
      <c r="DZ51" s="129">
        <v>40066</v>
      </c>
      <c r="EA51" s="129">
        <v>54246569</v>
      </c>
      <c r="EB51" s="127">
        <v>0</v>
      </c>
      <c r="EC51" s="129">
        <v>67769993</v>
      </c>
      <c r="ED51" s="129">
        <v>0</v>
      </c>
      <c r="EE51" s="129">
        <v>2025731578</v>
      </c>
      <c r="EF51" s="127"/>
      <c r="EG51" s="129">
        <v>40028959</v>
      </c>
      <c r="EH51" s="129">
        <v>15837648</v>
      </c>
      <c r="EI51" s="129">
        <v>24191311</v>
      </c>
      <c r="EJ51" s="129">
        <v>1265667</v>
      </c>
      <c r="EK51" s="129">
        <v>10053439</v>
      </c>
      <c r="EL51" s="127"/>
      <c r="EM51" s="129">
        <f>EM39+EM50</f>
        <v>5308974</v>
      </c>
      <c r="EN51" s="129">
        <f>EN39+EN50</f>
        <v>5284428</v>
      </c>
      <c r="EO51" s="129">
        <v>41984364</v>
      </c>
      <c r="EP51" s="129">
        <v>13314936</v>
      </c>
      <c r="EQ51" s="127">
        <f t="shared" si="12"/>
        <v>55477915</v>
      </c>
      <c r="ER51" s="129">
        <v>1130575519</v>
      </c>
      <c r="ES51" s="129">
        <v>-167899071</v>
      </c>
      <c r="ET51" s="129">
        <v>278812270</v>
      </c>
      <c r="EU51" s="129">
        <v>184764754</v>
      </c>
      <c r="EV51" s="129">
        <v>189363406</v>
      </c>
      <c r="EW51" s="129">
        <v>152240719</v>
      </c>
      <c r="EX51" s="127">
        <f t="shared" si="13"/>
        <v>39721882</v>
      </c>
      <c r="EY51" s="129">
        <v>39314125</v>
      </c>
      <c r="EZ51" s="129">
        <v>4991391</v>
      </c>
      <c r="FA51" s="129">
        <v>33750973</v>
      </c>
      <c r="FB51" s="129">
        <v>407757</v>
      </c>
      <c r="FC51" s="129">
        <v>0</v>
      </c>
      <c r="FD51" s="129">
        <v>201889902</v>
      </c>
      <c r="FE51" s="129">
        <v>178318260</v>
      </c>
      <c r="FF51" s="129">
        <v>36974483</v>
      </c>
      <c r="FG51" s="129">
        <v>160730774</v>
      </c>
      <c r="FH51" s="127">
        <f t="shared" si="14"/>
        <v>58705745</v>
      </c>
      <c r="FI51" s="129">
        <v>1259782958</v>
      </c>
      <c r="FJ51" s="396">
        <f t="shared" si="15"/>
        <v>2.2000000000000002</v>
      </c>
      <c r="FK51" s="129">
        <v>1030118151</v>
      </c>
      <c r="FL51" s="129">
        <v>64559294</v>
      </c>
      <c r="FM51" s="129">
        <v>647399318</v>
      </c>
      <c r="FN51" s="129">
        <v>842586644</v>
      </c>
      <c r="FO51" s="432">
        <v>0.77400000000000002</v>
      </c>
      <c r="FP51" s="433">
        <v>96.6</v>
      </c>
      <c r="FQ51" s="434">
        <v>24.5</v>
      </c>
      <c r="FR51" s="433">
        <v>16.899999999999999</v>
      </c>
      <c r="FS51" s="433">
        <v>13.4</v>
      </c>
      <c r="FT51" s="434">
        <v>15.9</v>
      </c>
      <c r="FU51" s="433">
        <v>11.5</v>
      </c>
      <c r="FV51" s="435">
        <v>13.1</v>
      </c>
      <c r="FW51" s="402">
        <v>3.5</v>
      </c>
      <c r="FX51" s="129">
        <v>1560537730</v>
      </c>
      <c r="FY51" s="402">
        <f t="shared" si="16"/>
        <v>142.6</v>
      </c>
      <c r="FZ51" s="129">
        <v>401950830</v>
      </c>
      <c r="GA51" s="129">
        <v>165469730</v>
      </c>
      <c r="GB51" s="129">
        <v>28215325</v>
      </c>
      <c r="GC51" s="129">
        <v>208265775</v>
      </c>
      <c r="GD51" s="129">
        <v>0</v>
      </c>
      <c r="GE51" s="129">
        <f>GE39+GE50</f>
        <v>27851</v>
      </c>
      <c r="GF51" s="403">
        <f>IF(GE51=0,"-",ROUND(GE51/GX51*100,1))</f>
        <v>7.7</v>
      </c>
      <c r="GG51" s="433">
        <v>99.4</v>
      </c>
      <c r="GH51" s="433">
        <v>35.5</v>
      </c>
      <c r="GI51" s="433">
        <v>98.1</v>
      </c>
      <c r="GJ51" s="129">
        <f>GJ39+GJ50</f>
        <v>31123</v>
      </c>
      <c r="GK51" s="404" t="s">
        <v>646</v>
      </c>
      <c r="GL51" s="404" t="s">
        <v>646</v>
      </c>
      <c r="GM51" s="405" t="s">
        <v>646</v>
      </c>
      <c r="GN51" s="404" t="s">
        <v>646</v>
      </c>
      <c r="GO51" s="404" t="s">
        <v>646</v>
      </c>
      <c r="GP51" s="405" t="s">
        <v>646</v>
      </c>
      <c r="GQ51" s="434">
        <v>3.5</v>
      </c>
      <c r="GR51" s="406" t="s">
        <v>646</v>
      </c>
      <c r="GS51" s="406" t="s">
        <v>646</v>
      </c>
      <c r="GT51" s="406" t="s">
        <v>646</v>
      </c>
      <c r="GU51" s="404" t="s">
        <v>646</v>
      </c>
      <c r="GV51" s="407"/>
      <c r="GW51" s="128">
        <f t="shared" si="17"/>
        <v>1094677</v>
      </c>
      <c r="GX51" s="408">
        <f>GX39+GX50</f>
        <v>364042</v>
      </c>
      <c r="GY51" s="408"/>
      <c r="GZ51" s="408"/>
      <c r="HA51" s="408"/>
      <c r="HB51" s="408"/>
      <c r="HC51" s="408"/>
      <c r="HD51" s="408"/>
      <c r="HE51" s="408"/>
      <c r="HF51" s="408"/>
      <c r="HG51" s="408"/>
      <c r="HH51" s="408"/>
      <c r="HI51" s="408"/>
      <c r="HJ51" s="408"/>
      <c r="HK51" s="408"/>
      <c r="HL51" s="408"/>
      <c r="HM51" s="408"/>
      <c r="HN51" s="408"/>
      <c r="HO51" s="408"/>
      <c r="HP51" s="408"/>
      <c r="HQ51" s="408"/>
      <c r="HR51" s="408"/>
      <c r="HS51" s="408"/>
      <c r="HT51" s="408"/>
      <c r="HU51" s="408"/>
      <c r="HV51" s="408"/>
      <c r="HW51" s="408"/>
    </row>
    <row r="52" spans="1:231" s="108" customFormat="1" x14ac:dyDescent="0.15">
      <c r="B52" s="108" t="s">
        <v>0</v>
      </c>
      <c r="C52" s="110">
        <v>1726833168</v>
      </c>
      <c r="D52" s="109">
        <f t="shared" si="0"/>
        <v>576978286</v>
      </c>
      <c r="E52" s="110">
        <v>14479751</v>
      </c>
      <c r="F52" s="110">
        <v>562498535</v>
      </c>
      <c r="G52" s="109">
        <f t="shared" si="1"/>
        <v>222272298</v>
      </c>
      <c r="H52" s="110">
        <v>35854001</v>
      </c>
      <c r="I52" s="110">
        <v>186418297</v>
      </c>
      <c r="J52" s="110">
        <v>672438036</v>
      </c>
      <c r="K52" s="110">
        <v>267482897</v>
      </c>
      <c r="L52" s="110">
        <v>306168303</v>
      </c>
      <c r="M52" s="110">
        <v>92244099</v>
      </c>
      <c r="N52" s="110">
        <v>67715278</v>
      </c>
      <c r="O52" s="110">
        <v>134873673</v>
      </c>
      <c r="P52" s="110">
        <v>69264243</v>
      </c>
      <c r="Q52" s="110">
        <v>65609430</v>
      </c>
      <c r="R52" s="110">
        <v>18872596</v>
      </c>
      <c r="S52" s="109"/>
      <c r="T52" s="109">
        <f t="shared" si="18"/>
        <v>178613788</v>
      </c>
      <c r="U52" s="110">
        <v>1821382</v>
      </c>
      <c r="V52" s="110">
        <v>8412628</v>
      </c>
      <c r="W52" s="110">
        <v>4850543</v>
      </c>
      <c r="X52" s="110">
        <v>156066195</v>
      </c>
      <c r="Y52" s="110">
        <v>944820</v>
      </c>
      <c r="Z52" s="110">
        <v>0</v>
      </c>
      <c r="AA52" s="110">
        <v>4857308</v>
      </c>
      <c r="AB52" s="110">
        <v>1660912</v>
      </c>
      <c r="AC52" s="110">
        <v>19897384</v>
      </c>
      <c r="AD52" s="110">
        <v>287171077</v>
      </c>
      <c r="AE52" s="110">
        <v>272507440</v>
      </c>
      <c r="AF52" s="110">
        <v>14663349</v>
      </c>
      <c r="AG52" s="110">
        <v>1675508</v>
      </c>
      <c r="AH52" s="110">
        <v>24059517</v>
      </c>
      <c r="AI52" s="109">
        <f t="shared" si="19"/>
        <v>108749910</v>
      </c>
      <c r="AJ52" s="110">
        <v>90051391</v>
      </c>
      <c r="AK52" s="110">
        <v>18698519</v>
      </c>
      <c r="AL52" s="110">
        <v>939138016</v>
      </c>
      <c r="AM52" s="109">
        <f t="shared" si="20"/>
        <v>614663425</v>
      </c>
      <c r="AN52" s="110">
        <v>390156103</v>
      </c>
      <c r="AO52" s="110">
        <v>104951228</v>
      </c>
      <c r="AP52" s="109"/>
      <c r="AQ52" s="110">
        <v>119556094</v>
      </c>
      <c r="AR52" s="110">
        <v>42740848</v>
      </c>
      <c r="AS52" s="110">
        <v>1464224</v>
      </c>
      <c r="AT52" s="110">
        <v>281403</v>
      </c>
      <c r="AU52" s="110">
        <v>260570231</v>
      </c>
      <c r="AV52" s="110">
        <v>166865527</v>
      </c>
      <c r="AW52" s="110">
        <v>22921767</v>
      </c>
      <c r="AX52" s="110">
        <v>7240531</v>
      </c>
      <c r="AY52" s="110">
        <v>93704704</v>
      </c>
      <c r="AZ52" s="110">
        <v>4189106</v>
      </c>
      <c r="BA52" s="110">
        <v>52503810</v>
      </c>
      <c r="BB52" s="110">
        <v>25703881</v>
      </c>
      <c r="BC52" s="110">
        <v>27244185</v>
      </c>
      <c r="BD52" s="110">
        <v>72413117</v>
      </c>
      <c r="BE52" s="110">
        <v>8784936</v>
      </c>
      <c r="BF52" s="110">
        <v>4506332</v>
      </c>
      <c r="BG52" s="110">
        <v>52300704</v>
      </c>
      <c r="BH52" s="110">
        <v>1253452</v>
      </c>
      <c r="BI52" s="110">
        <v>37874731</v>
      </c>
      <c r="BJ52" s="110">
        <v>22430430</v>
      </c>
      <c r="BK52" s="110">
        <v>185736439</v>
      </c>
      <c r="BL52" s="110">
        <v>94500068</v>
      </c>
      <c r="BM52" s="110">
        <v>639231</v>
      </c>
      <c r="BN52" s="110">
        <v>16016058</v>
      </c>
      <c r="BO52" s="110">
        <v>288241570</v>
      </c>
      <c r="BP52" s="109">
        <f t="shared" si="5"/>
        <v>155288970</v>
      </c>
      <c r="BQ52" s="109">
        <f t="shared" si="6"/>
        <v>132952600</v>
      </c>
      <c r="BR52" s="110">
        <v>0</v>
      </c>
      <c r="BS52" s="110">
        <v>19400</v>
      </c>
      <c r="BT52" s="110">
        <v>132933200</v>
      </c>
      <c r="BU52" s="110">
        <v>0</v>
      </c>
      <c r="BV52" s="110">
        <v>4248481060</v>
      </c>
      <c r="BW52" s="109"/>
      <c r="BX52" s="110">
        <v>691450642</v>
      </c>
      <c r="BY52" s="110">
        <v>486503674</v>
      </c>
      <c r="BZ52" s="110">
        <v>46094946</v>
      </c>
      <c r="CA52" s="110">
        <v>36750161</v>
      </c>
      <c r="CB52" s="110">
        <v>1334174451</v>
      </c>
      <c r="CC52" s="110">
        <v>284747142</v>
      </c>
      <c r="CD52" s="110">
        <v>7209260</v>
      </c>
      <c r="CE52" s="110">
        <v>466029462</v>
      </c>
      <c r="CF52" s="110">
        <v>520252799</v>
      </c>
      <c r="CG52" s="110">
        <v>22124007</v>
      </c>
      <c r="CH52" s="110">
        <v>33730462</v>
      </c>
      <c r="CI52" s="110">
        <v>416481550</v>
      </c>
      <c r="CJ52" s="110">
        <v>380965302</v>
      </c>
      <c r="CK52" s="109">
        <f t="shared" si="21"/>
        <v>35516248</v>
      </c>
      <c r="CL52" s="110">
        <v>415914903</v>
      </c>
      <c r="CM52" s="110">
        <v>263921829</v>
      </c>
      <c r="CN52" s="110">
        <v>20787378</v>
      </c>
      <c r="CO52" s="110">
        <v>66033229</v>
      </c>
      <c r="CP52" s="110">
        <v>40936771</v>
      </c>
      <c r="CQ52" s="110">
        <v>341132278</v>
      </c>
      <c r="CR52" s="110">
        <v>44955723</v>
      </c>
      <c r="CS52" s="110">
        <v>98416642</v>
      </c>
      <c r="CT52" s="110">
        <v>76088540</v>
      </c>
      <c r="CU52" s="109">
        <f t="shared" si="8"/>
        <v>103065008</v>
      </c>
      <c r="CV52" s="110">
        <v>49938949</v>
      </c>
      <c r="CW52" s="110">
        <v>53126059</v>
      </c>
      <c r="CX52" s="109">
        <f t="shared" si="9"/>
        <v>10304523</v>
      </c>
      <c r="CY52" s="110">
        <v>8226028</v>
      </c>
      <c r="CZ52" s="110">
        <v>2078495</v>
      </c>
      <c r="DA52" s="109">
        <f t="shared" si="10"/>
        <v>83071967</v>
      </c>
      <c r="DB52" s="110">
        <v>40594437</v>
      </c>
      <c r="DC52" s="110">
        <v>42477530</v>
      </c>
      <c r="DD52" s="110">
        <v>387112696</v>
      </c>
      <c r="DE52" s="110">
        <v>195942418</v>
      </c>
      <c r="DF52" s="110">
        <v>178016125</v>
      </c>
      <c r="DG52" s="110">
        <v>2292308</v>
      </c>
      <c r="DH52" s="110">
        <v>6846992</v>
      </c>
      <c r="DI52" s="110">
        <v>6281665</v>
      </c>
      <c r="DJ52" s="110">
        <v>74786684</v>
      </c>
      <c r="DK52" s="110">
        <v>17843092</v>
      </c>
      <c r="DL52" s="110">
        <v>1404802</v>
      </c>
      <c r="DM52" s="110">
        <v>55538790</v>
      </c>
      <c r="DN52" s="110">
        <v>9466316</v>
      </c>
      <c r="DO52" s="110">
        <v>7960516</v>
      </c>
      <c r="DP52" s="110">
        <v>359082</v>
      </c>
      <c r="DQ52" s="110">
        <v>1385993</v>
      </c>
      <c r="DR52" s="110">
        <v>95937035</v>
      </c>
      <c r="DS52" s="110">
        <v>0</v>
      </c>
      <c r="DT52" s="110">
        <v>0</v>
      </c>
      <c r="DU52" s="110">
        <v>384570786</v>
      </c>
      <c r="DV52" s="110">
        <v>6813902</v>
      </c>
      <c r="DW52" s="109">
        <f t="shared" si="11"/>
        <v>25622573</v>
      </c>
      <c r="DX52" s="110">
        <v>25622573</v>
      </c>
      <c r="DY52" s="110">
        <v>120857668</v>
      </c>
      <c r="DZ52" s="110">
        <v>40066</v>
      </c>
      <c r="EA52" s="110">
        <v>97537750</v>
      </c>
      <c r="EB52" s="109">
        <v>0</v>
      </c>
      <c r="EC52" s="110">
        <v>122240877</v>
      </c>
      <c r="ED52" s="110">
        <v>0</v>
      </c>
      <c r="EE52" s="110">
        <v>4198245777</v>
      </c>
      <c r="EF52" s="109"/>
      <c r="EG52" s="110">
        <v>50235283</v>
      </c>
      <c r="EH52" s="110">
        <v>21931546</v>
      </c>
      <c r="EI52" s="110">
        <v>28303737</v>
      </c>
      <c r="EJ52" s="110">
        <v>3198307</v>
      </c>
      <c r="EK52" s="110">
        <v>13841005</v>
      </c>
      <c r="EL52" s="109"/>
      <c r="EM52" s="110">
        <f>EM6+EM7+EM51</f>
        <v>8839469</v>
      </c>
      <c r="EN52" s="110">
        <f>EN6+EN7+EN51</f>
        <v>8849635</v>
      </c>
      <c r="EO52" s="110">
        <v>44746858</v>
      </c>
      <c r="EP52" s="110">
        <v>34466365</v>
      </c>
      <c r="EQ52" s="109">
        <f t="shared" si="12"/>
        <v>119181137</v>
      </c>
      <c r="ER52" s="110">
        <v>2251949534</v>
      </c>
      <c r="ES52" s="110">
        <v>-310785439</v>
      </c>
      <c r="ET52" s="110">
        <v>606407730</v>
      </c>
      <c r="EU52" s="110">
        <v>421272488</v>
      </c>
      <c r="EV52" s="110">
        <v>401434367</v>
      </c>
      <c r="EW52" s="110">
        <v>380638444</v>
      </c>
      <c r="EX52" s="109">
        <f t="shared" si="13"/>
        <v>115747545</v>
      </c>
      <c r="EY52" s="110">
        <v>115191848</v>
      </c>
      <c r="EZ52" s="110">
        <v>31345296</v>
      </c>
      <c r="FA52" s="110">
        <v>82840303</v>
      </c>
      <c r="FB52" s="110">
        <v>555697</v>
      </c>
      <c r="FC52" s="110">
        <v>0</v>
      </c>
      <c r="FD52" s="110">
        <v>314990922</v>
      </c>
      <c r="FE52" s="110">
        <v>298829452</v>
      </c>
      <c r="FF52" s="110">
        <v>39020909</v>
      </c>
      <c r="FG52" s="110">
        <v>312981989</v>
      </c>
      <c r="FH52" s="109">
        <f t="shared" si="14"/>
        <v>82983607</v>
      </c>
      <c r="FI52" s="110">
        <v>2514014056</v>
      </c>
      <c r="FJ52" s="409">
        <f t="shared" si="15"/>
        <v>1.3</v>
      </c>
      <c r="FK52" s="110">
        <v>2028334173</v>
      </c>
      <c r="FL52" s="110">
        <v>139452653</v>
      </c>
      <c r="FM52" s="110">
        <v>1369265518</v>
      </c>
      <c r="FN52" s="110">
        <v>1641955959</v>
      </c>
      <c r="FO52" s="436">
        <v>0.83699999999999997</v>
      </c>
      <c r="FP52" s="437">
        <v>95.7</v>
      </c>
      <c r="FQ52" s="116">
        <v>26.4</v>
      </c>
      <c r="FR52" s="437">
        <v>17.600000000000001</v>
      </c>
      <c r="FS52" s="437">
        <v>16.7</v>
      </c>
      <c r="FT52" s="116">
        <v>12.6</v>
      </c>
      <c r="FU52" s="437">
        <v>9.6999999999999993</v>
      </c>
      <c r="FV52" s="438">
        <v>11.2</v>
      </c>
      <c r="FW52" s="414">
        <v>3.6</v>
      </c>
      <c r="FX52" s="110">
        <v>3828125789</v>
      </c>
      <c r="FY52" s="414">
        <f t="shared" si="16"/>
        <v>176.6</v>
      </c>
      <c r="FZ52" s="110">
        <v>669371636</v>
      </c>
      <c r="GA52" s="110">
        <v>329575402</v>
      </c>
      <c r="GB52" s="110">
        <v>30591927</v>
      </c>
      <c r="GC52" s="110">
        <v>309204307</v>
      </c>
      <c r="GD52" s="110">
        <v>0</v>
      </c>
      <c r="GE52" s="119">
        <f>SUM(GE6:GE7,GE51)</f>
        <v>27851</v>
      </c>
      <c r="GF52" s="120">
        <f>IF(GE52=0,"-",ROUND(GE52/GX52*100,1))</f>
        <v>7.7</v>
      </c>
      <c r="GG52" s="437">
        <v>99.4</v>
      </c>
      <c r="GH52" s="437">
        <v>36.299999999999997</v>
      </c>
      <c r="GI52" s="437">
        <v>98.4</v>
      </c>
      <c r="GJ52" s="110">
        <f>GJ6+GJ7+GJ51</f>
        <v>71864</v>
      </c>
      <c r="GK52" s="415" t="s">
        <v>646</v>
      </c>
      <c r="GL52" s="415" t="s">
        <v>646</v>
      </c>
      <c r="GM52" s="416" t="s">
        <v>646</v>
      </c>
      <c r="GN52" s="415" t="s">
        <v>646</v>
      </c>
      <c r="GO52" s="415" t="s">
        <v>646</v>
      </c>
      <c r="GP52" s="416" t="s">
        <v>646</v>
      </c>
      <c r="GQ52" s="439">
        <v>3.6</v>
      </c>
      <c r="GR52" s="418" t="s">
        <v>646</v>
      </c>
      <c r="GS52" s="418" t="s">
        <v>646</v>
      </c>
      <c r="GT52" s="124">
        <v>3.6</v>
      </c>
      <c r="GU52" s="415" t="s">
        <v>646</v>
      </c>
      <c r="GW52" s="111">
        <f t="shared" si="17"/>
        <v>2167787</v>
      </c>
      <c r="GX52" s="419">
        <f>GX51</f>
        <v>364042</v>
      </c>
    </row>
    <row r="53" spans="1:231" x14ac:dyDescent="0.15">
      <c r="S53" s="75"/>
      <c r="CJ53" s="89"/>
      <c r="CK53" s="84"/>
      <c r="EJ53" s="420">
        <f>EJ8+EJ10+EJ12+EJ14+EJ23+EJ24+EJ25+EJ27+EJ31+EJ32+EJ37+EJ43+EJ44+EJ45+EJ47+EJ48</f>
        <v>-1242316</v>
      </c>
      <c r="FK53" s="394">
        <f>FK44+FK47+FK45</f>
        <v>15713335</v>
      </c>
      <c r="FL53" s="394">
        <f>FL44+FL47+FL45</f>
        <v>683308</v>
      </c>
      <c r="GF53" s="89" t="s">
        <v>647</v>
      </c>
      <c r="GJ53" s="130"/>
      <c r="GX53" s="101" t="s">
        <v>648</v>
      </c>
      <c r="GY53" s="101"/>
    </row>
    <row r="54" spans="1:231" x14ac:dyDescent="0.15">
      <c r="S54" s="75"/>
      <c r="CJ54" s="89"/>
      <c r="CK54" s="84"/>
      <c r="EJ54" s="420">
        <f>EJ51-EJ53</f>
        <v>2507983</v>
      </c>
      <c r="EN54" s="423"/>
      <c r="FK54" s="394">
        <f>FK39+FK53</f>
        <v>1002569234</v>
      </c>
      <c r="FL54" s="394">
        <f>FL39+FL53</f>
        <v>63068425</v>
      </c>
      <c r="GE54" s="89" t="s">
        <v>649</v>
      </c>
      <c r="GG54" s="388"/>
      <c r="GH54" s="388"/>
      <c r="GI54" s="388"/>
      <c r="GJ54" s="272"/>
    </row>
    <row r="55" spans="1:231" x14ac:dyDescent="0.15">
      <c r="S55" s="75"/>
      <c r="CJ55" s="89"/>
      <c r="CK55" s="84"/>
      <c r="GJ55" s="130"/>
    </row>
    <row r="56" spans="1:231" x14ac:dyDescent="0.15">
      <c r="B56" s="89" t="s">
        <v>650</v>
      </c>
      <c r="C56" s="89" t="str">
        <f t="shared" ref="C56:AH56" si="22">IF(SUM(C8:C38)=C39,"ok","エラー")</f>
        <v>ok</v>
      </c>
      <c r="D56" s="89" t="str">
        <f t="shared" si="22"/>
        <v>ok</v>
      </c>
      <c r="E56" s="89" t="str">
        <f t="shared" si="22"/>
        <v>ok</v>
      </c>
      <c r="F56" s="89" t="str">
        <f t="shared" si="22"/>
        <v>ok</v>
      </c>
      <c r="G56" s="89" t="str">
        <f t="shared" si="22"/>
        <v>ok</v>
      </c>
      <c r="H56" s="89" t="str">
        <f t="shared" si="22"/>
        <v>ok</v>
      </c>
      <c r="I56" s="89" t="str">
        <f t="shared" si="22"/>
        <v>ok</v>
      </c>
      <c r="J56" s="89" t="str">
        <f t="shared" si="22"/>
        <v>ok</v>
      </c>
      <c r="K56" s="89" t="str">
        <f t="shared" si="22"/>
        <v>ok</v>
      </c>
      <c r="L56" s="89" t="str">
        <f t="shared" si="22"/>
        <v>ok</v>
      </c>
      <c r="M56" s="89" t="str">
        <f t="shared" si="22"/>
        <v>ok</v>
      </c>
      <c r="N56" s="89" t="str">
        <f t="shared" si="22"/>
        <v>ok</v>
      </c>
      <c r="O56" s="89" t="str">
        <f t="shared" si="22"/>
        <v>ok</v>
      </c>
      <c r="P56" s="89" t="str">
        <f t="shared" si="22"/>
        <v>ok</v>
      </c>
      <c r="Q56" s="89" t="str">
        <f t="shared" si="22"/>
        <v>ok</v>
      </c>
      <c r="R56" s="89" t="str">
        <f t="shared" si="22"/>
        <v>ok</v>
      </c>
      <c r="S56" s="75" t="str">
        <f t="shared" si="22"/>
        <v>ok</v>
      </c>
      <c r="T56" s="89" t="str">
        <f t="shared" si="22"/>
        <v>ok</v>
      </c>
      <c r="U56" s="89" t="str">
        <f t="shared" si="22"/>
        <v>ok</v>
      </c>
      <c r="V56" s="89" t="str">
        <f t="shared" si="22"/>
        <v>ok</v>
      </c>
      <c r="W56" s="89" t="str">
        <f t="shared" si="22"/>
        <v>ok</v>
      </c>
      <c r="X56" s="89" t="str">
        <f t="shared" si="22"/>
        <v>ok</v>
      </c>
      <c r="Y56" s="89" t="str">
        <f t="shared" si="22"/>
        <v>ok</v>
      </c>
      <c r="Z56" s="89" t="str">
        <f t="shared" si="22"/>
        <v>ok</v>
      </c>
      <c r="AA56" s="89" t="str">
        <f t="shared" si="22"/>
        <v>ok</v>
      </c>
      <c r="AB56" s="89" t="str">
        <f t="shared" si="22"/>
        <v>ok</v>
      </c>
      <c r="AC56" s="89" t="str">
        <f t="shared" si="22"/>
        <v>ok</v>
      </c>
      <c r="AD56" s="89" t="str">
        <f t="shared" si="22"/>
        <v>ok</v>
      </c>
      <c r="AE56" s="89" t="str">
        <f t="shared" si="22"/>
        <v>ok</v>
      </c>
      <c r="AF56" s="89" t="str">
        <f t="shared" si="22"/>
        <v>ok</v>
      </c>
      <c r="AG56" s="89" t="str">
        <f t="shared" si="22"/>
        <v>ok</v>
      </c>
      <c r="AH56" s="89" t="str">
        <f t="shared" si="22"/>
        <v>ok</v>
      </c>
      <c r="AI56" s="89" t="str">
        <f t="shared" ref="AI56:BN56" si="23">IF(SUM(AI8:AI38)=AI39,"ok","エラー")</f>
        <v>ok</v>
      </c>
      <c r="AJ56" s="89" t="str">
        <f t="shared" si="23"/>
        <v>ok</v>
      </c>
      <c r="AK56" s="89" t="str">
        <f t="shared" si="23"/>
        <v>ok</v>
      </c>
      <c r="AL56" s="89" t="str">
        <f t="shared" si="23"/>
        <v>ok</v>
      </c>
      <c r="AM56" s="89" t="str">
        <f t="shared" si="23"/>
        <v>ok</v>
      </c>
      <c r="AN56" s="89" t="str">
        <f t="shared" si="23"/>
        <v>ok</v>
      </c>
      <c r="AO56" s="89" t="str">
        <f t="shared" si="23"/>
        <v>ok</v>
      </c>
      <c r="AP56" s="89" t="str">
        <f t="shared" si="23"/>
        <v>ok</v>
      </c>
      <c r="AQ56" s="89" t="str">
        <f t="shared" si="23"/>
        <v>ok</v>
      </c>
      <c r="AR56" s="89" t="str">
        <f t="shared" si="23"/>
        <v>ok</v>
      </c>
      <c r="AS56" s="89" t="str">
        <f t="shared" si="23"/>
        <v>ok</v>
      </c>
      <c r="AT56" s="89" t="str">
        <f t="shared" si="23"/>
        <v>ok</v>
      </c>
      <c r="AU56" s="89" t="str">
        <f t="shared" si="23"/>
        <v>ok</v>
      </c>
      <c r="AV56" s="89" t="str">
        <f t="shared" si="23"/>
        <v>ok</v>
      </c>
      <c r="AW56" s="89" t="str">
        <f t="shared" si="23"/>
        <v>ok</v>
      </c>
      <c r="AX56" s="89" t="str">
        <f t="shared" si="23"/>
        <v>ok</v>
      </c>
      <c r="AY56" s="89" t="str">
        <f t="shared" si="23"/>
        <v>ok</v>
      </c>
      <c r="AZ56" s="89" t="str">
        <f t="shared" si="23"/>
        <v>ok</v>
      </c>
      <c r="BA56" s="89" t="str">
        <f t="shared" si="23"/>
        <v>ok</v>
      </c>
      <c r="BB56" s="89" t="str">
        <f t="shared" si="23"/>
        <v>ok</v>
      </c>
      <c r="BC56" s="89" t="str">
        <f t="shared" si="23"/>
        <v>ok</v>
      </c>
      <c r="BD56" s="89" t="str">
        <f t="shared" si="23"/>
        <v>ok</v>
      </c>
      <c r="BE56" s="89" t="str">
        <f t="shared" si="23"/>
        <v>ok</v>
      </c>
      <c r="BF56" s="89" t="str">
        <f t="shared" si="23"/>
        <v>ok</v>
      </c>
      <c r="BG56" s="89" t="str">
        <f t="shared" si="23"/>
        <v>ok</v>
      </c>
      <c r="BH56" s="89" t="str">
        <f t="shared" si="23"/>
        <v>ok</v>
      </c>
      <c r="BI56" s="89" t="str">
        <f t="shared" si="23"/>
        <v>ok</v>
      </c>
      <c r="BJ56" s="89" t="str">
        <f t="shared" si="23"/>
        <v>ok</v>
      </c>
      <c r="BK56" s="89" t="str">
        <f t="shared" si="23"/>
        <v>ok</v>
      </c>
      <c r="BL56" s="89" t="str">
        <f t="shared" si="23"/>
        <v>ok</v>
      </c>
      <c r="BM56" s="89" t="str">
        <f t="shared" si="23"/>
        <v>ok</v>
      </c>
      <c r="BN56" s="89" t="str">
        <f t="shared" si="23"/>
        <v>ok</v>
      </c>
      <c r="BO56" s="89" t="str">
        <f t="shared" ref="BO56:CJ56" si="24">IF(SUM(BO8:BO38)=BO39,"ok","エラー")</f>
        <v>ok</v>
      </c>
      <c r="BP56" s="89" t="str">
        <f t="shared" si="24"/>
        <v>ok</v>
      </c>
      <c r="BQ56" s="89" t="str">
        <f t="shared" si="24"/>
        <v>ok</v>
      </c>
      <c r="BR56" s="89" t="str">
        <f t="shared" si="24"/>
        <v>ok</v>
      </c>
      <c r="BS56" s="89" t="str">
        <f t="shared" si="24"/>
        <v>ok</v>
      </c>
      <c r="BT56" s="89" t="str">
        <f t="shared" si="24"/>
        <v>ok</v>
      </c>
      <c r="BU56" s="89" t="str">
        <f t="shared" si="24"/>
        <v>ok</v>
      </c>
      <c r="BV56" s="89" t="str">
        <f t="shared" si="24"/>
        <v>ok</v>
      </c>
      <c r="BW56" s="89" t="str">
        <f t="shared" si="24"/>
        <v>ok</v>
      </c>
      <c r="BX56" s="89" t="str">
        <f t="shared" si="24"/>
        <v>ok</v>
      </c>
      <c r="BY56" s="89" t="str">
        <f t="shared" si="24"/>
        <v>ok</v>
      </c>
      <c r="BZ56" s="89" t="str">
        <f t="shared" si="24"/>
        <v>ok</v>
      </c>
      <c r="CA56" s="89" t="str">
        <f t="shared" si="24"/>
        <v>ok</v>
      </c>
      <c r="CB56" s="89" t="str">
        <f t="shared" si="24"/>
        <v>ok</v>
      </c>
      <c r="CC56" s="89" t="str">
        <f t="shared" si="24"/>
        <v>ok</v>
      </c>
      <c r="CD56" s="89" t="str">
        <f t="shared" si="24"/>
        <v>ok</v>
      </c>
      <c r="CE56" s="89" t="str">
        <f t="shared" si="24"/>
        <v>ok</v>
      </c>
      <c r="CF56" s="89" t="str">
        <f t="shared" si="24"/>
        <v>ok</v>
      </c>
      <c r="CG56" s="89" t="str">
        <f t="shared" si="24"/>
        <v>ok</v>
      </c>
      <c r="CH56" s="89" t="str">
        <f t="shared" si="24"/>
        <v>ok</v>
      </c>
      <c r="CI56" s="89" t="str">
        <f t="shared" si="24"/>
        <v>ok</v>
      </c>
      <c r="CJ56" s="89" t="str">
        <f t="shared" si="24"/>
        <v>ok</v>
      </c>
      <c r="CK56" s="84"/>
      <c r="CL56" s="89" t="str">
        <f t="shared" ref="CL56:DQ56" si="25">IF(SUM(CL8:CL38)=CL39,"ok","エラー")</f>
        <v>ok</v>
      </c>
      <c r="CM56" s="89" t="str">
        <f t="shared" si="25"/>
        <v>ok</v>
      </c>
      <c r="CN56" s="89" t="str">
        <f t="shared" si="25"/>
        <v>ok</v>
      </c>
      <c r="CO56" s="89" t="str">
        <f t="shared" si="25"/>
        <v>ok</v>
      </c>
      <c r="CP56" s="89" t="str">
        <f t="shared" si="25"/>
        <v>ok</v>
      </c>
      <c r="CQ56" s="89" t="str">
        <f t="shared" si="25"/>
        <v>ok</v>
      </c>
      <c r="CR56" s="89" t="str">
        <f t="shared" si="25"/>
        <v>ok</v>
      </c>
      <c r="CS56" s="89" t="str">
        <f t="shared" si="25"/>
        <v>ok</v>
      </c>
      <c r="CT56" s="89" t="str">
        <f t="shared" si="25"/>
        <v>ok</v>
      </c>
      <c r="CU56" s="89" t="str">
        <f t="shared" si="25"/>
        <v>ok</v>
      </c>
      <c r="CV56" s="89" t="str">
        <f t="shared" si="25"/>
        <v>ok</v>
      </c>
      <c r="CW56" s="89" t="str">
        <f t="shared" si="25"/>
        <v>ok</v>
      </c>
      <c r="CX56" s="89" t="str">
        <f t="shared" si="25"/>
        <v>ok</v>
      </c>
      <c r="CY56" s="89" t="str">
        <f t="shared" si="25"/>
        <v>ok</v>
      </c>
      <c r="CZ56" s="89" t="str">
        <f t="shared" si="25"/>
        <v>ok</v>
      </c>
      <c r="DA56" s="89" t="str">
        <f t="shared" si="25"/>
        <v>ok</v>
      </c>
      <c r="DB56" s="89" t="str">
        <f t="shared" si="25"/>
        <v>ok</v>
      </c>
      <c r="DC56" s="89" t="str">
        <f t="shared" si="25"/>
        <v>ok</v>
      </c>
      <c r="DD56" s="89" t="str">
        <f t="shared" si="25"/>
        <v>ok</v>
      </c>
      <c r="DE56" s="89" t="str">
        <f t="shared" si="25"/>
        <v>ok</v>
      </c>
      <c r="DF56" s="89" t="str">
        <f t="shared" si="25"/>
        <v>ok</v>
      </c>
      <c r="DG56" s="89" t="str">
        <f t="shared" si="25"/>
        <v>ok</v>
      </c>
      <c r="DH56" s="89" t="str">
        <f t="shared" si="25"/>
        <v>ok</v>
      </c>
      <c r="DI56" s="89" t="str">
        <f t="shared" si="25"/>
        <v>ok</v>
      </c>
      <c r="DJ56" s="89" t="str">
        <f t="shared" si="25"/>
        <v>ok</v>
      </c>
      <c r="DK56" s="89" t="str">
        <f t="shared" si="25"/>
        <v>ok</v>
      </c>
      <c r="DL56" s="89" t="str">
        <f t="shared" si="25"/>
        <v>ok</v>
      </c>
      <c r="DM56" s="89" t="str">
        <f t="shared" si="25"/>
        <v>ok</v>
      </c>
      <c r="DN56" s="89" t="str">
        <f t="shared" si="25"/>
        <v>ok</v>
      </c>
      <c r="DO56" s="89" t="str">
        <f t="shared" si="25"/>
        <v>ok</v>
      </c>
      <c r="DP56" s="89" t="str">
        <f t="shared" si="25"/>
        <v>ok</v>
      </c>
      <c r="DQ56" s="89" t="str">
        <f t="shared" si="25"/>
        <v>ok</v>
      </c>
      <c r="DR56" s="89" t="str">
        <f t="shared" ref="DR56:EW56" si="26">IF(SUM(DR8:DR38)=DR39,"ok","エラー")</f>
        <v>ok</v>
      </c>
      <c r="DS56" s="89" t="str">
        <f t="shared" si="26"/>
        <v>ok</v>
      </c>
      <c r="DT56" s="89" t="str">
        <f t="shared" si="26"/>
        <v>ok</v>
      </c>
      <c r="DU56" s="89" t="str">
        <f t="shared" si="26"/>
        <v>ok</v>
      </c>
      <c r="DV56" s="89" t="str">
        <f t="shared" si="26"/>
        <v>ok</v>
      </c>
      <c r="DW56" s="89" t="str">
        <f t="shared" si="26"/>
        <v>ok</v>
      </c>
      <c r="DX56" s="89" t="str">
        <f t="shared" si="26"/>
        <v>ok</v>
      </c>
      <c r="DY56" s="89" t="str">
        <f t="shared" si="26"/>
        <v>ok</v>
      </c>
      <c r="DZ56" s="89" t="str">
        <f t="shared" si="26"/>
        <v>ok</v>
      </c>
      <c r="EA56" s="89" t="str">
        <f t="shared" si="26"/>
        <v>ok</v>
      </c>
      <c r="EB56" s="89" t="str">
        <f t="shared" si="26"/>
        <v>ok</v>
      </c>
      <c r="EC56" s="89" t="str">
        <f t="shared" si="26"/>
        <v>ok</v>
      </c>
      <c r="ED56" s="89" t="str">
        <f t="shared" si="26"/>
        <v>ok</v>
      </c>
      <c r="EE56" s="89" t="str">
        <f t="shared" si="26"/>
        <v>ok</v>
      </c>
      <c r="EF56" s="89" t="str">
        <f t="shared" si="26"/>
        <v>ok</v>
      </c>
      <c r="EG56" s="89" t="str">
        <f t="shared" si="26"/>
        <v>ok</v>
      </c>
      <c r="EH56" s="89" t="str">
        <f t="shared" si="26"/>
        <v>ok</v>
      </c>
      <c r="EI56" s="89" t="str">
        <f t="shared" si="26"/>
        <v>ok</v>
      </c>
      <c r="EJ56" s="89" t="str">
        <f t="shared" si="26"/>
        <v>ok</v>
      </c>
      <c r="EK56" s="89" t="str">
        <f t="shared" si="26"/>
        <v>ok</v>
      </c>
      <c r="EL56" s="89" t="str">
        <f t="shared" si="26"/>
        <v>ok</v>
      </c>
      <c r="EM56" s="89" t="str">
        <f t="shared" si="26"/>
        <v>ok</v>
      </c>
      <c r="EN56" s="89" t="str">
        <f t="shared" si="26"/>
        <v>ok</v>
      </c>
      <c r="EO56" s="89" t="str">
        <f t="shared" si="26"/>
        <v>ok</v>
      </c>
      <c r="EP56" s="89" t="str">
        <f t="shared" si="26"/>
        <v>ok</v>
      </c>
      <c r="EQ56" s="89" t="str">
        <f t="shared" si="26"/>
        <v>ok</v>
      </c>
      <c r="ER56" s="89" t="str">
        <f t="shared" si="26"/>
        <v>ok</v>
      </c>
      <c r="ES56" s="89" t="str">
        <f t="shared" si="26"/>
        <v>ok</v>
      </c>
      <c r="ET56" s="89" t="str">
        <f t="shared" si="26"/>
        <v>ok</v>
      </c>
      <c r="EU56" s="89" t="str">
        <f t="shared" si="26"/>
        <v>ok</v>
      </c>
      <c r="EV56" s="89" t="str">
        <f t="shared" si="26"/>
        <v>ok</v>
      </c>
      <c r="EW56" s="89" t="str">
        <f t="shared" si="26"/>
        <v>ok</v>
      </c>
      <c r="EX56" s="89" t="str">
        <f t="shared" ref="EX56:FI56" si="27">IF(SUM(EX8:EX38)=EX39,"ok","エラー")</f>
        <v>ok</v>
      </c>
      <c r="EY56" s="89" t="str">
        <f t="shared" si="27"/>
        <v>ok</v>
      </c>
      <c r="EZ56" s="89" t="str">
        <f t="shared" si="27"/>
        <v>ok</v>
      </c>
      <c r="FA56" s="89" t="str">
        <f t="shared" si="27"/>
        <v>ok</v>
      </c>
      <c r="FB56" s="89" t="str">
        <f t="shared" si="27"/>
        <v>ok</v>
      </c>
      <c r="FC56" s="89" t="str">
        <f t="shared" si="27"/>
        <v>ok</v>
      </c>
      <c r="FD56" s="89" t="str">
        <f t="shared" si="27"/>
        <v>ok</v>
      </c>
      <c r="FE56" s="89" t="str">
        <f t="shared" si="27"/>
        <v>ok</v>
      </c>
      <c r="FF56" s="89" t="str">
        <f t="shared" si="27"/>
        <v>ok</v>
      </c>
      <c r="FG56" s="89" t="str">
        <f t="shared" si="27"/>
        <v>ok</v>
      </c>
      <c r="FH56" s="89" t="str">
        <f t="shared" si="27"/>
        <v>ok</v>
      </c>
      <c r="FI56" s="89" t="str">
        <f t="shared" si="27"/>
        <v>ok</v>
      </c>
      <c r="FK56" s="89" t="str">
        <f>IF(SUM(FK8:FK38)=FK39,"ok","エラー")</f>
        <v>ok</v>
      </c>
      <c r="FL56" s="89" t="str">
        <f>IF(SUM(FL8:FL38)=FL39,"ok","エラー")</f>
        <v>ok</v>
      </c>
      <c r="FM56" s="89" t="str">
        <f>IF(SUM(FM8:FM38)=FM39,"ok","エラー")</f>
        <v>ok</v>
      </c>
      <c r="FN56" s="89" t="str">
        <f>IF(SUM(FN8:FN38)=FN39,"ok","エラー")</f>
        <v>ok</v>
      </c>
      <c r="FX56" s="89" t="str">
        <f>IF(SUM(FX8:FX38)=FX39,"ok","エラー")</f>
        <v>ok</v>
      </c>
      <c r="FZ56" s="89" t="str">
        <f t="shared" ref="FZ56:GE56" si="28">IF(SUM(FZ8:FZ38)=FZ39,"ok","エラー")</f>
        <v>ok</v>
      </c>
      <c r="GA56" s="89" t="str">
        <f t="shared" si="28"/>
        <v>ok</v>
      </c>
      <c r="GB56" s="89" t="str">
        <f t="shared" si="28"/>
        <v>ok</v>
      </c>
      <c r="GC56" s="89" t="str">
        <f t="shared" si="28"/>
        <v>ok</v>
      </c>
      <c r="GD56" s="89" t="str">
        <f t="shared" si="28"/>
        <v>ok</v>
      </c>
      <c r="GE56" s="89" t="str">
        <f t="shared" si="28"/>
        <v>ok</v>
      </c>
      <c r="GJ56" s="130" t="str">
        <f>IF(SUM(GJ8:GJ38)=GJ39,"ok","エラー")</f>
        <v>ok</v>
      </c>
    </row>
    <row r="57" spans="1:231" x14ac:dyDescent="0.15">
      <c r="B57" s="89" t="s">
        <v>650</v>
      </c>
      <c r="C57" s="89" t="str">
        <f t="shared" ref="C57:AH57" si="29">IF(SUM(C40:C49)=C50,"ok","エラー")</f>
        <v>ok</v>
      </c>
      <c r="D57" s="89" t="str">
        <f t="shared" si="29"/>
        <v>ok</v>
      </c>
      <c r="E57" s="89" t="str">
        <f t="shared" si="29"/>
        <v>ok</v>
      </c>
      <c r="F57" s="89" t="str">
        <f t="shared" si="29"/>
        <v>ok</v>
      </c>
      <c r="G57" s="89" t="str">
        <f t="shared" si="29"/>
        <v>ok</v>
      </c>
      <c r="H57" s="89" t="str">
        <f t="shared" si="29"/>
        <v>ok</v>
      </c>
      <c r="I57" s="89" t="str">
        <f t="shared" si="29"/>
        <v>ok</v>
      </c>
      <c r="J57" s="89" t="str">
        <f t="shared" si="29"/>
        <v>ok</v>
      </c>
      <c r="K57" s="89" t="str">
        <f t="shared" si="29"/>
        <v>ok</v>
      </c>
      <c r="L57" s="89" t="str">
        <f t="shared" si="29"/>
        <v>ok</v>
      </c>
      <c r="M57" s="89" t="str">
        <f t="shared" si="29"/>
        <v>ok</v>
      </c>
      <c r="N57" s="89" t="str">
        <f t="shared" si="29"/>
        <v>ok</v>
      </c>
      <c r="O57" s="89" t="str">
        <f t="shared" si="29"/>
        <v>ok</v>
      </c>
      <c r="P57" s="89" t="str">
        <f t="shared" si="29"/>
        <v>ok</v>
      </c>
      <c r="Q57" s="89" t="str">
        <f t="shared" si="29"/>
        <v>ok</v>
      </c>
      <c r="R57" s="89" t="str">
        <f t="shared" si="29"/>
        <v>ok</v>
      </c>
      <c r="S57" s="75" t="str">
        <f t="shared" si="29"/>
        <v>ok</v>
      </c>
      <c r="T57" s="89" t="str">
        <f t="shared" si="29"/>
        <v>ok</v>
      </c>
      <c r="U57" s="89" t="str">
        <f t="shared" si="29"/>
        <v>ok</v>
      </c>
      <c r="V57" s="89" t="str">
        <f t="shared" si="29"/>
        <v>ok</v>
      </c>
      <c r="W57" s="89" t="str">
        <f t="shared" si="29"/>
        <v>ok</v>
      </c>
      <c r="X57" s="89" t="str">
        <f t="shared" si="29"/>
        <v>ok</v>
      </c>
      <c r="Y57" s="89" t="str">
        <f t="shared" si="29"/>
        <v>ok</v>
      </c>
      <c r="Z57" s="89" t="str">
        <f t="shared" si="29"/>
        <v>ok</v>
      </c>
      <c r="AA57" s="89" t="str">
        <f t="shared" si="29"/>
        <v>ok</v>
      </c>
      <c r="AB57" s="89" t="str">
        <f t="shared" si="29"/>
        <v>ok</v>
      </c>
      <c r="AC57" s="89" t="str">
        <f t="shared" si="29"/>
        <v>ok</v>
      </c>
      <c r="AD57" s="89" t="str">
        <f t="shared" si="29"/>
        <v>ok</v>
      </c>
      <c r="AE57" s="89" t="str">
        <f t="shared" si="29"/>
        <v>ok</v>
      </c>
      <c r="AF57" s="89" t="str">
        <f t="shared" si="29"/>
        <v>ok</v>
      </c>
      <c r="AG57" s="89" t="str">
        <f t="shared" si="29"/>
        <v>ok</v>
      </c>
      <c r="AH57" s="89" t="str">
        <f t="shared" si="29"/>
        <v>ok</v>
      </c>
      <c r="AI57" s="89" t="str">
        <f t="shared" ref="AI57:BN57" si="30">IF(SUM(AI40:AI49)=AI50,"ok","エラー")</f>
        <v>ok</v>
      </c>
      <c r="AJ57" s="89" t="str">
        <f t="shared" si="30"/>
        <v>ok</v>
      </c>
      <c r="AK57" s="89" t="str">
        <f t="shared" si="30"/>
        <v>ok</v>
      </c>
      <c r="AL57" s="89" t="str">
        <f t="shared" si="30"/>
        <v>ok</v>
      </c>
      <c r="AM57" s="89" t="str">
        <f t="shared" si="30"/>
        <v>ok</v>
      </c>
      <c r="AN57" s="89" t="str">
        <f t="shared" si="30"/>
        <v>ok</v>
      </c>
      <c r="AO57" s="89" t="str">
        <f t="shared" si="30"/>
        <v>ok</v>
      </c>
      <c r="AP57" s="89" t="str">
        <f t="shared" si="30"/>
        <v>ok</v>
      </c>
      <c r="AQ57" s="89" t="str">
        <f t="shared" si="30"/>
        <v>ok</v>
      </c>
      <c r="AR57" s="89" t="str">
        <f t="shared" si="30"/>
        <v>ok</v>
      </c>
      <c r="AS57" s="89" t="str">
        <f t="shared" si="30"/>
        <v>ok</v>
      </c>
      <c r="AT57" s="89" t="str">
        <f t="shared" si="30"/>
        <v>ok</v>
      </c>
      <c r="AU57" s="89" t="str">
        <f t="shared" si="30"/>
        <v>ok</v>
      </c>
      <c r="AV57" s="89" t="str">
        <f t="shared" si="30"/>
        <v>ok</v>
      </c>
      <c r="AW57" s="89" t="str">
        <f t="shared" si="30"/>
        <v>ok</v>
      </c>
      <c r="AX57" s="89" t="str">
        <f t="shared" si="30"/>
        <v>ok</v>
      </c>
      <c r="AY57" s="89" t="str">
        <f t="shared" si="30"/>
        <v>ok</v>
      </c>
      <c r="AZ57" s="89" t="str">
        <f t="shared" si="30"/>
        <v>ok</v>
      </c>
      <c r="BA57" s="89" t="str">
        <f t="shared" si="30"/>
        <v>ok</v>
      </c>
      <c r="BB57" s="89" t="str">
        <f t="shared" si="30"/>
        <v>ok</v>
      </c>
      <c r="BC57" s="89" t="str">
        <f t="shared" si="30"/>
        <v>ok</v>
      </c>
      <c r="BD57" s="89" t="str">
        <f t="shared" si="30"/>
        <v>ok</v>
      </c>
      <c r="BE57" s="89" t="str">
        <f t="shared" si="30"/>
        <v>ok</v>
      </c>
      <c r="BF57" s="89" t="str">
        <f t="shared" si="30"/>
        <v>ok</v>
      </c>
      <c r="BG57" s="89" t="str">
        <f t="shared" si="30"/>
        <v>ok</v>
      </c>
      <c r="BH57" s="89" t="str">
        <f t="shared" si="30"/>
        <v>ok</v>
      </c>
      <c r="BI57" s="89" t="str">
        <f t="shared" si="30"/>
        <v>ok</v>
      </c>
      <c r="BJ57" s="89" t="str">
        <f t="shared" si="30"/>
        <v>ok</v>
      </c>
      <c r="BK57" s="89" t="str">
        <f t="shared" si="30"/>
        <v>ok</v>
      </c>
      <c r="BL57" s="89" t="str">
        <f t="shared" si="30"/>
        <v>ok</v>
      </c>
      <c r="BM57" s="89" t="str">
        <f t="shared" si="30"/>
        <v>ok</v>
      </c>
      <c r="BN57" s="89" t="str">
        <f t="shared" si="30"/>
        <v>ok</v>
      </c>
      <c r="BO57" s="89" t="str">
        <f t="shared" ref="BO57:CJ57" si="31">IF(SUM(BO40:BO49)=BO50,"ok","エラー")</f>
        <v>ok</v>
      </c>
      <c r="BP57" s="89" t="str">
        <f t="shared" si="31"/>
        <v>ok</v>
      </c>
      <c r="BQ57" s="89" t="str">
        <f t="shared" si="31"/>
        <v>ok</v>
      </c>
      <c r="BR57" s="89" t="str">
        <f t="shared" si="31"/>
        <v>ok</v>
      </c>
      <c r="BS57" s="89" t="str">
        <f t="shared" si="31"/>
        <v>ok</v>
      </c>
      <c r="BT57" s="89" t="str">
        <f t="shared" si="31"/>
        <v>ok</v>
      </c>
      <c r="BU57" s="89" t="str">
        <f t="shared" si="31"/>
        <v>ok</v>
      </c>
      <c r="BV57" s="89" t="str">
        <f t="shared" si="31"/>
        <v>ok</v>
      </c>
      <c r="BW57" s="89" t="str">
        <f t="shared" si="31"/>
        <v>ok</v>
      </c>
      <c r="BX57" s="89" t="str">
        <f t="shared" si="31"/>
        <v>ok</v>
      </c>
      <c r="BY57" s="89" t="str">
        <f t="shared" si="31"/>
        <v>ok</v>
      </c>
      <c r="BZ57" s="89" t="str">
        <f t="shared" si="31"/>
        <v>ok</v>
      </c>
      <c r="CA57" s="89" t="str">
        <f t="shared" si="31"/>
        <v>ok</v>
      </c>
      <c r="CB57" s="89" t="str">
        <f t="shared" si="31"/>
        <v>ok</v>
      </c>
      <c r="CC57" s="89" t="str">
        <f t="shared" si="31"/>
        <v>ok</v>
      </c>
      <c r="CD57" s="89" t="str">
        <f t="shared" si="31"/>
        <v>ok</v>
      </c>
      <c r="CE57" s="89" t="str">
        <f t="shared" si="31"/>
        <v>ok</v>
      </c>
      <c r="CF57" s="89" t="str">
        <f t="shared" si="31"/>
        <v>ok</v>
      </c>
      <c r="CG57" s="89" t="str">
        <f t="shared" si="31"/>
        <v>ok</v>
      </c>
      <c r="CH57" s="89" t="str">
        <f t="shared" si="31"/>
        <v>ok</v>
      </c>
      <c r="CI57" s="89" t="str">
        <f t="shared" si="31"/>
        <v>ok</v>
      </c>
      <c r="CJ57" s="89" t="str">
        <f t="shared" si="31"/>
        <v>ok</v>
      </c>
      <c r="CK57" s="84"/>
      <c r="CL57" s="89" t="str">
        <f t="shared" ref="CL57:DQ57" si="32">IF(SUM(CL40:CL49)=CL50,"ok","エラー")</f>
        <v>ok</v>
      </c>
      <c r="CM57" s="89" t="str">
        <f t="shared" si="32"/>
        <v>ok</v>
      </c>
      <c r="CN57" s="89" t="str">
        <f t="shared" si="32"/>
        <v>ok</v>
      </c>
      <c r="CO57" s="89" t="str">
        <f t="shared" si="32"/>
        <v>ok</v>
      </c>
      <c r="CP57" s="89" t="str">
        <f t="shared" si="32"/>
        <v>ok</v>
      </c>
      <c r="CQ57" s="89" t="str">
        <f t="shared" si="32"/>
        <v>ok</v>
      </c>
      <c r="CR57" s="89" t="str">
        <f t="shared" si="32"/>
        <v>ok</v>
      </c>
      <c r="CS57" s="89" t="str">
        <f t="shared" si="32"/>
        <v>ok</v>
      </c>
      <c r="CT57" s="89" t="str">
        <f t="shared" si="32"/>
        <v>ok</v>
      </c>
      <c r="CU57" s="89" t="str">
        <f t="shared" si="32"/>
        <v>ok</v>
      </c>
      <c r="CV57" s="89" t="str">
        <f t="shared" si="32"/>
        <v>ok</v>
      </c>
      <c r="CW57" s="89" t="str">
        <f t="shared" si="32"/>
        <v>ok</v>
      </c>
      <c r="CX57" s="89" t="str">
        <f t="shared" si="32"/>
        <v>ok</v>
      </c>
      <c r="CY57" s="89" t="str">
        <f t="shared" si="32"/>
        <v>ok</v>
      </c>
      <c r="CZ57" s="89" t="str">
        <f t="shared" si="32"/>
        <v>ok</v>
      </c>
      <c r="DA57" s="89" t="str">
        <f t="shared" si="32"/>
        <v>ok</v>
      </c>
      <c r="DB57" s="89" t="str">
        <f t="shared" si="32"/>
        <v>ok</v>
      </c>
      <c r="DC57" s="89" t="str">
        <f t="shared" si="32"/>
        <v>ok</v>
      </c>
      <c r="DD57" s="89" t="str">
        <f t="shared" si="32"/>
        <v>ok</v>
      </c>
      <c r="DE57" s="89" t="str">
        <f t="shared" si="32"/>
        <v>ok</v>
      </c>
      <c r="DF57" s="89" t="str">
        <f t="shared" si="32"/>
        <v>ok</v>
      </c>
      <c r="DG57" s="89" t="str">
        <f t="shared" si="32"/>
        <v>ok</v>
      </c>
      <c r="DH57" s="89" t="str">
        <f t="shared" si="32"/>
        <v>ok</v>
      </c>
      <c r="DI57" s="89" t="str">
        <f t="shared" si="32"/>
        <v>ok</v>
      </c>
      <c r="DJ57" s="89" t="str">
        <f t="shared" si="32"/>
        <v>ok</v>
      </c>
      <c r="DK57" s="89" t="str">
        <f t="shared" si="32"/>
        <v>ok</v>
      </c>
      <c r="DL57" s="89" t="str">
        <f t="shared" si="32"/>
        <v>ok</v>
      </c>
      <c r="DM57" s="89" t="str">
        <f t="shared" si="32"/>
        <v>ok</v>
      </c>
      <c r="DN57" s="89" t="str">
        <f t="shared" si="32"/>
        <v>ok</v>
      </c>
      <c r="DO57" s="89" t="str">
        <f t="shared" si="32"/>
        <v>ok</v>
      </c>
      <c r="DP57" s="89" t="str">
        <f t="shared" si="32"/>
        <v>ok</v>
      </c>
      <c r="DQ57" s="89" t="str">
        <f t="shared" si="32"/>
        <v>ok</v>
      </c>
      <c r="DR57" s="89" t="str">
        <f t="shared" ref="DR57:EW57" si="33">IF(SUM(DR40:DR49)=DR50,"ok","エラー")</f>
        <v>ok</v>
      </c>
      <c r="DS57" s="89" t="str">
        <f t="shared" si="33"/>
        <v>ok</v>
      </c>
      <c r="DT57" s="89" t="str">
        <f t="shared" si="33"/>
        <v>ok</v>
      </c>
      <c r="DU57" s="89" t="str">
        <f t="shared" si="33"/>
        <v>ok</v>
      </c>
      <c r="DV57" s="89" t="str">
        <f t="shared" si="33"/>
        <v>ok</v>
      </c>
      <c r="DW57" s="89" t="str">
        <f t="shared" si="33"/>
        <v>ok</v>
      </c>
      <c r="DX57" s="89" t="str">
        <f t="shared" si="33"/>
        <v>ok</v>
      </c>
      <c r="DY57" s="89" t="str">
        <f t="shared" si="33"/>
        <v>ok</v>
      </c>
      <c r="DZ57" s="89" t="str">
        <f t="shared" si="33"/>
        <v>ok</v>
      </c>
      <c r="EA57" s="89" t="str">
        <f t="shared" si="33"/>
        <v>ok</v>
      </c>
      <c r="EB57" s="89" t="str">
        <f t="shared" si="33"/>
        <v>ok</v>
      </c>
      <c r="EC57" s="89" t="str">
        <f t="shared" si="33"/>
        <v>ok</v>
      </c>
      <c r="ED57" s="89" t="str">
        <f t="shared" si="33"/>
        <v>ok</v>
      </c>
      <c r="EE57" s="89" t="str">
        <f t="shared" si="33"/>
        <v>ok</v>
      </c>
      <c r="EF57" s="89" t="str">
        <f t="shared" si="33"/>
        <v>ok</v>
      </c>
      <c r="EG57" s="89" t="str">
        <f t="shared" si="33"/>
        <v>ok</v>
      </c>
      <c r="EH57" s="89" t="str">
        <f t="shared" si="33"/>
        <v>ok</v>
      </c>
      <c r="EI57" s="89" t="str">
        <f t="shared" si="33"/>
        <v>ok</v>
      </c>
      <c r="EJ57" s="89" t="str">
        <f t="shared" si="33"/>
        <v>ok</v>
      </c>
      <c r="EK57" s="89" t="str">
        <f t="shared" si="33"/>
        <v>ok</v>
      </c>
      <c r="EL57" s="89" t="str">
        <f t="shared" si="33"/>
        <v>ok</v>
      </c>
      <c r="EM57" s="89" t="str">
        <f t="shared" si="33"/>
        <v>ok</v>
      </c>
      <c r="EN57" s="89" t="str">
        <f t="shared" si="33"/>
        <v>ok</v>
      </c>
      <c r="EO57" s="89" t="str">
        <f t="shared" si="33"/>
        <v>ok</v>
      </c>
      <c r="EP57" s="89" t="str">
        <f t="shared" si="33"/>
        <v>ok</v>
      </c>
      <c r="EQ57" s="89" t="str">
        <f t="shared" si="33"/>
        <v>ok</v>
      </c>
      <c r="ER57" s="89" t="str">
        <f t="shared" si="33"/>
        <v>ok</v>
      </c>
      <c r="ES57" s="89" t="str">
        <f t="shared" si="33"/>
        <v>ok</v>
      </c>
      <c r="ET57" s="89" t="str">
        <f t="shared" si="33"/>
        <v>ok</v>
      </c>
      <c r="EU57" s="89" t="str">
        <f t="shared" si="33"/>
        <v>ok</v>
      </c>
      <c r="EV57" s="89" t="str">
        <f t="shared" si="33"/>
        <v>ok</v>
      </c>
      <c r="EW57" s="89" t="str">
        <f t="shared" si="33"/>
        <v>ok</v>
      </c>
      <c r="EX57" s="89" t="str">
        <f t="shared" ref="EX57:FI57" si="34">IF(SUM(EX40:EX49)=EX50,"ok","エラー")</f>
        <v>ok</v>
      </c>
      <c r="EY57" s="89" t="str">
        <f t="shared" si="34"/>
        <v>ok</v>
      </c>
      <c r="EZ57" s="89" t="str">
        <f t="shared" si="34"/>
        <v>ok</v>
      </c>
      <c r="FA57" s="89" t="str">
        <f t="shared" si="34"/>
        <v>ok</v>
      </c>
      <c r="FB57" s="89" t="str">
        <f t="shared" si="34"/>
        <v>ok</v>
      </c>
      <c r="FC57" s="89" t="str">
        <f t="shared" si="34"/>
        <v>ok</v>
      </c>
      <c r="FD57" s="89" t="str">
        <f t="shared" si="34"/>
        <v>ok</v>
      </c>
      <c r="FE57" s="89" t="str">
        <f t="shared" si="34"/>
        <v>ok</v>
      </c>
      <c r="FF57" s="89" t="str">
        <f t="shared" si="34"/>
        <v>ok</v>
      </c>
      <c r="FG57" s="89" t="str">
        <f t="shared" si="34"/>
        <v>ok</v>
      </c>
      <c r="FH57" s="89" t="str">
        <f t="shared" si="34"/>
        <v>ok</v>
      </c>
      <c r="FI57" s="89" t="str">
        <f t="shared" si="34"/>
        <v>ok</v>
      </c>
      <c r="FK57" s="89" t="str">
        <f>IF(SUM(FK40:FK49)=FK50,"ok","エラー")</f>
        <v>ok</v>
      </c>
      <c r="FL57" s="89" t="str">
        <f>IF(SUM(FL40:FL49)=FL50,"ok","エラー")</f>
        <v>ok</v>
      </c>
      <c r="FM57" s="89" t="str">
        <f>IF(SUM(FM40:FM49)=FM50,"ok","エラー")</f>
        <v>ok</v>
      </c>
      <c r="FN57" s="89" t="str">
        <f>IF(SUM(FN40:FN49)=FN50,"ok","エラー")</f>
        <v>ok</v>
      </c>
      <c r="FX57" s="89" t="str">
        <f>IF(SUM(FX40:FX49)=FX50,"ok","エラー")</f>
        <v>ok</v>
      </c>
      <c r="FZ57" s="89" t="str">
        <f t="shared" ref="FZ57:GE57" si="35">IF(SUM(FZ40:FZ49)=FZ50,"ok","エラー")</f>
        <v>ok</v>
      </c>
      <c r="GA57" s="89" t="str">
        <f t="shared" si="35"/>
        <v>ok</v>
      </c>
      <c r="GB57" s="89" t="str">
        <f t="shared" si="35"/>
        <v>ok</v>
      </c>
      <c r="GC57" s="89" t="str">
        <f t="shared" si="35"/>
        <v>ok</v>
      </c>
      <c r="GD57" s="89" t="str">
        <f t="shared" si="35"/>
        <v>ok</v>
      </c>
      <c r="GE57" s="89" t="str">
        <f t="shared" si="35"/>
        <v>ok</v>
      </c>
      <c r="GJ57" s="130" t="str">
        <f>IF(SUM(GJ40:GJ49)=GJ50,"ok","エラー")</f>
        <v>ok</v>
      </c>
    </row>
    <row r="58" spans="1:231" x14ac:dyDescent="0.15">
      <c r="B58" s="89" t="s">
        <v>650</v>
      </c>
      <c r="C58" s="89" t="str">
        <f t="shared" ref="C58:AH58" si="36">IF(C39+C50=C51,"ok","エラー")</f>
        <v>ok</v>
      </c>
      <c r="D58" s="89" t="str">
        <f t="shared" si="36"/>
        <v>ok</v>
      </c>
      <c r="E58" s="89" t="str">
        <f t="shared" si="36"/>
        <v>ok</v>
      </c>
      <c r="F58" s="89" t="str">
        <f t="shared" si="36"/>
        <v>ok</v>
      </c>
      <c r="G58" s="89" t="str">
        <f t="shared" si="36"/>
        <v>ok</v>
      </c>
      <c r="H58" s="89" t="str">
        <f t="shared" si="36"/>
        <v>ok</v>
      </c>
      <c r="I58" s="89" t="str">
        <f t="shared" si="36"/>
        <v>ok</v>
      </c>
      <c r="J58" s="89" t="str">
        <f t="shared" si="36"/>
        <v>ok</v>
      </c>
      <c r="K58" s="89" t="str">
        <f t="shared" si="36"/>
        <v>ok</v>
      </c>
      <c r="L58" s="89" t="str">
        <f t="shared" si="36"/>
        <v>ok</v>
      </c>
      <c r="M58" s="89" t="str">
        <f t="shared" si="36"/>
        <v>ok</v>
      </c>
      <c r="N58" s="89" t="str">
        <f t="shared" si="36"/>
        <v>ok</v>
      </c>
      <c r="O58" s="89" t="str">
        <f t="shared" si="36"/>
        <v>ok</v>
      </c>
      <c r="P58" s="89" t="str">
        <f t="shared" si="36"/>
        <v>ok</v>
      </c>
      <c r="Q58" s="89" t="str">
        <f t="shared" si="36"/>
        <v>ok</v>
      </c>
      <c r="R58" s="89" t="str">
        <f t="shared" si="36"/>
        <v>ok</v>
      </c>
      <c r="S58" s="75" t="str">
        <f t="shared" si="36"/>
        <v>ok</v>
      </c>
      <c r="T58" s="89" t="str">
        <f t="shared" si="36"/>
        <v>ok</v>
      </c>
      <c r="U58" s="89" t="str">
        <f t="shared" si="36"/>
        <v>ok</v>
      </c>
      <c r="V58" s="89" t="str">
        <f t="shared" si="36"/>
        <v>ok</v>
      </c>
      <c r="W58" s="89" t="str">
        <f t="shared" si="36"/>
        <v>ok</v>
      </c>
      <c r="X58" s="89" t="str">
        <f t="shared" si="36"/>
        <v>ok</v>
      </c>
      <c r="Y58" s="89" t="str">
        <f t="shared" si="36"/>
        <v>ok</v>
      </c>
      <c r="Z58" s="89" t="str">
        <f t="shared" si="36"/>
        <v>ok</v>
      </c>
      <c r="AA58" s="89" t="str">
        <f t="shared" si="36"/>
        <v>ok</v>
      </c>
      <c r="AB58" s="89" t="str">
        <f t="shared" si="36"/>
        <v>ok</v>
      </c>
      <c r="AC58" s="89" t="str">
        <f t="shared" si="36"/>
        <v>ok</v>
      </c>
      <c r="AD58" s="89" t="str">
        <f t="shared" si="36"/>
        <v>ok</v>
      </c>
      <c r="AE58" s="89" t="str">
        <f t="shared" si="36"/>
        <v>ok</v>
      </c>
      <c r="AF58" s="89" t="str">
        <f t="shared" si="36"/>
        <v>ok</v>
      </c>
      <c r="AG58" s="89" t="str">
        <f t="shared" si="36"/>
        <v>ok</v>
      </c>
      <c r="AH58" s="89" t="str">
        <f t="shared" si="36"/>
        <v>ok</v>
      </c>
      <c r="AI58" s="89" t="str">
        <f t="shared" ref="AI58:BN58" si="37">IF(AI39+AI50=AI51,"ok","エラー")</f>
        <v>ok</v>
      </c>
      <c r="AJ58" s="89" t="str">
        <f t="shared" si="37"/>
        <v>ok</v>
      </c>
      <c r="AK58" s="89" t="str">
        <f t="shared" si="37"/>
        <v>ok</v>
      </c>
      <c r="AL58" s="89" t="str">
        <f t="shared" si="37"/>
        <v>ok</v>
      </c>
      <c r="AM58" s="89" t="str">
        <f t="shared" si="37"/>
        <v>ok</v>
      </c>
      <c r="AN58" s="89" t="str">
        <f t="shared" si="37"/>
        <v>ok</v>
      </c>
      <c r="AO58" s="89" t="str">
        <f t="shared" si="37"/>
        <v>ok</v>
      </c>
      <c r="AP58" s="89" t="str">
        <f t="shared" si="37"/>
        <v>ok</v>
      </c>
      <c r="AQ58" s="89" t="str">
        <f t="shared" si="37"/>
        <v>ok</v>
      </c>
      <c r="AR58" s="89" t="str">
        <f t="shared" si="37"/>
        <v>ok</v>
      </c>
      <c r="AS58" s="89" t="str">
        <f t="shared" si="37"/>
        <v>ok</v>
      </c>
      <c r="AT58" s="89" t="str">
        <f t="shared" si="37"/>
        <v>ok</v>
      </c>
      <c r="AU58" s="89" t="str">
        <f t="shared" si="37"/>
        <v>ok</v>
      </c>
      <c r="AV58" s="89" t="str">
        <f t="shared" si="37"/>
        <v>ok</v>
      </c>
      <c r="AW58" s="89" t="str">
        <f t="shared" si="37"/>
        <v>ok</v>
      </c>
      <c r="AX58" s="89" t="str">
        <f t="shared" si="37"/>
        <v>ok</v>
      </c>
      <c r="AY58" s="89" t="str">
        <f t="shared" si="37"/>
        <v>ok</v>
      </c>
      <c r="AZ58" s="89" t="str">
        <f t="shared" si="37"/>
        <v>ok</v>
      </c>
      <c r="BA58" s="89" t="str">
        <f t="shared" si="37"/>
        <v>ok</v>
      </c>
      <c r="BB58" s="89" t="str">
        <f t="shared" si="37"/>
        <v>ok</v>
      </c>
      <c r="BC58" s="89" t="str">
        <f t="shared" si="37"/>
        <v>ok</v>
      </c>
      <c r="BD58" s="89" t="str">
        <f t="shared" si="37"/>
        <v>ok</v>
      </c>
      <c r="BE58" s="89" t="str">
        <f t="shared" si="37"/>
        <v>ok</v>
      </c>
      <c r="BF58" s="89" t="str">
        <f t="shared" si="37"/>
        <v>ok</v>
      </c>
      <c r="BG58" s="89" t="str">
        <f t="shared" si="37"/>
        <v>ok</v>
      </c>
      <c r="BH58" s="89" t="str">
        <f t="shared" si="37"/>
        <v>ok</v>
      </c>
      <c r="BI58" s="89" t="str">
        <f t="shared" si="37"/>
        <v>ok</v>
      </c>
      <c r="BJ58" s="89" t="str">
        <f t="shared" si="37"/>
        <v>ok</v>
      </c>
      <c r="BK58" s="89" t="str">
        <f t="shared" si="37"/>
        <v>ok</v>
      </c>
      <c r="BL58" s="89" t="str">
        <f t="shared" si="37"/>
        <v>ok</v>
      </c>
      <c r="BM58" s="89" t="str">
        <f t="shared" si="37"/>
        <v>ok</v>
      </c>
      <c r="BN58" s="89" t="str">
        <f t="shared" si="37"/>
        <v>ok</v>
      </c>
      <c r="BO58" s="89" t="str">
        <f t="shared" ref="BO58:CJ58" si="38">IF(BO39+BO50=BO51,"ok","エラー")</f>
        <v>ok</v>
      </c>
      <c r="BP58" s="89" t="str">
        <f t="shared" si="38"/>
        <v>ok</v>
      </c>
      <c r="BQ58" s="89" t="str">
        <f t="shared" si="38"/>
        <v>ok</v>
      </c>
      <c r="BR58" s="89" t="str">
        <f t="shared" si="38"/>
        <v>ok</v>
      </c>
      <c r="BS58" s="89" t="str">
        <f t="shared" si="38"/>
        <v>ok</v>
      </c>
      <c r="BT58" s="89" t="str">
        <f t="shared" si="38"/>
        <v>ok</v>
      </c>
      <c r="BU58" s="89" t="str">
        <f t="shared" si="38"/>
        <v>ok</v>
      </c>
      <c r="BV58" s="89" t="str">
        <f t="shared" si="38"/>
        <v>ok</v>
      </c>
      <c r="BW58" s="89" t="str">
        <f t="shared" si="38"/>
        <v>ok</v>
      </c>
      <c r="BX58" s="89" t="str">
        <f t="shared" si="38"/>
        <v>ok</v>
      </c>
      <c r="BY58" s="89" t="str">
        <f t="shared" si="38"/>
        <v>ok</v>
      </c>
      <c r="BZ58" s="89" t="str">
        <f t="shared" si="38"/>
        <v>ok</v>
      </c>
      <c r="CA58" s="89" t="str">
        <f t="shared" si="38"/>
        <v>ok</v>
      </c>
      <c r="CB58" s="89" t="str">
        <f t="shared" si="38"/>
        <v>ok</v>
      </c>
      <c r="CC58" s="89" t="str">
        <f t="shared" si="38"/>
        <v>ok</v>
      </c>
      <c r="CD58" s="89" t="str">
        <f t="shared" si="38"/>
        <v>ok</v>
      </c>
      <c r="CE58" s="89" t="str">
        <f t="shared" si="38"/>
        <v>ok</v>
      </c>
      <c r="CF58" s="89" t="str">
        <f t="shared" si="38"/>
        <v>ok</v>
      </c>
      <c r="CG58" s="89" t="str">
        <f t="shared" si="38"/>
        <v>ok</v>
      </c>
      <c r="CH58" s="89" t="str">
        <f t="shared" si="38"/>
        <v>ok</v>
      </c>
      <c r="CI58" s="89" t="str">
        <f t="shared" si="38"/>
        <v>ok</v>
      </c>
      <c r="CJ58" s="89" t="str">
        <f t="shared" si="38"/>
        <v>ok</v>
      </c>
      <c r="CK58" s="84"/>
      <c r="CL58" s="89" t="str">
        <f t="shared" ref="CL58:DQ58" si="39">IF(CL39+CL50=CL51,"ok","エラー")</f>
        <v>ok</v>
      </c>
      <c r="CM58" s="89" t="str">
        <f t="shared" si="39"/>
        <v>ok</v>
      </c>
      <c r="CN58" s="89" t="str">
        <f t="shared" si="39"/>
        <v>ok</v>
      </c>
      <c r="CO58" s="89" t="str">
        <f t="shared" si="39"/>
        <v>ok</v>
      </c>
      <c r="CP58" s="89" t="str">
        <f t="shared" si="39"/>
        <v>ok</v>
      </c>
      <c r="CQ58" s="89" t="str">
        <f t="shared" si="39"/>
        <v>ok</v>
      </c>
      <c r="CR58" s="89" t="str">
        <f t="shared" si="39"/>
        <v>ok</v>
      </c>
      <c r="CS58" s="89" t="str">
        <f t="shared" si="39"/>
        <v>ok</v>
      </c>
      <c r="CT58" s="89" t="str">
        <f t="shared" si="39"/>
        <v>ok</v>
      </c>
      <c r="CU58" s="89" t="str">
        <f t="shared" si="39"/>
        <v>ok</v>
      </c>
      <c r="CV58" s="89" t="str">
        <f t="shared" si="39"/>
        <v>ok</v>
      </c>
      <c r="CW58" s="89" t="str">
        <f t="shared" si="39"/>
        <v>ok</v>
      </c>
      <c r="CX58" s="89" t="str">
        <f t="shared" si="39"/>
        <v>ok</v>
      </c>
      <c r="CY58" s="89" t="str">
        <f t="shared" si="39"/>
        <v>ok</v>
      </c>
      <c r="CZ58" s="89" t="str">
        <f t="shared" si="39"/>
        <v>ok</v>
      </c>
      <c r="DA58" s="89" t="str">
        <f t="shared" si="39"/>
        <v>ok</v>
      </c>
      <c r="DB58" s="89" t="str">
        <f t="shared" si="39"/>
        <v>ok</v>
      </c>
      <c r="DC58" s="89" t="str">
        <f t="shared" si="39"/>
        <v>ok</v>
      </c>
      <c r="DD58" s="89" t="str">
        <f t="shared" si="39"/>
        <v>ok</v>
      </c>
      <c r="DE58" s="89" t="str">
        <f t="shared" si="39"/>
        <v>ok</v>
      </c>
      <c r="DF58" s="89" t="str">
        <f t="shared" si="39"/>
        <v>ok</v>
      </c>
      <c r="DG58" s="89" t="str">
        <f t="shared" si="39"/>
        <v>ok</v>
      </c>
      <c r="DH58" s="89" t="str">
        <f t="shared" si="39"/>
        <v>ok</v>
      </c>
      <c r="DI58" s="89" t="str">
        <f t="shared" si="39"/>
        <v>ok</v>
      </c>
      <c r="DJ58" s="89" t="str">
        <f t="shared" si="39"/>
        <v>ok</v>
      </c>
      <c r="DK58" s="89" t="str">
        <f t="shared" si="39"/>
        <v>ok</v>
      </c>
      <c r="DL58" s="89" t="str">
        <f t="shared" si="39"/>
        <v>ok</v>
      </c>
      <c r="DM58" s="89" t="str">
        <f t="shared" si="39"/>
        <v>ok</v>
      </c>
      <c r="DN58" s="89" t="str">
        <f t="shared" si="39"/>
        <v>ok</v>
      </c>
      <c r="DO58" s="89" t="str">
        <f t="shared" si="39"/>
        <v>ok</v>
      </c>
      <c r="DP58" s="89" t="str">
        <f t="shared" si="39"/>
        <v>ok</v>
      </c>
      <c r="DQ58" s="89" t="str">
        <f t="shared" si="39"/>
        <v>ok</v>
      </c>
      <c r="DR58" s="89" t="str">
        <f t="shared" ref="DR58:EW58" si="40">IF(DR39+DR50=DR51,"ok","エラー")</f>
        <v>ok</v>
      </c>
      <c r="DS58" s="89" t="str">
        <f t="shared" si="40"/>
        <v>ok</v>
      </c>
      <c r="DT58" s="89" t="str">
        <f t="shared" si="40"/>
        <v>ok</v>
      </c>
      <c r="DU58" s="89" t="str">
        <f t="shared" si="40"/>
        <v>ok</v>
      </c>
      <c r="DV58" s="89" t="str">
        <f t="shared" si="40"/>
        <v>ok</v>
      </c>
      <c r="DW58" s="89" t="str">
        <f t="shared" si="40"/>
        <v>ok</v>
      </c>
      <c r="DX58" s="89" t="str">
        <f t="shared" si="40"/>
        <v>ok</v>
      </c>
      <c r="DY58" s="89" t="str">
        <f t="shared" si="40"/>
        <v>ok</v>
      </c>
      <c r="DZ58" s="89" t="str">
        <f t="shared" si="40"/>
        <v>ok</v>
      </c>
      <c r="EA58" s="89" t="str">
        <f t="shared" si="40"/>
        <v>ok</v>
      </c>
      <c r="EB58" s="89" t="str">
        <f t="shared" si="40"/>
        <v>ok</v>
      </c>
      <c r="EC58" s="89" t="str">
        <f t="shared" si="40"/>
        <v>ok</v>
      </c>
      <c r="ED58" s="89" t="str">
        <f t="shared" si="40"/>
        <v>ok</v>
      </c>
      <c r="EE58" s="89" t="str">
        <f t="shared" si="40"/>
        <v>ok</v>
      </c>
      <c r="EF58" s="89" t="str">
        <f t="shared" si="40"/>
        <v>ok</v>
      </c>
      <c r="EG58" s="89" t="str">
        <f t="shared" si="40"/>
        <v>ok</v>
      </c>
      <c r="EH58" s="89" t="str">
        <f t="shared" si="40"/>
        <v>ok</v>
      </c>
      <c r="EI58" s="89" t="str">
        <f t="shared" si="40"/>
        <v>ok</v>
      </c>
      <c r="EJ58" s="89" t="str">
        <f t="shared" si="40"/>
        <v>ok</v>
      </c>
      <c r="EK58" s="89" t="str">
        <f t="shared" si="40"/>
        <v>ok</v>
      </c>
      <c r="EL58" s="89" t="str">
        <f t="shared" si="40"/>
        <v>ok</v>
      </c>
      <c r="EM58" s="89" t="str">
        <f t="shared" si="40"/>
        <v>ok</v>
      </c>
      <c r="EN58" s="89" t="str">
        <f t="shared" si="40"/>
        <v>ok</v>
      </c>
      <c r="EO58" s="89" t="str">
        <f t="shared" si="40"/>
        <v>ok</v>
      </c>
      <c r="EP58" s="89" t="str">
        <f t="shared" si="40"/>
        <v>ok</v>
      </c>
      <c r="EQ58" s="89" t="str">
        <f t="shared" si="40"/>
        <v>ok</v>
      </c>
      <c r="ER58" s="89" t="str">
        <f t="shared" si="40"/>
        <v>ok</v>
      </c>
      <c r="ES58" s="89" t="str">
        <f t="shared" si="40"/>
        <v>ok</v>
      </c>
      <c r="ET58" s="89" t="str">
        <f t="shared" si="40"/>
        <v>ok</v>
      </c>
      <c r="EU58" s="89" t="str">
        <f t="shared" si="40"/>
        <v>ok</v>
      </c>
      <c r="EV58" s="89" t="str">
        <f t="shared" si="40"/>
        <v>ok</v>
      </c>
      <c r="EW58" s="89" t="str">
        <f t="shared" si="40"/>
        <v>ok</v>
      </c>
      <c r="EX58" s="89" t="str">
        <f t="shared" ref="EX58:FI58" si="41">IF(EX39+EX50=EX51,"ok","エラー")</f>
        <v>ok</v>
      </c>
      <c r="EY58" s="89" t="str">
        <f t="shared" si="41"/>
        <v>ok</v>
      </c>
      <c r="EZ58" s="89" t="str">
        <f t="shared" si="41"/>
        <v>ok</v>
      </c>
      <c r="FA58" s="89" t="str">
        <f t="shared" si="41"/>
        <v>ok</v>
      </c>
      <c r="FB58" s="89" t="str">
        <f t="shared" si="41"/>
        <v>ok</v>
      </c>
      <c r="FC58" s="89" t="str">
        <f t="shared" si="41"/>
        <v>ok</v>
      </c>
      <c r="FD58" s="89" t="str">
        <f t="shared" si="41"/>
        <v>ok</v>
      </c>
      <c r="FE58" s="89" t="str">
        <f t="shared" si="41"/>
        <v>ok</v>
      </c>
      <c r="FF58" s="89" t="str">
        <f t="shared" si="41"/>
        <v>ok</v>
      </c>
      <c r="FG58" s="89" t="str">
        <f t="shared" si="41"/>
        <v>ok</v>
      </c>
      <c r="FH58" s="89" t="str">
        <f t="shared" si="41"/>
        <v>ok</v>
      </c>
      <c r="FI58" s="89" t="str">
        <f t="shared" si="41"/>
        <v>ok</v>
      </c>
      <c r="FK58" s="89" t="str">
        <f>IF(FK39+FK50=FK51,"ok","エラー")</f>
        <v>ok</v>
      </c>
      <c r="FL58" s="89" t="str">
        <f>IF(FL39+FL50=FL51,"ok","エラー")</f>
        <v>ok</v>
      </c>
      <c r="FM58" s="89" t="str">
        <f>IF(FM39+FM50=FM51,"ok","エラー")</f>
        <v>ok</v>
      </c>
      <c r="FN58" s="89" t="str">
        <f>IF(FN39+FN50=FN51,"ok","エラー")</f>
        <v>ok</v>
      </c>
      <c r="FX58" s="89" t="str">
        <f>IF(FX39+FX50=FX51,"ok","エラー")</f>
        <v>ok</v>
      </c>
      <c r="FZ58" s="89" t="str">
        <f t="shared" ref="FZ58:GE58" si="42">IF(FZ39+FZ50=FZ51,"ok","エラー")</f>
        <v>ok</v>
      </c>
      <c r="GA58" s="89" t="str">
        <f t="shared" si="42"/>
        <v>ok</v>
      </c>
      <c r="GB58" s="89" t="str">
        <f t="shared" si="42"/>
        <v>ok</v>
      </c>
      <c r="GC58" s="89" t="str">
        <f t="shared" si="42"/>
        <v>ok</v>
      </c>
      <c r="GD58" s="89" t="str">
        <f t="shared" si="42"/>
        <v>ok</v>
      </c>
      <c r="GE58" s="89" t="str">
        <f t="shared" si="42"/>
        <v>ok</v>
      </c>
      <c r="GJ58" s="130" t="str">
        <f>IF(GJ39+GJ50=GJ51,"ok","エラー")</f>
        <v>ok</v>
      </c>
    </row>
    <row r="59" spans="1:231" x14ac:dyDescent="0.15">
      <c r="B59" s="122" t="s">
        <v>650</v>
      </c>
      <c r="C59" s="89" t="str">
        <f t="shared" ref="C59:AH59" si="43">IF(C6+C7+C51=C52,"ok","エラー")</f>
        <v>ok</v>
      </c>
      <c r="D59" s="89" t="str">
        <f t="shared" si="43"/>
        <v>ok</v>
      </c>
      <c r="E59" s="89" t="str">
        <f t="shared" si="43"/>
        <v>ok</v>
      </c>
      <c r="F59" s="89" t="str">
        <f t="shared" si="43"/>
        <v>ok</v>
      </c>
      <c r="G59" s="89" t="str">
        <f t="shared" si="43"/>
        <v>ok</v>
      </c>
      <c r="H59" s="89" t="str">
        <f t="shared" si="43"/>
        <v>ok</v>
      </c>
      <c r="I59" s="89" t="str">
        <f t="shared" si="43"/>
        <v>ok</v>
      </c>
      <c r="J59" s="89" t="str">
        <f t="shared" si="43"/>
        <v>ok</v>
      </c>
      <c r="K59" s="89" t="str">
        <f t="shared" si="43"/>
        <v>ok</v>
      </c>
      <c r="L59" s="89" t="str">
        <f t="shared" si="43"/>
        <v>ok</v>
      </c>
      <c r="M59" s="89" t="str">
        <f t="shared" si="43"/>
        <v>ok</v>
      </c>
      <c r="N59" s="89" t="str">
        <f t="shared" si="43"/>
        <v>ok</v>
      </c>
      <c r="O59" s="89" t="str">
        <f t="shared" si="43"/>
        <v>ok</v>
      </c>
      <c r="P59" s="89" t="str">
        <f t="shared" si="43"/>
        <v>ok</v>
      </c>
      <c r="Q59" s="89" t="str">
        <f t="shared" si="43"/>
        <v>ok</v>
      </c>
      <c r="R59" s="89" t="str">
        <f t="shared" si="43"/>
        <v>ok</v>
      </c>
      <c r="S59" s="75" t="str">
        <f t="shared" si="43"/>
        <v>ok</v>
      </c>
      <c r="T59" s="89" t="str">
        <f t="shared" si="43"/>
        <v>ok</v>
      </c>
      <c r="U59" s="89" t="str">
        <f t="shared" si="43"/>
        <v>ok</v>
      </c>
      <c r="V59" s="89" t="str">
        <f t="shared" si="43"/>
        <v>ok</v>
      </c>
      <c r="W59" s="89" t="str">
        <f t="shared" si="43"/>
        <v>ok</v>
      </c>
      <c r="X59" s="89" t="str">
        <f t="shared" si="43"/>
        <v>ok</v>
      </c>
      <c r="Y59" s="89" t="str">
        <f t="shared" si="43"/>
        <v>ok</v>
      </c>
      <c r="Z59" s="89" t="str">
        <f t="shared" si="43"/>
        <v>ok</v>
      </c>
      <c r="AA59" s="89" t="str">
        <f t="shared" si="43"/>
        <v>ok</v>
      </c>
      <c r="AB59" s="89" t="str">
        <f t="shared" si="43"/>
        <v>ok</v>
      </c>
      <c r="AC59" s="89" t="str">
        <f t="shared" si="43"/>
        <v>ok</v>
      </c>
      <c r="AD59" s="89" t="str">
        <f t="shared" si="43"/>
        <v>ok</v>
      </c>
      <c r="AE59" s="89" t="str">
        <f t="shared" si="43"/>
        <v>ok</v>
      </c>
      <c r="AF59" s="89" t="str">
        <f t="shared" si="43"/>
        <v>ok</v>
      </c>
      <c r="AG59" s="89" t="str">
        <f t="shared" si="43"/>
        <v>ok</v>
      </c>
      <c r="AH59" s="89" t="str">
        <f t="shared" si="43"/>
        <v>ok</v>
      </c>
      <c r="AI59" s="89" t="str">
        <f t="shared" ref="AI59:BN59" si="44">IF(AI6+AI7+AI51=AI52,"ok","エラー")</f>
        <v>ok</v>
      </c>
      <c r="AJ59" s="89" t="str">
        <f t="shared" si="44"/>
        <v>ok</v>
      </c>
      <c r="AK59" s="89" t="str">
        <f t="shared" si="44"/>
        <v>ok</v>
      </c>
      <c r="AL59" s="89" t="str">
        <f t="shared" si="44"/>
        <v>ok</v>
      </c>
      <c r="AM59" s="89" t="str">
        <f t="shared" si="44"/>
        <v>ok</v>
      </c>
      <c r="AN59" s="89" t="str">
        <f t="shared" si="44"/>
        <v>ok</v>
      </c>
      <c r="AO59" s="89" t="str">
        <f t="shared" si="44"/>
        <v>ok</v>
      </c>
      <c r="AP59" s="89" t="str">
        <f t="shared" si="44"/>
        <v>ok</v>
      </c>
      <c r="AQ59" s="89" t="str">
        <f t="shared" si="44"/>
        <v>ok</v>
      </c>
      <c r="AR59" s="89" t="str">
        <f t="shared" si="44"/>
        <v>ok</v>
      </c>
      <c r="AS59" s="89" t="str">
        <f t="shared" si="44"/>
        <v>ok</v>
      </c>
      <c r="AT59" s="89" t="str">
        <f t="shared" si="44"/>
        <v>ok</v>
      </c>
      <c r="AU59" s="89" t="str">
        <f t="shared" si="44"/>
        <v>ok</v>
      </c>
      <c r="AV59" s="89" t="str">
        <f t="shared" si="44"/>
        <v>ok</v>
      </c>
      <c r="AW59" s="89" t="str">
        <f t="shared" si="44"/>
        <v>ok</v>
      </c>
      <c r="AX59" s="89" t="str">
        <f t="shared" si="44"/>
        <v>ok</v>
      </c>
      <c r="AY59" s="89" t="str">
        <f t="shared" si="44"/>
        <v>ok</v>
      </c>
      <c r="AZ59" s="89" t="str">
        <f t="shared" si="44"/>
        <v>ok</v>
      </c>
      <c r="BA59" s="89" t="str">
        <f t="shared" si="44"/>
        <v>ok</v>
      </c>
      <c r="BB59" s="89" t="str">
        <f t="shared" si="44"/>
        <v>ok</v>
      </c>
      <c r="BC59" s="89" t="str">
        <f t="shared" si="44"/>
        <v>ok</v>
      </c>
      <c r="BD59" s="89" t="str">
        <f t="shared" si="44"/>
        <v>ok</v>
      </c>
      <c r="BE59" s="89" t="str">
        <f t="shared" si="44"/>
        <v>ok</v>
      </c>
      <c r="BF59" s="89" t="str">
        <f t="shared" si="44"/>
        <v>ok</v>
      </c>
      <c r="BG59" s="89" t="str">
        <f t="shared" si="44"/>
        <v>ok</v>
      </c>
      <c r="BH59" s="89" t="str">
        <f t="shared" si="44"/>
        <v>ok</v>
      </c>
      <c r="BI59" s="89" t="str">
        <f t="shared" si="44"/>
        <v>ok</v>
      </c>
      <c r="BJ59" s="89" t="str">
        <f t="shared" si="44"/>
        <v>ok</v>
      </c>
      <c r="BK59" s="89" t="str">
        <f t="shared" si="44"/>
        <v>ok</v>
      </c>
      <c r="BL59" s="89" t="str">
        <f t="shared" si="44"/>
        <v>ok</v>
      </c>
      <c r="BM59" s="89" t="str">
        <f t="shared" si="44"/>
        <v>ok</v>
      </c>
      <c r="BN59" s="89" t="str">
        <f t="shared" si="44"/>
        <v>ok</v>
      </c>
      <c r="BO59" s="89" t="str">
        <f t="shared" ref="BO59:CJ59" si="45">IF(BO6+BO7+BO51=BO52,"ok","エラー")</f>
        <v>ok</v>
      </c>
      <c r="BP59" s="89" t="str">
        <f t="shared" si="45"/>
        <v>ok</v>
      </c>
      <c r="BQ59" s="89" t="str">
        <f t="shared" si="45"/>
        <v>ok</v>
      </c>
      <c r="BR59" s="89" t="str">
        <f t="shared" si="45"/>
        <v>ok</v>
      </c>
      <c r="BS59" s="89" t="str">
        <f t="shared" si="45"/>
        <v>ok</v>
      </c>
      <c r="BT59" s="89" t="str">
        <f t="shared" si="45"/>
        <v>ok</v>
      </c>
      <c r="BU59" s="89" t="str">
        <f t="shared" si="45"/>
        <v>ok</v>
      </c>
      <c r="BV59" s="89" t="str">
        <f t="shared" si="45"/>
        <v>ok</v>
      </c>
      <c r="BW59" s="89" t="str">
        <f t="shared" si="45"/>
        <v>ok</v>
      </c>
      <c r="BX59" s="89" t="str">
        <f t="shared" si="45"/>
        <v>ok</v>
      </c>
      <c r="BY59" s="89" t="str">
        <f t="shared" si="45"/>
        <v>ok</v>
      </c>
      <c r="BZ59" s="89" t="str">
        <f t="shared" si="45"/>
        <v>ok</v>
      </c>
      <c r="CA59" s="89" t="str">
        <f t="shared" si="45"/>
        <v>ok</v>
      </c>
      <c r="CB59" s="89" t="str">
        <f t="shared" si="45"/>
        <v>ok</v>
      </c>
      <c r="CC59" s="89" t="str">
        <f t="shared" si="45"/>
        <v>ok</v>
      </c>
      <c r="CD59" s="89" t="str">
        <f t="shared" si="45"/>
        <v>ok</v>
      </c>
      <c r="CE59" s="89" t="str">
        <f t="shared" si="45"/>
        <v>ok</v>
      </c>
      <c r="CF59" s="89" t="str">
        <f t="shared" si="45"/>
        <v>ok</v>
      </c>
      <c r="CG59" s="89" t="str">
        <f t="shared" si="45"/>
        <v>ok</v>
      </c>
      <c r="CH59" s="89" t="str">
        <f t="shared" si="45"/>
        <v>ok</v>
      </c>
      <c r="CI59" s="89" t="str">
        <f t="shared" si="45"/>
        <v>ok</v>
      </c>
      <c r="CJ59" s="89" t="str">
        <f t="shared" si="45"/>
        <v>ok</v>
      </c>
      <c r="CK59" s="84"/>
      <c r="CL59" s="89" t="str">
        <f t="shared" ref="CL59:DQ59" si="46">IF(CL6+CL7+CL51=CL52,"ok","エラー")</f>
        <v>ok</v>
      </c>
      <c r="CM59" s="89" t="str">
        <f t="shared" si="46"/>
        <v>ok</v>
      </c>
      <c r="CN59" s="89" t="str">
        <f t="shared" si="46"/>
        <v>ok</v>
      </c>
      <c r="CO59" s="89" t="str">
        <f t="shared" si="46"/>
        <v>ok</v>
      </c>
      <c r="CP59" s="89" t="str">
        <f t="shared" si="46"/>
        <v>ok</v>
      </c>
      <c r="CQ59" s="89" t="str">
        <f t="shared" si="46"/>
        <v>ok</v>
      </c>
      <c r="CR59" s="89" t="str">
        <f t="shared" si="46"/>
        <v>ok</v>
      </c>
      <c r="CS59" s="89" t="str">
        <f t="shared" si="46"/>
        <v>ok</v>
      </c>
      <c r="CT59" s="89" t="str">
        <f t="shared" si="46"/>
        <v>ok</v>
      </c>
      <c r="CU59" s="89" t="str">
        <f t="shared" si="46"/>
        <v>ok</v>
      </c>
      <c r="CV59" s="89" t="str">
        <f t="shared" si="46"/>
        <v>ok</v>
      </c>
      <c r="CW59" s="89" t="str">
        <f t="shared" si="46"/>
        <v>ok</v>
      </c>
      <c r="CX59" s="89" t="str">
        <f t="shared" si="46"/>
        <v>ok</v>
      </c>
      <c r="CY59" s="89" t="str">
        <f t="shared" si="46"/>
        <v>ok</v>
      </c>
      <c r="CZ59" s="89" t="str">
        <f t="shared" si="46"/>
        <v>ok</v>
      </c>
      <c r="DA59" s="89" t="str">
        <f t="shared" si="46"/>
        <v>ok</v>
      </c>
      <c r="DB59" s="89" t="str">
        <f t="shared" si="46"/>
        <v>ok</v>
      </c>
      <c r="DC59" s="89" t="str">
        <f t="shared" si="46"/>
        <v>ok</v>
      </c>
      <c r="DD59" s="89" t="str">
        <f t="shared" si="46"/>
        <v>ok</v>
      </c>
      <c r="DE59" s="89" t="str">
        <f t="shared" si="46"/>
        <v>ok</v>
      </c>
      <c r="DF59" s="89" t="str">
        <f t="shared" si="46"/>
        <v>ok</v>
      </c>
      <c r="DG59" s="89" t="str">
        <f t="shared" si="46"/>
        <v>ok</v>
      </c>
      <c r="DH59" s="89" t="str">
        <f t="shared" si="46"/>
        <v>ok</v>
      </c>
      <c r="DI59" s="89" t="str">
        <f t="shared" si="46"/>
        <v>ok</v>
      </c>
      <c r="DJ59" s="89" t="str">
        <f t="shared" si="46"/>
        <v>ok</v>
      </c>
      <c r="DK59" s="89" t="str">
        <f t="shared" si="46"/>
        <v>ok</v>
      </c>
      <c r="DL59" s="89" t="str">
        <f t="shared" si="46"/>
        <v>ok</v>
      </c>
      <c r="DM59" s="89" t="str">
        <f t="shared" si="46"/>
        <v>ok</v>
      </c>
      <c r="DN59" s="89" t="str">
        <f t="shared" si="46"/>
        <v>ok</v>
      </c>
      <c r="DO59" s="89" t="str">
        <f t="shared" si="46"/>
        <v>ok</v>
      </c>
      <c r="DP59" s="89" t="str">
        <f t="shared" si="46"/>
        <v>ok</v>
      </c>
      <c r="DQ59" s="89" t="str">
        <f t="shared" si="46"/>
        <v>ok</v>
      </c>
      <c r="DR59" s="89" t="str">
        <f t="shared" ref="DR59:EW59" si="47">IF(DR6+DR7+DR51=DR52,"ok","エラー")</f>
        <v>ok</v>
      </c>
      <c r="DS59" s="89" t="str">
        <f t="shared" si="47"/>
        <v>ok</v>
      </c>
      <c r="DT59" s="89" t="str">
        <f t="shared" si="47"/>
        <v>ok</v>
      </c>
      <c r="DU59" s="89" t="str">
        <f t="shared" si="47"/>
        <v>ok</v>
      </c>
      <c r="DV59" s="89" t="str">
        <f t="shared" si="47"/>
        <v>ok</v>
      </c>
      <c r="DW59" s="89" t="str">
        <f t="shared" si="47"/>
        <v>ok</v>
      </c>
      <c r="DX59" s="89" t="str">
        <f t="shared" si="47"/>
        <v>ok</v>
      </c>
      <c r="DY59" s="89" t="str">
        <f t="shared" si="47"/>
        <v>ok</v>
      </c>
      <c r="DZ59" s="89" t="str">
        <f t="shared" si="47"/>
        <v>ok</v>
      </c>
      <c r="EA59" s="89" t="str">
        <f t="shared" si="47"/>
        <v>ok</v>
      </c>
      <c r="EB59" s="89" t="str">
        <f t="shared" si="47"/>
        <v>ok</v>
      </c>
      <c r="EC59" s="89" t="str">
        <f t="shared" si="47"/>
        <v>ok</v>
      </c>
      <c r="ED59" s="89" t="str">
        <f t="shared" si="47"/>
        <v>ok</v>
      </c>
      <c r="EE59" s="89" t="str">
        <f t="shared" si="47"/>
        <v>ok</v>
      </c>
      <c r="EF59" s="89" t="str">
        <f t="shared" si="47"/>
        <v>ok</v>
      </c>
      <c r="EG59" s="89" t="str">
        <f t="shared" si="47"/>
        <v>ok</v>
      </c>
      <c r="EH59" s="89" t="str">
        <f t="shared" si="47"/>
        <v>ok</v>
      </c>
      <c r="EI59" s="89" t="str">
        <f t="shared" si="47"/>
        <v>ok</v>
      </c>
      <c r="EJ59" s="89" t="str">
        <f t="shared" si="47"/>
        <v>ok</v>
      </c>
      <c r="EK59" s="89" t="str">
        <f t="shared" si="47"/>
        <v>ok</v>
      </c>
      <c r="EL59" s="89" t="str">
        <f t="shared" si="47"/>
        <v>ok</v>
      </c>
      <c r="EM59" s="89" t="str">
        <f t="shared" si="47"/>
        <v>ok</v>
      </c>
      <c r="EN59" s="89" t="str">
        <f t="shared" si="47"/>
        <v>ok</v>
      </c>
      <c r="EO59" s="89" t="str">
        <f t="shared" si="47"/>
        <v>ok</v>
      </c>
      <c r="EP59" s="89" t="str">
        <f t="shared" si="47"/>
        <v>ok</v>
      </c>
      <c r="EQ59" s="89" t="str">
        <f t="shared" si="47"/>
        <v>ok</v>
      </c>
      <c r="ER59" s="89" t="str">
        <f t="shared" si="47"/>
        <v>ok</v>
      </c>
      <c r="ES59" s="89" t="str">
        <f t="shared" si="47"/>
        <v>ok</v>
      </c>
      <c r="ET59" s="89" t="str">
        <f t="shared" si="47"/>
        <v>ok</v>
      </c>
      <c r="EU59" s="89" t="str">
        <f t="shared" si="47"/>
        <v>ok</v>
      </c>
      <c r="EV59" s="89" t="str">
        <f t="shared" si="47"/>
        <v>ok</v>
      </c>
      <c r="EW59" s="89" t="str">
        <f t="shared" si="47"/>
        <v>ok</v>
      </c>
      <c r="EX59" s="89" t="str">
        <f t="shared" ref="EX59:FI59" si="48">IF(EX6+EX7+EX51=EX52,"ok","エラー")</f>
        <v>ok</v>
      </c>
      <c r="EY59" s="89" t="str">
        <f t="shared" si="48"/>
        <v>ok</v>
      </c>
      <c r="EZ59" s="89" t="str">
        <f t="shared" si="48"/>
        <v>ok</v>
      </c>
      <c r="FA59" s="89" t="str">
        <f t="shared" si="48"/>
        <v>ok</v>
      </c>
      <c r="FB59" s="89" t="str">
        <f t="shared" si="48"/>
        <v>ok</v>
      </c>
      <c r="FC59" s="89" t="str">
        <f t="shared" si="48"/>
        <v>ok</v>
      </c>
      <c r="FD59" s="89" t="str">
        <f t="shared" si="48"/>
        <v>ok</v>
      </c>
      <c r="FE59" s="89" t="str">
        <f t="shared" si="48"/>
        <v>ok</v>
      </c>
      <c r="FF59" s="89" t="str">
        <f t="shared" si="48"/>
        <v>ok</v>
      </c>
      <c r="FG59" s="89" t="str">
        <f t="shared" si="48"/>
        <v>ok</v>
      </c>
      <c r="FH59" s="89" t="str">
        <f t="shared" si="48"/>
        <v>ok</v>
      </c>
      <c r="FI59" s="89" t="str">
        <f t="shared" si="48"/>
        <v>ok</v>
      </c>
      <c r="FK59" s="89" t="str">
        <f>IF(FK6+FK7+FK51=FK52,"ok","エラー")</f>
        <v>ok</v>
      </c>
      <c r="FL59" s="89" t="str">
        <f>IF(FL6+FL7+FL51=FL52,"ok","エラー")</f>
        <v>ok</v>
      </c>
      <c r="FM59" s="89" t="str">
        <f>IF(FM6+FM7+FM51=FM52,"ok","エラー")</f>
        <v>ok</v>
      </c>
      <c r="FN59" s="89" t="str">
        <f>IF(FN6+FN7+FN51=FN52,"ok","エラー")</f>
        <v>ok</v>
      </c>
      <c r="FX59" s="89" t="str">
        <f>IF(FX6+FX7+FX51=FX52,"ok","エラー")</f>
        <v>ok</v>
      </c>
      <c r="FZ59" s="89" t="str">
        <f>IF(FZ6+FZ7+FZ51=FZ52,"ok","エラー")</f>
        <v>ok</v>
      </c>
      <c r="GA59" s="89" t="str">
        <f>IF(GA6+GA7+GA51=GA52,"ok","エラー")</f>
        <v>ok</v>
      </c>
      <c r="GB59" s="89" t="str">
        <f>IF(GB6+GB7+GB51=GB52,"ok","エラー")</f>
        <v>ok</v>
      </c>
      <c r="GC59" s="89" t="str">
        <f>IF(GC6+GC7+GC51=GC52,"ok","エラー")</f>
        <v>ok</v>
      </c>
      <c r="GD59" s="89" t="str">
        <f>IF(GD6+GD7+GD51=GD52,"ok","エラー")</f>
        <v>ok</v>
      </c>
      <c r="GE59" s="89" t="str">
        <f>IF(GE40+GE51=GE52,"ok","エラー")</f>
        <v>ok</v>
      </c>
      <c r="GJ59" s="89" t="str">
        <f>IF(GJ6+GJ7+GJ51=GJ52,"ok","エラー")</f>
        <v>ok</v>
      </c>
    </row>
    <row r="66" spans="144:145" x14ac:dyDescent="0.15">
      <c r="EN66" s="421"/>
      <c r="EO66" s="422"/>
    </row>
    <row r="67" spans="144:145" x14ac:dyDescent="0.15">
      <c r="EN67" s="421"/>
      <c r="EO67" s="422"/>
    </row>
    <row r="68" spans="144:145" x14ac:dyDescent="0.15">
      <c r="EN68" s="421"/>
      <c r="EO68" s="422"/>
    </row>
    <row r="69" spans="144:145" x14ac:dyDescent="0.15">
      <c r="EN69" s="421"/>
      <c r="EO69" s="422"/>
    </row>
    <row r="70" spans="144:145" x14ac:dyDescent="0.15">
      <c r="EN70" s="421"/>
      <c r="EO70" s="422"/>
    </row>
    <row r="71" spans="144:145" x14ac:dyDescent="0.15">
      <c r="EN71" s="421"/>
      <c r="EO71" s="422"/>
    </row>
    <row r="72" spans="144:145" x14ac:dyDescent="0.15">
      <c r="EN72" s="421"/>
      <c r="EO72" s="422"/>
    </row>
    <row r="73" spans="144:145" x14ac:dyDescent="0.15">
      <c r="EN73" s="421"/>
      <c r="EO73" s="422"/>
    </row>
    <row r="74" spans="144:145" x14ac:dyDescent="0.15">
      <c r="EN74" s="421"/>
      <c r="EO74" s="422"/>
    </row>
    <row r="75" spans="144:145" x14ac:dyDescent="0.15">
      <c r="EN75" s="421"/>
      <c r="EO75" s="422"/>
    </row>
    <row r="76" spans="144:145" x14ac:dyDescent="0.15">
      <c r="EN76" s="421"/>
      <c r="EO76" s="422"/>
    </row>
    <row r="77" spans="144:145" x14ac:dyDescent="0.15">
      <c r="EN77" s="421"/>
      <c r="EO77" s="422"/>
    </row>
    <row r="78" spans="144:145" x14ac:dyDescent="0.15">
      <c r="EN78" s="421"/>
      <c r="EO78" s="422"/>
    </row>
    <row r="79" spans="144:145" x14ac:dyDescent="0.15">
      <c r="EN79" s="421"/>
      <c r="EO79" s="422"/>
    </row>
    <row r="80" spans="144:145" x14ac:dyDescent="0.15">
      <c r="EN80" s="421"/>
      <c r="EO80" s="422"/>
    </row>
    <row r="81" spans="144:145" x14ac:dyDescent="0.15">
      <c r="EN81" s="421"/>
      <c r="EO81" s="422"/>
    </row>
    <row r="82" spans="144:145" x14ac:dyDescent="0.15">
      <c r="EN82" s="421"/>
      <c r="EO82" s="422"/>
    </row>
    <row r="83" spans="144:145" x14ac:dyDescent="0.15">
      <c r="EN83" s="421"/>
      <c r="EO83" s="422"/>
    </row>
    <row r="84" spans="144:145" x14ac:dyDescent="0.15">
      <c r="EN84" s="421"/>
      <c r="EO84" s="422"/>
    </row>
    <row r="85" spans="144:145" x14ac:dyDescent="0.15">
      <c r="EN85" s="421"/>
      <c r="EO85" s="422"/>
    </row>
    <row r="86" spans="144:145" x14ac:dyDescent="0.15">
      <c r="EN86" s="421"/>
      <c r="EO86" s="422"/>
    </row>
    <row r="87" spans="144:145" x14ac:dyDescent="0.15">
      <c r="EN87" s="421"/>
      <c r="EO87" s="422"/>
    </row>
    <row r="88" spans="144:145" x14ac:dyDescent="0.15">
      <c r="EN88" s="421"/>
      <c r="EO88" s="422"/>
    </row>
    <row r="89" spans="144:145" x14ac:dyDescent="0.15">
      <c r="EN89" s="421"/>
      <c r="EO89" s="422"/>
    </row>
    <row r="90" spans="144:145" x14ac:dyDescent="0.15">
      <c r="EN90" s="421"/>
      <c r="EO90" s="422"/>
    </row>
    <row r="91" spans="144:145" x14ac:dyDescent="0.15">
      <c r="EN91" s="421"/>
      <c r="EO91" s="422"/>
    </row>
    <row r="92" spans="144:145" x14ac:dyDescent="0.15">
      <c r="EN92" s="421"/>
      <c r="EO92" s="422"/>
    </row>
    <row r="93" spans="144:145" x14ac:dyDescent="0.15">
      <c r="EN93" s="421"/>
      <c r="EO93" s="422"/>
    </row>
    <row r="94" spans="144:145" x14ac:dyDescent="0.15">
      <c r="EN94" s="421"/>
      <c r="EO94" s="422"/>
    </row>
    <row r="95" spans="144:145" x14ac:dyDescent="0.15">
      <c r="EN95" s="421"/>
      <c r="EO95" s="422"/>
    </row>
    <row r="96" spans="144:145" x14ac:dyDescent="0.15">
      <c r="EN96" s="421"/>
      <c r="EO96" s="422"/>
    </row>
    <row r="97" spans="144:145" x14ac:dyDescent="0.15">
      <c r="EN97" s="421"/>
      <c r="EO97" s="422"/>
    </row>
    <row r="98" spans="144:145" x14ac:dyDescent="0.15">
      <c r="EN98" s="421"/>
      <c r="EO98" s="422"/>
    </row>
    <row r="99" spans="144:145" x14ac:dyDescent="0.15">
      <c r="EN99" s="421"/>
      <c r="EO99" s="422"/>
    </row>
    <row r="100" spans="144:145" x14ac:dyDescent="0.15">
      <c r="EN100" s="421"/>
      <c r="EO100" s="422"/>
    </row>
    <row r="101" spans="144:145" x14ac:dyDescent="0.15">
      <c r="EN101" s="421"/>
      <c r="EO101" s="422"/>
    </row>
    <row r="102" spans="144:145" x14ac:dyDescent="0.15">
      <c r="EN102" s="421"/>
      <c r="EO102" s="422"/>
    </row>
    <row r="103" spans="144:145" x14ac:dyDescent="0.15">
      <c r="EN103" s="421"/>
      <c r="EO103" s="422"/>
    </row>
    <row r="104" spans="144:145" x14ac:dyDescent="0.15">
      <c r="EN104" s="421"/>
      <c r="EO104" s="422"/>
    </row>
    <row r="105" spans="144:145" x14ac:dyDescent="0.15">
      <c r="EN105" s="421"/>
      <c r="EO105" s="422"/>
    </row>
    <row r="106" spans="144:145" x14ac:dyDescent="0.15">
      <c r="EN106" s="421"/>
      <c r="EO106" s="422"/>
    </row>
  </sheetData>
  <mergeCells count="3">
    <mergeCell ref="FP2:FV2"/>
    <mergeCell ref="GK2:GU2"/>
    <mergeCell ref="GG2:GI2"/>
  </mergeCells>
  <phoneticPr fontId="3"/>
  <pageMargins left="0.59055118110236227" right="0.59055118110236227" top="0.98425196850393704" bottom="0.98425196850393704" header="0.51181102362204722" footer="0.51181102362204722"/>
  <pageSetup paperSize="9" fitToWidth="0" orientation="portrait" r:id="rId1"/>
  <colBreaks count="1" manualBreakCount="1">
    <brk id="188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4">
    <tabColor indexed="15"/>
    <pageSetUpPr fitToPage="1"/>
  </sheetPr>
  <dimension ref="A1:HV106"/>
  <sheetViews>
    <sheetView view="pageBreakPreview" zoomScaleNormal="90" zoomScaleSheetLayoutView="100" workbookViewId="0">
      <pane xSplit="2" ySplit="5" topLeftCell="GE6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13.10937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12.33203125" style="174" bestFit="1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62" customWidth="1"/>
    <col min="192" max="192" width="8.5546875" style="174" bestFit="1" customWidth="1"/>
    <col min="193" max="193" width="10.33203125" style="174" bestFit="1" customWidth="1"/>
    <col min="194" max="194" width="8.5546875" style="174" bestFit="1" customWidth="1"/>
    <col min="195" max="195" width="9.6640625" style="174" bestFit="1" customWidth="1"/>
    <col min="196" max="196" width="10.33203125" style="174" bestFit="1" customWidth="1"/>
    <col min="197" max="197" width="8.5546875" style="174" bestFit="1" customWidth="1"/>
    <col min="198" max="198" width="11.88671875" style="174" bestFit="1" customWidth="1"/>
    <col min="199" max="199" width="10.33203125" style="174" bestFit="1" customWidth="1"/>
    <col min="200" max="200" width="8.5546875" style="174" bestFit="1" customWidth="1"/>
    <col min="201" max="201" width="9.6640625" style="174" bestFit="1" customWidth="1"/>
    <col min="202" max="202" width="10.33203125" style="174" bestFit="1" customWidth="1"/>
    <col min="203" max="230" width="13.6640625" style="174" customWidth="1"/>
  </cols>
  <sheetData>
    <row r="1" spans="2:230" x14ac:dyDescent="0.15">
      <c r="B1" s="98">
        <v>1</v>
      </c>
      <c r="C1" s="98">
        <v>2</v>
      </c>
      <c r="D1" s="98">
        <v>3</v>
      </c>
      <c r="E1" s="98">
        <v>4</v>
      </c>
      <c r="F1" s="98">
        <v>5</v>
      </c>
      <c r="G1" s="98">
        <v>6</v>
      </c>
      <c r="H1" s="98">
        <v>7</v>
      </c>
      <c r="I1" s="98">
        <v>8</v>
      </c>
      <c r="J1" s="98">
        <v>9</v>
      </c>
      <c r="K1" s="98">
        <v>10</v>
      </c>
      <c r="L1" s="98">
        <v>11</v>
      </c>
      <c r="M1" s="98">
        <v>12</v>
      </c>
      <c r="N1" s="98">
        <v>13</v>
      </c>
      <c r="O1" s="98">
        <v>14</v>
      </c>
      <c r="P1" s="98">
        <v>15</v>
      </c>
      <c r="Q1" s="98">
        <v>16</v>
      </c>
      <c r="R1" s="98">
        <v>17</v>
      </c>
      <c r="S1" s="98">
        <v>18</v>
      </c>
      <c r="T1" s="98">
        <v>19</v>
      </c>
      <c r="U1" s="98">
        <v>20</v>
      </c>
      <c r="V1" s="98">
        <v>21</v>
      </c>
      <c r="W1" s="98">
        <v>22</v>
      </c>
      <c r="X1" s="98">
        <v>23</v>
      </c>
      <c r="Y1" s="98">
        <v>24</v>
      </c>
      <c r="Z1" s="98">
        <v>25</v>
      </c>
      <c r="AA1" s="98">
        <v>26</v>
      </c>
      <c r="AB1" s="98">
        <v>27</v>
      </c>
      <c r="AC1" s="98">
        <v>28</v>
      </c>
      <c r="AD1" s="98">
        <v>29</v>
      </c>
      <c r="AE1" s="98">
        <v>30</v>
      </c>
      <c r="AF1" s="98">
        <v>31</v>
      </c>
      <c r="AG1" s="98">
        <v>32</v>
      </c>
      <c r="AH1" s="98">
        <v>33</v>
      </c>
      <c r="AI1" s="98">
        <v>34</v>
      </c>
      <c r="AJ1" s="98">
        <v>35</v>
      </c>
      <c r="AK1" s="98">
        <v>36</v>
      </c>
      <c r="AL1" s="98">
        <v>37</v>
      </c>
      <c r="AM1" s="98">
        <v>38</v>
      </c>
      <c r="AN1" s="98">
        <v>39</v>
      </c>
      <c r="AO1" s="98">
        <v>40</v>
      </c>
      <c r="AP1" s="98">
        <v>41</v>
      </c>
      <c r="AQ1" s="98">
        <v>42</v>
      </c>
      <c r="AR1" s="98">
        <v>43</v>
      </c>
      <c r="AS1" s="98">
        <v>44</v>
      </c>
      <c r="AT1" s="98">
        <v>45</v>
      </c>
      <c r="AU1" s="98">
        <v>46</v>
      </c>
      <c r="AV1" s="98">
        <v>47</v>
      </c>
      <c r="AW1" s="98">
        <v>48</v>
      </c>
      <c r="AX1" s="98">
        <v>49</v>
      </c>
      <c r="AY1" s="98">
        <v>50</v>
      </c>
      <c r="AZ1" s="98">
        <v>51</v>
      </c>
      <c r="BA1" s="98">
        <v>52</v>
      </c>
      <c r="BB1" s="98">
        <v>53</v>
      </c>
      <c r="BC1" s="98">
        <v>54</v>
      </c>
      <c r="BD1" s="98">
        <v>55</v>
      </c>
      <c r="BE1" s="98">
        <v>56</v>
      </c>
      <c r="BF1" s="98">
        <v>57</v>
      </c>
      <c r="BG1" s="98">
        <v>58</v>
      </c>
      <c r="BH1" s="98">
        <v>59</v>
      </c>
      <c r="BI1" s="98">
        <v>60</v>
      </c>
      <c r="BJ1" s="98">
        <v>61</v>
      </c>
      <c r="BK1" s="98">
        <v>62</v>
      </c>
      <c r="BL1" s="98">
        <v>63</v>
      </c>
      <c r="BM1" s="98">
        <v>64</v>
      </c>
      <c r="BN1" s="98">
        <v>65</v>
      </c>
      <c r="BO1" s="98">
        <v>66</v>
      </c>
      <c r="BP1" s="98">
        <v>67</v>
      </c>
      <c r="BQ1" s="98">
        <v>68</v>
      </c>
      <c r="BR1" s="98">
        <v>69</v>
      </c>
      <c r="BS1" s="98">
        <v>70</v>
      </c>
      <c r="BT1" s="98">
        <v>71</v>
      </c>
      <c r="BU1" s="98">
        <v>72</v>
      </c>
      <c r="BV1" s="98">
        <v>73</v>
      </c>
      <c r="BW1" s="98">
        <v>74</v>
      </c>
      <c r="BX1" s="98">
        <v>75</v>
      </c>
      <c r="BY1" s="98">
        <v>76</v>
      </c>
      <c r="BZ1" s="98">
        <v>77</v>
      </c>
      <c r="CA1" s="98">
        <v>78</v>
      </c>
      <c r="CB1" s="98">
        <v>79</v>
      </c>
      <c r="CC1" s="98">
        <v>80</v>
      </c>
      <c r="CD1" s="98">
        <v>81</v>
      </c>
      <c r="CE1" s="98">
        <v>82</v>
      </c>
      <c r="CF1" s="98">
        <v>83</v>
      </c>
      <c r="CG1" s="98">
        <v>84</v>
      </c>
      <c r="CH1" s="98">
        <v>85</v>
      </c>
      <c r="CI1" s="98">
        <v>86</v>
      </c>
      <c r="CJ1" s="98">
        <v>87</v>
      </c>
      <c r="CK1" s="98">
        <v>88</v>
      </c>
      <c r="CL1" s="98">
        <v>89</v>
      </c>
      <c r="CM1" s="98">
        <v>90</v>
      </c>
      <c r="CN1" s="98">
        <v>91</v>
      </c>
      <c r="CO1" s="98">
        <v>92</v>
      </c>
      <c r="CP1" s="98">
        <v>93</v>
      </c>
      <c r="CQ1" s="98">
        <v>94</v>
      </c>
      <c r="CR1" s="98">
        <v>95</v>
      </c>
      <c r="CS1" s="98">
        <v>96</v>
      </c>
      <c r="CT1" s="98">
        <v>97</v>
      </c>
      <c r="CU1" s="98">
        <v>98</v>
      </c>
      <c r="CV1" s="98">
        <v>99</v>
      </c>
      <c r="CW1" s="98">
        <v>100</v>
      </c>
      <c r="CX1" s="98">
        <v>101</v>
      </c>
      <c r="CY1" s="98">
        <v>102</v>
      </c>
      <c r="CZ1" s="98">
        <v>103</v>
      </c>
      <c r="DA1" s="98">
        <v>104</v>
      </c>
      <c r="DB1" s="98">
        <v>105</v>
      </c>
      <c r="DC1" s="98">
        <v>106</v>
      </c>
      <c r="DD1" s="98">
        <v>107</v>
      </c>
      <c r="DE1" s="98">
        <v>108</v>
      </c>
      <c r="DF1" s="98">
        <v>109</v>
      </c>
      <c r="DG1" s="98">
        <v>110</v>
      </c>
      <c r="DH1" s="98">
        <v>111</v>
      </c>
      <c r="DI1" s="98">
        <v>112</v>
      </c>
      <c r="DJ1" s="98">
        <v>113</v>
      </c>
      <c r="DK1" s="98">
        <v>114</v>
      </c>
      <c r="DL1" s="98">
        <v>115</v>
      </c>
      <c r="DM1" s="98">
        <v>116</v>
      </c>
      <c r="DN1" s="98">
        <v>117</v>
      </c>
      <c r="DO1" s="98">
        <v>118</v>
      </c>
      <c r="DP1" s="98">
        <v>119</v>
      </c>
      <c r="DQ1" s="98">
        <v>120</v>
      </c>
      <c r="DR1" s="98">
        <v>121</v>
      </c>
      <c r="DS1" s="98">
        <v>122</v>
      </c>
      <c r="DT1" s="98">
        <v>123</v>
      </c>
      <c r="DU1" s="98">
        <v>124</v>
      </c>
      <c r="DV1" s="98">
        <v>125</v>
      </c>
      <c r="DW1" s="98">
        <v>126</v>
      </c>
      <c r="DX1" s="98">
        <v>127</v>
      </c>
      <c r="DY1" s="98">
        <v>128</v>
      </c>
      <c r="DZ1" s="98">
        <v>129</v>
      </c>
      <c r="EA1" s="98">
        <v>130</v>
      </c>
      <c r="EB1" s="98">
        <v>131</v>
      </c>
      <c r="EC1" s="98">
        <v>132</v>
      </c>
      <c r="ED1" s="98">
        <v>133</v>
      </c>
      <c r="EE1" s="98">
        <v>134</v>
      </c>
      <c r="EF1" s="98">
        <v>135</v>
      </c>
      <c r="EG1" s="98">
        <v>136</v>
      </c>
      <c r="EH1" s="98">
        <v>137</v>
      </c>
      <c r="EI1" s="98">
        <v>138</v>
      </c>
      <c r="EJ1" s="98">
        <v>139</v>
      </c>
      <c r="EK1" s="98">
        <v>140</v>
      </c>
      <c r="EL1" s="98">
        <v>141</v>
      </c>
      <c r="EM1" s="98">
        <v>142</v>
      </c>
      <c r="EN1" s="98">
        <v>143</v>
      </c>
      <c r="EO1" s="98">
        <v>144</v>
      </c>
      <c r="EP1" s="98">
        <v>145</v>
      </c>
      <c r="EQ1" s="98">
        <v>146</v>
      </c>
      <c r="ER1" s="98">
        <v>147</v>
      </c>
      <c r="ES1" s="98">
        <v>148</v>
      </c>
      <c r="ET1" s="98">
        <v>149</v>
      </c>
      <c r="EU1" s="98">
        <v>150</v>
      </c>
      <c r="EV1" s="98">
        <v>151</v>
      </c>
      <c r="EW1" s="98">
        <v>152</v>
      </c>
      <c r="EX1" s="98">
        <v>153</v>
      </c>
      <c r="EY1" s="98">
        <v>154</v>
      </c>
      <c r="EZ1" s="98">
        <v>155</v>
      </c>
      <c r="FA1" s="98">
        <v>156</v>
      </c>
      <c r="FB1" s="98">
        <v>157</v>
      </c>
      <c r="FC1" s="98">
        <v>158</v>
      </c>
      <c r="FD1" s="98">
        <v>159</v>
      </c>
      <c r="FE1" s="98">
        <v>160</v>
      </c>
      <c r="FF1" s="98">
        <v>161</v>
      </c>
      <c r="FG1" s="98">
        <v>162</v>
      </c>
      <c r="FH1" s="98">
        <v>163</v>
      </c>
      <c r="FI1" s="98">
        <v>164</v>
      </c>
      <c r="FJ1" s="98">
        <v>165</v>
      </c>
      <c r="FK1" s="98">
        <v>166</v>
      </c>
      <c r="FL1" s="98">
        <v>167</v>
      </c>
      <c r="FM1" s="98">
        <v>168</v>
      </c>
      <c r="FN1" s="98">
        <v>169</v>
      </c>
      <c r="FO1" s="98">
        <v>170</v>
      </c>
      <c r="FP1" s="98">
        <v>171</v>
      </c>
      <c r="FQ1" s="98">
        <v>172</v>
      </c>
      <c r="FR1" s="98">
        <v>173</v>
      </c>
      <c r="FS1" s="98">
        <v>174</v>
      </c>
      <c r="FT1" s="98">
        <v>175</v>
      </c>
      <c r="FU1" s="98">
        <v>176</v>
      </c>
      <c r="FV1" s="98">
        <v>177</v>
      </c>
      <c r="FW1" s="98">
        <v>178</v>
      </c>
      <c r="FX1" s="98">
        <v>179</v>
      </c>
      <c r="FY1" s="98">
        <v>180</v>
      </c>
      <c r="FZ1" s="98">
        <v>181</v>
      </c>
      <c r="GA1" s="98">
        <v>182</v>
      </c>
      <c r="GB1" s="98">
        <v>183</v>
      </c>
      <c r="GC1" s="98">
        <v>184</v>
      </c>
      <c r="GD1" s="98">
        <v>185</v>
      </c>
      <c r="GE1" s="98">
        <v>186</v>
      </c>
      <c r="GF1" s="98">
        <v>187</v>
      </c>
      <c r="GG1" s="98">
        <v>188</v>
      </c>
      <c r="GH1" s="98">
        <v>189</v>
      </c>
      <c r="GI1" s="99">
        <v>190</v>
      </c>
      <c r="GJ1" s="98">
        <v>191</v>
      </c>
      <c r="GK1" s="98">
        <v>192</v>
      </c>
      <c r="GL1" s="98">
        <v>193</v>
      </c>
      <c r="GM1" s="98">
        <v>194</v>
      </c>
      <c r="GN1" s="98">
        <v>195</v>
      </c>
      <c r="GO1" s="98">
        <v>196</v>
      </c>
      <c r="GP1" s="98">
        <v>197</v>
      </c>
      <c r="GQ1" s="98">
        <v>198</v>
      </c>
      <c r="GR1" s="98">
        <v>199</v>
      </c>
      <c r="GS1" s="98">
        <v>200</v>
      </c>
      <c r="GT1" s="98">
        <v>201</v>
      </c>
    </row>
    <row r="2" spans="2:230" x14ac:dyDescent="0.15">
      <c r="C2" s="93" t="s">
        <v>338</v>
      </c>
      <c r="D2" s="94"/>
      <c r="E2" s="93" t="s">
        <v>339</v>
      </c>
      <c r="F2" s="93" t="s">
        <v>340</v>
      </c>
      <c r="G2" s="94"/>
      <c r="H2" s="93" t="s">
        <v>341</v>
      </c>
      <c r="I2" s="93" t="s">
        <v>342</v>
      </c>
      <c r="J2" s="93" t="s">
        <v>343</v>
      </c>
      <c r="K2" s="93" t="s">
        <v>344</v>
      </c>
      <c r="L2" s="93" t="s">
        <v>345</v>
      </c>
      <c r="M2" s="93" t="s">
        <v>346</v>
      </c>
      <c r="N2" s="93" t="s">
        <v>347</v>
      </c>
      <c r="O2" s="93" t="s">
        <v>348</v>
      </c>
      <c r="P2" s="93" t="s">
        <v>349</v>
      </c>
      <c r="Q2" s="93" t="s">
        <v>350</v>
      </c>
      <c r="R2" s="93" t="s">
        <v>351</v>
      </c>
      <c r="S2" s="93" t="s">
        <v>352</v>
      </c>
      <c r="T2" s="95"/>
      <c r="U2" s="93" t="s">
        <v>725</v>
      </c>
      <c r="V2" s="93" t="s">
        <v>354</v>
      </c>
      <c r="W2" s="93" t="s">
        <v>355</v>
      </c>
      <c r="X2" s="93" t="s">
        <v>357</v>
      </c>
      <c r="Y2" s="93" t="s">
        <v>653</v>
      </c>
      <c r="Z2" s="93" t="s">
        <v>358</v>
      </c>
      <c r="AA2" s="93" t="s">
        <v>359</v>
      </c>
      <c r="AB2" s="93" t="s">
        <v>361</v>
      </c>
      <c r="AC2" s="93" t="s">
        <v>654</v>
      </c>
      <c r="AD2" s="93" t="s">
        <v>665</v>
      </c>
      <c r="AE2" s="93" t="s">
        <v>726</v>
      </c>
      <c r="AF2" s="96" t="s">
        <v>363</v>
      </c>
      <c r="AG2" s="96" t="s">
        <v>364</v>
      </c>
      <c r="AH2" s="89"/>
      <c r="AI2" s="96" t="s">
        <v>684</v>
      </c>
      <c r="AJ2" s="96" t="s">
        <v>727</v>
      </c>
      <c r="AK2" s="96" t="s">
        <v>368</v>
      </c>
      <c r="AL2" s="29"/>
      <c r="AM2" s="96" t="s">
        <v>728</v>
      </c>
      <c r="AN2" s="96" t="s">
        <v>686</v>
      </c>
      <c r="AO2" s="96" t="s">
        <v>352</v>
      </c>
      <c r="AP2" s="96" t="s">
        <v>369</v>
      </c>
      <c r="AQ2" s="96" t="s">
        <v>371</v>
      </c>
      <c r="AR2" s="96" t="s">
        <v>372</v>
      </c>
      <c r="AS2" s="96" t="s">
        <v>729</v>
      </c>
      <c r="AT2" s="96" t="s">
        <v>376</v>
      </c>
      <c r="AU2" s="96" t="s">
        <v>377</v>
      </c>
      <c r="AV2" s="96" t="s">
        <v>378</v>
      </c>
      <c r="AW2" s="96" t="s">
        <v>688</v>
      </c>
      <c r="AX2" s="96" t="s">
        <v>380</v>
      </c>
      <c r="AY2" s="96" t="s">
        <v>381</v>
      </c>
      <c r="AZ2" s="96" t="s">
        <v>710</v>
      </c>
      <c r="BA2" s="96" t="s">
        <v>690</v>
      </c>
      <c r="BB2" s="96" t="s">
        <v>711</v>
      </c>
      <c r="BC2" s="96" t="s">
        <v>712</v>
      </c>
      <c r="BD2" s="96" t="s">
        <v>386</v>
      </c>
      <c r="BE2" s="96" t="s">
        <v>387</v>
      </c>
      <c r="BF2" s="96" t="s">
        <v>388</v>
      </c>
      <c r="BG2" s="96" t="s">
        <v>389</v>
      </c>
      <c r="BH2" s="96" t="s">
        <v>385</v>
      </c>
      <c r="BI2" s="96" t="s">
        <v>390</v>
      </c>
      <c r="BJ2" s="96" t="s">
        <v>693</v>
      </c>
      <c r="BK2" s="96" t="s">
        <v>713</v>
      </c>
      <c r="BL2" s="96" t="s">
        <v>393</v>
      </c>
      <c r="BM2" s="96" t="s">
        <v>714</v>
      </c>
      <c r="BN2" s="96" t="s">
        <v>715</v>
      </c>
      <c r="BO2" s="29"/>
      <c r="BP2" s="29"/>
      <c r="BQ2" s="96" t="s">
        <v>730</v>
      </c>
      <c r="BR2" s="96" t="s">
        <v>731</v>
      </c>
      <c r="BS2" s="96" t="s">
        <v>732</v>
      </c>
      <c r="BT2" s="96" t="s">
        <v>733</v>
      </c>
      <c r="BU2" s="96" t="s">
        <v>718</v>
      </c>
      <c r="BV2" s="89"/>
      <c r="BW2" s="96" t="s">
        <v>402</v>
      </c>
      <c r="BX2" s="96" t="s">
        <v>403</v>
      </c>
      <c r="BY2" s="96" t="s">
        <v>719</v>
      </c>
      <c r="BZ2" s="96" t="s">
        <v>405</v>
      </c>
      <c r="CA2" s="96" t="s">
        <v>406</v>
      </c>
      <c r="CB2" s="96" t="s">
        <v>407</v>
      </c>
      <c r="CC2" s="96" t="s">
        <v>408</v>
      </c>
      <c r="CD2" s="96" t="s">
        <v>409</v>
      </c>
      <c r="CE2" s="96" t="s">
        <v>410</v>
      </c>
      <c r="CF2" s="96" t="s">
        <v>411</v>
      </c>
      <c r="CG2" s="96" t="s">
        <v>412</v>
      </c>
      <c r="CH2" s="96" t="s">
        <v>413</v>
      </c>
      <c r="CI2" s="96" t="s">
        <v>414</v>
      </c>
      <c r="CJ2" s="81"/>
      <c r="CK2" s="96" t="s">
        <v>415</v>
      </c>
      <c r="CL2" s="96" t="s">
        <v>720</v>
      </c>
      <c r="CM2" s="96" t="s">
        <v>417</v>
      </c>
      <c r="CN2" s="96" t="s">
        <v>721</v>
      </c>
      <c r="CO2" s="96" t="s">
        <v>419</v>
      </c>
      <c r="CP2" s="96" t="s">
        <v>420</v>
      </c>
      <c r="CQ2" s="96" t="s">
        <v>421</v>
      </c>
      <c r="CR2" s="96" t="s">
        <v>422</v>
      </c>
      <c r="CS2" s="96" t="s">
        <v>423</v>
      </c>
      <c r="CT2" s="28"/>
      <c r="CU2" s="96" t="s">
        <v>424</v>
      </c>
      <c r="CV2" s="96" t="s">
        <v>425</v>
      </c>
      <c r="CW2" s="89"/>
      <c r="CX2" s="96" t="s">
        <v>426</v>
      </c>
      <c r="CY2" s="96" t="s">
        <v>427</v>
      </c>
      <c r="CZ2" s="89"/>
      <c r="DA2" s="96" t="s">
        <v>428</v>
      </c>
      <c r="DB2" s="96" t="s">
        <v>429</v>
      </c>
      <c r="DC2" s="96" t="s">
        <v>430</v>
      </c>
      <c r="DD2" s="96" t="s">
        <v>431</v>
      </c>
      <c r="DE2" s="96" t="s">
        <v>432</v>
      </c>
      <c r="DF2" s="96" t="s">
        <v>433</v>
      </c>
      <c r="DG2" s="96" t="s">
        <v>434</v>
      </c>
      <c r="DH2" s="96" t="s">
        <v>435</v>
      </c>
      <c r="DI2" s="96" t="s">
        <v>436</v>
      </c>
      <c r="DJ2" s="96" t="s">
        <v>437</v>
      </c>
      <c r="DK2" s="96" t="s">
        <v>438</v>
      </c>
      <c r="DL2" s="96" t="s">
        <v>439</v>
      </c>
      <c r="DM2" s="96" t="s">
        <v>440</v>
      </c>
      <c r="DN2" s="96" t="s">
        <v>441</v>
      </c>
      <c r="DO2" s="96" t="s">
        <v>442</v>
      </c>
      <c r="DP2" s="96" t="s">
        <v>443</v>
      </c>
      <c r="DQ2" s="96" t="s">
        <v>444</v>
      </c>
      <c r="DR2" s="96" t="s">
        <v>445</v>
      </c>
      <c r="DS2" s="96" t="s">
        <v>446</v>
      </c>
      <c r="DT2" s="96" t="s">
        <v>447</v>
      </c>
      <c r="DU2" s="96" t="s">
        <v>448</v>
      </c>
      <c r="DV2" s="89"/>
      <c r="DW2" s="96" t="s">
        <v>449</v>
      </c>
      <c r="DX2" s="173" t="s">
        <v>450</v>
      </c>
      <c r="DY2" s="96" t="s">
        <v>451</v>
      </c>
      <c r="DZ2" s="96" t="s">
        <v>452</v>
      </c>
      <c r="EA2" s="96" t="s">
        <v>453</v>
      </c>
      <c r="EB2" s="96" t="s">
        <v>454</v>
      </c>
      <c r="EC2" s="96" t="s">
        <v>455</v>
      </c>
      <c r="ED2" s="96" t="s">
        <v>456</v>
      </c>
      <c r="EE2" s="89"/>
      <c r="EF2" s="96" t="s">
        <v>457</v>
      </c>
      <c r="EG2" s="96" t="s">
        <v>458</v>
      </c>
      <c r="EH2" s="96" t="s">
        <v>459</v>
      </c>
      <c r="EI2" s="96" t="s">
        <v>460</v>
      </c>
      <c r="EJ2" s="96" t="s">
        <v>461</v>
      </c>
      <c r="EK2" s="89"/>
      <c r="EL2" s="89"/>
      <c r="EM2" s="97" t="s">
        <v>699</v>
      </c>
      <c r="EN2" s="96" t="s">
        <v>464</v>
      </c>
      <c r="EO2" s="96" t="s">
        <v>465</v>
      </c>
      <c r="EP2" s="89"/>
      <c r="EQ2" s="96" t="s">
        <v>466</v>
      </c>
      <c r="ER2" s="96" t="s">
        <v>467</v>
      </c>
      <c r="ES2" s="96" t="s">
        <v>468</v>
      </c>
      <c r="ET2" s="96" t="s">
        <v>469</v>
      </c>
      <c r="EU2" s="96" t="s">
        <v>470</v>
      </c>
      <c r="EV2" s="96" t="s">
        <v>471</v>
      </c>
      <c r="EW2" s="28"/>
      <c r="EX2" s="96" t="s">
        <v>472</v>
      </c>
      <c r="EY2" s="96" t="s">
        <v>473</v>
      </c>
      <c r="EZ2" s="96" t="s">
        <v>474</v>
      </c>
      <c r="FA2" s="96" t="s">
        <v>475</v>
      </c>
      <c r="FB2" s="96" t="s">
        <v>476</v>
      </c>
      <c r="FC2" s="96" t="s">
        <v>477</v>
      </c>
      <c r="FD2" s="96" t="s">
        <v>478</v>
      </c>
      <c r="FE2" s="96" t="s">
        <v>479</v>
      </c>
      <c r="FF2" s="96" t="s">
        <v>480</v>
      </c>
      <c r="FG2" s="89"/>
      <c r="FH2" s="96" t="s">
        <v>481</v>
      </c>
      <c r="FI2" s="89"/>
      <c r="FJ2" s="80" t="s">
        <v>482</v>
      </c>
      <c r="FK2" s="172" t="s">
        <v>483</v>
      </c>
      <c r="FL2" s="172" t="s">
        <v>484</v>
      </c>
      <c r="FM2" s="172" t="s">
        <v>485</v>
      </c>
      <c r="FN2" s="80" t="s">
        <v>700</v>
      </c>
      <c r="FO2" s="564" t="s">
        <v>701</v>
      </c>
      <c r="FP2" s="561"/>
      <c r="FQ2" s="561"/>
      <c r="FR2" s="561"/>
      <c r="FS2" s="561"/>
      <c r="FT2" s="561"/>
      <c r="FU2" s="561"/>
      <c r="FV2" s="89"/>
      <c r="FW2" s="96" t="s">
        <v>734</v>
      </c>
      <c r="FX2" s="89"/>
      <c r="FY2" s="96" t="s">
        <v>490</v>
      </c>
      <c r="FZ2" s="96" t="s">
        <v>491</v>
      </c>
      <c r="GA2" s="96" t="s">
        <v>492</v>
      </c>
      <c r="GB2" s="96" t="s">
        <v>493</v>
      </c>
      <c r="GC2" s="96" t="s">
        <v>494</v>
      </c>
      <c r="GD2" s="46" t="s">
        <v>702</v>
      </c>
      <c r="GE2" s="89"/>
      <c r="GF2" s="85" t="s">
        <v>703</v>
      </c>
      <c r="GG2" s="85"/>
      <c r="GH2" s="85"/>
      <c r="GI2" s="121" t="s">
        <v>735</v>
      </c>
      <c r="GJ2" s="46" t="s">
        <v>736</v>
      </c>
      <c r="GK2" s="46"/>
      <c r="GL2" s="46"/>
      <c r="GM2" s="46"/>
      <c r="GN2" s="46"/>
      <c r="GO2" s="46"/>
      <c r="GP2" s="46"/>
      <c r="GQ2" s="46"/>
      <c r="GR2" s="46"/>
      <c r="GS2" s="46"/>
      <c r="GT2" s="46"/>
    </row>
    <row r="3" spans="2:230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92" t="s">
        <v>159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V3" s="89"/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82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E3" s="89"/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K3" s="89"/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P3" s="89"/>
      <c r="FQ3" s="89"/>
      <c r="FR3" s="89"/>
      <c r="FS3" s="89"/>
      <c r="FT3" s="89"/>
      <c r="FU3" s="89"/>
      <c r="FV3" s="30" t="s">
        <v>529</v>
      </c>
      <c r="FW3" s="30" t="s">
        <v>308</v>
      </c>
      <c r="FX3" s="30" t="s">
        <v>530</v>
      </c>
      <c r="FY3" s="30" t="s">
        <v>312</v>
      </c>
      <c r="FZ3" s="89"/>
      <c r="GA3" s="89"/>
      <c r="GB3" s="89"/>
      <c r="GC3" s="89"/>
      <c r="GD3" s="30" t="s">
        <v>531</v>
      </c>
      <c r="GE3" s="30" t="s">
        <v>530</v>
      </c>
      <c r="GF3" s="30" t="s">
        <v>532</v>
      </c>
      <c r="GG3" s="89"/>
      <c r="GH3" s="89"/>
      <c r="GI3" s="30" t="s">
        <v>706</v>
      </c>
      <c r="GJ3" s="89" t="s">
        <v>534</v>
      </c>
      <c r="GM3" s="89" t="s">
        <v>535</v>
      </c>
      <c r="GP3" s="89" t="s">
        <v>529</v>
      </c>
      <c r="GS3" s="89" t="s">
        <v>536</v>
      </c>
    </row>
    <row r="4" spans="2:230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 t="s">
        <v>554</v>
      </c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 t="s">
        <v>565</v>
      </c>
      <c r="BS4" s="31"/>
      <c r="BT4" s="30" t="s">
        <v>193</v>
      </c>
      <c r="BU4" s="30"/>
      <c r="BV4" s="89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570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82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 t="s">
        <v>589</v>
      </c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E4" s="89"/>
      <c r="EF4" s="89"/>
      <c r="EG4" s="89"/>
      <c r="EH4" s="89"/>
      <c r="EI4" s="89"/>
      <c r="EJ4" s="89"/>
      <c r="EK4" s="89"/>
      <c r="EL4" s="29"/>
      <c r="EM4" s="32" t="s">
        <v>737</v>
      </c>
      <c r="EN4" s="30"/>
      <c r="EO4" s="30"/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J4" s="30" t="s">
        <v>597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W4" s="89"/>
      <c r="FX4" s="30" t="s">
        <v>601</v>
      </c>
      <c r="FY4" s="89"/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601</v>
      </c>
      <c r="GF4" s="30" t="s">
        <v>604</v>
      </c>
      <c r="GG4" s="30" t="s">
        <v>605</v>
      </c>
      <c r="GH4" s="30" t="s">
        <v>606</v>
      </c>
      <c r="GI4" s="79" t="s">
        <v>738</v>
      </c>
      <c r="GJ4" s="30" t="s">
        <v>608</v>
      </c>
      <c r="GK4" s="89" t="s">
        <v>609</v>
      </c>
      <c r="GL4" s="89" t="s">
        <v>610</v>
      </c>
      <c r="GM4" s="89" t="s">
        <v>608</v>
      </c>
      <c r="GN4" s="89" t="s">
        <v>609</v>
      </c>
      <c r="GO4" s="89" t="s">
        <v>610</v>
      </c>
      <c r="GP4" s="89" t="s">
        <v>596</v>
      </c>
      <c r="GQ4" s="89" t="s">
        <v>609</v>
      </c>
      <c r="GR4" s="89" t="s">
        <v>610</v>
      </c>
      <c r="GS4" s="89" t="s">
        <v>611</v>
      </c>
      <c r="GT4" s="89" t="s">
        <v>609</v>
      </c>
    </row>
    <row r="5" spans="2:230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620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47" t="s">
        <v>624</v>
      </c>
      <c r="BS5" s="30" t="s">
        <v>625</v>
      </c>
      <c r="BT5" s="30"/>
      <c r="BU5" s="30"/>
      <c r="BV5" s="89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82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635</v>
      </c>
      <c r="DX5" s="48"/>
      <c r="DY5" s="30"/>
      <c r="DZ5" s="30"/>
      <c r="EA5" s="30" t="s">
        <v>636</v>
      </c>
      <c r="EB5" s="30"/>
      <c r="EC5" s="30"/>
      <c r="ED5" s="30"/>
      <c r="EE5" s="89"/>
      <c r="EF5" s="89"/>
      <c r="EG5" s="89"/>
      <c r="EH5" s="89"/>
      <c r="EI5" s="89"/>
      <c r="EJ5" s="89"/>
      <c r="EK5" s="89"/>
      <c r="EL5" s="89"/>
      <c r="EM5" s="89" t="s">
        <v>637</v>
      </c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30" t="s">
        <v>595</v>
      </c>
      <c r="EZ5" s="30" t="s">
        <v>595</v>
      </c>
      <c r="FA5" s="89"/>
      <c r="FB5" s="89"/>
      <c r="FC5" s="89"/>
      <c r="FD5" s="89"/>
      <c r="FE5" s="89"/>
      <c r="FF5" s="89"/>
      <c r="FG5" s="89"/>
      <c r="FH5" s="89"/>
      <c r="FI5" s="89" t="s">
        <v>638</v>
      </c>
      <c r="FJ5" s="89"/>
      <c r="FK5" s="30" t="s">
        <v>639</v>
      </c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30" t="s">
        <v>600</v>
      </c>
      <c r="FW5" s="89"/>
      <c r="FX5" s="89" t="s">
        <v>638</v>
      </c>
      <c r="FY5" s="89"/>
      <c r="FZ5" s="89"/>
      <c r="GA5" s="89"/>
      <c r="GB5" s="89"/>
      <c r="GC5" s="30" t="s">
        <v>640</v>
      </c>
      <c r="GD5" s="89"/>
      <c r="GE5" s="89" t="s">
        <v>641</v>
      </c>
      <c r="GF5" s="70"/>
      <c r="GG5" s="89"/>
      <c r="GH5" s="89"/>
      <c r="GI5" s="89" t="s">
        <v>642</v>
      </c>
      <c r="GJ5" s="89"/>
      <c r="GK5" s="43" t="s">
        <v>643</v>
      </c>
      <c r="GL5" s="30" t="s">
        <v>644</v>
      </c>
      <c r="GM5" s="89"/>
      <c r="GN5" s="43" t="s">
        <v>643</v>
      </c>
      <c r="GO5" s="30" t="s">
        <v>644</v>
      </c>
      <c r="GP5" s="89"/>
      <c r="GQ5" s="43" t="s">
        <v>643</v>
      </c>
      <c r="GR5" s="30" t="s">
        <v>644</v>
      </c>
      <c r="GT5" s="30" t="s">
        <v>643</v>
      </c>
      <c r="GV5" s="89" t="s">
        <v>645</v>
      </c>
    </row>
    <row r="6" spans="2:230" s="89" customFormat="1" x14ac:dyDescent="0.15">
      <c r="B6" s="106" t="s">
        <v>1</v>
      </c>
      <c r="C6" s="102">
        <v>737441209</v>
      </c>
      <c r="D6" s="73">
        <f t="shared" ref="D6:D52" si="0">E6+F6</f>
        <v>199303080</v>
      </c>
      <c r="E6" s="102">
        <v>4441937</v>
      </c>
      <c r="F6" s="102">
        <v>194861143</v>
      </c>
      <c r="G6" s="73">
        <f t="shared" ref="G6:G52" si="1">H6+I6</f>
        <v>138776616</v>
      </c>
      <c r="H6" s="102">
        <v>19139918</v>
      </c>
      <c r="I6" s="102">
        <v>119636698</v>
      </c>
      <c r="J6" s="102">
        <v>283108379</v>
      </c>
      <c r="K6" s="102">
        <v>109669012</v>
      </c>
      <c r="L6" s="102">
        <v>137165355</v>
      </c>
      <c r="M6" s="102">
        <v>36004266</v>
      </c>
      <c r="N6" s="102">
        <v>28874718</v>
      </c>
      <c r="O6" s="102">
        <v>57714449</v>
      </c>
      <c r="P6" s="102">
        <v>27564564</v>
      </c>
      <c r="Q6" s="102">
        <v>30149885</v>
      </c>
      <c r="R6" s="102">
        <v>6017535</v>
      </c>
      <c r="S6" s="74"/>
      <c r="T6" s="73">
        <f t="shared" ref="T6:T38" si="2">SUM(U6:AA6)</f>
        <v>67251676</v>
      </c>
      <c r="U6" s="102">
        <v>896509</v>
      </c>
      <c r="V6" s="102">
        <v>2137659</v>
      </c>
      <c r="W6" s="102">
        <v>1820660</v>
      </c>
      <c r="X6" s="102">
        <v>59102525</v>
      </c>
      <c r="Y6" s="102">
        <v>0</v>
      </c>
      <c r="Z6" s="102">
        <v>0</v>
      </c>
      <c r="AA6" s="102">
        <v>3294323</v>
      </c>
      <c r="AB6" s="102">
        <v>2526683</v>
      </c>
      <c r="AC6" s="102">
        <v>43642114</v>
      </c>
      <c r="AD6" s="102">
        <v>42294478</v>
      </c>
      <c r="AE6" s="102">
        <v>1347549</v>
      </c>
      <c r="AF6" s="102">
        <v>767055</v>
      </c>
      <c r="AG6" s="102">
        <v>8152903</v>
      </c>
      <c r="AH6" s="73">
        <f t="shared" ref="AH6:AH38" si="3">AI6+AJ6</f>
        <v>69471350</v>
      </c>
      <c r="AI6" s="102">
        <v>61475183</v>
      </c>
      <c r="AJ6" s="102">
        <v>7996167</v>
      </c>
      <c r="AK6" s="102">
        <v>396685019</v>
      </c>
      <c r="AL6" s="73">
        <f t="shared" ref="AL6:AL38" si="4">SUM(AM6:AP6)</f>
        <v>290934625</v>
      </c>
      <c r="AM6" s="102">
        <v>207590522</v>
      </c>
      <c r="AN6" s="102">
        <v>38916354</v>
      </c>
      <c r="AO6" s="74"/>
      <c r="AP6" s="102">
        <v>44427749</v>
      </c>
      <c r="AQ6" s="102">
        <v>19016665</v>
      </c>
      <c r="AR6" s="102">
        <v>136543</v>
      </c>
      <c r="AS6" s="102">
        <v>0</v>
      </c>
      <c r="AT6" s="102">
        <v>74303693</v>
      </c>
      <c r="AU6" s="102">
        <v>45298213</v>
      </c>
      <c r="AV6" s="102">
        <v>0</v>
      </c>
      <c r="AW6" s="102">
        <v>2314556</v>
      </c>
      <c r="AX6" s="102">
        <v>29005480</v>
      </c>
      <c r="AY6" s="102">
        <v>48364</v>
      </c>
      <c r="AZ6" s="102">
        <v>27268471</v>
      </c>
      <c r="BA6" s="102">
        <v>11991291</v>
      </c>
      <c r="BB6" s="102">
        <v>791768</v>
      </c>
      <c r="BC6" s="102">
        <v>62542881</v>
      </c>
      <c r="BD6" s="102">
        <v>6670882</v>
      </c>
      <c r="BE6" s="102">
        <v>11592334</v>
      </c>
      <c r="BF6" s="102">
        <v>2877269</v>
      </c>
      <c r="BG6" s="102">
        <v>0</v>
      </c>
      <c r="BH6" s="102">
        <v>2003857</v>
      </c>
      <c r="BI6" s="102">
        <v>419812</v>
      </c>
      <c r="BJ6" s="102">
        <v>139879993</v>
      </c>
      <c r="BK6" s="102">
        <v>82045562</v>
      </c>
      <c r="BL6" s="102">
        <v>272565</v>
      </c>
      <c r="BM6" s="102">
        <v>9335785</v>
      </c>
      <c r="BN6" s="102">
        <v>103598589</v>
      </c>
      <c r="BO6" s="73">
        <f t="shared" ref="BO6:BO52" si="5">BN6-BP6-BT6</f>
        <v>39522500</v>
      </c>
      <c r="BP6" s="73">
        <f t="shared" ref="BP6:BP52" si="6">BQ6+BR6+BS6</f>
        <v>64076089</v>
      </c>
      <c r="BQ6" s="102">
        <v>0</v>
      </c>
      <c r="BR6" s="76">
        <v>0</v>
      </c>
      <c r="BS6" s="102">
        <v>64076089</v>
      </c>
      <c r="BT6" s="102">
        <v>0</v>
      </c>
      <c r="BU6" s="102">
        <v>1761138232</v>
      </c>
      <c r="BV6" s="71"/>
      <c r="BW6" s="102">
        <v>302070692</v>
      </c>
      <c r="BX6" s="102">
        <v>221679339</v>
      </c>
      <c r="BY6" s="102">
        <v>20779591</v>
      </c>
      <c r="BZ6" s="102">
        <v>9088407</v>
      </c>
      <c r="CA6" s="102">
        <v>553538112</v>
      </c>
      <c r="CB6" s="102">
        <v>99899528</v>
      </c>
      <c r="CC6" s="102">
        <v>4971788</v>
      </c>
      <c r="CD6" s="102">
        <v>150544774</v>
      </c>
      <c r="CE6" s="102">
        <v>276133462</v>
      </c>
      <c r="CF6" s="102">
        <v>13086401</v>
      </c>
      <c r="CG6" s="102">
        <v>8902159</v>
      </c>
      <c r="CH6" s="102">
        <v>292270879</v>
      </c>
      <c r="CI6" s="102">
        <v>267119686</v>
      </c>
      <c r="CJ6" s="83">
        <v>33225569</v>
      </c>
      <c r="CK6" s="102">
        <v>112600300</v>
      </c>
      <c r="CL6" s="102">
        <v>72226438</v>
      </c>
      <c r="CM6" s="102">
        <v>1804522</v>
      </c>
      <c r="CN6" s="102">
        <v>22411759</v>
      </c>
      <c r="CO6" s="102">
        <v>18097179</v>
      </c>
      <c r="CP6" s="102">
        <v>123473455</v>
      </c>
      <c r="CQ6" s="102">
        <v>7400229</v>
      </c>
      <c r="CR6" s="102">
        <v>48638227</v>
      </c>
      <c r="CS6" s="102">
        <v>40664643</v>
      </c>
      <c r="CT6" s="73">
        <f t="shared" ref="CT6:CT52" si="7">CU6+CV6</f>
        <v>39717677</v>
      </c>
      <c r="CU6" s="102">
        <v>237681</v>
      </c>
      <c r="CV6" s="102">
        <v>39479996</v>
      </c>
      <c r="CW6" s="73">
        <f t="shared" ref="CW6:CW52" si="8">CX6+CY6</f>
        <v>0</v>
      </c>
      <c r="CX6" s="102">
        <v>0</v>
      </c>
      <c r="CY6" s="102">
        <v>0</v>
      </c>
      <c r="CZ6" s="73">
        <f t="shared" ref="CZ6:CZ52" si="9">DA6+DB6</f>
        <v>29256702</v>
      </c>
      <c r="DA6" s="102">
        <v>0</v>
      </c>
      <c r="DB6" s="102">
        <v>29256702</v>
      </c>
      <c r="DC6" s="102">
        <v>121547422</v>
      </c>
      <c r="DD6" s="102">
        <v>67018775</v>
      </c>
      <c r="DE6" s="102">
        <v>51400206</v>
      </c>
      <c r="DF6" s="102">
        <v>0</v>
      </c>
      <c r="DG6" s="102">
        <v>272565</v>
      </c>
      <c r="DH6" s="102">
        <v>3156097</v>
      </c>
      <c r="DI6" s="102">
        <v>6562433</v>
      </c>
      <c r="DJ6" s="102">
        <v>4081504</v>
      </c>
      <c r="DK6" s="102">
        <v>233</v>
      </c>
      <c r="DL6" s="102">
        <v>2480696</v>
      </c>
      <c r="DM6" s="102">
        <v>2854195</v>
      </c>
      <c r="DN6" s="102">
        <v>2050195</v>
      </c>
      <c r="DO6" s="102">
        <v>0</v>
      </c>
      <c r="DP6" s="102">
        <v>0</v>
      </c>
      <c r="DQ6" s="102">
        <v>82895000</v>
      </c>
      <c r="DR6" s="102">
        <v>0</v>
      </c>
      <c r="DS6" s="102">
        <v>0</v>
      </c>
      <c r="DT6" s="102">
        <v>139506020</v>
      </c>
      <c r="DU6" s="102">
        <v>0</v>
      </c>
      <c r="DV6" s="73">
        <f t="shared" ref="DV6:DV52" si="10">DW6</f>
        <v>28383076</v>
      </c>
      <c r="DW6" s="102">
        <v>28383076</v>
      </c>
      <c r="DX6" s="102">
        <v>36379740</v>
      </c>
      <c r="DY6" s="102">
        <v>0</v>
      </c>
      <c r="DZ6" s="102">
        <v>33595974</v>
      </c>
      <c r="EA6" s="74">
        <v>0</v>
      </c>
      <c r="EB6" s="102">
        <v>38644310</v>
      </c>
      <c r="EC6" s="102">
        <v>0</v>
      </c>
      <c r="ED6" s="102">
        <v>1758571784</v>
      </c>
      <c r="EE6" s="71"/>
      <c r="EF6" s="102">
        <v>2566448</v>
      </c>
      <c r="EG6" s="102">
        <v>2136995</v>
      </c>
      <c r="EH6" s="102">
        <v>429453</v>
      </c>
      <c r="EI6" s="102">
        <v>9641</v>
      </c>
      <c r="EJ6" s="102">
        <v>-2579737</v>
      </c>
      <c r="EK6" s="71"/>
      <c r="EL6" s="102">
        <v>2691185</v>
      </c>
      <c r="EM6" s="102">
        <v>2714484</v>
      </c>
      <c r="EN6" s="102">
        <v>19057216</v>
      </c>
      <c r="EO6" s="102">
        <v>15362850</v>
      </c>
      <c r="EP6" s="73">
        <f t="shared" ref="EP6:EP52" si="11">EQ6-ER6-C6-R6-T6-AB6-AC6-BP6-EN6-EO6</f>
        <v>53388244</v>
      </c>
      <c r="EQ6" s="102">
        <v>876439708</v>
      </c>
      <c r="ER6" s="71">
        <v>-132323908</v>
      </c>
      <c r="ES6" s="102">
        <v>255181435</v>
      </c>
      <c r="ET6" s="102">
        <v>187278336</v>
      </c>
      <c r="EU6" s="102">
        <v>164172471</v>
      </c>
      <c r="EV6" s="102">
        <v>223183153</v>
      </c>
      <c r="EW6" s="73">
        <f t="shared" ref="EW6:EW52" si="12">EX6+FA6+FB6</f>
        <v>49503401</v>
      </c>
      <c r="EX6" s="102">
        <v>49384847</v>
      </c>
      <c r="EY6" s="102">
        <v>15236564</v>
      </c>
      <c r="EZ6" s="102">
        <v>33552407</v>
      </c>
      <c r="FA6" s="102">
        <v>118554</v>
      </c>
      <c r="FB6" s="102">
        <v>0</v>
      </c>
      <c r="FC6" s="102">
        <v>74113308</v>
      </c>
      <c r="FD6" s="102">
        <v>105962976</v>
      </c>
      <c r="FE6" s="102">
        <v>2202875</v>
      </c>
      <c r="FF6" s="102">
        <v>115549448</v>
      </c>
      <c r="FG6" s="73">
        <f t="shared" ref="FG6:FG52" si="13">FH6-ES6-EU6-EV6-EW6-FC6-FD6-FF6</f>
        <v>18530976</v>
      </c>
      <c r="FH6" s="102">
        <v>1006197168</v>
      </c>
      <c r="FI6" s="379">
        <f t="shared" ref="FI6:FI52" si="14">ROUND(EH6/(FJ6+FK6)*100,1)</f>
        <v>0.1</v>
      </c>
      <c r="FJ6" s="102">
        <v>787781233</v>
      </c>
      <c r="FK6" s="102">
        <v>64076770</v>
      </c>
      <c r="FL6" s="102">
        <v>582725337</v>
      </c>
      <c r="FM6" s="102">
        <v>625019815</v>
      </c>
      <c r="FN6" s="151">
        <v>0.92800000000000005</v>
      </c>
      <c r="FO6" s="424">
        <v>96.9</v>
      </c>
      <c r="FP6" s="151">
        <v>28.4</v>
      </c>
      <c r="FQ6" s="424">
        <v>18.3</v>
      </c>
      <c r="FR6" s="424">
        <v>23.6</v>
      </c>
      <c r="FS6" s="151">
        <v>8</v>
      </c>
      <c r="FT6" s="424">
        <v>8.5</v>
      </c>
      <c r="FU6" s="426">
        <v>8.6999999999999993</v>
      </c>
      <c r="FV6" s="384">
        <v>4.2</v>
      </c>
      <c r="FW6" s="102">
        <v>1906255504</v>
      </c>
      <c r="FX6" s="384">
        <f t="shared" ref="FX6:FX52" si="15">ROUND(FW6/(FJ6+FK6)*100,1)</f>
        <v>223.8</v>
      </c>
      <c r="FY6" s="102">
        <v>226075646</v>
      </c>
      <c r="FZ6" s="102">
        <v>160430946</v>
      </c>
      <c r="GA6" s="102">
        <v>0</v>
      </c>
      <c r="GB6" s="102">
        <v>65644700</v>
      </c>
      <c r="GC6" s="107">
        <v>0</v>
      </c>
      <c r="GD6" s="427"/>
      <c r="GE6" s="386"/>
      <c r="GF6" s="424">
        <v>99.4</v>
      </c>
      <c r="GG6" s="424">
        <v>31.2</v>
      </c>
      <c r="GH6" s="424">
        <v>98.5</v>
      </c>
      <c r="GI6" s="102">
        <v>31975</v>
      </c>
      <c r="GJ6" s="123" t="s">
        <v>646</v>
      </c>
      <c r="GK6" s="151">
        <v>11.25</v>
      </c>
      <c r="GL6" s="117">
        <v>20</v>
      </c>
      <c r="GM6" s="123" t="s">
        <v>646</v>
      </c>
      <c r="GN6" s="151">
        <v>16.25</v>
      </c>
      <c r="GO6" s="387">
        <v>30</v>
      </c>
      <c r="GP6" s="424">
        <v>4.2</v>
      </c>
      <c r="GQ6" s="388">
        <v>25</v>
      </c>
      <c r="GR6" s="388">
        <v>35</v>
      </c>
      <c r="GS6" s="151">
        <v>46.4</v>
      </c>
      <c r="GT6" s="389">
        <v>400</v>
      </c>
      <c r="GV6" s="100">
        <f t="shared" ref="GV6:GV52" si="16">ROUND((FJ6+FK6)/1000,0)</f>
        <v>851858</v>
      </c>
    </row>
    <row r="7" spans="2:230" s="89" customFormat="1" x14ac:dyDescent="0.15">
      <c r="B7" s="106" t="s">
        <v>3</v>
      </c>
      <c r="C7" s="102">
        <v>147721126</v>
      </c>
      <c r="D7" s="73">
        <f t="shared" si="0"/>
        <v>57667058</v>
      </c>
      <c r="E7" s="102">
        <v>1318232</v>
      </c>
      <c r="F7" s="102">
        <v>56348826</v>
      </c>
      <c r="G7" s="73">
        <f t="shared" si="1"/>
        <v>11308551</v>
      </c>
      <c r="H7" s="102">
        <v>2345649</v>
      </c>
      <c r="I7" s="102">
        <v>8962902</v>
      </c>
      <c r="J7" s="102">
        <v>56654481</v>
      </c>
      <c r="K7" s="102">
        <v>22540549</v>
      </c>
      <c r="L7" s="102">
        <v>22585607</v>
      </c>
      <c r="M7" s="102">
        <v>10670523</v>
      </c>
      <c r="N7" s="102">
        <v>5587975</v>
      </c>
      <c r="O7" s="102">
        <v>10442895</v>
      </c>
      <c r="P7" s="102">
        <v>5796034</v>
      </c>
      <c r="Q7" s="102">
        <v>4646861</v>
      </c>
      <c r="R7" s="102">
        <v>2118005</v>
      </c>
      <c r="S7" s="74"/>
      <c r="T7" s="73">
        <f t="shared" si="2"/>
        <v>17068359</v>
      </c>
      <c r="U7" s="102">
        <v>272498</v>
      </c>
      <c r="V7" s="102">
        <v>648639</v>
      </c>
      <c r="W7" s="102">
        <v>549840</v>
      </c>
      <c r="X7" s="102">
        <v>14400590</v>
      </c>
      <c r="Y7" s="102">
        <v>128251</v>
      </c>
      <c r="Z7" s="102">
        <v>0</v>
      </c>
      <c r="AA7" s="102">
        <v>1068541</v>
      </c>
      <c r="AB7" s="102">
        <v>897084</v>
      </c>
      <c r="AC7" s="102">
        <v>29348809</v>
      </c>
      <c r="AD7" s="102">
        <v>28163628</v>
      </c>
      <c r="AE7" s="102">
        <v>1185181</v>
      </c>
      <c r="AF7" s="102">
        <v>273778</v>
      </c>
      <c r="AG7" s="102">
        <v>2924436</v>
      </c>
      <c r="AH7" s="73">
        <f t="shared" si="3"/>
        <v>5960547</v>
      </c>
      <c r="AI7" s="102">
        <v>3924496</v>
      </c>
      <c r="AJ7" s="102">
        <v>2036051</v>
      </c>
      <c r="AK7" s="102">
        <v>94629195</v>
      </c>
      <c r="AL7" s="73">
        <f t="shared" si="4"/>
        <v>56286416</v>
      </c>
      <c r="AM7" s="102">
        <v>34712091</v>
      </c>
      <c r="AN7" s="102">
        <v>10124868</v>
      </c>
      <c r="AO7" s="74"/>
      <c r="AP7" s="102">
        <v>11449457</v>
      </c>
      <c r="AQ7" s="102">
        <v>2812735</v>
      </c>
      <c r="AR7" s="102">
        <v>100386</v>
      </c>
      <c r="AS7" s="102">
        <v>9698</v>
      </c>
      <c r="AT7" s="102">
        <v>21631176</v>
      </c>
      <c r="AU7" s="102">
        <v>12668312</v>
      </c>
      <c r="AV7" s="102">
        <v>3902181</v>
      </c>
      <c r="AW7" s="102">
        <v>473372</v>
      </c>
      <c r="AX7" s="102">
        <v>8962864</v>
      </c>
      <c r="AY7" s="102">
        <v>13227</v>
      </c>
      <c r="AZ7" s="102">
        <v>1420969</v>
      </c>
      <c r="BA7" s="102">
        <v>884648</v>
      </c>
      <c r="BB7" s="102">
        <v>247798</v>
      </c>
      <c r="BC7" s="102">
        <v>7544162</v>
      </c>
      <c r="BD7" s="102">
        <v>0</v>
      </c>
      <c r="BE7" s="102">
        <v>140</v>
      </c>
      <c r="BF7" s="102">
        <v>7544000</v>
      </c>
      <c r="BG7" s="102">
        <v>0</v>
      </c>
      <c r="BH7" s="102">
        <v>4434232</v>
      </c>
      <c r="BI7" s="102">
        <v>2542024</v>
      </c>
      <c r="BJ7" s="102">
        <v>7502593</v>
      </c>
      <c r="BK7" s="102">
        <v>1546703</v>
      </c>
      <c r="BL7" s="102">
        <v>320021</v>
      </c>
      <c r="BM7" s="102">
        <v>1716799</v>
      </c>
      <c r="BN7" s="102">
        <v>51099700</v>
      </c>
      <c r="BO7" s="73">
        <f t="shared" si="5"/>
        <v>25589300</v>
      </c>
      <c r="BP7" s="73">
        <f t="shared" si="6"/>
        <v>25510400</v>
      </c>
      <c r="BQ7" s="102">
        <v>0</v>
      </c>
      <c r="BR7" s="76">
        <v>0</v>
      </c>
      <c r="BS7" s="102">
        <v>25510400</v>
      </c>
      <c r="BT7" s="102">
        <v>0</v>
      </c>
      <c r="BU7" s="102">
        <v>402971335</v>
      </c>
      <c r="BV7" s="71"/>
      <c r="BW7" s="102">
        <v>84049659</v>
      </c>
      <c r="BX7" s="102">
        <v>60620065</v>
      </c>
      <c r="BY7" s="102">
        <v>6243416</v>
      </c>
      <c r="BZ7" s="102">
        <v>2738053</v>
      </c>
      <c r="CA7" s="102">
        <v>124308610</v>
      </c>
      <c r="CB7" s="102">
        <v>27251129</v>
      </c>
      <c r="CC7" s="102">
        <v>1341494</v>
      </c>
      <c r="CD7" s="102">
        <v>45348126</v>
      </c>
      <c r="CE7" s="102">
        <v>46222645</v>
      </c>
      <c r="CF7" s="102">
        <v>3394057</v>
      </c>
      <c r="CG7" s="102">
        <v>750998</v>
      </c>
      <c r="CH7" s="102">
        <v>34213206</v>
      </c>
      <c r="CI7" s="102">
        <v>29934162</v>
      </c>
      <c r="CJ7" s="83">
        <v>4815673</v>
      </c>
      <c r="CK7" s="102">
        <v>41898662</v>
      </c>
      <c r="CL7" s="102">
        <v>27757059</v>
      </c>
      <c r="CM7" s="102">
        <v>2101476</v>
      </c>
      <c r="CN7" s="102">
        <v>6148984</v>
      </c>
      <c r="CO7" s="102">
        <v>5942997</v>
      </c>
      <c r="CP7" s="102">
        <v>23735591</v>
      </c>
      <c r="CQ7" s="102">
        <v>14976</v>
      </c>
      <c r="CR7" s="102">
        <v>7692799</v>
      </c>
      <c r="CS7" s="102">
        <v>3674435</v>
      </c>
      <c r="CT7" s="73">
        <f t="shared" si="7"/>
        <v>8687969</v>
      </c>
      <c r="CU7" s="102">
        <v>6893985</v>
      </c>
      <c r="CV7" s="102">
        <v>1793984</v>
      </c>
      <c r="CW7" s="73">
        <f t="shared" si="8"/>
        <v>0</v>
      </c>
      <c r="CX7" s="102">
        <v>0</v>
      </c>
      <c r="CY7" s="102">
        <v>0</v>
      </c>
      <c r="CZ7" s="73">
        <f t="shared" si="9"/>
        <v>8560532</v>
      </c>
      <c r="DA7" s="102">
        <v>6784794</v>
      </c>
      <c r="DB7" s="102">
        <v>1775738</v>
      </c>
      <c r="DC7" s="102">
        <v>46479372</v>
      </c>
      <c r="DD7" s="102">
        <v>24955391</v>
      </c>
      <c r="DE7" s="102">
        <v>21184824</v>
      </c>
      <c r="DF7" s="102">
        <v>0</v>
      </c>
      <c r="DG7" s="102">
        <v>255457</v>
      </c>
      <c r="DH7" s="102">
        <v>1217499</v>
      </c>
      <c r="DI7" s="102">
        <v>4161683</v>
      </c>
      <c r="DJ7" s="102">
        <v>1300</v>
      </c>
      <c r="DK7" s="102">
        <v>35607</v>
      </c>
      <c r="DL7" s="102">
        <v>4124776</v>
      </c>
      <c r="DM7" s="102">
        <v>513000</v>
      </c>
      <c r="DN7" s="102">
        <v>0</v>
      </c>
      <c r="DO7" s="102">
        <v>0</v>
      </c>
      <c r="DP7" s="102">
        <v>0</v>
      </c>
      <c r="DQ7" s="102">
        <v>1436621</v>
      </c>
      <c r="DR7" s="102">
        <v>0</v>
      </c>
      <c r="DS7" s="102">
        <v>0</v>
      </c>
      <c r="DT7" s="102">
        <v>31107193</v>
      </c>
      <c r="DU7" s="102">
        <v>0</v>
      </c>
      <c r="DV7" s="73">
        <f t="shared" si="10"/>
        <v>0</v>
      </c>
      <c r="DW7" s="102">
        <v>0</v>
      </c>
      <c r="DX7" s="102">
        <v>11610157</v>
      </c>
      <c r="DY7" s="102">
        <v>0</v>
      </c>
      <c r="DZ7" s="102">
        <v>8569340</v>
      </c>
      <c r="EA7" s="74">
        <v>0</v>
      </c>
      <c r="EB7" s="102">
        <v>10898836</v>
      </c>
      <c r="EC7" s="102">
        <v>0</v>
      </c>
      <c r="ED7" s="102">
        <v>399064093</v>
      </c>
      <c r="EE7" s="71"/>
      <c r="EF7" s="102">
        <v>3907242</v>
      </c>
      <c r="EG7" s="102">
        <v>2156909</v>
      </c>
      <c r="EH7" s="102">
        <v>1750333</v>
      </c>
      <c r="EI7" s="102">
        <v>-791691</v>
      </c>
      <c r="EJ7" s="102">
        <v>-790391</v>
      </c>
      <c r="EK7" s="71"/>
      <c r="EL7" s="102">
        <v>839310</v>
      </c>
      <c r="EM7" s="102">
        <v>837773</v>
      </c>
      <c r="EN7" s="102">
        <v>690140</v>
      </c>
      <c r="EO7" s="102">
        <v>485475</v>
      </c>
      <c r="EP7" s="73">
        <f t="shared" si="11"/>
        <v>15972962</v>
      </c>
      <c r="EQ7" s="102">
        <v>205576527</v>
      </c>
      <c r="ER7" s="71">
        <v>-34235833</v>
      </c>
      <c r="ES7" s="102">
        <v>71534214</v>
      </c>
      <c r="ET7" s="102">
        <v>48542546</v>
      </c>
      <c r="EU7" s="102">
        <v>38549296</v>
      </c>
      <c r="EV7" s="102">
        <v>33890015</v>
      </c>
      <c r="EW7" s="73">
        <f t="shared" si="12"/>
        <v>3637380</v>
      </c>
      <c r="EX7" s="102">
        <v>2951013</v>
      </c>
      <c r="EY7" s="102">
        <v>361425</v>
      </c>
      <c r="EZ7" s="102">
        <v>2581188</v>
      </c>
      <c r="FA7" s="102">
        <v>686367</v>
      </c>
      <c r="FB7" s="102">
        <v>0</v>
      </c>
      <c r="FC7" s="102">
        <v>35026615</v>
      </c>
      <c r="FD7" s="102">
        <v>21270152</v>
      </c>
      <c r="FE7" s="102">
        <v>14976</v>
      </c>
      <c r="FF7" s="102">
        <v>25207442</v>
      </c>
      <c r="FG7" s="73">
        <f t="shared" si="13"/>
        <v>6954500</v>
      </c>
      <c r="FH7" s="102">
        <v>236069614</v>
      </c>
      <c r="FI7" s="379">
        <f t="shared" si="14"/>
        <v>0.8</v>
      </c>
      <c r="FJ7" s="102">
        <v>194055088</v>
      </c>
      <c r="FK7" s="102">
        <v>25510496</v>
      </c>
      <c r="FL7" s="102">
        <v>131723342</v>
      </c>
      <c r="FM7" s="102">
        <v>159824870</v>
      </c>
      <c r="FN7" s="151">
        <v>0.83399999999999996</v>
      </c>
      <c r="FO7" s="424">
        <v>99.5</v>
      </c>
      <c r="FP7" s="440">
        <v>32.200000000000003</v>
      </c>
      <c r="FQ7" s="424">
        <v>17.399999999999999</v>
      </c>
      <c r="FR7" s="424">
        <v>15.3</v>
      </c>
      <c r="FS7" s="151">
        <v>14.4</v>
      </c>
      <c r="FT7" s="424">
        <v>7.3</v>
      </c>
      <c r="FU7" s="426">
        <v>10.9</v>
      </c>
      <c r="FV7" s="384">
        <v>5.3</v>
      </c>
      <c r="FW7" s="102">
        <v>449619772</v>
      </c>
      <c r="FX7" s="384">
        <f t="shared" si="15"/>
        <v>204.8</v>
      </c>
      <c r="FY7" s="102">
        <v>39786752</v>
      </c>
      <c r="FZ7" s="102">
        <v>1819800</v>
      </c>
      <c r="GA7" s="102">
        <v>3857582</v>
      </c>
      <c r="GB7" s="102">
        <v>34109370</v>
      </c>
      <c r="GC7" s="107">
        <v>0</v>
      </c>
      <c r="GD7" s="427"/>
      <c r="GE7" s="386"/>
      <c r="GF7" s="424">
        <v>99.4</v>
      </c>
      <c r="GG7" s="424">
        <v>41</v>
      </c>
      <c r="GH7" s="424">
        <v>98.5</v>
      </c>
      <c r="GI7" s="102">
        <v>8714</v>
      </c>
      <c r="GJ7" s="123" t="s">
        <v>646</v>
      </c>
      <c r="GK7" s="151">
        <v>11.25</v>
      </c>
      <c r="GL7" s="117">
        <v>20</v>
      </c>
      <c r="GM7" s="123" t="s">
        <v>646</v>
      </c>
      <c r="GN7" s="151">
        <v>16.25</v>
      </c>
      <c r="GO7" s="387">
        <v>30</v>
      </c>
      <c r="GP7" s="424">
        <v>5.3</v>
      </c>
      <c r="GQ7" s="388">
        <v>25</v>
      </c>
      <c r="GR7" s="388">
        <v>35</v>
      </c>
      <c r="GS7" s="151">
        <v>20.3</v>
      </c>
      <c r="GT7" s="389">
        <v>400</v>
      </c>
      <c r="GV7" s="100">
        <f t="shared" si="16"/>
        <v>219566</v>
      </c>
    </row>
    <row r="8" spans="2:230" x14ac:dyDescent="0.15">
      <c r="B8" s="89" t="s">
        <v>5</v>
      </c>
      <c r="C8" s="102">
        <v>24500620</v>
      </c>
      <c r="D8" s="73">
        <f t="shared" si="0"/>
        <v>9021973</v>
      </c>
      <c r="E8" s="102">
        <v>300451</v>
      </c>
      <c r="F8" s="102">
        <v>8721522</v>
      </c>
      <c r="G8" s="73">
        <f t="shared" si="1"/>
        <v>1705636</v>
      </c>
      <c r="H8" s="102">
        <v>448482</v>
      </c>
      <c r="I8" s="102">
        <v>1257154</v>
      </c>
      <c r="J8" s="102">
        <v>9978748</v>
      </c>
      <c r="K8" s="102">
        <v>4070791</v>
      </c>
      <c r="L8" s="102">
        <v>4184041</v>
      </c>
      <c r="M8" s="102">
        <v>1435347</v>
      </c>
      <c r="N8" s="102">
        <v>1420355</v>
      </c>
      <c r="O8" s="102">
        <v>1958672</v>
      </c>
      <c r="P8" s="102">
        <v>1092273</v>
      </c>
      <c r="Q8" s="102">
        <v>866399</v>
      </c>
      <c r="R8" s="102">
        <v>341905</v>
      </c>
      <c r="S8" s="74"/>
      <c r="T8" s="73">
        <f t="shared" si="2"/>
        <v>3777829</v>
      </c>
      <c r="U8" s="102">
        <v>54932</v>
      </c>
      <c r="V8" s="102">
        <v>130697</v>
      </c>
      <c r="W8" s="102">
        <v>110647</v>
      </c>
      <c r="X8" s="102">
        <v>3267513</v>
      </c>
      <c r="Y8" s="102">
        <v>30517</v>
      </c>
      <c r="Z8" s="102">
        <v>0</v>
      </c>
      <c r="AA8" s="102">
        <v>183523</v>
      </c>
      <c r="AB8" s="102">
        <v>153864</v>
      </c>
      <c r="AC8" s="102">
        <v>12491813</v>
      </c>
      <c r="AD8" s="102">
        <v>11981472</v>
      </c>
      <c r="AE8" s="102">
        <v>510341</v>
      </c>
      <c r="AF8" s="102">
        <v>31684</v>
      </c>
      <c r="AG8" s="102">
        <v>525393</v>
      </c>
      <c r="AH8" s="73">
        <f t="shared" si="3"/>
        <v>1446892</v>
      </c>
      <c r="AI8" s="102">
        <v>1088187</v>
      </c>
      <c r="AJ8" s="102">
        <v>358705</v>
      </c>
      <c r="AK8" s="102">
        <v>17288844</v>
      </c>
      <c r="AL8" s="73">
        <f t="shared" si="4"/>
        <v>11734441</v>
      </c>
      <c r="AM8" s="102">
        <v>7863816</v>
      </c>
      <c r="AN8" s="102">
        <v>1671352</v>
      </c>
      <c r="AO8" s="74"/>
      <c r="AP8" s="102">
        <v>2199273</v>
      </c>
      <c r="AQ8" s="102">
        <v>445552</v>
      </c>
      <c r="AR8" s="102">
        <v>123543</v>
      </c>
      <c r="AS8" s="102">
        <v>0</v>
      </c>
      <c r="AT8" s="102">
        <v>5490657</v>
      </c>
      <c r="AU8" s="102">
        <v>3318031</v>
      </c>
      <c r="AV8" s="102">
        <v>781671</v>
      </c>
      <c r="AW8" s="102">
        <v>186884</v>
      </c>
      <c r="AX8" s="102">
        <v>2172626</v>
      </c>
      <c r="AY8" s="102">
        <v>2225</v>
      </c>
      <c r="AZ8" s="102">
        <v>557852</v>
      </c>
      <c r="BA8" s="102">
        <v>373905</v>
      </c>
      <c r="BB8" s="102">
        <v>664080</v>
      </c>
      <c r="BC8" s="102">
        <v>811658</v>
      </c>
      <c r="BD8" s="102">
        <v>0</v>
      </c>
      <c r="BE8" s="102">
        <v>0</v>
      </c>
      <c r="BF8" s="102">
        <v>535040</v>
      </c>
      <c r="BG8" s="102">
        <v>0</v>
      </c>
      <c r="BH8" s="102">
        <v>200465</v>
      </c>
      <c r="BI8" s="102">
        <v>41061</v>
      </c>
      <c r="BJ8" s="102">
        <v>1218126</v>
      </c>
      <c r="BK8" s="102">
        <v>0</v>
      </c>
      <c r="BL8" s="102">
        <v>0</v>
      </c>
      <c r="BM8" s="102">
        <v>387098</v>
      </c>
      <c r="BN8" s="102">
        <v>6686700</v>
      </c>
      <c r="BO8" s="73">
        <f t="shared" si="5"/>
        <v>3482500</v>
      </c>
      <c r="BP8" s="73">
        <f t="shared" si="6"/>
        <v>3204200</v>
      </c>
      <c r="BQ8" s="102">
        <v>0</v>
      </c>
      <c r="BR8" s="102">
        <v>0</v>
      </c>
      <c r="BS8" s="102">
        <v>3204200</v>
      </c>
      <c r="BT8" s="102">
        <v>0</v>
      </c>
      <c r="BU8" s="102">
        <v>76188382</v>
      </c>
      <c r="BV8" s="71"/>
      <c r="BW8" s="102">
        <v>11642390</v>
      </c>
      <c r="BX8" s="102">
        <v>8028528</v>
      </c>
      <c r="BY8" s="102">
        <v>833597</v>
      </c>
      <c r="BZ8" s="102">
        <v>628955</v>
      </c>
      <c r="CA8" s="102">
        <v>26318646</v>
      </c>
      <c r="CB8" s="102">
        <v>5166507</v>
      </c>
      <c r="CC8" s="102">
        <v>225753</v>
      </c>
      <c r="CD8" s="102">
        <v>9474837</v>
      </c>
      <c r="CE8" s="102">
        <v>10441933</v>
      </c>
      <c r="CF8" s="102">
        <v>8062</v>
      </c>
      <c r="CG8" s="102">
        <v>991724</v>
      </c>
      <c r="CH8" s="102">
        <v>7882986</v>
      </c>
      <c r="CI8" s="102">
        <v>7268289</v>
      </c>
      <c r="CJ8" s="83">
        <f t="shared" ref="CJ8:CJ38" si="17">IF(CI8="","",CH8-CI8)</f>
        <v>614697</v>
      </c>
      <c r="CK8" s="102">
        <v>7837532</v>
      </c>
      <c r="CL8" s="102">
        <v>4822609</v>
      </c>
      <c r="CM8" s="102">
        <v>535338</v>
      </c>
      <c r="CN8" s="102">
        <v>1170558</v>
      </c>
      <c r="CO8" s="102">
        <v>400908</v>
      </c>
      <c r="CP8" s="102">
        <v>7375363</v>
      </c>
      <c r="CQ8" s="102">
        <v>1773914</v>
      </c>
      <c r="CR8" s="102">
        <v>784139</v>
      </c>
      <c r="CS8" s="102">
        <v>648284</v>
      </c>
      <c r="CT8" s="73">
        <f t="shared" si="7"/>
        <v>3570853</v>
      </c>
      <c r="CU8" s="102">
        <v>2178000</v>
      </c>
      <c r="CV8" s="102">
        <v>1392853</v>
      </c>
      <c r="CW8" s="73">
        <f t="shared" si="8"/>
        <v>1211867</v>
      </c>
      <c r="CX8" s="102">
        <v>1040432</v>
      </c>
      <c r="CY8" s="102">
        <v>171435</v>
      </c>
      <c r="CZ8" s="73">
        <f t="shared" si="9"/>
        <v>2261473</v>
      </c>
      <c r="DA8" s="102">
        <v>1099741</v>
      </c>
      <c r="DB8" s="102">
        <v>1161732</v>
      </c>
      <c r="DC8" s="102">
        <v>5431055</v>
      </c>
      <c r="DD8" s="102">
        <v>3942525</v>
      </c>
      <c r="DE8" s="102">
        <v>1391282</v>
      </c>
      <c r="DF8" s="102">
        <v>97248</v>
      </c>
      <c r="DG8" s="102">
        <v>0</v>
      </c>
      <c r="DH8" s="102">
        <v>740783</v>
      </c>
      <c r="DI8" s="102">
        <v>599100</v>
      </c>
      <c r="DJ8" s="102">
        <v>193</v>
      </c>
      <c r="DK8" s="102">
        <v>1</v>
      </c>
      <c r="DL8" s="102">
        <v>598906</v>
      </c>
      <c r="DM8" s="102">
        <v>367535</v>
      </c>
      <c r="DN8" s="102">
        <v>367535</v>
      </c>
      <c r="DO8" s="102">
        <v>137200</v>
      </c>
      <c r="DP8" s="102">
        <v>190000</v>
      </c>
      <c r="DQ8" s="102">
        <v>0</v>
      </c>
      <c r="DR8" s="102">
        <v>0</v>
      </c>
      <c r="DS8" s="102">
        <v>0</v>
      </c>
      <c r="DT8" s="102">
        <v>7195764</v>
      </c>
      <c r="DU8" s="102">
        <v>0</v>
      </c>
      <c r="DV8" s="73">
        <f t="shared" si="10"/>
        <v>0</v>
      </c>
      <c r="DW8" s="102">
        <v>0</v>
      </c>
      <c r="DX8" s="102">
        <v>2732203</v>
      </c>
      <c r="DY8" s="102">
        <v>0</v>
      </c>
      <c r="DZ8" s="102">
        <v>2173494</v>
      </c>
      <c r="EA8" s="74">
        <v>0</v>
      </c>
      <c r="EB8" s="102">
        <v>2290067</v>
      </c>
      <c r="EC8" s="102">
        <v>0</v>
      </c>
      <c r="ED8" s="102">
        <v>75792062</v>
      </c>
      <c r="EE8" s="71"/>
      <c r="EF8" s="102">
        <v>396320</v>
      </c>
      <c r="EG8" s="102">
        <v>283604</v>
      </c>
      <c r="EH8" s="102">
        <v>112716</v>
      </c>
      <c r="EI8" s="102">
        <v>24644</v>
      </c>
      <c r="EJ8" s="102">
        <v>24837</v>
      </c>
      <c r="EK8" s="71"/>
      <c r="EL8" s="102">
        <v>194911</v>
      </c>
      <c r="EM8" s="102">
        <v>195350</v>
      </c>
      <c r="EN8" s="102">
        <v>419402</v>
      </c>
      <c r="EO8" s="102">
        <v>557085</v>
      </c>
      <c r="EP8" s="73">
        <f t="shared" si="11"/>
        <v>1370835</v>
      </c>
      <c r="EQ8" s="102">
        <v>41297715</v>
      </c>
      <c r="ER8" s="71">
        <v>-5519838</v>
      </c>
      <c r="ES8" s="102">
        <v>10745795</v>
      </c>
      <c r="ET8" s="102">
        <v>7237349</v>
      </c>
      <c r="EU8" s="102">
        <v>7476626</v>
      </c>
      <c r="EV8" s="102">
        <v>7851172</v>
      </c>
      <c r="EW8" s="73">
        <f t="shared" si="12"/>
        <v>718794</v>
      </c>
      <c r="EX8" s="102">
        <v>462857</v>
      </c>
      <c r="EY8" s="102">
        <v>37068</v>
      </c>
      <c r="EZ8" s="102">
        <v>379512</v>
      </c>
      <c r="FA8" s="102">
        <v>255937</v>
      </c>
      <c r="FB8" s="102">
        <v>0</v>
      </c>
      <c r="FC8" s="102">
        <v>6426009</v>
      </c>
      <c r="FD8" s="102">
        <v>6850338</v>
      </c>
      <c r="FE8" s="102">
        <v>1773914</v>
      </c>
      <c r="FF8" s="102">
        <v>5607696</v>
      </c>
      <c r="FG8" s="73">
        <f t="shared" si="13"/>
        <v>744803</v>
      </c>
      <c r="FH8" s="102">
        <v>46421233</v>
      </c>
      <c r="FI8" s="379">
        <f t="shared" si="14"/>
        <v>0.3</v>
      </c>
      <c r="FJ8" s="102">
        <v>38438345</v>
      </c>
      <c r="FK8" s="102">
        <v>3204289</v>
      </c>
      <c r="FL8" s="102">
        <v>20717060</v>
      </c>
      <c r="FM8" s="102">
        <v>33189218</v>
      </c>
      <c r="FN8" s="428">
        <v>0.622</v>
      </c>
      <c r="FO8" s="424">
        <v>100.2</v>
      </c>
      <c r="FP8" s="425">
        <v>24.6</v>
      </c>
      <c r="FQ8" s="424">
        <v>17.600000000000001</v>
      </c>
      <c r="FR8" s="424">
        <v>18.5</v>
      </c>
      <c r="FS8" s="425">
        <v>13.7</v>
      </c>
      <c r="FT8" s="424">
        <v>12.3</v>
      </c>
      <c r="FU8" s="426">
        <v>12.2</v>
      </c>
      <c r="FV8" s="384">
        <v>9.9</v>
      </c>
      <c r="FW8" s="102">
        <v>69742223</v>
      </c>
      <c r="FX8" s="384">
        <f t="shared" si="15"/>
        <v>167.5</v>
      </c>
      <c r="FY8" s="102">
        <v>5607804</v>
      </c>
      <c r="FZ8" s="102">
        <v>2591962</v>
      </c>
      <c r="GA8" s="102">
        <v>40452</v>
      </c>
      <c r="GB8" s="102">
        <v>2975390</v>
      </c>
      <c r="GC8" s="107">
        <v>0</v>
      </c>
      <c r="GD8" s="427"/>
      <c r="GE8" s="386"/>
      <c r="GF8" s="424">
        <v>99.3</v>
      </c>
      <c r="GG8" s="424">
        <v>43.5</v>
      </c>
      <c r="GH8" s="424">
        <v>98.3</v>
      </c>
      <c r="GI8" s="102">
        <v>1302</v>
      </c>
      <c r="GJ8" s="429" t="s">
        <v>646</v>
      </c>
      <c r="GK8" s="429">
        <v>11.42</v>
      </c>
      <c r="GL8" s="117">
        <v>20</v>
      </c>
      <c r="GM8" s="429" t="s">
        <v>646</v>
      </c>
      <c r="GN8" s="430">
        <v>16.420000000000002</v>
      </c>
      <c r="GO8" s="387">
        <v>30</v>
      </c>
      <c r="GP8" s="425">
        <v>9.9</v>
      </c>
      <c r="GQ8" s="388">
        <v>25</v>
      </c>
      <c r="GR8" s="388">
        <v>35</v>
      </c>
      <c r="GS8" s="431">
        <v>38.200000000000003</v>
      </c>
      <c r="GT8" s="388">
        <v>350</v>
      </c>
      <c r="GU8" s="394"/>
      <c r="GV8" s="100">
        <f t="shared" si="16"/>
        <v>41643</v>
      </c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</row>
    <row r="9" spans="2:230" x14ac:dyDescent="0.15">
      <c r="B9" s="89" t="s">
        <v>7</v>
      </c>
      <c r="C9" s="102">
        <v>68896184</v>
      </c>
      <c r="D9" s="73">
        <f t="shared" si="0"/>
        <v>30194302</v>
      </c>
      <c r="E9" s="102">
        <v>654495</v>
      </c>
      <c r="F9" s="102">
        <v>29539807</v>
      </c>
      <c r="G9" s="73">
        <f t="shared" si="1"/>
        <v>4499607</v>
      </c>
      <c r="H9" s="102">
        <v>1150897</v>
      </c>
      <c r="I9" s="102">
        <v>3348710</v>
      </c>
      <c r="J9" s="102">
        <v>24754624</v>
      </c>
      <c r="K9" s="102">
        <v>9999574</v>
      </c>
      <c r="L9" s="102">
        <v>11955842</v>
      </c>
      <c r="M9" s="102">
        <v>2607512</v>
      </c>
      <c r="N9" s="102">
        <v>2323218</v>
      </c>
      <c r="O9" s="102">
        <v>5806284</v>
      </c>
      <c r="P9" s="102">
        <v>3133315</v>
      </c>
      <c r="Q9" s="102">
        <v>2672969</v>
      </c>
      <c r="R9" s="102">
        <v>2349429</v>
      </c>
      <c r="S9" s="74"/>
      <c r="T9" s="73">
        <f t="shared" si="2"/>
        <v>7893969</v>
      </c>
      <c r="U9" s="102">
        <v>179065</v>
      </c>
      <c r="V9" s="102">
        <v>426386</v>
      </c>
      <c r="W9" s="102">
        <v>361787</v>
      </c>
      <c r="X9" s="102">
        <v>6604525</v>
      </c>
      <c r="Y9" s="102">
        <v>0</v>
      </c>
      <c r="Z9" s="102">
        <v>0</v>
      </c>
      <c r="AA9" s="102">
        <v>322206</v>
      </c>
      <c r="AB9" s="102">
        <v>308319</v>
      </c>
      <c r="AC9" s="102">
        <v>5624269</v>
      </c>
      <c r="AD9" s="102">
        <v>4940681</v>
      </c>
      <c r="AE9" s="102">
        <v>683551</v>
      </c>
      <c r="AF9" s="102">
        <v>41149</v>
      </c>
      <c r="AG9" s="102">
        <v>1856960</v>
      </c>
      <c r="AH9" s="73">
        <f t="shared" si="3"/>
        <v>2622986</v>
      </c>
      <c r="AI9" s="102">
        <v>2315019</v>
      </c>
      <c r="AJ9" s="102">
        <v>307967</v>
      </c>
      <c r="AK9" s="102">
        <v>30386429</v>
      </c>
      <c r="AL9" s="73">
        <f t="shared" si="4"/>
        <v>18694125</v>
      </c>
      <c r="AM9" s="102">
        <v>13741175</v>
      </c>
      <c r="AN9" s="102">
        <v>479257</v>
      </c>
      <c r="AO9" s="74"/>
      <c r="AP9" s="102">
        <v>4473693</v>
      </c>
      <c r="AQ9" s="102">
        <v>426059</v>
      </c>
      <c r="AR9" s="102">
        <v>327053</v>
      </c>
      <c r="AS9" s="102">
        <v>0</v>
      </c>
      <c r="AT9" s="102">
        <v>9659746</v>
      </c>
      <c r="AU9" s="102">
        <v>5639162</v>
      </c>
      <c r="AV9" s="102">
        <v>0</v>
      </c>
      <c r="AW9" s="102">
        <v>209153</v>
      </c>
      <c r="AX9" s="102">
        <v>4020584</v>
      </c>
      <c r="AY9" s="102">
        <v>34000</v>
      </c>
      <c r="AZ9" s="102">
        <v>452648</v>
      </c>
      <c r="BA9" s="102">
        <v>344400</v>
      </c>
      <c r="BB9" s="102">
        <v>48640</v>
      </c>
      <c r="BC9" s="102">
        <v>2232355</v>
      </c>
      <c r="BD9" s="102">
        <v>2074239</v>
      </c>
      <c r="BE9" s="102">
        <v>68988</v>
      </c>
      <c r="BF9" s="102">
        <v>38477</v>
      </c>
      <c r="BG9" s="102">
        <v>0</v>
      </c>
      <c r="BH9" s="102">
        <v>1812815</v>
      </c>
      <c r="BI9" s="102">
        <v>1282646</v>
      </c>
      <c r="BJ9" s="102">
        <v>2754340</v>
      </c>
      <c r="BK9" s="102">
        <v>223360</v>
      </c>
      <c r="BL9" s="102">
        <v>0</v>
      </c>
      <c r="BM9" s="102">
        <v>125235</v>
      </c>
      <c r="BN9" s="102">
        <v>11737875</v>
      </c>
      <c r="BO9" s="73">
        <f t="shared" si="5"/>
        <v>5427553</v>
      </c>
      <c r="BP9" s="73">
        <f t="shared" si="6"/>
        <v>6310322</v>
      </c>
      <c r="BQ9" s="102">
        <v>0</v>
      </c>
      <c r="BR9" s="102">
        <v>0</v>
      </c>
      <c r="BS9" s="102">
        <v>6310322</v>
      </c>
      <c r="BT9" s="102">
        <v>0</v>
      </c>
      <c r="BU9" s="102">
        <v>148678113</v>
      </c>
      <c r="BV9" s="71"/>
      <c r="BW9" s="102">
        <v>26827272</v>
      </c>
      <c r="BX9" s="102">
        <v>17090439</v>
      </c>
      <c r="BY9" s="102">
        <v>1828561</v>
      </c>
      <c r="BZ9" s="102">
        <v>3237279</v>
      </c>
      <c r="CA9" s="102">
        <v>49046984</v>
      </c>
      <c r="CB9" s="102">
        <v>11054376</v>
      </c>
      <c r="CC9" s="102">
        <v>444153</v>
      </c>
      <c r="CD9" s="102">
        <v>18568409</v>
      </c>
      <c r="CE9" s="102">
        <v>18346170</v>
      </c>
      <c r="CF9" s="102">
        <v>257335</v>
      </c>
      <c r="CG9" s="102">
        <v>373441</v>
      </c>
      <c r="CH9" s="102">
        <v>10453507</v>
      </c>
      <c r="CI9" s="102">
        <v>9897654</v>
      </c>
      <c r="CJ9" s="83">
        <f t="shared" si="17"/>
        <v>555853</v>
      </c>
      <c r="CK9" s="102">
        <v>16211116</v>
      </c>
      <c r="CL9" s="102">
        <v>9208626</v>
      </c>
      <c r="CM9" s="102">
        <v>608095</v>
      </c>
      <c r="CN9" s="102">
        <v>3518344</v>
      </c>
      <c r="CO9" s="102">
        <v>1197471</v>
      </c>
      <c r="CP9" s="102">
        <v>11814232</v>
      </c>
      <c r="CQ9" s="102">
        <v>1338324</v>
      </c>
      <c r="CR9" s="102">
        <v>3352793</v>
      </c>
      <c r="CS9" s="102">
        <v>3325062</v>
      </c>
      <c r="CT9" s="73">
        <f t="shared" si="7"/>
        <v>5258627</v>
      </c>
      <c r="CU9" s="102">
        <v>4678037</v>
      </c>
      <c r="CV9" s="102">
        <v>580590</v>
      </c>
      <c r="CW9" s="73">
        <f t="shared" si="8"/>
        <v>2281826</v>
      </c>
      <c r="CX9" s="102">
        <v>1878792</v>
      </c>
      <c r="CY9" s="102">
        <v>403034</v>
      </c>
      <c r="CZ9" s="73">
        <f t="shared" si="9"/>
        <v>2803317</v>
      </c>
      <c r="DA9" s="102">
        <v>2664443</v>
      </c>
      <c r="DB9" s="102">
        <v>138874</v>
      </c>
      <c r="DC9" s="102">
        <v>10139971</v>
      </c>
      <c r="DD9" s="102">
        <v>1692293</v>
      </c>
      <c r="DE9" s="102">
        <v>8447678</v>
      </c>
      <c r="DF9" s="102">
        <v>0</v>
      </c>
      <c r="DG9" s="102">
        <v>0</v>
      </c>
      <c r="DH9" s="102">
        <v>589620</v>
      </c>
      <c r="DI9" s="102">
        <v>3853949</v>
      </c>
      <c r="DJ9" s="102">
        <v>2930122</v>
      </c>
      <c r="DK9" s="102">
        <v>542247</v>
      </c>
      <c r="DL9" s="102">
        <v>381580</v>
      </c>
      <c r="DM9" s="102">
        <v>186600</v>
      </c>
      <c r="DN9" s="102">
        <v>186600</v>
      </c>
      <c r="DO9" s="102">
        <v>186600</v>
      </c>
      <c r="DP9" s="102">
        <v>0</v>
      </c>
      <c r="DQ9" s="102">
        <v>181544</v>
      </c>
      <c r="DR9" s="102">
        <v>0</v>
      </c>
      <c r="DS9" s="102">
        <v>0</v>
      </c>
      <c r="DT9" s="102">
        <v>13853094</v>
      </c>
      <c r="DU9" s="102">
        <v>0</v>
      </c>
      <c r="DV9" s="73">
        <f t="shared" si="10"/>
        <v>0</v>
      </c>
      <c r="DW9" s="102">
        <v>0</v>
      </c>
      <c r="DX9" s="102">
        <v>4783921</v>
      </c>
      <c r="DY9" s="102">
        <v>123339</v>
      </c>
      <c r="DZ9" s="102">
        <v>3912860</v>
      </c>
      <c r="EA9" s="74">
        <v>0</v>
      </c>
      <c r="EB9" s="102">
        <v>4856670</v>
      </c>
      <c r="EC9" s="102">
        <v>0</v>
      </c>
      <c r="ED9" s="102">
        <v>144355360</v>
      </c>
      <c r="EE9" s="71"/>
      <c r="EF9" s="102">
        <v>4322753</v>
      </c>
      <c r="EG9" s="102">
        <v>1311597</v>
      </c>
      <c r="EH9" s="102">
        <v>3011156</v>
      </c>
      <c r="EI9" s="102">
        <v>1728510</v>
      </c>
      <c r="EJ9" s="102">
        <v>2675890</v>
      </c>
      <c r="EK9" s="71"/>
      <c r="EL9" s="102">
        <v>395479</v>
      </c>
      <c r="EM9" s="102">
        <v>406593</v>
      </c>
      <c r="EN9" s="102">
        <v>2147957</v>
      </c>
      <c r="EO9" s="102">
        <v>443761</v>
      </c>
      <c r="EP9" s="73">
        <f t="shared" si="11"/>
        <v>3521595</v>
      </c>
      <c r="EQ9" s="102">
        <v>85113319</v>
      </c>
      <c r="ER9" s="71">
        <v>-12382486</v>
      </c>
      <c r="ES9" s="102">
        <v>24720147</v>
      </c>
      <c r="ET9" s="102">
        <v>16097002</v>
      </c>
      <c r="EU9" s="102">
        <v>14550834</v>
      </c>
      <c r="EV9" s="102">
        <v>10266813</v>
      </c>
      <c r="EW9" s="73">
        <f t="shared" si="12"/>
        <v>4271233</v>
      </c>
      <c r="EX9" s="102">
        <v>3921353</v>
      </c>
      <c r="EY9" s="102">
        <v>118295</v>
      </c>
      <c r="EZ9" s="102">
        <v>3803058</v>
      </c>
      <c r="FA9" s="102">
        <v>349880</v>
      </c>
      <c r="FB9" s="102">
        <v>0</v>
      </c>
      <c r="FC9" s="102">
        <v>12727112</v>
      </c>
      <c r="FD9" s="102">
        <v>10439677</v>
      </c>
      <c r="FE9" s="102">
        <v>1338324</v>
      </c>
      <c r="FF9" s="102">
        <v>11352559</v>
      </c>
      <c r="FG9" s="73">
        <f t="shared" si="13"/>
        <v>4844677</v>
      </c>
      <c r="FH9" s="102">
        <v>93173052</v>
      </c>
      <c r="FI9" s="379">
        <f t="shared" si="14"/>
        <v>3.6</v>
      </c>
      <c r="FJ9" s="102">
        <v>77410567</v>
      </c>
      <c r="FK9" s="102">
        <v>6310322</v>
      </c>
      <c r="FL9" s="102">
        <v>55790318</v>
      </c>
      <c r="FM9" s="102">
        <v>60730999</v>
      </c>
      <c r="FN9" s="428">
        <v>0.92</v>
      </c>
      <c r="FO9" s="424">
        <v>92.4</v>
      </c>
      <c r="FP9" s="425">
        <v>28</v>
      </c>
      <c r="FQ9" s="424">
        <v>17</v>
      </c>
      <c r="FR9" s="424">
        <v>11.9</v>
      </c>
      <c r="FS9" s="425">
        <v>13.5</v>
      </c>
      <c r="FT9" s="424">
        <v>9.1999999999999993</v>
      </c>
      <c r="FU9" s="426">
        <v>11.7</v>
      </c>
      <c r="FV9" s="384">
        <v>4</v>
      </c>
      <c r="FW9" s="102">
        <v>87984082</v>
      </c>
      <c r="FX9" s="384">
        <f t="shared" si="15"/>
        <v>105.1</v>
      </c>
      <c r="FY9" s="102">
        <v>11957263</v>
      </c>
      <c r="FZ9" s="102">
        <v>4788191</v>
      </c>
      <c r="GA9" s="102">
        <v>1435790</v>
      </c>
      <c r="GB9" s="102">
        <v>5733282</v>
      </c>
      <c r="GC9" s="107">
        <v>0</v>
      </c>
      <c r="GD9" s="427"/>
      <c r="GE9" s="386"/>
      <c r="GF9" s="424">
        <v>99.2</v>
      </c>
      <c r="GG9" s="424">
        <v>29</v>
      </c>
      <c r="GH9" s="424">
        <v>97</v>
      </c>
      <c r="GI9" s="102">
        <v>2416</v>
      </c>
      <c r="GJ9" s="429" t="s">
        <v>646</v>
      </c>
      <c r="GK9" s="429">
        <v>11.25</v>
      </c>
      <c r="GL9" s="117">
        <v>20</v>
      </c>
      <c r="GM9" s="429" t="s">
        <v>646</v>
      </c>
      <c r="GN9" s="430">
        <v>16.25</v>
      </c>
      <c r="GO9" s="387">
        <v>30</v>
      </c>
      <c r="GP9" s="425">
        <v>4</v>
      </c>
      <c r="GQ9" s="388">
        <v>25</v>
      </c>
      <c r="GR9" s="388">
        <v>35</v>
      </c>
      <c r="GS9" s="431">
        <v>1.2</v>
      </c>
      <c r="GT9" s="388">
        <v>350</v>
      </c>
      <c r="GU9" s="394"/>
      <c r="GV9" s="100">
        <f t="shared" si="16"/>
        <v>83721</v>
      </c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</row>
    <row r="10" spans="2:230" x14ac:dyDescent="0.15">
      <c r="B10" s="89" t="s">
        <v>9</v>
      </c>
      <c r="C10" s="102">
        <v>17759138</v>
      </c>
      <c r="D10" s="73">
        <f t="shared" si="0"/>
        <v>6965374</v>
      </c>
      <c r="E10" s="102">
        <v>154777</v>
      </c>
      <c r="F10" s="102">
        <v>6810597</v>
      </c>
      <c r="G10" s="73">
        <f t="shared" si="1"/>
        <v>2462715</v>
      </c>
      <c r="H10" s="102">
        <v>289147</v>
      </c>
      <c r="I10" s="102">
        <v>2173568</v>
      </c>
      <c r="J10" s="102">
        <v>6218099</v>
      </c>
      <c r="K10" s="102">
        <v>2706195</v>
      </c>
      <c r="L10" s="102">
        <v>2774938</v>
      </c>
      <c r="M10" s="102">
        <v>724269</v>
      </c>
      <c r="N10" s="102">
        <v>570996</v>
      </c>
      <c r="O10" s="102">
        <v>1424424</v>
      </c>
      <c r="P10" s="102">
        <v>828301</v>
      </c>
      <c r="Q10" s="102">
        <v>596123</v>
      </c>
      <c r="R10" s="102">
        <v>216109</v>
      </c>
      <c r="S10" s="74"/>
      <c r="T10" s="73">
        <f t="shared" si="2"/>
        <v>2155394</v>
      </c>
      <c r="U10" s="102">
        <v>42459</v>
      </c>
      <c r="V10" s="102">
        <v>101048</v>
      </c>
      <c r="W10" s="102">
        <v>85610</v>
      </c>
      <c r="X10" s="102">
        <v>1784154</v>
      </c>
      <c r="Y10" s="102">
        <v>57661</v>
      </c>
      <c r="Z10" s="102">
        <v>0</v>
      </c>
      <c r="AA10" s="102">
        <v>84462</v>
      </c>
      <c r="AB10" s="102">
        <v>77696</v>
      </c>
      <c r="AC10" s="102">
        <v>2503198</v>
      </c>
      <c r="AD10" s="102">
        <v>1903335</v>
      </c>
      <c r="AE10" s="102">
        <v>599863</v>
      </c>
      <c r="AF10" s="102">
        <v>12790</v>
      </c>
      <c r="AG10" s="102">
        <v>233650</v>
      </c>
      <c r="AH10" s="73">
        <f t="shared" si="3"/>
        <v>1166379</v>
      </c>
      <c r="AI10" s="102">
        <v>900738</v>
      </c>
      <c r="AJ10" s="102">
        <v>265641</v>
      </c>
      <c r="AK10" s="102">
        <v>5751656</v>
      </c>
      <c r="AL10" s="73">
        <f t="shared" si="4"/>
        <v>2724180</v>
      </c>
      <c r="AM10" s="102">
        <v>1236112</v>
      </c>
      <c r="AN10" s="102">
        <v>643501</v>
      </c>
      <c r="AO10" s="74"/>
      <c r="AP10" s="102">
        <v>844567</v>
      </c>
      <c r="AQ10" s="102">
        <v>642226</v>
      </c>
      <c r="AR10" s="102">
        <v>178768</v>
      </c>
      <c r="AS10" s="102">
        <v>0</v>
      </c>
      <c r="AT10" s="102">
        <v>2493472</v>
      </c>
      <c r="AU10" s="102">
        <v>1630969</v>
      </c>
      <c r="AV10" s="102">
        <v>294571</v>
      </c>
      <c r="AW10" s="102">
        <v>46400</v>
      </c>
      <c r="AX10" s="102">
        <v>862503</v>
      </c>
      <c r="AY10" s="102">
        <v>34217</v>
      </c>
      <c r="AZ10" s="102">
        <v>98380</v>
      </c>
      <c r="BA10" s="102">
        <v>60176</v>
      </c>
      <c r="BB10" s="102">
        <v>195031</v>
      </c>
      <c r="BC10" s="102">
        <v>588742</v>
      </c>
      <c r="BD10" s="102">
        <v>400000</v>
      </c>
      <c r="BE10" s="102">
        <v>0</v>
      </c>
      <c r="BF10" s="102">
        <v>188307</v>
      </c>
      <c r="BG10" s="102">
        <v>0</v>
      </c>
      <c r="BH10" s="102">
        <v>455756</v>
      </c>
      <c r="BI10" s="102">
        <v>342511</v>
      </c>
      <c r="BJ10" s="102">
        <v>503598</v>
      </c>
      <c r="BK10" s="102">
        <v>112539</v>
      </c>
      <c r="BL10" s="102">
        <v>5034</v>
      </c>
      <c r="BM10" s="102">
        <v>85402</v>
      </c>
      <c r="BN10" s="102">
        <v>4445600</v>
      </c>
      <c r="BO10" s="73">
        <f t="shared" si="5"/>
        <v>3145600</v>
      </c>
      <c r="BP10" s="73">
        <f t="shared" si="6"/>
        <v>1300000</v>
      </c>
      <c r="BQ10" s="102">
        <v>0</v>
      </c>
      <c r="BR10" s="102">
        <v>0</v>
      </c>
      <c r="BS10" s="102">
        <v>1300000</v>
      </c>
      <c r="BT10" s="102">
        <v>0</v>
      </c>
      <c r="BU10" s="102">
        <v>38656589</v>
      </c>
      <c r="BV10" s="71"/>
      <c r="BW10" s="102">
        <v>6561171</v>
      </c>
      <c r="BX10" s="102">
        <v>4433863</v>
      </c>
      <c r="BY10" s="102">
        <v>565041</v>
      </c>
      <c r="BZ10" s="102">
        <v>261529</v>
      </c>
      <c r="CA10" s="102">
        <v>8543681</v>
      </c>
      <c r="CB10" s="102">
        <v>2112268</v>
      </c>
      <c r="CC10" s="102">
        <v>95772</v>
      </c>
      <c r="CD10" s="102">
        <v>4404855</v>
      </c>
      <c r="CE10" s="102">
        <v>1583913</v>
      </c>
      <c r="CF10" s="102">
        <v>11645</v>
      </c>
      <c r="CG10" s="102">
        <v>334798</v>
      </c>
      <c r="CH10" s="102">
        <v>3798025</v>
      </c>
      <c r="CI10" s="102">
        <v>3539773</v>
      </c>
      <c r="CJ10" s="83">
        <f t="shared" si="17"/>
        <v>258252</v>
      </c>
      <c r="CK10" s="102">
        <v>6215357</v>
      </c>
      <c r="CL10" s="102">
        <v>3723616</v>
      </c>
      <c r="CM10" s="102">
        <v>651333</v>
      </c>
      <c r="CN10" s="102">
        <v>803135</v>
      </c>
      <c r="CO10" s="102">
        <v>334091</v>
      </c>
      <c r="CP10" s="102">
        <v>2751881</v>
      </c>
      <c r="CQ10" s="102">
        <v>2029</v>
      </c>
      <c r="CR10" s="102">
        <v>738956</v>
      </c>
      <c r="CS10" s="102">
        <v>570016</v>
      </c>
      <c r="CT10" s="73">
        <f t="shared" si="7"/>
        <v>1263702</v>
      </c>
      <c r="CU10" s="102">
        <v>1183698</v>
      </c>
      <c r="CV10" s="102">
        <v>80004</v>
      </c>
      <c r="CW10" s="73">
        <f t="shared" si="8"/>
        <v>530217</v>
      </c>
      <c r="CX10" s="102">
        <v>530217</v>
      </c>
      <c r="CY10" s="102">
        <v>0</v>
      </c>
      <c r="CZ10" s="73">
        <f t="shared" si="9"/>
        <v>730579</v>
      </c>
      <c r="DA10" s="102">
        <v>650575</v>
      </c>
      <c r="DB10" s="102">
        <v>80004</v>
      </c>
      <c r="DC10" s="102">
        <v>4892978</v>
      </c>
      <c r="DD10" s="102">
        <v>1874540</v>
      </c>
      <c r="DE10" s="102">
        <v>3018438</v>
      </c>
      <c r="DF10" s="102">
        <v>0</v>
      </c>
      <c r="DG10" s="102">
        <v>0</v>
      </c>
      <c r="DH10" s="102">
        <v>440288</v>
      </c>
      <c r="DI10" s="102">
        <v>371134</v>
      </c>
      <c r="DJ10" s="102">
        <v>5580</v>
      </c>
      <c r="DK10" s="102">
        <v>0</v>
      </c>
      <c r="DL10" s="102">
        <v>365554</v>
      </c>
      <c r="DM10" s="102">
        <v>655936</v>
      </c>
      <c r="DN10" s="102">
        <v>655936</v>
      </c>
      <c r="DO10" s="102">
        <v>0</v>
      </c>
      <c r="DP10" s="102">
        <v>641558</v>
      </c>
      <c r="DQ10" s="102">
        <v>111600</v>
      </c>
      <c r="DR10" s="102">
        <v>0</v>
      </c>
      <c r="DS10" s="102">
        <v>0</v>
      </c>
      <c r="DT10" s="102">
        <v>3742755</v>
      </c>
      <c r="DU10" s="102">
        <v>0</v>
      </c>
      <c r="DV10" s="73">
        <f t="shared" si="10"/>
        <v>0</v>
      </c>
      <c r="DW10" s="102">
        <v>0</v>
      </c>
      <c r="DX10" s="102">
        <v>1341155</v>
      </c>
      <c r="DY10" s="102">
        <v>6920</v>
      </c>
      <c r="DZ10" s="102">
        <v>1077286</v>
      </c>
      <c r="EA10" s="74">
        <v>0</v>
      </c>
      <c r="EB10" s="102">
        <v>1317394</v>
      </c>
      <c r="EC10" s="102">
        <v>0</v>
      </c>
      <c r="ED10" s="102">
        <v>38418897</v>
      </c>
      <c r="EE10" s="71"/>
      <c r="EF10" s="102">
        <v>237692</v>
      </c>
      <c r="EG10" s="102">
        <v>115714</v>
      </c>
      <c r="EH10" s="102">
        <v>121978</v>
      </c>
      <c r="EI10" s="102">
        <v>-820533</v>
      </c>
      <c r="EJ10" s="102">
        <v>-507953</v>
      </c>
      <c r="EK10" s="71"/>
      <c r="EL10" s="102">
        <v>103069</v>
      </c>
      <c r="EM10" s="102">
        <v>103655</v>
      </c>
      <c r="EN10" s="102">
        <v>400000</v>
      </c>
      <c r="EO10" s="102">
        <v>91108</v>
      </c>
      <c r="EP10" s="73">
        <f t="shared" si="11"/>
        <v>818395</v>
      </c>
      <c r="EQ10" s="102">
        <v>22724325</v>
      </c>
      <c r="ER10" s="71">
        <v>-2596713</v>
      </c>
      <c r="ES10" s="102">
        <v>6228698</v>
      </c>
      <c r="ET10" s="102">
        <v>4177687</v>
      </c>
      <c r="EU10" s="102">
        <v>2671585</v>
      </c>
      <c r="EV10" s="102">
        <v>3798025</v>
      </c>
      <c r="EW10" s="73">
        <f t="shared" si="12"/>
        <v>813469</v>
      </c>
      <c r="EX10" s="102">
        <v>762275</v>
      </c>
      <c r="EY10" s="102">
        <v>122325</v>
      </c>
      <c r="EZ10" s="102">
        <v>639950</v>
      </c>
      <c r="FA10" s="102">
        <v>51194</v>
      </c>
      <c r="FB10" s="102">
        <v>0</v>
      </c>
      <c r="FC10" s="102">
        <v>4912330</v>
      </c>
      <c r="FD10" s="102">
        <v>2456118</v>
      </c>
      <c r="FE10" s="102">
        <v>2029</v>
      </c>
      <c r="FF10" s="102">
        <v>3074498</v>
      </c>
      <c r="FG10" s="73">
        <f t="shared" si="13"/>
        <v>1128623</v>
      </c>
      <c r="FH10" s="102">
        <v>25083346</v>
      </c>
      <c r="FI10" s="379">
        <f t="shared" si="14"/>
        <v>0.6</v>
      </c>
      <c r="FJ10" s="102">
        <v>20088318</v>
      </c>
      <c r="FK10" s="102">
        <v>1388752</v>
      </c>
      <c r="FL10" s="102">
        <v>14023353</v>
      </c>
      <c r="FM10" s="102">
        <v>15900545</v>
      </c>
      <c r="FN10" s="428">
        <v>0.85799999999999998</v>
      </c>
      <c r="FO10" s="424">
        <v>94.7</v>
      </c>
      <c r="FP10" s="425">
        <v>27.7</v>
      </c>
      <c r="FQ10" s="424">
        <v>11.9</v>
      </c>
      <c r="FR10" s="424">
        <v>13.9</v>
      </c>
      <c r="FS10" s="425">
        <v>19.399999999999999</v>
      </c>
      <c r="FT10" s="424">
        <v>8.1</v>
      </c>
      <c r="FU10" s="426">
        <v>12.6</v>
      </c>
      <c r="FV10" s="384">
        <v>5.5</v>
      </c>
      <c r="FW10" s="102">
        <v>34641648</v>
      </c>
      <c r="FX10" s="384">
        <f t="shared" si="15"/>
        <v>161.30000000000001</v>
      </c>
      <c r="FY10" s="102">
        <v>7411449</v>
      </c>
      <c r="FZ10" s="102">
        <v>5348058</v>
      </c>
      <c r="GA10" s="102">
        <v>0</v>
      </c>
      <c r="GB10" s="102">
        <v>2063391</v>
      </c>
      <c r="GC10" s="107">
        <v>0</v>
      </c>
      <c r="GD10" s="427"/>
      <c r="GE10" s="386"/>
      <c r="GF10" s="424">
        <v>99.3</v>
      </c>
      <c r="GG10" s="424">
        <v>27.4</v>
      </c>
      <c r="GH10" s="424">
        <v>97</v>
      </c>
      <c r="GI10" s="102">
        <v>603</v>
      </c>
      <c r="GJ10" s="429" t="s">
        <v>646</v>
      </c>
      <c r="GK10" s="429">
        <v>12.36</v>
      </c>
      <c r="GL10" s="117">
        <v>20</v>
      </c>
      <c r="GM10" s="429" t="s">
        <v>646</v>
      </c>
      <c r="GN10" s="430">
        <v>17.36</v>
      </c>
      <c r="GO10" s="387">
        <v>30</v>
      </c>
      <c r="GP10" s="425">
        <v>5.5</v>
      </c>
      <c r="GQ10" s="388">
        <v>25</v>
      </c>
      <c r="GR10" s="388">
        <v>35</v>
      </c>
      <c r="GS10" s="431">
        <v>3</v>
      </c>
      <c r="GT10" s="388">
        <v>350</v>
      </c>
      <c r="GU10" s="394"/>
      <c r="GV10" s="100">
        <f t="shared" si="16"/>
        <v>21477</v>
      </c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</row>
    <row r="11" spans="2:230" x14ac:dyDescent="0.15">
      <c r="B11" s="89" t="s">
        <v>11</v>
      </c>
      <c r="C11" s="102">
        <v>67264653</v>
      </c>
      <c r="D11" s="73">
        <f t="shared" si="0"/>
        <v>28091800</v>
      </c>
      <c r="E11" s="102">
        <v>617863</v>
      </c>
      <c r="F11" s="102">
        <v>27473937</v>
      </c>
      <c r="G11" s="73">
        <f t="shared" si="1"/>
        <v>5030723</v>
      </c>
      <c r="H11" s="102">
        <v>1208792</v>
      </c>
      <c r="I11" s="102">
        <v>3821931</v>
      </c>
      <c r="J11" s="102">
        <v>25476531</v>
      </c>
      <c r="K11" s="102">
        <v>9572219</v>
      </c>
      <c r="L11" s="102">
        <v>12366175</v>
      </c>
      <c r="M11" s="102">
        <v>2884590</v>
      </c>
      <c r="N11" s="102">
        <v>1693283</v>
      </c>
      <c r="O11" s="102">
        <v>5642912</v>
      </c>
      <c r="P11" s="102">
        <v>2869957</v>
      </c>
      <c r="Q11" s="102">
        <v>2772955</v>
      </c>
      <c r="R11" s="102">
        <v>558403</v>
      </c>
      <c r="S11" s="74"/>
      <c r="T11" s="73">
        <f t="shared" si="2"/>
        <v>7642856</v>
      </c>
      <c r="U11" s="102">
        <v>166813</v>
      </c>
      <c r="V11" s="102">
        <v>397318</v>
      </c>
      <c r="W11" s="102">
        <v>337371</v>
      </c>
      <c r="X11" s="102">
        <v>6438868</v>
      </c>
      <c r="Y11" s="102">
        <v>0</v>
      </c>
      <c r="Z11" s="102">
        <v>0</v>
      </c>
      <c r="AA11" s="102">
        <v>302486</v>
      </c>
      <c r="AB11" s="102">
        <v>288208</v>
      </c>
      <c r="AC11" s="102">
        <v>858653</v>
      </c>
      <c r="AD11" s="102">
        <v>585219</v>
      </c>
      <c r="AE11" s="102">
        <v>273388</v>
      </c>
      <c r="AF11" s="102">
        <v>38172</v>
      </c>
      <c r="AG11" s="102">
        <v>1194818</v>
      </c>
      <c r="AH11" s="73">
        <f t="shared" si="3"/>
        <v>3071986</v>
      </c>
      <c r="AI11" s="102">
        <v>2492499</v>
      </c>
      <c r="AJ11" s="102">
        <v>579487</v>
      </c>
      <c r="AK11" s="102">
        <v>22917737</v>
      </c>
      <c r="AL11" s="73">
        <f t="shared" si="4"/>
        <v>13925918</v>
      </c>
      <c r="AM11" s="102">
        <v>7472275</v>
      </c>
      <c r="AN11" s="102">
        <v>2358613</v>
      </c>
      <c r="AO11" s="74"/>
      <c r="AP11" s="102">
        <v>4095030</v>
      </c>
      <c r="AQ11" s="102">
        <v>818153</v>
      </c>
      <c r="AR11" s="102">
        <v>78965</v>
      </c>
      <c r="AS11" s="102">
        <v>0</v>
      </c>
      <c r="AT11" s="102">
        <v>9093305</v>
      </c>
      <c r="AU11" s="102">
        <v>5839992</v>
      </c>
      <c r="AV11" s="102">
        <v>1079093</v>
      </c>
      <c r="AW11" s="102">
        <v>575972</v>
      </c>
      <c r="AX11" s="102">
        <v>3253313</v>
      </c>
      <c r="AY11" s="102">
        <v>0</v>
      </c>
      <c r="AZ11" s="102">
        <v>1903064</v>
      </c>
      <c r="BA11" s="102">
        <v>1827276</v>
      </c>
      <c r="BB11" s="102">
        <v>159841</v>
      </c>
      <c r="BC11" s="102">
        <v>2739095</v>
      </c>
      <c r="BD11" s="102">
        <v>0</v>
      </c>
      <c r="BE11" s="102">
        <v>0</v>
      </c>
      <c r="BF11" s="102">
        <v>2736144</v>
      </c>
      <c r="BG11" s="102">
        <v>0</v>
      </c>
      <c r="BH11" s="102">
        <v>4183747</v>
      </c>
      <c r="BI11" s="102">
        <v>2533882</v>
      </c>
      <c r="BJ11" s="102">
        <v>3003817</v>
      </c>
      <c r="BK11" s="102">
        <v>350989</v>
      </c>
      <c r="BL11" s="102">
        <v>131376</v>
      </c>
      <c r="BM11" s="102">
        <v>122288</v>
      </c>
      <c r="BN11" s="102">
        <v>5705100</v>
      </c>
      <c r="BO11" s="73">
        <f t="shared" si="5"/>
        <v>5705100</v>
      </c>
      <c r="BP11" s="73">
        <f t="shared" si="6"/>
        <v>0</v>
      </c>
      <c r="BQ11" s="102">
        <v>0</v>
      </c>
      <c r="BR11" s="102">
        <v>0</v>
      </c>
      <c r="BS11" s="102">
        <v>0</v>
      </c>
      <c r="BT11" s="102">
        <v>0</v>
      </c>
      <c r="BU11" s="102">
        <v>130623455</v>
      </c>
      <c r="BV11" s="71"/>
      <c r="BW11" s="102">
        <v>23073855</v>
      </c>
      <c r="BX11" s="102">
        <v>15375008</v>
      </c>
      <c r="BY11" s="102">
        <v>1692693</v>
      </c>
      <c r="BZ11" s="102">
        <v>1657879</v>
      </c>
      <c r="CA11" s="102">
        <v>37914413</v>
      </c>
      <c r="CB11" s="102">
        <v>9210823</v>
      </c>
      <c r="CC11" s="102">
        <v>416098</v>
      </c>
      <c r="CD11" s="102">
        <v>17252727</v>
      </c>
      <c r="CE11" s="102">
        <v>10230141</v>
      </c>
      <c r="CF11" s="102">
        <v>274664</v>
      </c>
      <c r="CG11" s="102">
        <v>527393</v>
      </c>
      <c r="CH11" s="102">
        <v>5075105</v>
      </c>
      <c r="CI11" s="102">
        <v>4709533</v>
      </c>
      <c r="CJ11" s="83">
        <f t="shared" si="17"/>
        <v>365572</v>
      </c>
      <c r="CK11" s="102">
        <v>18935201</v>
      </c>
      <c r="CL11" s="102">
        <v>11859651</v>
      </c>
      <c r="CM11" s="102">
        <v>1643812</v>
      </c>
      <c r="CN11" s="102">
        <v>2676162</v>
      </c>
      <c r="CO11" s="102">
        <v>2371611</v>
      </c>
      <c r="CP11" s="102">
        <v>7766373</v>
      </c>
      <c r="CQ11" s="102">
        <v>7120</v>
      </c>
      <c r="CR11" s="102">
        <v>2298193</v>
      </c>
      <c r="CS11" s="102">
        <v>1439915</v>
      </c>
      <c r="CT11" s="73">
        <f t="shared" si="7"/>
        <v>3058499</v>
      </c>
      <c r="CU11" s="102">
        <v>2799948</v>
      </c>
      <c r="CV11" s="102">
        <v>258551</v>
      </c>
      <c r="CW11" s="73">
        <f t="shared" si="8"/>
        <v>0</v>
      </c>
      <c r="CX11" s="102">
        <v>0</v>
      </c>
      <c r="CY11" s="102">
        <v>0</v>
      </c>
      <c r="CZ11" s="73">
        <f t="shared" si="9"/>
        <v>3010915</v>
      </c>
      <c r="DA11" s="102">
        <v>2761584</v>
      </c>
      <c r="DB11" s="102">
        <v>249331</v>
      </c>
      <c r="DC11" s="102">
        <v>14236718</v>
      </c>
      <c r="DD11" s="102">
        <v>4215987</v>
      </c>
      <c r="DE11" s="102">
        <v>9889398</v>
      </c>
      <c r="DF11" s="102">
        <v>6068</v>
      </c>
      <c r="DG11" s="102">
        <v>125265</v>
      </c>
      <c r="DH11" s="102">
        <v>974550</v>
      </c>
      <c r="DI11" s="102">
        <v>3906218</v>
      </c>
      <c r="DJ11" s="102">
        <v>1263074</v>
      </c>
      <c r="DK11" s="102">
        <v>0</v>
      </c>
      <c r="DL11" s="102">
        <v>2643144</v>
      </c>
      <c r="DM11" s="102">
        <v>17600</v>
      </c>
      <c r="DN11" s="102">
        <v>0</v>
      </c>
      <c r="DO11" s="102">
        <v>0</v>
      </c>
      <c r="DP11" s="102">
        <v>0</v>
      </c>
      <c r="DQ11" s="102">
        <v>520500</v>
      </c>
      <c r="DR11" s="102">
        <v>0</v>
      </c>
      <c r="DS11" s="102">
        <v>0</v>
      </c>
      <c r="DT11" s="102">
        <v>11846765</v>
      </c>
      <c r="DU11" s="102">
        <v>0</v>
      </c>
      <c r="DV11" s="73">
        <f t="shared" si="10"/>
        <v>0</v>
      </c>
      <c r="DW11" s="102">
        <v>0</v>
      </c>
      <c r="DX11" s="102">
        <v>4105710</v>
      </c>
      <c r="DY11" s="102">
        <v>0</v>
      </c>
      <c r="DZ11" s="102">
        <v>3289494</v>
      </c>
      <c r="EA11" s="74">
        <v>0</v>
      </c>
      <c r="EB11" s="102">
        <v>3761282</v>
      </c>
      <c r="EC11" s="102">
        <v>0</v>
      </c>
      <c r="ED11" s="102">
        <v>126638909</v>
      </c>
      <c r="EE11" s="71"/>
      <c r="EF11" s="102">
        <v>3984546</v>
      </c>
      <c r="EG11" s="102">
        <v>1528758</v>
      </c>
      <c r="EH11" s="102">
        <v>2455788</v>
      </c>
      <c r="EI11" s="102">
        <v>-78094</v>
      </c>
      <c r="EJ11" s="102">
        <v>1184980</v>
      </c>
      <c r="EK11" s="71"/>
      <c r="EL11" s="102">
        <v>374468</v>
      </c>
      <c r="EM11" s="102">
        <v>371715</v>
      </c>
      <c r="EN11" s="102">
        <v>1169905</v>
      </c>
      <c r="EO11" s="102">
        <v>1901075</v>
      </c>
      <c r="EP11" s="73">
        <f t="shared" si="11"/>
        <v>5653437</v>
      </c>
      <c r="EQ11" s="102">
        <v>76650945</v>
      </c>
      <c r="ER11" s="71">
        <v>-8686245</v>
      </c>
      <c r="ES11" s="102">
        <v>21038547</v>
      </c>
      <c r="ET11" s="102">
        <v>13877840</v>
      </c>
      <c r="EU11" s="102">
        <v>11517988</v>
      </c>
      <c r="EV11" s="102">
        <v>5074266</v>
      </c>
      <c r="EW11" s="73">
        <f t="shared" si="12"/>
        <v>5837309</v>
      </c>
      <c r="EX11" s="102">
        <v>5343948</v>
      </c>
      <c r="EY11" s="102">
        <v>289997</v>
      </c>
      <c r="EZ11" s="102">
        <v>5051843</v>
      </c>
      <c r="FA11" s="102">
        <v>493361</v>
      </c>
      <c r="FB11" s="102">
        <v>0</v>
      </c>
      <c r="FC11" s="102">
        <v>15535290</v>
      </c>
      <c r="FD11" s="102">
        <v>6830123</v>
      </c>
      <c r="FE11" s="102">
        <v>7120</v>
      </c>
      <c r="FF11" s="102">
        <v>9596225</v>
      </c>
      <c r="FG11" s="73">
        <f t="shared" si="13"/>
        <v>5922896</v>
      </c>
      <c r="FH11" s="102">
        <v>81352644</v>
      </c>
      <c r="FI11" s="379">
        <f t="shared" si="14"/>
        <v>3.4</v>
      </c>
      <c r="FJ11" s="102">
        <v>69541032</v>
      </c>
      <c r="FK11" s="102">
        <v>1855016</v>
      </c>
      <c r="FL11" s="102">
        <v>52864294</v>
      </c>
      <c r="FM11" s="102">
        <v>53449513</v>
      </c>
      <c r="FN11" s="428">
        <v>0.98799999999999999</v>
      </c>
      <c r="FO11" s="424">
        <v>95.7</v>
      </c>
      <c r="FP11" s="425">
        <v>28.9</v>
      </c>
      <c r="FQ11" s="424">
        <v>16</v>
      </c>
      <c r="FR11" s="424">
        <v>7.1</v>
      </c>
      <c r="FS11" s="425">
        <v>20.9</v>
      </c>
      <c r="FT11" s="424">
        <v>8.1999999999999993</v>
      </c>
      <c r="FU11" s="426">
        <v>11.5</v>
      </c>
      <c r="FV11" s="384">
        <v>-2.7</v>
      </c>
      <c r="FW11" s="102">
        <v>48683751</v>
      </c>
      <c r="FX11" s="384">
        <f t="shared" si="15"/>
        <v>68.2</v>
      </c>
      <c r="FY11" s="102">
        <v>23244164</v>
      </c>
      <c r="FZ11" s="102">
        <v>12153848</v>
      </c>
      <c r="GA11" s="102">
        <v>0</v>
      </c>
      <c r="GB11" s="102">
        <v>11090316</v>
      </c>
      <c r="GC11" s="107">
        <v>0</v>
      </c>
      <c r="GD11" s="427"/>
      <c r="GE11" s="386"/>
      <c r="GF11" s="424">
        <v>99.5</v>
      </c>
      <c r="GG11" s="424">
        <v>32.5</v>
      </c>
      <c r="GH11" s="424">
        <v>98.2</v>
      </c>
      <c r="GI11" s="102">
        <v>2390</v>
      </c>
      <c r="GJ11" s="429" t="s">
        <v>646</v>
      </c>
      <c r="GK11" s="429">
        <v>11.25</v>
      </c>
      <c r="GL11" s="117">
        <v>20</v>
      </c>
      <c r="GM11" s="429" t="s">
        <v>646</v>
      </c>
      <c r="GN11" s="430">
        <v>16.25</v>
      </c>
      <c r="GO11" s="387">
        <v>30</v>
      </c>
      <c r="GP11" s="425">
        <v>-2.7</v>
      </c>
      <c r="GQ11" s="388">
        <v>25</v>
      </c>
      <c r="GR11" s="388">
        <v>35</v>
      </c>
      <c r="GS11" s="431" t="s">
        <v>646</v>
      </c>
      <c r="GT11" s="388">
        <v>350</v>
      </c>
      <c r="GU11" s="394"/>
      <c r="GV11" s="100">
        <f t="shared" si="16"/>
        <v>71396</v>
      </c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</row>
    <row r="12" spans="2:230" x14ac:dyDescent="0.15">
      <c r="B12" s="89" t="s">
        <v>13</v>
      </c>
      <c r="C12" s="102">
        <v>11526876</v>
      </c>
      <c r="D12" s="73">
        <f t="shared" si="0"/>
        <v>3734506</v>
      </c>
      <c r="E12" s="102">
        <v>117676</v>
      </c>
      <c r="F12" s="102">
        <v>3616830</v>
      </c>
      <c r="G12" s="73">
        <f t="shared" si="1"/>
        <v>900864</v>
      </c>
      <c r="H12" s="102">
        <v>277785</v>
      </c>
      <c r="I12" s="102">
        <v>623079</v>
      </c>
      <c r="J12" s="102">
        <v>5224620</v>
      </c>
      <c r="K12" s="102">
        <v>1928684</v>
      </c>
      <c r="L12" s="102">
        <v>2037290</v>
      </c>
      <c r="M12" s="102">
        <v>734761</v>
      </c>
      <c r="N12" s="102">
        <v>577002</v>
      </c>
      <c r="O12" s="102">
        <v>973098</v>
      </c>
      <c r="P12" s="102">
        <v>526127</v>
      </c>
      <c r="Q12" s="102">
        <v>446971</v>
      </c>
      <c r="R12" s="102">
        <v>184716</v>
      </c>
      <c r="S12" s="74"/>
      <c r="T12" s="73">
        <f t="shared" si="2"/>
        <v>1502140</v>
      </c>
      <c r="U12" s="102">
        <v>22704</v>
      </c>
      <c r="V12" s="102">
        <v>54015</v>
      </c>
      <c r="W12" s="102">
        <v>45726</v>
      </c>
      <c r="X12" s="102">
        <v>1311360</v>
      </c>
      <c r="Y12" s="102">
        <v>0</v>
      </c>
      <c r="Z12" s="102">
        <v>0</v>
      </c>
      <c r="AA12" s="102">
        <v>68335</v>
      </c>
      <c r="AB12" s="102">
        <v>57097</v>
      </c>
      <c r="AC12" s="102">
        <v>3622163</v>
      </c>
      <c r="AD12" s="102">
        <v>3278829</v>
      </c>
      <c r="AE12" s="102">
        <v>343334</v>
      </c>
      <c r="AF12" s="102">
        <v>12846</v>
      </c>
      <c r="AG12" s="102">
        <v>24468</v>
      </c>
      <c r="AH12" s="73">
        <f t="shared" si="3"/>
        <v>576997</v>
      </c>
      <c r="AI12" s="102">
        <v>443246</v>
      </c>
      <c r="AJ12" s="102">
        <v>133751</v>
      </c>
      <c r="AK12" s="102">
        <v>4894440</v>
      </c>
      <c r="AL12" s="73">
        <f t="shared" si="4"/>
        <v>3421917</v>
      </c>
      <c r="AM12" s="102">
        <v>2186958</v>
      </c>
      <c r="AN12" s="102">
        <v>389716</v>
      </c>
      <c r="AO12" s="74"/>
      <c r="AP12" s="102">
        <v>845243</v>
      </c>
      <c r="AQ12" s="102">
        <v>48455</v>
      </c>
      <c r="AR12" s="102">
        <v>0</v>
      </c>
      <c r="AS12" s="102">
        <v>0</v>
      </c>
      <c r="AT12" s="102">
        <v>1873739</v>
      </c>
      <c r="AU12" s="102">
        <v>1020879</v>
      </c>
      <c r="AV12" s="102">
        <v>180271</v>
      </c>
      <c r="AW12" s="102">
        <v>35205</v>
      </c>
      <c r="AX12" s="102">
        <v>852860</v>
      </c>
      <c r="AY12" s="102">
        <v>161</v>
      </c>
      <c r="AZ12" s="102">
        <v>231370</v>
      </c>
      <c r="BA12" s="102">
        <v>105984</v>
      </c>
      <c r="BB12" s="102">
        <v>171402</v>
      </c>
      <c r="BC12" s="102">
        <v>355555</v>
      </c>
      <c r="BD12" s="102">
        <v>0</v>
      </c>
      <c r="BE12" s="102">
        <v>0</v>
      </c>
      <c r="BF12" s="102">
        <v>303416</v>
      </c>
      <c r="BG12" s="102">
        <v>0</v>
      </c>
      <c r="BH12" s="102">
        <v>527802</v>
      </c>
      <c r="BI12" s="102">
        <v>441837</v>
      </c>
      <c r="BJ12" s="102">
        <v>413471</v>
      </c>
      <c r="BK12" s="102">
        <v>0</v>
      </c>
      <c r="BL12" s="102">
        <v>6705</v>
      </c>
      <c r="BM12" s="102">
        <v>83056</v>
      </c>
      <c r="BN12" s="102">
        <v>1740399</v>
      </c>
      <c r="BO12" s="73">
        <f t="shared" si="5"/>
        <v>586400</v>
      </c>
      <c r="BP12" s="73">
        <f t="shared" si="6"/>
        <v>1153999</v>
      </c>
      <c r="BQ12" s="102">
        <v>0</v>
      </c>
      <c r="BR12" s="102">
        <v>0</v>
      </c>
      <c r="BS12" s="102">
        <v>1153999</v>
      </c>
      <c r="BT12" s="102">
        <v>0</v>
      </c>
      <c r="BU12" s="102">
        <v>27715481</v>
      </c>
      <c r="BV12" s="71"/>
      <c r="BW12" s="102">
        <v>3934768</v>
      </c>
      <c r="BX12" s="102">
        <v>2498731</v>
      </c>
      <c r="BY12" s="102">
        <v>179349</v>
      </c>
      <c r="BZ12" s="102">
        <v>418211</v>
      </c>
      <c r="CA12" s="102">
        <v>8202664</v>
      </c>
      <c r="CB12" s="102">
        <v>1957931</v>
      </c>
      <c r="CC12" s="102">
        <v>134051</v>
      </c>
      <c r="CD12" s="102">
        <v>3066048</v>
      </c>
      <c r="CE12" s="102">
        <v>2879269</v>
      </c>
      <c r="CF12" s="102">
        <v>3533</v>
      </c>
      <c r="CG12" s="102">
        <v>161832</v>
      </c>
      <c r="CH12" s="102">
        <v>2860524</v>
      </c>
      <c r="CI12" s="102">
        <v>2531246</v>
      </c>
      <c r="CJ12" s="83">
        <f t="shared" si="17"/>
        <v>329278</v>
      </c>
      <c r="CK12" s="102">
        <v>3436611</v>
      </c>
      <c r="CL12" s="102">
        <v>1677521</v>
      </c>
      <c r="CM12" s="102">
        <v>238922</v>
      </c>
      <c r="CN12" s="102">
        <v>491551</v>
      </c>
      <c r="CO12" s="102">
        <v>134794</v>
      </c>
      <c r="CP12" s="102">
        <v>2185504</v>
      </c>
      <c r="CQ12" s="102">
        <v>434214</v>
      </c>
      <c r="CR12" s="102">
        <v>302729</v>
      </c>
      <c r="CS12" s="102">
        <v>274707</v>
      </c>
      <c r="CT12" s="73">
        <f t="shared" si="7"/>
        <v>914771</v>
      </c>
      <c r="CU12" s="102">
        <v>906848</v>
      </c>
      <c r="CV12" s="102">
        <v>7923</v>
      </c>
      <c r="CW12" s="73">
        <f t="shared" si="8"/>
        <v>900000</v>
      </c>
      <c r="CX12" s="102">
        <v>900000</v>
      </c>
      <c r="CY12" s="102">
        <v>0</v>
      </c>
      <c r="CZ12" s="73">
        <f t="shared" si="9"/>
        <v>0</v>
      </c>
      <c r="DA12" s="102">
        <v>0</v>
      </c>
      <c r="DB12" s="102">
        <v>0</v>
      </c>
      <c r="DC12" s="102">
        <v>913313</v>
      </c>
      <c r="DD12" s="102">
        <v>267991</v>
      </c>
      <c r="DE12" s="102">
        <v>645322</v>
      </c>
      <c r="DF12" s="102">
        <v>0</v>
      </c>
      <c r="DG12" s="102">
        <v>0</v>
      </c>
      <c r="DH12" s="102">
        <v>62333</v>
      </c>
      <c r="DI12" s="102">
        <v>1162133</v>
      </c>
      <c r="DJ12" s="102">
        <v>646894</v>
      </c>
      <c r="DK12" s="102">
        <v>0</v>
      </c>
      <c r="DL12" s="102">
        <v>515239</v>
      </c>
      <c r="DM12" s="102">
        <v>0</v>
      </c>
      <c r="DN12" s="102">
        <v>0</v>
      </c>
      <c r="DO12" s="102">
        <v>0</v>
      </c>
      <c r="DP12" s="102">
        <v>0</v>
      </c>
      <c r="DQ12" s="102">
        <v>0</v>
      </c>
      <c r="DR12" s="102">
        <v>0</v>
      </c>
      <c r="DS12" s="102">
        <v>0</v>
      </c>
      <c r="DT12" s="102">
        <v>4384958</v>
      </c>
      <c r="DU12" s="102">
        <v>1551619</v>
      </c>
      <c r="DV12" s="73">
        <f t="shared" si="10"/>
        <v>0</v>
      </c>
      <c r="DW12" s="102">
        <v>0</v>
      </c>
      <c r="DX12" s="102">
        <v>983821</v>
      </c>
      <c r="DY12" s="102">
        <v>96710</v>
      </c>
      <c r="DZ12" s="102">
        <v>945555</v>
      </c>
      <c r="EA12" s="74">
        <v>0</v>
      </c>
      <c r="EB12" s="102">
        <v>807253</v>
      </c>
      <c r="EC12" s="102">
        <v>0</v>
      </c>
      <c r="ED12" s="102">
        <v>27277602</v>
      </c>
      <c r="EE12" s="71"/>
      <c r="EF12" s="102">
        <v>437879</v>
      </c>
      <c r="EG12" s="102">
        <v>98267</v>
      </c>
      <c r="EH12" s="102">
        <v>339612</v>
      </c>
      <c r="EI12" s="102">
        <v>-102225</v>
      </c>
      <c r="EJ12" s="102">
        <v>544669</v>
      </c>
      <c r="EK12" s="71"/>
      <c r="EL12" s="102">
        <v>75897</v>
      </c>
      <c r="EM12" s="102">
        <v>74824</v>
      </c>
      <c r="EN12" s="102">
        <v>0</v>
      </c>
      <c r="EO12" s="102">
        <v>5292</v>
      </c>
      <c r="EP12" s="73">
        <f t="shared" si="11"/>
        <v>856997</v>
      </c>
      <c r="EQ12" s="102">
        <v>16905838</v>
      </c>
      <c r="ER12" s="71">
        <v>-2003442</v>
      </c>
      <c r="ES12" s="102">
        <v>3389335</v>
      </c>
      <c r="ET12" s="102">
        <v>2086084</v>
      </c>
      <c r="EU12" s="102">
        <v>2620413</v>
      </c>
      <c r="EV12" s="102">
        <v>2842460</v>
      </c>
      <c r="EW12" s="73">
        <f t="shared" si="12"/>
        <v>686688</v>
      </c>
      <c r="EX12" s="102">
        <v>673955</v>
      </c>
      <c r="EY12" s="102">
        <v>89030</v>
      </c>
      <c r="EZ12" s="102">
        <v>584925</v>
      </c>
      <c r="FA12" s="102">
        <v>12733</v>
      </c>
      <c r="FB12" s="102">
        <v>0</v>
      </c>
      <c r="FC12" s="102">
        <v>2469529</v>
      </c>
      <c r="FD12" s="102">
        <v>2067976</v>
      </c>
      <c r="FE12" s="102">
        <v>433395</v>
      </c>
      <c r="FF12" s="102">
        <v>3620206</v>
      </c>
      <c r="FG12" s="73">
        <f t="shared" si="13"/>
        <v>774794</v>
      </c>
      <c r="FH12" s="102">
        <v>18471401</v>
      </c>
      <c r="FI12" s="379">
        <f t="shared" si="14"/>
        <v>2</v>
      </c>
      <c r="FJ12" s="102">
        <v>15486906</v>
      </c>
      <c r="FK12" s="102">
        <v>1153999</v>
      </c>
      <c r="FL12" s="102">
        <v>9502854</v>
      </c>
      <c r="FM12" s="102">
        <v>12781683</v>
      </c>
      <c r="FN12" s="428">
        <v>0.73499999999999999</v>
      </c>
      <c r="FO12" s="424">
        <v>96</v>
      </c>
      <c r="FP12" s="425">
        <v>19.600000000000001</v>
      </c>
      <c r="FQ12" s="424">
        <v>15.6</v>
      </c>
      <c r="FR12" s="424">
        <v>16.8</v>
      </c>
      <c r="FS12" s="425">
        <v>14</v>
      </c>
      <c r="FT12" s="424">
        <v>9.9</v>
      </c>
      <c r="FU12" s="426">
        <v>19.399999999999999</v>
      </c>
      <c r="FV12" s="384">
        <v>11.9</v>
      </c>
      <c r="FW12" s="102">
        <v>29129931</v>
      </c>
      <c r="FX12" s="384">
        <f t="shared" si="15"/>
        <v>175.1</v>
      </c>
      <c r="FY12" s="102">
        <v>5398046</v>
      </c>
      <c r="FZ12" s="102">
        <v>2228318</v>
      </c>
      <c r="GA12" s="102">
        <v>0</v>
      </c>
      <c r="GB12" s="102">
        <v>3169728</v>
      </c>
      <c r="GC12" s="107">
        <v>0</v>
      </c>
      <c r="GD12" s="427">
        <v>2198</v>
      </c>
      <c r="GE12" s="386">
        <f>IF(GD12=0,"-",ROUND(GD12/(GV12)*100,1))</f>
        <v>13.2</v>
      </c>
      <c r="GF12" s="424">
        <v>99.1</v>
      </c>
      <c r="GG12" s="424">
        <v>33.5</v>
      </c>
      <c r="GH12" s="424">
        <v>97.7</v>
      </c>
      <c r="GI12" s="102">
        <v>437</v>
      </c>
      <c r="GJ12" s="429" t="s">
        <v>646</v>
      </c>
      <c r="GK12" s="429">
        <v>12.67</v>
      </c>
      <c r="GL12" s="117">
        <v>20</v>
      </c>
      <c r="GM12" s="429" t="s">
        <v>646</v>
      </c>
      <c r="GN12" s="430">
        <v>17.670000000000002</v>
      </c>
      <c r="GO12" s="387">
        <v>30</v>
      </c>
      <c r="GP12" s="425">
        <v>11.9</v>
      </c>
      <c r="GQ12" s="388">
        <v>25</v>
      </c>
      <c r="GR12" s="388">
        <v>35</v>
      </c>
      <c r="GS12" s="431">
        <v>68.2</v>
      </c>
      <c r="GT12" s="388">
        <v>350</v>
      </c>
      <c r="GU12" s="394"/>
      <c r="GV12" s="100">
        <f t="shared" si="16"/>
        <v>16641</v>
      </c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</row>
    <row r="13" spans="2:230" ht="12.75" customHeight="1" x14ac:dyDescent="0.15">
      <c r="B13" s="89" t="s">
        <v>15</v>
      </c>
      <c r="C13" s="102">
        <v>50417484</v>
      </c>
      <c r="D13" s="73">
        <f t="shared" si="0"/>
        <v>20661856</v>
      </c>
      <c r="E13" s="102">
        <v>583049</v>
      </c>
      <c r="F13" s="102">
        <v>20078807</v>
      </c>
      <c r="G13" s="73">
        <f t="shared" si="1"/>
        <v>3487098</v>
      </c>
      <c r="H13" s="102">
        <v>802597</v>
      </c>
      <c r="I13" s="102">
        <v>2684501</v>
      </c>
      <c r="J13" s="102">
        <v>19193085</v>
      </c>
      <c r="K13" s="102">
        <v>7967880</v>
      </c>
      <c r="L13" s="102">
        <v>8531353</v>
      </c>
      <c r="M13" s="102">
        <v>2444270</v>
      </c>
      <c r="N13" s="102">
        <v>1588918</v>
      </c>
      <c r="O13" s="102">
        <v>3973444</v>
      </c>
      <c r="P13" s="102">
        <v>2177804</v>
      </c>
      <c r="Q13" s="102">
        <v>1795640</v>
      </c>
      <c r="R13" s="102">
        <v>593463</v>
      </c>
      <c r="S13" s="74"/>
      <c r="T13" s="73">
        <f t="shared" si="2"/>
        <v>6781019</v>
      </c>
      <c r="U13" s="102">
        <v>126065</v>
      </c>
      <c r="V13" s="102">
        <v>299942</v>
      </c>
      <c r="W13" s="102">
        <v>253929</v>
      </c>
      <c r="X13" s="102">
        <v>5734316</v>
      </c>
      <c r="Y13" s="102">
        <v>45527</v>
      </c>
      <c r="Z13" s="102">
        <v>0</v>
      </c>
      <c r="AA13" s="102">
        <v>321240</v>
      </c>
      <c r="AB13" s="102">
        <v>294227</v>
      </c>
      <c r="AC13" s="102">
        <v>9726106</v>
      </c>
      <c r="AD13" s="102">
        <v>9046814</v>
      </c>
      <c r="AE13" s="102">
        <v>679292</v>
      </c>
      <c r="AF13" s="102">
        <v>41850</v>
      </c>
      <c r="AG13" s="102">
        <v>1106703</v>
      </c>
      <c r="AH13" s="73">
        <f t="shared" si="3"/>
        <v>2592419</v>
      </c>
      <c r="AI13" s="102">
        <v>2088856</v>
      </c>
      <c r="AJ13" s="102">
        <v>503563</v>
      </c>
      <c r="AK13" s="102">
        <v>24406997</v>
      </c>
      <c r="AL13" s="73">
        <f t="shared" si="4"/>
        <v>13687630</v>
      </c>
      <c r="AM13" s="102">
        <v>7736619</v>
      </c>
      <c r="AN13" s="102">
        <v>2550668</v>
      </c>
      <c r="AO13" s="74"/>
      <c r="AP13" s="102">
        <v>3400343</v>
      </c>
      <c r="AQ13" s="102">
        <v>2229950</v>
      </c>
      <c r="AR13" s="102">
        <v>77343</v>
      </c>
      <c r="AS13" s="102">
        <v>0</v>
      </c>
      <c r="AT13" s="102">
        <v>8164486</v>
      </c>
      <c r="AU13" s="102">
        <v>5972620</v>
      </c>
      <c r="AV13" s="102">
        <v>1274017</v>
      </c>
      <c r="AW13" s="102">
        <v>408458</v>
      </c>
      <c r="AX13" s="102">
        <v>2191866</v>
      </c>
      <c r="AY13" s="102">
        <v>72270</v>
      </c>
      <c r="AZ13" s="102">
        <v>278950</v>
      </c>
      <c r="BA13" s="102">
        <v>122726</v>
      </c>
      <c r="BB13" s="102">
        <v>187262</v>
      </c>
      <c r="BC13" s="102">
        <v>5239354</v>
      </c>
      <c r="BD13" s="102">
        <v>1900000</v>
      </c>
      <c r="BE13" s="102">
        <v>0</v>
      </c>
      <c r="BF13" s="102">
        <v>3244555</v>
      </c>
      <c r="BG13" s="102">
        <v>0</v>
      </c>
      <c r="BH13" s="102">
        <v>2108420</v>
      </c>
      <c r="BI13" s="102">
        <v>1240751</v>
      </c>
      <c r="BJ13" s="102">
        <v>1412879</v>
      </c>
      <c r="BK13" s="102">
        <v>591837</v>
      </c>
      <c r="BL13" s="102">
        <v>0</v>
      </c>
      <c r="BM13" s="102">
        <v>119112</v>
      </c>
      <c r="BN13" s="102">
        <v>10968800</v>
      </c>
      <c r="BO13" s="73">
        <f t="shared" si="5"/>
        <v>9468800</v>
      </c>
      <c r="BP13" s="73">
        <f t="shared" si="6"/>
        <v>1500000</v>
      </c>
      <c r="BQ13" s="102">
        <v>0</v>
      </c>
      <c r="BR13" s="102">
        <v>0</v>
      </c>
      <c r="BS13" s="102">
        <v>1500000</v>
      </c>
      <c r="BT13" s="102">
        <v>0</v>
      </c>
      <c r="BU13" s="102">
        <v>124320419</v>
      </c>
      <c r="BV13" s="71"/>
      <c r="BW13" s="102">
        <v>19806265</v>
      </c>
      <c r="BX13" s="102">
        <v>13023981</v>
      </c>
      <c r="BY13" s="102">
        <v>667372</v>
      </c>
      <c r="BZ13" s="102">
        <v>2410317</v>
      </c>
      <c r="CA13" s="102">
        <v>34742728</v>
      </c>
      <c r="CB13" s="102">
        <v>8059894</v>
      </c>
      <c r="CC13" s="102">
        <v>370070</v>
      </c>
      <c r="CD13" s="102">
        <v>15037333</v>
      </c>
      <c r="CE13" s="102">
        <v>9987810</v>
      </c>
      <c r="CF13" s="102">
        <v>392832</v>
      </c>
      <c r="CG13" s="102">
        <v>886239</v>
      </c>
      <c r="CH13" s="102">
        <v>7407728</v>
      </c>
      <c r="CI13" s="102">
        <v>7206362</v>
      </c>
      <c r="CJ13" s="83">
        <f t="shared" si="17"/>
        <v>201366</v>
      </c>
      <c r="CK13" s="102">
        <v>14853393</v>
      </c>
      <c r="CL13" s="102">
        <v>8687405</v>
      </c>
      <c r="CM13" s="102">
        <v>1160936</v>
      </c>
      <c r="CN13" s="102">
        <v>2821817</v>
      </c>
      <c r="CO13" s="102">
        <v>1598796</v>
      </c>
      <c r="CP13" s="102">
        <v>7945423</v>
      </c>
      <c r="CQ13" s="102">
        <v>21857</v>
      </c>
      <c r="CR13" s="102">
        <v>2559811</v>
      </c>
      <c r="CS13" s="102">
        <v>1612397</v>
      </c>
      <c r="CT13" s="73">
        <f t="shared" si="7"/>
        <v>3668727</v>
      </c>
      <c r="CU13" s="102">
        <v>2184038</v>
      </c>
      <c r="CV13" s="102">
        <v>1484689</v>
      </c>
      <c r="CW13" s="73">
        <f t="shared" si="8"/>
        <v>0</v>
      </c>
      <c r="CX13" s="102">
        <v>0</v>
      </c>
      <c r="CY13" s="102">
        <v>0</v>
      </c>
      <c r="CZ13" s="73">
        <f t="shared" si="9"/>
        <v>2668500</v>
      </c>
      <c r="DA13" s="102">
        <v>2132694</v>
      </c>
      <c r="DB13" s="102">
        <v>535806</v>
      </c>
      <c r="DC13" s="102">
        <v>20358666</v>
      </c>
      <c r="DD13" s="102">
        <v>13712863</v>
      </c>
      <c r="DE13" s="102">
        <v>6559828</v>
      </c>
      <c r="DF13" s="102">
        <v>85975</v>
      </c>
      <c r="DG13" s="102">
        <v>0</v>
      </c>
      <c r="DH13" s="102">
        <v>1430115</v>
      </c>
      <c r="DI13" s="102">
        <v>741587</v>
      </c>
      <c r="DJ13" s="102">
        <v>647888</v>
      </c>
      <c r="DK13" s="102">
        <v>1911</v>
      </c>
      <c r="DL13" s="102">
        <v>91788</v>
      </c>
      <c r="DM13" s="102">
        <v>1177322</v>
      </c>
      <c r="DN13" s="102">
        <v>1177322</v>
      </c>
      <c r="DO13" s="102">
        <v>0</v>
      </c>
      <c r="DP13" s="102">
        <v>0</v>
      </c>
      <c r="DQ13" s="102">
        <v>616827</v>
      </c>
      <c r="DR13" s="102">
        <v>0</v>
      </c>
      <c r="DS13" s="102">
        <v>0</v>
      </c>
      <c r="DT13" s="102">
        <v>11075377</v>
      </c>
      <c r="DU13" s="102">
        <v>0</v>
      </c>
      <c r="DV13" s="73">
        <f t="shared" si="10"/>
        <v>0</v>
      </c>
      <c r="DW13" s="102">
        <v>0</v>
      </c>
      <c r="DX13" s="102">
        <v>4807075</v>
      </c>
      <c r="DY13" s="102">
        <v>0</v>
      </c>
      <c r="DZ13" s="102">
        <v>2626545</v>
      </c>
      <c r="EA13" s="74">
        <v>0</v>
      </c>
      <c r="EB13" s="102">
        <v>3641717</v>
      </c>
      <c r="EC13" s="102">
        <v>0</v>
      </c>
      <c r="ED13" s="102">
        <v>121754227</v>
      </c>
      <c r="EE13" s="71"/>
      <c r="EF13" s="102">
        <v>2566192</v>
      </c>
      <c r="EG13" s="102">
        <v>2066491</v>
      </c>
      <c r="EH13" s="102">
        <v>499701</v>
      </c>
      <c r="EI13" s="102">
        <v>-741050</v>
      </c>
      <c r="EJ13" s="102">
        <v>-1974162</v>
      </c>
      <c r="EK13" s="71"/>
      <c r="EL13" s="102">
        <v>351829</v>
      </c>
      <c r="EM13" s="102">
        <v>352496</v>
      </c>
      <c r="EN13" s="102">
        <v>2472261</v>
      </c>
      <c r="EO13" s="102">
        <v>187416</v>
      </c>
      <c r="EP13" s="73">
        <f t="shared" si="11"/>
        <v>2579605</v>
      </c>
      <c r="EQ13" s="102">
        <v>67854149</v>
      </c>
      <c r="ER13" s="71">
        <v>-6697432</v>
      </c>
      <c r="ES13" s="102">
        <v>18030681</v>
      </c>
      <c r="ET13" s="102">
        <v>11725905</v>
      </c>
      <c r="EU13" s="102">
        <v>10326603</v>
      </c>
      <c r="EV13" s="102">
        <v>6992865</v>
      </c>
      <c r="EW13" s="73">
        <f t="shared" si="12"/>
        <v>4698636</v>
      </c>
      <c r="EX13" s="102">
        <v>3714803</v>
      </c>
      <c r="EY13" s="102">
        <v>857457</v>
      </c>
      <c r="EZ13" s="102">
        <v>2772547</v>
      </c>
      <c r="FA13" s="102">
        <v>983833</v>
      </c>
      <c r="FB13" s="102">
        <v>0</v>
      </c>
      <c r="FC13" s="102">
        <v>12361858</v>
      </c>
      <c r="FD13" s="102">
        <v>7370117</v>
      </c>
      <c r="FE13" s="102">
        <v>21857</v>
      </c>
      <c r="FF13" s="102">
        <v>8822056</v>
      </c>
      <c r="FG13" s="73">
        <f t="shared" si="13"/>
        <v>3411096</v>
      </c>
      <c r="FH13" s="102">
        <v>72013912</v>
      </c>
      <c r="FI13" s="379">
        <f t="shared" si="14"/>
        <v>0.7</v>
      </c>
      <c r="FJ13" s="102">
        <v>61855762</v>
      </c>
      <c r="FK13" s="102">
        <v>5908609</v>
      </c>
      <c r="FL13" s="102">
        <v>41163610</v>
      </c>
      <c r="FM13" s="102">
        <v>50222434</v>
      </c>
      <c r="FN13" s="428">
        <v>0.81899999999999995</v>
      </c>
      <c r="FO13" s="424">
        <v>94.9</v>
      </c>
      <c r="FP13" s="425">
        <v>27.3</v>
      </c>
      <c r="FQ13" s="424">
        <v>15.8</v>
      </c>
      <c r="FR13" s="424">
        <v>10.7</v>
      </c>
      <c r="FS13" s="425">
        <v>17.399999999999999</v>
      </c>
      <c r="FT13" s="424">
        <v>7.5</v>
      </c>
      <c r="FU13" s="426">
        <v>13.2</v>
      </c>
      <c r="FV13" s="384">
        <v>-0.4</v>
      </c>
      <c r="FW13" s="102">
        <v>52544172</v>
      </c>
      <c r="FX13" s="384">
        <f t="shared" si="15"/>
        <v>77.5</v>
      </c>
      <c r="FY13" s="102">
        <v>34740374</v>
      </c>
      <c r="FZ13" s="102">
        <v>14842136</v>
      </c>
      <c r="GA13" s="102">
        <v>2530528</v>
      </c>
      <c r="GB13" s="102">
        <v>17367710</v>
      </c>
      <c r="GC13" s="107">
        <v>0</v>
      </c>
      <c r="GD13" s="427">
        <v>1758</v>
      </c>
      <c r="GE13" s="386">
        <f>IF(GD13=0,"-",ROUND(GD13/(GV13)*100,1))</f>
        <v>2.6</v>
      </c>
      <c r="GF13" s="424">
        <v>99.7</v>
      </c>
      <c r="GG13" s="424">
        <v>51.5</v>
      </c>
      <c r="GH13" s="424">
        <v>99.3</v>
      </c>
      <c r="GI13" s="102">
        <v>2111</v>
      </c>
      <c r="GJ13" s="429" t="s">
        <v>646</v>
      </c>
      <c r="GK13" s="429">
        <v>11.25</v>
      </c>
      <c r="GL13" s="117">
        <v>20</v>
      </c>
      <c r="GM13" s="429" t="s">
        <v>646</v>
      </c>
      <c r="GN13" s="430">
        <v>16.25</v>
      </c>
      <c r="GO13" s="387">
        <v>30</v>
      </c>
      <c r="GP13" s="425">
        <v>-0.4</v>
      </c>
      <c r="GQ13" s="388">
        <v>25</v>
      </c>
      <c r="GR13" s="388">
        <v>35</v>
      </c>
      <c r="GS13" s="431" t="s">
        <v>646</v>
      </c>
      <c r="GT13" s="388">
        <v>350</v>
      </c>
      <c r="GU13" s="394"/>
      <c r="GV13" s="100">
        <f t="shared" si="16"/>
        <v>67764</v>
      </c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</row>
    <row r="14" spans="2:230" x14ac:dyDescent="0.15">
      <c r="B14" s="89" t="s">
        <v>17</v>
      </c>
      <c r="C14" s="102">
        <v>11544953</v>
      </c>
      <c r="D14" s="73">
        <f t="shared" si="0"/>
        <v>4093047</v>
      </c>
      <c r="E14" s="102">
        <v>136060</v>
      </c>
      <c r="F14" s="102">
        <v>3956987</v>
      </c>
      <c r="G14" s="73">
        <f t="shared" si="1"/>
        <v>809133</v>
      </c>
      <c r="H14" s="102">
        <v>196818</v>
      </c>
      <c r="I14" s="102">
        <v>612315</v>
      </c>
      <c r="J14" s="102">
        <v>4820381</v>
      </c>
      <c r="K14" s="102">
        <v>1587506</v>
      </c>
      <c r="L14" s="102">
        <v>2179028</v>
      </c>
      <c r="M14" s="102">
        <v>839755</v>
      </c>
      <c r="N14" s="102">
        <v>762534</v>
      </c>
      <c r="O14" s="102">
        <v>860580</v>
      </c>
      <c r="P14" s="102">
        <v>408426</v>
      </c>
      <c r="Q14" s="102">
        <v>452154</v>
      </c>
      <c r="R14" s="102">
        <v>168082</v>
      </c>
      <c r="S14" s="74"/>
      <c r="T14" s="73">
        <f t="shared" si="2"/>
        <v>1721038</v>
      </c>
      <c r="U14" s="102">
        <v>24707</v>
      </c>
      <c r="V14" s="102">
        <v>58801</v>
      </c>
      <c r="W14" s="102">
        <v>49820</v>
      </c>
      <c r="X14" s="102">
        <v>1496913</v>
      </c>
      <c r="Y14" s="102">
        <v>0</v>
      </c>
      <c r="Z14" s="102">
        <v>0</v>
      </c>
      <c r="AA14" s="102">
        <v>90797</v>
      </c>
      <c r="AB14" s="102">
        <v>78702</v>
      </c>
      <c r="AC14" s="102">
        <v>4956804</v>
      </c>
      <c r="AD14" s="102">
        <v>4526774</v>
      </c>
      <c r="AE14" s="102">
        <v>430030</v>
      </c>
      <c r="AF14" s="102">
        <v>14801</v>
      </c>
      <c r="AG14" s="102">
        <v>93747</v>
      </c>
      <c r="AH14" s="73">
        <f t="shared" si="3"/>
        <v>550059</v>
      </c>
      <c r="AI14" s="102">
        <v>421173</v>
      </c>
      <c r="AJ14" s="102">
        <v>128886</v>
      </c>
      <c r="AK14" s="102">
        <v>5601454</v>
      </c>
      <c r="AL14" s="73">
        <f t="shared" si="4"/>
        <v>3915079</v>
      </c>
      <c r="AM14" s="102">
        <v>2085303</v>
      </c>
      <c r="AN14" s="102">
        <v>1019542</v>
      </c>
      <c r="AO14" s="74"/>
      <c r="AP14" s="102">
        <v>810234</v>
      </c>
      <c r="AQ14" s="102">
        <v>30961</v>
      </c>
      <c r="AR14" s="102">
        <v>9876</v>
      </c>
      <c r="AS14" s="102">
        <v>0</v>
      </c>
      <c r="AT14" s="102">
        <v>2503731</v>
      </c>
      <c r="AU14" s="102">
        <v>1467053</v>
      </c>
      <c r="AV14" s="102">
        <v>384358</v>
      </c>
      <c r="AW14" s="102">
        <v>3794</v>
      </c>
      <c r="AX14" s="102">
        <v>1036678</v>
      </c>
      <c r="AY14" s="102">
        <v>1440</v>
      </c>
      <c r="AZ14" s="102">
        <v>2379566</v>
      </c>
      <c r="BA14" s="102">
        <v>2352444</v>
      </c>
      <c r="BB14" s="102">
        <v>1106006</v>
      </c>
      <c r="BC14" s="102">
        <v>917923</v>
      </c>
      <c r="BD14" s="102">
        <v>0</v>
      </c>
      <c r="BE14" s="102">
        <v>0</v>
      </c>
      <c r="BF14" s="102">
        <v>911134</v>
      </c>
      <c r="BG14" s="102">
        <v>0</v>
      </c>
      <c r="BH14" s="102">
        <v>61298</v>
      </c>
      <c r="BI14" s="102">
        <v>17700</v>
      </c>
      <c r="BJ14" s="102">
        <v>651866</v>
      </c>
      <c r="BK14" s="102">
        <v>178733</v>
      </c>
      <c r="BL14" s="102">
        <v>0</v>
      </c>
      <c r="BM14" s="102">
        <v>83358</v>
      </c>
      <c r="BN14" s="102">
        <v>2154749</v>
      </c>
      <c r="BO14" s="73">
        <f t="shared" si="5"/>
        <v>812700</v>
      </c>
      <c r="BP14" s="73">
        <f t="shared" si="6"/>
        <v>1342049</v>
      </c>
      <c r="BQ14" s="102">
        <v>0</v>
      </c>
      <c r="BR14" s="102">
        <v>0</v>
      </c>
      <c r="BS14" s="102">
        <v>1342049</v>
      </c>
      <c r="BT14" s="102">
        <v>0</v>
      </c>
      <c r="BU14" s="102">
        <v>34504779</v>
      </c>
      <c r="BV14" s="71"/>
      <c r="BW14" s="102">
        <v>5356737</v>
      </c>
      <c r="BX14" s="102">
        <v>3390506</v>
      </c>
      <c r="BY14" s="102">
        <v>216451</v>
      </c>
      <c r="BZ14" s="102">
        <v>652263</v>
      </c>
      <c r="CA14" s="102">
        <v>9821905</v>
      </c>
      <c r="CB14" s="102">
        <v>1987565</v>
      </c>
      <c r="CC14" s="102">
        <v>103992</v>
      </c>
      <c r="CD14" s="102">
        <v>4727285</v>
      </c>
      <c r="CE14" s="102">
        <v>2824729</v>
      </c>
      <c r="CF14" s="102">
        <v>0</v>
      </c>
      <c r="CG14" s="102">
        <v>177204</v>
      </c>
      <c r="CH14" s="102">
        <v>2424052</v>
      </c>
      <c r="CI14" s="102">
        <v>2195073</v>
      </c>
      <c r="CJ14" s="83">
        <f t="shared" si="17"/>
        <v>228979</v>
      </c>
      <c r="CK14" s="102">
        <v>3767897</v>
      </c>
      <c r="CL14" s="102">
        <v>1995377</v>
      </c>
      <c r="CM14" s="102">
        <v>351025</v>
      </c>
      <c r="CN14" s="102">
        <v>510357</v>
      </c>
      <c r="CO14" s="102">
        <v>194623</v>
      </c>
      <c r="CP14" s="102">
        <v>3512915</v>
      </c>
      <c r="CQ14" s="102">
        <v>955594</v>
      </c>
      <c r="CR14" s="102">
        <v>468189</v>
      </c>
      <c r="CS14" s="102">
        <v>398165</v>
      </c>
      <c r="CT14" s="73">
        <f t="shared" si="7"/>
        <v>1033011</v>
      </c>
      <c r="CU14" s="102">
        <v>912455</v>
      </c>
      <c r="CV14" s="102">
        <v>120556</v>
      </c>
      <c r="CW14" s="73">
        <f t="shared" si="8"/>
        <v>900000</v>
      </c>
      <c r="CX14" s="102">
        <v>900000</v>
      </c>
      <c r="CY14" s="102">
        <v>0</v>
      </c>
      <c r="CZ14" s="73">
        <f t="shared" si="9"/>
        <v>0</v>
      </c>
      <c r="DA14" s="102">
        <v>0</v>
      </c>
      <c r="DB14" s="102">
        <v>0</v>
      </c>
      <c r="DC14" s="102">
        <v>1154903</v>
      </c>
      <c r="DD14" s="102">
        <v>184671</v>
      </c>
      <c r="DE14" s="102">
        <v>893002</v>
      </c>
      <c r="DF14" s="102">
        <v>77230</v>
      </c>
      <c r="DG14" s="102">
        <v>0</v>
      </c>
      <c r="DH14" s="102">
        <v>114804</v>
      </c>
      <c r="DI14" s="102">
        <v>3490459</v>
      </c>
      <c r="DJ14" s="102">
        <v>1359000</v>
      </c>
      <c r="DK14" s="102">
        <v>0</v>
      </c>
      <c r="DL14" s="102">
        <v>2131459</v>
      </c>
      <c r="DM14" s="102">
        <v>0</v>
      </c>
      <c r="DN14" s="102">
        <v>0</v>
      </c>
      <c r="DO14" s="102">
        <v>0</v>
      </c>
      <c r="DP14" s="102">
        <v>0</v>
      </c>
      <c r="DQ14" s="102">
        <v>158970</v>
      </c>
      <c r="DR14" s="102">
        <v>0</v>
      </c>
      <c r="DS14" s="102">
        <v>0</v>
      </c>
      <c r="DT14" s="102">
        <v>4244343</v>
      </c>
      <c r="DU14" s="102">
        <v>1107507</v>
      </c>
      <c r="DV14" s="73">
        <f t="shared" si="10"/>
        <v>0</v>
      </c>
      <c r="DW14" s="102">
        <v>0</v>
      </c>
      <c r="DX14" s="102">
        <v>1240917</v>
      </c>
      <c r="DY14" s="102">
        <v>0</v>
      </c>
      <c r="DZ14" s="102">
        <v>909478</v>
      </c>
      <c r="EA14" s="74">
        <v>0</v>
      </c>
      <c r="EB14" s="102">
        <v>986441</v>
      </c>
      <c r="EC14" s="102">
        <v>0</v>
      </c>
      <c r="ED14" s="102">
        <v>34241608</v>
      </c>
      <c r="EE14" s="71"/>
      <c r="EF14" s="102">
        <v>263171</v>
      </c>
      <c r="EG14" s="102">
        <v>186467</v>
      </c>
      <c r="EH14" s="102">
        <v>76704</v>
      </c>
      <c r="EI14" s="102">
        <v>59004</v>
      </c>
      <c r="EJ14" s="102">
        <v>1418004</v>
      </c>
      <c r="EK14" s="71"/>
      <c r="EL14" s="102">
        <v>88694</v>
      </c>
      <c r="EM14" s="102">
        <v>86974</v>
      </c>
      <c r="EN14" s="102">
        <v>2001</v>
      </c>
      <c r="EO14" s="102">
        <v>2379475</v>
      </c>
      <c r="EP14" s="73">
        <f t="shared" si="11"/>
        <v>704032</v>
      </c>
      <c r="EQ14" s="102">
        <v>18484380</v>
      </c>
      <c r="ER14" s="71">
        <v>-4412756</v>
      </c>
      <c r="ES14" s="102">
        <v>5029065</v>
      </c>
      <c r="ET14" s="102">
        <v>3204536</v>
      </c>
      <c r="EU14" s="102">
        <v>2446904</v>
      </c>
      <c r="EV14" s="102">
        <v>2424052</v>
      </c>
      <c r="EW14" s="73">
        <f t="shared" si="12"/>
        <v>370591</v>
      </c>
      <c r="EX14" s="102">
        <v>307915</v>
      </c>
      <c r="EY14" s="102">
        <v>10268</v>
      </c>
      <c r="EZ14" s="102">
        <v>220417</v>
      </c>
      <c r="FA14" s="102">
        <v>62676</v>
      </c>
      <c r="FB14" s="102">
        <v>0</v>
      </c>
      <c r="FC14" s="102">
        <v>2741734</v>
      </c>
      <c r="FD14" s="102">
        <v>3272435</v>
      </c>
      <c r="FE14" s="102">
        <v>955594</v>
      </c>
      <c r="FF14" s="102">
        <v>3530898</v>
      </c>
      <c r="FG14" s="73">
        <f t="shared" si="13"/>
        <v>2818286</v>
      </c>
      <c r="FH14" s="102">
        <v>22633965</v>
      </c>
      <c r="FI14" s="379">
        <f t="shared" si="14"/>
        <v>0.4</v>
      </c>
      <c r="FJ14" s="102">
        <v>16925661</v>
      </c>
      <c r="FK14" s="102">
        <v>1342049</v>
      </c>
      <c r="FL14" s="102">
        <v>9713335</v>
      </c>
      <c r="FM14" s="102">
        <v>14240974</v>
      </c>
      <c r="FN14" s="428">
        <v>0.68700000000000006</v>
      </c>
      <c r="FO14" s="424">
        <v>95.7</v>
      </c>
      <c r="FP14" s="425">
        <v>26.6</v>
      </c>
      <c r="FQ14" s="424">
        <v>13.1</v>
      </c>
      <c r="FR14" s="424">
        <v>13</v>
      </c>
      <c r="FS14" s="425">
        <v>11.9</v>
      </c>
      <c r="FT14" s="424">
        <v>13.2</v>
      </c>
      <c r="FU14" s="426">
        <v>17.100000000000001</v>
      </c>
      <c r="FV14" s="384">
        <v>7.4</v>
      </c>
      <c r="FW14" s="102">
        <v>27309557</v>
      </c>
      <c r="FX14" s="384">
        <f t="shared" si="15"/>
        <v>149.5</v>
      </c>
      <c r="FY14" s="102">
        <v>4933859</v>
      </c>
      <c r="FZ14" s="102">
        <v>2431373</v>
      </c>
      <c r="GA14" s="102">
        <v>188585</v>
      </c>
      <c r="GB14" s="102">
        <v>2313901</v>
      </c>
      <c r="GC14" s="107">
        <v>0</v>
      </c>
      <c r="GD14" s="427"/>
      <c r="GE14" s="386"/>
      <c r="GF14" s="424">
        <v>99.1</v>
      </c>
      <c r="GG14" s="424">
        <v>39.799999999999997</v>
      </c>
      <c r="GH14" s="424">
        <v>97.3</v>
      </c>
      <c r="GI14" s="102">
        <v>567</v>
      </c>
      <c r="GJ14" s="429" t="s">
        <v>646</v>
      </c>
      <c r="GK14" s="429">
        <v>12.58</v>
      </c>
      <c r="GL14" s="117">
        <v>20</v>
      </c>
      <c r="GM14" s="429" t="s">
        <v>646</v>
      </c>
      <c r="GN14" s="430">
        <v>17.579999999999998</v>
      </c>
      <c r="GO14" s="387">
        <v>30</v>
      </c>
      <c r="GP14" s="425">
        <v>7.4</v>
      </c>
      <c r="GQ14" s="388">
        <v>25</v>
      </c>
      <c r="GR14" s="388">
        <v>35</v>
      </c>
      <c r="GS14" s="431">
        <v>40.1</v>
      </c>
      <c r="GT14" s="388">
        <v>350</v>
      </c>
      <c r="GU14" s="394"/>
      <c r="GV14" s="100">
        <f t="shared" si="16"/>
        <v>18268</v>
      </c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</row>
    <row r="15" spans="2:230" x14ac:dyDescent="0.15">
      <c r="B15" s="89" t="s">
        <v>19</v>
      </c>
      <c r="C15" s="102">
        <v>21923453</v>
      </c>
      <c r="D15" s="73">
        <f t="shared" si="0"/>
        <v>7377997</v>
      </c>
      <c r="E15" s="102">
        <v>227798</v>
      </c>
      <c r="F15" s="102">
        <v>7150199</v>
      </c>
      <c r="G15" s="73">
        <f t="shared" si="1"/>
        <v>1766384</v>
      </c>
      <c r="H15" s="102">
        <v>491456</v>
      </c>
      <c r="I15" s="102">
        <v>1274928</v>
      </c>
      <c r="J15" s="102">
        <v>9056408</v>
      </c>
      <c r="K15" s="102">
        <v>3529088</v>
      </c>
      <c r="L15" s="102">
        <v>4039536</v>
      </c>
      <c r="M15" s="102">
        <v>1287536</v>
      </c>
      <c r="N15" s="102">
        <v>997810</v>
      </c>
      <c r="O15" s="102">
        <v>1855160</v>
      </c>
      <c r="P15" s="102">
        <v>961340</v>
      </c>
      <c r="Q15" s="102">
        <v>893820</v>
      </c>
      <c r="R15" s="102">
        <v>209244</v>
      </c>
      <c r="S15" s="74"/>
      <c r="T15" s="73">
        <f t="shared" si="2"/>
        <v>2833566</v>
      </c>
      <c r="U15" s="102">
        <v>42277</v>
      </c>
      <c r="V15" s="102">
        <v>100714</v>
      </c>
      <c r="W15" s="102">
        <v>85563</v>
      </c>
      <c r="X15" s="102">
        <v>2491643</v>
      </c>
      <c r="Y15" s="102">
        <v>0</v>
      </c>
      <c r="Z15" s="102">
        <v>0</v>
      </c>
      <c r="AA15" s="102">
        <v>113369</v>
      </c>
      <c r="AB15" s="102">
        <v>110132</v>
      </c>
      <c r="AC15" s="102">
        <v>7290494</v>
      </c>
      <c r="AD15" s="102">
        <v>6642338</v>
      </c>
      <c r="AE15" s="102">
        <v>648156</v>
      </c>
      <c r="AF15" s="102">
        <v>19517</v>
      </c>
      <c r="AG15" s="102">
        <v>999318</v>
      </c>
      <c r="AH15" s="73">
        <f t="shared" si="3"/>
        <v>855333</v>
      </c>
      <c r="AI15" s="102">
        <v>565707</v>
      </c>
      <c r="AJ15" s="102">
        <v>289626</v>
      </c>
      <c r="AK15" s="102">
        <v>15789809</v>
      </c>
      <c r="AL15" s="73">
        <f t="shared" si="4"/>
        <v>11909262</v>
      </c>
      <c r="AM15" s="102">
        <v>7916590</v>
      </c>
      <c r="AN15" s="102">
        <v>2011347</v>
      </c>
      <c r="AO15" s="74"/>
      <c r="AP15" s="102">
        <v>1981325</v>
      </c>
      <c r="AQ15" s="102">
        <v>724982</v>
      </c>
      <c r="AR15" s="102">
        <v>31332</v>
      </c>
      <c r="AS15" s="102">
        <v>0</v>
      </c>
      <c r="AT15" s="102">
        <v>4589087</v>
      </c>
      <c r="AU15" s="102">
        <v>2854721</v>
      </c>
      <c r="AV15" s="102">
        <v>925321</v>
      </c>
      <c r="AW15" s="102">
        <v>297121</v>
      </c>
      <c r="AX15" s="102">
        <v>1734366</v>
      </c>
      <c r="AY15" s="102">
        <v>31174</v>
      </c>
      <c r="AZ15" s="102">
        <v>574257</v>
      </c>
      <c r="BA15" s="102">
        <v>474884</v>
      </c>
      <c r="BB15" s="102">
        <v>31066</v>
      </c>
      <c r="BC15" s="102">
        <v>292028</v>
      </c>
      <c r="BD15" s="102">
        <v>0</v>
      </c>
      <c r="BE15" s="102">
        <v>258821</v>
      </c>
      <c r="BF15" s="102">
        <v>33207</v>
      </c>
      <c r="BG15" s="102">
        <v>0</v>
      </c>
      <c r="BH15" s="102">
        <v>382214</v>
      </c>
      <c r="BI15" s="102">
        <v>317841</v>
      </c>
      <c r="BJ15" s="102">
        <v>953489</v>
      </c>
      <c r="BK15" s="102">
        <v>7570</v>
      </c>
      <c r="BL15" s="102">
        <v>0</v>
      </c>
      <c r="BM15" s="102">
        <v>91087</v>
      </c>
      <c r="BN15" s="102">
        <v>4144129</v>
      </c>
      <c r="BO15" s="73">
        <f t="shared" si="5"/>
        <v>2109100</v>
      </c>
      <c r="BP15" s="73">
        <f t="shared" si="6"/>
        <v>2035029</v>
      </c>
      <c r="BQ15" s="102">
        <v>0</v>
      </c>
      <c r="BR15" s="102">
        <v>0</v>
      </c>
      <c r="BS15" s="102">
        <v>2035029</v>
      </c>
      <c r="BT15" s="102">
        <v>0</v>
      </c>
      <c r="BU15" s="102">
        <v>60997136</v>
      </c>
      <c r="BV15" s="71"/>
      <c r="BW15" s="102">
        <v>7159411</v>
      </c>
      <c r="BX15" s="102">
        <v>4674253</v>
      </c>
      <c r="BY15" s="102">
        <v>773919</v>
      </c>
      <c r="BZ15" s="102">
        <v>264697</v>
      </c>
      <c r="CA15" s="102">
        <v>24869252</v>
      </c>
      <c r="CB15" s="102">
        <v>4417198</v>
      </c>
      <c r="CC15" s="102">
        <v>14735</v>
      </c>
      <c r="CD15" s="102">
        <v>8274506</v>
      </c>
      <c r="CE15" s="102">
        <v>10478467</v>
      </c>
      <c r="CF15" s="102">
        <v>998522</v>
      </c>
      <c r="CG15" s="102">
        <v>685439</v>
      </c>
      <c r="CH15" s="102">
        <v>5899897</v>
      </c>
      <c r="CI15" s="102">
        <v>5392495</v>
      </c>
      <c r="CJ15" s="83">
        <f t="shared" si="17"/>
        <v>507402</v>
      </c>
      <c r="CK15" s="102">
        <v>6023769</v>
      </c>
      <c r="CL15" s="102">
        <v>3882644</v>
      </c>
      <c r="CM15" s="102">
        <v>217156</v>
      </c>
      <c r="CN15" s="102">
        <v>693802</v>
      </c>
      <c r="CO15" s="102">
        <v>324004</v>
      </c>
      <c r="CP15" s="102">
        <v>4971482</v>
      </c>
      <c r="CQ15" s="102">
        <v>1964975</v>
      </c>
      <c r="CR15" s="102">
        <v>751930</v>
      </c>
      <c r="CS15" s="102">
        <v>503818</v>
      </c>
      <c r="CT15" s="73">
        <f t="shared" si="7"/>
        <v>1298693</v>
      </c>
      <c r="CU15" s="102">
        <v>1298693</v>
      </c>
      <c r="CV15" s="102">
        <v>0</v>
      </c>
      <c r="CW15" s="73">
        <f t="shared" si="8"/>
        <v>0</v>
      </c>
      <c r="CX15" s="102">
        <v>0</v>
      </c>
      <c r="CY15" s="102">
        <v>0</v>
      </c>
      <c r="CZ15" s="73">
        <f t="shared" si="9"/>
        <v>1277840</v>
      </c>
      <c r="DA15" s="102">
        <v>1277840</v>
      </c>
      <c r="DB15" s="102">
        <v>0</v>
      </c>
      <c r="DC15" s="102">
        <v>3881007</v>
      </c>
      <c r="DD15" s="102">
        <v>2523755</v>
      </c>
      <c r="DE15" s="102">
        <v>1357252</v>
      </c>
      <c r="DF15" s="102">
        <v>0</v>
      </c>
      <c r="DG15" s="102">
        <v>0</v>
      </c>
      <c r="DH15" s="102">
        <v>165326</v>
      </c>
      <c r="DI15" s="102">
        <v>548031</v>
      </c>
      <c r="DJ15" s="102">
        <v>8713</v>
      </c>
      <c r="DK15" s="102">
        <v>8750</v>
      </c>
      <c r="DL15" s="102">
        <v>530568</v>
      </c>
      <c r="DM15" s="102">
        <v>19492</v>
      </c>
      <c r="DN15" s="102">
        <v>19492</v>
      </c>
      <c r="DO15" s="102">
        <v>19492</v>
      </c>
      <c r="DP15" s="102">
        <v>0</v>
      </c>
      <c r="DQ15" s="102">
        <v>0</v>
      </c>
      <c r="DR15" s="102">
        <v>0</v>
      </c>
      <c r="DS15" s="102">
        <v>0</v>
      </c>
      <c r="DT15" s="102">
        <v>6154119</v>
      </c>
      <c r="DU15" s="102">
        <v>0</v>
      </c>
      <c r="DV15" s="73">
        <f t="shared" si="10"/>
        <v>0</v>
      </c>
      <c r="DW15" s="102">
        <v>0</v>
      </c>
      <c r="DX15" s="102">
        <v>2087169</v>
      </c>
      <c r="DY15" s="102">
        <v>0</v>
      </c>
      <c r="DZ15" s="102">
        <v>1850545</v>
      </c>
      <c r="EA15" s="74">
        <v>0</v>
      </c>
      <c r="EB15" s="102">
        <v>2216405</v>
      </c>
      <c r="EC15" s="102">
        <v>0</v>
      </c>
      <c r="ED15" s="102">
        <v>60015790</v>
      </c>
      <c r="EE15" s="71"/>
      <c r="EF15" s="102">
        <v>981346</v>
      </c>
      <c r="EG15" s="102">
        <v>59126</v>
      </c>
      <c r="EH15" s="102">
        <v>922220</v>
      </c>
      <c r="EI15" s="102">
        <v>74379</v>
      </c>
      <c r="EJ15" s="102">
        <v>534892</v>
      </c>
      <c r="EK15" s="71"/>
      <c r="EL15" s="102">
        <v>143042</v>
      </c>
      <c r="EM15" s="102">
        <v>143458</v>
      </c>
      <c r="EN15" s="102">
        <v>258823</v>
      </c>
      <c r="EO15" s="102">
        <v>88142</v>
      </c>
      <c r="EP15" s="73">
        <f t="shared" si="11"/>
        <v>1297700</v>
      </c>
      <c r="EQ15" s="102">
        <v>32386406</v>
      </c>
      <c r="ER15" s="71">
        <v>-3660177</v>
      </c>
      <c r="ES15" s="102">
        <v>6677880</v>
      </c>
      <c r="ET15" s="102">
        <v>4281895</v>
      </c>
      <c r="EU15" s="102">
        <v>7571652</v>
      </c>
      <c r="EV15" s="102">
        <v>5866478</v>
      </c>
      <c r="EW15" s="73">
        <f t="shared" si="12"/>
        <v>680425</v>
      </c>
      <c r="EX15" s="102">
        <v>598331</v>
      </c>
      <c r="EY15" s="102">
        <v>158911</v>
      </c>
      <c r="EZ15" s="102">
        <v>439420</v>
      </c>
      <c r="FA15" s="102">
        <v>82094</v>
      </c>
      <c r="FB15" s="102">
        <v>0</v>
      </c>
      <c r="FC15" s="102">
        <v>4758657</v>
      </c>
      <c r="FD15" s="102">
        <v>4518755</v>
      </c>
      <c r="FE15" s="102">
        <v>1963820</v>
      </c>
      <c r="FF15" s="102">
        <v>4749855</v>
      </c>
      <c r="FG15" s="73">
        <f t="shared" si="13"/>
        <v>241535</v>
      </c>
      <c r="FH15" s="102">
        <v>35065237</v>
      </c>
      <c r="FI15" s="379">
        <f t="shared" si="14"/>
        <v>2.9</v>
      </c>
      <c r="FJ15" s="102">
        <v>28932510</v>
      </c>
      <c r="FK15" s="102">
        <v>2340162</v>
      </c>
      <c r="FL15" s="102">
        <v>17345510</v>
      </c>
      <c r="FM15" s="102">
        <v>23994553</v>
      </c>
      <c r="FN15" s="428">
        <v>0.72799999999999998</v>
      </c>
      <c r="FO15" s="424">
        <v>100.5</v>
      </c>
      <c r="FP15" s="425">
        <v>20.399999999999999</v>
      </c>
      <c r="FQ15" s="424">
        <v>23.5</v>
      </c>
      <c r="FR15" s="424">
        <v>16.5</v>
      </c>
      <c r="FS15" s="425">
        <v>14.3</v>
      </c>
      <c r="FT15" s="424">
        <v>11.6</v>
      </c>
      <c r="FU15" s="426">
        <v>13.4</v>
      </c>
      <c r="FV15" s="384">
        <v>7.2</v>
      </c>
      <c r="FW15" s="102">
        <v>62554320</v>
      </c>
      <c r="FX15" s="384">
        <f t="shared" si="15"/>
        <v>200</v>
      </c>
      <c r="FY15" s="102">
        <v>8094594</v>
      </c>
      <c r="FZ15" s="102">
        <v>2613219</v>
      </c>
      <c r="GA15" s="102">
        <v>2429397</v>
      </c>
      <c r="GB15" s="102">
        <v>3051978</v>
      </c>
      <c r="GC15" s="107">
        <v>0</v>
      </c>
      <c r="GD15" s="427"/>
      <c r="GE15" s="386"/>
      <c r="GF15" s="424">
        <v>99.2</v>
      </c>
      <c r="GG15" s="424">
        <v>36.5</v>
      </c>
      <c r="GH15" s="424">
        <v>97.4</v>
      </c>
      <c r="GI15" s="102">
        <v>651</v>
      </c>
      <c r="GJ15" s="429" t="s">
        <v>646</v>
      </c>
      <c r="GK15" s="429">
        <v>11.75</v>
      </c>
      <c r="GL15" s="117">
        <v>20</v>
      </c>
      <c r="GM15" s="429" t="s">
        <v>646</v>
      </c>
      <c r="GN15" s="430">
        <v>16.75</v>
      </c>
      <c r="GO15" s="387">
        <v>30</v>
      </c>
      <c r="GP15" s="425">
        <v>7.2</v>
      </c>
      <c r="GQ15" s="388">
        <v>25</v>
      </c>
      <c r="GR15" s="388">
        <v>35</v>
      </c>
      <c r="GS15" s="431">
        <v>56.3</v>
      </c>
      <c r="GT15" s="388">
        <v>350</v>
      </c>
      <c r="GU15" s="394"/>
      <c r="GV15" s="100">
        <f t="shared" si="16"/>
        <v>31273</v>
      </c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</row>
    <row r="16" spans="2:230" x14ac:dyDescent="0.15">
      <c r="B16" s="89" t="s">
        <v>21</v>
      </c>
      <c r="C16" s="102">
        <v>56614423</v>
      </c>
      <c r="D16" s="73">
        <f t="shared" si="0"/>
        <v>22581575</v>
      </c>
      <c r="E16" s="102">
        <v>654890</v>
      </c>
      <c r="F16" s="102">
        <v>21926685</v>
      </c>
      <c r="G16" s="73">
        <f t="shared" si="1"/>
        <v>4320004</v>
      </c>
      <c r="H16" s="102">
        <v>750195</v>
      </c>
      <c r="I16" s="102">
        <v>3569809</v>
      </c>
      <c r="J16" s="102">
        <v>21252866</v>
      </c>
      <c r="K16" s="102">
        <v>8346153</v>
      </c>
      <c r="L16" s="102">
        <v>10022550</v>
      </c>
      <c r="M16" s="102">
        <v>2547406</v>
      </c>
      <c r="N16" s="102">
        <v>1914998</v>
      </c>
      <c r="O16" s="102">
        <v>4565919</v>
      </c>
      <c r="P16" s="102">
        <v>2415853</v>
      </c>
      <c r="Q16" s="102">
        <v>2150066</v>
      </c>
      <c r="R16" s="102">
        <v>624697</v>
      </c>
      <c r="S16" s="74"/>
      <c r="T16" s="73">
        <f t="shared" si="2"/>
        <v>7772608</v>
      </c>
      <c r="U16" s="102">
        <v>139430</v>
      </c>
      <c r="V16" s="102">
        <v>331867</v>
      </c>
      <c r="W16" s="102">
        <v>281253</v>
      </c>
      <c r="X16" s="102">
        <v>6612245</v>
      </c>
      <c r="Y16" s="102">
        <v>70036</v>
      </c>
      <c r="Z16" s="102">
        <v>0</v>
      </c>
      <c r="AA16" s="102">
        <v>337777</v>
      </c>
      <c r="AB16" s="102">
        <v>329981</v>
      </c>
      <c r="AC16" s="102">
        <v>12319373</v>
      </c>
      <c r="AD16" s="102">
        <v>11933237</v>
      </c>
      <c r="AE16" s="102">
        <v>386136</v>
      </c>
      <c r="AF16" s="102">
        <v>51287</v>
      </c>
      <c r="AG16" s="102">
        <v>1395894</v>
      </c>
      <c r="AH16" s="73">
        <f t="shared" si="3"/>
        <v>2468827</v>
      </c>
      <c r="AI16" s="102">
        <v>1923184</v>
      </c>
      <c r="AJ16" s="102">
        <v>545643</v>
      </c>
      <c r="AK16" s="102">
        <v>26309842</v>
      </c>
      <c r="AL16" s="73">
        <f t="shared" si="4"/>
        <v>16318464</v>
      </c>
      <c r="AM16" s="102">
        <v>9936988</v>
      </c>
      <c r="AN16" s="102">
        <v>2633330</v>
      </c>
      <c r="AO16" s="74"/>
      <c r="AP16" s="102">
        <v>3748146</v>
      </c>
      <c r="AQ16" s="102">
        <v>598057</v>
      </c>
      <c r="AR16" s="102">
        <v>223819</v>
      </c>
      <c r="AS16" s="102">
        <v>0</v>
      </c>
      <c r="AT16" s="102">
        <v>11004160</v>
      </c>
      <c r="AU16" s="102">
        <v>8136868</v>
      </c>
      <c r="AV16" s="102">
        <v>1212598</v>
      </c>
      <c r="AW16" s="102">
        <v>47764</v>
      </c>
      <c r="AX16" s="102">
        <v>2867292</v>
      </c>
      <c r="AY16" s="102">
        <v>0</v>
      </c>
      <c r="AZ16" s="102">
        <v>710232</v>
      </c>
      <c r="BA16" s="102">
        <v>650684</v>
      </c>
      <c r="BB16" s="102">
        <v>130450</v>
      </c>
      <c r="BC16" s="102">
        <v>548012</v>
      </c>
      <c r="BD16" s="102">
        <v>400000</v>
      </c>
      <c r="BE16" s="102">
        <v>0</v>
      </c>
      <c r="BF16" s="102">
        <v>138931</v>
      </c>
      <c r="BG16" s="102">
        <v>0</v>
      </c>
      <c r="BH16" s="102">
        <v>1762065</v>
      </c>
      <c r="BI16" s="102">
        <v>1737192</v>
      </c>
      <c r="BJ16" s="102">
        <v>1247326</v>
      </c>
      <c r="BK16" s="102">
        <v>21963</v>
      </c>
      <c r="BL16" s="102">
        <v>0</v>
      </c>
      <c r="BM16" s="102">
        <v>126452</v>
      </c>
      <c r="BN16" s="102">
        <v>12309873</v>
      </c>
      <c r="BO16" s="73">
        <f t="shared" si="5"/>
        <v>5052900</v>
      </c>
      <c r="BP16" s="73">
        <f t="shared" si="6"/>
        <v>7256973</v>
      </c>
      <c r="BQ16" s="102">
        <v>0</v>
      </c>
      <c r="BR16" s="102">
        <v>0</v>
      </c>
      <c r="BS16" s="102">
        <v>7256973</v>
      </c>
      <c r="BT16" s="102">
        <v>0</v>
      </c>
      <c r="BU16" s="102">
        <v>135599050</v>
      </c>
      <c r="BV16" s="71"/>
      <c r="BW16" s="102">
        <v>21339103</v>
      </c>
      <c r="BX16" s="102">
        <v>14310770</v>
      </c>
      <c r="BY16" s="102">
        <v>1774734</v>
      </c>
      <c r="BZ16" s="102">
        <v>1495508</v>
      </c>
      <c r="CA16" s="102">
        <v>43304589</v>
      </c>
      <c r="CB16" s="102">
        <v>9556712</v>
      </c>
      <c r="CC16" s="102">
        <v>270578</v>
      </c>
      <c r="CD16" s="102">
        <v>19598108</v>
      </c>
      <c r="CE16" s="102">
        <v>13263818</v>
      </c>
      <c r="CF16" s="102">
        <v>130969</v>
      </c>
      <c r="CG16" s="102">
        <v>482774</v>
      </c>
      <c r="CH16" s="102">
        <v>10514378</v>
      </c>
      <c r="CI16" s="102">
        <v>9847484</v>
      </c>
      <c r="CJ16" s="83">
        <f t="shared" si="17"/>
        <v>666894</v>
      </c>
      <c r="CK16" s="102">
        <v>14876862</v>
      </c>
      <c r="CL16" s="102">
        <v>9431586</v>
      </c>
      <c r="CM16" s="102">
        <v>726871</v>
      </c>
      <c r="CN16" s="102">
        <v>2392568</v>
      </c>
      <c r="CO16" s="102">
        <v>1078927</v>
      </c>
      <c r="CP16" s="102">
        <v>15567171</v>
      </c>
      <c r="CQ16" s="102">
        <v>4633681</v>
      </c>
      <c r="CR16" s="102">
        <v>3138284</v>
      </c>
      <c r="CS16" s="102">
        <v>2448299</v>
      </c>
      <c r="CT16" s="73">
        <f t="shared" si="7"/>
        <v>6145462</v>
      </c>
      <c r="CU16" s="102">
        <v>2730710</v>
      </c>
      <c r="CV16" s="102">
        <v>3414752</v>
      </c>
      <c r="CW16" s="73">
        <f t="shared" si="8"/>
        <v>1604463</v>
      </c>
      <c r="CX16" s="102">
        <v>1109494</v>
      </c>
      <c r="CY16" s="102">
        <v>494969</v>
      </c>
      <c r="CZ16" s="73">
        <f t="shared" si="9"/>
        <v>4377007</v>
      </c>
      <c r="DA16" s="102">
        <v>1573195</v>
      </c>
      <c r="DB16" s="102">
        <v>2803812</v>
      </c>
      <c r="DC16" s="102">
        <v>11354058</v>
      </c>
      <c r="DD16" s="102">
        <v>3963074</v>
      </c>
      <c r="DE16" s="102">
        <v>5497535</v>
      </c>
      <c r="DF16" s="102">
        <v>206</v>
      </c>
      <c r="DG16" s="102">
        <v>1893243</v>
      </c>
      <c r="DH16" s="102">
        <v>1092627</v>
      </c>
      <c r="DI16" s="102">
        <v>1322642</v>
      </c>
      <c r="DJ16" s="102">
        <v>914601</v>
      </c>
      <c r="DK16" s="102">
        <v>2893</v>
      </c>
      <c r="DL16" s="102">
        <v>405148</v>
      </c>
      <c r="DM16" s="102">
        <v>0</v>
      </c>
      <c r="DN16" s="102">
        <v>0</v>
      </c>
      <c r="DO16" s="102">
        <v>0</v>
      </c>
      <c r="DP16" s="102">
        <v>0</v>
      </c>
      <c r="DQ16" s="102">
        <v>25450</v>
      </c>
      <c r="DR16" s="102">
        <v>0</v>
      </c>
      <c r="DS16" s="102">
        <v>0</v>
      </c>
      <c r="DT16" s="102">
        <v>12816624</v>
      </c>
      <c r="DU16" s="102">
        <v>0</v>
      </c>
      <c r="DV16" s="73">
        <f t="shared" si="10"/>
        <v>0</v>
      </c>
      <c r="DW16" s="102">
        <v>0</v>
      </c>
      <c r="DX16" s="102">
        <v>4788917</v>
      </c>
      <c r="DY16" s="102">
        <v>0</v>
      </c>
      <c r="DZ16" s="102">
        <v>3662854</v>
      </c>
      <c r="EA16" s="74">
        <v>0</v>
      </c>
      <c r="EB16" s="102">
        <v>4364853</v>
      </c>
      <c r="EC16" s="102">
        <v>0</v>
      </c>
      <c r="ED16" s="102">
        <v>133292431</v>
      </c>
      <c r="EE16" s="71"/>
      <c r="EF16" s="102">
        <v>2306619</v>
      </c>
      <c r="EG16" s="102">
        <v>726322</v>
      </c>
      <c r="EH16" s="102">
        <v>1580297</v>
      </c>
      <c r="EI16" s="102">
        <v>-156895</v>
      </c>
      <c r="EJ16" s="102">
        <v>807873</v>
      </c>
      <c r="EK16" s="71"/>
      <c r="EL16" s="102">
        <v>404152</v>
      </c>
      <c r="EM16" s="102">
        <v>402579</v>
      </c>
      <c r="EN16" s="102">
        <v>421656</v>
      </c>
      <c r="EO16" s="102">
        <v>697872</v>
      </c>
      <c r="EP16" s="73">
        <f t="shared" si="11"/>
        <v>3056522</v>
      </c>
      <c r="EQ16" s="102">
        <v>77712369</v>
      </c>
      <c r="ER16" s="71">
        <v>-11381736</v>
      </c>
      <c r="ES16" s="102">
        <v>19399359</v>
      </c>
      <c r="ET16" s="102">
        <v>12758689</v>
      </c>
      <c r="EU16" s="102">
        <v>13766608</v>
      </c>
      <c r="EV16" s="102">
        <v>10270878</v>
      </c>
      <c r="EW16" s="73">
        <f t="shared" si="12"/>
        <v>3583840</v>
      </c>
      <c r="EX16" s="102">
        <v>3217583</v>
      </c>
      <c r="EY16" s="102">
        <v>582479</v>
      </c>
      <c r="EZ16" s="102">
        <v>2634898</v>
      </c>
      <c r="FA16" s="102">
        <v>366257</v>
      </c>
      <c r="FB16" s="102">
        <v>0</v>
      </c>
      <c r="FC16" s="102">
        <v>12399330</v>
      </c>
      <c r="FD16" s="102">
        <v>14840101</v>
      </c>
      <c r="FE16" s="102">
        <v>4612701</v>
      </c>
      <c r="FF16" s="102">
        <v>10325667</v>
      </c>
      <c r="FG16" s="73">
        <f t="shared" si="13"/>
        <v>2201703</v>
      </c>
      <c r="FH16" s="102">
        <v>86787486</v>
      </c>
      <c r="FI16" s="379">
        <f t="shared" si="14"/>
        <v>2</v>
      </c>
      <c r="FJ16" s="102">
        <v>71079720</v>
      </c>
      <c r="FK16" s="102">
        <v>7256973</v>
      </c>
      <c r="FL16" s="102">
        <v>46163380</v>
      </c>
      <c r="FM16" s="102">
        <v>58096617</v>
      </c>
      <c r="FN16" s="428">
        <v>0.80600000000000005</v>
      </c>
      <c r="FO16" s="424">
        <v>94.6</v>
      </c>
      <c r="FP16" s="425">
        <v>23.6</v>
      </c>
      <c r="FQ16" s="424">
        <v>17.100000000000001</v>
      </c>
      <c r="FR16" s="424">
        <v>12.2</v>
      </c>
      <c r="FS16" s="425">
        <v>13.8</v>
      </c>
      <c r="FT16" s="424">
        <v>14.7</v>
      </c>
      <c r="FU16" s="426">
        <v>11.9</v>
      </c>
      <c r="FV16" s="384">
        <v>-0.5</v>
      </c>
      <c r="FW16" s="102">
        <v>104182347</v>
      </c>
      <c r="FX16" s="384">
        <f t="shared" si="15"/>
        <v>133</v>
      </c>
      <c r="FY16" s="102">
        <v>27939415</v>
      </c>
      <c r="FZ16" s="102">
        <v>10018899</v>
      </c>
      <c r="GA16" s="102">
        <v>4707218</v>
      </c>
      <c r="GB16" s="102">
        <v>13213298</v>
      </c>
      <c r="GC16" s="107">
        <v>0</v>
      </c>
      <c r="GD16" s="427">
        <v>5291</v>
      </c>
      <c r="GE16" s="386">
        <f>IF(GD16=0,"-",ROUND(GD16/(GV16)*100,1))</f>
        <v>6.8</v>
      </c>
      <c r="GF16" s="424">
        <v>99.7</v>
      </c>
      <c r="GG16" s="424">
        <v>38.1</v>
      </c>
      <c r="GH16" s="424">
        <v>98.9</v>
      </c>
      <c r="GI16" s="102">
        <v>2170</v>
      </c>
      <c r="GJ16" s="429" t="s">
        <v>646</v>
      </c>
      <c r="GK16" s="429">
        <v>11.25</v>
      </c>
      <c r="GL16" s="117">
        <v>20</v>
      </c>
      <c r="GM16" s="429" t="s">
        <v>646</v>
      </c>
      <c r="GN16" s="430">
        <v>16.25</v>
      </c>
      <c r="GO16" s="387">
        <v>30</v>
      </c>
      <c r="GP16" s="425">
        <v>-0.5</v>
      </c>
      <c r="GQ16" s="388">
        <v>25</v>
      </c>
      <c r="GR16" s="388">
        <v>35</v>
      </c>
      <c r="GS16" s="431" t="s">
        <v>646</v>
      </c>
      <c r="GT16" s="388">
        <v>350</v>
      </c>
      <c r="GU16" s="394"/>
      <c r="GV16" s="100">
        <f t="shared" si="16"/>
        <v>78337</v>
      </c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</row>
    <row r="17" spans="2:230" x14ac:dyDescent="0.15">
      <c r="B17" s="89" t="s">
        <v>23</v>
      </c>
      <c r="C17" s="102">
        <v>46969010</v>
      </c>
      <c r="D17" s="73">
        <f t="shared" si="0"/>
        <v>18118834</v>
      </c>
      <c r="E17" s="102">
        <v>462235</v>
      </c>
      <c r="F17" s="102">
        <v>17656599</v>
      </c>
      <c r="G17" s="73">
        <f t="shared" si="1"/>
        <v>3464390</v>
      </c>
      <c r="H17" s="102">
        <v>751189</v>
      </c>
      <c r="I17" s="102">
        <v>2713201</v>
      </c>
      <c r="J17" s="102">
        <v>19518076</v>
      </c>
      <c r="K17" s="102">
        <v>8069083</v>
      </c>
      <c r="L17" s="102">
        <v>8740677</v>
      </c>
      <c r="M17" s="102">
        <v>2468915</v>
      </c>
      <c r="N17" s="102">
        <v>1547972</v>
      </c>
      <c r="O17" s="102">
        <v>4019034</v>
      </c>
      <c r="P17" s="102">
        <v>2146908</v>
      </c>
      <c r="Q17" s="102">
        <v>1872126</v>
      </c>
      <c r="R17" s="102">
        <v>482290</v>
      </c>
      <c r="S17" s="74"/>
      <c r="T17" s="73">
        <f t="shared" si="2"/>
        <v>5728839</v>
      </c>
      <c r="U17" s="102">
        <v>108927</v>
      </c>
      <c r="V17" s="102">
        <v>259328</v>
      </c>
      <c r="W17" s="102">
        <v>219928</v>
      </c>
      <c r="X17" s="102">
        <v>4794594</v>
      </c>
      <c r="Y17" s="102">
        <v>84744</v>
      </c>
      <c r="Z17" s="102">
        <v>0</v>
      </c>
      <c r="AA17" s="102">
        <v>261318</v>
      </c>
      <c r="AB17" s="102">
        <v>244304</v>
      </c>
      <c r="AC17" s="102">
        <v>1474287</v>
      </c>
      <c r="AD17" s="102">
        <v>1047772</v>
      </c>
      <c r="AE17" s="102">
        <v>426476</v>
      </c>
      <c r="AF17" s="102">
        <v>36472</v>
      </c>
      <c r="AG17" s="102">
        <v>560332</v>
      </c>
      <c r="AH17" s="73">
        <f t="shared" si="3"/>
        <v>1820663</v>
      </c>
      <c r="AI17" s="102">
        <v>1386404</v>
      </c>
      <c r="AJ17" s="102">
        <v>434259</v>
      </c>
      <c r="AK17" s="102">
        <v>16541554</v>
      </c>
      <c r="AL17" s="73">
        <f t="shared" si="4"/>
        <v>9262416</v>
      </c>
      <c r="AM17" s="102">
        <v>4579935</v>
      </c>
      <c r="AN17" s="102">
        <v>2349120</v>
      </c>
      <c r="AO17" s="74"/>
      <c r="AP17" s="102">
        <v>2333361</v>
      </c>
      <c r="AQ17" s="102">
        <v>550391</v>
      </c>
      <c r="AR17" s="102">
        <v>181044</v>
      </c>
      <c r="AS17" s="102">
        <v>0</v>
      </c>
      <c r="AT17" s="102">
        <v>6952959</v>
      </c>
      <c r="AU17" s="102">
        <v>4284253</v>
      </c>
      <c r="AV17" s="102">
        <v>1081152</v>
      </c>
      <c r="AW17" s="102">
        <v>82827</v>
      </c>
      <c r="AX17" s="102">
        <v>2668706</v>
      </c>
      <c r="AY17" s="102">
        <v>146457</v>
      </c>
      <c r="AZ17" s="102">
        <v>142014</v>
      </c>
      <c r="BA17" s="102">
        <v>98532</v>
      </c>
      <c r="BB17" s="102">
        <v>297250</v>
      </c>
      <c r="BC17" s="102">
        <v>1330683</v>
      </c>
      <c r="BD17" s="102">
        <v>1200000</v>
      </c>
      <c r="BE17" s="102">
        <v>0</v>
      </c>
      <c r="BF17" s="102">
        <v>52280</v>
      </c>
      <c r="BG17" s="102">
        <v>0</v>
      </c>
      <c r="BH17" s="102">
        <v>1186646</v>
      </c>
      <c r="BI17" s="102">
        <v>468583</v>
      </c>
      <c r="BJ17" s="102">
        <v>2629214</v>
      </c>
      <c r="BK17" s="102">
        <v>409196</v>
      </c>
      <c r="BL17" s="102">
        <v>5201</v>
      </c>
      <c r="BM17" s="102">
        <v>109040</v>
      </c>
      <c r="BN17" s="102">
        <v>1768400</v>
      </c>
      <c r="BO17" s="73">
        <f t="shared" si="5"/>
        <v>1536200</v>
      </c>
      <c r="BP17" s="73">
        <f t="shared" si="6"/>
        <v>232200</v>
      </c>
      <c r="BQ17" s="102">
        <v>0</v>
      </c>
      <c r="BR17" s="102">
        <v>0</v>
      </c>
      <c r="BS17" s="102">
        <v>232200</v>
      </c>
      <c r="BT17" s="102">
        <v>0</v>
      </c>
      <c r="BU17" s="102">
        <v>88164917</v>
      </c>
      <c r="BV17" s="71"/>
      <c r="BW17" s="102">
        <v>14385920</v>
      </c>
      <c r="BX17" s="102">
        <v>10292729</v>
      </c>
      <c r="BY17" s="102">
        <v>650125</v>
      </c>
      <c r="BZ17" s="102">
        <v>742585</v>
      </c>
      <c r="CA17" s="102">
        <v>26831282</v>
      </c>
      <c r="CB17" s="102">
        <v>6041554</v>
      </c>
      <c r="CC17" s="102">
        <v>264221</v>
      </c>
      <c r="CD17" s="102">
        <v>13573436</v>
      </c>
      <c r="CE17" s="102">
        <v>6088221</v>
      </c>
      <c r="CF17" s="102">
        <v>0</v>
      </c>
      <c r="CG17" s="102">
        <v>863850</v>
      </c>
      <c r="CH17" s="102">
        <v>5048367</v>
      </c>
      <c r="CI17" s="102">
        <v>4594959</v>
      </c>
      <c r="CJ17" s="83">
        <f t="shared" si="17"/>
        <v>453408</v>
      </c>
      <c r="CK17" s="102">
        <v>16381872</v>
      </c>
      <c r="CL17" s="102">
        <v>8331656</v>
      </c>
      <c r="CM17" s="102">
        <v>1422236</v>
      </c>
      <c r="CN17" s="102">
        <v>4173975</v>
      </c>
      <c r="CO17" s="102">
        <v>1207763</v>
      </c>
      <c r="CP17" s="102">
        <v>6796381</v>
      </c>
      <c r="CQ17" s="102">
        <v>5830</v>
      </c>
      <c r="CR17" s="102">
        <v>3388990</v>
      </c>
      <c r="CS17" s="102">
        <v>2250381</v>
      </c>
      <c r="CT17" s="73">
        <f t="shared" si="7"/>
        <v>2084764</v>
      </c>
      <c r="CU17" s="102">
        <v>1026400</v>
      </c>
      <c r="CV17" s="102">
        <v>1058364</v>
      </c>
      <c r="CW17" s="73">
        <f t="shared" si="8"/>
        <v>0</v>
      </c>
      <c r="CX17" s="102">
        <v>0</v>
      </c>
      <c r="CY17" s="102">
        <v>0</v>
      </c>
      <c r="CZ17" s="73">
        <f t="shared" si="9"/>
        <v>2078315</v>
      </c>
      <c r="DA17" s="102">
        <v>1022552</v>
      </c>
      <c r="DB17" s="102">
        <v>1055763</v>
      </c>
      <c r="DC17" s="102">
        <v>5903053</v>
      </c>
      <c r="DD17" s="102">
        <v>2204645</v>
      </c>
      <c r="DE17" s="102">
        <v>3693207</v>
      </c>
      <c r="DF17" s="102">
        <v>0</v>
      </c>
      <c r="DG17" s="102">
        <v>5201</v>
      </c>
      <c r="DH17" s="102">
        <v>562034</v>
      </c>
      <c r="DI17" s="102">
        <v>1051860</v>
      </c>
      <c r="DJ17" s="102">
        <v>510</v>
      </c>
      <c r="DK17" s="102">
        <v>0</v>
      </c>
      <c r="DL17" s="102">
        <v>1051350</v>
      </c>
      <c r="DM17" s="102">
        <v>9950</v>
      </c>
      <c r="DN17" s="102">
        <v>9950</v>
      </c>
      <c r="DO17" s="102">
        <v>9950</v>
      </c>
      <c r="DP17" s="102">
        <v>0</v>
      </c>
      <c r="DQ17" s="102">
        <v>409160</v>
      </c>
      <c r="DR17" s="102">
        <v>0</v>
      </c>
      <c r="DS17" s="102">
        <v>0</v>
      </c>
      <c r="DT17" s="102">
        <v>7615920</v>
      </c>
      <c r="DU17" s="102">
        <v>0</v>
      </c>
      <c r="DV17" s="73">
        <f t="shared" si="10"/>
        <v>0</v>
      </c>
      <c r="DW17" s="102">
        <v>0</v>
      </c>
      <c r="DX17" s="102">
        <v>3050074</v>
      </c>
      <c r="DY17" s="102">
        <v>0</v>
      </c>
      <c r="DZ17" s="102">
        <v>2035400</v>
      </c>
      <c r="EA17" s="74">
        <v>0</v>
      </c>
      <c r="EB17" s="102">
        <v>2530446</v>
      </c>
      <c r="EC17" s="102">
        <v>0</v>
      </c>
      <c r="ED17" s="102">
        <v>86203562</v>
      </c>
      <c r="EE17" s="71"/>
      <c r="EF17" s="102">
        <v>1961355</v>
      </c>
      <c r="EG17" s="102">
        <v>1067272</v>
      </c>
      <c r="EH17" s="102">
        <v>894083</v>
      </c>
      <c r="EI17" s="102">
        <v>-44500</v>
      </c>
      <c r="EJ17" s="102">
        <v>-1243990</v>
      </c>
      <c r="EK17" s="71"/>
      <c r="EL17" s="102">
        <v>280033</v>
      </c>
      <c r="EM17" s="102">
        <v>282018</v>
      </c>
      <c r="EN17" s="102">
        <v>1278403</v>
      </c>
      <c r="EO17" s="102">
        <v>141334</v>
      </c>
      <c r="EP17" s="73">
        <f t="shared" si="11"/>
        <v>1907415</v>
      </c>
      <c r="EQ17" s="102">
        <v>54935202</v>
      </c>
      <c r="ER17" s="71">
        <v>-3522880</v>
      </c>
      <c r="ES17" s="102">
        <v>12918454</v>
      </c>
      <c r="ET17" s="102">
        <v>9003724</v>
      </c>
      <c r="EU17" s="102">
        <v>8440061</v>
      </c>
      <c r="EV17" s="102">
        <v>5048367</v>
      </c>
      <c r="EW17" s="73">
        <f t="shared" si="12"/>
        <v>2616359</v>
      </c>
      <c r="EX17" s="102">
        <v>2557134</v>
      </c>
      <c r="EY17" s="102">
        <v>244102</v>
      </c>
      <c r="EZ17" s="102">
        <v>2313032</v>
      </c>
      <c r="FA17" s="102">
        <v>59225</v>
      </c>
      <c r="FB17" s="102">
        <v>0</v>
      </c>
      <c r="FC17" s="102">
        <v>13319540</v>
      </c>
      <c r="FD17" s="102">
        <v>5973871</v>
      </c>
      <c r="FE17" s="102">
        <v>5830</v>
      </c>
      <c r="FF17" s="102">
        <v>6057342</v>
      </c>
      <c r="FG17" s="73">
        <f t="shared" si="13"/>
        <v>2122733</v>
      </c>
      <c r="FH17" s="102">
        <v>56496727</v>
      </c>
      <c r="FI17" s="379">
        <f t="shared" si="14"/>
        <v>1.7</v>
      </c>
      <c r="FJ17" s="102">
        <v>49716894</v>
      </c>
      <c r="FK17" s="102">
        <v>2517740</v>
      </c>
      <c r="FL17" s="102">
        <v>37664630</v>
      </c>
      <c r="FM17" s="102">
        <v>38865212</v>
      </c>
      <c r="FN17" s="428">
        <v>0.96799999999999997</v>
      </c>
      <c r="FO17" s="424">
        <v>94.4</v>
      </c>
      <c r="FP17" s="425">
        <v>24.7</v>
      </c>
      <c r="FQ17" s="424">
        <v>16.399999999999999</v>
      </c>
      <c r="FR17" s="424">
        <v>9.8000000000000007</v>
      </c>
      <c r="FS17" s="425">
        <v>22.4</v>
      </c>
      <c r="FT17" s="424">
        <v>8</v>
      </c>
      <c r="FU17" s="426">
        <v>11.4</v>
      </c>
      <c r="FV17" s="384">
        <v>-3.5</v>
      </c>
      <c r="FW17" s="102">
        <v>50828681</v>
      </c>
      <c r="FX17" s="384">
        <f t="shared" si="15"/>
        <v>97.3</v>
      </c>
      <c r="FY17" s="102">
        <v>21694551</v>
      </c>
      <c r="FZ17" s="102">
        <v>7397620</v>
      </c>
      <c r="GA17" s="102">
        <v>0</v>
      </c>
      <c r="GB17" s="102">
        <v>14296931</v>
      </c>
      <c r="GC17" s="107">
        <v>0</v>
      </c>
      <c r="GD17" s="427">
        <v>659</v>
      </c>
      <c r="GE17" s="386">
        <f>IF(GD17=0,"-",ROUND(GD17/(GV17)*100,1))</f>
        <v>1.3</v>
      </c>
      <c r="GF17" s="424">
        <v>99.4</v>
      </c>
      <c r="GG17" s="424">
        <v>25.4</v>
      </c>
      <c r="GH17" s="424">
        <v>97.2</v>
      </c>
      <c r="GI17" s="102">
        <v>1567</v>
      </c>
      <c r="GJ17" s="429" t="s">
        <v>646</v>
      </c>
      <c r="GK17" s="429">
        <v>11.25</v>
      </c>
      <c r="GL17" s="117">
        <v>20</v>
      </c>
      <c r="GM17" s="429" t="s">
        <v>646</v>
      </c>
      <c r="GN17" s="430">
        <v>16.25</v>
      </c>
      <c r="GO17" s="387">
        <v>30</v>
      </c>
      <c r="GP17" s="425">
        <v>-3.5</v>
      </c>
      <c r="GQ17" s="388">
        <v>25</v>
      </c>
      <c r="GR17" s="388">
        <v>35</v>
      </c>
      <c r="GS17" s="431" t="s">
        <v>646</v>
      </c>
      <c r="GT17" s="388">
        <v>350</v>
      </c>
      <c r="GU17" s="394"/>
      <c r="GV17" s="100">
        <f t="shared" si="16"/>
        <v>52235</v>
      </c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</row>
    <row r="18" spans="2:230" x14ac:dyDescent="0.15">
      <c r="B18" s="89" t="s">
        <v>25</v>
      </c>
      <c r="C18" s="102">
        <v>38613772</v>
      </c>
      <c r="D18" s="73">
        <f t="shared" si="0"/>
        <v>14016786</v>
      </c>
      <c r="E18" s="102">
        <v>418527</v>
      </c>
      <c r="F18" s="102">
        <v>13598259</v>
      </c>
      <c r="G18" s="73">
        <f t="shared" si="1"/>
        <v>3081146</v>
      </c>
      <c r="H18" s="102">
        <v>738487</v>
      </c>
      <c r="I18" s="102">
        <v>2342659</v>
      </c>
      <c r="J18" s="102">
        <v>16048664</v>
      </c>
      <c r="K18" s="102">
        <v>7084221</v>
      </c>
      <c r="L18" s="102">
        <v>6638650</v>
      </c>
      <c r="M18" s="102">
        <v>2047135</v>
      </c>
      <c r="N18" s="102">
        <v>1769341</v>
      </c>
      <c r="O18" s="102">
        <v>3332682</v>
      </c>
      <c r="P18" s="102">
        <v>1887948</v>
      </c>
      <c r="Q18" s="102">
        <v>1444734</v>
      </c>
      <c r="R18" s="102">
        <v>431161</v>
      </c>
      <c r="S18" s="74"/>
      <c r="T18" s="73">
        <f t="shared" si="2"/>
        <v>5428129</v>
      </c>
      <c r="U18" s="102">
        <v>84086</v>
      </c>
      <c r="V18" s="102">
        <v>200275</v>
      </c>
      <c r="W18" s="102">
        <v>170044</v>
      </c>
      <c r="X18" s="102">
        <v>4740824</v>
      </c>
      <c r="Y18" s="102">
        <v>0</v>
      </c>
      <c r="Z18" s="102">
        <v>0</v>
      </c>
      <c r="AA18" s="102">
        <v>232900</v>
      </c>
      <c r="AB18" s="102">
        <v>254476</v>
      </c>
      <c r="AC18" s="102">
        <v>11385331</v>
      </c>
      <c r="AD18" s="102">
        <v>10781698</v>
      </c>
      <c r="AE18" s="102">
        <v>603589</v>
      </c>
      <c r="AF18" s="102">
        <v>35168</v>
      </c>
      <c r="AG18" s="102">
        <v>1035344</v>
      </c>
      <c r="AH18" s="73">
        <f t="shared" si="3"/>
        <v>1773125</v>
      </c>
      <c r="AI18" s="102">
        <v>1240036</v>
      </c>
      <c r="AJ18" s="102">
        <v>533089</v>
      </c>
      <c r="AK18" s="102">
        <v>22237066</v>
      </c>
      <c r="AL18" s="73">
        <f t="shared" si="4"/>
        <v>16357905</v>
      </c>
      <c r="AM18" s="102">
        <v>10439916</v>
      </c>
      <c r="AN18" s="102">
        <v>2768968</v>
      </c>
      <c r="AO18" s="74"/>
      <c r="AP18" s="102">
        <v>3149021</v>
      </c>
      <c r="AQ18" s="102">
        <v>340051</v>
      </c>
      <c r="AR18" s="102">
        <v>6847</v>
      </c>
      <c r="AS18" s="102">
        <v>47056</v>
      </c>
      <c r="AT18" s="102">
        <v>7891429</v>
      </c>
      <c r="AU18" s="102">
        <v>4992135</v>
      </c>
      <c r="AV18" s="102">
        <v>1261945</v>
      </c>
      <c r="AW18" s="102">
        <v>939715</v>
      </c>
      <c r="AX18" s="102">
        <v>2899294</v>
      </c>
      <c r="AY18" s="102">
        <v>7068</v>
      </c>
      <c r="AZ18" s="102">
        <v>370614</v>
      </c>
      <c r="BA18" s="102">
        <v>270129</v>
      </c>
      <c r="BB18" s="102">
        <v>108960</v>
      </c>
      <c r="BC18" s="102">
        <v>248214</v>
      </c>
      <c r="BD18" s="102">
        <v>0</v>
      </c>
      <c r="BE18" s="102">
        <v>0</v>
      </c>
      <c r="BF18" s="102">
        <v>248193</v>
      </c>
      <c r="BG18" s="102">
        <v>0</v>
      </c>
      <c r="BH18" s="102">
        <v>54119</v>
      </c>
      <c r="BI18" s="102">
        <v>36894</v>
      </c>
      <c r="BJ18" s="102">
        <v>1110462</v>
      </c>
      <c r="BK18" s="102">
        <v>271324</v>
      </c>
      <c r="BL18" s="102">
        <v>0</v>
      </c>
      <c r="BM18" s="102">
        <v>108971</v>
      </c>
      <c r="BN18" s="102">
        <v>10845244</v>
      </c>
      <c r="BO18" s="73">
        <f t="shared" si="5"/>
        <v>5347600</v>
      </c>
      <c r="BP18" s="73">
        <f t="shared" si="6"/>
        <v>5497644</v>
      </c>
      <c r="BQ18" s="102">
        <v>0</v>
      </c>
      <c r="BR18" s="102">
        <v>0</v>
      </c>
      <c r="BS18" s="102">
        <v>5497644</v>
      </c>
      <c r="BT18" s="102">
        <v>0</v>
      </c>
      <c r="BU18" s="102">
        <v>101869670</v>
      </c>
      <c r="BV18" s="71"/>
      <c r="BW18" s="102">
        <v>16887226</v>
      </c>
      <c r="BX18" s="102">
        <v>11382343</v>
      </c>
      <c r="BY18" s="102">
        <v>582497</v>
      </c>
      <c r="BZ18" s="102">
        <v>1826069</v>
      </c>
      <c r="CA18" s="102">
        <v>35964294</v>
      </c>
      <c r="CB18" s="102">
        <v>7633895</v>
      </c>
      <c r="CC18" s="102">
        <v>290950</v>
      </c>
      <c r="CD18" s="102">
        <v>12341395</v>
      </c>
      <c r="CE18" s="102">
        <v>13682549</v>
      </c>
      <c r="CF18" s="102">
        <v>951669</v>
      </c>
      <c r="CG18" s="102">
        <v>1062833</v>
      </c>
      <c r="CH18" s="102">
        <v>8855261</v>
      </c>
      <c r="CI18" s="102">
        <v>8224775</v>
      </c>
      <c r="CJ18" s="83">
        <f t="shared" si="17"/>
        <v>630486</v>
      </c>
      <c r="CK18" s="102">
        <v>9399364</v>
      </c>
      <c r="CL18" s="102">
        <v>6198850</v>
      </c>
      <c r="CM18" s="102">
        <v>599220</v>
      </c>
      <c r="CN18" s="102">
        <v>1586771</v>
      </c>
      <c r="CO18" s="102">
        <v>447307</v>
      </c>
      <c r="CP18" s="102">
        <v>9330472</v>
      </c>
      <c r="CQ18" s="102">
        <v>884683</v>
      </c>
      <c r="CR18" s="102">
        <v>2101366</v>
      </c>
      <c r="CS18" s="102">
        <v>1861605</v>
      </c>
      <c r="CT18" s="73">
        <f t="shared" si="7"/>
        <v>5399124</v>
      </c>
      <c r="CU18" s="102">
        <v>5399124</v>
      </c>
      <c r="CV18" s="102">
        <v>0</v>
      </c>
      <c r="CW18" s="73">
        <f t="shared" si="8"/>
        <v>1416154</v>
      </c>
      <c r="CX18" s="102">
        <v>1416154</v>
      </c>
      <c r="CY18" s="102">
        <v>0</v>
      </c>
      <c r="CZ18" s="73">
        <f t="shared" si="9"/>
        <v>3904736</v>
      </c>
      <c r="DA18" s="102">
        <v>3904736</v>
      </c>
      <c r="DB18" s="102">
        <v>0</v>
      </c>
      <c r="DC18" s="102">
        <v>8742640</v>
      </c>
      <c r="DD18" s="102">
        <v>3345476</v>
      </c>
      <c r="DE18" s="102">
        <v>5346993</v>
      </c>
      <c r="DF18" s="102">
        <v>47263</v>
      </c>
      <c r="DG18" s="102">
        <v>2908</v>
      </c>
      <c r="DH18" s="102">
        <v>147339</v>
      </c>
      <c r="DI18" s="102">
        <v>392660</v>
      </c>
      <c r="DJ18" s="102">
        <v>57586</v>
      </c>
      <c r="DK18" s="102">
        <v>0</v>
      </c>
      <c r="DL18" s="102">
        <v>335074</v>
      </c>
      <c r="DM18" s="102">
        <v>562960</v>
      </c>
      <c r="DN18" s="102">
        <v>545360</v>
      </c>
      <c r="DO18" s="102">
        <v>23900</v>
      </c>
      <c r="DP18" s="102">
        <v>0</v>
      </c>
      <c r="DQ18" s="102">
        <v>442200</v>
      </c>
      <c r="DR18" s="102">
        <v>0</v>
      </c>
      <c r="DS18" s="102">
        <v>0</v>
      </c>
      <c r="DT18" s="102">
        <v>9829381</v>
      </c>
      <c r="DU18" s="102">
        <v>0</v>
      </c>
      <c r="DV18" s="73">
        <f t="shared" si="10"/>
        <v>0</v>
      </c>
      <c r="DW18" s="102">
        <v>0</v>
      </c>
      <c r="DX18" s="102">
        <v>3239407</v>
      </c>
      <c r="DY18" s="102">
        <v>0</v>
      </c>
      <c r="DZ18" s="102">
        <v>3088193</v>
      </c>
      <c r="EA18" s="74">
        <v>0</v>
      </c>
      <c r="EB18" s="102">
        <v>3461434</v>
      </c>
      <c r="EC18" s="102">
        <v>0</v>
      </c>
      <c r="ED18" s="102">
        <v>101001104</v>
      </c>
      <c r="EE18" s="71"/>
      <c r="EF18" s="102">
        <v>868566</v>
      </c>
      <c r="EG18" s="102">
        <v>121562</v>
      </c>
      <c r="EH18" s="102">
        <v>747004</v>
      </c>
      <c r="EI18" s="102">
        <v>710110</v>
      </c>
      <c r="EJ18" s="102">
        <v>846096</v>
      </c>
      <c r="EK18" s="71"/>
      <c r="EL18" s="102">
        <v>268800</v>
      </c>
      <c r="EM18" s="102">
        <v>266943</v>
      </c>
      <c r="EN18" s="102">
        <v>5</v>
      </c>
      <c r="EO18" s="102">
        <v>321806</v>
      </c>
      <c r="EP18" s="73">
        <f t="shared" si="11"/>
        <v>1171449</v>
      </c>
      <c r="EQ18" s="102">
        <v>56195093</v>
      </c>
      <c r="ER18" s="71">
        <v>-6908680</v>
      </c>
      <c r="ES18" s="102">
        <v>15463558</v>
      </c>
      <c r="ET18" s="102">
        <v>10494470</v>
      </c>
      <c r="EU18" s="102">
        <v>10465323</v>
      </c>
      <c r="EV18" s="102">
        <v>8804771</v>
      </c>
      <c r="EW18" s="73">
        <f t="shared" si="12"/>
        <v>1880172</v>
      </c>
      <c r="EX18" s="102">
        <v>1818510</v>
      </c>
      <c r="EY18" s="102">
        <v>201220</v>
      </c>
      <c r="EZ18" s="102">
        <v>1615187</v>
      </c>
      <c r="FA18" s="102">
        <v>61662</v>
      </c>
      <c r="FB18" s="102">
        <v>0</v>
      </c>
      <c r="FC18" s="102">
        <v>7770385</v>
      </c>
      <c r="FD18" s="102">
        <v>8764861</v>
      </c>
      <c r="FE18" s="102">
        <v>572214</v>
      </c>
      <c r="FF18" s="102">
        <v>7874064</v>
      </c>
      <c r="FG18" s="73">
        <f t="shared" si="13"/>
        <v>1212073</v>
      </c>
      <c r="FH18" s="102">
        <v>62235207</v>
      </c>
      <c r="FI18" s="379">
        <f t="shared" si="14"/>
        <v>1.3</v>
      </c>
      <c r="FJ18" s="102">
        <v>51024092</v>
      </c>
      <c r="FK18" s="102">
        <v>5497644</v>
      </c>
      <c r="FL18" s="102">
        <v>31289794</v>
      </c>
      <c r="FM18" s="102">
        <v>42071492</v>
      </c>
      <c r="FN18" s="428">
        <v>0.76200000000000001</v>
      </c>
      <c r="FO18" s="424">
        <v>99.5</v>
      </c>
      <c r="FP18" s="425">
        <v>26.4</v>
      </c>
      <c r="FQ18" s="424">
        <v>17.899999999999999</v>
      </c>
      <c r="FR18" s="424">
        <v>14.9</v>
      </c>
      <c r="FS18" s="425">
        <v>12.9</v>
      </c>
      <c r="FT18" s="424">
        <v>13.9</v>
      </c>
      <c r="FU18" s="426">
        <v>11.9</v>
      </c>
      <c r="FV18" s="384">
        <v>5.8</v>
      </c>
      <c r="FW18" s="102">
        <v>97558523</v>
      </c>
      <c r="FX18" s="384">
        <f t="shared" si="15"/>
        <v>172.6</v>
      </c>
      <c r="FY18" s="102">
        <v>8333027</v>
      </c>
      <c r="FZ18" s="102">
        <v>5840208</v>
      </c>
      <c r="GA18" s="102">
        <v>0</v>
      </c>
      <c r="GB18" s="102">
        <v>2492819</v>
      </c>
      <c r="GC18" s="107">
        <v>0</v>
      </c>
      <c r="GD18" s="427"/>
      <c r="GE18" s="386"/>
      <c r="GF18" s="424">
        <v>99.3</v>
      </c>
      <c r="GG18" s="424">
        <v>27.8</v>
      </c>
      <c r="GH18" s="424">
        <v>97.7</v>
      </c>
      <c r="GI18" s="102">
        <v>1709</v>
      </c>
      <c r="GJ18" s="429" t="s">
        <v>646</v>
      </c>
      <c r="GK18" s="429">
        <v>11.25</v>
      </c>
      <c r="GL18" s="117">
        <v>20</v>
      </c>
      <c r="GM18" s="429" t="s">
        <v>646</v>
      </c>
      <c r="GN18" s="430">
        <v>16.25</v>
      </c>
      <c r="GO18" s="387">
        <v>30</v>
      </c>
      <c r="GP18" s="425">
        <v>5.8</v>
      </c>
      <c r="GQ18" s="388">
        <v>25</v>
      </c>
      <c r="GR18" s="388">
        <v>35</v>
      </c>
      <c r="GS18" s="431">
        <v>16.100000000000001</v>
      </c>
      <c r="GT18" s="388">
        <v>350</v>
      </c>
      <c r="GU18" s="394"/>
      <c r="GV18" s="100">
        <f t="shared" si="16"/>
        <v>56522</v>
      </c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</row>
    <row r="19" spans="2:230" x14ac:dyDescent="0.15">
      <c r="B19" s="89" t="s">
        <v>27</v>
      </c>
      <c r="C19" s="102">
        <v>21192377</v>
      </c>
      <c r="D19" s="73">
        <f t="shared" si="0"/>
        <v>4845372</v>
      </c>
      <c r="E19" s="102">
        <v>164285</v>
      </c>
      <c r="F19" s="102">
        <v>4681087</v>
      </c>
      <c r="G19" s="73">
        <f t="shared" si="1"/>
        <v>2465453</v>
      </c>
      <c r="H19" s="102">
        <v>470358</v>
      </c>
      <c r="I19" s="102">
        <v>1995095</v>
      </c>
      <c r="J19" s="102">
        <v>9970273</v>
      </c>
      <c r="K19" s="102">
        <v>3551403</v>
      </c>
      <c r="L19" s="102">
        <v>3713467</v>
      </c>
      <c r="M19" s="102">
        <v>2249558</v>
      </c>
      <c r="N19" s="102">
        <v>1830076</v>
      </c>
      <c r="O19" s="102">
        <v>1440001</v>
      </c>
      <c r="P19" s="102">
        <v>661103</v>
      </c>
      <c r="Q19" s="102">
        <v>778898</v>
      </c>
      <c r="R19" s="102">
        <v>206496</v>
      </c>
      <c r="S19" s="74"/>
      <c r="T19" s="73">
        <f t="shared" si="2"/>
        <v>2162383</v>
      </c>
      <c r="U19" s="102">
        <v>28278</v>
      </c>
      <c r="V19" s="102">
        <v>67351</v>
      </c>
      <c r="W19" s="102">
        <v>57180</v>
      </c>
      <c r="X19" s="102">
        <v>1874521</v>
      </c>
      <c r="Y19" s="102">
        <v>44347</v>
      </c>
      <c r="Z19" s="102">
        <v>0</v>
      </c>
      <c r="AA19" s="102">
        <v>90706</v>
      </c>
      <c r="AB19" s="102">
        <v>81107</v>
      </c>
      <c r="AC19" s="102">
        <v>1428917</v>
      </c>
      <c r="AD19" s="102">
        <v>931619</v>
      </c>
      <c r="AE19" s="102">
        <v>497298</v>
      </c>
      <c r="AF19" s="102">
        <v>18398</v>
      </c>
      <c r="AG19" s="102">
        <v>177704</v>
      </c>
      <c r="AH19" s="73">
        <f t="shared" si="3"/>
        <v>905919</v>
      </c>
      <c r="AI19" s="102">
        <v>664278</v>
      </c>
      <c r="AJ19" s="102">
        <v>241641</v>
      </c>
      <c r="AK19" s="102">
        <v>7051166</v>
      </c>
      <c r="AL19" s="73">
        <f t="shared" si="4"/>
        <v>4568337</v>
      </c>
      <c r="AM19" s="102">
        <v>2627333</v>
      </c>
      <c r="AN19" s="102">
        <v>776754</v>
      </c>
      <c r="AO19" s="74"/>
      <c r="AP19" s="102">
        <v>1164250</v>
      </c>
      <c r="AQ19" s="102">
        <v>414026</v>
      </c>
      <c r="AR19" s="102">
        <v>96478</v>
      </c>
      <c r="AS19" s="102">
        <v>0</v>
      </c>
      <c r="AT19" s="102">
        <v>2747554</v>
      </c>
      <c r="AU19" s="102">
        <v>1501036</v>
      </c>
      <c r="AV19" s="102">
        <v>447649</v>
      </c>
      <c r="AW19" s="102">
        <v>12</v>
      </c>
      <c r="AX19" s="102">
        <v>1246518</v>
      </c>
      <c r="AY19" s="102">
        <v>30921</v>
      </c>
      <c r="AZ19" s="102">
        <v>1707317</v>
      </c>
      <c r="BA19" s="102">
        <v>1586190</v>
      </c>
      <c r="BB19" s="102">
        <v>49906464</v>
      </c>
      <c r="BC19" s="102">
        <v>39008776</v>
      </c>
      <c r="BD19" s="102">
        <v>0</v>
      </c>
      <c r="BE19" s="102">
        <v>1832400</v>
      </c>
      <c r="BF19" s="102">
        <v>37076376</v>
      </c>
      <c r="BG19" s="102">
        <v>100000</v>
      </c>
      <c r="BH19" s="102">
        <v>60065</v>
      </c>
      <c r="BI19" s="102">
        <v>56981</v>
      </c>
      <c r="BJ19" s="102">
        <v>1812204</v>
      </c>
      <c r="BK19" s="102">
        <v>1291426</v>
      </c>
      <c r="BL19" s="102">
        <v>0</v>
      </c>
      <c r="BM19" s="102">
        <v>60667</v>
      </c>
      <c r="BN19" s="102">
        <v>4580000</v>
      </c>
      <c r="BO19" s="73">
        <f t="shared" si="5"/>
        <v>3248800</v>
      </c>
      <c r="BP19" s="73">
        <f t="shared" si="6"/>
        <v>1331200</v>
      </c>
      <c r="BQ19" s="102">
        <v>0</v>
      </c>
      <c r="BR19" s="102">
        <v>0</v>
      </c>
      <c r="BS19" s="102">
        <v>1331200</v>
      </c>
      <c r="BT19" s="102">
        <v>0</v>
      </c>
      <c r="BU19" s="102">
        <v>133046847</v>
      </c>
      <c r="BV19" s="71"/>
      <c r="BW19" s="102">
        <v>5498667</v>
      </c>
      <c r="BX19" s="102">
        <v>3229463</v>
      </c>
      <c r="BY19" s="102">
        <v>488275</v>
      </c>
      <c r="BZ19" s="102">
        <v>517217</v>
      </c>
      <c r="CA19" s="102">
        <v>10772573</v>
      </c>
      <c r="CB19" s="102">
        <v>2396681</v>
      </c>
      <c r="CC19" s="102">
        <v>80300</v>
      </c>
      <c r="CD19" s="102">
        <v>4424209</v>
      </c>
      <c r="CE19" s="102">
        <v>3549911</v>
      </c>
      <c r="CF19" s="102">
        <v>55330</v>
      </c>
      <c r="CG19" s="102">
        <v>266142</v>
      </c>
      <c r="CH19" s="102">
        <v>7808133</v>
      </c>
      <c r="CI19" s="102">
        <v>7009057</v>
      </c>
      <c r="CJ19" s="83">
        <f t="shared" si="17"/>
        <v>799076</v>
      </c>
      <c r="CK19" s="102">
        <v>14410787</v>
      </c>
      <c r="CL19" s="102">
        <v>8075212</v>
      </c>
      <c r="CM19" s="102">
        <v>127985</v>
      </c>
      <c r="CN19" s="102">
        <v>722956</v>
      </c>
      <c r="CO19" s="102">
        <v>104661</v>
      </c>
      <c r="CP19" s="102">
        <v>24454531</v>
      </c>
      <c r="CQ19" s="102">
        <v>2368867</v>
      </c>
      <c r="CR19" s="102">
        <v>2321212</v>
      </c>
      <c r="CS19" s="102">
        <v>1873941</v>
      </c>
      <c r="CT19" s="73">
        <f t="shared" si="7"/>
        <v>2054</v>
      </c>
      <c r="CU19" s="102">
        <v>2054</v>
      </c>
      <c r="CV19" s="102">
        <v>0</v>
      </c>
      <c r="CW19" s="73">
        <f t="shared" si="8"/>
        <v>0</v>
      </c>
      <c r="CX19" s="102">
        <v>0</v>
      </c>
      <c r="CY19" s="102">
        <v>0</v>
      </c>
      <c r="CZ19" s="73">
        <f t="shared" si="9"/>
        <v>0</v>
      </c>
      <c r="DA19" s="102">
        <v>0</v>
      </c>
      <c r="DB19" s="102">
        <v>0</v>
      </c>
      <c r="DC19" s="102">
        <v>4924413</v>
      </c>
      <c r="DD19" s="102">
        <v>933483</v>
      </c>
      <c r="DE19" s="102">
        <v>3973771</v>
      </c>
      <c r="DF19" s="102">
        <v>17033</v>
      </c>
      <c r="DG19" s="102">
        <v>0</v>
      </c>
      <c r="DH19" s="102">
        <v>376814</v>
      </c>
      <c r="DI19" s="102">
        <v>57034619</v>
      </c>
      <c r="DJ19" s="102">
        <v>213713</v>
      </c>
      <c r="DK19" s="102">
        <v>247</v>
      </c>
      <c r="DL19" s="102">
        <v>56820659</v>
      </c>
      <c r="DM19" s="102">
        <v>0</v>
      </c>
      <c r="DN19" s="102">
        <v>0</v>
      </c>
      <c r="DO19" s="102">
        <v>0</v>
      </c>
      <c r="DP19" s="102">
        <v>0</v>
      </c>
      <c r="DQ19" s="102">
        <v>1777300</v>
      </c>
      <c r="DR19" s="102">
        <v>0</v>
      </c>
      <c r="DS19" s="102">
        <v>0</v>
      </c>
      <c r="DT19" s="102">
        <v>5438111</v>
      </c>
      <c r="DU19" s="102">
        <v>1624011</v>
      </c>
      <c r="DV19" s="73">
        <f t="shared" si="10"/>
        <v>0</v>
      </c>
      <c r="DW19" s="102">
        <v>0</v>
      </c>
      <c r="DX19" s="102">
        <v>1462258</v>
      </c>
      <c r="DY19" s="102">
        <v>0</v>
      </c>
      <c r="DZ19" s="102">
        <v>1126075</v>
      </c>
      <c r="EA19" s="74">
        <v>0</v>
      </c>
      <c r="EB19" s="102">
        <v>1225767</v>
      </c>
      <c r="EC19" s="102">
        <v>0</v>
      </c>
      <c r="ED19" s="102">
        <v>132600609</v>
      </c>
      <c r="EE19" s="71"/>
      <c r="EF19" s="102">
        <v>446238</v>
      </c>
      <c r="EG19" s="102">
        <v>385699</v>
      </c>
      <c r="EH19" s="102">
        <v>60539</v>
      </c>
      <c r="EI19" s="102">
        <v>3558</v>
      </c>
      <c r="EJ19" s="102">
        <v>2306671</v>
      </c>
      <c r="EK19" s="71"/>
      <c r="EL19" s="102">
        <v>100966</v>
      </c>
      <c r="EM19" s="102">
        <v>100702</v>
      </c>
      <c r="EN19" s="102">
        <v>32378944</v>
      </c>
      <c r="EO19" s="102">
        <v>1605025</v>
      </c>
      <c r="EP19" s="73">
        <f t="shared" si="11"/>
        <v>679659</v>
      </c>
      <c r="EQ19" s="102">
        <v>25089678</v>
      </c>
      <c r="ER19" s="71">
        <v>-35976430</v>
      </c>
      <c r="ES19" s="102">
        <v>4988889</v>
      </c>
      <c r="ET19" s="102">
        <v>2798950</v>
      </c>
      <c r="EU19" s="102">
        <v>3143207</v>
      </c>
      <c r="EV19" s="102">
        <v>7515646</v>
      </c>
      <c r="EW19" s="73">
        <f t="shared" si="12"/>
        <v>1824727</v>
      </c>
      <c r="EX19" s="102">
        <v>1573831</v>
      </c>
      <c r="EY19" s="102">
        <v>38197</v>
      </c>
      <c r="EZ19" s="102">
        <v>1533538</v>
      </c>
      <c r="FA19" s="102">
        <v>250896</v>
      </c>
      <c r="FB19" s="102">
        <v>0</v>
      </c>
      <c r="FC19" s="102">
        <v>12820902</v>
      </c>
      <c r="FD19" s="102">
        <v>23786235</v>
      </c>
      <c r="FE19" s="102">
        <v>2344214</v>
      </c>
      <c r="FF19" s="102">
        <v>4651205</v>
      </c>
      <c r="FG19" s="73">
        <f t="shared" si="13"/>
        <v>1889059</v>
      </c>
      <c r="FH19" s="102">
        <v>60619870</v>
      </c>
      <c r="FI19" s="379">
        <f t="shared" si="14"/>
        <v>0.3</v>
      </c>
      <c r="FJ19" s="102">
        <v>21328899</v>
      </c>
      <c r="FK19" s="102">
        <v>1331257</v>
      </c>
      <c r="FL19" s="102">
        <v>15773091</v>
      </c>
      <c r="FM19" s="102">
        <v>16716115</v>
      </c>
      <c r="FN19" s="428">
        <v>0.94699999999999995</v>
      </c>
      <c r="FO19" s="424">
        <v>104.8</v>
      </c>
      <c r="FP19" s="425">
        <v>19.3</v>
      </c>
      <c r="FQ19" s="424">
        <v>12.9</v>
      </c>
      <c r="FR19" s="424">
        <v>22.4</v>
      </c>
      <c r="FS19" s="425">
        <v>17</v>
      </c>
      <c r="FT19" s="424">
        <v>15.3</v>
      </c>
      <c r="FU19" s="426">
        <v>17.600000000000001</v>
      </c>
      <c r="FV19" s="384">
        <v>16</v>
      </c>
      <c r="FW19" s="102">
        <v>64268423</v>
      </c>
      <c r="FX19" s="384">
        <f t="shared" si="15"/>
        <v>283.60000000000002</v>
      </c>
      <c r="FY19" s="102">
        <v>28719375</v>
      </c>
      <c r="FZ19" s="102">
        <v>1589982</v>
      </c>
      <c r="GA19" s="102">
        <v>685923</v>
      </c>
      <c r="GB19" s="102">
        <v>26443470</v>
      </c>
      <c r="GC19" s="107">
        <v>0</v>
      </c>
      <c r="GD19" s="427">
        <v>2712</v>
      </c>
      <c r="GE19" s="386">
        <f>IF(GD19=0,"-",ROUND(GD19/(GV19)*100,1))</f>
        <v>12</v>
      </c>
      <c r="GF19" s="424">
        <v>99.6</v>
      </c>
      <c r="GG19" s="424">
        <v>32.5</v>
      </c>
      <c r="GH19" s="424">
        <v>98.8</v>
      </c>
      <c r="GI19" s="102">
        <v>470</v>
      </c>
      <c r="GJ19" s="429" t="s">
        <v>646</v>
      </c>
      <c r="GK19" s="429">
        <v>12.26</v>
      </c>
      <c r="GL19" s="117">
        <v>20</v>
      </c>
      <c r="GM19" s="429" t="s">
        <v>646</v>
      </c>
      <c r="GN19" s="430">
        <v>17.260000000000002</v>
      </c>
      <c r="GO19" s="387">
        <v>30</v>
      </c>
      <c r="GP19" s="425">
        <v>16</v>
      </c>
      <c r="GQ19" s="388">
        <v>25</v>
      </c>
      <c r="GR19" s="388">
        <v>35</v>
      </c>
      <c r="GS19" s="431">
        <v>35.700000000000003</v>
      </c>
      <c r="GT19" s="388">
        <v>350</v>
      </c>
      <c r="GU19" s="394"/>
      <c r="GV19" s="100">
        <f t="shared" si="16"/>
        <v>22660</v>
      </c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</row>
    <row r="20" spans="2:230" x14ac:dyDescent="0.15">
      <c r="B20" s="89" t="s">
        <v>29</v>
      </c>
      <c r="C20" s="102">
        <v>13475170</v>
      </c>
      <c r="D20" s="73">
        <f t="shared" si="0"/>
        <v>6063023</v>
      </c>
      <c r="E20" s="102">
        <v>181429</v>
      </c>
      <c r="F20" s="102">
        <v>5881594</v>
      </c>
      <c r="G20" s="73">
        <f t="shared" si="1"/>
        <v>611086</v>
      </c>
      <c r="H20" s="102">
        <v>195462</v>
      </c>
      <c r="I20" s="102">
        <v>415624</v>
      </c>
      <c r="J20" s="102">
        <v>5070692</v>
      </c>
      <c r="K20" s="102">
        <v>2004204</v>
      </c>
      <c r="L20" s="102">
        <v>2344394</v>
      </c>
      <c r="M20" s="102">
        <v>613406</v>
      </c>
      <c r="N20" s="102">
        <v>537811</v>
      </c>
      <c r="O20" s="102">
        <v>981232</v>
      </c>
      <c r="P20" s="102">
        <v>532257</v>
      </c>
      <c r="Q20" s="102">
        <v>448975</v>
      </c>
      <c r="R20" s="102">
        <v>203330</v>
      </c>
      <c r="S20" s="74"/>
      <c r="T20" s="73">
        <f t="shared" si="2"/>
        <v>2232780</v>
      </c>
      <c r="U20" s="102">
        <v>37546</v>
      </c>
      <c r="V20" s="102">
        <v>89276</v>
      </c>
      <c r="W20" s="102">
        <v>75446</v>
      </c>
      <c r="X20" s="102">
        <v>1873069</v>
      </c>
      <c r="Y20" s="102">
        <v>47258</v>
      </c>
      <c r="Z20" s="102">
        <v>0</v>
      </c>
      <c r="AA20" s="102">
        <v>110185</v>
      </c>
      <c r="AB20" s="102">
        <v>76635</v>
      </c>
      <c r="AC20" s="102">
        <v>6450598</v>
      </c>
      <c r="AD20" s="102">
        <v>6259019</v>
      </c>
      <c r="AE20" s="102">
        <v>191579</v>
      </c>
      <c r="AF20" s="102">
        <v>16296</v>
      </c>
      <c r="AG20" s="102">
        <v>1113096</v>
      </c>
      <c r="AH20" s="73">
        <f t="shared" si="3"/>
        <v>1035787</v>
      </c>
      <c r="AI20" s="102">
        <v>679797</v>
      </c>
      <c r="AJ20" s="102">
        <v>355990</v>
      </c>
      <c r="AK20" s="102">
        <v>7584786</v>
      </c>
      <c r="AL20" s="73">
        <f t="shared" si="4"/>
        <v>5015891</v>
      </c>
      <c r="AM20" s="102">
        <v>3092704</v>
      </c>
      <c r="AN20" s="102">
        <v>749314</v>
      </c>
      <c r="AO20" s="74"/>
      <c r="AP20" s="102">
        <v>1173873</v>
      </c>
      <c r="AQ20" s="102">
        <v>760488</v>
      </c>
      <c r="AR20" s="102">
        <v>8270</v>
      </c>
      <c r="AS20" s="102">
        <v>0</v>
      </c>
      <c r="AT20" s="102">
        <v>2923702</v>
      </c>
      <c r="AU20" s="102">
        <v>1731319</v>
      </c>
      <c r="AV20" s="102">
        <v>349438</v>
      </c>
      <c r="AW20" s="102">
        <v>219750</v>
      </c>
      <c r="AX20" s="102">
        <v>1192383</v>
      </c>
      <c r="AY20" s="102">
        <v>4220</v>
      </c>
      <c r="AZ20" s="102">
        <v>54017</v>
      </c>
      <c r="BA20" s="102">
        <v>33912</v>
      </c>
      <c r="BB20" s="102">
        <v>65826</v>
      </c>
      <c r="BC20" s="102">
        <v>210417</v>
      </c>
      <c r="BD20" s="102">
        <v>0</v>
      </c>
      <c r="BE20" s="102">
        <v>0</v>
      </c>
      <c r="BF20" s="102">
        <v>210417</v>
      </c>
      <c r="BG20" s="102">
        <v>0</v>
      </c>
      <c r="BH20" s="102">
        <v>567654</v>
      </c>
      <c r="BI20" s="102">
        <v>422965</v>
      </c>
      <c r="BJ20" s="102">
        <v>1585417</v>
      </c>
      <c r="BK20" s="102">
        <v>1148705</v>
      </c>
      <c r="BL20" s="102">
        <v>0</v>
      </c>
      <c r="BM20" s="102">
        <v>85744</v>
      </c>
      <c r="BN20" s="102">
        <v>3531000</v>
      </c>
      <c r="BO20" s="73">
        <f t="shared" si="5"/>
        <v>1956000</v>
      </c>
      <c r="BP20" s="73">
        <f t="shared" si="6"/>
        <v>1575000</v>
      </c>
      <c r="BQ20" s="102">
        <v>0</v>
      </c>
      <c r="BR20" s="102">
        <v>0</v>
      </c>
      <c r="BS20" s="102">
        <v>1575000</v>
      </c>
      <c r="BT20" s="102">
        <v>0</v>
      </c>
      <c r="BU20" s="102">
        <v>41126511</v>
      </c>
      <c r="BV20" s="71"/>
      <c r="BW20" s="102">
        <v>7485051</v>
      </c>
      <c r="BX20" s="102">
        <v>4996297</v>
      </c>
      <c r="BY20" s="102">
        <v>392708</v>
      </c>
      <c r="BZ20" s="102">
        <v>704799</v>
      </c>
      <c r="CA20" s="102">
        <v>11552509</v>
      </c>
      <c r="CB20" s="102">
        <v>2862304</v>
      </c>
      <c r="CC20" s="102">
        <v>103460</v>
      </c>
      <c r="CD20" s="102">
        <v>4546770</v>
      </c>
      <c r="CE20" s="102">
        <v>3887081</v>
      </c>
      <c r="CF20" s="102">
        <v>8098</v>
      </c>
      <c r="CG20" s="102">
        <v>144796</v>
      </c>
      <c r="CH20" s="102">
        <v>2421189</v>
      </c>
      <c r="CI20" s="102">
        <v>2219329</v>
      </c>
      <c r="CJ20" s="83">
        <f t="shared" si="17"/>
        <v>201860</v>
      </c>
      <c r="CK20" s="102">
        <v>5027062</v>
      </c>
      <c r="CL20" s="102">
        <v>3382960</v>
      </c>
      <c r="CM20" s="102">
        <v>496812</v>
      </c>
      <c r="CN20" s="102">
        <v>772054</v>
      </c>
      <c r="CO20" s="102">
        <v>276949</v>
      </c>
      <c r="CP20" s="102">
        <v>3421567</v>
      </c>
      <c r="CQ20" s="102">
        <v>839245</v>
      </c>
      <c r="CR20" s="102">
        <v>986067</v>
      </c>
      <c r="CS20" s="102">
        <v>667110</v>
      </c>
      <c r="CT20" s="73">
        <f t="shared" si="7"/>
        <v>1023083</v>
      </c>
      <c r="CU20" s="102">
        <v>94421</v>
      </c>
      <c r="CV20" s="102">
        <v>928662</v>
      </c>
      <c r="CW20" s="73">
        <f t="shared" si="8"/>
        <v>0</v>
      </c>
      <c r="CX20" s="102">
        <v>0</v>
      </c>
      <c r="CY20" s="102">
        <v>0</v>
      </c>
      <c r="CZ20" s="73">
        <f t="shared" si="9"/>
        <v>1003495</v>
      </c>
      <c r="DA20" s="102">
        <v>77344</v>
      </c>
      <c r="DB20" s="102">
        <v>926151</v>
      </c>
      <c r="DC20" s="102">
        <v>3964773</v>
      </c>
      <c r="DD20" s="102">
        <v>1594766</v>
      </c>
      <c r="DE20" s="102">
        <v>2135864</v>
      </c>
      <c r="DF20" s="102">
        <v>234143</v>
      </c>
      <c r="DG20" s="102">
        <v>0</v>
      </c>
      <c r="DH20" s="102">
        <v>266465</v>
      </c>
      <c r="DI20" s="102">
        <v>421933</v>
      </c>
      <c r="DJ20" s="102">
        <v>4662</v>
      </c>
      <c r="DK20" s="102">
        <v>0</v>
      </c>
      <c r="DL20" s="102">
        <v>417271</v>
      </c>
      <c r="DM20" s="102">
        <v>0</v>
      </c>
      <c r="DN20" s="102">
        <v>0</v>
      </c>
      <c r="DO20" s="102">
        <v>0</v>
      </c>
      <c r="DP20" s="102">
        <v>0</v>
      </c>
      <c r="DQ20" s="102">
        <v>1138850</v>
      </c>
      <c r="DR20" s="102">
        <v>0</v>
      </c>
      <c r="DS20" s="102">
        <v>0</v>
      </c>
      <c r="DT20" s="102">
        <v>4273350</v>
      </c>
      <c r="DU20" s="102">
        <v>0</v>
      </c>
      <c r="DV20" s="73">
        <f t="shared" si="10"/>
        <v>0</v>
      </c>
      <c r="DW20" s="102">
        <v>0</v>
      </c>
      <c r="DX20" s="102">
        <v>1567802</v>
      </c>
      <c r="DY20" s="102">
        <v>0</v>
      </c>
      <c r="DZ20" s="102">
        <v>1194906</v>
      </c>
      <c r="EA20" s="74">
        <v>0</v>
      </c>
      <c r="EB20" s="102">
        <v>1510642</v>
      </c>
      <c r="EC20" s="102">
        <v>0</v>
      </c>
      <c r="ED20" s="102">
        <v>40249698</v>
      </c>
      <c r="EE20" s="71"/>
      <c r="EF20" s="102">
        <v>876813</v>
      </c>
      <c r="EG20" s="102">
        <v>104478</v>
      </c>
      <c r="EH20" s="102">
        <v>772335</v>
      </c>
      <c r="EI20" s="102">
        <v>349370</v>
      </c>
      <c r="EJ20" s="102">
        <v>354032</v>
      </c>
      <c r="EK20" s="71"/>
      <c r="EL20" s="102">
        <v>113984</v>
      </c>
      <c r="EM20" s="102">
        <v>111898</v>
      </c>
      <c r="EN20" s="102">
        <v>68000</v>
      </c>
      <c r="EO20" s="102">
        <v>40292</v>
      </c>
      <c r="EP20" s="73">
        <f t="shared" si="11"/>
        <v>887363</v>
      </c>
      <c r="EQ20" s="102">
        <v>22454809</v>
      </c>
      <c r="ER20" s="71">
        <v>-2554359</v>
      </c>
      <c r="ES20" s="102">
        <v>6399560</v>
      </c>
      <c r="ET20" s="102">
        <v>4128407</v>
      </c>
      <c r="EU20" s="102">
        <v>3342954</v>
      </c>
      <c r="EV20" s="102">
        <v>2351731</v>
      </c>
      <c r="EW20" s="73">
        <f t="shared" si="12"/>
        <v>1091912</v>
      </c>
      <c r="EX20" s="102">
        <v>997425</v>
      </c>
      <c r="EY20" s="102">
        <v>52285</v>
      </c>
      <c r="EZ20" s="102">
        <v>934575</v>
      </c>
      <c r="FA20" s="102">
        <v>94487</v>
      </c>
      <c r="FB20" s="102">
        <v>0</v>
      </c>
      <c r="FC20" s="102">
        <v>3791268</v>
      </c>
      <c r="FD20" s="102">
        <v>3170377</v>
      </c>
      <c r="FE20" s="102">
        <v>839245</v>
      </c>
      <c r="FF20" s="102">
        <v>3448974</v>
      </c>
      <c r="FG20" s="73">
        <f t="shared" si="13"/>
        <v>535579</v>
      </c>
      <c r="FH20" s="102">
        <v>24132355</v>
      </c>
      <c r="FI20" s="379">
        <f t="shared" si="14"/>
        <v>3.4</v>
      </c>
      <c r="FJ20" s="102">
        <v>21080237</v>
      </c>
      <c r="FK20" s="102">
        <v>1575096</v>
      </c>
      <c r="FL20" s="102">
        <v>11558587</v>
      </c>
      <c r="FM20" s="102">
        <v>17817606</v>
      </c>
      <c r="FN20" s="428">
        <v>0.65500000000000003</v>
      </c>
      <c r="FO20" s="424">
        <v>93.5</v>
      </c>
      <c r="FP20" s="425">
        <v>27.3</v>
      </c>
      <c r="FQ20" s="424">
        <v>14.5</v>
      </c>
      <c r="FR20" s="424">
        <v>10.199999999999999</v>
      </c>
      <c r="FS20" s="425">
        <v>16.100000000000001</v>
      </c>
      <c r="FT20" s="424">
        <v>10.4</v>
      </c>
      <c r="FU20" s="426">
        <v>13.9</v>
      </c>
      <c r="FV20" s="384">
        <v>-1.3</v>
      </c>
      <c r="FW20" s="102">
        <v>29778996</v>
      </c>
      <c r="FX20" s="384">
        <f t="shared" si="15"/>
        <v>131.4</v>
      </c>
      <c r="FY20" s="102">
        <v>10929684</v>
      </c>
      <c r="FZ20" s="102">
        <v>3701356</v>
      </c>
      <c r="GA20" s="102">
        <v>0</v>
      </c>
      <c r="GB20" s="102">
        <v>7228328</v>
      </c>
      <c r="GC20" s="107">
        <v>0</v>
      </c>
      <c r="GD20" s="427"/>
      <c r="GE20" s="386"/>
      <c r="GF20" s="424">
        <v>99.4</v>
      </c>
      <c r="GG20" s="424">
        <v>35.700000000000003</v>
      </c>
      <c r="GH20" s="424">
        <v>97.7</v>
      </c>
      <c r="GI20" s="102">
        <v>826</v>
      </c>
      <c r="GJ20" s="429" t="s">
        <v>646</v>
      </c>
      <c r="GK20" s="429">
        <v>12.26</v>
      </c>
      <c r="GL20" s="117">
        <v>20</v>
      </c>
      <c r="GM20" s="429" t="s">
        <v>646</v>
      </c>
      <c r="GN20" s="430">
        <v>17.260000000000002</v>
      </c>
      <c r="GO20" s="387">
        <v>30</v>
      </c>
      <c r="GP20" s="425">
        <v>-1.3</v>
      </c>
      <c r="GQ20" s="388">
        <v>25</v>
      </c>
      <c r="GR20" s="388">
        <v>35</v>
      </c>
      <c r="GS20" s="431" t="s">
        <v>646</v>
      </c>
      <c r="GT20" s="388">
        <v>350</v>
      </c>
      <c r="GU20" s="394"/>
      <c r="GV20" s="100">
        <f t="shared" si="16"/>
        <v>22655</v>
      </c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</row>
    <row r="21" spans="2:230" x14ac:dyDescent="0.15">
      <c r="B21" s="89" t="s">
        <v>31</v>
      </c>
      <c r="C21" s="102">
        <v>28611217</v>
      </c>
      <c r="D21" s="73">
        <f t="shared" si="0"/>
        <v>11403673</v>
      </c>
      <c r="E21" s="102">
        <v>366727</v>
      </c>
      <c r="F21" s="102">
        <v>11036946</v>
      </c>
      <c r="G21" s="73">
        <f t="shared" si="1"/>
        <v>1798696</v>
      </c>
      <c r="H21" s="102">
        <v>558159</v>
      </c>
      <c r="I21" s="102">
        <v>1240537</v>
      </c>
      <c r="J21" s="102">
        <v>11152050</v>
      </c>
      <c r="K21" s="102">
        <v>4703436</v>
      </c>
      <c r="L21" s="102">
        <v>5110132</v>
      </c>
      <c r="M21" s="102">
        <v>1050720</v>
      </c>
      <c r="N21" s="102">
        <v>1478264</v>
      </c>
      <c r="O21" s="102">
        <v>2468334</v>
      </c>
      <c r="P21" s="102">
        <v>1347353</v>
      </c>
      <c r="Q21" s="102">
        <v>1120981</v>
      </c>
      <c r="R21" s="102">
        <v>336758</v>
      </c>
      <c r="S21" s="74"/>
      <c r="T21" s="73">
        <f t="shared" si="2"/>
        <v>4432788</v>
      </c>
      <c r="U21" s="102">
        <v>68881</v>
      </c>
      <c r="V21" s="102">
        <v>163947</v>
      </c>
      <c r="W21" s="102">
        <v>138939</v>
      </c>
      <c r="X21" s="102">
        <v>3878741</v>
      </c>
      <c r="Y21" s="102">
        <v>0</v>
      </c>
      <c r="Z21" s="102">
        <v>0</v>
      </c>
      <c r="AA21" s="102">
        <v>182280</v>
      </c>
      <c r="AB21" s="102">
        <v>173261</v>
      </c>
      <c r="AC21" s="102">
        <v>12183996</v>
      </c>
      <c r="AD21" s="102">
        <v>11469038</v>
      </c>
      <c r="AE21" s="102">
        <v>714958</v>
      </c>
      <c r="AF21" s="102">
        <v>27997</v>
      </c>
      <c r="AG21" s="102">
        <v>781982</v>
      </c>
      <c r="AH21" s="73">
        <f t="shared" si="3"/>
        <v>880707</v>
      </c>
      <c r="AI21" s="102">
        <v>555025</v>
      </c>
      <c r="AJ21" s="102">
        <v>325682</v>
      </c>
      <c r="AK21" s="102">
        <v>19830309</v>
      </c>
      <c r="AL21" s="73">
        <f t="shared" si="4"/>
        <v>14142462</v>
      </c>
      <c r="AM21" s="102">
        <v>9492508</v>
      </c>
      <c r="AN21" s="102">
        <v>1739278</v>
      </c>
      <c r="AO21" s="74"/>
      <c r="AP21" s="102">
        <v>2910676</v>
      </c>
      <c r="AQ21" s="102">
        <v>631669</v>
      </c>
      <c r="AR21" s="102">
        <v>0</v>
      </c>
      <c r="AS21" s="102">
        <v>0</v>
      </c>
      <c r="AT21" s="102">
        <v>8447013</v>
      </c>
      <c r="AU21" s="102">
        <v>5641522</v>
      </c>
      <c r="AV21" s="102">
        <v>794744</v>
      </c>
      <c r="AW21" s="102">
        <v>20478</v>
      </c>
      <c r="AX21" s="102">
        <v>2805491</v>
      </c>
      <c r="AY21" s="102">
        <v>408497</v>
      </c>
      <c r="AZ21" s="102">
        <v>128992</v>
      </c>
      <c r="BA21" s="102">
        <v>88713</v>
      </c>
      <c r="BB21" s="102">
        <v>219541</v>
      </c>
      <c r="BC21" s="102">
        <v>1623398</v>
      </c>
      <c r="BD21" s="102">
        <v>356297</v>
      </c>
      <c r="BE21" s="102">
        <v>792000</v>
      </c>
      <c r="BF21" s="102">
        <v>475101</v>
      </c>
      <c r="BG21" s="102">
        <v>0</v>
      </c>
      <c r="BH21" s="102">
        <v>1624990</v>
      </c>
      <c r="BI21" s="102">
        <v>1613899</v>
      </c>
      <c r="BJ21" s="102">
        <v>1087340</v>
      </c>
      <c r="BK21" s="102">
        <v>13275</v>
      </c>
      <c r="BL21" s="102">
        <v>0</v>
      </c>
      <c r="BM21" s="102">
        <v>103075</v>
      </c>
      <c r="BN21" s="102">
        <v>4800100</v>
      </c>
      <c r="BO21" s="73">
        <f t="shared" si="5"/>
        <v>1900100</v>
      </c>
      <c r="BP21" s="73">
        <f t="shared" si="6"/>
        <v>2900000</v>
      </c>
      <c r="BQ21" s="102">
        <v>0</v>
      </c>
      <c r="BR21" s="102">
        <v>0</v>
      </c>
      <c r="BS21" s="102">
        <v>2900000</v>
      </c>
      <c r="BT21" s="102">
        <v>0</v>
      </c>
      <c r="BU21" s="102">
        <v>85190389</v>
      </c>
      <c r="BV21" s="71"/>
      <c r="BW21" s="102">
        <v>10341898</v>
      </c>
      <c r="BX21" s="102">
        <v>7183050</v>
      </c>
      <c r="BY21" s="102">
        <v>886291</v>
      </c>
      <c r="BZ21" s="102">
        <v>285576</v>
      </c>
      <c r="CA21" s="102">
        <v>31306284</v>
      </c>
      <c r="CB21" s="102">
        <v>7502829</v>
      </c>
      <c r="CC21" s="102">
        <v>308091</v>
      </c>
      <c r="CD21" s="102">
        <v>10219930</v>
      </c>
      <c r="CE21" s="102">
        <v>12680259</v>
      </c>
      <c r="CF21" s="102">
        <v>40230</v>
      </c>
      <c r="CG21" s="102">
        <v>553765</v>
      </c>
      <c r="CH21" s="102">
        <v>6604169</v>
      </c>
      <c r="CI21" s="102">
        <v>6169810</v>
      </c>
      <c r="CJ21" s="83">
        <f t="shared" si="17"/>
        <v>434359</v>
      </c>
      <c r="CK21" s="102">
        <v>8163928</v>
      </c>
      <c r="CL21" s="102">
        <v>4631248</v>
      </c>
      <c r="CM21" s="102">
        <v>842670</v>
      </c>
      <c r="CN21" s="102">
        <v>1443464</v>
      </c>
      <c r="CO21" s="102">
        <v>142715</v>
      </c>
      <c r="CP21" s="102">
        <v>7504759</v>
      </c>
      <c r="CQ21" s="102">
        <v>2931811</v>
      </c>
      <c r="CR21" s="102">
        <v>1477596</v>
      </c>
      <c r="CS21" s="102">
        <v>1115039</v>
      </c>
      <c r="CT21" s="73">
        <f t="shared" si="7"/>
        <v>1586246</v>
      </c>
      <c r="CU21" s="102">
        <v>1586246</v>
      </c>
      <c r="CV21" s="102">
        <v>0</v>
      </c>
      <c r="CW21" s="73">
        <f t="shared" si="8"/>
        <v>0</v>
      </c>
      <c r="CX21" s="102">
        <v>0</v>
      </c>
      <c r="CY21" s="102">
        <v>0</v>
      </c>
      <c r="CZ21" s="73">
        <f t="shared" si="9"/>
        <v>1575968</v>
      </c>
      <c r="DA21" s="102">
        <v>1575968</v>
      </c>
      <c r="DB21" s="102">
        <v>0</v>
      </c>
      <c r="DC21" s="102">
        <v>6648021</v>
      </c>
      <c r="DD21" s="102">
        <v>2594473</v>
      </c>
      <c r="DE21" s="102">
        <v>1681439</v>
      </c>
      <c r="DF21" s="102">
        <v>335307</v>
      </c>
      <c r="DG21" s="102">
        <v>2036802</v>
      </c>
      <c r="DH21" s="102">
        <v>299237</v>
      </c>
      <c r="DI21" s="102">
        <v>3579709</v>
      </c>
      <c r="DJ21" s="102">
        <v>964364</v>
      </c>
      <c r="DK21" s="102">
        <v>1000240</v>
      </c>
      <c r="DL21" s="102">
        <v>1615105</v>
      </c>
      <c r="DM21" s="102">
        <v>540749</v>
      </c>
      <c r="DN21" s="102">
        <v>540749</v>
      </c>
      <c r="DO21" s="102">
        <v>19851</v>
      </c>
      <c r="DP21" s="102">
        <v>0</v>
      </c>
      <c r="DQ21" s="102">
        <v>6236</v>
      </c>
      <c r="DR21" s="102">
        <v>0</v>
      </c>
      <c r="DS21" s="102">
        <v>0</v>
      </c>
      <c r="DT21" s="102">
        <v>8342747</v>
      </c>
      <c r="DU21" s="102">
        <v>0</v>
      </c>
      <c r="DV21" s="73">
        <f t="shared" si="10"/>
        <v>0</v>
      </c>
      <c r="DW21" s="102">
        <v>0</v>
      </c>
      <c r="DX21" s="102">
        <v>3021631</v>
      </c>
      <c r="DY21" s="102">
        <v>0</v>
      </c>
      <c r="DZ21" s="102">
        <v>2430712</v>
      </c>
      <c r="EA21" s="74">
        <v>0</v>
      </c>
      <c r="EB21" s="102">
        <v>2890404</v>
      </c>
      <c r="EC21" s="102">
        <v>0</v>
      </c>
      <c r="ED21" s="102">
        <v>83480452</v>
      </c>
      <c r="EE21" s="71"/>
      <c r="EF21" s="102">
        <v>1709937</v>
      </c>
      <c r="EG21" s="102">
        <v>50953</v>
      </c>
      <c r="EH21" s="102">
        <v>1658984</v>
      </c>
      <c r="EI21" s="102">
        <v>45085</v>
      </c>
      <c r="EJ21" s="102">
        <v>666937</v>
      </c>
      <c r="EK21" s="71"/>
      <c r="EL21" s="102">
        <v>237518</v>
      </c>
      <c r="EM21" s="102">
        <v>233484</v>
      </c>
      <c r="EN21" s="102">
        <v>1148547</v>
      </c>
      <c r="EO21" s="102">
        <v>79626</v>
      </c>
      <c r="EP21" s="73">
        <f t="shared" si="11"/>
        <v>2192431</v>
      </c>
      <c r="EQ21" s="102">
        <v>45766017</v>
      </c>
      <c r="ER21" s="71">
        <v>-6292607</v>
      </c>
      <c r="ES21" s="102">
        <v>9465266</v>
      </c>
      <c r="ET21" s="102">
        <v>6392080</v>
      </c>
      <c r="EU21" s="102">
        <v>8875804</v>
      </c>
      <c r="EV21" s="102">
        <v>6566919</v>
      </c>
      <c r="EW21" s="73">
        <f t="shared" si="12"/>
        <v>1561881</v>
      </c>
      <c r="EX21" s="102">
        <v>1266100</v>
      </c>
      <c r="EY21" s="102">
        <v>113051</v>
      </c>
      <c r="EZ21" s="102">
        <v>1119442</v>
      </c>
      <c r="FA21" s="102">
        <v>295781</v>
      </c>
      <c r="FB21" s="102">
        <v>0</v>
      </c>
      <c r="FC21" s="102">
        <v>6420818</v>
      </c>
      <c r="FD21" s="102">
        <v>6747197</v>
      </c>
      <c r="FE21" s="102">
        <v>2930961</v>
      </c>
      <c r="FF21" s="102">
        <v>6720913</v>
      </c>
      <c r="FG21" s="73">
        <f t="shared" si="13"/>
        <v>3989889</v>
      </c>
      <c r="FH21" s="102">
        <v>50348687</v>
      </c>
      <c r="FI21" s="379">
        <f t="shared" si="14"/>
        <v>3.6</v>
      </c>
      <c r="FJ21" s="102">
        <v>41887273</v>
      </c>
      <c r="FK21" s="102">
        <v>3666010</v>
      </c>
      <c r="FL21" s="102">
        <v>23869044</v>
      </c>
      <c r="FM21" s="102">
        <v>35332462</v>
      </c>
      <c r="FN21" s="428">
        <v>0.67900000000000005</v>
      </c>
      <c r="FO21" s="424">
        <v>93.4</v>
      </c>
      <c r="FP21" s="425">
        <v>19.899999999999999</v>
      </c>
      <c r="FQ21" s="424">
        <v>19.399999999999999</v>
      </c>
      <c r="FR21" s="424">
        <v>14.4</v>
      </c>
      <c r="FS21" s="425">
        <v>11.5</v>
      </c>
      <c r="FT21" s="424">
        <v>13.2</v>
      </c>
      <c r="FU21" s="426">
        <v>13.6</v>
      </c>
      <c r="FV21" s="384">
        <v>1.8</v>
      </c>
      <c r="FW21" s="102">
        <v>62106416</v>
      </c>
      <c r="FX21" s="384">
        <f t="shared" si="15"/>
        <v>136.30000000000001</v>
      </c>
      <c r="FY21" s="102">
        <v>15123858</v>
      </c>
      <c r="FZ21" s="102">
        <v>7195430</v>
      </c>
      <c r="GA21" s="102">
        <v>1080407</v>
      </c>
      <c r="GB21" s="102">
        <v>6848021</v>
      </c>
      <c r="GC21" s="107">
        <v>0</v>
      </c>
      <c r="GD21" s="427"/>
      <c r="GE21" s="386"/>
      <c r="GF21" s="424">
        <v>98.8</v>
      </c>
      <c r="GG21" s="424">
        <v>35</v>
      </c>
      <c r="GH21" s="424">
        <v>96.5</v>
      </c>
      <c r="GI21" s="102">
        <v>1025</v>
      </c>
      <c r="GJ21" s="429" t="s">
        <v>646</v>
      </c>
      <c r="GK21" s="429">
        <v>11.33</v>
      </c>
      <c r="GL21" s="117">
        <v>20</v>
      </c>
      <c r="GM21" s="429" t="s">
        <v>646</v>
      </c>
      <c r="GN21" s="430">
        <v>16.329999999999998</v>
      </c>
      <c r="GO21" s="387">
        <v>30</v>
      </c>
      <c r="GP21" s="425">
        <v>1.8</v>
      </c>
      <c r="GQ21" s="388">
        <v>25</v>
      </c>
      <c r="GR21" s="388">
        <v>35</v>
      </c>
      <c r="GS21" s="431" t="s">
        <v>646</v>
      </c>
      <c r="GT21" s="388">
        <v>350</v>
      </c>
      <c r="GU21" s="394"/>
      <c r="GV21" s="100">
        <f t="shared" si="16"/>
        <v>45553</v>
      </c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</row>
    <row r="22" spans="2:230" x14ac:dyDescent="0.15">
      <c r="B22" s="89" t="s">
        <v>33</v>
      </c>
      <c r="C22" s="102">
        <v>12115523</v>
      </c>
      <c r="D22" s="73">
        <f t="shared" si="0"/>
        <v>5468988</v>
      </c>
      <c r="E22" s="102">
        <v>175414</v>
      </c>
      <c r="F22" s="102">
        <v>5293574</v>
      </c>
      <c r="G22" s="73">
        <f t="shared" si="1"/>
        <v>653709</v>
      </c>
      <c r="H22" s="102">
        <v>203102</v>
      </c>
      <c r="I22" s="102">
        <v>450607</v>
      </c>
      <c r="J22" s="102">
        <v>4450484</v>
      </c>
      <c r="K22" s="102">
        <v>1605721</v>
      </c>
      <c r="L22" s="102">
        <v>2100828</v>
      </c>
      <c r="M22" s="102">
        <v>672937</v>
      </c>
      <c r="N22" s="102">
        <v>444898</v>
      </c>
      <c r="O22" s="102">
        <v>901792</v>
      </c>
      <c r="P22" s="102">
        <v>467680</v>
      </c>
      <c r="Q22" s="102">
        <v>434112</v>
      </c>
      <c r="R22" s="102">
        <v>227270</v>
      </c>
      <c r="S22" s="74"/>
      <c r="T22" s="73">
        <f t="shared" si="2"/>
        <v>2017422</v>
      </c>
      <c r="U22" s="102">
        <v>34908</v>
      </c>
      <c r="V22" s="102">
        <v>82906</v>
      </c>
      <c r="W22" s="102">
        <v>69832</v>
      </c>
      <c r="X22" s="102">
        <v>1689013</v>
      </c>
      <c r="Y22" s="102">
        <v>17552</v>
      </c>
      <c r="Z22" s="102">
        <v>0</v>
      </c>
      <c r="AA22" s="102">
        <v>123211</v>
      </c>
      <c r="AB22" s="102">
        <v>68583</v>
      </c>
      <c r="AC22" s="102">
        <v>6222520</v>
      </c>
      <c r="AD22" s="102">
        <v>5983862</v>
      </c>
      <c r="AE22" s="102">
        <v>238658</v>
      </c>
      <c r="AF22" s="102">
        <v>14410</v>
      </c>
      <c r="AG22" s="102">
        <v>340558</v>
      </c>
      <c r="AH22" s="73">
        <f t="shared" si="3"/>
        <v>647247</v>
      </c>
      <c r="AI22" s="102">
        <v>335532</v>
      </c>
      <c r="AJ22" s="102">
        <v>311715</v>
      </c>
      <c r="AK22" s="102">
        <v>5799813</v>
      </c>
      <c r="AL22" s="73">
        <f t="shared" si="4"/>
        <v>3774046</v>
      </c>
      <c r="AM22" s="102">
        <v>1742077</v>
      </c>
      <c r="AN22" s="102">
        <v>983410</v>
      </c>
      <c r="AO22" s="74"/>
      <c r="AP22" s="102">
        <v>1048559</v>
      </c>
      <c r="AQ22" s="102">
        <v>207287</v>
      </c>
      <c r="AR22" s="102">
        <v>35952</v>
      </c>
      <c r="AS22" s="102">
        <v>0</v>
      </c>
      <c r="AT22" s="102">
        <v>2816693</v>
      </c>
      <c r="AU22" s="102">
        <v>1548341</v>
      </c>
      <c r="AV22" s="102">
        <v>469069</v>
      </c>
      <c r="AW22" s="102">
        <v>0</v>
      </c>
      <c r="AX22" s="102">
        <v>1268352</v>
      </c>
      <c r="AY22" s="102">
        <v>1258</v>
      </c>
      <c r="AZ22" s="102">
        <v>255401</v>
      </c>
      <c r="BA22" s="102">
        <v>152730</v>
      </c>
      <c r="BB22" s="102">
        <v>132098</v>
      </c>
      <c r="BC22" s="102">
        <v>135027</v>
      </c>
      <c r="BD22" s="102">
        <v>0</v>
      </c>
      <c r="BE22" s="102">
        <v>0</v>
      </c>
      <c r="BF22" s="102">
        <v>117354</v>
      </c>
      <c r="BG22" s="102">
        <v>0</v>
      </c>
      <c r="BH22" s="102">
        <v>119461</v>
      </c>
      <c r="BI22" s="102">
        <v>37616</v>
      </c>
      <c r="BJ22" s="102">
        <v>495202</v>
      </c>
      <c r="BK22" s="102">
        <v>81841</v>
      </c>
      <c r="BL22" s="102">
        <v>0</v>
      </c>
      <c r="BM22" s="102">
        <v>0</v>
      </c>
      <c r="BN22" s="102">
        <v>2430400</v>
      </c>
      <c r="BO22" s="73">
        <f t="shared" si="5"/>
        <v>983800</v>
      </c>
      <c r="BP22" s="73">
        <f t="shared" si="6"/>
        <v>1446600</v>
      </c>
      <c r="BQ22" s="102">
        <v>0</v>
      </c>
      <c r="BR22" s="102">
        <v>0</v>
      </c>
      <c r="BS22" s="102">
        <v>1446600</v>
      </c>
      <c r="BT22" s="102">
        <v>0</v>
      </c>
      <c r="BU22" s="102">
        <v>33837628</v>
      </c>
      <c r="BV22" s="71"/>
      <c r="BW22" s="102">
        <v>6099853</v>
      </c>
      <c r="BX22" s="102">
        <v>3580343</v>
      </c>
      <c r="BY22" s="102">
        <v>617964</v>
      </c>
      <c r="BZ22" s="102">
        <v>721928</v>
      </c>
      <c r="CA22" s="102">
        <v>10146280</v>
      </c>
      <c r="CB22" s="102">
        <v>2766370</v>
      </c>
      <c r="CC22" s="102">
        <v>131029</v>
      </c>
      <c r="CD22" s="102">
        <v>4184615</v>
      </c>
      <c r="CE22" s="102">
        <v>2448243</v>
      </c>
      <c r="CF22" s="102">
        <v>4766</v>
      </c>
      <c r="CG22" s="102">
        <v>611257</v>
      </c>
      <c r="CH22" s="102">
        <v>3149154</v>
      </c>
      <c r="CI22" s="102">
        <v>2931809</v>
      </c>
      <c r="CJ22" s="83">
        <f t="shared" si="17"/>
        <v>217345</v>
      </c>
      <c r="CK22" s="102">
        <v>4772687</v>
      </c>
      <c r="CL22" s="102">
        <v>3326820</v>
      </c>
      <c r="CM22" s="102">
        <v>264577</v>
      </c>
      <c r="CN22" s="102">
        <v>526719</v>
      </c>
      <c r="CO22" s="102">
        <v>139706</v>
      </c>
      <c r="CP22" s="102">
        <v>3101804</v>
      </c>
      <c r="CQ22" s="102">
        <v>525488</v>
      </c>
      <c r="CR22" s="102">
        <v>478471</v>
      </c>
      <c r="CS22" s="102">
        <v>427753</v>
      </c>
      <c r="CT22" s="73">
        <f t="shared" si="7"/>
        <v>1360701</v>
      </c>
      <c r="CU22" s="102">
        <v>6646</v>
      </c>
      <c r="CV22" s="102">
        <v>1354055</v>
      </c>
      <c r="CW22" s="73">
        <f t="shared" si="8"/>
        <v>0</v>
      </c>
      <c r="CX22" s="102">
        <v>0</v>
      </c>
      <c r="CY22" s="102">
        <v>0</v>
      </c>
      <c r="CZ22" s="73">
        <f t="shared" si="9"/>
        <v>1215246</v>
      </c>
      <c r="DA22" s="102">
        <v>0</v>
      </c>
      <c r="DB22" s="102">
        <v>1215246</v>
      </c>
      <c r="DC22" s="102">
        <v>1330688</v>
      </c>
      <c r="DD22" s="102">
        <v>582357</v>
      </c>
      <c r="DE22" s="102">
        <v>709656</v>
      </c>
      <c r="DF22" s="102">
        <v>38675</v>
      </c>
      <c r="DG22" s="102">
        <v>0</v>
      </c>
      <c r="DH22" s="102">
        <v>403737</v>
      </c>
      <c r="DI22" s="102">
        <v>393243</v>
      </c>
      <c r="DJ22" s="102">
        <v>66541</v>
      </c>
      <c r="DK22" s="102">
        <v>2132</v>
      </c>
      <c r="DL22" s="102">
        <v>324570</v>
      </c>
      <c r="DM22" s="102">
        <v>0</v>
      </c>
      <c r="DN22" s="102">
        <v>0</v>
      </c>
      <c r="DO22" s="102">
        <v>0</v>
      </c>
      <c r="DP22" s="102">
        <v>0</v>
      </c>
      <c r="DQ22" s="102">
        <v>64499</v>
      </c>
      <c r="DR22" s="102">
        <v>0</v>
      </c>
      <c r="DS22" s="102">
        <v>0</v>
      </c>
      <c r="DT22" s="102">
        <v>4097051</v>
      </c>
      <c r="DU22" s="102">
        <v>0</v>
      </c>
      <c r="DV22" s="73">
        <f t="shared" si="10"/>
        <v>0</v>
      </c>
      <c r="DW22" s="102">
        <v>0</v>
      </c>
      <c r="DX22" s="102">
        <v>1617388</v>
      </c>
      <c r="DY22" s="102">
        <v>0</v>
      </c>
      <c r="DZ22" s="102">
        <v>1027908</v>
      </c>
      <c r="EA22" s="74">
        <v>0</v>
      </c>
      <c r="EB22" s="102">
        <v>1451755</v>
      </c>
      <c r="EC22" s="102">
        <v>0</v>
      </c>
      <c r="ED22" s="102">
        <v>33698702</v>
      </c>
      <c r="EE22" s="71"/>
      <c r="EF22" s="102">
        <v>138926</v>
      </c>
      <c r="EG22" s="102">
        <v>138700</v>
      </c>
      <c r="EH22" s="102">
        <v>226</v>
      </c>
      <c r="EI22" s="102">
        <v>-37390</v>
      </c>
      <c r="EJ22" s="102">
        <v>29151</v>
      </c>
      <c r="EK22" s="71"/>
      <c r="EL22" s="102">
        <v>106987</v>
      </c>
      <c r="EM22" s="102">
        <v>105924</v>
      </c>
      <c r="EN22" s="102">
        <v>0</v>
      </c>
      <c r="EO22" s="102">
        <v>190016</v>
      </c>
      <c r="EP22" s="73">
        <f t="shared" si="11"/>
        <v>365943</v>
      </c>
      <c r="EQ22" s="102">
        <v>20665728</v>
      </c>
      <c r="ER22" s="71">
        <v>-1988149</v>
      </c>
      <c r="ES22" s="102">
        <v>5522232</v>
      </c>
      <c r="ET22" s="102">
        <v>3310501</v>
      </c>
      <c r="EU22" s="102">
        <v>3040237</v>
      </c>
      <c r="EV22" s="102">
        <v>3113322</v>
      </c>
      <c r="EW22" s="73">
        <f t="shared" si="12"/>
        <v>270291</v>
      </c>
      <c r="EX22" s="102">
        <v>242155</v>
      </c>
      <c r="EY22" s="102">
        <v>12246</v>
      </c>
      <c r="EZ22" s="102">
        <v>226334</v>
      </c>
      <c r="FA22" s="102">
        <v>28136</v>
      </c>
      <c r="FB22" s="102">
        <v>0</v>
      </c>
      <c r="FC22" s="102">
        <v>4079424</v>
      </c>
      <c r="FD22" s="102">
        <v>2820467</v>
      </c>
      <c r="FE22" s="102">
        <v>441789</v>
      </c>
      <c r="FF22" s="102">
        <v>3318537</v>
      </c>
      <c r="FG22" s="73">
        <f t="shared" si="13"/>
        <v>353913</v>
      </c>
      <c r="FH22" s="102">
        <v>22518423</v>
      </c>
      <c r="FI22" s="379">
        <f t="shared" si="14"/>
        <v>0</v>
      </c>
      <c r="FJ22" s="102">
        <v>19295487</v>
      </c>
      <c r="FK22" s="102">
        <v>1446671</v>
      </c>
      <c r="FL22" s="102">
        <v>10473508</v>
      </c>
      <c r="FM22" s="102">
        <v>16460477</v>
      </c>
      <c r="FN22" s="428">
        <v>0.64200000000000002</v>
      </c>
      <c r="FO22" s="424">
        <v>99.9</v>
      </c>
      <c r="FP22" s="425">
        <v>26</v>
      </c>
      <c r="FQ22" s="424">
        <v>14.4</v>
      </c>
      <c r="FR22" s="424">
        <v>14.7</v>
      </c>
      <c r="FS22" s="425">
        <v>18.399999999999999</v>
      </c>
      <c r="FT22" s="424">
        <v>10.5</v>
      </c>
      <c r="FU22" s="426">
        <v>15.3</v>
      </c>
      <c r="FV22" s="384">
        <v>1.9</v>
      </c>
      <c r="FW22" s="102">
        <v>31370007</v>
      </c>
      <c r="FX22" s="384">
        <f t="shared" si="15"/>
        <v>151.19999999999999</v>
      </c>
      <c r="FY22" s="102">
        <v>7711112</v>
      </c>
      <c r="FZ22" s="102">
        <v>2405847</v>
      </c>
      <c r="GA22" s="102">
        <v>407081</v>
      </c>
      <c r="GB22" s="102">
        <v>4898184</v>
      </c>
      <c r="GC22" s="107">
        <v>0</v>
      </c>
      <c r="GD22" s="427"/>
      <c r="GE22" s="386"/>
      <c r="GF22" s="424">
        <v>99.4</v>
      </c>
      <c r="GG22" s="424">
        <v>29.7</v>
      </c>
      <c r="GH22" s="424">
        <v>97.7</v>
      </c>
      <c r="GI22" s="102">
        <v>550</v>
      </c>
      <c r="GJ22" s="429" t="s">
        <v>646</v>
      </c>
      <c r="GK22" s="429">
        <v>12.43</v>
      </c>
      <c r="GL22" s="117">
        <v>20</v>
      </c>
      <c r="GM22" s="429" t="s">
        <v>646</v>
      </c>
      <c r="GN22" s="430">
        <v>17.43</v>
      </c>
      <c r="GO22" s="387">
        <v>30</v>
      </c>
      <c r="GP22" s="425">
        <v>1.9</v>
      </c>
      <c r="GQ22" s="388">
        <v>25</v>
      </c>
      <c r="GR22" s="388">
        <v>35</v>
      </c>
      <c r="GS22" s="431" t="s">
        <v>646</v>
      </c>
      <c r="GT22" s="388">
        <v>350</v>
      </c>
      <c r="GU22" s="394"/>
      <c r="GV22" s="100">
        <f t="shared" si="16"/>
        <v>20742</v>
      </c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</row>
    <row r="23" spans="2:230" x14ac:dyDescent="0.15">
      <c r="B23" s="89" t="s">
        <v>35</v>
      </c>
      <c r="C23" s="102">
        <v>13812321</v>
      </c>
      <c r="D23" s="73">
        <f t="shared" si="0"/>
        <v>5438147</v>
      </c>
      <c r="E23" s="102">
        <v>181910</v>
      </c>
      <c r="F23" s="102">
        <v>5256237</v>
      </c>
      <c r="G23" s="73">
        <f t="shared" si="1"/>
        <v>787683</v>
      </c>
      <c r="H23" s="102">
        <v>261379</v>
      </c>
      <c r="I23" s="102">
        <v>526304</v>
      </c>
      <c r="J23" s="102">
        <v>5378099</v>
      </c>
      <c r="K23" s="102">
        <v>2552073</v>
      </c>
      <c r="L23" s="102">
        <v>2229880</v>
      </c>
      <c r="M23" s="102">
        <v>552397</v>
      </c>
      <c r="N23" s="102">
        <v>854067</v>
      </c>
      <c r="O23" s="102">
        <v>1179615</v>
      </c>
      <c r="P23" s="102">
        <v>695236</v>
      </c>
      <c r="Q23" s="102">
        <v>484379</v>
      </c>
      <c r="R23" s="102">
        <v>180963</v>
      </c>
      <c r="S23" s="74"/>
      <c r="T23" s="73">
        <f t="shared" si="2"/>
        <v>2296881</v>
      </c>
      <c r="U23" s="102">
        <v>32497</v>
      </c>
      <c r="V23" s="102">
        <v>77388</v>
      </c>
      <c r="W23" s="102">
        <v>65674</v>
      </c>
      <c r="X23" s="102">
        <v>2023397</v>
      </c>
      <c r="Y23" s="102">
        <v>0</v>
      </c>
      <c r="Z23" s="102">
        <v>0</v>
      </c>
      <c r="AA23" s="102">
        <v>97925</v>
      </c>
      <c r="AB23" s="102">
        <v>91492</v>
      </c>
      <c r="AC23" s="102">
        <v>8139642</v>
      </c>
      <c r="AD23" s="102">
        <v>7827945</v>
      </c>
      <c r="AE23" s="102">
        <v>311697</v>
      </c>
      <c r="AF23" s="102">
        <v>17145</v>
      </c>
      <c r="AG23" s="102">
        <v>390589</v>
      </c>
      <c r="AH23" s="73">
        <f t="shared" si="3"/>
        <v>605006</v>
      </c>
      <c r="AI23" s="102">
        <v>407020</v>
      </c>
      <c r="AJ23" s="102">
        <v>197986</v>
      </c>
      <c r="AK23" s="102">
        <v>9292255</v>
      </c>
      <c r="AL23" s="73">
        <f t="shared" si="4"/>
        <v>6955246</v>
      </c>
      <c r="AM23" s="102">
        <v>4445251</v>
      </c>
      <c r="AN23" s="102">
        <v>1133487</v>
      </c>
      <c r="AO23" s="74"/>
      <c r="AP23" s="102">
        <v>1376508</v>
      </c>
      <c r="AQ23" s="102">
        <v>83908</v>
      </c>
      <c r="AR23" s="102">
        <v>29254</v>
      </c>
      <c r="AS23" s="102">
        <v>0</v>
      </c>
      <c r="AT23" s="102">
        <v>3224482</v>
      </c>
      <c r="AU23" s="102">
        <v>1781197</v>
      </c>
      <c r="AV23" s="102">
        <v>491872</v>
      </c>
      <c r="AW23" s="102">
        <v>54</v>
      </c>
      <c r="AX23" s="102">
        <v>1443285</v>
      </c>
      <c r="AY23" s="102">
        <v>0</v>
      </c>
      <c r="AZ23" s="102">
        <v>222236</v>
      </c>
      <c r="BA23" s="102">
        <v>47042</v>
      </c>
      <c r="BB23" s="102">
        <v>20015</v>
      </c>
      <c r="BC23" s="102">
        <v>774353</v>
      </c>
      <c r="BD23" s="102">
        <v>307412</v>
      </c>
      <c r="BE23" s="102">
        <v>0</v>
      </c>
      <c r="BF23" s="102">
        <v>461685</v>
      </c>
      <c r="BG23" s="102">
        <v>0</v>
      </c>
      <c r="BH23" s="102">
        <v>166803</v>
      </c>
      <c r="BI23" s="102">
        <v>161182</v>
      </c>
      <c r="BJ23" s="102">
        <v>316172</v>
      </c>
      <c r="BK23" s="102">
        <v>25004</v>
      </c>
      <c r="BL23" s="102">
        <v>0</v>
      </c>
      <c r="BM23" s="102">
        <v>0</v>
      </c>
      <c r="BN23" s="102">
        <v>2971200</v>
      </c>
      <c r="BO23" s="73">
        <f t="shared" si="5"/>
        <v>1253200</v>
      </c>
      <c r="BP23" s="73">
        <f t="shared" si="6"/>
        <v>1718000</v>
      </c>
      <c r="BQ23" s="102">
        <v>0</v>
      </c>
      <c r="BR23" s="102">
        <v>54400</v>
      </c>
      <c r="BS23" s="102">
        <v>1663600</v>
      </c>
      <c r="BT23" s="102">
        <v>0</v>
      </c>
      <c r="BU23" s="102">
        <v>42521555</v>
      </c>
      <c r="BV23" s="71"/>
      <c r="BW23" s="102">
        <v>7303867</v>
      </c>
      <c r="BX23" s="102">
        <v>5087357</v>
      </c>
      <c r="BY23" s="102">
        <v>346236</v>
      </c>
      <c r="BZ23" s="102">
        <v>386689</v>
      </c>
      <c r="CA23" s="102">
        <v>15020940</v>
      </c>
      <c r="CB23" s="102">
        <v>3024871</v>
      </c>
      <c r="CC23" s="102">
        <v>131582</v>
      </c>
      <c r="CD23" s="102">
        <v>5656951</v>
      </c>
      <c r="CE23" s="102">
        <v>5966187</v>
      </c>
      <c r="CF23" s="102">
        <v>5326</v>
      </c>
      <c r="CG23" s="102">
        <v>235423</v>
      </c>
      <c r="CH23" s="102">
        <v>4229463</v>
      </c>
      <c r="CI23" s="102">
        <v>3870204</v>
      </c>
      <c r="CJ23" s="83">
        <f t="shared" si="17"/>
        <v>359259</v>
      </c>
      <c r="CK23" s="102">
        <v>4595725</v>
      </c>
      <c r="CL23" s="102">
        <v>2833371</v>
      </c>
      <c r="CM23" s="102">
        <v>168094</v>
      </c>
      <c r="CN23" s="102">
        <v>735385</v>
      </c>
      <c r="CO23" s="102">
        <v>260132</v>
      </c>
      <c r="CP23" s="102">
        <v>2001057</v>
      </c>
      <c r="CQ23" s="102">
        <v>375497</v>
      </c>
      <c r="CR23" s="102">
        <v>903069</v>
      </c>
      <c r="CS23" s="102">
        <v>687043</v>
      </c>
      <c r="CT23" s="73">
        <f t="shared" si="7"/>
        <v>9834</v>
      </c>
      <c r="CU23" s="102">
        <v>9000</v>
      </c>
      <c r="CV23" s="102">
        <v>834</v>
      </c>
      <c r="CW23" s="73">
        <f t="shared" si="8"/>
        <v>0</v>
      </c>
      <c r="CX23" s="102">
        <v>0</v>
      </c>
      <c r="CY23" s="102">
        <v>0</v>
      </c>
      <c r="CZ23" s="73">
        <f t="shared" si="9"/>
        <v>0</v>
      </c>
      <c r="DA23" s="102">
        <v>0</v>
      </c>
      <c r="DB23" s="102">
        <v>0</v>
      </c>
      <c r="DC23" s="102">
        <v>1537906</v>
      </c>
      <c r="DD23" s="102">
        <v>396370</v>
      </c>
      <c r="DE23" s="102">
        <v>1111755</v>
      </c>
      <c r="DF23" s="102">
        <v>29781</v>
      </c>
      <c r="DG23" s="102">
        <v>0</v>
      </c>
      <c r="DH23" s="102">
        <v>92229</v>
      </c>
      <c r="DI23" s="102">
        <v>216032</v>
      </c>
      <c r="DJ23" s="102">
        <v>112820</v>
      </c>
      <c r="DK23" s="102">
        <v>2</v>
      </c>
      <c r="DL23" s="102">
        <v>103210</v>
      </c>
      <c r="DM23" s="102">
        <v>0</v>
      </c>
      <c r="DN23" s="102">
        <v>0</v>
      </c>
      <c r="DO23" s="102">
        <v>0</v>
      </c>
      <c r="DP23" s="102">
        <v>0</v>
      </c>
      <c r="DQ23" s="102">
        <v>25000</v>
      </c>
      <c r="DR23" s="102">
        <v>0</v>
      </c>
      <c r="DS23" s="102">
        <v>0</v>
      </c>
      <c r="DT23" s="102">
        <v>7088302</v>
      </c>
      <c r="DU23" s="102">
        <v>2220000</v>
      </c>
      <c r="DV23" s="73">
        <f t="shared" si="10"/>
        <v>0</v>
      </c>
      <c r="DW23" s="102">
        <v>0</v>
      </c>
      <c r="DX23" s="102">
        <v>1715961</v>
      </c>
      <c r="DY23" s="102">
        <v>0</v>
      </c>
      <c r="DZ23" s="102">
        <v>1601788</v>
      </c>
      <c r="EA23" s="74">
        <v>0</v>
      </c>
      <c r="EB23" s="102">
        <v>1550544</v>
      </c>
      <c r="EC23" s="102">
        <v>0</v>
      </c>
      <c r="ED23" s="102">
        <v>42370653</v>
      </c>
      <c r="EE23" s="71"/>
      <c r="EF23" s="102">
        <v>150902</v>
      </c>
      <c r="EG23" s="102">
        <v>54849</v>
      </c>
      <c r="EH23" s="102">
        <v>96053</v>
      </c>
      <c r="EI23" s="102">
        <v>-65129</v>
      </c>
      <c r="EJ23" s="102">
        <v>-259721</v>
      </c>
      <c r="EK23" s="71"/>
      <c r="EL23" s="102">
        <v>120750</v>
      </c>
      <c r="EM23" s="102">
        <v>120321</v>
      </c>
      <c r="EN23" s="102">
        <v>705256</v>
      </c>
      <c r="EO23" s="102">
        <v>220333</v>
      </c>
      <c r="EP23" s="73">
        <f t="shared" si="11"/>
        <v>494355</v>
      </c>
      <c r="EQ23" s="102">
        <v>24538444</v>
      </c>
      <c r="ER23" s="71">
        <v>-3120799</v>
      </c>
      <c r="ES23" s="102">
        <v>6819504</v>
      </c>
      <c r="ET23" s="102">
        <v>4781011</v>
      </c>
      <c r="EU23" s="102">
        <v>4180113</v>
      </c>
      <c r="EV23" s="102">
        <v>4229463</v>
      </c>
      <c r="EW23" s="73">
        <f t="shared" si="12"/>
        <v>119511</v>
      </c>
      <c r="EX23" s="102">
        <v>75207</v>
      </c>
      <c r="EY23" s="102">
        <v>1826</v>
      </c>
      <c r="EZ23" s="102">
        <v>73290</v>
      </c>
      <c r="FA23" s="102">
        <v>44304</v>
      </c>
      <c r="FB23" s="102">
        <v>0</v>
      </c>
      <c r="FC23" s="102">
        <v>4128419</v>
      </c>
      <c r="FD23" s="102">
        <v>1625020</v>
      </c>
      <c r="FE23" s="102">
        <v>225521</v>
      </c>
      <c r="FF23" s="102">
        <v>5979041</v>
      </c>
      <c r="FG23" s="73">
        <f t="shared" si="13"/>
        <v>427270</v>
      </c>
      <c r="FH23" s="102">
        <v>27508341</v>
      </c>
      <c r="FI23" s="379">
        <f t="shared" si="14"/>
        <v>0.4</v>
      </c>
      <c r="FJ23" s="102">
        <v>22807802</v>
      </c>
      <c r="FK23" s="102">
        <v>1663666</v>
      </c>
      <c r="FL23" s="102">
        <v>11762247</v>
      </c>
      <c r="FM23" s="102">
        <v>19590192</v>
      </c>
      <c r="FN23" s="428">
        <v>0.60099999999999998</v>
      </c>
      <c r="FO23" s="424">
        <v>103</v>
      </c>
      <c r="FP23" s="425">
        <v>27.2</v>
      </c>
      <c r="FQ23" s="424">
        <v>16.7</v>
      </c>
      <c r="FR23" s="424">
        <v>16.899999999999999</v>
      </c>
      <c r="FS23" s="425">
        <v>15.7</v>
      </c>
      <c r="FT23" s="424">
        <v>5.0999999999999996</v>
      </c>
      <c r="FU23" s="426">
        <v>20.6</v>
      </c>
      <c r="FV23" s="384">
        <v>8.1999999999999993</v>
      </c>
      <c r="FW23" s="102">
        <v>40859528</v>
      </c>
      <c r="FX23" s="384">
        <f t="shared" si="15"/>
        <v>167</v>
      </c>
      <c r="FY23" s="102">
        <v>1797761</v>
      </c>
      <c r="FZ23" s="102">
        <v>456798</v>
      </c>
      <c r="GA23" s="102">
        <v>21266</v>
      </c>
      <c r="GB23" s="102">
        <v>1319697</v>
      </c>
      <c r="GC23" s="107">
        <v>0</v>
      </c>
      <c r="GD23" s="427">
        <v>1217</v>
      </c>
      <c r="GE23" s="386">
        <f>IF(GD23=0,"-",ROUND(GD23/(GV23)*100,1))</f>
        <v>5</v>
      </c>
      <c r="GF23" s="424">
        <v>99.2</v>
      </c>
      <c r="GG23" s="424">
        <v>45.8</v>
      </c>
      <c r="GH23" s="424">
        <v>97.7</v>
      </c>
      <c r="GI23" s="102">
        <v>755</v>
      </c>
      <c r="GJ23" s="429" t="s">
        <v>646</v>
      </c>
      <c r="GK23" s="429">
        <v>12.12</v>
      </c>
      <c r="GL23" s="117">
        <v>20</v>
      </c>
      <c r="GM23" s="429" t="s">
        <v>646</v>
      </c>
      <c r="GN23" s="430">
        <v>17.12</v>
      </c>
      <c r="GO23" s="387">
        <v>30</v>
      </c>
      <c r="GP23" s="425">
        <v>8.1999999999999993</v>
      </c>
      <c r="GQ23" s="388">
        <v>25</v>
      </c>
      <c r="GR23" s="388">
        <v>35</v>
      </c>
      <c r="GS23" s="431">
        <v>57.8</v>
      </c>
      <c r="GT23" s="388">
        <v>350</v>
      </c>
      <c r="GU23" s="394"/>
      <c r="GV23" s="100">
        <f t="shared" si="16"/>
        <v>24471</v>
      </c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</row>
    <row r="24" spans="2:230" x14ac:dyDescent="0.15">
      <c r="B24" s="89" t="s">
        <v>37</v>
      </c>
      <c r="C24" s="102">
        <v>16889405</v>
      </c>
      <c r="D24" s="73">
        <f t="shared" si="0"/>
        <v>5839450</v>
      </c>
      <c r="E24" s="102">
        <v>197373</v>
      </c>
      <c r="F24" s="102">
        <v>5642077</v>
      </c>
      <c r="G24" s="73">
        <f t="shared" si="1"/>
        <v>1258918</v>
      </c>
      <c r="H24" s="102">
        <v>360932</v>
      </c>
      <c r="I24" s="102">
        <v>897986</v>
      </c>
      <c r="J24" s="102">
        <v>7318983</v>
      </c>
      <c r="K24" s="102">
        <v>3191849</v>
      </c>
      <c r="L24" s="102">
        <v>3120280</v>
      </c>
      <c r="M24" s="102">
        <v>861570</v>
      </c>
      <c r="N24" s="102">
        <v>786596</v>
      </c>
      <c r="O24" s="102">
        <v>1519249</v>
      </c>
      <c r="P24" s="102">
        <v>844246</v>
      </c>
      <c r="Q24" s="102">
        <v>675003</v>
      </c>
      <c r="R24" s="102">
        <v>185105</v>
      </c>
      <c r="S24" s="74"/>
      <c r="T24" s="73">
        <f t="shared" si="2"/>
        <v>2467292</v>
      </c>
      <c r="U24" s="102">
        <v>35106</v>
      </c>
      <c r="V24" s="102">
        <v>83618</v>
      </c>
      <c r="W24" s="102">
        <v>71000</v>
      </c>
      <c r="X24" s="102">
        <v>2156262</v>
      </c>
      <c r="Y24" s="102">
        <v>21076</v>
      </c>
      <c r="Z24" s="102">
        <v>0</v>
      </c>
      <c r="AA24" s="102">
        <v>100230</v>
      </c>
      <c r="AB24" s="102">
        <v>83891</v>
      </c>
      <c r="AC24" s="102">
        <v>4784985</v>
      </c>
      <c r="AD24" s="102">
        <v>4468576</v>
      </c>
      <c r="AE24" s="102">
        <v>316409</v>
      </c>
      <c r="AF24" s="102">
        <v>13425</v>
      </c>
      <c r="AG24" s="102">
        <v>206495</v>
      </c>
      <c r="AH24" s="73">
        <f t="shared" si="3"/>
        <v>757885</v>
      </c>
      <c r="AI24" s="102">
        <v>364095</v>
      </c>
      <c r="AJ24" s="102">
        <v>393790</v>
      </c>
      <c r="AK24" s="102">
        <v>7294101</v>
      </c>
      <c r="AL24" s="73">
        <f t="shared" si="4"/>
        <v>4343198</v>
      </c>
      <c r="AM24" s="102">
        <v>1695511</v>
      </c>
      <c r="AN24" s="102">
        <v>1385657</v>
      </c>
      <c r="AO24" s="74"/>
      <c r="AP24" s="102">
        <v>1262030</v>
      </c>
      <c r="AQ24" s="102">
        <v>340192</v>
      </c>
      <c r="AR24" s="102">
        <v>0</v>
      </c>
      <c r="AS24" s="102">
        <v>0</v>
      </c>
      <c r="AT24" s="102">
        <v>3193674</v>
      </c>
      <c r="AU24" s="102">
        <v>2067794</v>
      </c>
      <c r="AV24" s="102">
        <v>694794</v>
      </c>
      <c r="AW24" s="102">
        <v>7030</v>
      </c>
      <c r="AX24" s="102">
        <v>1125880</v>
      </c>
      <c r="AY24" s="102">
        <v>6107</v>
      </c>
      <c r="AZ24" s="102">
        <v>104205</v>
      </c>
      <c r="BA24" s="102">
        <v>18978</v>
      </c>
      <c r="BB24" s="102">
        <v>948133</v>
      </c>
      <c r="BC24" s="102">
        <v>727350</v>
      </c>
      <c r="BD24" s="102">
        <v>0</v>
      </c>
      <c r="BE24" s="102">
        <v>0</v>
      </c>
      <c r="BF24" s="102">
        <v>727350</v>
      </c>
      <c r="BG24" s="102">
        <v>0</v>
      </c>
      <c r="BH24" s="102">
        <v>734567</v>
      </c>
      <c r="BI24" s="102">
        <v>664373</v>
      </c>
      <c r="BJ24" s="102">
        <v>985554</v>
      </c>
      <c r="BK24" s="102">
        <v>1651</v>
      </c>
      <c r="BL24" s="102">
        <v>0</v>
      </c>
      <c r="BM24" s="102">
        <v>0</v>
      </c>
      <c r="BN24" s="102">
        <v>2429349</v>
      </c>
      <c r="BO24" s="73">
        <f t="shared" si="5"/>
        <v>836200</v>
      </c>
      <c r="BP24" s="73">
        <f t="shared" si="6"/>
        <v>1593149</v>
      </c>
      <c r="BQ24" s="102">
        <v>0</v>
      </c>
      <c r="BR24" s="102">
        <v>0</v>
      </c>
      <c r="BS24" s="102">
        <v>1593149</v>
      </c>
      <c r="BT24" s="102">
        <v>0</v>
      </c>
      <c r="BU24" s="102">
        <v>41805416</v>
      </c>
      <c r="BV24" s="71"/>
      <c r="BW24" s="102">
        <v>5153601</v>
      </c>
      <c r="BX24" s="102">
        <v>3575215</v>
      </c>
      <c r="BY24" s="102">
        <v>282173</v>
      </c>
      <c r="BZ24" s="102">
        <v>210664</v>
      </c>
      <c r="CA24" s="102">
        <v>11848534</v>
      </c>
      <c r="CB24" s="102">
        <v>2832495</v>
      </c>
      <c r="CC24" s="102">
        <v>100805</v>
      </c>
      <c r="CD24" s="102">
        <v>6202368</v>
      </c>
      <c r="CE24" s="102">
        <v>2278281</v>
      </c>
      <c r="CF24" s="102">
        <v>12988</v>
      </c>
      <c r="CG24" s="102">
        <v>420497</v>
      </c>
      <c r="CH24" s="102">
        <v>3783974</v>
      </c>
      <c r="CI24" s="102">
        <v>3480879</v>
      </c>
      <c r="CJ24" s="83">
        <f t="shared" si="17"/>
        <v>303095</v>
      </c>
      <c r="CK24" s="102">
        <v>6932277</v>
      </c>
      <c r="CL24" s="102">
        <v>4354540</v>
      </c>
      <c r="CM24" s="102">
        <v>338722</v>
      </c>
      <c r="CN24" s="102">
        <v>1472697</v>
      </c>
      <c r="CO24" s="102">
        <v>189862</v>
      </c>
      <c r="CP24" s="102">
        <v>4648025</v>
      </c>
      <c r="CQ24" s="102">
        <v>1703223</v>
      </c>
      <c r="CR24" s="102">
        <v>740773</v>
      </c>
      <c r="CS24" s="102">
        <v>231691</v>
      </c>
      <c r="CT24" s="73">
        <f t="shared" si="7"/>
        <v>1672962</v>
      </c>
      <c r="CU24" s="102">
        <v>1672962</v>
      </c>
      <c r="CV24" s="102">
        <v>0</v>
      </c>
      <c r="CW24" s="73">
        <f t="shared" si="8"/>
        <v>0</v>
      </c>
      <c r="CX24" s="102">
        <v>0</v>
      </c>
      <c r="CY24" s="102">
        <v>0</v>
      </c>
      <c r="CZ24" s="73">
        <f t="shared" si="9"/>
        <v>1656580</v>
      </c>
      <c r="DA24" s="102">
        <v>1656580</v>
      </c>
      <c r="DB24" s="102">
        <v>0</v>
      </c>
      <c r="DC24" s="102">
        <v>2875325</v>
      </c>
      <c r="DD24" s="102">
        <v>1592465</v>
      </c>
      <c r="DE24" s="102">
        <v>1280158</v>
      </c>
      <c r="DF24" s="102">
        <v>2702</v>
      </c>
      <c r="DG24" s="102">
        <v>0</v>
      </c>
      <c r="DH24" s="102">
        <v>101006</v>
      </c>
      <c r="DI24" s="102">
        <v>722999</v>
      </c>
      <c r="DJ24" s="102">
        <v>27386</v>
      </c>
      <c r="DK24" s="102">
        <v>330410</v>
      </c>
      <c r="DL24" s="102">
        <v>365203</v>
      </c>
      <c r="DM24" s="102">
        <v>554711</v>
      </c>
      <c r="DN24" s="102">
        <v>424711</v>
      </c>
      <c r="DO24" s="102">
        <v>0</v>
      </c>
      <c r="DP24" s="102">
        <v>0</v>
      </c>
      <c r="DQ24" s="102">
        <v>0</v>
      </c>
      <c r="DR24" s="102">
        <v>0</v>
      </c>
      <c r="DS24" s="102">
        <v>0</v>
      </c>
      <c r="DT24" s="102">
        <v>4089474</v>
      </c>
      <c r="DU24" s="102">
        <v>0</v>
      </c>
      <c r="DV24" s="73">
        <f t="shared" si="10"/>
        <v>0</v>
      </c>
      <c r="DW24" s="102">
        <v>0</v>
      </c>
      <c r="DX24" s="102">
        <v>1545551</v>
      </c>
      <c r="DY24" s="102">
        <v>0</v>
      </c>
      <c r="DZ24" s="102">
        <v>1272245</v>
      </c>
      <c r="EA24" s="74">
        <v>0</v>
      </c>
      <c r="EB24" s="102">
        <v>1271637</v>
      </c>
      <c r="EC24" s="102">
        <v>0</v>
      </c>
      <c r="ED24" s="102">
        <v>40899788</v>
      </c>
      <c r="EE24" s="71"/>
      <c r="EF24" s="102">
        <v>905628</v>
      </c>
      <c r="EG24" s="102">
        <v>109909</v>
      </c>
      <c r="EH24" s="102">
        <v>795719</v>
      </c>
      <c r="EI24" s="102">
        <v>131346</v>
      </c>
      <c r="EJ24" s="102">
        <v>158732</v>
      </c>
      <c r="EK24" s="71"/>
      <c r="EL24" s="102">
        <v>123217</v>
      </c>
      <c r="EM24" s="102">
        <v>120759</v>
      </c>
      <c r="EN24" s="102">
        <v>2</v>
      </c>
      <c r="EO24" s="102">
        <v>58075</v>
      </c>
      <c r="EP24" s="73">
        <f t="shared" si="11"/>
        <v>2106393</v>
      </c>
      <c r="EQ24" s="102">
        <v>24424103</v>
      </c>
      <c r="ER24" s="71">
        <v>-3744194</v>
      </c>
      <c r="ES24" s="102">
        <v>4677554</v>
      </c>
      <c r="ET24" s="102">
        <v>3160737</v>
      </c>
      <c r="EU24" s="102">
        <v>3646770</v>
      </c>
      <c r="EV24" s="102">
        <v>3763888</v>
      </c>
      <c r="EW24" s="73">
        <f t="shared" si="12"/>
        <v>786359</v>
      </c>
      <c r="EX24" s="102">
        <v>778705</v>
      </c>
      <c r="EY24" s="102">
        <v>106931</v>
      </c>
      <c r="EZ24" s="102">
        <v>669072</v>
      </c>
      <c r="FA24" s="102">
        <v>7654</v>
      </c>
      <c r="FB24" s="102">
        <v>0</v>
      </c>
      <c r="FC24" s="102">
        <v>5496527</v>
      </c>
      <c r="FD24" s="102">
        <v>4452272</v>
      </c>
      <c r="FE24" s="102">
        <v>1701679</v>
      </c>
      <c r="FF24" s="102">
        <v>3121005</v>
      </c>
      <c r="FG24" s="73">
        <f t="shared" si="13"/>
        <v>1318294</v>
      </c>
      <c r="FH24" s="102">
        <v>27262669</v>
      </c>
      <c r="FI24" s="379">
        <f t="shared" si="14"/>
        <v>3.3</v>
      </c>
      <c r="FJ24" s="102">
        <v>22194884</v>
      </c>
      <c r="FK24" s="102">
        <v>1843149</v>
      </c>
      <c r="FL24" s="102">
        <v>13856222</v>
      </c>
      <c r="FM24" s="102">
        <v>18324798</v>
      </c>
      <c r="FN24" s="428">
        <v>0.76</v>
      </c>
      <c r="FO24" s="424">
        <v>98.1</v>
      </c>
      <c r="FP24" s="425">
        <v>18.7</v>
      </c>
      <c r="FQ24" s="424">
        <v>14.9</v>
      </c>
      <c r="FR24" s="424">
        <v>15.3</v>
      </c>
      <c r="FS24" s="425">
        <v>19.3</v>
      </c>
      <c r="FT24" s="424">
        <v>15.2</v>
      </c>
      <c r="FU24" s="426">
        <v>12.5</v>
      </c>
      <c r="FV24" s="384">
        <v>4.5999999999999996</v>
      </c>
      <c r="FW24" s="102">
        <v>35441049</v>
      </c>
      <c r="FX24" s="384">
        <f t="shared" si="15"/>
        <v>147.4</v>
      </c>
      <c r="FY24" s="102">
        <v>17076644</v>
      </c>
      <c r="FZ24" s="102">
        <v>4780394</v>
      </c>
      <c r="GA24" s="102">
        <v>1544315</v>
      </c>
      <c r="GB24" s="102">
        <v>10751935</v>
      </c>
      <c r="GC24" s="107">
        <v>0</v>
      </c>
      <c r="GD24" s="427"/>
      <c r="GE24" s="386"/>
      <c r="GF24" s="424">
        <v>99.4</v>
      </c>
      <c r="GG24" s="424">
        <v>50.4</v>
      </c>
      <c r="GH24" s="424">
        <v>98.5</v>
      </c>
      <c r="GI24" s="102">
        <v>545</v>
      </c>
      <c r="GJ24" s="429" t="s">
        <v>646</v>
      </c>
      <c r="GK24" s="429">
        <v>12.15</v>
      </c>
      <c r="GL24" s="117">
        <v>20</v>
      </c>
      <c r="GM24" s="429" t="s">
        <v>646</v>
      </c>
      <c r="GN24" s="430">
        <v>17.149999999999999</v>
      </c>
      <c r="GO24" s="387">
        <v>30</v>
      </c>
      <c r="GP24" s="425">
        <v>4.5999999999999996</v>
      </c>
      <c r="GQ24" s="388">
        <v>25</v>
      </c>
      <c r="GR24" s="388">
        <v>35</v>
      </c>
      <c r="GS24" s="431" t="s">
        <v>646</v>
      </c>
      <c r="GT24" s="388">
        <v>350</v>
      </c>
      <c r="GU24" s="394"/>
      <c r="GV24" s="100">
        <f t="shared" si="16"/>
        <v>24038</v>
      </c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</row>
    <row r="25" spans="2:230" x14ac:dyDescent="0.15">
      <c r="B25" s="89" t="s">
        <v>39</v>
      </c>
      <c r="C25" s="102">
        <v>23680435</v>
      </c>
      <c r="D25" s="73">
        <f t="shared" si="0"/>
        <v>9611049</v>
      </c>
      <c r="E25" s="102">
        <v>290148</v>
      </c>
      <c r="F25" s="102">
        <v>9320901</v>
      </c>
      <c r="G25" s="73">
        <f t="shared" si="1"/>
        <v>1537316</v>
      </c>
      <c r="H25" s="102">
        <v>464346</v>
      </c>
      <c r="I25" s="102">
        <v>1072970</v>
      </c>
      <c r="J25" s="102">
        <v>9255543</v>
      </c>
      <c r="K25" s="102">
        <v>3396077</v>
      </c>
      <c r="L25" s="102">
        <v>4602724</v>
      </c>
      <c r="M25" s="102">
        <v>1173390</v>
      </c>
      <c r="N25" s="102">
        <v>1043398</v>
      </c>
      <c r="O25" s="102">
        <v>1877908</v>
      </c>
      <c r="P25" s="102">
        <v>925303</v>
      </c>
      <c r="Q25" s="102">
        <v>952605</v>
      </c>
      <c r="R25" s="102">
        <v>318709</v>
      </c>
      <c r="S25" s="74"/>
      <c r="T25" s="73">
        <f t="shared" si="2"/>
        <v>3542387</v>
      </c>
      <c r="U25" s="102">
        <v>57770</v>
      </c>
      <c r="V25" s="102">
        <v>137502</v>
      </c>
      <c r="W25" s="102">
        <v>116532</v>
      </c>
      <c r="X25" s="102">
        <v>3026816</v>
      </c>
      <c r="Y25" s="102">
        <v>30899</v>
      </c>
      <c r="Z25" s="102">
        <v>0</v>
      </c>
      <c r="AA25" s="102">
        <v>172868</v>
      </c>
      <c r="AB25" s="102">
        <v>176120</v>
      </c>
      <c r="AC25" s="102">
        <v>7456715</v>
      </c>
      <c r="AD25" s="102">
        <v>6640477</v>
      </c>
      <c r="AE25" s="102">
        <v>816238</v>
      </c>
      <c r="AF25" s="102">
        <v>22130</v>
      </c>
      <c r="AG25" s="102">
        <v>197765</v>
      </c>
      <c r="AH25" s="73">
        <f t="shared" si="3"/>
        <v>1407237</v>
      </c>
      <c r="AI25" s="102">
        <v>1015587</v>
      </c>
      <c r="AJ25" s="102">
        <v>391650</v>
      </c>
      <c r="AK25" s="102">
        <v>13633242</v>
      </c>
      <c r="AL25" s="73">
        <f t="shared" si="4"/>
        <v>8364308</v>
      </c>
      <c r="AM25" s="102">
        <v>5097382</v>
      </c>
      <c r="AN25" s="102">
        <v>1617937</v>
      </c>
      <c r="AO25" s="74"/>
      <c r="AP25" s="102">
        <v>1648989</v>
      </c>
      <c r="AQ25" s="102">
        <v>1338830</v>
      </c>
      <c r="AR25" s="102">
        <v>60587</v>
      </c>
      <c r="AS25" s="102">
        <v>217584</v>
      </c>
      <c r="AT25" s="102">
        <v>4602026</v>
      </c>
      <c r="AU25" s="102">
        <v>2486293</v>
      </c>
      <c r="AV25" s="102">
        <v>494296</v>
      </c>
      <c r="AW25" s="102">
        <v>62996</v>
      </c>
      <c r="AX25" s="102">
        <v>2115733</v>
      </c>
      <c r="AY25" s="102">
        <v>1626</v>
      </c>
      <c r="AZ25" s="102">
        <v>39658</v>
      </c>
      <c r="BA25" s="102">
        <v>29124</v>
      </c>
      <c r="BB25" s="102">
        <v>1711473</v>
      </c>
      <c r="BC25" s="102">
        <v>798952</v>
      </c>
      <c r="BD25" s="102">
        <v>300000</v>
      </c>
      <c r="BE25" s="102">
        <v>0</v>
      </c>
      <c r="BF25" s="102">
        <v>498952</v>
      </c>
      <c r="BG25" s="102">
        <v>0</v>
      </c>
      <c r="BH25" s="102">
        <v>195045</v>
      </c>
      <c r="BI25" s="102">
        <v>128267</v>
      </c>
      <c r="BJ25" s="102">
        <v>596590</v>
      </c>
      <c r="BK25" s="102">
        <v>350</v>
      </c>
      <c r="BL25" s="102">
        <v>0</v>
      </c>
      <c r="BM25" s="102">
        <v>0</v>
      </c>
      <c r="BN25" s="102">
        <v>4713600</v>
      </c>
      <c r="BO25" s="73">
        <f t="shared" si="5"/>
        <v>2412700</v>
      </c>
      <c r="BP25" s="73">
        <f t="shared" si="6"/>
        <v>2300900</v>
      </c>
      <c r="BQ25" s="102">
        <v>0</v>
      </c>
      <c r="BR25" s="102">
        <v>0</v>
      </c>
      <c r="BS25" s="102">
        <v>2300900</v>
      </c>
      <c r="BT25" s="102">
        <v>0</v>
      </c>
      <c r="BU25" s="102">
        <v>63309668</v>
      </c>
      <c r="BV25" s="71"/>
      <c r="BW25" s="102">
        <v>9369973</v>
      </c>
      <c r="BX25" s="102">
        <v>6159096</v>
      </c>
      <c r="BY25" s="102">
        <v>573659</v>
      </c>
      <c r="BZ25" s="102">
        <v>823321</v>
      </c>
      <c r="CA25" s="102">
        <v>20457961</v>
      </c>
      <c r="CB25" s="102">
        <v>4197374</v>
      </c>
      <c r="CC25" s="102">
        <v>211340</v>
      </c>
      <c r="CD25" s="102">
        <v>8123063</v>
      </c>
      <c r="CE25" s="102">
        <v>6966510</v>
      </c>
      <c r="CF25" s="102">
        <v>4554</v>
      </c>
      <c r="CG25" s="102">
        <v>953000</v>
      </c>
      <c r="CH25" s="102">
        <v>6454363</v>
      </c>
      <c r="CI25" s="102">
        <v>6064151</v>
      </c>
      <c r="CJ25" s="83">
        <f t="shared" si="17"/>
        <v>390212</v>
      </c>
      <c r="CK25" s="102">
        <v>8704534</v>
      </c>
      <c r="CL25" s="102">
        <v>6330018</v>
      </c>
      <c r="CM25" s="102">
        <v>443281</v>
      </c>
      <c r="CN25" s="102">
        <v>873204</v>
      </c>
      <c r="CO25" s="102">
        <v>380935</v>
      </c>
      <c r="CP25" s="102">
        <v>4732680</v>
      </c>
      <c r="CQ25" s="102">
        <v>731357</v>
      </c>
      <c r="CR25" s="102">
        <v>1274043</v>
      </c>
      <c r="CS25" s="102">
        <v>536556</v>
      </c>
      <c r="CT25" s="73">
        <f t="shared" si="7"/>
        <v>1628807</v>
      </c>
      <c r="CU25" s="102">
        <v>528074</v>
      </c>
      <c r="CV25" s="102">
        <v>1100733</v>
      </c>
      <c r="CW25" s="73">
        <f t="shared" si="8"/>
        <v>944724</v>
      </c>
      <c r="CX25" s="102">
        <v>0</v>
      </c>
      <c r="CY25" s="102">
        <v>944724</v>
      </c>
      <c r="CZ25" s="73">
        <f t="shared" si="9"/>
        <v>662603</v>
      </c>
      <c r="DA25" s="102">
        <v>510074</v>
      </c>
      <c r="DB25" s="102">
        <v>152529</v>
      </c>
      <c r="DC25" s="102">
        <v>6010135</v>
      </c>
      <c r="DD25" s="102">
        <v>4120958</v>
      </c>
      <c r="DE25" s="102">
        <v>1883621</v>
      </c>
      <c r="DF25" s="102">
        <v>5556</v>
      </c>
      <c r="DG25" s="102">
        <v>0</v>
      </c>
      <c r="DH25" s="102">
        <v>208766</v>
      </c>
      <c r="DI25" s="102">
        <v>1051902</v>
      </c>
      <c r="DJ25" s="102">
        <v>71060</v>
      </c>
      <c r="DK25" s="102">
        <v>30</v>
      </c>
      <c r="DL25" s="102">
        <v>980812</v>
      </c>
      <c r="DM25" s="102">
        <v>0</v>
      </c>
      <c r="DN25" s="102">
        <v>0</v>
      </c>
      <c r="DO25" s="102">
        <v>0</v>
      </c>
      <c r="DP25" s="102">
        <v>0</v>
      </c>
      <c r="DQ25" s="102">
        <v>20300</v>
      </c>
      <c r="DR25" s="102">
        <v>0</v>
      </c>
      <c r="DS25" s="102">
        <v>0</v>
      </c>
      <c r="DT25" s="102">
        <v>5573098</v>
      </c>
      <c r="DU25" s="102">
        <v>24581</v>
      </c>
      <c r="DV25" s="73">
        <f t="shared" si="10"/>
        <v>0</v>
      </c>
      <c r="DW25" s="102">
        <v>0</v>
      </c>
      <c r="DX25" s="102">
        <v>2138395</v>
      </c>
      <c r="DY25" s="102">
        <v>0</v>
      </c>
      <c r="DZ25" s="102">
        <v>1513538</v>
      </c>
      <c r="EA25" s="74">
        <v>0</v>
      </c>
      <c r="EB25" s="102">
        <v>1803784</v>
      </c>
      <c r="EC25" s="102">
        <v>0</v>
      </c>
      <c r="ED25" s="102">
        <v>62964647</v>
      </c>
      <c r="EE25" s="71"/>
      <c r="EF25" s="102">
        <v>345021</v>
      </c>
      <c r="EG25" s="102">
        <v>254945</v>
      </c>
      <c r="EH25" s="102">
        <v>90076</v>
      </c>
      <c r="EI25" s="102">
        <v>-38191</v>
      </c>
      <c r="EJ25" s="102">
        <v>-267131</v>
      </c>
      <c r="EK25" s="71"/>
      <c r="EL25" s="102">
        <v>186109</v>
      </c>
      <c r="EM25" s="102">
        <v>186060</v>
      </c>
      <c r="EN25" s="102">
        <v>300000</v>
      </c>
      <c r="EO25" s="102">
        <v>38249</v>
      </c>
      <c r="EP25" s="73">
        <f t="shared" si="11"/>
        <v>979380</v>
      </c>
      <c r="EQ25" s="102">
        <v>35414080</v>
      </c>
      <c r="ER25" s="71">
        <v>-3378815</v>
      </c>
      <c r="ES25" s="102">
        <v>8677398</v>
      </c>
      <c r="ET25" s="102">
        <v>5667994</v>
      </c>
      <c r="EU25" s="102">
        <v>6053616</v>
      </c>
      <c r="EV25" s="102">
        <v>6330188</v>
      </c>
      <c r="EW25" s="73">
        <f t="shared" si="12"/>
        <v>1991617</v>
      </c>
      <c r="EX25" s="102">
        <v>1907626</v>
      </c>
      <c r="EY25" s="102">
        <v>553932</v>
      </c>
      <c r="EZ25" s="102">
        <v>1353370</v>
      </c>
      <c r="FA25" s="102">
        <v>83991</v>
      </c>
      <c r="FB25" s="102">
        <v>0</v>
      </c>
      <c r="FC25" s="102">
        <v>6312600</v>
      </c>
      <c r="FD25" s="102">
        <v>4151288</v>
      </c>
      <c r="FE25" s="102">
        <v>731357</v>
      </c>
      <c r="FF25" s="102">
        <v>4312161</v>
      </c>
      <c r="FG25" s="73">
        <f t="shared" si="13"/>
        <v>619006</v>
      </c>
      <c r="FH25" s="102">
        <v>38447874</v>
      </c>
      <c r="FI25" s="379">
        <f t="shared" si="14"/>
        <v>0.3</v>
      </c>
      <c r="FJ25" s="102">
        <v>32154429</v>
      </c>
      <c r="FK25" s="102">
        <v>2301008</v>
      </c>
      <c r="FL25" s="102">
        <v>19950730</v>
      </c>
      <c r="FM25" s="102">
        <v>26488525</v>
      </c>
      <c r="FN25" s="428">
        <v>0.747</v>
      </c>
      <c r="FO25" s="424">
        <v>96.8</v>
      </c>
      <c r="FP25" s="425">
        <v>24.4</v>
      </c>
      <c r="FQ25" s="424">
        <v>17</v>
      </c>
      <c r="FR25" s="424">
        <v>17.8</v>
      </c>
      <c r="FS25" s="425">
        <v>15.6</v>
      </c>
      <c r="FT25" s="424">
        <v>9.3000000000000007</v>
      </c>
      <c r="FU25" s="426">
        <v>11.6</v>
      </c>
      <c r="FV25" s="384">
        <v>6.3</v>
      </c>
      <c r="FW25" s="102">
        <v>46982313</v>
      </c>
      <c r="FX25" s="384">
        <f t="shared" si="15"/>
        <v>136.4</v>
      </c>
      <c r="FY25" s="102">
        <v>11593372</v>
      </c>
      <c r="FZ25" s="102">
        <v>4125220</v>
      </c>
      <c r="GA25" s="102">
        <v>212250</v>
      </c>
      <c r="GB25" s="102">
        <v>7255902</v>
      </c>
      <c r="GC25" s="107">
        <v>0</v>
      </c>
      <c r="GD25" s="427"/>
      <c r="GE25" s="386"/>
      <c r="GF25" s="424">
        <v>99.4</v>
      </c>
      <c r="GG25" s="424">
        <v>33.6</v>
      </c>
      <c r="GH25" s="424">
        <v>97.9</v>
      </c>
      <c r="GI25" s="102">
        <v>1012</v>
      </c>
      <c r="GJ25" s="429" t="s">
        <v>646</v>
      </c>
      <c r="GK25" s="429">
        <v>11.63</v>
      </c>
      <c r="GL25" s="117">
        <v>20</v>
      </c>
      <c r="GM25" s="429" t="s">
        <v>646</v>
      </c>
      <c r="GN25" s="430">
        <v>16.63</v>
      </c>
      <c r="GO25" s="387">
        <v>30</v>
      </c>
      <c r="GP25" s="425">
        <v>6.3</v>
      </c>
      <c r="GQ25" s="388">
        <v>25</v>
      </c>
      <c r="GR25" s="388">
        <v>35</v>
      </c>
      <c r="GS25" s="431" t="s">
        <v>646</v>
      </c>
      <c r="GT25" s="388">
        <v>350</v>
      </c>
      <c r="GU25" s="394"/>
      <c r="GV25" s="100">
        <f t="shared" si="16"/>
        <v>34455</v>
      </c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</row>
    <row r="26" spans="2:230" x14ac:dyDescent="0.15">
      <c r="B26" s="89" t="s">
        <v>41</v>
      </c>
      <c r="C26" s="102">
        <v>23884918</v>
      </c>
      <c r="D26" s="73">
        <f t="shared" si="0"/>
        <v>10411087</v>
      </c>
      <c r="E26" s="102">
        <v>223837</v>
      </c>
      <c r="F26" s="102">
        <v>10187250</v>
      </c>
      <c r="G26" s="73">
        <f t="shared" si="1"/>
        <v>1192013</v>
      </c>
      <c r="H26" s="102">
        <v>386162</v>
      </c>
      <c r="I26" s="102">
        <v>805851</v>
      </c>
      <c r="J26" s="102">
        <v>9079000</v>
      </c>
      <c r="K26" s="102">
        <v>4311819</v>
      </c>
      <c r="L26" s="102">
        <v>3986140</v>
      </c>
      <c r="M26" s="102">
        <v>756090</v>
      </c>
      <c r="N26" s="102">
        <v>692557</v>
      </c>
      <c r="O26" s="102">
        <v>2181989</v>
      </c>
      <c r="P26" s="102">
        <v>1304805</v>
      </c>
      <c r="Q26" s="102">
        <v>877184</v>
      </c>
      <c r="R26" s="102">
        <v>255491</v>
      </c>
      <c r="S26" s="74"/>
      <c r="T26" s="73">
        <f t="shared" si="2"/>
        <v>2691248</v>
      </c>
      <c r="U26" s="102">
        <v>63033</v>
      </c>
      <c r="V26" s="102">
        <v>150083</v>
      </c>
      <c r="W26" s="102">
        <v>127325</v>
      </c>
      <c r="X26" s="102">
        <v>2210644</v>
      </c>
      <c r="Y26" s="102">
        <v>1726</v>
      </c>
      <c r="Z26" s="102">
        <v>0</v>
      </c>
      <c r="AA26" s="102">
        <v>138437</v>
      </c>
      <c r="AB26" s="102">
        <v>138881</v>
      </c>
      <c r="AC26" s="102">
        <v>1174778</v>
      </c>
      <c r="AD26" s="102">
        <v>866601</v>
      </c>
      <c r="AE26" s="102">
        <v>308177</v>
      </c>
      <c r="AF26" s="102">
        <v>17942</v>
      </c>
      <c r="AG26" s="102">
        <v>960010</v>
      </c>
      <c r="AH26" s="73">
        <f t="shared" si="3"/>
        <v>922397</v>
      </c>
      <c r="AI26" s="102">
        <v>615307</v>
      </c>
      <c r="AJ26" s="102">
        <v>307090</v>
      </c>
      <c r="AK26" s="102">
        <v>10580377</v>
      </c>
      <c r="AL26" s="73">
        <f t="shared" si="4"/>
        <v>4254833</v>
      </c>
      <c r="AM26" s="102">
        <v>1648344</v>
      </c>
      <c r="AN26" s="102">
        <v>1309106</v>
      </c>
      <c r="AO26" s="74"/>
      <c r="AP26" s="102">
        <v>1297383</v>
      </c>
      <c r="AQ26" s="102">
        <v>953482</v>
      </c>
      <c r="AR26" s="102">
        <v>93732</v>
      </c>
      <c r="AS26" s="102">
        <v>0</v>
      </c>
      <c r="AT26" s="102">
        <v>5446817</v>
      </c>
      <c r="AU26" s="102">
        <v>2017945</v>
      </c>
      <c r="AV26" s="102">
        <v>606116</v>
      </c>
      <c r="AW26" s="102">
        <v>22346</v>
      </c>
      <c r="AX26" s="102">
        <v>3428872</v>
      </c>
      <c r="AY26" s="102">
        <v>2059016</v>
      </c>
      <c r="AZ26" s="102">
        <v>227357</v>
      </c>
      <c r="BA26" s="102">
        <v>29794</v>
      </c>
      <c r="BB26" s="102">
        <v>109180</v>
      </c>
      <c r="BC26" s="102">
        <v>2122922</v>
      </c>
      <c r="BD26" s="102">
        <v>271997</v>
      </c>
      <c r="BE26" s="102">
        <v>200000</v>
      </c>
      <c r="BF26" s="102">
        <v>1554600</v>
      </c>
      <c r="BG26" s="102">
        <v>0</v>
      </c>
      <c r="BH26" s="102">
        <v>1608815</v>
      </c>
      <c r="BI26" s="102">
        <v>899704</v>
      </c>
      <c r="BJ26" s="102">
        <v>1506505</v>
      </c>
      <c r="BK26" s="102">
        <v>178605</v>
      </c>
      <c r="BL26" s="102">
        <v>0</v>
      </c>
      <c r="BM26" s="102">
        <v>600000</v>
      </c>
      <c r="BN26" s="102">
        <v>12197473</v>
      </c>
      <c r="BO26" s="73">
        <f t="shared" si="5"/>
        <v>10883300</v>
      </c>
      <c r="BP26" s="73">
        <f t="shared" si="6"/>
        <v>1314173</v>
      </c>
      <c r="BQ26" s="102">
        <v>0</v>
      </c>
      <c r="BR26" s="102">
        <v>0</v>
      </c>
      <c r="BS26" s="102">
        <v>1314173</v>
      </c>
      <c r="BT26" s="102">
        <v>0</v>
      </c>
      <c r="BU26" s="102">
        <v>63845111</v>
      </c>
      <c r="BV26" s="71"/>
      <c r="BW26" s="102">
        <v>9674852</v>
      </c>
      <c r="BX26" s="102">
        <v>6646792</v>
      </c>
      <c r="BY26" s="102">
        <v>755531</v>
      </c>
      <c r="BZ26" s="102">
        <v>433242</v>
      </c>
      <c r="CA26" s="102">
        <v>12516127</v>
      </c>
      <c r="CB26" s="102">
        <v>3027580</v>
      </c>
      <c r="CC26" s="102">
        <v>238256</v>
      </c>
      <c r="CD26" s="102">
        <v>6808207</v>
      </c>
      <c r="CE26" s="102">
        <v>2113898</v>
      </c>
      <c r="CF26" s="102">
        <v>44078</v>
      </c>
      <c r="CG26" s="102">
        <v>278810</v>
      </c>
      <c r="CH26" s="102">
        <v>2866324</v>
      </c>
      <c r="CI26" s="102">
        <v>2652007</v>
      </c>
      <c r="CJ26" s="83">
        <f t="shared" si="17"/>
        <v>214317</v>
      </c>
      <c r="CK26" s="102">
        <v>7980181</v>
      </c>
      <c r="CL26" s="102">
        <v>5604112</v>
      </c>
      <c r="CM26" s="102">
        <v>475862</v>
      </c>
      <c r="CN26" s="102">
        <v>1228470</v>
      </c>
      <c r="CO26" s="102">
        <v>129708</v>
      </c>
      <c r="CP26" s="102">
        <v>2712013</v>
      </c>
      <c r="CQ26" s="102">
        <v>2468</v>
      </c>
      <c r="CR26" s="102">
        <v>1238163</v>
      </c>
      <c r="CS26" s="102">
        <v>909670</v>
      </c>
      <c r="CT26" s="73">
        <f t="shared" si="7"/>
        <v>446185</v>
      </c>
      <c r="CU26" s="102">
        <v>357173</v>
      </c>
      <c r="CV26" s="102">
        <v>89012</v>
      </c>
      <c r="CW26" s="73">
        <f t="shared" si="8"/>
        <v>31000</v>
      </c>
      <c r="CX26" s="102">
        <v>31000</v>
      </c>
      <c r="CY26" s="102">
        <v>0</v>
      </c>
      <c r="CZ26" s="73">
        <f t="shared" si="9"/>
        <v>388119</v>
      </c>
      <c r="DA26" s="102">
        <v>301081</v>
      </c>
      <c r="DB26" s="102">
        <v>87038</v>
      </c>
      <c r="DC26" s="102">
        <v>18080950</v>
      </c>
      <c r="DD26" s="102">
        <v>11745948</v>
      </c>
      <c r="DE26" s="102">
        <v>6332502</v>
      </c>
      <c r="DF26" s="102">
        <v>2500</v>
      </c>
      <c r="DG26" s="102">
        <v>0</v>
      </c>
      <c r="DH26" s="102">
        <v>576326</v>
      </c>
      <c r="DI26" s="102">
        <v>1078496</v>
      </c>
      <c r="DJ26" s="102">
        <v>11726</v>
      </c>
      <c r="DK26" s="102">
        <v>1702</v>
      </c>
      <c r="DL26" s="102">
        <v>1065068</v>
      </c>
      <c r="DM26" s="102">
        <v>16154</v>
      </c>
      <c r="DN26" s="102">
        <v>0</v>
      </c>
      <c r="DO26" s="102">
        <v>0</v>
      </c>
      <c r="DP26" s="102">
        <v>0</v>
      </c>
      <c r="DQ26" s="102">
        <v>548000</v>
      </c>
      <c r="DR26" s="102">
        <v>0</v>
      </c>
      <c r="DS26" s="102">
        <v>0</v>
      </c>
      <c r="DT26" s="102">
        <v>4499045</v>
      </c>
      <c r="DU26" s="102">
        <v>0</v>
      </c>
      <c r="DV26" s="73">
        <f t="shared" si="10"/>
        <v>0</v>
      </c>
      <c r="DW26" s="102">
        <v>0</v>
      </c>
      <c r="DX26" s="102">
        <v>1466359</v>
      </c>
      <c r="DY26" s="102">
        <v>0</v>
      </c>
      <c r="DZ26" s="102">
        <v>1544888</v>
      </c>
      <c r="EA26" s="74">
        <v>0</v>
      </c>
      <c r="EB26" s="102">
        <v>1383439</v>
      </c>
      <c r="EC26" s="102">
        <v>0</v>
      </c>
      <c r="ED26" s="102">
        <v>60678176</v>
      </c>
      <c r="EE26" s="71"/>
      <c r="EF26" s="102">
        <v>3166935</v>
      </c>
      <c r="EG26" s="102">
        <v>1227315</v>
      </c>
      <c r="EH26" s="102">
        <v>1939620</v>
      </c>
      <c r="EI26" s="102">
        <v>39916</v>
      </c>
      <c r="EJ26" s="102">
        <v>-220355</v>
      </c>
      <c r="EK26" s="71"/>
      <c r="EL26" s="102">
        <v>133411</v>
      </c>
      <c r="EM26" s="102">
        <v>138368</v>
      </c>
      <c r="EN26" s="102">
        <v>573478</v>
      </c>
      <c r="EO26" s="102">
        <v>194888</v>
      </c>
      <c r="EP26" s="73">
        <f t="shared" si="11"/>
        <v>2809108</v>
      </c>
      <c r="EQ26" s="102">
        <v>28163258</v>
      </c>
      <c r="ER26" s="71">
        <v>-4873705</v>
      </c>
      <c r="ES26" s="102">
        <v>8825873</v>
      </c>
      <c r="ET26" s="102">
        <v>5934254</v>
      </c>
      <c r="EU26" s="102">
        <v>3854290</v>
      </c>
      <c r="EV26" s="102">
        <v>2866324</v>
      </c>
      <c r="EW26" s="73">
        <f t="shared" si="12"/>
        <v>1175094</v>
      </c>
      <c r="EX26" s="102">
        <v>871198</v>
      </c>
      <c r="EY26" s="102">
        <v>192214</v>
      </c>
      <c r="EZ26" s="102">
        <v>676484</v>
      </c>
      <c r="FA26" s="102">
        <v>303896</v>
      </c>
      <c r="FB26" s="102">
        <v>0</v>
      </c>
      <c r="FC26" s="102">
        <v>6448339</v>
      </c>
      <c r="FD26" s="102">
        <v>2267893</v>
      </c>
      <c r="FE26" s="102">
        <v>2468</v>
      </c>
      <c r="FF26" s="102">
        <v>3668954</v>
      </c>
      <c r="FG26" s="73">
        <f t="shared" si="13"/>
        <v>1133172</v>
      </c>
      <c r="FH26" s="102">
        <v>30239939</v>
      </c>
      <c r="FI26" s="379">
        <f t="shared" si="14"/>
        <v>7.3</v>
      </c>
      <c r="FJ26" s="102">
        <v>25082378</v>
      </c>
      <c r="FK26" s="102">
        <v>1314173</v>
      </c>
      <c r="FL26" s="102">
        <v>18492922</v>
      </c>
      <c r="FM26" s="102">
        <v>19307338</v>
      </c>
      <c r="FN26" s="428">
        <v>0.96099999999999997</v>
      </c>
      <c r="FO26" s="424">
        <v>93.2</v>
      </c>
      <c r="FP26" s="425">
        <v>32.299999999999997</v>
      </c>
      <c r="FQ26" s="424">
        <v>14.1</v>
      </c>
      <c r="FR26" s="424">
        <v>9.1999999999999993</v>
      </c>
      <c r="FS26" s="425">
        <v>20.2</v>
      </c>
      <c r="FT26" s="424">
        <v>5.7</v>
      </c>
      <c r="FU26" s="426">
        <v>11.1</v>
      </c>
      <c r="FV26" s="384">
        <v>0.5</v>
      </c>
      <c r="FW26" s="102">
        <v>44334774</v>
      </c>
      <c r="FX26" s="384">
        <f t="shared" si="15"/>
        <v>168</v>
      </c>
      <c r="FY26" s="102">
        <v>24887353</v>
      </c>
      <c r="FZ26" s="102">
        <v>5398995</v>
      </c>
      <c r="GA26" s="102">
        <v>1663437</v>
      </c>
      <c r="GB26" s="102">
        <v>17824921</v>
      </c>
      <c r="GC26" s="107">
        <v>0</v>
      </c>
      <c r="GD26" s="427">
        <v>2816</v>
      </c>
      <c r="GE26" s="386">
        <f>IF(GD26=0,"-",ROUND(GD26/(GV26)*100,1))</f>
        <v>10.7</v>
      </c>
      <c r="GF26" s="424">
        <v>99.4</v>
      </c>
      <c r="GG26" s="424">
        <v>40</v>
      </c>
      <c r="GH26" s="424">
        <v>97.5</v>
      </c>
      <c r="GI26" s="102">
        <v>925</v>
      </c>
      <c r="GJ26" s="429" t="s">
        <v>646</v>
      </c>
      <c r="GK26" s="429">
        <v>12</v>
      </c>
      <c r="GL26" s="117">
        <v>20</v>
      </c>
      <c r="GM26" s="429" t="s">
        <v>646</v>
      </c>
      <c r="GN26" s="430">
        <v>17</v>
      </c>
      <c r="GO26" s="387">
        <v>30</v>
      </c>
      <c r="GP26" s="425">
        <v>0.5</v>
      </c>
      <c r="GQ26" s="388">
        <v>25</v>
      </c>
      <c r="GR26" s="388">
        <v>35</v>
      </c>
      <c r="GS26" s="431" t="s">
        <v>646</v>
      </c>
      <c r="GT26" s="388">
        <v>350</v>
      </c>
      <c r="GU26" s="394"/>
      <c r="GV26" s="100">
        <f t="shared" si="16"/>
        <v>26397</v>
      </c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</row>
    <row r="27" spans="2:230" x14ac:dyDescent="0.15">
      <c r="B27" s="89" t="s">
        <v>43</v>
      </c>
      <c r="C27" s="102">
        <v>8721695</v>
      </c>
      <c r="D27" s="73">
        <f t="shared" si="0"/>
        <v>3448654</v>
      </c>
      <c r="E27" s="102">
        <v>115077</v>
      </c>
      <c r="F27" s="102">
        <v>3333577</v>
      </c>
      <c r="G27" s="73">
        <f t="shared" si="1"/>
        <v>612211</v>
      </c>
      <c r="H27" s="102">
        <v>137579</v>
      </c>
      <c r="I27" s="102">
        <v>474632</v>
      </c>
      <c r="J27" s="102">
        <v>3544216</v>
      </c>
      <c r="K27" s="102">
        <v>1359930</v>
      </c>
      <c r="L27" s="102">
        <v>1420147</v>
      </c>
      <c r="M27" s="102">
        <v>739117</v>
      </c>
      <c r="N27" s="102">
        <v>314920</v>
      </c>
      <c r="O27" s="102">
        <v>694151</v>
      </c>
      <c r="P27" s="102">
        <v>389141</v>
      </c>
      <c r="Q27" s="102">
        <v>305010</v>
      </c>
      <c r="R27" s="102">
        <v>124141</v>
      </c>
      <c r="S27" s="74"/>
      <c r="T27" s="73">
        <f t="shared" si="2"/>
        <v>1384124</v>
      </c>
      <c r="U27" s="102">
        <v>21611</v>
      </c>
      <c r="V27" s="102">
        <v>51410</v>
      </c>
      <c r="W27" s="102">
        <v>43502</v>
      </c>
      <c r="X27" s="102">
        <v>1200424</v>
      </c>
      <c r="Y27" s="102">
        <v>0</v>
      </c>
      <c r="Z27" s="102">
        <v>0</v>
      </c>
      <c r="AA27" s="102">
        <v>67177</v>
      </c>
      <c r="AB27" s="102">
        <v>47238</v>
      </c>
      <c r="AC27" s="102">
        <v>4887854</v>
      </c>
      <c r="AD27" s="102">
        <v>4656943</v>
      </c>
      <c r="AE27" s="102">
        <v>230911</v>
      </c>
      <c r="AF27" s="102">
        <v>11197</v>
      </c>
      <c r="AG27" s="102">
        <v>249720</v>
      </c>
      <c r="AH27" s="73">
        <f t="shared" si="3"/>
        <v>395493</v>
      </c>
      <c r="AI27" s="102">
        <v>358979</v>
      </c>
      <c r="AJ27" s="102">
        <v>36514</v>
      </c>
      <c r="AK27" s="102">
        <v>4109795</v>
      </c>
      <c r="AL27" s="73">
        <f t="shared" si="4"/>
        <v>2801505</v>
      </c>
      <c r="AM27" s="102">
        <v>1607516</v>
      </c>
      <c r="AN27" s="102">
        <v>625695</v>
      </c>
      <c r="AO27" s="74"/>
      <c r="AP27" s="102">
        <v>568294</v>
      </c>
      <c r="AQ27" s="102">
        <v>265758</v>
      </c>
      <c r="AR27" s="102">
        <v>38135</v>
      </c>
      <c r="AS27" s="102">
        <v>0</v>
      </c>
      <c r="AT27" s="102">
        <v>1690630</v>
      </c>
      <c r="AU27" s="102">
        <v>867463</v>
      </c>
      <c r="AV27" s="102">
        <v>245279</v>
      </c>
      <c r="AW27" s="102">
        <v>300</v>
      </c>
      <c r="AX27" s="102">
        <v>823167</v>
      </c>
      <c r="AY27" s="102">
        <v>45101</v>
      </c>
      <c r="AZ27" s="102">
        <v>25808</v>
      </c>
      <c r="BA27" s="102">
        <v>3497</v>
      </c>
      <c r="BB27" s="102">
        <v>54602</v>
      </c>
      <c r="BC27" s="102">
        <v>118123</v>
      </c>
      <c r="BD27" s="102">
        <v>3038</v>
      </c>
      <c r="BE27" s="102">
        <v>0</v>
      </c>
      <c r="BF27" s="102">
        <v>115085</v>
      </c>
      <c r="BG27" s="102">
        <v>0</v>
      </c>
      <c r="BH27" s="102">
        <v>146008</v>
      </c>
      <c r="BI27" s="102">
        <v>93358</v>
      </c>
      <c r="BJ27" s="102">
        <v>1019587</v>
      </c>
      <c r="BK27" s="102">
        <v>835104</v>
      </c>
      <c r="BL27" s="102">
        <v>0</v>
      </c>
      <c r="BM27" s="102">
        <v>0</v>
      </c>
      <c r="BN27" s="102">
        <v>2064451</v>
      </c>
      <c r="BO27" s="73">
        <f t="shared" si="5"/>
        <v>990100</v>
      </c>
      <c r="BP27" s="73">
        <f t="shared" si="6"/>
        <v>1074351</v>
      </c>
      <c r="BQ27" s="102">
        <v>0</v>
      </c>
      <c r="BR27" s="102">
        <v>0</v>
      </c>
      <c r="BS27" s="102">
        <v>1074351</v>
      </c>
      <c r="BT27" s="102">
        <v>0</v>
      </c>
      <c r="BU27" s="102">
        <v>25050466</v>
      </c>
      <c r="BV27" s="71"/>
      <c r="BW27" s="102">
        <v>3755021</v>
      </c>
      <c r="BX27" s="102">
        <v>2477035</v>
      </c>
      <c r="BY27" s="102">
        <v>155593</v>
      </c>
      <c r="BZ27" s="102">
        <v>318946</v>
      </c>
      <c r="CA27" s="102">
        <v>6649800</v>
      </c>
      <c r="CB27" s="102">
        <v>1630950</v>
      </c>
      <c r="CC27" s="102">
        <v>58027</v>
      </c>
      <c r="CD27" s="102">
        <v>2830803</v>
      </c>
      <c r="CE27" s="102">
        <v>2066713</v>
      </c>
      <c r="CF27" s="102">
        <v>4880</v>
      </c>
      <c r="CG27" s="102">
        <v>58427</v>
      </c>
      <c r="CH27" s="102">
        <v>1922754</v>
      </c>
      <c r="CI27" s="102">
        <v>1780605</v>
      </c>
      <c r="CJ27" s="83">
        <f t="shared" si="17"/>
        <v>142149</v>
      </c>
      <c r="CK27" s="102">
        <v>2480681</v>
      </c>
      <c r="CL27" s="102">
        <v>1498773</v>
      </c>
      <c r="CM27" s="102">
        <v>244590</v>
      </c>
      <c r="CN27" s="102">
        <v>298893</v>
      </c>
      <c r="CO27" s="102">
        <v>79628</v>
      </c>
      <c r="CP27" s="102">
        <v>3807056</v>
      </c>
      <c r="CQ27" s="102">
        <v>1822345</v>
      </c>
      <c r="CR27" s="102">
        <v>371151</v>
      </c>
      <c r="CS27" s="102">
        <v>230381</v>
      </c>
      <c r="CT27" s="73">
        <f t="shared" si="7"/>
        <v>1333686</v>
      </c>
      <c r="CU27" s="102">
        <v>854945</v>
      </c>
      <c r="CV27" s="102">
        <v>478741</v>
      </c>
      <c r="CW27" s="73">
        <f t="shared" si="8"/>
        <v>476306</v>
      </c>
      <c r="CX27" s="102">
        <v>382458</v>
      </c>
      <c r="CY27" s="102">
        <v>93848</v>
      </c>
      <c r="CZ27" s="73">
        <f t="shared" si="9"/>
        <v>849526</v>
      </c>
      <c r="DA27" s="102">
        <v>467487</v>
      </c>
      <c r="DB27" s="102">
        <v>382039</v>
      </c>
      <c r="DC27" s="102">
        <v>1780402</v>
      </c>
      <c r="DD27" s="102">
        <v>543132</v>
      </c>
      <c r="DE27" s="102">
        <v>1234270</v>
      </c>
      <c r="DF27" s="102">
        <v>0</v>
      </c>
      <c r="DG27" s="102">
        <v>3000</v>
      </c>
      <c r="DH27" s="102">
        <v>127053</v>
      </c>
      <c r="DI27" s="102">
        <v>58104</v>
      </c>
      <c r="DJ27" s="102">
        <v>3216</v>
      </c>
      <c r="DK27" s="102">
        <v>0</v>
      </c>
      <c r="DL27" s="102">
        <v>54888</v>
      </c>
      <c r="DM27" s="102">
        <v>220000</v>
      </c>
      <c r="DN27" s="102">
        <v>220000</v>
      </c>
      <c r="DO27" s="102">
        <v>0</v>
      </c>
      <c r="DP27" s="102">
        <v>220000</v>
      </c>
      <c r="DQ27" s="102">
        <v>833614</v>
      </c>
      <c r="DR27" s="102">
        <v>0</v>
      </c>
      <c r="DS27" s="102">
        <v>0</v>
      </c>
      <c r="DT27" s="102">
        <v>2711173</v>
      </c>
      <c r="DU27" s="102">
        <v>0</v>
      </c>
      <c r="DV27" s="73">
        <f t="shared" si="10"/>
        <v>0</v>
      </c>
      <c r="DW27" s="102">
        <v>0</v>
      </c>
      <c r="DX27" s="102">
        <v>934720</v>
      </c>
      <c r="DY27" s="102">
        <v>0</v>
      </c>
      <c r="DZ27" s="102">
        <v>919647</v>
      </c>
      <c r="EA27" s="74">
        <v>0</v>
      </c>
      <c r="EB27" s="102">
        <v>852798</v>
      </c>
      <c r="EC27" s="102">
        <v>0</v>
      </c>
      <c r="ED27" s="102">
        <v>24425286</v>
      </c>
      <c r="EE27" s="71"/>
      <c r="EF27" s="102">
        <v>625180</v>
      </c>
      <c r="EG27" s="102">
        <v>24484</v>
      </c>
      <c r="EH27" s="102">
        <v>600696</v>
      </c>
      <c r="EI27" s="102">
        <v>207338</v>
      </c>
      <c r="EJ27" s="102">
        <v>208908</v>
      </c>
      <c r="EK27" s="71"/>
      <c r="EL27" s="102">
        <v>71112</v>
      </c>
      <c r="EM27" s="102">
        <v>69529</v>
      </c>
      <c r="EN27" s="102">
        <v>3038</v>
      </c>
      <c r="EO27" s="102">
        <v>16339</v>
      </c>
      <c r="EP27" s="73">
        <f t="shared" si="11"/>
        <v>423763</v>
      </c>
      <c r="EQ27" s="102">
        <v>15176249</v>
      </c>
      <c r="ER27" s="71">
        <v>-1506294</v>
      </c>
      <c r="ES27" s="102">
        <v>3446381</v>
      </c>
      <c r="ET27" s="102">
        <v>2245584</v>
      </c>
      <c r="EU27" s="102">
        <v>2023409</v>
      </c>
      <c r="EV27" s="102">
        <v>1922754</v>
      </c>
      <c r="EW27" s="73">
        <f t="shared" si="12"/>
        <v>392020</v>
      </c>
      <c r="EX27" s="102">
        <v>374361</v>
      </c>
      <c r="EY27" s="102">
        <v>20357</v>
      </c>
      <c r="EZ27" s="102">
        <v>354004</v>
      </c>
      <c r="FA27" s="102">
        <v>17659</v>
      </c>
      <c r="FB27" s="102">
        <v>0</v>
      </c>
      <c r="FC27" s="102">
        <v>2022230</v>
      </c>
      <c r="FD27" s="102">
        <v>3730042</v>
      </c>
      <c r="FE27" s="102">
        <v>1821556</v>
      </c>
      <c r="FF27" s="102">
        <v>2170809</v>
      </c>
      <c r="FG27" s="73">
        <f t="shared" si="13"/>
        <v>349718</v>
      </c>
      <c r="FH27" s="102">
        <v>16057363</v>
      </c>
      <c r="FI27" s="379">
        <f t="shared" si="14"/>
        <v>4</v>
      </c>
      <c r="FJ27" s="102">
        <v>14088228</v>
      </c>
      <c r="FK27" s="102">
        <v>1074351</v>
      </c>
      <c r="FL27" s="102">
        <v>7389616</v>
      </c>
      <c r="FM27" s="102">
        <v>12024833</v>
      </c>
      <c r="FN27" s="428">
        <v>0.627</v>
      </c>
      <c r="FO27" s="424">
        <v>93.5</v>
      </c>
      <c r="FP27" s="425">
        <v>22.2</v>
      </c>
      <c r="FQ27" s="424">
        <v>13</v>
      </c>
      <c r="FR27" s="424">
        <v>12.4</v>
      </c>
      <c r="FS27" s="425">
        <v>12.1</v>
      </c>
      <c r="FT27" s="424">
        <v>20.8</v>
      </c>
      <c r="FU27" s="426">
        <v>12.5</v>
      </c>
      <c r="FV27" s="384">
        <v>4.9000000000000004</v>
      </c>
      <c r="FW27" s="102">
        <v>19183344</v>
      </c>
      <c r="FX27" s="384">
        <f t="shared" si="15"/>
        <v>126.5</v>
      </c>
      <c r="FY27" s="102">
        <v>3358935</v>
      </c>
      <c r="FZ27" s="102">
        <v>2086037</v>
      </c>
      <c r="GA27" s="102">
        <v>175</v>
      </c>
      <c r="GB27" s="102">
        <v>1272723</v>
      </c>
      <c r="GC27" s="107">
        <v>0</v>
      </c>
      <c r="GD27" s="427">
        <v>407</v>
      </c>
      <c r="GE27" s="386">
        <f>IF(GD27=0,"-",ROUND(GD27/(GV27)*100,1))</f>
        <v>2.7</v>
      </c>
      <c r="GF27" s="424">
        <v>99.4</v>
      </c>
      <c r="GG27" s="424">
        <v>46.3</v>
      </c>
      <c r="GH27" s="424">
        <v>98.2</v>
      </c>
      <c r="GI27" s="102">
        <v>390</v>
      </c>
      <c r="GJ27" s="429" t="s">
        <v>646</v>
      </c>
      <c r="GK27" s="429">
        <v>12.77</v>
      </c>
      <c r="GL27" s="117">
        <v>20</v>
      </c>
      <c r="GM27" s="429" t="s">
        <v>646</v>
      </c>
      <c r="GN27" s="430">
        <v>17.77</v>
      </c>
      <c r="GO27" s="387">
        <v>30</v>
      </c>
      <c r="GP27" s="425">
        <v>4.9000000000000004</v>
      </c>
      <c r="GQ27" s="388">
        <v>25</v>
      </c>
      <c r="GR27" s="388">
        <v>35</v>
      </c>
      <c r="GS27" s="431" t="s">
        <v>646</v>
      </c>
      <c r="GT27" s="388">
        <v>350</v>
      </c>
      <c r="GU27" s="394"/>
      <c r="GV27" s="100">
        <f t="shared" si="16"/>
        <v>15163</v>
      </c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</row>
    <row r="28" spans="2:230" x14ac:dyDescent="0.15">
      <c r="B28" s="89" t="s">
        <v>45</v>
      </c>
      <c r="C28" s="102">
        <v>12635153</v>
      </c>
      <c r="D28" s="73">
        <f t="shared" si="0"/>
        <v>5296508</v>
      </c>
      <c r="E28" s="102">
        <v>176692</v>
      </c>
      <c r="F28" s="102">
        <v>5119816</v>
      </c>
      <c r="G28" s="73">
        <f t="shared" si="1"/>
        <v>630144</v>
      </c>
      <c r="H28" s="102">
        <v>206479</v>
      </c>
      <c r="I28" s="102">
        <v>423665</v>
      </c>
      <c r="J28" s="102">
        <v>4849161</v>
      </c>
      <c r="K28" s="102">
        <v>2061575</v>
      </c>
      <c r="L28" s="102">
        <v>2173987</v>
      </c>
      <c r="M28" s="102">
        <v>568444</v>
      </c>
      <c r="N28" s="102">
        <v>617917</v>
      </c>
      <c r="O28" s="102">
        <v>1018160</v>
      </c>
      <c r="P28" s="102">
        <v>573957</v>
      </c>
      <c r="Q28" s="102">
        <v>444203</v>
      </c>
      <c r="R28" s="102">
        <v>197096</v>
      </c>
      <c r="S28" s="74"/>
      <c r="T28" s="73">
        <f t="shared" si="2"/>
        <v>2146765</v>
      </c>
      <c r="U28" s="102">
        <v>32419</v>
      </c>
      <c r="V28" s="102">
        <v>77119</v>
      </c>
      <c r="W28" s="102">
        <v>65252</v>
      </c>
      <c r="X28" s="102">
        <v>1865279</v>
      </c>
      <c r="Y28" s="102">
        <v>0</v>
      </c>
      <c r="Z28" s="102">
        <v>0</v>
      </c>
      <c r="AA28" s="102">
        <v>106696</v>
      </c>
      <c r="AB28" s="102">
        <v>85913</v>
      </c>
      <c r="AC28" s="102">
        <v>8080616</v>
      </c>
      <c r="AD28" s="102">
        <v>7874570</v>
      </c>
      <c r="AE28" s="102">
        <v>206046</v>
      </c>
      <c r="AF28" s="102">
        <v>14835</v>
      </c>
      <c r="AG28" s="102">
        <v>306455</v>
      </c>
      <c r="AH28" s="73">
        <f t="shared" si="3"/>
        <v>593280</v>
      </c>
      <c r="AI28" s="102">
        <v>537228</v>
      </c>
      <c r="AJ28" s="102">
        <v>56052</v>
      </c>
      <c r="AK28" s="102">
        <v>8489011</v>
      </c>
      <c r="AL28" s="73">
        <f t="shared" si="4"/>
        <v>5733118</v>
      </c>
      <c r="AM28" s="102">
        <v>3951378</v>
      </c>
      <c r="AN28" s="102">
        <v>550313</v>
      </c>
      <c r="AO28" s="74"/>
      <c r="AP28" s="102">
        <v>1231427</v>
      </c>
      <c r="AQ28" s="102">
        <v>562725</v>
      </c>
      <c r="AR28" s="102">
        <v>2226</v>
      </c>
      <c r="AS28" s="102">
        <v>0</v>
      </c>
      <c r="AT28" s="102">
        <v>2902697</v>
      </c>
      <c r="AU28" s="102">
        <v>1680680</v>
      </c>
      <c r="AV28" s="102">
        <v>252997</v>
      </c>
      <c r="AW28" s="102">
        <v>39282</v>
      </c>
      <c r="AX28" s="102">
        <v>1222017</v>
      </c>
      <c r="AY28" s="102">
        <v>6057</v>
      </c>
      <c r="AZ28" s="102">
        <v>53092</v>
      </c>
      <c r="BA28" s="102">
        <v>35312</v>
      </c>
      <c r="BB28" s="102">
        <v>19371</v>
      </c>
      <c r="BC28" s="102">
        <v>126523</v>
      </c>
      <c r="BD28" s="102">
        <v>100000</v>
      </c>
      <c r="BE28" s="102">
        <v>0</v>
      </c>
      <c r="BF28" s="102">
        <v>17628</v>
      </c>
      <c r="BG28" s="102">
        <v>0</v>
      </c>
      <c r="BH28" s="102">
        <v>60687</v>
      </c>
      <c r="BI28" s="102">
        <v>59772</v>
      </c>
      <c r="BJ28" s="102">
        <v>324284</v>
      </c>
      <c r="BK28" s="102">
        <v>1607</v>
      </c>
      <c r="BL28" s="102">
        <v>0</v>
      </c>
      <c r="BM28" s="102">
        <v>0</v>
      </c>
      <c r="BN28" s="102">
        <v>2695100</v>
      </c>
      <c r="BO28" s="73">
        <f t="shared" si="5"/>
        <v>1255300</v>
      </c>
      <c r="BP28" s="73">
        <f t="shared" si="6"/>
        <v>1439800</v>
      </c>
      <c r="BQ28" s="102">
        <v>0</v>
      </c>
      <c r="BR28" s="102">
        <v>0</v>
      </c>
      <c r="BS28" s="102">
        <v>1439800</v>
      </c>
      <c r="BT28" s="102">
        <v>0</v>
      </c>
      <c r="BU28" s="102">
        <v>38730878</v>
      </c>
      <c r="BV28" s="71"/>
      <c r="BW28" s="102">
        <v>5082603</v>
      </c>
      <c r="BX28" s="102">
        <v>3646144</v>
      </c>
      <c r="BY28" s="102">
        <v>295226</v>
      </c>
      <c r="BZ28" s="102">
        <v>81119</v>
      </c>
      <c r="CA28" s="102">
        <v>13512944</v>
      </c>
      <c r="CB28" s="102">
        <v>3053057</v>
      </c>
      <c r="CC28" s="102">
        <v>93414</v>
      </c>
      <c r="CD28" s="102">
        <v>5080275</v>
      </c>
      <c r="CE28" s="102">
        <v>5152418</v>
      </c>
      <c r="CF28" s="102">
        <v>0</v>
      </c>
      <c r="CG28" s="102">
        <v>133720</v>
      </c>
      <c r="CH28" s="102">
        <v>3865155</v>
      </c>
      <c r="CI28" s="102">
        <v>3591750</v>
      </c>
      <c r="CJ28" s="83">
        <f t="shared" si="17"/>
        <v>273405</v>
      </c>
      <c r="CK28" s="102">
        <v>4607348</v>
      </c>
      <c r="CL28" s="102">
        <v>2614960</v>
      </c>
      <c r="CM28" s="102">
        <v>757039</v>
      </c>
      <c r="CN28" s="102">
        <v>618931</v>
      </c>
      <c r="CO28" s="102">
        <v>102634</v>
      </c>
      <c r="CP28" s="102">
        <v>4755668</v>
      </c>
      <c r="CQ28" s="102">
        <v>2129024</v>
      </c>
      <c r="CR28" s="102">
        <v>589385</v>
      </c>
      <c r="CS28" s="102">
        <v>406598</v>
      </c>
      <c r="CT28" s="73">
        <f t="shared" si="7"/>
        <v>1506808</v>
      </c>
      <c r="CU28" s="102">
        <v>174816</v>
      </c>
      <c r="CV28" s="102">
        <v>1331992</v>
      </c>
      <c r="CW28" s="73">
        <f t="shared" si="8"/>
        <v>0</v>
      </c>
      <c r="CX28" s="102">
        <v>0</v>
      </c>
      <c r="CY28" s="102">
        <v>0</v>
      </c>
      <c r="CZ28" s="73">
        <f t="shared" si="9"/>
        <v>1502379</v>
      </c>
      <c r="DA28" s="102">
        <v>172099</v>
      </c>
      <c r="DB28" s="102">
        <v>1330280</v>
      </c>
      <c r="DC28" s="102">
        <v>2281691</v>
      </c>
      <c r="DD28" s="102">
        <v>945149</v>
      </c>
      <c r="DE28" s="102">
        <v>1324300</v>
      </c>
      <c r="DF28" s="102">
        <v>12242</v>
      </c>
      <c r="DG28" s="102">
        <v>0</v>
      </c>
      <c r="DH28" s="102">
        <v>32968</v>
      </c>
      <c r="DI28" s="102">
        <v>80931</v>
      </c>
      <c r="DJ28" s="102">
        <v>61721</v>
      </c>
      <c r="DK28" s="102">
        <v>7</v>
      </c>
      <c r="DL28" s="102">
        <v>19203</v>
      </c>
      <c r="DM28" s="102">
        <v>0</v>
      </c>
      <c r="DN28" s="102">
        <v>0</v>
      </c>
      <c r="DO28" s="102">
        <v>0</v>
      </c>
      <c r="DP28" s="102">
        <v>0</v>
      </c>
      <c r="DQ28" s="102">
        <v>0</v>
      </c>
      <c r="DR28" s="102">
        <v>0</v>
      </c>
      <c r="DS28" s="102">
        <v>0</v>
      </c>
      <c r="DT28" s="102">
        <v>4345084</v>
      </c>
      <c r="DU28" s="102">
        <v>0</v>
      </c>
      <c r="DV28" s="73">
        <f t="shared" si="10"/>
        <v>0</v>
      </c>
      <c r="DW28" s="102">
        <v>0</v>
      </c>
      <c r="DX28" s="102">
        <v>1539406</v>
      </c>
      <c r="DY28" s="102">
        <v>0</v>
      </c>
      <c r="DZ28" s="102">
        <v>1258994</v>
      </c>
      <c r="EA28" s="74">
        <v>0</v>
      </c>
      <c r="EB28" s="102">
        <v>1474467</v>
      </c>
      <c r="EC28" s="102">
        <v>0</v>
      </c>
      <c r="ED28" s="102">
        <v>38667026</v>
      </c>
      <c r="EE28" s="71"/>
      <c r="EF28" s="102">
        <v>63852</v>
      </c>
      <c r="EG28" s="102">
        <v>7313</v>
      </c>
      <c r="EH28" s="102">
        <v>56539</v>
      </c>
      <c r="EI28" s="102">
        <v>-3233</v>
      </c>
      <c r="EJ28" s="102">
        <v>-41512</v>
      </c>
      <c r="EK28" s="71"/>
      <c r="EL28" s="102">
        <v>112683</v>
      </c>
      <c r="EM28" s="102">
        <v>111955</v>
      </c>
      <c r="EN28" s="102">
        <v>108895</v>
      </c>
      <c r="EO28" s="102">
        <v>47515</v>
      </c>
      <c r="EP28" s="73">
        <f t="shared" si="11"/>
        <v>442178</v>
      </c>
      <c r="EQ28" s="102">
        <v>23160378</v>
      </c>
      <c r="ER28" s="71">
        <v>-2023553</v>
      </c>
      <c r="ES28" s="102">
        <v>4661998</v>
      </c>
      <c r="ET28" s="102">
        <v>3271597</v>
      </c>
      <c r="EU28" s="102">
        <v>3949486</v>
      </c>
      <c r="EV28" s="102">
        <v>3863073</v>
      </c>
      <c r="EW28" s="73">
        <f t="shared" si="12"/>
        <v>401834</v>
      </c>
      <c r="EX28" s="102">
        <v>385959</v>
      </c>
      <c r="EY28" s="102">
        <v>71212</v>
      </c>
      <c r="EZ28" s="102">
        <v>304126</v>
      </c>
      <c r="FA28" s="102">
        <v>15875</v>
      </c>
      <c r="FB28" s="102">
        <v>0</v>
      </c>
      <c r="FC28" s="102">
        <v>3988309</v>
      </c>
      <c r="FD28" s="102">
        <v>4595807</v>
      </c>
      <c r="FE28" s="102">
        <v>2128618</v>
      </c>
      <c r="FF28" s="102">
        <v>3488353</v>
      </c>
      <c r="FG28" s="73">
        <f t="shared" si="13"/>
        <v>171219</v>
      </c>
      <c r="FH28" s="102">
        <v>25120079</v>
      </c>
      <c r="FI28" s="379">
        <f t="shared" si="14"/>
        <v>0.2</v>
      </c>
      <c r="FJ28" s="102">
        <v>21494811</v>
      </c>
      <c r="FK28" s="102">
        <v>1439880</v>
      </c>
      <c r="FL28" s="102">
        <v>10707859</v>
      </c>
      <c r="FM28" s="102">
        <v>18899347</v>
      </c>
      <c r="FN28" s="428">
        <v>0.57299999999999995</v>
      </c>
      <c r="FO28" s="424">
        <v>99.6</v>
      </c>
      <c r="FP28" s="425">
        <v>19.8</v>
      </c>
      <c r="FQ28" s="424">
        <v>16.7</v>
      </c>
      <c r="FR28" s="424">
        <v>16.399999999999999</v>
      </c>
      <c r="FS28" s="425">
        <v>15.9</v>
      </c>
      <c r="FT28" s="424">
        <v>16.7</v>
      </c>
      <c r="FU28" s="426">
        <v>13.6</v>
      </c>
      <c r="FV28" s="384">
        <v>7.6</v>
      </c>
      <c r="FW28" s="102">
        <v>37674009</v>
      </c>
      <c r="FX28" s="384">
        <f t="shared" si="15"/>
        <v>164.3</v>
      </c>
      <c r="FY28" s="102">
        <v>5751870</v>
      </c>
      <c r="FZ28" s="102">
        <v>3619838</v>
      </c>
      <c r="GA28" s="102">
        <v>85529</v>
      </c>
      <c r="GB28" s="102">
        <v>2046503</v>
      </c>
      <c r="GC28" s="107">
        <v>0</v>
      </c>
      <c r="GD28" s="427"/>
      <c r="GE28" s="386"/>
      <c r="GF28" s="424">
        <v>99.2</v>
      </c>
      <c r="GG28" s="424">
        <v>42.8</v>
      </c>
      <c r="GH28" s="424">
        <v>97.1</v>
      </c>
      <c r="GI28" s="102">
        <v>589</v>
      </c>
      <c r="GJ28" s="429" t="s">
        <v>646</v>
      </c>
      <c r="GK28" s="429">
        <v>12.23</v>
      </c>
      <c r="GL28" s="117">
        <v>20</v>
      </c>
      <c r="GM28" s="429" t="s">
        <v>646</v>
      </c>
      <c r="GN28" s="430">
        <v>17.23</v>
      </c>
      <c r="GO28" s="387">
        <v>30</v>
      </c>
      <c r="GP28" s="425">
        <v>7.6</v>
      </c>
      <c r="GQ28" s="388">
        <v>25</v>
      </c>
      <c r="GR28" s="388">
        <v>35</v>
      </c>
      <c r="GS28" s="431">
        <v>15.1</v>
      </c>
      <c r="GT28" s="388">
        <v>350</v>
      </c>
      <c r="GU28" s="394"/>
      <c r="GV28" s="100">
        <f t="shared" si="16"/>
        <v>22935</v>
      </c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</row>
    <row r="29" spans="2:230" x14ac:dyDescent="0.15">
      <c r="B29" s="89" t="s">
        <v>47</v>
      </c>
      <c r="C29" s="102">
        <v>18145896</v>
      </c>
      <c r="D29" s="73">
        <f t="shared" si="0"/>
        <v>5532064</v>
      </c>
      <c r="E29" s="102">
        <v>194225</v>
      </c>
      <c r="F29" s="102">
        <v>5337839</v>
      </c>
      <c r="G29" s="73">
        <f t="shared" si="1"/>
        <v>1817822</v>
      </c>
      <c r="H29" s="102">
        <v>461941</v>
      </c>
      <c r="I29" s="102">
        <v>1355881</v>
      </c>
      <c r="J29" s="102">
        <v>7876771</v>
      </c>
      <c r="K29" s="102">
        <v>3612810</v>
      </c>
      <c r="L29" s="102">
        <v>3127085</v>
      </c>
      <c r="M29" s="102">
        <v>1022635</v>
      </c>
      <c r="N29" s="102">
        <v>1119234</v>
      </c>
      <c r="O29" s="102">
        <v>1607314</v>
      </c>
      <c r="P29" s="102">
        <v>917476</v>
      </c>
      <c r="Q29" s="102">
        <v>689838</v>
      </c>
      <c r="R29" s="102">
        <v>176407</v>
      </c>
      <c r="S29" s="74"/>
      <c r="T29" s="73">
        <f t="shared" si="2"/>
        <v>2651175</v>
      </c>
      <c r="U29" s="102">
        <v>32545</v>
      </c>
      <c r="V29" s="102">
        <v>77545</v>
      </c>
      <c r="W29" s="102">
        <v>65905</v>
      </c>
      <c r="X29" s="102">
        <v>2379630</v>
      </c>
      <c r="Y29" s="102">
        <v>0</v>
      </c>
      <c r="Z29" s="102">
        <v>0</v>
      </c>
      <c r="AA29" s="102">
        <v>95550</v>
      </c>
      <c r="AB29" s="102">
        <v>79472</v>
      </c>
      <c r="AC29" s="102">
        <v>6781088</v>
      </c>
      <c r="AD29" s="102">
        <v>6483939</v>
      </c>
      <c r="AE29" s="102">
        <v>297149</v>
      </c>
      <c r="AF29" s="102">
        <v>15069</v>
      </c>
      <c r="AG29" s="102">
        <v>131090</v>
      </c>
      <c r="AH29" s="73">
        <f t="shared" si="3"/>
        <v>702509</v>
      </c>
      <c r="AI29" s="102">
        <v>443213</v>
      </c>
      <c r="AJ29" s="102">
        <v>259296</v>
      </c>
      <c r="AK29" s="102">
        <v>13774691</v>
      </c>
      <c r="AL29" s="73">
        <f t="shared" si="4"/>
        <v>11031661</v>
      </c>
      <c r="AM29" s="102">
        <v>8184960</v>
      </c>
      <c r="AN29" s="102">
        <v>1034548</v>
      </c>
      <c r="AO29" s="74"/>
      <c r="AP29" s="102">
        <v>1812153</v>
      </c>
      <c r="AQ29" s="102">
        <v>73543</v>
      </c>
      <c r="AR29" s="102">
        <v>6414</v>
      </c>
      <c r="AS29" s="102">
        <v>0</v>
      </c>
      <c r="AT29" s="102">
        <v>4507236</v>
      </c>
      <c r="AU29" s="102">
        <v>2960063</v>
      </c>
      <c r="AV29" s="102">
        <v>514796</v>
      </c>
      <c r="AW29" s="102">
        <v>896142</v>
      </c>
      <c r="AX29" s="102">
        <v>1547173</v>
      </c>
      <c r="AY29" s="102">
        <v>203667</v>
      </c>
      <c r="AZ29" s="102">
        <v>279793</v>
      </c>
      <c r="BA29" s="102">
        <v>204542</v>
      </c>
      <c r="BB29" s="102">
        <v>42390</v>
      </c>
      <c r="BC29" s="102">
        <v>447764</v>
      </c>
      <c r="BD29" s="102">
        <v>210000</v>
      </c>
      <c r="BE29" s="102">
        <v>0</v>
      </c>
      <c r="BF29" s="102">
        <v>237764</v>
      </c>
      <c r="BG29" s="102">
        <v>0</v>
      </c>
      <c r="BH29" s="102">
        <v>8569</v>
      </c>
      <c r="BI29" s="102">
        <v>1866</v>
      </c>
      <c r="BJ29" s="102">
        <v>573611</v>
      </c>
      <c r="BK29" s="102">
        <v>5000</v>
      </c>
      <c r="BL29" s="102">
        <v>0</v>
      </c>
      <c r="BM29" s="102">
        <v>0</v>
      </c>
      <c r="BN29" s="102">
        <v>3084304</v>
      </c>
      <c r="BO29" s="73">
        <f t="shared" si="5"/>
        <v>1171600</v>
      </c>
      <c r="BP29" s="73">
        <f t="shared" si="6"/>
        <v>1912704</v>
      </c>
      <c r="BQ29" s="102">
        <v>0</v>
      </c>
      <c r="BR29" s="102">
        <v>0</v>
      </c>
      <c r="BS29" s="102">
        <v>1912704</v>
      </c>
      <c r="BT29" s="102">
        <v>0</v>
      </c>
      <c r="BU29" s="102">
        <v>51401064</v>
      </c>
      <c r="BV29" s="71"/>
      <c r="BW29" s="102">
        <v>6950872</v>
      </c>
      <c r="BX29" s="102">
        <v>4698000</v>
      </c>
      <c r="BY29" s="102">
        <v>396737</v>
      </c>
      <c r="BZ29" s="102">
        <v>412906</v>
      </c>
      <c r="CA29" s="102">
        <v>20633035</v>
      </c>
      <c r="CB29" s="102">
        <v>4029193</v>
      </c>
      <c r="CC29" s="102">
        <v>214685</v>
      </c>
      <c r="CD29" s="102">
        <v>5350648</v>
      </c>
      <c r="CE29" s="102">
        <v>10628989</v>
      </c>
      <c r="CF29" s="102">
        <v>13986</v>
      </c>
      <c r="CG29" s="102">
        <v>392914</v>
      </c>
      <c r="CH29" s="102">
        <v>4144528</v>
      </c>
      <c r="CI29" s="102">
        <v>3740618</v>
      </c>
      <c r="CJ29" s="83">
        <f t="shared" si="17"/>
        <v>403910</v>
      </c>
      <c r="CK29" s="102">
        <v>5638443</v>
      </c>
      <c r="CL29" s="102">
        <v>3960165</v>
      </c>
      <c r="CM29" s="102">
        <v>174276</v>
      </c>
      <c r="CN29" s="102">
        <v>795568</v>
      </c>
      <c r="CO29" s="102">
        <v>229609</v>
      </c>
      <c r="CP29" s="102">
        <v>4777338</v>
      </c>
      <c r="CQ29" s="102">
        <v>1696330</v>
      </c>
      <c r="CR29" s="102">
        <v>659480</v>
      </c>
      <c r="CS29" s="102">
        <v>453650</v>
      </c>
      <c r="CT29" s="73">
        <f t="shared" si="7"/>
        <v>1722987</v>
      </c>
      <c r="CU29" s="102">
        <v>1545970</v>
      </c>
      <c r="CV29" s="102">
        <v>177017</v>
      </c>
      <c r="CW29" s="73">
        <f t="shared" si="8"/>
        <v>0</v>
      </c>
      <c r="CX29" s="102">
        <v>0</v>
      </c>
      <c r="CY29" s="102">
        <v>0</v>
      </c>
      <c r="CZ29" s="73">
        <f t="shared" si="9"/>
        <v>1712349</v>
      </c>
      <c r="DA29" s="102">
        <v>1536726</v>
      </c>
      <c r="DB29" s="102">
        <v>175623</v>
      </c>
      <c r="DC29" s="102">
        <v>3466008</v>
      </c>
      <c r="DD29" s="102">
        <v>2173898</v>
      </c>
      <c r="DE29" s="102">
        <v>1292110</v>
      </c>
      <c r="DF29" s="102">
        <v>0</v>
      </c>
      <c r="DG29" s="102">
        <v>0</v>
      </c>
      <c r="DH29" s="102">
        <v>30793</v>
      </c>
      <c r="DI29" s="102">
        <v>16857</v>
      </c>
      <c r="DJ29" s="102">
        <v>13683</v>
      </c>
      <c r="DK29" s="102">
        <v>221</v>
      </c>
      <c r="DL29" s="102">
        <v>2953</v>
      </c>
      <c r="DM29" s="102">
        <v>148126</v>
      </c>
      <c r="DN29" s="102">
        <v>148126</v>
      </c>
      <c r="DO29" s="102">
        <v>0</v>
      </c>
      <c r="DP29" s="102">
        <v>0</v>
      </c>
      <c r="DQ29" s="102">
        <v>5000</v>
      </c>
      <c r="DR29" s="102">
        <v>0</v>
      </c>
      <c r="DS29" s="102">
        <v>0</v>
      </c>
      <c r="DT29" s="102">
        <v>5326406</v>
      </c>
      <c r="DU29" s="102">
        <v>0</v>
      </c>
      <c r="DV29" s="73">
        <f t="shared" si="10"/>
        <v>0</v>
      </c>
      <c r="DW29" s="102">
        <v>0</v>
      </c>
      <c r="DX29" s="102">
        <v>1638267</v>
      </c>
      <c r="DY29" s="102">
        <v>0</v>
      </c>
      <c r="DZ29" s="102">
        <v>1901127</v>
      </c>
      <c r="EA29" s="74">
        <v>0</v>
      </c>
      <c r="EB29" s="102">
        <v>1787012</v>
      </c>
      <c r="EC29" s="102">
        <v>0</v>
      </c>
      <c r="ED29" s="102">
        <v>51367015</v>
      </c>
      <c r="EE29" s="71"/>
      <c r="EF29" s="102">
        <v>34049</v>
      </c>
      <c r="EG29" s="102">
        <v>32917</v>
      </c>
      <c r="EH29" s="102">
        <v>1132</v>
      </c>
      <c r="EI29" s="102">
        <v>-734</v>
      </c>
      <c r="EJ29" s="102">
        <v>-197051</v>
      </c>
      <c r="EK29" s="71"/>
      <c r="EL29" s="102">
        <v>123576</v>
      </c>
      <c r="EM29" s="102">
        <v>122656</v>
      </c>
      <c r="EN29" s="102">
        <v>210001</v>
      </c>
      <c r="EO29" s="102">
        <v>276052</v>
      </c>
      <c r="EP29" s="73">
        <f t="shared" si="11"/>
        <v>807925</v>
      </c>
      <c r="EQ29" s="102">
        <v>27849107</v>
      </c>
      <c r="ER29" s="71">
        <v>-3191613</v>
      </c>
      <c r="ES29" s="102">
        <v>6571922</v>
      </c>
      <c r="ET29" s="102">
        <v>4484360</v>
      </c>
      <c r="EU29" s="102">
        <v>6031404</v>
      </c>
      <c r="EV29" s="102">
        <v>4129887</v>
      </c>
      <c r="EW29" s="73">
        <f t="shared" si="12"/>
        <v>527909</v>
      </c>
      <c r="EX29" s="102">
        <v>525278</v>
      </c>
      <c r="EY29" s="102">
        <v>32335</v>
      </c>
      <c r="EZ29" s="102">
        <v>492943</v>
      </c>
      <c r="FA29" s="102">
        <v>2631</v>
      </c>
      <c r="FB29" s="102">
        <v>0</v>
      </c>
      <c r="FC29" s="102">
        <v>4685577</v>
      </c>
      <c r="FD29" s="102">
        <v>4552417</v>
      </c>
      <c r="FE29" s="102">
        <v>1695716</v>
      </c>
      <c r="FF29" s="102">
        <v>4179752</v>
      </c>
      <c r="FG29" s="73">
        <f t="shared" si="13"/>
        <v>327803</v>
      </c>
      <c r="FH29" s="102">
        <v>31006671</v>
      </c>
      <c r="FI29" s="379">
        <f t="shared" si="14"/>
        <v>0</v>
      </c>
      <c r="FJ29" s="102">
        <v>25263464</v>
      </c>
      <c r="FK29" s="102">
        <v>1912704</v>
      </c>
      <c r="FL29" s="102">
        <v>14637434</v>
      </c>
      <c r="FM29" s="102">
        <v>21090275</v>
      </c>
      <c r="FN29" s="428">
        <v>0.69399999999999995</v>
      </c>
      <c r="FO29" s="424">
        <v>103.3</v>
      </c>
      <c r="FP29" s="425">
        <v>23.3</v>
      </c>
      <c r="FQ29" s="424">
        <v>21.4</v>
      </c>
      <c r="FR29" s="424">
        <v>14.7</v>
      </c>
      <c r="FS29" s="425">
        <v>15.5</v>
      </c>
      <c r="FT29" s="424">
        <v>15.2</v>
      </c>
      <c r="FU29" s="426">
        <v>12.8</v>
      </c>
      <c r="FV29" s="384">
        <v>5.2</v>
      </c>
      <c r="FW29" s="102">
        <v>50189667</v>
      </c>
      <c r="FX29" s="384">
        <f t="shared" si="15"/>
        <v>184.7</v>
      </c>
      <c r="FY29" s="102">
        <v>5633403</v>
      </c>
      <c r="FZ29" s="102">
        <v>1554458</v>
      </c>
      <c r="GA29" s="102">
        <v>211996</v>
      </c>
      <c r="GB29" s="102">
        <v>3866949</v>
      </c>
      <c r="GC29" s="107">
        <v>0</v>
      </c>
      <c r="GD29" s="427"/>
      <c r="GE29" s="386"/>
      <c r="GF29" s="424">
        <v>99.1</v>
      </c>
      <c r="GG29" s="424">
        <v>32.200000000000003</v>
      </c>
      <c r="GH29" s="424">
        <v>96.6</v>
      </c>
      <c r="GI29" s="102">
        <v>742</v>
      </c>
      <c r="GJ29" s="429" t="s">
        <v>646</v>
      </c>
      <c r="GK29" s="429">
        <v>11.95</v>
      </c>
      <c r="GL29" s="117">
        <v>20</v>
      </c>
      <c r="GM29" s="429" t="s">
        <v>646</v>
      </c>
      <c r="GN29" s="430">
        <v>16.95</v>
      </c>
      <c r="GO29" s="387">
        <v>30</v>
      </c>
      <c r="GP29" s="425">
        <v>5.2</v>
      </c>
      <c r="GQ29" s="388">
        <v>25</v>
      </c>
      <c r="GR29" s="388">
        <v>35</v>
      </c>
      <c r="GS29" s="431">
        <v>44.2</v>
      </c>
      <c r="GT29" s="388">
        <v>350</v>
      </c>
      <c r="GU29" s="394"/>
      <c r="GV29" s="100">
        <f t="shared" si="16"/>
        <v>27176</v>
      </c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</row>
    <row r="30" spans="2:230" x14ac:dyDescent="0.15">
      <c r="B30" s="89" t="s">
        <v>49</v>
      </c>
      <c r="C30" s="102">
        <v>18374744</v>
      </c>
      <c r="D30" s="73">
        <f t="shared" si="0"/>
        <v>4480727</v>
      </c>
      <c r="E30" s="102">
        <v>144481</v>
      </c>
      <c r="F30" s="102">
        <v>4336246</v>
      </c>
      <c r="G30" s="73">
        <f t="shared" si="1"/>
        <v>2607790</v>
      </c>
      <c r="H30" s="102">
        <v>357671</v>
      </c>
      <c r="I30" s="102">
        <v>2250119</v>
      </c>
      <c r="J30" s="102">
        <v>8807301</v>
      </c>
      <c r="K30" s="102">
        <v>4064703</v>
      </c>
      <c r="L30" s="102">
        <v>2734323</v>
      </c>
      <c r="M30" s="102">
        <v>1947917</v>
      </c>
      <c r="N30" s="102">
        <v>728236</v>
      </c>
      <c r="O30" s="102">
        <v>1627124</v>
      </c>
      <c r="P30" s="102">
        <v>1018143</v>
      </c>
      <c r="Q30" s="102">
        <v>608981</v>
      </c>
      <c r="R30" s="102">
        <v>140977</v>
      </c>
      <c r="S30" s="74"/>
      <c r="T30" s="73">
        <f t="shared" si="2"/>
        <v>1880335</v>
      </c>
      <c r="U30" s="102">
        <v>26917</v>
      </c>
      <c r="V30" s="102">
        <v>64146</v>
      </c>
      <c r="W30" s="102">
        <v>54547</v>
      </c>
      <c r="X30" s="102">
        <v>1656562</v>
      </c>
      <c r="Y30" s="102">
        <v>1798</v>
      </c>
      <c r="Z30" s="102">
        <v>0</v>
      </c>
      <c r="AA30" s="102">
        <v>76365</v>
      </c>
      <c r="AB30" s="102">
        <v>83705</v>
      </c>
      <c r="AC30" s="102">
        <v>310511</v>
      </c>
      <c r="AD30" s="102">
        <v>102719</v>
      </c>
      <c r="AE30" s="102">
        <v>207792</v>
      </c>
      <c r="AF30" s="102">
        <v>12965</v>
      </c>
      <c r="AG30" s="102">
        <v>623732</v>
      </c>
      <c r="AH30" s="73">
        <f t="shared" si="3"/>
        <v>658077</v>
      </c>
      <c r="AI30" s="102">
        <v>527887</v>
      </c>
      <c r="AJ30" s="102">
        <v>130190</v>
      </c>
      <c r="AK30" s="102">
        <v>6026429</v>
      </c>
      <c r="AL30" s="73">
        <f t="shared" si="4"/>
        <v>3622334</v>
      </c>
      <c r="AM30" s="102">
        <v>2104558</v>
      </c>
      <c r="AN30" s="102">
        <v>825894</v>
      </c>
      <c r="AO30" s="74"/>
      <c r="AP30" s="102">
        <v>691882</v>
      </c>
      <c r="AQ30" s="102">
        <v>388066</v>
      </c>
      <c r="AR30" s="102">
        <v>139915</v>
      </c>
      <c r="AS30" s="102">
        <v>0</v>
      </c>
      <c r="AT30" s="102">
        <v>2270304</v>
      </c>
      <c r="AU30" s="102">
        <v>1671938</v>
      </c>
      <c r="AV30" s="102">
        <v>401000</v>
      </c>
      <c r="AW30" s="102">
        <v>27279</v>
      </c>
      <c r="AX30" s="102">
        <v>598366</v>
      </c>
      <c r="AY30" s="102">
        <v>775</v>
      </c>
      <c r="AZ30" s="102">
        <v>58186</v>
      </c>
      <c r="BA30" s="102">
        <v>1746</v>
      </c>
      <c r="BB30" s="102">
        <v>14287</v>
      </c>
      <c r="BC30" s="102">
        <v>1604384</v>
      </c>
      <c r="BD30" s="102">
        <v>500000</v>
      </c>
      <c r="BE30" s="102">
        <v>1000000</v>
      </c>
      <c r="BF30" s="102">
        <v>8577</v>
      </c>
      <c r="BG30" s="102">
        <v>0</v>
      </c>
      <c r="BH30" s="102">
        <v>241150</v>
      </c>
      <c r="BI30" s="102">
        <v>214180</v>
      </c>
      <c r="BJ30" s="102">
        <v>847215</v>
      </c>
      <c r="BK30" s="102">
        <v>270855</v>
      </c>
      <c r="BL30" s="102">
        <v>0</v>
      </c>
      <c r="BM30" s="102">
        <v>0</v>
      </c>
      <c r="BN30" s="102">
        <v>752200</v>
      </c>
      <c r="BO30" s="73">
        <f t="shared" si="5"/>
        <v>752200</v>
      </c>
      <c r="BP30" s="73">
        <f t="shared" si="6"/>
        <v>0</v>
      </c>
      <c r="BQ30" s="102">
        <v>0</v>
      </c>
      <c r="BR30" s="102">
        <v>0</v>
      </c>
      <c r="BS30" s="102">
        <v>0</v>
      </c>
      <c r="BT30" s="102">
        <v>0</v>
      </c>
      <c r="BU30" s="102">
        <v>33899201</v>
      </c>
      <c r="BV30" s="71"/>
      <c r="BW30" s="102">
        <v>5104268</v>
      </c>
      <c r="BX30" s="102">
        <v>3474113</v>
      </c>
      <c r="BY30" s="102">
        <v>459621</v>
      </c>
      <c r="BZ30" s="102">
        <v>121407</v>
      </c>
      <c r="CA30" s="102">
        <v>10261599</v>
      </c>
      <c r="CB30" s="102">
        <v>2222201</v>
      </c>
      <c r="CC30" s="102">
        <v>123148</v>
      </c>
      <c r="CD30" s="102">
        <v>5043799</v>
      </c>
      <c r="CE30" s="102">
        <v>2746564</v>
      </c>
      <c r="CF30" s="102">
        <v>7584</v>
      </c>
      <c r="CG30" s="102">
        <v>118303</v>
      </c>
      <c r="CH30" s="102">
        <v>2575303</v>
      </c>
      <c r="CI30" s="102">
        <v>2418311</v>
      </c>
      <c r="CJ30" s="83">
        <f t="shared" si="17"/>
        <v>156992</v>
      </c>
      <c r="CK30" s="102">
        <v>5330926</v>
      </c>
      <c r="CL30" s="102">
        <v>3377881</v>
      </c>
      <c r="CM30" s="102">
        <v>701751</v>
      </c>
      <c r="CN30" s="102">
        <v>848519</v>
      </c>
      <c r="CO30" s="102">
        <v>508561</v>
      </c>
      <c r="CP30" s="102">
        <v>3318522</v>
      </c>
      <c r="CQ30" s="102">
        <v>6707</v>
      </c>
      <c r="CR30" s="102">
        <v>919847</v>
      </c>
      <c r="CS30" s="102">
        <v>500904</v>
      </c>
      <c r="CT30" s="73">
        <f t="shared" si="7"/>
        <v>1872324</v>
      </c>
      <c r="CU30" s="102">
        <v>913985</v>
      </c>
      <c r="CV30" s="102">
        <v>958339</v>
      </c>
      <c r="CW30" s="73">
        <f t="shared" si="8"/>
        <v>0</v>
      </c>
      <c r="CX30" s="102">
        <v>0</v>
      </c>
      <c r="CY30" s="102">
        <v>0</v>
      </c>
      <c r="CZ30" s="73">
        <f t="shared" si="9"/>
        <v>1865269</v>
      </c>
      <c r="DA30" s="102">
        <v>912241</v>
      </c>
      <c r="DB30" s="102">
        <v>953028</v>
      </c>
      <c r="DC30" s="102">
        <v>1803446</v>
      </c>
      <c r="DD30" s="102">
        <v>618824</v>
      </c>
      <c r="DE30" s="102">
        <v>1154622</v>
      </c>
      <c r="DF30" s="102">
        <v>30000</v>
      </c>
      <c r="DG30" s="102">
        <v>0</v>
      </c>
      <c r="DH30" s="102">
        <v>371730</v>
      </c>
      <c r="DI30" s="102">
        <v>127362</v>
      </c>
      <c r="DJ30" s="102">
        <v>107490</v>
      </c>
      <c r="DK30" s="102">
        <v>3041</v>
      </c>
      <c r="DL30" s="102">
        <v>16831</v>
      </c>
      <c r="DM30" s="102">
        <v>0</v>
      </c>
      <c r="DN30" s="102">
        <v>0</v>
      </c>
      <c r="DO30" s="102">
        <v>0</v>
      </c>
      <c r="DP30" s="102">
        <v>0</v>
      </c>
      <c r="DQ30" s="102">
        <v>264055</v>
      </c>
      <c r="DR30" s="102">
        <v>0</v>
      </c>
      <c r="DS30" s="102">
        <v>0</v>
      </c>
      <c r="DT30" s="102">
        <v>3782048</v>
      </c>
      <c r="DU30" s="102">
        <v>0</v>
      </c>
      <c r="DV30" s="73">
        <f t="shared" si="10"/>
        <v>0</v>
      </c>
      <c r="DW30" s="102">
        <v>0</v>
      </c>
      <c r="DX30" s="102">
        <v>964540</v>
      </c>
      <c r="DY30" s="102">
        <v>21643</v>
      </c>
      <c r="DZ30" s="102">
        <v>867797</v>
      </c>
      <c r="EA30" s="74">
        <v>0</v>
      </c>
      <c r="EB30" s="102">
        <v>928054</v>
      </c>
      <c r="EC30" s="102">
        <v>0</v>
      </c>
      <c r="ED30" s="102">
        <v>33447820</v>
      </c>
      <c r="EE30" s="71"/>
      <c r="EF30" s="102">
        <v>451381</v>
      </c>
      <c r="EG30" s="102">
        <v>46198</v>
      </c>
      <c r="EH30" s="102">
        <v>405183</v>
      </c>
      <c r="EI30" s="102">
        <v>191003</v>
      </c>
      <c r="EJ30" s="102">
        <v>-122979</v>
      </c>
      <c r="EK30" s="71"/>
      <c r="EL30" s="102">
        <v>85007</v>
      </c>
      <c r="EM30" s="102">
        <v>85855</v>
      </c>
      <c r="EN30" s="102">
        <v>1595808</v>
      </c>
      <c r="EO30" s="102">
        <v>52142</v>
      </c>
      <c r="EP30" s="73">
        <f t="shared" si="11"/>
        <v>524804</v>
      </c>
      <c r="EQ30" s="102">
        <v>20803237</v>
      </c>
      <c r="ER30" s="71">
        <v>-2159789</v>
      </c>
      <c r="ES30" s="102">
        <v>4731831</v>
      </c>
      <c r="ET30" s="102">
        <v>3114755</v>
      </c>
      <c r="EU30" s="102">
        <v>3104324</v>
      </c>
      <c r="EV30" s="102">
        <v>2511365</v>
      </c>
      <c r="EW30" s="73">
        <f t="shared" si="12"/>
        <v>760915</v>
      </c>
      <c r="EX30" s="102">
        <v>630900</v>
      </c>
      <c r="EY30" s="102">
        <v>26578</v>
      </c>
      <c r="EZ30" s="102">
        <v>601322</v>
      </c>
      <c r="FA30" s="102">
        <v>130015</v>
      </c>
      <c r="FB30" s="102">
        <v>0</v>
      </c>
      <c r="FC30" s="102">
        <v>4407809</v>
      </c>
      <c r="FD30" s="102">
        <v>3184049</v>
      </c>
      <c r="FE30" s="102">
        <v>6707</v>
      </c>
      <c r="FF30" s="102">
        <v>3200142</v>
      </c>
      <c r="FG30" s="73">
        <f t="shared" si="13"/>
        <v>611210</v>
      </c>
      <c r="FH30" s="102">
        <v>22511645</v>
      </c>
      <c r="FI30" s="379">
        <f t="shared" si="14"/>
        <v>2.1</v>
      </c>
      <c r="FJ30" s="102">
        <v>18626656</v>
      </c>
      <c r="FK30" s="102">
        <v>221781</v>
      </c>
      <c r="FL30" s="102">
        <v>14314891</v>
      </c>
      <c r="FM30" s="102">
        <v>14410787</v>
      </c>
      <c r="FN30" s="428">
        <v>1.006</v>
      </c>
      <c r="FO30" s="424">
        <v>100.7</v>
      </c>
      <c r="FP30" s="425">
        <v>24.7</v>
      </c>
      <c r="FQ30" s="424">
        <v>16.2</v>
      </c>
      <c r="FR30" s="424">
        <v>12.7</v>
      </c>
      <c r="FS30" s="425">
        <v>21.7</v>
      </c>
      <c r="FT30" s="424">
        <v>12.3</v>
      </c>
      <c r="FU30" s="426">
        <v>10.6</v>
      </c>
      <c r="FV30" s="384">
        <v>1.9</v>
      </c>
      <c r="FW30" s="102">
        <v>18530553</v>
      </c>
      <c r="FX30" s="384">
        <f t="shared" si="15"/>
        <v>98.3</v>
      </c>
      <c r="FY30" s="102">
        <v>12790731</v>
      </c>
      <c r="FZ30" s="102">
        <v>4666822</v>
      </c>
      <c r="GA30" s="102">
        <v>3058634</v>
      </c>
      <c r="GB30" s="102">
        <v>5065275</v>
      </c>
      <c r="GC30" s="107">
        <v>0</v>
      </c>
      <c r="GD30" s="427">
        <v>0</v>
      </c>
      <c r="GE30" s="384">
        <f>ROUND(GD30/(FJ30+FK30)*100,1)</f>
        <v>0</v>
      </c>
      <c r="GF30" s="424">
        <v>99.2</v>
      </c>
      <c r="GG30" s="424">
        <v>39.799999999999997</v>
      </c>
      <c r="GH30" s="424">
        <v>97.8</v>
      </c>
      <c r="GI30" s="102">
        <v>538</v>
      </c>
      <c r="GJ30" s="429" t="s">
        <v>646</v>
      </c>
      <c r="GK30" s="429">
        <v>12.55</v>
      </c>
      <c r="GL30" s="117">
        <v>20</v>
      </c>
      <c r="GM30" s="429" t="s">
        <v>646</v>
      </c>
      <c r="GN30" s="430">
        <v>17.55</v>
      </c>
      <c r="GO30" s="387">
        <v>30</v>
      </c>
      <c r="GP30" s="425">
        <v>1.9</v>
      </c>
      <c r="GQ30" s="388">
        <v>25</v>
      </c>
      <c r="GR30" s="388">
        <v>35</v>
      </c>
      <c r="GS30" s="431" t="s">
        <v>646</v>
      </c>
      <c r="GT30" s="388">
        <v>350</v>
      </c>
      <c r="GU30" s="394"/>
      <c r="GV30" s="100">
        <f t="shared" si="16"/>
        <v>18848</v>
      </c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</row>
    <row r="31" spans="2:230" x14ac:dyDescent="0.15">
      <c r="B31" s="89" t="s">
        <v>51</v>
      </c>
      <c r="C31" s="102">
        <v>10270339</v>
      </c>
      <c r="D31" s="73">
        <f t="shared" si="0"/>
        <v>3183437</v>
      </c>
      <c r="E31" s="102">
        <v>92383</v>
      </c>
      <c r="F31" s="102">
        <v>3091054</v>
      </c>
      <c r="G31" s="73">
        <f t="shared" si="1"/>
        <v>684526</v>
      </c>
      <c r="H31" s="102">
        <v>164690</v>
      </c>
      <c r="I31" s="102">
        <v>519836</v>
      </c>
      <c r="J31" s="102">
        <v>5107352</v>
      </c>
      <c r="K31" s="102">
        <v>2271893</v>
      </c>
      <c r="L31" s="102">
        <v>1381315</v>
      </c>
      <c r="M31" s="102">
        <v>1398660</v>
      </c>
      <c r="N31" s="102">
        <v>322628</v>
      </c>
      <c r="O31" s="102">
        <v>898832</v>
      </c>
      <c r="P31" s="102">
        <v>588286</v>
      </c>
      <c r="Q31" s="102">
        <v>310546</v>
      </c>
      <c r="R31" s="102">
        <v>153089</v>
      </c>
      <c r="S31" s="74"/>
      <c r="T31" s="73">
        <f t="shared" si="2"/>
        <v>1104326</v>
      </c>
      <c r="U31" s="102">
        <v>19453</v>
      </c>
      <c r="V31" s="102">
        <v>46305</v>
      </c>
      <c r="W31" s="102">
        <v>39247</v>
      </c>
      <c r="X31" s="102">
        <v>950712</v>
      </c>
      <c r="Y31" s="102">
        <v>0</v>
      </c>
      <c r="Z31" s="102">
        <v>0</v>
      </c>
      <c r="AA31" s="102">
        <v>48609</v>
      </c>
      <c r="AB31" s="102">
        <v>49627</v>
      </c>
      <c r="AC31" s="102">
        <v>1688855</v>
      </c>
      <c r="AD31" s="102">
        <v>1578952</v>
      </c>
      <c r="AE31" s="102">
        <v>109903</v>
      </c>
      <c r="AF31" s="102">
        <v>7336</v>
      </c>
      <c r="AG31" s="102">
        <v>1668</v>
      </c>
      <c r="AH31" s="73">
        <f t="shared" si="3"/>
        <v>290535</v>
      </c>
      <c r="AI31" s="102">
        <v>231996</v>
      </c>
      <c r="AJ31" s="102">
        <v>58539</v>
      </c>
      <c r="AK31" s="102">
        <v>4174562</v>
      </c>
      <c r="AL31" s="73">
        <f t="shared" si="4"/>
        <v>2371647</v>
      </c>
      <c r="AM31" s="102">
        <v>1347817</v>
      </c>
      <c r="AN31" s="102">
        <v>554861</v>
      </c>
      <c r="AO31" s="74"/>
      <c r="AP31" s="102">
        <v>468969</v>
      </c>
      <c r="AQ31" s="102">
        <v>31861</v>
      </c>
      <c r="AR31" s="102">
        <v>10885</v>
      </c>
      <c r="AS31" s="102">
        <v>0</v>
      </c>
      <c r="AT31" s="102">
        <v>1754709</v>
      </c>
      <c r="AU31" s="102">
        <v>1209633</v>
      </c>
      <c r="AV31" s="102">
        <v>258255</v>
      </c>
      <c r="AW31" s="102">
        <v>1784</v>
      </c>
      <c r="AX31" s="102">
        <v>545076</v>
      </c>
      <c r="AY31" s="102">
        <v>10550</v>
      </c>
      <c r="AZ31" s="102">
        <v>107090</v>
      </c>
      <c r="BA31" s="102">
        <v>20902</v>
      </c>
      <c r="BB31" s="102">
        <v>29661</v>
      </c>
      <c r="BC31" s="102">
        <v>270857</v>
      </c>
      <c r="BD31" s="102">
        <v>17986</v>
      </c>
      <c r="BE31" s="102">
        <v>0</v>
      </c>
      <c r="BF31" s="102">
        <v>237321</v>
      </c>
      <c r="BG31" s="102">
        <v>0</v>
      </c>
      <c r="BH31" s="102">
        <v>329645</v>
      </c>
      <c r="BI31" s="102">
        <v>205660</v>
      </c>
      <c r="BJ31" s="102">
        <v>488908</v>
      </c>
      <c r="BK31" s="102">
        <v>19754</v>
      </c>
      <c r="BL31" s="102">
        <v>0</v>
      </c>
      <c r="BM31" s="102">
        <v>0</v>
      </c>
      <c r="BN31" s="102">
        <v>2939800</v>
      </c>
      <c r="BO31" s="73">
        <f t="shared" si="5"/>
        <v>1771800</v>
      </c>
      <c r="BP31" s="73">
        <f t="shared" si="6"/>
        <v>1168000</v>
      </c>
      <c r="BQ31" s="102">
        <v>0</v>
      </c>
      <c r="BR31" s="102">
        <v>0</v>
      </c>
      <c r="BS31" s="102">
        <v>1168000</v>
      </c>
      <c r="BT31" s="102">
        <v>0</v>
      </c>
      <c r="BU31" s="102">
        <v>23661007</v>
      </c>
      <c r="BV31" s="71"/>
      <c r="BW31" s="102">
        <v>3131406</v>
      </c>
      <c r="BX31" s="102">
        <v>1947469</v>
      </c>
      <c r="BY31" s="102">
        <v>254162</v>
      </c>
      <c r="BZ31" s="102">
        <v>208432</v>
      </c>
      <c r="CA31" s="102">
        <v>6215544</v>
      </c>
      <c r="CB31" s="102">
        <v>1521073</v>
      </c>
      <c r="CC31" s="102">
        <v>49636</v>
      </c>
      <c r="CD31" s="102">
        <v>2836690</v>
      </c>
      <c r="CE31" s="102">
        <v>1732658</v>
      </c>
      <c r="CF31" s="102">
        <v>45</v>
      </c>
      <c r="CG31" s="102">
        <v>75292</v>
      </c>
      <c r="CH31" s="102">
        <v>3135347</v>
      </c>
      <c r="CI31" s="102">
        <v>2769419</v>
      </c>
      <c r="CJ31" s="83">
        <f t="shared" si="17"/>
        <v>365928</v>
      </c>
      <c r="CK31" s="102">
        <v>2525167</v>
      </c>
      <c r="CL31" s="102">
        <v>1719697</v>
      </c>
      <c r="CM31" s="102">
        <v>210408</v>
      </c>
      <c r="CN31" s="102">
        <v>315589</v>
      </c>
      <c r="CO31" s="102">
        <v>65796</v>
      </c>
      <c r="CP31" s="102">
        <v>1920082</v>
      </c>
      <c r="CQ31" s="102">
        <v>289887</v>
      </c>
      <c r="CR31" s="102">
        <v>55747</v>
      </c>
      <c r="CS31" s="102">
        <v>25604</v>
      </c>
      <c r="CT31" s="73">
        <f t="shared" si="7"/>
        <v>9437</v>
      </c>
      <c r="CU31" s="102">
        <v>9437</v>
      </c>
      <c r="CV31" s="102">
        <v>0</v>
      </c>
      <c r="CW31" s="73">
        <f t="shared" si="8"/>
        <v>0</v>
      </c>
      <c r="CX31" s="102">
        <v>0</v>
      </c>
      <c r="CY31" s="102">
        <v>0</v>
      </c>
      <c r="CZ31" s="73">
        <f t="shared" si="9"/>
        <v>0</v>
      </c>
      <c r="DA31" s="102">
        <v>0</v>
      </c>
      <c r="DB31" s="102">
        <v>0</v>
      </c>
      <c r="DC31" s="102">
        <v>2906932</v>
      </c>
      <c r="DD31" s="102">
        <v>1480643</v>
      </c>
      <c r="DE31" s="102">
        <v>752027</v>
      </c>
      <c r="DF31" s="102">
        <v>571500</v>
      </c>
      <c r="DG31" s="102">
        <v>54297</v>
      </c>
      <c r="DH31" s="102">
        <v>115108</v>
      </c>
      <c r="DI31" s="102">
        <v>225538</v>
      </c>
      <c r="DJ31" s="102">
        <v>138989</v>
      </c>
      <c r="DK31" s="102">
        <v>0</v>
      </c>
      <c r="DL31" s="102">
        <v>86549</v>
      </c>
      <c r="DM31" s="102">
        <v>0</v>
      </c>
      <c r="DN31" s="102">
        <v>0</v>
      </c>
      <c r="DO31" s="102">
        <v>0</v>
      </c>
      <c r="DP31" s="102">
        <v>0</v>
      </c>
      <c r="DQ31" s="102">
        <v>8630</v>
      </c>
      <c r="DR31" s="102">
        <v>0</v>
      </c>
      <c r="DS31" s="102">
        <v>0</v>
      </c>
      <c r="DT31" s="102">
        <v>3129645</v>
      </c>
      <c r="DU31" s="102">
        <v>1003000</v>
      </c>
      <c r="DV31" s="73">
        <f t="shared" si="10"/>
        <v>0</v>
      </c>
      <c r="DW31" s="102">
        <v>0</v>
      </c>
      <c r="DX31" s="102">
        <v>827731</v>
      </c>
      <c r="DY31" s="102">
        <v>0</v>
      </c>
      <c r="DZ31" s="102">
        <v>625131</v>
      </c>
      <c r="EA31" s="74">
        <v>0</v>
      </c>
      <c r="EB31" s="102">
        <v>672078</v>
      </c>
      <c r="EC31" s="102">
        <v>0</v>
      </c>
      <c r="ED31" s="102">
        <v>23379195</v>
      </c>
      <c r="EE31" s="71"/>
      <c r="EF31" s="102">
        <v>281812</v>
      </c>
      <c r="EG31" s="102">
        <v>146604</v>
      </c>
      <c r="EH31" s="102">
        <v>135208</v>
      </c>
      <c r="EI31" s="102">
        <v>-70452</v>
      </c>
      <c r="EJ31" s="102">
        <v>50551</v>
      </c>
      <c r="EK31" s="71"/>
      <c r="EL31" s="102">
        <v>56529</v>
      </c>
      <c r="EM31" s="102">
        <v>57875</v>
      </c>
      <c r="EN31" s="102">
        <v>170789</v>
      </c>
      <c r="EO31" s="102">
        <v>95049</v>
      </c>
      <c r="EP31" s="73">
        <f t="shared" si="11"/>
        <v>468131</v>
      </c>
      <c r="EQ31" s="102">
        <v>13273572</v>
      </c>
      <c r="ER31" s="71">
        <v>-1894633</v>
      </c>
      <c r="ES31" s="102">
        <v>2906556</v>
      </c>
      <c r="ET31" s="102">
        <v>1769888</v>
      </c>
      <c r="EU31" s="102">
        <v>1758093</v>
      </c>
      <c r="EV31" s="102">
        <v>3113333</v>
      </c>
      <c r="EW31" s="73">
        <f t="shared" si="12"/>
        <v>491810</v>
      </c>
      <c r="EX31" s="102">
        <v>435538</v>
      </c>
      <c r="EY31" s="102">
        <v>110177</v>
      </c>
      <c r="EZ31" s="102">
        <v>235791</v>
      </c>
      <c r="FA31" s="102">
        <v>56272</v>
      </c>
      <c r="FB31" s="102">
        <v>0</v>
      </c>
      <c r="FC31" s="102">
        <v>1972751</v>
      </c>
      <c r="FD31" s="102">
        <v>1769765</v>
      </c>
      <c r="FE31" s="102">
        <v>272916</v>
      </c>
      <c r="FF31" s="102">
        <v>2680871</v>
      </c>
      <c r="FG31" s="73">
        <f t="shared" si="13"/>
        <v>193214</v>
      </c>
      <c r="FH31" s="102">
        <v>14886393</v>
      </c>
      <c r="FI31" s="379">
        <f t="shared" si="14"/>
        <v>1</v>
      </c>
      <c r="FJ31" s="102">
        <v>12081180</v>
      </c>
      <c r="FK31" s="102">
        <v>1168114</v>
      </c>
      <c r="FL31" s="102">
        <v>8126490</v>
      </c>
      <c r="FM31" s="102">
        <v>9705442</v>
      </c>
      <c r="FN31" s="428">
        <v>0.85099999999999998</v>
      </c>
      <c r="FO31" s="424">
        <v>96.2</v>
      </c>
      <c r="FP31" s="425">
        <v>20.9</v>
      </c>
      <c r="FQ31" s="424">
        <v>12.7</v>
      </c>
      <c r="FR31" s="424">
        <v>22.9</v>
      </c>
      <c r="FS31" s="425">
        <v>12</v>
      </c>
      <c r="FT31" s="424">
        <v>8.9</v>
      </c>
      <c r="FU31" s="426">
        <v>18.600000000000001</v>
      </c>
      <c r="FV31" s="384">
        <v>14.6</v>
      </c>
      <c r="FW31" s="102">
        <v>36827226</v>
      </c>
      <c r="FX31" s="384">
        <f t="shared" si="15"/>
        <v>278</v>
      </c>
      <c r="FY31" s="102">
        <v>5344353</v>
      </c>
      <c r="FZ31" s="102">
        <v>2952256</v>
      </c>
      <c r="GA31" s="102">
        <v>0</v>
      </c>
      <c r="GB31" s="102">
        <v>2392097</v>
      </c>
      <c r="GC31" s="107">
        <v>0</v>
      </c>
      <c r="GD31" s="427">
        <v>1946</v>
      </c>
      <c r="GE31" s="386">
        <f>IF(GD31=0,"-",ROUND(GD31/(GV31)*100,1))</f>
        <v>14.7</v>
      </c>
      <c r="GF31" s="424">
        <v>99.3</v>
      </c>
      <c r="GG31" s="424">
        <v>32.1</v>
      </c>
      <c r="GH31" s="424">
        <v>97</v>
      </c>
      <c r="GI31" s="102">
        <v>313</v>
      </c>
      <c r="GJ31" s="429" t="s">
        <v>646</v>
      </c>
      <c r="GK31" s="429">
        <v>12.92</v>
      </c>
      <c r="GL31" s="117">
        <v>20</v>
      </c>
      <c r="GM31" s="429" t="s">
        <v>646</v>
      </c>
      <c r="GN31" s="430">
        <v>17.920000000000002</v>
      </c>
      <c r="GO31" s="387">
        <v>30</v>
      </c>
      <c r="GP31" s="425">
        <v>14.6</v>
      </c>
      <c r="GQ31" s="388">
        <v>25</v>
      </c>
      <c r="GR31" s="388">
        <v>35</v>
      </c>
      <c r="GS31" s="431">
        <v>136.9</v>
      </c>
      <c r="GT31" s="388">
        <v>350</v>
      </c>
      <c r="GU31" s="394"/>
      <c r="GV31" s="100">
        <f t="shared" si="16"/>
        <v>13249</v>
      </c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</row>
    <row r="32" spans="2:230" x14ac:dyDescent="0.15">
      <c r="B32" s="89" t="s">
        <v>53</v>
      </c>
      <c r="C32" s="102">
        <v>8391573</v>
      </c>
      <c r="D32" s="73">
        <f t="shared" si="0"/>
        <v>3516036</v>
      </c>
      <c r="E32" s="102">
        <v>102974</v>
      </c>
      <c r="F32" s="102">
        <v>3413062</v>
      </c>
      <c r="G32" s="73">
        <f t="shared" si="1"/>
        <v>486649</v>
      </c>
      <c r="H32" s="102">
        <v>145420</v>
      </c>
      <c r="I32" s="102">
        <v>341229</v>
      </c>
      <c r="J32" s="102">
        <v>3191390</v>
      </c>
      <c r="K32" s="102">
        <v>1279969</v>
      </c>
      <c r="L32" s="102">
        <v>1511657</v>
      </c>
      <c r="M32" s="102">
        <v>367666</v>
      </c>
      <c r="N32" s="102">
        <v>380788</v>
      </c>
      <c r="O32" s="102">
        <v>721044</v>
      </c>
      <c r="P32" s="102">
        <v>388510</v>
      </c>
      <c r="Q32" s="102">
        <v>332534</v>
      </c>
      <c r="R32" s="102">
        <v>104469</v>
      </c>
      <c r="S32" s="74"/>
      <c r="T32" s="73">
        <f t="shared" si="2"/>
        <v>1260804</v>
      </c>
      <c r="U32" s="102">
        <v>20639</v>
      </c>
      <c r="V32" s="102">
        <v>49145</v>
      </c>
      <c r="W32" s="102">
        <v>41697</v>
      </c>
      <c r="X32" s="102">
        <v>1092823</v>
      </c>
      <c r="Y32" s="102">
        <v>0</v>
      </c>
      <c r="Z32" s="102">
        <v>0</v>
      </c>
      <c r="AA32" s="102">
        <v>56500</v>
      </c>
      <c r="AB32" s="102">
        <v>55819</v>
      </c>
      <c r="AC32" s="102">
        <v>4351936</v>
      </c>
      <c r="AD32" s="102">
        <v>4180363</v>
      </c>
      <c r="AE32" s="102">
        <v>171573</v>
      </c>
      <c r="AF32" s="102">
        <v>8470</v>
      </c>
      <c r="AG32" s="102">
        <v>115907</v>
      </c>
      <c r="AH32" s="73">
        <f t="shared" si="3"/>
        <v>447893</v>
      </c>
      <c r="AI32" s="102">
        <v>403978</v>
      </c>
      <c r="AJ32" s="102">
        <v>43915</v>
      </c>
      <c r="AK32" s="102">
        <v>4272029</v>
      </c>
      <c r="AL32" s="73">
        <f t="shared" si="4"/>
        <v>2885706</v>
      </c>
      <c r="AM32" s="102">
        <v>1893741</v>
      </c>
      <c r="AN32" s="102">
        <v>272550</v>
      </c>
      <c r="AO32" s="74"/>
      <c r="AP32" s="102">
        <v>719415</v>
      </c>
      <c r="AQ32" s="102">
        <v>12115</v>
      </c>
      <c r="AR32" s="102">
        <v>8668</v>
      </c>
      <c r="AS32" s="102">
        <v>0</v>
      </c>
      <c r="AT32" s="102">
        <v>1562993</v>
      </c>
      <c r="AU32" s="102">
        <v>1144029</v>
      </c>
      <c r="AV32" s="102">
        <v>197375</v>
      </c>
      <c r="AW32" s="102">
        <v>16021</v>
      </c>
      <c r="AX32" s="102">
        <v>418964</v>
      </c>
      <c r="AY32" s="102">
        <v>0</v>
      </c>
      <c r="AZ32" s="102">
        <v>27853</v>
      </c>
      <c r="BA32" s="102">
        <v>14586</v>
      </c>
      <c r="BB32" s="102">
        <v>14829</v>
      </c>
      <c r="BC32" s="102">
        <v>9325</v>
      </c>
      <c r="BD32" s="102">
        <v>0</v>
      </c>
      <c r="BE32" s="102">
        <v>0</v>
      </c>
      <c r="BF32" s="102">
        <v>9324</v>
      </c>
      <c r="BG32" s="102">
        <v>0</v>
      </c>
      <c r="BH32" s="102">
        <v>194654</v>
      </c>
      <c r="BI32" s="102">
        <v>5635</v>
      </c>
      <c r="BJ32" s="102">
        <v>324204</v>
      </c>
      <c r="BK32" s="102">
        <v>0</v>
      </c>
      <c r="BL32" s="102">
        <v>0</v>
      </c>
      <c r="BM32" s="102">
        <v>0</v>
      </c>
      <c r="BN32" s="102">
        <v>1531600</v>
      </c>
      <c r="BO32" s="73">
        <f t="shared" si="5"/>
        <v>603300</v>
      </c>
      <c r="BP32" s="73">
        <f t="shared" si="6"/>
        <v>928300</v>
      </c>
      <c r="BQ32" s="102">
        <v>0</v>
      </c>
      <c r="BR32" s="102">
        <v>0</v>
      </c>
      <c r="BS32" s="102">
        <v>928300</v>
      </c>
      <c r="BT32" s="102">
        <v>0</v>
      </c>
      <c r="BU32" s="102">
        <v>22674358</v>
      </c>
      <c r="BV32" s="71"/>
      <c r="BW32" s="102">
        <v>4157293</v>
      </c>
      <c r="BX32" s="102">
        <v>2701174</v>
      </c>
      <c r="BY32" s="102">
        <v>313765</v>
      </c>
      <c r="BZ32" s="102">
        <v>319466</v>
      </c>
      <c r="CA32" s="102">
        <v>6688690</v>
      </c>
      <c r="CB32" s="102">
        <v>1644677</v>
      </c>
      <c r="CC32" s="102">
        <v>52193</v>
      </c>
      <c r="CD32" s="102">
        <v>2644432</v>
      </c>
      <c r="CE32" s="102">
        <v>2269140</v>
      </c>
      <c r="CF32" s="102">
        <v>5445</v>
      </c>
      <c r="CG32" s="102">
        <v>72558</v>
      </c>
      <c r="CH32" s="102">
        <v>1327486</v>
      </c>
      <c r="CI32" s="102">
        <v>1197923</v>
      </c>
      <c r="CJ32" s="83">
        <f t="shared" si="17"/>
        <v>129563</v>
      </c>
      <c r="CK32" s="102">
        <v>2526563</v>
      </c>
      <c r="CL32" s="102">
        <v>1422164</v>
      </c>
      <c r="CM32" s="102">
        <v>329892</v>
      </c>
      <c r="CN32" s="102">
        <v>258889</v>
      </c>
      <c r="CO32" s="102">
        <v>148263</v>
      </c>
      <c r="CP32" s="102">
        <v>2745757</v>
      </c>
      <c r="CQ32" s="102">
        <v>1743002</v>
      </c>
      <c r="CR32" s="102">
        <v>310002</v>
      </c>
      <c r="CS32" s="102">
        <v>259490</v>
      </c>
      <c r="CT32" s="73">
        <f t="shared" si="7"/>
        <v>157198</v>
      </c>
      <c r="CU32" s="102">
        <v>62623</v>
      </c>
      <c r="CV32" s="102">
        <v>94575</v>
      </c>
      <c r="CW32" s="73">
        <f t="shared" si="8"/>
        <v>150942</v>
      </c>
      <c r="CX32" s="102">
        <v>57583</v>
      </c>
      <c r="CY32" s="102">
        <v>93359</v>
      </c>
      <c r="CZ32" s="73">
        <f t="shared" si="9"/>
        <v>0</v>
      </c>
      <c r="DA32" s="102">
        <v>0</v>
      </c>
      <c r="DB32" s="102">
        <v>0</v>
      </c>
      <c r="DC32" s="102">
        <v>788256</v>
      </c>
      <c r="DD32" s="102">
        <v>117747</v>
      </c>
      <c r="DE32" s="102">
        <v>670509</v>
      </c>
      <c r="DF32" s="102">
        <v>0</v>
      </c>
      <c r="DG32" s="102">
        <v>0</v>
      </c>
      <c r="DH32" s="102">
        <v>36722</v>
      </c>
      <c r="DI32" s="102">
        <v>198384</v>
      </c>
      <c r="DJ32" s="102">
        <v>4374</v>
      </c>
      <c r="DK32" s="102">
        <v>170001</v>
      </c>
      <c r="DL32" s="102">
        <v>24009</v>
      </c>
      <c r="DM32" s="102">
        <v>3200</v>
      </c>
      <c r="DN32" s="102">
        <v>3200</v>
      </c>
      <c r="DO32" s="102">
        <v>3200</v>
      </c>
      <c r="DP32" s="102">
        <v>0</v>
      </c>
      <c r="DQ32" s="102">
        <v>0</v>
      </c>
      <c r="DR32" s="102">
        <v>0</v>
      </c>
      <c r="DS32" s="102">
        <v>0</v>
      </c>
      <c r="DT32" s="102">
        <v>3708249</v>
      </c>
      <c r="DU32" s="102">
        <v>1227104</v>
      </c>
      <c r="DV32" s="73">
        <f t="shared" si="10"/>
        <v>0</v>
      </c>
      <c r="DW32" s="102">
        <v>0</v>
      </c>
      <c r="DX32" s="102">
        <v>841107</v>
      </c>
      <c r="DY32" s="102">
        <v>0</v>
      </c>
      <c r="DZ32" s="102">
        <v>799126</v>
      </c>
      <c r="EA32" s="74">
        <v>0</v>
      </c>
      <c r="EB32" s="102">
        <v>840911</v>
      </c>
      <c r="EC32" s="102">
        <v>0</v>
      </c>
      <c r="ED32" s="102">
        <v>22328863</v>
      </c>
      <c r="EE32" s="71"/>
      <c r="EF32" s="102">
        <v>345495</v>
      </c>
      <c r="EG32" s="102">
        <v>40069</v>
      </c>
      <c r="EH32" s="102">
        <v>305426</v>
      </c>
      <c r="EI32" s="102">
        <v>289791</v>
      </c>
      <c r="EJ32" s="102">
        <v>294235</v>
      </c>
      <c r="EK32" s="71"/>
      <c r="EL32" s="102">
        <v>65438</v>
      </c>
      <c r="EM32" s="102">
        <v>64916</v>
      </c>
      <c r="EN32" s="102">
        <v>0</v>
      </c>
      <c r="EO32" s="102">
        <v>27852</v>
      </c>
      <c r="EP32" s="73">
        <f t="shared" si="11"/>
        <v>759149</v>
      </c>
      <c r="EQ32" s="102">
        <v>14173071</v>
      </c>
      <c r="ER32" s="71">
        <v>-1706831</v>
      </c>
      <c r="ES32" s="102">
        <v>3800763</v>
      </c>
      <c r="ET32" s="102">
        <v>2415949</v>
      </c>
      <c r="EU32" s="102">
        <v>2070419</v>
      </c>
      <c r="EV32" s="102">
        <v>1298835</v>
      </c>
      <c r="EW32" s="73">
        <f t="shared" si="12"/>
        <v>107342</v>
      </c>
      <c r="EX32" s="102">
        <v>103393</v>
      </c>
      <c r="EY32" s="102">
        <v>5625</v>
      </c>
      <c r="EZ32" s="102">
        <v>97768</v>
      </c>
      <c r="FA32" s="102">
        <v>3949</v>
      </c>
      <c r="FB32" s="102">
        <v>0</v>
      </c>
      <c r="FC32" s="102">
        <v>2098383</v>
      </c>
      <c r="FD32" s="102">
        <v>2628358</v>
      </c>
      <c r="FE32" s="102">
        <v>1742793</v>
      </c>
      <c r="FF32" s="102">
        <v>3210719</v>
      </c>
      <c r="FG32" s="73">
        <f t="shared" si="13"/>
        <v>319588</v>
      </c>
      <c r="FH32" s="102">
        <v>15534407</v>
      </c>
      <c r="FI32" s="379">
        <f t="shared" si="14"/>
        <v>2.2000000000000002</v>
      </c>
      <c r="FJ32" s="102">
        <v>12908222</v>
      </c>
      <c r="FK32" s="102">
        <v>928370</v>
      </c>
      <c r="FL32" s="102">
        <v>6796625</v>
      </c>
      <c r="FM32" s="102">
        <v>10976988</v>
      </c>
      <c r="FN32" s="428">
        <v>0.61899999999999999</v>
      </c>
      <c r="FO32" s="424">
        <v>100.2</v>
      </c>
      <c r="FP32" s="425">
        <v>26.6</v>
      </c>
      <c r="FQ32" s="424">
        <v>14.2</v>
      </c>
      <c r="FR32" s="424">
        <v>9.1</v>
      </c>
      <c r="FS32" s="425">
        <v>13.1</v>
      </c>
      <c r="FT32" s="424">
        <v>15.5</v>
      </c>
      <c r="FU32" s="426">
        <v>20.9</v>
      </c>
      <c r="FV32" s="384">
        <v>1.5</v>
      </c>
      <c r="FW32" s="102">
        <v>18686412</v>
      </c>
      <c r="FX32" s="384">
        <f t="shared" si="15"/>
        <v>135.1</v>
      </c>
      <c r="FY32" s="102">
        <v>2067442</v>
      </c>
      <c r="FZ32" s="102">
        <v>1542549</v>
      </c>
      <c r="GA32" s="102">
        <v>171850</v>
      </c>
      <c r="GB32" s="102">
        <v>353043</v>
      </c>
      <c r="GC32" s="107">
        <v>0</v>
      </c>
      <c r="GD32" s="427"/>
      <c r="GE32" s="386"/>
      <c r="GF32" s="424">
        <v>99</v>
      </c>
      <c r="GG32" s="424">
        <v>48.5</v>
      </c>
      <c r="GH32" s="424">
        <v>97.2</v>
      </c>
      <c r="GI32" s="102">
        <v>459</v>
      </c>
      <c r="GJ32" s="429" t="s">
        <v>646</v>
      </c>
      <c r="GK32" s="429">
        <v>12.87</v>
      </c>
      <c r="GL32" s="117">
        <v>20</v>
      </c>
      <c r="GM32" s="429" t="s">
        <v>646</v>
      </c>
      <c r="GN32" s="430">
        <v>17.87</v>
      </c>
      <c r="GO32" s="387">
        <v>30</v>
      </c>
      <c r="GP32" s="425">
        <v>1.5</v>
      </c>
      <c r="GQ32" s="388">
        <v>25</v>
      </c>
      <c r="GR32" s="388">
        <v>35</v>
      </c>
      <c r="GS32" s="431">
        <v>39.5</v>
      </c>
      <c r="GT32" s="388">
        <v>350</v>
      </c>
      <c r="GU32" s="394"/>
      <c r="GV32" s="100">
        <f t="shared" si="16"/>
        <v>13837</v>
      </c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</row>
    <row r="33" spans="2:230" x14ac:dyDescent="0.15">
      <c r="B33" s="89" t="s">
        <v>55</v>
      </c>
      <c r="C33" s="102">
        <v>77047930</v>
      </c>
      <c r="D33" s="73">
        <f t="shared" si="0"/>
        <v>24375963</v>
      </c>
      <c r="E33" s="102">
        <v>766656</v>
      </c>
      <c r="F33" s="102">
        <v>23609307</v>
      </c>
      <c r="G33" s="73">
        <f t="shared" si="1"/>
        <v>6754402</v>
      </c>
      <c r="H33" s="102">
        <v>1566183</v>
      </c>
      <c r="I33" s="102">
        <v>5188219</v>
      </c>
      <c r="J33" s="102">
        <v>31767515</v>
      </c>
      <c r="K33" s="102">
        <v>15265894</v>
      </c>
      <c r="L33" s="102">
        <v>12779039</v>
      </c>
      <c r="M33" s="102">
        <v>3391435</v>
      </c>
      <c r="N33" s="102">
        <v>4461787</v>
      </c>
      <c r="O33" s="102">
        <v>6852493</v>
      </c>
      <c r="P33" s="102">
        <v>4034967</v>
      </c>
      <c r="Q33" s="102">
        <v>2817526</v>
      </c>
      <c r="R33" s="102">
        <v>756054</v>
      </c>
      <c r="S33" s="74"/>
      <c r="T33" s="73">
        <f t="shared" si="2"/>
        <v>10297824</v>
      </c>
      <c r="U33" s="102">
        <v>146239</v>
      </c>
      <c r="V33" s="102">
        <v>348152</v>
      </c>
      <c r="W33" s="102">
        <v>295244</v>
      </c>
      <c r="X33" s="102">
        <v>9098982</v>
      </c>
      <c r="Y33" s="102">
        <v>0</v>
      </c>
      <c r="Z33" s="102">
        <v>0</v>
      </c>
      <c r="AA33" s="102">
        <v>409207</v>
      </c>
      <c r="AB33" s="102">
        <v>404338</v>
      </c>
      <c r="AC33" s="102">
        <v>20023576</v>
      </c>
      <c r="AD33" s="102">
        <v>19425443</v>
      </c>
      <c r="AE33" s="102">
        <v>598114</v>
      </c>
      <c r="AF33" s="102">
        <v>65428</v>
      </c>
      <c r="AG33" s="102">
        <v>2325392</v>
      </c>
      <c r="AH33" s="73">
        <f t="shared" si="3"/>
        <v>2585832</v>
      </c>
      <c r="AI33" s="102">
        <v>2246068</v>
      </c>
      <c r="AJ33" s="102">
        <v>339764</v>
      </c>
      <c r="AK33" s="102">
        <v>49042291</v>
      </c>
      <c r="AL33" s="73">
        <f t="shared" si="4"/>
        <v>33517633</v>
      </c>
      <c r="AM33" s="102">
        <v>24835662</v>
      </c>
      <c r="AN33" s="102">
        <v>2361207</v>
      </c>
      <c r="AO33" s="74"/>
      <c r="AP33" s="102">
        <v>6320764</v>
      </c>
      <c r="AQ33" s="102">
        <v>612250</v>
      </c>
      <c r="AR33" s="102">
        <v>2154</v>
      </c>
      <c r="AS33" s="102">
        <v>0</v>
      </c>
      <c r="AT33" s="102">
        <v>13176684</v>
      </c>
      <c r="AU33" s="102">
        <v>8156537</v>
      </c>
      <c r="AV33" s="102">
        <v>0</v>
      </c>
      <c r="AW33" s="102">
        <v>204125</v>
      </c>
      <c r="AX33" s="102">
        <v>5020147</v>
      </c>
      <c r="AY33" s="102">
        <v>33220</v>
      </c>
      <c r="AZ33" s="102">
        <v>992218</v>
      </c>
      <c r="BA33" s="102">
        <v>675011</v>
      </c>
      <c r="BB33" s="102">
        <v>164146</v>
      </c>
      <c r="BC33" s="102">
        <v>1742543</v>
      </c>
      <c r="BD33" s="102">
        <v>1000000</v>
      </c>
      <c r="BE33" s="102">
        <v>0</v>
      </c>
      <c r="BF33" s="102">
        <v>645310</v>
      </c>
      <c r="BG33" s="102">
        <v>0</v>
      </c>
      <c r="BH33" s="102">
        <v>2150346</v>
      </c>
      <c r="BI33" s="102">
        <v>2004579</v>
      </c>
      <c r="BJ33" s="102">
        <v>4585746</v>
      </c>
      <c r="BK33" s="102">
        <v>1840565</v>
      </c>
      <c r="BL33" s="102">
        <v>0</v>
      </c>
      <c r="BM33" s="102">
        <v>140289</v>
      </c>
      <c r="BN33" s="102">
        <v>19825100</v>
      </c>
      <c r="BO33" s="73">
        <f t="shared" si="5"/>
        <v>10447600</v>
      </c>
      <c r="BP33" s="73">
        <f t="shared" si="6"/>
        <v>9377500</v>
      </c>
      <c r="BQ33" s="102">
        <v>0</v>
      </c>
      <c r="BR33" s="102">
        <v>0</v>
      </c>
      <c r="BS33" s="102">
        <v>9377500</v>
      </c>
      <c r="BT33" s="102">
        <v>0</v>
      </c>
      <c r="BU33" s="102">
        <v>205185448</v>
      </c>
      <c r="BV33" s="71"/>
      <c r="BW33" s="102">
        <v>26511105</v>
      </c>
      <c r="BX33" s="102">
        <v>17645606</v>
      </c>
      <c r="BY33" s="102">
        <v>1493919</v>
      </c>
      <c r="BZ33" s="102">
        <v>2805929</v>
      </c>
      <c r="CA33" s="102">
        <v>73676111</v>
      </c>
      <c r="CB33" s="102">
        <v>14496086</v>
      </c>
      <c r="CC33" s="102">
        <v>821882</v>
      </c>
      <c r="CD33" s="102">
        <v>21892875</v>
      </c>
      <c r="CE33" s="102">
        <v>33010812</v>
      </c>
      <c r="CF33" s="102">
        <v>1531509</v>
      </c>
      <c r="CG33" s="102">
        <v>1922677</v>
      </c>
      <c r="CH33" s="102">
        <v>18569709</v>
      </c>
      <c r="CI33" s="102">
        <v>17526752</v>
      </c>
      <c r="CJ33" s="83">
        <f t="shared" si="17"/>
        <v>1042957</v>
      </c>
      <c r="CK33" s="102">
        <v>17149346</v>
      </c>
      <c r="CL33" s="102">
        <v>12269146</v>
      </c>
      <c r="CM33" s="102">
        <v>235952</v>
      </c>
      <c r="CN33" s="102">
        <v>2012414</v>
      </c>
      <c r="CO33" s="102">
        <v>1502078</v>
      </c>
      <c r="CP33" s="102">
        <v>17328400</v>
      </c>
      <c r="CQ33" s="102">
        <v>1860443</v>
      </c>
      <c r="CR33" s="102">
        <v>3585055</v>
      </c>
      <c r="CS33" s="102">
        <v>3032767</v>
      </c>
      <c r="CT33" s="73">
        <f t="shared" si="7"/>
        <v>7863231</v>
      </c>
      <c r="CU33" s="102">
        <v>7502348</v>
      </c>
      <c r="CV33" s="102">
        <v>360883</v>
      </c>
      <c r="CW33" s="73">
        <f t="shared" si="8"/>
        <v>0</v>
      </c>
      <c r="CX33" s="102">
        <v>0</v>
      </c>
      <c r="CY33" s="102">
        <v>0</v>
      </c>
      <c r="CZ33" s="73">
        <f t="shared" si="9"/>
        <v>7754543</v>
      </c>
      <c r="DA33" s="102">
        <v>7398498</v>
      </c>
      <c r="DB33" s="102">
        <v>356045</v>
      </c>
      <c r="DC33" s="102">
        <v>22103502</v>
      </c>
      <c r="DD33" s="102">
        <v>8491784</v>
      </c>
      <c r="DE33" s="102">
        <v>12714313</v>
      </c>
      <c r="DF33" s="102">
        <v>270945</v>
      </c>
      <c r="DG33" s="102">
        <v>626460</v>
      </c>
      <c r="DH33" s="102">
        <v>221152</v>
      </c>
      <c r="DI33" s="102">
        <v>2862096</v>
      </c>
      <c r="DJ33" s="102">
        <v>2238500</v>
      </c>
      <c r="DK33" s="102">
        <v>113300</v>
      </c>
      <c r="DL33" s="102">
        <v>510296</v>
      </c>
      <c r="DM33" s="102">
        <v>1618894</v>
      </c>
      <c r="DN33" s="102">
        <v>1548494</v>
      </c>
      <c r="DO33" s="102">
        <v>0</v>
      </c>
      <c r="DP33" s="102">
        <v>0</v>
      </c>
      <c r="DQ33" s="102">
        <v>2344596</v>
      </c>
      <c r="DR33" s="102">
        <v>0</v>
      </c>
      <c r="DS33" s="102">
        <v>0</v>
      </c>
      <c r="DT33" s="102">
        <v>18603248</v>
      </c>
      <c r="DU33" s="102">
        <v>0</v>
      </c>
      <c r="DV33" s="73">
        <f t="shared" si="10"/>
        <v>0</v>
      </c>
      <c r="DW33" s="102">
        <v>0</v>
      </c>
      <c r="DX33" s="102">
        <v>6341031</v>
      </c>
      <c r="DY33" s="102">
        <v>0</v>
      </c>
      <c r="DZ33" s="102">
        <v>5792207</v>
      </c>
      <c r="EA33" s="74">
        <v>0</v>
      </c>
      <c r="EB33" s="102">
        <v>6461660</v>
      </c>
      <c r="EC33" s="102">
        <v>0</v>
      </c>
      <c r="ED33" s="102">
        <v>202490237</v>
      </c>
      <c r="EE33" s="71"/>
      <c r="EF33" s="102">
        <v>2695211</v>
      </c>
      <c r="EG33" s="102">
        <v>116556</v>
      </c>
      <c r="EH33" s="102">
        <v>2578655</v>
      </c>
      <c r="EI33" s="102">
        <v>574076</v>
      </c>
      <c r="EJ33" s="102">
        <v>1812706</v>
      </c>
      <c r="EK33" s="71"/>
      <c r="EL33" s="102">
        <v>502784</v>
      </c>
      <c r="EM33" s="102">
        <v>490217</v>
      </c>
      <c r="EN33" s="102">
        <v>1000196</v>
      </c>
      <c r="EO33" s="102">
        <v>867621</v>
      </c>
      <c r="EP33" s="73">
        <f t="shared" si="11"/>
        <v>4099417</v>
      </c>
      <c r="EQ33" s="102">
        <v>108595150</v>
      </c>
      <c r="ER33" s="71">
        <v>-15279306</v>
      </c>
      <c r="ES33" s="102">
        <v>25025614</v>
      </c>
      <c r="ET33" s="102">
        <v>16327717</v>
      </c>
      <c r="EU33" s="102">
        <v>21025171</v>
      </c>
      <c r="EV33" s="102">
        <v>18569709</v>
      </c>
      <c r="EW33" s="73">
        <f t="shared" si="12"/>
        <v>4678323</v>
      </c>
      <c r="EX33" s="102">
        <v>4487725</v>
      </c>
      <c r="EY33" s="102">
        <v>292161</v>
      </c>
      <c r="EZ33" s="102">
        <v>4168119</v>
      </c>
      <c r="FA33" s="102">
        <v>190598</v>
      </c>
      <c r="FB33" s="102">
        <v>0</v>
      </c>
      <c r="FC33" s="102">
        <v>14347342</v>
      </c>
      <c r="FD33" s="102">
        <v>16546831</v>
      </c>
      <c r="FE33" s="102">
        <v>1860443</v>
      </c>
      <c r="FF33" s="102">
        <v>14719511</v>
      </c>
      <c r="FG33" s="73">
        <f t="shared" si="13"/>
        <v>6266744</v>
      </c>
      <c r="FH33" s="102">
        <v>121179245</v>
      </c>
      <c r="FI33" s="379">
        <f t="shared" si="14"/>
        <v>2.4</v>
      </c>
      <c r="FJ33" s="102">
        <v>99447851</v>
      </c>
      <c r="FK33" s="102">
        <v>9377551</v>
      </c>
      <c r="FL33" s="102">
        <v>62147584</v>
      </c>
      <c r="FM33" s="102">
        <v>81554758</v>
      </c>
      <c r="FN33" s="428">
        <v>0.76400000000000001</v>
      </c>
      <c r="FO33" s="424">
        <v>94.9</v>
      </c>
      <c r="FP33" s="425">
        <v>22.4</v>
      </c>
      <c r="FQ33" s="424">
        <v>18.899999999999999</v>
      </c>
      <c r="FR33" s="424">
        <v>16.7</v>
      </c>
      <c r="FS33" s="425">
        <v>11.9</v>
      </c>
      <c r="FT33" s="424">
        <v>12.6</v>
      </c>
      <c r="FU33" s="426">
        <v>11.4</v>
      </c>
      <c r="FV33" s="384">
        <v>5</v>
      </c>
      <c r="FW33" s="102">
        <v>192809036</v>
      </c>
      <c r="FX33" s="384">
        <f t="shared" si="15"/>
        <v>177.2</v>
      </c>
      <c r="FY33" s="102">
        <v>24043671</v>
      </c>
      <c r="FZ33" s="102">
        <v>16439720</v>
      </c>
      <c r="GA33" s="102">
        <v>4130300</v>
      </c>
      <c r="GB33" s="102">
        <v>3473651</v>
      </c>
      <c r="GC33" s="107">
        <v>0</v>
      </c>
      <c r="GD33" s="427"/>
      <c r="GE33" s="386"/>
      <c r="GF33" s="424">
        <v>99.4</v>
      </c>
      <c r="GG33" s="424">
        <v>48.2</v>
      </c>
      <c r="GH33" s="424">
        <v>98.7</v>
      </c>
      <c r="GI33" s="102">
        <v>2675</v>
      </c>
      <c r="GJ33" s="429" t="s">
        <v>646</v>
      </c>
      <c r="GK33" s="429">
        <v>11.25</v>
      </c>
      <c r="GL33" s="117">
        <v>20</v>
      </c>
      <c r="GM33" s="429" t="s">
        <v>646</v>
      </c>
      <c r="GN33" s="430">
        <v>16.25</v>
      </c>
      <c r="GO33" s="387">
        <v>30</v>
      </c>
      <c r="GP33" s="425">
        <v>5</v>
      </c>
      <c r="GQ33" s="388">
        <v>25</v>
      </c>
      <c r="GR33" s="388">
        <v>35</v>
      </c>
      <c r="GS33" s="431">
        <v>6.9</v>
      </c>
      <c r="GT33" s="388">
        <v>350</v>
      </c>
      <c r="GU33" s="394"/>
      <c r="GV33" s="100">
        <f t="shared" si="16"/>
        <v>108825</v>
      </c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</row>
    <row r="34" spans="2:230" x14ac:dyDescent="0.15">
      <c r="B34" s="89" t="s">
        <v>57</v>
      </c>
      <c r="C34" s="102">
        <v>8932920</v>
      </c>
      <c r="D34" s="73">
        <f t="shared" si="0"/>
        <v>2363603</v>
      </c>
      <c r="E34" s="102">
        <v>92205</v>
      </c>
      <c r="F34" s="102">
        <v>2271398</v>
      </c>
      <c r="G34" s="73">
        <f t="shared" si="1"/>
        <v>555107</v>
      </c>
      <c r="H34" s="102">
        <v>186902</v>
      </c>
      <c r="I34" s="102">
        <v>368205</v>
      </c>
      <c r="J34" s="102">
        <v>4744103</v>
      </c>
      <c r="K34" s="102">
        <v>1950123</v>
      </c>
      <c r="L34" s="102">
        <v>1635227</v>
      </c>
      <c r="M34" s="102">
        <v>1039683</v>
      </c>
      <c r="N34" s="102">
        <v>407277</v>
      </c>
      <c r="O34" s="102">
        <v>705695</v>
      </c>
      <c r="P34" s="102">
        <v>379889</v>
      </c>
      <c r="Q34" s="102">
        <v>325806</v>
      </c>
      <c r="R34" s="102">
        <v>159970</v>
      </c>
      <c r="S34" s="74"/>
      <c r="T34" s="73">
        <f t="shared" si="2"/>
        <v>1258550</v>
      </c>
      <c r="U34" s="102">
        <v>14501</v>
      </c>
      <c r="V34" s="102">
        <v>34521</v>
      </c>
      <c r="W34" s="102">
        <v>29267</v>
      </c>
      <c r="X34" s="102">
        <v>1069418</v>
      </c>
      <c r="Y34" s="102">
        <v>43901</v>
      </c>
      <c r="Z34" s="102">
        <v>0</v>
      </c>
      <c r="AA34" s="102">
        <v>66942</v>
      </c>
      <c r="AB34" s="102">
        <v>40578</v>
      </c>
      <c r="AC34" s="102">
        <v>3008314</v>
      </c>
      <c r="AD34" s="102">
        <v>2581531</v>
      </c>
      <c r="AE34" s="102">
        <v>426783</v>
      </c>
      <c r="AF34" s="102">
        <v>9338</v>
      </c>
      <c r="AG34" s="102">
        <v>865856</v>
      </c>
      <c r="AH34" s="73">
        <f t="shared" si="3"/>
        <v>346500</v>
      </c>
      <c r="AI34" s="102">
        <v>212229</v>
      </c>
      <c r="AJ34" s="102">
        <v>134271</v>
      </c>
      <c r="AK34" s="102">
        <v>4330901</v>
      </c>
      <c r="AL34" s="73">
        <f t="shared" si="4"/>
        <v>2335996</v>
      </c>
      <c r="AM34" s="102">
        <v>1419224</v>
      </c>
      <c r="AN34" s="102">
        <v>223270</v>
      </c>
      <c r="AO34" s="74"/>
      <c r="AP34" s="102">
        <v>693502</v>
      </c>
      <c r="AQ34" s="102">
        <v>361212</v>
      </c>
      <c r="AR34" s="102">
        <v>28840</v>
      </c>
      <c r="AS34" s="102">
        <v>0</v>
      </c>
      <c r="AT34" s="102">
        <v>1863988</v>
      </c>
      <c r="AU34" s="102">
        <v>1066541</v>
      </c>
      <c r="AV34" s="102">
        <v>108647</v>
      </c>
      <c r="AW34" s="102">
        <v>51296</v>
      </c>
      <c r="AX34" s="102">
        <v>797447</v>
      </c>
      <c r="AY34" s="102">
        <v>19475</v>
      </c>
      <c r="AZ34" s="102">
        <v>78048</v>
      </c>
      <c r="BA34" s="102">
        <v>62382</v>
      </c>
      <c r="BB34" s="102">
        <v>134286</v>
      </c>
      <c r="BC34" s="102">
        <v>159616</v>
      </c>
      <c r="BD34" s="102">
        <v>35000</v>
      </c>
      <c r="BE34" s="102">
        <v>0</v>
      </c>
      <c r="BF34" s="102">
        <v>117310</v>
      </c>
      <c r="BG34" s="102">
        <v>0</v>
      </c>
      <c r="BH34" s="102">
        <v>16738</v>
      </c>
      <c r="BI34" s="102">
        <v>9863</v>
      </c>
      <c r="BJ34" s="102">
        <v>452702</v>
      </c>
      <c r="BK34" s="102">
        <v>98</v>
      </c>
      <c r="BL34" s="102">
        <v>0</v>
      </c>
      <c r="BM34" s="102">
        <v>0</v>
      </c>
      <c r="BN34" s="102">
        <v>3310563</v>
      </c>
      <c r="BO34" s="73">
        <f t="shared" si="5"/>
        <v>2299400</v>
      </c>
      <c r="BP34" s="73">
        <f t="shared" si="6"/>
        <v>1011163</v>
      </c>
      <c r="BQ34" s="102">
        <v>0</v>
      </c>
      <c r="BR34" s="102">
        <v>0</v>
      </c>
      <c r="BS34" s="102">
        <v>1011163</v>
      </c>
      <c r="BT34" s="102">
        <v>0</v>
      </c>
      <c r="BU34" s="102">
        <v>24968868</v>
      </c>
      <c r="BV34" s="71"/>
      <c r="BW34" s="102">
        <v>3838135</v>
      </c>
      <c r="BX34" s="102">
        <v>2657566</v>
      </c>
      <c r="BY34" s="102">
        <v>361014</v>
      </c>
      <c r="BZ34" s="102">
        <v>57721</v>
      </c>
      <c r="CA34" s="102">
        <v>6476979</v>
      </c>
      <c r="CB34" s="102">
        <v>1675705</v>
      </c>
      <c r="CC34" s="102">
        <v>35385</v>
      </c>
      <c r="CD34" s="102">
        <v>2809393</v>
      </c>
      <c r="CE34" s="102">
        <v>1815191</v>
      </c>
      <c r="CF34" s="102">
        <v>290</v>
      </c>
      <c r="CG34" s="102">
        <v>140745</v>
      </c>
      <c r="CH34" s="102">
        <v>2645755</v>
      </c>
      <c r="CI34" s="102">
        <v>2342215</v>
      </c>
      <c r="CJ34" s="83">
        <f t="shared" si="17"/>
        <v>303540</v>
      </c>
      <c r="CK34" s="102">
        <v>2379354</v>
      </c>
      <c r="CL34" s="102">
        <v>1536672</v>
      </c>
      <c r="CM34" s="102">
        <v>174890</v>
      </c>
      <c r="CN34" s="102">
        <v>397147</v>
      </c>
      <c r="CO34" s="102">
        <v>143899</v>
      </c>
      <c r="CP34" s="102">
        <v>2142105</v>
      </c>
      <c r="CQ34" s="102">
        <v>1421701</v>
      </c>
      <c r="CR34" s="102">
        <v>374172</v>
      </c>
      <c r="CS34" s="102">
        <v>277482</v>
      </c>
      <c r="CT34" s="73">
        <f t="shared" si="7"/>
        <v>4625</v>
      </c>
      <c r="CU34" s="102">
        <v>1004</v>
      </c>
      <c r="CV34" s="102">
        <v>3621</v>
      </c>
      <c r="CW34" s="73">
        <f t="shared" si="8"/>
        <v>0</v>
      </c>
      <c r="CX34" s="102">
        <v>0</v>
      </c>
      <c r="CY34" s="102">
        <v>0</v>
      </c>
      <c r="CZ34" s="73">
        <f t="shared" si="9"/>
        <v>0</v>
      </c>
      <c r="DA34" s="102">
        <v>0</v>
      </c>
      <c r="DB34" s="102">
        <v>0</v>
      </c>
      <c r="DC34" s="102">
        <v>3717559</v>
      </c>
      <c r="DD34" s="102">
        <v>1207745</v>
      </c>
      <c r="DE34" s="102">
        <v>2485372</v>
      </c>
      <c r="DF34" s="102">
        <v>24442</v>
      </c>
      <c r="DG34" s="102">
        <v>0</v>
      </c>
      <c r="DH34" s="102">
        <v>159950</v>
      </c>
      <c r="DI34" s="102">
        <v>300438</v>
      </c>
      <c r="DJ34" s="102">
        <v>106604</v>
      </c>
      <c r="DK34" s="102">
        <v>56400</v>
      </c>
      <c r="DL34" s="102">
        <v>137434</v>
      </c>
      <c r="DM34" s="102">
        <v>6894</v>
      </c>
      <c r="DN34" s="102">
        <v>6894</v>
      </c>
      <c r="DO34" s="102">
        <v>6894</v>
      </c>
      <c r="DP34" s="102">
        <v>0</v>
      </c>
      <c r="DQ34" s="102">
        <v>0</v>
      </c>
      <c r="DR34" s="102">
        <v>0</v>
      </c>
      <c r="DS34" s="102">
        <v>0</v>
      </c>
      <c r="DT34" s="102">
        <v>3099716</v>
      </c>
      <c r="DU34" s="102">
        <v>711764</v>
      </c>
      <c r="DV34" s="73">
        <f t="shared" si="10"/>
        <v>0</v>
      </c>
      <c r="DW34" s="102">
        <v>0</v>
      </c>
      <c r="DX34" s="102">
        <v>852871</v>
      </c>
      <c r="DY34" s="102">
        <v>0</v>
      </c>
      <c r="DZ34" s="102">
        <v>786270</v>
      </c>
      <c r="EA34" s="74">
        <v>0</v>
      </c>
      <c r="EB34" s="102">
        <v>748811</v>
      </c>
      <c r="EC34" s="102">
        <v>0</v>
      </c>
      <c r="ED34" s="102">
        <v>24910784</v>
      </c>
      <c r="EE34" s="71"/>
      <c r="EF34" s="102">
        <v>58084</v>
      </c>
      <c r="EG34" s="102">
        <v>51735</v>
      </c>
      <c r="EH34" s="102">
        <v>6349</v>
      </c>
      <c r="EI34" s="102">
        <v>-3514</v>
      </c>
      <c r="EJ34" s="102">
        <v>68090</v>
      </c>
      <c r="EK34" s="71"/>
      <c r="EL34" s="102">
        <v>62438</v>
      </c>
      <c r="EM34" s="102">
        <v>62220</v>
      </c>
      <c r="EN34" s="102">
        <v>35000</v>
      </c>
      <c r="EO34" s="102">
        <v>76475</v>
      </c>
      <c r="EP34" s="73">
        <f t="shared" si="11"/>
        <v>161001</v>
      </c>
      <c r="EQ34" s="102">
        <v>13409670</v>
      </c>
      <c r="ER34" s="71">
        <v>-1274301</v>
      </c>
      <c r="ES34" s="102">
        <v>3415308</v>
      </c>
      <c r="ET34" s="102">
        <v>2241760</v>
      </c>
      <c r="EU34" s="102">
        <v>1795680</v>
      </c>
      <c r="EV34" s="102">
        <v>2645755</v>
      </c>
      <c r="EW34" s="73">
        <f t="shared" si="12"/>
        <v>234787</v>
      </c>
      <c r="EX34" s="102">
        <v>192595</v>
      </c>
      <c r="EY34" s="102">
        <v>13547</v>
      </c>
      <c r="EZ34" s="102">
        <v>173595</v>
      </c>
      <c r="FA34" s="102">
        <v>42192</v>
      </c>
      <c r="FB34" s="102">
        <v>0</v>
      </c>
      <c r="FC34" s="102">
        <v>1813752</v>
      </c>
      <c r="FD34" s="102">
        <v>1975559</v>
      </c>
      <c r="FE34" s="102">
        <v>1419254</v>
      </c>
      <c r="FF34" s="102">
        <v>2549624</v>
      </c>
      <c r="FG34" s="73">
        <f t="shared" si="13"/>
        <v>195422</v>
      </c>
      <c r="FH34" s="102">
        <v>14625887</v>
      </c>
      <c r="FI34" s="379">
        <f t="shared" si="14"/>
        <v>0</v>
      </c>
      <c r="FJ34" s="102">
        <v>12222135</v>
      </c>
      <c r="FK34" s="102">
        <v>1011163</v>
      </c>
      <c r="FL34" s="102">
        <v>7521518</v>
      </c>
      <c r="FM34" s="102">
        <v>10103049</v>
      </c>
      <c r="FN34" s="428">
        <v>0.75</v>
      </c>
      <c r="FO34" s="424">
        <v>100.1</v>
      </c>
      <c r="FP34" s="425">
        <v>24</v>
      </c>
      <c r="FQ34" s="424">
        <v>13.4</v>
      </c>
      <c r="FR34" s="424">
        <v>19.8</v>
      </c>
      <c r="FS34" s="425">
        <v>12.5</v>
      </c>
      <c r="FT34" s="424">
        <v>12.4</v>
      </c>
      <c r="FU34" s="426">
        <v>17.100000000000001</v>
      </c>
      <c r="FV34" s="384">
        <v>11.2</v>
      </c>
      <c r="FW34" s="102">
        <v>29449912</v>
      </c>
      <c r="FX34" s="384">
        <f t="shared" si="15"/>
        <v>222.5</v>
      </c>
      <c r="FY34" s="102">
        <v>3494722</v>
      </c>
      <c r="FZ34" s="102">
        <v>627696</v>
      </c>
      <c r="GA34" s="102">
        <v>1278175</v>
      </c>
      <c r="GB34" s="102">
        <v>1588851</v>
      </c>
      <c r="GC34" s="107">
        <v>0</v>
      </c>
      <c r="GD34" s="427"/>
      <c r="GE34" s="386"/>
      <c r="GF34" s="424">
        <v>98.9</v>
      </c>
      <c r="GG34" s="424">
        <v>27.4</v>
      </c>
      <c r="GH34" s="424">
        <v>95.9</v>
      </c>
      <c r="GI34" s="102">
        <v>366</v>
      </c>
      <c r="GJ34" s="429" t="s">
        <v>646</v>
      </c>
      <c r="GK34" s="429">
        <v>12.93</v>
      </c>
      <c r="GL34" s="117">
        <v>20</v>
      </c>
      <c r="GM34" s="429" t="s">
        <v>646</v>
      </c>
      <c r="GN34" s="430">
        <v>17.93</v>
      </c>
      <c r="GO34" s="387">
        <v>30</v>
      </c>
      <c r="GP34" s="425">
        <v>11.2</v>
      </c>
      <c r="GQ34" s="388">
        <v>25</v>
      </c>
      <c r="GR34" s="388">
        <v>35</v>
      </c>
      <c r="GS34" s="431">
        <v>108.5</v>
      </c>
      <c r="GT34" s="388">
        <v>350</v>
      </c>
      <c r="GU34" s="394"/>
      <c r="GV34" s="100">
        <f t="shared" si="16"/>
        <v>13233</v>
      </c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</row>
    <row r="35" spans="2:230" x14ac:dyDescent="0.15">
      <c r="B35" s="89" t="s">
        <v>59</v>
      </c>
      <c r="C35" s="102">
        <v>6864455</v>
      </c>
      <c r="D35" s="73">
        <f t="shared" si="0"/>
        <v>2839003</v>
      </c>
      <c r="E35" s="102">
        <v>87471</v>
      </c>
      <c r="F35" s="102">
        <v>2751532</v>
      </c>
      <c r="G35" s="73">
        <f t="shared" si="1"/>
        <v>322218</v>
      </c>
      <c r="H35" s="102">
        <v>138673</v>
      </c>
      <c r="I35" s="102">
        <v>183545</v>
      </c>
      <c r="J35" s="102">
        <v>2699931</v>
      </c>
      <c r="K35" s="102">
        <v>1132216</v>
      </c>
      <c r="L35" s="102">
        <v>1277795</v>
      </c>
      <c r="M35" s="102">
        <v>272989</v>
      </c>
      <c r="N35" s="102">
        <v>345169</v>
      </c>
      <c r="O35" s="102">
        <v>573469</v>
      </c>
      <c r="P35" s="102">
        <v>307960</v>
      </c>
      <c r="Q35" s="102">
        <v>265509</v>
      </c>
      <c r="R35" s="102">
        <v>97659</v>
      </c>
      <c r="S35" s="74"/>
      <c r="T35" s="73">
        <f t="shared" si="2"/>
        <v>1054089</v>
      </c>
      <c r="U35" s="102">
        <v>17149</v>
      </c>
      <c r="V35" s="102">
        <v>40826</v>
      </c>
      <c r="W35" s="102">
        <v>34623</v>
      </c>
      <c r="X35" s="102">
        <v>881595</v>
      </c>
      <c r="Y35" s="102">
        <v>27037</v>
      </c>
      <c r="Z35" s="102">
        <v>0</v>
      </c>
      <c r="AA35" s="102">
        <v>52859</v>
      </c>
      <c r="AB35" s="102">
        <v>47083</v>
      </c>
      <c r="AC35" s="102">
        <v>3909131</v>
      </c>
      <c r="AD35" s="102">
        <v>3550182</v>
      </c>
      <c r="AE35" s="102">
        <v>358949</v>
      </c>
      <c r="AF35" s="102">
        <v>6452</v>
      </c>
      <c r="AG35" s="102">
        <v>266473</v>
      </c>
      <c r="AH35" s="73">
        <f t="shared" si="3"/>
        <v>261000</v>
      </c>
      <c r="AI35" s="102">
        <v>196352</v>
      </c>
      <c r="AJ35" s="102">
        <v>64648</v>
      </c>
      <c r="AK35" s="102">
        <v>3318849</v>
      </c>
      <c r="AL35" s="73">
        <f t="shared" si="4"/>
        <v>2265085</v>
      </c>
      <c r="AM35" s="102">
        <v>1018685</v>
      </c>
      <c r="AN35" s="102">
        <v>594480</v>
      </c>
      <c r="AO35" s="74"/>
      <c r="AP35" s="102">
        <v>651920</v>
      </c>
      <c r="AQ35" s="102">
        <v>76999</v>
      </c>
      <c r="AR35" s="102">
        <v>21062</v>
      </c>
      <c r="AS35" s="102">
        <v>0</v>
      </c>
      <c r="AT35" s="102">
        <v>1702378</v>
      </c>
      <c r="AU35" s="102">
        <v>1095394</v>
      </c>
      <c r="AV35" s="102">
        <v>316192</v>
      </c>
      <c r="AW35" s="102">
        <v>58806</v>
      </c>
      <c r="AX35" s="102">
        <v>606984</v>
      </c>
      <c r="AY35" s="102">
        <v>2496</v>
      </c>
      <c r="AZ35" s="102">
        <v>25465</v>
      </c>
      <c r="BA35" s="102">
        <v>6301</v>
      </c>
      <c r="BB35" s="102">
        <v>2011</v>
      </c>
      <c r="BC35" s="102">
        <v>183009</v>
      </c>
      <c r="BD35" s="102">
        <v>180000</v>
      </c>
      <c r="BE35" s="102">
        <v>0</v>
      </c>
      <c r="BF35" s="102">
        <v>3009</v>
      </c>
      <c r="BG35" s="102">
        <v>0</v>
      </c>
      <c r="BH35" s="102">
        <v>398980</v>
      </c>
      <c r="BI35" s="102">
        <v>374246</v>
      </c>
      <c r="BJ35" s="102">
        <v>230836</v>
      </c>
      <c r="BK35" s="102">
        <v>0</v>
      </c>
      <c r="BL35" s="102">
        <v>1379</v>
      </c>
      <c r="BM35" s="102">
        <v>0</v>
      </c>
      <c r="BN35" s="102">
        <v>1583600</v>
      </c>
      <c r="BO35" s="73">
        <f t="shared" si="5"/>
        <v>795300</v>
      </c>
      <c r="BP35" s="73">
        <f t="shared" si="6"/>
        <v>788300</v>
      </c>
      <c r="BQ35" s="102">
        <v>0</v>
      </c>
      <c r="BR35" s="102">
        <v>0</v>
      </c>
      <c r="BS35" s="102">
        <v>788300</v>
      </c>
      <c r="BT35" s="102">
        <v>0</v>
      </c>
      <c r="BU35" s="102">
        <v>19951470</v>
      </c>
      <c r="BV35" s="71"/>
      <c r="BW35" s="102">
        <v>2912263</v>
      </c>
      <c r="BX35" s="102">
        <v>1957197</v>
      </c>
      <c r="BY35" s="102">
        <v>106041</v>
      </c>
      <c r="BZ35" s="102">
        <v>258453</v>
      </c>
      <c r="CA35" s="102">
        <v>5831450</v>
      </c>
      <c r="CB35" s="102">
        <v>1506997</v>
      </c>
      <c r="CC35" s="102">
        <v>67136</v>
      </c>
      <c r="CD35" s="102">
        <v>2691372</v>
      </c>
      <c r="CE35" s="102">
        <v>1318270</v>
      </c>
      <c r="CF35" s="102">
        <v>2553</v>
      </c>
      <c r="CG35" s="102">
        <v>245122</v>
      </c>
      <c r="CH35" s="102">
        <v>1716936</v>
      </c>
      <c r="CI35" s="102">
        <v>1583163</v>
      </c>
      <c r="CJ35" s="83">
        <f t="shared" si="17"/>
        <v>133773</v>
      </c>
      <c r="CK35" s="102">
        <v>2196186</v>
      </c>
      <c r="CL35" s="102">
        <v>1576244</v>
      </c>
      <c r="CM35" s="102">
        <v>101211</v>
      </c>
      <c r="CN35" s="102">
        <v>207144</v>
      </c>
      <c r="CO35" s="102">
        <v>38119</v>
      </c>
      <c r="CP35" s="102">
        <v>2591079</v>
      </c>
      <c r="CQ35" s="102">
        <v>1179688</v>
      </c>
      <c r="CR35" s="102">
        <v>363952</v>
      </c>
      <c r="CS35" s="102">
        <v>243388</v>
      </c>
      <c r="CT35" s="73">
        <f t="shared" si="7"/>
        <v>754369</v>
      </c>
      <c r="CU35" s="102">
        <v>512863</v>
      </c>
      <c r="CV35" s="102">
        <v>241506</v>
      </c>
      <c r="CW35" s="73">
        <f t="shared" si="8"/>
        <v>0</v>
      </c>
      <c r="CX35" s="102">
        <v>0</v>
      </c>
      <c r="CY35" s="102">
        <v>0</v>
      </c>
      <c r="CZ35" s="73">
        <f t="shared" si="9"/>
        <v>746986</v>
      </c>
      <c r="DA35" s="102">
        <v>506920</v>
      </c>
      <c r="DB35" s="102">
        <v>240066</v>
      </c>
      <c r="DC35" s="102">
        <v>1384194</v>
      </c>
      <c r="DD35" s="102">
        <v>263458</v>
      </c>
      <c r="DE35" s="102">
        <v>1120736</v>
      </c>
      <c r="DF35" s="102">
        <v>0</v>
      </c>
      <c r="DG35" s="102">
        <v>0</v>
      </c>
      <c r="DH35" s="102">
        <v>73469</v>
      </c>
      <c r="DI35" s="102">
        <v>694655</v>
      </c>
      <c r="DJ35" s="102">
        <v>188335</v>
      </c>
      <c r="DK35" s="102">
        <v>6</v>
      </c>
      <c r="DL35" s="102">
        <v>506314</v>
      </c>
      <c r="DM35" s="102">
        <v>140000</v>
      </c>
      <c r="DN35" s="102">
        <v>140000</v>
      </c>
      <c r="DO35" s="102">
        <v>0</v>
      </c>
      <c r="DP35" s="102">
        <v>0</v>
      </c>
      <c r="DQ35" s="102">
        <v>0</v>
      </c>
      <c r="DR35" s="102">
        <v>0</v>
      </c>
      <c r="DS35" s="102">
        <v>0</v>
      </c>
      <c r="DT35" s="102">
        <v>1966349</v>
      </c>
      <c r="DU35" s="102">
        <v>0</v>
      </c>
      <c r="DV35" s="73">
        <f t="shared" si="10"/>
        <v>0</v>
      </c>
      <c r="DW35" s="102">
        <v>0</v>
      </c>
      <c r="DX35" s="102">
        <v>644617</v>
      </c>
      <c r="DY35" s="102">
        <v>0</v>
      </c>
      <c r="DZ35" s="102">
        <v>598113</v>
      </c>
      <c r="EA35" s="74">
        <v>0</v>
      </c>
      <c r="EB35" s="102">
        <v>723619</v>
      </c>
      <c r="EC35" s="102">
        <v>0</v>
      </c>
      <c r="ED35" s="102">
        <v>19544700</v>
      </c>
      <c r="EE35" s="71"/>
      <c r="EF35" s="102">
        <v>406770</v>
      </c>
      <c r="EG35" s="102">
        <v>1971</v>
      </c>
      <c r="EH35" s="102">
        <v>404799</v>
      </c>
      <c r="EI35" s="102">
        <v>30553</v>
      </c>
      <c r="EJ35" s="102">
        <v>50781</v>
      </c>
      <c r="EK35" s="71"/>
      <c r="EL35" s="102">
        <v>56075</v>
      </c>
      <c r="EM35" s="102">
        <v>55802</v>
      </c>
      <c r="EN35" s="102">
        <v>180000</v>
      </c>
      <c r="EO35" s="102">
        <v>23379</v>
      </c>
      <c r="EP35" s="73">
        <f t="shared" si="11"/>
        <v>601926</v>
      </c>
      <c r="EQ35" s="102">
        <v>11978869</v>
      </c>
      <c r="ER35" s="71">
        <v>-1587153</v>
      </c>
      <c r="ES35" s="102">
        <v>2549425</v>
      </c>
      <c r="ET35" s="102">
        <v>1703286</v>
      </c>
      <c r="EU35" s="102">
        <v>1708533</v>
      </c>
      <c r="EV35" s="102">
        <v>1716936</v>
      </c>
      <c r="EW35" s="73">
        <f t="shared" si="12"/>
        <v>373561</v>
      </c>
      <c r="EX35" s="102">
        <v>352054</v>
      </c>
      <c r="EY35" s="102">
        <v>22855</v>
      </c>
      <c r="EZ35" s="102">
        <v>329199</v>
      </c>
      <c r="FA35" s="102">
        <v>21507</v>
      </c>
      <c r="FB35" s="102">
        <v>0</v>
      </c>
      <c r="FC35" s="102">
        <v>1899370</v>
      </c>
      <c r="FD35" s="102">
        <v>2471800</v>
      </c>
      <c r="FE35" s="102">
        <v>1179294</v>
      </c>
      <c r="FF35" s="102">
        <v>1570147</v>
      </c>
      <c r="FG35" s="73">
        <f t="shared" si="13"/>
        <v>869480</v>
      </c>
      <c r="FH35" s="102">
        <v>13159252</v>
      </c>
      <c r="FI35" s="379">
        <f t="shared" si="14"/>
        <v>3.5</v>
      </c>
      <c r="FJ35" s="102">
        <v>10919840</v>
      </c>
      <c r="FK35" s="102">
        <v>788419</v>
      </c>
      <c r="FL35" s="102">
        <v>5778361</v>
      </c>
      <c r="FM35" s="102">
        <v>9328543</v>
      </c>
      <c r="FN35" s="428">
        <v>0.626</v>
      </c>
      <c r="FO35" s="424">
        <v>95.1</v>
      </c>
      <c r="FP35" s="425">
        <v>20.9</v>
      </c>
      <c r="FQ35" s="424">
        <v>14.4</v>
      </c>
      <c r="FR35" s="424">
        <v>14.3</v>
      </c>
      <c r="FS35" s="425">
        <v>14</v>
      </c>
      <c r="FT35" s="424">
        <v>19</v>
      </c>
      <c r="FU35" s="426">
        <v>12.2</v>
      </c>
      <c r="FV35" s="384">
        <v>5.6</v>
      </c>
      <c r="FW35" s="102">
        <v>16126511</v>
      </c>
      <c r="FX35" s="384">
        <f t="shared" si="15"/>
        <v>137.69999999999999</v>
      </c>
      <c r="FY35" s="102">
        <v>4888634</v>
      </c>
      <c r="FZ35" s="102">
        <v>1602028</v>
      </c>
      <c r="GA35" s="102">
        <v>51271</v>
      </c>
      <c r="GB35" s="102">
        <v>3235335</v>
      </c>
      <c r="GC35" s="107">
        <v>0</v>
      </c>
      <c r="GD35" s="427"/>
      <c r="GE35" s="386"/>
      <c r="GF35" s="424">
        <v>99.2</v>
      </c>
      <c r="GG35" s="424">
        <v>33.700000000000003</v>
      </c>
      <c r="GH35" s="424">
        <v>97.4</v>
      </c>
      <c r="GI35" s="102">
        <v>298</v>
      </c>
      <c r="GJ35" s="429" t="s">
        <v>646</v>
      </c>
      <c r="GK35" s="429">
        <v>13.09</v>
      </c>
      <c r="GL35" s="117">
        <v>20</v>
      </c>
      <c r="GM35" s="429" t="s">
        <v>646</v>
      </c>
      <c r="GN35" s="430">
        <v>18.09</v>
      </c>
      <c r="GO35" s="387">
        <v>30</v>
      </c>
      <c r="GP35" s="425">
        <v>5.6</v>
      </c>
      <c r="GQ35" s="388">
        <v>25</v>
      </c>
      <c r="GR35" s="388">
        <v>35</v>
      </c>
      <c r="GS35" s="431" t="s">
        <v>646</v>
      </c>
      <c r="GT35" s="388">
        <v>350</v>
      </c>
      <c r="GU35" s="394"/>
      <c r="GV35" s="100">
        <f t="shared" si="16"/>
        <v>11708</v>
      </c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</row>
    <row r="36" spans="2:230" x14ac:dyDescent="0.15">
      <c r="B36" s="89" t="s">
        <v>61</v>
      </c>
      <c r="C36" s="102">
        <v>9388609</v>
      </c>
      <c r="D36" s="73">
        <f t="shared" si="0"/>
        <v>4394254</v>
      </c>
      <c r="E36" s="102">
        <v>127328</v>
      </c>
      <c r="F36" s="102">
        <v>4266926</v>
      </c>
      <c r="G36" s="73">
        <f t="shared" si="1"/>
        <v>321598</v>
      </c>
      <c r="H36" s="102">
        <v>133454</v>
      </c>
      <c r="I36" s="102">
        <v>188144</v>
      </c>
      <c r="J36" s="102">
        <v>3475314</v>
      </c>
      <c r="K36" s="102">
        <v>1445553</v>
      </c>
      <c r="L36" s="102">
        <v>1538029</v>
      </c>
      <c r="M36" s="102">
        <v>440413</v>
      </c>
      <c r="N36" s="102">
        <v>335273</v>
      </c>
      <c r="O36" s="102">
        <v>742788</v>
      </c>
      <c r="P36" s="102">
        <v>418758</v>
      </c>
      <c r="Q36" s="102">
        <v>324030</v>
      </c>
      <c r="R36" s="102">
        <v>133350</v>
      </c>
      <c r="S36" s="74"/>
      <c r="T36" s="73">
        <f t="shared" si="2"/>
        <v>1480761</v>
      </c>
      <c r="U36" s="102">
        <v>26718</v>
      </c>
      <c r="V36" s="102">
        <v>63588</v>
      </c>
      <c r="W36" s="102">
        <v>53870</v>
      </c>
      <c r="X36" s="102">
        <v>1196972</v>
      </c>
      <c r="Y36" s="102">
        <v>67456</v>
      </c>
      <c r="Z36" s="102">
        <v>0</v>
      </c>
      <c r="AA36" s="102">
        <v>72157</v>
      </c>
      <c r="AB36" s="102">
        <v>78874</v>
      </c>
      <c r="AC36" s="102">
        <v>3535628</v>
      </c>
      <c r="AD36" s="102">
        <v>3334831</v>
      </c>
      <c r="AE36" s="102">
        <v>200797</v>
      </c>
      <c r="AF36" s="102">
        <v>9708</v>
      </c>
      <c r="AG36" s="102">
        <v>75924</v>
      </c>
      <c r="AH36" s="73">
        <f t="shared" si="3"/>
        <v>492468</v>
      </c>
      <c r="AI36" s="102">
        <v>391018</v>
      </c>
      <c r="AJ36" s="102">
        <v>101450</v>
      </c>
      <c r="AK36" s="102">
        <v>3798129</v>
      </c>
      <c r="AL36" s="73">
        <f t="shared" si="4"/>
        <v>2166563</v>
      </c>
      <c r="AM36" s="102">
        <v>1005866</v>
      </c>
      <c r="AN36" s="102">
        <v>442168</v>
      </c>
      <c r="AO36" s="74"/>
      <c r="AP36" s="102">
        <v>718529</v>
      </c>
      <c r="AQ36" s="102">
        <v>59920</v>
      </c>
      <c r="AR36" s="102">
        <v>15837</v>
      </c>
      <c r="AS36" s="102">
        <v>0</v>
      </c>
      <c r="AT36" s="102">
        <v>1800636</v>
      </c>
      <c r="AU36" s="102">
        <v>1025580</v>
      </c>
      <c r="AV36" s="102">
        <v>203213</v>
      </c>
      <c r="AW36" s="102">
        <v>5553</v>
      </c>
      <c r="AX36" s="102">
        <v>775056</v>
      </c>
      <c r="AY36" s="102">
        <v>4061</v>
      </c>
      <c r="AZ36" s="102">
        <v>65818</v>
      </c>
      <c r="BA36" s="102">
        <v>51215</v>
      </c>
      <c r="BB36" s="102">
        <v>12880</v>
      </c>
      <c r="BC36" s="102">
        <v>138517</v>
      </c>
      <c r="BD36" s="102">
        <v>157</v>
      </c>
      <c r="BE36" s="102">
        <v>0</v>
      </c>
      <c r="BF36" s="102">
        <v>97898</v>
      </c>
      <c r="BG36" s="102">
        <v>0</v>
      </c>
      <c r="BH36" s="102">
        <v>353343</v>
      </c>
      <c r="BI36" s="102">
        <v>327014</v>
      </c>
      <c r="BJ36" s="102">
        <v>155203</v>
      </c>
      <c r="BK36" s="102">
        <v>0</v>
      </c>
      <c r="BL36" s="102">
        <v>0</v>
      </c>
      <c r="BM36" s="102">
        <v>0</v>
      </c>
      <c r="BN36" s="102">
        <v>2211089</v>
      </c>
      <c r="BO36" s="73">
        <f t="shared" si="5"/>
        <v>1100900</v>
      </c>
      <c r="BP36" s="73">
        <f t="shared" si="6"/>
        <v>1110189</v>
      </c>
      <c r="BQ36" s="102">
        <v>0</v>
      </c>
      <c r="BR36" s="102">
        <v>0</v>
      </c>
      <c r="BS36" s="102">
        <v>1110189</v>
      </c>
      <c r="BT36" s="102">
        <v>0</v>
      </c>
      <c r="BU36" s="102">
        <v>23730937</v>
      </c>
      <c r="BV36" s="71"/>
      <c r="BW36" s="102">
        <v>4932958</v>
      </c>
      <c r="BX36" s="102">
        <v>3150074</v>
      </c>
      <c r="BY36" s="102">
        <v>124457</v>
      </c>
      <c r="BZ36" s="102">
        <v>646999</v>
      </c>
      <c r="CA36" s="102">
        <v>6656720</v>
      </c>
      <c r="CB36" s="102">
        <v>1728825</v>
      </c>
      <c r="CC36" s="102">
        <v>53064</v>
      </c>
      <c r="CD36" s="102">
        <v>3269852</v>
      </c>
      <c r="CE36" s="102">
        <v>1346123</v>
      </c>
      <c r="CF36" s="102">
        <v>2064</v>
      </c>
      <c r="CG36" s="102">
        <v>256289</v>
      </c>
      <c r="CH36" s="102">
        <v>2829866</v>
      </c>
      <c r="CI36" s="102">
        <v>2579162</v>
      </c>
      <c r="CJ36" s="83">
        <f t="shared" si="17"/>
        <v>250704</v>
      </c>
      <c r="CK36" s="102">
        <v>2726400</v>
      </c>
      <c r="CL36" s="102">
        <v>1554480</v>
      </c>
      <c r="CM36" s="102">
        <v>215592</v>
      </c>
      <c r="CN36" s="102">
        <v>381184</v>
      </c>
      <c r="CO36" s="102">
        <v>77193</v>
      </c>
      <c r="CP36" s="102">
        <v>1342529</v>
      </c>
      <c r="CQ36" s="102">
        <v>644787</v>
      </c>
      <c r="CR36" s="102">
        <v>247226</v>
      </c>
      <c r="CS36" s="102">
        <v>154146</v>
      </c>
      <c r="CT36" s="73">
        <f t="shared" si="7"/>
        <v>18115</v>
      </c>
      <c r="CU36" s="102">
        <v>18115</v>
      </c>
      <c r="CV36" s="102">
        <v>0</v>
      </c>
      <c r="CW36" s="73">
        <f t="shared" si="8"/>
        <v>0</v>
      </c>
      <c r="CX36" s="102">
        <v>0</v>
      </c>
      <c r="CY36" s="102">
        <v>0</v>
      </c>
      <c r="CZ36" s="73">
        <f t="shared" si="9"/>
        <v>0</v>
      </c>
      <c r="DA36" s="102">
        <v>0</v>
      </c>
      <c r="DB36" s="102">
        <v>0</v>
      </c>
      <c r="DC36" s="102">
        <v>1667258</v>
      </c>
      <c r="DD36" s="102">
        <v>246701</v>
      </c>
      <c r="DE36" s="102">
        <v>1417557</v>
      </c>
      <c r="DF36" s="102">
        <v>3000</v>
      </c>
      <c r="DG36" s="102">
        <v>0</v>
      </c>
      <c r="DH36" s="102">
        <v>103941</v>
      </c>
      <c r="DI36" s="102">
        <v>363191</v>
      </c>
      <c r="DJ36" s="102">
        <v>171339</v>
      </c>
      <c r="DK36" s="102">
        <v>1515</v>
      </c>
      <c r="DL36" s="102">
        <v>190337</v>
      </c>
      <c r="DM36" s="102">
        <v>0</v>
      </c>
      <c r="DN36" s="102">
        <v>0</v>
      </c>
      <c r="DO36" s="102">
        <v>0</v>
      </c>
      <c r="DP36" s="102">
        <v>0</v>
      </c>
      <c r="DQ36" s="102">
        <v>0</v>
      </c>
      <c r="DR36" s="102">
        <v>0</v>
      </c>
      <c r="DS36" s="102">
        <v>0</v>
      </c>
      <c r="DT36" s="102">
        <v>2519720</v>
      </c>
      <c r="DU36" s="102">
        <v>130842</v>
      </c>
      <c r="DV36" s="73">
        <f t="shared" si="10"/>
        <v>0</v>
      </c>
      <c r="DW36" s="102">
        <v>0</v>
      </c>
      <c r="DX36" s="102">
        <v>876246</v>
      </c>
      <c r="DY36" s="102">
        <v>0</v>
      </c>
      <c r="DZ36" s="102">
        <v>713192</v>
      </c>
      <c r="EA36" s="74">
        <v>0</v>
      </c>
      <c r="EB36" s="102">
        <v>794370</v>
      </c>
      <c r="EC36" s="102">
        <v>0</v>
      </c>
      <c r="ED36" s="102">
        <v>23219776</v>
      </c>
      <c r="EE36" s="71"/>
      <c r="EF36" s="102">
        <v>511161</v>
      </c>
      <c r="EG36" s="102">
        <v>97408</v>
      </c>
      <c r="EH36" s="102">
        <v>413753</v>
      </c>
      <c r="EI36" s="102">
        <v>86739</v>
      </c>
      <c r="EJ36" s="102">
        <v>265311</v>
      </c>
      <c r="EK36" s="71"/>
      <c r="EL36" s="102">
        <v>76435</v>
      </c>
      <c r="EM36" s="102">
        <v>77901</v>
      </c>
      <c r="EN36" s="102">
        <v>30669</v>
      </c>
      <c r="EO36" s="102">
        <v>53785</v>
      </c>
      <c r="EP36" s="73">
        <f t="shared" si="11"/>
        <v>581553</v>
      </c>
      <c r="EQ36" s="102">
        <v>14626930</v>
      </c>
      <c r="ER36" s="71">
        <v>-1766488</v>
      </c>
      <c r="ES36" s="102">
        <v>4539612</v>
      </c>
      <c r="ET36" s="102">
        <v>2915196</v>
      </c>
      <c r="EU36" s="102">
        <v>2102008</v>
      </c>
      <c r="EV36" s="102">
        <v>2829866</v>
      </c>
      <c r="EW36" s="73">
        <f t="shared" si="12"/>
        <v>460408</v>
      </c>
      <c r="EX36" s="102">
        <v>454161</v>
      </c>
      <c r="EY36" s="102">
        <v>19614</v>
      </c>
      <c r="EZ36" s="102">
        <v>434247</v>
      </c>
      <c r="FA36" s="102">
        <v>6247</v>
      </c>
      <c r="FB36" s="102">
        <v>0</v>
      </c>
      <c r="FC36" s="102">
        <v>2249955</v>
      </c>
      <c r="FD36" s="102">
        <v>1249275</v>
      </c>
      <c r="FE36" s="102">
        <v>644782</v>
      </c>
      <c r="FF36" s="102">
        <v>2029072</v>
      </c>
      <c r="FG36" s="73">
        <f t="shared" si="13"/>
        <v>422061</v>
      </c>
      <c r="FH36" s="102">
        <v>15882257</v>
      </c>
      <c r="FI36" s="379">
        <f t="shared" si="14"/>
        <v>2.8</v>
      </c>
      <c r="FJ36" s="102">
        <v>13497373</v>
      </c>
      <c r="FK36" s="102">
        <v>1110189</v>
      </c>
      <c r="FL36" s="102">
        <v>7981297</v>
      </c>
      <c r="FM36" s="102">
        <v>11316128</v>
      </c>
      <c r="FN36" s="428">
        <v>0.71199999999999997</v>
      </c>
      <c r="FO36" s="424">
        <v>94.9</v>
      </c>
      <c r="FP36" s="425">
        <v>29.7</v>
      </c>
      <c r="FQ36" s="424">
        <v>14.1</v>
      </c>
      <c r="FR36" s="424">
        <v>18.899999999999999</v>
      </c>
      <c r="FS36" s="425">
        <v>12.8</v>
      </c>
      <c r="FT36" s="424">
        <v>6.2</v>
      </c>
      <c r="FU36" s="426">
        <v>12.6</v>
      </c>
      <c r="FV36" s="384">
        <v>10.199999999999999</v>
      </c>
      <c r="FW36" s="102">
        <v>28628750</v>
      </c>
      <c r="FX36" s="384">
        <f t="shared" si="15"/>
        <v>196</v>
      </c>
      <c r="FY36" s="102">
        <v>6227746</v>
      </c>
      <c r="FZ36" s="102">
        <v>3617392</v>
      </c>
      <c r="GA36" s="102">
        <v>653180</v>
      </c>
      <c r="GB36" s="102">
        <v>1957174</v>
      </c>
      <c r="GC36" s="107">
        <v>0</v>
      </c>
      <c r="GD36" s="427">
        <v>8243</v>
      </c>
      <c r="GE36" s="386">
        <f>IF(GD36=0,"-",ROUND(GD36/(GV36)*100,1))</f>
        <v>56.4</v>
      </c>
      <c r="GF36" s="424">
        <v>99.7</v>
      </c>
      <c r="GG36" s="424">
        <v>41</v>
      </c>
      <c r="GH36" s="424">
        <v>99.2</v>
      </c>
      <c r="GI36" s="102">
        <v>481</v>
      </c>
      <c r="GJ36" s="429" t="s">
        <v>646</v>
      </c>
      <c r="GK36" s="429">
        <v>12.81</v>
      </c>
      <c r="GL36" s="117">
        <v>20</v>
      </c>
      <c r="GM36" s="429" t="s">
        <v>646</v>
      </c>
      <c r="GN36" s="430">
        <v>17.809999999999999</v>
      </c>
      <c r="GO36" s="387">
        <v>30</v>
      </c>
      <c r="GP36" s="425">
        <v>10.199999999999999</v>
      </c>
      <c r="GQ36" s="388">
        <v>25</v>
      </c>
      <c r="GR36" s="388">
        <v>35</v>
      </c>
      <c r="GS36" s="431">
        <v>103.3</v>
      </c>
      <c r="GT36" s="388">
        <v>350</v>
      </c>
      <c r="GU36" s="394"/>
      <c r="GV36" s="100">
        <f t="shared" si="16"/>
        <v>14608</v>
      </c>
      <c r="GW36" s="394"/>
      <c r="GX36" s="394"/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</row>
    <row r="37" spans="2:230" x14ac:dyDescent="0.15">
      <c r="B37" s="89" t="s">
        <v>63</v>
      </c>
      <c r="C37" s="102">
        <v>7413675</v>
      </c>
      <c r="D37" s="73">
        <f t="shared" si="0"/>
        <v>3572315</v>
      </c>
      <c r="E37" s="102">
        <v>95741</v>
      </c>
      <c r="F37" s="102">
        <v>3476574</v>
      </c>
      <c r="G37" s="73">
        <f t="shared" si="1"/>
        <v>340517</v>
      </c>
      <c r="H37" s="102">
        <v>115077</v>
      </c>
      <c r="I37" s="102">
        <v>225440</v>
      </c>
      <c r="J37" s="102">
        <v>2733983</v>
      </c>
      <c r="K37" s="102">
        <v>1136497</v>
      </c>
      <c r="L37" s="102">
        <v>1302482</v>
      </c>
      <c r="M37" s="102">
        <v>262878</v>
      </c>
      <c r="N37" s="102">
        <v>301460</v>
      </c>
      <c r="O37" s="102">
        <v>369235</v>
      </c>
      <c r="P37" s="102">
        <v>198504</v>
      </c>
      <c r="Q37" s="102">
        <v>170731</v>
      </c>
      <c r="R37" s="102">
        <v>107916</v>
      </c>
      <c r="S37" s="74"/>
      <c r="T37" s="73">
        <f t="shared" si="2"/>
        <v>1143051</v>
      </c>
      <c r="U37" s="102">
        <v>21771</v>
      </c>
      <c r="V37" s="102">
        <v>51802</v>
      </c>
      <c r="W37" s="102">
        <v>43862</v>
      </c>
      <c r="X37" s="102">
        <v>967151</v>
      </c>
      <c r="Y37" s="102">
        <v>0</v>
      </c>
      <c r="Z37" s="102">
        <v>0</v>
      </c>
      <c r="AA37" s="102">
        <v>58465</v>
      </c>
      <c r="AB37" s="102">
        <v>65844</v>
      </c>
      <c r="AC37" s="102">
        <v>2940890</v>
      </c>
      <c r="AD37" s="102">
        <v>2671783</v>
      </c>
      <c r="AE37" s="102">
        <v>269107</v>
      </c>
      <c r="AF37" s="102">
        <v>8562</v>
      </c>
      <c r="AG37" s="102">
        <v>215599</v>
      </c>
      <c r="AH37" s="73">
        <f t="shared" si="3"/>
        <v>259477</v>
      </c>
      <c r="AI37" s="102">
        <v>214372</v>
      </c>
      <c r="AJ37" s="102">
        <v>45105</v>
      </c>
      <c r="AK37" s="102">
        <v>3148905</v>
      </c>
      <c r="AL37" s="73">
        <f t="shared" si="4"/>
        <v>1668880</v>
      </c>
      <c r="AM37" s="102">
        <v>849712</v>
      </c>
      <c r="AN37" s="102">
        <v>414107</v>
      </c>
      <c r="AO37" s="74"/>
      <c r="AP37" s="102">
        <v>405061</v>
      </c>
      <c r="AQ37" s="102">
        <v>47964</v>
      </c>
      <c r="AR37" s="102">
        <v>1100</v>
      </c>
      <c r="AS37" s="102">
        <v>0</v>
      </c>
      <c r="AT37" s="102">
        <v>2215625</v>
      </c>
      <c r="AU37" s="102">
        <v>1735976</v>
      </c>
      <c r="AV37" s="102">
        <v>189408</v>
      </c>
      <c r="AW37" s="102">
        <v>778306</v>
      </c>
      <c r="AX37" s="102">
        <v>479649</v>
      </c>
      <c r="AY37" s="102">
        <v>1973</v>
      </c>
      <c r="AZ37" s="102">
        <v>23172</v>
      </c>
      <c r="BA37" s="102">
        <v>4526</v>
      </c>
      <c r="BB37" s="102">
        <v>3959</v>
      </c>
      <c r="BC37" s="102">
        <v>17297</v>
      </c>
      <c r="BD37" s="102">
        <v>0</v>
      </c>
      <c r="BE37" s="102">
        <v>0</v>
      </c>
      <c r="BF37" s="102">
        <v>16</v>
      </c>
      <c r="BG37" s="102">
        <v>0</v>
      </c>
      <c r="BH37" s="102">
        <v>471845</v>
      </c>
      <c r="BI37" s="102">
        <v>471747</v>
      </c>
      <c r="BJ37" s="102">
        <v>177630</v>
      </c>
      <c r="BK37" s="102">
        <v>358</v>
      </c>
      <c r="BL37" s="102">
        <v>0</v>
      </c>
      <c r="BM37" s="102">
        <v>0</v>
      </c>
      <c r="BN37" s="102">
        <v>2147500</v>
      </c>
      <c r="BO37" s="73">
        <f t="shared" si="5"/>
        <v>1258200</v>
      </c>
      <c r="BP37" s="73">
        <f t="shared" si="6"/>
        <v>889300</v>
      </c>
      <c r="BQ37" s="102">
        <v>0</v>
      </c>
      <c r="BR37" s="102">
        <v>0</v>
      </c>
      <c r="BS37" s="102">
        <v>889300</v>
      </c>
      <c r="BT37" s="102">
        <v>0</v>
      </c>
      <c r="BU37" s="102">
        <v>20360947</v>
      </c>
      <c r="BV37" s="71"/>
      <c r="BW37" s="102">
        <v>3644664</v>
      </c>
      <c r="BX37" s="102">
        <v>2460161</v>
      </c>
      <c r="BY37" s="102">
        <v>93514</v>
      </c>
      <c r="BZ37" s="102">
        <v>313980</v>
      </c>
      <c r="CA37" s="102">
        <v>5148208</v>
      </c>
      <c r="CB37" s="102">
        <v>1309856</v>
      </c>
      <c r="CC37" s="102">
        <v>35392</v>
      </c>
      <c r="CD37" s="102">
        <v>2498671</v>
      </c>
      <c r="CE37" s="102">
        <v>1089768</v>
      </c>
      <c r="CF37" s="102">
        <v>0</v>
      </c>
      <c r="CG37" s="102">
        <v>214521</v>
      </c>
      <c r="CH37" s="102">
        <v>1597170</v>
      </c>
      <c r="CI37" s="102">
        <v>1500833</v>
      </c>
      <c r="CJ37" s="83">
        <f t="shared" si="17"/>
        <v>96337</v>
      </c>
      <c r="CK37" s="102">
        <v>3190551</v>
      </c>
      <c r="CL37" s="102">
        <v>2179358</v>
      </c>
      <c r="CM37" s="102">
        <v>190061</v>
      </c>
      <c r="CN37" s="102">
        <v>360702</v>
      </c>
      <c r="CO37" s="102">
        <v>32484</v>
      </c>
      <c r="CP37" s="102">
        <v>1459166</v>
      </c>
      <c r="CQ37" s="102">
        <v>323186</v>
      </c>
      <c r="CR37" s="102">
        <v>394684</v>
      </c>
      <c r="CS37" s="102">
        <v>193398</v>
      </c>
      <c r="CT37" s="73">
        <f t="shared" si="7"/>
        <v>375462</v>
      </c>
      <c r="CU37" s="102">
        <v>98999</v>
      </c>
      <c r="CV37" s="102">
        <v>276463</v>
      </c>
      <c r="CW37" s="73">
        <f t="shared" si="8"/>
        <v>0</v>
      </c>
      <c r="CX37" s="102">
        <v>0</v>
      </c>
      <c r="CY37" s="102">
        <v>0</v>
      </c>
      <c r="CZ37" s="73">
        <f t="shared" si="9"/>
        <v>341162</v>
      </c>
      <c r="DA37" s="102">
        <v>64699</v>
      </c>
      <c r="DB37" s="102">
        <v>276463</v>
      </c>
      <c r="DC37" s="102">
        <v>2838569</v>
      </c>
      <c r="DD37" s="102">
        <v>1568984</v>
      </c>
      <c r="DE37" s="102">
        <v>1269065</v>
      </c>
      <c r="DF37" s="102">
        <v>520</v>
      </c>
      <c r="DG37" s="102">
        <v>0</v>
      </c>
      <c r="DH37" s="102">
        <v>22540</v>
      </c>
      <c r="DI37" s="102">
        <v>6240</v>
      </c>
      <c r="DJ37" s="102">
        <v>4784</v>
      </c>
      <c r="DK37" s="102">
        <v>4</v>
      </c>
      <c r="DL37" s="102">
        <v>1452</v>
      </c>
      <c r="DM37" s="102">
        <v>0</v>
      </c>
      <c r="DN37" s="102">
        <v>0</v>
      </c>
      <c r="DO37" s="102">
        <v>0</v>
      </c>
      <c r="DP37" s="102">
        <v>0</v>
      </c>
      <c r="DQ37" s="102">
        <v>0</v>
      </c>
      <c r="DR37" s="102">
        <v>0</v>
      </c>
      <c r="DS37" s="102">
        <v>0</v>
      </c>
      <c r="DT37" s="102">
        <v>1911121</v>
      </c>
      <c r="DU37" s="102">
        <v>0</v>
      </c>
      <c r="DV37" s="73">
        <f t="shared" si="10"/>
        <v>0</v>
      </c>
      <c r="DW37" s="102">
        <v>0</v>
      </c>
      <c r="DX37" s="102">
        <v>712205</v>
      </c>
      <c r="DY37" s="102">
        <v>0</v>
      </c>
      <c r="DZ37" s="102">
        <v>508253</v>
      </c>
      <c r="EA37" s="74">
        <v>0</v>
      </c>
      <c r="EB37" s="102">
        <v>684783</v>
      </c>
      <c r="EC37" s="102">
        <v>0</v>
      </c>
      <c r="ED37" s="102">
        <v>19850713</v>
      </c>
      <c r="EE37" s="71"/>
      <c r="EF37" s="102">
        <v>510234</v>
      </c>
      <c r="EG37" s="102">
        <v>43943</v>
      </c>
      <c r="EH37" s="102">
        <v>466291</v>
      </c>
      <c r="EI37" s="102">
        <v>-5456</v>
      </c>
      <c r="EJ37" s="102">
        <v>-672</v>
      </c>
      <c r="EK37" s="71"/>
      <c r="EL37" s="102">
        <v>57792</v>
      </c>
      <c r="EM37" s="102">
        <v>58547</v>
      </c>
      <c r="EN37" s="102">
        <v>11570</v>
      </c>
      <c r="EO37" s="102">
        <v>12243</v>
      </c>
      <c r="EP37" s="73">
        <f t="shared" si="11"/>
        <v>642220</v>
      </c>
      <c r="EQ37" s="102">
        <v>11679938</v>
      </c>
      <c r="ER37" s="71">
        <v>-1546771</v>
      </c>
      <c r="ES37" s="102">
        <v>3341343</v>
      </c>
      <c r="ET37" s="102">
        <v>2227722</v>
      </c>
      <c r="EU37" s="102">
        <v>1494703</v>
      </c>
      <c r="EV37" s="102">
        <v>1597170</v>
      </c>
      <c r="EW37" s="73">
        <f t="shared" si="12"/>
        <v>541334</v>
      </c>
      <c r="EX37" s="102">
        <v>541194</v>
      </c>
      <c r="EY37" s="102">
        <v>72532</v>
      </c>
      <c r="EZ37" s="102">
        <v>468142</v>
      </c>
      <c r="FA37" s="102">
        <v>140</v>
      </c>
      <c r="FB37" s="102">
        <v>0</v>
      </c>
      <c r="FC37" s="102">
        <v>2795604</v>
      </c>
      <c r="FD37" s="102">
        <v>1361848</v>
      </c>
      <c r="FE37" s="102">
        <v>323186</v>
      </c>
      <c r="FF37" s="102">
        <v>1551978</v>
      </c>
      <c r="FG37" s="73">
        <f t="shared" si="13"/>
        <v>32495</v>
      </c>
      <c r="FH37" s="102">
        <v>12716475</v>
      </c>
      <c r="FI37" s="379">
        <f t="shared" si="14"/>
        <v>3.9</v>
      </c>
      <c r="FJ37" s="102">
        <v>10931475</v>
      </c>
      <c r="FK37" s="102">
        <v>889456</v>
      </c>
      <c r="FL37" s="102">
        <v>6405806</v>
      </c>
      <c r="FM37" s="102">
        <v>9077589</v>
      </c>
      <c r="FN37" s="428">
        <v>0.70899999999999996</v>
      </c>
      <c r="FO37" s="424">
        <v>95</v>
      </c>
      <c r="FP37" s="425">
        <v>27.7</v>
      </c>
      <c r="FQ37" s="424">
        <v>12.5</v>
      </c>
      <c r="FR37" s="424">
        <v>13.3</v>
      </c>
      <c r="FS37" s="425">
        <v>21.5</v>
      </c>
      <c r="FT37" s="424">
        <v>7.4</v>
      </c>
      <c r="FU37" s="426">
        <v>12.3</v>
      </c>
      <c r="FV37" s="384">
        <v>2</v>
      </c>
      <c r="FW37" s="102">
        <v>17296806</v>
      </c>
      <c r="FX37" s="384">
        <f t="shared" si="15"/>
        <v>146.30000000000001</v>
      </c>
      <c r="FY37" s="102">
        <v>3861644</v>
      </c>
      <c r="FZ37" s="102">
        <v>3166093</v>
      </c>
      <c r="GA37" s="102">
        <v>36872</v>
      </c>
      <c r="GB37" s="102">
        <v>658679</v>
      </c>
      <c r="GC37" s="107">
        <v>0</v>
      </c>
      <c r="GD37" s="427"/>
      <c r="GE37" s="386"/>
      <c r="GF37" s="424">
        <v>99.2</v>
      </c>
      <c r="GG37" s="424">
        <v>28</v>
      </c>
      <c r="GH37" s="424">
        <v>96.6</v>
      </c>
      <c r="GI37" s="102">
        <v>382</v>
      </c>
      <c r="GJ37" s="429" t="s">
        <v>646</v>
      </c>
      <c r="GK37" s="429">
        <v>13.08</v>
      </c>
      <c r="GL37" s="117">
        <v>20</v>
      </c>
      <c r="GM37" s="429" t="s">
        <v>646</v>
      </c>
      <c r="GN37" s="430">
        <v>18.079999999999998</v>
      </c>
      <c r="GO37" s="387">
        <v>30</v>
      </c>
      <c r="GP37" s="425">
        <v>2</v>
      </c>
      <c r="GQ37" s="388">
        <v>25</v>
      </c>
      <c r="GR37" s="388">
        <v>35</v>
      </c>
      <c r="GS37" s="431" t="s">
        <v>646</v>
      </c>
      <c r="GT37" s="388">
        <v>350</v>
      </c>
      <c r="GU37" s="394"/>
      <c r="GV37" s="100">
        <f t="shared" si="16"/>
        <v>11821</v>
      </c>
      <c r="GW37" s="394"/>
      <c r="GX37" s="394"/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</row>
    <row r="38" spans="2:230" x14ac:dyDescent="0.15">
      <c r="B38" s="89" t="s">
        <v>65</v>
      </c>
      <c r="C38" s="102">
        <v>5490729</v>
      </c>
      <c r="D38" s="73">
        <f t="shared" si="0"/>
        <v>2453691</v>
      </c>
      <c r="E38" s="102">
        <v>89701</v>
      </c>
      <c r="F38" s="102">
        <v>2363990</v>
      </c>
      <c r="G38" s="73">
        <f t="shared" si="1"/>
        <v>264088</v>
      </c>
      <c r="H38" s="102">
        <v>80316</v>
      </c>
      <c r="I38" s="102">
        <v>183772</v>
      </c>
      <c r="J38" s="102">
        <v>1989615</v>
      </c>
      <c r="K38" s="102">
        <v>661776</v>
      </c>
      <c r="L38" s="102">
        <v>1014315</v>
      </c>
      <c r="M38" s="102">
        <v>257566</v>
      </c>
      <c r="N38" s="102">
        <v>252685</v>
      </c>
      <c r="O38" s="102">
        <v>398385</v>
      </c>
      <c r="P38" s="102">
        <v>186404</v>
      </c>
      <c r="Q38" s="102">
        <v>211981</v>
      </c>
      <c r="R38" s="102">
        <v>108651</v>
      </c>
      <c r="S38" s="74"/>
      <c r="T38" s="73">
        <f t="shared" si="2"/>
        <v>985500</v>
      </c>
      <c r="U38" s="102">
        <v>15245</v>
      </c>
      <c r="V38" s="102">
        <v>36243</v>
      </c>
      <c r="W38" s="102">
        <v>30608</v>
      </c>
      <c r="X38" s="102">
        <v>841792</v>
      </c>
      <c r="Y38" s="102">
        <v>2775</v>
      </c>
      <c r="Z38" s="102">
        <v>0</v>
      </c>
      <c r="AA38" s="102">
        <v>58837</v>
      </c>
      <c r="AB38" s="102">
        <v>37737</v>
      </c>
      <c r="AC38" s="102">
        <v>4455887</v>
      </c>
      <c r="AD38" s="102">
        <v>4191061</v>
      </c>
      <c r="AE38" s="102">
        <v>264826</v>
      </c>
      <c r="AF38" s="102">
        <v>6769</v>
      </c>
      <c r="AG38" s="102">
        <v>10270</v>
      </c>
      <c r="AH38" s="73">
        <f t="shared" si="3"/>
        <v>277870</v>
      </c>
      <c r="AI38" s="102">
        <v>190289</v>
      </c>
      <c r="AJ38" s="102">
        <v>87581</v>
      </c>
      <c r="AK38" s="102">
        <v>2644537</v>
      </c>
      <c r="AL38" s="73">
        <f t="shared" si="4"/>
        <v>1741275</v>
      </c>
      <c r="AM38" s="102">
        <v>848799</v>
      </c>
      <c r="AN38" s="102">
        <v>372467</v>
      </c>
      <c r="AO38" s="74"/>
      <c r="AP38" s="102">
        <v>520009</v>
      </c>
      <c r="AQ38" s="102">
        <v>26277</v>
      </c>
      <c r="AR38" s="102">
        <v>11077</v>
      </c>
      <c r="AS38" s="102">
        <v>0</v>
      </c>
      <c r="AT38" s="102">
        <v>1402046</v>
      </c>
      <c r="AU38" s="102">
        <v>696546</v>
      </c>
      <c r="AV38" s="102">
        <v>166026</v>
      </c>
      <c r="AW38" s="102">
        <v>0</v>
      </c>
      <c r="AX38" s="102">
        <v>705500</v>
      </c>
      <c r="AY38" s="102">
        <v>0</v>
      </c>
      <c r="AZ38" s="102">
        <v>97994</v>
      </c>
      <c r="BA38" s="102">
        <v>90322</v>
      </c>
      <c r="BB38" s="102">
        <v>524254</v>
      </c>
      <c r="BC38" s="102">
        <v>872431</v>
      </c>
      <c r="BD38" s="102">
        <v>298636</v>
      </c>
      <c r="BE38" s="102">
        <v>0</v>
      </c>
      <c r="BF38" s="102">
        <v>323755</v>
      </c>
      <c r="BG38" s="102">
        <v>0</v>
      </c>
      <c r="BH38" s="102">
        <v>281654</v>
      </c>
      <c r="BI38" s="102">
        <v>268833</v>
      </c>
      <c r="BJ38" s="102">
        <v>242579</v>
      </c>
      <c r="BK38" s="102">
        <v>0</v>
      </c>
      <c r="BL38" s="102">
        <v>0</v>
      </c>
      <c r="BM38" s="102">
        <v>0</v>
      </c>
      <c r="BN38" s="102">
        <v>1669998</v>
      </c>
      <c r="BO38" s="73">
        <f t="shared" si="5"/>
        <v>971800</v>
      </c>
      <c r="BP38" s="73">
        <f t="shared" si="6"/>
        <v>698198</v>
      </c>
      <c r="BQ38" s="102">
        <v>0</v>
      </c>
      <c r="BR38" s="102">
        <v>0</v>
      </c>
      <c r="BS38" s="102">
        <v>698198</v>
      </c>
      <c r="BT38" s="102">
        <v>0</v>
      </c>
      <c r="BU38" s="102">
        <v>19108906</v>
      </c>
      <c r="BV38" s="71"/>
      <c r="BW38" s="102">
        <v>3149406</v>
      </c>
      <c r="BX38" s="102">
        <v>2209455</v>
      </c>
      <c r="BY38" s="102">
        <v>266748</v>
      </c>
      <c r="BZ38" s="102">
        <v>16858</v>
      </c>
      <c r="CA38" s="102">
        <v>4426142</v>
      </c>
      <c r="CB38" s="102">
        <v>1264879</v>
      </c>
      <c r="CC38" s="102">
        <v>57792</v>
      </c>
      <c r="CD38" s="102">
        <v>1809157</v>
      </c>
      <c r="CE38" s="102">
        <v>1101346</v>
      </c>
      <c r="CF38" s="102">
        <v>5134</v>
      </c>
      <c r="CG38" s="102">
        <v>187834</v>
      </c>
      <c r="CH38" s="102">
        <v>1673957</v>
      </c>
      <c r="CI38" s="102">
        <v>1515458</v>
      </c>
      <c r="CJ38" s="83">
        <f t="shared" si="17"/>
        <v>158499</v>
      </c>
      <c r="CK38" s="102">
        <v>2471713</v>
      </c>
      <c r="CL38" s="102">
        <v>1366732</v>
      </c>
      <c r="CM38" s="102">
        <v>388062</v>
      </c>
      <c r="CN38" s="102">
        <v>358616</v>
      </c>
      <c r="CO38" s="102">
        <v>63794</v>
      </c>
      <c r="CP38" s="102">
        <v>2767278</v>
      </c>
      <c r="CQ38" s="102">
        <v>1154946</v>
      </c>
      <c r="CR38" s="102">
        <v>249889</v>
      </c>
      <c r="CS38" s="102">
        <v>249889</v>
      </c>
      <c r="CT38" s="73">
        <f t="shared" si="7"/>
        <v>661655</v>
      </c>
      <c r="CU38" s="102">
        <v>301283</v>
      </c>
      <c r="CV38" s="102">
        <v>360372</v>
      </c>
      <c r="CW38" s="73">
        <f t="shared" si="8"/>
        <v>281388</v>
      </c>
      <c r="CX38" s="102">
        <v>238180</v>
      </c>
      <c r="CY38" s="102">
        <v>43208</v>
      </c>
      <c r="CZ38" s="73">
        <f t="shared" si="9"/>
        <v>377703</v>
      </c>
      <c r="DA38" s="102">
        <v>61339</v>
      </c>
      <c r="DB38" s="102">
        <v>316364</v>
      </c>
      <c r="DC38" s="102">
        <v>1095795</v>
      </c>
      <c r="DD38" s="102">
        <v>76701</v>
      </c>
      <c r="DE38" s="102">
        <v>1011596</v>
      </c>
      <c r="DF38" s="102">
        <v>7498</v>
      </c>
      <c r="DG38" s="102">
        <v>0</v>
      </c>
      <c r="DH38" s="102">
        <v>61318</v>
      </c>
      <c r="DI38" s="102">
        <v>791492</v>
      </c>
      <c r="DJ38" s="102">
        <v>250609</v>
      </c>
      <c r="DK38" s="102">
        <v>68</v>
      </c>
      <c r="DL38" s="102">
        <v>540815</v>
      </c>
      <c r="DM38" s="102">
        <v>88281</v>
      </c>
      <c r="DN38" s="102">
        <v>88281</v>
      </c>
      <c r="DO38" s="102">
        <v>0</v>
      </c>
      <c r="DP38" s="102">
        <v>0</v>
      </c>
      <c r="DQ38" s="102">
        <v>0</v>
      </c>
      <c r="DR38" s="102">
        <v>0</v>
      </c>
      <c r="DS38" s="102">
        <v>0</v>
      </c>
      <c r="DT38" s="102">
        <v>2247190</v>
      </c>
      <c r="DU38" s="102">
        <v>0</v>
      </c>
      <c r="DV38" s="73">
        <f t="shared" si="10"/>
        <v>0</v>
      </c>
      <c r="DW38" s="102">
        <v>0</v>
      </c>
      <c r="DX38" s="102">
        <v>856951</v>
      </c>
      <c r="DY38" s="102">
        <v>0</v>
      </c>
      <c r="DZ38" s="102">
        <v>666661</v>
      </c>
      <c r="EA38" s="74">
        <v>0</v>
      </c>
      <c r="EB38" s="102">
        <v>723578</v>
      </c>
      <c r="EC38" s="102">
        <v>0</v>
      </c>
      <c r="ED38" s="102">
        <v>18836366</v>
      </c>
      <c r="EE38" s="71"/>
      <c r="EF38" s="102">
        <v>272540</v>
      </c>
      <c r="EG38" s="102">
        <v>6077</v>
      </c>
      <c r="EH38" s="102">
        <v>266463</v>
      </c>
      <c r="EI38" s="102">
        <v>-2370</v>
      </c>
      <c r="EJ38" s="102">
        <v>-50397</v>
      </c>
      <c r="EK38" s="71"/>
      <c r="EL38" s="102">
        <v>54276</v>
      </c>
      <c r="EM38" s="102">
        <v>54534</v>
      </c>
      <c r="EN38" s="102">
        <v>298676</v>
      </c>
      <c r="EO38" s="102">
        <v>93926</v>
      </c>
      <c r="EP38" s="73">
        <f t="shared" si="11"/>
        <v>372195</v>
      </c>
      <c r="EQ38" s="102">
        <v>11085273</v>
      </c>
      <c r="ER38" s="71">
        <v>-1456226</v>
      </c>
      <c r="ES38" s="102">
        <v>2847631</v>
      </c>
      <c r="ET38" s="102">
        <v>2209455</v>
      </c>
      <c r="EU38" s="102">
        <v>1211670</v>
      </c>
      <c r="EV38" s="102">
        <v>1672997</v>
      </c>
      <c r="EW38" s="73">
        <f t="shared" si="12"/>
        <v>119555</v>
      </c>
      <c r="EX38" s="102">
        <v>110714</v>
      </c>
      <c r="EY38" s="102">
        <v>6445</v>
      </c>
      <c r="EZ38" s="102">
        <v>103920</v>
      </c>
      <c r="FA38" s="102">
        <v>8841</v>
      </c>
      <c r="FB38" s="102">
        <v>0</v>
      </c>
      <c r="FC38" s="102">
        <v>1887564</v>
      </c>
      <c r="FD38" s="102">
        <v>2555812</v>
      </c>
      <c r="FE38" s="102">
        <v>1110065</v>
      </c>
      <c r="FF38" s="102">
        <v>1801598</v>
      </c>
      <c r="FG38" s="73">
        <f t="shared" si="13"/>
        <v>172132</v>
      </c>
      <c r="FH38" s="102">
        <v>12268959</v>
      </c>
      <c r="FI38" s="379">
        <f t="shared" si="14"/>
        <v>2.4</v>
      </c>
      <c r="FJ38" s="102">
        <v>10343468</v>
      </c>
      <c r="FK38" s="102">
        <v>698198</v>
      </c>
      <c r="FL38" s="102">
        <v>4863275</v>
      </c>
      <c r="FM38" s="102">
        <v>9045723</v>
      </c>
      <c r="FN38" s="428">
        <v>0.54600000000000004</v>
      </c>
      <c r="FO38" s="424">
        <v>98.7</v>
      </c>
      <c r="FP38" s="425">
        <v>24.9</v>
      </c>
      <c r="FQ38" s="424">
        <v>10.8</v>
      </c>
      <c r="FR38" s="424">
        <v>15</v>
      </c>
      <c r="FS38" s="425">
        <v>14.7</v>
      </c>
      <c r="FT38" s="424">
        <v>15.9</v>
      </c>
      <c r="FU38" s="426">
        <v>16.100000000000001</v>
      </c>
      <c r="FV38" s="384">
        <v>6.8</v>
      </c>
      <c r="FW38" s="102">
        <v>17665255</v>
      </c>
      <c r="FX38" s="384">
        <f t="shared" si="15"/>
        <v>160</v>
      </c>
      <c r="FY38" s="102">
        <v>2006623</v>
      </c>
      <c r="FZ38" s="102">
        <v>926960</v>
      </c>
      <c r="GA38" s="102">
        <v>215965</v>
      </c>
      <c r="GB38" s="102">
        <v>863698</v>
      </c>
      <c r="GC38" s="107">
        <v>0</v>
      </c>
      <c r="GD38" s="427"/>
      <c r="GE38" s="386"/>
      <c r="GF38" s="424">
        <v>98.9</v>
      </c>
      <c r="GG38" s="424">
        <v>36.4</v>
      </c>
      <c r="GH38" s="424">
        <v>96.2</v>
      </c>
      <c r="GI38" s="102">
        <v>338</v>
      </c>
      <c r="GJ38" s="429" t="s">
        <v>646</v>
      </c>
      <c r="GK38" s="429">
        <v>13.18</v>
      </c>
      <c r="GL38" s="117">
        <v>20</v>
      </c>
      <c r="GM38" s="429" t="s">
        <v>646</v>
      </c>
      <c r="GN38" s="430">
        <v>18.18</v>
      </c>
      <c r="GO38" s="387">
        <v>30</v>
      </c>
      <c r="GP38" s="425">
        <v>6.8</v>
      </c>
      <c r="GQ38" s="388">
        <v>25</v>
      </c>
      <c r="GR38" s="388">
        <v>35</v>
      </c>
      <c r="GS38" s="431">
        <v>84.8</v>
      </c>
      <c r="GT38" s="388">
        <v>350</v>
      </c>
      <c r="GU38" s="394"/>
      <c r="GV38" s="100">
        <f t="shared" si="16"/>
        <v>11042</v>
      </c>
      <c r="GW38" s="394"/>
      <c r="GX38" s="394"/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</row>
    <row r="39" spans="2:230" s="112" customFormat="1" x14ac:dyDescent="0.15">
      <c r="B39" s="112" t="s">
        <v>67</v>
      </c>
      <c r="C39" s="114">
        <f>SUM(C8:C38)</f>
        <v>761369650</v>
      </c>
      <c r="D39" s="113">
        <f t="shared" si="0"/>
        <v>289395094</v>
      </c>
      <c r="E39" s="114">
        <f>SUM(E8:E38)</f>
        <v>8193878</v>
      </c>
      <c r="F39" s="114">
        <f>SUM(F8:F38)</f>
        <v>281201216</v>
      </c>
      <c r="G39" s="113">
        <f t="shared" si="1"/>
        <v>57229646</v>
      </c>
      <c r="H39" s="114">
        <f t="shared" ref="H39:AM39" si="18">SUM(H8:H38)</f>
        <v>13700130</v>
      </c>
      <c r="I39" s="114">
        <f t="shared" si="18"/>
        <v>43529516</v>
      </c>
      <c r="J39" s="114">
        <f t="shared" si="18"/>
        <v>304003878</v>
      </c>
      <c r="K39" s="114">
        <f t="shared" si="18"/>
        <v>126420915</v>
      </c>
      <c r="L39" s="114">
        <f t="shared" si="18"/>
        <v>132573326</v>
      </c>
      <c r="M39" s="114">
        <f t="shared" si="18"/>
        <v>39660967</v>
      </c>
      <c r="N39" s="114">
        <f t="shared" si="18"/>
        <v>32421468</v>
      </c>
      <c r="O39" s="114">
        <f t="shared" si="18"/>
        <v>63171019</v>
      </c>
      <c r="P39" s="114">
        <f t="shared" si="18"/>
        <v>34628230</v>
      </c>
      <c r="Q39" s="114">
        <f t="shared" si="18"/>
        <v>28542789</v>
      </c>
      <c r="R39" s="114">
        <f t="shared" si="18"/>
        <v>10333400</v>
      </c>
      <c r="S39" s="114">
        <f t="shared" si="18"/>
        <v>0</v>
      </c>
      <c r="T39" s="114">
        <f t="shared" si="18"/>
        <v>101727872</v>
      </c>
      <c r="U39" s="114">
        <f t="shared" si="18"/>
        <v>1744691</v>
      </c>
      <c r="V39" s="114">
        <f t="shared" si="18"/>
        <v>4153264</v>
      </c>
      <c r="W39" s="114">
        <f t="shared" si="18"/>
        <v>3521230</v>
      </c>
      <c r="X39" s="114">
        <f t="shared" si="18"/>
        <v>87210758</v>
      </c>
      <c r="Y39" s="114">
        <f t="shared" si="18"/>
        <v>594310</v>
      </c>
      <c r="Z39" s="114">
        <f t="shared" si="18"/>
        <v>0</v>
      </c>
      <c r="AA39" s="114">
        <f t="shared" si="18"/>
        <v>4503619</v>
      </c>
      <c r="AB39" s="114">
        <f t="shared" si="18"/>
        <v>4163204</v>
      </c>
      <c r="AC39" s="114">
        <f t="shared" si="18"/>
        <v>184068928</v>
      </c>
      <c r="AD39" s="114">
        <f t="shared" si="18"/>
        <v>171747623</v>
      </c>
      <c r="AE39" s="114">
        <f t="shared" si="18"/>
        <v>12321120</v>
      </c>
      <c r="AF39" s="114">
        <f t="shared" si="18"/>
        <v>659608</v>
      </c>
      <c r="AG39" s="114">
        <f t="shared" si="18"/>
        <v>18382912</v>
      </c>
      <c r="AH39" s="114">
        <f t="shared" si="18"/>
        <v>33418785</v>
      </c>
      <c r="AI39" s="114">
        <f t="shared" si="18"/>
        <v>25455299</v>
      </c>
      <c r="AJ39" s="114">
        <f t="shared" si="18"/>
        <v>7963486</v>
      </c>
      <c r="AK39" s="114">
        <f t="shared" si="18"/>
        <v>380322006</v>
      </c>
      <c r="AL39" s="114">
        <f t="shared" si="18"/>
        <v>245511061</v>
      </c>
      <c r="AM39" s="114">
        <f t="shared" si="18"/>
        <v>154104715</v>
      </c>
      <c r="AN39" s="114">
        <f t="shared" ref="AN39:BN39" si="19">SUM(AN8:AN38)</f>
        <v>36841917</v>
      </c>
      <c r="AO39" s="114">
        <f t="shared" si="19"/>
        <v>0</v>
      </c>
      <c r="AP39" s="114">
        <f t="shared" si="19"/>
        <v>54564429</v>
      </c>
      <c r="AQ39" s="114">
        <f t="shared" si="19"/>
        <v>14103409</v>
      </c>
      <c r="AR39" s="114">
        <f t="shared" si="19"/>
        <v>1849176</v>
      </c>
      <c r="AS39" s="114">
        <f t="shared" si="19"/>
        <v>264640</v>
      </c>
      <c r="AT39" s="114">
        <f t="shared" si="19"/>
        <v>139968658</v>
      </c>
      <c r="AU39" s="114">
        <f t="shared" si="19"/>
        <v>87242510</v>
      </c>
      <c r="AV39" s="114">
        <f t="shared" si="19"/>
        <v>15676163</v>
      </c>
      <c r="AW39" s="114">
        <f t="shared" si="19"/>
        <v>5244853</v>
      </c>
      <c r="AX39" s="114">
        <f t="shared" si="19"/>
        <v>52726148</v>
      </c>
      <c r="AY39" s="114">
        <f t="shared" si="19"/>
        <v>3168032</v>
      </c>
      <c r="AZ39" s="114">
        <f t="shared" si="19"/>
        <v>12272667</v>
      </c>
      <c r="BA39" s="114">
        <f t="shared" si="19"/>
        <v>9837965</v>
      </c>
      <c r="BB39" s="114">
        <f t="shared" si="19"/>
        <v>57229394</v>
      </c>
      <c r="BC39" s="114">
        <f t="shared" si="19"/>
        <v>66395203</v>
      </c>
      <c r="BD39" s="114">
        <f t="shared" si="19"/>
        <v>9554762</v>
      </c>
      <c r="BE39" s="114">
        <f t="shared" si="19"/>
        <v>4152209</v>
      </c>
      <c r="BF39" s="114">
        <f t="shared" si="19"/>
        <v>51364516</v>
      </c>
      <c r="BG39" s="114">
        <f t="shared" si="19"/>
        <v>100000</v>
      </c>
      <c r="BH39" s="114">
        <f t="shared" si="19"/>
        <v>22466366</v>
      </c>
      <c r="BI39" s="114">
        <f t="shared" si="19"/>
        <v>16482638</v>
      </c>
      <c r="BJ39" s="114">
        <f t="shared" si="19"/>
        <v>33706077</v>
      </c>
      <c r="BK39" s="114">
        <f t="shared" si="19"/>
        <v>7881709</v>
      </c>
      <c r="BL39" s="114">
        <f t="shared" si="19"/>
        <v>149695</v>
      </c>
      <c r="BM39" s="114">
        <f t="shared" si="19"/>
        <v>2430874</v>
      </c>
      <c r="BN39" s="114">
        <f t="shared" si="19"/>
        <v>153975296</v>
      </c>
      <c r="BO39" s="113">
        <f t="shared" si="5"/>
        <v>89566053</v>
      </c>
      <c r="BP39" s="113">
        <f t="shared" si="6"/>
        <v>64409243</v>
      </c>
      <c r="BQ39" s="114">
        <f>SUM(BQ8:BQ38)</f>
        <v>0</v>
      </c>
      <c r="BR39" s="114">
        <f>SUM(BR8:BR38)</f>
        <v>54400</v>
      </c>
      <c r="BS39" s="114">
        <f>SUM(BS8:BS38)</f>
        <v>64354843</v>
      </c>
      <c r="BT39" s="114">
        <f>SUM(BT8:BT38)</f>
        <v>0</v>
      </c>
      <c r="BU39" s="114">
        <f>SUM(BU8:BU38)</f>
        <v>1980724666</v>
      </c>
      <c r="BV39" s="114"/>
      <c r="BW39" s="114">
        <f t="shared" ref="BW39:CS39" si="20">SUM(BW8:BW38)</f>
        <v>291071874</v>
      </c>
      <c r="BX39" s="114">
        <f t="shared" si="20"/>
        <v>193982758</v>
      </c>
      <c r="BY39" s="114">
        <f t="shared" si="20"/>
        <v>18427973</v>
      </c>
      <c r="BZ39" s="114">
        <f t="shared" si="20"/>
        <v>23240944</v>
      </c>
      <c r="CA39" s="114">
        <f t="shared" si="20"/>
        <v>595358868</v>
      </c>
      <c r="CB39" s="114">
        <f t="shared" si="20"/>
        <v>131892726</v>
      </c>
      <c r="CC39" s="114">
        <f t="shared" si="20"/>
        <v>5596990</v>
      </c>
      <c r="CD39" s="114">
        <f t="shared" si="20"/>
        <v>235243019</v>
      </c>
      <c r="CE39" s="114">
        <f t="shared" si="20"/>
        <v>203975382</v>
      </c>
      <c r="CF39" s="114">
        <f t="shared" si="20"/>
        <v>4778091</v>
      </c>
      <c r="CG39" s="114">
        <f t="shared" si="20"/>
        <v>13829619</v>
      </c>
      <c r="CH39" s="114">
        <f t="shared" si="20"/>
        <v>153540565</v>
      </c>
      <c r="CI39" s="114">
        <f t="shared" si="20"/>
        <v>142351098</v>
      </c>
      <c r="CJ39" s="114">
        <f t="shared" si="20"/>
        <v>11189467</v>
      </c>
      <c r="CK39" s="114">
        <f t="shared" si="20"/>
        <v>231748833</v>
      </c>
      <c r="CL39" s="114">
        <f t="shared" si="20"/>
        <v>143434094</v>
      </c>
      <c r="CM39" s="114">
        <f t="shared" si="20"/>
        <v>15036671</v>
      </c>
      <c r="CN39" s="114">
        <f t="shared" si="20"/>
        <v>35467585</v>
      </c>
      <c r="CO39" s="114">
        <f t="shared" si="20"/>
        <v>13907021</v>
      </c>
      <c r="CP39" s="114">
        <f t="shared" si="20"/>
        <v>181548613</v>
      </c>
      <c r="CQ39" s="114">
        <f t="shared" si="20"/>
        <v>35772223</v>
      </c>
      <c r="CR39" s="114">
        <f t="shared" si="20"/>
        <v>37425364</v>
      </c>
      <c r="CS39" s="114">
        <f t="shared" si="20"/>
        <v>27809149</v>
      </c>
      <c r="CT39" s="113">
        <f t="shared" si="7"/>
        <v>57706002</v>
      </c>
      <c r="CU39" s="114">
        <f>SUM(CU8:CU38)</f>
        <v>41550915</v>
      </c>
      <c r="CV39" s="114">
        <f>SUM(CV8:CV38)</f>
        <v>16155087</v>
      </c>
      <c r="CW39" s="113">
        <f t="shared" si="8"/>
        <v>10728887</v>
      </c>
      <c r="CX39" s="114">
        <f>SUM(CX8:CX38)</f>
        <v>8484310</v>
      </c>
      <c r="CY39" s="114">
        <f>SUM(CY8:CY38)</f>
        <v>2244577</v>
      </c>
      <c r="CZ39" s="113">
        <f t="shared" si="9"/>
        <v>44764610</v>
      </c>
      <c r="DA39" s="114">
        <f t="shared" ref="DA39:DU39" si="21">SUM(DA8:DA38)</f>
        <v>32328416</v>
      </c>
      <c r="DB39" s="114">
        <f t="shared" si="21"/>
        <v>12436194</v>
      </c>
      <c r="DC39" s="114">
        <f t="shared" si="21"/>
        <v>178214185</v>
      </c>
      <c r="DD39" s="114">
        <f t="shared" si="21"/>
        <v>79223406</v>
      </c>
      <c r="DE39" s="114">
        <f t="shared" si="21"/>
        <v>92295178</v>
      </c>
      <c r="DF39" s="114">
        <f t="shared" si="21"/>
        <v>1899834</v>
      </c>
      <c r="DG39" s="114">
        <f t="shared" si="21"/>
        <v>4747176</v>
      </c>
      <c r="DH39" s="114">
        <f t="shared" si="21"/>
        <v>10001143</v>
      </c>
      <c r="DI39" s="114">
        <f t="shared" si="21"/>
        <v>87663994</v>
      </c>
      <c r="DJ39" s="114">
        <f t="shared" si="21"/>
        <v>12596077</v>
      </c>
      <c r="DK39" s="114">
        <f t="shared" si="21"/>
        <v>2235128</v>
      </c>
      <c r="DL39" s="114">
        <f t="shared" si="21"/>
        <v>72832789</v>
      </c>
      <c r="DM39" s="114">
        <f t="shared" si="21"/>
        <v>6334404</v>
      </c>
      <c r="DN39" s="114">
        <f t="shared" si="21"/>
        <v>6082650</v>
      </c>
      <c r="DO39" s="114">
        <f t="shared" si="21"/>
        <v>407087</v>
      </c>
      <c r="DP39" s="114">
        <f t="shared" si="21"/>
        <v>1051558</v>
      </c>
      <c r="DQ39" s="114">
        <f t="shared" si="21"/>
        <v>9502331</v>
      </c>
      <c r="DR39" s="114">
        <f t="shared" si="21"/>
        <v>0</v>
      </c>
      <c r="DS39" s="114">
        <f t="shared" si="21"/>
        <v>0</v>
      </c>
      <c r="DT39" s="114">
        <f t="shared" si="21"/>
        <v>189510227</v>
      </c>
      <c r="DU39" s="114">
        <f t="shared" si="21"/>
        <v>9600428</v>
      </c>
      <c r="DV39" s="113">
        <f t="shared" si="10"/>
        <v>0</v>
      </c>
      <c r="DW39" s="114">
        <f t="shared" ref="DW39:ED39" si="22">SUM(DW8:DW38)</f>
        <v>0</v>
      </c>
      <c r="DX39" s="114">
        <f t="shared" si="22"/>
        <v>64725406</v>
      </c>
      <c r="DY39" s="114">
        <f t="shared" si="22"/>
        <v>248612</v>
      </c>
      <c r="DZ39" s="114">
        <f t="shared" si="22"/>
        <v>52720282</v>
      </c>
      <c r="EA39" s="114">
        <f t="shared" si="22"/>
        <v>0</v>
      </c>
      <c r="EB39" s="114">
        <f t="shared" si="22"/>
        <v>60014075</v>
      </c>
      <c r="EC39" s="114">
        <f t="shared" si="22"/>
        <v>0</v>
      </c>
      <c r="ED39" s="114">
        <f t="shared" si="22"/>
        <v>1948402058</v>
      </c>
      <c r="EE39" s="114"/>
      <c r="EF39" s="114">
        <f>SUM(EF8:EF38)</f>
        <v>32322608</v>
      </c>
      <c r="EG39" s="114">
        <f>SUM(EG8:EG38)</f>
        <v>10507303</v>
      </c>
      <c r="EH39" s="114">
        <f>SUM(EH8:EH38)</f>
        <v>21815305</v>
      </c>
      <c r="EI39" s="114">
        <f>SUM(EI8:EI38)</f>
        <v>2375656</v>
      </c>
      <c r="EJ39" s="114">
        <f>SUM(EJ8:EJ38)</f>
        <v>9417423</v>
      </c>
      <c r="EK39" s="114"/>
      <c r="EL39" s="114">
        <f>SUM(EL8:EL38)</f>
        <v>5127461</v>
      </c>
      <c r="EM39" s="114">
        <f>SUM(EM8:EM38)</f>
        <v>5116128</v>
      </c>
      <c r="EN39" s="114">
        <f>SUM(EN8:EN38)</f>
        <v>47389282</v>
      </c>
      <c r="EO39" s="114">
        <f>SUM(EO8:EO38)</f>
        <v>10883248</v>
      </c>
      <c r="EP39" s="113">
        <f t="shared" si="11"/>
        <v>43336876</v>
      </c>
      <c r="EQ39" s="114">
        <f t="shared" ref="EQ39:EV39" si="23">SUM(EQ8:EQ38)</f>
        <v>1062587302</v>
      </c>
      <c r="ER39" s="114">
        <f t="shared" si="23"/>
        <v>-165094401</v>
      </c>
      <c r="ES39" s="114">
        <f t="shared" si="23"/>
        <v>266856179</v>
      </c>
      <c r="ET39" s="114">
        <f t="shared" si="23"/>
        <v>176046384</v>
      </c>
      <c r="EU39" s="114">
        <f t="shared" si="23"/>
        <v>176266488</v>
      </c>
      <c r="EV39" s="114">
        <f t="shared" si="23"/>
        <v>151849308</v>
      </c>
      <c r="EW39" s="113">
        <f t="shared" si="12"/>
        <v>44068706</v>
      </c>
      <c r="EX39" s="114">
        <f t="shared" ref="EX39:FF39" si="24">SUM(EX8:EX38)</f>
        <v>39684783</v>
      </c>
      <c r="EY39" s="114">
        <f t="shared" si="24"/>
        <v>4475272</v>
      </c>
      <c r="EZ39" s="114">
        <f t="shared" si="24"/>
        <v>34804070</v>
      </c>
      <c r="FA39" s="114">
        <f t="shared" si="24"/>
        <v>4383923</v>
      </c>
      <c r="FB39" s="114">
        <f t="shared" si="24"/>
        <v>0</v>
      </c>
      <c r="FC39" s="114">
        <f t="shared" si="24"/>
        <v>189088717</v>
      </c>
      <c r="FD39" s="114">
        <f t="shared" si="24"/>
        <v>169026684</v>
      </c>
      <c r="FE39" s="114">
        <f t="shared" si="24"/>
        <v>35109362</v>
      </c>
      <c r="FF39" s="114">
        <f t="shared" si="24"/>
        <v>152984432</v>
      </c>
      <c r="FG39" s="113">
        <f t="shared" si="13"/>
        <v>45620487</v>
      </c>
      <c r="FH39" s="114">
        <f>SUM(FH8:FH38)</f>
        <v>1195761001</v>
      </c>
      <c r="FI39" s="441">
        <f t="shared" si="14"/>
        <v>2.1</v>
      </c>
      <c r="FJ39" s="114">
        <f>SUM(FJ8:FJ38)</f>
        <v>968155899</v>
      </c>
      <c r="FK39" s="114">
        <f>SUM(FK8:FK38)</f>
        <v>74536761</v>
      </c>
      <c r="FL39" s="114">
        <f>SUM(FL8:FL38)</f>
        <v>618645245</v>
      </c>
      <c r="FM39" s="114">
        <f>SUM(FM8:FM38)</f>
        <v>791114215</v>
      </c>
      <c r="FN39" s="442">
        <v>0.78500000000000003</v>
      </c>
      <c r="FO39" s="443">
        <v>96.5</v>
      </c>
      <c r="FP39" s="444">
        <v>24.8</v>
      </c>
      <c r="FQ39" s="443">
        <v>16.600000000000001</v>
      </c>
      <c r="FR39" s="443">
        <v>13.9</v>
      </c>
      <c r="FS39" s="444">
        <v>15.5</v>
      </c>
      <c r="FT39" s="443">
        <v>11.4</v>
      </c>
      <c r="FU39" s="445">
        <v>13</v>
      </c>
      <c r="FV39" s="446">
        <v>3.7</v>
      </c>
      <c r="FW39" s="114">
        <f>SUM(FW8:FW38)</f>
        <v>1503368222</v>
      </c>
      <c r="FX39" s="446">
        <f t="shared" si="15"/>
        <v>144.19999999999999</v>
      </c>
      <c r="FY39" s="114">
        <f t="shared" ref="FY39:GD39" si="25">SUM(FY8:FY38)</f>
        <v>356663479</v>
      </c>
      <c r="FZ39" s="114">
        <f t="shared" si="25"/>
        <v>142709703</v>
      </c>
      <c r="GA39" s="114">
        <f t="shared" si="25"/>
        <v>26840596</v>
      </c>
      <c r="GB39" s="114">
        <f t="shared" si="25"/>
        <v>187113180</v>
      </c>
      <c r="GC39" s="114">
        <f t="shared" si="25"/>
        <v>0</v>
      </c>
      <c r="GD39" s="114">
        <f t="shared" si="25"/>
        <v>27247</v>
      </c>
      <c r="GE39" s="447">
        <f>IF(GD39=0,"-",ROUND(GD39/GW39*100,1))</f>
        <v>7.8</v>
      </c>
      <c r="GF39" s="443">
        <v>99.4</v>
      </c>
      <c r="GG39" s="443">
        <v>35.200000000000003</v>
      </c>
      <c r="GH39" s="443">
        <v>97.9</v>
      </c>
      <c r="GI39" s="114">
        <f>SUM(GI8:GI38)</f>
        <v>29602</v>
      </c>
      <c r="GJ39" s="448" t="s">
        <v>646</v>
      </c>
      <c r="GK39" s="448" t="s">
        <v>646</v>
      </c>
      <c r="GL39" s="449" t="s">
        <v>646</v>
      </c>
      <c r="GM39" s="448" t="s">
        <v>646</v>
      </c>
      <c r="GN39" s="448" t="s">
        <v>646</v>
      </c>
      <c r="GO39" s="449" t="s">
        <v>646</v>
      </c>
      <c r="GP39" s="444">
        <v>3.7</v>
      </c>
      <c r="GQ39" s="447" t="s">
        <v>646</v>
      </c>
      <c r="GR39" s="447" t="s">
        <v>646</v>
      </c>
      <c r="GS39" s="450" t="s">
        <v>646</v>
      </c>
      <c r="GT39" s="447" t="s">
        <v>646</v>
      </c>
      <c r="GU39" s="408"/>
      <c r="GV39" s="115">
        <f t="shared" si="16"/>
        <v>1042693</v>
      </c>
      <c r="GW39" s="408">
        <f>GV12+GV13+GV16+GV17+GV19+GV23+GV26+GV27+GV30+GV31+GV36</f>
        <v>350373</v>
      </c>
      <c r="GX39" s="408"/>
      <c r="GY39" s="408"/>
      <c r="GZ39" s="408"/>
      <c r="HA39" s="408"/>
      <c r="HB39" s="408"/>
      <c r="HC39" s="408"/>
      <c r="HD39" s="408"/>
      <c r="HE39" s="408"/>
      <c r="HF39" s="408"/>
      <c r="HG39" s="408"/>
      <c r="HH39" s="408"/>
      <c r="HI39" s="408"/>
      <c r="HJ39" s="408"/>
      <c r="HK39" s="408"/>
      <c r="HL39" s="408"/>
      <c r="HM39" s="408"/>
      <c r="HN39" s="408"/>
      <c r="HO39" s="408"/>
      <c r="HP39" s="408"/>
      <c r="HQ39" s="408"/>
      <c r="HR39" s="408"/>
      <c r="HS39" s="408"/>
      <c r="HT39" s="408"/>
      <c r="HU39" s="408"/>
      <c r="HV39" s="408"/>
    </row>
    <row r="40" spans="2:230" x14ac:dyDescent="0.15">
      <c r="B40" s="89" t="s">
        <v>69</v>
      </c>
      <c r="C40" s="102">
        <v>4984302</v>
      </c>
      <c r="D40" s="73">
        <f t="shared" si="0"/>
        <v>1768154</v>
      </c>
      <c r="E40" s="102">
        <v>52214</v>
      </c>
      <c r="F40" s="102">
        <v>1715940</v>
      </c>
      <c r="G40" s="73">
        <f t="shared" si="1"/>
        <v>765658</v>
      </c>
      <c r="H40" s="102">
        <v>51724</v>
      </c>
      <c r="I40" s="102">
        <v>713934</v>
      </c>
      <c r="J40" s="102">
        <v>1944531</v>
      </c>
      <c r="K40" s="102">
        <v>670006</v>
      </c>
      <c r="L40" s="102">
        <v>844668</v>
      </c>
      <c r="M40" s="102">
        <v>403800</v>
      </c>
      <c r="N40" s="102">
        <v>107837</v>
      </c>
      <c r="O40" s="102">
        <v>368158</v>
      </c>
      <c r="P40" s="102">
        <v>187005</v>
      </c>
      <c r="Q40" s="102">
        <v>181153</v>
      </c>
      <c r="R40" s="102">
        <v>53859</v>
      </c>
      <c r="S40" s="74"/>
      <c r="T40" s="73">
        <f t="shared" ref="T40:T52" si="26">SUM(U40:AA40)</f>
        <v>598788</v>
      </c>
      <c r="U40" s="102">
        <v>10979</v>
      </c>
      <c r="V40" s="102">
        <v>26092</v>
      </c>
      <c r="W40" s="102">
        <v>22021</v>
      </c>
      <c r="X40" s="102">
        <v>469614</v>
      </c>
      <c r="Y40" s="102">
        <v>40897</v>
      </c>
      <c r="Z40" s="102">
        <v>0</v>
      </c>
      <c r="AA40" s="102">
        <v>29185</v>
      </c>
      <c r="AB40" s="102">
        <v>28768</v>
      </c>
      <c r="AC40" s="102">
        <v>909324</v>
      </c>
      <c r="AD40" s="102">
        <v>864753</v>
      </c>
      <c r="AE40" s="102">
        <v>44571</v>
      </c>
      <c r="AF40" s="102">
        <v>2592</v>
      </c>
      <c r="AG40" s="102">
        <v>117618</v>
      </c>
      <c r="AH40" s="73">
        <f t="shared" ref="AH40:AH52" si="27">AI40+AJ40</f>
        <v>326924</v>
      </c>
      <c r="AI40" s="102">
        <v>288816</v>
      </c>
      <c r="AJ40" s="102">
        <v>38108</v>
      </c>
      <c r="AK40" s="102">
        <v>1309349</v>
      </c>
      <c r="AL40" s="73">
        <f t="shared" ref="AL40:AL52" si="28">SUM(AM40:AP40)</f>
        <v>644843</v>
      </c>
      <c r="AM40" s="102">
        <v>222315</v>
      </c>
      <c r="AN40" s="102">
        <v>177315</v>
      </c>
      <c r="AO40" s="74"/>
      <c r="AP40" s="102">
        <v>245213</v>
      </c>
      <c r="AQ40" s="102">
        <v>44226</v>
      </c>
      <c r="AR40" s="102">
        <v>12918</v>
      </c>
      <c r="AS40" s="102">
        <v>0</v>
      </c>
      <c r="AT40" s="102">
        <v>697085</v>
      </c>
      <c r="AU40" s="102">
        <v>378696</v>
      </c>
      <c r="AV40" s="102">
        <v>84550</v>
      </c>
      <c r="AW40" s="102">
        <v>8976</v>
      </c>
      <c r="AX40" s="102">
        <v>318389</v>
      </c>
      <c r="AY40" s="102">
        <v>2331</v>
      </c>
      <c r="AZ40" s="102">
        <v>19236</v>
      </c>
      <c r="BA40" s="102">
        <v>13843</v>
      </c>
      <c r="BB40" s="102">
        <v>15539</v>
      </c>
      <c r="BC40" s="102">
        <v>689502</v>
      </c>
      <c r="BD40" s="102">
        <v>300035</v>
      </c>
      <c r="BE40" s="102">
        <v>50000</v>
      </c>
      <c r="BF40" s="102">
        <v>297510</v>
      </c>
      <c r="BG40" s="102">
        <v>0</v>
      </c>
      <c r="BH40" s="102">
        <v>220920</v>
      </c>
      <c r="BI40" s="102">
        <v>199746</v>
      </c>
      <c r="BJ40" s="102">
        <v>116031</v>
      </c>
      <c r="BK40" s="102">
        <v>17353</v>
      </c>
      <c r="BL40" s="102">
        <v>0</v>
      </c>
      <c r="BM40" s="102">
        <v>0</v>
      </c>
      <c r="BN40" s="102">
        <v>867794</v>
      </c>
      <c r="BO40" s="73">
        <f t="shared" si="5"/>
        <v>492500</v>
      </c>
      <c r="BP40" s="73">
        <f t="shared" si="6"/>
        <v>375294</v>
      </c>
      <c r="BQ40" s="102">
        <v>0</v>
      </c>
      <c r="BR40" s="102">
        <v>0</v>
      </c>
      <c r="BS40" s="102">
        <v>375294</v>
      </c>
      <c r="BT40" s="102">
        <v>0</v>
      </c>
      <c r="BU40" s="102">
        <v>10957631</v>
      </c>
      <c r="BV40" s="71"/>
      <c r="BW40" s="102">
        <v>1979697</v>
      </c>
      <c r="BX40" s="102">
        <v>1336083</v>
      </c>
      <c r="BY40" s="102">
        <v>91372</v>
      </c>
      <c r="BZ40" s="102">
        <v>120429</v>
      </c>
      <c r="CA40" s="102">
        <v>2456545</v>
      </c>
      <c r="CB40" s="102">
        <v>823863</v>
      </c>
      <c r="CC40" s="102">
        <v>32581</v>
      </c>
      <c r="CD40" s="102">
        <v>1309255</v>
      </c>
      <c r="CE40" s="102">
        <v>253757</v>
      </c>
      <c r="CF40" s="102">
        <v>2488</v>
      </c>
      <c r="CG40" s="102">
        <v>34601</v>
      </c>
      <c r="CH40" s="102">
        <v>992227</v>
      </c>
      <c r="CI40" s="102">
        <v>913751</v>
      </c>
      <c r="CJ40" s="83">
        <f t="shared" ref="CJ40:CJ52" si="29">IF(CI40="","",CH40-CI40)</f>
        <v>78476</v>
      </c>
      <c r="CK40" s="102">
        <v>2057789</v>
      </c>
      <c r="CL40" s="102">
        <v>1109131</v>
      </c>
      <c r="CM40" s="102">
        <v>274757</v>
      </c>
      <c r="CN40" s="102">
        <v>298727</v>
      </c>
      <c r="CO40" s="102">
        <v>111546</v>
      </c>
      <c r="CP40" s="102">
        <v>326776</v>
      </c>
      <c r="CQ40" s="102">
        <v>1715</v>
      </c>
      <c r="CR40" s="102">
        <v>125757</v>
      </c>
      <c r="CS40" s="102">
        <v>95499</v>
      </c>
      <c r="CT40" s="73">
        <f t="shared" si="7"/>
        <v>14555</v>
      </c>
      <c r="CU40" s="102">
        <v>0</v>
      </c>
      <c r="CV40" s="102">
        <v>14555</v>
      </c>
      <c r="CW40" s="73">
        <f t="shared" si="8"/>
        <v>0</v>
      </c>
      <c r="CX40" s="102">
        <v>0</v>
      </c>
      <c r="CY40" s="102">
        <v>0</v>
      </c>
      <c r="CZ40" s="73">
        <f t="shared" si="9"/>
        <v>0</v>
      </c>
      <c r="DA40" s="102">
        <v>0</v>
      </c>
      <c r="DB40" s="102">
        <v>0</v>
      </c>
      <c r="DC40" s="102">
        <v>1116103</v>
      </c>
      <c r="DD40" s="102">
        <v>274665</v>
      </c>
      <c r="DE40" s="102">
        <v>841121</v>
      </c>
      <c r="DF40" s="102">
        <v>0</v>
      </c>
      <c r="DG40" s="102">
        <v>0</v>
      </c>
      <c r="DH40" s="102">
        <v>72790</v>
      </c>
      <c r="DI40" s="102">
        <v>134285</v>
      </c>
      <c r="DJ40" s="102">
        <v>111365</v>
      </c>
      <c r="DK40" s="102">
        <v>11</v>
      </c>
      <c r="DL40" s="102">
        <v>22909</v>
      </c>
      <c r="DM40" s="102">
        <v>0</v>
      </c>
      <c r="DN40" s="102">
        <v>0</v>
      </c>
      <c r="DO40" s="102">
        <v>0</v>
      </c>
      <c r="DP40" s="102">
        <v>0</v>
      </c>
      <c r="DQ40" s="102">
        <v>17165</v>
      </c>
      <c r="DR40" s="102">
        <v>0</v>
      </c>
      <c r="DS40" s="102">
        <v>0</v>
      </c>
      <c r="DT40" s="102">
        <v>1529893</v>
      </c>
      <c r="DU40" s="102">
        <v>439000</v>
      </c>
      <c r="DV40" s="73">
        <f t="shared" si="10"/>
        <v>0</v>
      </c>
      <c r="DW40" s="102">
        <v>0</v>
      </c>
      <c r="DX40" s="102">
        <v>405849</v>
      </c>
      <c r="DY40" s="102">
        <v>0</v>
      </c>
      <c r="DZ40" s="102">
        <v>305489</v>
      </c>
      <c r="EA40" s="74">
        <v>0</v>
      </c>
      <c r="EB40" s="102">
        <v>379512</v>
      </c>
      <c r="EC40" s="102">
        <v>0</v>
      </c>
      <c r="ED40" s="102">
        <v>10794816</v>
      </c>
      <c r="EE40" s="71"/>
      <c r="EF40" s="102">
        <v>162815</v>
      </c>
      <c r="EG40" s="102">
        <v>114177</v>
      </c>
      <c r="EH40" s="102">
        <v>48638</v>
      </c>
      <c r="EI40" s="102">
        <v>-151108</v>
      </c>
      <c r="EJ40" s="102">
        <v>-339778</v>
      </c>
      <c r="EK40" s="71"/>
      <c r="EL40" s="102">
        <v>29983</v>
      </c>
      <c r="EM40" s="102">
        <v>30891</v>
      </c>
      <c r="EN40" s="102">
        <v>454992</v>
      </c>
      <c r="EO40" s="102">
        <v>19137</v>
      </c>
      <c r="EP40" s="73">
        <f t="shared" si="11"/>
        <v>284202</v>
      </c>
      <c r="EQ40" s="102">
        <v>6577633</v>
      </c>
      <c r="ER40" s="71">
        <v>-1131033</v>
      </c>
      <c r="ES40" s="102">
        <v>1731966</v>
      </c>
      <c r="ET40" s="102">
        <v>1153796</v>
      </c>
      <c r="EU40" s="102">
        <v>886913</v>
      </c>
      <c r="EV40" s="102">
        <v>947184</v>
      </c>
      <c r="EW40" s="73">
        <f t="shared" si="12"/>
        <v>384521</v>
      </c>
      <c r="EX40" s="102">
        <v>341947</v>
      </c>
      <c r="EY40" s="102">
        <v>115183</v>
      </c>
      <c r="EZ40" s="102">
        <v>226447</v>
      </c>
      <c r="FA40" s="102">
        <v>42574</v>
      </c>
      <c r="FB40" s="102">
        <v>0</v>
      </c>
      <c r="FC40" s="102">
        <v>1741157</v>
      </c>
      <c r="FD40" s="102">
        <v>289367</v>
      </c>
      <c r="FE40" s="102">
        <v>1715</v>
      </c>
      <c r="FF40" s="102">
        <v>1335746</v>
      </c>
      <c r="FG40" s="73">
        <f t="shared" si="13"/>
        <v>228997</v>
      </c>
      <c r="FH40" s="102">
        <v>7545851</v>
      </c>
      <c r="FI40" s="379">
        <f t="shared" si="14"/>
        <v>0.7</v>
      </c>
      <c r="FJ40" s="102">
        <v>6476839</v>
      </c>
      <c r="FK40" s="102">
        <v>375294</v>
      </c>
      <c r="FL40" s="102">
        <v>4351847</v>
      </c>
      <c r="FM40" s="102">
        <v>5216911</v>
      </c>
      <c r="FN40" s="428">
        <v>0.78700000000000003</v>
      </c>
      <c r="FO40" s="424">
        <v>101.7</v>
      </c>
      <c r="FP40" s="425">
        <v>26.3</v>
      </c>
      <c r="FQ40" s="424">
        <v>13.5</v>
      </c>
      <c r="FR40" s="424">
        <v>14.4</v>
      </c>
      <c r="FS40" s="425">
        <v>24.9</v>
      </c>
      <c r="FT40" s="424">
        <v>3.8</v>
      </c>
      <c r="FU40" s="426">
        <v>17.3</v>
      </c>
      <c r="FV40" s="384">
        <v>3.3</v>
      </c>
      <c r="FW40" s="102">
        <v>11447196</v>
      </c>
      <c r="FX40" s="384">
        <f t="shared" si="15"/>
        <v>167.1</v>
      </c>
      <c r="FY40" s="102">
        <v>4046880</v>
      </c>
      <c r="FZ40" s="102">
        <v>1506307</v>
      </c>
      <c r="GA40" s="102">
        <v>1075893</v>
      </c>
      <c r="GB40" s="102">
        <v>1464680</v>
      </c>
      <c r="GC40" s="107">
        <v>0</v>
      </c>
      <c r="GD40" s="427"/>
      <c r="GE40" s="386"/>
      <c r="GF40" s="424">
        <v>99.7</v>
      </c>
      <c r="GG40" s="424">
        <v>13.4</v>
      </c>
      <c r="GH40" s="424">
        <v>95.3</v>
      </c>
      <c r="GI40" s="102">
        <v>235</v>
      </c>
      <c r="GJ40" s="429" t="s">
        <v>646</v>
      </c>
      <c r="GK40" s="429">
        <v>14.1</v>
      </c>
      <c r="GL40" s="117">
        <v>20</v>
      </c>
      <c r="GM40" s="429" t="s">
        <v>646</v>
      </c>
      <c r="GN40" s="430">
        <v>19.100000000000001</v>
      </c>
      <c r="GO40" s="387">
        <v>30</v>
      </c>
      <c r="GP40" s="425">
        <v>3.3</v>
      </c>
      <c r="GQ40" s="388">
        <v>25</v>
      </c>
      <c r="GR40" s="388">
        <v>35</v>
      </c>
      <c r="GS40" s="431" t="s">
        <v>646</v>
      </c>
      <c r="GT40" s="388">
        <v>350</v>
      </c>
      <c r="GU40" s="394"/>
      <c r="GV40" s="100">
        <f t="shared" si="16"/>
        <v>6852</v>
      </c>
      <c r="GW40" s="394"/>
      <c r="GX40" s="394"/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</row>
    <row r="41" spans="2:230" x14ac:dyDescent="0.15">
      <c r="B41" s="89" t="s">
        <v>71</v>
      </c>
      <c r="C41" s="102">
        <v>1813764</v>
      </c>
      <c r="D41" s="73">
        <f t="shared" si="0"/>
        <v>1065532</v>
      </c>
      <c r="E41" s="102">
        <v>35546</v>
      </c>
      <c r="F41" s="102">
        <v>1029986</v>
      </c>
      <c r="G41" s="73">
        <f t="shared" si="1"/>
        <v>35627</v>
      </c>
      <c r="H41" s="102">
        <v>20385</v>
      </c>
      <c r="I41" s="102">
        <v>15242</v>
      </c>
      <c r="J41" s="102">
        <v>635246</v>
      </c>
      <c r="K41" s="102">
        <v>183175</v>
      </c>
      <c r="L41" s="102">
        <v>317048</v>
      </c>
      <c r="M41" s="102">
        <v>135023</v>
      </c>
      <c r="N41" s="102">
        <v>42924</v>
      </c>
      <c r="O41" s="102">
        <v>0</v>
      </c>
      <c r="P41" s="102">
        <v>0</v>
      </c>
      <c r="Q41" s="102">
        <v>0</v>
      </c>
      <c r="R41" s="102">
        <v>57398</v>
      </c>
      <c r="S41" s="74"/>
      <c r="T41" s="73">
        <f t="shared" si="26"/>
        <v>363287</v>
      </c>
      <c r="U41" s="102">
        <v>7152</v>
      </c>
      <c r="V41" s="102">
        <v>16950</v>
      </c>
      <c r="W41" s="102">
        <v>14184</v>
      </c>
      <c r="X41" s="102">
        <v>286665</v>
      </c>
      <c r="Y41" s="102">
        <v>7243</v>
      </c>
      <c r="Z41" s="102">
        <v>0</v>
      </c>
      <c r="AA41" s="102">
        <v>31093</v>
      </c>
      <c r="AB41" s="102">
        <v>4647</v>
      </c>
      <c r="AC41" s="102">
        <v>2274256</v>
      </c>
      <c r="AD41" s="102">
        <v>1984597</v>
      </c>
      <c r="AE41" s="102">
        <v>289659</v>
      </c>
      <c r="AF41" s="102">
        <v>2863</v>
      </c>
      <c r="AG41" s="102">
        <v>74158</v>
      </c>
      <c r="AH41" s="73">
        <f t="shared" si="27"/>
        <v>69741</v>
      </c>
      <c r="AI41" s="102">
        <v>56676</v>
      </c>
      <c r="AJ41" s="102">
        <v>13065</v>
      </c>
      <c r="AK41" s="102">
        <v>380220</v>
      </c>
      <c r="AL41" s="73">
        <f t="shared" si="28"/>
        <v>128109</v>
      </c>
      <c r="AM41" s="102">
        <v>0</v>
      </c>
      <c r="AN41" s="102">
        <v>891</v>
      </c>
      <c r="AO41" s="74"/>
      <c r="AP41" s="102">
        <v>127218</v>
      </c>
      <c r="AQ41" s="102">
        <v>0</v>
      </c>
      <c r="AR41" s="102">
        <v>16666</v>
      </c>
      <c r="AS41" s="102">
        <v>0</v>
      </c>
      <c r="AT41" s="102">
        <v>375794</v>
      </c>
      <c r="AU41" s="102">
        <v>136093</v>
      </c>
      <c r="AV41" s="102">
        <v>3242</v>
      </c>
      <c r="AW41" s="102">
        <v>505</v>
      </c>
      <c r="AX41" s="102">
        <v>239701</v>
      </c>
      <c r="AY41" s="102">
        <v>0</v>
      </c>
      <c r="AZ41" s="102">
        <v>6156</v>
      </c>
      <c r="BA41" s="102">
        <v>0</v>
      </c>
      <c r="BB41" s="102">
        <v>15197</v>
      </c>
      <c r="BC41" s="102">
        <v>621318</v>
      </c>
      <c r="BD41" s="102">
        <v>470000</v>
      </c>
      <c r="BE41" s="102">
        <v>0</v>
      </c>
      <c r="BF41" s="102">
        <v>149235</v>
      </c>
      <c r="BG41" s="102">
        <v>0</v>
      </c>
      <c r="BH41" s="102">
        <v>182509</v>
      </c>
      <c r="BI41" s="102">
        <v>139519</v>
      </c>
      <c r="BJ41" s="102">
        <v>114179</v>
      </c>
      <c r="BK41" s="102">
        <v>3629</v>
      </c>
      <c r="BL41" s="102">
        <v>0</v>
      </c>
      <c r="BM41" s="102">
        <v>0</v>
      </c>
      <c r="BN41" s="102">
        <v>309397</v>
      </c>
      <c r="BO41" s="73">
        <f t="shared" si="5"/>
        <v>22800</v>
      </c>
      <c r="BP41" s="73">
        <f t="shared" si="6"/>
        <v>286597</v>
      </c>
      <c r="BQ41" s="102">
        <v>0</v>
      </c>
      <c r="BR41" s="102">
        <v>0</v>
      </c>
      <c r="BS41" s="102">
        <v>286597</v>
      </c>
      <c r="BT41" s="102">
        <v>0</v>
      </c>
      <c r="BU41" s="102">
        <v>6664884</v>
      </c>
      <c r="BV41" s="71"/>
      <c r="BW41" s="102">
        <v>1829106</v>
      </c>
      <c r="BX41" s="102">
        <v>1095989</v>
      </c>
      <c r="BY41" s="102">
        <v>162131</v>
      </c>
      <c r="BZ41" s="102">
        <v>211585</v>
      </c>
      <c r="CA41" s="102">
        <v>546263</v>
      </c>
      <c r="CB41" s="102">
        <v>311531</v>
      </c>
      <c r="CC41" s="102">
        <v>21109</v>
      </c>
      <c r="CD41" s="102">
        <v>200912</v>
      </c>
      <c r="CE41" s="102">
        <v>0</v>
      </c>
      <c r="CF41" s="102">
        <v>0</v>
      </c>
      <c r="CG41" s="102">
        <v>12711</v>
      </c>
      <c r="CH41" s="102">
        <v>561528</v>
      </c>
      <c r="CI41" s="102">
        <v>520640</v>
      </c>
      <c r="CJ41" s="83">
        <f t="shared" si="29"/>
        <v>40888</v>
      </c>
      <c r="CK41" s="102">
        <v>946376</v>
      </c>
      <c r="CL41" s="102">
        <v>496179</v>
      </c>
      <c r="CM41" s="102">
        <v>55703</v>
      </c>
      <c r="CN41" s="102">
        <v>183464</v>
      </c>
      <c r="CO41" s="102">
        <v>154772</v>
      </c>
      <c r="CP41" s="102">
        <v>898259</v>
      </c>
      <c r="CQ41" s="102">
        <v>285865</v>
      </c>
      <c r="CR41" s="102">
        <v>91986</v>
      </c>
      <c r="CS41" s="102">
        <v>76812</v>
      </c>
      <c r="CT41" s="73">
        <f t="shared" si="7"/>
        <v>118376</v>
      </c>
      <c r="CU41" s="102">
        <v>5068</v>
      </c>
      <c r="CV41" s="102">
        <v>113308</v>
      </c>
      <c r="CW41" s="73">
        <f t="shared" si="8"/>
        <v>0</v>
      </c>
      <c r="CX41" s="102">
        <v>0</v>
      </c>
      <c r="CY41" s="102">
        <v>0</v>
      </c>
      <c r="CZ41" s="73">
        <f t="shared" si="9"/>
        <v>0</v>
      </c>
      <c r="DA41" s="102">
        <v>0</v>
      </c>
      <c r="DB41" s="102">
        <v>0</v>
      </c>
      <c r="DC41" s="102">
        <v>343096</v>
      </c>
      <c r="DD41" s="102">
        <v>37945</v>
      </c>
      <c r="DE41" s="102">
        <v>294737</v>
      </c>
      <c r="DF41" s="102">
        <v>0</v>
      </c>
      <c r="DG41" s="102">
        <v>0</v>
      </c>
      <c r="DH41" s="102">
        <v>98447</v>
      </c>
      <c r="DI41" s="102">
        <v>88265</v>
      </c>
      <c r="DJ41" s="102">
        <v>72192</v>
      </c>
      <c r="DK41" s="102">
        <v>0</v>
      </c>
      <c r="DL41" s="102">
        <v>16073</v>
      </c>
      <c r="DM41" s="102">
        <v>0</v>
      </c>
      <c r="DN41" s="102">
        <v>0</v>
      </c>
      <c r="DO41" s="102">
        <v>0</v>
      </c>
      <c r="DP41" s="102">
        <v>0</v>
      </c>
      <c r="DQ41" s="102">
        <v>1644</v>
      </c>
      <c r="DR41" s="102">
        <v>0</v>
      </c>
      <c r="DS41" s="102">
        <v>0</v>
      </c>
      <c r="DT41" s="102">
        <v>919972</v>
      </c>
      <c r="DU41" s="102">
        <v>121161</v>
      </c>
      <c r="DV41" s="73">
        <f t="shared" si="10"/>
        <v>0</v>
      </c>
      <c r="DW41" s="102">
        <v>0</v>
      </c>
      <c r="DX41" s="102">
        <v>328981</v>
      </c>
      <c r="DY41" s="102">
        <v>0</v>
      </c>
      <c r="DZ41" s="102">
        <v>165242</v>
      </c>
      <c r="EA41" s="74">
        <v>0</v>
      </c>
      <c r="EB41" s="102">
        <v>284582</v>
      </c>
      <c r="EC41" s="102">
        <v>0</v>
      </c>
      <c r="ED41" s="102">
        <v>6387728</v>
      </c>
      <c r="EE41" s="71"/>
      <c r="EF41" s="102">
        <v>277156</v>
      </c>
      <c r="EG41" s="102">
        <v>230127</v>
      </c>
      <c r="EH41" s="102">
        <v>47029</v>
      </c>
      <c r="EI41" s="102">
        <v>-92489</v>
      </c>
      <c r="EJ41" s="102">
        <v>-490297</v>
      </c>
      <c r="EK41" s="71"/>
      <c r="EL41" s="102">
        <v>19934</v>
      </c>
      <c r="EM41" s="102">
        <v>19694</v>
      </c>
      <c r="EN41" s="102">
        <v>506969</v>
      </c>
      <c r="EO41" s="102">
        <v>0</v>
      </c>
      <c r="EP41" s="73">
        <f t="shared" si="11"/>
        <v>224189</v>
      </c>
      <c r="EQ41" s="102">
        <v>4516215</v>
      </c>
      <c r="ER41" s="71">
        <v>-1014892</v>
      </c>
      <c r="ES41" s="102">
        <v>1640632</v>
      </c>
      <c r="ET41" s="102">
        <v>941062</v>
      </c>
      <c r="EU41" s="102">
        <v>158311</v>
      </c>
      <c r="EV41" s="102">
        <v>561528</v>
      </c>
      <c r="EW41" s="73">
        <f t="shared" si="12"/>
        <v>325306</v>
      </c>
      <c r="EX41" s="102">
        <v>254505</v>
      </c>
      <c r="EY41" s="102">
        <v>4029</v>
      </c>
      <c r="EZ41" s="102">
        <v>242062</v>
      </c>
      <c r="FA41" s="102">
        <v>70801</v>
      </c>
      <c r="FB41" s="102">
        <v>0</v>
      </c>
      <c r="FC41" s="102">
        <v>806052</v>
      </c>
      <c r="FD41" s="102">
        <v>781736</v>
      </c>
      <c r="FE41" s="102">
        <v>284848</v>
      </c>
      <c r="FF41" s="102">
        <v>786208</v>
      </c>
      <c r="FG41" s="73">
        <f t="shared" si="13"/>
        <v>194178</v>
      </c>
      <c r="FH41" s="102">
        <v>5253951</v>
      </c>
      <c r="FI41" s="379">
        <f t="shared" si="14"/>
        <v>1</v>
      </c>
      <c r="FJ41" s="102">
        <v>4235724</v>
      </c>
      <c r="FK41" s="102">
        <v>286597</v>
      </c>
      <c r="FL41" s="102">
        <v>1786278</v>
      </c>
      <c r="FM41" s="102">
        <v>3787327</v>
      </c>
      <c r="FN41" s="428">
        <v>0.48799999999999999</v>
      </c>
      <c r="FO41" s="424">
        <v>101.2</v>
      </c>
      <c r="FP41" s="425">
        <v>35.200000000000003</v>
      </c>
      <c r="FQ41" s="424">
        <v>3.5</v>
      </c>
      <c r="FR41" s="424">
        <v>12.4</v>
      </c>
      <c r="FS41" s="425">
        <v>15.8</v>
      </c>
      <c r="FT41" s="424">
        <v>15.7</v>
      </c>
      <c r="FU41" s="426">
        <v>16.100000000000001</v>
      </c>
      <c r="FV41" s="384">
        <v>6.7</v>
      </c>
      <c r="FW41" s="102">
        <v>5942998</v>
      </c>
      <c r="FX41" s="384">
        <f t="shared" si="15"/>
        <v>131.4</v>
      </c>
      <c r="FY41" s="102">
        <v>2627730</v>
      </c>
      <c r="FZ41" s="102">
        <v>1742652</v>
      </c>
      <c r="GA41" s="102">
        <v>677</v>
      </c>
      <c r="GB41" s="102">
        <v>884401</v>
      </c>
      <c r="GC41" s="107">
        <v>0</v>
      </c>
      <c r="GD41" s="427"/>
      <c r="GE41" s="386"/>
      <c r="GF41" s="424">
        <v>99.3</v>
      </c>
      <c r="GG41" s="424">
        <v>27.8</v>
      </c>
      <c r="GH41" s="424">
        <v>97.6</v>
      </c>
      <c r="GI41" s="102">
        <v>153</v>
      </c>
      <c r="GJ41" s="429" t="s">
        <v>646</v>
      </c>
      <c r="GK41" s="429">
        <v>15</v>
      </c>
      <c r="GL41" s="117">
        <v>20</v>
      </c>
      <c r="GM41" s="429" t="s">
        <v>646</v>
      </c>
      <c r="GN41" s="430">
        <v>20</v>
      </c>
      <c r="GO41" s="387">
        <v>30</v>
      </c>
      <c r="GP41" s="425">
        <v>6.7</v>
      </c>
      <c r="GQ41" s="388">
        <v>25</v>
      </c>
      <c r="GR41" s="388">
        <v>35</v>
      </c>
      <c r="GS41" s="431" t="s">
        <v>646</v>
      </c>
      <c r="GT41" s="388">
        <v>350</v>
      </c>
      <c r="GU41" s="394"/>
      <c r="GV41" s="100">
        <f t="shared" si="16"/>
        <v>4522</v>
      </c>
      <c r="GW41" s="394"/>
      <c r="GX41" s="394"/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</row>
    <row r="42" spans="2:230" x14ac:dyDescent="0.15">
      <c r="B42" s="89" t="s">
        <v>73</v>
      </c>
      <c r="C42" s="102">
        <v>1149907</v>
      </c>
      <c r="D42" s="73">
        <f t="shared" si="0"/>
        <v>399151</v>
      </c>
      <c r="E42" s="102">
        <v>17568</v>
      </c>
      <c r="F42" s="102">
        <v>381583</v>
      </c>
      <c r="G42" s="73">
        <f t="shared" si="1"/>
        <v>48747</v>
      </c>
      <c r="H42" s="102">
        <v>21006</v>
      </c>
      <c r="I42" s="102">
        <v>27741</v>
      </c>
      <c r="J42" s="102">
        <v>611502</v>
      </c>
      <c r="K42" s="102">
        <v>116650</v>
      </c>
      <c r="L42" s="102">
        <v>218118</v>
      </c>
      <c r="M42" s="102">
        <v>276734</v>
      </c>
      <c r="N42" s="102">
        <v>45089</v>
      </c>
      <c r="O42" s="102">
        <v>0</v>
      </c>
      <c r="P42" s="102">
        <v>0</v>
      </c>
      <c r="Q42" s="102">
        <v>0</v>
      </c>
      <c r="R42" s="102">
        <v>59598</v>
      </c>
      <c r="S42" s="74"/>
      <c r="T42" s="73">
        <f t="shared" si="26"/>
        <v>237431</v>
      </c>
      <c r="U42" s="102">
        <v>2608</v>
      </c>
      <c r="V42" s="102">
        <v>6177</v>
      </c>
      <c r="W42" s="102">
        <v>5156</v>
      </c>
      <c r="X42" s="102">
        <v>171296</v>
      </c>
      <c r="Y42" s="102">
        <v>19991</v>
      </c>
      <c r="Z42" s="102">
        <v>0</v>
      </c>
      <c r="AA42" s="102">
        <v>32203</v>
      </c>
      <c r="AB42" s="102">
        <v>989</v>
      </c>
      <c r="AC42" s="102">
        <v>2033166</v>
      </c>
      <c r="AD42" s="102">
        <v>1736648</v>
      </c>
      <c r="AE42" s="102">
        <v>296518</v>
      </c>
      <c r="AF42" s="102">
        <v>1769</v>
      </c>
      <c r="AG42" s="102">
        <v>12387</v>
      </c>
      <c r="AH42" s="73">
        <f t="shared" si="27"/>
        <v>87451</v>
      </c>
      <c r="AI42" s="102">
        <v>50350</v>
      </c>
      <c r="AJ42" s="102">
        <v>37101</v>
      </c>
      <c r="AK42" s="102">
        <v>294433</v>
      </c>
      <c r="AL42" s="73">
        <f t="shared" si="28"/>
        <v>117677</v>
      </c>
      <c r="AM42" s="102">
        <v>0</v>
      </c>
      <c r="AN42" s="102">
        <v>0</v>
      </c>
      <c r="AO42" s="74"/>
      <c r="AP42" s="102">
        <v>117677</v>
      </c>
      <c r="AQ42" s="102">
        <v>0</v>
      </c>
      <c r="AR42" s="102">
        <v>29987</v>
      </c>
      <c r="AS42" s="102">
        <v>0</v>
      </c>
      <c r="AT42" s="102">
        <v>333267</v>
      </c>
      <c r="AU42" s="102">
        <v>124307</v>
      </c>
      <c r="AV42" s="102">
        <v>0</v>
      </c>
      <c r="AW42" s="102">
        <v>0</v>
      </c>
      <c r="AX42" s="102">
        <v>208960</v>
      </c>
      <c r="AY42" s="102">
        <v>0</v>
      </c>
      <c r="AZ42" s="102">
        <v>4366</v>
      </c>
      <c r="BA42" s="102">
        <v>0</v>
      </c>
      <c r="BB42" s="102">
        <v>9056</v>
      </c>
      <c r="BC42" s="102">
        <v>269815</v>
      </c>
      <c r="BD42" s="102">
        <v>88000</v>
      </c>
      <c r="BE42" s="102">
        <v>0</v>
      </c>
      <c r="BF42" s="102">
        <v>163475</v>
      </c>
      <c r="BG42" s="102">
        <v>0</v>
      </c>
      <c r="BH42" s="102">
        <v>209543</v>
      </c>
      <c r="BI42" s="102">
        <v>159543</v>
      </c>
      <c r="BJ42" s="102">
        <v>60817</v>
      </c>
      <c r="BK42" s="102">
        <v>0</v>
      </c>
      <c r="BL42" s="102">
        <v>0</v>
      </c>
      <c r="BM42" s="102">
        <v>0</v>
      </c>
      <c r="BN42" s="102">
        <v>488301</v>
      </c>
      <c r="BO42" s="73">
        <f t="shared" si="5"/>
        <v>304200</v>
      </c>
      <c r="BP42" s="73">
        <f t="shared" si="6"/>
        <v>184101</v>
      </c>
      <c r="BQ42" s="102">
        <v>0</v>
      </c>
      <c r="BR42" s="102">
        <v>0</v>
      </c>
      <c r="BS42" s="102">
        <v>184101</v>
      </c>
      <c r="BT42" s="102">
        <v>0</v>
      </c>
      <c r="BU42" s="102">
        <v>5252296</v>
      </c>
      <c r="BV42" s="71"/>
      <c r="BW42" s="102">
        <v>1004706</v>
      </c>
      <c r="BX42" s="102">
        <v>547843</v>
      </c>
      <c r="BY42" s="102">
        <v>55687</v>
      </c>
      <c r="BZ42" s="102">
        <v>143096</v>
      </c>
      <c r="CA42" s="102">
        <v>452980</v>
      </c>
      <c r="CB42" s="102">
        <v>271509</v>
      </c>
      <c r="CC42" s="102">
        <v>12045</v>
      </c>
      <c r="CD42" s="102">
        <v>138736</v>
      </c>
      <c r="CE42" s="102">
        <v>0</v>
      </c>
      <c r="CF42" s="102">
        <v>5427</v>
      </c>
      <c r="CG42" s="102">
        <v>25263</v>
      </c>
      <c r="CH42" s="102">
        <v>499476</v>
      </c>
      <c r="CI42" s="102">
        <v>464175</v>
      </c>
      <c r="CJ42" s="83">
        <f t="shared" si="29"/>
        <v>35301</v>
      </c>
      <c r="CK42" s="102">
        <v>694216</v>
      </c>
      <c r="CL42" s="102">
        <v>455023</v>
      </c>
      <c r="CM42" s="102">
        <v>9365</v>
      </c>
      <c r="CN42" s="102">
        <v>126679</v>
      </c>
      <c r="CO42" s="102">
        <v>21103</v>
      </c>
      <c r="CP42" s="102">
        <v>799394</v>
      </c>
      <c r="CQ42" s="102">
        <v>162732</v>
      </c>
      <c r="CR42" s="102">
        <v>159991</v>
      </c>
      <c r="CS42" s="102">
        <v>107622</v>
      </c>
      <c r="CT42" s="73">
        <f t="shared" si="7"/>
        <v>137946</v>
      </c>
      <c r="CU42" s="102">
        <v>2587</v>
      </c>
      <c r="CV42" s="102">
        <v>135359</v>
      </c>
      <c r="CW42" s="73">
        <f t="shared" si="8"/>
        <v>0</v>
      </c>
      <c r="CX42" s="102">
        <v>0</v>
      </c>
      <c r="CY42" s="102">
        <v>0</v>
      </c>
      <c r="CZ42" s="73">
        <f t="shared" si="9"/>
        <v>0</v>
      </c>
      <c r="DA42" s="102">
        <v>0</v>
      </c>
      <c r="DB42" s="102">
        <v>0</v>
      </c>
      <c r="DC42" s="102">
        <v>369897</v>
      </c>
      <c r="DD42" s="102">
        <v>47352</v>
      </c>
      <c r="DE42" s="102">
        <v>322545</v>
      </c>
      <c r="DF42" s="102">
        <v>0</v>
      </c>
      <c r="DG42" s="102">
        <v>0</v>
      </c>
      <c r="DH42" s="102">
        <v>269373</v>
      </c>
      <c r="DI42" s="102">
        <v>140072</v>
      </c>
      <c r="DJ42" s="102">
        <v>125520</v>
      </c>
      <c r="DK42" s="102">
        <v>0</v>
      </c>
      <c r="DL42" s="102">
        <v>14552</v>
      </c>
      <c r="DM42" s="102">
        <v>64669</v>
      </c>
      <c r="DN42" s="102">
        <v>64669</v>
      </c>
      <c r="DO42" s="102">
        <v>64669</v>
      </c>
      <c r="DP42" s="102">
        <v>0</v>
      </c>
      <c r="DQ42" s="102">
        <v>0</v>
      </c>
      <c r="DR42" s="102">
        <v>0</v>
      </c>
      <c r="DS42" s="102">
        <v>0</v>
      </c>
      <c r="DT42" s="102">
        <v>726846</v>
      </c>
      <c r="DU42" s="102">
        <v>223500</v>
      </c>
      <c r="DV42" s="73">
        <f t="shared" si="10"/>
        <v>0</v>
      </c>
      <c r="DW42" s="102">
        <v>0</v>
      </c>
      <c r="DX42" s="102">
        <v>205154</v>
      </c>
      <c r="DY42" s="102">
        <v>0</v>
      </c>
      <c r="DZ42" s="102">
        <v>121930</v>
      </c>
      <c r="EA42" s="74">
        <v>0</v>
      </c>
      <c r="EB42" s="102">
        <v>163222</v>
      </c>
      <c r="EC42" s="102">
        <v>0</v>
      </c>
      <c r="ED42" s="102">
        <v>5042732</v>
      </c>
      <c r="EE42" s="71"/>
      <c r="EF42" s="102">
        <v>209564</v>
      </c>
      <c r="EG42" s="102">
        <v>60120</v>
      </c>
      <c r="EH42" s="102">
        <v>149444</v>
      </c>
      <c r="EI42" s="102">
        <v>-10099</v>
      </c>
      <c r="EJ42" s="102">
        <v>27421</v>
      </c>
      <c r="EK42" s="71"/>
      <c r="EL42" s="102">
        <v>10256</v>
      </c>
      <c r="EM42" s="102">
        <v>10114</v>
      </c>
      <c r="EN42" s="102">
        <v>161340</v>
      </c>
      <c r="EO42" s="102">
        <v>2178</v>
      </c>
      <c r="EP42" s="73">
        <f t="shared" si="11"/>
        <v>186514</v>
      </c>
      <c r="EQ42" s="102">
        <v>3482860</v>
      </c>
      <c r="ER42" s="71">
        <v>-532364</v>
      </c>
      <c r="ES42" s="102">
        <v>927136</v>
      </c>
      <c r="ET42" s="102">
        <v>499219</v>
      </c>
      <c r="EU42" s="102">
        <v>137811</v>
      </c>
      <c r="EV42" s="102">
        <v>499476</v>
      </c>
      <c r="EW42" s="73">
        <f t="shared" si="12"/>
        <v>128127</v>
      </c>
      <c r="EX42" s="102">
        <v>103621</v>
      </c>
      <c r="EY42" s="102">
        <v>11790</v>
      </c>
      <c r="EZ42" s="102">
        <v>91831</v>
      </c>
      <c r="FA42" s="102">
        <v>24506</v>
      </c>
      <c r="FB42" s="102">
        <v>0</v>
      </c>
      <c r="FC42" s="102">
        <v>581130</v>
      </c>
      <c r="FD42" s="102">
        <v>680703</v>
      </c>
      <c r="FE42" s="102">
        <v>162732</v>
      </c>
      <c r="FF42" s="102">
        <v>633578</v>
      </c>
      <c r="FG42" s="73">
        <f t="shared" si="13"/>
        <v>217699</v>
      </c>
      <c r="FH42" s="102">
        <v>3805660</v>
      </c>
      <c r="FI42" s="379">
        <f t="shared" si="14"/>
        <v>4.5</v>
      </c>
      <c r="FJ42" s="102">
        <v>3161344</v>
      </c>
      <c r="FK42" s="102">
        <v>184101</v>
      </c>
      <c r="FL42" s="102">
        <v>1129155</v>
      </c>
      <c r="FM42" s="102">
        <v>2865803</v>
      </c>
      <c r="FN42" s="428">
        <v>0.40100000000000002</v>
      </c>
      <c r="FO42" s="424">
        <v>99.4</v>
      </c>
      <c r="FP42" s="425">
        <v>25.7</v>
      </c>
      <c r="FQ42" s="424">
        <v>4.0999999999999996</v>
      </c>
      <c r="FR42" s="424">
        <v>14.7</v>
      </c>
      <c r="FS42" s="425">
        <v>16.2</v>
      </c>
      <c r="FT42" s="424">
        <v>19.2</v>
      </c>
      <c r="FU42" s="426">
        <v>17</v>
      </c>
      <c r="FV42" s="384">
        <v>15.5</v>
      </c>
      <c r="FW42" s="102">
        <v>5617684</v>
      </c>
      <c r="FX42" s="384">
        <f t="shared" si="15"/>
        <v>167.9</v>
      </c>
      <c r="FY42" s="102">
        <v>1993491</v>
      </c>
      <c r="FZ42" s="102">
        <v>1502284</v>
      </c>
      <c r="GA42" s="102">
        <v>0</v>
      </c>
      <c r="GB42" s="102">
        <v>491207</v>
      </c>
      <c r="GC42" s="107">
        <v>0</v>
      </c>
      <c r="GD42" s="427"/>
      <c r="GE42" s="386"/>
      <c r="GF42" s="424">
        <v>99</v>
      </c>
      <c r="GG42" s="424">
        <v>19.600000000000001</v>
      </c>
      <c r="GH42" s="424">
        <v>95.6</v>
      </c>
      <c r="GI42" s="102">
        <v>88</v>
      </c>
      <c r="GJ42" s="429" t="s">
        <v>646</v>
      </c>
      <c r="GK42" s="429">
        <v>15</v>
      </c>
      <c r="GL42" s="117">
        <v>20</v>
      </c>
      <c r="GM42" s="429" t="s">
        <v>646</v>
      </c>
      <c r="GN42" s="430">
        <v>20</v>
      </c>
      <c r="GO42" s="387">
        <v>30</v>
      </c>
      <c r="GP42" s="425">
        <v>15.5</v>
      </c>
      <c r="GQ42" s="388">
        <v>25</v>
      </c>
      <c r="GR42" s="388">
        <v>35</v>
      </c>
      <c r="GS42" s="431">
        <v>115.4</v>
      </c>
      <c r="GT42" s="388">
        <v>350</v>
      </c>
      <c r="GU42" s="394"/>
      <c r="GV42" s="100">
        <f t="shared" si="16"/>
        <v>3345</v>
      </c>
      <c r="GW42" s="394"/>
      <c r="GX42" s="394"/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</row>
    <row r="43" spans="2:230" x14ac:dyDescent="0.15">
      <c r="B43" s="89" t="s">
        <v>75</v>
      </c>
      <c r="C43" s="102">
        <v>2403893</v>
      </c>
      <c r="D43" s="73">
        <f t="shared" si="0"/>
        <v>755064</v>
      </c>
      <c r="E43" s="102">
        <v>26075</v>
      </c>
      <c r="F43" s="102">
        <v>728989</v>
      </c>
      <c r="G43" s="73">
        <f t="shared" si="1"/>
        <v>205916</v>
      </c>
      <c r="H43" s="102">
        <v>49741</v>
      </c>
      <c r="I43" s="102">
        <v>156175</v>
      </c>
      <c r="J43" s="102">
        <v>1076340</v>
      </c>
      <c r="K43" s="102">
        <v>515117</v>
      </c>
      <c r="L43" s="102">
        <v>393159</v>
      </c>
      <c r="M43" s="102">
        <v>156719</v>
      </c>
      <c r="N43" s="102">
        <v>105048</v>
      </c>
      <c r="O43" s="102">
        <v>226191</v>
      </c>
      <c r="P43" s="102">
        <v>139442</v>
      </c>
      <c r="Q43" s="102">
        <v>86749</v>
      </c>
      <c r="R43" s="102">
        <v>32988</v>
      </c>
      <c r="S43" s="74"/>
      <c r="T43" s="73">
        <f t="shared" si="26"/>
        <v>336080</v>
      </c>
      <c r="U43" s="102">
        <v>4392</v>
      </c>
      <c r="V43" s="102">
        <v>10467</v>
      </c>
      <c r="W43" s="102">
        <v>8902</v>
      </c>
      <c r="X43" s="102">
        <v>294448</v>
      </c>
      <c r="Y43" s="102">
        <v>0</v>
      </c>
      <c r="Z43" s="102">
        <v>0</v>
      </c>
      <c r="AA43" s="102">
        <v>17871</v>
      </c>
      <c r="AB43" s="102">
        <v>14780</v>
      </c>
      <c r="AC43" s="102">
        <v>1793458</v>
      </c>
      <c r="AD43" s="102">
        <v>1530465</v>
      </c>
      <c r="AE43" s="102">
        <v>262993</v>
      </c>
      <c r="AF43" s="102">
        <v>3102</v>
      </c>
      <c r="AG43" s="102">
        <v>3692</v>
      </c>
      <c r="AH43" s="73">
        <f t="shared" si="27"/>
        <v>182440</v>
      </c>
      <c r="AI43" s="102">
        <v>139980</v>
      </c>
      <c r="AJ43" s="102">
        <v>42460</v>
      </c>
      <c r="AK43" s="102">
        <v>661492</v>
      </c>
      <c r="AL43" s="73">
        <f t="shared" si="28"/>
        <v>173470</v>
      </c>
      <c r="AM43" s="102">
        <v>0</v>
      </c>
      <c r="AN43" s="102">
        <v>42922</v>
      </c>
      <c r="AO43" s="74"/>
      <c r="AP43" s="102">
        <v>130548</v>
      </c>
      <c r="AQ43" s="102">
        <v>138504</v>
      </c>
      <c r="AR43" s="102">
        <v>11855</v>
      </c>
      <c r="AS43" s="102">
        <v>0</v>
      </c>
      <c r="AT43" s="102">
        <v>500688</v>
      </c>
      <c r="AU43" s="102">
        <v>204094</v>
      </c>
      <c r="AV43" s="102">
        <v>19707</v>
      </c>
      <c r="AW43" s="102">
        <v>3864</v>
      </c>
      <c r="AX43" s="102">
        <v>296594</v>
      </c>
      <c r="AY43" s="102">
        <v>43868</v>
      </c>
      <c r="AZ43" s="102">
        <v>30517</v>
      </c>
      <c r="BA43" s="102">
        <v>0</v>
      </c>
      <c r="BB43" s="102">
        <v>156338</v>
      </c>
      <c r="BC43" s="102">
        <v>24296</v>
      </c>
      <c r="BD43" s="102">
        <v>0</v>
      </c>
      <c r="BE43" s="102">
        <v>0</v>
      </c>
      <c r="BF43" s="102">
        <v>5165</v>
      </c>
      <c r="BG43" s="102">
        <v>0</v>
      </c>
      <c r="BH43" s="102">
        <v>18767</v>
      </c>
      <c r="BI43" s="102">
        <v>11577</v>
      </c>
      <c r="BJ43" s="102">
        <v>99679</v>
      </c>
      <c r="BK43" s="102">
        <v>222</v>
      </c>
      <c r="BL43" s="102">
        <v>0</v>
      </c>
      <c r="BM43" s="102">
        <v>0</v>
      </c>
      <c r="BN43" s="102">
        <v>637936</v>
      </c>
      <c r="BO43" s="73">
        <f t="shared" si="5"/>
        <v>357500</v>
      </c>
      <c r="BP43" s="73">
        <f t="shared" si="6"/>
        <v>280436</v>
      </c>
      <c r="BQ43" s="102">
        <v>0</v>
      </c>
      <c r="BR43" s="102">
        <v>0</v>
      </c>
      <c r="BS43" s="102">
        <v>280436</v>
      </c>
      <c r="BT43" s="102">
        <v>0</v>
      </c>
      <c r="BU43" s="102">
        <v>6900146</v>
      </c>
      <c r="BV43" s="71"/>
      <c r="BW43" s="102">
        <v>1389593</v>
      </c>
      <c r="BX43" s="102">
        <v>924367</v>
      </c>
      <c r="BY43" s="102">
        <v>164455</v>
      </c>
      <c r="BZ43" s="102">
        <v>12786</v>
      </c>
      <c r="CA43" s="102">
        <v>1082343</v>
      </c>
      <c r="CB43" s="102">
        <v>463806</v>
      </c>
      <c r="CC43" s="102">
        <v>16032</v>
      </c>
      <c r="CD43" s="102">
        <v>581872</v>
      </c>
      <c r="CE43" s="102">
        <v>0</v>
      </c>
      <c r="CF43" s="102">
        <v>0</v>
      </c>
      <c r="CG43" s="102">
        <v>20633</v>
      </c>
      <c r="CH43" s="102">
        <v>681078</v>
      </c>
      <c r="CI43" s="102">
        <v>605690</v>
      </c>
      <c r="CJ43" s="83">
        <f t="shared" si="29"/>
        <v>75388</v>
      </c>
      <c r="CK43" s="102">
        <v>1393220</v>
      </c>
      <c r="CL43" s="102">
        <v>971358</v>
      </c>
      <c r="CM43" s="102">
        <v>127978</v>
      </c>
      <c r="CN43" s="102">
        <v>141175</v>
      </c>
      <c r="CO43" s="102">
        <v>24067</v>
      </c>
      <c r="CP43" s="102">
        <v>271919</v>
      </c>
      <c r="CQ43" s="102">
        <v>25732</v>
      </c>
      <c r="CR43" s="102">
        <v>55377</v>
      </c>
      <c r="CS43" s="102">
        <v>39469</v>
      </c>
      <c r="CT43" s="73">
        <f t="shared" si="7"/>
        <v>304</v>
      </c>
      <c r="CU43" s="102">
        <v>304</v>
      </c>
      <c r="CV43" s="102">
        <v>0</v>
      </c>
      <c r="CW43" s="73">
        <f t="shared" si="8"/>
        <v>0</v>
      </c>
      <c r="CX43" s="102">
        <v>0</v>
      </c>
      <c r="CY43" s="102">
        <v>0</v>
      </c>
      <c r="CZ43" s="73">
        <f t="shared" si="9"/>
        <v>0</v>
      </c>
      <c r="DA43" s="102">
        <v>0</v>
      </c>
      <c r="DB43" s="102">
        <v>0</v>
      </c>
      <c r="DC43" s="102">
        <v>562338</v>
      </c>
      <c r="DD43" s="102">
        <v>218222</v>
      </c>
      <c r="DE43" s="102">
        <v>344116</v>
      </c>
      <c r="DF43" s="102">
        <v>0</v>
      </c>
      <c r="DG43" s="102">
        <v>0</v>
      </c>
      <c r="DH43" s="102">
        <v>48652</v>
      </c>
      <c r="DI43" s="102">
        <v>167384</v>
      </c>
      <c r="DJ43" s="102">
        <v>96059</v>
      </c>
      <c r="DK43" s="102">
        <v>0</v>
      </c>
      <c r="DL43" s="102">
        <v>71325</v>
      </c>
      <c r="DM43" s="102">
        <v>0</v>
      </c>
      <c r="DN43" s="102">
        <v>0</v>
      </c>
      <c r="DO43" s="102">
        <v>0</v>
      </c>
      <c r="DP43" s="102">
        <v>0</v>
      </c>
      <c r="DQ43" s="102">
        <v>0</v>
      </c>
      <c r="DR43" s="102">
        <v>0</v>
      </c>
      <c r="DS43" s="102">
        <v>0</v>
      </c>
      <c r="DT43" s="102">
        <v>1203970</v>
      </c>
      <c r="DU43" s="102">
        <v>430648</v>
      </c>
      <c r="DV43" s="73">
        <f t="shared" si="10"/>
        <v>0</v>
      </c>
      <c r="DW43" s="102">
        <v>0</v>
      </c>
      <c r="DX43" s="102">
        <v>291944</v>
      </c>
      <c r="DY43" s="102">
        <v>0</v>
      </c>
      <c r="DZ43" s="102">
        <v>248972</v>
      </c>
      <c r="EA43" s="74">
        <v>0</v>
      </c>
      <c r="EB43" s="102">
        <v>232406</v>
      </c>
      <c r="EC43" s="102">
        <v>0</v>
      </c>
      <c r="ED43" s="102">
        <v>6824564</v>
      </c>
      <c r="EE43" s="71"/>
      <c r="EF43" s="102">
        <v>75582</v>
      </c>
      <c r="EG43" s="102">
        <v>3480</v>
      </c>
      <c r="EH43" s="102">
        <v>72102</v>
      </c>
      <c r="EI43" s="102">
        <v>60525</v>
      </c>
      <c r="EJ43" s="102">
        <v>156584</v>
      </c>
      <c r="EK43" s="71"/>
      <c r="EL43" s="102">
        <v>17298</v>
      </c>
      <c r="EM43" s="102">
        <v>17166</v>
      </c>
      <c r="EN43" s="102">
        <v>12971</v>
      </c>
      <c r="EO43" s="102">
        <v>30504</v>
      </c>
      <c r="EP43" s="73">
        <f t="shared" si="11"/>
        <v>109955</v>
      </c>
      <c r="EQ43" s="102">
        <v>4584301</v>
      </c>
      <c r="ER43" s="71">
        <v>-430764</v>
      </c>
      <c r="ES43" s="102">
        <v>1307213</v>
      </c>
      <c r="ET43" s="102">
        <v>852342</v>
      </c>
      <c r="EU43" s="102">
        <v>368860</v>
      </c>
      <c r="EV43" s="102">
        <v>681078</v>
      </c>
      <c r="EW43" s="73">
        <f t="shared" si="12"/>
        <v>54930</v>
      </c>
      <c r="EX43" s="102">
        <v>40450</v>
      </c>
      <c r="EY43" s="102">
        <v>88</v>
      </c>
      <c r="EZ43" s="102">
        <v>40362</v>
      </c>
      <c r="FA43" s="102">
        <v>14480</v>
      </c>
      <c r="FB43" s="102">
        <v>0</v>
      </c>
      <c r="FC43" s="102">
        <v>1186688</v>
      </c>
      <c r="FD43" s="102">
        <v>244075</v>
      </c>
      <c r="FE43" s="102">
        <v>25732</v>
      </c>
      <c r="FF43" s="102">
        <v>1061945</v>
      </c>
      <c r="FG43" s="73">
        <f t="shared" si="13"/>
        <v>34694</v>
      </c>
      <c r="FH43" s="102">
        <v>4939483</v>
      </c>
      <c r="FI43" s="379">
        <f t="shared" si="14"/>
        <v>1.7</v>
      </c>
      <c r="FJ43" s="102">
        <v>4040613</v>
      </c>
      <c r="FK43" s="102">
        <v>280436</v>
      </c>
      <c r="FL43" s="102">
        <v>1958549</v>
      </c>
      <c r="FM43" s="102">
        <v>3476433</v>
      </c>
      <c r="FN43" s="428">
        <v>0.56799999999999995</v>
      </c>
      <c r="FO43" s="424">
        <v>103.9</v>
      </c>
      <c r="FP43" s="425">
        <v>29.3</v>
      </c>
      <c r="FQ43" s="424">
        <v>8.3000000000000007</v>
      </c>
      <c r="FR43" s="424">
        <v>15.3</v>
      </c>
      <c r="FS43" s="425">
        <v>24.8</v>
      </c>
      <c r="FT43" s="424">
        <v>3.1</v>
      </c>
      <c r="FU43" s="426">
        <v>22.6</v>
      </c>
      <c r="FV43" s="384">
        <v>14.6</v>
      </c>
      <c r="FW43" s="102">
        <v>7795946</v>
      </c>
      <c r="FX43" s="384">
        <f t="shared" si="15"/>
        <v>180.4</v>
      </c>
      <c r="FY43" s="102">
        <v>593977</v>
      </c>
      <c r="FZ43" s="102">
        <v>328149</v>
      </c>
      <c r="GA43" s="102">
        <v>0</v>
      </c>
      <c r="GB43" s="102">
        <v>265828</v>
      </c>
      <c r="GC43" s="107">
        <v>0</v>
      </c>
      <c r="GD43" s="427"/>
      <c r="GE43" s="386"/>
      <c r="GF43" s="424">
        <v>99.3</v>
      </c>
      <c r="GG43" s="424">
        <v>53.7</v>
      </c>
      <c r="GH43" s="424">
        <v>98.3</v>
      </c>
      <c r="GI43" s="102">
        <v>154</v>
      </c>
      <c r="GJ43" s="429" t="s">
        <v>646</v>
      </c>
      <c r="GK43" s="429">
        <v>15</v>
      </c>
      <c r="GL43" s="117">
        <v>20</v>
      </c>
      <c r="GM43" s="429" t="s">
        <v>646</v>
      </c>
      <c r="GN43" s="430">
        <v>20</v>
      </c>
      <c r="GO43" s="387">
        <v>30</v>
      </c>
      <c r="GP43" s="425">
        <v>14.6</v>
      </c>
      <c r="GQ43" s="388">
        <v>25</v>
      </c>
      <c r="GR43" s="388">
        <v>35</v>
      </c>
      <c r="GS43" s="431">
        <v>72.400000000000006</v>
      </c>
      <c r="GT43" s="388">
        <v>350</v>
      </c>
      <c r="GU43" s="394"/>
      <c r="GV43" s="100">
        <f t="shared" si="16"/>
        <v>4321</v>
      </c>
      <c r="GW43" s="394"/>
      <c r="GX43" s="394"/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</row>
    <row r="44" spans="2:230" x14ac:dyDescent="0.15">
      <c r="B44" s="89" t="s">
        <v>77</v>
      </c>
      <c r="C44" s="102">
        <v>4209715</v>
      </c>
      <c r="D44" s="73">
        <f t="shared" si="0"/>
        <v>2246362</v>
      </c>
      <c r="E44" s="102">
        <v>72366</v>
      </c>
      <c r="F44" s="102">
        <v>2173996</v>
      </c>
      <c r="G44" s="73">
        <f t="shared" si="1"/>
        <v>116860</v>
      </c>
      <c r="H44" s="102">
        <v>52748</v>
      </c>
      <c r="I44" s="102">
        <v>64112</v>
      </c>
      <c r="J44" s="102">
        <v>1582600</v>
      </c>
      <c r="K44" s="102">
        <v>579710</v>
      </c>
      <c r="L44" s="102">
        <v>783017</v>
      </c>
      <c r="M44" s="102">
        <v>207866</v>
      </c>
      <c r="N44" s="102">
        <v>159569</v>
      </c>
      <c r="O44" s="102">
        <v>0</v>
      </c>
      <c r="P44" s="102">
        <v>0</v>
      </c>
      <c r="Q44" s="102">
        <v>0</v>
      </c>
      <c r="R44" s="102">
        <v>88819</v>
      </c>
      <c r="S44" s="74"/>
      <c r="T44" s="73">
        <f t="shared" si="26"/>
        <v>819339</v>
      </c>
      <c r="U44" s="102">
        <v>13789</v>
      </c>
      <c r="V44" s="102">
        <v>32805</v>
      </c>
      <c r="W44" s="102">
        <v>27762</v>
      </c>
      <c r="X44" s="102">
        <v>686274</v>
      </c>
      <c r="Y44" s="102">
        <v>10604</v>
      </c>
      <c r="Z44" s="102">
        <v>0</v>
      </c>
      <c r="AA44" s="102">
        <v>48105</v>
      </c>
      <c r="AB44" s="102">
        <v>43677</v>
      </c>
      <c r="AC44" s="102">
        <v>2798592</v>
      </c>
      <c r="AD44" s="102">
        <v>2602041</v>
      </c>
      <c r="AE44" s="102">
        <v>196551</v>
      </c>
      <c r="AF44" s="102">
        <v>6538</v>
      </c>
      <c r="AG44" s="102">
        <v>4167</v>
      </c>
      <c r="AH44" s="73">
        <f t="shared" si="27"/>
        <v>419907</v>
      </c>
      <c r="AI44" s="102">
        <v>323370</v>
      </c>
      <c r="AJ44" s="102">
        <v>96537</v>
      </c>
      <c r="AK44" s="102">
        <v>1647237</v>
      </c>
      <c r="AL44" s="73">
        <f t="shared" si="28"/>
        <v>676891</v>
      </c>
      <c r="AM44" s="102">
        <v>0</v>
      </c>
      <c r="AN44" s="102">
        <v>305442</v>
      </c>
      <c r="AO44" s="74"/>
      <c r="AP44" s="102">
        <v>371449</v>
      </c>
      <c r="AQ44" s="102">
        <v>91085</v>
      </c>
      <c r="AR44" s="102">
        <v>57136</v>
      </c>
      <c r="AS44" s="102">
        <v>0</v>
      </c>
      <c r="AT44" s="102">
        <v>1067800</v>
      </c>
      <c r="AU44" s="102">
        <v>591463</v>
      </c>
      <c r="AV44" s="102">
        <v>131305</v>
      </c>
      <c r="AW44" s="102">
        <v>40240</v>
      </c>
      <c r="AX44" s="102">
        <v>476337</v>
      </c>
      <c r="AY44" s="102">
        <v>1533</v>
      </c>
      <c r="AZ44" s="102">
        <v>13784</v>
      </c>
      <c r="BA44" s="102">
        <v>1234</v>
      </c>
      <c r="BB44" s="102">
        <v>7641872</v>
      </c>
      <c r="BC44" s="102">
        <v>152975</v>
      </c>
      <c r="BD44" s="102">
        <v>0</v>
      </c>
      <c r="BE44" s="102">
        <v>0</v>
      </c>
      <c r="BF44" s="102">
        <v>129168</v>
      </c>
      <c r="BG44" s="102">
        <v>0</v>
      </c>
      <c r="BH44" s="102">
        <v>93965</v>
      </c>
      <c r="BI44" s="102">
        <v>51915</v>
      </c>
      <c r="BJ44" s="102">
        <v>201515</v>
      </c>
      <c r="BK44" s="102">
        <v>0</v>
      </c>
      <c r="BL44" s="102">
        <v>0</v>
      </c>
      <c r="BM44" s="102">
        <v>0</v>
      </c>
      <c r="BN44" s="102">
        <v>1001930</v>
      </c>
      <c r="BO44" s="73">
        <f t="shared" si="5"/>
        <v>373930</v>
      </c>
      <c r="BP44" s="73">
        <f t="shared" si="6"/>
        <v>628000</v>
      </c>
      <c r="BQ44" s="102">
        <v>0</v>
      </c>
      <c r="BR44" s="102">
        <v>0</v>
      </c>
      <c r="BS44" s="102">
        <v>628000</v>
      </c>
      <c r="BT44" s="102">
        <v>0</v>
      </c>
      <c r="BU44" s="102">
        <v>20211832</v>
      </c>
      <c r="BV44" s="71"/>
      <c r="BW44" s="102">
        <v>2595662</v>
      </c>
      <c r="BX44" s="102">
        <v>1671363</v>
      </c>
      <c r="BY44" s="102">
        <v>217323</v>
      </c>
      <c r="BZ44" s="102">
        <v>201340</v>
      </c>
      <c r="CA44" s="102">
        <v>2674802</v>
      </c>
      <c r="CB44" s="102">
        <v>842380</v>
      </c>
      <c r="CC44" s="102">
        <v>40619</v>
      </c>
      <c r="CD44" s="102">
        <v>1677748</v>
      </c>
      <c r="CE44" s="102">
        <v>0</v>
      </c>
      <c r="CF44" s="102">
        <v>5198</v>
      </c>
      <c r="CG44" s="102">
        <v>107457</v>
      </c>
      <c r="CH44" s="102">
        <v>1037509</v>
      </c>
      <c r="CI44" s="102">
        <v>987409</v>
      </c>
      <c r="CJ44" s="83">
        <f t="shared" si="29"/>
        <v>50100</v>
      </c>
      <c r="CK44" s="102">
        <v>2613349</v>
      </c>
      <c r="CL44" s="102">
        <v>1263877</v>
      </c>
      <c r="CM44" s="102">
        <v>181728</v>
      </c>
      <c r="CN44" s="102">
        <v>367308</v>
      </c>
      <c r="CO44" s="102">
        <v>190098</v>
      </c>
      <c r="CP44" s="102">
        <v>5154085</v>
      </c>
      <c r="CQ44" s="102">
        <v>544633</v>
      </c>
      <c r="CR44" s="102">
        <v>323874</v>
      </c>
      <c r="CS44" s="102">
        <v>231384</v>
      </c>
      <c r="CT44" s="73">
        <f t="shared" si="7"/>
        <v>322304</v>
      </c>
      <c r="CU44" s="102">
        <v>7520</v>
      </c>
      <c r="CV44" s="102">
        <v>314784</v>
      </c>
      <c r="CW44" s="73">
        <f t="shared" si="8"/>
        <v>0</v>
      </c>
      <c r="CX44" s="102">
        <v>0</v>
      </c>
      <c r="CY44" s="102">
        <v>0</v>
      </c>
      <c r="CZ44" s="73">
        <f t="shared" si="9"/>
        <v>313972</v>
      </c>
      <c r="DA44" s="102">
        <v>0</v>
      </c>
      <c r="DB44" s="102">
        <v>313972</v>
      </c>
      <c r="DC44" s="102">
        <v>719767</v>
      </c>
      <c r="DD44" s="102">
        <v>497085</v>
      </c>
      <c r="DE44" s="102">
        <v>222316</v>
      </c>
      <c r="DF44" s="102">
        <v>366</v>
      </c>
      <c r="DG44" s="102">
        <v>0</v>
      </c>
      <c r="DH44" s="102">
        <v>153790</v>
      </c>
      <c r="DI44" s="102">
        <v>3437803</v>
      </c>
      <c r="DJ44" s="102">
        <v>27000</v>
      </c>
      <c r="DK44" s="102">
        <v>363</v>
      </c>
      <c r="DL44" s="102">
        <v>3410440</v>
      </c>
      <c r="DM44" s="102">
        <v>30000</v>
      </c>
      <c r="DN44" s="102">
        <v>30000</v>
      </c>
      <c r="DO44" s="102">
        <v>30000</v>
      </c>
      <c r="DP44" s="102">
        <v>0</v>
      </c>
      <c r="DQ44" s="102">
        <v>0</v>
      </c>
      <c r="DR44" s="102">
        <v>0</v>
      </c>
      <c r="DS44" s="102">
        <v>0</v>
      </c>
      <c r="DT44" s="102">
        <v>1386068</v>
      </c>
      <c r="DU44" s="102">
        <v>0</v>
      </c>
      <c r="DV44" s="73">
        <f t="shared" si="10"/>
        <v>0</v>
      </c>
      <c r="DW44" s="102">
        <v>0</v>
      </c>
      <c r="DX44" s="102">
        <v>529316</v>
      </c>
      <c r="DY44" s="102">
        <v>0</v>
      </c>
      <c r="DZ44" s="102">
        <v>351239</v>
      </c>
      <c r="EA44" s="74">
        <v>0</v>
      </c>
      <c r="EB44" s="102">
        <v>505513</v>
      </c>
      <c r="EC44" s="102">
        <v>0</v>
      </c>
      <c r="ED44" s="102">
        <v>19992933</v>
      </c>
      <c r="EE44" s="71"/>
      <c r="EF44" s="102">
        <v>218899</v>
      </c>
      <c r="EG44" s="102">
        <v>122755</v>
      </c>
      <c r="EH44" s="102">
        <v>96144</v>
      </c>
      <c r="EI44" s="102">
        <v>44229</v>
      </c>
      <c r="EJ44" s="102">
        <v>71229</v>
      </c>
      <c r="EK44" s="71"/>
      <c r="EL44" s="102">
        <v>44435</v>
      </c>
      <c r="EM44" s="102">
        <v>43773</v>
      </c>
      <c r="EN44" s="102">
        <v>30438</v>
      </c>
      <c r="EO44" s="102">
        <v>11853</v>
      </c>
      <c r="EP44" s="73">
        <f t="shared" si="11"/>
        <v>6332790</v>
      </c>
      <c r="EQ44" s="102">
        <v>7966680</v>
      </c>
      <c r="ER44" s="71">
        <v>-6996543</v>
      </c>
      <c r="ES44" s="102">
        <v>2367415</v>
      </c>
      <c r="ET44" s="102">
        <v>1498507</v>
      </c>
      <c r="EU44" s="102">
        <v>920186</v>
      </c>
      <c r="EV44" s="102">
        <v>1011266</v>
      </c>
      <c r="EW44" s="73">
        <f t="shared" si="12"/>
        <v>208281</v>
      </c>
      <c r="EX44" s="102">
        <v>182833</v>
      </c>
      <c r="EY44" s="102">
        <v>24126</v>
      </c>
      <c r="EZ44" s="102">
        <v>158341</v>
      </c>
      <c r="FA44" s="102">
        <v>25448</v>
      </c>
      <c r="FB44" s="102">
        <v>0</v>
      </c>
      <c r="FC44" s="102">
        <v>2084415</v>
      </c>
      <c r="FD44" s="102">
        <v>4998390</v>
      </c>
      <c r="FE44" s="102">
        <v>544194</v>
      </c>
      <c r="FF44" s="102">
        <v>1121588</v>
      </c>
      <c r="FG44" s="73">
        <f t="shared" si="13"/>
        <v>2032783</v>
      </c>
      <c r="FH44" s="102">
        <v>14744324</v>
      </c>
      <c r="FI44" s="379">
        <f t="shared" si="14"/>
        <v>1.1000000000000001</v>
      </c>
      <c r="FJ44" s="102">
        <v>7737204</v>
      </c>
      <c r="FK44" s="102">
        <v>628749</v>
      </c>
      <c r="FL44" s="102">
        <v>4056229</v>
      </c>
      <c r="FM44" s="102">
        <v>6658270</v>
      </c>
      <c r="FN44" s="428">
        <v>0.625</v>
      </c>
      <c r="FO44" s="424">
        <v>94.7</v>
      </c>
      <c r="FP44" s="425">
        <v>27.2</v>
      </c>
      <c r="FQ44" s="424">
        <v>10.8</v>
      </c>
      <c r="FR44" s="424">
        <v>11.8</v>
      </c>
      <c r="FS44" s="425">
        <v>17.899999999999999</v>
      </c>
      <c r="FT44" s="424">
        <v>12.7</v>
      </c>
      <c r="FU44" s="426">
        <v>12.8</v>
      </c>
      <c r="FV44" s="384">
        <v>5.8</v>
      </c>
      <c r="FW44" s="102">
        <v>8597031</v>
      </c>
      <c r="FX44" s="384">
        <f t="shared" si="15"/>
        <v>102.8</v>
      </c>
      <c r="FY44" s="102">
        <v>7372429</v>
      </c>
      <c r="FZ44" s="102">
        <v>1090221</v>
      </c>
      <c r="GA44" s="102">
        <v>617454</v>
      </c>
      <c r="GB44" s="102">
        <v>5664754</v>
      </c>
      <c r="GC44" s="107">
        <v>0</v>
      </c>
      <c r="GD44" s="427">
        <v>714</v>
      </c>
      <c r="GE44" s="386">
        <f>IF(GD44=0,"-",ROUND(GD44/(GV44)*100,1))</f>
        <v>8.5</v>
      </c>
      <c r="GF44" s="424">
        <v>99.3</v>
      </c>
      <c r="GG44" s="424">
        <v>44.4</v>
      </c>
      <c r="GH44" s="424">
        <v>97.8</v>
      </c>
      <c r="GI44" s="102">
        <v>280</v>
      </c>
      <c r="GJ44" s="429" t="s">
        <v>646</v>
      </c>
      <c r="GK44" s="429">
        <v>13.66</v>
      </c>
      <c r="GL44" s="117">
        <v>20</v>
      </c>
      <c r="GM44" s="429" t="s">
        <v>646</v>
      </c>
      <c r="GN44" s="430">
        <v>18.66</v>
      </c>
      <c r="GO44" s="387">
        <v>30</v>
      </c>
      <c r="GP44" s="425">
        <v>5.8</v>
      </c>
      <c r="GQ44" s="388">
        <v>25</v>
      </c>
      <c r="GR44" s="388">
        <v>35</v>
      </c>
      <c r="GS44" s="431" t="s">
        <v>646</v>
      </c>
      <c r="GT44" s="388">
        <v>350</v>
      </c>
      <c r="GU44" s="394"/>
      <c r="GV44" s="100">
        <f t="shared" si="16"/>
        <v>8366</v>
      </c>
      <c r="GW44" s="394"/>
      <c r="GX44" s="394"/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</row>
    <row r="45" spans="2:230" x14ac:dyDescent="0.15">
      <c r="B45" s="89" t="s">
        <v>79</v>
      </c>
      <c r="C45" s="102">
        <v>4420517</v>
      </c>
      <c r="D45" s="73">
        <f t="shared" si="0"/>
        <v>368694</v>
      </c>
      <c r="E45" s="102">
        <v>13088</v>
      </c>
      <c r="F45" s="102">
        <v>355606</v>
      </c>
      <c r="G45" s="73">
        <f t="shared" si="1"/>
        <v>785347</v>
      </c>
      <c r="H45" s="102">
        <v>60472</v>
      </c>
      <c r="I45" s="102">
        <v>724875</v>
      </c>
      <c r="J45" s="102">
        <v>3068489</v>
      </c>
      <c r="K45" s="102">
        <v>1626587</v>
      </c>
      <c r="L45" s="102">
        <v>732826</v>
      </c>
      <c r="M45" s="102">
        <v>687842</v>
      </c>
      <c r="N45" s="102">
        <v>180863</v>
      </c>
      <c r="O45" s="102">
        <v>0</v>
      </c>
      <c r="P45" s="102">
        <v>0</v>
      </c>
      <c r="Q45" s="102">
        <v>0</v>
      </c>
      <c r="R45" s="102">
        <v>61121</v>
      </c>
      <c r="S45" s="74"/>
      <c r="T45" s="73">
        <f t="shared" si="26"/>
        <v>201590</v>
      </c>
      <c r="U45" s="102">
        <v>2356</v>
      </c>
      <c r="V45" s="102">
        <v>5622</v>
      </c>
      <c r="W45" s="102">
        <v>4792</v>
      </c>
      <c r="X45" s="102">
        <v>180091</v>
      </c>
      <c r="Y45" s="102">
        <v>0</v>
      </c>
      <c r="Z45" s="102">
        <v>0</v>
      </c>
      <c r="AA45" s="102">
        <v>8729</v>
      </c>
      <c r="AB45" s="102">
        <v>6867</v>
      </c>
      <c r="AC45" s="102">
        <v>12338</v>
      </c>
      <c r="AD45" s="102">
        <v>0</v>
      </c>
      <c r="AE45" s="102">
        <v>12338</v>
      </c>
      <c r="AF45" s="102">
        <v>1245</v>
      </c>
      <c r="AG45" s="102">
        <v>670</v>
      </c>
      <c r="AH45" s="73">
        <f t="shared" si="27"/>
        <v>97661</v>
      </c>
      <c r="AI45" s="102">
        <v>68001</v>
      </c>
      <c r="AJ45" s="102">
        <v>29660</v>
      </c>
      <c r="AK45" s="102">
        <v>396532</v>
      </c>
      <c r="AL45" s="73">
        <f t="shared" si="28"/>
        <v>108694</v>
      </c>
      <c r="AM45" s="102">
        <v>0</v>
      </c>
      <c r="AN45" s="102">
        <v>0</v>
      </c>
      <c r="AO45" s="74"/>
      <c r="AP45" s="102">
        <v>108694</v>
      </c>
      <c r="AQ45" s="102">
        <v>14837</v>
      </c>
      <c r="AR45" s="102">
        <v>4126</v>
      </c>
      <c r="AS45" s="102">
        <v>0</v>
      </c>
      <c r="AT45" s="102">
        <v>251359</v>
      </c>
      <c r="AU45" s="102">
        <v>112010</v>
      </c>
      <c r="AV45" s="102">
        <v>0</v>
      </c>
      <c r="AW45" s="102">
        <v>222</v>
      </c>
      <c r="AX45" s="102">
        <v>139349</v>
      </c>
      <c r="AY45" s="102">
        <v>2087</v>
      </c>
      <c r="AZ45" s="102">
        <v>10500</v>
      </c>
      <c r="BA45" s="102">
        <v>2500</v>
      </c>
      <c r="BB45" s="102">
        <v>3383</v>
      </c>
      <c r="BC45" s="102">
        <v>380</v>
      </c>
      <c r="BD45" s="102">
        <v>0</v>
      </c>
      <c r="BE45" s="102">
        <v>0</v>
      </c>
      <c r="BF45" s="102">
        <v>380</v>
      </c>
      <c r="BG45" s="102">
        <v>0</v>
      </c>
      <c r="BH45" s="102">
        <v>369238</v>
      </c>
      <c r="BI45" s="102">
        <v>315076</v>
      </c>
      <c r="BJ45" s="102">
        <v>63158</v>
      </c>
      <c r="BK45" s="102">
        <v>0</v>
      </c>
      <c r="BL45" s="102">
        <v>0</v>
      </c>
      <c r="BM45" s="102">
        <v>0</v>
      </c>
      <c r="BN45" s="102">
        <v>0</v>
      </c>
      <c r="BO45" s="73">
        <f t="shared" si="5"/>
        <v>0</v>
      </c>
      <c r="BP45" s="73">
        <f t="shared" si="6"/>
        <v>0</v>
      </c>
      <c r="BQ45" s="102">
        <v>0</v>
      </c>
      <c r="BR45" s="102">
        <v>0</v>
      </c>
      <c r="BS45" s="102">
        <v>0</v>
      </c>
      <c r="BT45" s="102">
        <v>0</v>
      </c>
      <c r="BU45" s="102">
        <v>5896559</v>
      </c>
      <c r="BV45" s="71"/>
      <c r="BW45" s="102">
        <v>1211911</v>
      </c>
      <c r="BX45" s="102">
        <v>734859</v>
      </c>
      <c r="BY45" s="102">
        <v>39848</v>
      </c>
      <c r="BZ45" s="102">
        <v>160715</v>
      </c>
      <c r="CA45" s="102">
        <v>500413</v>
      </c>
      <c r="CB45" s="102">
        <v>212795</v>
      </c>
      <c r="CC45" s="102">
        <v>11820</v>
      </c>
      <c r="CD45" s="102">
        <v>261085</v>
      </c>
      <c r="CE45" s="102">
        <v>0</v>
      </c>
      <c r="CF45" s="102">
        <v>1784</v>
      </c>
      <c r="CG45" s="102">
        <v>12479</v>
      </c>
      <c r="CH45" s="102">
        <v>77933</v>
      </c>
      <c r="CI45" s="102">
        <v>69637</v>
      </c>
      <c r="CJ45" s="83">
        <f t="shared" si="29"/>
        <v>8296</v>
      </c>
      <c r="CK45" s="102">
        <v>554668</v>
      </c>
      <c r="CL45" s="102">
        <v>311461</v>
      </c>
      <c r="CM45" s="102">
        <v>8277</v>
      </c>
      <c r="CN45" s="102">
        <v>155781</v>
      </c>
      <c r="CO45" s="102">
        <v>16307</v>
      </c>
      <c r="CP45" s="102">
        <v>748628</v>
      </c>
      <c r="CQ45" s="102">
        <v>370293</v>
      </c>
      <c r="CR45" s="102">
        <v>54362</v>
      </c>
      <c r="CS45" s="102">
        <v>54362</v>
      </c>
      <c r="CT45" s="73">
        <f t="shared" si="7"/>
        <v>1470</v>
      </c>
      <c r="CU45" s="102">
        <v>0</v>
      </c>
      <c r="CV45" s="102">
        <v>1470</v>
      </c>
      <c r="CW45" s="73">
        <f t="shared" si="8"/>
        <v>0</v>
      </c>
      <c r="CX45" s="102">
        <v>0</v>
      </c>
      <c r="CY45" s="102">
        <v>0</v>
      </c>
      <c r="CZ45" s="73">
        <f t="shared" si="9"/>
        <v>0</v>
      </c>
      <c r="DA45" s="102">
        <v>0</v>
      </c>
      <c r="DB45" s="102">
        <v>0</v>
      </c>
      <c r="DC45" s="102">
        <v>477187</v>
      </c>
      <c r="DD45" s="102">
        <v>390873</v>
      </c>
      <c r="DE45" s="102">
        <v>86314</v>
      </c>
      <c r="DF45" s="102">
        <v>0</v>
      </c>
      <c r="DG45" s="102">
        <v>0</v>
      </c>
      <c r="DH45" s="102">
        <v>24618</v>
      </c>
      <c r="DI45" s="102">
        <v>941027</v>
      </c>
      <c r="DJ45" s="102">
        <v>881405</v>
      </c>
      <c r="DK45" s="102">
        <v>0</v>
      </c>
      <c r="DL45" s="102">
        <v>59622</v>
      </c>
      <c r="DM45" s="102">
        <v>0</v>
      </c>
      <c r="DN45" s="102">
        <v>0</v>
      </c>
      <c r="DO45" s="102">
        <v>0</v>
      </c>
      <c r="DP45" s="102">
        <v>0</v>
      </c>
      <c r="DQ45" s="102">
        <v>0</v>
      </c>
      <c r="DR45" s="102">
        <v>0</v>
      </c>
      <c r="DS45" s="102">
        <v>0</v>
      </c>
      <c r="DT45" s="102">
        <v>957828</v>
      </c>
      <c r="DU45" s="102">
        <v>618052</v>
      </c>
      <c r="DV45" s="73">
        <f t="shared" si="10"/>
        <v>0</v>
      </c>
      <c r="DW45" s="102">
        <v>0</v>
      </c>
      <c r="DX45" s="102">
        <v>127799</v>
      </c>
      <c r="DY45" s="102">
        <v>0</v>
      </c>
      <c r="DZ45" s="102">
        <v>93323</v>
      </c>
      <c r="EA45" s="74">
        <v>0</v>
      </c>
      <c r="EB45" s="102">
        <v>118654</v>
      </c>
      <c r="EC45" s="102">
        <v>0</v>
      </c>
      <c r="ED45" s="102">
        <v>5510520</v>
      </c>
      <c r="EE45" s="71"/>
      <c r="EF45" s="102">
        <v>386039</v>
      </c>
      <c r="EG45" s="102">
        <v>3000</v>
      </c>
      <c r="EH45" s="102">
        <v>383039</v>
      </c>
      <c r="EI45" s="102">
        <v>67963</v>
      </c>
      <c r="EJ45" s="102">
        <v>949368</v>
      </c>
      <c r="EK45" s="71"/>
      <c r="EL45" s="102">
        <v>8417</v>
      </c>
      <c r="EM45" s="102">
        <v>8809</v>
      </c>
      <c r="EN45" s="102">
        <v>0</v>
      </c>
      <c r="EO45" s="102">
        <v>304</v>
      </c>
      <c r="EP45" s="73">
        <f t="shared" si="11"/>
        <v>342164</v>
      </c>
      <c r="EQ45" s="102">
        <v>4703678</v>
      </c>
      <c r="ER45" s="71">
        <v>-341223</v>
      </c>
      <c r="ES45" s="102">
        <v>1113002</v>
      </c>
      <c r="ET45" s="102">
        <v>656206</v>
      </c>
      <c r="EU45" s="102">
        <v>158830</v>
      </c>
      <c r="EV45" s="102">
        <v>77933</v>
      </c>
      <c r="EW45" s="73">
        <f t="shared" si="12"/>
        <v>313925</v>
      </c>
      <c r="EX45" s="102">
        <v>298653</v>
      </c>
      <c r="EY45" s="102">
        <v>229663</v>
      </c>
      <c r="EZ45" s="102">
        <v>68990</v>
      </c>
      <c r="FA45" s="102">
        <v>15272</v>
      </c>
      <c r="FB45" s="102">
        <v>0</v>
      </c>
      <c r="FC45" s="102">
        <v>423222</v>
      </c>
      <c r="FD45" s="102">
        <v>725643</v>
      </c>
      <c r="FE45" s="102">
        <v>369874</v>
      </c>
      <c r="FF45" s="102">
        <v>902189</v>
      </c>
      <c r="FG45" s="73">
        <f t="shared" si="13"/>
        <v>944118</v>
      </c>
      <c r="FH45" s="102">
        <v>4658862</v>
      </c>
      <c r="FI45" s="379">
        <f t="shared" si="14"/>
        <v>9</v>
      </c>
      <c r="FJ45" s="102">
        <v>4251175</v>
      </c>
      <c r="FK45" s="102">
        <v>0</v>
      </c>
      <c r="FL45" s="102">
        <v>3242136</v>
      </c>
      <c r="FM45" s="102">
        <v>2191123</v>
      </c>
      <c r="FN45" s="428">
        <v>1.494</v>
      </c>
      <c r="FO45" s="424">
        <v>64.599999999999994</v>
      </c>
      <c r="FP45" s="425">
        <v>23.6</v>
      </c>
      <c r="FQ45" s="424">
        <v>3.4</v>
      </c>
      <c r="FR45" s="424">
        <v>1.7</v>
      </c>
      <c r="FS45" s="425">
        <v>8.3000000000000007</v>
      </c>
      <c r="FT45" s="424">
        <v>10.3</v>
      </c>
      <c r="FU45" s="426">
        <v>17.100000000000001</v>
      </c>
      <c r="FV45" s="384">
        <v>6.9</v>
      </c>
      <c r="FW45" s="102">
        <v>427356</v>
      </c>
      <c r="FX45" s="384">
        <f t="shared" si="15"/>
        <v>10.1</v>
      </c>
      <c r="FY45" s="102">
        <v>8802214</v>
      </c>
      <c r="FZ45" s="102">
        <v>2956578</v>
      </c>
      <c r="GA45" s="102">
        <v>0</v>
      </c>
      <c r="GB45" s="102">
        <v>5845636</v>
      </c>
      <c r="GC45" s="107">
        <v>0</v>
      </c>
      <c r="GD45" s="427"/>
      <c r="GE45" s="386"/>
      <c r="GF45" s="424">
        <v>99.9</v>
      </c>
      <c r="GG45" s="424">
        <v>34.9</v>
      </c>
      <c r="GH45" s="424">
        <v>99.7</v>
      </c>
      <c r="GI45" s="102">
        <v>115</v>
      </c>
      <c r="GJ45" s="429" t="s">
        <v>646</v>
      </c>
      <c r="GK45" s="429">
        <v>15</v>
      </c>
      <c r="GL45" s="117">
        <v>20</v>
      </c>
      <c r="GM45" s="429" t="s">
        <v>646</v>
      </c>
      <c r="GN45" s="430">
        <v>20</v>
      </c>
      <c r="GO45" s="387">
        <v>30</v>
      </c>
      <c r="GP45" s="425">
        <v>6.9</v>
      </c>
      <c r="GQ45" s="388">
        <v>25</v>
      </c>
      <c r="GR45" s="388">
        <v>35</v>
      </c>
      <c r="GS45" s="431" t="s">
        <v>646</v>
      </c>
      <c r="GT45" s="388">
        <v>350</v>
      </c>
      <c r="GU45" s="394"/>
      <c r="GV45" s="100">
        <f t="shared" si="16"/>
        <v>4251</v>
      </c>
      <c r="GW45" s="394"/>
      <c r="GX45" s="394"/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</row>
    <row r="46" spans="2:230" x14ac:dyDescent="0.15">
      <c r="B46" s="89" t="s">
        <v>81</v>
      </c>
      <c r="C46" s="102">
        <v>2068657</v>
      </c>
      <c r="D46" s="73">
        <f t="shared" si="0"/>
        <v>680885</v>
      </c>
      <c r="E46" s="102">
        <v>26070</v>
      </c>
      <c r="F46" s="102">
        <v>654815</v>
      </c>
      <c r="G46" s="73">
        <f t="shared" si="1"/>
        <v>67984</v>
      </c>
      <c r="H46" s="102">
        <v>29285</v>
      </c>
      <c r="I46" s="102">
        <v>38699</v>
      </c>
      <c r="J46" s="102">
        <v>1208575</v>
      </c>
      <c r="K46" s="102">
        <v>453194</v>
      </c>
      <c r="L46" s="102">
        <v>432927</v>
      </c>
      <c r="M46" s="102">
        <v>318979</v>
      </c>
      <c r="N46" s="102">
        <v>70310</v>
      </c>
      <c r="O46" s="102">
        <v>0</v>
      </c>
      <c r="P46" s="102">
        <v>0</v>
      </c>
      <c r="Q46" s="102">
        <v>0</v>
      </c>
      <c r="R46" s="102">
        <v>45444</v>
      </c>
      <c r="S46" s="74"/>
      <c r="T46" s="73">
        <f t="shared" si="26"/>
        <v>346605</v>
      </c>
      <c r="U46" s="102">
        <v>4088</v>
      </c>
      <c r="V46" s="102">
        <v>9716</v>
      </c>
      <c r="W46" s="102">
        <v>8200</v>
      </c>
      <c r="X46" s="102">
        <v>254691</v>
      </c>
      <c r="Y46" s="102">
        <v>45292</v>
      </c>
      <c r="Z46" s="102">
        <v>0</v>
      </c>
      <c r="AA46" s="102">
        <v>24618</v>
      </c>
      <c r="AB46" s="102">
        <v>7378</v>
      </c>
      <c r="AC46" s="102">
        <v>1945344</v>
      </c>
      <c r="AD46" s="102">
        <v>1682502</v>
      </c>
      <c r="AE46" s="102">
        <v>262842</v>
      </c>
      <c r="AF46" s="102">
        <v>2470</v>
      </c>
      <c r="AG46" s="102">
        <v>12569</v>
      </c>
      <c r="AH46" s="73">
        <f t="shared" si="27"/>
        <v>124968</v>
      </c>
      <c r="AI46" s="102">
        <v>107300</v>
      </c>
      <c r="AJ46" s="102">
        <v>17668</v>
      </c>
      <c r="AK46" s="102">
        <v>890943</v>
      </c>
      <c r="AL46" s="73">
        <f t="shared" si="28"/>
        <v>216726</v>
      </c>
      <c r="AM46" s="102">
        <v>0</v>
      </c>
      <c r="AN46" s="102">
        <v>17484</v>
      </c>
      <c r="AO46" s="74"/>
      <c r="AP46" s="102">
        <v>199242</v>
      </c>
      <c r="AQ46" s="102">
        <v>635</v>
      </c>
      <c r="AR46" s="102">
        <v>96023</v>
      </c>
      <c r="AS46" s="102">
        <v>0</v>
      </c>
      <c r="AT46" s="102">
        <v>526098</v>
      </c>
      <c r="AU46" s="102">
        <v>217244</v>
      </c>
      <c r="AV46" s="102">
        <v>8100</v>
      </c>
      <c r="AW46" s="102">
        <v>71</v>
      </c>
      <c r="AX46" s="102">
        <v>308854</v>
      </c>
      <c r="AY46" s="102">
        <v>512</v>
      </c>
      <c r="AZ46" s="102">
        <v>40119</v>
      </c>
      <c r="BA46" s="102">
        <v>2330</v>
      </c>
      <c r="BB46" s="102">
        <v>879202</v>
      </c>
      <c r="BC46" s="102">
        <v>1078390</v>
      </c>
      <c r="BD46" s="102">
        <v>230000</v>
      </c>
      <c r="BE46" s="102">
        <v>0</v>
      </c>
      <c r="BF46" s="102">
        <v>807335</v>
      </c>
      <c r="BG46" s="102">
        <v>0</v>
      </c>
      <c r="BH46" s="102">
        <v>84736</v>
      </c>
      <c r="BI46" s="102">
        <v>58149</v>
      </c>
      <c r="BJ46" s="102">
        <v>203630</v>
      </c>
      <c r="BK46" s="102">
        <v>539</v>
      </c>
      <c r="BL46" s="102">
        <v>0</v>
      </c>
      <c r="BM46" s="102">
        <v>0</v>
      </c>
      <c r="BN46" s="102">
        <v>1016064</v>
      </c>
      <c r="BO46" s="73">
        <f t="shared" si="5"/>
        <v>745300</v>
      </c>
      <c r="BP46" s="73">
        <f t="shared" si="6"/>
        <v>270764</v>
      </c>
      <c r="BQ46" s="102">
        <v>0</v>
      </c>
      <c r="BR46" s="102">
        <v>0</v>
      </c>
      <c r="BS46" s="102">
        <v>270764</v>
      </c>
      <c r="BT46" s="102">
        <v>0</v>
      </c>
      <c r="BU46" s="102">
        <v>9272617</v>
      </c>
      <c r="BV46" s="71"/>
      <c r="BW46" s="102">
        <v>1342802</v>
      </c>
      <c r="BX46" s="102">
        <v>891797</v>
      </c>
      <c r="BY46" s="102">
        <v>132879</v>
      </c>
      <c r="BZ46" s="102">
        <v>18271</v>
      </c>
      <c r="CA46" s="102">
        <v>894185</v>
      </c>
      <c r="CB46" s="102">
        <v>450372</v>
      </c>
      <c r="CC46" s="102">
        <v>19090</v>
      </c>
      <c r="CD46" s="102">
        <v>409850</v>
      </c>
      <c r="CE46" s="102">
        <v>0</v>
      </c>
      <c r="CF46" s="102">
        <v>906</v>
      </c>
      <c r="CG46" s="102">
        <v>13632</v>
      </c>
      <c r="CH46" s="102">
        <v>751518</v>
      </c>
      <c r="CI46" s="102">
        <v>693710</v>
      </c>
      <c r="CJ46" s="83">
        <f t="shared" si="29"/>
        <v>57808</v>
      </c>
      <c r="CK46" s="102">
        <v>1480783</v>
      </c>
      <c r="CL46" s="102">
        <v>712621</v>
      </c>
      <c r="CM46" s="102">
        <v>255623</v>
      </c>
      <c r="CN46" s="102">
        <v>275359</v>
      </c>
      <c r="CO46" s="102">
        <v>122747</v>
      </c>
      <c r="CP46" s="102">
        <v>937148</v>
      </c>
      <c r="CQ46" s="102">
        <v>362289</v>
      </c>
      <c r="CR46" s="102">
        <v>87172</v>
      </c>
      <c r="CS46" s="102">
        <v>79515</v>
      </c>
      <c r="CT46" s="73">
        <f t="shared" si="7"/>
        <v>11780</v>
      </c>
      <c r="CU46" s="102">
        <v>11780</v>
      </c>
      <c r="CV46" s="102">
        <v>0</v>
      </c>
      <c r="CW46" s="73">
        <f t="shared" si="8"/>
        <v>0</v>
      </c>
      <c r="CX46" s="102">
        <v>0</v>
      </c>
      <c r="CY46" s="102">
        <v>0</v>
      </c>
      <c r="CZ46" s="73">
        <f t="shared" si="9"/>
        <v>0</v>
      </c>
      <c r="DA46" s="102">
        <v>0</v>
      </c>
      <c r="DB46" s="102">
        <v>0</v>
      </c>
      <c r="DC46" s="102">
        <v>1143052</v>
      </c>
      <c r="DD46" s="102">
        <v>743365</v>
      </c>
      <c r="DE46" s="102">
        <v>399687</v>
      </c>
      <c r="DF46" s="102">
        <v>0</v>
      </c>
      <c r="DG46" s="102">
        <v>0</v>
      </c>
      <c r="DH46" s="102">
        <v>220447</v>
      </c>
      <c r="DI46" s="102">
        <v>930536</v>
      </c>
      <c r="DJ46" s="102">
        <v>30271</v>
      </c>
      <c r="DK46" s="102">
        <v>8</v>
      </c>
      <c r="DL46" s="102">
        <v>900257</v>
      </c>
      <c r="DM46" s="102">
        <v>0</v>
      </c>
      <c r="DN46" s="102">
        <v>0</v>
      </c>
      <c r="DO46" s="102">
        <v>0</v>
      </c>
      <c r="DP46" s="102">
        <v>0</v>
      </c>
      <c r="DQ46" s="102">
        <v>200000</v>
      </c>
      <c r="DR46" s="102">
        <v>200000</v>
      </c>
      <c r="DS46" s="102">
        <v>0</v>
      </c>
      <c r="DT46" s="102">
        <v>1111032</v>
      </c>
      <c r="DU46" s="102">
        <v>290226</v>
      </c>
      <c r="DV46" s="73">
        <f t="shared" si="10"/>
        <v>0</v>
      </c>
      <c r="DW46" s="102">
        <v>0</v>
      </c>
      <c r="DX46" s="102">
        <v>356800</v>
      </c>
      <c r="DY46" s="102">
        <v>0</v>
      </c>
      <c r="DZ46" s="102">
        <v>171083</v>
      </c>
      <c r="EA46" s="74">
        <v>0</v>
      </c>
      <c r="EB46" s="102">
        <v>281598</v>
      </c>
      <c r="EC46" s="102">
        <v>0</v>
      </c>
      <c r="ED46" s="102">
        <v>9134250</v>
      </c>
      <c r="EE46" s="71"/>
      <c r="EF46" s="102">
        <v>138367</v>
      </c>
      <c r="EG46" s="102">
        <v>77638</v>
      </c>
      <c r="EH46" s="102">
        <v>60729</v>
      </c>
      <c r="EI46" s="102">
        <v>2580</v>
      </c>
      <c r="EJ46" s="102">
        <v>-197149</v>
      </c>
      <c r="EK46" s="71"/>
      <c r="EL46" s="102">
        <v>15938</v>
      </c>
      <c r="EM46" s="102">
        <v>15825</v>
      </c>
      <c r="EN46" s="102">
        <v>244000</v>
      </c>
      <c r="EO46" s="102">
        <v>14344</v>
      </c>
      <c r="EP46" s="73">
        <f t="shared" si="11"/>
        <v>162955</v>
      </c>
      <c r="EQ46" s="102">
        <v>4415898</v>
      </c>
      <c r="ER46" s="71">
        <v>-689593</v>
      </c>
      <c r="ES46" s="102">
        <v>1204545</v>
      </c>
      <c r="ET46" s="102">
        <v>768633</v>
      </c>
      <c r="EU46" s="102">
        <v>284988</v>
      </c>
      <c r="EV46" s="102">
        <v>751518</v>
      </c>
      <c r="EW46" s="73">
        <f t="shared" si="12"/>
        <v>174383</v>
      </c>
      <c r="EX46" s="102">
        <v>110133</v>
      </c>
      <c r="EY46" s="102">
        <v>7722</v>
      </c>
      <c r="EZ46" s="102">
        <v>102411</v>
      </c>
      <c r="FA46" s="102">
        <v>64250</v>
      </c>
      <c r="FB46" s="102">
        <v>0</v>
      </c>
      <c r="FC46" s="102">
        <v>799642</v>
      </c>
      <c r="FD46" s="102">
        <v>492856</v>
      </c>
      <c r="FE46" s="102">
        <v>362289</v>
      </c>
      <c r="FF46" s="102">
        <v>910377</v>
      </c>
      <c r="FG46" s="73">
        <f t="shared" si="13"/>
        <v>348815</v>
      </c>
      <c r="FH46" s="102">
        <v>4967124</v>
      </c>
      <c r="FI46" s="379">
        <f t="shared" si="14"/>
        <v>1.4</v>
      </c>
      <c r="FJ46" s="102">
        <v>4036916</v>
      </c>
      <c r="FK46" s="102">
        <v>270764</v>
      </c>
      <c r="FL46" s="102">
        <v>1841648</v>
      </c>
      <c r="FM46" s="102">
        <v>3524150</v>
      </c>
      <c r="FN46" s="428">
        <v>0.52700000000000002</v>
      </c>
      <c r="FO46" s="424">
        <v>95.7</v>
      </c>
      <c r="FP46" s="425">
        <v>26.9</v>
      </c>
      <c r="FQ46" s="424">
        <v>6.4</v>
      </c>
      <c r="FR46" s="424">
        <v>16.899999999999999</v>
      </c>
      <c r="FS46" s="425">
        <v>16.100000000000001</v>
      </c>
      <c r="FT46" s="424">
        <v>9.8000000000000007</v>
      </c>
      <c r="FU46" s="426">
        <v>16.899999999999999</v>
      </c>
      <c r="FV46" s="384">
        <v>12.4</v>
      </c>
      <c r="FW46" s="102">
        <v>7911146</v>
      </c>
      <c r="FX46" s="384">
        <f t="shared" si="15"/>
        <v>183.7</v>
      </c>
      <c r="FY46" s="102">
        <v>1507481</v>
      </c>
      <c r="FZ46" s="102">
        <v>641560</v>
      </c>
      <c r="GA46" s="102">
        <v>38468</v>
      </c>
      <c r="GB46" s="102">
        <v>827453</v>
      </c>
      <c r="GC46" s="107">
        <v>0</v>
      </c>
      <c r="GD46" s="427"/>
      <c r="GE46" s="386"/>
      <c r="GF46" s="424">
        <v>99.1</v>
      </c>
      <c r="GG46" s="424">
        <v>17.3</v>
      </c>
      <c r="GH46" s="424">
        <v>94.6</v>
      </c>
      <c r="GI46" s="102">
        <v>143</v>
      </c>
      <c r="GJ46" s="429" t="s">
        <v>646</v>
      </c>
      <c r="GK46" s="429">
        <v>15</v>
      </c>
      <c r="GL46" s="117">
        <v>20</v>
      </c>
      <c r="GM46" s="429" t="s">
        <v>646</v>
      </c>
      <c r="GN46" s="430">
        <v>20</v>
      </c>
      <c r="GO46" s="387">
        <v>30</v>
      </c>
      <c r="GP46" s="425">
        <v>12.4</v>
      </c>
      <c r="GQ46" s="388">
        <v>25</v>
      </c>
      <c r="GR46" s="388">
        <v>35</v>
      </c>
      <c r="GS46" s="431">
        <v>115.2</v>
      </c>
      <c r="GT46" s="388">
        <v>350</v>
      </c>
      <c r="GU46" s="394"/>
      <c r="GV46" s="100">
        <f t="shared" si="16"/>
        <v>4308</v>
      </c>
      <c r="GW46" s="394"/>
      <c r="GX46" s="394"/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</row>
    <row r="47" spans="2:230" x14ac:dyDescent="0.15">
      <c r="B47" s="89" t="s">
        <v>83</v>
      </c>
      <c r="C47" s="102">
        <v>1412133</v>
      </c>
      <c r="D47" s="73">
        <f t="shared" si="0"/>
        <v>653703</v>
      </c>
      <c r="E47" s="102">
        <v>22515</v>
      </c>
      <c r="F47" s="102">
        <v>631188</v>
      </c>
      <c r="G47" s="73">
        <f t="shared" si="1"/>
        <v>27840</v>
      </c>
      <c r="H47" s="102">
        <v>16676</v>
      </c>
      <c r="I47" s="102">
        <v>11164</v>
      </c>
      <c r="J47" s="102">
        <v>496445</v>
      </c>
      <c r="K47" s="102">
        <v>197568</v>
      </c>
      <c r="L47" s="102">
        <v>240421</v>
      </c>
      <c r="M47" s="102">
        <v>58456</v>
      </c>
      <c r="N47" s="102">
        <v>198421</v>
      </c>
      <c r="O47" s="102">
        <v>0</v>
      </c>
      <c r="P47" s="102">
        <v>0</v>
      </c>
      <c r="Q47" s="102">
        <v>0</v>
      </c>
      <c r="R47" s="102">
        <v>35473</v>
      </c>
      <c r="S47" s="74"/>
      <c r="T47" s="73">
        <f t="shared" si="26"/>
        <v>278466</v>
      </c>
      <c r="U47" s="102">
        <v>4075</v>
      </c>
      <c r="V47" s="102">
        <v>9697</v>
      </c>
      <c r="W47" s="102">
        <v>8205</v>
      </c>
      <c r="X47" s="102">
        <v>213297</v>
      </c>
      <c r="Y47" s="102">
        <v>23974</v>
      </c>
      <c r="Z47" s="102">
        <v>0</v>
      </c>
      <c r="AA47" s="102">
        <v>19218</v>
      </c>
      <c r="AB47" s="102">
        <v>10208</v>
      </c>
      <c r="AC47" s="102">
        <v>1493779</v>
      </c>
      <c r="AD47" s="102">
        <v>1292928</v>
      </c>
      <c r="AE47" s="102">
        <v>200851</v>
      </c>
      <c r="AF47" s="102">
        <v>2111</v>
      </c>
      <c r="AG47" s="102">
        <v>60951</v>
      </c>
      <c r="AH47" s="73">
        <f t="shared" si="27"/>
        <v>60254</v>
      </c>
      <c r="AI47" s="102">
        <v>34850</v>
      </c>
      <c r="AJ47" s="102">
        <v>25404</v>
      </c>
      <c r="AK47" s="102">
        <v>471979</v>
      </c>
      <c r="AL47" s="73">
        <f t="shared" si="28"/>
        <v>224303</v>
      </c>
      <c r="AM47" s="102">
        <v>0</v>
      </c>
      <c r="AN47" s="102">
        <v>110965</v>
      </c>
      <c r="AO47" s="74"/>
      <c r="AP47" s="102">
        <v>113338</v>
      </c>
      <c r="AQ47" s="102">
        <v>0</v>
      </c>
      <c r="AR47" s="102">
        <v>2420</v>
      </c>
      <c r="AS47" s="102">
        <v>0</v>
      </c>
      <c r="AT47" s="102">
        <v>412194</v>
      </c>
      <c r="AU47" s="102">
        <v>241183</v>
      </c>
      <c r="AV47" s="102">
        <v>49694</v>
      </c>
      <c r="AW47" s="102">
        <v>449</v>
      </c>
      <c r="AX47" s="102">
        <v>171011</v>
      </c>
      <c r="AY47" s="102">
        <v>0</v>
      </c>
      <c r="AZ47" s="102">
        <v>4437</v>
      </c>
      <c r="BA47" s="102">
        <v>0</v>
      </c>
      <c r="BB47" s="102">
        <v>27850</v>
      </c>
      <c r="BC47" s="102">
        <v>23423</v>
      </c>
      <c r="BD47" s="102">
        <v>0</v>
      </c>
      <c r="BE47" s="102">
        <v>0</v>
      </c>
      <c r="BF47" s="102">
        <v>19482</v>
      </c>
      <c r="BG47" s="102">
        <v>0</v>
      </c>
      <c r="BH47" s="102">
        <v>81036</v>
      </c>
      <c r="BI47" s="102">
        <v>81036</v>
      </c>
      <c r="BJ47" s="102">
        <v>33081</v>
      </c>
      <c r="BK47" s="102">
        <v>0</v>
      </c>
      <c r="BL47" s="102">
        <v>0</v>
      </c>
      <c r="BM47" s="102">
        <v>0</v>
      </c>
      <c r="BN47" s="102">
        <v>230850</v>
      </c>
      <c r="BO47" s="73">
        <f t="shared" si="5"/>
        <v>30500</v>
      </c>
      <c r="BP47" s="73">
        <f t="shared" si="6"/>
        <v>200350</v>
      </c>
      <c r="BQ47" s="102">
        <v>0</v>
      </c>
      <c r="BR47" s="102">
        <v>0</v>
      </c>
      <c r="BS47" s="102">
        <v>200350</v>
      </c>
      <c r="BT47" s="102">
        <v>0</v>
      </c>
      <c r="BU47" s="102">
        <v>4638225</v>
      </c>
      <c r="BV47" s="71"/>
      <c r="BW47" s="102">
        <v>946612</v>
      </c>
      <c r="BX47" s="102">
        <v>634015</v>
      </c>
      <c r="BY47" s="102">
        <v>47272</v>
      </c>
      <c r="BZ47" s="102">
        <v>10850</v>
      </c>
      <c r="CA47" s="102">
        <v>914902</v>
      </c>
      <c r="CB47" s="102">
        <v>263591</v>
      </c>
      <c r="CC47" s="102">
        <v>11971</v>
      </c>
      <c r="CD47" s="102">
        <v>597572</v>
      </c>
      <c r="CE47" s="102">
        <v>0</v>
      </c>
      <c r="CF47" s="102">
        <v>0</v>
      </c>
      <c r="CG47" s="102">
        <v>41768</v>
      </c>
      <c r="CH47" s="102">
        <v>471455</v>
      </c>
      <c r="CI47" s="102">
        <v>433780</v>
      </c>
      <c r="CJ47" s="83">
        <f t="shared" si="29"/>
        <v>37675</v>
      </c>
      <c r="CK47" s="102">
        <v>834717</v>
      </c>
      <c r="CL47" s="102">
        <v>461826</v>
      </c>
      <c r="CM47" s="102">
        <v>145145</v>
      </c>
      <c r="CN47" s="102">
        <v>97787</v>
      </c>
      <c r="CO47" s="102">
        <v>24917</v>
      </c>
      <c r="CP47" s="102">
        <v>539934</v>
      </c>
      <c r="CQ47" s="102">
        <v>92686</v>
      </c>
      <c r="CR47" s="102">
        <v>141189</v>
      </c>
      <c r="CS47" s="102">
        <v>126267</v>
      </c>
      <c r="CT47" s="73">
        <f t="shared" si="7"/>
        <v>0</v>
      </c>
      <c r="CU47" s="102">
        <v>0</v>
      </c>
      <c r="CV47" s="102">
        <v>0</v>
      </c>
      <c r="CW47" s="73">
        <f t="shared" si="8"/>
        <v>0</v>
      </c>
      <c r="CX47" s="102">
        <v>0</v>
      </c>
      <c r="CY47" s="102">
        <v>0</v>
      </c>
      <c r="CZ47" s="73">
        <f t="shared" si="9"/>
        <v>0</v>
      </c>
      <c r="DA47" s="102">
        <v>0</v>
      </c>
      <c r="DB47" s="102">
        <v>0</v>
      </c>
      <c r="DC47" s="102">
        <v>101931</v>
      </c>
      <c r="DD47" s="102">
        <v>12455</v>
      </c>
      <c r="DE47" s="102">
        <v>89476</v>
      </c>
      <c r="DF47" s="102">
        <v>0</v>
      </c>
      <c r="DG47" s="102">
        <v>0</v>
      </c>
      <c r="DH47" s="102">
        <v>30103</v>
      </c>
      <c r="DI47" s="102">
        <v>101353</v>
      </c>
      <c r="DJ47" s="102">
        <v>44439</v>
      </c>
      <c r="DK47" s="102">
        <v>1</v>
      </c>
      <c r="DL47" s="102">
        <v>56913</v>
      </c>
      <c r="DM47" s="102">
        <v>0</v>
      </c>
      <c r="DN47" s="102">
        <v>0</v>
      </c>
      <c r="DO47" s="102">
        <v>0</v>
      </c>
      <c r="DP47" s="102">
        <v>0</v>
      </c>
      <c r="DQ47" s="102">
        <v>0</v>
      </c>
      <c r="DR47" s="102">
        <v>0</v>
      </c>
      <c r="DS47" s="102">
        <v>0</v>
      </c>
      <c r="DT47" s="102">
        <v>642447</v>
      </c>
      <c r="DU47" s="102">
        <v>140194</v>
      </c>
      <c r="DV47" s="73">
        <f t="shared" si="10"/>
        <v>0</v>
      </c>
      <c r="DW47" s="102">
        <v>0</v>
      </c>
      <c r="DX47" s="102">
        <v>164541</v>
      </c>
      <c r="DY47" s="102">
        <v>0</v>
      </c>
      <c r="DZ47" s="102">
        <v>137117</v>
      </c>
      <c r="EA47" s="74">
        <v>0</v>
      </c>
      <c r="EB47" s="102">
        <v>195314</v>
      </c>
      <c r="EC47" s="102">
        <v>0</v>
      </c>
      <c r="ED47" s="102">
        <v>4608371</v>
      </c>
      <c r="EE47" s="71"/>
      <c r="EF47" s="102">
        <v>29854</v>
      </c>
      <c r="EG47" s="102">
        <v>0</v>
      </c>
      <c r="EH47" s="102">
        <v>29854</v>
      </c>
      <c r="EI47" s="102">
        <v>-51182</v>
      </c>
      <c r="EJ47" s="102">
        <v>-6743</v>
      </c>
      <c r="EK47" s="71"/>
      <c r="EL47" s="102">
        <v>13748</v>
      </c>
      <c r="EM47" s="102">
        <v>13444</v>
      </c>
      <c r="EN47" s="102">
        <v>4</v>
      </c>
      <c r="EO47" s="102">
        <v>731</v>
      </c>
      <c r="EP47" s="73">
        <f t="shared" si="11"/>
        <v>128573</v>
      </c>
      <c r="EQ47" s="102">
        <v>3232170</v>
      </c>
      <c r="ER47" s="71">
        <v>-327547</v>
      </c>
      <c r="ES47" s="102">
        <v>897877</v>
      </c>
      <c r="ET47" s="102">
        <v>587835</v>
      </c>
      <c r="EU47" s="102">
        <v>256687</v>
      </c>
      <c r="EV47" s="102">
        <v>471455</v>
      </c>
      <c r="EW47" s="73">
        <f t="shared" si="12"/>
        <v>80139</v>
      </c>
      <c r="EX47" s="102">
        <v>59773</v>
      </c>
      <c r="EY47" s="102">
        <v>5651</v>
      </c>
      <c r="EZ47" s="102">
        <v>54122</v>
      </c>
      <c r="FA47" s="102">
        <v>20366</v>
      </c>
      <c r="FB47" s="102">
        <v>0</v>
      </c>
      <c r="FC47" s="102">
        <v>683918</v>
      </c>
      <c r="FD47" s="102">
        <v>488075</v>
      </c>
      <c r="FE47" s="102">
        <v>86834</v>
      </c>
      <c r="FF47" s="102">
        <v>557196</v>
      </c>
      <c r="FG47" s="73">
        <f t="shared" si="13"/>
        <v>94516</v>
      </c>
      <c r="FH47" s="102">
        <v>3529863</v>
      </c>
      <c r="FI47" s="379">
        <f t="shared" si="14"/>
        <v>0.9</v>
      </c>
      <c r="FJ47" s="102">
        <v>3001360</v>
      </c>
      <c r="FK47" s="102">
        <v>200350</v>
      </c>
      <c r="FL47" s="102">
        <v>1347032</v>
      </c>
      <c r="FM47" s="102">
        <v>2639960</v>
      </c>
      <c r="FN47" s="428">
        <v>0.51600000000000001</v>
      </c>
      <c r="FO47" s="424">
        <v>96.8</v>
      </c>
      <c r="FP47" s="425">
        <v>27.7</v>
      </c>
      <c r="FQ47" s="424">
        <v>7.9</v>
      </c>
      <c r="FR47" s="424">
        <v>14.5</v>
      </c>
      <c r="FS47" s="425">
        <v>18.600000000000001</v>
      </c>
      <c r="FT47" s="424">
        <v>11.8</v>
      </c>
      <c r="FU47" s="426">
        <v>15.6</v>
      </c>
      <c r="FV47" s="384">
        <v>7</v>
      </c>
      <c r="FW47" s="102">
        <v>4334942</v>
      </c>
      <c r="FX47" s="384">
        <f t="shared" si="15"/>
        <v>135.4</v>
      </c>
      <c r="FY47" s="102">
        <v>3279680</v>
      </c>
      <c r="FZ47" s="102">
        <v>1718953</v>
      </c>
      <c r="GA47" s="102">
        <v>7875</v>
      </c>
      <c r="GB47" s="102">
        <v>1552852</v>
      </c>
      <c r="GC47" s="107">
        <v>0</v>
      </c>
      <c r="GD47" s="427"/>
      <c r="GE47" s="386"/>
      <c r="GF47" s="424">
        <v>98.9</v>
      </c>
      <c r="GG47" s="424">
        <v>47.8</v>
      </c>
      <c r="GH47" s="424">
        <v>98</v>
      </c>
      <c r="GI47" s="102">
        <v>96</v>
      </c>
      <c r="GJ47" s="429" t="s">
        <v>646</v>
      </c>
      <c r="GK47" s="429">
        <v>15</v>
      </c>
      <c r="GL47" s="117">
        <v>20</v>
      </c>
      <c r="GM47" s="429" t="s">
        <v>646</v>
      </c>
      <c r="GN47" s="430">
        <v>20</v>
      </c>
      <c r="GO47" s="387">
        <v>30</v>
      </c>
      <c r="GP47" s="425">
        <v>7</v>
      </c>
      <c r="GQ47" s="388">
        <v>25</v>
      </c>
      <c r="GR47" s="388">
        <v>35</v>
      </c>
      <c r="GS47" s="431" t="s">
        <v>646</v>
      </c>
      <c r="GT47" s="388">
        <v>350</v>
      </c>
      <c r="GU47" s="394"/>
      <c r="GV47" s="100">
        <f t="shared" si="16"/>
        <v>3202</v>
      </c>
      <c r="GW47" s="394"/>
      <c r="GX47" s="394"/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</row>
    <row r="48" spans="2:230" x14ac:dyDescent="0.15">
      <c r="B48" s="89" t="s">
        <v>85</v>
      </c>
      <c r="C48" s="102">
        <v>1547402</v>
      </c>
      <c r="D48" s="73">
        <f t="shared" si="0"/>
        <v>785532</v>
      </c>
      <c r="E48" s="102">
        <v>25990</v>
      </c>
      <c r="F48" s="102">
        <v>759542</v>
      </c>
      <c r="G48" s="73">
        <f t="shared" si="1"/>
        <v>60299</v>
      </c>
      <c r="H48" s="102">
        <v>29170</v>
      </c>
      <c r="I48" s="102">
        <v>31129</v>
      </c>
      <c r="J48" s="102">
        <v>576966</v>
      </c>
      <c r="K48" s="102">
        <v>193439</v>
      </c>
      <c r="L48" s="102">
        <v>300816</v>
      </c>
      <c r="M48" s="102">
        <v>82711</v>
      </c>
      <c r="N48" s="102">
        <v>77541</v>
      </c>
      <c r="O48" s="102">
        <v>0</v>
      </c>
      <c r="P48" s="102">
        <v>0</v>
      </c>
      <c r="Q48" s="102">
        <v>0</v>
      </c>
      <c r="R48" s="102">
        <v>45020</v>
      </c>
      <c r="S48" s="74"/>
      <c r="T48" s="73">
        <f t="shared" si="26"/>
        <v>358872</v>
      </c>
      <c r="U48" s="102">
        <v>4828</v>
      </c>
      <c r="V48" s="102">
        <v>11477</v>
      </c>
      <c r="W48" s="102">
        <v>9689</v>
      </c>
      <c r="X48" s="102">
        <v>264510</v>
      </c>
      <c r="Y48" s="102">
        <v>43976</v>
      </c>
      <c r="Z48" s="102">
        <v>0</v>
      </c>
      <c r="AA48" s="102">
        <v>24392</v>
      </c>
      <c r="AB48" s="102">
        <v>13330</v>
      </c>
      <c r="AC48" s="102">
        <v>1981933</v>
      </c>
      <c r="AD48" s="102">
        <v>1777882</v>
      </c>
      <c r="AE48" s="102">
        <v>204051</v>
      </c>
      <c r="AF48" s="102">
        <v>2209</v>
      </c>
      <c r="AG48" s="102">
        <v>6798</v>
      </c>
      <c r="AH48" s="73">
        <f t="shared" si="27"/>
        <v>124324</v>
      </c>
      <c r="AI48" s="102">
        <v>67234</v>
      </c>
      <c r="AJ48" s="102">
        <v>57090</v>
      </c>
      <c r="AK48" s="102">
        <v>695953</v>
      </c>
      <c r="AL48" s="73">
        <f t="shared" si="28"/>
        <v>239510</v>
      </c>
      <c r="AM48" s="102">
        <v>0</v>
      </c>
      <c r="AN48" s="102">
        <v>57135</v>
      </c>
      <c r="AO48" s="74"/>
      <c r="AP48" s="102">
        <v>182375</v>
      </c>
      <c r="AQ48" s="102">
        <v>155840</v>
      </c>
      <c r="AR48" s="102">
        <v>44750</v>
      </c>
      <c r="AS48" s="102">
        <v>0</v>
      </c>
      <c r="AT48" s="102">
        <v>490568</v>
      </c>
      <c r="AU48" s="102">
        <v>290942</v>
      </c>
      <c r="AV48" s="102">
        <v>26383</v>
      </c>
      <c r="AW48" s="102">
        <v>8720</v>
      </c>
      <c r="AX48" s="102">
        <v>199626</v>
      </c>
      <c r="AY48" s="102">
        <v>8221</v>
      </c>
      <c r="AZ48" s="102">
        <v>5740</v>
      </c>
      <c r="BA48" s="102">
        <v>0</v>
      </c>
      <c r="BB48" s="102">
        <v>13215</v>
      </c>
      <c r="BC48" s="102">
        <v>170636</v>
      </c>
      <c r="BD48" s="102">
        <v>130000</v>
      </c>
      <c r="BE48" s="102">
        <v>0</v>
      </c>
      <c r="BF48" s="102">
        <v>39963</v>
      </c>
      <c r="BG48" s="102">
        <v>0</v>
      </c>
      <c r="BH48" s="102">
        <v>96293</v>
      </c>
      <c r="BI48" s="102">
        <v>64029</v>
      </c>
      <c r="BJ48" s="102">
        <v>72308</v>
      </c>
      <c r="BK48" s="102">
        <v>0</v>
      </c>
      <c r="BL48" s="102">
        <v>0</v>
      </c>
      <c r="BM48" s="102">
        <v>0</v>
      </c>
      <c r="BN48" s="102">
        <v>617200</v>
      </c>
      <c r="BO48" s="73">
        <f t="shared" si="5"/>
        <v>407200</v>
      </c>
      <c r="BP48" s="73">
        <f t="shared" si="6"/>
        <v>210000</v>
      </c>
      <c r="BQ48" s="102">
        <v>0</v>
      </c>
      <c r="BR48" s="102">
        <v>0</v>
      </c>
      <c r="BS48" s="102">
        <v>210000</v>
      </c>
      <c r="BT48" s="102">
        <v>0</v>
      </c>
      <c r="BU48" s="102">
        <v>6241801</v>
      </c>
      <c r="BV48" s="71"/>
      <c r="BW48" s="102">
        <v>1262658</v>
      </c>
      <c r="BX48" s="102">
        <v>721392</v>
      </c>
      <c r="BY48" s="102">
        <v>148635</v>
      </c>
      <c r="BZ48" s="102">
        <v>94107</v>
      </c>
      <c r="CA48" s="102">
        <v>919713</v>
      </c>
      <c r="CB48" s="102">
        <v>428774</v>
      </c>
      <c r="CC48" s="102">
        <v>14270</v>
      </c>
      <c r="CD48" s="102">
        <v>428975</v>
      </c>
      <c r="CE48" s="102">
        <v>0</v>
      </c>
      <c r="CF48" s="102">
        <v>625</v>
      </c>
      <c r="CG48" s="102">
        <v>47069</v>
      </c>
      <c r="CH48" s="102">
        <v>593307</v>
      </c>
      <c r="CI48" s="102">
        <v>547246</v>
      </c>
      <c r="CJ48" s="83">
        <f t="shared" si="29"/>
        <v>46061</v>
      </c>
      <c r="CK48" s="102">
        <v>953071</v>
      </c>
      <c r="CL48" s="102">
        <v>557361</v>
      </c>
      <c r="CM48" s="102">
        <v>79233</v>
      </c>
      <c r="CN48" s="102">
        <v>167098</v>
      </c>
      <c r="CO48" s="102">
        <v>17577</v>
      </c>
      <c r="CP48" s="102">
        <v>584492</v>
      </c>
      <c r="CQ48" s="102">
        <v>115501</v>
      </c>
      <c r="CR48" s="102">
        <v>144867</v>
      </c>
      <c r="CS48" s="102">
        <v>119230</v>
      </c>
      <c r="CT48" s="73">
        <f t="shared" si="7"/>
        <v>28558</v>
      </c>
      <c r="CU48" s="102">
        <v>935</v>
      </c>
      <c r="CV48" s="102">
        <v>27623</v>
      </c>
      <c r="CW48" s="73">
        <f t="shared" si="8"/>
        <v>0</v>
      </c>
      <c r="CX48" s="102">
        <v>0</v>
      </c>
      <c r="CY48" s="102">
        <v>0</v>
      </c>
      <c r="CZ48" s="73">
        <f t="shared" si="9"/>
        <v>0</v>
      </c>
      <c r="DA48" s="102">
        <v>0</v>
      </c>
      <c r="DB48" s="102">
        <v>0</v>
      </c>
      <c r="DC48" s="102">
        <v>790571</v>
      </c>
      <c r="DD48" s="102">
        <v>376281</v>
      </c>
      <c r="DE48" s="102">
        <v>413230</v>
      </c>
      <c r="DF48" s="102">
        <v>1060</v>
      </c>
      <c r="DG48" s="102">
        <v>0</v>
      </c>
      <c r="DH48" s="102">
        <v>162250</v>
      </c>
      <c r="DI48" s="102">
        <v>16743</v>
      </c>
      <c r="DJ48" s="102">
        <v>1732</v>
      </c>
      <c r="DK48" s="102">
        <v>295</v>
      </c>
      <c r="DL48" s="102">
        <v>14716</v>
      </c>
      <c r="DM48" s="102">
        <v>0</v>
      </c>
      <c r="DN48" s="102">
        <v>0</v>
      </c>
      <c r="DO48" s="102">
        <v>0</v>
      </c>
      <c r="DP48" s="102">
        <v>0</v>
      </c>
      <c r="DQ48" s="102">
        <v>6500</v>
      </c>
      <c r="DR48" s="102">
        <v>0</v>
      </c>
      <c r="DS48" s="102">
        <v>0</v>
      </c>
      <c r="DT48" s="102">
        <v>785400</v>
      </c>
      <c r="DU48" s="102">
        <v>185954</v>
      </c>
      <c r="DV48" s="73">
        <f t="shared" si="10"/>
        <v>0</v>
      </c>
      <c r="DW48" s="102">
        <v>0</v>
      </c>
      <c r="DX48" s="102">
        <v>223689</v>
      </c>
      <c r="DY48" s="102">
        <v>0</v>
      </c>
      <c r="DZ48" s="102">
        <v>166114</v>
      </c>
      <c r="EA48" s="74">
        <v>0</v>
      </c>
      <c r="EB48" s="102">
        <v>208055</v>
      </c>
      <c r="EC48" s="102">
        <v>0</v>
      </c>
      <c r="ED48" s="102">
        <v>6092282</v>
      </c>
      <c r="EE48" s="71"/>
      <c r="EF48" s="102">
        <v>149519</v>
      </c>
      <c r="EG48" s="102">
        <v>12483</v>
      </c>
      <c r="EH48" s="102">
        <v>137036</v>
      </c>
      <c r="EI48" s="102">
        <v>3007</v>
      </c>
      <c r="EJ48" s="102">
        <v>-125261</v>
      </c>
      <c r="EK48" s="71"/>
      <c r="EL48" s="102">
        <v>16126</v>
      </c>
      <c r="EM48" s="102">
        <v>15635</v>
      </c>
      <c r="EN48" s="102">
        <v>130673</v>
      </c>
      <c r="EO48" s="102">
        <v>0</v>
      </c>
      <c r="EP48" s="73">
        <f t="shared" si="11"/>
        <v>137551</v>
      </c>
      <c r="EQ48" s="102">
        <v>3948766</v>
      </c>
      <c r="ER48" s="71">
        <v>-476015</v>
      </c>
      <c r="ES48" s="102">
        <v>1176786</v>
      </c>
      <c r="ET48" s="102">
        <v>660187</v>
      </c>
      <c r="EU48" s="102">
        <v>302855</v>
      </c>
      <c r="EV48" s="102">
        <v>593307</v>
      </c>
      <c r="EW48" s="73">
        <f t="shared" si="12"/>
        <v>192954</v>
      </c>
      <c r="EX48" s="102">
        <v>178061</v>
      </c>
      <c r="EY48" s="102">
        <v>8569</v>
      </c>
      <c r="EZ48" s="102">
        <v>168432</v>
      </c>
      <c r="FA48" s="102">
        <v>14893</v>
      </c>
      <c r="FB48" s="102">
        <v>0</v>
      </c>
      <c r="FC48" s="102">
        <v>778458</v>
      </c>
      <c r="FD48" s="102">
        <v>516440</v>
      </c>
      <c r="FE48" s="102">
        <v>115501</v>
      </c>
      <c r="FF48" s="102">
        <v>676842</v>
      </c>
      <c r="FG48" s="73">
        <f t="shared" si="13"/>
        <v>37620</v>
      </c>
      <c r="FH48" s="102">
        <v>4275262</v>
      </c>
      <c r="FI48" s="379">
        <f t="shared" si="14"/>
        <v>3.5</v>
      </c>
      <c r="FJ48" s="102">
        <v>3702660</v>
      </c>
      <c r="FK48" s="102">
        <v>214111</v>
      </c>
      <c r="FL48" s="102">
        <v>1518039</v>
      </c>
      <c r="FM48" s="102">
        <v>3295921</v>
      </c>
      <c r="FN48" s="428">
        <v>0.46800000000000003</v>
      </c>
      <c r="FO48" s="424">
        <v>92.9</v>
      </c>
      <c r="FP48" s="425">
        <v>28.8</v>
      </c>
      <c r="FQ48" s="424">
        <v>7.6</v>
      </c>
      <c r="FR48" s="424">
        <v>14.9</v>
      </c>
      <c r="FS48" s="425">
        <v>16</v>
      </c>
      <c r="FT48" s="424">
        <v>11.2</v>
      </c>
      <c r="FU48" s="426">
        <v>14.1</v>
      </c>
      <c r="FV48" s="384">
        <v>5.9</v>
      </c>
      <c r="FW48" s="102">
        <v>6037523</v>
      </c>
      <c r="FX48" s="384">
        <f t="shared" si="15"/>
        <v>154.1</v>
      </c>
      <c r="FY48" s="102">
        <v>2548215</v>
      </c>
      <c r="FZ48" s="102">
        <v>1177002</v>
      </c>
      <c r="GA48" s="102">
        <v>209800</v>
      </c>
      <c r="GB48" s="102">
        <v>1161413</v>
      </c>
      <c r="GC48" s="107">
        <v>0</v>
      </c>
      <c r="GD48" s="427">
        <v>109</v>
      </c>
      <c r="GE48" s="386">
        <f>IF(GD48=0,"-",ROUND(GD48/(GV48)*100,1))</f>
        <v>2.8</v>
      </c>
      <c r="GF48" s="424">
        <v>99</v>
      </c>
      <c r="GG48" s="424">
        <v>29.4</v>
      </c>
      <c r="GH48" s="424">
        <v>95.6</v>
      </c>
      <c r="GI48" s="102">
        <v>120</v>
      </c>
      <c r="GJ48" s="429" t="s">
        <v>646</v>
      </c>
      <c r="GK48" s="429">
        <v>15</v>
      </c>
      <c r="GL48" s="117">
        <v>20</v>
      </c>
      <c r="GM48" s="429" t="s">
        <v>646</v>
      </c>
      <c r="GN48" s="430">
        <v>20</v>
      </c>
      <c r="GO48" s="387">
        <v>30</v>
      </c>
      <c r="GP48" s="425">
        <v>5.9</v>
      </c>
      <c r="GQ48" s="388">
        <v>25</v>
      </c>
      <c r="GR48" s="388">
        <v>35</v>
      </c>
      <c r="GS48" s="431">
        <v>21.8</v>
      </c>
      <c r="GT48" s="388">
        <v>350</v>
      </c>
      <c r="GU48" s="394"/>
      <c r="GV48" s="100">
        <f t="shared" si="16"/>
        <v>3917</v>
      </c>
      <c r="GW48" s="394"/>
      <c r="GX48" s="394"/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</row>
    <row r="49" spans="2:230" x14ac:dyDescent="0.15">
      <c r="B49" s="89" t="s">
        <v>87</v>
      </c>
      <c r="C49" s="102">
        <v>496758</v>
      </c>
      <c r="D49" s="73">
        <f t="shared" si="0"/>
        <v>203150</v>
      </c>
      <c r="E49" s="102">
        <v>8865</v>
      </c>
      <c r="F49" s="102">
        <v>194285</v>
      </c>
      <c r="G49" s="73">
        <f t="shared" si="1"/>
        <v>39908</v>
      </c>
      <c r="H49" s="102">
        <v>14232</v>
      </c>
      <c r="I49" s="102">
        <v>25676</v>
      </c>
      <c r="J49" s="102">
        <v>233840</v>
      </c>
      <c r="K49" s="102">
        <v>70393</v>
      </c>
      <c r="L49" s="102">
        <v>117825</v>
      </c>
      <c r="M49" s="102">
        <v>45622</v>
      </c>
      <c r="N49" s="102">
        <v>2313</v>
      </c>
      <c r="O49" s="102">
        <v>0</v>
      </c>
      <c r="P49" s="102">
        <v>0</v>
      </c>
      <c r="Q49" s="102">
        <v>0</v>
      </c>
      <c r="R49" s="102">
        <v>19893</v>
      </c>
      <c r="S49" s="74"/>
      <c r="T49" s="73">
        <f t="shared" si="26"/>
        <v>131614</v>
      </c>
      <c r="U49" s="102">
        <v>1372</v>
      </c>
      <c r="V49" s="102">
        <v>3257</v>
      </c>
      <c r="W49" s="102">
        <v>2741</v>
      </c>
      <c r="X49" s="102">
        <v>91747</v>
      </c>
      <c r="Y49" s="102">
        <v>21729</v>
      </c>
      <c r="Z49" s="102">
        <v>0</v>
      </c>
      <c r="AA49" s="102">
        <v>10768</v>
      </c>
      <c r="AB49" s="102">
        <v>1237</v>
      </c>
      <c r="AC49" s="102">
        <v>1387874</v>
      </c>
      <c r="AD49" s="102">
        <v>1189067</v>
      </c>
      <c r="AE49" s="102">
        <v>198807</v>
      </c>
      <c r="AF49" s="102">
        <v>755</v>
      </c>
      <c r="AG49" s="102">
        <v>19265</v>
      </c>
      <c r="AH49" s="73">
        <f t="shared" si="27"/>
        <v>20687</v>
      </c>
      <c r="AI49" s="102">
        <v>11350</v>
      </c>
      <c r="AJ49" s="102">
        <v>9337</v>
      </c>
      <c r="AK49" s="102">
        <v>238126</v>
      </c>
      <c r="AL49" s="73">
        <f t="shared" si="28"/>
        <v>73139</v>
      </c>
      <c r="AM49" s="102">
        <v>0</v>
      </c>
      <c r="AN49" s="102">
        <v>31658</v>
      </c>
      <c r="AO49" s="74"/>
      <c r="AP49" s="102">
        <v>41481</v>
      </c>
      <c r="AQ49" s="102">
        <v>725</v>
      </c>
      <c r="AR49" s="102">
        <v>84611</v>
      </c>
      <c r="AS49" s="102">
        <v>0</v>
      </c>
      <c r="AT49" s="102">
        <v>205024</v>
      </c>
      <c r="AU49" s="102">
        <v>84469</v>
      </c>
      <c r="AV49" s="102">
        <v>14915</v>
      </c>
      <c r="AW49" s="102">
        <v>0</v>
      </c>
      <c r="AX49" s="102">
        <v>120555</v>
      </c>
      <c r="AY49" s="102">
        <v>938</v>
      </c>
      <c r="AZ49" s="102">
        <v>4699</v>
      </c>
      <c r="BA49" s="102">
        <v>0</v>
      </c>
      <c r="BB49" s="102">
        <v>36232</v>
      </c>
      <c r="BC49" s="102">
        <v>422239</v>
      </c>
      <c r="BD49" s="102">
        <v>300000</v>
      </c>
      <c r="BE49" s="102">
        <v>0</v>
      </c>
      <c r="BF49" s="102">
        <v>122239</v>
      </c>
      <c r="BG49" s="102">
        <v>0</v>
      </c>
      <c r="BH49" s="102">
        <v>162991</v>
      </c>
      <c r="BI49" s="102">
        <v>119696</v>
      </c>
      <c r="BJ49" s="102">
        <v>67148</v>
      </c>
      <c r="BK49" s="102">
        <v>0</v>
      </c>
      <c r="BL49" s="102">
        <v>0</v>
      </c>
      <c r="BM49" s="102">
        <v>0</v>
      </c>
      <c r="BN49" s="102">
        <v>534165</v>
      </c>
      <c r="BO49" s="73">
        <f t="shared" si="5"/>
        <v>445500</v>
      </c>
      <c r="BP49" s="73">
        <f t="shared" si="6"/>
        <v>88665</v>
      </c>
      <c r="BQ49" s="102">
        <v>0</v>
      </c>
      <c r="BR49" s="102">
        <v>0</v>
      </c>
      <c r="BS49" s="102">
        <v>88665</v>
      </c>
      <c r="BT49" s="102">
        <v>0</v>
      </c>
      <c r="BU49" s="102">
        <v>3748707</v>
      </c>
      <c r="BV49" s="71"/>
      <c r="BW49" s="102">
        <v>697221</v>
      </c>
      <c r="BX49" s="102">
        <v>472929</v>
      </c>
      <c r="BY49" s="102">
        <v>39553</v>
      </c>
      <c r="BZ49" s="102">
        <v>11469</v>
      </c>
      <c r="CA49" s="102">
        <v>296082</v>
      </c>
      <c r="CB49" s="102">
        <v>138271</v>
      </c>
      <c r="CC49" s="102">
        <v>7861</v>
      </c>
      <c r="CD49" s="102">
        <v>145989</v>
      </c>
      <c r="CE49" s="102">
        <v>0</v>
      </c>
      <c r="CF49" s="102">
        <v>711</v>
      </c>
      <c r="CG49" s="102">
        <v>3250</v>
      </c>
      <c r="CH49" s="102">
        <v>301914</v>
      </c>
      <c r="CI49" s="102">
        <v>278333</v>
      </c>
      <c r="CJ49" s="83">
        <f t="shared" si="29"/>
        <v>23581</v>
      </c>
      <c r="CK49" s="102">
        <v>642094</v>
      </c>
      <c r="CL49" s="102">
        <v>442774</v>
      </c>
      <c r="CM49" s="102">
        <v>64548</v>
      </c>
      <c r="CN49" s="102">
        <v>64628</v>
      </c>
      <c r="CO49" s="102">
        <v>8155</v>
      </c>
      <c r="CP49" s="102">
        <v>298913</v>
      </c>
      <c r="CQ49" s="102">
        <v>146677</v>
      </c>
      <c r="CR49" s="102">
        <v>99912</v>
      </c>
      <c r="CS49" s="102">
        <v>88453</v>
      </c>
      <c r="CT49" s="73">
        <f t="shared" si="7"/>
        <v>0</v>
      </c>
      <c r="CU49" s="102">
        <v>0</v>
      </c>
      <c r="CV49" s="102">
        <v>0</v>
      </c>
      <c r="CW49" s="73">
        <f t="shared" si="8"/>
        <v>0</v>
      </c>
      <c r="CX49" s="102">
        <v>0</v>
      </c>
      <c r="CY49" s="102">
        <v>0</v>
      </c>
      <c r="CZ49" s="73">
        <f t="shared" si="9"/>
        <v>0</v>
      </c>
      <c r="DA49" s="102">
        <v>0</v>
      </c>
      <c r="DB49" s="102">
        <v>0</v>
      </c>
      <c r="DC49" s="102">
        <v>413692</v>
      </c>
      <c r="DD49" s="102">
        <v>12698</v>
      </c>
      <c r="DE49" s="102">
        <v>400994</v>
      </c>
      <c r="DF49" s="102">
        <v>0</v>
      </c>
      <c r="DG49" s="102">
        <v>0</v>
      </c>
      <c r="DH49" s="102">
        <v>155949</v>
      </c>
      <c r="DI49" s="102">
        <v>414115</v>
      </c>
      <c r="DJ49" s="102">
        <v>22824</v>
      </c>
      <c r="DK49" s="102">
        <v>40339</v>
      </c>
      <c r="DL49" s="102">
        <v>350952</v>
      </c>
      <c r="DM49" s="102">
        <v>0</v>
      </c>
      <c r="DN49" s="102">
        <v>0</v>
      </c>
      <c r="DO49" s="102">
        <v>0</v>
      </c>
      <c r="DP49" s="102">
        <v>0</v>
      </c>
      <c r="DQ49" s="102">
        <v>0</v>
      </c>
      <c r="DR49" s="102">
        <v>0</v>
      </c>
      <c r="DS49" s="102">
        <v>0</v>
      </c>
      <c r="DT49" s="102">
        <v>414934</v>
      </c>
      <c r="DU49" s="102">
        <v>103162</v>
      </c>
      <c r="DV49" s="73">
        <f t="shared" si="10"/>
        <v>0</v>
      </c>
      <c r="DW49" s="102">
        <v>0</v>
      </c>
      <c r="DX49" s="102">
        <v>121500</v>
      </c>
      <c r="DY49" s="102">
        <v>0</v>
      </c>
      <c r="DZ49" s="102">
        <v>68890</v>
      </c>
      <c r="EA49" s="74">
        <v>0</v>
      </c>
      <c r="EB49" s="102">
        <v>105404</v>
      </c>
      <c r="EC49" s="102">
        <v>0</v>
      </c>
      <c r="ED49" s="102">
        <v>3643069</v>
      </c>
      <c r="EE49" s="71"/>
      <c r="EF49" s="102">
        <v>105638</v>
      </c>
      <c r="EG49" s="102">
        <v>19314</v>
      </c>
      <c r="EH49" s="102">
        <v>86324</v>
      </c>
      <c r="EI49" s="102">
        <v>-33372</v>
      </c>
      <c r="EJ49" s="102">
        <v>-310548</v>
      </c>
      <c r="EK49" s="71"/>
      <c r="EL49" s="102">
        <v>5378</v>
      </c>
      <c r="EM49" s="102">
        <v>5262</v>
      </c>
      <c r="EN49" s="102">
        <v>300000</v>
      </c>
      <c r="EO49" s="102">
        <v>1584</v>
      </c>
      <c r="EP49" s="73">
        <f t="shared" si="11"/>
        <v>191627</v>
      </c>
      <c r="EQ49" s="102">
        <v>2038131</v>
      </c>
      <c r="ER49" s="71">
        <v>-581121</v>
      </c>
      <c r="ES49" s="102">
        <v>664579</v>
      </c>
      <c r="ET49" s="102">
        <v>441522</v>
      </c>
      <c r="EU49" s="102">
        <v>78372</v>
      </c>
      <c r="EV49" s="102">
        <v>301914</v>
      </c>
      <c r="EW49" s="73">
        <f t="shared" si="12"/>
        <v>69130</v>
      </c>
      <c r="EX49" s="102">
        <v>36566</v>
      </c>
      <c r="EY49" s="102">
        <v>1308</v>
      </c>
      <c r="EZ49" s="102">
        <v>35258</v>
      </c>
      <c r="FA49" s="102">
        <v>32564</v>
      </c>
      <c r="FB49" s="102">
        <v>0</v>
      </c>
      <c r="FC49" s="102">
        <v>449355</v>
      </c>
      <c r="FD49" s="102">
        <v>179067</v>
      </c>
      <c r="FE49" s="102">
        <v>98477</v>
      </c>
      <c r="FF49" s="102">
        <v>365952</v>
      </c>
      <c r="FG49" s="73">
        <f t="shared" si="13"/>
        <v>405245</v>
      </c>
      <c r="FH49" s="102">
        <v>2513614</v>
      </c>
      <c r="FI49" s="379">
        <f t="shared" si="14"/>
        <v>4.4000000000000004</v>
      </c>
      <c r="FJ49" s="102">
        <v>1860456</v>
      </c>
      <c r="FK49" s="102">
        <v>88665</v>
      </c>
      <c r="FL49" s="102">
        <v>532309</v>
      </c>
      <c r="FM49" s="102">
        <v>1721376</v>
      </c>
      <c r="FN49" s="428">
        <v>0.309</v>
      </c>
      <c r="FO49" s="424">
        <v>88.5</v>
      </c>
      <c r="FP49" s="425">
        <v>32.200000000000003</v>
      </c>
      <c r="FQ49" s="424">
        <v>4.0999999999999996</v>
      </c>
      <c r="FR49" s="424">
        <v>15.6</v>
      </c>
      <c r="FS49" s="425">
        <v>19.100000000000001</v>
      </c>
      <c r="FT49" s="424">
        <v>4.0999999999999996</v>
      </c>
      <c r="FU49" s="426">
        <v>13.1</v>
      </c>
      <c r="FV49" s="384">
        <v>8.5</v>
      </c>
      <c r="FW49" s="102">
        <v>3495714</v>
      </c>
      <c r="FX49" s="384">
        <f t="shared" si="15"/>
        <v>179.3</v>
      </c>
      <c r="FY49" s="102">
        <v>2203868</v>
      </c>
      <c r="FZ49" s="102">
        <v>1018010</v>
      </c>
      <c r="GA49" s="102">
        <v>245112</v>
      </c>
      <c r="GB49" s="102">
        <v>940746</v>
      </c>
      <c r="GC49" s="107">
        <v>0</v>
      </c>
      <c r="GD49" s="427"/>
      <c r="GE49" s="386"/>
      <c r="GF49" s="424">
        <v>99.8</v>
      </c>
      <c r="GG49" s="424">
        <v>34.5</v>
      </c>
      <c r="GH49" s="424">
        <v>99.5</v>
      </c>
      <c r="GI49" s="102">
        <v>68</v>
      </c>
      <c r="GJ49" s="429" t="s">
        <v>646</v>
      </c>
      <c r="GK49" s="429">
        <v>15</v>
      </c>
      <c r="GL49" s="117">
        <v>20</v>
      </c>
      <c r="GM49" s="429" t="s">
        <v>646</v>
      </c>
      <c r="GN49" s="429">
        <v>20</v>
      </c>
      <c r="GO49" s="387">
        <v>30</v>
      </c>
      <c r="GP49" s="425">
        <v>8.5</v>
      </c>
      <c r="GQ49" s="388">
        <v>25</v>
      </c>
      <c r="GR49" s="388">
        <v>35</v>
      </c>
      <c r="GS49" s="431" t="s">
        <v>646</v>
      </c>
      <c r="GT49" s="388">
        <v>350</v>
      </c>
      <c r="GU49" s="394"/>
      <c r="GV49" s="100">
        <f t="shared" si="16"/>
        <v>1949</v>
      </c>
      <c r="GW49" s="394"/>
      <c r="GX49" s="394"/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</row>
    <row r="50" spans="2:230" s="112" customFormat="1" x14ac:dyDescent="0.15">
      <c r="B50" s="112" t="s">
        <v>89</v>
      </c>
      <c r="C50" s="114">
        <f>SUM(C40:C49)</f>
        <v>24507048</v>
      </c>
      <c r="D50" s="113">
        <f t="shared" si="0"/>
        <v>8926227</v>
      </c>
      <c r="E50" s="114">
        <f>SUM(E40:E49)</f>
        <v>300297</v>
      </c>
      <c r="F50" s="114">
        <f>SUM(F40:F49)</f>
        <v>8625930</v>
      </c>
      <c r="G50" s="113">
        <f t="shared" si="1"/>
        <v>2154186</v>
      </c>
      <c r="H50" s="114">
        <f t="shared" ref="H50:R50" si="30">SUM(H40:H49)</f>
        <v>345439</v>
      </c>
      <c r="I50" s="114">
        <f t="shared" si="30"/>
        <v>1808747</v>
      </c>
      <c r="J50" s="114">
        <f t="shared" si="30"/>
        <v>11434534</v>
      </c>
      <c r="K50" s="114">
        <f t="shared" si="30"/>
        <v>4605839</v>
      </c>
      <c r="L50" s="114">
        <f t="shared" si="30"/>
        <v>4380825</v>
      </c>
      <c r="M50" s="114">
        <f t="shared" si="30"/>
        <v>2373752</v>
      </c>
      <c r="N50" s="114">
        <f t="shared" si="30"/>
        <v>989915</v>
      </c>
      <c r="O50" s="114">
        <f t="shared" si="30"/>
        <v>594349</v>
      </c>
      <c r="P50" s="114">
        <f t="shared" si="30"/>
        <v>326447</v>
      </c>
      <c r="Q50" s="114">
        <f t="shared" si="30"/>
        <v>267902</v>
      </c>
      <c r="R50" s="114">
        <f t="shared" si="30"/>
        <v>499613</v>
      </c>
      <c r="S50" s="113"/>
      <c r="T50" s="113">
        <f t="shared" si="26"/>
        <v>3672072</v>
      </c>
      <c r="U50" s="114">
        <f t="shared" ref="U50:AG50" si="31">SUM(U40:U49)</f>
        <v>55639</v>
      </c>
      <c r="V50" s="114">
        <f t="shared" si="31"/>
        <v>132260</v>
      </c>
      <c r="W50" s="114">
        <f t="shared" si="31"/>
        <v>111652</v>
      </c>
      <c r="X50" s="114">
        <f t="shared" si="31"/>
        <v>2912633</v>
      </c>
      <c r="Y50" s="114">
        <f t="shared" si="31"/>
        <v>213706</v>
      </c>
      <c r="Z50" s="114">
        <f t="shared" si="31"/>
        <v>0</v>
      </c>
      <c r="AA50" s="114">
        <f t="shared" si="31"/>
        <v>246182</v>
      </c>
      <c r="AB50" s="114">
        <f t="shared" si="31"/>
        <v>131881</v>
      </c>
      <c r="AC50" s="114">
        <f t="shared" si="31"/>
        <v>16630064</v>
      </c>
      <c r="AD50" s="114">
        <f t="shared" si="31"/>
        <v>14660883</v>
      </c>
      <c r="AE50" s="114">
        <f t="shared" si="31"/>
        <v>1969181</v>
      </c>
      <c r="AF50" s="114">
        <f t="shared" si="31"/>
        <v>25654</v>
      </c>
      <c r="AG50" s="114">
        <f t="shared" si="31"/>
        <v>312275</v>
      </c>
      <c r="AH50" s="113">
        <f t="shared" si="27"/>
        <v>1514357</v>
      </c>
      <c r="AI50" s="114">
        <f>SUM(AI40:AI49)</f>
        <v>1147927</v>
      </c>
      <c r="AJ50" s="114">
        <f>SUM(AJ40:AJ49)</f>
        <v>366430</v>
      </c>
      <c r="AK50" s="114">
        <f>SUM(AK40:AK49)</f>
        <v>6986264</v>
      </c>
      <c r="AL50" s="113">
        <f t="shared" si="28"/>
        <v>2603362</v>
      </c>
      <c r="AM50" s="114">
        <f>SUM(AM40:AM49)</f>
        <v>222315</v>
      </c>
      <c r="AN50" s="114">
        <f>SUM(AN40:AN49)</f>
        <v>743812</v>
      </c>
      <c r="AO50" s="113"/>
      <c r="AP50" s="114">
        <f t="shared" ref="AP50:BN50" si="32">SUM(AP40:AP49)</f>
        <v>1637235</v>
      </c>
      <c r="AQ50" s="114">
        <f t="shared" si="32"/>
        <v>445852</v>
      </c>
      <c r="AR50" s="114">
        <f t="shared" si="32"/>
        <v>360492</v>
      </c>
      <c r="AS50" s="114">
        <f t="shared" si="32"/>
        <v>0</v>
      </c>
      <c r="AT50" s="114">
        <f t="shared" si="32"/>
        <v>4859877</v>
      </c>
      <c r="AU50" s="114">
        <f t="shared" si="32"/>
        <v>2380501</v>
      </c>
      <c r="AV50" s="114">
        <f t="shared" si="32"/>
        <v>337896</v>
      </c>
      <c r="AW50" s="114">
        <f t="shared" si="32"/>
        <v>63047</v>
      </c>
      <c r="AX50" s="114">
        <f t="shared" si="32"/>
        <v>2479376</v>
      </c>
      <c r="AY50" s="114">
        <f t="shared" si="32"/>
        <v>59490</v>
      </c>
      <c r="AZ50" s="114">
        <f t="shared" si="32"/>
        <v>139554</v>
      </c>
      <c r="BA50" s="114">
        <f t="shared" si="32"/>
        <v>19907</v>
      </c>
      <c r="BB50" s="114">
        <f t="shared" si="32"/>
        <v>8797884</v>
      </c>
      <c r="BC50" s="114">
        <f t="shared" si="32"/>
        <v>3452974</v>
      </c>
      <c r="BD50" s="114">
        <f t="shared" si="32"/>
        <v>1518035</v>
      </c>
      <c r="BE50" s="114">
        <f t="shared" si="32"/>
        <v>50000</v>
      </c>
      <c r="BF50" s="114">
        <f t="shared" si="32"/>
        <v>1733952</v>
      </c>
      <c r="BG50" s="114">
        <f t="shared" si="32"/>
        <v>0</v>
      </c>
      <c r="BH50" s="114">
        <f t="shared" si="32"/>
        <v>1519998</v>
      </c>
      <c r="BI50" s="114">
        <f t="shared" si="32"/>
        <v>1200286</v>
      </c>
      <c r="BJ50" s="114">
        <f t="shared" si="32"/>
        <v>1031546</v>
      </c>
      <c r="BK50" s="114">
        <f t="shared" si="32"/>
        <v>21743</v>
      </c>
      <c r="BL50" s="114">
        <f t="shared" si="32"/>
        <v>0</v>
      </c>
      <c r="BM50" s="114">
        <f t="shared" si="32"/>
        <v>0</v>
      </c>
      <c r="BN50" s="114">
        <f t="shared" si="32"/>
        <v>5703637</v>
      </c>
      <c r="BO50" s="113">
        <f t="shared" si="5"/>
        <v>3179430</v>
      </c>
      <c r="BP50" s="113">
        <f t="shared" si="6"/>
        <v>2524207</v>
      </c>
      <c r="BQ50" s="114">
        <f>SUM(BQ40:BQ49)</f>
        <v>0</v>
      </c>
      <c r="BR50" s="114">
        <f>SUM(BR40:BR49)</f>
        <v>0</v>
      </c>
      <c r="BS50" s="114">
        <f>SUM(BS40:BS49)</f>
        <v>2524207</v>
      </c>
      <c r="BT50" s="114">
        <f>SUM(BT40:BT49)</f>
        <v>0</v>
      </c>
      <c r="BU50" s="114">
        <f>SUM(BU40:BU49)</f>
        <v>79784698</v>
      </c>
      <c r="BV50" s="113"/>
      <c r="BW50" s="114">
        <f t="shared" ref="BW50:CI50" si="33">SUM(BW40:BW49)</f>
        <v>14259968</v>
      </c>
      <c r="BX50" s="114">
        <f t="shared" si="33"/>
        <v>9030637</v>
      </c>
      <c r="BY50" s="114">
        <f t="shared" si="33"/>
        <v>1099155</v>
      </c>
      <c r="BZ50" s="114">
        <f t="shared" si="33"/>
        <v>984648</v>
      </c>
      <c r="CA50" s="114">
        <f t="shared" si="33"/>
        <v>10738228</v>
      </c>
      <c r="CB50" s="114">
        <f t="shared" si="33"/>
        <v>4206892</v>
      </c>
      <c r="CC50" s="114">
        <f t="shared" si="33"/>
        <v>187398</v>
      </c>
      <c r="CD50" s="114">
        <f t="shared" si="33"/>
        <v>5751994</v>
      </c>
      <c r="CE50" s="114">
        <f t="shared" si="33"/>
        <v>253757</v>
      </c>
      <c r="CF50" s="114">
        <f t="shared" si="33"/>
        <v>17139</v>
      </c>
      <c r="CG50" s="114">
        <f t="shared" si="33"/>
        <v>318863</v>
      </c>
      <c r="CH50" s="114">
        <f t="shared" si="33"/>
        <v>5967945</v>
      </c>
      <c r="CI50" s="114">
        <f t="shared" si="33"/>
        <v>5514371</v>
      </c>
      <c r="CJ50" s="113">
        <f t="shared" si="29"/>
        <v>453574</v>
      </c>
      <c r="CK50" s="114">
        <f t="shared" ref="CK50:CS50" si="34">SUM(CK40:CK49)</f>
        <v>12170283</v>
      </c>
      <c r="CL50" s="114">
        <f t="shared" si="34"/>
        <v>6781611</v>
      </c>
      <c r="CM50" s="114">
        <f t="shared" si="34"/>
        <v>1202357</v>
      </c>
      <c r="CN50" s="114">
        <f t="shared" si="34"/>
        <v>1878006</v>
      </c>
      <c r="CO50" s="114">
        <f t="shared" si="34"/>
        <v>691289</v>
      </c>
      <c r="CP50" s="114">
        <f t="shared" si="34"/>
        <v>10559548</v>
      </c>
      <c r="CQ50" s="114">
        <f t="shared" si="34"/>
        <v>2108123</v>
      </c>
      <c r="CR50" s="114">
        <f t="shared" si="34"/>
        <v>1284487</v>
      </c>
      <c r="CS50" s="114">
        <f t="shared" si="34"/>
        <v>1018613</v>
      </c>
      <c r="CT50" s="113">
        <f t="shared" si="7"/>
        <v>635293</v>
      </c>
      <c r="CU50" s="114">
        <f>SUM(CU40:CU49)</f>
        <v>28194</v>
      </c>
      <c r="CV50" s="114">
        <f>SUM(CV40:CV49)</f>
        <v>607099</v>
      </c>
      <c r="CW50" s="113">
        <f t="shared" si="8"/>
        <v>0</v>
      </c>
      <c r="CX50" s="114">
        <f>SUM(CX40:CX49)</f>
        <v>0</v>
      </c>
      <c r="CY50" s="114">
        <f>SUM(CY40:CY49)</f>
        <v>0</v>
      </c>
      <c r="CZ50" s="113">
        <f t="shared" si="9"/>
        <v>313972</v>
      </c>
      <c r="DA50" s="114">
        <f t="shared" ref="DA50:DU50" si="35">SUM(DA40:DA49)</f>
        <v>0</v>
      </c>
      <c r="DB50" s="114">
        <f t="shared" si="35"/>
        <v>313972</v>
      </c>
      <c r="DC50" s="114">
        <f t="shared" si="35"/>
        <v>6037634</v>
      </c>
      <c r="DD50" s="114">
        <f t="shared" si="35"/>
        <v>2610941</v>
      </c>
      <c r="DE50" s="114">
        <f t="shared" si="35"/>
        <v>3414536</v>
      </c>
      <c r="DF50" s="114">
        <f t="shared" si="35"/>
        <v>1426</v>
      </c>
      <c r="DG50" s="114">
        <f t="shared" si="35"/>
        <v>0</v>
      </c>
      <c r="DH50" s="114">
        <f t="shared" si="35"/>
        <v>1236419</v>
      </c>
      <c r="DI50" s="114">
        <f t="shared" si="35"/>
        <v>6371583</v>
      </c>
      <c r="DJ50" s="114">
        <f t="shared" si="35"/>
        <v>1412807</v>
      </c>
      <c r="DK50" s="114">
        <f t="shared" si="35"/>
        <v>41017</v>
      </c>
      <c r="DL50" s="114">
        <f t="shared" si="35"/>
        <v>4917759</v>
      </c>
      <c r="DM50" s="114">
        <f t="shared" si="35"/>
        <v>94669</v>
      </c>
      <c r="DN50" s="114">
        <f t="shared" si="35"/>
        <v>94669</v>
      </c>
      <c r="DO50" s="114">
        <f t="shared" si="35"/>
        <v>94669</v>
      </c>
      <c r="DP50" s="114">
        <f t="shared" si="35"/>
        <v>0</v>
      </c>
      <c r="DQ50" s="114">
        <f t="shared" si="35"/>
        <v>225309</v>
      </c>
      <c r="DR50" s="114">
        <f t="shared" si="35"/>
        <v>200000</v>
      </c>
      <c r="DS50" s="114">
        <f t="shared" si="35"/>
        <v>0</v>
      </c>
      <c r="DT50" s="114">
        <f t="shared" si="35"/>
        <v>9678390</v>
      </c>
      <c r="DU50" s="114">
        <f t="shared" si="35"/>
        <v>2551897</v>
      </c>
      <c r="DV50" s="113">
        <f t="shared" si="10"/>
        <v>0</v>
      </c>
      <c r="DW50" s="114">
        <f>SUM(DW40:DW49)</f>
        <v>0</v>
      </c>
      <c r="DX50" s="114">
        <f>SUM(DX40:DX49)</f>
        <v>2755573</v>
      </c>
      <c r="DY50" s="114">
        <f>SUM(DY40:DY49)</f>
        <v>0</v>
      </c>
      <c r="DZ50" s="114">
        <f>SUM(DZ40:DZ49)</f>
        <v>1829399</v>
      </c>
      <c r="EA50" s="113">
        <v>0</v>
      </c>
      <c r="EB50" s="114">
        <f>SUM(EB40:EB49)</f>
        <v>2474260</v>
      </c>
      <c r="EC50" s="114">
        <f>SUM(EC40:EC49)</f>
        <v>0</v>
      </c>
      <c r="ED50" s="114">
        <f>SUM(ED40:ED49)</f>
        <v>78031265</v>
      </c>
      <c r="EE50" s="113"/>
      <c r="EF50" s="114">
        <f>SUM(EF40:EF49)</f>
        <v>1753433</v>
      </c>
      <c r="EG50" s="114">
        <f>SUM(EG40:EG49)</f>
        <v>643094</v>
      </c>
      <c r="EH50" s="114">
        <f>SUM(EH40:EH49)</f>
        <v>1110339</v>
      </c>
      <c r="EI50" s="114">
        <f>SUM(EI40:EI49)</f>
        <v>-159946</v>
      </c>
      <c r="EJ50" s="114">
        <f>SUM(EJ40:EJ49)</f>
        <v>-265174</v>
      </c>
      <c r="EK50" s="113"/>
      <c r="EL50" s="114">
        <f>SUM(EL40:EL49)</f>
        <v>181513</v>
      </c>
      <c r="EM50" s="114">
        <f>SUM(EM40:EM49)</f>
        <v>180613</v>
      </c>
      <c r="EN50" s="114">
        <f>SUM(EN40:EN49)</f>
        <v>1841387</v>
      </c>
      <c r="EO50" s="114">
        <f>SUM(EO40:EO49)</f>
        <v>80635</v>
      </c>
      <c r="EP50" s="113">
        <f t="shared" si="11"/>
        <v>8100520</v>
      </c>
      <c r="EQ50" s="114">
        <f t="shared" ref="EQ50:EV50" si="36">SUM(EQ40:EQ49)</f>
        <v>45466332</v>
      </c>
      <c r="ER50" s="114">
        <f t="shared" si="36"/>
        <v>-12521095</v>
      </c>
      <c r="ES50" s="114">
        <f t="shared" si="36"/>
        <v>13031151</v>
      </c>
      <c r="ET50" s="114">
        <f t="shared" si="36"/>
        <v>8059309</v>
      </c>
      <c r="EU50" s="114">
        <f t="shared" si="36"/>
        <v>3553813</v>
      </c>
      <c r="EV50" s="114">
        <f t="shared" si="36"/>
        <v>5896659</v>
      </c>
      <c r="EW50" s="113">
        <f t="shared" si="12"/>
        <v>1931696</v>
      </c>
      <c r="EX50" s="114">
        <f t="shared" ref="EX50:FF50" si="37">SUM(EX40:EX49)</f>
        <v>1606542</v>
      </c>
      <c r="EY50" s="114">
        <f t="shared" si="37"/>
        <v>408129</v>
      </c>
      <c r="EZ50" s="114">
        <f t="shared" si="37"/>
        <v>1188256</v>
      </c>
      <c r="FA50" s="114">
        <f t="shared" si="37"/>
        <v>325154</v>
      </c>
      <c r="FB50" s="114">
        <f t="shared" si="37"/>
        <v>0</v>
      </c>
      <c r="FC50" s="114">
        <f t="shared" si="37"/>
        <v>9534037</v>
      </c>
      <c r="FD50" s="114">
        <f t="shared" si="37"/>
        <v>9396352</v>
      </c>
      <c r="FE50" s="114">
        <f t="shared" si="37"/>
        <v>2052196</v>
      </c>
      <c r="FF50" s="114">
        <f t="shared" si="37"/>
        <v>8351621</v>
      </c>
      <c r="FG50" s="113">
        <f t="shared" si="13"/>
        <v>4538665</v>
      </c>
      <c r="FH50" s="114">
        <f>SUM(FH40:FH49)</f>
        <v>56233994</v>
      </c>
      <c r="FI50" s="441">
        <f t="shared" si="14"/>
        <v>2.5</v>
      </c>
      <c r="FJ50" s="114">
        <f>SUM(FJ40:FJ49)</f>
        <v>42504291</v>
      </c>
      <c r="FK50" s="114">
        <f>SUM(FK40:FK49)</f>
        <v>2529067</v>
      </c>
      <c r="FL50" s="114">
        <f>SUM(FL40:FL49)</f>
        <v>21763222</v>
      </c>
      <c r="FM50" s="114">
        <f>SUM(FM40:FM49)</f>
        <v>35377274</v>
      </c>
      <c r="FN50" s="442">
        <v>0.61599999999999999</v>
      </c>
      <c r="FO50" s="443">
        <v>94.3</v>
      </c>
      <c r="FP50" s="444">
        <v>27.9</v>
      </c>
      <c r="FQ50" s="443">
        <v>7.8</v>
      </c>
      <c r="FR50" s="443">
        <v>12.9</v>
      </c>
      <c r="FS50" s="444">
        <v>18</v>
      </c>
      <c r="FT50" s="443">
        <v>10.199999999999999</v>
      </c>
      <c r="FU50" s="445">
        <v>16.2</v>
      </c>
      <c r="FV50" s="446">
        <v>8</v>
      </c>
      <c r="FW50" s="114">
        <f>SUM(FW40:FW49)</f>
        <v>61607536</v>
      </c>
      <c r="FX50" s="446">
        <f t="shared" si="15"/>
        <v>136.80000000000001</v>
      </c>
      <c r="FY50" s="114">
        <f t="shared" ref="FY50:GD50" si="38">SUM(FY40:FY49)</f>
        <v>34975965</v>
      </c>
      <c r="FZ50" s="114">
        <f t="shared" si="38"/>
        <v>13681716</v>
      </c>
      <c r="GA50" s="114">
        <f t="shared" si="38"/>
        <v>2195279</v>
      </c>
      <c r="GB50" s="114">
        <f t="shared" si="38"/>
        <v>19098970</v>
      </c>
      <c r="GC50" s="114">
        <f t="shared" si="38"/>
        <v>0</v>
      </c>
      <c r="GD50" s="114">
        <f t="shared" si="38"/>
        <v>823</v>
      </c>
      <c r="GE50" s="447">
        <f>IF(GD50=0,"-",ROUND(GD50/GW50*100,1))</f>
        <v>6.7</v>
      </c>
      <c r="GF50" s="443">
        <v>99.4</v>
      </c>
      <c r="GG50" s="443">
        <v>26.2</v>
      </c>
      <c r="GH50" s="443">
        <v>97.2</v>
      </c>
      <c r="GI50" s="114">
        <f>SUM(GI40:GI49)</f>
        <v>1452</v>
      </c>
      <c r="GJ50" s="448" t="s">
        <v>646</v>
      </c>
      <c r="GK50" s="448" t="s">
        <v>646</v>
      </c>
      <c r="GL50" s="449" t="s">
        <v>646</v>
      </c>
      <c r="GM50" s="448" t="s">
        <v>646</v>
      </c>
      <c r="GN50" s="448" t="s">
        <v>646</v>
      </c>
      <c r="GO50" s="449" t="s">
        <v>646</v>
      </c>
      <c r="GP50" s="444">
        <v>8</v>
      </c>
      <c r="GQ50" s="450" t="s">
        <v>646</v>
      </c>
      <c r="GR50" s="450" t="s">
        <v>646</v>
      </c>
      <c r="GS50" s="450" t="s">
        <v>646</v>
      </c>
      <c r="GT50" s="448" t="s">
        <v>646</v>
      </c>
      <c r="GU50" s="408"/>
      <c r="GV50" s="115">
        <f t="shared" si="16"/>
        <v>45033</v>
      </c>
      <c r="GW50" s="408">
        <f>GV44+GV48</f>
        <v>12283</v>
      </c>
      <c r="GX50" s="408"/>
      <c r="GY50" s="408"/>
      <c r="GZ50" s="408"/>
      <c r="HA50" s="408"/>
      <c r="HB50" s="408"/>
      <c r="HC50" s="408"/>
      <c r="HD50" s="408"/>
      <c r="HE50" s="408"/>
      <c r="HF50" s="408"/>
      <c r="HG50" s="408"/>
      <c r="HH50" s="408"/>
      <c r="HI50" s="408"/>
      <c r="HJ50" s="408"/>
      <c r="HK50" s="408"/>
      <c r="HL50" s="408"/>
      <c r="HM50" s="408"/>
      <c r="HN50" s="408"/>
      <c r="HO50" s="408"/>
      <c r="HP50" s="408"/>
      <c r="HQ50" s="408"/>
      <c r="HR50" s="408"/>
      <c r="HS50" s="408"/>
      <c r="HT50" s="408"/>
      <c r="HU50" s="408"/>
      <c r="HV50" s="408"/>
    </row>
    <row r="51" spans="2:230" s="112" customFormat="1" x14ac:dyDescent="0.15">
      <c r="B51" s="112" t="s">
        <v>91</v>
      </c>
      <c r="C51" s="114">
        <f>C39+C50</f>
        <v>785876698</v>
      </c>
      <c r="D51" s="113">
        <f t="shared" si="0"/>
        <v>298321321</v>
      </c>
      <c r="E51" s="114">
        <f>E39+E50</f>
        <v>8494175</v>
      </c>
      <c r="F51" s="114">
        <f>F39+F50</f>
        <v>289827146</v>
      </c>
      <c r="G51" s="113">
        <f t="shared" si="1"/>
        <v>59383832</v>
      </c>
      <c r="H51" s="114">
        <f t="shared" ref="H51:R51" si="39">H39+H50</f>
        <v>14045569</v>
      </c>
      <c r="I51" s="114">
        <f t="shared" si="39"/>
        <v>45338263</v>
      </c>
      <c r="J51" s="114">
        <f t="shared" si="39"/>
        <v>315438412</v>
      </c>
      <c r="K51" s="114">
        <f t="shared" si="39"/>
        <v>131026754</v>
      </c>
      <c r="L51" s="114">
        <f t="shared" si="39"/>
        <v>136954151</v>
      </c>
      <c r="M51" s="114">
        <f t="shared" si="39"/>
        <v>42034719</v>
      </c>
      <c r="N51" s="114">
        <f t="shared" si="39"/>
        <v>33411383</v>
      </c>
      <c r="O51" s="114">
        <f t="shared" si="39"/>
        <v>63765368</v>
      </c>
      <c r="P51" s="114">
        <f t="shared" si="39"/>
        <v>34954677</v>
      </c>
      <c r="Q51" s="114">
        <f t="shared" si="39"/>
        <v>28810691</v>
      </c>
      <c r="R51" s="114">
        <f t="shared" si="39"/>
        <v>10833013</v>
      </c>
      <c r="S51" s="113"/>
      <c r="T51" s="113">
        <f t="shared" si="26"/>
        <v>105399944</v>
      </c>
      <c r="U51" s="114">
        <f t="shared" ref="U51:AG51" si="40">U39+U50</f>
        <v>1800330</v>
      </c>
      <c r="V51" s="114">
        <f t="shared" si="40"/>
        <v>4285524</v>
      </c>
      <c r="W51" s="114">
        <f t="shared" si="40"/>
        <v>3632882</v>
      </c>
      <c r="X51" s="114">
        <f t="shared" si="40"/>
        <v>90123391</v>
      </c>
      <c r="Y51" s="114">
        <f t="shared" si="40"/>
        <v>808016</v>
      </c>
      <c r="Z51" s="114">
        <f t="shared" si="40"/>
        <v>0</v>
      </c>
      <c r="AA51" s="114">
        <f t="shared" si="40"/>
        <v>4749801</v>
      </c>
      <c r="AB51" s="114">
        <f t="shared" si="40"/>
        <v>4295085</v>
      </c>
      <c r="AC51" s="114">
        <f t="shared" si="40"/>
        <v>200698992</v>
      </c>
      <c r="AD51" s="114">
        <f t="shared" si="40"/>
        <v>186408506</v>
      </c>
      <c r="AE51" s="114">
        <f t="shared" si="40"/>
        <v>14290301</v>
      </c>
      <c r="AF51" s="114">
        <f t="shared" si="40"/>
        <v>685262</v>
      </c>
      <c r="AG51" s="114">
        <f t="shared" si="40"/>
        <v>18695187</v>
      </c>
      <c r="AH51" s="113">
        <f t="shared" si="27"/>
        <v>34933142</v>
      </c>
      <c r="AI51" s="114">
        <f>AI39+AI50</f>
        <v>26603226</v>
      </c>
      <c r="AJ51" s="114">
        <f>AJ39+AJ50</f>
        <v>8329916</v>
      </c>
      <c r="AK51" s="114">
        <f>AK39+AK50</f>
        <v>387308270</v>
      </c>
      <c r="AL51" s="113">
        <f t="shared" si="28"/>
        <v>248114423</v>
      </c>
      <c r="AM51" s="114">
        <f>AM39+AM50</f>
        <v>154327030</v>
      </c>
      <c r="AN51" s="114">
        <f>AN39+AN50</f>
        <v>37585729</v>
      </c>
      <c r="AO51" s="113"/>
      <c r="AP51" s="114">
        <f t="shared" ref="AP51:BN51" si="41">AP39+AP50</f>
        <v>56201664</v>
      </c>
      <c r="AQ51" s="114">
        <f t="shared" si="41"/>
        <v>14549261</v>
      </c>
      <c r="AR51" s="114">
        <f t="shared" si="41"/>
        <v>2209668</v>
      </c>
      <c r="AS51" s="114">
        <f t="shared" si="41"/>
        <v>264640</v>
      </c>
      <c r="AT51" s="114">
        <f t="shared" si="41"/>
        <v>144828535</v>
      </c>
      <c r="AU51" s="114">
        <f t="shared" si="41"/>
        <v>89623011</v>
      </c>
      <c r="AV51" s="114">
        <f t="shared" si="41"/>
        <v>16014059</v>
      </c>
      <c r="AW51" s="114">
        <f t="shared" si="41"/>
        <v>5307900</v>
      </c>
      <c r="AX51" s="114">
        <f t="shared" si="41"/>
        <v>55205524</v>
      </c>
      <c r="AY51" s="114">
        <f t="shared" si="41"/>
        <v>3227522</v>
      </c>
      <c r="AZ51" s="114">
        <f t="shared" si="41"/>
        <v>12412221</v>
      </c>
      <c r="BA51" s="114">
        <f t="shared" si="41"/>
        <v>9857872</v>
      </c>
      <c r="BB51" s="114">
        <f t="shared" si="41"/>
        <v>66027278</v>
      </c>
      <c r="BC51" s="114">
        <f t="shared" si="41"/>
        <v>69848177</v>
      </c>
      <c r="BD51" s="114">
        <f t="shared" si="41"/>
        <v>11072797</v>
      </c>
      <c r="BE51" s="114">
        <f t="shared" si="41"/>
        <v>4202209</v>
      </c>
      <c r="BF51" s="114">
        <f t="shared" si="41"/>
        <v>53098468</v>
      </c>
      <c r="BG51" s="114">
        <f t="shared" si="41"/>
        <v>100000</v>
      </c>
      <c r="BH51" s="114">
        <f t="shared" si="41"/>
        <v>23986364</v>
      </c>
      <c r="BI51" s="114">
        <f t="shared" si="41"/>
        <v>17682924</v>
      </c>
      <c r="BJ51" s="114">
        <f t="shared" si="41"/>
        <v>34737623</v>
      </c>
      <c r="BK51" s="114">
        <f t="shared" si="41"/>
        <v>7903452</v>
      </c>
      <c r="BL51" s="114">
        <f t="shared" si="41"/>
        <v>149695</v>
      </c>
      <c r="BM51" s="114">
        <f t="shared" si="41"/>
        <v>2430874</v>
      </c>
      <c r="BN51" s="114">
        <f t="shared" si="41"/>
        <v>159678933</v>
      </c>
      <c r="BO51" s="113">
        <f t="shared" si="5"/>
        <v>92745483</v>
      </c>
      <c r="BP51" s="113">
        <f t="shared" si="6"/>
        <v>66933450</v>
      </c>
      <c r="BQ51" s="114">
        <f>BQ39+BQ50</f>
        <v>0</v>
      </c>
      <c r="BR51" s="114">
        <f>BR39+BR50</f>
        <v>54400</v>
      </c>
      <c r="BS51" s="114">
        <f>BS39+BS50</f>
        <v>66879050</v>
      </c>
      <c r="BT51" s="114">
        <f>BT39+BT50</f>
        <v>0</v>
      </c>
      <c r="BU51" s="114">
        <f>BU39+BU50</f>
        <v>2060509364</v>
      </c>
      <c r="BV51" s="113"/>
      <c r="BW51" s="114">
        <f t="shared" ref="BW51:CI51" si="42">BW39+BW50</f>
        <v>305331842</v>
      </c>
      <c r="BX51" s="114">
        <f t="shared" si="42"/>
        <v>203013395</v>
      </c>
      <c r="BY51" s="114">
        <f t="shared" si="42"/>
        <v>19527128</v>
      </c>
      <c r="BZ51" s="114">
        <f t="shared" si="42"/>
        <v>24225592</v>
      </c>
      <c r="CA51" s="114">
        <f t="shared" si="42"/>
        <v>606097096</v>
      </c>
      <c r="CB51" s="114">
        <f t="shared" si="42"/>
        <v>136099618</v>
      </c>
      <c r="CC51" s="114">
        <f t="shared" si="42"/>
        <v>5784388</v>
      </c>
      <c r="CD51" s="114">
        <f t="shared" si="42"/>
        <v>240995013</v>
      </c>
      <c r="CE51" s="114">
        <f t="shared" si="42"/>
        <v>204229139</v>
      </c>
      <c r="CF51" s="114">
        <f t="shared" si="42"/>
        <v>4795230</v>
      </c>
      <c r="CG51" s="114">
        <f t="shared" si="42"/>
        <v>14148482</v>
      </c>
      <c r="CH51" s="114">
        <f t="shared" si="42"/>
        <v>159508510</v>
      </c>
      <c r="CI51" s="114">
        <f t="shared" si="42"/>
        <v>147865469</v>
      </c>
      <c r="CJ51" s="113">
        <f t="shared" si="29"/>
        <v>11643041</v>
      </c>
      <c r="CK51" s="114">
        <f t="shared" ref="CK51:CS51" si="43">CK39+CK50</f>
        <v>243919116</v>
      </c>
      <c r="CL51" s="114">
        <f t="shared" si="43"/>
        <v>150215705</v>
      </c>
      <c r="CM51" s="114">
        <f t="shared" si="43"/>
        <v>16239028</v>
      </c>
      <c r="CN51" s="114">
        <f t="shared" si="43"/>
        <v>37345591</v>
      </c>
      <c r="CO51" s="114">
        <f t="shared" si="43"/>
        <v>14598310</v>
      </c>
      <c r="CP51" s="114">
        <f t="shared" si="43"/>
        <v>192108161</v>
      </c>
      <c r="CQ51" s="114">
        <f t="shared" si="43"/>
        <v>37880346</v>
      </c>
      <c r="CR51" s="114">
        <f t="shared" si="43"/>
        <v>38709851</v>
      </c>
      <c r="CS51" s="114">
        <f t="shared" si="43"/>
        <v>28827762</v>
      </c>
      <c r="CT51" s="113">
        <f t="shared" si="7"/>
        <v>58341295</v>
      </c>
      <c r="CU51" s="114">
        <f>CU39+CU50</f>
        <v>41579109</v>
      </c>
      <c r="CV51" s="114">
        <f>CV39+CV50</f>
        <v>16762186</v>
      </c>
      <c r="CW51" s="113">
        <f t="shared" si="8"/>
        <v>10728887</v>
      </c>
      <c r="CX51" s="114">
        <f>CX39+CX50</f>
        <v>8484310</v>
      </c>
      <c r="CY51" s="114">
        <f>CY39+CY50</f>
        <v>2244577</v>
      </c>
      <c r="CZ51" s="113">
        <f t="shared" si="9"/>
        <v>45078582</v>
      </c>
      <c r="DA51" s="114">
        <f t="shared" ref="DA51:DU51" si="44">DA39+DA50</f>
        <v>32328416</v>
      </c>
      <c r="DB51" s="114">
        <f t="shared" si="44"/>
        <v>12750166</v>
      </c>
      <c r="DC51" s="114">
        <f t="shared" si="44"/>
        <v>184251819</v>
      </c>
      <c r="DD51" s="114">
        <f t="shared" si="44"/>
        <v>81834347</v>
      </c>
      <c r="DE51" s="114">
        <f t="shared" si="44"/>
        <v>95709714</v>
      </c>
      <c r="DF51" s="114">
        <f t="shared" si="44"/>
        <v>1901260</v>
      </c>
      <c r="DG51" s="114">
        <f t="shared" si="44"/>
        <v>4747176</v>
      </c>
      <c r="DH51" s="114">
        <f t="shared" si="44"/>
        <v>11237562</v>
      </c>
      <c r="DI51" s="114">
        <f t="shared" si="44"/>
        <v>94035577</v>
      </c>
      <c r="DJ51" s="114">
        <f t="shared" si="44"/>
        <v>14008884</v>
      </c>
      <c r="DK51" s="114">
        <f t="shared" si="44"/>
        <v>2276145</v>
      </c>
      <c r="DL51" s="114">
        <f t="shared" si="44"/>
        <v>77750548</v>
      </c>
      <c r="DM51" s="114">
        <f t="shared" si="44"/>
        <v>6429073</v>
      </c>
      <c r="DN51" s="114">
        <f t="shared" si="44"/>
        <v>6177319</v>
      </c>
      <c r="DO51" s="114">
        <f t="shared" si="44"/>
        <v>501756</v>
      </c>
      <c r="DP51" s="114">
        <f t="shared" si="44"/>
        <v>1051558</v>
      </c>
      <c r="DQ51" s="114">
        <f t="shared" si="44"/>
        <v>9727640</v>
      </c>
      <c r="DR51" s="114">
        <f t="shared" si="44"/>
        <v>200000</v>
      </c>
      <c r="DS51" s="114">
        <f t="shared" si="44"/>
        <v>0</v>
      </c>
      <c r="DT51" s="114">
        <f t="shared" si="44"/>
        <v>199188617</v>
      </c>
      <c r="DU51" s="114">
        <f t="shared" si="44"/>
        <v>12152325</v>
      </c>
      <c r="DV51" s="113">
        <f t="shared" si="10"/>
        <v>0</v>
      </c>
      <c r="DW51" s="114">
        <f>DW39+DW50</f>
        <v>0</v>
      </c>
      <c r="DX51" s="114">
        <f>DX39+DX50</f>
        <v>67480979</v>
      </c>
      <c r="DY51" s="114">
        <f>DY39+DY50</f>
        <v>248612</v>
      </c>
      <c r="DZ51" s="114">
        <f>DZ39+DZ50</f>
        <v>54549681</v>
      </c>
      <c r="EA51" s="113">
        <v>0</v>
      </c>
      <c r="EB51" s="114">
        <f>EB39+EB50</f>
        <v>62488335</v>
      </c>
      <c r="EC51" s="114">
        <f>EC39+EC50</f>
        <v>0</v>
      </c>
      <c r="ED51" s="114">
        <f>ED39+ED50</f>
        <v>2026433323</v>
      </c>
      <c r="EE51" s="113"/>
      <c r="EF51" s="114">
        <f>EF39+EF50</f>
        <v>34076041</v>
      </c>
      <c r="EG51" s="114">
        <f>EG39+EG50</f>
        <v>11150397</v>
      </c>
      <c r="EH51" s="114">
        <f>EH39+EH50</f>
        <v>22925644</v>
      </c>
      <c r="EI51" s="114">
        <f>EI39+EI50</f>
        <v>2215710</v>
      </c>
      <c r="EJ51" s="114">
        <f>EJ39+EJ50</f>
        <v>9152249</v>
      </c>
      <c r="EK51" s="113"/>
      <c r="EL51" s="114">
        <f>EL39+EL50</f>
        <v>5308974</v>
      </c>
      <c r="EM51" s="114">
        <f>EM39+EM50</f>
        <v>5296741</v>
      </c>
      <c r="EN51" s="114">
        <f>EN39+EN50</f>
        <v>49230669</v>
      </c>
      <c r="EO51" s="114">
        <f>EO39+EO50</f>
        <v>10963883</v>
      </c>
      <c r="EP51" s="113">
        <f t="shared" si="11"/>
        <v>51437396</v>
      </c>
      <c r="EQ51" s="114">
        <f t="shared" ref="EQ51:EV51" si="45">EQ39+EQ50</f>
        <v>1108053634</v>
      </c>
      <c r="ER51" s="114">
        <f t="shared" si="45"/>
        <v>-177615496</v>
      </c>
      <c r="ES51" s="114">
        <f t="shared" si="45"/>
        <v>279887330</v>
      </c>
      <c r="ET51" s="114">
        <f t="shared" si="45"/>
        <v>184105693</v>
      </c>
      <c r="EU51" s="114">
        <f t="shared" si="45"/>
        <v>179820301</v>
      </c>
      <c r="EV51" s="114">
        <f t="shared" si="45"/>
        <v>157745967</v>
      </c>
      <c r="EW51" s="113">
        <f t="shared" si="12"/>
        <v>46000402</v>
      </c>
      <c r="EX51" s="114">
        <f t="shared" ref="EX51:FF51" si="46">EX39+EX50</f>
        <v>41291325</v>
      </c>
      <c r="EY51" s="114">
        <f t="shared" si="46"/>
        <v>4883401</v>
      </c>
      <c r="EZ51" s="114">
        <f t="shared" si="46"/>
        <v>35992326</v>
      </c>
      <c r="FA51" s="114">
        <f t="shared" si="46"/>
        <v>4709077</v>
      </c>
      <c r="FB51" s="114">
        <f t="shared" si="46"/>
        <v>0</v>
      </c>
      <c r="FC51" s="114">
        <f t="shared" si="46"/>
        <v>198622754</v>
      </c>
      <c r="FD51" s="114">
        <f t="shared" si="46"/>
        <v>178423036</v>
      </c>
      <c r="FE51" s="114">
        <f t="shared" si="46"/>
        <v>37161558</v>
      </c>
      <c r="FF51" s="114">
        <f t="shared" si="46"/>
        <v>161336053</v>
      </c>
      <c r="FG51" s="113">
        <f t="shared" si="13"/>
        <v>50159152</v>
      </c>
      <c r="FH51" s="114">
        <f>FH39+FH50</f>
        <v>1251994995</v>
      </c>
      <c r="FI51" s="441">
        <f t="shared" si="14"/>
        <v>2.1</v>
      </c>
      <c r="FJ51" s="114">
        <f>FJ39+FJ50</f>
        <v>1010660190</v>
      </c>
      <c r="FK51" s="114">
        <f>FK39+FK50</f>
        <v>77065828</v>
      </c>
      <c r="FL51" s="114">
        <f>FL39+FL50</f>
        <v>640408467</v>
      </c>
      <c r="FM51" s="114">
        <f>FM39+FM50</f>
        <v>826491489</v>
      </c>
      <c r="FN51" s="442">
        <v>0.77800000000000002</v>
      </c>
      <c r="FO51" s="443">
        <v>96.4</v>
      </c>
      <c r="FP51" s="444">
        <v>24.9</v>
      </c>
      <c r="FQ51" s="443">
        <v>16.2</v>
      </c>
      <c r="FR51" s="443">
        <v>13.9</v>
      </c>
      <c r="FS51" s="444">
        <v>15.6</v>
      </c>
      <c r="FT51" s="443">
        <v>11.3</v>
      </c>
      <c r="FU51" s="445">
        <v>13.2</v>
      </c>
      <c r="FV51" s="446">
        <v>3.9</v>
      </c>
      <c r="FW51" s="114">
        <f>FW39+FW50</f>
        <v>1564975758</v>
      </c>
      <c r="FX51" s="446">
        <f t="shared" si="15"/>
        <v>143.9</v>
      </c>
      <c r="FY51" s="114">
        <f t="shared" ref="FY51:GD51" si="47">FY39+FY50</f>
        <v>391639444</v>
      </c>
      <c r="FZ51" s="114">
        <f t="shared" si="47"/>
        <v>156391419</v>
      </c>
      <c r="GA51" s="114">
        <f t="shared" si="47"/>
        <v>29035875</v>
      </c>
      <c r="GB51" s="114">
        <f t="shared" si="47"/>
        <v>206212150</v>
      </c>
      <c r="GC51" s="114">
        <f t="shared" si="47"/>
        <v>0</v>
      </c>
      <c r="GD51" s="114">
        <f t="shared" si="47"/>
        <v>28070</v>
      </c>
      <c r="GE51" s="447">
        <f>IF(GD51=0,"-",ROUND(GD51/GW51*100,1))</f>
        <v>7.7</v>
      </c>
      <c r="GF51" s="443">
        <v>99.4</v>
      </c>
      <c r="GG51" s="443">
        <v>34.799999999999997</v>
      </c>
      <c r="GH51" s="443">
        <v>97.8</v>
      </c>
      <c r="GI51" s="114">
        <f>GI39+GI50</f>
        <v>31054</v>
      </c>
      <c r="GJ51" s="448" t="s">
        <v>646</v>
      </c>
      <c r="GK51" s="448" t="s">
        <v>646</v>
      </c>
      <c r="GL51" s="449" t="s">
        <v>646</v>
      </c>
      <c r="GM51" s="448" t="s">
        <v>646</v>
      </c>
      <c r="GN51" s="448" t="s">
        <v>646</v>
      </c>
      <c r="GO51" s="449" t="s">
        <v>646</v>
      </c>
      <c r="GP51" s="444">
        <v>3.9</v>
      </c>
      <c r="GQ51" s="450" t="s">
        <v>646</v>
      </c>
      <c r="GR51" s="450" t="s">
        <v>646</v>
      </c>
      <c r="GS51" s="450" t="s">
        <v>646</v>
      </c>
      <c r="GT51" s="448" t="s">
        <v>646</v>
      </c>
      <c r="GU51" s="408"/>
      <c r="GV51" s="115">
        <f t="shared" si="16"/>
        <v>1087726</v>
      </c>
      <c r="GW51" s="408">
        <f>GW39+GW50</f>
        <v>362656</v>
      </c>
      <c r="GX51" s="408"/>
      <c r="GY51" s="408"/>
      <c r="GZ51" s="408"/>
      <c r="HA51" s="408"/>
      <c r="HB51" s="408"/>
      <c r="HC51" s="408"/>
      <c r="HD51" s="408"/>
      <c r="HE51" s="408"/>
      <c r="HF51" s="408"/>
      <c r="HG51" s="408"/>
      <c r="HH51" s="408"/>
      <c r="HI51" s="408"/>
      <c r="HJ51" s="408"/>
      <c r="HK51" s="408"/>
      <c r="HL51" s="408"/>
      <c r="HM51" s="408"/>
      <c r="HN51" s="408"/>
      <c r="HO51" s="408"/>
      <c r="HP51" s="408"/>
      <c r="HQ51" s="408"/>
      <c r="HR51" s="408"/>
      <c r="HS51" s="408"/>
      <c r="HT51" s="408"/>
      <c r="HU51" s="408"/>
      <c r="HV51" s="408"/>
    </row>
    <row r="52" spans="2:230" s="108" customFormat="1" x14ac:dyDescent="0.15">
      <c r="B52" s="108" t="s">
        <v>0</v>
      </c>
      <c r="C52" s="110">
        <f>C6+C7+C51</f>
        <v>1671039033</v>
      </c>
      <c r="D52" s="109">
        <f t="shared" si="0"/>
        <v>555291459</v>
      </c>
      <c r="E52" s="110">
        <f>E6+E7+E51</f>
        <v>14254344</v>
      </c>
      <c r="F52" s="110">
        <f>F6+F7+F51</f>
        <v>541037115</v>
      </c>
      <c r="G52" s="109">
        <f t="shared" si="1"/>
        <v>209468999</v>
      </c>
      <c r="H52" s="110">
        <f t="shared" ref="H52:R52" si="48">H6+H7+H51</f>
        <v>35531136</v>
      </c>
      <c r="I52" s="110">
        <f t="shared" si="48"/>
        <v>173937863</v>
      </c>
      <c r="J52" s="110">
        <f t="shared" si="48"/>
        <v>655201272</v>
      </c>
      <c r="K52" s="110">
        <f t="shared" si="48"/>
        <v>263236315</v>
      </c>
      <c r="L52" s="110">
        <f t="shared" si="48"/>
        <v>296705113</v>
      </c>
      <c r="M52" s="110">
        <f t="shared" si="48"/>
        <v>88709508</v>
      </c>
      <c r="N52" s="110">
        <f t="shared" si="48"/>
        <v>67874076</v>
      </c>
      <c r="O52" s="110">
        <f t="shared" si="48"/>
        <v>131922712</v>
      </c>
      <c r="P52" s="110">
        <f t="shared" si="48"/>
        <v>68315275</v>
      </c>
      <c r="Q52" s="110">
        <f t="shared" si="48"/>
        <v>63607437</v>
      </c>
      <c r="R52" s="110">
        <f t="shared" si="48"/>
        <v>18968553</v>
      </c>
      <c r="S52" s="109"/>
      <c r="T52" s="109">
        <f t="shared" si="26"/>
        <v>189719979</v>
      </c>
      <c r="U52" s="110">
        <f t="shared" ref="U52:AG52" si="49">U6+U7+U51</f>
        <v>2969337</v>
      </c>
      <c r="V52" s="110">
        <f t="shared" si="49"/>
        <v>7071822</v>
      </c>
      <c r="W52" s="110">
        <f t="shared" si="49"/>
        <v>6003382</v>
      </c>
      <c r="X52" s="110">
        <f t="shared" si="49"/>
        <v>163626506</v>
      </c>
      <c r="Y52" s="110">
        <f t="shared" si="49"/>
        <v>936267</v>
      </c>
      <c r="Z52" s="110">
        <f t="shared" si="49"/>
        <v>0</v>
      </c>
      <c r="AA52" s="110">
        <f t="shared" si="49"/>
        <v>9112665</v>
      </c>
      <c r="AB52" s="110">
        <f t="shared" si="49"/>
        <v>7718852</v>
      </c>
      <c r="AC52" s="110">
        <f t="shared" si="49"/>
        <v>273689915</v>
      </c>
      <c r="AD52" s="110">
        <f t="shared" si="49"/>
        <v>256866612</v>
      </c>
      <c r="AE52" s="110">
        <f t="shared" si="49"/>
        <v>16823031</v>
      </c>
      <c r="AF52" s="110">
        <f t="shared" si="49"/>
        <v>1726095</v>
      </c>
      <c r="AG52" s="110">
        <f t="shared" si="49"/>
        <v>29772526</v>
      </c>
      <c r="AH52" s="109">
        <f t="shared" si="27"/>
        <v>110365039</v>
      </c>
      <c r="AI52" s="110">
        <f>AI6+AI7+AI51</f>
        <v>92002905</v>
      </c>
      <c r="AJ52" s="110">
        <f>AJ6+AJ7+AJ51</f>
        <v>18362134</v>
      </c>
      <c r="AK52" s="110">
        <f>AK6+AK7+AK51</f>
        <v>878622484</v>
      </c>
      <c r="AL52" s="109">
        <f t="shared" si="28"/>
        <v>595335464</v>
      </c>
      <c r="AM52" s="110">
        <f>AM6+AM7+AM51</f>
        <v>396629643</v>
      </c>
      <c r="AN52" s="110">
        <f>AN6+AN7+AN51</f>
        <v>86626951</v>
      </c>
      <c r="AO52" s="109"/>
      <c r="AP52" s="110">
        <f t="shared" ref="AP52:BN52" si="50">AP6+AP7+AP51</f>
        <v>112078870</v>
      </c>
      <c r="AQ52" s="110">
        <f t="shared" si="50"/>
        <v>36378661</v>
      </c>
      <c r="AR52" s="110">
        <f t="shared" si="50"/>
        <v>2446597</v>
      </c>
      <c r="AS52" s="110">
        <f t="shared" si="50"/>
        <v>274338</v>
      </c>
      <c r="AT52" s="110">
        <f t="shared" si="50"/>
        <v>240763404</v>
      </c>
      <c r="AU52" s="110">
        <f t="shared" si="50"/>
        <v>147589536</v>
      </c>
      <c r="AV52" s="110">
        <f t="shared" si="50"/>
        <v>19916240</v>
      </c>
      <c r="AW52" s="110">
        <f t="shared" si="50"/>
        <v>8095828</v>
      </c>
      <c r="AX52" s="110">
        <f t="shared" si="50"/>
        <v>93173868</v>
      </c>
      <c r="AY52" s="110">
        <f t="shared" si="50"/>
        <v>3289113</v>
      </c>
      <c r="AZ52" s="110">
        <f t="shared" si="50"/>
        <v>41101661</v>
      </c>
      <c r="BA52" s="110">
        <f t="shared" si="50"/>
        <v>22733811</v>
      </c>
      <c r="BB52" s="110">
        <f t="shared" si="50"/>
        <v>67066844</v>
      </c>
      <c r="BC52" s="110">
        <f t="shared" si="50"/>
        <v>139935220</v>
      </c>
      <c r="BD52" s="110">
        <f t="shared" si="50"/>
        <v>17743679</v>
      </c>
      <c r="BE52" s="110">
        <f t="shared" si="50"/>
        <v>15794683</v>
      </c>
      <c r="BF52" s="110">
        <f t="shared" si="50"/>
        <v>63519737</v>
      </c>
      <c r="BG52" s="110">
        <f t="shared" si="50"/>
        <v>100000</v>
      </c>
      <c r="BH52" s="110">
        <f t="shared" si="50"/>
        <v>30424453</v>
      </c>
      <c r="BI52" s="110">
        <f t="shared" si="50"/>
        <v>20644760</v>
      </c>
      <c r="BJ52" s="110">
        <f t="shared" si="50"/>
        <v>182120209</v>
      </c>
      <c r="BK52" s="110">
        <f t="shared" si="50"/>
        <v>91495717</v>
      </c>
      <c r="BL52" s="110">
        <f t="shared" si="50"/>
        <v>742281</v>
      </c>
      <c r="BM52" s="110">
        <f t="shared" si="50"/>
        <v>13483458</v>
      </c>
      <c r="BN52" s="110">
        <f t="shared" si="50"/>
        <v>314377222</v>
      </c>
      <c r="BO52" s="109">
        <f t="shared" si="5"/>
        <v>157857283</v>
      </c>
      <c r="BP52" s="109">
        <f t="shared" si="6"/>
        <v>156519939</v>
      </c>
      <c r="BQ52" s="110">
        <f>BQ6+BQ7+BQ51</f>
        <v>0</v>
      </c>
      <c r="BR52" s="110">
        <f>BR6+BR7+BR51</f>
        <v>54400</v>
      </c>
      <c r="BS52" s="110">
        <f>BS6+BS7+BS51</f>
        <v>156465539</v>
      </c>
      <c r="BT52" s="110">
        <f>BT6+BT7+BT51</f>
        <v>0</v>
      </c>
      <c r="BU52" s="110">
        <f>BU6+BU7+BU51</f>
        <v>4224618931</v>
      </c>
      <c r="BV52" s="109"/>
      <c r="BW52" s="110">
        <f t="shared" ref="BW52:CI52" si="51">BW6+BW7+BW51</f>
        <v>691452193</v>
      </c>
      <c r="BX52" s="110">
        <f t="shared" si="51"/>
        <v>485312799</v>
      </c>
      <c r="BY52" s="110">
        <f t="shared" si="51"/>
        <v>46550135</v>
      </c>
      <c r="BZ52" s="110">
        <f t="shared" si="51"/>
        <v>36052052</v>
      </c>
      <c r="CA52" s="110">
        <f t="shared" si="51"/>
        <v>1283943818</v>
      </c>
      <c r="CB52" s="110">
        <f t="shared" si="51"/>
        <v>263250275</v>
      </c>
      <c r="CC52" s="110">
        <f t="shared" si="51"/>
        <v>12097670</v>
      </c>
      <c r="CD52" s="110">
        <f t="shared" si="51"/>
        <v>436887913</v>
      </c>
      <c r="CE52" s="110">
        <f t="shared" si="51"/>
        <v>526585246</v>
      </c>
      <c r="CF52" s="110">
        <f t="shared" si="51"/>
        <v>21275688</v>
      </c>
      <c r="CG52" s="110">
        <f t="shared" si="51"/>
        <v>23801639</v>
      </c>
      <c r="CH52" s="110">
        <f t="shared" si="51"/>
        <v>485992595</v>
      </c>
      <c r="CI52" s="110">
        <f t="shared" si="51"/>
        <v>444919317</v>
      </c>
      <c r="CJ52" s="109">
        <f t="shared" si="29"/>
        <v>41073278</v>
      </c>
      <c r="CK52" s="110">
        <f t="shared" ref="CK52:CS52" si="52">CK6+CK7+CK51</f>
        <v>398418078</v>
      </c>
      <c r="CL52" s="110">
        <f t="shared" si="52"/>
        <v>250199202</v>
      </c>
      <c r="CM52" s="110">
        <f t="shared" si="52"/>
        <v>20145026</v>
      </c>
      <c r="CN52" s="110">
        <f t="shared" si="52"/>
        <v>65906334</v>
      </c>
      <c r="CO52" s="110">
        <f t="shared" si="52"/>
        <v>38638486</v>
      </c>
      <c r="CP52" s="110">
        <f t="shared" si="52"/>
        <v>339317207</v>
      </c>
      <c r="CQ52" s="110">
        <f t="shared" si="52"/>
        <v>45295551</v>
      </c>
      <c r="CR52" s="110">
        <f t="shared" si="52"/>
        <v>95040877</v>
      </c>
      <c r="CS52" s="110">
        <f t="shared" si="52"/>
        <v>73166840</v>
      </c>
      <c r="CT52" s="109">
        <f t="shared" si="7"/>
        <v>106746941</v>
      </c>
      <c r="CU52" s="110">
        <f>CU6+CU7+CU51</f>
        <v>48710775</v>
      </c>
      <c r="CV52" s="110">
        <f>CV6+CV7+CV51</f>
        <v>58036166</v>
      </c>
      <c r="CW52" s="109">
        <f t="shared" si="8"/>
        <v>10728887</v>
      </c>
      <c r="CX52" s="110">
        <f>CX6+CX7+CX51</f>
        <v>8484310</v>
      </c>
      <c r="CY52" s="110">
        <f>CY6+CY7+CY51</f>
        <v>2244577</v>
      </c>
      <c r="CZ52" s="109">
        <f t="shared" si="9"/>
        <v>82895816</v>
      </c>
      <c r="DA52" s="110">
        <f t="shared" ref="DA52:DU52" si="53">DA6+DA7+DA51</f>
        <v>39113210</v>
      </c>
      <c r="DB52" s="110">
        <f t="shared" si="53"/>
        <v>43782606</v>
      </c>
      <c r="DC52" s="110">
        <f t="shared" si="53"/>
        <v>352278613</v>
      </c>
      <c r="DD52" s="110">
        <f t="shared" si="53"/>
        <v>173808513</v>
      </c>
      <c r="DE52" s="110">
        <f t="shared" si="53"/>
        <v>168294744</v>
      </c>
      <c r="DF52" s="110">
        <f t="shared" si="53"/>
        <v>1901260</v>
      </c>
      <c r="DG52" s="110">
        <f t="shared" si="53"/>
        <v>5275198</v>
      </c>
      <c r="DH52" s="110">
        <f t="shared" si="53"/>
        <v>15611158</v>
      </c>
      <c r="DI52" s="110">
        <f t="shared" si="53"/>
        <v>104759693</v>
      </c>
      <c r="DJ52" s="110">
        <f t="shared" si="53"/>
        <v>18091688</v>
      </c>
      <c r="DK52" s="110">
        <f t="shared" si="53"/>
        <v>2311985</v>
      </c>
      <c r="DL52" s="110">
        <f t="shared" si="53"/>
        <v>84356020</v>
      </c>
      <c r="DM52" s="110">
        <f t="shared" si="53"/>
        <v>9796268</v>
      </c>
      <c r="DN52" s="110">
        <f t="shared" si="53"/>
        <v>8227514</v>
      </c>
      <c r="DO52" s="110">
        <f t="shared" si="53"/>
        <v>501756</v>
      </c>
      <c r="DP52" s="110">
        <f t="shared" si="53"/>
        <v>1051558</v>
      </c>
      <c r="DQ52" s="110">
        <f t="shared" si="53"/>
        <v>94059261</v>
      </c>
      <c r="DR52" s="110">
        <f t="shared" si="53"/>
        <v>200000</v>
      </c>
      <c r="DS52" s="110">
        <f t="shared" si="53"/>
        <v>0</v>
      </c>
      <c r="DT52" s="110">
        <f t="shared" si="53"/>
        <v>369801830</v>
      </c>
      <c r="DU52" s="110">
        <f t="shared" si="53"/>
        <v>12152325</v>
      </c>
      <c r="DV52" s="109">
        <f t="shared" si="10"/>
        <v>28383076</v>
      </c>
      <c r="DW52" s="110">
        <f>DW6+DW7+DW51</f>
        <v>28383076</v>
      </c>
      <c r="DX52" s="110">
        <f>DX6+DX7+DX51</f>
        <v>115470876</v>
      </c>
      <c r="DY52" s="110">
        <f>DY6+DY7+DY51</f>
        <v>248612</v>
      </c>
      <c r="DZ52" s="110">
        <f>DZ6+DZ7+DZ51</f>
        <v>96714995</v>
      </c>
      <c r="EA52" s="109">
        <v>0</v>
      </c>
      <c r="EB52" s="110">
        <f>EB6+EB7+EB51</f>
        <v>112031481</v>
      </c>
      <c r="EC52" s="110">
        <f>EC6+EC7+EC51</f>
        <v>0</v>
      </c>
      <c r="ED52" s="110">
        <f>ED6+ED7+ED51</f>
        <v>4184069200</v>
      </c>
      <c r="EE52" s="109"/>
      <c r="EF52" s="110">
        <f>EF6+EF7+EF51</f>
        <v>40549731</v>
      </c>
      <c r="EG52" s="110">
        <f>EG6+EG7+EG51</f>
        <v>15444301</v>
      </c>
      <c r="EH52" s="110">
        <f>EH6+EH7+EH51</f>
        <v>25105430</v>
      </c>
      <c r="EI52" s="110">
        <f>EI6+EI7+EI51</f>
        <v>1433660</v>
      </c>
      <c r="EJ52" s="110">
        <f>EJ6+EJ7+EJ51</f>
        <v>5782121</v>
      </c>
      <c r="EK52" s="109"/>
      <c r="EL52" s="110">
        <f>EL6+EL7+EL51</f>
        <v>8839469</v>
      </c>
      <c r="EM52" s="110">
        <f>EM6+EM7+EM51</f>
        <v>8848998</v>
      </c>
      <c r="EN52" s="110">
        <f>EN6+EN7+EN51</f>
        <v>68978025</v>
      </c>
      <c r="EO52" s="110">
        <f>EO6+EO7+EO51</f>
        <v>26812208</v>
      </c>
      <c r="EP52" s="109">
        <f t="shared" si="11"/>
        <v>120798602</v>
      </c>
      <c r="EQ52" s="110">
        <f t="shared" ref="EQ52:EV52" si="54">EQ6+EQ7+EQ51</f>
        <v>2190069869</v>
      </c>
      <c r="ER52" s="110">
        <f t="shared" si="54"/>
        <v>-344175237</v>
      </c>
      <c r="ES52" s="110">
        <f t="shared" si="54"/>
        <v>606602979</v>
      </c>
      <c r="ET52" s="110">
        <f t="shared" si="54"/>
        <v>419926575</v>
      </c>
      <c r="EU52" s="110">
        <f t="shared" si="54"/>
        <v>382542068</v>
      </c>
      <c r="EV52" s="110">
        <f t="shared" si="54"/>
        <v>414819135</v>
      </c>
      <c r="EW52" s="109">
        <f t="shared" si="12"/>
        <v>99141183</v>
      </c>
      <c r="EX52" s="110">
        <f t="shared" ref="EX52:FF52" si="55">EX6+EX7+EX51</f>
        <v>93627185</v>
      </c>
      <c r="EY52" s="110">
        <f t="shared" si="55"/>
        <v>20481390</v>
      </c>
      <c r="EZ52" s="110">
        <f t="shared" si="55"/>
        <v>72125921</v>
      </c>
      <c r="FA52" s="110">
        <f t="shared" si="55"/>
        <v>5513998</v>
      </c>
      <c r="FB52" s="110">
        <f t="shared" si="55"/>
        <v>0</v>
      </c>
      <c r="FC52" s="110">
        <f t="shared" si="55"/>
        <v>307762677</v>
      </c>
      <c r="FD52" s="110">
        <f t="shared" si="55"/>
        <v>305656164</v>
      </c>
      <c r="FE52" s="110">
        <f t="shared" si="55"/>
        <v>39379409</v>
      </c>
      <c r="FF52" s="110">
        <f t="shared" si="55"/>
        <v>302092943</v>
      </c>
      <c r="FG52" s="109">
        <f t="shared" si="13"/>
        <v>75644628</v>
      </c>
      <c r="FH52" s="110">
        <f>FH6+FH7+FH51</f>
        <v>2494261777</v>
      </c>
      <c r="FI52" s="409">
        <f t="shared" si="14"/>
        <v>1.2</v>
      </c>
      <c r="FJ52" s="110">
        <f>FJ6+FJ7+FJ51</f>
        <v>1992496511</v>
      </c>
      <c r="FK52" s="110">
        <f>FK6+FK7+FK51</f>
        <v>166653094</v>
      </c>
      <c r="FL52" s="110">
        <f>FL6+FL7+FL51</f>
        <v>1354857146</v>
      </c>
      <c r="FM52" s="110">
        <f>FM6+FM7+FM51</f>
        <v>1611336174</v>
      </c>
      <c r="FN52" s="436">
        <v>0.84</v>
      </c>
      <c r="FO52" s="437">
        <v>96.9</v>
      </c>
      <c r="FP52" s="116">
        <v>27</v>
      </c>
      <c r="FQ52" s="437">
        <v>17.2</v>
      </c>
      <c r="FR52" s="437">
        <v>17.899999999999999</v>
      </c>
      <c r="FS52" s="116">
        <v>12.4</v>
      </c>
      <c r="FT52" s="437">
        <v>9.8000000000000007</v>
      </c>
      <c r="FU52" s="438">
        <v>11.1</v>
      </c>
      <c r="FV52" s="414">
        <v>4.0999999999999996</v>
      </c>
      <c r="FW52" s="110">
        <f>FW6+FW7+FW51</f>
        <v>3920851034</v>
      </c>
      <c r="FX52" s="414">
        <f t="shared" si="15"/>
        <v>181.6</v>
      </c>
      <c r="FY52" s="110">
        <f>FY6+FY7+FY51</f>
        <v>657501842</v>
      </c>
      <c r="FZ52" s="110">
        <f>FZ6+FZ7+FZ51</f>
        <v>318642165</v>
      </c>
      <c r="GA52" s="110">
        <f>GA6+GA7+GA51</f>
        <v>32893457</v>
      </c>
      <c r="GB52" s="110">
        <f>GB6+GB7+GB51</f>
        <v>305966220</v>
      </c>
      <c r="GC52" s="110">
        <f>GC6+GC7+GC51</f>
        <v>0</v>
      </c>
      <c r="GD52" s="119">
        <f>SUM(GD6:GD7,GD51)</f>
        <v>28070</v>
      </c>
      <c r="GE52" s="120">
        <f>IF(GD52=0,"-",ROUND(GD52/GW52*100,1))</f>
        <v>7.7</v>
      </c>
      <c r="GF52" s="437">
        <v>99.4</v>
      </c>
      <c r="GG52" s="437">
        <v>34.1</v>
      </c>
      <c r="GH52" s="437">
        <v>98.2</v>
      </c>
      <c r="GI52" s="110">
        <f>GI6+GI7+GI51</f>
        <v>71743</v>
      </c>
      <c r="GJ52" s="415" t="s">
        <v>646</v>
      </c>
      <c r="GK52" s="415" t="s">
        <v>646</v>
      </c>
      <c r="GL52" s="416" t="s">
        <v>646</v>
      </c>
      <c r="GM52" s="415" t="s">
        <v>646</v>
      </c>
      <c r="GN52" s="415" t="s">
        <v>646</v>
      </c>
      <c r="GO52" s="416" t="s">
        <v>646</v>
      </c>
      <c r="GP52" s="439">
        <v>4.0999999999999996</v>
      </c>
      <c r="GQ52" s="418" t="s">
        <v>646</v>
      </c>
      <c r="GR52" s="418" t="s">
        <v>646</v>
      </c>
      <c r="GS52" s="124">
        <v>15.8</v>
      </c>
      <c r="GT52" s="415" t="s">
        <v>646</v>
      </c>
      <c r="GV52" s="111">
        <f t="shared" si="16"/>
        <v>2159150</v>
      </c>
      <c r="GW52" s="419">
        <f>GW51</f>
        <v>362656</v>
      </c>
    </row>
    <row r="53" spans="2:230" x14ac:dyDescent="0.15">
      <c r="S53" s="75"/>
      <c r="CI53" s="89"/>
      <c r="CJ53" s="84"/>
      <c r="EI53" s="420">
        <f>EI8+EI10+EI12+EI14+EI23+EI24+EI25+EI27+EI31+EI32+EI37+EI43+EI44+EI45+EI47+EI48</f>
        <v>-265321</v>
      </c>
      <c r="FJ53" s="394">
        <f>FJ44+FJ47+FJ45</f>
        <v>14989739</v>
      </c>
      <c r="FK53" s="394">
        <f>FK44+FK47+FK45</f>
        <v>829099</v>
      </c>
      <c r="GE53" s="89" t="s">
        <v>647</v>
      </c>
      <c r="GW53" s="101" t="s">
        <v>648</v>
      </c>
      <c r="GX53" s="101"/>
    </row>
    <row r="54" spans="2:230" x14ac:dyDescent="0.15">
      <c r="S54" s="75"/>
      <c r="CI54" s="89"/>
      <c r="CJ54" s="84"/>
      <c r="EI54" s="420">
        <f>EI51-EI53</f>
        <v>2481031</v>
      </c>
      <c r="EM54" s="423"/>
      <c r="FJ54" s="394">
        <f>FJ39+FJ53</f>
        <v>983145638</v>
      </c>
      <c r="FK54" s="394">
        <f>FK39+FK53</f>
        <v>75365860</v>
      </c>
      <c r="GD54" s="89" t="s">
        <v>649</v>
      </c>
      <c r="GF54" s="388"/>
      <c r="GG54" s="388"/>
      <c r="GH54" s="388"/>
      <c r="GI54" s="272"/>
    </row>
    <row r="55" spans="2:230" x14ac:dyDescent="0.15">
      <c r="S55" s="75"/>
      <c r="CI55" s="89"/>
      <c r="CJ55" s="84"/>
    </row>
    <row r="56" spans="2:230" x14ac:dyDescent="0.15">
      <c r="B56" s="89" t="s">
        <v>650</v>
      </c>
      <c r="C56" s="89" t="str">
        <f t="shared" ref="C56:AH56" si="56">IF(SUM(C8:C38)=C39,"ok","エラー")</f>
        <v>ok</v>
      </c>
      <c r="D56" s="89" t="str">
        <f t="shared" si="56"/>
        <v>ok</v>
      </c>
      <c r="E56" s="89" t="str">
        <f t="shared" si="56"/>
        <v>ok</v>
      </c>
      <c r="F56" s="89" t="str">
        <f t="shared" si="56"/>
        <v>ok</v>
      </c>
      <c r="G56" s="89" t="str">
        <f t="shared" si="56"/>
        <v>ok</v>
      </c>
      <c r="H56" s="89" t="str">
        <f t="shared" si="56"/>
        <v>ok</v>
      </c>
      <c r="I56" s="89" t="str">
        <f t="shared" si="56"/>
        <v>ok</v>
      </c>
      <c r="J56" s="89" t="str">
        <f t="shared" si="56"/>
        <v>ok</v>
      </c>
      <c r="K56" s="89" t="str">
        <f t="shared" si="56"/>
        <v>ok</v>
      </c>
      <c r="L56" s="89" t="str">
        <f t="shared" si="56"/>
        <v>ok</v>
      </c>
      <c r="M56" s="89" t="str">
        <f t="shared" si="56"/>
        <v>ok</v>
      </c>
      <c r="N56" s="89" t="str">
        <f t="shared" si="56"/>
        <v>ok</v>
      </c>
      <c r="O56" s="89" t="str">
        <f t="shared" si="56"/>
        <v>ok</v>
      </c>
      <c r="P56" s="89" t="str">
        <f t="shared" si="56"/>
        <v>ok</v>
      </c>
      <c r="Q56" s="89" t="str">
        <f t="shared" si="56"/>
        <v>ok</v>
      </c>
      <c r="R56" s="89" t="str">
        <f t="shared" si="56"/>
        <v>ok</v>
      </c>
      <c r="S56" s="75" t="str">
        <f t="shared" si="56"/>
        <v>ok</v>
      </c>
      <c r="T56" s="89" t="str">
        <f t="shared" si="56"/>
        <v>ok</v>
      </c>
      <c r="U56" s="89" t="str">
        <f t="shared" si="56"/>
        <v>ok</v>
      </c>
      <c r="V56" s="89" t="str">
        <f t="shared" si="56"/>
        <v>ok</v>
      </c>
      <c r="W56" s="89" t="str">
        <f t="shared" si="56"/>
        <v>ok</v>
      </c>
      <c r="X56" s="89" t="str">
        <f t="shared" si="56"/>
        <v>ok</v>
      </c>
      <c r="Y56" s="89" t="str">
        <f t="shared" si="56"/>
        <v>ok</v>
      </c>
      <c r="Z56" s="89" t="str">
        <f t="shared" si="56"/>
        <v>ok</v>
      </c>
      <c r="AA56" s="89" t="str">
        <f t="shared" si="56"/>
        <v>ok</v>
      </c>
      <c r="AB56" s="89" t="str">
        <f t="shared" si="56"/>
        <v>ok</v>
      </c>
      <c r="AC56" s="89" t="str">
        <f t="shared" si="56"/>
        <v>ok</v>
      </c>
      <c r="AD56" s="89" t="str">
        <f t="shared" si="56"/>
        <v>ok</v>
      </c>
      <c r="AE56" s="89" t="str">
        <f t="shared" si="56"/>
        <v>ok</v>
      </c>
      <c r="AF56" s="89" t="str">
        <f t="shared" si="56"/>
        <v>ok</v>
      </c>
      <c r="AG56" s="89" t="str">
        <f t="shared" si="56"/>
        <v>ok</v>
      </c>
      <c r="AH56" s="89" t="str">
        <f t="shared" si="56"/>
        <v>ok</v>
      </c>
      <c r="AI56" s="89" t="str">
        <f t="shared" ref="AI56:BN56" si="57">IF(SUM(AI8:AI38)=AI39,"ok","エラー")</f>
        <v>ok</v>
      </c>
      <c r="AJ56" s="89" t="str">
        <f t="shared" si="57"/>
        <v>ok</v>
      </c>
      <c r="AK56" s="89" t="str">
        <f t="shared" si="57"/>
        <v>ok</v>
      </c>
      <c r="AL56" s="89" t="str">
        <f t="shared" si="57"/>
        <v>ok</v>
      </c>
      <c r="AM56" s="89" t="str">
        <f t="shared" si="57"/>
        <v>ok</v>
      </c>
      <c r="AN56" s="89" t="str">
        <f t="shared" si="57"/>
        <v>ok</v>
      </c>
      <c r="AO56" s="89" t="str">
        <f t="shared" si="57"/>
        <v>ok</v>
      </c>
      <c r="AP56" s="89" t="str">
        <f t="shared" si="57"/>
        <v>ok</v>
      </c>
      <c r="AQ56" s="89" t="str">
        <f t="shared" si="57"/>
        <v>ok</v>
      </c>
      <c r="AR56" s="89" t="str">
        <f t="shared" si="57"/>
        <v>ok</v>
      </c>
      <c r="AS56" s="89" t="str">
        <f t="shared" si="57"/>
        <v>ok</v>
      </c>
      <c r="AT56" s="89" t="str">
        <f t="shared" si="57"/>
        <v>ok</v>
      </c>
      <c r="AU56" s="89" t="str">
        <f t="shared" si="57"/>
        <v>ok</v>
      </c>
      <c r="AV56" s="89" t="str">
        <f t="shared" si="57"/>
        <v>ok</v>
      </c>
      <c r="AW56" s="89" t="str">
        <f t="shared" si="57"/>
        <v>ok</v>
      </c>
      <c r="AX56" s="89" t="str">
        <f t="shared" si="57"/>
        <v>ok</v>
      </c>
      <c r="AY56" s="89" t="str">
        <f t="shared" si="57"/>
        <v>ok</v>
      </c>
      <c r="AZ56" s="89" t="str">
        <f t="shared" si="57"/>
        <v>ok</v>
      </c>
      <c r="BA56" s="89" t="str">
        <f t="shared" si="57"/>
        <v>ok</v>
      </c>
      <c r="BB56" s="89" t="str">
        <f t="shared" si="57"/>
        <v>ok</v>
      </c>
      <c r="BC56" s="89" t="str">
        <f t="shared" si="57"/>
        <v>ok</v>
      </c>
      <c r="BD56" s="89" t="str">
        <f t="shared" si="57"/>
        <v>ok</v>
      </c>
      <c r="BE56" s="89" t="str">
        <f t="shared" si="57"/>
        <v>ok</v>
      </c>
      <c r="BF56" s="89" t="str">
        <f t="shared" si="57"/>
        <v>ok</v>
      </c>
      <c r="BG56" s="89" t="str">
        <f t="shared" si="57"/>
        <v>ok</v>
      </c>
      <c r="BH56" s="89" t="str">
        <f t="shared" si="57"/>
        <v>ok</v>
      </c>
      <c r="BI56" s="89" t="str">
        <f t="shared" si="57"/>
        <v>ok</v>
      </c>
      <c r="BJ56" s="89" t="str">
        <f t="shared" si="57"/>
        <v>ok</v>
      </c>
      <c r="BK56" s="89" t="str">
        <f t="shared" si="57"/>
        <v>ok</v>
      </c>
      <c r="BL56" s="89" t="str">
        <f t="shared" si="57"/>
        <v>ok</v>
      </c>
      <c r="BM56" s="89" t="str">
        <f t="shared" si="57"/>
        <v>ok</v>
      </c>
      <c r="BN56" s="89" t="str">
        <f t="shared" si="57"/>
        <v>ok</v>
      </c>
      <c r="BO56" s="89" t="str">
        <f t="shared" ref="BO56:CI56" si="58">IF(SUM(BO8:BO38)=BO39,"ok","エラー")</f>
        <v>ok</v>
      </c>
      <c r="BP56" s="89" t="str">
        <f t="shared" si="58"/>
        <v>ok</v>
      </c>
      <c r="BQ56" s="89" t="str">
        <f t="shared" si="58"/>
        <v>ok</v>
      </c>
      <c r="BR56" s="89" t="str">
        <f t="shared" si="58"/>
        <v>ok</v>
      </c>
      <c r="BS56" s="89" t="str">
        <f t="shared" si="58"/>
        <v>ok</v>
      </c>
      <c r="BT56" s="89" t="str">
        <f t="shared" si="58"/>
        <v>ok</v>
      </c>
      <c r="BU56" s="89" t="str">
        <f t="shared" si="58"/>
        <v>ok</v>
      </c>
      <c r="BV56" s="89" t="str">
        <f t="shared" si="58"/>
        <v>ok</v>
      </c>
      <c r="BW56" s="89" t="str">
        <f t="shared" si="58"/>
        <v>ok</v>
      </c>
      <c r="BX56" s="89" t="str">
        <f t="shared" si="58"/>
        <v>ok</v>
      </c>
      <c r="BY56" s="89" t="str">
        <f t="shared" si="58"/>
        <v>ok</v>
      </c>
      <c r="BZ56" s="89" t="str">
        <f t="shared" si="58"/>
        <v>ok</v>
      </c>
      <c r="CA56" s="89" t="str">
        <f t="shared" si="58"/>
        <v>ok</v>
      </c>
      <c r="CB56" s="89" t="str">
        <f t="shared" si="58"/>
        <v>ok</v>
      </c>
      <c r="CC56" s="89" t="str">
        <f t="shared" si="58"/>
        <v>ok</v>
      </c>
      <c r="CD56" s="89" t="str">
        <f t="shared" si="58"/>
        <v>ok</v>
      </c>
      <c r="CE56" s="89" t="str">
        <f t="shared" si="58"/>
        <v>ok</v>
      </c>
      <c r="CF56" s="89" t="str">
        <f t="shared" si="58"/>
        <v>ok</v>
      </c>
      <c r="CG56" s="89" t="str">
        <f t="shared" si="58"/>
        <v>ok</v>
      </c>
      <c r="CH56" s="89" t="str">
        <f t="shared" si="58"/>
        <v>ok</v>
      </c>
      <c r="CI56" s="89" t="str">
        <f t="shared" si="58"/>
        <v>ok</v>
      </c>
      <c r="CJ56" s="84"/>
      <c r="CK56" s="89" t="str">
        <f t="shared" ref="CK56:DP56" si="59">IF(SUM(CK8:CK38)=CK39,"ok","エラー")</f>
        <v>ok</v>
      </c>
      <c r="CL56" s="89" t="str">
        <f t="shared" si="59"/>
        <v>ok</v>
      </c>
      <c r="CM56" s="89" t="str">
        <f t="shared" si="59"/>
        <v>ok</v>
      </c>
      <c r="CN56" s="89" t="str">
        <f t="shared" si="59"/>
        <v>ok</v>
      </c>
      <c r="CO56" s="89" t="str">
        <f t="shared" si="59"/>
        <v>ok</v>
      </c>
      <c r="CP56" s="89" t="str">
        <f t="shared" si="59"/>
        <v>ok</v>
      </c>
      <c r="CQ56" s="89" t="str">
        <f t="shared" si="59"/>
        <v>ok</v>
      </c>
      <c r="CR56" s="89" t="str">
        <f t="shared" si="59"/>
        <v>ok</v>
      </c>
      <c r="CS56" s="89" t="str">
        <f t="shared" si="59"/>
        <v>ok</v>
      </c>
      <c r="CT56" s="89" t="str">
        <f t="shared" si="59"/>
        <v>ok</v>
      </c>
      <c r="CU56" s="89" t="str">
        <f t="shared" si="59"/>
        <v>ok</v>
      </c>
      <c r="CV56" s="89" t="str">
        <f t="shared" si="59"/>
        <v>ok</v>
      </c>
      <c r="CW56" s="89" t="str">
        <f t="shared" si="59"/>
        <v>ok</v>
      </c>
      <c r="CX56" s="89" t="str">
        <f t="shared" si="59"/>
        <v>ok</v>
      </c>
      <c r="CY56" s="89" t="str">
        <f t="shared" si="59"/>
        <v>ok</v>
      </c>
      <c r="CZ56" s="89" t="str">
        <f t="shared" si="59"/>
        <v>ok</v>
      </c>
      <c r="DA56" s="89" t="str">
        <f t="shared" si="59"/>
        <v>ok</v>
      </c>
      <c r="DB56" s="89" t="str">
        <f t="shared" si="59"/>
        <v>ok</v>
      </c>
      <c r="DC56" s="89" t="str">
        <f t="shared" si="59"/>
        <v>ok</v>
      </c>
      <c r="DD56" s="89" t="str">
        <f t="shared" si="59"/>
        <v>ok</v>
      </c>
      <c r="DE56" s="89" t="str">
        <f t="shared" si="59"/>
        <v>ok</v>
      </c>
      <c r="DF56" s="89" t="str">
        <f t="shared" si="59"/>
        <v>ok</v>
      </c>
      <c r="DG56" s="89" t="str">
        <f t="shared" si="59"/>
        <v>ok</v>
      </c>
      <c r="DH56" s="89" t="str">
        <f t="shared" si="59"/>
        <v>ok</v>
      </c>
      <c r="DI56" s="89" t="str">
        <f t="shared" si="59"/>
        <v>ok</v>
      </c>
      <c r="DJ56" s="89" t="str">
        <f t="shared" si="59"/>
        <v>ok</v>
      </c>
      <c r="DK56" s="89" t="str">
        <f t="shared" si="59"/>
        <v>ok</v>
      </c>
      <c r="DL56" s="89" t="str">
        <f t="shared" si="59"/>
        <v>ok</v>
      </c>
      <c r="DM56" s="89" t="str">
        <f t="shared" si="59"/>
        <v>ok</v>
      </c>
      <c r="DN56" s="89" t="str">
        <f t="shared" si="59"/>
        <v>ok</v>
      </c>
      <c r="DO56" s="89" t="str">
        <f t="shared" si="59"/>
        <v>ok</v>
      </c>
      <c r="DP56" s="89" t="str">
        <f t="shared" si="59"/>
        <v>ok</v>
      </c>
      <c r="DQ56" s="89" t="str">
        <f t="shared" ref="DQ56:EV56" si="60">IF(SUM(DQ8:DQ38)=DQ39,"ok","エラー")</f>
        <v>ok</v>
      </c>
      <c r="DR56" s="89" t="str">
        <f t="shared" si="60"/>
        <v>ok</v>
      </c>
      <c r="DS56" s="89" t="str">
        <f t="shared" si="60"/>
        <v>ok</v>
      </c>
      <c r="DT56" s="89" t="str">
        <f t="shared" si="60"/>
        <v>ok</v>
      </c>
      <c r="DU56" s="89" t="str">
        <f t="shared" si="60"/>
        <v>ok</v>
      </c>
      <c r="DV56" s="89" t="str">
        <f t="shared" si="60"/>
        <v>ok</v>
      </c>
      <c r="DW56" s="89" t="str">
        <f t="shared" si="60"/>
        <v>ok</v>
      </c>
      <c r="DX56" s="89" t="str">
        <f t="shared" si="60"/>
        <v>ok</v>
      </c>
      <c r="DY56" s="89" t="str">
        <f t="shared" si="60"/>
        <v>ok</v>
      </c>
      <c r="DZ56" s="89" t="str">
        <f t="shared" si="60"/>
        <v>ok</v>
      </c>
      <c r="EA56" s="89" t="str">
        <f t="shared" si="60"/>
        <v>ok</v>
      </c>
      <c r="EB56" s="89" t="str">
        <f t="shared" si="60"/>
        <v>ok</v>
      </c>
      <c r="EC56" s="89" t="str">
        <f t="shared" si="60"/>
        <v>ok</v>
      </c>
      <c r="ED56" s="89" t="str">
        <f t="shared" si="60"/>
        <v>ok</v>
      </c>
      <c r="EE56" s="89" t="str">
        <f t="shared" si="60"/>
        <v>ok</v>
      </c>
      <c r="EF56" s="89" t="str">
        <f t="shared" si="60"/>
        <v>ok</v>
      </c>
      <c r="EG56" s="89" t="str">
        <f t="shared" si="60"/>
        <v>ok</v>
      </c>
      <c r="EH56" s="89" t="str">
        <f t="shared" si="60"/>
        <v>ok</v>
      </c>
      <c r="EI56" s="89" t="str">
        <f t="shared" si="60"/>
        <v>ok</v>
      </c>
      <c r="EJ56" s="89" t="str">
        <f t="shared" si="60"/>
        <v>ok</v>
      </c>
      <c r="EK56" s="89" t="str">
        <f t="shared" si="60"/>
        <v>ok</v>
      </c>
      <c r="EL56" s="89" t="str">
        <f t="shared" si="60"/>
        <v>ok</v>
      </c>
      <c r="EM56" s="89" t="str">
        <f t="shared" si="60"/>
        <v>ok</v>
      </c>
      <c r="EN56" s="89" t="str">
        <f t="shared" si="60"/>
        <v>ok</v>
      </c>
      <c r="EO56" s="89" t="str">
        <f t="shared" si="60"/>
        <v>ok</v>
      </c>
      <c r="EP56" s="89" t="str">
        <f t="shared" si="60"/>
        <v>ok</v>
      </c>
      <c r="EQ56" s="89" t="str">
        <f t="shared" si="60"/>
        <v>ok</v>
      </c>
      <c r="ER56" s="89" t="str">
        <f t="shared" si="60"/>
        <v>ok</v>
      </c>
      <c r="ES56" s="89" t="str">
        <f t="shared" si="60"/>
        <v>ok</v>
      </c>
      <c r="ET56" s="89" t="str">
        <f t="shared" si="60"/>
        <v>ok</v>
      </c>
      <c r="EU56" s="89" t="str">
        <f t="shared" si="60"/>
        <v>ok</v>
      </c>
      <c r="EV56" s="89" t="str">
        <f t="shared" si="60"/>
        <v>ok</v>
      </c>
      <c r="EW56" s="89" t="str">
        <f t="shared" ref="EW56:FH56" si="61">IF(SUM(EW8:EW38)=EW39,"ok","エラー")</f>
        <v>ok</v>
      </c>
      <c r="EX56" s="89" t="str">
        <f t="shared" si="61"/>
        <v>ok</v>
      </c>
      <c r="EY56" s="89" t="str">
        <f t="shared" si="61"/>
        <v>ok</v>
      </c>
      <c r="EZ56" s="89" t="str">
        <f t="shared" si="61"/>
        <v>ok</v>
      </c>
      <c r="FA56" s="89" t="str">
        <f t="shared" si="61"/>
        <v>ok</v>
      </c>
      <c r="FB56" s="89" t="str">
        <f t="shared" si="61"/>
        <v>ok</v>
      </c>
      <c r="FC56" s="89" t="str">
        <f t="shared" si="61"/>
        <v>ok</v>
      </c>
      <c r="FD56" s="89" t="str">
        <f t="shared" si="61"/>
        <v>ok</v>
      </c>
      <c r="FE56" s="89" t="str">
        <f t="shared" si="61"/>
        <v>ok</v>
      </c>
      <c r="FF56" s="89" t="str">
        <f t="shared" si="61"/>
        <v>ok</v>
      </c>
      <c r="FG56" s="89" t="str">
        <f t="shared" si="61"/>
        <v>ok</v>
      </c>
      <c r="FH56" s="89" t="str">
        <f t="shared" si="61"/>
        <v>ok</v>
      </c>
      <c r="FJ56" s="89" t="str">
        <f>IF(SUM(FJ8:FJ38)=FJ39,"ok","エラー")</f>
        <v>ok</v>
      </c>
      <c r="FK56" s="89" t="str">
        <f>IF(SUM(FK8:FK38)=FK39,"ok","エラー")</f>
        <v>ok</v>
      </c>
      <c r="FL56" s="89" t="str">
        <f>IF(SUM(FL8:FL38)=FL39,"ok","エラー")</f>
        <v>ok</v>
      </c>
      <c r="FM56" s="89" t="str">
        <f>IF(SUM(FM8:FM38)=FM39,"ok","エラー")</f>
        <v>ok</v>
      </c>
      <c r="FW56" s="89" t="str">
        <f>IF(SUM(FW8:FW38)=FW39,"ok","エラー")</f>
        <v>ok</v>
      </c>
      <c r="FY56" s="89" t="str">
        <f t="shared" ref="FY56:GD56" si="62">IF(SUM(FY8:FY38)=FY39,"ok","エラー")</f>
        <v>ok</v>
      </c>
      <c r="FZ56" s="89" t="str">
        <f t="shared" si="62"/>
        <v>ok</v>
      </c>
      <c r="GA56" s="89" t="str">
        <f t="shared" si="62"/>
        <v>ok</v>
      </c>
      <c r="GB56" s="89" t="str">
        <f t="shared" si="62"/>
        <v>ok</v>
      </c>
      <c r="GC56" s="89" t="str">
        <f t="shared" si="62"/>
        <v>ok</v>
      </c>
      <c r="GD56" s="89" t="str">
        <f t="shared" si="62"/>
        <v>ok</v>
      </c>
      <c r="GI56" s="62" t="str">
        <f>IF(SUM(GI8:GI38)=GI39,"ok","エラー")</f>
        <v>ok</v>
      </c>
    </row>
    <row r="57" spans="2:230" x14ac:dyDescent="0.15">
      <c r="B57" s="89" t="s">
        <v>650</v>
      </c>
      <c r="C57" s="89" t="str">
        <f t="shared" ref="C57:AH57" si="63">IF(SUM(C40:C49)=C50,"ok","エラー")</f>
        <v>ok</v>
      </c>
      <c r="D57" s="89" t="str">
        <f t="shared" si="63"/>
        <v>ok</v>
      </c>
      <c r="E57" s="89" t="str">
        <f t="shared" si="63"/>
        <v>ok</v>
      </c>
      <c r="F57" s="89" t="str">
        <f t="shared" si="63"/>
        <v>ok</v>
      </c>
      <c r="G57" s="89" t="str">
        <f t="shared" si="63"/>
        <v>ok</v>
      </c>
      <c r="H57" s="89" t="str">
        <f t="shared" si="63"/>
        <v>ok</v>
      </c>
      <c r="I57" s="89" t="str">
        <f t="shared" si="63"/>
        <v>ok</v>
      </c>
      <c r="J57" s="89" t="str">
        <f t="shared" si="63"/>
        <v>ok</v>
      </c>
      <c r="K57" s="89" t="str">
        <f t="shared" si="63"/>
        <v>ok</v>
      </c>
      <c r="L57" s="89" t="str">
        <f t="shared" si="63"/>
        <v>ok</v>
      </c>
      <c r="M57" s="89" t="str">
        <f t="shared" si="63"/>
        <v>ok</v>
      </c>
      <c r="N57" s="89" t="str">
        <f t="shared" si="63"/>
        <v>ok</v>
      </c>
      <c r="O57" s="89" t="str">
        <f t="shared" si="63"/>
        <v>ok</v>
      </c>
      <c r="P57" s="89" t="str">
        <f t="shared" si="63"/>
        <v>ok</v>
      </c>
      <c r="Q57" s="89" t="str">
        <f t="shared" si="63"/>
        <v>ok</v>
      </c>
      <c r="R57" s="89" t="str">
        <f t="shared" si="63"/>
        <v>ok</v>
      </c>
      <c r="S57" s="75" t="str">
        <f t="shared" si="63"/>
        <v>ok</v>
      </c>
      <c r="T57" s="89" t="str">
        <f t="shared" si="63"/>
        <v>ok</v>
      </c>
      <c r="U57" s="89" t="str">
        <f t="shared" si="63"/>
        <v>ok</v>
      </c>
      <c r="V57" s="89" t="str">
        <f t="shared" si="63"/>
        <v>ok</v>
      </c>
      <c r="W57" s="89" t="str">
        <f t="shared" si="63"/>
        <v>ok</v>
      </c>
      <c r="X57" s="89" t="str">
        <f t="shared" si="63"/>
        <v>ok</v>
      </c>
      <c r="Y57" s="89" t="str">
        <f t="shared" si="63"/>
        <v>ok</v>
      </c>
      <c r="Z57" s="89" t="str">
        <f t="shared" si="63"/>
        <v>ok</v>
      </c>
      <c r="AA57" s="89" t="str">
        <f t="shared" si="63"/>
        <v>ok</v>
      </c>
      <c r="AB57" s="89" t="str">
        <f t="shared" si="63"/>
        <v>ok</v>
      </c>
      <c r="AC57" s="89" t="str">
        <f t="shared" si="63"/>
        <v>ok</v>
      </c>
      <c r="AD57" s="89" t="str">
        <f t="shared" si="63"/>
        <v>ok</v>
      </c>
      <c r="AE57" s="89" t="str">
        <f t="shared" si="63"/>
        <v>ok</v>
      </c>
      <c r="AF57" s="89" t="str">
        <f t="shared" si="63"/>
        <v>ok</v>
      </c>
      <c r="AG57" s="89" t="str">
        <f t="shared" si="63"/>
        <v>ok</v>
      </c>
      <c r="AH57" s="89" t="str">
        <f t="shared" si="63"/>
        <v>ok</v>
      </c>
      <c r="AI57" s="89" t="str">
        <f t="shared" ref="AI57:BN57" si="64">IF(SUM(AI40:AI49)=AI50,"ok","エラー")</f>
        <v>ok</v>
      </c>
      <c r="AJ57" s="89" t="str">
        <f t="shared" si="64"/>
        <v>ok</v>
      </c>
      <c r="AK57" s="89" t="str">
        <f t="shared" si="64"/>
        <v>ok</v>
      </c>
      <c r="AL57" s="89" t="str">
        <f t="shared" si="64"/>
        <v>ok</v>
      </c>
      <c r="AM57" s="89" t="str">
        <f t="shared" si="64"/>
        <v>ok</v>
      </c>
      <c r="AN57" s="89" t="str">
        <f t="shared" si="64"/>
        <v>ok</v>
      </c>
      <c r="AO57" s="89" t="str">
        <f t="shared" si="64"/>
        <v>ok</v>
      </c>
      <c r="AP57" s="89" t="str">
        <f t="shared" si="64"/>
        <v>ok</v>
      </c>
      <c r="AQ57" s="89" t="str">
        <f t="shared" si="64"/>
        <v>ok</v>
      </c>
      <c r="AR57" s="89" t="str">
        <f t="shared" si="64"/>
        <v>ok</v>
      </c>
      <c r="AS57" s="89" t="str">
        <f t="shared" si="64"/>
        <v>ok</v>
      </c>
      <c r="AT57" s="89" t="str">
        <f t="shared" si="64"/>
        <v>ok</v>
      </c>
      <c r="AU57" s="89" t="str">
        <f t="shared" si="64"/>
        <v>ok</v>
      </c>
      <c r="AV57" s="89" t="str">
        <f t="shared" si="64"/>
        <v>ok</v>
      </c>
      <c r="AW57" s="89" t="str">
        <f t="shared" si="64"/>
        <v>ok</v>
      </c>
      <c r="AX57" s="89" t="str">
        <f t="shared" si="64"/>
        <v>ok</v>
      </c>
      <c r="AY57" s="89" t="str">
        <f t="shared" si="64"/>
        <v>ok</v>
      </c>
      <c r="AZ57" s="89" t="str">
        <f t="shared" si="64"/>
        <v>ok</v>
      </c>
      <c r="BA57" s="89" t="str">
        <f t="shared" si="64"/>
        <v>ok</v>
      </c>
      <c r="BB57" s="89" t="str">
        <f t="shared" si="64"/>
        <v>ok</v>
      </c>
      <c r="BC57" s="89" t="str">
        <f t="shared" si="64"/>
        <v>ok</v>
      </c>
      <c r="BD57" s="89" t="str">
        <f t="shared" si="64"/>
        <v>ok</v>
      </c>
      <c r="BE57" s="89" t="str">
        <f t="shared" si="64"/>
        <v>ok</v>
      </c>
      <c r="BF57" s="89" t="str">
        <f t="shared" si="64"/>
        <v>ok</v>
      </c>
      <c r="BG57" s="89" t="str">
        <f t="shared" si="64"/>
        <v>ok</v>
      </c>
      <c r="BH57" s="89" t="str">
        <f t="shared" si="64"/>
        <v>ok</v>
      </c>
      <c r="BI57" s="89" t="str">
        <f t="shared" si="64"/>
        <v>ok</v>
      </c>
      <c r="BJ57" s="89" t="str">
        <f t="shared" si="64"/>
        <v>ok</v>
      </c>
      <c r="BK57" s="89" t="str">
        <f t="shared" si="64"/>
        <v>ok</v>
      </c>
      <c r="BL57" s="89" t="str">
        <f t="shared" si="64"/>
        <v>ok</v>
      </c>
      <c r="BM57" s="89" t="str">
        <f t="shared" si="64"/>
        <v>ok</v>
      </c>
      <c r="BN57" s="89" t="str">
        <f t="shared" si="64"/>
        <v>ok</v>
      </c>
      <c r="BO57" s="89" t="str">
        <f t="shared" ref="BO57:CI57" si="65">IF(SUM(BO40:BO49)=BO50,"ok","エラー")</f>
        <v>ok</v>
      </c>
      <c r="BP57" s="89" t="str">
        <f t="shared" si="65"/>
        <v>ok</v>
      </c>
      <c r="BQ57" s="89" t="str">
        <f t="shared" si="65"/>
        <v>ok</v>
      </c>
      <c r="BR57" s="89" t="str">
        <f t="shared" si="65"/>
        <v>ok</v>
      </c>
      <c r="BS57" s="89" t="str">
        <f t="shared" si="65"/>
        <v>ok</v>
      </c>
      <c r="BT57" s="89" t="str">
        <f t="shared" si="65"/>
        <v>ok</v>
      </c>
      <c r="BU57" s="89" t="str">
        <f t="shared" si="65"/>
        <v>ok</v>
      </c>
      <c r="BV57" s="89" t="str">
        <f t="shared" si="65"/>
        <v>ok</v>
      </c>
      <c r="BW57" s="89" t="str">
        <f t="shared" si="65"/>
        <v>ok</v>
      </c>
      <c r="BX57" s="89" t="str">
        <f t="shared" si="65"/>
        <v>ok</v>
      </c>
      <c r="BY57" s="89" t="str">
        <f t="shared" si="65"/>
        <v>ok</v>
      </c>
      <c r="BZ57" s="89" t="str">
        <f t="shared" si="65"/>
        <v>ok</v>
      </c>
      <c r="CA57" s="89" t="str">
        <f t="shared" si="65"/>
        <v>ok</v>
      </c>
      <c r="CB57" s="89" t="str">
        <f t="shared" si="65"/>
        <v>ok</v>
      </c>
      <c r="CC57" s="89" t="str">
        <f t="shared" si="65"/>
        <v>ok</v>
      </c>
      <c r="CD57" s="89" t="str">
        <f t="shared" si="65"/>
        <v>ok</v>
      </c>
      <c r="CE57" s="89" t="str">
        <f t="shared" si="65"/>
        <v>ok</v>
      </c>
      <c r="CF57" s="89" t="str">
        <f t="shared" si="65"/>
        <v>ok</v>
      </c>
      <c r="CG57" s="89" t="str">
        <f t="shared" si="65"/>
        <v>ok</v>
      </c>
      <c r="CH57" s="89" t="str">
        <f t="shared" si="65"/>
        <v>ok</v>
      </c>
      <c r="CI57" s="89" t="str">
        <f t="shared" si="65"/>
        <v>ok</v>
      </c>
      <c r="CJ57" s="84"/>
      <c r="CK57" s="89" t="str">
        <f t="shared" ref="CK57:DP57" si="66">IF(SUM(CK40:CK49)=CK50,"ok","エラー")</f>
        <v>ok</v>
      </c>
      <c r="CL57" s="89" t="str">
        <f t="shared" si="66"/>
        <v>ok</v>
      </c>
      <c r="CM57" s="89" t="str">
        <f t="shared" si="66"/>
        <v>ok</v>
      </c>
      <c r="CN57" s="89" t="str">
        <f t="shared" si="66"/>
        <v>ok</v>
      </c>
      <c r="CO57" s="89" t="str">
        <f t="shared" si="66"/>
        <v>ok</v>
      </c>
      <c r="CP57" s="89" t="str">
        <f t="shared" si="66"/>
        <v>ok</v>
      </c>
      <c r="CQ57" s="89" t="str">
        <f t="shared" si="66"/>
        <v>ok</v>
      </c>
      <c r="CR57" s="89" t="str">
        <f t="shared" si="66"/>
        <v>ok</v>
      </c>
      <c r="CS57" s="89" t="str">
        <f t="shared" si="66"/>
        <v>ok</v>
      </c>
      <c r="CT57" s="89" t="str">
        <f t="shared" si="66"/>
        <v>ok</v>
      </c>
      <c r="CU57" s="89" t="str">
        <f t="shared" si="66"/>
        <v>ok</v>
      </c>
      <c r="CV57" s="89" t="str">
        <f t="shared" si="66"/>
        <v>ok</v>
      </c>
      <c r="CW57" s="89" t="str">
        <f t="shared" si="66"/>
        <v>ok</v>
      </c>
      <c r="CX57" s="89" t="str">
        <f t="shared" si="66"/>
        <v>ok</v>
      </c>
      <c r="CY57" s="89" t="str">
        <f t="shared" si="66"/>
        <v>ok</v>
      </c>
      <c r="CZ57" s="89" t="str">
        <f t="shared" si="66"/>
        <v>ok</v>
      </c>
      <c r="DA57" s="89" t="str">
        <f t="shared" si="66"/>
        <v>ok</v>
      </c>
      <c r="DB57" s="89" t="str">
        <f t="shared" si="66"/>
        <v>ok</v>
      </c>
      <c r="DC57" s="89" t="str">
        <f t="shared" si="66"/>
        <v>ok</v>
      </c>
      <c r="DD57" s="89" t="str">
        <f t="shared" si="66"/>
        <v>ok</v>
      </c>
      <c r="DE57" s="89" t="str">
        <f t="shared" si="66"/>
        <v>ok</v>
      </c>
      <c r="DF57" s="89" t="str">
        <f t="shared" si="66"/>
        <v>ok</v>
      </c>
      <c r="DG57" s="89" t="str">
        <f t="shared" si="66"/>
        <v>ok</v>
      </c>
      <c r="DH57" s="89" t="str">
        <f t="shared" si="66"/>
        <v>ok</v>
      </c>
      <c r="DI57" s="89" t="str">
        <f t="shared" si="66"/>
        <v>ok</v>
      </c>
      <c r="DJ57" s="89" t="str">
        <f t="shared" si="66"/>
        <v>ok</v>
      </c>
      <c r="DK57" s="89" t="str">
        <f t="shared" si="66"/>
        <v>ok</v>
      </c>
      <c r="DL57" s="89" t="str">
        <f t="shared" si="66"/>
        <v>ok</v>
      </c>
      <c r="DM57" s="89" t="str">
        <f t="shared" si="66"/>
        <v>ok</v>
      </c>
      <c r="DN57" s="89" t="str">
        <f t="shared" si="66"/>
        <v>ok</v>
      </c>
      <c r="DO57" s="89" t="str">
        <f t="shared" si="66"/>
        <v>ok</v>
      </c>
      <c r="DP57" s="89" t="str">
        <f t="shared" si="66"/>
        <v>ok</v>
      </c>
      <c r="DQ57" s="89" t="str">
        <f t="shared" ref="DQ57:EV57" si="67">IF(SUM(DQ40:DQ49)=DQ50,"ok","エラー")</f>
        <v>ok</v>
      </c>
      <c r="DR57" s="89" t="str">
        <f t="shared" si="67"/>
        <v>ok</v>
      </c>
      <c r="DS57" s="89" t="str">
        <f t="shared" si="67"/>
        <v>ok</v>
      </c>
      <c r="DT57" s="89" t="str">
        <f t="shared" si="67"/>
        <v>ok</v>
      </c>
      <c r="DU57" s="89" t="str">
        <f t="shared" si="67"/>
        <v>ok</v>
      </c>
      <c r="DV57" s="89" t="str">
        <f t="shared" si="67"/>
        <v>ok</v>
      </c>
      <c r="DW57" s="89" t="str">
        <f t="shared" si="67"/>
        <v>ok</v>
      </c>
      <c r="DX57" s="89" t="str">
        <f t="shared" si="67"/>
        <v>ok</v>
      </c>
      <c r="DY57" s="89" t="str">
        <f t="shared" si="67"/>
        <v>ok</v>
      </c>
      <c r="DZ57" s="89" t="str">
        <f t="shared" si="67"/>
        <v>ok</v>
      </c>
      <c r="EA57" s="89" t="str">
        <f t="shared" si="67"/>
        <v>ok</v>
      </c>
      <c r="EB57" s="89" t="str">
        <f t="shared" si="67"/>
        <v>ok</v>
      </c>
      <c r="EC57" s="89" t="str">
        <f t="shared" si="67"/>
        <v>ok</v>
      </c>
      <c r="ED57" s="89" t="str">
        <f t="shared" si="67"/>
        <v>ok</v>
      </c>
      <c r="EE57" s="89" t="str">
        <f t="shared" si="67"/>
        <v>ok</v>
      </c>
      <c r="EF57" s="89" t="str">
        <f t="shared" si="67"/>
        <v>ok</v>
      </c>
      <c r="EG57" s="89" t="str">
        <f t="shared" si="67"/>
        <v>ok</v>
      </c>
      <c r="EH57" s="89" t="str">
        <f t="shared" si="67"/>
        <v>ok</v>
      </c>
      <c r="EI57" s="89" t="str">
        <f t="shared" si="67"/>
        <v>ok</v>
      </c>
      <c r="EJ57" s="89" t="str">
        <f t="shared" si="67"/>
        <v>ok</v>
      </c>
      <c r="EK57" s="89" t="str">
        <f t="shared" si="67"/>
        <v>ok</v>
      </c>
      <c r="EL57" s="89" t="str">
        <f t="shared" si="67"/>
        <v>ok</v>
      </c>
      <c r="EM57" s="89" t="str">
        <f t="shared" si="67"/>
        <v>ok</v>
      </c>
      <c r="EN57" s="89" t="str">
        <f t="shared" si="67"/>
        <v>ok</v>
      </c>
      <c r="EO57" s="89" t="str">
        <f t="shared" si="67"/>
        <v>ok</v>
      </c>
      <c r="EP57" s="89" t="str">
        <f t="shared" si="67"/>
        <v>ok</v>
      </c>
      <c r="EQ57" s="89" t="str">
        <f t="shared" si="67"/>
        <v>ok</v>
      </c>
      <c r="ER57" s="89" t="str">
        <f t="shared" si="67"/>
        <v>ok</v>
      </c>
      <c r="ES57" s="89" t="str">
        <f t="shared" si="67"/>
        <v>ok</v>
      </c>
      <c r="ET57" s="89" t="str">
        <f t="shared" si="67"/>
        <v>ok</v>
      </c>
      <c r="EU57" s="89" t="str">
        <f t="shared" si="67"/>
        <v>ok</v>
      </c>
      <c r="EV57" s="89" t="str">
        <f t="shared" si="67"/>
        <v>ok</v>
      </c>
      <c r="EW57" s="89" t="str">
        <f t="shared" ref="EW57:FH57" si="68">IF(SUM(EW40:EW49)=EW50,"ok","エラー")</f>
        <v>ok</v>
      </c>
      <c r="EX57" s="89" t="str">
        <f t="shared" si="68"/>
        <v>ok</v>
      </c>
      <c r="EY57" s="89" t="str">
        <f t="shared" si="68"/>
        <v>ok</v>
      </c>
      <c r="EZ57" s="89" t="str">
        <f t="shared" si="68"/>
        <v>ok</v>
      </c>
      <c r="FA57" s="89" t="str">
        <f t="shared" si="68"/>
        <v>ok</v>
      </c>
      <c r="FB57" s="89" t="str">
        <f t="shared" si="68"/>
        <v>ok</v>
      </c>
      <c r="FC57" s="89" t="str">
        <f t="shared" si="68"/>
        <v>ok</v>
      </c>
      <c r="FD57" s="89" t="str">
        <f t="shared" si="68"/>
        <v>ok</v>
      </c>
      <c r="FE57" s="89" t="str">
        <f t="shared" si="68"/>
        <v>ok</v>
      </c>
      <c r="FF57" s="89" t="str">
        <f t="shared" si="68"/>
        <v>ok</v>
      </c>
      <c r="FG57" s="89" t="str">
        <f t="shared" si="68"/>
        <v>ok</v>
      </c>
      <c r="FH57" s="89" t="str">
        <f t="shared" si="68"/>
        <v>ok</v>
      </c>
      <c r="FJ57" s="89" t="str">
        <f>IF(SUM(FJ40:FJ49)=FJ50,"ok","エラー")</f>
        <v>ok</v>
      </c>
      <c r="FK57" s="89" t="str">
        <f>IF(SUM(FK40:FK49)=FK50,"ok","エラー")</f>
        <v>ok</v>
      </c>
      <c r="FL57" s="89" t="str">
        <f>IF(SUM(FL40:FL49)=FL50,"ok","エラー")</f>
        <v>ok</v>
      </c>
      <c r="FM57" s="89" t="str">
        <f>IF(SUM(FM40:FM49)=FM50,"ok","エラー")</f>
        <v>ok</v>
      </c>
      <c r="FW57" s="89" t="str">
        <f>IF(SUM(FW40:FW49)=FW50,"ok","エラー")</f>
        <v>ok</v>
      </c>
      <c r="FY57" s="89" t="str">
        <f t="shared" ref="FY57:GD57" si="69">IF(SUM(FY40:FY49)=FY50,"ok","エラー")</f>
        <v>ok</v>
      </c>
      <c r="FZ57" s="89" t="str">
        <f t="shared" si="69"/>
        <v>ok</v>
      </c>
      <c r="GA57" s="89" t="str">
        <f t="shared" si="69"/>
        <v>ok</v>
      </c>
      <c r="GB57" s="89" t="str">
        <f t="shared" si="69"/>
        <v>ok</v>
      </c>
      <c r="GC57" s="89" t="str">
        <f t="shared" si="69"/>
        <v>ok</v>
      </c>
      <c r="GD57" s="89" t="str">
        <f t="shared" si="69"/>
        <v>ok</v>
      </c>
      <c r="GI57" s="62" t="str">
        <f>IF(SUM(GI40:GI49)=GI50,"ok","エラー")</f>
        <v>ok</v>
      </c>
    </row>
    <row r="58" spans="2:230" x14ac:dyDescent="0.15">
      <c r="B58" s="89" t="s">
        <v>650</v>
      </c>
      <c r="C58" s="89" t="str">
        <f t="shared" ref="C58:AH58" si="70">IF(C39+C50=C51,"ok","エラー")</f>
        <v>ok</v>
      </c>
      <c r="D58" s="89" t="str">
        <f t="shared" si="70"/>
        <v>ok</v>
      </c>
      <c r="E58" s="89" t="str">
        <f t="shared" si="70"/>
        <v>ok</v>
      </c>
      <c r="F58" s="89" t="str">
        <f t="shared" si="70"/>
        <v>ok</v>
      </c>
      <c r="G58" s="89" t="str">
        <f t="shared" si="70"/>
        <v>ok</v>
      </c>
      <c r="H58" s="89" t="str">
        <f t="shared" si="70"/>
        <v>ok</v>
      </c>
      <c r="I58" s="89" t="str">
        <f t="shared" si="70"/>
        <v>ok</v>
      </c>
      <c r="J58" s="89" t="str">
        <f t="shared" si="70"/>
        <v>ok</v>
      </c>
      <c r="K58" s="89" t="str">
        <f t="shared" si="70"/>
        <v>ok</v>
      </c>
      <c r="L58" s="89" t="str">
        <f t="shared" si="70"/>
        <v>ok</v>
      </c>
      <c r="M58" s="89" t="str">
        <f t="shared" si="70"/>
        <v>ok</v>
      </c>
      <c r="N58" s="89" t="str">
        <f t="shared" si="70"/>
        <v>ok</v>
      </c>
      <c r="O58" s="89" t="str">
        <f t="shared" si="70"/>
        <v>ok</v>
      </c>
      <c r="P58" s="89" t="str">
        <f t="shared" si="70"/>
        <v>ok</v>
      </c>
      <c r="Q58" s="89" t="str">
        <f t="shared" si="70"/>
        <v>ok</v>
      </c>
      <c r="R58" s="89" t="str">
        <f t="shared" si="70"/>
        <v>ok</v>
      </c>
      <c r="S58" s="75" t="str">
        <f t="shared" si="70"/>
        <v>ok</v>
      </c>
      <c r="T58" s="89" t="str">
        <f t="shared" si="70"/>
        <v>ok</v>
      </c>
      <c r="U58" s="89" t="str">
        <f t="shared" si="70"/>
        <v>ok</v>
      </c>
      <c r="V58" s="89" t="str">
        <f t="shared" si="70"/>
        <v>ok</v>
      </c>
      <c r="W58" s="89" t="str">
        <f t="shared" si="70"/>
        <v>ok</v>
      </c>
      <c r="X58" s="89" t="str">
        <f t="shared" si="70"/>
        <v>ok</v>
      </c>
      <c r="Y58" s="89" t="str">
        <f t="shared" si="70"/>
        <v>ok</v>
      </c>
      <c r="Z58" s="89" t="str">
        <f t="shared" si="70"/>
        <v>ok</v>
      </c>
      <c r="AA58" s="89" t="str">
        <f t="shared" si="70"/>
        <v>ok</v>
      </c>
      <c r="AB58" s="89" t="str">
        <f t="shared" si="70"/>
        <v>ok</v>
      </c>
      <c r="AC58" s="89" t="str">
        <f t="shared" si="70"/>
        <v>ok</v>
      </c>
      <c r="AD58" s="89" t="str">
        <f t="shared" si="70"/>
        <v>ok</v>
      </c>
      <c r="AE58" s="89" t="str">
        <f t="shared" si="70"/>
        <v>ok</v>
      </c>
      <c r="AF58" s="89" t="str">
        <f t="shared" si="70"/>
        <v>ok</v>
      </c>
      <c r="AG58" s="89" t="str">
        <f t="shared" si="70"/>
        <v>ok</v>
      </c>
      <c r="AH58" s="89" t="str">
        <f t="shared" si="70"/>
        <v>ok</v>
      </c>
      <c r="AI58" s="89" t="str">
        <f t="shared" ref="AI58:BN58" si="71">IF(AI39+AI50=AI51,"ok","エラー")</f>
        <v>ok</v>
      </c>
      <c r="AJ58" s="89" t="str">
        <f t="shared" si="71"/>
        <v>ok</v>
      </c>
      <c r="AK58" s="89" t="str">
        <f t="shared" si="71"/>
        <v>ok</v>
      </c>
      <c r="AL58" s="89" t="str">
        <f t="shared" si="71"/>
        <v>ok</v>
      </c>
      <c r="AM58" s="89" t="str">
        <f t="shared" si="71"/>
        <v>ok</v>
      </c>
      <c r="AN58" s="89" t="str">
        <f t="shared" si="71"/>
        <v>ok</v>
      </c>
      <c r="AO58" s="89" t="str">
        <f t="shared" si="71"/>
        <v>ok</v>
      </c>
      <c r="AP58" s="89" t="str">
        <f t="shared" si="71"/>
        <v>ok</v>
      </c>
      <c r="AQ58" s="89" t="str">
        <f t="shared" si="71"/>
        <v>ok</v>
      </c>
      <c r="AR58" s="89" t="str">
        <f t="shared" si="71"/>
        <v>ok</v>
      </c>
      <c r="AS58" s="89" t="str">
        <f t="shared" si="71"/>
        <v>ok</v>
      </c>
      <c r="AT58" s="89" t="str">
        <f t="shared" si="71"/>
        <v>ok</v>
      </c>
      <c r="AU58" s="89" t="str">
        <f t="shared" si="71"/>
        <v>ok</v>
      </c>
      <c r="AV58" s="89" t="str">
        <f t="shared" si="71"/>
        <v>ok</v>
      </c>
      <c r="AW58" s="89" t="str">
        <f t="shared" si="71"/>
        <v>ok</v>
      </c>
      <c r="AX58" s="89" t="str">
        <f t="shared" si="71"/>
        <v>ok</v>
      </c>
      <c r="AY58" s="89" t="str">
        <f t="shared" si="71"/>
        <v>ok</v>
      </c>
      <c r="AZ58" s="89" t="str">
        <f t="shared" si="71"/>
        <v>ok</v>
      </c>
      <c r="BA58" s="89" t="str">
        <f t="shared" si="71"/>
        <v>ok</v>
      </c>
      <c r="BB58" s="89" t="str">
        <f t="shared" si="71"/>
        <v>ok</v>
      </c>
      <c r="BC58" s="89" t="str">
        <f t="shared" si="71"/>
        <v>ok</v>
      </c>
      <c r="BD58" s="89" t="str">
        <f t="shared" si="71"/>
        <v>ok</v>
      </c>
      <c r="BE58" s="89" t="str">
        <f t="shared" si="71"/>
        <v>ok</v>
      </c>
      <c r="BF58" s="89" t="str">
        <f t="shared" si="71"/>
        <v>ok</v>
      </c>
      <c r="BG58" s="89" t="str">
        <f t="shared" si="71"/>
        <v>ok</v>
      </c>
      <c r="BH58" s="89" t="str">
        <f t="shared" si="71"/>
        <v>ok</v>
      </c>
      <c r="BI58" s="89" t="str">
        <f t="shared" si="71"/>
        <v>ok</v>
      </c>
      <c r="BJ58" s="89" t="str">
        <f t="shared" si="71"/>
        <v>ok</v>
      </c>
      <c r="BK58" s="89" t="str">
        <f t="shared" si="71"/>
        <v>ok</v>
      </c>
      <c r="BL58" s="89" t="str">
        <f t="shared" si="71"/>
        <v>ok</v>
      </c>
      <c r="BM58" s="89" t="str">
        <f t="shared" si="71"/>
        <v>ok</v>
      </c>
      <c r="BN58" s="89" t="str">
        <f t="shared" si="71"/>
        <v>ok</v>
      </c>
      <c r="BO58" s="89" t="str">
        <f t="shared" ref="BO58:CI58" si="72">IF(BO39+BO50=BO51,"ok","エラー")</f>
        <v>ok</v>
      </c>
      <c r="BP58" s="89" t="str">
        <f t="shared" si="72"/>
        <v>ok</v>
      </c>
      <c r="BQ58" s="89" t="str">
        <f t="shared" si="72"/>
        <v>ok</v>
      </c>
      <c r="BR58" s="89" t="str">
        <f t="shared" si="72"/>
        <v>ok</v>
      </c>
      <c r="BS58" s="89" t="str">
        <f t="shared" si="72"/>
        <v>ok</v>
      </c>
      <c r="BT58" s="89" t="str">
        <f t="shared" si="72"/>
        <v>ok</v>
      </c>
      <c r="BU58" s="89" t="str">
        <f t="shared" si="72"/>
        <v>ok</v>
      </c>
      <c r="BV58" s="89" t="str">
        <f t="shared" si="72"/>
        <v>ok</v>
      </c>
      <c r="BW58" s="89" t="str">
        <f t="shared" si="72"/>
        <v>ok</v>
      </c>
      <c r="BX58" s="89" t="str">
        <f t="shared" si="72"/>
        <v>ok</v>
      </c>
      <c r="BY58" s="89" t="str">
        <f t="shared" si="72"/>
        <v>ok</v>
      </c>
      <c r="BZ58" s="89" t="str">
        <f t="shared" si="72"/>
        <v>ok</v>
      </c>
      <c r="CA58" s="89" t="str">
        <f t="shared" si="72"/>
        <v>ok</v>
      </c>
      <c r="CB58" s="89" t="str">
        <f t="shared" si="72"/>
        <v>ok</v>
      </c>
      <c r="CC58" s="89" t="str">
        <f t="shared" si="72"/>
        <v>ok</v>
      </c>
      <c r="CD58" s="89" t="str">
        <f t="shared" si="72"/>
        <v>ok</v>
      </c>
      <c r="CE58" s="89" t="str">
        <f t="shared" si="72"/>
        <v>ok</v>
      </c>
      <c r="CF58" s="89" t="str">
        <f t="shared" si="72"/>
        <v>ok</v>
      </c>
      <c r="CG58" s="89" t="str">
        <f t="shared" si="72"/>
        <v>ok</v>
      </c>
      <c r="CH58" s="89" t="str">
        <f t="shared" si="72"/>
        <v>ok</v>
      </c>
      <c r="CI58" s="89" t="str">
        <f t="shared" si="72"/>
        <v>ok</v>
      </c>
      <c r="CJ58" s="84"/>
      <c r="CK58" s="89" t="str">
        <f t="shared" ref="CK58:DP58" si="73">IF(CK39+CK50=CK51,"ok","エラー")</f>
        <v>ok</v>
      </c>
      <c r="CL58" s="89" t="str">
        <f t="shared" si="73"/>
        <v>ok</v>
      </c>
      <c r="CM58" s="89" t="str">
        <f t="shared" si="73"/>
        <v>ok</v>
      </c>
      <c r="CN58" s="89" t="str">
        <f t="shared" si="73"/>
        <v>ok</v>
      </c>
      <c r="CO58" s="89" t="str">
        <f t="shared" si="73"/>
        <v>ok</v>
      </c>
      <c r="CP58" s="89" t="str">
        <f t="shared" si="73"/>
        <v>ok</v>
      </c>
      <c r="CQ58" s="89" t="str">
        <f t="shared" si="73"/>
        <v>ok</v>
      </c>
      <c r="CR58" s="89" t="str">
        <f t="shared" si="73"/>
        <v>ok</v>
      </c>
      <c r="CS58" s="89" t="str">
        <f t="shared" si="73"/>
        <v>ok</v>
      </c>
      <c r="CT58" s="89" t="str">
        <f t="shared" si="73"/>
        <v>ok</v>
      </c>
      <c r="CU58" s="89" t="str">
        <f t="shared" si="73"/>
        <v>ok</v>
      </c>
      <c r="CV58" s="89" t="str">
        <f t="shared" si="73"/>
        <v>ok</v>
      </c>
      <c r="CW58" s="89" t="str">
        <f t="shared" si="73"/>
        <v>ok</v>
      </c>
      <c r="CX58" s="89" t="str">
        <f t="shared" si="73"/>
        <v>ok</v>
      </c>
      <c r="CY58" s="89" t="str">
        <f t="shared" si="73"/>
        <v>ok</v>
      </c>
      <c r="CZ58" s="89" t="str">
        <f t="shared" si="73"/>
        <v>ok</v>
      </c>
      <c r="DA58" s="89" t="str">
        <f t="shared" si="73"/>
        <v>ok</v>
      </c>
      <c r="DB58" s="89" t="str">
        <f t="shared" si="73"/>
        <v>ok</v>
      </c>
      <c r="DC58" s="89" t="str">
        <f t="shared" si="73"/>
        <v>ok</v>
      </c>
      <c r="DD58" s="89" t="str">
        <f t="shared" si="73"/>
        <v>ok</v>
      </c>
      <c r="DE58" s="89" t="str">
        <f t="shared" si="73"/>
        <v>ok</v>
      </c>
      <c r="DF58" s="89" t="str">
        <f t="shared" si="73"/>
        <v>ok</v>
      </c>
      <c r="DG58" s="89" t="str">
        <f t="shared" si="73"/>
        <v>ok</v>
      </c>
      <c r="DH58" s="89" t="str">
        <f t="shared" si="73"/>
        <v>ok</v>
      </c>
      <c r="DI58" s="89" t="str">
        <f t="shared" si="73"/>
        <v>ok</v>
      </c>
      <c r="DJ58" s="89" t="str">
        <f t="shared" si="73"/>
        <v>ok</v>
      </c>
      <c r="DK58" s="89" t="str">
        <f t="shared" si="73"/>
        <v>ok</v>
      </c>
      <c r="DL58" s="89" t="str">
        <f t="shared" si="73"/>
        <v>ok</v>
      </c>
      <c r="DM58" s="89" t="str">
        <f t="shared" si="73"/>
        <v>ok</v>
      </c>
      <c r="DN58" s="89" t="str">
        <f t="shared" si="73"/>
        <v>ok</v>
      </c>
      <c r="DO58" s="89" t="str">
        <f t="shared" si="73"/>
        <v>ok</v>
      </c>
      <c r="DP58" s="89" t="str">
        <f t="shared" si="73"/>
        <v>ok</v>
      </c>
      <c r="DQ58" s="89" t="str">
        <f t="shared" ref="DQ58:EV58" si="74">IF(DQ39+DQ50=DQ51,"ok","エラー")</f>
        <v>ok</v>
      </c>
      <c r="DR58" s="89" t="str">
        <f t="shared" si="74"/>
        <v>ok</v>
      </c>
      <c r="DS58" s="89" t="str">
        <f t="shared" si="74"/>
        <v>ok</v>
      </c>
      <c r="DT58" s="89" t="str">
        <f t="shared" si="74"/>
        <v>ok</v>
      </c>
      <c r="DU58" s="89" t="str">
        <f t="shared" si="74"/>
        <v>ok</v>
      </c>
      <c r="DV58" s="89" t="str">
        <f t="shared" si="74"/>
        <v>ok</v>
      </c>
      <c r="DW58" s="89" t="str">
        <f t="shared" si="74"/>
        <v>ok</v>
      </c>
      <c r="DX58" s="89" t="str">
        <f t="shared" si="74"/>
        <v>ok</v>
      </c>
      <c r="DY58" s="89" t="str">
        <f t="shared" si="74"/>
        <v>ok</v>
      </c>
      <c r="DZ58" s="89" t="str">
        <f t="shared" si="74"/>
        <v>ok</v>
      </c>
      <c r="EA58" s="89" t="str">
        <f t="shared" si="74"/>
        <v>ok</v>
      </c>
      <c r="EB58" s="89" t="str">
        <f t="shared" si="74"/>
        <v>ok</v>
      </c>
      <c r="EC58" s="89" t="str">
        <f t="shared" si="74"/>
        <v>ok</v>
      </c>
      <c r="ED58" s="89" t="str">
        <f t="shared" si="74"/>
        <v>ok</v>
      </c>
      <c r="EE58" s="89" t="str">
        <f t="shared" si="74"/>
        <v>ok</v>
      </c>
      <c r="EF58" s="89" t="str">
        <f t="shared" si="74"/>
        <v>ok</v>
      </c>
      <c r="EG58" s="89" t="str">
        <f t="shared" si="74"/>
        <v>ok</v>
      </c>
      <c r="EH58" s="89" t="str">
        <f t="shared" si="74"/>
        <v>ok</v>
      </c>
      <c r="EI58" s="89" t="str">
        <f t="shared" si="74"/>
        <v>ok</v>
      </c>
      <c r="EJ58" s="89" t="str">
        <f t="shared" si="74"/>
        <v>ok</v>
      </c>
      <c r="EK58" s="89" t="str">
        <f t="shared" si="74"/>
        <v>ok</v>
      </c>
      <c r="EL58" s="89" t="str">
        <f t="shared" si="74"/>
        <v>ok</v>
      </c>
      <c r="EM58" s="89" t="str">
        <f t="shared" si="74"/>
        <v>ok</v>
      </c>
      <c r="EN58" s="89" t="str">
        <f t="shared" si="74"/>
        <v>ok</v>
      </c>
      <c r="EO58" s="89" t="str">
        <f t="shared" si="74"/>
        <v>ok</v>
      </c>
      <c r="EP58" s="89" t="str">
        <f t="shared" si="74"/>
        <v>ok</v>
      </c>
      <c r="EQ58" s="89" t="str">
        <f t="shared" si="74"/>
        <v>ok</v>
      </c>
      <c r="ER58" s="89" t="str">
        <f t="shared" si="74"/>
        <v>ok</v>
      </c>
      <c r="ES58" s="89" t="str">
        <f t="shared" si="74"/>
        <v>ok</v>
      </c>
      <c r="ET58" s="89" t="str">
        <f t="shared" si="74"/>
        <v>ok</v>
      </c>
      <c r="EU58" s="89" t="str">
        <f t="shared" si="74"/>
        <v>ok</v>
      </c>
      <c r="EV58" s="89" t="str">
        <f t="shared" si="74"/>
        <v>ok</v>
      </c>
      <c r="EW58" s="89" t="str">
        <f t="shared" ref="EW58:FH58" si="75">IF(EW39+EW50=EW51,"ok","エラー")</f>
        <v>ok</v>
      </c>
      <c r="EX58" s="89" t="str">
        <f t="shared" si="75"/>
        <v>ok</v>
      </c>
      <c r="EY58" s="89" t="str">
        <f t="shared" si="75"/>
        <v>ok</v>
      </c>
      <c r="EZ58" s="89" t="str">
        <f t="shared" si="75"/>
        <v>ok</v>
      </c>
      <c r="FA58" s="89" t="str">
        <f t="shared" si="75"/>
        <v>ok</v>
      </c>
      <c r="FB58" s="89" t="str">
        <f t="shared" si="75"/>
        <v>ok</v>
      </c>
      <c r="FC58" s="89" t="str">
        <f t="shared" si="75"/>
        <v>ok</v>
      </c>
      <c r="FD58" s="89" t="str">
        <f t="shared" si="75"/>
        <v>ok</v>
      </c>
      <c r="FE58" s="89" t="str">
        <f t="shared" si="75"/>
        <v>ok</v>
      </c>
      <c r="FF58" s="89" t="str">
        <f t="shared" si="75"/>
        <v>ok</v>
      </c>
      <c r="FG58" s="89" t="str">
        <f t="shared" si="75"/>
        <v>ok</v>
      </c>
      <c r="FH58" s="89" t="str">
        <f t="shared" si="75"/>
        <v>ok</v>
      </c>
      <c r="FJ58" s="89" t="str">
        <f>IF(FJ39+FJ50=FJ51,"ok","エラー")</f>
        <v>ok</v>
      </c>
      <c r="FK58" s="89" t="str">
        <f>IF(FK39+FK50=FK51,"ok","エラー")</f>
        <v>ok</v>
      </c>
      <c r="FL58" s="89" t="str">
        <f>IF(FL39+FL50=FL51,"ok","エラー")</f>
        <v>ok</v>
      </c>
      <c r="FM58" s="89" t="str">
        <f>IF(FM39+FM50=FM51,"ok","エラー")</f>
        <v>ok</v>
      </c>
      <c r="FW58" s="89" t="str">
        <f>IF(FW39+FW50=FW51,"ok","エラー")</f>
        <v>ok</v>
      </c>
      <c r="FY58" s="89" t="str">
        <f t="shared" ref="FY58:GD58" si="76">IF(FY39+FY50=FY51,"ok","エラー")</f>
        <v>ok</v>
      </c>
      <c r="FZ58" s="89" t="str">
        <f t="shared" si="76"/>
        <v>ok</v>
      </c>
      <c r="GA58" s="89" t="str">
        <f t="shared" si="76"/>
        <v>ok</v>
      </c>
      <c r="GB58" s="89" t="str">
        <f t="shared" si="76"/>
        <v>ok</v>
      </c>
      <c r="GC58" s="89" t="str">
        <f t="shared" si="76"/>
        <v>ok</v>
      </c>
      <c r="GD58" s="89" t="str">
        <f t="shared" si="76"/>
        <v>ok</v>
      </c>
      <c r="GI58" s="62" t="str">
        <f>IF(GI39+GI50=GI51,"ok","エラー")</f>
        <v>ok</v>
      </c>
    </row>
    <row r="59" spans="2:230" x14ac:dyDescent="0.15">
      <c r="B59" s="122" t="s">
        <v>650</v>
      </c>
      <c r="C59" s="89" t="str">
        <f t="shared" ref="C59:AH59" si="77">IF(C6+C7+C51=C52,"ok","エラー")</f>
        <v>ok</v>
      </c>
      <c r="D59" s="89" t="str">
        <f t="shared" si="77"/>
        <v>ok</v>
      </c>
      <c r="E59" s="89" t="str">
        <f t="shared" si="77"/>
        <v>ok</v>
      </c>
      <c r="F59" s="89" t="str">
        <f t="shared" si="77"/>
        <v>ok</v>
      </c>
      <c r="G59" s="89" t="str">
        <f t="shared" si="77"/>
        <v>ok</v>
      </c>
      <c r="H59" s="89" t="str">
        <f t="shared" si="77"/>
        <v>ok</v>
      </c>
      <c r="I59" s="89" t="str">
        <f t="shared" si="77"/>
        <v>ok</v>
      </c>
      <c r="J59" s="89" t="str">
        <f t="shared" si="77"/>
        <v>ok</v>
      </c>
      <c r="K59" s="89" t="str">
        <f t="shared" si="77"/>
        <v>ok</v>
      </c>
      <c r="L59" s="89" t="str">
        <f t="shared" si="77"/>
        <v>ok</v>
      </c>
      <c r="M59" s="89" t="str">
        <f t="shared" si="77"/>
        <v>ok</v>
      </c>
      <c r="N59" s="89" t="str">
        <f t="shared" si="77"/>
        <v>ok</v>
      </c>
      <c r="O59" s="89" t="str">
        <f t="shared" si="77"/>
        <v>ok</v>
      </c>
      <c r="P59" s="89" t="str">
        <f t="shared" si="77"/>
        <v>ok</v>
      </c>
      <c r="Q59" s="89" t="str">
        <f t="shared" si="77"/>
        <v>ok</v>
      </c>
      <c r="R59" s="89" t="str">
        <f t="shared" si="77"/>
        <v>ok</v>
      </c>
      <c r="S59" s="75" t="str">
        <f t="shared" si="77"/>
        <v>ok</v>
      </c>
      <c r="T59" s="89" t="str">
        <f t="shared" si="77"/>
        <v>ok</v>
      </c>
      <c r="U59" s="89" t="str">
        <f t="shared" si="77"/>
        <v>ok</v>
      </c>
      <c r="V59" s="89" t="str">
        <f t="shared" si="77"/>
        <v>ok</v>
      </c>
      <c r="W59" s="89" t="str">
        <f t="shared" si="77"/>
        <v>ok</v>
      </c>
      <c r="X59" s="89" t="str">
        <f t="shared" si="77"/>
        <v>ok</v>
      </c>
      <c r="Y59" s="89" t="str">
        <f t="shared" si="77"/>
        <v>ok</v>
      </c>
      <c r="Z59" s="89" t="str">
        <f t="shared" si="77"/>
        <v>ok</v>
      </c>
      <c r="AA59" s="89" t="str">
        <f t="shared" si="77"/>
        <v>ok</v>
      </c>
      <c r="AB59" s="89" t="str">
        <f t="shared" si="77"/>
        <v>ok</v>
      </c>
      <c r="AC59" s="89" t="str">
        <f t="shared" si="77"/>
        <v>ok</v>
      </c>
      <c r="AD59" s="89" t="str">
        <f t="shared" si="77"/>
        <v>ok</v>
      </c>
      <c r="AE59" s="89" t="str">
        <f t="shared" si="77"/>
        <v>ok</v>
      </c>
      <c r="AF59" s="89" t="str">
        <f t="shared" si="77"/>
        <v>ok</v>
      </c>
      <c r="AG59" s="89" t="str">
        <f t="shared" si="77"/>
        <v>ok</v>
      </c>
      <c r="AH59" s="89" t="str">
        <f t="shared" si="77"/>
        <v>ok</v>
      </c>
      <c r="AI59" s="89" t="str">
        <f t="shared" ref="AI59:BN59" si="78">IF(AI6+AI7+AI51=AI52,"ok","エラー")</f>
        <v>ok</v>
      </c>
      <c r="AJ59" s="89" t="str">
        <f t="shared" si="78"/>
        <v>ok</v>
      </c>
      <c r="AK59" s="89" t="str">
        <f t="shared" si="78"/>
        <v>ok</v>
      </c>
      <c r="AL59" s="89" t="str">
        <f t="shared" si="78"/>
        <v>ok</v>
      </c>
      <c r="AM59" s="89" t="str">
        <f t="shared" si="78"/>
        <v>ok</v>
      </c>
      <c r="AN59" s="89" t="str">
        <f t="shared" si="78"/>
        <v>ok</v>
      </c>
      <c r="AO59" s="89" t="str">
        <f t="shared" si="78"/>
        <v>ok</v>
      </c>
      <c r="AP59" s="89" t="str">
        <f t="shared" si="78"/>
        <v>ok</v>
      </c>
      <c r="AQ59" s="89" t="str">
        <f t="shared" si="78"/>
        <v>ok</v>
      </c>
      <c r="AR59" s="89" t="str">
        <f t="shared" si="78"/>
        <v>ok</v>
      </c>
      <c r="AS59" s="89" t="str">
        <f t="shared" si="78"/>
        <v>ok</v>
      </c>
      <c r="AT59" s="89" t="str">
        <f t="shared" si="78"/>
        <v>ok</v>
      </c>
      <c r="AU59" s="89" t="str">
        <f t="shared" si="78"/>
        <v>ok</v>
      </c>
      <c r="AV59" s="89" t="str">
        <f t="shared" si="78"/>
        <v>ok</v>
      </c>
      <c r="AW59" s="89" t="str">
        <f t="shared" si="78"/>
        <v>ok</v>
      </c>
      <c r="AX59" s="89" t="str">
        <f t="shared" si="78"/>
        <v>ok</v>
      </c>
      <c r="AY59" s="89" t="str">
        <f t="shared" si="78"/>
        <v>ok</v>
      </c>
      <c r="AZ59" s="89" t="str">
        <f t="shared" si="78"/>
        <v>ok</v>
      </c>
      <c r="BA59" s="89" t="str">
        <f t="shared" si="78"/>
        <v>ok</v>
      </c>
      <c r="BB59" s="89" t="str">
        <f t="shared" si="78"/>
        <v>ok</v>
      </c>
      <c r="BC59" s="89" t="str">
        <f t="shared" si="78"/>
        <v>ok</v>
      </c>
      <c r="BD59" s="89" t="str">
        <f t="shared" si="78"/>
        <v>ok</v>
      </c>
      <c r="BE59" s="89" t="str">
        <f t="shared" si="78"/>
        <v>ok</v>
      </c>
      <c r="BF59" s="89" t="str">
        <f t="shared" si="78"/>
        <v>ok</v>
      </c>
      <c r="BG59" s="89" t="str">
        <f t="shared" si="78"/>
        <v>ok</v>
      </c>
      <c r="BH59" s="89" t="str">
        <f t="shared" si="78"/>
        <v>ok</v>
      </c>
      <c r="BI59" s="89" t="str">
        <f t="shared" si="78"/>
        <v>ok</v>
      </c>
      <c r="BJ59" s="89" t="str">
        <f t="shared" si="78"/>
        <v>ok</v>
      </c>
      <c r="BK59" s="89" t="str">
        <f t="shared" si="78"/>
        <v>ok</v>
      </c>
      <c r="BL59" s="89" t="str">
        <f t="shared" si="78"/>
        <v>ok</v>
      </c>
      <c r="BM59" s="89" t="str">
        <f t="shared" si="78"/>
        <v>ok</v>
      </c>
      <c r="BN59" s="89" t="str">
        <f t="shared" si="78"/>
        <v>ok</v>
      </c>
      <c r="BO59" s="89" t="str">
        <f t="shared" ref="BO59:CI59" si="79">IF(BO6+BO7+BO51=BO52,"ok","エラー")</f>
        <v>ok</v>
      </c>
      <c r="BP59" s="89" t="str">
        <f t="shared" si="79"/>
        <v>ok</v>
      </c>
      <c r="BQ59" s="89" t="str">
        <f t="shared" si="79"/>
        <v>ok</v>
      </c>
      <c r="BR59" s="89" t="str">
        <f t="shared" si="79"/>
        <v>ok</v>
      </c>
      <c r="BS59" s="89" t="str">
        <f t="shared" si="79"/>
        <v>ok</v>
      </c>
      <c r="BT59" s="89" t="str">
        <f t="shared" si="79"/>
        <v>ok</v>
      </c>
      <c r="BU59" s="89" t="str">
        <f t="shared" si="79"/>
        <v>ok</v>
      </c>
      <c r="BV59" s="89" t="str">
        <f t="shared" si="79"/>
        <v>ok</v>
      </c>
      <c r="BW59" s="89" t="str">
        <f t="shared" si="79"/>
        <v>ok</v>
      </c>
      <c r="BX59" s="89" t="str">
        <f t="shared" si="79"/>
        <v>ok</v>
      </c>
      <c r="BY59" s="89" t="str">
        <f t="shared" si="79"/>
        <v>ok</v>
      </c>
      <c r="BZ59" s="89" t="str">
        <f t="shared" si="79"/>
        <v>ok</v>
      </c>
      <c r="CA59" s="89" t="str">
        <f t="shared" si="79"/>
        <v>ok</v>
      </c>
      <c r="CB59" s="89" t="str">
        <f t="shared" si="79"/>
        <v>ok</v>
      </c>
      <c r="CC59" s="89" t="str">
        <f t="shared" si="79"/>
        <v>ok</v>
      </c>
      <c r="CD59" s="89" t="str">
        <f t="shared" si="79"/>
        <v>ok</v>
      </c>
      <c r="CE59" s="89" t="str">
        <f t="shared" si="79"/>
        <v>ok</v>
      </c>
      <c r="CF59" s="89" t="str">
        <f t="shared" si="79"/>
        <v>ok</v>
      </c>
      <c r="CG59" s="89" t="str">
        <f t="shared" si="79"/>
        <v>ok</v>
      </c>
      <c r="CH59" s="89" t="str">
        <f t="shared" si="79"/>
        <v>ok</v>
      </c>
      <c r="CI59" s="89" t="str">
        <f t="shared" si="79"/>
        <v>ok</v>
      </c>
      <c r="CJ59" s="84"/>
      <c r="CK59" s="89" t="str">
        <f t="shared" ref="CK59:DP59" si="80">IF(CK6+CK7+CK51=CK52,"ok","エラー")</f>
        <v>ok</v>
      </c>
      <c r="CL59" s="89" t="str">
        <f t="shared" si="80"/>
        <v>ok</v>
      </c>
      <c r="CM59" s="89" t="str">
        <f t="shared" si="80"/>
        <v>ok</v>
      </c>
      <c r="CN59" s="89" t="str">
        <f t="shared" si="80"/>
        <v>ok</v>
      </c>
      <c r="CO59" s="89" t="str">
        <f t="shared" si="80"/>
        <v>ok</v>
      </c>
      <c r="CP59" s="89" t="str">
        <f t="shared" si="80"/>
        <v>ok</v>
      </c>
      <c r="CQ59" s="89" t="str">
        <f t="shared" si="80"/>
        <v>ok</v>
      </c>
      <c r="CR59" s="89" t="str">
        <f t="shared" si="80"/>
        <v>ok</v>
      </c>
      <c r="CS59" s="89" t="str">
        <f t="shared" si="80"/>
        <v>ok</v>
      </c>
      <c r="CT59" s="89" t="str">
        <f t="shared" si="80"/>
        <v>ok</v>
      </c>
      <c r="CU59" s="89" t="str">
        <f t="shared" si="80"/>
        <v>ok</v>
      </c>
      <c r="CV59" s="89" t="str">
        <f t="shared" si="80"/>
        <v>ok</v>
      </c>
      <c r="CW59" s="89" t="str">
        <f t="shared" si="80"/>
        <v>ok</v>
      </c>
      <c r="CX59" s="89" t="str">
        <f t="shared" si="80"/>
        <v>ok</v>
      </c>
      <c r="CY59" s="89" t="str">
        <f t="shared" si="80"/>
        <v>ok</v>
      </c>
      <c r="CZ59" s="89" t="str">
        <f t="shared" si="80"/>
        <v>ok</v>
      </c>
      <c r="DA59" s="89" t="str">
        <f t="shared" si="80"/>
        <v>ok</v>
      </c>
      <c r="DB59" s="89" t="str">
        <f t="shared" si="80"/>
        <v>ok</v>
      </c>
      <c r="DC59" s="89" t="str">
        <f t="shared" si="80"/>
        <v>ok</v>
      </c>
      <c r="DD59" s="89" t="str">
        <f t="shared" si="80"/>
        <v>ok</v>
      </c>
      <c r="DE59" s="89" t="str">
        <f t="shared" si="80"/>
        <v>ok</v>
      </c>
      <c r="DF59" s="89" t="str">
        <f t="shared" si="80"/>
        <v>ok</v>
      </c>
      <c r="DG59" s="89" t="str">
        <f t="shared" si="80"/>
        <v>ok</v>
      </c>
      <c r="DH59" s="89" t="str">
        <f t="shared" si="80"/>
        <v>ok</v>
      </c>
      <c r="DI59" s="89" t="str">
        <f t="shared" si="80"/>
        <v>ok</v>
      </c>
      <c r="DJ59" s="89" t="str">
        <f t="shared" si="80"/>
        <v>ok</v>
      </c>
      <c r="DK59" s="89" t="str">
        <f t="shared" si="80"/>
        <v>ok</v>
      </c>
      <c r="DL59" s="89" t="str">
        <f t="shared" si="80"/>
        <v>ok</v>
      </c>
      <c r="DM59" s="89" t="str">
        <f t="shared" si="80"/>
        <v>ok</v>
      </c>
      <c r="DN59" s="89" t="str">
        <f t="shared" si="80"/>
        <v>ok</v>
      </c>
      <c r="DO59" s="89" t="str">
        <f t="shared" si="80"/>
        <v>ok</v>
      </c>
      <c r="DP59" s="89" t="str">
        <f t="shared" si="80"/>
        <v>ok</v>
      </c>
      <c r="DQ59" s="89" t="str">
        <f t="shared" ref="DQ59:EV59" si="81">IF(DQ6+DQ7+DQ51=DQ52,"ok","エラー")</f>
        <v>ok</v>
      </c>
      <c r="DR59" s="89" t="str">
        <f t="shared" si="81"/>
        <v>ok</v>
      </c>
      <c r="DS59" s="89" t="str">
        <f t="shared" si="81"/>
        <v>ok</v>
      </c>
      <c r="DT59" s="89" t="str">
        <f t="shared" si="81"/>
        <v>ok</v>
      </c>
      <c r="DU59" s="89" t="str">
        <f t="shared" si="81"/>
        <v>ok</v>
      </c>
      <c r="DV59" s="89" t="str">
        <f t="shared" si="81"/>
        <v>ok</v>
      </c>
      <c r="DW59" s="89" t="str">
        <f t="shared" si="81"/>
        <v>ok</v>
      </c>
      <c r="DX59" s="89" t="str">
        <f t="shared" si="81"/>
        <v>ok</v>
      </c>
      <c r="DY59" s="89" t="str">
        <f t="shared" si="81"/>
        <v>ok</v>
      </c>
      <c r="DZ59" s="89" t="str">
        <f t="shared" si="81"/>
        <v>ok</v>
      </c>
      <c r="EA59" s="89" t="str">
        <f t="shared" si="81"/>
        <v>ok</v>
      </c>
      <c r="EB59" s="89" t="str">
        <f t="shared" si="81"/>
        <v>ok</v>
      </c>
      <c r="EC59" s="89" t="str">
        <f t="shared" si="81"/>
        <v>ok</v>
      </c>
      <c r="ED59" s="89" t="str">
        <f t="shared" si="81"/>
        <v>ok</v>
      </c>
      <c r="EE59" s="89" t="str">
        <f t="shared" si="81"/>
        <v>ok</v>
      </c>
      <c r="EF59" s="89" t="str">
        <f t="shared" si="81"/>
        <v>ok</v>
      </c>
      <c r="EG59" s="89" t="str">
        <f t="shared" si="81"/>
        <v>ok</v>
      </c>
      <c r="EH59" s="89" t="str">
        <f t="shared" si="81"/>
        <v>ok</v>
      </c>
      <c r="EI59" s="89" t="str">
        <f t="shared" si="81"/>
        <v>ok</v>
      </c>
      <c r="EJ59" s="89" t="str">
        <f t="shared" si="81"/>
        <v>ok</v>
      </c>
      <c r="EK59" s="89" t="str">
        <f t="shared" si="81"/>
        <v>ok</v>
      </c>
      <c r="EL59" s="89" t="str">
        <f t="shared" si="81"/>
        <v>ok</v>
      </c>
      <c r="EM59" s="89" t="str">
        <f t="shared" si="81"/>
        <v>ok</v>
      </c>
      <c r="EN59" s="89" t="str">
        <f t="shared" si="81"/>
        <v>ok</v>
      </c>
      <c r="EO59" s="89" t="str">
        <f t="shared" si="81"/>
        <v>ok</v>
      </c>
      <c r="EP59" s="89" t="str">
        <f t="shared" si="81"/>
        <v>ok</v>
      </c>
      <c r="EQ59" s="89" t="str">
        <f t="shared" si="81"/>
        <v>ok</v>
      </c>
      <c r="ER59" s="89" t="str">
        <f t="shared" si="81"/>
        <v>ok</v>
      </c>
      <c r="ES59" s="89" t="str">
        <f t="shared" si="81"/>
        <v>ok</v>
      </c>
      <c r="ET59" s="89" t="str">
        <f t="shared" si="81"/>
        <v>ok</v>
      </c>
      <c r="EU59" s="89" t="str">
        <f t="shared" si="81"/>
        <v>ok</v>
      </c>
      <c r="EV59" s="89" t="str">
        <f t="shared" si="81"/>
        <v>ok</v>
      </c>
      <c r="EW59" s="89" t="str">
        <f t="shared" ref="EW59:FH59" si="82">IF(EW6+EW7+EW51=EW52,"ok","エラー")</f>
        <v>ok</v>
      </c>
      <c r="EX59" s="89" t="str">
        <f t="shared" si="82"/>
        <v>ok</v>
      </c>
      <c r="EY59" s="89" t="str">
        <f t="shared" si="82"/>
        <v>ok</v>
      </c>
      <c r="EZ59" s="89" t="str">
        <f t="shared" si="82"/>
        <v>ok</v>
      </c>
      <c r="FA59" s="89" t="str">
        <f t="shared" si="82"/>
        <v>ok</v>
      </c>
      <c r="FB59" s="89" t="str">
        <f t="shared" si="82"/>
        <v>ok</v>
      </c>
      <c r="FC59" s="89" t="str">
        <f t="shared" si="82"/>
        <v>ok</v>
      </c>
      <c r="FD59" s="89" t="str">
        <f t="shared" si="82"/>
        <v>ok</v>
      </c>
      <c r="FE59" s="89" t="str">
        <f t="shared" si="82"/>
        <v>ok</v>
      </c>
      <c r="FF59" s="89" t="str">
        <f t="shared" si="82"/>
        <v>ok</v>
      </c>
      <c r="FG59" s="89" t="str">
        <f t="shared" si="82"/>
        <v>ok</v>
      </c>
      <c r="FH59" s="89" t="str">
        <f t="shared" si="82"/>
        <v>ok</v>
      </c>
      <c r="FJ59" s="89" t="str">
        <f>IF(FJ6+FJ7+FJ51=FJ52,"ok","エラー")</f>
        <v>ok</v>
      </c>
      <c r="FK59" s="89" t="str">
        <f>IF(FK6+FK7+FK51=FK52,"ok","エラー")</f>
        <v>ok</v>
      </c>
      <c r="FL59" s="89" t="str">
        <f>IF(FL6+FL7+FL51=FL52,"ok","エラー")</f>
        <v>ok</v>
      </c>
      <c r="FM59" s="89" t="str">
        <f>IF(FM6+FM7+FM51=FM52,"ok","エラー")</f>
        <v>ok</v>
      </c>
      <c r="FW59" s="89" t="str">
        <f>IF(FW6+FW7+FW51=FW52,"ok","エラー")</f>
        <v>ok</v>
      </c>
      <c r="FY59" s="89" t="str">
        <f>IF(FY6+FY7+FY51=FY52,"ok","エラー")</f>
        <v>ok</v>
      </c>
      <c r="FZ59" s="89" t="str">
        <f>IF(FZ6+FZ7+FZ51=FZ52,"ok","エラー")</f>
        <v>ok</v>
      </c>
      <c r="GA59" s="89" t="str">
        <f>IF(GA6+GA7+GA51=GA52,"ok","エラー")</f>
        <v>ok</v>
      </c>
      <c r="GB59" s="89" t="str">
        <f>IF(GB6+GB7+GB51=GB52,"ok","エラー")</f>
        <v>ok</v>
      </c>
      <c r="GC59" s="89" t="str">
        <f>IF(GC6+GC7+GC51=GC52,"ok","エラー")</f>
        <v>ok</v>
      </c>
      <c r="GD59" s="89" t="str">
        <f>IF(GD40+GD51=GD52,"ok","エラー")</f>
        <v>ok</v>
      </c>
      <c r="GI59" s="89" t="str">
        <f>IF(GI6+GI7+GI51=GI52,"ok","エラー")</f>
        <v>ok</v>
      </c>
    </row>
    <row r="66" spans="143:144" x14ac:dyDescent="0.15">
      <c r="EM66" s="421"/>
      <c r="EN66" s="422"/>
    </row>
    <row r="67" spans="143:144" x14ac:dyDescent="0.15">
      <c r="EM67" s="421"/>
      <c r="EN67" s="422"/>
    </row>
    <row r="68" spans="143:144" x14ac:dyDescent="0.15">
      <c r="EM68" s="421"/>
      <c r="EN68" s="422"/>
    </row>
    <row r="69" spans="143:144" x14ac:dyDescent="0.15">
      <c r="EM69" s="421"/>
      <c r="EN69" s="422"/>
    </row>
    <row r="70" spans="143:144" x14ac:dyDescent="0.15">
      <c r="EM70" s="421"/>
      <c r="EN70" s="422"/>
    </row>
    <row r="71" spans="143:144" x14ac:dyDescent="0.15">
      <c r="EM71" s="421"/>
      <c r="EN71" s="422"/>
    </row>
    <row r="72" spans="143:144" x14ac:dyDescent="0.15">
      <c r="EM72" s="421"/>
      <c r="EN72" s="422"/>
    </row>
    <row r="73" spans="143:144" x14ac:dyDescent="0.15">
      <c r="EM73" s="421"/>
      <c r="EN73" s="422"/>
    </row>
    <row r="74" spans="143:144" x14ac:dyDescent="0.15">
      <c r="EM74" s="421"/>
      <c r="EN74" s="422"/>
    </row>
    <row r="75" spans="143:144" x14ac:dyDescent="0.15">
      <c r="EM75" s="421"/>
      <c r="EN75" s="422"/>
    </row>
    <row r="76" spans="143:144" x14ac:dyDescent="0.15">
      <c r="EM76" s="421"/>
      <c r="EN76" s="422"/>
    </row>
    <row r="77" spans="143:144" x14ac:dyDescent="0.15">
      <c r="EM77" s="421"/>
      <c r="EN77" s="422"/>
    </row>
    <row r="78" spans="143:144" x14ac:dyDescent="0.15">
      <c r="EM78" s="421"/>
      <c r="EN78" s="422"/>
    </row>
    <row r="79" spans="143:144" x14ac:dyDescent="0.15">
      <c r="EM79" s="421"/>
      <c r="EN79" s="422"/>
    </row>
    <row r="80" spans="143:144" x14ac:dyDescent="0.15">
      <c r="EM80" s="421"/>
      <c r="EN80" s="422"/>
    </row>
    <row r="81" spans="143:144" x14ac:dyDescent="0.15">
      <c r="EM81" s="421"/>
      <c r="EN81" s="422"/>
    </row>
    <row r="82" spans="143:144" x14ac:dyDescent="0.15">
      <c r="EM82" s="421"/>
      <c r="EN82" s="422"/>
    </row>
    <row r="83" spans="143:144" x14ac:dyDescent="0.15">
      <c r="EM83" s="421"/>
      <c r="EN83" s="422"/>
    </row>
    <row r="84" spans="143:144" x14ac:dyDescent="0.15">
      <c r="EM84" s="421"/>
      <c r="EN84" s="422"/>
    </row>
    <row r="85" spans="143:144" x14ac:dyDescent="0.15">
      <c r="EM85" s="421"/>
      <c r="EN85" s="422"/>
    </row>
    <row r="86" spans="143:144" x14ac:dyDescent="0.15">
      <c r="EM86" s="421"/>
      <c r="EN86" s="422"/>
    </row>
    <row r="87" spans="143:144" x14ac:dyDescent="0.15">
      <c r="EM87" s="421"/>
      <c r="EN87" s="422"/>
    </row>
    <row r="88" spans="143:144" x14ac:dyDescent="0.15">
      <c r="EM88" s="421"/>
      <c r="EN88" s="422"/>
    </row>
    <row r="89" spans="143:144" x14ac:dyDescent="0.15">
      <c r="EM89" s="421"/>
      <c r="EN89" s="422"/>
    </row>
    <row r="90" spans="143:144" x14ac:dyDescent="0.15">
      <c r="EM90" s="421"/>
      <c r="EN90" s="422"/>
    </row>
    <row r="91" spans="143:144" x14ac:dyDescent="0.15">
      <c r="EM91" s="421"/>
      <c r="EN91" s="422"/>
    </row>
    <row r="92" spans="143:144" x14ac:dyDescent="0.15">
      <c r="EM92" s="421"/>
      <c r="EN92" s="422"/>
    </row>
    <row r="93" spans="143:144" x14ac:dyDescent="0.15">
      <c r="EM93" s="421"/>
      <c r="EN93" s="422"/>
    </row>
    <row r="94" spans="143:144" x14ac:dyDescent="0.15">
      <c r="EM94" s="421"/>
      <c r="EN94" s="422"/>
    </row>
    <row r="95" spans="143:144" x14ac:dyDescent="0.15">
      <c r="EM95" s="421"/>
      <c r="EN95" s="422"/>
    </row>
    <row r="96" spans="143:144" x14ac:dyDescent="0.15">
      <c r="EM96" s="421"/>
      <c r="EN96" s="422"/>
    </row>
    <row r="97" spans="143:144" x14ac:dyDescent="0.15">
      <c r="EM97" s="421"/>
      <c r="EN97" s="422"/>
    </row>
    <row r="98" spans="143:144" x14ac:dyDescent="0.15">
      <c r="EM98" s="421"/>
      <c r="EN98" s="422"/>
    </row>
    <row r="99" spans="143:144" x14ac:dyDescent="0.15">
      <c r="EM99" s="421"/>
      <c r="EN99" s="422"/>
    </row>
    <row r="100" spans="143:144" x14ac:dyDescent="0.15">
      <c r="EM100" s="421"/>
      <c r="EN100" s="422"/>
    </row>
    <row r="101" spans="143:144" x14ac:dyDescent="0.15">
      <c r="EM101" s="421"/>
      <c r="EN101" s="422"/>
    </row>
    <row r="102" spans="143:144" x14ac:dyDescent="0.15">
      <c r="EM102" s="421"/>
      <c r="EN102" s="422"/>
    </row>
    <row r="103" spans="143:144" x14ac:dyDescent="0.15">
      <c r="EM103" s="421"/>
      <c r="EN103" s="422"/>
    </row>
    <row r="104" spans="143:144" x14ac:dyDescent="0.15">
      <c r="EM104" s="421"/>
      <c r="EN104" s="422"/>
    </row>
    <row r="105" spans="143:144" x14ac:dyDescent="0.15">
      <c r="EM105" s="421"/>
      <c r="EN105" s="422"/>
    </row>
    <row r="106" spans="143:144" x14ac:dyDescent="0.15">
      <c r="EM106" s="421"/>
      <c r="EN106" s="422"/>
    </row>
  </sheetData>
  <mergeCells count="1">
    <mergeCell ref="FO2:FU2"/>
  </mergeCells>
  <phoneticPr fontId="3"/>
  <pageMargins left="0.59055118110236227" right="0.59055118110236227" top="0.98425196850393704" bottom="0.98425196850393704" header="0.51181102362204722" footer="0.51181102362204722"/>
  <pageSetup paperSize="9" fitToWidth="0" orientation="portrait" r:id="rId1"/>
  <colBreaks count="1" manualBreakCount="1">
    <brk id="187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5">
    <tabColor indexed="15"/>
    <pageSetUpPr fitToPage="1"/>
  </sheetPr>
  <dimension ref="A1:HV106"/>
  <sheetViews>
    <sheetView view="pageBreakPreview" zoomScaleNormal="90" zoomScaleSheetLayoutView="100" workbookViewId="0">
      <pane xSplit="2" ySplit="5" topLeftCell="FZ6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13.10937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12.33203125" style="174" bestFit="1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62" customWidth="1"/>
    <col min="192" max="192" width="8.5546875" style="174" bestFit="1" customWidth="1"/>
    <col min="193" max="193" width="10.33203125" style="174" bestFit="1" customWidth="1"/>
    <col min="194" max="194" width="8.5546875" style="174" bestFit="1" customWidth="1"/>
    <col min="195" max="195" width="9.6640625" style="174" bestFit="1" customWidth="1"/>
    <col min="196" max="196" width="10.33203125" style="174" bestFit="1" customWidth="1"/>
    <col min="197" max="197" width="8.5546875" style="174" bestFit="1" customWidth="1"/>
    <col min="198" max="198" width="11.88671875" style="174" bestFit="1" customWidth="1"/>
    <col min="199" max="199" width="10.33203125" style="174" bestFit="1" customWidth="1"/>
    <col min="200" max="200" width="8.5546875" style="174" bestFit="1" customWidth="1"/>
    <col min="201" max="201" width="9.6640625" style="174" bestFit="1" customWidth="1"/>
    <col min="202" max="202" width="10.33203125" style="174" bestFit="1" customWidth="1"/>
    <col min="203" max="230" width="13.6640625" style="174" customWidth="1"/>
  </cols>
  <sheetData>
    <row r="1" spans="2:230" x14ac:dyDescent="0.15">
      <c r="B1" s="98">
        <v>1</v>
      </c>
      <c r="C1" s="98">
        <v>2</v>
      </c>
      <c r="D1" s="98">
        <v>3</v>
      </c>
      <c r="E1" s="98">
        <v>4</v>
      </c>
      <c r="F1" s="98">
        <v>5</v>
      </c>
      <c r="G1" s="98">
        <v>6</v>
      </c>
      <c r="H1" s="98">
        <v>7</v>
      </c>
      <c r="I1" s="98">
        <v>8</v>
      </c>
      <c r="J1" s="98">
        <v>9</v>
      </c>
      <c r="K1" s="98">
        <v>10</v>
      </c>
      <c r="L1" s="98">
        <v>11</v>
      </c>
      <c r="M1" s="98">
        <v>12</v>
      </c>
      <c r="N1" s="98">
        <v>13</v>
      </c>
      <c r="O1" s="98">
        <v>14</v>
      </c>
      <c r="P1" s="98">
        <v>15</v>
      </c>
      <c r="Q1" s="98">
        <v>16</v>
      </c>
      <c r="R1" s="98">
        <v>17</v>
      </c>
      <c r="S1" s="98">
        <v>18</v>
      </c>
      <c r="T1" s="98">
        <v>19</v>
      </c>
      <c r="U1" s="98">
        <v>20</v>
      </c>
      <c r="V1" s="98">
        <v>21</v>
      </c>
      <c r="W1" s="98">
        <v>22</v>
      </c>
      <c r="X1" s="98">
        <v>23</v>
      </c>
      <c r="Y1" s="98">
        <v>24</v>
      </c>
      <c r="Z1" s="98">
        <v>25</v>
      </c>
      <c r="AA1" s="98">
        <v>26</v>
      </c>
      <c r="AB1" s="98">
        <v>27</v>
      </c>
      <c r="AC1" s="98">
        <v>28</v>
      </c>
      <c r="AD1" s="98">
        <v>29</v>
      </c>
      <c r="AE1" s="98">
        <v>30</v>
      </c>
      <c r="AF1" s="98">
        <v>31</v>
      </c>
      <c r="AG1" s="98">
        <v>32</v>
      </c>
      <c r="AH1" s="98">
        <v>33</v>
      </c>
      <c r="AI1" s="98">
        <v>34</v>
      </c>
      <c r="AJ1" s="98">
        <v>35</v>
      </c>
      <c r="AK1" s="98">
        <v>36</v>
      </c>
      <c r="AL1" s="98">
        <v>37</v>
      </c>
      <c r="AM1" s="98">
        <v>38</v>
      </c>
      <c r="AN1" s="98">
        <v>39</v>
      </c>
      <c r="AO1" s="98">
        <v>40</v>
      </c>
      <c r="AP1" s="98">
        <v>41</v>
      </c>
      <c r="AQ1" s="98">
        <v>42</v>
      </c>
      <c r="AR1" s="98">
        <v>43</v>
      </c>
      <c r="AS1" s="98">
        <v>44</v>
      </c>
      <c r="AT1" s="98">
        <v>45</v>
      </c>
      <c r="AU1" s="98">
        <v>46</v>
      </c>
      <c r="AV1" s="98">
        <v>47</v>
      </c>
      <c r="AW1" s="98">
        <v>48</v>
      </c>
      <c r="AX1" s="98">
        <v>49</v>
      </c>
      <c r="AY1" s="98">
        <v>50</v>
      </c>
      <c r="AZ1" s="98">
        <v>51</v>
      </c>
      <c r="BA1" s="98">
        <v>52</v>
      </c>
      <c r="BB1" s="98">
        <v>53</v>
      </c>
      <c r="BC1" s="98">
        <v>54</v>
      </c>
      <c r="BD1" s="98">
        <v>55</v>
      </c>
      <c r="BE1" s="98">
        <v>56</v>
      </c>
      <c r="BF1" s="98">
        <v>57</v>
      </c>
      <c r="BG1" s="98">
        <v>58</v>
      </c>
      <c r="BH1" s="98">
        <v>59</v>
      </c>
      <c r="BI1" s="98">
        <v>60</v>
      </c>
      <c r="BJ1" s="98">
        <v>61</v>
      </c>
      <c r="BK1" s="98">
        <v>62</v>
      </c>
      <c r="BL1" s="98">
        <v>63</v>
      </c>
      <c r="BM1" s="98">
        <v>64</v>
      </c>
      <c r="BN1" s="98">
        <v>65</v>
      </c>
      <c r="BO1" s="98">
        <v>66</v>
      </c>
      <c r="BP1" s="98">
        <v>67</v>
      </c>
      <c r="BQ1" s="98">
        <v>68</v>
      </c>
      <c r="BR1" s="98">
        <v>69</v>
      </c>
      <c r="BS1" s="98">
        <v>70</v>
      </c>
      <c r="BT1" s="98">
        <v>71</v>
      </c>
      <c r="BU1" s="98">
        <v>72</v>
      </c>
      <c r="BV1" s="98">
        <v>73</v>
      </c>
      <c r="BW1" s="98">
        <v>74</v>
      </c>
      <c r="BX1" s="98">
        <v>75</v>
      </c>
      <c r="BY1" s="98">
        <v>76</v>
      </c>
      <c r="BZ1" s="98">
        <v>77</v>
      </c>
      <c r="CA1" s="98">
        <v>78</v>
      </c>
      <c r="CB1" s="98">
        <v>79</v>
      </c>
      <c r="CC1" s="98">
        <v>80</v>
      </c>
      <c r="CD1" s="98">
        <v>81</v>
      </c>
      <c r="CE1" s="98">
        <v>82</v>
      </c>
      <c r="CF1" s="98">
        <v>83</v>
      </c>
      <c r="CG1" s="98">
        <v>84</v>
      </c>
      <c r="CH1" s="98">
        <v>85</v>
      </c>
      <c r="CI1" s="98">
        <v>86</v>
      </c>
      <c r="CJ1" s="98">
        <v>87</v>
      </c>
      <c r="CK1" s="98">
        <v>88</v>
      </c>
      <c r="CL1" s="98">
        <v>89</v>
      </c>
      <c r="CM1" s="98">
        <v>90</v>
      </c>
      <c r="CN1" s="98">
        <v>91</v>
      </c>
      <c r="CO1" s="98">
        <v>92</v>
      </c>
      <c r="CP1" s="98">
        <v>93</v>
      </c>
      <c r="CQ1" s="98">
        <v>94</v>
      </c>
      <c r="CR1" s="98">
        <v>95</v>
      </c>
      <c r="CS1" s="98">
        <v>96</v>
      </c>
      <c r="CT1" s="98">
        <v>97</v>
      </c>
      <c r="CU1" s="98">
        <v>98</v>
      </c>
      <c r="CV1" s="98">
        <v>99</v>
      </c>
      <c r="CW1" s="98">
        <v>100</v>
      </c>
      <c r="CX1" s="98">
        <v>101</v>
      </c>
      <c r="CY1" s="98">
        <v>102</v>
      </c>
      <c r="CZ1" s="98">
        <v>103</v>
      </c>
      <c r="DA1" s="98">
        <v>104</v>
      </c>
      <c r="DB1" s="98">
        <v>105</v>
      </c>
      <c r="DC1" s="98">
        <v>106</v>
      </c>
      <c r="DD1" s="98">
        <v>107</v>
      </c>
      <c r="DE1" s="98">
        <v>108</v>
      </c>
      <c r="DF1" s="98">
        <v>109</v>
      </c>
      <c r="DG1" s="98">
        <v>110</v>
      </c>
      <c r="DH1" s="98">
        <v>111</v>
      </c>
      <c r="DI1" s="98">
        <v>112</v>
      </c>
      <c r="DJ1" s="98">
        <v>113</v>
      </c>
      <c r="DK1" s="98">
        <v>114</v>
      </c>
      <c r="DL1" s="98">
        <v>115</v>
      </c>
      <c r="DM1" s="98">
        <v>116</v>
      </c>
      <c r="DN1" s="98">
        <v>117</v>
      </c>
      <c r="DO1" s="98">
        <v>118</v>
      </c>
      <c r="DP1" s="98">
        <v>119</v>
      </c>
      <c r="DQ1" s="98">
        <v>120</v>
      </c>
      <c r="DR1" s="98">
        <v>121</v>
      </c>
      <c r="DS1" s="98">
        <v>122</v>
      </c>
      <c r="DT1" s="98">
        <v>123</v>
      </c>
      <c r="DU1" s="98">
        <v>124</v>
      </c>
      <c r="DV1" s="98">
        <v>125</v>
      </c>
      <c r="DW1" s="98">
        <v>126</v>
      </c>
      <c r="DX1" s="98">
        <v>127</v>
      </c>
      <c r="DY1" s="98">
        <v>128</v>
      </c>
      <c r="DZ1" s="98">
        <v>129</v>
      </c>
      <c r="EA1" s="98">
        <v>130</v>
      </c>
      <c r="EB1" s="98">
        <v>131</v>
      </c>
      <c r="EC1" s="98">
        <v>132</v>
      </c>
      <c r="ED1" s="98">
        <v>133</v>
      </c>
      <c r="EE1" s="98">
        <v>134</v>
      </c>
      <c r="EF1" s="98">
        <v>135</v>
      </c>
      <c r="EG1" s="98">
        <v>136</v>
      </c>
      <c r="EH1" s="98">
        <v>137</v>
      </c>
      <c r="EI1" s="98">
        <v>138</v>
      </c>
      <c r="EJ1" s="98">
        <v>139</v>
      </c>
      <c r="EK1" s="98">
        <v>140</v>
      </c>
      <c r="EL1" s="98">
        <v>141</v>
      </c>
      <c r="EM1" s="98">
        <v>142</v>
      </c>
      <c r="EN1" s="98">
        <v>143</v>
      </c>
      <c r="EO1" s="98">
        <v>144</v>
      </c>
      <c r="EP1" s="98">
        <v>145</v>
      </c>
      <c r="EQ1" s="98">
        <v>146</v>
      </c>
      <c r="ER1" s="98">
        <v>147</v>
      </c>
      <c r="ES1" s="98">
        <v>148</v>
      </c>
      <c r="ET1" s="98">
        <v>149</v>
      </c>
      <c r="EU1" s="98">
        <v>150</v>
      </c>
      <c r="EV1" s="98">
        <v>151</v>
      </c>
      <c r="EW1" s="98">
        <v>152</v>
      </c>
      <c r="EX1" s="98">
        <v>153</v>
      </c>
      <c r="EY1" s="98">
        <v>154</v>
      </c>
      <c r="EZ1" s="98">
        <v>155</v>
      </c>
      <c r="FA1" s="98">
        <v>156</v>
      </c>
      <c r="FB1" s="98">
        <v>157</v>
      </c>
      <c r="FC1" s="98">
        <v>158</v>
      </c>
      <c r="FD1" s="98">
        <v>159</v>
      </c>
      <c r="FE1" s="98">
        <v>160</v>
      </c>
      <c r="FF1" s="98">
        <v>161</v>
      </c>
      <c r="FG1" s="98">
        <v>162</v>
      </c>
      <c r="FH1" s="98">
        <v>163</v>
      </c>
      <c r="FI1" s="98">
        <v>164</v>
      </c>
      <c r="FJ1" s="98">
        <v>165</v>
      </c>
      <c r="FK1" s="98">
        <v>166</v>
      </c>
      <c r="FL1" s="98">
        <v>167</v>
      </c>
      <c r="FM1" s="98">
        <v>168</v>
      </c>
      <c r="FN1" s="98">
        <v>169</v>
      </c>
      <c r="FO1" s="98">
        <v>170</v>
      </c>
      <c r="FP1" s="98">
        <v>171</v>
      </c>
      <c r="FQ1" s="98">
        <v>172</v>
      </c>
      <c r="FR1" s="98">
        <v>173</v>
      </c>
      <c r="FS1" s="98">
        <v>174</v>
      </c>
      <c r="FT1" s="98">
        <v>175</v>
      </c>
      <c r="FU1" s="98">
        <v>176</v>
      </c>
      <c r="FV1" s="98">
        <v>177</v>
      </c>
      <c r="FW1" s="98">
        <v>178</v>
      </c>
      <c r="FX1" s="98">
        <v>179</v>
      </c>
      <c r="FY1" s="98">
        <v>180</v>
      </c>
      <c r="FZ1" s="98">
        <v>181</v>
      </c>
      <c r="GA1" s="98">
        <v>182</v>
      </c>
      <c r="GB1" s="98">
        <v>183</v>
      </c>
      <c r="GC1" s="98">
        <v>184</v>
      </c>
      <c r="GD1" s="98">
        <v>185</v>
      </c>
      <c r="GE1" s="98">
        <v>186</v>
      </c>
      <c r="GF1" s="98">
        <v>187</v>
      </c>
      <c r="GG1" s="98">
        <v>188</v>
      </c>
      <c r="GH1" s="98">
        <v>189</v>
      </c>
      <c r="GI1" s="99">
        <v>190</v>
      </c>
      <c r="GJ1" s="98">
        <v>191</v>
      </c>
      <c r="GK1" s="98">
        <v>192</v>
      </c>
      <c r="GL1" s="98">
        <v>193</v>
      </c>
      <c r="GM1" s="98">
        <v>194</v>
      </c>
      <c r="GN1" s="98">
        <v>195</v>
      </c>
      <c r="GO1" s="98">
        <v>196</v>
      </c>
      <c r="GP1" s="98">
        <v>197</v>
      </c>
      <c r="GQ1" s="98">
        <v>198</v>
      </c>
      <c r="GR1" s="98">
        <v>199</v>
      </c>
      <c r="GS1" s="98">
        <v>200</v>
      </c>
      <c r="GT1" s="98">
        <v>201</v>
      </c>
    </row>
    <row r="2" spans="2:230" x14ac:dyDescent="0.15">
      <c r="C2" s="93" t="s">
        <v>338</v>
      </c>
      <c r="D2" s="94"/>
      <c r="E2" s="93" t="s">
        <v>339</v>
      </c>
      <c r="F2" s="93" t="s">
        <v>340</v>
      </c>
      <c r="G2" s="94"/>
      <c r="H2" s="93" t="s">
        <v>341</v>
      </c>
      <c r="I2" s="93" t="s">
        <v>342</v>
      </c>
      <c r="J2" s="93" t="s">
        <v>343</v>
      </c>
      <c r="K2" s="93" t="s">
        <v>344</v>
      </c>
      <c r="L2" s="93" t="s">
        <v>345</v>
      </c>
      <c r="M2" s="93" t="s">
        <v>346</v>
      </c>
      <c r="N2" s="93" t="s">
        <v>347</v>
      </c>
      <c r="O2" s="93" t="s">
        <v>348</v>
      </c>
      <c r="P2" s="93" t="s">
        <v>349</v>
      </c>
      <c r="Q2" s="93" t="s">
        <v>350</v>
      </c>
      <c r="R2" s="93" t="s">
        <v>351</v>
      </c>
      <c r="S2" s="93" t="s">
        <v>352</v>
      </c>
      <c r="T2" s="95"/>
      <c r="U2" s="93" t="s">
        <v>725</v>
      </c>
      <c r="V2" s="93" t="s">
        <v>354</v>
      </c>
      <c r="W2" s="93" t="s">
        <v>355</v>
      </c>
      <c r="X2" s="93" t="s">
        <v>357</v>
      </c>
      <c r="Y2" s="93" t="s">
        <v>653</v>
      </c>
      <c r="Z2" s="93" t="s">
        <v>358</v>
      </c>
      <c r="AA2" s="93" t="s">
        <v>359</v>
      </c>
      <c r="AB2" s="93" t="s">
        <v>361</v>
      </c>
      <c r="AC2" s="93" t="s">
        <v>654</v>
      </c>
      <c r="AD2" s="93" t="s">
        <v>665</v>
      </c>
      <c r="AE2" s="93" t="s">
        <v>726</v>
      </c>
      <c r="AF2" s="96" t="s">
        <v>363</v>
      </c>
      <c r="AG2" s="96" t="s">
        <v>364</v>
      </c>
      <c r="AH2" s="89"/>
      <c r="AI2" s="96" t="s">
        <v>684</v>
      </c>
      <c r="AJ2" s="96" t="s">
        <v>727</v>
      </c>
      <c r="AK2" s="96" t="s">
        <v>368</v>
      </c>
      <c r="AL2" s="29"/>
      <c r="AM2" s="96" t="s">
        <v>728</v>
      </c>
      <c r="AN2" s="96" t="s">
        <v>686</v>
      </c>
      <c r="AO2" s="96" t="s">
        <v>352</v>
      </c>
      <c r="AP2" s="96" t="s">
        <v>369</v>
      </c>
      <c r="AQ2" s="96" t="s">
        <v>371</v>
      </c>
      <c r="AR2" s="96" t="s">
        <v>372</v>
      </c>
      <c r="AS2" s="96" t="s">
        <v>729</v>
      </c>
      <c r="AT2" s="96" t="s">
        <v>376</v>
      </c>
      <c r="AU2" s="96" t="s">
        <v>377</v>
      </c>
      <c r="AV2" s="96" t="s">
        <v>378</v>
      </c>
      <c r="AW2" s="96" t="s">
        <v>688</v>
      </c>
      <c r="AX2" s="96" t="s">
        <v>380</v>
      </c>
      <c r="AY2" s="96" t="s">
        <v>381</v>
      </c>
      <c r="AZ2" s="96" t="s">
        <v>710</v>
      </c>
      <c r="BA2" s="96" t="s">
        <v>690</v>
      </c>
      <c r="BB2" s="96" t="s">
        <v>711</v>
      </c>
      <c r="BC2" s="96" t="s">
        <v>384</v>
      </c>
      <c r="BD2" s="96" t="s">
        <v>386</v>
      </c>
      <c r="BE2" s="96" t="s">
        <v>387</v>
      </c>
      <c r="BF2" s="96" t="s">
        <v>388</v>
      </c>
      <c r="BG2" s="96" t="s">
        <v>389</v>
      </c>
      <c r="BH2" s="96" t="s">
        <v>692</v>
      </c>
      <c r="BI2" s="96" t="s">
        <v>739</v>
      </c>
      <c r="BJ2" s="96" t="s">
        <v>385</v>
      </c>
      <c r="BK2" s="96" t="s">
        <v>392</v>
      </c>
      <c r="BL2" s="96" t="s">
        <v>694</v>
      </c>
      <c r="BM2" s="96" t="s">
        <v>393</v>
      </c>
      <c r="BN2" s="96" t="s">
        <v>696</v>
      </c>
      <c r="BO2" s="29"/>
      <c r="BP2" s="29"/>
      <c r="BQ2" s="96" t="s">
        <v>740</v>
      </c>
      <c r="BR2" s="96" t="s">
        <v>741</v>
      </c>
      <c r="BS2" s="96" t="s">
        <v>742</v>
      </c>
      <c r="BT2" s="96" t="s">
        <v>743</v>
      </c>
      <c r="BU2" s="96" t="s">
        <v>396</v>
      </c>
      <c r="BV2" s="89"/>
      <c r="BW2" s="96" t="s">
        <v>402</v>
      </c>
      <c r="BX2" s="96" t="s">
        <v>403</v>
      </c>
      <c r="BY2" s="96" t="s">
        <v>719</v>
      </c>
      <c r="BZ2" s="96" t="s">
        <v>405</v>
      </c>
      <c r="CA2" s="96" t="s">
        <v>406</v>
      </c>
      <c r="CB2" s="96" t="s">
        <v>407</v>
      </c>
      <c r="CC2" s="96" t="s">
        <v>408</v>
      </c>
      <c r="CD2" s="96" t="s">
        <v>409</v>
      </c>
      <c r="CE2" s="96" t="s">
        <v>410</v>
      </c>
      <c r="CF2" s="96" t="s">
        <v>411</v>
      </c>
      <c r="CG2" s="96" t="s">
        <v>412</v>
      </c>
      <c r="CH2" s="96" t="s">
        <v>413</v>
      </c>
      <c r="CI2" s="96" t="s">
        <v>414</v>
      </c>
      <c r="CJ2" s="81"/>
      <c r="CK2" s="96" t="s">
        <v>415</v>
      </c>
      <c r="CL2" s="96" t="s">
        <v>720</v>
      </c>
      <c r="CM2" s="96" t="s">
        <v>417</v>
      </c>
      <c r="CN2" s="96" t="s">
        <v>721</v>
      </c>
      <c r="CO2" s="96" t="s">
        <v>419</v>
      </c>
      <c r="CP2" s="96" t="s">
        <v>420</v>
      </c>
      <c r="CQ2" s="96" t="s">
        <v>421</v>
      </c>
      <c r="CR2" s="96" t="s">
        <v>422</v>
      </c>
      <c r="CS2" s="96" t="s">
        <v>423</v>
      </c>
      <c r="CT2" s="28"/>
      <c r="CU2" s="96" t="s">
        <v>424</v>
      </c>
      <c r="CV2" s="96" t="s">
        <v>425</v>
      </c>
      <c r="CW2" s="89"/>
      <c r="CX2" s="96" t="s">
        <v>426</v>
      </c>
      <c r="CY2" s="96" t="s">
        <v>427</v>
      </c>
      <c r="CZ2" s="89"/>
      <c r="DA2" s="96" t="s">
        <v>428</v>
      </c>
      <c r="DB2" s="96" t="s">
        <v>429</v>
      </c>
      <c r="DC2" s="96" t="s">
        <v>430</v>
      </c>
      <c r="DD2" s="96" t="s">
        <v>431</v>
      </c>
      <c r="DE2" s="96" t="s">
        <v>432</v>
      </c>
      <c r="DF2" s="96" t="s">
        <v>433</v>
      </c>
      <c r="DG2" s="96" t="s">
        <v>434</v>
      </c>
      <c r="DH2" s="96" t="s">
        <v>435</v>
      </c>
      <c r="DI2" s="96" t="s">
        <v>436</v>
      </c>
      <c r="DJ2" s="96" t="s">
        <v>437</v>
      </c>
      <c r="DK2" s="96" t="s">
        <v>438</v>
      </c>
      <c r="DL2" s="96" t="s">
        <v>439</v>
      </c>
      <c r="DM2" s="96" t="s">
        <v>440</v>
      </c>
      <c r="DN2" s="96" t="s">
        <v>441</v>
      </c>
      <c r="DO2" s="96" t="s">
        <v>442</v>
      </c>
      <c r="DP2" s="96" t="s">
        <v>443</v>
      </c>
      <c r="DQ2" s="96" t="s">
        <v>444</v>
      </c>
      <c r="DR2" s="96" t="s">
        <v>445</v>
      </c>
      <c r="DS2" s="96" t="s">
        <v>446</v>
      </c>
      <c r="DT2" s="96" t="s">
        <v>447</v>
      </c>
      <c r="DU2" s="96" t="s">
        <v>448</v>
      </c>
      <c r="DV2" s="89"/>
      <c r="DW2" s="96" t="s">
        <v>449</v>
      </c>
      <c r="DX2" s="173" t="s">
        <v>450</v>
      </c>
      <c r="DY2" s="96" t="s">
        <v>451</v>
      </c>
      <c r="DZ2" s="96" t="s">
        <v>452</v>
      </c>
      <c r="EA2" s="96" t="s">
        <v>453</v>
      </c>
      <c r="EB2" s="96" t="s">
        <v>454</v>
      </c>
      <c r="EC2" s="96" t="s">
        <v>455</v>
      </c>
      <c r="ED2" s="96" t="s">
        <v>456</v>
      </c>
      <c r="EE2" s="89"/>
      <c r="EF2" s="96" t="s">
        <v>457</v>
      </c>
      <c r="EG2" s="96" t="s">
        <v>458</v>
      </c>
      <c r="EH2" s="96" t="s">
        <v>459</v>
      </c>
      <c r="EI2" s="96" t="s">
        <v>460</v>
      </c>
      <c r="EJ2" s="96" t="s">
        <v>461</v>
      </c>
      <c r="EK2" s="89"/>
      <c r="EL2" s="89"/>
      <c r="EM2" s="97" t="s">
        <v>699</v>
      </c>
      <c r="EN2" s="96" t="s">
        <v>464</v>
      </c>
      <c r="EO2" s="96" t="s">
        <v>465</v>
      </c>
      <c r="EP2" s="89"/>
      <c r="EQ2" s="96" t="s">
        <v>466</v>
      </c>
      <c r="ER2" s="96" t="s">
        <v>467</v>
      </c>
      <c r="ES2" s="96" t="s">
        <v>468</v>
      </c>
      <c r="ET2" s="96" t="s">
        <v>469</v>
      </c>
      <c r="EU2" s="96" t="s">
        <v>470</v>
      </c>
      <c r="EV2" s="96" t="s">
        <v>471</v>
      </c>
      <c r="EW2" s="28"/>
      <c r="EX2" s="96" t="s">
        <v>472</v>
      </c>
      <c r="EY2" s="96" t="s">
        <v>473</v>
      </c>
      <c r="EZ2" s="96" t="s">
        <v>474</v>
      </c>
      <c r="FA2" s="96" t="s">
        <v>475</v>
      </c>
      <c r="FB2" s="96" t="s">
        <v>476</v>
      </c>
      <c r="FC2" s="96" t="s">
        <v>477</v>
      </c>
      <c r="FD2" s="96" t="s">
        <v>478</v>
      </c>
      <c r="FE2" s="96" t="s">
        <v>479</v>
      </c>
      <c r="FF2" s="96" t="s">
        <v>480</v>
      </c>
      <c r="FG2" s="89"/>
      <c r="FH2" s="96" t="s">
        <v>481</v>
      </c>
      <c r="FI2" s="89"/>
      <c r="FJ2" s="80" t="s">
        <v>482</v>
      </c>
      <c r="FK2" s="172" t="s">
        <v>483</v>
      </c>
      <c r="FL2" s="172" t="s">
        <v>484</v>
      </c>
      <c r="FM2" s="172" t="s">
        <v>485</v>
      </c>
      <c r="FN2" s="80" t="s">
        <v>700</v>
      </c>
      <c r="FO2" s="564" t="s">
        <v>701</v>
      </c>
      <c r="FP2" s="561"/>
      <c r="FQ2" s="561"/>
      <c r="FR2" s="561"/>
      <c r="FS2" s="561"/>
      <c r="FT2" s="561"/>
      <c r="FU2" s="561"/>
      <c r="FV2" s="89"/>
      <c r="FW2" s="96" t="s">
        <v>744</v>
      </c>
      <c r="FX2" s="89"/>
      <c r="FY2" s="96" t="s">
        <v>490</v>
      </c>
      <c r="FZ2" s="96" t="s">
        <v>491</v>
      </c>
      <c r="GA2" s="96" t="s">
        <v>492</v>
      </c>
      <c r="GB2" s="96" t="s">
        <v>493</v>
      </c>
      <c r="GC2" s="96" t="s">
        <v>494</v>
      </c>
      <c r="GD2" s="46" t="s">
        <v>745</v>
      </c>
      <c r="GE2" s="89"/>
      <c r="GF2" s="85" t="s">
        <v>703</v>
      </c>
      <c r="GG2" s="85"/>
      <c r="GH2" s="85"/>
      <c r="GI2" s="121" t="s">
        <v>735</v>
      </c>
      <c r="GJ2" s="46" t="s">
        <v>736</v>
      </c>
      <c r="GK2" s="46"/>
      <c r="GL2" s="46"/>
      <c r="GM2" s="46"/>
      <c r="GN2" s="46"/>
      <c r="GO2" s="46"/>
      <c r="GP2" s="46"/>
      <c r="GQ2" s="46"/>
      <c r="GR2" s="46"/>
      <c r="GS2" s="46"/>
      <c r="GT2" s="46"/>
    </row>
    <row r="3" spans="2:230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92" t="s">
        <v>159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V3" s="89"/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82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E3" s="89"/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K3" s="89"/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P3" s="89"/>
      <c r="FQ3" s="89"/>
      <c r="FR3" s="89"/>
      <c r="FS3" s="89"/>
      <c r="FT3" s="89"/>
      <c r="FU3" s="89"/>
      <c r="FV3" s="30" t="s">
        <v>529</v>
      </c>
      <c r="FW3" s="30" t="s">
        <v>308</v>
      </c>
      <c r="FX3" s="30" t="s">
        <v>530</v>
      </c>
      <c r="FY3" s="30" t="s">
        <v>312</v>
      </c>
      <c r="FZ3" s="89"/>
      <c r="GA3" s="89"/>
      <c r="GB3" s="89"/>
      <c r="GC3" s="89"/>
      <c r="GD3" s="30" t="s">
        <v>531</v>
      </c>
      <c r="GE3" s="30" t="s">
        <v>530</v>
      </c>
      <c r="GF3" s="30" t="s">
        <v>532</v>
      </c>
      <c r="GG3" s="89"/>
      <c r="GH3" s="89"/>
      <c r="GI3" s="30" t="s">
        <v>706</v>
      </c>
      <c r="GJ3" s="89" t="s">
        <v>534</v>
      </c>
      <c r="GM3" s="89" t="s">
        <v>535</v>
      </c>
      <c r="GP3" s="89" t="s">
        <v>529</v>
      </c>
      <c r="GS3" s="89" t="s">
        <v>536</v>
      </c>
    </row>
    <row r="4" spans="2:230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 t="s">
        <v>554</v>
      </c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 t="s">
        <v>565</v>
      </c>
      <c r="BS4" s="31"/>
      <c r="BT4" s="30" t="s">
        <v>193</v>
      </c>
      <c r="BU4" s="30"/>
      <c r="BV4" s="89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570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82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 t="s">
        <v>589</v>
      </c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E4" s="89"/>
      <c r="EF4" s="89"/>
      <c r="EG4" s="89"/>
      <c r="EH4" s="89"/>
      <c r="EI4" s="89"/>
      <c r="EJ4" s="89"/>
      <c r="EK4" s="89"/>
      <c r="EL4" s="29"/>
      <c r="EM4" s="32" t="s">
        <v>746</v>
      </c>
      <c r="EN4" s="30"/>
      <c r="EO4" s="30"/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J4" s="30" t="s">
        <v>597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W4" s="89"/>
      <c r="FX4" s="30" t="s">
        <v>601</v>
      </c>
      <c r="FY4" s="89"/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601</v>
      </c>
      <c r="GF4" s="30" t="s">
        <v>604</v>
      </c>
      <c r="GG4" s="30" t="s">
        <v>605</v>
      </c>
      <c r="GH4" s="30" t="s">
        <v>606</v>
      </c>
      <c r="GI4" s="79" t="s">
        <v>747</v>
      </c>
      <c r="GJ4" s="30" t="s">
        <v>608</v>
      </c>
      <c r="GK4" s="89" t="s">
        <v>609</v>
      </c>
      <c r="GL4" s="89" t="s">
        <v>610</v>
      </c>
      <c r="GM4" s="89" t="s">
        <v>608</v>
      </c>
      <c r="GN4" s="89" t="s">
        <v>609</v>
      </c>
      <c r="GO4" s="89" t="s">
        <v>610</v>
      </c>
      <c r="GP4" s="89" t="s">
        <v>596</v>
      </c>
      <c r="GQ4" s="89" t="s">
        <v>609</v>
      </c>
      <c r="GR4" s="89" t="s">
        <v>610</v>
      </c>
      <c r="GS4" s="89" t="s">
        <v>611</v>
      </c>
      <c r="GT4" s="89" t="s">
        <v>609</v>
      </c>
    </row>
    <row r="5" spans="2:230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620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47" t="s">
        <v>624</v>
      </c>
      <c r="BS5" s="30" t="s">
        <v>625</v>
      </c>
      <c r="BT5" s="30"/>
      <c r="BU5" s="30"/>
      <c r="BV5" s="89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82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635</v>
      </c>
      <c r="DX5" s="48"/>
      <c r="DY5" s="30"/>
      <c r="DZ5" s="30"/>
      <c r="EA5" s="30" t="s">
        <v>636</v>
      </c>
      <c r="EB5" s="30"/>
      <c r="EC5" s="30"/>
      <c r="ED5" s="30"/>
      <c r="EE5" s="89"/>
      <c r="EF5" s="89"/>
      <c r="EG5" s="89"/>
      <c r="EH5" s="89"/>
      <c r="EI5" s="89"/>
      <c r="EJ5" s="89"/>
      <c r="EK5" s="89"/>
      <c r="EL5" s="89"/>
      <c r="EM5" s="89" t="s">
        <v>637</v>
      </c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30" t="s">
        <v>595</v>
      </c>
      <c r="EZ5" s="30" t="s">
        <v>595</v>
      </c>
      <c r="FA5" s="89"/>
      <c r="FB5" s="89"/>
      <c r="FC5" s="89"/>
      <c r="FD5" s="89"/>
      <c r="FE5" s="89"/>
      <c r="FF5" s="89"/>
      <c r="FG5" s="89"/>
      <c r="FH5" s="89"/>
      <c r="FI5" s="89" t="s">
        <v>638</v>
      </c>
      <c r="FJ5" s="89"/>
      <c r="FK5" s="30" t="s">
        <v>639</v>
      </c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30" t="s">
        <v>600</v>
      </c>
      <c r="FW5" s="89"/>
      <c r="FX5" s="89" t="s">
        <v>638</v>
      </c>
      <c r="FY5" s="89"/>
      <c r="FZ5" s="89"/>
      <c r="GA5" s="89"/>
      <c r="GB5" s="89"/>
      <c r="GC5" s="30" t="s">
        <v>640</v>
      </c>
      <c r="GD5" s="89"/>
      <c r="GE5" s="89" t="s">
        <v>641</v>
      </c>
      <c r="GF5" s="70"/>
      <c r="GG5" s="89"/>
      <c r="GH5" s="89"/>
      <c r="GI5" s="89" t="s">
        <v>642</v>
      </c>
      <c r="GJ5" s="89"/>
      <c r="GK5" s="43" t="s">
        <v>643</v>
      </c>
      <c r="GL5" s="30" t="s">
        <v>644</v>
      </c>
      <c r="GM5" s="89"/>
      <c r="GN5" s="43" t="s">
        <v>643</v>
      </c>
      <c r="GO5" s="30" t="s">
        <v>644</v>
      </c>
      <c r="GP5" s="89"/>
      <c r="GQ5" s="43" t="s">
        <v>643</v>
      </c>
      <c r="GR5" s="30" t="s">
        <v>644</v>
      </c>
      <c r="GT5" s="30" t="s">
        <v>643</v>
      </c>
      <c r="GV5" s="89" t="s">
        <v>645</v>
      </c>
    </row>
    <row r="6" spans="2:230" s="89" customFormat="1" x14ac:dyDescent="0.15">
      <c r="B6" s="106" t="s">
        <v>1</v>
      </c>
      <c r="C6" s="102">
        <v>675404325</v>
      </c>
      <c r="D6" s="73">
        <f t="shared" ref="D6:D52" si="0">E6+F6</f>
        <v>150518953</v>
      </c>
      <c r="E6" s="102">
        <v>4341547</v>
      </c>
      <c r="F6" s="102">
        <v>146177406</v>
      </c>
      <c r="G6" s="73">
        <f t="shared" ref="G6:G52" si="1">H6+I6</f>
        <v>131105669</v>
      </c>
      <c r="H6" s="102">
        <v>18797931</v>
      </c>
      <c r="I6" s="102">
        <v>112307738</v>
      </c>
      <c r="J6" s="102">
        <v>277965430</v>
      </c>
      <c r="K6" s="102">
        <v>104795953</v>
      </c>
      <c r="L6" s="102">
        <v>137206422</v>
      </c>
      <c r="M6" s="102">
        <v>35652275</v>
      </c>
      <c r="N6" s="102">
        <v>30009911</v>
      </c>
      <c r="O6" s="102">
        <v>56637745</v>
      </c>
      <c r="P6" s="102">
        <v>26426424</v>
      </c>
      <c r="Q6" s="102">
        <v>30211321</v>
      </c>
      <c r="R6" s="102">
        <v>6120840</v>
      </c>
      <c r="S6" s="74"/>
      <c r="T6" s="73">
        <f t="shared" ref="T6:T52" si="2">SUM(U6:AA6)</f>
        <v>69826681</v>
      </c>
      <c r="U6" s="102">
        <v>934168</v>
      </c>
      <c r="V6" s="102">
        <v>2654841</v>
      </c>
      <c r="W6" s="102">
        <v>2697942</v>
      </c>
      <c r="X6" s="102">
        <v>60460501</v>
      </c>
      <c r="Y6" s="102">
        <v>0</v>
      </c>
      <c r="Z6" s="102">
        <v>0</v>
      </c>
      <c r="AA6" s="102">
        <v>3079229</v>
      </c>
      <c r="AB6" s="102">
        <v>2242163</v>
      </c>
      <c r="AC6" s="102">
        <v>52769721</v>
      </c>
      <c r="AD6" s="102">
        <v>52019079</v>
      </c>
      <c r="AE6" s="102">
        <v>750549</v>
      </c>
      <c r="AF6" s="102">
        <v>828586</v>
      </c>
      <c r="AG6" s="102">
        <v>7573917</v>
      </c>
      <c r="AH6" s="73">
        <f t="shared" ref="AH6:AH52" si="3">AI6+AJ6</f>
        <v>67280574</v>
      </c>
      <c r="AI6" s="102">
        <v>59538335</v>
      </c>
      <c r="AJ6" s="102">
        <v>7742239</v>
      </c>
      <c r="AK6" s="102">
        <v>403886978</v>
      </c>
      <c r="AL6" s="73">
        <f t="shared" ref="AL6:AL52" si="4">SUM(AM6:AP6)</f>
        <v>287585400</v>
      </c>
      <c r="AM6" s="102">
        <v>211893846</v>
      </c>
      <c r="AN6" s="102">
        <v>34623773</v>
      </c>
      <c r="AO6" s="74"/>
      <c r="AP6" s="102">
        <v>41067781</v>
      </c>
      <c r="AQ6" s="102">
        <v>21844915</v>
      </c>
      <c r="AR6" s="102">
        <v>0</v>
      </c>
      <c r="AS6" s="102">
        <v>0</v>
      </c>
      <c r="AT6" s="102">
        <v>69879604</v>
      </c>
      <c r="AU6" s="102">
        <v>42269536</v>
      </c>
      <c r="AV6" s="102">
        <v>0</v>
      </c>
      <c r="AW6" s="102">
        <v>1054820</v>
      </c>
      <c r="AX6" s="102">
        <v>27610068</v>
      </c>
      <c r="AY6" s="102">
        <v>58118</v>
      </c>
      <c r="AZ6" s="102">
        <v>25408358</v>
      </c>
      <c r="BA6" s="102">
        <v>10965536</v>
      </c>
      <c r="BB6" s="102">
        <v>855098</v>
      </c>
      <c r="BC6" s="102">
        <v>35780440</v>
      </c>
      <c r="BD6" s="102">
        <v>6549061</v>
      </c>
      <c r="BE6" s="102">
        <v>0</v>
      </c>
      <c r="BF6" s="102">
        <v>1555641</v>
      </c>
      <c r="BG6" s="102">
        <v>0</v>
      </c>
      <c r="BH6" s="102">
        <v>1990584</v>
      </c>
      <c r="BI6" s="102">
        <v>400450</v>
      </c>
      <c r="BJ6" s="102">
        <v>146025924</v>
      </c>
      <c r="BK6" s="102">
        <v>84156024</v>
      </c>
      <c r="BL6" s="102">
        <v>319812</v>
      </c>
      <c r="BM6" s="102">
        <v>9444887</v>
      </c>
      <c r="BN6" s="102">
        <v>117972500</v>
      </c>
      <c r="BO6" s="73">
        <f t="shared" ref="BO6:BO52" si="5">BN6-BP6-BT6</f>
        <v>43372500</v>
      </c>
      <c r="BP6" s="73">
        <f t="shared" ref="BP6:BP52" si="6">BQ6+BR6+BS6</f>
        <v>74600000</v>
      </c>
      <c r="BQ6" s="102">
        <v>0</v>
      </c>
      <c r="BR6" s="76">
        <v>0</v>
      </c>
      <c r="BS6" s="102">
        <v>74600000</v>
      </c>
      <c r="BT6" s="102">
        <v>0</v>
      </c>
      <c r="BU6" s="102">
        <v>1742817144</v>
      </c>
      <c r="BV6" s="71"/>
      <c r="BW6" s="102">
        <v>300873562</v>
      </c>
      <c r="BX6" s="102">
        <v>218464913</v>
      </c>
      <c r="BY6" s="102">
        <v>23505377</v>
      </c>
      <c r="BZ6" s="102">
        <v>8538046</v>
      </c>
      <c r="CA6" s="102">
        <v>552537563</v>
      </c>
      <c r="CB6" s="102">
        <v>100209871</v>
      </c>
      <c r="CC6" s="102">
        <v>7543791</v>
      </c>
      <c r="CD6" s="102">
        <v>143945428</v>
      </c>
      <c r="CE6" s="102">
        <v>283198463</v>
      </c>
      <c r="CF6" s="102">
        <v>9479881</v>
      </c>
      <c r="CG6" s="102">
        <v>8160129</v>
      </c>
      <c r="CH6" s="102">
        <v>262979593</v>
      </c>
      <c r="CI6" s="102">
        <v>234058463</v>
      </c>
      <c r="CJ6" s="83">
        <v>33225569</v>
      </c>
      <c r="CK6" s="102">
        <v>111768760</v>
      </c>
      <c r="CL6" s="102">
        <v>72226553</v>
      </c>
      <c r="CM6" s="102">
        <v>1913578</v>
      </c>
      <c r="CN6" s="102">
        <v>22489875</v>
      </c>
      <c r="CO6" s="102">
        <v>16384296</v>
      </c>
      <c r="CP6" s="102">
        <v>115483776</v>
      </c>
      <c r="CQ6" s="102">
        <v>7616250</v>
      </c>
      <c r="CR6" s="102">
        <v>49048676</v>
      </c>
      <c r="CS6" s="102">
        <v>38629222</v>
      </c>
      <c r="CT6" s="73">
        <f t="shared" ref="CT6:CT52" si="7">CU6+CV6</f>
        <v>35975153</v>
      </c>
      <c r="CU6" s="102">
        <v>352735</v>
      </c>
      <c r="CV6" s="102">
        <v>35622418</v>
      </c>
      <c r="CW6" s="73">
        <f t="shared" ref="CW6:CW52" si="8">CX6+CY6</f>
        <v>0</v>
      </c>
      <c r="CX6" s="102">
        <v>0</v>
      </c>
      <c r="CY6" s="102">
        <v>0</v>
      </c>
      <c r="CZ6" s="73">
        <f t="shared" ref="CZ6:CZ52" si="9">DA6+DB6</f>
        <v>30282716</v>
      </c>
      <c r="DA6" s="102">
        <v>0</v>
      </c>
      <c r="DB6" s="102">
        <v>30282716</v>
      </c>
      <c r="DC6" s="102">
        <v>115756512</v>
      </c>
      <c r="DD6" s="102">
        <v>71070390</v>
      </c>
      <c r="DE6" s="102">
        <v>41590684</v>
      </c>
      <c r="DF6" s="102">
        <v>0</v>
      </c>
      <c r="DG6" s="102">
        <v>70698</v>
      </c>
      <c r="DH6" s="102">
        <v>0</v>
      </c>
      <c r="DI6" s="102">
        <v>45726154</v>
      </c>
      <c r="DJ6" s="102">
        <v>2926523</v>
      </c>
      <c r="DK6" s="102">
        <v>11592101</v>
      </c>
      <c r="DL6" s="102">
        <v>31207530</v>
      </c>
      <c r="DM6" s="102">
        <v>2673285</v>
      </c>
      <c r="DN6" s="102">
        <v>1688645</v>
      </c>
      <c r="DO6" s="102">
        <v>0</v>
      </c>
      <c r="DP6" s="102">
        <v>0</v>
      </c>
      <c r="DQ6" s="102">
        <v>87263482</v>
      </c>
      <c r="DR6" s="102">
        <v>0</v>
      </c>
      <c r="DS6" s="102">
        <v>0</v>
      </c>
      <c r="DT6" s="102">
        <v>129366304</v>
      </c>
      <c r="DU6" s="102">
        <v>0</v>
      </c>
      <c r="DV6" s="73">
        <f t="shared" ref="DV6:DV52" si="10">DW6</f>
        <v>11555648</v>
      </c>
      <c r="DW6" s="102">
        <v>11555648</v>
      </c>
      <c r="DX6" s="102">
        <v>36158027</v>
      </c>
      <c r="DY6" s="102">
        <v>0</v>
      </c>
      <c r="DZ6" s="102">
        <v>41866135</v>
      </c>
      <c r="EA6" s="74">
        <v>0</v>
      </c>
      <c r="EB6" s="102">
        <v>37273624</v>
      </c>
      <c r="EC6" s="102">
        <v>0</v>
      </c>
      <c r="ED6" s="102">
        <v>1740813287</v>
      </c>
      <c r="EE6" s="71"/>
      <c r="EF6" s="102">
        <v>2003857</v>
      </c>
      <c r="EG6" s="102">
        <v>1584045</v>
      </c>
      <c r="EH6" s="102">
        <v>419812</v>
      </c>
      <c r="EI6" s="102">
        <v>19362</v>
      </c>
      <c r="EJ6" s="102">
        <v>-3603176</v>
      </c>
      <c r="EK6" s="71"/>
      <c r="EL6" s="102">
        <v>2691185</v>
      </c>
      <c r="EM6" s="102">
        <v>2702432</v>
      </c>
      <c r="EN6" s="102">
        <v>6549061</v>
      </c>
      <c r="EO6" s="102">
        <v>14290544</v>
      </c>
      <c r="EP6" s="73">
        <f t="shared" ref="EP6:EP52" si="11">EQ6-ER6-C6-R6-T6-AB6-AC6-BP6-EN6-EO6</f>
        <v>98154571</v>
      </c>
      <c r="EQ6" s="102">
        <v>866163167</v>
      </c>
      <c r="ER6" s="71">
        <v>-133794739</v>
      </c>
      <c r="ES6" s="102">
        <v>253389293</v>
      </c>
      <c r="ET6" s="102">
        <v>184000144</v>
      </c>
      <c r="EU6" s="102">
        <v>163288408</v>
      </c>
      <c r="EV6" s="102">
        <v>230924782</v>
      </c>
      <c r="EW6" s="73">
        <f t="shared" ref="EW6:EW52" si="12">EX6+FA6+FB6</f>
        <v>37611701</v>
      </c>
      <c r="EX6" s="102">
        <v>37611701</v>
      </c>
      <c r="EY6" s="102">
        <v>11928900</v>
      </c>
      <c r="EZ6" s="102">
        <v>25343461</v>
      </c>
      <c r="FA6" s="102">
        <v>0</v>
      </c>
      <c r="FB6" s="102">
        <v>0</v>
      </c>
      <c r="FC6" s="102">
        <v>71872375</v>
      </c>
      <c r="FD6" s="102">
        <v>96530910</v>
      </c>
      <c r="FE6" s="102">
        <v>2700029</v>
      </c>
      <c r="FF6" s="102">
        <v>106294625</v>
      </c>
      <c r="FG6" s="73">
        <f t="shared" ref="FG6:FG52" si="13">FH6-ES6-EU6-EV6-EW6-FC6-FD6-FF6</f>
        <v>38041955</v>
      </c>
      <c r="FH6" s="102">
        <v>997954049</v>
      </c>
      <c r="FI6" s="379">
        <f t="shared" ref="FI6:FI52" si="14">ROUND(EH6/(FJ6+FK6)*100,1)</f>
        <v>0</v>
      </c>
      <c r="FJ6" s="102">
        <v>774086311</v>
      </c>
      <c r="FK6" s="102">
        <v>74600459</v>
      </c>
      <c r="FL6" s="102">
        <v>564608862</v>
      </c>
      <c r="FM6" s="102">
        <v>617149386</v>
      </c>
      <c r="FN6" s="151">
        <v>0.92700000000000005</v>
      </c>
      <c r="FO6" s="424">
        <v>98.3</v>
      </c>
      <c r="FP6" s="151">
        <v>28.2</v>
      </c>
      <c r="FQ6" s="424">
        <v>18.2</v>
      </c>
      <c r="FR6" s="424">
        <v>25.7</v>
      </c>
      <c r="FS6" s="151">
        <v>7.8</v>
      </c>
      <c r="FT6" s="424">
        <v>8.4</v>
      </c>
      <c r="FU6" s="426">
        <v>8.6</v>
      </c>
      <c r="FV6" s="384">
        <v>7.9</v>
      </c>
      <c r="FW6" s="102">
        <v>2069776835</v>
      </c>
      <c r="FX6" s="384">
        <f t="shared" ref="FX6:FX52" si="15">ROUND(FW6/(FJ6+FK6)*100,1)</f>
        <v>243.9</v>
      </c>
      <c r="FY6" s="102">
        <v>240653698</v>
      </c>
      <c r="FZ6" s="102">
        <v>163020324</v>
      </c>
      <c r="GA6" s="102">
        <v>11592101</v>
      </c>
      <c r="GB6" s="102">
        <v>66041273</v>
      </c>
      <c r="GC6" s="107">
        <v>0</v>
      </c>
      <c r="GD6" s="427"/>
      <c r="GE6" s="386"/>
      <c r="GF6" s="424">
        <v>99.4</v>
      </c>
      <c r="GG6" s="424">
        <v>29.5</v>
      </c>
      <c r="GH6" s="424">
        <v>98.2</v>
      </c>
      <c r="GI6" s="102">
        <v>33170</v>
      </c>
      <c r="GJ6" s="123" t="s">
        <v>646</v>
      </c>
      <c r="GK6" s="151">
        <v>11.25</v>
      </c>
      <c r="GL6" s="117">
        <v>20</v>
      </c>
      <c r="GM6" s="123" t="s">
        <v>646</v>
      </c>
      <c r="GN6" s="151">
        <v>16.25</v>
      </c>
      <c r="GO6" s="387">
        <v>30</v>
      </c>
      <c r="GP6" s="424">
        <v>5.7</v>
      </c>
      <c r="GQ6" s="388">
        <v>25</v>
      </c>
      <c r="GR6" s="388">
        <v>35</v>
      </c>
      <c r="GS6" s="151">
        <v>65.2</v>
      </c>
      <c r="GT6" s="389">
        <v>400</v>
      </c>
      <c r="GV6" s="100">
        <f t="shared" ref="GV6:GV52" si="16">ROUND((FJ6+FK6)/1000,0)</f>
        <v>848687</v>
      </c>
    </row>
    <row r="7" spans="2:230" s="89" customFormat="1" x14ac:dyDescent="0.15">
      <c r="B7" s="106" t="s">
        <v>3</v>
      </c>
      <c r="C7" s="102">
        <v>134355183</v>
      </c>
      <c r="D7" s="73">
        <f t="shared" si="0"/>
        <v>44631404</v>
      </c>
      <c r="E7" s="102">
        <v>1305209</v>
      </c>
      <c r="F7" s="102">
        <v>43326195</v>
      </c>
      <c r="G7" s="73">
        <f t="shared" si="1"/>
        <v>11265968</v>
      </c>
      <c r="H7" s="102">
        <v>2353628</v>
      </c>
      <c r="I7" s="102">
        <v>8912340</v>
      </c>
      <c r="J7" s="102">
        <v>56494674</v>
      </c>
      <c r="K7" s="102">
        <v>22543239</v>
      </c>
      <c r="L7" s="102">
        <v>22663932</v>
      </c>
      <c r="M7" s="102">
        <v>10391899</v>
      </c>
      <c r="N7" s="102">
        <v>5671154</v>
      </c>
      <c r="O7" s="102">
        <v>10441138</v>
      </c>
      <c r="P7" s="102">
        <v>5778951</v>
      </c>
      <c r="Q7" s="102">
        <v>4662187</v>
      </c>
      <c r="R7" s="102">
        <v>2106811</v>
      </c>
      <c r="S7" s="74"/>
      <c r="T7" s="73">
        <f t="shared" si="2"/>
        <v>17792180</v>
      </c>
      <c r="U7" s="102">
        <v>288171</v>
      </c>
      <c r="V7" s="102">
        <v>817437</v>
      </c>
      <c r="W7" s="102">
        <v>828193</v>
      </c>
      <c r="X7" s="102">
        <v>14731041</v>
      </c>
      <c r="Y7" s="102">
        <v>132040</v>
      </c>
      <c r="Z7" s="102">
        <v>0</v>
      </c>
      <c r="AA7" s="102">
        <v>995298</v>
      </c>
      <c r="AB7" s="102">
        <v>809306</v>
      </c>
      <c r="AC7" s="102">
        <v>29959699</v>
      </c>
      <c r="AD7" s="102">
        <v>29010513</v>
      </c>
      <c r="AE7" s="102">
        <v>949114</v>
      </c>
      <c r="AF7" s="102">
        <v>294650</v>
      </c>
      <c r="AG7" s="102">
        <v>3236706</v>
      </c>
      <c r="AH7" s="73">
        <f t="shared" si="3"/>
        <v>5779245</v>
      </c>
      <c r="AI7" s="102">
        <v>3765158</v>
      </c>
      <c r="AJ7" s="102">
        <v>2014087</v>
      </c>
      <c r="AK7" s="102">
        <v>96627087</v>
      </c>
      <c r="AL7" s="73">
        <f t="shared" si="4"/>
        <v>55675475</v>
      </c>
      <c r="AM7" s="102">
        <v>35311825</v>
      </c>
      <c r="AN7" s="102">
        <v>9387873</v>
      </c>
      <c r="AO7" s="74"/>
      <c r="AP7" s="102">
        <v>10975777</v>
      </c>
      <c r="AQ7" s="102">
        <v>2051279</v>
      </c>
      <c r="AR7" s="102">
        <v>0</v>
      </c>
      <c r="AS7" s="102">
        <v>9698</v>
      </c>
      <c r="AT7" s="102">
        <v>22122629</v>
      </c>
      <c r="AU7" s="102">
        <v>13174070</v>
      </c>
      <c r="AV7" s="102">
        <v>3773067</v>
      </c>
      <c r="AW7" s="102">
        <v>1175684</v>
      </c>
      <c r="AX7" s="102">
        <v>8948559</v>
      </c>
      <c r="AY7" s="102">
        <v>26999</v>
      </c>
      <c r="AZ7" s="102">
        <v>1542832</v>
      </c>
      <c r="BA7" s="102">
        <v>975889</v>
      </c>
      <c r="BB7" s="102">
        <v>213517</v>
      </c>
      <c r="BC7" s="102">
        <v>5270063</v>
      </c>
      <c r="BD7" s="102">
        <v>0</v>
      </c>
      <c r="BE7" s="102">
        <v>2299940</v>
      </c>
      <c r="BF7" s="102">
        <v>2970100</v>
      </c>
      <c r="BG7" s="102">
        <v>0</v>
      </c>
      <c r="BH7" s="102">
        <v>3386821</v>
      </c>
      <c r="BI7" s="102">
        <v>2393508</v>
      </c>
      <c r="BJ7" s="102">
        <v>7538068</v>
      </c>
      <c r="BK7" s="102">
        <v>1928986</v>
      </c>
      <c r="BL7" s="102">
        <v>199623</v>
      </c>
      <c r="BM7" s="102">
        <v>1760384</v>
      </c>
      <c r="BN7" s="102">
        <v>50447200</v>
      </c>
      <c r="BO7" s="73">
        <f t="shared" si="5"/>
        <v>24393100</v>
      </c>
      <c r="BP7" s="73">
        <f t="shared" si="6"/>
        <v>26054100</v>
      </c>
      <c r="BQ7" s="102">
        <v>0</v>
      </c>
      <c r="BR7" s="76">
        <v>0</v>
      </c>
      <c r="BS7" s="102">
        <v>26054100</v>
      </c>
      <c r="BT7" s="102">
        <v>0</v>
      </c>
      <c r="BU7" s="102">
        <v>401827515</v>
      </c>
      <c r="BV7" s="71"/>
      <c r="BW7" s="102">
        <v>84078541</v>
      </c>
      <c r="BX7" s="102">
        <v>60468113</v>
      </c>
      <c r="BY7" s="102">
        <v>6363301</v>
      </c>
      <c r="BZ7" s="102">
        <v>2782760</v>
      </c>
      <c r="CA7" s="102">
        <v>124486862</v>
      </c>
      <c r="CB7" s="102">
        <v>27833380</v>
      </c>
      <c r="CC7" s="102">
        <v>2158741</v>
      </c>
      <c r="CD7" s="102">
        <v>44544732</v>
      </c>
      <c r="CE7" s="102">
        <v>46997998</v>
      </c>
      <c r="CF7" s="102">
        <v>2265625</v>
      </c>
      <c r="CG7" s="102">
        <v>686357</v>
      </c>
      <c r="CH7" s="102">
        <v>34206519</v>
      </c>
      <c r="CI7" s="102">
        <v>29730102</v>
      </c>
      <c r="CJ7" s="83">
        <v>4815673</v>
      </c>
      <c r="CK7" s="102">
        <v>44054006</v>
      </c>
      <c r="CL7" s="102">
        <v>29655217</v>
      </c>
      <c r="CM7" s="102">
        <v>2077347</v>
      </c>
      <c r="CN7" s="102">
        <v>6529940</v>
      </c>
      <c r="CO7" s="102">
        <v>1873505</v>
      </c>
      <c r="CP7" s="102">
        <v>25288537</v>
      </c>
      <c r="CQ7" s="102">
        <v>15997</v>
      </c>
      <c r="CR7" s="102">
        <v>7782482</v>
      </c>
      <c r="CS7" s="102">
        <v>3673257</v>
      </c>
      <c r="CT7" s="73">
        <f t="shared" si="7"/>
        <v>8837633</v>
      </c>
      <c r="CU7" s="102">
        <v>7196221</v>
      </c>
      <c r="CV7" s="102">
        <v>1641412</v>
      </c>
      <c r="CW7" s="73">
        <f t="shared" si="8"/>
        <v>0</v>
      </c>
      <c r="CX7" s="102">
        <v>0</v>
      </c>
      <c r="CY7" s="102">
        <v>0</v>
      </c>
      <c r="CZ7" s="73">
        <f t="shared" si="9"/>
        <v>8702112</v>
      </c>
      <c r="DA7" s="102">
        <v>7080302</v>
      </c>
      <c r="DB7" s="102">
        <v>1621810</v>
      </c>
      <c r="DC7" s="102">
        <v>46923183</v>
      </c>
      <c r="DD7" s="102">
        <v>25458869</v>
      </c>
      <c r="DE7" s="102">
        <v>21232933</v>
      </c>
      <c r="DF7" s="102">
        <v>0</v>
      </c>
      <c r="DG7" s="102">
        <v>212717</v>
      </c>
      <c r="DH7" s="102">
        <v>106477</v>
      </c>
      <c r="DI7" s="102">
        <v>3305566</v>
      </c>
      <c r="DJ7" s="102">
        <v>2000</v>
      </c>
      <c r="DK7" s="102">
        <v>46273</v>
      </c>
      <c r="DL7" s="102">
        <v>3257293</v>
      </c>
      <c r="DM7" s="102">
        <v>585000</v>
      </c>
      <c r="DN7" s="102">
        <v>0</v>
      </c>
      <c r="DO7" s="102">
        <v>0</v>
      </c>
      <c r="DP7" s="102">
        <v>0</v>
      </c>
      <c r="DQ7" s="102">
        <v>1817594</v>
      </c>
      <c r="DR7" s="102">
        <v>0</v>
      </c>
      <c r="DS7" s="102">
        <v>0</v>
      </c>
      <c r="DT7" s="102">
        <v>30667493</v>
      </c>
      <c r="DU7" s="102">
        <v>0</v>
      </c>
      <c r="DV7" s="73">
        <f t="shared" si="10"/>
        <v>0</v>
      </c>
      <c r="DW7" s="102">
        <v>0</v>
      </c>
      <c r="DX7" s="102">
        <v>11217142</v>
      </c>
      <c r="DY7" s="102">
        <v>0</v>
      </c>
      <c r="DZ7" s="102">
        <v>8763719</v>
      </c>
      <c r="EA7" s="74">
        <v>0</v>
      </c>
      <c r="EB7" s="102">
        <v>10655365</v>
      </c>
      <c r="EC7" s="102">
        <v>0</v>
      </c>
      <c r="ED7" s="102">
        <v>397393283</v>
      </c>
      <c r="EE7" s="71"/>
      <c r="EF7" s="102">
        <v>4434232</v>
      </c>
      <c r="EG7" s="102">
        <v>1892208</v>
      </c>
      <c r="EH7" s="102">
        <v>2542024</v>
      </c>
      <c r="EI7" s="102">
        <v>148516</v>
      </c>
      <c r="EJ7" s="102">
        <v>150516</v>
      </c>
      <c r="EK7" s="71"/>
      <c r="EL7" s="102">
        <v>839310</v>
      </c>
      <c r="EM7" s="102">
        <v>840622</v>
      </c>
      <c r="EN7" s="102">
        <v>2836697</v>
      </c>
      <c r="EO7" s="102">
        <v>640979</v>
      </c>
      <c r="EP7" s="73">
        <f t="shared" si="11"/>
        <v>28475385</v>
      </c>
      <c r="EQ7" s="102">
        <v>205663347</v>
      </c>
      <c r="ER7" s="71">
        <v>-37366993</v>
      </c>
      <c r="ES7" s="102">
        <v>71554556</v>
      </c>
      <c r="ET7" s="102">
        <v>48377372</v>
      </c>
      <c r="EU7" s="102">
        <v>37457653</v>
      </c>
      <c r="EV7" s="102">
        <v>34053454</v>
      </c>
      <c r="EW7" s="73">
        <f t="shared" si="12"/>
        <v>7784286</v>
      </c>
      <c r="EX7" s="102">
        <v>7677809</v>
      </c>
      <c r="EY7" s="102">
        <v>1097849</v>
      </c>
      <c r="EZ7" s="102">
        <v>6560113</v>
      </c>
      <c r="FA7" s="102">
        <v>106477</v>
      </c>
      <c r="FB7" s="102">
        <v>0</v>
      </c>
      <c r="FC7" s="102">
        <v>36893449</v>
      </c>
      <c r="FD7" s="102">
        <v>22227549</v>
      </c>
      <c r="FE7" s="102">
        <v>15997</v>
      </c>
      <c r="FF7" s="102">
        <v>24744774</v>
      </c>
      <c r="FG7" s="73">
        <f t="shared" si="13"/>
        <v>3903887</v>
      </c>
      <c r="FH7" s="102">
        <v>238619608</v>
      </c>
      <c r="FI7" s="379">
        <f t="shared" si="14"/>
        <v>1.2</v>
      </c>
      <c r="FJ7" s="102">
        <v>192571439</v>
      </c>
      <c r="FK7" s="102">
        <v>26054141</v>
      </c>
      <c r="FL7" s="102">
        <v>129886465</v>
      </c>
      <c r="FM7" s="102">
        <v>158669841</v>
      </c>
      <c r="FN7" s="151">
        <v>0.84299999999999997</v>
      </c>
      <c r="FO7" s="424">
        <v>97.7</v>
      </c>
      <c r="FP7" s="426">
        <v>32</v>
      </c>
      <c r="FQ7" s="424">
        <v>16.8</v>
      </c>
      <c r="FR7" s="424">
        <v>15.3</v>
      </c>
      <c r="FS7" s="151">
        <v>15.1</v>
      </c>
      <c r="FT7" s="424">
        <v>7.2</v>
      </c>
      <c r="FU7" s="426">
        <v>10.8</v>
      </c>
      <c r="FV7" s="384">
        <v>5.7</v>
      </c>
      <c r="FW7" s="102">
        <v>428454234</v>
      </c>
      <c r="FX7" s="384">
        <f t="shared" si="15"/>
        <v>196</v>
      </c>
      <c r="FY7" s="102">
        <v>43169208</v>
      </c>
      <c r="FZ7" s="102">
        <v>1818500</v>
      </c>
      <c r="GA7" s="102">
        <v>3822115</v>
      </c>
      <c r="GB7" s="102">
        <v>37528593</v>
      </c>
      <c r="GC7" s="107">
        <v>0</v>
      </c>
      <c r="GD7" s="427"/>
      <c r="GE7" s="386"/>
      <c r="GF7" s="424">
        <v>99.3</v>
      </c>
      <c r="GG7" s="424">
        <v>44.2</v>
      </c>
      <c r="GH7" s="424">
        <v>98.2</v>
      </c>
      <c r="GI7" s="102">
        <v>8698</v>
      </c>
      <c r="GJ7" s="123" t="s">
        <v>646</v>
      </c>
      <c r="GK7" s="151">
        <v>11.25</v>
      </c>
      <c r="GL7" s="117">
        <v>20</v>
      </c>
      <c r="GM7" s="123" t="s">
        <v>646</v>
      </c>
      <c r="GN7" s="151">
        <v>16.25</v>
      </c>
      <c r="GO7" s="387">
        <v>30</v>
      </c>
      <c r="GP7" s="424">
        <v>5.6</v>
      </c>
      <c r="GQ7" s="388">
        <v>25</v>
      </c>
      <c r="GR7" s="388">
        <v>35</v>
      </c>
      <c r="GS7" s="151">
        <v>22.9</v>
      </c>
      <c r="GT7" s="389">
        <v>400</v>
      </c>
      <c r="GV7" s="100">
        <f t="shared" si="16"/>
        <v>218626</v>
      </c>
    </row>
    <row r="8" spans="2:230" x14ac:dyDescent="0.15">
      <c r="B8" s="89" t="s">
        <v>5</v>
      </c>
      <c r="C8" s="102">
        <v>24307508</v>
      </c>
      <c r="D8" s="73">
        <f t="shared" si="0"/>
        <v>8915604</v>
      </c>
      <c r="E8" s="102">
        <v>298260</v>
      </c>
      <c r="F8" s="102">
        <v>8617344</v>
      </c>
      <c r="G8" s="73">
        <f t="shared" si="1"/>
        <v>1490600</v>
      </c>
      <c r="H8" s="102">
        <v>443522</v>
      </c>
      <c r="I8" s="102">
        <v>1047078</v>
      </c>
      <c r="J8" s="102">
        <v>10100365</v>
      </c>
      <c r="K8" s="102">
        <v>4100229</v>
      </c>
      <c r="L8" s="102">
        <v>4283309</v>
      </c>
      <c r="M8" s="102">
        <v>1432494</v>
      </c>
      <c r="N8" s="102">
        <v>1429595</v>
      </c>
      <c r="O8" s="102">
        <v>1972903</v>
      </c>
      <c r="P8" s="102">
        <v>1095553</v>
      </c>
      <c r="Q8" s="102">
        <v>877350</v>
      </c>
      <c r="R8" s="102">
        <v>339802</v>
      </c>
      <c r="S8" s="74"/>
      <c r="T8" s="73">
        <f t="shared" si="2"/>
        <v>3947924</v>
      </c>
      <c r="U8" s="102">
        <v>58325</v>
      </c>
      <c r="V8" s="102">
        <v>165366</v>
      </c>
      <c r="W8" s="102">
        <v>167403</v>
      </c>
      <c r="X8" s="102">
        <v>3342481</v>
      </c>
      <c r="Y8" s="102">
        <v>43628</v>
      </c>
      <c r="Z8" s="102">
        <v>0</v>
      </c>
      <c r="AA8" s="102">
        <v>170721</v>
      </c>
      <c r="AB8" s="102">
        <v>140933</v>
      </c>
      <c r="AC8" s="102">
        <v>12316212</v>
      </c>
      <c r="AD8" s="102">
        <v>12018902</v>
      </c>
      <c r="AE8" s="102">
        <v>297310</v>
      </c>
      <c r="AF8" s="102">
        <v>35235</v>
      </c>
      <c r="AG8" s="102">
        <v>454199</v>
      </c>
      <c r="AH8" s="73">
        <f t="shared" si="3"/>
        <v>1394970</v>
      </c>
      <c r="AI8" s="102">
        <v>1047445</v>
      </c>
      <c r="AJ8" s="102">
        <v>347525</v>
      </c>
      <c r="AK8" s="102">
        <v>17847636</v>
      </c>
      <c r="AL8" s="73">
        <f t="shared" si="4"/>
        <v>11679112</v>
      </c>
      <c r="AM8" s="102">
        <v>8065001</v>
      </c>
      <c r="AN8" s="102">
        <v>1565750</v>
      </c>
      <c r="AO8" s="74"/>
      <c r="AP8" s="102">
        <v>2048361</v>
      </c>
      <c r="AQ8" s="102">
        <v>581506</v>
      </c>
      <c r="AR8" s="102">
        <v>0</v>
      </c>
      <c r="AS8" s="102">
        <v>0</v>
      </c>
      <c r="AT8" s="102">
        <v>5220625</v>
      </c>
      <c r="AU8" s="102">
        <v>3061688</v>
      </c>
      <c r="AV8" s="102">
        <v>779480</v>
      </c>
      <c r="AW8" s="102">
        <v>7644</v>
      </c>
      <c r="AX8" s="102">
        <v>2158937</v>
      </c>
      <c r="AY8" s="102">
        <v>2292</v>
      </c>
      <c r="AZ8" s="102">
        <v>1015339</v>
      </c>
      <c r="BA8" s="102">
        <v>833812</v>
      </c>
      <c r="BB8" s="102">
        <v>333805</v>
      </c>
      <c r="BC8" s="102">
        <v>1074767</v>
      </c>
      <c r="BD8" s="102">
        <v>570000</v>
      </c>
      <c r="BE8" s="102">
        <v>0</v>
      </c>
      <c r="BF8" s="102">
        <v>196213</v>
      </c>
      <c r="BG8" s="102">
        <v>187921</v>
      </c>
      <c r="BH8" s="102">
        <v>174334</v>
      </c>
      <c r="BI8" s="102">
        <v>31518</v>
      </c>
      <c r="BJ8" s="102">
        <v>1111314</v>
      </c>
      <c r="BK8" s="102">
        <v>0</v>
      </c>
      <c r="BL8" s="102">
        <v>0</v>
      </c>
      <c r="BM8" s="102">
        <v>342274</v>
      </c>
      <c r="BN8" s="102">
        <v>6091200</v>
      </c>
      <c r="BO8" s="73">
        <f t="shared" si="5"/>
        <v>3013400</v>
      </c>
      <c r="BP8" s="73">
        <f t="shared" si="6"/>
        <v>3077800</v>
      </c>
      <c r="BQ8" s="102">
        <v>0</v>
      </c>
      <c r="BR8" s="102">
        <v>0</v>
      </c>
      <c r="BS8" s="102">
        <v>3077800</v>
      </c>
      <c r="BT8" s="102">
        <v>0</v>
      </c>
      <c r="BU8" s="102">
        <v>75805803</v>
      </c>
      <c r="BV8" s="71"/>
      <c r="BW8" s="102">
        <v>11479341</v>
      </c>
      <c r="BX8" s="102">
        <v>8028181</v>
      </c>
      <c r="BY8" s="102">
        <v>644293</v>
      </c>
      <c r="BZ8" s="102">
        <v>649366</v>
      </c>
      <c r="CA8" s="102">
        <v>26855239</v>
      </c>
      <c r="CB8" s="102">
        <v>5352737</v>
      </c>
      <c r="CC8" s="102">
        <v>415027</v>
      </c>
      <c r="CD8" s="102">
        <v>9451577</v>
      </c>
      <c r="CE8" s="102">
        <v>10637493</v>
      </c>
      <c r="CF8" s="102">
        <v>20213</v>
      </c>
      <c r="CG8" s="102">
        <v>975762</v>
      </c>
      <c r="CH8" s="102">
        <v>8488917</v>
      </c>
      <c r="CI8" s="102">
        <v>7745857</v>
      </c>
      <c r="CJ8" s="83">
        <f t="shared" ref="CJ8:CJ52" si="17">IF(CI8="","",CH8-CI8)</f>
        <v>743060</v>
      </c>
      <c r="CK8" s="102">
        <v>7468026</v>
      </c>
      <c r="CL8" s="102">
        <v>4728655</v>
      </c>
      <c r="CM8" s="102">
        <v>545773</v>
      </c>
      <c r="CN8" s="102">
        <v>890785</v>
      </c>
      <c r="CO8" s="102">
        <v>499466</v>
      </c>
      <c r="CP8" s="102">
        <v>7439333</v>
      </c>
      <c r="CQ8" s="102">
        <v>1907940</v>
      </c>
      <c r="CR8" s="102">
        <v>800378</v>
      </c>
      <c r="CS8" s="102">
        <v>702892</v>
      </c>
      <c r="CT8" s="73">
        <f t="shared" si="7"/>
        <v>3704478</v>
      </c>
      <c r="CU8" s="102">
        <v>2301183</v>
      </c>
      <c r="CV8" s="102">
        <v>1403295</v>
      </c>
      <c r="CW8" s="73">
        <f t="shared" si="8"/>
        <v>1301840</v>
      </c>
      <c r="CX8" s="102">
        <v>1136822</v>
      </c>
      <c r="CY8" s="102">
        <v>165018</v>
      </c>
      <c r="CZ8" s="73">
        <f t="shared" si="9"/>
        <v>2333242</v>
      </c>
      <c r="DA8" s="102">
        <v>1129642</v>
      </c>
      <c r="DB8" s="102">
        <v>1203600</v>
      </c>
      <c r="DC8" s="102">
        <v>5108918</v>
      </c>
      <c r="DD8" s="102">
        <v>3401101</v>
      </c>
      <c r="DE8" s="102">
        <v>1636630</v>
      </c>
      <c r="DF8" s="102">
        <v>71187</v>
      </c>
      <c r="DG8" s="102">
        <v>0</v>
      </c>
      <c r="DH8" s="102">
        <v>120374</v>
      </c>
      <c r="DI8" s="102">
        <v>210118</v>
      </c>
      <c r="DJ8" s="102">
        <v>838</v>
      </c>
      <c r="DK8" s="102">
        <v>125</v>
      </c>
      <c r="DL8" s="102">
        <v>209155</v>
      </c>
      <c r="DM8" s="102">
        <v>470202</v>
      </c>
      <c r="DN8" s="102">
        <v>470202</v>
      </c>
      <c r="DO8" s="102">
        <v>145025</v>
      </c>
      <c r="DP8" s="102">
        <v>100000</v>
      </c>
      <c r="DQ8" s="102">
        <v>0</v>
      </c>
      <c r="DR8" s="102">
        <v>0</v>
      </c>
      <c r="DS8" s="102">
        <v>0</v>
      </c>
      <c r="DT8" s="102">
        <v>7420403</v>
      </c>
      <c r="DU8" s="102">
        <v>0</v>
      </c>
      <c r="DV8" s="73">
        <f t="shared" si="10"/>
        <v>0</v>
      </c>
      <c r="DW8" s="102">
        <v>0</v>
      </c>
      <c r="DX8" s="102">
        <v>2672315</v>
      </c>
      <c r="DY8" s="102">
        <v>0</v>
      </c>
      <c r="DZ8" s="102">
        <v>2240544</v>
      </c>
      <c r="EA8" s="74">
        <v>0</v>
      </c>
      <c r="EB8" s="102">
        <v>2319623</v>
      </c>
      <c r="EC8" s="102">
        <v>0</v>
      </c>
      <c r="ED8" s="102">
        <v>75560337</v>
      </c>
      <c r="EE8" s="71"/>
      <c r="EF8" s="102">
        <v>245466</v>
      </c>
      <c r="EG8" s="102">
        <v>157394</v>
      </c>
      <c r="EH8" s="102">
        <v>88072</v>
      </c>
      <c r="EI8" s="102">
        <v>-13049</v>
      </c>
      <c r="EJ8" s="102">
        <v>-579611</v>
      </c>
      <c r="EK8" s="71"/>
      <c r="EL8" s="102">
        <v>194911</v>
      </c>
      <c r="EM8" s="102">
        <v>196871</v>
      </c>
      <c r="EN8" s="102">
        <v>796670</v>
      </c>
      <c r="EO8" s="102">
        <v>1013750</v>
      </c>
      <c r="EP8" s="73">
        <f t="shared" si="11"/>
        <v>1432173</v>
      </c>
      <c r="EQ8" s="102">
        <v>41087614</v>
      </c>
      <c r="ER8" s="71">
        <v>-6285158</v>
      </c>
      <c r="ES8" s="102">
        <v>10662847</v>
      </c>
      <c r="ET8" s="102">
        <v>7249004</v>
      </c>
      <c r="EU8" s="102">
        <v>7703462</v>
      </c>
      <c r="EV8" s="102">
        <v>8454053</v>
      </c>
      <c r="EW8" s="73">
        <f t="shared" si="12"/>
        <v>553753</v>
      </c>
      <c r="EX8" s="102">
        <v>464646</v>
      </c>
      <c r="EY8" s="102">
        <v>18103</v>
      </c>
      <c r="EZ8" s="102">
        <v>422377</v>
      </c>
      <c r="FA8" s="102">
        <v>89107</v>
      </c>
      <c r="FB8" s="102">
        <v>0</v>
      </c>
      <c r="FC8" s="102">
        <v>6156097</v>
      </c>
      <c r="FD8" s="102">
        <v>6967196</v>
      </c>
      <c r="FE8" s="102">
        <v>1907940</v>
      </c>
      <c r="FF8" s="102">
        <v>5863418</v>
      </c>
      <c r="FG8" s="73">
        <f t="shared" si="13"/>
        <v>766480</v>
      </c>
      <c r="FH8" s="102">
        <v>47127306</v>
      </c>
      <c r="FI8" s="379">
        <f t="shared" si="14"/>
        <v>0.2</v>
      </c>
      <c r="FJ8" s="102">
        <v>38513404</v>
      </c>
      <c r="FK8" s="102">
        <v>3077874</v>
      </c>
      <c r="FL8" s="102">
        <v>20741901</v>
      </c>
      <c r="FM8" s="102">
        <v>33323880</v>
      </c>
      <c r="FN8" s="428">
        <v>0.61299999999999999</v>
      </c>
      <c r="FO8" s="424">
        <v>102.5</v>
      </c>
      <c r="FP8" s="425">
        <v>24.7</v>
      </c>
      <c r="FQ8" s="424">
        <v>18.2</v>
      </c>
      <c r="FR8" s="424">
        <v>20</v>
      </c>
      <c r="FS8" s="425">
        <v>13.2</v>
      </c>
      <c r="FT8" s="424">
        <v>13</v>
      </c>
      <c r="FU8" s="425">
        <v>12.3</v>
      </c>
      <c r="FV8" s="384">
        <v>10.8</v>
      </c>
      <c r="FW8" s="102">
        <v>70323812</v>
      </c>
      <c r="FX8" s="384">
        <f t="shared" si="15"/>
        <v>169.1</v>
      </c>
      <c r="FY8" s="102">
        <v>5498744</v>
      </c>
      <c r="FZ8" s="102">
        <v>2546769</v>
      </c>
      <c r="GA8" s="102">
        <v>40451</v>
      </c>
      <c r="GB8" s="102">
        <v>2911524</v>
      </c>
      <c r="GC8" s="107">
        <v>0</v>
      </c>
      <c r="GD8" s="427"/>
      <c r="GE8" s="386"/>
      <c r="GF8" s="424">
        <v>99.2</v>
      </c>
      <c r="GG8" s="424">
        <v>40.1</v>
      </c>
      <c r="GH8" s="424">
        <v>97.9</v>
      </c>
      <c r="GI8" s="102">
        <v>1303</v>
      </c>
      <c r="GJ8" s="429" t="s">
        <v>646</v>
      </c>
      <c r="GK8" s="429">
        <v>11.42</v>
      </c>
      <c r="GL8" s="117">
        <v>20</v>
      </c>
      <c r="GM8" s="429" t="s">
        <v>646</v>
      </c>
      <c r="GN8" s="430">
        <v>16.420000000000002</v>
      </c>
      <c r="GO8" s="387">
        <v>30</v>
      </c>
      <c r="GP8" s="425">
        <v>10.5</v>
      </c>
      <c r="GQ8" s="388">
        <v>25</v>
      </c>
      <c r="GR8" s="388">
        <v>35</v>
      </c>
      <c r="GS8" s="431">
        <v>43.9</v>
      </c>
      <c r="GT8" s="388">
        <v>350</v>
      </c>
      <c r="GU8" s="394"/>
      <c r="GV8" s="100">
        <f t="shared" si="16"/>
        <v>41591</v>
      </c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</row>
    <row r="9" spans="2:230" x14ac:dyDescent="0.15">
      <c r="B9" s="89" t="s">
        <v>7</v>
      </c>
      <c r="C9" s="102">
        <v>68126796</v>
      </c>
      <c r="D9" s="73">
        <f t="shared" si="0"/>
        <v>29282467</v>
      </c>
      <c r="E9" s="102">
        <v>615152</v>
      </c>
      <c r="F9" s="102">
        <v>28667315</v>
      </c>
      <c r="G9" s="73">
        <f t="shared" si="1"/>
        <v>4592674</v>
      </c>
      <c r="H9" s="102">
        <v>1132176</v>
      </c>
      <c r="I9" s="102">
        <v>3460498</v>
      </c>
      <c r="J9" s="102">
        <v>24729599</v>
      </c>
      <c r="K9" s="102">
        <v>9914203</v>
      </c>
      <c r="L9" s="102">
        <v>11944164</v>
      </c>
      <c r="M9" s="102">
        <v>2677100</v>
      </c>
      <c r="N9" s="102">
        <v>2388308</v>
      </c>
      <c r="O9" s="102">
        <v>5781855</v>
      </c>
      <c r="P9" s="102">
        <v>3099969</v>
      </c>
      <c r="Q9" s="102">
        <v>2681886</v>
      </c>
      <c r="R9" s="102">
        <v>2258104</v>
      </c>
      <c r="S9" s="74"/>
      <c r="T9" s="73">
        <f t="shared" si="2"/>
        <v>8322577</v>
      </c>
      <c r="U9" s="102">
        <v>188370</v>
      </c>
      <c r="V9" s="102">
        <v>535007</v>
      </c>
      <c r="W9" s="102">
        <v>543150</v>
      </c>
      <c r="X9" s="102">
        <v>6756055</v>
      </c>
      <c r="Y9" s="102">
        <v>0</v>
      </c>
      <c r="Z9" s="102">
        <v>0</v>
      </c>
      <c r="AA9" s="102">
        <v>299995</v>
      </c>
      <c r="AB9" s="102">
        <v>262395</v>
      </c>
      <c r="AC9" s="102">
        <v>5294615</v>
      </c>
      <c r="AD9" s="102">
        <v>4765881</v>
      </c>
      <c r="AE9" s="102">
        <v>528694</v>
      </c>
      <c r="AF9" s="102">
        <v>45287</v>
      </c>
      <c r="AG9" s="102">
        <v>1565259</v>
      </c>
      <c r="AH9" s="73">
        <f t="shared" si="3"/>
        <v>2546840</v>
      </c>
      <c r="AI9" s="102">
        <v>2232629</v>
      </c>
      <c r="AJ9" s="102">
        <v>314211</v>
      </c>
      <c r="AK9" s="102">
        <v>30700944</v>
      </c>
      <c r="AL9" s="73">
        <f t="shared" si="4"/>
        <v>19946664</v>
      </c>
      <c r="AM9" s="102">
        <v>13884404</v>
      </c>
      <c r="AN9" s="102">
        <v>1947027</v>
      </c>
      <c r="AO9" s="74"/>
      <c r="AP9" s="102">
        <v>4115233</v>
      </c>
      <c r="AQ9" s="102">
        <v>1178223</v>
      </c>
      <c r="AR9" s="102">
        <v>0</v>
      </c>
      <c r="AS9" s="102">
        <v>0</v>
      </c>
      <c r="AT9" s="102">
        <v>9552923</v>
      </c>
      <c r="AU9" s="102">
        <v>6037346</v>
      </c>
      <c r="AV9" s="102">
        <v>0</v>
      </c>
      <c r="AW9" s="102">
        <v>519781</v>
      </c>
      <c r="AX9" s="102">
        <v>3515577</v>
      </c>
      <c r="AY9" s="102">
        <v>25257</v>
      </c>
      <c r="AZ9" s="102">
        <v>1225033</v>
      </c>
      <c r="BA9" s="102">
        <v>1121987</v>
      </c>
      <c r="BB9" s="102">
        <v>165975</v>
      </c>
      <c r="BC9" s="102">
        <v>1665995</v>
      </c>
      <c r="BD9" s="102">
        <v>390066</v>
      </c>
      <c r="BE9" s="102">
        <v>44511</v>
      </c>
      <c r="BF9" s="102">
        <v>1193411</v>
      </c>
      <c r="BG9" s="102">
        <v>0</v>
      </c>
      <c r="BH9" s="102">
        <v>1297948</v>
      </c>
      <c r="BI9" s="102">
        <v>15141</v>
      </c>
      <c r="BJ9" s="102">
        <v>2641107</v>
      </c>
      <c r="BK9" s="102">
        <v>265512</v>
      </c>
      <c r="BL9" s="102">
        <v>0</v>
      </c>
      <c r="BM9" s="102">
        <v>83222</v>
      </c>
      <c r="BN9" s="102">
        <v>9851650</v>
      </c>
      <c r="BO9" s="73">
        <f t="shared" si="5"/>
        <v>4014779</v>
      </c>
      <c r="BP9" s="73">
        <f t="shared" si="6"/>
        <v>5836871</v>
      </c>
      <c r="BQ9" s="102">
        <v>0</v>
      </c>
      <c r="BR9" s="102">
        <v>0</v>
      </c>
      <c r="BS9" s="102">
        <v>5836871</v>
      </c>
      <c r="BT9" s="102">
        <v>0</v>
      </c>
      <c r="BU9" s="102">
        <v>145523448</v>
      </c>
      <c r="BV9" s="71"/>
      <c r="BW9" s="102">
        <v>26536375</v>
      </c>
      <c r="BX9" s="102">
        <v>17124636</v>
      </c>
      <c r="BY9" s="102">
        <v>1517328</v>
      </c>
      <c r="BZ9" s="102">
        <v>3200169</v>
      </c>
      <c r="CA9" s="102">
        <v>48314793</v>
      </c>
      <c r="CB9" s="102">
        <v>10991948</v>
      </c>
      <c r="CC9" s="102">
        <v>784438</v>
      </c>
      <c r="CD9" s="102">
        <v>17257008</v>
      </c>
      <c r="CE9" s="102">
        <v>18664738</v>
      </c>
      <c r="CF9" s="102">
        <v>285107</v>
      </c>
      <c r="CG9" s="102">
        <v>330646</v>
      </c>
      <c r="CH9" s="102">
        <v>10990173</v>
      </c>
      <c r="CI9" s="102">
        <v>10342835</v>
      </c>
      <c r="CJ9" s="83">
        <f t="shared" si="17"/>
        <v>647338</v>
      </c>
      <c r="CK9" s="102">
        <v>16055306</v>
      </c>
      <c r="CL9" s="102">
        <v>8998871</v>
      </c>
      <c r="CM9" s="102">
        <v>668958</v>
      </c>
      <c r="CN9" s="102">
        <v>3500673</v>
      </c>
      <c r="CO9" s="102">
        <v>1188304</v>
      </c>
      <c r="CP9" s="102">
        <v>12088912</v>
      </c>
      <c r="CQ9" s="102">
        <v>1374638</v>
      </c>
      <c r="CR9" s="102">
        <v>3295083</v>
      </c>
      <c r="CS9" s="102">
        <v>2360964</v>
      </c>
      <c r="CT9" s="73">
        <f t="shared" si="7"/>
        <v>5428719</v>
      </c>
      <c r="CU9" s="102">
        <v>4871851</v>
      </c>
      <c r="CV9" s="102">
        <v>556868</v>
      </c>
      <c r="CW9" s="73">
        <f t="shared" si="8"/>
        <v>2359908</v>
      </c>
      <c r="CX9" s="102">
        <v>1985491</v>
      </c>
      <c r="CY9" s="102">
        <v>374417</v>
      </c>
      <c r="CZ9" s="73">
        <f t="shared" si="9"/>
        <v>2777949</v>
      </c>
      <c r="DA9" s="102">
        <v>2640801</v>
      </c>
      <c r="DB9" s="102">
        <v>137148</v>
      </c>
      <c r="DC9" s="102">
        <v>11426518</v>
      </c>
      <c r="DD9" s="102">
        <v>2094488</v>
      </c>
      <c r="DE9" s="102">
        <v>9332030</v>
      </c>
      <c r="DF9" s="102">
        <v>0</v>
      </c>
      <c r="DG9" s="102">
        <v>0</v>
      </c>
      <c r="DH9" s="102">
        <v>0</v>
      </c>
      <c r="DI9" s="102">
        <v>2253957</v>
      </c>
      <c r="DJ9" s="102">
        <v>295005</v>
      </c>
      <c r="DK9" s="102">
        <v>159299</v>
      </c>
      <c r="DL9" s="102">
        <v>1799653</v>
      </c>
      <c r="DM9" s="102">
        <v>0</v>
      </c>
      <c r="DN9" s="102">
        <v>0</v>
      </c>
      <c r="DO9" s="102">
        <v>0</v>
      </c>
      <c r="DP9" s="102">
        <v>0</v>
      </c>
      <c r="DQ9" s="102">
        <v>184417</v>
      </c>
      <c r="DR9" s="102">
        <v>0</v>
      </c>
      <c r="DS9" s="102">
        <v>0</v>
      </c>
      <c r="DT9" s="102">
        <v>14671878</v>
      </c>
      <c r="DU9" s="102">
        <v>0</v>
      </c>
      <c r="DV9" s="73">
        <f t="shared" si="10"/>
        <v>0</v>
      </c>
      <c r="DW9" s="102">
        <v>0</v>
      </c>
      <c r="DX9" s="102">
        <v>4760644</v>
      </c>
      <c r="DY9" s="102">
        <v>44511</v>
      </c>
      <c r="DZ9" s="102">
        <v>4717676</v>
      </c>
      <c r="EA9" s="74">
        <v>0</v>
      </c>
      <c r="EB9" s="102">
        <v>4843122</v>
      </c>
      <c r="EC9" s="102">
        <v>0</v>
      </c>
      <c r="ED9" s="102">
        <v>143710633</v>
      </c>
      <c r="EE9" s="71"/>
      <c r="EF9" s="102">
        <v>1812815</v>
      </c>
      <c r="EG9" s="102">
        <v>530169</v>
      </c>
      <c r="EH9" s="102">
        <v>1282646</v>
      </c>
      <c r="EI9" s="102">
        <v>1267505</v>
      </c>
      <c r="EJ9" s="102">
        <v>1254816</v>
      </c>
      <c r="EK9" s="71"/>
      <c r="EL9" s="102">
        <v>395479</v>
      </c>
      <c r="EM9" s="102">
        <v>405974</v>
      </c>
      <c r="EN9" s="102">
        <v>1303732</v>
      </c>
      <c r="EO9" s="102">
        <v>1214043</v>
      </c>
      <c r="EP9" s="73">
        <f t="shared" si="11"/>
        <v>1710983</v>
      </c>
      <c r="EQ9" s="102">
        <v>84309774</v>
      </c>
      <c r="ER9" s="71">
        <v>-10020342</v>
      </c>
      <c r="ES9" s="102">
        <v>24729832</v>
      </c>
      <c r="ET9" s="102">
        <v>16084806</v>
      </c>
      <c r="EU9" s="102">
        <v>14314559</v>
      </c>
      <c r="EV9" s="102">
        <v>10789692</v>
      </c>
      <c r="EW9" s="73">
        <f t="shared" si="12"/>
        <v>4390068</v>
      </c>
      <c r="EX9" s="102">
        <v>4390068</v>
      </c>
      <c r="EY9" s="102">
        <v>122233</v>
      </c>
      <c r="EZ9" s="102">
        <v>4267835</v>
      </c>
      <c r="FA9" s="102">
        <v>0</v>
      </c>
      <c r="FB9" s="102">
        <v>0</v>
      </c>
      <c r="FC9" s="102">
        <v>12205501</v>
      </c>
      <c r="FD9" s="102">
        <v>10650329</v>
      </c>
      <c r="FE9" s="102">
        <v>1374638</v>
      </c>
      <c r="FF9" s="102">
        <v>12205280</v>
      </c>
      <c r="FG9" s="73">
        <f t="shared" si="13"/>
        <v>3232040</v>
      </c>
      <c r="FH9" s="102">
        <v>92517301</v>
      </c>
      <c r="FI9" s="379">
        <f t="shared" si="14"/>
        <v>1.6</v>
      </c>
      <c r="FJ9" s="102">
        <v>76850572</v>
      </c>
      <c r="FK9" s="102">
        <v>5836871</v>
      </c>
      <c r="FL9" s="102">
        <v>55583398</v>
      </c>
      <c r="FM9" s="102">
        <v>60487160</v>
      </c>
      <c r="FN9" s="428">
        <v>0.91900000000000004</v>
      </c>
      <c r="FO9" s="424">
        <v>93.5</v>
      </c>
      <c r="FP9" s="425">
        <v>28.7</v>
      </c>
      <c r="FQ9" s="424">
        <v>16.899999999999999</v>
      </c>
      <c r="FR9" s="424">
        <v>12.7</v>
      </c>
      <c r="FS9" s="425">
        <v>13</v>
      </c>
      <c r="FT9" s="424">
        <v>9.4</v>
      </c>
      <c r="FU9" s="425">
        <v>11.6</v>
      </c>
      <c r="FV9" s="384">
        <v>6.4</v>
      </c>
      <c r="FW9" s="102">
        <v>86147819</v>
      </c>
      <c r="FX9" s="384">
        <f t="shared" si="15"/>
        <v>104.2</v>
      </c>
      <c r="FY9" s="102">
        <v>10285019</v>
      </c>
      <c r="FZ9" s="102">
        <v>3932308</v>
      </c>
      <c r="GA9" s="102">
        <v>962531</v>
      </c>
      <c r="GB9" s="102">
        <v>5390180</v>
      </c>
      <c r="GC9" s="107">
        <v>0</v>
      </c>
      <c r="GD9" s="427"/>
      <c r="GE9" s="386"/>
      <c r="GF9" s="424">
        <v>99.1</v>
      </c>
      <c r="GG9" s="424">
        <v>29.9</v>
      </c>
      <c r="GH9" s="424">
        <v>96.6</v>
      </c>
      <c r="GI9" s="102">
        <v>2445</v>
      </c>
      <c r="GJ9" s="429" t="s">
        <v>646</v>
      </c>
      <c r="GK9" s="429">
        <v>11.25</v>
      </c>
      <c r="GL9" s="117">
        <v>20</v>
      </c>
      <c r="GM9" s="429" t="s">
        <v>646</v>
      </c>
      <c r="GN9" s="430">
        <v>16.25</v>
      </c>
      <c r="GO9" s="387">
        <v>30</v>
      </c>
      <c r="GP9" s="425">
        <v>5.0999999999999996</v>
      </c>
      <c r="GQ9" s="388">
        <v>25</v>
      </c>
      <c r="GR9" s="388">
        <v>35</v>
      </c>
      <c r="GS9" s="431">
        <v>2.6</v>
      </c>
      <c r="GT9" s="388">
        <v>350</v>
      </c>
      <c r="GU9" s="394"/>
      <c r="GV9" s="100">
        <f t="shared" si="16"/>
        <v>82687</v>
      </c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</row>
    <row r="10" spans="2:230" x14ac:dyDescent="0.15">
      <c r="B10" s="89" t="s">
        <v>9</v>
      </c>
      <c r="C10" s="102">
        <v>17242364</v>
      </c>
      <c r="D10" s="73">
        <f t="shared" si="0"/>
        <v>6810100</v>
      </c>
      <c r="E10" s="102">
        <v>168684</v>
      </c>
      <c r="F10" s="102">
        <v>6641416</v>
      </c>
      <c r="G10" s="73">
        <f t="shared" si="1"/>
        <v>2047273</v>
      </c>
      <c r="H10" s="102">
        <v>283444</v>
      </c>
      <c r="I10" s="102">
        <v>1763829</v>
      </c>
      <c r="J10" s="102">
        <v>6274569</v>
      </c>
      <c r="K10" s="102">
        <v>2707320</v>
      </c>
      <c r="L10" s="102">
        <v>2783854</v>
      </c>
      <c r="M10" s="102">
        <v>770690</v>
      </c>
      <c r="N10" s="102">
        <v>574015</v>
      </c>
      <c r="O10" s="102">
        <v>1421670</v>
      </c>
      <c r="P10" s="102">
        <v>823800</v>
      </c>
      <c r="Q10" s="102">
        <v>597870</v>
      </c>
      <c r="R10" s="102">
        <v>213416</v>
      </c>
      <c r="S10" s="74"/>
      <c r="T10" s="73">
        <f t="shared" si="2"/>
        <v>2272736</v>
      </c>
      <c r="U10" s="102">
        <v>44847</v>
      </c>
      <c r="V10" s="102">
        <v>127330</v>
      </c>
      <c r="W10" s="102">
        <v>129195</v>
      </c>
      <c r="X10" s="102">
        <v>1825096</v>
      </c>
      <c r="Y10" s="102">
        <v>67495</v>
      </c>
      <c r="Z10" s="102">
        <v>0</v>
      </c>
      <c r="AA10" s="102">
        <v>78773</v>
      </c>
      <c r="AB10" s="102">
        <v>66484</v>
      </c>
      <c r="AC10" s="102">
        <v>2875058</v>
      </c>
      <c r="AD10" s="102">
        <v>2313954</v>
      </c>
      <c r="AE10" s="102">
        <v>561104</v>
      </c>
      <c r="AF10" s="102">
        <v>14179</v>
      </c>
      <c r="AG10" s="102">
        <v>231551</v>
      </c>
      <c r="AH10" s="73">
        <f t="shared" si="3"/>
        <v>1150089</v>
      </c>
      <c r="AI10" s="102">
        <v>890615</v>
      </c>
      <c r="AJ10" s="102">
        <v>259474</v>
      </c>
      <c r="AK10" s="102">
        <v>6018257</v>
      </c>
      <c r="AL10" s="73">
        <f t="shared" si="4"/>
        <v>2667218</v>
      </c>
      <c r="AM10" s="102">
        <v>1271839</v>
      </c>
      <c r="AN10" s="102">
        <v>584594</v>
      </c>
      <c r="AO10" s="74"/>
      <c r="AP10" s="102">
        <v>810785</v>
      </c>
      <c r="AQ10" s="102">
        <v>1033223</v>
      </c>
      <c r="AR10" s="102">
        <v>0</v>
      </c>
      <c r="AS10" s="102">
        <v>0</v>
      </c>
      <c r="AT10" s="102">
        <v>2614595</v>
      </c>
      <c r="AU10" s="102">
        <v>1345161</v>
      </c>
      <c r="AV10" s="102">
        <v>292297</v>
      </c>
      <c r="AW10" s="102">
        <v>22284</v>
      </c>
      <c r="AX10" s="102">
        <v>1269434</v>
      </c>
      <c r="AY10" s="102">
        <v>193452</v>
      </c>
      <c r="AZ10" s="102">
        <v>60014</v>
      </c>
      <c r="BA10" s="102">
        <v>20367</v>
      </c>
      <c r="BB10" s="102">
        <v>143459</v>
      </c>
      <c r="BC10" s="102">
        <v>125697</v>
      </c>
      <c r="BD10" s="102">
        <v>0</v>
      </c>
      <c r="BE10" s="102">
        <v>0</v>
      </c>
      <c r="BF10" s="102">
        <v>82526</v>
      </c>
      <c r="BG10" s="102">
        <v>0</v>
      </c>
      <c r="BH10" s="102">
        <v>424494</v>
      </c>
      <c r="BI10" s="102">
        <v>348508</v>
      </c>
      <c r="BJ10" s="102">
        <v>468517</v>
      </c>
      <c r="BK10" s="102">
        <v>110983</v>
      </c>
      <c r="BL10" s="102">
        <v>1808</v>
      </c>
      <c r="BM10" s="102">
        <v>56967</v>
      </c>
      <c r="BN10" s="102">
        <v>3047400</v>
      </c>
      <c r="BO10" s="73">
        <f t="shared" si="5"/>
        <v>1547400</v>
      </c>
      <c r="BP10" s="73">
        <f t="shared" si="6"/>
        <v>1500000</v>
      </c>
      <c r="BQ10" s="102">
        <v>0</v>
      </c>
      <c r="BR10" s="102">
        <v>0</v>
      </c>
      <c r="BS10" s="102">
        <v>1500000</v>
      </c>
      <c r="BT10" s="102">
        <v>0</v>
      </c>
      <c r="BU10" s="102">
        <v>36968310</v>
      </c>
      <c r="BV10" s="71"/>
      <c r="BW10" s="102">
        <v>6287660</v>
      </c>
      <c r="BX10" s="102">
        <v>4307289</v>
      </c>
      <c r="BY10" s="102">
        <v>435293</v>
      </c>
      <c r="BZ10" s="102">
        <v>261629</v>
      </c>
      <c r="CA10" s="102">
        <v>8343520</v>
      </c>
      <c r="CB10" s="102">
        <v>2263368</v>
      </c>
      <c r="CC10" s="102">
        <v>150359</v>
      </c>
      <c r="CD10" s="102">
        <v>4181891</v>
      </c>
      <c r="CE10" s="102">
        <v>1531389</v>
      </c>
      <c r="CF10" s="102">
        <v>11496</v>
      </c>
      <c r="CG10" s="102">
        <v>204917</v>
      </c>
      <c r="CH10" s="102">
        <v>3414308</v>
      </c>
      <c r="CI10" s="102">
        <v>3107311</v>
      </c>
      <c r="CJ10" s="83">
        <f t="shared" si="17"/>
        <v>306997</v>
      </c>
      <c r="CK10" s="102">
        <v>5991779</v>
      </c>
      <c r="CL10" s="102">
        <v>3658663</v>
      </c>
      <c r="CM10" s="102">
        <v>623323</v>
      </c>
      <c r="CN10" s="102">
        <v>745484</v>
      </c>
      <c r="CO10" s="102">
        <v>336012</v>
      </c>
      <c r="CP10" s="102">
        <v>2580812</v>
      </c>
      <c r="CQ10" s="102">
        <v>2166</v>
      </c>
      <c r="CR10" s="102">
        <v>659375</v>
      </c>
      <c r="CS10" s="102">
        <v>483266</v>
      </c>
      <c r="CT10" s="73">
        <f t="shared" si="7"/>
        <v>1127403</v>
      </c>
      <c r="CU10" s="102">
        <v>1047028</v>
      </c>
      <c r="CV10" s="102">
        <v>80375</v>
      </c>
      <c r="CW10" s="73">
        <f t="shared" si="8"/>
        <v>424499</v>
      </c>
      <c r="CX10" s="102">
        <v>424499</v>
      </c>
      <c r="CY10" s="102">
        <v>0</v>
      </c>
      <c r="CZ10" s="73">
        <f t="shared" si="9"/>
        <v>700004</v>
      </c>
      <c r="DA10" s="102">
        <v>619629</v>
      </c>
      <c r="DB10" s="102">
        <v>80375</v>
      </c>
      <c r="DC10" s="102">
        <v>4200907</v>
      </c>
      <c r="DD10" s="102">
        <v>2442295</v>
      </c>
      <c r="DE10" s="102">
        <v>1718612</v>
      </c>
      <c r="DF10" s="102">
        <v>40000</v>
      </c>
      <c r="DG10" s="102">
        <v>0</v>
      </c>
      <c r="DH10" s="102">
        <v>0</v>
      </c>
      <c r="DI10" s="102">
        <v>236401</v>
      </c>
      <c r="DJ10" s="102">
        <v>4560</v>
      </c>
      <c r="DK10" s="102">
        <v>0</v>
      </c>
      <c r="DL10" s="102">
        <v>231841</v>
      </c>
      <c r="DM10" s="102">
        <v>637392</v>
      </c>
      <c r="DN10" s="102">
        <v>637392</v>
      </c>
      <c r="DO10" s="102">
        <v>0</v>
      </c>
      <c r="DP10" s="102">
        <v>623564</v>
      </c>
      <c r="DQ10" s="102">
        <v>108650</v>
      </c>
      <c r="DR10" s="102">
        <v>0</v>
      </c>
      <c r="DS10" s="102">
        <v>0</v>
      </c>
      <c r="DT10" s="102">
        <v>3775113</v>
      </c>
      <c r="DU10" s="102">
        <v>0</v>
      </c>
      <c r="DV10" s="73">
        <f t="shared" si="10"/>
        <v>0</v>
      </c>
      <c r="DW10" s="102">
        <v>0</v>
      </c>
      <c r="DX10" s="102">
        <v>1328576</v>
      </c>
      <c r="DY10" s="102">
        <v>7576</v>
      </c>
      <c r="DZ10" s="102">
        <v>1175356</v>
      </c>
      <c r="EA10" s="74">
        <v>0</v>
      </c>
      <c r="EB10" s="102">
        <v>1263605</v>
      </c>
      <c r="EC10" s="102">
        <v>0</v>
      </c>
      <c r="ED10" s="102">
        <v>35912554</v>
      </c>
      <c r="EE10" s="71"/>
      <c r="EF10" s="102">
        <v>1055756</v>
      </c>
      <c r="EG10" s="102">
        <v>113245</v>
      </c>
      <c r="EH10" s="102">
        <v>942511</v>
      </c>
      <c r="EI10" s="102">
        <v>-5997</v>
      </c>
      <c r="EJ10" s="102">
        <v>277563</v>
      </c>
      <c r="EK10" s="71"/>
      <c r="EL10" s="102">
        <v>103069</v>
      </c>
      <c r="EM10" s="102">
        <v>103556</v>
      </c>
      <c r="EN10" s="102">
        <v>0</v>
      </c>
      <c r="EO10" s="102">
        <v>52603</v>
      </c>
      <c r="EP10" s="73">
        <f t="shared" si="11"/>
        <v>810744</v>
      </c>
      <c r="EQ10" s="102">
        <v>22684237</v>
      </c>
      <c r="ER10" s="71">
        <v>-2349168</v>
      </c>
      <c r="ES10" s="102">
        <v>5911245</v>
      </c>
      <c r="ET10" s="102">
        <v>4010100</v>
      </c>
      <c r="EU10" s="102">
        <v>2477847</v>
      </c>
      <c r="EV10" s="102">
        <v>3414308</v>
      </c>
      <c r="EW10" s="73">
        <f t="shared" si="12"/>
        <v>1166322</v>
      </c>
      <c r="EX10" s="102">
        <v>1166322</v>
      </c>
      <c r="EY10" s="102">
        <v>145387</v>
      </c>
      <c r="EZ10" s="102">
        <v>1020935</v>
      </c>
      <c r="FA10" s="102">
        <v>0</v>
      </c>
      <c r="FB10" s="102">
        <v>0</v>
      </c>
      <c r="FC10" s="102">
        <v>4680775</v>
      </c>
      <c r="FD10" s="102">
        <v>2310453</v>
      </c>
      <c r="FE10" s="102">
        <v>2166</v>
      </c>
      <c r="FF10" s="102">
        <v>3062330</v>
      </c>
      <c r="FG10" s="73">
        <f t="shared" si="13"/>
        <v>954369</v>
      </c>
      <c r="FH10" s="102">
        <v>23977649</v>
      </c>
      <c r="FI10" s="379">
        <f t="shared" si="14"/>
        <v>4.5</v>
      </c>
      <c r="FJ10" s="102">
        <v>19221688</v>
      </c>
      <c r="FK10" s="102">
        <v>1652137</v>
      </c>
      <c r="FL10" s="102">
        <v>13029533</v>
      </c>
      <c r="FM10" s="102">
        <v>15355601</v>
      </c>
      <c r="FN10" s="428">
        <v>0.84899999999999998</v>
      </c>
      <c r="FO10" s="424">
        <v>91.1</v>
      </c>
      <c r="FP10" s="425">
        <v>26</v>
      </c>
      <c r="FQ10" s="424">
        <v>11</v>
      </c>
      <c r="FR10" s="424">
        <v>14</v>
      </c>
      <c r="FS10" s="425">
        <v>18.899999999999999</v>
      </c>
      <c r="FT10" s="424">
        <v>7.6</v>
      </c>
      <c r="FU10" s="425">
        <v>12.3</v>
      </c>
      <c r="FV10" s="384">
        <v>4.4000000000000004</v>
      </c>
      <c r="FW10" s="102">
        <v>33735821</v>
      </c>
      <c r="FX10" s="384">
        <f t="shared" si="15"/>
        <v>161.6</v>
      </c>
      <c r="FY10" s="102">
        <v>7028623</v>
      </c>
      <c r="FZ10" s="102">
        <v>5142478</v>
      </c>
      <c r="GA10" s="102">
        <v>0</v>
      </c>
      <c r="GB10" s="102">
        <v>1886145</v>
      </c>
      <c r="GC10" s="107">
        <v>0</v>
      </c>
      <c r="GD10" s="427"/>
      <c r="GE10" s="386"/>
      <c r="GF10" s="424">
        <v>99.1</v>
      </c>
      <c r="GG10" s="424">
        <v>30.1</v>
      </c>
      <c r="GH10" s="424">
        <v>96.6</v>
      </c>
      <c r="GI10" s="102">
        <v>597</v>
      </c>
      <c r="GJ10" s="429" t="s">
        <v>646</v>
      </c>
      <c r="GK10" s="429">
        <v>12.41</v>
      </c>
      <c r="GL10" s="117">
        <v>20</v>
      </c>
      <c r="GM10" s="429" t="s">
        <v>646</v>
      </c>
      <c r="GN10" s="430">
        <v>17.41</v>
      </c>
      <c r="GO10" s="387">
        <v>30</v>
      </c>
      <c r="GP10" s="425">
        <v>4.7</v>
      </c>
      <c r="GQ10" s="388">
        <v>25</v>
      </c>
      <c r="GR10" s="388">
        <v>35</v>
      </c>
      <c r="GS10" s="431">
        <v>15.4</v>
      </c>
      <c r="GT10" s="388">
        <v>350</v>
      </c>
      <c r="GU10" s="394"/>
      <c r="GV10" s="100">
        <f t="shared" si="16"/>
        <v>20874</v>
      </c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</row>
    <row r="11" spans="2:230" x14ac:dyDescent="0.15">
      <c r="B11" s="89" t="s">
        <v>11</v>
      </c>
      <c r="C11" s="102">
        <v>66281490</v>
      </c>
      <c r="D11" s="73">
        <f t="shared" si="0"/>
        <v>27633346</v>
      </c>
      <c r="E11" s="102">
        <v>610859</v>
      </c>
      <c r="F11" s="102">
        <v>27022487</v>
      </c>
      <c r="G11" s="73">
        <f t="shared" si="1"/>
        <v>4790985</v>
      </c>
      <c r="H11" s="102">
        <v>1196063</v>
      </c>
      <c r="I11" s="102">
        <v>3594922</v>
      </c>
      <c r="J11" s="102">
        <v>25241500</v>
      </c>
      <c r="K11" s="102">
        <v>9421942</v>
      </c>
      <c r="L11" s="102">
        <v>12202444</v>
      </c>
      <c r="M11" s="102">
        <v>2947633</v>
      </c>
      <c r="N11" s="102">
        <v>1726169</v>
      </c>
      <c r="O11" s="102">
        <v>5581739</v>
      </c>
      <c r="P11" s="102">
        <v>2827570</v>
      </c>
      <c r="Q11" s="102">
        <v>2754169</v>
      </c>
      <c r="R11" s="102">
        <v>550041</v>
      </c>
      <c r="S11" s="74"/>
      <c r="T11" s="73">
        <f t="shared" si="2"/>
        <v>8046371</v>
      </c>
      <c r="U11" s="102">
        <v>175706</v>
      </c>
      <c r="V11" s="102">
        <v>498506</v>
      </c>
      <c r="W11" s="102">
        <v>505215</v>
      </c>
      <c r="X11" s="102">
        <v>6586622</v>
      </c>
      <c r="Y11" s="102">
        <v>0</v>
      </c>
      <c r="Z11" s="102">
        <v>0</v>
      </c>
      <c r="AA11" s="102">
        <v>280322</v>
      </c>
      <c r="AB11" s="102">
        <v>268419</v>
      </c>
      <c r="AC11" s="102">
        <v>557874</v>
      </c>
      <c r="AD11" s="102">
        <v>463091</v>
      </c>
      <c r="AE11" s="102">
        <v>94725</v>
      </c>
      <c r="AF11" s="102">
        <v>40371</v>
      </c>
      <c r="AG11" s="102">
        <v>1088089</v>
      </c>
      <c r="AH11" s="73">
        <f t="shared" si="3"/>
        <v>3055589</v>
      </c>
      <c r="AI11" s="102">
        <v>2483537</v>
      </c>
      <c r="AJ11" s="102">
        <v>572052</v>
      </c>
      <c r="AK11" s="102">
        <v>24846603</v>
      </c>
      <c r="AL11" s="73">
        <f t="shared" si="4"/>
        <v>13558251</v>
      </c>
      <c r="AM11" s="102">
        <v>7870233</v>
      </c>
      <c r="AN11" s="102">
        <v>1775537</v>
      </c>
      <c r="AO11" s="74"/>
      <c r="AP11" s="102">
        <v>3912481</v>
      </c>
      <c r="AQ11" s="102">
        <v>1990805</v>
      </c>
      <c r="AR11" s="102">
        <v>0</v>
      </c>
      <c r="AS11" s="102">
        <v>0</v>
      </c>
      <c r="AT11" s="102">
        <v>8251540</v>
      </c>
      <c r="AU11" s="102">
        <v>5058129</v>
      </c>
      <c r="AV11" s="102">
        <v>887769</v>
      </c>
      <c r="AW11" s="102">
        <v>202475</v>
      </c>
      <c r="AX11" s="102">
        <v>3193411</v>
      </c>
      <c r="AY11" s="102">
        <v>0</v>
      </c>
      <c r="AZ11" s="102">
        <v>834392</v>
      </c>
      <c r="BA11" s="102">
        <v>772688</v>
      </c>
      <c r="BB11" s="102">
        <v>52376</v>
      </c>
      <c r="BC11" s="102">
        <v>2531125</v>
      </c>
      <c r="BD11" s="102">
        <v>0</v>
      </c>
      <c r="BE11" s="102">
        <v>0</v>
      </c>
      <c r="BF11" s="102">
        <v>2320645</v>
      </c>
      <c r="BG11" s="102">
        <v>210480</v>
      </c>
      <c r="BH11" s="102">
        <v>2446876</v>
      </c>
      <c r="BI11" s="102">
        <v>531945</v>
      </c>
      <c r="BJ11" s="102">
        <v>2703222</v>
      </c>
      <c r="BK11" s="102">
        <v>351252</v>
      </c>
      <c r="BL11" s="102">
        <v>310080</v>
      </c>
      <c r="BM11" s="102">
        <v>116230</v>
      </c>
      <c r="BN11" s="102">
        <v>5987500</v>
      </c>
      <c r="BO11" s="73">
        <f t="shared" si="5"/>
        <v>5987500</v>
      </c>
      <c r="BP11" s="73">
        <f t="shared" si="6"/>
        <v>0</v>
      </c>
      <c r="BQ11" s="102">
        <v>0</v>
      </c>
      <c r="BR11" s="102">
        <v>0</v>
      </c>
      <c r="BS11" s="102">
        <v>0</v>
      </c>
      <c r="BT11" s="102">
        <v>0</v>
      </c>
      <c r="BU11" s="102">
        <v>127541878</v>
      </c>
      <c r="BV11" s="71"/>
      <c r="BW11" s="102">
        <v>22580898</v>
      </c>
      <c r="BX11" s="102">
        <v>14984267</v>
      </c>
      <c r="BY11" s="102">
        <v>1611431</v>
      </c>
      <c r="BZ11" s="102">
        <v>1716960</v>
      </c>
      <c r="CA11" s="102">
        <v>37575508</v>
      </c>
      <c r="CB11" s="102">
        <v>9505728</v>
      </c>
      <c r="CC11" s="102">
        <v>691497</v>
      </c>
      <c r="CD11" s="102">
        <v>16256626</v>
      </c>
      <c r="CE11" s="102">
        <v>10310039</v>
      </c>
      <c r="CF11" s="102">
        <v>286330</v>
      </c>
      <c r="CG11" s="102">
        <v>525250</v>
      </c>
      <c r="CH11" s="102">
        <v>5081274</v>
      </c>
      <c r="CI11" s="102">
        <v>4692580</v>
      </c>
      <c r="CJ11" s="83">
        <f t="shared" si="17"/>
        <v>388694</v>
      </c>
      <c r="CK11" s="102">
        <v>18072791</v>
      </c>
      <c r="CL11" s="102">
        <v>11326007</v>
      </c>
      <c r="CM11" s="102">
        <v>1601003</v>
      </c>
      <c r="CN11" s="102">
        <v>2641361</v>
      </c>
      <c r="CO11" s="102">
        <v>2813921</v>
      </c>
      <c r="CP11" s="102">
        <v>7211462</v>
      </c>
      <c r="CQ11" s="102">
        <v>7571</v>
      </c>
      <c r="CR11" s="102">
        <v>2164485</v>
      </c>
      <c r="CS11" s="102">
        <v>1368136</v>
      </c>
      <c r="CT11" s="73">
        <f t="shared" si="7"/>
        <v>3214957</v>
      </c>
      <c r="CU11" s="102">
        <v>2939609</v>
      </c>
      <c r="CV11" s="102">
        <v>275348</v>
      </c>
      <c r="CW11" s="73">
        <f t="shared" si="8"/>
        <v>0</v>
      </c>
      <c r="CX11" s="102">
        <v>0</v>
      </c>
      <c r="CY11" s="102">
        <v>0</v>
      </c>
      <c r="CZ11" s="73">
        <f t="shared" si="9"/>
        <v>3181723</v>
      </c>
      <c r="DA11" s="102">
        <v>2914767</v>
      </c>
      <c r="DB11" s="102">
        <v>266956</v>
      </c>
      <c r="DC11" s="102">
        <v>16845459</v>
      </c>
      <c r="DD11" s="102">
        <v>6954615</v>
      </c>
      <c r="DE11" s="102">
        <v>9583134</v>
      </c>
      <c r="DF11" s="102">
        <v>2108</v>
      </c>
      <c r="DG11" s="102">
        <v>297453</v>
      </c>
      <c r="DH11" s="102">
        <v>0</v>
      </c>
      <c r="DI11" s="102">
        <v>1214303</v>
      </c>
      <c r="DJ11" s="102">
        <v>262680</v>
      </c>
      <c r="DK11" s="102">
        <v>0</v>
      </c>
      <c r="DL11" s="102">
        <v>951623</v>
      </c>
      <c r="DM11" s="102">
        <v>29200</v>
      </c>
      <c r="DN11" s="102">
        <v>0</v>
      </c>
      <c r="DO11" s="102">
        <v>0</v>
      </c>
      <c r="DP11" s="102">
        <v>0</v>
      </c>
      <c r="DQ11" s="102">
        <v>489800</v>
      </c>
      <c r="DR11" s="102">
        <v>0</v>
      </c>
      <c r="DS11" s="102">
        <v>0</v>
      </c>
      <c r="DT11" s="102">
        <v>11443515</v>
      </c>
      <c r="DU11" s="102">
        <v>0</v>
      </c>
      <c r="DV11" s="73">
        <f t="shared" si="10"/>
        <v>0</v>
      </c>
      <c r="DW11" s="102">
        <v>0</v>
      </c>
      <c r="DX11" s="102">
        <v>4021530</v>
      </c>
      <c r="DY11" s="102">
        <v>0</v>
      </c>
      <c r="DZ11" s="102">
        <v>3579007</v>
      </c>
      <c r="EA11" s="74">
        <v>0</v>
      </c>
      <c r="EB11" s="102">
        <v>3642420</v>
      </c>
      <c r="EC11" s="102">
        <v>0</v>
      </c>
      <c r="ED11" s="102">
        <v>123358131</v>
      </c>
      <c r="EE11" s="71"/>
      <c r="EF11" s="102">
        <v>4183747</v>
      </c>
      <c r="EG11" s="102">
        <v>1649865</v>
      </c>
      <c r="EH11" s="102">
        <v>2533882</v>
      </c>
      <c r="EI11" s="102">
        <v>2001937</v>
      </c>
      <c r="EJ11" s="102">
        <v>2264617</v>
      </c>
      <c r="EK11" s="71"/>
      <c r="EL11" s="102">
        <v>374468</v>
      </c>
      <c r="EM11" s="102">
        <v>370583</v>
      </c>
      <c r="EN11" s="102">
        <v>920416</v>
      </c>
      <c r="EO11" s="102">
        <v>832153</v>
      </c>
      <c r="EP11" s="73">
        <f t="shared" si="11"/>
        <v>3257673</v>
      </c>
      <c r="EQ11" s="102">
        <v>75744566</v>
      </c>
      <c r="ER11" s="71">
        <v>-4969871</v>
      </c>
      <c r="ES11" s="102">
        <v>20759814</v>
      </c>
      <c r="ET11" s="102">
        <v>13572150</v>
      </c>
      <c r="EU11" s="102">
        <v>11179202</v>
      </c>
      <c r="EV11" s="102">
        <v>5080049</v>
      </c>
      <c r="EW11" s="73">
        <f t="shared" si="12"/>
        <v>5269132</v>
      </c>
      <c r="EX11" s="102">
        <v>5269132</v>
      </c>
      <c r="EY11" s="102">
        <v>262499</v>
      </c>
      <c r="EZ11" s="102">
        <v>4996376</v>
      </c>
      <c r="FA11" s="102">
        <v>0</v>
      </c>
      <c r="FB11" s="102">
        <v>0</v>
      </c>
      <c r="FC11" s="102">
        <v>15090274</v>
      </c>
      <c r="FD11" s="102">
        <v>6626123</v>
      </c>
      <c r="FE11" s="102">
        <v>7571</v>
      </c>
      <c r="FF11" s="102">
        <v>9166972</v>
      </c>
      <c r="FG11" s="73">
        <f t="shared" si="13"/>
        <v>3359124</v>
      </c>
      <c r="FH11" s="102">
        <v>76530690</v>
      </c>
      <c r="FI11" s="379">
        <f t="shared" si="14"/>
        <v>3.6</v>
      </c>
      <c r="FJ11" s="102">
        <v>69169740</v>
      </c>
      <c r="FK11" s="102">
        <v>1419777</v>
      </c>
      <c r="FL11" s="102">
        <v>52753290</v>
      </c>
      <c r="FM11" s="102">
        <v>53289462</v>
      </c>
      <c r="FN11" s="428">
        <v>0.98699999999999999</v>
      </c>
      <c r="FO11" s="424">
        <v>95</v>
      </c>
      <c r="FP11" s="425">
        <v>28.8</v>
      </c>
      <c r="FQ11" s="424">
        <v>15.8</v>
      </c>
      <c r="FR11" s="424">
        <v>7.2</v>
      </c>
      <c r="FS11" s="425">
        <v>20.399999999999999</v>
      </c>
      <c r="FT11" s="424">
        <v>8.4</v>
      </c>
      <c r="FU11" s="425">
        <v>11.3</v>
      </c>
      <c r="FV11" s="384">
        <v>-1.8</v>
      </c>
      <c r="FW11" s="102">
        <v>47688184</v>
      </c>
      <c r="FX11" s="384">
        <f t="shared" si="15"/>
        <v>67.599999999999994</v>
      </c>
      <c r="FY11" s="102">
        <v>22074090</v>
      </c>
      <c r="FZ11" s="102">
        <v>10890774</v>
      </c>
      <c r="GA11" s="102">
        <v>0</v>
      </c>
      <c r="GB11" s="102">
        <v>11183316</v>
      </c>
      <c r="GC11" s="107">
        <v>0</v>
      </c>
      <c r="GD11" s="427"/>
      <c r="GE11" s="386"/>
      <c r="GF11" s="424">
        <v>99.5</v>
      </c>
      <c r="GG11" s="424">
        <v>33.700000000000003</v>
      </c>
      <c r="GH11" s="424">
        <v>97.9</v>
      </c>
      <c r="GI11" s="102">
        <v>2329</v>
      </c>
      <c r="GJ11" s="429" t="s">
        <v>646</v>
      </c>
      <c r="GK11" s="429">
        <v>11.25</v>
      </c>
      <c r="GL11" s="117">
        <v>20</v>
      </c>
      <c r="GM11" s="429" t="s">
        <v>646</v>
      </c>
      <c r="GN11" s="430">
        <v>16.25</v>
      </c>
      <c r="GO11" s="387">
        <v>30</v>
      </c>
      <c r="GP11" s="425">
        <v>-2.2000000000000002</v>
      </c>
      <c r="GQ11" s="388">
        <v>25</v>
      </c>
      <c r="GR11" s="388">
        <v>35</v>
      </c>
      <c r="GS11" s="431" t="s">
        <v>646</v>
      </c>
      <c r="GT11" s="388">
        <v>350</v>
      </c>
      <c r="GU11" s="394"/>
      <c r="GV11" s="100">
        <f t="shared" si="16"/>
        <v>70590</v>
      </c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</row>
    <row r="12" spans="2:230" x14ac:dyDescent="0.15">
      <c r="B12" s="89" t="s">
        <v>13</v>
      </c>
      <c r="C12" s="102">
        <v>11584542</v>
      </c>
      <c r="D12" s="73">
        <f t="shared" si="0"/>
        <v>3709276</v>
      </c>
      <c r="E12" s="102">
        <v>116542</v>
      </c>
      <c r="F12" s="102">
        <v>3592734</v>
      </c>
      <c r="G12" s="73">
        <f t="shared" si="1"/>
        <v>994506</v>
      </c>
      <c r="H12" s="102">
        <v>277256</v>
      </c>
      <c r="I12" s="102">
        <v>717250</v>
      </c>
      <c r="J12" s="102">
        <v>5208912</v>
      </c>
      <c r="K12" s="102">
        <v>1926790</v>
      </c>
      <c r="L12" s="102">
        <v>2073521</v>
      </c>
      <c r="M12" s="102">
        <v>709001</v>
      </c>
      <c r="N12" s="102">
        <v>583268</v>
      </c>
      <c r="O12" s="102">
        <v>976666</v>
      </c>
      <c r="P12" s="102">
        <v>523768</v>
      </c>
      <c r="Q12" s="102">
        <v>452898</v>
      </c>
      <c r="R12" s="102">
        <v>182537</v>
      </c>
      <c r="S12" s="74"/>
      <c r="T12" s="73">
        <f t="shared" si="2"/>
        <v>1567194</v>
      </c>
      <c r="U12" s="102">
        <v>24052</v>
      </c>
      <c r="V12" s="102">
        <v>68255</v>
      </c>
      <c r="W12" s="102">
        <v>69198</v>
      </c>
      <c r="X12" s="102">
        <v>1341454</v>
      </c>
      <c r="Y12" s="102">
        <v>0</v>
      </c>
      <c r="Z12" s="102">
        <v>0</v>
      </c>
      <c r="AA12" s="102">
        <v>64235</v>
      </c>
      <c r="AB12" s="102">
        <v>50222</v>
      </c>
      <c r="AC12" s="102">
        <v>3765331</v>
      </c>
      <c r="AD12" s="102">
        <v>3464018</v>
      </c>
      <c r="AE12" s="102">
        <v>301313</v>
      </c>
      <c r="AF12" s="102">
        <v>13270</v>
      </c>
      <c r="AG12" s="102">
        <v>60501</v>
      </c>
      <c r="AH12" s="73">
        <f t="shared" si="3"/>
        <v>543705</v>
      </c>
      <c r="AI12" s="102">
        <v>410017</v>
      </c>
      <c r="AJ12" s="102">
        <v>133688</v>
      </c>
      <c r="AK12" s="102">
        <v>5095463</v>
      </c>
      <c r="AL12" s="73">
        <f t="shared" si="4"/>
        <v>3438643</v>
      </c>
      <c r="AM12" s="102">
        <v>2300328</v>
      </c>
      <c r="AN12" s="102">
        <v>330918</v>
      </c>
      <c r="AO12" s="74"/>
      <c r="AP12" s="102">
        <v>807397</v>
      </c>
      <c r="AQ12" s="102">
        <v>21878</v>
      </c>
      <c r="AR12" s="102">
        <v>0</v>
      </c>
      <c r="AS12" s="102">
        <v>0</v>
      </c>
      <c r="AT12" s="102">
        <v>2029386</v>
      </c>
      <c r="AU12" s="102">
        <v>1229488</v>
      </c>
      <c r="AV12" s="102">
        <v>170388</v>
      </c>
      <c r="AW12" s="102">
        <v>54996</v>
      </c>
      <c r="AX12" s="102">
        <v>799898</v>
      </c>
      <c r="AY12" s="102">
        <v>447</v>
      </c>
      <c r="AZ12" s="102">
        <v>675261</v>
      </c>
      <c r="BA12" s="102">
        <v>548157</v>
      </c>
      <c r="BB12" s="102">
        <v>157021</v>
      </c>
      <c r="BC12" s="102">
        <v>307292</v>
      </c>
      <c r="BD12" s="102">
        <v>0</v>
      </c>
      <c r="BE12" s="102">
        <v>0</v>
      </c>
      <c r="BF12" s="102">
        <v>263240</v>
      </c>
      <c r="BG12" s="102">
        <v>0</v>
      </c>
      <c r="BH12" s="102">
        <v>366025</v>
      </c>
      <c r="BI12" s="102">
        <v>263564</v>
      </c>
      <c r="BJ12" s="102">
        <v>422284</v>
      </c>
      <c r="BK12" s="102">
        <v>0</v>
      </c>
      <c r="BL12" s="102">
        <v>0</v>
      </c>
      <c r="BM12" s="102">
        <v>78442</v>
      </c>
      <c r="BN12" s="102">
        <v>2371377</v>
      </c>
      <c r="BO12" s="73">
        <f t="shared" si="5"/>
        <v>1173000</v>
      </c>
      <c r="BP12" s="73">
        <f t="shared" si="6"/>
        <v>1198377</v>
      </c>
      <c r="BQ12" s="102">
        <v>0</v>
      </c>
      <c r="BR12" s="102">
        <v>0</v>
      </c>
      <c r="BS12" s="102">
        <v>1198377</v>
      </c>
      <c r="BT12" s="102">
        <v>0</v>
      </c>
      <c r="BU12" s="102">
        <v>29191411</v>
      </c>
      <c r="BV12" s="71"/>
      <c r="BW12" s="102">
        <v>3858205</v>
      </c>
      <c r="BX12" s="102">
        <v>2414245</v>
      </c>
      <c r="BY12" s="102">
        <v>217063</v>
      </c>
      <c r="BZ12" s="102">
        <v>409972</v>
      </c>
      <c r="CA12" s="102">
        <v>8301516</v>
      </c>
      <c r="CB12" s="102">
        <v>2030537</v>
      </c>
      <c r="CC12" s="102">
        <v>199044</v>
      </c>
      <c r="CD12" s="102">
        <v>2963419</v>
      </c>
      <c r="CE12" s="102">
        <v>2941522</v>
      </c>
      <c r="CF12" s="102">
        <v>4080</v>
      </c>
      <c r="CG12" s="102">
        <v>162914</v>
      </c>
      <c r="CH12" s="102">
        <v>3027946</v>
      </c>
      <c r="CI12" s="102">
        <v>2652600</v>
      </c>
      <c r="CJ12" s="83">
        <f t="shared" si="17"/>
        <v>375346</v>
      </c>
      <c r="CK12" s="102">
        <v>3028675</v>
      </c>
      <c r="CL12" s="102">
        <v>1743146</v>
      </c>
      <c r="CM12" s="102">
        <v>253619</v>
      </c>
      <c r="CN12" s="102">
        <v>491404</v>
      </c>
      <c r="CO12" s="102">
        <v>118504</v>
      </c>
      <c r="CP12" s="102">
        <v>2243700</v>
      </c>
      <c r="CQ12" s="102">
        <v>455543</v>
      </c>
      <c r="CR12" s="102">
        <v>397766</v>
      </c>
      <c r="CS12" s="102">
        <v>353074</v>
      </c>
      <c r="CT12" s="73">
        <f t="shared" si="7"/>
        <v>916754</v>
      </c>
      <c r="CU12" s="102">
        <v>908929</v>
      </c>
      <c r="CV12" s="102">
        <v>7825</v>
      </c>
      <c r="CW12" s="73">
        <f t="shared" si="8"/>
        <v>900000</v>
      </c>
      <c r="CX12" s="102">
        <v>900000</v>
      </c>
      <c r="CY12" s="102">
        <v>0</v>
      </c>
      <c r="CZ12" s="73">
        <f t="shared" si="9"/>
        <v>0</v>
      </c>
      <c r="DA12" s="102">
        <v>0</v>
      </c>
      <c r="DB12" s="102">
        <v>0</v>
      </c>
      <c r="DC12" s="102">
        <v>2400632</v>
      </c>
      <c r="DD12" s="102">
        <v>187154</v>
      </c>
      <c r="DE12" s="102">
        <v>2016970</v>
      </c>
      <c r="DF12" s="102">
        <v>6062</v>
      </c>
      <c r="DG12" s="102">
        <v>190446</v>
      </c>
      <c r="DH12" s="102">
        <v>0</v>
      </c>
      <c r="DI12" s="102">
        <v>1470001</v>
      </c>
      <c r="DJ12" s="102">
        <v>459005</v>
      </c>
      <c r="DK12" s="102">
        <v>0</v>
      </c>
      <c r="DL12" s="102">
        <v>1010996</v>
      </c>
      <c r="DM12" s="102">
        <v>0</v>
      </c>
      <c r="DN12" s="102">
        <v>0</v>
      </c>
      <c r="DO12" s="102">
        <v>0</v>
      </c>
      <c r="DP12" s="102">
        <v>0</v>
      </c>
      <c r="DQ12" s="102">
        <v>0</v>
      </c>
      <c r="DR12" s="102">
        <v>0</v>
      </c>
      <c r="DS12" s="102">
        <v>0</v>
      </c>
      <c r="DT12" s="102">
        <v>4214430</v>
      </c>
      <c r="DU12" s="102">
        <v>1410283</v>
      </c>
      <c r="DV12" s="73">
        <f t="shared" si="10"/>
        <v>0</v>
      </c>
      <c r="DW12" s="102">
        <v>0</v>
      </c>
      <c r="DX12" s="102">
        <v>955861</v>
      </c>
      <c r="DY12" s="102">
        <v>165000</v>
      </c>
      <c r="DZ12" s="102">
        <v>902544</v>
      </c>
      <c r="EA12" s="74">
        <v>0</v>
      </c>
      <c r="EB12" s="102">
        <v>780742</v>
      </c>
      <c r="EC12" s="102">
        <v>0</v>
      </c>
      <c r="ED12" s="102">
        <v>28663609</v>
      </c>
      <c r="EE12" s="71"/>
      <c r="EF12" s="102">
        <v>527802</v>
      </c>
      <c r="EG12" s="102">
        <v>85965</v>
      </c>
      <c r="EH12" s="102">
        <v>441837</v>
      </c>
      <c r="EI12" s="102">
        <v>178273</v>
      </c>
      <c r="EJ12" s="102">
        <v>637278</v>
      </c>
      <c r="EK12" s="71"/>
      <c r="EL12" s="102">
        <v>75897</v>
      </c>
      <c r="EM12" s="102">
        <v>75271</v>
      </c>
      <c r="EN12" s="102">
        <v>15</v>
      </c>
      <c r="EO12" s="102">
        <v>3871</v>
      </c>
      <c r="EP12" s="73">
        <f t="shared" si="11"/>
        <v>737744</v>
      </c>
      <c r="EQ12" s="102">
        <v>17163096</v>
      </c>
      <c r="ER12" s="71">
        <v>-1926737</v>
      </c>
      <c r="ES12" s="102">
        <v>3357024</v>
      </c>
      <c r="ET12" s="102">
        <v>2020351</v>
      </c>
      <c r="EU12" s="102">
        <v>2542121</v>
      </c>
      <c r="EV12" s="102">
        <v>3014458</v>
      </c>
      <c r="EW12" s="73">
        <f t="shared" si="12"/>
        <v>876783</v>
      </c>
      <c r="EX12" s="102">
        <v>876783</v>
      </c>
      <c r="EY12" s="102">
        <v>9712</v>
      </c>
      <c r="EZ12" s="102">
        <v>866409</v>
      </c>
      <c r="FA12" s="102">
        <v>0</v>
      </c>
      <c r="FB12" s="102">
        <v>0</v>
      </c>
      <c r="FC12" s="102">
        <v>2496126</v>
      </c>
      <c r="FD12" s="102">
        <v>2069699</v>
      </c>
      <c r="FE12" s="102">
        <v>455543</v>
      </c>
      <c r="FF12" s="102">
        <v>3632917</v>
      </c>
      <c r="FG12" s="73">
        <f t="shared" si="13"/>
        <v>572903</v>
      </c>
      <c r="FH12" s="102">
        <v>18562031</v>
      </c>
      <c r="FI12" s="379">
        <f t="shared" si="14"/>
        <v>2.7</v>
      </c>
      <c r="FJ12" s="102">
        <v>15370973</v>
      </c>
      <c r="FK12" s="102">
        <v>1198377</v>
      </c>
      <c r="FL12" s="102">
        <v>9292467</v>
      </c>
      <c r="FM12" s="102">
        <v>12773795</v>
      </c>
      <c r="FN12" s="428">
        <v>0.72599999999999998</v>
      </c>
      <c r="FO12" s="424">
        <v>94.3</v>
      </c>
      <c r="FP12" s="425">
        <v>19.100000000000001</v>
      </c>
      <c r="FQ12" s="424">
        <v>14.8</v>
      </c>
      <c r="FR12" s="424">
        <v>17.5</v>
      </c>
      <c r="FS12" s="425">
        <v>13.5</v>
      </c>
      <c r="FT12" s="424">
        <v>10.1</v>
      </c>
      <c r="FU12" s="425">
        <v>18.7</v>
      </c>
      <c r="FV12" s="384">
        <v>16.5</v>
      </c>
      <c r="FW12" s="102">
        <v>29920778</v>
      </c>
      <c r="FX12" s="384">
        <f t="shared" si="15"/>
        <v>180.6</v>
      </c>
      <c r="FY12" s="102">
        <v>4539329</v>
      </c>
      <c r="FZ12" s="102">
        <v>1581424</v>
      </c>
      <c r="GA12" s="102">
        <v>0</v>
      </c>
      <c r="GB12" s="102">
        <v>2957905</v>
      </c>
      <c r="GC12" s="107">
        <v>0</v>
      </c>
      <c r="GD12" s="427">
        <v>2454</v>
      </c>
      <c r="GE12" s="386">
        <f>IF(GD12=0,"-",ROUND(GD12/(GV12)*100,1))</f>
        <v>14.8</v>
      </c>
      <c r="GF12" s="424">
        <v>99.3</v>
      </c>
      <c r="GG12" s="424">
        <v>37.700000000000003</v>
      </c>
      <c r="GH12" s="424">
        <v>97.8</v>
      </c>
      <c r="GI12" s="102">
        <v>430</v>
      </c>
      <c r="GJ12" s="429" t="s">
        <v>646</v>
      </c>
      <c r="GK12" s="429">
        <v>12.67</v>
      </c>
      <c r="GL12" s="117">
        <v>20</v>
      </c>
      <c r="GM12" s="429" t="s">
        <v>646</v>
      </c>
      <c r="GN12" s="430">
        <v>17.670000000000002</v>
      </c>
      <c r="GO12" s="387">
        <v>30</v>
      </c>
      <c r="GP12" s="425">
        <v>13.7</v>
      </c>
      <c r="GQ12" s="388">
        <v>25</v>
      </c>
      <c r="GR12" s="388">
        <v>35</v>
      </c>
      <c r="GS12" s="431">
        <v>91.8</v>
      </c>
      <c r="GT12" s="388">
        <v>350</v>
      </c>
      <c r="GU12" s="394"/>
      <c r="GV12" s="100">
        <f t="shared" si="16"/>
        <v>16569</v>
      </c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</row>
    <row r="13" spans="2:230" ht="12.75" customHeight="1" x14ac:dyDescent="0.15">
      <c r="B13" s="89" t="s">
        <v>15</v>
      </c>
      <c r="C13" s="102">
        <v>50108020</v>
      </c>
      <c r="D13" s="73">
        <f t="shared" si="0"/>
        <v>20373250</v>
      </c>
      <c r="E13" s="102">
        <v>577030</v>
      </c>
      <c r="F13" s="102">
        <v>19796220</v>
      </c>
      <c r="G13" s="73">
        <f t="shared" si="1"/>
        <v>3379125</v>
      </c>
      <c r="H13" s="102">
        <v>806252</v>
      </c>
      <c r="I13" s="102">
        <v>2572873</v>
      </c>
      <c r="J13" s="102">
        <v>19219215</v>
      </c>
      <c r="K13" s="102">
        <v>7956435</v>
      </c>
      <c r="L13" s="102">
        <v>8568724</v>
      </c>
      <c r="M13" s="102">
        <v>2444392</v>
      </c>
      <c r="N13" s="102">
        <v>1610183</v>
      </c>
      <c r="O13" s="102">
        <v>3968660</v>
      </c>
      <c r="P13" s="102">
        <v>2165414</v>
      </c>
      <c r="Q13" s="102">
        <v>1803246</v>
      </c>
      <c r="R13" s="102">
        <v>589095</v>
      </c>
      <c r="S13" s="74"/>
      <c r="T13" s="73">
        <f t="shared" si="2"/>
        <v>7113151</v>
      </c>
      <c r="U13" s="102">
        <v>134218</v>
      </c>
      <c r="V13" s="102">
        <v>380140</v>
      </c>
      <c r="W13" s="102">
        <v>384170</v>
      </c>
      <c r="X13" s="102">
        <v>5865861</v>
      </c>
      <c r="Y13" s="102">
        <v>48724</v>
      </c>
      <c r="Z13" s="102">
        <v>0</v>
      </c>
      <c r="AA13" s="102">
        <v>300038</v>
      </c>
      <c r="AB13" s="102">
        <v>246029</v>
      </c>
      <c r="AC13" s="102">
        <v>9685616</v>
      </c>
      <c r="AD13" s="102">
        <v>9208207</v>
      </c>
      <c r="AE13" s="102">
        <v>477409</v>
      </c>
      <c r="AF13" s="102">
        <v>45641</v>
      </c>
      <c r="AG13" s="102">
        <v>1164097</v>
      </c>
      <c r="AH13" s="73">
        <f t="shared" si="3"/>
        <v>2648306</v>
      </c>
      <c r="AI13" s="102">
        <v>2173796</v>
      </c>
      <c r="AJ13" s="102">
        <v>474510</v>
      </c>
      <c r="AK13" s="102">
        <v>26191259</v>
      </c>
      <c r="AL13" s="73">
        <f t="shared" si="4"/>
        <v>13536993</v>
      </c>
      <c r="AM13" s="102">
        <v>7849436</v>
      </c>
      <c r="AN13" s="102">
        <v>2496279</v>
      </c>
      <c r="AO13" s="74"/>
      <c r="AP13" s="102">
        <v>3191278</v>
      </c>
      <c r="AQ13" s="102">
        <v>3440628</v>
      </c>
      <c r="AR13" s="102">
        <v>0</v>
      </c>
      <c r="AS13" s="102">
        <v>0</v>
      </c>
      <c r="AT13" s="102">
        <v>7984451</v>
      </c>
      <c r="AU13" s="102">
        <v>4818625</v>
      </c>
      <c r="AV13" s="102">
        <v>1273908</v>
      </c>
      <c r="AW13" s="102">
        <v>309281</v>
      </c>
      <c r="AX13" s="102">
        <v>3165826</v>
      </c>
      <c r="AY13" s="102">
        <v>6285</v>
      </c>
      <c r="AZ13" s="102">
        <v>264065</v>
      </c>
      <c r="BA13" s="102">
        <v>123628</v>
      </c>
      <c r="BB13" s="102">
        <v>112160</v>
      </c>
      <c r="BC13" s="102">
        <v>431333</v>
      </c>
      <c r="BD13" s="102">
        <v>0</v>
      </c>
      <c r="BE13" s="102">
        <v>0</v>
      </c>
      <c r="BF13" s="102">
        <v>429839</v>
      </c>
      <c r="BG13" s="102">
        <v>0</v>
      </c>
      <c r="BH13" s="102">
        <v>1345766</v>
      </c>
      <c r="BI13" s="102">
        <v>928148</v>
      </c>
      <c r="BJ13" s="102">
        <v>1567516</v>
      </c>
      <c r="BK13" s="102">
        <v>624231</v>
      </c>
      <c r="BL13" s="102">
        <v>37362</v>
      </c>
      <c r="BM13" s="102">
        <v>113204</v>
      </c>
      <c r="BN13" s="102">
        <v>4021500</v>
      </c>
      <c r="BO13" s="73">
        <f t="shared" si="5"/>
        <v>2021500</v>
      </c>
      <c r="BP13" s="73">
        <f t="shared" si="6"/>
        <v>2000000</v>
      </c>
      <c r="BQ13" s="102">
        <v>0</v>
      </c>
      <c r="BR13" s="102">
        <v>0</v>
      </c>
      <c r="BS13" s="102">
        <v>2000000</v>
      </c>
      <c r="BT13" s="102">
        <v>0</v>
      </c>
      <c r="BU13" s="102">
        <v>113518005</v>
      </c>
      <c r="BV13" s="71"/>
      <c r="BW13" s="102">
        <v>19841923</v>
      </c>
      <c r="BX13" s="102">
        <v>12881187</v>
      </c>
      <c r="BY13" s="102">
        <v>854057</v>
      </c>
      <c r="BZ13" s="102">
        <v>2413394</v>
      </c>
      <c r="CA13" s="102">
        <v>35288334</v>
      </c>
      <c r="CB13" s="102">
        <v>8343975</v>
      </c>
      <c r="CC13" s="102">
        <v>758976</v>
      </c>
      <c r="CD13" s="102">
        <v>14846025</v>
      </c>
      <c r="CE13" s="102">
        <v>10154117</v>
      </c>
      <c r="CF13" s="102">
        <v>385520</v>
      </c>
      <c r="CG13" s="102">
        <v>799141</v>
      </c>
      <c r="CH13" s="102">
        <v>7366092</v>
      </c>
      <c r="CI13" s="102">
        <v>7107109</v>
      </c>
      <c r="CJ13" s="83">
        <f t="shared" si="17"/>
        <v>258983</v>
      </c>
      <c r="CK13" s="102">
        <v>15007755</v>
      </c>
      <c r="CL13" s="102">
        <v>8984518</v>
      </c>
      <c r="CM13" s="102">
        <v>1112864</v>
      </c>
      <c r="CN13" s="102">
        <v>2896847</v>
      </c>
      <c r="CO13" s="102">
        <v>1720518</v>
      </c>
      <c r="CP13" s="102">
        <v>7179543</v>
      </c>
      <c r="CQ13" s="102">
        <v>22447</v>
      </c>
      <c r="CR13" s="102">
        <v>2179658</v>
      </c>
      <c r="CS13" s="102">
        <v>1426173</v>
      </c>
      <c r="CT13" s="73">
        <f t="shared" si="7"/>
        <v>3848867</v>
      </c>
      <c r="CU13" s="102">
        <v>2236282</v>
      </c>
      <c r="CV13" s="102">
        <v>1612585</v>
      </c>
      <c r="CW13" s="73">
        <f t="shared" si="8"/>
        <v>0</v>
      </c>
      <c r="CX13" s="102">
        <v>0</v>
      </c>
      <c r="CY13" s="102">
        <v>0</v>
      </c>
      <c r="CZ13" s="73">
        <f t="shared" si="9"/>
        <v>2832033</v>
      </c>
      <c r="DA13" s="102">
        <v>2174081</v>
      </c>
      <c r="DB13" s="102">
        <v>657952</v>
      </c>
      <c r="DC13" s="102">
        <v>11376286</v>
      </c>
      <c r="DD13" s="102">
        <v>8006760</v>
      </c>
      <c r="DE13" s="102">
        <v>3309230</v>
      </c>
      <c r="DF13" s="102">
        <v>60296</v>
      </c>
      <c r="DG13" s="102">
        <v>0</v>
      </c>
      <c r="DH13" s="102">
        <v>0</v>
      </c>
      <c r="DI13" s="102">
        <v>584631</v>
      </c>
      <c r="DJ13" s="102">
        <v>493505</v>
      </c>
      <c r="DK13" s="102">
        <v>1911</v>
      </c>
      <c r="DL13" s="102">
        <v>89215</v>
      </c>
      <c r="DM13" s="102">
        <v>1462852</v>
      </c>
      <c r="DN13" s="102">
        <v>1462852</v>
      </c>
      <c r="DO13" s="102">
        <v>0</v>
      </c>
      <c r="DP13" s="102">
        <v>0</v>
      </c>
      <c r="DQ13" s="102">
        <v>653028</v>
      </c>
      <c r="DR13" s="102">
        <v>0</v>
      </c>
      <c r="DS13" s="102">
        <v>0</v>
      </c>
      <c r="DT13" s="102">
        <v>10928623</v>
      </c>
      <c r="DU13" s="102">
        <v>0</v>
      </c>
      <c r="DV13" s="73">
        <f t="shared" si="10"/>
        <v>0</v>
      </c>
      <c r="DW13" s="102">
        <v>0</v>
      </c>
      <c r="DX13" s="102">
        <v>4733473</v>
      </c>
      <c r="DY13" s="102">
        <v>0</v>
      </c>
      <c r="DZ13" s="102">
        <v>2637113</v>
      </c>
      <c r="EA13" s="74">
        <v>0</v>
      </c>
      <c r="EB13" s="102">
        <v>3554945</v>
      </c>
      <c r="EC13" s="102">
        <v>0</v>
      </c>
      <c r="ED13" s="102">
        <v>111409585</v>
      </c>
      <c r="EE13" s="71"/>
      <c r="EF13" s="102">
        <v>2108420</v>
      </c>
      <c r="EG13" s="102">
        <v>867669</v>
      </c>
      <c r="EH13" s="102">
        <v>1240751</v>
      </c>
      <c r="EI13" s="102">
        <v>312603</v>
      </c>
      <c r="EJ13" s="102">
        <v>806108</v>
      </c>
      <c r="EK13" s="71"/>
      <c r="EL13" s="102">
        <v>351829</v>
      </c>
      <c r="EM13" s="102">
        <v>353563</v>
      </c>
      <c r="EN13" s="102">
        <v>140000</v>
      </c>
      <c r="EO13" s="102">
        <v>177700</v>
      </c>
      <c r="EP13" s="73">
        <f t="shared" si="11"/>
        <v>1966921</v>
      </c>
      <c r="EQ13" s="102">
        <v>67787552</v>
      </c>
      <c r="ER13" s="71">
        <v>-4238980</v>
      </c>
      <c r="ES13" s="102">
        <v>18102145</v>
      </c>
      <c r="ET13" s="102">
        <v>11593882</v>
      </c>
      <c r="EU13" s="102">
        <v>10341404</v>
      </c>
      <c r="EV13" s="102">
        <v>7119827</v>
      </c>
      <c r="EW13" s="73">
        <f t="shared" si="12"/>
        <v>3064549</v>
      </c>
      <c r="EX13" s="102">
        <v>3064549</v>
      </c>
      <c r="EY13" s="102">
        <v>819060</v>
      </c>
      <c r="EZ13" s="102">
        <v>2185193</v>
      </c>
      <c r="FA13" s="102">
        <v>0</v>
      </c>
      <c r="FB13" s="102">
        <v>0</v>
      </c>
      <c r="FC13" s="102">
        <v>12314944</v>
      </c>
      <c r="FD13" s="102">
        <v>6725114</v>
      </c>
      <c r="FE13" s="102">
        <v>22447</v>
      </c>
      <c r="FF13" s="102">
        <v>8635140</v>
      </c>
      <c r="FG13" s="73">
        <f t="shared" si="13"/>
        <v>3654250</v>
      </c>
      <c r="FH13" s="102">
        <v>69957373</v>
      </c>
      <c r="FI13" s="379">
        <f t="shared" si="14"/>
        <v>1.8</v>
      </c>
      <c r="FJ13" s="102">
        <v>62343859</v>
      </c>
      <c r="FK13" s="102">
        <v>5610790</v>
      </c>
      <c r="FL13" s="102">
        <v>41384977</v>
      </c>
      <c r="FM13" s="102">
        <v>50633128</v>
      </c>
      <c r="FN13" s="428">
        <v>0.81499999999999995</v>
      </c>
      <c r="FO13" s="424">
        <v>94.8</v>
      </c>
      <c r="FP13" s="425">
        <v>27.4</v>
      </c>
      <c r="FQ13" s="424">
        <v>15.7</v>
      </c>
      <c r="FR13" s="424">
        <v>10.8</v>
      </c>
      <c r="FS13" s="425">
        <v>17.399999999999999</v>
      </c>
      <c r="FT13" s="424">
        <v>8</v>
      </c>
      <c r="FU13" s="425">
        <v>12.8</v>
      </c>
      <c r="FV13" s="384">
        <v>0.3</v>
      </c>
      <c r="FW13" s="102">
        <v>48781734</v>
      </c>
      <c r="FX13" s="384">
        <f t="shared" si="15"/>
        <v>71.8</v>
      </c>
      <c r="FY13" s="102">
        <v>39143342</v>
      </c>
      <c r="FZ13" s="102">
        <v>16094248</v>
      </c>
      <c r="GA13" s="102">
        <v>2528617</v>
      </c>
      <c r="GB13" s="102">
        <v>20520477</v>
      </c>
      <c r="GC13" s="107">
        <v>0</v>
      </c>
      <c r="GD13" s="427">
        <v>1219</v>
      </c>
      <c r="GE13" s="386">
        <f>IF(GD13=0,"-",ROUND(GD13/(GV13)*100,1))</f>
        <v>1.8</v>
      </c>
      <c r="GF13" s="424">
        <v>99.7</v>
      </c>
      <c r="GG13" s="424">
        <v>48.5</v>
      </c>
      <c r="GH13" s="424">
        <v>99.1</v>
      </c>
      <c r="GI13" s="102">
        <v>2129</v>
      </c>
      <c r="GJ13" s="429" t="s">
        <v>646</v>
      </c>
      <c r="GK13" s="429">
        <v>11.25</v>
      </c>
      <c r="GL13" s="117">
        <v>20</v>
      </c>
      <c r="GM13" s="429" t="s">
        <v>646</v>
      </c>
      <c r="GN13" s="430">
        <v>16.25</v>
      </c>
      <c r="GO13" s="387">
        <v>30</v>
      </c>
      <c r="GP13" s="425">
        <v>0.2</v>
      </c>
      <c r="GQ13" s="388">
        <v>25</v>
      </c>
      <c r="GR13" s="388">
        <v>35</v>
      </c>
      <c r="GS13" s="431" t="s">
        <v>646</v>
      </c>
      <c r="GT13" s="388">
        <v>350</v>
      </c>
      <c r="GU13" s="394"/>
      <c r="GV13" s="100">
        <f t="shared" si="16"/>
        <v>67955</v>
      </c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</row>
    <row r="14" spans="2:230" x14ac:dyDescent="0.15">
      <c r="B14" s="89" t="s">
        <v>17</v>
      </c>
      <c r="C14" s="102">
        <v>11585894</v>
      </c>
      <c r="D14" s="73">
        <f t="shared" si="0"/>
        <v>4045780</v>
      </c>
      <c r="E14" s="102">
        <v>134667</v>
      </c>
      <c r="F14" s="102">
        <v>3911113</v>
      </c>
      <c r="G14" s="73">
        <f t="shared" si="1"/>
        <v>771198</v>
      </c>
      <c r="H14" s="102">
        <v>205640</v>
      </c>
      <c r="I14" s="102">
        <v>565558</v>
      </c>
      <c r="J14" s="102">
        <v>4947059</v>
      </c>
      <c r="K14" s="102">
        <v>1584642</v>
      </c>
      <c r="L14" s="102">
        <v>2247617</v>
      </c>
      <c r="M14" s="102">
        <v>887318</v>
      </c>
      <c r="N14" s="102">
        <v>757891</v>
      </c>
      <c r="O14" s="102">
        <v>876219</v>
      </c>
      <c r="P14" s="102">
        <v>408437</v>
      </c>
      <c r="Q14" s="102">
        <v>467782</v>
      </c>
      <c r="R14" s="102">
        <v>165300</v>
      </c>
      <c r="S14" s="74"/>
      <c r="T14" s="73">
        <f t="shared" si="2"/>
        <v>1791006</v>
      </c>
      <c r="U14" s="102">
        <v>26207</v>
      </c>
      <c r="V14" s="102">
        <v>74286</v>
      </c>
      <c r="W14" s="102">
        <v>75171</v>
      </c>
      <c r="X14" s="102">
        <v>1531261</v>
      </c>
      <c r="Y14" s="102">
        <v>0</v>
      </c>
      <c r="Z14" s="102">
        <v>0</v>
      </c>
      <c r="AA14" s="102">
        <v>84081</v>
      </c>
      <c r="AB14" s="102">
        <v>71103</v>
      </c>
      <c r="AC14" s="102">
        <v>4767920</v>
      </c>
      <c r="AD14" s="102">
        <v>4390630</v>
      </c>
      <c r="AE14" s="102">
        <v>377290</v>
      </c>
      <c r="AF14" s="102">
        <v>15659</v>
      </c>
      <c r="AG14" s="102">
        <v>17816</v>
      </c>
      <c r="AH14" s="73">
        <f t="shared" si="3"/>
        <v>694246</v>
      </c>
      <c r="AI14" s="102">
        <v>585557</v>
      </c>
      <c r="AJ14" s="102">
        <v>108689</v>
      </c>
      <c r="AK14" s="102">
        <v>5966340</v>
      </c>
      <c r="AL14" s="73">
        <f t="shared" si="4"/>
        <v>3850537</v>
      </c>
      <c r="AM14" s="102">
        <v>2235009</v>
      </c>
      <c r="AN14" s="102">
        <v>841478</v>
      </c>
      <c r="AO14" s="74"/>
      <c r="AP14" s="102">
        <v>774050</v>
      </c>
      <c r="AQ14" s="102">
        <v>160923</v>
      </c>
      <c r="AR14" s="102">
        <v>0</v>
      </c>
      <c r="AS14" s="102">
        <v>0</v>
      </c>
      <c r="AT14" s="102">
        <v>2466148</v>
      </c>
      <c r="AU14" s="102">
        <v>1528694</v>
      </c>
      <c r="AV14" s="102">
        <v>336289</v>
      </c>
      <c r="AW14" s="102">
        <v>140147</v>
      </c>
      <c r="AX14" s="102">
        <v>937454</v>
      </c>
      <c r="AY14" s="102">
        <v>741</v>
      </c>
      <c r="AZ14" s="102">
        <v>25940</v>
      </c>
      <c r="BA14" s="102">
        <v>376</v>
      </c>
      <c r="BB14" s="102">
        <v>429824</v>
      </c>
      <c r="BC14" s="102">
        <v>693439</v>
      </c>
      <c r="BD14" s="102">
        <v>235000</v>
      </c>
      <c r="BE14" s="102">
        <v>0</v>
      </c>
      <c r="BF14" s="102">
        <v>453650</v>
      </c>
      <c r="BG14" s="102">
        <v>0</v>
      </c>
      <c r="BH14" s="102">
        <v>104300</v>
      </c>
      <c r="BI14" s="102">
        <v>68119</v>
      </c>
      <c r="BJ14" s="102">
        <v>502262</v>
      </c>
      <c r="BK14" s="102">
        <v>172628</v>
      </c>
      <c r="BL14" s="102">
        <v>0</v>
      </c>
      <c r="BM14" s="102">
        <v>55579</v>
      </c>
      <c r="BN14" s="102">
        <v>2500605</v>
      </c>
      <c r="BO14" s="73">
        <f t="shared" si="5"/>
        <v>1226800</v>
      </c>
      <c r="BP14" s="73">
        <f t="shared" si="6"/>
        <v>1273805</v>
      </c>
      <c r="BQ14" s="102">
        <v>0</v>
      </c>
      <c r="BR14" s="102">
        <v>0</v>
      </c>
      <c r="BS14" s="102">
        <v>1273805</v>
      </c>
      <c r="BT14" s="102">
        <v>0</v>
      </c>
      <c r="BU14" s="102">
        <v>31797802</v>
      </c>
      <c r="BV14" s="71"/>
      <c r="BW14" s="102">
        <v>5498144</v>
      </c>
      <c r="BX14" s="102">
        <v>3298974</v>
      </c>
      <c r="BY14" s="102">
        <v>480027</v>
      </c>
      <c r="BZ14" s="102">
        <v>631895</v>
      </c>
      <c r="CA14" s="102">
        <v>10186828</v>
      </c>
      <c r="CB14" s="102">
        <v>2102717</v>
      </c>
      <c r="CC14" s="102">
        <v>190339</v>
      </c>
      <c r="CD14" s="102">
        <v>4573871</v>
      </c>
      <c r="CE14" s="102">
        <v>2916680</v>
      </c>
      <c r="CF14" s="102">
        <v>0</v>
      </c>
      <c r="CG14" s="102">
        <v>402921</v>
      </c>
      <c r="CH14" s="102">
        <v>2321539</v>
      </c>
      <c r="CI14" s="102">
        <v>2061662</v>
      </c>
      <c r="CJ14" s="83">
        <f t="shared" si="17"/>
        <v>259877</v>
      </c>
      <c r="CK14" s="102">
        <v>3490572</v>
      </c>
      <c r="CL14" s="102">
        <v>1919410</v>
      </c>
      <c r="CM14" s="102">
        <v>347474</v>
      </c>
      <c r="CN14" s="102">
        <v>555613</v>
      </c>
      <c r="CO14" s="102">
        <v>137142</v>
      </c>
      <c r="CP14" s="102">
        <v>3063309</v>
      </c>
      <c r="CQ14" s="102">
        <v>1027801</v>
      </c>
      <c r="CR14" s="102">
        <v>346635</v>
      </c>
      <c r="CS14" s="102">
        <v>270389</v>
      </c>
      <c r="CT14" s="73">
        <f t="shared" si="7"/>
        <v>1029096</v>
      </c>
      <c r="CU14" s="102">
        <v>912353</v>
      </c>
      <c r="CV14" s="102">
        <v>116743</v>
      </c>
      <c r="CW14" s="73">
        <f t="shared" si="8"/>
        <v>900000</v>
      </c>
      <c r="CX14" s="102">
        <v>900000</v>
      </c>
      <c r="CY14" s="102">
        <v>0</v>
      </c>
      <c r="CZ14" s="73">
        <f t="shared" si="9"/>
        <v>0</v>
      </c>
      <c r="DA14" s="102">
        <v>0</v>
      </c>
      <c r="DB14" s="102">
        <v>0</v>
      </c>
      <c r="DC14" s="102">
        <v>2110467</v>
      </c>
      <c r="DD14" s="102">
        <v>609683</v>
      </c>
      <c r="DE14" s="102">
        <v>1423554</v>
      </c>
      <c r="DF14" s="102">
        <v>77230</v>
      </c>
      <c r="DG14" s="102">
        <v>0</v>
      </c>
      <c r="DH14" s="102">
        <v>0</v>
      </c>
      <c r="DI14" s="102">
        <v>489007</v>
      </c>
      <c r="DJ14" s="102">
        <v>35000</v>
      </c>
      <c r="DK14" s="102">
        <v>0</v>
      </c>
      <c r="DL14" s="102">
        <v>454007</v>
      </c>
      <c r="DM14" s="102">
        <v>0</v>
      </c>
      <c r="DN14" s="102">
        <v>0</v>
      </c>
      <c r="DO14" s="102">
        <v>0</v>
      </c>
      <c r="DP14" s="102">
        <v>0</v>
      </c>
      <c r="DQ14" s="102">
        <v>162520</v>
      </c>
      <c r="DR14" s="102">
        <v>0</v>
      </c>
      <c r="DS14" s="102">
        <v>0</v>
      </c>
      <c r="DT14" s="102">
        <v>4276976</v>
      </c>
      <c r="DU14" s="102">
        <v>1216421</v>
      </c>
      <c r="DV14" s="73">
        <f t="shared" si="10"/>
        <v>0</v>
      </c>
      <c r="DW14" s="102">
        <v>0</v>
      </c>
      <c r="DX14" s="102">
        <v>1235545</v>
      </c>
      <c r="DY14" s="102">
        <v>0</v>
      </c>
      <c r="DZ14" s="102">
        <v>847016</v>
      </c>
      <c r="EA14" s="74">
        <v>0</v>
      </c>
      <c r="EB14" s="102">
        <v>977994</v>
      </c>
      <c r="EC14" s="102">
        <v>0</v>
      </c>
      <c r="ED14" s="102">
        <v>31736504</v>
      </c>
      <c r="EE14" s="71"/>
      <c r="EF14" s="102">
        <v>61298</v>
      </c>
      <c r="EG14" s="102">
        <v>43598</v>
      </c>
      <c r="EH14" s="102">
        <v>17700</v>
      </c>
      <c r="EI14" s="102">
        <v>-50419</v>
      </c>
      <c r="EJ14" s="102">
        <v>-250419</v>
      </c>
      <c r="EK14" s="71"/>
      <c r="EL14" s="102">
        <v>88694</v>
      </c>
      <c r="EM14" s="102">
        <v>87936</v>
      </c>
      <c r="EN14" s="102">
        <v>235000</v>
      </c>
      <c r="EO14" s="102">
        <v>25593</v>
      </c>
      <c r="EP14" s="73">
        <f t="shared" si="11"/>
        <v>340375</v>
      </c>
      <c r="EQ14" s="102">
        <v>18396882</v>
      </c>
      <c r="ER14" s="71">
        <v>-1859114</v>
      </c>
      <c r="ES14" s="102">
        <v>5106652</v>
      </c>
      <c r="ET14" s="102">
        <v>3079229</v>
      </c>
      <c r="EU14" s="102">
        <v>2888977</v>
      </c>
      <c r="EV14" s="102">
        <v>2321539</v>
      </c>
      <c r="EW14" s="73">
        <f t="shared" si="12"/>
        <v>490675</v>
      </c>
      <c r="EX14" s="102">
        <v>490675</v>
      </c>
      <c r="EY14" s="102">
        <v>33548</v>
      </c>
      <c r="EZ14" s="102">
        <v>379897</v>
      </c>
      <c r="FA14" s="102">
        <v>0</v>
      </c>
      <c r="FB14" s="102">
        <v>0</v>
      </c>
      <c r="FC14" s="102">
        <v>2825207</v>
      </c>
      <c r="FD14" s="102">
        <v>2726469</v>
      </c>
      <c r="FE14" s="102">
        <v>867801</v>
      </c>
      <c r="FF14" s="102">
        <v>3671677</v>
      </c>
      <c r="FG14" s="73">
        <f t="shared" si="13"/>
        <v>163502</v>
      </c>
      <c r="FH14" s="102">
        <v>20194698</v>
      </c>
      <c r="FI14" s="379">
        <f t="shared" si="14"/>
        <v>0.1</v>
      </c>
      <c r="FJ14" s="102">
        <v>16863347</v>
      </c>
      <c r="FK14" s="102">
        <v>1273805</v>
      </c>
      <c r="FL14" s="102">
        <v>9761939</v>
      </c>
      <c r="FM14" s="102">
        <v>14163743</v>
      </c>
      <c r="FN14" s="428">
        <v>0.69</v>
      </c>
      <c r="FO14" s="424">
        <v>99.4</v>
      </c>
      <c r="FP14" s="425">
        <v>26.9</v>
      </c>
      <c r="FQ14" s="424">
        <v>15.6</v>
      </c>
      <c r="FR14" s="424">
        <v>12.5</v>
      </c>
      <c r="FS14" s="425">
        <v>13.8</v>
      </c>
      <c r="FT14" s="424">
        <v>12.2</v>
      </c>
      <c r="FU14" s="425">
        <v>17.8</v>
      </c>
      <c r="FV14" s="384">
        <v>9.4</v>
      </c>
      <c r="FW14" s="102">
        <v>27349881</v>
      </c>
      <c r="FX14" s="384">
        <f t="shared" si="15"/>
        <v>150.80000000000001</v>
      </c>
      <c r="FY14" s="102">
        <v>2354536</v>
      </c>
      <c r="FZ14" s="102">
        <v>1072373</v>
      </c>
      <c r="GA14" s="102">
        <v>188585</v>
      </c>
      <c r="GB14" s="102">
        <v>1093578</v>
      </c>
      <c r="GC14" s="107">
        <v>0</v>
      </c>
      <c r="GD14" s="427"/>
      <c r="GE14" s="386"/>
      <c r="GF14" s="424">
        <v>98.8</v>
      </c>
      <c r="GG14" s="424">
        <v>33.799999999999997</v>
      </c>
      <c r="GH14" s="424">
        <v>96.8</v>
      </c>
      <c r="GI14" s="102">
        <v>566</v>
      </c>
      <c r="GJ14" s="429" t="s">
        <v>646</v>
      </c>
      <c r="GK14" s="429">
        <v>12.59</v>
      </c>
      <c r="GL14" s="117">
        <v>20</v>
      </c>
      <c r="GM14" s="429" t="s">
        <v>646</v>
      </c>
      <c r="GN14" s="430">
        <v>17.59</v>
      </c>
      <c r="GO14" s="387">
        <v>30</v>
      </c>
      <c r="GP14" s="425">
        <v>8.1999999999999993</v>
      </c>
      <c r="GQ14" s="388">
        <v>25</v>
      </c>
      <c r="GR14" s="388">
        <v>35</v>
      </c>
      <c r="GS14" s="431">
        <v>64</v>
      </c>
      <c r="GT14" s="388">
        <v>350</v>
      </c>
      <c r="GU14" s="394"/>
      <c r="GV14" s="100">
        <f t="shared" si="16"/>
        <v>18137</v>
      </c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</row>
    <row r="15" spans="2:230" x14ac:dyDescent="0.15">
      <c r="B15" s="89" t="s">
        <v>19</v>
      </c>
      <c r="C15" s="102">
        <v>21326848</v>
      </c>
      <c r="D15" s="73">
        <f t="shared" si="0"/>
        <v>6964688</v>
      </c>
      <c r="E15" s="102">
        <v>223369</v>
      </c>
      <c r="F15" s="102">
        <v>6741319</v>
      </c>
      <c r="G15" s="73">
        <f t="shared" si="1"/>
        <v>1396120</v>
      </c>
      <c r="H15" s="102">
        <v>503680</v>
      </c>
      <c r="I15" s="102">
        <v>892440</v>
      </c>
      <c r="J15" s="102">
        <v>9202760</v>
      </c>
      <c r="K15" s="102">
        <v>3603332</v>
      </c>
      <c r="L15" s="102">
        <v>4082373</v>
      </c>
      <c r="M15" s="102">
        <v>1315698</v>
      </c>
      <c r="N15" s="102">
        <v>1009844</v>
      </c>
      <c r="O15" s="102">
        <v>1887019</v>
      </c>
      <c r="P15" s="102">
        <v>981670</v>
      </c>
      <c r="Q15" s="102">
        <v>905349</v>
      </c>
      <c r="R15" s="102">
        <v>207528</v>
      </c>
      <c r="S15" s="74"/>
      <c r="T15" s="73">
        <f t="shared" si="2"/>
        <v>2952926</v>
      </c>
      <c r="U15" s="102">
        <v>44381</v>
      </c>
      <c r="V15" s="102">
        <v>126029</v>
      </c>
      <c r="W15" s="102">
        <v>127909</v>
      </c>
      <c r="X15" s="102">
        <v>2548822</v>
      </c>
      <c r="Y15" s="102">
        <v>0</v>
      </c>
      <c r="Z15" s="102">
        <v>0</v>
      </c>
      <c r="AA15" s="102">
        <v>105785</v>
      </c>
      <c r="AB15" s="102">
        <v>97992</v>
      </c>
      <c r="AC15" s="102">
        <v>7176432</v>
      </c>
      <c r="AD15" s="102">
        <v>6542499</v>
      </c>
      <c r="AE15" s="102">
        <v>633933</v>
      </c>
      <c r="AF15" s="102">
        <v>21398</v>
      </c>
      <c r="AG15" s="102">
        <v>1023981</v>
      </c>
      <c r="AH15" s="73">
        <f t="shared" si="3"/>
        <v>830275</v>
      </c>
      <c r="AI15" s="102">
        <v>593573</v>
      </c>
      <c r="AJ15" s="102">
        <v>236702</v>
      </c>
      <c r="AK15" s="102">
        <v>16709455</v>
      </c>
      <c r="AL15" s="73">
        <f t="shared" si="4"/>
        <v>11480992</v>
      </c>
      <c r="AM15" s="102">
        <v>8140834</v>
      </c>
      <c r="AN15" s="102">
        <v>1627066</v>
      </c>
      <c r="AO15" s="74"/>
      <c r="AP15" s="102">
        <v>1713092</v>
      </c>
      <c r="AQ15" s="102">
        <v>1726829</v>
      </c>
      <c r="AR15" s="102">
        <v>0</v>
      </c>
      <c r="AS15" s="102">
        <v>0</v>
      </c>
      <c r="AT15" s="102">
        <v>4293688</v>
      </c>
      <c r="AU15" s="102">
        <v>2518122</v>
      </c>
      <c r="AV15" s="102">
        <v>812053</v>
      </c>
      <c r="AW15" s="102">
        <v>122358</v>
      </c>
      <c r="AX15" s="102">
        <v>1775566</v>
      </c>
      <c r="AY15" s="102">
        <v>24200</v>
      </c>
      <c r="AZ15" s="102">
        <v>1642324</v>
      </c>
      <c r="BA15" s="102">
        <v>1539263</v>
      </c>
      <c r="BB15" s="102">
        <v>29316</v>
      </c>
      <c r="BC15" s="102">
        <v>272608</v>
      </c>
      <c r="BD15" s="102">
        <v>0</v>
      </c>
      <c r="BE15" s="102">
        <v>262315</v>
      </c>
      <c r="BF15" s="102">
        <v>2966</v>
      </c>
      <c r="BG15" s="102">
        <v>0</v>
      </c>
      <c r="BH15" s="102">
        <v>420595</v>
      </c>
      <c r="BI15" s="102">
        <v>180799</v>
      </c>
      <c r="BJ15" s="102">
        <v>875528</v>
      </c>
      <c r="BK15" s="102">
        <v>10643</v>
      </c>
      <c r="BL15" s="102">
        <v>0</v>
      </c>
      <c r="BM15" s="102">
        <v>60673</v>
      </c>
      <c r="BN15" s="102">
        <v>7836600</v>
      </c>
      <c r="BO15" s="73">
        <f t="shared" si="5"/>
        <v>5384400</v>
      </c>
      <c r="BP15" s="73">
        <f t="shared" si="6"/>
        <v>2452200</v>
      </c>
      <c r="BQ15" s="102">
        <v>0</v>
      </c>
      <c r="BR15" s="102">
        <v>0</v>
      </c>
      <c r="BS15" s="102">
        <v>2452200</v>
      </c>
      <c r="BT15" s="102">
        <v>0</v>
      </c>
      <c r="BU15" s="102">
        <v>65717494</v>
      </c>
      <c r="BV15" s="71"/>
      <c r="BW15" s="102">
        <v>7631156</v>
      </c>
      <c r="BX15" s="102">
        <v>4826752</v>
      </c>
      <c r="BY15" s="102">
        <v>612150</v>
      </c>
      <c r="BZ15" s="102">
        <v>628935</v>
      </c>
      <c r="CA15" s="102">
        <v>24299264</v>
      </c>
      <c r="CB15" s="102">
        <v>4247792</v>
      </c>
      <c r="CC15" s="102">
        <v>247421</v>
      </c>
      <c r="CD15" s="102">
        <v>7381112</v>
      </c>
      <c r="CE15" s="102">
        <v>10804307</v>
      </c>
      <c r="CF15" s="102">
        <v>1023503</v>
      </c>
      <c r="CG15" s="102">
        <v>594959</v>
      </c>
      <c r="CH15" s="102">
        <v>5431266</v>
      </c>
      <c r="CI15" s="102">
        <v>4873654</v>
      </c>
      <c r="CJ15" s="83">
        <f t="shared" si="17"/>
        <v>557612</v>
      </c>
      <c r="CK15" s="102">
        <v>5623598</v>
      </c>
      <c r="CL15" s="102">
        <v>3712531</v>
      </c>
      <c r="CM15" s="102">
        <v>260694</v>
      </c>
      <c r="CN15" s="102">
        <v>775341</v>
      </c>
      <c r="CO15" s="102">
        <v>395540</v>
      </c>
      <c r="CP15" s="102">
        <v>4763602</v>
      </c>
      <c r="CQ15" s="102">
        <v>1900936</v>
      </c>
      <c r="CR15" s="102">
        <v>750956</v>
      </c>
      <c r="CS15" s="102">
        <v>514584</v>
      </c>
      <c r="CT15" s="73">
        <f t="shared" si="7"/>
        <v>1385692</v>
      </c>
      <c r="CU15" s="102">
        <v>1385692</v>
      </c>
      <c r="CV15" s="102">
        <v>0</v>
      </c>
      <c r="CW15" s="73">
        <f t="shared" si="8"/>
        <v>0</v>
      </c>
      <c r="CX15" s="102">
        <v>0</v>
      </c>
      <c r="CY15" s="102">
        <v>0</v>
      </c>
      <c r="CZ15" s="73">
        <f t="shared" si="9"/>
        <v>1364000</v>
      </c>
      <c r="DA15" s="102">
        <v>1364000</v>
      </c>
      <c r="DB15" s="102">
        <v>0</v>
      </c>
      <c r="DC15" s="102">
        <v>9899356</v>
      </c>
      <c r="DD15" s="102">
        <v>4662612</v>
      </c>
      <c r="DE15" s="102">
        <v>5236744</v>
      </c>
      <c r="DF15" s="102">
        <v>0</v>
      </c>
      <c r="DG15" s="102">
        <v>0</v>
      </c>
      <c r="DH15" s="102">
        <v>0</v>
      </c>
      <c r="DI15" s="102">
        <v>969631</v>
      </c>
      <c r="DJ15" s="102">
        <v>9605</v>
      </c>
      <c r="DK15" s="102">
        <v>217925</v>
      </c>
      <c r="DL15" s="102">
        <v>742101</v>
      </c>
      <c r="DM15" s="102">
        <v>15793</v>
      </c>
      <c r="DN15" s="102">
        <v>15793</v>
      </c>
      <c r="DO15" s="102">
        <v>15793</v>
      </c>
      <c r="DP15" s="102">
        <v>0</v>
      </c>
      <c r="DQ15" s="102">
        <v>0</v>
      </c>
      <c r="DR15" s="102">
        <v>0</v>
      </c>
      <c r="DS15" s="102">
        <v>0</v>
      </c>
      <c r="DT15" s="102">
        <v>5776074</v>
      </c>
      <c r="DU15" s="102">
        <v>0</v>
      </c>
      <c r="DV15" s="73">
        <f t="shared" si="10"/>
        <v>0</v>
      </c>
      <c r="DW15" s="102">
        <v>0</v>
      </c>
      <c r="DX15" s="102">
        <v>2035417</v>
      </c>
      <c r="DY15" s="102">
        <v>0</v>
      </c>
      <c r="DZ15" s="102">
        <v>1650682</v>
      </c>
      <c r="EA15" s="74">
        <v>0</v>
      </c>
      <c r="EB15" s="102">
        <v>2089975</v>
      </c>
      <c r="EC15" s="102">
        <v>0</v>
      </c>
      <c r="ED15" s="102">
        <v>64805280</v>
      </c>
      <c r="EE15" s="71"/>
      <c r="EF15" s="102">
        <v>912214</v>
      </c>
      <c r="EG15" s="102">
        <v>64373</v>
      </c>
      <c r="EH15" s="102">
        <v>847841</v>
      </c>
      <c r="EI15" s="102">
        <v>467042</v>
      </c>
      <c r="EJ15" s="102">
        <v>476647</v>
      </c>
      <c r="EK15" s="71"/>
      <c r="EL15" s="102">
        <v>143042</v>
      </c>
      <c r="EM15" s="102">
        <v>144102</v>
      </c>
      <c r="EN15" s="102">
        <v>272433</v>
      </c>
      <c r="EO15" s="102">
        <v>1619752</v>
      </c>
      <c r="EP15" s="73">
        <f t="shared" si="11"/>
        <v>1169483</v>
      </c>
      <c r="EQ15" s="102">
        <v>31783124</v>
      </c>
      <c r="ER15" s="71">
        <v>-5492470</v>
      </c>
      <c r="ES15" s="102">
        <v>7153912</v>
      </c>
      <c r="ET15" s="102">
        <v>4416642</v>
      </c>
      <c r="EU15" s="102">
        <v>7009557</v>
      </c>
      <c r="EV15" s="102">
        <v>5410272</v>
      </c>
      <c r="EW15" s="73">
        <f t="shared" si="12"/>
        <v>2165994</v>
      </c>
      <c r="EX15" s="102">
        <v>2165994</v>
      </c>
      <c r="EY15" s="102">
        <v>308750</v>
      </c>
      <c r="EZ15" s="102">
        <v>1857244</v>
      </c>
      <c r="FA15" s="102">
        <v>0</v>
      </c>
      <c r="FB15" s="102">
        <v>0</v>
      </c>
      <c r="FC15" s="102">
        <v>4825310</v>
      </c>
      <c r="FD15" s="102">
        <v>4401119</v>
      </c>
      <c r="FE15" s="102">
        <v>1899937</v>
      </c>
      <c r="FF15" s="102">
        <v>4276209</v>
      </c>
      <c r="FG15" s="73">
        <f t="shared" si="13"/>
        <v>1121007</v>
      </c>
      <c r="FH15" s="102">
        <v>36363380</v>
      </c>
      <c r="FI15" s="379">
        <f t="shared" si="14"/>
        <v>2.7</v>
      </c>
      <c r="FJ15" s="102">
        <v>28631181</v>
      </c>
      <c r="FK15" s="102">
        <v>2515905</v>
      </c>
      <c r="FL15" s="102">
        <v>17199198</v>
      </c>
      <c r="FM15" s="102">
        <v>23760441</v>
      </c>
      <c r="FN15" s="428">
        <v>0.73099999999999998</v>
      </c>
      <c r="FO15" s="424">
        <v>100.5</v>
      </c>
      <c r="FP15" s="425">
        <v>22</v>
      </c>
      <c r="FQ15" s="424">
        <v>21.9</v>
      </c>
      <c r="FR15" s="424">
        <v>16.899999999999999</v>
      </c>
      <c r="FS15" s="425">
        <v>14</v>
      </c>
      <c r="FT15" s="424">
        <v>12.1</v>
      </c>
      <c r="FU15" s="425">
        <v>13.1</v>
      </c>
      <c r="FV15" s="384">
        <v>7</v>
      </c>
      <c r="FW15" s="102">
        <v>63802686</v>
      </c>
      <c r="FX15" s="384">
        <f t="shared" si="15"/>
        <v>204.8</v>
      </c>
      <c r="FY15" s="102">
        <v>7308591</v>
      </c>
      <c r="FZ15" s="102">
        <v>2074506</v>
      </c>
      <c r="GA15" s="102">
        <v>2679468</v>
      </c>
      <c r="GB15" s="102">
        <v>2554617</v>
      </c>
      <c r="GC15" s="107">
        <v>0</v>
      </c>
      <c r="GD15" s="427"/>
      <c r="GE15" s="386"/>
      <c r="GF15" s="424">
        <v>99.1</v>
      </c>
      <c r="GG15" s="424">
        <v>38.799999999999997</v>
      </c>
      <c r="GH15" s="424">
        <v>96.7</v>
      </c>
      <c r="GI15" s="102">
        <v>720</v>
      </c>
      <c r="GJ15" s="429" t="s">
        <v>646</v>
      </c>
      <c r="GK15" s="429">
        <v>11.75</v>
      </c>
      <c r="GL15" s="117">
        <v>20</v>
      </c>
      <c r="GM15" s="429" t="s">
        <v>646</v>
      </c>
      <c r="GN15" s="430">
        <v>16.75</v>
      </c>
      <c r="GO15" s="387">
        <v>30</v>
      </c>
      <c r="GP15" s="425">
        <v>7.2</v>
      </c>
      <c r="GQ15" s="388">
        <v>25</v>
      </c>
      <c r="GR15" s="388">
        <v>35</v>
      </c>
      <c r="GS15" s="431">
        <v>66.400000000000006</v>
      </c>
      <c r="GT15" s="388">
        <v>350</v>
      </c>
      <c r="GU15" s="394"/>
      <c r="GV15" s="100">
        <f t="shared" si="16"/>
        <v>31147</v>
      </c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</row>
    <row r="16" spans="2:230" x14ac:dyDescent="0.15">
      <c r="B16" s="89" t="s">
        <v>21</v>
      </c>
      <c r="C16" s="102">
        <v>56365922</v>
      </c>
      <c r="D16" s="73">
        <f t="shared" si="0"/>
        <v>22867399</v>
      </c>
      <c r="E16" s="102">
        <v>649943</v>
      </c>
      <c r="F16" s="102">
        <v>22217456</v>
      </c>
      <c r="G16" s="73">
        <f t="shared" si="1"/>
        <v>3640163</v>
      </c>
      <c r="H16" s="102">
        <v>750296</v>
      </c>
      <c r="I16" s="102">
        <v>2889867</v>
      </c>
      <c r="J16" s="102">
        <v>21430742</v>
      </c>
      <c r="K16" s="102">
        <v>8329056</v>
      </c>
      <c r="L16" s="102">
        <v>10164270</v>
      </c>
      <c r="M16" s="102">
        <v>2597787</v>
      </c>
      <c r="N16" s="102">
        <v>1938830</v>
      </c>
      <c r="O16" s="102">
        <v>4591087</v>
      </c>
      <c r="P16" s="102">
        <v>2407126</v>
      </c>
      <c r="Q16" s="102">
        <v>2183961</v>
      </c>
      <c r="R16" s="102">
        <v>636079</v>
      </c>
      <c r="S16" s="74"/>
      <c r="T16" s="73">
        <f t="shared" si="2"/>
        <v>8160430</v>
      </c>
      <c r="U16" s="102">
        <v>148066</v>
      </c>
      <c r="V16" s="102">
        <v>419424</v>
      </c>
      <c r="W16" s="102">
        <v>423974</v>
      </c>
      <c r="X16" s="102">
        <v>6763932</v>
      </c>
      <c r="Y16" s="102">
        <v>81155</v>
      </c>
      <c r="Z16" s="102">
        <v>0</v>
      </c>
      <c r="AA16" s="102">
        <v>323879</v>
      </c>
      <c r="AB16" s="102">
        <v>285132</v>
      </c>
      <c r="AC16" s="102">
        <v>11464142</v>
      </c>
      <c r="AD16" s="102">
        <v>11167131</v>
      </c>
      <c r="AE16" s="102">
        <v>297011</v>
      </c>
      <c r="AF16" s="102">
        <v>54619</v>
      </c>
      <c r="AG16" s="102">
        <v>1496342</v>
      </c>
      <c r="AH16" s="73">
        <f t="shared" si="3"/>
        <v>2494214</v>
      </c>
      <c r="AI16" s="102">
        <v>1939964</v>
      </c>
      <c r="AJ16" s="102">
        <v>554250</v>
      </c>
      <c r="AK16" s="102">
        <v>26053207</v>
      </c>
      <c r="AL16" s="73">
        <f t="shared" si="4"/>
        <v>16139174</v>
      </c>
      <c r="AM16" s="102">
        <v>10076648</v>
      </c>
      <c r="AN16" s="102">
        <v>2559990</v>
      </c>
      <c r="AO16" s="74"/>
      <c r="AP16" s="102">
        <v>3502536</v>
      </c>
      <c r="AQ16" s="102">
        <v>607970</v>
      </c>
      <c r="AR16" s="102">
        <v>0</v>
      </c>
      <c r="AS16" s="102">
        <v>0</v>
      </c>
      <c r="AT16" s="102">
        <v>11324138</v>
      </c>
      <c r="AU16" s="102">
        <v>8357838</v>
      </c>
      <c r="AV16" s="102">
        <v>1279995</v>
      </c>
      <c r="AW16" s="102">
        <v>621850</v>
      </c>
      <c r="AX16" s="102">
        <v>2966300</v>
      </c>
      <c r="AY16" s="102">
        <v>2762</v>
      </c>
      <c r="AZ16" s="102">
        <v>129373</v>
      </c>
      <c r="BA16" s="102">
        <v>64349</v>
      </c>
      <c r="BB16" s="102">
        <v>291148</v>
      </c>
      <c r="BC16" s="102">
        <v>2302780</v>
      </c>
      <c r="BD16" s="102">
        <v>1455378</v>
      </c>
      <c r="BE16" s="102">
        <v>650000</v>
      </c>
      <c r="BF16" s="102">
        <v>136853</v>
      </c>
      <c r="BG16" s="102">
        <v>0</v>
      </c>
      <c r="BH16" s="102">
        <v>1933093</v>
      </c>
      <c r="BI16" s="102">
        <v>1683041</v>
      </c>
      <c r="BJ16" s="102">
        <v>1248385</v>
      </c>
      <c r="BK16" s="102">
        <v>23648</v>
      </c>
      <c r="BL16" s="102">
        <v>0</v>
      </c>
      <c r="BM16" s="102">
        <v>86902</v>
      </c>
      <c r="BN16" s="102">
        <v>11525005</v>
      </c>
      <c r="BO16" s="73">
        <f t="shared" si="5"/>
        <v>4730000</v>
      </c>
      <c r="BP16" s="73">
        <f t="shared" si="6"/>
        <v>6795005</v>
      </c>
      <c r="BQ16" s="102">
        <v>0</v>
      </c>
      <c r="BR16" s="102">
        <v>0</v>
      </c>
      <c r="BS16" s="102">
        <v>6795005</v>
      </c>
      <c r="BT16" s="102">
        <v>0</v>
      </c>
      <c r="BU16" s="102">
        <v>135764009</v>
      </c>
      <c r="BV16" s="71"/>
      <c r="BW16" s="102">
        <v>21513788</v>
      </c>
      <c r="BX16" s="102">
        <v>14566181</v>
      </c>
      <c r="BY16" s="102">
        <v>1716037</v>
      </c>
      <c r="BZ16" s="102">
        <v>1450060</v>
      </c>
      <c r="CA16" s="102">
        <v>43791332</v>
      </c>
      <c r="CB16" s="102">
        <v>9535207</v>
      </c>
      <c r="CC16" s="102">
        <v>810143</v>
      </c>
      <c r="CD16" s="102">
        <v>19421172</v>
      </c>
      <c r="CE16" s="102">
        <v>13360662</v>
      </c>
      <c r="CF16" s="102">
        <v>137603</v>
      </c>
      <c r="CG16" s="102">
        <v>525735</v>
      </c>
      <c r="CH16" s="102">
        <v>11817730</v>
      </c>
      <c r="CI16" s="102">
        <v>11030123</v>
      </c>
      <c r="CJ16" s="83">
        <f t="shared" si="17"/>
        <v>787607</v>
      </c>
      <c r="CK16" s="102">
        <v>13627416</v>
      </c>
      <c r="CL16" s="102">
        <v>8498794</v>
      </c>
      <c r="CM16" s="102">
        <v>712996</v>
      </c>
      <c r="CN16" s="102">
        <v>2332254</v>
      </c>
      <c r="CO16" s="102">
        <v>1091654</v>
      </c>
      <c r="CP16" s="102">
        <v>15540186</v>
      </c>
      <c r="CQ16" s="102">
        <v>4759744</v>
      </c>
      <c r="CR16" s="102">
        <v>2726826</v>
      </c>
      <c r="CS16" s="102">
        <v>1933803</v>
      </c>
      <c r="CT16" s="73">
        <f t="shared" si="7"/>
        <v>6265352</v>
      </c>
      <c r="CU16" s="102">
        <v>3206165</v>
      </c>
      <c r="CV16" s="102">
        <v>3059187</v>
      </c>
      <c r="CW16" s="73">
        <f t="shared" si="8"/>
        <v>1606024</v>
      </c>
      <c r="CX16" s="102">
        <v>1493082</v>
      </c>
      <c r="CY16" s="102">
        <v>112942</v>
      </c>
      <c r="CZ16" s="73">
        <f t="shared" si="9"/>
        <v>4511531</v>
      </c>
      <c r="DA16" s="102">
        <v>1674141</v>
      </c>
      <c r="DB16" s="102">
        <v>2837390</v>
      </c>
      <c r="DC16" s="102">
        <v>11001816</v>
      </c>
      <c r="DD16" s="102">
        <v>3525453</v>
      </c>
      <c r="DE16" s="102">
        <v>5655139</v>
      </c>
      <c r="DF16" s="102">
        <v>188</v>
      </c>
      <c r="DG16" s="102">
        <v>1821036</v>
      </c>
      <c r="DH16" s="102">
        <v>10154</v>
      </c>
      <c r="DI16" s="102">
        <v>2365870</v>
      </c>
      <c r="DJ16" s="102">
        <v>969598</v>
      </c>
      <c r="DK16" s="102">
        <v>3687</v>
      </c>
      <c r="DL16" s="102">
        <v>1392585</v>
      </c>
      <c r="DM16" s="102">
        <v>0</v>
      </c>
      <c r="DN16" s="102">
        <v>0</v>
      </c>
      <c r="DO16" s="102">
        <v>0</v>
      </c>
      <c r="DP16" s="102">
        <v>0</v>
      </c>
      <c r="DQ16" s="102">
        <v>21207</v>
      </c>
      <c r="DR16" s="102">
        <v>0</v>
      </c>
      <c r="DS16" s="102">
        <v>0</v>
      </c>
      <c r="DT16" s="102">
        <v>13220791</v>
      </c>
      <c r="DU16" s="102">
        <v>0</v>
      </c>
      <c r="DV16" s="73">
        <f t="shared" si="10"/>
        <v>0</v>
      </c>
      <c r="DW16" s="102">
        <v>0</v>
      </c>
      <c r="DX16" s="102">
        <v>4675033</v>
      </c>
      <c r="DY16" s="102">
        <v>0</v>
      </c>
      <c r="DZ16" s="102">
        <v>4251548</v>
      </c>
      <c r="EA16" s="74">
        <v>0</v>
      </c>
      <c r="EB16" s="102">
        <v>4294210</v>
      </c>
      <c r="EC16" s="102">
        <v>0</v>
      </c>
      <c r="ED16" s="102">
        <v>134001944</v>
      </c>
      <c r="EE16" s="71"/>
      <c r="EF16" s="102">
        <v>1762065</v>
      </c>
      <c r="EG16" s="102">
        <v>24873</v>
      </c>
      <c r="EH16" s="102">
        <v>1737192</v>
      </c>
      <c r="EI16" s="102">
        <v>54151</v>
      </c>
      <c r="EJ16" s="102">
        <v>1224636</v>
      </c>
      <c r="EK16" s="71"/>
      <c r="EL16" s="102">
        <v>404152</v>
      </c>
      <c r="EM16" s="102">
        <v>403989</v>
      </c>
      <c r="EN16" s="102">
        <v>2165927</v>
      </c>
      <c r="EO16" s="102">
        <v>111474</v>
      </c>
      <c r="EP16" s="73">
        <f t="shared" si="11"/>
        <v>3152020</v>
      </c>
      <c r="EQ16" s="102">
        <v>76966324</v>
      </c>
      <c r="ER16" s="71">
        <v>-12169807</v>
      </c>
      <c r="ES16" s="102">
        <v>19626500</v>
      </c>
      <c r="ET16" s="102">
        <v>13025951</v>
      </c>
      <c r="EU16" s="102">
        <v>13521378</v>
      </c>
      <c r="EV16" s="102">
        <v>11816182</v>
      </c>
      <c r="EW16" s="73">
        <f t="shared" si="12"/>
        <v>2589211</v>
      </c>
      <c r="EX16" s="102">
        <v>2579057</v>
      </c>
      <c r="EY16" s="102">
        <v>277752</v>
      </c>
      <c r="EZ16" s="102">
        <v>2301117</v>
      </c>
      <c r="FA16" s="102">
        <v>10154</v>
      </c>
      <c r="FB16" s="102">
        <v>0</v>
      </c>
      <c r="FC16" s="102">
        <v>11333788</v>
      </c>
      <c r="FD16" s="102">
        <v>14694713</v>
      </c>
      <c r="FE16" s="102">
        <v>4744742</v>
      </c>
      <c r="FF16" s="102">
        <v>10726380</v>
      </c>
      <c r="FG16" s="73">
        <f t="shared" si="13"/>
        <v>3065914</v>
      </c>
      <c r="FH16" s="102">
        <v>87374066</v>
      </c>
      <c r="FI16" s="379">
        <f t="shared" si="14"/>
        <v>2.2000000000000002</v>
      </c>
      <c r="FJ16" s="102">
        <v>71376998</v>
      </c>
      <c r="FK16" s="102">
        <v>6795005</v>
      </c>
      <c r="FL16" s="102">
        <v>46897471</v>
      </c>
      <c r="FM16" s="102">
        <v>58097536</v>
      </c>
      <c r="FN16" s="428">
        <v>0.80900000000000005</v>
      </c>
      <c r="FO16" s="424">
        <v>94.5</v>
      </c>
      <c r="FP16" s="425">
        <v>24.2</v>
      </c>
      <c r="FQ16" s="424">
        <v>17</v>
      </c>
      <c r="FR16" s="424">
        <v>12.8</v>
      </c>
      <c r="FS16" s="425">
        <v>12.1</v>
      </c>
      <c r="FT16" s="424">
        <v>15.2</v>
      </c>
      <c r="FU16" s="425">
        <v>11.9</v>
      </c>
      <c r="FV16" s="384">
        <v>-0.1</v>
      </c>
      <c r="FW16" s="102">
        <v>101719958</v>
      </c>
      <c r="FX16" s="384">
        <f t="shared" si="15"/>
        <v>130.1</v>
      </c>
      <c r="FY16" s="102">
        <v>27155705</v>
      </c>
      <c r="FZ16" s="102">
        <v>9504298</v>
      </c>
      <c r="GA16" s="102">
        <v>4704325</v>
      </c>
      <c r="GB16" s="102">
        <v>12947082</v>
      </c>
      <c r="GC16" s="107">
        <v>0</v>
      </c>
      <c r="GD16" s="427">
        <v>5667</v>
      </c>
      <c r="GE16" s="386">
        <f>IF(GD16=0,"-",ROUND(GD16/(GV16)*100,1))</f>
        <v>7.2</v>
      </c>
      <c r="GF16" s="424">
        <v>99.6</v>
      </c>
      <c r="GG16" s="424">
        <v>35.4</v>
      </c>
      <c r="GH16" s="424">
        <v>98.6</v>
      </c>
      <c r="GI16" s="102">
        <v>2191</v>
      </c>
      <c r="GJ16" s="429" t="s">
        <v>646</v>
      </c>
      <c r="GK16" s="429">
        <v>11.25</v>
      </c>
      <c r="GL16" s="117">
        <v>20</v>
      </c>
      <c r="GM16" s="429" t="s">
        <v>646</v>
      </c>
      <c r="GN16" s="430">
        <v>16.25</v>
      </c>
      <c r="GO16" s="387">
        <v>30</v>
      </c>
      <c r="GP16" s="425">
        <v>-0.3</v>
      </c>
      <c r="GQ16" s="388">
        <v>25</v>
      </c>
      <c r="GR16" s="388">
        <v>35</v>
      </c>
      <c r="GS16" s="431" t="s">
        <v>646</v>
      </c>
      <c r="GT16" s="388">
        <v>350</v>
      </c>
      <c r="GU16" s="394"/>
      <c r="GV16" s="100">
        <f t="shared" si="16"/>
        <v>78172</v>
      </c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</row>
    <row r="17" spans="2:230" x14ac:dyDescent="0.15">
      <c r="B17" s="89" t="s">
        <v>23</v>
      </c>
      <c r="C17" s="102">
        <v>45916743</v>
      </c>
      <c r="D17" s="73">
        <f t="shared" si="0"/>
        <v>17756691</v>
      </c>
      <c r="E17" s="102">
        <v>455728</v>
      </c>
      <c r="F17" s="102">
        <v>17300963</v>
      </c>
      <c r="G17" s="73">
        <f t="shared" si="1"/>
        <v>3298813</v>
      </c>
      <c r="H17" s="102">
        <v>741232</v>
      </c>
      <c r="I17" s="102">
        <v>2557581</v>
      </c>
      <c r="J17" s="102">
        <v>19094138</v>
      </c>
      <c r="K17" s="102">
        <v>7999316</v>
      </c>
      <c r="L17" s="102">
        <v>8455281</v>
      </c>
      <c r="M17" s="102">
        <v>2356102</v>
      </c>
      <c r="N17" s="102">
        <v>1553555</v>
      </c>
      <c r="O17" s="102">
        <v>3923616</v>
      </c>
      <c r="P17" s="102">
        <v>2115426</v>
      </c>
      <c r="Q17" s="102">
        <v>1808190</v>
      </c>
      <c r="R17" s="102">
        <v>474256</v>
      </c>
      <c r="S17" s="74"/>
      <c r="T17" s="73">
        <f t="shared" si="2"/>
        <v>6005653</v>
      </c>
      <c r="U17" s="102">
        <v>115087</v>
      </c>
      <c r="V17" s="102">
        <v>326460</v>
      </c>
      <c r="W17" s="102">
        <v>330751</v>
      </c>
      <c r="X17" s="102">
        <v>4904614</v>
      </c>
      <c r="Y17" s="102">
        <v>86995</v>
      </c>
      <c r="Z17" s="102">
        <v>0</v>
      </c>
      <c r="AA17" s="102">
        <v>241746</v>
      </c>
      <c r="AB17" s="102">
        <v>215428</v>
      </c>
      <c r="AC17" s="102">
        <v>1416958</v>
      </c>
      <c r="AD17" s="102">
        <v>1206288</v>
      </c>
      <c r="AE17" s="102">
        <v>210607</v>
      </c>
      <c r="AF17" s="102">
        <v>41592</v>
      </c>
      <c r="AG17" s="102">
        <v>558560</v>
      </c>
      <c r="AH17" s="73">
        <f t="shared" si="3"/>
        <v>1796631</v>
      </c>
      <c r="AI17" s="102">
        <v>1388426</v>
      </c>
      <c r="AJ17" s="102">
        <v>408205</v>
      </c>
      <c r="AK17" s="102">
        <v>17607229</v>
      </c>
      <c r="AL17" s="73">
        <f t="shared" si="4"/>
        <v>9004489</v>
      </c>
      <c r="AM17" s="102">
        <v>4839669</v>
      </c>
      <c r="AN17" s="102">
        <v>2047069</v>
      </c>
      <c r="AO17" s="74"/>
      <c r="AP17" s="102">
        <v>2117751</v>
      </c>
      <c r="AQ17" s="102">
        <v>472039</v>
      </c>
      <c r="AR17" s="102">
        <v>0</v>
      </c>
      <c r="AS17" s="102">
        <v>0</v>
      </c>
      <c r="AT17" s="102">
        <v>7419741</v>
      </c>
      <c r="AU17" s="102">
        <v>4536068</v>
      </c>
      <c r="AV17" s="102">
        <v>1021600</v>
      </c>
      <c r="AW17" s="102">
        <v>488044</v>
      </c>
      <c r="AX17" s="102">
        <v>2883673</v>
      </c>
      <c r="AY17" s="102">
        <v>447747</v>
      </c>
      <c r="AZ17" s="102">
        <v>306010</v>
      </c>
      <c r="BA17" s="102">
        <v>264370</v>
      </c>
      <c r="BB17" s="102">
        <v>73591</v>
      </c>
      <c r="BC17" s="102">
        <v>149931</v>
      </c>
      <c r="BD17" s="102">
        <v>0</v>
      </c>
      <c r="BE17" s="102">
        <v>0</v>
      </c>
      <c r="BF17" s="102">
        <v>54930</v>
      </c>
      <c r="BG17" s="102">
        <v>0</v>
      </c>
      <c r="BH17" s="102">
        <v>1888614</v>
      </c>
      <c r="BI17" s="102">
        <v>453634</v>
      </c>
      <c r="BJ17" s="102">
        <v>2629760</v>
      </c>
      <c r="BK17" s="102">
        <v>409616</v>
      </c>
      <c r="BL17" s="102">
        <v>6404</v>
      </c>
      <c r="BM17" s="102">
        <v>103649</v>
      </c>
      <c r="BN17" s="102">
        <v>1573000</v>
      </c>
      <c r="BO17" s="73">
        <f t="shared" si="5"/>
        <v>1083600</v>
      </c>
      <c r="BP17" s="73">
        <f t="shared" si="6"/>
        <v>489400</v>
      </c>
      <c r="BQ17" s="102">
        <v>0</v>
      </c>
      <c r="BR17" s="102">
        <v>0</v>
      </c>
      <c r="BS17" s="102">
        <v>489400</v>
      </c>
      <c r="BT17" s="102">
        <v>0</v>
      </c>
      <c r="BU17" s="102">
        <v>88073697</v>
      </c>
      <c r="BV17" s="71"/>
      <c r="BW17" s="102">
        <v>13967486</v>
      </c>
      <c r="BX17" s="102">
        <v>9874755</v>
      </c>
      <c r="BY17" s="102">
        <v>704941</v>
      </c>
      <c r="BZ17" s="102">
        <v>747484</v>
      </c>
      <c r="CA17" s="102">
        <v>27166479</v>
      </c>
      <c r="CB17" s="102">
        <v>5956252</v>
      </c>
      <c r="CC17" s="102">
        <v>572577</v>
      </c>
      <c r="CD17" s="102">
        <v>13367909</v>
      </c>
      <c r="CE17" s="102">
        <v>6428779</v>
      </c>
      <c r="CF17" s="102">
        <v>0</v>
      </c>
      <c r="CG17" s="102">
        <v>840722</v>
      </c>
      <c r="CH17" s="102">
        <v>4860615</v>
      </c>
      <c r="CI17" s="102">
        <v>4341450</v>
      </c>
      <c r="CJ17" s="83">
        <f t="shared" si="17"/>
        <v>519165</v>
      </c>
      <c r="CK17" s="102">
        <v>15095633</v>
      </c>
      <c r="CL17" s="102">
        <v>7588156</v>
      </c>
      <c r="CM17" s="102">
        <v>1400840</v>
      </c>
      <c r="CN17" s="102">
        <v>3795245</v>
      </c>
      <c r="CO17" s="102">
        <v>1180093</v>
      </c>
      <c r="CP17" s="102">
        <v>6343713</v>
      </c>
      <c r="CQ17" s="102">
        <v>6142</v>
      </c>
      <c r="CR17" s="102">
        <v>2816606</v>
      </c>
      <c r="CS17" s="102">
        <v>1993741</v>
      </c>
      <c r="CT17" s="73">
        <f t="shared" si="7"/>
        <v>2251656</v>
      </c>
      <c r="CU17" s="102">
        <v>1017438</v>
      </c>
      <c r="CV17" s="102">
        <v>1234218</v>
      </c>
      <c r="CW17" s="73">
        <f t="shared" si="8"/>
        <v>0</v>
      </c>
      <c r="CX17" s="102">
        <v>0</v>
      </c>
      <c r="CY17" s="102">
        <v>0</v>
      </c>
      <c r="CZ17" s="73">
        <f t="shared" si="9"/>
        <v>2210116</v>
      </c>
      <c r="DA17" s="102">
        <v>1014017</v>
      </c>
      <c r="DB17" s="102">
        <v>1196099</v>
      </c>
      <c r="DC17" s="102">
        <v>8607827</v>
      </c>
      <c r="DD17" s="102">
        <v>4542811</v>
      </c>
      <c r="DE17" s="102">
        <v>4060149</v>
      </c>
      <c r="DF17" s="102">
        <v>0</v>
      </c>
      <c r="DG17" s="102">
        <v>4867</v>
      </c>
      <c r="DH17" s="102">
        <v>0</v>
      </c>
      <c r="DI17" s="102">
        <v>944140</v>
      </c>
      <c r="DJ17" s="102">
        <v>460</v>
      </c>
      <c r="DK17" s="102">
        <v>0</v>
      </c>
      <c r="DL17" s="102">
        <v>943680</v>
      </c>
      <c r="DM17" s="102">
        <v>5711</v>
      </c>
      <c r="DN17" s="102">
        <v>5711</v>
      </c>
      <c r="DO17" s="102">
        <v>5711</v>
      </c>
      <c r="DP17" s="102">
        <v>0</v>
      </c>
      <c r="DQ17" s="102">
        <v>409580</v>
      </c>
      <c r="DR17" s="102">
        <v>0</v>
      </c>
      <c r="DS17" s="102">
        <v>0</v>
      </c>
      <c r="DT17" s="102">
        <v>7835774</v>
      </c>
      <c r="DU17" s="102">
        <v>0</v>
      </c>
      <c r="DV17" s="73">
        <f t="shared" si="10"/>
        <v>0</v>
      </c>
      <c r="DW17" s="102">
        <v>0</v>
      </c>
      <c r="DX17" s="102">
        <v>3021285</v>
      </c>
      <c r="DY17" s="102">
        <v>0</v>
      </c>
      <c r="DZ17" s="102">
        <v>2333275</v>
      </c>
      <c r="EA17" s="74">
        <v>0</v>
      </c>
      <c r="EB17" s="102">
        <v>2481214</v>
      </c>
      <c r="EC17" s="102">
        <v>0</v>
      </c>
      <c r="ED17" s="102">
        <v>86417051</v>
      </c>
      <c r="EE17" s="71"/>
      <c r="EF17" s="102">
        <v>1656646</v>
      </c>
      <c r="EG17" s="102">
        <v>718063</v>
      </c>
      <c r="EH17" s="102">
        <v>938583</v>
      </c>
      <c r="EI17" s="102">
        <v>29949</v>
      </c>
      <c r="EJ17" s="102">
        <v>30409</v>
      </c>
      <c r="EK17" s="71"/>
      <c r="EL17" s="102">
        <v>280033</v>
      </c>
      <c r="EM17" s="102">
        <v>281675</v>
      </c>
      <c r="EN17" s="102">
        <v>95001</v>
      </c>
      <c r="EO17" s="102">
        <v>305534</v>
      </c>
      <c r="EP17" s="73">
        <f t="shared" si="11"/>
        <v>2113962</v>
      </c>
      <c r="EQ17" s="102">
        <v>54070630</v>
      </c>
      <c r="ER17" s="71">
        <v>-2962305</v>
      </c>
      <c r="ES17" s="102">
        <v>12523545</v>
      </c>
      <c r="ET17" s="102">
        <v>8595682</v>
      </c>
      <c r="EU17" s="102">
        <v>8650457</v>
      </c>
      <c r="EV17" s="102">
        <v>4860615</v>
      </c>
      <c r="EW17" s="73">
        <f t="shared" si="12"/>
        <v>3078284</v>
      </c>
      <c r="EX17" s="102">
        <v>3078284</v>
      </c>
      <c r="EY17" s="102">
        <v>251141</v>
      </c>
      <c r="EZ17" s="102">
        <v>2827143</v>
      </c>
      <c r="FA17" s="102">
        <v>0</v>
      </c>
      <c r="FB17" s="102">
        <v>0</v>
      </c>
      <c r="FC17" s="102">
        <v>12227773</v>
      </c>
      <c r="FD17" s="102">
        <v>5643939</v>
      </c>
      <c r="FE17" s="102">
        <v>6142</v>
      </c>
      <c r="FF17" s="102">
        <v>6266211</v>
      </c>
      <c r="FG17" s="73">
        <f t="shared" si="13"/>
        <v>2125465</v>
      </c>
      <c r="FH17" s="102">
        <v>55376289</v>
      </c>
      <c r="FI17" s="379">
        <f t="shared" si="14"/>
        <v>1.8</v>
      </c>
      <c r="FJ17" s="102">
        <v>48889941</v>
      </c>
      <c r="FK17" s="102">
        <v>2226338</v>
      </c>
      <c r="FL17" s="102">
        <v>36949457</v>
      </c>
      <c r="FM17" s="102">
        <v>38185869</v>
      </c>
      <c r="FN17" s="428">
        <v>0.96399999999999997</v>
      </c>
      <c r="FO17" s="424">
        <v>93.8</v>
      </c>
      <c r="FP17" s="425">
        <v>24.2</v>
      </c>
      <c r="FQ17" s="424">
        <v>16.899999999999999</v>
      </c>
      <c r="FR17" s="424">
        <v>9.5</v>
      </c>
      <c r="FS17" s="425">
        <v>21.9</v>
      </c>
      <c r="FT17" s="424">
        <v>8.4</v>
      </c>
      <c r="FU17" s="425">
        <v>11.2</v>
      </c>
      <c r="FV17" s="384">
        <v>-3.4</v>
      </c>
      <c r="FW17" s="102">
        <v>53655240</v>
      </c>
      <c r="FX17" s="384">
        <f t="shared" si="15"/>
        <v>105</v>
      </c>
      <c r="FY17" s="102">
        <v>21424971</v>
      </c>
      <c r="FZ17" s="102">
        <v>8127110</v>
      </c>
      <c r="GA17" s="102">
        <v>0</v>
      </c>
      <c r="GB17" s="102">
        <v>13297861</v>
      </c>
      <c r="GC17" s="107">
        <v>0</v>
      </c>
      <c r="GD17" s="427">
        <v>866</v>
      </c>
      <c r="GE17" s="386">
        <f>IF(GD17=0,"-",ROUND(GD17/(GV17)*100,1))</f>
        <v>1.7</v>
      </c>
      <c r="GF17" s="424">
        <v>99.3</v>
      </c>
      <c r="GG17" s="424">
        <v>23.1</v>
      </c>
      <c r="GH17" s="424">
        <v>96.8</v>
      </c>
      <c r="GI17" s="102">
        <v>1530</v>
      </c>
      <c r="GJ17" s="429" t="s">
        <v>646</v>
      </c>
      <c r="GK17" s="429">
        <v>11.25</v>
      </c>
      <c r="GL17" s="117">
        <v>20</v>
      </c>
      <c r="GM17" s="429" t="s">
        <v>646</v>
      </c>
      <c r="GN17" s="430">
        <v>16.25</v>
      </c>
      <c r="GO17" s="387">
        <v>30</v>
      </c>
      <c r="GP17" s="425">
        <v>-3.5</v>
      </c>
      <c r="GQ17" s="388">
        <v>25</v>
      </c>
      <c r="GR17" s="388">
        <v>35</v>
      </c>
      <c r="GS17" s="431" t="s">
        <v>646</v>
      </c>
      <c r="GT17" s="388">
        <v>350</v>
      </c>
      <c r="GU17" s="394"/>
      <c r="GV17" s="100">
        <f t="shared" si="16"/>
        <v>51116</v>
      </c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</row>
    <row r="18" spans="2:230" x14ac:dyDescent="0.15">
      <c r="B18" s="89" t="s">
        <v>25</v>
      </c>
      <c r="C18" s="102">
        <v>38385317</v>
      </c>
      <c r="D18" s="73">
        <f t="shared" si="0"/>
        <v>13867447</v>
      </c>
      <c r="E18" s="102">
        <v>416163</v>
      </c>
      <c r="F18" s="102">
        <v>13451284</v>
      </c>
      <c r="G18" s="73">
        <f t="shared" si="1"/>
        <v>2838256</v>
      </c>
      <c r="H18" s="102">
        <v>739451</v>
      </c>
      <c r="I18" s="102">
        <v>2098805</v>
      </c>
      <c r="J18" s="102">
        <v>16193377</v>
      </c>
      <c r="K18" s="102">
        <v>7112101</v>
      </c>
      <c r="L18" s="102">
        <v>6763577</v>
      </c>
      <c r="M18" s="102">
        <v>2038620</v>
      </c>
      <c r="N18" s="102">
        <v>1762515</v>
      </c>
      <c r="O18" s="102">
        <v>3365315</v>
      </c>
      <c r="P18" s="102">
        <v>1895846</v>
      </c>
      <c r="Q18" s="102">
        <v>1469469</v>
      </c>
      <c r="R18" s="102">
        <v>426538</v>
      </c>
      <c r="S18" s="74"/>
      <c r="T18" s="73">
        <f t="shared" si="2"/>
        <v>5660917</v>
      </c>
      <c r="U18" s="102">
        <v>88550</v>
      </c>
      <c r="V18" s="102">
        <v>251270</v>
      </c>
      <c r="W18" s="102">
        <v>254715</v>
      </c>
      <c r="X18" s="102">
        <v>4849629</v>
      </c>
      <c r="Y18" s="102">
        <v>0</v>
      </c>
      <c r="Z18" s="102">
        <v>0</v>
      </c>
      <c r="AA18" s="102">
        <v>216753</v>
      </c>
      <c r="AB18" s="102">
        <v>219476</v>
      </c>
      <c r="AC18" s="102">
        <v>9926972</v>
      </c>
      <c r="AD18" s="102">
        <v>9444072</v>
      </c>
      <c r="AE18" s="102">
        <v>482790</v>
      </c>
      <c r="AF18" s="102">
        <v>37121</v>
      </c>
      <c r="AG18" s="102">
        <v>1127948</v>
      </c>
      <c r="AH18" s="73">
        <f t="shared" si="3"/>
        <v>1793918</v>
      </c>
      <c r="AI18" s="102">
        <v>1275912</v>
      </c>
      <c r="AJ18" s="102">
        <v>518006</v>
      </c>
      <c r="AK18" s="102">
        <v>22270894</v>
      </c>
      <c r="AL18" s="73">
        <f t="shared" si="4"/>
        <v>15346328</v>
      </c>
      <c r="AM18" s="102">
        <v>10102601</v>
      </c>
      <c r="AN18" s="102">
        <v>2351942</v>
      </c>
      <c r="AO18" s="74"/>
      <c r="AP18" s="102">
        <v>2891785</v>
      </c>
      <c r="AQ18" s="102">
        <v>450868</v>
      </c>
      <c r="AR18" s="102">
        <v>3800</v>
      </c>
      <c r="AS18" s="102">
        <v>47388</v>
      </c>
      <c r="AT18" s="102">
        <v>7978046</v>
      </c>
      <c r="AU18" s="102">
        <v>4959097</v>
      </c>
      <c r="AV18" s="102">
        <v>1169889</v>
      </c>
      <c r="AW18" s="102">
        <v>991377</v>
      </c>
      <c r="AX18" s="102">
        <v>3018949</v>
      </c>
      <c r="AY18" s="102">
        <v>5850</v>
      </c>
      <c r="AZ18" s="102">
        <v>171850</v>
      </c>
      <c r="BA18" s="102">
        <v>55454</v>
      </c>
      <c r="BB18" s="102">
        <v>78222</v>
      </c>
      <c r="BC18" s="102">
        <v>484934</v>
      </c>
      <c r="BD18" s="102">
        <v>280000</v>
      </c>
      <c r="BE18" s="102">
        <v>0</v>
      </c>
      <c r="BF18" s="102">
        <v>204887</v>
      </c>
      <c r="BG18" s="102">
        <v>0</v>
      </c>
      <c r="BH18" s="102">
        <v>74957</v>
      </c>
      <c r="BI18" s="102">
        <v>35822</v>
      </c>
      <c r="BJ18" s="102">
        <v>1118799</v>
      </c>
      <c r="BK18" s="102">
        <v>249214</v>
      </c>
      <c r="BL18" s="102">
        <v>0</v>
      </c>
      <c r="BM18" s="102">
        <v>72631</v>
      </c>
      <c r="BN18" s="102">
        <v>8880893</v>
      </c>
      <c r="BO18" s="73">
        <f t="shared" si="5"/>
        <v>4314700</v>
      </c>
      <c r="BP18" s="73">
        <f t="shared" si="6"/>
        <v>4566193</v>
      </c>
      <c r="BQ18" s="102">
        <v>0</v>
      </c>
      <c r="BR18" s="102">
        <v>0</v>
      </c>
      <c r="BS18" s="102">
        <v>4566193</v>
      </c>
      <c r="BT18" s="102">
        <v>0</v>
      </c>
      <c r="BU18" s="102">
        <v>98684190</v>
      </c>
      <c r="BV18" s="71"/>
      <c r="BW18" s="102">
        <v>16308094</v>
      </c>
      <c r="BX18" s="102">
        <v>10996116</v>
      </c>
      <c r="BY18" s="102">
        <v>496352</v>
      </c>
      <c r="BZ18" s="102">
        <v>1795844</v>
      </c>
      <c r="CA18" s="102">
        <v>35831147</v>
      </c>
      <c r="CB18" s="102">
        <v>7732267</v>
      </c>
      <c r="CC18" s="102">
        <v>546631</v>
      </c>
      <c r="CD18" s="102">
        <v>12183895</v>
      </c>
      <c r="CE18" s="102">
        <v>13779998</v>
      </c>
      <c r="CF18" s="102">
        <v>863076</v>
      </c>
      <c r="CG18" s="102">
        <v>724797</v>
      </c>
      <c r="CH18" s="102">
        <v>9269010</v>
      </c>
      <c r="CI18" s="102">
        <v>8536911</v>
      </c>
      <c r="CJ18" s="83">
        <f t="shared" si="17"/>
        <v>732099</v>
      </c>
      <c r="CK18" s="102">
        <v>9190638</v>
      </c>
      <c r="CL18" s="102">
        <v>6156468</v>
      </c>
      <c r="CM18" s="102">
        <v>582665</v>
      </c>
      <c r="CN18" s="102">
        <v>1622317</v>
      </c>
      <c r="CO18" s="102">
        <v>449106</v>
      </c>
      <c r="CP18" s="102">
        <v>8839313</v>
      </c>
      <c r="CQ18" s="102">
        <v>909434</v>
      </c>
      <c r="CR18" s="102">
        <v>1831785</v>
      </c>
      <c r="CS18" s="102">
        <v>1592679</v>
      </c>
      <c r="CT18" s="73">
        <f t="shared" si="7"/>
        <v>5397906</v>
      </c>
      <c r="CU18" s="102">
        <v>5397906</v>
      </c>
      <c r="CV18" s="102">
        <v>0</v>
      </c>
      <c r="CW18" s="73">
        <f t="shared" si="8"/>
        <v>1392814</v>
      </c>
      <c r="CX18" s="102">
        <v>1392814</v>
      </c>
      <c r="CY18" s="102">
        <v>0</v>
      </c>
      <c r="CZ18" s="73">
        <f t="shared" si="9"/>
        <v>3928013</v>
      </c>
      <c r="DA18" s="102">
        <v>3928013</v>
      </c>
      <c r="DB18" s="102">
        <v>0</v>
      </c>
      <c r="DC18" s="102">
        <v>7919091</v>
      </c>
      <c r="DD18" s="102">
        <v>3822651</v>
      </c>
      <c r="DE18" s="102">
        <v>4052112</v>
      </c>
      <c r="DF18" s="102">
        <v>41361</v>
      </c>
      <c r="DG18" s="102">
        <v>2967</v>
      </c>
      <c r="DH18" s="102">
        <v>9102</v>
      </c>
      <c r="DI18" s="102">
        <v>157730</v>
      </c>
      <c r="DJ18" s="102">
        <v>46613</v>
      </c>
      <c r="DK18" s="102">
        <v>0</v>
      </c>
      <c r="DL18" s="102">
        <v>111117</v>
      </c>
      <c r="DM18" s="102">
        <v>534340</v>
      </c>
      <c r="DN18" s="102">
        <v>505140</v>
      </c>
      <c r="DO18" s="102">
        <v>11448</v>
      </c>
      <c r="DP18" s="102">
        <v>0</v>
      </c>
      <c r="DQ18" s="102">
        <v>381800</v>
      </c>
      <c r="DR18" s="102">
        <v>0</v>
      </c>
      <c r="DS18" s="102">
        <v>0</v>
      </c>
      <c r="DT18" s="102">
        <v>9740700</v>
      </c>
      <c r="DU18" s="102">
        <v>0</v>
      </c>
      <c r="DV18" s="73">
        <f t="shared" si="10"/>
        <v>0</v>
      </c>
      <c r="DW18" s="102">
        <v>0</v>
      </c>
      <c r="DX18" s="102">
        <v>3238429</v>
      </c>
      <c r="DY18" s="102">
        <v>0</v>
      </c>
      <c r="DZ18" s="102">
        <v>3161886</v>
      </c>
      <c r="EA18" s="74">
        <v>0</v>
      </c>
      <c r="EB18" s="102">
        <v>3300069</v>
      </c>
      <c r="EC18" s="102">
        <v>0</v>
      </c>
      <c r="ED18" s="102">
        <v>98630071</v>
      </c>
      <c r="EE18" s="71"/>
      <c r="EF18" s="102">
        <v>54119</v>
      </c>
      <c r="EG18" s="102">
        <v>17225</v>
      </c>
      <c r="EH18" s="102">
        <v>36894</v>
      </c>
      <c r="EI18" s="102">
        <v>1072</v>
      </c>
      <c r="EJ18" s="102">
        <v>-88615</v>
      </c>
      <c r="EK18" s="71"/>
      <c r="EL18" s="102">
        <v>268800</v>
      </c>
      <c r="EM18" s="102">
        <v>267642</v>
      </c>
      <c r="EN18" s="102">
        <v>280012</v>
      </c>
      <c r="EO18" s="102">
        <v>109979</v>
      </c>
      <c r="EP18" s="73">
        <f t="shared" si="11"/>
        <v>1223600</v>
      </c>
      <c r="EQ18" s="102">
        <v>54703729</v>
      </c>
      <c r="ER18" s="71">
        <v>-6095275</v>
      </c>
      <c r="ES18" s="102">
        <v>14740262</v>
      </c>
      <c r="ET18" s="102">
        <v>9987015</v>
      </c>
      <c r="EU18" s="102">
        <v>10480125</v>
      </c>
      <c r="EV18" s="102">
        <v>9199700</v>
      </c>
      <c r="EW18" s="73">
        <f t="shared" si="12"/>
        <v>1737975</v>
      </c>
      <c r="EX18" s="102">
        <v>1737173</v>
      </c>
      <c r="EY18" s="102">
        <v>210842</v>
      </c>
      <c r="EZ18" s="102">
        <v>1525956</v>
      </c>
      <c r="FA18" s="102">
        <v>802</v>
      </c>
      <c r="FB18" s="102">
        <v>0</v>
      </c>
      <c r="FC18" s="102">
        <v>7654829</v>
      </c>
      <c r="FD18" s="102">
        <v>8234537</v>
      </c>
      <c r="FE18" s="102">
        <v>612980</v>
      </c>
      <c r="FF18" s="102">
        <v>7761085</v>
      </c>
      <c r="FG18" s="73">
        <f t="shared" si="13"/>
        <v>936372</v>
      </c>
      <c r="FH18" s="102">
        <v>60744885</v>
      </c>
      <c r="FI18" s="379">
        <f t="shared" si="14"/>
        <v>0.1</v>
      </c>
      <c r="FJ18" s="102">
        <v>49641742</v>
      </c>
      <c r="FK18" s="102">
        <v>4566193</v>
      </c>
      <c r="FL18" s="102">
        <v>31266649</v>
      </c>
      <c r="FM18" s="102">
        <v>40737508</v>
      </c>
      <c r="FN18" s="428">
        <v>0.76500000000000001</v>
      </c>
      <c r="FO18" s="424">
        <v>100.8</v>
      </c>
      <c r="FP18" s="425">
        <v>26.2</v>
      </c>
      <c r="FQ18" s="424">
        <v>18.7</v>
      </c>
      <c r="FR18" s="424">
        <v>16.100000000000001</v>
      </c>
      <c r="FS18" s="425">
        <v>12.6</v>
      </c>
      <c r="FT18" s="424">
        <v>13.5</v>
      </c>
      <c r="FU18" s="425">
        <v>12.1</v>
      </c>
      <c r="FV18" s="384">
        <v>7.1</v>
      </c>
      <c r="FW18" s="102">
        <v>94938054</v>
      </c>
      <c r="FX18" s="384">
        <f t="shared" si="15"/>
        <v>175.1</v>
      </c>
      <c r="FY18" s="102">
        <v>8188560</v>
      </c>
      <c r="FZ18" s="102">
        <v>5782622</v>
      </c>
      <c r="GA18" s="102">
        <v>0</v>
      </c>
      <c r="GB18" s="102">
        <v>2405938</v>
      </c>
      <c r="GC18" s="107">
        <v>0</v>
      </c>
      <c r="GD18" s="427"/>
      <c r="GE18" s="386"/>
      <c r="GF18" s="424">
        <v>99.3</v>
      </c>
      <c r="GG18" s="424">
        <v>36.200000000000003</v>
      </c>
      <c r="GH18" s="424">
        <v>97.9</v>
      </c>
      <c r="GI18" s="102">
        <v>1672</v>
      </c>
      <c r="GJ18" s="429" t="s">
        <v>646</v>
      </c>
      <c r="GK18" s="429">
        <v>11.25</v>
      </c>
      <c r="GL18" s="117">
        <v>20</v>
      </c>
      <c r="GM18" s="429" t="s">
        <v>646</v>
      </c>
      <c r="GN18" s="430">
        <v>16.25</v>
      </c>
      <c r="GO18" s="387">
        <v>30</v>
      </c>
      <c r="GP18" s="425">
        <v>6.9</v>
      </c>
      <c r="GQ18" s="388">
        <v>25</v>
      </c>
      <c r="GR18" s="388">
        <v>35</v>
      </c>
      <c r="GS18" s="431">
        <v>30.5</v>
      </c>
      <c r="GT18" s="388">
        <v>350</v>
      </c>
      <c r="GU18" s="394"/>
      <c r="GV18" s="100">
        <f t="shared" si="16"/>
        <v>54208</v>
      </c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</row>
    <row r="19" spans="2:230" x14ac:dyDescent="0.15">
      <c r="B19" s="89" t="s">
        <v>27</v>
      </c>
      <c r="C19" s="102">
        <v>20303854</v>
      </c>
      <c r="D19" s="73">
        <f t="shared" si="0"/>
        <v>4664019</v>
      </c>
      <c r="E19" s="102">
        <v>161342</v>
      </c>
      <c r="F19" s="102">
        <v>4502677</v>
      </c>
      <c r="G19" s="73">
        <f t="shared" si="1"/>
        <v>1685709</v>
      </c>
      <c r="H19" s="102">
        <v>469051</v>
      </c>
      <c r="I19" s="102">
        <v>1216658</v>
      </c>
      <c r="J19" s="102">
        <v>9982690</v>
      </c>
      <c r="K19" s="102">
        <v>3485204</v>
      </c>
      <c r="L19" s="102">
        <v>3774615</v>
      </c>
      <c r="M19" s="102">
        <v>2267550</v>
      </c>
      <c r="N19" s="102">
        <v>1885941</v>
      </c>
      <c r="O19" s="102">
        <v>1436554</v>
      </c>
      <c r="P19" s="102">
        <v>648941</v>
      </c>
      <c r="Q19" s="102">
        <v>787613</v>
      </c>
      <c r="R19" s="102">
        <v>205949</v>
      </c>
      <c r="S19" s="74"/>
      <c r="T19" s="73">
        <f t="shared" si="2"/>
        <v>2249570</v>
      </c>
      <c r="U19" s="102">
        <v>29793</v>
      </c>
      <c r="V19" s="102">
        <v>84533</v>
      </c>
      <c r="W19" s="102">
        <v>85677</v>
      </c>
      <c r="X19" s="102">
        <v>1917555</v>
      </c>
      <c r="Y19" s="102">
        <v>47446</v>
      </c>
      <c r="Z19" s="102">
        <v>0</v>
      </c>
      <c r="AA19" s="102">
        <v>84566</v>
      </c>
      <c r="AB19" s="102">
        <v>69215</v>
      </c>
      <c r="AC19" s="102">
        <v>1367277</v>
      </c>
      <c r="AD19" s="102">
        <v>705131</v>
      </c>
      <c r="AE19" s="102">
        <v>662146</v>
      </c>
      <c r="AF19" s="102">
        <v>19077</v>
      </c>
      <c r="AG19" s="102">
        <v>222942</v>
      </c>
      <c r="AH19" s="73">
        <f t="shared" si="3"/>
        <v>865016</v>
      </c>
      <c r="AI19" s="102">
        <v>632030</v>
      </c>
      <c r="AJ19" s="102">
        <v>232986</v>
      </c>
      <c r="AK19" s="102">
        <v>6826444</v>
      </c>
      <c r="AL19" s="73">
        <f t="shared" si="4"/>
        <v>4422658</v>
      </c>
      <c r="AM19" s="102">
        <v>2648656</v>
      </c>
      <c r="AN19" s="102">
        <v>733529</v>
      </c>
      <c r="AO19" s="74"/>
      <c r="AP19" s="102">
        <v>1040473</v>
      </c>
      <c r="AQ19" s="102">
        <v>259981</v>
      </c>
      <c r="AR19" s="102">
        <v>0</v>
      </c>
      <c r="AS19" s="102">
        <v>0</v>
      </c>
      <c r="AT19" s="102">
        <v>2623363</v>
      </c>
      <c r="AU19" s="102">
        <v>1494277</v>
      </c>
      <c r="AV19" s="102">
        <v>443852</v>
      </c>
      <c r="AW19" s="102">
        <v>0</v>
      </c>
      <c r="AX19" s="102">
        <v>1129086</v>
      </c>
      <c r="AY19" s="102">
        <v>32907</v>
      </c>
      <c r="AZ19" s="102">
        <v>2367086</v>
      </c>
      <c r="BA19" s="102">
        <v>2291464</v>
      </c>
      <c r="BB19" s="102">
        <v>13616640</v>
      </c>
      <c r="BC19" s="102">
        <v>15011111</v>
      </c>
      <c r="BD19" s="102">
        <v>200000</v>
      </c>
      <c r="BE19" s="102">
        <v>647375</v>
      </c>
      <c r="BF19" s="102">
        <v>14063736</v>
      </c>
      <c r="BG19" s="102">
        <v>100000</v>
      </c>
      <c r="BH19" s="102">
        <v>86948</v>
      </c>
      <c r="BI19" s="102">
        <v>55171</v>
      </c>
      <c r="BJ19" s="102">
        <v>792774</v>
      </c>
      <c r="BK19" s="102">
        <v>272609</v>
      </c>
      <c r="BL19" s="102">
        <v>0</v>
      </c>
      <c r="BM19" s="102">
        <v>46016</v>
      </c>
      <c r="BN19" s="102">
        <v>7418000</v>
      </c>
      <c r="BO19" s="73">
        <f t="shared" si="5"/>
        <v>6506800</v>
      </c>
      <c r="BP19" s="73">
        <f t="shared" si="6"/>
        <v>911200</v>
      </c>
      <c r="BQ19" s="102">
        <v>0</v>
      </c>
      <c r="BR19" s="102">
        <v>0</v>
      </c>
      <c r="BS19" s="102">
        <v>911200</v>
      </c>
      <c r="BT19" s="102">
        <v>0</v>
      </c>
      <c r="BU19" s="102">
        <v>74045266</v>
      </c>
      <c r="BV19" s="71"/>
      <c r="BW19" s="102">
        <v>5440728</v>
      </c>
      <c r="BX19" s="102">
        <v>3149474</v>
      </c>
      <c r="BY19" s="102">
        <v>510643</v>
      </c>
      <c r="BZ19" s="102">
        <v>526219</v>
      </c>
      <c r="CA19" s="102">
        <v>10772395</v>
      </c>
      <c r="CB19" s="102">
        <v>2436883</v>
      </c>
      <c r="CC19" s="102">
        <v>177142</v>
      </c>
      <c r="CD19" s="102">
        <v>4433423</v>
      </c>
      <c r="CE19" s="102">
        <v>3491505</v>
      </c>
      <c r="CF19" s="102">
        <v>12674</v>
      </c>
      <c r="CG19" s="102">
        <v>220768</v>
      </c>
      <c r="CH19" s="102">
        <v>6627462</v>
      </c>
      <c r="CI19" s="102">
        <v>5740287</v>
      </c>
      <c r="CJ19" s="83">
        <f t="shared" si="17"/>
        <v>887175</v>
      </c>
      <c r="CK19" s="102">
        <v>8562606</v>
      </c>
      <c r="CL19" s="102">
        <v>5229084</v>
      </c>
      <c r="CM19" s="102">
        <v>122403</v>
      </c>
      <c r="CN19" s="102">
        <v>566000</v>
      </c>
      <c r="CO19" s="102">
        <v>111987</v>
      </c>
      <c r="CP19" s="102">
        <v>12699350</v>
      </c>
      <c r="CQ19" s="102">
        <v>2196600</v>
      </c>
      <c r="CR19" s="102">
        <v>1967863</v>
      </c>
      <c r="CS19" s="102">
        <v>1567602</v>
      </c>
      <c r="CT19" s="73">
        <f t="shared" si="7"/>
        <v>1500</v>
      </c>
      <c r="CU19" s="102">
        <v>1500</v>
      </c>
      <c r="CV19" s="102">
        <v>0</v>
      </c>
      <c r="CW19" s="73">
        <f t="shared" si="8"/>
        <v>0</v>
      </c>
      <c r="CX19" s="102">
        <v>0</v>
      </c>
      <c r="CY19" s="102">
        <v>0</v>
      </c>
      <c r="CZ19" s="73">
        <f t="shared" si="9"/>
        <v>0</v>
      </c>
      <c r="DA19" s="102">
        <v>0</v>
      </c>
      <c r="DB19" s="102">
        <v>0</v>
      </c>
      <c r="DC19" s="102">
        <v>4651041</v>
      </c>
      <c r="DD19" s="102">
        <v>670765</v>
      </c>
      <c r="DE19" s="102">
        <v>3973936</v>
      </c>
      <c r="DF19" s="102">
        <v>6260</v>
      </c>
      <c r="DG19" s="102">
        <v>0</v>
      </c>
      <c r="DH19" s="102">
        <v>1581</v>
      </c>
      <c r="DI19" s="102">
        <v>17031954</v>
      </c>
      <c r="DJ19" s="102">
        <v>255805</v>
      </c>
      <c r="DK19" s="102">
        <v>259</v>
      </c>
      <c r="DL19" s="102">
        <v>16775890</v>
      </c>
      <c r="DM19" s="102">
        <v>0</v>
      </c>
      <c r="DN19" s="102">
        <v>0</v>
      </c>
      <c r="DO19" s="102">
        <v>0</v>
      </c>
      <c r="DP19" s="102">
        <v>0</v>
      </c>
      <c r="DQ19" s="102">
        <v>3010500</v>
      </c>
      <c r="DR19" s="102">
        <v>0</v>
      </c>
      <c r="DS19" s="102">
        <v>0</v>
      </c>
      <c r="DT19" s="102">
        <v>5075597</v>
      </c>
      <c r="DU19" s="102">
        <v>1548149</v>
      </c>
      <c r="DV19" s="73">
        <f t="shared" si="10"/>
        <v>0</v>
      </c>
      <c r="DW19" s="102">
        <v>0</v>
      </c>
      <c r="DX19" s="102">
        <v>1452988</v>
      </c>
      <c r="DY19" s="102">
        <v>0</v>
      </c>
      <c r="DZ19" s="102">
        <v>872083</v>
      </c>
      <c r="EA19" s="74">
        <v>0</v>
      </c>
      <c r="EB19" s="102">
        <v>1198127</v>
      </c>
      <c r="EC19" s="102">
        <v>0</v>
      </c>
      <c r="ED19" s="102">
        <v>73985201</v>
      </c>
      <c r="EE19" s="71"/>
      <c r="EF19" s="102">
        <v>60065</v>
      </c>
      <c r="EG19" s="102">
        <v>3084</v>
      </c>
      <c r="EH19" s="102">
        <v>56981</v>
      </c>
      <c r="EI19" s="102">
        <v>1810</v>
      </c>
      <c r="EJ19" s="102">
        <v>704990</v>
      </c>
      <c r="EK19" s="71"/>
      <c r="EL19" s="102">
        <v>100966</v>
      </c>
      <c r="EM19" s="102">
        <v>100739</v>
      </c>
      <c r="EN19" s="102">
        <v>13108221</v>
      </c>
      <c r="EO19" s="102">
        <v>215355</v>
      </c>
      <c r="EP19" s="73">
        <f t="shared" si="11"/>
        <v>520689</v>
      </c>
      <c r="EQ19" s="102">
        <v>24214942</v>
      </c>
      <c r="ER19" s="71">
        <v>-14736388</v>
      </c>
      <c r="ES19" s="102">
        <v>4944218</v>
      </c>
      <c r="ET19" s="102">
        <v>2742495</v>
      </c>
      <c r="EU19" s="102">
        <v>3065051</v>
      </c>
      <c r="EV19" s="102">
        <v>6305879</v>
      </c>
      <c r="EW19" s="73">
        <f t="shared" si="12"/>
        <v>748494</v>
      </c>
      <c r="EX19" s="102">
        <v>746913</v>
      </c>
      <c r="EY19" s="102">
        <v>35360</v>
      </c>
      <c r="EZ19" s="102">
        <v>709325</v>
      </c>
      <c r="FA19" s="102">
        <v>1581</v>
      </c>
      <c r="FB19" s="102">
        <v>0</v>
      </c>
      <c r="FC19" s="102">
        <v>7347367</v>
      </c>
      <c r="FD19" s="102">
        <v>11378313</v>
      </c>
      <c r="FE19" s="102">
        <v>1902049</v>
      </c>
      <c r="FF19" s="102">
        <v>4338806</v>
      </c>
      <c r="FG19" s="73">
        <f t="shared" si="13"/>
        <v>763137</v>
      </c>
      <c r="FH19" s="102">
        <v>38891265</v>
      </c>
      <c r="FI19" s="379">
        <f t="shared" si="14"/>
        <v>0.3</v>
      </c>
      <c r="FJ19" s="102">
        <v>21665347</v>
      </c>
      <c r="FK19" s="102">
        <v>911287</v>
      </c>
      <c r="FL19" s="102">
        <v>16189137</v>
      </c>
      <c r="FM19" s="102">
        <v>16907506</v>
      </c>
      <c r="FN19" s="428">
        <v>0.94499999999999995</v>
      </c>
      <c r="FO19" s="424">
        <v>109.6</v>
      </c>
      <c r="FP19" s="425">
        <v>20.6</v>
      </c>
      <c r="FQ19" s="424">
        <v>13.4</v>
      </c>
      <c r="FR19" s="424">
        <v>24.8</v>
      </c>
      <c r="FS19" s="425">
        <v>17.5</v>
      </c>
      <c r="FT19" s="424">
        <v>14.5</v>
      </c>
      <c r="FU19" s="425">
        <v>18.2</v>
      </c>
      <c r="FV19" s="384">
        <v>20.9</v>
      </c>
      <c r="FW19" s="102">
        <v>66697480</v>
      </c>
      <c r="FX19" s="384">
        <f t="shared" si="15"/>
        <v>295.39999999999998</v>
      </c>
      <c r="FY19" s="102">
        <v>10593532</v>
      </c>
      <c r="FZ19" s="102">
        <v>1376269</v>
      </c>
      <c r="GA19" s="102">
        <v>2518076</v>
      </c>
      <c r="GB19" s="102">
        <v>6699187</v>
      </c>
      <c r="GC19" s="107">
        <v>0</v>
      </c>
      <c r="GD19" s="427">
        <v>3051</v>
      </c>
      <c r="GE19" s="386">
        <f>IF(GD19=0,"-",ROUND(GD19/(GV19)*100,1))</f>
        <v>13.5</v>
      </c>
      <c r="GF19" s="424">
        <v>99.5</v>
      </c>
      <c r="GG19" s="424">
        <v>33.700000000000003</v>
      </c>
      <c r="GH19" s="424">
        <v>98.6</v>
      </c>
      <c r="GI19" s="102">
        <v>474</v>
      </c>
      <c r="GJ19" s="429" t="s">
        <v>646</v>
      </c>
      <c r="GK19" s="429">
        <v>12.26</v>
      </c>
      <c r="GL19" s="117">
        <v>20</v>
      </c>
      <c r="GM19" s="429" t="s">
        <v>646</v>
      </c>
      <c r="GN19" s="430">
        <v>17.260000000000002</v>
      </c>
      <c r="GO19" s="387">
        <v>30</v>
      </c>
      <c r="GP19" s="425">
        <v>18.2</v>
      </c>
      <c r="GQ19" s="388">
        <v>25</v>
      </c>
      <c r="GR19" s="388">
        <v>35</v>
      </c>
      <c r="GS19" s="431">
        <v>149.1</v>
      </c>
      <c r="GT19" s="388">
        <v>350</v>
      </c>
      <c r="GU19" s="394"/>
      <c r="GV19" s="100">
        <f t="shared" si="16"/>
        <v>22577</v>
      </c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</row>
    <row r="20" spans="2:230" x14ac:dyDescent="0.15">
      <c r="B20" s="89" t="s">
        <v>29</v>
      </c>
      <c r="C20" s="102">
        <v>13475585</v>
      </c>
      <c r="D20" s="73">
        <f t="shared" si="0"/>
        <v>6039508</v>
      </c>
      <c r="E20" s="102">
        <v>180731</v>
      </c>
      <c r="F20" s="102">
        <v>5858777</v>
      </c>
      <c r="G20" s="73">
        <f t="shared" si="1"/>
        <v>595644</v>
      </c>
      <c r="H20" s="102">
        <v>197975</v>
      </c>
      <c r="I20" s="102">
        <v>397669</v>
      </c>
      <c r="J20" s="102">
        <v>5106206</v>
      </c>
      <c r="K20" s="102">
        <v>1993986</v>
      </c>
      <c r="L20" s="102">
        <v>2388472</v>
      </c>
      <c r="M20" s="102">
        <v>615066</v>
      </c>
      <c r="N20" s="102">
        <v>539346</v>
      </c>
      <c r="O20" s="102">
        <v>990129</v>
      </c>
      <c r="P20" s="102">
        <v>530170</v>
      </c>
      <c r="Q20" s="102">
        <v>459959</v>
      </c>
      <c r="R20" s="102">
        <v>201614</v>
      </c>
      <c r="S20" s="74"/>
      <c r="T20" s="73">
        <f t="shared" si="2"/>
        <v>2337635</v>
      </c>
      <c r="U20" s="102">
        <v>40100</v>
      </c>
      <c r="V20" s="102">
        <v>113595</v>
      </c>
      <c r="W20" s="102">
        <v>114835</v>
      </c>
      <c r="X20" s="102">
        <v>1916039</v>
      </c>
      <c r="Y20" s="102">
        <v>50279</v>
      </c>
      <c r="Z20" s="102">
        <v>0</v>
      </c>
      <c r="AA20" s="102">
        <v>102787</v>
      </c>
      <c r="AB20" s="102">
        <v>67659</v>
      </c>
      <c r="AC20" s="102">
        <v>6247085</v>
      </c>
      <c r="AD20" s="102">
        <v>6096773</v>
      </c>
      <c r="AE20" s="102">
        <v>150312</v>
      </c>
      <c r="AF20" s="102">
        <v>17773</v>
      </c>
      <c r="AG20" s="102">
        <v>1066155</v>
      </c>
      <c r="AH20" s="73">
        <f t="shared" si="3"/>
        <v>963486</v>
      </c>
      <c r="AI20" s="102">
        <v>699028</v>
      </c>
      <c r="AJ20" s="102">
        <v>264458</v>
      </c>
      <c r="AK20" s="102">
        <v>7578061</v>
      </c>
      <c r="AL20" s="73">
        <f t="shared" si="4"/>
        <v>4694805</v>
      </c>
      <c r="AM20" s="102">
        <v>2940328</v>
      </c>
      <c r="AN20" s="102">
        <v>690924</v>
      </c>
      <c r="AO20" s="74"/>
      <c r="AP20" s="102">
        <v>1063553</v>
      </c>
      <c r="AQ20" s="102">
        <v>670391</v>
      </c>
      <c r="AR20" s="102">
        <v>1929</v>
      </c>
      <c r="AS20" s="102">
        <v>0</v>
      </c>
      <c r="AT20" s="102">
        <v>2684959</v>
      </c>
      <c r="AU20" s="102">
        <v>1468751</v>
      </c>
      <c r="AV20" s="102">
        <v>339342</v>
      </c>
      <c r="AW20" s="102">
        <v>15855</v>
      </c>
      <c r="AX20" s="102">
        <v>1216208</v>
      </c>
      <c r="AY20" s="102">
        <v>3992</v>
      </c>
      <c r="AZ20" s="102">
        <v>58309</v>
      </c>
      <c r="BA20" s="102">
        <v>39351</v>
      </c>
      <c r="BB20" s="102">
        <v>56965</v>
      </c>
      <c r="BC20" s="102">
        <v>507922</v>
      </c>
      <c r="BD20" s="102">
        <v>106464</v>
      </c>
      <c r="BE20" s="102">
        <v>0</v>
      </c>
      <c r="BF20" s="102">
        <v>401458</v>
      </c>
      <c r="BG20" s="102">
        <v>0</v>
      </c>
      <c r="BH20" s="102">
        <v>623810</v>
      </c>
      <c r="BI20" s="102">
        <v>548545</v>
      </c>
      <c r="BJ20" s="102">
        <v>1566420</v>
      </c>
      <c r="BK20" s="102">
        <v>1148495</v>
      </c>
      <c r="BL20" s="102">
        <v>0</v>
      </c>
      <c r="BM20" s="102">
        <v>81502</v>
      </c>
      <c r="BN20" s="102">
        <v>3934900</v>
      </c>
      <c r="BO20" s="73">
        <f t="shared" si="5"/>
        <v>2634900</v>
      </c>
      <c r="BP20" s="73">
        <f t="shared" si="6"/>
        <v>1300000</v>
      </c>
      <c r="BQ20" s="102">
        <v>0</v>
      </c>
      <c r="BR20" s="102">
        <v>0</v>
      </c>
      <c r="BS20" s="102">
        <v>1300000</v>
      </c>
      <c r="BT20" s="102">
        <v>0</v>
      </c>
      <c r="BU20" s="102">
        <v>41388338</v>
      </c>
      <c r="BV20" s="71"/>
      <c r="BW20" s="102">
        <v>7517436</v>
      </c>
      <c r="BX20" s="102">
        <v>4966549</v>
      </c>
      <c r="BY20" s="102">
        <v>470029</v>
      </c>
      <c r="BZ20" s="102">
        <v>702473</v>
      </c>
      <c r="CA20" s="102">
        <v>11737959</v>
      </c>
      <c r="CB20" s="102">
        <v>2911861</v>
      </c>
      <c r="CC20" s="102">
        <v>211766</v>
      </c>
      <c r="CD20" s="102">
        <v>4511018</v>
      </c>
      <c r="CE20" s="102">
        <v>3958006</v>
      </c>
      <c r="CF20" s="102">
        <v>11031</v>
      </c>
      <c r="CG20" s="102">
        <v>134277</v>
      </c>
      <c r="CH20" s="102">
        <v>2427789</v>
      </c>
      <c r="CI20" s="102">
        <v>2203347</v>
      </c>
      <c r="CJ20" s="83">
        <f t="shared" si="17"/>
        <v>224442</v>
      </c>
      <c r="CK20" s="102">
        <v>5036567</v>
      </c>
      <c r="CL20" s="102">
        <v>3411489</v>
      </c>
      <c r="CM20" s="102">
        <v>492975</v>
      </c>
      <c r="CN20" s="102">
        <v>784839</v>
      </c>
      <c r="CO20" s="102">
        <v>280394</v>
      </c>
      <c r="CP20" s="102">
        <v>3464170</v>
      </c>
      <c r="CQ20" s="102">
        <v>861979</v>
      </c>
      <c r="CR20" s="102">
        <v>994986</v>
      </c>
      <c r="CS20" s="102">
        <v>682800</v>
      </c>
      <c r="CT20" s="73">
        <f t="shared" si="7"/>
        <v>1036800</v>
      </c>
      <c r="CU20" s="102">
        <v>74611</v>
      </c>
      <c r="CV20" s="102">
        <v>962189</v>
      </c>
      <c r="CW20" s="73">
        <f t="shared" si="8"/>
        <v>0</v>
      </c>
      <c r="CX20" s="102">
        <v>0</v>
      </c>
      <c r="CY20" s="102">
        <v>0</v>
      </c>
      <c r="CZ20" s="73">
        <f t="shared" si="9"/>
        <v>1025477</v>
      </c>
      <c r="DA20" s="102">
        <v>66030</v>
      </c>
      <c r="DB20" s="102">
        <v>959447</v>
      </c>
      <c r="DC20" s="102">
        <v>4401667</v>
      </c>
      <c r="DD20" s="102">
        <v>1402285</v>
      </c>
      <c r="DE20" s="102">
        <v>2798880</v>
      </c>
      <c r="DF20" s="102">
        <v>200502</v>
      </c>
      <c r="DG20" s="102">
        <v>0</v>
      </c>
      <c r="DH20" s="102">
        <v>177455</v>
      </c>
      <c r="DI20" s="102">
        <v>349067</v>
      </c>
      <c r="DJ20" s="102">
        <v>3985</v>
      </c>
      <c r="DK20" s="102">
        <v>0</v>
      </c>
      <c r="DL20" s="102">
        <v>345082</v>
      </c>
      <c r="DM20" s="102">
        <v>0</v>
      </c>
      <c r="DN20" s="102">
        <v>0</v>
      </c>
      <c r="DO20" s="102">
        <v>0</v>
      </c>
      <c r="DP20" s="102">
        <v>0</v>
      </c>
      <c r="DQ20" s="102">
        <v>1139860</v>
      </c>
      <c r="DR20" s="102">
        <v>0</v>
      </c>
      <c r="DS20" s="102">
        <v>0</v>
      </c>
      <c r="DT20" s="102">
        <v>4288320</v>
      </c>
      <c r="DU20" s="102">
        <v>0</v>
      </c>
      <c r="DV20" s="73">
        <f t="shared" si="10"/>
        <v>0</v>
      </c>
      <c r="DW20" s="102">
        <v>0</v>
      </c>
      <c r="DX20" s="102">
        <v>1543930</v>
      </c>
      <c r="DY20" s="102">
        <v>0</v>
      </c>
      <c r="DZ20" s="102">
        <v>1247054</v>
      </c>
      <c r="EA20" s="74">
        <v>0</v>
      </c>
      <c r="EB20" s="102">
        <v>1495018</v>
      </c>
      <c r="EC20" s="102">
        <v>0</v>
      </c>
      <c r="ED20" s="102">
        <v>40820684</v>
      </c>
      <c r="EE20" s="71"/>
      <c r="EF20" s="102">
        <v>567654</v>
      </c>
      <c r="EG20" s="102">
        <v>144689</v>
      </c>
      <c r="EH20" s="102">
        <v>422965</v>
      </c>
      <c r="EI20" s="102">
        <v>-125580</v>
      </c>
      <c r="EJ20" s="102">
        <v>-228059</v>
      </c>
      <c r="EK20" s="71"/>
      <c r="EL20" s="102">
        <v>113984</v>
      </c>
      <c r="EM20" s="102">
        <v>112931</v>
      </c>
      <c r="EN20" s="102">
        <v>274664</v>
      </c>
      <c r="EO20" s="102">
        <v>45384</v>
      </c>
      <c r="EP20" s="73">
        <f t="shared" si="11"/>
        <v>1015206</v>
      </c>
      <c r="EQ20" s="102">
        <v>22347351</v>
      </c>
      <c r="ER20" s="71">
        <v>-2617481</v>
      </c>
      <c r="ES20" s="102">
        <v>6478869</v>
      </c>
      <c r="ET20" s="102">
        <v>4097883</v>
      </c>
      <c r="EU20" s="102">
        <v>3577088</v>
      </c>
      <c r="EV20" s="102">
        <v>2355196</v>
      </c>
      <c r="EW20" s="73">
        <f t="shared" si="12"/>
        <v>1012286</v>
      </c>
      <c r="EX20" s="102">
        <v>973260</v>
      </c>
      <c r="EY20" s="102">
        <v>53557</v>
      </c>
      <c r="EZ20" s="102">
        <v>910677</v>
      </c>
      <c r="FA20" s="102">
        <v>39026</v>
      </c>
      <c r="FB20" s="102">
        <v>0</v>
      </c>
      <c r="FC20" s="102">
        <v>3857845</v>
      </c>
      <c r="FD20" s="102">
        <v>3206752</v>
      </c>
      <c r="FE20" s="102">
        <v>861979</v>
      </c>
      <c r="FF20" s="102">
        <v>3443173</v>
      </c>
      <c r="FG20" s="73">
        <f t="shared" si="13"/>
        <v>465969</v>
      </c>
      <c r="FH20" s="102">
        <v>24397178</v>
      </c>
      <c r="FI20" s="379">
        <f t="shared" si="14"/>
        <v>1.9</v>
      </c>
      <c r="FJ20" s="102">
        <v>20933314</v>
      </c>
      <c r="FK20" s="102">
        <v>1533067</v>
      </c>
      <c r="FL20" s="102">
        <v>11571851</v>
      </c>
      <c r="FM20" s="102">
        <v>17681774</v>
      </c>
      <c r="FN20" s="428">
        <v>0.65500000000000003</v>
      </c>
      <c r="FO20" s="424">
        <v>96.4</v>
      </c>
      <c r="FP20" s="425">
        <v>28</v>
      </c>
      <c r="FQ20" s="424">
        <v>15.8</v>
      </c>
      <c r="FR20" s="424">
        <v>10.4</v>
      </c>
      <c r="FS20" s="425">
        <v>16.399999999999999</v>
      </c>
      <c r="FT20" s="424">
        <v>10.7</v>
      </c>
      <c r="FU20" s="425">
        <v>14.1</v>
      </c>
      <c r="FV20" s="384">
        <v>-0.9</v>
      </c>
      <c r="FW20" s="102">
        <v>28467325</v>
      </c>
      <c r="FX20" s="384">
        <f t="shared" si="15"/>
        <v>126.7</v>
      </c>
      <c r="FY20" s="102">
        <v>10718167</v>
      </c>
      <c r="FZ20" s="102">
        <v>3696694</v>
      </c>
      <c r="GA20" s="102">
        <v>0</v>
      </c>
      <c r="GB20" s="102">
        <v>7021473</v>
      </c>
      <c r="GC20" s="107">
        <v>0</v>
      </c>
      <c r="GD20" s="427"/>
      <c r="GE20" s="386"/>
      <c r="GF20" s="424">
        <v>99.1</v>
      </c>
      <c r="GG20" s="424">
        <v>34.1</v>
      </c>
      <c r="GH20" s="424">
        <v>97.1</v>
      </c>
      <c r="GI20" s="102">
        <v>829</v>
      </c>
      <c r="GJ20" s="429" t="s">
        <v>646</v>
      </c>
      <c r="GK20" s="429">
        <v>12.27</v>
      </c>
      <c r="GL20" s="117">
        <v>20</v>
      </c>
      <c r="GM20" s="429" t="s">
        <v>646</v>
      </c>
      <c r="GN20" s="430">
        <v>17.27</v>
      </c>
      <c r="GO20" s="387">
        <v>30</v>
      </c>
      <c r="GP20" s="425">
        <v>-1.1000000000000001</v>
      </c>
      <c r="GQ20" s="388">
        <v>25</v>
      </c>
      <c r="GR20" s="388">
        <v>35</v>
      </c>
      <c r="GS20" s="431" t="s">
        <v>646</v>
      </c>
      <c r="GT20" s="388">
        <v>350</v>
      </c>
      <c r="GU20" s="394"/>
      <c r="GV20" s="100">
        <f t="shared" si="16"/>
        <v>22466</v>
      </c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</row>
    <row r="21" spans="2:230" x14ac:dyDescent="0.15">
      <c r="B21" s="89" t="s">
        <v>31</v>
      </c>
      <c r="C21" s="102">
        <v>28667992</v>
      </c>
      <c r="D21" s="73">
        <f t="shared" si="0"/>
        <v>11234029</v>
      </c>
      <c r="E21" s="102">
        <v>365242</v>
      </c>
      <c r="F21" s="102">
        <v>10868787</v>
      </c>
      <c r="G21" s="73">
        <f t="shared" si="1"/>
        <v>1796569</v>
      </c>
      <c r="H21" s="102">
        <v>561001</v>
      </c>
      <c r="I21" s="102">
        <v>1235568</v>
      </c>
      <c r="J21" s="102">
        <v>11321862</v>
      </c>
      <c r="K21" s="102">
        <v>4737746</v>
      </c>
      <c r="L21" s="102">
        <v>5202218</v>
      </c>
      <c r="M21" s="102">
        <v>1093821</v>
      </c>
      <c r="N21" s="102">
        <v>1512337</v>
      </c>
      <c r="O21" s="102">
        <v>2500035</v>
      </c>
      <c r="P21" s="102">
        <v>1357511</v>
      </c>
      <c r="Q21" s="102">
        <v>1142524</v>
      </c>
      <c r="R21" s="102">
        <v>332045</v>
      </c>
      <c r="S21" s="74"/>
      <c r="T21" s="73">
        <f t="shared" si="2"/>
        <v>4626428</v>
      </c>
      <c r="U21" s="102">
        <v>73064</v>
      </c>
      <c r="V21" s="102">
        <v>207063</v>
      </c>
      <c r="W21" s="102">
        <v>209469</v>
      </c>
      <c r="X21" s="102">
        <v>3967720</v>
      </c>
      <c r="Y21" s="102">
        <v>0</v>
      </c>
      <c r="Z21" s="102">
        <v>0</v>
      </c>
      <c r="AA21" s="102">
        <v>169112</v>
      </c>
      <c r="AB21" s="102">
        <v>153851</v>
      </c>
      <c r="AC21" s="102">
        <v>11793574</v>
      </c>
      <c r="AD21" s="102">
        <v>11311958</v>
      </c>
      <c r="AE21" s="102">
        <v>481616</v>
      </c>
      <c r="AF21" s="102">
        <v>28370</v>
      </c>
      <c r="AG21" s="102">
        <v>850505</v>
      </c>
      <c r="AH21" s="73">
        <f t="shared" si="3"/>
        <v>885365</v>
      </c>
      <c r="AI21" s="102">
        <v>550553</v>
      </c>
      <c r="AJ21" s="102">
        <v>334812</v>
      </c>
      <c r="AK21" s="102">
        <v>22096213</v>
      </c>
      <c r="AL21" s="73">
        <f t="shared" si="4"/>
        <v>13812204</v>
      </c>
      <c r="AM21" s="102">
        <v>9538175</v>
      </c>
      <c r="AN21" s="102">
        <v>1578146</v>
      </c>
      <c r="AO21" s="74"/>
      <c r="AP21" s="102">
        <v>2695883</v>
      </c>
      <c r="AQ21" s="102">
        <v>2527021</v>
      </c>
      <c r="AR21" s="102">
        <v>0</v>
      </c>
      <c r="AS21" s="102">
        <v>0</v>
      </c>
      <c r="AT21" s="102">
        <v>7899250</v>
      </c>
      <c r="AU21" s="102">
        <v>5260112</v>
      </c>
      <c r="AV21" s="102">
        <v>789074</v>
      </c>
      <c r="AW21" s="102">
        <v>104926</v>
      </c>
      <c r="AX21" s="102">
        <v>2639138</v>
      </c>
      <c r="AY21" s="102">
        <v>262726</v>
      </c>
      <c r="AZ21" s="102">
        <v>397711</v>
      </c>
      <c r="BA21" s="102">
        <v>376383</v>
      </c>
      <c r="BB21" s="102">
        <v>10512</v>
      </c>
      <c r="BC21" s="102">
        <v>1381044</v>
      </c>
      <c r="BD21" s="102">
        <v>100000</v>
      </c>
      <c r="BE21" s="102">
        <v>82000</v>
      </c>
      <c r="BF21" s="102">
        <v>1199044</v>
      </c>
      <c r="BG21" s="102">
        <v>0</v>
      </c>
      <c r="BH21" s="102">
        <v>1544221</v>
      </c>
      <c r="BI21" s="102">
        <v>1537530</v>
      </c>
      <c r="BJ21" s="102">
        <v>666872</v>
      </c>
      <c r="BK21" s="102">
        <v>12848</v>
      </c>
      <c r="BL21" s="102">
        <v>0</v>
      </c>
      <c r="BM21" s="102">
        <v>69164</v>
      </c>
      <c r="BN21" s="102">
        <v>8544100</v>
      </c>
      <c r="BO21" s="73">
        <f t="shared" si="5"/>
        <v>5644100</v>
      </c>
      <c r="BP21" s="73">
        <f t="shared" si="6"/>
        <v>2900000</v>
      </c>
      <c r="BQ21" s="102">
        <v>0</v>
      </c>
      <c r="BR21" s="102">
        <v>0</v>
      </c>
      <c r="BS21" s="102">
        <v>2900000</v>
      </c>
      <c r="BT21" s="102">
        <v>0</v>
      </c>
      <c r="BU21" s="102">
        <v>89878053</v>
      </c>
      <c r="BV21" s="71"/>
      <c r="BW21" s="102">
        <v>10148801</v>
      </c>
      <c r="BX21" s="102">
        <v>7090592</v>
      </c>
      <c r="BY21" s="102">
        <v>792298</v>
      </c>
      <c r="BZ21" s="102">
        <v>285954</v>
      </c>
      <c r="CA21" s="102">
        <v>31498252</v>
      </c>
      <c r="CB21" s="102">
        <v>7521691</v>
      </c>
      <c r="CC21" s="102">
        <v>451849</v>
      </c>
      <c r="CD21" s="102">
        <v>10232460</v>
      </c>
      <c r="CE21" s="102">
        <v>12788832</v>
      </c>
      <c r="CF21" s="102">
        <v>33016</v>
      </c>
      <c r="CG21" s="102">
        <v>470264</v>
      </c>
      <c r="CH21" s="102">
        <v>6363532</v>
      </c>
      <c r="CI21" s="102">
        <v>5855165</v>
      </c>
      <c r="CJ21" s="83">
        <f t="shared" si="17"/>
        <v>508367</v>
      </c>
      <c r="CK21" s="102">
        <v>7655974</v>
      </c>
      <c r="CL21" s="102">
        <v>4356104</v>
      </c>
      <c r="CM21" s="102">
        <v>797734</v>
      </c>
      <c r="CN21" s="102">
        <v>1513457</v>
      </c>
      <c r="CO21" s="102">
        <v>190920</v>
      </c>
      <c r="CP21" s="102">
        <v>7452907</v>
      </c>
      <c r="CQ21" s="102">
        <v>3026694</v>
      </c>
      <c r="CR21" s="102">
        <v>1466955</v>
      </c>
      <c r="CS21" s="102">
        <v>882604</v>
      </c>
      <c r="CT21" s="73">
        <f t="shared" si="7"/>
        <v>1671111</v>
      </c>
      <c r="CU21" s="102">
        <v>1671111</v>
      </c>
      <c r="CV21" s="102">
        <v>0</v>
      </c>
      <c r="CW21" s="73">
        <f t="shared" si="8"/>
        <v>0</v>
      </c>
      <c r="CX21" s="102">
        <v>0</v>
      </c>
      <c r="CY21" s="102">
        <v>0</v>
      </c>
      <c r="CZ21" s="73">
        <f t="shared" si="9"/>
        <v>1644711</v>
      </c>
      <c r="DA21" s="102">
        <v>1644711</v>
      </c>
      <c r="DB21" s="102">
        <v>0</v>
      </c>
      <c r="DC21" s="102">
        <v>12713223</v>
      </c>
      <c r="DD21" s="102">
        <v>7160072</v>
      </c>
      <c r="DE21" s="102">
        <v>3427057</v>
      </c>
      <c r="DF21" s="102">
        <v>305419</v>
      </c>
      <c r="DG21" s="102">
        <v>1820675</v>
      </c>
      <c r="DH21" s="102">
        <v>0</v>
      </c>
      <c r="DI21" s="102">
        <v>2489222</v>
      </c>
      <c r="DJ21" s="102">
        <v>1120197</v>
      </c>
      <c r="DK21" s="102">
        <v>670018</v>
      </c>
      <c r="DL21" s="102">
        <v>699007</v>
      </c>
      <c r="DM21" s="102">
        <v>563603</v>
      </c>
      <c r="DN21" s="102">
        <v>563603</v>
      </c>
      <c r="DO21" s="102">
        <v>50264</v>
      </c>
      <c r="DP21" s="102">
        <v>0</v>
      </c>
      <c r="DQ21" s="102">
        <v>6145</v>
      </c>
      <c r="DR21" s="102">
        <v>0</v>
      </c>
      <c r="DS21" s="102">
        <v>0</v>
      </c>
      <c r="DT21" s="102">
        <v>9170484</v>
      </c>
      <c r="DU21" s="102">
        <v>0</v>
      </c>
      <c r="DV21" s="73">
        <f t="shared" si="10"/>
        <v>0</v>
      </c>
      <c r="DW21" s="102">
        <v>0</v>
      </c>
      <c r="DX21" s="102">
        <v>2959793</v>
      </c>
      <c r="DY21" s="102">
        <v>0</v>
      </c>
      <c r="DZ21" s="102">
        <v>3439773</v>
      </c>
      <c r="EA21" s="74">
        <v>0</v>
      </c>
      <c r="EB21" s="102">
        <v>2770918</v>
      </c>
      <c r="EC21" s="102">
        <v>0</v>
      </c>
      <c r="ED21" s="102">
        <v>88253063</v>
      </c>
      <c r="EE21" s="71"/>
      <c r="EF21" s="102">
        <v>1624990</v>
      </c>
      <c r="EG21" s="102">
        <v>11091</v>
      </c>
      <c r="EH21" s="102">
        <v>1613899</v>
      </c>
      <c r="EI21" s="102">
        <v>76369</v>
      </c>
      <c r="EJ21" s="102">
        <v>1096566</v>
      </c>
      <c r="EK21" s="71"/>
      <c r="EL21" s="102">
        <v>237518</v>
      </c>
      <c r="EM21" s="102">
        <v>235705</v>
      </c>
      <c r="EN21" s="102">
        <v>182000</v>
      </c>
      <c r="EO21" s="102">
        <v>275598</v>
      </c>
      <c r="EP21" s="73">
        <f t="shared" si="11"/>
        <v>2184413</v>
      </c>
      <c r="EQ21" s="102">
        <v>45602260</v>
      </c>
      <c r="ER21" s="71">
        <v>-5513641</v>
      </c>
      <c r="ES21" s="102">
        <v>9307572</v>
      </c>
      <c r="ET21" s="102">
        <v>6320847</v>
      </c>
      <c r="EU21" s="102">
        <v>8901849</v>
      </c>
      <c r="EV21" s="102">
        <v>6339743</v>
      </c>
      <c r="EW21" s="73">
        <f t="shared" si="12"/>
        <v>1311920</v>
      </c>
      <c r="EX21" s="102">
        <v>1311920</v>
      </c>
      <c r="EY21" s="102">
        <v>125368</v>
      </c>
      <c r="EZ21" s="102">
        <v>1079848</v>
      </c>
      <c r="FA21" s="102">
        <v>0</v>
      </c>
      <c r="FB21" s="102">
        <v>0</v>
      </c>
      <c r="FC21" s="102">
        <v>6164357</v>
      </c>
      <c r="FD21" s="102">
        <v>6755904</v>
      </c>
      <c r="FE21" s="102">
        <v>3012017</v>
      </c>
      <c r="FF21" s="102">
        <v>7541615</v>
      </c>
      <c r="FG21" s="73">
        <f t="shared" si="13"/>
        <v>3167951</v>
      </c>
      <c r="FH21" s="102">
        <v>49490911</v>
      </c>
      <c r="FI21" s="379">
        <f t="shared" si="14"/>
        <v>3.5</v>
      </c>
      <c r="FJ21" s="102">
        <v>41969968</v>
      </c>
      <c r="FK21" s="102">
        <v>3619439</v>
      </c>
      <c r="FL21" s="102">
        <v>24054759</v>
      </c>
      <c r="FM21" s="102">
        <v>35394639</v>
      </c>
      <c r="FN21" s="428">
        <v>0.67900000000000005</v>
      </c>
      <c r="FO21" s="424">
        <v>93.6</v>
      </c>
      <c r="FP21" s="425">
        <v>19.8</v>
      </c>
      <c r="FQ21" s="424">
        <v>19.5</v>
      </c>
      <c r="FR21" s="424">
        <v>13.9</v>
      </c>
      <c r="FS21" s="425">
        <v>12</v>
      </c>
      <c r="FT21" s="424">
        <v>13.5</v>
      </c>
      <c r="FU21" s="425">
        <v>13.4</v>
      </c>
      <c r="FV21" s="384">
        <v>2.1</v>
      </c>
      <c r="FW21" s="102">
        <v>63476126</v>
      </c>
      <c r="FX21" s="384">
        <f t="shared" si="15"/>
        <v>139.19999999999999</v>
      </c>
      <c r="FY21" s="102">
        <v>13167547</v>
      </c>
      <c r="FZ21" s="102">
        <v>6587363</v>
      </c>
      <c r="GA21" s="102">
        <v>872167</v>
      </c>
      <c r="GB21" s="102">
        <v>5708017</v>
      </c>
      <c r="GC21" s="107">
        <v>0</v>
      </c>
      <c r="GD21" s="427"/>
      <c r="GE21" s="386"/>
      <c r="GF21" s="424">
        <v>98.6</v>
      </c>
      <c r="GG21" s="424">
        <v>36.4</v>
      </c>
      <c r="GH21" s="424">
        <v>96</v>
      </c>
      <c r="GI21" s="102">
        <v>1016</v>
      </c>
      <c r="GJ21" s="429" t="s">
        <v>646</v>
      </c>
      <c r="GK21" s="429">
        <v>11.33</v>
      </c>
      <c r="GL21" s="117">
        <v>20</v>
      </c>
      <c r="GM21" s="429" t="s">
        <v>646</v>
      </c>
      <c r="GN21" s="430">
        <v>16.329999999999998</v>
      </c>
      <c r="GO21" s="387">
        <v>30</v>
      </c>
      <c r="GP21" s="425">
        <v>1.7</v>
      </c>
      <c r="GQ21" s="388">
        <v>25</v>
      </c>
      <c r="GR21" s="388">
        <v>35</v>
      </c>
      <c r="GS21" s="431" t="s">
        <v>646</v>
      </c>
      <c r="GT21" s="388">
        <v>350</v>
      </c>
      <c r="GU21" s="394"/>
      <c r="GV21" s="100">
        <f t="shared" si="16"/>
        <v>45589</v>
      </c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</row>
    <row r="22" spans="2:230" x14ac:dyDescent="0.15">
      <c r="B22" s="89" t="s">
        <v>33</v>
      </c>
      <c r="C22" s="102">
        <v>12155849</v>
      </c>
      <c r="D22" s="73">
        <f t="shared" si="0"/>
        <v>5538702</v>
      </c>
      <c r="E22" s="102">
        <v>176194</v>
      </c>
      <c r="F22" s="102">
        <v>5362508</v>
      </c>
      <c r="G22" s="73">
        <f t="shared" si="1"/>
        <v>599930</v>
      </c>
      <c r="H22" s="102">
        <v>209504</v>
      </c>
      <c r="I22" s="102">
        <v>390426</v>
      </c>
      <c r="J22" s="102">
        <v>4459513</v>
      </c>
      <c r="K22" s="102">
        <v>1616692</v>
      </c>
      <c r="L22" s="102">
        <v>2177891</v>
      </c>
      <c r="M22" s="102">
        <v>593932</v>
      </c>
      <c r="N22" s="102">
        <v>447704</v>
      </c>
      <c r="O22" s="102">
        <v>920923</v>
      </c>
      <c r="P22" s="102">
        <v>471151</v>
      </c>
      <c r="Q22" s="102">
        <v>449772</v>
      </c>
      <c r="R22" s="102">
        <v>225497</v>
      </c>
      <c r="S22" s="74"/>
      <c r="T22" s="73">
        <f t="shared" si="2"/>
        <v>2112451</v>
      </c>
      <c r="U22" s="102">
        <v>37722</v>
      </c>
      <c r="V22" s="102">
        <v>106657</v>
      </c>
      <c r="W22" s="102">
        <v>107491</v>
      </c>
      <c r="X22" s="102">
        <v>1727749</v>
      </c>
      <c r="Y22" s="102">
        <v>17828</v>
      </c>
      <c r="Z22" s="102">
        <v>0</v>
      </c>
      <c r="AA22" s="102">
        <v>115004</v>
      </c>
      <c r="AB22" s="102">
        <v>61068</v>
      </c>
      <c r="AC22" s="102">
        <v>6230015</v>
      </c>
      <c r="AD22" s="102">
        <v>6008641</v>
      </c>
      <c r="AE22" s="102">
        <v>221374</v>
      </c>
      <c r="AF22" s="102">
        <v>15362</v>
      </c>
      <c r="AG22" s="102">
        <v>392536</v>
      </c>
      <c r="AH22" s="73">
        <f t="shared" si="3"/>
        <v>652012</v>
      </c>
      <c r="AI22" s="102">
        <v>340269</v>
      </c>
      <c r="AJ22" s="102">
        <v>311743</v>
      </c>
      <c r="AK22" s="102">
        <v>6111947</v>
      </c>
      <c r="AL22" s="73">
        <f t="shared" si="4"/>
        <v>3797743</v>
      </c>
      <c r="AM22" s="102">
        <v>1873159</v>
      </c>
      <c r="AN22" s="102">
        <v>943637</v>
      </c>
      <c r="AO22" s="74"/>
      <c r="AP22" s="102">
        <v>980947</v>
      </c>
      <c r="AQ22" s="102">
        <v>220907</v>
      </c>
      <c r="AR22" s="102">
        <v>0</v>
      </c>
      <c r="AS22" s="102">
        <v>0</v>
      </c>
      <c r="AT22" s="102">
        <v>2734129</v>
      </c>
      <c r="AU22" s="102">
        <v>1553262</v>
      </c>
      <c r="AV22" s="102">
        <v>470373</v>
      </c>
      <c r="AW22" s="102">
        <v>3211</v>
      </c>
      <c r="AX22" s="102">
        <v>1180867</v>
      </c>
      <c r="AY22" s="102">
        <v>800</v>
      </c>
      <c r="AZ22" s="102">
        <v>91978</v>
      </c>
      <c r="BA22" s="102">
        <v>20572</v>
      </c>
      <c r="BB22" s="102">
        <v>33676</v>
      </c>
      <c r="BC22" s="102">
        <v>127511</v>
      </c>
      <c r="BD22" s="102">
        <v>0</v>
      </c>
      <c r="BE22" s="102">
        <v>0</v>
      </c>
      <c r="BF22" s="102">
        <v>110075</v>
      </c>
      <c r="BG22" s="102">
        <v>0</v>
      </c>
      <c r="BH22" s="102">
        <v>78958</v>
      </c>
      <c r="BI22" s="102">
        <v>17217</v>
      </c>
      <c r="BJ22" s="102">
        <v>512321</v>
      </c>
      <c r="BK22" s="102">
        <v>81238</v>
      </c>
      <c r="BL22" s="102">
        <v>0</v>
      </c>
      <c r="BM22" s="102">
        <v>0</v>
      </c>
      <c r="BN22" s="102">
        <v>2033100</v>
      </c>
      <c r="BO22" s="73">
        <f t="shared" si="5"/>
        <v>753100</v>
      </c>
      <c r="BP22" s="73">
        <f t="shared" si="6"/>
        <v>1280000</v>
      </c>
      <c r="BQ22" s="102">
        <v>0</v>
      </c>
      <c r="BR22" s="102">
        <v>0</v>
      </c>
      <c r="BS22" s="102">
        <v>1280000</v>
      </c>
      <c r="BT22" s="102">
        <v>0</v>
      </c>
      <c r="BU22" s="102">
        <v>33568410</v>
      </c>
      <c r="BV22" s="71"/>
      <c r="BW22" s="102">
        <v>5945776</v>
      </c>
      <c r="BX22" s="102">
        <v>3599395</v>
      </c>
      <c r="BY22" s="102">
        <v>386978</v>
      </c>
      <c r="BZ22" s="102">
        <v>760810</v>
      </c>
      <c r="CA22" s="102">
        <v>10289856</v>
      </c>
      <c r="CB22" s="102">
        <v>2821011</v>
      </c>
      <c r="CC22" s="102">
        <v>230386</v>
      </c>
      <c r="CD22" s="102">
        <v>4246496</v>
      </c>
      <c r="CE22" s="102">
        <v>2442791</v>
      </c>
      <c r="CF22" s="102">
        <v>6867</v>
      </c>
      <c r="CG22" s="102">
        <v>542305</v>
      </c>
      <c r="CH22" s="102">
        <v>3147767</v>
      </c>
      <c r="CI22" s="102">
        <v>2887022</v>
      </c>
      <c r="CJ22" s="83">
        <f t="shared" si="17"/>
        <v>260745</v>
      </c>
      <c r="CK22" s="102">
        <v>4839173</v>
      </c>
      <c r="CL22" s="102">
        <v>3449173</v>
      </c>
      <c r="CM22" s="102">
        <v>252977</v>
      </c>
      <c r="CN22" s="102">
        <v>555055</v>
      </c>
      <c r="CO22" s="102">
        <v>226699</v>
      </c>
      <c r="CP22" s="102">
        <v>3105287</v>
      </c>
      <c r="CQ22" s="102">
        <v>539960</v>
      </c>
      <c r="CR22" s="102">
        <v>485154</v>
      </c>
      <c r="CS22" s="102">
        <v>435079</v>
      </c>
      <c r="CT22" s="73">
        <f t="shared" si="7"/>
        <v>1313334</v>
      </c>
      <c r="CU22" s="102">
        <v>15720</v>
      </c>
      <c r="CV22" s="102">
        <v>1297614</v>
      </c>
      <c r="CW22" s="73">
        <f t="shared" si="8"/>
        <v>0</v>
      </c>
      <c r="CX22" s="102">
        <v>0</v>
      </c>
      <c r="CY22" s="102">
        <v>0</v>
      </c>
      <c r="CZ22" s="73">
        <f t="shared" si="9"/>
        <v>1158191</v>
      </c>
      <c r="DA22" s="102">
        <v>0</v>
      </c>
      <c r="DB22" s="102">
        <v>1158191</v>
      </c>
      <c r="DC22" s="102">
        <v>1297210</v>
      </c>
      <c r="DD22" s="102">
        <v>568785</v>
      </c>
      <c r="DE22" s="102">
        <v>620027</v>
      </c>
      <c r="DF22" s="102">
        <v>108398</v>
      </c>
      <c r="DG22" s="102">
        <v>0</v>
      </c>
      <c r="DH22" s="102">
        <v>142507</v>
      </c>
      <c r="DI22" s="102">
        <v>378438</v>
      </c>
      <c r="DJ22" s="102">
        <v>28797</v>
      </c>
      <c r="DK22" s="102">
        <v>421</v>
      </c>
      <c r="DL22" s="102">
        <v>349220</v>
      </c>
      <c r="DM22" s="102">
        <v>0</v>
      </c>
      <c r="DN22" s="102">
        <v>0</v>
      </c>
      <c r="DO22" s="102">
        <v>0</v>
      </c>
      <c r="DP22" s="102">
        <v>0</v>
      </c>
      <c r="DQ22" s="102">
        <v>63898</v>
      </c>
      <c r="DR22" s="102">
        <v>0</v>
      </c>
      <c r="DS22" s="102">
        <v>0</v>
      </c>
      <c r="DT22" s="102">
        <v>4012338</v>
      </c>
      <c r="DU22" s="102">
        <v>0</v>
      </c>
      <c r="DV22" s="73">
        <f t="shared" si="10"/>
        <v>0</v>
      </c>
      <c r="DW22" s="102">
        <v>0</v>
      </c>
      <c r="DX22" s="102">
        <v>1613089</v>
      </c>
      <c r="DY22" s="102">
        <v>0</v>
      </c>
      <c r="DZ22" s="102">
        <v>957101</v>
      </c>
      <c r="EA22" s="74">
        <v>0</v>
      </c>
      <c r="EB22" s="102">
        <v>1442148</v>
      </c>
      <c r="EC22" s="102">
        <v>0</v>
      </c>
      <c r="ED22" s="102">
        <v>33448949</v>
      </c>
      <c r="EE22" s="71"/>
      <c r="EF22" s="102">
        <v>119461</v>
      </c>
      <c r="EG22" s="102">
        <v>81845</v>
      </c>
      <c r="EH22" s="102">
        <v>37616</v>
      </c>
      <c r="EI22" s="102">
        <v>20399</v>
      </c>
      <c r="EJ22" s="102">
        <v>49196</v>
      </c>
      <c r="EK22" s="71"/>
      <c r="EL22" s="102">
        <v>106987</v>
      </c>
      <c r="EM22" s="102">
        <v>107280</v>
      </c>
      <c r="EN22" s="102">
        <v>2</v>
      </c>
      <c r="EO22" s="102">
        <v>48983</v>
      </c>
      <c r="EP22" s="73">
        <f t="shared" si="11"/>
        <v>329301</v>
      </c>
      <c r="EQ22" s="102">
        <v>20800242</v>
      </c>
      <c r="ER22" s="71">
        <v>-1642924</v>
      </c>
      <c r="ES22" s="102">
        <v>5313492</v>
      </c>
      <c r="ET22" s="102">
        <v>3328537</v>
      </c>
      <c r="EU22" s="102">
        <v>2898302</v>
      </c>
      <c r="EV22" s="102">
        <v>3111935</v>
      </c>
      <c r="EW22" s="73">
        <f t="shared" si="12"/>
        <v>328170</v>
      </c>
      <c r="EX22" s="102">
        <v>316872</v>
      </c>
      <c r="EY22" s="102">
        <v>22378</v>
      </c>
      <c r="EZ22" s="102">
        <v>285845</v>
      </c>
      <c r="FA22" s="102">
        <v>11298</v>
      </c>
      <c r="FB22" s="102">
        <v>0</v>
      </c>
      <c r="FC22" s="102">
        <v>4106850</v>
      </c>
      <c r="FD22" s="102">
        <v>2809653</v>
      </c>
      <c r="FE22" s="102">
        <v>457357</v>
      </c>
      <c r="FF22" s="102">
        <v>3264999</v>
      </c>
      <c r="FG22" s="73">
        <f t="shared" si="13"/>
        <v>539072</v>
      </c>
      <c r="FH22" s="102">
        <v>22372473</v>
      </c>
      <c r="FI22" s="379">
        <f t="shared" si="14"/>
        <v>0.2</v>
      </c>
      <c r="FJ22" s="102">
        <v>19326820</v>
      </c>
      <c r="FK22" s="102">
        <v>1445661</v>
      </c>
      <c r="FL22" s="102">
        <v>10471968</v>
      </c>
      <c r="FM22" s="102">
        <v>16480971</v>
      </c>
      <c r="FN22" s="428">
        <v>0.64400000000000002</v>
      </c>
      <c r="FO22" s="424">
        <v>99</v>
      </c>
      <c r="FP22" s="425">
        <v>25</v>
      </c>
      <c r="FQ22" s="424">
        <v>13.7</v>
      </c>
      <c r="FR22" s="424">
        <v>14.7</v>
      </c>
      <c r="FS22" s="425">
        <v>18.899999999999999</v>
      </c>
      <c r="FT22" s="424">
        <v>10.4</v>
      </c>
      <c r="FU22" s="425">
        <v>15.2</v>
      </c>
      <c r="FV22" s="384">
        <v>3.4</v>
      </c>
      <c r="FW22" s="102">
        <v>31871416</v>
      </c>
      <c r="FX22" s="384">
        <f t="shared" si="15"/>
        <v>153.4</v>
      </c>
      <c r="FY22" s="102">
        <v>7435223</v>
      </c>
      <c r="FZ22" s="102">
        <v>3537670</v>
      </c>
      <c r="GA22" s="102">
        <v>404949</v>
      </c>
      <c r="GB22" s="102">
        <v>3492604</v>
      </c>
      <c r="GC22" s="107">
        <v>0</v>
      </c>
      <c r="GD22" s="427"/>
      <c r="GE22" s="386"/>
      <c r="GF22" s="424">
        <v>99.3</v>
      </c>
      <c r="GG22" s="424">
        <v>30</v>
      </c>
      <c r="GH22" s="424">
        <v>97.3</v>
      </c>
      <c r="GI22" s="102">
        <v>558</v>
      </c>
      <c r="GJ22" s="429" t="s">
        <v>646</v>
      </c>
      <c r="GK22" s="429">
        <v>12.42</v>
      </c>
      <c r="GL22" s="117">
        <v>20</v>
      </c>
      <c r="GM22" s="429" t="s">
        <v>646</v>
      </c>
      <c r="GN22" s="430">
        <v>17.420000000000002</v>
      </c>
      <c r="GO22" s="387">
        <v>30</v>
      </c>
      <c r="GP22" s="425">
        <v>1.3</v>
      </c>
      <c r="GQ22" s="388">
        <v>25</v>
      </c>
      <c r="GR22" s="388">
        <v>35</v>
      </c>
      <c r="GS22" s="431" t="s">
        <v>646</v>
      </c>
      <c r="GT22" s="388">
        <v>350</v>
      </c>
      <c r="GU22" s="394"/>
      <c r="GV22" s="100">
        <f t="shared" si="16"/>
        <v>20772</v>
      </c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</row>
    <row r="23" spans="2:230" x14ac:dyDescent="0.15">
      <c r="B23" s="89" t="s">
        <v>35</v>
      </c>
      <c r="C23" s="102">
        <v>13784174</v>
      </c>
      <c r="D23" s="73">
        <f t="shared" si="0"/>
        <v>5325922</v>
      </c>
      <c r="E23" s="102">
        <v>179744</v>
      </c>
      <c r="F23" s="102">
        <v>5146178</v>
      </c>
      <c r="G23" s="73">
        <f t="shared" si="1"/>
        <v>800932</v>
      </c>
      <c r="H23" s="102">
        <v>254951</v>
      </c>
      <c r="I23" s="102">
        <v>545981</v>
      </c>
      <c r="J23" s="102">
        <v>5433457</v>
      </c>
      <c r="K23" s="102">
        <v>2550484</v>
      </c>
      <c r="L23" s="102">
        <v>2278390</v>
      </c>
      <c r="M23" s="102">
        <v>560951</v>
      </c>
      <c r="N23" s="102">
        <v>860940</v>
      </c>
      <c r="O23" s="102">
        <v>1193307</v>
      </c>
      <c r="P23" s="102">
        <v>699105</v>
      </c>
      <c r="Q23" s="102">
        <v>494202</v>
      </c>
      <c r="R23" s="102">
        <v>178707</v>
      </c>
      <c r="S23" s="74"/>
      <c r="T23" s="73">
        <f t="shared" si="2"/>
        <v>2390923</v>
      </c>
      <c r="U23" s="102">
        <v>34291</v>
      </c>
      <c r="V23" s="102">
        <v>97270</v>
      </c>
      <c r="W23" s="102">
        <v>98545</v>
      </c>
      <c r="X23" s="102">
        <v>2069821</v>
      </c>
      <c r="Y23" s="102">
        <v>0</v>
      </c>
      <c r="Z23" s="102">
        <v>0</v>
      </c>
      <c r="AA23" s="102">
        <v>90996</v>
      </c>
      <c r="AB23" s="102">
        <v>78534</v>
      </c>
      <c r="AC23" s="102">
        <v>8078861</v>
      </c>
      <c r="AD23" s="102">
        <v>7764119</v>
      </c>
      <c r="AE23" s="102">
        <v>314742</v>
      </c>
      <c r="AF23" s="102">
        <v>18563</v>
      </c>
      <c r="AG23" s="102">
        <v>394223</v>
      </c>
      <c r="AH23" s="73">
        <f t="shared" si="3"/>
        <v>601844</v>
      </c>
      <c r="AI23" s="102">
        <v>400491</v>
      </c>
      <c r="AJ23" s="102">
        <v>201353</v>
      </c>
      <c r="AK23" s="102">
        <v>9909445</v>
      </c>
      <c r="AL23" s="73">
        <f t="shared" si="4"/>
        <v>6662489</v>
      </c>
      <c r="AM23" s="102">
        <v>4429137</v>
      </c>
      <c r="AN23" s="102">
        <v>997799</v>
      </c>
      <c r="AO23" s="74"/>
      <c r="AP23" s="102">
        <v>1235553</v>
      </c>
      <c r="AQ23" s="102">
        <v>263913</v>
      </c>
      <c r="AR23" s="102">
        <v>0</v>
      </c>
      <c r="AS23" s="102">
        <v>0</v>
      </c>
      <c r="AT23" s="102">
        <v>3288524</v>
      </c>
      <c r="AU23" s="102">
        <v>1861245</v>
      </c>
      <c r="AV23" s="102">
        <v>496964</v>
      </c>
      <c r="AW23" s="102">
        <v>1499</v>
      </c>
      <c r="AX23" s="102">
        <v>1427279</v>
      </c>
      <c r="AY23" s="102">
        <v>0</v>
      </c>
      <c r="AZ23" s="102">
        <v>441514</v>
      </c>
      <c r="BA23" s="102">
        <v>263071</v>
      </c>
      <c r="BB23" s="102">
        <v>512887</v>
      </c>
      <c r="BC23" s="102">
        <v>1026879</v>
      </c>
      <c r="BD23" s="102">
        <v>606925</v>
      </c>
      <c r="BE23" s="102">
        <v>0</v>
      </c>
      <c r="BF23" s="102">
        <v>187752</v>
      </c>
      <c r="BG23" s="102">
        <v>0</v>
      </c>
      <c r="BH23" s="102">
        <v>148208</v>
      </c>
      <c r="BI23" s="102">
        <v>147500</v>
      </c>
      <c r="BJ23" s="102">
        <v>269609</v>
      </c>
      <c r="BK23" s="102">
        <v>25004</v>
      </c>
      <c r="BL23" s="102">
        <v>0</v>
      </c>
      <c r="BM23" s="102">
        <v>0</v>
      </c>
      <c r="BN23" s="102">
        <v>3589000</v>
      </c>
      <c r="BO23" s="73">
        <f t="shared" si="5"/>
        <v>1932900</v>
      </c>
      <c r="BP23" s="73">
        <f t="shared" si="6"/>
        <v>1656100</v>
      </c>
      <c r="BQ23" s="102">
        <v>0</v>
      </c>
      <c r="BR23" s="102">
        <v>18100</v>
      </c>
      <c r="BS23" s="102">
        <v>1638000</v>
      </c>
      <c r="BT23" s="102">
        <v>0</v>
      </c>
      <c r="BU23" s="102">
        <v>44711895</v>
      </c>
      <c r="BV23" s="71"/>
      <c r="BW23" s="102">
        <v>7367185</v>
      </c>
      <c r="BX23" s="102">
        <v>5082275</v>
      </c>
      <c r="BY23" s="102">
        <v>402775</v>
      </c>
      <c r="BZ23" s="102">
        <v>410850</v>
      </c>
      <c r="CA23" s="102">
        <v>15118919</v>
      </c>
      <c r="CB23" s="102">
        <v>3140875</v>
      </c>
      <c r="CC23" s="102">
        <v>237844</v>
      </c>
      <c r="CD23" s="102">
        <v>5608248</v>
      </c>
      <c r="CE23" s="102">
        <v>5883048</v>
      </c>
      <c r="CF23" s="102">
        <v>10323</v>
      </c>
      <c r="CG23" s="102">
        <v>238551</v>
      </c>
      <c r="CH23" s="102">
        <v>4274309</v>
      </c>
      <c r="CI23" s="102">
        <v>3861799</v>
      </c>
      <c r="CJ23" s="83">
        <f t="shared" si="17"/>
        <v>412510</v>
      </c>
      <c r="CK23" s="102">
        <v>4599031</v>
      </c>
      <c r="CL23" s="102">
        <v>2880785</v>
      </c>
      <c r="CM23" s="102">
        <v>157770</v>
      </c>
      <c r="CN23" s="102">
        <v>737355</v>
      </c>
      <c r="CO23" s="102">
        <v>266365</v>
      </c>
      <c r="CP23" s="102">
        <v>2067338</v>
      </c>
      <c r="CQ23" s="102">
        <v>383468</v>
      </c>
      <c r="CR23" s="102">
        <v>998800</v>
      </c>
      <c r="CS23" s="102">
        <v>402758</v>
      </c>
      <c r="CT23" s="73">
        <f t="shared" si="7"/>
        <v>10757</v>
      </c>
      <c r="CU23" s="102">
        <v>9000</v>
      </c>
      <c r="CV23" s="102">
        <v>1757</v>
      </c>
      <c r="CW23" s="73">
        <f t="shared" si="8"/>
        <v>0</v>
      </c>
      <c r="CX23" s="102">
        <v>0</v>
      </c>
      <c r="CY23" s="102">
        <v>0</v>
      </c>
      <c r="CZ23" s="73">
        <f t="shared" si="9"/>
        <v>0</v>
      </c>
      <c r="DA23" s="102">
        <v>0</v>
      </c>
      <c r="DB23" s="102">
        <v>0</v>
      </c>
      <c r="DC23" s="102">
        <v>2657205</v>
      </c>
      <c r="DD23" s="102">
        <v>1401395</v>
      </c>
      <c r="DE23" s="102">
        <v>1230810</v>
      </c>
      <c r="DF23" s="102">
        <v>25000</v>
      </c>
      <c r="DG23" s="102">
        <v>0</v>
      </c>
      <c r="DH23" s="102">
        <v>28919</v>
      </c>
      <c r="DI23" s="102">
        <v>1145820</v>
      </c>
      <c r="DJ23" s="102">
        <v>347230</v>
      </c>
      <c r="DK23" s="102">
        <v>2</v>
      </c>
      <c r="DL23" s="102">
        <v>798588</v>
      </c>
      <c r="DM23" s="102">
        <v>0</v>
      </c>
      <c r="DN23" s="102">
        <v>0</v>
      </c>
      <c r="DO23" s="102">
        <v>0</v>
      </c>
      <c r="DP23" s="102">
        <v>0</v>
      </c>
      <c r="DQ23" s="102">
        <v>25000</v>
      </c>
      <c r="DR23" s="102">
        <v>0</v>
      </c>
      <c r="DS23" s="102">
        <v>0</v>
      </c>
      <c r="DT23" s="102">
        <v>6995001</v>
      </c>
      <c r="DU23" s="102">
        <v>2270000</v>
      </c>
      <c r="DV23" s="73">
        <f t="shared" si="10"/>
        <v>0</v>
      </c>
      <c r="DW23" s="102">
        <v>0</v>
      </c>
      <c r="DX23" s="102">
        <v>1683167</v>
      </c>
      <c r="DY23" s="102">
        <v>0</v>
      </c>
      <c r="DZ23" s="102">
        <v>1523412</v>
      </c>
      <c r="EA23" s="74">
        <v>0</v>
      </c>
      <c r="EB23" s="102">
        <v>1518417</v>
      </c>
      <c r="EC23" s="102">
        <v>0</v>
      </c>
      <c r="ED23" s="102">
        <v>44545092</v>
      </c>
      <c r="EE23" s="71"/>
      <c r="EF23" s="102">
        <v>166803</v>
      </c>
      <c r="EG23" s="102">
        <v>5621</v>
      </c>
      <c r="EH23" s="102">
        <v>161182</v>
      </c>
      <c r="EI23" s="102">
        <v>13682</v>
      </c>
      <c r="EJ23" s="102">
        <v>-246013</v>
      </c>
      <c r="EK23" s="71"/>
      <c r="EL23" s="102">
        <v>120750</v>
      </c>
      <c r="EM23" s="102">
        <v>120835</v>
      </c>
      <c r="EN23" s="102">
        <v>912484</v>
      </c>
      <c r="EO23" s="102">
        <v>436729</v>
      </c>
      <c r="EP23" s="73">
        <f t="shared" si="11"/>
        <v>456749</v>
      </c>
      <c r="EQ23" s="102">
        <v>24529762</v>
      </c>
      <c r="ER23" s="71">
        <v>-3443499</v>
      </c>
      <c r="ES23" s="102">
        <v>6869314</v>
      </c>
      <c r="ET23" s="102">
        <v>4759207</v>
      </c>
      <c r="EU23" s="102">
        <v>4194232</v>
      </c>
      <c r="EV23" s="102">
        <v>4274309</v>
      </c>
      <c r="EW23" s="73">
        <f t="shared" si="12"/>
        <v>70176</v>
      </c>
      <c r="EX23" s="102">
        <v>69657</v>
      </c>
      <c r="EY23" s="102">
        <v>1534</v>
      </c>
      <c r="EZ23" s="102">
        <v>67967</v>
      </c>
      <c r="FA23" s="102">
        <v>519</v>
      </c>
      <c r="FB23" s="102">
        <v>0</v>
      </c>
      <c r="FC23" s="102">
        <v>4077039</v>
      </c>
      <c r="FD23" s="102">
        <v>1559492</v>
      </c>
      <c r="FE23" s="102">
        <v>230101</v>
      </c>
      <c r="FF23" s="102">
        <v>5908494</v>
      </c>
      <c r="FG23" s="73">
        <f t="shared" si="13"/>
        <v>853402</v>
      </c>
      <c r="FH23" s="102">
        <v>27806458</v>
      </c>
      <c r="FI23" s="379">
        <f t="shared" si="14"/>
        <v>0.7</v>
      </c>
      <c r="FJ23" s="102">
        <v>22749735</v>
      </c>
      <c r="FK23" s="102">
        <v>1638103</v>
      </c>
      <c r="FL23" s="102">
        <v>11762152</v>
      </c>
      <c r="FM23" s="102">
        <v>19542032</v>
      </c>
      <c r="FN23" s="428">
        <v>0.60399999999999998</v>
      </c>
      <c r="FO23" s="424">
        <v>103.5</v>
      </c>
      <c r="FP23" s="425">
        <v>27.5</v>
      </c>
      <c r="FQ23" s="424">
        <v>16.8</v>
      </c>
      <c r="FR23" s="424">
        <v>17.100000000000001</v>
      </c>
      <c r="FS23" s="425">
        <v>15.5</v>
      </c>
      <c r="FT23" s="424">
        <v>5</v>
      </c>
      <c r="FU23" s="425">
        <v>20.5</v>
      </c>
      <c r="FV23" s="384">
        <v>9.1999999999999993</v>
      </c>
      <c r="FW23" s="102">
        <v>41758532</v>
      </c>
      <c r="FX23" s="384">
        <f t="shared" si="15"/>
        <v>171.2</v>
      </c>
      <c r="FY23" s="102">
        <v>2350826</v>
      </c>
      <c r="FZ23" s="102">
        <v>651390</v>
      </c>
      <c r="GA23" s="102">
        <v>21264</v>
      </c>
      <c r="GB23" s="102">
        <v>1678172</v>
      </c>
      <c r="GC23" s="107">
        <v>0</v>
      </c>
      <c r="GD23" s="427">
        <v>1109</v>
      </c>
      <c r="GE23" s="386">
        <f>IF(GD23=0,"-",ROUND(GD23/(GV23)*100,1))</f>
        <v>4.5</v>
      </c>
      <c r="GF23" s="424">
        <v>99</v>
      </c>
      <c r="GG23" s="424">
        <v>42</v>
      </c>
      <c r="GH23" s="424">
        <v>97</v>
      </c>
      <c r="GI23" s="102">
        <v>758</v>
      </c>
      <c r="GJ23" s="429" t="s">
        <v>646</v>
      </c>
      <c r="GK23" s="429">
        <v>12.13</v>
      </c>
      <c r="GL23" s="117">
        <v>20</v>
      </c>
      <c r="GM23" s="429" t="s">
        <v>646</v>
      </c>
      <c r="GN23" s="430">
        <v>17.13</v>
      </c>
      <c r="GO23" s="387">
        <v>30</v>
      </c>
      <c r="GP23" s="425">
        <v>8.6</v>
      </c>
      <c r="GQ23" s="388">
        <v>25</v>
      </c>
      <c r="GR23" s="388">
        <v>35</v>
      </c>
      <c r="GS23" s="431">
        <v>75.3</v>
      </c>
      <c r="GT23" s="388">
        <v>350</v>
      </c>
      <c r="GU23" s="394"/>
      <c r="GV23" s="100">
        <f t="shared" si="16"/>
        <v>24388</v>
      </c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</row>
    <row r="24" spans="2:230" x14ac:dyDescent="0.15">
      <c r="B24" s="89" t="s">
        <v>37</v>
      </c>
      <c r="C24" s="102">
        <v>16910656</v>
      </c>
      <c r="D24" s="73">
        <f t="shared" si="0"/>
        <v>5737529</v>
      </c>
      <c r="E24" s="102">
        <v>195075</v>
      </c>
      <c r="F24" s="102">
        <v>5542454</v>
      </c>
      <c r="G24" s="73">
        <f t="shared" si="1"/>
        <v>1243794</v>
      </c>
      <c r="H24" s="102">
        <v>358960</v>
      </c>
      <c r="I24" s="102">
        <v>884834</v>
      </c>
      <c r="J24" s="102">
        <v>7419457</v>
      </c>
      <c r="K24" s="102">
        <v>3208773</v>
      </c>
      <c r="L24" s="102">
        <v>3215989</v>
      </c>
      <c r="M24" s="102">
        <v>848890</v>
      </c>
      <c r="N24" s="102">
        <v>805017</v>
      </c>
      <c r="O24" s="102">
        <v>1544109</v>
      </c>
      <c r="P24" s="102">
        <v>849414</v>
      </c>
      <c r="Q24" s="102">
        <v>694695</v>
      </c>
      <c r="R24" s="102">
        <v>183343</v>
      </c>
      <c r="S24" s="74"/>
      <c r="T24" s="73">
        <f t="shared" si="2"/>
        <v>2569102</v>
      </c>
      <c r="U24" s="102">
        <v>36985</v>
      </c>
      <c r="V24" s="102">
        <v>104930</v>
      </c>
      <c r="W24" s="102">
        <v>106334</v>
      </c>
      <c r="X24" s="102">
        <v>2205748</v>
      </c>
      <c r="Y24" s="102">
        <v>21698</v>
      </c>
      <c r="Z24" s="102">
        <v>0</v>
      </c>
      <c r="AA24" s="102">
        <v>93407</v>
      </c>
      <c r="AB24" s="102">
        <v>73995</v>
      </c>
      <c r="AC24" s="102">
        <v>4684302</v>
      </c>
      <c r="AD24" s="102">
        <v>4407312</v>
      </c>
      <c r="AE24" s="102">
        <v>276990</v>
      </c>
      <c r="AF24" s="102">
        <v>15262</v>
      </c>
      <c r="AG24" s="102">
        <v>240090</v>
      </c>
      <c r="AH24" s="73">
        <f t="shared" si="3"/>
        <v>779218</v>
      </c>
      <c r="AI24" s="102">
        <v>380880</v>
      </c>
      <c r="AJ24" s="102">
        <v>398338</v>
      </c>
      <c r="AK24" s="102">
        <v>7465436</v>
      </c>
      <c r="AL24" s="73">
        <f t="shared" si="4"/>
        <v>4108292</v>
      </c>
      <c r="AM24" s="102">
        <v>1738526</v>
      </c>
      <c r="AN24" s="102">
        <v>1213471</v>
      </c>
      <c r="AO24" s="74"/>
      <c r="AP24" s="102">
        <v>1156295</v>
      </c>
      <c r="AQ24" s="102">
        <v>380957</v>
      </c>
      <c r="AR24" s="102">
        <v>0</v>
      </c>
      <c r="AS24" s="102">
        <v>0</v>
      </c>
      <c r="AT24" s="102">
        <v>3292898</v>
      </c>
      <c r="AU24" s="102">
        <v>2018243</v>
      </c>
      <c r="AV24" s="102">
        <v>604855</v>
      </c>
      <c r="AW24" s="102">
        <v>36458</v>
      </c>
      <c r="AX24" s="102">
        <v>1274655</v>
      </c>
      <c r="AY24" s="102">
        <v>104216</v>
      </c>
      <c r="AZ24" s="102">
        <v>179272</v>
      </c>
      <c r="BA24" s="102">
        <v>126503</v>
      </c>
      <c r="BB24" s="102">
        <v>607236</v>
      </c>
      <c r="BC24" s="102">
        <v>4076540</v>
      </c>
      <c r="BD24" s="102">
        <v>3467450</v>
      </c>
      <c r="BE24" s="102">
        <v>176808</v>
      </c>
      <c r="BF24" s="102">
        <v>432282</v>
      </c>
      <c r="BG24" s="102">
        <v>0</v>
      </c>
      <c r="BH24" s="102">
        <v>862528</v>
      </c>
      <c r="BI24" s="102">
        <v>471473</v>
      </c>
      <c r="BJ24" s="102">
        <v>1068944</v>
      </c>
      <c r="BK24" s="102">
        <v>2255</v>
      </c>
      <c r="BL24" s="102">
        <v>0</v>
      </c>
      <c r="BM24" s="102">
        <v>0</v>
      </c>
      <c r="BN24" s="102">
        <v>2518315</v>
      </c>
      <c r="BO24" s="73">
        <f t="shared" si="5"/>
        <v>984600</v>
      </c>
      <c r="BP24" s="73">
        <f t="shared" si="6"/>
        <v>1533715</v>
      </c>
      <c r="BQ24" s="102">
        <v>0</v>
      </c>
      <c r="BR24" s="102">
        <v>0</v>
      </c>
      <c r="BS24" s="102">
        <v>1533715</v>
      </c>
      <c r="BT24" s="102">
        <v>0</v>
      </c>
      <c r="BU24" s="102">
        <v>45527137</v>
      </c>
      <c r="BV24" s="71"/>
      <c r="BW24" s="102">
        <v>5421839</v>
      </c>
      <c r="BX24" s="102">
        <v>3649580</v>
      </c>
      <c r="BY24" s="102">
        <v>493039</v>
      </c>
      <c r="BZ24" s="102">
        <v>192099</v>
      </c>
      <c r="CA24" s="102">
        <v>12033886</v>
      </c>
      <c r="CB24" s="102">
        <v>2924654</v>
      </c>
      <c r="CC24" s="102">
        <v>202719</v>
      </c>
      <c r="CD24" s="102">
        <v>6275763</v>
      </c>
      <c r="CE24" s="102">
        <v>2262974</v>
      </c>
      <c r="CF24" s="102">
        <v>7579</v>
      </c>
      <c r="CG24" s="102">
        <v>360067</v>
      </c>
      <c r="CH24" s="102">
        <v>3499593</v>
      </c>
      <c r="CI24" s="102">
        <v>3161897</v>
      </c>
      <c r="CJ24" s="83">
        <f t="shared" si="17"/>
        <v>337696</v>
      </c>
      <c r="CK24" s="102">
        <v>6701291</v>
      </c>
      <c r="CL24" s="102">
        <v>4213192</v>
      </c>
      <c r="CM24" s="102">
        <v>324903</v>
      </c>
      <c r="CN24" s="102">
        <v>1402823</v>
      </c>
      <c r="CO24" s="102">
        <v>137446</v>
      </c>
      <c r="CP24" s="102">
        <v>4691984</v>
      </c>
      <c r="CQ24" s="102">
        <v>1667810</v>
      </c>
      <c r="CR24" s="102">
        <v>737801</v>
      </c>
      <c r="CS24" s="102">
        <v>195878</v>
      </c>
      <c r="CT24" s="73">
        <f t="shared" si="7"/>
        <v>1708257</v>
      </c>
      <c r="CU24" s="102">
        <v>1708257</v>
      </c>
      <c r="CV24" s="102">
        <v>0</v>
      </c>
      <c r="CW24" s="73">
        <f t="shared" si="8"/>
        <v>0</v>
      </c>
      <c r="CX24" s="102">
        <v>0</v>
      </c>
      <c r="CY24" s="102">
        <v>0</v>
      </c>
      <c r="CZ24" s="73">
        <f t="shared" si="9"/>
        <v>1686961</v>
      </c>
      <c r="DA24" s="102">
        <v>1686961</v>
      </c>
      <c r="DB24" s="102">
        <v>0</v>
      </c>
      <c r="DC24" s="102">
        <v>2933955</v>
      </c>
      <c r="DD24" s="102">
        <v>1913142</v>
      </c>
      <c r="DE24" s="102">
        <v>845742</v>
      </c>
      <c r="DF24" s="102">
        <v>175071</v>
      </c>
      <c r="DG24" s="102">
        <v>0</v>
      </c>
      <c r="DH24" s="102">
        <v>0</v>
      </c>
      <c r="DI24" s="102">
        <v>4349596</v>
      </c>
      <c r="DJ24" s="102">
        <v>336</v>
      </c>
      <c r="DK24" s="102">
        <v>165</v>
      </c>
      <c r="DL24" s="102">
        <v>4349095</v>
      </c>
      <c r="DM24" s="102">
        <v>643884</v>
      </c>
      <c r="DN24" s="102">
        <v>640884</v>
      </c>
      <c r="DO24" s="102">
        <v>0</v>
      </c>
      <c r="DP24" s="102">
        <v>0</v>
      </c>
      <c r="DQ24" s="102">
        <v>0</v>
      </c>
      <c r="DR24" s="102">
        <v>0</v>
      </c>
      <c r="DS24" s="102">
        <v>0</v>
      </c>
      <c r="DT24" s="102">
        <v>4379096</v>
      </c>
      <c r="DU24" s="102">
        <v>0</v>
      </c>
      <c r="DV24" s="73">
        <f t="shared" si="10"/>
        <v>0</v>
      </c>
      <c r="DW24" s="102">
        <v>0</v>
      </c>
      <c r="DX24" s="102">
        <v>1511216</v>
      </c>
      <c r="DY24" s="102">
        <v>0</v>
      </c>
      <c r="DZ24" s="102">
        <v>1571431</v>
      </c>
      <c r="EA24" s="74">
        <v>0</v>
      </c>
      <c r="EB24" s="102">
        <v>1296405</v>
      </c>
      <c r="EC24" s="102">
        <v>0</v>
      </c>
      <c r="ED24" s="102">
        <v>44792570</v>
      </c>
      <c r="EE24" s="71"/>
      <c r="EF24" s="102">
        <v>734567</v>
      </c>
      <c r="EG24" s="102">
        <v>70194</v>
      </c>
      <c r="EH24" s="102">
        <v>664373</v>
      </c>
      <c r="EI24" s="102">
        <v>192900</v>
      </c>
      <c r="EJ24" s="102">
        <v>-3274214</v>
      </c>
      <c r="EK24" s="71"/>
      <c r="EL24" s="102">
        <v>123217</v>
      </c>
      <c r="EM24" s="102">
        <v>121773</v>
      </c>
      <c r="EN24" s="102">
        <v>3644432</v>
      </c>
      <c r="EO24" s="102">
        <v>167560</v>
      </c>
      <c r="EP24" s="73">
        <f t="shared" si="11"/>
        <v>1674061</v>
      </c>
      <c r="EQ24" s="102">
        <v>24436660</v>
      </c>
      <c r="ER24" s="71">
        <v>-7004506</v>
      </c>
      <c r="ES24" s="102">
        <v>4937818</v>
      </c>
      <c r="ET24" s="102">
        <v>3217033</v>
      </c>
      <c r="EU24" s="102">
        <v>3589981</v>
      </c>
      <c r="EV24" s="102">
        <v>3490600</v>
      </c>
      <c r="EW24" s="73">
        <f t="shared" si="12"/>
        <v>709458</v>
      </c>
      <c r="EX24" s="102">
        <v>709458</v>
      </c>
      <c r="EY24" s="102">
        <v>117635</v>
      </c>
      <c r="EZ24" s="102">
        <v>543852</v>
      </c>
      <c r="FA24" s="102">
        <v>0</v>
      </c>
      <c r="FB24" s="102">
        <v>0</v>
      </c>
      <c r="FC24" s="102">
        <v>5249210</v>
      </c>
      <c r="FD24" s="102">
        <v>4492589</v>
      </c>
      <c r="FE24" s="102">
        <v>1666667</v>
      </c>
      <c r="FF24" s="102">
        <v>3390099</v>
      </c>
      <c r="FG24" s="73">
        <f t="shared" si="13"/>
        <v>4846844</v>
      </c>
      <c r="FH24" s="102">
        <v>30706599</v>
      </c>
      <c r="FI24" s="379">
        <f t="shared" si="14"/>
        <v>2.8</v>
      </c>
      <c r="FJ24" s="102">
        <v>22108498</v>
      </c>
      <c r="FK24" s="102">
        <v>1783715</v>
      </c>
      <c r="FL24" s="102">
        <v>13851734</v>
      </c>
      <c r="FM24" s="102">
        <v>18267412</v>
      </c>
      <c r="FN24" s="428">
        <v>0.75900000000000001</v>
      </c>
      <c r="FO24" s="424">
        <v>98.8</v>
      </c>
      <c r="FP24" s="425">
        <v>19.8</v>
      </c>
      <c r="FQ24" s="424">
        <v>14.6</v>
      </c>
      <c r="FR24" s="424">
        <v>14.2</v>
      </c>
      <c r="FS24" s="425">
        <v>19</v>
      </c>
      <c r="FT24" s="424">
        <v>16.600000000000001</v>
      </c>
      <c r="FU24" s="425">
        <v>12.6</v>
      </c>
      <c r="FV24" s="384">
        <v>3.9</v>
      </c>
      <c r="FW24" s="102">
        <v>36492579</v>
      </c>
      <c r="FX24" s="384">
        <f t="shared" si="15"/>
        <v>152.69999999999999</v>
      </c>
      <c r="FY24" s="102">
        <v>17079932</v>
      </c>
      <c r="FZ24" s="102">
        <v>4752878</v>
      </c>
      <c r="GA24" s="102">
        <v>1213905</v>
      </c>
      <c r="GB24" s="102">
        <v>11113149</v>
      </c>
      <c r="GC24" s="107">
        <v>0</v>
      </c>
      <c r="GD24" s="427"/>
      <c r="GE24" s="386"/>
      <c r="GF24" s="424">
        <v>99.3</v>
      </c>
      <c r="GG24" s="424">
        <v>47.3</v>
      </c>
      <c r="GH24" s="424">
        <v>98</v>
      </c>
      <c r="GI24" s="102">
        <v>539</v>
      </c>
      <c r="GJ24" s="429" t="s">
        <v>646</v>
      </c>
      <c r="GK24" s="429">
        <v>12.16</v>
      </c>
      <c r="GL24" s="117">
        <v>20</v>
      </c>
      <c r="GM24" s="429" t="s">
        <v>646</v>
      </c>
      <c r="GN24" s="430">
        <v>17.16</v>
      </c>
      <c r="GO24" s="387">
        <v>30</v>
      </c>
      <c r="GP24" s="425">
        <v>4.0999999999999996</v>
      </c>
      <c r="GQ24" s="388">
        <v>25</v>
      </c>
      <c r="GR24" s="388">
        <v>35</v>
      </c>
      <c r="GS24" s="431" t="s">
        <v>646</v>
      </c>
      <c r="GT24" s="388">
        <v>350</v>
      </c>
      <c r="GU24" s="394"/>
      <c r="GV24" s="100">
        <f t="shared" si="16"/>
        <v>23892</v>
      </c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</row>
    <row r="25" spans="2:230" x14ac:dyDescent="0.15">
      <c r="B25" s="89" t="s">
        <v>39</v>
      </c>
      <c r="C25" s="102">
        <v>23559046</v>
      </c>
      <c r="D25" s="73">
        <f t="shared" si="0"/>
        <v>9460866</v>
      </c>
      <c r="E25" s="102">
        <v>286872</v>
      </c>
      <c r="F25" s="102">
        <v>9173994</v>
      </c>
      <c r="G25" s="73">
        <f t="shared" si="1"/>
        <v>1491092</v>
      </c>
      <c r="H25" s="102">
        <v>449642</v>
      </c>
      <c r="I25" s="102">
        <v>1041450</v>
      </c>
      <c r="J25" s="102">
        <v>9319044</v>
      </c>
      <c r="K25" s="102">
        <v>3413910</v>
      </c>
      <c r="L25" s="102">
        <v>4691075</v>
      </c>
      <c r="M25" s="102">
        <v>1129438</v>
      </c>
      <c r="N25" s="102">
        <v>1052361</v>
      </c>
      <c r="O25" s="102">
        <v>1897706</v>
      </c>
      <c r="P25" s="102">
        <v>928123</v>
      </c>
      <c r="Q25" s="102">
        <v>969583</v>
      </c>
      <c r="R25" s="102">
        <v>313928</v>
      </c>
      <c r="S25" s="74"/>
      <c r="T25" s="73">
        <f t="shared" si="2"/>
        <v>3698833</v>
      </c>
      <c r="U25" s="102">
        <v>61135</v>
      </c>
      <c r="V25" s="102">
        <v>173406</v>
      </c>
      <c r="W25" s="102">
        <v>175665</v>
      </c>
      <c r="X25" s="102">
        <v>3096251</v>
      </c>
      <c r="Y25" s="102">
        <v>32208</v>
      </c>
      <c r="Z25" s="102">
        <v>0</v>
      </c>
      <c r="AA25" s="102">
        <v>160168</v>
      </c>
      <c r="AB25" s="102">
        <v>157972</v>
      </c>
      <c r="AC25" s="102">
        <v>7211292</v>
      </c>
      <c r="AD25" s="102">
        <v>6613264</v>
      </c>
      <c r="AE25" s="102">
        <v>598028</v>
      </c>
      <c r="AF25" s="102">
        <v>24256</v>
      </c>
      <c r="AG25" s="102">
        <v>183694</v>
      </c>
      <c r="AH25" s="73">
        <f t="shared" si="3"/>
        <v>1462605</v>
      </c>
      <c r="AI25" s="102">
        <v>1065939</v>
      </c>
      <c r="AJ25" s="102">
        <v>396666</v>
      </c>
      <c r="AK25" s="102">
        <v>14198726</v>
      </c>
      <c r="AL25" s="73">
        <f t="shared" si="4"/>
        <v>8227382</v>
      </c>
      <c r="AM25" s="102">
        <v>5327864</v>
      </c>
      <c r="AN25" s="102">
        <v>1321661</v>
      </c>
      <c r="AO25" s="74"/>
      <c r="AP25" s="102">
        <v>1577857</v>
      </c>
      <c r="AQ25" s="102">
        <v>1431508</v>
      </c>
      <c r="AR25" s="102">
        <v>7528</v>
      </c>
      <c r="AS25" s="102">
        <v>217584</v>
      </c>
      <c r="AT25" s="102">
        <v>4387295</v>
      </c>
      <c r="AU25" s="102">
        <v>2339371</v>
      </c>
      <c r="AV25" s="102">
        <v>457172</v>
      </c>
      <c r="AW25" s="102">
        <v>10276</v>
      </c>
      <c r="AX25" s="102">
        <v>2047924</v>
      </c>
      <c r="AY25" s="102">
        <v>414</v>
      </c>
      <c r="AZ25" s="102">
        <v>495025</v>
      </c>
      <c r="BA25" s="102">
        <v>480412</v>
      </c>
      <c r="BB25" s="102">
        <v>1722114</v>
      </c>
      <c r="BC25" s="102">
        <v>1083058</v>
      </c>
      <c r="BD25" s="102">
        <v>800000</v>
      </c>
      <c r="BE25" s="102">
        <v>0</v>
      </c>
      <c r="BF25" s="102">
        <v>256516</v>
      </c>
      <c r="BG25" s="102">
        <v>0</v>
      </c>
      <c r="BH25" s="102">
        <v>368354</v>
      </c>
      <c r="BI25" s="102">
        <v>223697</v>
      </c>
      <c r="BJ25" s="102">
        <v>518700</v>
      </c>
      <c r="BK25" s="102">
        <v>425</v>
      </c>
      <c r="BL25" s="102">
        <v>0</v>
      </c>
      <c r="BM25" s="102">
        <v>0</v>
      </c>
      <c r="BN25" s="102">
        <v>4600400</v>
      </c>
      <c r="BO25" s="73">
        <f t="shared" si="5"/>
        <v>2316800</v>
      </c>
      <c r="BP25" s="73">
        <f t="shared" si="6"/>
        <v>2283600</v>
      </c>
      <c r="BQ25" s="102">
        <v>0</v>
      </c>
      <c r="BR25" s="102">
        <v>0</v>
      </c>
      <c r="BS25" s="102">
        <v>2283600</v>
      </c>
      <c r="BT25" s="102">
        <v>0</v>
      </c>
      <c r="BU25" s="102">
        <v>64202882</v>
      </c>
      <c r="BV25" s="71"/>
      <c r="BW25" s="102">
        <v>9080682</v>
      </c>
      <c r="BX25" s="102">
        <v>6096181</v>
      </c>
      <c r="BY25" s="102">
        <v>410525</v>
      </c>
      <c r="BZ25" s="102">
        <v>788963</v>
      </c>
      <c r="CA25" s="102">
        <v>20810164</v>
      </c>
      <c r="CB25" s="102">
        <v>4322871</v>
      </c>
      <c r="CC25" s="102">
        <v>347822</v>
      </c>
      <c r="CD25" s="102">
        <v>8160825</v>
      </c>
      <c r="CE25" s="102">
        <v>7109080</v>
      </c>
      <c r="CF25" s="102">
        <v>4683</v>
      </c>
      <c r="CG25" s="102">
        <v>858712</v>
      </c>
      <c r="CH25" s="102">
        <v>6459919</v>
      </c>
      <c r="CI25" s="102">
        <v>6014597</v>
      </c>
      <c r="CJ25" s="83">
        <f t="shared" si="17"/>
        <v>445322</v>
      </c>
      <c r="CK25" s="102">
        <v>8565006</v>
      </c>
      <c r="CL25" s="102">
        <v>6169267</v>
      </c>
      <c r="CM25" s="102">
        <v>436207</v>
      </c>
      <c r="CN25" s="102">
        <v>886699</v>
      </c>
      <c r="CO25" s="102">
        <v>469695</v>
      </c>
      <c r="CP25" s="102">
        <v>4811524</v>
      </c>
      <c r="CQ25" s="102">
        <v>863081</v>
      </c>
      <c r="CR25" s="102">
        <v>1234976</v>
      </c>
      <c r="CS25" s="102">
        <v>561520</v>
      </c>
      <c r="CT25" s="73">
        <f t="shared" si="7"/>
        <v>1608801</v>
      </c>
      <c r="CU25" s="102">
        <v>552624</v>
      </c>
      <c r="CV25" s="102">
        <v>1056177</v>
      </c>
      <c r="CW25" s="73">
        <f t="shared" si="8"/>
        <v>880849</v>
      </c>
      <c r="CX25" s="102">
        <v>0</v>
      </c>
      <c r="CY25" s="102">
        <v>880849</v>
      </c>
      <c r="CZ25" s="73">
        <f t="shared" si="9"/>
        <v>706702</v>
      </c>
      <c r="DA25" s="102">
        <v>534624</v>
      </c>
      <c r="DB25" s="102">
        <v>172078</v>
      </c>
      <c r="DC25" s="102">
        <v>5864650</v>
      </c>
      <c r="DD25" s="102">
        <v>3914802</v>
      </c>
      <c r="DE25" s="102">
        <v>1947272</v>
      </c>
      <c r="DF25" s="102">
        <v>2576</v>
      </c>
      <c r="DG25" s="102">
        <v>0</v>
      </c>
      <c r="DH25" s="102">
        <v>84069</v>
      </c>
      <c r="DI25" s="102">
        <v>2390018</v>
      </c>
      <c r="DJ25" s="102">
        <v>123220</v>
      </c>
      <c r="DK25" s="102">
        <v>40</v>
      </c>
      <c r="DL25" s="102">
        <v>2266758</v>
      </c>
      <c r="DM25" s="102">
        <v>0</v>
      </c>
      <c r="DN25" s="102">
        <v>0</v>
      </c>
      <c r="DO25" s="102">
        <v>0</v>
      </c>
      <c r="DP25" s="102">
        <v>0</v>
      </c>
      <c r="DQ25" s="102">
        <v>20100</v>
      </c>
      <c r="DR25" s="102">
        <v>0</v>
      </c>
      <c r="DS25" s="102">
        <v>0</v>
      </c>
      <c r="DT25" s="102">
        <v>5452010</v>
      </c>
      <c r="DU25" s="102">
        <v>20938</v>
      </c>
      <c r="DV25" s="73">
        <f t="shared" si="10"/>
        <v>0</v>
      </c>
      <c r="DW25" s="102">
        <v>0</v>
      </c>
      <c r="DX25" s="102">
        <v>2046867</v>
      </c>
      <c r="DY25" s="102">
        <v>0</v>
      </c>
      <c r="DZ25" s="102">
        <v>1499765</v>
      </c>
      <c r="EA25" s="74">
        <v>0</v>
      </c>
      <c r="EB25" s="102">
        <v>1778105</v>
      </c>
      <c r="EC25" s="102">
        <v>0</v>
      </c>
      <c r="ED25" s="102">
        <v>64007837</v>
      </c>
      <c r="EE25" s="71"/>
      <c r="EF25" s="102">
        <v>195045</v>
      </c>
      <c r="EG25" s="102">
        <v>66778</v>
      </c>
      <c r="EH25" s="102">
        <v>128267</v>
      </c>
      <c r="EI25" s="102">
        <v>-95430</v>
      </c>
      <c r="EJ25" s="102">
        <v>-772210</v>
      </c>
      <c r="EK25" s="71"/>
      <c r="EL25" s="102">
        <v>186109</v>
      </c>
      <c r="EM25" s="102">
        <v>186156</v>
      </c>
      <c r="EN25" s="102">
        <v>826542</v>
      </c>
      <c r="EO25" s="102">
        <v>491115</v>
      </c>
      <c r="EP25" s="73">
        <f t="shared" si="11"/>
        <v>1176785</v>
      </c>
      <c r="EQ25" s="102">
        <v>35182911</v>
      </c>
      <c r="ER25" s="71">
        <v>-4536202</v>
      </c>
      <c r="ES25" s="102">
        <v>8441602</v>
      </c>
      <c r="ET25" s="102">
        <v>5620360</v>
      </c>
      <c r="EU25" s="102">
        <v>6166267</v>
      </c>
      <c r="EV25" s="102">
        <v>6342825</v>
      </c>
      <c r="EW25" s="73">
        <f t="shared" si="12"/>
        <v>1613732</v>
      </c>
      <c r="EX25" s="102">
        <v>1598891</v>
      </c>
      <c r="EY25" s="102">
        <v>215354</v>
      </c>
      <c r="EZ25" s="102">
        <v>1383444</v>
      </c>
      <c r="FA25" s="102">
        <v>14841</v>
      </c>
      <c r="FB25" s="102">
        <v>0</v>
      </c>
      <c r="FC25" s="102">
        <v>7184283</v>
      </c>
      <c r="FD25" s="102">
        <v>4308428</v>
      </c>
      <c r="FE25" s="102">
        <v>863081</v>
      </c>
      <c r="FF25" s="102">
        <v>4249183</v>
      </c>
      <c r="FG25" s="73">
        <f t="shared" si="13"/>
        <v>1217748</v>
      </c>
      <c r="FH25" s="102">
        <v>39524068</v>
      </c>
      <c r="FI25" s="379">
        <f t="shared" si="14"/>
        <v>0.4</v>
      </c>
      <c r="FJ25" s="102">
        <v>31895035</v>
      </c>
      <c r="FK25" s="102">
        <v>2283653</v>
      </c>
      <c r="FL25" s="102">
        <v>19771449</v>
      </c>
      <c r="FM25" s="102">
        <v>26405544</v>
      </c>
      <c r="FN25" s="428">
        <v>0.73499999999999999</v>
      </c>
      <c r="FO25" s="424">
        <v>97.2</v>
      </c>
      <c r="FP25" s="425">
        <v>23.8</v>
      </c>
      <c r="FQ25" s="424">
        <v>17.399999999999999</v>
      </c>
      <c r="FR25" s="424">
        <v>17.899999999999999</v>
      </c>
      <c r="FS25" s="425">
        <v>16</v>
      </c>
      <c r="FT25" s="424">
        <v>9.6</v>
      </c>
      <c r="FU25" s="425">
        <v>11.3</v>
      </c>
      <c r="FV25" s="384">
        <v>6.5</v>
      </c>
      <c r="FW25" s="102">
        <v>48332864</v>
      </c>
      <c r="FX25" s="384">
        <f t="shared" si="15"/>
        <v>141.4</v>
      </c>
      <c r="FY25" s="102">
        <v>11340422</v>
      </c>
      <c r="FZ25" s="102">
        <v>4354160</v>
      </c>
      <c r="GA25" s="102">
        <v>212220</v>
      </c>
      <c r="GB25" s="102">
        <v>6774042</v>
      </c>
      <c r="GC25" s="107">
        <v>0</v>
      </c>
      <c r="GD25" s="427"/>
      <c r="GE25" s="386"/>
      <c r="GF25" s="424">
        <v>99.3</v>
      </c>
      <c r="GG25" s="424">
        <v>34.9</v>
      </c>
      <c r="GH25" s="424">
        <v>97.5</v>
      </c>
      <c r="GI25" s="102">
        <v>1019</v>
      </c>
      <c r="GJ25" s="429" t="s">
        <v>646</v>
      </c>
      <c r="GK25" s="429">
        <v>11.64</v>
      </c>
      <c r="GL25" s="117">
        <v>20</v>
      </c>
      <c r="GM25" s="429" t="s">
        <v>646</v>
      </c>
      <c r="GN25" s="430">
        <v>16.64</v>
      </c>
      <c r="GO25" s="387">
        <v>30</v>
      </c>
      <c r="GP25" s="425">
        <v>6.6</v>
      </c>
      <c r="GQ25" s="388">
        <v>25</v>
      </c>
      <c r="GR25" s="388">
        <v>35</v>
      </c>
      <c r="GS25" s="431" t="s">
        <v>646</v>
      </c>
      <c r="GT25" s="388">
        <v>350</v>
      </c>
      <c r="GU25" s="394"/>
      <c r="GV25" s="100">
        <f t="shared" si="16"/>
        <v>34179</v>
      </c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</row>
    <row r="26" spans="2:230" x14ac:dyDescent="0.15">
      <c r="B26" s="89" t="s">
        <v>41</v>
      </c>
      <c r="C26" s="102">
        <v>23666417</v>
      </c>
      <c r="D26" s="73">
        <f t="shared" si="0"/>
        <v>10261121</v>
      </c>
      <c r="E26" s="102">
        <v>220525</v>
      </c>
      <c r="F26" s="102">
        <v>10040596</v>
      </c>
      <c r="G26" s="73">
        <f t="shared" si="1"/>
        <v>1106164</v>
      </c>
      <c r="H26" s="102">
        <v>366450</v>
      </c>
      <c r="I26" s="102">
        <v>739714</v>
      </c>
      <c r="J26" s="102">
        <v>9123941</v>
      </c>
      <c r="K26" s="102">
        <v>4282153</v>
      </c>
      <c r="L26" s="102">
        <v>4045378</v>
      </c>
      <c r="M26" s="102">
        <v>771069</v>
      </c>
      <c r="N26" s="102">
        <v>730395</v>
      </c>
      <c r="O26" s="102">
        <v>2180792</v>
      </c>
      <c r="P26" s="102">
        <v>1288542</v>
      </c>
      <c r="Q26" s="102">
        <v>892250</v>
      </c>
      <c r="R26" s="102">
        <v>251234</v>
      </c>
      <c r="S26" s="74"/>
      <c r="T26" s="73">
        <f t="shared" si="2"/>
        <v>2838012</v>
      </c>
      <c r="U26" s="102">
        <v>66470</v>
      </c>
      <c r="V26" s="102">
        <v>188639</v>
      </c>
      <c r="W26" s="102">
        <v>191261</v>
      </c>
      <c r="X26" s="102">
        <v>2261361</v>
      </c>
      <c r="Y26" s="102">
        <v>2294</v>
      </c>
      <c r="Z26" s="102">
        <v>0</v>
      </c>
      <c r="AA26" s="102">
        <v>127987</v>
      </c>
      <c r="AB26" s="102">
        <v>122255</v>
      </c>
      <c r="AC26" s="102">
        <v>817703</v>
      </c>
      <c r="AD26" s="102">
        <v>726187</v>
      </c>
      <c r="AE26" s="102">
        <v>91516</v>
      </c>
      <c r="AF26" s="102">
        <v>19394</v>
      </c>
      <c r="AG26" s="102">
        <v>932856</v>
      </c>
      <c r="AH26" s="73">
        <f t="shared" si="3"/>
        <v>931535</v>
      </c>
      <c r="AI26" s="102">
        <v>611091</v>
      </c>
      <c r="AJ26" s="102">
        <v>320444</v>
      </c>
      <c r="AK26" s="102">
        <v>13541602</v>
      </c>
      <c r="AL26" s="73">
        <f t="shared" si="4"/>
        <v>4048532</v>
      </c>
      <c r="AM26" s="102">
        <v>1815776</v>
      </c>
      <c r="AN26" s="102">
        <v>1044360</v>
      </c>
      <c r="AO26" s="74"/>
      <c r="AP26" s="102">
        <v>1188396</v>
      </c>
      <c r="AQ26" s="102">
        <v>448864</v>
      </c>
      <c r="AR26" s="102">
        <v>0</v>
      </c>
      <c r="AS26" s="102">
        <v>0</v>
      </c>
      <c r="AT26" s="102">
        <v>3540602</v>
      </c>
      <c r="AU26" s="102">
        <v>1958461</v>
      </c>
      <c r="AV26" s="102">
        <v>523129</v>
      </c>
      <c r="AW26" s="102">
        <v>31060</v>
      </c>
      <c r="AX26" s="102">
        <v>1582141</v>
      </c>
      <c r="AY26" s="102">
        <v>300000</v>
      </c>
      <c r="AZ26" s="102">
        <v>923965</v>
      </c>
      <c r="BA26" s="102">
        <v>739520</v>
      </c>
      <c r="BB26" s="102">
        <v>36578</v>
      </c>
      <c r="BC26" s="102">
        <v>6442923</v>
      </c>
      <c r="BD26" s="102">
        <v>1867000</v>
      </c>
      <c r="BE26" s="102">
        <v>130000</v>
      </c>
      <c r="BF26" s="102">
        <v>4289362</v>
      </c>
      <c r="BG26" s="102">
        <v>0</v>
      </c>
      <c r="BH26" s="102">
        <v>2039451</v>
      </c>
      <c r="BI26" s="102">
        <v>821491</v>
      </c>
      <c r="BJ26" s="102">
        <v>1222807</v>
      </c>
      <c r="BK26" s="102">
        <v>18680</v>
      </c>
      <c r="BL26" s="102">
        <v>0</v>
      </c>
      <c r="BM26" s="102">
        <v>600000</v>
      </c>
      <c r="BN26" s="102">
        <v>6587012</v>
      </c>
      <c r="BO26" s="73">
        <f t="shared" si="5"/>
        <v>5441300</v>
      </c>
      <c r="BP26" s="73">
        <f t="shared" si="6"/>
        <v>1145712</v>
      </c>
      <c r="BQ26" s="102">
        <v>0</v>
      </c>
      <c r="BR26" s="102">
        <v>0</v>
      </c>
      <c r="BS26" s="102">
        <v>1145712</v>
      </c>
      <c r="BT26" s="102">
        <v>0</v>
      </c>
      <c r="BU26" s="102">
        <v>63914346</v>
      </c>
      <c r="BV26" s="71"/>
      <c r="BW26" s="102">
        <v>9953615</v>
      </c>
      <c r="BX26" s="102">
        <v>6602279</v>
      </c>
      <c r="BY26" s="102">
        <v>1164803</v>
      </c>
      <c r="BZ26" s="102">
        <v>373946</v>
      </c>
      <c r="CA26" s="102">
        <v>12241668</v>
      </c>
      <c r="CB26" s="102">
        <v>3096734</v>
      </c>
      <c r="CC26" s="102">
        <v>324859</v>
      </c>
      <c r="CD26" s="102">
        <v>6270930</v>
      </c>
      <c r="CE26" s="102">
        <v>2234311</v>
      </c>
      <c r="CF26" s="102">
        <v>32363</v>
      </c>
      <c r="CG26" s="102">
        <v>282383</v>
      </c>
      <c r="CH26" s="102">
        <v>2769983</v>
      </c>
      <c r="CI26" s="102">
        <v>2530663</v>
      </c>
      <c r="CJ26" s="83">
        <f t="shared" si="17"/>
        <v>239320</v>
      </c>
      <c r="CK26" s="102">
        <v>7536901</v>
      </c>
      <c r="CL26" s="102">
        <v>5020953</v>
      </c>
      <c r="CM26" s="102">
        <v>419361</v>
      </c>
      <c r="CN26" s="102">
        <v>1334523</v>
      </c>
      <c r="CO26" s="102">
        <v>314234</v>
      </c>
      <c r="CP26" s="102">
        <v>2561928</v>
      </c>
      <c r="CQ26" s="102">
        <v>2622</v>
      </c>
      <c r="CR26" s="102">
        <v>1274083</v>
      </c>
      <c r="CS26" s="102">
        <v>944383</v>
      </c>
      <c r="CT26" s="73">
        <f t="shared" si="7"/>
        <v>379846</v>
      </c>
      <c r="CU26" s="102">
        <v>287953</v>
      </c>
      <c r="CV26" s="102">
        <v>91893</v>
      </c>
      <c r="CW26" s="73">
        <f t="shared" si="8"/>
        <v>36000</v>
      </c>
      <c r="CX26" s="102">
        <v>36000</v>
      </c>
      <c r="CY26" s="102">
        <v>0</v>
      </c>
      <c r="CZ26" s="73">
        <f t="shared" si="9"/>
        <v>323160</v>
      </c>
      <c r="DA26" s="102">
        <v>234217</v>
      </c>
      <c r="DB26" s="102">
        <v>88943</v>
      </c>
      <c r="DC26" s="102">
        <v>17363441</v>
      </c>
      <c r="DD26" s="102">
        <v>8767251</v>
      </c>
      <c r="DE26" s="102">
        <v>8596190</v>
      </c>
      <c r="DF26" s="102">
        <v>0</v>
      </c>
      <c r="DG26" s="102">
        <v>0</v>
      </c>
      <c r="DH26" s="102">
        <v>79126</v>
      </c>
      <c r="DI26" s="102">
        <v>3200185</v>
      </c>
      <c r="DJ26" s="102">
        <v>20332</v>
      </c>
      <c r="DK26" s="102">
        <v>2203</v>
      </c>
      <c r="DL26" s="102">
        <v>3177650</v>
      </c>
      <c r="DM26" s="102">
        <v>15166</v>
      </c>
      <c r="DN26" s="102">
        <v>0</v>
      </c>
      <c r="DO26" s="102">
        <v>0</v>
      </c>
      <c r="DP26" s="102">
        <v>0</v>
      </c>
      <c r="DQ26" s="102">
        <v>808000</v>
      </c>
      <c r="DR26" s="102">
        <v>0</v>
      </c>
      <c r="DS26" s="102">
        <v>0</v>
      </c>
      <c r="DT26" s="102">
        <v>4461284</v>
      </c>
      <c r="DU26" s="102">
        <v>0</v>
      </c>
      <c r="DV26" s="73">
        <f t="shared" si="10"/>
        <v>0</v>
      </c>
      <c r="DW26" s="102">
        <v>0</v>
      </c>
      <c r="DX26" s="102">
        <v>1457892</v>
      </c>
      <c r="DY26" s="102">
        <v>0</v>
      </c>
      <c r="DZ26" s="102">
        <v>1514682</v>
      </c>
      <c r="EA26" s="74">
        <v>0</v>
      </c>
      <c r="EB26" s="102">
        <v>1389396</v>
      </c>
      <c r="EC26" s="102">
        <v>0</v>
      </c>
      <c r="ED26" s="102">
        <v>61305531</v>
      </c>
      <c r="EE26" s="71"/>
      <c r="EF26" s="102">
        <v>2608815</v>
      </c>
      <c r="EG26" s="102">
        <v>709111</v>
      </c>
      <c r="EH26" s="102">
        <v>1899704</v>
      </c>
      <c r="EI26" s="102">
        <v>-321787</v>
      </c>
      <c r="EJ26" s="102">
        <v>-2168455</v>
      </c>
      <c r="EK26" s="71"/>
      <c r="EL26" s="102">
        <v>133411</v>
      </c>
      <c r="EM26" s="102">
        <v>137980</v>
      </c>
      <c r="EN26" s="102">
        <v>2019538</v>
      </c>
      <c r="EO26" s="102">
        <v>879443</v>
      </c>
      <c r="EP26" s="73">
        <f t="shared" si="11"/>
        <v>2583880</v>
      </c>
      <c r="EQ26" s="102">
        <v>27715015</v>
      </c>
      <c r="ER26" s="71">
        <v>-6609179</v>
      </c>
      <c r="ES26" s="102">
        <v>9298276</v>
      </c>
      <c r="ET26" s="102">
        <v>6004220</v>
      </c>
      <c r="EU26" s="102">
        <v>3719218</v>
      </c>
      <c r="EV26" s="102">
        <v>2769983</v>
      </c>
      <c r="EW26" s="73">
        <f t="shared" si="12"/>
        <v>1001267</v>
      </c>
      <c r="EX26" s="102">
        <v>959409</v>
      </c>
      <c r="EY26" s="102">
        <v>101962</v>
      </c>
      <c r="EZ26" s="102">
        <v>857447</v>
      </c>
      <c r="FA26" s="102">
        <v>41858</v>
      </c>
      <c r="FB26" s="102">
        <v>0</v>
      </c>
      <c r="FC26" s="102">
        <v>5851239</v>
      </c>
      <c r="FD26" s="102">
        <v>2106421</v>
      </c>
      <c r="FE26" s="102">
        <v>2622</v>
      </c>
      <c r="FF26" s="102">
        <v>3656680</v>
      </c>
      <c r="FG26" s="73">
        <f t="shared" si="13"/>
        <v>3415398</v>
      </c>
      <c r="FH26" s="102">
        <v>31818482</v>
      </c>
      <c r="FI26" s="379">
        <f t="shared" si="14"/>
        <v>7.3</v>
      </c>
      <c r="FJ26" s="102">
        <v>24822391</v>
      </c>
      <c r="FK26" s="102">
        <v>1145712</v>
      </c>
      <c r="FL26" s="102">
        <v>18426154</v>
      </c>
      <c r="FM26" s="102">
        <v>19167462</v>
      </c>
      <c r="FN26" s="428">
        <v>0.96</v>
      </c>
      <c r="FO26" s="424">
        <v>94.1</v>
      </c>
      <c r="FP26" s="425">
        <v>33.5</v>
      </c>
      <c r="FQ26" s="424">
        <v>13.8</v>
      </c>
      <c r="FR26" s="424">
        <v>9</v>
      </c>
      <c r="FS26" s="425">
        <v>19.399999999999999</v>
      </c>
      <c r="FT26" s="424">
        <v>5.9</v>
      </c>
      <c r="FU26" s="425">
        <v>11.3</v>
      </c>
      <c r="FV26" s="384">
        <v>0.5</v>
      </c>
      <c r="FW26" s="102">
        <v>34789308</v>
      </c>
      <c r="FX26" s="384">
        <f t="shared" si="15"/>
        <v>134</v>
      </c>
      <c r="FY26" s="102">
        <v>24835454</v>
      </c>
      <c r="FZ26" s="102">
        <v>5159266</v>
      </c>
      <c r="GA26" s="102">
        <v>1361735</v>
      </c>
      <c r="GB26" s="102">
        <v>18314453</v>
      </c>
      <c r="GC26" s="107">
        <v>0</v>
      </c>
      <c r="GD26" s="427">
        <v>2315</v>
      </c>
      <c r="GE26" s="386">
        <f>IF(GD26=0,"-",ROUND(GD26/(GV26)*100,1))</f>
        <v>8.9</v>
      </c>
      <c r="GF26" s="424">
        <v>99.2</v>
      </c>
      <c r="GG26" s="424">
        <v>32.6</v>
      </c>
      <c r="GH26" s="424">
        <v>96.6</v>
      </c>
      <c r="GI26" s="102">
        <v>931</v>
      </c>
      <c r="GJ26" s="429" t="s">
        <v>646</v>
      </c>
      <c r="GK26" s="429">
        <v>12.02</v>
      </c>
      <c r="GL26" s="117">
        <v>20</v>
      </c>
      <c r="GM26" s="429" t="s">
        <v>646</v>
      </c>
      <c r="GN26" s="430">
        <v>17.02</v>
      </c>
      <c r="GO26" s="387">
        <v>30</v>
      </c>
      <c r="GP26" s="425">
        <v>0.3</v>
      </c>
      <c r="GQ26" s="388">
        <v>25</v>
      </c>
      <c r="GR26" s="388">
        <v>35</v>
      </c>
      <c r="GS26" s="431" t="s">
        <v>646</v>
      </c>
      <c r="GT26" s="388">
        <v>350</v>
      </c>
      <c r="GU26" s="394"/>
      <c r="GV26" s="100">
        <f t="shared" si="16"/>
        <v>25968</v>
      </c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</row>
    <row r="27" spans="2:230" x14ac:dyDescent="0.15">
      <c r="B27" s="89" t="s">
        <v>43</v>
      </c>
      <c r="C27" s="102">
        <v>8838717</v>
      </c>
      <c r="D27" s="73">
        <f t="shared" si="0"/>
        <v>3490903</v>
      </c>
      <c r="E27" s="102">
        <v>114593</v>
      </c>
      <c r="F27" s="102">
        <v>3376310</v>
      </c>
      <c r="G27" s="73">
        <f t="shared" si="1"/>
        <v>631984</v>
      </c>
      <c r="H27" s="102">
        <v>137055</v>
      </c>
      <c r="I27" s="102">
        <v>494929</v>
      </c>
      <c r="J27" s="102">
        <v>3583980</v>
      </c>
      <c r="K27" s="102">
        <v>1386610</v>
      </c>
      <c r="L27" s="102">
        <v>1460323</v>
      </c>
      <c r="M27" s="102">
        <v>711993</v>
      </c>
      <c r="N27" s="102">
        <v>317659</v>
      </c>
      <c r="O27" s="102">
        <v>709599</v>
      </c>
      <c r="P27" s="102">
        <v>396184</v>
      </c>
      <c r="Q27" s="102">
        <v>313415</v>
      </c>
      <c r="R27" s="102">
        <v>122834</v>
      </c>
      <c r="S27" s="74"/>
      <c r="T27" s="73">
        <f t="shared" si="2"/>
        <v>1444550</v>
      </c>
      <c r="U27" s="102">
        <v>22976</v>
      </c>
      <c r="V27" s="102">
        <v>65136</v>
      </c>
      <c r="W27" s="102">
        <v>65928</v>
      </c>
      <c r="X27" s="102">
        <v>1227966</v>
      </c>
      <c r="Y27" s="102">
        <v>0</v>
      </c>
      <c r="Z27" s="102">
        <v>0</v>
      </c>
      <c r="AA27" s="102">
        <v>62544</v>
      </c>
      <c r="AB27" s="102">
        <v>43719</v>
      </c>
      <c r="AC27" s="102">
        <v>4597311</v>
      </c>
      <c r="AD27" s="102">
        <v>4356717</v>
      </c>
      <c r="AE27" s="102">
        <v>240594</v>
      </c>
      <c r="AF27" s="102">
        <v>11714</v>
      </c>
      <c r="AG27" s="102">
        <v>258707</v>
      </c>
      <c r="AH27" s="73">
        <f t="shared" si="3"/>
        <v>411195</v>
      </c>
      <c r="AI27" s="102">
        <v>374871</v>
      </c>
      <c r="AJ27" s="102">
        <v>36324</v>
      </c>
      <c r="AK27" s="102">
        <v>4110483</v>
      </c>
      <c r="AL27" s="73">
        <f t="shared" si="4"/>
        <v>2709209</v>
      </c>
      <c r="AM27" s="102">
        <v>1586799</v>
      </c>
      <c r="AN27" s="102">
        <v>582251</v>
      </c>
      <c r="AO27" s="74"/>
      <c r="AP27" s="102">
        <v>540159</v>
      </c>
      <c r="AQ27" s="102">
        <v>165612</v>
      </c>
      <c r="AR27" s="102">
        <v>1600</v>
      </c>
      <c r="AS27" s="102">
        <v>0</v>
      </c>
      <c r="AT27" s="102">
        <v>1618118</v>
      </c>
      <c r="AU27" s="102">
        <v>855739</v>
      </c>
      <c r="AV27" s="102">
        <v>236176</v>
      </c>
      <c r="AW27" s="102">
        <v>10323</v>
      </c>
      <c r="AX27" s="102">
        <v>762379</v>
      </c>
      <c r="AY27" s="102">
        <v>8628</v>
      </c>
      <c r="AZ27" s="102">
        <v>23160</v>
      </c>
      <c r="BA27" s="102">
        <v>4375</v>
      </c>
      <c r="BB27" s="102">
        <v>45498</v>
      </c>
      <c r="BC27" s="102">
        <v>45098</v>
      </c>
      <c r="BD27" s="102">
        <v>0</v>
      </c>
      <c r="BE27" s="102">
        <v>0</v>
      </c>
      <c r="BF27" s="102">
        <v>45098</v>
      </c>
      <c r="BG27" s="102">
        <v>0</v>
      </c>
      <c r="BH27" s="102">
        <v>98512</v>
      </c>
      <c r="BI27" s="102">
        <v>78175</v>
      </c>
      <c r="BJ27" s="102">
        <v>1044999</v>
      </c>
      <c r="BK27" s="102">
        <v>845803</v>
      </c>
      <c r="BL27" s="102">
        <v>0</v>
      </c>
      <c r="BM27" s="102">
        <v>0</v>
      </c>
      <c r="BN27" s="102">
        <v>1309186</v>
      </c>
      <c r="BO27" s="73">
        <f t="shared" si="5"/>
        <v>258800</v>
      </c>
      <c r="BP27" s="73">
        <f t="shared" si="6"/>
        <v>1050386</v>
      </c>
      <c r="BQ27" s="102">
        <v>0</v>
      </c>
      <c r="BR27" s="102">
        <v>0</v>
      </c>
      <c r="BS27" s="102">
        <v>1050386</v>
      </c>
      <c r="BT27" s="102">
        <v>0</v>
      </c>
      <c r="BU27" s="102">
        <v>24023801</v>
      </c>
      <c r="BV27" s="71"/>
      <c r="BW27" s="102">
        <v>4035039</v>
      </c>
      <c r="BX27" s="102">
        <v>2499405</v>
      </c>
      <c r="BY27" s="102">
        <v>443081</v>
      </c>
      <c r="BZ27" s="102">
        <v>323519</v>
      </c>
      <c r="CA27" s="102">
        <v>6715560</v>
      </c>
      <c r="CB27" s="102">
        <v>1673475</v>
      </c>
      <c r="CC27" s="102">
        <v>142689</v>
      </c>
      <c r="CD27" s="102">
        <v>2772889</v>
      </c>
      <c r="CE27" s="102">
        <v>2061089</v>
      </c>
      <c r="CF27" s="102">
        <v>1501</v>
      </c>
      <c r="CG27" s="102">
        <v>63807</v>
      </c>
      <c r="CH27" s="102">
        <v>2021335</v>
      </c>
      <c r="CI27" s="102">
        <v>1847081</v>
      </c>
      <c r="CJ27" s="83">
        <f t="shared" si="17"/>
        <v>174254</v>
      </c>
      <c r="CK27" s="102">
        <v>2452213</v>
      </c>
      <c r="CL27" s="102">
        <v>1551516</v>
      </c>
      <c r="CM27" s="102">
        <v>224585</v>
      </c>
      <c r="CN27" s="102">
        <v>296077</v>
      </c>
      <c r="CO27" s="102">
        <v>85971</v>
      </c>
      <c r="CP27" s="102">
        <v>3832356</v>
      </c>
      <c r="CQ27" s="102">
        <v>1839276</v>
      </c>
      <c r="CR27" s="102">
        <v>402923</v>
      </c>
      <c r="CS27" s="102">
        <v>240716</v>
      </c>
      <c r="CT27" s="73">
        <f t="shared" si="7"/>
        <v>1313188</v>
      </c>
      <c r="CU27" s="102">
        <v>846925</v>
      </c>
      <c r="CV27" s="102">
        <v>466263</v>
      </c>
      <c r="CW27" s="73">
        <f t="shared" si="8"/>
        <v>450048</v>
      </c>
      <c r="CX27" s="102">
        <v>363498</v>
      </c>
      <c r="CY27" s="102">
        <v>86550</v>
      </c>
      <c r="CZ27" s="73">
        <f t="shared" si="9"/>
        <v>853670</v>
      </c>
      <c r="DA27" s="102">
        <v>478427</v>
      </c>
      <c r="DB27" s="102">
        <v>375243</v>
      </c>
      <c r="DC27" s="102">
        <v>791996</v>
      </c>
      <c r="DD27" s="102">
        <v>315419</v>
      </c>
      <c r="DE27" s="102">
        <v>475990</v>
      </c>
      <c r="DF27" s="102">
        <v>0</v>
      </c>
      <c r="DG27" s="102">
        <v>0</v>
      </c>
      <c r="DH27" s="102">
        <v>46201</v>
      </c>
      <c r="DI27" s="102">
        <v>53257</v>
      </c>
      <c r="DJ27" s="102">
        <v>4425</v>
      </c>
      <c r="DK27" s="102">
        <v>0</v>
      </c>
      <c r="DL27" s="102">
        <v>48832</v>
      </c>
      <c r="DM27" s="102">
        <v>0</v>
      </c>
      <c r="DN27" s="102">
        <v>0</v>
      </c>
      <c r="DO27" s="102">
        <v>0</v>
      </c>
      <c r="DP27" s="102">
        <v>0</v>
      </c>
      <c r="DQ27" s="102">
        <v>844272</v>
      </c>
      <c r="DR27" s="102">
        <v>0</v>
      </c>
      <c r="DS27" s="102">
        <v>0</v>
      </c>
      <c r="DT27" s="102">
        <v>2699593</v>
      </c>
      <c r="DU27" s="102">
        <v>0</v>
      </c>
      <c r="DV27" s="73">
        <f t="shared" si="10"/>
        <v>0</v>
      </c>
      <c r="DW27" s="102">
        <v>0</v>
      </c>
      <c r="DX27" s="102">
        <v>902279</v>
      </c>
      <c r="DY27" s="102">
        <v>0</v>
      </c>
      <c r="DZ27" s="102">
        <v>934685</v>
      </c>
      <c r="EA27" s="74">
        <v>0</v>
      </c>
      <c r="EB27" s="102">
        <v>858727</v>
      </c>
      <c r="EC27" s="102">
        <v>0</v>
      </c>
      <c r="ED27" s="102">
        <v>23577793</v>
      </c>
      <c r="EE27" s="71"/>
      <c r="EF27" s="102">
        <v>446008</v>
      </c>
      <c r="EG27" s="102">
        <v>52650</v>
      </c>
      <c r="EH27" s="102">
        <v>393358</v>
      </c>
      <c r="EI27" s="102">
        <v>215183</v>
      </c>
      <c r="EJ27" s="102">
        <v>222312</v>
      </c>
      <c r="EK27" s="71"/>
      <c r="EL27" s="102">
        <v>71112</v>
      </c>
      <c r="EM27" s="102">
        <v>70118</v>
      </c>
      <c r="EN27" s="102">
        <v>0</v>
      </c>
      <c r="EO27" s="102">
        <v>12906</v>
      </c>
      <c r="EP27" s="73">
        <f t="shared" si="11"/>
        <v>303603</v>
      </c>
      <c r="EQ27" s="102">
        <v>15058845</v>
      </c>
      <c r="ER27" s="71">
        <v>-1355181</v>
      </c>
      <c r="ES27" s="102">
        <v>3692358</v>
      </c>
      <c r="ET27" s="102">
        <v>2254245</v>
      </c>
      <c r="EU27" s="102">
        <v>1917349</v>
      </c>
      <c r="EV27" s="102">
        <v>2021335</v>
      </c>
      <c r="EW27" s="73">
        <f t="shared" si="12"/>
        <v>362817</v>
      </c>
      <c r="EX27" s="102">
        <v>352916</v>
      </c>
      <c r="EY27" s="102">
        <v>12487</v>
      </c>
      <c r="EZ27" s="102">
        <v>339842</v>
      </c>
      <c r="FA27" s="102">
        <v>9901</v>
      </c>
      <c r="FB27" s="102">
        <v>0</v>
      </c>
      <c r="FC27" s="102">
        <v>1987520</v>
      </c>
      <c r="FD27" s="102">
        <v>3725692</v>
      </c>
      <c r="FE27" s="102">
        <v>1838466</v>
      </c>
      <c r="FF27" s="102">
        <v>2175010</v>
      </c>
      <c r="FG27" s="73">
        <f t="shared" si="13"/>
        <v>85937</v>
      </c>
      <c r="FH27" s="102">
        <v>15968018</v>
      </c>
      <c r="FI27" s="379">
        <f t="shared" si="14"/>
        <v>2.6</v>
      </c>
      <c r="FJ27" s="102">
        <v>13798587</v>
      </c>
      <c r="FK27" s="102">
        <v>1050386</v>
      </c>
      <c r="FL27" s="102">
        <v>7409642</v>
      </c>
      <c r="FM27" s="102">
        <v>11775649</v>
      </c>
      <c r="FN27" s="428">
        <v>0.63400000000000001</v>
      </c>
      <c r="FO27" s="424">
        <v>96.3</v>
      </c>
      <c r="FP27" s="425">
        <v>24</v>
      </c>
      <c r="FQ27" s="424">
        <v>12.5</v>
      </c>
      <c r="FR27" s="424">
        <v>13.2</v>
      </c>
      <c r="FS27" s="425">
        <v>11.8</v>
      </c>
      <c r="FT27" s="424">
        <v>21.7</v>
      </c>
      <c r="FU27" s="425">
        <v>12.5</v>
      </c>
      <c r="FV27" s="384">
        <v>8.1</v>
      </c>
      <c r="FW27" s="102">
        <v>18899498</v>
      </c>
      <c r="FX27" s="384">
        <f t="shared" si="15"/>
        <v>127.3</v>
      </c>
      <c r="FY27" s="102">
        <v>3118954</v>
      </c>
      <c r="FZ27" s="102">
        <v>1785859</v>
      </c>
      <c r="GA27" s="102">
        <v>175</v>
      </c>
      <c r="GB27" s="102">
        <v>1332920</v>
      </c>
      <c r="GC27" s="107">
        <v>0</v>
      </c>
      <c r="GD27" s="427">
        <v>802</v>
      </c>
      <c r="GE27" s="386">
        <f>IF(GD27=0,"-",ROUND(GD27/(GV27)*100,1))</f>
        <v>5.4</v>
      </c>
      <c r="GF27" s="424">
        <v>99.2</v>
      </c>
      <c r="GG27" s="424">
        <v>46.2</v>
      </c>
      <c r="GH27" s="424">
        <v>97.6</v>
      </c>
      <c r="GI27" s="102">
        <v>394</v>
      </c>
      <c r="GJ27" s="429" t="s">
        <v>646</v>
      </c>
      <c r="GK27" s="429">
        <v>12.79</v>
      </c>
      <c r="GL27" s="117">
        <v>20</v>
      </c>
      <c r="GM27" s="429" t="s">
        <v>646</v>
      </c>
      <c r="GN27" s="430">
        <v>17.79</v>
      </c>
      <c r="GO27" s="387">
        <v>30</v>
      </c>
      <c r="GP27" s="425">
        <v>6.7</v>
      </c>
      <c r="GQ27" s="388">
        <v>25</v>
      </c>
      <c r="GR27" s="388">
        <v>35</v>
      </c>
      <c r="GS27" s="431" t="s">
        <v>646</v>
      </c>
      <c r="GT27" s="388">
        <v>350</v>
      </c>
      <c r="GU27" s="394"/>
      <c r="GV27" s="100">
        <f t="shared" si="16"/>
        <v>14849</v>
      </c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</row>
    <row r="28" spans="2:230" x14ac:dyDescent="0.15">
      <c r="B28" s="89" t="s">
        <v>45</v>
      </c>
      <c r="C28" s="102">
        <v>12535014</v>
      </c>
      <c r="D28" s="73">
        <f t="shared" si="0"/>
        <v>5266784</v>
      </c>
      <c r="E28" s="102">
        <v>175647</v>
      </c>
      <c r="F28" s="102">
        <v>5091137</v>
      </c>
      <c r="G28" s="73">
        <f t="shared" si="1"/>
        <v>581622</v>
      </c>
      <c r="H28" s="102">
        <v>203411</v>
      </c>
      <c r="I28" s="102">
        <v>378211</v>
      </c>
      <c r="J28" s="102">
        <v>4821009</v>
      </c>
      <c r="K28" s="102">
        <v>2080464</v>
      </c>
      <c r="L28" s="102">
        <v>2178157</v>
      </c>
      <c r="M28" s="102">
        <v>516988</v>
      </c>
      <c r="N28" s="102">
        <v>622637</v>
      </c>
      <c r="O28" s="102">
        <v>1024053</v>
      </c>
      <c r="P28" s="102">
        <v>578723</v>
      </c>
      <c r="Q28" s="102">
        <v>445330</v>
      </c>
      <c r="R28" s="102">
        <v>194986</v>
      </c>
      <c r="S28" s="74"/>
      <c r="T28" s="73">
        <f t="shared" si="2"/>
        <v>2238705</v>
      </c>
      <c r="U28" s="102">
        <v>34548</v>
      </c>
      <c r="V28" s="102">
        <v>97858</v>
      </c>
      <c r="W28" s="102">
        <v>98909</v>
      </c>
      <c r="X28" s="102">
        <v>1908073</v>
      </c>
      <c r="Y28" s="102">
        <v>0</v>
      </c>
      <c r="Z28" s="102">
        <v>0</v>
      </c>
      <c r="AA28" s="102">
        <v>99317</v>
      </c>
      <c r="AB28" s="102">
        <v>74108</v>
      </c>
      <c r="AC28" s="102">
        <v>7913080</v>
      </c>
      <c r="AD28" s="102">
        <v>7711522</v>
      </c>
      <c r="AE28" s="102">
        <v>201558</v>
      </c>
      <c r="AF28" s="102">
        <v>16561</v>
      </c>
      <c r="AG28" s="102">
        <v>295191</v>
      </c>
      <c r="AH28" s="73">
        <f t="shared" si="3"/>
        <v>598894</v>
      </c>
      <c r="AI28" s="102">
        <v>543406</v>
      </c>
      <c r="AJ28" s="102">
        <v>55488</v>
      </c>
      <c r="AK28" s="102">
        <v>8382277</v>
      </c>
      <c r="AL28" s="73">
        <f t="shared" si="4"/>
        <v>5540402</v>
      </c>
      <c r="AM28" s="102">
        <v>3848125</v>
      </c>
      <c r="AN28" s="102">
        <v>524579</v>
      </c>
      <c r="AO28" s="74"/>
      <c r="AP28" s="102">
        <v>1167698</v>
      </c>
      <c r="AQ28" s="102">
        <v>307278</v>
      </c>
      <c r="AR28" s="102">
        <v>0</v>
      </c>
      <c r="AS28" s="102">
        <v>0</v>
      </c>
      <c r="AT28" s="102">
        <v>2883888</v>
      </c>
      <c r="AU28" s="102">
        <v>1715073</v>
      </c>
      <c r="AV28" s="102">
        <v>262289</v>
      </c>
      <c r="AW28" s="102">
        <v>86568</v>
      </c>
      <c r="AX28" s="102">
        <v>1168815</v>
      </c>
      <c r="AY28" s="102">
        <v>2430</v>
      </c>
      <c r="AZ28" s="102">
        <v>84203</v>
      </c>
      <c r="BA28" s="102">
        <v>64442</v>
      </c>
      <c r="BB28" s="102">
        <v>30094</v>
      </c>
      <c r="BC28" s="102">
        <v>537930</v>
      </c>
      <c r="BD28" s="102">
        <v>430000</v>
      </c>
      <c r="BE28" s="102">
        <v>72761</v>
      </c>
      <c r="BF28" s="102">
        <v>35082</v>
      </c>
      <c r="BG28" s="102">
        <v>0</v>
      </c>
      <c r="BH28" s="102">
        <v>546655</v>
      </c>
      <c r="BI28" s="102">
        <v>545529</v>
      </c>
      <c r="BJ28" s="102">
        <v>230739</v>
      </c>
      <c r="BK28" s="102">
        <v>1606</v>
      </c>
      <c r="BL28" s="102">
        <v>0</v>
      </c>
      <c r="BM28" s="102">
        <v>0</v>
      </c>
      <c r="BN28" s="102">
        <v>2377900</v>
      </c>
      <c r="BO28" s="73">
        <f t="shared" si="5"/>
        <v>914200</v>
      </c>
      <c r="BP28" s="73">
        <f t="shared" si="6"/>
        <v>1463700</v>
      </c>
      <c r="BQ28" s="102">
        <v>0</v>
      </c>
      <c r="BR28" s="102">
        <v>0</v>
      </c>
      <c r="BS28" s="102">
        <v>1463700</v>
      </c>
      <c r="BT28" s="102">
        <v>0</v>
      </c>
      <c r="BU28" s="102">
        <v>38940225</v>
      </c>
      <c r="BV28" s="71"/>
      <c r="BW28" s="102">
        <v>4827539</v>
      </c>
      <c r="BX28" s="102">
        <v>3580382</v>
      </c>
      <c r="BY28" s="102">
        <v>116381</v>
      </c>
      <c r="BZ28" s="102">
        <v>79609</v>
      </c>
      <c r="CA28" s="102">
        <v>13687312</v>
      </c>
      <c r="CB28" s="102">
        <v>3531146</v>
      </c>
      <c r="CC28" s="102">
        <v>225149</v>
      </c>
      <c r="CD28" s="102">
        <v>4673755</v>
      </c>
      <c r="CE28" s="102">
        <v>5113668</v>
      </c>
      <c r="CF28" s="102">
        <v>0</v>
      </c>
      <c r="CG28" s="102">
        <v>143414</v>
      </c>
      <c r="CH28" s="102">
        <v>4149378</v>
      </c>
      <c r="CI28" s="102">
        <v>3823133</v>
      </c>
      <c r="CJ28" s="83">
        <f t="shared" si="17"/>
        <v>326245</v>
      </c>
      <c r="CK28" s="102">
        <v>4672912</v>
      </c>
      <c r="CL28" s="102">
        <v>2710541</v>
      </c>
      <c r="CM28" s="102">
        <v>749799</v>
      </c>
      <c r="CN28" s="102">
        <v>581699</v>
      </c>
      <c r="CO28" s="102">
        <v>107453</v>
      </c>
      <c r="CP28" s="102">
        <v>3249454</v>
      </c>
      <c r="CQ28" s="102">
        <v>2205712</v>
      </c>
      <c r="CR28" s="102">
        <v>650091</v>
      </c>
      <c r="CS28" s="102">
        <v>572218</v>
      </c>
      <c r="CT28" s="73">
        <f t="shared" si="7"/>
        <v>4694</v>
      </c>
      <c r="CU28" s="102">
        <v>2914</v>
      </c>
      <c r="CV28" s="102">
        <v>1780</v>
      </c>
      <c r="CW28" s="73">
        <f t="shared" si="8"/>
        <v>0</v>
      </c>
      <c r="CX28" s="102">
        <v>0</v>
      </c>
      <c r="CY28" s="102">
        <v>0</v>
      </c>
      <c r="CZ28" s="73">
        <f t="shared" si="9"/>
        <v>0</v>
      </c>
      <c r="DA28" s="102">
        <v>0</v>
      </c>
      <c r="DB28" s="102">
        <v>0</v>
      </c>
      <c r="DC28" s="102">
        <v>1657195</v>
      </c>
      <c r="DD28" s="102">
        <v>673368</v>
      </c>
      <c r="DE28" s="102">
        <v>981027</v>
      </c>
      <c r="DF28" s="102">
        <v>2800</v>
      </c>
      <c r="DG28" s="102">
        <v>0</v>
      </c>
      <c r="DH28" s="102">
        <v>7972</v>
      </c>
      <c r="DI28" s="102">
        <v>688954</v>
      </c>
      <c r="DJ28" s="102">
        <v>282154</v>
      </c>
      <c r="DK28" s="102">
        <v>85522</v>
      </c>
      <c r="DL28" s="102">
        <v>321278</v>
      </c>
      <c r="DM28" s="102">
        <v>0</v>
      </c>
      <c r="DN28" s="102">
        <v>0</v>
      </c>
      <c r="DO28" s="102">
        <v>0</v>
      </c>
      <c r="DP28" s="102">
        <v>0</v>
      </c>
      <c r="DQ28" s="102">
        <v>0</v>
      </c>
      <c r="DR28" s="102">
        <v>0</v>
      </c>
      <c r="DS28" s="102">
        <v>0</v>
      </c>
      <c r="DT28" s="102">
        <v>5831369</v>
      </c>
      <c r="DU28" s="102">
        <v>1596216</v>
      </c>
      <c r="DV28" s="73">
        <f t="shared" si="10"/>
        <v>0</v>
      </c>
      <c r="DW28" s="102">
        <v>0</v>
      </c>
      <c r="DX28" s="102">
        <v>1529738</v>
      </c>
      <c r="DY28" s="102">
        <v>0</v>
      </c>
      <c r="DZ28" s="102">
        <v>1189940</v>
      </c>
      <c r="EA28" s="74">
        <v>0</v>
      </c>
      <c r="EB28" s="102">
        <v>1455376</v>
      </c>
      <c r="EC28" s="102">
        <v>0</v>
      </c>
      <c r="ED28" s="102">
        <v>38879538</v>
      </c>
      <c r="EE28" s="71"/>
      <c r="EF28" s="102">
        <v>60687</v>
      </c>
      <c r="EG28" s="102">
        <v>915</v>
      </c>
      <c r="EH28" s="102">
        <v>59772</v>
      </c>
      <c r="EI28" s="102">
        <v>-485757</v>
      </c>
      <c r="EJ28" s="102">
        <v>-633603</v>
      </c>
      <c r="EK28" s="71"/>
      <c r="EL28" s="102">
        <v>112683</v>
      </c>
      <c r="EM28" s="102">
        <v>112719</v>
      </c>
      <c r="EN28" s="102">
        <v>502848</v>
      </c>
      <c r="EO28" s="102">
        <v>41549</v>
      </c>
      <c r="EP28" s="73">
        <f t="shared" si="11"/>
        <v>918037</v>
      </c>
      <c r="EQ28" s="102">
        <v>22972454</v>
      </c>
      <c r="ER28" s="71">
        <v>-2909573</v>
      </c>
      <c r="ES28" s="102">
        <v>4444672</v>
      </c>
      <c r="ET28" s="102">
        <v>3231847</v>
      </c>
      <c r="EU28" s="102">
        <v>4074307</v>
      </c>
      <c r="EV28" s="102">
        <v>4127194</v>
      </c>
      <c r="EW28" s="73">
        <f t="shared" si="12"/>
        <v>290706</v>
      </c>
      <c r="EX28" s="102">
        <v>289834</v>
      </c>
      <c r="EY28" s="102">
        <v>38830</v>
      </c>
      <c r="EZ28" s="102">
        <v>250804</v>
      </c>
      <c r="FA28" s="102">
        <v>872</v>
      </c>
      <c r="FB28" s="102">
        <v>0</v>
      </c>
      <c r="FC28" s="102">
        <v>4060676</v>
      </c>
      <c r="FD28" s="102">
        <v>3106726</v>
      </c>
      <c r="FE28" s="102">
        <v>2205349</v>
      </c>
      <c r="FF28" s="102">
        <v>4992044</v>
      </c>
      <c r="FG28" s="73">
        <f t="shared" si="13"/>
        <v>725015</v>
      </c>
      <c r="FH28" s="102">
        <v>25821340</v>
      </c>
      <c r="FI28" s="379">
        <f t="shared" si="14"/>
        <v>0.3</v>
      </c>
      <c r="FJ28" s="102">
        <v>21496950</v>
      </c>
      <c r="FK28" s="102">
        <v>1463816</v>
      </c>
      <c r="FL28" s="102">
        <v>10844929</v>
      </c>
      <c r="FM28" s="102">
        <v>18888861</v>
      </c>
      <c r="FN28" s="428">
        <v>0.56999999999999995</v>
      </c>
      <c r="FO28" s="424">
        <v>102.7</v>
      </c>
      <c r="FP28" s="425">
        <v>18.899999999999999</v>
      </c>
      <c r="FQ28" s="424">
        <v>17.399999999999999</v>
      </c>
      <c r="FR28" s="424">
        <v>17.600000000000001</v>
      </c>
      <c r="FS28" s="425">
        <v>16.100000000000001</v>
      </c>
      <c r="FT28" s="424">
        <v>12.7</v>
      </c>
      <c r="FU28" s="425">
        <v>19.600000000000001</v>
      </c>
      <c r="FV28" s="384">
        <v>9.1</v>
      </c>
      <c r="FW28" s="102">
        <v>38570659</v>
      </c>
      <c r="FX28" s="384">
        <f t="shared" si="15"/>
        <v>168</v>
      </c>
      <c r="FY28" s="102">
        <v>5788477</v>
      </c>
      <c r="FZ28" s="102">
        <v>3658027</v>
      </c>
      <c r="GA28" s="102">
        <v>85522</v>
      </c>
      <c r="GB28" s="102">
        <v>2044928</v>
      </c>
      <c r="GC28" s="107">
        <v>0</v>
      </c>
      <c r="GD28" s="427"/>
      <c r="GE28" s="386"/>
      <c r="GF28" s="424">
        <v>99</v>
      </c>
      <c r="GG28" s="424">
        <v>32.6</v>
      </c>
      <c r="GH28" s="424">
        <v>96</v>
      </c>
      <c r="GI28" s="102">
        <v>579</v>
      </c>
      <c r="GJ28" s="429" t="s">
        <v>646</v>
      </c>
      <c r="GK28" s="429">
        <v>12.23</v>
      </c>
      <c r="GL28" s="117">
        <v>20</v>
      </c>
      <c r="GM28" s="429" t="s">
        <v>646</v>
      </c>
      <c r="GN28" s="430">
        <v>17.23</v>
      </c>
      <c r="GO28" s="387">
        <v>30</v>
      </c>
      <c r="GP28" s="425">
        <v>8.5</v>
      </c>
      <c r="GQ28" s="388">
        <v>25</v>
      </c>
      <c r="GR28" s="388">
        <v>35</v>
      </c>
      <c r="GS28" s="431">
        <v>20.6</v>
      </c>
      <c r="GT28" s="388">
        <v>350</v>
      </c>
      <c r="GU28" s="394"/>
      <c r="GV28" s="100">
        <f t="shared" si="16"/>
        <v>22961</v>
      </c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</row>
    <row r="29" spans="2:230" x14ac:dyDescent="0.15">
      <c r="B29" s="89" t="s">
        <v>47</v>
      </c>
      <c r="C29" s="102">
        <v>17988280</v>
      </c>
      <c r="D29" s="73">
        <f t="shared" si="0"/>
        <v>5393657</v>
      </c>
      <c r="E29" s="102">
        <v>188771</v>
      </c>
      <c r="F29" s="102">
        <v>5204886</v>
      </c>
      <c r="G29" s="73">
        <f t="shared" si="1"/>
        <v>1676882</v>
      </c>
      <c r="H29" s="102">
        <v>459743</v>
      </c>
      <c r="I29" s="102">
        <v>1217139</v>
      </c>
      <c r="J29" s="102">
        <v>7969933</v>
      </c>
      <c r="K29" s="102">
        <v>3646244</v>
      </c>
      <c r="L29" s="102">
        <v>3176555</v>
      </c>
      <c r="M29" s="102">
        <v>1033572</v>
      </c>
      <c r="N29" s="102">
        <v>1136787</v>
      </c>
      <c r="O29" s="102">
        <v>1624146</v>
      </c>
      <c r="P29" s="102">
        <v>924962</v>
      </c>
      <c r="Q29" s="102">
        <v>699184</v>
      </c>
      <c r="R29" s="102">
        <v>178295</v>
      </c>
      <c r="S29" s="74"/>
      <c r="T29" s="73">
        <f t="shared" si="2"/>
        <v>2752817</v>
      </c>
      <c r="U29" s="102">
        <v>34225</v>
      </c>
      <c r="V29" s="102">
        <v>97094</v>
      </c>
      <c r="W29" s="102">
        <v>98384</v>
      </c>
      <c r="X29" s="102">
        <v>2434272</v>
      </c>
      <c r="Y29" s="102">
        <v>0</v>
      </c>
      <c r="Z29" s="102">
        <v>0</v>
      </c>
      <c r="AA29" s="102">
        <v>88842</v>
      </c>
      <c r="AB29" s="102">
        <v>65914</v>
      </c>
      <c r="AC29" s="102">
        <v>6763338</v>
      </c>
      <c r="AD29" s="102">
        <v>6506284</v>
      </c>
      <c r="AE29" s="102">
        <v>257054</v>
      </c>
      <c r="AF29" s="102">
        <v>16097</v>
      </c>
      <c r="AG29" s="102">
        <v>163103</v>
      </c>
      <c r="AH29" s="73">
        <f t="shared" si="3"/>
        <v>671306</v>
      </c>
      <c r="AI29" s="102">
        <v>452890</v>
      </c>
      <c r="AJ29" s="102">
        <v>218416</v>
      </c>
      <c r="AK29" s="102">
        <v>14108211</v>
      </c>
      <c r="AL29" s="73">
        <f t="shared" si="4"/>
        <v>10828326</v>
      </c>
      <c r="AM29" s="102">
        <v>8212728</v>
      </c>
      <c r="AN29" s="102">
        <v>962866</v>
      </c>
      <c r="AO29" s="74"/>
      <c r="AP29" s="102">
        <v>1652732</v>
      </c>
      <c r="AQ29" s="102">
        <v>27509</v>
      </c>
      <c r="AR29" s="102">
        <v>0</v>
      </c>
      <c r="AS29" s="102">
        <v>0</v>
      </c>
      <c r="AT29" s="102">
        <v>3520520</v>
      </c>
      <c r="AU29" s="102">
        <v>2089856</v>
      </c>
      <c r="AV29" s="102">
        <v>513877</v>
      </c>
      <c r="AW29" s="102">
        <v>58196</v>
      </c>
      <c r="AX29" s="102">
        <v>1430664</v>
      </c>
      <c r="AY29" s="102">
        <v>51768</v>
      </c>
      <c r="AZ29" s="102">
        <v>307512</v>
      </c>
      <c r="BA29" s="102">
        <v>262503</v>
      </c>
      <c r="BB29" s="102">
        <v>11287</v>
      </c>
      <c r="BC29" s="102">
        <v>226950</v>
      </c>
      <c r="BD29" s="102">
        <v>60000</v>
      </c>
      <c r="BE29" s="102">
        <v>0</v>
      </c>
      <c r="BF29" s="102">
        <v>166950</v>
      </c>
      <c r="BG29" s="102">
        <v>0</v>
      </c>
      <c r="BH29" s="102">
        <v>96413</v>
      </c>
      <c r="BI29" s="102">
        <v>7929</v>
      </c>
      <c r="BJ29" s="102">
        <v>524077</v>
      </c>
      <c r="BK29" s="102">
        <v>9000</v>
      </c>
      <c r="BL29" s="102">
        <v>2881</v>
      </c>
      <c r="BM29" s="102">
        <v>0</v>
      </c>
      <c r="BN29" s="102">
        <v>4008005</v>
      </c>
      <c r="BO29" s="73">
        <f t="shared" si="5"/>
        <v>2120400</v>
      </c>
      <c r="BP29" s="73">
        <f t="shared" si="6"/>
        <v>1887605</v>
      </c>
      <c r="BQ29" s="102">
        <v>0</v>
      </c>
      <c r="BR29" s="102">
        <v>0</v>
      </c>
      <c r="BS29" s="102">
        <v>1887605</v>
      </c>
      <c r="BT29" s="102">
        <v>0</v>
      </c>
      <c r="BU29" s="102">
        <v>51402125</v>
      </c>
      <c r="BV29" s="71"/>
      <c r="BW29" s="102">
        <v>6714514</v>
      </c>
      <c r="BX29" s="102">
        <v>4689412</v>
      </c>
      <c r="BY29" s="102">
        <v>220965</v>
      </c>
      <c r="BZ29" s="102">
        <v>371045</v>
      </c>
      <c r="CA29" s="102">
        <v>20914330</v>
      </c>
      <c r="CB29" s="102">
        <v>4065338</v>
      </c>
      <c r="CC29" s="102">
        <v>340241</v>
      </c>
      <c r="CD29" s="102">
        <v>5202578</v>
      </c>
      <c r="CE29" s="102">
        <v>10927709</v>
      </c>
      <c r="CF29" s="102">
        <v>13111</v>
      </c>
      <c r="CG29" s="102">
        <v>365253</v>
      </c>
      <c r="CH29" s="102">
        <v>4239011</v>
      </c>
      <c r="CI29" s="102">
        <v>3787913</v>
      </c>
      <c r="CJ29" s="83">
        <f t="shared" si="17"/>
        <v>451098</v>
      </c>
      <c r="CK29" s="102">
        <v>5763521</v>
      </c>
      <c r="CL29" s="102">
        <v>3862783</v>
      </c>
      <c r="CM29" s="102">
        <v>165317</v>
      </c>
      <c r="CN29" s="102">
        <v>843719</v>
      </c>
      <c r="CO29" s="102">
        <v>191578</v>
      </c>
      <c r="CP29" s="102">
        <v>4690194</v>
      </c>
      <c r="CQ29" s="102">
        <v>1652246</v>
      </c>
      <c r="CR29" s="102">
        <v>645773</v>
      </c>
      <c r="CS29" s="102">
        <v>420138</v>
      </c>
      <c r="CT29" s="73">
        <f t="shared" si="7"/>
        <v>1801763</v>
      </c>
      <c r="CU29" s="102">
        <v>1623410</v>
      </c>
      <c r="CV29" s="102">
        <v>178353</v>
      </c>
      <c r="CW29" s="73">
        <f t="shared" si="8"/>
        <v>0</v>
      </c>
      <c r="CX29" s="102">
        <v>0</v>
      </c>
      <c r="CY29" s="102">
        <v>0</v>
      </c>
      <c r="CZ29" s="73">
        <f t="shared" si="9"/>
        <v>1791931</v>
      </c>
      <c r="DA29" s="102">
        <v>1615250</v>
      </c>
      <c r="DB29" s="102">
        <v>176681</v>
      </c>
      <c r="DC29" s="102">
        <v>3229271</v>
      </c>
      <c r="DD29" s="102">
        <v>1038610</v>
      </c>
      <c r="DE29" s="102">
        <v>2190661</v>
      </c>
      <c r="DF29" s="102">
        <v>0</v>
      </c>
      <c r="DG29" s="102">
        <v>0</v>
      </c>
      <c r="DH29" s="102">
        <v>0</v>
      </c>
      <c r="DI29" s="102">
        <v>240828</v>
      </c>
      <c r="DJ29" s="102">
        <v>8734</v>
      </c>
      <c r="DK29" s="102">
        <v>190</v>
      </c>
      <c r="DL29" s="102">
        <v>231904</v>
      </c>
      <c r="DM29" s="102">
        <v>173996</v>
      </c>
      <c r="DN29" s="102">
        <v>173996</v>
      </c>
      <c r="DO29" s="102">
        <v>0</v>
      </c>
      <c r="DP29" s="102">
        <v>0</v>
      </c>
      <c r="DQ29" s="102">
        <v>9000</v>
      </c>
      <c r="DR29" s="102">
        <v>0</v>
      </c>
      <c r="DS29" s="102">
        <v>0</v>
      </c>
      <c r="DT29" s="102">
        <v>5227313</v>
      </c>
      <c r="DU29" s="102">
        <v>0</v>
      </c>
      <c r="DV29" s="73">
        <f t="shared" si="10"/>
        <v>0</v>
      </c>
      <c r="DW29" s="102">
        <v>0</v>
      </c>
      <c r="DX29" s="102">
        <v>1582455</v>
      </c>
      <c r="DY29" s="102">
        <v>0</v>
      </c>
      <c r="DZ29" s="102">
        <v>1976180</v>
      </c>
      <c r="EA29" s="74">
        <v>0</v>
      </c>
      <c r="EB29" s="102">
        <v>1668678</v>
      </c>
      <c r="EC29" s="102">
        <v>0</v>
      </c>
      <c r="ED29" s="102">
        <v>51393556</v>
      </c>
      <c r="EE29" s="71"/>
      <c r="EF29" s="102">
        <v>8569</v>
      </c>
      <c r="EG29" s="102">
        <v>6703</v>
      </c>
      <c r="EH29" s="102">
        <v>1866</v>
      </c>
      <c r="EI29" s="102">
        <v>-6063</v>
      </c>
      <c r="EJ29" s="102">
        <v>-57329</v>
      </c>
      <c r="EK29" s="71"/>
      <c r="EL29" s="102">
        <v>123576</v>
      </c>
      <c r="EM29" s="102">
        <v>123632</v>
      </c>
      <c r="EN29" s="102">
        <v>60091</v>
      </c>
      <c r="EO29" s="102">
        <v>304930</v>
      </c>
      <c r="EP29" s="73">
        <f t="shared" si="11"/>
        <v>844996</v>
      </c>
      <c r="EQ29" s="102">
        <v>27764741</v>
      </c>
      <c r="ER29" s="71">
        <v>-3081525</v>
      </c>
      <c r="ES29" s="102">
        <v>6301237</v>
      </c>
      <c r="ET29" s="102">
        <v>4436282</v>
      </c>
      <c r="EU29" s="102">
        <v>5933892</v>
      </c>
      <c r="EV29" s="102">
        <v>4166751</v>
      </c>
      <c r="EW29" s="73">
        <f t="shared" si="12"/>
        <v>555138</v>
      </c>
      <c r="EX29" s="102">
        <v>555138</v>
      </c>
      <c r="EY29" s="102">
        <v>4890</v>
      </c>
      <c r="EZ29" s="102">
        <v>550248</v>
      </c>
      <c r="FA29" s="102">
        <v>0</v>
      </c>
      <c r="FB29" s="102">
        <v>0</v>
      </c>
      <c r="FC29" s="102">
        <v>4789023</v>
      </c>
      <c r="FD29" s="102">
        <v>4405905</v>
      </c>
      <c r="FE29" s="102">
        <v>1651652</v>
      </c>
      <c r="FF29" s="102">
        <v>4117198</v>
      </c>
      <c r="FG29" s="73">
        <f t="shared" si="13"/>
        <v>568553</v>
      </c>
      <c r="FH29" s="102">
        <v>30837697</v>
      </c>
      <c r="FI29" s="379">
        <f t="shared" si="14"/>
        <v>0</v>
      </c>
      <c r="FJ29" s="102">
        <v>25108795</v>
      </c>
      <c r="FK29" s="102">
        <v>1887605</v>
      </c>
      <c r="FL29" s="102">
        <v>14499352</v>
      </c>
      <c r="FM29" s="102">
        <v>21022220</v>
      </c>
      <c r="FN29" s="428">
        <v>0.69099999999999995</v>
      </c>
      <c r="FO29" s="424">
        <v>101.7</v>
      </c>
      <c r="FP29" s="425">
        <v>22.2</v>
      </c>
      <c r="FQ29" s="424">
        <v>21.1</v>
      </c>
      <c r="FR29" s="424">
        <v>14.9</v>
      </c>
      <c r="FS29" s="425">
        <v>15.7</v>
      </c>
      <c r="FT29" s="424">
        <v>14.9</v>
      </c>
      <c r="FU29" s="425">
        <v>12.3</v>
      </c>
      <c r="FV29" s="384">
        <v>6.8</v>
      </c>
      <c r="FW29" s="102">
        <v>50845981</v>
      </c>
      <c r="FX29" s="384">
        <f t="shared" si="15"/>
        <v>188.3</v>
      </c>
      <c r="FY29" s="102">
        <v>6064310</v>
      </c>
      <c r="FZ29" s="102">
        <v>1750775</v>
      </c>
      <c r="GA29" s="102">
        <v>211775</v>
      </c>
      <c r="GB29" s="102">
        <v>4101760</v>
      </c>
      <c r="GC29" s="107">
        <v>0</v>
      </c>
      <c r="GD29" s="427"/>
      <c r="GE29" s="386"/>
      <c r="GF29" s="424">
        <v>98.8</v>
      </c>
      <c r="GG29" s="424">
        <v>32.200000000000003</v>
      </c>
      <c r="GH29" s="424">
        <v>96</v>
      </c>
      <c r="GI29" s="102">
        <v>754</v>
      </c>
      <c r="GJ29" s="429" t="s">
        <v>646</v>
      </c>
      <c r="GK29" s="429">
        <v>11.96</v>
      </c>
      <c r="GL29" s="117">
        <v>20</v>
      </c>
      <c r="GM29" s="429" t="s">
        <v>646</v>
      </c>
      <c r="GN29" s="430">
        <v>16.96</v>
      </c>
      <c r="GO29" s="387">
        <v>30</v>
      </c>
      <c r="GP29" s="425">
        <v>6.1</v>
      </c>
      <c r="GQ29" s="388">
        <v>25</v>
      </c>
      <c r="GR29" s="388">
        <v>35</v>
      </c>
      <c r="GS29" s="431">
        <v>51.2</v>
      </c>
      <c r="GT29" s="388">
        <v>350</v>
      </c>
      <c r="GU29" s="394"/>
      <c r="GV29" s="100">
        <f t="shared" si="16"/>
        <v>26996</v>
      </c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</row>
    <row r="30" spans="2:230" x14ac:dyDescent="0.15">
      <c r="B30" s="89" t="s">
        <v>49</v>
      </c>
      <c r="C30" s="102">
        <v>18429968</v>
      </c>
      <c r="D30" s="73">
        <f t="shared" si="0"/>
        <v>4453473</v>
      </c>
      <c r="E30" s="102">
        <v>143389</v>
      </c>
      <c r="F30" s="102">
        <v>4310084</v>
      </c>
      <c r="G30" s="73">
        <f t="shared" si="1"/>
        <v>2603363</v>
      </c>
      <c r="H30" s="102">
        <v>357944</v>
      </c>
      <c r="I30" s="102">
        <v>2245419</v>
      </c>
      <c r="J30" s="102">
        <v>8890812</v>
      </c>
      <c r="K30" s="102">
        <v>4078916</v>
      </c>
      <c r="L30" s="102">
        <v>2775001</v>
      </c>
      <c r="M30" s="102">
        <v>1976462</v>
      </c>
      <c r="N30" s="102">
        <v>724456</v>
      </c>
      <c r="O30" s="102">
        <v>1638802</v>
      </c>
      <c r="P30" s="102">
        <v>1020902</v>
      </c>
      <c r="Q30" s="102">
        <v>617900</v>
      </c>
      <c r="R30" s="102">
        <v>151166</v>
      </c>
      <c r="S30" s="74"/>
      <c r="T30" s="73">
        <f t="shared" si="2"/>
        <v>1960630</v>
      </c>
      <c r="U30" s="102">
        <v>28207</v>
      </c>
      <c r="V30" s="102">
        <v>80096</v>
      </c>
      <c r="W30" s="102">
        <v>81282</v>
      </c>
      <c r="X30" s="102">
        <v>1694600</v>
      </c>
      <c r="Y30" s="102">
        <v>1861</v>
      </c>
      <c r="Z30" s="102">
        <v>0</v>
      </c>
      <c r="AA30" s="102">
        <v>74584</v>
      </c>
      <c r="AB30" s="102">
        <v>70918</v>
      </c>
      <c r="AC30" s="102">
        <v>84145</v>
      </c>
      <c r="AD30" s="102">
        <v>0</v>
      </c>
      <c r="AE30" s="102">
        <v>84145</v>
      </c>
      <c r="AF30" s="102">
        <v>13901</v>
      </c>
      <c r="AG30" s="102">
        <v>627651</v>
      </c>
      <c r="AH30" s="73">
        <f t="shared" si="3"/>
        <v>655569</v>
      </c>
      <c r="AI30" s="102">
        <v>530531</v>
      </c>
      <c r="AJ30" s="102">
        <v>125038</v>
      </c>
      <c r="AK30" s="102">
        <v>6034005</v>
      </c>
      <c r="AL30" s="73">
        <f t="shared" si="4"/>
        <v>3561525</v>
      </c>
      <c r="AM30" s="102">
        <v>2091678</v>
      </c>
      <c r="AN30" s="102">
        <v>787805</v>
      </c>
      <c r="AO30" s="74"/>
      <c r="AP30" s="102">
        <v>682042</v>
      </c>
      <c r="AQ30" s="102">
        <v>361987</v>
      </c>
      <c r="AR30" s="102">
        <v>0</v>
      </c>
      <c r="AS30" s="102">
        <v>0</v>
      </c>
      <c r="AT30" s="102">
        <v>2192498</v>
      </c>
      <c r="AU30" s="102">
        <v>1617780</v>
      </c>
      <c r="AV30" s="102">
        <v>414597</v>
      </c>
      <c r="AW30" s="102">
        <v>3893</v>
      </c>
      <c r="AX30" s="102">
        <v>574718</v>
      </c>
      <c r="AY30" s="102">
        <v>550</v>
      </c>
      <c r="AZ30" s="102">
        <v>31758</v>
      </c>
      <c r="BA30" s="102">
        <v>573</v>
      </c>
      <c r="BB30" s="102">
        <v>13761</v>
      </c>
      <c r="BC30" s="102">
        <v>745138</v>
      </c>
      <c r="BD30" s="102">
        <v>655000</v>
      </c>
      <c r="BE30" s="102">
        <v>0</v>
      </c>
      <c r="BF30" s="102">
        <v>11190</v>
      </c>
      <c r="BG30" s="102">
        <v>0</v>
      </c>
      <c r="BH30" s="102">
        <v>340593</v>
      </c>
      <c r="BI30" s="102">
        <v>274375</v>
      </c>
      <c r="BJ30" s="102">
        <v>817651</v>
      </c>
      <c r="BK30" s="102">
        <v>271436</v>
      </c>
      <c r="BL30" s="102">
        <v>0</v>
      </c>
      <c r="BM30" s="102">
        <v>0</v>
      </c>
      <c r="BN30" s="102">
        <v>1017500</v>
      </c>
      <c r="BO30" s="73">
        <f t="shared" si="5"/>
        <v>1017500</v>
      </c>
      <c r="BP30" s="73">
        <f t="shared" si="6"/>
        <v>0</v>
      </c>
      <c r="BQ30" s="102">
        <v>0</v>
      </c>
      <c r="BR30" s="102">
        <v>0</v>
      </c>
      <c r="BS30" s="102">
        <v>0</v>
      </c>
      <c r="BT30" s="102">
        <v>0</v>
      </c>
      <c r="BU30" s="102">
        <v>33186852</v>
      </c>
      <c r="BV30" s="71"/>
      <c r="BW30" s="102">
        <v>4892969</v>
      </c>
      <c r="BX30" s="102">
        <v>3446499</v>
      </c>
      <c r="BY30" s="102">
        <v>285051</v>
      </c>
      <c r="BZ30" s="102">
        <v>121993</v>
      </c>
      <c r="CA30" s="102">
        <v>10326559</v>
      </c>
      <c r="CB30" s="102">
        <v>2272544</v>
      </c>
      <c r="CC30" s="102">
        <v>197928</v>
      </c>
      <c r="CD30" s="102">
        <v>4931668</v>
      </c>
      <c r="CE30" s="102">
        <v>2792743</v>
      </c>
      <c r="CF30" s="102">
        <v>4792</v>
      </c>
      <c r="CG30" s="102">
        <v>126884</v>
      </c>
      <c r="CH30" s="102">
        <v>2719393</v>
      </c>
      <c r="CI30" s="102">
        <v>2527104</v>
      </c>
      <c r="CJ30" s="83">
        <f t="shared" si="17"/>
        <v>192289</v>
      </c>
      <c r="CK30" s="102">
        <v>5316049</v>
      </c>
      <c r="CL30" s="102">
        <v>3336682</v>
      </c>
      <c r="CM30" s="102">
        <v>694357</v>
      </c>
      <c r="CN30" s="102">
        <v>853204</v>
      </c>
      <c r="CO30" s="102">
        <v>522574</v>
      </c>
      <c r="CP30" s="102">
        <v>3559976</v>
      </c>
      <c r="CQ30" s="102">
        <v>6852</v>
      </c>
      <c r="CR30" s="102">
        <v>508796</v>
      </c>
      <c r="CS30" s="102">
        <v>171460</v>
      </c>
      <c r="CT30" s="73">
        <f t="shared" si="7"/>
        <v>2004489</v>
      </c>
      <c r="CU30" s="102">
        <v>921809</v>
      </c>
      <c r="CV30" s="102">
        <v>1082680</v>
      </c>
      <c r="CW30" s="73">
        <f t="shared" si="8"/>
        <v>0</v>
      </c>
      <c r="CX30" s="102">
        <v>0</v>
      </c>
      <c r="CY30" s="102">
        <v>0</v>
      </c>
      <c r="CZ30" s="73">
        <f t="shared" si="9"/>
        <v>2000000</v>
      </c>
      <c r="DA30" s="102">
        <v>920238</v>
      </c>
      <c r="DB30" s="102">
        <v>1079762</v>
      </c>
      <c r="DC30" s="102">
        <v>2194983</v>
      </c>
      <c r="DD30" s="102">
        <v>727631</v>
      </c>
      <c r="DE30" s="102">
        <v>1440552</v>
      </c>
      <c r="DF30" s="102">
        <v>26800</v>
      </c>
      <c r="DG30" s="102">
        <v>0</v>
      </c>
      <c r="DH30" s="102">
        <v>0</v>
      </c>
      <c r="DI30" s="102">
        <v>159105</v>
      </c>
      <c r="DJ30" s="102">
        <v>137891</v>
      </c>
      <c r="DK30" s="102">
        <v>3271</v>
      </c>
      <c r="DL30" s="102">
        <v>17943</v>
      </c>
      <c r="DM30" s="102">
        <v>0</v>
      </c>
      <c r="DN30" s="102">
        <v>0</v>
      </c>
      <c r="DO30" s="102">
        <v>0</v>
      </c>
      <c r="DP30" s="102">
        <v>0</v>
      </c>
      <c r="DQ30" s="102">
        <v>265330</v>
      </c>
      <c r="DR30" s="102">
        <v>0</v>
      </c>
      <c r="DS30" s="102">
        <v>0</v>
      </c>
      <c r="DT30" s="102">
        <v>2988764</v>
      </c>
      <c r="DU30" s="102">
        <v>0</v>
      </c>
      <c r="DV30" s="73">
        <f t="shared" si="10"/>
        <v>0</v>
      </c>
      <c r="DW30" s="102">
        <v>0</v>
      </c>
      <c r="DX30" s="102">
        <v>947513</v>
      </c>
      <c r="DY30" s="102">
        <v>24829</v>
      </c>
      <c r="DZ30" s="102">
        <v>1099089</v>
      </c>
      <c r="EA30" s="74">
        <v>0</v>
      </c>
      <c r="EB30" s="102">
        <v>917327</v>
      </c>
      <c r="EC30" s="102">
        <v>0</v>
      </c>
      <c r="ED30" s="102">
        <v>32945702</v>
      </c>
      <c r="EE30" s="71"/>
      <c r="EF30" s="102">
        <v>241150</v>
      </c>
      <c r="EG30" s="102">
        <v>26970</v>
      </c>
      <c r="EH30" s="102">
        <v>214180</v>
      </c>
      <c r="EI30" s="102">
        <v>-60195</v>
      </c>
      <c r="EJ30" s="102">
        <v>-453118</v>
      </c>
      <c r="EK30" s="71"/>
      <c r="EL30" s="102">
        <v>85007</v>
      </c>
      <c r="EM30" s="102">
        <v>85404</v>
      </c>
      <c r="EN30" s="102">
        <v>733948</v>
      </c>
      <c r="EO30" s="102">
        <v>24331</v>
      </c>
      <c r="EP30" s="73">
        <f t="shared" si="11"/>
        <v>587783</v>
      </c>
      <c r="EQ30" s="102">
        <v>20710728</v>
      </c>
      <c r="ER30" s="71">
        <v>-1332161</v>
      </c>
      <c r="ES30" s="102">
        <v>4559591</v>
      </c>
      <c r="ET30" s="102">
        <v>3124652</v>
      </c>
      <c r="EU30" s="102">
        <v>3119844</v>
      </c>
      <c r="EV30" s="102">
        <v>2655519</v>
      </c>
      <c r="EW30" s="73">
        <f t="shared" si="12"/>
        <v>718266</v>
      </c>
      <c r="EX30" s="102">
        <v>718266</v>
      </c>
      <c r="EY30" s="102">
        <v>40095</v>
      </c>
      <c r="EZ30" s="102">
        <v>651371</v>
      </c>
      <c r="FA30" s="102">
        <v>0</v>
      </c>
      <c r="FB30" s="102">
        <v>0</v>
      </c>
      <c r="FC30" s="102">
        <v>4277559</v>
      </c>
      <c r="FD30" s="102">
        <v>3418613</v>
      </c>
      <c r="FE30" s="102">
        <v>6852</v>
      </c>
      <c r="FF30" s="102">
        <v>2409341</v>
      </c>
      <c r="FG30" s="73">
        <f t="shared" si="13"/>
        <v>643006</v>
      </c>
      <c r="FH30" s="102">
        <v>21801739</v>
      </c>
      <c r="FI30" s="379">
        <f t="shared" si="14"/>
        <v>1.1000000000000001</v>
      </c>
      <c r="FJ30" s="102">
        <v>19686289</v>
      </c>
      <c r="FK30" s="102">
        <v>0</v>
      </c>
      <c r="FL30" s="102">
        <v>15184162</v>
      </c>
      <c r="FM30" s="102">
        <v>14553483</v>
      </c>
      <c r="FN30" s="428">
        <v>0.998</v>
      </c>
      <c r="FO30" s="424">
        <v>100.4</v>
      </c>
      <c r="FP30" s="425">
        <v>23.8</v>
      </c>
      <c r="FQ30" s="424">
        <v>16.3</v>
      </c>
      <c r="FR30" s="424">
        <v>13.2</v>
      </c>
      <c r="FS30" s="425">
        <v>21.3</v>
      </c>
      <c r="FT30" s="424">
        <v>12.5</v>
      </c>
      <c r="FU30" s="425">
        <v>10.6</v>
      </c>
      <c r="FV30" s="384">
        <v>4.2</v>
      </c>
      <c r="FW30" s="102">
        <v>20196664</v>
      </c>
      <c r="FX30" s="384">
        <f t="shared" si="15"/>
        <v>102.6</v>
      </c>
      <c r="FY30" s="102">
        <v>14171945</v>
      </c>
      <c r="FZ30" s="102">
        <v>5059332</v>
      </c>
      <c r="GA30" s="102">
        <v>4055593</v>
      </c>
      <c r="GB30" s="102">
        <v>5057020</v>
      </c>
      <c r="GC30" s="107">
        <v>0</v>
      </c>
      <c r="GD30" s="427">
        <v>0</v>
      </c>
      <c r="GE30" s="384">
        <f>ROUND(GD30/(FJ30+FK30)*100,1)</f>
        <v>0</v>
      </c>
      <c r="GF30" s="424">
        <v>99.1</v>
      </c>
      <c r="GG30" s="424">
        <v>38.700000000000003</v>
      </c>
      <c r="GH30" s="424">
        <v>97.6</v>
      </c>
      <c r="GI30" s="102">
        <v>542</v>
      </c>
      <c r="GJ30" s="429" t="s">
        <v>646</v>
      </c>
      <c r="GK30" s="429">
        <v>12.51</v>
      </c>
      <c r="GL30" s="117">
        <v>20</v>
      </c>
      <c r="GM30" s="429" t="s">
        <v>646</v>
      </c>
      <c r="GN30" s="430">
        <v>17.510000000000002</v>
      </c>
      <c r="GO30" s="387">
        <v>30</v>
      </c>
      <c r="GP30" s="425">
        <v>2.9</v>
      </c>
      <c r="GQ30" s="388">
        <v>25</v>
      </c>
      <c r="GR30" s="388">
        <v>35</v>
      </c>
      <c r="GS30" s="431" t="s">
        <v>646</v>
      </c>
      <c r="GT30" s="388">
        <v>350</v>
      </c>
      <c r="GU30" s="394"/>
      <c r="GV30" s="100">
        <f t="shared" si="16"/>
        <v>19686</v>
      </c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</row>
    <row r="31" spans="2:230" x14ac:dyDescent="0.15">
      <c r="B31" s="89" t="s">
        <v>51</v>
      </c>
      <c r="C31" s="102">
        <v>10176764</v>
      </c>
      <c r="D31" s="73">
        <f t="shared" si="0"/>
        <v>3161993</v>
      </c>
      <c r="E31" s="102">
        <v>91572</v>
      </c>
      <c r="F31" s="102">
        <v>3070421</v>
      </c>
      <c r="G31" s="73">
        <f t="shared" si="1"/>
        <v>565500</v>
      </c>
      <c r="H31" s="102">
        <v>169276</v>
      </c>
      <c r="I31" s="102">
        <v>396224</v>
      </c>
      <c r="J31" s="102">
        <v>5166484</v>
      </c>
      <c r="K31" s="102">
        <v>2267588</v>
      </c>
      <c r="L31" s="102">
        <v>1424410</v>
      </c>
      <c r="M31" s="102">
        <v>1417090</v>
      </c>
      <c r="N31" s="102">
        <v>308722</v>
      </c>
      <c r="O31" s="102">
        <v>903616</v>
      </c>
      <c r="P31" s="102">
        <v>585332</v>
      </c>
      <c r="Q31" s="102">
        <v>318284</v>
      </c>
      <c r="R31" s="102">
        <v>147875</v>
      </c>
      <c r="S31" s="74"/>
      <c r="T31" s="73">
        <f t="shared" si="2"/>
        <v>1155946</v>
      </c>
      <c r="U31" s="102">
        <v>20612</v>
      </c>
      <c r="V31" s="102">
        <v>58436</v>
      </c>
      <c r="W31" s="102">
        <v>59147</v>
      </c>
      <c r="X31" s="102">
        <v>972527</v>
      </c>
      <c r="Y31" s="102">
        <v>0</v>
      </c>
      <c r="Z31" s="102">
        <v>0</v>
      </c>
      <c r="AA31" s="102">
        <v>45224</v>
      </c>
      <c r="AB31" s="102">
        <v>40659</v>
      </c>
      <c r="AC31" s="102">
        <v>1301259</v>
      </c>
      <c r="AD31" s="102">
        <v>1215504</v>
      </c>
      <c r="AE31" s="102">
        <v>85755</v>
      </c>
      <c r="AF31" s="102">
        <v>7929</v>
      </c>
      <c r="AG31" s="102">
        <v>2617</v>
      </c>
      <c r="AH31" s="73">
        <f t="shared" si="3"/>
        <v>278402</v>
      </c>
      <c r="AI31" s="102">
        <v>222680</v>
      </c>
      <c r="AJ31" s="102">
        <v>55722</v>
      </c>
      <c r="AK31" s="102">
        <v>4213299</v>
      </c>
      <c r="AL31" s="73">
        <f t="shared" si="4"/>
        <v>2297484</v>
      </c>
      <c r="AM31" s="102">
        <v>1321832</v>
      </c>
      <c r="AN31" s="102">
        <v>557698</v>
      </c>
      <c r="AO31" s="74"/>
      <c r="AP31" s="102">
        <v>417954</v>
      </c>
      <c r="AQ31" s="102">
        <v>1136</v>
      </c>
      <c r="AR31" s="102">
        <v>0</v>
      </c>
      <c r="AS31" s="102">
        <v>0</v>
      </c>
      <c r="AT31" s="102">
        <v>1747998</v>
      </c>
      <c r="AU31" s="102">
        <v>1168551</v>
      </c>
      <c r="AV31" s="102">
        <v>278849</v>
      </c>
      <c r="AW31" s="102">
        <v>935</v>
      </c>
      <c r="AX31" s="102">
        <v>579447</v>
      </c>
      <c r="AY31" s="102">
        <v>12400</v>
      </c>
      <c r="AZ31" s="102">
        <v>931441</v>
      </c>
      <c r="BA31" s="102">
        <v>850990</v>
      </c>
      <c r="BB31" s="102">
        <v>35658</v>
      </c>
      <c r="BC31" s="102">
        <v>404196</v>
      </c>
      <c r="BD31" s="102">
        <v>0</v>
      </c>
      <c r="BE31" s="102">
        <v>0</v>
      </c>
      <c r="BF31" s="102">
        <v>394739</v>
      </c>
      <c r="BG31" s="102">
        <v>0</v>
      </c>
      <c r="BH31" s="102">
        <v>127185</v>
      </c>
      <c r="BI31" s="102">
        <v>108391</v>
      </c>
      <c r="BJ31" s="102">
        <v>282735</v>
      </c>
      <c r="BK31" s="102">
        <v>20654</v>
      </c>
      <c r="BL31" s="102">
        <v>0</v>
      </c>
      <c r="BM31" s="102">
        <v>0</v>
      </c>
      <c r="BN31" s="102">
        <v>2427300</v>
      </c>
      <c r="BO31" s="73">
        <f t="shared" si="5"/>
        <v>1386000</v>
      </c>
      <c r="BP31" s="73">
        <f t="shared" si="6"/>
        <v>1041300</v>
      </c>
      <c r="BQ31" s="102">
        <v>0</v>
      </c>
      <c r="BR31" s="102">
        <v>0</v>
      </c>
      <c r="BS31" s="102">
        <v>1041300</v>
      </c>
      <c r="BT31" s="102">
        <v>0</v>
      </c>
      <c r="BU31" s="102">
        <v>23281263</v>
      </c>
      <c r="BV31" s="71"/>
      <c r="BW31" s="102">
        <v>3243756</v>
      </c>
      <c r="BX31" s="102">
        <v>2009362</v>
      </c>
      <c r="BY31" s="102">
        <v>304468</v>
      </c>
      <c r="BZ31" s="102">
        <v>200416</v>
      </c>
      <c r="CA31" s="102">
        <v>6194367</v>
      </c>
      <c r="CB31" s="102">
        <v>1545196</v>
      </c>
      <c r="CC31" s="102">
        <v>100968</v>
      </c>
      <c r="CD31" s="102">
        <v>2747440</v>
      </c>
      <c r="CE31" s="102">
        <v>1721143</v>
      </c>
      <c r="CF31" s="102">
        <v>1607</v>
      </c>
      <c r="CG31" s="102">
        <v>78013</v>
      </c>
      <c r="CH31" s="102">
        <v>3116216</v>
      </c>
      <c r="CI31" s="102">
        <v>2709211</v>
      </c>
      <c r="CJ31" s="83">
        <f t="shared" si="17"/>
        <v>407005</v>
      </c>
      <c r="CK31" s="102">
        <v>2497328</v>
      </c>
      <c r="CL31" s="102">
        <v>1708895</v>
      </c>
      <c r="CM31" s="102">
        <v>206388</v>
      </c>
      <c r="CN31" s="102">
        <v>313708</v>
      </c>
      <c r="CO31" s="102">
        <v>56126</v>
      </c>
      <c r="CP31" s="102">
        <v>1901770</v>
      </c>
      <c r="CQ31" s="102">
        <v>370077</v>
      </c>
      <c r="CR31" s="102">
        <v>56652</v>
      </c>
      <c r="CS31" s="102">
        <v>27828</v>
      </c>
      <c r="CT31" s="73">
        <f t="shared" si="7"/>
        <v>6480</v>
      </c>
      <c r="CU31" s="102">
        <v>6480</v>
      </c>
      <c r="CV31" s="102">
        <v>0</v>
      </c>
      <c r="CW31" s="73">
        <f t="shared" si="8"/>
        <v>0</v>
      </c>
      <c r="CX31" s="102">
        <v>0</v>
      </c>
      <c r="CY31" s="102">
        <v>0</v>
      </c>
      <c r="CZ31" s="73">
        <f t="shared" si="9"/>
        <v>0</v>
      </c>
      <c r="DA31" s="102">
        <v>0</v>
      </c>
      <c r="DB31" s="102">
        <v>0</v>
      </c>
      <c r="DC31" s="102">
        <v>2445189</v>
      </c>
      <c r="DD31" s="102">
        <v>968671</v>
      </c>
      <c r="DE31" s="102">
        <v>799136</v>
      </c>
      <c r="DF31" s="102">
        <v>624659</v>
      </c>
      <c r="DG31" s="102">
        <v>52723</v>
      </c>
      <c r="DH31" s="102">
        <v>0</v>
      </c>
      <c r="DI31" s="102">
        <v>364222</v>
      </c>
      <c r="DJ31" s="102">
        <v>321448</v>
      </c>
      <c r="DK31" s="102">
        <v>0</v>
      </c>
      <c r="DL31" s="102">
        <v>42774</v>
      </c>
      <c r="DM31" s="102">
        <v>0</v>
      </c>
      <c r="DN31" s="102">
        <v>0</v>
      </c>
      <c r="DO31" s="102">
        <v>0</v>
      </c>
      <c r="DP31" s="102">
        <v>0</v>
      </c>
      <c r="DQ31" s="102">
        <v>10110</v>
      </c>
      <c r="DR31" s="102">
        <v>0</v>
      </c>
      <c r="DS31" s="102">
        <v>0</v>
      </c>
      <c r="DT31" s="102">
        <v>3122534</v>
      </c>
      <c r="DU31" s="102">
        <v>1000000</v>
      </c>
      <c r="DV31" s="73">
        <f t="shared" si="10"/>
        <v>0</v>
      </c>
      <c r="DW31" s="102">
        <v>0</v>
      </c>
      <c r="DX31" s="102">
        <v>813397</v>
      </c>
      <c r="DY31" s="102">
        <v>0</v>
      </c>
      <c r="DZ31" s="102">
        <v>635664</v>
      </c>
      <c r="EA31" s="74">
        <v>0</v>
      </c>
      <c r="EB31" s="102">
        <v>673473</v>
      </c>
      <c r="EC31" s="102">
        <v>0</v>
      </c>
      <c r="ED31" s="102">
        <v>22951618</v>
      </c>
      <c r="EE31" s="71"/>
      <c r="EF31" s="102">
        <v>329645</v>
      </c>
      <c r="EG31" s="102">
        <v>123985</v>
      </c>
      <c r="EH31" s="102">
        <v>205660</v>
      </c>
      <c r="EI31" s="102">
        <v>97269</v>
      </c>
      <c r="EJ31" s="102">
        <v>418717</v>
      </c>
      <c r="EK31" s="71"/>
      <c r="EL31" s="102">
        <v>56529</v>
      </c>
      <c r="EM31" s="102">
        <v>57932</v>
      </c>
      <c r="EN31" s="102">
        <v>312143</v>
      </c>
      <c r="EO31" s="102">
        <v>926239</v>
      </c>
      <c r="EP31" s="73">
        <f t="shared" si="11"/>
        <v>333761</v>
      </c>
      <c r="EQ31" s="102">
        <v>12830432</v>
      </c>
      <c r="ER31" s="71">
        <v>-2605514</v>
      </c>
      <c r="ES31" s="102">
        <v>3037451</v>
      </c>
      <c r="ET31" s="102">
        <v>1848959</v>
      </c>
      <c r="EU31" s="102">
        <v>1661493</v>
      </c>
      <c r="EV31" s="102">
        <v>3094202</v>
      </c>
      <c r="EW31" s="73">
        <f t="shared" si="12"/>
        <v>537504</v>
      </c>
      <c r="EX31" s="102">
        <v>537504</v>
      </c>
      <c r="EY31" s="102">
        <v>96059</v>
      </c>
      <c r="EZ31" s="102">
        <v>327450</v>
      </c>
      <c r="FA31" s="102">
        <v>0</v>
      </c>
      <c r="FB31" s="102">
        <v>0</v>
      </c>
      <c r="FC31" s="102">
        <v>1966319</v>
      </c>
      <c r="FD31" s="102">
        <v>1774855</v>
      </c>
      <c r="FE31" s="102">
        <v>358286</v>
      </c>
      <c r="FF31" s="102">
        <v>2693900</v>
      </c>
      <c r="FG31" s="73">
        <f t="shared" si="13"/>
        <v>340577</v>
      </c>
      <c r="FH31" s="102">
        <v>15106301</v>
      </c>
      <c r="FI31" s="379">
        <f t="shared" si="14"/>
        <v>1.6</v>
      </c>
      <c r="FJ31" s="102">
        <v>11996973</v>
      </c>
      <c r="FK31" s="102">
        <v>1041361</v>
      </c>
      <c r="FL31" s="102">
        <v>8342756</v>
      </c>
      <c r="FM31" s="102">
        <v>9716025</v>
      </c>
      <c r="FN31" s="428">
        <v>0.86299999999999999</v>
      </c>
      <c r="FO31" s="424">
        <v>100.6</v>
      </c>
      <c r="FP31" s="425">
        <v>22.6</v>
      </c>
      <c r="FQ31" s="424">
        <v>12.5</v>
      </c>
      <c r="FR31" s="424">
        <v>23.7</v>
      </c>
      <c r="FS31" s="425">
        <v>12.3</v>
      </c>
      <c r="FT31" s="424">
        <v>10.1</v>
      </c>
      <c r="FU31" s="425">
        <v>19.2</v>
      </c>
      <c r="FV31" s="384">
        <v>15.4</v>
      </c>
      <c r="FW31" s="102">
        <v>36656845</v>
      </c>
      <c r="FX31" s="384">
        <f t="shared" si="15"/>
        <v>281.10000000000002</v>
      </c>
      <c r="FY31" s="102">
        <v>5374124</v>
      </c>
      <c r="FZ31" s="102">
        <v>2831253</v>
      </c>
      <c r="GA31" s="102">
        <v>0</v>
      </c>
      <c r="GB31" s="102">
        <v>2542871</v>
      </c>
      <c r="GC31" s="107">
        <v>0</v>
      </c>
      <c r="GD31" s="427">
        <v>2388</v>
      </c>
      <c r="GE31" s="386">
        <f>IF(GD31=0,"-",ROUND(GD31/(GV31)*100,1))</f>
        <v>18.3</v>
      </c>
      <c r="GF31" s="424">
        <v>99.2</v>
      </c>
      <c r="GG31" s="424">
        <v>31.4</v>
      </c>
      <c r="GH31" s="424">
        <v>96.4</v>
      </c>
      <c r="GI31" s="102">
        <v>321</v>
      </c>
      <c r="GJ31" s="429" t="s">
        <v>646</v>
      </c>
      <c r="GK31" s="429">
        <v>12.94</v>
      </c>
      <c r="GL31" s="117">
        <v>20</v>
      </c>
      <c r="GM31" s="429" t="s">
        <v>646</v>
      </c>
      <c r="GN31" s="430">
        <v>17.940000000000001</v>
      </c>
      <c r="GO31" s="387">
        <v>30</v>
      </c>
      <c r="GP31" s="425">
        <v>15.6</v>
      </c>
      <c r="GQ31" s="388">
        <v>25</v>
      </c>
      <c r="GR31" s="388">
        <v>35</v>
      </c>
      <c r="GS31" s="431">
        <v>155.5</v>
      </c>
      <c r="GT31" s="388">
        <v>350</v>
      </c>
      <c r="GU31" s="394"/>
      <c r="GV31" s="100">
        <f t="shared" si="16"/>
        <v>13038</v>
      </c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</row>
    <row r="32" spans="2:230" x14ac:dyDescent="0.15">
      <c r="B32" s="89" t="s">
        <v>53</v>
      </c>
      <c r="C32" s="102">
        <v>7969925</v>
      </c>
      <c r="D32" s="73">
        <f t="shared" si="0"/>
        <v>3402475</v>
      </c>
      <c r="E32" s="102">
        <v>101476</v>
      </c>
      <c r="F32" s="102">
        <v>3300999</v>
      </c>
      <c r="G32" s="73">
        <f t="shared" si="1"/>
        <v>458540</v>
      </c>
      <c r="H32" s="102">
        <v>132678</v>
      </c>
      <c r="I32" s="102">
        <v>325862</v>
      </c>
      <c r="J32" s="102">
        <v>2943067</v>
      </c>
      <c r="K32" s="102">
        <v>1285824</v>
      </c>
      <c r="L32" s="102">
        <v>1369239</v>
      </c>
      <c r="M32" s="102">
        <v>255999</v>
      </c>
      <c r="N32" s="102">
        <v>382470</v>
      </c>
      <c r="O32" s="102">
        <v>692201</v>
      </c>
      <c r="P32" s="102">
        <v>389762</v>
      </c>
      <c r="Q32" s="102">
        <v>302439</v>
      </c>
      <c r="R32" s="102">
        <v>103283</v>
      </c>
      <c r="S32" s="74"/>
      <c r="T32" s="73">
        <f t="shared" si="2"/>
        <v>1317340</v>
      </c>
      <c r="U32" s="102">
        <v>22030</v>
      </c>
      <c r="V32" s="102">
        <v>62233</v>
      </c>
      <c r="W32" s="102">
        <v>62618</v>
      </c>
      <c r="X32" s="102">
        <v>1117894</v>
      </c>
      <c r="Y32" s="102">
        <v>0</v>
      </c>
      <c r="Z32" s="102">
        <v>0</v>
      </c>
      <c r="AA32" s="102">
        <v>52565</v>
      </c>
      <c r="AB32" s="102">
        <v>47424</v>
      </c>
      <c r="AC32" s="102">
        <v>4383107</v>
      </c>
      <c r="AD32" s="102">
        <v>4209057</v>
      </c>
      <c r="AE32" s="102">
        <v>174050</v>
      </c>
      <c r="AF32" s="102">
        <v>9072</v>
      </c>
      <c r="AG32" s="102">
        <v>131707</v>
      </c>
      <c r="AH32" s="73">
        <f t="shared" si="3"/>
        <v>451796</v>
      </c>
      <c r="AI32" s="102">
        <v>407794</v>
      </c>
      <c r="AJ32" s="102">
        <v>44002</v>
      </c>
      <c r="AK32" s="102">
        <v>4915297</v>
      </c>
      <c r="AL32" s="73">
        <f t="shared" si="4"/>
        <v>2927920</v>
      </c>
      <c r="AM32" s="102">
        <v>2021556</v>
      </c>
      <c r="AN32" s="102">
        <v>250282</v>
      </c>
      <c r="AO32" s="74"/>
      <c r="AP32" s="102">
        <v>656082</v>
      </c>
      <c r="AQ32" s="102">
        <v>373683</v>
      </c>
      <c r="AR32" s="102">
        <v>1883</v>
      </c>
      <c r="AS32" s="102">
        <v>0</v>
      </c>
      <c r="AT32" s="102">
        <v>1491652</v>
      </c>
      <c r="AU32" s="102">
        <v>1081503</v>
      </c>
      <c r="AV32" s="102">
        <v>176416</v>
      </c>
      <c r="AW32" s="102">
        <v>371</v>
      </c>
      <c r="AX32" s="102">
        <v>410149</v>
      </c>
      <c r="AY32" s="102">
        <v>0</v>
      </c>
      <c r="AZ32" s="102">
        <v>25740</v>
      </c>
      <c r="BA32" s="102">
        <v>9999</v>
      </c>
      <c r="BB32" s="102">
        <v>7749</v>
      </c>
      <c r="BC32" s="102">
        <v>261309</v>
      </c>
      <c r="BD32" s="102">
        <v>179000</v>
      </c>
      <c r="BE32" s="102">
        <v>62000</v>
      </c>
      <c r="BF32" s="102">
        <v>20309</v>
      </c>
      <c r="BG32" s="102">
        <v>0</v>
      </c>
      <c r="BH32" s="102">
        <v>124200</v>
      </c>
      <c r="BI32" s="102">
        <v>5540</v>
      </c>
      <c r="BJ32" s="102">
        <v>295734</v>
      </c>
      <c r="BK32" s="102">
        <v>0</v>
      </c>
      <c r="BL32" s="102">
        <v>0</v>
      </c>
      <c r="BM32" s="102">
        <v>0</v>
      </c>
      <c r="BN32" s="102">
        <v>3620400</v>
      </c>
      <c r="BO32" s="73">
        <f t="shared" si="5"/>
        <v>2690800</v>
      </c>
      <c r="BP32" s="73">
        <f t="shared" si="6"/>
        <v>929600</v>
      </c>
      <c r="BQ32" s="102">
        <v>0</v>
      </c>
      <c r="BR32" s="102">
        <v>0</v>
      </c>
      <c r="BS32" s="102">
        <v>929600</v>
      </c>
      <c r="BT32" s="102">
        <v>0</v>
      </c>
      <c r="BU32" s="102">
        <v>25155735</v>
      </c>
      <c r="BV32" s="71"/>
      <c r="BW32" s="102">
        <v>4232290</v>
      </c>
      <c r="BX32" s="102">
        <v>2717090</v>
      </c>
      <c r="BY32" s="102">
        <v>345460</v>
      </c>
      <c r="BZ32" s="102">
        <v>344225</v>
      </c>
      <c r="CA32" s="102">
        <v>7073606</v>
      </c>
      <c r="CB32" s="102">
        <v>1764184</v>
      </c>
      <c r="CC32" s="102">
        <v>132363</v>
      </c>
      <c r="CD32" s="102">
        <v>2617370</v>
      </c>
      <c r="CE32" s="102">
        <v>2487505</v>
      </c>
      <c r="CF32" s="102">
        <v>5428</v>
      </c>
      <c r="CG32" s="102">
        <v>66426</v>
      </c>
      <c r="CH32" s="102">
        <v>1307141</v>
      </c>
      <c r="CI32" s="102">
        <v>1171462</v>
      </c>
      <c r="CJ32" s="83">
        <f t="shared" si="17"/>
        <v>135679</v>
      </c>
      <c r="CK32" s="102">
        <v>2548870</v>
      </c>
      <c r="CL32" s="102">
        <v>1434518</v>
      </c>
      <c r="CM32" s="102">
        <v>319708</v>
      </c>
      <c r="CN32" s="102">
        <v>265285</v>
      </c>
      <c r="CO32" s="102">
        <v>129443</v>
      </c>
      <c r="CP32" s="102">
        <v>2714380</v>
      </c>
      <c r="CQ32" s="102">
        <v>1753431</v>
      </c>
      <c r="CR32" s="102">
        <v>306516</v>
      </c>
      <c r="CS32" s="102">
        <v>264133</v>
      </c>
      <c r="CT32" s="73">
        <f t="shared" si="7"/>
        <v>152944</v>
      </c>
      <c r="CU32" s="102">
        <v>60324</v>
      </c>
      <c r="CV32" s="102">
        <v>92620</v>
      </c>
      <c r="CW32" s="73">
        <f t="shared" si="8"/>
        <v>143988</v>
      </c>
      <c r="CX32" s="102">
        <v>54805</v>
      </c>
      <c r="CY32" s="102">
        <v>89183</v>
      </c>
      <c r="CZ32" s="73">
        <f t="shared" si="9"/>
        <v>0</v>
      </c>
      <c r="DA32" s="102">
        <v>0</v>
      </c>
      <c r="DB32" s="102">
        <v>0</v>
      </c>
      <c r="DC32" s="102">
        <v>3186406</v>
      </c>
      <c r="DD32" s="102">
        <v>1154084</v>
      </c>
      <c r="DE32" s="102">
        <v>2032322</v>
      </c>
      <c r="DF32" s="102">
        <v>0</v>
      </c>
      <c r="DG32" s="102">
        <v>0</v>
      </c>
      <c r="DH32" s="102">
        <v>2824</v>
      </c>
      <c r="DI32" s="102">
        <v>89932</v>
      </c>
      <c r="DJ32" s="102">
        <v>76605</v>
      </c>
      <c r="DK32" s="102">
        <v>104</v>
      </c>
      <c r="DL32" s="102">
        <v>13223</v>
      </c>
      <c r="DM32" s="102">
        <v>39100</v>
      </c>
      <c r="DN32" s="102">
        <v>39100</v>
      </c>
      <c r="DO32" s="102">
        <v>39100</v>
      </c>
      <c r="DP32" s="102">
        <v>0</v>
      </c>
      <c r="DQ32" s="102">
        <v>0</v>
      </c>
      <c r="DR32" s="102">
        <v>0</v>
      </c>
      <c r="DS32" s="102">
        <v>0</v>
      </c>
      <c r="DT32" s="102">
        <v>3627089</v>
      </c>
      <c r="DU32" s="102">
        <v>1161000</v>
      </c>
      <c r="DV32" s="73">
        <f t="shared" si="10"/>
        <v>0</v>
      </c>
      <c r="DW32" s="102">
        <v>0</v>
      </c>
      <c r="DX32" s="102">
        <v>848670</v>
      </c>
      <c r="DY32" s="102">
        <v>0</v>
      </c>
      <c r="DZ32" s="102">
        <v>768873</v>
      </c>
      <c r="EA32" s="74">
        <v>0</v>
      </c>
      <c r="EB32" s="102">
        <v>848545</v>
      </c>
      <c r="EC32" s="102">
        <v>0</v>
      </c>
      <c r="ED32" s="102">
        <v>24951081</v>
      </c>
      <c r="EE32" s="71"/>
      <c r="EF32" s="102">
        <v>204654</v>
      </c>
      <c r="EG32" s="102">
        <v>189019</v>
      </c>
      <c r="EH32" s="102">
        <v>15635</v>
      </c>
      <c r="EI32" s="102">
        <v>95</v>
      </c>
      <c r="EJ32" s="102">
        <v>-97123</v>
      </c>
      <c r="EK32" s="71"/>
      <c r="EL32" s="102">
        <v>65438</v>
      </c>
      <c r="EM32" s="102">
        <v>65311</v>
      </c>
      <c r="EN32" s="102">
        <v>241000</v>
      </c>
      <c r="EO32" s="102">
        <v>25495</v>
      </c>
      <c r="EP32" s="73">
        <f t="shared" si="11"/>
        <v>554796</v>
      </c>
      <c r="EQ32" s="102">
        <v>13830151</v>
      </c>
      <c r="ER32" s="71">
        <v>-1741819</v>
      </c>
      <c r="ES32" s="102">
        <v>3889315</v>
      </c>
      <c r="ET32" s="102">
        <v>2415191</v>
      </c>
      <c r="EU32" s="102">
        <v>2134882</v>
      </c>
      <c r="EV32" s="102">
        <v>1279683</v>
      </c>
      <c r="EW32" s="73">
        <f t="shared" si="12"/>
        <v>60703</v>
      </c>
      <c r="EX32" s="102">
        <v>60662</v>
      </c>
      <c r="EY32" s="102">
        <v>8609</v>
      </c>
      <c r="EZ32" s="102">
        <v>52053</v>
      </c>
      <c r="FA32" s="102">
        <v>41</v>
      </c>
      <c r="FB32" s="102">
        <v>0</v>
      </c>
      <c r="FC32" s="102">
        <v>2089660</v>
      </c>
      <c r="FD32" s="102">
        <v>2617151</v>
      </c>
      <c r="FE32" s="102">
        <v>1753186</v>
      </c>
      <c r="FF32" s="102">
        <v>3156500</v>
      </c>
      <c r="FG32" s="73">
        <f t="shared" si="13"/>
        <v>139422</v>
      </c>
      <c r="FH32" s="102">
        <v>15367316</v>
      </c>
      <c r="FI32" s="379">
        <f t="shared" si="14"/>
        <v>0.1</v>
      </c>
      <c r="FJ32" s="102">
        <v>12788368</v>
      </c>
      <c r="FK32" s="102">
        <v>929667</v>
      </c>
      <c r="FL32" s="102">
        <v>6690885</v>
      </c>
      <c r="FM32" s="102">
        <v>10909124</v>
      </c>
      <c r="FN32" s="428">
        <v>0.61899999999999999</v>
      </c>
      <c r="FO32" s="424">
        <v>103.2</v>
      </c>
      <c r="FP32" s="425">
        <v>27.8</v>
      </c>
      <c r="FQ32" s="424">
        <v>15.1</v>
      </c>
      <c r="FR32" s="424">
        <v>9.1</v>
      </c>
      <c r="FS32" s="425">
        <v>13.4</v>
      </c>
      <c r="FT32" s="424">
        <v>16.100000000000001</v>
      </c>
      <c r="FU32" s="425">
        <v>21</v>
      </c>
      <c r="FV32" s="384">
        <v>2.2999999999999998</v>
      </c>
      <c r="FW32" s="102">
        <v>18352735</v>
      </c>
      <c r="FX32" s="384">
        <f t="shared" si="15"/>
        <v>133.80000000000001</v>
      </c>
      <c r="FY32" s="102">
        <v>1868382</v>
      </c>
      <c r="FZ32" s="102">
        <v>1528175</v>
      </c>
      <c r="GA32" s="102">
        <v>1849</v>
      </c>
      <c r="GB32" s="102">
        <v>338358</v>
      </c>
      <c r="GC32" s="107">
        <v>0</v>
      </c>
      <c r="GD32" s="427"/>
      <c r="GE32" s="386"/>
      <c r="GF32" s="424">
        <v>98.7</v>
      </c>
      <c r="GG32" s="424">
        <v>36.299999999999997</v>
      </c>
      <c r="GH32" s="424">
        <v>96</v>
      </c>
      <c r="GI32" s="102">
        <v>460</v>
      </c>
      <c r="GJ32" s="429" t="s">
        <v>646</v>
      </c>
      <c r="GK32" s="429">
        <v>12.88</v>
      </c>
      <c r="GL32" s="117">
        <v>20</v>
      </c>
      <c r="GM32" s="429" t="s">
        <v>646</v>
      </c>
      <c r="GN32" s="430">
        <v>17.88</v>
      </c>
      <c r="GO32" s="387">
        <v>30</v>
      </c>
      <c r="GP32" s="425">
        <v>2.1</v>
      </c>
      <c r="GQ32" s="388">
        <v>25</v>
      </c>
      <c r="GR32" s="388">
        <v>35</v>
      </c>
      <c r="GS32" s="431">
        <v>44.5</v>
      </c>
      <c r="GT32" s="388">
        <v>350</v>
      </c>
      <c r="GU32" s="394"/>
      <c r="GV32" s="100">
        <f t="shared" si="16"/>
        <v>13718</v>
      </c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</row>
    <row r="33" spans="2:230" x14ac:dyDescent="0.15">
      <c r="B33" s="89" t="s">
        <v>55</v>
      </c>
      <c r="C33" s="102">
        <v>76241676</v>
      </c>
      <c r="D33" s="73">
        <f t="shared" si="0"/>
        <v>23960255</v>
      </c>
      <c r="E33" s="102">
        <v>757902</v>
      </c>
      <c r="F33" s="102">
        <v>23202353</v>
      </c>
      <c r="G33" s="73">
        <f t="shared" si="1"/>
        <v>6210763</v>
      </c>
      <c r="H33" s="102">
        <v>1553576</v>
      </c>
      <c r="I33" s="102">
        <v>4657187</v>
      </c>
      <c r="J33" s="102">
        <v>31930722</v>
      </c>
      <c r="K33" s="102">
        <v>15312875</v>
      </c>
      <c r="L33" s="102">
        <v>12925623</v>
      </c>
      <c r="M33" s="102">
        <v>3362768</v>
      </c>
      <c r="N33" s="102">
        <v>4453267</v>
      </c>
      <c r="O33" s="102">
        <v>6898559</v>
      </c>
      <c r="P33" s="102">
        <v>4049226</v>
      </c>
      <c r="Q33" s="102">
        <v>2849333</v>
      </c>
      <c r="R33" s="102">
        <v>748427</v>
      </c>
      <c r="S33" s="74"/>
      <c r="T33" s="73">
        <f t="shared" si="2"/>
        <v>10725625</v>
      </c>
      <c r="U33" s="102">
        <v>154413</v>
      </c>
      <c r="V33" s="102">
        <v>438133</v>
      </c>
      <c r="W33" s="102">
        <v>444086</v>
      </c>
      <c r="X33" s="102">
        <v>9307840</v>
      </c>
      <c r="Y33" s="102">
        <v>0</v>
      </c>
      <c r="Z33" s="102">
        <v>0</v>
      </c>
      <c r="AA33" s="102">
        <v>381153</v>
      </c>
      <c r="AB33" s="102">
        <v>360317</v>
      </c>
      <c r="AC33" s="102">
        <v>19312288</v>
      </c>
      <c r="AD33" s="102">
        <v>18711335</v>
      </c>
      <c r="AE33" s="102">
        <v>600934</v>
      </c>
      <c r="AF33" s="102">
        <v>71404</v>
      </c>
      <c r="AG33" s="102">
        <v>2469428</v>
      </c>
      <c r="AH33" s="73">
        <f t="shared" si="3"/>
        <v>2476543</v>
      </c>
      <c r="AI33" s="102">
        <v>2147378</v>
      </c>
      <c r="AJ33" s="102">
        <v>329165</v>
      </c>
      <c r="AK33" s="102">
        <v>49771805</v>
      </c>
      <c r="AL33" s="73">
        <f t="shared" si="4"/>
        <v>33806898</v>
      </c>
      <c r="AM33" s="102">
        <v>25841617</v>
      </c>
      <c r="AN33" s="102">
        <v>2123619</v>
      </c>
      <c r="AO33" s="74"/>
      <c r="AP33" s="102">
        <v>5841662</v>
      </c>
      <c r="AQ33" s="102">
        <v>425885</v>
      </c>
      <c r="AR33" s="102">
        <v>0</v>
      </c>
      <c r="AS33" s="102">
        <v>0</v>
      </c>
      <c r="AT33" s="102">
        <v>12975340</v>
      </c>
      <c r="AU33" s="102">
        <v>7909747</v>
      </c>
      <c r="AV33" s="102">
        <v>0</v>
      </c>
      <c r="AW33" s="102">
        <v>683719</v>
      </c>
      <c r="AX33" s="102">
        <v>5065593</v>
      </c>
      <c r="AY33" s="102">
        <v>31646</v>
      </c>
      <c r="AZ33" s="102">
        <v>1671217</v>
      </c>
      <c r="BA33" s="102">
        <v>1399363</v>
      </c>
      <c r="BB33" s="102">
        <v>129720</v>
      </c>
      <c r="BC33" s="102">
        <v>3326072</v>
      </c>
      <c r="BD33" s="102">
        <v>2500000</v>
      </c>
      <c r="BE33" s="102">
        <v>0</v>
      </c>
      <c r="BF33" s="102">
        <v>614187</v>
      </c>
      <c r="BG33" s="102">
        <v>0</v>
      </c>
      <c r="BH33" s="102">
        <v>1665571</v>
      </c>
      <c r="BI33" s="102">
        <v>1591197</v>
      </c>
      <c r="BJ33" s="102">
        <v>3461463</v>
      </c>
      <c r="BK33" s="102">
        <v>1745844</v>
      </c>
      <c r="BL33" s="102">
        <v>0</v>
      </c>
      <c r="BM33" s="102">
        <v>133308</v>
      </c>
      <c r="BN33" s="102">
        <v>15892300</v>
      </c>
      <c r="BO33" s="73">
        <f t="shared" si="5"/>
        <v>7322400</v>
      </c>
      <c r="BP33" s="73">
        <f t="shared" si="6"/>
        <v>8569900</v>
      </c>
      <c r="BQ33" s="102">
        <v>0</v>
      </c>
      <c r="BR33" s="102">
        <v>0</v>
      </c>
      <c r="BS33" s="102">
        <v>8569900</v>
      </c>
      <c r="BT33" s="102">
        <v>0</v>
      </c>
      <c r="BU33" s="102">
        <v>201299196</v>
      </c>
      <c r="BV33" s="71"/>
      <c r="BW33" s="102">
        <v>26853224</v>
      </c>
      <c r="BX33" s="102">
        <v>17833025</v>
      </c>
      <c r="BY33" s="102">
        <v>1636507</v>
      </c>
      <c r="BZ33" s="102">
        <v>2789503</v>
      </c>
      <c r="CA33" s="102">
        <v>75861953</v>
      </c>
      <c r="CB33" s="102">
        <v>15080993</v>
      </c>
      <c r="CC33" s="102">
        <v>1307286</v>
      </c>
      <c r="CD33" s="102">
        <v>21916378</v>
      </c>
      <c r="CE33" s="102">
        <v>34142651</v>
      </c>
      <c r="CF33" s="102">
        <v>1639681</v>
      </c>
      <c r="CG33" s="102">
        <v>1774784</v>
      </c>
      <c r="CH33" s="102">
        <v>16289757</v>
      </c>
      <c r="CI33" s="102">
        <v>15069100</v>
      </c>
      <c r="CJ33" s="83">
        <f t="shared" si="17"/>
        <v>1220657</v>
      </c>
      <c r="CK33" s="102">
        <v>16434776</v>
      </c>
      <c r="CL33" s="102">
        <v>11647144</v>
      </c>
      <c r="CM33" s="102">
        <v>275625</v>
      </c>
      <c r="CN33" s="102">
        <v>2098615</v>
      </c>
      <c r="CO33" s="102">
        <v>1512892</v>
      </c>
      <c r="CP33" s="102">
        <v>17792575</v>
      </c>
      <c r="CQ33" s="102">
        <v>1732463</v>
      </c>
      <c r="CR33" s="102">
        <v>4408221</v>
      </c>
      <c r="CS33" s="102">
        <v>3210488</v>
      </c>
      <c r="CT33" s="73">
        <f t="shared" si="7"/>
        <v>8102454</v>
      </c>
      <c r="CU33" s="102">
        <v>7731774</v>
      </c>
      <c r="CV33" s="102">
        <v>370680</v>
      </c>
      <c r="CW33" s="73">
        <f t="shared" si="8"/>
        <v>0</v>
      </c>
      <c r="CX33" s="102">
        <v>0</v>
      </c>
      <c r="CY33" s="102">
        <v>0</v>
      </c>
      <c r="CZ33" s="73">
        <f t="shared" si="9"/>
        <v>7993577</v>
      </c>
      <c r="DA33" s="102">
        <v>7630500</v>
      </c>
      <c r="DB33" s="102">
        <v>363077</v>
      </c>
      <c r="DC33" s="102">
        <v>17559682</v>
      </c>
      <c r="DD33" s="102">
        <v>7235713</v>
      </c>
      <c r="DE33" s="102">
        <v>10143571</v>
      </c>
      <c r="DF33" s="102">
        <v>149325</v>
      </c>
      <c r="DG33" s="102">
        <v>31073</v>
      </c>
      <c r="DH33" s="102">
        <v>0</v>
      </c>
      <c r="DI33" s="102">
        <v>3866532</v>
      </c>
      <c r="DJ33" s="102">
        <v>2082352</v>
      </c>
      <c r="DK33" s="102">
        <v>7300</v>
      </c>
      <c r="DL33" s="102">
        <v>1776880</v>
      </c>
      <c r="DM33" s="102">
        <v>1661700</v>
      </c>
      <c r="DN33" s="102">
        <v>1545000</v>
      </c>
      <c r="DO33" s="102">
        <v>0</v>
      </c>
      <c r="DP33" s="102">
        <v>0</v>
      </c>
      <c r="DQ33" s="102">
        <v>2674248</v>
      </c>
      <c r="DR33" s="102">
        <v>0</v>
      </c>
      <c r="DS33" s="102">
        <v>0</v>
      </c>
      <c r="DT33" s="102">
        <v>18641511</v>
      </c>
      <c r="DU33" s="102">
        <v>0</v>
      </c>
      <c r="DV33" s="73">
        <f t="shared" si="10"/>
        <v>0</v>
      </c>
      <c r="DW33" s="102">
        <v>0</v>
      </c>
      <c r="DX33" s="102">
        <v>6220457</v>
      </c>
      <c r="DY33" s="102">
        <v>0</v>
      </c>
      <c r="DZ33" s="102">
        <v>6132578</v>
      </c>
      <c r="EA33" s="74">
        <v>0</v>
      </c>
      <c r="EB33" s="102">
        <v>6276172</v>
      </c>
      <c r="EC33" s="102">
        <v>0</v>
      </c>
      <c r="ED33" s="102">
        <v>199148850</v>
      </c>
      <c r="EE33" s="71"/>
      <c r="EF33" s="102">
        <v>2150346</v>
      </c>
      <c r="EG33" s="102">
        <v>145767</v>
      </c>
      <c r="EH33" s="102">
        <v>2004579</v>
      </c>
      <c r="EI33" s="102">
        <v>413382</v>
      </c>
      <c r="EJ33" s="102">
        <v>-4210</v>
      </c>
      <c r="EK33" s="71"/>
      <c r="EL33" s="102">
        <v>502784</v>
      </c>
      <c r="EM33" s="102">
        <v>491939</v>
      </c>
      <c r="EN33" s="102">
        <v>2500085</v>
      </c>
      <c r="EO33" s="102">
        <v>453223</v>
      </c>
      <c r="EP33" s="73">
        <f t="shared" si="11"/>
        <v>3381014</v>
      </c>
      <c r="EQ33" s="102">
        <v>107459737</v>
      </c>
      <c r="ER33" s="71">
        <v>-14832818</v>
      </c>
      <c r="ES33" s="102">
        <v>25274608</v>
      </c>
      <c r="ET33" s="102">
        <v>16514551</v>
      </c>
      <c r="EU33" s="102">
        <v>21355425</v>
      </c>
      <c r="EV33" s="102">
        <v>16289757</v>
      </c>
      <c r="EW33" s="73">
        <f t="shared" si="12"/>
        <v>6102866</v>
      </c>
      <c r="EX33" s="102">
        <v>6102866</v>
      </c>
      <c r="EY33" s="102">
        <v>159028</v>
      </c>
      <c r="EZ33" s="102">
        <v>5927806</v>
      </c>
      <c r="FA33" s="102">
        <v>0</v>
      </c>
      <c r="FB33" s="102">
        <v>0</v>
      </c>
      <c r="FC33" s="102">
        <v>13786779</v>
      </c>
      <c r="FD33" s="102">
        <v>16774845</v>
      </c>
      <c r="FE33" s="102">
        <v>1732463</v>
      </c>
      <c r="FF33" s="102">
        <v>14780077</v>
      </c>
      <c r="FG33" s="73">
        <f t="shared" si="13"/>
        <v>5777852</v>
      </c>
      <c r="FH33" s="102">
        <v>120142209</v>
      </c>
      <c r="FI33" s="379">
        <f t="shared" si="14"/>
        <v>1.9</v>
      </c>
      <c r="FJ33" s="102">
        <v>98511851</v>
      </c>
      <c r="FK33" s="102">
        <v>8569959</v>
      </c>
      <c r="FL33" s="102">
        <v>62002162</v>
      </c>
      <c r="FM33" s="102">
        <v>80777221</v>
      </c>
      <c r="FN33" s="428">
        <v>0.75900000000000001</v>
      </c>
      <c r="FO33" s="424">
        <v>95</v>
      </c>
      <c r="FP33" s="425">
        <v>23</v>
      </c>
      <c r="FQ33" s="424">
        <v>19.5</v>
      </c>
      <c r="FR33" s="424">
        <v>14.9</v>
      </c>
      <c r="FS33" s="425">
        <v>11.6</v>
      </c>
      <c r="FT33" s="424">
        <v>13.2</v>
      </c>
      <c r="FU33" s="425">
        <v>11.6</v>
      </c>
      <c r="FV33" s="384">
        <v>4.7</v>
      </c>
      <c r="FW33" s="102">
        <v>190510688</v>
      </c>
      <c r="FX33" s="384">
        <f t="shared" si="15"/>
        <v>177.9</v>
      </c>
      <c r="FY33" s="102">
        <v>22826884</v>
      </c>
      <c r="FZ33" s="102">
        <v>15201220</v>
      </c>
      <c r="GA33" s="102">
        <v>4017000</v>
      </c>
      <c r="GB33" s="102">
        <v>3608664</v>
      </c>
      <c r="GC33" s="107">
        <v>0</v>
      </c>
      <c r="GD33" s="427"/>
      <c r="GE33" s="386"/>
      <c r="GF33" s="424">
        <v>99.4</v>
      </c>
      <c r="GG33" s="424">
        <v>46.1</v>
      </c>
      <c r="GH33" s="424">
        <v>98.4</v>
      </c>
      <c r="GI33" s="102">
        <v>2703</v>
      </c>
      <c r="GJ33" s="429" t="s">
        <v>646</v>
      </c>
      <c r="GK33" s="429">
        <v>11.25</v>
      </c>
      <c r="GL33" s="117">
        <v>20</v>
      </c>
      <c r="GM33" s="429" t="s">
        <v>646</v>
      </c>
      <c r="GN33" s="430">
        <v>16.25</v>
      </c>
      <c r="GO33" s="387">
        <v>30</v>
      </c>
      <c r="GP33" s="425">
        <v>4.4000000000000004</v>
      </c>
      <c r="GQ33" s="388">
        <v>25</v>
      </c>
      <c r="GR33" s="388">
        <v>35</v>
      </c>
      <c r="GS33" s="431">
        <v>8.6999999999999993</v>
      </c>
      <c r="GT33" s="388">
        <v>350</v>
      </c>
      <c r="GU33" s="394"/>
      <c r="GV33" s="100">
        <f t="shared" si="16"/>
        <v>107082</v>
      </c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</row>
    <row r="34" spans="2:230" x14ac:dyDescent="0.15">
      <c r="B34" s="89" t="s">
        <v>57</v>
      </c>
      <c r="C34" s="102">
        <v>9072918</v>
      </c>
      <c r="D34" s="73">
        <f t="shared" si="0"/>
        <v>2384074</v>
      </c>
      <c r="E34" s="102">
        <v>91146</v>
      </c>
      <c r="F34" s="102">
        <v>2292928</v>
      </c>
      <c r="G34" s="73">
        <f t="shared" si="1"/>
        <v>521470</v>
      </c>
      <c r="H34" s="102">
        <v>191286</v>
      </c>
      <c r="I34" s="102">
        <v>330184</v>
      </c>
      <c r="J34" s="102">
        <v>4837615</v>
      </c>
      <c r="K34" s="102">
        <v>1961068</v>
      </c>
      <c r="L34" s="102">
        <v>1697912</v>
      </c>
      <c r="M34" s="102">
        <v>1054192</v>
      </c>
      <c r="N34" s="102">
        <v>458821</v>
      </c>
      <c r="O34" s="102">
        <v>720788</v>
      </c>
      <c r="P34" s="102">
        <v>382683</v>
      </c>
      <c r="Q34" s="102">
        <v>338105</v>
      </c>
      <c r="R34" s="102">
        <v>157436</v>
      </c>
      <c r="S34" s="74"/>
      <c r="T34" s="73">
        <f t="shared" si="2"/>
        <v>1305022</v>
      </c>
      <c r="U34" s="102">
        <v>15342</v>
      </c>
      <c r="V34" s="102">
        <v>43512</v>
      </c>
      <c r="W34" s="102">
        <v>44066</v>
      </c>
      <c r="X34" s="102">
        <v>1093957</v>
      </c>
      <c r="Y34" s="102">
        <v>46744</v>
      </c>
      <c r="Z34" s="102">
        <v>0</v>
      </c>
      <c r="AA34" s="102">
        <v>61401</v>
      </c>
      <c r="AB34" s="102">
        <v>35918</v>
      </c>
      <c r="AC34" s="102">
        <v>2680617</v>
      </c>
      <c r="AD34" s="102">
        <v>2295950</v>
      </c>
      <c r="AE34" s="102">
        <v>384667</v>
      </c>
      <c r="AF34" s="102">
        <v>9854</v>
      </c>
      <c r="AG34" s="102">
        <v>201324</v>
      </c>
      <c r="AH34" s="73">
        <f t="shared" si="3"/>
        <v>354261</v>
      </c>
      <c r="AI34" s="102">
        <v>217528</v>
      </c>
      <c r="AJ34" s="102">
        <v>136733</v>
      </c>
      <c r="AK34" s="102">
        <v>4409052</v>
      </c>
      <c r="AL34" s="73">
        <f t="shared" si="4"/>
        <v>2258488</v>
      </c>
      <c r="AM34" s="102">
        <v>1403173</v>
      </c>
      <c r="AN34" s="102">
        <v>210135</v>
      </c>
      <c r="AO34" s="74"/>
      <c r="AP34" s="102">
        <v>645180</v>
      </c>
      <c r="AQ34" s="102">
        <v>314979</v>
      </c>
      <c r="AR34" s="102">
        <v>1079</v>
      </c>
      <c r="AS34" s="102">
        <v>0</v>
      </c>
      <c r="AT34" s="102">
        <v>1850842</v>
      </c>
      <c r="AU34" s="102">
        <v>1046466</v>
      </c>
      <c r="AV34" s="102">
        <v>103332</v>
      </c>
      <c r="AW34" s="102">
        <v>82736</v>
      </c>
      <c r="AX34" s="102">
        <v>804376</v>
      </c>
      <c r="AY34" s="102">
        <v>7148</v>
      </c>
      <c r="AZ34" s="102">
        <v>44101</v>
      </c>
      <c r="BA34" s="102">
        <v>28359</v>
      </c>
      <c r="BB34" s="102">
        <v>144283</v>
      </c>
      <c r="BC34" s="102">
        <v>404580</v>
      </c>
      <c r="BD34" s="102">
        <v>0</v>
      </c>
      <c r="BE34" s="102">
        <v>168000</v>
      </c>
      <c r="BF34" s="102">
        <v>226943</v>
      </c>
      <c r="BG34" s="102">
        <v>0</v>
      </c>
      <c r="BH34" s="102">
        <v>17074</v>
      </c>
      <c r="BI34" s="102">
        <v>3370</v>
      </c>
      <c r="BJ34" s="102">
        <v>354925</v>
      </c>
      <c r="BK34" s="102">
        <v>0</v>
      </c>
      <c r="BL34" s="102">
        <v>0</v>
      </c>
      <c r="BM34" s="102">
        <v>0</v>
      </c>
      <c r="BN34" s="102">
        <v>2503159</v>
      </c>
      <c r="BO34" s="73">
        <f t="shared" si="5"/>
        <v>1400100</v>
      </c>
      <c r="BP34" s="73">
        <f t="shared" si="6"/>
        <v>1015059</v>
      </c>
      <c r="BQ34" s="102">
        <v>0</v>
      </c>
      <c r="BR34" s="102">
        <v>0</v>
      </c>
      <c r="BS34" s="102">
        <v>1015059</v>
      </c>
      <c r="BT34" s="102">
        <v>88000</v>
      </c>
      <c r="BU34" s="102">
        <v>23545366</v>
      </c>
      <c r="BV34" s="71"/>
      <c r="BW34" s="102">
        <v>3911207</v>
      </c>
      <c r="BX34" s="102">
        <v>2679752</v>
      </c>
      <c r="BY34" s="102">
        <v>395929</v>
      </c>
      <c r="BZ34" s="102">
        <v>54499</v>
      </c>
      <c r="CA34" s="102">
        <v>6685413</v>
      </c>
      <c r="CB34" s="102">
        <v>1712593</v>
      </c>
      <c r="CC34" s="102">
        <v>134444</v>
      </c>
      <c r="CD34" s="102">
        <v>2812170</v>
      </c>
      <c r="CE34" s="102">
        <v>1892598</v>
      </c>
      <c r="CF34" s="102">
        <v>720</v>
      </c>
      <c r="CG34" s="102">
        <v>132858</v>
      </c>
      <c r="CH34" s="102">
        <v>2658219</v>
      </c>
      <c r="CI34" s="102">
        <v>2321709</v>
      </c>
      <c r="CJ34" s="83">
        <f t="shared" si="17"/>
        <v>336510</v>
      </c>
      <c r="CK34" s="102">
        <v>2427260</v>
      </c>
      <c r="CL34" s="102">
        <v>1551833</v>
      </c>
      <c r="CM34" s="102">
        <v>178951</v>
      </c>
      <c r="CN34" s="102">
        <v>401040</v>
      </c>
      <c r="CO34" s="102">
        <v>141897</v>
      </c>
      <c r="CP34" s="102">
        <v>2220024</v>
      </c>
      <c r="CQ34" s="102">
        <v>1362124</v>
      </c>
      <c r="CR34" s="102">
        <v>370518</v>
      </c>
      <c r="CS34" s="102">
        <v>284388</v>
      </c>
      <c r="CT34" s="73">
        <f t="shared" si="7"/>
        <v>5173</v>
      </c>
      <c r="CU34" s="102">
        <v>1500</v>
      </c>
      <c r="CV34" s="102">
        <v>3673</v>
      </c>
      <c r="CW34" s="73">
        <f t="shared" si="8"/>
        <v>0</v>
      </c>
      <c r="CX34" s="102">
        <v>0</v>
      </c>
      <c r="CY34" s="102">
        <v>0</v>
      </c>
      <c r="CZ34" s="73">
        <f t="shared" si="9"/>
        <v>0</v>
      </c>
      <c r="DA34" s="102">
        <v>0</v>
      </c>
      <c r="DB34" s="102">
        <v>0</v>
      </c>
      <c r="DC34" s="102">
        <v>2180569</v>
      </c>
      <c r="DD34" s="102">
        <v>1106371</v>
      </c>
      <c r="DE34" s="102">
        <v>1033900</v>
      </c>
      <c r="DF34" s="102">
        <v>40298</v>
      </c>
      <c r="DG34" s="102">
        <v>0</v>
      </c>
      <c r="DH34" s="102">
        <v>10412</v>
      </c>
      <c r="DI34" s="102">
        <v>206200</v>
      </c>
      <c r="DJ34" s="102">
        <v>1689</v>
      </c>
      <c r="DK34" s="102">
        <v>25680</v>
      </c>
      <c r="DL34" s="102">
        <v>178831</v>
      </c>
      <c r="DM34" s="102">
        <v>2777</v>
      </c>
      <c r="DN34" s="102">
        <v>2777</v>
      </c>
      <c r="DO34" s="102">
        <v>2777</v>
      </c>
      <c r="DP34" s="102">
        <v>0</v>
      </c>
      <c r="DQ34" s="102">
        <v>0</v>
      </c>
      <c r="DR34" s="102">
        <v>0</v>
      </c>
      <c r="DS34" s="102">
        <v>0</v>
      </c>
      <c r="DT34" s="102">
        <v>3084650</v>
      </c>
      <c r="DU34" s="102">
        <v>704973</v>
      </c>
      <c r="DV34" s="73">
        <f t="shared" si="10"/>
        <v>0</v>
      </c>
      <c r="DW34" s="102">
        <v>0</v>
      </c>
      <c r="DX34" s="102">
        <v>835018</v>
      </c>
      <c r="DY34" s="102">
        <v>0</v>
      </c>
      <c r="DZ34" s="102">
        <v>806159</v>
      </c>
      <c r="EA34" s="74">
        <v>0</v>
      </c>
      <c r="EB34" s="102">
        <v>738500</v>
      </c>
      <c r="EC34" s="102">
        <v>0</v>
      </c>
      <c r="ED34" s="102">
        <v>23528628</v>
      </c>
      <c r="EE34" s="71"/>
      <c r="EF34" s="102">
        <v>16738</v>
      </c>
      <c r="EG34" s="102">
        <v>6875</v>
      </c>
      <c r="EH34" s="102">
        <v>9863</v>
      </c>
      <c r="EI34" s="102">
        <v>6493</v>
      </c>
      <c r="EJ34" s="102">
        <v>8182</v>
      </c>
      <c r="EK34" s="71"/>
      <c r="EL34" s="102">
        <v>62438</v>
      </c>
      <c r="EM34" s="102">
        <v>62796</v>
      </c>
      <c r="EN34" s="102">
        <v>168000</v>
      </c>
      <c r="EO34" s="102">
        <v>42256</v>
      </c>
      <c r="EP34" s="73">
        <f t="shared" si="11"/>
        <v>156486</v>
      </c>
      <c r="EQ34" s="102">
        <v>13261765</v>
      </c>
      <c r="ER34" s="71">
        <v>-1371947</v>
      </c>
      <c r="ES34" s="102">
        <v>3393491</v>
      </c>
      <c r="ET34" s="102">
        <v>2269810</v>
      </c>
      <c r="EU34" s="102">
        <v>1930244</v>
      </c>
      <c r="EV34" s="102">
        <v>2658219</v>
      </c>
      <c r="EW34" s="73">
        <f t="shared" si="12"/>
        <v>61692</v>
      </c>
      <c r="EX34" s="102">
        <v>61496</v>
      </c>
      <c r="EY34" s="102">
        <v>1743</v>
      </c>
      <c r="EZ34" s="102">
        <v>59710</v>
      </c>
      <c r="FA34" s="102">
        <v>196</v>
      </c>
      <c r="FB34" s="102">
        <v>0</v>
      </c>
      <c r="FC34" s="102">
        <v>1837782</v>
      </c>
      <c r="FD34" s="102">
        <v>2062952</v>
      </c>
      <c r="FE34" s="102">
        <v>1359892</v>
      </c>
      <c r="FF34" s="102">
        <v>2521192</v>
      </c>
      <c r="FG34" s="73">
        <f t="shared" si="13"/>
        <v>151402</v>
      </c>
      <c r="FH34" s="102">
        <v>14616974</v>
      </c>
      <c r="FI34" s="379">
        <f t="shared" si="14"/>
        <v>0.1</v>
      </c>
      <c r="FJ34" s="102">
        <v>11875701</v>
      </c>
      <c r="FK34" s="102">
        <v>1015059</v>
      </c>
      <c r="FL34" s="102">
        <v>7480262</v>
      </c>
      <c r="FM34" s="102">
        <v>9993091</v>
      </c>
      <c r="FN34" s="428">
        <v>0.754</v>
      </c>
      <c r="FO34" s="424">
        <v>102.1</v>
      </c>
      <c r="FP34" s="425">
        <v>25.2</v>
      </c>
      <c r="FQ34" s="424">
        <v>14.6</v>
      </c>
      <c r="FR34" s="424">
        <v>20</v>
      </c>
      <c r="FS34" s="425">
        <v>12.2</v>
      </c>
      <c r="FT34" s="424">
        <v>12.4</v>
      </c>
      <c r="FU34" s="425">
        <v>16.8</v>
      </c>
      <c r="FV34" s="384">
        <v>12.2</v>
      </c>
      <c r="FW34" s="102">
        <v>28481564</v>
      </c>
      <c r="FX34" s="384">
        <f t="shared" si="15"/>
        <v>220.9</v>
      </c>
      <c r="FY34" s="102">
        <v>3346594</v>
      </c>
      <c r="FZ34" s="102">
        <v>556092</v>
      </c>
      <c r="GA34" s="102">
        <v>1221775</v>
      </c>
      <c r="GB34" s="102">
        <v>1568727</v>
      </c>
      <c r="GC34" s="107">
        <v>0</v>
      </c>
      <c r="GD34" s="427"/>
      <c r="GE34" s="386"/>
      <c r="GF34" s="424">
        <v>98.9</v>
      </c>
      <c r="GG34" s="424">
        <v>31.3</v>
      </c>
      <c r="GH34" s="424">
        <v>95.8</v>
      </c>
      <c r="GI34" s="102">
        <v>370</v>
      </c>
      <c r="GJ34" s="429" t="s">
        <v>646</v>
      </c>
      <c r="GK34" s="429">
        <v>12.96</v>
      </c>
      <c r="GL34" s="117">
        <v>20</v>
      </c>
      <c r="GM34" s="429" t="s">
        <v>646</v>
      </c>
      <c r="GN34" s="430">
        <v>17.96</v>
      </c>
      <c r="GO34" s="387">
        <v>30</v>
      </c>
      <c r="GP34" s="425">
        <v>12</v>
      </c>
      <c r="GQ34" s="388">
        <v>25</v>
      </c>
      <c r="GR34" s="388">
        <v>35</v>
      </c>
      <c r="GS34" s="431">
        <v>104.9</v>
      </c>
      <c r="GT34" s="388">
        <v>350</v>
      </c>
      <c r="GU34" s="394"/>
      <c r="GV34" s="100">
        <f t="shared" si="16"/>
        <v>12891</v>
      </c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</row>
    <row r="35" spans="2:230" x14ac:dyDescent="0.15">
      <c r="B35" s="89" t="s">
        <v>59</v>
      </c>
      <c r="C35" s="102">
        <v>6889379</v>
      </c>
      <c r="D35" s="73">
        <f t="shared" si="0"/>
        <v>2780072</v>
      </c>
      <c r="E35" s="102">
        <v>86516</v>
      </c>
      <c r="F35" s="102">
        <v>2693556</v>
      </c>
      <c r="G35" s="73">
        <f t="shared" si="1"/>
        <v>333371</v>
      </c>
      <c r="H35" s="102">
        <v>142920</v>
      </c>
      <c r="I35" s="102">
        <v>190451</v>
      </c>
      <c r="J35" s="102">
        <v>2768284</v>
      </c>
      <c r="K35" s="102">
        <v>1143587</v>
      </c>
      <c r="L35" s="102">
        <v>1317554</v>
      </c>
      <c r="M35" s="102">
        <v>293320</v>
      </c>
      <c r="N35" s="102">
        <v>343513</v>
      </c>
      <c r="O35" s="102">
        <v>582749</v>
      </c>
      <c r="P35" s="102">
        <v>310158</v>
      </c>
      <c r="Q35" s="102">
        <v>272591</v>
      </c>
      <c r="R35" s="102">
        <v>96454</v>
      </c>
      <c r="S35" s="74"/>
      <c r="T35" s="73">
        <f t="shared" si="2"/>
        <v>1100487</v>
      </c>
      <c r="U35" s="102">
        <v>18133</v>
      </c>
      <c r="V35" s="102">
        <v>51423</v>
      </c>
      <c r="W35" s="102">
        <v>52076</v>
      </c>
      <c r="X35" s="102">
        <v>901814</v>
      </c>
      <c r="Y35" s="102">
        <v>27918</v>
      </c>
      <c r="Z35" s="102">
        <v>0</v>
      </c>
      <c r="AA35" s="102">
        <v>49123</v>
      </c>
      <c r="AB35" s="102">
        <v>38831</v>
      </c>
      <c r="AC35" s="102">
        <v>3780953</v>
      </c>
      <c r="AD35" s="102">
        <v>3436016</v>
      </c>
      <c r="AE35" s="102">
        <v>344937</v>
      </c>
      <c r="AF35" s="102">
        <v>7188</v>
      </c>
      <c r="AG35" s="102">
        <v>216686</v>
      </c>
      <c r="AH35" s="73">
        <f t="shared" si="3"/>
        <v>263030</v>
      </c>
      <c r="AI35" s="102">
        <v>196005</v>
      </c>
      <c r="AJ35" s="102">
        <v>67025</v>
      </c>
      <c r="AK35" s="102">
        <v>3741729</v>
      </c>
      <c r="AL35" s="73">
        <f t="shared" si="4"/>
        <v>2207505</v>
      </c>
      <c r="AM35" s="102">
        <v>1132460</v>
      </c>
      <c r="AN35" s="102">
        <v>530767</v>
      </c>
      <c r="AO35" s="74"/>
      <c r="AP35" s="102">
        <v>544278</v>
      </c>
      <c r="AQ35" s="102">
        <v>362356</v>
      </c>
      <c r="AR35" s="102">
        <v>0</v>
      </c>
      <c r="AS35" s="102">
        <v>0</v>
      </c>
      <c r="AT35" s="102">
        <v>1635727</v>
      </c>
      <c r="AU35" s="102">
        <v>1048044</v>
      </c>
      <c r="AV35" s="102">
        <v>289425</v>
      </c>
      <c r="AW35" s="102">
        <v>19621</v>
      </c>
      <c r="AX35" s="102">
        <v>587683</v>
      </c>
      <c r="AY35" s="102">
        <v>90</v>
      </c>
      <c r="AZ35" s="102">
        <v>31840</v>
      </c>
      <c r="BA35" s="102">
        <v>5281</v>
      </c>
      <c r="BB35" s="102">
        <v>5856</v>
      </c>
      <c r="BC35" s="102">
        <v>571119</v>
      </c>
      <c r="BD35" s="102">
        <v>500000</v>
      </c>
      <c r="BE35" s="102">
        <v>0</v>
      </c>
      <c r="BF35" s="102">
        <v>71119</v>
      </c>
      <c r="BG35" s="102">
        <v>0</v>
      </c>
      <c r="BH35" s="102">
        <v>441534</v>
      </c>
      <c r="BI35" s="102">
        <v>440293</v>
      </c>
      <c r="BJ35" s="102">
        <v>209526</v>
      </c>
      <c r="BK35" s="102">
        <v>0</v>
      </c>
      <c r="BL35" s="102">
        <v>1379</v>
      </c>
      <c r="BM35" s="102">
        <v>0</v>
      </c>
      <c r="BN35" s="102">
        <v>1713700</v>
      </c>
      <c r="BO35" s="73">
        <f t="shared" si="5"/>
        <v>990500</v>
      </c>
      <c r="BP35" s="73">
        <f t="shared" si="6"/>
        <v>723200</v>
      </c>
      <c r="BQ35" s="102">
        <v>0</v>
      </c>
      <c r="BR35" s="102">
        <v>0</v>
      </c>
      <c r="BS35" s="102">
        <v>723200</v>
      </c>
      <c r="BT35" s="102">
        <v>0</v>
      </c>
      <c r="BU35" s="102">
        <v>20744039</v>
      </c>
      <c r="BV35" s="71"/>
      <c r="BW35" s="102">
        <v>2843901</v>
      </c>
      <c r="BX35" s="102">
        <v>1908694</v>
      </c>
      <c r="BY35" s="102">
        <v>103550</v>
      </c>
      <c r="BZ35" s="102">
        <v>263119</v>
      </c>
      <c r="CA35" s="102">
        <v>6033065</v>
      </c>
      <c r="CB35" s="102">
        <v>1464270</v>
      </c>
      <c r="CC35" s="102">
        <v>103698</v>
      </c>
      <c r="CD35" s="102">
        <v>2778091</v>
      </c>
      <c r="CE35" s="102">
        <v>1466031</v>
      </c>
      <c r="CF35" s="102">
        <v>3390</v>
      </c>
      <c r="CG35" s="102">
        <v>217585</v>
      </c>
      <c r="CH35" s="102">
        <v>1776193</v>
      </c>
      <c r="CI35" s="102">
        <v>1617018</v>
      </c>
      <c r="CJ35" s="83">
        <f t="shared" si="17"/>
        <v>159175</v>
      </c>
      <c r="CK35" s="102">
        <v>2264097</v>
      </c>
      <c r="CL35" s="102">
        <v>1619221</v>
      </c>
      <c r="CM35" s="102">
        <v>86872</v>
      </c>
      <c r="CN35" s="102">
        <v>235084</v>
      </c>
      <c r="CO35" s="102">
        <v>44011</v>
      </c>
      <c r="CP35" s="102">
        <v>2787561</v>
      </c>
      <c r="CQ35" s="102">
        <v>1334208</v>
      </c>
      <c r="CR35" s="102">
        <v>331484</v>
      </c>
      <c r="CS35" s="102">
        <v>220927</v>
      </c>
      <c r="CT35" s="73">
        <f t="shared" si="7"/>
        <v>789235</v>
      </c>
      <c r="CU35" s="102">
        <v>528656</v>
      </c>
      <c r="CV35" s="102">
        <v>260579</v>
      </c>
      <c r="CW35" s="73">
        <f t="shared" si="8"/>
        <v>0</v>
      </c>
      <c r="CX35" s="102">
        <v>0</v>
      </c>
      <c r="CY35" s="102">
        <v>0</v>
      </c>
      <c r="CZ35" s="73">
        <f t="shared" si="9"/>
        <v>778076</v>
      </c>
      <c r="DA35" s="102">
        <v>518982</v>
      </c>
      <c r="DB35" s="102">
        <v>259094</v>
      </c>
      <c r="DC35" s="102">
        <v>1912683</v>
      </c>
      <c r="DD35" s="102">
        <v>918949</v>
      </c>
      <c r="DE35" s="102">
        <v>993734</v>
      </c>
      <c r="DF35" s="102">
        <v>0</v>
      </c>
      <c r="DG35" s="102">
        <v>0</v>
      </c>
      <c r="DH35" s="102">
        <v>400</v>
      </c>
      <c r="DI35" s="102">
        <v>532773</v>
      </c>
      <c r="DJ35" s="102">
        <v>221424</v>
      </c>
      <c r="DK35" s="102">
        <v>11</v>
      </c>
      <c r="DL35" s="102">
        <v>311338</v>
      </c>
      <c r="DM35" s="102">
        <v>170000</v>
      </c>
      <c r="DN35" s="102">
        <v>170000</v>
      </c>
      <c r="DO35" s="102">
        <v>0</v>
      </c>
      <c r="DP35" s="102">
        <v>0</v>
      </c>
      <c r="DQ35" s="102">
        <v>0</v>
      </c>
      <c r="DR35" s="102">
        <v>0</v>
      </c>
      <c r="DS35" s="102">
        <v>0</v>
      </c>
      <c r="DT35" s="102">
        <v>1980375</v>
      </c>
      <c r="DU35" s="102">
        <v>0</v>
      </c>
      <c r="DV35" s="73">
        <f t="shared" si="10"/>
        <v>0</v>
      </c>
      <c r="DW35" s="102">
        <v>0</v>
      </c>
      <c r="DX35" s="102">
        <v>641610</v>
      </c>
      <c r="DY35" s="102">
        <v>0</v>
      </c>
      <c r="DZ35" s="102">
        <v>658204</v>
      </c>
      <c r="EA35" s="74">
        <v>0</v>
      </c>
      <c r="EB35" s="102">
        <v>680561</v>
      </c>
      <c r="EC35" s="102">
        <v>0</v>
      </c>
      <c r="ED35" s="102">
        <v>20345059</v>
      </c>
      <c r="EE35" s="71"/>
      <c r="EF35" s="102">
        <v>398980</v>
      </c>
      <c r="EG35" s="102">
        <v>24734</v>
      </c>
      <c r="EH35" s="102">
        <v>374246</v>
      </c>
      <c r="EI35" s="102">
        <v>-66047</v>
      </c>
      <c r="EJ35" s="102">
        <v>-251429</v>
      </c>
      <c r="EK35" s="71"/>
      <c r="EL35" s="102">
        <v>56075</v>
      </c>
      <c r="EM35" s="102">
        <v>55794</v>
      </c>
      <c r="EN35" s="102">
        <v>568000</v>
      </c>
      <c r="EO35" s="102">
        <v>29562</v>
      </c>
      <c r="EP35" s="73">
        <f t="shared" si="11"/>
        <v>655509</v>
      </c>
      <c r="EQ35" s="102">
        <v>11913292</v>
      </c>
      <c r="ER35" s="71">
        <v>-1969083</v>
      </c>
      <c r="ES35" s="102">
        <v>2472656</v>
      </c>
      <c r="ET35" s="102">
        <v>1650082</v>
      </c>
      <c r="EU35" s="102">
        <v>1799779</v>
      </c>
      <c r="EV35" s="102">
        <v>1776193</v>
      </c>
      <c r="EW35" s="73">
        <f t="shared" si="12"/>
        <v>474293</v>
      </c>
      <c r="EX35" s="102">
        <v>474293</v>
      </c>
      <c r="EY35" s="102">
        <v>22788</v>
      </c>
      <c r="EZ35" s="102">
        <v>451505</v>
      </c>
      <c r="FA35" s="102">
        <v>0</v>
      </c>
      <c r="FB35" s="102">
        <v>0</v>
      </c>
      <c r="FC35" s="102">
        <v>1962779</v>
      </c>
      <c r="FD35" s="102">
        <v>2672415</v>
      </c>
      <c r="FE35" s="102">
        <v>1333802</v>
      </c>
      <c r="FF35" s="102">
        <v>1581667</v>
      </c>
      <c r="FG35" s="73">
        <f t="shared" si="13"/>
        <v>743613</v>
      </c>
      <c r="FH35" s="102">
        <v>13483395</v>
      </c>
      <c r="FI35" s="379">
        <f t="shared" si="14"/>
        <v>3.2</v>
      </c>
      <c r="FJ35" s="102">
        <v>10832023</v>
      </c>
      <c r="FK35" s="102">
        <v>723330</v>
      </c>
      <c r="FL35" s="102">
        <v>5796411</v>
      </c>
      <c r="FM35" s="102">
        <v>9231742</v>
      </c>
      <c r="FN35" s="428">
        <v>0.621</v>
      </c>
      <c r="FO35" s="424">
        <v>94</v>
      </c>
      <c r="FP35" s="425">
        <v>20.6</v>
      </c>
      <c r="FQ35" s="424">
        <v>15.2</v>
      </c>
      <c r="FR35" s="424">
        <v>14.3</v>
      </c>
      <c r="FS35" s="425">
        <v>14.5</v>
      </c>
      <c r="FT35" s="424">
        <v>17.100000000000001</v>
      </c>
      <c r="FU35" s="425">
        <v>12.1</v>
      </c>
      <c r="FV35" s="384">
        <v>6.8</v>
      </c>
      <c r="FW35" s="102">
        <v>16126074</v>
      </c>
      <c r="FX35" s="384">
        <f t="shared" si="15"/>
        <v>139.6</v>
      </c>
      <c r="FY35" s="102">
        <v>4376988</v>
      </c>
      <c r="FZ35" s="102">
        <v>1593693</v>
      </c>
      <c r="GA35" s="102">
        <v>51265</v>
      </c>
      <c r="GB35" s="102">
        <v>2732030</v>
      </c>
      <c r="GC35" s="107">
        <v>0</v>
      </c>
      <c r="GD35" s="427"/>
      <c r="GE35" s="386"/>
      <c r="GF35" s="424">
        <v>99</v>
      </c>
      <c r="GG35" s="424">
        <v>35.799999999999997</v>
      </c>
      <c r="GH35" s="424">
        <v>96.9</v>
      </c>
      <c r="GI35" s="102">
        <v>295</v>
      </c>
      <c r="GJ35" s="429" t="s">
        <v>646</v>
      </c>
      <c r="GK35" s="429">
        <v>13.11</v>
      </c>
      <c r="GL35" s="117">
        <v>20</v>
      </c>
      <c r="GM35" s="429" t="s">
        <v>646</v>
      </c>
      <c r="GN35" s="430">
        <v>18.11</v>
      </c>
      <c r="GO35" s="387">
        <v>30</v>
      </c>
      <c r="GP35" s="425">
        <v>6.1</v>
      </c>
      <c r="GQ35" s="388">
        <v>25</v>
      </c>
      <c r="GR35" s="388">
        <v>35</v>
      </c>
      <c r="GS35" s="431" t="s">
        <v>646</v>
      </c>
      <c r="GT35" s="388">
        <v>350</v>
      </c>
      <c r="GU35" s="394"/>
      <c r="GV35" s="100">
        <f t="shared" si="16"/>
        <v>11555</v>
      </c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</row>
    <row r="36" spans="2:230" x14ac:dyDescent="0.15">
      <c r="B36" s="89" t="s">
        <v>61</v>
      </c>
      <c r="C36" s="102">
        <v>9368531</v>
      </c>
      <c r="D36" s="73">
        <f t="shared" si="0"/>
        <v>4333204</v>
      </c>
      <c r="E36" s="102">
        <v>125194</v>
      </c>
      <c r="F36" s="102">
        <v>4208010</v>
      </c>
      <c r="G36" s="73">
        <f t="shared" si="1"/>
        <v>319454</v>
      </c>
      <c r="H36" s="102">
        <v>133320</v>
      </c>
      <c r="I36" s="102">
        <v>186134</v>
      </c>
      <c r="J36" s="102">
        <v>3514013</v>
      </c>
      <c r="K36" s="102">
        <v>1451801</v>
      </c>
      <c r="L36" s="102">
        <v>1568036</v>
      </c>
      <c r="M36" s="102">
        <v>442819</v>
      </c>
      <c r="N36" s="102">
        <v>333133</v>
      </c>
      <c r="O36" s="102">
        <v>754007</v>
      </c>
      <c r="P36" s="102">
        <v>422379</v>
      </c>
      <c r="Q36" s="102">
        <v>331628</v>
      </c>
      <c r="R36" s="102">
        <v>131674</v>
      </c>
      <c r="S36" s="74"/>
      <c r="T36" s="73">
        <f t="shared" si="2"/>
        <v>1553092</v>
      </c>
      <c r="U36" s="102">
        <v>28430</v>
      </c>
      <c r="V36" s="102">
        <v>80499</v>
      </c>
      <c r="W36" s="102">
        <v>81310</v>
      </c>
      <c r="X36" s="102">
        <v>1224423</v>
      </c>
      <c r="Y36" s="102">
        <v>71385</v>
      </c>
      <c r="Z36" s="102">
        <v>0</v>
      </c>
      <c r="AA36" s="102">
        <v>67045</v>
      </c>
      <c r="AB36" s="102">
        <v>65479</v>
      </c>
      <c r="AC36" s="102">
        <v>3388391</v>
      </c>
      <c r="AD36" s="102">
        <v>3206426</v>
      </c>
      <c r="AE36" s="102">
        <v>181965</v>
      </c>
      <c r="AF36" s="102">
        <v>10453</v>
      </c>
      <c r="AG36" s="102">
        <v>71571</v>
      </c>
      <c r="AH36" s="73">
        <f t="shared" si="3"/>
        <v>479687</v>
      </c>
      <c r="AI36" s="102">
        <v>380818</v>
      </c>
      <c r="AJ36" s="102">
        <v>98869</v>
      </c>
      <c r="AK36" s="102">
        <v>3895790</v>
      </c>
      <c r="AL36" s="73">
        <f t="shared" si="4"/>
        <v>2164791</v>
      </c>
      <c r="AM36" s="102">
        <v>1119818</v>
      </c>
      <c r="AN36" s="102">
        <v>423211</v>
      </c>
      <c r="AO36" s="74"/>
      <c r="AP36" s="102">
        <v>621762</v>
      </c>
      <c r="AQ36" s="102">
        <v>11566</v>
      </c>
      <c r="AR36" s="102">
        <v>0</v>
      </c>
      <c r="AS36" s="102">
        <v>0</v>
      </c>
      <c r="AT36" s="102">
        <v>1791148</v>
      </c>
      <c r="AU36" s="102">
        <v>1036717</v>
      </c>
      <c r="AV36" s="102">
        <v>211051</v>
      </c>
      <c r="AW36" s="102">
        <v>9513</v>
      </c>
      <c r="AX36" s="102">
        <v>754431</v>
      </c>
      <c r="AY36" s="102">
        <v>1125</v>
      </c>
      <c r="AZ36" s="102">
        <v>136549</v>
      </c>
      <c r="BA36" s="102">
        <v>119096</v>
      </c>
      <c r="BB36" s="102">
        <v>20021</v>
      </c>
      <c r="BC36" s="102">
        <v>33969</v>
      </c>
      <c r="BD36" s="102">
        <v>0</v>
      </c>
      <c r="BE36" s="102">
        <v>0</v>
      </c>
      <c r="BF36" s="102">
        <v>8747</v>
      </c>
      <c r="BG36" s="102">
        <v>0</v>
      </c>
      <c r="BH36" s="102">
        <v>790771</v>
      </c>
      <c r="BI36" s="102">
        <v>426990</v>
      </c>
      <c r="BJ36" s="102">
        <v>302440</v>
      </c>
      <c r="BK36" s="102">
        <v>100000</v>
      </c>
      <c r="BL36" s="102">
        <v>0</v>
      </c>
      <c r="BM36" s="102">
        <v>0</v>
      </c>
      <c r="BN36" s="102">
        <v>1779140</v>
      </c>
      <c r="BO36" s="73">
        <f t="shared" si="5"/>
        <v>733800</v>
      </c>
      <c r="BP36" s="73">
        <f t="shared" si="6"/>
        <v>1045340</v>
      </c>
      <c r="BQ36" s="102">
        <v>0</v>
      </c>
      <c r="BR36" s="102">
        <v>0</v>
      </c>
      <c r="BS36" s="102">
        <v>1045340</v>
      </c>
      <c r="BT36" s="102">
        <v>0</v>
      </c>
      <c r="BU36" s="102">
        <v>23818706</v>
      </c>
      <c r="BV36" s="71"/>
      <c r="BW36" s="102">
        <v>4981233</v>
      </c>
      <c r="BX36" s="102">
        <v>3076205</v>
      </c>
      <c r="BY36" s="102">
        <v>240697</v>
      </c>
      <c r="BZ36" s="102">
        <v>648842</v>
      </c>
      <c r="CA36" s="102">
        <v>6711322</v>
      </c>
      <c r="CB36" s="102">
        <v>2322206</v>
      </c>
      <c r="CC36" s="102">
        <v>140547</v>
      </c>
      <c r="CD36" s="102">
        <v>2637124</v>
      </c>
      <c r="CE36" s="102">
        <v>1373856</v>
      </c>
      <c r="CF36" s="102">
        <v>1828</v>
      </c>
      <c r="CG36" s="102">
        <v>235544</v>
      </c>
      <c r="CH36" s="102">
        <v>2957554</v>
      </c>
      <c r="CI36" s="102">
        <v>2664089</v>
      </c>
      <c r="CJ36" s="83">
        <f t="shared" si="17"/>
        <v>293465</v>
      </c>
      <c r="CK36" s="102">
        <v>2678064</v>
      </c>
      <c r="CL36" s="102">
        <v>1493415</v>
      </c>
      <c r="CM36" s="102">
        <v>212368</v>
      </c>
      <c r="CN36" s="102">
        <v>397544</v>
      </c>
      <c r="CO36" s="102">
        <v>91711</v>
      </c>
      <c r="CP36" s="102">
        <v>1404622</v>
      </c>
      <c r="CQ36" s="102">
        <v>868568</v>
      </c>
      <c r="CR36" s="102">
        <v>208920</v>
      </c>
      <c r="CS36" s="102">
        <v>131857</v>
      </c>
      <c r="CT36" s="73">
        <f t="shared" si="7"/>
        <v>11934</v>
      </c>
      <c r="CU36" s="102">
        <v>11934</v>
      </c>
      <c r="CV36" s="102">
        <v>0</v>
      </c>
      <c r="CW36" s="73">
        <f t="shared" si="8"/>
        <v>0</v>
      </c>
      <c r="CX36" s="102">
        <v>0</v>
      </c>
      <c r="CY36" s="102">
        <v>0</v>
      </c>
      <c r="CZ36" s="73">
        <f t="shared" si="9"/>
        <v>0</v>
      </c>
      <c r="DA36" s="102">
        <v>0</v>
      </c>
      <c r="DB36" s="102">
        <v>0</v>
      </c>
      <c r="DC36" s="102">
        <v>1851857</v>
      </c>
      <c r="DD36" s="102">
        <v>63652</v>
      </c>
      <c r="DE36" s="102">
        <v>1788205</v>
      </c>
      <c r="DF36" s="102">
        <v>0</v>
      </c>
      <c r="DG36" s="102">
        <v>0</v>
      </c>
      <c r="DH36" s="102">
        <v>0</v>
      </c>
      <c r="DI36" s="102">
        <v>295375</v>
      </c>
      <c r="DJ36" s="102">
        <v>259277</v>
      </c>
      <c r="DK36" s="102">
        <v>1036</v>
      </c>
      <c r="DL36" s="102">
        <v>35062</v>
      </c>
      <c r="DM36" s="102">
        <v>0</v>
      </c>
      <c r="DN36" s="102">
        <v>0</v>
      </c>
      <c r="DO36" s="102">
        <v>0</v>
      </c>
      <c r="DP36" s="102">
        <v>0</v>
      </c>
      <c r="DQ36" s="102">
        <v>0</v>
      </c>
      <c r="DR36" s="102">
        <v>0</v>
      </c>
      <c r="DS36" s="102">
        <v>0</v>
      </c>
      <c r="DT36" s="102">
        <v>2493625</v>
      </c>
      <c r="DU36" s="102">
        <v>159400</v>
      </c>
      <c r="DV36" s="73">
        <f t="shared" si="10"/>
        <v>0</v>
      </c>
      <c r="DW36" s="102">
        <v>0</v>
      </c>
      <c r="DX36" s="102">
        <v>873641</v>
      </c>
      <c r="DY36" s="102">
        <v>0</v>
      </c>
      <c r="DZ36" s="102">
        <v>680582</v>
      </c>
      <c r="EA36" s="74">
        <v>0</v>
      </c>
      <c r="EB36" s="102">
        <v>779592</v>
      </c>
      <c r="EC36" s="102">
        <v>0</v>
      </c>
      <c r="ED36" s="102">
        <v>23465363</v>
      </c>
      <c r="EE36" s="71"/>
      <c r="EF36" s="102">
        <v>353343</v>
      </c>
      <c r="EG36" s="102">
        <v>26329</v>
      </c>
      <c r="EH36" s="102">
        <v>327014</v>
      </c>
      <c r="EI36" s="102">
        <v>-99976</v>
      </c>
      <c r="EJ36" s="102">
        <v>162241</v>
      </c>
      <c r="EK36" s="71"/>
      <c r="EL36" s="102">
        <v>76435</v>
      </c>
      <c r="EM36" s="102">
        <v>77899</v>
      </c>
      <c r="EN36" s="102">
        <v>4222</v>
      </c>
      <c r="EO36" s="102">
        <v>124339</v>
      </c>
      <c r="EP36" s="73">
        <f t="shared" si="11"/>
        <v>736529</v>
      </c>
      <c r="EQ36" s="102">
        <v>14517620</v>
      </c>
      <c r="ER36" s="71">
        <v>-1899977</v>
      </c>
      <c r="ES36" s="102">
        <v>4585806</v>
      </c>
      <c r="ET36" s="102">
        <v>2847587</v>
      </c>
      <c r="EU36" s="102">
        <v>1996722</v>
      </c>
      <c r="EV36" s="102">
        <v>2857554</v>
      </c>
      <c r="EW36" s="73">
        <f t="shared" si="12"/>
        <v>730805</v>
      </c>
      <c r="EX36" s="102">
        <v>730805</v>
      </c>
      <c r="EY36" s="102">
        <v>12699</v>
      </c>
      <c r="EZ36" s="102">
        <v>718106</v>
      </c>
      <c r="FA36" s="102">
        <v>0</v>
      </c>
      <c r="FB36" s="102">
        <v>0</v>
      </c>
      <c r="FC36" s="102">
        <v>2198248</v>
      </c>
      <c r="FD36" s="102">
        <v>1320884</v>
      </c>
      <c r="FE36" s="102">
        <v>863536</v>
      </c>
      <c r="FF36" s="102">
        <v>2000325</v>
      </c>
      <c r="FG36" s="73">
        <f t="shared" si="13"/>
        <v>373910</v>
      </c>
      <c r="FH36" s="102">
        <v>16064254</v>
      </c>
      <c r="FI36" s="379">
        <f t="shared" si="14"/>
        <v>2.2999999999999998</v>
      </c>
      <c r="FJ36" s="102">
        <v>13372834</v>
      </c>
      <c r="FK36" s="102">
        <v>1045340</v>
      </c>
      <c r="FL36" s="102">
        <v>7976463</v>
      </c>
      <c r="FM36" s="102">
        <v>11188699</v>
      </c>
      <c r="FN36" s="428">
        <v>0.71499999999999997</v>
      </c>
      <c r="FO36" s="424">
        <v>94.6</v>
      </c>
      <c r="FP36" s="425">
        <v>30.4</v>
      </c>
      <c r="FQ36" s="424">
        <v>13.5</v>
      </c>
      <c r="FR36" s="424">
        <v>19.399999999999999</v>
      </c>
      <c r="FS36" s="425">
        <v>13.5</v>
      </c>
      <c r="FT36" s="424">
        <v>4.3</v>
      </c>
      <c r="FU36" s="425">
        <v>12.8</v>
      </c>
      <c r="FV36" s="384">
        <v>13.1</v>
      </c>
      <c r="FW36" s="102">
        <v>28996823</v>
      </c>
      <c r="FX36" s="384">
        <f t="shared" si="15"/>
        <v>201.1</v>
      </c>
      <c r="FY36" s="102">
        <v>5962610</v>
      </c>
      <c r="FZ36" s="102">
        <v>3446210</v>
      </c>
      <c r="GA36" s="102">
        <v>651665</v>
      </c>
      <c r="GB36" s="102">
        <v>1864735</v>
      </c>
      <c r="GC36" s="107">
        <v>0</v>
      </c>
      <c r="GD36" s="427">
        <v>9042</v>
      </c>
      <c r="GE36" s="386">
        <f>IF(GD36=0,"-",ROUND(GD36/(GV36)*100,1))</f>
        <v>62.7</v>
      </c>
      <c r="GF36" s="424">
        <v>99.7</v>
      </c>
      <c r="GG36" s="424">
        <v>37.5</v>
      </c>
      <c r="GH36" s="424">
        <v>99.1</v>
      </c>
      <c r="GI36" s="102">
        <v>474</v>
      </c>
      <c r="GJ36" s="429" t="s">
        <v>646</v>
      </c>
      <c r="GK36" s="429">
        <v>12.82</v>
      </c>
      <c r="GL36" s="117">
        <v>20</v>
      </c>
      <c r="GM36" s="429" t="s">
        <v>646</v>
      </c>
      <c r="GN36" s="430">
        <v>17.82</v>
      </c>
      <c r="GO36" s="387">
        <v>30</v>
      </c>
      <c r="GP36" s="425">
        <v>11.9</v>
      </c>
      <c r="GQ36" s="388">
        <v>25</v>
      </c>
      <c r="GR36" s="388">
        <v>35</v>
      </c>
      <c r="GS36" s="431">
        <v>121.6</v>
      </c>
      <c r="GT36" s="388">
        <v>350</v>
      </c>
      <c r="GU36" s="394"/>
      <c r="GV36" s="100">
        <f t="shared" si="16"/>
        <v>14418</v>
      </c>
      <c r="GW36" s="394"/>
      <c r="GX36" s="394"/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</row>
    <row r="37" spans="2:230" x14ac:dyDescent="0.15">
      <c r="B37" s="89" t="s">
        <v>63</v>
      </c>
      <c r="C37" s="102">
        <v>7366194</v>
      </c>
      <c r="D37" s="73">
        <f t="shared" si="0"/>
        <v>3527643</v>
      </c>
      <c r="E37" s="102">
        <v>94679</v>
      </c>
      <c r="F37" s="102">
        <v>3432964</v>
      </c>
      <c r="G37" s="73">
        <f t="shared" si="1"/>
        <v>333766</v>
      </c>
      <c r="H37" s="102">
        <v>109422</v>
      </c>
      <c r="I37" s="102">
        <v>224344</v>
      </c>
      <c r="J37" s="102">
        <v>2745398</v>
      </c>
      <c r="K37" s="102">
        <v>1132005</v>
      </c>
      <c r="L37" s="102">
        <v>1312821</v>
      </c>
      <c r="M37" s="102">
        <v>268446</v>
      </c>
      <c r="N37" s="102">
        <v>298480</v>
      </c>
      <c r="O37" s="102">
        <v>370232</v>
      </c>
      <c r="P37" s="102">
        <v>199967</v>
      </c>
      <c r="Q37" s="102">
        <v>170265</v>
      </c>
      <c r="R37" s="102">
        <v>106486</v>
      </c>
      <c r="S37" s="74"/>
      <c r="T37" s="73">
        <f t="shared" si="2"/>
        <v>1198504</v>
      </c>
      <c r="U37" s="102">
        <v>23083</v>
      </c>
      <c r="V37" s="102">
        <v>65475</v>
      </c>
      <c r="W37" s="102">
        <v>66327</v>
      </c>
      <c r="X37" s="102">
        <v>989341</v>
      </c>
      <c r="Y37" s="102">
        <v>0</v>
      </c>
      <c r="Z37" s="102">
        <v>0</v>
      </c>
      <c r="AA37" s="102">
        <v>54278</v>
      </c>
      <c r="AB37" s="102">
        <v>55616</v>
      </c>
      <c r="AC37" s="102">
        <v>2877980</v>
      </c>
      <c r="AD37" s="102">
        <v>2641910</v>
      </c>
      <c r="AE37" s="102">
        <v>236070</v>
      </c>
      <c r="AF37" s="102">
        <v>9937</v>
      </c>
      <c r="AG37" s="102">
        <v>194539</v>
      </c>
      <c r="AH37" s="73">
        <f t="shared" si="3"/>
        <v>276439</v>
      </c>
      <c r="AI37" s="102">
        <v>227923</v>
      </c>
      <c r="AJ37" s="102">
        <v>48516</v>
      </c>
      <c r="AK37" s="102">
        <v>3201085</v>
      </c>
      <c r="AL37" s="73">
        <f t="shared" si="4"/>
        <v>1661308</v>
      </c>
      <c r="AM37" s="102">
        <v>919199</v>
      </c>
      <c r="AN37" s="102">
        <v>373913</v>
      </c>
      <c r="AO37" s="74"/>
      <c r="AP37" s="102">
        <v>368196</v>
      </c>
      <c r="AQ37" s="102">
        <v>100132</v>
      </c>
      <c r="AR37" s="102">
        <v>0</v>
      </c>
      <c r="AS37" s="102">
        <v>0</v>
      </c>
      <c r="AT37" s="102">
        <v>1683543</v>
      </c>
      <c r="AU37" s="102">
        <v>1037191</v>
      </c>
      <c r="AV37" s="102">
        <v>186956</v>
      </c>
      <c r="AW37" s="102">
        <v>266156</v>
      </c>
      <c r="AX37" s="102">
        <v>646352</v>
      </c>
      <c r="AY37" s="102">
        <v>0</v>
      </c>
      <c r="AZ37" s="102">
        <v>24874</v>
      </c>
      <c r="BA37" s="102">
        <v>4994</v>
      </c>
      <c r="BB37" s="102">
        <v>2391</v>
      </c>
      <c r="BC37" s="102">
        <v>37172</v>
      </c>
      <c r="BD37" s="102">
        <v>0</v>
      </c>
      <c r="BE37" s="102">
        <v>0</v>
      </c>
      <c r="BF37" s="102">
        <v>0</v>
      </c>
      <c r="BG37" s="102">
        <v>0</v>
      </c>
      <c r="BH37" s="102">
        <v>499820</v>
      </c>
      <c r="BI37" s="102">
        <v>494136</v>
      </c>
      <c r="BJ37" s="102">
        <v>188980</v>
      </c>
      <c r="BK37" s="102">
        <v>224</v>
      </c>
      <c r="BL37" s="102">
        <v>0</v>
      </c>
      <c r="BM37" s="102">
        <v>0</v>
      </c>
      <c r="BN37" s="102">
        <v>1599300</v>
      </c>
      <c r="BO37" s="73">
        <f t="shared" si="5"/>
        <v>739100</v>
      </c>
      <c r="BP37" s="73">
        <f t="shared" si="6"/>
        <v>860200</v>
      </c>
      <c r="BQ37" s="102">
        <v>0</v>
      </c>
      <c r="BR37" s="102">
        <v>0</v>
      </c>
      <c r="BS37" s="102">
        <v>860200</v>
      </c>
      <c r="BT37" s="102">
        <v>0</v>
      </c>
      <c r="BU37" s="102">
        <v>19322860</v>
      </c>
      <c r="BV37" s="71"/>
      <c r="BW37" s="102">
        <v>3648389</v>
      </c>
      <c r="BX37" s="102">
        <v>2457361</v>
      </c>
      <c r="BY37" s="102">
        <v>115776</v>
      </c>
      <c r="BZ37" s="102">
        <v>293515</v>
      </c>
      <c r="CA37" s="102">
        <v>5104261</v>
      </c>
      <c r="CB37" s="102">
        <v>1241728</v>
      </c>
      <c r="CC37" s="102">
        <v>102315</v>
      </c>
      <c r="CD37" s="102">
        <v>2357844</v>
      </c>
      <c r="CE37" s="102">
        <v>1193807</v>
      </c>
      <c r="CF37" s="102">
        <v>307</v>
      </c>
      <c r="CG37" s="102">
        <v>208260</v>
      </c>
      <c r="CH37" s="102">
        <v>1674898</v>
      </c>
      <c r="CI37" s="102">
        <v>1560808</v>
      </c>
      <c r="CJ37" s="83">
        <f t="shared" si="17"/>
        <v>114090</v>
      </c>
      <c r="CK37" s="102">
        <v>3204751</v>
      </c>
      <c r="CL37" s="102">
        <v>2170273</v>
      </c>
      <c r="CM37" s="102">
        <v>213387</v>
      </c>
      <c r="CN37" s="102">
        <v>353093</v>
      </c>
      <c r="CO37" s="102">
        <v>30428</v>
      </c>
      <c r="CP37" s="102">
        <v>1522386</v>
      </c>
      <c r="CQ37" s="102">
        <v>339440</v>
      </c>
      <c r="CR37" s="102">
        <v>372485</v>
      </c>
      <c r="CS37" s="102">
        <v>144856</v>
      </c>
      <c r="CT37" s="73">
        <f t="shared" si="7"/>
        <v>411128</v>
      </c>
      <c r="CU37" s="102">
        <v>110795</v>
      </c>
      <c r="CV37" s="102">
        <v>300333</v>
      </c>
      <c r="CW37" s="73">
        <f t="shared" si="8"/>
        <v>0</v>
      </c>
      <c r="CX37" s="102">
        <v>0</v>
      </c>
      <c r="CY37" s="102">
        <v>0</v>
      </c>
      <c r="CZ37" s="73">
        <f t="shared" si="9"/>
        <v>375005</v>
      </c>
      <c r="DA37" s="102">
        <v>74672</v>
      </c>
      <c r="DB37" s="102">
        <v>300333</v>
      </c>
      <c r="DC37" s="102">
        <v>1701943</v>
      </c>
      <c r="DD37" s="102">
        <v>704689</v>
      </c>
      <c r="DE37" s="102">
        <v>996069</v>
      </c>
      <c r="DF37" s="102">
        <v>1185</v>
      </c>
      <c r="DG37" s="102">
        <v>0</v>
      </c>
      <c r="DH37" s="102">
        <v>0</v>
      </c>
      <c r="DI37" s="102">
        <v>107057</v>
      </c>
      <c r="DJ37" s="102">
        <v>6273</v>
      </c>
      <c r="DK37" s="102">
        <v>4</v>
      </c>
      <c r="DL37" s="102">
        <v>100780</v>
      </c>
      <c r="DM37" s="102">
        <v>0</v>
      </c>
      <c r="DN37" s="102">
        <v>0</v>
      </c>
      <c r="DO37" s="102">
        <v>0</v>
      </c>
      <c r="DP37" s="102">
        <v>0</v>
      </c>
      <c r="DQ37" s="102">
        <v>0</v>
      </c>
      <c r="DR37" s="102">
        <v>0</v>
      </c>
      <c r="DS37" s="102">
        <v>0</v>
      </c>
      <c r="DT37" s="102">
        <v>1856902</v>
      </c>
      <c r="DU37" s="102">
        <v>0</v>
      </c>
      <c r="DV37" s="73">
        <f t="shared" si="10"/>
        <v>0</v>
      </c>
      <c r="DW37" s="102">
        <v>0</v>
      </c>
      <c r="DX37" s="102">
        <v>692712</v>
      </c>
      <c r="DY37" s="102">
        <v>0</v>
      </c>
      <c r="DZ37" s="102">
        <v>497622</v>
      </c>
      <c r="EA37" s="74">
        <v>0</v>
      </c>
      <c r="EB37" s="102">
        <v>666568</v>
      </c>
      <c r="EC37" s="102">
        <v>0</v>
      </c>
      <c r="ED37" s="102">
        <v>18851015</v>
      </c>
      <c r="EE37" s="71"/>
      <c r="EF37" s="102">
        <v>471845</v>
      </c>
      <c r="EG37" s="102">
        <v>98</v>
      </c>
      <c r="EH37" s="102">
        <v>471747</v>
      </c>
      <c r="EI37" s="102">
        <v>-22389</v>
      </c>
      <c r="EJ37" s="102">
        <v>-16116</v>
      </c>
      <c r="EK37" s="71"/>
      <c r="EL37" s="102">
        <v>57792</v>
      </c>
      <c r="EM37" s="102">
        <v>58232</v>
      </c>
      <c r="EN37" s="102">
        <v>16056</v>
      </c>
      <c r="EO37" s="102">
        <v>13319</v>
      </c>
      <c r="EP37" s="73">
        <f t="shared" si="11"/>
        <v>682430</v>
      </c>
      <c r="EQ37" s="102">
        <v>11614717</v>
      </c>
      <c r="ER37" s="71">
        <v>-1562068</v>
      </c>
      <c r="ES37" s="102">
        <v>3375558</v>
      </c>
      <c r="ET37" s="102">
        <v>2222077</v>
      </c>
      <c r="EU37" s="102">
        <v>1413541</v>
      </c>
      <c r="EV37" s="102">
        <v>1674898</v>
      </c>
      <c r="EW37" s="73">
        <f t="shared" si="12"/>
        <v>501097</v>
      </c>
      <c r="EX37" s="102">
        <v>501097</v>
      </c>
      <c r="EY37" s="102">
        <v>48340</v>
      </c>
      <c r="EZ37" s="102">
        <v>451572</v>
      </c>
      <c r="FA37" s="102">
        <v>0</v>
      </c>
      <c r="FB37" s="102">
        <v>0</v>
      </c>
      <c r="FC37" s="102">
        <v>2706700</v>
      </c>
      <c r="FD37" s="102">
        <v>1400595</v>
      </c>
      <c r="FE37" s="102">
        <v>339440</v>
      </c>
      <c r="FF37" s="102">
        <v>1502108</v>
      </c>
      <c r="FG37" s="73">
        <f t="shared" si="13"/>
        <v>130443</v>
      </c>
      <c r="FH37" s="102">
        <v>12704940</v>
      </c>
      <c r="FI37" s="379">
        <f t="shared" si="14"/>
        <v>4</v>
      </c>
      <c r="FJ37" s="102">
        <v>10842427</v>
      </c>
      <c r="FK37" s="102">
        <v>860245</v>
      </c>
      <c r="FL37" s="102">
        <v>6368764</v>
      </c>
      <c r="FM37" s="102">
        <v>9012222</v>
      </c>
      <c r="FN37" s="428">
        <v>0.71</v>
      </c>
      <c r="FO37" s="424">
        <v>95.1</v>
      </c>
      <c r="FP37" s="425">
        <v>28.1</v>
      </c>
      <c r="FQ37" s="424">
        <v>11.8</v>
      </c>
      <c r="FR37" s="424">
        <v>14</v>
      </c>
      <c r="FS37" s="425">
        <v>20.8</v>
      </c>
      <c r="FT37" s="424">
        <v>8</v>
      </c>
      <c r="FU37" s="425">
        <v>12</v>
      </c>
      <c r="FV37" s="384">
        <v>3.9</v>
      </c>
      <c r="FW37" s="102">
        <v>16650139</v>
      </c>
      <c r="FX37" s="384">
        <f t="shared" si="15"/>
        <v>142.30000000000001</v>
      </c>
      <c r="FY37" s="102">
        <v>3855420</v>
      </c>
      <c r="FZ37" s="102">
        <v>3161309</v>
      </c>
      <c r="GA37" s="102">
        <v>36869</v>
      </c>
      <c r="GB37" s="102">
        <v>657242</v>
      </c>
      <c r="GC37" s="107">
        <v>0</v>
      </c>
      <c r="GD37" s="427"/>
      <c r="GE37" s="386"/>
      <c r="GF37" s="424">
        <v>99.2</v>
      </c>
      <c r="GG37" s="424">
        <v>22.9</v>
      </c>
      <c r="GH37" s="424">
        <v>96.1</v>
      </c>
      <c r="GI37" s="102">
        <v>379</v>
      </c>
      <c r="GJ37" s="429" t="s">
        <v>646</v>
      </c>
      <c r="GK37" s="429">
        <v>13.09</v>
      </c>
      <c r="GL37" s="117">
        <v>20</v>
      </c>
      <c r="GM37" s="429" t="s">
        <v>646</v>
      </c>
      <c r="GN37" s="430">
        <v>18.09</v>
      </c>
      <c r="GO37" s="387">
        <v>30</v>
      </c>
      <c r="GP37" s="425">
        <v>3</v>
      </c>
      <c r="GQ37" s="388">
        <v>25</v>
      </c>
      <c r="GR37" s="388">
        <v>35</v>
      </c>
      <c r="GS37" s="431">
        <v>1.3</v>
      </c>
      <c r="GT37" s="388">
        <v>350</v>
      </c>
      <c r="GU37" s="394"/>
      <c r="GV37" s="100">
        <f t="shared" si="16"/>
        <v>11703</v>
      </c>
      <c r="GW37" s="394"/>
      <c r="GX37" s="394"/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</row>
    <row r="38" spans="2:230" x14ac:dyDescent="0.15">
      <c r="B38" s="89" t="s">
        <v>65</v>
      </c>
      <c r="C38" s="102">
        <v>5483823</v>
      </c>
      <c r="D38" s="73">
        <f t="shared" si="0"/>
        <v>2446814</v>
      </c>
      <c r="E38" s="102">
        <v>89484</v>
      </c>
      <c r="F38" s="102">
        <v>2357330</v>
      </c>
      <c r="G38" s="73">
        <f t="shared" si="1"/>
        <v>224829</v>
      </c>
      <c r="H38" s="102">
        <v>74725</v>
      </c>
      <c r="I38" s="102">
        <v>150104</v>
      </c>
      <c r="J38" s="102">
        <v>2023445</v>
      </c>
      <c r="K38" s="102">
        <v>664275</v>
      </c>
      <c r="L38" s="102">
        <v>1040231</v>
      </c>
      <c r="M38" s="102">
        <v>262308</v>
      </c>
      <c r="N38" s="102">
        <v>259138</v>
      </c>
      <c r="O38" s="102">
        <v>404062</v>
      </c>
      <c r="P38" s="102">
        <v>186675</v>
      </c>
      <c r="Q38" s="102">
        <v>217387</v>
      </c>
      <c r="R38" s="102">
        <v>107800</v>
      </c>
      <c r="S38" s="74"/>
      <c r="T38" s="73">
        <f t="shared" si="2"/>
        <v>1027002</v>
      </c>
      <c r="U38" s="102">
        <v>16329</v>
      </c>
      <c r="V38" s="102">
        <v>46236</v>
      </c>
      <c r="W38" s="102">
        <v>46698</v>
      </c>
      <c r="X38" s="102">
        <v>861096</v>
      </c>
      <c r="Y38" s="102">
        <v>1719</v>
      </c>
      <c r="Z38" s="102">
        <v>0</v>
      </c>
      <c r="AA38" s="102">
        <v>54924</v>
      </c>
      <c r="AB38" s="102">
        <v>35112</v>
      </c>
      <c r="AC38" s="102">
        <v>4315259</v>
      </c>
      <c r="AD38" s="102">
        <v>4074678</v>
      </c>
      <c r="AE38" s="102">
        <v>240581</v>
      </c>
      <c r="AF38" s="102">
        <v>7267</v>
      </c>
      <c r="AG38" s="102">
        <v>13102</v>
      </c>
      <c r="AH38" s="73">
        <f t="shared" si="3"/>
        <v>288458</v>
      </c>
      <c r="AI38" s="102">
        <v>199956</v>
      </c>
      <c r="AJ38" s="102">
        <v>88502</v>
      </c>
      <c r="AK38" s="102">
        <v>2980750</v>
      </c>
      <c r="AL38" s="73">
        <f t="shared" si="4"/>
        <v>1610096</v>
      </c>
      <c r="AM38" s="102">
        <v>771442</v>
      </c>
      <c r="AN38" s="102">
        <v>350203</v>
      </c>
      <c r="AO38" s="74"/>
      <c r="AP38" s="102">
        <v>488451</v>
      </c>
      <c r="AQ38" s="102">
        <v>358156</v>
      </c>
      <c r="AR38" s="102">
        <v>0</v>
      </c>
      <c r="AS38" s="102">
        <v>0</v>
      </c>
      <c r="AT38" s="102">
        <v>1546490</v>
      </c>
      <c r="AU38" s="102">
        <v>1118186</v>
      </c>
      <c r="AV38" s="102">
        <v>156976</v>
      </c>
      <c r="AW38" s="102">
        <v>22064</v>
      </c>
      <c r="AX38" s="102">
        <v>428304</v>
      </c>
      <c r="AY38" s="102">
        <v>1050</v>
      </c>
      <c r="AZ38" s="102">
        <v>10813</v>
      </c>
      <c r="BA38" s="102">
        <v>3780</v>
      </c>
      <c r="BB38" s="102">
        <v>38388</v>
      </c>
      <c r="BC38" s="102">
        <v>1075347</v>
      </c>
      <c r="BD38" s="102">
        <v>443326</v>
      </c>
      <c r="BE38" s="102">
        <v>54178</v>
      </c>
      <c r="BF38" s="102">
        <v>494660</v>
      </c>
      <c r="BG38" s="102">
        <v>0</v>
      </c>
      <c r="BH38" s="102">
        <v>457514</v>
      </c>
      <c r="BI38" s="102">
        <v>281827</v>
      </c>
      <c r="BJ38" s="102">
        <v>130334</v>
      </c>
      <c r="BK38" s="102">
        <v>0</v>
      </c>
      <c r="BL38" s="102">
        <v>0</v>
      </c>
      <c r="BM38" s="102">
        <v>0</v>
      </c>
      <c r="BN38" s="102">
        <v>1798316</v>
      </c>
      <c r="BO38" s="73">
        <f t="shared" si="5"/>
        <v>1118700</v>
      </c>
      <c r="BP38" s="73">
        <f t="shared" si="6"/>
        <v>679616</v>
      </c>
      <c r="BQ38" s="102">
        <v>0</v>
      </c>
      <c r="BR38" s="102">
        <v>0</v>
      </c>
      <c r="BS38" s="102">
        <v>679616</v>
      </c>
      <c r="BT38" s="102">
        <v>0</v>
      </c>
      <c r="BU38" s="102">
        <v>19315775</v>
      </c>
      <c r="BV38" s="71"/>
      <c r="BW38" s="102">
        <v>3054219</v>
      </c>
      <c r="BX38" s="102">
        <v>2199407</v>
      </c>
      <c r="BY38" s="102">
        <v>181912</v>
      </c>
      <c r="BZ38" s="102">
        <v>16109</v>
      </c>
      <c r="CA38" s="102">
        <v>4454880</v>
      </c>
      <c r="CB38" s="102">
        <v>1320179</v>
      </c>
      <c r="CC38" s="102">
        <v>105323</v>
      </c>
      <c r="CD38" s="102">
        <v>1801453</v>
      </c>
      <c r="CE38" s="102">
        <v>1043093</v>
      </c>
      <c r="CF38" s="102">
        <v>4271</v>
      </c>
      <c r="CG38" s="102">
        <v>180561</v>
      </c>
      <c r="CH38" s="102">
        <v>1601273</v>
      </c>
      <c r="CI38" s="102">
        <v>1415065</v>
      </c>
      <c r="CJ38" s="83">
        <f t="shared" si="17"/>
        <v>186208</v>
      </c>
      <c r="CK38" s="102">
        <v>2520614</v>
      </c>
      <c r="CL38" s="102">
        <v>1385213</v>
      </c>
      <c r="CM38" s="102">
        <v>392532</v>
      </c>
      <c r="CN38" s="102">
        <v>383846</v>
      </c>
      <c r="CO38" s="102">
        <v>94620</v>
      </c>
      <c r="CP38" s="102">
        <v>2470983</v>
      </c>
      <c r="CQ38" s="102">
        <v>1123449</v>
      </c>
      <c r="CR38" s="102">
        <v>370445</v>
      </c>
      <c r="CS38" s="102">
        <v>370445</v>
      </c>
      <c r="CT38" s="73">
        <f t="shared" si="7"/>
        <v>305317</v>
      </c>
      <c r="CU38" s="102">
        <v>240404</v>
      </c>
      <c r="CV38" s="102">
        <v>64913</v>
      </c>
      <c r="CW38" s="73">
        <f t="shared" si="8"/>
        <v>290312</v>
      </c>
      <c r="CX38" s="102">
        <v>235234</v>
      </c>
      <c r="CY38" s="102">
        <v>55078</v>
      </c>
      <c r="CZ38" s="73">
        <f t="shared" si="9"/>
        <v>0</v>
      </c>
      <c r="DA38" s="102">
        <v>0</v>
      </c>
      <c r="DB38" s="102">
        <v>0</v>
      </c>
      <c r="DC38" s="102">
        <v>1895806</v>
      </c>
      <c r="DD38" s="102">
        <v>1124710</v>
      </c>
      <c r="DE38" s="102">
        <v>760200</v>
      </c>
      <c r="DF38" s="102">
        <v>10896</v>
      </c>
      <c r="DG38" s="102">
        <v>0</v>
      </c>
      <c r="DH38" s="102">
        <v>0</v>
      </c>
      <c r="DI38" s="102">
        <v>97144</v>
      </c>
      <c r="DJ38" s="102">
        <v>8327</v>
      </c>
      <c r="DK38" s="102">
        <v>30116</v>
      </c>
      <c r="DL38" s="102">
        <v>58701</v>
      </c>
      <c r="DM38" s="102">
        <v>0</v>
      </c>
      <c r="DN38" s="102">
        <v>0</v>
      </c>
      <c r="DO38" s="102">
        <v>0</v>
      </c>
      <c r="DP38" s="102">
        <v>0</v>
      </c>
      <c r="DQ38" s="102">
        <v>0</v>
      </c>
      <c r="DR38" s="102">
        <v>0</v>
      </c>
      <c r="DS38" s="102">
        <v>0</v>
      </c>
      <c r="DT38" s="102">
        <v>2844582</v>
      </c>
      <c r="DU38" s="102">
        <v>636579</v>
      </c>
      <c r="DV38" s="73">
        <f t="shared" si="10"/>
        <v>0</v>
      </c>
      <c r="DW38" s="102">
        <v>0</v>
      </c>
      <c r="DX38" s="102">
        <v>844642</v>
      </c>
      <c r="DY38" s="102">
        <v>0</v>
      </c>
      <c r="DZ38" s="102">
        <v>643904</v>
      </c>
      <c r="EA38" s="74">
        <v>0</v>
      </c>
      <c r="EB38" s="102">
        <v>719457</v>
      </c>
      <c r="EC38" s="102">
        <v>0</v>
      </c>
      <c r="ED38" s="102">
        <v>19034121</v>
      </c>
      <c r="EE38" s="71"/>
      <c r="EF38" s="102">
        <v>281654</v>
      </c>
      <c r="EG38" s="102">
        <v>12821</v>
      </c>
      <c r="EH38" s="102">
        <v>268833</v>
      </c>
      <c r="EI38" s="102">
        <v>-12994</v>
      </c>
      <c r="EJ38" s="102">
        <v>-447993</v>
      </c>
      <c r="EK38" s="71"/>
      <c r="EL38" s="102">
        <v>54276</v>
      </c>
      <c r="EM38" s="102">
        <v>55277</v>
      </c>
      <c r="EN38" s="102">
        <v>874151</v>
      </c>
      <c r="EO38" s="102">
        <v>6654</v>
      </c>
      <c r="EP38" s="73">
        <f t="shared" si="11"/>
        <v>378108</v>
      </c>
      <c r="EQ38" s="102">
        <v>10976263</v>
      </c>
      <c r="ER38" s="71">
        <v>-1931262</v>
      </c>
      <c r="ES38" s="102">
        <v>2765580</v>
      </c>
      <c r="ET38" s="102">
        <v>2199407</v>
      </c>
      <c r="EU38" s="102">
        <v>1322303</v>
      </c>
      <c r="EV38" s="102">
        <v>1597777</v>
      </c>
      <c r="EW38" s="73">
        <f t="shared" si="12"/>
        <v>132438</v>
      </c>
      <c r="EX38" s="102">
        <v>132438</v>
      </c>
      <c r="EY38" s="102">
        <v>60443</v>
      </c>
      <c r="EZ38" s="102">
        <v>71747</v>
      </c>
      <c r="FA38" s="102">
        <v>0</v>
      </c>
      <c r="FB38" s="102">
        <v>0</v>
      </c>
      <c r="FC38" s="102">
        <v>2048242</v>
      </c>
      <c r="FD38" s="102">
        <v>2208631</v>
      </c>
      <c r="FE38" s="102">
        <v>1122123</v>
      </c>
      <c r="FF38" s="102">
        <v>2411915</v>
      </c>
      <c r="FG38" s="73">
        <f t="shared" si="13"/>
        <v>138985</v>
      </c>
      <c r="FH38" s="102">
        <v>12625871</v>
      </c>
      <c r="FI38" s="379">
        <f t="shared" si="14"/>
        <v>2.5</v>
      </c>
      <c r="FJ38" s="102">
        <v>10256961</v>
      </c>
      <c r="FK38" s="102">
        <v>679616</v>
      </c>
      <c r="FL38" s="102">
        <v>4894392</v>
      </c>
      <c r="FM38" s="102">
        <v>8976818</v>
      </c>
      <c r="FN38" s="428">
        <v>0.54900000000000004</v>
      </c>
      <c r="FO38" s="424">
        <v>102.3</v>
      </c>
      <c r="FP38" s="425">
        <v>24.7</v>
      </c>
      <c r="FQ38" s="424">
        <v>11.9</v>
      </c>
      <c r="FR38" s="424">
        <v>14.4</v>
      </c>
      <c r="FS38" s="425">
        <v>17.100000000000001</v>
      </c>
      <c r="FT38" s="424">
        <v>12.3</v>
      </c>
      <c r="FU38" s="425">
        <v>21.1</v>
      </c>
      <c r="FV38" s="384">
        <v>9.1</v>
      </c>
      <c r="FW38" s="102">
        <v>17510715</v>
      </c>
      <c r="FX38" s="384">
        <f t="shared" si="15"/>
        <v>160.1</v>
      </c>
      <c r="FY38" s="102">
        <v>1837523</v>
      </c>
      <c r="FZ38" s="102">
        <v>974987</v>
      </c>
      <c r="GA38" s="102">
        <v>215898</v>
      </c>
      <c r="GB38" s="102">
        <v>646638</v>
      </c>
      <c r="GC38" s="107">
        <v>0</v>
      </c>
      <c r="GD38" s="427"/>
      <c r="GE38" s="386"/>
      <c r="GF38" s="424">
        <v>98.4</v>
      </c>
      <c r="GG38" s="424">
        <v>34.1</v>
      </c>
      <c r="GH38" s="424">
        <v>95.4</v>
      </c>
      <c r="GI38" s="102">
        <v>339</v>
      </c>
      <c r="GJ38" s="429" t="s">
        <v>646</v>
      </c>
      <c r="GK38" s="429">
        <v>13.19</v>
      </c>
      <c r="GL38" s="117">
        <v>20</v>
      </c>
      <c r="GM38" s="429" t="s">
        <v>646</v>
      </c>
      <c r="GN38" s="430">
        <v>18.190000000000001</v>
      </c>
      <c r="GO38" s="387">
        <v>30</v>
      </c>
      <c r="GP38" s="425">
        <v>8</v>
      </c>
      <c r="GQ38" s="388">
        <v>25</v>
      </c>
      <c r="GR38" s="388">
        <v>35</v>
      </c>
      <c r="GS38" s="431">
        <v>84.2</v>
      </c>
      <c r="GT38" s="388">
        <v>350</v>
      </c>
      <c r="GU38" s="394"/>
      <c r="GV38" s="100">
        <f t="shared" si="16"/>
        <v>10937</v>
      </c>
      <c r="GW38" s="394"/>
      <c r="GX38" s="394"/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</row>
    <row r="39" spans="2:230" s="112" customFormat="1" x14ac:dyDescent="0.15">
      <c r="B39" s="112" t="s">
        <v>67</v>
      </c>
      <c r="C39" s="114">
        <f>SUM(C8:C38)</f>
        <v>754116206</v>
      </c>
      <c r="D39" s="113">
        <f t="shared" si="0"/>
        <v>285089091</v>
      </c>
      <c r="E39" s="114">
        <f>SUM(E8:E38)</f>
        <v>8092491</v>
      </c>
      <c r="F39" s="114">
        <f>SUM(F8:F38)</f>
        <v>276996600</v>
      </c>
      <c r="G39" s="113">
        <f t="shared" si="1"/>
        <v>53021091</v>
      </c>
      <c r="H39" s="114">
        <f t="shared" ref="H39:R39" si="18">SUM(H8:H38)</f>
        <v>13611902</v>
      </c>
      <c r="I39" s="114">
        <f t="shared" si="18"/>
        <v>39409189</v>
      </c>
      <c r="J39" s="114">
        <f t="shared" si="18"/>
        <v>305003168</v>
      </c>
      <c r="K39" s="114">
        <f t="shared" si="18"/>
        <v>126355571</v>
      </c>
      <c r="L39" s="114">
        <f t="shared" si="18"/>
        <v>133589024</v>
      </c>
      <c r="M39" s="114">
        <f t="shared" si="18"/>
        <v>39653509</v>
      </c>
      <c r="N39" s="114">
        <f t="shared" si="18"/>
        <v>32807297</v>
      </c>
      <c r="O39" s="114">
        <f t="shared" si="18"/>
        <v>63333118</v>
      </c>
      <c r="P39" s="114">
        <f t="shared" si="18"/>
        <v>34564489</v>
      </c>
      <c r="Q39" s="114">
        <f t="shared" si="18"/>
        <v>28768629</v>
      </c>
      <c r="R39" s="114">
        <f t="shared" si="18"/>
        <v>10181729</v>
      </c>
      <c r="S39" s="113"/>
      <c r="T39" s="113">
        <f t="shared" si="2"/>
        <v>106443559</v>
      </c>
      <c r="U39" s="114">
        <f t="shared" ref="U39:AG39" si="19">SUM(U8:U38)</f>
        <v>1845697</v>
      </c>
      <c r="V39" s="114">
        <f t="shared" si="19"/>
        <v>5234297</v>
      </c>
      <c r="W39" s="114">
        <f t="shared" si="19"/>
        <v>5300959</v>
      </c>
      <c r="X39" s="114">
        <f t="shared" si="19"/>
        <v>89211874</v>
      </c>
      <c r="Y39" s="114">
        <f t="shared" si="19"/>
        <v>649377</v>
      </c>
      <c r="Z39" s="114">
        <f t="shared" si="19"/>
        <v>0</v>
      </c>
      <c r="AA39" s="114">
        <f t="shared" si="19"/>
        <v>4201355</v>
      </c>
      <c r="AB39" s="114">
        <f t="shared" si="19"/>
        <v>3642177</v>
      </c>
      <c r="AC39" s="114">
        <f t="shared" si="19"/>
        <v>177074967</v>
      </c>
      <c r="AD39" s="114">
        <f t="shared" si="19"/>
        <v>166983457</v>
      </c>
      <c r="AE39" s="114">
        <f t="shared" si="19"/>
        <v>10091220</v>
      </c>
      <c r="AF39" s="114">
        <f t="shared" si="19"/>
        <v>713806</v>
      </c>
      <c r="AG39" s="114">
        <f t="shared" si="19"/>
        <v>17716970</v>
      </c>
      <c r="AH39" s="113">
        <f t="shared" si="3"/>
        <v>33295444</v>
      </c>
      <c r="AI39" s="114">
        <f>SUM(AI8:AI38)</f>
        <v>25603532</v>
      </c>
      <c r="AJ39" s="114">
        <f>SUM(AJ8:AJ38)</f>
        <v>7691912</v>
      </c>
      <c r="AK39" s="114">
        <f>SUM(AK8:AK38)</f>
        <v>396798944</v>
      </c>
      <c r="AL39" s="113">
        <f t="shared" si="4"/>
        <v>241996458</v>
      </c>
      <c r="AM39" s="114">
        <f>SUM(AM8:AM38)</f>
        <v>157218050</v>
      </c>
      <c r="AN39" s="114">
        <f>SUM(AN8:AN38)</f>
        <v>34328506</v>
      </c>
      <c r="AO39" s="113"/>
      <c r="AP39" s="114">
        <f t="shared" ref="AP39:BN39" si="20">SUM(AP8:AP38)</f>
        <v>50449902</v>
      </c>
      <c r="AQ39" s="114">
        <f t="shared" si="20"/>
        <v>20678713</v>
      </c>
      <c r="AR39" s="114">
        <f t="shared" si="20"/>
        <v>17819</v>
      </c>
      <c r="AS39" s="114">
        <f t="shared" si="20"/>
        <v>264972</v>
      </c>
      <c r="AT39" s="114">
        <f t="shared" si="20"/>
        <v>134524065</v>
      </c>
      <c r="AU39" s="114">
        <f t="shared" si="20"/>
        <v>83128831</v>
      </c>
      <c r="AV39" s="114">
        <f t="shared" si="20"/>
        <v>14978373</v>
      </c>
      <c r="AW39" s="114">
        <f t="shared" si="20"/>
        <v>4927617</v>
      </c>
      <c r="AX39" s="114">
        <f t="shared" si="20"/>
        <v>51395234</v>
      </c>
      <c r="AY39" s="114">
        <f t="shared" si="20"/>
        <v>1530923</v>
      </c>
      <c r="AZ39" s="114">
        <f t="shared" si="20"/>
        <v>14627669</v>
      </c>
      <c r="BA39" s="114">
        <f t="shared" si="20"/>
        <v>12435482</v>
      </c>
      <c r="BB39" s="114">
        <f t="shared" si="20"/>
        <v>18948211</v>
      </c>
      <c r="BC39" s="114">
        <f t="shared" si="20"/>
        <v>47365769</v>
      </c>
      <c r="BD39" s="114">
        <f t="shared" si="20"/>
        <v>14845609</v>
      </c>
      <c r="BE39" s="114">
        <f t="shared" si="20"/>
        <v>2349948</v>
      </c>
      <c r="BF39" s="114">
        <f t="shared" si="20"/>
        <v>28368409</v>
      </c>
      <c r="BG39" s="114">
        <f t="shared" si="20"/>
        <v>498401</v>
      </c>
      <c r="BH39" s="114">
        <f t="shared" si="20"/>
        <v>21435322</v>
      </c>
      <c r="BI39" s="114">
        <f t="shared" si="20"/>
        <v>12620615</v>
      </c>
      <c r="BJ39" s="114">
        <f t="shared" si="20"/>
        <v>29750744</v>
      </c>
      <c r="BK39" s="114">
        <f t="shared" si="20"/>
        <v>6773848</v>
      </c>
      <c r="BL39" s="114">
        <f t="shared" si="20"/>
        <v>359914</v>
      </c>
      <c r="BM39" s="114">
        <f t="shared" si="20"/>
        <v>2099763</v>
      </c>
      <c r="BN39" s="114">
        <f t="shared" si="20"/>
        <v>142957763</v>
      </c>
      <c r="BO39" s="113">
        <f t="shared" si="5"/>
        <v>81403879</v>
      </c>
      <c r="BP39" s="113">
        <f t="shared" si="6"/>
        <v>61465884</v>
      </c>
      <c r="BQ39" s="114">
        <f>SUM(BQ8:BQ38)</f>
        <v>0</v>
      </c>
      <c r="BR39" s="114">
        <f>SUM(BR8:BR38)</f>
        <v>18100</v>
      </c>
      <c r="BS39" s="114">
        <f>SUM(BS8:BS38)</f>
        <v>61447784</v>
      </c>
      <c r="BT39" s="114">
        <f>SUM(BT8:BT38)</f>
        <v>88000</v>
      </c>
      <c r="BU39" s="114">
        <f>SUM(BU8:BU38)</f>
        <v>1909858317</v>
      </c>
      <c r="BV39" s="113"/>
      <c r="BW39" s="114">
        <f t="shared" ref="BW39:CI39" si="21">SUM(BW8:BW38)</f>
        <v>289617412</v>
      </c>
      <c r="BX39" s="114">
        <f t="shared" si="21"/>
        <v>192635502</v>
      </c>
      <c r="BY39" s="114">
        <f t="shared" si="21"/>
        <v>18309839</v>
      </c>
      <c r="BZ39" s="114">
        <f t="shared" si="21"/>
        <v>23453416</v>
      </c>
      <c r="CA39" s="114">
        <f t="shared" si="21"/>
        <v>600219687</v>
      </c>
      <c r="CB39" s="114">
        <f t="shared" si="21"/>
        <v>135232960</v>
      </c>
      <c r="CC39" s="114">
        <f t="shared" si="21"/>
        <v>10583790</v>
      </c>
      <c r="CD39" s="114">
        <f t="shared" si="21"/>
        <v>228872428</v>
      </c>
      <c r="CE39" s="114">
        <f t="shared" si="21"/>
        <v>207916164</v>
      </c>
      <c r="CF39" s="114">
        <f t="shared" si="21"/>
        <v>4812100</v>
      </c>
      <c r="CG39" s="114">
        <f t="shared" si="21"/>
        <v>12788480</v>
      </c>
      <c r="CH39" s="114">
        <f t="shared" si="21"/>
        <v>152149592</v>
      </c>
      <c r="CI39" s="114">
        <f t="shared" si="21"/>
        <v>139260562</v>
      </c>
      <c r="CJ39" s="113">
        <f t="shared" si="17"/>
        <v>12889030</v>
      </c>
      <c r="CK39" s="114">
        <f t="shared" ref="CK39:CS39" si="22">SUM(CK8:CK38)</f>
        <v>218929193</v>
      </c>
      <c r="CL39" s="114">
        <f t="shared" si="22"/>
        <v>136517300</v>
      </c>
      <c r="CM39" s="114">
        <f t="shared" si="22"/>
        <v>14834428</v>
      </c>
      <c r="CN39" s="114">
        <f t="shared" si="22"/>
        <v>35050989</v>
      </c>
      <c r="CO39" s="114">
        <f t="shared" si="22"/>
        <v>14936704</v>
      </c>
      <c r="CP39" s="114">
        <f t="shared" si="22"/>
        <v>166294654</v>
      </c>
      <c r="CQ39" s="114">
        <f t="shared" si="22"/>
        <v>36504422</v>
      </c>
      <c r="CR39" s="114">
        <f t="shared" si="22"/>
        <v>35762995</v>
      </c>
      <c r="CS39" s="114">
        <f t="shared" si="22"/>
        <v>24731779</v>
      </c>
      <c r="CT39" s="113">
        <f t="shared" si="7"/>
        <v>57210085</v>
      </c>
      <c r="CU39" s="114">
        <f>SUM(CU8:CU38)</f>
        <v>42632137</v>
      </c>
      <c r="CV39" s="114">
        <f>SUM(CV8:CV38)</f>
        <v>14577948</v>
      </c>
      <c r="CW39" s="113">
        <f t="shared" si="8"/>
        <v>10686282</v>
      </c>
      <c r="CX39" s="114">
        <f>SUM(CX8:CX38)</f>
        <v>8922245</v>
      </c>
      <c r="CY39" s="114">
        <f>SUM(CY8:CY38)</f>
        <v>1764037</v>
      </c>
      <c r="CZ39" s="113">
        <f t="shared" si="9"/>
        <v>44176072</v>
      </c>
      <c r="DA39" s="114">
        <f t="shared" ref="DA39:DU39" si="23">SUM(DA8:DA38)</f>
        <v>32863703</v>
      </c>
      <c r="DB39" s="114">
        <f t="shared" si="23"/>
        <v>11312369</v>
      </c>
      <c r="DC39" s="114">
        <f t="shared" si="23"/>
        <v>183387249</v>
      </c>
      <c r="DD39" s="114">
        <f t="shared" si="23"/>
        <v>82079987</v>
      </c>
      <c r="DE39" s="114">
        <f t="shared" si="23"/>
        <v>95099585</v>
      </c>
      <c r="DF39" s="114">
        <f t="shared" si="23"/>
        <v>1977621</v>
      </c>
      <c r="DG39" s="114">
        <f t="shared" si="23"/>
        <v>4221240</v>
      </c>
      <c r="DH39" s="114">
        <f t="shared" si="23"/>
        <v>721096</v>
      </c>
      <c r="DI39" s="114">
        <f t="shared" si="23"/>
        <v>48931468</v>
      </c>
      <c r="DJ39" s="114">
        <f t="shared" si="23"/>
        <v>7887370</v>
      </c>
      <c r="DK39" s="114">
        <f t="shared" si="23"/>
        <v>1209289</v>
      </c>
      <c r="DL39" s="114">
        <f t="shared" si="23"/>
        <v>39834809</v>
      </c>
      <c r="DM39" s="114">
        <f t="shared" si="23"/>
        <v>6425716</v>
      </c>
      <c r="DN39" s="114">
        <f t="shared" si="23"/>
        <v>6232450</v>
      </c>
      <c r="DO39" s="114">
        <f t="shared" si="23"/>
        <v>270118</v>
      </c>
      <c r="DP39" s="114">
        <f t="shared" si="23"/>
        <v>723564</v>
      </c>
      <c r="DQ39" s="114">
        <f t="shared" si="23"/>
        <v>11287465</v>
      </c>
      <c r="DR39" s="114">
        <f t="shared" si="23"/>
        <v>0</v>
      </c>
      <c r="DS39" s="114">
        <f t="shared" si="23"/>
        <v>0</v>
      </c>
      <c r="DT39" s="114">
        <f t="shared" si="23"/>
        <v>191536714</v>
      </c>
      <c r="DU39" s="114">
        <f t="shared" si="23"/>
        <v>11723959</v>
      </c>
      <c r="DV39" s="113">
        <f t="shared" si="10"/>
        <v>0</v>
      </c>
      <c r="DW39" s="114">
        <f>SUM(DW8:DW38)</f>
        <v>0</v>
      </c>
      <c r="DX39" s="114">
        <f>SUM(DX8:DX38)</f>
        <v>63679182</v>
      </c>
      <c r="DY39" s="114">
        <f>SUM(DY8:DY38)</f>
        <v>241916</v>
      </c>
      <c r="DZ39" s="114">
        <f>SUM(DZ8:DZ38)</f>
        <v>56145428</v>
      </c>
      <c r="EA39" s="113">
        <v>0</v>
      </c>
      <c r="EB39" s="114">
        <f>SUM(EB8:EB38)</f>
        <v>58719429</v>
      </c>
      <c r="EC39" s="114">
        <f>SUM(EC8:EC38)</f>
        <v>0</v>
      </c>
      <c r="ED39" s="114">
        <f>SUM(ED8:ED38)</f>
        <v>1884436950</v>
      </c>
      <c r="EE39" s="113"/>
      <c r="EF39" s="114">
        <f>SUM(EF8:EF38)</f>
        <v>25421367</v>
      </c>
      <c r="EG39" s="114">
        <f>SUM(EG8:EG38)</f>
        <v>5981718</v>
      </c>
      <c r="EH39" s="114">
        <f>SUM(EH8:EH38)</f>
        <v>19439649</v>
      </c>
      <c r="EI39" s="114">
        <f>SUM(EI8:EI38)</f>
        <v>3984431</v>
      </c>
      <c r="EJ39" s="114">
        <f>SUM(EJ8:EJ38)</f>
        <v>65761</v>
      </c>
      <c r="EK39" s="113"/>
      <c r="EL39" s="114">
        <f>SUM(EL8:EL38)</f>
        <v>5127461</v>
      </c>
      <c r="EM39" s="114">
        <f>SUM(EM8:EM38)</f>
        <v>5131614</v>
      </c>
      <c r="EN39" s="114">
        <f>SUM(EN8:EN38)</f>
        <v>33157633</v>
      </c>
      <c r="EO39" s="114">
        <f>SUM(EO8:EO38)</f>
        <v>10031422</v>
      </c>
      <c r="EP39" s="113">
        <f t="shared" si="11"/>
        <v>37389814</v>
      </c>
      <c r="EQ39" s="114">
        <f t="shared" ref="EQ39:EV39" si="24">SUM(EQ8:EQ38)</f>
        <v>1052437416</v>
      </c>
      <c r="ER39" s="114">
        <f t="shared" si="24"/>
        <v>-141065975</v>
      </c>
      <c r="ES39" s="114">
        <f t="shared" si="24"/>
        <v>266057262</v>
      </c>
      <c r="ET39" s="114">
        <f t="shared" si="24"/>
        <v>174740084</v>
      </c>
      <c r="EU39" s="114">
        <f t="shared" si="24"/>
        <v>175880858</v>
      </c>
      <c r="EV39" s="114">
        <f t="shared" si="24"/>
        <v>150670247</v>
      </c>
      <c r="EW39" s="113">
        <f t="shared" si="12"/>
        <v>42706574</v>
      </c>
      <c r="EX39" s="114">
        <f t="shared" ref="EX39:FF39" si="25">SUM(EX8:EX38)</f>
        <v>42486378</v>
      </c>
      <c r="EY39" s="114">
        <f t="shared" si="25"/>
        <v>3638186</v>
      </c>
      <c r="EZ39" s="114">
        <f t="shared" si="25"/>
        <v>38341101</v>
      </c>
      <c r="FA39" s="114">
        <f t="shared" si="25"/>
        <v>220196</v>
      </c>
      <c r="FB39" s="114">
        <f t="shared" si="25"/>
        <v>0</v>
      </c>
      <c r="FC39" s="114">
        <f t="shared" si="25"/>
        <v>179360101</v>
      </c>
      <c r="FD39" s="114">
        <f t="shared" si="25"/>
        <v>153156507</v>
      </c>
      <c r="FE39" s="114">
        <f t="shared" si="25"/>
        <v>35462827</v>
      </c>
      <c r="FF39" s="114">
        <f t="shared" si="25"/>
        <v>155401945</v>
      </c>
      <c r="FG39" s="113">
        <f t="shared" si="13"/>
        <v>45039662</v>
      </c>
      <c r="FH39" s="114">
        <f>SUM(FH8:FH38)</f>
        <v>1168273156</v>
      </c>
      <c r="FI39" s="441">
        <f t="shared" si="14"/>
        <v>1.9</v>
      </c>
      <c r="FJ39" s="114">
        <f>SUM(FJ8:FJ38)</f>
        <v>962912312</v>
      </c>
      <c r="FK39" s="114">
        <f>SUM(FK8:FK38)</f>
        <v>69800093</v>
      </c>
      <c r="FL39" s="114">
        <f>SUM(FL8:FL38)</f>
        <v>618449664</v>
      </c>
      <c r="FM39" s="114">
        <f>SUM(FM8:FM38)</f>
        <v>786700618</v>
      </c>
      <c r="FN39" s="442">
        <v>0.78300000000000003</v>
      </c>
      <c r="FO39" s="443">
        <v>97.1</v>
      </c>
      <c r="FP39" s="444">
        <v>25</v>
      </c>
      <c r="FQ39" s="443">
        <v>16.7</v>
      </c>
      <c r="FR39" s="443">
        <v>14</v>
      </c>
      <c r="FS39" s="444">
        <v>15.3</v>
      </c>
      <c r="FT39" s="443">
        <v>11.4</v>
      </c>
      <c r="FU39" s="444">
        <v>13.2</v>
      </c>
      <c r="FV39" s="446">
        <v>4.7</v>
      </c>
      <c r="FW39" s="114">
        <f>SUM(FW8:FW38)</f>
        <v>1491747982</v>
      </c>
      <c r="FX39" s="446">
        <f t="shared" si="15"/>
        <v>144.4</v>
      </c>
      <c r="FY39" s="114">
        <f t="shared" ref="FY39:GD39" si="26">SUM(FY8:FY38)</f>
        <v>331114824</v>
      </c>
      <c r="FZ39" s="114">
        <f t="shared" si="26"/>
        <v>138411532</v>
      </c>
      <c r="GA39" s="114">
        <f t="shared" si="26"/>
        <v>28257679</v>
      </c>
      <c r="GB39" s="114">
        <f t="shared" si="26"/>
        <v>164445613</v>
      </c>
      <c r="GC39" s="114">
        <f t="shared" si="26"/>
        <v>0</v>
      </c>
      <c r="GD39" s="114">
        <f t="shared" si="26"/>
        <v>28913</v>
      </c>
      <c r="GE39" s="447">
        <f>IF(GD39=0,"-",ROUND(GD39/GW39*100,1))</f>
        <v>8.3000000000000007</v>
      </c>
      <c r="GF39" s="443">
        <v>99.2</v>
      </c>
      <c r="GG39" s="443">
        <v>34.700000000000003</v>
      </c>
      <c r="GH39" s="443">
        <v>97.5</v>
      </c>
      <c r="GI39" s="114">
        <f>SUM(GI8:GI38)</f>
        <v>29646</v>
      </c>
      <c r="GJ39" s="448" t="s">
        <v>646</v>
      </c>
      <c r="GK39" s="448" t="s">
        <v>646</v>
      </c>
      <c r="GL39" s="449" t="s">
        <v>646</v>
      </c>
      <c r="GM39" s="448" t="s">
        <v>646</v>
      </c>
      <c r="GN39" s="448" t="s">
        <v>646</v>
      </c>
      <c r="GO39" s="449" t="s">
        <v>646</v>
      </c>
      <c r="GP39" s="444">
        <v>4.2</v>
      </c>
      <c r="GQ39" s="447" t="s">
        <v>646</v>
      </c>
      <c r="GR39" s="447" t="s">
        <v>646</v>
      </c>
      <c r="GS39" s="450" t="s">
        <v>646</v>
      </c>
      <c r="GT39" s="447" t="s">
        <v>646</v>
      </c>
      <c r="GU39" s="408"/>
      <c r="GV39" s="115">
        <f t="shared" si="16"/>
        <v>1032712</v>
      </c>
      <c r="GW39" s="408">
        <f>GV12+GV13+GV16+GV17+GV19+GV23+GV26+GV27+GV30+GV31+GV36</f>
        <v>348736</v>
      </c>
      <c r="GX39" s="408"/>
      <c r="GY39" s="408"/>
      <c r="GZ39" s="408"/>
      <c r="HA39" s="408"/>
      <c r="HB39" s="408"/>
      <c r="HC39" s="408"/>
      <c r="HD39" s="408"/>
      <c r="HE39" s="408"/>
      <c r="HF39" s="408"/>
      <c r="HG39" s="408"/>
      <c r="HH39" s="408"/>
      <c r="HI39" s="408"/>
      <c r="HJ39" s="408"/>
      <c r="HK39" s="408"/>
      <c r="HL39" s="408"/>
      <c r="HM39" s="408"/>
      <c r="HN39" s="408"/>
      <c r="HO39" s="408"/>
      <c r="HP39" s="408"/>
      <c r="HQ39" s="408"/>
      <c r="HR39" s="408"/>
      <c r="HS39" s="408"/>
      <c r="HT39" s="408"/>
      <c r="HU39" s="408"/>
      <c r="HV39" s="408"/>
    </row>
    <row r="40" spans="2:230" x14ac:dyDescent="0.15">
      <c r="B40" s="89" t="s">
        <v>69</v>
      </c>
      <c r="C40" s="102">
        <v>5266714</v>
      </c>
      <c r="D40" s="73">
        <f t="shared" si="0"/>
        <v>1762849</v>
      </c>
      <c r="E40" s="102">
        <v>51905</v>
      </c>
      <c r="F40" s="102">
        <v>1710944</v>
      </c>
      <c r="G40" s="73">
        <f t="shared" si="1"/>
        <v>1081244</v>
      </c>
      <c r="H40" s="102">
        <v>59022</v>
      </c>
      <c r="I40" s="102">
        <v>1022222</v>
      </c>
      <c r="J40" s="102">
        <v>1925957</v>
      </c>
      <c r="K40" s="102">
        <v>662013</v>
      </c>
      <c r="L40" s="102">
        <v>847733</v>
      </c>
      <c r="M40" s="102">
        <v>390162</v>
      </c>
      <c r="N40" s="102">
        <v>101401</v>
      </c>
      <c r="O40" s="102">
        <v>366147</v>
      </c>
      <c r="P40" s="102">
        <v>184435</v>
      </c>
      <c r="Q40" s="102">
        <v>181712</v>
      </c>
      <c r="R40" s="102">
        <v>53216</v>
      </c>
      <c r="S40" s="74"/>
      <c r="T40" s="73">
        <f t="shared" si="2"/>
        <v>627249</v>
      </c>
      <c r="U40" s="102">
        <v>11780</v>
      </c>
      <c r="V40" s="102">
        <v>33352</v>
      </c>
      <c r="W40" s="102">
        <v>33678</v>
      </c>
      <c r="X40" s="102">
        <v>480383</v>
      </c>
      <c r="Y40" s="102">
        <v>40926</v>
      </c>
      <c r="Z40" s="102">
        <v>0</v>
      </c>
      <c r="AA40" s="102">
        <v>27130</v>
      </c>
      <c r="AB40" s="102">
        <v>26433</v>
      </c>
      <c r="AC40" s="102">
        <v>1346120</v>
      </c>
      <c r="AD40" s="102">
        <v>1306945</v>
      </c>
      <c r="AE40" s="102">
        <v>39175</v>
      </c>
      <c r="AF40" s="102">
        <v>2874</v>
      </c>
      <c r="AG40" s="102">
        <v>111311</v>
      </c>
      <c r="AH40" s="73">
        <f t="shared" si="3"/>
        <v>323090</v>
      </c>
      <c r="AI40" s="102">
        <v>285823</v>
      </c>
      <c r="AJ40" s="102">
        <v>37267</v>
      </c>
      <c r="AK40" s="102">
        <v>1566683</v>
      </c>
      <c r="AL40" s="73">
        <f t="shared" si="4"/>
        <v>547753</v>
      </c>
      <c r="AM40" s="102">
        <v>201916</v>
      </c>
      <c r="AN40" s="102">
        <v>113388</v>
      </c>
      <c r="AO40" s="74"/>
      <c r="AP40" s="102">
        <v>232449</v>
      </c>
      <c r="AQ40" s="102">
        <v>350318</v>
      </c>
      <c r="AR40" s="102">
        <v>0</v>
      </c>
      <c r="AS40" s="102">
        <v>0</v>
      </c>
      <c r="AT40" s="102">
        <v>750312</v>
      </c>
      <c r="AU40" s="102">
        <v>426803</v>
      </c>
      <c r="AV40" s="102">
        <v>56768</v>
      </c>
      <c r="AW40" s="102">
        <v>28729</v>
      </c>
      <c r="AX40" s="102">
        <v>323509</v>
      </c>
      <c r="AY40" s="102">
        <v>8323</v>
      </c>
      <c r="AZ40" s="102">
        <v>21546</v>
      </c>
      <c r="BA40" s="102">
        <v>15918</v>
      </c>
      <c r="BB40" s="102">
        <v>1903</v>
      </c>
      <c r="BC40" s="102">
        <v>33916</v>
      </c>
      <c r="BD40" s="102">
        <v>0</v>
      </c>
      <c r="BE40" s="102">
        <v>0</v>
      </c>
      <c r="BF40" s="102">
        <v>0</v>
      </c>
      <c r="BG40" s="102">
        <v>0</v>
      </c>
      <c r="BH40" s="102">
        <v>86734</v>
      </c>
      <c r="BI40" s="102">
        <v>55401</v>
      </c>
      <c r="BJ40" s="102">
        <v>97531</v>
      </c>
      <c r="BK40" s="102">
        <v>17418</v>
      </c>
      <c r="BL40" s="102">
        <v>0</v>
      </c>
      <c r="BM40" s="102">
        <v>0</v>
      </c>
      <c r="BN40" s="102">
        <v>1418315</v>
      </c>
      <c r="BO40" s="73">
        <f t="shared" si="5"/>
        <v>832600</v>
      </c>
      <c r="BP40" s="73">
        <f t="shared" si="6"/>
        <v>585715</v>
      </c>
      <c r="BQ40" s="102">
        <v>0</v>
      </c>
      <c r="BR40" s="102">
        <v>0</v>
      </c>
      <c r="BS40" s="102">
        <v>585715</v>
      </c>
      <c r="BT40" s="102">
        <v>0</v>
      </c>
      <c r="BU40" s="102">
        <v>11733947</v>
      </c>
      <c r="BV40" s="71"/>
      <c r="BW40" s="102">
        <v>1943155</v>
      </c>
      <c r="BX40" s="102">
        <v>1292200</v>
      </c>
      <c r="BY40" s="102">
        <v>125016</v>
      </c>
      <c r="BZ40" s="102">
        <v>120108</v>
      </c>
      <c r="CA40" s="102">
        <v>2485564</v>
      </c>
      <c r="CB40" s="102">
        <v>818064</v>
      </c>
      <c r="CC40" s="102">
        <v>60191</v>
      </c>
      <c r="CD40" s="102">
        <v>1309639</v>
      </c>
      <c r="CE40" s="102">
        <v>262527</v>
      </c>
      <c r="CF40" s="102">
        <v>2132</v>
      </c>
      <c r="CG40" s="102">
        <v>33011</v>
      </c>
      <c r="CH40" s="102">
        <v>979765</v>
      </c>
      <c r="CI40" s="102">
        <v>890276</v>
      </c>
      <c r="CJ40" s="83">
        <f t="shared" si="17"/>
        <v>89489</v>
      </c>
      <c r="CK40" s="102">
        <v>1962907</v>
      </c>
      <c r="CL40" s="102">
        <v>1133028</v>
      </c>
      <c r="CM40" s="102">
        <v>263251</v>
      </c>
      <c r="CN40" s="102">
        <v>280173</v>
      </c>
      <c r="CO40" s="102">
        <v>90285</v>
      </c>
      <c r="CP40" s="102">
        <v>312830</v>
      </c>
      <c r="CQ40" s="102">
        <v>1775</v>
      </c>
      <c r="CR40" s="102">
        <v>120842</v>
      </c>
      <c r="CS40" s="102">
        <v>93073</v>
      </c>
      <c r="CT40" s="73">
        <f t="shared" si="7"/>
        <v>3192</v>
      </c>
      <c r="CU40" s="102">
        <v>0</v>
      </c>
      <c r="CV40" s="102">
        <v>3192</v>
      </c>
      <c r="CW40" s="73">
        <f t="shared" si="8"/>
        <v>0</v>
      </c>
      <c r="CX40" s="102">
        <v>0</v>
      </c>
      <c r="CY40" s="102">
        <v>0</v>
      </c>
      <c r="CZ40" s="73">
        <f t="shared" si="9"/>
        <v>0</v>
      </c>
      <c r="DA40" s="102">
        <v>0</v>
      </c>
      <c r="DB40" s="102">
        <v>0</v>
      </c>
      <c r="DC40" s="102">
        <v>1931007</v>
      </c>
      <c r="DD40" s="102">
        <v>1488751</v>
      </c>
      <c r="DE40" s="102">
        <v>442256</v>
      </c>
      <c r="DF40" s="102">
        <v>0</v>
      </c>
      <c r="DG40" s="102">
        <v>0</v>
      </c>
      <c r="DH40" s="102">
        <v>12538</v>
      </c>
      <c r="DI40" s="102">
        <v>297607</v>
      </c>
      <c r="DJ40" s="102">
        <v>282165</v>
      </c>
      <c r="DK40" s="102">
        <v>15</v>
      </c>
      <c r="DL40" s="102">
        <v>15427</v>
      </c>
      <c r="DM40" s="102">
        <v>0</v>
      </c>
      <c r="DN40" s="102">
        <v>0</v>
      </c>
      <c r="DO40" s="102">
        <v>0</v>
      </c>
      <c r="DP40" s="102">
        <v>0</v>
      </c>
      <c r="DQ40" s="102">
        <v>17131</v>
      </c>
      <c r="DR40" s="102">
        <v>0</v>
      </c>
      <c r="DS40" s="102">
        <v>0</v>
      </c>
      <c r="DT40" s="102">
        <v>1480238</v>
      </c>
      <c r="DU40" s="102">
        <v>425000</v>
      </c>
      <c r="DV40" s="73">
        <f t="shared" si="10"/>
        <v>0</v>
      </c>
      <c r="DW40" s="102">
        <v>0</v>
      </c>
      <c r="DX40" s="102">
        <v>366950</v>
      </c>
      <c r="DY40" s="102">
        <v>0</v>
      </c>
      <c r="DZ40" s="102">
        <v>308272</v>
      </c>
      <c r="EA40" s="74">
        <v>0</v>
      </c>
      <c r="EB40" s="102">
        <v>379973</v>
      </c>
      <c r="EC40" s="102">
        <v>0</v>
      </c>
      <c r="ED40" s="102">
        <v>11513027</v>
      </c>
      <c r="EE40" s="71"/>
      <c r="EF40" s="102">
        <v>220920</v>
      </c>
      <c r="EG40" s="102">
        <v>21174</v>
      </c>
      <c r="EH40" s="102">
        <v>199746</v>
      </c>
      <c r="EI40" s="102">
        <v>144345</v>
      </c>
      <c r="EJ40" s="102">
        <v>426510</v>
      </c>
      <c r="EK40" s="71"/>
      <c r="EL40" s="102">
        <v>29983</v>
      </c>
      <c r="EM40" s="102">
        <v>30601</v>
      </c>
      <c r="EN40" s="102">
        <v>33916</v>
      </c>
      <c r="EO40" s="102">
        <v>21430</v>
      </c>
      <c r="EP40" s="73">
        <f t="shared" si="11"/>
        <v>105028</v>
      </c>
      <c r="EQ40" s="102">
        <v>7322606</v>
      </c>
      <c r="ER40" s="71">
        <v>-743215</v>
      </c>
      <c r="ES40" s="102">
        <v>1659708</v>
      </c>
      <c r="ET40" s="102">
        <v>1089443</v>
      </c>
      <c r="EU40" s="102">
        <v>975296</v>
      </c>
      <c r="EV40" s="102">
        <v>931687</v>
      </c>
      <c r="EW40" s="73">
        <f t="shared" si="12"/>
        <v>600129</v>
      </c>
      <c r="EX40" s="102">
        <v>587591</v>
      </c>
      <c r="EY40" s="102">
        <v>319724</v>
      </c>
      <c r="EZ40" s="102">
        <v>267867</v>
      </c>
      <c r="FA40" s="102">
        <v>12538</v>
      </c>
      <c r="FB40" s="102">
        <v>0</v>
      </c>
      <c r="FC40" s="102">
        <v>1743261</v>
      </c>
      <c r="FD40" s="102">
        <v>280182</v>
      </c>
      <c r="FE40" s="102">
        <v>1775</v>
      </c>
      <c r="FF40" s="102">
        <v>1276201</v>
      </c>
      <c r="FG40" s="73">
        <f t="shared" si="13"/>
        <v>378437</v>
      </c>
      <c r="FH40" s="102">
        <v>7844901</v>
      </c>
      <c r="FI40" s="379">
        <f t="shared" si="14"/>
        <v>3</v>
      </c>
      <c r="FJ40" s="102">
        <v>6129621</v>
      </c>
      <c r="FK40" s="102">
        <v>585715</v>
      </c>
      <c r="FL40" s="102">
        <v>3759246</v>
      </c>
      <c r="FM40" s="102">
        <v>5070191</v>
      </c>
      <c r="FN40" s="428">
        <v>0.76800000000000002</v>
      </c>
      <c r="FO40" s="424">
        <v>88.1</v>
      </c>
      <c r="FP40" s="425">
        <v>21.7</v>
      </c>
      <c r="FQ40" s="424">
        <v>12.9</v>
      </c>
      <c r="FR40" s="424">
        <v>12.4</v>
      </c>
      <c r="FS40" s="425">
        <v>21.9</v>
      </c>
      <c r="FT40" s="424">
        <v>3.3</v>
      </c>
      <c r="FU40" s="425">
        <v>14.8</v>
      </c>
      <c r="FV40" s="384">
        <v>5.6</v>
      </c>
      <c r="FW40" s="102">
        <v>11493153</v>
      </c>
      <c r="FX40" s="384">
        <f t="shared" si="15"/>
        <v>171.1</v>
      </c>
      <c r="FY40" s="102">
        <v>4560140</v>
      </c>
      <c r="FZ40" s="102">
        <v>1694977</v>
      </c>
      <c r="GA40" s="102">
        <v>1125882</v>
      </c>
      <c r="GB40" s="102">
        <v>1739281</v>
      </c>
      <c r="GC40" s="107">
        <v>0</v>
      </c>
      <c r="GD40" s="427"/>
      <c r="GE40" s="386"/>
      <c r="GF40" s="424">
        <v>99.6</v>
      </c>
      <c r="GG40" s="424">
        <v>8.1</v>
      </c>
      <c r="GH40" s="424">
        <v>95.2</v>
      </c>
      <c r="GI40" s="102">
        <v>238</v>
      </c>
      <c r="GJ40" s="429" t="s">
        <v>646</v>
      </c>
      <c r="GK40" s="429">
        <v>14.15</v>
      </c>
      <c r="GL40" s="117">
        <v>20</v>
      </c>
      <c r="GM40" s="429" t="s">
        <v>646</v>
      </c>
      <c r="GN40" s="430">
        <v>19.149999999999999</v>
      </c>
      <c r="GO40" s="387">
        <v>30</v>
      </c>
      <c r="GP40" s="425">
        <v>4.3</v>
      </c>
      <c r="GQ40" s="388">
        <v>25</v>
      </c>
      <c r="GR40" s="388">
        <v>35</v>
      </c>
      <c r="GS40" s="431" t="s">
        <v>646</v>
      </c>
      <c r="GT40" s="388">
        <v>350</v>
      </c>
      <c r="GU40" s="394"/>
      <c r="GV40" s="100">
        <f t="shared" si="16"/>
        <v>6715</v>
      </c>
      <c r="GW40" s="394"/>
      <c r="GX40" s="394"/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</row>
    <row r="41" spans="2:230" x14ac:dyDescent="0.15">
      <c r="B41" s="89" t="s">
        <v>71</v>
      </c>
      <c r="C41" s="102">
        <v>1864720</v>
      </c>
      <c r="D41" s="73">
        <f t="shared" si="0"/>
        <v>1103082</v>
      </c>
      <c r="E41" s="102">
        <v>36131</v>
      </c>
      <c r="F41" s="102">
        <v>1066951</v>
      </c>
      <c r="G41" s="73">
        <f t="shared" si="1"/>
        <v>36761</v>
      </c>
      <c r="H41" s="102">
        <v>19582</v>
      </c>
      <c r="I41" s="102">
        <v>17179</v>
      </c>
      <c r="J41" s="102">
        <v>650911</v>
      </c>
      <c r="K41" s="102">
        <v>187484</v>
      </c>
      <c r="L41" s="102">
        <v>332112</v>
      </c>
      <c r="M41" s="102">
        <v>131315</v>
      </c>
      <c r="N41" s="102">
        <v>40518</v>
      </c>
      <c r="O41" s="102">
        <v>0</v>
      </c>
      <c r="P41" s="102">
        <v>0</v>
      </c>
      <c r="Q41" s="102">
        <v>0</v>
      </c>
      <c r="R41" s="102">
        <v>56949</v>
      </c>
      <c r="S41" s="74"/>
      <c r="T41" s="73">
        <f t="shared" si="2"/>
        <v>382120</v>
      </c>
      <c r="U41" s="102">
        <v>7903</v>
      </c>
      <c r="V41" s="102">
        <v>22273</v>
      </c>
      <c r="W41" s="102">
        <v>22318</v>
      </c>
      <c r="X41" s="102">
        <v>293238</v>
      </c>
      <c r="Y41" s="102">
        <v>7364</v>
      </c>
      <c r="Z41" s="102">
        <v>0</v>
      </c>
      <c r="AA41" s="102">
        <v>29024</v>
      </c>
      <c r="AB41" s="102">
        <v>4218</v>
      </c>
      <c r="AC41" s="102">
        <v>2209149</v>
      </c>
      <c r="AD41" s="102">
        <v>1923559</v>
      </c>
      <c r="AE41" s="102">
        <v>285590</v>
      </c>
      <c r="AF41" s="102">
        <v>3106</v>
      </c>
      <c r="AG41" s="102">
        <v>62517</v>
      </c>
      <c r="AH41" s="73">
        <f t="shared" si="3"/>
        <v>72733</v>
      </c>
      <c r="AI41" s="102">
        <v>59470</v>
      </c>
      <c r="AJ41" s="102">
        <v>13263</v>
      </c>
      <c r="AK41" s="102">
        <v>421860</v>
      </c>
      <c r="AL41" s="73">
        <f t="shared" si="4"/>
        <v>122693</v>
      </c>
      <c r="AM41" s="102">
        <v>0</v>
      </c>
      <c r="AN41" s="102">
        <v>2547</v>
      </c>
      <c r="AO41" s="74"/>
      <c r="AP41" s="102">
        <v>120146</v>
      </c>
      <c r="AQ41" s="102">
        <v>0</v>
      </c>
      <c r="AR41" s="102">
        <v>1830</v>
      </c>
      <c r="AS41" s="102">
        <v>0</v>
      </c>
      <c r="AT41" s="102">
        <v>398512</v>
      </c>
      <c r="AU41" s="102">
        <v>138095</v>
      </c>
      <c r="AV41" s="102">
        <v>1370</v>
      </c>
      <c r="AW41" s="102">
        <v>0</v>
      </c>
      <c r="AX41" s="102">
        <v>260417</v>
      </c>
      <c r="AY41" s="102">
        <v>0</v>
      </c>
      <c r="AZ41" s="102">
        <v>6427</v>
      </c>
      <c r="BA41" s="102">
        <v>0</v>
      </c>
      <c r="BB41" s="102">
        <v>21017</v>
      </c>
      <c r="BC41" s="102">
        <v>349985</v>
      </c>
      <c r="BD41" s="102">
        <v>150000</v>
      </c>
      <c r="BE41" s="102">
        <v>0</v>
      </c>
      <c r="BF41" s="102">
        <v>144490</v>
      </c>
      <c r="BG41" s="102">
        <v>0</v>
      </c>
      <c r="BH41" s="102">
        <v>189663</v>
      </c>
      <c r="BI41" s="102">
        <v>145187</v>
      </c>
      <c r="BJ41" s="102">
        <v>102491</v>
      </c>
      <c r="BK41" s="102">
        <v>3126</v>
      </c>
      <c r="BL41" s="102">
        <v>0</v>
      </c>
      <c r="BM41" s="102">
        <v>0</v>
      </c>
      <c r="BN41" s="102">
        <v>649068</v>
      </c>
      <c r="BO41" s="73">
        <f t="shared" si="5"/>
        <v>352200</v>
      </c>
      <c r="BP41" s="73">
        <f t="shared" si="6"/>
        <v>296868</v>
      </c>
      <c r="BQ41" s="102">
        <v>0</v>
      </c>
      <c r="BR41" s="102">
        <v>0</v>
      </c>
      <c r="BS41" s="102">
        <v>296868</v>
      </c>
      <c r="BT41" s="102">
        <v>0</v>
      </c>
      <c r="BU41" s="102">
        <v>6794535</v>
      </c>
      <c r="BV41" s="71"/>
      <c r="BW41" s="102">
        <v>1730130</v>
      </c>
      <c r="BX41" s="102">
        <v>1081493</v>
      </c>
      <c r="BY41" s="102">
        <v>88426</v>
      </c>
      <c r="BZ41" s="102">
        <v>197029</v>
      </c>
      <c r="CA41" s="102">
        <v>588060</v>
      </c>
      <c r="CB41" s="102">
        <v>321140</v>
      </c>
      <c r="CC41" s="102">
        <v>41550</v>
      </c>
      <c r="CD41" s="102">
        <v>212623</v>
      </c>
      <c r="CE41" s="102">
        <v>0</v>
      </c>
      <c r="CF41" s="102">
        <v>0</v>
      </c>
      <c r="CG41" s="102">
        <v>12747</v>
      </c>
      <c r="CH41" s="102">
        <v>578169</v>
      </c>
      <c r="CI41" s="102">
        <v>529639</v>
      </c>
      <c r="CJ41" s="83">
        <f t="shared" si="17"/>
        <v>48530</v>
      </c>
      <c r="CK41" s="102">
        <v>997081</v>
      </c>
      <c r="CL41" s="102">
        <v>532192</v>
      </c>
      <c r="CM41" s="102">
        <v>59455</v>
      </c>
      <c r="CN41" s="102">
        <v>196681</v>
      </c>
      <c r="CO41" s="102">
        <v>147871</v>
      </c>
      <c r="CP41" s="102">
        <v>830755</v>
      </c>
      <c r="CQ41" s="102">
        <v>294633</v>
      </c>
      <c r="CR41" s="102">
        <v>99357</v>
      </c>
      <c r="CS41" s="102">
        <v>76113</v>
      </c>
      <c r="CT41" s="73">
        <f t="shared" si="7"/>
        <v>70558</v>
      </c>
      <c r="CU41" s="102">
        <v>8850</v>
      </c>
      <c r="CV41" s="102">
        <v>61708</v>
      </c>
      <c r="CW41" s="73">
        <f t="shared" si="8"/>
        <v>0</v>
      </c>
      <c r="CX41" s="102">
        <v>0</v>
      </c>
      <c r="CY41" s="102">
        <v>0</v>
      </c>
      <c r="CZ41" s="73">
        <f t="shared" si="9"/>
        <v>0</v>
      </c>
      <c r="DA41" s="102">
        <v>0</v>
      </c>
      <c r="DB41" s="102">
        <v>0</v>
      </c>
      <c r="DC41" s="102">
        <v>601662</v>
      </c>
      <c r="DD41" s="102">
        <v>50691</v>
      </c>
      <c r="DE41" s="102">
        <v>511922</v>
      </c>
      <c r="DF41" s="102">
        <v>0</v>
      </c>
      <c r="DG41" s="102">
        <v>0</v>
      </c>
      <c r="DH41" s="102">
        <v>3661</v>
      </c>
      <c r="DI41" s="102">
        <v>197291</v>
      </c>
      <c r="DJ41" s="102">
        <v>75099</v>
      </c>
      <c r="DK41" s="102">
        <v>0</v>
      </c>
      <c r="DL41" s="102">
        <v>122192</v>
      </c>
      <c r="DM41" s="102">
        <v>0</v>
      </c>
      <c r="DN41" s="102">
        <v>0</v>
      </c>
      <c r="DO41" s="102">
        <v>0</v>
      </c>
      <c r="DP41" s="102">
        <v>0</v>
      </c>
      <c r="DQ41" s="102">
        <v>1632</v>
      </c>
      <c r="DR41" s="102">
        <v>0</v>
      </c>
      <c r="DS41" s="102">
        <v>0</v>
      </c>
      <c r="DT41" s="102">
        <v>935715</v>
      </c>
      <c r="DU41" s="102">
        <v>126955</v>
      </c>
      <c r="DV41" s="73">
        <f t="shared" si="10"/>
        <v>0</v>
      </c>
      <c r="DW41" s="102">
        <v>0</v>
      </c>
      <c r="DX41" s="102">
        <v>328018</v>
      </c>
      <c r="DY41" s="102">
        <v>0</v>
      </c>
      <c r="DZ41" s="102">
        <v>156967</v>
      </c>
      <c r="EA41" s="74">
        <v>0</v>
      </c>
      <c r="EB41" s="102">
        <v>285577</v>
      </c>
      <c r="EC41" s="102">
        <v>0</v>
      </c>
      <c r="ED41" s="102">
        <v>6612027</v>
      </c>
      <c r="EE41" s="71"/>
      <c r="EF41" s="102">
        <v>182508</v>
      </c>
      <c r="EG41" s="102">
        <v>42990</v>
      </c>
      <c r="EH41" s="102">
        <v>139518</v>
      </c>
      <c r="EI41" s="102">
        <v>-5669</v>
      </c>
      <c r="EJ41" s="102">
        <v>-80570</v>
      </c>
      <c r="EK41" s="71"/>
      <c r="EL41" s="102">
        <v>19934</v>
      </c>
      <c r="EM41" s="102">
        <v>20025</v>
      </c>
      <c r="EN41" s="102">
        <v>294714</v>
      </c>
      <c r="EO41" s="102">
        <v>0</v>
      </c>
      <c r="EP41" s="73">
        <f t="shared" si="11"/>
        <v>236024</v>
      </c>
      <c r="EQ41" s="102">
        <v>4520262</v>
      </c>
      <c r="ER41" s="71">
        <v>-824500</v>
      </c>
      <c r="ES41" s="102">
        <v>1541552</v>
      </c>
      <c r="ET41" s="102">
        <v>925490</v>
      </c>
      <c r="EU41" s="102">
        <v>142800</v>
      </c>
      <c r="EV41" s="102">
        <v>578169</v>
      </c>
      <c r="EW41" s="73">
        <f t="shared" si="12"/>
        <v>202872</v>
      </c>
      <c r="EX41" s="102">
        <v>202590</v>
      </c>
      <c r="EY41" s="102">
        <v>6425</v>
      </c>
      <c r="EZ41" s="102">
        <v>183216</v>
      </c>
      <c r="FA41" s="102">
        <v>282</v>
      </c>
      <c r="FB41" s="102">
        <v>0</v>
      </c>
      <c r="FC41" s="102">
        <v>847798</v>
      </c>
      <c r="FD41" s="102">
        <v>741105</v>
      </c>
      <c r="FE41" s="102">
        <v>294633</v>
      </c>
      <c r="FF41" s="102">
        <v>808908</v>
      </c>
      <c r="FG41" s="73">
        <f t="shared" si="13"/>
        <v>299050</v>
      </c>
      <c r="FH41" s="102">
        <v>5162254</v>
      </c>
      <c r="FI41" s="379">
        <f t="shared" si="14"/>
        <v>3.1</v>
      </c>
      <c r="FJ41" s="102">
        <v>4233598</v>
      </c>
      <c r="FK41" s="102">
        <v>296868</v>
      </c>
      <c r="FL41" s="102">
        <v>1833214</v>
      </c>
      <c r="FM41" s="102">
        <v>3759739</v>
      </c>
      <c r="FN41" s="428">
        <v>0.499</v>
      </c>
      <c r="FO41" s="424">
        <v>98.5</v>
      </c>
      <c r="FP41" s="425">
        <v>33.299999999999997</v>
      </c>
      <c r="FQ41" s="424">
        <v>3.1</v>
      </c>
      <c r="FR41" s="424">
        <v>12.7</v>
      </c>
      <c r="FS41" s="425">
        <v>16.3</v>
      </c>
      <c r="FT41" s="424">
        <v>14.3</v>
      </c>
      <c r="FU41" s="425">
        <v>16.399999999999999</v>
      </c>
      <c r="FV41" s="384">
        <v>5.6</v>
      </c>
      <c r="FW41" s="102">
        <v>6154241</v>
      </c>
      <c r="FX41" s="384">
        <f t="shared" si="15"/>
        <v>135.80000000000001</v>
      </c>
      <c r="FY41" s="102">
        <v>3158701</v>
      </c>
      <c r="FZ41" s="102">
        <v>2140461</v>
      </c>
      <c r="GA41" s="102">
        <v>677</v>
      </c>
      <c r="GB41" s="102">
        <v>1017563</v>
      </c>
      <c r="GC41" s="107">
        <v>0</v>
      </c>
      <c r="GD41" s="427"/>
      <c r="GE41" s="386"/>
      <c r="GF41" s="424">
        <v>99.3</v>
      </c>
      <c r="GG41" s="424">
        <v>24.2</v>
      </c>
      <c r="GH41" s="424">
        <v>97.6</v>
      </c>
      <c r="GI41" s="102">
        <v>152</v>
      </c>
      <c r="GJ41" s="429" t="s">
        <v>646</v>
      </c>
      <c r="GK41" s="429">
        <v>15</v>
      </c>
      <c r="GL41" s="117">
        <v>20</v>
      </c>
      <c r="GM41" s="429" t="s">
        <v>646</v>
      </c>
      <c r="GN41" s="430">
        <v>20</v>
      </c>
      <c r="GO41" s="387">
        <v>30</v>
      </c>
      <c r="GP41" s="425">
        <v>6.2</v>
      </c>
      <c r="GQ41" s="388">
        <v>25</v>
      </c>
      <c r="GR41" s="388">
        <v>35</v>
      </c>
      <c r="GS41" s="431" t="s">
        <v>646</v>
      </c>
      <c r="GT41" s="388">
        <v>350</v>
      </c>
      <c r="GU41" s="394"/>
      <c r="GV41" s="100">
        <f t="shared" si="16"/>
        <v>4530</v>
      </c>
      <c r="GW41" s="394"/>
      <c r="GX41" s="394"/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</row>
    <row r="42" spans="2:230" x14ac:dyDescent="0.15">
      <c r="B42" s="89" t="s">
        <v>73</v>
      </c>
      <c r="C42" s="102">
        <v>1167097</v>
      </c>
      <c r="D42" s="73">
        <f t="shared" si="0"/>
        <v>403710</v>
      </c>
      <c r="E42" s="102">
        <v>17676</v>
      </c>
      <c r="F42" s="102">
        <v>386034</v>
      </c>
      <c r="G42" s="73">
        <f t="shared" si="1"/>
        <v>47355</v>
      </c>
      <c r="H42" s="102">
        <v>21832</v>
      </c>
      <c r="I42" s="102">
        <v>25523</v>
      </c>
      <c r="J42" s="102">
        <v>623923</v>
      </c>
      <c r="K42" s="102">
        <v>118461</v>
      </c>
      <c r="L42" s="102">
        <v>229066</v>
      </c>
      <c r="M42" s="102">
        <v>276396</v>
      </c>
      <c r="N42" s="102">
        <v>47277</v>
      </c>
      <c r="O42" s="102">
        <v>0</v>
      </c>
      <c r="P42" s="102">
        <v>0</v>
      </c>
      <c r="Q42" s="102">
        <v>0</v>
      </c>
      <c r="R42" s="102">
        <v>59127</v>
      </c>
      <c r="S42" s="74"/>
      <c r="T42" s="73">
        <f t="shared" si="2"/>
        <v>247099</v>
      </c>
      <c r="U42" s="102">
        <v>2884</v>
      </c>
      <c r="V42" s="102">
        <v>8143</v>
      </c>
      <c r="W42" s="102">
        <v>8182</v>
      </c>
      <c r="X42" s="102">
        <v>175226</v>
      </c>
      <c r="Y42" s="102">
        <v>22597</v>
      </c>
      <c r="Z42" s="102">
        <v>0</v>
      </c>
      <c r="AA42" s="102">
        <v>30067</v>
      </c>
      <c r="AB42" s="102">
        <v>841</v>
      </c>
      <c r="AC42" s="102">
        <v>1990348</v>
      </c>
      <c r="AD42" s="102">
        <v>1716611</v>
      </c>
      <c r="AE42" s="102">
        <v>273737</v>
      </c>
      <c r="AF42" s="102">
        <v>1863</v>
      </c>
      <c r="AG42" s="102">
        <v>10053</v>
      </c>
      <c r="AH42" s="73">
        <f t="shared" si="3"/>
        <v>88339</v>
      </c>
      <c r="AI42" s="102">
        <v>50204</v>
      </c>
      <c r="AJ42" s="102">
        <v>38135</v>
      </c>
      <c r="AK42" s="102">
        <v>322959</v>
      </c>
      <c r="AL42" s="73">
        <f t="shared" si="4"/>
        <v>122740</v>
      </c>
      <c r="AM42" s="102">
        <v>0</v>
      </c>
      <c r="AN42" s="102">
        <v>0</v>
      </c>
      <c r="AO42" s="74"/>
      <c r="AP42" s="102">
        <v>122740</v>
      </c>
      <c r="AQ42" s="102">
        <v>0</v>
      </c>
      <c r="AR42" s="102">
        <v>3364</v>
      </c>
      <c r="AS42" s="102">
        <v>0</v>
      </c>
      <c r="AT42" s="102">
        <v>336562</v>
      </c>
      <c r="AU42" s="102">
        <v>121523</v>
      </c>
      <c r="AV42" s="102">
        <v>0</v>
      </c>
      <c r="AW42" s="102">
        <v>0</v>
      </c>
      <c r="AX42" s="102">
        <v>215039</v>
      </c>
      <c r="AY42" s="102">
        <v>8000</v>
      </c>
      <c r="AZ42" s="102">
        <v>2757</v>
      </c>
      <c r="BA42" s="102">
        <v>18</v>
      </c>
      <c r="BB42" s="102">
        <v>5810</v>
      </c>
      <c r="BC42" s="102">
        <v>254555</v>
      </c>
      <c r="BD42" s="102">
        <v>130000</v>
      </c>
      <c r="BE42" s="102">
        <v>0</v>
      </c>
      <c r="BF42" s="102">
        <v>106334</v>
      </c>
      <c r="BG42" s="102">
        <v>0</v>
      </c>
      <c r="BH42" s="102">
        <v>181072</v>
      </c>
      <c r="BI42" s="102">
        <v>180532</v>
      </c>
      <c r="BJ42" s="102">
        <v>47450</v>
      </c>
      <c r="BK42" s="102">
        <v>0</v>
      </c>
      <c r="BL42" s="102">
        <v>0</v>
      </c>
      <c r="BM42" s="102">
        <v>0</v>
      </c>
      <c r="BN42" s="102">
        <v>233200</v>
      </c>
      <c r="BO42" s="73">
        <f t="shared" si="5"/>
        <v>44000</v>
      </c>
      <c r="BP42" s="73">
        <f t="shared" si="6"/>
        <v>189200</v>
      </c>
      <c r="BQ42" s="102">
        <v>0</v>
      </c>
      <c r="BR42" s="102">
        <v>0</v>
      </c>
      <c r="BS42" s="102">
        <v>189200</v>
      </c>
      <c r="BT42" s="102">
        <v>0</v>
      </c>
      <c r="BU42" s="102">
        <v>4949132</v>
      </c>
      <c r="BV42" s="71"/>
      <c r="BW42" s="102">
        <v>1041757</v>
      </c>
      <c r="BX42" s="102">
        <v>538086</v>
      </c>
      <c r="BY42" s="102">
        <v>86303</v>
      </c>
      <c r="BZ42" s="102">
        <v>158994</v>
      </c>
      <c r="CA42" s="102">
        <v>493554</v>
      </c>
      <c r="CB42" s="102">
        <v>297103</v>
      </c>
      <c r="CC42" s="102">
        <v>22945</v>
      </c>
      <c r="CD42" s="102">
        <v>146714</v>
      </c>
      <c r="CE42" s="102">
        <v>0</v>
      </c>
      <c r="CF42" s="102">
        <v>5407</v>
      </c>
      <c r="CG42" s="102">
        <v>21385</v>
      </c>
      <c r="CH42" s="102">
        <v>471896</v>
      </c>
      <c r="CI42" s="102">
        <v>430996</v>
      </c>
      <c r="CJ42" s="83">
        <f t="shared" si="17"/>
        <v>40900</v>
      </c>
      <c r="CK42" s="102">
        <v>663127</v>
      </c>
      <c r="CL42" s="102">
        <v>424322</v>
      </c>
      <c r="CM42" s="102">
        <v>17946</v>
      </c>
      <c r="CN42" s="102">
        <v>119749</v>
      </c>
      <c r="CO42" s="102">
        <v>26749</v>
      </c>
      <c r="CP42" s="102">
        <v>805590</v>
      </c>
      <c r="CQ42" s="102">
        <v>165473</v>
      </c>
      <c r="CR42" s="102">
        <v>149581</v>
      </c>
      <c r="CS42" s="102">
        <v>91635</v>
      </c>
      <c r="CT42" s="73">
        <f t="shared" si="7"/>
        <v>143518</v>
      </c>
      <c r="CU42" s="102">
        <v>2326</v>
      </c>
      <c r="CV42" s="102">
        <v>141192</v>
      </c>
      <c r="CW42" s="73">
        <f t="shared" si="8"/>
        <v>0</v>
      </c>
      <c r="CX42" s="102">
        <v>0</v>
      </c>
      <c r="CY42" s="102">
        <v>0</v>
      </c>
      <c r="CZ42" s="73">
        <f t="shared" si="9"/>
        <v>0</v>
      </c>
      <c r="DA42" s="102">
        <v>0</v>
      </c>
      <c r="DB42" s="102">
        <v>0</v>
      </c>
      <c r="DC42" s="102">
        <v>257567</v>
      </c>
      <c r="DD42" s="102">
        <v>73350</v>
      </c>
      <c r="DE42" s="102">
        <v>184217</v>
      </c>
      <c r="DF42" s="102">
        <v>0</v>
      </c>
      <c r="DG42" s="102">
        <v>0</v>
      </c>
      <c r="DH42" s="102">
        <v>22103</v>
      </c>
      <c r="DI42" s="102">
        <v>148538</v>
      </c>
      <c r="DJ42" s="102">
        <v>132519</v>
      </c>
      <c r="DK42" s="102">
        <v>0</v>
      </c>
      <c r="DL42" s="102">
        <v>16019</v>
      </c>
      <c r="DM42" s="102">
        <v>65726</v>
      </c>
      <c r="DN42" s="102">
        <v>65726</v>
      </c>
      <c r="DO42" s="102">
        <v>65726</v>
      </c>
      <c r="DP42" s="102">
        <v>0</v>
      </c>
      <c r="DQ42" s="102">
        <v>0</v>
      </c>
      <c r="DR42" s="102">
        <v>0</v>
      </c>
      <c r="DS42" s="102">
        <v>0</v>
      </c>
      <c r="DT42" s="102">
        <v>742982</v>
      </c>
      <c r="DU42" s="102">
        <v>214300</v>
      </c>
      <c r="DV42" s="73">
        <f t="shared" si="10"/>
        <v>0</v>
      </c>
      <c r="DW42" s="102">
        <v>0</v>
      </c>
      <c r="DX42" s="102">
        <v>215462</v>
      </c>
      <c r="DY42" s="102">
        <v>0</v>
      </c>
      <c r="DZ42" s="102">
        <v>119728</v>
      </c>
      <c r="EA42" s="74">
        <v>0</v>
      </c>
      <c r="EB42" s="102">
        <v>174182</v>
      </c>
      <c r="EC42" s="102">
        <v>0</v>
      </c>
      <c r="ED42" s="102">
        <v>4739589</v>
      </c>
      <c r="EE42" s="71"/>
      <c r="EF42" s="102">
        <v>209543</v>
      </c>
      <c r="EG42" s="102">
        <v>50000</v>
      </c>
      <c r="EH42" s="102">
        <v>159543</v>
      </c>
      <c r="EI42" s="102">
        <v>-20989</v>
      </c>
      <c r="EJ42" s="102">
        <v>-18470</v>
      </c>
      <c r="EK42" s="71"/>
      <c r="EL42" s="102">
        <v>10256</v>
      </c>
      <c r="EM42" s="102">
        <v>10393</v>
      </c>
      <c r="EN42" s="102">
        <v>234221</v>
      </c>
      <c r="EO42" s="102">
        <v>2221</v>
      </c>
      <c r="EP42" s="73">
        <f t="shared" si="11"/>
        <v>215011</v>
      </c>
      <c r="EQ42" s="102">
        <v>3466375</v>
      </c>
      <c r="ER42" s="71">
        <v>-638790</v>
      </c>
      <c r="ES42" s="102">
        <v>975116</v>
      </c>
      <c r="ET42" s="102">
        <v>489105</v>
      </c>
      <c r="EU42" s="102">
        <v>137100</v>
      </c>
      <c r="EV42" s="102">
        <v>471896</v>
      </c>
      <c r="EW42" s="73">
        <f t="shared" si="12"/>
        <v>186468</v>
      </c>
      <c r="EX42" s="102">
        <v>177529</v>
      </c>
      <c r="EY42" s="102">
        <v>13699</v>
      </c>
      <c r="EZ42" s="102">
        <v>163830</v>
      </c>
      <c r="FA42" s="102">
        <v>8939</v>
      </c>
      <c r="FB42" s="102">
        <v>0</v>
      </c>
      <c r="FC42" s="102">
        <v>556077</v>
      </c>
      <c r="FD42" s="102">
        <v>686252</v>
      </c>
      <c r="FE42" s="102">
        <v>165473</v>
      </c>
      <c r="FF42" s="102">
        <v>649561</v>
      </c>
      <c r="FG42" s="73">
        <f t="shared" si="13"/>
        <v>233152</v>
      </c>
      <c r="FH42" s="102">
        <v>3895622</v>
      </c>
      <c r="FI42" s="379">
        <f t="shared" si="14"/>
        <v>4.7</v>
      </c>
      <c r="FJ42" s="102">
        <v>3170232</v>
      </c>
      <c r="FK42" s="102">
        <v>189200</v>
      </c>
      <c r="FL42" s="102">
        <v>1152728</v>
      </c>
      <c r="FM42" s="102">
        <v>2883425</v>
      </c>
      <c r="FN42" s="428">
        <v>0.41</v>
      </c>
      <c r="FO42" s="424">
        <v>98.4</v>
      </c>
      <c r="FP42" s="425">
        <v>26.9</v>
      </c>
      <c r="FQ42" s="424">
        <v>4</v>
      </c>
      <c r="FR42" s="424">
        <v>13.9</v>
      </c>
      <c r="FS42" s="425">
        <v>15</v>
      </c>
      <c r="FT42" s="424">
        <v>18.600000000000001</v>
      </c>
      <c r="FU42" s="425">
        <v>17.399999999999999</v>
      </c>
      <c r="FV42" s="384">
        <v>14</v>
      </c>
      <c r="FW42" s="102">
        <v>5593558</v>
      </c>
      <c r="FX42" s="384">
        <f t="shared" si="15"/>
        <v>166.5</v>
      </c>
      <c r="FY42" s="102">
        <v>2104894</v>
      </c>
      <c r="FZ42" s="102">
        <v>1464764</v>
      </c>
      <c r="GA42" s="102">
        <v>0</v>
      </c>
      <c r="GB42" s="102">
        <v>640130</v>
      </c>
      <c r="GC42" s="107">
        <v>0</v>
      </c>
      <c r="GD42" s="427"/>
      <c r="GE42" s="386"/>
      <c r="GF42" s="424">
        <v>99</v>
      </c>
      <c r="GG42" s="424">
        <v>22.4</v>
      </c>
      <c r="GH42" s="424">
        <v>95.6</v>
      </c>
      <c r="GI42" s="102">
        <v>88</v>
      </c>
      <c r="GJ42" s="429" t="s">
        <v>646</v>
      </c>
      <c r="GK42" s="429">
        <v>15</v>
      </c>
      <c r="GL42" s="117">
        <v>20</v>
      </c>
      <c r="GM42" s="429" t="s">
        <v>646</v>
      </c>
      <c r="GN42" s="430">
        <v>20</v>
      </c>
      <c r="GO42" s="387">
        <v>30</v>
      </c>
      <c r="GP42" s="425">
        <v>14.7</v>
      </c>
      <c r="GQ42" s="388">
        <v>25</v>
      </c>
      <c r="GR42" s="388">
        <v>35</v>
      </c>
      <c r="GS42" s="431">
        <v>121.2</v>
      </c>
      <c r="GT42" s="388">
        <v>350</v>
      </c>
      <c r="GU42" s="394"/>
      <c r="GV42" s="100">
        <f t="shared" si="16"/>
        <v>3359</v>
      </c>
      <c r="GW42" s="394"/>
      <c r="GX42" s="394"/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</row>
    <row r="43" spans="2:230" x14ac:dyDescent="0.15">
      <c r="B43" s="89" t="s">
        <v>75</v>
      </c>
      <c r="C43" s="102">
        <v>2416471</v>
      </c>
      <c r="D43" s="73">
        <f t="shared" si="0"/>
        <v>733577</v>
      </c>
      <c r="E43" s="102">
        <v>25880</v>
      </c>
      <c r="F43" s="102">
        <v>707697</v>
      </c>
      <c r="G43" s="73">
        <f t="shared" si="1"/>
        <v>188630</v>
      </c>
      <c r="H43" s="102">
        <v>49792</v>
      </c>
      <c r="I43" s="102">
        <v>138838</v>
      </c>
      <c r="J43" s="102">
        <v>1124438</v>
      </c>
      <c r="K43" s="102">
        <v>530291</v>
      </c>
      <c r="L43" s="102">
        <v>416596</v>
      </c>
      <c r="M43" s="102">
        <v>166205</v>
      </c>
      <c r="N43" s="102">
        <v>100020</v>
      </c>
      <c r="O43" s="102">
        <v>235273</v>
      </c>
      <c r="P43" s="102">
        <v>143261</v>
      </c>
      <c r="Q43" s="102">
        <v>92012</v>
      </c>
      <c r="R43" s="102">
        <v>32730</v>
      </c>
      <c r="S43" s="74"/>
      <c r="T43" s="73">
        <f t="shared" si="2"/>
        <v>348825</v>
      </c>
      <c r="U43" s="102">
        <v>4603</v>
      </c>
      <c r="V43" s="102">
        <v>13072</v>
      </c>
      <c r="W43" s="102">
        <v>13265</v>
      </c>
      <c r="X43" s="102">
        <v>301203</v>
      </c>
      <c r="Y43" s="102">
        <v>0</v>
      </c>
      <c r="Z43" s="102">
        <v>0</v>
      </c>
      <c r="AA43" s="102">
        <v>16682</v>
      </c>
      <c r="AB43" s="102">
        <v>13925</v>
      </c>
      <c r="AC43" s="102">
        <v>1693689</v>
      </c>
      <c r="AD43" s="102">
        <v>1432407</v>
      </c>
      <c r="AE43" s="102">
        <v>261282</v>
      </c>
      <c r="AF43" s="102">
        <v>3420</v>
      </c>
      <c r="AG43" s="102">
        <v>3646</v>
      </c>
      <c r="AH43" s="73">
        <f t="shared" si="3"/>
        <v>178138</v>
      </c>
      <c r="AI43" s="102">
        <v>137041</v>
      </c>
      <c r="AJ43" s="102">
        <v>41097</v>
      </c>
      <c r="AK43" s="102">
        <v>631165</v>
      </c>
      <c r="AL43" s="73">
        <f t="shared" si="4"/>
        <v>165508</v>
      </c>
      <c r="AM43" s="102">
        <v>0</v>
      </c>
      <c r="AN43" s="102">
        <v>38297</v>
      </c>
      <c r="AO43" s="74"/>
      <c r="AP43" s="102">
        <v>127211</v>
      </c>
      <c r="AQ43" s="102">
        <v>51046</v>
      </c>
      <c r="AR43" s="102">
        <v>0</v>
      </c>
      <c r="AS43" s="102">
        <v>0</v>
      </c>
      <c r="AT43" s="102">
        <v>456854</v>
      </c>
      <c r="AU43" s="102">
        <v>206401</v>
      </c>
      <c r="AV43" s="102">
        <v>19238</v>
      </c>
      <c r="AW43" s="102">
        <v>3633</v>
      </c>
      <c r="AX43" s="102">
        <v>250453</v>
      </c>
      <c r="AY43" s="102">
        <v>0</v>
      </c>
      <c r="AZ43" s="102">
        <v>31266</v>
      </c>
      <c r="BA43" s="102">
        <v>711</v>
      </c>
      <c r="BB43" s="102">
        <v>103694</v>
      </c>
      <c r="BC43" s="102">
        <v>91027</v>
      </c>
      <c r="BD43" s="102">
        <v>84000</v>
      </c>
      <c r="BE43" s="102">
        <v>0</v>
      </c>
      <c r="BF43" s="102">
        <v>3522</v>
      </c>
      <c r="BG43" s="102">
        <v>0</v>
      </c>
      <c r="BH43" s="102">
        <v>8779</v>
      </c>
      <c r="BI43" s="102">
        <v>8529</v>
      </c>
      <c r="BJ43" s="102">
        <v>81295</v>
      </c>
      <c r="BK43" s="102">
        <v>0</v>
      </c>
      <c r="BL43" s="102">
        <v>0</v>
      </c>
      <c r="BM43" s="102">
        <v>0</v>
      </c>
      <c r="BN43" s="102">
        <v>427449</v>
      </c>
      <c r="BO43" s="73">
        <f t="shared" si="5"/>
        <v>166300</v>
      </c>
      <c r="BP43" s="73">
        <f t="shared" si="6"/>
        <v>261149</v>
      </c>
      <c r="BQ43" s="102">
        <v>0</v>
      </c>
      <c r="BR43" s="102">
        <v>0</v>
      </c>
      <c r="BS43" s="102">
        <v>261149</v>
      </c>
      <c r="BT43" s="102">
        <v>0</v>
      </c>
      <c r="BU43" s="102">
        <v>6522373</v>
      </c>
      <c r="BV43" s="71"/>
      <c r="BW43" s="102">
        <v>1277363</v>
      </c>
      <c r="BX43" s="102">
        <v>917818</v>
      </c>
      <c r="BY43" s="102">
        <v>58261</v>
      </c>
      <c r="BZ43" s="102">
        <v>12517</v>
      </c>
      <c r="CA43" s="102">
        <v>1153117</v>
      </c>
      <c r="CB43" s="102">
        <v>500418</v>
      </c>
      <c r="CC43" s="102">
        <v>31547</v>
      </c>
      <c r="CD43" s="102">
        <v>597860</v>
      </c>
      <c r="CE43" s="102">
        <v>0</v>
      </c>
      <c r="CF43" s="102">
        <v>0</v>
      </c>
      <c r="CG43" s="102">
        <v>23292</v>
      </c>
      <c r="CH43" s="102">
        <v>869129</v>
      </c>
      <c r="CI43" s="102">
        <v>780976</v>
      </c>
      <c r="CJ43" s="83">
        <f t="shared" si="17"/>
        <v>88153</v>
      </c>
      <c r="CK43" s="102">
        <v>1389960</v>
      </c>
      <c r="CL43" s="102">
        <v>961208</v>
      </c>
      <c r="CM43" s="102">
        <v>127378</v>
      </c>
      <c r="CN43" s="102">
        <v>148818</v>
      </c>
      <c r="CO43" s="102">
        <v>29303</v>
      </c>
      <c r="CP43" s="102">
        <v>241613</v>
      </c>
      <c r="CQ43" s="102">
        <v>23446</v>
      </c>
      <c r="CR43" s="102">
        <v>56413</v>
      </c>
      <c r="CS43" s="102">
        <v>39923</v>
      </c>
      <c r="CT43" s="73">
        <f t="shared" si="7"/>
        <v>302</v>
      </c>
      <c r="CU43" s="102">
        <v>302</v>
      </c>
      <c r="CV43" s="102">
        <v>0</v>
      </c>
      <c r="CW43" s="73">
        <f t="shared" si="8"/>
        <v>0</v>
      </c>
      <c r="CX43" s="102">
        <v>0</v>
      </c>
      <c r="CY43" s="102">
        <v>0</v>
      </c>
      <c r="CZ43" s="73">
        <f t="shared" si="9"/>
        <v>0</v>
      </c>
      <c r="DA43" s="102">
        <v>0</v>
      </c>
      <c r="DB43" s="102">
        <v>0</v>
      </c>
      <c r="DC43" s="102">
        <v>249239</v>
      </c>
      <c r="DD43" s="102">
        <v>143538</v>
      </c>
      <c r="DE43" s="102">
        <v>105701</v>
      </c>
      <c r="DF43" s="102">
        <v>0</v>
      </c>
      <c r="DG43" s="102">
        <v>0</v>
      </c>
      <c r="DH43" s="102">
        <v>5402</v>
      </c>
      <c r="DI43" s="102">
        <v>111768</v>
      </c>
      <c r="DJ43" s="102">
        <v>56508</v>
      </c>
      <c r="DK43" s="102">
        <v>0</v>
      </c>
      <c r="DL43" s="102">
        <v>55260</v>
      </c>
      <c r="DM43" s="102">
        <v>0</v>
      </c>
      <c r="DN43" s="102">
        <v>0</v>
      </c>
      <c r="DO43" s="102">
        <v>0</v>
      </c>
      <c r="DP43" s="102">
        <v>0</v>
      </c>
      <c r="DQ43" s="102">
        <v>0</v>
      </c>
      <c r="DR43" s="102">
        <v>0</v>
      </c>
      <c r="DS43" s="102">
        <v>0</v>
      </c>
      <c r="DT43" s="102">
        <v>1176712</v>
      </c>
      <c r="DU43" s="102">
        <v>427827</v>
      </c>
      <c r="DV43" s="73">
        <f t="shared" si="10"/>
        <v>0</v>
      </c>
      <c r="DW43" s="102">
        <v>0</v>
      </c>
      <c r="DX43" s="102">
        <v>289227</v>
      </c>
      <c r="DY43" s="102">
        <v>0</v>
      </c>
      <c r="DZ43" s="102">
        <v>222838</v>
      </c>
      <c r="EA43" s="74">
        <v>0</v>
      </c>
      <c r="EB43" s="102">
        <v>236820</v>
      </c>
      <c r="EC43" s="102">
        <v>0</v>
      </c>
      <c r="ED43" s="102">
        <v>6503606</v>
      </c>
      <c r="EE43" s="71"/>
      <c r="EF43" s="102">
        <v>18767</v>
      </c>
      <c r="EG43" s="102">
        <v>7190</v>
      </c>
      <c r="EH43" s="102">
        <v>11577</v>
      </c>
      <c r="EI43" s="102">
        <v>3048</v>
      </c>
      <c r="EJ43" s="102">
        <v>-24444</v>
      </c>
      <c r="EK43" s="71"/>
      <c r="EL43" s="102">
        <v>17298</v>
      </c>
      <c r="EM43" s="102">
        <v>17270</v>
      </c>
      <c r="EN43" s="102">
        <v>86951</v>
      </c>
      <c r="EO43" s="102">
        <v>31206</v>
      </c>
      <c r="EP43" s="73">
        <f t="shared" si="11"/>
        <v>99881</v>
      </c>
      <c r="EQ43" s="102">
        <v>4509060</v>
      </c>
      <c r="ER43" s="71">
        <v>-475767</v>
      </c>
      <c r="ES43" s="102">
        <v>1205524</v>
      </c>
      <c r="ET43" s="102">
        <v>848715</v>
      </c>
      <c r="EU43" s="102">
        <v>398124</v>
      </c>
      <c r="EV43" s="102">
        <v>869129</v>
      </c>
      <c r="EW43" s="73">
        <f t="shared" si="12"/>
        <v>32069</v>
      </c>
      <c r="EX43" s="102">
        <v>26667</v>
      </c>
      <c r="EY43" s="102">
        <v>9526</v>
      </c>
      <c r="EZ43" s="102">
        <v>17141</v>
      </c>
      <c r="FA43" s="102">
        <v>5402</v>
      </c>
      <c r="FB43" s="102">
        <v>0</v>
      </c>
      <c r="FC43" s="102">
        <v>1163384</v>
      </c>
      <c r="FD43" s="102">
        <v>219940</v>
      </c>
      <c r="FE43" s="102">
        <v>23446</v>
      </c>
      <c r="FF43" s="102">
        <v>1040269</v>
      </c>
      <c r="FG43" s="73">
        <f t="shared" si="13"/>
        <v>37621</v>
      </c>
      <c r="FH43" s="102">
        <v>4966060</v>
      </c>
      <c r="FI43" s="379">
        <f t="shared" si="14"/>
        <v>0.3</v>
      </c>
      <c r="FJ43" s="102">
        <v>3900670</v>
      </c>
      <c r="FK43" s="102">
        <v>261149</v>
      </c>
      <c r="FL43" s="102">
        <v>1933070</v>
      </c>
      <c r="FM43" s="102">
        <v>3368134</v>
      </c>
      <c r="FN43" s="428">
        <v>0.56799999999999995</v>
      </c>
      <c r="FO43" s="424">
        <v>109.4</v>
      </c>
      <c r="FP43" s="425">
        <v>27.7</v>
      </c>
      <c r="FQ43" s="424">
        <v>9.1999999999999993</v>
      </c>
      <c r="FR43" s="424">
        <v>20</v>
      </c>
      <c r="FS43" s="425">
        <v>25.2</v>
      </c>
      <c r="FT43" s="424">
        <v>3.6</v>
      </c>
      <c r="FU43" s="425">
        <v>23</v>
      </c>
      <c r="FV43" s="384">
        <v>19.3</v>
      </c>
      <c r="FW43" s="102">
        <v>7763700</v>
      </c>
      <c r="FX43" s="384">
        <f t="shared" si="15"/>
        <v>186.5</v>
      </c>
      <c r="FY43" s="102">
        <v>431758</v>
      </c>
      <c r="FZ43" s="102">
        <v>232090</v>
      </c>
      <c r="GA43" s="102">
        <v>0</v>
      </c>
      <c r="GB43" s="102">
        <v>199668</v>
      </c>
      <c r="GC43" s="107">
        <v>0</v>
      </c>
      <c r="GD43" s="427"/>
      <c r="GE43" s="386"/>
      <c r="GF43" s="424">
        <v>99.2</v>
      </c>
      <c r="GG43" s="424">
        <v>61.6</v>
      </c>
      <c r="GH43" s="424">
        <v>97.7</v>
      </c>
      <c r="GI43" s="102">
        <v>153</v>
      </c>
      <c r="GJ43" s="429" t="s">
        <v>646</v>
      </c>
      <c r="GK43" s="429">
        <v>15</v>
      </c>
      <c r="GL43" s="117">
        <v>20</v>
      </c>
      <c r="GM43" s="429" t="s">
        <v>646</v>
      </c>
      <c r="GN43" s="430">
        <v>20</v>
      </c>
      <c r="GO43" s="387">
        <v>30</v>
      </c>
      <c r="GP43" s="425">
        <v>17.8</v>
      </c>
      <c r="GQ43" s="388">
        <v>25</v>
      </c>
      <c r="GR43" s="388">
        <v>35</v>
      </c>
      <c r="GS43" s="431">
        <v>89.8</v>
      </c>
      <c r="GT43" s="388">
        <v>350</v>
      </c>
      <c r="GU43" s="394"/>
      <c r="GV43" s="100">
        <f t="shared" si="16"/>
        <v>4162</v>
      </c>
      <c r="GW43" s="394"/>
      <c r="GX43" s="394"/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</row>
    <row r="44" spans="2:230" x14ac:dyDescent="0.15">
      <c r="B44" s="89" t="s">
        <v>77</v>
      </c>
      <c r="C44" s="102">
        <v>4240227</v>
      </c>
      <c r="D44" s="73">
        <f t="shared" si="0"/>
        <v>2251109</v>
      </c>
      <c r="E44" s="102">
        <v>71303</v>
      </c>
      <c r="F44" s="102">
        <v>2179806</v>
      </c>
      <c r="G44" s="73">
        <f t="shared" si="1"/>
        <v>121118</v>
      </c>
      <c r="H44" s="102">
        <v>53032</v>
      </c>
      <c r="I44" s="102">
        <v>68086</v>
      </c>
      <c r="J44" s="102">
        <v>1611731</v>
      </c>
      <c r="K44" s="102">
        <v>579107</v>
      </c>
      <c r="L44" s="102">
        <v>806686</v>
      </c>
      <c r="M44" s="102">
        <v>213931</v>
      </c>
      <c r="N44" s="102">
        <v>157179</v>
      </c>
      <c r="O44" s="102">
        <v>0</v>
      </c>
      <c r="P44" s="102">
        <v>0</v>
      </c>
      <c r="Q44" s="102">
        <v>0</v>
      </c>
      <c r="R44" s="102">
        <v>86739</v>
      </c>
      <c r="S44" s="74"/>
      <c r="T44" s="73">
        <f t="shared" si="2"/>
        <v>854718</v>
      </c>
      <c r="U44" s="102">
        <v>14729</v>
      </c>
      <c r="V44" s="102">
        <v>41680</v>
      </c>
      <c r="W44" s="102">
        <v>42060</v>
      </c>
      <c r="X44" s="102">
        <v>702011</v>
      </c>
      <c r="Y44" s="102">
        <v>10037</v>
      </c>
      <c r="Z44" s="102">
        <v>0</v>
      </c>
      <c r="AA44" s="102">
        <v>44201</v>
      </c>
      <c r="AB44" s="102">
        <v>37356</v>
      </c>
      <c r="AC44" s="102">
        <v>2610412</v>
      </c>
      <c r="AD44" s="102">
        <v>2425124</v>
      </c>
      <c r="AE44" s="102">
        <v>185288</v>
      </c>
      <c r="AF44" s="102">
        <v>6957</v>
      </c>
      <c r="AG44" s="102">
        <v>7248</v>
      </c>
      <c r="AH44" s="73">
        <f t="shared" si="3"/>
        <v>423687</v>
      </c>
      <c r="AI44" s="102">
        <v>327100</v>
      </c>
      <c r="AJ44" s="102">
        <v>96587</v>
      </c>
      <c r="AK44" s="102">
        <v>1621019</v>
      </c>
      <c r="AL44" s="73">
        <f t="shared" si="4"/>
        <v>598391</v>
      </c>
      <c r="AM44" s="102">
        <v>0</v>
      </c>
      <c r="AN44" s="102">
        <v>262689</v>
      </c>
      <c r="AO44" s="74"/>
      <c r="AP44" s="102">
        <v>335702</v>
      </c>
      <c r="AQ44" s="102">
        <v>10468</v>
      </c>
      <c r="AR44" s="102">
        <v>0</v>
      </c>
      <c r="AS44" s="102">
        <v>0</v>
      </c>
      <c r="AT44" s="102">
        <v>998119</v>
      </c>
      <c r="AU44" s="102">
        <v>537642</v>
      </c>
      <c r="AV44" s="102">
        <v>123241</v>
      </c>
      <c r="AW44" s="102">
        <v>150</v>
      </c>
      <c r="AX44" s="102">
        <v>460477</v>
      </c>
      <c r="AY44" s="102">
        <v>1100</v>
      </c>
      <c r="AZ44" s="102">
        <v>14496</v>
      </c>
      <c r="BA44" s="102">
        <v>6417</v>
      </c>
      <c r="BB44" s="102">
        <v>338528</v>
      </c>
      <c r="BC44" s="102">
        <v>154448</v>
      </c>
      <c r="BD44" s="102">
        <v>34000</v>
      </c>
      <c r="BE44" s="102">
        <v>0</v>
      </c>
      <c r="BF44" s="102">
        <v>120318</v>
      </c>
      <c r="BG44" s="102">
        <v>0</v>
      </c>
      <c r="BH44" s="102">
        <v>55373</v>
      </c>
      <c r="BI44" s="102">
        <v>51797</v>
      </c>
      <c r="BJ44" s="102">
        <v>241112</v>
      </c>
      <c r="BK44" s="102">
        <v>0</v>
      </c>
      <c r="BL44" s="102">
        <v>0</v>
      </c>
      <c r="BM44" s="102">
        <v>0</v>
      </c>
      <c r="BN44" s="102">
        <v>941750</v>
      </c>
      <c r="BO44" s="73">
        <f t="shared" si="5"/>
        <v>357750</v>
      </c>
      <c r="BP44" s="73">
        <f t="shared" si="6"/>
        <v>584000</v>
      </c>
      <c r="BQ44" s="102">
        <v>0</v>
      </c>
      <c r="BR44" s="102">
        <v>0</v>
      </c>
      <c r="BS44" s="102">
        <v>584000</v>
      </c>
      <c r="BT44" s="102">
        <v>0</v>
      </c>
      <c r="BU44" s="102">
        <v>12632189</v>
      </c>
      <c r="BV44" s="71"/>
      <c r="BW44" s="102">
        <v>2585896</v>
      </c>
      <c r="BX44" s="102">
        <v>1674852</v>
      </c>
      <c r="BY44" s="102">
        <v>192556</v>
      </c>
      <c r="BZ44" s="102">
        <v>210928</v>
      </c>
      <c r="CA44" s="102">
        <v>2716495</v>
      </c>
      <c r="CB44" s="102">
        <v>873367</v>
      </c>
      <c r="CC44" s="102">
        <v>85173</v>
      </c>
      <c r="CD44" s="102">
        <v>1650114</v>
      </c>
      <c r="CE44" s="102">
        <v>0</v>
      </c>
      <c r="CF44" s="102">
        <v>3925</v>
      </c>
      <c r="CG44" s="102">
        <v>103916</v>
      </c>
      <c r="CH44" s="102">
        <v>1081359</v>
      </c>
      <c r="CI44" s="102">
        <v>1021946</v>
      </c>
      <c r="CJ44" s="83">
        <f t="shared" si="17"/>
        <v>59413</v>
      </c>
      <c r="CK44" s="102">
        <v>2121137</v>
      </c>
      <c r="CL44" s="102">
        <v>1234164</v>
      </c>
      <c r="CM44" s="102">
        <v>192650</v>
      </c>
      <c r="CN44" s="102">
        <v>360951</v>
      </c>
      <c r="CO44" s="102">
        <v>171396</v>
      </c>
      <c r="CP44" s="102">
        <v>1078343</v>
      </c>
      <c r="CQ44" s="102">
        <v>497813</v>
      </c>
      <c r="CR44" s="102">
        <v>297621</v>
      </c>
      <c r="CS44" s="102">
        <v>209517</v>
      </c>
      <c r="CT44" s="73">
        <f t="shared" si="7"/>
        <v>6219</v>
      </c>
      <c r="CU44" s="102">
        <v>5097</v>
      </c>
      <c r="CV44" s="102">
        <v>1122</v>
      </c>
      <c r="CW44" s="73">
        <f t="shared" si="8"/>
        <v>0</v>
      </c>
      <c r="CX44" s="102">
        <v>0</v>
      </c>
      <c r="CY44" s="102">
        <v>0</v>
      </c>
      <c r="CZ44" s="73">
        <f t="shared" si="9"/>
        <v>0</v>
      </c>
      <c r="DA44" s="102">
        <v>0</v>
      </c>
      <c r="DB44" s="102">
        <v>0</v>
      </c>
      <c r="DC44" s="102">
        <v>736327</v>
      </c>
      <c r="DD44" s="102">
        <v>360669</v>
      </c>
      <c r="DE44" s="102">
        <v>375431</v>
      </c>
      <c r="DF44" s="102">
        <v>227</v>
      </c>
      <c r="DG44" s="102">
        <v>0</v>
      </c>
      <c r="DH44" s="102">
        <v>15885</v>
      </c>
      <c r="DI44" s="102">
        <v>258671</v>
      </c>
      <c r="DJ44" s="102">
        <v>26000</v>
      </c>
      <c r="DK44" s="102">
        <v>790</v>
      </c>
      <c r="DL44" s="102">
        <v>231881</v>
      </c>
      <c r="DM44" s="102">
        <v>30000</v>
      </c>
      <c r="DN44" s="102">
        <v>30000</v>
      </c>
      <c r="DO44" s="102">
        <v>30000</v>
      </c>
      <c r="DP44" s="102">
        <v>0</v>
      </c>
      <c r="DQ44" s="102">
        <v>0</v>
      </c>
      <c r="DR44" s="102">
        <v>0</v>
      </c>
      <c r="DS44" s="102">
        <v>0</v>
      </c>
      <c r="DT44" s="102">
        <v>1742715</v>
      </c>
      <c r="DU44" s="102">
        <v>367814</v>
      </c>
      <c r="DV44" s="73">
        <f t="shared" si="10"/>
        <v>0</v>
      </c>
      <c r="DW44" s="102">
        <v>0</v>
      </c>
      <c r="DX44" s="102">
        <v>513635</v>
      </c>
      <c r="DY44" s="102">
        <v>0</v>
      </c>
      <c r="DZ44" s="102">
        <v>360489</v>
      </c>
      <c r="EA44" s="74">
        <v>0</v>
      </c>
      <c r="EB44" s="102">
        <v>500777</v>
      </c>
      <c r="EC44" s="102">
        <v>0</v>
      </c>
      <c r="ED44" s="102">
        <v>12538224</v>
      </c>
      <c r="EE44" s="71"/>
      <c r="EF44" s="102">
        <v>93965</v>
      </c>
      <c r="EG44" s="102">
        <v>42050</v>
      </c>
      <c r="EH44" s="102">
        <v>51915</v>
      </c>
      <c r="EI44" s="102">
        <v>118</v>
      </c>
      <c r="EJ44" s="102">
        <v>-7882</v>
      </c>
      <c r="EK44" s="71"/>
      <c r="EL44" s="102">
        <v>44435</v>
      </c>
      <c r="EM44" s="102">
        <v>43927</v>
      </c>
      <c r="EN44" s="102">
        <v>42858</v>
      </c>
      <c r="EO44" s="102">
        <v>12350</v>
      </c>
      <c r="EP44" s="73">
        <f t="shared" si="11"/>
        <v>471795</v>
      </c>
      <c r="EQ44" s="102">
        <v>7836409</v>
      </c>
      <c r="ER44" s="71">
        <v>-1104046</v>
      </c>
      <c r="ES44" s="102">
        <v>2343750</v>
      </c>
      <c r="ET44" s="102">
        <v>1483017</v>
      </c>
      <c r="EU44" s="102">
        <v>932865</v>
      </c>
      <c r="EV44" s="102">
        <v>1047080</v>
      </c>
      <c r="EW44" s="73">
        <f t="shared" si="12"/>
        <v>218838</v>
      </c>
      <c r="EX44" s="102">
        <v>212261</v>
      </c>
      <c r="EY44" s="102">
        <v>17415</v>
      </c>
      <c r="EZ44" s="102">
        <v>194619</v>
      </c>
      <c r="FA44" s="102">
        <v>6577</v>
      </c>
      <c r="FB44" s="102">
        <v>0</v>
      </c>
      <c r="FC44" s="102">
        <v>1635379</v>
      </c>
      <c r="FD44" s="102">
        <v>934904</v>
      </c>
      <c r="FE44" s="102">
        <v>497445</v>
      </c>
      <c r="FF44" s="102">
        <v>1482529</v>
      </c>
      <c r="FG44" s="73">
        <f t="shared" si="13"/>
        <v>251145</v>
      </c>
      <c r="FH44" s="102">
        <v>8846490</v>
      </c>
      <c r="FI44" s="379">
        <f t="shared" si="14"/>
        <v>0.6</v>
      </c>
      <c r="FJ44" s="102">
        <v>7560294</v>
      </c>
      <c r="FK44" s="102">
        <v>584631</v>
      </c>
      <c r="FL44" s="102">
        <v>4057183</v>
      </c>
      <c r="FM44" s="102">
        <v>6487245</v>
      </c>
      <c r="FN44" s="428">
        <v>0.63600000000000001</v>
      </c>
      <c r="FO44" s="424">
        <v>95.8</v>
      </c>
      <c r="FP44" s="425">
        <v>27</v>
      </c>
      <c r="FQ44" s="424">
        <v>11.1</v>
      </c>
      <c r="FR44" s="424">
        <v>12.5</v>
      </c>
      <c r="FS44" s="425">
        <v>18.3</v>
      </c>
      <c r="FT44" s="424">
        <v>9.1999999999999993</v>
      </c>
      <c r="FU44" s="425">
        <v>16.100000000000001</v>
      </c>
      <c r="FV44" s="384">
        <v>7.4</v>
      </c>
      <c r="FW44" s="102">
        <v>8582510</v>
      </c>
      <c r="FX44" s="384">
        <f t="shared" si="15"/>
        <v>105.4</v>
      </c>
      <c r="FY44" s="102">
        <v>4063794</v>
      </c>
      <c r="FZ44" s="102">
        <v>1063221</v>
      </c>
      <c r="GA44" s="102">
        <v>617091</v>
      </c>
      <c r="GB44" s="102">
        <v>2383482</v>
      </c>
      <c r="GC44" s="107">
        <v>0</v>
      </c>
      <c r="GD44" s="427">
        <v>714</v>
      </c>
      <c r="GE44" s="386">
        <f>IF(GD44=0,"-",ROUND(GD44/(GV44)*100,1))</f>
        <v>8.8000000000000007</v>
      </c>
      <c r="GF44" s="424">
        <v>98.8</v>
      </c>
      <c r="GG44" s="424">
        <v>43.6</v>
      </c>
      <c r="GH44" s="424">
        <v>97</v>
      </c>
      <c r="GI44" s="102">
        <v>285</v>
      </c>
      <c r="GJ44" s="429" t="s">
        <v>646</v>
      </c>
      <c r="GK44" s="429">
        <v>13.71</v>
      </c>
      <c r="GL44" s="117">
        <v>20</v>
      </c>
      <c r="GM44" s="429" t="s">
        <v>646</v>
      </c>
      <c r="GN44" s="430">
        <v>18.71</v>
      </c>
      <c r="GO44" s="387">
        <v>30</v>
      </c>
      <c r="GP44" s="425">
        <v>6.8</v>
      </c>
      <c r="GQ44" s="388">
        <v>25</v>
      </c>
      <c r="GR44" s="388">
        <v>35</v>
      </c>
      <c r="GS44" s="431" t="s">
        <v>646</v>
      </c>
      <c r="GT44" s="388">
        <v>350</v>
      </c>
      <c r="GU44" s="394"/>
      <c r="GV44" s="100">
        <f t="shared" si="16"/>
        <v>8145</v>
      </c>
      <c r="GW44" s="394"/>
      <c r="GX44" s="394"/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</row>
    <row r="45" spans="2:230" x14ac:dyDescent="0.15">
      <c r="B45" s="89" t="s">
        <v>79</v>
      </c>
      <c r="C45" s="102">
        <v>3903600</v>
      </c>
      <c r="D45" s="73">
        <f t="shared" si="0"/>
        <v>354948</v>
      </c>
      <c r="E45" s="102">
        <v>12531</v>
      </c>
      <c r="F45" s="102">
        <v>342417</v>
      </c>
      <c r="G45" s="73">
        <f t="shared" si="1"/>
        <v>374338</v>
      </c>
      <c r="H45" s="102">
        <v>53837</v>
      </c>
      <c r="I45" s="102">
        <v>320501</v>
      </c>
      <c r="J45" s="102">
        <v>2922808</v>
      </c>
      <c r="K45" s="102">
        <v>1462082</v>
      </c>
      <c r="L45" s="102">
        <v>718377</v>
      </c>
      <c r="M45" s="102">
        <v>705149</v>
      </c>
      <c r="N45" s="102">
        <v>235363</v>
      </c>
      <c r="O45" s="102">
        <v>0</v>
      </c>
      <c r="P45" s="102">
        <v>0</v>
      </c>
      <c r="Q45" s="102">
        <v>0</v>
      </c>
      <c r="R45" s="102">
        <v>61237</v>
      </c>
      <c r="S45" s="74"/>
      <c r="T45" s="73">
        <f t="shared" si="2"/>
        <v>208870</v>
      </c>
      <c r="U45" s="102">
        <v>2445</v>
      </c>
      <c r="V45" s="102">
        <v>6958</v>
      </c>
      <c r="W45" s="102">
        <v>7088</v>
      </c>
      <c r="X45" s="102">
        <v>184229</v>
      </c>
      <c r="Y45" s="102">
        <v>0</v>
      </c>
      <c r="Z45" s="102">
        <v>0</v>
      </c>
      <c r="AA45" s="102">
        <v>8150</v>
      </c>
      <c r="AB45" s="102">
        <v>5247</v>
      </c>
      <c r="AC45" s="102">
        <v>5104</v>
      </c>
      <c r="AD45" s="102">
        <v>0</v>
      </c>
      <c r="AE45" s="102">
        <v>5104</v>
      </c>
      <c r="AF45" s="102">
        <v>1199</v>
      </c>
      <c r="AG45" s="102">
        <v>865</v>
      </c>
      <c r="AH45" s="73">
        <f t="shared" si="3"/>
        <v>124193</v>
      </c>
      <c r="AI45" s="102">
        <v>97380</v>
      </c>
      <c r="AJ45" s="102">
        <v>26813</v>
      </c>
      <c r="AK45" s="102">
        <v>283930</v>
      </c>
      <c r="AL45" s="73">
        <f t="shared" si="4"/>
        <v>109292</v>
      </c>
      <c r="AM45" s="102">
        <v>0</v>
      </c>
      <c r="AN45" s="102">
        <v>0</v>
      </c>
      <c r="AO45" s="74"/>
      <c r="AP45" s="102">
        <v>109292</v>
      </c>
      <c r="AQ45" s="102">
        <v>0</v>
      </c>
      <c r="AR45" s="102">
        <v>0</v>
      </c>
      <c r="AS45" s="102">
        <v>0</v>
      </c>
      <c r="AT45" s="102">
        <v>240031</v>
      </c>
      <c r="AU45" s="102">
        <v>108933</v>
      </c>
      <c r="AV45" s="102">
        <v>0</v>
      </c>
      <c r="AW45" s="102">
        <v>0</v>
      </c>
      <c r="AX45" s="102">
        <v>131098</v>
      </c>
      <c r="AY45" s="102">
        <v>7292</v>
      </c>
      <c r="AZ45" s="102">
        <v>7414</v>
      </c>
      <c r="BA45" s="102">
        <v>162</v>
      </c>
      <c r="BB45" s="102">
        <v>4502</v>
      </c>
      <c r="BC45" s="102">
        <v>5200430</v>
      </c>
      <c r="BD45" s="102">
        <v>5200000</v>
      </c>
      <c r="BE45" s="102">
        <v>0</v>
      </c>
      <c r="BF45" s="102">
        <v>430</v>
      </c>
      <c r="BG45" s="102">
        <v>0</v>
      </c>
      <c r="BH45" s="102">
        <v>298529</v>
      </c>
      <c r="BI45" s="102">
        <v>298529</v>
      </c>
      <c r="BJ45" s="102">
        <v>68099</v>
      </c>
      <c r="BK45" s="102">
        <v>0</v>
      </c>
      <c r="BL45" s="102">
        <v>0</v>
      </c>
      <c r="BM45" s="102">
        <v>0</v>
      </c>
      <c r="BN45" s="102">
        <v>0</v>
      </c>
      <c r="BO45" s="73">
        <f t="shared" si="5"/>
        <v>0</v>
      </c>
      <c r="BP45" s="73">
        <f t="shared" si="6"/>
        <v>0</v>
      </c>
      <c r="BQ45" s="102">
        <v>0</v>
      </c>
      <c r="BR45" s="102">
        <v>0</v>
      </c>
      <c r="BS45" s="102">
        <v>0</v>
      </c>
      <c r="BT45" s="102">
        <v>0</v>
      </c>
      <c r="BU45" s="102">
        <v>10413250</v>
      </c>
      <c r="BV45" s="71"/>
      <c r="BW45" s="102">
        <v>1199275</v>
      </c>
      <c r="BX45" s="102">
        <v>719203</v>
      </c>
      <c r="BY45" s="102">
        <v>56568</v>
      </c>
      <c r="BZ45" s="102">
        <v>151611</v>
      </c>
      <c r="CA45" s="102">
        <v>506699</v>
      </c>
      <c r="CB45" s="102">
        <v>232499</v>
      </c>
      <c r="CC45" s="102">
        <v>17996</v>
      </c>
      <c r="CD45" s="102">
        <v>241731</v>
      </c>
      <c r="CE45" s="102">
        <v>0</v>
      </c>
      <c r="CF45" s="102">
        <v>1066</v>
      </c>
      <c r="CG45" s="102">
        <v>13407</v>
      </c>
      <c r="CH45" s="102">
        <v>108832</v>
      </c>
      <c r="CI45" s="102">
        <v>99216</v>
      </c>
      <c r="CJ45" s="83">
        <f t="shared" si="17"/>
        <v>9616</v>
      </c>
      <c r="CK45" s="102">
        <v>528515</v>
      </c>
      <c r="CL45" s="102">
        <v>278985</v>
      </c>
      <c r="CM45" s="102">
        <v>7884</v>
      </c>
      <c r="CN45" s="102">
        <v>156301</v>
      </c>
      <c r="CO45" s="102">
        <v>12895</v>
      </c>
      <c r="CP45" s="102">
        <v>855270</v>
      </c>
      <c r="CQ45" s="102">
        <v>361059</v>
      </c>
      <c r="CR45" s="102">
        <v>47917</v>
      </c>
      <c r="CS45" s="102">
        <v>47917</v>
      </c>
      <c r="CT45" s="73">
        <f t="shared" si="7"/>
        <v>1646</v>
      </c>
      <c r="CU45" s="102">
        <v>0</v>
      </c>
      <c r="CV45" s="102">
        <v>1646</v>
      </c>
      <c r="CW45" s="73">
        <f t="shared" si="8"/>
        <v>0</v>
      </c>
      <c r="CX45" s="102">
        <v>0</v>
      </c>
      <c r="CY45" s="102">
        <v>0</v>
      </c>
      <c r="CZ45" s="73">
        <f t="shared" si="9"/>
        <v>0</v>
      </c>
      <c r="DA45" s="102">
        <v>0</v>
      </c>
      <c r="DB45" s="102">
        <v>0</v>
      </c>
      <c r="DC45" s="102">
        <v>286345</v>
      </c>
      <c r="DD45" s="102">
        <v>83673</v>
      </c>
      <c r="DE45" s="102">
        <v>202672</v>
      </c>
      <c r="DF45" s="102">
        <v>0</v>
      </c>
      <c r="DG45" s="102">
        <v>0</v>
      </c>
      <c r="DH45" s="102">
        <v>0</v>
      </c>
      <c r="DI45" s="102">
        <v>5657394</v>
      </c>
      <c r="DJ45" s="102">
        <v>402312</v>
      </c>
      <c r="DK45" s="102">
        <v>0</v>
      </c>
      <c r="DL45" s="102">
        <v>5255082</v>
      </c>
      <c r="DM45" s="102">
        <v>0</v>
      </c>
      <c r="DN45" s="102">
        <v>0</v>
      </c>
      <c r="DO45" s="102">
        <v>0</v>
      </c>
      <c r="DP45" s="102">
        <v>0</v>
      </c>
      <c r="DQ45" s="102">
        <v>0</v>
      </c>
      <c r="DR45" s="102">
        <v>0</v>
      </c>
      <c r="DS45" s="102">
        <v>0</v>
      </c>
      <c r="DT45" s="102">
        <v>888787</v>
      </c>
      <c r="DU45" s="102">
        <v>571745</v>
      </c>
      <c r="DV45" s="73">
        <f t="shared" si="10"/>
        <v>0</v>
      </c>
      <c r="DW45" s="102">
        <v>0</v>
      </c>
      <c r="DX45" s="102">
        <v>101689</v>
      </c>
      <c r="DY45" s="102">
        <v>0</v>
      </c>
      <c r="DZ45" s="102">
        <v>94643</v>
      </c>
      <c r="EA45" s="74">
        <v>0</v>
      </c>
      <c r="EB45" s="102">
        <v>120710</v>
      </c>
      <c r="EC45" s="102">
        <v>0</v>
      </c>
      <c r="ED45" s="102">
        <v>10044012</v>
      </c>
      <c r="EE45" s="71"/>
      <c r="EF45" s="102">
        <v>369238</v>
      </c>
      <c r="EG45" s="102">
        <v>54162</v>
      </c>
      <c r="EH45" s="102">
        <v>315076</v>
      </c>
      <c r="EI45" s="102">
        <v>16547</v>
      </c>
      <c r="EJ45" s="102">
        <v>-4781141</v>
      </c>
      <c r="EK45" s="71"/>
      <c r="EL45" s="102">
        <v>8417</v>
      </c>
      <c r="EM45" s="102">
        <v>8767</v>
      </c>
      <c r="EN45" s="102">
        <v>5200000</v>
      </c>
      <c r="EO45" s="102">
        <v>288</v>
      </c>
      <c r="EP45" s="73">
        <f t="shared" si="11"/>
        <v>328864</v>
      </c>
      <c r="EQ45" s="102">
        <v>4185257</v>
      </c>
      <c r="ER45" s="71">
        <v>-5527953</v>
      </c>
      <c r="ES45" s="102">
        <v>1080953</v>
      </c>
      <c r="ET45" s="102">
        <v>614157</v>
      </c>
      <c r="EU45" s="102">
        <v>152298</v>
      </c>
      <c r="EV45" s="102">
        <v>108832</v>
      </c>
      <c r="EW45" s="73">
        <f t="shared" si="12"/>
        <v>270645</v>
      </c>
      <c r="EX45" s="102">
        <v>270645</v>
      </c>
      <c r="EY45" s="102">
        <v>73210</v>
      </c>
      <c r="EZ45" s="102">
        <v>197435</v>
      </c>
      <c r="FA45" s="102">
        <v>0</v>
      </c>
      <c r="FB45" s="102">
        <v>0</v>
      </c>
      <c r="FC45" s="102">
        <v>403724</v>
      </c>
      <c r="FD45" s="102">
        <v>833738</v>
      </c>
      <c r="FE45" s="102">
        <v>360817</v>
      </c>
      <c r="FF45" s="102">
        <v>834887</v>
      </c>
      <c r="FG45" s="73">
        <f t="shared" si="13"/>
        <v>5658895</v>
      </c>
      <c r="FH45" s="102">
        <v>9343972</v>
      </c>
      <c r="FI45" s="379">
        <f t="shared" si="14"/>
        <v>6.7</v>
      </c>
      <c r="FJ45" s="102">
        <v>4674688</v>
      </c>
      <c r="FK45" s="102">
        <v>0</v>
      </c>
      <c r="FL45" s="102">
        <v>3558689</v>
      </c>
      <c r="FM45" s="102">
        <v>2183605</v>
      </c>
      <c r="FN45" s="428">
        <v>1.4370000000000001</v>
      </c>
      <c r="FO45" s="424">
        <v>70.599999999999994</v>
      </c>
      <c r="FP45" s="425">
        <v>25.7</v>
      </c>
      <c r="FQ45" s="424">
        <v>3.6</v>
      </c>
      <c r="FR45" s="424">
        <v>2.6</v>
      </c>
      <c r="FS45" s="425">
        <v>9.4</v>
      </c>
      <c r="FT45" s="424">
        <v>10.8</v>
      </c>
      <c r="FU45" s="425">
        <v>18.100000000000001</v>
      </c>
      <c r="FV45" s="384">
        <v>9.8000000000000007</v>
      </c>
      <c r="FW45" s="102">
        <v>496993</v>
      </c>
      <c r="FX45" s="384">
        <f t="shared" si="15"/>
        <v>10.6</v>
      </c>
      <c r="FY45" s="102">
        <v>7861567</v>
      </c>
      <c r="FZ45" s="102">
        <v>2075173</v>
      </c>
      <c r="GA45" s="102">
        <v>0</v>
      </c>
      <c r="GB45" s="102">
        <v>5786394</v>
      </c>
      <c r="GC45" s="107">
        <v>0</v>
      </c>
      <c r="GD45" s="427"/>
      <c r="GE45" s="386"/>
      <c r="GF45" s="424">
        <v>99.8</v>
      </c>
      <c r="GG45" s="424">
        <v>44.9</v>
      </c>
      <c r="GH45" s="424">
        <v>99.6</v>
      </c>
      <c r="GI45" s="102">
        <v>113</v>
      </c>
      <c r="GJ45" s="429" t="s">
        <v>646</v>
      </c>
      <c r="GK45" s="429">
        <v>15</v>
      </c>
      <c r="GL45" s="117">
        <v>20</v>
      </c>
      <c r="GM45" s="429" t="s">
        <v>646</v>
      </c>
      <c r="GN45" s="430">
        <v>20</v>
      </c>
      <c r="GO45" s="387">
        <v>30</v>
      </c>
      <c r="GP45" s="425">
        <v>8.1999999999999993</v>
      </c>
      <c r="GQ45" s="388">
        <v>25</v>
      </c>
      <c r="GR45" s="388">
        <v>35</v>
      </c>
      <c r="GS45" s="431" t="s">
        <v>646</v>
      </c>
      <c r="GT45" s="388">
        <v>350</v>
      </c>
      <c r="GU45" s="394"/>
      <c r="GV45" s="100">
        <f t="shared" si="16"/>
        <v>4675</v>
      </c>
      <c r="GW45" s="394"/>
      <c r="GX45" s="394"/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</row>
    <row r="46" spans="2:230" x14ac:dyDescent="0.15">
      <c r="B46" s="89" t="s">
        <v>81</v>
      </c>
      <c r="C46" s="102">
        <v>2048262</v>
      </c>
      <c r="D46" s="73">
        <f t="shared" si="0"/>
        <v>661398</v>
      </c>
      <c r="E46" s="102">
        <v>25972</v>
      </c>
      <c r="F46" s="102">
        <v>635426</v>
      </c>
      <c r="G46" s="73">
        <f t="shared" si="1"/>
        <v>58038</v>
      </c>
      <c r="H46" s="102">
        <v>30500</v>
      </c>
      <c r="I46" s="102">
        <v>27538</v>
      </c>
      <c r="J46" s="102">
        <v>1214036</v>
      </c>
      <c r="K46" s="102">
        <v>456968</v>
      </c>
      <c r="L46" s="102">
        <v>434114</v>
      </c>
      <c r="M46" s="102">
        <v>319470</v>
      </c>
      <c r="N46" s="102">
        <v>75577</v>
      </c>
      <c r="O46" s="102">
        <v>0</v>
      </c>
      <c r="P46" s="102">
        <v>0</v>
      </c>
      <c r="Q46" s="102">
        <v>0</v>
      </c>
      <c r="R46" s="102">
        <v>45088</v>
      </c>
      <c r="S46" s="74"/>
      <c r="T46" s="73">
        <f t="shared" si="2"/>
        <v>362382</v>
      </c>
      <c r="U46" s="102">
        <v>4417</v>
      </c>
      <c r="V46" s="102">
        <v>12475</v>
      </c>
      <c r="W46" s="102">
        <v>12543</v>
      </c>
      <c r="X46" s="102">
        <v>260533</v>
      </c>
      <c r="Y46" s="102">
        <v>49435</v>
      </c>
      <c r="Z46" s="102">
        <v>0</v>
      </c>
      <c r="AA46" s="102">
        <v>22979</v>
      </c>
      <c r="AB46" s="102">
        <v>6255</v>
      </c>
      <c r="AC46" s="102">
        <v>1901669</v>
      </c>
      <c r="AD46" s="102">
        <v>1641541</v>
      </c>
      <c r="AE46" s="102">
        <v>260128</v>
      </c>
      <c r="AF46" s="102">
        <v>2961</v>
      </c>
      <c r="AG46" s="102">
        <v>10016</v>
      </c>
      <c r="AH46" s="73">
        <f t="shared" si="3"/>
        <v>123019</v>
      </c>
      <c r="AI46" s="102">
        <v>103469</v>
      </c>
      <c r="AJ46" s="102">
        <v>19550</v>
      </c>
      <c r="AK46" s="102">
        <v>1055591</v>
      </c>
      <c r="AL46" s="73">
        <f t="shared" si="4"/>
        <v>201152</v>
      </c>
      <c r="AM46" s="102">
        <v>0</v>
      </c>
      <c r="AN46" s="102">
        <v>16134</v>
      </c>
      <c r="AO46" s="74"/>
      <c r="AP46" s="102">
        <v>185018</v>
      </c>
      <c r="AQ46" s="102">
        <v>46057</v>
      </c>
      <c r="AR46" s="102">
        <v>127</v>
      </c>
      <c r="AS46" s="102">
        <v>0</v>
      </c>
      <c r="AT46" s="102">
        <v>525889</v>
      </c>
      <c r="AU46" s="102">
        <v>222685</v>
      </c>
      <c r="AV46" s="102">
        <v>7721</v>
      </c>
      <c r="AW46" s="102">
        <v>286</v>
      </c>
      <c r="AX46" s="102">
        <v>303204</v>
      </c>
      <c r="AY46" s="102">
        <v>7565</v>
      </c>
      <c r="AZ46" s="102">
        <v>38722</v>
      </c>
      <c r="BA46" s="102">
        <v>216</v>
      </c>
      <c r="BB46" s="102">
        <v>998380</v>
      </c>
      <c r="BC46" s="102">
        <v>927850</v>
      </c>
      <c r="BD46" s="102">
        <v>45000</v>
      </c>
      <c r="BE46" s="102">
        <v>0</v>
      </c>
      <c r="BF46" s="102">
        <v>801579</v>
      </c>
      <c r="BG46" s="102">
        <v>0</v>
      </c>
      <c r="BH46" s="102">
        <v>66998</v>
      </c>
      <c r="BI46" s="102">
        <v>54664</v>
      </c>
      <c r="BJ46" s="102">
        <v>125068</v>
      </c>
      <c r="BK46" s="102">
        <v>539</v>
      </c>
      <c r="BL46" s="102">
        <v>0</v>
      </c>
      <c r="BM46" s="102">
        <v>0</v>
      </c>
      <c r="BN46" s="102">
        <v>949407</v>
      </c>
      <c r="BO46" s="73">
        <f t="shared" si="5"/>
        <v>675800</v>
      </c>
      <c r="BP46" s="73">
        <f t="shared" si="6"/>
        <v>273607</v>
      </c>
      <c r="BQ46" s="102">
        <v>0</v>
      </c>
      <c r="BR46" s="102">
        <v>0</v>
      </c>
      <c r="BS46" s="102">
        <v>273607</v>
      </c>
      <c r="BT46" s="102">
        <v>0</v>
      </c>
      <c r="BU46" s="102">
        <v>9187557</v>
      </c>
      <c r="BV46" s="71"/>
      <c r="BW46" s="102">
        <v>1426072</v>
      </c>
      <c r="BX46" s="102">
        <v>869296</v>
      </c>
      <c r="BY46" s="102">
        <v>238631</v>
      </c>
      <c r="BZ46" s="102">
        <v>16913</v>
      </c>
      <c r="CA46" s="102">
        <v>945444</v>
      </c>
      <c r="CB46" s="102">
        <v>480284</v>
      </c>
      <c r="CC46" s="102">
        <v>37956</v>
      </c>
      <c r="CD46" s="102">
        <v>413284</v>
      </c>
      <c r="CE46" s="102">
        <v>0</v>
      </c>
      <c r="CF46" s="102">
        <v>1271</v>
      </c>
      <c r="CG46" s="102">
        <v>12649</v>
      </c>
      <c r="CH46" s="102">
        <v>755523</v>
      </c>
      <c r="CI46" s="102">
        <v>686719</v>
      </c>
      <c r="CJ46" s="83">
        <f t="shared" si="17"/>
        <v>68804</v>
      </c>
      <c r="CK46" s="102">
        <v>1392682</v>
      </c>
      <c r="CL46" s="102">
        <v>585410</v>
      </c>
      <c r="CM46" s="102">
        <v>246010</v>
      </c>
      <c r="CN46" s="102">
        <v>297533</v>
      </c>
      <c r="CO46" s="102">
        <v>112331</v>
      </c>
      <c r="CP46" s="102">
        <v>880885</v>
      </c>
      <c r="CQ46" s="102">
        <v>331129</v>
      </c>
      <c r="CR46" s="102">
        <v>118594</v>
      </c>
      <c r="CS46" s="102">
        <v>112703</v>
      </c>
      <c r="CT46" s="73">
        <f t="shared" si="7"/>
        <v>1006</v>
      </c>
      <c r="CU46" s="102">
        <v>1006</v>
      </c>
      <c r="CV46" s="102">
        <v>0</v>
      </c>
      <c r="CW46" s="73">
        <f t="shared" si="8"/>
        <v>0</v>
      </c>
      <c r="CX46" s="102">
        <v>0</v>
      </c>
      <c r="CY46" s="102">
        <v>0</v>
      </c>
      <c r="CZ46" s="73">
        <f t="shared" si="9"/>
        <v>0</v>
      </c>
      <c r="DA46" s="102">
        <v>0</v>
      </c>
      <c r="DB46" s="102">
        <v>0</v>
      </c>
      <c r="DC46" s="102">
        <v>1381866</v>
      </c>
      <c r="DD46" s="102">
        <v>1127652</v>
      </c>
      <c r="DE46" s="102">
        <v>252128</v>
      </c>
      <c r="DF46" s="102">
        <v>2086</v>
      </c>
      <c r="DG46" s="102">
        <v>0</v>
      </c>
      <c r="DH46" s="102">
        <v>9916</v>
      </c>
      <c r="DI46" s="102">
        <v>1048136</v>
      </c>
      <c r="DJ46" s="102">
        <v>28618</v>
      </c>
      <c r="DK46" s="102">
        <v>7</v>
      </c>
      <c r="DL46" s="102">
        <v>1019511</v>
      </c>
      <c r="DM46" s="102">
        <v>0</v>
      </c>
      <c r="DN46" s="102">
        <v>0</v>
      </c>
      <c r="DO46" s="102">
        <v>0</v>
      </c>
      <c r="DP46" s="102">
        <v>0</v>
      </c>
      <c r="DQ46" s="102">
        <v>0</v>
      </c>
      <c r="DR46" s="102">
        <v>0</v>
      </c>
      <c r="DS46" s="102">
        <v>0</v>
      </c>
      <c r="DT46" s="102">
        <v>1149966</v>
      </c>
      <c r="DU46" s="102">
        <v>314854</v>
      </c>
      <c r="DV46" s="73">
        <f t="shared" si="10"/>
        <v>0</v>
      </c>
      <c r="DW46" s="102">
        <v>0</v>
      </c>
      <c r="DX46" s="102">
        <v>371942</v>
      </c>
      <c r="DY46" s="102">
        <v>0</v>
      </c>
      <c r="DZ46" s="102">
        <v>169906</v>
      </c>
      <c r="EA46" s="74">
        <v>0</v>
      </c>
      <c r="EB46" s="102">
        <v>281939</v>
      </c>
      <c r="EC46" s="102">
        <v>0</v>
      </c>
      <c r="ED46" s="102">
        <v>9102821</v>
      </c>
      <c r="EE46" s="71"/>
      <c r="EF46" s="102">
        <v>84736</v>
      </c>
      <c r="EG46" s="102">
        <v>26587</v>
      </c>
      <c r="EH46" s="102">
        <v>58149</v>
      </c>
      <c r="EI46" s="102">
        <v>3485</v>
      </c>
      <c r="EJ46" s="102">
        <v>-12897</v>
      </c>
      <c r="EK46" s="71"/>
      <c r="EL46" s="102">
        <v>15938</v>
      </c>
      <c r="EM46" s="102">
        <v>16132</v>
      </c>
      <c r="EN46" s="102">
        <v>49984</v>
      </c>
      <c r="EO46" s="102">
        <v>12527</v>
      </c>
      <c r="EP46" s="73">
        <f t="shared" si="11"/>
        <v>98938</v>
      </c>
      <c r="EQ46" s="102">
        <v>4366617</v>
      </c>
      <c r="ER46" s="71">
        <v>-432095</v>
      </c>
      <c r="ES46" s="102">
        <v>1274210</v>
      </c>
      <c r="ET46" s="102">
        <v>722940</v>
      </c>
      <c r="EU46" s="102">
        <v>236540</v>
      </c>
      <c r="EV46" s="102">
        <v>755523</v>
      </c>
      <c r="EW46" s="73">
        <f t="shared" si="12"/>
        <v>133560</v>
      </c>
      <c r="EX46" s="102">
        <v>123771</v>
      </c>
      <c r="EY46" s="102">
        <v>14306</v>
      </c>
      <c r="EZ46" s="102">
        <v>109079</v>
      </c>
      <c r="FA46" s="102">
        <v>9789</v>
      </c>
      <c r="FB46" s="102">
        <v>0</v>
      </c>
      <c r="FC46" s="102">
        <v>760008</v>
      </c>
      <c r="FD46" s="102">
        <v>431812</v>
      </c>
      <c r="FE46" s="102">
        <v>331129</v>
      </c>
      <c r="FF46" s="102">
        <v>983870</v>
      </c>
      <c r="FG46" s="73">
        <f t="shared" si="13"/>
        <v>138453</v>
      </c>
      <c r="FH46" s="102">
        <v>4713976</v>
      </c>
      <c r="FI46" s="379">
        <f t="shared" si="14"/>
        <v>1.4</v>
      </c>
      <c r="FJ46" s="102">
        <v>3981892</v>
      </c>
      <c r="FK46" s="102">
        <v>273607</v>
      </c>
      <c r="FL46" s="102">
        <v>1834802</v>
      </c>
      <c r="FM46" s="102">
        <v>3478350</v>
      </c>
      <c r="FN46" s="428">
        <v>0.52900000000000003</v>
      </c>
      <c r="FO46" s="424">
        <v>96.2</v>
      </c>
      <c r="FP46" s="425">
        <v>28.3</v>
      </c>
      <c r="FQ46" s="424">
        <v>5.3</v>
      </c>
      <c r="FR46" s="424">
        <v>17.100000000000001</v>
      </c>
      <c r="FS46" s="425">
        <v>15.6</v>
      </c>
      <c r="FT46" s="424">
        <v>9</v>
      </c>
      <c r="FU46" s="425">
        <v>18.399999999999999</v>
      </c>
      <c r="FV46" s="384">
        <v>14.7</v>
      </c>
      <c r="FW46" s="102">
        <v>7588792</v>
      </c>
      <c r="FX46" s="384">
        <f t="shared" si="15"/>
        <v>178.3</v>
      </c>
      <c r="FY46" s="102">
        <v>1614280</v>
      </c>
      <c r="FZ46" s="102">
        <v>841289</v>
      </c>
      <c r="GA46" s="102">
        <v>38460</v>
      </c>
      <c r="GB46" s="102">
        <v>734531</v>
      </c>
      <c r="GC46" s="107">
        <v>0</v>
      </c>
      <c r="GD46" s="427"/>
      <c r="GE46" s="386"/>
      <c r="GF46" s="424">
        <v>98.9</v>
      </c>
      <c r="GG46" s="424">
        <v>17.5</v>
      </c>
      <c r="GH46" s="424">
        <v>94.3</v>
      </c>
      <c r="GI46" s="102">
        <v>135</v>
      </c>
      <c r="GJ46" s="429" t="s">
        <v>646</v>
      </c>
      <c r="GK46" s="429">
        <v>15</v>
      </c>
      <c r="GL46" s="117">
        <v>20</v>
      </c>
      <c r="GM46" s="429" t="s">
        <v>646</v>
      </c>
      <c r="GN46" s="430">
        <v>20</v>
      </c>
      <c r="GO46" s="387">
        <v>30</v>
      </c>
      <c r="GP46" s="425">
        <v>13.5</v>
      </c>
      <c r="GQ46" s="388">
        <v>25</v>
      </c>
      <c r="GR46" s="388">
        <v>35</v>
      </c>
      <c r="GS46" s="431">
        <v>111</v>
      </c>
      <c r="GT46" s="388">
        <v>350</v>
      </c>
      <c r="GU46" s="394"/>
      <c r="GV46" s="100">
        <f t="shared" si="16"/>
        <v>4255</v>
      </c>
      <c r="GW46" s="394"/>
      <c r="GX46" s="394"/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</row>
    <row r="47" spans="2:230" x14ac:dyDescent="0.15">
      <c r="B47" s="89" t="s">
        <v>83</v>
      </c>
      <c r="C47" s="102">
        <v>1444890</v>
      </c>
      <c r="D47" s="73">
        <f t="shared" si="0"/>
        <v>654840</v>
      </c>
      <c r="E47" s="102">
        <v>22555</v>
      </c>
      <c r="F47" s="102">
        <v>632285</v>
      </c>
      <c r="G47" s="73">
        <f t="shared" si="1"/>
        <v>28480</v>
      </c>
      <c r="H47" s="102">
        <v>15907</v>
      </c>
      <c r="I47" s="102">
        <v>12573</v>
      </c>
      <c r="J47" s="102">
        <v>519539</v>
      </c>
      <c r="K47" s="102">
        <v>198374</v>
      </c>
      <c r="L47" s="102">
        <v>260726</v>
      </c>
      <c r="M47" s="102">
        <v>60439</v>
      </c>
      <c r="N47" s="102">
        <v>207523</v>
      </c>
      <c r="O47" s="102">
        <v>0</v>
      </c>
      <c r="P47" s="102">
        <v>0</v>
      </c>
      <c r="Q47" s="102">
        <v>0</v>
      </c>
      <c r="R47" s="102">
        <v>35195</v>
      </c>
      <c r="S47" s="74"/>
      <c r="T47" s="73">
        <f t="shared" si="2"/>
        <v>289903</v>
      </c>
      <c r="U47" s="102">
        <v>4358</v>
      </c>
      <c r="V47" s="102">
        <v>12331</v>
      </c>
      <c r="W47" s="102">
        <v>12437</v>
      </c>
      <c r="X47" s="102">
        <v>218188</v>
      </c>
      <c r="Y47" s="102">
        <v>24650</v>
      </c>
      <c r="Z47" s="102">
        <v>0</v>
      </c>
      <c r="AA47" s="102">
        <v>17939</v>
      </c>
      <c r="AB47" s="102">
        <v>9283</v>
      </c>
      <c r="AC47" s="102">
        <v>1464654</v>
      </c>
      <c r="AD47" s="102">
        <v>1262481</v>
      </c>
      <c r="AE47" s="102">
        <v>202173</v>
      </c>
      <c r="AF47" s="102">
        <v>2254</v>
      </c>
      <c r="AG47" s="102">
        <v>61549</v>
      </c>
      <c r="AH47" s="73">
        <f t="shared" si="3"/>
        <v>54491</v>
      </c>
      <c r="AI47" s="102">
        <v>33948</v>
      </c>
      <c r="AJ47" s="102">
        <v>20543</v>
      </c>
      <c r="AK47" s="102">
        <v>546406</v>
      </c>
      <c r="AL47" s="73">
        <f t="shared" si="4"/>
        <v>200837</v>
      </c>
      <c r="AM47" s="102">
        <v>0</v>
      </c>
      <c r="AN47" s="102">
        <v>104092</v>
      </c>
      <c r="AO47" s="74"/>
      <c r="AP47" s="102">
        <v>96745</v>
      </c>
      <c r="AQ47" s="102">
        <v>23489</v>
      </c>
      <c r="AR47" s="102">
        <v>20234</v>
      </c>
      <c r="AS47" s="102">
        <v>0</v>
      </c>
      <c r="AT47" s="102">
        <v>442367</v>
      </c>
      <c r="AU47" s="102">
        <v>260020</v>
      </c>
      <c r="AV47" s="102">
        <v>51968</v>
      </c>
      <c r="AW47" s="102">
        <v>15908</v>
      </c>
      <c r="AX47" s="102">
        <v>182347</v>
      </c>
      <c r="AY47" s="102">
        <v>0</v>
      </c>
      <c r="AZ47" s="102">
        <v>5575</v>
      </c>
      <c r="BA47" s="102">
        <v>773</v>
      </c>
      <c r="BB47" s="102">
        <v>5260</v>
      </c>
      <c r="BC47" s="102">
        <v>1802</v>
      </c>
      <c r="BD47" s="102">
        <v>0</v>
      </c>
      <c r="BE47" s="102">
        <v>0</v>
      </c>
      <c r="BF47" s="102">
        <v>1802</v>
      </c>
      <c r="BG47" s="102">
        <v>0</v>
      </c>
      <c r="BH47" s="102">
        <v>190444</v>
      </c>
      <c r="BI47" s="102">
        <v>96138</v>
      </c>
      <c r="BJ47" s="102">
        <v>52040</v>
      </c>
      <c r="BK47" s="102">
        <v>0</v>
      </c>
      <c r="BL47" s="102">
        <v>0</v>
      </c>
      <c r="BM47" s="102">
        <v>0</v>
      </c>
      <c r="BN47" s="102">
        <v>378584</v>
      </c>
      <c r="BO47" s="73">
        <f t="shared" si="5"/>
        <v>176000</v>
      </c>
      <c r="BP47" s="73">
        <f t="shared" si="6"/>
        <v>202584</v>
      </c>
      <c r="BQ47" s="102">
        <v>0</v>
      </c>
      <c r="BR47" s="102">
        <v>0</v>
      </c>
      <c r="BS47" s="102">
        <v>202584</v>
      </c>
      <c r="BT47" s="102">
        <v>0</v>
      </c>
      <c r="BU47" s="102">
        <v>4984697</v>
      </c>
      <c r="BV47" s="71"/>
      <c r="BW47" s="102">
        <v>935112</v>
      </c>
      <c r="BX47" s="102">
        <v>624662</v>
      </c>
      <c r="BY47" s="102">
        <v>45175</v>
      </c>
      <c r="BZ47" s="102">
        <v>12575</v>
      </c>
      <c r="CA47" s="102">
        <v>910745</v>
      </c>
      <c r="CB47" s="102">
        <v>271283</v>
      </c>
      <c r="CC47" s="102">
        <v>21872</v>
      </c>
      <c r="CD47" s="102">
        <v>602805</v>
      </c>
      <c r="CE47" s="102">
        <v>0</v>
      </c>
      <c r="CF47" s="102">
        <v>0</v>
      </c>
      <c r="CG47" s="102">
        <v>14785</v>
      </c>
      <c r="CH47" s="102">
        <v>503990</v>
      </c>
      <c r="CI47" s="102">
        <v>459716</v>
      </c>
      <c r="CJ47" s="83">
        <f t="shared" si="17"/>
        <v>44274</v>
      </c>
      <c r="CK47" s="102">
        <v>843299</v>
      </c>
      <c r="CL47" s="102">
        <v>478502</v>
      </c>
      <c r="CM47" s="102">
        <v>138882</v>
      </c>
      <c r="CN47" s="102">
        <v>106955</v>
      </c>
      <c r="CO47" s="102">
        <v>24190</v>
      </c>
      <c r="CP47" s="102">
        <v>568590</v>
      </c>
      <c r="CQ47" s="102">
        <v>93516</v>
      </c>
      <c r="CR47" s="102">
        <v>160257</v>
      </c>
      <c r="CS47" s="102">
        <v>110705</v>
      </c>
      <c r="CT47" s="73">
        <f t="shared" si="7"/>
        <v>0</v>
      </c>
      <c r="CU47" s="102">
        <v>0</v>
      </c>
      <c r="CV47" s="102">
        <v>0</v>
      </c>
      <c r="CW47" s="73">
        <f t="shared" si="8"/>
        <v>0</v>
      </c>
      <c r="CX47" s="102">
        <v>0</v>
      </c>
      <c r="CY47" s="102">
        <v>0</v>
      </c>
      <c r="CZ47" s="73">
        <f t="shared" si="9"/>
        <v>0</v>
      </c>
      <c r="DA47" s="102">
        <v>0</v>
      </c>
      <c r="DB47" s="102">
        <v>0</v>
      </c>
      <c r="DC47" s="102">
        <v>364407</v>
      </c>
      <c r="DD47" s="102">
        <v>138098</v>
      </c>
      <c r="DE47" s="102">
        <v>226309</v>
      </c>
      <c r="DF47" s="102">
        <v>0</v>
      </c>
      <c r="DG47" s="102">
        <v>0</v>
      </c>
      <c r="DH47" s="102">
        <v>64698</v>
      </c>
      <c r="DI47" s="102">
        <v>58141</v>
      </c>
      <c r="DJ47" s="102">
        <v>49918</v>
      </c>
      <c r="DK47" s="102">
        <v>0</v>
      </c>
      <c r="DL47" s="102">
        <v>8223</v>
      </c>
      <c r="DM47" s="102">
        <v>0</v>
      </c>
      <c r="DN47" s="102">
        <v>0</v>
      </c>
      <c r="DO47" s="102">
        <v>0</v>
      </c>
      <c r="DP47" s="102">
        <v>0</v>
      </c>
      <c r="DQ47" s="102">
        <v>0</v>
      </c>
      <c r="DR47" s="102">
        <v>0</v>
      </c>
      <c r="DS47" s="102">
        <v>0</v>
      </c>
      <c r="DT47" s="102">
        <v>630489</v>
      </c>
      <c r="DU47" s="102">
        <v>139768</v>
      </c>
      <c r="DV47" s="73">
        <f t="shared" si="10"/>
        <v>0</v>
      </c>
      <c r="DW47" s="102">
        <v>0</v>
      </c>
      <c r="DX47" s="102">
        <v>162123</v>
      </c>
      <c r="DY47" s="102">
        <v>0</v>
      </c>
      <c r="DZ47" s="102">
        <v>130497</v>
      </c>
      <c r="EA47" s="74">
        <v>0</v>
      </c>
      <c r="EB47" s="102">
        <v>192194</v>
      </c>
      <c r="EC47" s="102">
        <v>0</v>
      </c>
      <c r="ED47" s="102">
        <v>4903661</v>
      </c>
      <c r="EE47" s="71"/>
      <c r="EF47" s="102">
        <v>81036</v>
      </c>
      <c r="EG47" s="102">
        <v>0</v>
      </c>
      <c r="EH47" s="102">
        <v>81036</v>
      </c>
      <c r="EI47" s="102">
        <v>-15102</v>
      </c>
      <c r="EJ47" s="102">
        <v>34816</v>
      </c>
      <c r="EK47" s="71"/>
      <c r="EL47" s="102">
        <v>13748</v>
      </c>
      <c r="EM47" s="102">
        <v>13570</v>
      </c>
      <c r="EN47" s="102">
        <v>0</v>
      </c>
      <c r="EO47" s="102">
        <v>1351</v>
      </c>
      <c r="EP47" s="73">
        <f t="shared" si="11"/>
        <v>159046</v>
      </c>
      <c r="EQ47" s="102">
        <v>3246179</v>
      </c>
      <c r="ER47" s="71">
        <v>-360727</v>
      </c>
      <c r="ES47" s="102">
        <v>876311</v>
      </c>
      <c r="ET47" s="102">
        <v>567777</v>
      </c>
      <c r="EU47" s="102">
        <v>251570</v>
      </c>
      <c r="EV47" s="102">
        <v>503990</v>
      </c>
      <c r="EW47" s="73">
        <f t="shared" si="12"/>
        <v>90752</v>
      </c>
      <c r="EX47" s="102">
        <v>69888</v>
      </c>
      <c r="EY47" s="102">
        <v>11612</v>
      </c>
      <c r="EZ47" s="102">
        <v>58276</v>
      </c>
      <c r="FA47" s="102">
        <v>20864</v>
      </c>
      <c r="FB47" s="102">
        <v>0</v>
      </c>
      <c r="FC47" s="102">
        <v>681087</v>
      </c>
      <c r="FD47" s="102">
        <v>503284</v>
      </c>
      <c r="FE47" s="102">
        <v>89503</v>
      </c>
      <c r="FF47" s="102">
        <v>546555</v>
      </c>
      <c r="FG47" s="73">
        <f t="shared" si="13"/>
        <v>72321</v>
      </c>
      <c r="FH47" s="102">
        <v>3525870</v>
      </c>
      <c r="FI47" s="379">
        <f t="shared" si="14"/>
        <v>2.5</v>
      </c>
      <c r="FJ47" s="102">
        <v>2977385</v>
      </c>
      <c r="FK47" s="102">
        <v>202584</v>
      </c>
      <c r="FL47" s="102">
        <v>1351339</v>
      </c>
      <c r="FM47" s="102">
        <v>2615611</v>
      </c>
      <c r="FN47" s="428">
        <v>0.52</v>
      </c>
      <c r="FO47" s="424">
        <v>95.6</v>
      </c>
      <c r="FP47" s="425">
        <v>26.8</v>
      </c>
      <c r="FQ47" s="424">
        <v>7.7</v>
      </c>
      <c r="FR47" s="424">
        <v>15.5</v>
      </c>
      <c r="FS47" s="425">
        <v>17.899999999999999</v>
      </c>
      <c r="FT47" s="424">
        <v>11.8</v>
      </c>
      <c r="FU47" s="425">
        <v>15.2</v>
      </c>
      <c r="FV47" s="384">
        <v>7.3</v>
      </c>
      <c r="FW47" s="102">
        <v>4537872</v>
      </c>
      <c r="FX47" s="384">
        <f t="shared" si="15"/>
        <v>142.69999999999999</v>
      </c>
      <c r="FY47" s="102">
        <v>3197809</v>
      </c>
      <c r="FZ47" s="102">
        <v>1674514</v>
      </c>
      <c r="GA47" s="102">
        <v>7874</v>
      </c>
      <c r="GB47" s="102">
        <v>1515421</v>
      </c>
      <c r="GC47" s="107">
        <v>0</v>
      </c>
      <c r="GD47" s="427"/>
      <c r="GE47" s="386"/>
      <c r="GF47" s="424">
        <v>99</v>
      </c>
      <c r="GG47" s="424">
        <v>57</v>
      </c>
      <c r="GH47" s="424">
        <v>98.1</v>
      </c>
      <c r="GI47" s="102">
        <v>95</v>
      </c>
      <c r="GJ47" s="429" t="s">
        <v>646</v>
      </c>
      <c r="GK47" s="429">
        <v>15</v>
      </c>
      <c r="GL47" s="117">
        <v>20</v>
      </c>
      <c r="GM47" s="429" t="s">
        <v>646</v>
      </c>
      <c r="GN47" s="430">
        <v>20</v>
      </c>
      <c r="GO47" s="387">
        <v>30</v>
      </c>
      <c r="GP47" s="425">
        <v>7.4</v>
      </c>
      <c r="GQ47" s="388">
        <v>25</v>
      </c>
      <c r="GR47" s="388">
        <v>35</v>
      </c>
      <c r="GS47" s="431" t="s">
        <v>646</v>
      </c>
      <c r="GT47" s="388">
        <v>350</v>
      </c>
      <c r="GU47" s="394"/>
      <c r="GV47" s="100">
        <f t="shared" si="16"/>
        <v>3180</v>
      </c>
      <c r="GW47" s="394"/>
      <c r="GX47" s="394"/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</row>
    <row r="48" spans="2:230" x14ac:dyDescent="0.15">
      <c r="B48" s="89" t="s">
        <v>85</v>
      </c>
      <c r="C48" s="102">
        <v>1572956</v>
      </c>
      <c r="D48" s="73">
        <f t="shared" si="0"/>
        <v>755064</v>
      </c>
      <c r="E48" s="102">
        <v>25830</v>
      </c>
      <c r="F48" s="102">
        <v>729234</v>
      </c>
      <c r="G48" s="73">
        <f t="shared" si="1"/>
        <v>71216</v>
      </c>
      <c r="H48" s="102">
        <v>30179</v>
      </c>
      <c r="I48" s="102">
        <v>41037</v>
      </c>
      <c r="J48" s="102">
        <v>625652</v>
      </c>
      <c r="K48" s="102">
        <v>209011</v>
      </c>
      <c r="L48" s="102">
        <v>330432</v>
      </c>
      <c r="M48" s="102">
        <v>86209</v>
      </c>
      <c r="N48" s="102">
        <v>76490</v>
      </c>
      <c r="O48" s="102">
        <v>0</v>
      </c>
      <c r="P48" s="102">
        <v>0</v>
      </c>
      <c r="Q48" s="102">
        <v>0</v>
      </c>
      <c r="R48" s="102">
        <v>44527</v>
      </c>
      <c r="S48" s="74"/>
      <c r="T48" s="73">
        <f t="shared" si="2"/>
        <v>369900</v>
      </c>
      <c r="U48" s="102">
        <v>5147</v>
      </c>
      <c r="V48" s="102">
        <v>14607</v>
      </c>
      <c r="W48" s="102">
        <v>14804</v>
      </c>
      <c r="X48" s="102">
        <v>270577</v>
      </c>
      <c r="Y48" s="102">
        <v>42068</v>
      </c>
      <c r="Z48" s="102">
        <v>0</v>
      </c>
      <c r="AA48" s="102">
        <v>22697</v>
      </c>
      <c r="AB48" s="102">
        <v>11321</v>
      </c>
      <c r="AC48" s="102">
        <v>1913269</v>
      </c>
      <c r="AD48" s="102">
        <v>1708073</v>
      </c>
      <c r="AE48" s="102">
        <v>205196</v>
      </c>
      <c r="AF48" s="102">
        <v>2388</v>
      </c>
      <c r="AG48" s="102">
        <v>5222</v>
      </c>
      <c r="AH48" s="73">
        <f t="shared" si="3"/>
        <v>122258</v>
      </c>
      <c r="AI48" s="102">
        <v>64378</v>
      </c>
      <c r="AJ48" s="102">
        <v>57880</v>
      </c>
      <c r="AK48" s="102">
        <v>579408</v>
      </c>
      <c r="AL48" s="73">
        <f t="shared" si="4"/>
        <v>190752</v>
      </c>
      <c r="AM48" s="102">
        <v>0</v>
      </c>
      <c r="AN48" s="102">
        <v>44533</v>
      </c>
      <c r="AO48" s="74"/>
      <c r="AP48" s="102">
        <v>146219</v>
      </c>
      <c r="AQ48" s="102">
        <v>138</v>
      </c>
      <c r="AR48" s="102">
        <v>22793</v>
      </c>
      <c r="AS48" s="102">
        <v>0</v>
      </c>
      <c r="AT48" s="102">
        <v>487645</v>
      </c>
      <c r="AU48" s="102">
        <v>222140</v>
      </c>
      <c r="AV48" s="102">
        <v>25975</v>
      </c>
      <c r="AW48" s="102">
        <v>216</v>
      </c>
      <c r="AX48" s="102">
        <v>265505</v>
      </c>
      <c r="AY48" s="102">
        <v>37348</v>
      </c>
      <c r="AZ48" s="102">
        <v>7280</v>
      </c>
      <c r="BA48" s="102">
        <v>853</v>
      </c>
      <c r="BB48" s="102">
        <v>16982</v>
      </c>
      <c r="BC48" s="102">
        <v>193516</v>
      </c>
      <c r="BD48" s="102">
        <v>140000</v>
      </c>
      <c r="BE48" s="102">
        <v>0</v>
      </c>
      <c r="BF48" s="102">
        <v>53083</v>
      </c>
      <c r="BG48" s="102">
        <v>0</v>
      </c>
      <c r="BH48" s="102">
        <v>84221</v>
      </c>
      <c r="BI48" s="102">
        <v>52628</v>
      </c>
      <c r="BJ48" s="102">
        <v>94186</v>
      </c>
      <c r="BK48" s="102">
        <v>1000</v>
      </c>
      <c r="BL48" s="102">
        <v>0</v>
      </c>
      <c r="BM48" s="102">
        <v>0</v>
      </c>
      <c r="BN48" s="102">
        <v>561700</v>
      </c>
      <c r="BO48" s="73">
        <f t="shared" si="5"/>
        <v>349200</v>
      </c>
      <c r="BP48" s="73">
        <f t="shared" si="6"/>
        <v>212500</v>
      </c>
      <c r="BQ48" s="102">
        <v>0</v>
      </c>
      <c r="BR48" s="102">
        <v>0</v>
      </c>
      <c r="BS48" s="102">
        <v>212500</v>
      </c>
      <c r="BT48" s="102">
        <v>0</v>
      </c>
      <c r="BU48" s="102">
        <v>6066779</v>
      </c>
      <c r="BV48" s="71"/>
      <c r="BW48" s="102">
        <v>1216781</v>
      </c>
      <c r="BX48" s="102">
        <v>741058</v>
      </c>
      <c r="BY48" s="102">
        <v>91586</v>
      </c>
      <c r="BZ48" s="102">
        <v>86978</v>
      </c>
      <c r="CA48" s="102">
        <v>888731</v>
      </c>
      <c r="CB48" s="102">
        <v>399330</v>
      </c>
      <c r="CC48" s="102">
        <v>29024</v>
      </c>
      <c r="CD48" s="102">
        <v>429572</v>
      </c>
      <c r="CE48" s="102">
        <v>0</v>
      </c>
      <c r="CF48" s="102">
        <v>50</v>
      </c>
      <c r="CG48" s="102">
        <v>30755</v>
      </c>
      <c r="CH48" s="102">
        <v>566221</v>
      </c>
      <c r="CI48" s="102">
        <v>511906</v>
      </c>
      <c r="CJ48" s="83">
        <f t="shared" si="17"/>
        <v>54315</v>
      </c>
      <c r="CK48" s="102">
        <v>1015801</v>
      </c>
      <c r="CL48" s="102">
        <v>615912</v>
      </c>
      <c r="CM48" s="102">
        <v>76838</v>
      </c>
      <c r="CN48" s="102">
        <v>137221</v>
      </c>
      <c r="CO48" s="102">
        <v>13905</v>
      </c>
      <c r="CP48" s="102">
        <v>597945</v>
      </c>
      <c r="CQ48" s="102">
        <v>116205</v>
      </c>
      <c r="CR48" s="102">
        <v>145192</v>
      </c>
      <c r="CS48" s="102">
        <v>122831</v>
      </c>
      <c r="CT48" s="73">
        <f t="shared" si="7"/>
        <v>19127</v>
      </c>
      <c r="CU48" s="102">
        <v>12452</v>
      </c>
      <c r="CV48" s="102">
        <v>6675</v>
      </c>
      <c r="CW48" s="73">
        <f t="shared" si="8"/>
        <v>0</v>
      </c>
      <c r="CX48" s="102">
        <v>0</v>
      </c>
      <c r="CY48" s="102">
        <v>0</v>
      </c>
      <c r="CZ48" s="73">
        <f t="shared" si="9"/>
        <v>0</v>
      </c>
      <c r="DA48" s="102">
        <v>0</v>
      </c>
      <c r="DB48" s="102">
        <v>0</v>
      </c>
      <c r="DC48" s="102">
        <v>705043</v>
      </c>
      <c r="DD48" s="102">
        <v>160179</v>
      </c>
      <c r="DE48" s="102">
        <v>528606</v>
      </c>
      <c r="DF48" s="102">
        <v>16258</v>
      </c>
      <c r="DG48" s="102">
        <v>0</v>
      </c>
      <c r="DH48" s="102">
        <v>89177</v>
      </c>
      <c r="DI48" s="102">
        <v>20769</v>
      </c>
      <c r="DJ48" s="102">
        <v>2511</v>
      </c>
      <c r="DK48" s="102">
        <v>315</v>
      </c>
      <c r="DL48" s="102">
        <v>17943</v>
      </c>
      <c r="DM48" s="102">
        <v>0</v>
      </c>
      <c r="DN48" s="102">
        <v>0</v>
      </c>
      <c r="DO48" s="102">
        <v>0</v>
      </c>
      <c r="DP48" s="102">
        <v>0</v>
      </c>
      <c r="DQ48" s="102">
        <v>0</v>
      </c>
      <c r="DR48" s="102">
        <v>0</v>
      </c>
      <c r="DS48" s="102">
        <v>0</v>
      </c>
      <c r="DT48" s="102">
        <v>786113</v>
      </c>
      <c r="DU48" s="102">
        <v>178252</v>
      </c>
      <c r="DV48" s="73">
        <f t="shared" si="10"/>
        <v>0</v>
      </c>
      <c r="DW48" s="102">
        <v>0</v>
      </c>
      <c r="DX48" s="102">
        <v>224997</v>
      </c>
      <c r="DY48" s="102">
        <v>0</v>
      </c>
      <c r="DZ48" s="102">
        <v>162659</v>
      </c>
      <c r="EA48" s="74">
        <v>0</v>
      </c>
      <c r="EB48" s="102">
        <v>209031</v>
      </c>
      <c r="EC48" s="102">
        <v>0</v>
      </c>
      <c r="ED48" s="102">
        <v>5900486</v>
      </c>
      <c r="EE48" s="71"/>
      <c r="EF48" s="102">
        <v>166293</v>
      </c>
      <c r="EG48" s="102">
        <v>32264</v>
      </c>
      <c r="EH48" s="102">
        <v>134029</v>
      </c>
      <c r="EI48" s="102">
        <v>28401</v>
      </c>
      <c r="EJ48" s="102">
        <v>-109088</v>
      </c>
      <c r="EK48" s="71"/>
      <c r="EL48" s="102">
        <v>16126</v>
      </c>
      <c r="EM48" s="102">
        <v>15729</v>
      </c>
      <c r="EN48" s="102">
        <v>140433</v>
      </c>
      <c r="EO48" s="102">
        <v>853</v>
      </c>
      <c r="EP48" s="73">
        <f t="shared" si="11"/>
        <v>131271</v>
      </c>
      <c r="EQ48" s="102">
        <v>3914361</v>
      </c>
      <c r="ER48" s="71">
        <v>-482669</v>
      </c>
      <c r="ES48" s="102">
        <v>1125130</v>
      </c>
      <c r="ET48" s="102">
        <v>692909</v>
      </c>
      <c r="EU48" s="102">
        <v>305943</v>
      </c>
      <c r="EV48" s="102">
        <v>566221</v>
      </c>
      <c r="EW48" s="73">
        <f t="shared" si="12"/>
        <v>222813</v>
      </c>
      <c r="EX48" s="102">
        <v>185708</v>
      </c>
      <c r="EY48" s="102">
        <v>8183</v>
      </c>
      <c r="EZ48" s="102">
        <v>171082</v>
      </c>
      <c r="FA48" s="102">
        <v>37105</v>
      </c>
      <c r="FB48" s="102">
        <v>0</v>
      </c>
      <c r="FC48" s="102">
        <v>791043</v>
      </c>
      <c r="FD48" s="102">
        <v>510589</v>
      </c>
      <c r="FE48" s="102">
        <v>116205</v>
      </c>
      <c r="FF48" s="102">
        <v>679371</v>
      </c>
      <c r="FG48" s="73">
        <f t="shared" si="13"/>
        <v>29627</v>
      </c>
      <c r="FH48" s="102">
        <v>4230737</v>
      </c>
      <c r="FI48" s="379">
        <f t="shared" si="14"/>
        <v>3.5</v>
      </c>
      <c r="FJ48" s="102">
        <v>3649703</v>
      </c>
      <c r="FK48" s="102">
        <v>212587</v>
      </c>
      <c r="FL48" s="102">
        <v>1530282</v>
      </c>
      <c r="FM48" s="102">
        <v>3240459</v>
      </c>
      <c r="FN48" s="428">
        <v>0.46700000000000003</v>
      </c>
      <c r="FO48" s="424">
        <v>92.4</v>
      </c>
      <c r="FP48" s="425">
        <v>28.3</v>
      </c>
      <c r="FQ48" s="424">
        <v>7.7</v>
      </c>
      <c r="FR48" s="424">
        <v>14.3</v>
      </c>
      <c r="FS48" s="425">
        <v>16.8</v>
      </c>
      <c r="FT48" s="424">
        <v>10.9</v>
      </c>
      <c r="FU48" s="425">
        <v>14.1</v>
      </c>
      <c r="FV48" s="384">
        <v>7.2</v>
      </c>
      <c r="FW48" s="102">
        <v>5967569</v>
      </c>
      <c r="FX48" s="384">
        <f t="shared" si="15"/>
        <v>154.5</v>
      </c>
      <c r="FY48" s="102">
        <v>2631435</v>
      </c>
      <c r="FZ48" s="102">
        <v>1235270</v>
      </c>
      <c r="GA48" s="102">
        <v>209505</v>
      </c>
      <c r="GB48" s="102">
        <v>1186660</v>
      </c>
      <c r="GC48" s="107">
        <v>0</v>
      </c>
      <c r="GD48" s="427">
        <v>109</v>
      </c>
      <c r="GE48" s="386">
        <f>IF(GD48=0,"-",ROUND(GD48/(GV48)*100,1))</f>
        <v>2.8</v>
      </c>
      <c r="GF48" s="424">
        <v>98.7</v>
      </c>
      <c r="GG48" s="424">
        <v>46.3</v>
      </c>
      <c r="GH48" s="424">
        <v>95</v>
      </c>
      <c r="GI48" s="102">
        <v>122</v>
      </c>
      <c r="GJ48" s="429" t="s">
        <v>646</v>
      </c>
      <c r="GK48" s="429">
        <v>15</v>
      </c>
      <c r="GL48" s="117">
        <v>20</v>
      </c>
      <c r="GM48" s="429" t="s">
        <v>646</v>
      </c>
      <c r="GN48" s="430">
        <v>20</v>
      </c>
      <c r="GO48" s="387">
        <v>30</v>
      </c>
      <c r="GP48" s="425">
        <v>6.2</v>
      </c>
      <c r="GQ48" s="388">
        <v>25</v>
      </c>
      <c r="GR48" s="388">
        <v>35</v>
      </c>
      <c r="GS48" s="431">
        <v>22.8</v>
      </c>
      <c r="GT48" s="388">
        <v>350</v>
      </c>
      <c r="GU48" s="394"/>
      <c r="GV48" s="100">
        <f t="shared" si="16"/>
        <v>3862</v>
      </c>
      <c r="GW48" s="394"/>
      <c r="GX48" s="394"/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</row>
    <row r="49" spans="2:230" x14ac:dyDescent="0.15">
      <c r="B49" s="89" t="s">
        <v>87</v>
      </c>
      <c r="C49" s="102">
        <v>531666</v>
      </c>
      <c r="D49" s="73">
        <f t="shared" si="0"/>
        <v>215376</v>
      </c>
      <c r="E49" s="102">
        <v>9098</v>
      </c>
      <c r="F49" s="102">
        <v>206278</v>
      </c>
      <c r="G49" s="73">
        <f t="shared" si="1"/>
        <v>49591</v>
      </c>
      <c r="H49" s="102">
        <v>14184</v>
      </c>
      <c r="I49" s="102">
        <v>35407</v>
      </c>
      <c r="J49" s="102">
        <v>246684</v>
      </c>
      <c r="K49" s="102">
        <v>73621</v>
      </c>
      <c r="L49" s="102">
        <v>124817</v>
      </c>
      <c r="M49" s="102">
        <v>48246</v>
      </c>
      <c r="N49" s="102">
        <v>2816</v>
      </c>
      <c r="O49" s="102">
        <v>0</v>
      </c>
      <c r="P49" s="102">
        <v>0</v>
      </c>
      <c r="Q49" s="102">
        <v>0</v>
      </c>
      <c r="R49" s="102">
        <v>19737</v>
      </c>
      <c r="S49" s="74"/>
      <c r="T49" s="73">
        <f t="shared" si="2"/>
        <v>136653</v>
      </c>
      <c r="U49" s="102">
        <v>1492</v>
      </c>
      <c r="V49" s="102">
        <v>4214</v>
      </c>
      <c r="W49" s="102">
        <v>4235</v>
      </c>
      <c r="X49" s="102">
        <v>93853</v>
      </c>
      <c r="Y49" s="102">
        <v>22807</v>
      </c>
      <c r="Z49" s="102">
        <v>0</v>
      </c>
      <c r="AA49" s="102">
        <v>10052</v>
      </c>
      <c r="AB49" s="102">
        <v>1056</v>
      </c>
      <c r="AC49" s="102">
        <v>1387432</v>
      </c>
      <c r="AD49" s="102">
        <v>1189973</v>
      </c>
      <c r="AE49" s="102">
        <v>197459</v>
      </c>
      <c r="AF49" s="102">
        <v>860</v>
      </c>
      <c r="AG49" s="102">
        <v>13009</v>
      </c>
      <c r="AH49" s="73">
        <f t="shared" si="3"/>
        <v>20401</v>
      </c>
      <c r="AI49" s="102">
        <v>10923</v>
      </c>
      <c r="AJ49" s="102">
        <v>9478</v>
      </c>
      <c r="AK49" s="102">
        <v>185386</v>
      </c>
      <c r="AL49" s="73">
        <f t="shared" si="4"/>
        <v>80070</v>
      </c>
      <c r="AM49" s="102">
        <v>0</v>
      </c>
      <c r="AN49" s="102">
        <v>33876</v>
      </c>
      <c r="AO49" s="74"/>
      <c r="AP49" s="102">
        <v>46194</v>
      </c>
      <c r="AQ49" s="102">
        <v>956</v>
      </c>
      <c r="AR49" s="102">
        <v>8371</v>
      </c>
      <c r="AS49" s="102">
        <v>0</v>
      </c>
      <c r="AT49" s="102">
        <v>243321</v>
      </c>
      <c r="AU49" s="102">
        <v>77446</v>
      </c>
      <c r="AV49" s="102">
        <v>16938</v>
      </c>
      <c r="AW49" s="102">
        <v>0</v>
      </c>
      <c r="AX49" s="102">
        <v>165875</v>
      </c>
      <c r="AY49" s="102">
        <v>11615</v>
      </c>
      <c r="AZ49" s="102">
        <v>4982</v>
      </c>
      <c r="BA49" s="102">
        <v>0</v>
      </c>
      <c r="BB49" s="102">
        <v>132592</v>
      </c>
      <c r="BC49" s="102">
        <v>528000</v>
      </c>
      <c r="BD49" s="102">
        <v>500000</v>
      </c>
      <c r="BE49" s="102">
        <v>0</v>
      </c>
      <c r="BF49" s="102">
        <v>28000</v>
      </c>
      <c r="BG49" s="102">
        <v>0</v>
      </c>
      <c r="BH49" s="102">
        <v>134368</v>
      </c>
      <c r="BI49" s="102">
        <v>134368</v>
      </c>
      <c r="BJ49" s="102">
        <v>63723</v>
      </c>
      <c r="BK49" s="102">
        <v>0</v>
      </c>
      <c r="BL49" s="102">
        <v>0</v>
      </c>
      <c r="BM49" s="102">
        <v>0</v>
      </c>
      <c r="BN49" s="102">
        <v>303658</v>
      </c>
      <c r="BO49" s="73">
        <f t="shared" si="5"/>
        <v>209800</v>
      </c>
      <c r="BP49" s="73">
        <f t="shared" si="6"/>
        <v>93858</v>
      </c>
      <c r="BQ49" s="102">
        <v>0</v>
      </c>
      <c r="BR49" s="102">
        <v>0</v>
      </c>
      <c r="BS49" s="102">
        <v>93858</v>
      </c>
      <c r="BT49" s="102">
        <v>0</v>
      </c>
      <c r="BU49" s="102">
        <v>3706844</v>
      </c>
      <c r="BV49" s="71"/>
      <c r="BW49" s="102">
        <v>649262</v>
      </c>
      <c r="BX49" s="102">
        <v>433510</v>
      </c>
      <c r="BY49" s="102">
        <v>38499</v>
      </c>
      <c r="BZ49" s="102">
        <v>12087</v>
      </c>
      <c r="CA49" s="102">
        <v>304994</v>
      </c>
      <c r="CB49" s="102">
        <v>130376</v>
      </c>
      <c r="CC49" s="102">
        <v>16343</v>
      </c>
      <c r="CD49" s="102">
        <v>152950</v>
      </c>
      <c r="CE49" s="102">
        <v>0</v>
      </c>
      <c r="CF49" s="102">
        <v>1402</v>
      </c>
      <c r="CG49" s="102">
        <v>3898</v>
      </c>
      <c r="CH49" s="102">
        <v>308796</v>
      </c>
      <c r="CI49" s="102">
        <v>280775</v>
      </c>
      <c r="CJ49" s="83">
        <f t="shared" si="17"/>
        <v>28021</v>
      </c>
      <c r="CK49" s="102">
        <v>643433</v>
      </c>
      <c r="CL49" s="102">
        <v>448900</v>
      </c>
      <c r="CM49" s="102">
        <v>59980</v>
      </c>
      <c r="CN49" s="102">
        <v>65608</v>
      </c>
      <c r="CO49" s="102">
        <v>6232</v>
      </c>
      <c r="CP49" s="102">
        <v>301972</v>
      </c>
      <c r="CQ49" s="102">
        <v>61997</v>
      </c>
      <c r="CR49" s="102">
        <v>40770</v>
      </c>
      <c r="CS49" s="102">
        <v>40770</v>
      </c>
      <c r="CT49" s="73">
        <f t="shared" si="7"/>
        <v>0</v>
      </c>
      <c r="CU49" s="102">
        <v>0</v>
      </c>
      <c r="CV49" s="102">
        <v>0</v>
      </c>
      <c r="CW49" s="73">
        <f t="shared" si="8"/>
        <v>0</v>
      </c>
      <c r="CX49" s="102">
        <v>0</v>
      </c>
      <c r="CY49" s="102">
        <v>0</v>
      </c>
      <c r="CZ49" s="73">
        <f t="shared" si="9"/>
        <v>0</v>
      </c>
      <c r="DA49" s="102">
        <v>0</v>
      </c>
      <c r="DB49" s="102">
        <v>0</v>
      </c>
      <c r="DC49" s="102">
        <v>150166</v>
      </c>
      <c r="DD49" s="102">
        <v>18873</v>
      </c>
      <c r="DE49" s="102">
        <v>131293</v>
      </c>
      <c r="DF49" s="102">
        <v>0</v>
      </c>
      <c r="DG49" s="102">
        <v>0</v>
      </c>
      <c r="DH49" s="102">
        <v>49771</v>
      </c>
      <c r="DI49" s="102">
        <v>657330</v>
      </c>
      <c r="DJ49" s="102">
        <v>11100</v>
      </c>
      <c r="DK49" s="102">
        <v>60130</v>
      </c>
      <c r="DL49" s="102">
        <v>586100</v>
      </c>
      <c r="DM49" s="102">
        <v>0</v>
      </c>
      <c r="DN49" s="102">
        <v>0</v>
      </c>
      <c r="DO49" s="102">
        <v>0</v>
      </c>
      <c r="DP49" s="102">
        <v>0</v>
      </c>
      <c r="DQ49" s="102">
        <v>0</v>
      </c>
      <c r="DR49" s="102">
        <v>0</v>
      </c>
      <c r="DS49" s="102">
        <v>0</v>
      </c>
      <c r="DT49" s="102">
        <v>471897</v>
      </c>
      <c r="DU49" s="102">
        <v>100980</v>
      </c>
      <c r="DV49" s="73">
        <f t="shared" si="10"/>
        <v>0</v>
      </c>
      <c r="DW49" s="102">
        <v>0</v>
      </c>
      <c r="DX49" s="102">
        <v>106332</v>
      </c>
      <c r="DY49" s="102">
        <v>0</v>
      </c>
      <c r="DZ49" s="102">
        <v>71730</v>
      </c>
      <c r="EA49" s="74">
        <v>0</v>
      </c>
      <c r="EB49" s="102">
        <v>109031</v>
      </c>
      <c r="EC49" s="102">
        <v>0</v>
      </c>
      <c r="ED49" s="102">
        <v>3543853</v>
      </c>
      <c r="EE49" s="71"/>
      <c r="EF49" s="102">
        <v>162991</v>
      </c>
      <c r="EG49" s="102">
        <v>43295</v>
      </c>
      <c r="EH49" s="102">
        <v>119696</v>
      </c>
      <c r="EI49" s="102">
        <v>-14672</v>
      </c>
      <c r="EJ49" s="102">
        <v>-503572</v>
      </c>
      <c r="EK49" s="71"/>
      <c r="EL49" s="102">
        <v>5378</v>
      </c>
      <c r="EM49" s="102">
        <v>5362</v>
      </c>
      <c r="EN49" s="102">
        <v>500000</v>
      </c>
      <c r="EO49" s="102">
        <v>1628</v>
      </c>
      <c r="EP49" s="73">
        <f t="shared" si="11"/>
        <v>153791</v>
      </c>
      <c r="EQ49" s="102">
        <v>2077404</v>
      </c>
      <c r="ER49" s="71">
        <v>-748417</v>
      </c>
      <c r="ES49" s="102">
        <v>614107</v>
      </c>
      <c r="ET49" s="102">
        <v>399675</v>
      </c>
      <c r="EU49" s="102">
        <v>80724</v>
      </c>
      <c r="EV49" s="102">
        <v>308796</v>
      </c>
      <c r="EW49" s="73">
        <f t="shared" si="12"/>
        <v>40696</v>
      </c>
      <c r="EX49" s="102">
        <v>21552</v>
      </c>
      <c r="EY49" s="102">
        <v>772</v>
      </c>
      <c r="EZ49" s="102">
        <v>20780</v>
      </c>
      <c r="FA49" s="102">
        <v>19144</v>
      </c>
      <c r="FB49" s="102">
        <v>0</v>
      </c>
      <c r="FC49" s="102">
        <v>401228</v>
      </c>
      <c r="FD49" s="102">
        <v>181751</v>
      </c>
      <c r="FE49" s="102">
        <v>61997</v>
      </c>
      <c r="FF49" s="102">
        <v>425104</v>
      </c>
      <c r="FG49" s="73">
        <f t="shared" si="13"/>
        <v>610424</v>
      </c>
      <c r="FH49" s="102">
        <v>2662830</v>
      </c>
      <c r="FI49" s="379">
        <f t="shared" si="14"/>
        <v>6.1</v>
      </c>
      <c r="FJ49" s="102">
        <v>1862295</v>
      </c>
      <c r="FK49" s="102">
        <v>93858</v>
      </c>
      <c r="FL49" s="102">
        <v>533699</v>
      </c>
      <c r="FM49" s="102">
        <v>1724644</v>
      </c>
      <c r="FN49" s="428">
        <v>0.311</v>
      </c>
      <c r="FO49" s="424">
        <v>85</v>
      </c>
      <c r="FP49" s="425">
        <v>29.7</v>
      </c>
      <c r="FQ49" s="424">
        <v>4.0999999999999996</v>
      </c>
      <c r="FR49" s="424">
        <v>15.6</v>
      </c>
      <c r="FS49" s="425">
        <v>18.100000000000001</v>
      </c>
      <c r="FT49" s="424">
        <v>4.0999999999999996</v>
      </c>
      <c r="FU49" s="425">
        <v>13</v>
      </c>
      <c r="FV49" s="384">
        <v>10.199999999999999</v>
      </c>
      <c r="FW49" s="102">
        <v>3239882</v>
      </c>
      <c r="FX49" s="384">
        <f t="shared" si="15"/>
        <v>165.6</v>
      </c>
      <c r="FY49" s="102">
        <v>2211992</v>
      </c>
      <c r="FZ49" s="102">
        <v>1295186</v>
      </c>
      <c r="GA49" s="102">
        <v>204773</v>
      </c>
      <c r="GB49" s="102">
        <v>712033</v>
      </c>
      <c r="GC49" s="107">
        <v>0</v>
      </c>
      <c r="GD49" s="427"/>
      <c r="GE49" s="386"/>
      <c r="GF49" s="424">
        <v>99.9</v>
      </c>
      <c r="GG49" s="424">
        <v>72.900000000000006</v>
      </c>
      <c r="GH49" s="424">
        <v>99.6</v>
      </c>
      <c r="GI49" s="102">
        <v>67</v>
      </c>
      <c r="GJ49" s="429" t="s">
        <v>646</v>
      </c>
      <c r="GK49" s="429">
        <v>15</v>
      </c>
      <c r="GL49" s="117">
        <v>20</v>
      </c>
      <c r="GM49" s="429" t="s">
        <v>646</v>
      </c>
      <c r="GN49" s="429">
        <v>20</v>
      </c>
      <c r="GO49" s="387">
        <v>30</v>
      </c>
      <c r="GP49" s="425">
        <v>9.4</v>
      </c>
      <c r="GQ49" s="388">
        <v>25</v>
      </c>
      <c r="GR49" s="388">
        <v>35</v>
      </c>
      <c r="GS49" s="431" t="s">
        <v>646</v>
      </c>
      <c r="GT49" s="388">
        <v>350</v>
      </c>
      <c r="GU49" s="394"/>
      <c r="GV49" s="100">
        <f t="shared" si="16"/>
        <v>1956</v>
      </c>
      <c r="GW49" s="394"/>
      <c r="GX49" s="394"/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</row>
    <row r="50" spans="2:230" s="112" customFormat="1" x14ac:dyDescent="0.15">
      <c r="B50" s="112" t="s">
        <v>89</v>
      </c>
      <c r="C50" s="114">
        <f>SUM(C40:C49)</f>
        <v>24456603</v>
      </c>
      <c r="D50" s="113">
        <f t="shared" si="0"/>
        <v>8895953</v>
      </c>
      <c r="E50" s="114">
        <f>SUM(E40:E49)</f>
        <v>298881</v>
      </c>
      <c r="F50" s="114">
        <f>SUM(F40:F49)</f>
        <v>8597072</v>
      </c>
      <c r="G50" s="113">
        <f t="shared" si="1"/>
        <v>2056771</v>
      </c>
      <c r="H50" s="114">
        <f t="shared" ref="H50:R50" si="27">SUM(H40:H49)</f>
        <v>347867</v>
      </c>
      <c r="I50" s="114">
        <f t="shared" si="27"/>
        <v>1708904</v>
      </c>
      <c r="J50" s="114">
        <f t="shared" si="27"/>
        <v>11465679</v>
      </c>
      <c r="K50" s="114">
        <f t="shared" si="27"/>
        <v>4477412</v>
      </c>
      <c r="L50" s="114">
        <f t="shared" si="27"/>
        <v>4500659</v>
      </c>
      <c r="M50" s="114">
        <f t="shared" si="27"/>
        <v>2397522</v>
      </c>
      <c r="N50" s="114">
        <f t="shared" si="27"/>
        <v>1044164</v>
      </c>
      <c r="O50" s="114">
        <f t="shared" si="27"/>
        <v>601420</v>
      </c>
      <c r="P50" s="114">
        <f t="shared" si="27"/>
        <v>327696</v>
      </c>
      <c r="Q50" s="114">
        <f t="shared" si="27"/>
        <v>273724</v>
      </c>
      <c r="R50" s="114">
        <f t="shared" si="27"/>
        <v>494545</v>
      </c>
      <c r="S50" s="113"/>
      <c r="T50" s="113">
        <f t="shared" si="2"/>
        <v>3827719</v>
      </c>
      <c r="U50" s="114">
        <f t="shared" ref="U50:AG50" si="28">SUM(U40:U49)</f>
        <v>59758</v>
      </c>
      <c r="V50" s="114">
        <f t="shared" si="28"/>
        <v>169105</v>
      </c>
      <c r="W50" s="114">
        <f t="shared" si="28"/>
        <v>170610</v>
      </c>
      <c r="X50" s="114">
        <f t="shared" si="28"/>
        <v>2979441</v>
      </c>
      <c r="Y50" s="114">
        <f t="shared" si="28"/>
        <v>219884</v>
      </c>
      <c r="Z50" s="114">
        <f t="shared" si="28"/>
        <v>0</v>
      </c>
      <c r="AA50" s="114">
        <f t="shared" si="28"/>
        <v>228921</v>
      </c>
      <c r="AB50" s="114">
        <f t="shared" si="28"/>
        <v>115935</v>
      </c>
      <c r="AC50" s="114">
        <f t="shared" si="28"/>
        <v>16521846</v>
      </c>
      <c r="AD50" s="114">
        <f t="shared" si="28"/>
        <v>14606714</v>
      </c>
      <c r="AE50" s="114">
        <f t="shared" si="28"/>
        <v>1915132</v>
      </c>
      <c r="AF50" s="114">
        <f t="shared" si="28"/>
        <v>27882</v>
      </c>
      <c r="AG50" s="114">
        <f t="shared" si="28"/>
        <v>285436</v>
      </c>
      <c r="AH50" s="113">
        <f t="shared" si="3"/>
        <v>1530349</v>
      </c>
      <c r="AI50" s="114">
        <f>SUM(AI40:AI49)</f>
        <v>1169736</v>
      </c>
      <c r="AJ50" s="114">
        <f>SUM(AJ40:AJ49)</f>
        <v>360613</v>
      </c>
      <c r="AK50" s="114">
        <f>SUM(AK40:AK49)</f>
        <v>7214407</v>
      </c>
      <c r="AL50" s="113">
        <f t="shared" si="4"/>
        <v>2339188</v>
      </c>
      <c r="AM50" s="114">
        <f>SUM(AM40:AM49)</f>
        <v>201916</v>
      </c>
      <c r="AN50" s="114">
        <f>SUM(AN40:AN49)</f>
        <v>615556</v>
      </c>
      <c r="AO50" s="113"/>
      <c r="AP50" s="114">
        <f t="shared" ref="AP50:BN50" si="29">SUM(AP40:AP49)</f>
        <v>1521716</v>
      </c>
      <c r="AQ50" s="114">
        <f t="shared" si="29"/>
        <v>482472</v>
      </c>
      <c r="AR50" s="114">
        <f t="shared" si="29"/>
        <v>56719</v>
      </c>
      <c r="AS50" s="114">
        <f t="shared" si="29"/>
        <v>0</v>
      </c>
      <c r="AT50" s="114">
        <f t="shared" si="29"/>
        <v>4879612</v>
      </c>
      <c r="AU50" s="114">
        <f t="shared" si="29"/>
        <v>2321688</v>
      </c>
      <c r="AV50" s="114">
        <f t="shared" si="29"/>
        <v>303219</v>
      </c>
      <c r="AW50" s="114">
        <f t="shared" si="29"/>
        <v>48922</v>
      </c>
      <c r="AX50" s="114">
        <f t="shared" si="29"/>
        <v>2557924</v>
      </c>
      <c r="AY50" s="114">
        <f t="shared" si="29"/>
        <v>81243</v>
      </c>
      <c r="AZ50" s="114">
        <f t="shared" si="29"/>
        <v>140465</v>
      </c>
      <c r="BA50" s="114">
        <f t="shared" si="29"/>
        <v>25068</v>
      </c>
      <c r="BB50" s="114">
        <f t="shared" si="29"/>
        <v>1628668</v>
      </c>
      <c r="BC50" s="114">
        <f t="shared" si="29"/>
        <v>7735529</v>
      </c>
      <c r="BD50" s="114">
        <f t="shared" si="29"/>
        <v>6283000</v>
      </c>
      <c r="BE50" s="114">
        <f t="shared" si="29"/>
        <v>0</v>
      </c>
      <c r="BF50" s="114">
        <f t="shared" si="29"/>
        <v>1259558</v>
      </c>
      <c r="BG50" s="114">
        <f t="shared" si="29"/>
        <v>0</v>
      </c>
      <c r="BH50" s="114">
        <f t="shared" si="29"/>
        <v>1296181</v>
      </c>
      <c r="BI50" s="114">
        <f t="shared" si="29"/>
        <v>1077773</v>
      </c>
      <c r="BJ50" s="114">
        <f t="shared" si="29"/>
        <v>972995</v>
      </c>
      <c r="BK50" s="114">
        <f t="shared" si="29"/>
        <v>22083</v>
      </c>
      <c r="BL50" s="114">
        <f t="shared" si="29"/>
        <v>0</v>
      </c>
      <c r="BM50" s="114">
        <f t="shared" si="29"/>
        <v>0</v>
      </c>
      <c r="BN50" s="114">
        <f t="shared" si="29"/>
        <v>5863131</v>
      </c>
      <c r="BO50" s="113">
        <f t="shared" si="5"/>
        <v>3163650</v>
      </c>
      <c r="BP50" s="113">
        <f t="shared" si="6"/>
        <v>2699481</v>
      </c>
      <c r="BQ50" s="114">
        <f>SUM(BQ40:BQ49)</f>
        <v>0</v>
      </c>
      <c r="BR50" s="114">
        <f>SUM(BR40:BR49)</f>
        <v>0</v>
      </c>
      <c r="BS50" s="114">
        <f>SUM(BS40:BS49)</f>
        <v>2699481</v>
      </c>
      <c r="BT50" s="114">
        <f>SUM(BT40:BT49)</f>
        <v>0</v>
      </c>
      <c r="BU50" s="114">
        <f>SUM(BU40:BU49)</f>
        <v>76991303</v>
      </c>
      <c r="BV50" s="113"/>
      <c r="BW50" s="114">
        <f t="shared" ref="BW50:CI50" si="30">SUM(BW40:BW49)</f>
        <v>14004803</v>
      </c>
      <c r="BX50" s="114">
        <f t="shared" si="30"/>
        <v>8892178</v>
      </c>
      <c r="BY50" s="114">
        <f t="shared" si="30"/>
        <v>1021021</v>
      </c>
      <c r="BZ50" s="114">
        <f t="shared" si="30"/>
        <v>979740</v>
      </c>
      <c r="CA50" s="114">
        <f t="shared" si="30"/>
        <v>10993403</v>
      </c>
      <c r="CB50" s="114">
        <f t="shared" si="30"/>
        <v>4323864</v>
      </c>
      <c r="CC50" s="114">
        <f t="shared" si="30"/>
        <v>364597</v>
      </c>
      <c r="CD50" s="114">
        <f t="shared" si="30"/>
        <v>5757292</v>
      </c>
      <c r="CE50" s="114">
        <f t="shared" si="30"/>
        <v>262527</v>
      </c>
      <c r="CF50" s="114">
        <f t="shared" si="30"/>
        <v>15253</v>
      </c>
      <c r="CG50" s="114">
        <f t="shared" si="30"/>
        <v>269845</v>
      </c>
      <c r="CH50" s="114">
        <f t="shared" si="30"/>
        <v>6223680</v>
      </c>
      <c r="CI50" s="114">
        <f t="shared" si="30"/>
        <v>5692165</v>
      </c>
      <c r="CJ50" s="113">
        <f t="shared" si="17"/>
        <v>531515</v>
      </c>
      <c r="CK50" s="114">
        <f t="shared" ref="CK50:CS50" si="31">SUM(CK40:CK49)</f>
        <v>11557942</v>
      </c>
      <c r="CL50" s="114">
        <f t="shared" si="31"/>
        <v>6692623</v>
      </c>
      <c r="CM50" s="114">
        <f t="shared" si="31"/>
        <v>1190274</v>
      </c>
      <c r="CN50" s="114">
        <f t="shared" si="31"/>
        <v>1869990</v>
      </c>
      <c r="CO50" s="114">
        <f t="shared" si="31"/>
        <v>635157</v>
      </c>
      <c r="CP50" s="114">
        <f t="shared" si="31"/>
        <v>6473793</v>
      </c>
      <c r="CQ50" s="114">
        <f t="shared" si="31"/>
        <v>1947046</v>
      </c>
      <c r="CR50" s="114">
        <f t="shared" si="31"/>
        <v>1236544</v>
      </c>
      <c r="CS50" s="114">
        <f t="shared" si="31"/>
        <v>945187</v>
      </c>
      <c r="CT50" s="113">
        <f t="shared" si="7"/>
        <v>245568</v>
      </c>
      <c r="CU50" s="114">
        <f>SUM(CU40:CU49)</f>
        <v>30033</v>
      </c>
      <c r="CV50" s="114">
        <f>SUM(CV40:CV49)</f>
        <v>215535</v>
      </c>
      <c r="CW50" s="113">
        <f t="shared" si="8"/>
        <v>0</v>
      </c>
      <c r="CX50" s="114">
        <f>SUM(CX40:CX49)</f>
        <v>0</v>
      </c>
      <c r="CY50" s="114">
        <f>SUM(CY40:CY49)</f>
        <v>0</v>
      </c>
      <c r="CZ50" s="113">
        <f t="shared" si="9"/>
        <v>0</v>
      </c>
      <c r="DA50" s="114">
        <f t="shared" ref="DA50:DU50" si="32">SUM(DA40:DA49)</f>
        <v>0</v>
      </c>
      <c r="DB50" s="114">
        <f t="shared" si="32"/>
        <v>0</v>
      </c>
      <c r="DC50" s="114">
        <f t="shared" si="32"/>
        <v>6663629</v>
      </c>
      <c r="DD50" s="114">
        <f t="shared" si="32"/>
        <v>3645474</v>
      </c>
      <c r="DE50" s="114">
        <f t="shared" si="32"/>
        <v>2960535</v>
      </c>
      <c r="DF50" s="114">
        <f t="shared" si="32"/>
        <v>18571</v>
      </c>
      <c r="DG50" s="114">
        <f t="shared" si="32"/>
        <v>0</v>
      </c>
      <c r="DH50" s="114">
        <f t="shared" si="32"/>
        <v>273151</v>
      </c>
      <c r="DI50" s="114">
        <f t="shared" si="32"/>
        <v>8455645</v>
      </c>
      <c r="DJ50" s="114">
        <f t="shared" si="32"/>
        <v>1066750</v>
      </c>
      <c r="DK50" s="114">
        <f t="shared" si="32"/>
        <v>61257</v>
      </c>
      <c r="DL50" s="114">
        <f t="shared" si="32"/>
        <v>7327638</v>
      </c>
      <c r="DM50" s="114">
        <f t="shared" si="32"/>
        <v>95726</v>
      </c>
      <c r="DN50" s="114">
        <f t="shared" si="32"/>
        <v>95726</v>
      </c>
      <c r="DO50" s="114">
        <f t="shared" si="32"/>
        <v>95726</v>
      </c>
      <c r="DP50" s="114">
        <f t="shared" si="32"/>
        <v>0</v>
      </c>
      <c r="DQ50" s="114">
        <f t="shared" si="32"/>
        <v>18763</v>
      </c>
      <c r="DR50" s="114">
        <f t="shared" si="32"/>
        <v>0</v>
      </c>
      <c r="DS50" s="114">
        <f t="shared" si="32"/>
        <v>0</v>
      </c>
      <c r="DT50" s="114">
        <f t="shared" si="32"/>
        <v>10005614</v>
      </c>
      <c r="DU50" s="114">
        <f t="shared" si="32"/>
        <v>2867495</v>
      </c>
      <c r="DV50" s="113">
        <f t="shared" si="10"/>
        <v>0</v>
      </c>
      <c r="DW50" s="114">
        <f>SUM(DW40:DW49)</f>
        <v>0</v>
      </c>
      <c r="DX50" s="114">
        <f>SUM(DX40:DX49)</f>
        <v>2680375</v>
      </c>
      <c r="DY50" s="114">
        <f>SUM(DY40:DY49)</f>
        <v>0</v>
      </c>
      <c r="DZ50" s="114">
        <f>SUM(DZ40:DZ49)</f>
        <v>1797729</v>
      </c>
      <c r="EA50" s="113">
        <v>0</v>
      </c>
      <c r="EB50" s="114">
        <f>SUM(EB40:EB49)</f>
        <v>2490234</v>
      </c>
      <c r="EC50" s="114">
        <f>SUM(EC40:EC49)</f>
        <v>0</v>
      </c>
      <c r="ED50" s="114">
        <f>SUM(ED40:ED49)</f>
        <v>75401306</v>
      </c>
      <c r="EE50" s="113"/>
      <c r="EF50" s="114">
        <f>SUM(EF40:EF49)</f>
        <v>1589997</v>
      </c>
      <c r="EG50" s="114">
        <f>SUM(EG40:EG49)</f>
        <v>319712</v>
      </c>
      <c r="EH50" s="114">
        <f>SUM(EH40:EH49)</f>
        <v>1270285</v>
      </c>
      <c r="EI50" s="114">
        <f>SUM(EI40:EI49)</f>
        <v>139512</v>
      </c>
      <c r="EJ50" s="114">
        <f>SUM(EJ40:EJ49)</f>
        <v>-5076738</v>
      </c>
      <c r="EK50" s="113"/>
      <c r="EL50" s="114">
        <f>SUM(EL40:EL49)</f>
        <v>181513</v>
      </c>
      <c r="EM50" s="114">
        <f>SUM(EM40:EM49)</f>
        <v>181776</v>
      </c>
      <c r="EN50" s="114">
        <f>SUM(EN40:EN49)</f>
        <v>6583077</v>
      </c>
      <c r="EO50" s="114">
        <f>SUM(EO40:EO49)</f>
        <v>83854</v>
      </c>
      <c r="EP50" s="113">
        <f t="shared" si="11"/>
        <v>1999649</v>
      </c>
      <c r="EQ50" s="114">
        <f t="shared" ref="EQ50:EV50" si="33">SUM(EQ40:EQ49)</f>
        <v>45444530</v>
      </c>
      <c r="ER50" s="114">
        <f t="shared" si="33"/>
        <v>-11338179</v>
      </c>
      <c r="ES50" s="114">
        <f t="shared" si="33"/>
        <v>12696361</v>
      </c>
      <c r="ET50" s="114">
        <f t="shared" si="33"/>
        <v>7833228</v>
      </c>
      <c r="EU50" s="114">
        <f t="shared" si="33"/>
        <v>3613260</v>
      </c>
      <c r="EV50" s="114">
        <f t="shared" si="33"/>
        <v>6141323</v>
      </c>
      <c r="EW50" s="113">
        <f t="shared" si="12"/>
        <v>1998842</v>
      </c>
      <c r="EX50" s="114">
        <f t="shared" ref="EX50:FF50" si="34">SUM(EX40:EX49)</f>
        <v>1878202</v>
      </c>
      <c r="EY50" s="114">
        <f t="shared" si="34"/>
        <v>474872</v>
      </c>
      <c r="EZ50" s="114">
        <f t="shared" si="34"/>
        <v>1383325</v>
      </c>
      <c r="FA50" s="114">
        <f t="shared" si="34"/>
        <v>120640</v>
      </c>
      <c r="FB50" s="114">
        <f t="shared" si="34"/>
        <v>0</v>
      </c>
      <c r="FC50" s="114">
        <f t="shared" si="34"/>
        <v>8982989</v>
      </c>
      <c r="FD50" s="114">
        <f t="shared" si="34"/>
        <v>5323557</v>
      </c>
      <c r="FE50" s="114">
        <f t="shared" si="34"/>
        <v>1942423</v>
      </c>
      <c r="FF50" s="114">
        <f t="shared" si="34"/>
        <v>8727255</v>
      </c>
      <c r="FG50" s="113">
        <f t="shared" si="13"/>
        <v>7709125</v>
      </c>
      <c r="FH50" s="114">
        <f>SUM(FH40:FH49)</f>
        <v>55192712</v>
      </c>
      <c r="FI50" s="441">
        <f t="shared" si="14"/>
        <v>2.8</v>
      </c>
      <c r="FJ50" s="114">
        <f>SUM(FJ40:FJ49)</f>
        <v>42140378</v>
      </c>
      <c r="FK50" s="114">
        <f>SUM(FK40:FK49)</f>
        <v>2700199</v>
      </c>
      <c r="FL50" s="114">
        <f>SUM(FL40:FL49)</f>
        <v>21544252</v>
      </c>
      <c r="FM50" s="114">
        <f>SUM(FM40:FM49)</f>
        <v>34811403</v>
      </c>
      <c r="FN50" s="442">
        <v>0.61299999999999999</v>
      </c>
      <c r="FO50" s="443">
        <v>93.2</v>
      </c>
      <c r="FP50" s="444">
        <v>27</v>
      </c>
      <c r="FQ50" s="443">
        <v>7.8</v>
      </c>
      <c r="FR50" s="443">
        <v>13.4</v>
      </c>
      <c r="FS50" s="444">
        <v>17.899999999999999</v>
      </c>
      <c r="FT50" s="443">
        <v>9.1999999999999993</v>
      </c>
      <c r="FU50" s="444">
        <v>16.7</v>
      </c>
      <c r="FV50" s="446">
        <v>9.6</v>
      </c>
      <c r="FW50" s="114">
        <f>SUM(FW40:FW49)</f>
        <v>61418270</v>
      </c>
      <c r="FX50" s="446">
        <f t="shared" si="15"/>
        <v>137</v>
      </c>
      <c r="FY50" s="114">
        <f t="shared" ref="FY50:GD50" si="35">SUM(FY40:FY49)</f>
        <v>31836370</v>
      </c>
      <c r="FZ50" s="114">
        <f t="shared" si="35"/>
        <v>13716945</v>
      </c>
      <c r="GA50" s="114">
        <f t="shared" si="35"/>
        <v>2204262</v>
      </c>
      <c r="GB50" s="114">
        <f t="shared" si="35"/>
        <v>15915163</v>
      </c>
      <c r="GC50" s="114">
        <f t="shared" si="35"/>
        <v>0</v>
      </c>
      <c r="GD50" s="114">
        <f t="shared" si="35"/>
        <v>823</v>
      </c>
      <c r="GE50" s="447">
        <f>IF(GD50=0,"-",ROUND(GD50/GW50*100,1))</f>
        <v>6.9</v>
      </c>
      <c r="GF50" s="443">
        <v>99.3</v>
      </c>
      <c r="GG50" s="443">
        <v>30.5</v>
      </c>
      <c r="GH50" s="443">
        <v>96.8</v>
      </c>
      <c r="GI50" s="114">
        <f>SUM(GI40:GI49)</f>
        <v>1448</v>
      </c>
      <c r="GJ50" s="448" t="s">
        <v>646</v>
      </c>
      <c r="GK50" s="448" t="s">
        <v>646</v>
      </c>
      <c r="GL50" s="449" t="s">
        <v>646</v>
      </c>
      <c r="GM50" s="448" t="s">
        <v>646</v>
      </c>
      <c r="GN50" s="448" t="s">
        <v>646</v>
      </c>
      <c r="GO50" s="449" t="s">
        <v>646</v>
      </c>
      <c r="GP50" s="444">
        <v>8.9</v>
      </c>
      <c r="GQ50" s="450" t="s">
        <v>646</v>
      </c>
      <c r="GR50" s="450" t="s">
        <v>646</v>
      </c>
      <c r="GS50" s="450">
        <v>4.8</v>
      </c>
      <c r="GT50" s="448" t="s">
        <v>646</v>
      </c>
      <c r="GU50" s="408"/>
      <c r="GV50" s="115">
        <f t="shared" si="16"/>
        <v>44841</v>
      </c>
      <c r="GW50" s="408">
        <f>GV44+GV48</f>
        <v>12007</v>
      </c>
      <c r="GX50" s="408"/>
      <c r="GY50" s="408"/>
      <c r="GZ50" s="408"/>
      <c r="HA50" s="408"/>
      <c r="HB50" s="408"/>
      <c r="HC50" s="408"/>
      <c r="HD50" s="408"/>
      <c r="HE50" s="408"/>
      <c r="HF50" s="408"/>
      <c r="HG50" s="408"/>
      <c r="HH50" s="408"/>
      <c r="HI50" s="408"/>
      <c r="HJ50" s="408"/>
      <c r="HK50" s="408"/>
      <c r="HL50" s="408"/>
      <c r="HM50" s="408"/>
      <c r="HN50" s="408"/>
      <c r="HO50" s="408"/>
      <c r="HP50" s="408"/>
      <c r="HQ50" s="408"/>
      <c r="HR50" s="408"/>
      <c r="HS50" s="408"/>
      <c r="HT50" s="408"/>
      <c r="HU50" s="408"/>
      <c r="HV50" s="408"/>
    </row>
    <row r="51" spans="2:230" s="112" customFormat="1" x14ac:dyDescent="0.15">
      <c r="B51" s="112" t="s">
        <v>91</v>
      </c>
      <c r="C51" s="114">
        <f>C39+C50</f>
        <v>778572809</v>
      </c>
      <c r="D51" s="113">
        <f t="shared" si="0"/>
        <v>293985044</v>
      </c>
      <c r="E51" s="114">
        <f>E39+E50</f>
        <v>8391372</v>
      </c>
      <c r="F51" s="114">
        <f>F39+F50</f>
        <v>285593672</v>
      </c>
      <c r="G51" s="113">
        <f t="shared" si="1"/>
        <v>55077862</v>
      </c>
      <c r="H51" s="114">
        <f t="shared" ref="H51:R51" si="36">H39+H50</f>
        <v>13959769</v>
      </c>
      <c r="I51" s="114">
        <f t="shared" si="36"/>
        <v>41118093</v>
      </c>
      <c r="J51" s="114">
        <f t="shared" si="36"/>
        <v>316468847</v>
      </c>
      <c r="K51" s="114">
        <f t="shared" si="36"/>
        <v>130832983</v>
      </c>
      <c r="L51" s="114">
        <f t="shared" si="36"/>
        <v>138089683</v>
      </c>
      <c r="M51" s="114">
        <f t="shared" si="36"/>
        <v>42051031</v>
      </c>
      <c r="N51" s="114">
        <f t="shared" si="36"/>
        <v>33851461</v>
      </c>
      <c r="O51" s="114">
        <f t="shared" si="36"/>
        <v>63934538</v>
      </c>
      <c r="P51" s="114">
        <f t="shared" si="36"/>
        <v>34892185</v>
      </c>
      <c r="Q51" s="114">
        <f t="shared" si="36"/>
        <v>29042353</v>
      </c>
      <c r="R51" s="114">
        <f t="shared" si="36"/>
        <v>10676274</v>
      </c>
      <c r="S51" s="113"/>
      <c r="T51" s="113">
        <f t="shared" si="2"/>
        <v>110271278</v>
      </c>
      <c r="U51" s="114">
        <f t="shared" ref="U51:AG51" si="37">U39+U50</f>
        <v>1905455</v>
      </c>
      <c r="V51" s="114">
        <f t="shared" si="37"/>
        <v>5403402</v>
      </c>
      <c r="W51" s="114">
        <f t="shared" si="37"/>
        <v>5471569</v>
      </c>
      <c r="X51" s="114">
        <f t="shared" si="37"/>
        <v>92191315</v>
      </c>
      <c r="Y51" s="114">
        <f t="shared" si="37"/>
        <v>869261</v>
      </c>
      <c r="Z51" s="114">
        <f t="shared" si="37"/>
        <v>0</v>
      </c>
      <c r="AA51" s="114">
        <f t="shared" si="37"/>
        <v>4430276</v>
      </c>
      <c r="AB51" s="114">
        <f t="shared" si="37"/>
        <v>3758112</v>
      </c>
      <c r="AC51" s="114">
        <f t="shared" si="37"/>
        <v>193596813</v>
      </c>
      <c r="AD51" s="114">
        <f t="shared" si="37"/>
        <v>181590171</v>
      </c>
      <c r="AE51" s="114">
        <f t="shared" si="37"/>
        <v>12006352</v>
      </c>
      <c r="AF51" s="114">
        <f t="shared" si="37"/>
        <v>741688</v>
      </c>
      <c r="AG51" s="114">
        <f t="shared" si="37"/>
        <v>18002406</v>
      </c>
      <c r="AH51" s="113">
        <f t="shared" si="3"/>
        <v>34825793</v>
      </c>
      <c r="AI51" s="114">
        <f>AI39+AI50</f>
        <v>26773268</v>
      </c>
      <c r="AJ51" s="114">
        <f>AJ39+AJ50</f>
        <v>8052525</v>
      </c>
      <c r="AK51" s="114">
        <f>AK39+AK50</f>
        <v>404013351</v>
      </c>
      <c r="AL51" s="113">
        <f t="shared" si="4"/>
        <v>244335646</v>
      </c>
      <c r="AM51" s="114">
        <f>AM39+AM50</f>
        <v>157419966</v>
      </c>
      <c r="AN51" s="114">
        <f>AN39+AN50</f>
        <v>34944062</v>
      </c>
      <c r="AO51" s="113"/>
      <c r="AP51" s="114">
        <f t="shared" ref="AP51:BN51" si="38">AP39+AP50</f>
        <v>51971618</v>
      </c>
      <c r="AQ51" s="114">
        <f t="shared" si="38"/>
        <v>21161185</v>
      </c>
      <c r="AR51" s="114">
        <f t="shared" si="38"/>
        <v>74538</v>
      </c>
      <c r="AS51" s="114">
        <f t="shared" si="38"/>
        <v>264972</v>
      </c>
      <c r="AT51" s="114">
        <f t="shared" si="38"/>
        <v>139403677</v>
      </c>
      <c r="AU51" s="114">
        <f t="shared" si="38"/>
        <v>85450519</v>
      </c>
      <c r="AV51" s="114">
        <f t="shared" si="38"/>
        <v>15281592</v>
      </c>
      <c r="AW51" s="114">
        <f t="shared" si="38"/>
        <v>4976539</v>
      </c>
      <c r="AX51" s="114">
        <f t="shared" si="38"/>
        <v>53953158</v>
      </c>
      <c r="AY51" s="114">
        <f t="shared" si="38"/>
        <v>1612166</v>
      </c>
      <c r="AZ51" s="114">
        <f t="shared" si="38"/>
        <v>14768134</v>
      </c>
      <c r="BA51" s="114">
        <f t="shared" si="38"/>
        <v>12460550</v>
      </c>
      <c r="BB51" s="114">
        <f t="shared" si="38"/>
        <v>20576879</v>
      </c>
      <c r="BC51" s="114">
        <f t="shared" si="38"/>
        <v>55101298</v>
      </c>
      <c r="BD51" s="114">
        <f t="shared" si="38"/>
        <v>21128609</v>
      </c>
      <c r="BE51" s="114">
        <f t="shared" si="38"/>
        <v>2349948</v>
      </c>
      <c r="BF51" s="114">
        <f t="shared" si="38"/>
        <v>29627967</v>
      </c>
      <c r="BG51" s="114">
        <f t="shared" si="38"/>
        <v>498401</v>
      </c>
      <c r="BH51" s="114">
        <f t="shared" si="38"/>
        <v>22731503</v>
      </c>
      <c r="BI51" s="114">
        <f t="shared" si="38"/>
        <v>13698388</v>
      </c>
      <c r="BJ51" s="114">
        <f t="shared" si="38"/>
        <v>30723739</v>
      </c>
      <c r="BK51" s="114">
        <f t="shared" si="38"/>
        <v>6795931</v>
      </c>
      <c r="BL51" s="114">
        <f t="shared" si="38"/>
        <v>359914</v>
      </c>
      <c r="BM51" s="114">
        <f t="shared" si="38"/>
        <v>2099763</v>
      </c>
      <c r="BN51" s="114">
        <f t="shared" si="38"/>
        <v>148820894</v>
      </c>
      <c r="BO51" s="113">
        <f t="shared" si="5"/>
        <v>84567529</v>
      </c>
      <c r="BP51" s="113">
        <f t="shared" si="6"/>
        <v>64165365</v>
      </c>
      <c r="BQ51" s="114">
        <f>BQ39+BQ50</f>
        <v>0</v>
      </c>
      <c r="BR51" s="114">
        <f>BR39+BR50</f>
        <v>18100</v>
      </c>
      <c r="BS51" s="114">
        <f>BS39+BS50</f>
        <v>64147265</v>
      </c>
      <c r="BT51" s="114">
        <f>BT39+BT50</f>
        <v>88000</v>
      </c>
      <c r="BU51" s="114">
        <f>BU39+BU50</f>
        <v>1986849620</v>
      </c>
      <c r="BV51" s="113"/>
      <c r="BW51" s="114">
        <f t="shared" ref="BW51:CI51" si="39">BW39+BW50</f>
        <v>303622215</v>
      </c>
      <c r="BX51" s="114">
        <f t="shared" si="39"/>
        <v>201527680</v>
      </c>
      <c r="BY51" s="114">
        <f t="shared" si="39"/>
        <v>19330860</v>
      </c>
      <c r="BZ51" s="114">
        <f t="shared" si="39"/>
        <v>24433156</v>
      </c>
      <c r="CA51" s="114">
        <f t="shared" si="39"/>
        <v>611213090</v>
      </c>
      <c r="CB51" s="114">
        <f t="shared" si="39"/>
        <v>139556824</v>
      </c>
      <c r="CC51" s="114">
        <f t="shared" si="39"/>
        <v>10948387</v>
      </c>
      <c r="CD51" s="114">
        <f t="shared" si="39"/>
        <v>234629720</v>
      </c>
      <c r="CE51" s="114">
        <f t="shared" si="39"/>
        <v>208178691</v>
      </c>
      <c r="CF51" s="114">
        <f t="shared" si="39"/>
        <v>4827353</v>
      </c>
      <c r="CG51" s="114">
        <f t="shared" si="39"/>
        <v>13058325</v>
      </c>
      <c r="CH51" s="114">
        <f t="shared" si="39"/>
        <v>158373272</v>
      </c>
      <c r="CI51" s="114">
        <f t="shared" si="39"/>
        <v>144952727</v>
      </c>
      <c r="CJ51" s="113">
        <f t="shared" si="17"/>
        <v>13420545</v>
      </c>
      <c r="CK51" s="114">
        <f t="shared" ref="CK51:CS51" si="40">CK39+CK50</f>
        <v>230487135</v>
      </c>
      <c r="CL51" s="114">
        <f t="shared" si="40"/>
        <v>143209923</v>
      </c>
      <c r="CM51" s="114">
        <f t="shared" si="40"/>
        <v>16024702</v>
      </c>
      <c r="CN51" s="114">
        <f t="shared" si="40"/>
        <v>36920979</v>
      </c>
      <c r="CO51" s="114">
        <f t="shared" si="40"/>
        <v>15571861</v>
      </c>
      <c r="CP51" s="114">
        <f t="shared" si="40"/>
        <v>172768447</v>
      </c>
      <c r="CQ51" s="114">
        <f t="shared" si="40"/>
        <v>38451468</v>
      </c>
      <c r="CR51" s="114">
        <f t="shared" si="40"/>
        <v>36999539</v>
      </c>
      <c r="CS51" s="114">
        <f t="shared" si="40"/>
        <v>25676966</v>
      </c>
      <c r="CT51" s="113">
        <f t="shared" si="7"/>
        <v>57455653</v>
      </c>
      <c r="CU51" s="114">
        <f>CU39+CU50</f>
        <v>42662170</v>
      </c>
      <c r="CV51" s="114">
        <f>CV39+CV50</f>
        <v>14793483</v>
      </c>
      <c r="CW51" s="113">
        <f t="shared" si="8"/>
        <v>10686282</v>
      </c>
      <c r="CX51" s="114">
        <f>CX39+CX50</f>
        <v>8922245</v>
      </c>
      <c r="CY51" s="114">
        <f>CY39+CY50</f>
        <v>1764037</v>
      </c>
      <c r="CZ51" s="113">
        <f t="shared" si="9"/>
        <v>44176072</v>
      </c>
      <c r="DA51" s="114">
        <f t="shared" ref="DA51:DU51" si="41">DA39+DA50</f>
        <v>32863703</v>
      </c>
      <c r="DB51" s="114">
        <f t="shared" si="41"/>
        <v>11312369</v>
      </c>
      <c r="DC51" s="114">
        <f t="shared" si="41"/>
        <v>190050878</v>
      </c>
      <c r="DD51" s="114">
        <f t="shared" si="41"/>
        <v>85725461</v>
      </c>
      <c r="DE51" s="114">
        <f t="shared" si="41"/>
        <v>98060120</v>
      </c>
      <c r="DF51" s="114">
        <f t="shared" si="41"/>
        <v>1996192</v>
      </c>
      <c r="DG51" s="114">
        <f t="shared" si="41"/>
        <v>4221240</v>
      </c>
      <c r="DH51" s="114">
        <f t="shared" si="41"/>
        <v>994247</v>
      </c>
      <c r="DI51" s="114">
        <f t="shared" si="41"/>
        <v>57387113</v>
      </c>
      <c r="DJ51" s="114">
        <f t="shared" si="41"/>
        <v>8954120</v>
      </c>
      <c r="DK51" s="114">
        <f t="shared" si="41"/>
        <v>1270546</v>
      </c>
      <c r="DL51" s="114">
        <f t="shared" si="41"/>
        <v>47162447</v>
      </c>
      <c r="DM51" s="114">
        <f t="shared" si="41"/>
        <v>6521442</v>
      </c>
      <c r="DN51" s="114">
        <f t="shared" si="41"/>
        <v>6328176</v>
      </c>
      <c r="DO51" s="114">
        <f t="shared" si="41"/>
        <v>365844</v>
      </c>
      <c r="DP51" s="114">
        <f t="shared" si="41"/>
        <v>723564</v>
      </c>
      <c r="DQ51" s="114">
        <f t="shared" si="41"/>
        <v>11306228</v>
      </c>
      <c r="DR51" s="114">
        <f t="shared" si="41"/>
        <v>0</v>
      </c>
      <c r="DS51" s="114">
        <f t="shared" si="41"/>
        <v>0</v>
      </c>
      <c r="DT51" s="114">
        <f t="shared" si="41"/>
        <v>201542328</v>
      </c>
      <c r="DU51" s="114">
        <f t="shared" si="41"/>
        <v>14591454</v>
      </c>
      <c r="DV51" s="113">
        <f t="shared" si="10"/>
        <v>0</v>
      </c>
      <c r="DW51" s="114">
        <f>DW39+DW50</f>
        <v>0</v>
      </c>
      <c r="DX51" s="114">
        <f>DX39+DX50</f>
        <v>66359557</v>
      </c>
      <c r="DY51" s="114">
        <f>DY39+DY50</f>
        <v>241916</v>
      </c>
      <c r="DZ51" s="114">
        <f>DZ39+DZ50</f>
        <v>57943157</v>
      </c>
      <c r="EA51" s="113">
        <v>0</v>
      </c>
      <c r="EB51" s="114">
        <f>EB39+EB50</f>
        <v>61209663</v>
      </c>
      <c r="EC51" s="114">
        <f>EC39+EC50</f>
        <v>0</v>
      </c>
      <c r="ED51" s="114">
        <f>ED39+ED50</f>
        <v>1959838256</v>
      </c>
      <c r="EE51" s="113"/>
      <c r="EF51" s="114">
        <f>EF39+EF50</f>
        <v>27011364</v>
      </c>
      <c r="EG51" s="114">
        <f>EG39+EG50</f>
        <v>6301430</v>
      </c>
      <c r="EH51" s="114">
        <f>EH39+EH50</f>
        <v>20709934</v>
      </c>
      <c r="EI51" s="114">
        <f>EI39+EI50</f>
        <v>4123943</v>
      </c>
      <c r="EJ51" s="114">
        <f>EJ39+EJ50</f>
        <v>-5010977</v>
      </c>
      <c r="EK51" s="113"/>
      <c r="EL51" s="114">
        <f>EL39+EL50</f>
        <v>5308974</v>
      </c>
      <c r="EM51" s="114">
        <f>EM39+EM50</f>
        <v>5313390</v>
      </c>
      <c r="EN51" s="114">
        <f>EN39+EN50</f>
        <v>39740710</v>
      </c>
      <c r="EO51" s="114">
        <f>EO39+EO50</f>
        <v>10115276</v>
      </c>
      <c r="EP51" s="113">
        <f t="shared" si="11"/>
        <v>39389463</v>
      </c>
      <c r="EQ51" s="114">
        <f t="shared" ref="EQ51:EV51" si="42">EQ39+EQ50</f>
        <v>1097881946</v>
      </c>
      <c r="ER51" s="114">
        <f t="shared" si="42"/>
        <v>-152404154</v>
      </c>
      <c r="ES51" s="114">
        <f t="shared" si="42"/>
        <v>278753623</v>
      </c>
      <c r="ET51" s="114">
        <f t="shared" si="42"/>
        <v>182573312</v>
      </c>
      <c r="EU51" s="114">
        <f t="shared" si="42"/>
        <v>179494118</v>
      </c>
      <c r="EV51" s="114">
        <f t="shared" si="42"/>
        <v>156811570</v>
      </c>
      <c r="EW51" s="113">
        <f t="shared" si="12"/>
        <v>44705416</v>
      </c>
      <c r="EX51" s="114">
        <f t="shared" ref="EX51:FF51" si="43">EX39+EX50</f>
        <v>44364580</v>
      </c>
      <c r="EY51" s="114">
        <f t="shared" si="43"/>
        <v>4113058</v>
      </c>
      <c r="EZ51" s="114">
        <f t="shared" si="43"/>
        <v>39724426</v>
      </c>
      <c r="FA51" s="114">
        <f t="shared" si="43"/>
        <v>340836</v>
      </c>
      <c r="FB51" s="114">
        <f t="shared" si="43"/>
        <v>0</v>
      </c>
      <c r="FC51" s="114">
        <f t="shared" si="43"/>
        <v>188343090</v>
      </c>
      <c r="FD51" s="114">
        <f t="shared" si="43"/>
        <v>158480064</v>
      </c>
      <c r="FE51" s="114">
        <f t="shared" si="43"/>
        <v>37405250</v>
      </c>
      <c r="FF51" s="114">
        <f t="shared" si="43"/>
        <v>164129200</v>
      </c>
      <c r="FG51" s="113">
        <f t="shared" si="13"/>
        <v>52748787</v>
      </c>
      <c r="FH51" s="114">
        <f>FH39+FH50</f>
        <v>1223465868</v>
      </c>
      <c r="FI51" s="441">
        <f t="shared" si="14"/>
        <v>1.9</v>
      </c>
      <c r="FJ51" s="114">
        <f>FJ39+FJ50</f>
        <v>1005052690</v>
      </c>
      <c r="FK51" s="114">
        <f>FK39+FK50</f>
        <v>72500292</v>
      </c>
      <c r="FL51" s="114">
        <f>FL39+FL50</f>
        <v>639993916</v>
      </c>
      <c r="FM51" s="114">
        <f>FM39+FM50</f>
        <v>821512021</v>
      </c>
      <c r="FN51" s="442">
        <v>0.77500000000000002</v>
      </c>
      <c r="FO51" s="443">
        <v>96.9</v>
      </c>
      <c r="FP51" s="444">
        <v>25.1</v>
      </c>
      <c r="FQ51" s="443">
        <v>16.399999999999999</v>
      </c>
      <c r="FR51" s="443">
        <v>14</v>
      </c>
      <c r="FS51" s="444">
        <v>15.4</v>
      </c>
      <c r="FT51" s="443">
        <v>11.3</v>
      </c>
      <c r="FU51" s="444">
        <v>13.3</v>
      </c>
      <c r="FV51" s="446">
        <v>4.9000000000000004</v>
      </c>
      <c r="FW51" s="114">
        <f>FW39+FW50</f>
        <v>1553166252</v>
      </c>
      <c r="FX51" s="446">
        <f t="shared" si="15"/>
        <v>144.1</v>
      </c>
      <c r="FY51" s="114">
        <f t="shared" ref="FY51:GD51" si="44">FY39+FY50</f>
        <v>362951194</v>
      </c>
      <c r="FZ51" s="114">
        <f t="shared" si="44"/>
        <v>152128477</v>
      </c>
      <c r="GA51" s="114">
        <f t="shared" si="44"/>
        <v>30461941</v>
      </c>
      <c r="GB51" s="114">
        <f t="shared" si="44"/>
        <v>180360776</v>
      </c>
      <c r="GC51" s="114">
        <f t="shared" si="44"/>
        <v>0</v>
      </c>
      <c r="GD51" s="114">
        <f t="shared" si="44"/>
        <v>29736</v>
      </c>
      <c r="GE51" s="447">
        <f>IF(GD51=0,"-",ROUND(GD51/GW51*100,1))</f>
        <v>8.1999999999999993</v>
      </c>
      <c r="GF51" s="443">
        <v>99.2</v>
      </c>
      <c r="GG51" s="443">
        <v>34.5</v>
      </c>
      <c r="GH51" s="443">
        <v>97.5</v>
      </c>
      <c r="GI51" s="114">
        <f>GI39+GI50</f>
        <v>31094</v>
      </c>
      <c r="GJ51" s="448" t="s">
        <v>646</v>
      </c>
      <c r="GK51" s="448" t="s">
        <v>646</v>
      </c>
      <c r="GL51" s="449" t="s">
        <v>646</v>
      </c>
      <c r="GM51" s="448" t="s">
        <v>646</v>
      </c>
      <c r="GN51" s="448" t="s">
        <v>646</v>
      </c>
      <c r="GO51" s="449" t="s">
        <v>646</v>
      </c>
      <c r="GP51" s="444">
        <v>4.4000000000000004</v>
      </c>
      <c r="GQ51" s="450" t="s">
        <v>646</v>
      </c>
      <c r="GR51" s="450" t="s">
        <v>646</v>
      </c>
      <c r="GS51" s="450" t="s">
        <v>646</v>
      </c>
      <c r="GT51" s="448" t="s">
        <v>646</v>
      </c>
      <c r="GU51" s="408"/>
      <c r="GV51" s="115">
        <f t="shared" si="16"/>
        <v>1077553</v>
      </c>
      <c r="GW51" s="408">
        <f>GW39+GW50</f>
        <v>360743</v>
      </c>
      <c r="GX51" s="408"/>
      <c r="GY51" s="408"/>
      <c r="GZ51" s="408"/>
      <c r="HA51" s="408"/>
      <c r="HB51" s="408"/>
      <c r="HC51" s="408"/>
      <c r="HD51" s="408"/>
      <c r="HE51" s="408"/>
      <c r="HF51" s="408"/>
      <c r="HG51" s="408"/>
      <c r="HH51" s="408"/>
      <c r="HI51" s="408"/>
      <c r="HJ51" s="408"/>
      <c r="HK51" s="408"/>
      <c r="HL51" s="408"/>
      <c r="HM51" s="408"/>
      <c r="HN51" s="408"/>
      <c r="HO51" s="408"/>
      <c r="HP51" s="408"/>
      <c r="HQ51" s="408"/>
      <c r="HR51" s="408"/>
      <c r="HS51" s="408"/>
      <c r="HT51" s="408"/>
      <c r="HU51" s="408"/>
      <c r="HV51" s="408"/>
    </row>
    <row r="52" spans="2:230" s="108" customFormat="1" x14ac:dyDescent="0.15">
      <c r="B52" s="108" t="s">
        <v>0</v>
      </c>
      <c r="C52" s="110">
        <f>C6+C7+C51</f>
        <v>1588332317</v>
      </c>
      <c r="D52" s="109">
        <f t="shared" si="0"/>
        <v>489135401</v>
      </c>
      <c r="E52" s="110">
        <f>E6+E7+E51</f>
        <v>14038128</v>
      </c>
      <c r="F52" s="110">
        <f>F6+F7+F51</f>
        <v>475097273</v>
      </c>
      <c r="G52" s="109">
        <f t="shared" si="1"/>
        <v>197449499</v>
      </c>
      <c r="H52" s="110">
        <f t="shared" ref="H52:R52" si="45">H6+H7+H51</f>
        <v>35111328</v>
      </c>
      <c r="I52" s="110">
        <f t="shared" si="45"/>
        <v>162338171</v>
      </c>
      <c r="J52" s="110">
        <f t="shared" si="45"/>
        <v>650928951</v>
      </c>
      <c r="K52" s="110">
        <f t="shared" si="45"/>
        <v>258172175</v>
      </c>
      <c r="L52" s="110">
        <f t="shared" si="45"/>
        <v>297960037</v>
      </c>
      <c r="M52" s="110">
        <f t="shared" si="45"/>
        <v>88095205</v>
      </c>
      <c r="N52" s="110">
        <f t="shared" si="45"/>
        <v>69532526</v>
      </c>
      <c r="O52" s="110">
        <f t="shared" si="45"/>
        <v>131013421</v>
      </c>
      <c r="P52" s="110">
        <f t="shared" si="45"/>
        <v>67097560</v>
      </c>
      <c r="Q52" s="110">
        <f t="shared" si="45"/>
        <v>63915861</v>
      </c>
      <c r="R52" s="110">
        <f t="shared" si="45"/>
        <v>18903925</v>
      </c>
      <c r="S52" s="109"/>
      <c r="T52" s="109">
        <f t="shared" si="2"/>
        <v>197890139</v>
      </c>
      <c r="U52" s="110">
        <f t="shared" ref="U52:AG52" si="46">U6+U7+U51</f>
        <v>3127794</v>
      </c>
      <c r="V52" s="110">
        <f t="shared" si="46"/>
        <v>8875680</v>
      </c>
      <c r="W52" s="110">
        <f t="shared" si="46"/>
        <v>8997704</v>
      </c>
      <c r="X52" s="110">
        <f t="shared" si="46"/>
        <v>167382857</v>
      </c>
      <c r="Y52" s="110">
        <f t="shared" si="46"/>
        <v>1001301</v>
      </c>
      <c r="Z52" s="110">
        <f t="shared" si="46"/>
        <v>0</v>
      </c>
      <c r="AA52" s="110">
        <f t="shared" si="46"/>
        <v>8504803</v>
      </c>
      <c r="AB52" s="110">
        <f t="shared" si="46"/>
        <v>6809581</v>
      </c>
      <c r="AC52" s="110">
        <f t="shared" si="46"/>
        <v>276326233</v>
      </c>
      <c r="AD52" s="110">
        <f t="shared" si="46"/>
        <v>262619763</v>
      </c>
      <c r="AE52" s="110">
        <f t="shared" si="46"/>
        <v>13706015</v>
      </c>
      <c r="AF52" s="110">
        <f t="shared" si="46"/>
        <v>1864924</v>
      </c>
      <c r="AG52" s="110">
        <f t="shared" si="46"/>
        <v>28813029</v>
      </c>
      <c r="AH52" s="109">
        <f t="shared" si="3"/>
        <v>107885612</v>
      </c>
      <c r="AI52" s="110">
        <f>AI6+AI7+AI51</f>
        <v>90076761</v>
      </c>
      <c r="AJ52" s="110">
        <f>AJ6+AJ7+AJ51</f>
        <v>17808851</v>
      </c>
      <c r="AK52" s="110">
        <f>AK6+AK7+AK51</f>
        <v>904527416</v>
      </c>
      <c r="AL52" s="109">
        <f t="shared" si="4"/>
        <v>587596521</v>
      </c>
      <c r="AM52" s="110">
        <f>AM6+AM7+AM51</f>
        <v>404625637</v>
      </c>
      <c r="AN52" s="110">
        <f>AN6+AN7+AN51</f>
        <v>78955708</v>
      </c>
      <c r="AO52" s="109"/>
      <c r="AP52" s="110">
        <f t="shared" ref="AP52:BN52" si="47">AP6+AP7+AP51</f>
        <v>104015176</v>
      </c>
      <c r="AQ52" s="110">
        <f t="shared" si="47"/>
        <v>45057379</v>
      </c>
      <c r="AR52" s="110">
        <f t="shared" si="47"/>
        <v>74538</v>
      </c>
      <c r="AS52" s="110">
        <f t="shared" si="47"/>
        <v>274670</v>
      </c>
      <c r="AT52" s="110">
        <f t="shared" si="47"/>
        <v>231405910</v>
      </c>
      <c r="AU52" s="110">
        <f t="shared" si="47"/>
        <v>140894125</v>
      </c>
      <c r="AV52" s="110">
        <f t="shared" si="47"/>
        <v>19054659</v>
      </c>
      <c r="AW52" s="110">
        <f t="shared" si="47"/>
        <v>7207043</v>
      </c>
      <c r="AX52" s="110">
        <f t="shared" si="47"/>
        <v>90511785</v>
      </c>
      <c r="AY52" s="110">
        <f t="shared" si="47"/>
        <v>1697283</v>
      </c>
      <c r="AZ52" s="110">
        <f t="shared" si="47"/>
        <v>41719324</v>
      </c>
      <c r="BA52" s="110">
        <f t="shared" si="47"/>
        <v>24401975</v>
      </c>
      <c r="BB52" s="110">
        <f t="shared" si="47"/>
        <v>21645494</v>
      </c>
      <c r="BC52" s="110">
        <f t="shared" si="47"/>
        <v>96151801</v>
      </c>
      <c r="BD52" s="110">
        <f t="shared" si="47"/>
        <v>27677670</v>
      </c>
      <c r="BE52" s="110">
        <f t="shared" si="47"/>
        <v>4649888</v>
      </c>
      <c r="BF52" s="110">
        <f t="shared" si="47"/>
        <v>34153708</v>
      </c>
      <c r="BG52" s="110">
        <f t="shared" si="47"/>
        <v>498401</v>
      </c>
      <c r="BH52" s="110">
        <f t="shared" si="47"/>
        <v>28108908</v>
      </c>
      <c r="BI52" s="110">
        <f t="shared" si="47"/>
        <v>16492346</v>
      </c>
      <c r="BJ52" s="110">
        <f t="shared" si="47"/>
        <v>184287731</v>
      </c>
      <c r="BK52" s="110">
        <f t="shared" si="47"/>
        <v>92880941</v>
      </c>
      <c r="BL52" s="110">
        <f t="shared" si="47"/>
        <v>879349</v>
      </c>
      <c r="BM52" s="110">
        <f t="shared" si="47"/>
        <v>13305034</v>
      </c>
      <c r="BN52" s="110">
        <f t="shared" si="47"/>
        <v>317240594</v>
      </c>
      <c r="BO52" s="109">
        <f t="shared" si="5"/>
        <v>152333129</v>
      </c>
      <c r="BP52" s="109">
        <f t="shared" si="6"/>
        <v>164819465</v>
      </c>
      <c r="BQ52" s="110">
        <f>BQ6+BQ7+BQ51</f>
        <v>0</v>
      </c>
      <c r="BR52" s="110">
        <f>BR6+BR7+BR51</f>
        <v>18100</v>
      </c>
      <c r="BS52" s="110">
        <f>BS6+BS7+BS51</f>
        <v>164801365</v>
      </c>
      <c r="BT52" s="110">
        <f>BT6+BT7+BT51</f>
        <v>88000</v>
      </c>
      <c r="BU52" s="110">
        <f>BU6+BU7+BU51</f>
        <v>4131494279</v>
      </c>
      <c r="BV52" s="109"/>
      <c r="BW52" s="110">
        <f t="shared" ref="BW52:CI52" si="48">BW6+BW7+BW51</f>
        <v>688574318</v>
      </c>
      <c r="BX52" s="110">
        <f t="shared" si="48"/>
        <v>480460706</v>
      </c>
      <c r="BY52" s="110">
        <f t="shared" si="48"/>
        <v>49199538</v>
      </c>
      <c r="BZ52" s="110">
        <f t="shared" si="48"/>
        <v>35753962</v>
      </c>
      <c r="CA52" s="110">
        <f t="shared" si="48"/>
        <v>1288237515</v>
      </c>
      <c r="CB52" s="110">
        <f t="shared" si="48"/>
        <v>267600075</v>
      </c>
      <c r="CC52" s="110">
        <f t="shared" si="48"/>
        <v>20650919</v>
      </c>
      <c r="CD52" s="110">
        <f t="shared" si="48"/>
        <v>423119880</v>
      </c>
      <c r="CE52" s="110">
        <f t="shared" si="48"/>
        <v>538375152</v>
      </c>
      <c r="CF52" s="110">
        <f t="shared" si="48"/>
        <v>16572859</v>
      </c>
      <c r="CG52" s="110">
        <f t="shared" si="48"/>
        <v>21904811</v>
      </c>
      <c r="CH52" s="110">
        <f t="shared" si="48"/>
        <v>455559384</v>
      </c>
      <c r="CI52" s="110">
        <f t="shared" si="48"/>
        <v>408741292</v>
      </c>
      <c r="CJ52" s="109">
        <f t="shared" si="17"/>
        <v>46818092</v>
      </c>
      <c r="CK52" s="110">
        <f t="shared" ref="CK52:CS52" si="49">CK6+CK7+CK51</f>
        <v>386309901</v>
      </c>
      <c r="CL52" s="110">
        <f t="shared" si="49"/>
        <v>245091693</v>
      </c>
      <c r="CM52" s="110">
        <f t="shared" si="49"/>
        <v>20015627</v>
      </c>
      <c r="CN52" s="110">
        <f t="shared" si="49"/>
        <v>65940794</v>
      </c>
      <c r="CO52" s="110">
        <f t="shared" si="49"/>
        <v>33829662</v>
      </c>
      <c r="CP52" s="110">
        <f t="shared" si="49"/>
        <v>313540760</v>
      </c>
      <c r="CQ52" s="110">
        <f t="shared" si="49"/>
        <v>46083715</v>
      </c>
      <c r="CR52" s="110">
        <f t="shared" si="49"/>
        <v>93830697</v>
      </c>
      <c r="CS52" s="110">
        <f t="shared" si="49"/>
        <v>67979445</v>
      </c>
      <c r="CT52" s="109">
        <f t="shared" si="7"/>
        <v>102268439</v>
      </c>
      <c r="CU52" s="110">
        <f>CU6+CU7+CU51</f>
        <v>50211126</v>
      </c>
      <c r="CV52" s="110">
        <f>CV6+CV7+CV51</f>
        <v>52057313</v>
      </c>
      <c r="CW52" s="109">
        <f t="shared" si="8"/>
        <v>10686282</v>
      </c>
      <c r="CX52" s="110">
        <f>CX6+CX7+CX51</f>
        <v>8922245</v>
      </c>
      <c r="CY52" s="110">
        <f>CY6+CY7+CY51</f>
        <v>1764037</v>
      </c>
      <c r="CZ52" s="109">
        <f t="shared" si="9"/>
        <v>83160900</v>
      </c>
      <c r="DA52" s="110">
        <f t="shared" ref="DA52:DU52" si="50">DA6+DA7+DA51</f>
        <v>39944005</v>
      </c>
      <c r="DB52" s="110">
        <f t="shared" si="50"/>
        <v>43216895</v>
      </c>
      <c r="DC52" s="110">
        <f t="shared" si="50"/>
        <v>352730573</v>
      </c>
      <c r="DD52" s="110">
        <f t="shared" si="50"/>
        <v>182254720</v>
      </c>
      <c r="DE52" s="110">
        <f t="shared" si="50"/>
        <v>160883737</v>
      </c>
      <c r="DF52" s="110">
        <f t="shared" si="50"/>
        <v>1996192</v>
      </c>
      <c r="DG52" s="110">
        <f t="shared" si="50"/>
        <v>4504655</v>
      </c>
      <c r="DH52" s="110">
        <f t="shared" si="50"/>
        <v>1100724</v>
      </c>
      <c r="DI52" s="110">
        <f t="shared" si="50"/>
        <v>106418833</v>
      </c>
      <c r="DJ52" s="110">
        <f t="shared" si="50"/>
        <v>11882643</v>
      </c>
      <c r="DK52" s="110">
        <f t="shared" si="50"/>
        <v>12908920</v>
      </c>
      <c r="DL52" s="110">
        <f t="shared" si="50"/>
        <v>81627270</v>
      </c>
      <c r="DM52" s="110">
        <f t="shared" si="50"/>
        <v>9779727</v>
      </c>
      <c r="DN52" s="110">
        <f t="shared" si="50"/>
        <v>8016821</v>
      </c>
      <c r="DO52" s="110">
        <f t="shared" si="50"/>
        <v>365844</v>
      </c>
      <c r="DP52" s="110">
        <f t="shared" si="50"/>
        <v>723564</v>
      </c>
      <c r="DQ52" s="110">
        <f t="shared" si="50"/>
        <v>100387304</v>
      </c>
      <c r="DR52" s="110">
        <f t="shared" si="50"/>
        <v>0</v>
      </c>
      <c r="DS52" s="110">
        <f t="shared" si="50"/>
        <v>0</v>
      </c>
      <c r="DT52" s="110">
        <f t="shared" si="50"/>
        <v>361576125</v>
      </c>
      <c r="DU52" s="110">
        <f t="shared" si="50"/>
        <v>14591454</v>
      </c>
      <c r="DV52" s="109">
        <f t="shared" si="10"/>
        <v>11555648</v>
      </c>
      <c r="DW52" s="110">
        <f>DW6+DW7+DW51</f>
        <v>11555648</v>
      </c>
      <c r="DX52" s="110">
        <f>DX6+DX7+DX51</f>
        <v>113734726</v>
      </c>
      <c r="DY52" s="110">
        <f>DY6+DY7+DY51</f>
        <v>241916</v>
      </c>
      <c r="DZ52" s="110">
        <f>DZ6+DZ7+DZ51</f>
        <v>108573011</v>
      </c>
      <c r="EA52" s="109">
        <v>0</v>
      </c>
      <c r="EB52" s="110">
        <f>EB6+EB7+EB51</f>
        <v>109138652</v>
      </c>
      <c r="EC52" s="110">
        <f>EC6+EC7+EC51</f>
        <v>0</v>
      </c>
      <c r="ED52" s="110">
        <f>ED6+ED7+ED51</f>
        <v>4098044826</v>
      </c>
      <c r="EE52" s="109"/>
      <c r="EF52" s="110">
        <f>EF6+EF7+EF51</f>
        <v>33449453</v>
      </c>
      <c r="EG52" s="110">
        <f>EG6+EG7+EG51</f>
        <v>9777683</v>
      </c>
      <c r="EH52" s="110">
        <f>EH6+EH7+EH51</f>
        <v>23671770</v>
      </c>
      <c r="EI52" s="110">
        <f>EI6+EI7+EI51</f>
        <v>4291821</v>
      </c>
      <c r="EJ52" s="110">
        <f>EJ6+EJ7+EJ51</f>
        <v>-8463637</v>
      </c>
      <c r="EK52" s="109"/>
      <c r="EL52" s="110">
        <f>EL6+EL7+EL51</f>
        <v>8839469</v>
      </c>
      <c r="EM52" s="110">
        <f>EM6+EM7+EM51</f>
        <v>8856444</v>
      </c>
      <c r="EN52" s="110">
        <f>EN6+EN7+EN51</f>
        <v>49126468</v>
      </c>
      <c r="EO52" s="110">
        <f>EO6+EO7+EO51</f>
        <v>25046799</v>
      </c>
      <c r="EP52" s="109">
        <f t="shared" si="11"/>
        <v>166019419</v>
      </c>
      <c r="EQ52" s="110">
        <f t="shared" ref="EQ52:EV52" si="51">EQ6+EQ7+EQ51</f>
        <v>2169708460</v>
      </c>
      <c r="ER52" s="110">
        <f t="shared" si="51"/>
        <v>-323565886</v>
      </c>
      <c r="ES52" s="110">
        <f t="shared" si="51"/>
        <v>603697472</v>
      </c>
      <c r="ET52" s="110">
        <f t="shared" si="51"/>
        <v>414950828</v>
      </c>
      <c r="EU52" s="110">
        <f t="shared" si="51"/>
        <v>380240179</v>
      </c>
      <c r="EV52" s="110">
        <f t="shared" si="51"/>
        <v>421789806</v>
      </c>
      <c r="EW52" s="109">
        <f t="shared" si="12"/>
        <v>90101403</v>
      </c>
      <c r="EX52" s="110">
        <f t="shared" ref="EX52:FF52" si="52">EX6+EX7+EX51</f>
        <v>89654090</v>
      </c>
      <c r="EY52" s="110">
        <f t="shared" si="52"/>
        <v>17139807</v>
      </c>
      <c r="EZ52" s="110">
        <f t="shared" si="52"/>
        <v>71628000</v>
      </c>
      <c r="FA52" s="110">
        <f t="shared" si="52"/>
        <v>447313</v>
      </c>
      <c r="FB52" s="110">
        <f t="shared" si="52"/>
        <v>0</v>
      </c>
      <c r="FC52" s="110">
        <f t="shared" si="52"/>
        <v>297108914</v>
      </c>
      <c r="FD52" s="110">
        <f t="shared" si="52"/>
        <v>277238523</v>
      </c>
      <c r="FE52" s="110">
        <f t="shared" si="52"/>
        <v>40121276</v>
      </c>
      <c r="FF52" s="110">
        <f t="shared" si="52"/>
        <v>295168599</v>
      </c>
      <c r="FG52" s="109">
        <f t="shared" si="13"/>
        <v>94694629</v>
      </c>
      <c r="FH52" s="110">
        <f>FH6+FH7+FH51</f>
        <v>2460039525</v>
      </c>
      <c r="FI52" s="409">
        <f t="shared" si="14"/>
        <v>1.1000000000000001</v>
      </c>
      <c r="FJ52" s="110">
        <f>FJ6+FJ7+FJ51</f>
        <v>1971710440</v>
      </c>
      <c r="FK52" s="110">
        <f>FK6+FK7+FK51</f>
        <v>173154892</v>
      </c>
      <c r="FL52" s="110">
        <f>FL6+FL7+FL51</f>
        <v>1334489243</v>
      </c>
      <c r="FM52" s="110">
        <f>FM6+FM7+FM51</f>
        <v>1597331248</v>
      </c>
      <c r="FN52" s="436">
        <v>0.83799999999999997</v>
      </c>
      <c r="FO52" s="437">
        <v>97.5</v>
      </c>
      <c r="FP52" s="116">
        <v>27</v>
      </c>
      <c r="FQ52" s="437">
        <v>17.2</v>
      </c>
      <c r="FR52" s="437">
        <v>18.899999999999999</v>
      </c>
      <c r="FS52" s="116">
        <v>12.3</v>
      </c>
      <c r="FT52" s="437">
        <v>9.6999999999999993</v>
      </c>
      <c r="FU52" s="116">
        <v>11.2</v>
      </c>
      <c r="FV52" s="414">
        <v>6.1</v>
      </c>
      <c r="FW52" s="110">
        <f>FW6+FW7+FW51</f>
        <v>4051397321</v>
      </c>
      <c r="FX52" s="414">
        <f t="shared" si="15"/>
        <v>188.9</v>
      </c>
      <c r="FY52" s="110">
        <f>FY6+FY7+FY51</f>
        <v>646774100</v>
      </c>
      <c r="FZ52" s="110">
        <f>FZ6+FZ7+FZ51</f>
        <v>316967301</v>
      </c>
      <c r="GA52" s="110">
        <f>GA6+GA7+GA51</f>
        <v>45876157</v>
      </c>
      <c r="GB52" s="110">
        <f>GB6+GB7+GB51</f>
        <v>283930642</v>
      </c>
      <c r="GC52" s="110">
        <f>GC6+GC7+GC51</f>
        <v>0</v>
      </c>
      <c r="GD52" s="119">
        <f>SUM(GD6:GD7,GD51)</f>
        <v>29736</v>
      </c>
      <c r="GE52" s="451">
        <f>IF(GD52=0,"-",ROUND(GD52/GW52*100,1))</f>
        <v>8.1999999999999993</v>
      </c>
      <c r="GF52" s="437">
        <v>99.3</v>
      </c>
      <c r="GG52" s="437">
        <v>33.700000000000003</v>
      </c>
      <c r="GH52" s="437">
        <v>97.9</v>
      </c>
      <c r="GI52" s="110">
        <f>GI6+GI7+GI51</f>
        <v>72962</v>
      </c>
      <c r="GJ52" s="415" t="s">
        <v>646</v>
      </c>
      <c r="GK52" s="415" t="s">
        <v>646</v>
      </c>
      <c r="GL52" s="416" t="s">
        <v>646</v>
      </c>
      <c r="GM52" s="415" t="s">
        <v>646</v>
      </c>
      <c r="GN52" s="415" t="s">
        <v>646</v>
      </c>
      <c r="GO52" s="416" t="s">
        <v>646</v>
      </c>
      <c r="GP52" s="439">
        <v>5</v>
      </c>
      <c r="GQ52" s="418" t="s">
        <v>646</v>
      </c>
      <c r="GR52" s="418" t="s">
        <v>646</v>
      </c>
      <c r="GS52" s="124">
        <v>27.5</v>
      </c>
      <c r="GT52" s="415" t="s">
        <v>646</v>
      </c>
      <c r="GV52" s="111">
        <f t="shared" si="16"/>
        <v>2144865</v>
      </c>
      <c r="GW52" s="419">
        <f>GW51</f>
        <v>360743</v>
      </c>
    </row>
    <row r="53" spans="2:230" x14ac:dyDescent="0.15">
      <c r="S53" s="75"/>
      <c r="CI53" s="89"/>
      <c r="CJ53" s="84"/>
      <c r="EI53" s="420">
        <f>EI8+EI10+EI12+EI14+EI23+EI24+EI25+EI27+EI31+EI32+EI37+EI43+EI44+EI45+EI47+EI48</f>
        <v>543130</v>
      </c>
      <c r="FJ53" s="394">
        <f>FJ44+FJ47+FJ45</f>
        <v>15212367</v>
      </c>
      <c r="FK53" s="394">
        <f>FK44+FK47+FK45</f>
        <v>787215</v>
      </c>
      <c r="GE53" s="89" t="s">
        <v>647</v>
      </c>
      <c r="GW53" s="101" t="s">
        <v>648</v>
      </c>
      <c r="GX53" s="101"/>
    </row>
    <row r="54" spans="2:230" x14ac:dyDescent="0.15">
      <c r="S54" s="75"/>
      <c r="CI54" s="89"/>
      <c r="CJ54" s="84"/>
      <c r="EI54" s="420">
        <f>EI51-EI53</f>
        <v>3580813</v>
      </c>
      <c r="EM54" s="423"/>
      <c r="FJ54" s="394">
        <f>FJ39+FJ53</f>
        <v>978124679</v>
      </c>
      <c r="FK54" s="394">
        <f>FK39+FK53</f>
        <v>70587308</v>
      </c>
      <c r="GF54" s="388"/>
      <c r="GG54" s="388"/>
      <c r="GH54" s="388"/>
      <c r="GI54" s="272"/>
    </row>
    <row r="55" spans="2:230" x14ac:dyDescent="0.15">
      <c r="S55" s="75"/>
      <c r="CI55" s="89"/>
      <c r="CJ55" s="84"/>
    </row>
    <row r="56" spans="2:230" x14ac:dyDescent="0.15">
      <c r="B56" s="89" t="s">
        <v>650</v>
      </c>
      <c r="C56" s="89" t="str">
        <f t="shared" ref="C56:AH56" si="53">IF(SUM(C8:C38)=C39,"ok","エラー")</f>
        <v>ok</v>
      </c>
      <c r="D56" s="89" t="str">
        <f t="shared" si="53"/>
        <v>ok</v>
      </c>
      <c r="E56" s="89" t="str">
        <f t="shared" si="53"/>
        <v>ok</v>
      </c>
      <c r="F56" s="89" t="str">
        <f t="shared" si="53"/>
        <v>ok</v>
      </c>
      <c r="G56" s="89" t="str">
        <f t="shared" si="53"/>
        <v>ok</v>
      </c>
      <c r="H56" s="89" t="str">
        <f t="shared" si="53"/>
        <v>ok</v>
      </c>
      <c r="I56" s="89" t="str">
        <f t="shared" si="53"/>
        <v>ok</v>
      </c>
      <c r="J56" s="89" t="str">
        <f t="shared" si="53"/>
        <v>ok</v>
      </c>
      <c r="K56" s="89" t="str">
        <f t="shared" si="53"/>
        <v>ok</v>
      </c>
      <c r="L56" s="89" t="str">
        <f t="shared" si="53"/>
        <v>ok</v>
      </c>
      <c r="M56" s="89" t="str">
        <f t="shared" si="53"/>
        <v>ok</v>
      </c>
      <c r="N56" s="89" t="str">
        <f t="shared" si="53"/>
        <v>ok</v>
      </c>
      <c r="O56" s="89" t="str">
        <f t="shared" si="53"/>
        <v>ok</v>
      </c>
      <c r="P56" s="89" t="str">
        <f t="shared" si="53"/>
        <v>ok</v>
      </c>
      <c r="Q56" s="89" t="str">
        <f t="shared" si="53"/>
        <v>ok</v>
      </c>
      <c r="R56" s="89" t="str">
        <f t="shared" si="53"/>
        <v>ok</v>
      </c>
      <c r="S56" s="75" t="str">
        <f t="shared" si="53"/>
        <v>ok</v>
      </c>
      <c r="T56" s="89" t="str">
        <f t="shared" si="53"/>
        <v>ok</v>
      </c>
      <c r="U56" s="89" t="str">
        <f t="shared" si="53"/>
        <v>ok</v>
      </c>
      <c r="V56" s="89" t="str">
        <f t="shared" si="53"/>
        <v>ok</v>
      </c>
      <c r="W56" s="89" t="str">
        <f t="shared" si="53"/>
        <v>ok</v>
      </c>
      <c r="X56" s="89" t="str">
        <f t="shared" si="53"/>
        <v>ok</v>
      </c>
      <c r="Y56" s="89" t="str">
        <f t="shared" si="53"/>
        <v>ok</v>
      </c>
      <c r="Z56" s="89" t="str">
        <f t="shared" si="53"/>
        <v>ok</v>
      </c>
      <c r="AA56" s="89" t="str">
        <f t="shared" si="53"/>
        <v>ok</v>
      </c>
      <c r="AB56" s="89" t="str">
        <f t="shared" si="53"/>
        <v>ok</v>
      </c>
      <c r="AC56" s="89" t="str">
        <f t="shared" si="53"/>
        <v>ok</v>
      </c>
      <c r="AD56" s="89" t="str">
        <f t="shared" si="53"/>
        <v>ok</v>
      </c>
      <c r="AE56" s="89" t="str">
        <f t="shared" si="53"/>
        <v>ok</v>
      </c>
      <c r="AF56" s="89" t="str">
        <f t="shared" si="53"/>
        <v>ok</v>
      </c>
      <c r="AG56" s="89" t="str">
        <f t="shared" si="53"/>
        <v>ok</v>
      </c>
      <c r="AH56" s="89" t="str">
        <f t="shared" si="53"/>
        <v>ok</v>
      </c>
      <c r="AI56" s="89" t="str">
        <f t="shared" ref="AI56:BN56" si="54">IF(SUM(AI8:AI38)=AI39,"ok","エラー")</f>
        <v>ok</v>
      </c>
      <c r="AJ56" s="89" t="str">
        <f t="shared" si="54"/>
        <v>ok</v>
      </c>
      <c r="AK56" s="89" t="str">
        <f t="shared" si="54"/>
        <v>ok</v>
      </c>
      <c r="AL56" s="89" t="str">
        <f t="shared" si="54"/>
        <v>ok</v>
      </c>
      <c r="AM56" s="89" t="str">
        <f t="shared" si="54"/>
        <v>ok</v>
      </c>
      <c r="AN56" s="89" t="str">
        <f t="shared" si="54"/>
        <v>ok</v>
      </c>
      <c r="AO56" s="89" t="str">
        <f t="shared" si="54"/>
        <v>ok</v>
      </c>
      <c r="AP56" s="89" t="str">
        <f t="shared" si="54"/>
        <v>ok</v>
      </c>
      <c r="AQ56" s="89" t="str">
        <f t="shared" si="54"/>
        <v>ok</v>
      </c>
      <c r="AR56" s="89" t="str">
        <f t="shared" si="54"/>
        <v>ok</v>
      </c>
      <c r="AS56" s="89" t="str">
        <f t="shared" si="54"/>
        <v>ok</v>
      </c>
      <c r="AT56" s="89" t="str">
        <f t="shared" si="54"/>
        <v>ok</v>
      </c>
      <c r="AU56" s="89" t="str">
        <f t="shared" si="54"/>
        <v>ok</v>
      </c>
      <c r="AV56" s="89" t="str">
        <f t="shared" si="54"/>
        <v>ok</v>
      </c>
      <c r="AW56" s="89" t="str">
        <f t="shared" si="54"/>
        <v>ok</v>
      </c>
      <c r="AX56" s="89" t="str">
        <f t="shared" si="54"/>
        <v>ok</v>
      </c>
      <c r="AY56" s="89" t="str">
        <f t="shared" si="54"/>
        <v>ok</v>
      </c>
      <c r="AZ56" s="89" t="str">
        <f t="shared" si="54"/>
        <v>ok</v>
      </c>
      <c r="BA56" s="89" t="str">
        <f t="shared" si="54"/>
        <v>ok</v>
      </c>
      <c r="BB56" s="89" t="str">
        <f t="shared" si="54"/>
        <v>ok</v>
      </c>
      <c r="BC56" s="89" t="str">
        <f t="shared" si="54"/>
        <v>ok</v>
      </c>
      <c r="BD56" s="89" t="str">
        <f t="shared" si="54"/>
        <v>ok</v>
      </c>
      <c r="BE56" s="89" t="str">
        <f t="shared" si="54"/>
        <v>ok</v>
      </c>
      <c r="BF56" s="89" t="str">
        <f t="shared" si="54"/>
        <v>ok</v>
      </c>
      <c r="BG56" s="89" t="str">
        <f t="shared" si="54"/>
        <v>ok</v>
      </c>
      <c r="BH56" s="89" t="str">
        <f t="shared" si="54"/>
        <v>ok</v>
      </c>
      <c r="BI56" s="89" t="str">
        <f t="shared" si="54"/>
        <v>ok</v>
      </c>
      <c r="BJ56" s="89" t="str">
        <f t="shared" si="54"/>
        <v>ok</v>
      </c>
      <c r="BK56" s="89" t="str">
        <f t="shared" si="54"/>
        <v>ok</v>
      </c>
      <c r="BL56" s="89" t="str">
        <f t="shared" si="54"/>
        <v>ok</v>
      </c>
      <c r="BM56" s="89" t="str">
        <f t="shared" si="54"/>
        <v>ok</v>
      </c>
      <c r="BN56" s="89" t="str">
        <f t="shared" si="54"/>
        <v>ok</v>
      </c>
      <c r="BO56" s="89" t="str">
        <f t="shared" ref="BO56:CI56" si="55">IF(SUM(BO8:BO38)=BO39,"ok","エラー")</f>
        <v>ok</v>
      </c>
      <c r="BP56" s="89" t="str">
        <f t="shared" si="55"/>
        <v>ok</v>
      </c>
      <c r="BQ56" s="89" t="str">
        <f t="shared" si="55"/>
        <v>ok</v>
      </c>
      <c r="BR56" s="89" t="str">
        <f t="shared" si="55"/>
        <v>ok</v>
      </c>
      <c r="BS56" s="89" t="str">
        <f t="shared" si="55"/>
        <v>ok</v>
      </c>
      <c r="BT56" s="89" t="str">
        <f t="shared" si="55"/>
        <v>ok</v>
      </c>
      <c r="BU56" s="89" t="str">
        <f t="shared" si="55"/>
        <v>ok</v>
      </c>
      <c r="BV56" s="89" t="str">
        <f t="shared" si="55"/>
        <v>ok</v>
      </c>
      <c r="BW56" s="89" t="str">
        <f t="shared" si="55"/>
        <v>ok</v>
      </c>
      <c r="BX56" s="89" t="str">
        <f t="shared" si="55"/>
        <v>ok</v>
      </c>
      <c r="BY56" s="89" t="str">
        <f t="shared" si="55"/>
        <v>ok</v>
      </c>
      <c r="BZ56" s="89" t="str">
        <f t="shared" si="55"/>
        <v>ok</v>
      </c>
      <c r="CA56" s="89" t="str">
        <f t="shared" si="55"/>
        <v>ok</v>
      </c>
      <c r="CB56" s="89" t="str">
        <f t="shared" si="55"/>
        <v>ok</v>
      </c>
      <c r="CC56" s="89" t="str">
        <f t="shared" si="55"/>
        <v>ok</v>
      </c>
      <c r="CD56" s="89" t="str">
        <f t="shared" si="55"/>
        <v>ok</v>
      </c>
      <c r="CE56" s="89" t="str">
        <f t="shared" si="55"/>
        <v>ok</v>
      </c>
      <c r="CF56" s="89" t="str">
        <f t="shared" si="55"/>
        <v>ok</v>
      </c>
      <c r="CG56" s="89" t="str">
        <f t="shared" si="55"/>
        <v>ok</v>
      </c>
      <c r="CH56" s="89" t="str">
        <f t="shared" si="55"/>
        <v>ok</v>
      </c>
      <c r="CI56" s="89" t="str">
        <f t="shared" si="55"/>
        <v>ok</v>
      </c>
      <c r="CJ56" s="84"/>
      <c r="CK56" s="89" t="str">
        <f t="shared" ref="CK56:DP56" si="56">IF(SUM(CK8:CK38)=CK39,"ok","エラー")</f>
        <v>ok</v>
      </c>
      <c r="CL56" s="89" t="str">
        <f t="shared" si="56"/>
        <v>ok</v>
      </c>
      <c r="CM56" s="89" t="str">
        <f t="shared" si="56"/>
        <v>ok</v>
      </c>
      <c r="CN56" s="89" t="str">
        <f t="shared" si="56"/>
        <v>ok</v>
      </c>
      <c r="CO56" s="89" t="str">
        <f t="shared" si="56"/>
        <v>ok</v>
      </c>
      <c r="CP56" s="89" t="str">
        <f t="shared" si="56"/>
        <v>ok</v>
      </c>
      <c r="CQ56" s="89" t="str">
        <f t="shared" si="56"/>
        <v>ok</v>
      </c>
      <c r="CR56" s="89" t="str">
        <f t="shared" si="56"/>
        <v>ok</v>
      </c>
      <c r="CS56" s="89" t="str">
        <f t="shared" si="56"/>
        <v>ok</v>
      </c>
      <c r="CT56" s="89" t="str">
        <f t="shared" si="56"/>
        <v>ok</v>
      </c>
      <c r="CU56" s="89" t="str">
        <f t="shared" si="56"/>
        <v>ok</v>
      </c>
      <c r="CV56" s="89" t="str">
        <f t="shared" si="56"/>
        <v>ok</v>
      </c>
      <c r="CW56" s="89" t="str">
        <f t="shared" si="56"/>
        <v>ok</v>
      </c>
      <c r="CX56" s="89" t="str">
        <f t="shared" si="56"/>
        <v>ok</v>
      </c>
      <c r="CY56" s="89" t="str">
        <f t="shared" si="56"/>
        <v>ok</v>
      </c>
      <c r="CZ56" s="89" t="str">
        <f t="shared" si="56"/>
        <v>ok</v>
      </c>
      <c r="DA56" s="89" t="str">
        <f t="shared" si="56"/>
        <v>ok</v>
      </c>
      <c r="DB56" s="89" t="str">
        <f t="shared" si="56"/>
        <v>ok</v>
      </c>
      <c r="DC56" s="89" t="str">
        <f t="shared" si="56"/>
        <v>ok</v>
      </c>
      <c r="DD56" s="89" t="str">
        <f t="shared" si="56"/>
        <v>ok</v>
      </c>
      <c r="DE56" s="89" t="str">
        <f t="shared" si="56"/>
        <v>ok</v>
      </c>
      <c r="DF56" s="89" t="str">
        <f t="shared" si="56"/>
        <v>ok</v>
      </c>
      <c r="DG56" s="89" t="str">
        <f t="shared" si="56"/>
        <v>ok</v>
      </c>
      <c r="DH56" s="89" t="str">
        <f t="shared" si="56"/>
        <v>ok</v>
      </c>
      <c r="DI56" s="89" t="str">
        <f t="shared" si="56"/>
        <v>ok</v>
      </c>
      <c r="DJ56" s="89" t="str">
        <f t="shared" si="56"/>
        <v>ok</v>
      </c>
      <c r="DK56" s="89" t="str">
        <f t="shared" si="56"/>
        <v>ok</v>
      </c>
      <c r="DL56" s="89" t="str">
        <f t="shared" si="56"/>
        <v>ok</v>
      </c>
      <c r="DM56" s="89" t="str">
        <f t="shared" si="56"/>
        <v>ok</v>
      </c>
      <c r="DN56" s="89" t="str">
        <f t="shared" si="56"/>
        <v>ok</v>
      </c>
      <c r="DO56" s="89" t="str">
        <f t="shared" si="56"/>
        <v>ok</v>
      </c>
      <c r="DP56" s="89" t="str">
        <f t="shared" si="56"/>
        <v>ok</v>
      </c>
      <c r="DQ56" s="89" t="str">
        <f t="shared" ref="DQ56:EV56" si="57">IF(SUM(DQ8:DQ38)=DQ39,"ok","エラー")</f>
        <v>ok</v>
      </c>
      <c r="DR56" s="89" t="str">
        <f t="shared" si="57"/>
        <v>ok</v>
      </c>
      <c r="DS56" s="89" t="str">
        <f t="shared" si="57"/>
        <v>ok</v>
      </c>
      <c r="DT56" s="89" t="str">
        <f t="shared" si="57"/>
        <v>ok</v>
      </c>
      <c r="DU56" s="89" t="str">
        <f t="shared" si="57"/>
        <v>ok</v>
      </c>
      <c r="DV56" s="89" t="str">
        <f t="shared" si="57"/>
        <v>ok</v>
      </c>
      <c r="DW56" s="89" t="str">
        <f t="shared" si="57"/>
        <v>ok</v>
      </c>
      <c r="DX56" s="89" t="str">
        <f t="shared" si="57"/>
        <v>ok</v>
      </c>
      <c r="DY56" s="89" t="str">
        <f t="shared" si="57"/>
        <v>ok</v>
      </c>
      <c r="DZ56" s="89" t="str">
        <f t="shared" si="57"/>
        <v>ok</v>
      </c>
      <c r="EA56" s="89" t="str">
        <f t="shared" si="57"/>
        <v>ok</v>
      </c>
      <c r="EB56" s="89" t="str">
        <f t="shared" si="57"/>
        <v>ok</v>
      </c>
      <c r="EC56" s="89" t="str">
        <f t="shared" si="57"/>
        <v>ok</v>
      </c>
      <c r="ED56" s="89" t="str">
        <f t="shared" si="57"/>
        <v>ok</v>
      </c>
      <c r="EE56" s="89" t="str">
        <f t="shared" si="57"/>
        <v>ok</v>
      </c>
      <c r="EF56" s="89" t="str">
        <f t="shared" si="57"/>
        <v>ok</v>
      </c>
      <c r="EG56" s="89" t="str">
        <f t="shared" si="57"/>
        <v>ok</v>
      </c>
      <c r="EH56" s="89" t="str">
        <f t="shared" si="57"/>
        <v>ok</v>
      </c>
      <c r="EI56" s="89" t="str">
        <f t="shared" si="57"/>
        <v>ok</v>
      </c>
      <c r="EJ56" s="89" t="str">
        <f t="shared" si="57"/>
        <v>ok</v>
      </c>
      <c r="EK56" s="89" t="str">
        <f t="shared" si="57"/>
        <v>ok</v>
      </c>
      <c r="EL56" s="89" t="str">
        <f t="shared" si="57"/>
        <v>ok</v>
      </c>
      <c r="EM56" s="89" t="str">
        <f t="shared" si="57"/>
        <v>ok</v>
      </c>
      <c r="EN56" s="89" t="str">
        <f t="shared" si="57"/>
        <v>ok</v>
      </c>
      <c r="EO56" s="89" t="str">
        <f t="shared" si="57"/>
        <v>ok</v>
      </c>
      <c r="EP56" s="89" t="str">
        <f t="shared" si="57"/>
        <v>ok</v>
      </c>
      <c r="EQ56" s="89" t="str">
        <f t="shared" si="57"/>
        <v>ok</v>
      </c>
      <c r="ER56" s="89" t="str">
        <f t="shared" si="57"/>
        <v>ok</v>
      </c>
      <c r="ES56" s="89" t="str">
        <f t="shared" si="57"/>
        <v>ok</v>
      </c>
      <c r="ET56" s="89" t="str">
        <f t="shared" si="57"/>
        <v>ok</v>
      </c>
      <c r="EU56" s="89" t="str">
        <f t="shared" si="57"/>
        <v>ok</v>
      </c>
      <c r="EV56" s="89" t="str">
        <f t="shared" si="57"/>
        <v>ok</v>
      </c>
      <c r="EW56" s="89" t="str">
        <f t="shared" ref="EW56:FH56" si="58">IF(SUM(EW8:EW38)=EW39,"ok","エラー")</f>
        <v>ok</v>
      </c>
      <c r="EX56" s="89" t="str">
        <f t="shared" si="58"/>
        <v>ok</v>
      </c>
      <c r="EY56" s="89" t="str">
        <f t="shared" si="58"/>
        <v>ok</v>
      </c>
      <c r="EZ56" s="89" t="str">
        <f t="shared" si="58"/>
        <v>ok</v>
      </c>
      <c r="FA56" s="89" t="str">
        <f t="shared" si="58"/>
        <v>ok</v>
      </c>
      <c r="FB56" s="89" t="str">
        <f t="shared" si="58"/>
        <v>ok</v>
      </c>
      <c r="FC56" s="89" t="str">
        <f t="shared" si="58"/>
        <v>ok</v>
      </c>
      <c r="FD56" s="89" t="str">
        <f t="shared" si="58"/>
        <v>ok</v>
      </c>
      <c r="FE56" s="89" t="str">
        <f t="shared" si="58"/>
        <v>ok</v>
      </c>
      <c r="FF56" s="89" t="str">
        <f t="shared" si="58"/>
        <v>ok</v>
      </c>
      <c r="FG56" s="89" t="str">
        <f t="shared" si="58"/>
        <v>ok</v>
      </c>
      <c r="FH56" s="89" t="str">
        <f t="shared" si="58"/>
        <v>ok</v>
      </c>
      <c r="FJ56" s="89" t="str">
        <f>IF(SUM(FJ8:FJ38)=FJ39,"ok","エラー")</f>
        <v>ok</v>
      </c>
      <c r="FK56" s="89" t="str">
        <f>IF(SUM(FK8:FK38)=FK39,"ok","エラー")</f>
        <v>ok</v>
      </c>
      <c r="FL56" s="89" t="str">
        <f>IF(SUM(FL8:FL38)=FL39,"ok","エラー")</f>
        <v>ok</v>
      </c>
      <c r="FM56" s="89" t="str">
        <f>IF(SUM(FM8:FM38)=FM39,"ok","エラー")</f>
        <v>ok</v>
      </c>
      <c r="FW56" s="89" t="str">
        <f>IF(SUM(FW8:FW38)=FW39,"ok","エラー")</f>
        <v>ok</v>
      </c>
      <c r="FY56" s="89" t="str">
        <f t="shared" ref="FY56:GD56" si="59">IF(SUM(FY8:FY38)=FY39,"ok","エラー")</f>
        <v>ok</v>
      </c>
      <c r="FZ56" s="89" t="str">
        <f t="shared" si="59"/>
        <v>ok</v>
      </c>
      <c r="GA56" s="89" t="str">
        <f t="shared" si="59"/>
        <v>ok</v>
      </c>
      <c r="GB56" s="89" t="str">
        <f t="shared" si="59"/>
        <v>ok</v>
      </c>
      <c r="GC56" s="89" t="str">
        <f t="shared" si="59"/>
        <v>ok</v>
      </c>
      <c r="GD56" s="89" t="str">
        <f t="shared" si="59"/>
        <v>ok</v>
      </c>
      <c r="GI56" s="62" t="str">
        <f>IF(SUM(GI8:GI38)=GI39,"ok","エラー")</f>
        <v>ok</v>
      </c>
    </row>
    <row r="57" spans="2:230" x14ac:dyDescent="0.15">
      <c r="B57" s="89" t="s">
        <v>650</v>
      </c>
      <c r="C57" s="89" t="str">
        <f t="shared" ref="C57:AH57" si="60">IF(SUM(C40:C49)=C50,"ok","エラー")</f>
        <v>ok</v>
      </c>
      <c r="D57" s="89" t="str">
        <f t="shared" si="60"/>
        <v>ok</v>
      </c>
      <c r="E57" s="89" t="str">
        <f t="shared" si="60"/>
        <v>ok</v>
      </c>
      <c r="F57" s="89" t="str">
        <f t="shared" si="60"/>
        <v>ok</v>
      </c>
      <c r="G57" s="89" t="str">
        <f t="shared" si="60"/>
        <v>ok</v>
      </c>
      <c r="H57" s="89" t="str">
        <f t="shared" si="60"/>
        <v>ok</v>
      </c>
      <c r="I57" s="89" t="str">
        <f t="shared" si="60"/>
        <v>ok</v>
      </c>
      <c r="J57" s="89" t="str">
        <f t="shared" si="60"/>
        <v>ok</v>
      </c>
      <c r="K57" s="89" t="str">
        <f t="shared" si="60"/>
        <v>ok</v>
      </c>
      <c r="L57" s="89" t="str">
        <f t="shared" si="60"/>
        <v>ok</v>
      </c>
      <c r="M57" s="89" t="str">
        <f t="shared" si="60"/>
        <v>ok</v>
      </c>
      <c r="N57" s="89" t="str">
        <f t="shared" si="60"/>
        <v>ok</v>
      </c>
      <c r="O57" s="89" t="str">
        <f t="shared" si="60"/>
        <v>ok</v>
      </c>
      <c r="P57" s="89" t="str">
        <f t="shared" si="60"/>
        <v>ok</v>
      </c>
      <c r="Q57" s="89" t="str">
        <f t="shared" si="60"/>
        <v>ok</v>
      </c>
      <c r="R57" s="89" t="str">
        <f t="shared" si="60"/>
        <v>ok</v>
      </c>
      <c r="S57" s="75" t="str">
        <f t="shared" si="60"/>
        <v>ok</v>
      </c>
      <c r="T57" s="89" t="str">
        <f t="shared" si="60"/>
        <v>ok</v>
      </c>
      <c r="U57" s="89" t="str">
        <f t="shared" si="60"/>
        <v>ok</v>
      </c>
      <c r="V57" s="89" t="str">
        <f t="shared" si="60"/>
        <v>ok</v>
      </c>
      <c r="W57" s="89" t="str">
        <f t="shared" si="60"/>
        <v>ok</v>
      </c>
      <c r="X57" s="89" t="str">
        <f t="shared" si="60"/>
        <v>ok</v>
      </c>
      <c r="Y57" s="89" t="str">
        <f t="shared" si="60"/>
        <v>ok</v>
      </c>
      <c r="Z57" s="89" t="str">
        <f t="shared" si="60"/>
        <v>ok</v>
      </c>
      <c r="AA57" s="89" t="str">
        <f t="shared" si="60"/>
        <v>ok</v>
      </c>
      <c r="AB57" s="89" t="str">
        <f t="shared" si="60"/>
        <v>ok</v>
      </c>
      <c r="AC57" s="89" t="str">
        <f t="shared" si="60"/>
        <v>ok</v>
      </c>
      <c r="AD57" s="89" t="str">
        <f t="shared" si="60"/>
        <v>ok</v>
      </c>
      <c r="AE57" s="89" t="str">
        <f t="shared" si="60"/>
        <v>ok</v>
      </c>
      <c r="AF57" s="89" t="str">
        <f t="shared" si="60"/>
        <v>ok</v>
      </c>
      <c r="AG57" s="89" t="str">
        <f t="shared" si="60"/>
        <v>ok</v>
      </c>
      <c r="AH57" s="89" t="str">
        <f t="shared" si="60"/>
        <v>ok</v>
      </c>
      <c r="AI57" s="89" t="str">
        <f t="shared" ref="AI57:BN57" si="61">IF(SUM(AI40:AI49)=AI50,"ok","エラー")</f>
        <v>ok</v>
      </c>
      <c r="AJ57" s="89" t="str">
        <f t="shared" si="61"/>
        <v>ok</v>
      </c>
      <c r="AK57" s="89" t="str">
        <f t="shared" si="61"/>
        <v>ok</v>
      </c>
      <c r="AL57" s="89" t="str">
        <f t="shared" si="61"/>
        <v>ok</v>
      </c>
      <c r="AM57" s="89" t="str">
        <f t="shared" si="61"/>
        <v>ok</v>
      </c>
      <c r="AN57" s="89" t="str">
        <f t="shared" si="61"/>
        <v>ok</v>
      </c>
      <c r="AO57" s="89" t="str">
        <f t="shared" si="61"/>
        <v>ok</v>
      </c>
      <c r="AP57" s="89" t="str">
        <f t="shared" si="61"/>
        <v>ok</v>
      </c>
      <c r="AQ57" s="89" t="str">
        <f t="shared" si="61"/>
        <v>ok</v>
      </c>
      <c r="AR57" s="89" t="str">
        <f t="shared" si="61"/>
        <v>ok</v>
      </c>
      <c r="AS57" s="89" t="str">
        <f t="shared" si="61"/>
        <v>ok</v>
      </c>
      <c r="AT57" s="89" t="str">
        <f t="shared" si="61"/>
        <v>ok</v>
      </c>
      <c r="AU57" s="89" t="str">
        <f t="shared" si="61"/>
        <v>ok</v>
      </c>
      <c r="AV57" s="89" t="str">
        <f t="shared" si="61"/>
        <v>ok</v>
      </c>
      <c r="AW57" s="89" t="str">
        <f t="shared" si="61"/>
        <v>ok</v>
      </c>
      <c r="AX57" s="89" t="str">
        <f t="shared" si="61"/>
        <v>ok</v>
      </c>
      <c r="AY57" s="89" t="str">
        <f t="shared" si="61"/>
        <v>ok</v>
      </c>
      <c r="AZ57" s="89" t="str">
        <f t="shared" si="61"/>
        <v>ok</v>
      </c>
      <c r="BA57" s="89" t="str">
        <f t="shared" si="61"/>
        <v>ok</v>
      </c>
      <c r="BB57" s="89" t="str">
        <f t="shared" si="61"/>
        <v>ok</v>
      </c>
      <c r="BC57" s="89" t="str">
        <f t="shared" si="61"/>
        <v>ok</v>
      </c>
      <c r="BD57" s="89" t="str">
        <f t="shared" si="61"/>
        <v>ok</v>
      </c>
      <c r="BE57" s="89" t="str">
        <f t="shared" si="61"/>
        <v>ok</v>
      </c>
      <c r="BF57" s="89" t="str">
        <f t="shared" si="61"/>
        <v>ok</v>
      </c>
      <c r="BG57" s="89" t="str">
        <f t="shared" si="61"/>
        <v>ok</v>
      </c>
      <c r="BH57" s="89" t="str">
        <f t="shared" si="61"/>
        <v>ok</v>
      </c>
      <c r="BI57" s="89" t="str">
        <f t="shared" si="61"/>
        <v>ok</v>
      </c>
      <c r="BJ57" s="89" t="str">
        <f t="shared" si="61"/>
        <v>ok</v>
      </c>
      <c r="BK57" s="89" t="str">
        <f t="shared" si="61"/>
        <v>ok</v>
      </c>
      <c r="BL57" s="89" t="str">
        <f t="shared" si="61"/>
        <v>ok</v>
      </c>
      <c r="BM57" s="89" t="str">
        <f t="shared" si="61"/>
        <v>ok</v>
      </c>
      <c r="BN57" s="89" t="str">
        <f t="shared" si="61"/>
        <v>ok</v>
      </c>
      <c r="BO57" s="89" t="str">
        <f t="shared" ref="BO57:CI57" si="62">IF(SUM(BO40:BO49)=BO50,"ok","エラー")</f>
        <v>ok</v>
      </c>
      <c r="BP57" s="89" t="str">
        <f t="shared" si="62"/>
        <v>ok</v>
      </c>
      <c r="BQ57" s="89" t="str">
        <f t="shared" si="62"/>
        <v>ok</v>
      </c>
      <c r="BR57" s="89" t="str">
        <f t="shared" si="62"/>
        <v>ok</v>
      </c>
      <c r="BS57" s="89" t="str">
        <f t="shared" si="62"/>
        <v>ok</v>
      </c>
      <c r="BT57" s="89" t="str">
        <f t="shared" si="62"/>
        <v>ok</v>
      </c>
      <c r="BU57" s="89" t="str">
        <f t="shared" si="62"/>
        <v>ok</v>
      </c>
      <c r="BV57" s="89" t="str">
        <f t="shared" si="62"/>
        <v>ok</v>
      </c>
      <c r="BW57" s="89" t="str">
        <f t="shared" si="62"/>
        <v>ok</v>
      </c>
      <c r="BX57" s="89" t="str">
        <f t="shared" si="62"/>
        <v>ok</v>
      </c>
      <c r="BY57" s="89" t="str">
        <f t="shared" si="62"/>
        <v>ok</v>
      </c>
      <c r="BZ57" s="89" t="str">
        <f t="shared" si="62"/>
        <v>ok</v>
      </c>
      <c r="CA57" s="89" t="str">
        <f t="shared" si="62"/>
        <v>ok</v>
      </c>
      <c r="CB57" s="89" t="str">
        <f t="shared" si="62"/>
        <v>ok</v>
      </c>
      <c r="CC57" s="89" t="str">
        <f t="shared" si="62"/>
        <v>ok</v>
      </c>
      <c r="CD57" s="89" t="str">
        <f t="shared" si="62"/>
        <v>ok</v>
      </c>
      <c r="CE57" s="89" t="str">
        <f t="shared" si="62"/>
        <v>ok</v>
      </c>
      <c r="CF57" s="89" t="str">
        <f t="shared" si="62"/>
        <v>ok</v>
      </c>
      <c r="CG57" s="89" t="str">
        <f t="shared" si="62"/>
        <v>ok</v>
      </c>
      <c r="CH57" s="89" t="str">
        <f t="shared" si="62"/>
        <v>ok</v>
      </c>
      <c r="CI57" s="89" t="str">
        <f t="shared" si="62"/>
        <v>ok</v>
      </c>
      <c r="CJ57" s="84"/>
      <c r="CK57" s="89" t="str">
        <f t="shared" ref="CK57:DP57" si="63">IF(SUM(CK40:CK49)=CK50,"ok","エラー")</f>
        <v>ok</v>
      </c>
      <c r="CL57" s="89" t="str">
        <f t="shared" si="63"/>
        <v>ok</v>
      </c>
      <c r="CM57" s="89" t="str">
        <f t="shared" si="63"/>
        <v>ok</v>
      </c>
      <c r="CN57" s="89" t="str">
        <f t="shared" si="63"/>
        <v>ok</v>
      </c>
      <c r="CO57" s="89" t="str">
        <f t="shared" si="63"/>
        <v>ok</v>
      </c>
      <c r="CP57" s="89" t="str">
        <f t="shared" si="63"/>
        <v>ok</v>
      </c>
      <c r="CQ57" s="89" t="str">
        <f t="shared" si="63"/>
        <v>ok</v>
      </c>
      <c r="CR57" s="89" t="str">
        <f t="shared" si="63"/>
        <v>ok</v>
      </c>
      <c r="CS57" s="89" t="str">
        <f t="shared" si="63"/>
        <v>ok</v>
      </c>
      <c r="CT57" s="89" t="str">
        <f t="shared" si="63"/>
        <v>ok</v>
      </c>
      <c r="CU57" s="89" t="str">
        <f t="shared" si="63"/>
        <v>ok</v>
      </c>
      <c r="CV57" s="89" t="str">
        <f t="shared" si="63"/>
        <v>ok</v>
      </c>
      <c r="CW57" s="89" t="str">
        <f t="shared" si="63"/>
        <v>ok</v>
      </c>
      <c r="CX57" s="89" t="str">
        <f t="shared" si="63"/>
        <v>ok</v>
      </c>
      <c r="CY57" s="89" t="str">
        <f t="shared" si="63"/>
        <v>ok</v>
      </c>
      <c r="CZ57" s="89" t="str">
        <f t="shared" si="63"/>
        <v>ok</v>
      </c>
      <c r="DA57" s="89" t="str">
        <f t="shared" si="63"/>
        <v>ok</v>
      </c>
      <c r="DB57" s="89" t="str">
        <f t="shared" si="63"/>
        <v>ok</v>
      </c>
      <c r="DC57" s="89" t="str">
        <f t="shared" si="63"/>
        <v>ok</v>
      </c>
      <c r="DD57" s="89" t="str">
        <f t="shared" si="63"/>
        <v>ok</v>
      </c>
      <c r="DE57" s="89" t="str">
        <f t="shared" si="63"/>
        <v>ok</v>
      </c>
      <c r="DF57" s="89" t="str">
        <f t="shared" si="63"/>
        <v>ok</v>
      </c>
      <c r="DG57" s="89" t="str">
        <f t="shared" si="63"/>
        <v>ok</v>
      </c>
      <c r="DH57" s="89" t="str">
        <f t="shared" si="63"/>
        <v>ok</v>
      </c>
      <c r="DI57" s="89" t="str">
        <f t="shared" si="63"/>
        <v>ok</v>
      </c>
      <c r="DJ57" s="89" t="str">
        <f t="shared" si="63"/>
        <v>ok</v>
      </c>
      <c r="DK57" s="89" t="str">
        <f t="shared" si="63"/>
        <v>ok</v>
      </c>
      <c r="DL57" s="89" t="str">
        <f t="shared" si="63"/>
        <v>ok</v>
      </c>
      <c r="DM57" s="89" t="str">
        <f t="shared" si="63"/>
        <v>ok</v>
      </c>
      <c r="DN57" s="89" t="str">
        <f t="shared" si="63"/>
        <v>ok</v>
      </c>
      <c r="DO57" s="89" t="str">
        <f t="shared" si="63"/>
        <v>ok</v>
      </c>
      <c r="DP57" s="89" t="str">
        <f t="shared" si="63"/>
        <v>ok</v>
      </c>
      <c r="DQ57" s="89" t="str">
        <f t="shared" ref="DQ57:EV57" si="64">IF(SUM(DQ40:DQ49)=DQ50,"ok","エラー")</f>
        <v>ok</v>
      </c>
      <c r="DR57" s="89" t="str">
        <f t="shared" si="64"/>
        <v>ok</v>
      </c>
      <c r="DS57" s="89" t="str">
        <f t="shared" si="64"/>
        <v>ok</v>
      </c>
      <c r="DT57" s="89" t="str">
        <f t="shared" si="64"/>
        <v>ok</v>
      </c>
      <c r="DU57" s="89" t="str">
        <f t="shared" si="64"/>
        <v>ok</v>
      </c>
      <c r="DV57" s="89" t="str">
        <f t="shared" si="64"/>
        <v>ok</v>
      </c>
      <c r="DW57" s="89" t="str">
        <f t="shared" si="64"/>
        <v>ok</v>
      </c>
      <c r="DX57" s="89" t="str">
        <f t="shared" si="64"/>
        <v>ok</v>
      </c>
      <c r="DY57" s="89" t="str">
        <f t="shared" si="64"/>
        <v>ok</v>
      </c>
      <c r="DZ57" s="89" t="str">
        <f t="shared" si="64"/>
        <v>ok</v>
      </c>
      <c r="EA57" s="89" t="str">
        <f t="shared" si="64"/>
        <v>ok</v>
      </c>
      <c r="EB57" s="89" t="str">
        <f t="shared" si="64"/>
        <v>ok</v>
      </c>
      <c r="EC57" s="89" t="str">
        <f t="shared" si="64"/>
        <v>ok</v>
      </c>
      <c r="ED57" s="89" t="str">
        <f t="shared" si="64"/>
        <v>ok</v>
      </c>
      <c r="EE57" s="89" t="str">
        <f t="shared" si="64"/>
        <v>ok</v>
      </c>
      <c r="EF57" s="89" t="str">
        <f t="shared" si="64"/>
        <v>ok</v>
      </c>
      <c r="EG57" s="89" t="str">
        <f t="shared" si="64"/>
        <v>ok</v>
      </c>
      <c r="EH57" s="89" t="str">
        <f t="shared" si="64"/>
        <v>ok</v>
      </c>
      <c r="EI57" s="89" t="str">
        <f t="shared" si="64"/>
        <v>ok</v>
      </c>
      <c r="EJ57" s="89" t="str">
        <f t="shared" si="64"/>
        <v>ok</v>
      </c>
      <c r="EK57" s="89" t="str">
        <f t="shared" si="64"/>
        <v>ok</v>
      </c>
      <c r="EL57" s="89" t="str">
        <f t="shared" si="64"/>
        <v>ok</v>
      </c>
      <c r="EM57" s="89" t="str">
        <f t="shared" si="64"/>
        <v>ok</v>
      </c>
      <c r="EN57" s="89" t="str">
        <f t="shared" si="64"/>
        <v>ok</v>
      </c>
      <c r="EO57" s="89" t="str">
        <f t="shared" si="64"/>
        <v>ok</v>
      </c>
      <c r="EP57" s="89" t="str">
        <f t="shared" si="64"/>
        <v>ok</v>
      </c>
      <c r="EQ57" s="89" t="str">
        <f t="shared" si="64"/>
        <v>ok</v>
      </c>
      <c r="ER57" s="89" t="str">
        <f t="shared" si="64"/>
        <v>ok</v>
      </c>
      <c r="ES57" s="89" t="str">
        <f t="shared" si="64"/>
        <v>ok</v>
      </c>
      <c r="ET57" s="89" t="str">
        <f t="shared" si="64"/>
        <v>ok</v>
      </c>
      <c r="EU57" s="89" t="str">
        <f t="shared" si="64"/>
        <v>ok</v>
      </c>
      <c r="EV57" s="89" t="str">
        <f t="shared" si="64"/>
        <v>ok</v>
      </c>
      <c r="EW57" s="89" t="str">
        <f t="shared" ref="EW57:FH57" si="65">IF(SUM(EW40:EW49)=EW50,"ok","エラー")</f>
        <v>ok</v>
      </c>
      <c r="EX57" s="89" t="str">
        <f t="shared" si="65"/>
        <v>ok</v>
      </c>
      <c r="EY57" s="89" t="str">
        <f t="shared" si="65"/>
        <v>ok</v>
      </c>
      <c r="EZ57" s="89" t="str">
        <f t="shared" si="65"/>
        <v>ok</v>
      </c>
      <c r="FA57" s="89" t="str">
        <f t="shared" si="65"/>
        <v>ok</v>
      </c>
      <c r="FB57" s="89" t="str">
        <f t="shared" si="65"/>
        <v>ok</v>
      </c>
      <c r="FC57" s="89" t="str">
        <f t="shared" si="65"/>
        <v>ok</v>
      </c>
      <c r="FD57" s="89" t="str">
        <f t="shared" si="65"/>
        <v>ok</v>
      </c>
      <c r="FE57" s="89" t="str">
        <f t="shared" si="65"/>
        <v>ok</v>
      </c>
      <c r="FF57" s="89" t="str">
        <f t="shared" si="65"/>
        <v>ok</v>
      </c>
      <c r="FG57" s="89" t="str">
        <f t="shared" si="65"/>
        <v>ok</v>
      </c>
      <c r="FH57" s="89" t="str">
        <f t="shared" si="65"/>
        <v>ok</v>
      </c>
      <c r="FJ57" s="89" t="str">
        <f>IF(SUM(FJ40:FJ49)=FJ50,"ok","エラー")</f>
        <v>ok</v>
      </c>
      <c r="FK57" s="89" t="str">
        <f>IF(SUM(FK40:FK49)=FK50,"ok","エラー")</f>
        <v>ok</v>
      </c>
      <c r="FL57" s="89" t="str">
        <f>IF(SUM(FL40:FL49)=FL50,"ok","エラー")</f>
        <v>ok</v>
      </c>
      <c r="FM57" s="89" t="str">
        <f>IF(SUM(FM40:FM49)=FM50,"ok","エラー")</f>
        <v>ok</v>
      </c>
      <c r="FW57" s="89" t="str">
        <f>IF(SUM(FW40:FW49)=FW50,"ok","エラー")</f>
        <v>ok</v>
      </c>
      <c r="FY57" s="89" t="str">
        <f t="shared" ref="FY57:GD57" si="66">IF(SUM(FY40:FY49)=FY50,"ok","エラー")</f>
        <v>ok</v>
      </c>
      <c r="FZ57" s="89" t="str">
        <f t="shared" si="66"/>
        <v>ok</v>
      </c>
      <c r="GA57" s="89" t="str">
        <f t="shared" si="66"/>
        <v>ok</v>
      </c>
      <c r="GB57" s="89" t="str">
        <f t="shared" si="66"/>
        <v>ok</v>
      </c>
      <c r="GC57" s="89" t="str">
        <f t="shared" si="66"/>
        <v>ok</v>
      </c>
      <c r="GD57" s="89" t="str">
        <f t="shared" si="66"/>
        <v>ok</v>
      </c>
      <c r="GI57" s="62" t="str">
        <f>IF(SUM(GI40:GI49)=GI50,"ok","エラー")</f>
        <v>ok</v>
      </c>
    </row>
    <row r="58" spans="2:230" x14ac:dyDescent="0.15">
      <c r="B58" s="89" t="s">
        <v>650</v>
      </c>
      <c r="C58" s="89" t="str">
        <f t="shared" ref="C58:AH58" si="67">IF(C39+C50=C51,"ok","エラー")</f>
        <v>ok</v>
      </c>
      <c r="D58" s="89" t="str">
        <f t="shared" si="67"/>
        <v>ok</v>
      </c>
      <c r="E58" s="89" t="str">
        <f t="shared" si="67"/>
        <v>ok</v>
      </c>
      <c r="F58" s="89" t="str">
        <f t="shared" si="67"/>
        <v>ok</v>
      </c>
      <c r="G58" s="89" t="str">
        <f t="shared" si="67"/>
        <v>ok</v>
      </c>
      <c r="H58" s="89" t="str">
        <f t="shared" si="67"/>
        <v>ok</v>
      </c>
      <c r="I58" s="89" t="str">
        <f t="shared" si="67"/>
        <v>ok</v>
      </c>
      <c r="J58" s="89" t="str">
        <f t="shared" si="67"/>
        <v>ok</v>
      </c>
      <c r="K58" s="89" t="str">
        <f t="shared" si="67"/>
        <v>ok</v>
      </c>
      <c r="L58" s="89" t="str">
        <f t="shared" si="67"/>
        <v>ok</v>
      </c>
      <c r="M58" s="89" t="str">
        <f t="shared" si="67"/>
        <v>ok</v>
      </c>
      <c r="N58" s="89" t="str">
        <f t="shared" si="67"/>
        <v>ok</v>
      </c>
      <c r="O58" s="89" t="str">
        <f t="shared" si="67"/>
        <v>ok</v>
      </c>
      <c r="P58" s="89" t="str">
        <f t="shared" si="67"/>
        <v>ok</v>
      </c>
      <c r="Q58" s="89" t="str">
        <f t="shared" si="67"/>
        <v>ok</v>
      </c>
      <c r="R58" s="89" t="str">
        <f t="shared" si="67"/>
        <v>ok</v>
      </c>
      <c r="S58" s="75" t="str">
        <f t="shared" si="67"/>
        <v>ok</v>
      </c>
      <c r="T58" s="89" t="str">
        <f t="shared" si="67"/>
        <v>ok</v>
      </c>
      <c r="U58" s="89" t="str">
        <f t="shared" si="67"/>
        <v>ok</v>
      </c>
      <c r="V58" s="89" t="str">
        <f t="shared" si="67"/>
        <v>ok</v>
      </c>
      <c r="W58" s="89" t="str">
        <f t="shared" si="67"/>
        <v>ok</v>
      </c>
      <c r="X58" s="89" t="str">
        <f t="shared" si="67"/>
        <v>ok</v>
      </c>
      <c r="Y58" s="89" t="str">
        <f t="shared" si="67"/>
        <v>ok</v>
      </c>
      <c r="Z58" s="89" t="str">
        <f t="shared" si="67"/>
        <v>ok</v>
      </c>
      <c r="AA58" s="89" t="str">
        <f t="shared" si="67"/>
        <v>ok</v>
      </c>
      <c r="AB58" s="89" t="str">
        <f t="shared" si="67"/>
        <v>ok</v>
      </c>
      <c r="AC58" s="89" t="str">
        <f t="shared" si="67"/>
        <v>ok</v>
      </c>
      <c r="AD58" s="89" t="str">
        <f t="shared" si="67"/>
        <v>ok</v>
      </c>
      <c r="AE58" s="89" t="str">
        <f t="shared" si="67"/>
        <v>ok</v>
      </c>
      <c r="AF58" s="89" t="str">
        <f t="shared" si="67"/>
        <v>ok</v>
      </c>
      <c r="AG58" s="89" t="str">
        <f t="shared" si="67"/>
        <v>ok</v>
      </c>
      <c r="AH58" s="89" t="str">
        <f t="shared" si="67"/>
        <v>ok</v>
      </c>
      <c r="AI58" s="89" t="str">
        <f t="shared" ref="AI58:BN58" si="68">IF(AI39+AI50=AI51,"ok","エラー")</f>
        <v>ok</v>
      </c>
      <c r="AJ58" s="89" t="str">
        <f t="shared" si="68"/>
        <v>ok</v>
      </c>
      <c r="AK58" s="89" t="str">
        <f t="shared" si="68"/>
        <v>ok</v>
      </c>
      <c r="AL58" s="89" t="str">
        <f t="shared" si="68"/>
        <v>ok</v>
      </c>
      <c r="AM58" s="89" t="str">
        <f t="shared" si="68"/>
        <v>ok</v>
      </c>
      <c r="AN58" s="89" t="str">
        <f t="shared" si="68"/>
        <v>ok</v>
      </c>
      <c r="AO58" s="89" t="str">
        <f t="shared" si="68"/>
        <v>ok</v>
      </c>
      <c r="AP58" s="89" t="str">
        <f t="shared" si="68"/>
        <v>ok</v>
      </c>
      <c r="AQ58" s="89" t="str">
        <f t="shared" si="68"/>
        <v>ok</v>
      </c>
      <c r="AR58" s="89" t="str">
        <f t="shared" si="68"/>
        <v>ok</v>
      </c>
      <c r="AS58" s="89" t="str">
        <f t="shared" si="68"/>
        <v>ok</v>
      </c>
      <c r="AT58" s="89" t="str">
        <f t="shared" si="68"/>
        <v>ok</v>
      </c>
      <c r="AU58" s="89" t="str">
        <f t="shared" si="68"/>
        <v>ok</v>
      </c>
      <c r="AV58" s="89" t="str">
        <f t="shared" si="68"/>
        <v>ok</v>
      </c>
      <c r="AW58" s="89" t="str">
        <f t="shared" si="68"/>
        <v>ok</v>
      </c>
      <c r="AX58" s="89" t="str">
        <f t="shared" si="68"/>
        <v>ok</v>
      </c>
      <c r="AY58" s="89" t="str">
        <f t="shared" si="68"/>
        <v>ok</v>
      </c>
      <c r="AZ58" s="89" t="str">
        <f t="shared" si="68"/>
        <v>ok</v>
      </c>
      <c r="BA58" s="89" t="str">
        <f t="shared" si="68"/>
        <v>ok</v>
      </c>
      <c r="BB58" s="89" t="str">
        <f t="shared" si="68"/>
        <v>ok</v>
      </c>
      <c r="BC58" s="89" t="str">
        <f t="shared" si="68"/>
        <v>ok</v>
      </c>
      <c r="BD58" s="89" t="str">
        <f t="shared" si="68"/>
        <v>ok</v>
      </c>
      <c r="BE58" s="89" t="str">
        <f t="shared" si="68"/>
        <v>ok</v>
      </c>
      <c r="BF58" s="89" t="str">
        <f t="shared" si="68"/>
        <v>ok</v>
      </c>
      <c r="BG58" s="89" t="str">
        <f t="shared" si="68"/>
        <v>ok</v>
      </c>
      <c r="BH58" s="89" t="str">
        <f t="shared" si="68"/>
        <v>ok</v>
      </c>
      <c r="BI58" s="89" t="str">
        <f t="shared" si="68"/>
        <v>ok</v>
      </c>
      <c r="BJ58" s="89" t="str">
        <f t="shared" si="68"/>
        <v>ok</v>
      </c>
      <c r="BK58" s="89" t="str">
        <f t="shared" si="68"/>
        <v>ok</v>
      </c>
      <c r="BL58" s="89" t="str">
        <f t="shared" si="68"/>
        <v>ok</v>
      </c>
      <c r="BM58" s="89" t="str">
        <f t="shared" si="68"/>
        <v>ok</v>
      </c>
      <c r="BN58" s="89" t="str">
        <f t="shared" si="68"/>
        <v>ok</v>
      </c>
      <c r="BO58" s="89" t="str">
        <f t="shared" ref="BO58:CI58" si="69">IF(BO39+BO50=BO51,"ok","エラー")</f>
        <v>ok</v>
      </c>
      <c r="BP58" s="89" t="str">
        <f t="shared" si="69"/>
        <v>ok</v>
      </c>
      <c r="BQ58" s="89" t="str">
        <f t="shared" si="69"/>
        <v>ok</v>
      </c>
      <c r="BR58" s="89" t="str">
        <f t="shared" si="69"/>
        <v>ok</v>
      </c>
      <c r="BS58" s="89" t="str">
        <f t="shared" si="69"/>
        <v>ok</v>
      </c>
      <c r="BT58" s="89" t="str">
        <f t="shared" si="69"/>
        <v>ok</v>
      </c>
      <c r="BU58" s="89" t="str">
        <f t="shared" si="69"/>
        <v>ok</v>
      </c>
      <c r="BV58" s="89" t="str">
        <f t="shared" si="69"/>
        <v>ok</v>
      </c>
      <c r="BW58" s="89" t="str">
        <f t="shared" si="69"/>
        <v>ok</v>
      </c>
      <c r="BX58" s="89" t="str">
        <f t="shared" si="69"/>
        <v>ok</v>
      </c>
      <c r="BY58" s="89" t="str">
        <f t="shared" si="69"/>
        <v>ok</v>
      </c>
      <c r="BZ58" s="89" t="str">
        <f t="shared" si="69"/>
        <v>ok</v>
      </c>
      <c r="CA58" s="89" t="str">
        <f t="shared" si="69"/>
        <v>ok</v>
      </c>
      <c r="CB58" s="89" t="str">
        <f t="shared" si="69"/>
        <v>ok</v>
      </c>
      <c r="CC58" s="89" t="str">
        <f t="shared" si="69"/>
        <v>ok</v>
      </c>
      <c r="CD58" s="89" t="str">
        <f t="shared" si="69"/>
        <v>ok</v>
      </c>
      <c r="CE58" s="89" t="str">
        <f t="shared" si="69"/>
        <v>ok</v>
      </c>
      <c r="CF58" s="89" t="str">
        <f t="shared" si="69"/>
        <v>ok</v>
      </c>
      <c r="CG58" s="89" t="str">
        <f t="shared" si="69"/>
        <v>ok</v>
      </c>
      <c r="CH58" s="89" t="str">
        <f t="shared" si="69"/>
        <v>ok</v>
      </c>
      <c r="CI58" s="89" t="str">
        <f t="shared" si="69"/>
        <v>ok</v>
      </c>
      <c r="CJ58" s="84"/>
      <c r="CK58" s="89" t="str">
        <f t="shared" ref="CK58:DP58" si="70">IF(CK39+CK50=CK51,"ok","エラー")</f>
        <v>ok</v>
      </c>
      <c r="CL58" s="89" t="str">
        <f t="shared" si="70"/>
        <v>ok</v>
      </c>
      <c r="CM58" s="89" t="str">
        <f t="shared" si="70"/>
        <v>ok</v>
      </c>
      <c r="CN58" s="89" t="str">
        <f t="shared" si="70"/>
        <v>ok</v>
      </c>
      <c r="CO58" s="89" t="str">
        <f t="shared" si="70"/>
        <v>ok</v>
      </c>
      <c r="CP58" s="89" t="str">
        <f t="shared" si="70"/>
        <v>ok</v>
      </c>
      <c r="CQ58" s="89" t="str">
        <f t="shared" si="70"/>
        <v>ok</v>
      </c>
      <c r="CR58" s="89" t="str">
        <f t="shared" si="70"/>
        <v>ok</v>
      </c>
      <c r="CS58" s="89" t="str">
        <f t="shared" si="70"/>
        <v>ok</v>
      </c>
      <c r="CT58" s="89" t="str">
        <f t="shared" si="70"/>
        <v>ok</v>
      </c>
      <c r="CU58" s="89" t="str">
        <f t="shared" si="70"/>
        <v>ok</v>
      </c>
      <c r="CV58" s="89" t="str">
        <f t="shared" si="70"/>
        <v>ok</v>
      </c>
      <c r="CW58" s="89" t="str">
        <f t="shared" si="70"/>
        <v>ok</v>
      </c>
      <c r="CX58" s="89" t="str">
        <f t="shared" si="70"/>
        <v>ok</v>
      </c>
      <c r="CY58" s="89" t="str">
        <f t="shared" si="70"/>
        <v>ok</v>
      </c>
      <c r="CZ58" s="89" t="str">
        <f t="shared" si="70"/>
        <v>ok</v>
      </c>
      <c r="DA58" s="89" t="str">
        <f t="shared" si="70"/>
        <v>ok</v>
      </c>
      <c r="DB58" s="89" t="str">
        <f t="shared" si="70"/>
        <v>ok</v>
      </c>
      <c r="DC58" s="89" t="str">
        <f t="shared" si="70"/>
        <v>ok</v>
      </c>
      <c r="DD58" s="89" t="str">
        <f t="shared" si="70"/>
        <v>ok</v>
      </c>
      <c r="DE58" s="89" t="str">
        <f t="shared" si="70"/>
        <v>ok</v>
      </c>
      <c r="DF58" s="89" t="str">
        <f t="shared" si="70"/>
        <v>ok</v>
      </c>
      <c r="DG58" s="89" t="str">
        <f t="shared" si="70"/>
        <v>ok</v>
      </c>
      <c r="DH58" s="89" t="str">
        <f t="shared" si="70"/>
        <v>ok</v>
      </c>
      <c r="DI58" s="89" t="str">
        <f t="shared" si="70"/>
        <v>ok</v>
      </c>
      <c r="DJ58" s="89" t="str">
        <f t="shared" si="70"/>
        <v>ok</v>
      </c>
      <c r="DK58" s="89" t="str">
        <f t="shared" si="70"/>
        <v>ok</v>
      </c>
      <c r="DL58" s="89" t="str">
        <f t="shared" si="70"/>
        <v>ok</v>
      </c>
      <c r="DM58" s="89" t="str">
        <f t="shared" si="70"/>
        <v>ok</v>
      </c>
      <c r="DN58" s="89" t="str">
        <f t="shared" si="70"/>
        <v>ok</v>
      </c>
      <c r="DO58" s="89" t="str">
        <f t="shared" si="70"/>
        <v>ok</v>
      </c>
      <c r="DP58" s="89" t="str">
        <f t="shared" si="70"/>
        <v>ok</v>
      </c>
      <c r="DQ58" s="89" t="str">
        <f t="shared" ref="DQ58:EV58" si="71">IF(DQ39+DQ50=DQ51,"ok","エラー")</f>
        <v>ok</v>
      </c>
      <c r="DR58" s="89" t="str">
        <f t="shared" si="71"/>
        <v>ok</v>
      </c>
      <c r="DS58" s="89" t="str">
        <f t="shared" si="71"/>
        <v>ok</v>
      </c>
      <c r="DT58" s="89" t="str">
        <f t="shared" si="71"/>
        <v>ok</v>
      </c>
      <c r="DU58" s="89" t="str">
        <f t="shared" si="71"/>
        <v>ok</v>
      </c>
      <c r="DV58" s="89" t="str">
        <f t="shared" si="71"/>
        <v>ok</v>
      </c>
      <c r="DW58" s="89" t="str">
        <f t="shared" si="71"/>
        <v>ok</v>
      </c>
      <c r="DX58" s="89" t="str">
        <f t="shared" si="71"/>
        <v>ok</v>
      </c>
      <c r="DY58" s="89" t="str">
        <f t="shared" si="71"/>
        <v>ok</v>
      </c>
      <c r="DZ58" s="89" t="str">
        <f t="shared" si="71"/>
        <v>ok</v>
      </c>
      <c r="EA58" s="89" t="str">
        <f t="shared" si="71"/>
        <v>ok</v>
      </c>
      <c r="EB58" s="89" t="str">
        <f t="shared" si="71"/>
        <v>ok</v>
      </c>
      <c r="EC58" s="89" t="str">
        <f t="shared" si="71"/>
        <v>ok</v>
      </c>
      <c r="ED58" s="89" t="str">
        <f t="shared" si="71"/>
        <v>ok</v>
      </c>
      <c r="EE58" s="89" t="str">
        <f t="shared" si="71"/>
        <v>ok</v>
      </c>
      <c r="EF58" s="89" t="str">
        <f t="shared" si="71"/>
        <v>ok</v>
      </c>
      <c r="EG58" s="89" t="str">
        <f t="shared" si="71"/>
        <v>ok</v>
      </c>
      <c r="EH58" s="89" t="str">
        <f t="shared" si="71"/>
        <v>ok</v>
      </c>
      <c r="EI58" s="89" t="str">
        <f t="shared" si="71"/>
        <v>ok</v>
      </c>
      <c r="EJ58" s="89" t="str">
        <f t="shared" si="71"/>
        <v>ok</v>
      </c>
      <c r="EK58" s="89" t="str">
        <f t="shared" si="71"/>
        <v>ok</v>
      </c>
      <c r="EL58" s="89" t="str">
        <f t="shared" si="71"/>
        <v>ok</v>
      </c>
      <c r="EM58" s="89" t="str">
        <f t="shared" si="71"/>
        <v>ok</v>
      </c>
      <c r="EN58" s="89" t="str">
        <f t="shared" si="71"/>
        <v>ok</v>
      </c>
      <c r="EO58" s="89" t="str">
        <f t="shared" si="71"/>
        <v>ok</v>
      </c>
      <c r="EP58" s="89" t="str">
        <f t="shared" si="71"/>
        <v>ok</v>
      </c>
      <c r="EQ58" s="89" t="str">
        <f t="shared" si="71"/>
        <v>ok</v>
      </c>
      <c r="ER58" s="89" t="str">
        <f t="shared" si="71"/>
        <v>ok</v>
      </c>
      <c r="ES58" s="89" t="str">
        <f t="shared" si="71"/>
        <v>ok</v>
      </c>
      <c r="ET58" s="89" t="str">
        <f t="shared" si="71"/>
        <v>ok</v>
      </c>
      <c r="EU58" s="89" t="str">
        <f t="shared" si="71"/>
        <v>ok</v>
      </c>
      <c r="EV58" s="89" t="str">
        <f t="shared" si="71"/>
        <v>ok</v>
      </c>
      <c r="EW58" s="89" t="str">
        <f t="shared" ref="EW58:FH58" si="72">IF(EW39+EW50=EW51,"ok","エラー")</f>
        <v>ok</v>
      </c>
      <c r="EX58" s="89" t="str">
        <f t="shared" si="72"/>
        <v>ok</v>
      </c>
      <c r="EY58" s="89" t="str">
        <f t="shared" si="72"/>
        <v>ok</v>
      </c>
      <c r="EZ58" s="89" t="str">
        <f t="shared" si="72"/>
        <v>ok</v>
      </c>
      <c r="FA58" s="89" t="str">
        <f t="shared" si="72"/>
        <v>ok</v>
      </c>
      <c r="FB58" s="89" t="str">
        <f t="shared" si="72"/>
        <v>ok</v>
      </c>
      <c r="FC58" s="89" t="str">
        <f t="shared" si="72"/>
        <v>ok</v>
      </c>
      <c r="FD58" s="89" t="str">
        <f t="shared" si="72"/>
        <v>ok</v>
      </c>
      <c r="FE58" s="89" t="str">
        <f t="shared" si="72"/>
        <v>ok</v>
      </c>
      <c r="FF58" s="89" t="str">
        <f t="shared" si="72"/>
        <v>ok</v>
      </c>
      <c r="FG58" s="89" t="str">
        <f t="shared" si="72"/>
        <v>ok</v>
      </c>
      <c r="FH58" s="89" t="str">
        <f t="shared" si="72"/>
        <v>ok</v>
      </c>
      <c r="FJ58" s="89" t="str">
        <f>IF(FJ39+FJ50=FJ51,"ok","エラー")</f>
        <v>ok</v>
      </c>
      <c r="FK58" s="89" t="str">
        <f>IF(FK39+FK50=FK51,"ok","エラー")</f>
        <v>ok</v>
      </c>
      <c r="FL58" s="89" t="str">
        <f>IF(FL39+FL50=FL51,"ok","エラー")</f>
        <v>ok</v>
      </c>
      <c r="FM58" s="89" t="str">
        <f>IF(FM39+FM50=FM51,"ok","エラー")</f>
        <v>ok</v>
      </c>
      <c r="FW58" s="89" t="str">
        <f>IF(FW39+FW50=FW51,"ok","エラー")</f>
        <v>ok</v>
      </c>
      <c r="FY58" s="89" t="str">
        <f t="shared" ref="FY58:GD58" si="73">IF(FY39+FY50=FY51,"ok","エラー")</f>
        <v>ok</v>
      </c>
      <c r="FZ58" s="89" t="str">
        <f t="shared" si="73"/>
        <v>ok</v>
      </c>
      <c r="GA58" s="89" t="str">
        <f t="shared" si="73"/>
        <v>ok</v>
      </c>
      <c r="GB58" s="89" t="str">
        <f t="shared" si="73"/>
        <v>ok</v>
      </c>
      <c r="GC58" s="89" t="str">
        <f t="shared" si="73"/>
        <v>ok</v>
      </c>
      <c r="GD58" s="89" t="str">
        <f t="shared" si="73"/>
        <v>ok</v>
      </c>
      <c r="GI58" s="62" t="str">
        <f>IF(GI39+GI50=GI51,"ok","エラー")</f>
        <v>ok</v>
      </c>
    </row>
    <row r="59" spans="2:230" x14ac:dyDescent="0.15">
      <c r="B59" s="72" t="s">
        <v>650</v>
      </c>
      <c r="C59" s="89" t="str">
        <f t="shared" ref="C59:AH59" si="74">IF(C6+C7+C51=C52,"ok","エラー")</f>
        <v>ok</v>
      </c>
      <c r="D59" s="89" t="str">
        <f t="shared" si="74"/>
        <v>ok</v>
      </c>
      <c r="E59" s="89" t="str">
        <f t="shared" si="74"/>
        <v>ok</v>
      </c>
      <c r="F59" s="89" t="str">
        <f t="shared" si="74"/>
        <v>ok</v>
      </c>
      <c r="G59" s="89" t="str">
        <f t="shared" si="74"/>
        <v>ok</v>
      </c>
      <c r="H59" s="89" t="str">
        <f t="shared" si="74"/>
        <v>ok</v>
      </c>
      <c r="I59" s="89" t="str">
        <f t="shared" si="74"/>
        <v>ok</v>
      </c>
      <c r="J59" s="89" t="str">
        <f t="shared" si="74"/>
        <v>ok</v>
      </c>
      <c r="K59" s="89" t="str">
        <f t="shared" si="74"/>
        <v>ok</v>
      </c>
      <c r="L59" s="89" t="str">
        <f t="shared" si="74"/>
        <v>ok</v>
      </c>
      <c r="M59" s="89" t="str">
        <f t="shared" si="74"/>
        <v>ok</v>
      </c>
      <c r="N59" s="89" t="str">
        <f t="shared" si="74"/>
        <v>ok</v>
      </c>
      <c r="O59" s="89" t="str">
        <f t="shared" si="74"/>
        <v>ok</v>
      </c>
      <c r="P59" s="89" t="str">
        <f t="shared" si="74"/>
        <v>ok</v>
      </c>
      <c r="Q59" s="89" t="str">
        <f t="shared" si="74"/>
        <v>ok</v>
      </c>
      <c r="R59" s="89" t="str">
        <f t="shared" si="74"/>
        <v>ok</v>
      </c>
      <c r="S59" s="75" t="str">
        <f t="shared" si="74"/>
        <v>ok</v>
      </c>
      <c r="T59" s="89" t="str">
        <f t="shared" si="74"/>
        <v>ok</v>
      </c>
      <c r="U59" s="89" t="str">
        <f t="shared" si="74"/>
        <v>ok</v>
      </c>
      <c r="V59" s="89" t="str">
        <f t="shared" si="74"/>
        <v>ok</v>
      </c>
      <c r="W59" s="89" t="str">
        <f t="shared" si="74"/>
        <v>ok</v>
      </c>
      <c r="X59" s="89" t="str">
        <f t="shared" si="74"/>
        <v>ok</v>
      </c>
      <c r="Y59" s="89" t="str">
        <f t="shared" si="74"/>
        <v>ok</v>
      </c>
      <c r="Z59" s="89" t="str">
        <f t="shared" si="74"/>
        <v>ok</v>
      </c>
      <c r="AA59" s="89" t="str">
        <f t="shared" si="74"/>
        <v>ok</v>
      </c>
      <c r="AB59" s="89" t="str">
        <f t="shared" si="74"/>
        <v>ok</v>
      </c>
      <c r="AC59" s="89" t="str">
        <f t="shared" si="74"/>
        <v>ok</v>
      </c>
      <c r="AD59" s="89" t="str">
        <f t="shared" si="74"/>
        <v>ok</v>
      </c>
      <c r="AE59" s="89" t="str">
        <f t="shared" si="74"/>
        <v>ok</v>
      </c>
      <c r="AF59" s="89" t="str">
        <f t="shared" si="74"/>
        <v>ok</v>
      </c>
      <c r="AG59" s="89" t="str">
        <f t="shared" si="74"/>
        <v>ok</v>
      </c>
      <c r="AH59" s="89" t="str">
        <f t="shared" si="74"/>
        <v>ok</v>
      </c>
      <c r="AI59" s="89" t="str">
        <f t="shared" ref="AI59:BN59" si="75">IF(AI6+AI7+AI51=AI52,"ok","エラー")</f>
        <v>ok</v>
      </c>
      <c r="AJ59" s="89" t="str">
        <f t="shared" si="75"/>
        <v>ok</v>
      </c>
      <c r="AK59" s="89" t="str">
        <f t="shared" si="75"/>
        <v>ok</v>
      </c>
      <c r="AL59" s="89" t="str">
        <f t="shared" si="75"/>
        <v>ok</v>
      </c>
      <c r="AM59" s="89" t="str">
        <f t="shared" si="75"/>
        <v>ok</v>
      </c>
      <c r="AN59" s="89" t="str">
        <f t="shared" si="75"/>
        <v>ok</v>
      </c>
      <c r="AO59" s="89" t="str">
        <f t="shared" si="75"/>
        <v>ok</v>
      </c>
      <c r="AP59" s="89" t="str">
        <f t="shared" si="75"/>
        <v>ok</v>
      </c>
      <c r="AQ59" s="89" t="str">
        <f t="shared" si="75"/>
        <v>ok</v>
      </c>
      <c r="AR59" s="89" t="str">
        <f t="shared" si="75"/>
        <v>ok</v>
      </c>
      <c r="AS59" s="89" t="str">
        <f t="shared" si="75"/>
        <v>ok</v>
      </c>
      <c r="AT59" s="89" t="str">
        <f t="shared" si="75"/>
        <v>ok</v>
      </c>
      <c r="AU59" s="89" t="str">
        <f t="shared" si="75"/>
        <v>ok</v>
      </c>
      <c r="AV59" s="89" t="str">
        <f t="shared" si="75"/>
        <v>ok</v>
      </c>
      <c r="AW59" s="89" t="str">
        <f t="shared" si="75"/>
        <v>ok</v>
      </c>
      <c r="AX59" s="89" t="str">
        <f t="shared" si="75"/>
        <v>ok</v>
      </c>
      <c r="AY59" s="89" t="str">
        <f t="shared" si="75"/>
        <v>ok</v>
      </c>
      <c r="AZ59" s="89" t="str">
        <f t="shared" si="75"/>
        <v>ok</v>
      </c>
      <c r="BA59" s="89" t="str">
        <f t="shared" si="75"/>
        <v>ok</v>
      </c>
      <c r="BB59" s="89" t="str">
        <f t="shared" si="75"/>
        <v>ok</v>
      </c>
      <c r="BC59" s="89" t="str">
        <f t="shared" si="75"/>
        <v>ok</v>
      </c>
      <c r="BD59" s="89" t="str">
        <f t="shared" si="75"/>
        <v>ok</v>
      </c>
      <c r="BE59" s="89" t="str">
        <f t="shared" si="75"/>
        <v>ok</v>
      </c>
      <c r="BF59" s="89" t="str">
        <f t="shared" si="75"/>
        <v>ok</v>
      </c>
      <c r="BG59" s="89" t="str">
        <f t="shared" si="75"/>
        <v>ok</v>
      </c>
      <c r="BH59" s="89" t="str">
        <f t="shared" si="75"/>
        <v>ok</v>
      </c>
      <c r="BI59" s="89" t="str">
        <f t="shared" si="75"/>
        <v>ok</v>
      </c>
      <c r="BJ59" s="89" t="str">
        <f t="shared" si="75"/>
        <v>ok</v>
      </c>
      <c r="BK59" s="89" t="str">
        <f t="shared" si="75"/>
        <v>ok</v>
      </c>
      <c r="BL59" s="89" t="str">
        <f t="shared" si="75"/>
        <v>ok</v>
      </c>
      <c r="BM59" s="89" t="str">
        <f t="shared" si="75"/>
        <v>ok</v>
      </c>
      <c r="BN59" s="89" t="str">
        <f t="shared" si="75"/>
        <v>ok</v>
      </c>
      <c r="BO59" s="89" t="str">
        <f t="shared" ref="BO59:CI59" si="76">IF(BO6+BO7+BO51=BO52,"ok","エラー")</f>
        <v>ok</v>
      </c>
      <c r="BP59" s="89" t="str">
        <f t="shared" si="76"/>
        <v>ok</v>
      </c>
      <c r="BQ59" s="89" t="str">
        <f t="shared" si="76"/>
        <v>ok</v>
      </c>
      <c r="BR59" s="89" t="str">
        <f t="shared" si="76"/>
        <v>ok</v>
      </c>
      <c r="BS59" s="89" t="str">
        <f t="shared" si="76"/>
        <v>ok</v>
      </c>
      <c r="BT59" s="89" t="str">
        <f t="shared" si="76"/>
        <v>ok</v>
      </c>
      <c r="BU59" s="89" t="str">
        <f t="shared" si="76"/>
        <v>ok</v>
      </c>
      <c r="BV59" s="89" t="str">
        <f t="shared" si="76"/>
        <v>ok</v>
      </c>
      <c r="BW59" s="89" t="str">
        <f t="shared" si="76"/>
        <v>ok</v>
      </c>
      <c r="BX59" s="89" t="str">
        <f t="shared" si="76"/>
        <v>ok</v>
      </c>
      <c r="BY59" s="89" t="str">
        <f t="shared" si="76"/>
        <v>ok</v>
      </c>
      <c r="BZ59" s="89" t="str">
        <f t="shared" si="76"/>
        <v>ok</v>
      </c>
      <c r="CA59" s="89" t="str">
        <f t="shared" si="76"/>
        <v>ok</v>
      </c>
      <c r="CB59" s="89" t="str">
        <f t="shared" si="76"/>
        <v>ok</v>
      </c>
      <c r="CC59" s="89" t="str">
        <f t="shared" si="76"/>
        <v>ok</v>
      </c>
      <c r="CD59" s="89" t="str">
        <f t="shared" si="76"/>
        <v>ok</v>
      </c>
      <c r="CE59" s="89" t="str">
        <f t="shared" si="76"/>
        <v>ok</v>
      </c>
      <c r="CF59" s="89" t="str">
        <f t="shared" si="76"/>
        <v>ok</v>
      </c>
      <c r="CG59" s="89" t="str">
        <f t="shared" si="76"/>
        <v>ok</v>
      </c>
      <c r="CH59" s="89" t="str">
        <f t="shared" si="76"/>
        <v>ok</v>
      </c>
      <c r="CI59" s="89" t="str">
        <f t="shared" si="76"/>
        <v>ok</v>
      </c>
      <c r="CJ59" s="84"/>
      <c r="CK59" s="89" t="str">
        <f t="shared" ref="CK59:DP59" si="77">IF(CK6+CK7+CK51=CK52,"ok","エラー")</f>
        <v>ok</v>
      </c>
      <c r="CL59" s="89" t="str">
        <f t="shared" si="77"/>
        <v>ok</v>
      </c>
      <c r="CM59" s="89" t="str">
        <f t="shared" si="77"/>
        <v>ok</v>
      </c>
      <c r="CN59" s="89" t="str">
        <f t="shared" si="77"/>
        <v>ok</v>
      </c>
      <c r="CO59" s="89" t="str">
        <f t="shared" si="77"/>
        <v>ok</v>
      </c>
      <c r="CP59" s="89" t="str">
        <f t="shared" si="77"/>
        <v>ok</v>
      </c>
      <c r="CQ59" s="89" t="str">
        <f t="shared" si="77"/>
        <v>ok</v>
      </c>
      <c r="CR59" s="89" t="str">
        <f t="shared" si="77"/>
        <v>ok</v>
      </c>
      <c r="CS59" s="89" t="str">
        <f t="shared" si="77"/>
        <v>ok</v>
      </c>
      <c r="CT59" s="89" t="str">
        <f t="shared" si="77"/>
        <v>ok</v>
      </c>
      <c r="CU59" s="89" t="str">
        <f t="shared" si="77"/>
        <v>ok</v>
      </c>
      <c r="CV59" s="89" t="str">
        <f t="shared" si="77"/>
        <v>ok</v>
      </c>
      <c r="CW59" s="89" t="str">
        <f t="shared" si="77"/>
        <v>ok</v>
      </c>
      <c r="CX59" s="89" t="str">
        <f t="shared" si="77"/>
        <v>ok</v>
      </c>
      <c r="CY59" s="89" t="str">
        <f t="shared" si="77"/>
        <v>ok</v>
      </c>
      <c r="CZ59" s="89" t="str">
        <f t="shared" si="77"/>
        <v>ok</v>
      </c>
      <c r="DA59" s="89" t="str">
        <f t="shared" si="77"/>
        <v>ok</v>
      </c>
      <c r="DB59" s="89" t="str">
        <f t="shared" si="77"/>
        <v>ok</v>
      </c>
      <c r="DC59" s="89" t="str">
        <f t="shared" si="77"/>
        <v>ok</v>
      </c>
      <c r="DD59" s="89" t="str">
        <f t="shared" si="77"/>
        <v>ok</v>
      </c>
      <c r="DE59" s="89" t="str">
        <f t="shared" si="77"/>
        <v>ok</v>
      </c>
      <c r="DF59" s="89" t="str">
        <f t="shared" si="77"/>
        <v>ok</v>
      </c>
      <c r="DG59" s="89" t="str">
        <f t="shared" si="77"/>
        <v>ok</v>
      </c>
      <c r="DH59" s="89" t="str">
        <f t="shared" si="77"/>
        <v>ok</v>
      </c>
      <c r="DI59" s="89" t="str">
        <f t="shared" si="77"/>
        <v>ok</v>
      </c>
      <c r="DJ59" s="89" t="str">
        <f t="shared" si="77"/>
        <v>ok</v>
      </c>
      <c r="DK59" s="89" t="str">
        <f t="shared" si="77"/>
        <v>ok</v>
      </c>
      <c r="DL59" s="89" t="str">
        <f t="shared" si="77"/>
        <v>ok</v>
      </c>
      <c r="DM59" s="89" t="str">
        <f t="shared" si="77"/>
        <v>ok</v>
      </c>
      <c r="DN59" s="89" t="str">
        <f t="shared" si="77"/>
        <v>ok</v>
      </c>
      <c r="DO59" s="89" t="str">
        <f t="shared" si="77"/>
        <v>ok</v>
      </c>
      <c r="DP59" s="89" t="str">
        <f t="shared" si="77"/>
        <v>ok</v>
      </c>
      <c r="DQ59" s="89" t="str">
        <f t="shared" ref="DQ59:EV59" si="78">IF(DQ6+DQ7+DQ51=DQ52,"ok","エラー")</f>
        <v>ok</v>
      </c>
      <c r="DR59" s="89" t="str">
        <f t="shared" si="78"/>
        <v>ok</v>
      </c>
      <c r="DS59" s="89" t="str">
        <f t="shared" si="78"/>
        <v>ok</v>
      </c>
      <c r="DT59" s="89" t="str">
        <f t="shared" si="78"/>
        <v>ok</v>
      </c>
      <c r="DU59" s="89" t="str">
        <f t="shared" si="78"/>
        <v>ok</v>
      </c>
      <c r="DV59" s="89" t="str">
        <f t="shared" si="78"/>
        <v>ok</v>
      </c>
      <c r="DW59" s="89" t="str">
        <f t="shared" si="78"/>
        <v>ok</v>
      </c>
      <c r="DX59" s="89" t="str">
        <f t="shared" si="78"/>
        <v>ok</v>
      </c>
      <c r="DY59" s="89" t="str">
        <f t="shared" si="78"/>
        <v>ok</v>
      </c>
      <c r="DZ59" s="89" t="str">
        <f t="shared" si="78"/>
        <v>ok</v>
      </c>
      <c r="EA59" s="89" t="str">
        <f t="shared" si="78"/>
        <v>ok</v>
      </c>
      <c r="EB59" s="89" t="str">
        <f t="shared" si="78"/>
        <v>ok</v>
      </c>
      <c r="EC59" s="89" t="str">
        <f t="shared" si="78"/>
        <v>ok</v>
      </c>
      <c r="ED59" s="89" t="str">
        <f t="shared" si="78"/>
        <v>ok</v>
      </c>
      <c r="EE59" s="89" t="str">
        <f t="shared" si="78"/>
        <v>ok</v>
      </c>
      <c r="EF59" s="89" t="str">
        <f t="shared" si="78"/>
        <v>ok</v>
      </c>
      <c r="EG59" s="89" t="str">
        <f t="shared" si="78"/>
        <v>ok</v>
      </c>
      <c r="EH59" s="89" t="str">
        <f t="shared" si="78"/>
        <v>ok</v>
      </c>
      <c r="EI59" s="89" t="str">
        <f t="shared" si="78"/>
        <v>ok</v>
      </c>
      <c r="EJ59" s="89" t="str">
        <f t="shared" si="78"/>
        <v>ok</v>
      </c>
      <c r="EK59" s="89" t="str">
        <f t="shared" si="78"/>
        <v>ok</v>
      </c>
      <c r="EL59" s="89" t="str">
        <f t="shared" si="78"/>
        <v>ok</v>
      </c>
      <c r="EM59" s="89" t="str">
        <f t="shared" si="78"/>
        <v>ok</v>
      </c>
      <c r="EN59" s="89" t="str">
        <f t="shared" si="78"/>
        <v>ok</v>
      </c>
      <c r="EO59" s="89" t="str">
        <f t="shared" si="78"/>
        <v>ok</v>
      </c>
      <c r="EP59" s="89" t="str">
        <f t="shared" si="78"/>
        <v>ok</v>
      </c>
      <c r="EQ59" s="89" t="str">
        <f t="shared" si="78"/>
        <v>ok</v>
      </c>
      <c r="ER59" s="89" t="str">
        <f t="shared" si="78"/>
        <v>ok</v>
      </c>
      <c r="ES59" s="89" t="str">
        <f t="shared" si="78"/>
        <v>ok</v>
      </c>
      <c r="ET59" s="89" t="str">
        <f t="shared" si="78"/>
        <v>ok</v>
      </c>
      <c r="EU59" s="89" t="str">
        <f t="shared" si="78"/>
        <v>ok</v>
      </c>
      <c r="EV59" s="89" t="str">
        <f t="shared" si="78"/>
        <v>ok</v>
      </c>
      <c r="EW59" s="89" t="str">
        <f t="shared" ref="EW59:FH59" si="79">IF(EW6+EW7+EW51=EW52,"ok","エラー")</f>
        <v>ok</v>
      </c>
      <c r="EX59" s="89" t="str">
        <f t="shared" si="79"/>
        <v>ok</v>
      </c>
      <c r="EY59" s="89" t="str">
        <f t="shared" si="79"/>
        <v>ok</v>
      </c>
      <c r="EZ59" s="89" t="str">
        <f t="shared" si="79"/>
        <v>ok</v>
      </c>
      <c r="FA59" s="89" t="str">
        <f t="shared" si="79"/>
        <v>ok</v>
      </c>
      <c r="FB59" s="89" t="str">
        <f t="shared" si="79"/>
        <v>ok</v>
      </c>
      <c r="FC59" s="89" t="str">
        <f t="shared" si="79"/>
        <v>ok</v>
      </c>
      <c r="FD59" s="89" t="str">
        <f t="shared" si="79"/>
        <v>ok</v>
      </c>
      <c r="FE59" s="89" t="str">
        <f t="shared" si="79"/>
        <v>ok</v>
      </c>
      <c r="FF59" s="89" t="str">
        <f t="shared" si="79"/>
        <v>ok</v>
      </c>
      <c r="FG59" s="89" t="str">
        <f t="shared" si="79"/>
        <v>ok</v>
      </c>
      <c r="FH59" s="89" t="str">
        <f t="shared" si="79"/>
        <v>ok</v>
      </c>
      <c r="FJ59" s="89" t="str">
        <f>IF(FJ6+FJ7+FJ51=FJ52,"ok","エラー")</f>
        <v>ok</v>
      </c>
      <c r="FK59" s="89" t="str">
        <f>IF(FK6+FK7+FK51=FK52,"ok","エラー")</f>
        <v>ok</v>
      </c>
      <c r="FL59" s="89" t="str">
        <f>IF(FL6+FL7+FL51=FL52,"ok","エラー")</f>
        <v>ok</v>
      </c>
      <c r="FM59" s="89" t="str">
        <f>IF(FM6+FM7+FM51=FM52,"ok","エラー")</f>
        <v>ok</v>
      </c>
      <c r="FW59" s="89" t="str">
        <f>IF(FW6+FW7+FW51=FW52,"ok","エラー")</f>
        <v>ok</v>
      </c>
      <c r="FY59" s="89" t="str">
        <f>IF(FY6+FY7+FY51=FY52,"ok","エラー")</f>
        <v>ok</v>
      </c>
      <c r="FZ59" s="89" t="str">
        <f>IF(FZ6+FZ7+FZ51=FZ52,"ok","エラー")</f>
        <v>ok</v>
      </c>
      <c r="GA59" s="89" t="str">
        <f>IF(GA6+GA7+GA51=GA52,"ok","エラー")</f>
        <v>ok</v>
      </c>
      <c r="GB59" s="89" t="str">
        <f>IF(GB6+GB7+GB51=GB52,"ok","エラー")</f>
        <v>ok</v>
      </c>
      <c r="GC59" s="89" t="str">
        <f>IF(GC6+GC7+GC51=GC52,"ok","エラー")</f>
        <v>ok</v>
      </c>
      <c r="GD59" s="89" t="str">
        <f>IF(GD40+GD51=GD52,"ok","エラー")</f>
        <v>ok</v>
      </c>
      <c r="GI59" s="89" t="str">
        <f>IF(GI6+GI7+GI51=GI52,"ok","エラー")</f>
        <v>ok</v>
      </c>
    </row>
    <row r="66" spans="143:144" x14ac:dyDescent="0.15">
      <c r="EM66" s="421"/>
      <c r="EN66" s="422"/>
    </row>
    <row r="67" spans="143:144" x14ac:dyDescent="0.15">
      <c r="EM67" s="421"/>
      <c r="EN67" s="422"/>
    </row>
    <row r="68" spans="143:144" x14ac:dyDescent="0.15">
      <c r="EM68" s="421"/>
      <c r="EN68" s="422"/>
    </row>
    <row r="69" spans="143:144" x14ac:dyDescent="0.15">
      <c r="EM69" s="421"/>
      <c r="EN69" s="422"/>
    </row>
    <row r="70" spans="143:144" x14ac:dyDescent="0.15">
      <c r="EM70" s="421"/>
      <c r="EN70" s="422"/>
    </row>
    <row r="71" spans="143:144" x14ac:dyDescent="0.15">
      <c r="EM71" s="421"/>
      <c r="EN71" s="422"/>
    </row>
    <row r="72" spans="143:144" x14ac:dyDescent="0.15">
      <c r="EM72" s="421"/>
      <c r="EN72" s="422"/>
    </row>
    <row r="73" spans="143:144" x14ac:dyDescent="0.15">
      <c r="EM73" s="421"/>
      <c r="EN73" s="422"/>
    </row>
    <row r="74" spans="143:144" x14ac:dyDescent="0.15">
      <c r="EM74" s="421"/>
      <c r="EN74" s="422"/>
    </row>
    <row r="75" spans="143:144" x14ac:dyDescent="0.15">
      <c r="EM75" s="421"/>
      <c r="EN75" s="422"/>
    </row>
    <row r="76" spans="143:144" x14ac:dyDescent="0.15">
      <c r="EM76" s="421"/>
      <c r="EN76" s="422"/>
    </row>
    <row r="77" spans="143:144" x14ac:dyDescent="0.15">
      <c r="EM77" s="421"/>
      <c r="EN77" s="422"/>
    </row>
    <row r="78" spans="143:144" x14ac:dyDescent="0.15">
      <c r="EM78" s="421"/>
      <c r="EN78" s="422"/>
    </row>
    <row r="79" spans="143:144" x14ac:dyDescent="0.15">
      <c r="EM79" s="421"/>
      <c r="EN79" s="422"/>
    </row>
    <row r="80" spans="143:144" x14ac:dyDescent="0.15">
      <c r="EM80" s="421"/>
      <c r="EN80" s="422"/>
    </row>
    <row r="81" spans="143:144" x14ac:dyDescent="0.15">
      <c r="EM81" s="421"/>
      <c r="EN81" s="422"/>
    </row>
    <row r="82" spans="143:144" x14ac:dyDescent="0.15">
      <c r="EM82" s="421"/>
      <c r="EN82" s="422"/>
    </row>
    <row r="83" spans="143:144" x14ac:dyDescent="0.15">
      <c r="EM83" s="421"/>
      <c r="EN83" s="422"/>
    </row>
    <row r="84" spans="143:144" x14ac:dyDescent="0.15">
      <c r="EM84" s="421"/>
      <c r="EN84" s="422"/>
    </row>
    <row r="85" spans="143:144" x14ac:dyDescent="0.15">
      <c r="EM85" s="421"/>
      <c r="EN85" s="422"/>
    </row>
    <row r="86" spans="143:144" x14ac:dyDescent="0.15">
      <c r="EM86" s="421"/>
      <c r="EN86" s="422"/>
    </row>
    <row r="87" spans="143:144" x14ac:dyDescent="0.15">
      <c r="EM87" s="421"/>
      <c r="EN87" s="422"/>
    </row>
    <row r="88" spans="143:144" x14ac:dyDescent="0.15">
      <c r="EM88" s="421"/>
      <c r="EN88" s="422"/>
    </row>
    <row r="89" spans="143:144" x14ac:dyDescent="0.15">
      <c r="EM89" s="421"/>
      <c r="EN89" s="422"/>
    </row>
    <row r="90" spans="143:144" x14ac:dyDescent="0.15">
      <c r="EM90" s="421"/>
      <c r="EN90" s="422"/>
    </row>
    <row r="91" spans="143:144" x14ac:dyDescent="0.15">
      <c r="EM91" s="421"/>
      <c r="EN91" s="422"/>
    </row>
    <row r="92" spans="143:144" x14ac:dyDescent="0.15">
      <c r="EM92" s="421"/>
      <c r="EN92" s="422"/>
    </row>
    <row r="93" spans="143:144" x14ac:dyDescent="0.15">
      <c r="EM93" s="421"/>
      <c r="EN93" s="422"/>
    </row>
    <row r="94" spans="143:144" x14ac:dyDescent="0.15">
      <c r="EM94" s="421"/>
      <c r="EN94" s="422"/>
    </row>
    <row r="95" spans="143:144" x14ac:dyDescent="0.15">
      <c r="EM95" s="421"/>
      <c r="EN95" s="422"/>
    </row>
    <row r="96" spans="143:144" x14ac:dyDescent="0.15">
      <c r="EM96" s="421"/>
      <c r="EN96" s="422"/>
    </row>
    <row r="97" spans="143:144" x14ac:dyDescent="0.15">
      <c r="EM97" s="421"/>
      <c r="EN97" s="422"/>
    </row>
    <row r="98" spans="143:144" x14ac:dyDescent="0.15">
      <c r="EM98" s="421"/>
      <c r="EN98" s="422"/>
    </row>
    <row r="99" spans="143:144" x14ac:dyDescent="0.15">
      <c r="EM99" s="421"/>
      <c r="EN99" s="422"/>
    </row>
    <row r="100" spans="143:144" x14ac:dyDescent="0.15">
      <c r="EM100" s="421"/>
      <c r="EN100" s="422"/>
    </row>
    <row r="101" spans="143:144" x14ac:dyDescent="0.15">
      <c r="EM101" s="421"/>
      <c r="EN101" s="422"/>
    </row>
    <row r="102" spans="143:144" x14ac:dyDescent="0.15">
      <c r="EM102" s="421"/>
      <c r="EN102" s="422"/>
    </row>
    <row r="103" spans="143:144" x14ac:dyDescent="0.15">
      <c r="EM103" s="421"/>
      <c r="EN103" s="422"/>
    </row>
    <row r="104" spans="143:144" x14ac:dyDescent="0.15">
      <c r="EM104" s="421"/>
      <c r="EN104" s="422"/>
    </row>
    <row r="105" spans="143:144" x14ac:dyDescent="0.15">
      <c r="EM105" s="421"/>
      <c r="EN105" s="422"/>
    </row>
    <row r="106" spans="143:144" x14ac:dyDescent="0.15">
      <c r="EM106" s="421"/>
      <c r="EN106" s="422"/>
    </row>
  </sheetData>
  <mergeCells count="1">
    <mergeCell ref="FO2:FU2"/>
  </mergeCells>
  <phoneticPr fontId="3"/>
  <pageMargins left="0.59055118110236227" right="0.59055118110236227" top="0.98425196850393704" bottom="0.98425196850393704" header="0.51181102362204722" footer="0.51181102362204722"/>
  <pageSetup paperSize="9" fitToWidth="0" orientation="portrait" r:id="rId1"/>
  <colBreaks count="1" manualBreakCount="1">
    <brk id="187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6">
    <tabColor indexed="15"/>
    <pageSetUpPr fitToPage="1"/>
  </sheetPr>
  <dimension ref="A1:HV106"/>
  <sheetViews>
    <sheetView view="pageBreakPreview" zoomScaleNormal="90" zoomScaleSheetLayoutView="100" workbookViewId="0">
      <pane xSplit="2" ySplit="5" topLeftCell="GC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13.10937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12.33203125" style="174" bestFit="1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62" customWidth="1"/>
    <col min="192" max="192" width="8.5546875" style="174" bestFit="1" customWidth="1"/>
    <col min="193" max="193" width="10.33203125" style="174" bestFit="1" customWidth="1"/>
    <col min="194" max="194" width="8.5546875" style="174" bestFit="1" customWidth="1"/>
    <col min="195" max="195" width="9.6640625" style="174" bestFit="1" customWidth="1"/>
    <col min="196" max="196" width="10.33203125" style="174" bestFit="1" customWidth="1"/>
    <col min="197" max="197" width="8.5546875" style="174" bestFit="1" customWidth="1"/>
    <col min="198" max="198" width="11.88671875" style="174" bestFit="1" customWidth="1"/>
    <col min="199" max="199" width="10.33203125" style="174" bestFit="1" customWidth="1"/>
    <col min="200" max="200" width="8.5546875" style="174" bestFit="1" customWidth="1"/>
    <col min="201" max="201" width="9.6640625" style="174" bestFit="1" customWidth="1"/>
    <col min="202" max="202" width="10.33203125" style="174" bestFit="1" customWidth="1"/>
    <col min="203" max="230" width="13.6640625" style="174" customWidth="1"/>
  </cols>
  <sheetData>
    <row r="1" spans="2:230" x14ac:dyDescent="0.15">
      <c r="B1" s="98">
        <v>1</v>
      </c>
      <c r="C1" s="98">
        <v>2</v>
      </c>
      <c r="D1" s="98">
        <v>3</v>
      </c>
      <c r="E1" s="98">
        <v>4</v>
      </c>
      <c r="F1" s="98">
        <v>5</v>
      </c>
      <c r="G1" s="98">
        <v>6</v>
      </c>
      <c r="H1" s="98">
        <v>7</v>
      </c>
      <c r="I1" s="98">
        <v>8</v>
      </c>
      <c r="J1" s="98">
        <v>9</v>
      </c>
      <c r="K1" s="98">
        <v>10</v>
      </c>
      <c r="L1" s="98">
        <v>11</v>
      </c>
      <c r="M1" s="98">
        <v>12</v>
      </c>
      <c r="N1" s="98">
        <v>13</v>
      </c>
      <c r="O1" s="98">
        <v>14</v>
      </c>
      <c r="P1" s="98">
        <v>15</v>
      </c>
      <c r="Q1" s="98">
        <v>16</v>
      </c>
      <c r="R1" s="98">
        <v>17</v>
      </c>
      <c r="S1" s="98">
        <v>18</v>
      </c>
      <c r="T1" s="98">
        <v>19</v>
      </c>
      <c r="U1" s="98">
        <v>20</v>
      </c>
      <c r="V1" s="98">
        <v>21</v>
      </c>
      <c r="W1" s="98">
        <v>22</v>
      </c>
      <c r="X1" s="98">
        <v>23</v>
      </c>
      <c r="Y1" s="98">
        <v>24</v>
      </c>
      <c r="Z1" s="98">
        <v>25</v>
      </c>
      <c r="AA1" s="98">
        <v>26</v>
      </c>
      <c r="AB1" s="98">
        <v>27</v>
      </c>
      <c r="AC1" s="98">
        <v>28</v>
      </c>
      <c r="AD1" s="98">
        <v>29</v>
      </c>
      <c r="AE1" s="98">
        <v>30</v>
      </c>
      <c r="AF1" s="98">
        <v>31</v>
      </c>
      <c r="AG1" s="98">
        <v>32</v>
      </c>
      <c r="AH1" s="98">
        <v>33</v>
      </c>
      <c r="AI1" s="98">
        <v>34</v>
      </c>
      <c r="AJ1" s="98">
        <v>35</v>
      </c>
      <c r="AK1" s="98">
        <v>36</v>
      </c>
      <c r="AL1" s="98">
        <v>37</v>
      </c>
      <c r="AM1" s="98">
        <v>38</v>
      </c>
      <c r="AN1" s="98">
        <v>39</v>
      </c>
      <c r="AO1" s="98">
        <v>40</v>
      </c>
      <c r="AP1" s="98">
        <v>41</v>
      </c>
      <c r="AQ1" s="98">
        <v>42</v>
      </c>
      <c r="AR1" s="98">
        <v>43</v>
      </c>
      <c r="AS1" s="98">
        <v>44</v>
      </c>
      <c r="AT1" s="98">
        <v>45</v>
      </c>
      <c r="AU1" s="98">
        <v>46</v>
      </c>
      <c r="AV1" s="98">
        <v>47</v>
      </c>
      <c r="AW1" s="98">
        <v>48</v>
      </c>
      <c r="AX1" s="98">
        <v>49</v>
      </c>
      <c r="AY1" s="98">
        <v>50</v>
      </c>
      <c r="AZ1" s="98">
        <v>51</v>
      </c>
      <c r="BA1" s="98">
        <v>52</v>
      </c>
      <c r="BB1" s="98">
        <v>53</v>
      </c>
      <c r="BC1" s="98">
        <v>54</v>
      </c>
      <c r="BD1" s="98">
        <v>55</v>
      </c>
      <c r="BE1" s="98">
        <v>56</v>
      </c>
      <c r="BF1" s="98">
        <v>57</v>
      </c>
      <c r="BG1" s="98">
        <v>58</v>
      </c>
      <c r="BH1" s="98">
        <v>59</v>
      </c>
      <c r="BI1" s="98">
        <v>60</v>
      </c>
      <c r="BJ1" s="98">
        <v>61</v>
      </c>
      <c r="BK1" s="98">
        <v>62</v>
      </c>
      <c r="BL1" s="98">
        <v>63</v>
      </c>
      <c r="BM1" s="98">
        <v>64</v>
      </c>
      <c r="BN1" s="98">
        <v>65</v>
      </c>
      <c r="BO1" s="98">
        <v>66</v>
      </c>
      <c r="BP1" s="98">
        <v>67</v>
      </c>
      <c r="BQ1" s="98">
        <v>68</v>
      </c>
      <c r="BR1" s="98">
        <v>69</v>
      </c>
      <c r="BS1" s="98">
        <v>70</v>
      </c>
      <c r="BT1" s="98">
        <v>71</v>
      </c>
      <c r="BU1" s="98">
        <v>72</v>
      </c>
      <c r="BV1" s="98">
        <v>73</v>
      </c>
      <c r="BW1" s="98">
        <v>74</v>
      </c>
      <c r="BX1" s="98">
        <v>75</v>
      </c>
      <c r="BY1" s="98">
        <v>76</v>
      </c>
      <c r="BZ1" s="98">
        <v>77</v>
      </c>
      <c r="CA1" s="98">
        <v>78</v>
      </c>
      <c r="CB1" s="98">
        <v>79</v>
      </c>
      <c r="CC1" s="98">
        <v>80</v>
      </c>
      <c r="CD1" s="98">
        <v>81</v>
      </c>
      <c r="CE1" s="98">
        <v>82</v>
      </c>
      <c r="CF1" s="98">
        <v>83</v>
      </c>
      <c r="CG1" s="98">
        <v>84</v>
      </c>
      <c r="CH1" s="98">
        <v>85</v>
      </c>
      <c r="CI1" s="98">
        <v>86</v>
      </c>
      <c r="CJ1" s="98">
        <v>87</v>
      </c>
      <c r="CK1" s="98">
        <v>88</v>
      </c>
      <c r="CL1" s="98">
        <v>89</v>
      </c>
      <c r="CM1" s="98">
        <v>90</v>
      </c>
      <c r="CN1" s="98">
        <v>91</v>
      </c>
      <c r="CO1" s="98">
        <v>92</v>
      </c>
      <c r="CP1" s="98">
        <v>93</v>
      </c>
      <c r="CQ1" s="98">
        <v>94</v>
      </c>
      <c r="CR1" s="98">
        <v>95</v>
      </c>
      <c r="CS1" s="98">
        <v>96</v>
      </c>
      <c r="CT1" s="98">
        <v>97</v>
      </c>
      <c r="CU1" s="98">
        <v>98</v>
      </c>
      <c r="CV1" s="98">
        <v>99</v>
      </c>
      <c r="CW1" s="98">
        <v>100</v>
      </c>
      <c r="CX1" s="98">
        <v>101</v>
      </c>
      <c r="CY1" s="98">
        <v>102</v>
      </c>
      <c r="CZ1" s="98">
        <v>103</v>
      </c>
      <c r="DA1" s="98">
        <v>104</v>
      </c>
      <c r="DB1" s="98">
        <v>105</v>
      </c>
      <c r="DC1" s="98">
        <v>106</v>
      </c>
      <c r="DD1" s="98">
        <v>107</v>
      </c>
      <c r="DE1" s="98">
        <v>108</v>
      </c>
      <c r="DF1" s="98">
        <v>109</v>
      </c>
      <c r="DG1" s="98">
        <v>110</v>
      </c>
      <c r="DH1" s="98">
        <v>111</v>
      </c>
      <c r="DI1" s="98">
        <v>112</v>
      </c>
      <c r="DJ1" s="98">
        <v>113</v>
      </c>
      <c r="DK1" s="98">
        <v>114</v>
      </c>
      <c r="DL1" s="98">
        <v>115</v>
      </c>
      <c r="DM1" s="98">
        <v>116</v>
      </c>
      <c r="DN1" s="98">
        <v>117</v>
      </c>
      <c r="DO1" s="98">
        <v>118</v>
      </c>
      <c r="DP1" s="98">
        <v>119</v>
      </c>
      <c r="DQ1" s="98">
        <v>120</v>
      </c>
      <c r="DR1" s="98">
        <v>121</v>
      </c>
      <c r="DS1" s="98">
        <v>122</v>
      </c>
      <c r="DT1" s="98">
        <v>123</v>
      </c>
      <c r="DU1" s="98">
        <v>124</v>
      </c>
      <c r="DV1" s="98">
        <v>125</v>
      </c>
      <c r="DW1" s="98">
        <v>126</v>
      </c>
      <c r="DX1" s="98">
        <v>127</v>
      </c>
      <c r="DY1" s="98">
        <v>128</v>
      </c>
      <c r="DZ1" s="98">
        <v>129</v>
      </c>
      <c r="EA1" s="98">
        <v>130</v>
      </c>
      <c r="EB1" s="98">
        <v>131</v>
      </c>
      <c r="EC1" s="98">
        <v>132</v>
      </c>
      <c r="ED1" s="98">
        <v>133</v>
      </c>
      <c r="EE1" s="98">
        <v>134</v>
      </c>
      <c r="EF1" s="98">
        <v>135</v>
      </c>
      <c r="EG1" s="98">
        <v>136</v>
      </c>
      <c r="EH1" s="98">
        <v>137</v>
      </c>
      <c r="EI1" s="98">
        <v>138</v>
      </c>
      <c r="EJ1" s="98">
        <v>139</v>
      </c>
      <c r="EK1" s="98">
        <v>140</v>
      </c>
      <c r="EL1" s="98">
        <v>141</v>
      </c>
      <c r="EM1" s="98">
        <v>142</v>
      </c>
      <c r="EN1" s="98">
        <v>143</v>
      </c>
      <c r="EO1" s="98">
        <v>144</v>
      </c>
      <c r="EP1" s="98">
        <v>145</v>
      </c>
      <c r="EQ1" s="98">
        <v>146</v>
      </c>
      <c r="ER1" s="98">
        <v>147</v>
      </c>
      <c r="ES1" s="98">
        <v>148</v>
      </c>
      <c r="ET1" s="98">
        <v>149</v>
      </c>
      <c r="EU1" s="98">
        <v>150</v>
      </c>
      <c r="EV1" s="98">
        <v>151</v>
      </c>
      <c r="EW1" s="98">
        <v>152</v>
      </c>
      <c r="EX1" s="98">
        <v>153</v>
      </c>
      <c r="EY1" s="98">
        <v>154</v>
      </c>
      <c r="EZ1" s="98">
        <v>155</v>
      </c>
      <c r="FA1" s="98">
        <v>156</v>
      </c>
      <c r="FB1" s="98">
        <v>157</v>
      </c>
      <c r="FC1" s="98">
        <v>158</v>
      </c>
      <c r="FD1" s="98">
        <v>159</v>
      </c>
      <c r="FE1" s="98">
        <v>160</v>
      </c>
      <c r="FF1" s="98">
        <v>161</v>
      </c>
      <c r="FG1" s="98">
        <v>162</v>
      </c>
      <c r="FH1" s="98">
        <v>163</v>
      </c>
      <c r="FI1" s="98">
        <v>164</v>
      </c>
      <c r="FJ1" s="98">
        <v>165</v>
      </c>
      <c r="FK1" s="98">
        <v>166</v>
      </c>
      <c r="FL1" s="98">
        <v>167</v>
      </c>
      <c r="FM1" s="98">
        <v>168</v>
      </c>
      <c r="FN1" s="98">
        <v>169</v>
      </c>
      <c r="FO1" s="98">
        <v>170</v>
      </c>
      <c r="FP1" s="98">
        <v>171</v>
      </c>
      <c r="FQ1" s="98">
        <v>172</v>
      </c>
      <c r="FR1" s="98">
        <v>173</v>
      </c>
      <c r="FS1" s="98">
        <v>174</v>
      </c>
      <c r="FT1" s="98">
        <v>175</v>
      </c>
      <c r="FU1" s="98">
        <v>176</v>
      </c>
      <c r="FV1" s="98">
        <v>177</v>
      </c>
      <c r="FW1" s="98">
        <v>178</v>
      </c>
      <c r="FX1" s="98">
        <v>179</v>
      </c>
      <c r="FY1" s="98">
        <v>180</v>
      </c>
      <c r="FZ1" s="98">
        <v>181</v>
      </c>
      <c r="GA1" s="98">
        <v>182</v>
      </c>
      <c r="GB1" s="98">
        <v>183</v>
      </c>
      <c r="GC1" s="98">
        <v>184</v>
      </c>
      <c r="GD1" s="98">
        <v>185</v>
      </c>
      <c r="GE1" s="98">
        <v>186</v>
      </c>
      <c r="GF1" s="98">
        <v>187</v>
      </c>
      <c r="GG1" s="98">
        <v>188</v>
      </c>
      <c r="GH1" s="98">
        <v>189</v>
      </c>
      <c r="GI1" s="99">
        <v>190</v>
      </c>
      <c r="GJ1" s="98">
        <v>191</v>
      </c>
      <c r="GK1" s="98">
        <v>192</v>
      </c>
      <c r="GL1" s="98">
        <v>193</v>
      </c>
      <c r="GM1" s="98">
        <v>194</v>
      </c>
      <c r="GN1" s="98">
        <v>195</v>
      </c>
      <c r="GO1" s="98">
        <v>196</v>
      </c>
      <c r="GP1" s="98">
        <v>197</v>
      </c>
      <c r="GQ1" s="98">
        <v>198</v>
      </c>
      <c r="GR1" s="98">
        <v>199</v>
      </c>
      <c r="GS1" s="98">
        <v>200</v>
      </c>
      <c r="GT1" s="98">
        <v>201</v>
      </c>
    </row>
    <row r="2" spans="2:230" x14ac:dyDescent="0.15">
      <c r="C2" s="93" t="s">
        <v>338</v>
      </c>
      <c r="D2" s="94"/>
      <c r="E2" s="93" t="s">
        <v>339</v>
      </c>
      <c r="F2" s="93" t="s">
        <v>340</v>
      </c>
      <c r="G2" s="94"/>
      <c r="H2" s="93" t="s">
        <v>341</v>
      </c>
      <c r="I2" s="93" t="s">
        <v>342</v>
      </c>
      <c r="J2" s="93" t="s">
        <v>343</v>
      </c>
      <c r="K2" s="93" t="s">
        <v>344</v>
      </c>
      <c r="L2" s="93" t="s">
        <v>345</v>
      </c>
      <c r="M2" s="93" t="s">
        <v>346</v>
      </c>
      <c r="N2" s="93" t="s">
        <v>347</v>
      </c>
      <c r="O2" s="93" t="s">
        <v>348</v>
      </c>
      <c r="P2" s="93" t="s">
        <v>349</v>
      </c>
      <c r="Q2" s="93" t="s">
        <v>350</v>
      </c>
      <c r="R2" s="93" t="s">
        <v>351</v>
      </c>
      <c r="S2" s="93" t="s">
        <v>352</v>
      </c>
      <c r="T2" s="95"/>
      <c r="U2" s="93" t="s">
        <v>725</v>
      </c>
      <c r="V2" s="93" t="s">
        <v>354</v>
      </c>
      <c r="W2" s="93" t="s">
        <v>355</v>
      </c>
      <c r="X2" s="93" t="s">
        <v>664</v>
      </c>
      <c r="Y2" s="93" t="s">
        <v>356</v>
      </c>
      <c r="Z2" s="93" t="s">
        <v>357</v>
      </c>
      <c r="AA2" s="93" t="s">
        <v>653</v>
      </c>
      <c r="AB2" s="93" t="s">
        <v>359</v>
      </c>
      <c r="AC2" s="93" t="s">
        <v>654</v>
      </c>
      <c r="AD2" s="93" t="s">
        <v>665</v>
      </c>
      <c r="AE2" s="93" t="s">
        <v>726</v>
      </c>
      <c r="AF2" s="96" t="s">
        <v>363</v>
      </c>
      <c r="AG2" s="96" t="s">
        <v>364</v>
      </c>
      <c r="AH2" s="89"/>
      <c r="AI2" s="96" t="s">
        <v>684</v>
      </c>
      <c r="AJ2" s="96" t="s">
        <v>727</v>
      </c>
      <c r="AK2" s="96" t="s">
        <v>368</v>
      </c>
      <c r="AL2" s="29"/>
      <c r="AM2" s="96" t="s">
        <v>728</v>
      </c>
      <c r="AN2" s="96" t="s">
        <v>686</v>
      </c>
      <c r="AO2" s="96" t="s">
        <v>352</v>
      </c>
      <c r="AP2" s="96" t="s">
        <v>369</v>
      </c>
      <c r="AQ2" s="96" t="s">
        <v>371</v>
      </c>
      <c r="AR2" s="96" t="s">
        <v>372</v>
      </c>
      <c r="AS2" s="96" t="s">
        <v>729</v>
      </c>
      <c r="AT2" s="96" t="s">
        <v>376</v>
      </c>
      <c r="AU2" s="96" t="s">
        <v>377</v>
      </c>
      <c r="AV2" s="96" t="s">
        <v>378</v>
      </c>
      <c r="AW2" s="96" t="s">
        <v>688</v>
      </c>
      <c r="AX2" s="96" t="s">
        <v>380</v>
      </c>
      <c r="AY2" s="96" t="s">
        <v>381</v>
      </c>
      <c r="AZ2" s="96" t="s">
        <v>710</v>
      </c>
      <c r="BA2" s="96" t="s">
        <v>690</v>
      </c>
      <c r="BB2" s="96" t="s">
        <v>711</v>
      </c>
      <c r="BC2" s="96" t="s">
        <v>384</v>
      </c>
      <c r="BD2" s="96" t="s">
        <v>386</v>
      </c>
      <c r="BE2" s="96" t="s">
        <v>387</v>
      </c>
      <c r="BF2" s="96" t="s">
        <v>388</v>
      </c>
      <c r="BG2" s="96" t="s">
        <v>389</v>
      </c>
      <c r="BH2" s="96" t="s">
        <v>692</v>
      </c>
      <c r="BI2" s="96" t="s">
        <v>739</v>
      </c>
      <c r="BJ2" s="96" t="s">
        <v>385</v>
      </c>
      <c r="BK2" s="96" t="s">
        <v>392</v>
      </c>
      <c r="BL2" s="96" t="s">
        <v>694</v>
      </c>
      <c r="BM2" s="96" t="s">
        <v>393</v>
      </c>
      <c r="BN2" s="96" t="s">
        <v>696</v>
      </c>
      <c r="BO2" s="29"/>
      <c r="BP2" s="29"/>
      <c r="BQ2" s="96" t="s">
        <v>748</v>
      </c>
      <c r="BR2" s="96" t="s">
        <v>749</v>
      </c>
      <c r="BS2" s="96" t="s">
        <v>750</v>
      </c>
      <c r="BT2" s="96" t="s">
        <v>751</v>
      </c>
      <c r="BU2" s="96" t="s">
        <v>396</v>
      </c>
      <c r="BV2" s="89"/>
      <c r="BW2" s="96" t="s">
        <v>402</v>
      </c>
      <c r="BX2" s="96" t="s">
        <v>403</v>
      </c>
      <c r="BY2" s="96" t="s">
        <v>719</v>
      </c>
      <c r="BZ2" s="96" t="s">
        <v>405</v>
      </c>
      <c r="CA2" s="96" t="s">
        <v>406</v>
      </c>
      <c r="CB2" s="96" t="s">
        <v>407</v>
      </c>
      <c r="CC2" s="96" t="s">
        <v>408</v>
      </c>
      <c r="CD2" s="96" t="s">
        <v>409</v>
      </c>
      <c r="CE2" s="96" t="s">
        <v>410</v>
      </c>
      <c r="CF2" s="96" t="s">
        <v>411</v>
      </c>
      <c r="CG2" s="96" t="s">
        <v>412</v>
      </c>
      <c r="CH2" s="96" t="s">
        <v>413</v>
      </c>
      <c r="CI2" s="96" t="s">
        <v>414</v>
      </c>
      <c r="CJ2" s="81"/>
      <c r="CK2" s="96" t="s">
        <v>415</v>
      </c>
      <c r="CL2" s="96" t="s">
        <v>720</v>
      </c>
      <c r="CM2" s="96" t="s">
        <v>417</v>
      </c>
      <c r="CN2" s="96" t="s">
        <v>721</v>
      </c>
      <c r="CO2" s="96" t="s">
        <v>419</v>
      </c>
      <c r="CP2" s="96" t="s">
        <v>420</v>
      </c>
      <c r="CQ2" s="96" t="s">
        <v>421</v>
      </c>
      <c r="CR2" s="96" t="s">
        <v>422</v>
      </c>
      <c r="CS2" s="96" t="s">
        <v>423</v>
      </c>
      <c r="CT2" s="28"/>
      <c r="CU2" s="96" t="s">
        <v>424</v>
      </c>
      <c r="CV2" s="96" t="s">
        <v>425</v>
      </c>
      <c r="CW2" s="89"/>
      <c r="CX2" s="96" t="s">
        <v>426</v>
      </c>
      <c r="CY2" s="96" t="s">
        <v>427</v>
      </c>
      <c r="CZ2" s="89"/>
      <c r="DA2" s="96" t="s">
        <v>428</v>
      </c>
      <c r="DB2" s="96" t="s">
        <v>429</v>
      </c>
      <c r="DC2" s="96" t="s">
        <v>430</v>
      </c>
      <c r="DD2" s="96" t="s">
        <v>431</v>
      </c>
      <c r="DE2" s="96" t="s">
        <v>432</v>
      </c>
      <c r="DF2" s="96" t="s">
        <v>433</v>
      </c>
      <c r="DG2" s="96" t="s">
        <v>434</v>
      </c>
      <c r="DH2" s="96" t="s">
        <v>435</v>
      </c>
      <c r="DI2" s="96" t="s">
        <v>436</v>
      </c>
      <c r="DJ2" s="96" t="s">
        <v>437</v>
      </c>
      <c r="DK2" s="96" t="s">
        <v>438</v>
      </c>
      <c r="DL2" s="96" t="s">
        <v>439</v>
      </c>
      <c r="DM2" s="96" t="s">
        <v>440</v>
      </c>
      <c r="DN2" s="96" t="s">
        <v>441</v>
      </c>
      <c r="DO2" s="96" t="s">
        <v>442</v>
      </c>
      <c r="DP2" s="96" t="s">
        <v>443</v>
      </c>
      <c r="DQ2" s="96" t="s">
        <v>444</v>
      </c>
      <c r="DR2" s="96" t="s">
        <v>445</v>
      </c>
      <c r="DS2" s="96" t="s">
        <v>446</v>
      </c>
      <c r="DT2" s="96" t="s">
        <v>447</v>
      </c>
      <c r="DU2" s="96" t="s">
        <v>448</v>
      </c>
      <c r="DV2" s="89"/>
      <c r="DW2" s="96" t="s">
        <v>449</v>
      </c>
      <c r="DX2" s="173" t="s">
        <v>450</v>
      </c>
      <c r="DY2" s="96" t="s">
        <v>451</v>
      </c>
      <c r="DZ2" s="96" t="s">
        <v>452</v>
      </c>
      <c r="EA2" s="96" t="s">
        <v>453</v>
      </c>
      <c r="EB2" s="96" t="s">
        <v>454</v>
      </c>
      <c r="EC2" s="96" t="s">
        <v>455</v>
      </c>
      <c r="ED2" s="96" t="s">
        <v>456</v>
      </c>
      <c r="EE2" s="89"/>
      <c r="EF2" s="96" t="s">
        <v>457</v>
      </c>
      <c r="EG2" s="96" t="s">
        <v>458</v>
      </c>
      <c r="EH2" s="96" t="s">
        <v>459</v>
      </c>
      <c r="EI2" s="96" t="s">
        <v>460</v>
      </c>
      <c r="EJ2" s="96" t="s">
        <v>461</v>
      </c>
      <c r="EK2" s="89"/>
      <c r="EL2" s="89"/>
      <c r="EM2" s="97" t="s">
        <v>699</v>
      </c>
      <c r="EN2" s="96" t="s">
        <v>464</v>
      </c>
      <c r="EO2" s="96" t="s">
        <v>465</v>
      </c>
      <c r="EP2" s="89"/>
      <c r="EQ2" s="96" t="s">
        <v>466</v>
      </c>
      <c r="ER2" s="96" t="s">
        <v>467</v>
      </c>
      <c r="ES2" s="96" t="s">
        <v>468</v>
      </c>
      <c r="ET2" s="96" t="s">
        <v>469</v>
      </c>
      <c r="EU2" s="96" t="s">
        <v>470</v>
      </c>
      <c r="EV2" s="96" t="s">
        <v>471</v>
      </c>
      <c r="EW2" s="28"/>
      <c r="EX2" s="96" t="s">
        <v>472</v>
      </c>
      <c r="EY2" s="96" t="s">
        <v>473</v>
      </c>
      <c r="EZ2" s="96" t="s">
        <v>474</v>
      </c>
      <c r="FA2" s="96" t="s">
        <v>475</v>
      </c>
      <c r="FB2" s="96" t="s">
        <v>476</v>
      </c>
      <c r="FC2" s="96" t="s">
        <v>477</v>
      </c>
      <c r="FD2" s="96" t="s">
        <v>478</v>
      </c>
      <c r="FE2" s="96" t="s">
        <v>479</v>
      </c>
      <c r="FF2" s="96" t="s">
        <v>480</v>
      </c>
      <c r="FG2" s="89"/>
      <c r="FH2" s="96" t="s">
        <v>481</v>
      </c>
      <c r="FI2" s="89"/>
      <c r="FJ2" s="80" t="s">
        <v>482</v>
      </c>
      <c r="FK2" s="172" t="s">
        <v>483</v>
      </c>
      <c r="FL2" s="172" t="s">
        <v>484</v>
      </c>
      <c r="FM2" s="172" t="s">
        <v>485</v>
      </c>
      <c r="FN2" s="80" t="s">
        <v>700</v>
      </c>
      <c r="FO2" s="564" t="s">
        <v>701</v>
      </c>
      <c r="FP2" s="561"/>
      <c r="FQ2" s="561"/>
      <c r="FR2" s="561"/>
      <c r="FS2" s="561"/>
      <c r="FT2" s="561"/>
      <c r="FU2" s="561"/>
      <c r="FV2" s="89"/>
      <c r="FW2" s="96" t="s">
        <v>752</v>
      </c>
      <c r="FX2" s="89"/>
      <c r="FY2" s="96" t="s">
        <v>490</v>
      </c>
      <c r="FZ2" s="96" t="s">
        <v>491</v>
      </c>
      <c r="GA2" s="96" t="s">
        <v>492</v>
      </c>
      <c r="GB2" s="96" t="s">
        <v>493</v>
      </c>
      <c r="GC2" s="96" t="s">
        <v>494</v>
      </c>
      <c r="GD2" s="46" t="s">
        <v>745</v>
      </c>
      <c r="GE2" s="89"/>
      <c r="GF2" s="85" t="s">
        <v>703</v>
      </c>
      <c r="GG2" s="85"/>
      <c r="GH2" s="85"/>
      <c r="GI2" s="86" t="s">
        <v>753</v>
      </c>
      <c r="GJ2" s="46" t="s">
        <v>736</v>
      </c>
      <c r="GK2" s="46"/>
      <c r="GL2" s="46"/>
      <c r="GM2" s="46"/>
      <c r="GN2" s="46"/>
      <c r="GO2" s="46"/>
      <c r="GP2" s="46"/>
      <c r="GQ2" s="46"/>
      <c r="GR2" s="46"/>
      <c r="GS2" s="46"/>
      <c r="GT2" s="46"/>
    </row>
    <row r="3" spans="2:230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92" t="s">
        <v>159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V3" s="89"/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82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E3" s="89"/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K3" s="89"/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48" t="s">
        <v>517</v>
      </c>
      <c r="FJ3" s="48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P3" s="89"/>
      <c r="FQ3" s="89"/>
      <c r="FR3" s="89"/>
      <c r="FS3" s="89"/>
      <c r="FT3" s="89"/>
      <c r="FU3" s="89"/>
      <c r="FV3" s="30" t="s">
        <v>529</v>
      </c>
      <c r="FW3" s="30" t="s">
        <v>308</v>
      </c>
      <c r="FX3" s="48" t="s">
        <v>530</v>
      </c>
      <c r="FY3" s="30" t="s">
        <v>312</v>
      </c>
      <c r="FZ3" s="89"/>
      <c r="GA3" s="89"/>
      <c r="GB3" s="89"/>
      <c r="GC3" s="89"/>
      <c r="GD3" s="30" t="s">
        <v>531</v>
      </c>
      <c r="GE3" s="48" t="s">
        <v>530</v>
      </c>
      <c r="GF3" s="30" t="s">
        <v>532</v>
      </c>
      <c r="GG3" s="89"/>
      <c r="GH3" s="89"/>
      <c r="GI3" s="30" t="s">
        <v>706</v>
      </c>
      <c r="GJ3" s="89" t="s">
        <v>534</v>
      </c>
      <c r="GM3" s="89" t="s">
        <v>535</v>
      </c>
      <c r="GP3" s="89" t="s">
        <v>529</v>
      </c>
      <c r="GS3" s="89" t="s">
        <v>536</v>
      </c>
    </row>
    <row r="4" spans="2:230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 t="s">
        <v>554</v>
      </c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 t="s">
        <v>565</v>
      </c>
      <c r="BS4" s="31"/>
      <c r="BT4" s="30" t="s">
        <v>193</v>
      </c>
      <c r="BU4" s="30"/>
      <c r="BV4" s="89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570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82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 t="s">
        <v>589</v>
      </c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E4" s="89"/>
      <c r="EF4" s="89"/>
      <c r="EG4" s="89"/>
      <c r="EH4" s="89"/>
      <c r="EI4" s="89"/>
      <c r="EJ4" s="89"/>
      <c r="EK4" s="89"/>
      <c r="EL4" s="29"/>
      <c r="EM4" s="32" t="s">
        <v>754</v>
      </c>
      <c r="EN4" s="30"/>
      <c r="EO4" s="30"/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48" t="s">
        <v>596</v>
      </c>
      <c r="FJ4" s="48" t="s">
        <v>597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W4" s="89"/>
      <c r="FX4" s="48" t="s">
        <v>601</v>
      </c>
      <c r="FY4" s="89"/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48" t="s">
        <v>601</v>
      </c>
      <c r="GF4" s="30" t="s">
        <v>604</v>
      </c>
      <c r="GG4" s="30" t="s">
        <v>605</v>
      </c>
      <c r="GH4" s="30" t="s">
        <v>606</v>
      </c>
      <c r="GI4" s="30" t="s">
        <v>755</v>
      </c>
      <c r="GJ4" s="30" t="s">
        <v>608</v>
      </c>
      <c r="GK4" s="89" t="s">
        <v>609</v>
      </c>
      <c r="GL4" s="89" t="s">
        <v>610</v>
      </c>
      <c r="GM4" s="89" t="s">
        <v>608</v>
      </c>
      <c r="GN4" s="89" t="s">
        <v>609</v>
      </c>
      <c r="GO4" s="89" t="s">
        <v>610</v>
      </c>
      <c r="GP4" s="89" t="s">
        <v>596</v>
      </c>
      <c r="GQ4" s="89" t="s">
        <v>609</v>
      </c>
      <c r="GR4" s="89" t="s">
        <v>610</v>
      </c>
      <c r="GS4" s="89" t="s">
        <v>611</v>
      </c>
      <c r="GT4" s="89" t="s">
        <v>609</v>
      </c>
    </row>
    <row r="5" spans="2:230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620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47" t="s">
        <v>624</v>
      </c>
      <c r="BS5" s="30" t="s">
        <v>625</v>
      </c>
      <c r="BT5" s="30"/>
      <c r="BU5" s="30"/>
      <c r="BV5" s="89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82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635</v>
      </c>
      <c r="DX5" s="48"/>
      <c r="DY5" s="30"/>
      <c r="DZ5" s="30"/>
      <c r="EA5" s="79" t="s">
        <v>756</v>
      </c>
      <c r="EB5" s="30"/>
      <c r="EC5" s="30"/>
      <c r="ED5" s="30"/>
      <c r="EE5" s="89"/>
      <c r="EF5" s="89"/>
      <c r="EG5" s="89"/>
      <c r="EH5" s="89"/>
      <c r="EI5" s="89"/>
      <c r="EJ5" s="89"/>
      <c r="EK5" s="89"/>
      <c r="EL5" s="89"/>
      <c r="EM5" s="89" t="s">
        <v>637</v>
      </c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30" t="s">
        <v>595</v>
      </c>
      <c r="EZ5" s="30" t="s">
        <v>595</v>
      </c>
      <c r="FA5" s="89"/>
      <c r="FB5" s="89"/>
      <c r="FC5" s="89"/>
      <c r="FD5" s="89"/>
      <c r="FE5" s="89"/>
      <c r="FF5" s="89"/>
      <c r="FG5" s="89"/>
      <c r="FH5" s="89"/>
      <c r="FI5" s="51" t="s">
        <v>638</v>
      </c>
      <c r="FJ5" s="51"/>
      <c r="FK5" s="30" t="s">
        <v>639</v>
      </c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30" t="s">
        <v>600</v>
      </c>
      <c r="FW5" s="89"/>
      <c r="FX5" s="51" t="s">
        <v>638</v>
      </c>
      <c r="FY5" s="89"/>
      <c r="FZ5" s="89"/>
      <c r="GA5" s="89"/>
      <c r="GB5" s="89"/>
      <c r="GC5" s="105" t="s">
        <v>757</v>
      </c>
      <c r="GD5" s="89"/>
      <c r="GE5" s="51" t="s">
        <v>641</v>
      </c>
      <c r="GF5" s="70"/>
      <c r="GG5" s="89"/>
      <c r="GH5" s="89"/>
      <c r="GI5" s="89" t="s">
        <v>642</v>
      </c>
      <c r="GJ5" s="89"/>
      <c r="GK5" s="43" t="s">
        <v>643</v>
      </c>
      <c r="GL5" s="30" t="s">
        <v>644</v>
      </c>
      <c r="GM5" s="89"/>
      <c r="GN5" s="43" t="s">
        <v>643</v>
      </c>
      <c r="GO5" s="30" t="s">
        <v>644</v>
      </c>
      <c r="GP5" s="89"/>
      <c r="GQ5" s="43" t="s">
        <v>643</v>
      </c>
      <c r="GR5" s="30" t="s">
        <v>644</v>
      </c>
      <c r="GT5" s="43" t="s">
        <v>643</v>
      </c>
      <c r="GV5" s="89" t="s">
        <v>645</v>
      </c>
    </row>
    <row r="6" spans="2:230" s="89" customFormat="1" x14ac:dyDescent="0.15">
      <c r="B6" s="72" t="s">
        <v>1</v>
      </c>
      <c r="C6" s="102">
        <v>659473476</v>
      </c>
      <c r="D6" s="73">
        <f t="shared" ref="D6:D52" si="0">E6+F6</f>
        <v>146467211</v>
      </c>
      <c r="E6" s="102">
        <v>4225652</v>
      </c>
      <c r="F6" s="102">
        <v>142241559</v>
      </c>
      <c r="G6" s="73">
        <f t="shared" ref="G6:G52" si="1">H6+I6</f>
        <v>122354617</v>
      </c>
      <c r="H6" s="102">
        <v>18631356</v>
      </c>
      <c r="I6" s="102">
        <v>103723261</v>
      </c>
      <c r="J6" s="102">
        <v>275708991</v>
      </c>
      <c r="K6" s="102">
        <v>104613446</v>
      </c>
      <c r="L6" s="102">
        <v>134599940</v>
      </c>
      <c r="M6" s="102">
        <v>35787684</v>
      </c>
      <c r="N6" s="102">
        <v>30054583</v>
      </c>
      <c r="O6" s="102">
        <v>55978453</v>
      </c>
      <c r="P6" s="102">
        <v>26363387</v>
      </c>
      <c r="Q6" s="102">
        <v>29615066</v>
      </c>
      <c r="R6" s="102">
        <v>6170535</v>
      </c>
      <c r="S6" s="74"/>
      <c r="T6" s="73">
        <f t="shared" ref="T6:T52" si="2">SUM(U6:AA6)</f>
        <v>65607188</v>
      </c>
      <c r="U6" s="102">
        <v>517707</v>
      </c>
      <c r="V6" s="102">
        <v>1887733</v>
      </c>
      <c r="W6" s="102">
        <v>1117435</v>
      </c>
      <c r="X6" s="102">
        <v>59598239</v>
      </c>
      <c r="Y6" s="102">
        <v>0</v>
      </c>
      <c r="Z6" s="102">
        <v>0</v>
      </c>
      <c r="AA6" s="102">
        <v>2486074</v>
      </c>
      <c r="AB6" s="102">
        <v>1617126</v>
      </c>
      <c r="AC6" s="102">
        <v>32904729</v>
      </c>
      <c r="AD6" s="102">
        <v>32108968</v>
      </c>
      <c r="AE6" s="102">
        <v>795644</v>
      </c>
      <c r="AF6" s="102">
        <v>849979</v>
      </c>
      <c r="AG6" s="102">
        <v>7794305</v>
      </c>
      <c r="AH6" s="73">
        <f t="shared" ref="AH6:AH52" si="3">AI6+AJ6</f>
        <v>67108713</v>
      </c>
      <c r="AI6" s="102">
        <v>59389610</v>
      </c>
      <c r="AJ6" s="102">
        <v>7719103</v>
      </c>
      <c r="AK6" s="102">
        <v>366554024</v>
      </c>
      <c r="AL6" s="73">
        <f t="shared" ref="AL6:AL52" si="4">SUM(AM6:AP6)</f>
        <v>282884844</v>
      </c>
      <c r="AM6" s="102">
        <v>214771401</v>
      </c>
      <c r="AN6" s="102">
        <v>30575621</v>
      </c>
      <c r="AO6" s="74"/>
      <c r="AP6" s="102">
        <v>37537822</v>
      </c>
      <c r="AQ6" s="102">
        <v>17938373</v>
      </c>
      <c r="AR6" s="102">
        <v>0</v>
      </c>
      <c r="AS6" s="102">
        <v>0</v>
      </c>
      <c r="AT6" s="102">
        <v>67460829</v>
      </c>
      <c r="AU6" s="102">
        <v>39682269</v>
      </c>
      <c r="AV6" s="102">
        <v>0</v>
      </c>
      <c r="AW6" s="102">
        <v>2053571</v>
      </c>
      <c r="AX6" s="102">
        <v>27778560</v>
      </c>
      <c r="AY6" s="102">
        <v>245711</v>
      </c>
      <c r="AZ6" s="102">
        <v>32578063</v>
      </c>
      <c r="BA6" s="102">
        <v>20781938</v>
      </c>
      <c r="BB6" s="102">
        <v>757477</v>
      </c>
      <c r="BC6" s="102">
        <v>15511527</v>
      </c>
      <c r="BD6" s="102">
        <v>6550990</v>
      </c>
      <c r="BE6" s="102">
        <v>0</v>
      </c>
      <c r="BF6" s="102">
        <v>1935410</v>
      </c>
      <c r="BG6" s="102">
        <v>0</v>
      </c>
      <c r="BH6" s="102">
        <v>1910285</v>
      </c>
      <c r="BI6" s="102">
        <v>400709</v>
      </c>
      <c r="BJ6" s="102">
        <v>145104407</v>
      </c>
      <c r="BK6" s="102">
        <v>85854778</v>
      </c>
      <c r="BL6" s="102">
        <v>392285</v>
      </c>
      <c r="BM6" s="102">
        <v>10964516</v>
      </c>
      <c r="BN6" s="102">
        <v>91431500</v>
      </c>
      <c r="BO6" s="73">
        <f t="shared" ref="BO6:BO52" si="5">BN6-BP6-BT6</f>
        <v>35972500</v>
      </c>
      <c r="BP6" s="73">
        <f t="shared" ref="BP6:BP52" si="6">BQ6+BR6+BS6</f>
        <v>55459000</v>
      </c>
      <c r="BQ6" s="102">
        <v>0</v>
      </c>
      <c r="BR6" s="76">
        <v>0</v>
      </c>
      <c r="BS6" s="102">
        <v>55459000</v>
      </c>
      <c r="BT6" s="102">
        <v>0</v>
      </c>
      <c r="BU6" s="102">
        <v>1574838314</v>
      </c>
      <c r="BV6" s="71"/>
      <c r="BW6" s="102">
        <v>196518855</v>
      </c>
      <c r="BX6" s="102">
        <v>142148182</v>
      </c>
      <c r="BY6" s="102">
        <v>14417271</v>
      </c>
      <c r="BZ6" s="102">
        <v>8233407</v>
      </c>
      <c r="CA6" s="102">
        <v>541684802</v>
      </c>
      <c r="CB6" s="102">
        <v>95367759</v>
      </c>
      <c r="CC6" s="102">
        <v>7513359</v>
      </c>
      <c r="CD6" s="102">
        <v>135496456</v>
      </c>
      <c r="CE6" s="102">
        <v>286955199</v>
      </c>
      <c r="CF6" s="102">
        <v>9728522</v>
      </c>
      <c r="CG6" s="102">
        <v>6623507</v>
      </c>
      <c r="CH6" s="102">
        <v>265961045</v>
      </c>
      <c r="CI6" s="102">
        <v>232735476</v>
      </c>
      <c r="CJ6" s="83">
        <v>33225569</v>
      </c>
      <c r="CK6" s="102">
        <v>112243541</v>
      </c>
      <c r="CL6" s="102">
        <v>70541984</v>
      </c>
      <c r="CM6" s="102">
        <v>2003139</v>
      </c>
      <c r="CN6" s="102">
        <v>24175234</v>
      </c>
      <c r="CO6" s="102">
        <v>15352926</v>
      </c>
      <c r="CP6" s="102">
        <v>116224222</v>
      </c>
      <c r="CQ6" s="102">
        <v>7353805</v>
      </c>
      <c r="CR6" s="102">
        <v>47317653</v>
      </c>
      <c r="CS6" s="102">
        <v>37519833</v>
      </c>
      <c r="CT6" s="73">
        <f t="shared" ref="CT6:CT52" si="7">CU6+CV6</f>
        <v>38148047</v>
      </c>
      <c r="CU6" s="102">
        <v>298882</v>
      </c>
      <c r="CV6" s="102">
        <v>37849165</v>
      </c>
      <c r="CW6" s="73">
        <f t="shared" ref="CW6:CW52" si="8">CX6+CY6</f>
        <v>0</v>
      </c>
      <c r="CX6" s="102">
        <v>0</v>
      </c>
      <c r="CY6" s="102">
        <v>0</v>
      </c>
      <c r="CZ6" s="73">
        <f t="shared" ref="CZ6:CZ52" si="9">DA6+DB6</f>
        <v>32492664</v>
      </c>
      <c r="DA6" s="102">
        <v>0</v>
      </c>
      <c r="DB6" s="102">
        <v>32492664</v>
      </c>
      <c r="DC6" s="102">
        <v>100112007</v>
      </c>
      <c r="DD6" s="102">
        <v>55394346</v>
      </c>
      <c r="DE6" s="102">
        <v>41136058</v>
      </c>
      <c r="DF6" s="102">
        <v>0</v>
      </c>
      <c r="DG6" s="102">
        <v>49902</v>
      </c>
      <c r="DH6" s="102">
        <v>0</v>
      </c>
      <c r="DI6" s="102">
        <v>6520477</v>
      </c>
      <c r="DJ6" s="102">
        <v>5248457</v>
      </c>
      <c r="DK6" s="102">
        <v>0</v>
      </c>
      <c r="DL6" s="102">
        <v>1272020</v>
      </c>
      <c r="DM6" s="102">
        <v>3411030</v>
      </c>
      <c r="DN6" s="102">
        <v>2280230</v>
      </c>
      <c r="DO6" s="102">
        <v>0</v>
      </c>
      <c r="DP6" s="102">
        <v>0</v>
      </c>
      <c r="DQ6" s="102">
        <v>87506479</v>
      </c>
      <c r="DR6" s="102">
        <v>0</v>
      </c>
      <c r="DS6" s="102">
        <v>0</v>
      </c>
      <c r="DT6" s="102">
        <v>127312346</v>
      </c>
      <c r="DU6" s="102">
        <v>0</v>
      </c>
      <c r="DV6" s="73">
        <f t="shared" ref="DV6:DV52" si="10">DW6</f>
        <v>11622107</v>
      </c>
      <c r="DW6" s="102">
        <v>11622107</v>
      </c>
      <c r="DX6" s="102">
        <v>33930431</v>
      </c>
      <c r="DY6" s="102">
        <v>0</v>
      </c>
      <c r="DZ6" s="102">
        <v>43226754</v>
      </c>
      <c r="EA6" s="74">
        <v>0</v>
      </c>
      <c r="EB6" s="102">
        <v>36077061</v>
      </c>
      <c r="EC6" s="102">
        <v>0</v>
      </c>
      <c r="ED6" s="102">
        <v>1572847730</v>
      </c>
      <c r="EE6" s="71"/>
      <c r="EF6" s="102">
        <v>1990584</v>
      </c>
      <c r="EG6" s="102">
        <v>1590134</v>
      </c>
      <c r="EH6" s="102">
        <v>400450</v>
      </c>
      <c r="EI6" s="102">
        <v>-259</v>
      </c>
      <c r="EJ6" s="102">
        <v>-1302792</v>
      </c>
      <c r="EK6" s="71"/>
      <c r="EL6" s="102">
        <v>2691185</v>
      </c>
      <c r="EM6" s="102">
        <v>2691425</v>
      </c>
      <c r="EN6" s="102">
        <v>6550990</v>
      </c>
      <c r="EO6" s="102">
        <v>20226922</v>
      </c>
      <c r="EP6" s="73">
        <f t="shared" ref="EP6:EP52" si="11">EQ6-ER6-C6-R6-T6-AB6-AC6-BP6-EN6-EO6</f>
        <v>46148815</v>
      </c>
      <c r="EQ6" s="102">
        <v>778627184</v>
      </c>
      <c r="ER6" s="71">
        <v>-115531597</v>
      </c>
      <c r="ES6" s="102">
        <v>171669227</v>
      </c>
      <c r="ET6" s="102">
        <v>124735380</v>
      </c>
      <c r="EU6" s="102">
        <v>158018548</v>
      </c>
      <c r="EV6" s="102">
        <v>233847082</v>
      </c>
      <c r="EW6" s="73">
        <f t="shared" ref="EW6:EW52" si="12">EX6+FA6+FB6</f>
        <v>38228746</v>
      </c>
      <c r="EX6" s="102">
        <v>38228746</v>
      </c>
      <c r="EY6" s="102">
        <v>9558406</v>
      </c>
      <c r="EZ6" s="102">
        <v>28327639</v>
      </c>
      <c r="FA6" s="102">
        <v>0</v>
      </c>
      <c r="FB6" s="102">
        <v>0</v>
      </c>
      <c r="FC6" s="102">
        <v>71566564</v>
      </c>
      <c r="FD6" s="102">
        <v>98173626</v>
      </c>
      <c r="FE6" s="102">
        <v>4388491</v>
      </c>
      <c r="FF6" s="102">
        <v>103199104</v>
      </c>
      <c r="FG6" s="73">
        <f t="shared" ref="FG6:FG52" si="13">FH6-ES6-EU6-EV6-EW6-FC6-FD6-FF6</f>
        <v>17465300</v>
      </c>
      <c r="FH6" s="102">
        <v>892168197</v>
      </c>
      <c r="FI6" s="379">
        <f t="shared" ref="FI6:FI52" si="14">ROUND(EH6/(FJ6+FK6)*100,1)</f>
        <v>0.1</v>
      </c>
      <c r="FJ6" s="102">
        <v>708239716</v>
      </c>
      <c r="FK6" s="102">
        <v>55459637</v>
      </c>
      <c r="FL6" s="102">
        <v>518491307</v>
      </c>
      <c r="FM6" s="102">
        <v>553355469</v>
      </c>
      <c r="FN6" s="151">
        <v>0.93200000000000005</v>
      </c>
      <c r="FO6" s="424">
        <v>100.2</v>
      </c>
      <c r="FP6" s="151">
        <v>21.7</v>
      </c>
      <c r="FQ6" s="424">
        <v>20</v>
      </c>
      <c r="FR6" s="424">
        <v>29.6</v>
      </c>
      <c r="FS6" s="151">
        <v>8.6</v>
      </c>
      <c r="FT6" s="424">
        <v>9.5</v>
      </c>
      <c r="FU6" s="426">
        <v>9.4</v>
      </c>
      <c r="FV6" s="384">
        <v>7.9</v>
      </c>
      <c r="FW6" s="102">
        <v>2185863819</v>
      </c>
      <c r="FX6" s="384">
        <f t="shared" ref="FX6:FX52" si="15">ROUND(FW6/(FJ6+FK6)*100,1)</f>
        <v>286.2</v>
      </c>
      <c r="FY6" s="102">
        <v>203032246</v>
      </c>
      <c r="FZ6" s="102">
        <v>166642862</v>
      </c>
      <c r="GA6" s="102">
        <v>0</v>
      </c>
      <c r="GB6" s="102">
        <v>36389384</v>
      </c>
      <c r="GC6" s="104">
        <v>0</v>
      </c>
      <c r="GD6" s="427"/>
      <c r="GE6" s="386"/>
      <c r="GF6" s="424">
        <v>99.4</v>
      </c>
      <c r="GG6" s="424">
        <v>26.8</v>
      </c>
      <c r="GH6" s="424">
        <v>97.9</v>
      </c>
      <c r="GI6" s="102">
        <v>31605</v>
      </c>
      <c r="GJ6" s="123" t="s">
        <v>646</v>
      </c>
      <c r="GK6" s="151">
        <v>11.25</v>
      </c>
      <c r="GL6" s="87">
        <v>20</v>
      </c>
      <c r="GM6" s="123" t="s">
        <v>646</v>
      </c>
      <c r="GN6" s="151">
        <v>16.25</v>
      </c>
      <c r="GO6" s="430">
        <v>30</v>
      </c>
      <c r="GP6" s="424">
        <v>7.9</v>
      </c>
      <c r="GQ6" s="425">
        <v>25</v>
      </c>
      <c r="GR6" s="425">
        <v>35</v>
      </c>
      <c r="GS6" s="151">
        <v>95.2</v>
      </c>
      <c r="GT6" s="424">
        <v>400</v>
      </c>
      <c r="GV6" s="100">
        <f t="shared" ref="GV6:GV52" si="16">ROUND((FJ6+FK6)/1000,0)</f>
        <v>763699</v>
      </c>
    </row>
    <row r="7" spans="2:230" s="89" customFormat="1" x14ac:dyDescent="0.15">
      <c r="B7" s="72" t="s">
        <v>3</v>
      </c>
      <c r="C7" s="102">
        <v>132380979</v>
      </c>
      <c r="D7" s="73">
        <f t="shared" si="0"/>
        <v>44213318</v>
      </c>
      <c r="E7" s="102">
        <v>1285809</v>
      </c>
      <c r="F7" s="102">
        <v>42927509</v>
      </c>
      <c r="G7" s="73">
        <f t="shared" si="1"/>
        <v>9935944</v>
      </c>
      <c r="H7" s="102">
        <v>2282389</v>
      </c>
      <c r="I7" s="102">
        <v>7653555</v>
      </c>
      <c r="J7" s="102">
        <v>56131135</v>
      </c>
      <c r="K7" s="102">
        <v>22566970</v>
      </c>
      <c r="L7" s="102">
        <v>22081959</v>
      </c>
      <c r="M7" s="102">
        <v>10569829</v>
      </c>
      <c r="N7" s="102">
        <v>6042947</v>
      </c>
      <c r="O7" s="102">
        <v>10325342</v>
      </c>
      <c r="P7" s="102">
        <v>5784722</v>
      </c>
      <c r="Q7" s="102">
        <v>4540620</v>
      </c>
      <c r="R7" s="102">
        <v>2129653</v>
      </c>
      <c r="S7" s="74"/>
      <c r="T7" s="73">
        <f t="shared" si="2"/>
        <v>16604108</v>
      </c>
      <c r="U7" s="102">
        <v>161683</v>
      </c>
      <c r="V7" s="102">
        <v>589442</v>
      </c>
      <c r="W7" s="102">
        <v>347668</v>
      </c>
      <c r="X7" s="102">
        <v>14583136</v>
      </c>
      <c r="Y7" s="102">
        <v>138074</v>
      </c>
      <c r="Z7" s="102">
        <v>0</v>
      </c>
      <c r="AA7" s="102">
        <v>784105</v>
      </c>
      <c r="AB7" s="102">
        <v>592622</v>
      </c>
      <c r="AC7" s="102">
        <v>19791532</v>
      </c>
      <c r="AD7" s="102">
        <v>18777071</v>
      </c>
      <c r="AE7" s="102">
        <v>1014461</v>
      </c>
      <c r="AF7" s="102">
        <v>305739</v>
      </c>
      <c r="AG7" s="102">
        <v>3243396</v>
      </c>
      <c r="AH7" s="73">
        <f t="shared" si="3"/>
        <v>5957527</v>
      </c>
      <c r="AI7" s="102">
        <v>3876704</v>
      </c>
      <c r="AJ7" s="102">
        <v>2080823</v>
      </c>
      <c r="AK7" s="102">
        <v>86122800</v>
      </c>
      <c r="AL7" s="73">
        <f t="shared" si="4"/>
        <v>53616001</v>
      </c>
      <c r="AM7" s="102">
        <v>35119562</v>
      </c>
      <c r="AN7" s="102">
        <v>8290642</v>
      </c>
      <c r="AO7" s="74"/>
      <c r="AP7" s="102">
        <v>10205797</v>
      </c>
      <c r="AQ7" s="102">
        <v>734447</v>
      </c>
      <c r="AR7" s="102">
        <v>0</v>
      </c>
      <c r="AS7" s="102">
        <v>9698</v>
      </c>
      <c r="AT7" s="102">
        <v>20745766</v>
      </c>
      <c r="AU7" s="102">
        <v>11696819</v>
      </c>
      <c r="AV7" s="102">
        <v>3211517</v>
      </c>
      <c r="AW7" s="102">
        <v>607638</v>
      </c>
      <c r="AX7" s="102">
        <v>9048947</v>
      </c>
      <c r="AY7" s="102">
        <v>45765</v>
      </c>
      <c r="AZ7" s="102">
        <v>1557421</v>
      </c>
      <c r="BA7" s="102">
        <v>970234</v>
      </c>
      <c r="BB7" s="102">
        <v>329574</v>
      </c>
      <c r="BC7" s="102">
        <v>4598018</v>
      </c>
      <c r="BD7" s="102">
        <v>0</v>
      </c>
      <c r="BE7" s="102">
        <v>140</v>
      </c>
      <c r="BF7" s="102">
        <v>4597839</v>
      </c>
      <c r="BG7" s="102">
        <v>0</v>
      </c>
      <c r="BH7" s="102">
        <v>3243357</v>
      </c>
      <c r="BI7" s="102">
        <v>2111587</v>
      </c>
      <c r="BJ7" s="102">
        <v>7960374</v>
      </c>
      <c r="BK7" s="102">
        <v>2112866</v>
      </c>
      <c r="BL7" s="102">
        <v>27778</v>
      </c>
      <c r="BM7" s="102">
        <v>1876242</v>
      </c>
      <c r="BN7" s="102">
        <v>41680400</v>
      </c>
      <c r="BO7" s="73">
        <f t="shared" si="5"/>
        <v>22315900</v>
      </c>
      <c r="BP7" s="73">
        <f t="shared" si="6"/>
        <v>19364500</v>
      </c>
      <c r="BQ7" s="102">
        <v>0</v>
      </c>
      <c r="BR7" s="76">
        <v>0</v>
      </c>
      <c r="BS7" s="102">
        <v>19364500</v>
      </c>
      <c r="BT7" s="102">
        <v>0</v>
      </c>
      <c r="BU7" s="102">
        <v>353275953</v>
      </c>
      <c r="BV7" s="71"/>
      <c r="BW7" s="102">
        <v>47971769</v>
      </c>
      <c r="BX7" s="102">
        <v>33641641</v>
      </c>
      <c r="BY7" s="102">
        <v>3559996</v>
      </c>
      <c r="BZ7" s="102">
        <v>2512978</v>
      </c>
      <c r="CA7" s="102">
        <v>120351273</v>
      </c>
      <c r="CB7" s="102">
        <v>26670900</v>
      </c>
      <c r="CC7" s="102">
        <v>2126965</v>
      </c>
      <c r="CD7" s="102">
        <v>41802809</v>
      </c>
      <c r="CE7" s="102">
        <v>46748058</v>
      </c>
      <c r="CF7" s="102">
        <v>2331538</v>
      </c>
      <c r="CG7" s="102">
        <v>670949</v>
      </c>
      <c r="CH7" s="102">
        <v>33838113</v>
      </c>
      <c r="CI7" s="102">
        <v>29022440</v>
      </c>
      <c r="CJ7" s="83">
        <v>4815673</v>
      </c>
      <c r="CK7" s="102">
        <v>43156838</v>
      </c>
      <c r="CL7" s="102">
        <v>29003554</v>
      </c>
      <c r="CM7" s="102">
        <v>2095405</v>
      </c>
      <c r="CN7" s="102">
        <v>6588231</v>
      </c>
      <c r="CO7" s="102">
        <v>1827751</v>
      </c>
      <c r="CP7" s="102">
        <v>25109231</v>
      </c>
      <c r="CQ7" s="102">
        <v>32824</v>
      </c>
      <c r="CR7" s="102">
        <v>7809312</v>
      </c>
      <c r="CS7" s="102">
        <v>3538268</v>
      </c>
      <c r="CT7" s="73">
        <f t="shared" si="7"/>
        <v>8922163</v>
      </c>
      <c r="CU7" s="102">
        <v>6961126</v>
      </c>
      <c r="CV7" s="102">
        <v>1961037</v>
      </c>
      <c r="CW7" s="73">
        <f t="shared" si="8"/>
        <v>0</v>
      </c>
      <c r="CX7" s="102">
        <v>0</v>
      </c>
      <c r="CY7" s="102">
        <v>0</v>
      </c>
      <c r="CZ7" s="73">
        <f t="shared" si="9"/>
        <v>8791302</v>
      </c>
      <c r="DA7" s="102">
        <v>6848108</v>
      </c>
      <c r="DB7" s="102">
        <v>1943194</v>
      </c>
      <c r="DC7" s="102">
        <v>41856317</v>
      </c>
      <c r="DD7" s="102">
        <v>23211130</v>
      </c>
      <c r="DE7" s="102">
        <v>18618940</v>
      </c>
      <c r="DF7" s="102">
        <v>0</v>
      </c>
      <c r="DG7" s="102">
        <v>26247</v>
      </c>
      <c r="DH7" s="102">
        <v>0</v>
      </c>
      <c r="DI7" s="102">
        <v>3224281</v>
      </c>
      <c r="DJ7" s="102">
        <v>3500</v>
      </c>
      <c r="DK7" s="102">
        <v>1115682</v>
      </c>
      <c r="DL7" s="102">
        <v>2105099</v>
      </c>
      <c r="DM7" s="102">
        <v>646000</v>
      </c>
      <c r="DN7" s="102">
        <v>0</v>
      </c>
      <c r="DO7" s="102">
        <v>0</v>
      </c>
      <c r="DP7" s="102">
        <v>0</v>
      </c>
      <c r="DQ7" s="102">
        <v>2057305</v>
      </c>
      <c r="DR7" s="102">
        <v>0</v>
      </c>
      <c r="DS7" s="102">
        <v>0</v>
      </c>
      <c r="DT7" s="102">
        <v>29850254</v>
      </c>
      <c r="DU7" s="102">
        <v>0</v>
      </c>
      <c r="DV7" s="73">
        <f t="shared" si="10"/>
        <v>0</v>
      </c>
      <c r="DW7" s="102">
        <v>0</v>
      </c>
      <c r="DX7" s="102">
        <v>10390662</v>
      </c>
      <c r="DY7" s="102">
        <v>5489</v>
      </c>
      <c r="DZ7" s="102">
        <v>9282416</v>
      </c>
      <c r="EA7" s="74">
        <v>0</v>
      </c>
      <c r="EB7" s="102">
        <v>10141017</v>
      </c>
      <c r="EC7" s="102">
        <v>0</v>
      </c>
      <c r="ED7" s="102">
        <v>349889132</v>
      </c>
      <c r="EE7" s="71"/>
      <c r="EF7" s="102">
        <v>3386821</v>
      </c>
      <c r="EG7" s="102">
        <v>993313</v>
      </c>
      <c r="EH7" s="102">
        <v>2393508</v>
      </c>
      <c r="EI7" s="102">
        <v>281921</v>
      </c>
      <c r="EJ7" s="102">
        <v>287160</v>
      </c>
      <c r="EK7" s="71"/>
      <c r="EL7" s="102">
        <v>839310</v>
      </c>
      <c r="EM7" s="102">
        <v>844030</v>
      </c>
      <c r="EN7" s="102">
        <v>806679</v>
      </c>
      <c r="EO7" s="102">
        <v>625514</v>
      </c>
      <c r="EP7" s="73">
        <f t="shared" si="11"/>
        <v>14497980</v>
      </c>
      <c r="EQ7" s="102">
        <v>177837320</v>
      </c>
      <c r="ER7" s="71">
        <v>-28956247</v>
      </c>
      <c r="ES7" s="102">
        <v>44011176</v>
      </c>
      <c r="ET7" s="102">
        <v>30127731</v>
      </c>
      <c r="EU7" s="102">
        <v>35287465</v>
      </c>
      <c r="EV7" s="102">
        <v>33334516</v>
      </c>
      <c r="EW7" s="73">
        <f t="shared" si="12"/>
        <v>5466140</v>
      </c>
      <c r="EX7" s="102">
        <v>5466140</v>
      </c>
      <c r="EY7" s="102">
        <v>991373</v>
      </c>
      <c r="EZ7" s="102">
        <v>4473816</v>
      </c>
      <c r="FA7" s="102">
        <v>0</v>
      </c>
      <c r="FB7" s="102">
        <v>0</v>
      </c>
      <c r="FC7" s="102">
        <v>35365683</v>
      </c>
      <c r="FD7" s="102">
        <v>22240673</v>
      </c>
      <c r="FE7" s="102">
        <v>32824</v>
      </c>
      <c r="FF7" s="102">
        <v>23777633</v>
      </c>
      <c r="FG7" s="73">
        <f t="shared" si="13"/>
        <v>3987615</v>
      </c>
      <c r="FH7" s="102">
        <v>203470901</v>
      </c>
      <c r="FI7" s="379">
        <f t="shared" si="14"/>
        <v>1.3</v>
      </c>
      <c r="FJ7" s="102">
        <v>168546201</v>
      </c>
      <c r="FK7" s="102">
        <v>19364574</v>
      </c>
      <c r="FL7" s="102">
        <v>116013388</v>
      </c>
      <c r="FM7" s="102">
        <v>134860636</v>
      </c>
      <c r="FN7" s="151">
        <v>0.85</v>
      </c>
      <c r="FO7" s="424">
        <v>97.4</v>
      </c>
      <c r="FP7" s="426">
        <v>23.1</v>
      </c>
      <c r="FQ7" s="424">
        <v>18.8</v>
      </c>
      <c r="FR7" s="424">
        <v>17.7</v>
      </c>
      <c r="FS7" s="151">
        <v>16.7</v>
      </c>
      <c r="FT7" s="424">
        <v>8.1999999999999993</v>
      </c>
      <c r="FU7" s="426">
        <v>12.3</v>
      </c>
      <c r="FV7" s="384">
        <v>5.7</v>
      </c>
      <c r="FW7" s="102">
        <v>407737136</v>
      </c>
      <c r="FX7" s="384">
        <f t="shared" si="15"/>
        <v>217</v>
      </c>
      <c r="FY7" s="102">
        <v>45133681</v>
      </c>
      <c r="FZ7" s="102">
        <v>1816500</v>
      </c>
      <c r="GA7" s="102">
        <v>6075782</v>
      </c>
      <c r="GB7" s="102">
        <v>37241399</v>
      </c>
      <c r="GC7" s="104">
        <v>0</v>
      </c>
      <c r="GD7" s="427"/>
      <c r="GE7" s="386"/>
      <c r="GF7" s="424">
        <v>99.2</v>
      </c>
      <c r="GG7" s="424">
        <v>41.7</v>
      </c>
      <c r="GH7" s="424">
        <v>97.8</v>
      </c>
      <c r="GI7" s="102">
        <v>5495</v>
      </c>
      <c r="GJ7" s="123" t="s">
        <v>646</v>
      </c>
      <c r="GK7" s="151">
        <v>11.25</v>
      </c>
      <c r="GL7" s="87">
        <v>20</v>
      </c>
      <c r="GM7" s="123" t="s">
        <v>646</v>
      </c>
      <c r="GN7" s="151">
        <v>16.25</v>
      </c>
      <c r="GO7" s="430">
        <v>30</v>
      </c>
      <c r="GP7" s="424">
        <v>5.7</v>
      </c>
      <c r="GQ7" s="425">
        <v>25</v>
      </c>
      <c r="GR7" s="425">
        <v>35</v>
      </c>
      <c r="GS7" s="151">
        <v>17.5</v>
      </c>
      <c r="GT7" s="424">
        <v>400</v>
      </c>
      <c r="GV7" s="100">
        <f t="shared" si="16"/>
        <v>187911</v>
      </c>
    </row>
    <row r="8" spans="2:230" x14ac:dyDescent="0.15">
      <c r="B8" s="89" t="s">
        <v>5</v>
      </c>
      <c r="C8" s="102">
        <v>24434481</v>
      </c>
      <c r="D8" s="73">
        <f t="shared" si="0"/>
        <v>8987878</v>
      </c>
      <c r="E8" s="102">
        <v>295156</v>
      </c>
      <c r="F8" s="102">
        <v>8692722</v>
      </c>
      <c r="G8" s="73">
        <f t="shared" si="1"/>
        <v>1531677</v>
      </c>
      <c r="H8" s="102">
        <v>436916</v>
      </c>
      <c r="I8" s="102">
        <v>1094761</v>
      </c>
      <c r="J8" s="102">
        <v>10061466</v>
      </c>
      <c r="K8" s="102">
        <v>4103403</v>
      </c>
      <c r="L8" s="102">
        <v>4213247</v>
      </c>
      <c r="M8" s="102">
        <v>1468461</v>
      </c>
      <c r="N8" s="102">
        <v>1514443</v>
      </c>
      <c r="O8" s="102">
        <v>1958014</v>
      </c>
      <c r="P8" s="102">
        <v>1096487</v>
      </c>
      <c r="Q8" s="102">
        <v>861527</v>
      </c>
      <c r="R8" s="102">
        <v>339992</v>
      </c>
      <c r="S8" s="74"/>
      <c r="T8" s="73">
        <f t="shared" si="2"/>
        <v>3738681</v>
      </c>
      <c r="U8" s="102">
        <v>32809</v>
      </c>
      <c r="V8" s="102">
        <v>119612</v>
      </c>
      <c r="W8" s="102">
        <v>70532</v>
      </c>
      <c r="X8" s="102">
        <v>3336593</v>
      </c>
      <c r="Y8" s="102">
        <v>45166</v>
      </c>
      <c r="Z8" s="102">
        <v>0</v>
      </c>
      <c r="AA8" s="102">
        <v>133969</v>
      </c>
      <c r="AB8" s="102">
        <v>128218</v>
      </c>
      <c r="AC8" s="102">
        <v>13168724</v>
      </c>
      <c r="AD8" s="102">
        <v>12890438</v>
      </c>
      <c r="AE8" s="102">
        <v>278286</v>
      </c>
      <c r="AF8" s="102">
        <v>37123</v>
      </c>
      <c r="AG8" s="102">
        <v>542361</v>
      </c>
      <c r="AH8" s="73">
        <f t="shared" si="3"/>
        <v>1370240</v>
      </c>
      <c r="AI8" s="102">
        <v>1026530</v>
      </c>
      <c r="AJ8" s="102">
        <v>343710</v>
      </c>
      <c r="AK8" s="102">
        <v>16792740</v>
      </c>
      <c r="AL8" s="73">
        <f t="shared" si="4"/>
        <v>10987674</v>
      </c>
      <c r="AM8" s="102">
        <v>7928170</v>
      </c>
      <c r="AN8" s="102">
        <v>1348463</v>
      </c>
      <c r="AO8" s="74"/>
      <c r="AP8" s="102">
        <v>1711041</v>
      </c>
      <c r="AQ8" s="102">
        <v>249949</v>
      </c>
      <c r="AR8" s="102">
        <v>0</v>
      </c>
      <c r="AS8" s="102">
        <v>0</v>
      </c>
      <c r="AT8" s="102">
        <v>4983596</v>
      </c>
      <c r="AU8" s="102">
        <v>2802921</v>
      </c>
      <c r="AV8" s="102">
        <v>675761</v>
      </c>
      <c r="AW8" s="102">
        <v>43321</v>
      </c>
      <c r="AX8" s="102">
        <v>2180675</v>
      </c>
      <c r="AY8" s="102">
        <v>31720</v>
      </c>
      <c r="AZ8" s="102">
        <v>282145</v>
      </c>
      <c r="BA8" s="102">
        <v>100973</v>
      </c>
      <c r="BB8" s="102">
        <v>245322</v>
      </c>
      <c r="BC8" s="102">
        <v>2469593</v>
      </c>
      <c r="BD8" s="102">
        <v>250000</v>
      </c>
      <c r="BE8" s="102">
        <v>700000</v>
      </c>
      <c r="BF8" s="102">
        <v>580633</v>
      </c>
      <c r="BG8" s="102">
        <v>777896</v>
      </c>
      <c r="BH8" s="102">
        <v>229595</v>
      </c>
      <c r="BI8" s="102">
        <v>164474</v>
      </c>
      <c r="BJ8" s="102">
        <v>1115443</v>
      </c>
      <c r="BK8" s="102">
        <v>0</v>
      </c>
      <c r="BL8" s="102">
        <v>0</v>
      </c>
      <c r="BM8" s="102">
        <v>251000</v>
      </c>
      <c r="BN8" s="102">
        <v>4867700</v>
      </c>
      <c r="BO8" s="73">
        <f t="shared" si="5"/>
        <v>1953000</v>
      </c>
      <c r="BP8" s="73">
        <f t="shared" si="6"/>
        <v>2914700</v>
      </c>
      <c r="BQ8" s="102">
        <v>0</v>
      </c>
      <c r="BR8" s="102">
        <v>0</v>
      </c>
      <c r="BS8" s="102">
        <v>2914700</v>
      </c>
      <c r="BT8" s="102">
        <v>0</v>
      </c>
      <c r="BU8" s="102">
        <v>74745954</v>
      </c>
      <c r="BV8" s="71"/>
      <c r="BW8" s="102">
        <v>11684111</v>
      </c>
      <c r="BX8" s="102">
        <v>8039339</v>
      </c>
      <c r="BY8" s="102">
        <v>817019</v>
      </c>
      <c r="BZ8" s="102">
        <v>678817</v>
      </c>
      <c r="CA8" s="102">
        <v>25810422</v>
      </c>
      <c r="CB8" s="102">
        <v>4933753</v>
      </c>
      <c r="CC8" s="102">
        <v>392292</v>
      </c>
      <c r="CD8" s="102">
        <v>9202402</v>
      </c>
      <c r="CE8" s="102">
        <v>10517605</v>
      </c>
      <c r="CF8" s="102">
        <v>4903</v>
      </c>
      <c r="CG8" s="102">
        <v>756417</v>
      </c>
      <c r="CH8" s="102">
        <v>8634663</v>
      </c>
      <c r="CI8" s="102">
        <v>7745107</v>
      </c>
      <c r="CJ8" s="83">
        <f t="shared" ref="CJ8:CJ52" si="17">IF(CI8="","",CH8-CI8)</f>
        <v>889556</v>
      </c>
      <c r="CK8" s="102">
        <v>7689892</v>
      </c>
      <c r="CL8" s="102">
        <v>4801330</v>
      </c>
      <c r="CM8" s="102">
        <v>549896</v>
      </c>
      <c r="CN8" s="102">
        <v>852126</v>
      </c>
      <c r="CO8" s="102">
        <v>556171</v>
      </c>
      <c r="CP8" s="102">
        <v>7722729</v>
      </c>
      <c r="CQ8" s="102">
        <v>2058314</v>
      </c>
      <c r="CR8" s="102">
        <v>808108</v>
      </c>
      <c r="CS8" s="102">
        <v>677488</v>
      </c>
      <c r="CT8" s="73">
        <f t="shared" si="7"/>
        <v>3718716</v>
      </c>
      <c r="CU8" s="102">
        <v>2346442</v>
      </c>
      <c r="CV8" s="102">
        <v>1372274</v>
      </c>
      <c r="CW8" s="73">
        <f t="shared" si="8"/>
        <v>1301702</v>
      </c>
      <c r="CX8" s="102">
        <v>1160868</v>
      </c>
      <c r="CY8" s="102">
        <v>140834</v>
      </c>
      <c r="CZ8" s="73">
        <f t="shared" si="9"/>
        <v>2344819</v>
      </c>
      <c r="DA8" s="102">
        <v>1147636</v>
      </c>
      <c r="DB8" s="102">
        <v>1197183</v>
      </c>
      <c r="DC8" s="102">
        <v>3457923</v>
      </c>
      <c r="DD8" s="102">
        <v>1680356</v>
      </c>
      <c r="DE8" s="102">
        <v>1715924</v>
      </c>
      <c r="DF8" s="102">
        <v>61643</v>
      </c>
      <c r="DG8" s="102">
        <v>0</v>
      </c>
      <c r="DH8" s="102">
        <v>6000</v>
      </c>
      <c r="DI8" s="102">
        <v>447581</v>
      </c>
      <c r="DJ8" s="102">
        <v>2058</v>
      </c>
      <c r="DK8" s="102">
        <v>406</v>
      </c>
      <c r="DL8" s="102">
        <v>445117</v>
      </c>
      <c r="DM8" s="102">
        <v>598366</v>
      </c>
      <c r="DN8" s="102">
        <v>598366</v>
      </c>
      <c r="DO8" s="102">
        <v>96990</v>
      </c>
      <c r="DP8" s="102">
        <v>100000</v>
      </c>
      <c r="DQ8" s="102">
        <v>0</v>
      </c>
      <c r="DR8" s="102">
        <v>0</v>
      </c>
      <c r="DS8" s="102">
        <v>0</v>
      </c>
      <c r="DT8" s="102">
        <v>7912761</v>
      </c>
      <c r="DU8" s="102">
        <v>0</v>
      </c>
      <c r="DV8" s="73">
        <f t="shared" si="10"/>
        <v>0</v>
      </c>
      <c r="DW8" s="102">
        <v>0</v>
      </c>
      <c r="DX8" s="102">
        <v>2499707</v>
      </c>
      <c r="DY8" s="102">
        <v>0</v>
      </c>
      <c r="DZ8" s="102">
        <v>2397481</v>
      </c>
      <c r="EA8" s="74">
        <v>0</v>
      </c>
      <c r="EB8" s="102">
        <v>2237677</v>
      </c>
      <c r="EC8" s="102">
        <v>0</v>
      </c>
      <c r="ED8" s="102">
        <v>74520619</v>
      </c>
      <c r="EE8" s="71"/>
      <c r="EF8" s="102">
        <v>225335</v>
      </c>
      <c r="EG8" s="102">
        <v>124214</v>
      </c>
      <c r="EH8" s="102">
        <v>101121</v>
      </c>
      <c r="EI8" s="102">
        <v>-228353</v>
      </c>
      <c r="EJ8" s="102">
        <v>-476295</v>
      </c>
      <c r="EK8" s="71"/>
      <c r="EL8" s="102">
        <v>194911</v>
      </c>
      <c r="EM8" s="102">
        <v>198017</v>
      </c>
      <c r="EN8" s="102">
        <v>1758797</v>
      </c>
      <c r="EO8" s="102">
        <v>278896</v>
      </c>
      <c r="EP8" s="73">
        <f t="shared" si="11"/>
        <v>1268939</v>
      </c>
      <c r="EQ8" s="102">
        <v>41847219</v>
      </c>
      <c r="ER8" s="71">
        <v>-6184209</v>
      </c>
      <c r="ES8" s="102">
        <v>10811573</v>
      </c>
      <c r="ET8" s="102">
        <v>7208804</v>
      </c>
      <c r="EU8" s="102">
        <v>7443309</v>
      </c>
      <c r="EV8" s="102">
        <v>8575065</v>
      </c>
      <c r="EW8" s="73">
        <f t="shared" si="12"/>
        <v>377132</v>
      </c>
      <c r="EX8" s="102">
        <v>376469</v>
      </c>
      <c r="EY8" s="102">
        <v>34154</v>
      </c>
      <c r="EZ8" s="102">
        <v>314477</v>
      </c>
      <c r="FA8" s="102">
        <v>663</v>
      </c>
      <c r="FB8" s="102">
        <v>0</v>
      </c>
      <c r="FC8" s="102">
        <v>6254813</v>
      </c>
      <c r="FD8" s="102">
        <v>7228056</v>
      </c>
      <c r="FE8" s="102">
        <v>2058314</v>
      </c>
      <c r="FF8" s="102">
        <v>6215778</v>
      </c>
      <c r="FG8" s="73">
        <f t="shared" si="13"/>
        <v>900367</v>
      </c>
      <c r="FH8" s="102">
        <v>47806093</v>
      </c>
      <c r="FI8" s="379">
        <f t="shared" si="14"/>
        <v>0.2</v>
      </c>
      <c r="FJ8" s="102">
        <v>39655593</v>
      </c>
      <c r="FK8" s="102">
        <v>2914774</v>
      </c>
      <c r="FL8" s="102">
        <v>20981812</v>
      </c>
      <c r="FM8" s="102">
        <v>33909079</v>
      </c>
      <c r="FN8" s="428">
        <v>0.60199999999999998</v>
      </c>
      <c r="FO8" s="424">
        <v>101.1</v>
      </c>
      <c r="FP8" s="425">
        <v>24.9</v>
      </c>
      <c r="FQ8" s="424">
        <v>17.3</v>
      </c>
      <c r="FR8" s="424">
        <v>20</v>
      </c>
      <c r="FS8" s="425">
        <v>13.1</v>
      </c>
      <c r="FT8" s="424">
        <v>13.3</v>
      </c>
      <c r="FU8" s="425">
        <v>11.4</v>
      </c>
      <c r="FV8" s="384">
        <v>10.8</v>
      </c>
      <c r="FW8" s="102">
        <v>71978469</v>
      </c>
      <c r="FX8" s="384">
        <f t="shared" si="15"/>
        <v>169.1</v>
      </c>
      <c r="FY8" s="102">
        <v>6003837</v>
      </c>
      <c r="FZ8" s="102">
        <v>3064931</v>
      </c>
      <c r="GA8" s="102">
        <v>40326</v>
      </c>
      <c r="GB8" s="102">
        <v>2898580</v>
      </c>
      <c r="GC8" s="104">
        <v>0</v>
      </c>
      <c r="GD8" s="427"/>
      <c r="GE8" s="386"/>
      <c r="GF8" s="424">
        <v>99.2</v>
      </c>
      <c r="GG8" s="424">
        <v>38.299999999999997</v>
      </c>
      <c r="GH8" s="424">
        <v>97.6</v>
      </c>
      <c r="GI8" s="102">
        <v>1294</v>
      </c>
      <c r="GJ8" s="429" t="s">
        <v>646</v>
      </c>
      <c r="GK8" s="429">
        <v>11.4</v>
      </c>
      <c r="GL8" s="87">
        <v>20</v>
      </c>
      <c r="GM8" s="429" t="s">
        <v>646</v>
      </c>
      <c r="GN8" s="430">
        <v>16.399999999999999</v>
      </c>
      <c r="GO8" s="430">
        <v>30</v>
      </c>
      <c r="GP8" s="425">
        <v>10.8</v>
      </c>
      <c r="GQ8" s="425">
        <v>25</v>
      </c>
      <c r="GR8" s="425">
        <v>35</v>
      </c>
      <c r="GS8" s="431">
        <v>47.6</v>
      </c>
      <c r="GT8" s="425">
        <v>350</v>
      </c>
      <c r="GU8" s="394"/>
      <c r="GV8" s="100">
        <f t="shared" si="16"/>
        <v>42570</v>
      </c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</row>
    <row r="9" spans="2:230" x14ac:dyDescent="0.15">
      <c r="B9" s="89" t="s">
        <v>7</v>
      </c>
      <c r="C9" s="102">
        <v>68048631</v>
      </c>
      <c r="D9" s="73">
        <f t="shared" si="0"/>
        <v>29288394</v>
      </c>
      <c r="E9" s="102">
        <v>665406</v>
      </c>
      <c r="F9" s="102">
        <v>28622988</v>
      </c>
      <c r="G9" s="73">
        <f t="shared" si="1"/>
        <v>4596693</v>
      </c>
      <c r="H9" s="102">
        <v>1142066</v>
      </c>
      <c r="I9" s="102">
        <v>3454627</v>
      </c>
      <c r="J9" s="102">
        <v>24588845</v>
      </c>
      <c r="K9" s="102">
        <v>9931825</v>
      </c>
      <c r="L9" s="102">
        <v>11667480</v>
      </c>
      <c r="M9" s="102">
        <v>2783731</v>
      </c>
      <c r="N9" s="102">
        <v>2539591</v>
      </c>
      <c r="O9" s="102">
        <v>5723244</v>
      </c>
      <c r="P9" s="102">
        <v>3100633</v>
      </c>
      <c r="Q9" s="102">
        <v>2622611</v>
      </c>
      <c r="R9" s="102">
        <v>2294639</v>
      </c>
      <c r="S9" s="74"/>
      <c r="T9" s="73">
        <f t="shared" si="2"/>
        <v>7581059</v>
      </c>
      <c r="U9" s="102">
        <v>104847</v>
      </c>
      <c r="V9" s="102">
        <v>382281</v>
      </c>
      <c r="W9" s="102">
        <v>225964</v>
      </c>
      <c r="X9" s="102">
        <v>6633007</v>
      </c>
      <c r="Y9" s="102">
        <v>0</v>
      </c>
      <c r="Z9" s="102">
        <v>0</v>
      </c>
      <c r="AA9" s="102">
        <v>234960</v>
      </c>
      <c r="AB9" s="102">
        <v>248406</v>
      </c>
      <c r="AC9" s="102">
        <v>5130354</v>
      </c>
      <c r="AD9" s="102">
        <v>4604567</v>
      </c>
      <c r="AE9" s="102">
        <v>525747</v>
      </c>
      <c r="AF9" s="102">
        <v>48351</v>
      </c>
      <c r="AG9" s="102">
        <v>1398661</v>
      </c>
      <c r="AH9" s="73">
        <f t="shared" si="3"/>
        <v>2446979</v>
      </c>
      <c r="AI9" s="102">
        <v>2161730</v>
      </c>
      <c r="AJ9" s="102">
        <v>285249</v>
      </c>
      <c r="AK9" s="102">
        <v>30313032</v>
      </c>
      <c r="AL9" s="73">
        <f t="shared" si="4"/>
        <v>19142007</v>
      </c>
      <c r="AM9" s="102">
        <v>13977579</v>
      </c>
      <c r="AN9" s="102">
        <v>1593880</v>
      </c>
      <c r="AO9" s="74"/>
      <c r="AP9" s="102">
        <v>3570548</v>
      </c>
      <c r="AQ9" s="102">
        <v>1342752</v>
      </c>
      <c r="AR9" s="102">
        <v>0</v>
      </c>
      <c r="AS9" s="102">
        <v>0</v>
      </c>
      <c r="AT9" s="102">
        <v>8946223</v>
      </c>
      <c r="AU9" s="102">
        <v>5446668</v>
      </c>
      <c r="AV9" s="102">
        <v>0</v>
      </c>
      <c r="AW9" s="102">
        <v>139740</v>
      </c>
      <c r="AX9" s="102">
        <v>3499555</v>
      </c>
      <c r="AY9" s="102">
        <v>458816</v>
      </c>
      <c r="AZ9" s="102">
        <v>168381</v>
      </c>
      <c r="BA9" s="102">
        <v>74383</v>
      </c>
      <c r="BB9" s="102">
        <v>79865</v>
      </c>
      <c r="BC9" s="102">
        <v>5373298</v>
      </c>
      <c r="BD9" s="102">
        <v>1689217</v>
      </c>
      <c r="BE9" s="102">
        <v>1886503</v>
      </c>
      <c r="BF9" s="102">
        <v>1673043</v>
      </c>
      <c r="BG9" s="102">
        <v>0</v>
      </c>
      <c r="BH9" s="102">
        <v>3449662</v>
      </c>
      <c r="BI9" s="102">
        <v>2001060</v>
      </c>
      <c r="BJ9" s="102">
        <v>2728764</v>
      </c>
      <c r="BK9" s="102">
        <v>236332</v>
      </c>
      <c r="BL9" s="102">
        <v>0</v>
      </c>
      <c r="BM9" s="102">
        <v>35671</v>
      </c>
      <c r="BN9" s="102">
        <v>9251668</v>
      </c>
      <c r="BO9" s="73">
        <f t="shared" si="5"/>
        <v>4350268</v>
      </c>
      <c r="BP9" s="73">
        <f t="shared" si="6"/>
        <v>4901400</v>
      </c>
      <c r="BQ9" s="102">
        <v>0</v>
      </c>
      <c r="BR9" s="102">
        <v>0</v>
      </c>
      <c r="BS9" s="102">
        <v>4901400</v>
      </c>
      <c r="BT9" s="102">
        <v>0</v>
      </c>
      <c r="BU9" s="102">
        <v>147507973</v>
      </c>
      <c r="BV9" s="71"/>
      <c r="BW9" s="102">
        <v>26942143</v>
      </c>
      <c r="BX9" s="102">
        <v>17377431</v>
      </c>
      <c r="BY9" s="102">
        <v>1759378</v>
      </c>
      <c r="BZ9" s="102">
        <v>3191146</v>
      </c>
      <c r="CA9" s="102">
        <v>46068969</v>
      </c>
      <c r="CB9" s="102">
        <v>10551796</v>
      </c>
      <c r="CC9" s="102">
        <v>745492</v>
      </c>
      <c r="CD9" s="102">
        <v>15602487</v>
      </c>
      <c r="CE9" s="102">
        <v>18556538</v>
      </c>
      <c r="CF9" s="102">
        <v>289740</v>
      </c>
      <c r="CG9" s="102">
        <v>322201</v>
      </c>
      <c r="CH9" s="102">
        <v>12823459</v>
      </c>
      <c r="CI9" s="102">
        <v>11990211</v>
      </c>
      <c r="CJ9" s="83">
        <f t="shared" si="17"/>
        <v>833248</v>
      </c>
      <c r="CK9" s="102">
        <v>17295296</v>
      </c>
      <c r="CL9" s="102">
        <v>9482121</v>
      </c>
      <c r="CM9" s="102">
        <v>839739</v>
      </c>
      <c r="CN9" s="102">
        <v>4182767</v>
      </c>
      <c r="CO9" s="102">
        <v>816037</v>
      </c>
      <c r="CP9" s="102">
        <v>12384322</v>
      </c>
      <c r="CQ9" s="102">
        <v>1637984</v>
      </c>
      <c r="CR9" s="102">
        <v>2380149</v>
      </c>
      <c r="CS9" s="102">
        <v>2029979</v>
      </c>
      <c r="CT9" s="73">
        <f t="shared" si="7"/>
        <v>5271881</v>
      </c>
      <c r="CU9" s="102">
        <v>4696831</v>
      </c>
      <c r="CV9" s="102">
        <v>575050</v>
      </c>
      <c r="CW9" s="73">
        <f t="shared" si="8"/>
        <v>2172954</v>
      </c>
      <c r="CX9" s="102">
        <v>1793058</v>
      </c>
      <c r="CY9" s="102">
        <v>379896</v>
      </c>
      <c r="CZ9" s="73">
        <f t="shared" si="9"/>
        <v>2798730</v>
      </c>
      <c r="DA9" s="102">
        <v>2661106</v>
      </c>
      <c r="DB9" s="102">
        <v>137624</v>
      </c>
      <c r="DC9" s="102">
        <v>13368333</v>
      </c>
      <c r="DD9" s="102">
        <v>3313644</v>
      </c>
      <c r="DE9" s="102">
        <v>10054689</v>
      </c>
      <c r="DF9" s="102">
        <v>0</v>
      </c>
      <c r="DG9" s="102">
        <v>0</v>
      </c>
      <c r="DH9" s="102">
        <v>0</v>
      </c>
      <c r="DI9" s="102">
        <v>1914079</v>
      </c>
      <c r="DJ9" s="102">
        <v>1442905</v>
      </c>
      <c r="DK9" s="102">
        <v>62307</v>
      </c>
      <c r="DL9" s="102">
        <v>408867</v>
      </c>
      <c r="DM9" s="102">
        <v>0</v>
      </c>
      <c r="DN9" s="102">
        <v>0</v>
      </c>
      <c r="DO9" s="102">
        <v>0</v>
      </c>
      <c r="DP9" s="102">
        <v>0</v>
      </c>
      <c r="DQ9" s="102">
        <v>301069</v>
      </c>
      <c r="DR9" s="102">
        <v>0</v>
      </c>
      <c r="DS9" s="102">
        <v>0</v>
      </c>
      <c r="DT9" s="102">
        <v>14296318</v>
      </c>
      <c r="DU9" s="102">
        <v>0</v>
      </c>
      <c r="DV9" s="73">
        <f t="shared" si="10"/>
        <v>0</v>
      </c>
      <c r="DW9" s="102">
        <v>0</v>
      </c>
      <c r="DX9" s="102">
        <v>4380249</v>
      </c>
      <c r="DY9" s="102">
        <v>26379</v>
      </c>
      <c r="DZ9" s="102">
        <v>4920932</v>
      </c>
      <c r="EA9" s="74">
        <v>0</v>
      </c>
      <c r="EB9" s="102">
        <v>4569518</v>
      </c>
      <c r="EC9" s="102">
        <v>0</v>
      </c>
      <c r="ED9" s="102">
        <v>146210025</v>
      </c>
      <c r="EE9" s="71"/>
      <c r="EF9" s="102">
        <v>1297948</v>
      </c>
      <c r="EG9" s="102">
        <v>1282807</v>
      </c>
      <c r="EH9" s="102">
        <v>15141</v>
      </c>
      <c r="EI9" s="102">
        <v>-1985919</v>
      </c>
      <c r="EJ9" s="102">
        <v>-459525</v>
      </c>
      <c r="EK9" s="71"/>
      <c r="EL9" s="102">
        <v>395479</v>
      </c>
      <c r="EM9" s="102">
        <v>403991</v>
      </c>
      <c r="EN9" s="102">
        <v>3575720</v>
      </c>
      <c r="EO9" s="102">
        <v>157065</v>
      </c>
      <c r="EP9" s="73">
        <f t="shared" si="11"/>
        <v>4303118</v>
      </c>
      <c r="EQ9" s="102">
        <v>83351440</v>
      </c>
      <c r="ER9" s="71">
        <v>-12888952</v>
      </c>
      <c r="ES9" s="102">
        <v>25102859</v>
      </c>
      <c r="ET9" s="102">
        <v>16367557</v>
      </c>
      <c r="EU9" s="102">
        <v>13400682</v>
      </c>
      <c r="EV9" s="102">
        <v>12759333</v>
      </c>
      <c r="EW9" s="73">
        <f t="shared" si="12"/>
        <v>5371133</v>
      </c>
      <c r="EX9" s="102">
        <v>5371133</v>
      </c>
      <c r="EY9" s="102">
        <v>232551</v>
      </c>
      <c r="EZ9" s="102">
        <v>5138582</v>
      </c>
      <c r="FA9" s="102">
        <v>0</v>
      </c>
      <c r="FB9" s="102">
        <v>0</v>
      </c>
      <c r="FC9" s="102">
        <v>13301111</v>
      </c>
      <c r="FD9" s="102">
        <v>10739779</v>
      </c>
      <c r="FE9" s="102">
        <v>1287984</v>
      </c>
      <c r="FF9" s="102">
        <v>11774569</v>
      </c>
      <c r="FG9" s="73">
        <f t="shared" si="13"/>
        <v>2492978</v>
      </c>
      <c r="FH9" s="102">
        <v>94942444</v>
      </c>
      <c r="FI9" s="379">
        <f t="shared" si="14"/>
        <v>0</v>
      </c>
      <c r="FJ9" s="102">
        <v>76909449</v>
      </c>
      <c r="FK9" s="102">
        <v>4901472</v>
      </c>
      <c r="FL9" s="102">
        <v>55825108</v>
      </c>
      <c r="FM9" s="102">
        <v>60479429</v>
      </c>
      <c r="FN9" s="428">
        <v>0.91200000000000003</v>
      </c>
      <c r="FO9" s="424">
        <v>94.7</v>
      </c>
      <c r="FP9" s="425">
        <v>30.1</v>
      </c>
      <c r="FQ9" s="424">
        <v>16.100000000000001</v>
      </c>
      <c r="FR9" s="424">
        <v>13.3</v>
      </c>
      <c r="FS9" s="425">
        <v>13.8</v>
      </c>
      <c r="FT9" s="424">
        <v>9.6</v>
      </c>
      <c r="FU9" s="425">
        <v>11.2</v>
      </c>
      <c r="FV9" s="384">
        <v>6.4</v>
      </c>
      <c r="FW9" s="102">
        <v>86639004</v>
      </c>
      <c r="FX9" s="384">
        <f t="shared" si="15"/>
        <v>105.9</v>
      </c>
      <c r="FY9" s="102">
        <v>9659054</v>
      </c>
      <c r="FZ9" s="102">
        <v>4027369</v>
      </c>
      <c r="GA9" s="102">
        <v>847743</v>
      </c>
      <c r="GB9" s="102">
        <v>4783942</v>
      </c>
      <c r="GC9" s="104">
        <v>0</v>
      </c>
      <c r="GD9" s="427"/>
      <c r="GE9" s="386"/>
      <c r="GF9" s="424">
        <v>98.9</v>
      </c>
      <c r="GG9" s="424">
        <v>28.4</v>
      </c>
      <c r="GH9" s="424">
        <v>96</v>
      </c>
      <c r="GI9" s="102">
        <v>2498</v>
      </c>
      <c r="GJ9" s="429" t="s">
        <v>646</v>
      </c>
      <c r="GK9" s="429">
        <v>11.25</v>
      </c>
      <c r="GL9" s="87">
        <v>20</v>
      </c>
      <c r="GM9" s="429" t="s">
        <v>646</v>
      </c>
      <c r="GN9" s="430">
        <v>16.25</v>
      </c>
      <c r="GO9" s="430">
        <v>30</v>
      </c>
      <c r="GP9" s="425">
        <v>6.4</v>
      </c>
      <c r="GQ9" s="425">
        <v>25</v>
      </c>
      <c r="GR9" s="425">
        <v>35</v>
      </c>
      <c r="GS9" s="431">
        <v>8.8000000000000007</v>
      </c>
      <c r="GT9" s="425">
        <v>350</v>
      </c>
      <c r="GU9" s="394"/>
      <c r="GV9" s="100">
        <f t="shared" si="16"/>
        <v>81811</v>
      </c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</row>
    <row r="10" spans="2:230" x14ac:dyDescent="0.15">
      <c r="B10" s="89" t="s">
        <v>9</v>
      </c>
      <c r="C10" s="102">
        <v>16522445</v>
      </c>
      <c r="D10" s="73">
        <f t="shared" si="0"/>
        <v>6949053</v>
      </c>
      <c r="E10" s="102">
        <v>165475</v>
      </c>
      <c r="F10" s="102">
        <v>6783578</v>
      </c>
      <c r="G10" s="73">
        <f t="shared" si="1"/>
        <v>1232677</v>
      </c>
      <c r="H10" s="102">
        <v>288162</v>
      </c>
      <c r="I10" s="102">
        <v>944515</v>
      </c>
      <c r="J10" s="102">
        <v>6201084</v>
      </c>
      <c r="K10" s="102">
        <v>2745318</v>
      </c>
      <c r="L10" s="102">
        <v>2731096</v>
      </c>
      <c r="M10" s="102">
        <v>711471</v>
      </c>
      <c r="N10" s="102">
        <v>611924</v>
      </c>
      <c r="O10" s="102">
        <v>1417307</v>
      </c>
      <c r="P10" s="102">
        <v>832175</v>
      </c>
      <c r="Q10" s="102">
        <v>585132</v>
      </c>
      <c r="R10" s="102">
        <v>210692</v>
      </c>
      <c r="S10" s="74"/>
      <c r="T10" s="73">
        <f t="shared" si="2"/>
        <v>2112051</v>
      </c>
      <c r="U10" s="102">
        <v>25051</v>
      </c>
      <c r="V10" s="102">
        <v>91329</v>
      </c>
      <c r="W10" s="102">
        <v>53885</v>
      </c>
      <c r="X10" s="102">
        <v>1813002</v>
      </c>
      <c r="Y10" s="102">
        <v>66903</v>
      </c>
      <c r="Z10" s="102">
        <v>0</v>
      </c>
      <c r="AA10" s="102">
        <v>61881</v>
      </c>
      <c r="AB10" s="102">
        <v>62857</v>
      </c>
      <c r="AC10" s="102">
        <v>2974941</v>
      </c>
      <c r="AD10" s="102">
        <v>2387393</v>
      </c>
      <c r="AE10" s="102">
        <v>587548</v>
      </c>
      <c r="AF10" s="102">
        <v>14642</v>
      </c>
      <c r="AG10" s="102">
        <v>309122</v>
      </c>
      <c r="AH10" s="73">
        <f t="shared" si="3"/>
        <v>1118472</v>
      </c>
      <c r="AI10" s="102">
        <v>864884</v>
      </c>
      <c r="AJ10" s="102">
        <v>253588</v>
      </c>
      <c r="AK10" s="102">
        <v>5304790</v>
      </c>
      <c r="AL10" s="73">
        <f t="shared" si="4"/>
        <v>2501879</v>
      </c>
      <c r="AM10" s="102">
        <v>1314155</v>
      </c>
      <c r="AN10" s="102">
        <v>419887</v>
      </c>
      <c r="AO10" s="74"/>
      <c r="AP10" s="102">
        <v>767837</v>
      </c>
      <c r="AQ10" s="102">
        <v>506981</v>
      </c>
      <c r="AR10" s="102">
        <v>0</v>
      </c>
      <c r="AS10" s="102">
        <v>0</v>
      </c>
      <c r="AT10" s="102">
        <v>2666017</v>
      </c>
      <c r="AU10" s="102">
        <v>1564878</v>
      </c>
      <c r="AV10" s="102">
        <v>209944</v>
      </c>
      <c r="AW10" s="102">
        <v>353830</v>
      </c>
      <c r="AX10" s="102">
        <v>1101139</v>
      </c>
      <c r="AY10" s="102">
        <v>49193</v>
      </c>
      <c r="AZ10" s="102">
        <v>55844</v>
      </c>
      <c r="BA10" s="102">
        <v>19120</v>
      </c>
      <c r="BB10" s="102">
        <v>179812</v>
      </c>
      <c r="BC10" s="102">
        <v>127013</v>
      </c>
      <c r="BD10" s="102">
        <v>0</v>
      </c>
      <c r="BE10" s="102">
        <v>0</v>
      </c>
      <c r="BF10" s="102">
        <v>101742</v>
      </c>
      <c r="BG10" s="102">
        <v>0</v>
      </c>
      <c r="BH10" s="102">
        <v>331657</v>
      </c>
      <c r="BI10" s="102">
        <v>11220</v>
      </c>
      <c r="BJ10" s="102">
        <v>477128</v>
      </c>
      <c r="BK10" s="102">
        <v>121785</v>
      </c>
      <c r="BL10" s="102">
        <v>3996</v>
      </c>
      <c r="BM10" s="102">
        <v>24221</v>
      </c>
      <c r="BN10" s="102">
        <v>2394000</v>
      </c>
      <c r="BO10" s="73">
        <f t="shared" si="5"/>
        <v>794000</v>
      </c>
      <c r="BP10" s="73">
        <f t="shared" si="6"/>
        <v>1600000</v>
      </c>
      <c r="BQ10" s="102">
        <v>0</v>
      </c>
      <c r="BR10" s="102">
        <v>0</v>
      </c>
      <c r="BS10" s="102">
        <v>1600000</v>
      </c>
      <c r="BT10" s="102">
        <v>0</v>
      </c>
      <c r="BU10" s="102">
        <v>34861483</v>
      </c>
      <c r="BV10" s="71"/>
      <c r="BW10" s="102">
        <v>6376499</v>
      </c>
      <c r="BX10" s="102">
        <v>4257714</v>
      </c>
      <c r="BY10" s="102">
        <v>595947</v>
      </c>
      <c r="BZ10" s="102">
        <v>266872</v>
      </c>
      <c r="CA10" s="102">
        <v>8079933</v>
      </c>
      <c r="CB10" s="102">
        <v>2262526</v>
      </c>
      <c r="CC10" s="102">
        <v>135233</v>
      </c>
      <c r="CD10" s="102">
        <v>4031583</v>
      </c>
      <c r="CE10" s="102">
        <v>1520705</v>
      </c>
      <c r="CF10" s="102">
        <v>13267</v>
      </c>
      <c r="CG10" s="102">
        <v>116369</v>
      </c>
      <c r="CH10" s="102">
        <v>3523112</v>
      </c>
      <c r="CI10" s="102">
        <v>3158920</v>
      </c>
      <c r="CJ10" s="83">
        <f t="shared" si="17"/>
        <v>364192</v>
      </c>
      <c r="CK10" s="102">
        <v>5931589</v>
      </c>
      <c r="CL10" s="102">
        <v>3563833</v>
      </c>
      <c r="CM10" s="102">
        <v>596589</v>
      </c>
      <c r="CN10" s="102">
        <v>833729</v>
      </c>
      <c r="CO10" s="102">
        <v>359032</v>
      </c>
      <c r="CP10" s="102">
        <v>2512800</v>
      </c>
      <c r="CQ10" s="102">
        <v>2300</v>
      </c>
      <c r="CR10" s="102">
        <v>646967</v>
      </c>
      <c r="CS10" s="102">
        <v>473043</v>
      </c>
      <c r="CT10" s="73">
        <f t="shared" si="7"/>
        <v>1143557</v>
      </c>
      <c r="CU10" s="102">
        <v>1064341</v>
      </c>
      <c r="CV10" s="102">
        <v>79216</v>
      </c>
      <c r="CW10" s="73">
        <f t="shared" si="8"/>
        <v>432852</v>
      </c>
      <c r="CX10" s="102">
        <v>432852</v>
      </c>
      <c r="CY10" s="102">
        <v>0</v>
      </c>
      <c r="CZ10" s="73">
        <f t="shared" si="9"/>
        <v>707809</v>
      </c>
      <c r="DA10" s="102">
        <v>628593</v>
      </c>
      <c r="DB10" s="102">
        <v>79216</v>
      </c>
      <c r="DC10" s="102">
        <v>2445451</v>
      </c>
      <c r="DD10" s="102">
        <v>1431861</v>
      </c>
      <c r="DE10" s="102">
        <v>925111</v>
      </c>
      <c r="DF10" s="102">
        <v>88479</v>
      </c>
      <c r="DG10" s="102">
        <v>0</v>
      </c>
      <c r="DH10" s="102">
        <v>11124</v>
      </c>
      <c r="DI10" s="102">
        <v>212152</v>
      </c>
      <c r="DJ10" s="102">
        <v>3910</v>
      </c>
      <c r="DK10" s="102">
        <v>0</v>
      </c>
      <c r="DL10" s="102">
        <v>208242</v>
      </c>
      <c r="DM10" s="102">
        <v>581641</v>
      </c>
      <c r="DN10" s="102">
        <v>581641</v>
      </c>
      <c r="DO10" s="102">
        <v>0</v>
      </c>
      <c r="DP10" s="102">
        <v>568360</v>
      </c>
      <c r="DQ10" s="102">
        <v>121810</v>
      </c>
      <c r="DR10" s="102">
        <v>0</v>
      </c>
      <c r="DS10" s="102">
        <v>0</v>
      </c>
      <c r="DT10" s="102">
        <v>3681846</v>
      </c>
      <c r="DU10" s="102">
        <v>0</v>
      </c>
      <c r="DV10" s="73">
        <f t="shared" si="10"/>
        <v>0</v>
      </c>
      <c r="DW10" s="102">
        <v>0</v>
      </c>
      <c r="DX10" s="102">
        <v>1239173</v>
      </c>
      <c r="DY10" s="102">
        <v>7086</v>
      </c>
      <c r="DZ10" s="102">
        <v>1237188</v>
      </c>
      <c r="EA10" s="74">
        <v>0</v>
      </c>
      <c r="EB10" s="102">
        <v>1198399</v>
      </c>
      <c r="EC10" s="102">
        <v>0</v>
      </c>
      <c r="ED10" s="102">
        <v>33836989</v>
      </c>
      <c r="EE10" s="71"/>
      <c r="EF10" s="102">
        <v>1024494</v>
      </c>
      <c r="EG10" s="102">
        <v>75986</v>
      </c>
      <c r="EH10" s="102">
        <v>948508</v>
      </c>
      <c r="EI10" s="102">
        <v>837288</v>
      </c>
      <c r="EJ10" s="102">
        <v>1150098</v>
      </c>
      <c r="EK10" s="71"/>
      <c r="EL10" s="102">
        <v>103069</v>
      </c>
      <c r="EM10" s="102">
        <v>103077</v>
      </c>
      <c r="EN10" s="102">
        <v>0</v>
      </c>
      <c r="EO10" s="102">
        <v>49733</v>
      </c>
      <c r="EP10" s="73">
        <f t="shared" si="11"/>
        <v>596833</v>
      </c>
      <c r="EQ10" s="102">
        <v>21897628</v>
      </c>
      <c r="ER10" s="71">
        <v>-2231924</v>
      </c>
      <c r="ES10" s="102">
        <v>6001358</v>
      </c>
      <c r="ET10" s="102">
        <v>3960762</v>
      </c>
      <c r="EU10" s="102">
        <v>2299847</v>
      </c>
      <c r="EV10" s="102">
        <v>3523112</v>
      </c>
      <c r="EW10" s="73">
        <f t="shared" si="12"/>
        <v>498549</v>
      </c>
      <c r="EX10" s="102">
        <v>498525</v>
      </c>
      <c r="EY10" s="102">
        <v>127303</v>
      </c>
      <c r="EZ10" s="102">
        <v>371222</v>
      </c>
      <c r="FA10" s="102">
        <v>24</v>
      </c>
      <c r="FB10" s="102">
        <v>0</v>
      </c>
      <c r="FC10" s="102">
        <v>4649044</v>
      </c>
      <c r="FD10" s="102">
        <v>2225135</v>
      </c>
      <c r="FE10" s="102">
        <v>2300</v>
      </c>
      <c r="FF10" s="102">
        <v>2964344</v>
      </c>
      <c r="FG10" s="73">
        <f t="shared" si="13"/>
        <v>943669</v>
      </c>
      <c r="FH10" s="102">
        <v>23105058</v>
      </c>
      <c r="FI10" s="379">
        <f t="shared" si="14"/>
        <v>4.5999999999999996</v>
      </c>
      <c r="FJ10" s="102">
        <v>18852250</v>
      </c>
      <c r="FK10" s="102">
        <v>1622413</v>
      </c>
      <c r="FL10" s="102">
        <v>12744528</v>
      </c>
      <c r="FM10" s="102">
        <v>15134361</v>
      </c>
      <c r="FN10" s="428">
        <v>0.85</v>
      </c>
      <c r="FO10" s="424">
        <v>93</v>
      </c>
      <c r="FP10" s="425">
        <v>27</v>
      </c>
      <c r="FQ10" s="424">
        <v>10.5</v>
      </c>
      <c r="FR10" s="424">
        <v>14.8</v>
      </c>
      <c r="FS10" s="425">
        <v>19.399999999999999</v>
      </c>
      <c r="FT10" s="424">
        <v>7.9</v>
      </c>
      <c r="FU10" s="425">
        <v>12</v>
      </c>
      <c r="FV10" s="384">
        <v>4.4000000000000004</v>
      </c>
      <c r="FW10" s="102">
        <v>33795732</v>
      </c>
      <c r="FX10" s="384">
        <f t="shared" si="15"/>
        <v>165.1</v>
      </c>
      <c r="FY10" s="102">
        <v>6274749</v>
      </c>
      <c r="FZ10" s="102">
        <v>4537918</v>
      </c>
      <c r="GA10" s="102">
        <v>0</v>
      </c>
      <c r="GB10" s="102">
        <v>1736831</v>
      </c>
      <c r="GC10" s="104">
        <v>0</v>
      </c>
      <c r="GD10" s="427"/>
      <c r="GE10" s="386"/>
      <c r="GF10" s="424">
        <v>99</v>
      </c>
      <c r="GG10" s="424">
        <v>32.5</v>
      </c>
      <c r="GH10" s="424">
        <v>96</v>
      </c>
      <c r="GI10" s="102">
        <v>594</v>
      </c>
      <c r="GJ10" s="429" t="s">
        <v>646</v>
      </c>
      <c r="GK10" s="429">
        <v>12.45</v>
      </c>
      <c r="GL10" s="87">
        <v>20</v>
      </c>
      <c r="GM10" s="429" t="s">
        <v>646</v>
      </c>
      <c r="GN10" s="430">
        <v>17.45</v>
      </c>
      <c r="GO10" s="430">
        <v>30</v>
      </c>
      <c r="GP10" s="425">
        <v>4.4000000000000004</v>
      </c>
      <c r="GQ10" s="425">
        <v>25</v>
      </c>
      <c r="GR10" s="425">
        <v>35</v>
      </c>
      <c r="GS10" s="431">
        <v>23.5</v>
      </c>
      <c r="GT10" s="425">
        <v>350</v>
      </c>
      <c r="GU10" s="394"/>
      <c r="GV10" s="100">
        <f t="shared" si="16"/>
        <v>20475</v>
      </c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</row>
    <row r="11" spans="2:230" x14ac:dyDescent="0.15">
      <c r="B11" s="89" t="s">
        <v>11</v>
      </c>
      <c r="C11" s="102">
        <v>65539704</v>
      </c>
      <c r="D11" s="73">
        <f t="shared" si="0"/>
        <v>27144484</v>
      </c>
      <c r="E11" s="102">
        <v>598967</v>
      </c>
      <c r="F11" s="102">
        <v>26545517</v>
      </c>
      <c r="G11" s="73">
        <f t="shared" si="1"/>
        <v>4903960</v>
      </c>
      <c r="H11" s="102">
        <v>1161675</v>
      </c>
      <c r="I11" s="102">
        <v>3742285</v>
      </c>
      <c r="J11" s="102">
        <v>24845657</v>
      </c>
      <c r="K11" s="102">
        <v>9419350</v>
      </c>
      <c r="L11" s="102">
        <v>11912506</v>
      </c>
      <c r="M11" s="102">
        <v>2839707</v>
      </c>
      <c r="N11" s="102">
        <v>1853691</v>
      </c>
      <c r="O11" s="102">
        <v>5525321</v>
      </c>
      <c r="P11" s="102">
        <v>2821299</v>
      </c>
      <c r="Q11" s="102">
        <v>2704022</v>
      </c>
      <c r="R11" s="102">
        <v>547082</v>
      </c>
      <c r="S11" s="74"/>
      <c r="T11" s="73">
        <f t="shared" si="2"/>
        <v>7258406</v>
      </c>
      <c r="U11" s="102">
        <v>98217</v>
      </c>
      <c r="V11" s="102">
        <v>358123</v>
      </c>
      <c r="W11" s="102">
        <v>211809</v>
      </c>
      <c r="X11" s="102">
        <v>6372192</v>
      </c>
      <c r="Y11" s="102">
        <v>0</v>
      </c>
      <c r="Z11" s="102">
        <v>0</v>
      </c>
      <c r="AA11" s="102">
        <v>218065</v>
      </c>
      <c r="AB11" s="102">
        <v>262016</v>
      </c>
      <c r="AC11" s="102">
        <v>847179</v>
      </c>
      <c r="AD11" s="102">
        <v>750618</v>
      </c>
      <c r="AE11" s="102">
        <v>96503</v>
      </c>
      <c r="AF11" s="102">
        <v>41824</v>
      </c>
      <c r="AG11" s="102">
        <v>1120634</v>
      </c>
      <c r="AH11" s="73">
        <f t="shared" si="3"/>
        <v>3051900</v>
      </c>
      <c r="AI11" s="102">
        <v>2477436</v>
      </c>
      <c r="AJ11" s="102">
        <v>574464</v>
      </c>
      <c r="AK11" s="102">
        <v>23668405</v>
      </c>
      <c r="AL11" s="73">
        <f t="shared" si="4"/>
        <v>12982998</v>
      </c>
      <c r="AM11" s="102">
        <v>7929394</v>
      </c>
      <c r="AN11" s="102">
        <v>1455281</v>
      </c>
      <c r="AO11" s="74"/>
      <c r="AP11" s="102">
        <v>3598323</v>
      </c>
      <c r="AQ11" s="102">
        <v>1605425</v>
      </c>
      <c r="AR11" s="102">
        <v>0</v>
      </c>
      <c r="AS11" s="102">
        <v>0</v>
      </c>
      <c r="AT11" s="102">
        <v>7604685</v>
      </c>
      <c r="AU11" s="102">
        <v>4475396</v>
      </c>
      <c r="AV11" s="102">
        <v>727640</v>
      </c>
      <c r="AW11" s="102">
        <v>9436</v>
      </c>
      <c r="AX11" s="102">
        <v>3129289</v>
      </c>
      <c r="AY11" s="102">
        <v>0</v>
      </c>
      <c r="AZ11" s="102">
        <v>51002</v>
      </c>
      <c r="BA11" s="102">
        <v>3773</v>
      </c>
      <c r="BB11" s="102">
        <v>176014</v>
      </c>
      <c r="BC11" s="102">
        <v>4167753</v>
      </c>
      <c r="BD11" s="102">
        <v>0</v>
      </c>
      <c r="BE11" s="102">
        <v>0</v>
      </c>
      <c r="BF11" s="102">
        <v>4167741</v>
      </c>
      <c r="BG11" s="102">
        <v>0</v>
      </c>
      <c r="BH11" s="102">
        <v>724008</v>
      </c>
      <c r="BI11" s="102">
        <v>174832</v>
      </c>
      <c r="BJ11" s="102">
        <v>2569892</v>
      </c>
      <c r="BK11" s="102">
        <v>352314</v>
      </c>
      <c r="BL11" s="102">
        <v>248402</v>
      </c>
      <c r="BM11" s="102">
        <v>47770</v>
      </c>
      <c r="BN11" s="102">
        <v>5604300</v>
      </c>
      <c r="BO11" s="73">
        <f t="shared" si="5"/>
        <v>5604300</v>
      </c>
      <c r="BP11" s="73">
        <f t="shared" si="6"/>
        <v>0</v>
      </c>
      <c r="BQ11" s="102">
        <v>0</v>
      </c>
      <c r="BR11" s="102">
        <v>0</v>
      </c>
      <c r="BS11" s="102">
        <v>0</v>
      </c>
      <c r="BT11" s="102">
        <v>0</v>
      </c>
      <c r="BU11" s="102">
        <v>123234804</v>
      </c>
      <c r="BV11" s="71"/>
      <c r="BW11" s="102">
        <v>22058794</v>
      </c>
      <c r="BX11" s="102">
        <v>14683608</v>
      </c>
      <c r="BY11" s="102">
        <v>1529897</v>
      </c>
      <c r="BZ11" s="102">
        <v>1734336</v>
      </c>
      <c r="CA11" s="102">
        <v>36484130</v>
      </c>
      <c r="CB11" s="102">
        <v>9203880</v>
      </c>
      <c r="CC11" s="102">
        <v>684561</v>
      </c>
      <c r="CD11" s="102">
        <v>15360096</v>
      </c>
      <c r="CE11" s="102">
        <v>10498806</v>
      </c>
      <c r="CF11" s="102">
        <v>284435</v>
      </c>
      <c r="CG11" s="102">
        <v>452121</v>
      </c>
      <c r="CH11" s="102">
        <v>5251843</v>
      </c>
      <c r="CI11" s="102">
        <v>4804453</v>
      </c>
      <c r="CJ11" s="83">
        <f t="shared" si="17"/>
        <v>447390</v>
      </c>
      <c r="CK11" s="102">
        <v>18644274</v>
      </c>
      <c r="CL11" s="102">
        <v>11929632</v>
      </c>
      <c r="CM11" s="102">
        <v>1536543</v>
      </c>
      <c r="CN11" s="102">
        <v>2636148</v>
      </c>
      <c r="CO11" s="102">
        <v>2652618</v>
      </c>
      <c r="CP11" s="102">
        <v>3702100</v>
      </c>
      <c r="CQ11" s="102">
        <v>7940</v>
      </c>
      <c r="CR11" s="102">
        <v>2227222</v>
      </c>
      <c r="CS11" s="102">
        <v>1064748</v>
      </c>
      <c r="CT11" s="73">
        <f t="shared" si="7"/>
        <v>43588</v>
      </c>
      <c r="CU11" s="102">
        <v>35368</v>
      </c>
      <c r="CV11" s="102">
        <v>8220</v>
      </c>
      <c r="CW11" s="73">
        <f t="shared" si="8"/>
        <v>0</v>
      </c>
      <c r="CX11" s="102">
        <v>0</v>
      </c>
      <c r="CY11" s="102">
        <v>0</v>
      </c>
      <c r="CZ11" s="73">
        <f t="shared" si="9"/>
        <v>0</v>
      </c>
      <c r="DA11" s="102">
        <v>0</v>
      </c>
      <c r="DB11" s="102">
        <v>0</v>
      </c>
      <c r="DC11" s="102">
        <v>16305342</v>
      </c>
      <c r="DD11" s="102">
        <v>4493222</v>
      </c>
      <c r="DE11" s="102">
        <v>11584170</v>
      </c>
      <c r="DF11" s="102">
        <v>1581</v>
      </c>
      <c r="DG11" s="102">
        <v>226369</v>
      </c>
      <c r="DH11" s="102">
        <v>0</v>
      </c>
      <c r="DI11" s="102">
        <v>485282</v>
      </c>
      <c r="DJ11" s="102">
        <v>84108</v>
      </c>
      <c r="DK11" s="102">
        <v>0</v>
      </c>
      <c r="DL11" s="102">
        <v>401174</v>
      </c>
      <c r="DM11" s="102">
        <v>35500</v>
      </c>
      <c r="DN11" s="102">
        <v>0</v>
      </c>
      <c r="DO11" s="102">
        <v>0</v>
      </c>
      <c r="DP11" s="102">
        <v>0</v>
      </c>
      <c r="DQ11" s="102">
        <v>440000</v>
      </c>
      <c r="DR11" s="102">
        <v>0</v>
      </c>
      <c r="DS11" s="102">
        <v>0</v>
      </c>
      <c r="DT11" s="102">
        <v>14728045</v>
      </c>
      <c r="DU11" s="102">
        <v>3452732</v>
      </c>
      <c r="DV11" s="73">
        <f t="shared" si="10"/>
        <v>0</v>
      </c>
      <c r="DW11" s="102">
        <v>0</v>
      </c>
      <c r="DX11" s="102">
        <v>3780391</v>
      </c>
      <c r="DY11" s="102">
        <v>0</v>
      </c>
      <c r="DZ11" s="102">
        <v>3751451</v>
      </c>
      <c r="EA11" s="74">
        <v>0</v>
      </c>
      <c r="EB11" s="102">
        <v>3388820</v>
      </c>
      <c r="EC11" s="102">
        <v>0</v>
      </c>
      <c r="ED11" s="102">
        <v>120787928</v>
      </c>
      <c r="EE11" s="71"/>
      <c r="EF11" s="102">
        <v>2446876</v>
      </c>
      <c r="EG11" s="102">
        <v>1914931</v>
      </c>
      <c r="EH11" s="102">
        <v>531945</v>
      </c>
      <c r="EI11" s="102">
        <v>357113</v>
      </c>
      <c r="EJ11" s="102">
        <v>441221</v>
      </c>
      <c r="EK11" s="71"/>
      <c r="EL11" s="102">
        <v>374468</v>
      </c>
      <c r="EM11" s="102">
        <v>369898</v>
      </c>
      <c r="EN11" s="102">
        <v>960914</v>
      </c>
      <c r="EO11" s="102">
        <v>48658</v>
      </c>
      <c r="EP11" s="73">
        <f t="shared" si="11"/>
        <v>2146201</v>
      </c>
      <c r="EQ11" s="102">
        <v>74496211</v>
      </c>
      <c r="ER11" s="71">
        <v>-3113949</v>
      </c>
      <c r="ES11" s="102">
        <v>20207784</v>
      </c>
      <c r="ET11" s="102">
        <v>13289664</v>
      </c>
      <c r="EU11" s="102">
        <v>10887353</v>
      </c>
      <c r="EV11" s="102">
        <v>5250732</v>
      </c>
      <c r="EW11" s="73">
        <f t="shared" si="12"/>
        <v>4970401</v>
      </c>
      <c r="EX11" s="102">
        <v>4970401</v>
      </c>
      <c r="EY11" s="102">
        <v>96838</v>
      </c>
      <c r="EZ11" s="102">
        <v>4871982</v>
      </c>
      <c r="FA11" s="102">
        <v>0</v>
      </c>
      <c r="FB11" s="102">
        <v>0</v>
      </c>
      <c r="FC11" s="102">
        <v>15735764</v>
      </c>
      <c r="FD11" s="102">
        <v>3002126</v>
      </c>
      <c r="FE11" s="102">
        <v>7940</v>
      </c>
      <c r="FF11" s="102">
        <v>12509444</v>
      </c>
      <c r="FG11" s="73">
        <f t="shared" si="13"/>
        <v>2599680</v>
      </c>
      <c r="FH11" s="102">
        <v>75163284</v>
      </c>
      <c r="FI11" s="379">
        <f t="shared" si="14"/>
        <v>0.8</v>
      </c>
      <c r="FJ11" s="102">
        <v>68464478</v>
      </c>
      <c r="FK11" s="102">
        <v>1633077</v>
      </c>
      <c r="FL11" s="102">
        <v>51911552</v>
      </c>
      <c r="FM11" s="102">
        <v>52643328</v>
      </c>
      <c r="FN11" s="428">
        <v>0.98199999999999998</v>
      </c>
      <c r="FO11" s="424">
        <v>95.6</v>
      </c>
      <c r="FP11" s="425">
        <v>28.5</v>
      </c>
      <c r="FQ11" s="424">
        <v>15.6</v>
      </c>
      <c r="FR11" s="424">
        <v>7.5</v>
      </c>
      <c r="FS11" s="425">
        <v>21</v>
      </c>
      <c r="FT11" s="424">
        <v>3.7</v>
      </c>
      <c r="FU11" s="425">
        <v>15.7</v>
      </c>
      <c r="FV11" s="384">
        <v>-1.8</v>
      </c>
      <c r="FW11" s="102">
        <v>46393264</v>
      </c>
      <c r="FX11" s="384">
        <f t="shared" si="15"/>
        <v>66.2</v>
      </c>
      <c r="FY11" s="102">
        <v>23180432</v>
      </c>
      <c r="FZ11" s="102">
        <v>10628094</v>
      </c>
      <c r="GA11" s="102">
        <v>0</v>
      </c>
      <c r="GB11" s="102">
        <v>12552338</v>
      </c>
      <c r="GC11" s="104">
        <v>0</v>
      </c>
      <c r="GD11" s="427"/>
      <c r="GE11" s="386"/>
      <c r="GF11" s="424">
        <v>99.4</v>
      </c>
      <c r="GG11" s="424">
        <v>28.2</v>
      </c>
      <c r="GH11" s="424">
        <v>97.4</v>
      </c>
      <c r="GI11" s="102">
        <v>2250</v>
      </c>
      <c r="GJ11" s="429" t="s">
        <v>646</v>
      </c>
      <c r="GK11" s="429">
        <v>11.25</v>
      </c>
      <c r="GL11" s="87">
        <v>20</v>
      </c>
      <c r="GM11" s="429" t="s">
        <v>646</v>
      </c>
      <c r="GN11" s="430">
        <v>16.25</v>
      </c>
      <c r="GO11" s="430">
        <v>30</v>
      </c>
      <c r="GP11" s="425">
        <v>-1.8</v>
      </c>
      <c r="GQ11" s="425">
        <v>25</v>
      </c>
      <c r="GR11" s="425">
        <v>35</v>
      </c>
      <c r="GS11" s="431" t="s">
        <v>646</v>
      </c>
      <c r="GT11" s="425">
        <v>350</v>
      </c>
      <c r="GU11" s="394"/>
      <c r="GV11" s="100">
        <f t="shared" si="16"/>
        <v>70098</v>
      </c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</row>
    <row r="12" spans="2:230" x14ac:dyDescent="0.15">
      <c r="B12" s="89" t="s">
        <v>13</v>
      </c>
      <c r="C12" s="102">
        <v>11416192</v>
      </c>
      <c r="D12" s="73">
        <f t="shared" si="0"/>
        <v>3709793</v>
      </c>
      <c r="E12" s="102">
        <v>114631</v>
      </c>
      <c r="F12" s="102">
        <v>3595162</v>
      </c>
      <c r="G12" s="73">
        <f t="shared" si="1"/>
        <v>809116</v>
      </c>
      <c r="H12" s="102">
        <v>257357</v>
      </c>
      <c r="I12" s="102">
        <v>551759</v>
      </c>
      <c r="J12" s="102">
        <v>5203589</v>
      </c>
      <c r="K12" s="102">
        <v>1937552</v>
      </c>
      <c r="L12" s="102">
        <v>2052260</v>
      </c>
      <c r="M12" s="102">
        <v>740751</v>
      </c>
      <c r="N12" s="102">
        <v>612196</v>
      </c>
      <c r="O12" s="102">
        <v>978161</v>
      </c>
      <c r="P12" s="102">
        <v>528576</v>
      </c>
      <c r="Q12" s="102">
        <v>449585</v>
      </c>
      <c r="R12" s="102">
        <v>196975</v>
      </c>
      <c r="S12" s="74"/>
      <c r="T12" s="73">
        <f t="shared" si="2"/>
        <v>1480285</v>
      </c>
      <c r="U12" s="102">
        <v>13486</v>
      </c>
      <c r="V12" s="102">
        <v>49166</v>
      </c>
      <c r="W12" s="102">
        <v>28967</v>
      </c>
      <c r="X12" s="102">
        <v>1338524</v>
      </c>
      <c r="Y12" s="102">
        <v>0</v>
      </c>
      <c r="Z12" s="102">
        <v>0</v>
      </c>
      <c r="AA12" s="102">
        <v>50142</v>
      </c>
      <c r="AB12" s="102">
        <v>49456</v>
      </c>
      <c r="AC12" s="102">
        <v>3718317</v>
      </c>
      <c r="AD12" s="102">
        <v>3408705</v>
      </c>
      <c r="AE12" s="102">
        <v>309612</v>
      </c>
      <c r="AF12" s="102">
        <v>13901</v>
      </c>
      <c r="AG12" s="102">
        <v>54980</v>
      </c>
      <c r="AH12" s="73">
        <f t="shared" si="3"/>
        <v>514465</v>
      </c>
      <c r="AI12" s="102">
        <v>380684</v>
      </c>
      <c r="AJ12" s="102">
        <v>133781</v>
      </c>
      <c r="AK12" s="102">
        <v>5171027</v>
      </c>
      <c r="AL12" s="73">
        <f t="shared" si="4"/>
        <v>3249689</v>
      </c>
      <c r="AM12" s="102">
        <v>2277545</v>
      </c>
      <c r="AN12" s="102">
        <v>254192</v>
      </c>
      <c r="AO12" s="74"/>
      <c r="AP12" s="102">
        <v>717952</v>
      </c>
      <c r="AQ12" s="102">
        <v>136100</v>
      </c>
      <c r="AR12" s="102">
        <v>0</v>
      </c>
      <c r="AS12" s="102">
        <v>0</v>
      </c>
      <c r="AT12" s="102">
        <v>2301962</v>
      </c>
      <c r="AU12" s="102">
        <v>1467590</v>
      </c>
      <c r="AV12" s="102">
        <v>127095</v>
      </c>
      <c r="AW12" s="102">
        <v>22475</v>
      </c>
      <c r="AX12" s="102">
        <v>834372</v>
      </c>
      <c r="AY12" s="102">
        <v>30425</v>
      </c>
      <c r="AZ12" s="102">
        <v>274941</v>
      </c>
      <c r="BA12" s="102">
        <v>159477</v>
      </c>
      <c r="BB12" s="102">
        <v>142448</v>
      </c>
      <c r="BC12" s="102">
        <v>411417</v>
      </c>
      <c r="BD12" s="102">
        <v>0</v>
      </c>
      <c r="BE12" s="102">
        <v>0</v>
      </c>
      <c r="BF12" s="102">
        <v>356325</v>
      </c>
      <c r="BG12" s="102">
        <v>0</v>
      </c>
      <c r="BH12" s="102">
        <v>340736</v>
      </c>
      <c r="BI12" s="102">
        <v>304397</v>
      </c>
      <c r="BJ12" s="102">
        <v>395032</v>
      </c>
      <c r="BK12" s="102">
        <v>1000</v>
      </c>
      <c r="BL12" s="102">
        <v>4672</v>
      </c>
      <c r="BM12" s="102">
        <v>0</v>
      </c>
      <c r="BN12" s="102">
        <v>2195016</v>
      </c>
      <c r="BO12" s="73">
        <f t="shared" si="5"/>
        <v>1180600</v>
      </c>
      <c r="BP12" s="73">
        <f t="shared" si="6"/>
        <v>1014416</v>
      </c>
      <c r="BQ12" s="102">
        <v>0</v>
      </c>
      <c r="BR12" s="102">
        <v>0</v>
      </c>
      <c r="BS12" s="102">
        <v>1014416</v>
      </c>
      <c r="BT12" s="102">
        <v>0</v>
      </c>
      <c r="BU12" s="102">
        <v>28677150</v>
      </c>
      <c r="BV12" s="71"/>
      <c r="BW12" s="102">
        <v>3913271</v>
      </c>
      <c r="BX12" s="102">
        <v>2387743</v>
      </c>
      <c r="BY12" s="102">
        <v>266082</v>
      </c>
      <c r="BZ12" s="102">
        <v>441357</v>
      </c>
      <c r="CA12" s="102">
        <v>8208721</v>
      </c>
      <c r="CB12" s="102">
        <v>1937554</v>
      </c>
      <c r="CC12" s="102">
        <v>201648</v>
      </c>
      <c r="CD12" s="102">
        <v>2975002</v>
      </c>
      <c r="CE12" s="102">
        <v>2941334</v>
      </c>
      <c r="CF12" s="102">
        <v>3308</v>
      </c>
      <c r="CG12" s="102">
        <v>149875</v>
      </c>
      <c r="CH12" s="102">
        <v>3095465</v>
      </c>
      <c r="CI12" s="102">
        <v>2668808</v>
      </c>
      <c r="CJ12" s="83">
        <f t="shared" si="17"/>
        <v>426657</v>
      </c>
      <c r="CK12" s="102">
        <v>2861557</v>
      </c>
      <c r="CL12" s="102">
        <v>1574132</v>
      </c>
      <c r="CM12" s="102">
        <v>258974</v>
      </c>
      <c r="CN12" s="102">
        <v>505641</v>
      </c>
      <c r="CO12" s="102">
        <v>115649</v>
      </c>
      <c r="CP12" s="102">
        <v>2257054</v>
      </c>
      <c r="CQ12" s="102">
        <v>494191</v>
      </c>
      <c r="CR12" s="102">
        <v>419109</v>
      </c>
      <c r="CS12" s="102">
        <v>374148</v>
      </c>
      <c r="CT12" s="73">
        <f t="shared" si="7"/>
        <v>840082</v>
      </c>
      <c r="CU12" s="102">
        <v>832353</v>
      </c>
      <c r="CV12" s="102">
        <v>7729</v>
      </c>
      <c r="CW12" s="73">
        <f t="shared" si="8"/>
        <v>823897</v>
      </c>
      <c r="CX12" s="102">
        <v>823897</v>
      </c>
      <c r="CY12" s="102">
        <v>0</v>
      </c>
      <c r="CZ12" s="73">
        <f t="shared" si="9"/>
        <v>0</v>
      </c>
      <c r="DA12" s="102">
        <v>0</v>
      </c>
      <c r="DB12" s="102">
        <v>0</v>
      </c>
      <c r="DC12" s="102">
        <v>2770665</v>
      </c>
      <c r="DD12" s="102">
        <v>487298</v>
      </c>
      <c r="DE12" s="102">
        <v>1742347</v>
      </c>
      <c r="DF12" s="102">
        <v>50466</v>
      </c>
      <c r="DG12" s="102">
        <v>490554</v>
      </c>
      <c r="DH12" s="102">
        <v>0</v>
      </c>
      <c r="DI12" s="102">
        <v>810321</v>
      </c>
      <c r="DJ12" s="102">
        <v>210040</v>
      </c>
      <c r="DK12" s="102">
        <v>0</v>
      </c>
      <c r="DL12" s="102">
        <v>600281</v>
      </c>
      <c r="DM12" s="102">
        <v>0</v>
      </c>
      <c r="DN12" s="102">
        <v>0</v>
      </c>
      <c r="DO12" s="102">
        <v>0</v>
      </c>
      <c r="DP12" s="102">
        <v>0</v>
      </c>
      <c r="DQ12" s="102">
        <v>1000</v>
      </c>
      <c r="DR12" s="102">
        <v>0</v>
      </c>
      <c r="DS12" s="102">
        <v>0</v>
      </c>
      <c r="DT12" s="102">
        <v>4277422</v>
      </c>
      <c r="DU12" s="102">
        <v>1547272</v>
      </c>
      <c r="DV12" s="73">
        <f t="shared" si="10"/>
        <v>0</v>
      </c>
      <c r="DW12" s="102">
        <v>0</v>
      </c>
      <c r="DX12" s="102">
        <v>883177</v>
      </c>
      <c r="DY12" s="102">
        <v>165000</v>
      </c>
      <c r="DZ12" s="102">
        <v>947734</v>
      </c>
      <c r="EA12" s="74">
        <v>0</v>
      </c>
      <c r="EB12" s="102">
        <v>734239</v>
      </c>
      <c r="EC12" s="102">
        <v>0</v>
      </c>
      <c r="ED12" s="102">
        <v>28311125</v>
      </c>
      <c r="EE12" s="71"/>
      <c r="EF12" s="102">
        <v>366025</v>
      </c>
      <c r="EG12" s="102">
        <v>102461</v>
      </c>
      <c r="EH12" s="102">
        <v>263564</v>
      </c>
      <c r="EI12" s="102">
        <v>-40833</v>
      </c>
      <c r="EJ12" s="102">
        <v>169207</v>
      </c>
      <c r="EK12" s="71"/>
      <c r="EL12" s="102">
        <v>75897</v>
      </c>
      <c r="EM12" s="102">
        <v>75577</v>
      </c>
      <c r="EN12" s="102">
        <v>37363</v>
      </c>
      <c r="EO12" s="102">
        <v>13549</v>
      </c>
      <c r="EP12" s="73">
        <f t="shared" si="11"/>
        <v>715961</v>
      </c>
      <c r="EQ12" s="102">
        <v>16875126</v>
      </c>
      <c r="ER12" s="71">
        <v>-1767388</v>
      </c>
      <c r="ES12" s="102">
        <v>3415310</v>
      </c>
      <c r="ET12" s="102">
        <v>2003354</v>
      </c>
      <c r="EU12" s="102">
        <v>2562239</v>
      </c>
      <c r="EV12" s="102">
        <v>3080985</v>
      </c>
      <c r="EW12" s="73">
        <f t="shared" si="12"/>
        <v>752287</v>
      </c>
      <c r="EX12" s="102">
        <v>752287</v>
      </c>
      <c r="EY12" s="102">
        <v>15950</v>
      </c>
      <c r="EZ12" s="102">
        <v>731271</v>
      </c>
      <c r="FA12" s="102">
        <v>0</v>
      </c>
      <c r="FB12" s="102">
        <v>0</v>
      </c>
      <c r="FC12" s="102">
        <v>2454839</v>
      </c>
      <c r="FD12" s="102">
        <v>2040404</v>
      </c>
      <c r="FE12" s="102">
        <v>494191</v>
      </c>
      <c r="FF12" s="102">
        <v>3485295</v>
      </c>
      <c r="FG12" s="73">
        <f t="shared" si="13"/>
        <v>485130</v>
      </c>
      <c r="FH12" s="102">
        <v>18276489</v>
      </c>
      <c r="FI12" s="379">
        <f t="shared" si="14"/>
        <v>1.6</v>
      </c>
      <c r="FJ12" s="102">
        <v>15517961</v>
      </c>
      <c r="FK12" s="102">
        <v>1014416</v>
      </c>
      <c r="FL12" s="102">
        <v>9459778</v>
      </c>
      <c r="FM12" s="102">
        <v>12879078</v>
      </c>
      <c r="FN12" s="428">
        <v>0.71899999999999997</v>
      </c>
      <c r="FO12" s="424">
        <v>97.3</v>
      </c>
      <c r="FP12" s="425">
        <v>20</v>
      </c>
      <c r="FQ12" s="424">
        <v>15.3</v>
      </c>
      <c r="FR12" s="424">
        <v>18.399999999999999</v>
      </c>
      <c r="FS12" s="425">
        <v>13.8</v>
      </c>
      <c r="FT12" s="424">
        <v>10.1</v>
      </c>
      <c r="FU12" s="425">
        <v>18.899999999999999</v>
      </c>
      <c r="FV12" s="384">
        <v>16.5</v>
      </c>
      <c r="FW12" s="102">
        <v>30202001</v>
      </c>
      <c r="FX12" s="384">
        <f t="shared" si="15"/>
        <v>182.7</v>
      </c>
      <c r="FY12" s="102">
        <v>3332568</v>
      </c>
      <c r="FZ12" s="102">
        <v>1122419</v>
      </c>
      <c r="GA12" s="102">
        <v>0</v>
      </c>
      <c r="GB12" s="102">
        <v>2210149</v>
      </c>
      <c r="GC12" s="104">
        <v>0</v>
      </c>
      <c r="GD12" s="427">
        <v>2708</v>
      </c>
      <c r="GE12" s="386">
        <f>IF(GD12=0,"-",ROUND(GD12/(GV12)*100,1))</f>
        <v>16.399999999999999</v>
      </c>
      <c r="GF12" s="424">
        <v>99</v>
      </c>
      <c r="GG12" s="424">
        <v>43.7</v>
      </c>
      <c r="GH12" s="424">
        <v>97.3</v>
      </c>
      <c r="GI12" s="102">
        <v>424</v>
      </c>
      <c r="GJ12" s="429" t="s">
        <v>646</v>
      </c>
      <c r="GK12" s="429">
        <v>12.67</v>
      </c>
      <c r="GL12" s="87">
        <v>20</v>
      </c>
      <c r="GM12" s="429" t="s">
        <v>646</v>
      </c>
      <c r="GN12" s="430">
        <v>17.670000000000002</v>
      </c>
      <c r="GO12" s="430">
        <v>30</v>
      </c>
      <c r="GP12" s="425">
        <v>16.5</v>
      </c>
      <c r="GQ12" s="425">
        <v>25</v>
      </c>
      <c r="GR12" s="425">
        <v>35</v>
      </c>
      <c r="GS12" s="431">
        <v>118.4</v>
      </c>
      <c r="GT12" s="425">
        <v>350</v>
      </c>
      <c r="GU12" s="394"/>
      <c r="GV12" s="100">
        <f t="shared" si="16"/>
        <v>16532</v>
      </c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</row>
    <row r="13" spans="2:230" ht="12.75" customHeight="1" x14ac:dyDescent="0.15">
      <c r="B13" s="89" t="s">
        <v>15</v>
      </c>
      <c r="C13" s="102">
        <v>50104969</v>
      </c>
      <c r="D13" s="73">
        <f t="shared" si="0"/>
        <v>20445669</v>
      </c>
      <c r="E13" s="102">
        <v>573541</v>
      </c>
      <c r="F13" s="102">
        <v>19872128</v>
      </c>
      <c r="G13" s="73">
        <f t="shared" si="1"/>
        <v>3500349</v>
      </c>
      <c r="H13" s="102">
        <v>801528</v>
      </c>
      <c r="I13" s="102">
        <v>2698821</v>
      </c>
      <c r="J13" s="102">
        <v>19027695</v>
      </c>
      <c r="K13" s="102">
        <v>7973223</v>
      </c>
      <c r="L13" s="102">
        <v>8375073</v>
      </c>
      <c r="M13" s="102">
        <v>2429645</v>
      </c>
      <c r="N13" s="102">
        <v>1717004</v>
      </c>
      <c r="O13" s="102">
        <v>3927782</v>
      </c>
      <c r="P13" s="102">
        <v>2168884</v>
      </c>
      <c r="Q13" s="102">
        <v>1758898</v>
      </c>
      <c r="R13" s="102">
        <v>590153</v>
      </c>
      <c r="S13" s="74"/>
      <c r="T13" s="73">
        <f t="shared" si="2"/>
        <v>6642138</v>
      </c>
      <c r="U13" s="102">
        <v>75889</v>
      </c>
      <c r="V13" s="102">
        <v>276662</v>
      </c>
      <c r="W13" s="102">
        <v>163072</v>
      </c>
      <c r="X13" s="102">
        <v>5839915</v>
      </c>
      <c r="Y13" s="102">
        <v>51400</v>
      </c>
      <c r="Z13" s="102">
        <v>0</v>
      </c>
      <c r="AA13" s="102">
        <v>235200</v>
      </c>
      <c r="AB13" s="102">
        <v>225906</v>
      </c>
      <c r="AC13" s="102">
        <v>9592316</v>
      </c>
      <c r="AD13" s="102">
        <v>9122788</v>
      </c>
      <c r="AE13" s="102">
        <v>469528</v>
      </c>
      <c r="AF13" s="102">
        <v>49337</v>
      </c>
      <c r="AG13" s="102">
        <v>1161062</v>
      </c>
      <c r="AH13" s="73">
        <f t="shared" si="3"/>
        <v>2727491</v>
      </c>
      <c r="AI13" s="102">
        <v>2083844</v>
      </c>
      <c r="AJ13" s="102">
        <v>643647</v>
      </c>
      <c r="AK13" s="102">
        <v>23698916</v>
      </c>
      <c r="AL13" s="73">
        <f t="shared" si="4"/>
        <v>11516722</v>
      </c>
      <c r="AM13" s="102">
        <v>7761751</v>
      </c>
      <c r="AN13" s="102">
        <v>697190</v>
      </c>
      <c r="AO13" s="74"/>
      <c r="AP13" s="102">
        <v>3057781</v>
      </c>
      <c r="AQ13" s="102">
        <v>1230516</v>
      </c>
      <c r="AR13" s="102">
        <v>15288</v>
      </c>
      <c r="AS13" s="102">
        <v>0</v>
      </c>
      <c r="AT13" s="102">
        <v>7638400</v>
      </c>
      <c r="AU13" s="102">
        <v>4508515</v>
      </c>
      <c r="AV13" s="102">
        <v>1075132</v>
      </c>
      <c r="AW13" s="102">
        <v>353364</v>
      </c>
      <c r="AX13" s="102">
        <v>3129885</v>
      </c>
      <c r="AY13" s="102">
        <v>27015</v>
      </c>
      <c r="AZ13" s="102">
        <v>206944</v>
      </c>
      <c r="BA13" s="102">
        <v>68876</v>
      </c>
      <c r="BB13" s="102">
        <v>107783</v>
      </c>
      <c r="BC13" s="102">
        <v>581999</v>
      </c>
      <c r="BD13" s="102">
        <v>0</v>
      </c>
      <c r="BE13" s="102">
        <v>0</v>
      </c>
      <c r="BF13" s="102">
        <v>493537</v>
      </c>
      <c r="BG13" s="102">
        <v>0</v>
      </c>
      <c r="BH13" s="102">
        <v>1590655</v>
      </c>
      <c r="BI13" s="102">
        <v>640555</v>
      </c>
      <c r="BJ13" s="102">
        <v>1447328</v>
      </c>
      <c r="BK13" s="102">
        <v>609672</v>
      </c>
      <c r="BL13" s="102">
        <v>52192</v>
      </c>
      <c r="BM13" s="102">
        <v>47857</v>
      </c>
      <c r="BN13" s="102">
        <v>7245200</v>
      </c>
      <c r="BO13" s="73">
        <f t="shared" si="5"/>
        <v>4645200</v>
      </c>
      <c r="BP13" s="73">
        <f t="shared" si="6"/>
        <v>2600000</v>
      </c>
      <c r="BQ13" s="102">
        <v>0</v>
      </c>
      <c r="BR13" s="102">
        <v>0</v>
      </c>
      <c r="BS13" s="102">
        <v>2600000</v>
      </c>
      <c r="BT13" s="102">
        <v>0</v>
      </c>
      <c r="BU13" s="102">
        <v>113610597</v>
      </c>
      <c r="BV13" s="71"/>
      <c r="BW13" s="102">
        <v>19760749</v>
      </c>
      <c r="BX13" s="102">
        <v>12887918</v>
      </c>
      <c r="BY13" s="102">
        <v>879659</v>
      </c>
      <c r="BZ13" s="102">
        <v>2402199</v>
      </c>
      <c r="CA13" s="102">
        <v>34700408</v>
      </c>
      <c r="CB13" s="102">
        <v>8384999</v>
      </c>
      <c r="CC13" s="102">
        <v>756551</v>
      </c>
      <c r="CD13" s="102">
        <v>14418622</v>
      </c>
      <c r="CE13" s="102">
        <v>10220347</v>
      </c>
      <c r="CF13" s="102">
        <v>383519</v>
      </c>
      <c r="CG13" s="102">
        <v>535620</v>
      </c>
      <c r="CH13" s="102">
        <v>7479967</v>
      </c>
      <c r="CI13" s="102">
        <v>7151758</v>
      </c>
      <c r="CJ13" s="83">
        <f t="shared" si="17"/>
        <v>328209</v>
      </c>
      <c r="CK13" s="102">
        <v>14911144</v>
      </c>
      <c r="CL13" s="102">
        <v>8844526</v>
      </c>
      <c r="CM13" s="102">
        <v>1086366</v>
      </c>
      <c r="CN13" s="102">
        <v>2991277</v>
      </c>
      <c r="CO13" s="102">
        <v>1816976</v>
      </c>
      <c r="CP13" s="102">
        <v>7367860</v>
      </c>
      <c r="CQ13" s="102">
        <v>22989</v>
      </c>
      <c r="CR13" s="102">
        <v>2175607</v>
      </c>
      <c r="CS13" s="102">
        <v>1399610</v>
      </c>
      <c r="CT13" s="73">
        <f t="shared" si="7"/>
        <v>3720142</v>
      </c>
      <c r="CU13" s="102">
        <v>2449744</v>
      </c>
      <c r="CV13" s="102">
        <v>1270398</v>
      </c>
      <c r="CW13" s="73">
        <f t="shared" si="8"/>
        <v>0</v>
      </c>
      <c r="CX13" s="102">
        <v>0</v>
      </c>
      <c r="CY13" s="102">
        <v>0</v>
      </c>
      <c r="CZ13" s="73">
        <f t="shared" si="9"/>
        <v>2707775</v>
      </c>
      <c r="DA13" s="102">
        <v>2361879</v>
      </c>
      <c r="DB13" s="102">
        <v>345896</v>
      </c>
      <c r="DC13" s="102">
        <v>12661200</v>
      </c>
      <c r="DD13" s="102">
        <v>6259639</v>
      </c>
      <c r="DE13" s="102">
        <v>6370814</v>
      </c>
      <c r="DF13" s="102">
        <v>30747</v>
      </c>
      <c r="DG13" s="102">
        <v>0</v>
      </c>
      <c r="DH13" s="102">
        <v>28757</v>
      </c>
      <c r="DI13" s="102">
        <v>493466</v>
      </c>
      <c r="DJ13" s="102">
        <v>349448</v>
      </c>
      <c r="DK13" s="102">
        <v>2283</v>
      </c>
      <c r="DL13" s="102">
        <v>141735</v>
      </c>
      <c r="DM13" s="102">
        <v>1492225</v>
      </c>
      <c r="DN13" s="102">
        <v>1492225</v>
      </c>
      <c r="DO13" s="102">
        <v>0</v>
      </c>
      <c r="DP13" s="102">
        <v>0</v>
      </c>
      <c r="DQ13" s="102">
        <v>652725</v>
      </c>
      <c r="DR13" s="102">
        <v>0</v>
      </c>
      <c r="DS13" s="102">
        <v>0</v>
      </c>
      <c r="DT13" s="102">
        <v>10899354</v>
      </c>
      <c r="DU13" s="102">
        <v>0</v>
      </c>
      <c r="DV13" s="73">
        <f t="shared" si="10"/>
        <v>0</v>
      </c>
      <c r="DW13" s="102">
        <v>0</v>
      </c>
      <c r="DX13" s="102">
        <v>4273885</v>
      </c>
      <c r="DY13" s="102">
        <v>0</v>
      </c>
      <c r="DZ13" s="102">
        <v>3281005</v>
      </c>
      <c r="EA13" s="74">
        <v>0</v>
      </c>
      <c r="EB13" s="102">
        <v>3341455</v>
      </c>
      <c r="EC13" s="102">
        <v>0</v>
      </c>
      <c r="ED13" s="102">
        <v>112264831</v>
      </c>
      <c r="EE13" s="71"/>
      <c r="EF13" s="102">
        <v>1345766</v>
      </c>
      <c r="EG13" s="102">
        <v>417618</v>
      </c>
      <c r="EH13" s="102">
        <v>928148</v>
      </c>
      <c r="EI13" s="102">
        <v>287593</v>
      </c>
      <c r="EJ13" s="102">
        <v>637041</v>
      </c>
      <c r="EK13" s="71"/>
      <c r="EL13" s="102">
        <v>351829</v>
      </c>
      <c r="EM13" s="102">
        <v>354216</v>
      </c>
      <c r="EN13" s="102">
        <v>82272</v>
      </c>
      <c r="EO13" s="102">
        <v>120859</v>
      </c>
      <c r="EP13" s="73">
        <f t="shared" si="11"/>
        <v>1821529</v>
      </c>
      <c r="EQ13" s="102">
        <v>67204819</v>
      </c>
      <c r="ER13" s="71">
        <v>-4575323</v>
      </c>
      <c r="ES13" s="102">
        <v>18082229</v>
      </c>
      <c r="ET13" s="102">
        <v>11577739</v>
      </c>
      <c r="EU13" s="102">
        <v>10427777</v>
      </c>
      <c r="EV13" s="102">
        <v>7221627</v>
      </c>
      <c r="EW13" s="73">
        <f t="shared" si="12"/>
        <v>3491873</v>
      </c>
      <c r="EX13" s="102">
        <v>3491873</v>
      </c>
      <c r="EY13" s="102">
        <v>933747</v>
      </c>
      <c r="EZ13" s="102">
        <v>2527379</v>
      </c>
      <c r="FA13" s="102">
        <v>0</v>
      </c>
      <c r="FB13" s="102">
        <v>0</v>
      </c>
      <c r="FC13" s="102">
        <v>12239312</v>
      </c>
      <c r="FD13" s="102">
        <v>6787099</v>
      </c>
      <c r="FE13" s="102">
        <v>22989</v>
      </c>
      <c r="FF13" s="102">
        <v>8570895</v>
      </c>
      <c r="FG13" s="73">
        <f t="shared" si="13"/>
        <v>3665098</v>
      </c>
      <c r="FH13" s="102">
        <v>70485910</v>
      </c>
      <c r="FI13" s="379">
        <f t="shared" si="14"/>
        <v>1.4</v>
      </c>
      <c r="FJ13" s="102">
        <v>62787405</v>
      </c>
      <c r="FK13" s="102">
        <v>4931289</v>
      </c>
      <c r="FL13" s="102">
        <v>41834388</v>
      </c>
      <c r="FM13" s="102">
        <v>50932466</v>
      </c>
      <c r="FN13" s="428">
        <v>0.80400000000000005</v>
      </c>
      <c r="FO13" s="424">
        <v>94.9</v>
      </c>
      <c r="FP13" s="425">
        <v>27.3</v>
      </c>
      <c r="FQ13" s="424">
        <v>15.8</v>
      </c>
      <c r="FR13" s="424">
        <v>11</v>
      </c>
      <c r="FS13" s="425">
        <v>17.399999999999999</v>
      </c>
      <c r="FT13" s="424">
        <v>7.8</v>
      </c>
      <c r="FU13" s="425">
        <v>12.8</v>
      </c>
      <c r="FV13" s="384">
        <v>0.3</v>
      </c>
      <c r="FW13" s="102">
        <v>51867343</v>
      </c>
      <c r="FX13" s="384">
        <f t="shared" si="15"/>
        <v>76.599999999999994</v>
      </c>
      <c r="FY13" s="102">
        <v>38988550</v>
      </c>
      <c r="FZ13" s="102">
        <v>15600743</v>
      </c>
      <c r="GA13" s="102">
        <v>2526706</v>
      </c>
      <c r="GB13" s="102">
        <v>20861101</v>
      </c>
      <c r="GC13" s="104">
        <v>0</v>
      </c>
      <c r="GD13" s="427">
        <v>2590</v>
      </c>
      <c r="GE13" s="386">
        <f>IF(GD13=0,"-",ROUND(GD13/(GV13)*100,1))</f>
        <v>3.8</v>
      </c>
      <c r="GF13" s="424">
        <v>99.6</v>
      </c>
      <c r="GG13" s="424">
        <v>47.7</v>
      </c>
      <c r="GH13" s="424">
        <v>98.8</v>
      </c>
      <c r="GI13" s="102">
        <v>2161</v>
      </c>
      <c r="GJ13" s="429" t="s">
        <v>646</v>
      </c>
      <c r="GK13" s="429">
        <v>11.25</v>
      </c>
      <c r="GL13" s="87">
        <v>20</v>
      </c>
      <c r="GM13" s="429" t="s">
        <v>646</v>
      </c>
      <c r="GN13" s="430">
        <v>16.25</v>
      </c>
      <c r="GO13" s="430">
        <v>30</v>
      </c>
      <c r="GP13" s="425">
        <v>0.3</v>
      </c>
      <c r="GQ13" s="425">
        <v>25</v>
      </c>
      <c r="GR13" s="425">
        <v>35</v>
      </c>
      <c r="GS13" s="431" t="s">
        <v>646</v>
      </c>
      <c r="GT13" s="425">
        <v>350</v>
      </c>
      <c r="GU13" s="394"/>
      <c r="GV13" s="100">
        <f t="shared" si="16"/>
        <v>67719</v>
      </c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</row>
    <row r="14" spans="2:230" x14ac:dyDescent="0.15">
      <c r="B14" s="89" t="s">
        <v>17</v>
      </c>
      <c r="C14" s="102">
        <v>11557741</v>
      </c>
      <c r="D14" s="73">
        <f t="shared" si="0"/>
        <v>4014158</v>
      </c>
      <c r="E14" s="102">
        <v>133027</v>
      </c>
      <c r="F14" s="102">
        <v>3881131</v>
      </c>
      <c r="G14" s="73">
        <f t="shared" si="1"/>
        <v>709816</v>
      </c>
      <c r="H14" s="102">
        <v>203381</v>
      </c>
      <c r="I14" s="102">
        <v>506435</v>
      </c>
      <c r="J14" s="102">
        <v>4977958</v>
      </c>
      <c r="K14" s="102">
        <v>1612376</v>
      </c>
      <c r="L14" s="102">
        <v>2223621</v>
      </c>
      <c r="M14" s="102">
        <v>934939</v>
      </c>
      <c r="N14" s="102">
        <v>799627</v>
      </c>
      <c r="O14" s="102">
        <v>877169</v>
      </c>
      <c r="P14" s="102">
        <v>412711</v>
      </c>
      <c r="Q14" s="102">
        <v>464458</v>
      </c>
      <c r="R14" s="102">
        <v>165397</v>
      </c>
      <c r="S14" s="74"/>
      <c r="T14" s="73">
        <f t="shared" si="2"/>
        <v>1693333</v>
      </c>
      <c r="U14" s="102">
        <v>14754</v>
      </c>
      <c r="V14" s="102">
        <v>53794</v>
      </c>
      <c r="W14" s="102">
        <v>31730</v>
      </c>
      <c r="X14" s="102">
        <v>1527261</v>
      </c>
      <c r="Y14" s="102">
        <v>0</v>
      </c>
      <c r="Z14" s="102">
        <v>0</v>
      </c>
      <c r="AA14" s="102">
        <v>65794</v>
      </c>
      <c r="AB14" s="102">
        <v>68836</v>
      </c>
      <c r="AC14" s="102">
        <v>4799675</v>
      </c>
      <c r="AD14" s="102">
        <v>4397016</v>
      </c>
      <c r="AE14" s="102">
        <v>402659</v>
      </c>
      <c r="AF14" s="102">
        <v>16612</v>
      </c>
      <c r="AG14" s="102">
        <v>221835</v>
      </c>
      <c r="AH14" s="73">
        <f t="shared" si="3"/>
        <v>540805</v>
      </c>
      <c r="AI14" s="102">
        <v>413559</v>
      </c>
      <c r="AJ14" s="102">
        <v>127246</v>
      </c>
      <c r="AK14" s="102">
        <v>6154330</v>
      </c>
      <c r="AL14" s="73">
        <f t="shared" si="4"/>
        <v>3858833</v>
      </c>
      <c r="AM14" s="102">
        <v>2355709</v>
      </c>
      <c r="AN14" s="102">
        <v>778187</v>
      </c>
      <c r="AO14" s="74"/>
      <c r="AP14" s="102">
        <v>724937</v>
      </c>
      <c r="AQ14" s="102">
        <v>79127</v>
      </c>
      <c r="AR14" s="102">
        <v>0</v>
      </c>
      <c r="AS14" s="102">
        <v>0</v>
      </c>
      <c r="AT14" s="102">
        <v>2266981</v>
      </c>
      <c r="AU14" s="102">
        <v>1322042</v>
      </c>
      <c r="AV14" s="102">
        <v>326375</v>
      </c>
      <c r="AW14" s="102">
        <v>4453</v>
      </c>
      <c r="AX14" s="102">
        <v>944939</v>
      </c>
      <c r="AY14" s="102">
        <v>911</v>
      </c>
      <c r="AZ14" s="102">
        <v>97267</v>
      </c>
      <c r="BA14" s="102">
        <v>73343</v>
      </c>
      <c r="BB14" s="102">
        <v>276907</v>
      </c>
      <c r="BC14" s="102">
        <v>719433</v>
      </c>
      <c r="BD14" s="102">
        <v>150000</v>
      </c>
      <c r="BE14" s="102">
        <v>0</v>
      </c>
      <c r="BF14" s="102">
        <v>564092</v>
      </c>
      <c r="BG14" s="102">
        <v>0</v>
      </c>
      <c r="BH14" s="102">
        <v>124475</v>
      </c>
      <c r="BI14" s="102">
        <v>77261</v>
      </c>
      <c r="BJ14" s="102">
        <v>475358</v>
      </c>
      <c r="BK14" s="102">
        <v>171174</v>
      </c>
      <c r="BL14" s="102">
        <v>0</v>
      </c>
      <c r="BM14" s="102">
        <v>23671</v>
      </c>
      <c r="BN14" s="102">
        <v>1972003</v>
      </c>
      <c r="BO14" s="73">
        <f t="shared" si="5"/>
        <v>811800</v>
      </c>
      <c r="BP14" s="73">
        <f t="shared" si="6"/>
        <v>1160203</v>
      </c>
      <c r="BQ14" s="102">
        <v>0</v>
      </c>
      <c r="BR14" s="102">
        <v>0</v>
      </c>
      <c r="BS14" s="102">
        <v>1160203</v>
      </c>
      <c r="BT14" s="102">
        <v>0</v>
      </c>
      <c r="BU14" s="102">
        <v>31150988</v>
      </c>
      <c r="BV14" s="71"/>
      <c r="BW14" s="102">
        <v>5509000</v>
      </c>
      <c r="BX14" s="102">
        <v>3328413</v>
      </c>
      <c r="BY14" s="102">
        <v>471413</v>
      </c>
      <c r="BZ14" s="102">
        <v>634072</v>
      </c>
      <c r="CA14" s="102">
        <v>9878711</v>
      </c>
      <c r="CB14" s="102">
        <v>2040938</v>
      </c>
      <c r="CC14" s="102">
        <v>184235</v>
      </c>
      <c r="CD14" s="102">
        <v>4322105</v>
      </c>
      <c r="CE14" s="102">
        <v>3067114</v>
      </c>
      <c r="CF14" s="102">
        <v>0</v>
      </c>
      <c r="CG14" s="102">
        <v>264069</v>
      </c>
      <c r="CH14" s="102">
        <v>2340363</v>
      </c>
      <c r="CI14" s="102">
        <v>2040018</v>
      </c>
      <c r="CJ14" s="83">
        <f t="shared" si="17"/>
        <v>300345</v>
      </c>
      <c r="CK14" s="102">
        <v>3539316</v>
      </c>
      <c r="CL14" s="102">
        <v>2028211</v>
      </c>
      <c r="CM14" s="102">
        <v>320998</v>
      </c>
      <c r="CN14" s="102">
        <v>543415</v>
      </c>
      <c r="CO14" s="102">
        <v>126275</v>
      </c>
      <c r="CP14" s="102">
        <v>3522267</v>
      </c>
      <c r="CQ14" s="102">
        <v>1108805</v>
      </c>
      <c r="CR14" s="102">
        <v>721915</v>
      </c>
      <c r="CS14" s="102">
        <v>614259</v>
      </c>
      <c r="CT14" s="73">
        <f t="shared" si="7"/>
        <v>1049515</v>
      </c>
      <c r="CU14" s="102">
        <v>932772</v>
      </c>
      <c r="CV14" s="102">
        <v>116743</v>
      </c>
      <c r="CW14" s="73">
        <f t="shared" si="8"/>
        <v>920000</v>
      </c>
      <c r="CX14" s="102">
        <v>920000</v>
      </c>
      <c r="CY14" s="102">
        <v>0</v>
      </c>
      <c r="CZ14" s="73">
        <f t="shared" si="9"/>
        <v>0</v>
      </c>
      <c r="DA14" s="102">
        <v>0</v>
      </c>
      <c r="DB14" s="102">
        <v>0</v>
      </c>
      <c r="DC14" s="102">
        <v>1393297</v>
      </c>
      <c r="DD14" s="102">
        <v>344973</v>
      </c>
      <c r="DE14" s="102">
        <v>971094</v>
      </c>
      <c r="DF14" s="102">
        <v>77230</v>
      </c>
      <c r="DG14" s="102">
        <v>0</v>
      </c>
      <c r="DH14" s="102">
        <v>0</v>
      </c>
      <c r="DI14" s="102">
        <v>415009</v>
      </c>
      <c r="DJ14" s="102">
        <v>39000</v>
      </c>
      <c r="DK14" s="102">
        <v>0</v>
      </c>
      <c r="DL14" s="102">
        <v>376009</v>
      </c>
      <c r="DM14" s="102">
        <v>0</v>
      </c>
      <c r="DN14" s="102">
        <v>0</v>
      </c>
      <c r="DO14" s="102">
        <v>0</v>
      </c>
      <c r="DP14" s="102">
        <v>0</v>
      </c>
      <c r="DQ14" s="102">
        <v>164660</v>
      </c>
      <c r="DR14" s="102">
        <v>0</v>
      </c>
      <c r="DS14" s="102">
        <v>0</v>
      </c>
      <c r="DT14" s="102">
        <v>4157790</v>
      </c>
      <c r="DU14" s="102">
        <v>1221199</v>
      </c>
      <c r="DV14" s="73">
        <f t="shared" si="10"/>
        <v>0</v>
      </c>
      <c r="DW14" s="102">
        <v>0</v>
      </c>
      <c r="DX14" s="102">
        <v>1139089</v>
      </c>
      <c r="DY14" s="102">
        <v>0</v>
      </c>
      <c r="DZ14" s="102">
        <v>863224</v>
      </c>
      <c r="EA14" s="74">
        <v>0</v>
      </c>
      <c r="EB14" s="102">
        <v>934278</v>
      </c>
      <c r="EC14" s="102">
        <v>0</v>
      </c>
      <c r="ED14" s="102">
        <v>31046688</v>
      </c>
      <c r="EE14" s="71"/>
      <c r="EF14" s="102">
        <v>104300</v>
      </c>
      <c r="EG14" s="102">
        <v>36181</v>
      </c>
      <c r="EH14" s="102">
        <v>68119</v>
      </c>
      <c r="EI14" s="102">
        <v>-9142</v>
      </c>
      <c r="EJ14" s="102">
        <v>-120142</v>
      </c>
      <c r="EK14" s="71"/>
      <c r="EL14" s="102">
        <v>88694</v>
      </c>
      <c r="EM14" s="102">
        <v>88813</v>
      </c>
      <c r="EN14" s="102">
        <v>150000</v>
      </c>
      <c r="EO14" s="102">
        <v>23496</v>
      </c>
      <c r="EP14" s="73">
        <f t="shared" si="11"/>
        <v>338553</v>
      </c>
      <c r="EQ14" s="102">
        <v>18301594</v>
      </c>
      <c r="ER14" s="71">
        <v>-1655640</v>
      </c>
      <c r="ES14" s="102">
        <v>5038259</v>
      </c>
      <c r="ET14" s="102">
        <v>3019190</v>
      </c>
      <c r="EU14" s="102">
        <v>2614856</v>
      </c>
      <c r="EV14" s="102">
        <v>2340363</v>
      </c>
      <c r="EW14" s="73">
        <f t="shared" si="12"/>
        <v>425048</v>
      </c>
      <c r="EX14" s="102">
        <v>425048</v>
      </c>
      <c r="EY14" s="102">
        <v>12775</v>
      </c>
      <c r="EZ14" s="102">
        <v>335043</v>
      </c>
      <c r="FA14" s="102">
        <v>0</v>
      </c>
      <c r="FB14" s="102">
        <v>0</v>
      </c>
      <c r="FC14" s="102">
        <v>2865887</v>
      </c>
      <c r="FD14" s="102">
        <v>2901844</v>
      </c>
      <c r="FE14" s="102">
        <v>750503</v>
      </c>
      <c r="FF14" s="102">
        <v>3511244</v>
      </c>
      <c r="FG14" s="73">
        <f t="shared" si="13"/>
        <v>155433</v>
      </c>
      <c r="FH14" s="102">
        <v>19852934</v>
      </c>
      <c r="FI14" s="379">
        <f t="shared" si="14"/>
        <v>0.4</v>
      </c>
      <c r="FJ14" s="102">
        <v>16894347</v>
      </c>
      <c r="FK14" s="102">
        <v>1160203</v>
      </c>
      <c r="FL14" s="102">
        <v>9788773</v>
      </c>
      <c r="FM14" s="102">
        <v>14199372</v>
      </c>
      <c r="FN14" s="428">
        <v>0.68799999999999994</v>
      </c>
      <c r="FO14" s="424">
        <v>99.4</v>
      </c>
      <c r="FP14" s="425">
        <v>26.9</v>
      </c>
      <c r="FQ14" s="424">
        <v>14.3</v>
      </c>
      <c r="FR14" s="424">
        <v>12.8</v>
      </c>
      <c r="FS14" s="425">
        <v>14.2</v>
      </c>
      <c r="FT14" s="424">
        <v>13.2</v>
      </c>
      <c r="FU14" s="425">
        <v>17.399999999999999</v>
      </c>
      <c r="FV14" s="384">
        <v>9.4</v>
      </c>
      <c r="FW14" s="102">
        <v>26910938</v>
      </c>
      <c r="FX14" s="384">
        <f t="shared" si="15"/>
        <v>149.1</v>
      </c>
      <c r="FY14" s="102">
        <v>2554178</v>
      </c>
      <c r="FZ14" s="102">
        <v>1272373</v>
      </c>
      <c r="GA14" s="102">
        <v>188585</v>
      </c>
      <c r="GB14" s="102">
        <v>1093220</v>
      </c>
      <c r="GC14" s="104">
        <v>0</v>
      </c>
      <c r="GD14" s="427"/>
      <c r="GE14" s="386"/>
      <c r="GF14" s="424">
        <v>99</v>
      </c>
      <c r="GG14" s="424">
        <v>40.200000000000003</v>
      </c>
      <c r="GH14" s="424">
        <v>96.6</v>
      </c>
      <c r="GI14" s="102">
        <v>553</v>
      </c>
      <c r="GJ14" s="429" t="s">
        <v>646</v>
      </c>
      <c r="GK14" s="429">
        <v>12.59</v>
      </c>
      <c r="GL14" s="87">
        <v>20</v>
      </c>
      <c r="GM14" s="429" t="s">
        <v>646</v>
      </c>
      <c r="GN14" s="430">
        <v>17.59</v>
      </c>
      <c r="GO14" s="430">
        <v>30</v>
      </c>
      <c r="GP14" s="425">
        <v>9.4</v>
      </c>
      <c r="GQ14" s="425">
        <v>25</v>
      </c>
      <c r="GR14" s="425">
        <v>35</v>
      </c>
      <c r="GS14" s="431">
        <v>65.099999999999994</v>
      </c>
      <c r="GT14" s="425">
        <v>350</v>
      </c>
      <c r="GU14" s="394"/>
      <c r="GV14" s="100">
        <f t="shared" si="16"/>
        <v>18055</v>
      </c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</row>
    <row r="15" spans="2:230" x14ac:dyDescent="0.15">
      <c r="B15" s="89" t="s">
        <v>19</v>
      </c>
      <c r="C15" s="102">
        <v>21487749</v>
      </c>
      <c r="D15" s="73">
        <f t="shared" si="0"/>
        <v>6920570</v>
      </c>
      <c r="E15" s="102">
        <v>221144</v>
      </c>
      <c r="F15" s="102">
        <v>6699426</v>
      </c>
      <c r="G15" s="73">
        <f t="shared" si="1"/>
        <v>1505860</v>
      </c>
      <c r="H15" s="102">
        <v>496137</v>
      </c>
      <c r="I15" s="102">
        <v>1009723</v>
      </c>
      <c r="J15" s="102">
        <v>9233281</v>
      </c>
      <c r="K15" s="102">
        <v>3646450</v>
      </c>
      <c r="L15" s="102">
        <v>4023108</v>
      </c>
      <c r="M15" s="102">
        <v>1360786</v>
      </c>
      <c r="N15" s="102">
        <v>1076419</v>
      </c>
      <c r="O15" s="102">
        <v>1884701</v>
      </c>
      <c r="P15" s="102">
        <v>991564</v>
      </c>
      <c r="Q15" s="102">
        <v>893137</v>
      </c>
      <c r="R15" s="102">
        <v>208389</v>
      </c>
      <c r="S15" s="74"/>
      <c r="T15" s="73">
        <f t="shared" si="2"/>
        <v>2798400</v>
      </c>
      <c r="U15" s="102">
        <v>24728</v>
      </c>
      <c r="V15" s="102">
        <v>90162</v>
      </c>
      <c r="W15" s="102">
        <v>53288</v>
      </c>
      <c r="X15" s="102">
        <v>2547154</v>
      </c>
      <c r="Y15" s="102">
        <v>0</v>
      </c>
      <c r="Z15" s="102">
        <v>0</v>
      </c>
      <c r="AA15" s="102">
        <v>83068</v>
      </c>
      <c r="AB15" s="102">
        <v>95175</v>
      </c>
      <c r="AC15" s="102">
        <v>6839313</v>
      </c>
      <c r="AD15" s="102">
        <v>6179485</v>
      </c>
      <c r="AE15" s="102">
        <v>659828</v>
      </c>
      <c r="AF15" s="102">
        <v>20998</v>
      </c>
      <c r="AG15" s="102">
        <v>1087054</v>
      </c>
      <c r="AH15" s="73">
        <f t="shared" si="3"/>
        <v>1005257</v>
      </c>
      <c r="AI15" s="102">
        <v>773100</v>
      </c>
      <c r="AJ15" s="102">
        <v>232157</v>
      </c>
      <c r="AK15" s="102">
        <v>15087366</v>
      </c>
      <c r="AL15" s="73">
        <f t="shared" si="4"/>
        <v>10869637</v>
      </c>
      <c r="AM15" s="102">
        <v>8201541</v>
      </c>
      <c r="AN15" s="102">
        <v>1031828</v>
      </c>
      <c r="AO15" s="74"/>
      <c r="AP15" s="102">
        <v>1636268</v>
      </c>
      <c r="AQ15" s="102">
        <v>597119</v>
      </c>
      <c r="AR15" s="102">
        <v>0</v>
      </c>
      <c r="AS15" s="102">
        <v>0</v>
      </c>
      <c r="AT15" s="102">
        <v>4337847</v>
      </c>
      <c r="AU15" s="102">
        <v>2558934</v>
      </c>
      <c r="AV15" s="102">
        <v>517452</v>
      </c>
      <c r="AW15" s="102">
        <v>501976</v>
      </c>
      <c r="AX15" s="102">
        <v>1778913</v>
      </c>
      <c r="AY15" s="102">
        <v>12966</v>
      </c>
      <c r="AZ15" s="102">
        <v>222999</v>
      </c>
      <c r="BA15" s="102">
        <v>116329</v>
      </c>
      <c r="BB15" s="102">
        <v>13691</v>
      </c>
      <c r="BC15" s="102">
        <v>875149</v>
      </c>
      <c r="BD15" s="102">
        <v>0</v>
      </c>
      <c r="BE15" s="102">
        <v>265956</v>
      </c>
      <c r="BF15" s="102">
        <v>609193</v>
      </c>
      <c r="BG15" s="102">
        <v>0</v>
      </c>
      <c r="BH15" s="102">
        <v>230366</v>
      </c>
      <c r="BI15" s="102">
        <v>10359</v>
      </c>
      <c r="BJ15" s="102">
        <v>982824</v>
      </c>
      <c r="BK15" s="102">
        <v>9463</v>
      </c>
      <c r="BL15" s="102">
        <v>0</v>
      </c>
      <c r="BM15" s="102">
        <v>25927</v>
      </c>
      <c r="BN15" s="102">
        <v>5088300</v>
      </c>
      <c r="BO15" s="73">
        <f t="shared" si="5"/>
        <v>2792200</v>
      </c>
      <c r="BP15" s="73">
        <f t="shared" si="6"/>
        <v>2296100</v>
      </c>
      <c r="BQ15" s="102">
        <v>0</v>
      </c>
      <c r="BR15" s="102">
        <v>0</v>
      </c>
      <c r="BS15" s="102">
        <v>2296100</v>
      </c>
      <c r="BT15" s="102">
        <v>0</v>
      </c>
      <c r="BU15" s="102">
        <v>60380877</v>
      </c>
      <c r="BV15" s="71"/>
      <c r="BW15" s="102">
        <v>7917173</v>
      </c>
      <c r="BX15" s="102">
        <v>5081524</v>
      </c>
      <c r="BY15" s="102">
        <v>742635</v>
      </c>
      <c r="BZ15" s="102">
        <v>496340</v>
      </c>
      <c r="CA15" s="102">
        <v>22723115</v>
      </c>
      <c r="CB15" s="102">
        <v>4111743</v>
      </c>
      <c r="CC15" s="102">
        <v>241645</v>
      </c>
      <c r="CD15" s="102">
        <v>5866668</v>
      </c>
      <c r="CE15" s="102">
        <v>10920012</v>
      </c>
      <c r="CF15" s="102">
        <v>1066320</v>
      </c>
      <c r="CG15" s="102">
        <v>516277</v>
      </c>
      <c r="CH15" s="102">
        <v>6232763</v>
      </c>
      <c r="CI15" s="102">
        <v>5591881</v>
      </c>
      <c r="CJ15" s="83">
        <f t="shared" si="17"/>
        <v>640882</v>
      </c>
      <c r="CK15" s="102">
        <v>6095555</v>
      </c>
      <c r="CL15" s="102">
        <v>3887941</v>
      </c>
      <c r="CM15" s="102">
        <v>484911</v>
      </c>
      <c r="CN15" s="102">
        <v>703697</v>
      </c>
      <c r="CO15" s="102">
        <v>438269</v>
      </c>
      <c r="CP15" s="102">
        <v>4955175</v>
      </c>
      <c r="CQ15" s="102">
        <v>1984449</v>
      </c>
      <c r="CR15" s="102">
        <v>712634</v>
      </c>
      <c r="CS15" s="102">
        <v>476036</v>
      </c>
      <c r="CT15" s="73">
        <f t="shared" si="7"/>
        <v>1433021</v>
      </c>
      <c r="CU15" s="102">
        <v>1433021</v>
      </c>
      <c r="CV15" s="102">
        <v>0</v>
      </c>
      <c r="CW15" s="73">
        <f t="shared" si="8"/>
        <v>0</v>
      </c>
      <c r="CX15" s="102">
        <v>0</v>
      </c>
      <c r="CY15" s="102">
        <v>0</v>
      </c>
      <c r="CZ15" s="73">
        <f t="shared" si="9"/>
        <v>1414000</v>
      </c>
      <c r="DA15" s="102">
        <v>1414000</v>
      </c>
      <c r="DB15" s="102">
        <v>0</v>
      </c>
      <c r="DC15" s="102">
        <v>5428800</v>
      </c>
      <c r="DD15" s="102">
        <v>2361646</v>
      </c>
      <c r="DE15" s="102">
        <v>3067154</v>
      </c>
      <c r="DF15" s="102">
        <v>0</v>
      </c>
      <c r="DG15" s="102">
        <v>0</v>
      </c>
      <c r="DH15" s="102">
        <v>0</v>
      </c>
      <c r="DI15" s="102">
        <v>39385</v>
      </c>
      <c r="DJ15" s="102">
        <v>15183</v>
      </c>
      <c r="DK15" s="102">
        <v>9369</v>
      </c>
      <c r="DL15" s="102">
        <v>14833</v>
      </c>
      <c r="DM15" s="102">
        <v>14277</v>
      </c>
      <c r="DN15" s="102">
        <v>14277</v>
      </c>
      <c r="DO15" s="102">
        <v>14277</v>
      </c>
      <c r="DP15" s="102">
        <v>0</v>
      </c>
      <c r="DQ15" s="102">
        <v>1635</v>
      </c>
      <c r="DR15" s="102">
        <v>0</v>
      </c>
      <c r="DS15" s="102">
        <v>0</v>
      </c>
      <c r="DT15" s="102">
        <v>5914135</v>
      </c>
      <c r="DU15" s="102">
        <v>0</v>
      </c>
      <c r="DV15" s="73">
        <f t="shared" si="10"/>
        <v>0</v>
      </c>
      <c r="DW15" s="102">
        <v>0</v>
      </c>
      <c r="DX15" s="102">
        <v>1882077</v>
      </c>
      <c r="DY15" s="102">
        <v>0</v>
      </c>
      <c r="DZ15" s="102">
        <v>2036411</v>
      </c>
      <c r="EA15" s="74">
        <v>0</v>
      </c>
      <c r="EB15" s="102">
        <v>1995647</v>
      </c>
      <c r="EC15" s="102">
        <v>0</v>
      </c>
      <c r="ED15" s="102">
        <v>59760282</v>
      </c>
      <c r="EE15" s="71"/>
      <c r="EF15" s="102">
        <v>620595</v>
      </c>
      <c r="EG15" s="102">
        <v>239796</v>
      </c>
      <c r="EH15" s="102">
        <v>380799</v>
      </c>
      <c r="EI15" s="102">
        <v>-1529560</v>
      </c>
      <c r="EJ15" s="102">
        <v>-955577</v>
      </c>
      <c r="EK15" s="71"/>
      <c r="EL15" s="102">
        <v>143042</v>
      </c>
      <c r="EM15" s="102">
        <v>143983</v>
      </c>
      <c r="EN15" s="102">
        <v>265956</v>
      </c>
      <c r="EO15" s="102">
        <v>197183</v>
      </c>
      <c r="EP15" s="73">
        <f t="shared" si="11"/>
        <v>1005128</v>
      </c>
      <c r="EQ15" s="102">
        <v>31450024</v>
      </c>
      <c r="ER15" s="71">
        <v>-3743369</v>
      </c>
      <c r="ES15" s="102">
        <v>7487125</v>
      </c>
      <c r="ET15" s="102">
        <v>4740813</v>
      </c>
      <c r="EU15" s="102">
        <v>6140544</v>
      </c>
      <c r="EV15" s="102">
        <v>6212309</v>
      </c>
      <c r="EW15" s="73">
        <f t="shared" si="12"/>
        <v>912165</v>
      </c>
      <c r="EX15" s="102">
        <v>912165</v>
      </c>
      <c r="EY15" s="102">
        <v>131685</v>
      </c>
      <c r="EZ15" s="102">
        <v>780480</v>
      </c>
      <c r="FA15" s="102">
        <v>0</v>
      </c>
      <c r="FB15" s="102">
        <v>0</v>
      </c>
      <c r="FC15" s="102">
        <v>4844556</v>
      </c>
      <c r="FD15" s="102">
        <v>4509896</v>
      </c>
      <c r="FE15" s="102">
        <v>1983206</v>
      </c>
      <c r="FF15" s="102">
        <v>4260333</v>
      </c>
      <c r="FG15" s="73">
        <f t="shared" si="13"/>
        <v>205870</v>
      </c>
      <c r="FH15" s="102">
        <v>34572798</v>
      </c>
      <c r="FI15" s="379">
        <f t="shared" si="14"/>
        <v>1.2</v>
      </c>
      <c r="FJ15" s="102">
        <v>28500663</v>
      </c>
      <c r="FK15" s="102">
        <v>2296221</v>
      </c>
      <c r="FL15" s="102">
        <v>17369329</v>
      </c>
      <c r="FM15" s="102">
        <v>23581548</v>
      </c>
      <c r="FN15" s="428">
        <v>0.73699999999999999</v>
      </c>
      <c r="FO15" s="424">
        <v>100.7</v>
      </c>
      <c r="FP15" s="425">
        <v>23.5</v>
      </c>
      <c r="FQ15" s="424">
        <v>19.5</v>
      </c>
      <c r="FR15" s="424">
        <v>17.899999999999999</v>
      </c>
      <c r="FS15" s="425">
        <v>14.7</v>
      </c>
      <c r="FT15" s="424">
        <v>12.4</v>
      </c>
      <c r="FU15" s="425">
        <v>12.1</v>
      </c>
      <c r="FV15" s="384">
        <v>7</v>
      </c>
      <c r="FW15" s="102">
        <v>60839740</v>
      </c>
      <c r="FX15" s="384">
        <f t="shared" si="15"/>
        <v>197.6</v>
      </c>
      <c r="FY15" s="102">
        <v>6404241</v>
      </c>
      <c r="FZ15" s="102">
        <v>2064901</v>
      </c>
      <c r="GA15" s="102">
        <v>2523858</v>
      </c>
      <c r="GB15" s="102">
        <v>1815482</v>
      </c>
      <c r="GC15" s="104">
        <v>0</v>
      </c>
      <c r="GD15" s="427"/>
      <c r="GE15" s="386"/>
      <c r="GF15" s="424">
        <v>99</v>
      </c>
      <c r="GG15" s="424">
        <v>35.5</v>
      </c>
      <c r="GH15" s="424">
        <v>95.7</v>
      </c>
      <c r="GI15" s="102">
        <v>743</v>
      </c>
      <c r="GJ15" s="429" t="s">
        <v>646</v>
      </c>
      <c r="GK15" s="429">
        <v>11.77</v>
      </c>
      <c r="GL15" s="87">
        <v>20</v>
      </c>
      <c r="GM15" s="429" t="s">
        <v>646</v>
      </c>
      <c r="GN15" s="430">
        <v>16.77</v>
      </c>
      <c r="GO15" s="430">
        <v>30</v>
      </c>
      <c r="GP15" s="425">
        <v>7</v>
      </c>
      <c r="GQ15" s="425">
        <v>25</v>
      </c>
      <c r="GR15" s="425">
        <v>35</v>
      </c>
      <c r="GS15" s="431">
        <v>65.5</v>
      </c>
      <c r="GT15" s="425">
        <v>350</v>
      </c>
      <c r="GU15" s="394"/>
      <c r="GV15" s="100">
        <f t="shared" si="16"/>
        <v>30797</v>
      </c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</row>
    <row r="16" spans="2:230" x14ac:dyDescent="0.15">
      <c r="B16" s="89" t="s">
        <v>21</v>
      </c>
      <c r="C16" s="102">
        <v>55825101</v>
      </c>
      <c r="D16" s="73">
        <f t="shared" si="0"/>
        <v>22521471</v>
      </c>
      <c r="E16" s="102">
        <v>590980</v>
      </c>
      <c r="F16" s="102">
        <v>21930491</v>
      </c>
      <c r="G16" s="73">
        <f t="shared" si="1"/>
        <v>3787990</v>
      </c>
      <c r="H16" s="102">
        <v>720899</v>
      </c>
      <c r="I16" s="102">
        <v>3067091</v>
      </c>
      <c r="J16" s="102">
        <v>21057614</v>
      </c>
      <c r="K16" s="102">
        <v>8324754</v>
      </c>
      <c r="L16" s="102">
        <v>9922914</v>
      </c>
      <c r="M16" s="102">
        <v>2471833</v>
      </c>
      <c r="N16" s="102">
        <v>2057120</v>
      </c>
      <c r="O16" s="102">
        <v>4537173</v>
      </c>
      <c r="P16" s="102">
        <v>2406432</v>
      </c>
      <c r="Q16" s="102">
        <v>2130741</v>
      </c>
      <c r="R16" s="102">
        <v>616999</v>
      </c>
      <c r="S16" s="74"/>
      <c r="T16" s="73">
        <f t="shared" si="2"/>
        <v>7615741</v>
      </c>
      <c r="U16" s="102">
        <v>83848</v>
      </c>
      <c r="V16" s="102">
        <v>305642</v>
      </c>
      <c r="W16" s="102">
        <v>179776</v>
      </c>
      <c r="X16" s="102">
        <v>6715004</v>
      </c>
      <c r="Y16" s="102">
        <v>85540</v>
      </c>
      <c r="Z16" s="102">
        <v>0</v>
      </c>
      <c r="AA16" s="102">
        <v>245931</v>
      </c>
      <c r="AB16" s="102">
        <v>276761</v>
      </c>
      <c r="AC16" s="102">
        <v>10706358</v>
      </c>
      <c r="AD16" s="102">
        <v>10421852</v>
      </c>
      <c r="AE16" s="102">
        <v>284506</v>
      </c>
      <c r="AF16" s="102">
        <v>56447</v>
      </c>
      <c r="AG16" s="102">
        <v>1393367</v>
      </c>
      <c r="AH16" s="73">
        <f t="shared" si="3"/>
        <v>2457932</v>
      </c>
      <c r="AI16" s="102">
        <v>1884739</v>
      </c>
      <c r="AJ16" s="102">
        <v>573193</v>
      </c>
      <c r="AK16" s="102">
        <v>26250614</v>
      </c>
      <c r="AL16" s="73">
        <f t="shared" si="4"/>
        <v>15663723</v>
      </c>
      <c r="AM16" s="102">
        <v>10102276</v>
      </c>
      <c r="AN16" s="102">
        <v>2354356</v>
      </c>
      <c r="AO16" s="74"/>
      <c r="AP16" s="102">
        <v>3207091</v>
      </c>
      <c r="AQ16" s="102">
        <v>381817</v>
      </c>
      <c r="AR16" s="102">
        <v>0</v>
      </c>
      <c r="AS16" s="102">
        <v>0</v>
      </c>
      <c r="AT16" s="102">
        <v>10018370</v>
      </c>
      <c r="AU16" s="102">
        <v>7328089</v>
      </c>
      <c r="AV16" s="102">
        <v>1177168</v>
      </c>
      <c r="AW16" s="102">
        <v>217854</v>
      </c>
      <c r="AX16" s="102">
        <v>2690281</v>
      </c>
      <c r="AY16" s="102">
        <v>0</v>
      </c>
      <c r="AZ16" s="102">
        <v>106631</v>
      </c>
      <c r="BA16" s="102">
        <v>41731</v>
      </c>
      <c r="BB16" s="102">
        <v>150710</v>
      </c>
      <c r="BC16" s="102">
        <v>3863517</v>
      </c>
      <c r="BD16" s="102">
        <v>800000</v>
      </c>
      <c r="BE16" s="102">
        <v>0</v>
      </c>
      <c r="BF16" s="102">
        <v>3042010</v>
      </c>
      <c r="BG16" s="102">
        <v>0</v>
      </c>
      <c r="BH16" s="102">
        <v>2157313</v>
      </c>
      <c r="BI16" s="102">
        <v>1942933</v>
      </c>
      <c r="BJ16" s="102">
        <v>1320089</v>
      </c>
      <c r="BK16" s="102">
        <v>23976</v>
      </c>
      <c r="BL16" s="102">
        <v>0</v>
      </c>
      <c r="BM16" s="102">
        <v>36419</v>
      </c>
      <c r="BN16" s="102">
        <v>11719166</v>
      </c>
      <c r="BO16" s="73">
        <f t="shared" si="5"/>
        <v>6044800</v>
      </c>
      <c r="BP16" s="73">
        <f t="shared" si="6"/>
        <v>5674366</v>
      </c>
      <c r="BQ16" s="102">
        <v>0</v>
      </c>
      <c r="BR16" s="102">
        <v>0</v>
      </c>
      <c r="BS16" s="102">
        <v>5674366</v>
      </c>
      <c r="BT16" s="102">
        <v>0</v>
      </c>
      <c r="BU16" s="102">
        <v>134535116</v>
      </c>
      <c r="BV16" s="71"/>
      <c r="BW16" s="102">
        <v>20755295</v>
      </c>
      <c r="BX16" s="102">
        <v>14410024</v>
      </c>
      <c r="BY16" s="102">
        <v>1308533</v>
      </c>
      <c r="BZ16" s="102">
        <v>1379647</v>
      </c>
      <c r="CA16" s="102">
        <v>42497327</v>
      </c>
      <c r="CB16" s="102">
        <v>9181908</v>
      </c>
      <c r="CC16" s="102">
        <v>763431</v>
      </c>
      <c r="CD16" s="102">
        <v>18472486</v>
      </c>
      <c r="CE16" s="102">
        <v>13461674</v>
      </c>
      <c r="CF16" s="102">
        <v>158017</v>
      </c>
      <c r="CG16" s="102">
        <v>459241</v>
      </c>
      <c r="CH16" s="102">
        <v>10659463</v>
      </c>
      <c r="CI16" s="102">
        <v>9747472</v>
      </c>
      <c r="CJ16" s="83">
        <f t="shared" si="17"/>
        <v>911991</v>
      </c>
      <c r="CK16" s="102">
        <v>13294316</v>
      </c>
      <c r="CL16" s="102">
        <v>8185775</v>
      </c>
      <c r="CM16" s="102">
        <v>720974</v>
      </c>
      <c r="CN16" s="102">
        <v>2278501</v>
      </c>
      <c r="CO16" s="102">
        <v>1097488</v>
      </c>
      <c r="CP16" s="102">
        <v>20906032</v>
      </c>
      <c r="CQ16" s="102">
        <v>4461265</v>
      </c>
      <c r="CR16" s="102">
        <v>2751974</v>
      </c>
      <c r="CS16" s="102">
        <v>1867076</v>
      </c>
      <c r="CT16" s="73">
        <f t="shared" si="7"/>
        <v>6885117</v>
      </c>
      <c r="CU16" s="102">
        <v>3292690</v>
      </c>
      <c r="CV16" s="102">
        <v>3592427</v>
      </c>
      <c r="CW16" s="73">
        <f t="shared" si="8"/>
        <v>1854352</v>
      </c>
      <c r="CX16" s="102">
        <v>1689140</v>
      </c>
      <c r="CY16" s="102">
        <v>165212</v>
      </c>
      <c r="CZ16" s="73">
        <f t="shared" si="9"/>
        <v>4884681</v>
      </c>
      <c r="DA16" s="102">
        <v>1565813</v>
      </c>
      <c r="DB16" s="102">
        <v>3318868</v>
      </c>
      <c r="DC16" s="102">
        <v>9805925</v>
      </c>
      <c r="DD16" s="102">
        <v>2383549</v>
      </c>
      <c r="DE16" s="102">
        <v>5968964</v>
      </c>
      <c r="DF16" s="102">
        <v>177</v>
      </c>
      <c r="DG16" s="102">
        <v>1453235</v>
      </c>
      <c r="DH16" s="102">
        <v>41723</v>
      </c>
      <c r="DI16" s="102">
        <v>1160381</v>
      </c>
      <c r="DJ16" s="102">
        <v>1059477</v>
      </c>
      <c r="DK16" s="102">
        <v>7044</v>
      </c>
      <c r="DL16" s="102">
        <v>93860</v>
      </c>
      <c r="DM16" s="102">
        <v>12900</v>
      </c>
      <c r="DN16" s="102">
        <v>12900</v>
      </c>
      <c r="DO16" s="102">
        <v>12900</v>
      </c>
      <c r="DP16" s="102">
        <v>0</v>
      </c>
      <c r="DQ16" s="102">
        <v>12657</v>
      </c>
      <c r="DR16" s="102">
        <v>0</v>
      </c>
      <c r="DS16" s="102">
        <v>0</v>
      </c>
      <c r="DT16" s="102">
        <v>12358516</v>
      </c>
      <c r="DU16" s="102">
        <v>0</v>
      </c>
      <c r="DV16" s="73">
        <f t="shared" si="10"/>
        <v>0</v>
      </c>
      <c r="DW16" s="102">
        <v>0</v>
      </c>
      <c r="DX16" s="102">
        <v>4128404</v>
      </c>
      <c r="DY16" s="102">
        <v>0</v>
      </c>
      <c r="DZ16" s="102">
        <v>4174892</v>
      </c>
      <c r="EA16" s="74">
        <v>0</v>
      </c>
      <c r="EB16" s="102">
        <v>4055220</v>
      </c>
      <c r="EC16" s="102">
        <v>0</v>
      </c>
      <c r="ED16" s="102">
        <v>132602023</v>
      </c>
      <c r="EE16" s="71"/>
      <c r="EF16" s="102">
        <v>1933093</v>
      </c>
      <c r="EG16" s="102">
        <v>250052</v>
      </c>
      <c r="EH16" s="102">
        <v>1683041</v>
      </c>
      <c r="EI16" s="102">
        <v>-259892</v>
      </c>
      <c r="EJ16" s="102">
        <v>671489</v>
      </c>
      <c r="EK16" s="71"/>
      <c r="EL16" s="102">
        <v>404152</v>
      </c>
      <c r="EM16" s="102">
        <v>404963</v>
      </c>
      <c r="EN16" s="102">
        <v>821507</v>
      </c>
      <c r="EO16" s="102">
        <v>77584</v>
      </c>
      <c r="EP16" s="73">
        <f t="shared" si="11"/>
        <v>6060232</v>
      </c>
      <c r="EQ16" s="102">
        <v>75097407</v>
      </c>
      <c r="ER16" s="71">
        <v>-12577242</v>
      </c>
      <c r="ES16" s="102">
        <v>19038350</v>
      </c>
      <c r="ET16" s="102">
        <v>12997017</v>
      </c>
      <c r="EU16" s="102">
        <v>13088570</v>
      </c>
      <c r="EV16" s="102">
        <v>10658151</v>
      </c>
      <c r="EW16" s="73">
        <f t="shared" si="12"/>
        <v>2709782</v>
      </c>
      <c r="EX16" s="102">
        <v>2688859</v>
      </c>
      <c r="EY16" s="102">
        <v>188900</v>
      </c>
      <c r="EZ16" s="102">
        <v>2499782</v>
      </c>
      <c r="FA16" s="102">
        <v>20923</v>
      </c>
      <c r="FB16" s="102">
        <v>0</v>
      </c>
      <c r="FC16" s="102">
        <v>10922497</v>
      </c>
      <c r="FD16" s="102">
        <v>17401068</v>
      </c>
      <c r="FE16" s="102">
        <v>4451322</v>
      </c>
      <c r="FF16" s="102">
        <v>9883428</v>
      </c>
      <c r="FG16" s="73">
        <f t="shared" si="13"/>
        <v>2039710</v>
      </c>
      <c r="FH16" s="102">
        <v>85741556</v>
      </c>
      <c r="FI16" s="379">
        <f t="shared" si="14"/>
        <v>2.2000000000000002</v>
      </c>
      <c r="FJ16" s="102">
        <v>70583753</v>
      </c>
      <c r="FK16" s="102">
        <v>5674366</v>
      </c>
      <c r="FL16" s="102">
        <v>46887604</v>
      </c>
      <c r="FM16" s="102">
        <v>57356641</v>
      </c>
      <c r="FN16" s="428">
        <v>0.79900000000000004</v>
      </c>
      <c r="FO16" s="424">
        <v>94.9</v>
      </c>
      <c r="FP16" s="425">
        <v>24.8</v>
      </c>
      <c r="FQ16" s="424">
        <v>16.600000000000001</v>
      </c>
      <c r="FR16" s="424">
        <v>13.1</v>
      </c>
      <c r="FS16" s="425">
        <v>12</v>
      </c>
      <c r="FT16" s="424">
        <v>15.9</v>
      </c>
      <c r="FU16" s="425">
        <v>11.3</v>
      </c>
      <c r="FV16" s="384">
        <v>-0.1</v>
      </c>
      <c r="FW16" s="102">
        <v>101225076</v>
      </c>
      <c r="FX16" s="384">
        <f t="shared" si="15"/>
        <v>132.69999999999999</v>
      </c>
      <c r="FY16" s="102">
        <v>27032065</v>
      </c>
      <c r="FZ16" s="102">
        <v>9990077</v>
      </c>
      <c r="GA16" s="102">
        <v>5350638</v>
      </c>
      <c r="GB16" s="102">
        <v>11691350</v>
      </c>
      <c r="GC16" s="104">
        <v>0</v>
      </c>
      <c r="GD16" s="427">
        <v>6949</v>
      </c>
      <c r="GE16" s="386">
        <f>IF(GD16=0,"-",ROUND(GD16/(GV16)*100,1))</f>
        <v>9.1</v>
      </c>
      <c r="GF16" s="424">
        <v>99.5</v>
      </c>
      <c r="GG16" s="424">
        <v>32.6</v>
      </c>
      <c r="GH16" s="424">
        <v>98.1</v>
      </c>
      <c r="GI16" s="102">
        <v>2144</v>
      </c>
      <c r="GJ16" s="429" t="s">
        <v>646</v>
      </c>
      <c r="GK16" s="429">
        <v>11.25</v>
      </c>
      <c r="GL16" s="87">
        <v>20</v>
      </c>
      <c r="GM16" s="429" t="s">
        <v>646</v>
      </c>
      <c r="GN16" s="430">
        <v>16.25</v>
      </c>
      <c r="GO16" s="430">
        <v>30</v>
      </c>
      <c r="GP16" s="425">
        <v>-0.1</v>
      </c>
      <c r="GQ16" s="425">
        <v>25</v>
      </c>
      <c r="GR16" s="425">
        <v>35</v>
      </c>
      <c r="GS16" s="431" t="s">
        <v>646</v>
      </c>
      <c r="GT16" s="425">
        <v>350</v>
      </c>
      <c r="GU16" s="394"/>
      <c r="GV16" s="100">
        <f t="shared" si="16"/>
        <v>76258</v>
      </c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</row>
    <row r="17" spans="2:230" x14ac:dyDescent="0.15">
      <c r="B17" s="89" t="s">
        <v>23</v>
      </c>
      <c r="C17" s="102">
        <v>45315399</v>
      </c>
      <c r="D17" s="73">
        <f t="shared" si="0"/>
        <v>17731823</v>
      </c>
      <c r="E17" s="102">
        <v>458168</v>
      </c>
      <c r="F17" s="102">
        <v>17273655</v>
      </c>
      <c r="G17" s="73">
        <f t="shared" si="1"/>
        <v>3286181</v>
      </c>
      <c r="H17" s="102">
        <v>724669</v>
      </c>
      <c r="I17" s="102">
        <v>2561512</v>
      </c>
      <c r="J17" s="102">
        <v>18411433</v>
      </c>
      <c r="K17" s="102">
        <v>7943128</v>
      </c>
      <c r="L17" s="102">
        <v>8000725</v>
      </c>
      <c r="M17" s="102">
        <v>2211465</v>
      </c>
      <c r="N17" s="102">
        <v>1661767</v>
      </c>
      <c r="O17" s="102">
        <v>3810383</v>
      </c>
      <c r="P17" s="102">
        <v>2100194</v>
      </c>
      <c r="Q17" s="102">
        <v>1710189</v>
      </c>
      <c r="R17" s="102">
        <v>474320</v>
      </c>
      <c r="S17" s="74"/>
      <c r="T17" s="73">
        <f t="shared" si="2"/>
        <v>5523165</v>
      </c>
      <c r="U17" s="102">
        <v>64579</v>
      </c>
      <c r="V17" s="102">
        <v>235435</v>
      </c>
      <c r="W17" s="102">
        <v>138856</v>
      </c>
      <c r="X17" s="102">
        <v>4809828</v>
      </c>
      <c r="Y17" s="102">
        <v>85394</v>
      </c>
      <c r="Z17" s="102">
        <v>0</v>
      </c>
      <c r="AA17" s="102">
        <v>189073</v>
      </c>
      <c r="AB17" s="102">
        <v>194227</v>
      </c>
      <c r="AC17" s="102">
        <v>1535732</v>
      </c>
      <c r="AD17" s="102">
        <v>1304006</v>
      </c>
      <c r="AE17" s="102">
        <v>231689</v>
      </c>
      <c r="AF17" s="102">
        <v>47161</v>
      </c>
      <c r="AG17" s="102">
        <v>682251</v>
      </c>
      <c r="AH17" s="73">
        <f t="shared" si="3"/>
        <v>1687737</v>
      </c>
      <c r="AI17" s="102">
        <v>1267764</v>
      </c>
      <c r="AJ17" s="102">
        <v>419973</v>
      </c>
      <c r="AK17" s="102">
        <v>17608095</v>
      </c>
      <c r="AL17" s="73">
        <f t="shared" si="4"/>
        <v>8910573</v>
      </c>
      <c r="AM17" s="102">
        <v>5042927</v>
      </c>
      <c r="AN17" s="102">
        <v>1912107</v>
      </c>
      <c r="AO17" s="74"/>
      <c r="AP17" s="102">
        <v>1955539</v>
      </c>
      <c r="AQ17" s="102">
        <v>1024471</v>
      </c>
      <c r="AR17" s="102">
        <v>0</v>
      </c>
      <c r="AS17" s="102">
        <v>0</v>
      </c>
      <c r="AT17" s="102">
        <v>6590825</v>
      </c>
      <c r="AU17" s="102">
        <v>3985565</v>
      </c>
      <c r="AV17" s="102">
        <v>943188</v>
      </c>
      <c r="AW17" s="102">
        <v>16139</v>
      </c>
      <c r="AX17" s="102">
        <v>2605260</v>
      </c>
      <c r="AY17" s="102">
        <v>196270</v>
      </c>
      <c r="AZ17" s="102">
        <v>636847</v>
      </c>
      <c r="BA17" s="102">
        <v>594464</v>
      </c>
      <c r="BB17" s="102">
        <v>131280</v>
      </c>
      <c r="BC17" s="102">
        <v>171185</v>
      </c>
      <c r="BD17" s="102">
        <v>0</v>
      </c>
      <c r="BE17" s="102">
        <v>0</v>
      </c>
      <c r="BF17" s="102">
        <v>71591</v>
      </c>
      <c r="BG17" s="102">
        <v>0</v>
      </c>
      <c r="BH17" s="102">
        <v>867943</v>
      </c>
      <c r="BI17" s="102">
        <v>455505</v>
      </c>
      <c r="BJ17" s="102">
        <v>2685892</v>
      </c>
      <c r="BK17" s="102">
        <v>416770</v>
      </c>
      <c r="BL17" s="102">
        <v>5466</v>
      </c>
      <c r="BM17" s="102">
        <v>43241</v>
      </c>
      <c r="BN17" s="102">
        <v>1814800</v>
      </c>
      <c r="BO17" s="73">
        <f t="shared" si="5"/>
        <v>1328500</v>
      </c>
      <c r="BP17" s="73">
        <f t="shared" si="6"/>
        <v>486300</v>
      </c>
      <c r="BQ17" s="102">
        <v>0</v>
      </c>
      <c r="BR17" s="102">
        <v>0</v>
      </c>
      <c r="BS17" s="102">
        <v>486300</v>
      </c>
      <c r="BT17" s="102">
        <v>0</v>
      </c>
      <c r="BU17" s="102">
        <v>85966859</v>
      </c>
      <c r="BV17" s="71"/>
      <c r="BW17" s="102">
        <v>13481774</v>
      </c>
      <c r="BX17" s="102">
        <v>9493090</v>
      </c>
      <c r="BY17" s="102">
        <v>779452</v>
      </c>
      <c r="BZ17" s="102">
        <v>682986</v>
      </c>
      <c r="CA17" s="102">
        <v>26598794</v>
      </c>
      <c r="CB17" s="102">
        <v>5870812</v>
      </c>
      <c r="CC17" s="102">
        <v>556928</v>
      </c>
      <c r="CD17" s="102">
        <v>12799790</v>
      </c>
      <c r="CE17" s="102">
        <v>6709853</v>
      </c>
      <c r="CF17" s="102">
        <v>0</v>
      </c>
      <c r="CG17" s="102">
        <v>661291</v>
      </c>
      <c r="CH17" s="102">
        <v>4826369</v>
      </c>
      <c r="CI17" s="102">
        <v>4231958</v>
      </c>
      <c r="CJ17" s="83">
        <f t="shared" si="17"/>
        <v>594411</v>
      </c>
      <c r="CK17" s="102">
        <v>14963759</v>
      </c>
      <c r="CL17" s="102">
        <v>7622799</v>
      </c>
      <c r="CM17" s="102">
        <v>1369188</v>
      </c>
      <c r="CN17" s="102">
        <v>3713236</v>
      </c>
      <c r="CO17" s="102">
        <v>1104618</v>
      </c>
      <c r="CP17" s="102">
        <v>6753676</v>
      </c>
      <c r="CQ17" s="102">
        <v>6414</v>
      </c>
      <c r="CR17" s="102">
        <v>3007345</v>
      </c>
      <c r="CS17" s="102">
        <v>1705416</v>
      </c>
      <c r="CT17" s="73">
        <f t="shared" si="7"/>
        <v>2544578</v>
      </c>
      <c r="CU17" s="102">
        <v>1220562</v>
      </c>
      <c r="CV17" s="102">
        <v>1324016</v>
      </c>
      <c r="CW17" s="73">
        <f t="shared" si="8"/>
        <v>0</v>
      </c>
      <c r="CX17" s="102">
        <v>0</v>
      </c>
      <c r="CY17" s="102">
        <v>0</v>
      </c>
      <c r="CZ17" s="73">
        <f t="shared" si="9"/>
        <v>2478338</v>
      </c>
      <c r="DA17" s="102">
        <v>1216556</v>
      </c>
      <c r="DB17" s="102">
        <v>1261782</v>
      </c>
      <c r="DC17" s="102">
        <v>6940903</v>
      </c>
      <c r="DD17" s="102">
        <v>3276627</v>
      </c>
      <c r="DE17" s="102">
        <v>3659256</v>
      </c>
      <c r="DF17" s="102">
        <v>0</v>
      </c>
      <c r="DG17" s="102">
        <v>5020</v>
      </c>
      <c r="DH17" s="102">
        <v>51025</v>
      </c>
      <c r="DI17" s="102">
        <v>1406487</v>
      </c>
      <c r="DJ17" s="102">
        <v>430</v>
      </c>
      <c r="DK17" s="102">
        <v>0</v>
      </c>
      <c r="DL17" s="102">
        <v>1406057</v>
      </c>
      <c r="DM17" s="102">
        <v>9180</v>
      </c>
      <c r="DN17" s="102">
        <v>9180</v>
      </c>
      <c r="DO17" s="102">
        <v>9180</v>
      </c>
      <c r="DP17" s="102">
        <v>0</v>
      </c>
      <c r="DQ17" s="102">
        <v>416720</v>
      </c>
      <c r="DR17" s="102">
        <v>0</v>
      </c>
      <c r="DS17" s="102">
        <v>0</v>
      </c>
      <c r="DT17" s="102">
        <v>7069940</v>
      </c>
      <c r="DU17" s="102">
        <v>0</v>
      </c>
      <c r="DV17" s="73">
        <f t="shared" si="10"/>
        <v>0</v>
      </c>
      <c r="DW17" s="102">
        <v>0</v>
      </c>
      <c r="DX17" s="102">
        <v>2746901</v>
      </c>
      <c r="DY17" s="102">
        <v>0</v>
      </c>
      <c r="DZ17" s="102">
        <v>1993440</v>
      </c>
      <c r="EA17" s="74">
        <v>0</v>
      </c>
      <c r="EB17" s="102">
        <v>2329599</v>
      </c>
      <c r="EC17" s="102">
        <v>0</v>
      </c>
      <c r="ED17" s="102">
        <v>83623245</v>
      </c>
      <c r="EE17" s="71"/>
      <c r="EF17" s="102">
        <v>2343614</v>
      </c>
      <c r="EG17" s="102">
        <v>1434980</v>
      </c>
      <c r="EH17" s="102">
        <v>908634</v>
      </c>
      <c r="EI17" s="102">
        <v>-3871</v>
      </c>
      <c r="EJ17" s="102">
        <v>-3441</v>
      </c>
      <c r="EK17" s="71"/>
      <c r="EL17" s="102">
        <v>280033</v>
      </c>
      <c r="EM17" s="102">
        <v>280601</v>
      </c>
      <c r="EN17" s="102">
        <v>99594</v>
      </c>
      <c r="EO17" s="102">
        <v>636015</v>
      </c>
      <c r="EP17" s="73">
        <f t="shared" si="11"/>
        <v>1985054</v>
      </c>
      <c r="EQ17" s="102">
        <v>53090004</v>
      </c>
      <c r="ER17" s="71">
        <v>-3159802</v>
      </c>
      <c r="ES17" s="102">
        <v>12244030</v>
      </c>
      <c r="ET17" s="102">
        <v>8366230</v>
      </c>
      <c r="EU17" s="102">
        <v>7801505</v>
      </c>
      <c r="EV17" s="102">
        <v>4826369</v>
      </c>
      <c r="EW17" s="73">
        <f t="shared" si="12"/>
        <v>3042126</v>
      </c>
      <c r="EX17" s="102">
        <v>3037567</v>
      </c>
      <c r="EY17" s="102">
        <v>492434</v>
      </c>
      <c r="EZ17" s="102">
        <v>2545133</v>
      </c>
      <c r="FA17" s="102">
        <v>4559</v>
      </c>
      <c r="FB17" s="102">
        <v>0</v>
      </c>
      <c r="FC17" s="102">
        <v>11977029</v>
      </c>
      <c r="FD17" s="102">
        <v>5961820</v>
      </c>
      <c r="FE17" s="102">
        <v>6414</v>
      </c>
      <c r="FF17" s="102">
        <v>5539487</v>
      </c>
      <c r="FG17" s="73">
        <f t="shared" si="13"/>
        <v>2513826</v>
      </c>
      <c r="FH17" s="102">
        <v>53906192</v>
      </c>
      <c r="FI17" s="379">
        <f t="shared" si="14"/>
        <v>1.8</v>
      </c>
      <c r="FJ17" s="102">
        <v>48520949</v>
      </c>
      <c r="FK17" s="102">
        <v>2022225</v>
      </c>
      <c r="FL17" s="102">
        <v>36585298</v>
      </c>
      <c r="FM17" s="102">
        <v>37879187</v>
      </c>
      <c r="FN17" s="428">
        <v>0.95699999999999996</v>
      </c>
      <c r="FO17" s="424">
        <v>92</v>
      </c>
      <c r="FP17" s="425">
        <v>24</v>
      </c>
      <c r="FQ17" s="424">
        <v>15.5</v>
      </c>
      <c r="FR17" s="424">
        <v>9.6</v>
      </c>
      <c r="FS17" s="425">
        <v>21.7</v>
      </c>
      <c r="FT17" s="424">
        <v>8.8000000000000007</v>
      </c>
      <c r="FU17" s="425">
        <v>10.7</v>
      </c>
      <c r="FV17" s="384">
        <v>-3.4</v>
      </c>
      <c r="FW17" s="102">
        <v>56423690</v>
      </c>
      <c r="FX17" s="384">
        <f t="shared" si="15"/>
        <v>111.6</v>
      </c>
      <c r="FY17" s="102">
        <v>20080761</v>
      </c>
      <c r="FZ17" s="102">
        <v>7671650</v>
      </c>
      <c r="GA17" s="102">
        <v>0</v>
      </c>
      <c r="GB17" s="102">
        <v>12409111</v>
      </c>
      <c r="GC17" s="104">
        <v>0</v>
      </c>
      <c r="GD17" s="427">
        <v>677</v>
      </c>
      <c r="GE17" s="386">
        <f>IF(GD17=0,"-",ROUND(GD17/(GV17)*100,1))</f>
        <v>1.3</v>
      </c>
      <c r="GF17" s="424">
        <v>99.2</v>
      </c>
      <c r="GG17" s="424">
        <v>28.4</v>
      </c>
      <c r="GH17" s="424">
        <v>96.6</v>
      </c>
      <c r="GI17" s="102">
        <v>1481</v>
      </c>
      <c r="GJ17" s="429" t="s">
        <v>646</v>
      </c>
      <c r="GK17" s="429">
        <v>11.25</v>
      </c>
      <c r="GL17" s="87">
        <v>20</v>
      </c>
      <c r="GM17" s="429" t="s">
        <v>646</v>
      </c>
      <c r="GN17" s="430">
        <v>16.25</v>
      </c>
      <c r="GO17" s="430">
        <v>30</v>
      </c>
      <c r="GP17" s="425">
        <v>-3.4</v>
      </c>
      <c r="GQ17" s="425">
        <v>25</v>
      </c>
      <c r="GR17" s="425">
        <v>35</v>
      </c>
      <c r="GS17" s="431" t="s">
        <v>646</v>
      </c>
      <c r="GT17" s="425">
        <v>350</v>
      </c>
      <c r="GU17" s="394"/>
      <c r="GV17" s="100">
        <f t="shared" si="16"/>
        <v>50543</v>
      </c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</row>
    <row r="18" spans="2:230" x14ac:dyDescent="0.15">
      <c r="B18" s="89" t="s">
        <v>25</v>
      </c>
      <c r="C18" s="102">
        <v>38239908</v>
      </c>
      <c r="D18" s="73">
        <f t="shared" si="0"/>
        <v>13725190</v>
      </c>
      <c r="E18" s="102">
        <v>410246</v>
      </c>
      <c r="F18" s="102">
        <v>13314944</v>
      </c>
      <c r="G18" s="73">
        <f t="shared" si="1"/>
        <v>2698575</v>
      </c>
      <c r="H18" s="102">
        <v>718118</v>
      </c>
      <c r="I18" s="102">
        <v>1980457</v>
      </c>
      <c r="J18" s="102">
        <v>16051671</v>
      </c>
      <c r="K18" s="102">
        <v>7175071</v>
      </c>
      <c r="L18" s="102">
        <v>6583588</v>
      </c>
      <c r="M18" s="102">
        <v>2014193</v>
      </c>
      <c r="N18" s="102">
        <v>2077840</v>
      </c>
      <c r="O18" s="102">
        <v>3345712</v>
      </c>
      <c r="P18" s="102">
        <v>1908619</v>
      </c>
      <c r="Q18" s="102">
        <v>1437093</v>
      </c>
      <c r="R18" s="102">
        <v>425125</v>
      </c>
      <c r="S18" s="74"/>
      <c r="T18" s="73">
        <f t="shared" si="2"/>
        <v>5320754</v>
      </c>
      <c r="U18" s="102">
        <v>49646</v>
      </c>
      <c r="V18" s="102">
        <v>180990</v>
      </c>
      <c r="W18" s="102">
        <v>106671</v>
      </c>
      <c r="X18" s="102">
        <v>4814467</v>
      </c>
      <c r="Y18" s="102">
        <v>0</v>
      </c>
      <c r="Z18" s="102">
        <v>0</v>
      </c>
      <c r="AA18" s="102">
        <v>168980</v>
      </c>
      <c r="AB18" s="102">
        <v>206003</v>
      </c>
      <c r="AC18" s="102">
        <v>9800196</v>
      </c>
      <c r="AD18" s="102">
        <v>9318588</v>
      </c>
      <c r="AE18" s="102">
        <v>481525</v>
      </c>
      <c r="AF18" s="102">
        <v>38862</v>
      </c>
      <c r="AG18" s="102">
        <v>1274476</v>
      </c>
      <c r="AH18" s="73">
        <f t="shared" si="3"/>
        <v>1758676</v>
      </c>
      <c r="AI18" s="102">
        <v>1220567</v>
      </c>
      <c r="AJ18" s="102">
        <v>538109</v>
      </c>
      <c r="AK18" s="102">
        <v>22155464</v>
      </c>
      <c r="AL18" s="73">
        <f t="shared" si="4"/>
        <v>14626550</v>
      </c>
      <c r="AM18" s="102">
        <v>10055910</v>
      </c>
      <c r="AN18" s="102">
        <v>1957320</v>
      </c>
      <c r="AO18" s="74"/>
      <c r="AP18" s="102">
        <v>2613320</v>
      </c>
      <c r="AQ18" s="102">
        <v>357072</v>
      </c>
      <c r="AR18" s="102">
        <v>0</v>
      </c>
      <c r="AS18" s="102">
        <v>47126</v>
      </c>
      <c r="AT18" s="102">
        <v>6701016</v>
      </c>
      <c r="AU18" s="102">
        <v>3748880</v>
      </c>
      <c r="AV18" s="102">
        <v>818410</v>
      </c>
      <c r="AW18" s="102">
        <v>46071</v>
      </c>
      <c r="AX18" s="102">
        <v>2952136</v>
      </c>
      <c r="AY18" s="102">
        <v>17952</v>
      </c>
      <c r="AZ18" s="102">
        <v>297342</v>
      </c>
      <c r="BA18" s="102">
        <v>177234</v>
      </c>
      <c r="BB18" s="102">
        <v>24959</v>
      </c>
      <c r="BC18" s="102">
        <v>702771</v>
      </c>
      <c r="BD18" s="102">
        <v>480000</v>
      </c>
      <c r="BE18" s="102">
        <v>0</v>
      </c>
      <c r="BF18" s="102">
        <v>222721</v>
      </c>
      <c r="BG18" s="102">
        <v>0</v>
      </c>
      <c r="BH18" s="102">
        <v>122474</v>
      </c>
      <c r="BI18" s="102">
        <v>48935</v>
      </c>
      <c r="BJ18" s="102">
        <v>1042668</v>
      </c>
      <c r="BK18" s="102">
        <v>264169</v>
      </c>
      <c r="BL18" s="102">
        <v>0</v>
      </c>
      <c r="BM18" s="102">
        <v>30937</v>
      </c>
      <c r="BN18" s="102">
        <v>7313908</v>
      </c>
      <c r="BO18" s="73">
        <f t="shared" si="5"/>
        <v>3428100</v>
      </c>
      <c r="BP18" s="73">
        <f t="shared" si="6"/>
        <v>3885808</v>
      </c>
      <c r="BQ18" s="102">
        <v>0</v>
      </c>
      <c r="BR18" s="102">
        <v>0</v>
      </c>
      <c r="BS18" s="102">
        <v>3885808</v>
      </c>
      <c r="BT18" s="102">
        <v>0</v>
      </c>
      <c r="BU18" s="102">
        <v>95471728</v>
      </c>
      <c r="BV18" s="71"/>
      <c r="BW18" s="102">
        <v>16016508</v>
      </c>
      <c r="BX18" s="102">
        <v>10788996</v>
      </c>
      <c r="BY18" s="102">
        <v>665704</v>
      </c>
      <c r="BZ18" s="102">
        <v>1610410</v>
      </c>
      <c r="CA18" s="102">
        <v>34679373</v>
      </c>
      <c r="CB18" s="102">
        <v>7389012</v>
      </c>
      <c r="CC18" s="102">
        <v>534556</v>
      </c>
      <c r="CD18" s="102">
        <v>11847569</v>
      </c>
      <c r="CE18" s="102">
        <v>13491242</v>
      </c>
      <c r="CF18" s="102">
        <v>851172</v>
      </c>
      <c r="CG18" s="102">
        <v>565072</v>
      </c>
      <c r="CH18" s="102">
        <v>9041795</v>
      </c>
      <c r="CI18" s="102">
        <v>8202434</v>
      </c>
      <c r="CJ18" s="83">
        <f t="shared" si="17"/>
        <v>839361</v>
      </c>
      <c r="CK18" s="102">
        <v>9309481</v>
      </c>
      <c r="CL18" s="102">
        <v>6263539</v>
      </c>
      <c r="CM18" s="102">
        <v>541951</v>
      </c>
      <c r="CN18" s="102">
        <v>1635562</v>
      </c>
      <c r="CO18" s="102">
        <v>485378</v>
      </c>
      <c r="CP18" s="102">
        <v>8988462</v>
      </c>
      <c r="CQ18" s="102">
        <v>875592</v>
      </c>
      <c r="CR18" s="102">
        <v>1860694</v>
      </c>
      <c r="CS18" s="102">
        <v>1568316</v>
      </c>
      <c r="CT18" s="73">
        <f t="shared" si="7"/>
        <v>5390262</v>
      </c>
      <c r="CU18" s="102">
        <v>5390262</v>
      </c>
      <c r="CV18" s="102">
        <v>0</v>
      </c>
      <c r="CW18" s="73">
        <f t="shared" si="8"/>
        <v>1404296</v>
      </c>
      <c r="CX18" s="102">
        <v>1404296</v>
      </c>
      <c r="CY18" s="102">
        <v>0</v>
      </c>
      <c r="CZ18" s="73">
        <f t="shared" si="9"/>
        <v>3917321</v>
      </c>
      <c r="DA18" s="102">
        <v>3917321</v>
      </c>
      <c r="DB18" s="102">
        <v>0</v>
      </c>
      <c r="DC18" s="102">
        <v>6308578</v>
      </c>
      <c r="DD18" s="102">
        <v>2096764</v>
      </c>
      <c r="DE18" s="102">
        <v>4153091</v>
      </c>
      <c r="DF18" s="102">
        <v>56373</v>
      </c>
      <c r="DG18" s="102">
        <v>2350</v>
      </c>
      <c r="DH18" s="102">
        <v>0</v>
      </c>
      <c r="DI18" s="102">
        <v>231711</v>
      </c>
      <c r="DJ18" s="102">
        <v>46073</v>
      </c>
      <c r="DK18" s="102">
        <v>0</v>
      </c>
      <c r="DL18" s="102">
        <v>185638</v>
      </c>
      <c r="DM18" s="102">
        <v>518266</v>
      </c>
      <c r="DN18" s="102">
        <v>482766</v>
      </c>
      <c r="DO18" s="102">
        <v>47822</v>
      </c>
      <c r="DP18" s="102">
        <v>0</v>
      </c>
      <c r="DQ18" s="102">
        <v>347000</v>
      </c>
      <c r="DR18" s="102">
        <v>0</v>
      </c>
      <c r="DS18" s="102">
        <v>0</v>
      </c>
      <c r="DT18" s="102">
        <v>9470219</v>
      </c>
      <c r="DU18" s="102">
        <v>0</v>
      </c>
      <c r="DV18" s="73">
        <f t="shared" si="10"/>
        <v>0</v>
      </c>
      <c r="DW18" s="102">
        <v>0</v>
      </c>
      <c r="DX18" s="102">
        <v>2909850</v>
      </c>
      <c r="DY18" s="102">
        <v>0</v>
      </c>
      <c r="DZ18" s="102">
        <v>3352846</v>
      </c>
      <c r="EA18" s="74">
        <v>0</v>
      </c>
      <c r="EB18" s="102">
        <v>3156226</v>
      </c>
      <c r="EC18" s="102">
        <v>0</v>
      </c>
      <c r="ED18" s="102">
        <v>95396771</v>
      </c>
      <c r="EE18" s="71"/>
      <c r="EF18" s="102">
        <v>74957</v>
      </c>
      <c r="EG18" s="102">
        <v>39135</v>
      </c>
      <c r="EH18" s="102">
        <v>35822</v>
      </c>
      <c r="EI18" s="102">
        <v>-13113</v>
      </c>
      <c r="EJ18" s="102">
        <v>-388740</v>
      </c>
      <c r="EK18" s="71"/>
      <c r="EL18" s="102">
        <v>268800</v>
      </c>
      <c r="EM18" s="102">
        <v>268457</v>
      </c>
      <c r="EN18" s="102">
        <v>480012</v>
      </c>
      <c r="EO18" s="102">
        <v>276193</v>
      </c>
      <c r="EP18" s="73">
        <f t="shared" si="11"/>
        <v>1174101</v>
      </c>
      <c r="EQ18" s="102">
        <v>54077974</v>
      </c>
      <c r="ER18" s="71">
        <v>-5730126</v>
      </c>
      <c r="ES18" s="102">
        <v>14505578</v>
      </c>
      <c r="ET18" s="102">
        <v>9861478</v>
      </c>
      <c r="EU18" s="102">
        <v>9985526</v>
      </c>
      <c r="EV18" s="102">
        <v>8962772</v>
      </c>
      <c r="EW18" s="73">
        <f t="shared" si="12"/>
        <v>1608653</v>
      </c>
      <c r="EX18" s="102">
        <v>1608653</v>
      </c>
      <c r="EY18" s="102">
        <v>102455</v>
      </c>
      <c r="EZ18" s="102">
        <v>1497686</v>
      </c>
      <c r="FA18" s="102">
        <v>0</v>
      </c>
      <c r="FB18" s="102">
        <v>0</v>
      </c>
      <c r="FC18" s="102">
        <v>7856317</v>
      </c>
      <c r="FD18" s="102">
        <v>8311049</v>
      </c>
      <c r="FE18" s="102">
        <v>561334</v>
      </c>
      <c r="FF18" s="102">
        <v>7439149</v>
      </c>
      <c r="FG18" s="73">
        <f t="shared" si="13"/>
        <v>1064099</v>
      </c>
      <c r="FH18" s="102">
        <v>59733143</v>
      </c>
      <c r="FI18" s="379">
        <f t="shared" si="14"/>
        <v>0.1</v>
      </c>
      <c r="FJ18" s="102">
        <v>50602127</v>
      </c>
      <c r="FK18" s="102">
        <v>3885808</v>
      </c>
      <c r="FL18" s="102">
        <v>32076045</v>
      </c>
      <c r="FM18" s="102">
        <v>41428715</v>
      </c>
      <c r="FN18" s="428">
        <v>0.75800000000000001</v>
      </c>
      <c r="FO18" s="424">
        <v>101</v>
      </c>
      <c r="FP18" s="425">
        <v>26.3</v>
      </c>
      <c r="FQ18" s="424">
        <v>18.2</v>
      </c>
      <c r="FR18" s="424">
        <v>16.2</v>
      </c>
      <c r="FS18" s="425">
        <v>13.2</v>
      </c>
      <c r="FT18" s="424">
        <v>13.8</v>
      </c>
      <c r="FU18" s="425">
        <v>11.7</v>
      </c>
      <c r="FV18" s="384">
        <v>7.1</v>
      </c>
      <c r="FW18" s="102">
        <v>94594072</v>
      </c>
      <c r="FX18" s="384">
        <f t="shared" si="15"/>
        <v>173.6</v>
      </c>
      <c r="FY18" s="102">
        <v>8515716</v>
      </c>
      <c r="FZ18" s="102">
        <v>6016009</v>
      </c>
      <c r="GA18" s="102">
        <v>0</v>
      </c>
      <c r="GB18" s="102">
        <v>2499707</v>
      </c>
      <c r="GC18" s="104">
        <v>0</v>
      </c>
      <c r="GD18" s="427"/>
      <c r="GE18" s="386"/>
      <c r="GF18" s="424">
        <v>99.2</v>
      </c>
      <c r="GG18" s="424">
        <v>37.5</v>
      </c>
      <c r="GH18" s="424">
        <v>97.7</v>
      </c>
      <c r="GI18" s="102">
        <v>1688</v>
      </c>
      <c r="GJ18" s="429" t="s">
        <v>646</v>
      </c>
      <c r="GK18" s="429">
        <v>11.25</v>
      </c>
      <c r="GL18" s="87">
        <v>20</v>
      </c>
      <c r="GM18" s="429" t="s">
        <v>646</v>
      </c>
      <c r="GN18" s="430">
        <v>16.25</v>
      </c>
      <c r="GO18" s="430">
        <v>30</v>
      </c>
      <c r="GP18" s="425">
        <v>7.1</v>
      </c>
      <c r="GQ18" s="425">
        <v>25</v>
      </c>
      <c r="GR18" s="425">
        <v>35</v>
      </c>
      <c r="GS18" s="431">
        <v>39.799999999999997</v>
      </c>
      <c r="GT18" s="425">
        <v>350</v>
      </c>
      <c r="GU18" s="394"/>
      <c r="GV18" s="100">
        <f t="shared" si="16"/>
        <v>54488</v>
      </c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</row>
    <row r="19" spans="2:230" x14ac:dyDescent="0.15">
      <c r="B19" s="89" t="s">
        <v>27</v>
      </c>
      <c r="C19" s="102">
        <v>21135278</v>
      </c>
      <c r="D19" s="73">
        <f t="shared" si="0"/>
        <v>4624077</v>
      </c>
      <c r="E19" s="102">
        <v>158253</v>
      </c>
      <c r="F19" s="102">
        <v>4465824</v>
      </c>
      <c r="G19" s="73">
        <f t="shared" si="1"/>
        <v>2402397</v>
      </c>
      <c r="H19" s="102">
        <v>449463</v>
      </c>
      <c r="I19" s="102">
        <v>1952934</v>
      </c>
      <c r="J19" s="102">
        <v>9961909</v>
      </c>
      <c r="K19" s="102">
        <v>3498596</v>
      </c>
      <c r="L19" s="102">
        <v>3680390</v>
      </c>
      <c r="M19" s="102">
        <v>2298021</v>
      </c>
      <c r="N19" s="102">
        <v>2101056</v>
      </c>
      <c r="O19" s="102">
        <v>1418911</v>
      </c>
      <c r="P19" s="102">
        <v>651998</v>
      </c>
      <c r="Q19" s="102">
        <v>766913</v>
      </c>
      <c r="R19" s="102">
        <v>206828</v>
      </c>
      <c r="S19" s="74"/>
      <c r="T19" s="73">
        <f t="shared" si="2"/>
        <v>2122666</v>
      </c>
      <c r="U19" s="102">
        <v>16697</v>
      </c>
      <c r="V19" s="102">
        <v>60873</v>
      </c>
      <c r="W19" s="102">
        <v>35909</v>
      </c>
      <c r="X19" s="102">
        <v>1894699</v>
      </c>
      <c r="Y19" s="102">
        <v>48195</v>
      </c>
      <c r="Z19" s="102">
        <v>0</v>
      </c>
      <c r="AA19" s="102">
        <v>66293</v>
      </c>
      <c r="AB19" s="102">
        <v>66272</v>
      </c>
      <c r="AC19" s="102">
        <v>1731307</v>
      </c>
      <c r="AD19" s="102">
        <v>1025406</v>
      </c>
      <c r="AE19" s="102">
        <v>705901</v>
      </c>
      <c r="AF19" s="102">
        <v>18756</v>
      </c>
      <c r="AG19" s="102">
        <v>338956</v>
      </c>
      <c r="AH19" s="73">
        <f t="shared" si="3"/>
        <v>857140</v>
      </c>
      <c r="AI19" s="102">
        <v>631498</v>
      </c>
      <c r="AJ19" s="102">
        <v>225642</v>
      </c>
      <c r="AK19" s="102">
        <v>6659016</v>
      </c>
      <c r="AL19" s="73">
        <f t="shared" si="4"/>
        <v>4318183</v>
      </c>
      <c r="AM19" s="102">
        <v>2686134</v>
      </c>
      <c r="AN19" s="102">
        <v>732819</v>
      </c>
      <c r="AO19" s="74"/>
      <c r="AP19" s="102">
        <v>899230</v>
      </c>
      <c r="AQ19" s="102">
        <v>34055</v>
      </c>
      <c r="AR19" s="102">
        <v>0</v>
      </c>
      <c r="AS19" s="102">
        <v>0</v>
      </c>
      <c r="AT19" s="102">
        <v>2555969</v>
      </c>
      <c r="AU19" s="102">
        <v>1439692</v>
      </c>
      <c r="AV19" s="102">
        <v>420999</v>
      </c>
      <c r="AW19" s="102">
        <v>0</v>
      </c>
      <c r="AX19" s="102">
        <v>1116277</v>
      </c>
      <c r="AY19" s="102">
        <v>4557</v>
      </c>
      <c r="AZ19" s="102">
        <v>66005</v>
      </c>
      <c r="BA19" s="102">
        <v>54093</v>
      </c>
      <c r="BB19" s="102">
        <v>3558356</v>
      </c>
      <c r="BC19" s="102">
        <v>13784949</v>
      </c>
      <c r="BD19" s="102">
        <v>483013</v>
      </c>
      <c r="BE19" s="102">
        <v>10129225</v>
      </c>
      <c r="BF19" s="102">
        <v>3072711</v>
      </c>
      <c r="BG19" s="102">
        <v>100000</v>
      </c>
      <c r="BH19" s="102">
        <v>96601</v>
      </c>
      <c r="BI19" s="102">
        <v>52844</v>
      </c>
      <c r="BJ19" s="102">
        <v>788907</v>
      </c>
      <c r="BK19" s="102">
        <v>317724</v>
      </c>
      <c r="BL19" s="102">
        <v>0</v>
      </c>
      <c r="BM19" s="102">
        <v>11106</v>
      </c>
      <c r="BN19" s="102">
        <v>4036100</v>
      </c>
      <c r="BO19" s="73">
        <f t="shared" si="5"/>
        <v>2924400</v>
      </c>
      <c r="BP19" s="73">
        <f t="shared" si="6"/>
        <v>1111700</v>
      </c>
      <c r="BQ19" s="102">
        <v>0</v>
      </c>
      <c r="BR19" s="102">
        <v>0</v>
      </c>
      <c r="BS19" s="102">
        <v>1111700</v>
      </c>
      <c r="BT19" s="102">
        <v>0</v>
      </c>
      <c r="BU19" s="102">
        <v>58023106</v>
      </c>
      <c r="BV19" s="71"/>
      <c r="BW19" s="102">
        <v>5131476</v>
      </c>
      <c r="BX19" s="102">
        <v>3105389</v>
      </c>
      <c r="BY19" s="102">
        <v>284969</v>
      </c>
      <c r="BZ19" s="102">
        <v>523091</v>
      </c>
      <c r="CA19" s="102">
        <v>10526076</v>
      </c>
      <c r="CB19" s="102">
        <v>2300953</v>
      </c>
      <c r="CC19" s="102">
        <v>176257</v>
      </c>
      <c r="CD19" s="102">
        <v>4389366</v>
      </c>
      <c r="CE19" s="102">
        <v>3480155</v>
      </c>
      <c r="CF19" s="102">
        <v>12173</v>
      </c>
      <c r="CG19" s="102">
        <v>167172</v>
      </c>
      <c r="CH19" s="102">
        <v>16796232</v>
      </c>
      <c r="CI19" s="102">
        <v>15691777</v>
      </c>
      <c r="CJ19" s="83">
        <f t="shared" si="17"/>
        <v>1104455</v>
      </c>
      <c r="CK19" s="102">
        <v>6123156</v>
      </c>
      <c r="CL19" s="102">
        <v>4112251</v>
      </c>
      <c r="CM19" s="102">
        <v>104719</v>
      </c>
      <c r="CN19" s="102">
        <v>475736</v>
      </c>
      <c r="CO19" s="102">
        <v>113810</v>
      </c>
      <c r="CP19" s="102">
        <v>6624045</v>
      </c>
      <c r="CQ19" s="102">
        <v>2073215</v>
      </c>
      <c r="CR19" s="102">
        <v>1837688</v>
      </c>
      <c r="CS19" s="102">
        <v>1418478</v>
      </c>
      <c r="CT19" s="73">
        <f t="shared" si="7"/>
        <v>1500</v>
      </c>
      <c r="CU19" s="102">
        <v>1500</v>
      </c>
      <c r="CV19" s="102">
        <v>0</v>
      </c>
      <c r="CW19" s="73">
        <f t="shared" si="8"/>
        <v>0</v>
      </c>
      <c r="CX19" s="102">
        <v>0</v>
      </c>
      <c r="CY19" s="102">
        <v>0</v>
      </c>
      <c r="CZ19" s="73">
        <f t="shared" si="9"/>
        <v>0</v>
      </c>
      <c r="DA19" s="102">
        <v>0</v>
      </c>
      <c r="DB19" s="102">
        <v>0</v>
      </c>
      <c r="DC19" s="102">
        <v>2840216</v>
      </c>
      <c r="DD19" s="102">
        <v>176319</v>
      </c>
      <c r="DE19" s="102">
        <v>2661115</v>
      </c>
      <c r="DF19" s="102">
        <v>2750</v>
      </c>
      <c r="DG19" s="102">
        <v>0</v>
      </c>
      <c r="DH19" s="102">
        <v>0</v>
      </c>
      <c r="DI19" s="102">
        <v>4265451</v>
      </c>
      <c r="DJ19" s="102">
        <v>481324</v>
      </c>
      <c r="DK19" s="102">
        <v>666</v>
      </c>
      <c r="DL19" s="102">
        <v>3783461</v>
      </c>
      <c r="DM19" s="102">
        <v>3000</v>
      </c>
      <c r="DN19" s="102">
        <v>0</v>
      </c>
      <c r="DO19" s="102">
        <v>0</v>
      </c>
      <c r="DP19" s="102">
        <v>0</v>
      </c>
      <c r="DQ19" s="102">
        <v>426000</v>
      </c>
      <c r="DR19" s="102">
        <v>0</v>
      </c>
      <c r="DS19" s="102">
        <v>0</v>
      </c>
      <c r="DT19" s="102">
        <v>5086696</v>
      </c>
      <c r="DU19" s="102">
        <v>1538558</v>
      </c>
      <c r="DV19" s="73">
        <f t="shared" si="10"/>
        <v>0</v>
      </c>
      <c r="DW19" s="102">
        <v>0</v>
      </c>
      <c r="DX19" s="102">
        <v>1369071</v>
      </c>
      <c r="DY19" s="102">
        <v>0</v>
      </c>
      <c r="DZ19" s="102">
        <v>918724</v>
      </c>
      <c r="EA19" s="74">
        <v>0</v>
      </c>
      <c r="EB19" s="102">
        <v>1165309</v>
      </c>
      <c r="EC19" s="102">
        <v>0</v>
      </c>
      <c r="ED19" s="102">
        <v>57936158</v>
      </c>
      <c r="EE19" s="71"/>
      <c r="EF19" s="102">
        <v>86948</v>
      </c>
      <c r="EG19" s="102">
        <v>31777</v>
      </c>
      <c r="EH19" s="102">
        <v>55171</v>
      </c>
      <c r="EI19" s="102">
        <v>2327</v>
      </c>
      <c r="EJ19" s="102">
        <v>10129863</v>
      </c>
      <c r="EK19" s="71"/>
      <c r="EL19" s="102">
        <v>100966</v>
      </c>
      <c r="EM19" s="102">
        <v>100813</v>
      </c>
      <c r="EN19" s="102">
        <v>13177445</v>
      </c>
      <c r="EO19" s="102">
        <v>64222</v>
      </c>
      <c r="EP19" s="73">
        <f t="shared" si="11"/>
        <v>543239</v>
      </c>
      <c r="EQ19" s="102">
        <v>25281107</v>
      </c>
      <c r="ER19" s="71">
        <v>-14877850</v>
      </c>
      <c r="ES19" s="102">
        <v>4660982</v>
      </c>
      <c r="ET19" s="102">
        <v>2713566</v>
      </c>
      <c r="EU19" s="102">
        <v>2747300</v>
      </c>
      <c r="EV19" s="102">
        <v>16377713</v>
      </c>
      <c r="EW19" s="73">
        <f t="shared" si="12"/>
        <v>412055</v>
      </c>
      <c r="EX19" s="102">
        <v>412055</v>
      </c>
      <c r="EY19" s="102">
        <v>20847</v>
      </c>
      <c r="EZ19" s="102">
        <v>390232</v>
      </c>
      <c r="FA19" s="102">
        <v>0</v>
      </c>
      <c r="FB19" s="102">
        <v>0</v>
      </c>
      <c r="FC19" s="102">
        <v>5106774</v>
      </c>
      <c r="FD19" s="102">
        <v>5932736</v>
      </c>
      <c r="FE19" s="102">
        <v>1771637</v>
      </c>
      <c r="FF19" s="102">
        <v>4248597</v>
      </c>
      <c r="FG19" s="73">
        <f t="shared" si="13"/>
        <v>585852</v>
      </c>
      <c r="FH19" s="102">
        <v>40072009</v>
      </c>
      <c r="FI19" s="379">
        <f t="shared" si="14"/>
        <v>0.2</v>
      </c>
      <c r="FJ19" s="102">
        <v>21203715</v>
      </c>
      <c r="FK19" s="102">
        <v>1111802</v>
      </c>
      <c r="FL19" s="102">
        <v>15617584</v>
      </c>
      <c r="FM19" s="102">
        <v>16607907</v>
      </c>
      <c r="FN19" s="428">
        <v>0.94199999999999995</v>
      </c>
      <c r="FO19" s="424">
        <v>103.7</v>
      </c>
      <c r="FP19" s="425">
        <v>18.7</v>
      </c>
      <c r="FQ19" s="424">
        <v>11.4</v>
      </c>
      <c r="FR19" s="424">
        <v>26</v>
      </c>
      <c r="FS19" s="425">
        <v>16.100000000000001</v>
      </c>
      <c r="FT19" s="424">
        <v>14.2</v>
      </c>
      <c r="FU19" s="425">
        <v>16.899999999999999</v>
      </c>
      <c r="FV19" s="384">
        <v>20.9</v>
      </c>
      <c r="FW19" s="102">
        <v>65019767</v>
      </c>
      <c r="FX19" s="384">
        <f t="shared" si="15"/>
        <v>291.39999999999998</v>
      </c>
      <c r="FY19" s="102">
        <v>8472689</v>
      </c>
      <c r="FZ19" s="102">
        <v>1320464</v>
      </c>
      <c r="GA19" s="102">
        <v>3165192</v>
      </c>
      <c r="GB19" s="102">
        <v>3987033</v>
      </c>
      <c r="GC19" s="104">
        <v>0</v>
      </c>
      <c r="GD19" s="427">
        <v>3381</v>
      </c>
      <c r="GE19" s="386">
        <f>IF(GD19=0,"-",ROUND(GD19/(GV19)*100,1))</f>
        <v>15.2</v>
      </c>
      <c r="GF19" s="424">
        <v>99.5</v>
      </c>
      <c r="GG19" s="424">
        <v>37.9</v>
      </c>
      <c r="GH19" s="424">
        <v>98.6</v>
      </c>
      <c r="GI19" s="102">
        <v>465</v>
      </c>
      <c r="GJ19" s="429" t="s">
        <v>646</v>
      </c>
      <c r="GK19" s="429">
        <v>12.28</v>
      </c>
      <c r="GL19" s="87">
        <v>20</v>
      </c>
      <c r="GM19" s="429" t="s">
        <v>646</v>
      </c>
      <c r="GN19" s="430">
        <v>17.28</v>
      </c>
      <c r="GO19" s="430">
        <v>30</v>
      </c>
      <c r="GP19" s="425">
        <v>20.9</v>
      </c>
      <c r="GQ19" s="425">
        <v>25</v>
      </c>
      <c r="GR19" s="425">
        <v>35</v>
      </c>
      <c r="GS19" s="431">
        <v>176.2</v>
      </c>
      <c r="GT19" s="425">
        <v>350</v>
      </c>
      <c r="GU19" s="394"/>
      <c r="GV19" s="100">
        <f t="shared" si="16"/>
        <v>22316</v>
      </c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</row>
    <row r="20" spans="2:230" x14ac:dyDescent="0.15">
      <c r="B20" s="89" t="s">
        <v>29</v>
      </c>
      <c r="C20" s="102">
        <v>13481493</v>
      </c>
      <c r="D20" s="73">
        <f t="shared" si="0"/>
        <v>6083406</v>
      </c>
      <c r="E20" s="102">
        <v>179153</v>
      </c>
      <c r="F20" s="102">
        <v>5904253</v>
      </c>
      <c r="G20" s="73">
        <f t="shared" si="1"/>
        <v>553445</v>
      </c>
      <c r="H20" s="102">
        <v>195535</v>
      </c>
      <c r="I20" s="102">
        <v>357910</v>
      </c>
      <c r="J20" s="102">
        <v>5085575</v>
      </c>
      <c r="K20" s="102">
        <v>2013606</v>
      </c>
      <c r="L20" s="102">
        <v>2352893</v>
      </c>
      <c r="M20" s="102">
        <v>610393</v>
      </c>
      <c r="N20" s="102">
        <v>576128</v>
      </c>
      <c r="O20" s="102">
        <v>986381</v>
      </c>
      <c r="P20" s="102">
        <v>535157</v>
      </c>
      <c r="Q20" s="102">
        <v>451224</v>
      </c>
      <c r="R20" s="102">
        <v>202132</v>
      </c>
      <c r="S20" s="74"/>
      <c r="T20" s="73">
        <f t="shared" si="2"/>
        <v>2221302</v>
      </c>
      <c r="U20" s="102">
        <v>22687</v>
      </c>
      <c r="V20" s="102">
        <v>82702</v>
      </c>
      <c r="W20" s="102">
        <v>48681</v>
      </c>
      <c r="X20" s="102">
        <v>1935864</v>
      </c>
      <c r="Y20" s="102">
        <v>50788</v>
      </c>
      <c r="Z20" s="102">
        <v>0</v>
      </c>
      <c r="AA20" s="102">
        <v>80580</v>
      </c>
      <c r="AB20" s="102">
        <v>64619</v>
      </c>
      <c r="AC20" s="102">
        <v>6128782</v>
      </c>
      <c r="AD20" s="102">
        <v>5973153</v>
      </c>
      <c r="AE20" s="102">
        <v>155629</v>
      </c>
      <c r="AF20" s="102">
        <v>18961</v>
      </c>
      <c r="AG20" s="102">
        <v>1022458</v>
      </c>
      <c r="AH20" s="73">
        <f t="shared" si="3"/>
        <v>957746</v>
      </c>
      <c r="AI20" s="102">
        <v>683291</v>
      </c>
      <c r="AJ20" s="102">
        <v>274455</v>
      </c>
      <c r="AK20" s="102">
        <v>7391441</v>
      </c>
      <c r="AL20" s="73">
        <f t="shared" si="4"/>
        <v>4722913</v>
      </c>
      <c r="AM20" s="102">
        <v>3165126</v>
      </c>
      <c r="AN20" s="102">
        <v>548525</v>
      </c>
      <c r="AO20" s="74"/>
      <c r="AP20" s="102">
        <v>1009262</v>
      </c>
      <c r="AQ20" s="102">
        <v>305099</v>
      </c>
      <c r="AR20" s="102">
        <v>0</v>
      </c>
      <c r="AS20" s="102">
        <v>0</v>
      </c>
      <c r="AT20" s="102">
        <v>2600099</v>
      </c>
      <c r="AU20" s="102">
        <v>1362508</v>
      </c>
      <c r="AV20" s="102">
        <v>275123</v>
      </c>
      <c r="AW20" s="102">
        <v>15952</v>
      </c>
      <c r="AX20" s="102">
        <v>1237591</v>
      </c>
      <c r="AY20" s="102">
        <v>29260</v>
      </c>
      <c r="AZ20" s="102">
        <v>52285</v>
      </c>
      <c r="BA20" s="102">
        <v>30827</v>
      </c>
      <c r="BB20" s="102">
        <v>30382</v>
      </c>
      <c r="BC20" s="102">
        <v>259293</v>
      </c>
      <c r="BD20" s="102">
        <v>0</v>
      </c>
      <c r="BE20" s="102">
        <v>0</v>
      </c>
      <c r="BF20" s="102">
        <v>259293</v>
      </c>
      <c r="BG20" s="102">
        <v>0</v>
      </c>
      <c r="BH20" s="102">
        <v>704047</v>
      </c>
      <c r="BI20" s="102">
        <v>578859</v>
      </c>
      <c r="BJ20" s="102">
        <v>1575687</v>
      </c>
      <c r="BK20" s="102">
        <v>1149410</v>
      </c>
      <c r="BL20" s="102">
        <v>0</v>
      </c>
      <c r="BM20" s="102">
        <v>34558</v>
      </c>
      <c r="BN20" s="102">
        <v>2081100</v>
      </c>
      <c r="BO20" s="73">
        <f t="shared" si="5"/>
        <v>781100</v>
      </c>
      <c r="BP20" s="73">
        <f t="shared" si="6"/>
        <v>1300000</v>
      </c>
      <c r="BQ20" s="102">
        <v>0</v>
      </c>
      <c r="BR20" s="102">
        <v>0</v>
      </c>
      <c r="BS20" s="102">
        <v>1300000</v>
      </c>
      <c r="BT20" s="102">
        <v>0</v>
      </c>
      <c r="BU20" s="102">
        <v>38791827</v>
      </c>
      <c r="BV20" s="71"/>
      <c r="BW20" s="102">
        <v>7394785</v>
      </c>
      <c r="BX20" s="102">
        <v>4936678</v>
      </c>
      <c r="BY20" s="102">
        <v>441925</v>
      </c>
      <c r="BZ20" s="102">
        <v>664071</v>
      </c>
      <c r="CA20" s="102">
        <v>11581388</v>
      </c>
      <c r="CB20" s="102">
        <v>2794995</v>
      </c>
      <c r="CC20" s="102">
        <v>216544</v>
      </c>
      <c r="CD20" s="102">
        <v>4305972</v>
      </c>
      <c r="CE20" s="102">
        <v>4122748</v>
      </c>
      <c r="CF20" s="102">
        <v>12828</v>
      </c>
      <c r="CG20" s="102">
        <v>128301</v>
      </c>
      <c r="CH20" s="102">
        <v>2323237</v>
      </c>
      <c r="CI20" s="102">
        <v>2063043</v>
      </c>
      <c r="CJ20" s="83">
        <f t="shared" si="17"/>
        <v>260194</v>
      </c>
      <c r="CK20" s="102">
        <v>4978141</v>
      </c>
      <c r="CL20" s="102">
        <v>3367742</v>
      </c>
      <c r="CM20" s="102">
        <v>475538</v>
      </c>
      <c r="CN20" s="102">
        <v>784728</v>
      </c>
      <c r="CO20" s="102">
        <v>302338</v>
      </c>
      <c r="CP20" s="102">
        <v>3529721</v>
      </c>
      <c r="CQ20" s="102">
        <v>915276</v>
      </c>
      <c r="CR20" s="102">
        <v>949057</v>
      </c>
      <c r="CS20" s="102">
        <v>639773</v>
      </c>
      <c r="CT20" s="73">
        <f t="shared" si="7"/>
        <v>1143447</v>
      </c>
      <c r="CU20" s="102">
        <v>105597</v>
      </c>
      <c r="CV20" s="102">
        <v>1037850</v>
      </c>
      <c r="CW20" s="73">
        <f t="shared" si="8"/>
        <v>0</v>
      </c>
      <c r="CX20" s="102">
        <v>0</v>
      </c>
      <c r="CY20" s="102">
        <v>0</v>
      </c>
      <c r="CZ20" s="73">
        <f t="shared" si="9"/>
        <v>1124324</v>
      </c>
      <c r="DA20" s="102">
        <v>89497</v>
      </c>
      <c r="DB20" s="102">
        <v>1034827</v>
      </c>
      <c r="DC20" s="102">
        <v>2473340</v>
      </c>
      <c r="DD20" s="102">
        <v>704368</v>
      </c>
      <c r="DE20" s="102">
        <v>1768972</v>
      </c>
      <c r="DF20" s="102">
        <v>0</v>
      </c>
      <c r="DG20" s="102">
        <v>0</v>
      </c>
      <c r="DH20" s="102">
        <v>11646</v>
      </c>
      <c r="DI20" s="102">
        <v>282919</v>
      </c>
      <c r="DJ20" s="102">
        <v>3531</v>
      </c>
      <c r="DK20" s="102">
        <v>0</v>
      </c>
      <c r="DL20" s="102">
        <v>279388</v>
      </c>
      <c r="DM20" s="102">
        <v>0</v>
      </c>
      <c r="DN20" s="102">
        <v>0</v>
      </c>
      <c r="DO20" s="102">
        <v>0</v>
      </c>
      <c r="DP20" s="102">
        <v>0</v>
      </c>
      <c r="DQ20" s="102">
        <v>1142510</v>
      </c>
      <c r="DR20" s="102">
        <v>0</v>
      </c>
      <c r="DS20" s="102">
        <v>0</v>
      </c>
      <c r="DT20" s="102">
        <v>4147992</v>
      </c>
      <c r="DU20" s="102">
        <v>0</v>
      </c>
      <c r="DV20" s="73">
        <f t="shared" si="10"/>
        <v>0</v>
      </c>
      <c r="DW20" s="102">
        <v>0</v>
      </c>
      <c r="DX20" s="102">
        <v>1421744</v>
      </c>
      <c r="DY20" s="102">
        <v>0</v>
      </c>
      <c r="DZ20" s="102">
        <v>1332367</v>
      </c>
      <c r="EA20" s="74">
        <v>0</v>
      </c>
      <c r="EB20" s="102">
        <v>1391548</v>
      </c>
      <c r="EC20" s="102">
        <v>0</v>
      </c>
      <c r="ED20" s="102">
        <v>38168017</v>
      </c>
      <c r="EE20" s="71"/>
      <c r="EF20" s="102">
        <v>623810</v>
      </c>
      <c r="EG20" s="102">
        <v>75265</v>
      </c>
      <c r="EH20" s="102">
        <v>548545</v>
      </c>
      <c r="EI20" s="102">
        <v>-30314</v>
      </c>
      <c r="EJ20" s="102">
        <v>-26783</v>
      </c>
      <c r="EK20" s="71"/>
      <c r="EL20" s="102">
        <v>113984</v>
      </c>
      <c r="EM20" s="102">
        <v>113952</v>
      </c>
      <c r="EN20" s="102">
        <v>150100</v>
      </c>
      <c r="EO20" s="102">
        <v>37216</v>
      </c>
      <c r="EP20" s="73">
        <f t="shared" si="11"/>
        <v>1005397</v>
      </c>
      <c r="EQ20" s="102">
        <v>22117289</v>
      </c>
      <c r="ER20" s="71">
        <v>-2473752</v>
      </c>
      <c r="ES20" s="102">
        <v>6370909</v>
      </c>
      <c r="ET20" s="102">
        <v>4087017</v>
      </c>
      <c r="EU20" s="102">
        <v>3384169</v>
      </c>
      <c r="EV20" s="102">
        <v>2266394</v>
      </c>
      <c r="EW20" s="73">
        <f t="shared" si="12"/>
        <v>1205955</v>
      </c>
      <c r="EX20" s="102">
        <v>1194309</v>
      </c>
      <c r="EY20" s="102">
        <v>79425</v>
      </c>
      <c r="EZ20" s="102">
        <v>1114884</v>
      </c>
      <c r="FA20" s="102">
        <v>11646</v>
      </c>
      <c r="FB20" s="102">
        <v>0</v>
      </c>
      <c r="FC20" s="102">
        <v>3801597</v>
      </c>
      <c r="FD20" s="102">
        <v>3266079</v>
      </c>
      <c r="FE20" s="102">
        <v>915276</v>
      </c>
      <c r="FF20" s="102">
        <v>3222698</v>
      </c>
      <c r="FG20" s="73">
        <f t="shared" si="13"/>
        <v>449430</v>
      </c>
      <c r="FH20" s="102">
        <v>23967231</v>
      </c>
      <c r="FI20" s="379">
        <f t="shared" si="14"/>
        <v>2.4</v>
      </c>
      <c r="FJ20" s="102">
        <v>21065060</v>
      </c>
      <c r="FK20" s="102">
        <v>1393684</v>
      </c>
      <c r="FL20" s="102">
        <v>11778730</v>
      </c>
      <c r="FM20" s="102">
        <v>17766499</v>
      </c>
      <c r="FN20" s="428">
        <v>0.65100000000000002</v>
      </c>
      <c r="FO20" s="424">
        <v>94.9</v>
      </c>
      <c r="FP20" s="425">
        <v>28.1</v>
      </c>
      <c r="FQ20" s="424">
        <v>15.1</v>
      </c>
      <c r="FR20" s="424">
        <v>10.1</v>
      </c>
      <c r="FS20" s="425">
        <v>16.2</v>
      </c>
      <c r="FT20" s="424">
        <v>11.1</v>
      </c>
      <c r="FU20" s="425">
        <v>13</v>
      </c>
      <c r="FV20" s="384">
        <v>-0.9</v>
      </c>
      <c r="FW20" s="102">
        <v>26735772</v>
      </c>
      <c r="FX20" s="384">
        <f t="shared" si="15"/>
        <v>119</v>
      </c>
      <c r="FY20" s="102">
        <v>10877022</v>
      </c>
      <c r="FZ20" s="102">
        <v>3799173</v>
      </c>
      <c r="GA20" s="102">
        <v>0</v>
      </c>
      <c r="GB20" s="102">
        <v>7077849</v>
      </c>
      <c r="GC20" s="104">
        <v>0</v>
      </c>
      <c r="GD20" s="427"/>
      <c r="GE20" s="386"/>
      <c r="GF20" s="424">
        <v>99.1</v>
      </c>
      <c r="GG20" s="424">
        <v>40.1</v>
      </c>
      <c r="GH20" s="424">
        <v>96.8</v>
      </c>
      <c r="GI20" s="102">
        <v>822</v>
      </c>
      <c r="GJ20" s="429" t="s">
        <v>646</v>
      </c>
      <c r="GK20" s="429">
        <v>12.27</v>
      </c>
      <c r="GL20" s="87">
        <v>20</v>
      </c>
      <c r="GM20" s="429" t="s">
        <v>646</v>
      </c>
      <c r="GN20" s="430">
        <v>17.27</v>
      </c>
      <c r="GO20" s="430">
        <v>30</v>
      </c>
      <c r="GP20" s="425">
        <v>-0.9</v>
      </c>
      <c r="GQ20" s="425">
        <v>25</v>
      </c>
      <c r="GR20" s="425">
        <v>35</v>
      </c>
      <c r="GS20" s="431" t="s">
        <v>646</v>
      </c>
      <c r="GT20" s="425">
        <v>350</v>
      </c>
      <c r="GU20" s="394"/>
      <c r="GV20" s="100">
        <f t="shared" si="16"/>
        <v>22459</v>
      </c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</row>
    <row r="21" spans="2:230" x14ac:dyDescent="0.15">
      <c r="B21" s="89" t="s">
        <v>31</v>
      </c>
      <c r="C21" s="102">
        <v>28730202</v>
      </c>
      <c r="D21" s="73">
        <f t="shared" si="0"/>
        <v>11166581</v>
      </c>
      <c r="E21" s="102">
        <v>361328</v>
      </c>
      <c r="F21" s="102">
        <v>10805253</v>
      </c>
      <c r="G21" s="73">
        <f t="shared" si="1"/>
        <v>1928030</v>
      </c>
      <c r="H21" s="102">
        <v>563308</v>
      </c>
      <c r="I21" s="102">
        <v>1364722</v>
      </c>
      <c r="J21" s="102">
        <v>11252802</v>
      </c>
      <c r="K21" s="102">
        <v>4761968</v>
      </c>
      <c r="L21" s="102">
        <v>5128066</v>
      </c>
      <c r="M21" s="102">
        <v>1076174</v>
      </c>
      <c r="N21" s="102">
        <v>1613972</v>
      </c>
      <c r="O21" s="102">
        <v>2476393</v>
      </c>
      <c r="P21" s="102">
        <v>1358968</v>
      </c>
      <c r="Q21" s="102">
        <v>1117425</v>
      </c>
      <c r="R21" s="102">
        <v>330758</v>
      </c>
      <c r="S21" s="74"/>
      <c r="T21" s="73">
        <f t="shared" si="2"/>
        <v>4339226</v>
      </c>
      <c r="U21" s="102">
        <v>41226</v>
      </c>
      <c r="V21" s="102">
        <v>150287</v>
      </c>
      <c r="W21" s="102">
        <v>88526</v>
      </c>
      <c r="X21" s="102">
        <v>3927368</v>
      </c>
      <c r="Y21" s="102">
        <v>0</v>
      </c>
      <c r="Z21" s="102">
        <v>0</v>
      </c>
      <c r="AA21" s="102">
        <v>131819</v>
      </c>
      <c r="AB21" s="102">
        <v>151834</v>
      </c>
      <c r="AC21" s="102">
        <v>11785683</v>
      </c>
      <c r="AD21" s="102">
        <v>11285147</v>
      </c>
      <c r="AE21" s="102">
        <v>500536</v>
      </c>
      <c r="AF21" s="102">
        <v>29946</v>
      </c>
      <c r="AG21" s="102">
        <v>984202</v>
      </c>
      <c r="AH21" s="73">
        <f t="shared" si="3"/>
        <v>975476</v>
      </c>
      <c r="AI21" s="102">
        <v>640998</v>
      </c>
      <c r="AJ21" s="102">
        <v>334478</v>
      </c>
      <c r="AK21" s="102">
        <v>21757795</v>
      </c>
      <c r="AL21" s="73">
        <f t="shared" si="4"/>
        <v>13373823</v>
      </c>
      <c r="AM21" s="102">
        <v>9487238</v>
      </c>
      <c r="AN21" s="102">
        <v>1442305</v>
      </c>
      <c r="AO21" s="74"/>
      <c r="AP21" s="102">
        <v>2444280</v>
      </c>
      <c r="AQ21" s="102">
        <v>2480248</v>
      </c>
      <c r="AR21" s="102">
        <v>0</v>
      </c>
      <c r="AS21" s="102">
        <v>0</v>
      </c>
      <c r="AT21" s="102">
        <v>7501449</v>
      </c>
      <c r="AU21" s="102">
        <v>4964314</v>
      </c>
      <c r="AV21" s="102">
        <v>721910</v>
      </c>
      <c r="AW21" s="102">
        <v>51540</v>
      </c>
      <c r="AX21" s="102">
        <v>2537135</v>
      </c>
      <c r="AY21" s="102">
        <v>177872</v>
      </c>
      <c r="AZ21" s="102">
        <v>232114</v>
      </c>
      <c r="BA21" s="102">
        <v>200286</v>
      </c>
      <c r="BB21" s="102">
        <v>9311</v>
      </c>
      <c r="BC21" s="102">
        <v>2239695</v>
      </c>
      <c r="BD21" s="102">
        <v>210000</v>
      </c>
      <c r="BE21" s="102">
        <v>1491000</v>
      </c>
      <c r="BF21" s="102">
        <v>538695</v>
      </c>
      <c r="BG21" s="102">
        <v>0</v>
      </c>
      <c r="BH21" s="102">
        <v>1635423</v>
      </c>
      <c r="BI21" s="102">
        <v>1412521</v>
      </c>
      <c r="BJ21" s="102">
        <v>637225</v>
      </c>
      <c r="BK21" s="102">
        <v>12655</v>
      </c>
      <c r="BL21" s="102">
        <v>0</v>
      </c>
      <c r="BM21" s="102">
        <v>28689</v>
      </c>
      <c r="BN21" s="102">
        <v>6855400</v>
      </c>
      <c r="BO21" s="73">
        <f t="shared" si="5"/>
        <v>4205400</v>
      </c>
      <c r="BP21" s="73">
        <f t="shared" si="6"/>
        <v>2650000</v>
      </c>
      <c r="BQ21" s="102">
        <v>0</v>
      </c>
      <c r="BR21" s="102">
        <v>0</v>
      </c>
      <c r="BS21" s="102">
        <v>2650000</v>
      </c>
      <c r="BT21" s="102">
        <v>0</v>
      </c>
      <c r="BU21" s="102">
        <v>88195739</v>
      </c>
      <c r="BV21" s="71"/>
      <c r="BW21" s="102">
        <v>10270115</v>
      </c>
      <c r="BX21" s="102">
        <v>7122053</v>
      </c>
      <c r="BY21" s="102">
        <v>909274</v>
      </c>
      <c r="BZ21" s="102">
        <v>288776</v>
      </c>
      <c r="CA21" s="102">
        <v>30922245</v>
      </c>
      <c r="CB21" s="102">
        <v>7165484</v>
      </c>
      <c r="CC21" s="102">
        <v>433207</v>
      </c>
      <c r="CD21" s="102">
        <v>10175705</v>
      </c>
      <c r="CE21" s="102">
        <v>12740636</v>
      </c>
      <c r="CF21" s="102">
        <v>36594</v>
      </c>
      <c r="CG21" s="102">
        <v>369969</v>
      </c>
      <c r="CH21" s="102">
        <v>7823155</v>
      </c>
      <c r="CI21" s="102">
        <v>7210864</v>
      </c>
      <c r="CJ21" s="83">
        <f t="shared" si="17"/>
        <v>612291</v>
      </c>
      <c r="CK21" s="102">
        <v>7609968</v>
      </c>
      <c r="CL21" s="102">
        <v>4271036</v>
      </c>
      <c r="CM21" s="102">
        <v>822276</v>
      </c>
      <c r="CN21" s="102">
        <v>1505581</v>
      </c>
      <c r="CO21" s="102">
        <v>279960</v>
      </c>
      <c r="CP21" s="102">
        <v>7468376</v>
      </c>
      <c r="CQ21" s="102">
        <v>2825597</v>
      </c>
      <c r="CR21" s="102">
        <v>1445539</v>
      </c>
      <c r="CS21" s="102">
        <v>986659</v>
      </c>
      <c r="CT21" s="73">
        <f t="shared" si="7"/>
        <v>1712985</v>
      </c>
      <c r="CU21" s="102">
        <v>1712985</v>
      </c>
      <c r="CV21" s="102">
        <v>0</v>
      </c>
      <c r="CW21" s="73">
        <f t="shared" si="8"/>
        <v>0</v>
      </c>
      <c r="CX21" s="102">
        <v>0</v>
      </c>
      <c r="CY21" s="102">
        <v>0</v>
      </c>
      <c r="CZ21" s="73">
        <f t="shared" si="9"/>
        <v>1689240</v>
      </c>
      <c r="DA21" s="102">
        <v>1689240</v>
      </c>
      <c r="DB21" s="102">
        <v>0</v>
      </c>
      <c r="DC21" s="102">
        <v>11410479</v>
      </c>
      <c r="DD21" s="102">
        <v>6440835</v>
      </c>
      <c r="DE21" s="102">
        <v>2859625</v>
      </c>
      <c r="DF21" s="102">
        <v>318476</v>
      </c>
      <c r="DG21" s="102">
        <v>1791543</v>
      </c>
      <c r="DH21" s="102">
        <v>0</v>
      </c>
      <c r="DI21" s="102">
        <v>1938695</v>
      </c>
      <c r="DJ21" s="102">
        <v>1131546</v>
      </c>
      <c r="DK21" s="102">
        <v>130332</v>
      </c>
      <c r="DL21" s="102">
        <v>676817</v>
      </c>
      <c r="DM21" s="102">
        <v>536760</v>
      </c>
      <c r="DN21" s="102">
        <v>536760</v>
      </c>
      <c r="DO21" s="102">
        <v>25458</v>
      </c>
      <c r="DP21" s="102">
        <v>0</v>
      </c>
      <c r="DQ21" s="102">
        <v>6720</v>
      </c>
      <c r="DR21" s="102">
        <v>0</v>
      </c>
      <c r="DS21" s="102">
        <v>0</v>
      </c>
      <c r="DT21" s="102">
        <v>8385045</v>
      </c>
      <c r="DU21" s="102">
        <v>0</v>
      </c>
      <c r="DV21" s="73">
        <f t="shared" si="10"/>
        <v>0</v>
      </c>
      <c r="DW21" s="102">
        <v>0</v>
      </c>
      <c r="DX21" s="102">
        <v>2680809</v>
      </c>
      <c r="DY21" s="102">
        <v>0</v>
      </c>
      <c r="DZ21" s="102">
        <v>3036887</v>
      </c>
      <c r="EA21" s="74">
        <v>0</v>
      </c>
      <c r="EB21" s="102">
        <v>2667349</v>
      </c>
      <c r="EC21" s="102">
        <v>0</v>
      </c>
      <c r="ED21" s="102">
        <v>86651518</v>
      </c>
      <c r="EE21" s="71"/>
      <c r="EF21" s="102">
        <v>1544221</v>
      </c>
      <c r="EG21" s="102">
        <v>6691</v>
      </c>
      <c r="EH21" s="102">
        <v>1537530</v>
      </c>
      <c r="EI21" s="102">
        <v>125009</v>
      </c>
      <c r="EJ21" s="102">
        <v>1046555</v>
      </c>
      <c r="EK21" s="71"/>
      <c r="EL21" s="102">
        <v>237518</v>
      </c>
      <c r="EM21" s="102">
        <v>237441</v>
      </c>
      <c r="EN21" s="102">
        <v>1701000</v>
      </c>
      <c r="EO21" s="102">
        <v>207767</v>
      </c>
      <c r="EP21" s="73">
        <f t="shared" si="11"/>
        <v>2083763</v>
      </c>
      <c r="EQ21" s="102">
        <v>45367649</v>
      </c>
      <c r="ER21" s="71">
        <v>-6612584</v>
      </c>
      <c r="ES21" s="102">
        <v>9403015</v>
      </c>
      <c r="ET21" s="102">
        <v>6327108</v>
      </c>
      <c r="EU21" s="102">
        <v>8720101</v>
      </c>
      <c r="EV21" s="102">
        <v>7799840</v>
      </c>
      <c r="EW21" s="73">
        <f t="shared" si="12"/>
        <v>2166947</v>
      </c>
      <c r="EX21" s="102">
        <v>2166947</v>
      </c>
      <c r="EY21" s="102">
        <v>396003</v>
      </c>
      <c r="EZ21" s="102">
        <v>1629870</v>
      </c>
      <c r="FA21" s="102">
        <v>0</v>
      </c>
      <c r="FB21" s="102">
        <v>0</v>
      </c>
      <c r="FC21" s="102">
        <v>6211310</v>
      </c>
      <c r="FD21" s="102">
        <v>6841661</v>
      </c>
      <c r="FE21" s="102">
        <v>2816852</v>
      </c>
      <c r="FF21" s="102">
        <v>6682699</v>
      </c>
      <c r="FG21" s="73">
        <f t="shared" si="13"/>
        <v>2610439</v>
      </c>
      <c r="FH21" s="102">
        <v>50436012</v>
      </c>
      <c r="FI21" s="379">
        <f t="shared" si="14"/>
        <v>3.4</v>
      </c>
      <c r="FJ21" s="102">
        <v>42071535</v>
      </c>
      <c r="FK21" s="102">
        <v>3342408</v>
      </c>
      <c r="FL21" s="102">
        <v>24170278</v>
      </c>
      <c r="FM21" s="102">
        <v>35474406</v>
      </c>
      <c r="FN21" s="428">
        <v>0.67200000000000004</v>
      </c>
      <c r="FO21" s="424">
        <v>96.3</v>
      </c>
      <c r="FP21" s="425">
        <v>20.100000000000001</v>
      </c>
      <c r="FQ21" s="424">
        <v>19.100000000000001</v>
      </c>
      <c r="FR21" s="424">
        <v>17.2</v>
      </c>
      <c r="FS21" s="425">
        <v>12.1</v>
      </c>
      <c r="FT21" s="424">
        <v>13.2</v>
      </c>
      <c r="FU21" s="425">
        <v>12.9</v>
      </c>
      <c r="FV21" s="384">
        <v>2.1</v>
      </c>
      <c r="FW21" s="102">
        <v>60787526</v>
      </c>
      <c r="FX21" s="384">
        <f t="shared" si="15"/>
        <v>133.9</v>
      </c>
      <c r="FY21" s="102">
        <v>12059369</v>
      </c>
      <c r="FZ21" s="102">
        <v>5567166</v>
      </c>
      <c r="GA21" s="102">
        <v>284149</v>
      </c>
      <c r="GB21" s="102">
        <v>6208054</v>
      </c>
      <c r="GC21" s="104">
        <v>0</v>
      </c>
      <c r="GD21" s="427"/>
      <c r="GE21" s="386"/>
      <c r="GF21" s="424">
        <v>98.5</v>
      </c>
      <c r="GG21" s="424">
        <v>25.2</v>
      </c>
      <c r="GH21" s="424">
        <v>93.6</v>
      </c>
      <c r="GI21" s="102">
        <v>1014</v>
      </c>
      <c r="GJ21" s="429" t="s">
        <v>646</v>
      </c>
      <c r="GK21" s="429">
        <v>11.33</v>
      </c>
      <c r="GL21" s="87">
        <v>20</v>
      </c>
      <c r="GM21" s="429" t="s">
        <v>646</v>
      </c>
      <c r="GN21" s="430">
        <v>16.329999999999998</v>
      </c>
      <c r="GO21" s="430">
        <v>30</v>
      </c>
      <c r="GP21" s="425">
        <v>2.1</v>
      </c>
      <c r="GQ21" s="425">
        <v>25</v>
      </c>
      <c r="GR21" s="425">
        <v>35</v>
      </c>
      <c r="GS21" s="431" t="s">
        <v>646</v>
      </c>
      <c r="GT21" s="425">
        <v>350</v>
      </c>
      <c r="GU21" s="394"/>
      <c r="GV21" s="100">
        <f t="shared" si="16"/>
        <v>45414</v>
      </c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</row>
    <row r="22" spans="2:230" x14ac:dyDescent="0.15">
      <c r="B22" s="89" t="s">
        <v>33</v>
      </c>
      <c r="C22" s="102">
        <v>12182282</v>
      </c>
      <c r="D22" s="73">
        <f t="shared" si="0"/>
        <v>5633655</v>
      </c>
      <c r="E22" s="102">
        <v>175642</v>
      </c>
      <c r="F22" s="102">
        <v>5458013</v>
      </c>
      <c r="G22" s="73">
        <f t="shared" si="1"/>
        <v>540555</v>
      </c>
      <c r="H22" s="102">
        <v>199804</v>
      </c>
      <c r="I22" s="102">
        <v>340751</v>
      </c>
      <c r="J22" s="102">
        <v>4430902</v>
      </c>
      <c r="K22" s="102">
        <v>1634324</v>
      </c>
      <c r="L22" s="102">
        <v>2134359</v>
      </c>
      <c r="M22" s="102">
        <v>591220</v>
      </c>
      <c r="N22" s="102">
        <v>481581</v>
      </c>
      <c r="O22" s="102">
        <v>914162</v>
      </c>
      <c r="P22" s="102">
        <v>474980</v>
      </c>
      <c r="Q22" s="102">
        <v>439182</v>
      </c>
      <c r="R22" s="102">
        <v>226435</v>
      </c>
      <c r="S22" s="74"/>
      <c r="T22" s="73">
        <f t="shared" si="2"/>
        <v>2006066</v>
      </c>
      <c r="U22" s="102">
        <v>21652</v>
      </c>
      <c r="V22" s="102">
        <v>78908</v>
      </c>
      <c r="W22" s="102">
        <v>46182</v>
      </c>
      <c r="X22" s="102">
        <v>1748958</v>
      </c>
      <c r="Y22" s="102">
        <v>20094</v>
      </c>
      <c r="Z22" s="102">
        <v>0</v>
      </c>
      <c r="AA22" s="102">
        <v>90272</v>
      </c>
      <c r="AB22" s="102">
        <v>55989</v>
      </c>
      <c r="AC22" s="102">
        <v>5906416</v>
      </c>
      <c r="AD22" s="102">
        <v>5702810</v>
      </c>
      <c r="AE22" s="102">
        <v>203606</v>
      </c>
      <c r="AF22" s="102">
        <v>16119</v>
      </c>
      <c r="AG22" s="102">
        <v>388345</v>
      </c>
      <c r="AH22" s="73">
        <f t="shared" si="3"/>
        <v>653622</v>
      </c>
      <c r="AI22" s="102">
        <v>333445</v>
      </c>
      <c r="AJ22" s="102">
        <v>320177</v>
      </c>
      <c r="AK22" s="102">
        <v>6295954</v>
      </c>
      <c r="AL22" s="73">
        <f t="shared" si="4"/>
        <v>3717979</v>
      </c>
      <c r="AM22" s="102">
        <v>1981734</v>
      </c>
      <c r="AN22" s="102">
        <v>793173</v>
      </c>
      <c r="AO22" s="74"/>
      <c r="AP22" s="102">
        <v>943072</v>
      </c>
      <c r="AQ22" s="102">
        <v>137509</v>
      </c>
      <c r="AR22" s="102">
        <v>0</v>
      </c>
      <c r="AS22" s="102">
        <v>0</v>
      </c>
      <c r="AT22" s="102">
        <v>2551012</v>
      </c>
      <c r="AU22" s="102">
        <v>1414807</v>
      </c>
      <c r="AV22" s="102">
        <v>395761</v>
      </c>
      <c r="AW22" s="102">
        <v>1044</v>
      </c>
      <c r="AX22" s="102">
        <v>1136205</v>
      </c>
      <c r="AY22" s="102">
        <v>1548</v>
      </c>
      <c r="AZ22" s="102">
        <v>139591</v>
      </c>
      <c r="BA22" s="102">
        <v>62754</v>
      </c>
      <c r="BB22" s="102">
        <v>35995</v>
      </c>
      <c r="BC22" s="102">
        <v>743946</v>
      </c>
      <c r="BD22" s="102">
        <v>518367</v>
      </c>
      <c r="BE22" s="102">
        <v>6424</v>
      </c>
      <c r="BF22" s="102">
        <v>202078</v>
      </c>
      <c r="BG22" s="102">
        <v>0</v>
      </c>
      <c r="BH22" s="102">
        <v>285944</v>
      </c>
      <c r="BI22" s="102">
        <v>139861</v>
      </c>
      <c r="BJ22" s="102">
        <v>437533</v>
      </c>
      <c r="BK22" s="102">
        <v>47308</v>
      </c>
      <c r="BL22" s="102">
        <v>0</v>
      </c>
      <c r="BM22" s="102">
        <v>0</v>
      </c>
      <c r="BN22" s="102">
        <v>2805500</v>
      </c>
      <c r="BO22" s="73">
        <f t="shared" si="5"/>
        <v>1474600</v>
      </c>
      <c r="BP22" s="73">
        <f t="shared" si="6"/>
        <v>1330900</v>
      </c>
      <c r="BQ22" s="102">
        <v>0</v>
      </c>
      <c r="BR22" s="102">
        <v>0</v>
      </c>
      <c r="BS22" s="102">
        <v>1330900</v>
      </c>
      <c r="BT22" s="102">
        <v>0</v>
      </c>
      <c r="BU22" s="102">
        <v>34730749</v>
      </c>
      <c r="BV22" s="71"/>
      <c r="BW22" s="102">
        <v>6189077</v>
      </c>
      <c r="BX22" s="102">
        <v>3626287</v>
      </c>
      <c r="BY22" s="102">
        <v>618906</v>
      </c>
      <c r="BZ22" s="102">
        <v>798190</v>
      </c>
      <c r="CA22" s="102">
        <v>9654554</v>
      </c>
      <c r="CB22" s="102">
        <v>2818066</v>
      </c>
      <c r="CC22" s="102">
        <v>218421</v>
      </c>
      <c r="CD22" s="102">
        <v>3870567</v>
      </c>
      <c r="CE22" s="102">
        <v>2507693</v>
      </c>
      <c r="CF22" s="102">
        <v>7209</v>
      </c>
      <c r="CG22" s="102">
        <v>232598</v>
      </c>
      <c r="CH22" s="102">
        <v>2978590</v>
      </c>
      <c r="CI22" s="102">
        <v>2678074</v>
      </c>
      <c r="CJ22" s="83">
        <f t="shared" si="17"/>
        <v>300516</v>
      </c>
      <c r="CK22" s="102">
        <v>5014632</v>
      </c>
      <c r="CL22" s="102">
        <v>3589091</v>
      </c>
      <c r="CM22" s="102">
        <v>223429</v>
      </c>
      <c r="CN22" s="102">
        <v>602117</v>
      </c>
      <c r="CO22" s="102">
        <v>273123</v>
      </c>
      <c r="CP22" s="102">
        <v>3470505</v>
      </c>
      <c r="CQ22" s="102">
        <v>547585</v>
      </c>
      <c r="CR22" s="102">
        <v>752617</v>
      </c>
      <c r="CS22" s="102">
        <v>565914</v>
      </c>
      <c r="CT22" s="73">
        <f t="shared" si="7"/>
        <v>1398223</v>
      </c>
      <c r="CU22" s="102">
        <v>6105</v>
      </c>
      <c r="CV22" s="102">
        <v>1392118</v>
      </c>
      <c r="CW22" s="73">
        <f t="shared" si="8"/>
        <v>0</v>
      </c>
      <c r="CX22" s="102">
        <v>0</v>
      </c>
      <c r="CY22" s="102">
        <v>0</v>
      </c>
      <c r="CZ22" s="73">
        <f t="shared" si="9"/>
        <v>1279294</v>
      </c>
      <c r="DA22" s="102">
        <v>0</v>
      </c>
      <c r="DB22" s="102">
        <v>1279294</v>
      </c>
      <c r="DC22" s="102">
        <v>2742440</v>
      </c>
      <c r="DD22" s="102">
        <v>854603</v>
      </c>
      <c r="DE22" s="102">
        <v>1769232</v>
      </c>
      <c r="DF22" s="102">
        <v>118605</v>
      </c>
      <c r="DG22" s="102">
        <v>0</v>
      </c>
      <c r="DH22" s="102">
        <v>15008</v>
      </c>
      <c r="DI22" s="102">
        <v>398705</v>
      </c>
      <c r="DJ22" s="102">
        <v>91909</v>
      </c>
      <c r="DK22" s="102">
        <v>723</v>
      </c>
      <c r="DL22" s="102">
        <v>306073</v>
      </c>
      <c r="DM22" s="102">
        <v>0</v>
      </c>
      <c r="DN22" s="102">
        <v>0</v>
      </c>
      <c r="DO22" s="102">
        <v>0</v>
      </c>
      <c r="DP22" s="102">
        <v>0</v>
      </c>
      <c r="DQ22" s="102">
        <v>29970</v>
      </c>
      <c r="DR22" s="102">
        <v>0</v>
      </c>
      <c r="DS22" s="102">
        <v>0</v>
      </c>
      <c r="DT22" s="102">
        <v>3885187</v>
      </c>
      <c r="DU22" s="102">
        <v>0</v>
      </c>
      <c r="DV22" s="73">
        <f t="shared" si="10"/>
        <v>0</v>
      </c>
      <c r="DW22" s="102">
        <v>0</v>
      </c>
      <c r="DX22" s="102">
        <v>1493310</v>
      </c>
      <c r="DY22" s="102">
        <v>0</v>
      </c>
      <c r="DZ22" s="102">
        <v>978393</v>
      </c>
      <c r="EA22" s="74">
        <v>0</v>
      </c>
      <c r="EB22" s="102">
        <v>1398151</v>
      </c>
      <c r="EC22" s="102">
        <v>0</v>
      </c>
      <c r="ED22" s="102">
        <v>34651791</v>
      </c>
      <c r="EE22" s="71"/>
      <c r="EF22" s="102">
        <v>78958</v>
      </c>
      <c r="EG22" s="102">
        <v>61741</v>
      </c>
      <c r="EH22" s="102">
        <v>17217</v>
      </c>
      <c r="EI22" s="102">
        <v>-122644</v>
      </c>
      <c r="EJ22" s="102">
        <v>-549102</v>
      </c>
      <c r="EK22" s="71"/>
      <c r="EL22" s="102">
        <v>106987</v>
      </c>
      <c r="EM22" s="102">
        <v>108488</v>
      </c>
      <c r="EN22" s="102">
        <v>524791</v>
      </c>
      <c r="EO22" s="102">
        <v>80302</v>
      </c>
      <c r="EP22" s="73">
        <f t="shared" si="11"/>
        <v>558535</v>
      </c>
      <c r="EQ22" s="102">
        <v>20393307</v>
      </c>
      <c r="ER22" s="71">
        <v>-2478409</v>
      </c>
      <c r="ES22" s="102">
        <v>5566901</v>
      </c>
      <c r="ET22" s="102">
        <v>3354901</v>
      </c>
      <c r="EU22" s="102">
        <v>2531379</v>
      </c>
      <c r="EV22" s="102">
        <v>2934900</v>
      </c>
      <c r="EW22" s="73">
        <f t="shared" si="12"/>
        <v>604094</v>
      </c>
      <c r="EX22" s="102">
        <v>601174</v>
      </c>
      <c r="EY22" s="102">
        <v>31468</v>
      </c>
      <c r="EZ22" s="102">
        <v>559670</v>
      </c>
      <c r="FA22" s="102">
        <v>2920</v>
      </c>
      <c r="FB22" s="102">
        <v>0</v>
      </c>
      <c r="FC22" s="102">
        <v>4220899</v>
      </c>
      <c r="FD22" s="102">
        <v>3215147</v>
      </c>
      <c r="FE22" s="102">
        <v>547585</v>
      </c>
      <c r="FF22" s="102">
        <v>3133696</v>
      </c>
      <c r="FG22" s="73">
        <f t="shared" si="13"/>
        <v>585742</v>
      </c>
      <c r="FH22" s="102">
        <v>22792758</v>
      </c>
      <c r="FI22" s="379">
        <f t="shared" si="14"/>
        <v>0.1</v>
      </c>
      <c r="FJ22" s="102">
        <v>19517625</v>
      </c>
      <c r="FK22" s="102">
        <v>1330919</v>
      </c>
      <c r="FL22" s="102">
        <v>10882139</v>
      </c>
      <c r="FM22" s="102">
        <v>16600240</v>
      </c>
      <c r="FN22" s="428">
        <v>0.64500000000000002</v>
      </c>
      <c r="FO22" s="424">
        <v>99.1</v>
      </c>
      <c r="FP22" s="425">
        <v>26.1</v>
      </c>
      <c r="FQ22" s="424">
        <v>12.2</v>
      </c>
      <c r="FR22" s="424">
        <v>14.1</v>
      </c>
      <c r="FS22" s="425">
        <v>19.2</v>
      </c>
      <c r="FT22" s="424">
        <v>11.5</v>
      </c>
      <c r="FU22" s="425">
        <v>14.7</v>
      </c>
      <c r="FV22" s="384">
        <v>3.4</v>
      </c>
      <c r="FW22" s="102">
        <v>32725338</v>
      </c>
      <c r="FX22" s="384">
        <f t="shared" si="15"/>
        <v>157</v>
      </c>
      <c r="FY22" s="102">
        <v>7294298</v>
      </c>
      <c r="FZ22" s="102">
        <v>3508873</v>
      </c>
      <c r="GA22" s="102">
        <v>404528</v>
      </c>
      <c r="GB22" s="102">
        <v>3380897</v>
      </c>
      <c r="GC22" s="104">
        <v>0</v>
      </c>
      <c r="GD22" s="427"/>
      <c r="GE22" s="386"/>
      <c r="GF22" s="424">
        <v>99.3</v>
      </c>
      <c r="GG22" s="424">
        <v>24.8</v>
      </c>
      <c r="GH22" s="424">
        <v>96.6</v>
      </c>
      <c r="GI22" s="102">
        <v>562</v>
      </c>
      <c r="GJ22" s="429" t="s">
        <v>646</v>
      </c>
      <c r="GK22" s="429">
        <v>12.42</v>
      </c>
      <c r="GL22" s="87">
        <v>20</v>
      </c>
      <c r="GM22" s="429" t="s">
        <v>646</v>
      </c>
      <c r="GN22" s="430">
        <v>17.420000000000002</v>
      </c>
      <c r="GO22" s="430">
        <v>30</v>
      </c>
      <c r="GP22" s="425">
        <v>3.4</v>
      </c>
      <c r="GQ22" s="425">
        <v>25</v>
      </c>
      <c r="GR22" s="425">
        <v>35</v>
      </c>
      <c r="GS22" s="431" t="s">
        <v>646</v>
      </c>
      <c r="GT22" s="425">
        <v>350</v>
      </c>
      <c r="GU22" s="394"/>
      <c r="GV22" s="100">
        <f t="shared" si="16"/>
        <v>20849</v>
      </c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</row>
    <row r="23" spans="2:230" x14ac:dyDescent="0.15">
      <c r="B23" s="89" t="s">
        <v>35</v>
      </c>
      <c r="C23" s="102">
        <v>13649733</v>
      </c>
      <c r="D23" s="73">
        <f t="shared" si="0"/>
        <v>5304767</v>
      </c>
      <c r="E23" s="102">
        <v>176998</v>
      </c>
      <c r="F23" s="102">
        <v>5127769</v>
      </c>
      <c r="G23" s="73">
        <f t="shared" si="1"/>
        <v>779155</v>
      </c>
      <c r="H23" s="102">
        <v>255596</v>
      </c>
      <c r="I23" s="102">
        <v>523559</v>
      </c>
      <c r="J23" s="102">
        <v>5326271</v>
      </c>
      <c r="K23" s="102">
        <v>2545385</v>
      </c>
      <c r="L23" s="102">
        <v>2190399</v>
      </c>
      <c r="M23" s="102">
        <v>550726</v>
      </c>
      <c r="N23" s="102">
        <v>901637</v>
      </c>
      <c r="O23" s="102">
        <v>1175375</v>
      </c>
      <c r="P23" s="102">
        <v>697838</v>
      </c>
      <c r="Q23" s="102">
        <v>477537</v>
      </c>
      <c r="R23" s="102">
        <v>178119</v>
      </c>
      <c r="S23" s="74"/>
      <c r="T23" s="73">
        <f t="shared" si="2"/>
        <v>2276745</v>
      </c>
      <c r="U23" s="102">
        <v>19264</v>
      </c>
      <c r="V23" s="102">
        <v>70228</v>
      </c>
      <c r="W23" s="102">
        <v>41379</v>
      </c>
      <c r="X23" s="102">
        <v>2074891</v>
      </c>
      <c r="Y23" s="102">
        <v>0</v>
      </c>
      <c r="Z23" s="102">
        <v>0</v>
      </c>
      <c r="AA23" s="102">
        <v>70983</v>
      </c>
      <c r="AB23" s="102">
        <v>73937</v>
      </c>
      <c r="AC23" s="102">
        <v>8123851</v>
      </c>
      <c r="AD23" s="102">
        <v>7778599</v>
      </c>
      <c r="AE23" s="102">
        <v>345252</v>
      </c>
      <c r="AF23" s="102">
        <v>19217</v>
      </c>
      <c r="AG23" s="102">
        <v>372472</v>
      </c>
      <c r="AH23" s="73">
        <f t="shared" si="3"/>
        <v>596496</v>
      </c>
      <c r="AI23" s="102">
        <v>398110</v>
      </c>
      <c r="AJ23" s="102">
        <v>198386</v>
      </c>
      <c r="AK23" s="102">
        <v>10113560</v>
      </c>
      <c r="AL23" s="73">
        <f t="shared" si="4"/>
        <v>6386298</v>
      </c>
      <c r="AM23" s="102">
        <v>4424610</v>
      </c>
      <c r="AN23" s="102">
        <v>856193</v>
      </c>
      <c r="AO23" s="74"/>
      <c r="AP23" s="102">
        <v>1105495</v>
      </c>
      <c r="AQ23" s="102">
        <v>176233</v>
      </c>
      <c r="AR23" s="102">
        <v>0</v>
      </c>
      <c r="AS23" s="102">
        <v>0</v>
      </c>
      <c r="AT23" s="102">
        <v>3073813</v>
      </c>
      <c r="AU23" s="102">
        <v>1660134</v>
      </c>
      <c r="AV23" s="102">
        <v>422969</v>
      </c>
      <c r="AW23" s="102">
        <v>9228</v>
      </c>
      <c r="AX23" s="102">
        <v>1413679</v>
      </c>
      <c r="AY23" s="102">
        <v>0</v>
      </c>
      <c r="AZ23" s="102">
        <v>195873</v>
      </c>
      <c r="BA23" s="102">
        <v>18911</v>
      </c>
      <c r="BB23" s="102">
        <v>121654</v>
      </c>
      <c r="BC23" s="102">
        <v>838585</v>
      </c>
      <c r="BD23" s="102">
        <v>707134</v>
      </c>
      <c r="BE23" s="102">
        <v>0</v>
      </c>
      <c r="BF23" s="102">
        <v>126195</v>
      </c>
      <c r="BG23" s="102">
        <v>0</v>
      </c>
      <c r="BH23" s="102">
        <v>286045</v>
      </c>
      <c r="BI23" s="102">
        <v>278671</v>
      </c>
      <c r="BJ23" s="102">
        <v>253057</v>
      </c>
      <c r="BK23" s="102">
        <v>25005</v>
      </c>
      <c r="BL23" s="102">
        <v>0</v>
      </c>
      <c r="BM23" s="102">
        <v>0</v>
      </c>
      <c r="BN23" s="102">
        <v>4708400</v>
      </c>
      <c r="BO23" s="73">
        <f t="shared" si="5"/>
        <v>3166500</v>
      </c>
      <c r="BP23" s="73">
        <f t="shared" si="6"/>
        <v>1541900</v>
      </c>
      <c r="BQ23" s="102">
        <v>0</v>
      </c>
      <c r="BR23" s="102">
        <v>25300</v>
      </c>
      <c r="BS23" s="102">
        <v>1516600</v>
      </c>
      <c r="BT23" s="102">
        <v>0</v>
      </c>
      <c r="BU23" s="102">
        <v>44881557</v>
      </c>
      <c r="BV23" s="71"/>
      <c r="BW23" s="102">
        <v>7363757</v>
      </c>
      <c r="BX23" s="102">
        <v>5074813</v>
      </c>
      <c r="BY23" s="102">
        <v>457251</v>
      </c>
      <c r="BZ23" s="102">
        <v>412377</v>
      </c>
      <c r="CA23" s="102">
        <v>14736132</v>
      </c>
      <c r="CB23" s="102">
        <v>3112601</v>
      </c>
      <c r="CC23" s="102">
        <v>244325</v>
      </c>
      <c r="CD23" s="102">
        <v>5332250</v>
      </c>
      <c r="CE23" s="102">
        <v>5838055</v>
      </c>
      <c r="CF23" s="102">
        <v>21770</v>
      </c>
      <c r="CG23" s="102">
        <v>186971</v>
      </c>
      <c r="CH23" s="102">
        <v>4206377</v>
      </c>
      <c r="CI23" s="102">
        <v>3738081</v>
      </c>
      <c r="CJ23" s="83">
        <f t="shared" si="17"/>
        <v>468296</v>
      </c>
      <c r="CK23" s="102">
        <v>4626302</v>
      </c>
      <c r="CL23" s="102">
        <v>2949847</v>
      </c>
      <c r="CM23" s="102">
        <v>154963</v>
      </c>
      <c r="CN23" s="102">
        <v>758193</v>
      </c>
      <c r="CO23" s="102">
        <v>271861</v>
      </c>
      <c r="CP23" s="102">
        <v>1940392</v>
      </c>
      <c r="CQ23" s="102">
        <v>362351</v>
      </c>
      <c r="CR23" s="102">
        <v>910833</v>
      </c>
      <c r="CS23" s="102">
        <v>717559</v>
      </c>
      <c r="CT23" s="73">
        <f t="shared" si="7"/>
        <v>18031</v>
      </c>
      <c r="CU23" s="102">
        <v>9000</v>
      </c>
      <c r="CV23" s="102">
        <v>9031</v>
      </c>
      <c r="CW23" s="73">
        <f t="shared" si="8"/>
        <v>0</v>
      </c>
      <c r="CX23" s="102">
        <v>0</v>
      </c>
      <c r="CY23" s="102">
        <v>0</v>
      </c>
      <c r="CZ23" s="73">
        <f t="shared" si="9"/>
        <v>0</v>
      </c>
      <c r="DA23" s="102">
        <v>0</v>
      </c>
      <c r="DB23" s="102">
        <v>0</v>
      </c>
      <c r="DC23" s="102">
        <v>4185079</v>
      </c>
      <c r="DD23" s="102">
        <v>1190182</v>
      </c>
      <c r="DE23" s="102">
        <v>2950898</v>
      </c>
      <c r="DF23" s="102">
        <v>43999</v>
      </c>
      <c r="DG23" s="102">
        <v>0</v>
      </c>
      <c r="DH23" s="102">
        <v>0</v>
      </c>
      <c r="DI23" s="102">
        <v>448025</v>
      </c>
      <c r="DJ23" s="102">
        <v>240357</v>
      </c>
      <c r="DK23" s="102">
        <v>2</v>
      </c>
      <c r="DL23" s="102">
        <v>207666</v>
      </c>
      <c r="DM23" s="102">
        <v>0</v>
      </c>
      <c r="DN23" s="102">
        <v>0</v>
      </c>
      <c r="DO23" s="102">
        <v>0</v>
      </c>
      <c r="DP23" s="102">
        <v>0</v>
      </c>
      <c r="DQ23" s="102">
        <v>25000</v>
      </c>
      <c r="DR23" s="102">
        <v>0</v>
      </c>
      <c r="DS23" s="102">
        <v>0</v>
      </c>
      <c r="DT23" s="102">
        <v>6930424</v>
      </c>
      <c r="DU23" s="102">
        <v>2300000</v>
      </c>
      <c r="DV23" s="73">
        <f t="shared" si="10"/>
        <v>0</v>
      </c>
      <c r="DW23" s="102">
        <v>0</v>
      </c>
      <c r="DX23" s="102">
        <v>1544276</v>
      </c>
      <c r="DY23" s="102">
        <v>0</v>
      </c>
      <c r="DZ23" s="102">
        <v>1636873</v>
      </c>
      <c r="EA23" s="74">
        <v>0</v>
      </c>
      <c r="EB23" s="102">
        <v>1449273</v>
      </c>
      <c r="EC23" s="102">
        <v>0</v>
      </c>
      <c r="ED23" s="102">
        <v>44733349</v>
      </c>
      <c r="EE23" s="71"/>
      <c r="EF23" s="102">
        <v>148208</v>
      </c>
      <c r="EG23" s="102">
        <v>708</v>
      </c>
      <c r="EH23" s="102">
        <v>147500</v>
      </c>
      <c r="EI23" s="102">
        <v>-131171</v>
      </c>
      <c r="EJ23" s="102">
        <v>-597948</v>
      </c>
      <c r="EK23" s="71"/>
      <c r="EL23" s="102">
        <v>120750</v>
      </c>
      <c r="EM23" s="102">
        <v>121467</v>
      </c>
      <c r="EN23" s="102">
        <v>805256</v>
      </c>
      <c r="EO23" s="102">
        <v>190175</v>
      </c>
      <c r="EP23" s="73">
        <f t="shared" si="11"/>
        <v>583837</v>
      </c>
      <c r="EQ23" s="102">
        <v>24321602</v>
      </c>
      <c r="ER23" s="71">
        <v>-3101951</v>
      </c>
      <c r="ES23" s="102">
        <v>6864994</v>
      </c>
      <c r="ET23" s="102">
        <v>4771016</v>
      </c>
      <c r="EU23" s="102">
        <v>4017365</v>
      </c>
      <c r="EV23" s="102">
        <v>4206377</v>
      </c>
      <c r="EW23" s="73">
        <f t="shared" si="12"/>
        <v>141470</v>
      </c>
      <c r="EX23" s="102">
        <v>141470</v>
      </c>
      <c r="EY23" s="102">
        <v>5134</v>
      </c>
      <c r="EZ23" s="102">
        <v>136336</v>
      </c>
      <c r="FA23" s="102">
        <v>0</v>
      </c>
      <c r="FB23" s="102">
        <v>0</v>
      </c>
      <c r="FC23" s="102">
        <v>4129135</v>
      </c>
      <c r="FD23" s="102">
        <v>1503787</v>
      </c>
      <c r="FE23" s="102">
        <v>212777</v>
      </c>
      <c r="FF23" s="102">
        <v>5839824</v>
      </c>
      <c r="FG23" s="73">
        <f t="shared" si="13"/>
        <v>572393</v>
      </c>
      <c r="FH23" s="102">
        <v>27275345</v>
      </c>
      <c r="FI23" s="379">
        <f t="shared" si="14"/>
        <v>0.6</v>
      </c>
      <c r="FJ23" s="102">
        <v>22704725</v>
      </c>
      <c r="FK23" s="102">
        <v>1516688</v>
      </c>
      <c r="FL23" s="102">
        <v>11757084</v>
      </c>
      <c r="FM23" s="102">
        <v>19551767</v>
      </c>
      <c r="FN23" s="428">
        <v>0.6</v>
      </c>
      <c r="FO23" s="424">
        <v>103.7</v>
      </c>
      <c r="FP23" s="425">
        <v>27.9</v>
      </c>
      <c r="FQ23" s="424">
        <v>16.3</v>
      </c>
      <c r="FR23" s="424">
        <v>17.100000000000001</v>
      </c>
      <c r="FS23" s="425">
        <v>16</v>
      </c>
      <c r="FT23" s="424">
        <v>5</v>
      </c>
      <c r="FU23" s="425">
        <v>20.5</v>
      </c>
      <c r="FV23" s="384">
        <v>9.1999999999999993</v>
      </c>
      <c r="FW23" s="102">
        <v>42031331</v>
      </c>
      <c r="FX23" s="384">
        <f t="shared" si="15"/>
        <v>173.5</v>
      </c>
      <c r="FY23" s="102">
        <v>1999682</v>
      </c>
      <c r="FZ23" s="102">
        <v>911085</v>
      </c>
      <c r="GA23" s="102">
        <v>21262</v>
      </c>
      <c r="GB23" s="102">
        <v>1067335</v>
      </c>
      <c r="GC23" s="104">
        <v>0</v>
      </c>
      <c r="GD23" s="427">
        <v>881</v>
      </c>
      <c r="GE23" s="386">
        <f>IF(GD23=0,"-",ROUND(GD23/(GV23)*100,1))</f>
        <v>3.6</v>
      </c>
      <c r="GF23" s="424">
        <v>98.8</v>
      </c>
      <c r="GG23" s="424">
        <v>40</v>
      </c>
      <c r="GH23" s="424">
        <v>96.3</v>
      </c>
      <c r="GI23" s="102">
        <v>741</v>
      </c>
      <c r="GJ23" s="429" t="s">
        <v>646</v>
      </c>
      <c r="GK23" s="429">
        <v>12.14</v>
      </c>
      <c r="GL23" s="87">
        <v>20</v>
      </c>
      <c r="GM23" s="429" t="s">
        <v>646</v>
      </c>
      <c r="GN23" s="430">
        <v>17.14</v>
      </c>
      <c r="GO23" s="430">
        <v>30</v>
      </c>
      <c r="GP23" s="425">
        <v>9.1999999999999993</v>
      </c>
      <c r="GQ23" s="425">
        <v>25</v>
      </c>
      <c r="GR23" s="425">
        <v>35</v>
      </c>
      <c r="GS23" s="431">
        <v>86.9</v>
      </c>
      <c r="GT23" s="425">
        <v>350</v>
      </c>
      <c r="GU23" s="394"/>
      <c r="GV23" s="100">
        <f t="shared" si="16"/>
        <v>24221</v>
      </c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</row>
    <row r="24" spans="2:230" x14ac:dyDescent="0.15">
      <c r="B24" s="89" t="s">
        <v>37</v>
      </c>
      <c r="C24" s="102">
        <v>16789827</v>
      </c>
      <c r="D24" s="73">
        <f t="shared" si="0"/>
        <v>5693335</v>
      </c>
      <c r="E24" s="102">
        <v>193573</v>
      </c>
      <c r="F24" s="102">
        <v>5499762</v>
      </c>
      <c r="G24" s="73">
        <f t="shared" si="1"/>
        <v>1213059</v>
      </c>
      <c r="H24" s="102">
        <v>354941</v>
      </c>
      <c r="I24" s="102">
        <v>858118</v>
      </c>
      <c r="J24" s="102">
        <v>7351100</v>
      </c>
      <c r="K24" s="102">
        <v>3226636</v>
      </c>
      <c r="L24" s="102">
        <v>3154587</v>
      </c>
      <c r="M24" s="102">
        <v>824121</v>
      </c>
      <c r="N24" s="102">
        <v>843017</v>
      </c>
      <c r="O24" s="102">
        <v>1533314</v>
      </c>
      <c r="P24" s="102">
        <v>852829</v>
      </c>
      <c r="Q24" s="102">
        <v>680485</v>
      </c>
      <c r="R24" s="102">
        <v>183238</v>
      </c>
      <c r="S24" s="74"/>
      <c r="T24" s="73">
        <f t="shared" si="2"/>
        <v>2450603</v>
      </c>
      <c r="U24" s="102">
        <v>20697</v>
      </c>
      <c r="V24" s="102">
        <v>75467</v>
      </c>
      <c r="W24" s="102">
        <v>44596</v>
      </c>
      <c r="X24" s="102">
        <v>2212938</v>
      </c>
      <c r="Y24" s="102">
        <v>22140</v>
      </c>
      <c r="Z24" s="102">
        <v>0</v>
      </c>
      <c r="AA24" s="102">
        <v>74765</v>
      </c>
      <c r="AB24" s="102">
        <v>74156</v>
      </c>
      <c r="AC24" s="102">
        <v>4548592</v>
      </c>
      <c r="AD24" s="102">
        <v>4259974</v>
      </c>
      <c r="AE24" s="102">
        <v>288618</v>
      </c>
      <c r="AF24" s="102">
        <v>16547</v>
      </c>
      <c r="AG24" s="102">
        <v>326817</v>
      </c>
      <c r="AH24" s="73">
        <f t="shared" si="3"/>
        <v>785601</v>
      </c>
      <c r="AI24" s="102">
        <v>381391</v>
      </c>
      <c r="AJ24" s="102">
        <v>404210</v>
      </c>
      <c r="AK24" s="102">
        <v>7487982</v>
      </c>
      <c r="AL24" s="73">
        <f t="shared" si="4"/>
        <v>3972320</v>
      </c>
      <c r="AM24" s="102">
        <v>1690392</v>
      </c>
      <c r="AN24" s="102">
        <v>1176392</v>
      </c>
      <c r="AO24" s="74"/>
      <c r="AP24" s="102">
        <v>1105536</v>
      </c>
      <c r="AQ24" s="102">
        <v>468059</v>
      </c>
      <c r="AR24" s="102">
        <v>0</v>
      </c>
      <c r="AS24" s="102">
        <v>0</v>
      </c>
      <c r="AT24" s="102">
        <v>3218039</v>
      </c>
      <c r="AU24" s="102">
        <v>1929763</v>
      </c>
      <c r="AV24" s="102">
        <v>623005</v>
      </c>
      <c r="AW24" s="102">
        <v>2801</v>
      </c>
      <c r="AX24" s="102">
        <v>1288276</v>
      </c>
      <c r="AY24" s="102">
        <v>132308</v>
      </c>
      <c r="AZ24" s="102">
        <v>61225</v>
      </c>
      <c r="BA24" s="102">
        <v>14936</v>
      </c>
      <c r="BB24" s="102">
        <v>437762</v>
      </c>
      <c r="BC24" s="102">
        <v>906188</v>
      </c>
      <c r="BD24" s="102">
        <v>360000</v>
      </c>
      <c r="BE24" s="102">
        <v>391180</v>
      </c>
      <c r="BF24" s="102">
        <v>155008</v>
      </c>
      <c r="BG24" s="102">
        <v>0</v>
      </c>
      <c r="BH24" s="102">
        <v>1029201</v>
      </c>
      <c r="BI24" s="102">
        <v>968340</v>
      </c>
      <c r="BJ24" s="102">
        <v>1092754</v>
      </c>
      <c r="BK24" s="102">
        <v>2284</v>
      </c>
      <c r="BL24" s="102">
        <v>0</v>
      </c>
      <c r="BM24" s="102">
        <v>0</v>
      </c>
      <c r="BN24" s="102">
        <v>1997553</v>
      </c>
      <c r="BO24" s="73">
        <f t="shared" si="5"/>
        <v>833900</v>
      </c>
      <c r="BP24" s="73">
        <f t="shared" si="6"/>
        <v>1163653</v>
      </c>
      <c r="BQ24" s="102">
        <v>0</v>
      </c>
      <c r="BR24" s="102">
        <v>0</v>
      </c>
      <c r="BS24" s="102">
        <v>1163653</v>
      </c>
      <c r="BT24" s="102">
        <v>0</v>
      </c>
      <c r="BU24" s="102">
        <v>41406085</v>
      </c>
      <c r="BV24" s="71"/>
      <c r="BW24" s="102">
        <v>5290526</v>
      </c>
      <c r="BX24" s="102">
        <v>3586710</v>
      </c>
      <c r="BY24" s="102">
        <v>473905</v>
      </c>
      <c r="BZ24" s="102">
        <v>192137</v>
      </c>
      <c r="CA24" s="102">
        <v>11814662</v>
      </c>
      <c r="CB24" s="102">
        <v>2871132</v>
      </c>
      <c r="CC24" s="102">
        <v>197940</v>
      </c>
      <c r="CD24" s="102">
        <v>6211318</v>
      </c>
      <c r="CE24" s="102">
        <v>2248936</v>
      </c>
      <c r="CF24" s="102">
        <v>2838</v>
      </c>
      <c r="CG24" s="102">
        <v>282478</v>
      </c>
      <c r="CH24" s="102">
        <v>3869104</v>
      </c>
      <c r="CI24" s="102">
        <v>3480062</v>
      </c>
      <c r="CJ24" s="83">
        <f t="shared" si="17"/>
        <v>389042</v>
      </c>
      <c r="CK24" s="102">
        <v>6620286</v>
      </c>
      <c r="CL24" s="102">
        <v>4229683</v>
      </c>
      <c r="CM24" s="102">
        <v>294168</v>
      </c>
      <c r="CN24" s="102">
        <v>1337687</v>
      </c>
      <c r="CO24" s="102">
        <v>178172</v>
      </c>
      <c r="CP24" s="102">
        <v>5250135</v>
      </c>
      <c r="CQ24" s="102">
        <v>2042969</v>
      </c>
      <c r="CR24" s="102">
        <v>729563</v>
      </c>
      <c r="CS24" s="102">
        <v>196305</v>
      </c>
      <c r="CT24" s="73">
        <f t="shared" si="7"/>
        <v>1781122</v>
      </c>
      <c r="CU24" s="102">
        <v>1781122</v>
      </c>
      <c r="CV24" s="102">
        <v>0</v>
      </c>
      <c r="CW24" s="73">
        <f t="shared" si="8"/>
        <v>0</v>
      </c>
      <c r="CX24" s="102">
        <v>0</v>
      </c>
      <c r="CY24" s="102">
        <v>0</v>
      </c>
      <c r="CZ24" s="73">
        <f t="shared" si="9"/>
        <v>1761122</v>
      </c>
      <c r="DA24" s="102">
        <v>1761122</v>
      </c>
      <c r="DB24" s="102">
        <v>0</v>
      </c>
      <c r="DC24" s="102">
        <v>2050156</v>
      </c>
      <c r="DD24" s="102">
        <v>1342880</v>
      </c>
      <c r="DE24" s="102">
        <v>568676</v>
      </c>
      <c r="DF24" s="102">
        <v>138600</v>
      </c>
      <c r="DG24" s="102">
        <v>0</v>
      </c>
      <c r="DH24" s="102">
        <v>0</v>
      </c>
      <c r="DI24" s="102">
        <v>606694</v>
      </c>
      <c r="DJ24" s="102">
        <v>189</v>
      </c>
      <c r="DK24" s="102">
        <v>618</v>
      </c>
      <c r="DL24" s="102">
        <v>605887</v>
      </c>
      <c r="DM24" s="102">
        <v>273520</v>
      </c>
      <c r="DN24" s="102">
        <v>270520</v>
      </c>
      <c r="DO24" s="102">
        <v>0</v>
      </c>
      <c r="DP24" s="102">
        <v>0</v>
      </c>
      <c r="DQ24" s="102">
        <v>0</v>
      </c>
      <c r="DR24" s="102">
        <v>0</v>
      </c>
      <c r="DS24" s="102">
        <v>0</v>
      </c>
      <c r="DT24" s="102">
        <v>4590302</v>
      </c>
      <c r="DU24" s="102">
        <v>0</v>
      </c>
      <c r="DV24" s="73">
        <f t="shared" si="10"/>
        <v>0</v>
      </c>
      <c r="DW24" s="102">
        <v>0</v>
      </c>
      <c r="DX24" s="102">
        <v>1336221</v>
      </c>
      <c r="DY24" s="102">
        <v>0</v>
      </c>
      <c r="DZ24" s="102">
        <v>2002335</v>
      </c>
      <c r="EA24" s="74">
        <v>0</v>
      </c>
      <c r="EB24" s="102">
        <v>1228646</v>
      </c>
      <c r="EC24" s="102">
        <v>0</v>
      </c>
      <c r="ED24" s="102">
        <v>40543557</v>
      </c>
      <c r="EE24" s="71"/>
      <c r="EF24" s="102">
        <v>862528</v>
      </c>
      <c r="EG24" s="102">
        <v>391055</v>
      </c>
      <c r="EH24" s="102">
        <v>471473</v>
      </c>
      <c r="EI24" s="102">
        <v>-496867</v>
      </c>
      <c r="EJ24" s="102">
        <v>-856678</v>
      </c>
      <c r="EK24" s="71"/>
      <c r="EL24" s="102">
        <v>123217</v>
      </c>
      <c r="EM24" s="102">
        <v>122461</v>
      </c>
      <c r="EN24" s="102">
        <v>751180</v>
      </c>
      <c r="EO24" s="102">
        <v>58618</v>
      </c>
      <c r="EP24" s="73">
        <f t="shared" si="11"/>
        <v>1896379</v>
      </c>
      <c r="EQ24" s="102">
        <v>24062963</v>
      </c>
      <c r="ER24" s="71">
        <v>-3853283</v>
      </c>
      <c r="ES24" s="102">
        <v>4780725</v>
      </c>
      <c r="ET24" s="102">
        <v>3162348</v>
      </c>
      <c r="EU24" s="102">
        <v>3442737</v>
      </c>
      <c r="EV24" s="102">
        <v>3864120</v>
      </c>
      <c r="EW24" s="73">
        <f t="shared" si="12"/>
        <v>612053</v>
      </c>
      <c r="EX24" s="102">
        <v>612053</v>
      </c>
      <c r="EY24" s="102">
        <v>251962</v>
      </c>
      <c r="EZ24" s="102">
        <v>349801</v>
      </c>
      <c r="FA24" s="102">
        <v>0</v>
      </c>
      <c r="FB24" s="102">
        <v>0</v>
      </c>
      <c r="FC24" s="102">
        <v>4915129</v>
      </c>
      <c r="FD24" s="102">
        <v>5008002</v>
      </c>
      <c r="FE24" s="102">
        <v>2041828</v>
      </c>
      <c r="FF24" s="102">
        <v>3569929</v>
      </c>
      <c r="FG24" s="73">
        <f t="shared" si="13"/>
        <v>861023</v>
      </c>
      <c r="FH24" s="102">
        <v>27053718</v>
      </c>
      <c r="FI24" s="379">
        <f t="shared" si="14"/>
        <v>2</v>
      </c>
      <c r="FJ24" s="102">
        <v>22104679</v>
      </c>
      <c r="FK24" s="102">
        <v>1663653</v>
      </c>
      <c r="FL24" s="102">
        <v>13962074</v>
      </c>
      <c r="FM24" s="102">
        <v>18237051</v>
      </c>
      <c r="FN24" s="428">
        <v>0.75900000000000001</v>
      </c>
      <c r="FO24" s="424">
        <v>102.1</v>
      </c>
      <c r="FP24" s="425">
        <v>19.8</v>
      </c>
      <c r="FQ24" s="424">
        <v>14.5</v>
      </c>
      <c r="FR24" s="424">
        <v>16.3</v>
      </c>
      <c r="FS24" s="425">
        <v>19.600000000000001</v>
      </c>
      <c r="FT24" s="424">
        <v>18.3</v>
      </c>
      <c r="FU24" s="425">
        <v>12</v>
      </c>
      <c r="FV24" s="384">
        <v>3.9</v>
      </c>
      <c r="FW24" s="102">
        <v>37136161</v>
      </c>
      <c r="FX24" s="384">
        <f t="shared" si="15"/>
        <v>156.19999999999999</v>
      </c>
      <c r="FY24" s="102">
        <v>16805885</v>
      </c>
      <c r="FZ24" s="102">
        <v>8219564</v>
      </c>
      <c r="GA24" s="102">
        <v>1390461</v>
      </c>
      <c r="GB24" s="102">
        <v>7195860</v>
      </c>
      <c r="GC24" s="104">
        <v>0</v>
      </c>
      <c r="GD24" s="427"/>
      <c r="GE24" s="386"/>
      <c r="GF24" s="424">
        <v>99.2</v>
      </c>
      <c r="GG24" s="424">
        <v>44.7</v>
      </c>
      <c r="GH24" s="424">
        <v>97.3</v>
      </c>
      <c r="GI24" s="102">
        <v>535</v>
      </c>
      <c r="GJ24" s="429" t="s">
        <v>646</v>
      </c>
      <c r="GK24" s="429">
        <v>12.17</v>
      </c>
      <c r="GL24" s="87">
        <v>20</v>
      </c>
      <c r="GM24" s="429" t="s">
        <v>646</v>
      </c>
      <c r="GN24" s="430">
        <v>17.170000000000002</v>
      </c>
      <c r="GO24" s="430">
        <v>30</v>
      </c>
      <c r="GP24" s="425">
        <v>3.9</v>
      </c>
      <c r="GQ24" s="425">
        <v>25</v>
      </c>
      <c r="GR24" s="425">
        <v>35</v>
      </c>
      <c r="GS24" s="431" t="s">
        <v>646</v>
      </c>
      <c r="GT24" s="425">
        <v>350</v>
      </c>
      <c r="GU24" s="394"/>
      <c r="GV24" s="100">
        <f t="shared" si="16"/>
        <v>23768</v>
      </c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</row>
    <row r="25" spans="2:230" x14ac:dyDescent="0.15">
      <c r="B25" s="89" t="s">
        <v>39</v>
      </c>
      <c r="C25" s="102">
        <v>23199590</v>
      </c>
      <c r="D25" s="73">
        <f t="shared" si="0"/>
        <v>9345444</v>
      </c>
      <c r="E25" s="102">
        <v>281083</v>
      </c>
      <c r="F25" s="102">
        <v>9064361</v>
      </c>
      <c r="G25" s="73">
        <f t="shared" si="1"/>
        <v>1379055</v>
      </c>
      <c r="H25" s="102">
        <v>455568</v>
      </c>
      <c r="I25" s="102">
        <v>923487</v>
      </c>
      <c r="J25" s="102">
        <v>9185687</v>
      </c>
      <c r="K25" s="102">
        <v>3437656</v>
      </c>
      <c r="L25" s="102">
        <v>4544434</v>
      </c>
      <c r="M25" s="102">
        <v>1102167</v>
      </c>
      <c r="N25" s="102">
        <v>1092968</v>
      </c>
      <c r="O25" s="102">
        <v>1873262</v>
      </c>
      <c r="P25" s="102">
        <v>933324</v>
      </c>
      <c r="Q25" s="102">
        <v>939938</v>
      </c>
      <c r="R25" s="102">
        <v>322193</v>
      </c>
      <c r="S25" s="74"/>
      <c r="T25" s="73">
        <f t="shared" si="2"/>
        <v>3447046</v>
      </c>
      <c r="U25" s="102">
        <v>34271</v>
      </c>
      <c r="V25" s="102">
        <v>124948</v>
      </c>
      <c r="W25" s="102">
        <v>73788</v>
      </c>
      <c r="X25" s="102">
        <v>3052369</v>
      </c>
      <c r="Y25" s="102">
        <v>33448</v>
      </c>
      <c r="Z25" s="102">
        <v>0</v>
      </c>
      <c r="AA25" s="102">
        <v>128222</v>
      </c>
      <c r="AB25" s="102">
        <v>148035</v>
      </c>
      <c r="AC25" s="102">
        <v>7623751</v>
      </c>
      <c r="AD25" s="102">
        <v>7003183</v>
      </c>
      <c r="AE25" s="102">
        <v>620568</v>
      </c>
      <c r="AF25" s="102">
        <v>26262</v>
      </c>
      <c r="AG25" s="102">
        <v>235891</v>
      </c>
      <c r="AH25" s="73">
        <f t="shared" si="3"/>
        <v>1562507</v>
      </c>
      <c r="AI25" s="102">
        <v>1171779</v>
      </c>
      <c r="AJ25" s="102">
        <v>390728</v>
      </c>
      <c r="AK25" s="102">
        <v>12853337</v>
      </c>
      <c r="AL25" s="73">
        <f t="shared" si="4"/>
        <v>8173408</v>
      </c>
      <c r="AM25" s="102">
        <v>5597787</v>
      </c>
      <c r="AN25" s="102">
        <v>1103390</v>
      </c>
      <c r="AO25" s="74"/>
      <c r="AP25" s="102">
        <v>1472231</v>
      </c>
      <c r="AQ25" s="102">
        <v>188689</v>
      </c>
      <c r="AR25" s="102">
        <v>0</v>
      </c>
      <c r="AS25" s="102">
        <v>217650</v>
      </c>
      <c r="AT25" s="102">
        <v>4474811</v>
      </c>
      <c r="AU25" s="102">
        <v>2509307</v>
      </c>
      <c r="AV25" s="102">
        <v>423282</v>
      </c>
      <c r="AW25" s="102">
        <v>277639</v>
      </c>
      <c r="AX25" s="102">
        <v>1965504</v>
      </c>
      <c r="AY25" s="102">
        <v>580</v>
      </c>
      <c r="AZ25" s="102">
        <v>1638523</v>
      </c>
      <c r="BA25" s="102">
        <v>1528302</v>
      </c>
      <c r="BB25" s="102">
        <v>313492</v>
      </c>
      <c r="BC25" s="102">
        <v>319447</v>
      </c>
      <c r="BD25" s="102">
        <v>0</v>
      </c>
      <c r="BE25" s="102">
        <v>0</v>
      </c>
      <c r="BF25" s="102">
        <v>319447</v>
      </c>
      <c r="BG25" s="102">
        <v>0</v>
      </c>
      <c r="BH25" s="102">
        <v>505217</v>
      </c>
      <c r="BI25" s="102">
        <v>351499</v>
      </c>
      <c r="BJ25" s="102">
        <v>520102</v>
      </c>
      <c r="BK25" s="102">
        <v>530</v>
      </c>
      <c r="BL25" s="102">
        <v>0</v>
      </c>
      <c r="BM25" s="102">
        <v>0</v>
      </c>
      <c r="BN25" s="102">
        <v>4573100</v>
      </c>
      <c r="BO25" s="73">
        <f t="shared" si="5"/>
        <v>2508400</v>
      </c>
      <c r="BP25" s="73">
        <f t="shared" si="6"/>
        <v>2064700</v>
      </c>
      <c r="BQ25" s="102">
        <v>0</v>
      </c>
      <c r="BR25" s="102">
        <v>0</v>
      </c>
      <c r="BS25" s="102">
        <v>2064700</v>
      </c>
      <c r="BT25" s="102">
        <v>0</v>
      </c>
      <c r="BU25" s="102">
        <v>61980954</v>
      </c>
      <c r="BV25" s="71"/>
      <c r="BW25" s="102">
        <v>9349338</v>
      </c>
      <c r="BX25" s="102">
        <v>6240011</v>
      </c>
      <c r="BY25" s="102">
        <v>547732</v>
      </c>
      <c r="BZ25" s="102">
        <v>788058</v>
      </c>
      <c r="CA25" s="102">
        <v>20416702</v>
      </c>
      <c r="CB25" s="102">
        <v>4151248</v>
      </c>
      <c r="CC25" s="102">
        <v>330731</v>
      </c>
      <c r="CD25" s="102">
        <v>7929893</v>
      </c>
      <c r="CE25" s="102">
        <v>7304024</v>
      </c>
      <c r="CF25" s="102">
        <v>4520</v>
      </c>
      <c r="CG25" s="102">
        <v>695896</v>
      </c>
      <c r="CH25" s="102">
        <v>6423973</v>
      </c>
      <c r="CI25" s="102">
        <v>5906399</v>
      </c>
      <c r="CJ25" s="83">
        <f t="shared" si="17"/>
        <v>517574</v>
      </c>
      <c r="CK25" s="102">
        <v>7625794</v>
      </c>
      <c r="CL25" s="102">
        <v>5191462</v>
      </c>
      <c r="CM25" s="102">
        <v>406328</v>
      </c>
      <c r="CN25" s="102">
        <v>814322</v>
      </c>
      <c r="CO25" s="102">
        <v>393944</v>
      </c>
      <c r="CP25" s="102">
        <v>4875761</v>
      </c>
      <c r="CQ25" s="102">
        <v>926580</v>
      </c>
      <c r="CR25" s="102">
        <v>1286179</v>
      </c>
      <c r="CS25" s="102">
        <v>596314</v>
      </c>
      <c r="CT25" s="73">
        <f t="shared" si="7"/>
        <v>1590745</v>
      </c>
      <c r="CU25" s="102">
        <v>562621</v>
      </c>
      <c r="CV25" s="102">
        <v>1028124</v>
      </c>
      <c r="CW25" s="73">
        <f t="shared" si="8"/>
        <v>842309</v>
      </c>
      <c r="CX25" s="102">
        <v>0</v>
      </c>
      <c r="CY25" s="102">
        <v>842309</v>
      </c>
      <c r="CZ25" s="73">
        <f t="shared" si="9"/>
        <v>726868</v>
      </c>
      <c r="DA25" s="102">
        <v>544621</v>
      </c>
      <c r="DB25" s="102">
        <v>182247</v>
      </c>
      <c r="DC25" s="102">
        <v>5201288</v>
      </c>
      <c r="DD25" s="102">
        <v>1135494</v>
      </c>
      <c r="DE25" s="102">
        <v>4064384</v>
      </c>
      <c r="DF25" s="102">
        <v>1410</v>
      </c>
      <c r="DG25" s="102">
        <v>0</v>
      </c>
      <c r="DH25" s="102">
        <v>0</v>
      </c>
      <c r="DI25" s="102">
        <v>2173536</v>
      </c>
      <c r="DJ25" s="102">
        <v>182860</v>
      </c>
      <c r="DK25" s="102">
        <v>63030</v>
      </c>
      <c r="DL25" s="102">
        <v>1927646</v>
      </c>
      <c r="DM25" s="102">
        <v>0</v>
      </c>
      <c r="DN25" s="102">
        <v>0</v>
      </c>
      <c r="DO25" s="102">
        <v>0</v>
      </c>
      <c r="DP25" s="102">
        <v>0</v>
      </c>
      <c r="DQ25" s="102">
        <v>20200</v>
      </c>
      <c r="DR25" s="102">
        <v>0</v>
      </c>
      <c r="DS25" s="102">
        <v>0</v>
      </c>
      <c r="DT25" s="102">
        <v>5132064</v>
      </c>
      <c r="DU25" s="102">
        <v>19250</v>
      </c>
      <c r="DV25" s="73">
        <f t="shared" si="10"/>
        <v>0</v>
      </c>
      <c r="DW25" s="102">
        <v>0</v>
      </c>
      <c r="DX25" s="102">
        <v>1908636</v>
      </c>
      <c r="DY25" s="102">
        <v>0</v>
      </c>
      <c r="DZ25" s="102">
        <v>1529986</v>
      </c>
      <c r="EA25" s="74">
        <v>0</v>
      </c>
      <c r="EB25" s="102">
        <v>1657349</v>
      </c>
      <c r="EC25" s="102">
        <v>0</v>
      </c>
      <c r="ED25" s="102">
        <v>61612600</v>
      </c>
      <c r="EE25" s="71"/>
      <c r="EF25" s="102">
        <v>368354</v>
      </c>
      <c r="EG25" s="102">
        <v>144657</v>
      </c>
      <c r="EH25" s="102">
        <v>223697</v>
      </c>
      <c r="EI25" s="102">
        <v>-127802</v>
      </c>
      <c r="EJ25" s="102">
        <v>55058</v>
      </c>
      <c r="EK25" s="71"/>
      <c r="EL25" s="102">
        <v>186109</v>
      </c>
      <c r="EM25" s="102">
        <v>186765</v>
      </c>
      <c r="EN25" s="102">
        <v>0</v>
      </c>
      <c r="EO25" s="102">
        <v>1635347</v>
      </c>
      <c r="EP25" s="73">
        <f t="shared" si="11"/>
        <v>1158466</v>
      </c>
      <c r="EQ25" s="102">
        <v>34984527</v>
      </c>
      <c r="ER25" s="71">
        <v>-4614601</v>
      </c>
      <c r="ES25" s="102">
        <v>8663799</v>
      </c>
      <c r="ET25" s="102">
        <v>5673021</v>
      </c>
      <c r="EU25" s="102">
        <v>5796050</v>
      </c>
      <c r="EV25" s="102">
        <v>6283282</v>
      </c>
      <c r="EW25" s="73">
        <f t="shared" si="12"/>
        <v>1651169</v>
      </c>
      <c r="EX25" s="102">
        <v>1651169</v>
      </c>
      <c r="EY25" s="102">
        <v>87547</v>
      </c>
      <c r="EZ25" s="102">
        <v>1563412</v>
      </c>
      <c r="FA25" s="102">
        <v>0</v>
      </c>
      <c r="FB25" s="102">
        <v>0</v>
      </c>
      <c r="FC25" s="102">
        <v>6228674</v>
      </c>
      <c r="FD25" s="102">
        <v>4387692</v>
      </c>
      <c r="FE25" s="102">
        <v>926580</v>
      </c>
      <c r="FF25" s="102">
        <v>4009432</v>
      </c>
      <c r="FG25" s="73">
        <f t="shared" si="13"/>
        <v>2210676</v>
      </c>
      <c r="FH25" s="102">
        <v>39230774</v>
      </c>
      <c r="FI25" s="379">
        <f t="shared" si="14"/>
        <v>0.7</v>
      </c>
      <c r="FJ25" s="102">
        <v>32292491</v>
      </c>
      <c r="FK25" s="102">
        <v>2064808</v>
      </c>
      <c r="FL25" s="102">
        <v>19791441</v>
      </c>
      <c r="FM25" s="102">
        <v>26751304</v>
      </c>
      <c r="FN25" s="428">
        <v>0.72</v>
      </c>
      <c r="FO25" s="424">
        <v>96.6</v>
      </c>
      <c r="FP25" s="425">
        <v>24.3</v>
      </c>
      <c r="FQ25" s="424">
        <v>16.7</v>
      </c>
      <c r="FR25" s="424">
        <v>17.5</v>
      </c>
      <c r="FS25" s="425">
        <v>16.100000000000001</v>
      </c>
      <c r="FT25" s="424">
        <v>10.3</v>
      </c>
      <c r="FU25" s="425">
        <v>10.7</v>
      </c>
      <c r="FV25" s="384">
        <v>6.5</v>
      </c>
      <c r="FW25" s="102">
        <v>49747060</v>
      </c>
      <c r="FX25" s="384">
        <f t="shared" si="15"/>
        <v>144.80000000000001</v>
      </c>
      <c r="FY25" s="102">
        <v>10006920</v>
      </c>
      <c r="FZ25" s="102">
        <v>5030940</v>
      </c>
      <c r="GA25" s="102">
        <v>212180</v>
      </c>
      <c r="GB25" s="102">
        <v>4763800</v>
      </c>
      <c r="GC25" s="104">
        <v>0</v>
      </c>
      <c r="GD25" s="427"/>
      <c r="GE25" s="386"/>
      <c r="GF25" s="424">
        <v>99.2</v>
      </c>
      <c r="GG25" s="424">
        <v>35.4</v>
      </c>
      <c r="GH25" s="424">
        <v>97.1</v>
      </c>
      <c r="GI25" s="102">
        <v>1037</v>
      </c>
      <c r="GJ25" s="429" t="s">
        <v>646</v>
      </c>
      <c r="GK25" s="429">
        <v>11.63</v>
      </c>
      <c r="GL25" s="87">
        <v>20</v>
      </c>
      <c r="GM25" s="429" t="s">
        <v>646</v>
      </c>
      <c r="GN25" s="430">
        <v>16.63</v>
      </c>
      <c r="GO25" s="430">
        <v>30</v>
      </c>
      <c r="GP25" s="425">
        <v>6.5</v>
      </c>
      <c r="GQ25" s="425">
        <v>25</v>
      </c>
      <c r="GR25" s="425">
        <v>35</v>
      </c>
      <c r="GS25" s="431" t="s">
        <v>646</v>
      </c>
      <c r="GT25" s="425">
        <v>350</v>
      </c>
      <c r="GU25" s="394"/>
      <c r="GV25" s="100">
        <f t="shared" si="16"/>
        <v>34357</v>
      </c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</row>
    <row r="26" spans="2:230" x14ac:dyDescent="0.15">
      <c r="B26" s="89" t="s">
        <v>41</v>
      </c>
      <c r="C26" s="102">
        <v>23501733</v>
      </c>
      <c r="D26" s="73">
        <f t="shared" si="0"/>
        <v>10186699</v>
      </c>
      <c r="E26" s="102">
        <v>216259</v>
      </c>
      <c r="F26" s="102">
        <v>9970440</v>
      </c>
      <c r="G26" s="73">
        <f t="shared" si="1"/>
        <v>1058666</v>
      </c>
      <c r="H26" s="102">
        <v>364139</v>
      </c>
      <c r="I26" s="102">
        <v>694527</v>
      </c>
      <c r="J26" s="102">
        <v>9073206</v>
      </c>
      <c r="K26" s="102">
        <v>4242630</v>
      </c>
      <c r="L26" s="102">
        <v>4048150</v>
      </c>
      <c r="M26" s="102">
        <v>756946</v>
      </c>
      <c r="N26" s="102">
        <v>791090</v>
      </c>
      <c r="O26" s="102">
        <v>2169411</v>
      </c>
      <c r="P26" s="102">
        <v>1300464</v>
      </c>
      <c r="Q26" s="102">
        <v>868947</v>
      </c>
      <c r="R26" s="102">
        <v>251924</v>
      </c>
      <c r="S26" s="74"/>
      <c r="T26" s="73">
        <f t="shared" si="2"/>
        <v>2562952</v>
      </c>
      <c r="U26" s="102">
        <v>37248</v>
      </c>
      <c r="V26" s="102">
        <v>135794</v>
      </c>
      <c r="W26" s="102">
        <v>80031</v>
      </c>
      <c r="X26" s="102">
        <v>2209231</v>
      </c>
      <c r="Y26" s="102">
        <v>2726</v>
      </c>
      <c r="Z26" s="102">
        <v>0</v>
      </c>
      <c r="AA26" s="102">
        <v>97922</v>
      </c>
      <c r="AB26" s="102">
        <v>110119</v>
      </c>
      <c r="AC26" s="102">
        <v>858467</v>
      </c>
      <c r="AD26" s="102">
        <v>741956</v>
      </c>
      <c r="AE26" s="102">
        <v>116511</v>
      </c>
      <c r="AF26" s="102">
        <v>21164</v>
      </c>
      <c r="AG26" s="102">
        <v>844092</v>
      </c>
      <c r="AH26" s="73">
        <f t="shared" si="3"/>
        <v>872233</v>
      </c>
      <c r="AI26" s="102">
        <v>549548</v>
      </c>
      <c r="AJ26" s="102">
        <v>322685</v>
      </c>
      <c r="AK26" s="102">
        <v>9247676</v>
      </c>
      <c r="AL26" s="73">
        <f t="shared" si="4"/>
        <v>3731466</v>
      </c>
      <c r="AM26" s="102">
        <v>1790245</v>
      </c>
      <c r="AN26" s="102">
        <v>832790</v>
      </c>
      <c r="AO26" s="74"/>
      <c r="AP26" s="102">
        <v>1108431</v>
      </c>
      <c r="AQ26" s="102">
        <v>146339</v>
      </c>
      <c r="AR26" s="102">
        <v>0</v>
      </c>
      <c r="AS26" s="102">
        <v>0</v>
      </c>
      <c r="AT26" s="102">
        <v>3366678</v>
      </c>
      <c r="AU26" s="102">
        <v>1818085</v>
      </c>
      <c r="AV26" s="102">
        <v>411948</v>
      </c>
      <c r="AW26" s="102">
        <v>73940</v>
      </c>
      <c r="AX26" s="102">
        <v>1548593</v>
      </c>
      <c r="AY26" s="102">
        <v>300000</v>
      </c>
      <c r="AZ26" s="102">
        <v>248986</v>
      </c>
      <c r="BA26" s="102">
        <v>77901</v>
      </c>
      <c r="BB26" s="102">
        <v>41048</v>
      </c>
      <c r="BC26" s="102">
        <v>4855112</v>
      </c>
      <c r="BD26" s="102">
        <v>3760000</v>
      </c>
      <c r="BE26" s="102">
        <v>0</v>
      </c>
      <c r="BF26" s="102">
        <v>1095097</v>
      </c>
      <c r="BG26" s="102">
        <v>0</v>
      </c>
      <c r="BH26" s="102">
        <v>1978025</v>
      </c>
      <c r="BI26" s="102">
        <v>715999</v>
      </c>
      <c r="BJ26" s="102">
        <v>1309755</v>
      </c>
      <c r="BK26" s="102">
        <v>68787</v>
      </c>
      <c r="BL26" s="102">
        <v>0</v>
      </c>
      <c r="BM26" s="102">
        <v>600000</v>
      </c>
      <c r="BN26" s="102">
        <v>3540986</v>
      </c>
      <c r="BO26" s="73">
        <f t="shared" si="5"/>
        <v>2569500</v>
      </c>
      <c r="BP26" s="73">
        <f t="shared" si="6"/>
        <v>971486</v>
      </c>
      <c r="BQ26" s="102">
        <v>0</v>
      </c>
      <c r="BR26" s="102">
        <v>0</v>
      </c>
      <c r="BS26" s="102">
        <v>971486</v>
      </c>
      <c r="BT26" s="102">
        <v>0</v>
      </c>
      <c r="BU26" s="102">
        <v>53610950</v>
      </c>
      <c r="BV26" s="71"/>
      <c r="BW26" s="102">
        <v>9200181</v>
      </c>
      <c r="BX26" s="102">
        <v>6551695</v>
      </c>
      <c r="BY26" s="102">
        <v>596127</v>
      </c>
      <c r="BZ26" s="102">
        <v>324646</v>
      </c>
      <c r="CA26" s="102">
        <v>11470048</v>
      </c>
      <c r="CB26" s="102">
        <v>2904428</v>
      </c>
      <c r="CC26" s="102">
        <v>325879</v>
      </c>
      <c r="CD26" s="102">
        <v>5664574</v>
      </c>
      <c r="CE26" s="102">
        <v>2273916</v>
      </c>
      <c r="CF26" s="102">
        <v>33738</v>
      </c>
      <c r="CG26" s="102">
        <v>267469</v>
      </c>
      <c r="CH26" s="102">
        <v>2274973</v>
      </c>
      <c r="CI26" s="102">
        <v>2004170</v>
      </c>
      <c r="CJ26" s="83">
        <f t="shared" si="17"/>
        <v>270803</v>
      </c>
      <c r="CK26" s="102">
        <v>7663363</v>
      </c>
      <c r="CL26" s="102">
        <v>5164029</v>
      </c>
      <c r="CM26" s="102">
        <v>480779</v>
      </c>
      <c r="CN26" s="102">
        <v>1271021</v>
      </c>
      <c r="CO26" s="102">
        <v>349499</v>
      </c>
      <c r="CP26" s="102">
        <v>2351007</v>
      </c>
      <c r="CQ26" s="102">
        <v>2757</v>
      </c>
      <c r="CR26" s="102">
        <v>1265353</v>
      </c>
      <c r="CS26" s="102">
        <v>958961</v>
      </c>
      <c r="CT26" s="73">
        <f t="shared" si="7"/>
        <v>392411</v>
      </c>
      <c r="CU26" s="102">
        <v>309941</v>
      </c>
      <c r="CV26" s="102">
        <v>82470</v>
      </c>
      <c r="CW26" s="73">
        <f t="shared" si="8"/>
        <v>53014</v>
      </c>
      <c r="CX26" s="102">
        <v>53014</v>
      </c>
      <c r="CY26" s="102">
        <v>0</v>
      </c>
      <c r="CZ26" s="73">
        <f t="shared" si="9"/>
        <v>309271</v>
      </c>
      <c r="DA26" s="102">
        <v>229698</v>
      </c>
      <c r="DB26" s="102">
        <v>79573</v>
      </c>
      <c r="DC26" s="102">
        <v>7794039</v>
      </c>
      <c r="DD26" s="102">
        <v>4228104</v>
      </c>
      <c r="DE26" s="102">
        <v>3565935</v>
      </c>
      <c r="DF26" s="102">
        <v>0</v>
      </c>
      <c r="DG26" s="102">
        <v>0</v>
      </c>
      <c r="DH26" s="102">
        <v>20786</v>
      </c>
      <c r="DI26" s="102">
        <v>4371151</v>
      </c>
      <c r="DJ26" s="102">
        <v>16754</v>
      </c>
      <c r="DK26" s="102">
        <v>2060</v>
      </c>
      <c r="DL26" s="102">
        <v>4352337</v>
      </c>
      <c r="DM26" s="102">
        <v>11250</v>
      </c>
      <c r="DN26" s="102">
        <v>0</v>
      </c>
      <c r="DO26" s="102">
        <v>0</v>
      </c>
      <c r="DP26" s="102">
        <v>0</v>
      </c>
      <c r="DQ26" s="102">
        <v>390000</v>
      </c>
      <c r="DR26" s="102">
        <v>0</v>
      </c>
      <c r="DS26" s="102">
        <v>0</v>
      </c>
      <c r="DT26" s="102">
        <v>4275202</v>
      </c>
      <c r="DU26" s="102">
        <v>0</v>
      </c>
      <c r="DV26" s="73">
        <f t="shared" si="10"/>
        <v>0</v>
      </c>
      <c r="DW26" s="102">
        <v>0</v>
      </c>
      <c r="DX26" s="102">
        <v>1319681</v>
      </c>
      <c r="DY26" s="102">
        <v>0</v>
      </c>
      <c r="DZ26" s="102">
        <v>1539280</v>
      </c>
      <c r="EA26" s="74">
        <v>0</v>
      </c>
      <c r="EB26" s="102">
        <v>1320531</v>
      </c>
      <c r="EC26" s="102">
        <v>0</v>
      </c>
      <c r="ED26" s="102">
        <v>50171499</v>
      </c>
      <c r="EE26" s="71"/>
      <c r="EF26" s="102">
        <v>3439451</v>
      </c>
      <c r="EG26" s="102">
        <v>1217960</v>
      </c>
      <c r="EH26" s="102">
        <v>2221491</v>
      </c>
      <c r="EI26" s="102">
        <v>105492</v>
      </c>
      <c r="EJ26" s="102">
        <v>-3637754</v>
      </c>
      <c r="EK26" s="71"/>
      <c r="EL26" s="102">
        <v>133411</v>
      </c>
      <c r="EM26" s="102">
        <v>136765</v>
      </c>
      <c r="EN26" s="102">
        <v>3760015</v>
      </c>
      <c r="EO26" s="102">
        <v>205278</v>
      </c>
      <c r="EP26" s="73">
        <f t="shared" si="11"/>
        <v>2222195</v>
      </c>
      <c r="EQ26" s="102">
        <v>27306359</v>
      </c>
      <c r="ER26" s="71">
        <v>-7137810</v>
      </c>
      <c r="ES26" s="102">
        <v>8567076</v>
      </c>
      <c r="ET26" s="102">
        <v>5974851</v>
      </c>
      <c r="EU26" s="102">
        <v>3412737</v>
      </c>
      <c r="EV26" s="102">
        <v>2274617</v>
      </c>
      <c r="EW26" s="73">
        <f t="shared" si="12"/>
        <v>1240260</v>
      </c>
      <c r="EX26" s="102">
        <v>1237574</v>
      </c>
      <c r="EY26" s="102">
        <v>244799</v>
      </c>
      <c r="EZ26" s="102">
        <v>992775</v>
      </c>
      <c r="FA26" s="102">
        <v>2686</v>
      </c>
      <c r="FB26" s="102">
        <v>0</v>
      </c>
      <c r="FC26" s="102">
        <v>5901598</v>
      </c>
      <c r="FD26" s="102">
        <v>1937746</v>
      </c>
      <c r="FE26" s="102">
        <v>2757</v>
      </c>
      <c r="FF26" s="102">
        <v>3481510</v>
      </c>
      <c r="FG26" s="73">
        <f t="shared" si="13"/>
        <v>5016696</v>
      </c>
      <c r="FH26" s="102">
        <v>31832240</v>
      </c>
      <c r="FI26" s="379">
        <f t="shared" si="14"/>
        <v>8.6</v>
      </c>
      <c r="FJ26" s="102">
        <v>24960827</v>
      </c>
      <c r="FK26" s="102">
        <v>971486</v>
      </c>
      <c r="FL26" s="102">
        <v>18523674</v>
      </c>
      <c r="FM26" s="102">
        <v>19239969</v>
      </c>
      <c r="FN26" s="428">
        <v>0.95699999999999996</v>
      </c>
      <c r="FO26" s="424">
        <v>91.4</v>
      </c>
      <c r="FP26" s="425">
        <v>32.200000000000003</v>
      </c>
      <c r="FQ26" s="424">
        <v>13</v>
      </c>
      <c r="FR26" s="424">
        <v>8.6999999999999993</v>
      </c>
      <c r="FS26" s="425">
        <v>19.5</v>
      </c>
      <c r="FT26" s="424">
        <v>5.9</v>
      </c>
      <c r="FU26" s="425">
        <v>10.9</v>
      </c>
      <c r="FV26" s="384">
        <v>0.5</v>
      </c>
      <c r="FW26" s="102">
        <v>30732960</v>
      </c>
      <c r="FX26" s="384">
        <f t="shared" si="15"/>
        <v>118.5</v>
      </c>
      <c r="FY26" s="102">
        <v>26521631</v>
      </c>
      <c r="FZ26" s="102">
        <v>5805934</v>
      </c>
      <c r="GA26" s="102">
        <v>1289532</v>
      </c>
      <c r="GB26" s="102">
        <v>19426165</v>
      </c>
      <c r="GC26" s="104">
        <v>0</v>
      </c>
      <c r="GD26" s="427">
        <v>1396</v>
      </c>
      <c r="GE26" s="386">
        <f>IF(GD26=0,"-",ROUND(GD26/(GV26)*100,1))</f>
        <v>5.4</v>
      </c>
      <c r="GF26" s="424">
        <v>99.1</v>
      </c>
      <c r="GG26" s="424">
        <v>29.2</v>
      </c>
      <c r="GH26" s="424">
        <v>95.9</v>
      </c>
      <c r="GI26" s="102">
        <v>917</v>
      </c>
      <c r="GJ26" s="429" t="s">
        <v>646</v>
      </c>
      <c r="GK26" s="429">
        <v>12.02</v>
      </c>
      <c r="GL26" s="87">
        <v>20</v>
      </c>
      <c r="GM26" s="429" t="s">
        <v>646</v>
      </c>
      <c r="GN26" s="430">
        <v>17.02</v>
      </c>
      <c r="GO26" s="430">
        <v>30</v>
      </c>
      <c r="GP26" s="425">
        <v>0.5</v>
      </c>
      <c r="GQ26" s="425">
        <v>25</v>
      </c>
      <c r="GR26" s="425">
        <v>35</v>
      </c>
      <c r="GS26" s="431" t="s">
        <v>646</v>
      </c>
      <c r="GT26" s="425">
        <v>350</v>
      </c>
      <c r="GU26" s="394"/>
      <c r="GV26" s="100">
        <f t="shared" si="16"/>
        <v>25932</v>
      </c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</row>
    <row r="27" spans="2:230" x14ac:dyDescent="0.15">
      <c r="B27" s="89" t="s">
        <v>43</v>
      </c>
      <c r="C27" s="102">
        <v>8754889</v>
      </c>
      <c r="D27" s="73">
        <f t="shared" si="0"/>
        <v>3511134</v>
      </c>
      <c r="E27" s="102">
        <v>115052</v>
      </c>
      <c r="F27" s="102">
        <v>3396082</v>
      </c>
      <c r="G27" s="73">
        <f t="shared" si="1"/>
        <v>557598</v>
      </c>
      <c r="H27" s="102">
        <v>132066</v>
      </c>
      <c r="I27" s="102">
        <v>425532</v>
      </c>
      <c r="J27" s="102">
        <v>3544027</v>
      </c>
      <c r="K27" s="102">
        <v>1396251</v>
      </c>
      <c r="L27" s="102">
        <v>1418998</v>
      </c>
      <c r="M27" s="102">
        <v>703664</v>
      </c>
      <c r="N27" s="102">
        <v>336338</v>
      </c>
      <c r="O27" s="102">
        <v>705572</v>
      </c>
      <c r="P27" s="102">
        <v>399693</v>
      </c>
      <c r="Q27" s="102">
        <v>305879</v>
      </c>
      <c r="R27" s="102">
        <v>123278</v>
      </c>
      <c r="S27" s="74"/>
      <c r="T27" s="73">
        <f t="shared" si="2"/>
        <v>1378340</v>
      </c>
      <c r="U27" s="102">
        <v>12940</v>
      </c>
      <c r="V27" s="102">
        <v>47176</v>
      </c>
      <c r="W27" s="102">
        <v>27797</v>
      </c>
      <c r="X27" s="102">
        <v>1241300</v>
      </c>
      <c r="Y27" s="102">
        <v>0</v>
      </c>
      <c r="Z27" s="102">
        <v>0</v>
      </c>
      <c r="AA27" s="102">
        <v>49127</v>
      </c>
      <c r="AB27" s="102">
        <v>39963</v>
      </c>
      <c r="AC27" s="102">
        <v>4489919</v>
      </c>
      <c r="AD27" s="102">
        <v>4252411</v>
      </c>
      <c r="AE27" s="102">
        <v>237508</v>
      </c>
      <c r="AF27" s="102">
        <v>12424</v>
      </c>
      <c r="AG27" s="102">
        <v>259472</v>
      </c>
      <c r="AH27" s="73">
        <f t="shared" si="3"/>
        <v>382495</v>
      </c>
      <c r="AI27" s="102">
        <v>345270</v>
      </c>
      <c r="AJ27" s="102">
        <v>37225</v>
      </c>
      <c r="AK27" s="102">
        <v>4242287</v>
      </c>
      <c r="AL27" s="73">
        <f t="shared" si="4"/>
        <v>2663634</v>
      </c>
      <c r="AM27" s="102">
        <v>1602757</v>
      </c>
      <c r="AN27" s="102">
        <v>554535</v>
      </c>
      <c r="AO27" s="74"/>
      <c r="AP27" s="102">
        <v>506342</v>
      </c>
      <c r="AQ27" s="102">
        <v>240017</v>
      </c>
      <c r="AR27" s="102">
        <v>0</v>
      </c>
      <c r="AS27" s="102">
        <v>0</v>
      </c>
      <c r="AT27" s="102">
        <v>1610611</v>
      </c>
      <c r="AU27" s="102">
        <v>857714</v>
      </c>
      <c r="AV27" s="102">
        <v>219355</v>
      </c>
      <c r="AW27" s="102">
        <v>39652</v>
      </c>
      <c r="AX27" s="102">
        <v>752897</v>
      </c>
      <c r="AY27" s="102">
        <v>0</v>
      </c>
      <c r="AZ27" s="102">
        <v>22326</v>
      </c>
      <c r="BA27" s="102">
        <v>1428</v>
      </c>
      <c r="BB27" s="102">
        <v>126200</v>
      </c>
      <c r="BC27" s="102">
        <v>140000</v>
      </c>
      <c r="BD27" s="102">
        <v>0</v>
      </c>
      <c r="BE27" s="102">
        <v>0</v>
      </c>
      <c r="BF27" s="102">
        <v>140000</v>
      </c>
      <c r="BG27" s="102">
        <v>0</v>
      </c>
      <c r="BH27" s="102">
        <v>208527</v>
      </c>
      <c r="BI27" s="102">
        <v>194448</v>
      </c>
      <c r="BJ27" s="102">
        <v>880548</v>
      </c>
      <c r="BK27" s="102">
        <v>655590</v>
      </c>
      <c r="BL27" s="102">
        <v>0</v>
      </c>
      <c r="BM27" s="102">
        <v>0</v>
      </c>
      <c r="BN27" s="102">
        <v>1261923</v>
      </c>
      <c r="BO27" s="73">
        <f t="shared" si="5"/>
        <v>272400</v>
      </c>
      <c r="BP27" s="73">
        <f t="shared" si="6"/>
        <v>989523</v>
      </c>
      <c r="BQ27" s="102">
        <v>0</v>
      </c>
      <c r="BR27" s="102">
        <v>0</v>
      </c>
      <c r="BS27" s="102">
        <v>989523</v>
      </c>
      <c r="BT27" s="102">
        <v>0</v>
      </c>
      <c r="BU27" s="102">
        <v>23933202</v>
      </c>
      <c r="BV27" s="71"/>
      <c r="BW27" s="102">
        <v>4036606</v>
      </c>
      <c r="BX27" s="102">
        <v>2476116</v>
      </c>
      <c r="BY27" s="102">
        <v>409046</v>
      </c>
      <c r="BZ27" s="102">
        <v>356543</v>
      </c>
      <c r="CA27" s="102">
        <v>6741798</v>
      </c>
      <c r="CB27" s="102">
        <v>1638554</v>
      </c>
      <c r="CC27" s="102">
        <v>144911</v>
      </c>
      <c r="CD27" s="102">
        <v>2751118</v>
      </c>
      <c r="CE27" s="102">
        <v>2128832</v>
      </c>
      <c r="CF27" s="102">
        <v>7786</v>
      </c>
      <c r="CG27" s="102">
        <v>70597</v>
      </c>
      <c r="CH27" s="102">
        <v>2076149</v>
      </c>
      <c r="CI27" s="102">
        <v>1867476</v>
      </c>
      <c r="CJ27" s="83">
        <f t="shared" si="17"/>
        <v>208673</v>
      </c>
      <c r="CK27" s="102">
        <v>2515537</v>
      </c>
      <c r="CL27" s="102">
        <v>1524210</v>
      </c>
      <c r="CM27" s="102">
        <v>231741</v>
      </c>
      <c r="CN27" s="102">
        <v>294042</v>
      </c>
      <c r="CO27" s="102">
        <v>96308</v>
      </c>
      <c r="CP27" s="102">
        <v>3904133</v>
      </c>
      <c r="CQ27" s="102">
        <v>1821934</v>
      </c>
      <c r="CR27" s="102">
        <v>394859</v>
      </c>
      <c r="CS27" s="102">
        <v>235977</v>
      </c>
      <c r="CT27" s="73">
        <f t="shared" si="7"/>
        <v>1288141</v>
      </c>
      <c r="CU27" s="102">
        <v>822685</v>
      </c>
      <c r="CV27" s="102">
        <v>465456</v>
      </c>
      <c r="CW27" s="73">
        <f t="shared" si="8"/>
        <v>417354</v>
      </c>
      <c r="CX27" s="102">
        <v>336405</v>
      </c>
      <c r="CY27" s="102">
        <v>80949</v>
      </c>
      <c r="CZ27" s="73">
        <f t="shared" si="9"/>
        <v>865787</v>
      </c>
      <c r="DA27" s="102">
        <v>481280</v>
      </c>
      <c r="DB27" s="102">
        <v>384507</v>
      </c>
      <c r="DC27" s="102">
        <v>932413</v>
      </c>
      <c r="DD27" s="102">
        <v>473072</v>
      </c>
      <c r="DE27" s="102">
        <v>459341</v>
      </c>
      <c r="DF27" s="102">
        <v>0</v>
      </c>
      <c r="DG27" s="102">
        <v>0</v>
      </c>
      <c r="DH27" s="102">
        <v>0</v>
      </c>
      <c r="DI27" s="102">
        <v>132949</v>
      </c>
      <c r="DJ27" s="102">
        <v>4070</v>
      </c>
      <c r="DK27" s="102">
        <v>0</v>
      </c>
      <c r="DL27" s="102">
        <v>128879</v>
      </c>
      <c r="DM27" s="102">
        <v>0</v>
      </c>
      <c r="DN27" s="102">
        <v>0</v>
      </c>
      <c r="DO27" s="102">
        <v>0</v>
      </c>
      <c r="DP27" s="102">
        <v>0</v>
      </c>
      <c r="DQ27" s="102">
        <v>655104</v>
      </c>
      <c r="DR27" s="102">
        <v>0</v>
      </c>
      <c r="DS27" s="102">
        <v>0</v>
      </c>
      <c r="DT27" s="102">
        <v>2643693</v>
      </c>
      <c r="DU27" s="102">
        <v>0</v>
      </c>
      <c r="DV27" s="73">
        <f t="shared" si="10"/>
        <v>0</v>
      </c>
      <c r="DW27" s="102">
        <v>0</v>
      </c>
      <c r="DX27" s="102">
        <v>852662</v>
      </c>
      <c r="DY27" s="102">
        <v>0</v>
      </c>
      <c r="DZ27" s="102">
        <v>932605</v>
      </c>
      <c r="EA27" s="74">
        <v>0</v>
      </c>
      <c r="EB27" s="102">
        <v>855195</v>
      </c>
      <c r="EC27" s="102">
        <v>0</v>
      </c>
      <c r="ED27" s="102">
        <v>23734690</v>
      </c>
      <c r="EE27" s="71"/>
      <c r="EF27" s="102">
        <v>198512</v>
      </c>
      <c r="EG27" s="102">
        <v>20337</v>
      </c>
      <c r="EH27" s="102">
        <v>178175</v>
      </c>
      <c r="EI27" s="102">
        <v>-226273</v>
      </c>
      <c r="EJ27" s="102">
        <v>-220745</v>
      </c>
      <c r="EK27" s="71"/>
      <c r="EL27" s="102">
        <v>71112</v>
      </c>
      <c r="EM27" s="102">
        <v>70698</v>
      </c>
      <c r="EN27" s="102">
        <v>0</v>
      </c>
      <c r="EO27" s="102">
        <v>14727</v>
      </c>
      <c r="EP27" s="73">
        <f t="shared" si="11"/>
        <v>471952</v>
      </c>
      <c r="EQ27" s="102">
        <v>14798813</v>
      </c>
      <c r="ER27" s="71">
        <v>-1463778</v>
      </c>
      <c r="ES27" s="102">
        <v>3710866</v>
      </c>
      <c r="ET27" s="102">
        <v>2243680</v>
      </c>
      <c r="EU27" s="102">
        <v>1967295</v>
      </c>
      <c r="EV27" s="102">
        <v>2076149</v>
      </c>
      <c r="EW27" s="73">
        <f t="shared" si="12"/>
        <v>266930</v>
      </c>
      <c r="EX27" s="102">
        <v>266930</v>
      </c>
      <c r="EY27" s="102">
        <v>8979</v>
      </c>
      <c r="EZ27" s="102">
        <v>257951</v>
      </c>
      <c r="FA27" s="102">
        <v>0</v>
      </c>
      <c r="FB27" s="102">
        <v>0</v>
      </c>
      <c r="FC27" s="102">
        <v>2031187</v>
      </c>
      <c r="FD27" s="102">
        <v>3803329</v>
      </c>
      <c r="FE27" s="102">
        <v>1821289</v>
      </c>
      <c r="FF27" s="102">
        <v>2112106</v>
      </c>
      <c r="FG27" s="73">
        <f t="shared" si="13"/>
        <v>96217</v>
      </c>
      <c r="FH27" s="102">
        <v>16064079</v>
      </c>
      <c r="FI27" s="379">
        <f t="shared" si="14"/>
        <v>1.2</v>
      </c>
      <c r="FJ27" s="102">
        <v>13795342</v>
      </c>
      <c r="FK27" s="102">
        <v>989523</v>
      </c>
      <c r="FL27" s="102">
        <v>7487927</v>
      </c>
      <c r="FM27" s="102">
        <v>11739272</v>
      </c>
      <c r="FN27" s="428">
        <v>0.63400000000000001</v>
      </c>
      <c r="FO27" s="424">
        <v>99.2</v>
      </c>
      <c r="FP27" s="425">
        <v>24.6</v>
      </c>
      <c r="FQ27" s="424">
        <v>13</v>
      </c>
      <c r="FR27" s="424">
        <v>13.9</v>
      </c>
      <c r="FS27" s="425">
        <v>12.5</v>
      </c>
      <c r="FT27" s="424">
        <v>22</v>
      </c>
      <c r="FU27" s="425">
        <v>12.5</v>
      </c>
      <c r="FV27" s="384">
        <v>8.1</v>
      </c>
      <c r="FW27" s="102">
        <v>19437393</v>
      </c>
      <c r="FX27" s="384">
        <f t="shared" si="15"/>
        <v>131.5</v>
      </c>
      <c r="FY27" s="102">
        <v>3010794</v>
      </c>
      <c r="FZ27" s="102">
        <v>1681434</v>
      </c>
      <c r="GA27" s="102">
        <v>174</v>
      </c>
      <c r="GB27" s="102">
        <v>1329186</v>
      </c>
      <c r="GC27" s="104">
        <v>0</v>
      </c>
      <c r="GD27" s="427">
        <v>814</v>
      </c>
      <c r="GE27" s="386">
        <f>IF(GD27=0,"-",ROUND(GD27/(GV27)*100,1))</f>
        <v>5.5</v>
      </c>
      <c r="GF27" s="424">
        <v>98.8</v>
      </c>
      <c r="GG27" s="424">
        <v>48.6</v>
      </c>
      <c r="GH27" s="424">
        <v>96.8</v>
      </c>
      <c r="GI27" s="102">
        <v>397</v>
      </c>
      <c r="GJ27" s="429" t="s">
        <v>646</v>
      </c>
      <c r="GK27" s="429">
        <v>12.79</v>
      </c>
      <c r="GL27" s="87">
        <v>20</v>
      </c>
      <c r="GM27" s="429" t="s">
        <v>646</v>
      </c>
      <c r="GN27" s="430">
        <v>17.79</v>
      </c>
      <c r="GO27" s="430">
        <v>30</v>
      </c>
      <c r="GP27" s="425">
        <v>8.1</v>
      </c>
      <c r="GQ27" s="425">
        <v>25</v>
      </c>
      <c r="GR27" s="425">
        <v>35</v>
      </c>
      <c r="GS27" s="431">
        <v>6.5</v>
      </c>
      <c r="GT27" s="425">
        <v>350</v>
      </c>
      <c r="GU27" s="394"/>
      <c r="GV27" s="100">
        <f t="shared" si="16"/>
        <v>14785</v>
      </c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</row>
    <row r="28" spans="2:230" x14ac:dyDescent="0.15">
      <c r="B28" s="89" t="s">
        <v>45</v>
      </c>
      <c r="C28" s="102">
        <v>12524853</v>
      </c>
      <c r="D28" s="73">
        <f t="shared" si="0"/>
        <v>5237991</v>
      </c>
      <c r="E28" s="102">
        <v>173063</v>
      </c>
      <c r="F28" s="102">
        <v>5064928</v>
      </c>
      <c r="G28" s="73">
        <f t="shared" si="1"/>
        <v>663617</v>
      </c>
      <c r="H28" s="102">
        <v>199829</v>
      </c>
      <c r="I28" s="102">
        <v>463788</v>
      </c>
      <c r="J28" s="102">
        <v>4734150</v>
      </c>
      <c r="K28" s="102">
        <v>2079576</v>
      </c>
      <c r="L28" s="102">
        <v>2116671</v>
      </c>
      <c r="M28" s="102">
        <v>492273</v>
      </c>
      <c r="N28" s="102">
        <v>664148</v>
      </c>
      <c r="O28" s="102">
        <v>1012893</v>
      </c>
      <c r="P28" s="102">
        <v>580193</v>
      </c>
      <c r="Q28" s="102">
        <v>432700</v>
      </c>
      <c r="R28" s="102">
        <v>194139</v>
      </c>
      <c r="S28" s="74"/>
      <c r="T28" s="73">
        <f t="shared" si="2"/>
        <v>2133826</v>
      </c>
      <c r="U28" s="102">
        <v>19572</v>
      </c>
      <c r="V28" s="102">
        <v>71345</v>
      </c>
      <c r="W28" s="102">
        <v>41962</v>
      </c>
      <c r="X28" s="102">
        <v>1923575</v>
      </c>
      <c r="Y28" s="102">
        <v>0</v>
      </c>
      <c r="Z28" s="102">
        <v>0</v>
      </c>
      <c r="AA28" s="102">
        <v>77372</v>
      </c>
      <c r="AB28" s="102">
        <v>73222</v>
      </c>
      <c r="AC28" s="102">
        <v>8192736</v>
      </c>
      <c r="AD28" s="102">
        <v>7968291</v>
      </c>
      <c r="AE28" s="102">
        <v>224445</v>
      </c>
      <c r="AF28" s="102">
        <v>18439</v>
      </c>
      <c r="AG28" s="102">
        <v>296576</v>
      </c>
      <c r="AH28" s="73">
        <f t="shared" si="3"/>
        <v>577443</v>
      </c>
      <c r="AI28" s="102">
        <v>522288</v>
      </c>
      <c r="AJ28" s="102">
        <v>55155</v>
      </c>
      <c r="AK28" s="102">
        <v>8387876</v>
      </c>
      <c r="AL28" s="73">
        <f t="shared" si="4"/>
        <v>5615515</v>
      </c>
      <c r="AM28" s="102">
        <v>3778351</v>
      </c>
      <c r="AN28" s="102">
        <v>735520</v>
      </c>
      <c r="AO28" s="74"/>
      <c r="AP28" s="102">
        <v>1101644</v>
      </c>
      <c r="AQ28" s="102">
        <v>95829</v>
      </c>
      <c r="AR28" s="102">
        <v>0</v>
      </c>
      <c r="AS28" s="102">
        <v>0</v>
      </c>
      <c r="AT28" s="102">
        <v>2862227</v>
      </c>
      <c r="AU28" s="102">
        <v>1699814</v>
      </c>
      <c r="AV28" s="102">
        <v>367759</v>
      </c>
      <c r="AW28" s="102">
        <v>5636</v>
      </c>
      <c r="AX28" s="102">
        <v>1162413</v>
      </c>
      <c r="AY28" s="102">
        <v>1470</v>
      </c>
      <c r="AZ28" s="102">
        <v>29160</v>
      </c>
      <c r="BA28" s="102">
        <v>5450</v>
      </c>
      <c r="BB28" s="102">
        <v>106493</v>
      </c>
      <c r="BC28" s="102">
        <v>3223</v>
      </c>
      <c r="BD28" s="102">
        <v>0</v>
      </c>
      <c r="BE28" s="102">
        <v>0</v>
      </c>
      <c r="BF28" s="102">
        <v>3137</v>
      </c>
      <c r="BG28" s="102">
        <v>0</v>
      </c>
      <c r="BH28" s="102">
        <v>646425</v>
      </c>
      <c r="BI28" s="102">
        <v>597269</v>
      </c>
      <c r="BJ28" s="102">
        <v>262678</v>
      </c>
      <c r="BK28" s="102">
        <v>1606</v>
      </c>
      <c r="BL28" s="102">
        <v>0</v>
      </c>
      <c r="BM28" s="102">
        <v>0</v>
      </c>
      <c r="BN28" s="102">
        <v>2105600</v>
      </c>
      <c r="BO28" s="73">
        <f t="shared" si="5"/>
        <v>699400</v>
      </c>
      <c r="BP28" s="73">
        <f t="shared" si="6"/>
        <v>1406200</v>
      </c>
      <c r="BQ28" s="102">
        <v>0</v>
      </c>
      <c r="BR28" s="102">
        <v>0</v>
      </c>
      <c r="BS28" s="102">
        <v>1406200</v>
      </c>
      <c r="BT28" s="102">
        <v>0</v>
      </c>
      <c r="BU28" s="102">
        <v>38414916</v>
      </c>
      <c r="BV28" s="71"/>
      <c r="BW28" s="102">
        <v>4705503</v>
      </c>
      <c r="BX28" s="102">
        <v>3462324</v>
      </c>
      <c r="BY28" s="102">
        <v>155742</v>
      </c>
      <c r="BZ28" s="102">
        <v>78215</v>
      </c>
      <c r="CA28" s="102">
        <v>13453448</v>
      </c>
      <c r="CB28" s="102">
        <v>3532919</v>
      </c>
      <c r="CC28" s="102">
        <v>222025</v>
      </c>
      <c r="CD28" s="102">
        <v>4535603</v>
      </c>
      <c r="CE28" s="102">
        <v>5031825</v>
      </c>
      <c r="CF28" s="102">
        <v>0</v>
      </c>
      <c r="CG28" s="102">
        <v>131046</v>
      </c>
      <c r="CH28" s="102">
        <v>4380950</v>
      </c>
      <c r="CI28" s="102">
        <v>3976241</v>
      </c>
      <c r="CJ28" s="83">
        <f t="shared" si="17"/>
        <v>404709</v>
      </c>
      <c r="CK28" s="102">
        <v>4540775</v>
      </c>
      <c r="CL28" s="102">
        <v>2679580</v>
      </c>
      <c r="CM28" s="102">
        <v>736526</v>
      </c>
      <c r="CN28" s="102">
        <v>564171</v>
      </c>
      <c r="CO28" s="102">
        <v>108903</v>
      </c>
      <c r="CP28" s="102">
        <v>3295290</v>
      </c>
      <c r="CQ28" s="102">
        <v>2123531</v>
      </c>
      <c r="CR28" s="102">
        <v>710197</v>
      </c>
      <c r="CS28" s="102">
        <v>649229</v>
      </c>
      <c r="CT28" s="73">
        <f t="shared" si="7"/>
        <v>6523</v>
      </c>
      <c r="CU28" s="102">
        <v>2337</v>
      </c>
      <c r="CV28" s="102">
        <v>4186</v>
      </c>
      <c r="CW28" s="73">
        <f t="shared" si="8"/>
        <v>0</v>
      </c>
      <c r="CX28" s="102">
        <v>0</v>
      </c>
      <c r="CY28" s="102">
        <v>0</v>
      </c>
      <c r="CZ28" s="73">
        <f t="shared" si="9"/>
        <v>0</v>
      </c>
      <c r="DA28" s="102">
        <v>0</v>
      </c>
      <c r="DB28" s="102">
        <v>0</v>
      </c>
      <c r="DC28" s="102">
        <v>1150844</v>
      </c>
      <c r="DD28" s="102">
        <v>290812</v>
      </c>
      <c r="DE28" s="102">
        <v>860032</v>
      </c>
      <c r="DF28" s="102">
        <v>0</v>
      </c>
      <c r="DG28" s="102">
        <v>0</v>
      </c>
      <c r="DH28" s="102">
        <v>0</v>
      </c>
      <c r="DI28" s="102">
        <v>613177</v>
      </c>
      <c r="DJ28" s="102">
        <v>305636</v>
      </c>
      <c r="DK28" s="102">
        <v>117</v>
      </c>
      <c r="DL28" s="102">
        <v>307424</v>
      </c>
      <c r="DM28" s="102">
        <v>0</v>
      </c>
      <c r="DN28" s="102">
        <v>0</v>
      </c>
      <c r="DO28" s="102">
        <v>0</v>
      </c>
      <c r="DP28" s="102">
        <v>0</v>
      </c>
      <c r="DQ28" s="102">
        <v>0</v>
      </c>
      <c r="DR28" s="102">
        <v>0</v>
      </c>
      <c r="DS28" s="102">
        <v>0</v>
      </c>
      <c r="DT28" s="102">
        <v>5619371</v>
      </c>
      <c r="DU28" s="102">
        <v>1555284</v>
      </c>
      <c r="DV28" s="73">
        <f t="shared" si="10"/>
        <v>0</v>
      </c>
      <c r="DW28" s="102">
        <v>0</v>
      </c>
      <c r="DX28" s="102">
        <v>1413218</v>
      </c>
      <c r="DY28" s="102">
        <v>0</v>
      </c>
      <c r="DZ28" s="102">
        <v>1152149</v>
      </c>
      <c r="EA28" s="74">
        <v>0</v>
      </c>
      <c r="EB28" s="102">
        <v>1424644</v>
      </c>
      <c r="EC28" s="102">
        <v>0</v>
      </c>
      <c r="ED28" s="102">
        <v>37868261</v>
      </c>
      <c r="EE28" s="71"/>
      <c r="EF28" s="102">
        <v>546655</v>
      </c>
      <c r="EG28" s="102">
        <v>1126</v>
      </c>
      <c r="EH28" s="102">
        <v>545529</v>
      </c>
      <c r="EI28" s="102">
        <v>-51740</v>
      </c>
      <c r="EJ28" s="102">
        <v>253896</v>
      </c>
      <c r="EK28" s="71"/>
      <c r="EL28" s="102">
        <v>112683</v>
      </c>
      <c r="EM28" s="102">
        <v>113332</v>
      </c>
      <c r="EN28" s="102">
        <v>86</v>
      </c>
      <c r="EO28" s="102">
        <v>21212</v>
      </c>
      <c r="EP28" s="73">
        <f t="shared" si="11"/>
        <v>1185156</v>
      </c>
      <c r="EQ28" s="102">
        <v>23137215</v>
      </c>
      <c r="ER28" s="71">
        <v>-2594215</v>
      </c>
      <c r="ES28" s="102">
        <v>4358109</v>
      </c>
      <c r="ET28" s="102">
        <v>3142967</v>
      </c>
      <c r="EU28" s="102">
        <v>3641685</v>
      </c>
      <c r="EV28" s="102">
        <v>4354524</v>
      </c>
      <c r="EW28" s="73">
        <f t="shared" si="12"/>
        <v>299482</v>
      </c>
      <c r="EX28" s="102">
        <v>299482</v>
      </c>
      <c r="EY28" s="102">
        <v>12950</v>
      </c>
      <c r="EZ28" s="102">
        <v>286532</v>
      </c>
      <c r="FA28" s="102">
        <v>0</v>
      </c>
      <c r="FB28" s="102">
        <v>0</v>
      </c>
      <c r="FC28" s="102">
        <v>3909784</v>
      </c>
      <c r="FD28" s="102">
        <v>3139023</v>
      </c>
      <c r="FE28" s="102">
        <v>2123531</v>
      </c>
      <c r="FF28" s="102">
        <v>4780168</v>
      </c>
      <c r="FG28" s="73">
        <f t="shared" si="13"/>
        <v>702000</v>
      </c>
      <c r="FH28" s="102">
        <v>25184775</v>
      </c>
      <c r="FI28" s="379">
        <f t="shared" si="14"/>
        <v>2.2999999999999998</v>
      </c>
      <c r="FJ28" s="102">
        <v>21829083</v>
      </c>
      <c r="FK28" s="102">
        <v>1406234</v>
      </c>
      <c r="FL28" s="102">
        <v>10919484</v>
      </c>
      <c r="FM28" s="102">
        <v>18893462</v>
      </c>
      <c r="FN28" s="428">
        <v>0.56299999999999994</v>
      </c>
      <c r="FO28" s="424">
        <v>98.2</v>
      </c>
      <c r="FP28" s="425">
        <v>18.399999999999999</v>
      </c>
      <c r="FQ28" s="424">
        <v>15.5</v>
      </c>
      <c r="FR28" s="424">
        <v>18.5</v>
      </c>
      <c r="FS28" s="425">
        <v>15.3</v>
      </c>
      <c r="FT28" s="424">
        <v>12.5</v>
      </c>
      <c r="FU28" s="425">
        <v>17.600000000000001</v>
      </c>
      <c r="FV28" s="384">
        <v>9.1</v>
      </c>
      <c r="FW28" s="102">
        <v>40015892</v>
      </c>
      <c r="FX28" s="384">
        <f t="shared" si="15"/>
        <v>172.2</v>
      </c>
      <c r="FY28" s="102">
        <v>5637199</v>
      </c>
      <c r="FZ28" s="102">
        <v>3805741</v>
      </c>
      <c r="GA28" s="102">
        <v>72761</v>
      </c>
      <c r="GB28" s="102">
        <v>1758697</v>
      </c>
      <c r="GC28" s="104">
        <v>0</v>
      </c>
      <c r="GD28" s="427"/>
      <c r="GE28" s="386"/>
      <c r="GF28" s="424">
        <v>98.7</v>
      </c>
      <c r="GG28" s="424">
        <v>30.4</v>
      </c>
      <c r="GH28" s="424">
        <v>95.2</v>
      </c>
      <c r="GI28" s="102">
        <v>565</v>
      </c>
      <c r="GJ28" s="429" t="s">
        <v>646</v>
      </c>
      <c r="GK28" s="429">
        <v>12.21</v>
      </c>
      <c r="GL28" s="87">
        <v>20</v>
      </c>
      <c r="GM28" s="429" t="s">
        <v>646</v>
      </c>
      <c r="GN28" s="430">
        <v>17.21</v>
      </c>
      <c r="GO28" s="430">
        <v>30</v>
      </c>
      <c r="GP28" s="425">
        <v>9.1</v>
      </c>
      <c r="GQ28" s="425">
        <v>25</v>
      </c>
      <c r="GR28" s="425">
        <v>35</v>
      </c>
      <c r="GS28" s="431">
        <v>27.7</v>
      </c>
      <c r="GT28" s="425">
        <v>350</v>
      </c>
      <c r="GU28" s="394"/>
      <c r="GV28" s="100">
        <f t="shared" si="16"/>
        <v>23235</v>
      </c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</row>
    <row r="29" spans="2:230" x14ac:dyDescent="0.15">
      <c r="B29" s="89" t="s">
        <v>47</v>
      </c>
      <c r="C29" s="102">
        <v>17713561</v>
      </c>
      <c r="D29" s="73">
        <f t="shared" si="0"/>
        <v>5287988</v>
      </c>
      <c r="E29" s="102">
        <v>186283</v>
      </c>
      <c r="F29" s="102">
        <v>5101705</v>
      </c>
      <c r="G29" s="73">
        <f t="shared" si="1"/>
        <v>1468104</v>
      </c>
      <c r="H29" s="102">
        <v>436345</v>
      </c>
      <c r="I29" s="102">
        <v>1031759</v>
      </c>
      <c r="J29" s="102">
        <v>7956356</v>
      </c>
      <c r="K29" s="102">
        <v>3674819</v>
      </c>
      <c r="L29" s="102">
        <v>3134902</v>
      </c>
      <c r="M29" s="102">
        <v>1032136</v>
      </c>
      <c r="N29" s="102">
        <v>1202823</v>
      </c>
      <c r="O29" s="102">
        <v>1621153</v>
      </c>
      <c r="P29" s="102">
        <v>931566</v>
      </c>
      <c r="Q29" s="102">
        <v>689587</v>
      </c>
      <c r="R29" s="102">
        <v>178747</v>
      </c>
      <c r="S29" s="74"/>
      <c r="T29" s="73">
        <f t="shared" si="2"/>
        <v>2658758</v>
      </c>
      <c r="U29" s="102">
        <v>19202</v>
      </c>
      <c r="V29" s="102">
        <v>70008</v>
      </c>
      <c r="W29" s="102">
        <v>41278</v>
      </c>
      <c r="X29" s="102">
        <v>2457029</v>
      </c>
      <c r="Y29" s="102">
        <v>0</v>
      </c>
      <c r="Z29" s="102">
        <v>0</v>
      </c>
      <c r="AA29" s="102">
        <v>71241</v>
      </c>
      <c r="AB29" s="102">
        <v>66589</v>
      </c>
      <c r="AC29" s="102">
        <v>6571526</v>
      </c>
      <c r="AD29" s="102">
        <v>6319020</v>
      </c>
      <c r="AE29" s="102">
        <v>252506</v>
      </c>
      <c r="AF29" s="102">
        <v>16909</v>
      </c>
      <c r="AG29" s="102">
        <v>196062</v>
      </c>
      <c r="AH29" s="73">
        <f t="shared" si="3"/>
        <v>684722</v>
      </c>
      <c r="AI29" s="102">
        <v>467930</v>
      </c>
      <c r="AJ29" s="102">
        <v>216792</v>
      </c>
      <c r="AK29" s="102">
        <v>15254831</v>
      </c>
      <c r="AL29" s="73">
        <f t="shared" si="4"/>
        <v>10561974</v>
      </c>
      <c r="AM29" s="102">
        <v>8324661</v>
      </c>
      <c r="AN29" s="102">
        <v>729371</v>
      </c>
      <c r="AO29" s="74"/>
      <c r="AP29" s="102">
        <v>1507942</v>
      </c>
      <c r="AQ29" s="102">
        <v>552452</v>
      </c>
      <c r="AR29" s="102">
        <v>0</v>
      </c>
      <c r="AS29" s="102">
        <v>0</v>
      </c>
      <c r="AT29" s="102">
        <v>3357661</v>
      </c>
      <c r="AU29" s="102">
        <v>1826530</v>
      </c>
      <c r="AV29" s="102">
        <v>364685</v>
      </c>
      <c r="AW29" s="102">
        <v>21432</v>
      </c>
      <c r="AX29" s="102">
        <v>1531131</v>
      </c>
      <c r="AY29" s="102">
        <v>110139</v>
      </c>
      <c r="AZ29" s="102">
        <v>280796</v>
      </c>
      <c r="BA29" s="102">
        <v>234151</v>
      </c>
      <c r="BB29" s="102">
        <v>6969</v>
      </c>
      <c r="BC29" s="102">
        <v>1049277</v>
      </c>
      <c r="BD29" s="102">
        <v>170000</v>
      </c>
      <c r="BE29" s="102">
        <v>100000</v>
      </c>
      <c r="BF29" s="102">
        <v>779277</v>
      </c>
      <c r="BG29" s="102">
        <v>0</v>
      </c>
      <c r="BH29" s="102">
        <v>130536</v>
      </c>
      <c r="BI29" s="102">
        <v>54630</v>
      </c>
      <c r="BJ29" s="102">
        <v>526705</v>
      </c>
      <c r="BK29" s="102">
        <v>9000</v>
      </c>
      <c r="BL29" s="102">
        <v>0</v>
      </c>
      <c r="BM29" s="102">
        <v>0</v>
      </c>
      <c r="BN29" s="102">
        <v>6024709</v>
      </c>
      <c r="BO29" s="73">
        <f t="shared" si="5"/>
        <v>4254000</v>
      </c>
      <c r="BP29" s="73">
        <f t="shared" si="6"/>
        <v>1770709</v>
      </c>
      <c r="BQ29" s="102">
        <v>0</v>
      </c>
      <c r="BR29" s="102">
        <v>0</v>
      </c>
      <c r="BS29" s="102">
        <v>1770709</v>
      </c>
      <c r="BT29" s="102">
        <v>0</v>
      </c>
      <c r="BU29" s="102">
        <v>54718358</v>
      </c>
      <c r="BV29" s="71"/>
      <c r="BW29" s="102">
        <v>6625807</v>
      </c>
      <c r="BX29" s="102">
        <v>4677244</v>
      </c>
      <c r="BY29" s="102">
        <v>195264</v>
      </c>
      <c r="BZ29" s="102">
        <v>370014</v>
      </c>
      <c r="CA29" s="102">
        <v>20612692</v>
      </c>
      <c r="CB29" s="102">
        <v>3838022</v>
      </c>
      <c r="CC29" s="102">
        <v>329569</v>
      </c>
      <c r="CD29" s="102">
        <v>5035619</v>
      </c>
      <c r="CE29" s="102">
        <v>11045373</v>
      </c>
      <c r="CF29" s="102">
        <v>17092</v>
      </c>
      <c r="CG29" s="102">
        <v>346977</v>
      </c>
      <c r="CH29" s="102">
        <v>4367524</v>
      </c>
      <c r="CI29" s="102">
        <v>3881384</v>
      </c>
      <c r="CJ29" s="83">
        <f t="shared" si="17"/>
        <v>486140</v>
      </c>
      <c r="CK29" s="102">
        <v>5768031</v>
      </c>
      <c r="CL29" s="102">
        <v>3899878</v>
      </c>
      <c r="CM29" s="102">
        <v>165641</v>
      </c>
      <c r="CN29" s="102">
        <v>818664</v>
      </c>
      <c r="CO29" s="102">
        <v>220099</v>
      </c>
      <c r="CP29" s="102">
        <v>3022248</v>
      </c>
      <c r="CQ29" s="102">
        <v>1724834</v>
      </c>
      <c r="CR29" s="102">
        <v>622175</v>
      </c>
      <c r="CS29" s="102">
        <v>371242</v>
      </c>
      <c r="CT29" s="73">
        <f t="shared" si="7"/>
        <v>5712</v>
      </c>
      <c r="CU29" s="102">
        <v>4232</v>
      </c>
      <c r="CV29" s="102">
        <v>1480</v>
      </c>
      <c r="CW29" s="73">
        <f t="shared" si="8"/>
        <v>0</v>
      </c>
      <c r="CX29" s="102">
        <v>0</v>
      </c>
      <c r="CY29" s="102">
        <v>0</v>
      </c>
      <c r="CZ29" s="73">
        <f t="shared" si="9"/>
        <v>0</v>
      </c>
      <c r="DA29" s="102">
        <v>0</v>
      </c>
      <c r="DB29" s="102">
        <v>0</v>
      </c>
      <c r="DC29" s="102">
        <v>6824913</v>
      </c>
      <c r="DD29" s="102">
        <v>3664453</v>
      </c>
      <c r="DE29" s="102">
        <v>3160460</v>
      </c>
      <c r="DF29" s="102">
        <v>0</v>
      </c>
      <c r="DG29" s="102">
        <v>0</v>
      </c>
      <c r="DH29" s="102">
        <v>0</v>
      </c>
      <c r="DI29" s="102">
        <v>37007</v>
      </c>
      <c r="DJ29" s="102">
        <v>28793</v>
      </c>
      <c r="DK29" s="102">
        <v>278</v>
      </c>
      <c r="DL29" s="102">
        <v>7936</v>
      </c>
      <c r="DM29" s="102">
        <v>0</v>
      </c>
      <c r="DN29" s="102">
        <v>0</v>
      </c>
      <c r="DO29" s="102">
        <v>0</v>
      </c>
      <c r="DP29" s="102">
        <v>0</v>
      </c>
      <c r="DQ29" s="102">
        <v>9000</v>
      </c>
      <c r="DR29" s="102">
        <v>0</v>
      </c>
      <c r="DS29" s="102">
        <v>0</v>
      </c>
      <c r="DT29" s="102">
        <v>7134624</v>
      </c>
      <c r="DU29" s="102">
        <v>2048865</v>
      </c>
      <c r="DV29" s="73">
        <f t="shared" si="10"/>
        <v>0</v>
      </c>
      <c r="DW29" s="102">
        <v>0</v>
      </c>
      <c r="DX29" s="102">
        <v>1452097</v>
      </c>
      <c r="DY29" s="102">
        <v>0</v>
      </c>
      <c r="DZ29" s="102">
        <v>2087620</v>
      </c>
      <c r="EA29" s="74">
        <v>0</v>
      </c>
      <c r="EB29" s="102">
        <v>1546042</v>
      </c>
      <c r="EC29" s="102">
        <v>0</v>
      </c>
      <c r="ED29" s="102">
        <v>54621945</v>
      </c>
      <c r="EE29" s="71"/>
      <c r="EF29" s="102">
        <v>96413</v>
      </c>
      <c r="EG29" s="102">
        <v>88484</v>
      </c>
      <c r="EH29" s="102">
        <v>7929</v>
      </c>
      <c r="EI29" s="102">
        <v>-46701</v>
      </c>
      <c r="EJ29" s="102">
        <v>-187908</v>
      </c>
      <c r="EK29" s="71"/>
      <c r="EL29" s="102">
        <v>123576</v>
      </c>
      <c r="EM29" s="102">
        <v>124677</v>
      </c>
      <c r="EN29" s="102">
        <v>342942</v>
      </c>
      <c r="EO29" s="102">
        <v>278046</v>
      </c>
      <c r="EP29" s="73">
        <f t="shared" si="11"/>
        <v>663538</v>
      </c>
      <c r="EQ29" s="102">
        <v>27206090</v>
      </c>
      <c r="ER29" s="71">
        <v>-3038326</v>
      </c>
      <c r="ES29" s="102">
        <v>6216494</v>
      </c>
      <c r="ET29" s="102">
        <v>4415600</v>
      </c>
      <c r="EU29" s="102">
        <v>5843679</v>
      </c>
      <c r="EV29" s="102">
        <v>4290802</v>
      </c>
      <c r="EW29" s="73">
        <f t="shared" si="12"/>
        <v>333000</v>
      </c>
      <c r="EX29" s="102">
        <v>333000</v>
      </c>
      <c r="EY29" s="102">
        <v>14990</v>
      </c>
      <c r="EZ29" s="102">
        <v>318010</v>
      </c>
      <c r="FA29" s="102">
        <v>0</v>
      </c>
      <c r="FB29" s="102">
        <v>0</v>
      </c>
      <c r="FC29" s="102">
        <v>4617084</v>
      </c>
      <c r="FD29" s="102">
        <v>2766400</v>
      </c>
      <c r="FE29" s="102">
        <v>1724099</v>
      </c>
      <c r="FF29" s="102">
        <v>5934650</v>
      </c>
      <c r="FG29" s="73">
        <f t="shared" si="13"/>
        <v>145894</v>
      </c>
      <c r="FH29" s="102">
        <v>30148003</v>
      </c>
      <c r="FI29" s="379">
        <f t="shared" si="14"/>
        <v>0</v>
      </c>
      <c r="FJ29" s="102">
        <v>25197096</v>
      </c>
      <c r="FK29" s="102">
        <v>1770709</v>
      </c>
      <c r="FL29" s="102">
        <v>14718800</v>
      </c>
      <c r="FM29" s="102">
        <v>21050893</v>
      </c>
      <c r="FN29" s="428">
        <v>0.68700000000000006</v>
      </c>
      <c r="FO29" s="424">
        <v>103.1</v>
      </c>
      <c r="FP29" s="425">
        <v>22.5</v>
      </c>
      <c r="FQ29" s="424">
        <v>21.3</v>
      </c>
      <c r="FR29" s="424">
        <v>15.7</v>
      </c>
      <c r="FS29" s="425">
        <v>15.4</v>
      </c>
      <c r="FT29" s="424">
        <v>8.8000000000000007</v>
      </c>
      <c r="FU29" s="425">
        <v>18.899999999999999</v>
      </c>
      <c r="FV29" s="384">
        <v>6.8</v>
      </c>
      <c r="FW29" s="102">
        <v>50625889</v>
      </c>
      <c r="FX29" s="384">
        <f t="shared" si="15"/>
        <v>187.7</v>
      </c>
      <c r="FY29" s="102">
        <v>6050432</v>
      </c>
      <c r="FZ29" s="102">
        <v>1802041</v>
      </c>
      <c r="GA29" s="102">
        <v>211585</v>
      </c>
      <c r="GB29" s="102">
        <v>4036806</v>
      </c>
      <c r="GC29" s="104">
        <v>0</v>
      </c>
      <c r="GD29" s="427"/>
      <c r="GE29" s="386"/>
      <c r="GF29" s="424">
        <v>98.7</v>
      </c>
      <c r="GG29" s="424">
        <v>32.6</v>
      </c>
      <c r="GH29" s="424">
        <v>95.3</v>
      </c>
      <c r="GI29" s="102">
        <v>747</v>
      </c>
      <c r="GJ29" s="429" t="s">
        <v>646</v>
      </c>
      <c r="GK29" s="429">
        <v>11.96</v>
      </c>
      <c r="GL29" s="87">
        <v>20</v>
      </c>
      <c r="GM29" s="429" t="s">
        <v>646</v>
      </c>
      <c r="GN29" s="430">
        <v>16.96</v>
      </c>
      <c r="GO29" s="430">
        <v>30</v>
      </c>
      <c r="GP29" s="425">
        <v>6.8</v>
      </c>
      <c r="GQ29" s="425">
        <v>25</v>
      </c>
      <c r="GR29" s="425">
        <v>35</v>
      </c>
      <c r="GS29" s="431">
        <v>59.6</v>
      </c>
      <c r="GT29" s="425">
        <v>350</v>
      </c>
      <c r="GU29" s="394"/>
      <c r="GV29" s="100">
        <f t="shared" si="16"/>
        <v>26968</v>
      </c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</row>
    <row r="30" spans="2:230" x14ac:dyDescent="0.15">
      <c r="B30" s="89" t="s">
        <v>49</v>
      </c>
      <c r="C30" s="102">
        <v>18689607</v>
      </c>
      <c r="D30" s="73">
        <f t="shared" si="0"/>
        <v>4396746</v>
      </c>
      <c r="E30" s="102">
        <v>141759</v>
      </c>
      <c r="F30" s="102">
        <v>4254987</v>
      </c>
      <c r="G30" s="73">
        <f t="shared" si="1"/>
        <v>2155075</v>
      </c>
      <c r="H30" s="102">
        <v>354732</v>
      </c>
      <c r="I30" s="102">
        <v>1800343</v>
      </c>
      <c r="J30" s="102">
        <v>8705153</v>
      </c>
      <c r="K30" s="102">
        <v>4064186</v>
      </c>
      <c r="L30" s="102">
        <v>2672067</v>
      </c>
      <c r="M30" s="102">
        <v>1908428</v>
      </c>
      <c r="N30" s="102">
        <v>1697525</v>
      </c>
      <c r="O30" s="102">
        <v>1619897</v>
      </c>
      <c r="P30" s="102">
        <v>1021152</v>
      </c>
      <c r="Q30" s="102">
        <v>598745</v>
      </c>
      <c r="R30" s="102">
        <v>148954</v>
      </c>
      <c r="S30" s="74"/>
      <c r="T30" s="73">
        <f t="shared" si="2"/>
        <v>1834019</v>
      </c>
      <c r="U30" s="102">
        <v>15735</v>
      </c>
      <c r="V30" s="102">
        <v>57372</v>
      </c>
      <c r="W30" s="102">
        <v>33877</v>
      </c>
      <c r="X30" s="102">
        <v>1665990</v>
      </c>
      <c r="Y30" s="102">
        <v>1670</v>
      </c>
      <c r="Z30" s="102">
        <v>0</v>
      </c>
      <c r="AA30" s="102">
        <v>59375</v>
      </c>
      <c r="AB30" s="102">
        <v>71964</v>
      </c>
      <c r="AC30" s="102">
        <v>461685</v>
      </c>
      <c r="AD30" s="102">
        <v>259137</v>
      </c>
      <c r="AE30" s="102">
        <v>202548</v>
      </c>
      <c r="AF30" s="102">
        <v>14046</v>
      </c>
      <c r="AG30" s="102">
        <v>590551</v>
      </c>
      <c r="AH30" s="73">
        <f t="shared" si="3"/>
        <v>687545</v>
      </c>
      <c r="AI30" s="102">
        <v>563008</v>
      </c>
      <c r="AJ30" s="102">
        <v>124537</v>
      </c>
      <c r="AK30" s="102">
        <v>5808356</v>
      </c>
      <c r="AL30" s="73">
        <f t="shared" si="4"/>
        <v>3564698</v>
      </c>
      <c r="AM30" s="102">
        <v>2215867</v>
      </c>
      <c r="AN30" s="102">
        <v>725055</v>
      </c>
      <c r="AO30" s="74"/>
      <c r="AP30" s="102">
        <v>623776</v>
      </c>
      <c r="AQ30" s="102">
        <v>20690</v>
      </c>
      <c r="AR30" s="102">
        <v>0</v>
      </c>
      <c r="AS30" s="102">
        <v>0</v>
      </c>
      <c r="AT30" s="102">
        <v>2140395</v>
      </c>
      <c r="AU30" s="102">
        <v>1562267</v>
      </c>
      <c r="AV30" s="102">
        <v>376967</v>
      </c>
      <c r="AW30" s="102">
        <v>9000</v>
      </c>
      <c r="AX30" s="102">
        <v>578128</v>
      </c>
      <c r="AY30" s="102">
        <v>825</v>
      </c>
      <c r="AZ30" s="102">
        <v>97648</v>
      </c>
      <c r="BA30" s="102">
        <v>45248</v>
      </c>
      <c r="BB30" s="102">
        <v>39908</v>
      </c>
      <c r="BC30" s="102">
        <v>489096</v>
      </c>
      <c r="BD30" s="102">
        <v>445000</v>
      </c>
      <c r="BE30" s="102">
        <v>0</v>
      </c>
      <c r="BF30" s="102">
        <v>7167</v>
      </c>
      <c r="BG30" s="102">
        <v>0</v>
      </c>
      <c r="BH30" s="102">
        <v>552354</v>
      </c>
      <c r="BI30" s="102">
        <v>338886</v>
      </c>
      <c r="BJ30" s="102">
        <v>848956</v>
      </c>
      <c r="BK30" s="102">
        <v>276674</v>
      </c>
      <c r="BL30" s="102">
        <v>0</v>
      </c>
      <c r="BM30" s="102">
        <v>0</v>
      </c>
      <c r="BN30" s="102">
        <v>1399400</v>
      </c>
      <c r="BO30" s="73">
        <f t="shared" si="5"/>
        <v>855800</v>
      </c>
      <c r="BP30" s="73">
        <f t="shared" si="6"/>
        <v>543600</v>
      </c>
      <c r="BQ30" s="102">
        <v>0</v>
      </c>
      <c r="BR30" s="102">
        <v>0</v>
      </c>
      <c r="BS30" s="102">
        <v>543600</v>
      </c>
      <c r="BT30" s="102">
        <v>0</v>
      </c>
      <c r="BU30" s="102">
        <v>33874484</v>
      </c>
      <c r="BV30" s="71"/>
      <c r="BW30" s="102">
        <v>5192092</v>
      </c>
      <c r="BX30" s="102">
        <v>3474130</v>
      </c>
      <c r="BY30" s="102">
        <v>529904</v>
      </c>
      <c r="BZ30" s="102">
        <v>139823</v>
      </c>
      <c r="CA30" s="102">
        <v>10042583</v>
      </c>
      <c r="CB30" s="102">
        <v>2260069</v>
      </c>
      <c r="CC30" s="102">
        <v>203794</v>
      </c>
      <c r="CD30" s="102">
        <v>4626403</v>
      </c>
      <c r="CE30" s="102">
        <v>2829493</v>
      </c>
      <c r="CF30" s="102">
        <v>6807</v>
      </c>
      <c r="CG30" s="102">
        <v>116017</v>
      </c>
      <c r="CH30" s="102">
        <v>3486562</v>
      </c>
      <c r="CI30" s="102">
        <v>3238483</v>
      </c>
      <c r="CJ30" s="83">
        <f t="shared" si="17"/>
        <v>248079</v>
      </c>
      <c r="CK30" s="102">
        <v>5288787</v>
      </c>
      <c r="CL30" s="102">
        <v>3245378</v>
      </c>
      <c r="CM30" s="102">
        <v>720600</v>
      </c>
      <c r="CN30" s="102">
        <v>852744</v>
      </c>
      <c r="CO30" s="102">
        <v>501817</v>
      </c>
      <c r="CP30" s="102">
        <v>1432635</v>
      </c>
      <c r="CQ30" s="102">
        <v>6986</v>
      </c>
      <c r="CR30" s="102">
        <v>780869</v>
      </c>
      <c r="CS30" s="102">
        <v>601703</v>
      </c>
      <c r="CT30" s="73">
        <f t="shared" si="7"/>
        <v>4346</v>
      </c>
      <c r="CU30" s="102">
        <v>970</v>
      </c>
      <c r="CV30" s="102">
        <v>3376</v>
      </c>
      <c r="CW30" s="73">
        <f t="shared" si="8"/>
        <v>0</v>
      </c>
      <c r="CX30" s="102">
        <v>0</v>
      </c>
      <c r="CY30" s="102">
        <v>0</v>
      </c>
      <c r="CZ30" s="73">
        <f t="shared" si="9"/>
        <v>0</v>
      </c>
      <c r="DA30" s="102">
        <v>0</v>
      </c>
      <c r="DB30" s="102">
        <v>0</v>
      </c>
      <c r="DC30" s="102">
        <v>1941666</v>
      </c>
      <c r="DD30" s="102">
        <v>118504</v>
      </c>
      <c r="DE30" s="102">
        <v>1816849</v>
      </c>
      <c r="DF30" s="102">
        <v>6313</v>
      </c>
      <c r="DG30" s="102">
        <v>0</v>
      </c>
      <c r="DH30" s="102">
        <v>0</v>
      </c>
      <c r="DI30" s="102">
        <v>191029</v>
      </c>
      <c r="DJ30" s="102">
        <v>171932</v>
      </c>
      <c r="DK30" s="102">
        <v>7</v>
      </c>
      <c r="DL30" s="102">
        <v>19090</v>
      </c>
      <c r="DM30" s="102">
        <v>0</v>
      </c>
      <c r="DN30" s="102">
        <v>0</v>
      </c>
      <c r="DO30" s="102">
        <v>0</v>
      </c>
      <c r="DP30" s="102">
        <v>0</v>
      </c>
      <c r="DQ30" s="102">
        <v>269410</v>
      </c>
      <c r="DR30" s="102">
        <v>0</v>
      </c>
      <c r="DS30" s="102">
        <v>0</v>
      </c>
      <c r="DT30" s="102">
        <v>5187310</v>
      </c>
      <c r="DU30" s="102">
        <v>2350000</v>
      </c>
      <c r="DV30" s="73">
        <f t="shared" si="10"/>
        <v>0</v>
      </c>
      <c r="DW30" s="102">
        <v>0</v>
      </c>
      <c r="DX30" s="102">
        <v>853318</v>
      </c>
      <c r="DY30" s="102">
        <v>23230</v>
      </c>
      <c r="DZ30" s="102">
        <v>1128588</v>
      </c>
      <c r="EA30" s="74">
        <v>0</v>
      </c>
      <c r="EB30" s="102">
        <v>832161</v>
      </c>
      <c r="EC30" s="102">
        <v>0</v>
      </c>
      <c r="ED30" s="102">
        <v>33533891</v>
      </c>
      <c r="EE30" s="71"/>
      <c r="EF30" s="102">
        <v>340593</v>
      </c>
      <c r="EG30" s="102">
        <v>66218</v>
      </c>
      <c r="EH30" s="102">
        <v>274375</v>
      </c>
      <c r="EI30" s="102">
        <v>-64511</v>
      </c>
      <c r="EJ30" s="102">
        <v>532341</v>
      </c>
      <c r="EK30" s="71"/>
      <c r="EL30" s="102">
        <v>85007</v>
      </c>
      <c r="EM30" s="102">
        <v>85434</v>
      </c>
      <c r="EN30" s="102">
        <v>481929</v>
      </c>
      <c r="EO30" s="102">
        <v>91139</v>
      </c>
      <c r="EP30" s="73">
        <f t="shared" si="11"/>
        <v>710654</v>
      </c>
      <c r="EQ30" s="102">
        <v>21220275</v>
      </c>
      <c r="ER30" s="71">
        <v>-1813276</v>
      </c>
      <c r="ES30" s="102">
        <v>4851925</v>
      </c>
      <c r="ET30" s="102">
        <v>3146552</v>
      </c>
      <c r="EU30" s="102">
        <v>2900236</v>
      </c>
      <c r="EV30" s="102">
        <v>3425269</v>
      </c>
      <c r="EW30" s="73">
        <f t="shared" si="12"/>
        <v>791256</v>
      </c>
      <c r="EX30" s="102">
        <v>791256</v>
      </c>
      <c r="EY30" s="102">
        <v>1951</v>
      </c>
      <c r="EZ30" s="102">
        <v>782992</v>
      </c>
      <c r="FA30" s="102">
        <v>0</v>
      </c>
      <c r="FB30" s="102">
        <v>0</v>
      </c>
      <c r="FC30" s="102">
        <v>4207886</v>
      </c>
      <c r="FD30" s="102">
        <v>1267228</v>
      </c>
      <c r="FE30" s="102">
        <v>6986</v>
      </c>
      <c r="FF30" s="102">
        <v>4601245</v>
      </c>
      <c r="FG30" s="73">
        <f t="shared" si="13"/>
        <v>647913</v>
      </c>
      <c r="FH30" s="102">
        <v>22692958</v>
      </c>
      <c r="FI30" s="379">
        <f t="shared" si="14"/>
        <v>1.5</v>
      </c>
      <c r="FJ30" s="102">
        <v>18051210</v>
      </c>
      <c r="FK30" s="102">
        <v>543687</v>
      </c>
      <c r="FL30" s="102">
        <v>13760588</v>
      </c>
      <c r="FM30" s="102">
        <v>14028988</v>
      </c>
      <c r="FN30" s="428">
        <v>0.97799999999999998</v>
      </c>
      <c r="FO30" s="424">
        <v>94.8</v>
      </c>
      <c r="FP30" s="425">
        <v>24</v>
      </c>
      <c r="FQ30" s="424">
        <v>14.4</v>
      </c>
      <c r="FR30" s="424">
        <v>12.7</v>
      </c>
      <c r="FS30" s="425">
        <v>19.8</v>
      </c>
      <c r="FT30" s="424">
        <v>3.8</v>
      </c>
      <c r="FU30" s="425">
        <v>17.8</v>
      </c>
      <c r="FV30" s="384">
        <v>4.2</v>
      </c>
      <c r="FW30" s="102">
        <v>21706268</v>
      </c>
      <c r="FX30" s="384">
        <f t="shared" si="15"/>
        <v>116.7</v>
      </c>
      <c r="FY30" s="102">
        <v>14679030</v>
      </c>
      <c r="FZ30" s="102">
        <v>5576441</v>
      </c>
      <c r="GA30" s="102">
        <v>4052322</v>
      </c>
      <c r="GB30" s="102">
        <v>5050267</v>
      </c>
      <c r="GC30" s="104">
        <v>0</v>
      </c>
      <c r="GD30" s="427">
        <v>0</v>
      </c>
      <c r="GE30" s="384">
        <f>ROUND(GD30/(FJ30+FK30)*100,1)</f>
        <v>0</v>
      </c>
      <c r="GF30" s="424">
        <v>99.1</v>
      </c>
      <c r="GG30" s="424">
        <v>39.200000000000003</v>
      </c>
      <c r="GH30" s="424">
        <v>97.5</v>
      </c>
      <c r="GI30" s="102">
        <v>548</v>
      </c>
      <c r="GJ30" s="429" t="s">
        <v>646</v>
      </c>
      <c r="GK30" s="429">
        <v>12.56</v>
      </c>
      <c r="GL30" s="87">
        <v>20</v>
      </c>
      <c r="GM30" s="429" t="s">
        <v>646</v>
      </c>
      <c r="GN30" s="430">
        <v>17.559999999999999</v>
      </c>
      <c r="GO30" s="430">
        <v>30</v>
      </c>
      <c r="GP30" s="425">
        <v>4.2</v>
      </c>
      <c r="GQ30" s="425">
        <v>25</v>
      </c>
      <c r="GR30" s="425">
        <v>35</v>
      </c>
      <c r="GS30" s="431" t="s">
        <v>646</v>
      </c>
      <c r="GT30" s="425">
        <v>350</v>
      </c>
      <c r="GU30" s="394"/>
      <c r="GV30" s="100">
        <f t="shared" si="16"/>
        <v>18595</v>
      </c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</row>
    <row r="31" spans="2:230" x14ac:dyDescent="0.15">
      <c r="B31" s="89" t="s">
        <v>51</v>
      </c>
      <c r="C31" s="102">
        <v>10156154</v>
      </c>
      <c r="D31" s="73">
        <f t="shared" si="0"/>
        <v>3125879</v>
      </c>
      <c r="E31" s="102">
        <v>89713</v>
      </c>
      <c r="F31" s="102">
        <v>3036166</v>
      </c>
      <c r="G31" s="73">
        <f t="shared" si="1"/>
        <v>598369</v>
      </c>
      <c r="H31" s="102">
        <v>164510</v>
      </c>
      <c r="I31" s="102">
        <v>433859</v>
      </c>
      <c r="J31" s="102">
        <v>5160228</v>
      </c>
      <c r="K31" s="102">
        <v>2263133</v>
      </c>
      <c r="L31" s="102">
        <v>1384552</v>
      </c>
      <c r="M31" s="102">
        <v>1451974</v>
      </c>
      <c r="N31" s="102">
        <v>312571</v>
      </c>
      <c r="O31" s="102">
        <v>891479</v>
      </c>
      <c r="P31" s="102">
        <v>584150</v>
      </c>
      <c r="Q31" s="102">
        <v>307329</v>
      </c>
      <c r="R31" s="102">
        <v>155819</v>
      </c>
      <c r="S31" s="74"/>
      <c r="T31" s="73">
        <f t="shared" si="2"/>
        <v>1098049</v>
      </c>
      <c r="U31" s="102">
        <v>11606</v>
      </c>
      <c r="V31" s="102">
        <v>42317</v>
      </c>
      <c r="W31" s="102">
        <v>24940</v>
      </c>
      <c r="X31" s="102">
        <v>984152</v>
      </c>
      <c r="Y31" s="102">
        <v>0</v>
      </c>
      <c r="Z31" s="102">
        <v>0</v>
      </c>
      <c r="AA31" s="102">
        <v>35034</v>
      </c>
      <c r="AB31" s="102">
        <v>36242</v>
      </c>
      <c r="AC31" s="102">
        <v>1468124</v>
      </c>
      <c r="AD31" s="102">
        <v>1378615</v>
      </c>
      <c r="AE31" s="102">
        <v>89509</v>
      </c>
      <c r="AF31" s="102">
        <v>8229</v>
      </c>
      <c r="AG31" s="102">
        <v>42430</v>
      </c>
      <c r="AH31" s="73">
        <f t="shared" si="3"/>
        <v>272941</v>
      </c>
      <c r="AI31" s="102">
        <v>217977</v>
      </c>
      <c r="AJ31" s="102">
        <v>54964</v>
      </c>
      <c r="AK31" s="102">
        <v>4429734</v>
      </c>
      <c r="AL31" s="73">
        <f t="shared" si="4"/>
        <v>2209419</v>
      </c>
      <c r="AM31" s="102">
        <v>1394048</v>
      </c>
      <c r="AN31" s="102">
        <v>412569</v>
      </c>
      <c r="AO31" s="74"/>
      <c r="AP31" s="102">
        <v>402802</v>
      </c>
      <c r="AQ31" s="102">
        <v>9880</v>
      </c>
      <c r="AR31" s="102">
        <v>0</v>
      </c>
      <c r="AS31" s="102">
        <v>0</v>
      </c>
      <c r="AT31" s="102">
        <v>1664862</v>
      </c>
      <c r="AU31" s="102">
        <v>1121600</v>
      </c>
      <c r="AV31" s="102">
        <v>207454</v>
      </c>
      <c r="AW31" s="102">
        <v>3091</v>
      </c>
      <c r="AX31" s="102">
        <v>543262</v>
      </c>
      <c r="AY31" s="102">
        <v>30900</v>
      </c>
      <c r="AZ31" s="102">
        <v>90654</v>
      </c>
      <c r="BA31" s="102">
        <v>12105</v>
      </c>
      <c r="BB31" s="102">
        <v>11340</v>
      </c>
      <c r="BC31" s="102">
        <v>455874</v>
      </c>
      <c r="BD31" s="102">
        <v>170000</v>
      </c>
      <c r="BE31" s="102">
        <v>0</v>
      </c>
      <c r="BF31" s="102">
        <v>263163</v>
      </c>
      <c r="BG31" s="102">
        <v>0</v>
      </c>
      <c r="BH31" s="102">
        <v>413317</v>
      </c>
      <c r="BI31" s="102">
        <v>375432</v>
      </c>
      <c r="BJ31" s="102">
        <v>307311</v>
      </c>
      <c r="BK31" s="102">
        <v>20726</v>
      </c>
      <c r="BL31" s="102">
        <v>0</v>
      </c>
      <c r="BM31" s="102">
        <v>0</v>
      </c>
      <c r="BN31" s="102">
        <v>2051200</v>
      </c>
      <c r="BO31" s="73">
        <f t="shared" si="5"/>
        <v>1047500</v>
      </c>
      <c r="BP31" s="73">
        <f t="shared" si="6"/>
        <v>1003700</v>
      </c>
      <c r="BQ31" s="102">
        <v>0</v>
      </c>
      <c r="BR31" s="102">
        <v>0</v>
      </c>
      <c r="BS31" s="102">
        <v>1003700</v>
      </c>
      <c r="BT31" s="102">
        <v>0</v>
      </c>
      <c r="BU31" s="102">
        <v>22662280</v>
      </c>
      <c r="BV31" s="71"/>
      <c r="BW31" s="102">
        <v>3363959</v>
      </c>
      <c r="BX31" s="102">
        <v>2090351</v>
      </c>
      <c r="BY31" s="102">
        <v>351039</v>
      </c>
      <c r="BZ31" s="102">
        <v>199695</v>
      </c>
      <c r="CA31" s="102">
        <v>6020153</v>
      </c>
      <c r="CB31" s="102">
        <v>1457672</v>
      </c>
      <c r="CC31" s="102">
        <v>102077</v>
      </c>
      <c r="CD31" s="102">
        <v>2608763</v>
      </c>
      <c r="CE31" s="102">
        <v>1778120</v>
      </c>
      <c r="CF31" s="102">
        <v>2090</v>
      </c>
      <c r="CG31" s="102">
        <v>71431</v>
      </c>
      <c r="CH31" s="102">
        <v>3121258</v>
      </c>
      <c r="CI31" s="102">
        <v>2672555</v>
      </c>
      <c r="CJ31" s="83">
        <f t="shared" si="17"/>
        <v>448703</v>
      </c>
      <c r="CK31" s="102">
        <v>2528599</v>
      </c>
      <c r="CL31" s="102">
        <v>1717087</v>
      </c>
      <c r="CM31" s="102">
        <v>199566</v>
      </c>
      <c r="CN31" s="102">
        <v>348677</v>
      </c>
      <c r="CO31" s="102">
        <v>62181</v>
      </c>
      <c r="CP31" s="102">
        <v>1890909</v>
      </c>
      <c r="CQ31" s="102">
        <v>404094</v>
      </c>
      <c r="CR31" s="102">
        <v>53464</v>
      </c>
      <c r="CS31" s="102">
        <v>27067</v>
      </c>
      <c r="CT31" s="73">
        <f t="shared" si="7"/>
        <v>2553</v>
      </c>
      <c r="CU31" s="102">
        <v>2553</v>
      </c>
      <c r="CV31" s="102">
        <v>0</v>
      </c>
      <c r="CW31" s="73">
        <f t="shared" si="8"/>
        <v>0</v>
      </c>
      <c r="CX31" s="102">
        <v>0</v>
      </c>
      <c r="CY31" s="102">
        <v>0</v>
      </c>
      <c r="CZ31" s="73">
        <f t="shared" si="9"/>
        <v>0</v>
      </c>
      <c r="DA31" s="102">
        <v>0</v>
      </c>
      <c r="DB31" s="102">
        <v>0</v>
      </c>
      <c r="DC31" s="102">
        <v>2171944</v>
      </c>
      <c r="DD31" s="102">
        <v>1375289</v>
      </c>
      <c r="DE31" s="102">
        <v>300333</v>
      </c>
      <c r="DF31" s="102">
        <v>472812</v>
      </c>
      <c r="DG31" s="102">
        <v>23510</v>
      </c>
      <c r="DH31" s="102">
        <v>0</v>
      </c>
      <c r="DI31" s="102">
        <v>299802</v>
      </c>
      <c r="DJ31" s="102">
        <v>192172</v>
      </c>
      <c r="DK31" s="102">
        <v>0</v>
      </c>
      <c r="DL31" s="102">
        <v>107630</v>
      </c>
      <c r="DM31" s="102">
        <v>0</v>
      </c>
      <c r="DN31" s="102">
        <v>0</v>
      </c>
      <c r="DO31" s="102">
        <v>0</v>
      </c>
      <c r="DP31" s="102">
        <v>0</v>
      </c>
      <c r="DQ31" s="102">
        <v>11270</v>
      </c>
      <c r="DR31" s="102">
        <v>0</v>
      </c>
      <c r="DS31" s="102">
        <v>0</v>
      </c>
      <c r="DT31" s="102">
        <v>3065020</v>
      </c>
      <c r="DU31" s="102">
        <v>1025000</v>
      </c>
      <c r="DV31" s="73">
        <f t="shared" si="10"/>
        <v>0</v>
      </c>
      <c r="DW31" s="102">
        <v>0</v>
      </c>
      <c r="DX31" s="102">
        <v>746905</v>
      </c>
      <c r="DY31" s="102">
        <v>0</v>
      </c>
      <c r="DZ31" s="102">
        <v>639459</v>
      </c>
      <c r="EA31" s="74">
        <v>0</v>
      </c>
      <c r="EB31" s="102">
        <v>653656</v>
      </c>
      <c r="EC31" s="102">
        <v>0</v>
      </c>
      <c r="ED31" s="102">
        <v>22535095</v>
      </c>
      <c r="EE31" s="71"/>
      <c r="EF31" s="102">
        <v>127185</v>
      </c>
      <c r="EG31" s="102">
        <v>18794</v>
      </c>
      <c r="EH31" s="102">
        <v>108391</v>
      </c>
      <c r="EI31" s="102">
        <v>-267041</v>
      </c>
      <c r="EJ31" s="102">
        <v>-244869</v>
      </c>
      <c r="EK31" s="71"/>
      <c r="EL31" s="102">
        <v>56529</v>
      </c>
      <c r="EM31" s="102">
        <v>58162</v>
      </c>
      <c r="EN31" s="102">
        <v>366970</v>
      </c>
      <c r="EO31" s="102">
        <v>87351</v>
      </c>
      <c r="EP31" s="73">
        <f t="shared" si="11"/>
        <v>661743</v>
      </c>
      <c r="EQ31" s="102">
        <v>12922617</v>
      </c>
      <c r="ER31" s="71">
        <v>-2111535</v>
      </c>
      <c r="ES31" s="102">
        <v>3155357</v>
      </c>
      <c r="ET31" s="102">
        <v>1940894</v>
      </c>
      <c r="EU31" s="102">
        <v>1664693</v>
      </c>
      <c r="EV31" s="102">
        <v>3095705</v>
      </c>
      <c r="EW31" s="73">
        <f t="shared" si="12"/>
        <v>332185</v>
      </c>
      <c r="EX31" s="102">
        <v>332185</v>
      </c>
      <c r="EY31" s="102">
        <v>140046</v>
      </c>
      <c r="EZ31" s="102">
        <v>125525</v>
      </c>
      <c r="FA31" s="102">
        <v>0</v>
      </c>
      <c r="FB31" s="102">
        <v>0</v>
      </c>
      <c r="FC31" s="102">
        <v>1972128</v>
      </c>
      <c r="FD31" s="102">
        <v>1733879</v>
      </c>
      <c r="FE31" s="102">
        <v>387846</v>
      </c>
      <c r="FF31" s="102">
        <v>2635089</v>
      </c>
      <c r="FG31" s="73">
        <f t="shared" si="13"/>
        <v>317931</v>
      </c>
      <c r="FH31" s="102">
        <v>14906967</v>
      </c>
      <c r="FI31" s="379">
        <f t="shared" si="14"/>
        <v>0.8</v>
      </c>
      <c r="FJ31" s="102">
        <v>12095782</v>
      </c>
      <c r="FK31" s="102">
        <v>1003807</v>
      </c>
      <c r="FL31" s="102">
        <v>8300714</v>
      </c>
      <c r="FM31" s="102">
        <v>9687298</v>
      </c>
      <c r="FN31" s="428">
        <v>0.85799999999999998</v>
      </c>
      <c r="FO31" s="424">
        <v>101</v>
      </c>
      <c r="FP31" s="425">
        <v>23.4</v>
      </c>
      <c r="FQ31" s="424">
        <v>12.6</v>
      </c>
      <c r="FR31" s="424">
        <v>23.6</v>
      </c>
      <c r="FS31" s="425">
        <v>12.2</v>
      </c>
      <c r="FT31" s="424">
        <v>10.3</v>
      </c>
      <c r="FU31" s="425">
        <v>18.5</v>
      </c>
      <c r="FV31" s="384">
        <v>15.4</v>
      </c>
      <c r="FW31" s="102">
        <v>36938756</v>
      </c>
      <c r="FX31" s="384">
        <f t="shared" si="15"/>
        <v>282</v>
      </c>
      <c r="FY31" s="102">
        <v>5397560</v>
      </c>
      <c r="FZ31" s="102">
        <v>2509805</v>
      </c>
      <c r="GA31" s="102">
        <v>0</v>
      </c>
      <c r="GB31" s="102">
        <v>2887755</v>
      </c>
      <c r="GC31" s="104">
        <v>0</v>
      </c>
      <c r="GD31" s="427">
        <v>2825</v>
      </c>
      <c r="GE31" s="386">
        <f>IF(GD31=0,"-",ROUND(GD31/(GV31)*100,1))</f>
        <v>21.6</v>
      </c>
      <c r="GF31" s="424">
        <v>99</v>
      </c>
      <c r="GG31" s="424">
        <v>27.9</v>
      </c>
      <c r="GH31" s="424">
        <v>95.9</v>
      </c>
      <c r="GI31" s="102">
        <v>328</v>
      </c>
      <c r="GJ31" s="429" t="s">
        <v>646</v>
      </c>
      <c r="GK31" s="429">
        <v>12.94</v>
      </c>
      <c r="GL31" s="87">
        <v>20</v>
      </c>
      <c r="GM31" s="429" t="s">
        <v>646</v>
      </c>
      <c r="GN31" s="430">
        <v>17.940000000000001</v>
      </c>
      <c r="GO31" s="430">
        <v>30</v>
      </c>
      <c r="GP31" s="425">
        <v>15.4</v>
      </c>
      <c r="GQ31" s="425">
        <v>25</v>
      </c>
      <c r="GR31" s="425">
        <v>35</v>
      </c>
      <c r="GS31" s="431">
        <v>178.5</v>
      </c>
      <c r="GT31" s="425">
        <v>350</v>
      </c>
      <c r="GU31" s="394"/>
      <c r="GV31" s="100">
        <f t="shared" si="16"/>
        <v>13100</v>
      </c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</row>
    <row r="32" spans="2:230" x14ac:dyDescent="0.15">
      <c r="B32" s="89" t="s">
        <v>53</v>
      </c>
      <c r="C32" s="102">
        <v>7928996</v>
      </c>
      <c r="D32" s="73">
        <f t="shared" si="0"/>
        <v>3343895</v>
      </c>
      <c r="E32" s="102">
        <v>99220</v>
      </c>
      <c r="F32" s="102">
        <v>3244675</v>
      </c>
      <c r="G32" s="73">
        <f t="shared" si="1"/>
        <v>494805</v>
      </c>
      <c r="H32" s="102">
        <v>135745</v>
      </c>
      <c r="I32" s="102">
        <v>359060</v>
      </c>
      <c r="J32" s="102">
        <v>2912178</v>
      </c>
      <c r="K32" s="102">
        <v>1288377</v>
      </c>
      <c r="L32" s="102">
        <v>1328060</v>
      </c>
      <c r="M32" s="102">
        <v>263132</v>
      </c>
      <c r="N32" s="102">
        <v>406528</v>
      </c>
      <c r="O32" s="102">
        <v>684676</v>
      </c>
      <c r="P32" s="102">
        <v>390208</v>
      </c>
      <c r="Q32" s="102">
        <v>294468</v>
      </c>
      <c r="R32" s="102">
        <v>102903</v>
      </c>
      <c r="S32" s="74"/>
      <c r="T32" s="73">
        <f t="shared" si="2"/>
        <v>1237289</v>
      </c>
      <c r="U32" s="102">
        <v>12623</v>
      </c>
      <c r="V32" s="102">
        <v>46022</v>
      </c>
      <c r="W32" s="102">
        <v>27093</v>
      </c>
      <c r="X32" s="102">
        <v>1110550</v>
      </c>
      <c r="Y32" s="102">
        <v>0</v>
      </c>
      <c r="Z32" s="102">
        <v>0</v>
      </c>
      <c r="AA32" s="102">
        <v>41001</v>
      </c>
      <c r="AB32" s="102">
        <v>47736</v>
      </c>
      <c r="AC32" s="102">
        <v>4266022</v>
      </c>
      <c r="AD32" s="102">
        <v>4084546</v>
      </c>
      <c r="AE32" s="102">
        <v>181476</v>
      </c>
      <c r="AF32" s="102">
        <v>9894</v>
      </c>
      <c r="AG32" s="102">
        <v>126782</v>
      </c>
      <c r="AH32" s="73">
        <f t="shared" si="3"/>
        <v>450915</v>
      </c>
      <c r="AI32" s="102">
        <v>405206</v>
      </c>
      <c r="AJ32" s="102">
        <v>45709</v>
      </c>
      <c r="AK32" s="102">
        <v>4898715</v>
      </c>
      <c r="AL32" s="73">
        <f t="shared" si="4"/>
        <v>2996086</v>
      </c>
      <c r="AM32" s="102">
        <v>2136586</v>
      </c>
      <c r="AN32" s="102">
        <v>206216</v>
      </c>
      <c r="AO32" s="74"/>
      <c r="AP32" s="102">
        <v>653284</v>
      </c>
      <c r="AQ32" s="102">
        <v>217193</v>
      </c>
      <c r="AR32" s="102">
        <v>0</v>
      </c>
      <c r="AS32" s="102">
        <v>0</v>
      </c>
      <c r="AT32" s="102">
        <v>1447409</v>
      </c>
      <c r="AU32" s="102">
        <v>1160595</v>
      </c>
      <c r="AV32" s="102">
        <v>141387</v>
      </c>
      <c r="AW32" s="102">
        <v>287</v>
      </c>
      <c r="AX32" s="102">
        <v>286814</v>
      </c>
      <c r="AY32" s="102">
        <v>0</v>
      </c>
      <c r="AZ32" s="102">
        <v>16317</v>
      </c>
      <c r="BA32" s="102">
        <v>34</v>
      </c>
      <c r="BB32" s="102">
        <v>7741</v>
      </c>
      <c r="BC32" s="102">
        <v>181082</v>
      </c>
      <c r="BD32" s="102">
        <v>145000</v>
      </c>
      <c r="BE32" s="102">
        <v>7000</v>
      </c>
      <c r="BF32" s="102">
        <v>29082</v>
      </c>
      <c r="BG32" s="102">
        <v>0</v>
      </c>
      <c r="BH32" s="102">
        <v>61461</v>
      </c>
      <c r="BI32" s="102">
        <v>5365</v>
      </c>
      <c r="BJ32" s="102">
        <v>218724</v>
      </c>
      <c r="BK32" s="102">
        <v>0</v>
      </c>
      <c r="BL32" s="102">
        <v>17</v>
      </c>
      <c r="BM32" s="102">
        <v>0</v>
      </c>
      <c r="BN32" s="102">
        <v>1851900</v>
      </c>
      <c r="BO32" s="73">
        <f t="shared" si="5"/>
        <v>1017300</v>
      </c>
      <c r="BP32" s="73">
        <f t="shared" si="6"/>
        <v>834600</v>
      </c>
      <c r="BQ32" s="102">
        <v>0</v>
      </c>
      <c r="BR32" s="102">
        <v>0</v>
      </c>
      <c r="BS32" s="102">
        <v>834600</v>
      </c>
      <c r="BT32" s="102">
        <v>0</v>
      </c>
      <c r="BU32" s="102">
        <v>22853886</v>
      </c>
      <c r="BV32" s="71"/>
      <c r="BW32" s="102">
        <v>4072255</v>
      </c>
      <c r="BX32" s="102">
        <v>2721437</v>
      </c>
      <c r="BY32" s="102">
        <v>215357</v>
      </c>
      <c r="BZ32" s="102">
        <v>339942</v>
      </c>
      <c r="CA32" s="102">
        <v>7079136</v>
      </c>
      <c r="CB32" s="102">
        <v>1737984</v>
      </c>
      <c r="CC32" s="102">
        <v>130185</v>
      </c>
      <c r="CD32" s="102">
        <v>2510211</v>
      </c>
      <c r="CE32" s="102">
        <v>2630345</v>
      </c>
      <c r="CF32" s="102">
        <v>4544</v>
      </c>
      <c r="CG32" s="102">
        <v>65867</v>
      </c>
      <c r="CH32" s="102">
        <v>1236140</v>
      </c>
      <c r="CI32" s="102">
        <v>1083695</v>
      </c>
      <c r="CJ32" s="83">
        <f t="shared" si="17"/>
        <v>152445</v>
      </c>
      <c r="CK32" s="102">
        <v>2587428</v>
      </c>
      <c r="CL32" s="102">
        <v>1500065</v>
      </c>
      <c r="CM32" s="102">
        <v>298890</v>
      </c>
      <c r="CN32" s="102">
        <v>273668</v>
      </c>
      <c r="CO32" s="102">
        <v>110935</v>
      </c>
      <c r="CP32" s="102">
        <v>2664372</v>
      </c>
      <c r="CQ32" s="102">
        <v>1736313</v>
      </c>
      <c r="CR32" s="102">
        <v>349298</v>
      </c>
      <c r="CS32" s="102">
        <v>279177</v>
      </c>
      <c r="CT32" s="73">
        <f t="shared" si="7"/>
        <v>202157</v>
      </c>
      <c r="CU32" s="102">
        <v>114539</v>
      </c>
      <c r="CV32" s="102">
        <v>87618</v>
      </c>
      <c r="CW32" s="73">
        <f t="shared" si="8"/>
        <v>195862</v>
      </c>
      <c r="CX32" s="102">
        <v>109924</v>
      </c>
      <c r="CY32" s="102">
        <v>85938</v>
      </c>
      <c r="CZ32" s="73">
        <f t="shared" si="9"/>
        <v>0</v>
      </c>
      <c r="DA32" s="102">
        <v>0</v>
      </c>
      <c r="DB32" s="102">
        <v>0</v>
      </c>
      <c r="DC32" s="102">
        <v>1439135</v>
      </c>
      <c r="DD32" s="102">
        <v>514200</v>
      </c>
      <c r="DE32" s="102">
        <v>924935</v>
      </c>
      <c r="DF32" s="102">
        <v>0</v>
      </c>
      <c r="DG32" s="102">
        <v>0</v>
      </c>
      <c r="DH32" s="102">
        <v>0</v>
      </c>
      <c r="DI32" s="102">
        <v>24030</v>
      </c>
      <c r="DJ32" s="102">
        <v>9729</v>
      </c>
      <c r="DK32" s="102">
        <v>157</v>
      </c>
      <c r="DL32" s="102">
        <v>14144</v>
      </c>
      <c r="DM32" s="102">
        <v>0</v>
      </c>
      <c r="DN32" s="102">
        <v>0</v>
      </c>
      <c r="DO32" s="102">
        <v>0</v>
      </c>
      <c r="DP32" s="102">
        <v>0</v>
      </c>
      <c r="DQ32" s="102">
        <v>0</v>
      </c>
      <c r="DR32" s="102">
        <v>0</v>
      </c>
      <c r="DS32" s="102">
        <v>0</v>
      </c>
      <c r="DT32" s="102">
        <v>3506255</v>
      </c>
      <c r="DU32" s="102">
        <v>1160000</v>
      </c>
      <c r="DV32" s="73">
        <f t="shared" si="10"/>
        <v>0</v>
      </c>
      <c r="DW32" s="102">
        <v>0</v>
      </c>
      <c r="DX32" s="102">
        <v>748323</v>
      </c>
      <c r="DY32" s="102">
        <v>0</v>
      </c>
      <c r="DZ32" s="102">
        <v>797252</v>
      </c>
      <c r="EA32" s="74">
        <v>0</v>
      </c>
      <c r="EB32" s="102">
        <v>800679</v>
      </c>
      <c r="EC32" s="102">
        <v>0</v>
      </c>
      <c r="ED32" s="102">
        <v>22719686</v>
      </c>
      <c r="EE32" s="71"/>
      <c r="EF32" s="102">
        <v>134200</v>
      </c>
      <c r="EG32" s="102">
        <v>118660</v>
      </c>
      <c r="EH32" s="102">
        <v>15540</v>
      </c>
      <c r="EI32" s="102">
        <v>175</v>
      </c>
      <c r="EJ32" s="102">
        <v>-135076</v>
      </c>
      <c r="EK32" s="71"/>
      <c r="EL32" s="102">
        <v>65438</v>
      </c>
      <c r="EM32" s="102">
        <v>65744</v>
      </c>
      <c r="EN32" s="102">
        <v>152000</v>
      </c>
      <c r="EO32" s="102">
        <v>15793</v>
      </c>
      <c r="EP32" s="73">
        <f t="shared" si="11"/>
        <v>555799</v>
      </c>
      <c r="EQ32" s="102">
        <v>13592840</v>
      </c>
      <c r="ER32" s="71">
        <v>-1548298</v>
      </c>
      <c r="ES32" s="102">
        <v>3743353</v>
      </c>
      <c r="ET32" s="102">
        <v>2454694</v>
      </c>
      <c r="EU32" s="102">
        <v>2121716</v>
      </c>
      <c r="EV32" s="102">
        <v>1234351</v>
      </c>
      <c r="EW32" s="73">
        <f t="shared" si="12"/>
        <v>151788</v>
      </c>
      <c r="EX32" s="102">
        <v>151788</v>
      </c>
      <c r="EY32" s="102">
        <v>26869</v>
      </c>
      <c r="EZ32" s="102">
        <v>124919</v>
      </c>
      <c r="FA32" s="102">
        <v>0</v>
      </c>
      <c r="FB32" s="102">
        <v>0</v>
      </c>
      <c r="FC32" s="102">
        <v>2035179</v>
      </c>
      <c r="FD32" s="102">
        <v>2569721</v>
      </c>
      <c r="FE32" s="102">
        <v>1736096</v>
      </c>
      <c r="FF32" s="102">
        <v>3026935</v>
      </c>
      <c r="FG32" s="73">
        <f t="shared" si="13"/>
        <v>123895</v>
      </c>
      <c r="FH32" s="102">
        <v>15006938</v>
      </c>
      <c r="FI32" s="379">
        <f t="shared" si="14"/>
        <v>0.1</v>
      </c>
      <c r="FJ32" s="102">
        <v>12745685</v>
      </c>
      <c r="FK32" s="102">
        <v>834695</v>
      </c>
      <c r="FL32" s="102">
        <v>6808128</v>
      </c>
      <c r="FM32" s="102">
        <v>10901642</v>
      </c>
      <c r="FN32" s="428">
        <v>0.61899999999999999</v>
      </c>
      <c r="FO32" s="424">
        <v>102.9</v>
      </c>
      <c r="FP32" s="425">
        <v>27.4</v>
      </c>
      <c r="FQ32" s="424">
        <v>15.2</v>
      </c>
      <c r="FR32" s="424">
        <v>9</v>
      </c>
      <c r="FS32" s="425">
        <v>13.4</v>
      </c>
      <c r="FT32" s="424">
        <v>17.100000000000001</v>
      </c>
      <c r="FU32" s="425">
        <v>20.2</v>
      </c>
      <c r="FV32" s="384">
        <v>2.2999999999999998</v>
      </c>
      <c r="FW32" s="102">
        <v>15903797</v>
      </c>
      <c r="FX32" s="384">
        <f t="shared" si="15"/>
        <v>117.1</v>
      </c>
      <c r="FY32" s="102">
        <v>2029759</v>
      </c>
      <c r="FZ32" s="102">
        <v>1620570</v>
      </c>
      <c r="GA32" s="102">
        <v>63745</v>
      </c>
      <c r="GB32" s="102">
        <v>345444</v>
      </c>
      <c r="GC32" s="104">
        <v>0</v>
      </c>
      <c r="GD32" s="427"/>
      <c r="GE32" s="386"/>
      <c r="GF32" s="424">
        <v>98.4</v>
      </c>
      <c r="GG32" s="424">
        <v>29.6</v>
      </c>
      <c r="GH32" s="424">
        <v>95.4</v>
      </c>
      <c r="GI32" s="102">
        <v>459</v>
      </c>
      <c r="GJ32" s="429" t="s">
        <v>646</v>
      </c>
      <c r="GK32" s="429">
        <v>12.89</v>
      </c>
      <c r="GL32" s="87">
        <v>20</v>
      </c>
      <c r="GM32" s="429" t="s">
        <v>646</v>
      </c>
      <c r="GN32" s="430">
        <v>17.89</v>
      </c>
      <c r="GO32" s="430">
        <v>30</v>
      </c>
      <c r="GP32" s="425">
        <v>2.2999999999999998</v>
      </c>
      <c r="GQ32" s="425">
        <v>25</v>
      </c>
      <c r="GR32" s="425">
        <v>35</v>
      </c>
      <c r="GS32" s="431">
        <v>26.4</v>
      </c>
      <c r="GT32" s="425">
        <v>350</v>
      </c>
      <c r="GU32" s="394"/>
      <c r="GV32" s="100">
        <f t="shared" si="16"/>
        <v>13580</v>
      </c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</row>
    <row r="33" spans="2:230" x14ac:dyDescent="0.15">
      <c r="B33" s="89" t="s">
        <v>55</v>
      </c>
      <c r="C33" s="102">
        <v>76010165</v>
      </c>
      <c r="D33" s="73">
        <f t="shared" si="0"/>
        <v>23857752</v>
      </c>
      <c r="E33" s="102">
        <v>746150</v>
      </c>
      <c r="F33" s="102">
        <v>23111602</v>
      </c>
      <c r="G33" s="73">
        <f t="shared" si="1"/>
        <v>6413780</v>
      </c>
      <c r="H33" s="102">
        <v>1547658</v>
      </c>
      <c r="I33" s="102">
        <v>4866122</v>
      </c>
      <c r="J33" s="102">
        <v>31694815</v>
      </c>
      <c r="K33" s="102">
        <v>15386312</v>
      </c>
      <c r="L33" s="102">
        <v>12706046</v>
      </c>
      <c r="M33" s="102">
        <v>3272814</v>
      </c>
      <c r="N33" s="102">
        <v>4485594</v>
      </c>
      <c r="O33" s="102">
        <v>6806220</v>
      </c>
      <c r="P33" s="102">
        <v>4028313</v>
      </c>
      <c r="Q33" s="102">
        <v>2777907</v>
      </c>
      <c r="R33" s="102">
        <v>750667</v>
      </c>
      <c r="S33" s="74"/>
      <c r="T33" s="73">
        <f t="shared" si="2"/>
        <v>10139583</v>
      </c>
      <c r="U33" s="102">
        <v>86390</v>
      </c>
      <c r="V33" s="102">
        <v>314978</v>
      </c>
      <c r="W33" s="102">
        <v>186074</v>
      </c>
      <c r="X33" s="102">
        <v>9252971</v>
      </c>
      <c r="Y33" s="102">
        <v>0</v>
      </c>
      <c r="Z33" s="102">
        <v>0</v>
      </c>
      <c r="AA33" s="102">
        <v>299170</v>
      </c>
      <c r="AB33" s="102">
        <v>345058</v>
      </c>
      <c r="AC33" s="102">
        <v>19820453</v>
      </c>
      <c r="AD33" s="102">
        <v>19118696</v>
      </c>
      <c r="AE33" s="102">
        <v>701728</v>
      </c>
      <c r="AF33" s="102">
        <v>74636</v>
      </c>
      <c r="AG33" s="102">
        <v>2586787</v>
      </c>
      <c r="AH33" s="73">
        <f t="shared" si="3"/>
        <v>2578795</v>
      </c>
      <c r="AI33" s="102">
        <v>2236526</v>
      </c>
      <c r="AJ33" s="102">
        <v>342269</v>
      </c>
      <c r="AK33" s="102">
        <v>48064900</v>
      </c>
      <c r="AL33" s="73">
        <f t="shared" si="4"/>
        <v>33741977</v>
      </c>
      <c r="AM33" s="102">
        <v>26123275</v>
      </c>
      <c r="AN33" s="102">
        <v>2088048</v>
      </c>
      <c r="AO33" s="74"/>
      <c r="AP33" s="102">
        <v>5530654</v>
      </c>
      <c r="AQ33" s="102">
        <v>681141</v>
      </c>
      <c r="AR33" s="102">
        <v>0</v>
      </c>
      <c r="AS33" s="102">
        <v>0</v>
      </c>
      <c r="AT33" s="102">
        <v>11796728</v>
      </c>
      <c r="AU33" s="102">
        <v>6839987</v>
      </c>
      <c r="AV33" s="102">
        <v>0</v>
      </c>
      <c r="AW33" s="102">
        <v>220821</v>
      </c>
      <c r="AX33" s="102">
        <v>4956741</v>
      </c>
      <c r="AY33" s="102">
        <v>16067</v>
      </c>
      <c r="AZ33" s="102">
        <v>813733</v>
      </c>
      <c r="BA33" s="102">
        <v>624952</v>
      </c>
      <c r="BB33" s="102">
        <v>242792</v>
      </c>
      <c r="BC33" s="102">
        <v>4815491</v>
      </c>
      <c r="BD33" s="102">
        <v>3300000</v>
      </c>
      <c r="BE33" s="102">
        <v>0</v>
      </c>
      <c r="BF33" s="102">
        <v>1293695</v>
      </c>
      <c r="BG33" s="102">
        <v>0</v>
      </c>
      <c r="BH33" s="102">
        <v>2365733</v>
      </c>
      <c r="BI33" s="102">
        <v>1705586</v>
      </c>
      <c r="BJ33" s="102">
        <v>3256948</v>
      </c>
      <c r="BK33" s="102">
        <v>1758595</v>
      </c>
      <c r="BL33" s="102">
        <v>0</v>
      </c>
      <c r="BM33" s="102">
        <v>56368</v>
      </c>
      <c r="BN33" s="102">
        <v>18026800</v>
      </c>
      <c r="BO33" s="73">
        <f t="shared" si="5"/>
        <v>10067900</v>
      </c>
      <c r="BP33" s="73">
        <f t="shared" si="6"/>
        <v>7958900</v>
      </c>
      <c r="BQ33" s="102">
        <v>0</v>
      </c>
      <c r="BR33" s="102">
        <v>0</v>
      </c>
      <c r="BS33" s="102">
        <v>7958900</v>
      </c>
      <c r="BT33" s="102">
        <v>0</v>
      </c>
      <c r="BU33" s="102">
        <v>201689269</v>
      </c>
      <c r="BV33" s="71"/>
      <c r="BW33" s="102">
        <v>26923014</v>
      </c>
      <c r="BX33" s="102">
        <v>17987042</v>
      </c>
      <c r="BY33" s="102">
        <v>1662635</v>
      </c>
      <c r="BZ33" s="102">
        <v>2761918</v>
      </c>
      <c r="CA33" s="102">
        <v>75005784</v>
      </c>
      <c r="CB33" s="102">
        <v>14841407</v>
      </c>
      <c r="CC33" s="102">
        <v>1303211</v>
      </c>
      <c r="CD33" s="102">
        <v>21264441</v>
      </c>
      <c r="CE33" s="102">
        <v>34596482</v>
      </c>
      <c r="CF33" s="102">
        <v>1690962</v>
      </c>
      <c r="CG33" s="102">
        <v>1309281</v>
      </c>
      <c r="CH33" s="102">
        <v>16234454</v>
      </c>
      <c r="CI33" s="102">
        <v>14825082</v>
      </c>
      <c r="CJ33" s="83">
        <f t="shared" si="17"/>
        <v>1409372</v>
      </c>
      <c r="CK33" s="102">
        <v>16505530</v>
      </c>
      <c r="CL33" s="102">
        <v>11426689</v>
      </c>
      <c r="CM33" s="102">
        <v>290149</v>
      </c>
      <c r="CN33" s="102">
        <v>2157197</v>
      </c>
      <c r="CO33" s="102">
        <v>1617510</v>
      </c>
      <c r="CP33" s="102">
        <v>19768468</v>
      </c>
      <c r="CQ33" s="102">
        <v>3216088</v>
      </c>
      <c r="CR33" s="102">
        <v>4726444</v>
      </c>
      <c r="CS33" s="102">
        <v>3734433</v>
      </c>
      <c r="CT33" s="73">
        <f t="shared" si="7"/>
        <v>8735139</v>
      </c>
      <c r="CU33" s="102">
        <v>8064548</v>
      </c>
      <c r="CV33" s="102">
        <v>670591</v>
      </c>
      <c r="CW33" s="73">
        <f t="shared" si="8"/>
        <v>471200</v>
      </c>
      <c r="CX33" s="102">
        <v>327453</v>
      </c>
      <c r="CY33" s="102">
        <v>143747</v>
      </c>
      <c r="CZ33" s="73">
        <f t="shared" si="9"/>
        <v>8153868</v>
      </c>
      <c r="DA33" s="102">
        <v>7633900</v>
      </c>
      <c r="DB33" s="102">
        <v>519968</v>
      </c>
      <c r="DC33" s="102">
        <v>17189326</v>
      </c>
      <c r="DD33" s="102">
        <v>4004559</v>
      </c>
      <c r="DE33" s="102">
        <v>13017234</v>
      </c>
      <c r="DF33" s="102">
        <v>146411</v>
      </c>
      <c r="DG33" s="102">
        <v>21122</v>
      </c>
      <c r="DH33" s="102">
        <v>0</v>
      </c>
      <c r="DI33" s="102">
        <v>2619963</v>
      </c>
      <c r="DJ33" s="102">
        <v>1809300</v>
      </c>
      <c r="DK33" s="102">
        <v>617000</v>
      </c>
      <c r="DL33" s="102">
        <v>193663</v>
      </c>
      <c r="DM33" s="102">
        <v>2029206</v>
      </c>
      <c r="DN33" s="102">
        <v>1885306</v>
      </c>
      <c r="DO33" s="102">
        <v>0</v>
      </c>
      <c r="DP33" s="102">
        <v>450000</v>
      </c>
      <c r="DQ33" s="102">
        <v>3856937</v>
      </c>
      <c r="DR33" s="102">
        <v>0</v>
      </c>
      <c r="DS33" s="102">
        <v>0</v>
      </c>
      <c r="DT33" s="102">
        <v>18273506</v>
      </c>
      <c r="DU33" s="102">
        <v>0</v>
      </c>
      <c r="DV33" s="73">
        <f t="shared" si="10"/>
        <v>0</v>
      </c>
      <c r="DW33" s="102">
        <v>0</v>
      </c>
      <c r="DX33" s="102">
        <v>5621545</v>
      </c>
      <c r="DY33" s="102">
        <v>0</v>
      </c>
      <c r="DZ33" s="102">
        <v>6671046</v>
      </c>
      <c r="EA33" s="74">
        <v>0</v>
      </c>
      <c r="EB33" s="102">
        <v>5968790</v>
      </c>
      <c r="EC33" s="102">
        <v>0</v>
      </c>
      <c r="ED33" s="102">
        <v>200023698</v>
      </c>
      <c r="EE33" s="71"/>
      <c r="EF33" s="102">
        <v>1665571</v>
      </c>
      <c r="EG33" s="102">
        <v>74374</v>
      </c>
      <c r="EH33" s="102">
        <v>1591197</v>
      </c>
      <c r="EI33" s="102">
        <v>-114389</v>
      </c>
      <c r="EJ33" s="102">
        <v>-1605045</v>
      </c>
      <c r="EK33" s="71"/>
      <c r="EL33" s="102">
        <v>502784</v>
      </c>
      <c r="EM33" s="102">
        <v>493922</v>
      </c>
      <c r="EN33" s="102">
        <v>3302039</v>
      </c>
      <c r="EO33" s="102">
        <v>685535</v>
      </c>
      <c r="EP33" s="73">
        <f t="shared" si="11"/>
        <v>3637915</v>
      </c>
      <c r="EQ33" s="102">
        <v>107140562</v>
      </c>
      <c r="ER33" s="71">
        <v>-15509753</v>
      </c>
      <c r="ES33" s="102">
        <v>25337532</v>
      </c>
      <c r="ET33" s="102">
        <v>16602102</v>
      </c>
      <c r="EU33" s="102">
        <v>20900132</v>
      </c>
      <c r="EV33" s="102">
        <v>16234454</v>
      </c>
      <c r="EW33" s="73">
        <f t="shared" si="12"/>
        <v>4036179</v>
      </c>
      <c r="EX33" s="102">
        <v>4036179</v>
      </c>
      <c r="EY33" s="102">
        <v>221441</v>
      </c>
      <c r="EZ33" s="102">
        <v>3807227</v>
      </c>
      <c r="FA33" s="102">
        <v>0</v>
      </c>
      <c r="FB33" s="102">
        <v>0</v>
      </c>
      <c r="FC33" s="102">
        <v>13767653</v>
      </c>
      <c r="FD33" s="102">
        <v>18847902</v>
      </c>
      <c r="FE33" s="102">
        <v>3216088</v>
      </c>
      <c r="FF33" s="102">
        <v>14277883</v>
      </c>
      <c r="FG33" s="73">
        <f t="shared" si="13"/>
        <v>7583009</v>
      </c>
      <c r="FH33" s="102">
        <v>120984744</v>
      </c>
      <c r="FI33" s="379">
        <f t="shared" si="14"/>
        <v>1.5</v>
      </c>
      <c r="FJ33" s="102">
        <v>98475233</v>
      </c>
      <c r="FK33" s="102">
        <v>7958947</v>
      </c>
      <c r="FL33" s="102">
        <v>61714941</v>
      </c>
      <c r="FM33" s="102">
        <v>80871168</v>
      </c>
      <c r="FN33" s="428">
        <v>0.747</v>
      </c>
      <c r="FO33" s="424">
        <v>95.1</v>
      </c>
      <c r="FP33" s="425">
        <v>23.3</v>
      </c>
      <c r="FQ33" s="424">
        <v>19.3</v>
      </c>
      <c r="FR33" s="424">
        <v>15</v>
      </c>
      <c r="FS33" s="425">
        <v>11.2</v>
      </c>
      <c r="FT33" s="424">
        <v>14</v>
      </c>
      <c r="FU33" s="425">
        <v>11</v>
      </c>
      <c r="FV33" s="384">
        <v>4.7</v>
      </c>
      <c r="FW33" s="102">
        <v>189687488</v>
      </c>
      <c r="FX33" s="384">
        <f t="shared" si="15"/>
        <v>178.2</v>
      </c>
      <c r="FY33" s="102">
        <v>22074539</v>
      </c>
      <c r="FZ33" s="102">
        <v>15618868</v>
      </c>
      <c r="GA33" s="102">
        <v>4009700</v>
      </c>
      <c r="GB33" s="102">
        <v>2445971</v>
      </c>
      <c r="GC33" s="104">
        <v>0</v>
      </c>
      <c r="GD33" s="427"/>
      <c r="GE33" s="386"/>
      <c r="GF33" s="424">
        <v>99.3</v>
      </c>
      <c r="GG33" s="424">
        <v>46.3</v>
      </c>
      <c r="GH33" s="424">
        <v>98.1</v>
      </c>
      <c r="GI33" s="102">
        <v>2680</v>
      </c>
      <c r="GJ33" s="429" t="s">
        <v>646</v>
      </c>
      <c r="GK33" s="429">
        <v>11.25</v>
      </c>
      <c r="GL33" s="87">
        <v>20</v>
      </c>
      <c r="GM33" s="429" t="s">
        <v>646</v>
      </c>
      <c r="GN33" s="430">
        <v>16.25</v>
      </c>
      <c r="GO33" s="430">
        <v>30</v>
      </c>
      <c r="GP33" s="425">
        <v>4.7</v>
      </c>
      <c r="GQ33" s="425">
        <v>25</v>
      </c>
      <c r="GR33" s="425">
        <v>35</v>
      </c>
      <c r="GS33" s="431">
        <v>8.5</v>
      </c>
      <c r="GT33" s="425">
        <v>350</v>
      </c>
      <c r="GU33" s="394"/>
      <c r="GV33" s="100">
        <f t="shared" si="16"/>
        <v>106434</v>
      </c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</row>
    <row r="34" spans="2:230" x14ac:dyDescent="0.15">
      <c r="B34" s="89" t="s">
        <v>57</v>
      </c>
      <c r="C34" s="102">
        <v>8873370</v>
      </c>
      <c r="D34" s="73">
        <f t="shared" si="0"/>
        <v>2356783</v>
      </c>
      <c r="E34" s="102">
        <v>88813</v>
      </c>
      <c r="F34" s="102">
        <v>2267970</v>
      </c>
      <c r="G34" s="73">
        <f t="shared" si="1"/>
        <v>441765</v>
      </c>
      <c r="H34" s="102">
        <v>179676</v>
      </c>
      <c r="I34" s="102">
        <v>262089</v>
      </c>
      <c r="J34" s="102">
        <v>4785281</v>
      </c>
      <c r="K34" s="102">
        <v>1923556</v>
      </c>
      <c r="L34" s="102">
        <v>1670482</v>
      </c>
      <c r="M34" s="102">
        <v>1059065</v>
      </c>
      <c r="N34" s="102">
        <v>438903</v>
      </c>
      <c r="O34" s="102">
        <v>708259</v>
      </c>
      <c r="P34" s="102">
        <v>375392</v>
      </c>
      <c r="Q34" s="102">
        <v>332867</v>
      </c>
      <c r="R34" s="102">
        <v>158875</v>
      </c>
      <c r="S34" s="74"/>
      <c r="T34" s="73">
        <f t="shared" si="2"/>
        <v>1251308</v>
      </c>
      <c r="U34" s="102">
        <v>8641</v>
      </c>
      <c r="V34" s="102">
        <v>31501</v>
      </c>
      <c r="W34" s="102">
        <v>18535</v>
      </c>
      <c r="X34" s="102">
        <v>1096174</v>
      </c>
      <c r="Y34" s="102">
        <v>48274</v>
      </c>
      <c r="Z34" s="102">
        <v>0</v>
      </c>
      <c r="AA34" s="102">
        <v>48183</v>
      </c>
      <c r="AB34" s="102">
        <v>34603</v>
      </c>
      <c r="AC34" s="102">
        <v>2830051</v>
      </c>
      <c r="AD34" s="102">
        <v>2426410</v>
      </c>
      <c r="AE34" s="102">
        <v>403641</v>
      </c>
      <c r="AF34" s="102">
        <v>10618</v>
      </c>
      <c r="AG34" s="102">
        <v>221123</v>
      </c>
      <c r="AH34" s="73">
        <f t="shared" si="3"/>
        <v>357255</v>
      </c>
      <c r="AI34" s="102">
        <v>221413</v>
      </c>
      <c r="AJ34" s="102">
        <v>135842</v>
      </c>
      <c r="AK34" s="102">
        <v>4264749</v>
      </c>
      <c r="AL34" s="73">
        <f t="shared" si="4"/>
        <v>2176041</v>
      </c>
      <c r="AM34" s="102">
        <v>1386121</v>
      </c>
      <c r="AN34" s="102">
        <v>169439</v>
      </c>
      <c r="AO34" s="74"/>
      <c r="AP34" s="102">
        <v>620481</v>
      </c>
      <c r="AQ34" s="102">
        <v>22966</v>
      </c>
      <c r="AR34" s="102">
        <v>60496</v>
      </c>
      <c r="AS34" s="102">
        <v>0</v>
      </c>
      <c r="AT34" s="102">
        <v>1741304</v>
      </c>
      <c r="AU34" s="102">
        <v>933795</v>
      </c>
      <c r="AV34" s="102">
        <v>84797</v>
      </c>
      <c r="AW34" s="102">
        <v>0</v>
      </c>
      <c r="AX34" s="102">
        <v>807509</v>
      </c>
      <c r="AY34" s="102">
        <v>11810</v>
      </c>
      <c r="AZ34" s="102">
        <v>17708</v>
      </c>
      <c r="BA34" s="102">
        <v>6797</v>
      </c>
      <c r="BB34" s="102">
        <v>57369</v>
      </c>
      <c r="BC34" s="102">
        <v>402941</v>
      </c>
      <c r="BD34" s="102">
        <v>0</v>
      </c>
      <c r="BE34" s="102">
        <v>68000</v>
      </c>
      <c r="BF34" s="102">
        <v>187760</v>
      </c>
      <c r="BG34" s="102">
        <v>0</v>
      </c>
      <c r="BH34" s="102">
        <v>247136</v>
      </c>
      <c r="BI34" s="102">
        <v>236227</v>
      </c>
      <c r="BJ34" s="102">
        <v>323172</v>
      </c>
      <c r="BK34" s="102">
        <v>50</v>
      </c>
      <c r="BL34" s="102">
        <v>0</v>
      </c>
      <c r="BM34" s="102">
        <v>0</v>
      </c>
      <c r="BN34" s="102">
        <v>1284408</v>
      </c>
      <c r="BO34" s="73">
        <f t="shared" si="5"/>
        <v>384500</v>
      </c>
      <c r="BP34" s="73">
        <f t="shared" si="6"/>
        <v>899908</v>
      </c>
      <c r="BQ34" s="102">
        <v>0</v>
      </c>
      <c r="BR34" s="102">
        <v>0</v>
      </c>
      <c r="BS34" s="102">
        <v>899908</v>
      </c>
      <c r="BT34" s="102">
        <v>0</v>
      </c>
      <c r="BU34" s="102">
        <v>22075990</v>
      </c>
      <c r="BV34" s="71"/>
      <c r="BW34" s="102">
        <v>3921324</v>
      </c>
      <c r="BX34" s="102">
        <v>2690397</v>
      </c>
      <c r="BY34" s="102">
        <v>410212</v>
      </c>
      <c r="BZ34" s="102">
        <v>60320</v>
      </c>
      <c r="CA34" s="102">
        <v>6329380</v>
      </c>
      <c r="CB34" s="102">
        <v>1598553</v>
      </c>
      <c r="CC34" s="102">
        <v>133322</v>
      </c>
      <c r="CD34" s="102">
        <v>2701053</v>
      </c>
      <c r="CE34" s="102">
        <v>1788214</v>
      </c>
      <c r="CF34" s="102">
        <v>636</v>
      </c>
      <c r="CG34" s="102">
        <v>107602</v>
      </c>
      <c r="CH34" s="102">
        <v>2904023</v>
      </c>
      <c r="CI34" s="102">
        <v>2520664</v>
      </c>
      <c r="CJ34" s="83">
        <f t="shared" si="17"/>
        <v>383359</v>
      </c>
      <c r="CK34" s="102">
        <v>2492739</v>
      </c>
      <c r="CL34" s="102">
        <v>1574812</v>
      </c>
      <c r="CM34" s="102">
        <v>176870</v>
      </c>
      <c r="CN34" s="102">
        <v>418652</v>
      </c>
      <c r="CO34" s="102">
        <v>125316</v>
      </c>
      <c r="CP34" s="102">
        <v>2046863</v>
      </c>
      <c r="CQ34" s="102">
        <v>1309416</v>
      </c>
      <c r="CR34" s="102">
        <v>366678</v>
      </c>
      <c r="CS34" s="102">
        <v>286849</v>
      </c>
      <c r="CT34" s="73">
        <f t="shared" si="7"/>
        <v>5321</v>
      </c>
      <c r="CU34" s="102">
        <v>1401</v>
      </c>
      <c r="CV34" s="102">
        <v>3920</v>
      </c>
      <c r="CW34" s="73">
        <f t="shared" si="8"/>
        <v>0</v>
      </c>
      <c r="CX34" s="102">
        <v>0</v>
      </c>
      <c r="CY34" s="102">
        <v>0</v>
      </c>
      <c r="CZ34" s="73">
        <f t="shared" si="9"/>
        <v>0</v>
      </c>
      <c r="DA34" s="102">
        <v>0</v>
      </c>
      <c r="DB34" s="102">
        <v>0</v>
      </c>
      <c r="DC34" s="102">
        <v>1003177</v>
      </c>
      <c r="DD34" s="102">
        <v>256478</v>
      </c>
      <c r="DE34" s="102">
        <v>728280</v>
      </c>
      <c r="DF34" s="102">
        <v>18419</v>
      </c>
      <c r="DG34" s="102">
        <v>0</v>
      </c>
      <c r="DH34" s="102">
        <v>90725</v>
      </c>
      <c r="DI34" s="102">
        <v>120194</v>
      </c>
      <c r="DJ34" s="102">
        <v>57534</v>
      </c>
      <c r="DK34" s="102">
        <v>75</v>
      </c>
      <c r="DL34" s="102">
        <v>62585</v>
      </c>
      <c r="DM34" s="102">
        <v>2263</v>
      </c>
      <c r="DN34" s="102">
        <v>2263</v>
      </c>
      <c r="DO34" s="102">
        <v>2263</v>
      </c>
      <c r="DP34" s="102">
        <v>0</v>
      </c>
      <c r="DQ34" s="102">
        <v>0</v>
      </c>
      <c r="DR34" s="102">
        <v>0</v>
      </c>
      <c r="DS34" s="102">
        <v>0</v>
      </c>
      <c r="DT34" s="102">
        <v>3022912</v>
      </c>
      <c r="DU34" s="102">
        <v>665204</v>
      </c>
      <c r="DV34" s="73">
        <f t="shared" si="10"/>
        <v>0</v>
      </c>
      <c r="DW34" s="102">
        <v>0</v>
      </c>
      <c r="DX34" s="102">
        <v>816177</v>
      </c>
      <c r="DY34" s="102">
        <v>0</v>
      </c>
      <c r="DZ34" s="102">
        <v>816942</v>
      </c>
      <c r="EA34" s="74">
        <v>0</v>
      </c>
      <c r="EB34" s="102">
        <v>724589</v>
      </c>
      <c r="EC34" s="102">
        <v>0</v>
      </c>
      <c r="ED34" s="102">
        <v>22058916</v>
      </c>
      <c r="EE34" s="71"/>
      <c r="EF34" s="102">
        <v>17074</v>
      </c>
      <c r="EG34" s="102">
        <v>13704</v>
      </c>
      <c r="EH34" s="102">
        <v>3370</v>
      </c>
      <c r="EI34" s="102">
        <v>-232857</v>
      </c>
      <c r="EJ34" s="102">
        <v>-112720</v>
      </c>
      <c r="EK34" s="71"/>
      <c r="EL34" s="102">
        <v>62438</v>
      </c>
      <c r="EM34" s="102">
        <v>63311</v>
      </c>
      <c r="EN34" s="102">
        <v>68000</v>
      </c>
      <c r="EO34" s="102">
        <v>14904</v>
      </c>
      <c r="EP34" s="73">
        <f t="shared" si="11"/>
        <v>440344</v>
      </c>
      <c r="EQ34" s="102">
        <v>13158825</v>
      </c>
      <c r="ER34" s="71">
        <v>-1412538</v>
      </c>
      <c r="ES34" s="102">
        <v>3511843</v>
      </c>
      <c r="ET34" s="102">
        <v>2301734</v>
      </c>
      <c r="EU34" s="102">
        <v>1625605</v>
      </c>
      <c r="EV34" s="102">
        <v>2904023</v>
      </c>
      <c r="EW34" s="73">
        <f t="shared" si="12"/>
        <v>66834</v>
      </c>
      <c r="EX34" s="102">
        <v>66705</v>
      </c>
      <c r="EY34" s="102">
        <v>1521</v>
      </c>
      <c r="EZ34" s="102">
        <v>65060</v>
      </c>
      <c r="FA34" s="102">
        <v>129</v>
      </c>
      <c r="FB34" s="102">
        <v>0</v>
      </c>
      <c r="FC34" s="102">
        <v>1934402</v>
      </c>
      <c r="FD34" s="102">
        <v>1926502</v>
      </c>
      <c r="FE34" s="102">
        <v>1307072</v>
      </c>
      <c r="FF34" s="102">
        <v>2419109</v>
      </c>
      <c r="FG34" s="73">
        <f t="shared" si="13"/>
        <v>165971</v>
      </c>
      <c r="FH34" s="102">
        <v>14554289</v>
      </c>
      <c r="FI34" s="379">
        <f t="shared" si="14"/>
        <v>0</v>
      </c>
      <c r="FJ34" s="102">
        <v>12080120</v>
      </c>
      <c r="FK34" s="102">
        <v>899908</v>
      </c>
      <c r="FL34" s="102">
        <v>7544019</v>
      </c>
      <c r="FM34" s="102">
        <v>9978638</v>
      </c>
      <c r="FN34" s="428">
        <v>0.755</v>
      </c>
      <c r="FO34" s="424">
        <v>101.6</v>
      </c>
      <c r="FP34" s="425">
        <v>26.2</v>
      </c>
      <c r="FQ34" s="424">
        <v>12.5</v>
      </c>
      <c r="FR34" s="424">
        <v>21.8</v>
      </c>
      <c r="FS34" s="425">
        <v>12</v>
      </c>
      <c r="FT34" s="424">
        <v>11.5</v>
      </c>
      <c r="FU34" s="425">
        <v>16.8</v>
      </c>
      <c r="FV34" s="384">
        <v>12.2</v>
      </c>
      <c r="FW34" s="102">
        <v>28300114</v>
      </c>
      <c r="FX34" s="384">
        <f t="shared" si="15"/>
        <v>218</v>
      </c>
      <c r="FY34" s="102">
        <v>3535337</v>
      </c>
      <c r="FZ34" s="102">
        <v>554403</v>
      </c>
      <c r="GA34" s="102">
        <v>1364095</v>
      </c>
      <c r="GB34" s="102">
        <v>1616839</v>
      </c>
      <c r="GC34" s="104">
        <v>0</v>
      </c>
      <c r="GD34" s="427"/>
      <c r="GE34" s="386"/>
      <c r="GF34" s="424">
        <v>98.5</v>
      </c>
      <c r="GG34" s="424">
        <v>20.8</v>
      </c>
      <c r="GH34" s="424">
        <v>94.9</v>
      </c>
      <c r="GI34" s="102">
        <v>371</v>
      </c>
      <c r="GJ34" s="429" t="s">
        <v>646</v>
      </c>
      <c r="GK34" s="429">
        <v>12.95</v>
      </c>
      <c r="GL34" s="87">
        <v>20</v>
      </c>
      <c r="GM34" s="429" t="s">
        <v>646</v>
      </c>
      <c r="GN34" s="430">
        <v>17.95</v>
      </c>
      <c r="GO34" s="430">
        <v>30</v>
      </c>
      <c r="GP34" s="425">
        <v>12.2</v>
      </c>
      <c r="GQ34" s="425">
        <v>25</v>
      </c>
      <c r="GR34" s="425">
        <v>35</v>
      </c>
      <c r="GS34" s="431">
        <v>107.2</v>
      </c>
      <c r="GT34" s="425">
        <v>350</v>
      </c>
      <c r="GU34" s="394"/>
      <c r="GV34" s="100">
        <f t="shared" si="16"/>
        <v>12980</v>
      </c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</row>
    <row r="35" spans="2:230" x14ac:dyDescent="0.15">
      <c r="B35" s="89" t="s">
        <v>59</v>
      </c>
      <c r="C35" s="102">
        <v>6807903</v>
      </c>
      <c r="D35" s="73">
        <f t="shared" si="0"/>
        <v>2789140</v>
      </c>
      <c r="E35" s="102">
        <v>85771</v>
      </c>
      <c r="F35" s="102">
        <v>2703369</v>
      </c>
      <c r="G35" s="73">
        <f t="shared" si="1"/>
        <v>311906</v>
      </c>
      <c r="H35" s="102">
        <v>131533</v>
      </c>
      <c r="I35" s="102">
        <v>180373</v>
      </c>
      <c r="J35" s="102">
        <v>2732719</v>
      </c>
      <c r="K35" s="102">
        <v>1145826</v>
      </c>
      <c r="L35" s="102">
        <v>1273262</v>
      </c>
      <c r="M35" s="102">
        <v>299857</v>
      </c>
      <c r="N35" s="102">
        <v>350143</v>
      </c>
      <c r="O35" s="102">
        <v>545131</v>
      </c>
      <c r="P35" s="102">
        <v>302431</v>
      </c>
      <c r="Q35" s="102">
        <v>242700</v>
      </c>
      <c r="R35" s="102">
        <v>96228</v>
      </c>
      <c r="S35" s="74"/>
      <c r="T35" s="73">
        <f t="shared" si="2"/>
        <v>1037052</v>
      </c>
      <c r="U35" s="102">
        <v>10190</v>
      </c>
      <c r="V35" s="102">
        <v>37152</v>
      </c>
      <c r="W35" s="102">
        <v>21907</v>
      </c>
      <c r="X35" s="102">
        <v>902470</v>
      </c>
      <c r="Y35" s="102">
        <v>26984</v>
      </c>
      <c r="Z35" s="102">
        <v>0</v>
      </c>
      <c r="AA35" s="102">
        <v>38349</v>
      </c>
      <c r="AB35" s="102">
        <v>36046</v>
      </c>
      <c r="AC35" s="102">
        <v>3713838</v>
      </c>
      <c r="AD35" s="102">
        <v>3355368</v>
      </c>
      <c r="AE35" s="102">
        <v>358470</v>
      </c>
      <c r="AF35" s="102">
        <v>7237</v>
      </c>
      <c r="AG35" s="102">
        <v>249699</v>
      </c>
      <c r="AH35" s="73">
        <f t="shared" si="3"/>
        <v>252709</v>
      </c>
      <c r="AI35" s="102">
        <v>184932</v>
      </c>
      <c r="AJ35" s="102">
        <v>67777</v>
      </c>
      <c r="AK35" s="102">
        <v>3665610</v>
      </c>
      <c r="AL35" s="73">
        <f t="shared" si="4"/>
        <v>2040155</v>
      </c>
      <c r="AM35" s="102">
        <v>1158495</v>
      </c>
      <c r="AN35" s="102">
        <v>356795</v>
      </c>
      <c r="AO35" s="74"/>
      <c r="AP35" s="102">
        <v>524865</v>
      </c>
      <c r="AQ35" s="102">
        <v>103611</v>
      </c>
      <c r="AR35" s="102">
        <v>0</v>
      </c>
      <c r="AS35" s="102">
        <v>0</v>
      </c>
      <c r="AT35" s="102">
        <v>1513651</v>
      </c>
      <c r="AU35" s="102">
        <v>921483</v>
      </c>
      <c r="AV35" s="102">
        <v>178397</v>
      </c>
      <c r="AW35" s="102">
        <v>5060</v>
      </c>
      <c r="AX35" s="102">
        <v>592168</v>
      </c>
      <c r="AY35" s="102">
        <v>335</v>
      </c>
      <c r="AZ35" s="102">
        <v>26787</v>
      </c>
      <c r="BA35" s="102">
        <v>1336</v>
      </c>
      <c r="BB35" s="102">
        <v>1827</v>
      </c>
      <c r="BC35" s="102">
        <v>53110</v>
      </c>
      <c r="BD35" s="102">
        <v>0</v>
      </c>
      <c r="BE35" s="102">
        <v>0</v>
      </c>
      <c r="BF35" s="102">
        <v>53110</v>
      </c>
      <c r="BG35" s="102">
        <v>0</v>
      </c>
      <c r="BH35" s="102">
        <v>510996</v>
      </c>
      <c r="BI35" s="102">
        <v>509587</v>
      </c>
      <c r="BJ35" s="102">
        <v>320744</v>
      </c>
      <c r="BK35" s="102">
        <v>0</v>
      </c>
      <c r="BL35" s="102">
        <v>0</v>
      </c>
      <c r="BM35" s="102">
        <v>0</v>
      </c>
      <c r="BN35" s="102">
        <v>1032900</v>
      </c>
      <c r="BO35" s="73">
        <f t="shared" si="5"/>
        <v>378700</v>
      </c>
      <c r="BP35" s="73">
        <f t="shared" si="6"/>
        <v>654200</v>
      </c>
      <c r="BQ35" s="102">
        <v>0</v>
      </c>
      <c r="BR35" s="102">
        <v>0</v>
      </c>
      <c r="BS35" s="102">
        <v>654200</v>
      </c>
      <c r="BT35" s="102">
        <v>0</v>
      </c>
      <c r="BU35" s="102">
        <v>19326337</v>
      </c>
      <c r="BV35" s="71"/>
      <c r="BW35" s="102">
        <v>2733364</v>
      </c>
      <c r="BX35" s="102">
        <v>1849106</v>
      </c>
      <c r="BY35" s="102">
        <v>96538</v>
      </c>
      <c r="BZ35" s="102">
        <v>236053</v>
      </c>
      <c r="CA35" s="102">
        <v>5806615</v>
      </c>
      <c r="CB35" s="102">
        <v>1390292</v>
      </c>
      <c r="CC35" s="102">
        <v>99248</v>
      </c>
      <c r="CD35" s="102">
        <v>2729098</v>
      </c>
      <c r="CE35" s="102">
        <v>1479750</v>
      </c>
      <c r="CF35" s="102">
        <v>1192</v>
      </c>
      <c r="CG35" s="102">
        <v>107035</v>
      </c>
      <c r="CH35" s="102">
        <v>1853821</v>
      </c>
      <c r="CI35" s="102">
        <v>1660270</v>
      </c>
      <c r="CJ35" s="83">
        <f t="shared" si="17"/>
        <v>193551</v>
      </c>
      <c r="CK35" s="102">
        <v>2198162</v>
      </c>
      <c r="CL35" s="102">
        <v>1562906</v>
      </c>
      <c r="CM35" s="102">
        <v>76486</v>
      </c>
      <c r="CN35" s="102">
        <v>233876</v>
      </c>
      <c r="CO35" s="102">
        <v>49399</v>
      </c>
      <c r="CP35" s="102">
        <v>2523462</v>
      </c>
      <c r="CQ35" s="102">
        <v>1015962</v>
      </c>
      <c r="CR35" s="102">
        <v>355296</v>
      </c>
      <c r="CS35" s="102">
        <v>196332</v>
      </c>
      <c r="CT35" s="73">
        <f t="shared" si="7"/>
        <v>825289</v>
      </c>
      <c r="CU35" s="102">
        <v>571364</v>
      </c>
      <c r="CV35" s="102">
        <v>253925</v>
      </c>
      <c r="CW35" s="73">
        <f t="shared" si="8"/>
        <v>0</v>
      </c>
      <c r="CX35" s="102">
        <v>0</v>
      </c>
      <c r="CY35" s="102">
        <v>0</v>
      </c>
      <c r="CZ35" s="73">
        <f t="shared" si="9"/>
        <v>778210</v>
      </c>
      <c r="DA35" s="102">
        <v>525800</v>
      </c>
      <c r="DB35" s="102">
        <v>252410</v>
      </c>
      <c r="DC35" s="102">
        <v>993898</v>
      </c>
      <c r="DD35" s="102">
        <v>440561</v>
      </c>
      <c r="DE35" s="102">
        <v>553337</v>
      </c>
      <c r="DF35" s="102">
        <v>0</v>
      </c>
      <c r="DG35" s="102">
        <v>0</v>
      </c>
      <c r="DH35" s="102">
        <v>7146</v>
      </c>
      <c r="DI35" s="102">
        <v>716866</v>
      </c>
      <c r="DJ35" s="102">
        <v>255811</v>
      </c>
      <c r="DK35" s="102">
        <v>42</v>
      </c>
      <c r="DL35" s="102">
        <v>461013</v>
      </c>
      <c r="DM35" s="102">
        <v>120000</v>
      </c>
      <c r="DN35" s="102">
        <v>120000</v>
      </c>
      <c r="DO35" s="102">
        <v>0</v>
      </c>
      <c r="DP35" s="102">
        <v>0</v>
      </c>
      <c r="DQ35" s="102">
        <v>0</v>
      </c>
      <c r="DR35" s="102">
        <v>0</v>
      </c>
      <c r="DS35" s="102">
        <v>0</v>
      </c>
      <c r="DT35" s="102">
        <v>1882070</v>
      </c>
      <c r="DU35" s="102">
        <v>0</v>
      </c>
      <c r="DV35" s="73">
        <f t="shared" si="10"/>
        <v>0</v>
      </c>
      <c r="DW35" s="102">
        <v>0</v>
      </c>
      <c r="DX35" s="102">
        <v>565056</v>
      </c>
      <c r="DY35" s="102">
        <v>0</v>
      </c>
      <c r="DZ35" s="102">
        <v>675592</v>
      </c>
      <c r="EA35" s="74">
        <v>0</v>
      </c>
      <c r="EB35" s="102">
        <v>641422</v>
      </c>
      <c r="EC35" s="102">
        <v>0</v>
      </c>
      <c r="ED35" s="102">
        <v>18884803</v>
      </c>
      <c r="EE35" s="71"/>
      <c r="EF35" s="102">
        <v>441534</v>
      </c>
      <c r="EG35" s="102">
        <v>1241</v>
      </c>
      <c r="EH35" s="102">
        <v>440293</v>
      </c>
      <c r="EI35" s="102">
        <v>-69294</v>
      </c>
      <c r="EJ35" s="102">
        <v>265882</v>
      </c>
      <c r="EK35" s="71"/>
      <c r="EL35" s="102">
        <v>56075</v>
      </c>
      <c r="EM35" s="102">
        <v>56021</v>
      </c>
      <c r="EN35" s="102">
        <v>50000</v>
      </c>
      <c r="EO35" s="102">
        <v>25022</v>
      </c>
      <c r="EP35" s="73">
        <f t="shared" si="11"/>
        <v>886591</v>
      </c>
      <c r="EQ35" s="102">
        <v>11698304</v>
      </c>
      <c r="ER35" s="71">
        <v>-1608576</v>
      </c>
      <c r="ES35" s="102">
        <v>2390459</v>
      </c>
      <c r="ET35" s="102">
        <v>1609264</v>
      </c>
      <c r="EU35" s="102">
        <v>1605168</v>
      </c>
      <c r="EV35" s="102">
        <v>1853821</v>
      </c>
      <c r="EW35" s="73">
        <f t="shared" si="12"/>
        <v>399665</v>
      </c>
      <c r="EX35" s="102">
        <v>392519</v>
      </c>
      <c r="EY35" s="102">
        <v>17535</v>
      </c>
      <c r="EZ35" s="102">
        <v>374984</v>
      </c>
      <c r="FA35" s="102">
        <v>7146</v>
      </c>
      <c r="FB35" s="102">
        <v>0</v>
      </c>
      <c r="FC35" s="102">
        <v>1855726</v>
      </c>
      <c r="FD35" s="102">
        <v>2393816</v>
      </c>
      <c r="FE35" s="102">
        <v>1015570</v>
      </c>
      <c r="FF35" s="102">
        <v>1483231</v>
      </c>
      <c r="FG35" s="73">
        <f t="shared" si="13"/>
        <v>883460</v>
      </c>
      <c r="FH35" s="102">
        <v>12865346</v>
      </c>
      <c r="FI35" s="379">
        <f t="shared" si="14"/>
        <v>3.9</v>
      </c>
      <c r="FJ35" s="102">
        <v>10681591</v>
      </c>
      <c r="FK35" s="102">
        <v>654346</v>
      </c>
      <c r="FL35" s="102">
        <v>5750192</v>
      </c>
      <c r="FM35" s="102">
        <v>9113057</v>
      </c>
      <c r="FN35" s="428">
        <v>0.61099999999999999</v>
      </c>
      <c r="FO35" s="424">
        <v>93.5</v>
      </c>
      <c r="FP35" s="425">
        <v>20.3</v>
      </c>
      <c r="FQ35" s="424">
        <v>13.8</v>
      </c>
      <c r="FR35" s="424">
        <v>15.4</v>
      </c>
      <c r="FS35" s="425">
        <v>14.1</v>
      </c>
      <c r="FT35" s="424">
        <v>18.3</v>
      </c>
      <c r="FU35" s="425">
        <v>11.3</v>
      </c>
      <c r="FV35" s="384">
        <v>6.8</v>
      </c>
      <c r="FW35" s="102">
        <v>16029392</v>
      </c>
      <c r="FX35" s="384">
        <f t="shared" si="15"/>
        <v>141.4</v>
      </c>
      <c r="FY35" s="102">
        <v>4415334</v>
      </c>
      <c r="FZ35" s="102">
        <v>1872269</v>
      </c>
      <c r="GA35" s="102">
        <v>51254</v>
      </c>
      <c r="GB35" s="102">
        <v>2491811</v>
      </c>
      <c r="GC35" s="104">
        <v>0</v>
      </c>
      <c r="GD35" s="427"/>
      <c r="GE35" s="384"/>
      <c r="GF35" s="424">
        <v>99</v>
      </c>
      <c r="GG35" s="424">
        <v>33.799999999999997</v>
      </c>
      <c r="GH35" s="424">
        <v>96.5</v>
      </c>
      <c r="GI35" s="102">
        <v>291</v>
      </c>
      <c r="GJ35" s="429" t="s">
        <v>646</v>
      </c>
      <c r="GK35" s="429">
        <v>13.14</v>
      </c>
      <c r="GL35" s="87">
        <v>20</v>
      </c>
      <c r="GM35" s="429" t="s">
        <v>646</v>
      </c>
      <c r="GN35" s="430">
        <v>18.14</v>
      </c>
      <c r="GO35" s="430">
        <v>30</v>
      </c>
      <c r="GP35" s="425">
        <v>6.8</v>
      </c>
      <c r="GQ35" s="425">
        <v>25</v>
      </c>
      <c r="GR35" s="425">
        <v>35</v>
      </c>
      <c r="GS35" s="431" t="s">
        <v>646</v>
      </c>
      <c r="GT35" s="425">
        <v>350</v>
      </c>
      <c r="GU35" s="394"/>
      <c r="GV35" s="100">
        <f t="shared" si="16"/>
        <v>11336</v>
      </c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</row>
    <row r="36" spans="2:230" x14ac:dyDescent="0.15">
      <c r="B36" s="89" t="s">
        <v>61</v>
      </c>
      <c r="C36" s="102">
        <v>9373450</v>
      </c>
      <c r="D36" s="73">
        <f t="shared" si="0"/>
        <v>4336100</v>
      </c>
      <c r="E36" s="102">
        <v>124261</v>
      </c>
      <c r="F36" s="102">
        <v>4211839</v>
      </c>
      <c r="G36" s="73">
        <f t="shared" si="1"/>
        <v>291845</v>
      </c>
      <c r="H36" s="102">
        <v>122732</v>
      </c>
      <c r="I36" s="102">
        <v>169113</v>
      </c>
      <c r="J36" s="102">
        <v>3526308</v>
      </c>
      <c r="K36" s="102">
        <v>1464333</v>
      </c>
      <c r="L36" s="102">
        <v>1553081</v>
      </c>
      <c r="M36" s="102">
        <v>456359</v>
      </c>
      <c r="N36" s="102">
        <v>353571</v>
      </c>
      <c r="O36" s="102">
        <v>755229</v>
      </c>
      <c r="P36" s="102">
        <v>426286</v>
      </c>
      <c r="Q36" s="102">
        <v>328943</v>
      </c>
      <c r="R36" s="102">
        <v>131414</v>
      </c>
      <c r="S36" s="74"/>
      <c r="T36" s="73">
        <f t="shared" si="2"/>
        <v>1455562</v>
      </c>
      <c r="U36" s="102">
        <v>16142</v>
      </c>
      <c r="V36" s="102">
        <v>58841</v>
      </c>
      <c r="W36" s="102">
        <v>34594</v>
      </c>
      <c r="X36" s="102">
        <v>1219652</v>
      </c>
      <c r="Y36" s="102">
        <v>73966</v>
      </c>
      <c r="Z36" s="102">
        <v>0</v>
      </c>
      <c r="AA36" s="102">
        <v>52367</v>
      </c>
      <c r="AB36" s="102">
        <v>63077</v>
      </c>
      <c r="AC36" s="102">
        <v>3355518</v>
      </c>
      <c r="AD36" s="102">
        <v>3167998</v>
      </c>
      <c r="AE36" s="102">
        <v>187520</v>
      </c>
      <c r="AF36" s="102">
        <v>10817</v>
      </c>
      <c r="AG36" s="102">
        <v>275299</v>
      </c>
      <c r="AH36" s="73">
        <f t="shared" si="3"/>
        <v>445633</v>
      </c>
      <c r="AI36" s="102">
        <v>344164</v>
      </c>
      <c r="AJ36" s="102">
        <v>101469</v>
      </c>
      <c r="AK36" s="102">
        <v>3880193</v>
      </c>
      <c r="AL36" s="73">
        <f t="shared" si="4"/>
        <v>2013610</v>
      </c>
      <c r="AM36" s="102">
        <v>1099394</v>
      </c>
      <c r="AN36" s="102">
        <v>363546</v>
      </c>
      <c r="AO36" s="74"/>
      <c r="AP36" s="102">
        <v>550670</v>
      </c>
      <c r="AQ36" s="102">
        <v>82487</v>
      </c>
      <c r="AR36" s="102">
        <v>0</v>
      </c>
      <c r="AS36" s="102">
        <v>0</v>
      </c>
      <c r="AT36" s="102">
        <v>1660896</v>
      </c>
      <c r="AU36" s="102">
        <v>915635</v>
      </c>
      <c r="AV36" s="102">
        <v>179878</v>
      </c>
      <c r="AW36" s="102">
        <v>4863</v>
      </c>
      <c r="AX36" s="102">
        <v>745261</v>
      </c>
      <c r="AY36" s="102">
        <v>4928</v>
      </c>
      <c r="AZ36" s="102">
        <v>379479</v>
      </c>
      <c r="BA36" s="102">
        <v>363924</v>
      </c>
      <c r="BB36" s="102">
        <v>4346</v>
      </c>
      <c r="BC36" s="102">
        <v>51009</v>
      </c>
      <c r="BD36" s="102">
        <v>0</v>
      </c>
      <c r="BE36" s="102">
        <v>0</v>
      </c>
      <c r="BF36" s="102">
        <v>9337</v>
      </c>
      <c r="BG36" s="102">
        <v>0</v>
      </c>
      <c r="BH36" s="102">
        <v>771137</v>
      </c>
      <c r="BI36" s="102">
        <v>357646</v>
      </c>
      <c r="BJ36" s="102">
        <v>308704</v>
      </c>
      <c r="BK36" s="102">
        <v>100000</v>
      </c>
      <c r="BL36" s="102">
        <v>0</v>
      </c>
      <c r="BM36" s="102">
        <v>0</v>
      </c>
      <c r="BN36" s="102">
        <v>1864906</v>
      </c>
      <c r="BO36" s="73">
        <f t="shared" si="5"/>
        <v>922300</v>
      </c>
      <c r="BP36" s="73">
        <f t="shared" si="6"/>
        <v>942606</v>
      </c>
      <c r="BQ36" s="102">
        <v>0</v>
      </c>
      <c r="BR36" s="102">
        <v>0</v>
      </c>
      <c r="BS36" s="102">
        <v>942606</v>
      </c>
      <c r="BT36" s="102">
        <v>0</v>
      </c>
      <c r="BU36" s="102">
        <v>24031440</v>
      </c>
      <c r="BV36" s="71"/>
      <c r="BW36" s="102">
        <v>4873555</v>
      </c>
      <c r="BX36" s="102">
        <v>3059776</v>
      </c>
      <c r="BY36" s="102">
        <v>250909</v>
      </c>
      <c r="BZ36" s="102">
        <v>618361</v>
      </c>
      <c r="CA36" s="102">
        <v>6663532</v>
      </c>
      <c r="CB36" s="102">
        <v>2146049</v>
      </c>
      <c r="CC36" s="102">
        <v>131428</v>
      </c>
      <c r="CD36" s="102">
        <v>2718829</v>
      </c>
      <c r="CE36" s="102">
        <v>1440561</v>
      </c>
      <c r="CF36" s="102">
        <v>5248</v>
      </c>
      <c r="CG36" s="102">
        <v>221187</v>
      </c>
      <c r="CH36" s="102">
        <v>3318862</v>
      </c>
      <c r="CI36" s="102">
        <v>2967311</v>
      </c>
      <c r="CJ36" s="83">
        <f t="shared" si="17"/>
        <v>351551</v>
      </c>
      <c r="CK36" s="102">
        <v>2725330</v>
      </c>
      <c r="CL36" s="102">
        <v>1559241</v>
      </c>
      <c r="CM36" s="102">
        <v>197525</v>
      </c>
      <c r="CN36" s="102">
        <v>396994</v>
      </c>
      <c r="CO36" s="102">
        <v>92814</v>
      </c>
      <c r="CP36" s="102">
        <v>1028389</v>
      </c>
      <c r="CQ36" s="102">
        <v>437418</v>
      </c>
      <c r="CR36" s="102">
        <v>264326</v>
      </c>
      <c r="CS36" s="102">
        <v>123905</v>
      </c>
      <c r="CT36" s="73">
        <f t="shared" si="7"/>
        <v>6957</v>
      </c>
      <c r="CU36" s="102">
        <v>6957</v>
      </c>
      <c r="CV36" s="102">
        <v>0</v>
      </c>
      <c r="CW36" s="73">
        <f t="shared" si="8"/>
        <v>0</v>
      </c>
      <c r="CX36" s="102">
        <v>0</v>
      </c>
      <c r="CY36" s="102">
        <v>0</v>
      </c>
      <c r="CZ36" s="73">
        <f t="shared" si="9"/>
        <v>0</v>
      </c>
      <c r="DA36" s="102">
        <v>0</v>
      </c>
      <c r="DB36" s="102">
        <v>0</v>
      </c>
      <c r="DC36" s="102">
        <v>1881290</v>
      </c>
      <c r="DD36" s="102">
        <v>180857</v>
      </c>
      <c r="DE36" s="102">
        <v>1697343</v>
      </c>
      <c r="DF36" s="102">
        <v>3090</v>
      </c>
      <c r="DG36" s="102">
        <v>0</v>
      </c>
      <c r="DH36" s="102">
        <v>0</v>
      </c>
      <c r="DI36" s="102">
        <v>268553</v>
      </c>
      <c r="DJ36" s="102">
        <v>185420</v>
      </c>
      <c r="DK36" s="102">
        <v>1243</v>
      </c>
      <c r="DL36" s="102">
        <v>81890</v>
      </c>
      <c r="DM36" s="102">
        <v>0</v>
      </c>
      <c r="DN36" s="102">
        <v>0</v>
      </c>
      <c r="DO36" s="102">
        <v>0</v>
      </c>
      <c r="DP36" s="102">
        <v>0</v>
      </c>
      <c r="DQ36" s="102">
        <v>0</v>
      </c>
      <c r="DR36" s="102">
        <v>0</v>
      </c>
      <c r="DS36" s="102">
        <v>0</v>
      </c>
      <c r="DT36" s="102">
        <v>2388344</v>
      </c>
      <c r="DU36" s="102">
        <v>177859</v>
      </c>
      <c r="DV36" s="73">
        <f t="shared" si="10"/>
        <v>0</v>
      </c>
      <c r="DW36" s="102">
        <v>0</v>
      </c>
      <c r="DX36" s="102">
        <v>779486</v>
      </c>
      <c r="DY36" s="102">
        <v>0</v>
      </c>
      <c r="DZ36" s="102">
        <v>685631</v>
      </c>
      <c r="EA36" s="74">
        <v>0</v>
      </c>
      <c r="EB36" s="102">
        <v>745028</v>
      </c>
      <c r="EC36" s="102">
        <v>0</v>
      </c>
      <c r="ED36" s="102">
        <v>23240669</v>
      </c>
      <c r="EE36" s="71"/>
      <c r="EF36" s="102">
        <v>790771</v>
      </c>
      <c r="EG36" s="102">
        <v>363781</v>
      </c>
      <c r="EH36" s="102">
        <v>426990</v>
      </c>
      <c r="EI36" s="102">
        <v>69344</v>
      </c>
      <c r="EJ36" s="102">
        <v>280126</v>
      </c>
      <c r="EK36" s="71"/>
      <c r="EL36" s="102">
        <v>76435</v>
      </c>
      <c r="EM36" s="102">
        <v>77876</v>
      </c>
      <c r="EN36" s="102">
        <v>1774</v>
      </c>
      <c r="EO36" s="102">
        <v>369947</v>
      </c>
      <c r="EP36" s="73">
        <f t="shared" si="11"/>
        <v>700184</v>
      </c>
      <c r="EQ36" s="102">
        <v>14389838</v>
      </c>
      <c r="ER36" s="71">
        <v>-2003694</v>
      </c>
      <c r="ES36" s="102">
        <v>4506014</v>
      </c>
      <c r="ET36" s="102">
        <v>2853002</v>
      </c>
      <c r="EU36" s="102">
        <v>1967164</v>
      </c>
      <c r="EV36" s="102">
        <v>3218862</v>
      </c>
      <c r="EW36" s="73">
        <f t="shared" si="12"/>
        <v>576650</v>
      </c>
      <c r="EX36" s="102">
        <v>576650</v>
      </c>
      <c r="EY36" s="102">
        <v>18698</v>
      </c>
      <c r="EZ36" s="102">
        <v>557562</v>
      </c>
      <c r="FA36" s="102">
        <v>0</v>
      </c>
      <c r="FB36" s="102">
        <v>0</v>
      </c>
      <c r="FC36" s="102">
        <v>2180035</v>
      </c>
      <c r="FD36" s="102">
        <v>904557</v>
      </c>
      <c r="FE36" s="102">
        <v>434461</v>
      </c>
      <c r="FF36" s="102">
        <v>1899105</v>
      </c>
      <c r="FG36" s="73">
        <f t="shared" si="13"/>
        <v>350374</v>
      </c>
      <c r="FH36" s="102">
        <v>15602761</v>
      </c>
      <c r="FI36" s="379">
        <f t="shared" si="14"/>
        <v>3</v>
      </c>
      <c r="FJ36" s="102">
        <v>13472378</v>
      </c>
      <c r="FK36" s="102">
        <v>942606</v>
      </c>
      <c r="FL36" s="102">
        <v>8071985</v>
      </c>
      <c r="FM36" s="102">
        <v>11249237</v>
      </c>
      <c r="FN36" s="428">
        <v>0.71099999999999997</v>
      </c>
      <c r="FO36" s="424">
        <v>96.8</v>
      </c>
      <c r="FP36" s="425">
        <v>30.5</v>
      </c>
      <c r="FQ36" s="424">
        <v>13.5</v>
      </c>
      <c r="FR36" s="424">
        <v>22</v>
      </c>
      <c r="FS36" s="425">
        <v>13.5</v>
      </c>
      <c r="FT36" s="424">
        <v>4.4000000000000004</v>
      </c>
      <c r="FU36" s="425">
        <v>12.1</v>
      </c>
      <c r="FV36" s="384">
        <v>13.1</v>
      </c>
      <c r="FW36" s="102">
        <v>29881772</v>
      </c>
      <c r="FX36" s="384">
        <f t="shared" si="15"/>
        <v>207.3</v>
      </c>
      <c r="FY36" s="102">
        <v>5675982</v>
      </c>
      <c r="FZ36" s="102">
        <v>3186933</v>
      </c>
      <c r="GA36" s="102">
        <v>650629</v>
      </c>
      <c r="GB36" s="102">
        <v>1838420</v>
      </c>
      <c r="GC36" s="104">
        <v>0</v>
      </c>
      <c r="GD36" s="427">
        <v>10396</v>
      </c>
      <c r="GE36" s="386">
        <f>IF(GD36=0,"-",ROUND(GD36/(GV36)*100,1))</f>
        <v>72.099999999999994</v>
      </c>
      <c r="GF36" s="424">
        <v>99.7</v>
      </c>
      <c r="GG36" s="424">
        <v>43.3</v>
      </c>
      <c r="GH36" s="424">
        <v>98.8</v>
      </c>
      <c r="GI36" s="102">
        <v>478</v>
      </c>
      <c r="GJ36" s="429" t="s">
        <v>646</v>
      </c>
      <c r="GK36" s="429">
        <v>12.82</v>
      </c>
      <c r="GL36" s="87">
        <v>20</v>
      </c>
      <c r="GM36" s="429" t="s">
        <v>646</v>
      </c>
      <c r="GN36" s="430">
        <v>17.82</v>
      </c>
      <c r="GO36" s="430">
        <v>30</v>
      </c>
      <c r="GP36" s="425">
        <v>13.1</v>
      </c>
      <c r="GQ36" s="425">
        <v>25</v>
      </c>
      <c r="GR36" s="425">
        <v>35</v>
      </c>
      <c r="GS36" s="431">
        <v>142.30000000000001</v>
      </c>
      <c r="GT36" s="425">
        <v>350</v>
      </c>
      <c r="GU36" s="394"/>
      <c r="GV36" s="100">
        <f t="shared" si="16"/>
        <v>14415</v>
      </c>
      <c r="GW36" s="394"/>
      <c r="GX36" s="394"/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</row>
    <row r="37" spans="2:230" x14ac:dyDescent="0.15">
      <c r="B37" s="89" t="s">
        <v>63</v>
      </c>
      <c r="C37" s="102">
        <v>7360838</v>
      </c>
      <c r="D37" s="73">
        <f t="shared" si="0"/>
        <v>3538073</v>
      </c>
      <c r="E37" s="102">
        <v>93245</v>
      </c>
      <c r="F37" s="102">
        <v>3444828</v>
      </c>
      <c r="G37" s="73">
        <f t="shared" si="1"/>
        <v>310114</v>
      </c>
      <c r="H37" s="102">
        <v>105510</v>
      </c>
      <c r="I37" s="102">
        <v>204604</v>
      </c>
      <c r="J37" s="102">
        <v>2737973</v>
      </c>
      <c r="K37" s="102">
        <v>1151020</v>
      </c>
      <c r="L37" s="102">
        <v>1286816</v>
      </c>
      <c r="M37" s="102">
        <v>268011</v>
      </c>
      <c r="N37" s="102">
        <v>317283</v>
      </c>
      <c r="O37" s="102">
        <v>369540</v>
      </c>
      <c r="P37" s="102">
        <v>203594</v>
      </c>
      <c r="Q37" s="102">
        <v>165946</v>
      </c>
      <c r="R37" s="102">
        <v>106191</v>
      </c>
      <c r="S37" s="74"/>
      <c r="T37" s="73">
        <f t="shared" si="2"/>
        <v>1111711</v>
      </c>
      <c r="U37" s="102">
        <v>12964</v>
      </c>
      <c r="V37" s="102">
        <v>47267</v>
      </c>
      <c r="W37" s="102">
        <v>27862</v>
      </c>
      <c r="X37" s="102">
        <v>981289</v>
      </c>
      <c r="Y37" s="102">
        <v>0</v>
      </c>
      <c r="Z37" s="102">
        <v>0</v>
      </c>
      <c r="AA37" s="102">
        <v>42329</v>
      </c>
      <c r="AB37" s="102">
        <v>46896</v>
      </c>
      <c r="AC37" s="102">
        <v>2796427</v>
      </c>
      <c r="AD37" s="102">
        <v>2549815</v>
      </c>
      <c r="AE37" s="102">
        <v>246612</v>
      </c>
      <c r="AF37" s="102">
        <v>10684</v>
      </c>
      <c r="AG37" s="102">
        <v>206780</v>
      </c>
      <c r="AH37" s="73">
        <f t="shared" si="3"/>
        <v>254190</v>
      </c>
      <c r="AI37" s="102">
        <v>207072</v>
      </c>
      <c r="AJ37" s="102">
        <v>47118</v>
      </c>
      <c r="AK37" s="102">
        <v>3105479</v>
      </c>
      <c r="AL37" s="73">
        <f t="shared" si="4"/>
        <v>1558155</v>
      </c>
      <c r="AM37" s="102">
        <v>924021</v>
      </c>
      <c r="AN37" s="102">
        <v>292845</v>
      </c>
      <c r="AO37" s="74"/>
      <c r="AP37" s="102">
        <v>341289</v>
      </c>
      <c r="AQ37" s="102">
        <v>73557</v>
      </c>
      <c r="AR37" s="102">
        <v>0</v>
      </c>
      <c r="AS37" s="102">
        <v>0</v>
      </c>
      <c r="AT37" s="102">
        <v>1335116</v>
      </c>
      <c r="AU37" s="102">
        <v>713573</v>
      </c>
      <c r="AV37" s="102">
        <v>146422</v>
      </c>
      <c r="AW37" s="102">
        <v>30504</v>
      </c>
      <c r="AX37" s="102">
        <v>621543</v>
      </c>
      <c r="AY37" s="102">
        <v>5000</v>
      </c>
      <c r="AZ37" s="102">
        <v>22416</v>
      </c>
      <c r="BA37" s="102">
        <v>719</v>
      </c>
      <c r="BB37" s="102">
        <v>3486</v>
      </c>
      <c r="BC37" s="102">
        <v>38485</v>
      </c>
      <c r="BD37" s="102">
        <v>0</v>
      </c>
      <c r="BE37" s="102">
        <v>0</v>
      </c>
      <c r="BF37" s="102">
        <v>0</v>
      </c>
      <c r="BG37" s="102">
        <v>0</v>
      </c>
      <c r="BH37" s="102">
        <v>790569</v>
      </c>
      <c r="BI37" s="102">
        <v>788545</v>
      </c>
      <c r="BJ37" s="102">
        <v>168099</v>
      </c>
      <c r="BK37" s="102">
        <v>559</v>
      </c>
      <c r="BL37" s="102">
        <v>0</v>
      </c>
      <c r="BM37" s="102">
        <v>0</v>
      </c>
      <c r="BN37" s="102">
        <v>1623400</v>
      </c>
      <c r="BO37" s="73">
        <f t="shared" si="5"/>
        <v>864800</v>
      </c>
      <c r="BP37" s="73">
        <f t="shared" si="6"/>
        <v>758600</v>
      </c>
      <c r="BQ37" s="102">
        <v>0</v>
      </c>
      <c r="BR37" s="102">
        <v>0</v>
      </c>
      <c r="BS37" s="102">
        <v>758600</v>
      </c>
      <c r="BT37" s="102">
        <v>0</v>
      </c>
      <c r="BU37" s="102">
        <v>18980767</v>
      </c>
      <c r="BV37" s="71"/>
      <c r="BW37" s="102">
        <v>3791087</v>
      </c>
      <c r="BX37" s="102">
        <v>2428841</v>
      </c>
      <c r="BY37" s="102">
        <v>299638</v>
      </c>
      <c r="BZ37" s="102">
        <v>311594</v>
      </c>
      <c r="CA37" s="102">
        <v>4748322</v>
      </c>
      <c r="CB37" s="102">
        <v>1160498</v>
      </c>
      <c r="CC37" s="102">
        <v>90008</v>
      </c>
      <c r="CD37" s="102">
        <v>2249127</v>
      </c>
      <c r="CE37" s="102">
        <v>1144989</v>
      </c>
      <c r="CF37" s="102">
        <v>0</v>
      </c>
      <c r="CG37" s="102">
        <v>103700</v>
      </c>
      <c r="CH37" s="102">
        <v>1865815</v>
      </c>
      <c r="CI37" s="102">
        <v>1729711</v>
      </c>
      <c r="CJ37" s="83">
        <f t="shared" si="17"/>
        <v>136104</v>
      </c>
      <c r="CK37" s="102">
        <v>3209597</v>
      </c>
      <c r="CL37" s="102">
        <v>2167216</v>
      </c>
      <c r="CM37" s="102">
        <v>190341</v>
      </c>
      <c r="CN37" s="102">
        <v>327221</v>
      </c>
      <c r="CO37" s="102">
        <v>23807</v>
      </c>
      <c r="CP37" s="102">
        <v>1600742</v>
      </c>
      <c r="CQ37" s="102">
        <v>352593</v>
      </c>
      <c r="CR37" s="102">
        <v>385930</v>
      </c>
      <c r="CS37" s="102">
        <v>204871</v>
      </c>
      <c r="CT37" s="73">
        <f t="shared" si="7"/>
        <v>462908</v>
      </c>
      <c r="CU37" s="102">
        <v>116347</v>
      </c>
      <c r="CV37" s="102">
        <v>346561</v>
      </c>
      <c r="CW37" s="73">
        <f t="shared" si="8"/>
        <v>0</v>
      </c>
      <c r="CX37" s="102">
        <v>0</v>
      </c>
      <c r="CY37" s="102">
        <v>0</v>
      </c>
      <c r="CZ37" s="73">
        <f t="shared" si="9"/>
        <v>416640</v>
      </c>
      <c r="DA37" s="102">
        <v>70079</v>
      </c>
      <c r="DB37" s="102">
        <v>346561</v>
      </c>
      <c r="DC37" s="102">
        <v>1342136</v>
      </c>
      <c r="DD37" s="102">
        <v>282748</v>
      </c>
      <c r="DE37" s="102">
        <v>1050129</v>
      </c>
      <c r="DF37" s="102">
        <v>9259</v>
      </c>
      <c r="DG37" s="102">
        <v>0</v>
      </c>
      <c r="DH37" s="102">
        <v>0</v>
      </c>
      <c r="DI37" s="102">
        <v>107340</v>
      </c>
      <c r="DJ37" s="102">
        <v>6443</v>
      </c>
      <c r="DK37" s="102">
        <v>9</v>
      </c>
      <c r="DL37" s="102">
        <v>100888</v>
      </c>
      <c r="DM37" s="102">
        <v>0</v>
      </c>
      <c r="DN37" s="102">
        <v>0</v>
      </c>
      <c r="DO37" s="102">
        <v>0</v>
      </c>
      <c r="DP37" s="102">
        <v>0</v>
      </c>
      <c r="DQ37" s="102">
        <v>0</v>
      </c>
      <c r="DR37" s="102">
        <v>0</v>
      </c>
      <c r="DS37" s="102">
        <v>0</v>
      </c>
      <c r="DT37" s="102">
        <v>1792101</v>
      </c>
      <c r="DU37" s="102">
        <v>0</v>
      </c>
      <c r="DV37" s="73">
        <f t="shared" si="10"/>
        <v>0</v>
      </c>
      <c r="DW37" s="102">
        <v>0</v>
      </c>
      <c r="DX37" s="102">
        <v>633667</v>
      </c>
      <c r="DY37" s="102">
        <v>0</v>
      </c>
      <c r="DZ37" s="102">
        <v>512679</v>
      </c>
      <c r="EA37" s="74">
        <v>0</v>
      </c>
      <c r="EB37" s="102">
        <v>643779</v>
      </c>
      <c r="EC37" s="102">
        <v>0</v>
      </c>
      <c r="ED37" s="102">
        <v>18480947</v>
      </c>
      <c r="EE37" s="71"/>
      <c r="EF37" s="102">
        <v>499820</v>
      </c>
      <c r="EG37" s="102">
        <v>5684</v>
      </c>
      <c r="EH37" s="102">
        <v>494136</v>
      </c>
      <c r="EI37" s="102">
        <v>-294409</v>
      </c>
      <c r="EJ37" s="102">
        <v>-287966</v>
      </c>
      <c r="EK37" s="71"/>
      <c r="EL37" s="102">
        <v>57792</v>
      </c>
      <c r="EM37" s="102">
        <v>58038</v>
      </c>
      <c r="EN37" s="102">
        <v>20393</v>
      </c>
      <c r="EO37" s="102">
        <v>14016</v>
      </c>
      <c r="EP37" s="73">
        <f t="shared" si="11"/>
        <v>1152861</v>
      </c>
      <c r="EQ37" s="102">
        <v>11432747</v>
      </c>
      <c r="ER37" s="71">
        <v>-1935186</v>
      </c>
      <c r="ES37" s="102">
        <v>3523248</v>
      </c>
      <c r="ET37" s="102">
        <v>2209562</v>
      </c>
      <c r="EU37" s="102">
        <v>1327037</v>
      </c>
      <c r="EV37" s="102">
        <v>1865815</v>
      </c>
      <c r="EW37" s="73">
        <f t="shared" si="12"/>
        <v>416845</v>
      </c>
      <c r="EX37" s="102">
        <v>416845</v>
      </c>
      <c r="EY37" s="102">
        <v>15164</v>
      </c>
      <c r="EZ37" s="102">
        <v>401590</v>
      </c>
      <c r="FA37" s="102">
        <v>0</v>
      </c>
      <c r="FB37" s="102">
        <v>0</v>
      </c>
      <c r="FC37" s="102">
        <v>2702220</v>
      </c>
      <c r="FD37" s="102">
        <v>1488856</v>
      </c>
      <c r="FE37" s="102">
        <v>352593</v>
      </c>
      <c r="FF37" s="102">
        <v>1419920</v>
      </c>
      <c r="FG37" s="73">
        <f t="shared" si="13"/>
        <v>124172</v>
      </c>
      <c r="FH37" s="102">
        <v>12868113</v>
      </c>
      <c r="FI37" s="379">
        <f t="shared" si="14"/>
        <v>4.3</v>
      </c>
      <c r="FJ37" s="102">
        <v>10819986</v>
      </c>
      <c r="FK37" s="102">
        <v>758654</v>
      </c>
      <c r="FL37" s="102">
        <v>6419411</v>
      </c>
      <c r="FM37" s="102">
        <v>8976611</v>
      </c>
      <c r="FN37" s="428">
        <v>0.70699999999999996</v>
      </c>
      <c r="FO37" s="424">
        <v>97.6</v>
      </c>
      <c r="FP37" s="425">
        <v>30.1</v>
      </c>
      <c r="FQ37" s="424">
        <v>11.4</v>
      </c>
      <c r="FR37" s="424">
        <v>14.4</v>
      </c>
      <c r="FS37" s="425">
        <v>21.4</v>
      </c>
      <c r="FT37" s="424">
        <v>8.3000000000000007</v>
      </c>
      <c r="FU37" s="425">
        <v>11.8</v>
      </c>
      <c r="FV37" s="384">
        <v>3.9</v>
      </c>
      <c r="FW37" s="102">
        <v>16611647</v>
      </c>
      <c r="FX37" s="384">
        <f t="shared" si="15"/>
        <v>143.5</v>
      </c>
      <c r="FY37" s="102">
        <v>3748363</v>
      </c>
      <c r="FZ37" s="102">
        <v>3155036</v>
      </c>
      <c r="GA37" s="102">
        <v>36865</v>
      </c>
      <c r="GB37" s="102">
        <v>556462</v>
      </c>
      <c r="GC37" s="104">
        <v>0</v>
      </c>
      <c r="GD37" s="427"/>
      <c r="GE37" s="386"/>
      <c r="GF37" s="424">
        <v>99.1</v>
      </c>
      <c r="GG37" s="424">
        <v>27.7</v>
      </c>
      <c r="GH37" s="424">
        <v>95.6</v>
      </c>
      <c r="GI37" s="102">
        <v>375</v>
      </c>
      <c r="GJ37" s="429" t="s">
        <v>646</v>
      </c>
      <c r="GK37" s="429">
        <v>13.11</v>
      </c>
      <c r="GL37" s="87">
        <v>20</v>
      </c>
      <c r="GM37" s="429" t="s">
        <v>646</v>
      </c>
      <c r="GN37" s="430">
        <v>18.11</v>
      </c>
      <c r="GO37" s="430">
        <v>30</v>
      </c>
      <c r="GP37" s="425">
        <v>3.9</v>
      </c>
      <c r="GQ37" s="425">
        <v>25</v>
      </c>
      <c r="GR37" s="425">
        <v>35</v>
      </c>
      <c r="GS37" s="431">
        <v>1.9</v>
      </c>
      <c r="GT37" s="425">
        <v>350</v>
      </c>
      <c r="GU37" s="394"/>
      <c r="GV37" s="100">
        <f t="shared" si="16"/>
        <v>11579</v>
      </c>
      <c r="GW37" s="394"/>
      <c r="GX37" s="394"/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</row>
    <row r="38" spans="2:230" x14ac:dyDescent="0.15">
      <c r="B38" s="89" t="s">
        <v>65</v>
      </c>
      <c r="C38" s="102">
        <v>5760769</v>
      </c>
      <c r="D38" s="73">
        <f t="shared" si="0"/>
        <v>2481421</v>
      </c>
      <c r="E38" s="102">
        <v>88853</v>
      </c>
      <c r="F38" s="102">
        <v>2392568</v>
      </c>
      <c r="G38" s="73">
        <f t="shared" si="1"/>
        <v>225383</v>
      </c>
      <c r="H38" s="102">
        <v>72187</v>
      </c>
      <c r="I38" s="102">
        <v>153196</v>
      </c>
      <c r="J38" s="102">
        <v>1999872</v>
      </c>
      <c r="K38" s="102">
        <v>668556</v>
      </c>
      <c r="L38" s="102">
        <v>1019138</v>
      </c>
      <c r="M38" s="102">
        <v>256650</v>
      </c>
      <c r="N38" s="102">
        <v>273314</v>
      </c>
      <c r="O38" s="102">
        <v>400861</v>
      </c>
      <c r="P38" s="102">
        <v>188405</v>
      </c>
      <c r="Q38" s="102">
        <v>212456</v>
      </c>
      <c r="R38" s="102">
        <v>108045</v>
      </c>
      <c r="S38" s="74"/>
      <c r="T38" s="73">
        <f t="shared" si="2"/>
        <v>977070</v>
      </c>
      <c r="U38" s="102">
        <v>9277</v>
      </c>
      <c r="V38" s="102">
        <v>33817</v>
      </c>
      <c r="W38" s="102">
        <v>19874</v>
      </c>
      <c r="X38" s="102">
        <v>868858</v>
      </c>
      <c r="Y38" s="102">
        <v>2182</v>
      </c>
      <c r="Z38" s="102">
        <v>0</v>
      </c>
      <c r="AA38" s="102">
        <v>43062</v>
      </c>
      <c r="AB38" s="102">
        <v>34329</v>
      </c>
      <c r="AC38" s="102">
        <v>4212964</v>
      </c>
      <c r="AD38" s="102">
        <v>3952488</v>
      </c>
      <c r="AE38" s="102">
        <v>260476</v>
      </c>
      <c r="AF38" s="102">
        <v>7973</v>
      </c>
      <c r="AG38" s="102">
        <v>16364</v>
      </c>
      <c r="AH38" s="73">
        <f t="shared" si="3"/>
        <v>277109</v>
      </c>
      <c r="AI38" s="102">
        <v>189742</v>
      </c>
      <c r="AJ38" s="102">
        <v>87367</v>
      </c>
      <c r="AK38" s="102">
        <v>3451765</v>
      </c>
      <c r="AL38" s="73">
        <f t="shared" si="4"/>
        <v>1692638</v>
      </c>
      <c r="AM38" s="102">
        <v>925820</v>
      </c>
      <c r="AN38" s="102">
        <v>322901</v>
      </c>
      <c r="AO38" s="74"/>
      <c r="AP38" s="102">
        <v>443917</v>
      </c>
      <c r="AQ38" s="102">
        <v>174372</v>
      </c>
      <c r="AR38" s="102">
        <v>0</v>
      </c>
      <c r="AS38" s="102">
        <v>0</v>
      </c>
      <c r="AT38" s="102">
        <v>1352753</v>
      </c>
      <c r="AU38" s="102">
        <v>923553</v>
      </c>
      <c r="AV38" s="102">
        <v>136601</v>
      </c>
      <c r="AW38" s="102">
        <v>17480</v>
      </c>
      <c r="AX38" s="102">
        <v>429200</v>
      </c>
      <c r="AY38" s="102">
        <v>856</v>
      </c>
      <c r="AZ38" s="102">
        <v>79712</v>
      </c>
      <c r="BA38" s="102">
        <v>74601</v>
      </c>
      <c r="BB38" s="102">
        <v>17301</v>
      </c>
      <c r="BC38" s="102">
        <v>783012</v>
      </c>
      <c r="BD38" s="102">
        <v>382602</v>
      </c>
      <c r="BE38" s="102">
        <v>126749</v>
      </c>
      <c r="BF38" s="102">
        <v>266373</v>
      </c>
      <c r="BG38" s="102">
        <v>0</v>
      </c>
      <c r="BH38" s="102">
        <v>202598</v>
      </c>
      <c r="BI38" s="102">
        <v>199607</v>
      </c>
      <c r="BJ38" s="102">
        <v>127761</v>
      </c>
      <c r="BK38" s="102">
        <v>0</v>
      </c>
      <c r="BL38" s="102">
        <v>0</v>
      </c>
      <c r="BM38" s="102">
        <v>0</v>
      </c>
      <c r="BN38" s="102">
        <v>1579980</v>
      </c>
      <c r="BO38" s="73">
        <f t="shared" si="5"/>
        <v>941800</v>
      </c>
      <c r="BP38" s="73">
        <f t="shared" si="6"/>
        <v>638180</v>
      </c>
      <c r="BQ38" s="102">
        <v>0</v>
      </c>
      <c r="BR38" s="102">
        <v>0</v>
      </c>
      <c r="BS38" s="102">
        <v>638180</v>
      </c>
      <c r="BT38" s="102">
        <v>0</v>
      </c>
      <c r="BU38" s="102">
        <v>18989505</v>
      </c>
      <c r="BV38" s="71"/>
      <c r="BW38" s="102">
        <v>3038001</v>
      </c>
      <c r="BX38" s="102">
        <v>2192107</v>
      </c>
      <c r="BY38" s="102">
        <v>184168</v>
      </c>
      <c r="BZ38" s="102">
        <v>16260</v>
      </c>
      <c r="CA38" s="102">
        <v>4484467</v>
      </c>
      <c r="CB38" s="102">
        <v>1263868</v>
      </c>
      <c r="CC38" s="102">
        <v>101587</v>
      </c>
      <c r="CD38" s="102">
        <v>1807101</v>
      </c>
      <c r="CE38" s="102">
        <v>1161378</v>
      </c>
      <c r="CF38" s="102">
        <v>4563</v>
      </c>
      <c r="CG38" s="102">
        <v>145970</v>
      </c>
      <c r="CH38" s="102">
        <v>1569786</v>
      </c>
      <c r="CI38" s="102">
        <v>1356420</v>
      </c>
      <c r="CJ38" s="83">
        <f t="shared" si="17"/>
        <v>213366</v>
      </c>
      <c r="CK38" s="102">
        <v>2525774</v>
      </c>
      <c r="CL38" s="102">
        <v>1413067</v>
      </c>
      <c r="CM38" s="102">
        <v>385670</v>
      </c>
      <c r="CN38" s="102">
        <v>372698</v>
      </c>
      <c r="CO38" s="102">
        <v>96285</v>
      </c>
      <c r="CP38" s="102">
        <v>1879917</v>
      </c>
      <c r="CQ38" s="102">
        <v>1082006</v>
      </c>
      <c r="CR38" s="102">
        <v>217547</v>
      </c>
      <c r="CS38" s="102">
        <v>217547</v>
      </c>
      <c r="CT38" s="73">
        <f t="shared" si="7"/>
        <v>290794</v>
      </c>
      <c r="CU38" s="102">
        <v>219976</v>
      </c>
      <c r="CV38" s="102">
        <v>70818</v>
      </c>
      <c r="CW38" s="73">
        <f t="shared" si="8"/>
        <v>268355</v>
      </c>
      <c r="CX38" s="102">
        <v>216475</v>
      </c>
      <c r="CY38" s="102">
        <v>51880</v>
      </c>
      <c r="CZ38" s="73">
        <f t="shared" si="9"/>
        <v>0</v>
      </c>
      <c r="DA38" s="102">
        <v>0</v>
      </c>
      <c r="DB38" s="102">
        <v>0</v>
      </c>
      <c r="DC38" s="102">
        <v>1792310</v>
      </c>
      <c r="DD38" s="102">
        <v>933581</v>
      </c>
      <c r="DE38" s="102">
        <v>851531</v>
      </c>
      <c r="DF38" s="102">
        <v>7198</v>
      </c>
      <c r="DG38" s="102">
        <v>0</v>
      </c>
      <c r="DH38" s="102">
        <v>0</v>
      </c>
      <c r="DI38" s="102">
        <v>392379</v>
      </c>
      <c r="DJ38" s="102">
        <v>944</v>
      </c>
      <c r="DK38" s="102">
        <v>30169</v>
      </c>
      <c r="DL38" s="102">
        <v>361266</v>
      </c>
      <c r="DM38" s="102">
        <v>0</v>
      </c>
      <c r="DN38" s="102">
        <v>0</v>
      </c>
      <c r="DO38" s="102">
        <v>0</v>
      </c>
      <c r="DP38" s="102">
        <v>0</v>
      </c>
      <c r="DQ38" s="102">
        <v>0</v>
      </c>
      <c r="DR38" s="102">
        <v>0</v>
      </c>
      <c r="DS38" s="102">
        <v>0</v>
      </c>
      <c r="DT38" s="102">
        <v>2753072</v>
      </c>
      <c r="DU38" s="102">
        <v>583264</v>
      </c>
      <c r="DV38" s="73">
        <f t="shared" si="10"/>
        <v>0</v>
      </c>
      <c r="DW38" s="102">
        <v>0</v>
      </c>
      <c r="DX38" s="102">
        <v>775898</v>
      </c>
      <c r="DY38" s="102">
        <v>0</v>
      </c>
      <c r="DZ38" s="102">
        <v>698019</v>
      </c>
      <c r="EA38" s="74">
        <v>0</v>
      </c>
      <c r="EB38" s="102">
        <v>695890</v>
      </c>
      <c r="EC38" s="102">
        <v>0</v>
      </c>
      <c r="ED38" s="102">
        <v>18531991</v>
      </c>
      <c r="EE38" s="71"/>
      <c r="EF38" s="102">
        <v>457514</v>
      </c>
      <c r="EG38" s="102">
        <v>175687</v>
      </c>
      <c r="EH38" s="102">
        <v>281827</v>
      </c>
      <c r="EI38" s="102">
        <v>82220</v>
      </c>
      <c r="EJ38" s="102">
        <v>-299438</v>
      </c>
      <c r="EK38" s="71"/>
      <c r="EL38" s="102">
        <v>54276</v>
      </c>
      <c r="EM38" s="102">
        <v>55936</v>
      </c>
      <c r="EN38" s="102">
        <v>516639</v>
      </c>
      <c r="EO38" s="102">
        <v>11827</v>
      </c>
      <c r="EP38" s="73">
        <f t="shared" si="11"/>
        <v>549908</v>
      </c>
      <c r="EQ38" s="102">
        <v>11101150</v>
      </c>
      <c r="ER38" s="71">
        <v>-1708581</v>
      </c>
      <c r="ES38" s="102">
        <v>2758990</v>
      </c>
      <c r="ET38" s="102">
        <v>2192107</v>
      </c>
      <c r="EU38" s="102">
        <v>1226319</v>
      </c>
      <c r="EV38" s="102">
        <v>1562589</v>
      </c>
      <c r="EW38" s="73">
        <f t="shared" si="12"/>
        <v>220558</v>
      </c>
      <c r="EX38" s="102">
        <v>220558</v>
      </c>
      <c r="EY38" s="102">
        <v>87611</v>
      </c>
      <c r="EZ38" s="102">
        <v>132548</v>
      </c>
      <c r="FA38" s="102">
        <v>0</v>
      </c>
      <c r="FB38" s="102">
        <v>0</v>
      </c>
      <c r="FC38" s="102">
        <v>2099894</v>
      </c>
      <c r="FD38" s="102">
        <v>1768786</v>
      </c>
      <c r="FE38" s="102">
        <v>1082006</v>
      </c>
      <c r="FF38" s="102">
        <v>2311381</v>
      </c>
      <c r="FG38" s="73">
        <f t="shared" si="13"/>
        <v>403700</v>
      </c>
      <c r="FH38" s="102">
        <v>12352217</v>
      </c>
      <c r="FI38" s="379">
        <f t="shared" si="14"/>
        <v>2.6</v>
      </c>
      <c r="FJ38" s="102">
        <v>10176489</v>
      </c>
      <c r="FK38" s="102">
        <v>638180</v>
      </c>
      <c r="FL38" s="102">
        <v>4934188</v>
      </c>
      <c r="FM38" s="102">
        <v>8888261</v>
      </c>
      <c r="FN38" s="428">
        <v>0.54700000000000004</v>
      </c>
      <c r="FO38" s="424">
        <v>98.7</v>
      </c>
      <c r="FP38" s="425">
        <v>24.1</v>
      </c>
      <c r="FQ38" s="424">
        <v>11</v>
      </c>
      <c r="FR38" s="424">
        <v>14</v>
      </c>
      <c r="FS38" s="425">
        <v>16.7</v>
      </c>
      <c r="FT38" s="424">
        <v>12.2</v>
      </c>
      <c r="FU38" s="425">
        <v>19.8</v>
      </c>
      <c r="FV38" s="384">
        <v>9.1</v>
      </c>
      <c r="FW38" s="102">
        <v>17127464</v>
      </c>
      <c r="FX38" s="384">
        <f t="shared" si="15"/>
        <v>158.4</v>
      </c>
      <c r="FY38" s="102">
        <v>2732543</v>
      </c>
      <c r="FZ38" s="102">
        <v>1409986</v>
      </c>
      <c r="GA38" s="102">
        <v>239960</v>
      </c>
      <c r="GB38" s="102">
        <v>1082597</v>
      </c>
      <c r="GC38" s="104">
        <v>0</v>
      </c>
      <c r="GD38" s="427"/>
      <c r="GE38" s="386"/>
      <c r="GF38" s="424">
        <v>98.3</v>
      </c>
      <c r="GG38" s="424">
        <v>64</v>
      </c>
      <c r="GH38" s="424">
        <v>95.1</v>
      </c>
      <c r="GI38" s="102">
        <v>337</v>
      </c>
      <c r="GJ38" s="429" t="s">
        <v>646</v>
      </c>
      <c r="GK38" s="429">
        <v>13.21</v>
      </c>
      <c r="GL38" s="87">
        <v>20</v>
      </c>
      <c r="GM38" s="429" t="s">
        <v>646</v>
      </c>
      <c r="GN38" s="430">
        <v>18.21</v>
      </c>
      <c r="GO38" s="430">
        <v>30</v>
      </c>
      <c r="GP38" s="425">
        <v>9.1</v>
      </c>
      <c r="GQ38" s="425">
        <v>25</v>
      </c>
      <c r="GR38" s="425">
        <v>35</v>
      </c>
      <c r="GS38" s="431">
        <v>67.8</v>
      </c>
      <c r="GT38" s="425">
        <v>350</v>
      </c>
      <c r="GU38" s="394"/>
      <c r="GV38" s="100">
        <f t="shared" si="16"/>
        <v>10815</v>
      </c>
      <c r="GW38" s="394"/>
      <c r="GX38" s="394"/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</row>
    <row r="39" spans="2:230" x14ac:dyDescent="0.15">
      <c r="B39" s="21" t="s">
        <v>67</v>
      </c>
      <c r="C39" s="102">
        <v>751117013</v>
      </c>
      <c r="D39" s="73">
        <f t="shared" si="0"/>
        <v>283739349</v>
      </c>
      <c r="E39" s="102">
        <v>8001213</v>
      </c>
      <c r="F39" s="102">
        <v>275738136</v>
      </c>
      <c r="G39" s="73">
        <f t="shared" si="1"/>
        <v>52349617</v>
      </c>
      <c r="H39" s="102">
        <v>13371785</v>
      </c>
      <c r="I39" s="102">
        <v>38977832</v>
      </c>
      <c r="J39" s="102">
        <v>301816805</v>
      </c>
      <c r="K39" s="102">
        <v>126679196</v>
      </c>
      <c r="L39" s="102">
        <v>130502971</v>
      </c>
      <c r="M39" s="102">
        <v>39241113</v>
      </c>
      <c r="N39" s="102">
        <v>35761812</v>
      </c>
      <c r="O39" s="102">
        <v>62653086</v>
      </c>
      <c r="P39" s="102">
        <v>34604515</v>
      </c>
      <c r="Q39" s="102">
        <v>28048571</v>
      </c>
      <c r="R39" s="102">
        <v>10226650</v>
      </c>
      <c r="S39" s="74"/>
      <c r="T39" s="73">
        <f t="shared" si="2"/>
        <v>99503186</v>
      </c>
      <c r="U39" s="102">
        <v>1036878</v>
      </c>
      <c r="V39" s="102">
        <v>3780199</v>
      </c>
      <c r="W39" s="102">
        <v>2229435</v>
      </c>
      <c r="X39" s="102">
        <v>88507275</v>
      </c>
      <c r="Y39" s="102">
        <v>664870</v>
      </c>
      <c r="Z39" s="102">
        <v>0</v>
      </c>
      <c r="AA39" s="102">
        <v>3284529</v>
      </c>
      <c r="AB39" s="102">
        <v>3458547</v>
      </c>
      <c r="AC39" s="102">
        <v>177999217</v>
      </c>
      <c r="AD39" s="102">
        <v>167388479</v>
      </c>
      <c r="AE39" s="102">
        <v>10610491</v>
      </c>
      <c r="AF39" s="102">
        <v>754136</v>
      </c>
      <c r="AG39" s="102">
        <v>18826961</v>
      </c>
      <c r="AH39" s="73">
        <f t="shared" si="3"/>
        <v>33162527</v>
      </c>
      <c r="AI39" s="102">
        <v>25250425</v>
      </c>
      <c r="AJ39" s="102">
        <v>7912102</v>
      </c>
      <c r="AK39" s="102">
        <v>383466035</v>
      </c>
      <c r="AL39" s="73">
        <f t="shared" si="4"/>
        <v>233540577</v>
      </c>
      <c r="AM39" s="102">
        <v>158839619</v>
      </c>
      <c r="AN39" s="102">
        <v>28245118</v>
      </c>
      <c r="AO39" s="74"/>
      <c r="AP39" s="102">
        <v>46455840</v>
      </c>
      <c r="AQ39" s="102">
        <v>13721755</v>
      </c>
      <c r="AR39" s="102">
        <v>75784</v>
      </c>
      <c r="AS39" s="102">
        <v>264776</v>
      </c>
      <c r="AT39" s="102">
        <v>125881405</v>
      </c>
      <c r="AU39" s="102">
        <v>75784634</v>
      </c>
      <c r="AV39" s="102">
        <v>12696864</v>
      </c>
      <c r="AW39" s="102">
        <v>2498629</v>
      </c>
      <c r="AX39" s="102">
        <v>50096771</v>
      </c>
      <c r="AY39" s="102">
        <v>1653723</v>
      </c>
      <c r="AZ39" s="102">
        <v>6911681</v>
      </c>
      <c r="BA39" s="102">
        <v>4788458</v>
      </c>
      <c r="BB39" s="102">
        <v>6702563</v>
      </c>
      <c r="BC39" s="102">
        <v>51872943</v>
      </c>
      <c r="BD39" s="102">
        <v>14020333</v>
      </c>
      <c r="BE39" s="102">
        <v>15172037</v>
      </c>
      <c r="BF39" s="102">
        <v>20683253</v>
      </c>
      <c r="BG39" s="102">
        <v>877896</v>
      </c>
      <c r="BH39" s="102">
        <v>23590176</v>
      </c>
      <c r="BI39" s="102">
        <v>15693353</v>
      </c>
      <c r="BJ39" s="102">
        <v>29405788</v>
      </c>
      <c r="BK39" s="102">
        <v>6653158</v>
      </c>
      <c r="BL39" s="102">
        <v>314745</v>
      </c>
      <c r="BM39" s="102">
        <v>1297435</v>
      </c>
      <c r="BN39" s="102">
        <v>130171326</v>
      </c>
      <c r="BO39" s="73">
        <f t="shared" si="5"/>
        <v>73102968</v>
      </c>
      <c r="BP39" s="73">
        <f t="shared" si="6"/>
        <v>57068358</v>
      </c>
      <c r="BQ39" s="102">
        <v>0</v>
      </c>
      <c r="BR39" s="102">
        <v>25300</v>
      </c>
      <c r="BS39" s="102">
        <v>57043058</v>
      </c>
      <c r="BT39" s="102">
        <v>0</v>
      </c>
      <c r="BU39" s="102">
        <v>1853314930</v>
      </c>
      <c r="BV39" s="71"/>
      <c r="BW39" s="102">
        <v>287881139</v>
      </c>
      <c r="BX39" s="102">
        <v>192088307</v>
      </c>
      <c r="BY39" s="102">
        <v>18906260</v>
      </c>
      <c r="BZ39" s="102">
        <v>22998266</v>
      </c>
      <c r="CA39" s="102">
        <v>583839620</v>
      </c>
      <c r="CB39" s="102">
        <v>130853715</v>
      </c>
      <c r="CC39" s="102">
        <v>10331241</v>
      </c>
      <c r="CD39" s="102">
        <v>218315821</v>
      </c>
      <c r="CE39" s="102">
        <v>209476755</v>
      </c>
      <c r="CF39" s="102">
        <v>4927271</v>
      </c>
      <c r="CG39" s="102">
        <v>9926117</v>
      </c>
      <c r="CH39" s="102">
        <v>167020247</v>
      </c>
      <c r="CI39" s="102">
        <v>151884782</v>
      </c>
      <c r="CJ39" s="83">
        <f t="shared" si="17"/>
        <v>15135465</v>
      </c>
      <c r="CK39" s="102">
        <v>217684110</v>
      </c>
      <c r="CL39" s="102">
        <v>135329109</v>
      </c>
      <c r="CM39" s="102">
        <v>14938334</v>
      </c>
      <c r="CN39" s="102">
        <v>35484088</v>
      </c>
      <c r="CO39" s="102">
        <v>14836592</v>
      </c>
      <c r="CP39" s="102">
        <v>161639847</v>
      </c>
      <c r="CQ39" s="102">
        <v>37587748</v>
      </c>
      <c r="CR39" s="102">
        <v>36115636</v>
      </c>
      <c r="CS39" s="102">
        <v>25258414</v>
      </c>
      <c r="CT39" s="73">
        <f t="shared" si="7"/>
        <v>51914763</v>
      </c>
      <c r="CU39" s="102">
        <v>38111166</v>
      </c>
      <c r="CV39" s="102">
        <v>13803597</v>
      </c>
      <c r="CW39" s="73">
        <f t="shared" si="8"/>
        <v>11158147</v>
      </c>
      <c r="CX39" s="102">
        <v>9267382</v>
      </c>
      <c r="CY39" s="102">
        <v>1890765</v>
      </c>
      <c r="CZ39" s="73">
        <f t="shared" si="9"/>
        <v>38358097</v>
      </c>
      <c r="DA39" s="102">
        <v>27938141</v>
      </c>
      <c r="DB39" s="102">
        <v>10419956</v>
      </c>
      <c r="DC39" s="102">
        <v>158246506</v>
      </c>
      <c r="DD39" s="102">
        <v>56737478</v>
      </c>
      <c r="DE39" s="102">
        <v>95841255</v>
      </c>
      <c r="DF39" s="102">
        <v>1654038</v>
      </c>
      <c r="DG39" s="102">
        <v>4013703</v>
      </c>
      <c r="DH39" s="102">
        <v>283940</v>
      </c>
      <c r="DI39" s="102">
        <v>27624319</v>
      </c>
      <c r="DJ39" s="102">
        <v>8428886</v>
      </c>
      <c r="DK39" s="102">
        <v>927937</v>
      </c>
      <c r="DL39" s="102">
        <v>18267496</v>
      </c>
      <c r="DM39" s="102">
        <v>6238354</v>
      </c>
      <c r="DN39" s="102">
        <v>6006204</v>
      </c>
      <c r="DO39" s="102">
        <v>208890</v>
      </c>
      <c r="DP39" s="102">
        <v>1118360</v>
      </c>
      <c r="DQ39" s="102">
        <v>9301397</v>
      </c>
      <c r="DR39" s="102">
        <v>0</v>
      </c>
      <c r="DS39" s="102">
        <v>0</v>
      </c>
      <c r="DT39" s="102">
        <v>194467536</v>
      </c>
      <c r="DU39" s="102">
        <v>19644487</v>
      </c>
      <c r="DV39" s="73">
        <f t="shared" si="10"/>
        <v>0</v>
      </c>
      <c r="DW39" s="102">
        <v>0</v>
      </c>
      <c r="DX39" s="102">
        <v>58195003</v>
      </c>
      <c r="DY39" s="102">
        <v>221695</v>
      </c>
      <c r="DZ39" s="102">
        <v>58729031</v>
      </c>
      <c r="EA39" s="74">
        <v>0</v>
      </c>
      <c r="EB39" s="102">
        <v>55751109</v>
      </c>
      <c r="EC39" s="102">
        <v>0</v>
      </c>
      <c r="ED39" s="102">
        <v>1829063607</v>
      </c>
      <c r="EE39" s="71"/>
      <c r="EF39" s="102">
        <v>24251323</v>
      </c>
      <c r="EG39" s="102">
        <v>8796105</v>
      </c>
      <c r="EH39" s="102">
        <v>15455218</v>
      </c>
      <c r="EI39" s="102">
        <v>-4480135</v>
      </c>
      <c r="EJ39" s="102">
        <v>4467025</v>
      </c>
      <c r="EK39" s="71"/>
      <c r="EL39" s="102">
        <v>5127461</v>
      </c>
      <c r="EM39" s="102">
        <v>5142896</v>
      </c>
      <c r="EN39" s="102">
        <v>34404694</v>
      </c>
      <c r="EO39" s="102">
        <v>5987675</v>
      </c>
      <c r="EP39" s="73">
        <f t="shared" si="11"/>
        <v>43084105</v>
      </c>
      <c r="EQ39" s="102">
        <v>1043323525</v>
      </c>
      <c r="ER39" s="71">
        <v>-139525920</v>
      </c>
      <c r="ES39" s="102">
        <v>264877046</v>
      </c>
      <c r="ET39" s="102">
        <v>174568594</v>
      </c>
      <c r="EU39" s="102">
        <v>167494775</v>
      </c>
      <c r="EV39" s="102">
        <v>165534425</v>
      </c>
      <c r="EW39" s="73">
        <f t="shared" si="12"/>
        <v>40084524</v>
      </c>
      <c r="EX39" s="102">
        <v>40033828</v>
      </c>
      <c r="EY39" s="102">
        <v>4053732</v>
      </c>
      <c r="EZ39" s="102">
        <v>35584917</v>
      </c>
      <c r="FA39" s="102">
        <v>50696</v>
      </c>
      <c r="FB39" s="102">
        <v>0</v>
      </c>
      <c r="FC39" s="102">
        <v>176929463</v>
      </c>
      <c r="FD39" s="102">
        <v>145811125</v>
      </c>
      <c r="FE39" s="102">
        <v>36069426</v>
      </c>
      <c r="FF39" s="102">
        <v>157243173</v>
      </c>
      <c r="FG39" s="73">
        <f t="shared" si="13"/>
        <v>41502647</v>
      </c>
      <c r="FH39" s="102">
        <v>1159477178</v>
      </c>
      <c r="FI39" s="379">
        <f t="shared" si="14"/>
        <v>1.5</v>
      </c>
      <c r="FJ39" s="102">
        <v>962629627</v>
      </c>
      <c r="FK39" s="102">
        <v>63853008</v>
      </c>
      <c r="FL39" s="102">
        <v>618377596</v>
      </c>
      <c r="FM39" s="102">
        <v>786030874</v>
      </c>
      <c r="FN39" s="428">
        <v>0.77500000000000002</v>
      </c>
      <c r="FO39" s="424">
        <v>97</v>
      </c>
      <c r="FP39" s="425">
        <v>25.3</v>
      </c>
      <c r="FQ39" s="424">
        <v>16.100000000000001</v>
      </c>
      <c r="FR39" s="424">
        <v>14.5</v>
      </c>
      <c r="FS39" s="425">
        <v>15.4</v>
      </c>
      <c r="FT39" s="424">
        <v>11.1</v>
      </c>
      <c r="FU39" s="425">
        <v>13.3</v>
      </c>
      <c r="FV39" s="384">
        <v>4.7</v>
      </c>
      <c r="FW39" s="102">
        <v>1488051116</v>
      </c>
      <c r="FX39" s="384">
        <f t="shared" si="15"/>
        <v>145</v>
      </c>
      <c r="FY39" s="102">
        <v>325050519</v>
      </c>
      <c r="FZ39" s="102">
        <v>142953210</v>
      </c>
      <c r="GA39" s="102">
        <v>28998250</v>
      </c>
      <c r="GB39" s="102">
        <v>153099059</v>
      </c>
      <c r="GC39" s="104">
        <v>0</v>
      </c>
      <c r="GD39" s="427">
        <v>32617</v>
      </c>
      <c r="GE39" s="386">
        <f>IF(GD39=0,"-",ROUND(GD39/GW39*100,1))</f>
        <v>9.5</v>
      </c>
      <c r="GF39" s="424">
        <v>99.1</v>
      </c>
      <c r="GG39" s="424">
        <v>34.200000000000003</v>
      </c>
      <c r="GH39" s="424">
        <v>96.9</v>
      </c>
      <c r="GI39" s="102">
        <v>29499</v>
      </c>
      <c r="GJ39" s="429" t="s">
        <v>646</v>
      </c>
      <c r="GK39" s="429" t="s">
        <v>646</v>
      </c>
      <c r="GL39" s="429" t="s">
        <v>646</v>
      </c>
      <c r="GM39" s="429" t="s">
        <v>646</v>
      </c>
      <c r="GN39" s="429" t="s">
        <v>646</v>
      </c>
      <c r="GO39" s="429" t="s">
        <v>646</v>
      </c>
      <c r="GP39" s="425">
        <v>4.7</v>
      </c>
      <c r="GQ39" s="431" t="s">
        <v>646</v>
      </c>
      <c r="GR39" s="431" t="s">
        <v>646</v>
      </c>
      <c r="GS39" s="431">
        <v>2.6</v>
      </c>
      <c r="GT39" s="431" t="s">
        <v>646</v>
      </c>
      <c r="GU39" s="394"/>
      <c r="GV39" s="100">
        <f t="shared" si="16"/>
        <v>1026483</v>
      </c>
      <c r="GW39" s="394">
        <f>GV12+GV13+GV16+GV17+GV19+GV23+GV26+GV27+GV30+GV31+GV36</f>
        <v>344416</v>
      </c>
      <c r="GX39" s="394"/>
      <c r="GY39" s="394"/>
      <c r="GZ39" s="394"/>
      <c r="HA39" s="394"/>
      <c r="HB39" s="394"/>
      <c r="HC39" s="394"/>
      <c r="HD39" s="394"/>
      <c r="HE39" s="394"/>
      <c r="HF39" s="394"/>
      <c r="HG39" s="394"/>
      <c r="HH39" s="394"/>
      <c r="HI39" s="394"/>
      <c r="HJ39" s="394"/>
      <c r="HK39" s="394"/>
      <c r="HL39" s="394"/>
      <c r="HM39" s="394"/>
      <c r="HN39" s="394"/>
      <c r="HO39" s="394"/>
      <c r="HP39" s="394"/>
      <c r="HQ39" s="394"/>
      <c r="HR39" s="394"/>
      <c r="HS39" s="394"/>
      <c r="HT39" s="394"/>
      <c r="HU39" s="394"/>
      <c r="HV39" s="394"/>
    </row>
    <row r="40" spans="2:230" x14ac:dyDescent="0.15">
      <c r="B40" s="89" t="s">
        <v>69</v>
      </c>
      <c r="C40" s="102">
        <v>4623933</v>
      </c>
      <c r="D40" s="73">
        <f t="shared" si="0"/>
        <v>1779341</v>
      </c>
      <c r="E40" s="102">
        <v>51618</v>
      </c>
      <c r="F40" s="102">
        <v>1727723</v>
      </c>
      <c r="G40" s="73">
        <f t="shared" si="1"/>
        <v>491106</v>
      </c>
      <c r="H40" s="102">
        <v>58525</v>
      </c>
      <c r="I40" s="102">
        <v>432581</v>
      </c>
      <c r="J40" s="102">
        <v>1868103</v>
      </c>
      <c r="K40" s="102">
        <v>663123</v>
      </c>
      <c r="L40" s="102">
        <v>820736</v>
      </c>
      <c r="M40" s="102">
        <v>358195</v>
      </c>
      <c r="N40" s="102">
        <v>97706</v>
      </c>
      <c r="O40" s="102">
        <v>359416</v>
      </c>
      <c r="P40" s="102">
        <v>183940</v>
      </c>
      <c r="Q40" s="102">
        <v>175476</v>
      </c>
      <c r="R40" s="102">
        <v>53128</v>
      </c>
      <c r="S40" s="74"/>
      <c r="T40" s="73">
        <f t="shared" si="2"/>
        <v>576452</v>
      </c>
      <c r="U40" s="102">
        <v>6689</v>
      </c>
      <c r="V40" s="102">
        <v>24386</v>
      </c>
      <c r="W40" s="102">
        <v>14348</v>
      </c>
      <c r="X40" s="102">
        <v>467017</v>
      </c>
      <c r="Y40" s="102">
        <v>42836</v>
      </c>
      <c r="Z40" s="102">
        <v>0</v>
      </c>
      <c r="AA40" s="102">
        <v>21176</v>
      </c>
      <c r="AB40" s="102">
        <v>25873</v>
      </c>
      <c r="AC40" s="102">
        <v>1339193</v>
      </c>
      <c r="AD40" s="102">
        <v>1093430</v>
      </c>
      <c r="AE40" s="102">
        <v>245763</v>
      </c>
      <c r="AF40" s="102">
        <v>3226</v>
      </c>
      <c r="AG40" s="102">
        <v>109420</v>
      </c>
      <c r="AH40" s="73">
        <f t="shared" si="3"/>
        <v>311861</v>
      </c>
      <c r="AI40" s="102">
        <v>273547</v>
      </c>
      <c r="AJ40" s="102">
        <v>38314</v>
      </c>
      <c r="AK40" s="102">
        <v>1358069</v>
      </c>
      <c r="AL40" s="73">
        <f t="shared" si="4"/>
        <v>534616</v>
      </c>
      <c r="AM40" s="102">
        <v>219710</v>
      </c>
      <c r="AN40" s="102">
        <v>98792</v>
      </c>
      <c r="AO40" s="74"/>
      <c r="AP40" s="102">
        <v>216114</v>
      </c>
      <c r="AQ40" s="102">
        <v>144976</v>
      </c>
      <c r="AR40" s="102">
        <v>0</v>
      </c>
      <c r="AS40" s="102">
        <v>0</v>
      </c>
      <c r="AT40" s="102">
        <v>825065</v>
      </c>
      <c r="AU40" s="102">
        <v>498698</v>
      </c>
      <c r="AV40" s="102">
        <v>49080</v>
      </c>
      <c r="AW40" s="102">
        <v>174269</v>
      </c>
      <c r="AX40" s="102">
        <v>326367</v>
      </c>
      <c r="AY40" s="102">
        <v>26038</v>
      </c>
      <c r="AZ40" s="102">
        <v>56816</v>
      </c>
      <c r="BA40" s="102">
        <v>53011</v>
      </c>
      <c r="BB40" s="102">
        <v>5614</v>
      </c>
      <c r="BC40" s="102">
        <v>49064</v>
      </c>
      <c r="BD40" s="102">
        <v>0</v>
      </c>
      <c r="BE40" s="102">
        <v>20000</v>
      </c>
      <c r="BF40" s="102">
        <v>479</v>
      </c>
      <c r="BG40" s="102">
        <v>0</v>
      </c>
      <c r="BH40" s="102">
        <v>229232</v>
      </c>
      <c r="BI40" s="102">
        <v>50915</v>
      </c>
      <c r="BJ40" s="102">
        <v>151253</v>
      </c>
      <c r="BK40" s="102">
        <v>19157</v>
      </c>
      <c r="BL40" s="102">
        <v>0</v>
      </c>
      <c r="BM40" s="102">
        <v>0</v>
      </c>
      <c r="BN40" s="102">
        <v>984479</v>
      </c>
      <c r="BO40" s="73">
        <f t="shared" si="5"/>
        <v>532600</v>
      </c>
      <c r="BP40" s="73">
        <f t="shared" si="6"/>
        <v>451879</v>
      </c>
      <c r="BQ40" s="102">
        <v>0</v>
      </c>
      <c r="BR40" s="102">
        <v>0</v>
      </c>
      <c r="BS40" s="102">
        <v>451879</v>
      </c>
      <c r="BT40" s="102">
        <v>0</v>
      </c>
      <c r="BU40" s="102">
        <v>10702678</v>
      </c>
      <c r="BV40" s="71"/>
      <c r="BW40" s="102">
        <v>1913291</v>
      </c>
      <c r="BX40" s="102">
        <v>1284901</v>
      </c>
      <c r="BY40" s="102">
        <v>117762</v>
      </c>
      <c r="BZ40" s="102">
        <v>107869</v>
      </c>
      <c r="CA40" s="102">
        <v>2358823</v>
      </c>
      <c r="CB40" s="102">
        <v>787269</v>
      </c>
      <c r="CC40" s="102">
        <v>59198</v>
      </c>
      <c r="CD40" s="102">
        <v>1228161</v>
      </c>
      <c r="CE40" s="102">
        <v>253577</v>
      </c>
      <c r="CF40" s="102">
        <v>2287</v>
      </c>
      <c r="CG40" s="102">
        <v>28331</v>
      </c>
      <c r="CH40" s="102">
        <v>1059326</v>
      </c>
      <c r="CI40" s="102">
        <v>956922</v>
      </c>
      <c r="CJ40" s="83">
        <f t="shared" si="17"/>
        <v>102404</v>
      </c>
      <c r="CK40" s="102">
        <v>1933710</v>
      </c>
      <c r="CL40" s="102">
        <v>1129741</v>
      </c>
      <c r="CM40" s="102">
        <v>233353</v>
      </c>
      <c r="CN40" s="102">
        <v>302284</v>
      </c>
      <c r="CO40" s="102">
        <v>75588</v>
      </c>
      <c r="CP40" s="102">
        <v>412278</v>
      </c>
      <c r="CQ40" s="102">
        <v>1828</v>
      </c>
      <c r="CR40" s="102">
        <v>124487</v>
      </c>
      <c r="CS40" s="102">
        <v>96638</v>
      </c>
      <c r="CT40" s="73">
        <f t="shared" si="7"/>
        <v>2877</v>
      </c>
      <c r="CU40" s="102">
        <v>0</v>
      </c>
      <c r="CV40" s="102">
        <v>2877</v>
      </c>
      <c r="CW40" s="73">
        <f t="shared" si="8"/>
        <v>0</v>
      </c>
      <c r="CX40" s="102">
        <v>0</v>
      </c>
      <c r="CY40" s="102">
        <v>0</v>
      </c>
      <c r="CZ40" s="73">
        <f t="shared" si="9"/>
        <v>0</v>
      </c>
      <c r="DA40" s="102">
        <v>0</v>
      </c>
      <c r="DB40" s="102">
        <v>0</v>
      </c>
      <c r="DC40" s="102">
        <v>1321032</v>
      </c>
      <c r="DD40" s="102">
        <v>898760</v>
      </c>
      <c r="DE40" s="102">
        <v>421972</v>
      </c>
      <c r="DF40" s="102">
        <v>0</v>
      </c>
      <c r="DG40" s="102">
        <v>0</v>
      </c>
      <c r="DH40" s="102">
        <v>9747</v>
      </c>
      <c r="DI40" s="102">
        <v>53498</v>
      </c>
      <c r="DJ40" s="102">
        <v>30417</v>
      </c>
      <c r="DK40" s="102">
        <v>49</v>
      </c>
      <c r="DL40" s="102">
        <v>23032</v>
      </c>
      <c r="DM40" s="102">
        <v>0</v>
      </c>
      <c r="DN40" s="102">
        <v>0</v>
      </c>
      <c r="DO40" s="102">
        <v>0</v>
      </c>
      <c r="DP40" s="102">
        <v>0</v>
      </c>
      <c r="DQ40" s="102">
        <v>18687</v>
      </c>
      <c r="DR40" s="102">
        <v>0</v>
      </c>
      <c r="DS40" s="102">
        <v>0</v>
      </c>
      <c r="DT40" s="102">
        <v>1459964</v>
      </c>
      <c r="DU40" s="102">
        <v>475000</v>
      </c>
      <c r="DV40" s="73">
        <f t="shared" si="10"/>
        <v>0</v>
      </c>
      <c r="DW40" s="102">
        <v>0</v>
      </c>
      <c r="DX40" s="102">
        <v>351094</v>
      </c>
      <c r="DY40" s="102">
        <v>0</v>
      </c>
      <c r="DZ40" s="102">
        <v>293039</v>
      </c>
      <c r="EA40" s="74">
        <v>0</v>
      </c>
      <c r="EB40" s="102">
        <v>340757</v>
      </c>
      <c r="EC40" s="102">
        <v>0</v>
      </c>
      <c r="ED40" s="102">
        <v>10615944</v>
      </c>
      <c r="EE40" s="71"/>
      <c r="EF40" s="102">
        <v>86734</v>
      </c>
      <c r="EG40" s="102">
        <v>31333</v>
      </c>
      <c r="EH40" s="102">
        <v>55401</v>
      </c>
      <c r="EI40" s="102">
        <v>4486</v>
      </c>
      <c r="EJ40" s="102">
        <v>34903</v>
      </c>
      <c r="EK40" s="71"/>
      <c r="EL40" s="102">
        <v>29983</v>
      </c>
      <c r="EM40" s="102">
        <v>30667</v>
      </c>
      <c r="EN40" s="102">
        <v>48585</v>
      </c>
      <c r="EO40" s="102">
        <v>56523</v>
      </c>
      <c r="EP40" s="73">
        <f t="shared" si="11"/>
        <v>152257</v>
      </c>
      <c r="EQ40" s="102">
        <v>6621805</v>
      </c>
      <c r="ER40" s="71">
        <v>-706018</v>
      </c>
      <c r="ES40" s="102">
        <v>1749054</v>
      </c>
      <c r="ET40" s="102">
        <v>1164758</v>
      </c>
      <c r="EU40" s="102">
        <v>866290</v>
      </c>
      <c r="EV40" s="102">
        <v>1010442</v>
      </c>
      <c r="EW40" s="73">
        <f t="shared" si="12"/>
        <v>319880</v>
      </c>
      <c r="EX40" s="102">
        <v>310133</v>
      </c>
      <c r="EY40" s="102">
        <v>93196</v>
      </c>
      <c r="EZ40" s="102">
        <v>216637</v>
      </c>
      <c r="FA40" s="102">
        <v>9747</v>
      </c>
      <c r="FB40" s="102">
        <v>0</v>
      </c>
      <c r="FC40" s="102">
        <v>1557169</v>
      </c>
      <c r="FD40" s="102">
        <v>363848</v>
      </c>
      <c r="FE40" s="102">
        <v>1828</v>
      </c>
      <c r="FF40" s="102">
        <v>1240348</v>
      </c>
      <c r="FG40" s="73">
        <f t="shared" si="13"/>
        <v>134058</v>
      </c>
      <c r="FH40" s="102">
        <v>7241089</v>
      </c>
      <c r="FI40" s="379">
        <f t="shared" si="14"/>
        <v>0.8</v>
      </c>
      <c r="FJ40" s="102">
        <v>6073710</v>
      </c>
      <c r="FK40" s="102">
        <v>451879</v>
      </c>
      <c r="FL40" s="102">
        <v>3884861</v>
      </c>
      <c r="FM40" s="102">
        <v>4935882</v>
      </c>
      <c r="FN40" s="428">
        <v>0.78300000000000003</v>
      </c>
      <c r="FO40" s="424">
        <v>98.9</v>
      </c>
      <c r="FP40" s="425">
        <v>26.9</v>
      </c>
      <c r="FQ40" s="424">
        <v>13.3</v>
      </c>
      <c r="FR40" s="424">
        <v>15.5</v>
      </c>
      <c r="FS40" s="425">
        <v>22.1</v>
      </c>
      <c r="FT40" s="424">
        <v>4</v>
      </c>
      <c r="FU40" s="425">
        <v>16.100000000000001</v>
      </c>
      <c r="FV40" s="384">
        <v>5.6</v>
      </c>
      <c r="FW40" s="102">
        <v>10965114</v>
      </c>
      <c r="FX40" s="384">
        <f t="shared" si="15"/>
        <v>168</v>
      </c>
      <c r="FY40" s="102">
        <v>4262533</v>
      </c>
      <c r="FZ40" s="102">
        <v>1412812</v>
      </c>
      <c r="GA40" s="102">
        <v>1125867</v>
      </c>
      <c r="GB40" s="102">
        <v>1723854</v>
      </c>
      <c r="GC40" s="104">
        <v>0</v>
      </c>
      <c r="GD40" s="427"/>
      <c r="GE40" s="386"/>
      <c r="GF40" s="424">
        <v>99.6</v>
      </c>
      <c r="GG40" s="424">
        <v>10.1</v>
      </c>
      <c r="GH40" s="424">
        <v>94.5</v>
      </c>
      <c r="GI40" s="102">
        <v>238</v>
      </c>
      <c r="GJ40" s="429" t="s">
        <v>646</v>
      </c>
      <c r="GK40" s="429">
        <v>14.22</v>
      </c>
      <c r="GL40" s="87">
        <v>20</v>
      </c>
      <c r="GM40" s="429" t="s">
        <v>646</v>
      </c>
      <c r="GN40" s="430">
        <v>19.22</v>
      </c>
      <c r="GO40" s="430">
        <v>30</v>
      </c>
      <c r="GP40" s="425">
        <v>5.6</v>
      </c>
      <c r="GQ40" s="425">
        <v>25</v>
      </c>
      <c r="GR40" s="425">
        <v>35</v>
      </c>
      <c r="GS40" s="431" t="s">
        <v>646</v>
      </c>
      <c r="GT40" s="425">
        <v>350</v>
      </c>
      <c r="GU40" s="394"/>
      <c r="GV40" s="100">
        <f t="shared" si="16"/>
        <v>6526</v>
      </c>
      <c r="GW40" s="394"/>
      <c r="GX40" s="394"/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</row>
    <row r="41" spans="2:230" x14ac:dyDescent="0.15">
      <c r="B41" s="89" t="s">
        <v>71</v>
      </c>
      <c r="C41" s="102">
        <v>1917873</v>
      </c>
      <c r="D41" s="73">
        <f t="shared" si="0"/>
        <v>1142768</v>
      </c>
      <c r="E41" s="102">
        <v>36574</v>
      </c>
      <c r="F41" s="102">
        <v>1106194</v>
      </c>
      <c r="G41" s="73">
        <f t="shared" si="1"/>
        <v>40678</v>
      </c>
      <c r="H41" s="102">
        <v>23491</v>
      </c>
      <c r="I41" s="102">
        <v>17187</v>
      </c>
      <c r="J41" s="102">
        <v>656587</v>
      </c>
      <c r="K41" s="102">
        <v>192008</v>
      </c>
      <c r="L41" s="102">
        <v>329119</v>
      </c>
      <c r="M41" s="102">
        <v>135460</v>
      </c>
      <c r="N41" s="102">
        <v>45150</v>
      </c>
      <c r="O41" s="102">
        <v>0</v>
      </c>
      <c r="P41" s="102">
        <v>0</v>
      </c>
      <c r="Q41" s="102">
        <v>0</v>
      </c>
      <c r="R41" s="102">
        <v>57222</v>
      </c>
      <c r="S41" s="74"/>
      <c r="T41" s="73">
        <f t="shared" si="2"/>
        <v>367588</v>
      </c>
      <c r="U41" s="102">
        <v>4648</v>
      </c>
      <c r="V41" s="102">
        <v>16934</v>
      </c>
      <c r="W41" s="102">
        <v>9830</v>
      </c>
      <c r="X41" s="102">
        <v>305164</v>
      </c>
      <c r="Y41" s="102">
        <v>8204</v>
      </c>
      <c r="Z41" s="102">
        <v>0</v>
      </c>
      <c r="AA41" s="102">
        <v>22808</v>
      </c>
      <c r="AB41" s="102">
        <v>4429</v>
      </c>
      <c r="AC41" s="102">
        <v>2119093</v>
      </c>
      <c r="AD41" s="102">
        <v>1811020</v>
      </c>
      <c r="AE41" s="102">
        <v>308073</v>
      </c>
      <c r="AF41" s="102">
        <v>3348</v>
      </c>
      <c r="AG41" s="102">
        <v>64335</v>
      </c>
      <c r="AH41" s="73">
        <f t="shared" si="3"/>
        <v>75299</v>
      </c>
      <c r="AI41" s="102">
        <v>62309</v>
      </c>
      <c r="AJ41" s="102">
        <v>12990</v>
      </c>
      <c r="AK41" s="102">
        <v>582624</v>
      </c>
      <c r="AL41" s="73">
        <f t="shared" si="4"/>
        <v>109218</v>
      </c>
      <c r="AM41" s="102">
        <v>0</v>
      </c>
      <c r="AN41" s="102">
        <v>927</v>
      </c>
      <c r="AO41" s="74"/>
      <c r="AP41" s="102">
        <v>108291</v>
      </c>
      <c r="AQ41" s="102">
        <v>81854</v>
      </c>
      <c r="AR41" s="102">
        <v>11424</v>
      </c>
      <c r="AS41" s="102">
        <v>0</v>
      </c>
      <c r="AT41" s="102">
        <v>429858</v>
      </c>
      <c r="AU41" s="102">
        <v>169223</v>
      </c>
      <c r="AV41" s="102">
        <v>464</v>
      </c>
      <c r="AW41" s="102">
        <v>983</v>
      </c>
      <c r="AX41" s="102">
        <v>260635</v>
      </c>
      <c r="AY41" s="102">
        <v>0</v>
      </c>
      <c r="AZ41" s="102">
        <v>7919</v>
      </c>
      <c r="BA41" s="102">
        <v>368</v>
      </c>
      <c r="BB41" s="102">
        <v>14182</v>
      </c>
      <c r="BC41" s="102">
        <v>309637</v>
      </c>
      <c r="BD41" s="102">
        <v>16527</v>
      </c>
      <c r="BE41" s="102">
        <v>0</v>
      </c>
      <c r="BF41" s="102">
        <v>142044</v>
      </c>
      <c r="BG41" s="102">
        <v>0</v>
      </c>
      <c r="BH41" s="102">
        <v>350514</v>
      </c>
      <c r="BI41" s="102">
        <v>309400</v>
      </c>
      <c r="BJ41" s="102">
        <v>79533</v>
      </c>
      <c r="BK41" s="102">
        <v>4548</v>
      </c>
      <c r="BL41" s="102">
        <v>0</v>
      </c>
      <c r="BM41" s="102">
        <v>0</v>
      </c>
      <c r="BN41" s="102">
        <v>369331</v>
      </c>
      <c r="BO41" s="73">
        <f t="shared" si="5"/>
        <v>77100</v>
      </c>
      <c r="BP41" s="73">
        <f t="shared" si="6"/>
        <v>292231</v>
      </c>
      <c r="BQ41" s="102">
        <v>0</v>
      </c>
      <c r="BR41" s="102">
        <v>0</v>
      </c>
      <c r="BS41" s="102">
        <v>292231</v>
      </c>
      <c r="BT41" s="102">
        <v>0</v>
      </c>
      <c r="BU41" s="102">
        <v>6752785</v>
      </c>
      <c r="BV41" s="71"/>
      <c r="BW41" s="102">
        <v>1751643</v>
      </c>
      <c r="BX41" s="102">
        <v>1058052</v>
      </c>
      <c r="BY41" s="102">
        <v>156549</v>
      </c>
      <c r="BZ41" s="102">
        <v>187704</v>
      </c>
      <c r="CA41" s="102">
        <v>601008</v>
      </c>
      <c r="CB41" s="102">
        <v>329768</v>
      </c>
      <c r="CC41" s="102">
        <v>40184</v>
      </c>
      <c r="CD41" s="102">
        <v>219509</v>
      </c>
      <c r="CE41" s="102">
        <v>0</v>
      </c>
      <c r="CF41" s="102">
        <v>0</v>
      </c>
      <c r="CG41" s="102">
        <v>11547</v>
      </c>
      <c r="CH41" s="102">
        <v>532648</v>
      </c>
      <c r="CI41" s="102">
        <v>476034</v>
      </c>
      <c r="CJ41" s="83">
        <f t="shared" si="17"/>
        <v>56614</v>
      </c>
      <c r="CK41" s="102">
        <v>957850</v>
      </c>
      <c r="CL41" s="102">
        <v>498510</v>
      </c>
      <c r="CM41" s="102">
        <v>59861</v>
      </c>
      <c r="CN41" s="102">
        <v>202332</v>
      </c>
      <c r="CO41" s="102">
        <v>141170</v>
      </c>
      <c r="CP41" s="102">
        <v>972976</v>
      </c>
      <c r="CQ41" s="102">
        <v>339868</v>
      </c>
      <c r="CR41" s="102">
        <v>103944</v>
      </c>
      <c r="CS41" s="102">
        <v>99823</v>
      </c>
      <c r="CT41" s="73">
        <f t="shared" si="7"/>
        <v>121806</v>
      </c>
      <c r="CU41" s="102">
        <v>8615</v>
      </c>
      <c r="CV41" s="102">
        <v>113191</v>
      </c>
      <c r="CW41" s="73">
        <f t="shared" si="8"/>
        <v>0</v>
      </c>
      <c r="CX41" s="102">
        <v>0</v>
      </c>
      <c r="CY41" s="102">
        <v>0</v>
      </c>
      <c r="CZ41" s="73">
        <f t="shared" si="9"/>
        <v>0</v>
      </c>
      <c r="DA41" s="102">
        <v>0</v>
      </c>
      <c r="DB41" s="102">
        <v>0</v>
      </c>
      <c r="DC41" s="102">
        <v>317480</v>
      </c>
      <c r="DD41" s="102">
        <v>203535</v>
      </c>
      <c r="DE41" s="102">
        <v>108648</v>
      </c>
      <c r="DF41" s="102">
        <v>0</v>
      </c>
      <c r="DG41" s="102">
        <v>0</v>
      </c>
      <c r="DH41" s="102">
        <v>51854</v>
      </c>
      <c r="DI41" s="102">
        <v>306072</v>
      </c>
      <c r="DJ41" s="102">
        <v>158329</v>
      </c>
      <c r="DK41" s="102">
        <v>0</v>
      </c>
      <c r="DL41" s="102">
        <v>147743</v>
      </c>
      <c r="DM41" s="102">
        <v>0</v>
      </c>
      <c r="DN41" s="102">
        <v>0</v>
      </c>
      <c r="DO41" s="102">
        <v>0</v>
      </c>
      <c r="DP41" s="102">
        <v>0</v>
      </c>
      <c r="DQ41" s="102">
        <v>2964</v>
      </c>
      <c r="DR41" s="102">
        <v>0</v>
      </c>
      <c r="DS41" s="102">
        <v>0</v>
      </c>
      <c r="DT41" s="102">
        <v>927457</v>
      </c>
      <c r="DU41" s="102">
        <v>122227</v>
      </c>
      <c r="DV41" s="73">
        <f t="shared" si="10"/>
        <v>0</v>
      </c>
      <c r="DW41" s="102">
        <v>0</v>
      </c>
      <c r="DX41" s="102">
        <v>288158</v>
      </c>
      <c r="DY41" s="102">
        <v>0</v>
      </c>
      <c r="DZ41" s="102">
        <v>163284</v>
      </c>
      <c r="EA41" s="74">
        <v>0</v>
      </c>
      <c r="EB41" s="102">
        <v>329642</v>
      </c>
      <c r="EC41" s="102">
        <v>0</v>
      </c>
      <c r="ED41" s="102">
        <v>6563122</v>
      </c>
      <c r="EE41" s="71"/>
      <c r="EF41" s="102">
        <v>189663</v>
      </c>
      <c r="EG41" s="102">
        <v>44476</v>
      </c>
      <c r="EH41" s="102">
        <v>145187</v>
      </c>
      <c r="EI41" s="102">
        <v>-164213</v>
      </c>
      <c r="EJ41" s="102">
        <v>-22411</v>
      </c>
      <c r="EK41" s="71"/>
      <c r="EL41" s="102">
        <v>19934</v>
      </c>
      <c r="EM41" s="102">
        <v>20457</v>
      </c>
      <c r="EN41" s="102">
        <v>44565</v>
      </c>
      <c r="EO41" s="102">
        <v>368</v>
      </c>
      <c r="EP41" s="73">
        <f t="shared" si="11"/>
        <v>405983</v>
      </c>
      <c r="EQ41" s="102">
        <v>4469553</v>
      </c>
      <c r="ER41" s="71">
        <v>-739799</v>
      </c>
      <c r="ES41" s="102">
        <v>1488009</v>
      </c>
      <c r="ET41" s="102">
        <v>908054</v>
      </c>
      <c r="EU41" s="102">
        <v>143641</v>
      </c>
      <c r="EV41" s="102">
        <v>532648</v>
      </c>
      <c r="EW41" s="73">
        <f t="shared" si="12"/>
        <v>94823</v>
      </c>
      <c r="EX41" s="102">
        <v>88029</v>
      </c>
      <c r="EY41" s="102">
        <v>9772</v>
      </c>
      <c r="EZ41" s="102">
        <v>72960</v>
      </c>
      <c r="FA41" s="102">
        <v>6794</v>
      </c>
      <c r="FB41" s="102">
        <v>0</v>
      </c>
      <c r="FC41" s="102">
        <v>814111</v>
      </c>
      <c r="FD41" s="102">
        <v>883042</v>
      </c>
      <c r="FE41" s="102">
        <v>339868</v>
      </c>
      <c r="FF41" s="102">
        <v>795971</v>
      </c>
      <c r="FG41" s="73">
        <f t="shared" si="13"/>
        <v>267444</v>
      </c>
      <c r="FH41" s="102">
        <v>5019689</v>
      </c>
      <c r="FI41" s="379">
        <f t="shared" si="14"/>
        <v>3.2</v>
      </c>
      <c r="FJ41" s="102">
        <v>4205311</v>
      </c>
      <c r="FK41" s="102">
        <v>292231</v>
      </c>
      <c r="FL41" s="102">
        <v>1907219</v>
      </c>
      <c r="FM41" s="102">
        <v>3787872</v>
      </c>
      <c r="FN41" s="428">
        <v>0.51</v>
      </c>
      <c r="FO41" s="424">
        <v>97.5</v>
      </c>
      <c r="FP41" s="425">
        <v>32.5</v>
      </c>
      <c r="FQ41" s="424">
        <v>3.2</v>
      </c>
      <c r="FR41" s="424">
        <v>12</v>
      </c>
      <c r="FS41" s="425">
        <v>16.100000000000001</v>
      </c>
      <c r="FT41" s="424">
        <v>14.9</v>
      </c>
      <c r="FU41" s="425">
        <v>16.5</v>
      </c>
      <c r="FV41" s="384">
        <v>5.6</v>
      </c>
      <c r="FW41" s="102">
        <v>6034811</v>
      </c>
      <c r="FX41" s="384">
        <f t="shared" si="15"/>
        <v>134.19999999999999</v>
      </c>
      <c r="FY41" s="102">
        <v>3255899</v>
      </c>
      <c r="FZ41" s="102">
        <v>2215361</v>
      </c>
      <c r="GA41" s="102">
        <v>677</v>
      </c>
      <c r="GB41" s="102">
        <v>1039861</v>
      </c>
      <c r="GC41" s="104">
        <v>0</v>
      </c>
      <c r="GD41" s="427"/>
      <c r="GE41" s="386"/>
      <c r="GF41" s="424">
        <v>99.3</v>
      </c>
      <c r="GG41" s="424">
        <v>35.200000000000003</v>
      </c>
      <c r="GH41" s="424">
        <v>97.8</v>
      </c>
      <c r="GI41" s="102">
        <v>156</v>
      </c>
      <c r="GJ41" s="429" t="s">
        <v>646</v>
      </c>
      <c r="GK41" s="429">
        <v>15</v>
      </c>
      <c r="GL41" s="87">
        <v>20</v>
      </c>
      <c r="GM41" s="429" t="s">
        <v>646</v>
      </c>
      <c r="GN41" s="430">
        <v>20</v>
      </c>
      <c r="GO41" s="430">
        <v>30</v>
      </c>
      <c r="GP41" s="425">
        <v>5.6</v>
      </c>
      <c r="GQ41" s="425">
        <v>25</v>
      </c>
      <c r="GR41" s="425">
        <v>35</v>
      </c>
      <c r="GS41" s="431" t="s">
        <v>646</v>
      </c>
      <c r="GT41" s="425">
        <v>350</v>
      </c>
      <c r="GU41" s="394"/>
      <c r="GV41" s="100">
        <f t="shared" si="16"/>
        <v>4498</v>
      </c>
      <c r="GW41" s="394"/>
      <c r="GX41" s="394"/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</row>
    <row r="42" spans="2:230" x14ac:dyDescent="0.15">
      <c r="B42" s="89" t="s">
        <v>73</v>
      </c>
      <c r="C42" s="102">
        <v>1191731</v>
      </c>
      <c r="D42" s="73">
        <f t="shared" si="0"/>
        <v>417600</v>
      </c>
      <c r="E42" s="102">
        <v>18122</v>
      </c>
      <c r="F42" s="102">
        <v>399478</v>
      </c>
      <c r="G42" s="73">
        <f t="shared" si="1"/>
        <v>40139</v>
      </c>
      <c r="H42" s="102">
        <v>19315</v>
      </c>
      <c r="I42" s="102">
        <v>20824</v>
      </c>
      <c r="J42" s="102">
        <v>637586</v>
      </c>
      <c r="K42" s="102">
        <v>121805</v>
      </c>
      <c r="L42" s="102">
        <v>230168</v>
      </c>
      <c r="M42" s="102">
        <v>285613</v>
      </c>
      <c r="N42" s="102">
        <v>52119</v>
      </c>
      <c r="O42" s="102">
        <v>0</v>
      </c>
      <c r="P42" s="102">
        <v>0</v>
      </c>
      <c r="Q42" s="102">
        <v>0</v>
      </c>
      <c r="R42" s="102">
        <v>59421</v>
      </c>
      <c r="S42" s="74"/>
      <c r="T42" s="73">
        <f t="shared" si="2"/>
        <v>246662</v>
      </c>
      <c r="U42" s="102">
        <v>1678</v>
      </c>
      <c r="V42" s="102">
        <v>6116</v>
      </c>
      <c r="W42" s="102">
        <v>3562</v>
      </c>
      <c r="X42" s="102">
        <v>183636</v>
      </c>
      <c r="Y42" s="102">
        <v>28000</v>
      </c>
      <c r="Z42" s="102">
        <v>0</v>
      </c>
      <c r="AA42" s="102">
        <v>23670</v>
      </c>
      <c r="AB42" s="102">
        <v>639</v>
      </c>
      <c r="AC42" s="102">
        <v>2004561</v>
      </c>
      <c r="AD42" s="102">
        <v>1720145</v>
      </c>
      <c r="AE42" s="102">
        <v>284416</v>
      </c>
      <c r="AF42" s="102">
        <v>1848</v>
      </c>
      <c r="AG42" s="102">
        <v>14125</v>
      </c>
      <c r="AH42" s="73">
        <f t="shared" si="3"/>
        <v>89795</v>
      </c>
      <c r="AI42" s="102">
        <v>49951</v>
      </c>
      <c r="AJ42" s="102">
        <v>39844</v>
      </c>
      <c r="AK42" s="102">
        <v>408990</v>
      </c>
      <c r="AL42" s="73">
        <f t="shared" si="4"/>
        <v>112514</v>
      </c>
      <c r="AM42" s="102">
        <v>0</v>
      </c>
      <c r="AN42" s="102">
        <v>0</v>
      </c>
      <c r="AO42" s="74"/>
      <c r="AP42" s="102">
        <v>112514</v>
      </c>
      <c r="AQ42" s="102">
        <v>0</v>
      </c>
      <c r="AR42" s="102">
        <v>23098</v>
      </c>
      <c r="AS42" s="102">
        <v>0</v>
      </c>
      <c r="AT42" s="102">
        <v>328570</v>
      </c>
      <c r="AU42" s="102">
        <v>119077</v>
      </c>
      <c r="AV42" s="102">
        <v>0</v>
      </c>
      <c r="AW42" s="102">
        <v>0</v>
      </c>
      <c r="AX42" s="102">
        <v>209493</v>
      </c>
      <c r="AY42" s="102">
        <v>0</v>
      </c>
      <c r="AZ42" s="102">
        <v>4836</v>
      </c>
      <c r="BA42" s="102">
        <v>1244</v>
      </c>
      <c r="BB42" s="102">
        <v>3458</v>
      </c>
      <c r="BC42" s="102">
        <v>386484</v>
      </c>
      <c r="BD42" s="102">
        <v>250000</v>
      </c>
      <c r="BE42" s="102">
        <v>0</v>
      </c>
      <c r="BF42" s="102">
        <v>124700</v>
      </c>
      <c r="BG42" s="102">
        <v>0</v>
      </c>
      <c r="BH42" s="102">
        <v>157116</v>
      </c>
      <c r="BI42" s="102">
        <v>154195</v>
      </c>
      <c r="BJ42" s="102">
        <v>82662</v>
      </c>
      <c r="BK42" s="102">
        <v>0</v>
      </c>
      <c r="BL42" s="102">
        <v>0</v>
      </c>
      <c r="BM42" s="102">
        <v>0</v>
      </c>
      <c r="BN42" s="102">
        <v>218714</v>
      </c>
      <c r="BO42" s="73">
        <f t="shared" si="5"/>
        <v>29600</v>
      </c>
      <c r="BP42" s="73">
        <f t="shared" si="6"/>
        <v>189114</v>
      </c>
      <c r="BQ42" s="102">
        <v>0</v>
      </c>
      <c r="BR42" s="102">
        <v>0</v>
      </c>
      <c r="BS42" s="102">
        <v>189114</v>
      </c>
      <c r="BT42" s="102">
        <v>0</v>
      </c>
      <c r="BU42" s="102">
        <v>5199612</v>
      </c>
      <c r="BV42" s="71"/>
      <c r="BW42" s="102">
        <v>1077022</v>
      </c>
      <c r="BX42" s="102">
        <v>552256</v>
      </c>
      <c r="BY42" s="102">
        <v>119116</v>
      </c>
      <c r="BZ42" s="102">
        <v>153322</v>
      </c>
      <c r="CA42" s="102">
        <v>504492</v>
      </c>
      <c r="CB42" s="102">
        <v>307601</v>
      </c>
      <c r="CC42" s="102">
        <v>20744</v>
      </c>
      <c r="CD42" s="102">
        <v>157045</v>
      </c>
      <c r="CE42" s="102">
        <v>0</v>
      </c>
      <c r="CF42" s="102">
        <v>5401</v>
      </c>
      <c r="CG42" s="102">
        <v>13701</v>
      </c>
      <c r="CH42" s="102">
        <v>449877</v>
      </c>
      <c r="CI42" s="102">
        <v>402261</v>
      </c>
      <c r="CJ42" s="83">
        <f t="shared" si="17"/>
        <v>47616</v>
      </c>
      <c r="CK42" s="102">
        <v>811006</v>
      </c>
      <c r="CL42" s="102">
        <v>484747</v>
      </c>
      <c r="CM42" s="102">
        <v>17453</v>
      </c>
      <c r="CN42" s="102">
        <v>146113</v>
      </c>
      <c r="CO42" s="102">
        <v>16897</v>
      </c>
      <c r="CP42" s="102">
        <v>850352</v>
      </c>
      <c r="CQ42" s="102">
        <v>183782</v>
      </c>
      <c r="CR42" s="102">
        <v>182460</v>
      </c>
      <c r="CS42" s="102">
        <v>111826</v>
      </c>
      <c r="CT42" s="73">
        <f t="shared" si="7"/>
        <v>148059</v>
      </c>
      <c r="CU42" s="102">
        <v>2182</v>
      </c>
      <c r="CV42" s="102">
        <v>145877</v>
      </c>
      <c r="CW42" s="73">
        <f t="shared" si="8"/>
        <v>0</v>
      </c>
      <c r="CX42" s="102">
        <v>0</v>
      </c>
      <c r="CY42" s="102">
        <v>0</v>
      </c>
      <c r="CZ42" s="73">
        <f t="shared" si="9"/>
        <v>0</v>
      </c>
      <c r="DA42" s="102">
        <v>0</v>
      </c>
      <c r="DB42" s="102">
        <v>0</v>
      </c>
      <c r="DC42" s="102">
        <v>217282</v>
      </c>
      <c r="DD42" s="102">
        <v>75880</v>
      </c>
      <c r="DE42" s="102">
        <v>141402</v>
      </c>
      <c r="DF42" s="102">
        <v>0</v>
      </c>
      <c r="DG42" s="102">
        <v>0</v>
      </c>
      <c r="DH42" s="102">
        <v>34784</v>
      </c>
      <c r="DI42" s="102">
        <v>186078</v>
      </c>
      <c r="DJ42" s="102">
        <v>151800</v>
      </c>
      <c r="DK42" s="102">
        <v>0</v>
      </c>
      <c r="DL42" s="102">
        <v>34278</v>
      </c>
      <c r="DM42" s="102">
        <v>66789</v>
      </c>
      <c r="DN42" s="102">
        <v>66789</v>
      </c>
      <c r="DO42" s="102">
        <v>66789</v>
      </c>
      <c r="DP42" s="102">
        <v>0</v>
      </c>
      <c r="DQ42" s="102">
        <v>0</v>
      </c>
      <c r="DR42" s="102">
        <v>0</v>
      </c>
      <c r="DS42" s="102">
        <v>0</v>
      </c>
      <c r="DT42" s="102">
        <v>803961</v>
      </c>
      <c r="DU42" s="102">
        <v>215500</v>
      </c>
      <c r="DV42" s="73">
        <f t="shared" si="10"/>
        <v>0</v>
      </c>
      <c r="DW42" s="102">
        <v>0</v>
      </c>
      <c r="DX42" s="102">
        <v>206267</v>
      </c>
      <c r="DY42" s="102">
        <v>0</v>
      </c>
      <c r="DZ42" s="102">
        <v>124951</v>
      </c>
      <c r="EA42" s="74">
        <v>0</v>
      </c>
      <c r="EB42" s="102">
        <v>166278</v>
      </c>
      <c r="EC42" s="102">
        <v>0</v>
      </c>
      <c r="ED42" s="102">
        <v>5018540</v>
      </c>
      <c r="EE42" s="71"/>
      <c r="EF42" s="102">
        <v>181072</v>
      </c>
      <c r="EG42" s="102">
        <v>540</v>
      </c>
      <c r="EH42" s="102">
        <v>180532</v>
      </c>
      <c r="EI42" s="102">
        <v>26337</v>
      </c>
      <c r="EJ42" s="102">
        <v>-71863</v>
      </c>
      <c r="EK42" s="71"/>
      <c r="EL42" s="102">
        <v>10256</v>
      </c>
      <c r="EM42" s="102">
        <v>10617</v>
      </c>
      <c r="EN42" s="102">
        <v>380784</v>
      </c>
      <c r="EO42" s="102">
        <v>3537</v>
      </c>
      <c r="EP42" s="73">
        <f t="shared" si="11"/>
        <v>193751</v>
      </c>
      <c r="EQ42" s="102">
        <v>3504862</v>
      </c>
      <c r="ER42" s="71">
        <v>-765338</v>
      </c>
      <c r="ES42" s="102">
        <v>1008148</v>
      </c>
      <c r="ET42" s="102">
        <v>496775</v>
      </c>
      <c r="EU42" s="102">
        <v>139138</v>
      </c>
      <c r="EV42" s="102">
        <v>449877</v>
      </c>
      <c r="EW42" s="73">
        <f t="shared" si="12"/>
        <v>159831</v>
      </c>
      <c r="EX42" s="102">
        <v>151545</v>
      </c>
      <c r="EY42" s="102">
        <v>15443</v>
      </c>
      <c r="EZ42" s="102">
        <v>136102</v>
      </c>
      <c r="FA42" s="102">
        <v>8286</v>
      </c>
      <c r="FB42" s="102">
        <v>0</v>
      </c>
      <c r="FC42" s="102">
        <v>656109</v>
      </c>
      <c r="FD42" s="102">
        <v>702298</v>
      </c>
      <c r="FE42" s="102">
        <v>183782</v>
      </c>
      <c r="FF42" s="102">
        <v>708426</v>
      </c>
      <c r="FG42" s="73">
        <f t="shared" si="13"/>
        <v>265301</v>
      </c>
      <c r="FH42" s="102">
        <v>4089128</v>
      </c>
      <c r="FI42" s="379">
        <f t="shared" si="14"/>
        <v>5.3</v>
      </c>
      <c r="FJ42" s="102">
        <v>3235083</v>
      </c>
      <c r="FK42" s="102">
        <v>189114</v>
      </c>
      <c r="FL42" s="102">
        <v>1198984</v>
      </c>
      <c r="FM42" s="102">
        <v>2925323</v>
      </c>
      <c r="FN42" s="428">
        <v>0.41899999999999998</v>
      </c>
      <c r="FO42" s="424">
        <v>97.1</v>
      </c>
      <c r="FP42" s="425">
        <v>27.2</v>
      </c>
      <c r="FQ42" s="424">
        <v>4.0999999999999996</v>
      </c>
      <c r="FR42" s="424">
        <v>13.1</v>
      </c>
      <c r="FS42" s="425">
        <v>14.9</v>
      </c>
      <c r="FT42" s="424">
        <v>18.100000000000001</v>
      </c>
      <c r="FU42" s="425">
        <v>17.399999999999999</v>
      </c>
      <c r="FV42" s="384">
        <v>14</v>
      </c>
      <c r="FW42" s="102">
        <v>5791354</v>
      </c>
      <c r="FX42" s="384">
        <f t="shared" si="15"/>
        <v>169.1</v>
      </c>
      <c r="FY42" s="102">
        <v>2192690</v>
      </c>
      <c r="FZ42" s="102">
        <v>1462245</v>
      </c>
      <c r="GA42" s="102">
        <v>0</v>
      </c>
      <c r="GB42" s="102">
        <v>730445</v>
      </c>
      <c r="GC42" s="104">
        <v>0</v>
      </c>
      <c r="GD42" s="427"/>
      <c r="GE42" s="386"/>
      <c r="GF42" s="424">
        <v>99</v>
      </c>
      <c r="GG42" s="424">
        <v>24</v>
      </c>
      <c r="GH42" s="424">
        <v>95.2</v>
      </c>
      <c r="GI42" s="102">
        <v>92</v>
      </c>
      <c r="GJ42" s="429" t="s">
        <v>646</v>
      </c>
      <c r="GK42" s="429">
        <v>15</v>
      </c>
      <c r="GL42" s="87">
        <v>20</v>
      </c>
      <c r="GM42" s="429" t="s">
        <v>646</v>
      </c>
      <c r="GN42" s="430">
        <v>20</v>
      </c>
      <c r="GO42" s="430">
        <v>30</v>
      </c>
      <c r="GP42" s="425">
        <v>14</v>
      </c>
      <c r="GQ42" s="425">
        <v>25</v>
      </c>
      <c r="GR42" s="425">
        <v>35</v>
      </c>
      <c r="GS42" s="431">
        <v>125.5</v>
      </c>
      <c r="GT42" s="425">
        <v>350</v>
      </c>
      <c r="GU42" s="394"/>
      <c r="GV42" s="100">
        <f t="shared" si="16"/>
        <v>3424</v>
      </c>
      <c r="GW42" s="394"/>
      <c r="GX42" s="394"/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</row>
    <row r="43" spans="2:230" x14ac:dyDescent="0.15">
      <c r="B43" s="89" t="s">
        <v>75</v>
      </c>
      <c r="C43" s="102">
        <v>2338664</v>
      </c>
      <c r="D43" s="73">
        <f t="shared" si="0"/>
        <v>716164</v>
      </c>
      <c r="E43" s="102">
        <v>25034</v>
      </c>
      <c r="F43" s="102">
        <v>691130</v>
      </c>
      <c r="G43" s="73">
        <f t="shared" si="1"/>
        <v>176093</v>
      </c>
      <c r="H43" s="102">
        <v>47167</v>
      </c>
      <c r="I43" s="102">
        <v>128926</v>
      </c>
      <c r="J43" s="102">
        <v>1082391</v>
      </c>
      <c r="K43" s="102">
        <v>520355</v>
      </c>
      <c r="L43" s="102">
        <v>399173</v>
      </c>
      <c r="M43" s="102">
        <v>151740</v>
      </c>
      <c r="N43" s="102">
        <v>103132</v>
      </c>
      <c r="O43" s="102">
        <v>227939</v>
      </c>
      <c r="P43" s="102">
        <v>140182</v>
      </c>
      <c r="Q43" s="102">
        <v>87757</v>
      </c>
      <c r="R43" s="102">
        <v>32786</v>
      </c>
      <c r="S43" s="74"/>
      <c r="T43" s="73">
        <f t="shared" si="2"/>
        <v>334709</v>
      </c>
      <c r="U43" s="102">
        <v>2579</v>
      </c>
      <c r="V43" s="102">
        <v>9405</v>
      </c>
      <c r="W43" s="102">
        <v>5532</v>
      </c>
      <c r="X43" s="102">
        <v>304126</v>
      </c>
      <c r="Y43" s="102">
        <v>0</v>
      </c>
      <c r="Z43" s="102">
        <v>0</v>
      </c>
      <c r="AA43" s="102">
        <v>13067</v>
      </c>
      <c r="AB43" s="102">
        <v>11860</v>
      </c>
      <c r="AC43" s="102">
        <v>1722247</v>
      </c>
      <c r="AD43" s="102">
        <v>1457287</v>
      </c>
      <c r="AE43" s="102">
        <v>264960</v>
      </c>
      <c r="AF43" s="102">
        <v>3388</v>
      </c>
      <c r="AG43" s="102">
        <v>3663</v>
      </c>
      <c r="AH43" s="73">
        <f t="shared" si="3"/>
        <v>180147</v>
      </c>
      <c r="AI43" s="102">
        <v>139518</v>
      </c>
      <c r="AJ43" s="102">
        <v>40629</v>
      </c>
      <c r="AK43" s="102">
        <v>575811</v>
      </c>
      <c r="AL43" s="73">
        <f t="shared" si="4"/>
        <v>150022</v>
      </c>
      <c r="AM43" s="102">
        <v>0</v>
      </c>
      <c r="AN43" s="102">
        <v>36061</v>
      </c>
      <c r="AO43" s="74"/>
      <c r="AP43" s="102">
        <v>113961</v>
      </c>
      <c r="AQ43" s="102">
        <v>14627</v>
      </c>
      <c r="AR43" s="102">
        <v>0</v>
      </c>
      <c r="AS43" s="102">
        <v>0</v>
      </c>
      <c r="AT43" s="102">
        <v>427565</v>
      </c>
      <c r="AU43" s="102">
        <v>183921</v>
      </c>
      <c r="AV43" s="102">
        <v>18030</v>
      </c>
      <c r="AW43" s="102">
        <v>250</v>
      </c>
      <c r="AX43" s="102">
        <v>243644</v>
      </c>
      <c r="AY43" s="102">
        <v>0</v>
      </c>
      <c r="AZ43" s="102">
        <v>30365</v>
      </c>
      <c r="BA43" s="102">
        <v>700</v>
      </c>
      <c r="BB43" s="102">
        <v>27321</v>
      </c>
      <c r="BC43" s="102">
        <v>222137</v>
      </c>
      <c r="BD43" s="102">
        <v>180000</v>
      </c>
      <c r="BE43" s="102">
        <v>0</v>
      </c>
      <c r="BF43" s="102">
        <v>40116</v>
      </c>
      <c r="BG43" s="102">
        <v>0</v>
      </c>
      <c r="BH43" s="102">
        <v>4814</v>
      </c>
      <c r="BI43" s="102">
        <v>4701</v>
      </c>
      <c r="BJ43" s="102">
        <v>96023</v>
      </c>
      <c r="BK43" s="102">
        <v>0</v>
      </c>
      <c r="BL43" s="102">
        <v>0</v>
      </c>
      <c r="BM43" s="102">
        <v>0</v>
      </c>
      <c r="BN43" s="102">
        <v>397358</v>
      </c>
      <c r="BO43" s="73">
        <f t="shared" si="5"/>
        <v>139800</v>
      </c>
      <c r="BP43" s="73">
        <f t="shared" si="6"/>
        <v>257558</v>
      </c>
      <c r="BQ43" s="102">
        <v>0</v>
      </c>
      <c r="BR43" s="102">
        <v>0</v>
      </c>
      <c r="BS43" s="102">
        <v>257558</v>
      </c>
      <c r="BT43" s="102">
        <v>0</v>
      </c>
      <c r="BU43" s="102">
        <v>6408858</v>
      </c>
      <c r="BV43" s="71"/>
      <c r="BW43" s="102">
        <v>1277893</v>
      </c>
      <c r="BX43" s="102">
        <v>919412</v>
      </c>
      <c r="BY43" s="102">
        <v>62605</v>
      </c>
      <c r="BZ43" s="102">
        <v>11531</v>
      </c>
      <c r="CA43" s="102">
        <v>1108446</v>
      </c>
      <c r="CB43" s="102">
        <v>454856</v>
      </c>
      <c r="CC43" s="102">
        <v>33551</v>
      </c>
      <c r="CD43" s="102">
        <v>598450</v>
      </c>
      <c r="CE43" s="102">
        <v>0</v>
      </c>
      <c r="CF43" s="102">
        <v>0</v>
      </c>
      <c r="CG43" s="102">
        <v>21589</v>
      </c>
      <c r="CH43" s="102">
        <v>936400</v>
      </c>
      <c r="CI43" s="102">
        <v>832288</v>
      </c>
      <c r="CJ43" s="83">
        <f t="shared" si="17"/>
        <v>104112</v>
      </c>
      <c r="CK43" s="102">
        <v>1410590</v>
      </c>
      <c r="CL43" s="102">
        <v>960139</v>
      </c>
      <c r="CM43" s="102">
        <v>138237</v>
      </c>
      <c r="CN43" s="102">
        <v>159236</v>
      </c>
      <c r="CO43" s="102">
        <v>26237</v>
      </c>
      <c r="CP43" s="102">
        <v>269754</v>
      </c>
      <c r="CQ43" s="102">
        <v>31206</v>
      </c>
      <c r="CR43" s="102">
        <v>53945</v>
      </c>
      <c r="CS43" s="102">
        <v>40582</v>
      </c>
      <c r="CT43" s="73">
        <f t="shared" si="7"/>
        <v>26786</v>
      </c>
      <c r="CU43" s="102">
        <v>26786</v>
      </c>
      <c r="CV43" s="102">
        <v>0</v>
      </c>
      <c r="CW43" s="73">
        <f t="shared" si="8"/>
        <v>26484</v>
      </c>
      <c r="CX43" s="102">
        <v>26484</v>
      </c>
      <c r="CY43" s="102">
        <v>0</v>
      </c>
      <c r="CZ43" s="73">
        <f t="shared" si="9"/>
        <v>0</v>
      </c>
      <c r="DA43" s="102">
        <v>0</v>
      </c>
      <c r="DB43" s="102">
        <v>0</v>
      </c>
      <c r="DC43" s="102">
        <v>194265</v>
      </c>
      <c r="DD43" s="102">
        <v>60802</v>
      </c>
      <c r="DE43" s="102">
        <v>133463</v>
      </c>
      <c r="DF43" s="102">
        <v>0</v>
      </c>
      <c r="DG43" s="102">
        <v>0</v>
      </c>
      <c r="DH43" s="102">
        <v>0</v>
      </c>
      <c r="DI43" s="102">
        <v>29746</v>
      </c>
      <c r="DJ43" s="102">
        <v>12038</v>
      </c>
      <c r="DK43" s="102">
        <v>0</v>
      </c>
      <c r="DL43" s="102">
        <v>17708</v>
      </c>
      <c r="DM43" s="102">
        <v>0</v>
      </c>
      <c r="DN43" s="102">
        <v>0</v>
      </c>
      <c r="DO43" s="102">
        <v>0</v>
      </c>
      <c r="DP43" s="102">
        <v>0</v>
      </c>
      <c r="DQ43" s="102">
        <v>0</v>
      </c>
      <c r="DR43" s="102">
        <v>0</v>
      </c>
      <c r="DS43" s="102">
        <v>0</v>
      </c>
      <c r="DT43" s="102">
        <v>1146748</v>
      </c>
      <c r="DU43" s="102">
        <v>426707</v>
      </c>
      <c r="DV43" s="73">
        <f t="shared" si="10"/>
        <v>0</v>
      </c>
      <c r="DW43" s="102">
        <v>0</v>
      </c>
      <c r="DX43" s="102">
        <v>275019</v>
      </c>
      <c r="DY43" s="102">
        <v>0</v>
      </c>
      <c r="DZ43" s="102">
        <v>224652</v>
      </c>
      <c r="EA43" s="74">
        <v>0</v>
      </c>
      <c r="EB43" s="102">
        <v>220370</v>
      </c>
      <c r="EC43" s="102">
        <v>0</v>
      </c>
      <c r="ED43" s="102">
        <v>6400079</v>
      </c>
      <c r="EE43" s="71"/>
      <c r="EF43" s="102">
        <v>8779</v>
      </c>
      <c r="EG43" s="102">
        <v>250</v>
      </c>
      <c r="EH43" s="102">
        <v>8529</v>
      </c>
      <c r="EI43" s="102">
        <v>3828</v>
      </c>
      <c r="EJ43" s="102">
        <v>-164134</v>
      </c>
      <c r="EK43" s="71"/>
      <c r="EL43" s="102">
        <v>17298</v>
      </c>
      <c r="EM43" s="102">
        <v>17427</v>
      </c>
      <c r="EN43" s="102">
        <v>217021</v>
      </c>
      <c r="EO43" s="102">
        <v>30268</v>
      </c>
      <c r="EP43" s="73">
        <f t="shared" si="11"/>
        <v>105189</v>
      </c>
      <c r="EQ43" s="102">
        <v>4443654</v>
      </c>
      <c r="ER43" s="71">
        <v>-606648</v>
      </c>
      <c r="ES43" s="102">
        <v>1204102</v>
      </c>
      <c r="ET43" s="102">
        <v>846969</v>
      </c>
      <c r="EU43" s="102">
        <v>381479</v>
      </c>
      <c r="EV43" s="102">
        <v>936400</v>
      </c>
      <c r="EW43" s="73">
        <f t="shared" si="12"/>
        <v>31184</v>
      </c>
      <c r="EX43" s="102">
        <v>31184</v>
      </c>
      <c r="EY43" s="102">
        <v>4484</v>
      </c>
      <c r="EZ43" s="102">
        <v>26700</v>
      </c>
      <c r="FA43" s="102">
        <v>0</v>
      </c>
      <c r="FB43" s="102">
        <v>0</v>
      </c>
      <c r="FC43" s="102">
        <v>1211937</v>
      </c>
      <c r="FD43" s="102">
        <v>243315</v>
      </c>
      <c r="FE43" s="102">
        <v>31206</v>
      </c>
      <c r="FF43" s="102">
        <v>1005256</v>
      </c>
      <c r="FG43" s="73">
        <f t="shared" si="13"/>
        <v>27850</v>
      </c>
      <c r="FH43" s="102">
        <v>5041523</v>
      </c>
      <c r="FI43" s="379">
        <f t="shared" si="14"/>
        <v>0.2</v>
      </c>
      <c r="FJ43" s="102">
        <v>3886940</v>
      </c>
      <c r="FK43" s="102">
        <v>257558</v>
      </c>
      <c r="FL43" s="102">
        <v>1905306</v>
      </c>
      <c r="FM43" s="102">
        <v>3365780</v>
      </c>
      <c r="FN43" s="428">
        <v>0.56799999999999995</v>
      </c>
      <c r="FO43" s="424">
        <v>112.7</v>
      </c>
      <c r="FP43" s="425">
        <v>28.2</v>
      </c>
      <c r="FQ43" s="424">
        <v>8.9</v>
      </c>
      <c r="FR43" s="424">
        <v>21.9</v>
      </c>
      <c r="FS43" s="425">
        <v>26.2</v>
      </c>
      <c r="FT43" s="424">
        <v>4.3</v>
      </c>
      <c r="FU43" s="425">
        <v>22.6</v>
      </c>
      <c r="FV43" s="384">
        <v>19.3</v>
      </c>
      <c r="FW43" s="102">
        <v>8117227</v>
      </c>
      <c r="FX43" s="384">
        <f t="shared" si="15"/>
        <v>195.9</v>
      </c>
      <c r="FY43" s="102">
        <v>407512</v>
      </c>
      <c r="FZ43" s="102">
        <v>259582</v>
      </c>
      <c r="GA43" s="102">
        <v>0</v>
      </c>
      <c r="GB43" s="102">
        <v>147930</v>
      </c>
      <c r="GC43" s="104">
        <v>0</v>
      </c>
      <c r="GD43" s="427"/>
      <c r="GE43" s="386"/>
      <c r="GF43" s="424">
        <v>99</v>
      </c>
      <c r="GG43" s="424">
        <v>28.5</v>
      </c>
      <c r="GH43" s="424">
        <v>95.6</v>
      </c>
      <c r="GI43" s="102">
        <v>152</v>
      </c>
      <c r="GJ43" s="429" t="s">
        <v>646</v>
      </c>
      <c r="GK43" s="429">
        <v>15</v>
      </c>
      <c r="GL43" s="87">
        <v>20</v>
      </c>
      <c r="GM43" s="429" t="s">
        <v>646</v>
      </c>
      <c r="GN43" s="430">
        <v>20</v>
      </c>
      <c r="GO43" s="430">
        <v>30</v>
      </c>
      <c r="GP43" s="425">
        <v>19.3</v>
      </c>
      <c r="GQ43" s="425">
        <v>25</v>
      </c>
      <c r="GR43" s="425">
        <v>35</v>
      </c>
      <c r="GS43" s="431">
        <v>103.5</v>
      </c>
      <c r="GT43" s="425">
        <v>350</v>
      </c>
      <c r="GU43" s="394"/>
      <c r="GV43" s="100">
        <f t="shared" si="16"/>
        <v>4144</v>
      </c>
      <c r="GW43" s="394"/>
      <c r="GX43" s="394"/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</row>
    <row r="44" spans="2:230" x14ac:dyDescent="0.15">
      <c r="B44" s="89" t="s">
        <v>77</v>
      </c>
      <c r="C44" s="102">
        <v>4150808</v>
      </c>
      <c r="D44" s="73">
        <f t="shared" si="0"/>
        <v>2211449</v>
      </c>
      <c r="E44" s="102">
        <v>70410</v>
      </c>
      <c r="F44" s="102">
        <v>2141039</v>
      </c>
      <c r="G44" s="73">
        <f t="shared" si="1"/>
        <v>100326</v>
      </c>
      <c r="H44" s="102">
        <v>46940</v>
      </c>
      <c r="I44" s="102">
        <v>53386</v>
      </c>
      <c r="J44" s="102">
        <v>1579933</v>
      </c>
      <c r="K44" s="102">
        <v>579691</v>
      </c>
      <c r="L44" s="102">
        <v>781565</v>
      </c>
      <c r="M44" s="102">
        <v>206670</v>
      </c>
      <c r="N44" s="102">
        <v>164722</v>
      </c>
      <c r="O44" s="102">
        <v>0</v>
      </c>
      <c r="P44" s="102">
        <v>0</v>
      </c>
      <c r="Q44" s="102">
        <v>0</v>
      </c>
      <c r="R44" s="102">
        <v>86911</v>
      </c>
      <c r="S44" s="74"/>
      <c r="T44" s="73">
        <f t="shared" si="2"/>
        <v>800945</v>
      </c>
      <c r="U44" s="102">
        <v>8387</v>
      </c>
      <c r="V44" s="102">
        <v>30576</v>
      </c>
      <c r="W44" s="102">
        <v>17971</v>
      </c>
      <c r="X44" s="102">
        <v>698795</v>
      </c>
      <c r="Y44" s="102">
        <v>10575</v>
      </c>
      <c r="Z44" s="102">
        <v>0</v>
      </c>
      <c r="AA44" s="102">
        <v>34641</v>
      </c>
      <c r="AB44" s="102">
        <v>36063</v>
      </c>
      <c r="AC44" s="102">
        <v>2475791</v>
      </c>
      <c r="AD44" s="102">
        <v>2287967</v>
      </c>
      <c r="AE44" s="102">
        <v>187824</v>
      </c>
      <c r="AF44" s="102">
        <v>6842</v>
      </c>
      <c r="AG44" s="102">
        <v>3535</v>
      </c>
      <c r="AH44" s="73">
        <f t="shared" si="3"/>
        <v>430574</v>
      </c>
      <c r="AI44" s="102">
        <v>312246</v>
      </c>
      <c r="AJ44" s="102">
        <v>118328</v>
      </c>
      <c r="AK44" s="102">
        <v>1602812</v>
      </c>
      <c r="AL44" s="73">
        <f t="shared" si="4"/>
        <v>516320</v>
      </c>
      <c r="AM44" s="102">
        <v>0</v>
      </c>
      <c r="AN44" s="102">
        <v>217565</v>
      </c>
      <c r="AO44" s="74"/>
      <c r="AP44" s="102">
        <v>298755</v>
      </c>
      <c r="AQ44" s="102">
        <v>1134</v>
      </c>
      <c r="AR44" s="102">
        <v>0</v>
      </c>
      <c r="AS44" s="102">
        <v>0</v>
      </c>
      <c r="AT44" s="102">
        <v>948148</v>
      </c>
      <c r="AU44" s="102">
        <v>498037</v>
      </c>
      <c r="AV44" s="102">
        <v>109772</v>
      </c>
      <c r="AW44" s="102">
        <v>0</v>
      </c>
      <c r="AX44" s="102">
        <v>450111</v>
      </c>
      <c r="AY44" s="102">
        <v>1771</v>
      </c>
      <c r="AZ44" s="102">
        <v>21778</v>
      </c>
      <c r="BA44" s="102">
        <v>14212</v>
      </c>
      <c r="BB44" s="102">
        <v>397336</v>
      </c>
      <c r="BC44" s="102">
        <v>633646</v>
      </c>
      <c r="BD44" s="102">
        <v>385000</v>
      </c>
      <c r="BE44" s="102">
        <v>0</v>
      </c>
      <c r="BF44" s="102">
        <v>248633</v>
      </c>
      <c r="BG44" s="102">
        <v>0</v>
      </c>
      <c r="BH44" s="102">
        <v>98241</v>
      </c>
      <c r="BI44" s="102">
        <v>52958</v>
      </c>
      <c r="BJ44" s="102">
        <v>227723</v>
      </c>
      <c r="BK44" s="102">
        <v>0</v>
      </c>
      <c r="BL44" s="102">
        <v>0</v>
      </c>
      <c r="BM44" s="102">
        <v>0</v>
      </c>
      <c r="BN44" s="102">
        <v>837750</v>
      </c>
      <c r="BO44" s="73">
        <f t="shared" si="5"/>
        <v>304750</v>
      </c>
      <c r="BP44" s="73">
        <f t="shared" si="6"/>
        <v>533000</v>
      </c>
      <c r="BQ44" s="102">
        <v>0</v>
      </c>
      <c r="BR44" s="102">
        <v>0</v>
      </c>
      <c r="BS44" s="102">
        <v>533000</v>
      </c>
      <c r="BT44" s="102">
        <v>0</v>
      </c>
      <c r="BU44" s="102">
        <v>12758903</v>
      </c>
      <c r="BV44" s="71"/>
      <c r="BW44" s="102">
        <v>2547673</v>
      </c>
      <c r="BX44" s="102">
        <v>1660498</v>
      </c>
      <c r="BY44" s="102">
        <v>190858</v>
      </c>
      <c r="BZ44" s="102">
        <v>202676</v>
      </c>
      <c r="CA44" s="102">
        <v>2585417</v>
      </c>
      <c r="CB44" s="102">
        <v>834738</v>
      </c>
      <c r="CC44" s="102">
        <v>81953</v>
      </c>
      <c r="CD44" s="102">
        <v>1580304</v>
      </c>
      <c r="CE44" s="102">
        <v>0</v>
      </c>
      <c r="CF44" s="102">
        <v>3017</v>
      </c>
      <c r="CG44" s="102">
        <v>85405</v>
      </c>
      <c r="CH44" s="102">
        <v>1136210</v>
      </c>
      <c r="CI44" s="102">
        <v>1064934</v>
      </c>
      <c r="CJ44" s="83">
        <f t="shared" si="17"/>
        <v>71276</v>
      </c>
      <c r="CK44" s="102">
        <v>2051112</v>
      </c>
      <c r="CL44" s="102">
        <v>1106504</v>
      </c>
      <c r="CM44" s="102">
        <v>210985</v>
      </c>
      <c r="CN44" s="102">
        <v>363009</v>
      </c>
      <c r="CO44" s="102">
        <v>129735</v>
      </c>
      <c r="CP44" s="102">
        <v>1163247</v>
      </c>
      <c r="CQ44" s="102">
        <v>484532</v>
      </c>
      <c r="CR44" s="102">
        <v>403056</v>
      </c>
      <c r="CS44" s="102">
        <v>225639</v>
      </c>
      <c r="CT44" s="73">
        <f t="shared" si="7"/>
        <v>8272</v>
      </c>
      <c r="CU44" s="102">
        <v>7196</v>
      </c>
      <c r="CV44" s="102">
        <v>1076</v>
      </c>
      <c r="CW44" s="73">
        <f t="shared" si="8"/>
        <v>0</v>
      </c>
      <c r="CX44" s="102">
        <v>0</v>
      </c>
      <c r="CY44" s="102">
        <v>0</v>
      </c>
      <c r="CZ44" s="73">
        <f t="shared" si="9"/>
        <v>0</v>
      </c>
      <c r="DA44" s="102">
        <v>0</v>
      </c>
      <c r="DB44" s="102">
        <v>0</v>
      </c>
      <c r="DC44" s="102">
        <v>992413</v>
      </c>
      <c r="DD44" s="102">
        <v>406170</v>
      </c>
      <c r="DE44" s="102">
        <v>585925</v>
      </c>
      <c r="DF44" s="102">
        <v>318</v>
      </c>
      <c r="DG44" s="102">
        <v>0</v>
      </c>
      <c r="DH44" s="102">
        <v>0</v>
      </c>
      <c r="DI44" s="102">
        <v>364197</v>
      </c>
      <c r="DJ44" s="102">
        <v>27000</v>
      </c>
      <c r="DK44" s="102">
        <v>809</v>
      </c>
      <c r="DL44" s="102">
        <v>336388</v>
      </c>
      <c r="DM44" s="102">
        <v>31000</v>
      </c>
      <c r="DN44" s="102">
        <v>31000</v>
      </c>
      <c r="DO44" s="102">
        <v>31000</v>
      </c>
      <c r="DP44" s="102">
        <v>0</v>
      </c>
      <c r="DQ44" s="102">
        <v>0</v>
      </c>
      <c r="DR44" s="102">
        <v>0</v>
      </c>
      <c r="DS44" s="102">
        <v>0</v>
      </c>
      <c r="DT44" s="102">
        <v>1702526</v>
      </c>
      <c r="DU44" s="102">
        <v>317200</v>
      </c>
      <c r="DV44" s="73">
        <f t="shared" si="10"/>
        <v>0</v>
      </c>
      <c r="DW44" s="102">
        <v>0</v>
      </c>
      <c r="DX44" s="102">
        <v>505151</v>
      </c>
      <c r="DY44" s="102">
        <v>0</v>
      </c>
      <c r="DZ44" s="102">
        <v>408204</v>
      </c>
      <c r="EA44" s="74">
        <v>0</v>
      </c>
      <c r="EB44" s="102">
        <v>471971</v>
      </c>
      <c r="EC44" s="102">
        <v>0</v>
      </c>
      <c r="ED44" s="102">
        <v>12703530</v>
      </c>
      <c r="EE44" s="71"/>
      <c r="EF44" s="102">
        <v>55373</v>
      </c>
      <c r="EG44" s="102">
        <v>3576</v>
      </c>
      <c r="EH44" s="102">
        <v>51797</v>
      </c>
      <c r="EI44" s="102">
        <v>-1161</v>
      </c>
      <c r="EJ44" s="102">
        <v>-359161</v>
      </c>
      <c r="EK44" s="71"/>
      <c r="EL44" s="102">
        <v>44435</v>
      </c>
      <c r="EM44" s="102">
        <v>44034</v>
      </c>
      <c r="EN44" s="102">
        <v>395217</v>
      </c>
      <c r="EO44" s="102">
        <v>20538</v>
      </c>
      <c r="EP44" s="73">
        <f t="shared" si="11"/>
        <v>530919</v>
      </c>
      <c r="EQ44" s="102">
        <v>7557360</v>
      </c>
      <c r="ER44" s="71">
        <v>-1472832</v>
      </c>
      <c r="ES44" s="102">
        <v>2355893</v>
      </c>
      <c r="ET44" s="102">
        <v>1513732</v>
      </c>
      <c r="EU44" s="102">
        <v>911680</v>
      </c>
      <c r="EV44" s="102">
        <v>1101692</v>
      </c>
      <c r="EW44" s="73">
        <f t="shared" si="12"/>
        <v>262802</v>
      </c>
      <c r="EX44" s="102">
        <v>262802</v>
      </c>
      <c r="EY44" s="102">
        <v>7466</v>
      </c>
      <c r="EZ44" s="102">
        <v>255018</v>
      </c>
      <c r="FA44" s="102">
        <v>0</v>
      </c>
      <c r="FB44" s="102">
        <v>0</v>
      </c>
      <c r="FC44" s="102">
        <v>1674463</v>
      </c>
      <c r="FD44" s="102">
        <v>973097</v>
      </c>
      <c r="FE44" s="102">
        <v>484181</v>
      </c>
      <c r="FF44" s="102">
        <v>1422576</v>
      </c>
      <c r="FG44" s="73">
        <f t="shared" si="13"/>
        <v>272616</v>
      </c>
      <c r="FH44" s="102">
        <v>8974819</v>
      </c>
      <c r="FI44" s="379">
        <f t="shared" si="14"/>
        <v>0.6</v>
      </c>
      <c r="FJ44" s="102">
        <v>7472286</v>
      </c>
      <c r="FK44" s="102">
        <v>533762</v>
      </c>
      <c r="FL44" s="102">
        <v>4107298</v>
      </c>
      <c r="FM44" s="102">
        <v>6400530</v>
      </c>
      <c r="FN44" s="428">
        <v>0.64100000000000001</v>
      </c>
      <c r="FO44" s="424">
        <v>99.9</v>
      </c>
      <c r="FP44" s="425">
        <v>28.4</v>
      </c>
      <c r="FQ44" s="424">
        <v>11.3</v>
      </c>
      <c r="FR44" s="424">
        <v>13.7</v>
      </c>
      <c r="FS44" s="425">
        <v>19.100000000000001</v>
      </c>
      <c r="FT44" s="424">
        <v>10</v>
      </c>
      <c r="FU44" s="425">
        <v>16.2</v>
      </c>
      <c r="FV44" s="384">
        <v>7.4</v>
      </c>
      <c r="FW44" s="102">
        <v>8662706</v>
      </c>
      <c r="FX44" s="384">
        <f t="shared" si="15"/>
        <v>108.2</v>
      </c>
      <c r="FY44" s="102">
        <v>3959441</v>
      </c>
      <c r="FZ44" s="102">
        <v>1071221</v>
      </c>
      <c r="GA44" s="102">
        <v>616301</v>
      </c>
      <c r="GB44" s="102">
        <v>2271919</v>
      </c>
      <c r="GC44" s="104">
        <v>0</v>
      </c>
      <c r="GD44" s="427">
        <v>714</v>
      </c>
      <c r="GE44" s="386">
        <f>IF(GD44=0,"-",ROUND(GD44/(GV44)*100,1))</f>
        <v>8.9</v>
      </c>
      <c r="GF44" s="424">
        <v>99</v>
      </c>
      <c r="GG44" s="424">
        <v>31</v>
      </c>
      <c r="GH44" s="424">
        <v>96.4</v>
      </c>
      <c r="GI44" s="102">
        <v>291</v>
      </c>
      <c r="GJ44" s="429" t="s">
        <v>646</v>
      </c>
      <c r="GK44" s="429">
        <v>13.75</v>
      </c>
      <c r="GL44" s="87">
        <v>20</v>
      </c>
      <c r="GM44" s="429" t="s">
        <v>646</v>
      </c>
      <c r="GN44" s="430">
        <v>18.75</v>
      </c>
      <c r="GO44" s="430">
        <v>30</v>
      </c>
      <c r="GP44" s="425">
        <v>7.4</v>
      </c>
      <c r="GQ44" s="425">
        <v>25</v>
      </c>
      <c r="GR44" s="425">
        <v>35</v>
      </c>
      <c r="GS44" s="431">
        <v>1.3</v>
      </c>
      <c r="GT44" s="425">
        <v>350</v>
      </c>
      <c r="GU44" s="394"/>
      <c r="GV44" s="100">
        <f t="shared" si="16"/>
        <v>8006</v>
      </c>
      <c r="GW44" s="394"/>
      <c r="GX44" s="394"/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</row>
    <row r="45" spans="2:230" x14ac:dyDescent="0.15">
      <c r="B45" s="89" t="s">
        <v>79</v>
      </c>
      <c r="C45" s="102">
        <v>4473121</v>
      </c>
      <c r="D45" s="73">
        <f t="shared" si="0"/>
        <v>389856</v>
      </c>
      <c r="E45" s="102">
        <v>13529</v>
      </c>
      <c r="F45" s="102">
        <v>376327</v>
      </c>
      <c r="G45" s="73">
        <f t="shared" si="1"/>
        <v>741219</v>
      </c>
      <c r="H45" s="102">
        <v>58613</v>
      </c>
      <c r="I45" s="102">
        <v>682606</v>
      </c>
      <c r="J45" s="102">
        <v>2864589</v>
      </c>
      <c r="K45" s="102">
        <v>1495794</v>
      </c>
      <c r="L45" s="102">
        <v>705325</v>
      </c>
      <c r="M45" s="102">
        <v>625548</v>
      </c>
      <c r="N45" s="102">
        <v>461704</v>
      </c>
      <c r="O45" s="102">
        <v>0</v>
      </c>
      <c r="P45" s="102">
        <v>0</v>
      </c>
      <c r="Q45" s="102">
        <v>0</v>
      </c>
      <c r="R45" s="102">
        <v>59724</v>
      </c>
      <c r="S45" s="74"/>
      <c r="T45" s="73">
        <f t="shared" si="2"/>
        <v>195263</v>
      </c>
      <c r="U45" s="102">
        <v>1343</v>
      </c>
      <c r="V45" s="102">
        <v>4903</v>
      </c>
      <c r="W45" s="102">
        <v>2907</v>
      </c>
      <c r="X45" s="102">
        <v>179706</v>
      </c>
      <c r="Y45" s="102">
        <v>0</v>
      </c>
      <c r="Z45" s="102">
        <v>0</v>
      </c>
      <c r="AA45" s="102">
        <v>6404</v>
      </c>
      <c r="AB45" s="102">
        <v>4567</v>
      </c>
      <c r="AC45" s="102">
        <v>5203</v>
      </c>
      <c r="AD45" s="102">
        <v>0</v>
      </c>
      <c r="AE45" s="102">
        <v>5203</v>
      </c>
      <c r="AF45" s="102">
        <v>1268</v>
      </c>
      <c r="AG45" s="102">
        <v>1027</v>
      </c>
      <c r="AH45" s="73">
        <f t="shared" si="3"/>
        <v>119684</v>
      </c>
      <c r="AI45" s="102">
        <v>97383</v>
      </c>
      <c r="AJ45" s="102">
        <v>22301</v>
      </c>
      <c r="AK45" s="102">
        <v>287265</v>
      </c>
      <c r="AL45" s="73">
        <f t="shared" si="4"/>
        <v>94344</v>
      </c>
      <c r="AM45" s="102">
        <v>0</v>
      </c>
      <c r="AN45" s="102">
        <v>0</v>
      </c>
      <c r="AO45" s="74"/>
      <c r="AP45" s="102">
        <v>94344</v>
      </c>
      <c r="AQ45" s="102">
        <v>4184</v>
      </c>
      <c r="AR45" s="102">
        <v>0</v>
      </c>
      <c r="AS45" s="102">
        <v>0</v>
      </c>
      <c r="AT45" s="102">
        <v>220508</v>
      </c>
      <c r="AU45" s="102">
        <v>112109</v>
      </c>
      <c r="AV45" s="102">
        <v>0</v>
      </c>
      <c r="AW45" s="102">
        <v>0</v>
      </c>
      <c r="AX45" s="102">
        <v>108399</v>
      </c>
      <c r="AY45" s="102">
        <v>2160</v>
      </c>
      <c r="AZ45" s="102">
        <v>11580</v>
      </c>
      <c r="BA45" s="102">
        <v>0</v>
      </c>
      <c r="BB45" s="102">
        <v>5375</v>
      </c>
      <c r="BC45" s="102">
        <v>23337</v>
      </c>
      <c r="BD45" s="102">
        <v>0</v>
      </c>
      <c r="BE45" s="102">
        <v>0</v>
      </c>
      <c r="BF45" s="102">
        <v>23337</v>
      </c>
      <c r="BG45" s="102">
        <v>0</v>
      </c>
      <c r="BH45" s="102">
        <v>324518</v>
      </c>
      <c r="BI45" s="102">
        <v>316787</v>
      </c>
      <c r="BJ45" s="102">
        <v>70235</v>
      </c>
      <c r="BK45" s="102">
        <v>0</v>
      </c>
      <c r="BL45" s="102">
        <v>0</v>
      </c>
      <c r="BM45" s="102">
        <v>0</v>
      </c>
      <c r="BN45" s="102">
        <v>0</v>
      </c>
      <c r="BO45" s="73">
        <f t="shared" si="5"/>
        <v>0</v>
      </c>
      <c r="BP45" s="73">
        <f t="shared" si="6"/>
        <v>0</v>
      </c>
      <c r="BQ45" s="102">
        <v>0</v>
      </c>
      <c r="BR45" s="102">
        <v>0</v>
      </c>
      <c r="BS45" s="102">
        <v>0</v>
      </c>
      <c r="BT45" s="102">
        <v>0</v>
      </c>
      <c r="BU45" s="102">
        <v>5802675</v>
      </c>
      <c r="BV45" s="71"/>
      <c r="BW45" s="102">
        <v>1118687</v>
      </c>
      <c r="BX45" s="102">
        <v>712520</v>
      </c>
      <c r="BY45" s="102">
        <v>2620</v>
      </c>
      <c r="BZ45" s="102">
        <v>140028</v>
      </c>
      <c r="CA45" s="102">
        <v>512759</v>
      </c>
      <c r="CB45" s="102">
        <v>239973</v>
      </c>
      <c r="CC45" s="102">
        <v>19261</v>
      </c>
      <c r="CD45" s="102">
        <v>239793</v>
      </c>
      <c r="CE45" s="102">
        <v>0</v>
      </c>
      <c r="CF45" s="102">
        <v>983</v>
      </c>
      <c r="CG45" s="102">
        <v>12749</v>
      </c>
      <c r="CH45" s="102">
        <v>181090</v>
      </c>
      <c r="CI45" s="102">
        <v>168801</v>
      </c>
      <c r="CJ45" s="83">
        <f t="shared" si="17"/>
        <v>12289</v>
      </c>
      <c r="CK45" s="102">
        <v>517504</v>
      </c>
      <c r="CL45" s="102">
        <v>295573</v>
      </c>
      <c r="CM45" s="102">
        <v>6832</v>
      </c>
      <c r="CN45" s="102">
        <v>147311</v>
      </c>
      <c r="CO45" s="102">
        <v>13050</v>
      </c>
      <c r="CP45" s="102">
        <v>636573</v>
      </c>
      <c r="CQ45" s="102">
        <v>345444</v>
      </c>
      <c r="CR45" s="102">
        <v>40421</v>
      </c>
      <c r="CS45" s="102">
        <v>40421</v>
      </c>
      <c r="CT45" s="73">
        <f t="shared" si="7"/>
        <v>1979</v>
      </c>
      <c r="CU45" s="102">
        <v>0</v>
      </c>
      <c r="CV45" s="102">
        <v>1979</v>
      </c>
      <c r="CW45" s="73">
        <f t="shared" si="8"/>
        <v>0</v>
      </c>
      <c r="CX45" s="102">
        <v>0</v>
      </c>
      <c r="CY45" s="102">
        <v>0</v>
      </c>
      <c r="CZ45" s="73">
        <f t="shared" si="9"/>
        <v>0</v>
      </c>
      <c r="DA45" s="102">
        <v>0</v>
      </c>
      <c r="DB45" s="102">
        <v>0</v>
      </c>
      <c r="DC45" s="102">
        <v>149331</v>
      </c>
      <c r="DD45" s="102">
        <v>73716</v>
      </c>
      <c r="DE45" s="102">
        <v>75615</v>
      </c>
      <c r="DF45" s="102">
        <v>0</v>
      </c>
      <c r="DG45" s="102">
        <v>0</v>
      </c>
      <c r="DH45" s="102">
        <v>0</v>
      </c>
      <c r="DI45" s="102">
        <v>1560559</v>
      </c>
      <c r="DJ45" s="102">
        <v>1504551</v>
      </c>
      <c r="DK45" s="102">
        <v>0</v>
      </c>
      <c r="DL45" s="102">
        <v>56008</v>
      </c>
      <c r="DM45" s="102">
        <v>0</v>
      </c>
      <c r="DN45" s="102">
        <v>0</v>
      </c>
      <c r="DO45" s="102">
        <v>0</v>
      </c>
      <c r="DP45" s="102">
        <v>0</v>
      </c>
      <c r="DQ45" s="102">
        <v>0</v>
      </c>
      <c r="DR45" s="102">
        <v>0</v>
      </c>
      <c r="DS45" s="102">
        <v>0</v>
      </c>
      <c r="DT45" s="102">
        <v>814593</v>
      </c>
      <c r="DU45" s="102">
        <v>505776</v>
      </c>
      <c r="DV45" s="73">
        <f t="shared" si="10"/>
        <v>0</v>
      </c>
      <c r="DW45" s="102">
        <v>0</v>
      </c>
      <c r="DX45" s="102">
        <v>95717</v>
      </c>
      <c r="DY45" s="102">
        <v>0</v>
      </c>
      <c r="DZ45" s="102">
        <v>92004</v>
      </c>
      <c r="EA45" s="74">
        <v>0</v>
      </c>
      <c r="EB45" s="102">
        <v>121096</v>
      </c>
      <c r="EC45" s="102">
        <v>0</v>
      </c>
      <c r="ED45" s="102">
        <v>5504146</v>
      </c>
      <c r="EE45" s="71"/>
      <c r="EF45" s="102">
        <v>298529</v>
      </c>
      <c r="EG45" s="102">
        <v>0</v>
      </c>
      <c r="EH45" s="102">
        <v>298529</v>
      </c>
      <c r="EI45" s="102">
        <v>-18258</v>
      </c>
      <c r="EJ45" s="102">
        <v>1486293</v>
      </c>
      <c r="EK45" s="71"/>
      <c r="EL45" s="102">
        <v>8417</v>
      </c>
      <c r="EM45" s="102">
        <v>8588</v>
      </c>
      <c r="EN45" s="102">
        <v>23337</v>
      </c>
      <c r="EO45" s="102">
        <v>2</v>
      </c>
      <c r="EP45" s="73">
        <f t="shared" si="11"/>
        <v>349728</v>
      </c>
      <c r="EQ45" s="102">
        <v>4739146</v>
      </c>
      <c r="ER45" s="71">
        <v>-371799</v>
      </c>
      <c r="ES45" s="102">
        <v>1009323</v>
      </c>
      <c r="ET45" s="102">
        <v>619983</v>
      </c>
      <c r="EU45" s="102">
        <v>158955</v>
      </c>
      <c r="EV45" s="102">
        <v>181090</v>
      </c>
      <c r="EW45" s="73">
        <f t="shared" si="12"/>
        <v>136536</v>
      </c>
      <c r="EX45" s="102">
        <v>136536</v>
      </c>
      <c r="EY45" s="102">
        <v>63081</v>
      </c>
      <c r="EZ45" s="102">
        <v>73455</v>
      </c>
      <c r="FA45" s="102">
        <v>0</v>
      </c>
      <c r="FB45" s="102">
        <v>0</v>
      </c>
      <c r="FC45" s="102">
        <v>392138</v>
      </c>
      <c r="FD45" s="102">
        <v>615473</v>
      </c>
      <c r="FE45" s="102">
        <v>345034</v>
      </c>
      <c r="FF45" s="102">
        <v>761853</v>
      </c>
      <c r="FG45" s="73">
        <f t="shared" si="13"/>
        <v>1557048</v>
      </c>
      <c r="FH45" s="102">
        <v>4812416</v>
      </c>
      <c r="FI45" s="379">
        <f t="shared" si="14"/>
        <v>7.6</v>
      </c>
      <c r="FJ45" s="102">
        <v>3919015</v>
      </c>
      <c r="FK45" s="102">
        <v>0</v>
      </c>
      <c r="FL45" s="102">
        <v>2988546</v>
      </c>
      <c r="FM45" s="102">
        <v>2176220</v>
      </c>
      <c r="FN45" s="428">
        <v>1.3680000000000001</v>
      </c>
      <c r="FO45" s="424">
        <v>57.4</v>
      </c>
      <c r="FP45" s="425">
        <v>21.3</v>
      </c>
      <c r="FQ45" s="424">
        <v>3.4</v>
      </c>
      <c r="FR45" s="424">
        <v>3.8</v>
      </c>
      <c r="FS45" s="425">
        <v>7.3</v>
      </c>
      <c r="FT45" s="424">
        <v>8.3000000000000007</v>
      </c>
      <c r="FU45" s="425">
        <v>13.1</v>
      </c>
      <c r="FV45" s="384">
        <v>9.8000000000000007</v>
      </c>
      <c r="FW45" s="102">
        <v>596209</v>
      </c>
      <c r="FX45" s="384">
        <f t="shared" si="15"/>
        <v>15.2</v>
      </c>
      <c r="FY45" s="102">
        <v>7404604</v>
      </c>
      <c r="FZ45" s="102">
        <v>6872862</v>
      </c>
      <c r="GA45" s="102">
        <v>0</v>
      </c>
      <c r="GB45" s="102">
        <v>531742</v>
      </c>
      <c r="GC45" s="104">
        <v>0</v>
      </c>
      <c r="GD45" s="427"/>
      <c r="GE45" s="386"/>
      <c r="GF45" s="424">
        <v>99.8</v>
      </c>
      <c r="GG45" s="424">
        <v>35.9</v>
      </c>
      <c r="GH45" s="424">
        <v>99.6</v>
      </c>
      <c r="GI45" s="102">
        <v>113</v>
      </c>
      <c r="GJ45" s="429" t="s">
        <v>646</v>
      </c>
      <c r="GK45" s="429">
        <v>15</v>
      </c>
      <c r="GL45" s="87">
        <v>20</v>
      </c>
      <c r="GM45" s="429" t="s">
        <v>646</v>
      </c>
      <c r="GN45" s="430">
        <v>20</v>
      </c>
      <c r="GO45" s="430">
        <v>30</v>
      </c>
      <c r="GP45" s="425">
        <v>9.8000000000000007</v>
      </c>
      <c r="GQ45" s="425">
        <v>25</v>
      </c>
      <c r="GR45" s="425">
        <v>35</v>
      </c>
      <c r="GS45" s="431" t="s">
        <v>646</v>
      </c>
      <c r="GT45" s="425">
        <v>350</v>
      </c>
      <c r="GU45" s="394"/>
      <c r="GV45" s="100">
        <f t="shared" si="16"/>
        <v>3919</v>
      </c>
      <c r="GW45" s="394"/>
      <c r="GX45" s="394"/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</row>
    <row r="46" spans="2:230" x14ac:dyDescent="0.15">
      <c r="B46" s="89" t="s">
        <v>81</v>
      </c>
      <c r="C46" s="102">
        <v>2035569</v>
      </c>
      <c r="D46" s="73">
        <f t="shared" si="0"/>
        <v>653624</v>
      </c>
      <c r="E46" s="102">
        <v>25872</v>
      </c>
      <c r="F46" s="102">
        <v>627752</v>
      </c>
      <c r="G46" s="73">
        <f t="shared" si="1"/>
        <v>56873</v>
      </c>
      <c r="H46" s="102">
        <v>32971</v>
      </c>
      <c r="I46" s="102">
        <v>23902</v>
      </c>
      <c r="J46" s="102">
        <v>1202914</v>
      </c>
      <c r="K46" s="102">
        <v>460113</v>
      </c>
      <c r="L46" s="102">
        <v>428396</v>
      </c>
      <c r="M46" s="102">
        <v>310799</v>
      </c>
      <c r="N46" s="102">
        <v>84493</v>
      </c>
      <c r="O46" s="102">
        <v>0</v>
      </c>
      <c r="P46" s="102">
        <v>0</v>
      </c>
      <c r="Q46" s="102">
        <v>0</v>
      </c>
      <c r="R46" s="102">
        <v>45304</v>
      </c>
      <c r="S46" s="74"/>
      <c r="T46" s="73">
        <f t="shared" si="2"/>
        <v>357642</v>
      </c>
      <c r="U46" s="102">
        <v>2551</v>
      </c>
      <c r="V46" s="102">
        <v>9298</v>
      </c>
      <c r="W46" s="102">
        <v>5445</v>
      </c>
      <c r="X46" s="102">
        <v>269234</v>
      </c>
      <c r="Y46" s="102">
        <v>53057</v>
      </c>
      <c r="Z46" s="102">
        <v>0</v>
      </c>
      <c r="AA46" s="102">
        <v>18057</v>
      </c>
      <c r="AB46" s="102">
        <v>5873</v>
      </c>
      <c r="AC46" s="102">
        <v>1910827</v>
      </c>
      <c r="AD46" s="102">
        <v>1648019</v>
      </c>
      <c r="AE46" s="102">
        <v>262808</v>
      </c>
      <c r="AF46" s="102">
        <v>3223</v>
      </c>
      <c r="AG46" s="102">
        <v>10746</v>
      </c>
      <c r="AH46" s="73">
        <f t="shared" si="3"/>
        <v>109962</v>
      </c>
      <c r="AI46" s="102">
        <v>92237</v>
      </c>
      <c r="AJ46" s="102">
        <v>17725</v>
      </c>
      <c r="AK46" s="102">
        <v>1078530</v>
      </c>
      <c r="AL46" s="73">
        <f t="shared" si="4"/>
        <v>200984</v>
      </c>
      <c r="AM46" s="102">
        <v>0</v>
      </c>
      <c r="AN46" s="102">
        <v>8645</v>
      </c>
      <c r="AO46" s="74"/>
      <c r="AP46" s="102">
        <v>192339</v>
      </c>
      <c r="AQ46" s="102">
        <v>18988</v>
      </c>
      <c r="AR46" s="102">
        <v>0</v>
      </c>
      <c r="AS46" s="102">
        <v>0</v>
      </c>
      <c r="AT46" s="102">
        <v>488071</v>
      </c>
      <c r="AU46" s="102">
        <v>196194</v>
      </c>
      <c r="AV46" s="102">
        <v>4388</v>
      </c>
      <c r="AW46" s="102">
        <v>37</v>
      </c>
      <c r="AX46" s="102">
        <v>291877</v>
      </c>
      <c r="AY46" s="102">
        <v>0</v>
      </c>
      <c r="AZ46" s="102">
        <v>43429</v>
      </c>
      <c r="BA46" s="102">
        <v>5151</v>
      </c>
      <c r="BB46" s="102">
        <v>261578</v>
      </c>
      <c r="BC46" s="102">
        <v>601257</v>
      </c>
      <c r="BD46" s="102">
        <v>30000</v>
      </c>
      <c r="BE46" s="102">
        <v>0</v>
      </c>
      <c r="BF46" s="102">
        <v>361607</v>
      </c>
      <c r="BG46" s="102">
        <v>0</v>
      </c>
      <c r="BH46" s="102">
        <v>66960</v>
      </c>
      <c r="BI46" s="102">
        <v>49367</v>
      </c>
      <c r="BJ46" s="102">
        <v>151810</v>
      </c>
      <c r="BK46" s="102">
        <v>549</v>
      </c>
      <c r="BL46" s="102">
        <v>0</v>
      </c>
      <c r="BM46" s="102">
        <v>0</v>
      </c>
      <c r="BN46" s="102">
        <v>812055</v>
      </c>
      <c r="BO46" s="73">
        <f t="shared" si="5"/>
        <v>545600</v>
      </c>
      <c r="BP46" s="73">
        <f t="shared" si="6"/>
        <v>266455</v>
      </c>
      <c r="BQ46" s="102">
        <v>0</v>
      </c>
      <c r="BR46" s="102">
        <v>0</v>
      </c>
      <c r="BS46" s="102">
        <v>266455</v>
      </c>
      <c r="BT46" s="102">
        <v>0</v>
      </c>
      <c r="BU46" s="102">
        <v>7982836</v>
      </c>
      <c r="BV46" s="71"/>
      <c r="BW46" s="102">
        <v>1387510</v>
      </c>
      <c r="BX46" s="102">
        <v>882973</v>
      </c>
      <c r="BY46" s="102">
        <v>189250</v>
      </c>
      <c r="BZ46" s="102">
        <v>20441</v>
      </c>
      <c r="CA46" s="102">
        <v>947952</v>
      </c>
      <c r="CB46" s="102">
        <v>497383</v>
      </c>
      <c r="CC46" s="102">
        <v>38670</v>
      </c>
      <c r="CD46" s="102">
        <v>397001</v>
      </c>
      <c r="CE46" s="102">
        <v>0</v>
      </c>
      <c r="CF46" s="102">
        <v>1494</v>
      </c>
      <c r="CG46" s="102">
        <v>13104</v>
      </c>
      <c r="CH46" s="102">
        <v>812819</v>
      </c>
      <c r="CI46" s="102">
        <v>731983</v>
      </c>
      <c r="CJ46" s="83">
        <f t="shared" si="17"/>
        <v>80836</v>
      </c>
      <c r="CK46" s="102">
        <v>1229158</v>
      </c>
      <c r="CL46" s="102">
        <v>547123</v>
      </c>
      <c r="CM46" s="102">
        <v>245601</v>
      </c>
      <c r="CN46" s="102">
        <v>279218</v>
      </c>
      <c r="CO46" s="102">
        <v>110043</v>
      </c>
      <c r="CP46" s="102">
        <v>587739</v>
      </c>
      <c r="CQ46" s="102">
        <v>322307</v>
      </c>
      <c r="CR46" s="102">
        <v>88262</v>
      </c>
      <c r="CS46" s="102">
        <v>83278</v>
      </c>
      <c r="CT46" s="73">
        <f t="shared" si="7"/>
        <v>865</v>
      </c>
      <c r="CU46" s="102">
        <v>865</v>
      </c>
      <c r="CV46" s="102">
        <v>0</v>
      </c>
      <c r="CW46" s="73">
        <f t="shared" si="8"/>
        <v>0</v>
      </c>
      <c r="CX46" s="102">
        <v>0</v>
      </c>
      <c r="CY46" s="102">
        <v>0</v>
      </c>
      <c r="CZ46" s="73">
        <f t="shared" si="9"/>
        <v>0</v>
      </c>
      <c r="DA46" s="102">
        <v>0</v>
      </c>
      <c r="DB46" s="102">
        <v>0</v>
      </c>
      <c r="DC46" s="102">
        <v>1391845</v>
      </c>
      <c r="DD46" s="102">
        <v>860076</v>
      </c>
      <c r="DE46" s="102">
        <v>529623</v>
      </c>
      <c r="DF46" s="102">
        <v>2146</v>
      </c>
      <c r="DG46" s="102">
        <v>0</v>
      </c>
      <c r="DH46" s="102">
        <v>0</v>
      </c>
      <c r="DI46" s="102">
        <v>364707</v>
      </c>
      <c r="DJ46" s="102">
        <v>290</v>
      </c>
      <c r="DK46" s="102">
        <v>32</v>
      </c>
      <c r="DL46" s="102">
        <v>364385</v>
      </c>
      <c r="DM46" s="102">
        <v>0</v>
      </c>
      <c r="DN46" s="102">
        <v>0</v>
      </c>
      <c r="DO46" s="102">
        <v>0</v>
      </c>
      <c r="DP46" s="102">
        <v>0</v>
      </c>
      <c r="DQ46" s="102">
        <v>0</v>
      </c>
      <c r="DR46" s="102">
        <v>0</v>
      </c>
      <c r="DS46" s="102">
        <v>0</v>
      </c>
      <c r="DT46" s="102">
        <v>1084065</v>
      </c>
      <c r="DU46" s="102">
        <v>299557</v>
      </c>
      <c r="DV46" s="73">
        <f t="shared" si="10"/>
        <v>0</v>
      </c>
      <c r="DW46" s="102">
        <v>0</v>
      </c>
      <c r="DX46" s="102">
        <v>327535</v>
      </c>
      <c r="DY46" s="102">
        <v>0</v>
      </c>
      <c r="DZ46" s="102">
        <v>175353</v>
      </c>
      <c r="EA46" s="74">
        <v>0</v>
      </c>
      <c r="EB46" s="102">
        <v>269070</v>
      </c>
      <c r="EC46" s="102">
        <v>0</v>
      </c>
      <c r="ED46" s="102">
        <v>7915838</v>
      </c>
      <c r="EE46" s="71"/>
      <c r="EF46" s="102">
        <v>66998</v>
      </c>
      <c r="EG46" s="102">
        <v>12334</v>
      </c>
      <c r="EH46" s="102">
        <v>54664</v>
      </c>
      <c r="EI46" s="102">
        <v>5238</v>
      </c>
      <c r="EJ46" s="102">
        <v>-24472</v>
      </c>
      <c r="EK46" s="71"/>
      <c r="EL46" s="102">
        <v>15938</v>
      </c>
      <c r="EM46" s="102">
        <v>16259</v>
      </c>
      <c r="EN46" s="102">
        <v>92959</v>
      </c>
      <c r="EO46" s="102">
        <v>17618</v>
      </c>
      <c r="EP46" s="73">
        <f t="shared" si="11"/>
        <v>120905</v>
      </c>
      <c r="EQ46" s="102">
        <v>4358438</v>
      </c>
      <c r="ER46" s="71">
        <v>-494714</v>
      </c>
      <c r="ES46" s="102">
        <v>1248603</v>
      </c>
      <c r="ET46" s="102">
        <v>750619</v>
      </c>
      <c r="EU46" s="102">
        <v>312432</v>
      </c>
      <c r="EV46" s="102">
        <v>812819</v>
      </c>
      <c r="EW46" s="73">
        <f t="shared" si="12"/>
        <v>111464</v>
      </c>
      <c r="EX46" s="102">
        <v>111464</v>
      </c>
      <c r="EY46" s="102">
        <v>1444</v>
      </c>
      <c r="EZ46" s="102">
        <v>108574</v>
      </c>
      <c r="FA46" s="102">
        <v>0</v>
      </c>
      <c r="FB46" s="102">
        <v>0</v>
      </c>
      <c r="FC46" s="102">
        <v>879477</v>
      </c>
      <c r="FD46" s="102">
        <v>441975</v>
      </c>
      <c r="FE46" s="102">
        <v>322307</v>
      </c>
      <c r="FF46" s="102">
        <v>916671</v>
      </c>
      <c r="FG46" s="73">
        <f t="shared" si="13"/>
        <v>62713</v>
      </c>
      <c r="FH46" s="102">
        <v>4786154</v>
      </c>
      <c r="FI46" s="379">
        <f t="shared" si="14"/>
        <v>1.3</v>
      </c>
      <c r="FJ46" s="102">
        <v>4029555</v>
      </c>
      <c r="FK46" s="102">
        <v>266455</v>
      </c>
      <c r="FL46" s="102">
        <v>1871408</v>
      </c>
      <c r="FM46" s="102">
        <v>3522325</v>
      </c>
      <c r="FN46" s="428">
        <v>0.53300000000000003</v>
      </c>
      <c r="FO46" s="424">
        <v>96.9</v>
      </c>
      <c r="FP46" s="425">
        <v>26.5</v>
      </c>
      <c r="FQ46" s="424">
        <v>7.1</v>
      </c>
      <c r="FR46" s="424">
        <v>18.5</v>
      </c>
      <c r="FS46" s="425">
        <v>17.100000000000001</v>
      </c>
      <c r="FT46" s="424">
        <v>9</v>
      </c>
      <c r="FU46" s="425">
        <v>17.2</v>
      </c>
      <c r="FV46" s="384">
        <v>14.7</v>
      </c>
      <c r="FW46" s="102">
        <v>7331018</v>
      </c>
      <c r="FX46" s="384">
        <f t="shared" si="15"/>
        <v>170.6</v>
      </c>
      <c r="FY46" s="102">
        <v>1412723</v>
      </c>
      <c r="FZ46" s="102">
        <v>857671</v>
      </c>
      <c r="GA46" s="102">
        <v>38453</v>
      </c>
      <c r="GB46" s="102">
        <v>516599</v>
      </c>
      <c r="GC46" s="104">
        <v>0</v>
      </c>
      <c r="GD46" s="427"/>
      <c r="GE46" s="386"/>
      <c r="GF46" s="424">
        <v>98.8</v>
      </c>
      <c r="GG46" s="424">
        <v>17</v>
      </c>
      <c r="GH46" s="424">
        <v>94.1</v>
      </c>
      <c r="GI46" s="102">
        <v>137</v>
      </c>
      <c r="GJ46" s="429" t="s">
        <v>646</v>
      </c>
      <c r="GK46" s="429">
        <v>15</v>
      </c>
      <c r="GL46" s="87">
        <v>20</v>
      </c>
      <c r="GM46" s="429" t="s">
        <v>646</v>
      </c>
      <c r="GN46" s="430">
        <v>20</v>
      </c>
      <c r="GO46" s="430">
        <v>30</v>
      </c>
      <c r="GP46" s="425">
        <v>14.7</v>
      </c>
      <c r="GQ46" s="425">
        <v>25</v>
      </c>
      <c r="GR46" s="425">
        <v>35</v>
      </c>
      <c r="GS46" s="431">
        <v>115.2</v>
      </c>
      <c r="GT46" s="425">
        <v>350</v>
      </c>
      <c r="GU46" s="394"/>
      <c r="GV46" s="100">
        <f t="shared" si="16"/>
        <v>4296</v>
      </c>
      <c r="GW46" s="394"/>
      <c r="GX46" s="394"/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</row>
    <row r="47" spans="2:230" x14ac:dyDescent="0.15">
      <c r="B47" s="89" t="s">
        <v>83</v>
      </c>
      <c r="C47" s="102">
        <v>1469173</v>
      </c>
      <c r="D47" s="73">
        <f t="shared" si="0"/>
        <v>655069</v>
      </c>
      <c r="E47" s="102">
        <v>22308</v>
      </c>
      <c r="F47" s="102">
        <v>632761</v>
      </c>
      <c r="G47" s="73">
        <f t="shared" si="1"/>
        <v>30539</v>
      </c>
      <c r="H47" s="102">
        <v>17270</v>
      </c>
      <c r="I47" s="102">
        <v>13269</v>
      </c>
      <c r="J47" s="102">
        <v>519633</v>
      </c>
      <c r="K47" s="102">
        <v>201068</v>
      </c>
      <c r="L47" s="102">
        <v>255859</v>
      </c>
      <c r="M47" s="102">
        <v>62706</v>
      </c>
      <c r="N47" s="102">
        <v>230471</v>
      </c>
      <c r="O47" s="102">
        <v>0</v>
      </c>
      <c r="P47" s="102">
        <v>0</v>
      </c>
      <c r="Q47" s="102">
        <v>0</v>
      </c>
      <c r="R47" s="102">
        <v>35364</v>
      </c>
      <c r="S47" s="74"/>
      <c r="T47" s="73">
        <f t="shared" si="2"/>
        <v>275068</v>
      </c>
      <c r="U47" s="102">
        <v>2479</v>
      </c>
      <c r="V47" s="102">
        <v>9042</v>
      </c>
      <c r="W47" s="102">
        <v>5326</v>
      </c>
      <c r="X47" s="102">
        <v>219196</v>
      </c>
      <c r="Y47" s="102">
        <v>24929</v>
      </c>
      <c r="Z47" s="102">
        <v>0</v>
      </c>
      <c r="AA47" s="102">
        <v>14096</v>
      </c>
      <c r="AB47" s="102">
        <v>9013</v>
      </c>
      <c r="AC47" s="102">
        <v>1454405</v>
      </c>
      <c r="AD47" s="102">
        <v>1251156</v>
      </c>
      <c r="AE47" s="102">
        <v>203249</v>
      </c>
      <c r="AF47" s="102">
        <v>2393</v>
      </c>
      <c r="AG47" s="102">
        <v>60318</v>
      </c>
      <c r="AH47" s="73">
        <f t="shared" si="3"/>
        <v>55592</v>
      </c>
      <c r="AI47" s="102">
        <v>35407</v>
      </c>
      <c r="AJ47" s="102">
        <v>20185</v>
      </c>
      <c r="AK47" s="102">
        <v>499944</v>
      </c>
      <c r="AL47" s="73">
        <f t="shared" si="4"/>
        <v>167976</v>
      </c>
      <c r="AM47" s="102">
        <v>0</v>
      </c>
      <c r="AN47" s="102">
        <v>78262</v>
      </c>
      <c r="AO47" s="74"/>
      <c r="AP47" s="102">
        <v>89714</v>
      </c>
      <c r="AQ47" s="102">
        <v>0</v>
      </c>
      <c r="AR47" s="102">
        <v>0</v>
      </c>
      <c r="AS47" s="102">
        <v>0</v>
      </c>
      <c r="AT47" s="102">
        <v>396787</v>
      </c>
      <c r="AU47" s="102">
        <v>208552</v>
      </c>
      <c r="AV47" s="102">
        <v>39122</v>
      </c>
      <c r="AW47" s="102">
        <v>2815</v>
      </c>
      <c r="AX47" s="102">
        <v>188235</v>
      </c>
      <c r="AY47" s="102">
        <v>720</v>
      </c>
      <c r="AZ47" s="102">
        <v>24405</v>
      </c>
      <c r="BA47" s="102">
        <v>18223</v>
      </c>
      <c r="BB47" s="102">
        <v>5592</v>
      </c>
      <c r="BC47" s="102">
        <v>120622</v>
      </c>
      <c r="BD47" s="102">
        <v>59508</v>
      </c>
      <c r="BE47" s="102">
        <v>0</v>
      </c>
      <c r="BF47" s="102">
        <v>14053</v>
      </c>
      <c r="BG47" s="102">
        <v>0</v>
      </c>
      <c r="BH47" s="102">
        <v>231585</v>
      </c>
      <c r="BI47" s="102">
        <v>216930</v>
      </c>
      <c r="BJ47" s="102">
        <v>45494</v>
      </c>
      <c r="BK47" s="102">
        <v>0</v>
      </c>
      <c r="BL47" s="102">
        <v>0</v>
      </c>
      <c r="BM47" s="102">
        <v>0</v>
      </c>
      <c r="BN47" s="102">
        <v>300925</v>
      </c>
      <c r="BO47" s="73">
        <f t="shared" si="5"/>
        <v>113600</v>
      </c>
      <c r="BP47" s="73">
        <f t="shared" si="6"/>
        <v>187325</v>
      </c>
      <c r="BQ47" s="102">
        <v>0</v>
      </c>
      <c r="BR47" s="102">
        <v>0</v>
      </c>
      <c r="BS47" s="102">
        <v>187325</v>
      </c>
      <c r="BT47" s="102">
        <v>0</v>
      </c>
      <c r="BU47" s="102">
        <v>4986680</v>
      </c>
      <c r="BV47" s="71"/>
      <c r="BW47" s="102">
        <v>947921</v>
      </c>
      <c r="BX47" s="102">
        <v>606621</v>
      </c>
      <c r="BY47" s="102">
        <v>87583</v>
      </c>
      <c r="BZ47" s="102">
        <v>11569</v>
      </c>
      <c r="CA47" s="102">
        <v>862379</v>
      </c>
      <c r="CB47" s="102">
        <v>259237</v>
      </c>
      <c r="CC47" s="102">
        <v>19423</v>
      </c>
      <c r="CD47" s="102">
        <v>556351</v>
      </c>
      <c r="CE47" s="102">
        <v>0</v>
      </c>
      <c r="CF47" s="102">
        <v>0</v>
      </c>
      <c r="CG47" s="102">
        <v>27368</v>
      </c>
      <c r="CH47" s="102">
        <v>463398</v>
      </c>
      <c r="CI47" s="102">
        <v>409737</v>
      </c>
      <c r="CJ47" s="83">
        <f t="shared" si="17"/>
        <v>53661</v>
      </c>
      <c r="CK47" s="102">
        <v>841695</v>
      </c>
      <c r="CL47" s="102">
        <v>456211</v>
      </c>
      <c r="CM47" s="102">
        <v>141492</v>
      </c>
      <c r="CN47" s="102">
        <v>105159</v>
      </c>
      <c r="CO47" s="102">
        <v>31268</v>
      </c>
      <c r="CP47" s="102">
        <v>557914</v>
      </c>
      <c r="CQ47" s="102">
        <v>94782</v>
      </c>
      <c r="CR47" s="102">
        <v>125025</v>
      </c>
      <c r="CS47" s="102">
        <v>119027</v>
      </c>
      <c r="CT47" s="73">
        <f t="shared" si="7"/>
        <v>14780</v>
      </c>
      <c r="CU47" s="102">
        <v>14780</v>
      </c>
      <c r="CV47" s="102">
        <v>0</v>
      </c>
      <c r="CW47" s="73">
        <f t="shared" si="8"/>
        <v>0</v>
      </c>
      <c r="CX47" s="102">
        <v>0</v>
      </c>
      <c r="CY47" s="102">
        <v>0</v>
      </c>
      <c r="CZ47" s="73">
        <f t="shared" si="9"/>
        <v>0</v>
      </c>
      <c r="DA47" s="102">
        <v>0</v>
      </c>
      <c r="DB47" s="102">
        <v>0</v>
      </c>
      <c r="DC47" s="102">
        <v>332624</v>
      </c>
      <c r="DD47" s="102">
        <v>46265</v>
      </c>
      <c r="DE47" s="102">
        <v>286359</v>
      </c>
      <c r="DF47" s="102">
        <v>0</v>
      </c>
      <c r="DG47" s="102">
        <v>0</v>
      </c>
      <c r="DH47" s="102">
        <v>0</v>
      </c>
      <c r="DI47" s="102">
        <v>164357</v>
      </c>
      <c r="DJ47" s="102">
        <v>111203</v>
      </c>
      <c r="DK47" s="102">
        <v>17</v>
      </c>
      <c r="DL47" s="102">
        <v>53137</v>
      </c>
      <c r="DM47" s="102">
        <v>0</v>
      </c>
      <c r="DN47" s="102">
        <v>0</v>
      </c>
      <c r="DO47" s="102">
        <v>0</v>
      </c>
      <c r="DP47" s="102">
        <v>0</v>
      </c>
      <c r="DQ47" s="102">
        <v>0</v>
      </c>
      <c r="DR47" s="102">
        <v>0</v>
      </c>
      <c r="DS47" s="102">
        <v>0</v>
      </c>
      <c r="DT47" s="102">
        <v>594680</v>
      </c>
      <c r="DU47" s="102">
        <v>127584</v>
      </c>
      <c r="DV47" s="73">
        <f t="shared" si="10"/>
        <v>0</v>
      </c>
      <c r="DW47" s="102">
        <v>0</v>
      </c>
      <c r="DX47" s="102">
        <v>150556</v>
      </c>
      <c r="DY47" s="102">
        <v>0</v>
      </c>
      <c r="DZ47" s="102">
        <v>133617</v>
      </c>
      <c r="EA47" s="74">
        <v>0</v>
      </c>
      <c r="EB47" s="102">
        <v>176627</v>
      </c>
      <c r="EC47" s="102">
        <v>0</v>
      </c>
      <c r="ED47" s="102">
        <v>4796236</v>
      </c>
      <c r="EE47" s="71"/>
      <c r="EF47" s="102">
        <v>190444</v>
      </c>
      <c r="EG47" s="102">
        <v>94306</v>
      </c>
      <c r="EH47" s="102">
        <v>96138</v>
      </c>
      <c r="EI47" s="102">
        <v>-120792</v>
      </c>
      <c r="EJ47" s="102">
        <v>-69097</v>
      </c>
      <c r="EK47" s="71"/>
      <c r="EL47" s="102">
        <v>13748</v>
      </c>
      <c r="EM47" s="102">
        <v>13730</v>
      </c>
      <c r="EN47" s="102">
        <v>62665</v>
      </c>
      <c r="EO47" s="102">
        <v>18718</v>
      </c>
      <c r="EP47" s="73">
        <f t="shared" si="11"/>
        <v>272611</v>
      </c>
      <c r="EQ47" s="102">
        <v>3245416</v>
      </c>
      <c r="ER47" s="71">
        <v>-538926</v>
      </c>
      <c r="ES47" s="102">
        <v>890570</v>
      </c>
      <c r="ET47" s="102">
        <v>552043</v>
      </c>
      <c r="EU47" s="102">
        <v>242079</v>
      </c>
      <c r="EV47" s="102">
        <v>463398</v>
      </c>
      <c r="EW47" s="73">
        <f t="shared" si="12"/>
        <v>185426</v>
      </c>
      <c r="EX47" s="102">
        <v>185426</v>
      </c>
      <c r="EY47" s="102">
        <v>9349</v>
      </c>
      <c r="EZ47" s="102">
        <v>176077</v>
      </c>
      <c r="FA47" s="102">
        <v>0</v>
      </c>
      <c r="FB47" s="102">
        <v>0</v>
      </c>
      <c r="FC47" s="102">
        <v>655645</v>
      </c>
      <c r="FD47" s="102">
        <v>509688</v>
      </c>
      <c r="FE47" s="102">
        <v>90865</v>
      </c>
      <c r="FF47" s="102">
        <v>507562</v>
      </c>
      <c r="FG47" s="73">
        <f t="shared" si="13"/>
        <v>139530</v>
      </c>
      <c r="FH47" s="102">
        <v>3593898</v>
      </c>
      <c r="FI47" s="379">
        <f t="shared" si="14"/>
        <v>3</v>
      </c>
      <c r="FJ47" s="102">
        <v>2981389</v>
      </c>
      <c r="FK47" s="102">
        <v>187325</v>
      </c>
      <c r="FL47" s="102">
        <v>1368035</v>
      </c>
      <c r="FM47" s="102">
        <v>2621347</v>
      </c>
      <c r="FN47" s="428">
        <v>0.52300000000000002</v>
      </c>
      <c r="FO47" s="424">
        <v>93.9</v>
      </c>
      <c r="FP47" s="425">
        <v>26.7</v>
      </c>
      <c r="FQ47" s="424">
        <v>7.5</v>
      </c>
      <c r="FR47" s="424">
        <v>14.3</v>
      </c>
      <c r="FS47" s="425">
        <v>18.100000000000001</v>
      </c>
      <c r="FT47" s="424">
        <v>12.1</v>
      </c>
      <c r="FU47" s="425">
        <v>14.5</v>
      </c>
      <c r="FV47" s="384">
        <v>7.3</v>
      </c>
      <c r="FW47" s="102">
        <v>4619004</v>
      </c>
      <c r="FX47" s="384">
        <f t="shared" si="15"/>
        <v>145.80000000000001</v>
      </c>
      <c r="FY47" s="102">
        <v>3141470</v>
      </c>
      <c r="FZ47" s="102">
        <v>1624596</v>
      </c>
      <c r="GA47" s="102">
        <v>7874</v>
      </c>
      <c r="GB47" s="102">
        <v>1509000</v>
      </c>
      <c r="GC47" s="104">
        <v>0</v>
      </c>
      <c r="GD47" s="427"/>
      <c r="GE47" s="386"/>
      <c r="GF47" s="424">
        <v>98.9</v>
      </c>
      <c r="GG47" s="424">
        <v>52.1</v>
      </c>
      <c r="GH47" s="424">
        <v>97.6</v>
      </c>
      <c r="GI47" s="102">
        <v>93</v>
      </c>
      <c r="GJ47" s="429" t="s">
        <v>646</v>
      </c>
      <c r="GK47" s="429">
        <v>15</v>
      </c>
      <c r="GL47" s="87">
        <v>20</v>
      </c>
      <c r="GM47" s="429" t="s">
        <v>646</v>
      </c>
      <c r="GN47" s="430">
        <v>20</v>
      </c>
      <c r="GO47" s="430">
        <v>30</v>
      </c>
      <c r="GP47" s="425">
        <v>7.3</v>
      </c>
      <c r="GQ47" s="425">
        <v>25</v>
      </c>
      <c r="GR47" s="425">
        <v>35</v>
      </c>
      <c r="GS47" s="431" t="s">
        <v>646</v>
      </c>
      <c r="GT47" s="425">
        <v>350</v>
      </c>
      <c r="GU47" s="394"/>
      <c r="GV47" s="100">
        <f t="shared" si="16"/>
        <v>3169</v>
      </c>
      <c r="GW47" s="394"/>
      <c r="GX47" s="394"/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</row>
    <row r="48" spans="2:230" x14ac:dyDescent="0.15">
      <c r="B48" s="89" t="s">
        <v>85</v>
      </c>
      <c r="C48" s="102">
        <v>1630353</v>
      </c>
      <c r="D48" s="73">
        <f t="shared" si="0"/>
        <v>795580</v>
      </c>
      <c r="E48" s="102">
        <v>25694</v>
      </c>
      <c r="F48" s="102">
        <v>769886</v>
      </c>
      <c r="G48" s="73">
        <f t="shared" si="1"/>
        <v>53678</v>
      </c>
      <c r="H48" s="102">
        <v>27297</v>
      </c>
      <c r="I48" s="102">
        <v>26381</v>
      </c>
      <c r="J48" s="102">
        <v>650736</v>
      </c>
      <c r="K48" s="102">
        <v>221640</v>
      </c>
      <c r="L48" s="102">
        <v>335325</v>
      </c>
      <c r="M48" s="102">
        <v>93771</v>
      </c>
      <c r="N48" s="102">
        <v>87356</v>
      </c>
      <c r="O48" s="102">
        <v>0</v>
      </c>
      <c r="P48" s="102">
        <v>0</v>
      </c>
      <c r="Q48" s="102">
        <v>0</v>
      </c>
      <c r="R48" s="102">
        <v>44573</v>
      </c>
      <c r="S48" s="74"/>
      <c r="T48" s="73">
        <f t="shared" si="2"/>
        <v>355310</v>
      </c>
      <c r="U48" s="102">
        <v>2889</v>
      </c>
      <c r="V48" s="102">
        <v>10534</v>
      </c>
      <c r="W48" s="102">
        <v>6206</v>
      </c>
      <c r="X48" s="102">
        <v>274306</v>
      </c>
      <c r="Y48" s="102">
        <v>43602</v>
      </c>
      <c r="Z48" s="102">
        <v>0</v>
      </c>
      <c r="AA48" s="102">
        <v>17773</v>
      </c>
      <c r="AB48" s="102">
        <v>9815</v>
      </c>
      <c r="AC48" s="102">
        <v>1951264</v>
      </c>
      <c r="AD48" s="102">
        <v>1751452</v>
      </c>
      <c r="AE48" s="102">
        <v>199812</v>
      </c>
      <c r="AF48" s="102">
        <v>2409</v>
      </c>
      <c r="AG48" s="102">
        <v>5255</v>
      </c>
      <c r="AH48" s="73">
        <f t="shared" si="3"/>
        <v>149264</v>
      </c>
      <c r="AI48" s="102">
        <v>90481</v>
      </c>
      <c r="AJ48" s="102">
        <v>58783</v>
      </c>
      <c r="AK48" s="102">
        <v>538686</v>
      </c>
      <c r="AL48" s="73">
        <f t="shared" si="4"/>
        <v>126544</v>
      </c>
      <c r="AM48" s="102">
        <v>0</v>
      </c>
      <c r="AN48" s="102">
        <v>1146</v>
      </c>
      <c r="AO48" s="74"/>
      <c r="AP48" s="102">
        <v>125398</v>
      </c>
      <c r="AQ48" s="102">
        <v>10297</v>
      </c>
      <c r="AR48" s="102">
        <v>0</v>
      </c>
      <c r="AS48" s="102">
        <v>0</v>
      </c>
      <c r="AT48" s="102">
        <v>391358</v>
      </c>
      <c r="AU48" s="102">
        <v>155363</v>
      </c>
      <c r="AV48" s="102">
        <v>534</v>
      </c>
      <c r="AW48" s="102">
        <v>0</v>
      </c>
      <c r="AX48" s="102">
        <v>235995</v>
      </c>
      <c r="AY48" s="102">
        <v>411</v>
      </c>
      <c r="AZ48" s="102">
        <v>6285</v>
      </c>
      <c r="BA48" s="102">
        <v>0</v>
      </c>
      <c r="BB48" s="102">
        <v>18180</v>
      </c>
      <c r="BC48" s="102">
        <v>10974</v>
      </c>
      <c r="BD48" s="102">
        <v>0</v>
      </c>
      <c r="BE48" s="102">
        <v>0</v>
      </c>
      <c r="BF48" s="102">
        <v>10969</v>
      </c>
      <c r="BG48" s="102">
        <v>0</v>
      </c>
      <c r="BH48" s="102">
        <v>95792</v>
      </c>
      <c r="BI48" s="102">
        <v>67716</v>
      </c>
      <c r="BJ48" s="102">
        <v>70300</v>
      </c>
      <c r="BK48" s="102">
        <v>1000</v>
      </c>
      <c r="BL48" s="102">
        <v>0</v>
      </c>
      <c r="BM48" s="102">
        <v>0</v>
      </c>
      <c r="BN48" s="102">
        <v>303100</v>
      </c>
      <c r="BO48" s="73">
        <f t="shared" si="5"/>
        <v>101300</v>
      </c>
      <c r="BP48" s="73">
        <f t="shared" si="6"/>
        <v>201800</v>
      </c>
      <c r="BQ48" s="102">
        <v>0</v>
      </c>
      <c r="BR48" s="102">
        <v>0</v>
      </c>
      <c r="BS48" s="102">
        <v>201800</v>
      </c>
      <c r="BT48" s="102">
        <v>0</v>
      </c>
      <c r="BU48" s="102">
        <v>5582918</v>
      </c>
      <c r="BV48" s="71"/>
      <c r="BW48" s="102">
        <v>1293650</v>
      </c>
      <c r="BX48" s="102">
        <v>734351</v>
      </c>
      <c r="BY48" s="102">
        <v>178432</v>
      </c>
      <c r="BZ48" s="102">
        <v>91302</v>
      </c>
      <c r="CA48" s="102">
        <v>840391</v>
      </c>
      <c r="CB48" s="102">
        <v>358551</v>
      </c>
      <c r="CC48" s="102">
        <v>28623</v>
      </c>
      <c r="CD48" s="102">
        <v>432271</v>
      </c>
      <c r="CE48" s="102">
        <v>0</v>
      </c>
      <c r="CF48" s="102">
        <v>150</v>
      </c>
      <c r="CG48" s="102">
        <v>20796</v>
      </c>
      <c r="CH48" s="102">
        <v>561634</v>
      </c>
      <c r="CI48" s="102">
        <v>497795</v>
      </c>
      <c r="CJ48" s="83">
        <f t="shared" si="17"/>
        <v>63839</v>
      </c>
      <c r="CK48" s="102">
        <v>1000535</v>
      </c>
      <c r="CL48" s="102">
        <v>656038</v>
      </c>
      <c r="CM48" s="102">
        <v>74792</v>
      </c>
      <c r="CN48" s="102">
        <v>134143</v>
      </c>
      <c r="CO48" s="102">
        <v>19100</v>
      </c>
      <c r="CP48" s="102">
        <v>563600</v>
      </c>
      <c r="CQ48" s="102">
        <v>127713</v>
      </c>
      <c r="CR48" s="102">
        <v>141725</v>
      </c>
      <c r="CS48" s="102">
        <v>124139</v>
      </c>
      <c r="CT48" s="73">
        <f t="shared" si="7"/>
        <v>18835</v>
      </c>
      <c r="CU48" s="102">
        <v>11093</v>
      </c>
      <c r="CV48" s="102">
        <v>7742</v>
      </c>
      <c r="CW48" s="73">
        <f t="shared" si="8"/>
        <v>0</v>
      </c>
      <c r="CX48" s="102">
        <v>0</v>
      </c>
      <c r="CY48" s="102">
        <v>0</v>
      </c>
      <c r="CZ48" s="73">
        <f t="shared" si="9"/>
        <v>0</v>
      </c>
      <c r="DA48" s="102">
        <v>0</v>
      </c>
      <c r="DB48" s="102">
        <v>0</v>
      </c>
      <c r="DC48" s="102">
        <v>386969</v>
      </c>
      <c r="DD48" s="102">
        <v>62852</v>
      </c>
      <c r="DE48" s="102">
        <v>230738</v>
      </c>
      <c r="DF48" s="102">
        <v>93379</v>
      </c>
      <c r="DG48" s="102">
        <v>0</v>
      </c>
      <c r="DH48" s="102">
        <v>1566</v>
      </c>
      <c r="DI48" s="102">
        <v>21929</v>
      </c>
      <c r="DJ48" s="102">
        <v>2100</v>
      </c>
      <c r="DK48" s="102">
        <v>310</v>
      </c>
      <c r="DL48" s="102">
        <v>19519</v>
      </c>
      <c r="DM48" s="102">
        <v>0</v>
      </c>
      <c r="DN48" s="102">
        <v>0</v>
      </c>
      <c r="DO48" s="102">
        <v>0</v>
      </c>
      <c r="DP48" s="102">
        <v>0</v>
      </c>
      <c r="DQ48" s="102">
        <v>0</v>
      </c>
      <c r="DR48" s="102">
        <v>0</v>
      </c>
      <c r="DS48" s="102">
        <v>0</v>
      </c>
      <c r="DT48" s="102">
        <v>756323</v>
      </c>
      <c r="DU48" s="102">
        <v>167110</v>
      </c>
      <c r="DV48" s="73">
        <f t="shared" si="10"/>
        <v>0</v>
      </c>
      <c r="DW48" s="102">
        <v>0</v>
      </c>
      <c r="DX48" s="102">
        <v>203409</v>
      </c>
      <c r="DY48" s="102">
        <v>0</v>
      </c>
      <c r="DZ48" s="102">
        <v>171733</v>
      </c>
      <c r="EA48" s="74">
        <v>0</v>
      </c>
      <c r="EB48" s="102">
        <v>203759</v>
      </c>
      <c r="EC48" s="102">
        <v>0</v>
      </c>
      <c r="ED48" s="102">
        <v>5445697</v>
      </c>
      <c r="EE48" s="71"/>
      <c r="EF48" s="102">
        <v>137221</v>
      </c>
      <c r="EG48" s="102">
        <v>31593</v>
      </c>
      <c r="EH48" s="102">
        <v>105628</v>
      </c>
      <c r="EI48" s="102">
        <v>-37088</v>
      </c>
      <c r="EJ48" s="102">
        <v>-34988</v>
      </c>
      <c r="EK48" s="71"/>
      <c r="EL48" s="102">
        <v>16126</v>
      </c>
      <c r="EM48" s="102">
        <v>15810</v>
      </c>
      <c r="EN48" s="102">
        <v>5</v>
      </c>
      <c r="EO48" s="102">
        <v>0</v>
      </c>
      <c r="EP48" s="73">
        <f t="shared" si="11"/>
        <v>209061</v>
      </c>
      <c r="EQ48" s="102">
        <v>3993724</v>
      </c>
      <c r="ER48" s="71">
        <v>-408457</v>
      </c>
      <c r="ES48" s="102">
        <v>1220442</v>
      </c>
      <c r="ET48" s="102">
        <v>693637</v>
      </c>
      <c r="EU48" s="102">
        <v>345882</v>
      </c>
      <c r="EV48" s="102">
        <v>561634</v>
      </c>
      <c r="EW48" s="73">
        <f t="shared" si="12"/>
        <v>183575</v>
      </c>
      <c r="EX48" s="102">
        <v>182009</v>
      </c>
      <c r="EY48" s="102">
        <v>7417</v>
      </c>
      <c r="EZ48" s="102">
        <v>170740</v>
      </c>
      <c r="FA48" s="102">
        <v>1566</v>
      </c>
      <c r="FB48" s="102">
        <v>0</v>
      </c>
      <c r="FC48" s="102">
        <v>762106</v>
      </c>
      <c r="FD48" s="102">
        <v>506472</v>
      </c>
      <c r="FE48" s="102">
        <v>127713</v>
      </c>
      <c r="FF48" s="102">
        <v>648034</v>
      </c>
      <c r="FG48" s="73">
        <f t="shared" si="13"/>
        <v>36815</v>
      </c>
      <c r="FH48" s="102">
        <v>4264960</v>
      </c>
      <c r="FI48" s="379">
        <f t="shared" si="14"/>
        <v>2.7</v>
      </c>
      <c r="FJ48" s="102">
        <v>3732514</v>
      </c>
      <c r="FK48" s="102">
        <v>201846</v>
      </c>
      <c r="FL48" s="102">
        <v>1563838</v>
      </c>
      <c r="FM48" s="102">
        <v>3318020</v>
      </c>
      <c r="FN48" s="428">
        <v>0.46</v>
      </c>
      <c r="FO48" s="424">
        <v>92.2</v>
      </c>
      <c r="FP48" s="425">
        <v>29.6</v>
      </c>
      <c r="FQ48" s="424">
        <v>8.6</v>
      </c>
      <c r="FR48" s="424">
        <v>13.9</v>
      </c>
      <c r="FS48" s="425">
        <v>16.100000000000001</v>
      </c>
      <c r="FT48" s="424">
        <v>10.4</v>
      </c>
      <c r="FU48" s="425">
        <v>13.1</v>
      </c>
      <c r="FV48" s="384">
        <v>7.2</v>
      </c>
      <c r="FW48" s="102">
        <v>5917775</v>
      </c>
      <c r="FX48" s="384">
        <f t="shared" si="15"/>
        <v>150.4</v>
      </c>
      <c r="FY48" s="102">
        <v>2750749</v>
      </c>
      <c r="FZ48" s="102">
        <v>1319759</v>
      </c>
      <c r="GA48" s="102">
        <v>209191</v>
      </c>
      <c r="GB48" s="102">
        <v>1221799</v>
      </c>
      <c r="GC48" s="104">
        <v>0</v>
      </c>
      <c r="GD48" s="427">
        <v>109</v>
      </c>
      <c r="GE48" s="386">
        <f>IF(GD48=0,"-",ROUND(GD48/(GV48)*100,1))</f>
        <v>2.8</v>
      </c>
      <c r="GF48" s="424">
        <v>98.5</v>
      </c>
      <c r="GG48" s="424">
        <v>46.8</v>
      </c>
      <c r="GH48" s="424">
        <v>92.9</v>
      </c>
      <c r="GI48" s="102">
        <v>118</v>
      </c>
      <c r="GJ48" s="429" t="s">
        <v>646</v>
      </c>
      <c r="GK48" s="429">
        <v>15</v>
      </c>
      <c r="GL48" s="87">
        <v>20</v>
      </c>
      <c r="GM48" s="429" t="s">
        <v>646</v>
      </c>
      <c r="GN48" s="430">
        <v>20</v>
      </c>
      <c r="GO48" s="430">
        <v>30</v>
      </c>
      <c r="GP48" s="425">
        <v>7.2</v>
      </c>
      <c r="GQ48" s="425">
        <v>25</v>
      </c>
      <c r="GR48" s="425">
        <v>35</v>
      </c>
      <c r="GS48" s="431">
        <v>22.6</v>
      </c>
      <c r="GT48" s="425">
        <v>350</v>
      </c>
      <c r="GU48" s="394"/>
      <c r="GV48" s="100">
        <f t="shared" si="16"/>
        <v>3934</v>
      </c>
      <c r="GW48" s="394"/>
      <c r="GX48" s="394"/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</row>
    <row r="49" spans="2:230" x14ac:dyDescent="0.15">
      <c r="B49" s="89" t="s">
        <v>87</v>
      </c>
      <c r="C49" s="102">
        <v>528086</v>
      </c>
      <c r="D49" s="73">
        <f t="shared" si="0"/>
        <v>218386</v>
      </c>
      <c r="E49" s="102">
        <v>9073</v>
      </c>
      <c r="F49" s="102">
        <v>209313</v>
      </c>
      <c r="G49" s="73">
        <f t="shared" si="1"/>
        <v>40817</v>
      </c>
      <c r="H49" s="102">
        <v>14032</v>
      </c>
      <c r="I49" s="102">
        <v>26785</v>
      </c>
      <c r="J49" s="102">
        <v>248464</v>
      </c>
      <c r="K49" s="102">
        <v>74946</v>
      </c>
      <c r="L49" s="102">
        <v>123888</v>
      </c>
      <c r="M49" s="102">
        <v>49630</v>
      </c>
      <c r="N49" s="102">
        <v>3448</v>
      </c>
      <c r="O49" s="102">
        <v>0</v>
      </c>
      <c r="P49" s="102">
        <v>0</v>
      </c>
      <c r="Q49" s="102">
        <v>0</v>
      </c>
      <c r="R49" s="102">
        <v>19832</v>
      </c>
      <c r="S49" s="74"/>
      <c r="T49" s="73">
        <f t="shared" si="2"/>
        <v>134877</v>
      </c>
      <c r="U49" s="102">
        <v>865</v>
      </c>
      <c r="V49" s="102">
        <v>3159</v>
      </c>
      <c r="W49" s="102">
        <v>1841</v>
      </c>
      <c r="X49" s="102">
        <v>97541</v>
      </c>
      <c r="Y49" s="102">
        <v>23569</v>
      </c>
      <c r="Z49" s="102">
        <v>0</v>
      </c>
      <c r="AA49" s="102">
        <v>7902</v>
      </c>
      <c r="AB49" s="102">
        <v>1098</v>
      </c>
      <c r="AC49" s="102">
        <v>1396861</v>
      </c>
      <c r="AD49" s="102">
        <v>1199413</v>
      </c>
      <c r="AE49" s="102">
        <v>197448</v>
      </c>
      <c r="AF49" s="102">
        <v>845</v>
      </c>
      <c r="AG49" s="102">
        <v>17553</v>
      </c>
      <c r="AH49" s="73">
        <f t="shared" si="3"/>
        <v>22724</v>
      </c>
      <c r="AI49" s="102">
        <v>12902</v>
      </c>
      <c r="AJ49" s="102">
        <v>9822</v>
      </c>
      <c r="AK49" s="102">
        <v>256304</v>
      </c>
      <c r="AL49" s="73">
        <f t="shared" si="4"/>
        <v>74879</v>
      </c>
      <c r="AM49" s="102">
        <v>0</v>
      </c>
      <c r="AN49" s="102">
        <v>29879</v>
      </c>
      <c r="AO49" s="74"/>
      <c r="AP49" s="102">
        <v>45000</v>
      </c>
      <c r="AQ49" s="102">
        <v>2001</v>
      </c>
      <c r="AR49" s="102">
        <v>2052</v>
      </c>
      <c r="AS49" s="102">
        <v>0</v>
      </c>
      <c r="AT49" s="102">
        <v>212252</v>
      </c>
      <c r="AU49" s="102">
        <v>87778</v>
      </c>
      <c r="AV49" s="102">
        <v>14940</v>
      </c>
      <c r="AW49" s="102">
        <v>0</v>
      </c>
      <c r="AX49" s="102">
        <v>124474</v>
      </c>
      <c r="AY49" s="102">
        <v>8452</v>
      </c>
      <c r="AZ49" s="102">
        <v>5650</v>
      </c>
      <c r="BA49" s="102">
        <v>1126</v>
      </c>
      <c r="BB49" s="102">
        <v>233907</v>
      </c>
      <c r="BC49" s="102">
        <v>0</v>
      </c>
      <c r="BD49" s="102">
        <v>0</v>
      </c>
      <c r="BE49" s="102">
        <v>0</v>
      </c>
      <c r="BF49" s="102">
        <v>0</v>
      </c>
      <c r="BG49" s="102">
        <v>0</v>
      </c>
      <c r="BH49" s="102">
        <v>135482</v>
      </c>
      <c r="BI49" s="102">
        <v>96642</v>
      </c>
      <c r="BJ49" s="102">
        <v>61880</v>
      </c>
      <c r="BK49" s="102">
        <v>0</v>
      </c>
      <c r="BL49" s="102">
        <v>0</v>
      </c>
      <c r="BM49" s="102">
        <v>0</v>
      </c>
      <c r="BN49" s="102">
        <v>253649</v>
      </c>
      <c r="BO49" s="73">
        <f t="shared" si="5"/>
        <v>161700</v>
      </c>
      <c r="BP49" s="73">
        <f t="shared" si="6"/>
        <v>91949</v>
      </c>
      <c r="BQ49" s="102">
        <v>0</v>
      </c>
      <c r="BR49" s="102">
        <v>0</v>
      </c>
      <c r="BS49" s="102">
        <v>91949</v>
      </c>
      <c r="BT49" s="102">
        <v>0</v>
      </c>
      <c r="BU49" s="102">
        <v>3281000</v>
      </c>
      <c r="BV49" s="71"/>
      <c r="BW49" s="102">
        <v>669486</v>
      </c>
      <c r="BX49" s="102">
        <v>421964</v>
      </c>
      <c r="BY49" s="102">
        <v>75564</v>
      </c>
      <c r="BZ49" s="102">
        <v>12304</v>
      </c>
      <c r="CA49" s="102">
        <v>297072</v>
      </c>
      <c r="CB49" s="102">
        <v>133260</v>
      </c>
      <c r="CC49" s="102">
        <v>13581</v>
      </c>
      <c r="CD49" s="102">
        <v>144860</v>
      </c>
      <c r="CE49" s="102">
        <v>0</v>
      </c>
      <c r="CF49" s="102">
        <v>1793</v>
      </c>
      <c r="CG49" s="102">
        <v>3578</v>
      </c>
      <c r="CH49" s="102">
        <v>310673</v>
      </c>
      <c r="CI49" s="102">
        <v>277865</v>
      </c>
      <c r="CJ49" s="83">
        <f t="shared" si="17"/>
        <v>32808</v>
      </c>
      <c r="CK49" s="102">
        <v>747851</v>
      </c>
      <c r="CL49" s="102">
        <v>564529</v>
      </c>
      <c r="CM49" s="102">
        <v>44631</v>
      </c>
      <c r="CN49" s="102">
        <v>64401</v>
      </c>
      <c r="CO49" s="102">
        <v>3327</v>
      </c>
      <c r="CP49" s="102">
        <v>302045</v>
      </c>
      <c r="CQ49" s="102">
        <v>64276</v>
      </c>
      <c r="CR49" s="102">
        <v>36101</v>
      </c>
      <c r="CS49" s="102">
        <v>36101</v>
      </c>
      <c r="CT49" s="73">
        <f t="shared" si="7"/>
        <v>31159</v>
      </c>
      <c r="CU49" s="102">
        <v>23092</v>
      </c>
      <c r="CV49" s="102">
        <v>8067</v>
      </c>
      <c r="CW49" s="73">
        <f t="shared" si="8"/>
        <v>0</v>
      </c>
      <c r="CX49" s="102">
        <v>0</v>
      </c>
      <c r="CY49" s="102">
        <v>0</v>
      </c>
      <c r="CZ49" s="73">
        <f t="shared" si="9"/>
        <v>0</v>
      </c>
      <c r="DA49" s="102">
        <v>0</v>
      </c>
      <c r="DB49" s="102">
        <v>0</v>
      </c>
      <c r="DC49" s="102">
        <v>135216</v>
      </c>
      <c r="DD49" s="102">
        <v>6533</v>
      </c>
      <c r="DE49" s="102">
        <v>128683</v>
      </c>
      <c r="DF49" s="102">
        <v>0</v>
      </c>
      <c r="DG49" s="102">
        <v>0</v>
      </c>
      <c r="DH49" s="102">
        <v>5195</v>
      </c>
      <c r="DI49" s="102">
        <v>294567</v>
      </c>
      <c r="DJ49" s="102">
        <v>147504</v>
      </c>
      <c r="DK49" s="102">
        <v>60110</v>
      </c>
      <c r="DL49" s="102">
        <v>86953</v>
      </c>
      <c r="DM49" s="102">
        <v>0</v>
      </c>
      <c r="DN49" s="102">
        <v>0</v>
      </c>
      <c r="DO49" s="102">
        <v>0</v>
      </c>
      <c r="DP49" s="102">
        <v>0</v>
      </c>
      <c r="DQ49" s="102">
        <v>0</v>
      </c>
      <c r="DR49" s="102">
        <v>0</v>
      </c>
      <c r="DS49" s="102">
        <v>0</v>
      </c>
      <c r="DT49" s="102">
        <v>381200</v>
      </c>
      <c r="DU49" s="102">
        <v>104526</v>
      </c>
      <c r="DV49" s="73">
        <f t="shared" si="10"/>
        <v>0</v>
      </c>
      <c r="DW49" s="102">
        <v>0</v>
      </c>
      <c r="DX49" s="102">
        <v>105039</v>
      </c>
      <c r="DY49" s="102">
        <v>0</v>
      </c>
      <c r="DZ49" s="102">
        <v>58306</v>
      </c>
      <c r="EA49" s="74">
        <v>0</v>
      </c>
      <c r="EB49" s="102">
        <v>103502</v>
      </c>
      <c r="EC49" s="102">
        <v>0</v>
      </c>
      <c r="ED49" s="102">
        <v>3146632</v>
      </c>
      <c r="EE49" s="71"/>
      <c r="EF49" s="102">
        <v>134368</v>
      </c>
      <c r="EG49" s="102">
        <v>0</v>
      </c>
      <c r="EH49" s="102">
        <v>134368</v>
      </c>
      <c r="EI49" s="102">
        <v>37726</v>
      </c>
      <c r="EJ49" s="102">
        <v>185230</v>
      </c>
      <c r="EK49" s="71"/>
      <c r="EL49" s="102">
        <v>5378</v>
      </c>
      <c r="EM49" s="102">
        <v>5497</v>
      </c>
      <c r="EN49" s="102">
        <v>0</v>
      </c>
      <c r="EO49" s="102">
        <v>2754</v>
      </c>
      <c r="EP49" s="73">
        <f t="shared" si="11"/>
        <v>148113</v>
      </c>
      <c r="EQ49" s="102">
        <v>2081599</v>
      </c>
      <c r="ER49" s="71">
        <v>-241971</v>
      </c>
      <c r="ES49" s="102">
        <v>629929</v>
      </c>
      <c r="ET49" s="102">
        <v>383483</v>
      </c>
      <c r="EU49" s="102">
        <v>82813</v>
      </c>
      <c r="EV49" s="102">
        <v>310673</v>
      </c>
      <c r="EW49" s="73">
        <f t="shared" si="12"/>
        <v>15455</v>
      </c>
      <c r="EX49" s="102">
        <v>14910</v>
      </c>
      <c r="EY49" s="102">
        <v>580</v>
      </c>
      <c r="EZ49" s="102">
        <v>14330</v>
      </c>
      <c r="FA49" s="102">
        <v>545</v>
      </c>
      <c r="FB49" s="102">
        <v>0</v>
      </c>
      <c r="FC49" s="102">
        <v>423887</v>
      </c>
      <c r="FD49" s="102">
        <v>174749</v>
      </c>
      <c r="FE49" s="102">
        <v>64276</v>
      </c>
      <c r="FF49" s="102">
        <v>343545</v>
      </c>
      <c r="FG49" s="73">
        <f t="shared" si="13"/>
        <v>208151</v>
      </c>
      <c r="FH49" s="102">
        <v>2189202</v>
      </c>
      <c r="FI49" s="379">
        <f t="shared" si="14"/>
        <v>6.8</v>
      </c>
      <c r="FJ49" s="102">
        <v>1879905</v>
      </c>
      <c r="FK49" s="102">
        <v>91949</v>
      </c>
      <c r="FL49" s="102">
        <v>540617</v>
      </c>
      <c r="FM49" s="102">
        <v>1741463</v>
      </c>
      <c r="FN49" s="428">
        <v>0.316</v>
      </c>
      <c r="FO49" s="424">
        <v>84.9</v>
      </c>
      <c r="FP49" s="425">
        <v>30.1</v>
      </c>
      <c r="FQ49" s="424">
        <v>4.2</v>
      </c>
      <c r="FR49" s="424">
        <v>15.7</v>
      </c>
      <c r="FS49" s="425">
        <v>17</v>
      </c>
      <c r="FT49" s="424">
        <v>5.2</v>
      </c>
      <c r="FU49" s="425">
        <v>12.5</v>
      </c>
      <c r="FV49" s="384">
        <v>10.199999999999999</v>
      </c>
      <c r="FW49" s="102">
        <v>3216999</v>
      </c>
      <c r="FX49" s="384">
        <f t="shared" si="15"/>
        <v>163.1</v>
      </c>
      <c r="FY49" s="102">
        <v>2082662</v>
      </c>
      <c r="FZ49" s="102">
        <v>1784086</v>
      </c>
      <c r="GA49" s="102">
        <v>144643</v>
      </c>
      <c r="GB49" s="102">
        <v>153933</v>
      </c>
      <c r="GC49" s="104">
        <v>0</v>
      </c>
      <c r="GD49" s="427"/>
      <c r="GE49" s="386"/>
      <c r="GF49" s="424">
        <v>99.8</v>
      </c>
      <c r="GG49" s="424">
        <v>41.3</v>
      </c>
      <c r="GH49" s="424">
        <v>98.8</v>
      </c>
      <c r="GI49" s="102">
        <v>65</v>
      </c>
      <c r="GJ49" s="429" t="s">
        <v>646</v>
      </c>
      <c r="GK49" s="429">
        <v>15</v>
      </c>
      <c r="GL49" s="87">
        <v>20</v>
      </c>
      <c r="GM49" s="429" t="s">
        <v>646</v>
      </c>
      <c r="GN49" s="429">
        <v>20</v>
      </c>
      <c r="GO49" s="430">
        <v>30</v>
      </c>
      <c r="GP49" s="425">
        <v>10.199999999999999</v>
      </c>
      <c r="GQ49" s="425">
        <v>25</v>
      </c>
      <c r="GR49" s="425">
        <v>35</v>
      </c>
      <c r="GS49" s="431" t="s">
        <v>646</v>
      </c>
      <c r="GT49" s="425">
        <v>350</v>
      </c>
      <c r="GU49" s="394"/>
      <c r="GV49" s="100">
        <f t="shared" si="16"/>
        <v>1972</v>
      </c>
      <c r="GW49" s="394"/>
      <c r="GX49" s="394"/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</row>
    <row r="50" spans="2:230" x14ac:dyDescent="0.15">
      <c r="B50" s="21" t="s">
        <v>89</v>
      </c>
      <c r="C50" s="102">
        <v>24359311</v>
      </c>
      <c r="D50" s="73">
        <f t="shared" si="0"/>
        <v>8979837</v>
      </c>
      <c r="E50" s="102">
        <v>298234</v>
      </c>
      <c r="F50" s="102">
        <v>8681603</v>
      </c>
      <c r="G50" s="73">
        <f t="shared" si="1"/>
        <v>1771468</v>
      </c>
      <c r="H50" s="102">
        <v>345621</v>
      </c>
      <c r="I50" s="102">
        <v>1425847</v>
      </c>
      <c r="J50" s="102">
        <v>11310936</v>
      </c>
      <c r="K50" s="102">
        <v>4530543</v>
      </c>
      <c r="L50" s="102">
        <v>4409554</v>
      </c>
      <c r="M50" s="102">
        <v>2280132</v>
      </c>
      <c r="N50" s="102">
        <v>1330301</v>
      </c>
      <c r="O50" s="102">
        <v>587355</v>
      </c>
      <c r="P50" s="102">
        <v>324122</v>
      </c>
      <c r="Q50" s="102">
        <v>263233</v>
      </c>
      <c r="R50" s="102">
        <v>494265</v>
      </c>
      <c r="S50" s="74"/>
      <c r="T50" s="73">
        <f t="shared" si="2"/>
        <v>3644516</v>
      </c>
      <c r="U50" s="102">
        <v>34108</v>
      </c>
      <c r="V50" s="102">
        <v>124353</v>
      </c>
      <c r="W50" s="102">
        <v>72968</v>
      </c>
      <c r="X50" s="102">
        <v>2998721</v>
      </c>
      <c r="Y50" s="102">
        <v>234772</v>
      </c>
      <c r="Z50" s="102">
        <v>0</v>
      </c>
      <c r="AA50" s="102">
        <v>179594</v>
      </c>
      <c r="AB50" s="102">
        <v>109230</v>
      </c>
      <c r="AC50" s="102">
        <v>16379445</v>
      </c>
      <c r="AD50" s="102">
        <v>14219889</v>
      </c>
      <c r="AE50" s="102">
        <v>2159556</v>
      </c>
      <c r="AF50" s="102">
        <v>28790</v>
      </c>
      <c r="AG50" s="102">
        <v>289977</v>
      </c>
      <c r="AH50" s="73">
        <f t="shared" si="3"/>
        <v>1544902</v>
      </c>
      <c r="AI50" s="102">
        <v>1165981</v>
      </c>
      <c r="AJ50" s="102">
        <v>378921</v>
      </c>
      <c r="AK50" s="102">
        <v>7189035</v>
      </c>
      <c r="AL50" s="73">
        <f t="shared" si="4"/>
        <v>2087417</v>
      </c>
      <c r="AM50" s="102">
        <v>219710</v>
      </c>
      <c r="AN50" s="102">
        <v>471277</v>
      </c>
      <c r="AO50" s="74"/>
      <c r="AP50" s="102">
        <v>1396430</v>
      </c>
      <c r="AQ50" s="102">
        <v>278061</v>
      </c>
      <c r="AR50" s="102">
        <v>36574</v>
      </c>
      <c r="AS50" s="102">
        <v>0</v>
      </c>
      <c r="AT50" s="102">
        <v>4668182</v>
      </c>
      <c r="AU50" s="102">
        <v>2228952</v>
      </c>
      <c r="AV50" s="102">
        <v>236330</v>
      </c>
      <c r="AW50" s="102">
        <v>178354</v>
      </c>
      <c r="AX50" s="102">
        <v>2439230</v>
      </c>
      <c r="AY50" s="102">
        <v>39552</v>
      </c>
      <c r="AZ50" s="102">
        <v>213063</v>
      </c>
      <c r="BA50" s="102">
        <v>94035</v>
      </c>
      <c r="BB50" s="102">
        <v>972543</v>
      </c>
      <c r="BC50" s="102">
        <v>2357158</v>
      </c>
      <c r="BD50" s="102">
        <v>921035</v>
      </c>
      <c r="BE50" s="102">
        <v>20000</v>
      </c>
      <c r="BF50" s="102">
        <v>965938</v>
      </c>
      <c r="BG50" s="102">
        <v>0</v>
      </c>
      <c r="BH50" s="102">
        <v>1694254</v>
      </c>
      <c r="BI50" s="102">
        <v>1319611</v>
      </c>
      <c r="BJ50" s="102">
        <v>1036913</v>
      </c>
      <c r="BK50" s="102">
        <v>25254</v>
      </c>
      <c r="BL50" s="102">
        <v>0</v>
      </c>
      <c r="BM50" s="102">
        <v>0</v>
      </c>
      <c r="BN50" s="102">
        <v>4477361</v>
      </c>
      <c r="BO50" s="73">
        <f t="shared" si="5"/>
        <v>2006050</v>
      </c>
      <c r="BP50" s="73">
        <f t="shared" si="6"/>
        <v>2471311</v>
      </c>
      <c r="BQ50" s="102">
        <v>0</v>
      </c>
      <c r="BR50" s="102">
        <v>0</v>
      </c>
      <c r="BS50" s="102">
        <v>2471311</v>
      </c>
      <c r="BT50" s="102">
        <v>0</v>
      </c>
      <c r="BU50" s="102">
        <v>69458945</v>
      </c>
      <c r="BV50" s="71"/>
      <c r="BW50" s="102">
        <v>13984776</v>
      </c>
      <c r="BX50" s="102">
        <v>8833548</v>
      </c>
      <c r="BY50" s="102">
        <v>1180339</v>
      </c>
      <c r="BZ50" s="102">
        <v>938746</v>
      </c>
      <c r="CA50" s="102">
        <v>10618739</v>
      </c>
      <c r="CB50" s="102">
        <v>4202636</v>
      </c>
      <c r="CC50" s="102">
        <v>355188</v>
      </c>
      <c r="CD50" s="102">
        <v>5553745</v>
      </c>
      <c r="CE50" s="102">
        <v>253577</v>
      </c>
      <c r="CF50" s="102">
        <v>15125</v>
      </c>
      <c r="CG50" s="102">
        <v>238168</v>
      </c>
      <c r="CH50" s="102">
        <v>6444075</v>
      </c>
      <c r="CI50" s="102">
        <v>5818620</v>
      </c>
      <c r="CJ50" s="83">
        <f t="shared" si="17"/>
        <v>625455</v>
      </c>
      <c r="CK50" s="102">
        <v>11501011</v>
      </c>
      <c r="CL50" s="102">
        <v>6699115</v>
      </c>
      <c r="CM50" s="102">
        <v>1173237</v>
      </c>
      <c r="CN50" s="102">
        <v>1903206</v>
      </c>
      <c r="CO50" s="102">
        <v>566415</v>
      </c>
      <c r="CP50" s="102">
        <v>6316478</v>
      </c>
      <c r="CQ50" s="102">
        <v>1995738</v>
      </c>
      <c r="CR50" s="102">
        <v>1299426</v>
      </c>
      <c r="CS50" s="102">
        <v>977474</v>
      </c>
      <c r="CT50" s="73">
        <f t="shared" si="7"/>
        <v>375418</v>
      </c>
      <c r="CU50" s="102">
        <v>94609</v>
      </c>
      <c r="CV50" s="102">
        <v>280809</v>
      </c>
      <c r="CW50" s="73">
        <f t="shared" si="8"/>
        <v>26484</v>
      </c>
      <c r="CX50" s="102">
        <v>26484</v>
      </c>
      <c r="CY50" s="102">
        <v>0</v>
      </c>
      <c r="CZ50" s="73">
        <f t="shared" si="9"/>
        <v>0</v>
      </c>
      <c r="DA50" s="102">
        <v>0</v>
      </c>
      <c r="DB50" s="102">
        <v>0</v>
      </c>
      <c r="DC50" s="102">
        <v>5438457</v>
      </c>
      <c r="DD50" s="102">
        <v>2694589</v>
      </c>
      <c r="DE50" s="102">
        <v>2642428</v>
      </c>
      <c r="DF50" s="102">
        <v>95843</v>
      </c>
      <c r="DG50" s="102">
        <v>0</v>
      </c>
      <c r="DH50" s="102">
        <v>103146</v>
      </c>
      <c r="DI50" s="102">
        <v>3345710</v>
      </c>
      <c r="DJ50" s="102">
        <v>2145232</v>
      </c>
      <c r="DK50" s="102">
        <v>61327</v>
      </c>
      <c r="DL50" s="102">
        <v>1139151</v>
      </c>
      <c r="DM50" s="102">
        <v>97789</v>
      </c>
      <c r="DN50" s="102">
        <v>97789</v>
      </c>
      <c r="DO50" s="102">
        <v>97789</v>
      </c>
      <c r="DP50" s="102">
        <v>0</v>
      </c>
      <c r="DQ50" s="102">
        <v>21651</v>
      </c>
      <c r="DR50" s="102">
        <v>0</v>
      </c>
      <c r="DS50" s="102">
        <v>0</v>
      </c>
      <c r="DT50" s="102">
        <v>9671517</v>
      </c>
      <c r="DU50" s="102">
        <v>2761187</v>
      </c>
      <c r="DV50" s="73">
        <f t="shared" si="10"/>
        <v>0</v>
      </c>
      <c r="DW50" s="102">
        <v>0</v>
      </c>
      <c r="DX50" s="102">
        <v>2507945</v>
      </c>
      <c r="DY50" s="102">
        <v>0</v>
      </c>
      <c r="DZ50" s="102">
        <v>1845143</v>
      </c>
      <c r="EA50" s="74">
        <v>0</v>
      </c>
      <c r="EB50" s="102">
        <v>2403072</v>
      </c>
      <c r="EC50" s="102">
        <v>0</v>
      </c>
      <c r="ED50" s="102">
        <v>68109764</v>
      </c>
      <c r="EE50" s="71"/>
      <c r="EF50" s="102">
        <v>1349181</v>
      </c>
      <c r="EG50" s="102">
        <v>218408</v>
      </c>
      <c r="EH50" s="102">
        <v>1130773</v>
      </c>
      <c r="EI50" s="102">
        <v>-263897</v>
      </c>
      <c r="EJ50" s="102">
        <v>960300</v>
      </c>
      <c r="EK50" s="71"/>
      <c r="EL50" s="102">
        <v>181513</v>
      </c>
      <c r="EM50" s="102">
        <v>183086</v>
      </c>
      <c r="EN50" s="102">
        <v>1265138</v>
      </c>
      <c r="EO50" s="102">
        <v>150326</v>
      </c>
      <c r="EP50" s="73">
        <f t="shared" si="11"/>
        <v>2488517</v>
      </c>
      <c r="EQ50" s="102">
        <v>45015557</v>
      </c>
      <c r="ER50" s="71">
        <v>-6346502</v>
      </c>
      <c r="ES50" s="102">
        <v>12804073</v>
      </c>
      <c r="ET50" s="102">
        <v>7930053</v>
      </c>
      <c r="EU50" s="102">
        <v>3584389</v>
      </c>
      <c r="EV50" s="102">
        <v>6360673</v>
      </c>
      <c r="EW50" s="73">
        <f t="shared" si="12"/>
        <v>1500976</v>
      </c>
      <c r="EX50" s="102">
        <v>1474038</v>
      </c>
      <c r="EY50" s="102">
        <v>212232</v>
      </c>
      <c r="EZ50" s="102">
        <v>1250593</v>
      </c>
      <c r="FA50" s="102">
        <v>26938</v>
      </c>
      <c r="FB50" s="102">
        <v>0</v>
      </c>
      <c r="FC50" s="102">
        <v>9027042</v>
      </c>
      <c r="FD50" s="102">
        <v>5413957</v>
      </c>
      <c r="FE50" s="102">
        <v>1991060</v>
      </c>
      <c r="FF50" s="102">
        <v>8350242</v>
      </c>
      <c r="FG50" s="73">
        <f t="shared" si="13"/>
        <v>2971526</v>
      </c>
      <c r="FH50" s="102">
        <v>50012878</v>
      </c>
      <c r="FI50" s="379">
        <f t="shared" si="14"/>
        <v>2.6</v>
      </c>
      <c r="FJ50" s="102">
        <v>41415708</v>
      </c>
      <c r="FK50" s="102">
        <v>2472119</v>
      </c>
      <c r="FL50" s="102">
        <v>21336112</v>
      </c>
      <c r="FM50" s="102">
        <v>34794762</v>
      </c>
      <c r="FN50" s="428">
        <v>0.61299999999999999</v>
      </c>
      <c r="FO50" s="424">
        <v>94</v>
      </c>
      <c r="FP50" s="425">
        <v>27.6</v>
      </c>
      <c r="FQ50" s="424">
        <v>7.9</v>
      </c>
      <c r="FR50" s="424">
        <v>14.1</v>
      </c>
      <c r="FS50" s="425">
        <v>17.7</v>
      </c>
      <c r="FT50" s="424">
        <v>9.4</v>
      </c>
      <c r="FU50" s="425">
        <v>16.100000000000001</v>
      </c>
      <c r="FV50" s="384">
        <v>9.6</v>
      </c>
      <c r="FW50" s="102">
        <v>61252217</v>
      </c>
      <c r="FX50" s="384">
        <f t="shared" si="15"/>
        <v>139.6</v>
      </c>
      <c r="FY50" s="102">
        <v>30870283</v>
      </c>
      <c r="FZ50" s="102">
        <v>18880195</v>
      </c>
      <c r="GA50" s="102">
        <v>2143006</v>
      </c>
      <c r="GB50" s="102">
        <v>9847082</v>
      </c>
      <c r="GC50" s="104">
        <v>0</v>
      </c>
      <c r="GD50" s="427">
        <v>823</v>
      </c>
      <c r="GE50" s="452">
        <f>IF(GD50=0,"-",ROUND(GD50/GW50*100,1))</f>
        <v>6.9</v>
      </c>
      <c r="GF50" s="424">
        <v>99.2</v>
      </c>
      <c r="GG50" s="424">
        <v>27.2</v>
      </c>
      <c r="GH50" s="424">
        <v>96.3</v>
      </c>
      <c r="GI50" s="102">
        <v>1455</v>
      </c>
      <c r="GJ50" s="429" t="s">
        <v>646</v>
      </c>
      <c r="GK50" s="429" t="s">
        <v>646</v>
      </c>
      <c r="GL50" s="429" t="s">
        <v>646</v>
      </c>
      <c r="GM50" s="429" t="s">
        <v>646</v>
      </c>
      <c r="GN50" s="429" t="s">
        <v>646</v>
      </c>
      <c r="GO50" s="429" t="s">
        <v>646</v>
      </c>
      <c r="GP50" s="425">
        <v>9.6</v>
      </c>
      <c r="GQ50" s="431" t="s">
        <v>646</v>
      </c>
      <c r="GR50" s="431" t="s">
        <v>646</v>
      </c>
      <c r="GS50" s="431">
        <v>6.8</v>
      </c>
      <c r="GT50" s="429" t="s">
        <v>646</v>
      </c>
      <c r="GU50" s="394"/>
      <c r="GV50" s="100">
        <f t="shared" si="16"/>
        <v>43888</v>
      </c>
      <c r="GW50" s="394">
        <f>GV44+GV48</f>
        <v>11940</v>
      </c>
      <c r="GX50" s="394"/>
      <c r="GY50" s="394"/>
      <c r="GZ50" s="394"/>
      <c r="HA50" s="394"/>
      <c r="HB50" s="394"/>
      <c r="HC50" s="394"/>
      <c r="HD50" s="394"/>
      <c r="HE50" s="394"/>
      <c r="HF50" s="394"/>
      <c r="HG50" s="394"/>
      <c r="HH50" s="394"/>
      <c r="HI50" s="394"/>
      <c r="HJ50" s="394"/>
      <c r="HK50" s="394"/>
      <c r="HL50" s="394"/>
      <c r="HM50" s="394"/>
      <c r="HN50" s="394"/>
      <c r="HO50" s="394"/>
      <c r="HP50" s="394"/>
      <c r="HQ50" s="394"/>
      <c r="HR50" s="394"/>
      <c r="HS50" s="394"/>
      <c r="HT50" s="394"/>
      <c r="HU50" s="394"/>
      <c r="HV50" s="394"/>
    </row>
    <row r="51" spans="2:230" x14ac:dyDescent="0.15">
      <c r="B51" s="21" t="s">
        <v>91</v>
      </c>
      <c r="C51" s="102">
        <v>775476324</v>
      </c>
      <c r="D51" s="73">
        <f t="shared" si="0"/>
        <v>292719186</v>
      </c>
      <c r="E51" s="102">
        <v>8299447</v>
      </c>
      <c r="F51" s="102">
        <v>284419739</v>
      </c>
      <c r="G51" s="73">
        <f t="shared" si="1"/>
        <v>54121085</v>
      </c>
      <c r="H51" s="102">
        <v>13717406</v>
      </c>
      <c r="I51" s="102">
        <v>40403679</v>
      </c>
      <c r="J51" s="102">
        <v>313127741</v>
      </c>
      <c r="K51" s="102">
        <v>131209739</v>
      </c>
      <c r="L51" s="102">
        <v>134912525</v>
      </c>
      <c r="M51" s="102">
        <v>41521245</v>
      </c>
      <c r="N51" s="102">
        <v>37092113</v>
      </c>
      <c r="O51" s="102">
        <v>63240441</v>
      </c>
      <c r="P51" s="102">
        <v>34928637</v>
      </c>
      <c r="Q51" s="102">
        <v>28311804</v>
      </c>
      <c r="R51" s="102">
        <v>10720915</v>
      </c>
      <c r="S51" s="74"/>
      <c r="T51" s="73">
        <f t="shared" si="2"/>
        <v>103147702</v>
      </c>
      <c r="U51" s="102">
        <v>1070986</v>
      </c>
      <c r="V51" s="102">
        <v>3904552</v>
      </c>
      <c r="W51" s="102">
        <v>2302403</v>
      </c>
      <c r="X51" s="102">
        <v>91505996</v>
      </c>
      <c r="Y51" s="102">
        <v>899642</v>
      </c>
      <c r="Z51" s="102">
        <v>0</v>
      </c>
      <c r="AA51" s="102">
        <v>3464123</v>
      </c>
      <c r="AB51" s="102">
        <v>3567777</v>
      </c>
      <c r="AC51" s="102">
        <v>194378662</v>
      </c>
      <c r="AD51" s="102">
        <v>181608368</v>
      </c>
      <c r="AE51" s="102">
        <v>12770047</v>
      </c>
      <c r="AF51" s="102">
        <v>782926</v>
      </c>
      <c r="AG51" s="102">
        <v>19116938</v>
      </c>
      <c r="AH51" s="73">
        <f t="shared" si="3"/>
        <v>34707429</v>
      </c>
      <c r="AI51" s="102">
        <v>26416406</v>
      </c>
      <c r="AJ51" s="102">
        <v>8291023</v>
      </c>
      <c r="AK51" s="102">
        <v>390655070</v>
      </c>
      <c r="AL51" s="73">
        <f t="shared" si="4"/>
        <v>235627994</v>
      </c>
      <c r="AM51" s="102">
        <v>159059329</v>
      </c>
      <c r="AN51" s="102">
        <v>28716395</v>
      </c>
      <c r="AO51" s="74"/>
      <c r="AP51" s="102">
        <v>47852270</v>
      </c>
      <c r="AQ51" s="102">
        <v>13999816</v>
      </c>
      <c r="AR51" s="102">
        <v>112358</v>
      </c>
      <c r="AS51" s="102">
        <v>264776</v>
      </c>
      <c r="AT51" s="102">
        <v>130549587</v>
      </c>
      <c r="AU51" s="102">
        <v>78013586</v>
      </c>
      <c r="AV51" s="102">
        <v>12933194</v>
      </c>
      <c r="AW51" s="102">
        <v>2676983</v>
      </c>
      <c r="AX51" s="102">
        <v>52536001</v>
      </c>
      <c r="AY51" s="102">
        <v>1693275</v>
      </c>
      <c r="AZ51" s="102">
        <v>7124744</v>
      </c>
      <c r="BA51" s="102">
        <v>4882493</v>
      </c>
      <c r="BB51" s="102">
        <v>7675106</v>
      </c>
      <c r="BC51" s="102">
        <v>54230101</v>
      </c>
      <c r="BD51" s="102">
        <v>14941368</v>
      </c>
      <c r="BE51" s="102">
        <v>15192037</v>
      </c>
      <c r="BF51" s="102">
        <v>21649191</v>
      </c>
      <c r="BG51" s="102">
        <v>877896</v>
      </c>
      <c r="BH51" s="102">
        <v>25284430</v>
      </c>
      <c r="BI51" s="102">
        <v>17012964</v>
      </c>
      <c r="BJ51" s="102">
        <v>30442701</v>
      </c>
      <c r="BK51" s="102">
        <v>6678412</v>
      </c>
      <c r="BL51" s="102">
        <v>314745</v>
      </c>
      <c r="BM51" s="102">
        <v>1297435</v>
      </c>
      <c r="BN51" s="102">
        <v>134648687</v>
      </c>
      <c r="BO51" s="73">
        <f t="shared" si="5"/>
        <v>75109018</v>
      </c>
      <c r="BP51" s="73">
        <f t="shared" si="6"/>
        <v>59539669</v>
      </c>
      <c r="BQ51" s="102">
        <v>0</v>
      </c>
      <c r="BR51" s="102">
        <v>25300</v>
      </c>
      <c r="BS51" s="102">
        <v>59514369</v>
      </c>
      <c r="BT51" s="102">
        <v>0</v>
      </c>
      <c r="BU51" s="102">
        <v>1922773875</v>
      </c>
      <c r="BV51" s="71"/>
      <c r="BW51" s="102">
        <v>301865915</v>
      </c>
      <c r="BX51" s="102">
        <v>200921855</v>
      </c>
      <c r="BY51" s="102">
        <v>20086599</v>
      </c>
      <c r="BZ51" s="102">
        <v>23937012</v>
      </c>
      <c r="CA51" s="102">
        <v>594458359</v>
      </c>
      <c r="CB51" s="102">
        <v>135056351</v>
      </c>
      <c r="CC51" s="102">
        <v>10686429</v>
      </c>
      <c r="CD51" s="102">
        <v>223869566</v>
      </c>
      <c r="CE51" s="102">
        <v>209730332</v>
      </c>
      <c r="CF51" s="102">
        <v>4942396</v>
      </c>
      <c r="CG51" s="102">
        <v>10164285</v>
      </c>
      <c r="CH51" s="102">
        <v>173464322</v>
      </c>
      <c r="CI51" s="102">
        <v>157703402</v>
      </c>
      <c r="CJ51" s="83">
        <f t="shared" si="17"/>
        <v>15760920</v>
      </c>
      <c r="CK51" s="102">
        <v>229185121</v>
      </c>
      <c r="CL51" s="102">
        <v>142028224</v>
      </c>
      <c r="CM51" s="102">
        <v>16111571</v>
      </c>
      <c r="CN51" s="102">
        <v>37387294</v>
      </c>
      <c r="CO51" s="102">
        <v>15403007</v>
      </c>
      <c r="CP51" s="102">
        <v>167956325</v>
      </c>
      <c r="CQ51" s="102">
        <v>39583486</v>
      </c>
      <c r="CR51" s="102">
        <v>37415062</v>
      </c>
      <c r="CS51" s="102">
        <v>26235888</v>
      </c>
      <c r="CT51" s="73">
        <f t="shared" si="7"/>
        <v>52290181</v>
      </c>
      <c r="CU51" s="102">
        <v>38205775</v>
      </c>
      <c r="CV51" s="102">
        <v>14084406</v>
      </c>
      <c r="CW51" s="73">
        <f t="shared" si="8"/>
        <v>11184631</v>
      </c>
      <c r="CX51" s="102">
        <v>9293866</v>
      </c>
      <c r="CY51" s="102">
        <v>1890765</v>
      </c>
      <c r="CZ51" s="73">
        <f t="shared" si="9"/>
        <v>38358097</v>
      </c>
      <c r="DA51" s="102">
        <v>27938141</v>
      </c>
      <c r="DB51" s="102">
        <v>10419956</v>
      </c>
      <c r="DC51" s="102">
        <v>163684963</v>
      </c>
      <c r="DD51" s="102">
        <v>59432067</v>
      </c>
      <c r="DE51" s="102">
        <v>98483683</v>
      </c>
      <c r="DF51" s="102">
        <v>1749881</v>
      </c>
      <c r="DG51" s="102">
        <v>4013703</v>
      </c>
      <c r="DH51" s="102">
        <v>387086</v>
      </c>
      <c r="DI51" s="102">
        <v>30970029</v>
      </c>
      <c r="DJ51" s="102">
        <v>10574118</v>
      </c>
      <c r="DK51" s="102">
        <v>989264</v>
      </c>
      <c r="DL51" s="102">
        <v>19406647</v>
      </c>
      <c r="DM51" s="102">
        <v>6336143</v>
      </c>
      <c r="DN51" s="102">
        <v>6103993</v>
      </c>
      <c r="DO51" s="102">
        <v>306679</v>
      </c>
      <c r="DP51" s="102">
        <v>1118360</v>
      </c>
      <c r="DQ51" s="102">
        <v>9323048</v>
      </c>
      <c r="DR51" s="102">
        <v>0</v>
      </c>
      <c r="DS51" s="102">
        <v>0</v>
      </c>
      <c r="DT51" s="102">
        <v>204139053</v>
      </c>
      <c r="DU51" s="102">
        <v>22405674</v>
      </c>
      <c r="DV51" s="73">
        <f t="shared" si="10"/>
        <v>0</v>
      </c>
      <c r="DW51" s="102">
        <v>0</v>
      </c>
      <c r="DX51" s="102">
        <v>60702948</v>
      </c>
      <c r="DY51" s="102">
        <v>221695</v>
      </c>
      <c r="DZ51" s="102">
        <v>60574174</v>
      </c>
      <c r="EA51" s="74">
        <v>0</v>
      </c>
      <c r="EB51" s="102">
        <v>58154181</v>
      </c>
      <c r="EC51" s="102">
        <v>0</v>
      </c>
      <c r="ED51" s="102">
        <v>1897173371</v>
      </c>
      <c r="EE51" s="71"/>
      <c r="EF51" s="102">
        <v>25600504</v>
      </c>
      <c r="EG51" s="102">
        <v>9014513</v>
      </c>
      <c r="EH51" s="102">
        <v>16585991</v>
      </c>
      <c r="EI51" s="102">
        <v>-4744032</v>
      </c>
      <c r="EJ51" s="102">
        <v>5427325</v>
      </c>
      <c r="EK51" s="71"/>
      <c r="EL51" s="102">
        <v>5308974</v>
      </c>
      <c r="EM51" s="102">
        <v>5325982</v>
      </c>
      <c r="EN51" s="102">
        <v>35669832</v>
      </c>
      <c r="EO51" s="102">
        <v>6138001</v>
      </c>
      <c r="EP51" s="73">
        <f t="shared" si="11"/>
        <v>45572622</v>
      </c>
      <c r="EQ51" s="102">
        <v>1088339082</v>
      </c>
      <c r="ER51" s="71">
        <v>-145872422</v>
      </c>
      <c r="ES51" s="102">
        <v>277681119</v>
      </c>
      <c r="ET51" s="102">
        <v>182498647</v>
      </c>
      <c r="EU51" s="102">
        <v>171079164</v>
      </c>
      <c r="EV51" s="102">
        <v>171895098</v>
      </c>
      <c r="EW51" s="73">
        <f t="shared" si="12"/>
        <v>41585500</v>
      </c>
      <c r="EX51" s="102">
        <v>41507866</v>
      </c>
      <c r="EY51" s="102">
        <v>4265964</v>
      </c>
      <c r="EZ51" s="102">
        <v>36835510</v>
      </c>
      <c r="FA51" s="102">
        <v>77634</v>
      </c>
      <c r="FB51" s="102">
        <v>0</v>
      </c>
      <c r="FC51" s="102">
        <v>185956505</v>
      </c>
      <c r="FD51" s="102">
        <v>151225082</v>
      </c>
      <c r="FE51" s="102">
        <v>38060486</v>
      </c>
      <c r="FF51" s="102">
        <v>165593415</v>
      </c>
      <c r="FG51" s="73">
        <f t="shared" si="13"/>
        <v>44474173</v>
      </c>
      <c r="FH51" s="102">
        <v>1209490056</v>
      </c>
      <c r="FI51" s="379">
        <f t="shared" si="14"/>
        <v>1.5</v>
      </c>
      <c r="FJ51" s="102">
        <v>1004045335</v>
      </c>
      <c r="FK51" s="102">
        <v>66325127</v>
      </c>
      <c r="FL51" s="102">
        <v>639713708</v>
      </c>
      <c r="FM51" s="102">
        <v>820825636</v>
      </c>
      <c r="FN51" s="428">
        <v>0.76800000000000002</v>
      </c>
      <c r="FO51" s="424">
        <v>96.9</v>
      </c>
      <c r="FP51" s="425">
        <v>25.4</v>
      </c>
      <c r="FQ51" s="424">
        <v>15.8</v>
      </c>
      <c r="FR51" s="424">
        <v>14.5</v>
      </c>
      <c r="FS51" s="425">
        <v>15.5</v>
      </c>
      <c r="FT51" s="424">
        <v>11</v>
      </c>
      <c r="FU51" s="425">
        <v>13.4</v>
      </c>
      <c r="FV51" s="384">
        <v>4.9000000000000004</v>
      </c>
      <c r="FW51" s="102">
        <v>1549303333</v>
      </c>
      <c r="FX51" s="384">
        <f t="shared" si="15"/>
        <v>144.69999999999999</v>
      </c>
      <c r="FY51" s="102">
        <v>355920802</v>
      </c>
      <c r="FZ51" s="102">
        <v>161833405</v>
      </c>
      <c r="GA51" s="102">
        <v>31141256</v>
      </c>
      <c r="GB51" s="102">
        <v>162946141</v>
      </c>
      <c r="GC51" s="104">
        <v>0</v>
      </c>
      <c r="GD51" s="427">
        <v>33440</v>
      </c>
      <c r="GE51" s="452">
        <f>IF(GD51=0,"-",ROUND(GD51/GW51*100,1))</f>
        <v>9.4</v>
      </c>
      <c r="GF51" s="424">
        <v>99.1</v>
      </c>
      <c r="GG51" s="424">
        <v>33.9</v>
      </c>
      <c r="GH51" s="424">
        <v>96.9</v>
      </c>
      <c r="GI51" s="102">
        <v>30954</v>
      </c>
      <c r="GJ51" s="429" t="s">
        <v>646</v>
      </c>
      <c r="GK51" s="429" t="s">
        <v>646</v>
      </c>
      <c r="GL51" s="429" t="s">
        <v>646</v>
      </c>
      <c r="GM51" s="429" t="s">
        <v>646</v>
      </c>
      <c r="GN51" s="429" t="s">
        <v>646</v>
      </c>
      <c r="GO51" s="429" t="s">
        <v>646</v>
      </c>
      <c r="GP51" s="425">
        <v>4.9000000000000004</v>
      </c>
      <c r="GQ51" s="431" t="s">
        <v>646</v>
      </c>
      <c r="GR51" s="431" t="s">
        <v>646</v>
      </c>
      <c r="GS51" s="431">
        <v>2.8</v>
      </c>
      <c r="GT51" s="429" t="s">
        <v>646</v>
      </c>
      <c r="GU51" s="394"/>
      <c r="GV51" s="100">
        <f t="shared" si="16"/>
        <v>1070370</v>
      </c>
      <c r="GW51" s="394">
        <f>GW39+GW50</f>
        <v>356356</v>
      </c>
      <c r="GX51" s="394"/>
      <c r="GY51" s="394"/>
      <c r="GZ51" s="394"/>
      <c r="HA51" s="394"/>
      <c r="HB51" s="394"/>
      <c r="HC51" s="394"/>
      <c r="HD51" s="394"/>
      <c r="HE51" s="394"/>
      <c r="HF51" s="394"/>
      <c r="HG51" s="394"/>
      <c r="HH51" s="394"/>
      <c r="HI51" s="394"/>
      <c r="HJ51" s="394"/>
      <c r="HK51" s="394"/>
      <c r="HL51" s="394"/>
      <c r="HM51" s="394"/>
      <c r="HN51" s="394"/>
      <c r="HO51" s="394"/>
      <c r="HP51" s="394"/>
      <c r="HQ51" s="394"/>
      <c r="HR51" s="394"/>
      <c r="HS51" s="394"/>
      <c r="HT51" s="394"/>
      <c r="HU51" s="394"/>
      <c r="HV51" s="394"/>
    </row>
    <row r="52" spans="2:230" x14ac:dyDescent="0.15">
      <c r="B52" s="72" t="s">
        <v>0</v>
      </c>
      <c r="C52" s="102">
        <v>1567330779</v>
      </c>
      <c r="D52" s="73">
        <f t="shared" si="0"/>
        <v>483399715</v>
      </c>
      <c r="E52" s="102">
        <v>13810908</v>
      </c>
      <c r="F52" s="102">
        <v>469588807</v>
      </c>
      <c r="G52" s="73">
        <f t="shared" si="1"/>
        <v>186411646</v>
      </c>
      <c r="H52" s="102">
        <v>34631151</v>
      </c>
      <c r="I52" s="102">
        <v>151780495</v>
      </c>
      <c r="J52" s="102">
        <v>644967867</v>
      </c>
      <c r="K52" s="102">
        <v>258390155</v>
      </c>
      <c r="L52" s="102">
        <v>291594424</v>
      </c>
      <c r="M52" s="102">
        <v>87878758</v>
      </c>
      <c r="N52" s="102">
        <v>73189643</v>
      </c>
      <c r="O52" s="102">
        <v>129544236</v>
      </c>
      <c r="P52" s="102">
        <v>67076746</v>
      </c>
      <c r="Q52" s="102">
        <v>62467490</v>
      </c>
      <c r="R52" s="102">
        <v>19021103</v>
      </c>
      <c r="S52" s="74"/>
      <c r="T52" s="73">
        <f t="shared" si="2"/>
        <v>185358998</v>
      </c>
      <c r="U52" s="102">
        <v>1750376</v>
      </c>
      <c r="V52" s="102">
        <v>6381727</v>
      </c>
      <c r="W52" s="102">
        <v>3767506</v>
      </c>
      <c r="X52" s="102">
        <v>165687371</v>
      </c>
      <c r="Y52" s="102">
        <v>1037716</v>
      </c>
      <c r="Z52" s="102">
        <v>0</v>
      </c>
      <c r="AA52" s="102">
        <v>6734302</v>
      </c>
      <c r="AB52" s="102">
        <v>5777525</v>
      </c>
      <c r="AC52" s="102">
        <v>247074923</v>
      </c>
      <c r="AD52" s="102">
        <v>232494407</v>
      </c>
      <c r="AE52" s="102">
        <v>14580152</v>
      </c>
      <c r="AF52" s="102">
        <v>1938644</v>
      </c>
      <c r="AG52" s="102">
        <v>30154639</v>
      </c>
      <c r="AH52" s="73">
        <f t="shared" si="3"/>
        <v>107773669</v>
      </c>
      <c r="AI52" s="102">
        <v>89682720</v>
      </c>
      <c r="AJ52" s="102">
        <v>18090949</v>
      </c>
      <c r="AK52" s="102">
        <v>843331894</v>
      </c>
      <c r="AL52" s="73">
        <f t="shared" si="4"/>
        <v>572128839</v>
      </c>
      <c r="AM52" s="102">
        <v>408950292</v>
      </c>
      <c r="AN52" s="102">
        <v>67582658</v>
      </c>
      <c r="AO52" s="74"/>
      <c r="AP52" s="102">
        <v>95595889</v>
      </c>
      <c r="AQ52" s="102">
        <v>32672636</v>
      </c>
      <c r="AR52" s="102">
        <v>112358</v>
      </c>
      <c r="AS52" s="102">
        <v>274474</v>
      </c>
      <c r="AT52" s="102">
        <v>218756182</v>
      </c>
      <c r="AU52" s="102">
        <v>129392674</v>
      </c>
      <c r="AV52" s="102">
        <v>16144711</v>
      </c>
      <c r="AW52" s="102">
        <v>5338192</v>
      </c>
      <c r="AX52" s="102">
        <v>89363508</v>
      </c>
      <c r="AY52" s="102">
        <v>1984751</v>
      </c>
      <c r="AZ52" s="102">
        <v>41260228</v>
      </c>
      <c r="BA52" s="102">
        <v>26634665</v>
      </c>
      <c r="BB52" s="102">
        <v>8762157</v>
      </c>
      <c r="BC52" s="102">
        <v>74339646</v>
      </c>
      <c r="BD52" s="102">
        <v>21492358</v>
      </c>
      <c r="BE52" s="102">
        <v>15192177</v>
      </c>
      <c r="BF52" s="102">
        <v>28182440</v>
      </c>
      <c r="BG52" s="102">
        <v>877896</v>
      </c>
      <c r="BH52" s="102">
        <v>30438072</v>
      </c>
      <c r="BI52" s="102">
        <v>19525260</v>
      </c>
      <c r="BJ52" s="102">
        <v>183507482</v>
      </c>
      <c r="BK52" s="102">
        <v>94646056</v>
      </c>
      <c r="BL52" s="102">
        <v>734808</v>
      </c>
      <c r="BM52" s="102">
        <v>14138193</v>
      </c>
      <c r="BN52" s="102">
        <v>267760587</v>
      </c>
      <c r="BO52" s="73">
        <f t="shared" si="5"/>
        <v>133397418</v>
      </c>
      <c r="BP52" s="73">
        <f t="shared" si="6"/>
        <v>134363169</v>
      </c>
      <c r="BQ52" s="102">
        <v>0</v>
      </c>
      <c r="BR52" s="102">
        <v>25300</v>
      </c>
      <c r="BS52" s="102">
        <v>134337869</v>
      </c>
      <c r="BT52" s="102">
        <v>0</v>
      </c>
      <c r="BU52" s="102">
        <v>3850888142</v>
      </c>
      <c r="BV52" s="71"/>
      <c r="BW52" s="102">
        <v>546356539</v>
      </c>
      <c r="BX52" s="102">
        <v>376711678</v>
      </c>
      <c r="BY52" s="102">
        <v>38063866</v>
      </c>
      <c r="BZ52" s="102">
        <v>34683397</v>
      </c>
      <c r="CA52" s="102">
        <v>1256494434</v>
      </c>
      <c r="CB52" s="102">
        <v>257095010</v>
      </c>
      <c r="CC52" s="102">
        <v>20326753</v>
      </c>
      <c r="CD52" s="102">
        <v>401168831</v>
      </c>
      <c r="CE52" s="102">
        <v>543433589</v>
      </c>
      <c r="CF52" s="102">
        <v>17002456</v>
      </c>
      <c r="CG52" s="102">
        <v>17458741</v>
      </c>
      <c r="CH52" s="102">
        <v>473263480</v>
      </c>
      <c r="CI52" s="102">
        <v>419461318</v>
      </c>
      <c r="CJ52" s="83">
        <f t="shared" si="17"/>
        <v>53802162</v>
      </c>
      <c r="CK52" s="102">
        <v>384585500</v>
      </c>
      <c r="CL52" s="102">
        <v>241573762</v>
      </c>
      <c r="CM52" s="102">
        <v>20210115</v>
      </c>
      <c r="CN52" s="102">
        <v>68150759</v>
      </c>
      <c r="CO52" s="102">
        <v>32583684</v>
      </c>
      <c r="CP52" s="102">
        <v>309289778</v>
      </c>
      <c r="CQ52" s="102">
        <v>46970115</v>
      </c>
      <c r="CR52" s="102">
        <v>92542027</v>
      </c>
      <c r="CS52" s="102">
        <v>67293989</v>
      </c>
      <c r="CT52" s="73">
        <f t="shared" si="7"/>
        <v>99360391</v>
      </c>
      <c r="CU52" s="102">
        <v>45465783</v>
      </c>
      <c r="CV52" s="102">
        <v>53894608</v>
      </c>
      <c r="CW52" s="73">
        <f t="shared" si="8"/>
        <v>11184631</v>
      </c>
      <c r="CX52" s="102">
        <v>9293866</v>
      </c>
      <c r="CY52" s="102">
        <v>1890765</v>
      </c>
      <c r="CZ52" s="73">
        <f t="shared" si="9"/>
        <v>79642063</v>
      </c>
      <c r="DA52" s="102">
        <v>34786249</v>
      </c>
      <c r="DB52" s="102">
        <v>44855814</v>
      </c>
      <c r="DC52" s="102">
        <v>305653287</v>
      </c>
      <c r="DD52" s="102">
        <v>138037543</v>
      </c>
      <c r="DE52" s="102">
        <v>158238681</v>
      </c>
      <c r="DF52" s="102">
        <v>1749881</v>
      </c>
      <c r="DG52" s="102">
        <v>4089852</v>
      </c>
      <c r="DH52" s="102">
        <v>387086</v>
      </c>
      <c r="DI52" s="102">
        <v>40714787</v>
      </c>
      <c r="DJ52" s="102">
        <v>15826075</v>
      </c>
      <c r="DK52" s="102">
        <v>2104946</v>
      </c>
      <c r="DL52" s="102">
        <v>22783766</v>
      </c>
      <c r="DM52" s="102">
        <v>10393173</v>
      </c>
      <c r="DN52" s="102">
        <v>8384223</v>
      </c>
      <c r="DO52" s="102">
        <v>306679</v>
      </c>
      <c r="DP52" s="102">
        <v>1118360</v>
      </c>
      <c r="DQ52" s="102">
        <v>98886832</v>
      </c>
      <c r="DR52" s="102">
        <v>0</v>
      </c>
      <c r="DS52" s="102">
        <v>0</v>
      </c>
      <c r="DT52" s="102">
        <v>361301653</v>
      </c>
      <c r="DU52" s="102">
        <v>22405674</v>
      </c>
      <c r="DV52" s="73">
        <f t="shared" si="10"/>
        <v>11622107</v>
      </c>
      <c r="DW52" s="102">
        <v>11622107</v>
      </c>
      <c r="DX52" s="102">
        <v>105024041</v>
      </c>
      <c r="DY52" s="102">
        <v>227184</v>
      </c>
      <c r="DZ52" s="102">
        <v>113083344</v>
      </c>
      <c r="EA52" s="74">
        <v>0</v>
      </c>
      <c r="EB52" s="102">
        <v>104372259</v>
      </c>
      <c r="EC52" s="102">
        <v>0</v>
      </c>
      <c r="ED52" s="102">
        <v>3819910233</v>
      </c>
      <c r="EE52" s="71"/>
      <c r="EF52" s="102">
        <v>30977909</v>
      </c>
      <c r="EG52" s="102">
        <v>11597960</v>
      </c>
      <c r="EH52" s="102">
        <v>19379949</v>
      </c>
      <c r="EI52" s="102">
        <v>-4462370</v>
      </c>
      <c r="EJ52" s="102">
        <v>4411693</v>
      </c>
      <c r="EK52" s="71"/>
      <c r="EL52" s="102">
        <v>8839469</v>
      </c>
      <c r="EM52" s="102">
        <v>8861437</v>
      </c>
      <c r="EN52" s="102">
        <v>43027501</v>
      </c>
      <c r="EO52" s="102">
        <v>26990437</v>
      </c>
      <c r="EP52" s="73">
        <f t="shared" si="11"/>
        <v>106219417</v>
      </c>
      <c r="EQ52" s="102">
        <v>2044803586</v>
      </c>
      <c r="ER52" s="71">
        <v>-290360266</v>
      </c>
      <c r="ES52" s="102">
        <v>493361522</v>
      </c>
      <c r="ET52" s="102">
        <v>337361758</v>
      </c>
      <c r="EU52" s="102">
        <v>364385177</v>
      </c>
      <c r="EV52" s="102">
        <v>439076696</v>
      </c>
      <c r="EW52" s="73">
        <f t="shared" si="12"/>
        <v>85280386</v>
      </c>
      <c r="EX52" s="102">
        <v>85202752</v>
      </c>
      <c r="EY52" s="102">
        <v>14815743</v>
      </c>
      <c r="EZ52" s="102">
        <v>69636965</v>
      </c>
      <c r="FA52" s="102">
        <v>77634</v>
      </c>
      <c r="FB52" s="102">
        <v>0</v>
      </c>
      <c r="FC52" s="102">
        <v>292888752</v>
      </c>
      <c r="FD52" s="102">
        <v>271639381</v>
      </c>
      <c r="FE52" s="102">
        <v>42481801</v>
      </c>
      <c r="FF52" s="102">
        <v>292570152</v>
      </c>
      <c r="FG52" s="73">
        <f t="shared" si="13"/>
        <v>65927088</v>
      </c>
      <c r="FH52" s="102">
        <v>2305129154</v>
      </c>
      <c r="FI52" s="379">
        <f t="shared" si="14"/>
        <v>1</v>
      </c>
      <c r="FJ52" s="102">
        <v>1880831252</v>
      </c>
      <c r="FK52" s="102">
        <v>141149338</v>
      </c>
      <c r="FL52" s="102">
        <v>1274218403</v>
      </c>
      <c r="FM52" s="102">
        <v>1509041741</v>
      </c>
      <c r="FN52" s="151">
        <v>0.83499999999999996</v>
      </c>
      <c r="FO52" s="424">
        <v>98.2</v>
      </c>
      <c r="FP52" s="151">
        <v>23.8</v>
      </c>
      <c r="FQ52" s="424">
        <v>17.7</v>
      </c>
      <c r="FR52" s="424">
        <v>20.6</v>
      </c>
      <c r="FS52" s="151">
        <v>12.9</v>
      </c>
      <c r="FT52" s="424">
        <v>10.199999999999999</v>
      </c>
      <c r="FU52" s="151">
        <v>11.8</v>
      </c>
      <c r="FV52" s="384">
        <v>6.1</v>
      </c>
      <c r="FW52" s="102">
        <v>4142904288</v>
      </c>
      <c r="FX52" s="384">
        <f t="shared" si="15"/>
        <v>204.9</v>
      </c>
      <c r="FY52" s="102">
        <v>604086729</v>
      </c>
      <c r="FZ52" s="102">
        <v>330292767</v>
      </c>
      <c r="GA52" s="102">
        <v>37217038</v>
      </c>
      <c r="GB52" s="102">
        <v>236576924</v>
      </c>
      <c r="GC52" s="104">
        <v>0</v>
      </c>
      <c r="GD52" s="427">
        <v>33440</v>
      </c>
      <c r="GE52" s="31">
        <f>IF(GD52=0,"-",ROUND(GD52/GW52*100,1))</f>
        <v>9.4</v>
      </c>
      <c r="GF52" s="424">
        <v>99.3</v>
      </c>
      <c r="GG52" s="424">
        <v>32.299999999999997</v>
      </c>
      <c r="GH52" s="424">
        <v>97.4</v>
      </c>
      <c r="GI52" s="102">
        <v>68054</v>
      </c>
      <c r="GJ52" s="429" t="s">
        <v>646</v>
      </c>
      <c r="GK52" s="429" t="s">
        <v>646</v>
      </c>
      <c r="GL52" s="429" t="s">
        <v>646</v>
      </c>
      <c r="GM52" s="429" t="s">
        <v>646</v>
      </c>
      <c r="GN52" s="429" t="s">
        <v>646</v>
      </c>
      <c r="GO52" s="429" t="s">
        <v>646</v>
      </c>
      <c r="GP52" s="425">
        <v>6.1</v>
      </c>
      <c r="GQ52" s="431" t="s">
        <v>646</v>
      </c>
      <c r="GR52" s="431" t="s">
        <v>646</v>
      </c>
      <c r="GS52" s="123">
        <v>38.299999999999997</v>
      </c>
      <c r="GT52" s="429" t="s">
        <v>646</v>
      </c>
      <c r="GV52" s="100">
        <f t="shared" si="16"/>
        <v>2021981</v>
      </c>
      <c r="GW52" s="394">
        <f>GW51</f>
        <v>356356</v>
      </c>
    </row>
    <row r="53" spans="2:230" x14ac:dyDescent="0.15">
      <c r="S53" s="75"/>
      <c r="CI53" s="89"/>
      <c r="CJ53" s="84"/>
      <c r="EI53" s="420">
        <f>EI8+EI10+EI12+EI14+EI23+EI24+EI25+EI27+EI31+EI32+EI37+EI43+EI44+EI45+EI47+EI48</f>
        <v>-1157899</v>
      </c>
      <c r="FJ53" s="394">
        <f>FJ44+FJ47+FJ45</f>
        <v>14372690</v>
      </c>
      <c r="FK53" s="394">
        <f>FK44+FK47+FK45</f>
        <v>721087</v>
      </c>
      <c r="GE53" s="89" t="s">
        <v>647</v>
      </c>
      <c r="GW53" s="101" t="s">
        <v>648</v>
      </c>
      <c r="GX53" s="101"/>
    </row>
    <row r="54" spans="2:230" x14ac:dyDescent="0.15">
      <c r="S54" s="75"/>
      <c r="CI54" s="89"/>
      <c r="CJ54" s="84"/>
      <c r="EI54" s="420">
        <f>EI51-EI53</f>
        <v>-3586133</v>
      </c>
      <c r="EM54" s="423"/>
      <c r="FJ54" s="394">
        <f>FJ39+FJ53</f>
        <v>977002317</v>
      </c>
      <c r="FK54" s="394">
        <f>FK39+FK53</f>
        <v>64574095</v>
      </c>
      <c r="GF54" s="388"/>
      <c r="GG54" s="388"/>
      <c r="GH54" s="388"/>
      <c r="GI54" s="272">
        <v>30796</v>
      </c>
    </row>
    <row r="55" spans="2:230" x14ac:dyDescent="0.15">
      <c r="S55" s="75"/>
      <c r="CI55" s="89"/>
      <c r="CJ55" s="84"/>
    </row>
    <row r="56" spans="2:230" x14ac:dyDescent="0.15">
      <c r="B56" s="89" t="s">
        <v>650</v>
      </c>
      <c r="C56" s="89" t="str">
        <f t="shared" ref="C56:AH56" si="18">IF(SUM(C8:C38)=C39,"ok","エラー")</f>
        <v>ok</v>
      </c>
      <c r="D56" s="89" t="str">
        <f t="shared" si="18"/>
        <v>ok</v>
      </c>
      <c r="E56" s="89" t="str">
        <f t="shared" si="18"/>
        <v>ok</v>
      </c>
      <c r="F56" s="89" t="str">
        <f t="shared" si="18"/>
        <v>ok</v>
      </c>
      <c r="G56" s="89" t="str">
        <f t="shared" si="18"/>
        <v>ok</v>
      </c>
      <c r="H56" s="89" t="str">
        <f t="shared" si="18"/>
        <v>ok</v>
      </c>
      <c r="I56" s="89" t="str">
        <f t="shared" si="18"/>
        <v>ok</v>
      </c>
      <c r="J56" s="89" t="str">
        <f t="shared" si="18"/>
        <v>ok</v>
      </c>
      <c r="K56" s="89" t="str">
        <f t="shared" si="18"/>
        <v>ok</v>
      </c>
      <c r="L56" s="89" t="str">
        <f t="shared" si="18"/>
        <v>ok</v>
      </c>
      <c r="M56" s="89" t="str">
        <f t="shared" si="18"/>
        <v>ok</v>
      </c>
      <c r="N56" s="89" t="str">
        <f t="shared" si="18"/>
        <v>ok</v>
      </c>
      <c r="O56" s="89" t="str">
        <f t="shared" si="18"/>
        <v>ok</v>
      </c>
      <c r="P56" s="89" t="str">
        <f t="shared" si="18"/>
        <v>ok</v>
      </c>
      <c r="Q56" s="89" t="str">
        <f t="shared" si="18"/>
        <v>ok</v>
      </c>
      <c r="R56" s="89" t="str">
        <f t="shared" si="18"/>
        <v>ok</v>
      </c>
      <c r="S56" s="75" t="str">
        <f t="shared" si="18"/>
        <v>ok</v>
      </c>
      <c r="T56" s="89" t="str">
        <f t="shared" si="18"/>
        <v>ok</v>
      </c>
      <c r="U56" s="89" t="str">
        <f t="shared" si="18"/>
        <v>ok</v>
      </c>
      <c r="V56" s="89" t="str">
        <f t="shared" si="18"/>
        <v>ok</v>
      </c>
      <c r="W56" s="89" t="str">
        <f t="shared" si="18"/>
        <v>ok</v>
      </c>
      <c r="X56" s="89" t="str">
        <f t="shared" si="18"/>
        <v>ok</v>
      </c>
      <c r="Y56" s="89" t="str">
        <f t="shared" si="18"/>
        <v>ok</v>
      </c>
      <c r="Z56" s="89" t="str">
        <f t="shared" si="18"/>
        <v>ok</v>
      </c>
      <c r="AA56" s="89" t="str">
        <f t="shared" si="18"/>
        <v>ok</v>
      </c>
      <c r="AB56" s="89" t="str">
        <f t="shared" si="18"/>
        <v>ok</v>
      </c>
      <c r="AC56" s="89" t="str">
        <f t="shared" si="18"/>
        <v>ok</v>
      </c>
      <c r="AD56" s="89" t="str">
        <f t="shared" si="18"/>
        <v>ok</v>
      </c>
      <c r="AE56" s="89" t="str">
        <f t="shared" si="18"/>
        <v>ok</v>
      </c>
      <c r="AF56" s="89" t="str">
        <f t="shared" si="18"/>
        <v>ok</v>
      </c>
      <c r="AG56" s="89" t="str">
        <f t="shared" si="18"/>
        <v>ok</v>
      </c>
      <c r="AH56" s="89" t="str">
        <f t="shared" si="18"/>
        <v>ok</v>
      </c>
      <c r="AI56" s="89" t="str">
        <f t="shared" ref="AI56:BN56" si="19">IF(SUM(AI8:AI38)=AI39,"ok","エラー")</f>
        <v>ok</v>
      </c>
      <c r="AJ56" s="89" t="str">
        <f t="shared" si="19"/>
        <v>ok</v>
      </c>
      <c r="AK56" s="89" t="str">
        <f t="shared" si="19"/>
        <v>ok</v>
      </c>
      <c r="AL56" s="89" t="str">
        <f t="shared" si="19"/>
        <v>ok</v>
      </c>
      <c r="AM56" s="89" t="str">
        <f t="shared" si="19"/>
        <v>ok</v>
      </c>
      <c r="AN56" s="89" t="str">
        <f t="shared" si="19"/>
        <v>ok</v>
      </c>
      <c r="AO56" s="89" t="str">
        <f t="shared" si="19"/>
        <v>ok</v>
      </c>
      <c r="AP56" s="89" t="str">
        <f t="shared" si="19"/>
        <v>ok</v>
      </c>
      <c r="AQ56" s="89" t="str">
        <f t="shared" si="19"/>
        <v>ok</v>
      </c>
      <c r="AR56" s="89" t="str">
        <f t="shared" si="19"/>
        <v>ok</v>
      </c>
      <c r="AS56" s="89" t="str">
        <f t="shared" si="19"/>
        <v>ok</v>
      </c>
      <c r="AT56" s="89" t="str">
        <f t="shared" si="19"/>
        <v>ok</v>
      </c>
      <c r="AU56" s="89" t="str">
        <f t="shared" si="19"/>
        <v>ok</v>
      </c>
      <c r="AV56" s="89" t="str">
        <f t="shared" si="19"/>
        <v>ok</v>
      </c>
      <c r="AW56" s="89" t="str">
        <f t="shared" si="19"/>
        <v>ok</v>
      </c>
      <c r="AX56" s="89" t="str">
        <f t="shared" si="19"/>
        <v>ok</v>
      </c>
      <c r="AY56" s="89" t="str">
        <f t="shared" si="19"/>
        <v>ok</v>
      </c>
      <c r="AZ56" s="89" t="str">
        <f t="shared" si="19"/>
        <v>ok</v>
      </c>
      <c r="BA56" s="89" t="str">
        <f t="shared" si="19"/>
        <v>ok</v>
      </c>
      <c r="BB56" s="89" t="str">
        <f t="shared" si="19"/>
        <v>ok</v>
      </c>
      <c r="BC56" s="89" t="str">
        <f t="shared" si="19"/>
        <v>ok</v>
      </c>
      <c r="BD56" s="89" t="str">
        <f t="shared" si="19"/>
        <v>ok</v>
      </c>
      <c r="BE56" s="89" t="str">
        <f t="shared" si="19"/>
        <v>ok</v>
      </c>
      <c r="BF56" s="89" t="str">
        <f t="shared" si="19"/>
        <v>ok</v>
      </c>
      <c r="BG56" s="89" t="str">
        <f t="shared" si="19"/>
        <v>ok</v>
      </c>
      <c r="BH56" s="89" t="str">
        <f t="shared" si="19"/>
        <v>ok</v>
      </c>
      <c r="BI56" s="89" t="str">
        <f t="shared" si="19"/>
        <v>ok</v>
      </c>
      <c r="BJ56" s="89" t="str">
        <f t="shared" si="19"/>
        <v>ok</v>
      </c>
      <c r="BK56" s="89" t="str">
        <f t="shared" si="19"/>
        <v>ok</v>
      </c>
      <c r="BL56" s="89" t="str">
        <f t="shared" si="19"/>
        <v>ok</v>
      </c>
      <c r="BM56" s="89" t="str">
        <f t="shared" si="19"/>
        <v>ok</v>
      </c>
      <c r="BN56" s="89" t="str">
        <f t="shared" si="19"/>
        <v>ok</v>
      </c>
      <c r="BO56" s="89" t="str">
        <f t="shared" ref="BO56:CI56" si="20">IF(SUM(BO8:BO38)=BO39,"ok","エラー")</f>
        <v>ok</v>
      </c>
      <c r="BP56" s="89" t="str">
        <f t="shared" si="20"/>
        <v>ok</v>
      </c>
      <c r="BQ56" s="89" t="str">
        <f t="shared" si="20"/>
        <v>ok</v>
      </c>
      <c r="BR56" s="89" t="str">
        <f t="shared" si="20"/>
        <v>ok</v>
      </c>
      <c r="BS56" s="89" t="str">
        <f t="shared" si="20"/>
        <v>ok</v>
      </c>
      <c r="BT56" s="89" t="str">
        <f t="shared" si="20"/>
        <v>ok</v>
      </c>
      <c r="BU56" s="89" t="str">
        <f t="shared" si="20"/>
        <v>ok</v>
      </c>
      <c r="BV56" s="89" t="str">
        <f t="shared" si="20"/>
        <v>ok</v>
      </c>
      <c r="BW56" s="89" t="str">
        <f t="shared" si="20"/>
        <v>ok</v>
      </c>
      <c r="BX56" s="89" t="str">
        <f t="shared" si="20"/>
        <v>ok</v>
      </c>
      <c r="BY56" s="89" t="str">
        <f t="shared" si="20"/>
        <v>ok</v>
      </c>
      <c r="BZ56" s="89" t="str">
        <f t="shared" si="20"/>
        <v>ok</v>
      </c>
      <c r="CA56" s="89" t="str">
        <f t="shared" si="20"/>
        <v>ok</v>
      </c>
      <c r="CB56" s="89" t="str">
        <f t="shared" si="20"/>
        <v>ok</v>
      </c>
      <c r="CC56" s="89" t="str">
        <f t="shared" si="20"/>
        <v>ok</v>
      </c>
      <c r="CD56" s="89" t="str">
        <f t="shared" si="20"/>
        <v>ok</v>
      </c>
      <c r="CE56" s="89" t="str">
        <f t="shared" si="20"/>
        <v>ok</v>
      </c>
      <c r="CF56" s="89" t="str">
        <f t="shared" si="20"/>
        <v>ok</v>
      </c>
      <c r="CG56" s="89" t="str">
        <f t="shared" si="20"/>
        <v>ok</v>
      </c>
      <c r="CH56" s="89" t="str">
        <f t="shared" si="20"/>
        <v>ok</v>
      </c>
      <c r="CI56" s="89" t="str">
        <f t="shared" si="20"/>
        <v>ok</v>
      </c>
      <c r="CJ56" s="84"/>
      <c r="CK56" s="89" t="str">
        <f t="shared" ref="CK56:DP56" si="21">IF(SUM(CK8:CK38)=CK39,"ok","エラー")</f>
        <v>ok</v>
      </c>
      <c r="CL56" s="89" t="str">
        <f t="shared" si="21"/>
        <v>ok</v>
      </c>
      <c r="CM56" s="89" t="str">
        <f t="shared" si="21"/>
        <v>ok</v>
      </c>
      <c r="CN56" s="89" t="str">
        <f t="shared" si="21"/>
        <v>ok</v>
      </c>
      <c r="CO56" s="89" t="str">
        <f t="shared" si="21"/>
        <v>ok</v>
      </c>
      <c r="CP56" s="89" t="str">
        <f t="shared" si="21"/>
        <v>ok</v>
      </c>
      <c r="CQ56" s="89" t="str">
        <f t="shared" si="21"/>
        <v>ok</v>
      </c>
      <c r="CR56" s="89" t="str">
        <f t="shared" si="21"/>
        <v>ok</v>
      </c>
      <c r="CS56" s="89" t="str">
        <f t="shared" si="21"/>
        <v>ok</v>
      </c>
      <c r="CT56" s="89" t="str">
        <f t="shared" si="21"/>
        <v>ok</v>
      </c>
      <c r="CU56" s="89" t="str">
        <f t="shared" si="21"/>
        <v>ok</v>
      </c>
      <c r="CV56" s="89" t="str">
        <f t="shared" si="21"/>
        <v>ok</v>
      </c>
      <c r="CW56" s="89" t="str">
        <f t="shared" si="21"/>
        <v>ok</v>
      </c>
      <c r="CX56" s="89" t="str">
        <f t="shared" si="21"/>
        <v>ok</v>
      </c>
      <c r="CY56" s="89" t="str">
        <f t="shared" si="21"/>
        <v>ok</v>
      </c>
      <c r="CZ56" s="89" t="str">
        <f t="shared" si="21"/>
        <v>ok</v>
      </c>
      <c r="DA56" s="89" t="str">
        <f t="shared" si="21"/>
        <v>ok</v>
      </c>
      <c r="DB56" s="89" t="str">
        <f t="shared" si="21"/>
        <v>ok</v>
      </c>
      <c r="DC56" s="89" t="str">
        <f t="shared" si="21"/>
        <v>ok</v>
      </c>
      <c r="DD56" s="89" t="str">
        <f t="shared" si="21"/>
        <v>ok</v>
      </c>
      <c r="DE56" s="89" t="str">
        <f t="shared" si="21"/>
        <v>ok</v>
      </c>
      <c r="DF56" s="89" t="str">
        <f t="shared" si="21"/>
        <v>ok</v>
      </c>
      <c r="DG56" s="89" t="str">
        <f t="shared" si="21"/>
        <v>ok</v>
      </c>
      <c r="DH56" s="89" t="str">
        <f t="shared" si="21"/>
        <v>ok</v>
      </c>
      <c r="DI56" s="89" t="str">
        <f t="shared" si="21"/>
        <v>ok</v>
      </c>
      <c r="DJ56" s="89" t="str">
        <f t="shared" si="21"/>
        <v>ok</v>
      </c>
      <c r="DK56" s="89" t="str">
        <f t="shared" si="21"/>
        <v>ok</v>
      </c>
      <c r="DL56" s="89" t="str">
        <f t="shared" si="21"/>
        <v>ok</v>
      </c>
      <c r="DM56" s="89" t="str">
        <f t="shared" si="21"/>
        <v>ok</v>
      </c>
      <c r="DN56" s="89" t="str">
        <f t="shared" si="21"/>
        <v>ok</v>
      </c>
      <c r="DO56" s="89" t="str">
        <f t="shared" si="21"/>
        <v>ok</v>
      </c>
      <c r="DP56" s="89" t="str">
        <f t="shared" si="21"/>
        <v>ok</v>
      </c>
      <c r="DQ56" s="89" t="str">
        <f t="shared" ref="DQ56:EV56" si="22">IF(SUM(DQ8:DQ38)=DQ39,"ok","エラー")</f>
        <v>ok</v>
      </c>
      <c r="DR56" s="89" t="str">
        <f t="shared" si="22"/>
        <v>ok</v>
      </c>
      <c r="DS56" s="89" t="str">
        <f t="shared" si="22"/>
        <v>ok</v>
      </c>
      <c r="DT56" s="89" t="str">
        <f t="shared" si="22"/>
        <v>ok</v>
      </c>
      <c r="DU56" s="89" t="str">
        <f t="shared" si="22"/>
        <v>ok</v>
      </c>
      <c r="DV56" s="89" t="str">
        <f t="shared" si="22"/>
        <v>ok</v>
      </c>
      <c r="DW56" s="89" t="str">
        <f t="shared" si="22"/>
        <v>ok</v>
      </c>
      <c r="DX56" s="89" t="str">
        <f t="shared" si="22"/>
        <v>ok</v>
      </c>
      <c r="DY56" s="89" t="str">
        <f t="shared" si="22"/>
        <v>ok</v>
      </c>
      <c r="DZ56" s="89" t="str">
        <f t="shared" si="22"/>
        <v>ok</v>
      </c>
      <c r="EA56" s="89" t="str">
        <f t="shared" si="22"/>
        <v>ok</v>
      </c>
      <c r="EB56" s="89" t="str">
        <f t="shared" si="22"/>
        <v>ok</v>
      </c>
      <c r="EC56" s="89" t="str">
        <f t="shared" si="22"/>
        <v>ok</v>
      </c>
      <c r="ED56" s="89" t="str">
        <f t="shared" si="22"/>
        <v>ok</v>
      </c>
      <c r="EE56" s="89" t="str">
        <f t="shared" si="22"/>
        <v>ok</v>
      </c>
      <c r="EF56" s="89" t="str">
        <f t="shared" si="22"/>
        <v>ok</v>
      </c>
      <c r="EG56" s="89" t="str">
        <f t="shared" si="22"/>
        <v>ok</v>
      </c>
      <c r="EH56" s="89" t="str">
        <f t="shared" si="22"/>
        <v>ok</v>
      </c>
      <c r="EI56" s="89" t="str">
        <f t="shared" si="22"/>
        <v>ok</v>
      </c>
      <c r="EJ56" s="89" t="str">
        <f t="shared" si="22"/>
        <v>ok</v>
      </c>
      <c r="EK56" s="89" t="str">
        <f t="shared" si="22"/>
        <v>ok</v>
      </c>
      <c r="EL56" s="89" t="str">
        <f t="shared" si="22"/>
        <v>ok</v>
      </c>
      <c r="EM56" s="89" t="str">
        <f t="shared" si="22"/>
        <v>ok</v>
      </c>
      <c r="EN56" s="89" t="str">
        <f t="shared" si="22"/>
        <v>ok</v>
      </c>
      <c r="EO56" s="89" t="str">
        <f t="shared" si="22"/>
        <v>ok</v>
      </c>
      <c r="EP56" s="89" t="str">
        <f t="shared" si="22"/>
        <v>ok</v>
      </c>
      <c r="EQ56" s="89" t="str">
        <f t="shared" si="22"/>
        <v>ok</v>
      </c>
      <c r="ER56" s="89" t="str">
        <f t="shared" si="22"/>
        <v>ok</v>
      </c>
      <c r="ES56" s="89" t="str">
        <f t="shared" si="22"/>
        <v>ok</v>
      </c>
      <c r="ET56" s="89" t="str">
        <f t="shared" si="22"/>
        <v>ok</v>
      </c>
      <c r="EU56" s="89" t="str">
        <f t="shared" si="22"/>
        <v>ok</v>
      </c>
      <c r="EV56" s="89" t="str">
        <f t="shared" si="22"/>
        <v>ok</v>
      </c>
      <c r="EW56" s="89" t="str">
        <f t="shared" ref="EW56:FH56" si="23">IF(SUM(EW8:EW38)=EW39,"ok","エラー")</f>
        <v>ok</v>
      </c>
      <c r="EX56" s="89" t="str">
        <f t="shared" si="23"/>
        <v>ok</v>
      </c>
      <c r="EY56" s="89" t="str">
        <f t="shared" si="23"/>
        <v>ok</v>
      </c>
      <c r="EZ56" s="89" t="str">
        <f t="shared" si="23"/>
        <v>ok</v>
      </c>
      <c r="FA56" s="89" t="str">
        <f t="shared" si="23"/>
        <v>ok</v>
      </c>
      <c r="FB56" s="89" t="str">
        <f t="shared" si="23"/>
        <v>ok</v>
      </c>
      <c r="FC56" s="89" t="str">
        <f t="shared" si="23"/>
        <v>ok</v>
      </c>
      <c r="FD56" s="89" t="str">
        <f t="shared" si="23"/>
        <v>ok</v>
      </c>
      <c r="FE56" s="89" t="str">
        <f t="shared" si="23"/>
        <v>ok</v>
      </c>
      <c r="FF56" s="89" t="str">
        <f t="shared" si="23"/>
        <v>ok</v>
      </c>
      <c r="FG56" s="89" t="str">
        <f t="shared" si="23"/>
        <v>ok</v>
      </c>
      <c r="FH56" s="89" t="str">
        <f t="shared" si="23"/>
        <v>ok</v>
      </c>
      <c r="FJ56" s="89" t="str">
        <f>IF(SUM(FJ8:FJ38)=FJ39,"ok","エラー")</f>
        <v>ok</v>
      </c>
      <c r="FK56" s="89" t="str">
        <f>IF(SUM(FK8:FK38)=FK39,"ok","エラー")</f>
        <v>ok</v>
      </c>
      <c r="FL56" s="89" t="str">
        <f>IF(SUM(FL8:FL38)=FL39,"ok","エラー")</f>
        <v>ok</v>
      </c>
      <c r="FM56" s="89" t="str">
        <f>IF(SUM(FM8:FM38)=FM39,"ok","エラー")</f>
        <v>ok</v>
      </c>
      <c r="FW56" s="89" t="str">
        <f>IF(SUM(FW8:FW38)=FW39,"ok","エラー")</f>
        <v>ok</v>
      </c>
      <c r="FY56" s="89" t="str">
        <f t="shared" ref="FY56:GD56" si="24">IF(SUM(FY8:FY38)=FY39,"ok","エラー")</f>
        <v>ok</v>
      </c>
      <c r="FZ56" s="89" t="str">
        <f t="shared" si="24"/>
        <v>ok</v>
      </c>
      <c r="GA56" s="89" t="str">
        <f t="shared" si="24"/>
        <v>ok</v>
      </c>
      <c r="GB56" s="89" t="str">
        <f t="shared" si="24"/>
        <v>ok</v>
      </c>
      <c r="GC56" s="89" t="str">
        <f t="shared" si="24"/>
        <v>ok</v>
      </c>
      <c r="GD56" s="89" t="str">
        <f t="shared" si="24"/>
        <v>ok</v>
      </c>
      <c r="GI56" s="62" t="str">
        <f>IF(SUM(GI8:GI38)=GI39,"ok","エラー")</f>
        <v>ok</v>
      </c>
    </row>
    <row r="57" spans="2:230" x14ac:dyDescent="0.15">
      <c r="B57" s="89" t="s">
        <v>650</v>
      </c>
      <c r="C57" s="89" t="str">
        <f t="shared" ref="C57:AH57" si="25">IF(SUM(C40:C49)=C50,"ok","エラー")</f>
        <v>ok</v>
      </c>
      <c r="D57" s="89" t="str">
        <f t="shared" si="25"/>
        <v>ok</v>
      </c>
      <c r="E57" s="89" t="str">
        <f t="shared" si="25"/>
        <v>ok</v>
      </c>
      <c r="F57" s="89" t="str">
        <f t="shared" si="25"/>
        <v>ok</v>
      </c>
      <c r="G57" s="89" t="str">
        <f t="shared" si="25"/>
        <v>ok</v>
      </c>
      <c r="H57" s="89" t="str">
        <f t="shared" si="25"/>
        <v>ok</v>
      </c>
      <c r="I57" s="89" t="str">
        <f t="shared" si="25"/>
        <v>ok</v>
      </c>
      <c r="J57" s="89" t="str">
        <f t="shared" si="25"/>
        <v>ok</v>
      </c>
      <c r="K57" s="89" t="str">
        <f t="shared" si="25"/>
        <v>ok</v>
      </c>
      <c r="L57" s="89" t="str">
        <f t="shared" si="25"/>
        <v>ok</v>
      </c>
      <c r="M57" s="89" t="str">
        <f t="shared" si="25"/>
        <v>ok</v>
      </c>
      <c r="N57" s="89" t="str">
        <f t="shared" si="25"/>
        <v>ok</v>
      </c>
      <c r="O57" s="89" t="str">
        <f t="shared" si="25"/>
        <v>ok</v>
      </c>
      <c r="P57" s="89" t="str">
        <f t="shared" si="25"/>
        <v>ok</v>
      </c>
      <c r="Q57" s="89" t="str">
        <f t="shared" si="25"/>
        <v>ok</v>
      </c>
      <c r="R57" s="89" t="str">
        <f t="shared" si="25"/>
        <v>ok</v>
      </c>
      <c r="S57" s="75" t="str">
        <f t="shared" si="25"/>
        <v>ok</v>
      </c>
      <c r="T57" s="89" t="str">
        <f t="shared" si="25"/>
        <v>ok</v>
      </c>
      <c r="U57" s="89" t="str">
        <f t="shared" si="25"/>
        <v>ok</v>
      </c>
      <c r="V57" s="89" t="str">
        <f t="shared" si="25"/>
        <v>ok</v>
      </c>
      <c r="W57" s="89" t="str">
        <f t="shared" si="25"/>
        <v>ok</v>
      </c>
      <c r="X57" s="89" t="str">
        <f t="shared" si="25"/>
        <v>ok</v>
      </c>
      <c r="Y57" s="89" t="str">
        <f t="shared" si="25"/>
        <v>ok</v>
      </c>
      <c r="Z57" s="89" t="str">
        <f t="shared" si="25"/>
        <v>ok</v>
      </c>
      <c r="AA57" s="89" t="str">
        <f t="shared" si="25"/>
        <v>ok</v>
      </c>
      <c r="AB57" s="89" t="str">
        <f t="shared" si="25"/>
        <v>ok</v>
      </c>
      <c r="AC57" s="89" t="str">
        <f t="shared" si="25"/>
        <v>ok</v>
      </c>
      <c r="AD57" s="89" t="str">
        <f t="shared" si="25"/>
        <v>ok</v>
      </c>
      <c r="AE57" s="89" t="str">
        <f t="shared" si="25"/>
        <v>ok</v>
      </c>
      <c r="AF57" s="89" t="str">
        <f t="shared" si="25"/>
        <v>ok</v>
      </c>
      <c r="AG57" s="89" t="str">
        <f t="shared" si="25"/>
        <v>ok</v>
      </c>
      <c r="AH57" s="89" t="str">
        <f t="shared" si="25"/>
        <v>ok</v>
      </c>
      <c r="AI57" s="89" t="str">
        <f t="shared" ref="AI57:BN57" si="26">IF(SUM(AI40:AI49)=AI50,"ok","エラー")</f>
        <v>ok</v>
      </c>
      <c r="AJ57" s="89" t="str">
        <f t="shared" si="26"/>
        <v>ok</v>
      </c>
      <c r="AK57" s="89" t="str">
        <f t="shared" si="26"/>
        <v>ok</v>
      </c>
      <c r="AL57" s="89" t="str">
        <f t="shared" si="26"/>
        <v>ok</v>
      </c>
      <c r="AM57" s="89" t="str">
        <f t="shared" si="26"/>
        <v>ok</v>
      </c>
      <c r="AN57" s="89" t="str">
        <f t="shared" si="26"/>
        <v>ok</v>
      </c>
      <c r="AO57" s="89" t="str">
        <f t="shared" si="26"/>
        <v>ok</v>
      </c>
      <c r="AP57" s="89" t="str">
        <f t="shared" si="26"/>
        <v>ok</v>
      </c>
      <c r="AQ57" s="89" t="str">
        <f t="shared" si="26"/>
        <v>ok</v>
      </c>
      <c r="AR57" s="89" t="str">
        <f t="shared" si="26"/>
        <v>ok</v>
      </c>
      <c r="AS57" s="89" t="str">
        <f t="shared" si="26"/>
        <v>ok</v>
      </c>
      <c r="AT57" s="89" t="str">
        <f t="shared" si="26"/>
        <v>ok</v>
      </c>
      <c r="AU57" s="89" t="str">
        <f t="shared" si="26"/>
        <v>ok</v>
      </c>
      <c r="AV57" s="89" t="str">
        <f t="shared" si="26"/>
        <v>ok</v>
      </c>
      <c r="AW57" s="89" t="str">
        <f t="shared" si="26"/>
        <v>ok</v>
      </c>
      <c r="AX57" s="89" t="str">
        <f t="shared" si="26"/>
        <v>ok</v>
      </c>
      <c r="AY57" s="89" t="str">
        <f t="shared" si="26"/>
        <v>ok</v>
      </c>
      <c r="AZ57" s="89" t="str">
        <f t="shared" si="26"/>
        <v>ok</v>
      </c>
      <c r="BA57" s="89" t="str">
        <f t="shared" si="26"/>
        <v>ok</v>
      </c>
      <c r="BB57" s="89" t="str">
        <f t="shared" si="26"/>
        <v>ok</v>
      </c>
      <c r="BC57" s="89" t="str">
        <f t="shared" si="26"/>
        <v>ok</v>
      </c>
      <c r="BD57" s="89" t="str">
        <f t="shared" si="26"/>
        <v>ok</v>
      </c>
      <c r="BE57" s="89" t="str">
        <f t="shared" si="26"/>
        <v>ok</v>
      </c>
      <c r="BF57" s="89" t="str">
        <f t="shared" si="26"/>
        <v>ok</v>
      </c>
      <c r="BG57" s="89" t="str">
        <f t="shared" si="26"/>
        <v>ok</v>
      </c>
      <c r="BH57" s="89" t="str">
        <f t="shared" si="26"/>
        <v>ok</v>
      </c>
      <c r="BI57" s="89" t="str">
        <f t="shared" si="26"/>
        <v>ok</v>
      </c>
      <c r="BJ57" s="89" t="str">
        <f t="shared" si="26"/>
        <v>ok</v>
      </c>
      <c r="BK57" s="89" t="str">
        <f t="shared" si="26"/>
        <v>ok</v>
      </c>
      <c r="BL57" s="89" t="str">
        <f t="shared" si="26"/>
        <v>ok</v>
      </c>
      <c r="BM57" s="89" t="str">
        <f t="shared" si="26"/>
        <v>ok</v>
      </c>
      <c r="BN57" s="89" t="str">
        <f t="shared" si="26"/>
        <v>ok</v>
      </c>
      <c r="BO57" s="89" t="str">
        <f t="shared" ref="BO57:CI57" si="27">IF(SUM(BO40:BO49)=BO50,"ok","エラー")</f>
        <v>ok</v>
      </c>
      <c r="BP57" s="89" t="str">
        <f t="shared" si="27"/>
        <v>ok</v>
      </c>
      <c r="BQ57" s="89" t="str">
        <f t="shared" si="27"/>
        <v>ok</v>
      </c>
      <c r="BR57" s="89" t="str">
        <f t="shared" si="27"/>
        <v>ok</v>
      </c>
      <c r="BS57" s="89" t="str">
        <f t="shared" si="27"/>
        <v>ok</v>
      </c>
      <c r="BT57" s="89" t="str">
        <f t="shared" si="27"/>
        <v>ok</v>
      </c>
      <c r="BU57" s="89" t="str">
        <f t="shared" si="27"/>
        <v>ok</v>
      </c>
      <c r="BV57" s="89" t="str">
        <f t="shared" si="27"/>
        <v>ok</v>
      </c>
      <c r="BW57" s="89" t="str">
        <f t="shared" si="27"/>
        <v>ok</v>
      </c>
      <c r="BX57" s="89" t="str">
        <f t="shared" si="27"/>
        <v>ok</v>
      </c>
      <c r="BY57" s="89" t="str">
        <f t="shared" si="27"/>
        <v>ok</v>
      </c>
      <c r="BZ57" s="89" t="str">
        <f t="shared" si="27"/>
        <v>ok</v>
      </c>
      <c r="CA57" s="89" t="str">
        <f t="shared" si="27"/>
        <v>ok</v>
      </c>
      <c r="CB57" s="89" t="str">
        <f t="shared" si="27"/>
        <v>ok</v>
      </c>
      <c r="CC57" s="89" t="str">
        <f t="shared" si="27"/>
        <v>ok</v>
      </c>
      <c r="CD57" s="89" t="str">
        <f t="shared" si="27"/>
        <v>ok</v>
      </c>
      <c r="CE57" s="89" t="str">
        <f t="shared" si="27"/>
        <v>ok</v>
      </c>
      <c r="CF57" s="89" t="str">
        <f t="shared" si="27"/>
        <v>ok</v>
      </c>
      <c r="CG57" s="89" t="str">
        <f t="shared" si="27"/>
        <v>ok</v>
      </c>
      <c r="CH57" s="89" t="str">
        <f t="shared" si="27"/>
        <v>ok</v>
      </c>
      <c r="CI57" s="89" t="str">
        <f t="shared" si="27"/>
        <v>ok</v>
      </c>
      <c r="CJ57" s="84"/>
      <c r="CK57" s="89" t="str">
        <f t="shared" ref="CK57:DP57" si="28">IF(SUM(CK40:CK49)=CK50,"ok","エラー")</f>
        <v>ok</v>
      </c>
      <c r="CL57" s="89" t="str">
        <f t="shared" si="28"/>
        <v>ok</v>
      </c>
      <c r="CM57" s="89" t="str">
        <f t="shared" si="28"/>
        <v>ok</v>
      </c>
      <c r="CN57" s="89" t="str">
        <f t="shared" si="28"/>
        <v>ok</v>
      </c>
      <c r="CO57" s="89" t="str">
        <f t="shared" si="28"/>
        <v>ok</v>
      </c>
      <c r="CP57" s="89" t="str">
        <f t="shared" si="28"/>
        <v>ok</v>
      </c>
      <c r="CQ57" s="89" t="str">
        <f t="shared" si="28"/>
        <v>ok</v>
      </c>
      <c r="CR57" s="89" t="str">
        <f t="shared" si="28"/>
        <v>ok</v>
      </c>
      <c r="CS57" s="89" t="str">
        <f t="shared" si="28"/>
        <v>ok</v>
      </c>
      <c r="CT57" s="89" t="str">
        <f t="shared" si="28"/>
        <v>ok</v>
      </c>
      <c r="CU57" s="89" t="str">
        <f t="shared" si="28"/>
        <v>ok</v>
      </c>
      <c r="CV57" s="89" t="str">
        <f t="shared" si="28"/>
        <v>ok</v>
      </c>
      <c r="CW57" s="89" t="str">
        <f t="shared" si="28"/>
        <v>ok</v>
      </c>
      <c r="CX57" s="89" t="str">
        <f t="shared" si="28"/>
        <v>ok</v>
      </c>
      <c r="CY57" s="89" t="str">
        <f t="shared" si="28"/>
        <v>ok</v>
      </c>
      <c r="CZ57" s="89" t="str">
        <f t="shared" si="28"/>
        <v>ok</v>
      </c>
      <c r="DA57" s="89" t="str">
        <f t="shared" si="28"/>
        <v>ok</v>
      </c>
      <c r="DB57" s="89" t="str">
        <f t="shared" si="28"/>
        <v>ok</v>
      </c>
      <c r="DC57" s="89" t="str">
        <f t="shared" si="28"/>
        <v>ok</v>
      </c>
      <c r="DD57" s="89" t="str">
        <f t="shared" si="28"/>
        <v>ok</v>
      </c>
      <c r="DE57" s="89" t="str">
        <f t="shared" si="28"/>
        <v>ok</v>
      </c>
      <c r="DF57" s="89" t="str">
        <f t="shared" si="28"/>
        <v>ok</v>
      </c>
      <c r="DG57" s="89" t="str">
        <f t="shared" si="28"/>
        <v>ok</v>
      </c>
      <c r="DH57" s="89" t="str">
        <f t="shared" si="28"/>
        <v>ok</v>
      </c>
      <c r="DI57" s="89" t="str">
        <f t="shared" si="28"/>
        <v>ok</v>
      </c>
      <c r="DJ57" s="89" t="str">
        <f t="shared" si="28"/>
        <v>ok</v>
      </c>
      <c r="DK57" s="89" t="str">
        <f t="shared" si="28"/>
        <v>ok</v>
      </c>
      <c r="DL57" s="89" t="str">
        <f t="shared" si="28"/>
        <v>ok</v>
      </c>
      <c r="DM57" s="89" t="str">
        <f t="shared" si="28"/>
        <v>ok</v>
      </c>
      <c r="DN57" s="89" t="str">
        <f t="shared" si="28"/>
        <v>ok</v>
      </c>
      <c r="DO57" s="89" t="str">
        <f t="shared" si="28"/>
        <v>ok</v>
      </c>
      <c r="DP57" s="89" t="str">
        <f t="shared" si="28"/>
        <v>ok</v>
      </c>
      <c r="DQ57" s="89" t="str">
        <f t="shared" ref="DQ57:EV57" si="29">IF(SUM(DQ40:DQ49)=DQ50,"ok","エラー")</f>
        <v>ok</v>
      </c>
      <c r="DR57" s="89" t="str">
        <f t="shared" si="29"/>
        <v>ok</v>
      </c>
      <c r="DS57" s="89" t="str">
        <f t="shared" si="29"/>
        <v>ok</v>
      </c>
      <c r="DT57" s="89" t="str">
        <f t="shared" si="29"/>
        <v>ok</v>
      </c>
      <c r="DU57" s="89" t="str">
        <f t="shared" si="29"/>
        <v>ok</v>
      </c>
      <c r="DV57" s="89" t="str">
        <f t="shared" si="29"/>
        <v>ok</v>
      </c>
      <c r="DW57" s="89" t="str">
        <f t="shared" si="29"/>
        <v>ok</v>
      </c>
      <c r="DX57" s="89" t="str">
        <f t="shared" si="29"/>
        <v>ok</v>
      </c>
      <c r="DY57" s="89" t="str">
        <f t="shared" si="29"/>
        <v>ok</v>
      </c>
      <c r="DZ57" s="89" t="str">
        <f t="shared" si="29"/>
        <v>ok</v>
      </c>
      <c r="EA57" s="89" t="str">
        <f t="shared" si="29"/>
        <v>ok</v>
      </c>
      <c r="EB57" s="89" t="str">
        <f t="shared" si="29"/>
        <v>ok</v>
      </c>
      <c r="EC57" s="89" t="str">
        <f t="shared" si="29"/>
        <v>ok</v>
      </c>
      <c r="ED57" s="89" t="str">
        <f t="shared" si="29"/>
        <v>ok</v>
      </c>
      <c r="EE57" s="89" t="str">
        <f t="shared" si="29"/>
        <v>ok</v>
      </c>
      <c r="EF57" s="89" t="str">
        <f t="shared" si="29"/>
        <v>ok</v>
      </c>
      <c r="EG57" s="89" t="str">
        <f t="shared" si="29"/>
        <v>ok</v>
      </c>
      <c r="EH57" s="89" t="str">
        <f t="shared" si="29"/>
        <v>ok</v>
      </c>
      <c r="EI57" s="89" t="str">
        <f t="shared" si="29"/>
        <v>ok</v>
      </c>
      <c r="EJ57" s="89" t="str">
        <f t="shared" si="29"/>
        <v>ok</v>
      </c>
      <c r="EK57" s="89" t="str">
        <f t="shared" si="29"/>
        <v>ok</v>
      </c>
      <c r="EL57" s="89" t="str">
        <f t="shared" si="29"/>
        <v>ok</v>
      </c>
      <c r="EM57" s="89" t="str">
        <f t="shared" si="29"/>
        <v>ok</v>
      </c>
      <c r="EN57" s="89" t="str">
        <f t="shared" si="29"/>
        <v>ok</v>
      </c>
      <c r="EO57" s="89" t="str">
        <f t="shared" si="29"/>
        <v>ok</v>
      </c>
      <c r="EP57" s="89" t="str">
        <f t="shared" si="29"/>
        <v>ok</v>
      </c>
      <c r="EQ57" s="89" t="str">
        <f t="shared" si="29"/>
        <v>ok</v>
      </c>
      <c r="ER57" s="89" t="str">
        <f t="shared" si="29"/>
        <v>ok</v>
      </c>
      <c r="ES57" s="89" t="str">
        <f t="shared" si="29"/>
        <v>ok</v>
      </c>
      <c r="ET57" s="89" t="str">
        <f t="shared" si="29"/>
        <v>ok</v>
      </c>
      <c r="EU57" s="89" t="str">
        <f t="shared" si="29"/>
        <v>ok</v>
      </c>
      <c r="EV57" s="89" t="str">
        <f t="shared" si="29"/>
        <v>ok</v>
      </c>
      <c r="EW57" s="89" t="str">
        <f t="shared" ref="EW57:FH57" si="30">IF(SUM(EW40:EW49)=EW50,"ok","エラー")</f>
        <v>ok</v>
      </c>
      <c r="EX57" s="89" t="str">
        <f t="shared" si="30"/>
        <v>ok</v>
      </c>
      <c r="EY57" s="89" t="str">
        <f t="shared" si="30"/>
        <v>ok</v>
      </c>
      <c r="EZ57" s="89" t="str">
        <f t="shared" si="30"/>
        <v>ok</v>
      </c>
      <c r="FA57" s="89" t="str">
        <f t="shared" si="30"/>
        <v>ok</v>
      </c>
      <c r="FB57" s="89" t="str">
        <f t="shared" si="30"/>
        <v>ok</v>
      </c>
      <c r="FC57" s="89" t="str">
        <f t="shared" si="30"/>
        <v>ok</v>
      </c>
      <c r="FD57" s="89" t="str">
        <f t="shared" si="30"/>
        <v>ok</v>
      </c>
      <c r="FE57" s="89" t="str">
        <f t="shared" si="30"/>
        <v>ok</v>
      </c>
      <c r="FF57" s="89" t="str">
        <f t="shared" si="30"/>
        <v>ok</v>
      </c>
      <c r="FG57" s="89" t="str">
        <f t="shared" si="30"/>
        <v>ok</v>
      </c>
      <c r="FH57" s="89" t="str">
        <f t="shared" si="30"/>
        <v>ok</v>
      </c>
      <c r="FJ57" s="89" t="str">
        <f>IF(SUM(FJ40:FJ49)=FJ50,"ok","エラー")</f>
        <v>ok</v>
      </c>
      <c r="FK57" s="89" t="str">
        <f>IF(SUM(FK40:FK49)=FK50,"ok","エラー")</f>
        <v>ok</v>
      </c>
      <c r="FL57" s="89" t="str">
        <f>IF(SUM(FL40:FL49)=FL50,"ok","エラー")</f>
        <v>ok</v>
      </c>
      <c r="FM57" s="89" t="str">
        <f>IF(SUM(FM40:FM49)=FM50,"ok","エラー")</f>
        <v>ok</v>
      </c>
      <c r="FW57" s="89" t="str">
        <f>IF(SUM(FW40:FW49)=FW50,"ok","エラー")</f>
        <v>ok</v>
      </c>
      <c r="FY57" s="89" t="str">
        <f t="shared" ref="FY57:GD57" si="31">IF(SUM(FY40:FY49)=FY50,"ok","エラー")</f>
        <v>ok</v>
      </c>
      <c r="FZ57" s="89" t="str">
        <f t="shared" si="31"/>
        <v>ok</v>
      </c>
      <c r="GA57" s="89" t="str">
        <f t="shared" si="31"/>
        <v>ok</v>
      </c>
      <c r="GB57" s="89" t="str">
        <f t="shared" si="31"/>
        <v>ok</v>
      </c>
      <c r="GC57" s="89" t="str">
        <f t="shared" si="31"/>
        <v>ok</v>
      </c>
      <c r="GD57" s="89" t="str">
        <f t="shared" si="31"/>
        <v>ok</v>
      </c>
      <c r="GI57" s="62" t="str">
        <f>IF(SUM(GI40:GI49)=GI50,"ok","エラー")</f>
        <v>ok</v>
      </c>
    </row>
    <row r="58" spans="2:230" x14ac:dyDescent="0.15">
      <c r="B58" s="89" t="s">
        <v>650</v>
      </c>
      <c r="C58" s="89" t="str">
        <f t="shared" ref="C58:AH58" si="32">IF(C39+C50=C51,"ok","エラー")</f>
        <v>ok</v>
      </c>
      <c r="D58" s="89" t="str">
        <f t="shared" si="32"/>
        <v>ok</v>
      </c>
      <c r="E58" s="89" t="str">
        <f t="shared" si="32"/>
        <v>ok</v>
      </c>
      <c r="F58" s="89" t="str">
        <f t="shared" si="32"/>
        <v>ok</v>
      </c>
      <c r="G58" s="89" t="str">
        <f t="shared" si="32"/>
        <v>ok</v>
      </c>
      <c r="H58" s="89" t="str">
        <f t="shared" si="32"/>
        <v>ok</v>
      </c>
      <c r="I58" s="89" t="str">
        <f t="shared" si="32"/>
        <v>ok</v>
      </c>
      <c r="J58" s="89" t="str">
        <f t="shared" si="32"/>
        <v>ok</v>
      </c>
      <c r="K58" s="89" t="str">
        <f t="shared" si="32"/>
        <v>ok</v>
      </c>
      <c r="L58" s="89" t="str">
        <f t="shared" si="32"/>
        <v>ok</v>
      </c>
      <c r="M58" s="89" t="str">
        <f t="shared" si="32"/>
        <v>ok</v>
      </c>
      <c r="N58" s="89" t="str">
        <f t="shared" si="32"/>
        <v>ok</v>
      </c>
      <c r="O58" s="89" t="str">
        <f t="shared" si="32"/>
        <v>ok</v>
      </c>
      <c r="P58" s="89" t="str">
        <f t="shared" si="32"/>
        <v>ok</v>
      </c>
      <c r="Q58" s="89" t="str">
        <f t="shared" si="32"/>
        <v>ok</v>
      </c>
      <c r="R58" s="89" t="str">
        <f t="shared" si="32"/>
        <v>ok</v>
      </c>
      <c r="S58" s="75" t="str">
        <f t="shared" si="32"/>
        <v>ok</v>
      </c>
      <c r="T58" s="89" t="str">
        <f t="shared" si="32"/>
        <v>ok</v>
      </c>
      <c r="U58" s="89" t="str">
        <f t="shared" si="32"/>
        <v>ok</v>
      </c>
      <c r="V58" s="89" t="str">
        <f t="shared" si="32"/>
        <v>ok</v>
      </c>
      <c r="W58" s="89" t="str">
        <f t="shared" si="32"/>
        <v>ok</v>
      </c>
      <c r="X58" s="89" t="str">
        <f t="shared" si="32"/>
        <v>ok</v>
      </c>
      <c r="Y58" s="89" t="str">
        <f t="shared" si="32"/>
        <v>ok</v>
      </c>
      <c r="Z58" s="89" t="str">
        <f t="shared" si="32"/>
        <v>ok</v>
      </c>
      <c r="AA58" s="89" t="str">
        <f t="shared" si="32"/>
        <v>ok</v>
      </c>
      <c r="AB58" s="89" t="str">
        <f t="shared" si="32"/>
        <v>ok</v>
      </c>
      <c r="AC58" s="89" t="str">
        <f t="shared" si="32"/>
        <v>ok</v>
      </c>
      <c r="AD58" s="89" t="str">
        <f t="shared" si="32"/>
        <v>ok</v>
      </c>
      <c r="AE58" s="89" t="str">
        <f t="shared" si="32"/>
        <v>ok</v>
      </c>
      <c r="AF58" s="89" t="str">
        <f t="shared" si="32"/>
        <v>ok</v>
      </c>
      <c r="AG58" s="89" t="str">
        <f t="shared" si="32"/>
        <v>ok</v>
      </c>
      <c r="AH58" s="89" t="str">
        <f t="shared" si="32"/>
        <v>ok</v>
      </c>
      <c r="AI58" s="89" t="str">
        <f t="shared" ref="AI58:BN58" si="33">IF(AI39+AI50=AI51,"ok","エラー")</f>
        <v>ok</v>
      </c>
      <c r="AJ58" s="89" t="str">
        <f t="shared" si="33"/>
        <v>ok</v>
      </c>
      <c r="AK58" s="89" t="str">
        <f t="shared" si="33"/>
        <v>ok</v>
      </c>
      <c r="AL58" s="89" t="str">
        <f t="shared" si="33"/>
        <v>ok</v>
      </c>
      <c r="AM58" s="89" t="str">
        <f t="shared" si="33"/>
        <v>ok</v>
      </c>
      <c r="AN58" s="89" t="str">
        <f t="shared" si="33"/>
        <v>ok</v>
      </c>
      <c r="AO58" s="89" t="str">
        <f t="shared" si="33"/>
        <v>ok</v>
      </c>
      <c r="AP58" s="89" t="str">
        <f t="shared" si="33"/>
        <v>ok</v>
      </c>
      <c r="AQ58" s="89" t="str">
        <f t="shared" si="33"/>
        <v>ok</v>
      </c>
      <c r="AR58" s="89" t="str">
        <f t="shared" si="33"/>
        <v>ok</v>
      </c>
      <c r="AS58" s="89" t="str">
        <f t="shared" si="33"/>
        <v>ok</v>
      </c>
      <c r="AT58" s="89" t="str">
        <f t="shared" si="33"/>
        <v>ok</v>
      </c>
      <c r="AU58" s="89" t="str">
        <f t="shared" si="33"/>
        <v>ok</v>
      </c>
      <c r="AV58" s="89" t="str">
        <f t="shared" si="33"/>
        <v>ok</v>
      </c>
      <c r="AW58" s="89" t="str">
        <f t="shared" si="33"/>
        <v>ok</v>
      </c>
      <c r="AX58" s="89" t="str">
        <f t="shared" si="33"/>
        <v>ok</v>
      </c>
      <c r="AY58" s="89" t="str">
        <f t="shared" si="33"/>
        <v>ok</v>
      </c>
      <c r="AZ58" s="89" t="str">
        <f t="shared" si="33"/>
        <v>ok</v>
      </c>
      <c r="BA58" s="89" t="str">
        <f t="shared" si="33"/>
        <v>ok</v>
      </c>
      <c r="BB58" s="89" t="str">
        <f t="shared" si="33"/>
        <v>ok</v>
      </c>
      <c r="BC58" s="89" t="str">
        <f t="shared" si="33"/>
        <v>ok</v>
      </c>
      <c r="BD58" s="89" t="str">
        <f t="shared" si="33"/>
        <v>ok</v>
      </c>
      <c r="BE58" s="89" t="str">
        <f t="shared" si="33"/>
        <v>ok</v>
      </c>
      <c r="BF58" s="89" t="str">
        <f t="shared" si="33"/>
        <v>ok</v>
      </c>
      <c r="BG58" s="89" t="str">
        <f t="shared" si="33"/>
        <v>ok</v>
      </c>
      <c r="BH58" s="89" t="str">
        <f t="shared" si="33"/>
        <v>ok</v>
      </c>
      <c r="BI58" s="89" t="str">
        <f t="shared" si="33"/>
        <v>ok</v>
      </c>
      <c r="BJ58" s="89" t="str">
        <f t="shared" si="33"/>
        <v>ok</v>
      </c>
      <c r="BK58" s="89" t="str">
        <f t="shared" si="33"/>
        <v>ok</v>
      </c>
      <c r="BL58" s="89" t="str">
        <f t="shared" si="33"/>
        <v>ok</v>
      </c>
      <c r="BM58" s="89" t="str">
        <f t="shared" si="33"/>
        <v>ok</v>
      </c>
      <c r="BN58" s="89" t="str">
        <f t="shared" si="33"/>
        <v>ok</v>
      </c>
      <c r="BO58" s="89" t="str">
        <f t="shared" ref="BO58:CI58" si="34">IF(BO39+BO50=BO51,"ok","エラー")</f>
        <v>ok</v>
      </c>
      <c r="BP58" s="89" t="str">
        <f t="shared" si="34"/>
        <v>ok</v>
      </c>
      <c r="BQ58" s="89" t="str">
        <f t="shared" si="34"/>
        <v>ok</v>
      </c>
      <c r="BR58" s="89" t="str">
        <f t="shared" si="34"/>
        <v>ok</v>
      </c>
      <c r="BS58" s="89" t="str">
        <f t="shared" si="34"/>
        <v>ok</v>
      </c>
      <c r="BT58" s="89" t="str">
        <f t="shared" si="34"/>
        <v>ok</v>
      </c>
      <c r="BU58" s="89" t="str">
        <f t="shared" si="34"/>
        <v>ok</v>
      </c>
      <c r="BV58" s="89" t="str">
        <f t="shared" si="34"/>
        <v>ok</v>
      </c>
      <c r="BW58" s="89" t="str">
        <f t="shared" si="34"/>
        <v>ok</v>
      </c>
      <c r="BX58" s="89" t="str">
        <f t="shared" si="34"/>
        <v>ok</v>
      </c>
      <c r="BY58" s="89" t="str">
        <f t="shared" si="34"/>
        <v>ok</v>
      </c>
      <c r="BZ58" s="89" t="str">
        <f t="shared" si="34"/>
        <v>ok</v>
      </c>
      <c r="CA58" s="89" t="str">
        <f t="shared" si="34"/>
        <v>ok</v>
      </c>
      <c r="CB58" s="89" t="str">
        <f t="shared" si="34"/>
        <v>ok</v>
      </c>
      <c r="CC58" s="89" t="str">
        <f t="shared" si="34"/>
        <v>ok</v>
      </c>
      <c r="CD58" s="89" t="str">
        <f t="shared" si="34"/>
        <v>ok</v>
      </c>
      <c r="CE58" s="89" t="str">
        <f t="shared" si="34"/>
        <v>ok</v>
      </c>
      <c r="CF58" s="89" t="str">
        <f t="shared" si="34"/>
        <v>ok</v>
      </c>
      <c r="CG58" s="89" t="str">
        <f t="shared" si="34"/>
        <v>ok</v>
      </c>
      <c r="CH58" s="89" t="str">
        <f t="shared" si="34"/>
        <v>ok</v>
      </c>
      <c r="CI58" s="89" t="str">
        <f t="shared" si="34"/>
        <v>ok</v>
      </c>
      <c r="CJ58" s="84"/>
      <c r="CK58" s="89" t="str">
        <f t="shared" ref="CK58:DP58" si="35">IF(CK39+CK50=CK51,"ok","エラー")</f>
        <v>ok</v>
      </c>
      <c r="CL58" s="89" t="str">
        <f t="shared" si="35"/>
        <v>ok</v>
      </c>
      <c r="CM58" s="89" t="str">
        <f t="shared" si="35"/>
        <v>ok</v>
      </c>
      <c r="CN58" s="89" t="str">
        <f t="shared" si="35"/>
        <v>ok</v>
      </c>
      <c r="CO58" s="89" t="str">
        <f t="shared" si="35"/>
        <v>ok</v>
      </c>
      <c r="CP58" s="89" t="str">
        <f t="shared" si="35"/>
        <v>ok</v>
      </c>
      <c r="CQ58" s="89" t="str">
        <f t="shared" si="35"/>
        <v>ok</v>
      </c>
      <c r="CR58" s="89" t="str">
        <f t="shared" si="35"/>
        <v>ok</v>
      </c>
      <c r="CS58" s="89" t="str">
        <f t="shared" si="35"/>
        <v>ok</v>
      </c>
      <c r="CT58" s="89" t="str">
        <f t="shared" si="35"/>
        <v>ok</v>
      </c>
      <c r="CU58" s="89" t="str">
        <f t="shared" si="35"/>
        <v>ok</v>
      </c>
      <c r="CV58" s="89" t="str">
        <f t="shared" si="35"/>
        <v>ok</v>
      </c>
      <c r="CW58" s="89" t="str">
        <f t="shared" si="35"/>
        <v>ok</v>
      </c>
      <c r="CX58" s="89" t="str">
        <f t="shared" si="35"/>
        <v>ok</v>
      </c>
      <c r="CY58" s="89" t="str">
        <f t="shared" si="35"/>
        <v>ok</v>
      </c>
      <c r="CZ58" s="89" t="str">
        <f t="shared" si="35"/>
        <v>ok</v>
      </c>
      <c r="DA58" s="89" t="str">
        <f t="shared" si="35"/>
        <v>ok</v>
      </c>
      <c r="DB58" s="89" t="str">
        <f t="shared" si="35"/>
        <v>ok</v>
      </c>
      <c r="DC58" s="89" t="str">
        <f t="shared" si="35"/>
        <v>ok</v>
      </c>
      <c r="DD58" s="89" t="str">
        <f t="shared" si="35"/>
        <v>ok</v>
      </c>
      <c r="DE58" s="89" t="str">
        <f t="shared" si="35"/>
        <v>ok</v>
      </c>
      <c r="DF58" s="89" t="str">
        <f t="shared" si="35"/>
        <v>ok</v>
      </c>
      <c r="DG58" s="89" t="str">
        <f t="shared" si="35"/>
        <v>ok</v>
      </c>
      <c r="DH58" s="89" t="str">
        <f t="shared" si="35"/>
        <v>ok</v>
      </c>
      <c r="DI58" s="89" t="str">
        <f t="shared" si="35"/>
        <v>ok</v>
      </c>
      <c r="DJ58" s="89" t="str">
        <f t="shared" si="35"/>
        <v>ok</v>
      </c>
      <c r="DK58" s="89" t="str">
        <f t="shared" si="35"/>
        <v>ok</v>
      </c>
      <c r="DL58" s="89" t="str">
        <f t="shared" si="35"/>
        <v>ok</v>
      </c>
      <c r="DM58" s="89" t="str">
        <f t="shared" si="35"/>
        <v>ok</v>
      </c>
      <c r="DN58" s="89" t="str">
        <f t="shared" si="35"/>
        <v>ok</v>
      </c>
      <c r="DO58" s="89" t="str">
        <f t="shared" si="35"/>
        <v>ok</v>
      </c>
      <c r="DP58" s="89" t="str">
        <f t="shared" si="35"/>
        <v>ok</v>
      </c>
      <c r="DQ58" s="89" t="str">
        <f t="shared" ref="DQ58:EV58" si="36">IF(DQ39+DQ50=DQ51,"ok","エラー")</f>
        <v>ok</v>
      </c>
      <c r="DR58" s="89" t="str">
        <f t="shared" si="36"/>
        <v>ok</v>
      </c>
      <c r="DS58" s="89" t="str">
        <f t="shared" si="36"/>
        <v>ok</v>
      </c>
      <c r="DT58" s="89" t="str">
        <f t="shared" si="36"/>
        <v>ok</v>
      </c>
      <c r="DU58" s="89" t="str">
        <f t="shared" si="36"/>
        <v>ok</v>
      </c>
      <c r="DV58" s="89" t="str">
        <f t="shared" si="36"/>
        <v>ok</v>
      </c>
      <c r="DW58" s="89" t="str">
        <f t="shared" si="36"/>
        <v>ok</v>
      </c>
      <c r="DX58" s="89" t="str">
        <f t="shared" si="36"/>
        <v>ok</v>
      </c>
      <c r="DY58" s="89" t="str">
        <f t="shared" si="36"/>
        <v>ok</v>
      </c>
      <c r="DZ58" s="89" t="str">
        <f t="shared" si="36"/>
        <v>ok</v>
      </c>
      <c r="EA58" s="89" t="str">
        <f t="shared" si="36"/>
        <v>ok</v>
      </c>
      <c r="EB58" s="89" t="str">
        <f t="shared" si="36"/>
        <v>ok</v>
      </c>
      <c r="EC58" s="89" t="str">
        <f t="shared" si="36"/>
        <v>ok</v>
      </c>
      <c r="ED58" s="89" t="str">
        <f t="shared" si="36"/>
        <v>ok</v>
      </c>
      <c r="EE58" s="89" t="str">
        <f t="shared" si="36"/>
        <v>ok</v>
      </c>
      <c r="EF58" s="89" t="str">
        <f t="shared" si="36"/>
        <v>ok</v>
      </c>
      <c r="EG58" s="89" t="str">
        <f t="shared" si="36"/>
        <v>ok</v>
      </c>
      <c r="EH58" s="89" t="str">
        <f t="shared" si="36"/>
        <v>ok</v>
      </c>
      <c r="EI58" s="89" t="str">
        <f t="shared" si="36"/>
        <v>ok</v>
      </c>
      <c r="EJ58" s="89" t="str">
        <f t="shared" si="36"/>
        <v>ok</v>
      </c>
      <c r="EK58" s="89" t="str">
        <f t="shared" si="36"/>
        <v>ok</v>
      </c>
      <c r="EL58" s="89" t="str">
        <f t="shared" si="36"/>
        <v>ok</v>
      </c>
      <c r="EM58" s="89" t="str">
        <f t="shared" si="36"/>
        <v>ok</v>
      </c>
      <c r="EN58" s="89" t="str">
        <f t="shared" si="36"/>
        <v>ok</v>
      </c>
      <c r="EO58" s="89" t="str">
        <f t="shared" si="36"/>
        <v>ok</v>
      </c>
      <c r="EP58" s="89" t="str">
        <f t="shared" si="36"/>
        <v>ok</v>
      </c>
      <c r="EQ58" s="89" t="str">
        <f t="shared" si="36"/>
        <v>ok</v>
      </c>
      <c r="ER58" s="89" t="str">
        <f t="shared" si="36"/>
        <v>ok</v>
      </c>
      <c r="ES58" s="89" t="str">
        <f t="shared" si="36"/>
        <v>ok</v>
      </c>
      <c r="ET58" s="89" t="str">
        <f t="shared" si="36"/>
        <v>ok</v>
      </c>
      <c r="EU58" s="89" t="str">
        <f t="shared" si="36"/>
        <v>ok</v>
      </c>
      <c r="EV58" s="89" t="str">
        <f t="shared" si="36"/>
        <v>ok</v>
      </c>
      <c r="EW58" s="89" t="str">
        <f t="shared" ref="EW58:FH58" si="37">IF(EW39+EW50=EW51,"ok","エラー")</f>
        <v>ok</v>
      </c>
      <c r="EX58" s="89" t="str">
        <f t="shared" si="37"/>
        <v>ok</v>
      </c>
      <c r="EY58" s="89" t="str">
        <f t="shared" si="37"/>
        <v>ok</v>
      </c>
      <c r="EZ58" s="89" t="str">
        <f t="shared" si="37"/>
        <v>ok</v>
      </c>
      <c r="FA58" s="89" t="str">
        <f t="shared" si="37"/>
        <v>ok</v>
      </c>
      <c r="FB58" s="89" t="str">
        <f t="shared" si="37"/>
        <v>ok</v>
      </c>
      <c r="FC58" s="89" t="str">
        <f t="shared" si="37"/>
        <v>ok</v>
      </c>
      <c r="FD58" s="89" t="str">
        <f t="shared" si="37"/>
        <v>ok</v>
      </c>
      <c r="FE58" s="89" t="str">
        <f t="shared" si="37"/>
        <v>ok</v>
      </c>
      <c r="FF58" s="89" t="str">
        <f t="shared" si="37"/>
        <v>ok</v>
      </c>
      <c r="FG58" s="89" t="str">
        <f t="shared" si="37"/>
        <v>ok</v>
      </c>
      <c r="FH58" s="89" t="str">
        <f t="shared" si="37"/>
        <v>ok</v>
      </c>
      <c r="FJ58" s="89" t="str">
        <f>IF(FJ39+FJ50=FJ51,"ok","エラー")</f>
        <v>ok</v>
      </c>
      <c r="FK58" s="89" t="str">
        <f>IF(FK39+FK50=FK51,"ok","エラー")</f>
        <v>ok</v>
      </c>
      <c r="FL58" s="89" t="str">
        <f>IF(FL39+FL50=FL51,"ok","エラー")</f>
        <v>ok</v>
      </c>
      <c r="FM58" s="89" t="str">
        <f>IF(FM39+FM50=FM51,"ok","エラー")</f>
        <v>ok</v>
      </c>
      <c r="FW58" s="89" t="str">
        <f>IF(FW39+FW50=FW51,"ok","エラー")</f>
        <v>ok</v>
      </c>
      <c r="FY58" s="89" t="str">
        <f t="shared" ref="FY58:GD58" si="38">IF(FY39+FY50=FY51,"ok","エラー")</f>
        <v>ok</v>
      </c>
      <c r="FZ58" s="89" t="str">
        <f t="shared" si="38"/>
        <v>ok</v>
      </c>
      <c r="GA58" s="89" t="str">
        <f t="shared" si="38"/>
        <v>ok</v>
      </c>
      <c r="GB58" s="89" t="str">
        <f t="shared" si="38"/>
        <v>ok</v>
      </c>
      <c r="GC58" s="89" t="str">
        <f t="shared" si="38"/>
        <v>ok</v>
      </c>
      <c r="GD58" s="89" t="str">
        <f t="shared" si="38"/>
        <v>ok</v>
      </c>
      <c r="GI58" s="62" t="str">
        <f>IF(GI39+GI50=GI51,"ok","エラー")</f>
        <v>ok</v>
      </c>
    </row>
    <row r="59" spans="2:230" x14ac:dyDescent="0.15">
      <c r="B59" s="72" t="s">
        <v>650</v>
      </c>
      <c r="C59" s="89" t="str">
        <f t="shared" ref="C59:AH59" si="39">IF(C6+C7+C51=C52,"ok","エラー")</f>
        <v>ok</v>
      </c>
      <c r="D59" s="89" t="str">
        <f t="shared" si="39"/>
        <v>ok</v>
      </c>
      <c r="E59" s="89" t="str">
        <f t="shared" si="39"/>
        <v>ok</v>
      </c>
      <c r="F59" s="89" t="str">
        <f t="shared" si="39"/>
        <v>ok</v>
      </c>
      <c r="G59" s="89" t="str">
        <f t="shared" si="39"/>
        <v>ok</v>
      </c>
      <c r="H59" s="89" t="str">
        <f t="shared" si="39"/>
        <v>ok</v>
      </c>
      <c r="I59" s="89" t="str">
        <f t="shared" si="39"/>
        <v>ok</v>
      </c>
      <c r="J59" s="89" t="str">
        <f t="shared" si="39"/>
        <v>ok</v>
      </c>
      <c r="K59" s="89" t="str">
        <f t="shared" si="39"/>
        <v>ok</v>
      </c>
      <c r="L59" s="89" t="str">
        <f t="shared" si="39"/>
        <v>ok</v>
      </c>
      <c r="M59" s="89" t="str">
        <f t="shared" si="39"/>
        <v>ok</v>
      </c>
      <c r="N59" s="89" t="str">
        <f t="shared" si="39"/>
        <v>ok</v>
      </c>
      <c r="O59" s="89" t="str">
        <f t="shared" si="39"/>
        <v>ok</v>
      </c>
      <c r="P59" s="89" t="str">
        <f t="shared" si="39"/>
        <v>ok</v>
      </c>
      <c r="Q59" s="89" t="str">
        <f t="shared" si="39"/>
        <v>ok</v>
      </c>
      <c r="R59" s="89" t="str">
        <f t="shared" si="39"/>
        <v>ok</v>
      </c>
      <c r="S59" s="75" t="str">
        <f t="shared" si="39"/>
        <v>ok</v>
      </c>
      <c r="T59" s="89" t="str">
        <f t="shared" si="39"/>
        <v>ok</v>
      </c>
      <c r="U59" s="89" t="str">
        <f t="shared" si="39"/>
        <v>ok</v>
      </c>
      <c r="V59" s="89" t="str">
        <f t="shared" si="39"/>
        <v>ok</v>
      </c>
      <c r="W59" s="89" t="str">
        <f t="shared" si="39"/>
        <v>ok</v>
      </c>
      <c r="X59" s="89" t="str">
        <f t="shared" si="39"/>
        <v>ok</v>
      </c>
      <c r="Y59" s="89" t="str">
        <f t="shared" si="39"/>
        <v>ok</v>
      </c>
      <c r="Z59" s="89" t="str">
        <f t="shared" si="39"/>
        <v>ok</v>
      </c>
      <c r="AA59" s="89" t="str">
        <f t="shared" si="39"/>
        <v>ok</v>
      </c>
      <c r="AB59" s="89" t="str">
        <f t="shared" si="39"/>
        <v>ok</v>
      </c>
      <c r="AC59" s="89" t="str">
        <f t="shared" si="39"/>
        <v>ok</v>
      </c>
      <c r="AD59" s="89" t="str">
        <f t="shared" si="39"/>
        <v>ok</v>
      </c>
      <c r="AE59" s="89" t="str">
        <f t="shared" si="39"/>
        <v>ok</v>
      </c>
      <c r="AF59" s="89" t="str">
        <f t="shared" si="39"/>
        <v>ok</v>
      </c>
      <c r="AG59" s="89" t="str">
        <f t="shared" si="39"/>
        <v>ok</v>
      </c>
      <c r="AH59" s="89" t="str">
        <f t="shared" si="39"/>
        <v>ok</v>
      </c>
      <c r="AI59" s="89" t="str">
        <f t="shared" ref="AI59:BN59" si="40">IF(AI6+AI7+AI51=AI52,"ok","エラー")</f>
        <v>ok</v>
      </c>
      <c r="AJ59" s="89" t="str">
        <f t="shared" si="40"/>
        <v>ok</v>
      </c>
      <c r="AK59" s="89" t="str">
        <f t="shared" si="40"/>
        <v>ok</v>
      </c>
      <c r="AL59" s="89" t="str">
        <f t="shared" si="40"/>
        <v>ok</v>
      </c>
      <c r="AM59" s="89" t="str">
        <f t="shared" si="40"/>
        <v>ok</v>
      </c>
      <c r="AN59" s="89" t="str">
        <f t="shared" si="40"/>
        <v>ok</v>
      </c>
      <c r="AO59" s="89" t="str">
        <f t="shared" si="40"/>
        <v>ok</v>
      </c>
      <c r="AP59" s="89" t="str">
        <f t="shared" si="40"/>
        <v>ok</v>
      </c>
      <c r="AQ59" s="89" t="str">
        <f t="shared" si="40"/>
        <v>ok</v>
      </c>
      <c r="AR59" s="89" t="str">
        <f t="shared" si="40"/>
        <v>ok</v>
      </c>
      <c r="AS59" s="89" t="str">
        <f t="shared" si="40"/>
        <v>ok</v>
      </c>
      <c r="AT59" s="89" t="str">
        <f t="shared" si="40"/>
        <v>ok</v>
      </c>
      <c r="AU59" s="89" t="str">
        <f t="shared" si="40"/>
        <v>ok</v>
      </c>
      <c r="AV59" s="89" t="str">
        <f t="shared" si="40"/>
        <v>ok</v>
      </c>
      <c r="AW59" s="89" t="str">
        <f t="shared" si="40"/>
        <v>ok</v>
      </c>
      <c r="AX59" s="89" t="str">
        <f t="shared" si="40"/>
        <v>ok</v>
      </c>
      <c r="AY59" s="89" t="str">
        <f t="shared" si="40"/>
        <v>ok</v>
      </c>
      <c r="AZ59" s="89" t="str">
        <f t="shared" si="40"/>
        <v>ok</v>
      </c>
      <c r="BA59" s="89" t="str">
        <f t="shared" si="40"/>
        <v>ok</v>
      </c>
      <c r="BB59" s="89" t="str">
        <f t="shared" si="40"/>
        <v>ok</v>
      </c>
      <c r="BC59" s="89" t="str">
        <f t="shared" si="40"/>
        <v>ok</v>
      </c>
      <c r="BD59" s="89" t="str">
        <f t="shared" si="40"/>
        <v>ok</v>
      </c>
      <c r="BE59" s="89" t="str">
        <f t="shared" si="40"/>
        <v>ok</v>
      </c>
      <c r="BF59" s="89" t="str">
        <f t="shared" si="40"/>
        <v>ok</v>
      </c>
      <c r="BG59" s="89" t="str">
        <f t="shared" si="40"/>
        <v>ok</v>
      </c>
      <c r="BH59" s="89" t="str">
        <f t="shared" si="40"/>
        <v>ok</v>
      </c>
      <c r="BI59" s="89" t="str">
        <f t="shared" si="40"/>
        <v>ok</v>
      </c>
      <c r="BJ59" s="89" t="str">
        <f t="shared" si="40"/>
        <v>ok</v>
      </c>
      <c r="BK59" s="89" t="str">
        <f t="shared" si="40"/>
        <v>ok</v>
      </c>
      <c r="BL59" s="89" t="str">
        <f t="shared" si="40"/>
        <v>ok</v>
      </c>
      <c r="BM59" s="89" t="str">
        <f t="shared" si="40"/>
        <v>ok</v>
      </c>
      <c r="BN59" s="89" t="str">
        <f t="shared" si="40"/>
        <v>ok</v>
      </c>
      <c r="BO59" s="89" t="str">
        <f t="shared" ref="BO59:CI59" si="41">IF(BO6+BO7+BO51=BO52,"ok","エラー")</f>
        <v>ok</v>
      </c>
      <c r="BP59" s="89" t="str">
        <f t="shared" si="41"/>
        <v>ok</v>
      </c>
      <c r="BQ59" s="89" t="str">
        <f t="shared" si="41"/>
        <v>ok</v>
      </c>
      <c r="BR59" s="89" t="str">
        <f t="shared" si="41"/>
        <v>ok</v>
      </c>
      <c r="BS59" s="89" t="str">
        <f t="shared" si="41"/>
        <v>ok</v>
      </c>
      <c r="BT59" s="89" t="str">
        <f t="shared" si="41"/>
        <v>ok</v>
      </c>
      <c r="BU59" s="89" t="str">
        <f t="shared" si="41"/>
        <v>ok</v>
      </c>
      <c r="BV59" s="89" t="str">
        <f t="shared" si="41"/>
        <v>ok</v>
      </c>
      <c r="BW59" s="89" t="str">
        <f t="shared" si="41"/>
        <v>ok</v>
      </c>
      <c r="BX59" s="89" t="str">
        <f t="shared" si="41"/>
        <v>ok</v>
      </c>
      <c r="BY59" s="89" t="str">
        <f t="shared" si="41"/>
        <v>ok</v>
      </c>
      <c r="BZ59" s="89" t="str">
        <f t="shared" si="41"/>
        <v>ok</v>
      </c>
      <c r="CA59" s="89" t="str">
        <f t="shared" si="41"/>
        <v>ok</v>
      </c>
      <c r="CB59" s="89" t="str">
        <f t="shared" si="41"/>
        <v>ok</v>
      </c>
      <c r="CC59" s="89" t="str">
        <f t="shared" si="41"/>
        <v>ok</v>
      </c>
      <c r="CD59" s="89" t="str">
        <f t="shared" si="41"/>
        <v>ok</v>
      </c>
      <c r="CE59" s="89" t="str">
        <f t="shared" si="41"/>
        <v>ok</v>
      </c>
      <c r="CF59" s="89" t="str">
        <f t="shared" si="41"/>
        <v>ok</v>
      </c>
      <c r="CG59" s="89" t="str">
        <f t="shared" si="41"/>
        <v>ok</v>
      </c>
      <c r="CH59" s="89" t="str">
        <f t="shared" si="41"/>
        <v>ok</v>
      </c>
      <c r="CI59" s="89" t="str">
        <f t="shared" si="41"/>
        <v>ok</v>
      </c>
      <c r="CJ59" s="84"/>
      <c r="CK59" s="89" t="str">
        <f t="shared" ref="CK59:DP59" si="42">IF(CK6+CK7+CK51=CK52,"ok","エラー")</f>
        <v>ok</v>
      </c>
      <c r="CL59" s="89" t="str">
        <f t="shared" si="42"/>
        <v>ok</v>
      </c>
      <c r="CM59" s="89" t="str">
        <f t="shared" si="42"/>
        <v>ok</v>
      </c>
      <c r="CN59" s="89" t="str">
        <f t="shared" si="42"/>
        <v>ok</v>
      </c>
      <c r="CO59" s="89" t="str">
        <f t="shared" si="42"/>
        <v>ok</v>
      </c>
      <c r="CP59" s="89" t="str">
        <f t="shared" si="42"/>
        <v>ok</v>
      </c>
      <c r="CQ59" s="89" t="str">
        <f t="shared" si="42"/>
        <v>ok</v>
      </c>
      <c r="CR59" s="89" t="str">
        <f t="shared" si="42"/>
        <v>ok</v>
      </c>
      <c r="CS59" s="89" t="str">
        <f t="shared" si="42"/>
        <v>ok</v>
      </c>
      <c r="CT59" s="89" t="str">
        <f t="shared" si="42"/>
        <v>ok</v>
      </c>
      <c r="CU59" s="89" t="str">
        <f t="shared" si="42"/>
        <v>ok</v>
      </c>
      <c r="CV59" s="89" t="str">
        <f t="shared" si="42"/>
        <v>ok</v>
      </c>
      <c r="CW59" s="89" t="str">
        <f t="shared" si="42"/>
        <v>ok</v>
      </c>
      <c r="CX59" s="89" t="str">
        <f t="shared" si="42"/>
        <v>ok</v>
      </c>
      <c r="CY59" s="89" t="str">
        <f t="shared" si="42"/>
        <v>ok</v>
      </c>
      <c r="CZ59" s="89" t="str">
        <f t="shared" si="42"/>
        <v>ok</v>
      </c>
      <c r="DA59" s="89" t="str">
        <f t="shared" si="42"/>
        <v>ok</v>
      </c>
      <c r="DB59" s="89" t="str">
        <f t="shared" si="42"/>
        <v>ok</v>
      </c>
      <c r="DC59" s="89" t="str">
        <f t="shared" si="42"/>
        <v>ok</v>
      </c>
      <c r="DD59" s="89" t="str">
        <f t="shared" si="42"/>
        <v>ok</v>
      </c>
      <c r="DE59" s="89" t="str">
        <f t="shared" si="42"/>
        <v>ok</v>
      </c>
      <c r="DF59" s="89" t="str">
        <f t="shared" si="42"/>
        <v>ok</v>
      </c>
      <c r="DG59" s="89" t="str">
        <f t="shared" si="42"/>
        <v>ok</v>
      </c>
      <c r="DH59" s="89" t="str">
        <f t="shared" si="42"/>
        <v>ok</v>
      </c>
      <c r="DI59" s="89" t="str">
        <f t="shared" si="42"/>
        <v>ok</v>
      </c>
      <c r="DJ59" s="89" t="str">
        <f t="shared" si="42"/>
        <v>ok</v>
      </c>
      <c r="DK59" s="89" t="str">
        <f t="shared" si="42"/>
        <v>ok</v>
      </c>
      <c r="DL59" s="89" t="str">
        <f t="shared" si="42"/>
        <v>ok</v>
      </c>
      <c r="DM59" s="89" t="str">
        <f t="shared" si="42"/>
        <v>ok</v>
      </c>
      <c r="DN59" s="89" t="str">
        <f t="shared" si="42"/>
        <v>ok</v>
      </c>
      <c r="DO59" s="89" t="str">
        <f t="shared" si="42"/>
        <v>ok</v>
      </c>
      <c r="DP59" s="89" t="str">
        <f t="shared" si="42"/>
        <v>ok</v>
      </c>
      <c r="DQ59" s="89" t="str">
        <f t="shared" ref="DQ59:EV59" si="43">IF(DQ6+DQ7+DQ51=DQ52,"ok","エラー")</f>
        <v>ok</v>
      </c>
      <c r="DR59" s="89" t="str">
        <f t="shared" si="43"/>
        <v>ok</v>
      </c>
      <c r="DS59" s="89" t="str">
        <f t="shared" si="43"/>
        <v>ok</v>
      </c>
      <c r="DT59" s="89" t="str">
        <f t="shared" si="43"/>
        <v>ok</v>
      </c>
      <c r="DU59" s="89" t="str">
        <f t="shared" si="43"/>
        <v>ok</v>
      </c>
      <c r="DV59" s="89" t="str">
        <f t="shared" si="43"/>
        <v>ok</v>
      </c>
      <c r="DW59" s="89" t="str">
        <f t="shared" si="43"/>
        <v>ok</v>
      </c>
      <c r="DX59" s="89" t="str">
        <f t="shared" si="43"/>
        <v>ok</v>
      </c>
      <c r="DY59" s="89" t="str">
        <f t="shared" si="43"/>
        <v>ok</v>
      </c>
      <c r="DZ59" s="89" t="str">
        <f t="shared" si="43"/>
        <v>ok</v>
      </c>
      <c r="EA59" s="89" t="str">
        <f t="shared" si="43"/>
        <v>ok</v>
      </c>
      <c r="EB59" s="89" t="str">
        <f t="shared" si="43"/>
        <v>ok</v>
      </c>
      <c r="EC59" s="89" t="str">
        <f t="shared" si="43"/>
        <v>ok</v>
      </c>
      <c r="ED59" s="89" t="str">
        <f t="shared" si="43"/>
        <v>ok</v>
      </c>
      <c r="EE59" s="89" t="str">
        <f t="shared" si="43"/>
        <v>ok</v>
      </c>
      <c r="EF59" s="89" t="str">
        <f t="shared" si="43"/>
        <v>ok</v>
      </c>
      <c r="EG59" s="89" t="str">
        <f t="shared" si="43"/>
        <v>ok</v>
      </c>
      <c r="EH59" s="89" t="str">
        <f t="shared" si="43"/>
        <v>ok</v>
      </c>
      <c r="EI59" s="89" t="str">
        <f t="shared" si="43"/>
        <v>ok</v>
      </c>
      <c r="EJ59" s="89" t="str">
        <f t="shared" si="43"/>
        <v>ok</v>
      </c>
      <c r="EK59" s="89" t="str">
        <f t="shared" si="43"/>
        <v>ok</v>
      </c>
      <c r="EL59" s="89" t="str">
        <f t="shared" si="43"/>
        <v>ok</v>
      </c>
      <c r="EM59" s="89" t="str">
        <f t="shared" si="43"/>
        <v>ok</v>
      </c>
      <c r="EN59" s="89" t="str">
        <f t="shared" si="43"/>
        <v>ok</v>
      </c>
      <c r="EO59" s="89" t="str">
        <f t="shared" si="43"/>
        <v>ok</v>
      </c>
      <c r="EP59" s="89" t="str">
        <f t="shared" si="43"/>
        <v>ok</v>
      </c>
      <c r="EQ59" s="89" t="str">
        <f t="shared" si="43"/>
        <v>ok</v>
      </c>
      <c r="ER59" s="89" t="str">
        <f t="shared" si="43"/>
        <v>ok</v>
      </c>
      <c r="ES59" s="89" t="str">
        <f t="shared" si="43"/>
        <v>ok</v>
      </c>
      <c r="ET59" s="89" t="str">
        <f t="shared" si="43"/>
        <v>ok</v>
      </c>
      <c r="EU59" s="89" t="str">
        <f t="shared" si="43"/>
        <v>ok</v>
      </c>
      <c r="EV59" s="89" t="str">
        <f t="shared" si="43"/>
        <v>ok</v>
      </c>
      <c r="EW59" s="89" t="str">
        <f t="shared" ref="EW59:FH59" si="44">IF(EW6+EW7+EW51=EW52,"ok","エラー")</f>
        <v>ok</v>
      </c>
      <c r="EX59" s="89" t="str">
        <f t="shared" si="44"/>
        <v>ok</v>
      </c>
      <c r="EY59" s="89" t="str">
        <f t="shared" si="44"/>
        <v>ok</v>
      </c>
      <c r="EZ59" s="89" t="str">
        <f t="shared" si="44"/>
        <v>ok</v>
      </c>
      <c r="FA59" s="89" t="str">
        <f t="shared" si="44"/>
        <v>ok</v>
      </c>
      <c r="FB59" s="89" t="str">
        <f t="shared" si="44"/>
        <v>ok</v>
      </c>
      <c r="FC59" s="89" t="str">
        <f t="shared" si="44"/>
        <v>ok</v>
      </c>
      <c r="FD59" s="89" t="str">
        <f t="shared" si="44"/>
        <v>ok</v>
      </c>
      <c r="FE59" s="89" t="str">
        <f t="shared" si="44"/>
        <v>ok</v>
      </c>
      <c r="FF59" s="89" t="str">
        <f t="shared" si="44"/>
        <v>ok</v>
      </c>
      <c r="FG59" s="89" t="str">
        <f t="shared" si="44"/>
        <v>ok</v>
      </c>
      <c r="FH59" s="89" t="str">
        <f t="shared" si="44"/>
        <v>ok</v>
      </c>
      <c r="FJ59" s="89" t="str">
        <f>IF(FJ6+FJ7+FJ51=FJ52,"ok","エラー")</f>
        <v>ok</v>
      </c>
      <c r="FK59" s="89" t="str">
        <f>IF(FK6+FK7+FK51=FK52,"ok","エラー")</f>
        <v>ok</v>
      </c>
      <c r="FL59" s="89" t="str">
        <f>IF(FL6+FL7+FL51=FL52,"ok","エラー")</f>
        <v>ok</v>
      </c>
      <c r="FM59" s="89" t="str">
        <f>IF(FM6+FM7+FM51=FM52,"ok","エラー")</f>
        <v>ok</v>
      </c>
      <c r="FW59" s="89" t="str">
        <f>IF(FW6+FW7+FW51=FW52,"ok","エラー")</f>
        <v>ok</v>
      </c>
      <c r="FY59" s="89" t="str">
        <f>IF(FY6+FY7+FY51=FY52,"ok","エラー")</f>
        <v>ok</v>
      </c>
      <c r="FZ59" s="89" t="str">
        <f>IF(FZ6+FZ7+FZ51=FZ52,"ok","エラー")</f>
        <v>ok</v>
      </c>
      <c r="GA59" s="89" t="str">
        <f>IF(GA6+GA7+GA51=GA52,"ok","エラー")</f>
        <v>ok</v>
      </c>
      <c r="GB59" s="89" t="str">
        <f>IF(GB6+GB7+GB51=GB52,"ok","エラー")</f>
        <v>ok</v>
      </c>
      <c r="GC59" s="89" t="str">
        <f>IF(GC6+GC7+GC51=GC52,"ok","エラー")</f>
        <v>ok</v>
      </c>
      <c r="GD59" s="89" t="str">
        <f>IF(GD7+GD51=GD52,"ok","エラー")</f>
        <v>ok</v>
      </c>
      <c r="GI59" s="89" t="str">
        <f>IF(GI6+GI7+GI51=GI52,"ok","エラー")</f>
        <v>ok</v>
      </c>
    </row>
    <row r="66" spans="143:144" x14ac:dyDescent="0.15">
      <c r="EM66" s="421"/>
      <c r="EN66" s="422"/>
    </row>
    <row r="67" spans="143:144" x14ac:dyDescent="0.15">
      <c r="EM67" s="421"/>
      <c r="EN67" s="422"/>
    </row>
    <row r="68" spans="143:144" x14ac:dyDescent="0.15">
      <c r="EM68" s="421"/>
      <c r="EN68" s="422"/>
    </row>
    <row r="69" spans="143:144" x14ac:dyDescent="0.15">
      <c r="EM69" s="421"/>
      <c r="EN69" s="422"/>
    </row>
    <row r="70" spans="143:144" x14ac:dyDescent="0.15">
      <c r="EM70" s="421"/>
      <c r="EN70" s="422"/>
    </row>
    <row r="71" spans="143:144" x14ac:dyDescent="0.15">
      <c r="EM71" s="421"/>
      <c r="EN71" s="422"/>
    </row>
    <row r="72" spans="143:144" x14ac:dyDescent="0.15">
      <c r="EM72" s="421"/>
      <c r="EN72" s="422"/>
    </row>
    <row r="73" spans="143:144" x14ac:dyDescent="0.15">
      <c r="EM73" s="421"/>
      <c r="EN73" s="422"/>
    </row>
    <row r="74" spans="143:144" x14ac:dyDescent="0.15">
      <c r="EM74" s="421"/>
      <c r="EN74" s="422"/>
    </row>
    <row r="75" spans="143:144" x14ac:dyDescent="0.15">
      <c r="EM75" s="421"/>
      <c r="EN75" s="422"/>
    </row>
    <row r="76" spans="143:144" x14ac:dyDescent="0.15">
      <c r="EM76" s="421"/>
      <c r="EN76" s="422"/>
    </row>
    <row r="77" spans="143:144" x14ac:dyDescent="0.15">
      <c r="EM77" s="421"/>
      <c r="EN77" s="422"/>
    </row>
    <row r="78" spans="143:144" x14ac:dyDescent="0.15">
      <c r="EM78" s="421"/>
      <c r="EN78" s="422"/>
    </row>
    <row r="79" spans="143:144" x14ac:dyDescent="0.15">
      <c r="EM79" s="421"/>
      <c r="EN79" s="422"/>
    </row>
    <row r="80" spans="143:144" x14ac:dyDescent="0.15">
      <c r="EM80" s="421"/>
      <c r="EN80" s="422"/>
    </row>
    <row r="81" spans="143:144" x14ac:dyDescent="0.15">
      <c r="EM81" s="421"/>
      <c r="EN81" s="422"/>
    </row>
    <row r="82" spans="143:144" x14ac:dyDescent="0.15">
      <c r="EM82" s="421"/>
      <c r="EN82" s="422"/>
    </row>
    <row r="83" spans="143:144" x14ac:dyDescent="0.15">
      <c r="EM83" s="421"/>
      <c r="EN83" s="422"/>
    </row>
    <row r="84" spans="143:144" x14ac:dyDescent="0.15">
      <c r="EM84" s="421"/>
      <c r="EN84" s="422"/>
    </row>
    <row r="85" spans="143:144" x14ac:dyDescent="0.15">
      <c r="EM85" s="421"/>
      <c r="EN85" s="422"/>
    </row>
    <row r="86" spans="143:144" x14ac:dyDescent="0.15">
      <c r="EM86" s="421"/>
      <c r="EN86" s="422"/>
    </row>
    <row r="87" spans="143:144" x14ac:dyDescent="0.15">
      <c r="EM87" s="421"/>
      <c r="EN87" s="422"/>
    </row>
    <row r="88" spans="143:144" x14ac:dyDescent="0.15">
      <c r="EM88" s="421"/>
      <c r="EN88" s="422"/>
    </row>
    <row r="89" spans="143:144" x14ac:dyDescent="0.15">
      <c r="EM89" s="421"/>
      <c r="EN89" s="422"/>
    </row>
    <row r="90" spans="143:144" x14ac:dyDescent="0.15">
      <c r="EM90" s="421"/>
      <c r="EN90" s="422"/>
    </row>
    <row r="91" spans="143:144" x14ac:dyDescent="0.15">
      <c r="EM91" s="421"/>
      <c r="EN91" s="422"/>
    </row>
    <row r="92" spans="143:144" x14ac:dyDescent="0.15">
      <c r="EM92" s="421"/>
      <c r="EN92" s="422"/>
    </row>
    <row r="93" spans="143:144" x14ac:dyDescent="0.15">
      <c r="EM93" s="421"/>
      <c r="EN93" s="422"/>
    </row>
    <row r="94" spans="143:144" x14ac:dyDescent="0.15">
      <c r="EM94" s="421"/>
      <c r="EN94" s="422"/>
    </row>
    <row r="95" spans="143:144" x14ac:dyDescent="0.15">
      <c r="EM95" s="421"/>
      <c r="EN95" s="422"/>
    </row>
    <row r="96" spans="143:144" x14ac:dyDescent="0.15">
      <c r="EM96" s="421"/>
      <c r="EN96" s="422"/>
    </row>
    <row r="97" spans="143:144" x14ac:dyDescent="0.15">
      <c r="EM97" s="421"/>
      <c r="EN97" s="422"/>
    </row>
    <row r="98" spans="143:144" x14ac:dyDescent="0.15">
      <c r="EM98" s="421"/>
      <c r="EN98" s="422"/>
    </row>
    <row r="99" spans="143:144" x14ac:dyDescent="0.15">
      <c r="EM99" s="421"/>
      <c r="EN99" s="422"/>
    </row>
    <row r="100" spans="143:144" x14ac:dyDescent="0.15">
      <c r="EM100" s="421"/>
      <c r="EN100" s="422"/>
    </row>
    <row r="101" spans="143:144" x14ac:dyDescent="0.15">
      <c r="EM101" s="421"/>
      <c r="EN101" s="422"/>
    </row>
    <row r="102" spans="143:144" x14ac:dyDescent="0.15">
      <c r="EM102" s="421"/>
      <c r="EN102" s="422"/>
    </row>
    <row r="103" spans="143:144" x14ac:dyDescent="0.15">
      <c r="EM103" s="421"/>
      <c r="EN103" s="422"/>
    </row>
    <row r="104" spans="143:144" x14ac:dyDescent="0.15">
      <c r="EM104" s="421"/>
      <c r="EN104" s="422"/>
    </row>
    <row r="105" spans="143:144" x14ac:dyDescent="0.15">
      <c r="EM105" s="421"/>
      <c r="EN105" s="422"/>
    </row>
    <row r="106" spans="143:144" x14ac:dyDescent="0.15">
      <c r="EM106" s="421"/>
      <c r="EN106" s="422"/>
    </row>
  </sheetData>
  <mergeCells count="1">
    <mergeCell ref="FO2:FU2"/>
  </mergeCells>
  <phoneticPr fontId="3"/>
  <pageMargins left="0.59055118110236227" right="0.59055118110236227" top="0.98425196850393704" bottom="0.98425196850393704" header="0.51181102362204722" footer="0.51181102362204722"/>
  <pageSetup paperSize="9" fitToWidth="0" orientation="portrait" r:id="rId1"/>
  <colBreaks count="1" manualBreakCount="1">
    <brk id="187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7">
    <tabColor indexed="15"/>
    <pageSetUpPr fitToPage="1"/>
  </sheetPr>
  <dimension ref="A1:HV106"/>
  <sheetViews>
    <sheetView view="pageBreakPreview" zoomScaleNormal="90" zoomScaleSheetLayoutView="100" workbookViewId="0">
      <pane xSplit="2" ySplit="5" topLeftCell="CB39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13.10937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12.33203125" style="174" bestFit="1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62" customWidth="1"/>
    <col min="192" max="192" width="8.5546875" style="174" bestFit="1" customWidth="1"/>
    <col min="193" max="193" width="10.33203125" style="174" bestFit="1" customWidth="1"/>
    <col min="194" max="194" width="8.5546875" style="174" bestFit="1" customWidth="1"/>
    <col min="195" max="195" width="9.6640625" style="174" bestFit="1" customWidth="1"/>
    <col min="196" max="196" width="10.33203125" style="174" bestFit="1" customWidth="1"/>
    <col min="197" max="197" width="8.5546875" style="174" bestFit="1" customWidth="1"/>
    <col min="198" max="198" width="11.88671875" style="174" bestFit="1" customWidth="1"/>
    <col min="199" max="199" width="10.33203125" style="174" bestFit="1" customWidth="1"/>
    <col min="200" max="200" width="8.5546875" style="174" bestFit="1" customWidth="1"/>
    <col min="201" max="201" width="9.6640625" style="174" bestFit="1" customWidth="1"/>
    <col min="202" max="202" width="10.33203125" style="174" bestFit="1" customWidth="1"/>
    <col min="203" max="230" width="13.6640625" style="174" customWidth="1"/>
  </cols>
  <sheetData>
    <row r="1" spans="2:230" x14ac:dyDescent="0.15">
      <c r="B1" s="98">
        <v>1</v>
      </c>
      <c r="C1" s="98">
        <v>2</v>
      </c>
      <c r="D1" s="98">
        <v>3</v>
      </c>
      <c r="E1" s="98">
        <v>4</v>
      </c>
      <c r="F1" s="98">
        <v>5</v>
      </c>
      <c r="G1" s="98">
        <v>6</v>
      </c>
      <c r="H1" s="98">
        <v>7</v>
      </c>
      <c r="I1" s="98">
        <v>8</v>
      </c>
      <c r="J1" s="98">
        <v>9</v>
      </c>
      <c r="K1" s="98">
        <v>10</v>
      </c>
      <c r="L1" s="98">
        <v>11</v>
      </c>
      <c r="M1" s="98">
        <v>12</v>
      </c>
      <c r="N1" s="98">
        <v>13</v>
      </c>
      <c r="O1" s="98">
        <v>14</v>
      </c>
      <c r="P1" s="98">
        <v>15</v>
      </c>
      <c r="Q1" s="98">
        <v>16</v>
      </c>
      <c r="R1" s="98">
        <v>17</v>
      </c>
      <c r="S1" s="98">
        <v>18</v>
      </c>
      <c r="T1" s="98">
        <v>19</v>
      </c>
      <c r="U1" s="98">
        <v>20</v>
      </c>
      <c r="V1" s="98">
        <v>21</v>
      </c>
      <c r="W1" s="98">
        <v>22</v>
      </c>
      <c r="X1" s="98">
        <v>23</v>
      </c>
      <c r="Y1" s="98">
        <v>24</v>
      </c>
      <c r="Z1" s="98">
        <v>25</v>
      </c>
      <c r="AA1" s="98">
        <v>26</v>
      </c>
      <c r="AB1" s="98">
        <v>27</v>
      </c>
      <c r="AC1" s="98">
        <v>28</v>
      </c>
      <c r="AD1" s="98">
        <v>29</v>
      </c>
      <c r="AE1" s="98">
        <v>30</v>
      </c>
      <c r="AF1" s="98">
        <v>31</v>
      </c>
      <c r="AG1" s="98">
        <v>32</v>
      </c>
      <c r="AH1" s="98">
        <v>33</v>
      </c>
      <c r="AI1" s="98">
        <v>34</v>
      </c>
      <c r="AJ1" s="98">
        <v>35</v>
      </c>
      <c r="AK1" s="98">
        <v>36</v>
      </c>
      <c r="AL1" s="98">
        <v>37</v>
      </c>
      <c r="AM1" s="98">
        <v>38</v>
      </c>
      <c r="AN1" s="98">
        <v>39</v>
      </c>
      <c r="AO1" s="98">
        <v>40</v>
      </c>
      <c r="AP1" s="98">
        <v>41</v>
      </c>
      <c r="AQ1" s="98">
        <v>42</v>
      </c>
      <c r="AR1" s="98">
        <v>43</v>
      </c>
      <c r="AS1" s="98">
        <v>44</v>
      </c>
      <c r="AT1" s="98">
        <v>45</v>
      </c>
      <c r="AU1" s="98">
        <v>46</v>
      </c>
      <c r="AV1" s="98">
        <v>47</v>
      </c>
      <c r="AW1" s="98">
        <v>48</v>
      </c>
      <c r="AX1" s="98">
        <v>49</v>
      </c>
      <c r="AY1" s="98">
        <v>50</v>
      </c>
      <c r="AZ1" s="98">
        <v>51</v>
      </c>
      <c r="BA1" s="98">
        <v>52</v>
      </c>
      <c r="BB1" s="98">
        <v>53</v>
      </c>
      <c r="BC1" s="98">
        <v>54</v>
      </c>
      <c r="BD1" s="98">
        <v>55</v>
      </c>
      <c r="BE1" s="98">
        <v>56</v>
      </c>
      <c r="BF1" s="98">
        <v>57</v>
      </c>
      <c r="BG1" s="98">
        <v>58</v>
      </c>
      <c r="BH1" s="98">
        <v>59</v>
      </c>
      <c r="BI1" s="98">
        <v>60</v>
      </c>
      <c r="BJ1" s="98">
        <v>61</v>
      </c>
      <c r="BK1" s="98">
        <v>62</v>
      </c>
      <c r="BL1" s="98">
        <v>63</v>
      </c>
      <c r="BM1" s="98">
        <v>64</v>
      </c>
      <c r="BN1" s="98">
        <v>65</v>
      </c>
      <c r="BO1" s="98">
        <v>66</v>
      </c>
      <c r="BP1" s="98">
        <v>67</v>
      </c>
      <c r="BQ1" s="98">
        <v>68</v>
      </c>
      <c r="BR1" s="98">
        <v>69</v>
      </c>
      <c r="BS1" s="98">
        <v>70</v>
      </c>
      <c r="BT1" s="98">
        <v>71</v>
      </c>
      <c r="BU1" s="98">
        <v>72</v>
      </c>
      <c r="BV1" s="98">
        <v>73</v>
      </c>
      <c r="BW1" s="98">
        <v>74</v>
      </c>
      <c r="BX1" s="98">
        <v>75</v>
      </c>
      <c r="BY1" s="98">
        <v>76</v>
      </c>
      <c r="BZ1" s="98">
        <v>77</v>
      </c>
      <c r="CA1" s="98">
        <v>78</v>
      </c>
      <c r="CB1" s="98">
        <v>79</v>
      </c>
      <c r="CC1" s="98">
        <v>80</v>
      </c>
      <c r="CD1" s="98">
        <v>81</v>
      </c>
      <c r="CE1" s="98">
        <v>82</v>
      </c>
      <c r="CF1" s="98">
        <v>83</v>
      </c>
      <c r="CG1" s="98">
        <v>84</v>
      </c>
      <c r="CH1" s="98">
        <v>85</v>
      </c>
      <c r="CI1" s="98">
        <v>86</v>
      </c>
      <c r="CJ1" s="98">
        <v>87</v>
      </c>
      <c r="CK1" s="98">
        <v>88</v>
      </c>
      <c r="CL1" s="98">
        <v>89</v>
      </c>
      <c r="CM1" s="98">
        <v>90</v>
      </c>
      <c r="CN1" s="98">
        <v>91</v>
      </c>
      <c r="CO1" s="98">
        <v>92</v>
      </c>
      <c r="CP1" s="98">
        <v>93</v>
      </c>
      <c r="CQ1" s="98">
        <v>94</v>
      </c>
      <c r="CR1" s="98">
        <v>95</v>
      </c>
      <c r="CS1" s="98">
        <v>96</v>
      </c>
      <c r="CT1" s="98">
        <v>97</v>
      </c>
      <c r="CU1" s="98">
        <v>98</v>
      </c>
      <c r="CV1" s="98">
        <v>99</v>
      </c>
      <c r="CW1" s="98">
        <v>100</v>
      </c>
      <c r="CX1" s="98">
        <v>101</v>
      </c>
      <c r="CY1" s="98">
        <v>102</v>
      </c>
      <c r="CZ1" s="98">
        <v>103</v>
      </c>
      <c r="DA1" s="98">
        <v>104</v>
      </c>
      <c r="DB1" s="98">
        <v>105</v>
      </c>
      <c r="DC1" s="98">
        <v>106</v>
      </c>
      <c r="DD1" s="98">
        <v>107</v>
      </c>
      <c r="DE1" s="98">
        <v>108</v>
      </c>
      <c r="DF1" s="98">
        <v>109</v>
      </c>
      <c r="DG1" s="98">
        <v>110</v>
      </c>
      <c r="DH1" s="98">
        <v>111</v>
      </c>
      <c r="DI1" s="98">
        <v>112</v>
      </c>
      <c r="DJ1" s="98">
        <v>113</v>
      </c>
      <c r="DK1" s="98">
        <v>114</v>
      </c>
      <c r="DL1" s="98">
        <v>115</v>
      </c>
      <c r="DM1" s="98">
        <v>116</v>
      </c>
      <c r="DN1" s="98">
        <v>117</v>
      </c>
      <c r="DO1" s="98">
        <v>118</v>
      </c>
      <c r="DP1" s="98">
        <v>119</v>
      </c>
      <c r="DQ1" s="98">
        <v>120</v>
      </c>
      <c r="DR1" s="98">
        <v>121</v>
      </c>
      <c r="DS1" s="98">
        <v>122</v>
      </c>
      <c r="DT1" s="98">
        <v>123</v>
      </c>
      <c r="DU1" s="98">
        <v>124</v>
      </c>
      <c r="DV1" s="98">
        <v>125</v>
      </c>
      <c r="DW1" s="98">
        <v>126</v>
      </c>
      <c r="DX1" s="98">
        <v>127</v>
      </c>
      <c r="DY1" s="98">
        <v>128</v>
      </c>
      <c r="DZ1" s="98">
        <v>129</v>
      </c>
      <c r="EA1" s="98">
        <v>130</v>
      </c>
      <c r="EB1" s="98">
        <v>131</v>
      </c>
      <c r="EC1" s="98">
        <v>132</v>
      </c>
      <c r="ED1" s="98">
        <v>133</v>
      </c>
      <c r="EE1" s="98">
        <v>134</v>
      </c>
      <c r="EF1" s="98">
        <v>135</v>
      </c>
      <c r="EG1" s="98">
        <v>136</v>
      </c>
      <c r="EH1" s="98">
        <v>137</v>
      </c>
      <c r="EI1" s="98">
        <v>138</v>
      </c>
      <c r="EJ1" s="98">
        <v>139</v>
      </c>
      <c r="EK1" s="98">
        <v>140</v>
      </c>
      <c r="EL1" s="98">
        <v>141</v>
      </c>
      <c r="EM1" s="98">
        <v>142</v>
      </c>
      <c r="EN1" s="98">
        <v>143</v>
      </c>
      <c r="EO1" s="98">
        <v>144</v>
      </c>
      <c r="EP1" s="98">
        <v>145</v>
      </c>
      <c r="EQ1" s="98">
        <v>146</v>
      </c>
      <c r="ER1" s="98">
        <v>147</v>
      </c>
      <c r="ES1" s="98">
        <v>148</v>
      </c>
      <c r="ET1" s="98">
        <v>149</v>
      </c>
      <c r="EU1" s="98">
        <v>150</v>
      </c>
      <c r="EV1" s="98">
        <v>151</v>
      </c>
      <c r="EW1" s="98">
        <v>152</v>
      </c>
      <c r="EX1" s="98">
        <v>153</v>
      </c>
      <c r="EY1" s="98">
        <v>154</v>
      </c>
      <c r="EZ1" s="98">
        <v>155</v>
      </c>
      <c r="FA1" s="98">
        <v>156</v>
      </c>
      <c r="FB1" s="98">
        <v>157</v>
      </c>
      <c r="FC1" s="98">
        <v>158</v>
      </c>
      <c r="FD1" s="98">
        <v>159</v>
      </c>
      <c r="FE1" s="98">
        <v>160</v>
      </c>
      <c r="FF1" s="98">
        <v>161</v>
      </c>
      <c r="FG1" s="98">
        <v>162</v>
      </c>
      <c r="FH1" s="98">
        <v>163</v>
      </c>
      <c r="FI1" s="98">
        <v>164</v>
      </c>
      <c r="FJ1" s="98">
        <v>165</v>
      </c>
      <c r="FK1" s="98">
        <v>166</v>
      </c>
      <c r="FL1" s="98">
        <v>167</v>
      </c>
      <c r="FM1" s="98">
        <v>168</v>
      </c>
      <c r="FN1" s="98">
        <v>169</v>
      </c>
      <c r="FO1" s="98">
        <v>170</v>
      </c>
      <c r="FP1" s="98">
        <v>171</v>
      </c>
      <c r="FQ1" s="98">
        <v>172</v>
      </c>
      <c r="FR1" s="98">
        <v>173</v>
      </c>
      <c r="FS1" s="98">
        <v>174</v>
      </c>
      <c r="FT1" s="98">
        <v>175</v>
      </c>
      <c r="FU1" s="98">
        <v>176</v>
      </c>
      <c r="FV1" s="98">
        <v>177</v>
      </c>
      <c r="FW1" s="98">
        <v>178</v>
      </c>
      <c r="FX1" s="98">
        <v>179</v>
      </c>
      <c r="FY1" s="98">
        <v>180</v>
      </c>
      <c r="FZ1" s="98">
        <v>181</v>
      </c>
      <c r="GA1" s="98">
        <v>182</v>
      </c>
      <c r="GB1" s="98">
        <v>183</v>
      </c>
      <c r="GC1" s="98">
        <v>184</v>
      </c>
      <c r="GD1" s="98">
        <v>185</v>
      </c>
      <c r="GE1" s="98">
        <v>186</v>
      </c>
      <c r="GF1" s="98">
        <v>187</v>
      </c>
      <c r="GG1" s="98">
        <v>188</v>
      </c>
      <c r="GH1" s="98">
        <v>189</v>
      </c>
      <c r="GI1" s="99">
        <v>190</v>
      </c>
      <c r="GJ1" s="98">
        <v>191</v>
      </c>
      <c r="GK1" s="98">
        <v>192</v>
      </c>
      <c r="GL1" s="98">
        <v>193</v>
      </c>
      <c r="GM1" s="98">
        <v>194</v>
      </c>
      <c r="GN1" s="98">
        <v>195</v>
      </c>
      <c r="GO1" s="98">
        <v>196</v>
      </c>
      <c r="GP1" s="98">
        <v>197</v>
      </c>
      <c r="GQ1" s="98">
        <v>198</v>
      </c>
      <c r="GR1" s="98">
        <v>199</v>
      </c>
      <c r="GS1" s="98">
        <v>200</v>
      </c>
      <c r="GT1" s="98">
        <v>201</v>
      </c>
    </row>
    <row r="2" spans="2:230" x14ac:dyDescent="0.15">
      <c r="C2" s="93" t="s">
        <v>338</v>
      </c>
      <c r="D2" s="94"/>
      <c r="E2" s="93" t="s">
        <v>339</v>
      </c>
      <c r="F2" s="93" t="s">
        <v>340</v>
      </c>
      <c r="G2" s="94"/>
      <c r="H2" s="93" t="s">
        <v>341</v>
      </c>
      <c r="I2" s="93" t="s">
        <v>342</v>
      </c>
      <c r="J2" s="93" t="s">
        <v>343</v>
      </c>
      <c r="K2" s="93" t="s">
        <v>344</v>
      </c>
      <c r="L2" s="93" t="s">
        <v>345</v>
      </c>
      <c r="M2" s="93" t="s">
        <v>346</v>
      </c>
      <c r="N2" s="93" t="s">
        <v>347</v>
      </c>
      <c r="O2" s="93" t="s">
        <v>348</v>
      </c>
      <c r="P2" s="93" t="s">
        <v>349</v>
      </c>
      <c r="Q2" s="93" t="s">
        <v>350</v>
      </c>
      <c r="R2" s="93" t="s">
        <v>351</v>
      </c>
      <c r="S2" s="93" t="s">
        <v>352</v>
      </c>
      <c r="T2" s="95"/>
      <c r="U2" s="93" t="s">
        <v>725</v>
      </c>
      <c r="V2" s="93" t="s">
        <v>354</v>
      </c>
      <c r="W2" s="93" t="s">
        <v>355</v>
      </c>
      <c r="X2" s="93" t="s">
        <v>664</v>
      </c>
      <c r="Y2" s="93" t="s">
        <v>356</v>
      </c>
      <c r="Z2" s="93" t="s">
        <v>357</v>
      </c>
      <c r="AA2" s="93" t="s">
        <v>653</v>
      </c>
      <c r="AB2" s="93" t="s">
        <v>359</v>
      </c>
      <c r="AC2" s="93" t="s">
        <v>654</v>
      </c>
      <c r="AD2" s="93" t="s">
        <v>665</v>
      </c>
      <c r="AE2" s="93" t="s">
        <v>726</v>
      </c>
      <c r="AF2" s="96" t="s">
        <v>363</v>
      </c>
      <c r="AG2" s="96" t="s">
        <v>364</v>
      </c>
      <c r="AH2" s="89"/>
      <c r="AI2" s="96" t="s">
        <v>684</v>
      </c>
      <c r="AJ2" s="96" t="s">
        <v>727</v>
      </c>
      <c r="AK2" s="96" t="s">
        <v>368</v>
      </c>
      <c r="AL2" s="29"/>
      <c r="AM2" s="96" t="s">
        <v>728</v>
      </c>
      <c r="AN2" s="96" t="s">
        <v>686</v>
      </c>
      <c r="AO2" s="96" t="s">
        <v>352</v>
      </c>
      <c r="AP2" s="96" t="s">
        <v>369</v>
      </c>
      <c r="AQ2" s="96" t="s">
        <v>371</v>
      </c>
      <c r="AR2" s="96" t="s">
        <v>372</v>
      </c>
      <c r="AS2" s="96" t="s">
        <v>729</v>
      </c>
      <c r="AT2" s="96" t="s">
        <v>376</v>
      </c>
      <c r="AU2" s="96" t="s">
        <v>377</v>
      </c>
      <c r="AV2" s="96" t="s">
        <v>378</v>
      </c>
      <c r="AW2" s="96" t="s">
        <v>688</v>
      </c>
      <c r="AX2" s="96" t="s">
        <v>380</v>
      </c>
      <c r="AY2" s="96" t="s">
        <v>381</v>
      </c>
      <c r="AZ2" s="96" t="s">
        <v>710</v>
      </c>
      <c r="BA2" s="96" t="s">
        <v>690</v>
      </c>
      <c r="BB2" s="96" t="s">
        <v>711</v>
      </c>
      <c r="BC2" s="96" t="s">
        <v>384</v>
      </c>
      <c r="BD2" s="96" t="s">
        <v>386</v>
      </c>
      <c r="BE2" s="96" t="s">
        <v>387</v>
      </c>
      <c r="BF2" s="96" t="s">
        <v>388</v>
      </c>
      <c r="BG2" s="96" t="s">
        <v>389</v>
      </c>
      <c r="BH2" s="96" t="s">
        <v>692</v>
      </c>
      <c r="BI2" s="96" t="s">
        <v>739</v>
      </c>
      <c r="BJ2" s="96" t="s">
        <v>385</v>
      </c>
      <c r="BK2" s="96" t="s">
        <v>392</v>
      </c>
      <c r="BL2" s="96" t="s">
        <v>694</v>
      </c>
      <c r="BM2" s="96" t="s">
        <v>393</v>
      </c>
      <c r="BN2" s="96" t="s">
        <v>696</v>
      </c>
      <c r="BO2" s="29"/>
      <c r="BP2" s="29"/>
      <c r="BQ2" s="96" t="s">
        <v>748</v>
      </c>
      <c r="BR2" s="96" t="s">
        <v>749</v>
      </c>
      <c r="BS2" s="96" t="s">
        <v>750</v>
      </c>
      <c r="BT2" s="96" t="s">
        <v>751</v>
      </c>
      <c r="BU2" s="96" t="s">
        <v>396</v>
      </c>
      <c r="BV2" s="89"/>
      <c r="BW2" s="96" t="s">
        <v>402</v>
      </c>
      <c r="BX2" s="96" t="s">
        <v>403</v>
      </c>
      <c r="BY2" s="96" t="s">
        <v>719</v>
      </c>
      <c r="BZ2" s="96" t="s">
        <v>405</v>
      </c>
      <c r="CA2" s="96" t="s">
        <v>406</v>
      </c>
      <c r="CB2" s="96" t="s">
        <v>407</v>
      </c>
      <c r="CC2" s="96" t="s">
        <v>408</v>
      </c>
      <c r="CD2" s="96" t="s">
        <v>409</v>
      </c>
      <c r="CE2" s="96" t="s">
        <v>410</v>
      </c>
      <c r="CF2" s="96" t="s">
        <v>411</v>
      </c>
      <c r="CG2" s="96" t="s">
        <v>412</v>
      </c>
      <c r="CH2" s="96" t="s">
        <v>413</v>
      </c>
      <c r="CI2" s="96" t="s">
        <v>414</v>
      </c>
      <c r="CJ2" s="81"/>
      <c r="CK2" s="96" t="s">
        <v>415</v>
      </c>
      <c r="CL2" s="96" t="s">
        <v>720</v>
      </c>
      <c r="CM2" s="96" t="s">
        <v>417</v>
      </c>
      <c r="CN2" s="96" t="s">
        <v>721</v>
      </c>
      <c r="CO2" s="96" t="s">
        <v>419</v>
      </c>
      <c r="CP2" s="96" t="s">
        <v>420</v>
      </c>
      <c r="CQ2" s="96" t="s">
        <v>421</v>
      </c>
      <c r="CR2" s="96" t="s">
        <v>422</v>
      </c>
      <c r="CS2" s="96" t="s">
        <v>423</v>
      </c>
      <c r="CT2" s="28"/>
      <c r="CU2" s="96" t="s">
        <v>424</v>
      </c>
      <c r="CV2" s="96" t="s">
        <v>425</v>
      </c>
      <c r="CW2" s="89"/>
      <c r="CX2" s="96" t="s">
        <v>426</v>
      </c>
      <c r="CY2" s="96" t="s">
        <v>427</v>
      </c>
      <c r="CZ2" s="89"/>
      <c r="DA2" s="96" t="s">
        <v>428</v>
      </c>
      <c r="DB2" s="96" t="s">
        <v>429</v>
      </c>
      <c r="DC2" s="96" t="s">
        <v>430</v>
      </c>
      <c r="DD2" s="96" t="s">
        <v>431</v>
      </c>
      <c r="DE2" s="96" t="s">
        <v>432</v>
      </c>
      <c r="DF2" s="96" t="s">
        <v>433</v>
      </c>
      <c r="DG2" s="96" t="s">
        <v>434</v>
      </c>
      <c r="DH2" s="96" t="s">
        <v>435</v>
      </c>
      <c r="DI2" s="96" t="s">
        <v>436</v>
      </c>
      <c r="DJ2" s="96" t="s">
        <v>437</v>
      </c>
      <c r="DK2" s="96" t="s">
        <v>438</v>
      </c>
      <c r="DL2" s="96" t="s">
        <v>439</v>
      </c>
      <c r="DM2" s="96" t="s">
        <v>440</v>
      </c>
      <c r="DN2" s="96" t="s">
        <v>441</v>
      </c>
      <c r="DO2" s="96" t="s">
        <v>442</v>
      </c>
      <c r="DP2" s="96" t="s">
        <v>443</v>
      </c>
      <c r="DQ2" s="96" t="s">
        <v>444</v>
      </c>
      <c r="DR2" s="96" t="s">
        <v>445</v>
      </c>
      <c r="DS2" s="96" t="s">
        <v>446</v>
      </c>
      <c r="DT2" s="96" t="s">
        <v>447</v>
      </c>
      <c r="DU2" s="96" t="s">
        <v>448</v>
      </c>
      <c r="DV2" s="89"/>
      <c r="DW2" s="96" t="s">
        <v>449</v>
      </c>
      <c r="DX2" s="173" t="s">
        <v>450</v>
      </c>
      <c r="DY2" s="96" t="s">
        <v>451</v>
      </c>
      <c r="DZ2" s="96" t="s">
        <v>452</v>
      </c>
      <c r="EA2" s="96" t="s">
        <v>453</v>
      </c>
      <c r="EB2" s="96" t="s">
        <v>454</v>
      </c>
      <c r="EC2" s="96" t="s">
        <v>455</v>
      </c>
      <c r="ED2" s="96" t="s">
        <v>456</v>
      </c>
      <c r="EE2" s="89"/>
      <c r="EF2" s="96" t="s">
        <v>457</v>
      </c>
      <c r="EG2" s="96" t="s">
        <v>458</v>
      </c>
      <c r="EH2" s="96" t="s">
        <v>459</v>
      </c>
      <c r="EI2" s="96" t="s">
        <v>460</v>
      </c>
      <c r="EJ2" s="96" t="s">
        <v>461</v>
      </c>
      <c r="EK2" s="89"/>
      <c r="EL2" s="89"/>
      <c r="EM2" s="97" t="s">
        <v>699</v>
      </c>
      <c r="EN2" s="96" t="s">
        <v>464</v>
      </c>
      <c r="EO2" s="96" t="s">
        <v>465</v>
      </c>
      <c r="EP2" s="89"/>
      <c r="EQ2" s="96" t="s">
        <v>466</v>
      </c>
      <c r="ER2" s="96" t="s">
        <v>467</v>
      </c>
      <c r="ES2" s="96" t="s">
        <v>468</v>
      </c>
      <c r="ET2" s="96" t="s">
        <v>469</v>
      </c>
      <c r="EU2" s="96" t="s">
        <v>470</v>
      </c>
      <c r="EV2" s="96" t="s">
        <v>471</v>
      </c>
      <c r="EW2" s="28"/>
      <c r="EX2" s="96" t="s">
        <v>472</v>
      </c>
      <c r="EY2" s="96" t="s">
        <v>473</v>
      </c>
      <c r="EZ2" s="96" t="s">
        <v>474</v>
      </c>
      <c r="FA2" s="96" t="s">
        <v>475</v>
      </c>
      <c r="FB2" s="96" t="s">
        <v>476</v>
      </c>
      <c r="FC2" s="96" t="s">
        <v>477</v>
      </c>
      <c r="FD2" s="96" t="s">
        <v>478</v>
      </c>
      <c r="FE2" s="96" t="s">
        <v>479</v>
      </c>
      <c r="FF2" s="96" t="s">
        <v>480</v>
      </c>
      <c r="FG2" s="89"/>
      <c r="FH2" s="96" t="s">
        <v>481</v>
      </c>
      <c r="FI2" s="89"/>
      <c r="FJ2" s="80" t="s">
        <v>482</v>
      </c>
      <c r="FK2" s="172" t="s">
        <v>483</v>
      </c>
      <c r="FL2" s="172" t="s">
        <v>484</v>
      </c>
      <c r="FM2" s="172" t="s">
        <v>485</v>
      </c>
      <c r="FN2" s="80" t="s">
        <v>700</v>
      </c>
      <c r="FO2" s="564" t="s">
        <v>701</v>
      </c>
      <c r="FP2" s="561"/>
      <c r="FQ2" s="561"/>
      <c r="FR2" s="561"/>
      <c r="FS2" s="561"/>
      <c r="FT2" s="561"/>
      <c r="FU2" s="561"/>
      <c r="FV2" s="89"/>
      <c r="FW2" s="96" t="s">
        <v>752</v>
      </c>
      <c r="FX2" s="89"/>
      <c r="FY2" s="96" t="s">
        <v>490</v>
      </c>
      <c r="FZ2" s="96" t="s">
        <v>491</v>
      </c>
      <c r="GA2" s="96" t="s">
        <v>492</v>
      </c>
      <c r="GB2" s="96" t="s">
        <v>493</v>
      </c>
      <c r="GC2" s="96" t="s">
        <v>494</v>
      </c>
      <c r="GD2" s="46" t="s">
        <v>745</v>
      </c>
      <c r="GE2" s="89"/>
      <c r="GF2" s="85" t="s">
        <v>703</v>
      </c>
      <c r="GG2" s="85"/>
      <c r="GH2" s="85"/>
      <c r="GI2" s="86" t="s">
        <v>753</v>
      </c>
      <c r="GJ2" s="46" t="s">
        <v>736</v>
      </c>
      <c r="GK2" s="46"/>
      <c r="GL2" s="46"/>
      <c r="GM2" s="46"/>
      <c r="GN2" s="46"/>
      <c r="GO2" s="46"/>
      <c r="GP2" s="46"/>
      <c r="GQ2" s="46"/>
      <c r="GR2" s="46"/>
      <c r="GS2" s="46"/>
      <c r="GT2" s="46"/>
    </row>
    <row r="3" spans="2:230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92" t="s">
        <v>159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V3" s="89"/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82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E3" s="89"/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K3" s="89"/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48" t="s">
        <v>517</v>
      </c>
      <c r="FJ3" s="48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P3" s="89"/>
      <c r="FQ3" s="89"/>
      <c r="FR3" s="89"/>
      <c r="FS3" s="89"/>
      <c r="FT3" s="89"/>
      <c r="FU3" s="89"/>
      <c r="FV3" s="30" t="s">
        <v>529</v>
      </c>
      <c r="FW3" s="30" t="s">
        <v>308</v>
      </c>
      <c r="FX3" s="48" t="s">
        <v>530</v>
      </c>
      <c r="FY3" s="30" t="s">
        <v>312</v>
      </c>
      <c r="FZ3" s="89"/>
      <c r="GA3" s="89"/>
      <c r="GB3" s="89"/>
      <c r="GC3" s="89"/>
      <c r="GD3" s="30" t="s">
        <v>531</v>
      </c>
      <c r="GE3" s="48" t="s">
        <v>530</v>
      </c>
      <c r="GF3" s="30" t="s">
        <v>532</v>
      </c>
      <c r="GG3" s="89"/>
      <c r="GH3" s="89"/>
      <c r="GI3" s="30" t="s">
        <v>706</v>
      </c>
      <c r="GJ3" s="89" t="s">
        <v>534</v>
      </c>
      <c r="GM3" s="89" t="s">
        <v>535</v>
      </c>
      <c r="GP3" s="89" t="s">
        <v>529</v>
      </c>
      <c r="GS3" s="89" t="s">
        <v>536</v>
      </c>
    </row>
    <row r="4" spans="2:230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 t="s">
        <v>554</v>
      </c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 t="s">
        <v>565</v>
      </c>
      <c r="BS4" s="31"/>
      <c r="BT4" s="30" t="s">
        <v>193</v>
      </c>
      <c r="BU4" s="30"/>
      <c r="BV4" s="89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570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82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 t="s">
        <v>589</v>
      </c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E4" s="89"/>
      <c r="EF4" s="89"/>
      <c r="EG4" s="89"/>
      <c r="EH4" s="89"/>
      <c r="EI4" s="89"/>
      <c r="EJ4" s="89"/>
      <c r="EK4" s="89"/>
      <c r="EL4" s="29" t="s">
        <v>758</v>
      </c>
      <c r="EM4" s="32" t="s">
        <v>759</v>
      </c>
      <c r="EN4" s="30"/>
      <c r="EO4" s="30"/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48" t="s">
        <v>596</v>
      </c>
      <c r="FJ4" s="48" t="s">
        <v>597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W4" s="89"/>
      <c r="FX4" s="48" t="s">
        <v>601</v>
      </c>
      <c r="FY4" s="89"/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48" t="s">
        <v>601</v>
      </c>
      <c r="GF4" s="30" t="s">
        <v>604</v>
      </c>
      <c r="GG4" s="30" t="s">
        <v>605</v>
      </c>
      <c r="GH4" s="30" t="s">
        <v>606</v>
      </c>
      <c r="GI4" s="30" t="s">
        <v>755</v>
      </c>
      <c r="GJ4" s="30" t="s">
        <v>608</v>
      </c>
      <c r="GK4" s="89" t="s">
        <v>609</v>
      </c>
      <c r="GL4" s="89" t="s">
        <v>610</v>
      </c>
      <c r="GM4" s="89" t="s">
        <v>608</v>
      </c>
      <c r="GN4" s="89" t="s">
        <v>609</v>
      </c>
      <c r="GO4" s="89" t="s">
        <v>610</v>
      </c>
      <c r="GP4" s="89" t="s">
        <v>596</v>
      </c>
      <c r="GQ4" s="89" t="s">
        <v>609</v>
      </c>
      <c r="GR4" s="89" t="s">
        <v>610</v>
      </c>
      <c r="GS4" s="89" t="s">
        <v>611</v>
      </c>
      <c r="GT4" s="89" t="s">
        <v>609</v>
      </c>
    </row>
    <row r="5" spans="2:230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620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47" t="s">
        <v>624</v>
      </c>
      <c r="BS5" s="30" t="s">
        <v>625</v>
      </c>
      <c r="BT5" s="30"/>
      <c r="BU5" s="30"/>
      <c r="BV5" s="89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82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635</v>
      </c>
      <c r="DX5" s="48"/>
      <c r="DY5" s="30"/>
      <c r="DZ5" s="30"/>
      <c r="EA5" s="79" t="s">
        <v>756</v>
      </c>
      <c r="EB5" s="30"/>
      <c r="EC5" s="30"/>
      <c r="ED5" s="30"/>
      <c r="EE5" s="89"/>
      <c r="EF5" s="89"/>
      <c r="EG5" s="89"/>
      <c r="EH5" s="89"/>
      <c r="EI5" s="89"/>
      <c r="EJ5" s="89"/>
      <c r="EK5" s="89"/>
      <c r="EL5" s="89" t="s">
        <v>760</v>
      </c>
      <c r="EM5" s="89" t="s">
        <v>637</v>
      </c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30" t="s">
        <v>595</v>
      </c>
      <c r="EZ5" s="30" t="s">
        <v>595</v>
      </c>
      <c r="FA5" s="89"/>
      <c r="FB5" s="89"/>
      <c r="FC5" s="89"/>
      <c r="FD5" s="89"/>
      <c r="FE5" s="89"/>
      <c r="FF5" s="89"/>
      <c r="FG5" s="89"/>
      <c r="FH5" s="89"/>
      <c r="FI5" s="51" t="s">
        <v>638</v>
      </c>
      <c r="FJ5" s="51"/>
      <c r="FK5" s="30" t="s">
        <v>639</v>
      </c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30" t="s">
        <v>600</v>
      </c>
      <c r="FW5" s="89"/>
      <c r="FX5" s="51" t="s">
        <v>638</v>
      </c>
      <c r="FY5" s="89"/>
      <c r="FZ5" s="89"/>
      <c r="GA5" s="89"/>
      <c r="GB5" s="89"/>
      <c r="GC5" s="89"/>
      <c r="GD5" s="89"/>
      <c r="GE5" s="51" t="s">
        <v>641</v>
      </c>
      <c r="GF5" s="70"/>
      <c r="GG5" s="89"/>
      <c r="GH5" s="89"/>
      <c r="GI5" s="89" t="s">
        <v>642</v>
      </c>
      <c r="GJ5" s="89"/>
      <c r="GK5" s="43" t="s">
        <v>643</v>
      </c>
      <c r="GL5" s="30" t="s">
        <v>644</v>
      </c>
      <c r="GM5" s="89"/>
      <c r="GN5" s="43" t="s">
        <v>643</v>
      </c>
      <c r="GO5" s="30" t="s">
        <v>644</v>
      </c>
      <c r="GP5" s="89"/>
      <c r="GQ5" s="43" t="s">
        <v>643</v>
      </c>
      <c r="GR5" s="30" t="s">
        <v>644</v>
      </c>
      <c r="GT5" s="43" t="s">
        <v>643</v>
      </c>
      <c r="GV5" s="89" t="s">
        <v>645</v>
      </c>
    </row>
    <row r="6" spans="2:230" s="89" customFormat="1" x14ac:dyDescent="0.15">
      <c r="B6" s="72" t="s">
        <v>1</v>
      </c>
      <c r="C6" s="102">
        <v>660087637</v>
      </c>
      <c r="D6" s="73">
        <f t="shared" ref="D6:D52" si="0">E6+F6</f>
        <v>142222528</v>
      </c>
      <c r="E6" s="102">
        <v>4105449</v>
      </c>
      <c r="F6" s="102">
        <v>138117079</v>
      </c>
      <c r="G6" s="73">
        <f t="shared" ref="G6:G52" si="1">H6+I6</f>
        <v>131859177</v>
      </c>
      <c r="H6" s="102">
        <v>17925075</v>
      </c>
      <c r="I6" s="102">
        <v>113934102</v>
      </c>
      <c r="J6" s="102">
        <v>271533345</v>
      </c>
      <c r="K6" s="102">
        <v>104113481</v>
      </c>
      <c r="L6" s="102">
        <v>131473250</v>
      </c>
      <c r="M6" s="102">
        <v>35204974</v>
      </c>
      <c r="N6" s="102">
        <v>31224569</v>
      </c>
      <c r="O6" s="102">
        <v>55103109</v>
      </c>
      <c r="P6" s="102">
        <v>26227527</v>
      </c>
      <c r="Q6" s="102">
        <v>28875582</v>
      </c>
      <c r="R6" s="102">
        <v>6193356</v>
      </c>
      <c r="S6" s="74"/>
      <c r="T6" s="73">
        <f t="shared" ref="T6:T52" si="2">SUM(U6:AA6)</f>
        <v>75579914</v>
      </c>
      <c r="U6" s="102">
        <v>1190809</v>
      </c>
      <c r="V6" s="102">
        <v>2803830</v>
      </c>
      <c r="W6" s="102">
        <v>3083617</v>
      </c>
      <c r="X6" s="102">
        <v>66272638</v>
      </c>
      <c r="Y6" s="102">
        <v>0</v>
      </c>
      <c r="Z6" s="102">
        <v>0</v>
      </c>
      <c r="AA6" s="102">
        <v>2229020</v>
      </c>
      <c r="AB6" s="102">
        <v>1622042</v>
      </c>
      <c r="AC6" s="102">
        <v>41890872</v>
      </c>
      <c r="AD6" s="102">
        <v>40766698</v>
      </c>
      <c r="AE6" s="102">
        <v>1124062</v>
      </c>
      <c r="AF6" s="102">
        <v>877472</v>
      </c>
      <c r="AG6" s="102">
        <v>8147405</v>
      </c>
      <c r="AH6" s="73">
        <f t="shared" ref="AH6:AH52" si="3">AI6+AJ6</f>
        <v>65131170</v>
      </c>
      <c r="AI6" s="102">
        <v>57227334</v>
      </c>
      <c r="AJ6" s="102">
        <v>7903836</v>
      </c>
      <c r="AK6" s="102">
        <v>357597485</v>
      </c>
      <c r="AL6" s="73">
        <f t="shared" ref="AL6:AL52" si="4">SUM(AM6:AP6)</f>
        <v>280407608</v>
      </c>
      <c r="AM6" s="102">
        <v>217270201</v>
      </c>
      <c r="AN6" s="102">
        <v>28270644</v>
      </c>
      <c r="AO6" s="74"/>
      <c r="AP6" s="102">
        <v>34866763</v>
      </c>
      <c r="AQ6" s="102">
        <v>15287504</v>
      </c>
      <c r="AR6" s="102">
        <v>0</v>
      </c>
      <c r="AS6" s="102">
        <v>0</v>
      </c>
      <c r="AT6" s="102">
        <v>66127301</v>
      </c>
      <c r="AU6" s="102">
        <v>38038674</v>
      </c>
      <c r="AV6" s="102">
        <v>0</v>
      </c>
      <c r="AW6" s="102">
        <v>2131557</v>
      </c>
      <c r="AX6" s="102">
        <v>28088627</v>
      </c>
      <c r="AY6" s="102">
        <v>45914</v>
      </c>
      <c r="AZ6" s="102">
        <v>52057817</v>
      </c>
      <c r="BA6" s="102">
        <v>39413370</v>
      </c>
      <c r="BB6" s="102">
        <v>800071</v>
      </c>
      <c r="BC6" s="102">
        <v>17898144</v>
      </c>
      <c r="BD6" s="102">
        <v>601128</v>
      </c>
      <c r="BE6" s="102">
        <v>3702556</v>
      </c>
      <c r="BF6" s="102">
        <v>6758926</v>
      </c>
      <c r="BG6" s="102">
        <v>0</v>
      </c>
      <c r="BH6" s="102">
        <v>5315180</v>
      </c>
      <c r="BI6" s="102">
        <v>433836</v>
      </c>
      <c r="BJ6" s="102">
        <v>159032314</v>
      </c>
      <c r="BK6" s="102">
        <v>92969484</v>
      </c>
      <c r="BL6" s="102">
        <v>354344</v>
      </c>
      <c r="BM6" s="102">
        <v>12130040</v>
      </c>
      <c r="BN6" s="102">
        <v>101857000</v>
      </c>
      <c r="BO6" s="73">
        <f t="shared" ref="BO6:BO52" si="5">BN6-BP6-BT6</f>
        <v>33460000</v>
      </c>
      <c r="BP6" s="73">
        <f t="shared" ref="BP6:BP52" si="6">BQ6+BR6+BS6</f>
        <v>68397000</v>
      </c>
      <c r="BQ6" s="102">
        <v>0</v>
      </c>
      <c r="BR6" s="76">
        <v>0</v>
      </c>
      <c r="BS6" s="102">
        <v>68397000</v>
      </c>
      <c r="BT6" s="102">
        <v>0</v>
      </c>
      <c r="BU6" s="102">
        <v>1631983048</v>
      </c>
      <c r="BV6" s="71"/>
      <c r="BW6" s="102">
        <v>203645317</v>
      </c>
      <c r="BX6" s="102">
        <v>146648466</v>
      </c>
      <c r="BY6" s="102">
        <v>17262196</v>
      </c>
      <c r="BZ6" s="102">
        <v>8138406</v>
      </c>
      <c r="CA6" s="102">
        <v>528188076</v>
      </c>
      <c r="CB6" s="102">
        <v>83210437</v>
      </c>
      <c r="CC6" s="102">
        <v>7560733</v>
      </c>
      <c r="CD6" s="102">
        <v>131072795</v>
      </c>
      <c r="CE6" s="102">
        <v>290782166</v>
      </c>
      <c r="CF6" s="102">
        <v>9764011</v>
      </c>
      <c r="CG6" s="102">
        <v>5797934</v>
      </c>
      <c r="CH6" s="102">
        <v>278423189</v>
      </c>
      <c r="CI6" s="102">
        <v>241729277</v>
      </c>
      <c r="CJ6" s="83">
        <v>47623386</v>
      </c>
      <c r="CK6" s="102">
        <v>112684569</v>
      </c>
      <c r="CL6" s="102">
        <v>70040565</v>
      </c>
      <c r="CM6" s="102">
        <v>1820281</v>
      </c>
      <c r="CN6" s="102">
        <v>25518180</v>
      </c>
      <c r="CO6" s="102">
        <v>15156198</v>
      </c>
      <c r="CP6" s="102">
        <v>125259218</v>
      </c>
      <c r="CQ6" s="102">
        <v>9061423</v>
      </c>
      <c r="CR6" s="102">
        <v>45664343</v>
      </c>
      <c r="CS6" s="102">
        <v>37846381</v>
      </c>
      <c r="CT6" s="73">
        <f t="shared" ref="CT6:CT52" si="7">CU6+CV6</f>
        <v>45349577</v>
      </c>
      <c r="CU6" s="102">
        <v>256251</v>
      </c>
      <c r="CV6" s="102">
        <v>45093326</v>
      </c>
      <c r="CW6" s="73">
        <f t="shared" ref="CW6:CW52" si="8">CX6+CY6</f>
        <v>0</v>
      </c>
      <c r="CX6" s="102">
        <v>0</v>
      </c>
      <c r="CY6" s="102">
        <v>0</v>
      </c>
      <c r="CZ6" s="73">
        <f t="shared" ref="CZ6:CZ52" si="9">DA6+DB6</f>
        <v>31008688</v>
      </c>
      <c r="DA6" s="102">
        <v>0</v>
      </c>
      <c r="DB6" s="102">
        <v>31008688</v>
      </c>
      <c r="DC6" s="102">
        <v>100878895</v>
      </c>
      <c r="DD6" s="102">
        <v>51484181</v>
      </c>
      <c r="DE6" s="102">
        <v>45378347</v>
      </c>
      <c r="DF6" s="102">
        <v>0</v>
      </c>
      <c r="DG6" s="102">
        <v>354344</v>
      </c>
      <c r="DH6" s="102">
        <v>0</v>
      </c>
      <c r="DI6" s="102">
        <v>12409142</v>
      </c>
      <c r="DJ6" s="102">
        <v>6749227</v>
      </c>
      <c r="DK6" s="102">
        <v>2556</v>
      </c>
      <c r="DL6" s="102">
        <v>5657359</v>
      </c>
      <c r="DM6" s="102">
        <v>5053762</v>
      </c>
      <c r="DN6" s="102">
        <v>2876462</v>
      </c>
      <c r="DO6" s="102">
        <v>0</v>
      </c>
      <c r="DP6" s="102">
        <v>0</v>
      </c>
      <c r="DQ6" s="102">
        <v>94817527</v>
      </c>
      <c r="DR6" s="102">
        <v>0</v>
      </c>
      <c r="DS6" s="102">
        <v>0</v>
      </c>
      <c r="DT6" s="102">
        <v>153556870</v>
      </c>
      <c r="DU6" s="102">
        <v>0</v>
      </c>
      <c r="DV6" s="73">
        <f t="shared" ref="DV6:DV52" si="10">DW6</f>
        <v>17528512</v>
      </c>
      <c r="DW6" s="102">
        <v>17528512</v>
      </c>
      <c r="DX6" s="102">
        <v>34221643</v>
      </c>
      <c r="DY6" s="102">
        <v>0</v>
      </c>
      <c r="DZ6" s="102">
        <v>44135170</v>
      </c>
      <c r="EA6" s="74">
        <v>0</v>
      </c>
      <c r="EB6" s="102">
        <v>35138123</v>
      </c>
      <c r="EC6" s="102">
        <v>0</v>
      </c>
      <c r="ED6" s="102">
        <v>1630072763</v>
      </c>
      <c r="EE6" s="71"/>
      <c r="EF6" s="102">
        <v>1910285</v>
      </c>
      <c r="EG6" s="102">
        <v>1509576</v>
      </c>
      <c r="EH6" s="102">
        <v>400709</v>
      </c>
      <c r="EI6" s="102">
        <v>-33127</v>
      </c>
      <c r="EJ6" s="102">
        <v>6114972</v>
      </c>
      <c r="EK6" s="71"/>
      <c r="EL6" s="102">
        <v>2691185</v>
      </c>
      <c r="EM6" s="102">
        <v>2681555</v>
      </c>
      <c r="EN6" s="102">
        <v>4309436</v>
      </c>
      <c r="EO6" s="102">
        <v>38060583</v>
      </c>
      <c r="EP6" s="73">
        <f t="shared" ref="EP6:EP52" si="11">EQ6-ER6-C6-R6-T6-AB6-AC6-BP6-EN6-EO6</f>
        <v>47995391</v>
      </c>
      <c r="EQ6" s="102">
        <v>798019161</v>
      </c>
      <c r="ER6" s="71">
        <v>-146117070</v>
      </c>
      <c r="ES6" s="102">
        <v>177313861</v>
      </c>
      <c r="ET6" s="102">
        <v>127695575</v>
      </c>
      <c r="EU6" s="102">
        <v>154979578</v>
      </c>
      <c r="EV6" s="102">
        <v>245885379</v>
      </c>
      <c r="EW6" s="73">
        <f t="shared" ref="EW6:EW52" si="12">EX6+FA6+FB6</f>
        <v>35336141</v>
      </c>
      <c r="EX6" s="102">
        <v>35336141</v>
      </c>
      <c r="EY6" s="102">
        <v>9443775</v>
      </c>
      <c r="EZ6" s="102">
        <v>25554343</v>
      </c>
      <c r="FA6" s="102">
        <v>0</v>
      </c>
      <c r="FB6" s="102">
        <v>0</v>
      </c>
      <c r="FC6" s="102">
        <v>70948657</v>
      </c>
      <c r="FD6" s="102">
        <v>106856217</v>
      </c>
      <c r="FE6" s="102">
        <v>6098773</v>
      </c>
      <c r="FF6" s="102">
        <v>129497994</v>
      </c>
      <c r="FG6" s="73">
        <f t="shared" ref="FG6:FG52" si="13">FH6-ES6-EU6-EV6-EW6-FC6-FD6-FF6</f>
        <v>21408119</v>
      </c>
      <c r="FH6" s="102">
        <v>942225946</v>
      </c>
      <c r="FI6" s="379">
        <f t="shared" ref="FI6:FI52" si="14">ROUND(EH6/(FJ6+FK6)*100,1)</f>
        <v>0.1</v>
      </c>
      <c r="FJ6" s="102">
        <v>698208810</v>
      </c>
      <c r="FK6" s="102">
        <v>68397416</v>
      </c>
      <c r="FL6" s="102">
        <v>504472312</v>
      </c>
      <c r="FM6" s="102">
        <v>543866930</v>
      </c>
      <c r="FN6" s="151">
        <v>0.92300000000000004</v>
      </c>
      <c r="FO6" s="424">
        <v>97.6</v>
      </c>
      <c r="FP6" s="151">
        <v>21.5</v>
      </c>
      <c r="FQ6" s="424">
        <v>18.8</v>
      </c>
      <c r="FR6" s="424">
        <v>29.9</v>
      </c>
      <c r="FS6" s="151">
        <v>8.1</v>
      </c>
      <c r="FT6" s="424">
        <v>9.1</v>
      </c>
      <c r="FU6" s="426">
        <v>9</v>
      </c>
      <c r="FV6" s="384">
        <v>9.1999999999999993</v>
      </c>
      <c r="FW6" s="102">
        <v>2327170042</v>
      </c>
      <c r="FX6" s="384">
        <f t="shared" ref="FX6:FX52" si="15">ROUND(FW6/(FJ6+FK6)*100,1)</f>
        <v>303.60000000000002</v>
      </c>
      <c r="FY6" s="102">
        <v>204998169</v>
      </c>
      <c r="FZ6" s="102">
        <v>167945395</v>
      </c>
      <c r="GA6" s="102">
        <v>0</v>
      </c>
      <c r="GB6" s="102">
        <v>37052774</v>
      </c>
      <c r="GC6" s="102">
        <v>0</v>
      </c>
      <c r="GD6" s="427"/>
      <c r="GE6" s="386"/>
      <c r="GF6" s="424">
        <v>99.3</v>
      </c>
      <c r="GG6" s="424">
        <v>25.4</v>
      </c>
      <c r="GH6" s="424">
        <v>97.6</v>
      </c>
      <c r="GI6" s="102"/>
      <c r="GJ6" s="123" t="s">
        <v>646</v>
      </c>
      <c r="GK6" s="151">
        <v>11.25</v>
      </c>
      <c r="GL6" s="87">
        <v>20</v>
      </c>
      <c r="GM6" s="123" t="s">
        <v>646</v>
      </c>
      <c r="GN6" s="151">
        <v>16.25</v>
      </c>
      <c r="GO6" s="430">
        <v>30</v>
      </c>
      <c r="GP6" s="424">
        <v>9.1999999999999993</v>
      </c>
      <c r="GQ6" s="425">
        <v>25</v>
      </c>
      <c r="GR6" s="425">
        <v>35</v>
      </c>
      <c r="GS6" s="151">
        <v>117.1</v>
      </c>
      <c r="GT6" s="424">
        <v>400</v>
      </c>
      <c r="GV6" s="100">
        <f t="shared" ref="GV6:GV52" si="16">ROUND((FJ6+FK6)/1000,0)</f>
        <v>766606</v>
      </c>
    </row>
    <row r="7" spans="2:230" s="89" customFormat="1" x14ac:dyDescent="0.15">
      <c r="B7" s="72" t="s">
        <v>3</v>
      </c>
      <c r="C7" s="102">
        <v>132632327</v>
      </c>
      <c r="D7" s="73">
        <f t="shared" si="0"/>
        <v>43712723</v>
      </c>
      <c r="E7" s="102">
        <v>1268029</v>
      </c>
      <c r="F7" s="102">
        <v>42444694</v>
      </c>
      <c r="G7" s="73">
        <f t="shared" si="1"/>
        <v>11186952</v>
      </c>
      <c r="H7" s="102">
        <v>2209222</v>
      </c>
      <c r="I7" s="102">
        <v>8977730</v>
      </c>
      <c r="J7" s="102">
        <v>55751530</v>
      </c>
      <c r="K7" s="102">
        <v>22570780</v>
      </c>
      <c r="L7" s="102">
        <v>21585931</v>
      </c>
      <c r="M7" s="102">
        <v>10650685</v>
      </c>
      <c r="N7" s="102">
        <v>6212016</v>
      </c>
      <c r="O7" s="102">
        <v>10230022</v>
      </c>
      <c r="P7" s="102">
        <v>5784228</v>
      </c>
      <c r="Q7" s="102">
        <v>4445794</v>
      </c>
      <c r="R7" s="102">
        <v>2161416</v>
      </c>
      <c r="S7" s="74"/>
      <c r="T7" s="73">
        <f t="shared" si="2"/>
        <v>19219168</v>
      </c>
      <c r="U7" s="102">
        <v>375790</v>
      </c>
      <c r="V7" s="102">
        <v>883795</v>
      </c>
      <c r="W7" s="102">
        <v>971104</v>
      </c>
      <c r="X7" s="102">
        <v>16126091</v>
      </c>
      <c r="Y7" s="102">
        <v>144087</v>
      </c>
      <c r="Z7" s="102">
        <v>0</v>
      </c>
      <c r="AA7" s="102">
        <v>718301</v>
      </c>
      <c r="AB7" s="102">
        <v>592772</v>
      </c>
      <c r="AC7" s="102">
        <v>20854186</v>
      </c>
      <c r="AD7" s="102">
        <v>19846156</v>
      </c>
      <c r="AE7" s="102">
        <v>1008030</v>
      </c>
      <c r="AF7" s="102">
        <v>316372</v>
      </c>
      <c r="AG7" s="102">
        <v>3573579</v>
      </c>
      <c r="AH7" s="73">
        <f t="shared" si="3"/>
        <v>5894610</v>
      </c>
      <c r="AI7" s="102">
        <v>3841800</v>
      </c>
      <c r="AJ7" s="102">
        <v>2052810</v>
      </c>
      <c r="AK7" s="102">
        <v>86500440</v>
      </c>
      <c r="AL7" s="73">
        <f t="shared" si="4"/>
        <v>52080109</v>
      </c>
      <c r="AM7" s="102">
        <v>35325377</v>
      </c>
      <c r="AN7" s="102">
        <v>7403275</v>
      </c>
      <c r="AO7" s="74"/>
      <c r="AP7" s="102">
        <v>9351457</v>
      </c>
      <c r="AQ7" s="102">
        <v>1073567</v>
      </c>
      <c r="AR7" s="102">
        <v>0</v>
      </c>
      <c r="AS7" s="102">
        <v>9698</v>
      </c>
      <c r="AT7" s="102">
        <v>20735129</v>
      </c>
      <c r="AU7" s="102">
        <v>11335691</v>
      </c>
      <c r="AV7" s="102">
        <v>0</v>
      </c>
      <c r="AW7" s="102">
        <v>634187</v>
      </c>
      <c r="AX7" s="102">
        <v>9399438</v>
      </c>
      <c r="AY7" s="102">
        <v>424664</v>
      </c>
      <c r="AZ7" s="102">
        <v>1815950</v>
      </c>
      <c r="BA7" s="102">
        <v>1212797</v>
      </c>
      <c r="BB7" s="102">
        <v>154347</v>
      </c>
      <c r="BC7" s="102">
        <v>1825895</v>
      </c>
      <c r="BD7" s="102">
        <v>0</v>
      </c>
      <c r="BE7" s="102">
        <v>1331770</v>
      </c>
      <c r="BF7" s="102">
        <v>493808</v>
      </c>
      <c r="BG7" s="102">
        <v>0</v>
      </c>
      <c r="BH7" s="102">
        <v>2837378</v>
      </c>
      <c r="BI7" s="102">
        <v>1740192</v>
      </c>
      <c r="BJ7" s="102">
        <v>18758717</v>
      </c>
      <c r="BK7" s="102">
        <v>5453064</v>
      </c>
      <c r="BL7" s="102">
        <v>7315</v>
      </c>
      <c r="BM7" s="102">
        <v>2100669</v>
      </c>
      <c r="BN7" s="102">
        <v>39093400</v>
      </c>
      <c r="BO7" s="73">
        <f t="shared" si="5"/>
        <v>17235400</v>
      </c>
      <c r="BP7" s="73">
        <f t="shared" si="6"/>
        <v>21858000</v>
      </c>
      <c r="BQ7" s="102">
        <v>0</v>
      </c>
      <c r="BR7" s="76">
        <v>0</v>
      </c>
      <c r="BS7" s="102">
        <v>21858000</v>
      </c>
      <c r="BT7" s="102">
        <v>0</v>
      </c>
      <c r="BU7" s="102">
        <v>362838817</v>
      </c>
      <c r="BV7" s="71"/>
      <c r="BW7" s="102">
        <v>50933777</v>
      </c>
      <c r="BX7" s="102">
        <v>34330499</v>
      </c>
      <c r="BY7" s="102">
        <v>5559559</v>
      </c>
      <c r="BZ7" s="102">
        <v>2725684</v>
      </c>
      <c r="CA7" s="102">
        <v>115621456</v>
      </c>
      <c r="CB7" s="102">
        <v>23087514</v>
      </c>
      <c r="CC7" s="102">
        <v>2123388</v>
      </c>
      <c r="CD7" s="102">
        <v>40255625</v>
      </c>
      <c r="CE7" s="102">
        <v>47102841</v>
      </c>
      <c r="CF7" s="102">
        <v>2343288</v>
      </c>
      <c r="CG7" s="102">
        <v>708759</v>
      </c>
      <c r="CH7" s="102">
        <v>34819445</v>
      </c>
      <c r="CI7" s="102">
        <v>29692620</v>
      </c>
      <c r="CJ7" s="83">
        <v>4923724</v>
      </c>
      <c r="CK7" s="102">
        <v>42733500</v>
      </c>
      <c r="CL7" s="102">
        <v>28396519</v>
      </c>
      <c r="CM7" s="102">
        <v>2124802</v>
      </c>
      <c r="CN7" s="102">
        <v>6826485</v>
      </c>
      <c r="CO7" s="102">
        <v>1805732</v>
      </c>
      <c r="CP7" s="102">
        <v>26638929</v>
      </c>
      <c r="CQ7" s="102">
        <v>33727</v>
      </c>
      <c r="CR7" s="102">
        <v>7994008</v>
      </c>
      <c r="CS7" s="102">
        <v>4051064</v>
      </c>
      <c r="CT7" s="73">
        <f t="shared" si="7"/>
        <v>8834787</v>
      </c>
      <c r="CU7" s="102">
        <v>7077139</v>
      </c>
      <c r="CV7" s="102">
        <v>1757648</v>
      </c>
      <c r="CW7" s="73">
        <f t="shared" si="8"/>
        <v>0</v>
      </c>
      <c r="CX7" s="102">
        <v>0</v>
      </c>
      <c r="CY7" s="102">
        <v>0</v>
      </c>
      <c r="CZ7" s="73">
        <f t="shared" si="9"/>
        <v>8702034</v>
      </c>
      <c r="DA7" s="102">
        <v>6960289</v>
      </c>
      <c r="DB7" s="102">
        <v>1741745</v>
      </c>
      <c r="DC7" s="102">
        <v>43647433</v>
      </c>
      <c r="DD7" s="102">
        <v>23461600</v>
      </c>
      <c r="DE7" s="102">
        <v>20176980</v>
      </c>
      <c r="DF7" s="102">
        <v>132</v>
      </c>
      <c r="DG7" s="102">
        <v>8721</v>
      </c>
      <c r="DH7" s="102">
        <v>0</v>
      </c>
      <c r="DI7" s="102">
        <v>8979148</v>
      </c>
      <c r="DJ7" s="102">
        <v>4000</v>
      </c>
      <c r="DK7" s="102">
        <v>2051351</v>
      </c>
      <c r="DL7" s="102">
        <v>6923797</v>
      </c>
      <c r="DM7" s="102">
        <v>1833000</v>
      </c>
      <c r="DN7" s="102">
        <v>0</v>
      </c>
      <c r="DO7" s="102">
        <v>0</v>
      </c>
      <c r="DP7" s="102">
        <v>0</v>
      </c>
      <c r="DQ7" s="102">
        <v>2461221</v>
      </c>
      <c r="DR7" s="102">
        <v>0</v>
      </c>
      <c r="DS7" s="102">
        <v>0</v>
      </c>
      <c r="DT7" s="102">
        <v>30121819</v>
      </c>
      <c r="DU7" s="102">
        <v>0</v>
      </c>
      <c r="DV7" s="73">
        <f t="shared" si="10"/>
        <v>0</v>
      </c>
      <c r="DW7" s="102">
        <v>0</v>
      </c>
      <c r="DX7" s="102">
        <v>10274072</v>
      </c>
      <c r="DY7" s="102">
        <v>0</v>
      </c>
      <c r="DZ7" s="102">
        <v>9761550</v>
      </c>
      <c r="EA7" s="74">
        <v>0</v>
      </c>
      <c r="EB7" s="102">
        <v>9999881</v>
      </c>
      <c r="EC7" s="102">
        <v>0</v>
      </c>
      <c r="ED7" s="102">
        <v>359595460</v>
      </c>
      <c r="EE7" s="71"/>
      <c r="EF7" s="102">
        <v>3243357</v>
      </c>
      <c r="EG7" s="102">
        <v>1131770</v>
      </c>
      <c r="EH7" s="102">
        <v>2111587</v>
      </c>
      <c r="EI7" s="102">
        <v>371395</v>
      </c>
      <c r="EJ7" s="102">
        <v>1707173</v>
      </c>
      <c r="EK7" s="71"/>
      <c r="EL7" s="102">
        <v>839310</v>
      </c>
      <c r="EM7" s="102">
        <v>845960</v>
      </c>
      <c r="EN7" s="102">
        <v>1331770</v>
      </c>
      <c r="EO7" s="102">
        <v>576334</v>
      </c>
      <c r="EP7" s="73">
        <f t="shared" si="11"/>
        <v>15114524</v>
      </c>
      <c r="EQ7" s="102">
        <v>181649372</v>
      </c>
      <c r="ER7" s="71">
        <v>-32691125</v>
      </c>
      <c r="ES7" s="102">
        <v>46733060</v>
      </c>
      <c r="ET7" s="102">
        <v>30782983</v>
      </c>
      <c r="EU7" s="102">
        <v>34647622</v>
      </c>
      <c r="EV7" s="102">
        <v>34591665</v>
      </c>
      <c r="EW7" s="73">
        <f t="shared" si="12"/>
        <v>10967088</v>
      </c>
      <c r="EX7" s="102">
        <v>10967088</v>
      </c>
      <c r="EY7" s="102">
        <v>976032</v>
      </c>
      <c r="EZ7" s="102">
        <v>9989509</v>
      </c>
      <c r="FA7" s="102">
        <v>0</v>
      </c>
      <c r="FB7" s="102">
        <v>0</v>
      </c>
      <c r="FC7" s="102">
        <v>35024216</v>
      </c>
      <c r="FD7" s="102">
        <v>23689954</v>
      </c>
      <c r="FE7" s="102">
        <v>33727</v>
      </c>
      <c r="FF7" s="102">
        <v>23952619</v>
      </c>
      <c r="FG7" s="73">
        <f t="shared" si="13"/>
        <v>1609346</v>
      </c>
      <c r="FH7" s="102">
        <v>211215570</v>
      </c>
      <c r="FI7" s="379">
        <f t="shared" si="14"/>
        <v>1.1000000000000001</v>
      </c>
      <c r="FJ7" s="102">
        <v>165623359</v>
      </c>
      <c r="FK7" s="102">
        <v>21858087</v>
      </c>
      <c r="FL7" s="102">
        <v>113152158</v>
      </c>
      <c r="FM7" s="102">
        <v>132895564</v>
      </c>
      <c r="FN7" s="151">
        <v>0.84399999999999997</v>
      </c>
      <c r="FO7" s="424">
        <v>96.9</v>
      </c>
      <c r="FP7" s="453">
        <v>24</v>
      </c>
      <c r="FQ7" s="424">
        <v>17.8</v>
      </c>
      <c r="FR7" s="424">
        <v>17.100000000000001</v>
      </c>
      <c r="FS7" s="151">
        <v>16.2</v>
      </c>
      <c r="FT7" s="424">
        <v>9.1999999999999993</v>
      </c>
      <c r="FU7" s="426">
        <v>12</v>
      </c>
      <c r="FV7" s="384">
        <v>5.5</v>
      </c>
      <c r="FW7" s="102">
        <v>395079176</v>
      </c>
      <c r="FX7" s="384">
        <f t="shared" si="15"/>
        <v>210.7</v>
      </c>
      <c r="FY7" s="102">
        <v>46507379</v>
      </c>
      <c r="FZ7" s="102">
        <v>1813000</v>
      </c>
      <c r="GA7" s="102">
        <v>4960240</v>
      </c>
      <c r="GB7" s="102">
        <v>39734139</v>
      </c>
      <c r="GC7" s="102">
        <v>0</v>
      </c>
      <c r="GD7" s="427"/>
      <c r="GE7" s="386"/>
      <c r="GF7" s="424">
        <v>99.1</v>
      </c>
      <c r="GG7" s="424">
        <v>33</v>
      </c>
      <c r="GH7" s="424">
        <v>96.7</v>
      </c>
      <c r="GI7" s="102"/>
      <c r="GJ7" s="123" t="s">
        <v>646</v>
      </c>
      <c r="GK7" s="151">
        <v>11.25</v>
      </c>
      <c r="GL7" s="87">
        <v>20</v>
      </c>
      <c r="GM7" s="123" t="s">
        <v>646</v>
      </c>
      <c r="GN7" s="151">
        <v>16.25</v>
      </c>
      <c r="GO7" s="430">
        <v>30</v>
      </c>
      <c r="GP7" s="424">
        <v>5.5</v>
      </c>
      <c r="GQ7" s="425">
        <v>25</v>
      </c>
      <c r="GR7" s="425">
        <v>35</v>
      </c>
      <c r="GS7" s="151">
        <v>15.6</v>
      </c>
      <c r="GT7" s="424">
        <v>400</v>
      </c>
      <c r="GV7" s="100">
        <f t="shared" si="16"/>
        <v>187481</v>
      </c>
    </row>
    <row r="8" spans="2:230" x14ac:dyDescent="0.15">
      <c r="B8" s="89" t="s">
        <v>5</v>
      </c>
      <c r="C8" s="102">
        <v>24265341</v>
      </c>
      <c r="D8" s="73">
        <f t="shared" si="0"/>
        <v>8814935</v>
      </c>
      <c r="E8" s="102">
        <v>291043</v>
      </c>
      <c r="F8" s="102">
        <v>8523892</v>
      </c>
      <c r="G8" s="73">
        <f t="shared" si="1"/>
        <v>1645569</v>
      </c>
      <c r="H8" s="102">
        <v>429699</v>
      </c>
      <c r="I8" s="102">
        <v>1215870</v>
      </c>
      <c r="J8" s="102">
        <v>9981957</v>
      </c>
      <c r="K8" s="102">
        <v>4104995</v>
      </c>
      <c r="L8" s="102">
        <v>4111528</v>
      </c>
      <c r="M8" s="102">
        <v>1490036</v>
      </c>
      <c r="N8" s="102">
        <v>1560585</v>
      </c>
      <c r="O8" s="102">
        <v>1940389</v>
      </c>
      <c r="P8" s="102">
        <v>1097193</v>
      </c>
      <c r="Q8" s="102">
        <v>843196</v>
      </c>
      <c r="R8" s="102">
        <v>342939</v>
      </c>
      <c r="S8" s="74"/>
      <c r="T8" s="73">
        <f t="shared" si="2"/>
        <v>4386901</v>
      </c>
      <c r="U8" s="102">
        <v>76294</v>
      </c>
      <c r="V8" s="102">
        <v>179448</v>
      </c>
      <c r="W8" s="102">
        <v>197191</v>
      </c>
      <c r="X8" s="102">
        <v>3765401</v>
      </c>
      <c r="Y8" s="102">
        <v>45259</v>
      </c>
      <c r="Z8" s="102">
        <v>0</v>
      </c>
      <c r="AA8" s="102">
        <v>123308</v>
      </c>
      <c r="AB8" s="102">
        <v>131723</v>
      </c>
      <c r="AC8" s="102">
        <v>13948162</v>
      </c>
      <c r="AD8" s="102">
        <v>13683284</v>
      </c>
      <c r="AE8" s="102">
        <v>264877</v>
      </c>
      <c r="AF8" s="102">
        <v>38227</v>
      </c>
      <c r="AG8" s="102">
        <v>568339</v>
      </c>
      <c r="AH8" s="73">
        <f t="shared" si="3"/>
        <v>1351420</v>
      </c>
      <c r="AI8" s="102">
        <v>1005017</v>
      </c>
      <c r="AJ8" s="102">
        <v>346403</v>
      </c>
      <c r="AK8" s="102">
        <v>16596212</v>
      </c>
      <c r="AL8" s="73">
        <f t="shared" si="4"/>
        <v>10731100</v>
      </c>
      <c r="AM8" s="102">
        <v>8006151</v>
      </c>
      <c r="AN8" s="102">
        <v>1182998</v>
      </c>
      <c r="AO8" s="74"/>
      <c r="AP8" s="102">
        <v>1541951</v>
      </c>
      <c r="AQ8" s="102">
        <v>439772</v>
      </c>
      <c r="AR8" s="102">
        <v>0</v>
      </c>
      <c r="AS8" s="102">
        <v>0</v>
      </c>
      <c r="AT8" s="102">
        <v>5571381</v>
      </c>
      <c r="AU8" s="102">
        <v>3626409</v>
      </c>
      <c r="AV8" s="102">
        <v>595597</v>
      </c>
      <c r="AW8" s="102">
        <v>266520</v>
      </c>
      <c r="AX8" s="102">
        <v>1944972</v>
      </c>
      <c r="AY8" s="102">
        <v>522384</v>
      </c>
      <c r="AZ8" s="102">
        <v>672155</v>
      </c>
      <c r="BA8" s="102">
        <v>499621</v>
      </c>
      <c r="BB8" s="102">
        <v>392760</v>
      </c>
      <c r="BC8" s="102">
        <v>243692</v>
      </c>
      <c r="BD8" s="102">
        <v>0</v>
      </c>
      <c r="BE8" s="102">
        <v>0</v>
      </c>
      <c r="BF8" s="102">
        <v>63559</v>
      </c>
      <c r="BG8" s="102">
        <v>0</v>
      </c>
      <c r="BH8" s="102">
        <v>619165</v>
      </c>
      <c r="BI8" s="102">
        <v>12958</v>
      </c>
      <c r="BJ8" s="102">
        <v>1183023</v>
      </c>
      <c r="BK8" s="102">
        <v>0</v>
      </c>
      <c r="BL8" s="102">
        <v>0</v>
      </c>
      <c r="BM8" s="102">
        <v>319014</v>
      </c>
      <c r="BN8" s="102">
        <v>5871800</v>
      </c>
      <c r="BO8" s="73">
        <f t="shared" si="5"/>
        <v>2526000</v>
      </c>
      <c r="BP8" s="73">
        <f t="shared" si="6"/>
        <v>3345800</v>
      </c>
      <c r="BQ8" s="102">
        <v>0</v>
      </c>
      <c r="BR8" s="102">
        <v>0</v>
      </c>
      <c r="BS8" s="102">
        <v>3345800</v>
      </c>
      <c r="BT8" s="102">
        <v>0</v>
      </c>
      <c r="BU8" s="102">
        <v>76183240</v>
      </c>
      <c r="BV8" s="71"/>
      <c r="BW8" s="102">
        <v>12147701</v>
      </c>
      <c r="BX8" s="102">
        <v>8092489</v>
      </c>
      <c r="BY8" s="102">
        <v>1205736</v>
      </c>
      <c r="BZ8" s="102">
        <v>658295</v>
      </c>
      <c r="CA8" s="102">
        <v>24662458</v>
      </c>
      <c r="CB8" s="102">
        <v>4238253</v>
      </c>
      <c r="CC8" s="102">
        <v>382472</v>
      </c>
      <c r="CD8" s="102">
        <v>8950601</v>
      </c>
      <c r="CE8" s="102">
        <v>10534555</v>
      </c>
      <c r="CF8" s="102">
        <v>9993</v>
      </c>
      <c r="CG8" s="102">
        <v>545884</v>
      </c>
      <c r="CH8" s="102">
        <v>9251887</v>
      </c>
      <c r="CI8" s="102">
        <v>8203152</v>
      </c>
      <c r="CJ8" s="83">
        <f t="shared" ref="CJ8:CJ52" si="17">IF(CI8="","",CH8-CI8)</f>
        <v>1048735</v>
      </c>
      <c r="CK8" s="102">
        <v>7437772</v>
      </c>
      <c r="CL8" s="102">
        <v>4551481</v>
      </c>
      <c r="CM8" s="102">
        <v>500585</v>
      </c>
      <c r="CN8" s="102">
        <v>908451</v>
      </c>
      <c r="CO8" s="102">
        <v>572931</v>
      </c>
      <c r="CP8" s="102">
        <v>7895703</v>
      </c>
      <c r="CQ8" s="102">
        <v>1952929</v>
      </c>
      <c r="CR8" s="102">
        <v>785242</v>
      </c>
      <c r="CS8" s="102">
        <v>694455</v>
      </c>
      <c r="CT8" s="73">
        <f t="shared" si="7"/>
        <v>3718384</v>
      </c>
      <c r="CU8" s="102">
        <v>2473110</v>
      </c>
      <c r="CV8" s="102">
        <v>1245274</v>
      </c>
      <c r="CW8" s="73">
        <f t="shared" si="8"/>
        <v>1300000</v>
      </c>
      <c r="CX8" s="102">
        <v>1243386</v>
      </c>
      <c r="CY8" s="102">
        <v>56614</v>
      </c>
      <c r="CZ8" s="73">
        <f t="shared" si="9"/>
        <v>2380253</v>
      </c>
      <c r="DA8" s="102">
        <v>1195082</v>
      </c>
      <c r="DB8" s="102">
        <v>1185171</v>
      </c>
      <c r="DC8" s="102">
        <v>5468755</v>
      </c>
      <c r="DD8" s="102">
        <v>3354682</v>
      </c>
      <c r="DE8" s="102">
        <v>2057440</v>
      </c>
      <c r="DF8" s="102">
        <v>56633</v>
      </c>
      <c r="DG8" s="102">
        <v>0</v>
      </c>
      <c r="DH8" s="102">
        <v>24869</v>
      </c>
      <c r="DI8" s="102">
        <v>546363</v>
      </c>
      <c r="DJ8" s="102">
        <v>310094</v>
      </c>
      <c r="DK8" s="102">
        <v>547</v>
      </c>
      <c r="DL8" s="102">
        <v>235722</v>
      </c>
      <c r="DM8" s="102">
        <v>681367</v>
      </c>
      <c r="DN8" s="102">
        <v>681367</v>
      </c>
      <c r="DO8" s="102">
        <v>93584</v>
      </c>
      <c r="DP8" s="102">
        <v>100000</v>
      </c>
      <c r="DQ8" s="102">
        <v>0</v>
      </c>
      <c r="DR8" s="102">
        <v>0</v>
      </c>
      <c r="DS8" s="102">
        <v>0</v>
      </c>
      <c r="DT8" s="102">
        <v>7098839</v>
      </c>
      <c r="DU8" s="102">
        <v>0</v>
      </c>
      <c r="DV8" s="73">
        <f t="shared" si="10"/>
        <v>0</v>
      </c>
      <c r="DW8" s="102">
        <v>0</v>
      </c>
      <c r="DX8" s="102">
        <v>2543556</v>
      </c>
      <c r="DY8" s="102">
        <v>0</v>
      </c>
      <c r="DZ8" s="102">
        <v>2357170</v>
      </c>
      <c r="EA8" s="74">
        <v>0</v>
      </c>
      <c r="EB8" s="102">
        <v>2198113</v>
      </c>
      <c r="EC8" s="102">
        <v>0</v>
      </c>
      <c r="ED8" s="102">
        <v>75788645</v>
      </c>
      <c r="EE8" s="71"/>
      <c r="EF8" s="102">
        <v>394595</v>
      </c>
      <c r="EG8" s="102">
        <v>65121</v>
      </c>
      <c r="EH8" s="102">
        <v>329474</v>
      </c>
      <c r="EI8" s="102">
        <v>256516</v>
      </c>
      <c r="EJ8" s="102">
        <v>566610</v>
      </c>
      <c r="EK8" s="71"/>
      <c r="EL8" s="102">
        <v>194911</v>
      </c>
      <c r="EM8" s="102">
        <v>199214</v>
      </c>
      <c r="EN8" s="102">
        <v>33984</v>
      </c>
      <c r="EO8" s="102">
        <v>667811</v>
      </c>
      <c r="EP8" s="73">
        <f t="shared" si="11"/>
        <v>1527798</v>
      </c>
      <c r="EQ8" s="102">
        <v>43113293</v>
      </c>
      <c r="ER8" s="71">
        <v>-5537166</v>
      </c>
      <c r="ES8" s="102">
        <v>11239751</v>
      </c>
      <c r="ET8" s="102">
        <v>7223545</v>
      </c>
      <c r="EU8" s="102">
        <v>7163418</v>
      </c>
      <c r="EV8" s="102">
        <v>9191389</v>
      </c>
      <c r="EW8" s="73">
        <f t="shared" si="12"/>
        <v>707295</v>
      </c>
      <c r="EX8" s="102">
        <v>707214</v>
      </c>
      <c r="EY8" s="102">
        <v>176250</v>
      </c>
      <c r="EZ8" s="102">
        <v>488495</v>
      </c>
      <c r="FA8" s="102">
        <v>81</v>
      </c>
      <c r="FB8" s="102">
        <v>0</v>
      </c>
      <c r="FC8" s="102">
        <v>5990209</v>
      </c>
      <c r="FD8" s="102">
        <v>7067207</v>
      </c>
      <c r="FE8" s="102">
        <v>1952929</v>
      </c>
      <c r="FF8" s="102">
        <v>5438021</v>
      </c>
      <c r="FG8" s="73">
        <f t="shared" si="13"/>
        <v>1458574</v>
      </c>
      <c r="FH8" s="102">
        <v>48255864</v>
      </c>
      <c r="FI8" s="379">
        <f t="shared" si="14"/>
        <v>0.8</v>
      </c>
      <c r="FJ8" s="102">
        <v>39775368</v>
      </c>
      <c r="FK8" s="102">
        <v>3345971</v>
      </c>
      <c r="FL8" s="102">
        <v>20464614</v>
      </c>
      <c r="FM8" s="102">
        <v>34140548</v>
      </c>
      <c r="FN8" s="428">
        <v>0.59</v>
      </c>
      <c r="FO8" s="424">
        <v>98.5</v>
      </c>
      <c r="FP8" s="425">
        <v>24.6</v>
      </c>
      <c r="FQ8" s="424">
        <v>16</v>
      </c>
      <c r="FR8" s="424">
        <v>20.6</v>
      </c>
      <c r="FS8" s="425">
        <v>12.3</v>
      </c>
      <c r="FT8" s="424">
        <v>12.5</v>
      </c>
      <c r="FU8" s="425">
        <v>11.2</v>
      </c>
      <c r="FV8" s="384">
        <v>12.4</v>
      </c>
      <c r="FW8" s="102">
        <v>74855876</v>
      </c>
      <c r="FX8" s="384">
        <f t="shared" si="15"/>
        <v>173.6</v>
      </c>
      <c r="FY8" s="102">
        <v>6921888</v>
      </c>
      <c r="FZ8" s="102">
        <v>3147872</v>
      </c>
      <c r="GA8" s="102">
        <v>739920</v>
      </c>
      <c r="GB8" s="102">
        <v>3034096</v>
      </c>
      <c r="GC8" s="102">
        <v>0</v>
      </c>
      <c r="GD8" s="427"/>
      <c r="GE8" s="386"/>
      <c r="GF8" s="424">
        <v>99.1</v>
      </c>
      <c r="GG8" s="424">
        <v>35.799999999999997</v>
      </c>
      <c r="GH8" s="424">
        <v>97</v>
      </c>
      <c r="GI8" s="102">
        <v>1289</v>
      </c>
      <c r="GJ8" s="429" t="s">
        <v>646</v>
      </c>
      <c r="GK8" s="429">
        <v>11.38</v>
      </c>
      <c r="GL8" s="87">
        <v>20</v>
      </c>
      <c r="GM8" s="429" t="s">
        <v>646</v>
      </c>
      <c r="GN8" s="430">
        <v>16.38</v>
      </c>
      <c r="GO8" s="430">
        <v>30</v>
      </c>
      <c r="GP8" s="425">
        <v>12.4</v>
      </c>
      <c r="GQ8" s="425">
        <v>25</v>
      </c>
      <c r="GR8" s="425">
        <v>35</v>
      </c>
      <c r="GS8" s="431">
        <v>60.5</v>
      </c>
      <c r="GT8" s="425">
        <v>350</v>
      </c>
      <c r="GU8" s="394"/>
      <c r="GV8" s="100">
        <f t="shared" si="16"/>
        <v>43121</v>
      </c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</row>
    <row r="9" spans="2:230" x14ac:dyDescent="0.15">
      <c r="B9" s="89" t="s">
        <v>7</v>
      </c>
      <c r="C9" s="102">
        <v>67004888</v>
      </c>
      <c r="D9" s="73">
        <f t="shared" si="0"/>
        <v>28446617</v>
      </c>
      <c r="E9" s="102">
        <v>627949</v>
      </c>
      <c r="F9" s="102">
        <v>27818668</v>
      </c>
      <c r="G9" s="73">
        <f t="shared" si="1"/>
        <v>4813913</v>
      </c>
      <c r="H9" s="102">
        <v>1091306</v>
      </c>
      <c r="I9" s="102">
        <v>3722607</v>
      </c>
      <c r="J9" s="102">
        <v>24250258</v>
      </c>
      <c r="K9" s="102">
        <v>9974162</v>
      </c>
      <c r="L9" s="102">
        <v>11347986</v>
      </c>
      <c r="M9" s="102">
        <v>2704175</v>
      </c>
      <c r="N9" s="102">
        <v>2605944</v>
      </c>
      <c r="O9" s="102">
        <v>5652302</v>
      </c>
      <c r="P9" s="102">
        <v>3106469</v>
      </c>
      <c r="Q9" s="102">
        <v>2545833</v>
      </c>
      <c r="R9" s="102">
        <v>2701549</v>
      </c>
      <c r="S9" s="74"/>
      <c r="T9" s="73">
        <f t="shared" si="2"/>
        <v>8929114</v>
      </c>
      <c r="U9" s="102">
        <v>241941</v>
      </c>
      <c r="V9" s="102">
        <v>569713</v>
      </c>
      <c r="W9" s="102">
        <v>626607</v>
      </c>
      <c r="X9" s="102">
        <v>7274970</v>
      </c>
      <c r="Y9" s="102">
        <v>0</v>
      </c>
      <c r="Z9" s="102">
        <v>0</v>
      </c>
      <c r="AA9" s="102">
        <v>215883</v>
      </c>
      <c r="AB9" s="102">
        <v>236968</v>
      </c>
      <c r="AC9" s="102">
        <v>5738994</v>
      </c>
      <c r="AD9" s="102">
        <v>5161323</v>
      </c>
      <c r="AE9" s="102">
        <v>577669</v>
      </c>
      <c r="AF9" s="102">
        <v>50874</v>
      </c>
      <c r="AG9" s="102">
        <v>1573392</v>
      </c>
      <c r="AH9" s="73">
        <f t="shared" si="3"/>
        <v>2520991</v>
      </c>
      <c r="AI9" s="102">
        <v>2234771</v>
      </c>
      <c r="AJ9" s="102">
        <v>286220</v>
      </c>
      <c r="AK9" s="102">
        <v>29265728</v>
      </c>
      <c r="AL9" s="73">
        <f t="shared" si="4"/>
        <v>18901131</v>
      </c>
      <c r="AM9" s="102">
        <v>14026763</v>
      </c>
      <c r="AN9" s="102">
        <v>1489728</v>
      </c>
      <c r="AO9" s="74"/>
      <c r="AP9" s="102">
        <v>3384640</v>
      </c>
      <c r="AQ9" s="102">
        <v>1280095</v>
      </c>
      <c r="AR9" s="102">
        <v>0</v>
      </c>
      <c r="AS9" s="102">
        <v>0</v>
      </c>
      <c r="AT9" s="102">
        <v>8896466</v>
      </c>
      <c r="AU9" s="102">
        <v>5328308</v>
      </c>
      <c r="AV9" s="102">
        <v>0</v>
      </c>
      <c r="AW9" s="102">
        <v>422671</v>
      </c>
      <c r="AX9" s="102">
        <v>3568158</v>
      </c>
      <c r="AY9" s="102">
        <v>85633</v>
      </c>
      <c r="AZ9" s="102">
        <v>142969</v>
      </c>
      <c r="BA9" s="102">
        <v>52991</v>
      </c>
      <c r="BB9" s="102">
        <v>79273</v>
      </c>
      <c r="BC9" s="102">
        <v>4521298</v>
      </c>
      <c r="BD9" s="102">
        <v>37467</v>
      </c>
      <c r="BE9" s="102">
        <v>915786</v>
      </c>
      <c r="BF9" s="102">
        <v>3495804</v>
      </c>
      <c r="BG9" s="102">
        <v>0</v>
      </c>
      <c r="BH9" s="102">
        <v>3441016</v>
      </c>
      <c r="BI9" s="102">
        <v>1395831</v>
      </c>
      <c r="BJ9" s="102">
        <v>2916456</v>
      </c>
      <c r="BK9" s="102">
        <v>433818</v>
      </c>
      <c r="BL9" s="102">
        <v>0</v>
      </c>
      <c r="BM9" s="102">
        <v>49646</v>
      </c>
      <c r="BN9" s="102">
        <v>8551650</v>
      </c>
      <c r="BO9" s="73">
        <f t="shared" si="5"/>
        <v>2567150</v>
      </c>
      <c r="BP9" s="73">
        <f t="shared" si="6"/>
        <v>5984500</v>
      </c>
      <c r="BQ9" s="102">
        <v>0</v>
      </c>
      <c r="BR9" s="102">
        <v>0</v>
      </c>
      <c r="BS9" s="102">
        <v>5984500</v>
      </c>
      <c r="BT9" s="102">
        <v>0</v>
      </c>
      <c r="BU9" s="102">
        <v>146571626</v>
      </c>
      <c r="BV9" s="71"/>
      <c r="BW9" s="102">
        <v>26646980</v>
      </c>
      <c r="BX9" s="102">
        <v>17507295</v>
      </c>
      <c r="BY9" s="102">
        <v>1493081</v>
      </c>
      <c r="BZ9" s="102">
        <v>3060235</v>
      </c>
      <c r="CA9" s="102">
        <v>43587966</v>
      </c>
      <c r="CB9" s="102">
        <v>8850573</v>
      </c>
      <c r="CC9" s="102">
        <v>744092</v>
      </c>
      <c r="CD9" s="102">
        <v>14934302</v>
      </c>
      <c r="CE9" s="102">
        <v>18429448</v>
      </c>
      <c r="CF9" s="102">
        <v>287463</v>
      </c>
      <c r="CG9" s="102">
        <v>341098</v>
      </c>
      <c r="CH9" s="102">
        <v>11843845</v>
      </c>
      <c r="CI9" s="102">
        <v>10820755</v>
      </c>
      <c r="CJ9" s="83">
        <f t="shared" si="17"/>
        <v>1023090</v>
      </c>
      <c r="CK9" s="102">
        <v>16742662</v>
      </c>
      <c r="CL9" s="102">
        <v>8737386</v>
      </c>
      <c r="CM9" s="102">
        <v>855958</v>
      </c>
      <c r="CN9" s="102">
        <v>4241409</v>
      </c>
      <c r="CO9" s="102">
        <v>787905</v>
      </c>
      <c r="CP9" s="102">
        <v>12543401</v>
      </c>
      <c r="CQ9" s="102">
        <v>1985386</v>
      </c>
      <c r="CR9" s="102">
        <v>2202798</v>
      </c>
      <c r="CS9" s="102">
        <v>1809151</v>
      </c>
      <c r="CT9" s="73">
        <f t="shared" si="7"/>
        <v>5193904</v>
      </c>
      <c r="CU9" s="102">
        <v>4660685</v>
      </c>
      <c r="CV9" s="102">
        <v>533219</v>
      </c>
      <c r="CW9" s="73">
        <f t="shared" si="8"/>
        <v>2129160</v>
      </c>
      <c r="CX9" s="102">
        <v>1785941</v>
      </c>
      <c r="CY9" s="102">
        <v>343219</v>
      </c>
      <c r="CZ9" s="73">
        <f t="shared" si="9"/>
        <v>2828097</v>
      </c>
      <c r="DA9" s="102">
        <v>2690341</v>
      </c>
      <c r="DB9" s="102">
        <v>137756</v>
      </c>
      <c r="DC9" s="102">
        <v>15349882</v>
      </c>
      <c r="DD9" s="102">
        <v>3803375</v>
      </c>
      <c r="DE9" s="102">
        <v>11546507</v>
      </c>
      <c r="DF9" s="102">
        <v>0</v>
      </c>
      <c r="DG9" s="102">
        <v>0</v>
      </c>
      <c r="DH9" s="102">
        <v>0</v>
      </c>
      <c r="DI9" s="102">
        <v>1533247</v>
      </c>
      <c r="DJ9" s="102">
        <v>1253490</v>
      </c>
      <c r="DK9" s="102">
        <v>5420</v>
      </c>
      <c r="DL9" s="102">
        <v>274337</v>
      </c>
      <c r="DM9" s="102">
        <v>0</v>
      </c>
      <c r="DN9" s="102">
        <v>0</v>
      </c>
      <c r="DO9" s="102">
        <v>0</v>
      </c>
      <c r="DP9" s="102">
        <v>0</v>
      </c>
      <c r="DQ9" s="102">
        <v>230486</v>
      </c>
      <c r="DR9" s="102">
        <v>0</v>
      </c>
      <c r="DS9" s="102">
        <v>0</v>
      </c>
      <c r="DT9" s="102">
        <v>13855590</v>
      </c>
      <c r="DU9" s="102">
        <v>0</v>
      </c>
      <c r="DV9" s="73">
        <f t="shared" si="10"/>
        <v>0</v>
      </c>
      <c r="DW9" s="102">
        <v>0</v>
      </c>
      <c r="DX9" s="102">
        <v>4338708</v>
      </c>
      <c r="DY9" s="102">
        <v>1836</v>
      </c>
      <c r="DZ9" s="102">
        <v>4806634</v>
      </c>
      <c r="EA9" s="74">
        <v>0</v>
      </c>
      <c r="EB9" s="102">
        <v>4302726</v>
      </c>
      <c r="EC9" s="102">
        <v>0</v>
      </c>
      <c r="ED9" s="102">
        <v>143121964</v>
      </c>
      <c r="EE9" s="71"/>
      <c r="EF9" s="102">
        <v>3449662</v>
      </c>
      <c r="EG9" s="102">
        <v>1448602</v>
      </c>
      <c r="EH9" s="102">
        <v>2001060</v>
      </c>
      <c r="EI9" s="102">
        <v>605229</v>
      </c>
      <c r="EJ9" s="102">
        <v>1821252</v>
      </c>
      <c r="EK9" s="71"/>
      <c r="EL9" s="102">
        <v>395479</v>
      </c>
      <c r="EM9" s="102">
        <v>403030</v>
      </c>
      <c r="EN9" s="102">
        <v>953253</v>
      </c>
      <c r="EO9" s="102">
        <v>128525</v>
      </c>
      <c r="EP9" s="73">
        <f t="shared" si="11"/>
        <v>4040012</v>
      </c>
      <c r="EQ9" s="102">
        <v>84662387</v>
      </c>
      <c r="ER9" s="71">
        <v>-11055416</v>
      </c>
      <c r="ES9" s="102">
        <v>24632165</v>
      </c>
      <c r="ET9" s="102">
        <v>16492969</v>
      </c>
      <c r="EU9" s="102">
        <v>12891496</v>
      </c>
      <c r="EV9" s="102">
        <v>11779611</v>
      </c>
      <c r="EW9" s="73">
        <f t="shared" si="12"/>
        <v>6598072</v>
      </c>
      <c r="EX9" s="102">
        <v>6598072</v>
      </c>
      <c r="EY9" s="102">
        <v>780715</v>
      </c>
      <c r="EZ9" s="102">
        <v>5817357</v>
      </c>
      <c r="FA9" s="102">
        <v>0</v>
      </c>
      <c r="FB9" s="102">
        <v>0</v>
      </c>
      <c r="FC9" s="102">
        <v>12270417</v>
      </c>
      <c r="FD9" s="102">
        <v>10541753</v>
      </c>
      <c r="FE9" s="102">
        <v>1641602</v>
      </c>
      <c r="FF9" s="102">
        <v>11270830</v>
      </c>
      <c r="FG9" s="73">
        <f t="shared" si="13"/>
        <v>2283797</v>
      </c>
      <c r="FH9" s="102">
        <v>92268141</v>
      </c>
      <c r="FI9" s="379">
        <f t="shared" si="14"/>
        <v>2.5</v>
      </c>
      <c r="FJ9" s="102">
        <v>75243119</v>
      </c>
      <c r="FK9" s="102">
        <v>5984553</v>
      </c>
      <c r="FL9" s="102">
        <v>54255126</v>
      </c>
      <c r="FM9" s="102">
        <v>59376576</v>
      </c>
      <c r="FN9" s="428">
        <v>0.90200000000000002</v>
      </c>
      <c r="FO9" s="424">
        <v>90.8</v>
      </c>
      <c r="FP9" s="425">
        <v>28.7</v>
      </c>
      <c r="FQ9" s="424">
        <v>15.1</v>
      </c>
      <c r="FR9" s="424">
        <v>13.8</v>
      </c>
      <c r="FS9" s="425">
        <v>12.8</v>
      </c>
      <c r="FT9" s="424">
        <v>8.9</v>
      </c>
      <c r="FU9" s="425">
        <v>10.8</v>
      </c>
      <c r="FV9" s="384">
        <v>7.4</v>
      </c>
      <c r="FW9" s="102">
        <v>89377547</v>
      </c>
      <c r="FX9" s="384">
        <f t="shared" si="15"/>
        <v>110</v>
      </c>
      <c r="FY9" s="102">
        <v>12993734</v>
      </c>
      <c r="FZ9" s="102">
        <v>4273680</v>
      </c>
      <c r="GA9" s="102">
        <v>2671940</v>
      </c>
      <c r="GB9" s="102">
        <v>6048114</v>
      </c>
      <c r="GC9" s="102">
        <v>0</v>
      </c>
      <c r="GD9" s="427"/>
      <c r="GE9" s="386"/>
      <c r="GF9" s="424">
        <v>98.8</v>
      </c>
      <c r="GG9" s="424">
        <v>25.1</v>
      </c>
      <c r="GH9" s="424">
        <v>95.2</v>
      </c>
      <c r="GI9" s="102">
        <v>2528</v>
      </c>
      <c r="GJ9" s="429" t="s">
        <v>646</v>
      </c>
      <c r="GK9" s="429">
        <v>11.25</v>
      </c>
      <c r="GL9" s="87">
        <v>20</v>
      </c>
      <c r="GM9" s="429" t="s">
        <v>646</v>
      </c>
      <c r="GN9" s="430">
        <v>16.25</v>
      </c>
      <c r="GO9" s="430">
        <v>30</v>
      </c>
      <c r="GP9" s="425">
        <v>7.4</v>
      </c>
      <c r="GQ9" s="425">
        <v>25</v>
      </c>
      <c r="GR9" s="425">
        <v>35</v>
      </c>
      <c r="GS9" s="431">
        <v>10.7</v>
      </c>
      <c r="GT9" s="425">
        <v>350</v>
      </c>
      <c r="GU9" s="394"/>
      <c r="GV9" s="100">
        <f t="shared" si="16"/>
        <v>81228</v>
      </c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</row>
    <row r="10" spans="2:230" x14ac:dyDescent="0.15">
      <c r="B10" s="89" t="s">
        <v>9</v>
      </c>
      <c r="C10" s="102">
        <v>16141688</v>
      </c>
      <c r="D10" s="73">
        <f t="shared" si="0"/>
        <v>6854250</v>
      </c>
      <c r="E10" s="102">
        <v>163976</v>
      </c>
      <c r="F10" s="102">
        <v>6690274</v>
      </c>
      <c r="G10" s="73">
        <f t="shared" si="1"/>
        <v>1042674</v>
      </c>
      <c r="H10" s="102">
        <v>282193</v>
      </c>
      <c r="I10" s="102">
        <v>760481</v>
      </c>
      <c r="J10" s="102">
        <v>6134948</v>
      </c>
      <c r="K10" s="102">
        <v>2726117</v>
      </c>
      <c r="L10" s="102">
        <v>2663322</v>
      </c>
      <c r="M10" s="102">
        <v>732244</v>
      </c>
      <c r="N10" s="102">
        <v>621116</v>
      </c>
      <c r="O10" s="102">
        <v>1398441</v>
      </c>
      <c r="P10" s="102">
        <v>828142</v>
      </c>
      <c r="Q10" s="102">
        <v>570299</v>
      </c>
      <c r="R10" s="102">
        <v>222986</v>
      </c>
      <c r="S10" s="74"/>
      <c r="T10" s="73">
        <f t="shared" si="2"/>
        <v>2527648</v>
      </c>
      <c r="U10" s="102">
        <v>58470</v>
      </c>
      <c r="V10" s="102">
        <v>137136</v>
      </c>
      <c r="W10" s="102">
        <v>150359</v>
      </c>
      <c r="X10" s="102">
        <v>2049668</v>
      </c>
      <c r="Y10" s="102">
        <v>70226</v>
      </c>
      <c r="Z10" s="102">
        <v>0</v>
      </c>
      <c r="AA10" s="102">
        <v>61789</v>
      </c>
      <c r="AB10" s="102">
        <v>62914</v>
      </c>
      <c r="AC10" s="102">
        <v>2787713</v>
      </c>
      <c r="AD10" s="102">
        <v>2214199</v>
      </c>
      <c r="AE10" s="102">
        <v>573513</v>
      </c>
      <c r="AF10" s="102">
        <v>15873</v>
      </c>
      <c r="AG10" s="102">
        <v>307963</v>
      </c>
      <c r="AH10" s="73">
        <f t="shared" si="3"/>
        <v>1148659</v>
      </c>
      <c r="AI10" s="102">
        <v>897950</v>
      </c>
      <c r="AJ10" s="102">
        <v>250709</v>
      </c>
      <c r="AK10" s="102">
        <v>5456554</v>
      </c>
      <c r="AL10" s="73">
        <f t="shared" si="4"/>
        <v>2475163</v>
      </c>
      <c r="AM10" s="102">
        <v>1348516</v>
      </c>
      <c r="AN10" s="102">
        <v>398345</v>
      </c>
      <c r="AO10" s="74"/>
      <c r="AP10" s="102">
        <v>728302</v>
      </c>
      <c r="AQ10" s="102">
        <v>801278</v>
      </c>
      <c r="AR10" s="102">
        <v>0</v>
      </c>
      <c r="AS10" s="102">
        <v>0</v>
      </c>
      <c r="AT10" s="102">
        <v>2227219</v>
      </c>
      <c r="AU10" s="102">
        <v>1145742</v>
      </c>
      <c r="AV10" s="102">
        <v>199172</v>
      </c>
      <c r="AW10" s="102">
        <v>645</v>
      </c>
      <c r="AX10" s="102">
        <v>1081477</v>
      </c>
      <c r="AY10" s="102">
        <v>20181</v>
      </c>
      <c r="AZ10" s="102">
        <v>47019</v>
      </c>
      <c r="BA10" s="102">
        <v>10542</v>
      </c>
      <c r="BB10" s="102">
        <v>124199</v>
      </c>
      <c r="BC10" s="102">
        <v>351628</v>
      </c>
      <c r="BD10" s="102">
        <v>200000</v>
      </c>
      <c r="BE10" s="102">
        <v>0</v>
      </c>
      <c r="BF10" s="102">
        <v>151628</v>
      </c>
      <c r="BG10" s="102">
        <v>0</v>
      </c>
      <c r="BH10" s="102">
        <v>155270</v>
      </c>
      <c r="BI10" s="102">
        <v>101208</v>
      </c>
      <c r="BJ10" s="102">
        <v>808256</v>
      </c>
      <c r="BK10" s="102">
        <v>133410</v>
      </c>
      <c r="BL10" s="102">
        <v>2504</v>
      </c>
      <c r="BM10" s="102">
        <v>33700</v>
      </c>
      <c r="BN10" s="102">
        <v>2468000</v>
      </c>
      <c r="BO10" s="73">
        <f t="shared" si="5"/>
        <v>822200</v>
      </c>
      <c r="BP10" s="73">
        <f t="shared" si="6"/>
        <v>1645800</v>
      </c>
      <c r="BQ10" s="102">
        <v>0</v>
      </c>
      <c r="BR10" s="102">
        <v>0</v>
      </c>
      <c r="BS10" s="102">
        <v>1645800</v>
      </c>
      <c r="BT10" s="102">
        <v>0</v>
      </c>
      <c r="BU10" s="102">
        <v>34853589</v>
      </c>
      <c r="BV10" s="71"/>
      <c r="BW10" s="102">
        <v>6463886</v>
      </c>
      <c r="BX10" s="102">
        <v>4348760</v>
      </c>
      <c r="BY10" s="102">
        <v>589511</v>
      </c>
      <c r="BZ10" s="102">
        <v>250121</v>
      </c>
      <c r="CA10" s="102">
        <v>7809847</v>
      </c>
      <c r="CB10" s="102">
        <v>1966611</v>
      </c>
      <c r="CC10" s="102">
        <v>135687</v>
      </c>
      <c r="CD10" s="102">
        <v>3997836</v>
      </c>
      <c r="CE10" s="102">
        <v>1579342</v>
      </c>
      <c r="CF10" s="102">
        <v>13545</v>
      </c>
      <c r="CG10" s="102">
        <v>115876</v>
      </c>
      <c r="CH10" s="102">
        <v>3475184</v>
      </c>
      <c r="CI10" s="102">
        <v>3040598</v>
      </c>
      <c r="CJ10" s="83">
        <f t="shared" si="17"/>
        <v>434586</v>
      </c>
      <c r="CK10" s="102">
        <v>5781236</v>
      </c>
      <c r="CL10" s="102">
        <v>3512664</v>
      </c>
      <c r="CM10" s="102">
        <v>555607</v>
      </c>
      <c r="CN10" s="102">
        <v>811630</v>
      </c>
      <c r="CO10" s="102">
        <v>385866</v>
      </c>
      <c r="CP10" s="102">
        <v>3189167</v>
      </c>
      <c r="CQ10" s="102">
        <v>1842</v>
      </c>
      <c r="CR10" s="102">
        <v>719040</v>
      </c>
      <c r="CS10" s="102">
        <v>533746</v>
      </c>
      <c r="CT10" s="73">
        <f t="shared" si="7"/>
        <v>1232586</v>
      </c>
      <c r="CU10" s="102">
        <v>1151399</v>
      </c>
      <c r="CV10" s="102">
        <v>81187</v>
      </c>
      <c r="CW10" s="73">
        <f t="shared" si="8"/>
        <v>494693</v>
      </c>
      <c r="CX10" s="102">
        <v>494693</v>
      </c>
      <c r="CY10" s="102">
        <v>0</v>
      </c>
      <c r="CZ10" s="73">
        <f t="shared" si="9"/>
        <v>735001</v>
      </c>
      <c r="DA10" s="102">
        <v>653814</v>
      </c>
      <c r="DB10" s="102">
        <v>81187</v>
      </c>
      <c r="DC10" s="102">
        <v>2920334</v>
      </c>
      <c r="DD10" s="102">
        <v>1577423</v>
      </c>
      <c r="DE10" s="102">
        <v>1316391</v>
      </c>
      <c r="DF10" s="102">
        <v>26520</v>
      </c>
      <c r="DG10" s="102">
        <v>0</v>
      </c>
      <c r="DH10" s="102">
        <v>0</v>
      </c>
      <c r="DI10" s="102">
        <v>59407</v>
      </c>
      <c r="DJ10" s="102">
        <v>5263</v>
      </c>
      <c r="DK10" s="102">
        <v>0</v>
      </c>
      <c r="DL10" s="102">
        <v>54144</v>
      </c>
      <c r="DM10" s="102">
        <v>648123</v>
      </c>
      <c r="DN10" s="102">
        <v>648123</v>
      </c>
      <c r="DO10" s="102">
        <v>0</v>
      </c>
      <c r="DP10" s="102">
        <v>635307</v>
      </c>
      <c r="DQ10" s="102">
        <v>133060</v>
      </c>
      <c r="DR10" s="102">
        <v>0</v>
      </c>
      <c r="DS10" s="102">
        <v>0</v>
      </c>
      <c r="DT10" s="102">
        <v>3555822</v>
      </c>
      <c r="DU10" s="102">
        <v>0</v>
      </c>
      <c r="DV10" s="73">
        <f t="shared" si="10"/>
        <v>0</v>
      </c>
      <c r="DW10" s="102">
        <v>0</v>
      </c>
      <c r="DX10" s="102">
        <v>1214440</v>
      </c>
      <c r="DY10" s="102">
        <v>8196</v>
      </c>
      <c r="DZ10" s="102">
        <v>1159159</v>
      </c>
      <c r="EA10" s="74">
        <v>0</v>
      </c>
      <c r="EB10" s="102">
        <v>1174027</v>
      </c>
      <c r="EC10" s="102">
        <v>0</v>
      </c>
      <c r="ED10" s="102">
        <v>34421932</v>
      </c>
      <c r="EE10" s="71"/>
      <c r="EF10" s="102">
        <v>431657</v>
      </c>
      <c r="EG10" s="102">
        <v>320437</v>
      </c>
      <c r="EH10" s="102">
        <v>111220</v>
      </c>
      <c r="EI10" s="102">
        <v>-109988</v>
      </c>
      <c r="EJ10" s="102">
        <v>-304725</v>
      </c>
      <c r="EK10" s="71"/>
      <c r="EL10" s="102">
        <v>103069</v>
      </c>
      <c r="EM10" s="102">
        <v>102671</v>
      </c>
      <c r="EN10" s="102">
        <v>200000</v>
      </c>
      <c r="EO10" s="102">
        <v>40137</v>
      </c>
      <c r="EP10" s="73">
        <f t="shared" si="11"/>
        <v>458573</v>
      </c>
      <c r="EQ10" s="102">
        <v>21758822</v>
      </c>
      <c r="ER10" s="71">
        <v>-2328637</v>
      </c>
      <c r="ES10" s="102">
        <v>6079884</v>
      </c>
      <c r="ET10" s="102">
        <v>4066483</v>
      </c>
      <c r="EU10" s="102">
        <v>2271080</v>
      </c>
      <c r="EV10" s="102">
        <v>3475184</v>
      </c>
      <c r="EW10" s="73">
        <f t="shared" si="12"/>
        <v>1023588</v>
      </c>
      <c r="EX10" s="102">
        <v>1023588</v>
      </c>
      <c r="EY10" s="102">
        <v>53121</v>
      </c>
      <c r="EZ10" s="102">
        <v>970467</v>
      </c>
      <c r="FA10" s="102">
        <v>0</v>
      </c>
      <c r="FB10" s="102">
        <v>0</v>
      </c>
      <c r="FC10" s="102">
        <v>4514355</v>
      </c>
      <c r="FD10" s="102">
        <v>2429735</v>
      </c>
      <c r="FE10" s="102">
        <v>1842</v>
      </c>
      <c r="FF10" s="102">
        <v>2889262</v>
      </c>
      <c r="FG10" s="73">
        <f t="shared" si="13"/>
        <v>972714</v>
      </c>
      <c r="FH10" s="102">
        <v>23655802</v>
      </c>
      <c r="FI10" s="379">
        <f t="shared" si="14"/>
        <v>0.5</v>
      </c>
      <c r="FJ10" s="102">
        <v>19116933</v>
      </c>
      <c r="FK10" s="102">
        <v>1645925</v>
      </c>
      <c r="FL10" s="102">
        <v>13092268</v>
      </c>
      <c r="FM10" s="102">
        <v>15306467</v>
      </c>
      <c r="FN10" s="428">
        <v>0.86499999999999999</v>
      </c>
      <c r="FO10" s="424">
        <v>93.9</v>
      </c>
      <c r="FP10" s="425">
        <v>26.8</v>
      </c>
      <c r="FQ10" s="424">
        <v>10.4</v>
      </c>
      <c r="FR10" s="424">
        <v>16.100000000000001</v>
      </c>
      <c r="FS10" s="425">
        <v>19.100000000000001</v>
      </c>
      <c r="FT10" s="424">
        <v>8.3000000000000007</v>
      </c>
      <c r="FU10" s="425">
        <v>11.8</v>
      </c>
      <c r="FV10" s="384">
        <v>4.4000000000000004</v>
      </c>
      <c r="FW10" s="102">
        <v>34560652</v>
      </c>
      <c r="FX10" s="384">
        <f t="shared" si="15"/>
        <v>166.5</v>
      </c>
      <c r="FY10" s="102">
        <v>6064339</v>
      </c>
      <c r="FZ10" s="102">
        <v>4434008</v>
      </c>
      <c r="GA10" s="102">
        <v>0</v>
      </c>
      <c r="GB10" s="102">
        <v>1630331</v>
      </c>
      <c r="GC10" s="102">
        <v>0</v>
      </c>
      <c r="GD10" s="427"/>
      <c r="GE10" s="386"/>
      <c r="GF10" s="424">
        <v>98.6</v>
      </c>
      <c r="GG10" s="424">
        <v>28.3</v>
      </c>
      <c r="GH10" s="424">
        <v>94.9</v>
      </c>
      <c r="GI10" s="102">
        <v>599</v>
      </c>
      <c r="GJ10" s="429" t="s">
        <v>646</v>
      </c>
      <c r="GK10" s="429">
        <v>12.42</v>
      </c>
      <c r="GL10" s="87">
        <v>20</v>
      </c>
      <c r="GM10" s="429" t="s">
        <v>646</v>
      </c>
      <c r="GN10" s="430">
        <v>17.420000000000002</v>
      </c>
      <c r="GO10" s="430">
        <v>30</v>
      </c>
      <c r="GP10" s="425">
        <v>4.4000000000000004</v>
      </c>
      <c r="GQ10" s="425">
        <v>25</v>
      </c>
      <c r="GR10" s="425">
        <v>35</v>
      </c>
      <c r="GS10" s="431">
        <v>21.2</v>
      </c>
      <c r="GT10" s="425">
        <v>350</v>
      </c>
      <c r="GU10" s="394"/>
      <c r="GV10" s="100">
        <f t="shared" si="16"/>
        <v>20763</v>
      </c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</row>
    <row r="11" spans="2:230" x14ac:dyDescent="0.15">
      <c r="B11" s="89" t="s">
        <v>11</v>
      </c>
      <c r="C11" s="102">
        <v>63627866</v>
      </c>
      <c r="D11" s="73">
        <f t="shared" si="0"/>
        <v>26442898</v>
      </c>
      <c r="E11" s="102">
        <v>585937</v>
      </c>
      <c r="F11" s="102">
        <v>25856961</v>
      </c>
      <c r="G11" s="73">
        <f t="shared" si="1"/>
        <v>5034712</v>
      </c>
      <c r="H11" s="102">
        <v>1085534</v>
      </c>
      <c r="I11" s="102">
        <v>3949178</v>
      </c>
      <c r="J11" s="102">
        <v>23669809</v>
      </c>
      <c r="K11" s="102">
        <v>9447499</v>
      </c>
      <c r="L11" s="102">
        <v>11308952</v>
      </c>
      <c r="M11" s="102">
        <v>2456298</v>
      </c>
      <c r="N11" s="102">
        <v>1894419</v>
      </c>
      <c r="O11" s="102">
        <v>5381065</v>
      </c>
      <c r="P11" s="102">
        <v>2823508</v>
      </c>
      <c r="Q11" s="102">
        <v>2557557</v>
      </c>
      <c r="R11" s="102">
        <v>550726</v>
      </c>
      <c r="S11" s="74"/>
      <c r="T11" s="73">
        <f t="shared" si="2"/>
        <v>8529717</v>
      </c>
      <c r="U11" s="102">
        <v>226110</v>
      </c>
      <c r="V11" s="102">
        <v>532728</v>
      </c>
      <c r="W11" s="102">
        <v>586181</v>
      </c>
      <c r="X11" s="102">
        <v>6984429</v>
      </c>
      <c r="Y11" s="102">
        <v>0</v>
      </c>
      <c r="Z11" s="102">
        <v>0</v>
      </c>
      <c r="AA11" s="102">
        <v>200269</v>
      </c>
      <c r="AB11" s="102">
        <v>241412</v>
      </c>
      <c r="AC11" s="102">
        <v>745193</v>
      </c>
      <c r="AD11" s="102">
        <v>640276</v>
      </c>
      <c r="AE11" s="102">
        <v>104847</v>
      </c>
      <c r="AF11" s="102">
        <v>45399</v>
      </c>
      <c r="AG11" s="102">
        <v>1295823</v>
      </c>
      <c r="AH11" s="73">
        <f t="shared" si="3"/>
        <v>2979111</v>
      </c>
      <c r="AI11" s="102">
        <v>2427408</v>
      </c>
      <c r="AJ11" s="102">
        <v>551703</v>
      </c>
      <c r="AK11" s="102">
        <v>21917269</v>
      </c>
      <c r="AL11" s="73">
        <f t="shared" si="4"/>
        <v>12133144</v>
      </c>
      <c r="AM11" s="102">
        <v>7747893</v>
      </c>
      <c r="AN11" s="102">
        <v>1126150</v>
      </c>
      <c r="AO11" s="74"/>
      <c r="AP11" s="102">
        <v>3259101</v>
      </c>
      <c r="AQ11" s="102">
        <v>1254628</v>
      </c>
      <c r="AR11" s="102">
        <v>0</v>
      </c>
      <c r="AS11" s="102">
        <v>0</v>
      </c>
      <c r="AT11" s="102">
        <v>7476109</v>
      </c>
      <c r="AU11" s="102">
        <v>4316279</v>
      </c>
      <c r="AV11" s="102">
        <v>563075</v>
      </c>
      <c r="AW11" s="102">
        <v>131028</v>
      </c>
      <c r="AX11" s="102">
        <v>3159830</v>
      </c>
      <c r="AY11" s="102">
        <v>0</v>
      </c>
      <c r="AZ11" s="102">
        <v>134581</v>
      </c>
      <c r="BA11" s="102">
        <v>87876</v>
      </c>
      <c r="BB11" s="102">
        <v>23663</v>
      </c>
      <c r="BC11" s="102">
        <v>1611567</v>
      </c>
      <c r="BD11" s="102">
        <v>200000</v>
      </c>
      <c r="BE11" s="102">
        <v>0</v>
      </c>
      <c r="BF11" s="102">
        <v>1112669</v>
      </c>
      <c r="BG11" s="102">
        <v>297430</v>
      </c>
      <c r="BH11" s="102">
        <v>1630204</v>
      </c>
      <c r="BI11" s="102">
        <v>1116860</v>
      </c>
      <c r="BJ11" s="102">
        <v>7196516</v>
      </c>
      <c r="BK11" s="102">
        <v>352162</v>
      </c>
      <c r="BL11" s="102">
        <v>293077</v>
      </c>
      <c r="BM11" s="102">
        <v>75693</v>
      </c>
      <c r="BN11" s="102">
        <v>4402500</v>
      </c>
      <c r="BO11" s="73">
        <f t="shared" si="5"/>
        <v>4402500</v>
      </c>
      <c r="BP11" s="73">
        <f t="shared" si="6"/>
        <v>0</v>
      </c>
      <c r="BQ11" s="102">
        <v>0</v>
      </c>
      <c r="BR11" s="102">
        <v>0</v>
      </c>
      <c r="BS11" s="102">
        <v>0</v>
      </c>
      <c r="BT11" s="102">
        <v>0</v>
      </c>
      <c r="BU11" s="102">
        <v>122407656</v>
      </c>
      <c r="BV11" s="71"/>
      <c r="BW11" s="102">
        <v>22191595</v>
      </c>
      <c r="BX11" s="102">
        <v>14461341</v>
      </c>
      <c r="BY11" s="102">
        <v>1819052</v>
      </c>
      <c r="BZ11" s="102">
        <v>1888710</v>
      </c>
      <c r="CA11" s="102">
        <v>34671198</v>
      </c>
      <c r="CB11" s="102">
        <v>7781348</v>
      </c>
      <c r="CC11" s="102">
        <v>721489</v>
      </c>
      <c r="CD11" s="102">
        <v>14894609</v>
      </c>
      <c r="CE11" s="102">
        <v>10556767</v>
      </c>
      <c r="CF11" s="102">
        <v>304421</v>
      </c>
      <c r="CG11" s="102">
        <v>412431</v>
      </c>
      <c r="CH11" s="102">
        <v>5445689</v>
      </c>
      <c r="CI11" s="102">
        <v>4902550</v>
      </c>
      <c r="CJ11" s="83">
        <f t="shared" si="17"/>
        <v>543139</v>
      </c>
      <c r="CK11" s="102">
        <v>19029530</v>
      </c>
      <c r="CL11" s="102">
        <v>12267556</v>
      </c>
      <c r="CM11" s="102">
        <v>1459551</v>
      </c>
      <c r="CN11" s="102">
        <v>2712277</v>
      </c>
      <c r="CO11" s="102">
        <v>2502480</v>
      </c>
      <c r="CP11" s="102">
        <v>4704759</v>
      </c>
      <c r="CQ11" s="102">
        <v>6477</v>
      </c>
      <c r="CR11" s="102">
        <v>1973067</v>
      </c>
      <c r="CS11" s="102">
        <v>1405845</v>
      </c>
      <c r="CT11" s="73">
        <f t="shared" si="7"/>
        <v>55229</v>
      </c>
      <c r="CU11" s="102">
        <v>46289</v>
      </c>
      <c r="CV11" s="102">
        <v>8940</v>
      </c>
      <c r="CW11" s="73">
        <f t="shared" si="8"/>
        <v>0</v>
      </c>
      <c r="CX11" s="102">
        <v>0</v>
      </c>
      <c r="CY11" s="102">
        <v>0</v>
      </c>
      <c r="CZ11" s="73">
        <f t="shared" si="9"/>
        <v>0</v>
      </c>
      <c r="DA11" s="102">
        <v>0</v>
      </c>
      <c r="DB11" s="102">
        <v>0</v>
      </c>
      <c r="DC11" s="102">
        <v>15418871</v>
      </c>
      <c r="DD11" s="102">
        <v>4752818</v>
      </c>
      <c r="DE11" s="102">
        <v>10394119</v>
      </c>
      <c r="DF11" s="102">
        <v>1054</v>
      </c>
      <c r="DG11" s="102">
        <v>270880</v>
      </c>
      <c r="DH11" s="102">
        <v>0</v>
      </c>
      <c r="DI11" s="102">
        <v>2160670</v>
      </c>
      <c r="DJ11" s="102">
        <v>555688</v>
      </c>
      <c r="DK11" s="102">
        <v>0</v>
      </c>
      <c r="DL11" s="102">
        <v>1604982</v>
      </c>
      <c r="DM11" s="102">
        <v>25200</v>
      </c>
      <c r="DN11" s="102">
        <v>0</v>
      </c>
      <c r="DO11" s="102">
        <v>0</v>
      </c>
      <c r="DP11" s="102">
        <v>0</v>
      </c>
      <c r="DQ11" s="102">
        <v>430300</v>
      </c>
      <c r="DR11" s="102">
        <v>0</v>
      </c>
      <c r="DS11" s="102">
        <v>0</v>
      </c>
      <c r="DT11" s="102">
        <v>15103356</v>
      </c>
      <c r="DU11" s="102">
        <v>3550013</v>
      </c>
      <c r="DV11" s="73">
        <f t="shared" si="10"/>
        <v>0</v>
      </c>
      <c r="DW11" s="102">
        <v>0</v>
      </c>
      <c r="DX11" s="102">
        <v>3818408</v>
      </c>
      <c r="DY11" s="102">
        <v>36016</v>
      </c>
      <c r="DZ11" s="102">
        <v>4034881</v>
      </c>
      <c r="EA11" s="74">
        <v>0</v>
      </c>
      <c r="EB11" s="102">
        <v>3439213</v>
      </c>
      <c r="EC11" s="102">
        <v>0</v>
      </c>
      <c r="ED11" s="102">
        <v>121683648</v>
      </c>
      <c r="EE11" s="71"/>
      <c r="EF11" s="102">
        <v>724008</v>
      </c>
      <c r="EG11" s="102">
        <v>549176</v>
      </c>
      <c r="EH11" s="102">
        <v>174832</v>
      </c>
      <c r="EI11" s="102">
        <v>-942028</v>
      </c>
      <c r="EJ11" s="102">
        <v>-586340</v>
      </c>
      <c r="EK11" s="71"/>
      <c r="EL11" s="102">
        <v>374468</v>
      </c>
      <c r="EM11" s="102">
        <v>367068</v>
      </c>
      <c r="EN11" s="102">
        <v>282422</v>
      </c>
      <c r="EO11" s="102">
        <v>132147</v>
      </c>
      <c r="EP11" s="73">
        <f t="shared" si="11"/>
        <v>3224805</v>
      </c>
      <c r="EQ11" s="102">
        <v>73740313</v>
      </c>
      <c r="ER11" s="71">
        <v>-3593975</v>
      </c>
      <c r="ES11" s="102">
        <v>20182132</v>
      </c>
      <c r="ET11" s="102">
        <v>13036399</v>
      </c>
      <c r="EU11" s="102">
        <v>10854861</v>
      </c>
      <c r="EV11" s="102">
        <v>5444617</v>
      </c>
      <c r="EW11" s="73">
        <f t="shared" si="12"/>
        <v>3439077</v>
      </c>
      <c r="EX11" s="102">
        <v>3439077</v>
      </c>
      <c r="EY11" s="102">
        <v>158509</v>
      </c>
      <c r="EZ11" s="102">
        <v>3279514</v>
      </c>
      <c r="FA11" s="102">
        <v>0</v>
      </c>
      <c r="FB11" s="102">
        <v>0</v>
      </c>
      <c r="FC11" s="102">
        <v>15860628</v>
      </c>
      <c r="FD11" s="102">
        <v>3302463</v>
      </c>
      <c r="FE11" s="102">
        <v>6477</v>
      </c>
      <c r="FF11" s="102">
        <v>12971163</v>
      </c>
      <c r="FG11" s="73">
        <f t="shared" si="13"/>
        <v>4555339</v>
      </c>
      <c r="FH11" s="102">
        <v>76610280</v>
      </c>
      <c r="FI11" s="379">
        <f t="shared" si="14"/>
        <v>0.3</v>
      </c>
      <c r="FJ11" s="102">
        <v>65742568</v>
      </c>
      <c r="FK11" s="102">
        <v>1965905</v>
      </c>
      <c r="FL11" s="102">
        <v>50005595</v>
      </c>
      <c r="FM11" s="102">
        <v>50835431</v>
      </c>
      <c r="FN11" s="428">
        <v>0.97599999999999998</v>
      </c>
      <c r="FO11" s="424">
        <v>95.2</v>
      </c>
      <c r="FP11" s="425">
        <v>28.2</v>
      </c>
      <c r="FQ11" s="424">
        <v>15.7</v>
      </c>
      <c r="FR11" s="424">
        <v>7.9</v>
      </c>
      <c r="FS11" s="425">
        <v>20.3</v>
      </c>
      <c r="FT11" s="424">
        <v>3.6</v>
      </c>
      <c r="FU11" s="425">
        <v>16</v>
      </c>
      <c r="FV11" s="384">
        <v>-1.5</v>
      </c>
      <c r="FW11" s="102">
        <v>45593417</v>
      </c>
      <c r="FX11" s="384">
        <f t="shared" si="15"/>
        <v>67.3</v>
      </c>
      <c r="FY11" s="102">
        <v>26862891</v>
      </c>
      <c r="FZ11" s="102">
        <v>10543986</v>
      </c>
      <c r="GA11" s="102">
        <v>0</v>
      </c>
      <c r="GB11" s="102">
        <v>16318905</v>
      </c>
      <c r="GC11" s="102">
        <v>0</v>
      </c>
      <c r="GD11" s="427"/>
      <c r="GE11" s="386"/>
      <c r="GF11" s="424">
        <v>99.2</v>
      </c>
      <c r="GG11" s="424">
        <v>26.6</v>
      </c>
      <c r="GH11" s="424">
        <v>97</v>
      </c>
      <c r="GI11" s="102">
        <v>2169</v>
      </c>
      <c r="GJ11" s="429" t="s">
        <v>646</v>
      </c>
      <c r="GK11" s="429">
        <v>11.25</v>
      </c>
      <c r="GL11" s="87">
        <v>20</v>
      </c>
      <c r="GM11" s="429" t="s">
        <v>646</v>
      </c>
      <c r="GN11" s="430">
        <v>16.25</v>
      </c>
      <c r="GO11" s="430">
        <v>30</v>
      </c>
      <c r="GP11" s="425">
        <v>-1.5</v>
      </c>
      <c r="GQ11" s="425">
        <v>25</v>
      </c>
      <c r="GR11" s="425">
        <v>35</v>
      </c>
      <c r="GS11" s="431" t="s">
        <v>646</v>
      </c>
      <c r="GT11" s="425">
        <v>350</v>
      </c>
      <c r="GU11" s="394"/>
      <c r="GV11" s="100">
        <f t="shared" si="16"/>
        <v>67708</v>
      </c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</row>
    <row r="12" spans="2:230" x14ac:dyDescent="0.15">
      <c r="B12" s="89" t="s">
        <v>13</v>
      </c>
      <c r="C12" s="102">
        <v>11309554</v>
      </c>
      <c r="D12" s="73">
        <f t="shared" si="0"/>
        <v>3606250</v>
      </c>
      <c r="E12" s="102">
        <v>113499</v>
      </c>
      <c r="F12" s="102">
        <v>3492751</v>
      </c>
      <c r="G12" s="73">
        <f t="shared" si="1"/>
        <v>882040</v>
      </c>
      <c r="H12" s="102">
        <v>264211</v>
      </c>
      <c r="I12" s="102">
        <v>617829</v>
      </c>
      <c r="J12" s="102">
        <v>5136214</v>
      </c>
      <c r="K12" s="102">
        <v>1931010</v>
      </c>
      <c r="L12" s="102">
        <v>2012744</v>
      </c>
      <c r="M12" s="102">
        <v>716115</v>
      </c>
      <c r="N12" s="102">
        <v>631330</v>
      </c>
      <c r="O12" s="102">
        <v>967193</v>
      </c>
      <c r="P12" s="102">
        <v>526914</v>
      </c>
      <c r="Q12" s="102">
        <v>440279</v>
      </c>
      <c r="R12" s="102">
        <v>186807</v>
      </c>
      <c r="S12" s="74"/>
      <c r="T12" s="73">
        <f t="shared" si="2"/>
        <v>1732169</v>
      </c>
      <c r="U12" s="102">
        <v>31373</v>
      </c>
      <c r="V12" s="102">
        <v>73858</v>
      </c>
      <c r="W12" s="102">
        <v>81220</v>
      </c>
      <c r="X12" s="102">
        <v>1499549</v>
      </c>
      <c r="Y12" s="102">
        <v>0</v>
      </c>
      <c r="Z12" s="102">
        <v>0</v>
      </c>
      <c r="AA12" s="102">
        <v>46169</v>
      </c>
      <c r="AB12" s="102">
        <v>47285</v>
      </c>
      <c r="AC12" s="102">
        <v>3994102</v>
      </c>
      <c r="AD12" s="102">
        <v>3658793</v>
      </c>
      <c r="AE12" s="102">
        <v>335308</v>
      </c>
      <c r="AF12" s="102">
        <v>15109</v>
      </c>
      <c r="AG12" s="102">
        <v>58865</v>
      </c>
      <c r="AH12" s="73">
        <f t="shared" si="3"/>
        <v>541509</v>
      </c>
      <c r="AI12" s="102">
        <v>388946</v>
      </c>
      <c r="AJ12" s="102">
        <v>152563</v>
      </c>
      <c r="AK12" s="102">
        <v>5431917</v>
      </c>
      <c r="AL12" s="73">
        <f t="shared" si="4"/>
        <v>3253526</v>
      </c>
      <c r="AM12" s="102">
        <v>2318796</v>
      </c>
      <c r="AN12" s="102">
        <v>281583</v>
      </c>
      <c r="AO12" s="74"/>
      <c r="AP12" s="102">
        <v>653147</v>
      </c>
      <c r="AQ12" s="102">
        <v>245246</v>
      </c>
      <c r="AR12" s="102">
        <v>0</v>
      </c>
      <c r="AS12" s="102">
        <v>0</v>
      </c>
      <c r="AT12" s="102">
        <v>2295152</v>
      </c>
      <c r="AU12" s="102">
        <v>1424154</v>
      </c>
      <c r="AV12" s="102">
        <v>140916</v>
      </c>
      <c r="AW12" s="102">
        <v>89796</v>
      </c>
      <c r="AX12" s="102">
        <v>870998</v>
      </c>
      <c r="AY12" s="102">
        <v>3780</v>
      </c>
      <c r="AZ12" s="102">
        <v>152240</v>
      </c>
      <c r="BA12" s="102">
        <v>19351</v>
      </c>
      <c r="BB12" s="102">
        <v>24718</v>
      </c>
      <c r="BC12" s="102">
        <v>998215</v>
      </c>
      <c r="BD12" s="102">
        <v>700000</v>
      </c>
      <c r="BE12" s="102">
        <v>0</v>
      </c>
      <c r="BF12" s="102">
        <v>211199</v>
      </c>
      <c r="BG12" s="102">
        <v>0</v>
      </c>
      <c r="BH12" s="102">
        <v>434677</v>
      </c>
      <c r="BI12" s="102">
        <v>370534</v>
      </c>
      <c r="BJ12" s="102">
        <v>388681</v>
      </c>
      <c r="BK12" s="102">
        <v>1000</v>
      </c>
      <c r="BL12" s="102">
        <v>2579</v>
      </c>
      <c r="BM12" s="102">
        <v>33804</v>
      </c>
      <c r="BN12" s="102">
        <v>1823896</v>
      </c>
      <c r="BO12" s="73">
        <f t="shared" si="5"/>
        <v>513600</v>
      </c>
      <c r="BP12" s="73">
        <f t="shared" si="6"/>
        <v>1310296</v>
      </c>
      <c r="BQ12" s="102">
        <v>0</v>
      </c>
      <c r="BR12" s="102">
        <v>0</v>
      </c>
      <c r="BS12" s="102">
        <v>1310296</v>
      </c>
      <c r="BT12" s="102">
        <v>0</v>
      </c>
      <c r="BU12" s="102">
        <v>29434896</v>
      </c>
      <c r="BV12" s="71"/>
      <c r="BW12" s="102">
        <v>4349541</v>
      </c>
      <c r="BX12" s="102">
        <v>2456293</v>
      </c>
      <c r="BY12" s="102">
        <v>528932</v>
      </c>
      <c r="BZ12" s="102">
        <v>504712</v>
      </c>
      <c r="CA12" s="102">
        <v>7947687</v>
      </c>
      <c r="CB12" s="102">
        <v>1622069</v>
      </c>
      <c r="CC12" s="102">
        <v>201469</v>
      </c>
      <c r="CD12" s="102">
        <v>2972748</v>
      </c>
      <c r="CE12" s="102">
        <v>3029933</v>
      </c>
      <c r="CF12" s="102">
        <v>0</v>
      </c>
      <c r="CG12" s="102">
        <v>121468</v>
      </c>
      <c r="CH12" s="102">
        <v>3112246</v>
      </c>
      <c r="CI12" s="102">
        <v>2626060</v>
      </c>
      <c r="CJ12" s="83">
        <f t="shared" si="17"/>
        <v>486186</v>
      </c>
      <c r="CK12" s="102">
        <v>2892578</v>
      </c>
      <c r="CL12" s="102">
        <v>1581286</v>
      </c>
      <c r="CM12" s="102">
        <v>271369</v>
      </c>
      <c r="CN12" s="102">
        <v>547367</v>
      </c>
      <c r="CO12" s="102">
        <v>163108</v>
      </c>
      <c r="CP12" s="102">
        <v>2990815</v>
      </c>
      <c r="CQ12" s="102">
        <v>593656</v>
      </c>
      <c r="CR12" s="102">
        <v>378953</v>
      </c>
      <c r="CS12" s="102">
        <v>373600</v>
      </c>
      <c r="CT12" s="73">
        <f t="shared" si="7"/>
        <v>1522753</v>
      </c>
      <c r="CU12" s="102">
        <v>1125131</v>
      </c>
      <c r="CV12" s="102">
        <v>397622</v>
      </c>
      <c r="CW12" s="73">
        <f t="shared" si="8"/>
        <v>1500000</v>
      </c>
      <c r="CX12" s="102">
        <v>1114386</v>
      </c>
      <c r="CY12" s="102">
        <v>385614</v>
      </c>
      <c r="CZ12" s="73">
        <f t="shared" si="9"/>
        <v>0</v>
      </c>
      <c r="DA12" s="102">
        <v>0</v>
      </c>
      <c r="DB12" s="102">
        <v>0</v>
      </c>
      <c r="DC12" s="102">
        <v>2220332</v>
      </c>
      <c r="DD12" s="102">
        <v>978157</v>
      </c>
      <c r="DE12" s="102">
        <v>741938</v>
      </c>
      <c r="DF12" s="102">
        <v>93300</v>
      </c>
      <c r="DG12" s="102">
        <v>406937</v>
      </c>
      <c r="DH12" s="102">
        <v>0</v>
      </c>
      <c r="DI12" s="102">
        <v>956721</v>
      </c>
      <c r="DJ12" s="102">
        <v>642126</v>
      </c>
      <c r="DK12" s="102">
        <v>0</v>
      </c>
      <c r="DL12" s="102">
        <v>314595</v>
      </c>
      <c r="DM12" s="102">
        <v>0</v>
      </c>
      <c r="DN12" s="102">
        <v>0</v>
      </c>
      <c r="DO12" s="102">
        <v>0</v>
      </c>
      <c r="DP12" s="102">
        <v>0</v>
      </c>
      <c r="DQ12" s="102">
        <v>1000</v>
      </c>
      <c r="DR12" s="102">
        <v>0</v>
      </c>
      <c r="DS12" s="102">
        <v>0</v>
      </c>
      <c r="DT12" s="102">
        <v>4460132</v>
      </c>
      <c r="DU12" s="102">
        <v>1650911</v>
      </c>
      <c r="DV12" s="73">
        <f t="shared" si="10"/>
        <v>0</v>
      </c>
      <c r="DW12" s="102">
        <v>0</v>
      </c>
      <c r="DX12" s="102">
        <v>875244</v>
      </c>
      <c r="DY12" s="102">
        <v>166169</v>
      </c>
      <c r="DZ12" s="102">
        <v>1044138</v>
      </c>
      <c r="EA12" s="74">
        <v>0</v>
      </c>
      <c r="EB12" s="102">
        <v>723670</v>
      </c>
      <c r="EC12" s="102">
        <v>0</v>
      </c>
      <c r="ED12" s="102">
        <v>29094160</v>
      </c>
      <c r="EE12" s="71"/>
      <c r="EF12" s="102">
        <v>340736</v>
      </c>
      <c r="EG12" s="102">
        <v>36339</v>
      </c>
      <c r="EH12" s="102">
        <v>304397</v>
      </c>
      <c r="EI12" s="102">
        <v>-66137</v>
      </c>
      <c r="EJ12" s="102">
        <v>-124011</v>
      </c>
      <c r="EK12" s="71"/>
      <c r="EL12" s="102">
        <v>75897</v>
      </c>
      <c r="EM12" s="102">
        <v>75910</v>
      </c>
      <c r="EN12" s="102">
        <v>726182</v>
      </c>
      <c r="EO12" s="102">
        <v>53121</v>
      </c>
      <c r="EP12" s="73">
        <f t="shared" si="11"/>
        <v>1046941</v>
      </c>
      <c r="EQ12" s="102">
        <v>17285026</v>
      </c>
      <c r="ER12" s="71">
        <v>-3121431</v>
      </c>
      <c r="ES12" s="102">
        <v>3768977</v>
      </c>
      <c r="ET12" s="102">
        <v>2048526</v>
      </c>
      <c r="EU12" s="102">
        <v>2435063</v>
      </c>
      <c r="EV12" s="102">
        <v>3103455</v>
      </c>
      <c r="EW12" s="73">
        <f t="shared" si="12"/>
        <v>768120</v>
      </c>
      <c r="EX12" s="102">
        <v>768120</v>
      </c>
      <c r="EY12" s="102">
        <v>137346</v>
      </c>
      <c r="EZ12" s="102">
        <v>537474</v>
      </c>
      <c r="FA12" s="102">
        <v>0</v>
      </c>
      <c r="FB12" s="102">
        <v>0</v>
      </c>
      <c r="FC12" s="102">
        <v>2465829</v>
      </c>
      <c r="FD12" s="102">
        <v>2803374</v>
      </c>
      <c r="FE12" s="102">
        <v>593656</v>
      </c>
      <c r="FF12" s="102">
        <v>3755578</v>
      </c>
      <c r="FG12" s="73">
        <f t="shared" si="13"/>
        <v>965325</v>
      </c>
      <c r="FH12" s="102">
        <v>20065721</v>
      </c>
      <c r="FI12" s="379">
        <f t="shared" si="14"/>
        <v>1.8</v>
      </c>
      <c r="FJ12" s="102">
        <v>15565611</v>
      </c>
      <c r="FK12" s="102">
        <v>1310296</v>
      </c>
      <c r="FL12" s="102">
        <v>9294593</v>
      </c>
      <c r="FM12" s="102">
        <v>12955230</v>
      </c>
      <c r="FN12" s="428">
        <v>0.70499999999999996</v>
      </c>
      <c r="FO12" s="424">
        <v>97.7</v>
      </c>
      <c r="FP12" s="425">
        <v>21.3</v>
      </c>
      <c r="FQ12" s="424">
        <v>14</v>
      </c>
      <c r="FR12" s="424">
        <v>17.8</v>
      </c>
      <c r="FS12" s="425">
        <v>12.9</v>
      </c>
      <c r="FT12" s="424">
        <v>11.9</v>
      </c>
      <c r="FU12" s="425">
        <v>18.899999999999999</v>
      </c>
      <c r="FV12" s="384">
        <v>18.2</v>
      </c>
      <c r="FW12" s="102">
        <v>30675793</v>
      </c>
      <c r="FX12" s="384">
        <f t="shared" si="15"/>
        <v>181.8</v>
      </c>
      <c r="FY12" s="102">
        <v>2878572</v>
      </c>
      <c r="FZ12" s="102">
        <v>912379</v>
      </c>
      <c r="GA12" s="102">
        <v>0</v>
      </c>
      <c r="GB12" s="102">
        <v>1966193</v>
      </c>
      <c r="GC12" s="102">
        <v>400000</v>
      </c>
      <c r="GD12" s="427">
        <v>2961</v>
      </c>
      <c r="GE12" s="386">
        <f>IF(GD12=0,"-",ROUND(GD12/(GV12)*100,1))</f>
        <v>17.5</v>
      </c>
      <c r="GF12" s="424">
        <v>98.8</v>
      </c>
      <c r="GG12" s="424">
        <v>40.799999999999997</v>
      </c>
      <c r="GH12" s="424">
        <v>96.8</v>
      </c>
      <c r="GI12" s="102">
        <v>434</v>
      </c>
      <c r="GJ12" s="429" t="s">
        <v>646</v>
      </c>
      <c r="GK12" s="429">
        <v>12.65</v>
      </c>
      <c r="GL12" s="87">
        <v>20</v>
      </c>
      <c r="GM12" s="429" t="s">
        <v>646</v>
      </c>
      <c r="GN12" s="430">
        <v>17.649999999999999</v>
      </c>
      <c r="GO12" s="430">
        <v>30</v>
      </c>
      <c r="GP12" s="425">
        <v>18.2</v>
      </c>
      <c r="GQ12" s="425">
        <v>25</v>
      </c>
      <c r="GR12" s="425">
        <v>35</v>
      </c>
      <c r="GS12" s="431">
        <v>138.80000000000001</v>
      </c>
      <c r="GT12" s="425">
        <v>350</v>
      </c>
      <c r="GU12" s="394"/>
      <c r="GV12" s="100">
        <f t="shared" si="16"/>
        <v>16876</v>
      </c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</row>
    <row r="13" spans="2:230" ht="12.75" customHeight="1" x14ac:dyDescent="0.15">
      <c r="B13" s="89" t="s">
        <v>15</v>
      </c>
      <c r="C13" s="102">
        <v>50008031</v>
      </c>
      <c r="D13" s="73">
        <f t="shared" si="0"/>
        <v>20406402</v>
      </c>
      <c r="E13" s="102">
        <v>569073</v>
      </c>
      <c r="F13" s="102">
        <v>19837329</v>
      </c>
      <c r="G13" s="73">
        <f t="shared" si="1"/>
        <v>3726635</v>
      </c>
      <c r="H13" s="102">
        <v>779300</v>
      </c>
      <c r="I13" s="102">
        <v>2947335</v>
      </c>
      <c r="J13" s="102">
        <v>18849770</v>
      </c>
      <c r="K13" s="102">
        <v>7989389</v>
      </c>
      <c r="L13" s="102">
        <v>8162412</v>
      </c>
      <c r="M13" s="102">
        <v>2448222</v>
      </c>
      <c r="N13" s="102">
        <v>1757019</v>
      </c>
      <c r="O13" s="102">
        <v>3879824</v>
      </c>
      <c r="P13" s="102">
        <v>2169159</v>
      </c>
      <c r="Q13" s="102">
        <v>1710665</v>
      </c>
      <c r="R13" s="102">
        <v>595444</v>
      </c>
      <c r="S13" s="74"/>
      <c r="T13" s="73">
        <f t="shared" si="2"/>
        <v>7821267</v>
      </c>
      <c r="U13" s="102">
        <v>177465</v>
      </c>
      <c r="V13" s="102">
        <v>416311</v>
      </c>
      <c r="W13" s="102">
        <v>456524</v>
      </c>
      <c r="X13" s="102">
        <v>6501225</v>
      </c>
      <c r="Y13" s="102">
        <v>53326</v>
      </c>
      <c r="Z13" s="102">
        <v>0</v>
      </c>
      <c r="AA13" s="102">
        <v>216416</v>
      </c>
      <c r="AB13" s="102">
        <v>224781</v>
      </c>
      <c r="AC13" s="102">
        <v>10227119</v>
      </c>
      <c r="AD13" s="102">
        <v>9711298</v>
      </c>
      <c r="AE13" s="102">
        <v>515819</v>
      </c>
      <c r="AF13" s="102">
        <v>53389</v>
      </c>
      <c r="AG13" s="102">
        <v>1153871</v>
      </c>
      <c r="AH13" s="73">
        <f t="shared" si="3"/>
        <v>2653149</v>
      </c>
      <c r="AI13" s="102">
        <v>2033824</v>
      </c>
      <c r="AJ13" s="102">
        <v>619325</v>
      </c>
      <c r="AK13" s="102">
        <v>23749990</v>
      </c>
      <c r="AL13" s="73">
        <f t="shared" si="4"/>
        <v>11343637</v>
      </c>
      <c r="AM13" s="102">
        <v>7846548</v>
      </c>
      <c r="AN13" s="102">
        <v>580919</v>
      </c>
      <c r="AO13" s="74"/>
      <c r="AP13" s="102">
        <v>2916170</v>
      </c>
      <c r="AQ13" s="102">
        <v>1487047</v>
      </c>
      <c r="AR13" s="102">
        <v>0</v>
      </c>
      <c r="AS13" s="102">
        <v>0</v>
      </c>
      <c r="AT13" s="102">
        <v>8019777</v>
      </c>
      <c r="AU13" s="102">
        <v>4762000</v>
      </c>
      <c r="AV13" s="102">
        <v>983592</v>
      </c>
      <c r="AW13" s="102">
        <v>735343</v>
      </c>
      <c r="AX13" s="102">
        <v>3257777</v>
      </c>
      <c r="AY13" s="102">
        <v>71676</v>
      </c>
      <c r="AZ13" s="102">
        <v>290470</v>
      </c>
      <c r="BA13" s="102">
        <v>178263</v>
      </c>
      <c r="BB13" s="102">
        <v>64277</v>
      </c>
      <c r="BC13" s="102">
        <v>1088866</v>
      </c>
      <c r="BD13" s="102">
        <v>60</v>
      </c>
      <c r="BE13" s="102">
        <v>0</v>
      </c>
      <c r="BF13" s="102">
        <v>1077073</v>
      </c>
      <c r="BG13" s="102">
        <v>0</v>
      </c>
      <c r="BH13" s="102">
        <v>1741042</v>
      </c>
      <c r="BI13" s="102">
        <v>422895</v>
      </c>
      <c r="BJ13" s="102">
        <v>2343576</v>
      </c>
      <c r="BK13" s="102">
        <v>623764</v>
      </c>
      <c r="BL13" s="102">
        <v>0</v>
      </c>
      <c r="BM13" s="102">
        <v>77243</v>
      </c>
      <c r="BN13" s="102">
        <v>7818800</v>
      </c>
      <c r="BO13" s="73">
        <f t="shared" si="5"/>
        <v>4818800</v>
      </c>
      <c r="BP13" s="73">
        <f t="shared" si="6"/>
        <v>3000000</v>
      </c>
      <c r="BQ13" s="102">
        <v>0</v>
      </c>
      <c r="BR13" s="102">
        <v>0</v>
      </c>
      <c r="BS13" s="102">
        <v>3000000</v>
      </c>
      <c r="BT13" s="102">
        <v>0</v>
      </c>
      <c r="BU13" s="102">
        <v>117853849</v>
      </c>
      <c r="BV13" s="71"/>
      <c r="BW13" s="102">
        <v>20227017</v>
      </c>
      <c r="BX13" s="102">
        <v>12808815</v>
      </c>
      <c r="BY13" s="102">
        <v>1484208</v>
      </c>
      <c r="BZ13" s="102">
        <v>2381692</v>
      </c>
      <c r="CA13" s="102">
        <v>33448584</v>
      </c>
      <c r="CB13" s="102">
        <v>7349855</v>
      </c>
      <c r="CC13" s="102">
        <v>765672</v>
      </c>
      <c r="CD13" s="102">
        <v>13765580</v>
      </c>
      <c r="CE13" s="102">
        <v>10455744</v>
      </c>
      <c r="CF13" s="102">
        <v>344122</v>
      </c>
      <c r="CG13" s="102">
        <v>767031</v>
      </c>
      <c r="CH13" s="102">
        <v>6954012</v>
      </c>
      <c r="CI13" s="102">
        <v>6533172</v>
      </c>
      <c r="CJ13" s="83">
        <f t="shared" si="17"/>
        <v>420840</v>
      </c>
      <c r="CK13" s="102">
        <v>15515719</v>
      </c>
      <c r="CL13" s="102">
        <v>9116847</v>
      </c>
      <c r="CM13" s="102">
        <v>1077960</v>
      </c>
      <c r="CN13" s="102">
        <v>3365038</v>
      </c>
      <c r="CO13" s="102">
        <v>2179541</v>
      </c>
      <c r="CP13" s="102">
        <v>5831648</v>
      </c>
      <c r="CQ13" s="102">
        <v>21470</v>
      </c>
      <c r="CR13" s="102">
        <v>2246066</v>
      </c>
      <c r="CS13" s="102">
        <v>1494585</v>
      </c>
      <c r="CT13" s="73">
        <f t="shared" si="7"/>
        <v>954739</v>
      </c>
      <c r="CU13" s="102">
        <v>58353</v>
      </c>
      <c r="CV13" s="102">
        <v>896386</v>
      </c>
      <c r="CW13" s="73">
        <f t="shared" si="8"/>
        <v>0</v>
      </c>
      <c r="CX13" s="102">
        <v>0</v>
      </c>
      <c r="CY13" s="102">
        <v>0</v>
      </c>
      <c r="CZ13" s="73">
        <f t="shared" si="9"/>
        <v>0</v>
      </c>
      <c r="DA13" s="102">
        <v>0</v>
      </c>
      <c r="DB13" s="102">
        <v>0</v>
      </c>
      <c r="DC13" s="102">
        <v>14236891</v>
      </c>
      <c r="DD13" s="102">
        <v>8202907</v>
      </c>
      <c r="DE13" s="102">
        <v>5985458</v>
      </c>
      <c r="DF13" s="102">
        <v>48526</v>
      </c>
      <c r="DG13" s="102">
        <v>0</v>
      </c>
      <c r="DH13" s="102">
        <v>0</v>
      </c>
      <c r="DI13" s="102">
        <v>1409728</v>
      </c>
      <c r="DJ13" s="102">
        <v>274228</v>
      </c>
      <c r="DK13" s="102">
        <v>2985</v>
      </c>
      <c r="DL13" s="102">
        <v>1132515</v>
      </c>
      <c r="DM13" s="102">
        <v>0</v>
      </c>
      <c r="DN13" s="102">
        <v>0</v>
      </c>
      <c r="DO13" s="102">
        <v>0</v>
      </c>
      <c r="DP13" s="102">
        <v>0</v>
      </c>
      <c r="DQ13" s="102">
        <v>679265</v>
      </c>
      <c r="DR13" s="102">
        <v>0</v>
      </c>
      <c r="DS13" s="102">
        <v>0</v>
      </c>
      <c r="DT13" s="102">
        <v>15780789</v>
      </c>
      <c r="DU13" s="102">
        <v>4160000</v>
      </c>
      <c r="DV13" s="73">
        <f t="shared" si="10"/>
        <v>0</v>
      </c>
      <c r="DW13" s="102">
        <v>0</v>
      </c>
      <c r="DX13" s="102">
        <v>4219922</v>
      </c>
      <c r="DY13" s="102">
        <v>0</v>
      </c>
      <c r="DZ13" s="102">
        <v>4103376</v>
      </c>
      <c r="EA13" s="74">
        <v>0</v>
      </c>
      <c r="EB13" s="102">
        <v>3292232</v>
      </c>
      <c r="EC13" s="102">
        <v>0</v>
      </c>
      <c r="ED13" s="102">
        <v>116263194</v>
      </c>
      <c r="EE13" s="71"/>
      <c r="EF13" s="102">
        <v>1590655</v>
      </c>
      <c r="EG13" s="102">
        <v>950100</v>
      </c>
      <c r="EH13" s="102">
        <v>640555</v>
      </c>
      <c r="EI13" s="102">
        <v>217660</v>
      </c>
      <c r="EJ13" s="102">
        <v>491828</v>
      </c>
      <c r="EK13" s="71"/>
      <c r="EL13" s="102">
        <v>351829</v>
      </c>
      <c r="EM13" s="102">
        <v>355209</v>
      </c>
      <c r="EN13" s="102">
        <v>60</v>
      </c>
      <c r="EO13" s="102">
        <v>215836</v>
      </c>
      <c r="EP13" s="73">
        <f t="shared" si="11"/>
        <v>1912501</v>
      </c>
      <c r="EQ13" s="102">
        <v>68930031</v>
      </c>
      <c r="ER13" s="71">
        <v>-5075008</v>
      </c>
      <c r="ES13" s="102">
        <v>18602911</v>
      </c>
      <c r="ET13" s="102">
        <v>11581050</v>
      </c>
      <c r="EU13" s="102">
        <v>10153913</v>
      </c>
      <c r="EV13" s="102">
        <v>6899671</v>
      </c>
      <c r="EW13" s="73">
        <f t="shared" si="12"/>
        <v>3874373</v>
      </c>
      <c r="EX13" s="102">
        <v>3874373</v>
      </c>
      <c r="EY13" s="102">
        <v>1664261</v>
      </c>
      <c r="EZ13" s="102">
        <v>2161586</v>
      </c>
      <c r="FA13" s="102">
        <v>0</v>
      </c>
      <c r="FB13" s="102">
        <v>0</v>
      </c>
      <c r="FC13" s="102">
        <v>12882150</v>
      </c>
      <c r="FD13" s="102">
        <v>4189328</v>
      </c>
      <c r="FE13" s="102">
        <v>21470</v>
      </c>
      <c r="FF13" s="102">
        <v>13443573</v>
      </c>
      <c r="FG13" s="73">
        <f t="shared" si="13"/>
        <v>2413262</v>
      </c>
      <c r="FH13" s="102">
        <v>72459181</v>
      </c>
      <c r="FI13" s="379">
        <f t="shared" si="14"/>
        <v>1</v>
      </c>
      <c r="FJ13" s="102">
        <v>61879580</v>
      </c>
      <c r="FK13" s="102">
        <v>5527830</v>
      </c>
      <c r="FL13" s="102">
        <v>40780969</v>
      </c>
      <c r="FM13" s="102">
        <v>50492267</v>
      </c>
      <c r="FN13" s="428">
        <v>0.79</v>
      </c>
      <c r="FO13" s="424">
        <v>93.3</v>
      </c>
      <c r="FP13" s="425">
        <v>27.1</v>
      </c>
      <c r="FQ13" s="424">
        <v>14.9</v>
      </c>
      <c r="FR13" s="424">
        <v>10.199999999999999</v>
      </c>
      <c r="FS13" s="425">
        <v>17.5</v>
      </c>
      <c r="FT13" s="424">
        <v>3.8</v>
      </c>
      <c r="FU13" s="425">
        <v>16.8</v>
      </c>
      <c r="FV13" s="384">
        <v>0.1</v>
      </c>
      <c r="FW13" s="102">
        <v>51773901</v>
      </c>
      <c r="FX13" s="384">
        <f t="shared" si="15"/>
        <v>76.8</v>
      </c>
      <c r="FY13" s="102">
        <v>38988621</v>
      </c>
      <c r="FZ13" s="102">
        <v>15251295</v>
      </c>
      <c r="GA13" s="102">
        <v>2524423</v>
      </c>
      <c r="GB13" s="102">
        <v>21212903</v>
      </c>
      <c r="GC13" s="102">
        <v>0</v>
      </c>
      <c r="GD13" s="427">
        <v>2997</v>
      </c>
      <c r="GE13" s="386">
        <f>IF(GD13=0,"-",ROUND(GD13/(GV13)*100,1))</f>
        <v>4.4000000000000004</v>
      </c>
      <c r="GF13" s="424">
        <v>99.4</v>
      </c>
      <c r="GG13" s="424">
        <v>40.1</v>
      </c>
      <c r="GH13" s="424">
        <v>98.3</v>
      </c>
      <c r="GI13" s="102">
        <v>2148</v>
      </c>
      <c r="GJ13" s="429" t="s">
        <v>646</v>
      </c>
      <c r="GK13" s="429">
        <v>11.25</v>
      </c>
      <c r="GL13" s="87">
        <v>20</v>
      </c>
      <c r="GM13" s="429" t="s">
        <v>646</v>
      </c>
      <c r="GN13" s="430">
        <v>16.25</v>
      </c>
      <c r="GO13" s="430">
        <v>30</v>
      </c>
      <c r="GP13" s="425">
        <v>0.1</v>
      </c>
      <c r="GQ13" s="425">
        <v>25</v>
      </c>
      <c r="GR13" s="425">
        <v>35</v>
      </c>
      <c r="GS13" s="431" t="s">
        <v>646</v>
      </c>
      <c r="GT13" s="425">
        <v>350</v>
      </c>
      <c r="GU13" s="394"/>
      <c r="GV13" s="100">
        <f t="shared" si="16"/>
        <v>67407</v>
      </c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</row>
    <row r="14" spans="2:230" x14ac:dyDescent="0.15">
      <c r="B14" s="89" t="s">
        <v>17</v>
      </c>
      <c r="C14" s="102">
        <v>11511157</v>
      </c>
      <c r="D14" s="73">
        <f t="shared" si="0"/>
        <v>4002395</v>
      </c>
      <c r="E14" s="102">
        <v>131379</v>
      </c>
      <c r="F14" s="102">
        <v>3871016</v>
      </c>
      <c r="G14" s="73">
        <f t="shared" si="1"/>
        <v>658638</v>
      </c>
      <c r="H14" s="102">
        <v>191220</v>
      </c>
      <c r="I14" s="102">
        <v>467418</v>
      </c>
      <c r="J14" s="102">
        <v>4994935</v>
      </c>
      <c r="K14" s="102">
        <v>1591992</v>
      </c>
      <c r="L14" s="102">
        <v>2159151</v>
      </c>
      <c r="M14" s="102">
        <v>1033694</v>
      </c>
      <c r="N14" s="102">
        <v>831571</v>
      </c>
      <c r="O14" s="102">
        <v>862064</v>
      </c>
      <c r="P14" s="102">
        <v>409260</v>
      </c>
      <c r="Q14" s="102">
        <v>452804</v>
      </c>
      <c r="R14" s="102">
        <v>177135</v>
      </c>
      <c r="S14" s="74"/>
      <c r="T14" s="73">
        <f t="shared" si="2"/>
        <v>1962115</v>
      </c>
      <c r="U14" s="102">
        <v>34330</v>
      </c>
      <c r="V14" s="102">
        <v>80693</v>
      </c>
      <c r="W14" s="102">
        <v>88624</v>
      </c>
      <c r="X14" s="102">
        <v>1694356</v>
      </c>
      <c r="Y14" s="102">
        <v>0</v>
      </c>
      <c r="Z14" s="102">
        <v>0</v>
      </c>
      <c r="AA14" s="102">
        <v>64112</v>
      </c>
      <c r="AB14" s="102">
        <v>68871</v>
      </c>
      <c r="AC14" s="102">
        <v>4764891</v>
      </c>
      <c r="AD14" s="102">
        <v>4343431</v>
      </c>
      <c r="AE14" s="102">
        <v>421459</v>
      </c>
      <c r="AF14" s="102">
        <v>17996</v>
      </c>
      <c r="AG14" s="102">
        <v>358455</v>
      </c>
      <c r="AH14" s="73">
        <f t="shared" si="3"/>
        <v>515707</v>
      </c>
      <c r="AI14" s="102">
        <v>419599</v>
      </c>
      <c r="AJ14" s="102">
        <v>96108</v>
      </c>
      <c r="AK14" s="102">
        <v>6032408</v>
      </c>
      <c r="AL14" s="73">
        <f t="shared" si="4"/>
        <v>3678560</v>
      </c>
      <c r="AM14" s="102">
        <v>2369860</v>
      </c>
      <c r="AN14" s="102">
        <v>602340</v>
      </c>
      <c r="AO14" s="74"/>
      <c r="AP14" s="102">
        <v>706360</v>
      </c>
      <c r="AQ14" s="102">
        <v>234037</v>
      </c>
      <c r="AR14" s="102">
        <v>0</v>
      </c>
      <c r="AS14" s="102">
        <v>0</v>
      </c>
      <c r="AT14" s="102">
        <v>2218922</v>
      </c>
      <c r="AU14" s="102">
        <v>1281602</v>
      </c>
      <c r="AV14" s="102">
        <v>258204</v>
      </c>
      <c r="AW14" s="102">
        <v>19857</v>
      </c>
      <c r="AX14" s="102">
        <v>937320</v>
      </c>
      <c r="AY14" s="102">
        <v>746</v>
      </c>
      <c r="AZ14" s="102">
        <v>32959</v>
      </c>
      <c r="BA14" s="102">
        <v>7369</v>
      </c>
      <c r="BB14" s="102">
        <v>255270</v>
      </c>
      <c r="BC14" s="102">
        <v>55158</v>
      </c>
      <c r="BD14" s="102">
        <v>0</v>
      </c>
      <c r="BE14" s="102">
        <v>0</v>
      </c>
      <c r="BF14" s="102">
        <v>49655</v>
      </c>
      <c r="BG14" s="102">
        <v>0</v>
      </c>
      <c r="BH14" s="102">
        <v>82141</v>
      </c>
      <c r="BI14" s="102">
        <v>64562</v>
      </c>
      <c r="BJ14" s="102">
        <v>539567</v>
      </c>
      <c r="BK14" s="102">
        <v>171961</v>
      </c>
      <c r="BL14" s="102">
        <v>0</v>
      </c>
      <c r="BM14" s="102">
        <v>34004</v>
      </c>
      <c r="BN14" s="102">
        <v>2398005</v>
      </c>
      <c r="BO14" s="73">
        <f t="shared" si="5"/>
        <v>967600</v>
      </c>
      <c r="BP14" s="73">
        <f t="shared" si="6"/>
        <v>1430405</v>
      </c>
      <c r="BQ14" s="102">
        <v>0</v>
      </c>
      <c r="BR14" s="102">
        <v>38500</v>
      </c>
      <c r="BS14" s="102">
        <v>1391905</v>
      </c>
      <c r="BT14" s="102">
        <v>0</v>
      </c>
      <c r="BU14" s="102">
        <v>30990757</v>
      </c>
      <c r="BV14" s="71"/>
      <c r="BW14" s="102">
        <v>5373287</v>
      </c>
      <c r="BX14" s="102">
        <v>3297558</v>
      </c>
      <c r="BY14" s="102">
        <v>325605</v>
      </c>
      <c r="BZ14" s="102">
        <v>643594</v>
      </c>
      <c r="CA14" s="102">
        <v>9639216</v>
      </c>
      <c r="CB14" s="102">
        <v>1787448</v>
      </c>
      <c r="CC14" s="102">
        <v>178324</v>
      </c>
      <c r="CD14" s="102">
        <v>4459067</v>
      </c>
      <c r="CE14" s="102">
        <v>3067603</v>
      </c>
      <c r="CF14" s="102">
        <v>0</v>
      </c>
      <c r="CG14" s="102">
        <v>146594</v>
      </c>
      <c r="CH14" s="102">
        <v>2474810</v>
      </c>
      <c r="CI14" s="102">
        <v>2132796</v>
      </c>
      <c r="CJ14" s="83">
        <f t="shared" si="17"/>
        <v>342014</v>
      </c>
      <c r="CK14" s="102">
        <v>3321898</v>
      </c>
      <c r="CL14" s="102">
        <v>1822612</v>
      </c>
      <c r="CM14" s="102">
        <v>324423</v>
      </c>
      <c r="CN14" s="102">
        <v>562983</v>
      </c>
      <c r="CO14" s="102">
        <v>105368</v>
      </c>
      <c r="CP14" s="102">
        <v>3363946</v>
      </c>
      <c r="CQ14" s="102">
        <v>1050971</v>
      </c>
      <c r="CR14" s="102">
        <v>734083</v>
      </c>
      <c r="CS14" s="102">
        <v>530312</v>
      </c>
      <c r="CT14" s="73">
        <f t="shared" si="7"/>
        <v>1028833</v>
      </c>
      <c r="CU14" s="102">
        <v>927715</v>
      </c>
      <c r="CV14" s="102">
        <v>101118</v>
      </c>
      <c r="CW14" s="73">
        <f t="shared" si="8"/>
        <v>915000</v>
      </c>
      <c r="CX14" s="102">
        <v>915000</v>
      </c>
      <c r="CY14" s="102">
        <v>0</v>
      </c>
      <c r="CZ14" s="73">
        <f t="shared" si="9"/>
        <v>0</v>
      </c>
      <c r="DA14" s="102">
        <v>0</v>
      </c>
      <c r="DB14" s="102">
        <v>0</v>
      </c>
      <c r="DC14" s="102">
        <v>1812107</v>
      </c>
      <c r="DD14" s="102">
        <v>638362</v>
      </c>
      <c r="DE14" s="102">
        <v>1096515</v>
      </c>
      <c r="DF14" s="102">
        <v>77230</v>
      </c>
      <c r="DG14" s="102">
        <v>0</v>
      </c>
      <c r="DH14" s="102">
        <v>467</v>
      </c>
      <c r="DI14" s="102">
        <v>483301</v>
      </c>
      <c r="DJ14" s="102">
        <v>199000</v>
      </c>
      <c r="DK14" s="102">
        <v>0</v>
      </c>
      <c r="DL14" s="102">
        <v>284301</v>
      </c>
      <c r="DM14" s="102">
        <v>0</v>
      </c>
      <c r="DN14" s="102">
        <v>0</v>
      </c>
      <c r="DO14" s="102">
        <v>0</v>
      </c>
      <c r="DP14" s="102">
        <v>0</v>
      </c>
      <c r="DQ14" s="102">
        <v>164620</v>
      </c>
      <c r="DR14" s="102">
        <v>0</v>
      </c>
      <c r="DS14" s="102">
        <v>0</v>
      </c>
      <c r="DT14" s="102">
        <v>4127262</v>
      </c>
      <c r="DU14" s="102">
        <v>1209081</v>
      </c>
      <c r="DV14" s="73">
        <f t="shared" si="10"/>
        <v>0</v>
      </c>
      <c r="DW14" s="102">
        <v>0</v>
      </c>
      <c r="DX14" s="102">
        <v>1154602</v>
      </c>
      <c r="DY14" s="102">
        <v>0</v>
      </c>
      <c r="DZ14" s="102">
        <v>828633</v>
      </c>
      <c r="EA14" s="74">
        <v>0</v>
      </c>
      <c r="EB14" s="102">
        <v>934946</v>
      </c>
      <c r="EC14" s="102">
        <v>0</v>
      </c>
      <c r="ED14" s="102">
        <v>30866282</v>
      </c>
      <c r="EE14" s="71"/>
      <c r="EF14" s="102">
        <v>124475</v>
      </c>
      <c r="EG14" s="102">
        <v>47214</v>
      </c>
      <c r="EH14" s="102">
        <v>77261</v>
      </c>
      <c r="EI14" s="102">
        <v>12699</v>
      </c>
      <c r="EJ14" s="102">
        <v>211699</v>
      </c>
      <c r="EK14" s="71"/>
      <c r="EL14" s="102">
        <v>88694</v>
      </c>
      <c r="EM14" s="102">
        <v>89212</v>
      </c>
      <c r="EN14" s="102">
        <v>0</v>
      </c>
      <c r="EO14" s="102">
        <v>26701</v>
      </c>
      <c r="EP14" s="73">
        <f t="shared" si="11"/>
        <v>360993</v>
      </c>
      <c r="EQ14" s="102">
        <v>18502165</v>
      </c>
      <c r="ER14" s="71">
        <v>-1800103</v>
      </c>
      <c r="ES14" s="102">
        <v>4867492</v>
      </c>
      <c r="ET14" s="102">
        <v>2998559</v>
      </c>
      <c r="EU14" s="102">
        <v>2655113</v>
      </c>
      <c r="EV14" s="102">
        <v>2474810</v>
      </c>
      <c r="EW14" s="73">
        <f t="shared" si="12"/>
        <v>524593</v>
      </c>
      <c r="EX14" s="102">
        <v>524546</v>
      </c>
      <c r="EY14" s="102">
        <v>7916</v>
      </c>
      <c r="EZ14" s="102">
        <v>439400</v>
      </c>
      <c r="FA14" s="102">
        <v>47</v>
      </c>
      <c r="FB14" s="102">
        <v>0</v>
      </c>
      <c r="FC14" s="102">
        <v>2780972</v>
      </c>
      <c r="FD14" s="102">
        <v>3104423</v>
      </c>
      <c r="FE14" s="102">
        <v>1050971</v>
      </c>
      <c r="FF14" s="102">
        <v>3473857</v>
      </c>
      <c r="FG14" s="73">
        <f t="shared" si="13"/>
        <v>296533</v>
      </c>
      <c r="FH14" s="102">
        <v>20177793</v>
      </c>
      <c r="FI14" s="379">
        <f t="shared" si="14"/>
        <v>0.4</v>
      </c>
      <c r="FJ14" s="102">
        <v>16693979</v>
      </c>
      <c r="FK14" s="102">
        <v>1391905</v>
      </c>
      <c r="FL14" s="102">
        <v>9690824</v>
      </c>
      <c r="FM14" s="102">
        <v>14034255</v>
      </c>
      <c r="FN14" s="428">
        <v>0.68200000000000005</v>
      </c>
      <c r="FO14" s="424">
        <v>98.1</v>
      </c>
      <c r="FP14" s="425">
        <v>25.7</v>
      </c>
      <c r="FQ14" s="424">
        <v>14.1</v>
      </c>
      <c r="FR14" s="424">
        <v>13.2</v>
      </c>
      <c r="FS14" s="425">
        <v>13.9</v>
      </c>
      <c r="FT14" s="424">
        <v>14.6</v>
      </c>
      <c r="FU14" s="425">
        <v>16.100000000000001</v>
      </c>
      <c r="FV14" s="384">
        <v>11.2</v>
      </c>
      <c r="FW14" s="102">
        <v>26978953</v>
      </c>
      <c r="FX14" s="384">
        <f t="shared" si="15"/>
        <v>149.19999999999999</v>
      </c>
      <c r="FY14" s="102">
        <v>2853262</v>
      </c>
      <c r="FZ14" s="102">
        <v>1383373</v>
      </c>
      <c r="GA14" s="102">
        <v>188585</v>
      </c>
      <c r="GB14" s="102">
        <v>1281304</v>
      </c>
      <c r="GC14" s="102">
        <v>0</v>
      </c>
      <c r="GD14" s="427"/>
      <c r="GE14" s="386"/>
      <c r="GF14" s="424">
        <v>98.8</v>
      </c>
      <c r="GG14" s="424">
        <v>28</v>
      </c>
      <c r="GH14" s="424">
        <v>95.8</v>
      </c>
      <c r="GI14" s="102">
        <v>555</v>
      </c>
      <c r="GJ14" s="429" t="s">
        <v>646</v>
      </c>
      <c r="GK14" s="429">
        <v>12.59</v>
      </c>
      <c r="GL14" s="87">
        <v>20</v>
      </c>
      <c r="GM14" s="429" t="s">
        <v>646</v>
      </c>
      <c r="GN14" s="430">
        <v>17.59</v>
      </c>
      <c r="GO14" s="430">
        <v>30</v>
      </c>
      <c r="GP14" s="425">
        <v>11.2</v>
      </c>
      <c r="GQ14" s="425">
        <v>25</v>
      </c>
      <c r="GR14" s="425">
        <v>35</v>
      </c>
      <c r="GS14" s="431">
        <v>62.9</v>
      </c>
      <c r="GT14" s="425">
        <v>350</v>
      </c>
      <c r="GU14" s="394"/>
      <c r="GV14" s="100">
        <f t="shared" si="16"/>
        <v>18086</v>
      </c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</row>
    <row r="15" spans="2:230" x14ac:dyDescent="0.15">
      <c r="B15" s="89" t="s">
        <v>19</v>
      </c>
      <c r="C15" s="102">
        <v>21319326</v>
      </c>
      <c r="D15" s="73">
        <f t="shared" si="0"/>
        <v>6758488</v>
      </c>
      <c r="E15" s="102">
        <v>216404</v>
      </c>
      <c r="F15" s="102">
        <v>6542084</v>
      </c>
      <c r="G15" s="73">
        <f t="shared" si="1"/>
        <v>1454332</v>
      </c>
      <c r="H15" s="102">
        <v>469148</v>
      </c>
      <c r="I15" s="102">
        <v>985184</v>
      </c>
      <c r="J15" s="102">
        <v>9245279</v>
      </c>
      <c r="K15" s="102">
        <v>3675572</v>
      </c>
      <c r="L15" s="102">
        <v>4014439</v>
      </c>
      <c r="M15" s="102">
        <v>1339342</v>
      </c>
      <c r="N15" s="102">
        <v>1107631</v>
      </c>
      <c r="O15" s="102">
        <v>1889885</v>
      </c>
      <c r="P15" s="102">
        <v>999076</v>
      </c>
      <c r="Q15" s="102">
        <v>890809</v>
      </c>
      <c r="R15" s="102">
        <v>215374</v>
      </c>
      <c r="S15" s="74"/>
      <c r="T15" s="73">
        <f t="shared" si="2"/>
        <v>3355249</v>
      </c>
      <c r="U15" s="102">
        <v>57246</v>
      </c>
      <c r="V15" s="102">
        <v>134581</v>
      </c>
      <c r="W15" s="102">
        <v>147831</v>
      </c>
      <c r="X15" s="102">
        <v>2937275</v>
      </c>
      <c r="Y15" s="102">
        <v>0</v>
      </c>
      <c r="Z15" s="102">
        <v>0</v>
      </c>
      <c r="AA15" s="102">
        <v>78316</v>
      </c>
      <c r="AB15" s="102">
        <v>97490</v>
      </c>
      <c r="AC15" s="102">
        <v>6978918</v>
      </c>
      <c r="AD15" s="102">
        <v>6296888</v>
      </c>
      <c r="AE15" s="102">
        <v>682029</v>
      </c>
      <c r="AF15" s="102">
        <v>20148</v>
      </c>
      <c r="AG15" s="102">
        <v>1138503</v>
      </c>
      <c r="AH15" s="73">
        <f t="shared" si="3"/>
        <v>1019765</v>
      </c>
      <c r="AI15" s="102">
        <v>783179</v>
      </c>
      <c r="AJ15" s="102">
        <v>236586</v>
      </c>
      <c r="AK15" s="102">
        <v>15382209</v>
      </c>
      <c r="AL15" s="73">
        <f t="shared" si="4"/>
        <v>10662751</v>
      </c>
      <c r="AM15" s="102">
        <v>8356556</v>
      </c>
      <c r="AN15" s="102">
        <v>751151</v>
      </c>
      <c r="AO15" s="74"/>
      <c r="AP15" s="102">
        <v>1555044</v>
      </c>
      <c r="AQ15" s="102">
        <v>1158094</v>
      </c>
      <c r="AR15" s="102">
        <v>0</v>
      </c>
      <c r="AS15" s="102">
        <v>0</v>
      </c>
      <c r="AT15" s="102">
        <v>4016693</v>
      </c>
      <c r="AU15" s="102">
        <v>2275824</v>
      </c>
      <c r="AV15" s="102">
        <v>370117</v>
      </c>
      <c r="AW15" s="102">
        <v>251510</v>
      </c>
      <c r="AX15" s="102">
        <v>1740869</v>
      </c>
      <c r="AY15" s="102">
        <v>52558</v>
      </c>
      <c r="AZ15" s="102">
        <v>332365</v>
      </c>
      <c r="BA15" s="102">
        <v>237020</v>
      </c>
      <c r="BB15" s="102">
        <v>23647</v>
      </c>
      <c r="BC15" s="102">
        <v>398702</v>
      </c>
      <c r="BD15" s="102">
        <v>5649</v>
      </c>
      <c r="BE15" s="102">
        <v>269606</v>
      </c>
      <c r="BF15" s="102">
        <v>123447</v>
      </c>
      <c r="BG15" s="102">
        <v>0</v>
      </c>
      <c r="BH15" s="102">
        <v>709153</v>
      </c>
      <c r="BI15" s="102">
        <v>429746</v>
      </c>
      <c r="BJ15" s="102">
        <v>791381</v>
      </c>
      <c r="BK15" s="102">
        <v>11887</v>
      </c>
      <c r="BL15" s="102">
        <v>0</v>
      </c>
      <c r="BM15" s="102">
        <v>37244</v>
      </c>
      <c r="BN15" s="102">
        <v>7150100</v>
      </c>
      <c r="BO15" s="73">
        <f t="shared" si="5"/>
        <v>4243200</v>
      </c>
      <c r="BP15" s="73">
        <f t="shared" si="6"/>
        <v>2906900</v>
      </c>
      <c r="BQ15" s="102">
        <v>0</v>
      </c>
      <c r="BR15" s="102">
        <v>0</v>
      </c>
      <c r="BS15" s="102">
        <v>2906900</v>
      </c>
      <c r="BT15" s="102">
        <v>0</v>
      </c>
      <c r="BU15" s="102">
        <v>62949023</v>
      </c>
      <c r="BV15" s="71"/>
      <c r="BW15" s="102">
        <v>8495417</v>
      </c>
      <c r="BX15" s="102">
        <v>5263769</v>
      </c>
      <c r="BY15" s="102">
        <v>1115367</v>
      </c>
      <c r="BZ15" s="102">
        <v>501755</v>
      </c>
      <c r="CA15" s="102">
        <v>21764167</v>
      </c>
      <c r="CB15" s="102">
        <v>3538955</v>
      </c>
      <c r="CC15" s="102">
        <v>254355</v>
      </c>
      <c r="CD15" s="102">
        <v>5448903</v>
      </c>
      <c r="CE15" s="102">
        <v>11020601</v>
      </c>
      <c r="CF15" s="102">
        <v>1134074</v>
      </c>
      <c r="CG15" s="102">
        <v>367093</v>
      </c>
      <c r="CH15" s="102">
        <v>5342703</v>
      </c>
      <c r="CI15" s="102">
        <v>4641758</v>
      </c>
      <c r="CJ15" s="83">
        <f t="shared" si="17"/>
        <v>700945</v>
      </c>
      <c r="CK15" s="102">
        <v>5937779</v>
      </c>
      <c r="CL15" s="102">
        <v>3684320</v>
      </c>
      <c r="CM15" s="102">
        <v>543958</v>
      </c>
      <c r="CN15" s="102">
        <v>753779</v>
      </c>
      <c r="CO15" s="102">
        <v>453863</v>
      </c>
      <c r="CP15" s="102">
        <v>5638068</v>
      </c>
      <c r="CQ15" s="102">
        <v>1909297</v>
      </c>
      <c r="CR15" s="102">
        <v>679008</v>
      </c>
      <c r="CS15" s="102">
        <v>510472</v>
      </c>
      <c r="CT15" s="73">
        <f t="shared" si="7"/>
        <v>1438214</v>
      </c>
      <c r="CU15" s="102">
        <v>1438214</v>
      </c>
      <c r="CV15" s="102">
        <v>0</v>
      </c>
      <c r="CW15" s="73">
        <f t="shared" si="8"/>
        <v>0</v>
      </c>
      <c r="CX15" s="102">
        <v>0</v>
      </c>
      <c r="CY15" s="102">
        <v>0</v>
      </c>
      <c r="CZ15" s="73">
        <f t="shared" si="9"/>
        <v>1415000</v>
      </c>
      <c r="DA15" s="102">
        <v>1415000</v>
      </c>
      <c r="DB15" s="102">
        <v>0</v>
      </c>
      <c r="DC15" s="102">
        <v>6952587</v>
      </c>
      <c r="DD15" s="102">
        <v>3745902</v>
      </c>
      <c r="DE15" s="102">
        <v>3199451</v>
      </c>
      <c r="DF15" s="102">
        <v>0</v>
      </c>
      <c r="DG15" s="102">
        <v>0</v>
      </c>
      <c r="DH15" s="102">
        <v>0</v>
      </c>
      <c r="DI15" s="102">
        <v>38775</v>
      </c>
      <c r="DJ15" s="102">
        <v>4871</v>
      </c>
      <c r="DK15" s="102">
        <v>5465</v>
      </c>
      <c r="DL15" s="102">
        <v>28439</v>
      </c>
      <c r="DM15" s="102">
        <v>5269</v>
      </c>
      <c r="DN15" s="102">
        <v>5269</v>
      </c>
      <c r="DO15" s="102">
        <v>5269</v>
      </c>
      <c r="DP15" s="102">
        <v>0</v>
      </c>
      <c r="DQ15" s="102">
        <v>1082</v>
      </c>
      <c r="DR15" s="102">
        <v>0</v>
      </c>
      <c r="DS15" s="102">
        <v>0</v>
      </c>
      <c r="DT15" s="102">
        <v>6188947</v>
      </c>
      <c r="DU15" s="102">
        <v>0</v>
      </c>
      <c r="DV15" s="73">
        <f t="shared" si="10"/>
        <v>0</v>
      </c>
      <c r="DW15" s="102">
        <v>0</v>
      </c>
      <c r="DX15" s="102">
        <v>1859289</v>
      </c>
      <c r="DY15" s="102">
        <v>0</v>
      </c>
      <c r="DZ15" s="102">
        <v>2325590</v>
      </c>
      <c r="EA15" s="74">
        <v>0</v>
      </c>
      <c r="EB15" s="102">
        <v>2004068</v>
      </c>
      <c r="EC15" s="102">
        <v>0</v>
      </c>
      <c r="ED15" s="102">
        <v>60818657</v>
      </c>
      <c r="EE15" s="71"/>
      <c r="EF15" s="102">
        <v>2130366</v>
      </c>
      <c r="EG15" s="102">
        <v>220007</v>
      </c>
      <c r="EH15" s="102">
        <v>1910359</v>
      </c>
      <c r="EI15" s="102">
        <v>880613</v>
      </c>
      <c r="EJ15" s="102">
        <v>880975</v>
      </c>
      <c r="EK15" s="71"/>
      <c r="EL15" s="102">
        <v>143042</v>
      </c>
      <c r="EM15" s="102">
        <v>144615</v>
      </c>
      <c r="EN15" s="102">
        <v>275256</v>
      </c>
      <c r="EO15" s="102">
        <v>314873</v>
      </c>
      <c r="EP15" s="73">
        <f t="shared" si="11"/>
        <v>1516508</v>
      </c>
      <c r="EQ15" s="102">
        <v>31986505</v>
      </c>
      <c r="ER15" s="71">
        <v>-4993389</v>
      </c>
      <c r="ES15" s="102">
        <v>7967370</v>
      </c>
      <c r="ET15" s="102">
        <v>4886998</v>
      </c>
      <c r="EU15" s="102">
        <v>5566694</v>
      </c>
      <c r="EV15" s="102">
        <v>5319460</v>
      </c>
      <c r="EW15" s="73">
        <f t="shared" si="12"/>
        <v>869442</v>
      </c>
      <c r="EX15" s="102">
        <v>869442</v>
      </c>
      <c r="EY15" s="102">
        <v>278574</v>
      </c>
      <c r="EZ15" s="102">
        <v>583634</v>
      </c>
      <c r="FA15" s="102">
        <v>0</v>
      </c>
      <c r="FB15" s="102">
        <v>0</v>
      </c>
      <c r="FC15" s="102">
        <v>4957872</v>
      </c>
      <c r="FD15" s="102">
        <v>5242766</v>
      </c>
      <c r="FE15" s="102">
        <v>1907938</v>
      </c>
      <c r="FF15" s="102">
        <v>4664747</v>
      </c>
      <c r="FG15" s="73">
        <f t="shared" si="13"/>
        <v>261177</v>
      </c>
      <c r="FH15" s="102">
        <v>34849528</v>
      </c>
      <c r="FI15" s="379">
        <f t="shared" si="14"/>
        <v>6.1</v>
      </c>
      <c r="FJ15" s="102">
        <v>28181085</v>
      </c>
      <c r="FK15" s="102">
        <v>2906900</v>
      </c>
      <c r="FL15" s="102">
        <v>17076781</v>
      </c>
      <c r="FM15" s="102">
        <v>23373669</v>
      </c>
      <c r="FN15" s="428">
        <v>0.74099999999999999</v>
      </c>
      <c r="FO15" s="424">
        <v>96.2</v>
      </c>
      <c r="FP15" s="425">
        <v>23.9</v>
      </c>
      <c r="FQ15" s="424">
        <v>17</v>
      </c>
      <c r="FR15" s="424">
        <v>16.3</v>
      </c>
      <c r="FS15" s="425">
        <v>13.6</v>
      </c>
      <c r="FT15" s="424">
        <v>12.3</v>
      </c>
      <c r="FU15" s="425">
        <v>12.3</v>
      </c>
      <c r="FV15" s="384">
        <v>7.1</v>
      </c>
      <c r="FW15" s="102">
        <v>61343321</v>
      </c>
      <c r="FX15" s="384">
        <f t="shared" si="15"/>
        <v>197.3</v>
      </c>
      <c r="FY15" s="102">
        <v>5340005</v>
      </c>
      <c r="FZ15" s="102">
        <v>1749718</v>
      </c>
      <c r="GA15" s="102">
        <v>1180445</v>
      </c>
      <c r="GB15" s="102">
        <v>2409842</v>
      </c>
      <c r="GC15" s="102">
        <v>0</v>
      </c>
      <c r="GD15" s="427"/>
      <c r="GE15" s="386"/>
      <c r="GF15" s="424">
        <v>98.7</v>
      </c>
      <c r="GG15" s="424">
        <v>31.2</v>
      </c>
      <c r="GH15" s="424">
        <v>94.5</v>
      </c>
      <c r="GI15" s="102">
        <v>740</v>
      </c>
      <c r="GJ15" s="429" t="s">
        <v>646</v>
      </c>
      <c r="GK15" s="429">
        <v>11.76</v>
      </c>
      <c r="GL15" s="87">
        <v>20</v>
      </c>
      <c r="GM15" s="429" t="s">
        <v>646</v>
      </c>
      <c r="GN15" s="430">
        <v>16.760000000000002</v>
      </c>
      <c r="GO15" s="430">
        <v>30</v>
      </c>
      <c r="GP15" s="425">
        <v>7.1</v>
      </c>
      <c r="GQ15" s="425">
        <v>25</v>
      </c>
      <c r="GR15" s="425">
        <v>35</v>
      </c>
      <c r="GS15" s="431">
        <v>72.599999999999994</v>
      </c>
      <c r="GT15" s="425">
        <v>350</v>
      </c>
      <c r="GU15" s="394"/>
      <c r="GV15" s="100">
        <f t="shared" si="16"/>
        <v>31088</v>
      </c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</row>
    <row r="16" spans="2:230" x14ac:dyDescent="0.15">
      <c r="B16" s="89" t="s">
        <v>21</v>
      </c>
      <c r="C16" s="102">
        <v>55884488</v>
      </c>
      <c r="D16" s="73">
        <f t="shared" si="0"/>
        <v>22439209</v>
      </c>
      <c r="E16" s="102">
        <v>640679</v>
      </c>
      <c r="F16" s="102">
        <v>21798530</v>
      </c>
      <c r="G16" s="73">
        <f t="shared" si="1"/>
        <v>4223624</v>
      </c>
      <c r="H16" s="102">
        <v>704067</v>
      </c>
      <c r="I16" s="102">
        <v>3519557</v>
      </c>
      <c r="J16" s="102">
        <v>20848934</v>
      </c>
      <c r="K16" s="102">
        <v>8318175</v>
      </c>
      <c r="L16" s="102">
        <v>9717988</v>
      </c>
      <c r="M16" s="102">
        <v>2468507</v>
      </c>
      <c r="N16" s="102">
        <v>2060363</v>
      </c>
      <c r="O16" s="102">
        <v>4491988</v>
      </c>
      <c r="P16" s="102">
        <v>2404746</v>
      </c>
      <c r="Q16" s="102">
        <v>2087242</v>
      </c>
      <c r="R16" s="102">
        <v>620192</v>
      </c>
      <c r="S16" s="74"/>
      <c r="T16" s="73">
        <f t="shared" si="2"/>
        <v>8920469</v>
      </c>
      <c r="U16" s="102">
        <v>197490</v>
      </c>
      <c r="V16" s="102">
        <v>462673</v>
      </c>
      <c r="W16" s="102">
        <v>506835</v>
      </c>
      <c r="X16" s="102">
        <v>7440919</v>
      </c>
      <c r="Y16" s="102">
        <v>87095</v>
      </c>
      <c r="Z16" s="102">
        <v>0</v>
      </c>
      <c r="AA16" s="102">
        <v>225457</v>
      </c>
      <c r="AB16" s="102">
        <v>277244</v>
      </c>
      <c r="AC16" s="102">
        <v>11608821</v>
      </c>
      <c r="AD16" s="102">
        <v>11321354</v>
      </c>
      <c r="AE16" s="102">
        <v>287465</v>
      </c>
      <c r="AF16" s="102">
        <v>58619</v>
      </c>
      <c r="AG16" s="102">
        <v>1317635</v>
      </c>
      <c r="AH16" s="73">
        <f t="shared" si="3"/>
        <v>2375235</v>
      </c>
      <c r="AI16" s="102">
        <v>1844251</v>
      </c>
      <c r="AJ16" s="102">
        <v>530984</v>
      </c>
      <c r="AK16" s="102">
        <v>24588865</v>
      </c>
      <c r="AL16" s="73">
        <f t="shared" si="4"/>
        <v>15095591</v>
      </c>
      <c r="AM16" s="102">
        <v>10134895</v>
      </c>
      <c r="AN16" s="102">
        <v>1957900</v>
      </c>
      <c r="AO16" s="74"/>
      <c r="AP16" s="102">
        <v>3002796</v>
      </c>
      <c r="AQ16" s="102">
        <v>187324</v>
      </c>
      <c r="AR16" s="102">
        <v>0</v>
      </c>
      <c r="AS16" s="102">
        <v>0</v>
      </c>
      <c r="AT16" s="102">
        <v>11107252</v>
      </c>
      <c r="AU16" s="102">
        <v>7440678</v>
      </c>
      <c r="AV16" s="102">
        <v>978950</v>
      </c>
      <c r="AW16" s="102">
        <v>1057445</v>
      </c>
      <c r="AX16" s="102">
        <v>3666574</v>
      </c>
      <c r="AY16" s="102">
        <v>679943</v>
      </c>
      <c r="AZ16" s="102">
        <v>133319</v>
      </c>
      <c r="BA16" s="102">
        <v>52578</v>
      </c>
      <c r="BB16" s="102">
        <v>113897</v>
      </c>
      <c r="BC16" s="102">
        <v>2391986</v>
      </c>
      <c r="BD16" s="102">
        <v>300000</v>
      </c>
      <c r="BE16" s="102">
        <v>1511949</v>
      </c>
      <c r="BF16" s="102">
        <v>498790</v>
      </c>
      <c r="BG16" s="102">
        <v>0</v>
      </c>
      <c r="BH16" s="102">
        <v>2042538</v>
      </c>
      <c r="BI16" s="102">
        <v>1876434</v>
      </c>
      <c r="BJ16" s="102">
        <v>1299687</v>
      </c>
      <c r="BK16" s="102">
        <v>24376</v>
      </c>
      <c r="BL16" s="102">
        <v>0</v>
      </c>
      <c r="BM16" s="102">
        <v>50688</v>
      </c>
      <c r="BN16" s="102">
        <v>12445542</v>
      </c>
      <c r="BO16" s="73">
        <f t="shared" si="5"/>
        <v>5668500</v>
      </c>
      <c r="BP16" s="73">
        <f t="shared" si="6"/>
        <v>6777042</v>
      </c>
      <c r="BQ16" s="102">
        <v>0</v>
      </c>
      <c r="BR16" s="102">
        <v>0</v>
      </c>
      <c r="BS16" s="102">
        <v>6777042</v>
      </c>
      <c r="BT16" s="102">
        <v>0</v>
      </c>
      <c r="BU16" s="102">
        <v>135185789</v>
      </c>
      <c r="BV16" s="71"/>
      <c r="BW16" s="102">
        <v>21594862</v>
      </c>
      <c r="BX16" s="102">
        <v>14665010</v>
      </c>
      <c r="BY16" s="102">
        <v>1763441</v>
      </c>
      <c r="BZ16" s="102">
        <v>1472109</v>
      </c>
      <c r="CA16" s="102">
        <v>40499926</v>
      </c>
      <c r="CB16" s="102">
        <v>7833526</v>
      </c>
      <c r="CC16" s="102">
        <v>737660</v>
      </c>
      <c r="CD16" s="102">
        <v>17887254</v>
      </c>
      <c r="CE16" s="102">
        <v>13485520</v>
      </c>
      <c r="CF16" s="102">
        <v>116796</v>
      </c>
      <c r="CG16" s="102">
        <v>438310</v>
      </c>
      <c r="CH16" s="102">
        <v>11176395</v>
      </c>
      <c r="CI16" s="102">
        <v>10095734</v>
      </c>
      <c r="CJ16" s="83">
        <f t="shared" si="17"/>
        <v>1080661</v>
      </c>
      <c r="CK16" s="102">
        <v>13149834</v>
      </c>
      <c r="CL16" s="102">
        <v>7908968</v>
      </c>
      <c r="CM16" s="102">
        <v>681015</v>
      </c>
      <c r="CN16" s="102">
        <v>2518439</v>
      </c>
      <c r="CO16" s="102">
        <v>1603352</v>
      </c>
      <c r="CP16" s="102">
        <v>17010933</v>
      </c>
      <c r="CQ16" s="102">
        <v>4417206</v>
      </c>
      <c r="CR16" s="102">
        <v>2683065</v>
      </c>
      <c r="CS16" s="102">
        <v>1794743</v>
      </c>
      <c r="CT16" s="73">
        <f t="shared" si="7"/>
        <v>7166456</v>
      </c>
      <c r="CU16" s="102">
        <v>2611012</v>
      </c>
      <c r="CV16" s="102">
        <v>4555444</v>
      </c>
      <c r="CW16" s="73">
        <f t="shared" si="8"/>
        <v>1720697</v>
      </c>
      <c r="CX16" s="102">
        <v>1553827</v>
      </c>
      <c r="CY16" s="102">
        <v>166870</v>
      </c>
      <c r="CZ16" s="73">
        <f t="shared" si="9"/>
        <v>5297826</v>
      </c>
      <c r="DA16" s="102">
        <v>1024840</v>
      </c>
      <c r="DB16" s="102">
        <v>4272986</v>
      </c>
      <c r="DC16" s="102">
        <v>11999521</v>
      </c>
      <c r="DD16" s="102">
        <v>2468341</v>
      </c>
      <c r="DE16" s="102">
        <v>8662416</v>
      </c>
      <c r="DF16" s="102">
        <v>218</v>
      </c>
      <c r="DG16" s="102">
        <v>868546</v>
      </c>
      <c r="DH16" s="102">
        <v>4157</v>
      </c>
      <c r="DI16" s="102">
        <v>2298073</v>
      </c>
      <c r="DJ16" s="102">
        <v>953909</v>
      </c>
      <c r="DK16" s="102">
        <v>509238</v>
      </c>
      <c r="DL16" s="102">
        <v>834926</v>
      </c>
      <c r="DM16" s="102">
        <v>54900</v>
      </c>
      <c r="DN16" s="102">
        <v>54900</v>
      </c>
      <c r="DO16" s="102">
        <v>54900</v>
      </c>
      <c r="DP16" s="102">
        <v>0</v>
      </c>
      <c r="DQ16" s="102">
        <v>9256</v>
      </c>
      <c r="DR16" s="102">
        <v>0</v>
      </c>
      <c r="DS16" s="102">
        <v>0</v>
      </c>
      <c r="DT16" s="102">
        <v>13627267</v>
      </c>
      <c r="DU16" s="102">
        <v>0</v>
      </c>
      <c r="DV16" s="73">
        <f t="shared" si="10"/>
        <v>0</v>
      </c>
      <c r="DW16" s="102">
        <v>0</v>
      </c>
      <c r="DX16" s="102">
        <v>4089264</v>
      </c>
      <c r="DY16" s="102">
        <v>0</v>
      </c>
      <c r="DZ16" s="102">
        <v>5566583</v>
      </c>
      <c r="EA16" s="74">
        <v>0</v>
      </c>
      <c r="EB16" s="102">
        <v>3971420</v>
      </c>
      <c r="EC16" s="102">
        <v>0</v>
      </c>
      <c r="ED16" s="102">
        <v>133028476</v>
      </c>
      <c r="EE16" s="71"/>
      <c r="EF16" s="102">
        <v>2157313</v>
      </c>
      <c r="EG16" s="102">
        <v>214380</v>
      </c>
      <c r="EH16" s="102">
        <v>1942933</v>
      </c>
      <c r="EI16" s="102">
        <v>66499</v>
      </c>
      <c r="EJ16" s="102">
        <v>1868634</v>
      </c>
      <c r="EK16" s="71"/>
      <c r="EL16" s="102">
        <v>404152</v>
      </c>
      <c r="EM16" s="102">
        <v>406133</v>
      </c>
      <c r="EN16" s="102">
        <v>1893196</v>
      </c>
      <c r="EO16" s="102">
        <v>84774</v>
      </c>
      <c r="EP16" s="73">
        <f t="shared" si="11"/>
        <v>4032090</v>
      </c>
      <c r="EQ16" s="102">
        <v>77369833</v>
      </c>
      <c r="ER16" s="71">
        <v>-12728483</v>
      </c>
      <c r="ES16" s="102">
        <v>19701435</v>
      </c>
      <c r="ET16" s="102">
        <v>13176867</v>
      </c>
      <c r="EU16" s="102">
        <v>12460067</v>
      </c>
      <c r="EV16" s="102">
        <v>11176395</v>
      </c>
      <c r="EW16" s="73">
        <f t="shared" si="12"/>
        <v>3015681</v>
      </c>
      <c r="EX16" s="102">
        <v>3011524</v>
      </c>
      <c r="EY16" s="102">
        <v>376490</v>
      </c>
      <c r="EZ16" s="102">
        <v>2634816</v>
      </c>
      <c r="FA16" s="102">
        <v>4157</v>
      </c>
      <c r="FB16" s="102">
        <v>0</v>
      </c>
      <c r="FC16" s="102">
        <v>10705742</v>
      </c>
      <c r="FD16" s="102">
        <v>16008727</v>
      </c>
      <c r="FE16" s="102">
        <v>4415961</v>
      </c>
      <c r="FF16" s="102">
        <v>11157801</v>
      </c>
      <c r="FG16" s="73">
        <f t="shared" si="13"/>
        <v>3715155</v>
      </c>
      <c r="FH16" s="102">
        <v>87941003</v>
      </c>
      <c r="FI16" s="379">
        <f t="shared" si="14"/>
        <v>2.5</v>
      </c>
      <c r="FJ16" s="102">
        <v>69883965</v>
      </c>
      <c r="FK16" s="102">
        <v>6777042</v>
      </c>
      <c r="FL16" s="102">
        <v>45835812</v>
      </c>
      <c r="FM16" s="102">
        <v>57153241</v>
      </c>
      <c r="FN16" s="428">
        <v>0.79300000000000004</v>
      </c>
      <c r="FO16" s="424">
        <v>89.9</v>
      </c>
      <c r="FP16" s="425">
        <v>24</v>
      </c>
      <c r="FQ16" s="424">
        <v>15</v>
      </c>
      <c r="FR16" s="424">
        <v>12.6</v>
      </c>
      <c r="FS16" s="425">
        <v>11.5</v>
      </c>
      <c r="FT16" s="424">
        <v>14.1</v>
      </c>
      <c r="FU16" s="425">
        <v>10.7</v>
      </c>
      <c r="FV16" s="384">
        <v>0.4</v>
      </c>
      <c r="FW16" s="102">
        <v>99253382</v>
      </c>
      <c r="FX16" s="384">
        <f t="shared" si="15"/>
        <v>129.5</v>
      </c>
      <c r="FY16" s="102">
        <v>29713693</v>
      </c>
      <c r="FZ16" s="102">
        <v>9730600</v>
      </c>
      <c r="GA16" s="102">
        <v>5343594</v>
      </c>
      <c r="GB16" s="102">
        <v>14639499</v>
      </c>
      <c r="GC16" s="102">
        <v>4962120</v>
      </c>
      <c r="GD16" s="427">
        <v>8072</v>
      </c>
      <c r="GE16" s="386">
        <f>IF(GD16=0,"-",ROUND(GD16/(GV16)*100,1))</f>
        <v>10.5</v>
      </c>
      <c r="GF16" s="424">
        <v>99.5</v>
      </c>
      <c r="GG16" s="424">
        <v>33.5</v>
      </c>
      <c r="GH16" s="424">
        <v>97.9</v>
      </c>
      <c r="GI16" s="102">
        <v>2152</v>
      </c>
      <c r="GJ16" s="429" t="s">
        <v>646</v>
      </c>
      <c r="GK16" s="429">
        <v>11.25</v>
      </c>
      <c r="GL16" s="87">
        <v>20</v>
      </c>
      <c r="GM16" s="429" t="s">
        <v>646</v>
      </c>
      <c r="GN16" s="430">
        <v>16.25</v>
      </c>
      <c r="GO16" s="430">
        <v>30</v>
      </c>
      <c r="GP16" s="425">
        <v>0.4</v>
      </c>
      <c r="GQ16" s="425">
        <v>25</v>
      </c>
      <c r="GR16" s="425">
        <v>35</v>
      </c>
      <c r="GS16" s="431" t="s">
        <v>646</v>
      </c>
      <c r="GT16" s="425">
        <v>350</v>
      </c>
      <c r="GU16" s="394"/>
      <c r="GV16" s="100">
        <f t="shared" si="16"/>
        <v>76661</v>
      </c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</row>
    <row r="17" spans="2:230" x14ac:dyDescent="0.15">
      <c r="B17" s="89" t="s">
        <v>23</v>
      </c>
      <c r="C17" s="102">
        <v>44583967</v>
      </c>
      <c r="D17" s="73">
        <f t="shared" si="0"/>
        <v>17469250</v>
      </c>
      <c r="E17" s="102">
        <v>452066</v>
      </c>
      <c r="F17" s="102">
        <v>17017184</v>
      </c>
      <c r="G17" s="73">
        <f t="shared" si="1"/>
        <v>3230463</v>
      </c>
      <c r="H17" s="102">
        <v>721183</v>
      </c>
      <c r="I17" s="102">
        <v>2509280</v>
      </c>
      <c r="J17" s="102">
        <v>17991960</v>
      </c>
      <c r="K17" s="102">
        <v>7886311</v>
      </c>
      <c r="L17" s="102">
        <v>7746338</v>
      </c>
      <c r="M17" s="102">
        <v>2069240</v>
      </c>
      <c r="N17" s="102">
        <v>1718939</v>
      </c>
      <c r="O17" s="102">
        <v>3745134</v>
      </c>
      <c r="P17" s="102">
        <v>2085359</v>
      </c>
      <c r="Q17" s="102">
        <v>1659775</v>
      </c>
      <c r="R17" s="102">
        <v>471898</v>
      </c>
      <c r="S17" s="74"/>
      <c r="T17" s="73">
        <f t="shared" si="2"/>
        <v>6461521</v>
      </c>
      <c r="U17" s="102">
        <v>150762</v>
      </c>
      <c r="V17" s="102">
        <v>353730</v>
      </c>
      <c r="W17" s="102">
        <v>387950</v>
      </c>
      <c r="X17" s="102">
        <v>5305595</v>
      </c>
      <c r="Y17" s="102">
        <v>91848</v>
      </c>
      <c r="Z17" s="102">
        <v>0</v>
      </c>
      <c r="AA17" s="102">
        <v>171636</v>
      </c>
      <c r="AB17" s="102">
        <v>202181</v>
      </c>
      <c r="AC17" s="102">
        <v>1874005</v>
      </c>
      <c r="AD17" s="102">
        <v>1603713</v>
      </c>
      <c r="AE17" s="102">
        <v>270253</v>
      </c>
      <c r="AF17" s="102">
        <v>50216</v>
      </c>
      <c r="AG17" s="102">
        <v>755861</v>
      </c>
      <c r="AH17" s="73">
        <f t="shared" si="3"/>
        <v>1701364</v>
      </c>
      <c r="AI17" s="102">
        <v>1280886</v>
      </c>
      <c r="AJ17" s="102">
        <v>420478</v>
      </c>
      <c r="AK17" s="102">
        <v>15936157</v>
      </c>
      <c r="AL17" s="73">
        <f t="shared" si="4"/>
        <v>8770590</v>
      </c>
      <c r="AM17" s="102">
        <v>5325726</v>
      </c>
      <c r="AN17" s="102">
        <v>1712281</v>
      </c>
      <c r="AO17" s="74"/>
      <c r="AP17" s="102">
        <v>1732583</v>
      </c>
      <c r="AQ17" s="102">
        <v>255330</v>
      </c>
      <c r="AR17" s="102">
        <v>0</v>
      </c>
      <c r="AS17" s="102">
        <v>0</v>
      </c>
      <c r="AT17" s="102">
        <v>6350058</v>
      </c>
      <c r="AU17" s="102">
        <v>3816991</v>
      </c>
      <c r="AV17" s="102">
        <v>852155</v>
      </c>
      <c r="AW17" s="102">
        <v>309581</v>
      </c>
      <c r="AX17" s="102">
        <v>2533067</v>
      </c>
      <c r="AY17" s="102">
        <v>55855</v>
      </c>
      <c r="AZ17" s="102">
        <v>72725</v>
      </c>
      <c r="BA17" s="102">
        <v>33431</v>
      </c>
      <c r="BB17" s="102">
        <v>188097</v>
      </c>
      <c r="BC17" s="102">
        <v>101167</v>
      </c>
      <c r="BD17" s="102">
        <v>0</v>
      </c>
      <c r="BE17" s="102">
        <v>0</v>
      </c>
      <c r="BF17" s="102">
        <v>6380</v>
      </c>
      <c r="BG17" s="102">
        <v>0</v>
      </c>
      <c r="BH17" s="102">
        <v>733578</v>
      </c>
      <c r="BI17" s="102">
        <v>427395</v>
      </c>
      <c r="BJ17" s="102">
        <v>2385129</v>
      </c>
      <c r="BK17" s="102">
        <v>411877</v>
      </c>
      <c r="BL17" s="102">
        <v>24304</v>
      </c>
      <c r="BM17" s="102">
        <v>68517</v>
      </c>
      <c r="BN17" s="102">
        <v>4002300</v>
      </c>
      <c r="BO17" s="73">
        <f t="shared" si="5"/>
        <v>1668300</v>
      </c>
      <c r="BP17" s="73">
        <f t="shared" si="6"/>
        <v>2334000</v>
      </c>
      <c r="BQ17" s="102">
        <v>0</v>
      </c>
      <c r="BR17" s="102">
        <v>0</v>
      </c>
      <c r="BS17" s="102">
        <v>2334000</v>
      </c>
      <c r="BT17" s="102">
        <v>0</v>
      </c>
      <c r="BU17" s="102">
        <v>85870224</v>
      </c>
      <c r="BV17" s="71"/>
      <c r="BW17" s="102">
        <v>13673652</v>
      </c>
      <c r="BX17" s="102">
        <v>9441368</v>
      </c>
      <c r="BY17" s="102">
        <v>1037085</v>
      </c>
      <c r="BZ17" s="102">
        <v>666650</v>
      </c>
      <c r="CA17" s="102">
        <v>25631572</v>
      </c>
      <c r="CB17" s="102">
        <v>4907036</v>
      </c>
      <c r="CC17" s="102">
        <v>563062</v>
      </c>
      <c r="CD17" s="102">
        <v>12668137</v>
      </c>
      <c r="CE17" s="102">
        <v>6986103</v>
      </c>
      <c r="CF17" s="102">
        <v>0</v>
      </c>
      <c r="CG17" s="102">
        <v>505934</v>
      </c>
      <c r="CH17" s="102">
        <v>4648501</v>
      </c>
      <c r="CI17" s="102">
        <v>3976977</v>
      </c>
      <c r="CJ17" s="83">
        <f t="shared" si="17"/>
        <v>671524</v>
      </c>
      <c r="CK17" s="102">
        <v>14236173</v>
      </c>
      <c r="CL17" s="102">
        <v>7658803</v>
      </c>
      <c r="CM17" s="102">
        <v>1324179</v>
      </c>
      <c r="CN17" s="102">
        <v>2976881</v>
      </c>
      <c r="CO17" s="102">
        <v>929425</v>
      </c>
      <c r="CP17" s="102">
        <v>6848315</v>
      </c>
      <c r="CQ17" s="102">
        <v>5327</v>
      </c>
      <c r="CR17" s="102">
        <v>2980155</v>
      </c>
      <c r="CS17" s="102">
        <v>1859957</v>
      </c>
      <c r="CT17" s="73">
        <f t="shared" si="7"/>
        <v>2498141</v>
      </c>
      <c r="CU17" s="102">
        <v>1255306</v>
      </c>
      <c r="CV17" s="102">
        <v>1242835</v>
      </c>
      <c r="CW17" s="73">
        <f t="shared" si="8"/>
        <v>0</v>
      </c>
      <c r="CX17" s="102">
        <v>0</v>
      </c>
      <c r="CY17" s="102">
        <v>0</v>
      </c>
      <c r="CZ17" s="73">
        <f t="shared" si="9"/>
        <v>2428494</v>
      </c>
      <c r="DA17" s="102">
        <v>1247599</v>
      </c>
      <c r="DB17" s="102">
        <v>1180895</v>
      </c>
      <c r="DC17" s="102">
        <v>8568463</v>
      </c>
      <c r="DD17" s="102">
        <v>2341379</v>
      </c>
      <c r="DE17" s="102">
        <v>6221148</v>
      </c>
      <c r="DF17" s="102">
        <v>0</v>
      </c>
      <c r="DG17" s="102">
        <v>5936</v>
      </c>
      <c r="DH17" s="102">
        <v>132378</v>
      </c>
      <c r="DI17" s="102">
        <v>1276260</v>
      </c>
      <c r="DJ17" s="102">
        <v>500700</v>
      </c>
      <c r="DK17" s="102">
        <v>0</v>
      </c>
      <c r="DL17" s="102">
        <v>775560</v>
      </c>
      <c r="DM17" s="102">
        <v>8819</v>
      </c>
      <c r="DN17" s="102">
        <v>8819</v>
      </c>
      <c r="DO17" s="102">
        <v>8819</v>
      </c>
      <c r="DP17" s="102">
        <v>0</v>
      </c>
      <c r="DQ17" s="102">
        <v>711830</v>
      </c>
      <c r="DR17" s="102">
        <v>300000</v>
      </c>
      <c r="DS17" s="102">
        <v>0</v>
      </c>
      <c r="DT17" s="102">
        <v>7879893</v>
      </c>
      <c r="DU17" s="102">
        <v>0</v>
      </c>
      <c r="DV17" s="73">
        <f t="shared" si="10"/>
        <v>0</v>
      </c>
      <c r="DW17" s="102">
        <v>0</v>
      </c>
      <c r="DX17" s="102">
        <v>2725826</v>
      </c>
      <c r="DY17" s="102">
        <v>0</v>
      </c>
      <c r="DZ17" s="102">
        <v>2848219</v>
      </c>
      <c r="EA17" s="74">
        <v>0</v>
      </c>
      <c r="EB17" s="102">
        <v>2305848</v>
      </c>
      <c r="EC17" s="102">
        <v>0</v>
      </c>
      <c r="ED17" s="102">
        <v>84545281</v>
      </c>
      <c r="EE17" s="71"/>
      <c r="EF17" s="102">
        <v>1324943</v>
      </c>
      <c r="EG17" s="102">
        <v>412438</v>
      </c>
      <c r="EH17" s="102">
        <v>912505</v>
      </c>
      <c r="EI17" s="102">
        <v>57110</v>
      </c>
      <c r="EJ17" s="102">
        <v>557810</v>
      </c>
      <c r="EK17" s="71"/>
      <c r="EL17" s="102">
        <v>280033</v>
      </c>
      <c r="EM17" s="102">
        <v>279395</v>
      </c>
      <c r="EN17" s="102">
        <v>94787</v>
      </c>
      <c r="EO17" s="102">
        <v>71149</v>
      </c>
      <c r="EP17" s="73">
        <f t="shared" si="11"/>
        <v>2373352</v>
      </c>
      <c r="EQ17" s="102">
        <v>53643788</v>
      </c>
      <c r="ER17" s="71">
        <v>-4823072</v>
      </c>
      <c r="ES17" s="102">
        <v>12477450</v>
      </c>
      <c r="ET17" s="102">
        <v>8443207</v>
      </c>
      <c r="EU17" s="102">
        <v>8243094</v>
      </c>
      <c r="EV17" s="102">
        <v>4648501</v>
      </c>
      <c r="EW17" s="73">
        <f t="shared" si="12"/>
        <v>4922404</v>
      </c>
      <c r="EX17" s="102">
        <v>4873208</v>
      </c>
      <c r="EY17" s="102">
        <v>473166</v>
      </c>
      <c r="EZ17" s="102">
        <v>4400042</v>
      </c>
      <c r="FA17" s="102">
        <v>49196</v>
      </c>
      <c r="FB17" s="102">
        <v>0</v>
      </c>
      <c r="FC17" s="102">
        <v>12018890</v>
      </c>
      <c r="FD17" s="102">
        <v>6124396</v>
      </c>
      <c r="FE17" s="102">
        <v>5327</v>
      </c>
      <c r="FF17" s="102">
        <v>6386547</v>
      </c>
      <c r="FG17" s="73">
        <f t="shared" si="13"/>
        <v>2320635</v>
      </c>
      <c r="FH17" s="102">
        <v>57141917</v>
      </c>
      <c r="FI17" s="379">
        <f t="shared" si="14"/>
        <v>1.8</v>
      </c>
      <c r="FJ17" s="102">
        <v>47282141</v>
      </c>
      <c r="FK17" s="102">
        <v>2628037</v>
      </c>
      <c r="FL17" s="102">
        <v>35478149</v>
      </c>
      <c r="FM17" s="102">
        <v>37081862</v>
      </c>
      <c r="FN17" s="428">
        <v>0.94499999999999995</v>
      </c>
      <c r="FO17" s="424">
        <v>88.8</v>
      </c>
      <c r="FP17" s="425">
        <v>23.2</v>
      </c>
      <c r="FQ17" s="424">
        <v>15.6</v>
      </c>
      <c r="FR17" s="424">
        <v>8.8000000000000007</v>
      </c>
      <c r="FS17" s="425">
        <v>20.5</v>
      </c>
      <c r="FT17" s="424">
        <v>9</v>
      </c>
      <c r="FU17" s="425">
        <v>9.9</v>
      </c>
      <c r="FV17" s="384">
        <v>-2.8</v>
      </c>
      <c r="FW17" s="102">
        <v>58840848</v>
      </c>
      <c r="FX17" s="384">
        <f t="shared" si="15"/>
        <v>117.9</v>
      </c>
      <c r="FY17" s="102">
        <v>18288865</v>
      </c>
      <c r="FZ17" s="102">
        <v>7214220</v>
      </c>
      <c r="GA17" s="102">
        <v>0</v>
      </c>
      <c r="GB17" s="102">
        <v>11074645</v>
      </c>
      <c r="GC17" s="102">
        <v>0</v>
      </c>
      <c r="GD17" s="427">
        <v>917</v>
      </c>
      <c r="GE17" s="386">
        <f>IF(GD17=0,"-",ROUND(GD17/(GV17)*100,1))</f>
        <v>1.8</v>
      </c>
      <c r="GF17" s="424">
        <v>99.1</v>
      </c>
      <c r="GG17" s="424">
        <v>22</v>
      </c>
      <c r="GH17" s="424">
        <v>96.4</v>
      </c>
      <c r="GI17" s="102">
        <v>1463</v>
      </c>
      <c r="GJ17" s="429" t="s">
        <v>646</v>
      </c>
      <c r="GK17" s="429">
        <v>11.25</v>
      </c>
      <c r="GL17" s="87">
        <v>20</v>
      </c>
      <c r="GM17" s="429" t="s">
        <v>646</v>
      </c>
      <c r="GN17" s="430">
        <v>16.25</v>
      </c>
      <c r="GO17" s="430">
        <v>30</v>
      </c>
      <c r="GP17" s="425">
        <v>-2.8</v>
      </c>
      <c r="GQ17" s="425">
        <v>25</v>
      </c>
      <c r="GR17" s="425">
        <v>35</v>
      </c>
      <c r="GS17" s="431" t="s">
        <v>646</v>
      </c>
      <c r="GT17" s="425">
        <v>350</v>
      </c>
      <c r="GU17" s="394"/>
      <c r="GV17" s="100">
        <f t="shared" si="16"/>
        <v>49910</v>
      </c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</row>
    <row r="18" spans="2:230" x14ac:dyDescent="0.15">
      <c r="B18" s="89" t="s">
        <v>25</v>
      </c>
      <c r="C18" s="102">
        <v>38590697</v>
      </c>
      <c r="D18" s="73">
        <f t="shared" si="0"/>
        <v>13422054</v>
      </c>
      <c r="E18" s="102">
        <v>402555</v>
      </c>
      <c r="F18" s="102">
        <v>13019499</v>
      </c>
      <c r="G18" s="73">
        <f t="shared" si="1"/>
        <v>3159156</v>
      </c>
      <c r="H18" s="102">
        <v>702117</v>
      </c>
      <c r="I18" s="102">
        <v>2457039</v>
      </c>
      <c r="J18" s="102">
        <v>15903511</v>
      </c>
      <c r="K18" s="102">
        <v>7189184</v>
      </c>
      <c r="L18" s="102">
        <v>6398717</v>
      </c>
      <c r="M18" s="102">
        <v>2033967</v>
      </c>
      <c r="N18" s="102">
        <v>2515874</v>
      </c>
      <c r="O18" s="102">
        <v>3308067</v>
      </c>
      <c r="P18" s="102">
        <v>1910268</v>
      </c>
      <c r="Q18" s="102">
        <v>1397799</v>
      </c>
      <c r="R18" s="102">
        <v>426778</v>
      </c>
      <c r="S18" s="74"/>
      <c r="T18" s="73">
        <f t="shared" si="2"/>
        <v>6197138</v>
      </c>
      <c r="U18" s="102">
        <v>115840</v>
      </c>
      <c r="V18" s="102">
        <v>272117</v>
      </c>
      <c r="W18" s="102">
        <v>298720</v>
      </c>
      <c r="X18" s="102">
        <v>5355689</v>
      </c>
      <c r="Y18" s="102">
        <v>0</v>
      </c>
      <c r="Z18" s="102">
        <v>0</v>
      </c>
      <c r="AA18" s="102">
        <v>154772</v>
      </c>
      <c r="AB18" s="102">
        <v>206522</v>
      </c>
      <c r="AC18" s="102">
        <v>10747797</v>
      </c>
      <c r="AD18" s="102">
        <v>10226848</v>
      </c>
      <c r="AE18" s="102">
        <v>520898</v>
      </c>
      <c r="AF18" s="102">
        <v>41245</v>
      </c>
      <c r="AG18" s="102">
        <v>1695176</v>
      </c>
      <c r="AH18" s="73">
        <f t="shared" si="3"/>
        <v>1755023</v>
      </c>
      <c r="AI18" s="102">
        <v>1214066</v>
      </c>
      <c r="AJ18" s="102">
        <v>540957</v>
      </c>
      <c r="AK18" s="102">
        <v>22465731</v>
      </c>
      <c r="AL18" s="73">
        <f t="shared" si="4"/>
        <v>14488117</v>
      </c>
      <c r="AM18" s="102">
        <v>10321963</v>
      </c>
      <c r="AN18" s="102">
        <v>1742897</v>
      </c>
      <c r="AO18" s="74"/>
      <c r="AP18" s="102">
        <v>2423257</v>
      </c>
      <c r="AQ18" s="102">
        <v>1658968</v>
      </c>
      <c r="AR18" s="102">
        <v>0</v>
      </c>
      <c r="AS18" s="102">
        <v>41003</v>
      </c>
      <c r="AT18" s="102">
        <v>6865021</v>
      </c>
      <c r="AU18" s="102">
        <v>3872641</v>
      </c>
      <c r="AV18" s="102">
        <v>731391</v>
      </c>
      <c r="AW18" s="102">
        <v>379225</v>
      </c>
      <c r="AX18" s="102">
        <v>2992380</v>
      </c>
      <c r="AY18" s="102">
        <v>155475</v>
      </c>
      <c r="AZ18" s="102">
        <v>163075</v>
      </c>
      <c r="BA18" s="102">
        <v>37412</v>
      </c>
      <c r="BB18" s="102">
        <v>255235</v>
      </c>
      <c r="BC18" s="102">
        <v>1404838</v>
      </c>
      <c r="BD18" s="102">
        <v>0</v>
      </c>
      <c r="BE18" s="102">
        <v>0</v>
      </c>
      <c r="BF18" s="102">
        <v>1404838</v>
      </c>
      <c r="BG18" s="102">
        <v>0</v>
      </c>
      <c r="BH18" s="102">
        <v>625855</v>
      </c>
      <c r="BI18" s="102">
        <v>18104</v>
      </c>
      <c r="BJ18" s="102">
        <v>1118771</v>
      </c>
      <c r="BK18" s="102">
        <v>249056</v>
      </c>
      <c r="BL18" s="102">
        <v>0</v>
      </c>
      <c r="BM18" s="102">
        <v>44441</v>
      </c>
      <c r="BN18" s="102">
        <v>14338355</v>
      </c>
      <c r="BO18" s="73">
        <f t="shared" si="5"/>
        <v>9636100</v>
      </c>
      <c r="BP18" s="73">
        <f t="shared" si="6"/>
        <v>4702255</v>
      </c>
      <c r="BQ18" s="102">
        <v>0</v>
      </c>
      <c r="BR18" s="102">
        <v>0</v>
      </c>
      <c r="BS18" s="102">
        <v>4702255</v>
      </c>
      <c r="BT18" s="102">
        <v>0</v>
      </c>
      <c r="BU18" s="102">
        <v>106938260</v>
      </c>
      <c r="BV18" s="71"/>
      <c r="BW18" s="102">
        <v>16416689</v>
      </c>
      <c r="BX18" s="102">
        <v>10727299</v>
      </c>
      <c r="BY18" s="102">
        <v>1085207</v>
      </c>
      <c r="BZ18" s="102">
        <v>1692587</v>
      </c>
      <c r="CA18" s="102">
        <v>33558795</v>
      </c>
      <c r="CB18" s="102">
        <v>6146103</v>
      </c>
      <c r="CC18" s="102">
        <v>545585</v>
      </c>
      <c r="CD18" s="102">
        <v>12000995</v>
      </c>
      <c r="CE18" s="102">
        <v>13604122</v>
      </c>
      <c r="CF18" s="102">
        <v>881678</v>
      </c>
      <c r="CG18" s="102">
        <v>379269</v>
      </c>
      <c r="CH18" s="102">
        <v>9135050</v>
      </c>
      <c r="CI18" s="102">
        <v>8196143</v>
      </c>
      <c r="CJ18" s="83">
        <f t="shared" si="17"/>
        <v>938907</v>
      </c>
      <c r="CK18" s="102">
        <v>9788620</v>
      </c>
      <c r="CL18" s="102">
        <v>6498500</v>
      </c>
      <c r="CM18" s="102">
        <v>569048</v>
      </c>
      <c r="CN18" s="102">
        <v>1836681</v>
      </c>
      <c r="CO18" s="102">
        <v>515242</v>
      </c>
      <c r="CP18" s="102">
        <v>10304227</v>
      </c>
      <c r="CQ18" s="102">
        <v>990608</v>
      </c>
      <c r="CR18" s="102">
        <v>1921909</v>
      </c>
      <c r="CS18" s="102">
        <v>1542118</v>
      </c>
      <c r="CT18" s="73">
        <f t="shared" si="7"/>
        <v>6327787</v>
      </c>
      <c r="CU18" s="102">
        <v>6327787</v>
      </c>
      <c r="CV18" s="102">
        <v>0</v>
      </c>
      <c r="CW18" s="73">
        <f t="shared" si="8"/>
        <v>1551693</v>
      </c>
      <c r="CX18" s="102">
        <v>1551693</v>
      </c>
      <c r="CY18" s="102">
        <v>0</v>
      </c>
      <c r="CZ18" s="73">
        <f t="shared" si="9"/>
        <v>4682563</v>
      </c>
      <c r="DA18" s="102">
        <v>4682563</v>
      </c>
      <c r="DB18" s="102">
        <v>0</v>
      </c>
      <c r="DC18" s="102">
        <v>15483918</v>
      </c>
      <c r="DD18" s="102">
        <v>5193345</v>
      </c>
      <c r="DE18" s="102">
        <v>10248042</v>
      </c>
      <c r="DF18" s="102">
        <v>40468</v>
      </c>
      <c r="DG18" s="102">
        <v>2063</v>
      </c>
      <c r="DH18" s="102">
        <v>0</v>
      </c>
      <c r="DI18" s="102">
        <v>293615</v>
      </c>
      <c r="DJ18" s="102">
        <v>30591</v>
      </c>
      <c r="DK18" s="102">
        <v>0</v>
      </c>
      <c r="DL18" s="102">
        <v>263024</v>
      </c>
      <c r="DM18" s="102">
        <v>1367705</v>
      </c>
      <c r="DN18" s="102">
        <v>1342505</v>
      </c>
      <c r="DO18" s="102">
        <v>66000</v>
      </c>
      <c r="DP18" s="102">
        <v>249370</v>
      </c>
      <c r="DQ18" s="102">
        <v>322300</v>
      </c>
      <c r="DR18" s="102">
        <v>0</v>
      </c>
      <c r="DS18" s="102">
        <v>0</v>
      </c>
      <c r="DT18" s="102">
        <v>9629625</v>
      </c>
      <c r="DU18" s="102">
        <v>0</v>
      </c>
      <c r="DV18" s="73">
        <f t="shared" si="10"/>
        <v>0</v>
      </c>
      <c r="DW18" s="102">
        <v>0</v>
      </c>
      <c r="DX18" s="102">
        <v>2922592</v>
      </c>
      <c r="DY18" s="102">
        <v>0</v>
      </c>
      <c r="DZ18" s="102">
        <v>3533061</v>
      </c>
      <c r="EA18" s="74">
        <v>0</v>
      </c>
      <c r="EB18" s="102">
        <v>3124848</v>
      </c>
      <c r="EC18" s="102">
        <v>0</v>
      </c>
      <c r="ED18" s="102">
        <v>106815786</v>
      </c>
      <c r="EE18" s="71"/>
      <c r="EF18" s="102">
        <v>122474</v>
      </c>
      <c r="EG18" s="102">
        <v>73539</v>
      </c>
      <c r="EH18" s="102">
        <v>48935</v>
      </c>
      <c r="EI18" s="102">
        <v>30831</v>
      </c>
      <c r="EJ18" s="102">
        <v>109849</v>
      </c>
      <c r="EK18" s="71"/>
      <c r="EL18" s="102">
        <v>268800</v>
      </c>
      <c r="EM18" s="102">
        <v>268965</v>
      </c>
      <c r="EN18" s="102">
        <v>1110002</v>
      </c>
      <c r="EO18" s="102">
        <v>137046</v>
      </c>
      <c r="EP18" s="73">
        <f t="shared" si="11"/>
        <v>1880269</v>
      </c>
      <c r="EQ18" s="102">
        <v>56251180</v>
      </c>
      <c r="ER18" s="71">
        <v>-7747324</v>
      </c>
      <c r="ES18" s="102">
        <v>14926674</v>
      </c>
      <c r="ET18" s="102">
        <v>9846277</v>
      </c>
      <c r="EU18" s="102">
        <v>9371561</v>
      </c>
      <c r="EV18" s="102">
        <v>9060681</v>
      </c>
      <c r="EW18" s="73">
        <f t="shared" si="12"/>
        <v>3067980</v>
      </c>
      <c r="EX18" s="102">
        <v>3067980</v>
      </c>
      <c r="EY18" s="102">
        <v>198493</v>
      </c>
      <c r="EZ18" s="102">
        <v>2860119</v>
      </c>
      <c r="FA18" s="102">
        <v>0</v>
      </c>
      <c r="FB18" s="102">
        <v>0</v>
      </c>
      <c r="FC18" s="102">
        <v>8344551</v>
      </c>
      <c r="FD18" s="102">
        <v>9592028</v>
      </c>
      <c r="FE18" s="102">
        <v>689440</v>
      </c>
      <c r="FF18" s="102">
        <v>7725014</v>
      </c>
      <c r="FG18" s="73">
        <f t="shared" si="13"/>
        <v>1787541</v>
      </c>
      <c r="FH18" s="102">
        <v>63876030</v>
      </c>
      <c r="FI18" s="379">
        <f t="shared" si="14"/>
        <v>0.1</v>
      </c>
      <c r="FJ18" s="102">
        <v>50292621</v>
      </c>
      <c r="FK18" s="102">
        <v>4702255</v>
      </c>
      <c r="FL18" s="102">
        <v>31222028</v>
      </c>
      <c r="FM18" s="102">
        <v>41421564</v>
      </c>
      <c r="FN18" s="428">
        <v>0.746</v>
      </c>
      <c r="FO18" s="424">
        <v>98.8</v>
      </c>
      <c r="FP18" s="425">
        <v>25.2</v>
      </c>
      <c r="FQ18" s="424">
        <v>16.2</v>
      </c>
      <c r="FR18" s="424">
        <v>15.6</v>
      </c>
      <c r="FS18" s="425">
        <v>13.2</v>
      </c>
      <c r="FT18" s="424">
        <v>14.9</v>
      </c>
      <c r="FU18" s="425">
        <v>11.2</v>
      </c>
      <c r="FV18" s="384">
        <v>7.4</v>
      </c>
      <c r="FW18" s="102">
        <v>95482598</v>
      </c>
      <c r="FX18" s="384">
        <f t="shared" si="15"/>
        <v>173.6</v>
      </c>
      <c r="FY18" s="102">
        <v>8986726</v>
      </c>
      <c r="FZ18" s="102">
        <v>6449936</v>
      </c>
      <c r="GA18" s="102">
        <v>0</v>
      </c>
      <c r="GB18" s="102">
        <v>2536790</v>
      </c>
      <c r="GC18" s="102">
        <v>0</v>
      </c>
      <c r="GD18" s="427"/>
      <c r="GE18" s="386"/>
      <c r="GF18" s="424">
        <v>99</v>
      </c>
      <c r="GG18" s="424">
        <v>37.4</v>
      </c>
      <c r="GH18" s="424">
        <v>97.4</v>
      </c>
      <c r="GI18" s="102">
        <v>1687</v>
      </c>
      <c r="GJ18" s="429" t="s">
        <v>646</v>
      </c>
      <c r="GK18" s="429">
        <v>11.25</v>
      </c>
      <c r="GL18" s="87">
        <v>20</v>
      </c>
      <c r="GM18" s="429" t="s">
        <v>646</v>
      </c>
      <c r="GN18" s="430">
        <v>16.25</v>
      </c>
      <c r="GO18" s="430">
        <v>30</v>
      </c>
      <c r="GP18" s="425">
        <v>7.4</v>
      </c>
      <c r="GQ18" s="425">
        <v>25</v>
      </c>
      <c r="GR18" s="425">
        <v>35</v>
      </c>
      <c r="GS18" s="431">
        <v>51.8</v>
      </c>
      <c r="GT18" s="425">
        <v>350</v>
      </c>
      <c r="GU18" s="394"/>
      <c r="GV18" s="100">
        <f t="shared" si="16"/>
        <v>54995</v>
      </c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</row>
    <row r="19" spans="2:230" x14ac:dyDescent="0.15">
      <c r="B19" s="89" t="s">
        <v>27</v>
      </c>
      <c r="C19" s="102">
        <v>20460961</v>
      </c>
      <c r="D19" s="73">
        <f t="shared" si="0"/>
        <v>4520913</v>
      </c>
      <c r="E19" s="102">
        <v>154453</v>
      </c>
      <c r="F19" s="102">
        <v>4366460</v>
      </c>
      <c r="G19" s="73">
        <f t="shared" si="1"/>
        <v>1667585</v>
      </c>
      <c r="H19" s="102">
        <v>426751</v>
      </c>
      <c r="I19" s="102">
        <v>1240834</v>
      </c>
      <c r="J19" s="102">
        <v>9911959</v>
      </c>
      <c r="K19" s="102">
        <v>3474972</v>
      </c>
      <c r="L19" s="102">
        <v>3616016</v>
      </c>
      <c r="M19" s="102">
        <v>2329775</v>
      </c>
      <c r="N19" s="102">
        <v>2379985</v>
      </c>
      <c r="O19" s="102">
        <v>1398570</v>
      </c>
      <c r="P19" s="102">
        <v>646486</v>
      </c>
      <c r="Q19" s="102">
        <v>752084</v>
      </c>
      <c r="R19" s="102">
        <v>208992</v>
      </c>
      <c r="S19" s="74"/>
      <c r="T19" s="73">
        <f t="shared" si="2"/>
        <v>2429359</v>
      </c>
      <c r="U19" s="102">
        <v>38828</v>
      </c>
      <c r="V19" s="102">
        <v>91279</v>
      </c>
      <c r="W19" s="102">
        <v>100263</v>
      </c>
      <c r="X19" s="102">
        <v>2090170</v>
      </c>
      <c r="Y19" s="102">
        <v>47714</v>
      </c>
      <c r="Z19" s="102">
        <v>0</v>
      </c>
      <c r="AA19" s="102">
        <v>61105</v>
      </c>
      <c r="AB19" s="102">
        <v>65920</v>
      </c>
      <c r="AC19" s="102">
        <v>1819658</v>
      </c>
      <c r="AD19" s="102">
        <v>1012068</v>
      </c>
      <c r="AE19" s="102">
        <v>807589</v>
      </c>
      <c r="AF19" s="102">
        <v>18929</v>
      </c>
      <c r="AG19" s="102">
        <v>332294</v>
      </c>
      <c r="AH19" s="73">
        <f t="shared" si="3"/>
        <v>932676</v>
      </c>
      <c r="AI19" s="102">
        <v>649206</v>
      </c>
      <c r="AJ19" s="102">
        <v>283470</v>
      </c>
      <c r="AK19" s="102">
        <v>6519295</v>
      </c>
      <c r="AL19" s="73">
        <f t="shared" si="4"/>
        <v>4198303</v>
      </c>
      <c r="AM19" s="102">
        <v>2839358</v>
      </c>
      <c r="AN19" s="102">
        <v>517068</v>
      </c>
      <c r="AO19" s="74"/>
      <c r="AP19" s="102">
        <v>841877</v>
      </c>
      <c r="AQ19" s="102">
        <v>138978</v>
      </c>
      <c r="AR19" s="102">
        <v>0</v>
      </c>
      <c r="AS19" s="102">
        <v>0</v>
      </c>
      <c r="AT19" s="102">
        <v>2811037</v>
      </c>
      <c r="AU19" s="102">
        <v>1630596</v>
      </c>
      <c r="AV19" s="102">
        <v>305240</v>
      </c>
      <c r="AW19" s="102">
        <v>119480</v>
      </c>
      <c r="AX19" s="102">
        <v>1180441</v>
      </c>
      <c r="AY19" s="102">
        <v>19315</v>
      </c>
      <c r="AZ19" s="102">
        <v>13830738</v>
      </c>
      <c r="BA19" s="102">
        <v>13819429</v>
      </c>
      <c r="BB19" s="102">
        <v>1330173</v>
      </c>
      <c r="BC19" s="102">
        <v>4467604</v>
      </c>
      <c r="BD19" s="102">
        <v>687942</v>
      </c>
      <c r="BE19" s="102">
        <v>2907000</v>
      </c>
      <c r="BF19" s="102">
        <v>772662</v>
      </c>
      <c r="BG19" s="102">
        <v>100000</v>
      </c>
      <c r="BH19" s="102">
        <v>100161</v>
      </c>
      <c r="BI19" s="102">
        <v>23471</v>
      </c>
      <c r="BJ19" s="102">
        <v>1015775</v>
      </c>
      <c r="BK19" s="102">
        <v>266555</v>
      </c>
      <c r="BL19" s="102">
        <v>0</v>
      </c>
      <c r="BM19" s="102">
        <v>51351</v>
      </c>
      <c r="BN19" s="102">
        <v>5692600</v>
      </c>
      <c r="BO19" s="73">
        <f t="shared" si="5"/>
        <v>4356700</v>
      </c>
      <c r="BP19" s="73">
        <f t="shared" si="6"/>
        <v>1335900</v>
      </c>
      <c r="BQ19" s="102">
        <v>0</v>
      </c>
      <c r="BR19" s="102">
        <v>0</v>
      </c>
      <c r="BS19" s="102">
        <v>1335900</v>
      </c>
      <c r="BT19" s="102">
        <v>0</v>
      </c>
      <c r="BU19" s="102">
        <v>62036172</v>
      </c>
      <c r="BV19" s="71"/>
      <c r="BW19" s="102">
        <v>5568448</v>
      </c>
      <c r="BX19" s="102">
        <v>3184285</v>
      </c>
      <c r="BY19" s="102">
        <v>556563</v>
      </c>
      <c r="BZ19" s="102">
        <v>555826</v>
      </c>
      <c r="CA19" s="102">
        <v>10117921</v>
      </c>
      <c r="CB19" s="102">
        <v>1940692</v>
      </c>
      <c r="CC19" s="102">
        <v>174430</v>
      </c>
      <c r="CD19" s="102">
        <v>4230132</v>
      </c>
      <c r="CE19" s="102">
        <v>3559048</v>
      </c>
      <c r="CF19" s="102">
        <v>10943</v>
      </c>
      <c r="CG19" s="102">
        <v>202676</v>
      </c>
      <c r="CH19" s="102">
        <v>9997162</v>
      </c>
      <c r="CI19" s="102">
        <v>8644443</v>
      </c>
      <c r="CJ19" s="83">
        <f t="shared" si="17"/>
        <v>1352719</v>
      </c>
      <c r="CK19" s="102">
        <v>4957150</v>
      </c>
      <c r="CL19" s="102">
        <v>3658979</v>
      </c>
      <c r="CM19" s="102">
        <v>105474</v>
      </c>
      <c r="CN19" s="102">
        <v>691780</v>
      </c>
      <c r="CO19" s="102">
        <v>113239</v>
      </c>
      <c r="CP19" s="102">
        <v>5866796</v>
      </c>
      <c r="CQ19" s="102">
        <v>2023466</v>
      </c>
      <c r="CR19" s="102">
        <v>1677939</v>
      </c>
      <c r="CS19" s="102">
        <v>1281208</v>
      </c>
      <c r="CT19" s="73">
        <f t="shared" si="7"/>
        <v>1500</v>
      </c>
      <c r="CU19" s="102">
        <v>1500</v>
      </c>
      <c r="CV19" s="102">
        <v>0</v>
      </c>
      <c r="CW19" s="73">
        <f t="shared" si="8"/>
        <v>0</v>
      </c>
      <c r="CX19" s="102">
        <v>0</v>
      </c>
      <c r="CY19" s="102">
        <v>0</v>
      </c>
      <c r="CZ19" s="73">
        <f t="shared" si="9"/>
        <v>0</v>
      </c>
      <c r="DA19" s="102">
        <v>0</v>
      </c>
      <c r="DB19" s="102">
        <v>0</v>
      </c>
      <c r="DC19" s="102">
        <v>2193155</v>
      </c>
      <c r="DD19" s="102">
        <v>416309</v>
      </c>
      <c r="DE19" s="102">
        <v>1770882</v>
      </c>
      <c r="DF19" s="102">
        <v>5930</v>
      </c>
      <c r="DG19" s="102">
        <v>0</v>
      </c>
      <c r="DH19" s="102">
        <v>0</v>
      </c>
      <c r="DI19" s="102">
        <v>17799270</v>
      </c>
      <c r="DJ19" s="102">
        <v>695312</v>
      </c>
      <c r="DK19" s="102">
        <v>16050802</v>
      </c>
      <c r="DL19" s="102">
        <v>1053156</v>
      </c>
      <c r="DM19" s="102">
        <v>0</v>
      </c>
      <c r="DN19" s="102">
        <v>0</v>
      </c>
      <c r="DO19" s="102">
        <v>0</v>
      </c>
      <c r="DP19" s="102">
        <v>0</v>
      </c>
      <c r="DQ19" s="102">
        <v>215900</v>
      </c>
      <c r="DR19" s="102">
        <v>0</v>
      </c>
      <c r="DS19" s="102">
        <v>0</v>
      </c>
      <c r="DT19" s="102">
        <v>5110530</v>
      </c>
      <c r="DU19" s="102">
        <v>1467027</v>
      </c>
      <c r="DV19" s="73">
        <f t="shared" si="10"/>
        <v>0</v>
      </c>
      <c r="DW19" s="102">
        <v>0</v>
      </c>
      <c r="DX19" s="102">
        <v>1369402</v>
      </c>
      <c r="DY19" s="102">
        <v>0</v>
      </c>
      <c r="DZ19" s="102">
        <v>944888</v>
      </c>
      <c r="EA19" s="74">
        <v>0</v>
      </c>
      <c r="EB19" s="102">
        <v>1170740</v>
      </c>
      <c r="EC19" s="102">
        <v>0</v>
      </c>
      <c r="ED19" s="102">
        <v>61939571</v>
      </c>
      <c r="EE19" s="71"/>
      <c r="EF19" s="102">
        <v>96601</v>
      </c>
      <c r="EG19" s="102">
        <v>43757</v>
      </c>
      <c r="EH19" s="102">
        <v>52844</v>
      </c>
      <c r="EI19" s="102">
        <v>29373</v>
      </c>
      <c r="EJ19" s="102">
        <v>3096743</v>
      </c>
      <c r="EK19" s="71"/>
      <c r="EL19" s="102">
        <v>100966</v>
      </c>
      <c r="EM19" s="102">
        <v>101035</v>
      </c>
      <c r="EN19" s="102">
        <v>4371942</v>
      </c>
      <c r="EO19" s="102">
        <v>13829627</v>
      </c>
      <c r="EP19" s="73">
        <f t="shared" si="11"/>
        <v>3109988</v>
      </c>
      <c r="EQ19" s="102">
        <v>25003819</v>
      </c>
      <c r="ER19" s="71">
        <v>-22628528</v>
      </c>
      <c r="ES19" s="102">
        <v>5083987</v>
      </c>
      <c r="ET19" s="102">
        <v>2811025</v>
      </c>
      <c r="EU19" s="102">
        <v>2753399</v>
      </c>
      <c r="EV19" s="102">
        <v>9630164</v>
      </c>
      <c r="EW19" s="73">
        <f t="shared" si="12"/>
        <v>326316</v>
      </c>
      <c r="EX19" s="102">
        <v>326316</v>
      </c>
      <c r="EY19" s="102">
        <v>28759</v>
      </c>
      <c r="EZ19" s="102">
        <v>295903</v>
      </c>
      <c r="FA19" s="102">
        <v>0</v>
      </c>
      <c r="FB19" s="102">
        <v>0</v>
      </c>
      <c r="FC19" s="102">
        <v>3774002</v>
      </c>
      <c r="FD19" s="102">
        <v>4904293</v>
      </c>
      <c r="FE19" s="102">
        <v>1759453</v>
      </c>
      <c r="FF19" s="102">
        <v>4213243</v>
      </c>
      <c r="FG19" s="73">
        <f t="shared" si="13"/>
        <v>16850342</v>
      </c>
      <c r="FH19" s="102">
        <v>47535746</v>
      </c>
      <c r="FI19" s="379">
        <f t="shared" si="14"/>
        <v>0.2</v>
      </c>
      <c r="FJ19" s="102">
        <v>20812356</v>
      </c>
      <c r="FK19" s="102">
        <v>1335942</v>
      </c>
      <c r="FL19" s="102">
        <v>15330189</v>
      </c>
      <c r="FM19" s="102">
        <v>16342257</v>
      </c>
      <c r="FN19" s="428">
        <v>0.93600000000000005</v>
      </c>
      <c r="FO19" s="424">
        <v>103.8</v>
      </c>
      <c r="FP19" s="425">
        <v>20.6</v>
      </c>
      <c r="FQ19" s="424">
        <v>11.5</v>
      </c>
      <c r="FR19" s="424">
        <v>27.5</v>
      </c>
      <c r="FS19" s="425">
        <v>13.2</v>
      </c>
      <c r="FT19" s="424">
        <v>13.8</v>
      </c>
      <c r="FU19" s="425">
        <v>16.8</v>
      </c>
      <c r="FV19" s="384">
        <v>22.4</v>
      </c>
      <c r="FW19" s="102">
        <v>76675444</v>
      </c>
      <c r="FX19" s="384">
        <f t="shared" si="15"/>
        <v>346.2</v>
      </c>
      <c r="FY19" s="102">
        <v>17892187</v>
      </c>
      <c r="FZ19" s="102">
        <v>1322153</v>
      </c>
      <c r="GA19" s="102">
        <v>13293751</v>
      </c>
      <c r="GB19" s="102">
        <v>3276283</v>
      </c>
      <c r="GC19" s="102">
        <v>0</v>
      </c>
      <c r="GD19" s="427">
        <v>3550</v>
      </c>
      <c r="GE19" s="386">
        <f>IF(GD19=0,"-",ROUND(GD19/(GV19)*100,1))</f>
        <v>16</v>
      </c>
      <c r="GF19" s="424">
        <v>99.5</v>
      </c>
      <c r="GG19" s="424">
        <v>38.299999999999997</v>
      </c>
      <c r="GH19" s="424">
        <v>98.4</v>
      </c>
      <c r="GI19" s="102">
        <v>479</v>
      </c>
      <c r="GJ19" s="429" t="s">
        <v>646</v>
      </c>
      <c r="GK19" s="429">
        <v>12.3</v>
      </c>
      <c r="GL19" s="87">
        <v>20</v>
      </c>
      <c r="GM19" s="429" t="s">
        <v>646</v>
      </c>
      <c r="GN19" s="430">
        <v>17.3</v>
      </c>
      <c r="GO19" s="430">
        <v>30</v>
      </c>
      <c r="GP19" s="425">
        <v>22.4</v>
      </c>
      <c r="GQ19" s="425">
        <v>25</v>
      </c>
      <c r="GR19" s="425">
        <v>35</v>
      </c>
      <c r="GS19" s="431">
        <v>191.6</v>
      </c>
      <c r="GT19" s="425">
        <v>350</v>
      </c>
      <c r="GU19" s="394"/>
      <c r="GV19" s="100">
        <f t="shared" si="16"/>
        <v>22148</v>
      </c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</row>
    <row r="20" spans="2:230" x14ac:dyDescent="0.15">
      <c r="B20" s="89" t="s">
        <v>29</v>
      </c>
      <c r="C20" s="102">
        <v>13455880</v>
      </c>
      <c r="D20" s="73">
        <f t="shared" si="0"/>
        <v>6089561</v>
      </c>
      <c r="E20" s="102">
        <v>178345</v>
      </c>
      <c r="F20" s="102">
        <v>5911216</v>
      </c>
      <c r="G20" s="73">
        <f t="shared" si="1"/>
        <v>598906</v>
      </c>
      <c r="H20" s="102">
        <v>187813</v>
      </c>
      <c r="I20" s="102">
        <v>411093</v>
      </c>
      <c r="J20" s="102">
        <v>5036731</v>
      </c>
      <c r="K20" s="102">
        <v>2004750</v>
      </c>
      <c r="L20" s="102">
        <v>2314245</v>
      </c>
      <c r="M20" s="102">
        <v>608849</v>
      </c>
      <c r="N20" s="102">
        <v>591818</v>
      </c>
      <c r="O20" s="102">
        <v>976770</v>
      </c>
      <c r="P20" s="102">
        <v>533459</v>
      </c>
      <c r="Q20" s="102">
        <v>443311</v>
      </c>
      <c r="R20" s="102">
        <v>211380</v>
      </c>
      <c r="S20" s="74"/>
      <c r="T20" s="73">
        <f t="shared" si="2"/>
        <v>2628636</v>
      </c>
      <c r="U20" s="102">
        <v>53367</v>
      </c>
      <c r="V20" s="102">
        <v>125002</v>
      </c>
      <c r="W20" s="102">
        <v>136909</v>
      </c>
      <c r="X20" s="102">
        <v>2183262</v>
      </c>
      <c r="Y20" s="102">
        <v>53235</v>
      </c>
      <c r="Z20" s="102">
        <v>0</v>
      </c>
      <c r="AA20" s="102">
        <v>76861</v>
      </c>
      <c r="AB20" s="102">
        <v>62147</v>
      </c>
      <c r="AC20" s="102">
        <v>6440204</v>
      </c>
      <c r="AD20" s="102">
        <v>6272009</v>
      </c>
      <c r="AE20" s="102">
        <v>168194</v>
      </c>
      <c r="AF20" s="102">
        <v>19963</v>
      </c>
      <c r="AG20" s="102">
        <v>1023098</v>
      </c>
      <c r="AH20" s="73">
        <f t="shared" si="3"/>
        <v>944576</v>
      </c>
      <c r="AI20" s="102">
        <v>679146</v>
      </c>
      <c r="AJ20" s="102">
        <v>265430</v>
      </c>
      <c r="AK20" s="102">
        <v>7561748</v>
      </c>
      <c r="AL20" s="73">
        <f t="shared" si="4"/>
        <v>4596134</v>
      </c>
      <c r="AM20" s="102">
        <v>3197230</v>
      </c>
      <c r="AN20" s="102">
        <v>504408</v>
      </c>
      <c r="AO20" s="74"/>
      <c r="AP20" s="102">
        <v>894496</v>
      </c>
      <c r="AQ20" s="102">
        <v>567716</v>
      </c>
      <c r="AR20" s="102">
        <v>30112</v>
      </c>
      <c r="AS20" s="102">
        <v>0</v>
      </c>
      <c r="AT20" s="102">
        <v>2550336</v>
      </c>
      <c r="AU20" s="102">
        <v>1342404</v>
      </c>
      <c r="AV20" s="102">
        <v>250643</v>
      </c>
      <c r="AW20" s="102">
        <v>13457</v>
      </c>
      <c r="AX20" s="102">
        <v>1207932</v>
      </c>
      <c r="AY20" s="102">
        <v>841</v>
      </c>
      <c r="AZ20" s="102">
        <v>97765</v>
      </c>
      <c r="BA20" s="102">
        <v>75256</v>
      </c>
      <c r="BB20" s="102">
        <v>34438</v>
      </c>
      <c r="BC20" s="102">
        <v>647712</v>
      </c>
      <c r="BD20" s="102">
        <v>0</v>
      </c>
      <c r="BE20" s="102">
        <v>0</v>
      </c>
      <c r="BF20" s="102">
        <v>647079</v>
      </c>
      <c r="BG20" s="102">
        <v>0</v>
      </c>
      <c r="BH20" s="102">
        <v>685657</v>
      </c>
      <c r="BI20" s="102">
        <v>671464</v>
      </c>
      <c r="BJ20" s="102">
        <v>1783533</v>
      </c>
      <c r="BK20" s="102">
        <v>1231734</v>
      </c>
      <c r="BL20" s="102">
        <v>0</v>
      </c>
      <c r="BM20" s="102">
        <v>54759</v>
      </c>
      <c r="BN20" s="102">
        <v>2187300</v>
      </c>
      <c r="BO20" s="73">
        <f t="shared" si="5"/>
        <v>887300</v>
      </c>
      <c r="BP20" s="73">
        <f t="shared" si="6"/>
        <v>1300000</v>
      </c>
      <c r="BQ20" s="102">
        <v>0</v>
      </c>
      <c r="BR20" s="102">
        <v>0</v>
      </c>
      <c r="BS20" s="102">
        <v>1300000</v>
      </c>
      <c r="BT20" s="102">
        <v>0</v>
      </c>
      <c r="BU20" s="102">
        <v>40334373</v>
      </c>
      <c r="BV20" s="71"/>
      <c r="BW20" s="102">
        <v>7724606</v>
      </c>
      <c r="BX20" s="102">
        <v>4977211</v>
      </c>
      <c r="BY20" s="102">
        <v>698148</v>
      </c>
      <c r="BZ20" s="102">
        <v>622341</v>
      </c>
      <c r="CA20" s="102">
        <v>11207153</v>
      </c>
      <c r="CB20" s="102">
        <v>2350228</v>
      </c>
      <c r="CC20" s="102">
        <v>213937</v>
      </c>
      <c r="CD20" s="102">
        <v>4289189</v>
      </c>
      <c r="CE20" s="102">
        <v>4212133</v>
      </c>
      <c r="CF20" s="102">
        <v>10384</v>
      </c>
      <c r="CG20" s="102">
        <v>131282</v>
      </c>
      <c r="CH20" s="102">
        <v>2204155</v>
      </c>
      <c r="CI20" s="102">
        <v>1906657</v>
      </c>
      <c r="CJ20" s="83">
        <f t="shared" si="17"/>
        <v>297498</v>
      </c>
      <c r="CK20" s="102">
        <v>4935518</v>
      </c>
      <c r="CL20" s="102">
        <v>3273270</v>
      </c>
      <c r="CM20" s="102">
        <v>472436</v>
      </c>
      <c r="CN20" s="102">
        <v>820093</v>
      </c>
      <c r="CO20" s="102">
        <v>275799</v>
      </c>
      <c r="CP20" s="102">
        <v>2726045</v>
      </c>
      <c r="CQ20" s="102">
        <v>940529</v>
      </c>
      <c r="CR20" s="102">
        <v>1051333</v>
      </c>
      <c r="CS20" s="102">
        <v>710005</v>
      </c>
      <c r="CT20" s="73">
        <f t="shared" si="7"/>
        <v>13244</v>
      </c>
      <c r="CU20" s="102">
        <v>10408</v>
      </c>
      <c r="CV20" s="102">
        <v>2836</v>
      </c>
      <c r="CW20" s="73">
        <f t="shared" si="8"/>
        <v>0</v>
      </c>
      <c r="CX20" s="102">
        <v>0</v>
      </c>
      <c r="CY20" s="102">
        <v>0</v>
      </c>
      <c r="CZ20" s="73">
        <f t="shared" si="9"/>
        <v>0</v>
      </c>
      <c r="DA20" s="102">
        <v>0</v>
      </c>
      <c r="DB20" s="102">
        <v>0</v>
      </c>
      <c r="DC20" s="102">
        <v>2315775</v>
      </c>
      <c r="DD20" s="102">
        <v>1226644</v>
      </c>
      <c r="DE20" s="102">
        <v>1089131</v>
      </c>
      <c r="DF20" s="102">
        <v>0</v>
      </c>
      <c r="DG20" s="102">
        <v>0</v>
      </c>
      <c r="DH20" s="102">
        <v>56171</v>
      </c>
      <c r="DI20" s="102">
        <v>1555125</v>
      </c>
      <c r="DJ20" s="102">
        <v>33929</v>
      </c>
      <c r="DK20" s="102">
        <v>0</v>
      </c>
      <c r="DL20" s="102">
        <v>1521196</v>
      </c>
      <c r="DM20" s="102">
        <v>0</v>
      </c>
      <c r="DN20" s="102">
        <v>0</v>
      </c>
      <c r="DO20" s="102">
        <v>0</v>
      </c>
      <c r="DP20" s="102">
        <v>0</v>
      </c>
      <c r="DQ20" s="102">
        <v>1220480</v>
      </c>
      <c r="DR20" s="102">
        <v>0</v>
      </c>
      <c r="DS20" s="102">
        <v>0</v>
      </c>
      <c r="DT20" s="102">
        <v>5409499</v>
      </c>
      <c r="DU20" s="102">
        <v>1339897</v>
      </c>
      <c r="DV20" s="73">
        <f t="shared" si="10"/>
        <v>0</v>
      </c>
      <c r="DW20" s="102">
        <v>0</v>
      </c>
      <c r="DX20" s="102">
        <v>1442576</v>
      </c>
      <c r="DY20" s="102">
        <v>0</v>
      </c>
      <c r="DZ20" s="102">
        <v>1279434</v>
      </c>
      <c r="EA20" s="74">
        <v>0</v>
      </c>
      <c r="EB20" s="102">
        <v>1345311</v>
      </c>
      <c r="EC20" s="102">
        <v>0</v>
      </c>
      <c r="ED20" s="102">
        <v>39630326</v>
      </c>
      <c r="EE20" s="71"/>
      <c r="EF20" s="102">
        <v>704047</v>
      </c>
      <c r="EG20" s="102">
        <v>125188</v>
      </c>
      <c r="EH20" s="102">
        <v>578859</v>
      </c>
      <c r="EI20" s="102">
        <v>-92605</v>
      </c>
      <c r="EJ20" s="102">
        <v>-58676</v>
      </c>
      <c r="EK20" s="71"/>
      <c r="EL20" s="102">
        <v>113984</v>
      </c>
      <c r="EM20" s="102">
        <v>114919</v>
      </c>
      <c r="EN20" s="102">
        <v>529712</v>
      </c>
      <c r="EO20" s="102">
        <v>52468</v>
      </c>
      <c r="EP20" s="73">
        <f t="shared" si="11"/>
        <v>1528207</v>
      </c>
      <c r="EQ20" s="102">
        <v>22818210</v>
      </c>
      <c r="ER20" s="71">
        <v>-3390424</v>
      </c>
      <c r="ES20" s="102">
        <v>6686223</v>
      </c>
      <c r="ET20" s="102">
        <v>4146023</v>
      </c>
      <c r="EU20" s="102">
        <v>3436184</v>
      </c>
      <c r="EV20" s="102">
        <v>2149044</v>
      </c>
      <c r="EW20" s="73">
        <f t="shared" si="12"/>
        <v>819727</v>
      </c>
      <c r="EX20" s="102">
        <v>815474</v>
      </c>
      <c r="EY20" s="102">
        <v>43233</v>
      </c>
      <c r="EZ20" s="102">
        <v>772241</v>
      </c>
      <c r="FA20" s="102">
        <v>4253</v>
      </c>
      <c r="FB20" s="102">
        <v>0</v>
      </c>
      <c r="FC20" s="102">
        <v>3819089</v>
      </c>
      <c r="FD20" s="102">
        <v>2401550</v>
      </c>
      <c r="FE20" s="102">
        <v>940529</v>
      </c>
      <c r="FF20" s="102">
        <v>4532834</v>
      </c>
      <c r="FG20" s="73">
        <f t="shared" si="13"/>
        <v>1659936</v>
      </c>
      <c r="FH20" s="102">
        <v>25504587</v>
      </c>
      <c r="FI20" s="379">
        <f t="shared" si="14"/>
        <v>2.5</v>
      </c>
      <c r="FJ20" s="102">
        <v>21056291</v>
      </c>
      <c r="FK20" s="102">
        <v>1772322</v>
      </c>
      <c r="FL20" s="102">
        <v>11568467</v>
      </c>
      <c r="FM20" s="102">
        <v>17826684</v>
      </c>
      <c r="FN20" s="428">
        <v>0.64100000000000001</v>
      </c>
      <c r="FO20" s="424">
        <v>94</v>
      </c>
      <c r="FP20" s="425">
        <v>28.6</v>
      </c>
      <c r="FQ20" s="424">
        <v>14.8</v>
      </c>
      <c r="FR20" s="424">
        <v>9.3000000000000007</v>
      </c>
      <c r="FS20" s="425">
        <v>16</v>
      </c>
      <c r="FT20" s="424">
        <v>8.1999999999999993</v>
      </c>
      <c r="FU20" s="425">
        <v>15.9</v>
      </c>
      <c r="FV20" s="384">
        <v>-0.3</v>
      </c>
      <c r="FW20" s="102">
        <v>26717715</v>
      </c>
      <c r="FX20" s="384">
        <f t="shared" si="15"/>
        <v>117</v>
      </c>
      <c r="FY20" s="102">
        <v>10853396</v>
      </c>
      <c r="FZ20" s="102">
        <v>3795642</v>
      </c>
      <c r="GA20" s="102">
        <v>0</v>
      </c>
      <c r="GB20" s="102">
        <v>7057754</v>
      </c>
      <c r="GC20" s="102">
        <v>0</v>
      </c>
      <c r="GD20" s="427"/>
      <c r="GE20" s="386"/>
      <c r="GF20" s="424">
        <v>99</v>
      </c>
      <c r="GG20" s="424">
        <v>35.5</v>
      </c>
      <c r="GH20" s="424">
        <v>95.9</v>
      </c>
      <c r="GI20" s="102">
        <v>814</v>
      </c>
      <c r="GJ20" s="429" t="s">
        <v>646</v>
      </c>
      <c r="GK20" s="429">
        <v>12.24</v>
      </c>
      <c r="GL20" s="87">
        <v>20</v>
      </c>
      <c r="GM20" s="429" t="s">
        <v>646</v>
      </c>
      <c r="GN20" s="430">
        <v>17.239999999999998</v>
      </c>
      <c r="GO20" s="430">
        <v>30</v>
      </c>
      <c r="GP20" s="425">
        <v>-0.3</v>
      </c>
      <c r="GQ20" s="425">
        <v>25</v>
      </c>
      <c r="GR20" s="425">
        <v>35</v>
      </c>
      <c r="GS20" s="431" t="s">
        <v>646</v>
      </c>
      <c r="GT20" s="425">
        <v>350</v>
      </c>
      <c r="GU20" s="394"/>
      <c r="GV20" s="100">
        <f t="shared" si="16"/>
        <v>22829</v>
      </c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</row>
    <row r="21" spans="2:230" x14ac:dyDescent="0.15">
      <c r="B21" s="89" t="s">
        <v>31</v>
      </c>
      <c r="C21" s="102">
        <v>28480242</v>
      </c>
      <c r="D21" s="73">
        <f t="shared" si="0"/>
        <v>11127598</v>
      </c>
      <c r="E21" s="102">
        <v>358167</v>
      </c>
      <c r="F21" s="102">
        <v>10769431</v>
      </c>
      <c r="G21" s="73">
        <f t="shared" si="1"/>
        <v>1952856</v>
      </c>
      <c r="H21" s="102">
        <v>532802</v>
      </c>
      <c r="I21" s="102">
        <v>1420054</v>
      </c>
      <c r="J21" s="102">
        <v>11045126</v>
      </c>
      <c r="K21" s="102">
        <v>4773562</v>
      </c>
      <c r="L21" s="102">
        <v>4949180</v>
      </c>
      <c r="M21" s="102">
        <v>1035386</v>
      </c>
      <c r="N21" s="102">
        <v>1676711</v>
      </c>
      <c r="O21" s="102">
        <v>2457555</v>
      </c>
      <c r="P21" s="102">
        <v>1364913</v>
      </c>
      <c r="Q21" s="102">
        <v>1092642</v>
      </c>
      <c r="R21" s="102">
        <v>332020</v>
      </c>
      <c r="S21" s="74"/>
      <c r="T21" s="73">
        <f t="shared" si="2"/>
        <v>5042181</v>
      </c>
      <c r="U21" s="102">
        <v>96500</v>
      </c>
      <c r="V21" s="102">
        <v>226444</v>
      </c>
      <c r="W21" s="102">
        <v>248375</v>
      </c>
      <c r="X21" s="102">
        <v>4350190</v>
      </c>
      <c r="Y21" s="102">
        <v>0</v>
      </c>
      <c r="Z21" s="102">
        <v>0</v>
      </c>
      <c r="AA21" s="102">
        <v>120672</v>
      </c>
      <c r="AB21" s="102">
        <v>161213</v>
      </c>
      <c r="AC21" s="102">
        <v>11909854</v>
      </c>
      <c r="AD21" s="102">
        <v>11385260</v>
      </c>
      <c r="AE21" s="102">
        <v>524593</v>
      </c>
      <c r="AF21" s="102">
        <v>32014</v>
      </c>
      <c r="AG21" s="102">
        <v>943284</v>
      </c>
      <c r="AH21" s="73">
        <f t="shared" si="3"/>
        <v>912975</v>
      </c>
      <c r="AI21" s="102">
        <v>574424</v>
      </c>
      <c r="AJ21" s="102">
        <v>338551</v>
      </c>
      <c r="AK21" s="102">
        <v>19647256</v>
      </c>
      <c r="AL21" s="73">
        <f t="shared" si="4"/>
        <v>13369937</v>
      </c>
      <c r="AM21" s="102">
        <v>9680029</v>
      </c>
      <c r="AN21" s="102">
        <v>1414317</v>
      </c>
      <c r="AO21" s="74"/>
      <c r="AP21" s="102">
        <v>2275591</v>
      </c>
      <c r="AQ21" s="102">
        <v>485435</v>
      </c>
      <c r="AR21" s="102">
        <v>0</v>
      </c>
      <c r="AS21" s="102">
        <v>0</v>
      </c>
      <c r="AT21" s="102">
        <v>6710270</v>
      </c>
      <c r="AU21" s="102">
        <v>4192902</v>
      </c>
      <c r="AV21" s="102">
        <v>707159</v>
      </c>
      <c r="AW21" s="102">
        <v>169719</v>
      </c>
      <c r="AX21" s="102">
        <v>2517368</v>
      </c>
      <c r="AY21" s="102">
        <v>71276</v>
      </c>
      <c r="AZ21" s="102">
        <v>103250</v>
      </c>
      <c r="BA21" s="102">
        <v>77867</v>
      </c>
      <c r="BB21" s="102">
        <v>98889</v>
      </c>
      <c r="BC21" s="102">
        <v>742883</v>
      </c>
      <c r="BD21" s="102">
        <v>220000</v>
      </c>
      <c r="BE21" s="102">
        <v>400682</v>
      </c>
      <c r="BF21" s="102">
        <v>122201</v>
      </c>
      <c r="BG21" s="102">
        <v>0</v>
      </c>
      <c r="BH21" s="102">
        <v>1441000</v>
      </c>
      <c r="BI21" s="102">
        <v>1321079</v>
      </c>
      <c r="BJ21" s="102">
        <v>621708</v>
      </c>
      <c r="BK21" s="102">
        <v>12435</v>
      </c>
      <c r="BL21" s="102">
        <v>0</v>
      </c>
      <c r="BM21" s="102">
        <v>41193</v>
      </c>
      <c r="BN21" s="102">
        <v>4569500</v>
      </c>
      <c r="BO21" s="73">
        <f t="shared" si="5"/>
        <v>1469500</v>
      </c>
      <c r="BP21" s="73">
        <f t="shared" si="6"/>
        <v>3100000</v>
      </c>
      <c r="BQ21" s="102">
        <v>0</v>
      </c>
      <c r="BR21" s="102">
        <v>0</v>
      </c>
      <c r="BS21" s="102">
        <v>3100000</v>
      </c>
      <c r="BT21" s="102">
        <v>0</v>
      </c>
      <c r="BU21" s="102">
        <v>81748539</v>
      </c>
      <c r="BV21" s="71"/>
      <c r="BW21" s="102">
        <v>10585905</v>
      </c>
      <c r="BX21" s="102">
        <v>7332945</v>
      </c>
      <c r="BY21" s="102">
        <v>868730</v>
      </c>
      <c r="BZ21" s="102">
        <v>380094</v>
      </c>
      <c r="CA21" s="102">
        <v>29971816</v>
      </c>
      <c r="CB21" s="102">
        <v>6101501</v>
      </c>
      <c r="CC21" s="102">
        <v>421969</v>
      </c>
      <c r="CD21" s="102">
        <v>10203727</v>
      </c>
      <c r="CE21" s="102">
        <v>12796891</v>
      </c>
      <c r="CF21" s="102">
        <v>38413</v>
      </c>
      <c r="CG21" s="102">
        <v>408505</v>
      </c>
      <c r="CH21" s="102">
        <v>7466290</v>
      </c>
      <c r="CI21" s="102">
        <v>6748314</v>
      </c>
      <c r="CJ21" s="83">
        <f t="shared" si="17"/>
        <v>717976</v>
      </c>
      <c r="CK21" s="102">
        <v>7647433</v>
      </c>
      <c r="CL21" s="102">
        <v>4067390</v>
      </c>
      <c r="CM21" s="102">
        <v>776283</v>
      </c>
      <c r="CN21" s="102">
        <v>1675458</v>
      </c>
      <c r="CO21" s="102">
        <v>292182</v>
      </c>
      <c r="CP21" s="102">
        <v>7716386</v>
      </c>
      <c r="CQ21" s="102">
        <v>2957238</v>
      </c>
      <c r="CR21" s="102">
        <v>1548311</v>
      </c>
      <c r="CS21" s="102">
        <v>1123849</v>
      </c>
      <c r="CT21" s="73">
        <f t="shared" si="7"/>
        <v>1651156</v>
      </c>
      <c r="CU21" s="102">
        <v>1651156</v>
      </c>
      <c r="CV21" s="102">
        <v>0</v>
      </c>
      <c r="CW21" s="73">
        <f t="shared" si="8"/>
        <v>0</v>
      </c>
      <c r="CX21" s="102">
        <v>0</v>
      </c>
      <c r="CY21" s="102">
        <v>0</v>
      </c>
      <c r="CZ21" s="73">
        <f t="shared" si="9"/>
        <v>1630221</v>
      </c>
      <c r="DA21" s="102">
        <v>1630221</v>
      </c>
      <c r="DB21" s="102">
        <v>0</v>
      </c>
      <c r="DC21" s="102">
        <v>5038882</v>
      </c>
      <c r="DD21" s="102">
        <v>1929532</v>
      </c>
      <c r="DE21" s="102">
        <v>2183000</v>
      </c>
      <c r="DF21" s="102">
        <v>143031</v>
      </c>
      <c r="DG21" s="102">
        <v>783319</v>
      </c>
      <c r="DH21" s="102">
        <v>0</v>
      </c>
      <c r="DI21" s="102">
        <v>2547127</v>
      </c>
      <c r="DJ21" s="102">
        <v>1125038</v>
      </c>
      <c r="DK21" s="102">
        <v>1151058</v>
      </c>
      <c r="DL21" s="102">
        <v>271031</v>
      </c>
      <c r="DM21" s="102">
        <v>497607</v>
      </c>
      <c r="DN21" s="102">
        <v>497607</v>
      </c>
      <c r="DO21" s="102">
        <v>0</v>
      </c>
      <c r="DP21" s="102">
        <v>0</v>
      </c>
      <c r="DQ21" s="102">
        <v>10386</v>
      </c>
      <c r="DR21" s="102">
        <v>0</v>
      </c>
      <c r="DS21" s="102">
        <v>0</v>
      </c>
      <c r="DT21" s="102">
        <v>8339102</v>
      </c>
      <c r="DU21" s="102">
        <v>0</v>
      </c>
      <c r="DV21" s="73">
        <f t="shared" si="10"/>
        <v>0</v>
      </c>
      <c r="DW21" s="102">
        <v>0</v>
      </c>
      <c r="DX21" s="102">
        <v>2626587</v>
      </c>
      <c r="DY21" s="102">
        <v>0</v>
      </c>
      <c r="DZ21" s="102">
        <v>3107704</v>
      </c>
      <c r="EA21" s="74">
        <v>0</v>
      </c>
      <c r="EB21" s="102">
        <v>2604811</v>
      </c>
      <c r="EC21" s="102">
        <v>0</v>
      </c>
      <c r="ED21" s="102">
        <v>80113116</v>
      </c>
      <c r="EE21" s="71"/>
      <c r="EF21" s="102">
        <v>1635423</v>
      </c>
      <c r="EG21" s="102">
        <v>222902</v>
      </c>
      <c r="EH21" s="102">
        <v>1412521</v>
      </c>
      <c r="EI21" s="102">
        <v>91442</v>
      </c>
      <c r="EJ21" s="102">
        <v>1668279</v>
      </c>
      <c r="EK21" s="71"/>
      <c r="EL21" s="102">
        <v>237518</v>
      </c>
      <c r="EM21" s="102">
        <v>239108</v>
      </c>
      <c r="EN21" s="102">
        <v>620682</v>
      </c>
      <c r="EO21" s="102">
        <v>79035</v>
      </c>
      <c r="EP21" s="73">
        <f t="shared" si="11"/>
        <v>2405845</v>
      </c>
      <c r="EQ21" s="102">
        <v>45957524</v>
      </c>
      <c r="ER21" s="71">
        <v>-6173548</v>
      </c>
      <c r="ES21" s="102">
        <v>9644294</v>
      </c>
      <c r="ET21" s="102">
        <v>6549694</v>
      </c>
      <c r="EU21" s="102">
        <v>8386431</v>
      </c>
      <c r="EV21" s="102">
        <v>7442766</v>
      </c>
      <c r="EW21" s="73">
        <f t="shared" si="12"/>
        <v>1640902</v>
      </c>
      <c r="EX21" s="102">
        <v>1640902</v>
      </c>
      <c r="EY21" s="102">
        <v>141964</v>
      </c>
      <c r="EZ21" s="102">
        <v>1484607</v>
      </c>
      <c r="FA21" s="102">
        <v>0</v>
      </c>
      <c r="FB21" s="102">
        <v>0</v>
      </c>
      <c r="FC21" s="102">
        <v>6276935</v>
      </c>
      <c r="FD21" s="102">
        <v>7197549</v>
      </c>
      <c r="FE21" s="102">
        <v>2951791</v>
      </c>
      <c r="FF21" s="102">
        <v>6615611</v>
      </c>
      <c r="FG21" s="73">
        <f t="shared" si="13"/>
        <v>3291161</v>
      </c>
      <c r="FH21" s="102">
        <v>50495649</v>
      </c>
      <c r="FI21" s="379">
        <f t="shared" si="14"/>
        <v>3.1</v>
      </c>
      <c r="FJ21" s="102">
        <v>41386543</v>
      </c>
      <c r="FK21" s="102">
        <v>3776101</v>
      </c>
      <c r="FL21" s="102">
        <v>23617488</v>
      </c>
      <c r="FM21" s="102">
        <v>35002748</v>
      </c>
      <c r="FN21" s="428">
        <v>0.66400000000000003</v>
      </c>
      <c r="FO21" s="424">
        <v>91.4</v>
      </c>
      <c r="FP21" s="425">
        <v>20.399999999999999</v>
      </c>
      <c r="FQ21" s="424">
        <v>17.899999999999999</v>
      </c>
      <c r="FR21" s="424">
        <v>14.6</v>
      </c>
      <c r="FS21" s="425">
        <v>11.8</v>
      </c>
      <c r="FT21" s="424">
        <v>12.7</v>
      </c>
      <c r="FU21" s="425">
        <v>12.4</v>
      </c>
      <c r="FV21" s="384">
        <v>1.9</v>
      </c>
      <c r="FW21" s="102">
        <v>61142990</v>
      </c>
      <c r="FX21" s="384">
        <f t="shared" si="15"/>
        <v>135.4</v>
      </c>
      <c r="FY21" s="102">
        <v>12360369</v>
      </c>
      <c r="FZ21" s="102">
        <v>4645620</v>
      </c>
      <c r="GA21" s="102">
        <v>1644817</v>
      </c>
      <c r="GB21" s="102">
        <v>6069932</v>
      </c>
      <c r="GC21" s="102">
        <v>0</v>
      </c>
      <c r="GD21" s="427"/>
      <c r="GE21" s="386"/>
      <c r="GF21" s="424">
        <v>98.2</v>
      </c>
      <c r="GG21" s="424">
        <v>26.8</v>
      </c>
      <c r="GH21" s="424">
        <v>92.9</v>
      </c>
      <c r="GI21" s="102">
        <v>1024</v>
      </c>
      <c r="GJ21" s="429" t="s">
        <v>646</v>
      </c>
      <c r="GK21" s="429">
        <v>11.34</v>
      </c>
      <c r="GL21" s="87">
        <v>20</v>
      </c>
      <c r="GM21" s="429" t="s">
        <v>646</v>
      </c>
      <c r="GN21" s="430">
        <v>16.34</v>
      </c>
      <c r="GO21" s="430">
        <v>30</v>
      </c>
      <c r="GP21" s="425">
        <v>1.9</v>
      </c>
      <c r="GQ21" s="425">
        <v>25</v>
      </c>
      <c r="GR21" s="425">
        <v>35</v>
      </c>
      <c r="GS21" s="431" t="s">
        <v>646</v>
      </c>
      <c r="GT21" s="425">
        <v>350</v>
      </c>
      <c r="GU21" s="394"/>
      <c r="GV21" s="100">
        <f t="shared" si="16"/>
        <v>45163</v>
      </c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</row>
    <row r="22" spans="2:230" x14ac:dyDescent="0.15">
      <c r="B22" s="89" t="s">
        <v>33</v>
      </c>
      <c r="C22" s="102">
        <v>12385896</v>
      </c>
      <c r="D22" s="73">
        <f t="shared" si="0"/>
        <v>5670133</v>
      </c>
      <c r="E22" s="102">
        <v>174439</v>
      </c>
      <c r="F22" s="102">
        <v>5495694</v>
      </c>
      <c r="G22" s="73">
        <f t="shared" si="1"/>
        <v>724271</v>
      </c>
      <c r="H22" s="102">
        <v>197731</v>
      </c>
      <c r="I22" s="102">
        <v>526540</v>
      </c>
      <c r="J22" s="102">
        <v>4431873</v>
      </c>
      <c r="K22" s="102">
        <v>1653753</v>
      </c>
      <c r="L22" s="102">
        <v>2107120</v>
      </c>
      <c r="M22" s="102">
        <v>599747</v>
      </c>
      <c r="N22" s="102">
        <v>496470</v>
      </c>
      <c r="O22" s="102">
        <v>912451</v>
      </c>
      <c r="P22" s="102">
        <v>479993</v>
      </c>
      <c r="Q22" s="102">
        <v>432458</v>
      </c>
      <c r="R22" s="102">
        <v>227545</v>
      </c>
      <c r="S22" s="74"/>
      <c r="T22" s="73">
        <f t="shared" si="2"/>
        <v>2362966</v>
      </c>
      <c r="U22" s="102">
        <v>52032</v>
      </c>
      <c r="V22" s="102">
        <v>121311</v>
      </c>
      <c r="W22" s="102">
        <v>132378</v>
      </c>
      <c r="X22" s="102">
        <v>1953688</v>
      </c>
      <c r="Y22" s="102">
        <v>20748</v>
      </c>
      <c r="Z22" s="102">
        <v>0</v>
      </c>
      <c r="AA22" s="102">
        <v>82809</v>
      </c>
      <c r="AB22" s="102">
        <v>55982</v>
      </c>
      <c r="AC22" s="102">
        <v>6219620</v>
      </c>
      <c r="AD22" s="102">
        <v>6010035</v>
      </c>
      <c r="AE22" s="102">
        <v>209584</v>
      </c>
      <c r="AF22" s="102">
        <v>17225</v>
      </c>
      <c r="AG22" s="102">
        <v>364485</v>
      </c>
      <c r="AH22" s="73">
        <f t="shared" si="3"/>
        <v>630110</v>
      </c>
      <c r="AI22" s="102">
        <v>316913</v>
      </c>
      <c r="AJ22" s="102">
        <v>313197</v>
      </c>
      <c r="AK22" s="102">
        <v>6003589</v>
      </c>
      <c r="AL22" s="73">
        <f t="shared" si="4"/>
        <v>3552085</v>
      </c>
      <c r="AM22" s="102">
        <v>2034598</v>
      </c>
      <c r="AN22" s="102">
        <v>636019</v>
      </c>
      <c r="AO22" s="74"/>
      <c r="AP22" s="102">
        <v>881468</v>
      </c>
      <c r="AQ22" s="102">
        <v>63027</v>
      </c>
      <c r="AR22" s="102">
        <v>0</v>
      </c>
      <c r="AS22" s="102">
        <v>0</v>
      </c>
      <c r="AT22" s="102">
        <v>2589439</v>
      </c>
      <c r="AU22" s="102">
        <v>1435190</v>
      </c>
      <c r="AV22" s="102">
        <v>318249</v>
      </c>
      <c r="AW22" s="102">
        <v>108439</v>
      </c>
      <c r="AX22" s="102">
        <v>1154249</v>
      </c>
      <c r="AY22" s="102">
        <v>3518</v>
      </c>
      <c r="AZ22" s="102">
        <v>106519</v>
      </c>
      <c r="BA22" s="102">
        <v>26644</v>
      </c>
      <c r="BB22" s="102">
        <v>37716</v>
      </c>
      <c r="BC22" s="102">
        <v>294631</v>
      </c>
      <c r="BD22" s="102">
        <v>174687</v>
      </c>
      <c r="BE22" s="102">
        <v>7140</v>
      </c>
      <c r="BF22" s="102">
        <v>67893</v>
      </c>
      <c r="BG22" s="102">
        <v>23388</v>
      </c>
      <c r="BH22" s="102">
        <v>198143</v>
      </c>
      <c r="BI22" s="102">
        <v>18279</v>
      </c>
      <c r="BJ22" s="102">
        <v>433136</v>
      </c>
      <c r="BK22" s="102">
        <v>30293</v>
      </c>
      <c r="BL22" s="102">
        <v>0</v>
      </c>
      <c r="BM22" s="102">
        <v>0</v>
      </c>
      <c r="BN22" s="102">
        <v>2441700</v>
      </c>
      <c r="BO22" s="73">
        <f t="shared" si="5"/>
        <v>1181700</v>
      </c>
      <c r="BP22" s="73">
        <f t="shared" si="6"/>
        <v>1260000</v>
      </c>
      <c r="BQ22" s="102">
        <v>0</v>
      </c>
      <c r="BR22" s="102">
        <v>0</v>
      </c>
      <c r="BS22" s="102">
        <v>1260000</v>
      </c>
      <c r="BT22" s="102">
        <v>0</v>
      </c>
      <c r="BU22" s="102">
        <v>34368702</v>
      </c>
      <c r="BV22" s="71"/>
      <c r="BW22" s="102">
        <v>6258245</v>
      </c>
      <c r="BX22" s="102">
        <v>3654809</v>
      </c>
      <c r="BY22" s="102">
        <v>497822</v>
      </c>
      <c r="BZ22" s="102">
        <v>912081</v>
      </c>
      <c r="CA22" s="102">
        <v>9201176</v>
      </c>
      <c r="CB22" s="102">
        <v>2736856</v>
      </c>
      <c r="CC22" s="102">
        <v>217182</v>
      </c>
      <c r="CD22" s="102">
        <v>3495221</v>
      </c>
      <c r="CE22" s="102">
        <v>2582975</v>
      </c>
      <c r="CF22" s="102">
        <v>8035</v>
      </c>
      <c r="CG22" s="102">
        <v>160907</v>
      </c>
      <c r="CH22" s="102">
        <v>2933515</v>
      </c>
      <c r="CI22" s="102">
        <v>2583199</v>
      </c>
      <c r="CJ22" s="83">
        <f t="shared" si="17"/>
        <v>350316</v>
      </c>
      <c r="CK22" s="102">
        <v>4981933</v>
      </c>
      <c r="CL22" s="102">
        <v>3578893</v>
      </c>
      <c r="CM22" s="102">
        <v>198993</v>
      </c>
      <c r="CN22" s="102">
        <v>624025</v>
      </c>
      <c r="CO22" s="102">
        <v>323624</v>
      </c>
      <c r="CP22" s="102">
        <v>2618657</v>
      </c>
      <c r="CQ22" s="102">
        <v>557135</v>
      </c>
      <c r="CR22" s="102">
        <v>887504</v>
      </c>
      <c r="CS22" s="102">
        <v>693574</v>
      </c>
      <c r="CT22" s="73">
        <f t="shared" si="7"/>
        <v>146814</v>
      </c>
      <c r="CU22" s="102">
        <v>8820</v>
      </c>
      <c r="CV22" s="102">
        <v>137994</v>
      </c>
      <c r="CW22" s="73">
        <f t="shared" si="8"/>
        <v>0</v>
      </c>
      <c r="CX22" s="102">
        <v>0</v>
      </c>
      <c r="CY22" s="102">
        <v>0</v>
      </c>
      <c r="CZ22" s="73">
        <f t="shared" si="9"/>
        <v>0</v>
      </c>
      <c r="DA22" s="102">
        <v>0</v>
      </c>
      <c r="DB22" s="102">
        <v>0</v>
      </c>
      <c r="DC22" s="102">
        <v>2313027</v>
      </c>
      <c r="DD22" s="102">
        <v>878563</v>
      </c>
      <c r="DE22" s="102">
        <v>1371036</v>
      </c>
      <c r="DF22" s="102">
        <v>63428</v>
      </c>
      <c r="DG22" s="102">
        <v>0</v>
      </c>
      <c r="DH22" s="102">
        <v>22915</v>
      </c>
      <c r="DI22" s="102">
        <v>431245</v>
      </c>
      <c r="DJ22" s="102">
        <v>72178</v>
      </c>
      <c r="DK22" s="102">
        <v>869</v>
      </c>
      <c r="DL22" s="102">
        <v>358198</v>
      </c>
      <c r="DM22" s="102">
        <v>0</v>
      </c>
      <c r="DN22" s="102">
        <v>0</v>
      </c>
      <c r="DO22" s="102">
        <v>0</v>
      </c>
      <c r="DP22" s="102">
        <v>0</v>
      </c>
      <c r="DQ22" s="102">
        <v>12938</v>
      </c>
      <c r="DR22" s="102">
        <v>0</v>
      </c>
      <c r="DS22" s="102">
        <v>0</v>
      </c>
      <c r="DT22" s="102">
        <v>4985483</v>
      </c>
      <c r="DU22" s="102">
        <v>1152910</v>
      </c>
      <c r="DV22" s="73">
        <f t="shared" si="10"/>
        <v>0</v>
      </c>
      <c r="DW22" s="102">
        <v>0</v>
      </c>
      <c r="DX22" s="102">
        <v>1472026</v>
      </c>
      <c r="DY22" s="102">
        <v>0</v>
      </c>
      <c r="DZ22" s="102">
        <v>969132</v>
      </c>
      <c r="EA22" s="74">
        <v>0</v>
      </c>
      <c r="EB22" s="102">
        <v>1383360</v>
      </c>
      <c r="EC22" s="102">
        <v>0</v>
      </c>
      <c r="ED22" s="102">
        <v>34082758</v>
      </c>
      <c r="EE22" s="71"/>
      <c r="EF22" s="102">
        <v>285944</v>
      </c>
      <c r="EG22" s="102">
        <v>146083</v>
      </c>
      <c r="EH22" s="102">
        <v>139861</v>
      </c>
      <c r="EI22" s="102">
        <v>121582</v>
      </c>
      <c r="EJ22" s="102">
        <v>19073</v>
      </c>
      <c r="EK22" s="71"/>
      <c r="EL22" s="102">
        <v>106987</v>
      </c>
      <c r="EM22" s="102">
        <v>109545</v>
      </c>
      <c r="EN22" s="102">
        <v>181828</v>
      </c>
      <c r="EO22" s="102">
        <v>58353</v>
      </c>
      <c r="EP22" s="73">
        <f t="shared" si="11"/>
        <v>658324</v>
      </c>
      <c r="EQ22" s="102">
        <v>21269234</v>
      </c>
      <c r="ER22" s="71">
        <v>-2141280</v>
      </c>
      <c r="ES22" s="102">
        <v>5696529</v>
      </c>
      <c r="ET22" s="102">
        <v>3419178</v>
      </c>
      <c r="EU22" s="102">
        <v>2575920</v>
      </c>
      <c r="EV22" s="102">
        <v>2886994</v>
      </c>
      <c r="EW22" s="73">
        <f t="shared" si="12"/>
        <v>573493</v>
      </c>
      <c r="EX22" s="102">
        <v>569586</v>
      </c>
      <c r="EY22" s="102">
        <v>51660</v>
      </c>
      <c r="EZ22" s="102">
        <v>500781</v>
      </c>
      <c r="FA22" s="102">
        <v>3907</v>
      </c>
      <c r="FB22" s="102">
        <v>0</v>
      </c>
      <c r="FC22" s="102">
        <v>4167664</v>
      </c>
      <c r="FD22" s="102">
        <v>2346398</v>
      </c>
      <c r="FE22" s="102">
        <v>557135</v>
      </c>
      <c r="FF22" s="102">
        <v>4244831</v>
      </c>
      <c r="FG22" s="73">
        <f t="shared" si="13"/>
        <v>635391</v>
      </c>
      <c r="FH22" s="102">
        <v>23127220</v>
      </c>
      <c r="FI22" s="379">
        <f t="shared" si="14"/>
        <v>0.7</v>
      </c>
      <c r="FJ22" s="102">
        <v>19643479</v>
      </c>
      <c r="FK22" s="102">
        <v>1630047</v>
      </c>
      <c r="FL22" s="102">
        <v>10759979</v>
      </c>
      <c r="FM22" s="102">
        <v>16769814</v>
      </c>
      <c r="FN22" s="428">
        <v>0.63300000000000001</v>
      </c>
      <c r="FO22" s="424">
        <v>96.4</v>
      </c>
      <c r="FP22" s="425">
        <v>26.2</v>
      </c>
      <c r="FQ22" s="424">
        <v>11.9</v>
      </c>
      <c r="FR22" s="424">
        <v>13.4</v>
      </c>
      <c r="FS22" s="425">
        <v>18.600000000000001</v>
      </c>
      <c r="FT22" s="424">
        <v>6.9</v>
      </c>
      <c r="FU22" s="425">
        <v>18.100000000000001</v>
      </c>
      <c r="FV22" s="384">
        <v>4.5999999999999996</v>
      </c>
      <c r="FW22" s="102">
        <v>32599537</v>
      </c>
      <c r="FX22" s="384">
        <f t="shared" si="15"/>
        <v>153.19999999999999</v>
      </c>
      <c r="FY22" s="102">
        <v>7622462</v>
      </c>
      <c r="FZ22" s="102">
        <v>3935331</v>
      </c>
      <c r="GA22" s="102">
        <v>410229</v>
      </c>
      <c r="GB22" s="102">
        <v>3276902</v>
      </c>
      <c r="GC22" s="102">
        <v>0</v>
      </c>
      <c r="GD22" s="427"/>
      <c r="GE22" s="386"/>
      <c r="GF22" s="424">
        <v>99.3</v>
      </c>
      <c r="GG22" s="424">
        <v>25.6</v>
      </c>
      <c r="GH22" s="424">
        <v>96.1</v>
      </c>
      <c r="GI22" s="102">
        <v>570</v>
      </c>
      <c r="GJ22" s="429" t="s">
        <v>646</v>
      </c>
      <c r="GK22" s="429">
        <v>12.38</v>
      </c>
      <c r="GL22" s="87">
        <v>20</v>
      </c>
      <c r="GM22" s="429" t="s">
        <v>646</v>
      </c>
      <c r="GN22" s="430">
        <v>17.38</v>
      </c>
      <c r="GO22" s="430">
        <v>30</v>
      </c>
      <c r="GP22" s="425">
        <v>4.5999999999999996</v>
      </c>
      <c r="GQ22" s="425">
        <v>25</v>
      </c>
      <c r="GR22" s="425">
        <v>35</v>
      </c>
      <c r="GS22" s="431" t="s">
        <v>646</v>
      </c>
      <c r="GT22" s="425">
        <v>350</v>
      </c>
      <c r="GU22" s="394"/>
      <c r="GV22" s="100">
        <f t="shared" si="16"/>
        <v>21274</v>
      </c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</row>
    <row r="23" spans="2:230" x14ac:dyDescent="0.15">
      <c r="B23" s="89" t="s">
        <v>35</v>
      </c>
      <c r="C23" s="102">
        <v>13551823</v>
      </c>
      <c r="D23" s="73">
        <f t="shared" si="0"/>
        <v>5221264</v>
      </c>
      <c r="E23" s="102">
        <v>175105</v>
      </c>
      <c r="F23" s="102">
        <v>5046159</v>
      </c>
      <c r="G23" s="73">
        <f t="shared" si="1"/>
        <v>814797</v>
      </c>
      <c r="H23" s="102">
        <v>248309</v>
      </c>
      <c r="I23" s="102">
        <v>566488</v>
      </c>
      <c r="J23" s="102">
        <v>5299320</v>
      </c>
      <c r="K23" s="102">
        <v>2555874</v>
      </c>
      <c r="L23" s="102">
        <v>2150313</v>
      </c>
      <c r="M23" s="102">
        <v>553192</v>
      </c>
      <c r="N23" s="102">
        <v>920024</v>
      </c>
      <c r="O23" s="102">
        <v>1165431</v>
      </c>
      <c r="P23" s="102">
        <v>699348</v>
      </c>
      <c r="Q23" s="102">
        <v>466083</v>
      </c>
      <c r="R23" s="102">
        <v>179214</v>
      </c>
      <c r="S23" s="74"/>
      <c r="T23" s="73">
        <f t="shared" si="2"/>
        <v>2661541</v>
      </c>
      <c r="U23" s="102">
        <v>45143</v>
      </c>
      <c r="V23" s="102">
        <v>105829</v>
      </c>
      <c r="W23" s="102">
        <v>115992</v>
      </c>
      <c r="X23" s="102">
        <v>2329458</v>
      </c>
      <c r="Y23" s="102">
        <v>0</v>
      </c>
      <c r="Z23" s="102">
        <v>0</v>
      </c>
      <c r="AA23" s="102">
        <v>65119</v>
      </c>
      <c r="AB23" s="102">
        <v>72573</v>
      </c>
      <c r="AC23" s="102">
        <v>7928827</v>
      </c>
      <c r="AD23" s="102">
        <v>7573519</v>
      </c>
      <c r="AE23" s="102">
        <v>355307</v>
      </c>
      <c r="AF23" s="102">
        <v>20221</v>
      </c>
      <c r="AG23" s="102">
        <v>357084</v>
      </c>
      <c r="AH23" s="73">
        <f t="shared" si="3"/>
        <v>584799</v>
      </c>
      <c r="AI23" s="102">
        <v>384137</v>
      </c>
      <c r="AJ23" s="102">
        <v>200662</v>
      </c>
      <c r="AK23" s="102">
        <v>9506056</v>
      </c>
      <c r="AL23" s="73">
        <f t="shared" si="4"/>
        <v>6164655</v>
      </c>
      <c r="AM23" s="102">
        <v>4449472</v>
      </c>
      <c r="AN23" s="102">
        <v>683466</v>
      </c>
      <c r="AO23" s="74"/>
      <c r="AP23" s="102">
        <v>1031717</v>
      </c>
      <c r="AQ23" s="102">
        <v>196463</v>
      </c>
      <c r="AR23" s="102">
        <v>0</v>
      </c>
      <c r="AS23" s="102">
        <v>0</v>
      </c>
      <c r="AT23" s="102">
        <v>3119093</v>
      </c>
      <c r="AU23" s="102">
        <v>1666135</v>
      </c>
      <c r="AV23" s="102">
        <v>340761</v>
      </c>
      <c r="AW23" s="102">
        <v>3808</v>
      </c>
      <c r="AX23" s="102">
        <v>1452958</v>
      </c>
      <c r="AY23" s="102">
        <v>0</v>
      </c>
      <c r="AZ23" s="102">
        <v>255609</v>
      </c>
      <c r="BA23" s="102">
        <v>84717</v>
      </c>
      <c r="BB23" s="102">
        <v>7147</v>
      </c>
      <c r="BC23" s="102">
        <v>392702</v>
      </c>
      <c r="BD23" s="102">
        <v>258100</v>
      </c>
      <c r="BE23" s="102">
        <v>0</v>
      </c>
      <c r="BF23" s="102">
        <v>129346</v>
      </c>
      <c r="BG23" s="102">
        <v>0</v>
      </c>
      <c r="BH23" s="102">
        <v>424767</v>
      </c>
      <c r="BI23" s="102">
        <v>210188</v>
      </c>
      <c r="BJ23" s="102">
        <v>349286</v>
      </c>
      <c r="BK23" s="102">
        <v>25009</v>
      </c>
      <c r="BL23" s="102">
        <v>0</v>
      </c>
      <c r="BM23" s="102">
        <v>0</v>
      </c>
      <c r="BN23" s="102">
        <v>3430600</v>
      </c>
      <c r="BO23" s="73">
        <f t="shared" si="5"/>
        <v>1379400</v>
      </c>
      <c r="BP23" s="73">
        <f t="shared" si="6"/>
        <v>2051200</v>
      </c>
      <c r="BQ23" s="102">
        <v>0</v>
      </c>
      <c r="BR23" s="102">
        <v>260100</v>
      </c>
      <c r="BS23" s="102">
        <v>1791100</v>
      </c>
      <c r="BT23" s="102">
        <v>0</v>
      </c>
      <c r="BU23" s="102">
        <v>42841342</v>
      </c>
      <c r="BV23" s="71"/>
      <c r="BW23" s="102">
        <v>7461727</v>
      </c>
      <c r="BX23" s="102">
        <v>5167500</v>
      </c>
      <c r="BY23" s="102">
        <v>434894</v>
      </c>
      <c r="BZ23" s="102">
        <v>438133</v>
      </c>
      <c r="CA23" s="102">
        <v>14215834</v>
      </c>
      <c r="CB23" s="102">
        <v>2592423</v>
      </c>
      <c r="CC23" s="102">
        <v>242075</v>
      </c>
      <c r="CD23" s="102">
        <v>5334603</v>
      </c>
      <c r="CE23" s="102">
        <v>5852843</v>
      </c>
      <c r="CF23" s="102">
        <v>8894</v>
      </c>
      <c r="CG23" s="102">
        <v>184856</v>
      </c>
      <c r="CH23" s="102">
        <v>4152617</v>
      </c>
      <c r="CI23" s="102">
        <v>3617214</v>
      </c>
      <c r="CJ23" s="83">
        <f t="shared" si="17"/>
        <v>535403</v>
      </c>
      <c r="CK23" s="102">
        <v>4596049</v>
      </c>
      <c r="CL23" s="102">
        <v>2916025</v>
      </c>
      <c r="CM23" s="102">
        <v>171487</v>
      </c>
      <c r="CN23" s="102">
        <v>794737</v>
      </c>
      <c r="CO23" s="102">
        <v>225558</v>
      </c>
      <c r="CP23" s="102">
        <v>2196965</v>
      </c>
      <c r="CQ23" s="102">
        <v>384951</v>
      </c>
      <c r="CR23" s="102">
        <v>1089426</v>
      </c>
      <c r="CS23" s="102">
        <v>879622</v>
      </c>
      <c r="CT23" s="73">
        <f t="shared" si="7"/>
        <v>9396</v>
      </c>
      <c r="CU23" s="102">
        <v>9000</v>
      </c>
      <c r="CV23" s="102">
        <v>396</v>
      </c>
      <c r="CW23" s="73">
        <f t="shared" si="8"/>
        <v>0</v>
      </c>
      <c r="CX23" s="102">
        <v>0</v>
      </c>
      <c r="CY23" s="102">
        <v>0</v>
      </c>
      <c r="CZ23" s="73">
        <f t="shared" si="9"/>
        <v>0</v>
      </c>
      <c r="DA23" s="102">
        <v>0</v>
      </c>
      <c r="DB23" s="102">
        <v>0</v>
      </c>
      <c r="DC23" s="102">
        <v>2190575</v>
      </c>
      <c r="DD23" s="102">
        <v>1373104</v>
      </c>
      <c r="DE23" s="102">
        <v>766382</v>
      </c>
      <c r="DF23" s="102">
        <v>0</v>
      </c>
      <c r="DG23" s="102">
        <v>51089</v>
      </c>
      <c r="DH23" s="102">
        <v>0</v>
      </c>
      <c r="DI23" s="102">
        <v>422441</v>
      </c>
      <c r="DJ23" s="102">
        <v>269594</v>
      </c>
      <c r="DK23" s="102">
        <v>5</v>
      </c>
      <c r="DL23" s="102">
        <v>152842</v>
      </c>
      <c r="DM23" s="102">
        <v>0</v>
      </c>
      <c r="DN23" s="102">
        <v>0</v>
      </c>
      <c r="DO23" s="102">
        <v>0</v>
      </c>
      <c r="DP23" s="102">
        <v>0</v>
      </c>
      <c r="DQ23" s="102">
        <v>25000</v>
      </c>
      <c r="DR23" s="102">
        <v>0</v>
      </c>
      <c r="DS23" s="102">
        <v>0</v>
      </c>
      <c r="DT23" s="102">
        <v>7068531</v>
      </c>
      <c r="DU23" s="102">
        <v>2400000</v>
      </c>
      <c r="DV23" s="73">
        <f t="shared" si="10"/>
        <v>0</v>
      </c>
      <c r="DW23" s="102">
        <v>0</v>
      </c>
      <c r="DX23" s="102">
        <v>1547026</v>
      </c>
      <c r="DY23" s="102">
        <v>0</v>
      </c>
      <c r="DZ23" s="102">
        <v>1702212</v>
      </c>
      <c r="EA23" s="74">
        <v>0</v>
      </c>
      <c r="EB23" s="102">
        <v>1419282</v>
      </c>
      <c r="EC23" s="102">
        <v>0</v>
      </c>
      <c r="ED23" s="102">
        <v>42555297</v>
      </c>
      <c r="EE23" s="71"/>
      <c r="EF23" s="102">
        <v>286045</v>
      </c>
      <c r="EG23" s="102">
        <v>7374</v>
      </c>
      <c r="EH23" s="102">
        <v>278671</v>
      </c>
      <c r="EI23" s="102">
        <v>68483</v>
      </c>
      <c r="EJ23" s="102">
        <v>79977</v>
      </c>
      <c r="EK23" s="71"/>
      <c r="EL23" s="102">
        <v>120750</v>
      </c>
      <c r="EM23" s="102">
        <v>121962</v>
      </c>
      <c r="EN23" s="102">
        <v>325256</v>
      </c>
      <c r="EO23" s="102">
        <v>251275</v>
      </c>
      <c r="EP23" s="73">
        <f t="shared" si="11"/>
        <v>610641</v>
      </c>
      <c r="EQ23" s="102">
        <v>24414199</v>
      </c>
      <c r="ER23" s="71">
        <v>-3218151</v>
      </c>
      <c r="ES23" s="102">
        <v>6926996</v>
      </c>
      <c r="ET23" s="102">
        <v>4843983</v>
      </c>
      <c r="EU23" s="102">
        <v>3993869</v>
      </c>
      <c r="EV23" s="102">
        <v>4152617</v>
      </c>
      <c r="EW23" s="73">
        <f t="shared" si="12"/>
        <v>68958</v>
      </c>
      <c r="EX23" s="102">
        <v>68958</v>
      </c>
      <c r="EY23" s="102">
        <v>2403</v>
      </c>
      <c r="EZ23" s="102">
        <v>66555</v>
      </c>
      <c r="FA23" s="102">
        <v>0</v>
      </c>
      <c r="FB23" s="102">
        <v>0</v>
      </c>
      <c r="FC23" s="102">
        <v>4061146</v>
      </c>
      <c r="FD23" s="102">
        <v>1607448</v>
      </c>
      <c r="FE23" s="102">
        <v>233891</v>
      </c>
      <c r="FF23" s="102">
        <v>5970389</v>
      </c>
      <c r="FG23" s="73">
        <f t="shared" si="13"/>
        <v>564882</v>
      </c>
      <c r="FH23" s="102">
        <v>27346305</v>
      </c>
      <c r="FI23" s="379">
        <f t="shared" si="14"/>
        <v>1.1000000000000001</v>
      </c>
      <c r="FJ23" s="102">
        <v>22499866</v>
      </c>
      <c r="FK23" s="102">
        <v>1791134</v>
      </c>
      <c r="FL23" s="102">
        <v>11750710</v>
      </c>
      <c r="FM23" s="102">
        <v>19319177</v>
      </c>
      <c r="FN23" s="428">
        <v>0.59399999999999997</v>
      </c>
      <c r="FO23" s="424">
        <v>100.7</v>
      </c>
      <c r="FP23" s="425">
        <v>27.5</v>
      </c>
      <c r="FQ23" s="424">
        <v>15.8</v>
      </c>
      <c r="FR23" s="424">
        <v>16.399999999999999</v>
      </c>
      <c r="FS23" s="425">
        <v>15.4</v>
      </c>
      <c r="FT23" s="424">
        <v>4.8</v>
      </c>
      <c r="FU23" s="425">
        <v>19.899999999999999</v>
      </c>
      <c r="FV23" s="384">
        <v>10</v>
      </c>
      <c r="FW23" s="102">
        <v>41061012</v>
      </c>
      <c r="FX23" s="384">
        <f t="shared" si="15"/>
        <v>169</v>
      </c>
      <c r="FY23" s="102">
        <v>2384986</v>
      </c>
      <c r="FZ23" s="102">
        <v>1377862</v>
      </c>
      <c r="GA23" s="102">
        <v>21259</v>
      </c>
      <c r="GB23" s="102">
        <v>985865</v>
      </c>
      <c r="GC23" s="102">
        <v>0</v>
      </c>
      <c r="GD23" s="427">
        <v>790</v>
      </c>
      <c r="GE23" s="386">
        <f>IF(GD23=0,"-",ROUND(GD23/(GV23)*100,1))</f>
        <v>3.3</v>
      </c>
      <c r="GF23" s="424">
        <v>98.6</v>
      </c>
      <c r="GG23" s="424">
        <v>35.4</v>
      </c>
      <c r="GH23" s="424">
        <v>95.5</v>
      </c>
      <c r="GI23" s="102">
        <v>725</v>
      </c>
      <c r="GJ23" s="429" t="s">
        <v>646</v>
      </c>
      <c r="GK23" s="429">
        <v>12.13</v>
      </c>
      <c r="GL23" s="87">
        <v>20</v>
      </c>
      <c r="GM23" s="429" t="s">
        <v>646</v>
      </c>
      <c r="GN23" s="430">
        <v>17.13</v>
      </c>
      <c r="GO23" s="430">
        <v>30</v>
      </c>
      <c r="GP23" s="425">
        <v>10</v>
      </c>
      <c r="GQ23" s="425">
        <v>25</v>
      </c>
      <c r="GR23" s="425">
        <v>35</v>
      </c>
      <c r="GS23" s="431">
        <v>92.6</v>
      </c>
      <c r="GT23" s="425">
        <v>350</v>
      </c>
      <c r="GU23" s="394"/>
      <c r="GV23" s="100">
        <f t="shared" si="16"/>
        <v>24291</v>
      </c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</row>
    <row r="24" spans="2:230" x14ac:dyDescent="0.15">
      <c r="B24" s="89" t="s">
        <v>37</v>
      </c>
      <c r="C24" s="102">
        <v>16902199</v>
      </c>
      <c r="D24" s="73">
        <f t="shared" si="0"/>
        <v>5701350</v>
      </c>
      <c r="E24" s="102">
        <v>192135</v>
      </c>
      <c r="F24" s="102">
        <v>5509215</v>
      </c>
      <c r="G24" s="73">
        <f t="shared" si="1"/>
        <v>1371071</v>
      </c>
      <c r="H24" s="102">
        <v>345647</v>
      </c>
      <c r="I24" s="102">
        <v>1025424</v>
      </c>
      <c r="J24" s="102">
        <v>7304927</v>
      </c>
      <c r="K24" s="102">
        <v>3237342</v>
      </c>
      <c r="L24" s="102">
        <v>3122748</v>
      </c>
      <c r="M24" s="102">
        <v>804787</v>
      </c>
      <c r="N24" s="102">
        <v>873307</v>
      </c>
      <c r="O24" s="102">
        <v>1527867</v>
      </c>
      <c r="P24" s="102">
        <v>855148</v>
      </c>
      <c r="Q24" s="102">
        <v>672719</v>
      </c>
      <c r="R24" s="102">
        <v>190622</v>
      </c>
      <c r="S24" s="74"/>
      <c r="T24" s="73">
        <f t="shared" si="2"/>
        <v>2891137</v>
      </c>
      <c r="U24" s="102">
        <v>48120</v>
      </c>
      <c r="V24" s="102">
        <v>112881</v>
      </c>
      <c r="W24" s="102">
        <v>123782</v>
      </c>
      <c r="X24" s="102">
        <v>2514873</v>
      </c>
      <c r="Y24" s="102">
        <v>22146</v>
      </c>
      <c r="Z24" s="102">
        <v>0</v>
      </c>
      <c r="AA24" s="102">
        <v>69335</v>
      </c>
      <c r="AB24" s="102">
        <v>77002</v>
      </c>
      <c r="AC24" s="102">
        <v>4777579</v>
      </c>
      <c r="AD24" s="102">
        <v>4485261</v>
      </c>
      <c r="AE24" s="102">
        <v>292317</v>
      </c>
      <c r="AF24" s="102">
        <v>18058</v>
      </c>
      <c r="AG24" s="102">
        <v>331984</v>
      </c>
      <c r="AH24" s="73">
        <f t="shared" si="3"/>
        <v>804034</v>
      </c>
      <c r="AI24" s="102">
        <v>395581</v>
      </c>
      <c r="AJ24" s="102">
        <v>408453</v>
      </c>
      <c r="AK24" s="102">
        <v>6988689</v>
      </c>
      <c r="AL24" s="73">
        <f t="shared" si="4"/>
        <v>3763649</v>
      </c>
      <c r="AM24" s="102">
        <v>1769171</v>
      </c>
      <c r="AN24" s="102">
        <v>971536</v>
      </c>
      <c r="AO24" s="74"/>
      <c r="AP24" s="102">
        <v>1022942</v>
      </c>
      <c r="AQ24" s="102">
        <v>261954</v>
      </c>
      <c r="AR24" s="102">
        <v>0</v>
      </c>
      <c r="AS24" s="102">
        <v>0</v>
      </c>
      <c r="AT24" s="102">
        <v>3367787</v>
      </c>
      <c r="AU24" s="102">
        <v>1795240</v>
      </c>
      <c r="AV24" s="102">
        <v>510946</v>
      </c>
      <c r="AW24" s="102">
        <v>3202</v>
      </c>
      <c r="AX24" s="102">
        <v>1572547</v>
      </c>
      <c r="AY24" s="102">
        <v>437031</v>
      </c>
      <c r="AZ24" s="102">
        <v>101478</v>
      </c>
      <c r="BA24" s="102">
        <v>50935</v>
      </c>
      <c r="BB24" s="102">
        <v>657146</v>
      </c>
      <c r="BC24" s="102">
        <v>300604</v>
      </c>
      <c r="BD24" s="102">
        <v>0</v>
      </c>
      <c r="BE24" s="102">
        <v>161427</v>
      </c>
      <c r="BF24" s="102">
        <v>122762</v>
      </c>
      <c r="BG24" s="102">
        <v>0</v>
      </c>
      <c r="BH24" s="102">
        <v>756953</v>
      </c>
      <c r="BI24" s="102">
        <v>683935</v>
      </c>
      <c r="BJ24" s="102">
        <v>820827</v>
      </c>
      <c r="BK24" s="102">
        <v>2934</v>
      </c>
      <c r="BL24" s="102">
        <v>0</v>
      </c>
      <c r="BM24" s="102">
        <v>0</v>
      </c>
      <c r="BN24" s="102">
        <v>2340900</v>
      </c>
      <c r="BO24" s="73">
        <f t="shared" si="5"/>
        <v>1240900</v>
      </c>
      <c r="BP24" s="73">
        <f t="shared" si="6"/>
        <v>1100000</v>
      </c>
      <c r="BQ24" s="102">
        <v>0</v>
      </c>
      <c r="BR24" s="102">
        <v>0</v>
      </c>
      <c r="BS24" s="102">
        <v>1100000</v>
      </c>
      <c r="BT24" s="102">
        <v>0</v>
      </c>
      <c r="BU24" s="102">
        <v>41326999</v>
      </c>
      <c r="BV24" s="71"/>
      <c r="BW24" s="102">
        <v>5187985</v>
      </c>
      <c r="BX24" s="102">
        <v>3522601</v>
      </c>
      <c r="BY24" s="102">
        <v>408237</v>
      </c>
      <c r="BZ24" s="102">
        <v>217763</v>
      </c>
      <c r="CA24" s="102">
        <v>11207784</v>
      </c>
      <c r="CB24" s="102">
        <v>2437213</v>
      </c>
      <c r="CC24" s="102">
        <v>201606</v>
      </c>
      <c r="CD24" s="102">
        <v>6050877</v>
      </c>
      <c r="CE24" s="102">
        <v>2236176</v>
      </c>
      <c r="CF24" s="102">
        <v>6639</v>
      </c>
      <c r="CG24" s="102">
        <v>275093</v>
      </c>
      <c r="CH24" s="102">
        <v>3684612</v>
      </c>
      <c r="CI24" s="102">
        <v>3242740</v>
      </c>
      <c r="CJ24" s="83">
        <f t="shared" si="17"/>
        <v>441872</v>
      </c>
      <c r="CK24" s="102">
        <v>6495838</v>
      </c>
      <c r="CL24" s="102">
        <v>4214208</v>
      </c>
      <c r="CM24" s="102">
        <v>279937</v>
      </c>
      <c r="CN24" s="102">
        <v>1222766</v>
      </c>
      <c r="CO24" s="102">
        <v>122175</v>
      </c>
      <c r="CP24" s="102">
        <v>4974374</v>
      </c>
      <c r="CQ24" s="102">
        <v>1823470</v>
      </c>
      <c r="CR24" s="102">
        <v>867106</v>
      </c>
      <c r="CS24" s="102">
        <v>199742</v>
      </c>
      <c r="CT24" s="73">
        <f t="shared" si="7"/>
        <v>1657329</v>
      </c>
      <c r="CU24" s="102">
        <v>1657329</v>
      </c>
      <c r="CV24" s="102">
        <v>0</v>
      </c>
      <c r="CW24" s="73">
        <f t="shared" si="8"/>
        <v>0</v>
      </c>
      <c r="CX24" s="102">
        <v>0</v>
      </c>
      <c r="CY24" s="102">
        <v>0</v>
      </c>
      <c r="CZ24" s="73">
        <f t="shared" si="9"/>
        <v>1637329</v>
      </c>
      <c r="DA24" s="102">
        <v>1637329</v>
      </c>
      <c r="DB24" s="102">
        <v>0</v>
      </c>
      <c r="DC24" s="102">
        <v>2888989</v>
      </c>
      <c r="DD24" s="102">
        <v>2412446</v>
      </c>
      <c r="DE24" s="102">
        <v>476543</v>
      </c>
      <c r="DF24" s="102">
        <v>0</v>
      </c>
      <c r="DG24" s="102">
        <v>0</v>
      </c>
      <c r="DH24" s="102">
        <v>0</v>
      </c>
      <c r="DI24" s="102">
        <v>921268</v>
      </c>
      <c r="DJ24" s="102">
        <v>570</v>
      </c>
      <c r="DK24" s="102">
        <v>342417</v>
      </c>
      <c r="DL24" s="102">
        <v>578281</v>
      </c>
      <c r="DM24" s="102">
        <v>295995</v>
      </c>
      <c r="DN24" s="102">
        <v>295995</v>
      </c>
      <c r="DO24" s="102">
        <v>0</v>
      </c>
      <c r="DP24" s="102">
        <v>0</v>
      </c>
      <c r="DQ24" s="102">
        <v>0</v>
      </c>
      <c r="DR24" s="102">
        <v>0</v>
      </c>
      <c r="DS24" s="102">
        <v>0</v>
      </c>
      <c r="DT24" s="102">
        <v>4518778</v>
      </c>
      <c r="DU24" s="102">
        <v>0</v>
      </c>
      <c r="DV24" s="73">
        <f t="shared" si="10"/>
        <v>0</v>
      </c>
      <c r="DW24" s="102">
        <v>0</v>
      </c>
      <c r="DX24" s="102">
        <v>1314745</v>
      </c>
      <c r="DY24" s="102">
        <v>0</v>
      </c>
      <c r="DZ24" s="102">
        <v>1983478</v>
      </c>
      <c r="EA24" s="74">
        <v>0</v>
      </c>
      <c r="EB24" s="102">
        <v>1215551</v>
      </c>
      <c r="EC24" s="102">
        <v>0</v>
      </c>
      <c r="ED24" s="102">
        <v>40297798</v>
      </c>
      <c r="EE24" s="71"/>
      <c r="EF24" s="102">
        <v>1029201</v>
      </c>
      <c r="EG24" s="102">
        <v>60861</v>
      </c>
      <c r="EH24" s="102">
        <v>968340</v>
      </c>
      <c r="EI24" s="102">
        <v>284405</v>
      </c>
      <c r="EJ24" s="102">
        <v>284975</v>
      </c>
      <c r="EK24" s="71"/>
      <c r="EL24" s="102">
        <v>123217</v>
      </c>
      <c r="EM24" s="102">
        <v>123397</v>
      </c>
      <c r="EN24" s="102">
        <v>161427</v>
      </c>
      <c r="EO24" s="102">
        <v>95706</v>
      </c>
      <c r="EP24" s="73">
        <f t="shared" si="11"/>
        <v>1509470</v>
      </c>
      <c r="EQ24" s="102">
        <v>24856597</v>
      </c>
      <c r="ER24" s="71">
        <v>-2848545</v>
      </c>
      <c r="ES24" s="102">
        <v>4681703</v>
      </c>
      <c r="ET24" s="102">
        <v>3117447</v>
      </c>
      <c r="EU24" s="102">
        <v>3335049</v>
      </c>
      <c r="EV24" s="102">
        <v>3651810</v>
      </c>
      <c r="EW24" s="73">
        <f t="shared" si="12"/>
        <v>779171</v>
      </c>
      <c r="EX24" s="102">
        <v>779171</v>
      </c>
      <c r="EY24" s="102">
        <v>432481</v>
      </c>
      <c r="EZ24" s="102">
        <v>346690</v>
      </c>
      <c r="FA24" s="102">
        <v>0</v>
      </c>
      <c r="FB24" s="102">
        <v>0</v>
      </c>
      <c r="FC24" s="102">
        <v>4953231</v>
      </c>
      <c r="FD24" s="102">
        <v>4662976</v>
      </c>
      <c r="FE24" s="102">
        <v>1822157</v>
      </c>
      <c r="FF24" s="102">
        <v>3526813</v>
      </c>
      <c r="FG24" s="73">
        <f t="shared" si="13"/>
        <v>1085188</v>
      </c>
      <c r="FH24" s="102">
        <v>26675941</v>
      </c>
      <c r="FI24" s="379">
        <f t="shared" si="14"/>
        <v>4.0999999999999996</v>
      </c>
      <c r="FJ24" s="102">
        <v>21821405</v>
      </c>
      <c r="FK24" s="102">
        <v>2075210</v>
      </c>
      <c r="FL24" s="102">
        <v>13602673</v>
      </c>
      <c r="FM24" s="102">
        <v>18097964</v>
      </c>
      <c r="FN24" s="428">
        <v>0.75700000000000001</v>
      </c>
      <c r="FO24" s="424">
        <v>94.8</v>
      </c>
      <c r="FP24" s="425">
        <v>18.899999999999999</v>
      </c>
      <c r="FQ24" s="424">
        <v>13.6</v>
      </c>
      <c r="FR24" s="424">
        <v>14.9</v>
      </c>
      <c r="FS24" s="425">
        <v>17.8</v>
      </c>
      <c r="FT24" s="424">
        <v>16.600000000000001</v>
      </c>
      <c r="FU24" s="425">
        <v>11.6</v>
      </c>
      <c r="FV24" s="384">
        <v>3.6</v>
      </c>
      <c r="FW24" s="102">
        <v>38618670</v>
      </c>
      <c r="FX24" s="384">
        <f t="shared" si="15"/>
        <v>161.6</v>
      </c>
      <c r="FY24" s="102">
        <v>17104264</v>
      </c>
      <c r="FZ24" s="102">
        <v>8578709</v>
      </c>
      <c r="GA24" s="102">
        <v>1780995</v>
      </c>
      <c r="GB24" s="102">
        <v>6744560</v>
      </c>
      <c r="GC24" s="102">
        <v>0</v>
      </c>
      <c r="GD24" s="427"/>
      <c r="GE24" s="386"/>
      <c r="GF24" s="424">
        <v>98.9</v>
      </c>
      <c r="GG24" s="424">
        <v>42.5</v>
      </c>
      <c r="GH24" s="424">
        <v>96.3</v>
      </c>
      <c r="GI24" s="102">
        <v>524</v>
      </c>
      <c r="GJ24" s="429" t="s">
        <v>646</v>
      </c>
      <c r="GK24" s="429">
        <v>12.16</v>
      </c>
      <c r="GL24" s="87">
        <v>20</v>
      </c>
      <c r="GM24" s="429" t="s">
        <v>646</v>
      </c>
      <c r="GN24" s="430">
        <v>17.16</v>
      </c>
      <c r="GO24" s="430">
        <v>30</v>
      </c>
      <c r="GP24" s="425">
        <v>3.6</v>
      </c>
      <c r="GQ24" s="425">
        <v>25</v>
      </c>
      <c r="GR24" s="425">
        <v>35</v>
      </c>
      <c r="GS24" s="431" t="s">
        <v>646</v>
      </c>
      <c r="GT24" s="425">
        <v>350</v>
      </c>
      <c r="GU24" s="394"/>
      <c r="GV24" s="100">
        <f t="shared" si="16"/>
        <v>23897</v>
      </c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</row>
    <row r="25" spans="2:230" x14ac:dyDescent="0.15">
      <c r="B25" s="89" t="s">
        <v>39</v>
      </c>
      <c r="C25" s="102">
        <v>23019575</v>
      </c>
      <c r="D25" s="73">
        <f t="shared" si="0"/>
        <v>9300030</v>
      </c>
      <c r="E25" s="102">
        <v>277252</v>
      </c>
      <c r="F25" s="102">
        <v>9022778</v>
      </c>
      <c r="G25" s="73">
        <f t="shared" si="1"/>
        <v>1415790</v>
      </c>
      <c r="H25" s="102">
        <v>413542</v>
      </c>
      <c r="I25" s="102">
        <v>1002248</v>
      </c>
      <c r="J25" s="102">
        <v>9081491</v>
      </c>
      <c r="K25" s="102">
        <v>3419329</v>
      </c>
      <c r="L25" s="102">
        <v>4431309</v>
      </c>
      <c r="M25" s="102">
        <v>1121427</v>
      </c>
      <c r="N25" s="102">
        <v>1110132</v>
      </c>
      <c r="O25" s="102">
        <v>1845736</v>
      </c>
      <c r="P25" s="102">
        <v>928441</v>
      </c>
      <c r="Q25" s="102">
        <v>917295</v>
      </c>
      <c r="R25" s="102">
        <v>322927</v>
      </c>
      <c r="S25" s="74"/>
      <c r="T25" s="73">
        <f t="shared" si="2"/>
        <v>3989405</v>
      </c>
      <c r="U25" s="102">
        <v>79239</v>
      </c>
      <c r="V25" s="102">
        <v>186608</v>
      </c>
      <c r="W25" s="102">
        <v>205259</v>
      </c>
      <c r="X25" s="102">
        <v>3366939</v>
      </c>
      <c r="Y25" s="102">
        <v>33408</v>
      </c>
      <c r="Z25" s="102">
        <v>0</v>
      </c>
      <c r="AA25" s="102">
        <v>117952</v>
      </c>
      <c r="AB25" s="102">
        <v>156537</v>
      </c>
      <c r="AC25" s="102">
        <v>8142259</v>
      </c>
      <c r="AD25" s="102">
        <v>7472417</v>
      </c>
      <c r="AE25" s="102">
        <v>669841</v>
      </c>
      <c r="AF25" s="102">
        <v>27513</v>
      </c>
      <c r="AG25" s="102">
        <v>358520</v>
      </c>
      <c r="AH25" s="73">
        <f t="shared" si="3"/>
        <v>1514124</v>
      </c>
      <c r="AI25" s="102">
        <v>1194347</v>
      </c>
      <c r="AJ25" s="102">
        <v>319777</v>
      </c>
      <c r="AK25" s="102">
        <v>12065528</v>
      </c>
      <c r="AL25" s="73">
        <f t="shared" si="4"/>
        <v>7671760</v>
      </c>
      <c r="AM25" s="102">
        <v>5497196</v>
      </c>
      <c r="AN25" s="102">
        <v>905517</v>
      </c>
      <c r="AO25" s="74"/>
      <c r="AP25" s="102">
        <v>1269047</v>
      </c>
      <c r="AQ25" s="102">
        <v>52139</v>
      </c>
      <c r="AR25" s="102">
        <v>0</v>
      </c>
      <c r="AS25" s="102">
        <v>217779</v>
      </c>
      <c r="AT25" s="102">
        <v>4337301</v>
      </c>
      <c r="AU25" s="102">
        <v>2459422</v>
      </c>
      <c r="AV25" s="102">
        <v>345264</v>
      </c>
      <c r="AW25" s="102">
        <v>230884</v>
      </c>
      <c r="AX25" s="102">
        <v>1877879</v>
      </c>
      <c r="AY25" s="102">
        <v>35350</v>
      </c>
      <c r="AZ25" s="102">
        <v>141439</v>
      </c>
      <c r="BA25" s="102">
        <v>45034</v>
      </c>
      <c r="BB25" s="102">
        <v>99223</v>
      </c>
      <c r="BC25" s="102">
        <v>99068</v>
      </c>
      <c r="BD25" s="102">
        <v>0</v>
      </c>
      <c r="BE25" s="102">
        <v>0</v>
      </c>
      <c r="BF25" s="102">
        <v>49548</v>
      </c>
      <c r="BG25" s="102">
        <v>0</v>
      </c>
      <c r="BH25" s="102">
        <v>135774</v>
      </c>
      <c r="BI25" s="102">
        <v>68138</v>
      </c>
      <c r="BJ25" s="102">
        <v>539040</v>
      </c>
      <c r="BK25" s="102">
        <v>787</v>
      </c>
      <c r="BL25" s="102">
        <v>0</v>
      </c>
      <c r="BM25" s="102">
        <v>0</v>
      </c>
      <c r="BN25" s="102">
        <v>2885900</v>
      </c>
      <c r="BO25" s="73">
        <f t="shared" si="5"/>
        <v>353400</v>
      </c>
      <c r="BP25" s="73">
        <f t="shared" si="6"/>
        <v>2532500</v>
      </c>
      <c r="BQ25" s="102">
        <v>0</v>
      </c>
      <c r="BR25" s="102">
        <v>0</v>
      </c>
      <c r="BS25" s="102">
        <v>2532500</v>
      </c>
      <c r="BT25" s="102">
        <v>0</v>
      </c>
      <c r="BU25" s="102">
        <v>58051912</v>
      </c>
      <c r="BV25" s="71"/>
      <c r="BW25" s="102">
        <v>10070150</v>
      </c>
      <c r="BX25" s="102">
        <v>6516720</v>
      </c>
      <c r="BY25" s="102">
        <v>841663</v>
      </c>
      <c r="BZ25" s="102">
        <v>851725</v>
      </c>
      <c r="CA25" s="102">
        <v>19745884</v>
      </c>
      <c r="CB25" s="102">
        <v>3550076</v>
      </c>
      <c r="CC25" s="102">
        <v>335130</v>
      </c>
      <c r="CD25" s="102">
        <v>7890070</v>
      </c>
      <c r="CE25" s="102">
        <v>7427297</v>
      </c>
      <c r="CF25" s="102">
        <v>14009</v>
      </c>
      <c r="CG25" s="102">
        <v>528762</v>
      </c>
      <c r="CH25" s="102">
        <v>6103804</v>
      </c>
      <c r="CI25" s="102">
        <v>5506602</v>
      </c>
      <c r="CJ25" s="83">
        <f t="shared" si="17"/>
        <v>597202</v>
      </c>
      <c r="CK25" s="102">
        <v>7114737</v>
      </c>
      <c r="CL25" s="102">
        <v>4788996</v>
      </c>
      <c r="CM25" s="102">
        <v>370043</v>
      </c>
      <c r="CN25" s="102">
        <v>906379</v>
      </c>
      <c r="CO25" s="102">
        <v>381744</v>
      </c>
      <c r="CP25" s="102">
        <v>5529255</v>
      </c>
      <c r="CQ25" s="102">
        <v>1098581</v>
      </c>
      <c r="CR25" s="102">
        <v>1513398</v>
      </c>
      <c r="CS25" s="102">
        <v>648692</v>
      </c>
      <c r="CT25" s="73">
        <f t="shared" si="7"/>
        <v>2016662</v>
      </c>
      <c r="CU25" s="102">
        <v>593499</v>
      </c>
      <c r="CV25" s="102">
        <v>1423163</v>
      </c>
      <c r="CW25" s="73">
        <f t="shared" si="8"/>
        <v>1233532</v>
      </c>
      <c r="CX25" s="102">
        <v>0</v>
      </c>
      <c r="CY25" s="102">
        <v>1233532</v>
      </c>
      <c r="CZ25" s="73">
        <f t="shared" si="9"/>
        <v>743872</v>
      </c>
      <c r="DA25" s="102">
        <v>557597</v>
      </c>
      <c r="DB25" s="102">
        <v>186275</v>
      </c>
      <c r="DC25" s="102">
        <v>2323539</v>
      </c>
      <c r="DD25" s="102">
        <v>650224</v>
      </c>
      <c r="DE25" s="102">
        <v>1673315</v>
      </c>
      <c r="DF25" s="102">
        <v>0</v>
      </c>
      <c r="DG25" s="102">
        <v>0</v>
      </c>
      <c r="DH25" s="102">
        <v>4393</v>
      </c>
      <c r="DI25" s="102">
        <v>1212916</v>
      </c>
      <c r="DJ25" s="102">
        <v>942240</v>
      </c>
      <c r="DK25" s="102">
        <v>70</v>
      </c>
      <c r="DL25" s="102">
        <v>270606</v>
      </c>
      <c r="DM25" s="102">
        <v>0</v>
      </c>
      <c r="DN25" s="102">
        <v>0</v>
      </c>
      <c r="DO25" s="102">
        <v>0</v>
      </c>
      <c r="DP25" s="102">
        <v>0</v>
      </c>
      <c r="DQ25" s="102">
        <v>20400</v>
      </c>
      <c r="DR25" s="102">
        <v>0</v>
      </c>
      <c r="DS25" s="102">
        <v>0</v>
      </c>
      <c r="DT25" s="102">
        <v>5039873</v>
      </c>
      <c r="DU25" s="102">
        <v>27061</v>
      </c>
      <c r="DV25" s="73">
        <f t="shared" si="10"/>
        <v>0</v>
      </c>
      <c r="DW25" s="102">
        <v>0</v>
      </c>
      <c r="DX25" s="102">
        <v>1899823</v>
      </c>
      <c r="DY25" s="102">
        <v>0</v>
      </c>
      <c r="DZ25" s="102">
        <v>1520350</v>
      </c>
      <c r="EA25" s="74">
        <v>0</v>
      </c>
      <c r="EB25" s="102">
        <v>1591452</v>
      </c>
      <c r="EC25" s="102">
        <v>0</v>
      </c>
      <c r="ED25" s="102">
        <v>57546695</v>
      </c>
      <c r="EE25" s="71"/>
      <c r="EF25" s="102">
        <v>505217</v>
      </c>
      <c r="EG25" s="102">
        <v>153718</v>
      </c>
      <c r="EH25" s="102">
        <v>351499</v>
      </c>
      <c r="EI25" s="102">
        <v>283361</v>
      </c>
      <c r="EJ25" s="102">
        <v>1225701</v>
      </c>
      <c r="EK25" s="71"/>
      <c r="EL25" s="102">
        <v>186109</v>
      </c>
      <c r="EM25" s="102">
        <v>186833</v>
      </c>
      <c r="EN25" s="102">
        <v>53519</v>
      </c>
      <c r="EO25" s="102">
        <v>138528</v>
      </c>
      <c r="EP25" s="73">
        <f t="shared" si="11"/>
        <v>1181020</v>
      </c>
      <c r="EQ25" s="102">
        <v>35875995</v>
      </c>
      <c r="ER25" s="71">
        <v>-3660275</v>
      </c>
      <c r="ES25" s="102">
        <v>9238151</v>
      </c>
      <c r="ET25" s="102">
        <v>5910825</v>
      </c>
      <c r="EU25" s="102">
        <v>6064935</v>
      </c>
      <c r="EV25" s="102">
        <v>5986640</v>
      </c>
      <c r="EW25" s="73">
        <f t="shared" si="12"/>
        <v>1392702</v>
      </c>
      <c r="EX25" s="102">
        <v>1392090</v>
      </c>
      <c r="EY25" s="102">
        <v>182306</v>
      </c>
      <c r="EZ25" s="102">
        <v>1209784</v>
      </c>
      <c r="FA25" s="102">
        <v>612</v>
      </c>
      <c r="FB25" s="102">
        <v>0</v>
      </c>
      <c r="FC25" s="102">
        <v>5764160</v>
      </c>
      <c r="FD25" s="102">
        <v>5200700</v>
      </c>
      <c r="FE25" s="102">
        <v>1098581</v>
      </c>
      <c r="FF25" s="102">
        <v>3941234</v>
      </c>
      <c r="FG25" s="73">
        <f t="shared" si="13"/>
        <v>1442531</v>
      </c>
      <c r="FH25" s="102">
        <v>39031053</v>
      </c>
      <c r="FI25" s="379">
        <f t="shared" si="14"/>
        <v>1</v>
      </c>
      <c r="FJ25" s="102">
        <v>31587220</v>
      </c>
      <c r="FK25" s="102">
        <v>2532563</v>
      </c>
      <c r="FL25" s="102">
        <v>18894492</v>
      </c>
      <c r="FM25" s="102">
        <v>26366909</v>
      </c>
      <c r="FN25" s="428">
        <v>0.70199999999999996</v>
      </c>
      <c r="FO25" s="424">
        <v>95.3</v>
      </c>
      <c r="FP25" s="425">
        <v>25.2</v>
      </c>
      <c r="FQ25" s="424">
        <v>16.600000000000001</v>
      </c>
      <c r="FR25" s="424">
        <v>16.600000000000001</v>
      </c>
      <c r="FS25" s="425">
        <v>15.2</v>
      </c>
      <c r="FT25" s="424">
        <v>10.7</v>
      </c>
      <c r="FU25" s="425">
        <v>10.199999999999999</v>
      </c>
      <c r="FV25" s="384">
        <v>6.7</v>
      </c>
      <c r="FW25" s="102">
        <v>51080359</v>
      </c>
      <c r="FX25" s="384">
        <f t="shared" si="15"/>
        <v>149.69999999999999</v>
      </c>
      <c r="FY25" s="102">
        <v>8152831</v>
      </c>
      <c r="FZ25" s="102">
        <v>4848080</v>
      </c>
      <c r="GA25" s="102">
        <v>149150</v>
      </c>
      <c r="GB25" s="102">
        <v>3155601</v>
      </c>
      <c r="GC25" s="102">
        <v>0</v>
      </c>
      <c r="GD25" s="427"/>
      <c r="GE25" s="386"/>
      <c r="GF25" s="424">
        <v>99.1</v>
      </c>
      <c r="GG25" s="424">
        <v>31.4</v>
      </c>
      <c r="GH25" s="424">
        <v>96.4</v>
      </c>
      <c r="GI25" s="102">
        <v>1059</v>
      </c>
      <c r="GJ25" s="429" t="s">
        <v>646</v>
      </c>
      <c r="GK25" s="429">
        <v>11.64</v>
      </c>
      <c r="GL25" s="87">
        <v>20</v>
      </c>
      <c r="GM25" s="429" t="s">
        <v>646</v>
      </c>
      <c r="GN25" s="430">
        <v>16.64</v>
      </c>
      <c r="GO25" s="430">
        <v>30</v>
      </c>
      <c r="GP25" s="425">
        <v>6.7</v>
      </c>
      <c r="GQ25" s="425">
        <v>25</v>
      </c>
      <c r="GR25" s="425">
        <v>35</v>
      </c>
      <c r="GS25" s="431">
        <v>0</v>
      </c>
      <c r="GT25" s="425">
        <v>350</v>
      </c>
      <c r="GU25" s="394"/>
      <c r="GV25" s="100">
        <f t="shared" si="16"/>
        <v>34120</v>
      </c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</row>
    <row r="26" spans="2:230" x14ac:dyDescent="0.15">
      <c r="B26" s="89" t="s">
        <v>41</v>
      </c>
      <c r="C26" s="102">
        <v>23414414</v>
      </c>
      <c r="D26" s="73">
        <f t="shared" si="0"/>
        <v>10185421</v>
      </c>
      <c r="E26" s="102">
        <v>214258</v>
      </c>
      <c r="F26" s="102">
        <v>9971163</v>
      </c>
      <c r="G26" s="73">
        <f t="shared" si="1"/>
        <v>1106371</v>
      </c>
      <c r="H26" s="102">
        <v>355519</v>
      </c>
      <c r="I26" s="102">
        <v>750852</v>
      </c>
      <c r="J26" s="102">
        <v>8986850</v>
      </c>
      <c r="K26" s="102">
        <v>4288760</v>
      </c>
      <c r="L26" s="102">
        <v>3941480</v>
      </c>
      <c r="M26" s="102">
        <v>730846</v>
      </c>
      <c r="N26" s="102">
        <v>821637</v>
      </c>
      <c r="O26" s="102">
        <v>2155864</v>
      </c>
      <c r="P26" s="102">
        <v>1309825</v>
      </c>
      <c r="Q26" s="102">
        <v>846039</v>
      </c>
      <c r="R26" s="102">
        <v>256161</v>
      </c>
      <c r="S26" s="74"/>
      <c r="T26" s="73">
        <f t="shared" si="2"/>
        <v>3031949</v>
      </c>
      <c r="U26" s="102">
        <v>86818</v>
      </c>
      <c r="V26" s="102">
        <v>204077</v>
      </c>
      <c r="W26" s="102">
        <v>224146</v>
      </c>
      <c r="X26" s="102">
        <v>2418023</v>
      </c>
      <c r="Y26" s="102">
        <v>2675</v>
      </c>
      <c r="Z26" s="102">
        <v>0</v>
      </c>
      <c r="AA26" s="102">
        <v>96210</v>
      </c>
      <c r="AB26" s="102">
        <v>109262</v>
      </c>
      <c r="AC26" s="102">
        <v>937646</v>
      </c>
      <c r="AD26" s="102">
        <v>819030</v>
      </c>
      <c r="AE26" s="102">
        <v>118615</v>
      </c>
      <c r="AF26" s="102">
        <v>22856</v>
      </c>
      <c r="AG26" s="102">
        <v>531264</v>
      </c>
      <c r="AH26" s="73">
        <f t="shared" si="3"/>
        <v>892845</v>
      </c>
      <c r="AI26" s="102">
        <v>572242</v>
      </c>
      <c r="AJ26" s="102">
        <v>320603</v>
      </c>
      <c r="AK26" s="102">
        <v>6957674</v>
      </c>
      <c r="AL26" s="73">
        <f t="shared" si="4"/>
        <v>3378331</v>
      </c>
      <c r="AM26" s="102">
        <v>1702147</v>
      </c>
      <c r="AN26" s="102">
        <v>709015</v>
      </c>
      <c r="AO26" s="74"/>
      <c r="AP26" s="102">
        <v>967169</v>
      </c>
      <c r="AQ26" s="102">
        <v>4583</v>
      </c>
      <c r="AR26" s="102">
        <v>0</v>
      </c>
      <c r="AS26" s="102">
        <v>0</v>
      </c>
      <c r="AT26" s="102">
        <v>2915818</v>
      </c>
      <c r="AU26" s="102">
        <v>1616766</v>
      </c>
      <c r="AV26" s="102">
        <v>352054</v>
      </c>
      <c r="AW26" s="102">
        <v>680</v>
      </c>
      <c r="AX26" s="102">
        <v>1299052</v>
      </c>
      <c r="AY26" s="102">
        <v>0</v>
      </c>
      <c r="AZ26" s="102">
        <v>300975</v>
      </c>
      <c r="BA26" s="102">
        <v>130841</v>
      </c>
      <c r="BB26" s="102">
        <v>16930</v>
      </c>
      <c r="BC26" s="102">
        <v>966359</v>
      </c>
      <c r="BD26" s="102">
        <v>0</v>
      </c>
      <c r="BE26" s="102">
        <v>0</v>
      </c>
      <c r="BF26" s="102">
        <v>966344</v>
      </c>
      <c r="BG26" s="102">
        <v>0</v>
      </c>
      <c r="BH26" s="102">
        <v>1299903</v>
      </c>
      <c r="BI26" s="102">
        <v>772746</v>
      </c>
      <c r="BJ26" s="102">
        <v>1142038</v>
      </c>
      <c r="BK26" s="102">
        <v>11264</v>
      </c>
      <c r="BL26" s="102">
        <v>0</v>
      </c>
      <c r="BM26" s="102">
        <v>600000</v>
      </c>
      <c r="BN26" s="102">
        <v>2613678</v>
      </c>
      <c r="BO26" s="73">
        <f t="shared" si="5"/>
        <v>1297000</v>
      </c>
      <c r="BP26" s="73">
        <f t="shared" si="6"/>
        <v>1316678</v>
      </c>
      <c r="BQ26" s="102">
        <v>0</v>
      </c>
      <c r="BR26" s="102">
        <v>0</v>
      </c>
      <c r="BS26" s="102">
        <v>1316678</v>
      </c>
      <c r="BT26" s="102">
        <v>0</v>
      </c>
      <c r="BU26" s="102">
        <v>45409772</v>
      </c>
      <c r="BV26" s="71"/>
      <c r="BW26" s="102">
        <v>9311338</v>
      </c>
      <c r="BX26" s="102">
        <v>6436429</v>
      </c>
      <c r="BY26" s="102">
        <v>907921</v>
      </c>
      <c r="BZ26" s="102">
        <v>277999</v>
      </c>
      <c r="CA26" s="102">
        <v>10822375</v>
      </c>
      <c r="CB26" s="102">
        <v>2478675</v>
      </c>
      <c r="CC26" s="102">
        <v>314452</v>
      </c>
      <c r="CD26" s="102">
        <v>5540000</v>
      </c>
      <c r="CE26" s="102">
        <v>2240211</v>
      </c>
      <c r="CF26" s="102">
        <v>28738</v>
      </c>
      <c r="CG26" s="102">
        <v>220254</v>
      </c>
      <c r="CH26" s="102">
        <v>2277409</v>
      </c>
      <c r="CI26" s="102">
        <v>1962693</v>
      </c>
      <c r="CJ26" s="83">
        <f t="shared" si="17"/>
        <v>314716</v>
      </c>
      <c r="CK26" s="102">
        <v>7336238</v>
      </c>
      <c r="CL26" s="102">
        <v>4930602</v>
      </c>
      <c r="CM26" s="102">
        <v>417993</v>
      </c>
      <c r="CN26" s="102">
        <v>1225873</v>
      </c>
      <c r="CO26" s="102">
        <v>310111</v>
      </c>
      <c r="CP26" s="102">
        <v>2333965</v>
      </c>
      <c r="CQ26" s="102">
        <v>2181</v>
      </c>
      <c r="CR26" s="102">
        <v>1237611</v>
      </c>
      <c r="CS26" s="102">
        <v>901028</v>
      </c>
      <c r="CT26" s="73">
        <f t="shared" si="7"/>
        <v>347429</v>
      </c>
      <c r="CU26" s="102">
        <v>264223</v>
      </c>
      <c r="CV26" s="102">
        <v>83206</v>
      </c>
      <c r="CW26" s="73">
        <f t="shared" si="8"/>
        <v>8500</v>
      </c>
      <c r="CX26" s="102">
        <v>8500</v>
      </c>
      <c r="CY26" s="102">
        <v>0</v>
      </c>
      <c r="CZ26" s="73">
        <f t="shared" si="9"/>
        <v>318977</v>
      </c>
      <c r="DA26" s="102">
        <v>239059</v>
      </c>
      <c r="DB26" s="102">
        <v>79918</v>
      </c>
      <c r="DC26" s="102">
        <v>3074379</v>
      </c>
      <c r="DD26" s="102">
        <v>1949648</v>
      </c>
      <c r="DE26" s="102">
        <v>1119102</v>
      </c>
      <c r="DF26" s="102">
        <v>0</v>
      </c>
      <c r="DG26" s="102">
        <v>0</v>
      </c>
      <c r="DH26" s="102">
        <v>34683</v>
      </c>
      <c r="DI26" s="102">
        <v>1864851</v>
      </c>
      <c r="DJ26" s="102">
        <v>15720</v>
      </c>
      <c r="DK26" s="102">
        <v>2455</v>
      </c>
      <c r="DL26" s="102">
        <v>1846676</v>
      </c>
      <c r="DM26" s="102">
        <v>262488</v>
      </c>
      <c r="DN26" s="102">
        <v>262488</v>
      </c>
      <c r="DO26" s="102">
        <v>0</v>
      </c>
      <c r="DP26" s="102">
        <v>262488</v>
      </c>
      <c r="DQ26" s="102">
        <v>0</v>
      </c>
      <c r="DR26" s="102">
        <v>0</v>
      </c>
      <c r="DS26" s="102">
        <v>0</v>
      </c>
      <c r="DT26" s="102">
        <v>4403910</v>
      </c>
      <c r="DU26" s="102">
        <v>0</v>
      </c>
      <c r="DV26" s="73">
        <f t="shared" si="10"/>
        <v>0</v>
      </c>
      <c r="DW26" s="102">
        <v>0</v>
      </c>
      <c r="DX26" s="102">
        <v>1306789</v>
      </c>
      <c r="DY26" s="102">
        <v>0</v>
      </c>
      <c r="DZ26" s="102">
        <v>1716646</v>
      </c>
      <c r="EA26" s="74">
        <v>0</v>
      </c>
      <c r="EB26" s="102">
        <v>1287187</v>
      </c>
      <c r="EC26" s="102">
        <v>0</v>
      </c>
      <c r="ED26" s="102">
        <v>42031747</v>
      </c>
      <c r="EE26" s="71"/>
      <c r="EF26" s="102">
        <v>3378025</v>
      </c>
      <c r="EG26" s="102">
        <v>1262026</v>
      </c>
      <c r="EH26" s="102">
        <v>2115999</v>
      </c>
      <c r="EI26" s="102">
        <v>343253</v>
      </c>
      <c r="EJ26" s="102">
        <v>358973</v>
      </c>
      <c r="EK26" s="71"/>
      <c r="EL26" s="102">
        <v>133411</v>
      </c>
      <c r="EM26" s="102">
        <v>135587</v>
      </c>
      <c r="EN26" s="102">
        <v>1660</v>
      </c>
      <c r="EO26" s="102">
        <v>251427</v>
      </c>
      <c r="EP26" s="73">
        <f t="shared" si="11"/>
        <v>2129822</v>
      </c>
      <c r="EQ26" s="102">
        <v>27772288</v>
      </c>
      <c r="ER26" s="71">
        <v>-3676731</v>
      </c>
      <c r="ES26" s="102">
        <v>8839932</v>
      </c>
      <c r="ET26" s="102">
        <v>6054756</v>
      </c>
      <c r="EU26" s="102">
        <v>3386481</v>
      </c>
      <c r="EV26" s="102">
        <v>2277053</v>
      </c>
      <c r="EW26" s="73">
        <f t="shared" si="12"/>
        <v>801030</v>
      </c>
      <c r="EX26" s="102">
        <v>788839</v>
      </c>
      <c r="EY26" s="102">
        <v>145676</v>
      </c>
      <c r="EZ26" s="102">
        <v>643134</v>
      </c>
      <c r="FA26" s="102">
        <v>12191</v>
      </c>
      <c r="FB26" s="102">
        <v>0</v>
      </c>
      <c r="FC26" s="102">
        <v>5797055</v>
      </c>
      <c r="FD26" s="102">
        <v>1770191</v>
      </c>
      <c r="FE26" s="102">
        <v>2181</v>
      </c>
      <c r="FF26" s="102">
        <v>3619586</v>
      </c>
      <c r="FG26" s="73">
        <f t="shared" si="13"/>
        <v>2370291</v>
      </c>
      <c r="FH26" s="102">
        <v>28861619</v>
      </c>
      <c r="FI26" s="379">
        <f t="shared" si="14"/>
        <v>8.3000000000000007</v>
      </c>
      <c r="FJ26" s="102">
        <v>24288013</v>
      </c>
      <c r="FK26" s="102">
        <v>1316678</v>
      </c>
      <c r="FL26" s="102">
        <v>17967926</v>
      </c>
      <c r="FM26" s="102">
        <v>18786956</v>
      </c>
      <c r="FN26" s="428">
        <v>0.94899999999999995</v>
      </c>
      <c r="FO26" s="424">
        <v>88.2</v>
      </c>
      <c r="FP26" s="425">
        <v>31.8</v>
      </c>
      <c r="FQ26" s="424">
        <v>12.5</v>
      </c>
      <c r="FR26" s="424">
        <v>8.4</v>
      </c>
      <c r="FS26" s="425">
        <v>18.899999999999999</v>
      </c>
      <c r="FT26" s="424">
        <v>5</v>
      </c>
      <c r="FU26" s="425">
        <v>10.5</v>
      </c>
      <c r="FV26" s="384">
        <v>1.2</v>
      </c>
      <c r="FW26" s="102">
        <v>29196144</v>
      </c>
      <c r="FX26" s="384">
        <f t="shared" si="15"/>
        <v>114</v>
      </c>
      <c r="FY26" s="102">
        <v>25605577</v>
      </c>
      <c r="FZ26" s="102">
        <v>8149180</v>
      </c>
      <c r="GA26" s="102">
        <v>1287472</v>
      </c>
      <c r="GB26" s="102">
        <v>16168925</v>
      </c>
      <c r="GC26" s="102">
        <v>0</v>
      </c>
      <c r="GD26" s="427">
        <v>1232</v>
      </c>
      <c r="GE26" s="386">
        <f>IF(GD26=0,"-",ROUND(GD26/(GV26)*100,1))</f>
        <v>4.8</v>
      </c>
      <c r="GF26" s="424">
        <v>99</v>
      </c>
      <c r="GG26" s="424">
        <v>28.3</v>
      </c>
      <c r="GH26" s="424">
        <v>95.2</v>
      </c>
      <c r="GI26" s="102">
        <v>887</v>
      </c>
      <c r="GJ26" s="429" t="s">
        <v>646</v>
      </c>
      <c r="GK26" s="429">
        <v>12.04</v>
      </c>
      <c r="GL26" s="87">
        <v>20</v>
      </c>
      <c r="GM26" s="429" t="s">
        <v>646</v>
      </c>
      <c r="GN26" s="430">
        <v>17.04</v>
      </c>
      <c r="GO26" s="430">
        <v>30</v>
      </c>
      <c r="GP26" s="425">
        <v>1.2</v>
      </c>
      <c r="GQ26" s="425">
        <v>25</v>
      </c>
      <c r="GR26" s="425">
        <v>35</v>
      </c>
      <c r="GS26" s="431" t="s">
        <v>646</v>
      </c>
      <c r="GT26" s="425">
        <v>350</v>
      </c>
      <c r="GU26" s="394"/>
      <c r="GV26" s="100">
        <f t="shared" si="16"/>
        <v>25605</v>
      </c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</row>
    <row r="27" spans="2:230" x14ac:dyDescent="0.15">
      <c r="B27" s="89" t="s">
        <v>43</v>
      </c>
      <c r="C27" s="102">
        <v>8758294</v>
      </c>
      <c r="D27" s="73">
        <f t="shared" si="0"/>
        <v>3497958</v>
      </c>
      <c r="E27" s="102">
        <v>114954</v>
      </c>
      <c r="F27" s="102">
        <v>3383004</v>
      </c>
      <c r="G27" s="73">
        <f t="shared" si="1"/>
        <v>579493</v>
      </c>
      <c r="H27" s="102">
        <v>134330</v>
      </c>
      <c r="I27" s="102">
        <v>445163</v>
      </c>
      <c r="J27" s="102">
        <v>3543466</v>
      </c>
      <c r="K27" s="102">
        <v>1407651</v>
      </c>
      <c r="L27" s="102">
        <v>1399287</v>
      </c>
      <c r="M27" s="102">
        <v>711375</v>
      </c>
      <c r="N27" s="102">
        <v>352378</v>
      </c>
      <c r="O27" s="102">
        <v>704412</v>
      </c>
      <c r="P27" s="102">
        <v>402973</v>
      </c>
      <c r="Q27" s="102">
        <v>301439</v>
      </c>
      <c r="R27" s="102">
        <v>124408</v>
      </c>
      <c r="S27" s="74"/>
      <c r="T27" s="73">
        <f t="shared" si="2"/>
        <v>1624064</v>
      </c>
      <c r="U27" s="102">
        <v>30295</v>
      </c>
      <c r="V27" s="102">
        <v>71061</v>
      </c>
      <c r="W27" s="102">
        <v>77918</v>
      </c>
      <c r="X27" s="102">
        <v>1399586</v>
      </c>
      <c r="Y27" s="102">
        <v>0</v>
      </c>
      <c r="Z27" s="102">
        <v>0</v>
      </c>
      <c r="AA27" s="102">
        <v>45204</v>
      </c>
      <c r="AB27" s="102">
        <v>42327</v>
      </c>
      <c r="AC27" s="102">
        <v>4529468</v>
      </c>
      <c r="AD27" s="102">
        <v>4290330</v>
      </c>
      <c r="AE27" s="102">
        <v>239137</v>
      </c>
      <c r="AF27" s="102">
        <v>12870</v>
      </c>
      <c r="AG27" s="102">
        <v>198018</v>
      </c>
      <c r="AH27" s="73">
        <f t="shared" si="3"/>
        <v>411313</v>
      </c>
      <c r="AI27" s="102">
        <v>373921</v>
      </c>
      <c r="AJ27" s="102">
        <v>37392</v>
      </c>
      <c r="AK27" s="102">
        <v>4240554</v>
      </c>
      <c r="AL27" s="73">
        <f t="shared" si="4"/>
        <v>2742949</v>
      </c>
      <c r="AM27" s="102">
        <v>1782796</v>
      </c>
      <c r="AN27" s="102">
        <v>470323</v>
      </c>
      <c r="AO27" s="74"/>
      <c r="AP27" s="102">
        <v>489830</v>
      </c>
      <c r="AQ27" s="102">
        <v>105744</v>
      </c>
      <c r="AR27" s="102">
        <v>0</v>
      </c>
      <c r="AS27" s="102">
        <v>0</v>
      </c>
      <c r="AT27" s="102">
        <v>1597444</v>
      </c>
      <c r="AU27" s="102">
        <v>786954</v>
      </c>
      <c r="AV27" s="102">
        <v>175953</v>
      </c>
      <c r="AW27" s="102">
        <v>29936</v>
      </c>
      <c r="AX27" s="102">
        <v>810490</v>
      </c>
      <c r="AY27" s="102">
        <v>3151</v>
      </c>
      <c r="AZ27" s="102">
        <v>19018</v>
      </c>
      <c r="BA27" s="102">
        <v>795</v>
      </c>
      <c r="BB27" s="102">
        <v>326107</v>
      </c>
      <c r="BC27" s="102">
        <v>1955146</v>
      </c>
      <c r="BD27" s="102">
        <v>250000</v>
      </c>
      <c r="BE27" s="102">
        <v>0</v>
      </c>
      <c r="BF27" s="102">
        <v>1705146</v>
      </c>
      <c r="BG27" s="102">
        <v>0</v>
      </c>
      <c r="BH27" s="102">
        <v>19554</v>
      </c>
      <c r="BI27" s="102">
        <v>5658</v>
      </c>
      <c r="BJ27" s="102">
        <v>728529</v>
      </c>
      <c r="BK27" s="102">
        <v>538097</v>
      </c>
      <c r="BL27" s="102">
        <v>0</v>
      </c>
      <c r="BM27" s="102">
        <v>0</v>
      </c>
      <c r="BN27" s="102">
        <v>1589518</v>
      </c>
      <c r="BO27" s="73">
        <f t="shared" si="5"/>
        <v>374500</v>
      </c>
      <c r="BP27" s="73">
        <f t="shared" si="6"/>
        <v>1215018</v>
      </c>
      <c r="BQ27" s="102">
        <v>0</v>
      </c>
      <c r="BR27" s="102">
        <v>0</v>
      </c>
      <c r="BS27" s="102">
        <v>1215018</v>
      </c>
      <c r="BT27" s="102">
        <v>0</v>
      </c>
      <c r="BU27" s="102">
        <v>26176632</v>
      </c>
      <c r="BV27" s="71"/>
      <c r="BW27" s="102">
        <v>4152689</v>
      </c>
      <c r="BX27" s="102">
        <v>2529205</v>
      </c>
      <c r="BY27" s="102">
        <v>408983</v>
      </c>
      <c r="BZ27" s="102">
        <v>385561</v>
      </c>
      <c r="CA27" s="102">
        <v>6568223</v>
      </c>
      <c r="CB27" s="102">
        <v>1369961</v>
      </c>
      <c r="CC27" s="102">
        <v>140903</v>
      </c>
      <c r="CD27" s="102">
        <v>2706615</v>
      </c>
      <c r="CE27" s="102">
        <v>2258380</v>
      </c>
      <c r="CF27" s="102">
        <v>2569</v>
      </c>
      <c r="CG27" s="102">
        <v>89655</v>
      </c>
      <c r="CH27" s="102">
        <v>2023384</v>
      </c>
      <c r="CI27" s="102">
        <v>1780370</v>
      </c>
      <c r="CJ27" s="83">
        <f t="shared" si="17"/>
        <v>243014</v>
      </c>
      <c r="CK27" s="102">
        <v>2540211</v>
      </c>
      <c r="CL27" s="102">
        <v>1535455</v>
      </c>
      <c r="CM27" s="102">
        <v>224233</v>
      </c>
      <c r="CN27" s="102">
        <v>309829</v>
      </c>
      <c r="CO27" s="102">
        <v>94398</v>
      </c>
      <c r="CP27" s="102">
        <v>4601079</v>
      </c>
      <c r="CQ27" s="102">
        <v>1795699</v>
      </c>
      <c r="CR27" s="102">
        <v>419044</v>
      </c>
      <c r="CS27" s="102">
        <v>272845</v>
      </c>
      <c r="CT27" s="73">
        <f t="shared" si="7"/>
        <v>1744296</v>
      </c>
      <c r="CU27" s="102">
        <v>804384</v>
      </c>
      <c r="CV27" s="102">
        <v>939912</v>
      </c>
      <c r="CW27" s="73">
        <f t="shared" si="8"/>
        <v>875078</v>
      </c>
      <c r="CX27" s="102">
        <v>306812</v>
      </c>
      <c r="CY27" s="102">
        <v>568266</v>
      </c>
      <c r="CZ27" s="73">
        <f t="shared" si="9"/>
        <v>864353</v>
      </c>
      <c r="DA27" s="102">
        <v>494572</v>
      </c>
      <c r="DB27" s="102">
        <v>369781</v>
      </c>
      <c r="DC27" s="102">
        <v>797601</v>
      </c>
      <c r="DD27" s="102">
        <v>203495</v>
      </c>
      <c r="DE27" s="102">
        <v>594106</v>
      </c>
      <c r="DF27" s="102">
        <v>0</v>
      </c>
      <c r="DG27" s="102">
        <v>0</v>
      </c>
      <c r="DH27" s="102">
        <v>0</v>
      </c>
      <c r="DI27" s="102">
        <v>1305133</v>
      </c>
      <c r="DJ27" s="102">
        <v>972876</v>
      </c>
      <c r="DK27" s="102">
        <v>0</v>
      </c>
      <c r="DL27" s="102">
        <v>332257</v>
      </c>
      <c r="DM27" s="102">
        <v>516098</v>
      </c>
      <c r="DN27" s="102">
        <v>516098</v>
      </c>
      <c r="DO27" s="102">
        <v>0</v>
      </c>
      <c r="DP27" s="102">
        <v>516098</v>
      </c>
      <c r="DQ27" s="102">
        <v>537475</v>
      </c>
      <c r="DR27" s="102">
        <v>0</v>
      </c>
      <c r="DS27" s="102">
        <v>0</v>
      </c>
      <c r="DT27" s="102">
        <v>2621814</v>
      </c>
      <c r="DU27" s="102">
        <v>0</v>
      </c>
      <c r="DV27" s="73">
        <f t="shared" si="10"/>
        <v>0</v>
      </c>
      <c r="DW27" s="102">
        <v>0</v>
      </c>
      <c r="DX27" s="102">
        <v>837469</v>
      </c>
      <c r="DY27" s="102">
        <v>0</v>
      </c>
      <c r="DZ27" s="102">
        <v>933676</v>
      </c>
      <c r="EA27" s="74">
        <v>0</v>
      </c>
      <c r="EB27" s="102">
        <v>847257</v>
      </c>
      <c r="EC27" s="102">
        <v>0</v>
      </c>
      <c r="ED27" s="102">
        <v>25758105</v>
      </c>
      <c r="EE27" s="71"/>
      <c r="EF27" s="102">
        <v>418527</v>
      </c>
      <c r="EG27" s="102">
        <v>14079</v>
      </c>
      <c r="EH27" s="102">
        <v>404448</v>
      </c>
      <c r="EI27" s="102">
        <v>392790</v>
      </c>
      <c r="EJ27" s="102">
        <v>1115842</v>
      </c>
      <c r="EK27" s="71"/>
      <c r="EL27" s="102">
        <v>71112</v>
      </c>
      <c r="EM27" s="102">
        <v>71344</v>
      </c>
      <c r="EN27" s="102">
        <v>1888146</v>
      </c>
      <c r="EO27" s="102">
        <v>10725</v>
      </c>
      <c r="EP27" s="73">
        <f t="shared" si="11"/>
        <v>475386</v>
      </c>
      <c r="EQ27" s="102">
        <v>15091431</v>
      </c>
      <c r="ER27" s="71">
        <v>-3576405</v>
      </c>
      <c r="ES27" s="102">
        <v>3783351</v>
      </c>
      <c r="ET27" s="102">
        <v>2261362</v>
      </c>
      <c r="EU27" s="102">
        <v>1949747</v>
      </c>
      <c r="EV27" s="102">
        <v>2023384</v>
      </c>
      <c r="EW27" s="73">
        <f t="shared" si="12"/>
        <v>294754</v>
      </c>
      <c r="EX27" s="102">
        <v>294754</v>
      </c>
      <c r="EY27" s="102">
        <v>12074</v>
      </c>
      <c r="EZ27" s="102">
        <v>282680</v>
      </c>
      <c r="FA27" s="102">
        <v>0</v>
      </c>
      <c r="FB27" s="102">
        <v>0</v>
      </c>
      <c r="FC27" s="102">
        <v>2051303</v>
      </c>
      <c r="FD27" s="102">
        <v>4471937</v>
      </c>
      <c r="FE27" s="102">
        <v>1794987</v>
      </c>
      <c r="FF27" s="102">
        <v>2095120</v>
      </c>
      <c r="FG27" s="73">
        <f t="shared" si="13"/>
        <v>1579713</v>
      </c>
      <c r="FH27" s="102">
        <v>18249309</v>
      </c>
      <c r="FI27" s="379">
        <f t="shared" si="14"/>
        <v>2.7</v>
      </c>
      <c r="FJ27" s="102">
        <v>13717727</v>
      </c>
      <c r="FK27" s="102">
        <v>1215018</v>
      </c>
      <c r="FL27" s="102">
        <v>7418386</v>
      </c>
      <c r="FM27" s="102">
        <v>11708716</v>
      </c>
      <c r="FN27" s="428">
        <v>0.63300000000000001</v>
      </c>
      <c r="FO27" s="424">
        <v>96.5</v>
      </c>
      <c r="FP27" s="425">
        <v>24.2</v>
      </c>
      <c r="FQ27" s="424">
        <v>12.5</v>
      </c>
      <c r="FR27" s="424">
        <v>13.1</v>
      </c>
      <c r="FS27" s="425">
        <v>11.9</v>
      </c>
      <c r="FT27" s="424">
        <v>22.3</v>
      </c>
      <c r="FU27" s="425">
        <v>11.9</v>
      </c>
      <c r="FV27" s="384">
        <v>9.6999999999999993</v>
      </c>
      <c r="FW27" s="102">
        <v>20042946</v>
      </c>
      <c r="FX27" s="384">
        <f t="shared" si="15"/>
        <v>134.19999999999999</v>
      </c>
      <c r="FY27" s="102">
        <v>2807845</v>
      </c>
      <c r="FZ27" s="102">
        <v>1467364</v>
      </c>
      <c r="GA27" s="102">
        <v>174</v>
      </c>
      <c r="GB27" s="102">
        <v>1340307</v>
      </c>
      <c r="GC27" s="102">
        <v>0</v>
      </c>
      <c r="GD27" s="427">
        <v>497</v>
      </c>
      <c r="GE27" s="386">
        <f>IF(GD27=0,"-",ROUND(GD27/(GV27)*100,1))</f>
        <v>3.3</v>
      </c>
      <c r="GF27" s="424">
        <v>98.5</v>
      </c>
      <c r="GG27" s="424">
        <v>42.9</v>
      </c>
      <c r="GH27" s="424">
        <v>95.7</v>
      </c>
      <c r="GI27" s="102">
        <v>405</v>
      </c>
      <c r="GJ27" s="429" t="s">
        <v>646</v>
      </c>
      <c r="GK27" s="429">
        <v>12.78</v>
      </c>
      <c r="GL27" s="87">
        <v>20</v>
      </c>
      <c r="GM27" s="429" t="s">
        <v>646</v>
      </c>
      <c r="GN27" s="430">
        <v>17.78</v>
      </c>
      <c r="GO27" s="430">
        <v>30</v>
      </c>
      <c r="GP27" s="425">
        <v>9.6999999999999993</v>
      </c>
      <c r="GQ27" s="425">
        <v>25</v>
      </c>
      <c r="GR27" s="425">
        <v>35</v>
      </c>
      <c r="GS27" s="431">
        <v>19.399999999999999</v>
      </c>
      <c r="GT27" s="425">
        <v>350</v>
      </c>
      <c r="GU27" s="394"/>
      <c r="GV27" s="100">
        <f t="shared" si="16"/>
        <v>14933</v>
      </c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</row>
    <row r="28" spans="2:230" x14ac:dyDescent="0.15">
      <c r="B28" s="89" t="s">
        <v>45</v>
      </c>
      <c r="C28" s="102">
        <v>12434045</v>
      </c>
      <c r="D28" s="73">
        <f t="shared" si="0"/>
        <v>5247649</v>
      </c>
      <c r="E28" s="102">
        <v>171913</v>
      </c>
      <c r="F28" s="102">
        <v>5075736</v>
      </c>
      <c r="G28" s="73">
        <f t="shared" si="1"/>
        <v>598792</v>
      </c>
      <c r="H28" s="102">
        <v>193398</v>
      </c>
      <c r="I28" s="102">
        <v>405394</v>
      </c>
      <c r="J28" s="102">
        <v>4716399</v>
      </c>
      <c r="K28" s="102">
        <v>2106112</v>
      </c>
      <c r="L28" s="102">
        <v>2074256</v>
      </c>
      <c r="M28" s="102">
        <v>488749</v>
      </c>
      <c r="N28" s="102">
        <v>677112</v>
      </c>
      <c r="O28" s="102">
        <v>1015278</v>
      </c>
      <c r="P28" s="102">
        <v>589257</v>
      </c>
      <c r="Q28" s="102">
        <v>426021</v>
      </c>
      <c r="R28" s="102">
        <v>195066</v>
      </c>
      <c r="S28" s="74"/>
      <c r="T28" s="73">
        <f t="shared" si="2"/>
        <v>2493649</v>
      </c>
      <c r="U28" s="102">
        <v>46083</v>
      </c>
      <c r="V28" s="102">
        <v>107991</v>
      </c>
      <c r="W28" s="102">
        <v>118323</v>
      </c>
      <c r="X28" s="102">
        <v>2150352</v>
      </c>
      <c r="Y28" s="102">
        <v>0</v>
      </c>
      <c r="Z28" s="102">
        <v>0</v>
      </c>
      <c r="AA28" s="102">
        <v>70900</v>
      </c>
      <c r="AB28" s="102">
        <v>74963</v>
      </c>
      <c r="AC28" s="102">
        <v>8637960</v>
      </c>
      <c r="AD28" s="102">
        <v>8401125</v>
      </c>
      <c r="AE28" s="102">
        <v>236834</v>
      </c>
      <c r="AF28" s="102">
        <v>19436</v>
      </c>
      <c r="AG28" s="102">
        <v>327881</v>
      </c>
      <c r="AH28" s="73">
        <f t="shared" si="3"/>
        <v>573565</v>
      </c>
      <c r="AI28" s="102">
        <v>519644</v>
      </c>
      <c r="AJ28" s="102">
        <v>53921</v>
      </c>
      <c r="AK28" s="102">
        <v>8010322</v>
      </c>
      <c r="AL28" s="73">
        <f t="shared" si="4"/>
        <v>5044779</v>
      </c>
      <c r="AM28" s="102">
        <v>3797970</v>
      </c>
      <c r="AN28" s="102">
        <v>211144</v>
      </c>
      <c r="AO28" s="74"/>
      <c r="AP28" s="102">
        <v>1035665</v>
      </c>
      <c r="AQ28" s="102">
        <v>458524</v>
      </c>
      <c r="AR28" s="102">
        <v>0</v>
      </c>
      <c r="AS28" s="102">
        <v>0</v>
      </c>
      <c r="AT28" s="102">
        <v>2607124</v>
      </c>
      <c r="AU28" s="102">
        <v>1344991</v>
      </c>
      <c r="AV28" s="102">
        <v>105898</v>
      </c>
      <c r="AW28" s="102">
        <v>56124</v>
      </c>
      <c r="AX28" s="102">
        <v>1262133</v>
      </c>
      <c r="AY28" s="102">
        <v>7813</v>
      </c>
      <c r="AZ28" s="102">
        <v>140415</v>
      </c>
      <c r="BA28" s="102">
        <v>118592</v>
      </c>
      <c r="BB28" s="102">
        <v>59250</v>
      </c>
      <c r="BC28" s="102">
        <v>27223</v>
      </c>
      <c r="BD28" s="102">
        <v>0</v>
      </c>
      <c r="BE28" s="102">
        <v>0</v>
      </c>
      <c r="BF28" s="102">
        <v>6050</v>
      </c>
      <c r="BG28" s="102">
        <v>0</v>
      </c>
      <c r="BH28" s="102">
        <v>464659</v>
      </c>
      <c r="BI28" s="102">
        <v>282801</v>
      </c>
      <c r="BJ28" s="102">
        <v>301479</v>
      </c>
      <c r="BK28" s="102">
        <v>1607</v>
      </c>
      <c r="BL28" s="102">
        <v>0</v>
      </c>
      <c r="BM28" s="102">
        <v>0</v>
      </c>
      <c r="BN28" s="102">
        <v>3443600</v>
      </c>
      <c r="BO28" s="73">
        <f t="shared" si="5"/>
        <v>1640400</v>
      </c>
      <c r="BP28" s="73">
        <f t="shared" si="6"/>
        <v>1803200</v>
      </c>
      <c r="BQ28" s="102">
        <v>0</v>
      </c>
      <c r="BR28" s="102">
        <v>0</v>
      </c>
      <c r="BS28" s="102">
        <v>1803200</v>
      </c>
      <c r="BT28" s="102">
        <v>0</v>
      </c>
      <c r="BU28" s="102">
        <v>39810637</v>
      </c>
      <c r="BV28" s="71"/>
      <c r="BW28" s="102">
        <v>4840351</v>
      </c>
      <c r="BX28" s="102">
        <v>3350444</v>
      </c>
      <c r="BY28" s="102">
        <v>349140</v>
      </c>
      <c r="BZ28" s="102">
        <v>118747</v>
      </c>
      <c r="CA28" s="102">
        <v>13011092</v>
      </c>
      <c r="CB28" s="102">
        <v>3347490</v>
      </c>
      <c r="CC28" s="102">
        <v>209550</v>
      </c>
      <c r="CD28" s="102">
        <v>4300524</v>
      </c>
      <c r="CE28" s="102">
        <v>5039279</v>
      </c>
      <c r="CF28" s="102">
        <v>0</v>
      </c>
      <c r="CG28" s="102">
        <v>114189</v>
      </c>
      <c r="CH28" s="102">
        <v>4727551</v>
      </c>
      <c r="CI28" s="102">
        <v>4247474</v>
      </c>
      <c r="CJ28" s="83">
        <f t="shared" si="17"/>
        <v>480077</v>
      </c>
      <c r="CK28" s="102">
        <v>4491121</v>
      </c>
      <c r="CL28" s="102">
        <v>2644884</v>
      </c>
      <c r="CM28" s="102">
        <v>685506</v>
      </c>
      <c r="CN28" s="102">
        <v>613724</v>
      </c>
      <c r="CO28" s="102">
        <v>126125</v>
      </c>
      <c r="CP28" s="102">
        <v>3432805</v>
      </c>
      <c r="CQ28" s="102">
        <v>2117498</v>
      </c>
      <c r="CR28" s="102">
        <v>687876</v>
      </c>
      <c r="CS28" s="102">
        <v>625419</v>
      </c>
      <c r="CT28" s="73">
        <f t="shared" si="7"/>
        <v>2683</v>
      </c>
      <c r="CU28" s="102">
        <v>559</v>
      </c>
      <c r="CV28" s="102">
        <v>2124</v>
      </c>
      <c r="CW28" s="73">
        <f t="shared" si="8"/>
        <v>0</v>
      </c>
      <c r="CX28" s="102">
        <v>0</v>
      </c>
      <c r="CY28" s="102">
        <v>0</v>
      </c>
      <c r="CZ28" s="73">
        <f t="shared" si="9"/>
        <v>0</v>
      </c>
      <c r="DA28" s="102">
        <v>0</v>
      </c>
      <c r="DB28" s="102">
        <v>0</v>
      </c>
      <c r="DC28" s="102">
        <v>2428214</v>
      </c>
      <c r="DD28" s="102">
        <v>1239375</v>
      </c>
      <c r="DE28" s="102">
        <v>1188115</v>
      </c>
      <c r="DF28" s="102">
        <v>724</v>
      </c>
      <c r="DG28" s="102">
        <v>0</v>
      </c>
      <c r="DH28" s="102">
        <v>0</v>
      </c>
      <c r="DI28" s="102">
        <v>348116</v>
      </c>
      <c r="DJ28" s="102">
        <v>154218</v>
      </c>
      <c r="DK28" s="102">
        <v>131</v>
      </c>
      <c r="DL28" s="102">
        <v>193767</v>
      </c>
      <c r="DM28" s="102">
        <v>203000</v>
      </c>
      <c r="DN28" s="102">
        <v>203000</v>
      </c>
      <c r="DO28" s="102">
        <v>203000</v>
      </c>
      <c r="DP28" s="102">
        <v>0</v>
      </c>
      <c r="DQ28" s="102">
        <v>0</v>
      </c>
      <c r="DR28" s="102">
        <v>0</v>
      </c>
      <c r="DS28" s="102">
        <v>0</v>
      </c>
      <c r="DT28" s="102">
        <v>5555837</v>
      </c>
      <c r="DU28" s="102">
        <v>1484260</v>
      </c>
      <c r="DV28" s="73">
        <f t="shared" si="10"/>
        <v>0</v>
      </c>
      <c r="DW28" s="102">
        <v>0</v>
      </c>
      <c r="DX28" s="102">
        <v>1405807</v>
      </c>
      <c r="DY28" s="102">
        <v>0</v>
      </c>
      <c r="DZ28" s="102">
        <v>1184410</v>
      </c>
      <c r="EA28" s="74">
        <v>0</v>
      </c>
      <c r="EB28" s="102">
        <v>1419633</v>
      </c>
      <c r="EC28" s="102">
        <v>0</v>
      </c>
      <c r="ED28" s="102">
        <v>39164212</v>
      </c>
      <c r="EE28" s="71"/>
      <c r="EF28" s="102">
        <v>646425</v>
      </c>
      <c r="EG28" s="102">
        <v>49156</v>
      </c>
      <c r="EH28" s="102">
        <v>597269</v>
      </c>
      <c r="EI28" s="102">
        <v>314468</v>
      </c>
      <c r="EJ28" s="102">
        <v>669401</v>
      </c>
      <c r="EK28" s="71"/>
      <c r="EL28" s="102">
        <v>112683</v>
      </c>
      <c r="EM28" s="102">
        <v>114146</v>
      </c>
      <c r="EN28" s="102">
        <v>21174</v>
      </c>
      <c r="EO28" s="102">
        <v>134357</v>
      </c>
      <c r="EP28" s="73">
        <f t="shared" si="11"/>
        <v>1014426</v>
      </c>
      <c r="EQ28" s="102">
        <v>23855119</v>
      </c>
      <c r="ER28" s="71">
        <v>-2953721</v>
      </c>
      <c r="ES28" s="102">
        <v>4429005</v>
      </c>
      <c r="ET28" s="102">
        <v>3013226</v>
      </c>
      <c r="EU28" s="102">
        <v>4272347</v>
      </c>
      <c r="EV28" s="102">
        <v>4705530</v>
      </c>
      <c r="EW28" s="73">
        <f t="shared" si="12"/>
        <v>414767</v>
      </c>
      <c r="EX28" s="102">
        <v>414767</v>
      </c>
      <c r="EY28" s="102">
        <v>76132</v>
      </c>
      <c r="EZ28" s="102">
        <v>337911</v>
      </c>
      <c r="FA28" s="102">
        <v>0</v>
      </c>
      <c r="FB28" s="102">
        <v>0</v>
      </c>
      <c r="FC28" s="102">
        <v>3868508</v>
      </c>
      <c r="FD28" s="102">
        <v>3288016</v>
      </c>
      <c r="FE28" s="102">
        <v>2117498</v>
      </c>
      <c r="FF28" s="102">
        <v>4728739</v>
      </c>
      <c r="FG28" s="73">
        <f t="shared" si="13"/>
        <v>455503</v>
      </c>
      <c r="FH28" s="102">
        <v>26162415</v>
      </c>
      <c r="FI28" s="379">
        <f t="shared" si="14"/>
        <v>2.5</v>
      </c>
      <c r="FJ28" s="102">
        <v>21834843</v>
      </c>
      <c r="FK28" s="102">
        <v>1803261</v>
      </c>
      <c r="FL28" s="102">
        <v>10603969</v>
      </c>
      <c r="FM28" s="102">
        <v>19005094</v>
      </c>
      <c r="FN28" s="428">
        <v>0.55300000000000005</v>
      </c>
      <c r="FO28" s="424">
        <v>96.8</v>
      </c>
      <c r="FP28" s="425">
        <v>18</v>
      </c>
      <c r="FQ28" s="424">
        <v>17.3</v>
      </c>
      <c r="FR28" s="424">
        <v>18.3</v>
      </c>
      <c r="FS28" s="425">
        <v>14.2</v>
      </c>
      <c r="FT28" s="424">
        <v>11.7</v>
      </c>
      <c r="FU28" s="425">
        <v>16.7</v>
      </c>
      <c r="FV28" s="384">
        <v>9.3000000000000007</v>
      </c>
      <c r="FW28" s="102">
        <v>41886533</v>
      </c>
      <c r="FX28" s="384">
        <f t="shared" si="15"/>
        <v>177.2</v>
      </c>
      <c r="FY28" s="102">
        <v>5027045</v>
      </c>
      <c r="FZ28" s="102">
        <v>3500010</v>
      </c>
      <c r="GA28" s="102">
        <v>72644</v>
      </c>
      <c r="GB28" s="102">
        <v>1454391</v>
      </c>
      <c r="GC28" s="102">
        <v>0</v>
      </c>
      <c r="GD28" s="427"/>
      <c r="GE28" s="386"/>
      <c r="GF28" s="424">
        <v>98.8</v>
      </c>
      <c r="GG28" s="424">
        <v>30.4</v>
      </c>
      <c r="GH28" s="424">
        <v>94.6</v>
      </c>
      <c r="GI28" s="102">
        <v>546</v>
      </c>
      <c r="GJ28" s="429" t="s">
        <v>646</v>
      </c>
      <c r="GK28" s="429">
        <v>12.18</v>
      </c>
      <c r="GL28" s="87">
        <v>20</v>
      </c>
      <c r="GM28" s="429" t="s">
        <v>646</v>
      </c>
      <c r="GN28" s="430">
        <v>17.18</v>
      </c>
      <c r="GO28" s="430">
        <v>30</v>
      </c>
      <c r="GP28" s="425">
        <v>9.3000000000000007</v>
      </c>
      <c r="GQ28" s="425">
        <v>25</v>
      </c>
      <c r="GR28" s="425">
        <v>35</v>
      </c>
      <c r="GS28" s="431">
        <v>38.299999999999997</v>
      </c>
      <c r="GT28" s="425">
        <v>350</v>
      </c>
      <c r="GU28" s="394"/>
      <c r="GV28" s="100">
        <f t="shared" si="16"/>
        <v>23638</v>
      </c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</row>
    <row r="29" spans="2:230" x14ac:dyDescent="0.15">
      <c r="B29" s="89" t="s">
        <v>47</v>
      </c>
      <c r="C29" s="102">
        <v>17815989</v>
      </c>
      <c r="D29" s="73">
        <f t="shared" si="0"/>
        <v>5238812</v>
      </c>
      <c r="E29" s="102">
        <v>184116</v>
      </c>
      <c r="F29" s="102">
        <v>5054696</v>
      </c>
      <c r="G29" s="73">
        <f t="shared" si="1"/>
        <v>1708684</v>
      </c>
      <c r="H29" s="102">
        <v>429778</v>
      </c>
      <c r="I29" s="102">
        <v>1278906</v>
      </c>
      <c r="J29" s="102">
        <v>7920057</v>
      </c>
      <c r="K29" s="102">
        <v>3702671</v>
      </c>
      <c r="L29" s="102">
        <v>3074533</v>
      </c>
      <c r="M29" s="102">
        <v>1032221</v>
      </c>
      <c r="N29" s="102">
        <v>1201500</v>
      </c>
      <c r="O29" s="102">
        <v>1613775</v>
      </c>
      <c r="P29" s="102">
        <v>938634</v>
      </c>
      <c r="Q29" s="102">
        <v>675141</v>
      </c>
      <c r="R29" s="102">
        <v>189241</v>
      </c>
      <c r="S29" s="74"/>
      <c r="T29" s="73">
        <f t="shared" si="2"/>
        <v>3127077</v>
      </c>
      <c r="U29" s="102">
        <v>44954</v>
      </c>
      <c r="V29" s="102">
        <v>105351</v>
      </c>
      <c r="W29" s="102">
        <v>115436</v>
      </c>
      <c r="X29" s="102">
        <v>2792550</v>
      </c>
      <c r="Y29" s="102">
        <v>0</v>
      </c>
      <c r="Z29" s="102">
        <v>0</v>
      </c>
      <c r="AA29" s="102">
        <v>68786</v>
      </c>
      <c r="AB29" s="102">
        <v>68924</v>
      </c>
      <c r="AC29" s="102">
        <v>6839512</v>
      </c>
      <c r="AD29" s="102">
        <v>6587119</v>
      </c>
      <c r="AE29" s="102">
        <v>252392</v>
      </c>
      <c r="AF29" s="102">
        <v>18000</v>
      </c>
      <c r="AG29" s="102">
        <v>217667</v>
      </c>
      <c r="AH29" s="73">
        <f t="shared" si="3"/>
        <v>702990</v>
      </c>
      <c r="AI29" s="102">
        <v>479758</v>
      </c>
      <c r="AJ29" s="102">
        <v>223232</v>
      </c>
      <c r="AK29" s="102">
        <v>14292207</v>
      </c>
      <c r="AL29" s="73">
        <f t="shared" si="4"/>
        <v>10418331</v>
      </c>
      <c r="AM29" s="102">
        <v>8419060</v>
      </c>
      <c r="AN29" s="102">
        <v>639896</v>
      </c>
      <c r="AO29" s="74"/>
      <c r="AP29" s="102">
        <v>1359375</v>
      </c>
      <c r="AQ29" s="102">
        <v>152762</v>
      </c>
      <c r="AR29" s="102">
        <v>0</v>
      </c>
      <c r="AS29" s="102">
        <v>0</v>
      </c>
      <c r="AT29" s="102">
        <v>3538697</v>
      </c>
      <c r="AU29" s="102">
        <v>1754523</v>
      </c>
      <c r="AV29" s="102">
        <v>319849</v>
      </c>
      <c r="AW29" s="102">
        <v>200</v>
      </c>
      <c r="AX29" s="102">
        <v>1784174</v>
      </c>
      <c r="AY29" s="102">
        <v>364017</v>
      </c>
      <c r="AZ29" s="102">
        <v>109243</v>
      </c>
      <c r="BA29" s="102">
        <v>62552</v>
      </c>
      <c r="BB29" s="102">
        <v>6385</v>
      </c>
      <c r="BC29" s="102">
        <v>369300</v>
      </c>
      <c r="BD29" s="102">
        <v>0</v>
      </c>
      <c r="BE29" s="102">
        <v>0</v>
      </c>
      <c r="BF29" s="102">
        <v>369300</v>
      </c>
      <c r="BG29" s="102">
        <v>0</v>
      </c>
      <c r="BH29" s="102">
        <v>508962</v>
      </c>
      <c r="BI29" s="102">
        <v>417238</v>
      </c>
      <c r="BJ29" s="102">
        <v>442872</v>
      </c>
      <c r="BK29" s="102">
        <v>9000</v>
      </c>
      <c r="BL29" s="102">
        <v>3061</v>
      </c>
      <c r="BM29" s="102">
        <v>0</v>
      </c>
      <c r="BN29" s="102">
        <v>4834417</v>
      </c>
      <c r="BO29" s="73">
        <f t="shared" si="5"/>
        <v>2601900</v>
      </c>
      <c r="BP29" s="73">
        <f t="shared" si="6"/>
        <v>2232517</v>
      </c>
      <c r="BQ29" s="102">
        <v>0</v>
      </c>
      <c r="BR29" s="102">
        <v>0</v>
      </c>
      <c r="BS29" s="102">
        <v>2232517</v>
      </c>
      <c r="BT29" s="102">
        <v>0</v>
      </c>
      <c r="BU29" s="102">
        <v>53081483</v>
      </c>
      <c r="BV29" s="71"/>
      <c r="BW29" s="102">
        <v>6905810</v>
      </c>
      <c r="BX29" s="102">
        <v>4720651</v>
      </c>
      <c r="BY29" s="102">
        <v>346872</v>
      </c>
      <c r="BZ29" s="102">
        <v>420781</v>
      </c>
      <c r="CA29" s="102">
        <v>19776619</v>
      </c>
      <c r="CB29" s="102">
        <v>3213607</v>
      </c>
      <c r="CC29" s="102">
        <v>336944</v>
      </c>
      <c r="CD29" s="102">
        <v>4906445</v>
      </c>
      <c r="CE29" s="102">
        <v>11097818</v>
      </c>
      <c r="CF29" s="102">
        <v>13687</v>
      </c>
      <c r="CG29" s="102">
        <v>208058</v>
      </c>
      <c r="CH29" s="102">
        <v>4660419</v>
      </c>
      <c r="CI29" s="102">
        <v>4113899</v>
      </c>
      <c r="CJ29" s="83">
        <f t="shared" si="17"/>
        <v>546520</v>
      </c>
      <c r="CK29" s="102">
        <v>5592403</v>
      </c>
      <c r="CL29" s="102">
        <v>3808226</v>
      </c>
      <c r="CM29" s="102">
        <v>173812</v>
      </c>
      <c r="CN29" s="102">
        <v>909450</v>
      </c>
      <c r="CO29" s="102">
        <v>177588</v>
      </c>
      <c r="CP29" s="102">
        <v>3435789</v>
      </c>
      <c r="CQ29" s="102">
        <v>1667464</v>
      </c>
      <c r="CR29" s="102">
        <v>697396</v>
      </c>
      <c r="CS29" s="102">
        <v>369657</v>
      </c>
      <c r="CT29" s="73">
        <f t="shared" si="7"/>
        <v>4955</v>
      </c>
      <c r="CU29" s="102">
        <v>3795</v>
      </c>
      <c r="CV29" s="102">
        <v>1160</v>
      </c>
      <c r="CW29" s="73">
        <f t="shared" si="8"/>
        <v>0</v>
      </c>
      <c r="CX29" s="102">
        <v>0</v>
      </c>
      <c r="CY29" s="102">
        <v>0</v>
      </c>
      <c r="CZ29" s="73">
        <f t="shared" si="9"/>
        <v>0</v>
      </c>
      <c r="DA29" s="102">
        <v>0</v>
      </c>
      <c r="DB29" s="102">
        <v>0</v>
      </c>
      <c r="DC29" s="102">
        <v>4921529</v>
      </c>
      <c r="DD29" s="102">
        <v>1790309</v>
      </c>
      <c r="DE29" s="102">
        <v>3131220</v>
      </c>
      <c r="DF29" s="102">
        <v>0</v>
      </c>
      <c r="DG29" s="102">
        <v>0</v>
      </c>
      <c r="DH29" s="102">
        <v>0</v>
      </c>
      <c r="DI29" s="102">
        <v>277525</v>
      </c>
      <c r="DJ29" s="102">
        <v>211354</v>
      </c>
      <c r="DK29" s="102">
        <v>264</v>
      </c>
      <c r="DL29" s="102">
        <v>65907</v>
      </c>
      <c r="DM29" s="102">
        <v>0</v>
      </c>
      <c r="DN29" s="102">
        <v>0</v>
      </c>
      <c r="DO29" s="102">
        <v>0</v>
      </c>
      <c r="DP29" s="102">
        <v>0</v>
      </c>
      <c r="DQ29" s="102">
        <v>9000</v>
      </c>
      <c r="DR29" s="102">
        <v>0</v>
      </c>
      <c r="DS29" s="102">
        <v>0</v>
      </c>
      <c r="DT29" s="102">
        <v>7194265</v>
      </c>
      <c r="DU29" s="102">
        <v>2003248</v>
      </c>
      <c r="DV29" s="73">
        <f t="shared" si="10"/>
        <v>0</v>
      </c>
      <c r="DW29" s="102">
        <v>0</v>
      </c>
      <c r="DX29" s="102">
        <v>1410091</v>
      </c>
      <c r="DY29" s="102">
        <v>0</v>
      </c>
      <c r="DZ29" s="102">
        <v>2249572</v>
      </c>
      <c r="EA29" s="74">
        <v>0</v>
      </c>
      <c r="EB29" s="102">
        <v>1531354</v>
      </c>
      <c r="EC29" s="102">
        <v>0</v>
      </c>
      <c r="ED29" s="102">
        <v>52950947</v>
      </c>
      <c r="EE29" s="71"/>
      <c r="EF29" s="102">
        <v>130536</v>
      </c>
      <c r="EG29" s="102">
        <v>75906</v>
      </c>
      <c r="EH29" s="102">
        <v>54630</v>
      </c>
      <c r="EI29" s="102">
        <v>-362608</v>
      </c>
      <c r="EJ29" s="102">
        <v>-151254</v>
      </c>
      <c r="EK29" s="71"/>
      <c r="EL29" s="102">
        <v>123576</v>
      </c>
      <c r="EM29" s="102">
        <v>125409</v>
      </c>
      <c r="EN29" s="102">
        <v>0</v>
      </c>
      <c r="EO29" s="102">
        <v>46728</v>
      </c>
      <c r="EP29" s="73">
        <f t="shared" si="11"/>
        <v>1055456</v>
      </c>
      <c r="EQ29" s="102">
        <v>28058743</v>
      </c>
      <c r="ER29" s="71">
        <v>-3316701</v>
      </c>
      <c r="ES29" s="102">
        <v>6460851</v>
      </c>
      <c r="ET29" s="102">
        <v>4461950</v>
      </c>
      <c r="EU29" s="102">
        <v>5362632</v>
      </c>
      <c r="EV29" s="102">
        <v>4570728</v>
      </c>
      <c r="EW29" s="73">
        <f t="shared" si="12"/>
        <v>574282</v>
      </c>
      <c r="EX29" s="102">
        <v>574282</v>
      </c>
      <c r="EY29" s="102">
        <v>84824</v>
      </c>
      <c r="EZ29" s="102">
        <v>489458</v>
      </c>
      <c r="FA29" s="102">
        <v>0</v>
      </c>
      <c r="FB29" s="102">
        <v>0</v>
      </c>
      <c r="FC29" s="102">
        <v>4690057</v>
      </c>
      <c r="FD29" s="102">
        <v>3150158</v>
      </c>
      <c r="FE29" s="102">
        <v>1666858</v>
      </c>
      <c r="FF29" s="102">
        <v>6074845</v>
      </c>
      <c r="FG29" s="73">
        <f t="shared" si="13"/>
        <v>361355</v>
      </c>
      <c r="FH29" s="102">
        <v>31244908</v>
      </c>
      <c r="FI29" s="379">
        <f t="shared" si="14"/>
        <v>0.2</v>
      </c>
      <c r="FJ29" s="102">
        <v>24879405</v>
      </c>
      <c r="FK29" s="102">
        <v>2232517</v>
      </c>
      <c r="FL29" s="102">
        <v>14305041</v>
      </c>
      <c r="FM29" s="102">
        <v>20892160</v>
      </c>
      <c r="FN29" s="428">
        <v>0.67900000000000005</v>
      </c>
      <c r="FO29" s="424">
        <v>98.6</v>
      </c>
      <c r="FP29" s="425">
        <v>22.2</v>
      </c>
      <c r="FQ29" s="424">
        <v>18.600000000000001</v>
      </c>
      <c r="FR29" s="424">
        <v>15.9</v>
      </c>
      <c r="FS29" s="425">
        <v>14.7</v>
      </c>
      <c r="FT29" s="424">
        <v>8.5</v>
      </c>
      <c r="FU29" s="425">
        <v>18.2</v>
      </c>
      <c r="FV29" s="384">
        <v>7.4</v>
      </c>
      <c r="FW29" s="102">
        <v>48482564</v>
      </c>
      <c r="FX29" s="384">
        <f t="shared" si="15"/>
        <v>178.8</v>
      </c>
      <c r="FY29" s="102">
        <v>7062702</v>
      </c>
      <c r="FZ29" s="102">
        <v>1943248</v>
      </c>
      <c r="GA29" s="102">
        <v>311307</v>
      </c>
      <c r="GB29" s="102">
        <v>4808147</v>
      </c>
      <c r="GC29" s="102">
        <v>0</v>
      </c>
      <c r="GD29" s="427"/>
      <c r="GE29" s="386"/>
      <c r="GF29" s="424">
        <v>98.5</v>
      </c>
      <c r="GG29" s="424">
        <v>29.6</v>
      </c>
      <c r="GH29" s="424">
        <v>94.6</v>
      </c>
      <c r="GI29" s="102">
        <v>747</v>
      </c>
      <c r="GJ29" s="429" t="s">
        <v>646</v>
      </c>
      <c r="GK29" s="429">
        <v>11.95</v>
      </c>
      <c r="GL29" s="87">
        <v>20</v>
      </c>
      <c r="GM29" s="429" t="s">
        <v>646</v>
      </c>
      <c r="GN29" s="430">
        <v>16.95</v>
      </c>
      <c r="GO29" s="430">
        <v>30</v>
      </c>
      <c r="GP29" s="425">
        <v>7.4</v>
      </c>
      <c r="GQ29" s="425">
        <v>25</v>
      </c>
      <c r="GR29" s="425">
        <v>35</v>
      </c>
      <c r="GS29" s="431">
        <v>44.2</v>
      </c>
      <c r="GT29" s="425">
        <v>350</v>
      </c>
      <c r="GU29" s="394"/>
      <c r="GV29" s="100">
        <f t="shared" si="16"/>
        <v>27112</v>
      </c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</row>
    <row r="30" spans="2:230" x14ac:dyDescent="0.15">
      <c r="B30" s="89" t="s">
        <v>49</v>
      </c>
      <c r="C30" s="102">
        <v>17607301</v>
      </c>
      <c r="D30" s="73">
        <f t="shared" si="0"/>
        <v>4314740</v>
      </c>
      <c r="E30" s="102">
        <v>139883</v>
      </c>
      <c r="F30" s="102">
        <v>4174857</v>
      </c>
      <c r="G30" s="73">
        <f t="shared" si="1"/>
        <v>2315227</v>
      </c>
      <c r="H30" s="102">
        <v>348495</v>
      </c>
      <c r="I30" s="102">
        <v>1966732</v>
      </c>
      <c r="J30" s="102">
        <v>8502370</v>
      </c>
      <c r="K30" s="102">
        <v>4057748</v>
      </c>
      <c r="L30" s="102">
        <v>2534664</v>
      </c>
      <c r="M30" s="102">
        <v>1849254</v>
      </c>
      <c r="N30" s="102">
        <v>794785</v>
      </c>
      <c r="O30" s="102">
        <v>1589538</v>
      </c>
      <c r="P30" s="102">
        <v>1015063</v>
      </c>
      <c r="Q30" s="102">
        <v>574475</v>
      </c>
      <c r="R30" s="102">
        <v>150890</v>
      </c>
      <c r="S30" s="74"/>
      <c r="T30" s="73">
        <f t="shared" si="2"/>
        <v>2111226</v>
      </c>
      <c r="U30" s="102">
        <v>36494</v>
      </c>
      <c r="V30" s="102">
        <v>85811</v>
      </c>
      <c r="W30" s="102">
        <v>94273</v>
      </c>
      <c r="X30" s="102">
        <v>1838089</v>
      </c>
      <c r="Y30" s="102">
        <v>1682</v>
      </c>
      <c r="Z30" s="102">
        <v>0</v>
      </c>
      <c r="AA30" s="102">
        <v>54877</v>
      </c>
      <c r="AB30" s="102">
        <v>72754</v>
      </c>
      <c r="AC30" s="102">
        <v>612982</v>
      </c>
      <c r="AD30" s="102">
        <v>392656</v>
      </c>
      <c r="AE30" s="102">
        <v>220325</v>
      </c>
      <c r="AF30" s="102">
        <v>14303</v>
      </c>
      <c r="AG30" s="102">
        <v>656785</v>
      </c>
      <c r="AH30" s="73">
        <f t="shared" si="3"/>
        <v>677722</v>
      </c>
      <c r="AI30" s="102">
        <v>551241</v>
      </c>
      <c r="AJ30" s="102">
        <v>126481</v>
      </c>
      <c r="AK30" s="102">
        <v>5751841</v>
      </c>
      <c r="AL30" s="73">
        <f t="shared" si="4"/>
        <v>3225598</v>
      </c>
      <c r="AM30" s="102">
        <v>2107072</v>
      </c>
      <c r="AN30" s="102">
        <v>525424</v>
      </c>
      <c r="AO30" s="74"/>
      <c r="AP30" s="102">
        <v>593102</v>
      </c>
      <c r="AQ30" s="102">
        <v>459906</v>
      </c>
      <c r="AR30" s="102">
        <v>0</v>
      </c>
      <c r="AS30" s="102">
        <v>0</v>
      </c>
      <c r="AT30" s="102">
        <v>2118975</v>
      </c>
      <c r="AU30" s="102">
        <v>1192761</v>
      </c>
      <c r="AV30" s="102">
        <v>271264</v>
      </c>
      <c r="AW30" s="102">
        <v>42239</v>
      </c>
      <c r="AX30" s="102">
        <v>926214</v>
      </c>
      <c r="AY30" s="102">
        <v>1350</v>
      </c>
      <c r="AZ30" s="102">
        <v>6927952</v>
      </c>
      <c r="BA30" s="102">
        <v>6923252</v>
      </c>
      <c r="BB30" s="102">
        <v>24487</v>
      </c>
      <c r="BC30" s="102">
        <v>65287</v>
      </c>
      <c r="BD30" s="102">
        <v>0</v>
      </c>
      <c r="BE30" s="102">
        <v>0</v>
      </c>
      <c r="BF30" s="102">
        <v>33818</v>
      </c>
      <c r="BG30" s="102">
        <v>0</v>
      </c>
      <c r="BH30" s="102">
        <v>498321</v>
      </c>
      <c r="BI30" s="102">
        <v>287830</v>
      </c>
      <c r="BJ30" s="102">
        <v>861537</v>
      </c>
      <c r="BK30" s="102">
        <v>128450</v>
      </c>
      <c r="BL30" s="102">
        <v>0</v>
      </c>
      <c r="BM30" s="102">
        <v>0</v>
      </c>
      <c r="BN30" s="102">
        <v>2693500</v>
      </c>
      <c r="BO30" s="73">
        <f t="shared" si="5"/>
        <v>1899100</v>
      </c>
      <c r="BP30" s="73">
        <f t="shared" si="6"/>
        <v>794400</v>
      </c>
      <c r="BQ30" s="102">
        <v>0</v>
      </c>
      <c r="BR30" s="102">
        <v>0</v>
      </c>
      <c r="BS30" s="102">
        <v>794400</v>
      </c>
      <c r="BT30" s="102">
        <v>0</v>
      </c>
      <c r="BU30" s="102">
        <v>40845863</v>
      </c>
      <c r="BV30" s="71"/>
      <c r="BW30" s="102">
        <v>5278607</v>
      </c>
      <c r="BX30" s="102">
        <v>3537393</v>
      </c>
      <c r="BY30" s="102">
        <v>447855</v>
      </c>
      <c r="BZ30" s="102">
        <v>194848</v>
      </c>
      <c r="CA30" s="102">
        <v>9545690</v>
      </c>
      <c r="CB30" s="102">
        <v>1930024</v>
      </c>
      <c r="CC30" s="102">
        <v>206490</v>
      </c>
      <c r="CD30" s="102">
        <v>4508076</v>
      </c>
      <c r="CE30" s="102">
        <v>2769739</v>
      </c>
      <c r="CF30" s="102">
        <v>3444</v>
      </c>
      <c r="CG30" s="102">
        <v>127917</v>
      </c>
      <c r="CH30" s="102">
        <v>3049069</v>
      </c>
      <c r="CI30" s="102">
        <v>2746407</v>
      </c>
      <c r="CJ30" s="83">
        <f t="shared" si="17"/>
        <v>302662</v>
      </c>
      <c r="CK30" s="102">
        <v>5204877</v>
      </c>
      <c r="CL30" s="102">
        <v>3181963</v>
      </c>
      <c r="CM30" s="102">
        <v>628776</v>
      </c>
      <c r="CN30" s="102">
        <v>872711</v>
      </c>
      <c r="CO30" s="102">
        <v>464349</v>
      </c>
      <c r="CP30" s="102">
        <v>1354872</v>
      </c>
      <c r="CQ30" s="102">
        <v>6616</v>
      </c>
      <c r="CR30" s="102">
        <v>848913</v>
      </c>
      <c r="CS30" s="102">
        <v>472341</v>
      </c>
      <c r="CT30" s="73">
        <f t="shared" si="7"/>
        <v>6036</v>
      </c>
      <c r="CU30" s="102">
        <v>2143</v>
      </c>
      <c r="CV30" s="102">
        <v>3893</v>
      </c>
      <c r="CW30" s="73">
        <f t="shared" si="8"/>
        <v>0</v>
      </c>
      <c r="CX30" s="102">
        <v>0</v>
      </c>
      <c r="CY30" s="102">
        <v>0</v>
      </c>
      <c r="CZ30" s="73">
        <f t="shared" si="9"/>
        <v>0</v>
      </c>
      <c r="DA30" s="102">
        <v>0</v>
      </c>
      <c r="DB30" s="102">
        <v>0</v>
      </c>
      <c r="DC30" s="102">
        <v>3080944</v>
      </c>
      <c r="DD30" s="102">
        <v>1206720</v>
      </c>
      <c r="DE30" s="102">
        <v>1853085</v>
      </c>
      <c r="DF30" s="102">
        <v>21139</v>
      </c>
      <c r="DG30" s="102">
        <v>0</v>
      </c>
      <c r="DH30" s="102">
        <v>0</v>
      </c>
      <c r="DI30" s="102">
        <v>7435887</v>
      </c>
      <c r="DJ30" s="102">
        <v>550399</v>
      </c>
      <c r="DK30" s="102">
        <v>4042002</v>
      </c>
      <c r="DL30" s="102">
        <v>2843486</v>
      </c>
      <c r="DM30" s="102">
        <v>0</v>
      </c>
      <c r="DN30" s="102">
        <v>0</v>
      </c>
      <c r="DO30" s="102">
        <v>0</v>
      </c>
      <c r="DP30" s="102">
        <v>0</v>
      </c>
      <c r="DQ30" s="102">
        <v>119620</v>
      </c>
      <c r="DR30" s="102">
        <v>0</v>
      </c>
      <c r="DS30" s="102">
        <v>0</v>
      </c>
      <c r="DT30" s="102">
        <v>4759594</v>
      </c>
      <c r="DU30" s="102">
        <v>1910000</v>
      </c>
      <c r="DV30" s="73">
        <f t="shared" si="10"/>
        <v>0</v>
      </c>
      <c r="DW30" s="102">
        <v>0</v>
      </c>
      <c r="DX30" s="102">
        <v>843222</v>
      </c>
      <c r="DY30" s="102">
        <v>21981</v>
      </c>
      <c r="DZ30" s="102">
        <v>1196105</v>
      </c>
      <c r="EA30" s="74">
        <v>0</v>
      </c>
      <c r="EB30" s="102">
        <v>788284</v>
      </c>
      <c r="EC30" s="102">
        <v>0</v>
      </c>
      <c r="ED30" s="102">
        <v>40293509</v>
      </c>
      <c r="EE30" s="71"/>
      <c r="EF30" s="102">
        <v>552354</v>
      </c>
      <c r="EG30" s="102">
        <v>213468</v>
      </c>
      <c r="EH30" s="102">
        <v>338886</v>
      </c>
      <c r="EI30" s="102">
        <v>51056</v>
      </c>
      <c r="EJ30" s="102">
        <v>760235</v>
      </c>
      <c r="EK30" s="71"/>
      <c r="EL30" s="102">
        <v>85007</v>
      </c>
      <c r="EM30" s="102">
        <v>85477</v>
      </c>
      <c r="EN30" s="102">
        <v>31469</v>
      </c>
      <c r="EO30" s="102">
        <v>6925983</v>
      </c>
      <c r="EP30" s="73">
        <f t="shared" si="11"/>
        <v>864143</v>
      </c>
      <c r="EQ30" s="102">
        <v>20569456</v>
      </c>
      <c r="ER30" s="71">
        <v>-8601692</v>
      </c>
      <c r="ES30" s="102">
        <v>4886401</v>
      </c>
      <c r="ET30" s="102">
        <v>3187902</v>
      </c>
      <c r="EU30" s="102">
        <v>2998793</v>
      </c>
      <c r="EV30" s="102">
        <v>2988836</v>
      </c>
      <c r="EW30" s="73">
        <f t="shared" si="12"/>
        <v>602141</v>
      </c>
      <c r="EX30" s="102">
        <v>602141</v>
      </c>
      <c r="EY30" s="102">
        <v>72398</v>
      </c>
      <c r="EZ30" s="102">
        <v>508604</v>
      </c>
      <c r="FA30" s="102">
        <v>0</v>
      </c>
      <c r="FB30" s="102">
        <v>0</v>
      </c>
      <c r="FC30" s="102">
        <v>4053675</v>
      </c>
      <c r="FD30" s="102">
        <v>1030893</v>
      </c>
      <c r="FE30" s="102">
        <v>6616</v>
      </c>
      <c r="FF30" s="102">
        <v>4178925</v>
      </c>
      <c r="FG30" s="73">
        <f t="shared" si="13"/>
        <v>7879130</v>
      </c>
      <c r="FH30" s="102">
        <v>28618794</v>
      </c>
      <c r="FI30" s="379">
        <f t="shared" si="14"/>
        <v>1.8</v>
      </c>
      <c r="FJ30" s="102">
        <v>17300975</v>
      </c>
      <c r="FK30" s="102">
        <v>1051293</v>
      </c>
      <c r="FL30" s="102">
        <v>13103166</v>
      </c>
      <c r="FM30" s="102">
        <v>13495822</v>
      </c>
      <c r="FN30" s="428">
        <v>0.97699999999999998</v>
      </c>
      <c r="FO30" s="424">
        <v>96.4</v>
      </c>
      <c r="FP30" s="425">
        <v>24.8</v>
      </c>
      <c r="FQ30" s="424">
        <v>14.2</v>
      </c>
      <c r="FR30" s="424">
        <v>14.4</v>
      </c>
      <c r="FS30" s="425">
        <v>19.2</v>
      </c>
      <c r="FT30" s="424">
        <v>3.7</v>
      </c>
      <c r="FU30" s="425">
        <v>17.8</v>
      </c>
      <c r="FV30" s="384">
        <v>5.3</v>
      </c>
      <c r="FW30" s="102">
        <v>23545351</v>
      </c>
      <c r="FX30" s="384">
        <f t="shared" si="15"/>
        <v>128.30000000000001</v>
      </c>
      <c r="FY30" s="102">
        <v>14940169</v>
      </c>
      <c r="FZ30" s="102">
        <v>5849509</v>
      </c>
      <c r="GA30" s="102">
        <v>4052316</v>
      </c>
      <c r="GB30" s="102">
        <v>5038344</v>
      </c>
      <c r="GC30" s="102">
        <v>0</v>
      </c>
      <c r="GD30" s="427">
        <v>0</v>
      </c>
      <c r="GE30" s="384">
        <f>ROUND(GD30/(FJ30+FK30)*100,1)</f>
        <v>0</v>
      </c>
      <c r="GF30" s="424">
        <v>99</v>
      </c>
      <c r="GG30" s="424">
        <v>38.200000000000003</v>
      </c>
      <c r="GH30" s="424">
        <v>97</v>
      </c>
      <c r="GI30" s="102">
        <v>564</v>
      </c>
      <c r="GJ30" s="429" t="s">
        <v>646</v>
      </c>
      <c r="GK30" s="429">
        <v>12.57</v>
      </c>
      <c r="GL30" s="87">
        <v>20</v>
      </c>
      <c r="GM30" s="429" t="s">
        <v>646</v>
      </c>
      <c r="GN30" s="430">
        <v>17.57</v>
      </c>
      <c r="GO30" s="430">
        <v>30</v>
      </c>
      <c r="GP30" s="425">
        <v>5.3</v>
      </c>
      <c r="GQ30" s="425">
        <v>25</v>
      </c>
      <c r="GR30" s="425">
        <v>35</v>
      </c>
      <c r="GS30" s="431" t="s">
        <v>646</v>
      </c>
      <c r="GT30" s="425">
        <v>350</v>
      </c>
      <c r="GU30" s="394"/>
      <c r="GV30" s="100">
        <f t="shared" si="16"/>
        <v>18352</v>
      </c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</row>
    <row r="31" spans="2:230" x14ac:dyDescent="0.15">
      <c r="B31" s="89" t="s">
        <v>51</v>
      </c>
      <c r="C31" s="102">
        <v>10313698</v>
      </c>
      <c r="D31" s="73">
        <f t="shared" si="0"/>
        <v>3172344</v>
      </c>
      <c r="E31" s="102">
        <v>88775</v>
      </c>
      <c r="F31" s="102">
        <v>3083569</v>
      </c>
      <c r="G31" s="73">
        <f t="shared" si="1"/>
        <v>679553</v>
      </c>
      <c r="H31" s="102">
        <v>162008</v>
      </c>
      <c r="I31" s="102">
        <v>517545</v>
      </c>
      <c r="J31" s="102">
        <v>5187466</v>
      </c>
      <c r="K31" s="102">
        <v>2264273</v>
      </c>
      <c r="L31" s="102">
        <v>1353468</v>
      </c>
      <c r="M31" s="102">
        <v>1517398</v>
      </c>
      <c r="N31" s="102">
        <v>332726</v>
      </c>
      <c r="O31" s="102">
        <v>885009</v>
      </c>
      <c r="P31" s="102">
        <v>584606</v>
      </c>
      <c r="Q31" s="102">
        <v>300403</v>
      </c>
      <c r="R31" s="102">
        <v>160803</v>
      </c>
      <c r="S31" s="74"/>
      <c r="T31" s="73">
        <f t="shared" si="2"/>
        <v>1320476</v>
      </c>
      <c r="U31" s="102">
        <v>27158</v>
      </c>
      <c r="V31" s="102">
        <v>63702</v>
      </c>
      <c r="W31" s="102">
        <v>69848</v>
      </c>
      <c r="X31" s="102">
        <v>1125362</v>
      </c>
      <c r="Y31" s="102">
        <v>0</v>
      </c>
      <c r="Z31" s="102">
        <v>0</v>
      </c>
      <c r="AA31" s="102">
        <v>34406</v>
      </c>
      <c r="AB31" s="102">
        <v>36267</v>
      </c>
      <c r="AC31" s="102">
        <v>1322142</v>
      </c>
      <c r="AD31" s="102">
        <v>1238735</v>
      </c>
      <c r="AE31" s="102">
        <v>83406</v>
      </c>
      <c r="AF31" s="102">
        <v>8169</v>
      </c>
      <c r="AG31" s="102">
        <v>65974</v>
      </c>
      <c r="AH31" s="73">
        <f t="shared" si="3"/>
        <v>279382</v>
      </c>
      <c r="AI31" s="102">
        <v>220329</v>
      </c>
      <c r="AJ31" s="102">
        <v>59053</v>
      </c>
      <c r="AK31" s="102">
        <v>3654197</v>
      </c>
      <c r="AL31" s="73">
        <f t="shared" si="4"/>
        <v>2006081</v>
      </c>
      <c r="AM31" s="102">
        <v>1279992</v>
      </c>
      <c r="AN31" s="102">
        <v>364891</v>
      </c>
      <c r="AO31" s="74"/>
      <c r="AP31" s="102">
        <v>361198</v>
      </c>
      <c r="AQ31" s="102">
        <v>7849</v>
      </c>
      <c r="AR31" s="102">
        <v>0</v>
      </c>
      <c r="AS31" s="102">
        <v>0</v>
      </c>
      <c r="AT31" s="102">
        <v>1685876</v>
      </c>
      <c r="AU31" s="102">
        <v>1072748</v>
      </c>
      <c r="AV31" s="102">
        <v>182176</v>
      </c>
      <c r="AW31" s="102">
        <v>53496</v>
      </c>
      <c r="AX31" s="102">
        <v>613128</v>
      </c>
      <c r="AY31" s="102">
        <v>0</v>
      </c>
      <c r="AZ31" s="102">
        <v>91715</v>
      </c>
      <c r="BA31" s="102">
        <v>12681</v>
      </c>
      <c r="BB31" s="102">
        <v>10468</v>
      </c>
      <c r="BC31" s="102">
        <v>277232</v>
      </c>
      <c r="BD31" s="102">
        <v>0</v>
      </c>
      <c r="BE31" s="102">
        <v>0</v>
      </c>
      <c r="BF31" s="102">
        <v>264886</v>
      </c>
      <c r="BG31" s="102">
        <v>0</v>
      </c>
      <c r="BH31" s="102">
        <v>396230</v>
      </c>
      <c r="BI31" s="102">
        <v>243537</v>
      </c>
      <c r="BJ31" s="102">
        <v>293831</v>
      </c>
      <c r="BK31" s="102">
        <v>24698</v>
      </c>
      <c r="BL31" s="102">
        <v>0</v>
      </c>
      <c r="BM31" s="102">
        <v>0</v>
      </c>
      <c r="BN31" s="102">
        <v>2193700</v>
      </c>
      <c r="BO31" s="73">
        <f t="shared" si="5"/>
        <v>827700</v>
      </c>
      <c r="BP31" s="73">
        <f t="shared" si="6"/>
        <v>1366000</v>
      </c>
      <c r="BQ31" s="102">
        <v>0</v>
      </c>
      <c r="BR31" s="102">
        <v>310100</v>
      </c>
      <c r="BS31" s="102">
        <v>1055900</v>
      </c>
      <c r="BT31" s="102">
        <v>0</v>
      </c>
      <c r="BU31" s="102">
        <v>22110160</v>
      </c>
      <c r="BV31" s="71"/>
      <c r="BW31" s="102">
        <v>3481667</v>
      </c>
      <c r="BX31" s="102">
        <v>2183685</v>
      </c>
      <c r="BY31" s="102">
        <v>347430</v>
      </c>
      <c r="BZ31" s="102">
        <v>200209</v>
      </c>
      <c r="CA31" s="102">
        <v>5600952</v>
      </c>
      <c r="CB31" s="102">
        <v>1218294</v>
      </c>
      <c r="CC31" s="102">
        <v>102581</v>
      </c>
      <c r="CD31" s="102">
        <v>2512472</v>
      </c>
      <c r="CE31" s="102">
        <v>1694820</v>
      </c>
      <c r="CF31" s="102">
        <v>0</v>
      </c>
      <c r="CG31" s="102">
        <v>72713</v>
      </c>
      <c r="CH31" s="102">
        <v>3244535</v>
      </c>
      <c r="CI31" s="102">
        <v>2752113</v>
      </c>
      <c r="CJ31" s="83">
        <f t="shared" si="17"/>
        <v>492422</v>
      </c>
      <c r="CK31" s="102">
        <v>2460583</v>
      </c>
      <c r="CL31" s="102">
        <v>1574601</v>
      </c>
      <c r="CM31" s="102">
        <v>181221</v>
      </c>
      <c r="CN31" s="102">
        <v>389750</v>
      </c>
      <c r="CO31" s="102">
        <v>15720</v>
      </c>
      <c r="CP31" s="102">
        <v>2154334</v>
      </c>
      <c r="CQ31" s="102">
        <v>479394</v>
      </c>
      <c r="CR31" s="102">
        <v>43059</v>
      </c>
      <c r="CS31" s="102">
        <v>19301</v>
      </c>
      <c r="CT31" s="73">
        <f t="shared" si="7"/>
        <v>7700</v>
      </c>
      <c r="CU31" s="102">
        <v>654</v>
      </c>
      <c r="CV31" s="102">
        <v>7046</v>
      </c>
      <c r="CW31" s="73">
        <f t="shared" si="8"/>
        <v>0</v>
      </c>
      <c r="CX31" s="102">
        <v>0</v>
      </c>
      <c r="CY31" s="102">
        <v>0</v>
      </c>
      <c r="CZ31" s="73">
        <f t="shared" si="9"/>
        <v>0</v>
      </c>
      <c r="DA31" s="102">
        <v>0</v>
      </c>
      <c r="DB31" s="102">
        <v>0</v>
      </c>
      <c r="DC31" s="102">
        <v>1418488</v>
      </c>
      <c r="DD31" s="102">
        <v>580660</v>
      </c>
      <c r="DE31" s="102">
        <v>264052</v>
      </c>
      <c r="DF31" s="102">
        <v>517910</v>
      </c>
      <c r="DG31" s="102">
        <v>55866</v>
      </c>
      <c r="DH31" s="102">
        <v>0</v>
      </c>
      <c r="DI31" s="102">
        <v>267969</v>
      </c>
      <c r="DJ31" s="102">
        <v>184668</v>
      </c>
      <c r="DK31" s="102">
        <v>0</v>
      </c>
      <c r="DL31" s="102">
        <v>83301</v>
      </c>
      <c r="DM31" s="102">
        <v>0</v>
      </c>
      <c r="DN31" s="102">
        <v>0</v>
      </c>
      <c r="DO31" s="102">
        <v>0</v>
      </c>
      <c r="DP31" s="102">
        <v>0</v>
      </c>
      <c r="DQ31" s="102">
        <v>10850</v>
      </c>
      <c r="DR31" s="102">
        <v>0</v>
      </c>
      <c r="DS31" s="102">
        <v>0</v>
      </c>
      <c r="DT31" s="102">
        <v>3041745</v>
      </c>
      <c r="DU31" s="102">
        <v>1000000</v>
      </c>
      <c r="DV31" s="73">
        <f t="shared" si="10"/>
        <v>0</v>
      </c>
      <c r="DW31" s="102">
        <v>0</v>
      </c>
      <c r="DX31" s="102">
        <v>758957</v>
      </c>
      <c r="DY31" s="102">
        <v>0</v>
      </c>
      <c r="DZ31" s="102">
        <v>645770</v>
      </c>
      <c r="EA31" s="74">
        <v>0</v>
      </c>
      <c r="EB31" s="102">
        <v>637018</v>
      </c>
      <c r="EC31" s="102">
        <v>0</v>
      </c>
      <c r="ED31" s="102">
        <v>21696843</v>
      </c>
      <c r="EE31" s="71"/>
      <c r="EF31" s="102">
        <v>413317</v>
      </c>
      <c r="EG31" s="102">
        <v>37885</v>
      </c>
      <c r="EH31" s="102">
        <v>375432</v>
      </c>
      <c r="EI31" s="102">
        <v>131895</v>
      </c>
      <c r="EJ31" s="102">
        <v>316563</v>
      </c>
      <c r="EK31" s="71"/>
      <c r="EL31" s="102">
        <v>56529</v>
      </c>
      <c r="EM31" s="102">
        <v>58128</v>
      </c>
      <c r="EN31" s="102">
        <v>196970</v>
      </c>
      <c r="EO31" s="102">
        <v>87806</v>
      </c>
      <c r="EP31" s="73">
        <f t="shared" si="11"/>
        <v>569273</v>
      </c>
      <c r="EQ31" s="102">
        <v>13161555</v>
      </c>
      <c r="ER31" s="71">
        <v>-2211880</v>
      </c>
      <c r="ES31" s="102">
        <v>3266048</v>
      </c>
      <c r="ET31" s="102">
        <v>2041843</v>
      </c>
      <c r="EU31" s="102">
        <v>1644035</v>
      </c>
      <c r="EV31" s="102">
        <v>3220431</v>
      </c>
      <c r="EW31" s="73">
        <f t="shared" si="12"/>
        <v>188472</v>
      </c>
      <c r="EX31" s="102">
        <v>188472</v>
      </c>
      <c r="EY31" s="102">
        <v>73425</v>
      </c>
      <c r="EZ31" s="102">
        <v>77648</v>
      </c>
      <c r="FA31" s="102">
        <v>0</v>
      </c>
      <c r="FB31" s="102">
        <v>0</v>
      </c>
      <c r="FC31" s="102">
        <v>1902888</v>
      </c>
      <c r="FD31" s="102">
        <v>1881949</v>
      </c>
      <c r="FE31" s="102">
        <v>459814</v>
      </c>
      <c r="FF31" s="102">
        <v>2609174</v>
      </c>
      <c r="FG31" s="73">
        <f t="shared" si="13"/>
        <v>247121</v>
      </c>
      <c r="FH31" s="102">
        <v>14960118</v>
      </c>
      <c r="FI31" s="379">
        <f t="shared" si="14"/>
        <v>2.8</v>
      </c>
      <c r="FJ31" s="102">
        <v>12211445</v>
      </c>
      <c r="FK31" s="102">
        <v>1055947</v>
      </c>
      <c r="FL31" s="102">
        <v>8507724</v>
      </c>
      <c r="FM31" s="102">
        <v>9756913</v>
      </c>
      <c r="FN31" s="428">
        <v>0.85799999999999998</v>
      </c>
      <c r="FO31" s="424">
        <v>98</v>
      </c>
      <c r="FP31" s="425">
        <v>23</v>
      </c>
      <c r="FQ31" s="424">
        <v>11.9</v>
      </c>
      <c r="FR31" s="424">
        <v>23.4</v>
      </c>
      <c r="FS31" s="425">
        <v>11.6</v>
      </c>
      <c r="FT31" s="424">
        <v>10.1</v>
      </c>
      <c r="FU31" s="425">
        <v>17.899999999999999</v>
      </c>
      <c r="FV31" s="384">
        <v>15</v>
      </c>
      <c r="FW31" s="102">
        <v>37560111</v>
      </c>
      <c r="FX31" s="384">
        <f t="shared" si="15"/>
        <v>283.10000000000002</v>
      </c>
      <c r="FY31" s="102">
        <v>5523151</v>
      </c>
      <c r="FZ31" s="102">
        <v>2487634</v>
      </c>
      <c r="GA31" s="102">
        <v>0</v>
      </c>
      <c r="GB31" s="102">
        <v>3035517</v>
      </c>
      <c r="GC31" s="102">
        <v>2590000</v>
      </c>
      <c r="GD31" s="427">
        <v>3010</v>
      </c>
      <c r="GE31" s="386">
        <f>IF(GD31=0,"-",ROUND(GD31/(GV31)*100,1))</f>
        <v>22.7</v>
      </c>
      <c r="GF31" s="424">
        <v>99</v>
      </c>
      <c r="GG31" s="424">
        <v>24.5</v>
      </c>
      <c r="GH31" s="424">
        <v>95.6</v>
      </c>
      <c r="GI31" s="102">
        <v>332</v>
      </c>
      <c r="GJ31" s="429" t="s">
        <v>646</v>
      </c>
      <c r="GK31" s="429">
        <v>12.92</v>
      </c>
      <c r="GL31" s="87">
        <v>20</v>
      </c>
      <c r="GM31" s="429" t="s">
        <v>646</v>
      </c>
      <c r="GN31" s="430">
        <v>17.920000000000002</v>
      </c>
      <c r="GO31" s="430">
        <v>30</v>
      </c>
      <c r="GP31" s="425">
        <v>15</v>
      </c>
      <c r="GQ31" s="425">
        <v>25</v>
      </c>
      <c r="GR31" s="425">
        <v>35</v>
      </c>
      <c r="GS31" s="431">
        <v>189.8</v>
      </c>
      <c r="GT31" s="425">
        <v>350</v>
      </c>
      <c r="GU31" s="394"/>
      <c r="GV31" s="100">
        <f t="shared" si="16"/>
        <v>13267</v>
      </c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</row>
    <row r="32" spans="2:230" x14ac:dyDescent="0.15">
      <c r="B32" s="89" t="s">
        <v>53</v>
      </c>
      <c r="C32" s="102">
        <v>7909909</v>
      </c>
      <c r="D32" s="73">
        <f t="shared" si="0"/>
        <v>3314195</v>
      </c>
      <c r="E32" s="102">
        <v>97869</v>
      </c>
      <c r="F32" s="102">
        <v>3216326</v>
      </c>
      <c r="G32" s="73">
        <f t="shared" si="1"/>
        <v>509076</v>
      </c>
      <c r="H32" s="102">
        <v>129782</v>
      </c>
      <c r="I32" s="102">
        <v>379294</v>
      </c>
      <c r="J32" s="102">
        <v>2914739</v>
      </c>
      <c r="K32" s="102">
        <v>1298502</v>
      </c>
      <c r="L32" s="102">
        <v>1319880</v>
      </c>
      <c r="M32" s="102">
        <v>263802</v>
      </c>
      <c r="N32" s="102">
        <v>415446</v>
      </c>
      <c r="O32" s="102">
        <v>685695</v>
      </c>
      <c r="P32" s="102">
        <v>392989</v>
      </c>
      <c r="Q32" s="102">
        <v>292706</v>
      </c>
      <c r="R32" s="102">
        <v>106993</v>
      </c>
      <c r="S32" s="74"/>
      <c r="T32" s="73">
        <f t="shared" si="2"/>
        <v>1450687</v>
      </c>
      <c r="U32" s="102">
        <v>29560</v>
      </c>
      <c r="V32" s="102">
        <v>69408</v>
      </c>
      <c r="W32" s="102">
        <v>76165</v>
      </c>
      <c r="X32" s="102">
        <v>1236675</v>
      </c>
      <c r="Y32" s="102">
        <v>0</v>
      </c>
      <c r="Z32" s="102">
        <v>0</v>
      </c>
      <c r="AA32" s="102">
        <v>38879</v>
      </c>
      <c r="AB32" s="102">
        <v>50856</v>
      </c>
      <c r="AC32" s="102">
        <v>4330727</v>
      </c>
      <c r="AD32" s="102">
        <v>4143548</v>
      </c>
      <c r="AE32" s="102">
        <v>187178</v>
      </c>
      <c r="AF32" s="102">
        <v>10472</v>
      </c>
      <c r="AG32" s="102">
        <v>156316</v>
      </c>
      <c r="AH32" s="73">
        <f t="shared" si="3"/>
        <v>445915</v>
      </c>
      <c r="AI32" s="102">
        <v>398873</v>
      </c>
      <c r="AJ32" s="102">
        <v>47042</v>
      </c>
      <c r="AK32" s="102">
        <v>4430099</v>
      </c>
      <c r="AL32" s="73">
        <f t="shared" si="4"/>
        <v>2891583</v>
      </c>
      <c r="AM32" s="102">
        <v>2089056</v>
      </c>
      <c r="AN32" s="102">
        <v>201911</v>
      </c>
      <c r="AO32" s="74"/>
      <c r="AP32" s="102">
        <v>600616</v>
      </c>
      <c r="AQ32" s="102">
        <v>34946</v>
      </c>
      <c r="AR32" s="102">
        <v>0</v>
      </c>
      <c r="AS32" s="102">
        <v>0</v>
      </c>
      <c r="AT32" s="102">
        <v>1460738</v>
      </c>
      <c r="AU32" s="102">
        <v>1009553</v>
      </c>
      <c r="AV32" s="102">
        <v>125288</v>
      </c>
      <c r="AW32" s="102">
        <v>641</v>
      </c>
      <c r="AX32" s="102">
        <v>451185</v>
      </c>
      <c r="AY32" s="102">
        <v>1188</v>
      </c>
      <c r="AZ32" s="102">
        <v>110166</v>
      </c>
      <c r="BA32" s="102">
        <v>94220</v>
      </c>
      <c r="BB32" s="102">
        <v>32646</v>
      </c>
      <c r="BC32" s="102">
        <v>239766</v>
      </c>
      <c r="BD32" s="102">
        <v>190000</v>
      </c>
      <c r="BE32" s="102">
        <v>0</v>
      </c>
      <c r="BF32" s="102">
        <v>49766</v>
      </c>
      <c r="BG32" s="102">
        <v>0</v>
      </c>
      <c r="BH32" s="102">
        <v>181453</v>
      </c>
      <c r="BI32" s="102">
        <v>5331</v>
      </c>
      <c r="BJ32" s="102">
        <v>232338</v>
      </c>
      <c r="BK32" s="102">
        <v>0</v>
      </c>
      <c r="BL32" s="102">
        <v>0</v>
      </c>
      <c r="BM32" s="102">
        <v>0</v>
      </c>
      <c r="BN32" s="102">
        <v>1998600</v>
      </c>
      <c r="BO32" s="73">
        <f t="shared" si="5"/>
        <v>971800</v>
      </c>
      <c r="BP32" s="73">
        <f t="shared" si="6"/>
        <v>1026800</v>
      </c>
      <c r="BQ32" s="102">
        <v>0</v>
      </c>
      <c r="BR32" s="102">
        <v>0</v>
      </c>
      <c r="BS32" s="102">
        <v>1026800</v>
      </c>
      <c r="BT32" s="102">
        <v>0</v>
      </c>
      <c r="BU32" s="102">
        <v>23147681</v>
      </c>
      <c r="BV32" s="71"/>
      <c r="BW32" s="102">
        <v>4234268</v>
      </c>
      <c r="BX32" s="102">
        <v>2719092</v>
      </c>
      <c r="BY32" s="102">
        <v>328507</v>
      </c>
      <c r="BZ32" s="102">
        <v>356474</v>
      </c>
      <c r="CA32" s="102">
        <v>7011517</v>
      </c>
      <c r="CB32" s="102">
        <v>1522211</v>
      </c>
      <c r="CC32" s="102">
        <v>130200</v>
      </c>
      <c r="CD32" s="102">
        <v>2509926</v>
      </c>
      <c r="CE32" s="102">
        <v>2779335</v>
      </c>
      <c r="CF32" s="102">
        <v>3882</v>
      </c>
      <c r="CG32" s="102">
        <v>65733</v>
      </c>
      <c r="CH32" s="102">
        <v>1206145</v>
      </c>
      <c r="CI32" s="102">
        <v>1039934</v>
      </c>
      <c r="CJ32" s="83">
        <f t="shared" si="17"/>
        <v>166211</v>
      </c>
      <c r="CK32" s="102">
        <v>2543772</v>
      </c>
      <c r="CL32" s="102">
        <v>1435516</v>
      </c>
      <c r="CM32" s="102">
        <v>300357</v>
      </c>
      <c r="CN32" s="102">
        <v>312686</v>
      </c>
      <c r="CO32" s="102">
        <v>127638</v>
      </c>
      <c r="CP32" s="102">
        <v>2917905</v>
      </c>
      <c r="CQ32" s="102">
        <v>1699775</v>
      </c>
      <c r="CR32" s="102">
        <v>343294</v>
      </c>
      <c r="CS32" s="102">
        <v>289089</v>
      </c>
      <c r="CT32" s="73">
        <f t="shared" si="7"/>
        <v>203358</v>
      </c>
      <c r="CU32" s="102">
        <v>111726</v>
      </c>
      <c r="CV32" s="102">
        <v>91632</v>
      </c>
      <c r="CW32" s="73">
        <f t="shared" si="8"/>
        <v>196091</v>
      </c>
      <c r="CX32" s="102">
        <v>105937</v>
      </c>
      <c r="CY32" s="102">
        <v>90154</v>
      </c>
      <c r="CZ32" s="73">
        <f t="shared" si="9"/>
        <v>0</v>
      </c>
      <c r="DA32" s="102">
        <v>0</v>
      </c>
      <c r="DB32" s="102">
        <v>0</v>
      </c>
      <c r="DC32" s="102">
        <v>1339342</v>
      </c>
      <c r="DD32" s="102">
        <v>138068</v>
      </c>
      <c r="DE32" s="102">
        <v>1201274</v>
      </c>
      <c r="DF32" s="102">
        <v>0</v>
      </c>
      <c r="DG32" s="102">
        <v>0</v>
      </c>
      <c r="DH32" s="102">
        <v>0</v>
      </c>
      <c r="DI32" s="102">
        <v>121122</v>
      </c>
      <c r="DJ32" s="102">
        <v>8043</v>
      </c>
      <c r="DK32" s="102">
        <v>68090</v>
      </c>
      <c r="DL32" s="102">
        <v>44989</v>
      </c>
      <c r="DM32" s="102">
        <v>0</v>
      </c>
      <c r="DN32" s="102">
        <v>0</v>
      </c>
      <c r="DO32" s="102">
        <v>0</v>
      </c>
      <c r="DP32" s="102">
        <v>0</v>
      </c>
      <c r="DQ32" s="102">
        <v>0</v>
      </c>
      <c r="DR32" s="102">
        <v>0</v>
      </c>
      <c r="DS32" s="102">
        <v>0</v>
      </c>
      <c r="DT32" s="102">
        <v>3574511</v>
      </c>
      <c r="DU32" s="102">
        <v>1174226</v>
      </c>
      <c r="DV32" s="73">
        <f t="shared" si="10"/>
        <v>0</v>
      </c>
      <c r="DW32" s="102">
        <v>0</v>
      </c>
      <c r="DX32" s="102">
        <v>761890</v>
      </c>
      <c r="DY32" s="102">
        <v>0</v>
      </c>
      <c r="DZ32" s="102">
        <v>860188</v>
      </c>
      <c r="EA32" s="74">
        <v>0</v>
      </c>
      <c r="EB32" s="102">
        <v>778206</v>
      </c>
      <c r="EC32" s="102">
        <v>0</v>
      </c>
      <c r="ED32" s="102">
        <v>23076220</v>
      </c>
      <c r="EE32" s="71"/>
      <c r="EF32" s="102">
        <v>71461</v>
      </c>
      <c r="EG32" s="102">
        <v>56096</v>
      </c>
      <c r="EH32" s="102">
        <v>15365</v>
      </c>
      <c r="EI32" s="102">
        <v>34</v>
      </c>
      <c r="EJ32" s="102">
        <v>-181923</v>
      </c>
      <c r="EK32" s="71"/>
      <c r="EL32" s="102">
        <v>65438</v>
      </c>
      <c r="EM32" s="102">
        <v>66118</v>
      </c>
      <c r="EN32" s="102">
        <v>190000</v>
      </c>
      <c r="EO32" s="102">
        <v>101570</v>
      </c>
      <c r="EP32" s="73">
        <f t="shared" si="11"/>
        <v>313228</v>
      </c>
      <c r="EQ32" s="102">
        <v>13859644</v>
      </c>
      <c r="ER32" s="71">
        <v>-1621126</v>
      </c>
      <c r="ES32" s="102">
        <v>3848453</v>
      </c>
      <c r="ET32" s="102">
        <v>2449191</v>
      </c>
      <c r="EU32" s="102">
        <v>2088179</v>
      </c>
      <c r="EV32" s="102">
        <v>1204353</v>
      </c>
      <c r="EW32" s="73">
        <f t="shared" si="12"/>
        <v>232286</v>
      </c>
      <c r="EX32" s="102">
        <v>232286</v>
      </c>
      <c r="EY32" s="102">
        <v>10842</v>
      </c>
      <c r="EZ32" s="102">
        <v>221444</v>
      </c>
      <c r="FA32" s="102">
        <v>0</v>
      </c>
      <c r="FB32" s="102">
        <v>0</v>
      </c>
      <c r="FC32" s="102">
        <v>1972275</v>
      </c>
      <c r="FD32" s="102">
        <v>2746055</v>
      </c>
      <c r="FE32" s="102">
        <v>1699537</v>
      </c>
      <c r="FF32" s="102">
        <v>3096876</v>
      </c>
      <c r="FG32" s="73">
        <f t="shared" si="13"/>
        <v>220832</v>
      </c>
      <c r="FH32" s="102">
        <v>15409309</v>
      </c>
      <c r="FI32" s="379">
        <f t="shared" si="14"/>
        <v>0.1</v>
      </c>
      <c r="FJ32" s="102">
        <v>12833163</v>
      </c>
      <c r="FK32" s="102">
        <v>1026939</v>
      </c>
      <c r="FL32" s="102">
        <v>6704232</v>
      </c>
      <c r="FM32" s="102">
        <v>10845424</v>
      </c>
      <c r="FN32" s="428">
        <v>0.61</v>
      </c>
      <c r="FO32" s="424">
        <v>99.1</v>
      </c>
      <c r="FP32" s="425">
        <v>27.2</v>
      </c>
      <c r="FQ32" s="424">
        <v>14.1</v>
      </c>
      <c r="FR32" s="424">
        <v>8.5</v>
      </c>
      <c r="FS32" s="425">
        <v>12.6</v>
      </c>
      <c r="FT32" s="424">
        <v>16.2</v>
      </c>
      <c r="FU32" s="425">
        <v>19.8</v>
      </c>
      <c r="FV32" s="384">
        <v>2.8</v>
      </c>
      <c r="FW32" s="102">
        <v>15135592</v>
      </c>
      <c r="FX32" s="384">
        <f t="shared" si="15"/>
        <v>109.2</v>
      </c>
      <c r="FY32" s="102">
        <v>2244095</v>
      </c>
      <c r="FZ32" s="102">
        <v>1745841</v>
      </c>
      <c r="GA32" s="102">
        <v>70588</v>
      </c>
      <c r="GB32" s="102">
        <v>427666</v>
      </c>
      <c r="GC32" s="102">
        <v>0</v>
      </c>
      <c r="GD32" s="427"/>
      <c r="GE32" s="386"/>
      <c r="GF32" s="424">
        <v>98.3</v>
      </c>
      <c r="GG32" s="424">
        <v>32.6</v>
      </c>
      <c r="GH32" s="424">
        <v>95.2</v>
      </c>
      <c r="GI32" s="102">
        <v>455</v>
      </c>
      <c r="GJ32" s="429" t="s">
        <v>646</v>
      </c>
      <c r="GK32" s="429">
        <v>12.87</v>
      </c>
      <c r="GL32" s="87">
        <v>20</v>
      </c>
      <c r="GM32" s="429" t="s">
        <v>646</v>
      </c>
      <c r="GN32" s="430">
        <v>17.87</v>
      </c>
      <c r="GO32" s="430">
        <v>30</v>
      </c>
      <c r="GP32" s="425">
        <v>2.8</v>
      </c>
      <c r="GQ32" s="425">
        <v>25</v>
      </c>
      <c r="GR32" s="425">
        <v>35</v>
      </c>
      <c r="GS32" s="431">
        <v>29.9</v>
      </c>
      <c r="GT32" s="425">
        <v>350</v>
      </c>
      <c r="GU32" s="394"/>
      <c r="GV32" s="100">
        <f t="shared" si="16"/>
        <v>13860</v>
      </c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</row>
    <row r="33" spans="2:230" x14ac:dyDescent="0.15">
      <c r="B33" s="89" t="s">
        <v>55</v>
      </c>
      <c r="C33" s="102">
        <v>75078959</v>
      </c>
      <c r="D33" s="73">
        <f t="shared" si="0"/>
        <v>23396253</v>
      </c>
      <c r="E33" s="102">
        <v>736700</v>
      </c>
      <c r="F33" s="102">
        <v>22659553</v>
      </c>
      <c r="G33" s="73">
        <f t="shared" si="1"/>
        <v>6585839</v>
      </c>
      <c r="H33" s="102">
        <v>1493319</v>
      </c>
      <c r="I33" s="102">
        <v>5092520</v>
      </c>
      <c r="J33" s="102">
        <v>31429336</v>
      </c>
      <c r="K33" s="102">
        <v>15429873</v>
      </c>
      <c r="L33" s="102">
        <v>12451922</v>
      </c>
      <c r="M33" s="102">
        <v>3217539</v>
      </c>
      <c r="N33" s="102">
        <v>4236658</v>
      </c>
      <c r="O33" s="102">
        <v>6815993</v>
      </c>
      <c r="P33" s="102">
        <v>4068504</v>
      </c>
      <c r="Q33" s="102">
        <v>2747489</v>
      </c>
      <c r="R33" s="102">
        <v>782744</v>
      </c>
      <c r="S33" s="74"/>
      <c r="T33" s="73">
        <f t="shared" si="2"/>
        <v>11860003</v>
      </c>
      <c r="U33" s="102">
        <v>200513</v>
      </c>
      <c r="V33" s="102">
        <v>470983</v>
      </c>
      <c r="W33" s="102">
        <v>517002</v>
      </c>
      <c r="X33" s="102">
        <v>10386891</v>
      </c>
      <c r="Y33" s="102">
        <v>0</v>
      </c>
      <c r="Z33" s="102">
        <v>0</v>
      </c>
      <c r="AA33" s="102">
        <v>284614</v>
      </c>
      <c r="AB33" s="102">
        <v>360221</v>
      </c>
      <c r="AC33" s="102">
        <v>21141446</v>
      </c>
      <c r="AD33" s="102">
        <v>20394134</v>
      </c>
      <c r="AE33" s="102">
        <v>747281</v>
      </c>
      <c r="AF33" s="102">
        <v>76353</v>
      </c>
      <c r="AG33" s="102">
        <v>2886555</v>
      </c>
      <c r="AH33" s="73">
        <f t="shared" si="3"/>
        <v>2824712</v>
      </c>
      <c r="AI33" s="102">
        <v>2382472</v>
      </c>
      <c r="AJ33" s="102">
        <v>442240</v>
      </c>
      <c r="AK33" s="102">
        <v>49826434</v>
      </c>
      <c r="AL33" s="73">
        <f t="shared" si="4"/>
        <v>34107384</v>
      </c>
      <c r="AM33" s="102">
        <v>26667457</v>
      </c>
      <c r="AN33" s="102">
        <v>2142780</v>
      </c>
      <c r="AO33" s="74"/>
      <c r="AP33" s="102">
        <v>5297147</v>
      </c>
      <c r="AQ33" s="102">
        <v>4456634</v>
      </c>
      <c r="AR33" s="102">
        <v>0</v>
      </c>
      <c r="AS33" s="102">
        <v>0</v>
      </c>
      <c r="AT33" s="102">
        <v>12092933</v>
      </c>
      <c r="AU33" s="102">
        <v>6980993</v>
      </c>
      <c r="AV33" s="102">
        <v>0</v>
      </c>
      <c r="AW33" s="102">
        <v>698998</v>
      </c>
      <c r="AX33" s="102">
        <v>5111940</v>
      </c>
      <c r="AY33" s="102">
        <v>24860</v>
      </c>
      <c r="AZ33" s="102">
        <v>806238</v>
      </c>
      <c r="BA33" s="102">
        <v>595391</v>
      </c>
      <c r="BB33" s="102">
        <v>28309</v>
      </c>
      <c r="BC33" s="102">
        <v>1482242</v>
      </c>
      <c r="BD33" s="102">
        <v>1000000</v>
      </c>
      <c r="BE33" s="102">
        <v>0</v>
      </c>
      <c r="BF33" s="102">
        <v>266822</v>
      </c>
      <c r="BG33" s="102">
        <v>0</v>
      </c>
      <c r="BH33" s="102">
        <v>1370721</v>
      </c>
      <c r="BI33" s="102">
        <v>1169438</v>
      </c>
      <c r="BJ33" s="102">
        <v>3023054</v>
      </c>
      <c r="BK33" s="102">
        <v>1615040</v>
      </c>
      <c r="BL33" s="102">
        <v>0</v>
      </c>
      <c r="BM33" s="102">
        <v>89317</v>
      </c>
      <c r="BN33" s="102">
        <v>24509400</v>
      </c>
      <c r="BO33" s="73">
        <f t="shared" si="5"/>
        <v>15107300</v>
      </c>
      <c r="BP33" s="73">
        <f t="shared" si="6"/>
        <v>9402100</v>
      </c>
      <c r="BQ33" s="102">
        <v>0</v>
      </c>
      <c r="BR33" s="102">
        <v>0</v>
      </c>
      <c r="BS33" s="102">
        <v>9402100</v>
      </c>
      <c r="BT33" s="102">
        <v>0</v>
      </c>
      <c r="BU33" s="102">
        <v>208150324</v>
      </c>
      <c r="BV33" s="71"/>
      <c r="BW33" s="102">
        <v>27710682</v>
      </c>
      <c r="BX33" s="102">
        <v>18127099</v>
      </c>
      <c r="BY33" s="102">
        <v>2127087</v>
      </c>
      <c r="BZ33" s="102">
        <v>2864881</v>
      </c>
      <c r="CA33" s="102">
        <v>73426313</v>
      </c>
      <c r="CB33" s="102">
        <v>12824538</v>
      </c>
      <c r="CC33" s="102">
        <v>1278133</v>
      </c>
      <c r="CD33" s="102">
        <v>21143279</v>
      </c>
      <c r="CE33" s="102">
        <v>35615987</v>
      </c>
      <c r="CF33" s="102">
        <v>1705745</v>
      </c>
      <c r="CG33" s="102">
        <v>858631</v>
      </c>
      <c r="CH33" s="102">
        <v>16617870</v>
      </c>
      <c r="CI33" s="102">
        <v>15011692</v>
      </c>
      <c r="CJ33" s="83">
        <f t="shared" si="17"/>
        <v>1606178</v>
      </c>
      <c r="CK33" s="102">
        <v>16600991</v>
      </c>
      <c r="CL33" s="102">
        <v>11268808</v>
      </c>
      <c r="CM33" s="102">
        <v>327414</v>
      </c>
      <c r="CN33" s="102">
        <v>2490093</v>
      </c>
      <c r="CO33" s="102">
        <v>1634849</v>
      </c>
      <c r="CP33" s="102">
        <v>18958936</v>
      </c>
      <c r="CQ33" s="102">
        <v>2792997</v>
      </c>
      <c r="CR33" s="102">
        <v>4945147</v>
      </c>
      <c r="CS33" s="102">
        <v>3822364</v>
      </c>
      <c r="CT33" s="73">
        <f t="shared" si="7"/>
        <v>9129207</v>
      </c>
      <c r="CU33" s="102">
        <v>8224759</v>
      </c>
      <c r="CV33" s="102">
        <v>904448</v>
      </c>
      <c r="CW33" s="73">
        <f t="shared" si="8"/>
        <v>955141</v>
      </c>
      <c r="CX33" s="102">
        <v>620353</v>
      </c>
      <c r="CY33" s="102">
        <v>334788</v>
      </c>
      <c r="CZ33" s="73">
        <f t="shared" si="9"/>
        <v>8067000</v>
      </c>
      <c r="DA33" s="102">
        <v>7501000</v>
      </c>
      <c r="DB33" s="102">
        <v>566000</v>
      </c>
      <c r="DC33" s="102">
        <v>24528734</v>
      </c>
      <c r="DD33" s="102">
        <v>10107737</v>
      </c>
      <c r="DE33" s="102">
        <v>14384939</v>
      </c>
      <c r="DF33" s="102">
        <v>30064</v>
      </c>
      <c r="DG33" s="102">
        <v>5994</v>
      </c>
      <c r="DH33" s="102">
        <v>0</v>
      </c>
      <c r="DI33" s="102">
        <v>2801533</v>
      </c>
      <c r="DJ33" s="102">
        <v>1975700</v>
      </c>
      <c r="DK33" s="102">
        <v>723200</v>
      </c>
      <c r="DL33" s="102">
        <v>102633</v>
      </c>
      <c r="DM33" s="102">
        <v>2378659</v>
      </c>
      <c r="DN33" s="102">
        <v>2277859</v>
      </c>
      <c r="DO33" s="102">
        <v>0</v>
      </c>
      <c r="DP33" s="102">
        <v>844859</v>
      </c>
      <c r="DQ33" s="102">
        <v>1945120</v>
      </c>
      <c r="DR33" s="102">
        <v>0</v>
      </c>
      <c r="DS33" s="102">
        <v>0</v>
      </c>
      <c r="DT33" s="102">
        <v>19180904</v>
      </c>
      <c r="DU33" s="102">
        <v>0</v>
      </c>
      <c r="DV33" s="73">
        <f t="shared" si="10"/>
        <v>0</v>
      </c>
      <c r="DW33" s="102">
        <v>0</v>
      </c>
      <c r="DX33" s="102">
        <v>5545259</v>
      </c>
      <c r="DY33" s="102">
        <v>0</v>
      </c>
      <c r="DZ33" s="102">
        <v>7689403</v>
      </c>
      <c r="EA33" s="74">
        <v>0</v>
      </c>
      <c r="EB33" s="102">
        <v>5895249</v>
      </c>
      <c r="EC33" s="102">
        <v>0</v>
      </c>
      <c r="ED33" s="102">
        <v>205784591</v>
      </c>
      <c r="EE33" s="71"/>
      <c r="EF33" s="102">
        <v>2365733</v>
      </c>
      <c r="EG33" s="102">
        <v>660147</v>
      </c>
      <c r="EH33" s="102">
        <v>1705586</v>
      </c>
      <c r="EI33" s="102">
        <v>536148</v>
      </c>
      <c r="EJ33" s="102">
        <v>1512065</v>
      </c>
      <c r="EK33" s="71"/>
      <c r="EL33" s="102">
        <v>502784</v>
      </c>
      <c r="EM33" s="102">
        <v>496659</v>
      </c>
      <c r="EN33" s="102">
        <v>1000327</v>
      </c>
      <c r="EO33" s="102">
        <v>643706</v>
      </c>
      <c r="EP33" s="73">
        <f t="shared" si="11"/>
        <v>3058334</v>
      </c>
      <c r="EQ33" s="102">
        <v>109299726</v>
      </c>
      <c r="ER33" s="71">
        <v>-14028114</v>
      </c>
      <c r="ES33" s="102">
        <v>25963119</v>
      </c>
      <c r="ET33" s="102">
        <v>16774673</v>
      </c>
      <c r="EU33" s="102">
        <v>21004152</v>
      </c>
      <c r="EV33" s="102">
        <v>16617870</v>
      </c>
      <c r="EW33" s="73">
        <f t="shared" si="12"/>
        <v>4323447</v>
      </c>
      <c r="EX33" s="102">
        <v>4323447</v>
      </c>
      <c r="EY33" s="102">
        <v>264900</v>
      </c>
      <c r="EZ33" s="102">
        <v>4055349</v>
      </c>
      <c r="FA33" s="102">
        <v>0</v>
      </c>
      <c r="FB33" s="102">
        <v>0</v>
      </c>
      <c r="FC33" s="102">
        <v>13777677</v>
      </c>
      <c r="FD33" s="102">
        <v>17847071</v>
      </c>
      <c r="FE33" s="102">
        <v>2792997</v>
      </c>
      <c r="FF33" s="102">
        <v>15078205</v>
      </c>
      <c r="FG33" s="73">
        <f t="shared" si="13"/>
        <v>6350566</v>
      </c>
      <c r="FH33" s="102">
        <v>120962107</v>
      </c>
      <c r="FI33" s="379">
        <f t="shared" si="14"/>
        <v>1.6</v>
      </c>
      <c r="FJ33" s="102">
        <v>97664211</v>
      </c>
      <c r="FK33" s="102">
        <v>9402232</v>
      </c>
      <c r="FL33" s="102">
        <v>60162719</v>
      </c>
      <c r="FM33" s="102">
        <v>80556853</v>
      </c>
      <c r="FN33" s="428">
        <v>0.73499999999999999</v>
      </c>
      <c r="FO33" s="424">
        <v>92.8</v>
      </c>
      <c r="FP33" s="425">
        <v>23.2</v>
      </c>
      <c r="FQ33" s="424">
        <v>18.8</v>
      </c>
      <c r="FR33" s="424">
        <v>14.9</v>
      </c>
      <c r="FS33" s="425">
        <v>10.9</v>
      </c>
      <c r="FT33" s="424">
        <v>13.3</v>
      </c>
      <c r="FU33" s="425">
        <v>10.5</v>
      </c>
      <c r="FV33" s="384">
        <v>4.9000000000000004</v>
      </c>
      <c r="FW33" s="102">
        <v>186485770</v>
      </c>
      <c r="FX33" s="384">
        <f t="shared" si="15"/>
        <v>174.2</v>
      </c>
      <c r="FY33" s="102">
        <v>24048271</v>
      </c>
      <c r="FZ33" s="102">
        <v>17109568</v>
      </c>
      <c r="GA33" s="102">
        <v>3392700</v>
      </c>
      <c r="GB33" s="102">
        <v>3546003</v>
      </c>
      <c r="GC33" s="102">
        <v>0</v>
      </c>
      <c r="GD33" s="427"/>
      <c r="GE33" s="386"/>
      <c r="GF33" s="424">
        <v>99.1</v>
      </c>
      <c r="GG33" s="424">
        <v>43.9</v>
      </c>
      <c r="GH33" s="424">
        <v>97.3</v>
      </c>
      <c r="GI33" s="102">
        <v>2687</v>
      </c>
      <c r="GJ33" s="429" t="s">
        <v>646</v>
      </c>
      <c r="GK33" s="429">
        <v>11.25</v>
      </c>
      <c r="GL33" s="87">
        <v>20</v>
      </c>
      <c r="GM33" s="429" t="s">
        <v>646</v>
      </c>
      <c r="GN33" s="430">
        <v>16.25</v>
      </c>
      <c r="GO33" s="430">
        <v>30</v>
      </c>
      <c r="GP33" s="425">
        <v>4.9000000000000004</v>
      </c>
      <c r="GQ33" s="425">
        <v>25</v>
      </c>
      <c r="GR33" s="425">
        <v>35</v>
      </c>
      <c r="GS33" s="431">
        <v>2.5</v>
      </c>
      <c r="GT33" s="425">
        <v>350</v>
      </c>
      <c r="GU33" s="394"/>
      <c r="GV33" s="100">
        <f t="shared" si="16"/>
        <v>107066</v>
      </c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</row>
    <row r="34" spans="2:230" x14ac:dyDescent="0.15">
      <c r="B34" s="89" t="s">
        <v>57</v>
      </c>
      <c r="C34" s="102">
        <v>8945948</v>
      </c>
      <c r="D34" s="73">
        <f t="shared" si="0"/>
        <v>2332415</v>
      </c>
      <c r="E34" s="102">
        <v>87289</v>
      </c>
      <c r="F34" s="102">
        <v>2245126</v>
      </c>
      <c r="G34" s="73">
        <f t="shared" si="1"/>
        <v>526460</v>
      </c>
      <c r="H34" s="102">
        <v>180720</v>
      </c>
      <c r="I34" s="102">
        <v>345740</v>
      </c>
      <c r="J34" s="102">
        <v>4823108</v>
      </c>
      <c r="K34" s="102">
        <v>1931042</v>
      </c>
      <c r="L34" s="102">
        <v>1660447</v>
      </c>
      <c r="M34" s="102">
        <v>1099292</v>
      </c>
      <c r="N34" s="102">
        <v>439131</v>
      </c>
      <c r="O34" s="102">
        <v>707212</v>
      </c>
      <c r="P34" s="102">
        <v>377490</v>
      </c>
      <c r="Q34" s="102">
        <v>329722</v>
      </c>
      <c r="R34" s="102">
        <v>159206</v>
      </c>
      <c r="S34" s="74"/>
      <c r="T34" s="73">
        <f t="shared" si="2"/>
        <v>1452709</v>
      </c>
      <c r="U34" s="102">
        <v>20315</v>
      </c>
      <c r="V34" s="102">
        <v>47628</v>
      </c>
      <c r="W34" s="102">
        <v>52204</v>
      </c>
      <c r="X34" s="102">
        <v>1240744</v>
      </c>
      <c r="Y34" s="102">
        <v>47699</v>
      </c>
      <c r="Z34" s="102">
        <v>0</v>
      </c>
      <c r="AA34" s="102">
        <v>44119</v>
      </c>
      <c r="AB34" s="102">
        <v>34208</v>
      </c>
      <c r="AC34" s="102">
        <v>2791994</v>
      </c>
      <c r="AD34" s="102">
        <v>2377987</v>
      </c>
      <c r="AE34" s="102">
        <v>414006</v>
      </c>
      <c r="AF34" s="102">
        <v>11321</v>
      </c>
      <c r="AG34" s="102">
        <v>144372</v>
      </c>
      <c r="AH34" s="73">
        <f t="shared" si="3"/>
        <v>356696</v>
      </c>
      <c r="AI34" s="102">
        <v>218094</v>
      </c>
      <c r="AJ34" s="102">
        <v>138602</v>
      </c>
      <c r="AK34" s="102">
        <v>4212409</v>
      </c>
      <c r="AL34" s="73">
        <f t="shared" si="4"/>
        <v>2077809</v>
      </c>
      <c r="AM34" s="102">
        <v>1396754</v>
      </c>
      <c r="AN34" s="102">
        <v>126335</v>
      </c>
      <c r="AO34" s="74"/>
      <c r="AP34" s="102">
        <v>554720</v>
      </c>
      <c r="AQ34" s="102">
        <v>1520</v>
      </c>
      <c r="AR34" s="102">
        <v>90743</v>
      </c>
      <c r="AS34" s="102">
        <v>0</v>
      </c>
      <c r="AT34" s="102">
        <v>1823590</v>
      </c>
      <c r="AU34" s="102">
        <v>912194</v>
      </c>
      <c r="AV34" s="102">
        <v>63021</v>
      </c>
      <c r="AW34" s="102">
        <v>0</v>
      </c>
      <c r="AX34" s="102">
        <v>911396</v>
      </c>
      <c r="AY34" s="102">
        <v>104422</v>
      </c>
      <c r="AZ34" s="102">
        <v>17883</v>
      </c>
      <c r="BA34" s="102">
        <v>6519</v>
      </c>
      <c r="BB34" s="102">
        <v>10037</v>
      </c>
      <c r="BC34" s="102">
        <v>508433</v>
      </c>
      <c r="BD34" s="102">
        <v>0</v>
      </c>
      <c r="BE34" s="102">
        <v>0</v>
      </c>
      <c r="BF34" s="102">
        <v>20154</v>
      </c>
      <c r="BG34" s="102">
        <v>0</v>
      </c>
      <c r="BH34" s="102">
        <v>105589</v>
      </c>
      <c r="BI34" s="102">
        <v>91778</v>
      </c>
      <c r="BJ34" s="102">
        <v>282969</v>
      </c>
      <c r="BK34" s="102">
        <v>105</v>
      </c>
      <c r="BL34" s="102">
        <v>0</v>
      </c>
      <c r="BM34" s="102">
        <v>0</v>
      </c>
      <c r="BN34" s="102">
        <v>1532957</v>
      </c>
      <c r="BO34" s="73">
        <f t="shared" si="5"/>
        <v>481900</v>
      </c>
      <c r="BP34" s="73">
        <f t="shared" si="6"/>
        <v>1051057</v>
      </c>
      <c r="BQ34" s="102">
        <v>0</v>
      </c>
      <c r="BR34" s="102">
        <v>0</v>
      </c>
      <c r="BS34" s="102">
        <v>1051057</v>
      </c>
      <c r="BT34" s="102">
        <v>0</v>
      </c>
      <c r="BU34" s="102">
        <v>22390321</v>
      </c>
      <c r="BV34" s="71"/>
      <c r="BW34" s="102">
        <v>3739114</v>
      </c>
      <c r="BX34" s="102">
        <v>2626376</v>
      </c>
      <c r="BY34" s="102">
        <v>248335</v>
      </c>
      <c r="BZ34" s="102">
        <v>70647</v>
      </c>
      <c r="CA34" s="102">
        <v>6130012</v>
      </c>
      <c r="CB34" s="102">
        <v>1361179</v>
      </c>
      <c r="CC34" s="102">
        <v>127603</v>
      </c>
      <c r="CD34" s="102">
        <v>2691428</v>
      </c>
      <c r="CE34" s="102">
        <v>1873858</v>
      </c>
      <c r="CF34" s="102">
        <v>376</v>
      </c>
      <c r="CG34" s="102">
        <v>75508</v>
      </c>
      <c r="CH34" s="102">
        <v>2988011</v>
      </c>
      <c r="CI34" s="102">
        <v>2559523</v>
      </c>
      <c r="CJ34" s="83">
        <f t="shared" si="17"/>
        <v>428488</v>
      </c>
      <c r="CK34" s="102">
        <v>2424643</v>
      </c>
      <c r="CL34" s="102">
        <v>1465549</v>
      </c>
      <c r="CM34" s="102">
        <v>181609</v>
      </c>
      <c r="CN34" s="102">
        <v>472624</v>
      </c>
      <c r="CO34" s="102">
        <v>121442</v>
      </c>
      <c r="CP34" s="102">
        <v>2080007</v>
      </c>
      <c r="CQ34" s="102">
        <v>1163821</v>
      </c>
      <c r="CR34" s="102">
        <v>367848</v>
      </c>
      <c r="CS34" s="102">
        <v>254003</v>
      </c>
      <c r="CT34" s="73">
        <f t="shared" si="7"/>
        <v>12106</v>
      </c>
      <c r="CU34" s="102">
        <v>2026</v>
      </c>
      <c r="CV34" s="102">
        <v>10080</v>
      </c>
      <c r="CW34" s="73">
        <f t="shared" si="8"/>
        <v>0</v>
      </c>
      <c r="CX34" s="102">
        <v>0</v>
      </c>
      <c r="CY34" s="102">
        <v>0</v>
      </c>
      <c r="CZ34" s="73">
        <f t="shared" si="9"/>
        <v>0</v>
      </c>
      <c r="DA34" s="102">
        <v>0</v>
      </c>
      <c r="DB34" s="102">
        <v>0</v>
      </c>
      <c r="DC34" s="102">
        <v>934911</v>
      </c>
      <c r="DD34" s="102">
        <v>368380</v>
      </c>
      <c r="DE34" s="102">
        <v>535326</v>
      </c>
      <c r="DF34" s="102">
        <v>31205</v>
      </c>
      <c r="DG34" s="102">
        <v>0</v>
      </c>
      <c r="DH34" s="102">
        <v>136102</v>
      </c>
      <c r="DI34" s="102">
        <v>516006</v>
      </c>
      <c r="DJ34" s="102">
        <v>496869</v>
      </c>
      <c r="DK34" s="102">
        <v>315</v>
      </c>
      <c r="DL34" s="102">
        <v>18822</v>
      </c>
      <c r="DM34" s="102">
        <v>1855</v>
      </c>
      <c r="DN34" s="102">
        <v>1855</v>
      </c>
      <c r="DO34" s="102">
        <v>0</v>
      </c>
      <c r="DP34" s="102">
        <v>0</v>
      </c>
      <c r="DQ34" s="102">
        <v>0</v>
      </c>
      <c r="DR34" s="102">
        <v>0</v>
      </c>
      <c r="DS34" s="102">
        <v>0</v>
      </c>
      <c r="DT34" s="102">
        <v>3071082</v>
      </c>
      <c r="DU34" s="102">
        <v>713647</v>
      </c>
      <c r="DV34" s="73">
        <f t="shared" si="10"/>
        <v>0</v>
      </c>
      <c r="DW34" s="102">
        <v>0</v>
      </c>
      <c r="DX34" s="102">
        <v>809817</v>
      </c>
      <c r="DY34" s="102">
        <v>0</v>
      </c>
      <c r="DZ34" s="102">
        <v>821400</v>
      </c>
      <c r="EA34" s="74">
        <v>0</v>
      </c>
      <c r="EB34" s="102">
        <v>726218</v>
      </c>
      <c r="EC34" s="102">
        <v>0</v>
      </c>
      <c r="ED34" s="102">
        <v>22143185</v>
      </c>
      <c r="EE34" s="71"/>
      <c r="EF34" s="102">
        <v>247136</v>
      </c>
      <c r="EG34" s="102">
        <v>10909</v>
      </c>
      <c r="EH34" s="102">
        <v>236227</v>
      </c>
      <c r="EI34" s="102">
        <v>144449</v>
      </c>
      <c r="EJ34" s="102">
        <v>691792</v>
      </c>
      <c r="EK34" s="71"/>
      <c r="EL34" s="102">
        <v>62438</v>
      </c>
      <c r="EM34" s="102">
        <v>63727</v>
      </c>
      <c r="EN34" s="102">
        <v>496869</v>
      </c>
      <c r="EO34" s="102">
        <v>14615</v>
      </c>
      <c r="EP34" s="73">
        <f t="shared" si="11"/>
        <v>431073</v>
      </c>
      <c r="EQ34" s="102">
        <v>13395386</v>
      </c>
      <c r="ER34" s="71">
        <v>-1982293</v>
      </c>
      <c r="ES34" s="102">
        <v>3322413</v>
      </c>
      <c r="ET34" s="102">
        <v>2241993</v>
      </c>
      <c r="EU34" s="102">
        <v>1753940</v>
      </c>
      <c r="EV34" s="102">
        <v>2988011</v>
      </c>
      <c r="EW34" s="73">
        <f t="shared" si="12"/>
        <v>164576</v>
      </c>
      <c r="EX34" s="102">
        <v>159917</v>
      </c>
      <c r="EY34" s="102">
        <v>4136</v>
      </c>
      <c r="EZ34" s="102">
        <v>152708</v>
      </c>
      <c r="FA34" s="102">
        <v>4659</v>
      </c>
      <c r="FB34" s="102">
        <v>0</v>
      </c>
      <c r="FC34" s="102">
        <v>1831548</v>
      </c>
      <c r="FD34" s="102">
        <v>1951914</v>
      </c>
      <c r="FE34" s="102">
        <v>1161679</v>
      </c>
      <c r="FF34" s="102">
        <v>2508018</v>
      </c>
      <c r="FG34" s="73">
        <f t="shared" si="13"/>
        <v>610123</v>
      </c>
      <c r="FH34" s="102">
        <v>15130543</v>
      </c>
      <c r="FI34" s="379">
        <f t="shared" si="14"/>
        <v>1.8</v>
      </c>
      <c r="FJ34" s="102">
        <v>11955906</v>
      </c>
      <c r="FK34" s="102">
        <v>1051057</v>
      </c>
      <c r="FL34" s="102">
        <v>7482118</v>
      </c>
      <c r="FM34" s="102">
        <v>9872910</v>
      </c>
      <c r="FN34" s="428">
        <v>0.751</v>
      </c>
      <c r="FO34" s="424">
        <v>99.8</v>
      </c>
      <c r="FP34" s="425">
        <v>24.6</v>
      </c>
      <c r="FQ34" s="424">
        <v>13.1</v>
      </c>
      <c r="FR34" s="424">
        <v>21.9</v>
      </c>
      <c r="FS34" s="425">
        <v>11.1</v>
      </c>
      <c r="FT34" s="424">
        <v>11.7</v>
      </c>
      <c r="FU34" s="425">
        <v>16.7</v>
      </c>
      <c r="FV34" s="384">
        <v>11.6</v>
      </c>
      <c r="FW34" s="102">
        <v>29536370</v>
      </c>
      <c r="FX34" s="384">
        <f t="shared" si="15"/>
        <v>227.1</v>
      </c>
      <c r="FY34" s="102">
        <v>3670903</v>
      </c>
      <c r="FZ34" s="102">
        <v>496869</v>
      </c>
      <c r="GA34" s="102">
        <v>1432020</v>
      </c>
      <c r="GB34" s="102">
        <v>1742014</v>
      </c>
      <c r="GC34" s="102">
        <v>0</v>
      </c>
      <c r="GD34" s="427"/>
      <c r="GE34" s="386"/>
      <c r="GF34" s="424">
        <v>98.5</v>
      </c>
      <c r="GG34" s="424">
        <v>19.3</v>
      </c>
      <c r="GH34" s="424">
        <v>94.2</v>
      </c>
      <c r="GI34" s="102">
        <v>370</v>
      </c>
      <c r="GJ34" s="429" t="s">
        <v>646</v>
      </c>
      <c r="GK34" s="429">
        <v>12.95</v>
      </c>
      <c r="GL34" s="87">
        <v>20</v>
      </c>
      <c r="GM34" s="429" t="s">
        <v>646</v>
      </c>
      <c r="GN34" s="430">
        <v>17.95</v>
      </c>
      <c r="GO34" s="430">
        <v>30</v>
      </c>
      <c r="GP34" s="425">
        <v>11.6</v>
      </c>
      <c r="GQ34" s="425">
        <v>25</v>
      </c>
      <c r="GR34" s="425">
        <v>35</v>
      </c>
      <c r="GS34" s="431">
        <v>120.6</v>
      </c>
      <c r="GT34" s="425">
        <v>350</v>
      </c>
      <c r="GU34" s="394"/>
      <c r="GV34" s="100">
        <f t="shared" si="16"/>
        <v>13007</v>
      </c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</row>
    <row r="35" spans="2:230" x14ac:dyDescent="0.15">
      <c r="B35" s="89" t="s">
        <v>59</v>
      </c>
      <c r="C35" s="102">
        <v>6583076</v>
      </c>
      <c r="D35" s="73">
        <f t="shared" si="0"/>
        <v>2779580</v>
      </c>
      <c r="E35" s="102">
        <v>84690</v>
      </c>
      <c r="F35" s="102">
        <v>2694890</v>
      </c>
      <c r="G35" s="73">
        <f t="shared" si="1"/>
        <v>271558</v>
      </c>
      <c r="H35" s="102">
        <v>106726</v>
      </c>
      <c r="I35" s="102">
        <v>164832</v>
      </c>
      <c r="J35" s="102">
        <v>2552090</v>
      </c>
      <c r="K35" s="102">
        <v>1166369</v>
      </c>
      <c r="L35" s="102">
        <v>1175417</v>
      </c>
      <c r="M35" s="102">
        <v>196132</v>
      </c>
      <c r="N35" s="102">
        <v>368207</v>
      </c>
      <c r="O35" s="102">
        <v>549081</v>
      </c>
      <c r="P35" s="102">
        <v>308611</v>
      </c>
      <c r="Q35" s="102">
        <v>240470</v>
      </c>
      <c r="R35" s="102">
        <v>100741</v>
      </c>
      <c r="S35" s="74"/>
      <c r="T35" s="73">
        <f t="shared" si="2"/>
        <v>1218835</v>
      </c>
      <c r="U35" s="102">
        <v>23808</v>
      </c>
      <c r="V35" s="102">
        <v>55858</v>
      </c>
      <c r="W35" s="102">
        <v>61260</v>
      </c>
      <c r="X35" s="102">
        <v>1014023</v>
      </c>
      <c r="Y35" s="102">
        <v>27251</v>
      </c>
      <c r="Z35" s="102">
        <v>0</v>
      </c>
      <c r="AA35" s="102">
        <v>36635</v>
      </c>
      <c r="AB35" s="102">
        <v>34955</v>
      </c>
      <c r="AC35" s="102">
        <v>3971897</v>
      </c>
      <c r="AD35" s="102">
        <v>3603354</v>
      </c>
      <c r="AE35" s="102">
        <v>368542</v>
      </c>
      <c r="AF35" s="102">
        <v>7745</v>
      </c>
      <c r="AG35" s="102">
        <v>246026</v>
      </c>
      <c r="AH35" s="73">
        <f t="shared" si="3"/>
        <v>229211</v>
      </c>
      <c r="AI35" s="102">
        <v>163487</v>
      </c>
      <c r="AJ35" s="102">
        <v>65724</v>
      </c>
      <c r="AK35" s="102">
        <v>3404691</v>
      </c>
      <c r="AL35" s="73">
        <f t="shared" si="4"/>
        <v>2014888</v>
      </c>
      <c r="AM35" s="102">
        <v>1174771</v>
      </c>
      <c r="AN35" s="102">
        <v>334172</v>
      </c>
      <c r="AO35" s="74"/>
      <c r="AP35" s="102">
        <v>505945</v>
      </c>
      <c r="AQ35" s="102">
        <v>14772</v>
      </c>
      <c r="AR35" s="102">
        <v>0</v>
      </c>
      <c r="AS35" s="102">
        <v>0</v>
      </c>
      <c r="AT35" s="102">
        <v>1531461</v>
      </c>
      <c r="AU35" s="102">
        <v>924195</v>
      </c>
      <c r="AV35" s="102">
        <v>167441</v>
      </c>
      <c r="AW35" s="102">
        <v>40443</v>
      </c>
      <c r="AX35" s="102">
        <v>607266</v>
      </c>
      <c r="AY35" s="102">
        <v>1718</v>
      </c>
      <c r="AZ35" s="102">
        <v>27340</v>
      </c>
      <c r="BA35" s="102">
        <v>3392</v>
      </c>
      <c r="BB35" s="102">
        <v>51799</v>
      </c>
      <c r="BC35" s="102">
        <v>42748</v>
      </c>
      <c r="BD35" s="102">
        <v>40000</v>
      </c>
      <c r="BE35" s="102">
        <v>0</v>
      </c>
      <c r="BF35" s="102">
        <v>2748</v>
      </c>
      <c r="BG35" s="102">
        <v>0</v>
      </c>
      <c r="BH35" s="102">
        <v>521315</v>
      </c>
      <c r="BI35" s="102">
        <v>425870</v>
      </c>
      <c r="BJ35" s="102">
        <v>277143</v>
      </c>
      <c r="BK35" s="102">
        <v>0</v>
      </c>
      <c r="BL35" s="102">
        <v>0</v>
      </c>
      <c r="BM35" s="102">
        <v>0</v>
      </c>
      <c r="BN35" s="102">
        <v>1430100</v>
      </c>
      <c r="BO35" s="73">
        <f t="shared" si="5"/>
        <v>575600</v>
      </c>
      <c r="BP35" s="73">
        <f t="shared" si="6"/>
        <v>854500</v>
      </c>
      <c r="BQ35" s="102">
        <v>0</v>
      </c>
      <c r="BR35" s="102">
        <v>0</v>
      </c>
      <c r="BS35" s="102">
        <v>854500</v>
      </c>
      <c r="BT35" s="102">
        <v>0</v>
      </c>
      <c r="BU35" s="102">
        <v>19679083</v>
      </c>
      <c r="BV35" s="71"/>
      <c r="BW35" s="102">
        <v>2814413</v>
      </c>
      <c r="BX35" s="102">
        <v>1797626</v>
      </c>
      <c r="BY35" s="102">
        <v>181723</v>
      </c>
      <c r="BZ35" s="102">
        <v>259305</v>
      </c>
      <c r="CA35" s="102">
        <v>5556101</v>
      </c>
      <c r="CB35" s="102">
        <v>1217278</v>
      </c>
      <c r="CC35" s="102">
        <v>97859</v>
      </c>
      <c r="CD35" s="102">
        <v>2631134</v>
      </c>
      <c r="CE35" s="102">
        <v>1503507</v>
      </c>
      <c r="CF35" s="102">
        <v>481</v>
      </c>
      <c r="CG35" s="102">
        <v>105842</v>
      </c>
      <c r="CH35" s="102">
        <v>2018003</v>
      </c>
      <c r="CI35" s="102">
        <v>1788781</v>
      </c>
      <c r="CJ35" s="83">
        <f t="shared" si="17"/>
        <v>229222</v>
      </c>
      <c r="CK35" s="102">
        <v>2214846</v>
      </c>
      <c r="CL35" s="102">
        <v>1556328</v>
      </c>
      <c r="CM35" s="102">
        <v>88871</v>
      </c>
      <c r="CN35" s="102">
        <v>257048</v>
      </c>
      <c r="CO35" s="102">
        <v>62191</v>
      </c>
      <c r="CP35" s="102">
        <v>2640050</v>
      </c>
      <c r="CQ35" s="102">
        <v>991341</v>
      </c>
      <c r="CR35" s="102">
        <v>346065</v>
      </c>
      <c r="CS35" s="102">
        <v>228454</v>
      </c>
      <c r="CT35" s="73">
        <f t="shared" si="7"/>
        <v>835165</v>
      </c>
      <c r="CU35" s="102">
        <v>565517</v>
      </c>
      <c r="CV35" s="102">
        <v>269648</v>
      </c>
      <c r="CW35" s="73">
        <f t="shared" si="8"/>
        <v>0</v>
      </c>
      <c r="CX35" s="102">
        <v>0</v>
      </c>
      <c r="CY35" s="102">
        <v>0</v>
      </c>
      <c r="CZ35" s="73">
        <f t="shared" si="9"/>
        <v>808065</v>
      </c>
      <c r="DA35" s="102">
        <v>539972</v>
      </c>
      <c r="DB35" s="102">
        <v>268093</v>
      </c>
      <c r="DC35" s="102">
        <v>1326638</v>
      </c>
      <c r="DD35" s="102">
        <v>295951</v>
      </c>
      <c r="DE35" s="102">
        <v>1030687</v>
      </c>
      <c r="DF35" s="102">
        <v>0</v>
      </c>
      <c r="DG35" s="102">
        <v>0</v>
      </c>
      <c r="DH35" s="102">
        <v>0</v>
      </c>
      <c r="DI35" s="102">
        <v>576010</v>
      </c>
      <c r="DJ35" s="102">
        <v>214009</v>
      </c>
      <c r="DK35" s="102">
        <v>62</v>
      </c>
      <c r="DL35" s="102">
        <v>361939</v>
      </c>
      <c r="DM35" s="102">
        <v>70000</v>
      </c>
      <c r="DN35" s="102">
        <v>70000</v>
      </c>
      <c r="DO35" s="102">
        <v>0</v>
      </c>
      <c r="DP35" s="102">
        <v>0</v>
      </c>
      <c r="DQ35" s="102">
        <v>0</v>
      </c>
      <c r="DR35" s="102">
        <v>0</v>
      </c>
      <c r="DS35" s="102">
        <v>0</v>
      </c>
      <c r="DT35" s="102">
        <v>1889835</v>
      </c>
      <c r="DU35" s="102">
        <v>0</v>
      </c>
      <c r="DV35" s="73">
        <f t="shared" si="10"/>
        <v>0</v>
      </c>
      <c r="DW35" s="102">
        <v>0</v>
      </c>
      <c r="DX35" s="102">
        <v>558739</v>
      </c>
      <c r="DY35" s="102">
        <v>0</v>
      </c>
      <c r="DZ35" s="102">
        <v>687107</v>
      </c>
      <c r="EA35" s="74">
        <v>0</v>
      </c>
      <c r="EB35" s="102">
        <v>643989</v>
      </c>
      <c r="EC35" s="102">
        <v>0</v>
      </c>
      <c r="ED35" s="102">
        <v>19168087</v>
      </c>
      <c r="EE35" s="71"/>
      <c r="EF35" s="102">
        <v>510996</v>
      </c>
      <c r="EG35" s="102">
        <v>1409</v>
      </c>
      <c r="EH35" s="102">
        <v>509587</v>
      </c>
      <c r="EI35" s="102">
        <v>83717</v>
      </c>
      <c r="EJ35" s="102">
        <v>314456</v>
      </c>
      <c r="EK35" s="71"/>
      <c r="EL35" s="102">
        <v>56075</v>
      </c>
      <c r="EM35" s="102">
        <v>56332</v>
      </c>
      <c r="EN35" s="102">
        <v>40000</v>
      </c>
      <c r="EO35" s="102">
        <v>24685</v>
      </c>
      <c r="EP35" s="73">
        <f t="shared" si="11"/>
        <v>691739</v>
      </c>
      <c r="EQ35" s="102">
        <v>11917249</v>
      </c>
      <c r="ER35" s="71">
        <v>-1603179</v>
      </c>
      <c r="ES35" s="102">
        <v>2393431</v>
      </c>
      <c r="ET35" s="102">
        <v>1524996</v>
      </c>
      <c r="EU35" s="102">
        <v>1546217</v>
      </c>
      <c r="EV35" s="102">
        <v>2018003</v>
      </c>
      <c r="EW35" s="73">
        <f t="shared" si="12"/>
        <v>498247</v>
      </c>
      <c r="EX35" s="102">
        <v>498247</v>
      </c>
      <c r="EY35" s="102">
        <v>41060</v>
      </c>
      <c r="EZ35" s="102">
        <v>457187</v>
      </c>
      <c r="FA35" s="102">
        <v>0</v>
      </c>
      <c r="FB35" s="102">
        <v>0</v>
      </c>
      <c r="FC35" s="102">
        <v>1902461</v>
      </c>
      <c r="FD35" s="102">
        <v>2447589</v>
      </c>
      <c r="FE35" s="102">
        <v>990732</v>
      </c>
      <c r="FF35" s="102">
        <v>1500223</v>
      </c>
      <c r="FG35" s="73">
        <f t="shared" si="13"/>
        <v>703261</v>
      </c>
      <c r="FH35" s="102">
        <v>13009432</v>
      </c>
      <c r="FI35" s="379">
        <f t="shared" si="14"/>
        <v>4.5</v>
      </c>
      <c r="FJ35" s="102">
        <v>10593530</v>
      </c>
      <c r="FK35" s="102">
        <v>854650</v>
      </c>
      <c r="FL35" s="102">
        <v>5515051</v>
      </c>
      <c r="FM35" s="102">
        <v>9126392</v>
      </c>
      <c r="FN35" s="428">
        <v>0.59499999999999997</v>
      </c>
      <c r="FO35" s="424">
        <v>92</v>
      </c>
      <c r="FP35" s="425">
        <v>19.7</v>
      </c>
      <c r="FQ35" s="424">
        <v>12.8</v>
      </c>
      <c r="FR35" s="424">
        <v>16.5</v>
      </c>
      <c r="FS35" s="425">
        <v>13.5</v>
      </c>
      <c r="FT35" s="424">
        <v>18.2</v>
      </c>
      <c r="FU35" s="425">
        <v>10.9</v>
      </c>
      <c r="FV35" s="384">
        <v>7.9</v>
      </c>
      <c r="FW35" s="102">
        <v>16656762</v>
      </c>
      <c r="FX35" s="384">
        <f t="shared" si="15"/>
        <v>145.5</v>
      </c>
      <c r="FY35" s="102">
        <v>3751507</v>
      </c>
      <c r="FZ35" s="102">
        <v>1616458</v>
      </c>
      <c r="GA35" s="102">
        <v>51212</v>
      </c>
      <c r="GB35" s="102">
        <v>2083837</v>
      </c>
      <c r="GC35" s="102">
        <v>10100</v>
      </c>
      <c r="GD35" s="427">
        <v>0</v>
      </c>
      <c r="GE35" s="384">
        <f>ROUND(GD35/(FJ35+FK35)*100,1)</f>
        <v>0</v>
      </c>
      <c r="GF35" s="424">
        <v>98.9</v>
      </c>
      <c r="GG35" s="424">
        <v>31</v>
      </c>
      <c r="GH35" s="424">
        <v>95.7</v>
      </c>
      <c r="GI35" s="102">
        <v>293</v>
      </c>
      <c r="GJ35" s="429" t="s">
        <v>646</v>
      </c>
      <c r="GK35" s="429">
        <v>13.12</v>
      </c>
      <c r="GL35" s="87">
        <v>20</v>
      </c>
      <c r="GM35" s="429" t="s">
        <v>646</v>
      </c>
      <c r="GN35" s="430">
        <v>18.12</v>
      </c>
      <c r="GO35" s="430">
        <v>30</v>
      </c>
      <c r="GP35" s="425">
        <v>7.9</v>
      </c>
      <c r="GQ35" s="425">
        <v>25</v>
      </c>
      <c r="GR35" s="425">
        <v>35</v>
      </c>
      <c r="GS35" s="431" t="s">
        <v>646</v>
      </c>
      <c r="GT35" s="425">
        <v>350</v>
      </c>
      <c r="GU35" s="394"/>
      <c r="GV35" s="100">
        <f t="shared" si="16"/>
        <v>11448</v>
      </c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</row>
    <row r="36" spans="2:230" x14ac:dyDescent="0.15">
      <c r="B36" s="89" t="s">
        <v>61</v>
      </c>
      <c r="C36" s="102">
        <v>9309426</v>
      </c>
      <c r="D36" s="73">
        <f t="shared" si="0"/>
        <v>4319943</v>
      </c>
      <c r="E36" s="102">
        <v>122783</v>
      </c>
      <c r="F36" s="102">
        <v>4197160</v>
      </c>
      <c r="G36" s="73">
        <f t="shared" si="1"/>
        <v>334424</v>
      </c>
      <c r="H36" s="102">
        <v>123669</v>
      </c>
      <c r="I36" s="102">
        <v>210755</v>
      </c>
      <c r="J36" s="102">
        <v>3454356</v>
      </c>
      <c r="K36" s="102">
        <v>1480367</v>
      </c>
      <c r="L36" s="102">
        <v>1493421</v>
      </c>
      <c r="M36" s="102">
        <v>428435</v>
      </c>
      <c r="N36" s="102">
        <v>367088</v>
      </c>
      <c r="O36" s="102">
        <v>745387</v>
      </c>
      <c r="P36" s="102">
        <v>429438</v>
      </c>
      <c r="Q36" s="102">
        <v>315949</v>
      </c>
      <c r="R36" s="102">
        <v>131382</v>
      </c>
      <c r="S36" s="74"/>
      <c r="T36" s="73">
        <f t="shared" si="2"/>
        <v>1717620</v>
      </c>
      <c r="U36" s="102">
        <v>38129</v>
      </c>
      <c r="V36" s="102">
        <v>89241</v>
      </c>
      <c r="W36" s="102">
        <v>97683</v>
      </c>
      <c r="X36" s="102">
        <v>1371152</v>
      </c>
      <c r="Y36" s="102">
        <v>73677</v>
      </c>
      <c r="Z36" s="102">
        <v>0</v>
      </c>
      <c r="AA36" s="102">
        <v>47738</v>
      </c>
      <c r="AB36" s="102">
        <v>57974</v>
      </c>
      <c r="AC36" s="102">
        <v>3349846</v>
      </c>
      <c r="AD36" s="102">
        <v>3157405</v>
      </c>
      <c r="AE36" s="102">
        <v>192440</v>
      </c>
      <c r="AF36" s="102">
        <v>11465</v>
      </c>
      <c r="AG36" s="102">
        <v>265925</v>
      </c>
      <c r="AH36" s="73">
        <f t="shared" si="3"/>
        <v>426284</v>
      </c>
      <c r="AI36" s="102">
        <v>327389</v>
      </c>
      <c r="AJ36" s="102">
        <v>98895</v>
      </c>
      <c r="AK36" s="102">
        <v>3858114</v>
      </c>
      <c r="AL36" s="73">
        <f t="shared" si="4"/>
        <v>1882361</v>
      </c>
      <c r="AM36" s="102">
        <v>1082790</v>
      </c>
      <c r="AN36" s="102">
        <v>276064</v>
      </c>
      <c r="AO36" s="74"/>
      <c r="AP36" s="102">
        <v>523507</v>
      </c>
      <c r="AQ36" s="102">
        <v>229395</v>
      </c>
      <c r="AR36" s="102">
        <v>0</v>
      </c>
      <c r="AS36" s="102">
        <v>0</v>
      </c>
      <c r="AT36" s="102">
        <v>2100263</v>
      </c>
      <c r="AU36" s="102">
        <v>1082976</v>
      </c>
      <c r="AV36" s="102">
        <v>137700</v>
      </c>
      <c r="AW36" s="102">
        <v>205423</v>
      </c>
      <c r="AX36" s="102">
        <v>1017287</v>
      </c>
      <c r="AY36" s="102">
        <v>294936</v>
      </c>
      <c r="AZ36" s="102">
        <v>309418</v>
      </c>
      <c r="BA36" s="102">
        <v>293071</v>
      </c>
      <c r="BB36" s="102">
        <v>8720</v>
      </c>
      <c r="BC36" s="102">
        <v>37027</v>
      </c>
      <c r="BD36" s="102">
        <v>0</v>
      </c>
      <c r="BE36" s="102">
        <v>0</v>
      </c>
      <c r="BF36" s="102">
        <v>7005</v>
      </c>
      <c r="BG36" s="102">
        <v>0</v>
      </c>
      <c r="BH36" s="102">
        <v>787479</v>
      </c>
      <c r="BI36" s="102">
        <v>275021</v>
      </c>
      <c r="BJ36" s="102">
        <v>289697</v>
      </c>
      <c r="BK36" s="102">
        <v>100000</v>
      </c>
      <c r="BL36" s="102">
        <v>0</v>
      </c>
      <c r="BM36" s="102">
        <v>0</v>
      </c>
      <c r="BN36" s="102">
        <v>3454749</v>
      </c>
      <c r="BO36" s="73">
        <f t="shared" si="5"/>
        <v>2325300</v>
      </c>
      <c r="BP36" s="73">
        <f t="shared" si="6"/>
        <v>1129449</v>
      </c>
      <c r="BQ36" s="102">
        <v>0</v>
      </c>
      <c r="BR36" s="102">
        <v>0</v>
      </c>
      <c r="BS36" s="102">
        <v>1129449</v>
      </c>
      <c r="BT36" s="102">
        <v>0</v>
      </c>
      <c r="BU36" s="102">
        <v>26115389</v>
      </c>
      <c r="BV36" s="71"/>
      <c r="BW36" s="102">
        <v>4730539</v>
      </c>
      <c r="BX36" s="102">
        <v>2907907</v>
      </c>
      <c r="BY36" s="102">
        <v>280439</v>
      </c>
      <c r="BZ36" s="102">
        <v>624423</v>
      </c>
      <c r="CA36" s="102">
        <v>6276531</v>
      </c>
      <c r="CB36" s="102">
        <v>1807100</v>
      </c>
      <c r="CC36" s="102">
        <v>133288</v>
      </c>
      <c r="CD36" s="102">
        <v>2711296</v>
      </c>
      <c r="CE36" s="102">
        <v>1414919</v>
      </c>
      <c r="CF36" s="102">
        <v>3442</v>
      </c>
      <c r="CG36" s="102">
        <v>206080</v>
      </c>
      <c r="CH36" s="102">
        <v>3457173</v>
      </c>
      <c r="CI36" s="102">
        <v>3043569</v>
      </c>
      <c r="CJ36" s="83">
        <f t="shared" si="17"/>
        <v>413604</v>
      </c>
      <c r="CK36" s="102">
        <v>2761281</v>
      </c>
      <c r="CL36" s="102">
        <v>1569489</v>
      </c>
      <c r="CM36" s="102">
        <v>197310</v>
      </c>
      <c r="CN36" s="102">
        <v>399760</v>
      </c>
      <c r="CO36" s="102">
        <v>91901</v>
      </c>
      <c r="CP36" s="102">
        <v>1088298</v>
      </c>
      <c r="CQ36" s="102">
        <v>466125</v>
      </c>
      <c r="CR36" s="102">
        <v>220961</v>
      </c>
      <c r="CS36" s="102">
        <v>133413</v>
      </c>
      <c r="CT36" s="73">
        <f t="shared" si="7"/>
        <v>4565</v>
      </c>
      <c r="CU36" s="102">
        <v>4565</v>
      </c>
      <c r="CV36" s="102">
        <v>0</v>
      </c>
      <c r="CW36" s="73">
        <f t="shared" si="8"/>
        <v>0</v>
      </c>
      <c r="CX36" s="102">
        <v>0</v>
      </c>
      <c r="CY36" s="102">
        <v>0</v>
      </c>
      <c r="CZ36" s="73">
        <f t="shared" si="9"/>
        <v>0</v>
      </c>
      <c r="DA36" s="102">
        <v>0</v>
      </c>
      <c r="DB36" s="102">
        <v>0</v>
      </c>
      <c r="DC36" s="102">
        <v>3894680</v>
      </c>
      <c r="DD36" s="102">
        <v>889211</v>
      </c>
      <c r="DE36" s="102">
        <v>3002469</v>
      </c>
      <c r="DF36" s="102">
        <v>3000</v>
      </c>
      <c r="DG36" s="102">
        <v>0</v>
      </c>
      <c r="DH36" s="102">
        <v>18404</v>
      </c>
      <c r="DI36" s="102">
        <v>422930</v>
      </c>
      <c r="DJ36" s="102">
        <v>394905</v>
      </c>
      <c r="DK36" s="102">
        <v>1301</v>
      </c>
      <c r="DL36" s="102">
        <v>26724</v>
      </c>
      <c r="DM36" s="102">
        <v>0</v>
      </c>
      <c r="DN36" s="102">
        <v>0</v>
      </c>
      <c r="DO36" s="102">
        <v>0</v>
      </c>
      <c r="DP36" s="102">
        <v>0</v>
      </c>
      <c r="DQ36" s="102">
        <v>0</v>
      </c>
      <c r="DR36" s="102">
        <v>0</v>
      </c>
      <c r="DS36" s="102">
        <v>0</v>
      </c>
      <c r="DT36" s="102">
        <v>2602515</v>
      </c>
      <c r="DU36" s="102">
        <v>188850</v>
      </c>
      <c r="DV36" s="73">
        <f t="shared" si="10"/>
        <v>0</v>
      </c>
      <c r="DW36" s="102">
        <v>0</v>
      </c>
      <c r="DX36" s="102">
        <v>766690</v>
      </c>
      <c r="DY36" s="102">
        <v>0</v>
      </c>
      <c r="DZ36" s="102">
        <v>914269</v>
      </c>
      <c r="EA36" s="74">
        <v>0</v>
      </c>
      <c r="EB36" s="102">
        <v>732226</v>
      </c>
      <c r="EC36" s="102">
        <v>0</v>
      </c>
      <c r="ED36" s="102">
        <v>25344252</v>
      </c>
      <c r="EE36" s="71"/>
      <c r="EF36" s="102">
        <v>771137</v>
      </c>
      <c r="EG36" s="102">
        <v>413491</v>
      </c>
      <c r="EH36" s="102">
        <v>357646</v>
      </c>
      <c r="EI36" s="102">
        <v>82625</v>
      </c>
      <c r="EJ36" s="102">
        <v>477530</v>
      </c>
      <c r="EK36" s="71"/>
      <c r="EL36" s="102">
        <v>76435</v>
      </c>
      <c r="EM36" s="102">
        <v>78015</v>
      </c>
      <c r="EN36" s="102">
        <v>338</v>
      </c>
      <c r="EO36" s="102">
        <v>300183</v>
      </c>
      <c r="EP36" s="73">
        <f t="shared" si="11"/>
        <v>689028</v>
      </c>
      <c r="EQ36" s="102">
        <v>14577713</v>
      </c>
      <c r="ER36" s="71">
        <v>-2107533</v>
      </c>
      <c r="ES36" s="102">
        <v>4359010</v>
      </c>
      <c r="ET36" s="102">
        <v>2706445</v>
      </c>
      <c r="EU36" s="102">
        <v>1959126</v>
      </c>
      <c r="EV36" s="102">
        <v>3357173</v>
      </c>
      <c r="EW36" s="73">
        <f t="shared" si="12"/>
        <v>377149</v>
      </c>
      <c r="EX36" s="102">
        <v>369697</v>
      </c>
      <c r="EY36" s="102">
        <v>11732</v>
      </c>
      <c r="EZ36" s="102">
        <v>354965</v>
      </c>
      <c r="FA36" s="102">
        <v>7452</v>
      </c>
      <c r="FB36" s="102">
        <v>0</v>
      </c>
      <c r="FC36" s="102">
        <v>2261055</v>
      </c>
      <c r="FD36" s="102">
        <v>970783</v>
      </c>
      <c r="FE36" s="102">
        <v>464455</v>
      </c>
      <c r="FF36" s="102">
        <v>2127221</v>
      </c>
      <c r="FG36" s="73">
        <f t="shared" si="13"/>
        <v>502592</v>
      </c>
      <c r="FH36" s="102">
        <v>15914109</v>
      </c>
      <c r="FI36" s="379">
        <f t="shared" si="14"/>
        <v>2.5</v>
      </c>
      <c r="FJ36" s="102">
        <v>13121650</v>
      </c>
      <c r="FK36" s="102">
        <v>1129449</v>
      </c>
      <c r="FL36" s="102">
        <v>7850290</v>
      </c>
      <c r="FM36" s="102">
        <v>11005683</v>
      </c>
      <c r="FN36" s="428">
        <v>0.70499999999999996</v>
      </c>
      <c r="FO36" s="424">
        <v>94.3</v>
      </c>
      <c r="FP36" s="425">
        <v>28.8</v>
      </c>
      <c r="FQ36" s="424">
        <v>12.8</v>
      </c>
      <c r="FR36" s="424">
        <v>22.6</v>
      </c>
      <c r="FS36" s="425">
        <v>13</v>
      </c>
      <c r="FT36" s="424">
        <v>4.9000000000000004</v>
      </c>
      <c r="FU36" s="425">
        <v>11.6</v>
      </c>
      <c r="FV36" s="384">
        <v>13</v>
      </c>
      <c r="FW36" s="102">
        <v>30984177</v>
      </c>
      <c r="FX36" s="384">
        <f t="shared" si="15"/>
        <v>217.4</v>
      </c>
      <c r="FY36" s="102">
        <v>5416766</v>
      </c>
      <c r="FZ36" s="102">
        <v>3001513</v>
      </c>
      <c r="GA36" s="102">
        <v>649386</v>
      </c>
      <c r="GB36" s="102">
        <v>1765867</v>
      </c>
      <c r="GC36" s="102">
        <v>0</v>
      </c>
      <c r="GD36" s="427">
        <v>12035</v>
      </c>
      <c r="GE36" s="386">
        <f>IF(GD36=0,"-",ROUND(GD36/(GV36)*100,1))</f>
        <v>84.5</v>
      </c>
      <c r="GF36" s="424">
        <v>99.6</v>
      </c>
      <c r="GG36" s="424">
        <v>50.6</v>
      </c>
      <c r="GH36" s="424">
        <v>98.3</v>
      </c>
      <c r="GI36" s="102">
        <v>478</v>
      </c>
      <c r="GJ36" s="429" t="s">
        <v>646</v>
      </c>
      <c r="GK36" s="429">
        <v>12.84</v>
      </c>
      <c r="GL36" s="87">
        <v>20</v>
      </c>
      <c r="GM36" s="429" t="s">
        <v>646</v>
      </c>
      <c r="GN36" s="430">
        <v>17.84</v>
      </c>
      <c r="GO36" s="430">
        <v>30</v>
      </c>
      <c r="GP36" s="425">
        <v>13</v>
      </c>
      <c r="GQ36" s="425">
        <v>25</v>
      </c>
      <c r="GR36" s="425">
        <v>35</v>
      </c>
      <c r="GS36" s="431">
        <v>169.9</v>
      </c>
      <c r="GT36" s="425">
        <v>350</v>
      </c>
      <c r="GU36" s="394"/>
      <c r="GV36" s="100">
        <f t="shared" si="16"/>
        <v>14251</v>
      </c>
      <c r="GW36" s="394"/>
      <c r="GX36" s="394"/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</row>
    <row r="37" spans="2:230" x14ac:dyDescent="0.15">
      <c r="B37" s="89" t="s">
        <v>63</v>
      </c>
      <c r="C37" s="102">
        <v>7354860</v>
      </c>
      <c r="D37" s="73">
        <f t="shared" si="0"/>
        <v>3504087</v>
      </c>
      <c r="E37" s="102">
        <v>91289</v>
      </c>
      <c r="F37" s="102">
        <v>3412798</v>
      </c>
      <c r="G37" s="73">
        <f t="shared" si="1"/>
        <v>369059</v>
      </c>
      <c r="H37" s="102">
        <v>98979</v>
      </c>
      <c r="I37" s="102">
        <v>270080</v>
      </c>
      <c r="J37" s="102">
        <v>2717307</v>
      </c>
      <c r="K37" s="102">
        <v>1141770</v>
      </c>
      <c r="L37" s="102">
        <v>1260977</v>
      </c>
      <c r="M37" s="102">
        <v>282038</v>
      </c>
      <c r="N37" s="102">
        <v>329801</v>
      </c>
      <c r="O37" s="102">
        <v>365047</v>
      </c>
      <c r="P37" s="102">
        <v>203062</v>
      </c>
      <c r="Q37" s="102">
        <v>161985</v>
      </c>
      <c r="R37" s="102">
        <v>106725</v>
      </c>
      <c r="S37" s="74"/>
      <c r="T37" s="73">
        <f t="shared" si="2"/>
        <v>1311127</v>
      </c>
      <c r="U37" s="102">
        <v>30304</v>
      </c>
      <c r="V37" s="102">
        <v>71105</v>
      </c>
      <c r="W37" s="102">
        <v>77989</v>
      </c>
      <c r="X37" s="102">
        <v>1092910</v>
      </c>
      <c r="Y37" s="102">
        <v>0</v>
      </c>
      <c r="Z37" s="102">
        <v>0</v>
      </c>
      <c r="AA37" s="102">
        <v>38819</v>
      </c>
      <c r="AB37" s="102">
        <v>44025</v>
      </c>
      <c r="AC37" s="102">
        <v>2847311</v>
      </c>
      <c r="AD37" s="102">
        <v>2585073</v>
      </c>
      <c r="AE37" s="102">
        <v>262237</v>
      </c>
      <c r="AF37" s="102">
        <v>10911</v>
      </c>
      <c r="AG37" s="102">
        <v>235031</v>
      </c>
      <c r="AH37" s="73">
        <f t="shared" si="3"/>
        <v>257017</v>
      </c>
      <c r="AI37" s="102">
        <v>209985</v>
      </c>
      <c r="AJ37" s="102">
        <v>47032</v>
      </c>
      <c r="AK37" s="102">
        <v>2982937</v>
      </c>
      <c r="AL37" s="73">
        <f t="shared" si="4"/>
        <v>1551430</v>
      </c>
      <c r="AM37" s="102">
        <v>991220</v>
      </c>
      <c r="AN37" s="102">
        <v>250439</v>
      </c>
      <c r="AO37" s="74"/>
      <c r="AP37" s="102">
        <v>309771</v>
      </c>
      <c r="AQ37" s="102">
        <v>144971</v>
      </c>
      <c r="AR37" s="102">
        <v>0</v>
      </c>
      <c r="AS37" s="102">
        <v>0</v>
      </c>
      <c r="AT37" s="102">
        <v>1551138</v>
      </c>
      <c r="AU37" s="102">
        <v>858176</v>
      </c>
      <c r="AV37" s="102">
        <v>126862</v>
      </c>
      <c r="AW37" s="102">
        <v>251542</v>
      </c>
      <c r="AX37" s="102">
        <v>692962</v>
      </c>
      <c r="AY37" s="102">
        <v>19349</v>
      </c>
      <c r="AZ37" s="102">
        <v>21556</v>
      </c>
      <c r="BA37" s="102">
        <v>0</v>
      </c>
      <c r="BB37" s="102">
        <v>21096</v>
      </c>
      <c r="BC37" s="102">
        <v>274275</v>
      </c>
      <c r="BD37" s="102">
        <v>0</v>
      </c>
      <c r="BE37" s="102">
        <v>0</v>
      </c>
      <c r="BF37" s="102">
        <v>270270</v>
      </c>
      <c r="BG37" s="102">
        <v>0</v>
      </c>
      <c r="BH37" s="102">
        <v>727585</v>
      </c>
      <c r="BI37" s="102">
        <v>660900</v>
      </c>
      <c r="BJ37" s="102">
        <v>176560</v>
      </c>
      <c r="BK37" s="102">
        <v>340</v>
      </c>
      <c r="BL37" s="102">
        <v>0</v>
      </c>
      <c r="BM37" s="102">
        <v>0</v>
      </c>
      <c r="BN37" s="102">
        <v>1541200</v>
      </c>
      <c r="BO37" s="73">
        <f t="shared" si="5"/>
        <v>615200</v>
      </c>
      <c r="BP37" s="73">
        <f t="shared" si="6"/>
        <v>926000</v>
      </c>
      <c r="BQ37" s="102">
        <v>0</v>
      </c>
      <c r="BR37" s="102">
        <v>0</v>
      </c>
      <c r="BS37" s="102">
        <v>926000</v>
      </c>
      <c r="BT37" s="102">
        <v>0</v>
      </c>
      <c r="BU37" s="102">
        <v>19463354</v>
      </c>
      <c r="BV37" s="71"/>
      <c r="BW37" s="102">
        <v>3834141</v>
      </c>
      <c r="BX37" s="102">
        <v>2452895</v>
      </c>
      <c r="BY37" s="102">
        <v>320223</v>
      </c>
      <c r="BZ37" s="102">
        <v>312024</v>
      </c>
      <c r="CA37" s="102">
        <v>4566377</v>
      </c>
      <c r="CB37" s="102">
        <v>941415</v>
      </c>
      <c r="CC37" s="102">
        <v>88595</v>
      </c>
      <c r="CD37" s="102">
        <v>2226362</v>
      </c>
      <c r="CE37" s="102">
        <v>1242835</v>
      </c>
      <c r="CF37" s="102">
        <v>0</v>
      </c>
      <c r="CG37" s="102">
        <v>67170</v>
      </c>
      <c r="CH37" s="102">
        <v>1716843</v>
      </c>
      <c r="CI37" s="102">
        <v>1557351</v>
      </c>
      <c r="CJ37" s="83">
        <f t="shared" si="17"/>
        <v>159492</v>
      </c>
      <c r="CK37" s="102">
        <v>3208650</v>
      </c>
      <c r="CL37" s="102">
        <v>2086236</v>
      </c>
      <c r="CM37" s="102">
        <v>197753</v>
      </c>
      <c r="CN37" s="102">
        <v>339959</v>
      </c>
      <c r="CO37" s="102">
        <v>26136</v>
      </c>
      <c r="CP37" s="102">
        <v>1341716</v>
      </c>
      <c r="CQ37" s="102">
        <v>367011</v>
      </c>
      <c r="CR37" s="102">
        <v>384557</v>
      </c>
      <c r="CS37" s="102">
        <v>287671</v>
      </c>
      <c r="CT37" s="73">
        <f t="shared" si="7"/>
        <v>38968</v>
      </c>
      <c r="CU37" s="102">
        <v>38968</v>
      </c>
      <c r="CV37" s="102">
        <v>0</v>
      </c>
      <c r="CW37" s="73">
        <f t="shared" si="8"/>
        <v>0</v>
      </c>
      <c r="CX37" s="102">
        <v>0</v>
      </c>
      <c r="CY37" s="102">
        <v>0</v>
      </c>
      <c r="CZ37" s="73">
        <f t="shared" si="9"/>
        <v>0</v>
      </c>
      <c r="DA37" s="102">
        <v>0</v>
      </c>
      <c r="DB37" s="102">
        <v>0</v>
      </c>
      <c r="DC37" s="102">
        <v>1700982</v>
      </c>
      <c r="DD37" s="102">
        <v>828638</v>
      </c>
      <c r="DE37" s="102">
        <v>853085</v>
      </c>
      <c r="DF37" s="102">
        <v>19259</v>
      </c>
      <c r="DG37" s="102">
        <v>0</v>
      </c>
      <c r="DH37" s="102">
        <v>0</v>
      </c>
      <c r="DI37" s="102">
        <v>7150</v>
      </c>
      <c r="DJ37" s="102">
        <v>5950</v>
      </c>
      <c r="DK37" s="102">
        <v>9</v>
      </c>
      <c r="DL37" s="102">
        <v>1191</v>
      </c>
      <c r="DM37" s="102">
        <v>1000</v>
      </c>
      <c r="DN37" s="102">
        <v>0</v>
      </c>
      <c r="DO37" s="102">
        <v>0</v>
      </c>
      <c r="DP37" s="102">
        <v>0</v>
      </c>
      <c r="DQ37" s="102">
        <v>144</v>
      </c>
      <c r="DR37" s="102">
        <v>0</v>
      </c>
      <c r="DS37" s="102">
        <v>0</v>
      </c>
      <c r="DT37" s="102">
        <v>2269646</v>
      </c>
      <c r="DU37" s="102">
        <v>477996</v>
      </c>
      <c r="DV37" s="73">
        <f t="shared" si="10"/>
        <v>0</v>
      </c>
      <c r="DW37" s="102">
        <v>0</v>
      </c>
      <c r="DX37" s="102">
        <v>606272</v>
      </c>
      <c r="DY37" s="102">
        <v>0</v>
      </c>
      <c r="DZ37" s="102">
        <v>553423</v>
      </c>
      <c r="EA37" s="74">
        <v>0</v>
      </c>
      <c r="EB37" s="102">
        <v>631955</v>
      </c>
      <c r="EC37" s="102">
        <v>0</v>
      </c>
      <c r="ED37" s="102">
        <v>18672785</v>
      </c>
      <c r="EE37" s="71"/>
      <c r="EF37" s="102">
        <v>790569</v>
      </c>
      <c r="EG37" s="102">
        <v>2024</v>
      </c>
      <c r="EH37" s="102">
        <v>788545</v>
      </c>
      <c r="EI37" s="102">
        <v>127645</v>
      </c>
      <c r="EJ37" s="102">
        <v>133595</v>
      </c>
      <c r="EK37" s="71"/>
      <c r="EL37" s="102">
        <v>57792</v>
      </c>
      <c r="EM37" s="102">
        <v>57854</v>
      </c>
      <c r="EN37" s="102">
        <v>274005</v>
      </c>
      <c r="EO37" s="102">
        <v>13894</v>
      </c>
      <c r="EP37" s="73">
        <f t="shared" si="11"/>
        <v>914252</v>
      </c>
      <c r="EQ37" s="102">
        <v>11674959</v>
      </c>
      <c r="ER37" s="71">
        <v>-2117240</v>
      </c>
      <c r="ES37" s="102">
        <v>3554271</v>
      </c>
      <c r="ET37" s="102">
        <v>2227612</v>
      </c>
      <c r="EU37" s="102">
        <v>1267628</v>
      </c>
      <c r="EV37" s="102">
        <v>1716843</v>
      </c>
      <c r="EW37" s="73">
        <f t="shared" si="12"/>
        <v>583481</v>
      </c>
      <c r="EX37" s="102">
        <v>583481</v>
      </c>
      <c r="EY37" s="102">
        <v>83036</v>
      </c>
      <c r="EZ37" s="102">
        <v>495407</v>
      </c>
      <c r="FA37" s="102">
        <v>0</v>
      </c>
      <c r="FB37" s="102">
        <v>0</v>
      </c>
      <c r="FC37" s="102">
        <v>2819440</v>
      </c>
      <c r="FD37" s="102">
        <v>1149339</v>
      </c>
      <c r="FE37" s="102">
        <v>367011</v>
      </c>
      <c r="FF37" s="102">
        <v>1883312</v>
      </c>
      <c r="FG37" s="73">
        <f t="shared" si="13"/>
        <v>27316</v>
      </c>
      <c r="FH37" s="102">
        <v>13001630</v>
      </c>
      <c r="FI37" s="379">
        <f t="shared" si="14"/>
        <v>6.8</v>
      </c>
      <c r="FJ37" s="102">
        <v>10701969</v>
      </c>
      <c r="FK37" s="102">
        <v>926175</v>
      </c>
      <c r="FL37" s="102">
        <v>6307226</v>
      </c>
      <c r="FM37" s="102">
        <v>8894725</v>
      </c>
      <c r="FN37" s="428">
        <v>0.70099999999999996</v>
      </c>
      <c r="FO37" s="424">
        <v>93.9</v>
      </c>
      <c r="FP37" s="425">
        <v>29.2</v>
      </c>
      <c r="FQ37" s="424">
        <v>10.5</v>
      </c>
      <c r="FR37" s="424">
        <v>14.3</v>
      </c>
      <c r="FS37" s="425">
        <v>20.399999999999999</v>
      </c>
      <c r="FT37" s="424">
        <v>6.9</v>
      </c>
      <c r="FU37" s="425">
        <v>12.4</v>
      </c>
      <c r="FV37" s="384">
        <v>5.6</v>
      </c>
      <c r="FW37" s="102">
        <v>16717958</v>
      </c>
      <c r="FX37" s="384">
        <f t="shared" si="15"/>
        <v>143.80000000000001</v>
      </c>
      <c r="FY37" s="102">
        <v>3641023</v>
      </c>
      <c r="FZ37" s="102">
        <v>3148593</v>
      </c>
      <c r="GA37" s="102">
        <v>36856</v>
      </c>
      <c r="GB37" s="102">
        <v>455574</v>
      </c>
      <c r="GC37" s="102">
        <v>0</v>
      </c>
      <c r="GD37" s="427"/>
      <c r="GE37" s="386"/>
      <c r="GF37" s="424">
        <v>98.8</v>
      </c>
      <c r="GG37" s="424">
        <v>26.7</v>
      </c>
      <c r="GH37" s="424">
        <v>94.6</v>
      </c>
      <c r="GI37" s="102">
        <v>376</v>
      </c>
      <c r="GJ37" s="429" t="s">
        <v>646</v>
      </c>
      <c r="GK37" s="429">
        <v>13.1</v>
      </c>
      <c r="GL37" s="87">
        <v>20</v>
      </c>
      <c r="GM37" s="429" t="s">
        <v>646</v>
      </c>
      <c r="GN37" s="430">
        <v>18.100000000000001</v>
      </c>
      <c r="GO37" s="430">
        <v>30</v>
      </c>
      <c r="GP37" s="425">
        <v>5.6</v>
      </c>
      <c r="GQ37" s="425">
        <v>25</v>
      </c>
      <c r="GR37" s="425">
        <v>35</v>
      </c>
      <c r="GS37" s="431" t="s">
        <v>646</v>
      </c>
      <c r="GT37" s="425">
        <v>350</v>
      </c>
      <c r="GU37" s="394"/>
      <c r="GV37" s="100">
        <f t="shared" si="16"/>
        <v>11628</v>
      </c>
      <c r="GW37" s="394"/>
      <c r="GX37" s="394"/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</row>
    <row r="38" spans="2:230" x14ac:dyDescent="0.15">
      <c r="B38" s="89" t="s">
        <v>65</v>
      </c>
      <c r="C38" s="102">
        <v>5654440</v>
      </c>
      <c r="D38" s="73">
        <f t="shared" si="0"/>
        <v>2468208</v>
      </c>
      <c r="E38" s="102">
        <v>87534</v>
      </c>
      <c r="F38" s="102">
        <v>2380674</v>
      </c>
      <c r="G38" s="73">
        <f t="shared" si="1"/>
        <v>167322</v>
      </c>
      <c r="H38" s="102">
        <v>68476</v>
      </c>
      <c r="I38" s="102">
        <v>98846</v>
      </c>
      <c r="J38" s="102">
        <v>1978514</v>
      </c>
      <c r="K38" s="102">
        <v>672553</v>
      </c>
      <c r="L38" s="102">
        <v>1000513</v>
      </c>
      <c r="M38" s="102">
        <v>249940</v>
      </c>
      <c r="N38" s="102">
        <v>282299</v>
      </c>
      <c r="O38" s="102">
        <v>399480</v>
      </c>
      <c r="P38" s="102">
        <v>188959</v>
      </c>
      <c r="Q38" s="102">
        <v>210521</v>
      </c>
      <c r="R38" s="102">
        <v>109340</v>
      </c>
      <c r="S38" s="74"/>
      <c r="T38" s="73">
        <f t="shared" si="2"/>
        <v>1153425</v>
      </c>
      <c r="U38" s="102">
        <v>21902</v>
      </c>
      <c r="V38" s="102">
        <v>51302</v>
      </c>
      <c r="W38" s="102">
        <v>56192</v>
      </c>
      <c r="X38" s="102">
        <v>982516</v>
      </c>
      <c r="Y38" s="102">
        <v>1758</v>
      </c>
      <c r="Z38" s="102">
        <v>0</v>
      </c>
      <c r="AA38" s="102">
        <v>39755</v>
      </c>
      <c r="AB38" s="102">
        <v>34751</v>
      </c>
      <c r="AC38" s="102">
        <v>4286614</v>
      </c>
      <c r="AD38" s="102">
        <v>4011723</v>
      </c>
      <c r="AE38" s="102">
        <v>274890</v>
      </c>
      <c r="AF38" s="102">
        <v>8750</v>
      </c>
      <c r="AG38" s="102">
        <v>38928</v>
      </c>
      <c r="AH38" s="73">
        <f t="shared" si="3"/>
        <v>285167</v>
      </c>
      <c r="AI38" s="102">
        <v>195829</v>
      </c>
      <c r="AJ38" s="102">
        <v>89338</v>
      </c>
      <c r="AK38" s="102">
        <v>3178653</v>
      </c>
      <c r="AL38" s="73">
        <f t="shared" si="4"/>
        <v>1503168</v>
      </c>
      <c r="AM38" s="102">
        <v>825919</v>
      </c>
      <c r="AN38" s="102">
        <v>272938</v>
      </c>
      <c r="AO38" s="74"/>
      <c r="AP38" s="102">
        <v>404311</v>
      </c>
      <c r="AQ38" s="102">
        <v>276641</v>
      </c>
      <c r="AR38" s="102">
        <v>0</v>
      </c>
      <c r="AS38" s="102">
        <v>0</v>
      </c>
      <c r="AT38" s="102">
        <v>1306164</v>
      </c>
      <c r="AU38" s="102">
        <v>758483</v>
      </c>
      <c r="AV38" s="102">
        <v>36834</v>
      </c>
      <c r="AW38" s="102">
        <v>0</v>
      </c>
      <c r="AX38" s="102">
        <v>547681</v>
      </c>
      <c r="AY38" s="102">
        <v>13778</v>
      </c>
      <c r="AZ38" s="102">
        <v>90650</v>
      </c>
      <c r="BA38" s="102">
        <v>84590</v>
      </c>
      <c r="BB38" s="102">
        <v>12306</v>
      </c>
      <c r="BC38" s="102">
        <v>471008</v>
      </c>
      <c r="BD38" s="102">
        <v>150780</v>
      </c>
      <c r="BE38" s="102">
        <v>124728</v>
      </c>
      <c r="BF38" s="102">
        <v>194816</v>
      </c>
      <c r="BG38" s="102">
        <v>0</v>
      </c>
      <c r="BH38" s="102">
        <v>209590</v>
      </c>
      <c r="BI38" s="102">
        <v>199594</v>
      </c>
      <c r="BJ38" s="102">
        <v>121308</v>
      </c>
      <c r="BK38" s="102">
        <v>0</v>
      </c>
      <c r="BL38" s="102">
        <v>0</v>
      </c>
      <c r="BM38" s="102">
        <v>0</v>
      </c>
      <c r="BN38" s="102">
        <v>1882131</v>
      </c>
      <c r="BO38" s="73">
        <f t="shared" si="5"/>
        <v>1093300</v>
      </c>
      <c r="BP38" s="73">
        <f t="shared" si="6"/>
        <v>788831</v>
      </c>
      <c r="BQ38" s="102">
        <v>0</v>
      </c>
      <c r="BR38" s="102">
        <v>0</v>
      </c>
      <c r="BS38" s="102">
        <v>788831</v>
      </c>
      <c r="BT38" s="102">
        <v>0</v>
      </c>
      <c r="BU38" s="102">
        <v>18843225</v>
      </c>
      <c r="BV38" s="71"/>
      <c r="BW38" s="102">
        <v>3181167</v>
      </c>
      <c r="BX38" s="102">
        <v>2237586</v>
      </c>
      <c r="BY38" s="102">
        <v>221052</v>
      </c>
      <c r="BZ38" s="102">
        <v>33025</v>
      </c>
      <c r="CA38" s="102">
        <v>4138555</v>
      </c>
      <c r="CB38" s="102">
        <v>1057434</v>
      </c>
      <c r="CC38" s="102">
        <v>97941</v>
      </c>
      <c r="CD38" s="102">
        <v>1730814</v>
      </c>
      <c r="CE38" s="102">
        <v>1114290</v>
      </c>
      <c r="CF38" s="102">
        <v>3809</v>
      </c>
      <c r="CG38" s="102">
        <v>134267</v>
      </c>
      <c r="CH38" s="102">
        <v>1720393</v>
      </c>
      <c r="CI38" s="102">
        <v>1480135</v>
      </c>
      <c r="CJ38" s="83">
        <f t="shared" si="17"/>
        <v>240258</v>
      </c>
      <c r="CK38" s="102">
        <v>2552256</v>
      </c>
      <c r="CL38" s="102">
        <v>1481330</v>
      </c>
      <c r="CM38" s="102">
        <v>392029</v>
      </c>
      <c r="CN38" s="102">
        <v>391648</v>
      </c>
      <c r="CO38" s="102">
        <v>101379</v>
      </c>
      <c r="CP38" s="102">
        <v>2044008</v>
      </c>
      <c r="CQ38" s="102">
        <v>954822</v>
      </c>
      <c r="CR38" s="102">
        <v>215061</v>
      </c>
      <c r="CS38" s="102">
        <v>215061</v>
      </c>
      <c r="CT38" s="73">
        <f t="shared" si="7"/>
        <v>479752</v>
      </c>
      <c r="CU38" s="102">
        <v>183044</v>
      </c>
      <c r="CV38" s="102">
        <v>296708</v>
      </c>
      <c r="CW38" s="73">
        <f t="shared" si="8"/>
        <v>458327</v>
      </c>
      <c r="CX38" s="102">
        <v>180529</v>
      </c>
      <c r="CY38" s="102">
        <v>277798</v>
      </c>
      <c r="CZ38" s="73">
        <f t="shared" si="9"/>
        <v>0</v>
      </c>
      <c r="DA38" s="102">
        <v>0</v>
      </c>
      <c r="DB38" s="102">
        <v>0</v>
      </c>
      <c r="DC38" s="102">
        <v>1903026</v>
      </c>
      <c r="DD38" s="102">
        <v>957133</v>
      </c>
      <c r="DE38" s="102">
        <v>935162</v>
      </c>
      <c r="DF38" s="102">
        <v>10731</v>
      </c>
      <c r="DG38" s="102">
        <v>0</v>
      </c>
      <c r="DH38" s="102">
        <v>0</v>
      </c>
      <c r="DI38" s="102">
        <v>385209</v>
      </c>
      <c r="DJ38" s="102">
        <v>63798</v>
      </c>
      <c r="DK38" s="102">
        <v>30221</v>
      </c>
      <c r="DL38" s="102">
        <v>291190</v>
      </c>
      <c r="DM38" s="102">
        <v>0</v>
      </c>
      <c r="DN38" s="102">
        <v>0</v>
      </c>
      <c r="DO38" s="102">
        <v>0</v>
      </c>
      <c r="DP38" s="102">
        <v>0</v>
      </c>
      <c r="DQ38" s="102">
        <v>205</v>
      </c>
      <c r="DR38" s="102">
        <v>0</v>
      </c>
      <c r="DS38" s="102">
        <v>0</v>
      </c>
      <c r="DT38" s="102">
        <v>2614429</v>
      </c>
      <c r="DU38" s="102">
        <v>490475</v>
      </c>
      <c r="DV38" s="73">
        <f t="shared" si="10"/>
        <v>0</v>
      </c>
      <c r="DW38" s="102">
        <v>0</v>
      </c>
      <c r="DX38" s="102">
        <v>767609</v>
      </c>
      <c r="DY38" s="102">
        <v>0</v>
      </c>
      <c r="DZ38" s="102">
        <v>687292</v>
      </c>
      <c r="EA38" s="74">
        <v>0</v>
      </c>
      <c r="EB38" s="102">
        <v>669051</v>
      </c>
      <c r="EC38" s="102">
        <v>0</v>
      </c>
      <c r="ED38" s="102">
        <v>18640627</v>
      </c>
      <c r="EE38" s="71"/>
      <c r="EF38" s="102">
        <v>202598</v>
      </c>
      <c r="EG38" s="102">
        <v>2991</v>
      </c>
      <c r="EH38" s="102">
        <v>199607</v>
      </c>
      <c r="EI38" s="102">
        <v>13</v>
      </c>
      <c r="EJ38" s="102">
        <v>-86969</v>
      </c>
      <c r="EK38" s="71"/>
      <c r="EL38" s="102">
        <v>54276</v>
      </c>
      <c r="EM38" s="102">
        <v>56475</v>
      </c>
      <c r="EN38" s="102">
        <v>276192</v>
      </c>
      <c r="EO38" s="102">
        <v>25644</v>
      </c>
      <c r="EP38" s="73">
        <f t="shared" si="11"/>
        <v>547914</v>
      </c>
      <c r="EQ38" s="102">
        <v>11247320</v>
      </c>
      <c r="ER38" s="71">
        <v>-1629831</v>
      </c>
      <c r="ES38" s="102">
        <v>2821135</v>
      </c>
      <c r="ET38" s="102">
        <v>2237586</v>
      </c>
      <c r="EU38" s="102">
        <v>1334767</v>
      </c>
      <c r="EV38" s="102">
        <v>1705499</v>
      </c>
      <c r="EW38" s="73">
        <f t="shared" si="12"/>
        <v>270939</v>
      </c>
      <c r="EX38" s="102">
        <v>270939</v>
      </c>
      <c r="EY38" s="102">
        <v>30346</v>
      </c>
      <c r="EZ38" s="102">
        <v>236893</v>
      </c>
      <c r="FA38" s="102">
        <v>0</v>
      </c>
      <c r="FB38" s="102">
        <v>0</v>
      </c>
      <c r="FC38" s="102">
        <v>2099894</v>
      </c>
      <c r="FD38" s="102">
        <v>1859334</v>
      </c>
      <c r="FE38" s="102">
        <v>954822</v>
      </c>
      <c r="FF38" s="102">
        <v>2179856</v>
      </c>
      <c r="FG38" s="73">
        <f t="shared" si="13"/>
        <v>403129</v>
      </c>
      <c r="FH38" s="102">
        <v>12674553</v>
      </c>
      <c r="FI38" s="379">
        <f t="shared" si="14"/>
        <v>1.8</v>
      </c>
      <c r="FJ38" s="102">
        <v>10099202</v>
      </c>
      <c r="FK38" s="102">
        <v>788831</v>
      </c>
      <c r="FL38" s="102">
        <v>4826978</v>
      </c>
      <c r="FM38" s="102">
        <v>8838701</v>
      </c>
      <c r="FN38" s="428">
        <v>0.53700000000000003</v>
      </c>
      <c r="FO38" s="424">
        <v>97.4</v>
      </c>
      <c r="FP38" s="425">
        <v>24.4</v>
      </c>
      <c r="FQ38" s="424">
        <v>11</v>
      </c>
      <c r="FR38" s="424">
        <v>14.9</v>
      </c>
      <c r="FS38" s="425">
        <v>16</v>
      </c>
      <c r="FT38" s="424">
        <v>11.9</v>
      </c>
      <c r="FU38" s="425">
        <v>18.399999999999999</v>
      </c>
      <c r="FV38" s="384">
        <v>9.9</v>
      </c>
      <c r="FW38" s="102">
        <v>16903904</v>
      </c>
      <c r="FX38" s="384">
        <f t="shared" si="15"/>
        <v>155.30000000000001</v>
      </c>
      <c r="FY38" s="102">
        <v>3115888</v>
      </c>
      <c r="FZ38" s="102">
        <v>1791644</v>
      </c>
      <c r="GA38" s="102">
        <v>336540</v>
      </c>
      <c r="GB38" s="102">
        <v>987704</v>
      </c>
      <c r="GC38" s="102">
        <v>150000</v>
      </c>
      <c r="GD38" s="427"/>
      <c r="GE38" s="386"/>
      <c r="GF38" s="424">
        <v>98.3</v>
      </c>
      <c r="GG38" s="424">
        <v>41.9</v>
      </c>
      <c r="GH38" s="424">
        <v>90.5</v>
      </c>
      <c r="GI38" s="102">
        <v>335</v>
      </c>
      <c r="GJ38" s="429" t="s">
        <v>646</v>
      </c>
      <c r="GK38" s="429">
        <v>13.2</v>
      </c>
      <c r="GL38" s="87">
        <v>20</v>
      </c>
      <c r="GM38" s="429" t="s">
        <v>646</v>
      </c>
      <c r="GN38" s="430">
        <v>18.2</v>
      </c>
      <c r="GO38" s="430">
        <v>30</v>
      </c>
      <c r="GP38" s="425">
        <v>9.9</v>
      </c>
      <c r="GQ38" s="425">
        <v>25</v>
      </c>
      <c r="GR38" s="425">
        <v>35</v>
      </c>
      <c r="GS38" s="431">
        <v>59.2</v>
      </c>
      <c r="GT38" s="425">
        <v>350</v>
      </c>
      <c r="GU38" s="394"/>
      <c r="GV38" s="100">
        <f t="shared" si="16"/>
        <v>10888</v>
      </c>
      <c r="GW38" s="394"/>
      <c r="GX38" s="394"/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</row>
    <row r="39" spans="2:230" x14ac:dyDescent="0.15">
      <c r="B39" s="21" t="s">
        <v>67</v>
      </c>
      <c r="C39" s="102">
        <v>743683938</v>
      </c>
      <c r="D39" s="73">
        <f t="shared" si="0"/>
        <v>280065202</v>
      </c>
      <c r="E39" s="102">
        <v>7926509</v>
      </c>
      <c r="F39" s="102">
        <v>272138693</v>
      </c>
      <c r="G39" s="73">
        <f t="shared" si="1"/>
        <v>54168890</v>
      </c>
      <c r="H39" s="102">
        <v>12897772</v>
      </c>
      <c r="I39" s="102">
        <v>41271118</v>
      </c>
      <c r="J39" s="102">
        <v>297845060</v>
      </c>
      <c r="K39" s="102">
        <v>126901679</v>
      </c>
      <c r="L39" s="102">
        <v>127074773</v>
      </c>
      <c r="M39" s="102">
        <v>38612024</v>
      </c>
      <c r="N39" s="102">
        <v>35972006</v>
      </c>
      <c r="O39" s="102">
        <v>62032503</v>
      </c>
      <c r="P39" s="102">
        <v>34677293</v>
      </c>
      <c r="Q39" s="102">
        <v>27355210</v>
      </c>
      <c r="R39" s="102">
        <v>10758228</v>
      </c>
      <c r="S39" s="74"/>
      <c r="T39" s="73">
        <f t="shared" si="2"/>
        <v>116701380</v>
      </c>
      <c r="U39" s="102">
        <v>2416883</v>
      </c>
      <c r="V39" s="102">
        <v>5675860</v>
      </c>
      <c r="W39" s="102">
        <v>6229439</v>
      </c>
      <c r="X39" s="102">
        <v>98646529</v>
      </c>
      <c r="Y39" s="102">
        <v>679747</v>
      </c>
      <c r="Z39" s="102">
        <v>0</v>
      </c>
      <c r="AA39" s="102">
        <v>3052922</v>
      </c>
      <c r="AB39" s="102">
        <v>3470252</v>
      </c>
      <c r="AC39" s="102">
        <v>186253261</v>
      </c>
      <c r="AD39" s="102">
        <v>175074195</v>
      </c>
      <c r="AE39" s="102">
        <v>11178845</v>
      </c>
      <c r="AF39" s="102">
        <v>793669</v>
      </c>
      <c r="AG39" s="102">
        <v>19905374</v>
      </c>
      <c r="AH39" s="73">
        <f t="shared" si="3"/>
        <v>33248046</v>
      </c>
      <c r="AI39" s="102">
        <v>25336915</v>
      </c>
      <c r="AJ39" s="102">
        <v>7911131</v>
      </c>
      <c r="AK39" s="102">
        <v>369915333</v>
      </c>
      <c r="AL39" s="73">
        <f t="shared" si="4"/>
        <v>227694525</v>
      </c>
      <c r="AM39" s="102">
        <v>160587725</v>
      </c>
      <c r="AN39" s="102">
        <v>23983955</v>
      </c>
      <c r="AO39" s="74"/>
      <c r="AP39" s="102">
        <v>43122845</v>
      </c>
      <c r="AQ39" s="102">
        <v>17115778</v>
      </c>
      <c r="AR39" s="102">
        <v>120855</v>
      </c>
      <c r="AS39" s="102">
        <v>258782</v>
      </c>
      <c r="AT39" s="102">
        <v>126859534</v>
      </c>
      <c r="AU39" s="102">
        <v>74107830</v>
      </c>
      <c r="AV39" s="102">
        <v>10515771</v>
      </c>
      <c r="AW39" s="102">
        <v>5692332</v>
      </c>
      <c r="AX39" s="102">
        <v>52751704</v>
      </c>
      <c r="AY39" s="102">
        <v>3052144</v>
      </c>
      <c r="AZ39" s="102">
        <v>25783244</v>
      </c>
      <c r="BA39" s="102">
        <v>23722232</v>
      </c>
      <c r="BB39" s="102">
        <v>4418308</v>
      </c>
      <c r="BC39" s="102">
        <v>26828367</v>
      </c>
      <c r="BD39" s="102">
        <v>4414685</v>
      </c>
      <c r="BE39" s="102">
        <v>6298318</v>
      </c>
      <c r="BF39" s="102">
        <v>14263658</v>
      </c>
      <c r="BG39" s="102">
        <v>420818</v>
      </c>
      <c r="BH39" s="102">
        <v>23048455</v>
      </c>
      <c r="BI39" s="102">
        <v>14070823</v>
      </c>
      <c r="BJ39" s="102">
        <v>34707703</v>
      </c>
      <c r="BK39" s="102">
        <v>6411659</v>
      </c>
      <c r="BL39" s="102">
        <v>325525</v>
      </c>
      <c r="BM39" s="102">
        <v>1660614</v>
      </c>
      <c r="BN39" s="102">
        <v>148536998</v>
      </c>
      <c r="BO39" s="73">
        <f t="shared" si="5"/>
        <v>78513850</v>
      </c>
      <c r="BP39" s="73">
        <f t="shared" si="6"/>
        <v>70023148</v>
      </c>
      <c r="BQ39" s="102">
        <v>0</v>
      </c>
      <c r="BR39" s="102">
        <v>608700</v>
      </c>
      <c r="BS39" s="102">
        <v>69414448</v>
      </c>
      <c r="BT39" s="102">
        <v>0</v>
      </c>
      <c r="BU39" s="102">
        <v>1875170872</v>
      </c>
      <c r="BV39" s="71"/>
      <c r="BW39" s="102">
        <v>294652479</v>
      </c>
      <c r="BX39" s="102">
        <v>193052456</v>
      </c>
      <c r="BY39" s="102">
        <v>23268849</v>
      </c>
      <c r="BZ39" s="102">
        <v>23817347</v>
      </c>
      <c r="CA39" s="102">
        <v>561319341</v>
      </c>
      <c r="CB39" s="102">
        <v>112019972</v>
      </c>
      <c r="CC39" s="102">
        <v>10300735</v>
      </c>
      <c r="CD39" s="102">
        <v>213592222</v>
      </c>
      <c r="CE39" s="102">
        <v>212062079</v>
      </c>
      <c r="CF39" s="102">
        <v>4955582</v>
      </c>
      <c r="CG39" s="102">
        <v>8379086</v>
      </c>
      <c r="CH39" s="102">
        <v>159109282</v>
      </c>
      <c r="CI39" s="102">
        <v>141502805</v>
      </c>
      <c r="CJ39" s="83">
        <f t="shared" si="17"/>
        <v>17606477</v>
      </c>
      <c r="CK39" s="102">
        <v>214494331</v>
      </c>
      <c r="CL39" s="102">
        <v>132377171</v>
      </c>
      <c r="CM39" s="102">
        <v>14535190</v>
      </c>
      <c r="CN39" s="102">
        <v>36955328</v>
      </c>
      <c r="CO39" s="102">
        <v>15287229</v>
      </c>
      <c r="CP39" s="102">
        <v>160333224</v>
      </c>
      <c r="CQ39" s="102">
        <v>37225283</v>
      </c>
      <c r="CR39" s="102">
        <v>36695235</v>
      </c>
      <c r="CS39" s="102">
        <v>25976322</v>
      </c>
      <c r="CT39" s="73">
        <f t="shared" si="7"/>
        <v>49449347</v>
      </c>
      <c r="CU39" s="102">
        <v>36213076</v>
      </c>
      <c r="CV39" s="102">
        <v>13236271</v>
      </c>
      <c r="CW39" s="73">
        <f t="shared" si="8"/>
        <v>13337912</v>
      </c>
      <c r="CX39" s="102">
        <v>9881057</v>
      </c>
      <c r="CY39" s="102">
        <v>3456855</v>
      </c>
      <c r="CZ39" s="73">
        <f t="shared" si="9"/>
        <v>33837051</v>
      </c>
      <c r="DA39" s="102">
        <v>25508989</v>
      </c>
      <c r="DB39" s="102">
        <v>8328062</v>
      </c>
      <c r="DC39" s="102">
        <v>171045071</v>
      </c>
      <c r="DD39" s="102">
        <v>66498838</v>
      </c>
      <c r="DE39" s="102">
        <v>100892336</v>
      </c>
      <c r="DF39" s="102">
        <v>1190370</v>
      </c>
      <c r="DG39" s="102">
        <v>2450630</v>
      </c>
      <c r="DH39" s="102">
        <v>434539</v>
      </c>
      <c r="DI39" s="102">
        <v>52274993</v>
      </c>
      <c r="DJ39" s="102">
        <v>13117330</v>
      </c>
      <c r="DK39" s="102">
        <v>22936926</v>
      </c>
      <c r="DL39" s="102">
        <v>16220737</v>
      </c>
      <c r="DM39" s="102">
        <v>7018085</v>
      </c>
      <c r="DN39" s="102">
        <v>6865885</v>
      </c>
      <c r="DO39" s="102">
        <v>431572</v>
      </c>
      <c r="DP39" s="102">
        <v>2608122</v>
      </c>
      <c r="DQ39" s="102">
        <v>6810717</v>
      </c>
      <c r="DR39" s="102">
        <v>300000</v>
      </c>
      <c r="DS39" s="102">
        <v>0</v>
      </c>
      <c r="DT39" s="102">
        <v>204559405</v>
      </c>
      <c r="DU39" s="102">
        <v>26399602</v>
      </c>
      <c r="DV39" s="73">
        <f t="shared" si="10"/>
        <v>0</v>
      </c>
      <c r="DW39" s="102">
        <v>0</v>
      </c>
      <c r="DX39" s="102">
        <v>57812647</v>
      </c>
      <c r="DY39" s="102">
        <v>234198</v>
      </c>
      <c r="DZ39" s="102">
        <v>64253903</v>
      </c>
      <c r="EA39" s="74">
        <v>0</v>
      </c>
      <c r="EB39" s="102">
        <v>54789245</v>
      </c>
      <c r="EC39" s="102">
        <v>0</v>
      </c>
      <c r="ED39" s="102">
        <v>1847338696</v>
      </c>
      <c r="EE39" s="71"/>
      <c r="EF39" s="102">
        <v>27832176</v>
      </c>
      <c r="EG39" s="102">
        <v>7896823</v>
      </c>
      <c r="EH39" s="102">
        <v>19935353</v>
      </c>
      <c r="EI39" s="102">
        <v>3640530</v>
      </c>
      <c r="EJ39" s="102">
        <v>17739959</v>
      </c>
      <c r="EK39" s="71"/>
      <c r="EL39" s="102">
        <f>SUM(EL8:EL38)</f>
        <v>5127461</v>
      </c>
      <c r="EM39" s="102">
        <v>5153492</v>
      </c>
      <c r="EN39" s="102">
        <v>16230658</v>
      </c>
      <c r="EO39" s="102">
        <v>24958435</v>
      </c>
      <c r="EP39" s="73">
        <f t="shared" si="11"/>
        <v>46131411</v>
      </c>
      <c r="EQ39" s="102">
        <v>1061919510</v>
      </c>
      <c r="ER39" s="71">
        <v>-156291201</v>
      </c>
      <c r="ES39" s="102">
        <v>270331544</v>
      </c>
      <c r="ET39" s="102">
        <v>175782590</v>
      </c>
      <c r="EU39" s="102">
        <v>165180191</v>
      </c>
      <c r="EV39" s="102">
        <v>157867523</v>
      </c>
      <c r="EW39" s="73">
        <f t="shared" si="12"/>
        <v>43737465</v>
      </c>
      <c r="EX39" s="102">
        <v>43650910</v>
      </c>
      <c r="EY39" s="102">
        <v>6098228</v>
      </c>
      <c r="EZ39" s="102">
        <v>37162853</v>
      </c>
      <c r="FA39" s="102">
        <v>86555</v>
      </c>
      <c r="FB39" s="102">
        <v>0</v>
      </c>
      <c r="FC39" s="102">
        <v>174635678</v>
      </c>
      <c r="FD39" s="102">
        <v>143292343</v>
      </c>
      <c r="FE39" s="102">
        <v>36130337</v>
      </c>
      <c r="FF39" s="102">
        <v>167901448</v>
      </c>
      <c r="FG39" s="73">
        <f t="shared" si="13"/>
        <v>68270415</v>
      </c>
      <c r="FH39" s="102">
        <v>1191216607</v>
      </c>
      <c r="FI39" s="379">
        <f t="shared" si="14"/>
        <v>1.9</v>
      </c>
      <c r="FJ39" s="102">
        <v>949666169</v>
      </c>
      <c r="FK39" s="102">
        <v>76953985</v>
      </c>
      <c r="FL39" s="102">
        <v>603475583</v>
      </c>
      <c r="FM39" s="102">
        <v>778683012</v>
      </c>
      <c r="FN39" s="428">
        <v>0.76700000000000002</v>
      </c>
      <c r="FO39" s="424">
        <v>94.4</v>
      </c>
      <c r="FP39" s="425">
        <v>24.9</v>
      </c>
      <c r="FQ39" s="424">
        <v>15.4</v>
      </c>
      <c r="FR39" s="424">
        <v>14.3</v>
      </c>
      <c r="FS39" s="425">
        <v>14.7</v>
      </c>
      <c r="FT39" s="424">
        <v>10.4</v>
      </c>
      <c r="FU39" s="425">
        <v>13.3</v>
      </c>
      <c r="FV39" s="384">
        <v>5.2</v>
      </c>
      <c r="FW39" s="102">
        <v>1509766197</v>
      </c>
      <c r="FX39" s="384">
        <f t="shared" si="15"/>
        <v>147.1</v>
      </c>
      <c r="FY39" s="102">
        <v>343118033</v>
      </c>
      <c r="FZ39" s="102">
        <v>145901895</v>
      </c>
      <c r="GA39" s="102">
        <v>41642323</v>
      </c>
      <c r="GB39" s="102">
        <v>155573815</v>
      </c>
      <c r="GC39" s="102">
        <v>8112220</v>
      </c>
      <c r="GD39" s="427">
        <f>SUM(GD8:GD38)</f>
        <v>36061</v>
      </c>
      <c r="GE39" s="386">
        <f>IF(GD39=0,"-",ROUND(GD39/GW39*100,1))</f>
        <v>10.199999999999999</v>
      </c>
      <c r="GF39" s="424">
        <v>99</v>
      </c>
      <c r="GG39" s="424">
        <v>31.8</v>
      </c>
      <c r="GH39" s="424">
        <v>96.3</v>
      </c>
      <c r="GI39" s="102">
        <f>SUM(GI8:GI38)</f>
        <v>29434</v>
      </c>
      <c r="GJ39" s="429" t="s">
        <v>646</v>
      </c>
      <c r="GK39" s="429" t="s">
        <v>646</v>
      </c>
      <c r="GL39" s="429" t="s">
        <v>646</v>
      </c>
      <c r="GM39" s="429" t="s">
        <v>646</v>
      </c>
      <c r="GN39" s="429" t="s">
        <v>646</v>
      </c>
      <c r="GO39" s="429" t="s">
        <v>646</v>
      </c>
      <c r="GP39" s="425">
        <v>5.2</v>
      </c>
      <c r="GQ39" s="431" t="s">
        <v>646</v>
      </c>
      <c r="GR39" s="431" t="s">
        <v>646</v>
      </c>
      <c r="GS39" s="431">
        <v>6.4</v>
      </c>
      <c r="GT39" s="431" t="s">
        <v>646</v>
      </c>
      <c r="GU39" s="394"/>
      <c r="GV39" s="100">
        <f t="shared" si="16"/>
        <v>1026620</v>
      </c>
      <c r="GW39" s="394">
        <f>GV12+GV13+GV16+GV17+GV19+GV23+GV26+GV27+GV30+GV31+GV36+GV35</f>
        <v>355149</v>
      </c>
      <c r="GX39" s="394"/>
      <c r="GY39" s="394"/>
      <c r="GZ39" s="394"/>
      <c r="HA39" s="394"/>
      <c r="HB39" s="394"/>
      <c r="HC39" s="394"/>
      <c r="HD39" s="394"/>
      <c r="HE39" s="394"/>
      <c r="HF39" s="394"/>
      <c r="HG39" s="394"/>
      <c r="HH39" s="394"/>
      <c r="HI39" s="394"/>
      <c r="HJ39" s="394"/>
      <c r="HK39" s="394"/>
      <c r="HL39" s="394"/>
      <c r="HM39" s="394"/>
      <c r="HN39" s="394"/>
      <c r="HO39" s="394"/>
      <c r="HP39" s="394"/>
      <c r="HQ39" s="394"/>
      <c r="HR39" s="394"/>
      <c r="HS39" s="394"/>
      <c r="HT39" s="394"/>
      <c r="HU39" s="394"/>
      <c r="HV39" s="394"/>
    </row>
    <row r="40" spans="2:230" x14ac:dyDescent="0.15">
      <c r="B40" s="89" t="s">
        <v>69</v>
      </c>
      <c r="C40" s="102">
        <v>4729351</v>
      </c>
      <c r="D40" s="73">
        <f t="shared" si="0"/>
        <v>1767052</v>
      </c>
      <c r="E40" s="102">
        <v>50897</v>
      </c>
      <c r="F40" s="102">
        <v>1716155</v>
      </c>
      <c r="G40" s="73">
        <f t="shared" si="1"/>
        <v>645914</v>
      </c>
      <c r="H40" s="102">
        <v>52731</v>
      </c>
      <c r="I40" s="102">
        <v>593183</v>
      </c>
      <c r="J40" s="102">
        <v>1840416</v>
      </c>
      <c r="K40" s="102">
        <v>661270</v>
      </c>
      <c r="L40" s="102">
        <v>780146</v>
      </c>
      <c r="M40" s="102">
        <v>372697</v>
      </c>
      <c r="N40" s="102">
        <v>98226</v>
      </c>
      <c r="O40" s="102">
        <v>355084</v>
      </c>
      <c r="P40" s="102">
        <v>183011</v>
      </c>
      <c r="Q40" s="102">
        <v>172073</v>
      </c>
      <c r="R40" s="102">
        <v>51388</v>
      </c>
      <c r="S40" s="74"/>
      <c r="T40" s="73">
        <f t="shared" si="2"/>
        <v>667479</v>
      </c>
      <c r="U40" s="102">
        <v>15644</v>
      </c>
      <c r="V40" s="102">
        <v>36784</v>
      </c>
      <c r="W40" s="102">
        <v>40413</v>
      </c>
      <c r="X40" s="102">
        <v>510613</v>
      </c>
      <c r="Y40" s="102">
        <v>45322</v>
      </c>
      <c r="Z40" s="102">
        <v>0</v>
      </c>
      <c r="AA40" s="102">
        <v>18703</v>
      </c>
      <c r="AB40" s="102">
        <v>27043</v>
      </c>
      <c r="AC40" s="102">
        <v>1348614</v>
      </c>
      <c r="AD40" s="102">
        <v>1084971</v>
      </c>
      <c r="AE40" s="102">
        <v>263643</v>
      </c>
      <c r="AF40" s="102">
        <v>3354</v>
      </c>
      <c r="AG40" s="102">
        <v>110580</v>
      </c>
      <c r="AH40" s="73">
        <f t="shared" si="3"/>
        <v>305183</v>
      </c>
      <c r="AI40" s="102">
        <v>266486</v>
      </c>
      <c r="AJ40" s="102">
        <v>38697</v>
      </c>
      <c r="AK40" s="102">
        <v>1484103</v>
      </c>
      <c r="AL40" s="73">
        <f t="shared" si="4"/>
        <v>511868</v>
      </c>
      <c r="AM40" s="102">
        <v>204637</v>
      </c>
      <c r="AN40" s="102">
        <v>98135</v>
      </c>
      <c r="AO40" s="74"/>
      <c r="AP40" s="102">
        <v>209096</v>
      </c>
      <c r="AQ40" s="102">
        <v>263427</v>
      </c>
      <c r="AR40" s="102">
        <v>0</v>
      </c>
      <c r="AS40" s="102">
        <v>0</v>
      </c>
      <c r="AT40" s="102">
        <v>826941</v>
      </c>
      <c r="AU40" s="102">
        <v>303413</v>
      </c>
      <c r="AV40" s="102">
        <v>48839</v>
      </c>
      <c r="AW40" s="102">
        <v>2000</v>
      </c>
      <c r="AX40" s="102">
        <v>523528</v>
      </c>
      <c r="AY40" s="102">
        <v>176965</v>
      </c>
      <c r="AZ40" s="102">
        <v>17190</v>
      </c>
      <c r="BA40" s="102">
        <v>13075</v>
      </c>
      <c r="BB40" s="102">
        <v>8315</v>
      </c>
      <c r="BC40" s="102">
        <v>348594</v>
      </c>
      <c r="BD40" s="102">
        <v>35000</v>
      </c>
      <c r="BE40" s="102">
        <v>50000</v>
      </c>
      <c r="BF40" s="102">
        <v>221339</v>
      </c>
      <c r="BG40" s="102">
        <v>0</v>
      </c>
      <c r="BH40" s="102">
        <v>92512</v>
      </c>
      <c r="BI40" s="102">
        <v>54743</v>
      </c>
      <c r="BJ40" s="102">
        <v>117848</v>
      </c>
      <c r="BK40" s="102">
        <v>16412</v>
      </c>
      <c r="BL40" s="102">
        <v>0</v>
      </c>
      <c r="BM40" s="102">
        <v>0</v>
      </c>
      <c r="BN40" s="102">
        <v>1410089</v>
      </c>
      <c r="BO40" s="73">
        <f t="shared" si="5"/>
        <v>889600</v>
      </c>
      <c r="BP40" s="73">
        <f t="shared" si="6"/>
        <v>520489</v>
      </c>
      <c r="BQ40" s="102">
        <v>0</v>
      </c>
      <c r="BR40" s="102">
        <v>0</v>
      </c>
      <c r="BS40" s="102">
        <v>520489</v>
      </c>
      <c r="BT40" s="102">
        <v>0</v>
      </c>
      <c r="BU40" s="102">
        <v>11548584</v>
      </c>
      <c r="BV40" s="71"/>
      <c r="BW40" s="102">
        <v>1917302</v>
      </c>
      <c r="BX40" s="102">
        <v>1313314</v>
      </c>
      <c r="BY40" s="102">
        <v>75407</v>
      </c>
      <c r="BZ40" s="102">
        <v>110074</v>
      </c>
      <c r="CA40" s="102">
        <v>2276518</v>
      </c>
      <c r="CB40" s="102">
        <v>689538</v>
      </c>
      <c r="CC40" s="102">
        <v>52137</v>
      </c>
      <c r="CD40" s="102">
        <v>1250228</v>
      </c>
      <c r="CE40" s="102">
        <v>258289</v>
      </c>
      <c r="CF40" s="102">
        <v>2195</v>
      </c>
      <c r="CG40" s="102">
        <v>24131</v>
      </c>
      <c r="CH40" s="102">
        <v>1166416</v>
      </c>
      <c r="CI40" s="102">
        <v>1044727</v>
      </c>
      <c r="CJ40" s="83">
        <f t="shared" si="17"/>
        <v>121689</v>
      </c>
      <c r="CK40" s="102">
        <v>2021442</v>
      </c>
      <c r="CL40" s="102">
        <v>1109826</v>
      </c>
      <c r="CM40" s="102">
        <v>225512</v>
      </c>
      <c r="CN40" s="102">
        <v>355605</v>
      </c>
      <c r="CO40" s="102">
        <v>84150</v>
      </c>
      <c r="CP40" s="102">
        <v>441870</v>
      </c>
      <c r="CQ40" s="102">
        <v>1699</v>
      </c>
      <c r="CR40" s="102">
        <v>115451</v>
      </c>
      <c r="CS40" s="102">
        <v>90076</v>
      </c>
      <c r="CT40" s="73">
        <f t="shared" si="7"/>
        <v>31648</v>
      </c>
      <c r="CU40" s="102">
        <v>0</v>
      </c>
      <c r="CV40" s="102">
        <v>31648</v>
      </c>
      <c r="CW40" s="73">
        <f t="shared" si="8"/>
        <v>0</v>
      </c>
      <c r="CX40" s="102">
        <v>0</v>
      </c>
      <c r="CY40" s="102">
        <v>0</v>
      </c>
      <c r="CZ40" s="73">
        <f t="shared" si="9"/>
        <v>0</v>
      </c>
      <c r="DA40" s="102">
        <v>0</v>
      </c>
      <c r="DB40" s="102">
        <v>0</v>
      </c>
      <c r="DC40" s="102">
        <v>1860298</v>
      </c>
      <c r="DD40" s="102">
        <v>1037874</v>
      </c>
      <c r="DE40" s="102">
        <v>822424</v>
      </c>
      <c r="DF40" s="102">
        <v>0</v>
      </c>
      <c r="DG40" s="102">
        <v>0</v>
      </c>
      <c r="DH40" s="102">
        <v>33016</v>
      </c>
      <c r="DI40" s="102">
        <v>42154</v>
      </c>
      <c r="DJ40" s="102">
        <v>28641</v>
      </c>
      <c r="DK40" s="102">
        <v>290</v>
      </c>
      <c r="DL40" s="102">
        <v>13223</v>
      </c>
      <c r="DM40" s="102">
        <v>0</v>
      </c>
      <c r="DN40" s="102">
        <v>0</v>
      </c>
      <c r="DO40" s="102">
        <v>0</v>
      </c>
      <c r="DP40" s="102">
        <v>0</v>
      </c>
      <c r="DQ40" s="102">
        <v>15810</v>
      </c>
      <c r="DR40" s="102">
        <v>0</v>
      </c>
      <c r="DS40" s="102">
        <v>0</v>
      </c>
      <c r="DT40" s="102">
        <v>1460376</v>
      </c>
      <c r="DU40" s="102">
        <v>475000</v>
      </c>
      <c r="DV40" s="73">
        <f t="shared" si="10"/>
        <v>0</v>
      </c>
      <c r="DW40" s="102">
        <v>0</v>
      </c>
      <c r="DX40" s="102">
        <v>364461</v>
      </c>
      <c r="DY40" s="102">
        <v>0</v>
      </c>
      <c r="DZ40" s="102">
        <v>286247</v>
      </c>
      <c r="EA40" s="74">
        <v>0</v>
      </c>
      <c r="EB40" s="102">
        <v>329636</v>
      </c>
      <c r="EC40" s="102">
        <v>0</v>
      </c>
      <c r="ED40" s="102">
        <v>11319352</v>
      </c>
      <c r="EE40" s="71"/>
      <c r="EF40" s="102">
        <v>229232</v>
      </c>
      <c r="EG40" s="102">
        <v>178317</v>
      </c>
      <c r="EH40" s="102">
        <v>50915</v>
      </c>
      <c r="EI40" s="102">
        <v>-3828</v>
      </c>
      <c r="EJ40" s="102">
        <v>-10187</v>
      </c>
      <c r="EK40" s="71"/>
      <c r="EL40" s="102">
        <v>29983</v>
      </c>
      <c r="EM40" s="102">
        <v>30678</v>
      </c>
      <c r="EN40" s="102">
        <v>127255</v>
      </c>
      <c r="EO40" s="102">
        <v>16478</v>
      </c>
      <c r="EP40" s="73">
        <f t="shared" si="11"/>
        <v>189185</v>
      </c>
      <c r="EQ40" s="102">
        <v>6827229</v>
      </c>
      <c r="ER40" s="71">
        <v>-850053</v>
      </c>
      <c r="ES40" s="102">
        <v>1727854</v>
      </c>
      <c r="ET40" s="102">
        <v>1203274</v>
      </c>
      <c r="EU40" s="102">
        <v>845209</v>
      </c>
      <c r="EV40" s="102">
        <v>1116835</v>
      </c>
      <c r="EW40" s="73">
        <f t="shared" si="12"/>
        <v>301321</v>
      </c>
      <c r="EX40" s="102">
        <v>268305</v>
      </c>
      <c r="EY40" s="102">
        <v>95546</v>
      </c>
      <c r="EZ40" s="102">
        <v>172759</v>
      </c>
      <c r="FA40" s="102">
        <v>33016</v>
      </c>
      <c r="FB40" s="102">
        <v>0</v>
      </c>
      <c r="FC40" s="102">
        <v>1676921</v>
      </c>
      <c r="FD40" s="102">
        <v>401245</v>
      </c>
      <c r="FE40" s="102">
        <v>1699</v>
      </c>
      <c r="FF40" s="102">
        <v>1264312</v>
      </c>
      <c r="FG40" s="73">
        <f t="shared" si="13"/>
        <v>114353</v>
      </c>
      <c r="FH40" s="102">
        <v>7448050</v>
      </c>
      <c r="FI40" s="379">
        <f t="shared" si="14"/>
        <v>0.8</v>
      </c>
      <c r="FJ40" s="102">
        <v>5852120</v>
      </c>
      <c r="FK40" s="102">
        <v>520489</v>
      </c>
      <c r="FL40" s="102">
        <v>3717269</v>
      </c>
      <c r="FM40" s="102">
        <v>4792010</v>
      </c>
      <c r="FN40" s="428">
        <v>0.77800000000000002</v>
      </c>
      <c r="FO40" s="424">
        <v>95.9</v>
      </c>
      <c r="FP40" s="425">
        <v>25.4</v>
      </c>
      <c r="FQ40" s="424">
        <v>12.5</v>
      </c>
      <c r="FR40" s="424">
        <v>16.5</v>
      </c>
      <c r="FS40" s="425">
        <v>21.4</v>
      </c>
      <c r="FT40" s="424">
        <v>3.5</v>
      </c>
      <c r="FU40" s="425">
        <v>15.6</v>
      </c>
      <c r="FV40" s="384">
        <v>6.9</v>
      </c>
      <c r="FW40" s="102">
        <v>10937557</v>
      </c>
      <c r="FX40" s="384">
        <f t="shared" si="15"/>
        <v>171.6</v>
      </c>
      <c r="FY40" s="102">
        <v>4229514</v>
      </c>
      <c r="FZ40" s="102">
        <v>1382395</v>
      </c>
      <c r="GA40" s="102">
        <v>1145818</v>
      </c>
      <c r="GB40" s="102">
        <v>1701301</v>
      </c>
      <c r="GC40" s="102">
        <v>0</v>
      </c>
      <c r="GD40" s="427"/>
      <c r="GE40" s="386"/>
      <c r="GF40" s="424">
        <v>99.6</v>
      </c>
      <c r="GG40" s="424">
        <v>10</v>
      </c>
      <c r="GH40" s="424">
        <v>94.3</v>
      </c>
      <c r="GI40" s="102">
        <v>236</v>
      </c>
      <c r="GJ40" s="429" t="s">
        <v>646</v>
      </c>
      <c r="GK40" s="429">
        <v>14.28</v>
      </c>
      <c r="GL40" s="87">
        <v>20</v>
      </c>
      <c r="GM40" s="429" t="s">
        <v>646</v>
      </c>
      <c r="GN40" s="430">
        <v>19.28</v>
      </c>
      <c r="GO40" s="430">
        <v>30</v>
      </c>
      <c r="GP40" s="425">
        <v>6.9</v>
      </c>
      <c r="GQ40" s="425">
        <v>25</v>
      </c>
      <c r="GR40" s="425">
        <v>35</v>
      </c>
      <c r="GS40" s="431" t="s">
        <v>646</v>
      </c>
      <c r="GT40" s="425">
        <v>350</v>
      </c>
      <c r="GU40" s="394"/>
      <c r="GV40" s="100">
        <f t="shared" si="16"/>
        <v>6373</v>
      </c>
      <c r="GW40" s="394"/>
      <c r="GX40" s="394"/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</row>
    <row r="41" spans="2:230" x14ac:dyDescent="0.15">
      <c r="B41" s="89" t="s">
        <v>71</v>
      </c>
      <c r="C41" s="102">
        <v>1952456</v>
      </c>
      <c r="D41" s="73">
        <f t="shared" si="0"/>
        <v>1176446</v>
      </c>
      <c r="E41" s="102">
        <v>36675</v>
      </c>
      <c r="F41" s="102">
        <v>1139771</v>
      </c>
      <c r="G41" s="73">
        <f t="shared" si="1"/>
        <v>30331</v>
      </c>
      <c r="H41" s="102">
        <v>19734</v>
      </c>
      <c r="I41" s="102">
        <v>10597</v>
      </c>
      <c r="J41" s="102">
        <v>671780</v>
      </c>
      <c r="K41" s="102">
        <v>198213</v>
      </c>
      <c r="L41" s="102">
        <v>332388</v>
      </c>
      <c r="M41" s="102">
        <v>141179</v>
      </c>
      <c r="N41" s="102">
        <v>46787</v>
      </c>
      <c r="O41" s="102">
        <v>0</v>
      </c>
      <c r="P41" s="102">
        <v>0</v>
      </c>
      <c r="Q41" s="102">
        <v>0</v>
      </c>
      <c r="R41" s="102">
        <v>57911</v>
      </c>
      <c r="S41" s="74"/>
      <c r="T41" s="73">
        <f t="shared" si="2"/>
        <v>450746</v>
      </c>
      <c r="U41" s="102">
        <v>11556</v>
      </c>
      <c r="V41" s="102">
        <v>26712</v>
      </c>
      <c r="W41" s="102">
        <v>28949</v>
      </c>
      <c r="X41" s="102">
        <v>354210</v>
      </c>
      <c r="Y41" s="102">
        <v>8257</v>
      </c>
      <c r="Z41" s="102">
        <v>0</v>
      </c>
      <c r="AA41" s="102">
        <v>21062</v>
      </c>
      <c r="AB41" s="102">
        <v>5472</v>
      </c>
      <c r="AC41" s="102">
        <v>2241570</v>
      </c>
      <c r="AD41" s="102">
        <v>1881100</v>
      </c>
      <c r="AE41" s="102">
        <v>360470</v>
      </c>
      <c r="AF41" s="102">
        <v>3441</v>
      </c>
      <c r="AG41" s="102">
        <v>99852</v>
      </c>
      <c r="AH41" s="73">
        <f t="shared" si="3"/>
        <v>73370</v>
      </c>
      <c r="AI41" s="102">
        <v>60183</v>
      </c>
      <c r="AJ41" s="102">
        <v>13187</v>
      </c>
      <c r="AK41" s="102">
        <v>494722</v>
      </c>
      <c r="AL41" s="73">
        <f t="shared" si="4"/>
        <v>113569</v>
      </c>
      <c r="AM41" s="102">
        <v>0</v>
      </c>
      <c r="AN41" s="102">
        <v>1928</v>
      </c>
      <c r="AO41" s="74"/>
      <c r="AP41" s="102">
        <v>111641</v>
      </c>
      <c r="AQ41" s="102">
        <v>12665</v>
      </c>
      <c r="AR41" s="102">
        <v>5051</v>
      </c>
      <c r="AS41" s="102">
        <v>0</v>
      </c>
      <c r="AT41" s="102">
        <v>424125</v>
      </c>
      <c r="AU41" s="102">
        <v>171661</v>
      </c>
      <c r="AV41" s="102">
        <v>2906</v>
      </c>
      <c r="AW41" s="102">
        <v>0</v>
      </c>
      <c r="AX41" s="102">
        <v>252464</v>
      </c>
      <c r="AY41" s="102">
        <v>27400</v>
      </c>
      <c r="AZ41" s="102">
        <v>6531</v>
      </c>
      <c r="BA41" s="102">
        <v>21</v>
      </c>
      <c r="BB41" s="102">
        <v>13739</v>
      </c>
      <c r="BC41" s="102">
        <v>71285</v>
      </c>
      <c r="BD41" s="102">
        <v>0</v>
      </c>
      <c r="BE41" s="102">
        <v>0</v>
      </c>
      <c r="BF41" s="102">
        <v>38968</v>
      </c>
      <c r="BG41" s="102">
        <v>0</v>
      </c>
      <c r="BH41" s="102">
        <v>347619</v>
      </c>
      <c r="BI41" s="102">
        <v>210230</v>
      </c>
      <c r="BJ41" s="102">
        <v>90920</v>
      </c>
      <c r="BK41" s="102">
        <v>3031</v>
      </c>
      <c r="BL41" s="102">
        <v>0</v>
      </c>
      <c r="BM41" s="102">
        <v>0</v>
      </c>
      <c r="BN41" s="102">
        <v>507647</v>
      </c>
      <c r="BO41" s="73">
        <f t="shared" si="5"/>
        <v>151300</v>
      </c>
      <c r="BP41" s="73">
        <f t="shared" si="6"/>
        <v>356347</v>
      </c>
      <c r="BQ41" s="102">
        <v>0</v>
      </c>
      <c r="BR41" s="102">
        <v>0</v>
      </c>
      <c r="BS41" s="102">
        <v>356347</v>
      </c>
      <c r="BT41" s="102">
        <v>0</v>
      </c>
      <c r="BU41" s="102">
        <v>6841406</v>
      </c>
      <c r="BV41" s="71"/>
      <c r="BW41" s="102">
        <v>1982984</v>
      </c>
      <c r="BX41" s="102">
        <v>1292050</v>
      </c>
      <c r="BY41" s="102">
        <v>54104</v>
      </c>
      <c r="BZ41" s="102">
        <v>213149</v>
      </c>
      <c r="CA41" s="102">
        <v>561144</v>
      </c>
      <c r="CB41" s="102">
        <v>278893</v>
      </c>
      <c r="CC41" s="102">
        <v>36073</v>
      </c>
      <c r="CD41" s="102">
        <v>233528</v>
      </c>
      <c r="CE41" s="102">
        <v>0</v>
      </c>
      <c r="CF41" s="102">
        <v>0</v>
      </c>
      <c r="CG41" s="102">
        <v>12650</v>
      </c>
      <c r="CH41" s="102">
        <v>517612</v>
      </c>
      <c r="CI41" s="102">
        <v>450003</v>
      </c>
      <c r="CJ41" s="83">
        <f t="shared" si="17"/>
        <v>67609</v>
      </c>
      <c r="CK41" s="102">
        <v>905624</v>
      </c>
      <c r="CL41" s="102">
        <v>445330</v>
      </c>
      <c r="CM41" s="102">
        <v>55626</v>
      </c>
      <c r="CN41" s="102">
        <v>239515</v>
      </c>
      <c r="CO41" s="102">
        <v>141238</v>
      </c>
      <c r="CP41" s="102">
        <v>800034</v>
      </c>
      <c r="CQ41" s="102">
        <v>390945</v>
      </c>
      <c r="CR41" s="102">
        <v>83066</v>
      </c>
      <c r="CS41" s="102">
        <v>80826</v>
      </c>
      <c r="CT41" s="73">
        <f t="shared" si="7"/>
        <v>71674</v>
      </c>
      <c r="CU41" s="102">
        <v>8419</v>
      </c>
      <c r="CV41" s="102">
        <v>63255</v>
      </c>
      <c r="CW41" s="73">
        <f t="shared" si="8"/>
        <v>0</v>
      </c>
      <c r="CX41" s="102">
        <v>0</v>
      </c>
      <c r="CY41" s="102">
        <v>0</v>
      </c>
      <c r="CZ41" s="73">
        <f t="shared" si="9"/>
        <v>0</v>
      </c>
      <c r="DA41" s="102">
        <v>0</v>
      </c>
      <c r="DB41" s="102">
        <v>0</v>
      </c>
      <c r="DC41" s="102">
        <v>434993</v>
      </c>
      <c r="DD41" s="102">
        <v>160242</v>
      </c>
      <c r="DE41" s="102">
        <v>274751</v>
      </c>
      <c r="DF41" s="102">
        <v>0</v>
      </c>
      <c r="DG41" s="102">
        <v>0</v>
      </c>
      <c r="DH41" s="102">
        <v>54275</v>
      </c>
      <c r="DI41" s="102">
        <v>239242</v>
      </c>
      <c r="DJ41" s="102">
        <v>107424</v>
      </c>
      <c r="DK41" s="102">
        <v>0</v>
      </c>
      <c r="DL41" s="102">
        <v>131818</v>
      </c>
      <c r="DM41" s="102">
        <v>2000</v>
      </c>
      <c r="DN41" s="102">
        <v>2000</v>
      </c>
      <c r="DO41" s="102">
        <v>2000</v>
      </c>
      <c r="DP41" s="102">
        <v>0</v>
      </c>
      <c r="DQ41" s="102">
        <v>3852</v>
      </c>
      <c r="DR41" s="102">
        <v>0</v>
      </c>
      <c r="DS41" s="102">
        <v>0</v>
      </c>
      <c r="DT41" s="102">
        <v>847894</v>
      </c>
      <c r="DU41" s="102">
        <v>91832</v>
      </c>
      <c r="DV41" s="73">
        <f t="shared" si="10"/>
        <v>0</v>
      </c>
      <c r="DW41" s="102">
        <v>0</v>
      </c>
      <c r="DX41" s="102">
        <v>286678</v>
      </c>
      <c r="DY41" s="102">
        <v>0</v>
      </c>
      <c r="DZ41" s="102">
        <v>143455</v>
      </c>
      <c r="EA41" s="74">
        <v>0</v>
      </c>
      <c r="EB41" s="102">
        <v>296455</v>
      </c>
      <c r="EC41" s="102">
        <v>0</v>
      </c>
      <c r="ED41" s="102">
        <v>6490892</v>
      </c>
      <c r="EE41" s="71"/>
      <c r="EF41" s="102">
        <v>350514</v>
      </c>
      <c r="EG41" s="102">
        <v>41114</v>
      </c>
      <c r="EH41" s="102">
        <v>309400</v>
      </c>
      <c r="EI41" s="102">
        <v>99170</v>
      </c>
      <c r="EJ41" s="102">
        <v>206594</v>
      </c>
      <c r="EK41" s="71"/>
      <c r="EL41" s="102">
        <v>19934</v>
      </c>
      <c r="EM41" s="102">
        <v>20864</v>
      </c>
      <c r="EN41" s="102">
        <v>32317</v>
      </c>
      <c r="EO41" s="102">
        <v>0</v>
      </c>
      <c r="EP41" s="73">
        <f t="shared" si="11"/>
        <v>424227</v>
      </c>
      <c r="EQ41" s="102">
        <v>4711596</v>
      </c>
      <c r="ER41" s="71">
        <v>-809450</v>
      </c>
      <c r="ES41" s="102">
        <v>1713021</v>
      </c>
      <c r="ET41" s="102">
        <v>1094246</v>
      </c>
      <c r="EU41" s="102">
        <v>138377</v>
      </c>
      <c r="EV41" s="102">
        <v>517612</v>
      </c>
      <c r="EW41" s="73">
        <f t="shared" si="12"/>
        <v>189859</v>
      </c>
      <c r="EX41" s="102">
        <v>175090</v>
      </c>
      <c r="EY41" s="102">
        <v>23420</v>
      </c>
      <c r="EZ41" s="102">
        <v>151670</v>
      </c>
      <c r="FA41" s="102">
        <v>14769</v>
      </c>
      <c r="FB41" s="102">
        <v>0</v>
      </c>
      <c r="FC41" s="102">
        <v>775413</v>
      </c>
      <c r="FD41" s="102">
        <v>751814</v>
      </c>
      <c r="FE41" s="102">
        <v>390945</v>
      </c>
      <c r="FF41" s="102">
        <v>730253</v>
      </c>
      <c r="FG41" s="73">
        <f t="shared" si="13"/>
        <v>354183</v>
      </c>
      <c r="FH41" s="102">
        <v>5170532</v>
      </c>
      <c r="FI41" s="379">
        <f t="shared" si="14"/>
        <v>6.7</v>
      </c>
      <c r="FJ41" s="102">
        <v>4283513</v>
      </c>
      <c r="FK41" s="102">
        <v>356347</v>
      </c>
      <c r="FL41" s="102">
        <v>1920608</v>
      </c>
      <c r="FM41" s="102">
        <v>3801708</v>
      </c>
      <c r="FN41" s="428">
        <v>0.51300000000000001</v>
      </c>
      <c r="FO41" s="424">
        <v>90.9</v>
      </c>
      <c r="FP41" s="425">
        <v>35.9</v>
      </c>
      <c r="FQ41" s="424">
        <v>2.9</v>
      </c>
      <c r="FR41" s="424">
        <v>11</v>
      </c>
      <c r="FS41" s="425">
        <v>14.9</v>
      </c>
      <c r="FT41" s="424">
        <v>9.6</v>
      </c>
      <c r="FU41" s="425">
        <v>14.1</v>
      </c>
      <c r="FV41" s="384">
        <v>5.8</v>
      </c>
      <c r="FW41" s="102">
        <v>6141514</v>
      </c>
      <c r="FX41" s="384">
        <f t="shared" si="15"/>
        <v>132.4</v>
      </c>
      <c r="FY41" s="102">
        <v>3108096</v>
      </c>
      <c r="FZ41" s="102">
        <v>2073560</v>
      </c>
      <c r="GA41" s="102">
        <v>677</v>
      </c>
      <c r="GB41" s="102">
        <v>1033859</v>
      </c>
      <c r="GC41" s="102">
        <v>37800</v>
      </c>
      <c r="GD41" s="427"/>
      <c r="GE41" s="386"/>
      <c r="GF41" s="424">
        <v>99.2</v>
      </c>
      <c r="GG41" s="424">
        <v>41.8</v>
      </c>
      <c r="GH41" s="424">
        <v>97.6</v>
      </c>
      <c r="GI41" s="102">
        <v>195</v>
      </c>
      <c r="GJ41" s="429" t="s">
        <v>646</v>
      </c>
      <c r="GK41" s="429">
        <v>15</v>
      </c>
      <c r="GL41" s="87">
        <v>20</v>
      </c>
      <c r="GM41" s="429" t="s">
        <v>646</v>
      </c>
      <c r="GN41" s="430">
        <v>20</v>
      </c>
      <c r="GO41" s="430">
        <v>30</v>
      </c>
      <c r="GP41" s="425">
        <v>5.8</v>
      </c>
      <c r="GQ41" s="425">
        <v>25</v>
      </c>
      <c r="GR41" s="425">
        <v>35</v>
      </c>
      <c r="GS41" s="431">
        <v>6.2</v>
      </c>
      <c r="GT41" s="425">
        <v>350</v>
      </c>
      <c r="GU41" s="394"/>
      <c r="GV41" s="100">
        <f t="shared" si="16"/>
        <v>4640</v>
      </c>
      <c r="GW41" s="394"/>
      <c r="GX41" s="394"/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</row>
    <row r="42" spans="2:230" x14ac:dyDescent="0.15">
      <c r="B42" s="89" t="s">
        <v>73</v>
      </c>
      <c r="C42" s="102">
        <v>1212388</v>
      </c>
      <c r="D42" s="73">
        <f t="shared" si="0"/>
        <v>427081</v>
      </c>
      <c r="E42" s="102">
        <v>18453</v>
      </c>
      <c r="F42" s="102">
        <v>408628</v>
      </c>
      <c r="G42" s="73">
        <f t="shared" si="1"/>
        <v>41276</v>
      </c>
      <c r="H42" s="102">
        <v>19772</v>
      </c>
      <c r="I42" s="102">
        <v>21504</v>
      </c>
      <c r="J42" s="102">
        <v>649085</v>
      </c>
      <c r="K42" s="102">
        <v>123086</v>
      </c>
      <c r="L42" s="102">
        <v>229108</v>
      </c>
      <c r="M42" s="102">
        <v>296891</v>
      </c>
      <c r="N42" s="102">
        <v>56055</v>
      </c>
      <c r="O42" s="102">
        <v>0</v>
      </c>
      <c r="P42" s="102">
        <v>0</v>
      </c>
      <c r="Q42" s="102">
        <v>0</v>
      </c>
      <c r="R42" s="102">
        <v>60120</v>
      </c>
      <c r="S42" s="74"/>
      <c r="T42" s="73">
        <f t="shared" si="2"/>
        <v>289020</v>
      </c>
      <c r="U42" s="102">
        <v>4081</v>
      </c>
      <c r="V42" s="102">
        <v>9516</v>
      </c>
      <c r="W42" s="102">
        <v>10385</v>
      </c>
      <c r="X42" s="102">
        <v>215146</v>
      </c>
      <c r="Y42" s="102">
        <v>28073</v>
      </c>
      <c r="Z42" s="102">
        <v>0</v>
      </c>
      <c r="AA42" s="102">
        <v>21819</v>
      </c>
      <c r="AB42" s="102">
        <v>1118</v>
      </c>
      <c r="AC42" s="102">
        <v>1965391</v>
      </c>
      <c r="AD42" s="102">
        <v>1657673</v>
      </c>
      <c r="AE42" s="102">
        <v>307718</v>
      </c>
      <c r="AF42" s="102">
        <v>2000</v>
      </c>
      <c r="AG42" s="102">
        <v>11994</v>
      </c>
      <c r="AH42" s="73">
        <f t="shared" si="3"/>
        <v>92744</v>
      </c>
      <c r="AI42" s="102">
        <v>52168</v>
      </c>
      <c r="AJ42" s="102">
        <v>40576</v>
      </c>
      <c r="AK42" s="102">
        <v>1535879</v>
      </c>
      <c r="AL42" s="73">
        <f t="shared" si="4"/>
        <v>113329</v>
      </c>
      <c r="AM42" s="102">
        <v>0</v>
      </c>
      <c r="AN42" s="102">
        <v>3170</v>
      </c>
      <c r="AO42" s="74"/>
      <c r="AP42" s="102">
        <v>110159</v>
      </c>
      <c r="AQ42" s="102">
        <v>1117712</v>
      </c>
      <c r="AR42" s="102">
        <v>43866</v>
      </c>
      <c r="AS42" s="102">
        <v>0</v>
      </c>
      <c r="AT42" s="102">
        <v>388604</v>
      </c>
      <c r="AU42" s="102">
        <v>142251</v>
      </c>
      <c r="AV42" s="102">
        <v>1747</v>
      </c>
      <c r="AW42" s="102">
        <v>14656</v>
      </c>
      <c r="AX42" s="102">
        <v>246353</v>
      </c>
      <c r="AY42" s="102">
        <v>32818</v>
      </c>
      <c r="AZ42" s="102">
        <v>11936</v>
      </c>
      <c r="BA42" s="102">
        <v>4001</v>
      </c>
      <c r="BB42" s="102">
        <v>2618</v>
      </c>
      <c r="BC42" s="102">
        <v>1972225</v>
      </c>
      <c r="BD42" s="102">
        <v>1870000</v>
      </c>
      <c r="BE42" s="102">
        <v>0</v>
      </c>
      <c r="BF42" s="102">
        <v>99699</v>
      </c>
      <c r="BG42" s="102">
        <v>0</v>
      </c>
      <c r="BH42" s="102">
        <v>442641</v>
      </c>
      <c r="BI42" s="102">
        <v>313800</v>
      </c>
      <c r="BJ42" s="102">
        <v>63850</v>
      </c>
      <c r="BK42" s="102">
        <v>0</v>
      </c>
      <c r="BL42" s="102">
        <v>0</v>
      </c>
      <c r="BM42" s="102">
        <v>0</v>
      </c>
      <c r="BN42" s="102">
        <v>1295475</v>
      </c>
      <c r="BO42" s="73">
        <f t="shared" si="5"/>
        <v>1071900</v>
      </c>
      <c r="BP42" s="73">
        <f t="shared" si="6"/>
        <v>223575</v>
      </c>
      <c r="BQ42" s="102">
        <v>0</v>
      </c>
      <c r="BR42" s="102">
        <v>0</v>
      </c>
      <c r="BS42" s="102">
        <v>223575</v>
      </c>
      <c r="BT42" s="102">
        <v>0</v>
      </c>
      <c r="BU42" s="102">
        <v>9348003</v>
      </c>
      <c r="BV42" s="71"/>
      <c r="BW42" s="102">
        <v>1078341</v>
      </c>
      <c r="BX42" s="102">
        <v>544563</v>
      </c>
      <c r="BY42" s="102">
        <v>91674</v>
      </c>
      <c r="BZ42" s="102">
        <v>178091</v>
      </c>
      <c r="CA42" s="102">
        <v>483889</v>
      </c>
      <c r="CB42" s="102">
        <v>272610</v>
      </c>
      <c r="CC42" s="102">
        <v>27587</v>
      </c>
      <c r="CD42" s="102">
        <v>152994</v>
      </c>
      <c r="CE42" s="102">
        <v>0</v>
      </c>
      <c r="CF42" s="102">
        <v>5343</v>
      </c>
      <c r="CG42" s="102">
        <v>25355</v>
      </c>
      <c r="CH42" s="102">
        <v>409841</v>
      </c>
      <c r="CI42" s="102">
        <v>358462</v>
      </c>
      <c r="CJ42" s="83">
        <f t="shared" si="17"/>
        <v>51379</v>
      </c>
      <c r="CK42" s="102">
        <v>708970</v>
      </c>
      <c r="CL42" s="102">
        <v>447656</v>
      </c>
      <c r="CM42" s="102">
        <v>23328</v>
      </c>
      <c r="CN42" s="102">
        <v>130433</v>
      </c>
      <c r="CO42" s="102">
        <v>21488</v>
      </c>
      <c r="CP42" s="102">
        <v>828459</v>
      </c>
      <c r="CQ42" s="102">
        <v>206794</v>
      </c>
      <c r="CR42" s="102">
        <v>166124</v>
      </c>
      <c r="CS42" s="102">
        <v>104297</v>
      </c>
      <c r="CT42" s="73">
        <f t="shared" si="7"/>
        <v>123820</v>
      </c>
      <c r="CU42" s="102">
        <v>4132</v>
      </c>
      <c r="CV42" s="102">
        <v>119688</v>
      </c>
      <c r="CW42" s="73">
        <f t="shared" si="8"/>
        <v>0</v>
      </c>
      <c r="CX42" s="102">
        <v>0</v>
      </c>
      <c r="CY42" s="102">
        <v>0</v>
      </c>
      <c r="CZ42" s="73">
        <f t="shared" si="9"/>
        <v>0</v>
      </c>
      <c r="DA42" s="102">
        <v>0</v>
      </c>
      <c r="DB42" s="102">
        <v>0</v>
      </c>
      <c r="DC42" s="102">
        <v>4274107</v>
      </c>
      <c r="DD42" s="102">
        <v>2303640</v>
      </c>
      <c r="DE42" s="102">
        <v>1970467</v>
      </c>
      <c r="DF42" s="102">
        <v>0</v>
      </c>
      <c r="DG42" s="102">
        <v>0</v>
      </c>
      <c r="DH42" s="102">
        <v>145666</v>
      </c>
      <c r="DI42" s="102">
        <v>421018</v>
      </c>
      <c r="DJ42" s="102">
        <v>285237</v>
      </c>
      <c r="DK42" s="102">
        <v>0</v>
      </c>
      <c r="DL42" s="102">
        <v>135781</v>
      </c>
      <c r="DM42" s="102">
        <v>65320</v>
      </c>
      <c r="DN42" s="102">
        <v>65320</v>
      </c>
      <c r="DO42" s="102">
        <v>65320</v>
      </c>
      <c r="DP42" s="102">
        <v>0</v>
      </c>
      <c r="DQ42" s="102">
        <v>0</v>
      </c>
      <c r="DR42" s="102">
        <v>0</v>
      </c>
      <c r="DS42" s="102">
        <v>0</v>
      </c>
      <c r="DT42" s="102">
        <v>753788</v>
      </c>
      <c r="DU42" s="102">
        <v>222900</v>
      </c>
      <c r="DV42" s="73">
        <f t="shared" si="10"/>
        <v>0</v>
      </c>
      <c r="DW42" s="102">
        <v>0</v>
      </c>
      <c r="DX42" s="102">
        <v>203643</v>
      </c>
      <c r="DY42" s="102">
        <v>0</v>
      </c>
      <c r="DZ42" s="102">
        <v>123188</v>
      </c>
      <c r="EA42" s="74">
        <v>0</v>
      </c>
      <c r="EB42" s="102">
        <v>167726</v>
      </c>
      <c r="EC42" s="102">
        <v>0</v>
      </c>
      <c r="ED42" s="102">
        <v>9190887</v>
      </c>
      <c r="EE42" s="71"/>
      <c r="EF42" s="102">
        <v>157116</v>
      </c>
      <c r="EG42" s="102">
        <v>2921</v>
      </c>
      <c r="EH42" s="102">
        <v>154195</v>
      </c>
      <c r="EI42" s="102">
        <v>-159605</v>
      </c>
      <c r="EJ42" s="102">
        <v>-1744368</v>
      </c>
      <c r="EK42" s="71"/>
      <c r="EL42" s="102">
        <v>10256</v>
      </c>
      <c r="EM42" s="102">
        <v>10893</v>
      </c>
      <c r="EN42" s="102">
        <v>1959525</v>
      </c>
      <c r="EO42" s="102">
        <v>5536</v>
      </c>
      <c r="EP42" s="73">
        <f t="shared" si="11"/>
        <v>430694</v>
      </c>
      <c r="EQ42" s="102">
        <v>3530037</v>
      </c>
      <c r="ER42" s="71">
        <v>-2617330</v>
      </c>
      <c r="ES42" s="102">
        <v>1006976</v>
      </c>
      <c r="ET42" s="102">
        <v>488894</v>
      </c>
      <c r="EU42" s="102">
        <v>147509</v>
      </c>
      <c r="EV42" s="102">
        <v>409841</v>
      </c>
      <c r="EW42" s="73">
        <f t="shared" si="12"/>
        <v>1975928</v>
      </c>
      <c r="EX42" s="102">
        <v>1972822</v>
      </c>
      <c r="EY42" s="102">
        <v>119874</v>
      </c>
      <c r="EZ42" s="102">
        <v>1852948</v>
      </c>
      <c r="FA42" s="102">
        <v>3106</v>
      </c>
      <c r="FB42" s="102">
        <v>0</v>
      </c>
      <c r="FC42" s="102">
        <v>580024</v>
      </c>
      <c r="FD42" s="102">
        <v>718634</v>
      </c>
      <c r="FE42" s="102">
        <v>206794</v>
      </c>
      <c r="FF42" s="102">
        <v>658271</v>
      </c>
      <c r="FG42" s="73">
        <f t="shared" si="13"/>
        <v>493068</v>
      </c>
      <c r="FH42" s="102">
        <v>5990251</v>
      </c>
      <c r="FI42" s="379">
        <f t="shared" si="14"/>
        <v>4.5</v>
      </c>
      <c r="FJ42" s="102">
        <v>3165749</v>
      </c>
      <c r="FK42" s="102">
        <v>223575</v>
      </c>
      <c r="FL42" s="102">
        <v>1198509</v>
      </c>
      <c r="FM42" s="102">
        <v>2856619</v>
      </c>
      <c r="FN42" s="428">
        <v>0.42599999999999999</v>
      </c>
      <c r="FO42" s="424">
        <v>94.9</v>
      </c>
      <c r="FP42" s="425">
        <v>27.6</v>
      </c>
      <c r="FQ42" s="424">
        <v>4.3</v>
      </c>
      <c r="FR42" s="424">
        <v>11.8</v>
      </c>
      <c r="FS42" s="425">
        <v>13.4</v>
      </c>
      <c r="FT42" s="424">
        <v>17.600000000000001</v>
      </c>
      <c r="FU42" s="425">
        <v>17.899999999999999</v>
      </c>
      <c r="FV42" s="384">
        <v>12.9</v>
      </c>
      <c r="FW42" s="102">
        <v>5974901</v>
      </c>
      <c r="FX42" s="384">
        <f t="shared" si="15"/>
        <v>176.3</v>
      </c>
      <c r="FY42" s="102">
        <v>2381312</v>
      </c>
      <c r="FZ42" s="102">
        <v>1560445</v>
      </c>
      <c r="GA42" s="102">
        <v>0</v>
      </c>
      <c r="GB42" s="102">
        <v>820867</v>
      </c>
      <c r="GC42" s="102">
        <v>0</v>
      </c>
      <c r="GD42" s="427"/>
      <c r="GE42" s="386"/>
      <c r="GF42" s="424">
        <v>98.9</v>
      </c>
      <c r="GG42" s="424">
        <v>26.1</v>
      </c>
      <c r="GH42" s="424">
        <v>94.7</v>
      </c>
      <c r="GI42" s="102">
        <v>94</v>
      </c>
      <c r="GJ42" s="429" t="s">
        <v>646</v>
      </c>
      <c r="GK42" s="429">
        <v>15</v>
      </c>
      <c r="GL42" s="87">
        <v>20</v>
      </c>
      <c r="GM42" s="429" t="s">
        <v>646</v>
      </c>
      <c r="GN42" s="430">
        <v>20</v>
      </c>
      <c r="GO42" s="430">
        <v>30</v>
      </c>
      <c r="GP42" s="425">
        <v>12.9</v>
      </c>
      <c r="GQ42" s="425">
        <v>25</v>
      </c>
      <c r="GR42" s="425">
        <v>35</v>
      </c>
      <c r="GS42" s="431">
        <v>128.6</v>
      </c>
      <c r="GT42" s="425">
        <v>350</v>
      </c>
      <c r="GU42" s="394"/>
      <c r="GV42" s="100">
        <f t="shared" si="16"/>
        <v>3389</v>
      </c>
      <c r="GW42" s="394"/>
      <c r="GX42" s="394"/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</row>
    <row r="43" spans="2:230" x14ac:dyDescent="0.15">
      <c r="B43" s="89" t="s">
        <v>75</v>
      </c>
      <c r="C43" s="102">
        <v>2262894</v>
      </c>
      <c r="D43" s="73">
        <f t="shared" si="0"/>
        <v>698883</v>
      </c>
      <c r="E43" s="102">
        <v>24780</v>
      </c>
      <c r="F43" s="102">
        <v>674103</v>
      </c>
      <c r="G43" s="73">
        <f t="shared" si="1"/>
        <v>137786</v>
      </c>
      <c r="H43" s="102">
        <v>46753</v>
      </c>
      <c r="I43" s="102">
        <v>91033</v>
      </c>
      <c r="J43" s="102">
        <v>1062473</v>
      </c>
      <c r="K43" s="102">
        <v>519967</v>
      </c>
      <c r="L43" s="102">
        <v>391622</v>
      </c>
      <c r="M43" s="102">
        <v>139711</v>
      </c>
      <c r="N43" s="102">
        <v>109777</v>
      </c>
      <c r="O43" s="102">
        <v>226150</v>
      </c>
      <c r="P43" s="102">
        <v>140996</v>
      </c>
      <c r="Q43" s="102">
        <v>85154</v>
      </c>
      <c r="R43" s="102">
        <v>33181</v>
      </c>
      <c r="S43" s="74"/>
      <c r="T43" s="73">
        <f t="shared" si="2"/>
        <v>396926</v>
      </c>
      <c r="U43" s="102">
        <v>6035</v>
      </c>
      <c r="V43" s="102">
        <v>14197</v>
      </c>
      <c r="W43" s="102">
        <v>15604</v>
      </c>
      <c r="X43" s="102">
        <v>349023</v>
      </c>
      <c r="Y43" s="102">
        <v>0</v>
      </c>
      <c r="Z43" s="102">
        <v>0</v>
      </c>
      <c r="AA43" s="102">
        <v>12067</v>
      </c>
      <c r="AB43" s="102">
        <v>12733</v>
      </c>
      <c r="AC43" s="102">
        <v>1727989</v>
      </c>
      <c r="AD43" s="102">
        <v>1455232</v>
      </c>
      <c r="AE43" s="102">
        <v>272757</v>
      </c>
      <c r="AF43" s="102">
        <v>3391</v>
      </c>
      <c r="AG43" s="102">
        <v>4817</v>
      </c>
      <c r="AH43" s="73">
        <f t="shared" si="3"/>
        <v>189691</v>
      </c>
      <c r="AI43" s="102">
        <v>149707</v>
      </c>
      <c r="AJ43" s="102">
        <v>39984</v>
      </c>
      <c r="AK43" s="102">
        <v>520169</v>
      </c>
      <c r="AL43" s="73">
        <f t="shared" si="4"/>
        <v>140872</v>
      </c>
      <c r="AM43" s="102">
        <v>0</v>
      </c>
      <c r="AN43" s="102">
        <v>34827</v>
      </c>
      <c r="AO43" s="74"/>
      <c r="AP43" s="102">
        <v>106045</v>
      </c>
      <c r="AQ43" s="102">
        <v>0</v>
      </c>
      <c r="AR43" s="102">
        <v>0</v>
      </c>
      <c r="AS43" s="102">
        <v>0</v>
      </c>
      <c r="AT43" s="102">
        <v>428439</v>
      </c>
      <c r="AU43" s="102">
        <v>174359</v>
      </c>
      <c r="AV43" s="102">
        <v>17414</v>
      </c>
      <c r="AW43" s="102">
        <v>162</v>
      </c>
      <c r="AX43" s="102">
        <v>254080</v>
      </c>
      <c r="AY43" s="102">
        <v>0</v>
      </c>
      <c r="AZ43" s="102">
        <v>24403</v>
      </c>
      <c r="BA43" s="102">
        <v>2359</v>
      </c>
      <c r="BB43" s="102">
        <v>848</v>
      </c>
      <c r="BC43" s="102">
        <v>239149</v>
      </c>
      <c r="BD43" s="102">
        <v>230000</v>
      </c>
      <c r="BE43" s="102">
        <v>0</v>
      </c>
      <c r="BF43" s="102">
        <v>4764</v>
      </c>
      <c r="BG43" s="102">
        <v>0</v>
      </c>
      <c r="BH43" s="102">
        <v>76361</v>
      </c>
      <c r="BI43" s="102">
        <v>3697</v>
      </c>
      <c r="BJ43" s="102">
        <v>80693</v>
      </c>
      <c r="BK43" s="102">
        <v>0</v>
      </c>
      <c r="BL43" s="102">
        <v>0</v>
      </c>
      <c r="BM43" s="102">
        <v>0</v>
      </c>
      <c r="BN43" s="102">
        <v>457858</v>
      </c>
      <c r="BO43" s="73">
        <f t="shared" si="5"/>
        <v>145500</v>
      </c>
      <c r="BP43" s="73">
        <f t="shared" si="6"/>
        <v>312358</v>
      </c>
      <c r="BQ43" s="102">
        <v>0</v>
      </c>
      <c r="BR43" s="102">
        <v>0</v>
      </c>
      <c r="BS43" s="102">
        <v>312358</v>
      </c>
      <c r="BT43" s="102">
        <v>0</v>
      </c>
      <c r="BU43" s="102">
        <v>6459542</v>
      </c>
      <c r="BV43" s="71"/>
      <c r="BW43" s="102">
        <v>1386263</v>
      </c>
      <c r="BX43" s="102">
        <v>909704</v>
      </c>
      <c r="BY43" s="102">
        <v>161529</v>
      </c>
      <c r="BZ43" s="102">
        <v>20468</v>
      </c>
      <c r="CA43" s="102">
        <v>1039844</v>
      </c>
      <c r="CB43" s="102">
        <v>368724</v>
      </c>
      <c r="CC43" s="102">
        <v>34112</v>
      </c>
      <c r="CD43" s="102">
        <v>616531</v>
      </c>
      <c r="CE43" s="102">
        <v>0</v>
      </c>
      <c r="CF43" s="102">
        <v>0</v>
      </c>
      <c r="CG43" s="102">
        <v>20477</v>
      </c>
      <c r="CH43" s="102">
        <v>915204</v>
      </c>
      <c r="CI43" s="102">
        <v>794996</v>
      </c>
      <c r="CJ43" s="83">
        <f t="shared" si="17"/>
        <v>120208</v>
      </c>
      <c r="CK43" s="102">
        <v>1489616</v>
      </c>
      <c r="CL43" s="102">
        <v>1018908</v>
      </c>
      <c r="CM43" s="102">
        <v>146854</v>
      </c>
      <c r="CN43" s="102">
        <v>162697</v>
      </c>
      <c r="CO43" s="102">
        <v>56338</v>
      </c>
      <c r="CP43" s="102">
        <v>233803</v>
      </c>
      <c r="CQ43" s="102">
        <v>1992</v>
      </c>
      <c r="CR43" s="102">
        <v>45054</v>
      </c>
      <c r="CS43" s="102">
        <v>26872</v>
      </c>
      <c r="CT43" s="73">
        <f t="shared" si="7"/>
        <v>27414</v>
      </c>
      <c r="CU43" s="102">
        <v>27414</v>
      </c>
      <c r="CV43" s="102">
        <v>0</v>
      </c>
      <c r="CW43" s="73">
        <f t="shared" si="8"/>
        <v>27111</v>
      </c>
      <c r="CX43" s="102">
        <v>27111</v>
      </c>
      <c r="CY43" s="102">
        <v>0</v>
      </c>
      <c r="CZ43" s="73">
        <f t="shared" si="9"/>
        <v>0</v>
      </c>
      <c r="DA43" s="102">
        <v>0</v>
      </c>
      <c r="DB43" s="102">
        <v>0</v>
      </c>
      <c r="DC43" s="102">
        <v>179961</v>
      </c>
      <c r="DD43" s="102">
        <v>0</v>
      </c>
      <c r="DE43" s="102">
        <v>179961</v>
      </c>
      <c r="DF43" s="102">
        <v>0</v>
      </c>
      <c r="DG43" s="102">
        <v>0</v>
      </c>
      <c r="DH43" s="102">
        <v>0</v>
      </c>
      <c r="DI43" s="102">
        <v>3122</v>
      </c>
      <c r="DJ43" s="102">
        <v>2431</v>
      </c>
      <c r="DK43" s="102">
        <v>0</v>
      </c>
      <c r="DL43" s="102">
        <v>691</v>
      </c>
      <c r="DM43" s="102">
        <v>0</v>
      </c>
      <c r="DN43" s="102">
        <v>0</v>
      </c>
      <c r="DO43" s="102">
        <v>0</v>
      </c>
      <c r="DP43" s="102">
        <v>0</v>
      </c>
      <c r="DQ43" s="102">
        <v>0</v>
      </c>
      <c r="DR43" s="102">
        <v>0</v>
      </c>
      <c r="DS43" s="102">
        <v>0</v>
      </c>
      <c r="DT43" s="102">
        <v>1150577</v>
      </c>
      <c r="DU43" s="102">
        <v>428450</v>
      </c>
      <c r="DV43" s="73">
        <f t="shared" si="10"/>
        <v>0</v>
      </c>
      <c r="DW43" s="102">
        <v>0</v>
      </c>
      <c r="DX43" s="102">
        <v>287336</v>
      </c>
      <c r="DY43" s="102">
        <v>0</v>
      </c>
      <c r="DZ43" s="102">
        <v>227950</v>
      </c>
      <c r="EA43" s="74">
        <v>0</v>
      </c>
      <c r="EB43" s="102">
        <v>206841</v>
      </c>
      <c r="EC43" s="102">
        <v>0</v>
      </c>
      <c r="ED43" s="102">
        <v>6454728</v>
      </c>
      <c r="EE43" s="71"/>
      <c r="EF43" s="102">
        <v>4814</v>
      </c>
      <c r="EG43" s="102">
        <v>113</v>
      </c>
      <c r="EH43" s="102">
        <v>4701</v>
      </c>
      <c r="EI43" s="102">
        <v>1004</v>
      </c>
      <c r="EJ43" s="102">
        <v>-226565</v>
      </c>
      <c r="EK43" s="71"/>
      <c r="EL43" s="102">
        <v>17298</v>
      </c>
      <c r="EM43" s="102">
        <v>17526</v>
      </c>
      <c r="EN43" s="102">
        <v>234385</v>
      </c>
      <c r="EO43" s="102">
        <v>24209</v>
      </c>
      <c r="EP43" s="73">
        <f t="shared" si="11"/>
        <v>97790</v>
      </c>
      <c r="EQ43" s="102">
        <v>4437114</v>
      </c>
      <c r="ER43" s="71">
        <v>-665351</v>
      </c>
      <c r="ES43" s="102">
        <v>1278682</v>
      </c>
      <c r="ET43" s="102">
        <v>839513</v>
      </c>
      <c r="EU43" s="102">
        <v>367449</v>
      </c>
      <c r="EV43" s="102">
        <v>915204</v>
      </c>
      <c r="EW43" s="73">
        <f t="shared" si="12"/>
        <v>33111</v>
      </c>
      <c r="EX43" s="102">
        <v>33111</v>
      </c>
      <c r="EY43" s="102">
        <v>0</v>
      </c>
      <c r="EZ43" s="102">
        <v>33111</v>
      </c>
      <c r="FA43" s="102">
        <v>0</v>
      </c>
      <c r="FB43" s="102">
        <v>0</v>
      </c>
      <c r="FC43" s="102">
        <v>1242497</v>
      </c>
      <c r="FD43" s="102">
        <v>195760</v>
      </c>
      <c r="FE43" s="102">
        <v>1992</v>
      </c>
      <c r="FF43" s="102">
        <v>1008457</v>
      </c>
      <c r="FG43" s="73">
        <f t="shared" si="13"/>
        <v>56491</v>
      </c>
      <c r="FH43" s="102">
        <v>5097651</v>
      </c>
      <c r="FI43" s="379">
        <f t="shared" si="14"/>
        <v>0.1</v>
      </c>
      <c r="FJ43" s="102">
        <v>3868927</v>
      </c>
      <c r="FK43" s="102">
        <v>312358</v>
      </c>
      <c r="FL43" s="102">
        <v>1893067</v>
      </c>
      <c r="FM43" s="102">
        <v>3348299</v>
      </c>
      <c r="FN43" s="428">
        <v>0.56299999999999994</v>
      </c>
      <c r="FO43" s="424">
        <v>113.6</v>
      </c>
      <c r="FP43" s="425">
        <v>29.6</v>
      </c>
      <c r="FQ43" s="424">
        <v>8.5</v>
      </c>
      <c r="FR43" s="424">
        <v>21.3</v>
      </c>
      <c r="FS43" s="425">
        <v>26.9</v>
      </c>
      <c r="FT43" s="424">
        <v>3.5</v>
      </c>
      <c r="FU43" s="425">
        <v>22.6</v>
      </c>
      <c r="FV43" s="384">
        <v>19.7</v>
      </c>
      <c r="FW43" s="102">
        <v>8552156</v>
      </c>
      <c r="FX43" s="384">
        <f t="shared" si="15"/>
        <v>204.5</v>
      </c>
      <c r="FY43" s="102">
        <v>597882</v>
      </c>
      <c r="FZ43" s="102">
        <v>427544</v>
      </c>
      <c r="GA43" s="102">
        <v>0</v>
      </c>
      <c r="GB43" s="102">
        <v>170338</v>
      </c>
      <c r="GC43" s="102">
        <v>0</v>
      </c>
      <c r="GD43" s="427"/>
      <c r="GE43" s="386"/>
      <c r="GF43" s="424">
        <v>98.8</v>
      </c>
      <c r="GG43" s="424">
        <v>28.5</v>
      </c>
      <c r="GH43" s="424">
        <v>94.7</v>
      </c>
      <c r="GI43" s="102">
        <v>153</v>
      </c>
      <c r="GJ43" s="429" t="s">
        <v>646</v>
      </c>
      <c r="GK43" s="429">
        <v>15</v>
      </c>
      <c r="GL43" s="87">
        <v>20</v>
      </c>
      <c r="GM43" s="429" t="s">
        <v>646</v>
      </c>
      <c r="GN43" s="430">
        <v>20</v>
      </c>
      <c r="GO43" s="430">
        <v>30</v>
      </c>
      <c r="GP43" s="425">
        <v>19.7</v>
      </c>
      <c r="GQ43" s="425">
        <v>25</v>
      </c>
      <c r="GR43" s="425">
        <v>35</v>
      </c>
      <c r="GS43" s="431">
        <v>111.9</v>
      </c>
      <c r="GT43" s="425">
        <v>350</v>
      </c>
      <c r="GU43" s="394"/>
      <c r="GV43" s="100">
        <f t="shared" si="16"/>
        <v>4181</v>
      </c>
      <c r="GW43" s="394"/>
      <c r="GX43" s="394"/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</row>
    <row r="44" spans="2:230" x14ac:dyDescent="0.15">
      <c r="B44" s="89" t="s">
        <v>77</v>
      </c>
      <c r="C44" s="102">
        <v>4204964</v>
      </c>
      <c r="D44" s="73">
        <f t="shared" si="0"/>
        <v>2236405</v>
      </c>
      <c r="E44" s="102">
        <v>69422</v>
      </c>
      <c r="F44" s="102">
        <v>2166983</v>
      </c>
      <c r="G44" s="73">
        <f t="shared" si="1"/>
        <v>134516</v>
      </c>
      <c r="H44" s="102">
        <v>47162</v>
      </c>
      <c r="I44" s="102">
        <v>87354</v>
      </c>
      <c r="J44" s="102">
        <v>1586826</v>
      </c>
      <c r="K44" s="102">
        <v>588400</v>
      </c>
      <c r="L44" s="102">
        <v>774960</v>
      </c>
      <c r="M44" s="102">
        <v>211613</v>
      </c>
      <c r="N44" s="102">
        <v>169136</v>
      </c>
      <c r="O44" s="102">
        <v>0</v>
      </c>
      <c r="P44" s="102">
        <v>0</v>
      </c>
      <c r="Q44" s="102">
        <v>0</v>
      </c>
      <c r="R44" s="102">
        <v>92043</v>
      </c>
      <c r="S44" s="74"/>
      <c r="T44" s="73">
        <f t="shared" si="2"/>
        <v>952001</v>
      </c>
      <c r="U44" s="102">
        <v>19812</v>
      </c>
      <c r="V44" s="102">
        <v>46390</v>
      </c>
      <c r="W44" s="102">
        <v>50796</v>
      </c>
      <c r="X44" s="102">
        <v>790032</v>
      </c>
      <c r="Y44" s="102">
        <v>11478</v>
      </c>
      <c r="Z44" s="102">
        <v>0</v>
      </c>
      <c r="AA44" s="102">
        <v>33493</v>
      </c>
      <c r="AB44" s="102">
        <v>34744</v>
      </c>
      <c r="AC44" s="102">
        <v>2458600</v>
      </c>
      <c r="AD44" s="102">
        <v>2265048</v>
      </c>
      <c r="AE44" s="102">
        <v>193551</v>
      </c>
      <c r="AF44" s="102">
        <v>7094</v>
      </c>
      <c r="AG44" s="102">
        <v>3125</v>
      </c>
      <c r="AH44" s="73">
        <f t="shared" si="3"/>
        <v>431126</v>
      </c>
      <c r="AI44" s="102">
        <v>334274</v>
      </c>
      <c r="AJ44" s="102">
        <v>96852</v>
      </c>
      <c r="AK44" s="102">
        <v>1799627</v>
      </c>
      <c r="AL44" s="73">
        <f t="shared" si="4"/>
        <v>420345</v>
      </c>
      <c r="AM44" s="102">
        <v>0</v>
      </c>
      <c r="AN44" s="102">
        <v>151435</v>
      </c>
      <c r="AO44" s="74"/>
      <c r="AP44" s="102">
        <v>268910</v>
      </c>
      <c r="AQ44" s="102">
        <v>175641</v>
      </c>
      <c r="AR44" s="102">
        <v>0</v>
      </c>
      <c r="AS44" s="102">
        <v>0</v>
      </c>
      <c r="AT44" s="102">
        <v>1082428</v>
      </c>
      <c r="AU44" s="102">
        <v>617320</v>
      </c>
      <c r="AV44" s="102">
        <v>76337</v>
      </c>
      <c r="AW44" s="102">
        <v>179736</v>
      </c>
      <c r="AX44" s="102">
        <v>465108</v>
      </c>
      <c r="AY44" s="102">
        <v>3355</v>
      </c>
      <c r="AZ44" s="102">
        <v>323992</v>
      </c>
      <c r="BA44" s="102">
        <v>315870</v>
      </c>
      <c r="BB44" s="102">
        <v>121463</v>
      </c>
      <c r="BC44" s="102">
        <v>211194</v>
      </c>
      <c r="BD44" s="102">
        <v>73000</v>
      </c>
      <c r="BE44" s="102">
        <v>0</v>
      </c>
      <c r="BF44" s="102">
        <v>138107</v>
      </c>
      <c r="BG44" s="102">
        <v>0</v>
      </c>
      <c r="BH44" s="102">
        <v>123485</v>
      </c>
      <c r="BI44" s="102">
        <v>53113</v>
      </c>
      <c r="BJ44" s="102">
        <v>220410</v>
      </c>
      <c r="BK44" s="102">
        <v>0</v>
      </c>
      <c r="BL44" s="102">
        <v>0</v>
      </c>
      <c r="BM44" s="102">
        <v>0</v>
      </c>
      <c r="BN44" s="102">
        <v>1326650</v>
      </c>
      <c r="BO44" s="73">
        <f t="shared" si="5"/>
        <v>686650</v>
      </c>
      <c r="BP44" s="73">
        <f t="shared" si="6"/>
        <v>640000</v>
      </c>
      <c r="BQ44" s="102">
        <v>0</v>
      </c>
      <c r="BR44" s="102">
        <v>0</v>
      </c>
      <c r="BS44" s="102">
        <v>640000</v>
      </c>
      <c r="BT44" s="102">
        <v>0</v>
      </c>
      <c r="BU44" s="102">
        <v>13392946</v>
      </c>
      <c r="BV44" s="71"/>
      <c r="BW44" s="102">
        <v>2454784</v>
      </c>
      <c r="BX44" s="102">
        <v>1565631</v>
      </c>
      <c r="BY44" s="102">
        <v>177449</v>
      </c>
      <c r="BZ44" s="102">
        <v>218902</v>
      </c>
      <c r="CA44" s="102">
        <v>2322078</v>
      </c>
      <c r="CB44" s="102">
        <v>687296</v>
      </c>
      <c r="CC44" s="102">
        <v>83460</v>
      </c>
      <c r="CD44" s="102">
        <v>1495306</v>
      </c>
      <c r="CE44" s="102">
        <v>0</v>
      </c>
      <c r="CF44" s="102">
        <v>1599</v>
      </c>
      <c r="CG44" s="102">
        <v>54417</v>
      </c>
      <c r="CH44" s="102">
        <v>1158273</v>
      </c>
      <c r="CI44" s="102">
        <v>1073284</v>
      </c>
      <c r="CJ44" s="83">
        <f t="shared" si="17"/>
        <v>84989</v>
      </c>
      <c r="CK44" s="102">
        <v>1985125</v>
      </c>
      <c r="CL44" s="102">
        <v>1020616</v>
      </c>
      <c r="CM44" s="102">
        <v>208678</v>
      </c>
      <c r="CN44" s="102">
        <v>398648</v>
      </c>
      <c r="CO44" s="102">
        <v>144951</v>
      </c>
      <c r="CP44" s="102">
        <v>1194296</v>
      </c>
      <c r="CQ44" s="102">
        <v>480162</v>
      </c>
      <c r="CR44" s="102">
        <v>395711</v>
      </c>
      <c r="CS44" s="102">
        <v>229156</v>
      </c>
      <c r="CT44" s="73">
        <f t="shared" si="7"/>
        <v>8438</v>
      </c>
      <c r="CU44" s="102">
        <v>7186</v>
      </c>
      <c r="CV44" s="102">
        <v>1252</v>
      </c>
      <c r="CW44" s="73">
        <f t="shared" si="8"/>
        <v>0</v>
      </c>
      <c r="CX44" s="102">
        <v>0</v>
      </c>
      <c r="CY44" s="102">
        <v>0</v>
      </c>
      <c r="CZ44" s="73">
        <f t="shared" si="9"/>
        <v>0</v>
      </c>
      <c r="DA44" s="102">
        <v>0</v>
      </c>
      <c r="DB44" s="102">
        <v>0</v>
      </c>
      <c r="DC44" s="102">
        <v>1827559</v>
      </c>
      <c r="DD44" s="102">
        <v>1028728</v>
      </c>
      <c r="DE44" s="102">
        <v>798464</v>
      </c>
      <c r="DF44" s="102">
        <v>367</v>
      </c>
      <c r="DG44" s="102">
        <v>0</v>
      </c>
      <c r="DH44" s="102">
        <v>172</v>
      </c>
      <c r="DI44" s="102">
        <v>466200</v>
      </c>
      <c r="DJ44" s="102">
        <v>337603</v>
      </c>
      <c r="DK44" s="102">
        <v>828</v>
      </c>
      <c r="DL44" s="102">
        <v>127769</v>
      </c>
      <c r="DM44" s="102">
        <v>31000</v>
      </c>
      <c r="DN44" s="102">
        <v>31000</v>
      </c>
      <c r="DO44" s="102">
        <v>31000</v>
      </c>
      <c r="DP44" s="102">
        <v>0</v>
      </c>
      <c r="DQ44" s="102">
        <v>0</v>
      </c>
      <c r="DR44" s="102">
        <v>0</v>
      </c>
      <c r="DS44" s="102">
        <v>0</v>
      </c>
      <c r="DT44" s="102">
        <v>1710267</v>
      </c>
      <c r="DU44" s="102">
        <v>326200</v>
      </c>
      <c r="DV44" s="73">
        <f t="shared" si="10"/>
        <v>0</v>
      </c>
      <c r="DW44" s="102">
        <v>0</v>
      </c>
      <c r="DX44" s="102">
        <v>504348</v>
      </c>
      <c r="DY44" s="102">
        <v>0</v>
      </c>
      <c r="DZ44" s="102">
        <v>414118</v>
      </c>
      <c r="EA44" s="74">
        <v>0</v>
      </c>
      <c r="EB44" s="102">
        <v>465601</v>
      </c>
      <c r="EC44" s="102">
        <v>0</v>
      </c>
      <c r="ED44" s="102">
        <v>13294705</v>
      </c>
      <c r="EE44" s="71"/>
      <c r="EF44" s="102">
        <v>98241</v>
      </c>
      <c r="EG44" s="102">
        <v>45283</v>
      </c>
      <c r="EH44" s="102">
        <v>52958</v>
      </c>
      <c r="EI44" s="102">
        <v>-155</v>
      </c>
      <c r="EJ44" s="102">
        <v>264448</v>
      </c>
      <c r="EK44" s="71"/>
      <c r="EL44" s="102">
        <v>44435</v>
      </c>
      <c r="EM44" s="102">
        <v>44118</v>
      </c>
      <c r="EN44" s="102">
        <v>82018</v>
      </c>
      <c r="EO44" s="102">
        <v>322150</v>
      </c>
      <c r="EP44" s="73">
        <f t="shared" si="11"/>
        <v>490780</v>
      </c>
      <c r="EQ44" s="102">
        <v>7749446</v>
      </c>
      <c r="ER44" s="71">
        <v>-1527854</v>
      </c>
      <c r="ES44" s="102">
        <v>2234292</v>
      </c>
      <c r="ET44" s="102">
        <v>1410689</v>
      </c>
      <c r="EU44" s="102">
        <v>867365</v>
      </c>
      <c r="EV44" s="102">
        <v>1128875</v>
      </c>
      <c r="EW44" s="73">
        <f t="shared" si="12"/>
        <v>374610</v>
      </c>
      <c r="EX44" s="102">
        <v>374438</v>
      </c>
      <c r="EY44" s="102">
        <v>32059</v>
      </c>
      <c r="EZ44" s="102">
        <v>342012</v>
      </c>
      <c r="FA44" s="102">
        <v>172</v>
      </c>
      <c r="FB44" s="102">
        <v>0</v>
      </c>
      <c r="FC44" s="102">
        <v>1625314</v>
      </c>
      <c r="FD44" s="102">
        <v>996077</v>
      </c>
      <c r="FE44" s="102">
        <v>479798</v>
      </c>
      <c r="FF44" s="102">
        <v>1451609</v>
      </c>
      <c r="FG44" s="73">
        <f t="shared" si="13"/>
        <v>500917</v>
      </c>
      <c r="FH44" s="102">
        <v>9179059</v>
      </c>
      <c r="FI44" s="379">
        <f t="shared" si="14"/>
        <v>0.7</v>
      </c>
      <c r="FJ44" s="102">
        <v>7341617</v>
      </c>
      <c r="FK44" s="102">
        <v>640604</v>
      </c>
      <c r="FL44" s="102">
        <v>4029573</v>
      </c>
      <c r="FM44" s="102">
        <v>6291601</v>
      </c>
      <c r="FN44" s="428">
        <v>0.64</v>
      </c>
      <c r="FO44" s="424">
        <v>94</v>
      </c>
      <c r="FP44" s="425">
        <v>25.5</v>
      </c>
      <c r="FQ44" s="424">
        <v>10.4</v>
      </c>
      <c r="FR44" s="424">
        <v>13.5</v>
      </c>
      <c r="FS44" s="425">
        <v>18.399999999999999</v>
      </c>
      <c r="FT44" s="424">
        <v>9.5</v>
      </c>
      <c r="FU44" s="425">
        <v>15.5</v>
      </c>
      <c r="FV44" s="384">
        <v>8.4</v>
      </c>
      <c r="FW44" s="102">
        <v>8889890</v>
      </c>
      <c r="FX44" s="384">
        <f t="shared" si="15"/>
        <v>111.4</v>
      </c>
      <c r="FY44" s="102">
        <v>4228877</v>
      </c>
      <c r="FZ44" s="102">
        <v>1429221</v>
      </c>
      <c r="GA44" s="102">
        <v>615492</v>
      </c>
      <c r="GB44" s="102">
        <v>2184164</v>
      </c>
      <c r="GC44" s="102">
        <v>778229</v>
      </c>
      <c r="GD44" s="427">
        <v>778</v>
      </c>
      <c r="GE44" s="386">
        <f>IF(GD44=0,"-",ROUND(GD44/(GV44)*100,1))</f>
        <v>9.6999999999999993</v>
      </c>
      <c r="GF44" s="424">
        <v>98.8</v>
      </c>
      <c r="GG44" s="424">
        <v>31.6</v>
      </c>
      <c r="GH44" s="424">
        <v>95.9</v>
      </c>
      <c r="GI44" s="102">
        <v>287</v>
      </c>
      <c r="GJ44" s="429" t="s">
        <v>646</v>
      </c>
      <c r="GK44" s="429">
        <v>13.75</v>
      </c>
      <c r="GL44" s="87">
        <v>20</v>
      </c>
      <c r="GM44" s="429" t="s">
        <v>646</v>
      </c>
      <c r="GN44" s="430">
        <v>18.75</v>
      </c>
      <c r="GO44" s="430">
        <v>30</v>
      </c>
      <c r="GP44" s="425">
        <v>8.4</v>
      </c>
      <c r="GQ44" s="425">
        <v>25</v>
      </c>
      <c r="GR44" s="425">
        <v>35</v>
      </c>
      <c r="GS44" s="431">
        <v>4.4000000000000004</v>
      </c>
      <c r="GT44" s="425">
        <v>350</v>
      </c>
      <c r="GU44" s="394"/>
      <c r="GV44" s="100">
        <f t="shared" si="16"/>
        <v>7982</v>
      </c>
      <c r="GW44" s="394"/>
      <c r="GX44" s="394"/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</row>
    <row r="45" spans="2:230" x14ac:dyDescent="0.15">
      <c r="B45" s="89" t="s">
        <v>79</v>
      </c>
      <c r="C45" s="102">
        <v>3879634</v>
      </c>
      <c r="D45" s="73">
        <f t="shared" si="0"/>
        <v>377873</v>
      </c>
      <c r="E45" s="102">
        <v>13183</v>
      </c>
      <c r="F45" s="102">
        <v>364690</v>
      </c>
      <c r="G45" s="73">
        <f t="shared" si="1"/>
        <v>289925</v>
      </c>
      <c r="H45" s="102">
        <v>48831</v>
      </c>
      <c r="I45" s="102">
        <v>241094</v>
      </c>
      <c r="J45" s="102">
        <v>2886369</v>
      </c>
      <c r="K45" s="102">
        <v>1494912</v>
      </c>
      <c r="L45" s="102">
        <v>697894</v>
      </c>
      <c r="M45" s="102">
        <v>654796</v>
      </c>
      <c r="N45" s="102">
        <v>312738</v>
      </c>
      <c r="O45" s="102">
        <v>0</v>
      </c>
      <c r="P45" s="102">
        <v>0</v>
      </c>
      <c r="Q45" s="102">
        <v>0</v>
      </c>
      <c r="R45" s="102">
        <v>60237</v>
      </c>
      <c r="S45" s="74"/>
      <c r="T45" s="73">
        <f t="shared" si="2"/>
        <v>209906</v>
      </c>
      <c r="U45" s="102">
        <v>3080</v>
      </c>
      <c r="V45" s="102">
        <v>7254</v>
      </c>
      <c r="W45" s="102">
        <v>7980</v>
      </c>
      <c r="X45" s="102">
        <v>185680</v>
      </c>
      <c r="Y45" s="102">
        <v>0</v>
      </c>
      <c r="Z45" s="102">
        <v>0</v>
      </c>
      <c r="AA45" s="102">
        <v>5912</v>
      </c>
      <c r="AB45" s="102">
        <v>4710</v>
      </c>
      <c r="AC45" s="102">
        <v>5378</v>
      </c>
      <c r="AD45" s="102">
        <v>0</v>
      </c>
      <c r="AE45" s="102">
        <v>5378</v>
      </c>
      <c r="AF45" s="102">
        <v>1295</v>
      </c>
      <c r="AG45" s="102">
        <v>973</v>
      </c>
      <c r="AH45" s="73">
        <f t="shared" si="3"/>
        <v>113133</v>
      </c>
      <c r="AI45" s="102">
        <v>96794</v>
      </c>
      <c r="AJ45" s="102">
        <v>16339</v>
      </c>
      <c r="AK45" s="102">
        <v>313203</v>
      </c>
      <c r="AL45" s="73">
        <f t="shared" si="4"/>
        <v>81785</v>
      </c>
      <c r="AM45" s="102">
        <v>0</v>
      </c>
      <c r="AN45" s="102">
        <v>0</v>
      </c>
      <c r="AO45" s="74"/>
      <c r="AP45" s="102">
        <v>81785</v>
      </c>
      <c r="AQ45" s="102">
        <v>0</v>
      </c>
      <c r="AR45" s="102">
        <v>0</v>
      </c>
      <c r="AS45" s="102">
        <v>0</v>
      </c>
      <c r="AT45" s="102">
        <v>218304</v>
      </c>
      <c r="AU45" s="102">
        <v>121146</v>
      </c>
      <c r="AV45" s="102">
        <v>0</v>
      </c>
      <c r="AW45" s="102">
        <v>0</v>
      </c>
      <c r="AX45" s="102">
        <v>97158</v>
      </c>
      <c r="AY45" s="102">
        <v>246</v>
      </c>
      <c r="AZ45" s="102">
        <v>14195</v>
      </c>
      <c r="BA45" s="102">
        <v>0</v>
      </c>
      <c r="BB45" s="102">
        <v>505</v>
      </c>
      <c r="BC45" s="102">
        <v>403121</v>
      </c>
      <c r="BD45" s="102">
        <v>0</v>
      </c>
      <c r="BE45" s="102">
        <v>403121</v>
      </c>
      <c r="BF45" s="102">
        <v>0</v>
      </c>
      <c r="BG45" s="102">
        <v>0</v>
      </c>
      <c r="BH45" s="102">
        <v>223218</v>
      </c>
      <c r="BI45" s="102">
        <v>213399</v>
      </c>
      <c r="BJ45" s="102">
        <v>92678</v>
      </c>
      <c r="BK45" s="102">
        <v>0</v>
      </c>
      <c r="BL45" s="102">
        <v>0</v>
      </c>
      <c r="BM45" s="102">
        <v>0</v>
      </c>
      <c r="BN45" s="102">
        <v>0</v>
      </c>
      <c r="BO45" s="73">
        <f t="shared" si="5"/>
        <v>0</v>
      </c>
      <c r="BP45" s="73">
        <f t="shared" si="6"/>
        <v>0</v>
      </c>
      <c r="BQ45" s="102">
        <v>0</v>
      </c>
      <c r="BR45" s="102">
        <v>0</v>
      </c>
      <c r="BS45" s="102">
        <v>0</v>
      </c>
      <c r="BT45" s="102">
        <v>0</v>
      </c>
      <c r="BU45" s="102">
        <v>5540490</v>
      </c>
      <c r="BV45" s="71"/>
      <c r="BW45" s="102">
        <v>1147759</v>
      </c>
      <c r="BX45" s="102">
        <v>702915</v>
      </c>
      <c r="BY45" s="102">
        <v>24632</v>
      </c>
      <c r="BZ45" s="102">
        <v>151039</v>
      </c>
      <c r="CA45" s="102">
        <v>481342</v>
      </c>
      <c r="CB45" s="102">
        <v>195535</v>
      </c>
      <c r="CC45" s="102">
        <v>18465</v>
      </c>
      <c r="CD45" s="102">
        <v>252519</v>
      </c>
      <c r="CE45" s="102">
        <v>0</v>
      </c>
      <c r="CF45" s="102">
        <v>879</v>
      </c>
      <c r="CG45" s="102">
        <v>13944</v>
      </c>
      <c r="CH45" s="102">
        <v>721252</v>
      </c>
      <c r="CI45" s="102">
        <v>700397</v>
      </c>
      <c r="CJ45" s="83">
        <f t="shared" si="17"/>
        <v>20855</v>
      </c>
      <c r="CK45" s="102">
        <v>493436</v>
      </c>
      <c r="CL45" s="102">
        <v>282719</v>
      </c>
      <c r="CM45" s="102">
        <v>9554</v>
      </c>
      <c r="CN45" s="102">
        <v>155493</v>
      </c>
      <c r="CO45" s="102">
        <v>17939</v>
      </c>
      <c r="CP45" s="102">
        <v>743949</v>
      </c>
      <c r="CQ45" s="102">
        <v>347196</v>
      </c>
      <c r="CR45" s="102">
        <v>37766</v>
      </c>
      <c r="CS45" s="102">
        <v>37766</v>
      </c>
      <c r="CT45" s="73">
        <f t="shared" si="7"/>
        <v>3118</v>
      </c>
      <c r="CU45" s="102">
        <v>0</v>
      </c>
      <c r="CV45" s="102">
        <v>3118</v>
      </c>
      <c r="CW45" s="73">
        <f t="shared" si="8"/>
        <v>0</v>
      </c>
      <c r="CX45" s="102">
        <v>0</v>
      </c>
      <c r="CY45" s="102">
        <v>0</v>
      </c>
      <c r="CZ45" s="73">
        <f t="shared" si="9"/>
        <v>0</v>
      </c>
      <c r="DA45" s="102">
        <v>0</v>
      </c>
      <c r="DB45" s="102">
        <v>0</v>
      </c>
      <c r="DC45" s="102">
        <v>319173</v>
      </c>
      <c r="DD45" s="102">
        <v>136800</v>
      </c>
      <c r="DE45" s="102">
        <v>182373</v>
      </c>
      <c r="DF45" s="102">
        <v>0</v>
      </c>
      <c r="DG45" s="102">
        <v>0</v>
      </c>
      <c r="DH45" s="102">
        <v>0</v>
      </c>
      <c r="DI45" s="102">
        <v>446733</v>
      </c>
      <c r="DJ45" s="102">
        <v>388917</v>
      </c>
      <c r="DK45" s="102">
        <v>1768</v>
      </c>
      <c r="DL45" s="102">
        <v>56048</v>
      </c>
      <c r="DM45" s="102">
        <v>0</v>
      </c>
      <c r="DN45" s="102">
        <v>0</v>
      </c>
      <c r="DO45" s="102">
        <v>0</v>
      </c>
      <c r="DP45" s="102">
        <v>0</v>
      </c>
      <c r="DQ45" s="102">
        <v>0</v>
      </c>
      <c r="DR45" s="102">
        <v>0</v>
      </c>
      <c r="DS45" s="102">
        <v>0</v>
      </c>
      <c r="DT45" s="102">
        <v>844389</v>
      </c>
      <c r="DU45" s="102">
        <v>521019</v>
      </c>
      <c r="DV45" s="73">
        <f t="shared" si="10"/>
        <v>0</v>
      </c>
      <c r="DW45" s="102">
        <v>0</v>
      </c>
      <c r="DX45" s="102">
        <v>101974</v>
      </c>
      <c r="DY45" s="102">
        <v>0</v>
      </c>
      <c r="DZ45" s="102">
        <v>98121</v>
      </c>
      <c r="EA45" s="74">
        <v>0</v>
      </c>
      <c r="EB45" s="102">
        <v>123275</v>
      </c>
      <c r="EC45" s="102">
        <v>0</v>
      </c>
      <c r="ED45" s="102">
        <v>5215972</v>
      </c>
      <c r="EE45" s="71"/>
      <c r="EF45" s="102">
        <v>324518</v>
      </c>
      <c r="EG45" s="102">
        <v>7731</v>
      </c>
      <c r="EH45" s="102">
        <v>316787</v>
      </c>
      <c r="EI45" s="102">
        <v>103388</v>
      </c>
      <c r="EJ45" s="102">
        <v>955325</v>
      </c>
      <c r="EK45" s="71"/>
      <c r="EL45" s="102">
        <v>8417</v>
      </c>
      <c r="EM45" s="102">
        <v>8606</v>
      </c>
      <c r="EN45" s="102">
        <v>403121</v>
      </c>
      <c r="EO45" s="102">
        <v>2</v>
      </c>
      <c r="EP45" s="73">
        <f t="shared" si="11"/>
        <v>263794</v>
      </c>
      <c r="EQ45" s="102">
        <v>4161160</v>
      </c>
      <c r="ER45" s="71">
        <v>-665622</v>
      </c>
      <c r="ES45" s="102">
        <v>1028991</v>
      </c>
      <c r="ET45" s="102">
        <v>621083</v>
      </c>
      <c r="EU45" s="102">
        <v>156222</v>
      </c>
      <c r="EV45" s="102">
        <v>721252</v>
      </c>
      <c r="EW45" s="73">
        <f t="shared" si="12"/>
        <v>277417</v>
      </c>
      <c r="EX45" s="102">
        <v>277417</v>
      </c>
      <c r="EY45" s="102">
        <v>95290</v>
      </c>
      <c r="EZ45" s="102">
        <v>182127</v>
      </c>
      <c r="FA45" s="102">
        <v>0</v>
      </c>
      <c r="FB45" s="102">
        <v>0</v>
      </c>
      <c r="FC45" s="102">
        <v>381588</v>
      </c>
      <c r="FD45" s="102">
        <v>695017</v>
      </c>
      <c r="FE45" s="102">
        <v>346956</v>
      </c>
      <c r="FF45" s="102">
        <v>791785</v>
      </c>
      <c r="FG45" s="73">
        <f t="shared" si="13"/>
        <v>449992</v>
      </c>
      <c r="FH45" s="102">
        <v>4502264</v>
      </c>
      <c r="FI45" s="379">
        <f t="shared" si="14"/>
        <v>8.6</v>
      </c>
      <c r="FJ45" s="102">
        <v>3664953</v>
      </c>
      <c r="FK45" s="102">
        <v>0</v>
      </c>
      <c r="FL45" s="102">
        <v>2796036</v>
      </c>
      <c r="FM45" s="102">
        <v>2139579</v>
      </c>
      <c r="FN45" s="428">
        <v>1.3660000000000001</v>
      </c>
      <c r="FO45" s="424">
        <v>68.3</v>
      </c>
      <c r="FP45" s="425">
        <v>24.4</v>
      </c>
      <c r="FQ45" s="424">
        <v>3.7</v>
      </c>
      <c r="FR45" s="424">
        <v>6.2</v>
      </c>
      <c r="FS45" s="425">
        <v>8.5</v>
      </c>
      <c r="FT45" s="424">
        <v>9.4</v>
      </c>
      <c r="FU45" s="425">
        <v>15.6</v>
      </c>
      <c r="FV45" s="384">
        <v>11.5</v>
      </c>
      <c r="FW45" s="102">
        <v>765010</v>
      </c>
      <c r="FX45" s="384">
        <f t="shared" si="15"/>
        <v>20.9</v>
      </c>
      <c r="FY45" s="102">
        <v>5867382</v>
      </c>
      <c r="FZ45" s="102">
        <v>5368311</v>
      </c>
      <c r="GA45" s="102">
        <v>0</v>
      </c>
      <c r="GB45" s="102">
        <v>499071</v>
      </c>
      <c r="GC45" s="102">
        <v>0</v>
      </c>
      <c r="GD45" s="427"/>
      <c r="GE45" s="386"/>
      <c r="GF45" s="424">
        <v>99.8</v>
      </c>
      <c r="GG45" s="424">
        <v>43.6</v>
      </c>
      <c r="GH45" s="424">
        <v>99.6</v>
      </c>
      <c r="GI45" s="102">
        <v>114</v>
      </c>
      <c r="GJ45" s="429" t="s">
        <v>646</v>
      </c>
      <c r="GK45" s="429">
        <v>15</v>
      </c>
      <c r="GL45" s="87">
        <v>20</v>
      </c>
      <c r="GM45" s="429" t="s">
        <v>646</v>
      </c>
      <c r="GN45" s="430">
        <v>20</v>
      </c>
      <c r="GO45" s="430">
        <v>30</v>
      </c>
      <c r="GP45" s="425">
        <v>11.5</v>
      </c>
      <c r="GQ45" s="425">
        <v>25</v>
      </c>
      <c r="GR45" s="425">
        <v>35</v>
      </c>
      <c r="GS45" s="431" t="s">
        <v>646</v>
      </c>
      <c r="GT45" s="425">
        <v>350</v>
      </c>
      <c r="GU45" s="394"/>
      <c r="GV45" s="100">
        <f t="shared" si="16"/>
        <v>3665</v>
      </c>
      <c r="GW45" s="394"/>
      <c r="GX45" s="394"/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</row>
    <row r="46" spans="2:230" x14ac:dyDescent="0.15">
      <c r="B46" s="89" t="s">
        <v>81</v>
      </c>
      <c r="C46" s="102">
        <v>2138236</v>
      </c>
      <c r="D46" s="73">
        <f t="shared" si="0"/>
        <v>667600</v>
      </c>
      <c r="E46" s="102">
        <v>26125</v>
      </c>
      <c r="F46" s="102">
        <v>641475</v>
      </c>
      <c r="G46" s="73">
        <f t="shared" si="1"/>
        <v>61954</v>
      </c>
      <c r="H46" s="102">
        <v>32445</v>
      </c>
      <c r="I46" s="102">
        <v>29509</v>
      </c>
      <c r="J46" s="102">
        <v>1290992</v>
      </c>
      <c r="K46" s="102">
        <v>496015</v>
      </c>
      <c r="L46" s="102">
        <v>453869</v>
      </c>
      <c r="M46" s="102">
        <v>337470</v>
      </c>
      <c r="N46" s="102">
        <v>85571</v>
      </c>
      <c r="O46" s="102">
        <v>0</v>
      </c>
      <c r="P46" s="102">
        <v>0</v>
      </c>
      <c r="Q46" s="102">
        <v>0</v>
      </c>
      <c r="R46" s="102">
        <v>48944</v>
      </c>
      <c r="S46" s="74"/>
      <c r="T46" s="73">
        <f t="shared" si="2"/>
        <v>414019</v>
      </c>
      <c r="U46" s="102">
        <v>6131</v>
      </c>
      <c r="V46" s="102">
        <v>14290</v>
      </c>
      <c r="W46" s="102">
        <v>15589</v>
      </c>
      <c r="X46" s="102">
        <v>307859</v>
      </c>
      <c r="Y46" s="102">
        <v>52366</v>
      </c>
      <c r="Z46" s="102">
        <v>0</v>
      </c>
      <c r="AA46" s="102">
        <v>17784</v>
      </c>
      <c r="AB46" s="102">
        <v>5749</v>
      </c>
      <c r="AC46" s="102">
        <v>1922369</v>
      </c>
      <c r="AD46" s="102">
        <v>1650709</v>
      </c>
      <c r="AE46" s="102">
        <v>271660</v>
      </c>
      <c r="AF46" s="102">
        <v>3490</v>
      </c>
      <c r="AG46" s="102">
        <v>11296</v>
      </c>
      <c r="AH46" s="73">
        <f t="shared" si="3"/>
        <v>99514</v>
      </c>
      <c r="AI46" s="102">
        <v>81077</v>
      </c>
      <c r="AJ46" s="102">
        <v>18437</v>
      </c>
      <c r="AK46" s="102">
        <v>834936</v>
      </c>
      <c r="AL46" s="73">
        <f t="shared" si="4"/>
        <v>165627</v>
      </c>
      <c r="AM46" s="102">
        <v>0</v>
      </c>
      <c r="AN46" s="102">
        <v>3647</v>
      </c>
      <c r="AO46" s="74"/>
      <c r="AP46" s="102">
        <v>161980</v>
      </c>
      <c r="AQ46" s="102">
        <v>74204</v>
      </c>
      <c r="AR46" s="102">
        <v>2998</v>
      </c>
      <c r="AS46" s="102">
        <v>0</v>
      </c>
      <c r="AT46" s="102">
        <v>526694</v>
      </c>
      <c r="AU46" s="102">
        <v>247652</v>
      </c>
      <c r="AV46" s="102">
        <v>1695</v>
      </c>
      <c r="AW46" s="102">
        <v>2257</v>
      </c>
      <c r="AX46" s="102">
        <v>279042</v>
      </c>
      <c r="AY46" s="102">
        <v>45260</v>
      </c>
      <c r="AZ46" s="102">
        <v>39075</v>
      </c>
      <c r="BA46" s="102">
        <v>186</v>
      </c>
      <c r="BB46" s="102">
        <v>86604</v>
      </c>
      <c r="BC46" s="102">
        <v>103314</v>
      </c>
      <c r="BD46" s="102">
        <v>0</v>
      </c>
      <c r="BE46" s="102">
        <v>0</v>
      </c>
      <c r="BF46" s="102">
        <v>56545</v>
      </c>
      <c r="BG46" s="102">
        <v>0</v>
      </c>
      <c r="BH46" s="102">
        <v>230485</v>
      </c>
      <c r="BI46" s="102">
        <v>43897</v>
      </c>
      <c r="BJ46" s="102">
        <v>158335</v>
      </c>
      <c r="BK46" s="102">
        <v>544</v>
      </c>
      <c r="BL46" s="102">
        <v>0</v>
      </c>
      <c r="BM46" s="102">
        <v>0</v>
      </c>
      <c r="BN46" s="102">
        <v>980764</v>
      </c>
      <c r="BO46" s="73">
        <f t="shared" si="5"/>
        <v>656100</v>
      </c>
      <c r="BP46" s="73">
        <f t="shared" si="6"/>
        <v>324664</v>
      </c>
      <c r="BQ46" s="102">
        <v>0</v>
      </c>
      <c r="BR46" s="102">
        <v>0</v>
      </c>
      <c r="BS46" s="102">
        <v>324664</v>
      </c>
      <c r="BT46" s="102">
        <v>0</v>
      </c>
      <c r="BU46" s="102">
        <v>7603824</v>
      </c>
      <c r="BV46" s="71"/>
      <c r="BW46" s="102">
        <v>1401440</v>
      </c>
      <c r="BX46" s="102">
        <v>861679</v>
      </c>
      <c r="BY46" s="102">
        <v>225437</v>
      </c>
      <c r="BZ46" s="102">
        <v>23971</v>
      </c>
      <c r="CA46" s="102">
        <v>817343</v>
      </c>
      <c r="CB46" s="102">
        <v>393626</v>
      </c>
      <c r="CC46" s="102">
        <v>37994</v>
      </c>
      <c r="CD46" s="102">
        <v>372891</v>
      </c>
      <c r="CE46" s="102">
        <v>0</v>
      </c>
      <c r="CF46" s="102">
        <v>1</v>
      </c>
      <c r="CG46" s="102">
        <v>12811</v>
      </c>
      <c r="CH46" s="102">
        <v>929984</v>
      </c>
      <c r="CI46" s="102">
        <v>833060</v>
      </c>
      <c r="CJ46" s="83">
        <f t="shared" si="17"/>
        <v>96924</v>
      </c>
      <c r="CK46" s="102">
        <v>1168048</v>
      </c>
      <c r="CL46" s="102">
        <v>471230</v>
      </c>
      <c r="CM46" s="102">
        <v>233884</v>
      </c>
      <c r="CN46" s="102">
        <v>300677</v>
      </c>
      <c r="CO46" s="102">
        <v>86822</v>
      </c>
      <c r="CP46" s="102">
        <v>583480</v>
      </c>
      <c r="CQ46" s="102">
        <v>319432</v>
      </c>
      <c r="CR46" s="102">
        <v>129474</v>
      </c>
      <c r="CS46" s="102">
        <v>94251</v>
      </c>
      <c r="CT46" s="73">
        <f t="shared" si="7"/>
        <v>1338</v>
      </c>
      <c r="CU46" s="102">
        <v>1242</v>
      </c>
      <c r="CV46" s="102">
        <v>96</v>
      </c>
      <c r="CW46" s="73">
        <f t="shared" si="8"/>
        <v>0</v>
      </c>
      <c r="CX46" s="102">
        <v>0</v>
      </c>
      <c r="CY46" s="102">
        <v>0</v>
      </c>
      <c r="CZ46" s="73">
        <f t="shared" si="9"/>
        <v>0</v>
      </c>
      <c r="DA46" s="102">
        <v>0</v>
      </c>
      <c r="DB46" s="102">
        <v>0</v>
      </c>
      <c r="DC46" s="102">
        <v>1271787</v>
      </c>
      <c r="DD46" s="102">
        <v>825921</v>
      </c>
      <c r="DE46" s="102">
        <v>445596</v>
      </c>
      <c r="DF46" s="102">
        <v>270</v>
      </c>
      <c r="DG46" s="102">
        <v>0</v>
      </c>
      <c r="DH46" s="102">
        <v>11394</v>
      </c>
      <c r="DI46" s="102">
        <v>184957</v>
      </c>
      <c r="DJ46" s="102">
        <v>70251</v>
      </c>
      <c r="DK46" s="102">
        <v>35</v>
      </c>
      <c r="DL46" s="102">
        <v>114671</v>
      </c>
      <c r="DM46" s="102">
        <v>0</v>
      </c>
      <c r="DN46" s="102">
        <v>0</v>
      </c>
      <c r="DO46" s="102">
        <v>0</v>
      </c>
      <c r="DP46" s="102">
        <v>0</v>
      </c>
      <c r="DQ46" s="102">
        <v>0</v>
      </c>
      <c r="DR46" s="102">
        <v>0</v>
      </c>
      <c r="DS46" s="102">
        <v>0</v>
      </c>
      <c r="DT46" s="102">
        <v>1081609</v>
      </c>
      <c r="DU46" s="102">
        <v>288147</v>
      </c>
      <c r="DV46" s="73">
        <f t="shared" si="10"/>
        <v>0</v>
      </c>
      <c r="DW46" s="102">
        <v>0</v>
      </c>
      <c r="DX46" s="102">
        <v>334272</v>
      </c>
      <c r="DY46" s="102">
        <v>0</v>
      </c>
      <c r="DZ46" s="102">
        <v>167700</v>
      </c>
      <c r="EA46" s="74">
        <v>0</v>
      </c>
      <c r="EB46" s="102">
        <v>273900</v>
      </c>
      <c r="EC46" s="102">
        <v>0</v>
      </c>
      <c r="ED46" s="102">
        <v>7536864</v>
      </c>
      <c r="EE46" s="71"/>
      <c r="EF46" s="102">
        <v>66960</v>
      </c>
      <c r="EG46" s="102">
        <v>17534</v>
      </c>
      <c r="EH46" s="102">
        <v>49426</v>
      </c>
      <c r="EI46" s="102">
        <v>5529</v>
      </c>
      <c r="EJ46" s="102">
        <v>75780</v>
      </c>
      <c r="EK46" s="71"/>
      <c r="EL46" s="102">
        <v>15938</v>
      </c>
      <c r="EM46" s="102">
        <v>16488</v>
      </c>
      <c r="EN46" s="102">
        <v>3600</v>
      </c>
      <c r="EO46" s="102">
        <v>13197</v>
      </c>
      <c r="EP46" s="73">
        <f t="shared" si="11"/>
        <v>142880</v>
      </c>
      <c r="EQ46" s="102">
        <v>4532807</v>
      </c>
      <c r="ER46" s="71">
        <v>-480851</v>
      </c>
      <c r="ES46" s="102">
        <v>1148511</v>
      </c>
      <c r="ET46" s="102">
        <v>736858</v>
      </c>
      <c r="EU46" s="102">
        <v>285359</v>
      </c>
      <c r="EV46" s="102">
        <v>929984</v>
      </c>
      <c r="EW46" s="73">
        <f t="shared" si="12"/>
        <v>151387</v>
      </c>
      <c r="EX46" s="102">
        <v>144391</v>
      </c>
      <c r="EY46" s="102">
        <v>13948</v>
      </c>
      <c r="EZ46" s="102">
        <v>130173</v>
      </c>
      <c r="FA46" s="102">
        <v>6996</v>
      </c>
      <c r="FB46" s="102">
        <v>0</v>
      </c>
      <c r="FC46" s="102">
        <v>873131</v>
      </c>
      <c r="FD46" s="102">
        <v>487356</v>
      </c>
      <c r="FE46" s="102">
        <v>319432</v>
      </c>
      <c r="FF46" s="102">
        <v>916143</v>
      </c>
      <c r="FG46" s="73">
        <f t="shared" si="13"/>
        <v>154827</v>
      </c>
      <c r="FH46" s="102">
        <v>4946698</v>
      </c>
      <c r="FI46" s="379">
        <f t="shared" si="14"/>
        <v>1.1000000000000001</v>
      </c>
      <c r="FJ46" s="102">
        <v>4014327</v>
      </c>
      <c r="FK46" s="102">
        <v>324664</v>
      </c>
      <c r="FL46" s="102">
        <v>1861860</v>
      </c>
      <c r="FM46" s="102">
        <v>3512992</v>
      </c>
      <c r="FN46" s="428">
        <v>0.53</v>
      </c>
      <c r="FO46" s="424">
        <v>95.3</v>
      </c>
      <c r="FP46" s="425">
        <v>23.8</v>
      </c>
      <c r="FQ46" s="424">
        <v>6.2</v>
      </c>
      <c r="FR46" s="424">
        <v>20.2</v>
      </c>
      <c r="FS46" s="425">
        <v>16.7</v>
      </c>
      <c r="FT46" s="424">
        <v>9.8000000000000007</v>
      </c>
      <c r="FU46" s="425">
        <v>16.899999999999999</v>
      </c>
      <c r="FV46" s="384">
        <v>16.2</v>
      </c>
      <c r="FW46" s="102">
        <v>7250946</v>
      </c>
      <c r="FX46" s="384">
        <f t="shared" si="15"/>
        <v>167.1</v>
      </c>
      <c r="FY46" s="102">
        <v>1439623</v>
      </c>
      <c r="FZ46" s="102">
        <v>887381</v>
      </c>
      <c r="GA46" s="102">
        <v>38421</v>
      </c>
      <c r="GB46" s="102">
        <v>513821</v>
      </c>
      <c r="GC46" s="102">
        <v>0</v>
      </c>
      <c r="GD46" s="427"/>
      <c r="GE46" s="386"/>
      <c r="GF46" s="424">
        <v>98.7</v>
      </c>
      <c r="GG46" s="424">
        <v>20.2</v>
      </c>
      <c r="GH46" s="424">
        <v>94.1</v>
      </c>
      <c r="GI46" s="102">
        <v>139</v>
      </c>
      <c r="GJ46" s="429" t="s">
        <v>646</v>
      </c>
      <c r="GK46" s="429">
        <v>15</v>
      </c>
      <c r="GL46" s="87">
        <v>20</v>
      </c>
      <c r="GM46" s="429" t="s">
        <v>646</v>
      </c>
      <c r="GN46" s="430">
        <v>20</v>
      </c>
      <c r="GO46" s="430">
        <v>30</v>
      </c>
      <c r="GP46" s="425">
        <v>16.2</v>
      </c>
      <c r="GQ46" s="425">
        <v>25</v>
      </c>
      <c r="GR46" s="425">
        <v>35</v>
      </c>
      <c r="GS46" s="431">
        <v>115.9</v>
      </c>
      <c r="GT46" s="425">
        <v>350</v>
      </c>
      <c r="GU46" s="394"/>
      <c r="GV46" s="100">
        <f t="shared" si="16"/>
        <v>4339</v>
      </c>
      <c r="GW46" s="394"/>
      <c r="GX46" s="394"/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</row>
    <row r="47" spans="2:230" x14ac:dyDescent="0.15">
      <c r="B47" s="89" t="s">
        <v>83</v>
      </c>
      <c r="C47" s="102">
        <v>1523567</v>
      </c>
      <c r="D47" s="73">
        <f t="shared" si="0"/>
        <v>670318</v>
      </c>
      <c r="E47" s="102">
        <v>22016</v>
      </c>
      <c r="F47" s="102">
        <v>648302</v>
      </c>
      <c r="G47" s="73">
        <f t="shared" si="1"/>
        <v>34117</v>
      </c>
      <c r="H47" s="102">
        <v>18089</v>
      </c>
      <c r="I47" s="102">
        <v>16028</v>
      </c>
      <c r="J47" s="102">
        <v>535201</v>
      </c>
      <c r="K47" s="102">
        <v>212510</v>
      </c>
      <c r="L47" s="102">
        <v>260087</v>
      </c>
      <c r="M47" s="102">
        <v>62604</v>
      </c>
      <c r="N47" s="102">
        <v>256087</v>
      </c>
      <c r="O47" s="102">
        <v>0</v>
      </c>
      <c r="P47" s="102">
        <v>0</v>
      </c>
      <c r="Q47" s="102">
        <v>0</v>
      </c>
      <c r="R47" s="102">
        <v>35793</v>
      </c>
      <c r="S47" s="74"/>
      <c r="T47" s="73">
        <f t="shared" si="2"/>
        <v>319428</v>
      </c>
      <c r="U47" s="102">
        <v>5807</v>
      </c>
      <c r="V47" s="102">
        <v>13627</v>
      </c>
      <c r="W47" s="102">
        <v>14947</v>
      </c>
      <c r="X47" s="102">
        <v>245777</v>
      </c>
      <c r="Y47" s="102">
        <v>26253</v>
      </c>
      <c r="Z47" s="102">
        <v>0</v>
      </c>
      <c r="AA47" s="102">
        <v>13017</v>
      </c>
      <c r="AB47" s="102">
        <v>8723</v>
      </c>
      <c r="AC47" s="102">
        <v>1479443</v>
      </c>
      <c r="AD47" s="102">
        <v>1269781</v>
      </c>
      <c r="AE47" s="102">
        <v>209662</v>
      </c>
      <c r="AF47" s="102">
        <v>2550</v>
      </c>
      <c r="AG47" s="102">
        <v>60531</v>
      </c>
      <c r="AH47" s="73">
        <f t="shared" si="3"/>
        <v>55503</v>
      </c>
      <c r="AI47" s="102">
        <v>35484</v>
      </c>
      <c r="AJ47" s="102">
        <v>20019</v>
      </c>
      <c r="AK47" s="102">
        <v>490335</v>
      </c>
      <c r="AL47" s="73">
        <f t="shared" si="4"/>
        <v>168741</v>
      </c>
      <c r="AM47" s="102">
        <v>0</v>
      </c>
      <c r="AN47" s="102">
        <v>78653</v>
      </c>
      <c r="AO47" s="74"/>
      <c r="AP47" s="102">
        <v>90088</v>
      </c>
      <c r="AQ47" s="102">
        <v>457</v>
      </c>
      <c r="AR47" s="102">
        <v>0</v>
      </c>
      <c r="AS47" s="102">
        <v>0</v>
      </c>
      <c r="AT47" s="102">
        <v>373639</v>
      </c>
      <c r="AU47" s="102">
        <v>179781</v>
      </c>
      <c r="AV47" s="102">
        <v>39465</v>
      </c>
      <c r="AW47" s="102">
        <v>390</v>
      </c>
      <c r="AX47" s="102">
        <v>193858</v>
      </c>
      <c r="AY47" s="102">
        <v>0</v>
      </c>
      <c r="AZ47" s="102">
        <v>5556</v>
      </c>
      <c r="BA47" s="102">
        <v>302</v>
      </c>
      <c r="BB47" s="102">
        <v>3550</v>
      </c>
      <c r="BC47" s="102">
        <v>84012</v>
      </c>
      <c r="BD47" s="102">
        <v>83013</v>
      </c>
      <c r="BE47" s="102">
        <v>0</v>
      </c>
      <c r="BF47" s="102">
        <v>999</v>
      </c>
      <c r="BG47" s="102">
        <v>84012</v>
      </c>
      <c r="BH47" s="102">
        <v>164444</v>
      </c>
      <c r="BI47" s="102">
        <v>101908</v>
      </c>
      <c r="BJ47" s="102">
        <v>65378</v>
      </c>
      <c r="BK47" s="102">
        <v>0</v>
      </c>
      <c r="BL47" s="102">
        <v>0</v>
      </c>
      <c r="BM47" s="102">
        <v>0</v>
      </c>
      <c r="BN47" s="102">
        <v>440500</v>
      </c>
      <c r="BO47" s="73">
        <f t="shared" si="5"/>
        <v>220500</v>
      </c>
      <c r="BP47" s="73">
        <f t="shared" si="6"/>
        <v>220000</v>
      </c>
      <c r="BQ47" s="102">
        <v>0</v>
      </c>
      <c r="BR47" s="102">
        <v>0</v>
      </c>
      <c r="BS47" s="102">
        <v>220000</v>
      </c>
      <c r="BT47" s="102">
        <v>0</v>
      </c>
      <c r="BU47" s="102">
        <v>5112952</v>
      </c>
      <c r="BV47" s="71"/>
      <c r="BW47" s="102">
        <v>939237</v>
      </c>
      <c r="BX47" s="102">
        <v>609614</v>
      </c>
      <c r="BY47" s="102">
        <v>66212</v>
      </c>
      <c r="BZ47" s="102">
        <v>14906</v>
      </c>
      <c r="CA47" s="102">
        <v>811235</v>
      </c>
      <c r="CB47" s="102">
        <v>219355</v>
      </c>
      <c r="CC47" s="102">
        <v>18617</v>
      </c>
      <c r="CD47" s="102">
        <v>543429</v>
      </c>
      <c r="CE47" s="102">
        <v>0</v>
      </c>
      <c r="CF47" s="102">
        <v>0</v>
      </c>
      <c r="CG47" s="102">
        <v>29834</v>
      </c>
      <c r="CH47" s="102">
        <v>492409</v>
      </c>
      <c r="CI47" s="102">
        <v>429214</v>
      </c>
      <c r="CJ47" s="83">
        <f t="shared" si="17"/>
        <v>63195</v>
      </c>
      <c r="CK47" s="102">
        <v>811749</v>
      </c>
      <c r="CL47" s="102">
        <v>465740</v>
      </c>
      <c r="CM47" s="102">
        <v>122011</v>
      </c>
      <c r="CN47" s="102">
        <v>112156</v>
      </c>
      <c r="CO47" s="102">
        <v>23990</v>
      </c>
      <c r="CP47" s="102">
        <v>561644</v>
      </c>
      <c r="CQ47" s="102">
        <v>101005</v>
      </c>
      <c r="CR47" s="102">
        <v>128891</v>
      </c>
      <c r="CS47" s="102">
        <v>109691</v>
      </c>
      <c r="CT47" s="73">
        <f t="shared" si="7"/>
        <v>495</v>
      </c>
      <c r="CU47" s="102">
        <v>495</v>
      </c>
      <c r="CV47" s="102">
        <v>0</v>
      </c>
      <c r="CW47" s="73">
        <f t="shared" si="8"/>
        <v>0</v>
      </c>
      <c r="CX47" s="102">
        <v>0</v>
      </c>
      <c r="CY47" s="102">
        <v>0</v>
      </c>
      <c r="CZ47" s="73">
        <f t="shared" si="9"/>
        <v>0</v>
      </c>
      <c r="DA47" s="102">
        <v>0</v>
      </c>
      <c r="DB47" s="102">
        <v>0</v>
      </c>
      <c r="DC47" s="102">
        <v>342030</v>
      </c>
      <c r="DD47" s="102">
        <v>83527</v>
      </c>
      <c r="DE47" s="102">
        <v>258503</v>
      </c>
      <c r="DF47" s="102">
        <v>0</v>
      </c>
      <c r="DG47" s="102">
        <v>0</v>
      </c>
      <c r="DH47" s="102">
        <v>0</v>
      </c>
      <c r="DI47" s="102">
        <v>278850</v>
      </c>
      <c r="DJ47" s="102">
        <v>152958</v>
      </c>
      <c r="DK47" s="102">
        <v>16</v>
      </c>
      <c r="DL47" s="102">
        <v>125876</v>
      </c>
      <c r="DM47" s="102">
        <v>0</v>
      </c>
      <c r="DN47" s="102">
        <v>0</v>
      </c>
      <c r="DO47" s="102">
        <v>0</v>
      </c>
      <c r="DP47" s="102">
        <v>0</v>
      </c>
      <c r="DQ47" s="102">
        <v>0</v>
      </c>
      <c r="DR47" s="102">
        <v>0</v>
      </c>
      <c r="DS47" s="102">
        <v>0</v>
      </c>
      <c r="DT47" s="102">
        <v>620223</v>
      </c>
      <c r="DU47" s="102">
        <v>121709</v>
      </c>
      <c r="DV47" s="73">
        <f t="shared" si="10"/>
        <v>0</v>
      </c>
      <c r="DW47" s="102">
        <v>0</v>
      </c>
      <c r="DX47" s="102">
        <v>155766</v>
      </c>
      <c r="DY47" s="102">
        <v>0</v>
      </c>
      <c r="DZ47" s="102">
        <v>143800</v>
      </c>
      <c r="EA47" s="74">
        <v>0</v>
      </c>
      <c r="EB47" s="102">
        <v>193096</v>
      </c>
      <c r="EC47" s="102">
        <v>0</v>
      </c>
      <c r="ED47" s="102">
        <v>4881367</v>
      </c>
      <c r="EE47" s="71"/>
      <c r="EF47" s="102">
        <v>231585</v>
      </c>
      <c r="EG47" s="102">
        <v>14655</v>
      </c>
      <c r="EH47" s="102">
        <v>216930</v>
      </c>
      <c r="EI47" s="102">
        <v>115022</v>
      </c>
      <c r="EJ47" s="102">
        <v>184967</v>
      </c>
      <c r="EK47" s="71"/>
      <c r="EL47" s="102">
        <v>13748</v>
      </c>
      <c r="EM47" s="102">
        <v>13846</v>
      </c>
      <c r="EN47" s="102">
        <v>83013</v>
      </c>
      <c r="EO47" s="102">
        <v>797</v>
      </c>
      <c r="EP47" s="73">
        <f t="shared" si="11"/>
        <v>155579</v>
      </c>
      <c r="EQ47" s="102">
        <v>3369504</v>
      </c>
      <c r="ER47" s="71">
        <v>-456839</v>
      </c>
      <c r="ES47" s="102">
        <v>881768</v>
      </c>
      <c r="ET47" s="102">
        <v>559282</v>
      </c>
      <c r="EU47" s="102">
        <v>222279</v>
      </c>
      <c r="EV47" s="102">
        <v>492409</v>
      </c>
      <c r="EW47" s="73">
        <f t="shared" si="12"/>
        <v>67688</v>
      </c>
      <c r="EX47" s="102">
        <v>67688</v>
      </c>
      <c r="EY47" s="102">
        <v>11885</v>
      </c>
      <c r="EZ47" s="102">
        <v>55803</v>
      </c>
      <c r="FA47" s="102">
        <v>0</v>
      </c>
      <c r="FB47" s="102">
        <v>0</v>
      </c>
      <c r="FC47" s="102">
        <v>638302</v>
      </c>
      <c r="FD47" s="102">
        <v>481612</v>
      </c>
      <c r="FE47" s="102">
        <v>97442</v>
      </c>
      <c r="FF47" s="102">
        <v>516385</v>
      </c>
      <c r="FG47" s="73">
        <f t="shared" si="13"/>
        <v>294315</v>
      </c>
      <c r="FH47" s="102">
        <v>3594758</v>
      </c>
      <c r="FI47" s="379">
        <f t="shared" si="14"/>
        <v>6.7</v>
      </c>
      <c r="FJ47" s="102">
        <v>2990610</v>
      </c>
      <c r="FK47" s="102">
        <v>229261</v>
      </c>
      <c r="FL47" s="102">
        <v>1361754</v>
      </c>
      <c r="FM47" s="102">
        <v>2619183</v>
      </c>
      <c r="FN47" s="428">
        <v>0.52600000000000002</v>
      </c>
      <c r="FO47" s="424">
        <v>90</v>
      </c>
      <c r="FP47" s="425">
        <v>26</v>
      </c>
      <c r="FQ47" s="424">
        <v>6.6</v>
      </c>
      <c r="FR47" s="424">
        <v>14.5</v>
      </c>
      <c r="FS47" s="425">
        <v>16.600000000000001</v>
      </c>
      <c r="FT47" s="424">
        <v>11.3</v>
      </c>
      <c r="FU47" s="425">
        <v>14.5</v>
      </c>
      <c r="FV47" s="384">
        <v>8.1999999999999993</v>
      </c>
      <c r="FW47" s="102">
        <v>4727816</v>
      </c>
      <c r="FX47" s="384">
        <f t="shared" si="15"/>
        <v>146.80000000000001</v>
      </c>
      <c r="FY47" s="102">
        <v>3050674</v>
      </c>
      <c r="FZ47" s="102">
        <v>1572901</v>
      </c>
      <c r="GA47" s="102">
        <v>7857</v>
      </c>
      <c r="GB47" s="102">
        <v>1469916</v>
      </c>
      <c r="GC47" s="102">
        <v>0</v>
      </c>
      <c r="GD47" s="427"/>
      <c r="GE47" s="386"/>
      <c r="GF47" s="424">
        <v>99</v>
      </c>
      <c r="GG47" s="424">
        <v>58.5</v>
      </c>
      <c r="GH47" s="424">
        <v>97.1</v>
      </c>
      <c r="GI47" s="102">
        <v>95</v>
      </c>
      <c r="GJ47" s="429" t="s">
        <v>646</v>
      </c>
      <c r="GK47" s="429">
        <v>15</v>
      </c>
      <c r="GL47" s="87">
        <v>20</v>
      </c>
      <c r="GM47" s="429" t="s">
        <v>646</v>
      </c>
      <c r="GN47" s="430">
        <v>20</v>
      </c>
      <c r="GO47" s="430">
        <v>30</v>
      </c>
      <c r="GP47" s="425">
        <v>8.1999999999999993</v>
      </c>
      <c r="GQ47" s="425">
        <v>25</v>
      </c>
      <c r="GR47" s="425">
        <v>35</v>
      </c>
      <c r="GS47" s="431" t="s">
        <v>646</v>
      </c>
      <c r="GT47" s="425">
        <v>350</v>
      </c>
      <c r="GU47" s="394"/>
      <c r="GV47" s="100">
        <f t="shared" si="16"/>
        <v>3220</v>
      </c>
      <c r="GW47" s="394"/>
      <c r="GX47" s="394"/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</row>
    <row r="48" spans="2:230" x14ac:dyDescent="0.15">
      <c r="B48" s="89" t="s">
        <v>85</v>
      </c>
      <c r="C48" s="102">
        <v>1588066</v>
      </c>
      <c r="D48" s="73">
        <f t="shared" si="0"/>
        <v>787491</v>
      </c>
      <c r="E48" s="102">
        <v>25450</v>
      </c>
      <c r="F48" s="102">
        <v>762041</v>
      </c>
      <c r="G48" s="73">
        <f t="shared" si="1"/>
        <v>53012</v>
      </c>
      <c r="H48" s="102">
        <v>27900</v>
      </c>
      <c r="I48" s="102">
        <v>25112</v>
      </c>
      <c r="J48" s="102">
        <v>622852</v>
      </c>
      <c r="K48" s="102">
        <v>217682</v>
      </c>
      <c r="L48" s="102">
        <v>316152</v>
      </c>
      <c r="M48" s="102">
        <v>89018</v>
      </c>
      <c r="N48" s="102">
        <v>89539</v>
      </c>
      <c r="O48" s="102">
        <v>0</v>
      </c>
      <c r="P48" s="102">
        <v>0</v>
      </c>
      <c r="Q48" s="102">
        <v>0</v>
      </c>
      <c r="R48" s="102">
        <v>48153</v>
      </c>
      <c r="S48" s="74"/>
      <c r="T48" s="73">
        <f t="shared" si="2"/>
        <v>409242</v>
      </c>
      <c r="U48" s="102">
        <v>6778</v>
      </c>
      <c r="V48" s="102">
        <v>15890</v>
      </c>
      <c r="W48" s="102">
        <v>17414</v>
      </c>
      <c r="X48" s="102">
        <v>308721</v>
      </c>
      <c r="Y48" s="102">
        <v>42940</v>
      </c>
      <c r="Z48" s="102">
        <v>0</v>
      </c>
      <c r="AA48" s="102">
        <v>17499</v>
      </c>
      <c r="AB48" s="102">
        <v>10855</v>
      </c>
      <c r="AC48" s="102">
        <v>2009645</v>
      </c>
      <c r="AD48" s="102">
        <v>1803953</v>
      </c>
      <c r="AE48" s="102">
        <v>205692</v>
      </c>
      <c r="AF48" s="102">
        <v>2549</v>
      </c>
      <c r="AG48" s="102">
        <v>7072</v>
      </c>
      <c r="AH48" s="73">
        <f t="shared" si="3"/>
        <v>143974</v>
      </c>
      <c r="AI48" s="102">
        <v>84814</v>
      </c>
      <c r="AJ48" s="102">
        <v>59160</v>
      </c>
      <c r="AK48" s="102">
        <v>497957</v>
      </c>
      <c r="AL48" s="73">
        <f t="shared" si="4"/>
        <v>111663</v>
      </c>
      <c r="AM48" s="102">
        <v>0</v>
      </c>
      <c r="AN48" s="102">
        <v>1511</v>
      </c>
      <c r="AO48" s="74"/>
      <c r="AP48" s="102">
        <v>110152</v>
      </c>
      <c r="AQ48" s="102">
        <v>2098</v>
      </c>
      <c r="AR48" s="102">
        <v>0</v>
      </c>
      <c r="AS48" s="102">
        <v>0</v>
      </c>
      <c r="AT48" s="102">
        <v>401934</v>
      </c>
      <c r="AU48" s="102">
        <v>176511</v>
      </c>
      <c r="AV48" s="102">
        <v>680</v>
      </c>
      <c r="AW48" s="102">
        <v>39463</v>
      </c>
      <c r="AX48" s="102">
        <v>225423</v>
      </c>
      <c r="AY48" s="102">
        <v>761</v>
      </c>
      <c r="AZ48" s="102">
        <v>23108</v>
      </c>
      <c r="BA48" s="102">
        <v>17234</v>
      </c>
      <c r="BB48" s="102">
        <v>20209</v>
      </c>
      <c r="BC48" s="102">
        <v>499</v>
      </c>
      <c r="BD48" s="102">
        <v>0</v>
      </c>
      <c r="BE48" s="102">
        <v>0</v>
      </c>
      <c r="BF48" s="102">
        <v>499</v>
      </c>
      <c r="BG48" s="102">
        <v>0</v>
      </c>
      <c r="BH48" s="102">
        <v>90009</v>
      </c>
      <c r="BI48" s="102">
        <v>52017</v>
      </c>
      <c r="BJ48" s="102">
        <v>111426</v>
      </c>
      <c r="BK48" s="102">
        <v>1000</v>
      </c>
      <c r="BL48" s="102">
        <v>0</v>
      </c>
      <c r="BM48" s="102">
        <v>0</v>
      </c>
      <c r="BN48" s="102">
        <v>346300</v>
      </c>
      <c r="BO48" s="73">
        <f t="shared" si="5"/>
        <v>96300</v>
      </c>
      <c r="BP48" s="73">
        <f t="shared" si="6"/>
        <v>250000</v>
      </c>
      <c r="BQ48" s="102">
        <v>0</v>
      </c>
      <c r="BR48" s="102">
        <v>0</v>
      </c>
      <c r="BS48" s="102">
        <v>250000</v>
      </c>
      <c r="BT48" s="102">
        <v>0</v>
      </c>
      <c r="BU48" s="102">
        <v>5710998</v>
      </c>
      <c r="BV48" s="71"/>
      <c r="BW48" s="102">
        <v>1317915</v>
      </c>
      <c r="BX48" s="102">
        <v>736722</v>
      </c>
      <c r="BY48" s="102">
        <v>179023</v>
      </c>
      <c r="BZ48" s="102">
        <v>99768</v>
      </c>
      <c r="CA48" s="102">
        <v>748103</v>
      </c>
      <c r="CB48" s="102">
        <v>288461</v>
      </c>
      <c r="CC48" s="102">
        <v>25974</v>
      </c>
      <c r="CD48" s="102">
        <v>416960</v>
      </c>
      <c r="CE48" s="102">
        <v>0</v>
      </c>
      <c r="CF48" s="102">
        <v>0</v>
      </c>
      <c r="CG48" s="102">
        <v>16708</v>
      </c>
      <c r="CH48" s="102">
        <v>580971</v>
      </c>
      <c r="CI48" s="102">
        <v>506569</v>
      </c>
      <c r="CJ48" s="83">
        <f t="shared" si="17"/>
        <v>74402</v>
      </c>
      <c r="CK48" s="102">
        <v>1008230</v>
      </c>
      <c r="CL48" s="102">
        <v>675081</v>
      </c>
      <c r="CM48" s="102">
        <v>65105</v>
      </c>
      <c r="CN48" s="102">
        <v>140296</v>
      </c>
      <c r="CO48" s="102">
        <v>13032</v>
      </c>
      <c r="CP48" s="102">
        <v>591172</v>
      </c>
      <c r="CQ48" s="102">
        <v>133149</v>
      </c>
      <c r="CR48" s="102">
        <v>144910</v>
      </c>
      <c r="CS48" s="102">
        <v>120905</v>
      </c>
      <c r="CT48" s="73">
        <f t="shared" si="7"/>
        <v>24301</v>
      </c>
      <c r="CU48" s="102">
        <v>12500</v>
      </c>
      <c r="CV48" s="102">
        <v>11801</v>
      </c>
      <c r="CW48" s="73">
        <f t="shared" si="8"/>
        <v>0</v>
      </c>
      <c r="CX48" s="102">
        <v>0</v>
      </c>
      <c r="CY48" s="102">
        <v>0</v>
      </c>
      <c r="CZ48" s="73">
        <f t="shared" si="9"/>
        <v>0</v>
      </c>
      <c r="DA48" s="102">
        <v>0</v>
      </c>
      <c r="DB48" s="102">
        <v>0</v>
      </c>
      <c r="DC48" s="102">
        <v>388630</v>
      </c>
      <c r="DD48" s="102">
        <v>125828</v>
      </c>
      <c r="DE48" s="102">
        <v>236802</v>
      </c>
      <c r="DF48" s="102">
        <v>26000</v>
      </c>
      <c r="DG48" s="102">
        <v>0</v>
      </c>
      <c r="DH48" s="102">
        <v>873</v>
      </c>
      <c r="DI48" s="102">
        <v>143644</v>
      </c>
      <c r="DJ48" s="102">
        <v>1444</v>
      </c>
      <c r="DK48" s="102">
        <v>501</v>
      </c>
      <c r="DL48" s="102">
        <v>141699</v>
      </c>
      <c r="DM48" s="102">
        <v>0</v>
      </c>
      <c r="DN48" s="102">
        <v>0</v>
      </c>
      <c r="DO48" s="102">
        <v>0</v>
      </c>
      <c r="DP48" s="102">
        <v>0</v>
      </c>
      <c r="DQ48" s="102">
        <v>0</v>
      </c>
      <c r="DR48" s="102">
        <v>0</v>
      </c>
      <c r="DS48" s="102">
        <v>0</v>
      </c>
      <c r="DT48" s="102">
        <v>747636</v>
      </c>
      <c r="DU48" s="102">
        <v>156207</v>
      </c>
      <c r="DV48" s="73">
        <f t="shared" si="10"/>
        <v>0</v>
      </c>
      <c r="DW48" s="102">
        <v>0</v>
      </c>
      <c r="DX48" s="102">
        <v>202819</v>
      </c>
      <c r="DY48" s="102">
        <v>0</v>
      </c>
      <c r="DZ48" s="102">
        <v>167935</v>
      </c>
      <c r="EA48" s="74">
        <v>0</v>
      </c>
      <c r="EB48" s="102">
        <v>210265</v>
      </c>
      <c r="EC48" s="102">
        <v>0</v>
      </c>
      <c r="ED48" s="102">
        <v>5540206</v>
      </c>
      <c r="EE48" s="71"/>
      <c r="EF48" s="102">
        <v>170792</v>
      </c>
      <c r="EG48" s="102">
        <v>28076</v>
      </c>
      <c r="EH48" s="102">
        <v>142716</v>
      </c>
      <c r="EI48" s="102">
        <v>30699</v>
      </c>
      <c r="EJ48" s="102">
        <v>32143</v>
      </c>
      <c r="EK48" s="71"/>
      <c r="EL48" s="102">
        <v>16126</v>
      </c>
      <c r="EM48" s="102">
        <v>15857</v>
      </c>
      <c r="EN48" s="102">
        <v>0</v>
      </c>
      <c r="EO48" s="102">
        <v>18206</v>
      </c>
      <c r="EP48" s="73">
        <f t="shared" si="11"/>
        <v>153714</v>
      </c>
      <c r="EQ48" s="102">
        <v>4068510</v>
      </c>
      <c r="ER48" s="71">
        <v>-419371</v>
      </c>
      <c r="ES48" s="102">
        <v>1237586</v>
      </c>
      <c r="ET48" s="102">
        <v>696780</v>
      </c>
      <c r="EU48" s="102">
        <v>313344</v>
      </c>
      <c r="EV48" s="102">
        <v>580971</v>
      </c>
      <c r="EW48" s="73">
        <f t="shared" si="12"/>
        <v>152405</v>
      </c>
      <c r="EX48" s="102">
        <v>152405</v>
      </c>
      <c r="EY48" s="102">
        <v>5344</v>
      </c>
      <c r="EZ48" s="102">
        <v>147061</v>
      </c>
      <c r="FA48" s="102">
        <v>0</v>
      </c>
      <c r="FB48" s="102">
        <v>0</v>
      </c>
      <c r="FC48" s="102">
        <v>751621</v>
      </c>
      <c r="FD48" s="102">
        <v>484515</v>
      </c>
      <c r="FE48" s="102">
        <v>133149</v>
      </c>
      <c r="FF48" s="102">
        <v>643823</v>
      </c>
      <c r="FG48" s="73">
        <f t="shared" si="13"/>
        <v>152824</v>
      </c>
      <c r="FH48" s="102">
        <v>4317089</v>
      </c>
      <c r="FI48" s="379">
        <f t="shared" si="14"/>
        <v>3.6</v>
      </c>
      <c r="FJ48" s="102">
        <v>3723310</v>
      </c>
      <c r="FK48" s="102">
        <v>254956</v>
      </c>
      <c r="FL48" s="102">
        <v>1519641</v>
      </c>
      <c r="FM48" s="102">
        <v>3322895</v>
      </c>
      <c r="FN48" s="428">
        <v>0.45100000000000001</v>
      </c>
      <c r="FO48" s="424">
        <v>90.4</v>
      </c>
      <c r="FP48" s="425">
        <v>28.3</v>
      </c>
      <c r="FQ48" s="424">
        <v>7.5</v>
      </c>
      <c r="FR48" s="424">
        <v>14</v>
      </c>
      <c r="FS48" s="425">
        <v>15.8</v>
      </c>
      <c r="FT48" s="424">
        <v>10.5</v>
      </c>
      <c r="FU48" s="425">
        <v>13.9</v>
      </c>
      <c r="FV48" s="384">
        <v>8.4</v>
      </c>
      <c r="FW48" s="102">
        <v>6112470</v>
      </c>
      <c r="FX48" s="384">
        <f t="shared" si="15"/>
        <v>153.6</v>
      </c>
      <c r="FY48" s="102">
        <v>2664788</v>
      </c>
      <c r="FZ48" s="102">
        <v>1242659</v>
      </c>
      <c r="GA48" s="102">
        <v>208881</v>
      </c>
      <c r="GB48" s="102">
        <v>1213248</v>
      </c>
      <c r="GC48" s="102">
        <v>0</v>
      </c>
      <c r="GD48" s="427">
        <v>94</v>
      </c>
      <c r="GE48" s="386">
        <f>IF(GD48=0,"-",ROUND(GD48/(GV48)*100,1))</f>
        <v>2.4</v>
      </c>
      <c r="GF48" s="424">
        <v>97.2</v>
      </c>
      <c r="GG48" s="424">
        <v>35</v>
      </c>
      <c r="GH48" s="424">
        <v>88.8</v>
      </c>
      <c r="GI48" s="102">
        <v>119</v>
      </c>
      <c r="GJ48" s="429" t="s">
        <v>646</v>
      </c>
      <c r="GK48" s="429">
        <v>15</v>
      </c>
      <c r="GL48" s="87">
        <v>20</v>
      </c>
      <c r="GM48" s="429" t="s">
        <v>646</v>
      </c>
      <c r="GN48" s="430">
        <v>20</v>
      </c>
      <c r="GO48" s="430">
        <v>30</v>
      </c>
      <c r="GP48" s="425">
        <v>8.4</v>
      </c>
      <c r="GQ48" s="425">
        <v>25</v>
      </c>
      <c r="GR48" s="425">
        <v>35</v>
      </c>
      <c r="GS48" s="431">
        <v>32.799999999999997</v>
      </c>
      <c r="GT48" s="425">
        <v>350</v>
      </c>
      <c r="GU48" s="394"/>
      <c r="GV48" s="100">
        <f t="shared" si="16"/>
        <v>3978</v>
      </c>
      <c r="GW48" s="394"/>
      <c r="GX48" s="394"/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</row>
    <row r="49" spans="2:230" x14ac:dyDescent="0.15">
      <c r="B49" s="89" t="s">
        <v>87</v>
      </c>
      <c r="C49" s="102">
        <v>530625</v>
      </c>
      <c r="D49" s="73">
        <f t="shared" si="0"/>
        <v>229127</v>
      </c>
      <c r="E49" s="102">
        <v>9064</v>
      </c>
      <c r="F49" s="102">
        <v>220063</v>
      </c>
      <c r="G49" s="73">
        <f t="shared" si="1"/>
        <v>32205</v>
      </c>
      <c r="H49" s="102">
        <v>14124</v>
      </c>
      <c r="I49" s="102">
        <v>18081</v>
      </c>
      <c r="J49" s="102">
        <v>251760</v>
      </c>
      <c r="K49" s="102">
        <v>76154</v>
      </c>
      <c r="L49" s="102">
        <v>123721</v>
      </c>
      <c r="M49" s="102">
        <v>51885</v>
      </c>
      <c r="N49" s="102">
        <v>3197</v>
      </c>
      <c r="O49" s="102">
        <v>0</v>
      </c>
      <c r="P49" s="102">
        <v>0</v>
      </c>
      <c r="Q49" s="102">
        <v>0</v>
      </c>
      <c r="R49" s="102">
        <v>20068</v>
      </c>
      <c r="S49" s="74"/>
      <c r="T49" s="73">
        <f t="shared" si="2"/>
        <v>155605</v>
      </c>
      <c r="U49" s="102">
        <v>2134</v>
      </c>
      <c r="V49" s="102">
        <v>4935</v>
      </c>
      <c r="W49" s="102">
        <v>5353</v>
      </c>
      <c r="X49" s="102">
        <v>113315</v>
      </c>
      <c r="Y49" s="102">
        <v>22576</v>
      </c>
      <c r="Z49" s="102">
        <v>0</v>
      </c>
      <c r="AA49" s="102">
        <v>7292</v>
      </c>
      <c r="AB49" s="102">
        <v>1359</v>
      </c>
      <c r="AC49" s="102">
        <v>1393914</v>
      </c>
      <c r="AD49" s="102">
        <v>1190027</v>
      </c>
      <c r="AE49" s="102">
        <v>203887</v>
      </c>
      <c r="AF49" s="102">
        <v>897</v>
      </c>
      <c r="AG49" s="102">
        <v>17664</v>
      </c>
      <c r="AH49" s="73">
        <f t="shared" si="3"/>
        <v>22816</v>
      </c>
      <c r="AI49" s="102">
        <v>13314</v>
      </c>
      <c r="AJ49" s="102">
        <v>9502</v>
      </c>
      <c r="AK49" s="102">
        <v>175817</v>
      </c>
      <c r="AL49" s="73">
        <f t="shared" si="4"/>
        <v>73220</v>
      </c>
      <c r="AM49" s="102">
        <v>0</v>
      </c>
      <c r="AN49" s="102">
        <v>28558</v>
      </c>
      <c r="AO49" s="74"/>
      <c r="AP49" s="102">
        <v>44662</v>
      </c>
      <c r="AQ49" s="102">
        <v>690</v>
      </c>
      <c r="AR49" s="102">
        <v>0</v>
      </c>
      <c r="AS49" s="102">
        <v>0</v>
      </c>
      <c r="AT49" s="102">
        <v>212254</v>
      </c>
      <c r="AU49" s="102">
        <v>84194</v>
      </c>
      <c r="AV49" s="102">
        <v>14279</v>
      </c>
      <c r="AW49" s="102">
        <v>2433</v>
      </c>
      <c r="AX49" s="102">
        <v>128060</v>
      </c>
      <c r="AY49" s="102">
        <v>13694</v>
      </c>
      <c r="AZ49" s="102">
        <v>3970</v>
      </c>
      <c r="BA49" s="102">
        <v>0</v>
      </c>
      <c r="BB49" s="102">
        <v>2462</v>
      </c>
      <c r="BC49" s="102">
        <v>0</v>
      </c>
      <c r="BD49" s="102">
        <v>0</v>
      </c>
      <c r="BE49" s="102">
        <v>0</v>
      </c>
      <c r="BF49" s="102">
        <v>0</v>
      </c>
      <c r="BG49" s="102">
        <v>0</v>
      </c>
      <c r="BH49" s="102">
        <v>141649</v>
      </c>
      <c r="BI49" s="102">
        <v>88347</v>
      </c>
      <c r="BJ49" s="102">
        <v>58389</v>
      </c>
      <c r="BK49" s="102">
        <v>0</v>
      </c>
      <c r="BL49" s="102">
        <v>0</v>
      </c>
      <c r="BM49" s="102">
        <v>0</v>
      </c>
      <c r="BN49" s="102">
        <v>427908</v>
      </c>
      <c r="BO49" s="73">
        <f t="shared" si="5"/>
        <v>309000</v>
      </c>
      <c r="BP49" s="73">
        <f t="shared" si="6"/>
        <v>118908</v>
      </c>
      <c r="BQ49" s="102">
        <v>0</v>
      </c>
      <c r="BR49" s="102">
        <v>0</v>
      </c>
      <c r="BS49" s="102">
        <v>118908</v>
      </c>
      <c r="BT49" s="102">
        <v>0</v>
      </c>
      <c r="BU49" s="102">
        <v>3165397</v>
      </c>
      <c r="BV49" s="71"/>
      <c r="BW49" s="102">
        <v>665303</v>
      </c>
      <c r="BX49" s="102">
        <v>426557</v>
      </c>
      <c r="BY49" s="102">
        <v>57621</v>
      </c>
      <c r="BZ49" s="102">
        <v>14202</v>
      </c>
      <c r="CA49" s="102">
        <v>279705</v>
      </c>
      <c r="CB49" s="102">
        <v>113596</v>
      </c>
      <c r="CC49" s="102">
        <v>13824</v>
      </c>
      <c r="CD49" s="102">
        <v>148094</v>
      </c>
      <c r="CE49" s="102">
        <v>0</v>
      </c>
      <c r="CF49" s="102">
        <v>854</v>
      </c>
      <c r="CG49" s="102">
        <v>3337</v>
      </c>
      <c r="CH49" s="102">
        <v>318227</v>
      </c>
      <c r="CI49" s="102">
        <v>279420</v>
      </c>
      <c r="CJ49" s="83">
        <f t="shared" si="17"/>
        <v>38807</v>
      </c>
      <c r="CK49" s="102">
        <v>589328</v>
      </c>
      <c r="CL49" s="102">
        <v>416722</v>
      </c>
      <c r="CM49" s="102">
        <v>39585</v>
      </c>
      <c r="CN49" s="102">
        <v>60799</v>
      </c>
      <c r="CO49" s="102">
        <v>7417</v>
      </c>
      <c r="CP49" s="102">
        <v>201624</v>
      </c>
      <c r="CQ49" s="102">
        <v>66760</v>
      </c>
      <c r="CR49" s="102">
        <v>17657</v>
      </c>
      <c r="CS49" s="102">
        <v>17657</v>
      </c>
      <c r="CT49" s="73">
        <f t="shared" si="7"/>
        <v>2857</v>
      </c>
      <c r="CU49" s="102">
        <v>1231</v>
      </c>
      <c r="CV49" s="102">
        <v>1626</v>
      </c>
      <c r="CW49" s="73">
        <f t="shared" si="8"/>
        <v>0</v>
      </c>
      <c r="CX49" s="102">
        <v>0</v>
      </c>
      <c r="CY49" s="102">
        <v>0</v>
      </c>
      <c r="CZ49" s="73">
        <f t="shared" si="9"/>
        <v>0</v>
      </c>
      <c r="DA49" s="102">
        <v>0</v>
      </c>
      <c r="DB49" s="102">
        <v>0</v>
      </c>
      <c r="DC49" s="102">
        <v>306676</v>
      </c>
      <c r="DD49" s="102">
        <v>15333</v>
      </c>
      <c r="DE49" s="102">
        <v>291343</v>
      </c>
      <c r="DF49" s="102">
        <v>0</v>
      </c>
      <c r="DG49" s="102">
        <v>0</v>
      </c>
      <c r="DH49" s="102">
        <v>0</v>
      </c>
      <c r="DI49" s="102">
        <v>262342</v>
      </c>
      <c r="DJ49" s="102">
        <v>262109</v>
      </c>
      <c r="DK49" s="102">
        <v>130</v>
      </c>
      <c r="DL49" s="102">
        <v>103</v>
      </c>
      <c r="DM49" s="102">
        <v>0</v>
      </c>
      <c r="DN49" s="102">
        <v>0</v>
      </c>
      <c r="DO49" s="102">
        <v>0</v>
      </c>
      <c r="DP49" s="102">
        <v>0</v>
      </c>
      <c r="DQ49" s="102">
        <v>0</v>
      </c>
      <c r="DR49" s="102">
        <v>0</v>
      </c>
      <c r="DS49" s="102">
        <v>0</v>
      </c>
      <c r="DT49" s="102">
        <v>399293</v>
      </c>
      <c r="DU49" s="102">
        <v>106033</v>
      </c>
      <c r="DV49" s="73">
        <f t="shared" si="10"/>
        <v>0</v>
      </c>
      <c r="DW49" s="102">
        <v>0</v>
      </c>
      <c r="DX49" s="102">
        <v>112028</v>
      </c>
      <c r="DY49" s="102">
        <v>0</v>
      </c>
      <c r="DZ49" s="102">
        <v>63463</v>
      </c>
      <c r="EA49" s="74">
        <v>0</v>
      </c>
      <c r="EB49" s="102">
        <v>108330</v>
      </c>
      <c r="EC49" s="102">
        <v>0</v>
      </c>
      <c r="ED49" s="102">
        <v>3029915</v>
      </c>
      <c r="EE49" s="71"/>
      <c r="EF49" s="102">
        <v>135482</v>
      </c>
      <c r="EG49" s="102">
        <v>38840</v>
      </c>
      <c r="EH49" s="102">
        <v>96642</v>
      </c>
      <c r="EI49" s="102">
        <v>8295</v>
      </c>
      <c r="EJ49" s="102">
        <v>270404</v>
      </c>
      <c r="EK49" s="71"/>
      <c r="EL49" s="102">
        <v>5378</v>
      </c>
      <c r="EM49" s="102">
        <v>5619</v>
      </c>
      <c r="EN49" s="102">
        <v>0</v>
      </c>
      <c r="EO49" s="102">
        <v>1628</v>
      </c>
      <c r="EP49" s="73">
        <f t="shared" si="11"/>
        <v>151229</v>
      </c>
      <c r="EQ49" s="102">
        <v>2102468</v>
      </c>
      <c r="ER49" s="71">
        <v>-270868</v>
      </c>
      <c r="ES49" s="102">
        <v>620212</v>
      </c>
      <c r="ET49" s="102">
        <v>384013</v>
      </c>
      <c r="EU49" s="102">
        <v>63944</v>
      </c>
      <c r="EV49" s="102">
        <v>318227</v>
      </c>
      <c r="EW49" s="73">
        <f t="shared" si="12"/>
        <v>36549</v>
      </c>
      <c r="EX49" s="102">
        <v>36549</v>
      </c>
      <c r="EY49" s="102">
        <v>1516</v>
      </c>
      <c r="EZ49" s="102">
        <v>35033</v>
      </c>
      <c r="FA49" s="102">
        <v>0</v>
      </c>
      <c r="FB49" s="102">
        <v>0</v>
      </c>
      <c r="FC49" s="102">
        <v>418365</v>
      </c>
      <c r="FD49" s="102">
        <v>153416</v>
      </c>
      <c r="FE49" s="102">
        <v>66760</v>
      </c>
      <c r="FF49" s="102">
        <v>359733</v>
      </c>
      <c r="FG49" s="73">
        <f t="shared" si="13"/>
        <v>267408</v>
      </c>
      <c r="FH49" s="102">
        <v>2237854</v>
      </c>
      <c r="FI49" s="379">
        <f t="shared" si="14"/>
        <v>4.9000000000000004</v>
      </c>
      <c r="FJ49" s="102">
        <v>1870846</v>
      </c>
      <c r="FK49" s="102">
        <v>118908</v>
      </c>
      <c r="FL49" s="102">
        <v>543145</v>
      </c>
      <c r="FM49" s="102">
        <v>1734348</v>
      </c>
      <c r="FN49" s="428">
        <v>0.32</v>
      </c>
      <c r="FO49" s="424">
        <v>84.5</v>
      </c>
      <c r="FP49" s="425">
        <v>30.6</v>
      </c>
      <c r="FQ49" s="424">
        <v>3.2</v>
      </c>
      <c r="FR49" s="424">
        <v>15.7</v>
      </c>
      <c r="FS49" s="425">
        <v>16.7</v>
      </c>
      <c r="FT49" s="424">
        <v>5.4</v>
      </c>
      <c r="FU49" s="425">
        <v>12.6</v>
      </c>
      <c r="FV49" s="384">
        <v>11</v>
      </c>
      <c r="FW49" s="102">
        <v>3241215</v>
      </c>
      <c r="FX49" s="384">
        <f t="shared" si="15"/>
        <v>162.9</v>
      </c>
      <c r="FY49" s="102">
        <v>1788095</v>
      </c>
      <c r="FZ49" s="102">
        <v>1636582</v>
      </c>
      <c r="GA49" s="102">
        <v>84533</v>
      </c>
      <c r="GB49" s="102">
        <v>66980</v>
      </c>
      <c r="GC49" s="102">
        <v>0</v>
      </c>
      <c r="GD49" s="427"/>
      <c r="GE49" s="386"/>
      <c r="GF49" s="424">
        <v>99.7</v>
      </c>
      <c r="GG49" s="424">
        <v>32.700000000000003</v>
      </c>
      <c r="GH49" s="424">
        <v>98</v>
      </c>
      <c r="GI49" s="102">
        <v>65</v>
      </c>
      <c r="GJ49" s="429" t="s">
        <v>646</v>
      </c>
      <c r="GK49" s="429">
        <v>15</v>
      </c>
      <c r="GL49" s="87">
        <v>20</v>
      </c>
      <c r="GM49" s="429" t="s">
        <v>646</v>
      </c>
      <c r="GN49" s="429">
        <v>20</v>
      </c>
      <c r="GO49" s="430">
        <v>30</v>
      </c>
      <c r="GP49" s="425">
        <v>11</v>
      </c>
      <c r="GQ49" s="425">
        <v>25</v>
      </c>
      <c r="GR49" s="425">
        <v>35</v>
      </c>
      <c r="GS49" s="431">
        <v>4.4000000000000004</v>
      </c>
      <c r="GT49" s="425">
        <v>350</v>
      </c>
      <c r="GU49" s="394"/>
      <c r="GV49" s="100">
        <f t="shared" si="16"/>
        <v>1990</v>
      </c>
      <c r="GW49" s="394"/>
      <c r="GX49" s="394"/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</row>
    <row r="50" spans="2:230" x14ac:dyDescent="0.15">
      <c r="B50" s="21" t="s">
        <v>89</v>
      </c>
      <c r="C50" s="102">
        <v>24022181</v>
      </c>
      <c r="D50" s="73">
        <f t="shared" si="0"/>
        <v>9038276</v>
      </c>
      <c r="E50" s="102">
        <v>296065</v>
      </c>
      <c r="F50" s="102">
        <v>8742211</v>
      </c>
      <c r="G50" s="73">
        <f t="shared" si="1"/>
        <v>1461036</v>
      </c>
      <c r="H50" s="102">
        <v>327541</v>
      </c>
      <c r="I50" s="102">
        <v>1133495</v>
      </c>
      <c r="J50" s="102">
        <v>11397754</v>
      </c>
      <c r="K50" s="102">
        <v>4588209</v>
      </c>
      <c r="L50" s="102">
        <v>4359947</v>
      </c>
      <c r="M50" s="102">
        <v>2357864</v>
      </c>
      <c r="N50" s="102">
        <v>1227113</v>
      </c>
      <c r="O50" s="102">
        <v>581234</v>
      </c>
      <c r="P50" s="102">
        <v>324007</v>
      </c>
      <c r="Q50" s="102">
        <v>257227</v>
      </c>
      <c r="R50" s="102">
        <v>507838</v>
      </c>
      <c r="S50" s="74"/>
      <c r="T50" s="73">
        <f t="shared" si="2"/>
        <v>4264372</v>
      </c>
      <c r="U50" s="102">
        <v>81058</v>
      </c>
      <c r="V50" s="102">
        <v>189595</v>
      </c>
      <c r="W50" s="102">
        <v>207430</v>
      </c>
      <c r="X50" s="102">
        <v>3380376</v>
      </c>
      <c r="Y50" s="102">
        <v>237265</v>
      </c>
      <c r="Z50" s="102">
        <v>0</v>
      </c>
      <c r="AA50" s="102">
        <v>168648</v>
      </c>
      <c r="AB50" s="102">
        <v>112506</v>
      </c>
      <c r="AC50" s="102">
        <v>16552913</v>
      </c>
      <c r="AD50" s="102">
        <v>14258494</v>
      </c>
      <c r="AE50" s="102">
        <v>2294418</v>
      </c>
      <c r="AF50" s="102">
        <v>30061</v>
      </c>
      <c r="AG50" s="102">
        <v>327904</v>
      </c>
      <c r="AH50" s="73">
        <f t="shared" si="3"/>
        <v>1527054</v>
      </c>
      <c r="AI50" s="102">
        <v>1174301</v>
      </c>
      <c r="AJ50" s="102">
        <v>352753</v>
      </c>
      <c r="AK50" s="102">
        <v>8146748</v>
      </c>
      <c r="AL50" s="73">
        <f t="shared" si="4"/>
        <v>1901019</v>
      </c>
      <c r="AM50" s="102">
        <v>204637</v>
      </c>
      <c r="AN50" s="102">
        <v>401864</v>
      </c>
      <c r="AO50" s="74"/>
      <c r="AP50" s="102">
        <v>1294518</v>
      </c>
      <c r="AQ50" s="102">
        <v>1646894</v>
      </c>
      <c r="AR50" s="102">
        <v>51915</v>
      </c>
      <c r="AS50" s="102">
        <v>0</v>
      </c>
      <c r="AT50" s="102">
        <v>4883362</v>
      </c>
      <c r="AU50" s="102">
        <v>2218288</v>
      </c>
      <c r="AV50" s="102">
        <v>203362</v>
      </c>
      <c r="AW50" s="102">
        <v>241097</v>
      </c>
      <c r="AX50" s="102">
        <v>2665074</v>
      </c>
      <c r="AY50" s="102">
        <v>300499</v>
      </c>
      <c r="AZ50" s="102">
        <v>469956</v>
      </c>
      <c r="BA50" s="102">
        <v>353048</v>
      </c>
      <c r="BB50" s="102">
        <v>260313</v>
      </c>
      <c r="BC50" s="102">
        <v>3433393</v>
      </c>
      <c r="BD50" s="102">
        <v>2291013</v>
      </c>
      <c r="BE50" s="102">
        <v>453121</v>
      </c>
      <c r="BF50" s="102">
        <v>560920</v>
      </c>
      <c r="BG50" s="102">
        <v>84012</v>
      </c>
      <c r="BH50" s="102">
        <v>1932423</v>
      </c>
      <c r="BI50" s="102">
        <v>1135151</v>
      </c>
      <c r="BJ50" s="102">
        <v>1059927</v>
      </c>
      <c r="BK50" s="102">
        <v>20987</v>
      </c>
      <c r="BL50" s="102">
        <v>0</v>
      </c>
      <c r="BM50" s="102">
        <v>0</v>
      </c>
      <c r="BN50" s="102">
        <v>7193191</v>
      </c>
      <c r="BO50" s="73">
        <f t="shared" si="5"/>
        <v>4226850</v>
      </c>
      <c r="BP50" s="73">
        <f t="shared" si="6"/>
        <v>2966341</v>
      </c>
      <c r="BQ50" s="102">
        <v>0</v>
      </c>
      <c r="BR50" s="102">
        <v>0</v>
      </c>
      <c r="BS50" s="102">
        <v>2966341</v>
      </c>
      <c r="BT50" s="102">
        <v>0</v>
      </c>
      <c r="BU50" s="102">
        <v>74724142</v>
      </c>
      <c r="BV50" s="71"/>
      <c r="BW50" s="102">
        <v>14291328</v>
      </c>
      <c r="BX50" s="102">
        <v>8962749</v>
      </c>
      <c r="BY50" s="102">
        <v>1113088</v>
      </c>
      <c r="BZ50" s="102">
        <v>1044570</v>
      </c>
      <c r="CA50" s="102">
        <v>9821201</v>
      </c>
      <c r="CB50" s="102">
        <v>3507634</v>
      </c>
      <c r="CC50" s="102">
        <v>348243</v>
      </c>
      <c r="CD50" s="102">
        <v>5482480</v>
      </c>
      <c r="CE50" s="102">
        <v>258289</v>
      </c>
      <c r="CF50" s="102">
        <v>10871</v>
      </c>
      <c r="CG50" s="102">
        <v>213664</v>
      </c>
      <c r="CH50" s="102">
        <v>7210189</v>
      </c>
      <c r="CI50" s="102">
        <v>6470132</v>
      </c>
      <c r="CJ50" s="83">
        <f t="shared" si="17"/>
        <v>740057</v>
      </c>
      <c r="CK50" s="102">
        <v>11181568</v>
      </c>
      <c r="CL50" s="102">
        <v>6353828</v>
      </c>
      <c r="CM50" s="102">
        <v>1130137</v>
      </c>
      <c r="CN50" s="102">
        <v>2056319</v>
      </c>
      <c r="CO50" s="102">
        <v>597365</v>
      </c>
      <c r="CP50" s="102">
        <v>6180331</v>
      </c>
      <c r="CQ50" s="102">
        <v>2049134</v>
      </c>
      <c r="CR50" s="102">
        <v>1264104</v>
      </c>
      <c r="CS50" s="102">
        <v>911497</v>
      </c>
      <c r="CT50" s="73">
        <f t="shared" si="7"/>
        <v>295103</v>
      </c>
      <c r="CU50" s="102">
        <v>62619</v>
      </c>
      <c r="CV50" s="102">
        <v>232484</v>
      </c>
      <c r="CW50" s="73">
        <f t="shared" si="8"/>
        <v>27111</v>
      </c>
      <c r="CX50" s="102">
        <v>27111</v>
      </c>
      <c r="CY50" s="102">
        <v>0</v>
      </c>
      <c r="CZ50" s="73">
        <f t="shared" si="9"/>
        <v>0</v>
      </c>
      <c r="DA50" s="102">
        <v>0</v>
      </c>
      <c r="DB50" s="102">
        <v>0</v>
      </c>
      <c r="DC50" s="102">
        <v>11205214</v>
      </c>
      <c r="DD50" s="102">
        <v>5717893</v>
      </c>
      <c r="DE50" s="102">
        <v>5460684</v>
      </c>
      <c r="DF50" s="102">
        <v>26637</v>
      </c>
      <c r="DG50" s="102">
        <v>0</v>
      </c>
      <c r="DH50" s="102">
        <v>245396</v>
      </c>
      <c r="DI50" s="102">
        <v>2488262</v>
      </c>
      <c r="DJ50" s="102">
        <v>1637015</v>
      </c>
      <c r="DK50" s="102">
        <v>3568</v>
      </c>
      <c r="DL50" s="102">
        <v>847679</v>
      </c>
      <c r="DM50" s="102">
        <v>98320</v>
      </c>
      <c r="DN50" s="102">
        <v>98320</v>
      </c>
      <c r="DO50" s="102">
        <v>98320</v>
      </c>
      <c r="DP50" s="102">
        <v>0</v>
      </c>
      <c r="DQ50" s="102">
        <v>19662</v>
      </c>
      <c r="DR50" s="102">
        <v>0</v>
      </c>
      <c r="DS50" s="102">
        <v>0</v>
      </c>
      <c r="DT50" s="102">
        <v>9616052</v>
      </c>
      <c r="DU50" s="102">
        <v>2737497</v>
      </c>
      <c r="DV50" s="73">
        <f t="shared" si="10"/>
        <v>0</v>
      </c>
      <c r="DW50" s="102">
        <v>0</v>
      </c>
      <c r="DX50" s="102">
        <v>2553325</v>
      </c>
      <c r="DY50" s="102">
        <v>0</v>
      </c>
      <c r="DZ50" s="102">
        <v>1835977</v>
      </c>
      <c r="EA50" s="74">
        <v>0</v>
      </c>
      <c r="EB50" s="102">
        <v>2375125</v>
      </c>
      <c r="EC50" s="102">
        <v>0</v>
      </c>
      <c r="ED50" s="102">
        <v>72954888</v>
      </c>
      <c r="EE50" s="71"/>
      <c r="EF50" s="102">
        <v>1769254</v>
      </c>
      <c r="EG50" s="102">
        <v>374584</v>
      </c>
      <c r="EH50" s="102">
        <v>1394670</v>
      </c>
      <c r="EI50" s="102">
        <v>199519</v>
      </c>
      <c r="EJ50" s="102">
        <v>8541</v>
      </c>
      <c r="EK50" s="71"/>
      <c r="EL50" s="102">
        <f>SUM(EL40:EL49)</f>
        <v>181513</v>
      </c>
      <c r="EM50" s="102">
        <v>184495</v>
      </c>
      <c r="EN50" s="102">
        <v>2925234</v>
      </c>
      <c r="EO50" s="102">
        <v>402203</v>
      </c>
      <c r="EP50" s="73">
        <f t="shared" si="11"/>
        <v>2499872</v>
      </c>
      <c r="EQ50" s="102">
        <v>45489871</v>
      </c>
      <c r="ER50" s="71">
        <v>-8763589</v>
      </c>
      <c r="ES50" s="102">
        <v>12877893</v>
      </c>
      <c r="ET50" s="102">
        <v>8034632</v>
      </c>
      <c r="EU50" s="102">
        <v>3407057</v>
      </c>
      <c r="EV50" s="102">
        <v>7131210</v>
      </c>
      <c r="EW50" s="73">
        <f t="shared" si="12"/>
        <v>3560275</v>
      </c>
      <c r="EX50" s="102">
        <v>3502216</v>
      </c>
      <c r="EY50" s="102">
        <v>398882</v>
      </c>
      <c r="EZ50" s="102">
        <v>3102697</v>
      </c>
      <c r="FA50" s="102">
        <v>58059</v>
      </c>
      <c r="FB50" s="102">
        <v>0</v>
      </c>
      <c r="FC50" s="102">
        <v>8963176</v>
      </c>
      <c r="FD50" s="102">
        <v>5365446</v>
      </c>
      <c r="FE50" s="102">
        <v>2044967</v>
      </c>
      <c r="FF50" s="102">
        <v>8340771</v>
      </c>
      <c r="FG50" s="73">
        <f t="shared" si="13"/>
        <v>2838378</v>
      </c>
      <c r="FH50" s="102">
        <v>52484206</v>
      </c>
      <c r="FI50" s="379">
        <f t="shared" si="14"/>
        <v>3.2</v>
      </c>
      <c r="FJ50" s="102">
        <v>40775972</v>
      </c>
      <c r="FK50" s="102">
        <v>2981162</v>
      </c>
      <c r="FL50" s="102">
        <v>20841462</v>
      </c>
      <c r="FM50" s="102">
        <v>34419234</v>
      </c>
      <c r="FN50" s="428">
        <v>0.61199999999999999</v>
      </c>
      <c r="FO50" s="424">
        <v>92.6</v>
      </c>
      <c r="FP50" s="425">
        <v>27.3</v>
      </c>
      <c r="FQ50" s="424">
        <v>7.4</v>
      </c>
      <c r="FR50" s="424">
        <v>14.5</v>
      </c>
      <c r="FS50" s="425">
        <v>17.399999999999999</v>
      </c>
      <c r="FT50" s="424">
        <v>8.6999999999999993</v>
      </c>
      <c r="FU50" s="425">
        <v>16</v>
      </c>
      <c r="FV50" s="384">
        <v>10.5</v>
      </c>
      <c r="FW50" s="102">
        <v>62593475</v>
      </c>
      <c r="FX50" s="384">
        <f t="shared" si="15"/>
        <v>143</v>
      </c>
      <c r="FY50" s="102">
        <v>29356243</v>
      </c>
      <c r="FZ50" s="102">
        <v>17580999</v>
      </c>
      <c r="GA50" s="102">
        <v>2101679</v>
      </c>
      <c r="GB50" s="102">
        <v>9673565</v>
      </c>
      <c r="GC50" s="102">
        <v>816029</v>
      </c>
      <c r="GD50" s="427">
        <v>872</v>
      </c>
      <c r="GE50" s="452">
        <f>IF(GD50=0,"-",ROUND(GD50/GW50*100,1))</f>
        <v>7.3</v>
      </c>
      <c r="GF50" s="424">
        <v>99.1</v>
      </c>
      <c r="GG50" s="424">
        <v>27.4</v>
      </c>
      <c r="GH50" s="424">
        <v>95.6</v>
      </c>
      <c r="GI50" s="102">
        <f>SUM(GI40:GI49)</f>
        <v>1497</v>
      </c>
      <c r="GJ50" s="429" t="s">
        <v>646</v>
      </c>
      <c r="GK50" s="429" t="s">
        <v>646</v>
      </c>
      <c r="GL50" s="429" t="s">
        <v>646</v>
      </c>
      <c r="GM50" s="429" t="s">
        <v>646</v>
      </c>
      <c r="GN50" s="429" t="s">
        <v>646</v>
      </c>
      <c r="GO50" s="429" t="s">
        <v>646</v>
      </c>
      <c r="GP50" s="425">
        <v>10.5</v>
      </c>
      <c r="GQ50" s="431" t="s">
        <v>646</v>
      </c>
      <c r="GR50" s="431" t="s">
        <v>646</v>
      </c>
      <c r="GS50" s="425">
        <v>16.8</v>
      </c>
      <c r="GT50" s="429" t="s">
        <v>646</v>
      </c>
      <c r="GU50" s="394"/>
      <c r="GV50" s="100">
        <f t="shared" si="16"/>
        <v>43757</v>
      </c>
      <c r="GW50" s="394">
        <f>GV44+GV48</f>
        <v>11960</v>
      </c>
      <c r="GX50" s="394"/>
      <c r="GY50" s="394"/>
      <c r="GZ50" s="394"/>
      <c r="HA50" s="394"/>
      <c r="HB50" s="394"/>
      <c r="HC50" s="394"/>
      <c r="HD50" s="394"/>
      <c r="HE50" s="394"/>
      <c r="HF50" s="394"/>
      <c r="HG50" s="394"/>
      <c r="HH50" s="394"/>
      <c r="HI50" s="394"/>
      <c r="HJ50" s="394"/>
      <c r="HK50" s="394"/>
      <c r="HL50" s="394"/>
      <c r="HM50" s="394"/>
      <c r="HN50" s="394"/>
      <c r="HO50" s="394"/>
      <c r="HP50" s="394"/>
      <c r="HQ50" s="394"/>
      <c r="HR50" s="394"/>
      <c r="HS50" s="394"/>
      <c r="HT50" s="394"/>
      <c r="HU50" s="394"/>
      <c r="HV50" s="394"/>
    </row>
    <row r="51" spans="2:230" x14ac:dyDescent="0.15">
      <c r="B51" s="21" t="s">
        <v>91</v>
      </c>
      <c r="C51" s="102">
        <v>767706119</v>
      </c>
      <c r="D51" s="73">
        <f t="shared" si="0"/>
        <v>289103478</v>
      </c>
      <c r="E51" s="102">
        <v>8222574</v>
      </c>
      <c r="F51" s="102">
        <v>280880904</v>
      </c>
      <c r="G51" s="73">
        <f t="shared" si="1"/>
        <v>55629926</v>
      </c>
      <c r="H51" s="102">
        <v>13225313</v>
      </c>
      <c r="I51" s="102">
        <v>42404613</v>
      </c>
      <c r="J51" s="102">
        <v>309242814</v>
      </c>
      <c r="K51" s="102">
        <v>131489888</v>
      </c>
      <c r="L51" s="102">
        <v>131434720</v>
      </c>
      <c r="M51" s="102">
        <v>40969888</v>
      </c>
      <c r="N51" s="102">
        <v>37199119</v>
      </c>
      <c r="O51" s="102">
        <v>62613737</v>
      </c>
      <c r="P51" s="102">
        <v>35001300</v>
      </c>
      <c r="Q51" s="102">
        <v>27612437</v>
      </c>
      <c r="R51" s="102">
        <v>11266066</v>
      </c>
      <c r="S51" s="74"/>
      <c r="T51" s="73">
        <f t="shared" si="2"/>
        <v>120965752</v>
      </c>
      <c r="U51" s="102">
        <v>2497941</v>
      </c>
      <c r="V51" s="102">
        <v>5865455</v>
      </c>
      <c r="W51" s="102">
        <v>6436869</v>
      </c>
      <c r="X51" s="102">
        <v>102026905</v>
      </c>
      <c r="Y51" s="102">
        <v>917012</v>
      </c>
      <c r="Z51" s="102">
        <v>0</v>
      </c>
      <c r="AA51" s="102">
        <v>3221570</v>
      </c>
      <c r="AB51" s="102">
        <v>3582758</v>
      </c>
      <c r="AC51" s="102">
        <v>202806174</v>
      </c>
      <c r="AD51" s="102">
        <v>189332689</v>
      </c>
      <c r="AE51" s="102">
        <v>13473263</v>
      </c>
      <c r="AF51" s="102">
        <v>823730</v>
      </c>
      <c r="AG51" s="102">
        <v>20233278</v>
      </c>
      <c r="AH51" s="73">
        <f t="shared" si="3"/>
        <v>34775100</v>
      </c>
      <c r="AI51" s="102">
        <v>26511216</v>
      </c>
      <c r="AJ51" s="102">
        <v>8263884</v>
      </c>
      <c r="AK51" s="102">
        <v>378062081</v>
      </c>
      <c r="AL51" s="73">
        <f t="shared" si="4"/>
        <v>229595544</v>
      </c>
      <c r="AM51" s="102">
        <v>160792362</v>
      </c>
      <c r="AN51" s="102">
        <v>24385819</v>
      </c>
      <c r="AO51" s="74"/>
      <c r="AP51" s="102">
        <v>44417363</v>
      </c>
      <c r="AQ51" s="102">
        <v>18762672</v>
      </c>
      <c r="AR51" s="102">
        <v>172770</v>
      </c>
      <c r="AS51" s="102">
        <v>258782</v>
      </c>
      <c r="AT51" s="102">
        <v>131742896</v>
      </c>
      <c r="AU51" s="102">
        <v>76326118</v>
      </c>
      <c r="AV51" s="102">
        <v>10719133</v>
      </c>
      <c r="AW51" s="102">
        <v>5933429</v>
      </c>
      <c r="AX51" s="102">
        <v>55416778</v>
      </c>
      <c r="AY51" s="102">
        <v>3352643</v>
      </c>
      <c r="AZ51" s="102">
        <v>26253200</v>
      </c>
      <c r="BA51" s="102">
        <v>24075280</v>
      </c>
      <c r="BB51" s="102">
        <v>4678621</v>
      </c>
      <c r="BC51" s="102">
        <v>30261760</v>
      </c>
      <c r="BD51" s="102">
        <v>6705698</v>
      </c>
      <c r="BE51" s="102">
        <v>6751439</v>
      </c>
      <c r="BF51" s="102">
        <v>14824578</v>
      </c>
      <c r="BG51" s="102">
        <v>504830</v>
      </c>
      <c r="BH51" s="102">
        <v>24980878</v>
      </c>
      <c r="BI51" s="102">
        <v>15205974</v>
      </c>
      <c r="BJ51" s="102">
        <v>35767630</v>
      </c>
      <c r="BK51" s="102">
        <v>6432646</v>
      </c>
      <c r="BL51" s="102">
        <v>325525</v>
      </c>
      <c r="BM51" s="102">
        <v>1660614</v>
      </c>
      <c r="BN51" s="102">
        <v>155730189</v>
      </c>
      <c r="BO51" s="73">
        <f t="shared" si="5"/>
        <v>82740700</v>
      </c>
      <c r="BP51" s="73">
        <f t="shared" si="6"/>
        <v>72989489</v>
      </c>
      <c r="BQ51" s="102">
        <v>0</v>
      </c>
      <c r="BR51" s="102">
        <v>608700</v>
      </c>
      <c r="BS51" s="102">
        <v>72380789</v>
      </c>
      <c r="BT51" s="102">
        <v>0</v>
      </c>
      <c r="BU51" s="102">
        <v>1949895014</v>
      </c>
      <c r="BV51" s="71"/>
      <c r="BW51" s="102">
        <v>308943807</v>
      </c>
      <c r="BX51" s="102">
        <v>202015205</v>
      </c>
      <c r="BY51" s="102">
        <v>24381937</v>
      </c>
      <c r="BZ51" s="102">
        <v>24861917</v>
      </c>
      <c r="CA51" s="102">
        <v>571140542</v>
      </c>
      <c r="CB51" s="102">
        <v>115527606</v>
      </c>
      <c r="CC51" s="102">
        <v>10648978</v>
      </c>
      <c r="CD51" s="102">
        <v>219074702</v>
      </c>
      <c r="CE51" s="102">
        <v>212320368</v>
      </c>
      <c r="CF51" s="102">
        <v>4966453</v>
      </c>
      <c r="CG51" s="102">
        <v>8592750</v>
      </c>
      <c r="CH51" s="102">
        <v>166319471</v>
      </c>
      <c r="CI51" s="102">
        <v>147972937</v>
      </c>
      <c r="CJ51" s="83">
        <f t="shared" si="17"/>
        <v>18346534</v>
      </c>
      <c r="CK51" s="102">
        <v>225675899</v>
      </c>
      <c r="CL51" s="102">
        <v>138730999</v>
      </c>
      <c r="CM51" s="102">
        <v>15665327</v>
      </c>
      <c r="CN51" s="102">
        <v>39011647</v>
      </c>
      <c r="CO51" s="102">
        <v>15884594</v>
      </c>
      <c r="CP51" s="102">
        <v>166513555</v>
      </c>
      <c r="CQ51" s="102">
        <v>39274417</v>
      </c>
      <c r="CR51" s="102">
        <v>37959339</v>
      </c>
      <c r="CS51" s="102">
        <v>26887819</v>
      </c>
      <c r="CT51" s="73">
        <f t="shared" si="7"/>
        <v>49744450</v>
      </c>
      <c r="CU51" s="102">
        <v>36275695</v>
      </c>
      <c r="CV51" s="102">
        <v>13468755</v>
      </c>
      <c r="CW51" s="73">
        <f t="shared" si="8"/>
        <v>13365023</v>
      </c>
      <c r="CX51" s="102">
        <v>9908168</v>
      </c>
      <c r="CY51" s="102">
        <v>3456855</v>
      </c>
      <c r="CZ51" s="73">
        <f t="shared" si="9"/>
        <v>33837051</v>
      </c>
      <c r="DA51" s="102">
        <v>25508989</v>
      </c>
      <c r="DB51" s="102">
        <v>8328062</v>
      </c>
      <c r="DC51" s="102">
        <v>182250285</v>
      </c>
      <c r="DD51" s="102">
        <v>72216731</v>
      </c>
      <c r="DE51" s="102">
        <v>106353020</v>
      </c>
      <c r="DF51" s="102">
        <v>1217007</v>
      </c>
      <c r="DG51" s="102">
        <v>2450630</v>
      </c>
      <c r="DH51" s="102">
        <v>679935</v>
      </c>
      <c r="DI51" s="102">
        <v>54763255</v>
      </c>
      <c r="DJ51" s="102">
        <v>14754345</v>
      </c>
      <c r="DK51" s="102">
        <v>22940494</v>
      </c>
      <c r="DL51" s="102">
        <v>17068416</v>
      </c>
      <c r="DM51" s="102">
        <v>7116405</v>
      </c>
      <c r="DN51" s="102">
        <v>6964205</v>
      </c>
      <c r="DO51" s="102">
        <v>529892</v>
      </c>
      <c r="DP51" s="102">
        <v>2608122</v>
      </c>
      <c r="DQ51" s="102">
        <v>6830379</v>
      </c>
      <c r="DR51" s="102">
        <v>300000</v>
      </c>
      <c r="DS51" s="102">
        <v>0</v>
      </c>
      <c r="DT51" s="102">
        <v>214175457</v>
      </c>
      <c r="DU51" s="102">
        <v>29137099</v>
      </c>
      <c r="DV51" s="73">
        <f t="shared" si="10"/>
        <v>0</v>
      </c>
      <c r="DW51" s="102">
        <v>0</v>
      </c>
      <c r="DX51" s="102">
        <v>60365972</v>
      </c>
      <c r="DY51" s="102">
        <v>234198</v>
      </c>
      <c r="DZ51" s="102">
        <v>66089880</v>
      </c>
      <c r="EA51" s="74">
        <v>0</v>
      </c>
      <c r="EB51" s="102">
        <v>57164370</v>
      </c>
      <c r="EC51" s="102">
        <v>0</v>
      </c>
      <c r="ED51" s="102">
        <v>1920293584</v>
      </c>
      <c r="EE51" s="71"/>
      <c r="EF51" s="102">
        <v>29601430</v>
      </c>
      <c r="EG51" s="102">
        <v>8271407</v>
      </c>
      <c r="EH51" s="102">
        <v>21330023</v>
      </c>
      <c r="EI51" s="102">
        <v>3840049</v>
      </c>
      <c r="EJ51" s="102">
        <v>17748500</v>
      </c>
      <c r="EK51" s="71"/>
      <c r="EL51" s="102">
        <f>EL39+EL50</f>
        <v>5308974</v>
      </c>
      <c r="EM51" s="102">
        <v>5337987</v>
      </c>
      <c r="EN51" s="102">
        <v>19155892</v>
      </c>
      <c r="EO51" s="102">
        <v>25360638</v>
      </c>
      <c r="EP51" s="73">
        <f t="shared" si="11"/>
        <v>48631283</v>
      </c>
      <c r="EQ51" s="102">
        <v>1107409381</v>
      </c>
      <c r="ER51" s="71">
        <v>-165054790</v>
      </c>
      <c r="ES51" s="102">
        <v>283209437</v>
      </c>
      <c r="ET51" s="102">
        <v>183817222</v>
      </c>
      <c r="EU51" s="102">
        <v>168587248</v>
      </c>
      <c r="EV51" s="102">
        <v>164998733</v>
      </c>
      <c r="EW51" s="73">
        <f t="shared" si="12"/>
        <v>47297740</v>
      </c>
      <c r="EX51" s="102">
        <v>47153126</v>
      </c>
      <c r="EY51" s="102">
        <v>6497110</v>
      </c>
      <c r="EZ51" s="102">
        <v>40265550</v>
      </c>
      <c r="FA51" s="102">
        <v>144614</v>
      </c>
      <c r="FB51" s="102">
        <v>0</v>
      </c>
      <c r="FC51" s="102">
        <v>183598854</v>
      </c>
      <c r="FD51" s="102">
        <v>148657789</v>
      </c>
      <c r="FE51" s="102">
        <v>38175304</v>
      </c>
      <c r="FF51" s="102">
        <v>176242219</v>
      </c>
      <c r="FG51" s="73">
        <f t="shared" si="13"/>
        <v>71108793</v>
      </c>
      <c r="FH51" s="102">
        <v>1243700813</v>
      </c>
      <c r="FI51" s="379">
        <f t="shared" si="14"/>
        <v>2</v>
      </c>
      <c r="FJ51" s="102">
        <v>990442141</v>
      </c>
      <c r="FK51" s="102">
        <v>79935147</v>
      </c>
      <c r="FL51" s="102">
        <v>624317045</v>
      </c>
      <c r="FM51" s="102">
        <v>813102246</v>
      </c>
      <c r="FN51" s="428">
        <v>0.76</v>
      </c>
      <c r="FO51" s="424">
        <v>94.4</v>
      </c>
      <c r="FP51" s="425">
        <v>25</v>
      </c>
      <c r="FQ51" s="424">
        <v>15</v>
      </c>
      <c r="FR51" s="424">
        <v>14.3</v>
      </c>
      <c r="FS51" s="425">
        <v>14.8</v>
      </c>
      <c r="FT51" s="424">
        <v>10.3</v>
      </c>
      <c r="FU51" s="425">
        <v>13.4</v>
      </c>
      <c r="FV51" s="384">
        <v>5.4</v>
      </c>
      <c r="FW51" s="102">
        <v>1572359672</v>
      </c>
      <c r="FX51" s="384">
        <f t="shared" si="15"/>
        <v>146.9</v>
      </c>
      <c r="FY51" s="102">
        <v>372474276</v>
      </c>
      <c r="FZ51" s="102">
        <v>163482894</v>
      </c>
      <c r="GA51" s="102">
        <v>43744002</v>
      </c>
      <c r="GB51" s="102">
        <v>165247380</v>
      </c>
      <c r="GC51" s="102">
        <v>8928249</v>
      </c>
      <c r="GD51" s="427">
        <v>36933</v>
      </c>
      <c r="GE51" s="452">
        <f>IF(GD51=0,"-",ROUND(GD51/GW51*100,1))</f>
        <v>10.1</v>
      </c>
      <c r="GF51" s="424">
        <v>99</v>
      </c>
      <c r="GG51" s="424">
        <v>31.7</v>
      </c>
      <c r="GH51" s="424">
        <v>96.3</v>
      </c>
      <c r="GI51" s="102">
        <f>GI39+GI50</f>
        <v>30931</v>
      </c>
      <c r="GJ51" s="429" t="s">
        <v>646</v>
      </c>
      <c r="GK51" s="429" t="s">
        <v>646</v>
      </c>
      <c r="GL51" s="429" t="s">
        <v>646</v>
      </c>
      <c r="GM51" s="429" t="s">
        <v>646</v>
      </c>
      <c r="GN51" s="429" t="s">
        <v>646</v>
      </c>
      <c r="GO51" s="429" t="s">
        <v>646</v>
      </c>
      <c r="GP51" s="425">
        <v>5.4</v>
      </c>
      <c r="GQ51" s="431" t="s">
        <v>646</v>
      </c>
      <c r="GR51" s="431" t="s">
        <v>646</v>
      </c>
      <c r="GS51" s="425">
        <v>6.8</v>
      </c>
      <c r="GT51" s="429" t="s">
        <v>646</v>
      </c>
      <c r="GU51" s="394"/>
      <c r="GV51" s="100">
        <f t="shared" si="16"/>
        <v>1070377</v>
      </c>
      <c r="GW51" s="394">
        <f>GW39+GW50</f>
        <v>367109</v>
      </c>
      <c r="GX51" s="394"/>
      <c r="GY51" s="394"/>
      <c r="GZ51" s="394"/>
      <c r="HA51" s="394"/>
      <c r="HB51" s="394"/>
      <c r="HC51" s="394"/>
      <c r="HD51" s="394"/>
      <c r="HE51" s="394"/>
      <c r="HF51" s="394"/>
      <c r="HG51" s="394"/>
      <c r="HH51" s="394"/>
      <c r="HI51" s="394"/>
      <c r="HJ51" s="394"/>
      <c r="HK51" s="394"/>
      <c r="HL51" s="394"/>
      <c r="HM51" s="394"/>
      <c r="HN51" s="394"/>
      <c r="HO51" s="394"/>
      <c r="HP51" s="394"/>
      <c r="HQ51" s="394"/>
      <c r="HR51" s="394"/>
      <c r="HS51" s="394"/>
      <c r="HT51" s="394"/>
      <c r="HU51" s="394"/>
      <c r="HV51" s="394"/>
    </row>
    <row r="52" spans="2:230" x14ac:dyDescent="0.15">
      <c r="B52" s="72" t="s">
        <v>0</v>
      </c>
      <c r="C52" s="102">
        <v>1560426083</v>
      </c>
      <c r="D52" s="73">
        <f t="shared" si="0"/>
        <v>475038729</v>
      </c>
      <c r="E52" s="102">
        <v>13596052</v>
      </c>
      <c r="F52" s="102">
        <v>461442677</v>
      </c>
      <c r="G52" s="73">
        <f t="shared" si="1"/>
        <v>198676055</v>
      </c>
      <c r="H52" s="102">
        <v>33359610</v>
      </c>
      <c r="I52" s="102">
        <v>165316445</v>
      </c>
      <c r="J52" s="102">
        <v>636527689</v>
      </c>
      <c r="K52" s="102">
        <v>258174149</v>
      </c>
      <c r="L52" s="102">
        <v>284493901</v>
      </c>
      <c r="M52" s="102">
        <v>86825547</v>
      </c>
      <c r="N52" s="102">
        <v>74635704</v>
      </c>
      <c r="O52" s="102">
        <v>127946868</v>
      </c>
      <c r="P52" s="102">
        <v>67013055</v>
      </c>
      <c r="Q52" s="102">
        <v>60933813</v>
      </c>
      <c r="R52" s="102">
        <v>19620838</v>
      </c>
      <c r="S52" s="74"/>
      <c r="T52" s="73">
        <f t="shared" si="2"/>
        <v>215764834</v>
      </c>
      <c r="U52" s="102">
        <v>4064540</v>
      </c>
      <c r="V52" s="102">
        <v>9553080</v>
      </c>
      <c r="W52" s="102">
        <v>10491590</v>
      </c>
      <c r="X52" s="102">
        <v>184425634</v>
      </c>
      <c r="Y52" s="102">
        <v>1061099</v>
      </c>
      <c r="Z52" s="102">
        <v>0</v>
      </c>
      <c r="AA52" s="102">
        <v>6168891</v>
      </c>
      <c r="AB52" s="102">
        <v>5797572</v>
      </c>
      <c r="AC52" s="102">
        <v>265551232</v>
      </c>
      <c r="AD52" s="102">
        <v>249945543</v>
      </c>
      <c r="AE52" s="102">
        <v>15605355</v>
      </c>
      <c r="AF52" s="102">
        <v>2017574</v>
      </c>
      <c r="AG52" s="102">
        <v>31954262</v>
      </c>
      <c r="AH52" s="73">
        <f t="shared" si="3"/>
        <v>105800880</v>
      </c>
      <c r="AI52" s="102">
        <v>87580350</v>
      </c>
      <c r="AJ52" s="102">
        <v>18220530</v>
      </c>
      <c r="AK52" s="102">
        <v>822160006</v>
      </c>
      <c r="AL52" s="73">
        <f t="shared" si="4"/>
        <v>562083261</v>
      </c>
      <c r="AM52" s="102">
        <v>413387940</v>
      </c>
      <c r="AN52" s="102">
        <v>60059738</v>
      </c>
      <c r="AO52" s="74"/>
      <c r="AP52" s="102">
        <v>88635583</v>
      </c>
      <c r="AQ52" s="102">
        <v>35123743</v>
      </c>
      <c r="AR52" s="102">
        <v>172770</v>
      </c>
      <c r="AS52" s="102">
        <v>268480</v>
      </c>
      <c r="AT52" s="102">
        <v>218605326</v>
      </c>
      <c r="AU52" s="102">
        <v>125700483</v>
      </c>
      <c r="AV52" s="102">
        <v>10719133</v>
      </c>
      <c r="AW52" s="102">
        <v>8699173</v>
      </c>
      <c r="AX52" s="102">
        <v>92904843</v>
      </c>
      <c r="AY52" s="102">
        <v>3823221</v>
      </c>
      <c r="AZ52" s="102">
        <v>80126967</v>
      </c>
      <c r="BA52" s="102">
        <v>64701447</v>
      </c>
      <c r="BB52" s="102">
        <v>5633039</v>
      </c>
      <c r="BC52" s="102">
        <v>49985799</v>
      </c>
      <c r="BD52" s="102">
        <v>7306826</v>
      </c>
      <c r="BE52" s="102">
        <v>11785765</v>
      </c>
      <c r="BF52" s="102">
        <v>22077312</v>
      </c>
      <c r="BG52" s="102">
        <v>504830</v>
      </c>
      <c r="BH52" s="102">
        <v>33133436</v>
      </c>
      <c r="BI52" s="102">
        <v>17380002</v>
      </c>
      <c r="BJ52" s="102">
        <v>213558661</v>
      </c>
      <c r="BK52" s="102">
        <v>104855194</v>
      </c>
      <c r="BL52" s="102">
        <v>687184</v>
      </c>
      <c r="BM52" s="102">
        <v>15891323</v>
      </c>
      <c r="BN52" s="102">
        <v>296680589</v>
      </c>
      <c r="BO52" s="73">
        <f t="shared" si="5"/>
        <v>133436100</v>
      </c>
      <c r="BP52" s="73">
        <f t="shared" si="6"/>
        <v>163244489</v>
      </c>
      <c r="BQ52" s="102">
        <v>0</v>
      </c>
      <c r="BR52" s="102">
        <v>608700</v>
      </c>
      <c r="BS52" s="102">
        <v>162635789</v>
      </c>
      <c r="BT52" s="102">
        <v>0</v>
      </c>
      <c r="BU52" s="102">
        <v>3944716879</v>
      </c>
      <c r="BV52" s="71"/>
      <c r="BW52" s="102">
        <v>563522901</v>
      </c>
      <c r="BX52" s="102">
        <v>382994170</v>
      </c>
      <c r="BY52" s="102">
        <v>47203692</v>
      </c>
      <c r="BZ52" s="102">
        <v>35726007</v>
      </c>
      <c r="CA52" s="102">
        <v>1214950074</v>
      </c>
      <c r="CB52" s="102">
        <v>221825557</v>
      </c>
      <c r="CC52" s="102">
        <v>20333099</v>
      </c>
      <c r="CD52" s="102">
        <v>390403122</v>
      </c>
      <c r="CE52" s="102">
        <v>550205375</v>
      </c>
      <c r="CF52" s="102">
        <v>17073752</v>
      </c>
      <c r="CG52" s="102">
        <v>15099443</v>
      </c>
      <c r="CH52" s="102">
        <v>479562105</v>
      </c>
      <c r="CI52" s="102">
        <v>419394834</v>
      </c>
      <c r="CJ52" s="83">
        <f t="shared" si="17"/>
        <v>60167271</v>
      </c>
      <c r="CK52" s="102">
        <v>381093968</v>
      </c>
      <c r="CL52" s="102">
        <v>237168083</v>
      </c>
      <c r="CM52" s="102">
        <v>19610410</v>
      </c>
      <c r="CN52" s="102">
        <v>71356312</v>
      </c>
      <c r="CO52" s="102">
        <v>32846524</v>
      </c>
      <c r="CP52" s="102">
        <v>318411702</v>
      </c>
      <c r="CQ52" s="102">
        <v>48369567</v>
      </c>
      <c r="CR52" s="102">
        <v>91617690</v>
      </c>
      <c r="CS52" s="102">
        <v>68785264</v>
      </c>
      <c r="CT52" s="73">
        <f t="shared" si="7"/>
        <v>103928814</v>
      </c>
      <c r="CU52" s="102">
        <v>43609085</v>
      </c>
      <c r="CV52" s="102">
        <v>60319729</v>
      </c>
      <c r="CW52" s="73">
        <f t="shared" si="8"/>
        <v>13365023</v>
      </c>
      <c r="CX52" s="102">
        <v>9908168</v>
      </c>
      <c r="CY52" s="102">
        <v>3456855</v>
      </c>
      <c r="CZ52" s="73">
        <f t="shared" si="9"/>
        <v>73547773</v>
      </c>
      <c r="DA52" s="102">
        <v>32469278</v>
      </c>
      <c r="DB52" s="102">
        <v>41078495</v>
      </c>
      <c r="DC52" s="102">
        <v>326776613</v>
      </c>
      <c r="DD52" s="102">
        <v>147162512</v>
      </c>
      <c r="DE52" s="102">
        <v>171908347</v>
      </c>
      <c r="DF52" s="102">
        <v>1217139</v>
      </c>
      <c r="DG52" s="102">
        <v>2813695</v>
      </c>
      <c r="DH52" s="102">
        <v>679935</v>
      </c>
      <c r="DI52" s="102">
        <v>76151545</v>
      </c>
      <c r="DJ52" s="102">
        <v>21507572</v>
      </c>
      <c r="DK52" s="102">
        <v>24994401</v>
      </c>
      <c r="DL52" s="102">
        <v>29649572</v>
      </c>
      <c r="DM52" s="102">
        <v>14003167</v>
      </c>
      <c r="DN52" s="102">
        <v>9840667</v>
      </c>
      <c r="DO52" s="102">
        <v>529892</v>
      </c>
      <c r="DP52" s="102">
        <v>2608122</v>
      </c>
      <c r="DQ52" s="102">
        <v>104109127</v>
      </c>
      <c r="DR52" s="102">
        <v>300000</v>
      </c>
      <c r="DS52" s="102">
        <v>0</v>
      </c>
      <c r="DT52" s="102">
        <v>397854146</v>
      </c>
      <c r="DU52" s="102">
        <v>29137099</v>
      </c>
      <c r="DV52" s="73">
        <f t="shared" si="10"/>
        <v>17528512</v>
      </c>
      <c r="DW52" s="102">
        <v>17528512</v>
      </c>
      <c r="DX52" s="102">
        <v>104861687</v>
      </c>
      <c r="DY52" s="102">
        <v>234198</v>
      </c>
      <c r="DZ52" s="102">
        <v>119986600</v>
      </c>
      <c r="EA52" s="74">
        <v>0</v>
      </c>
      <c r="EB52" s="102">
        <v>102302374</v>
      </c>
      <c r="EC52" s="102">
        <v>0</v>
      </c>
      <c r="ED52" s="102">
        <v>3909961807</v>
      </c>
      <c r="EE52" s="71"/>
      <c r="EF52" s="102">
        <v>34755072</v>
      </c>
      <c r="EG52" s="102">
        <v>10912753</v>
      </c>
      <c r="EH52" s="102">
        <v>23842319</v>
      </c>
      <c r="EI52" s="102">
        <v>4178317</v>
      </c>
      <c r="EJ52" s="102">
        <v>25570645</v>
      </c>
      <c r="EK52" s="71"/>
      <c r="EL52" s="102">
        <f>EL51+EL6+EL7</f>
        <v>8839469</v>
      </c>
      <c r="EM52" s="102">
        <f>EM51+EM6+EM7</f>
        <v>8865502</v>
      </c>
      <c r="EN52" s="102">
        <v>24797098</v>
      </c>
      <c r="EO52" s="102">
        <v>63997555</v>
      </c>
      <c r="EP52" s="73">
        <f t="shared" si="11"/>
        <v>111741198</v>
      </c>
      <c r="EQ52" s="102">
        <v>2087077914</v>
      </c>
      <c r="ER52" s="71">
        <v>-343862985</v>
      </c>
      <c r="ES52" s="102">
        <v>507256358</v>
      </c>
      <c r="ET52" s="102">
        <v>342295780</v>
      </c>
      <c r="EU52" s="102">
        <v>358214448</v>
      </c>
      <c r="EV52" s="102">
        <v>445475777</v>
      </c>
      <c r="EW52" s="73">
        <f t="shared" si="12"/>
        <v>93600969</v>
      </c>
      <c r="EX52" s="102">
        <v>93456355</v>
      </c>
      <c r="EY52" s="102">
        <v>16916917</v>
      </c>
      <c r="EZ52" s="102">
        <v>75809402</v>
      </c>
      <c r="FA52" s="102">
        <v>144614</v>
      </c>
      <c r="FB52" s="102">
        <v>0</v>
      </c>
      <c r="FC52" s="102">
        <v>289571727</v>
      </c>
      <c r="FD52" s="102">
        <v>279203960</v>
      </c>
      <c r="FE52" s="102">
        <v>44307804</v>
      </c>
      <c r="FF52" s="102">
        <v>329692832</v>
      </c>
      <c r="FG52" s="73">
        <f t="shared" si="13"/>
        <v>94126258</v>
      </c>
      <c r="FH52" s="102">
        <v>2397142329</v>
      </c>
      <c r="FI52" s="379">
        <f t="shared" si="14"/>
        <v>1.2</v>
      </c>
      <c r="FJ52" s="102">
        <v>1854274310</v>
      </c>
      <c r="FK52" s="102">
        <v>170190650</v>
      </c>
      <c r="FL52" s="102">
        <v>1241941515</v>
      </c>
      <c r="FM52" s="102">
        <v>1489864740</v>
      </c>
      <c r="FN52" s="151">
        <v>0.82699999999999996</v>
      </c>
      <c r="FO52" s="424">
        <v>95.9</v>
      </c>
      <c r="FP52" s="151">
        <v>23.5</v>
      </c>
      <c r="FQ52" s="424">
        <v>16.8</v>
      </c>
      <c r="FR52" s="424">
        <v>20.6</v>
      </c>
      <c r="FS52" s="151">
        <v>12.4</v>
      </c>
      <c r="FT52" s="424">
        <v>9.6999999999999993</v>
      </c>
      <c r="FU52" s="151">
        <v>11.6</v>
      </c>
      <c r="FV52" s="384">
        <v>6.8</v>
      </c>
      <c r="FW52" s="102">
        <v>4294608890</v>
      </c>
      <c r="FX52" s="384">
        <f t="shared" si="15"/>
        <v>212.1</v>
      </c>
      <c r="FY52" s="102">
        <v>623979824</v>
      </c>
      <c r="FZ52" s="102">
        <v>333241289</v>
      </c>
      <c r="GA52" s="102">
        <v>48704242</v>
      </c>
      <c r="GB52" s="102">
        <v>242034293</v>
      </c>
      <c r="GC52" s="102">
        <v>8928249</v>
      </c>
      <c r="GD52" s="454">
        <v>36933</v>
      </c>
      <c r="GE52" s="31">
        <f>IF(GD52=0,"-",ROUND(GD52/GW52*100,1))</f>
        <v>10.1</v>
      </c>
      <c r="GF52" s="424">
        <v>99.2</v>
      </c>
      <c r="GG52" s="424">
        <v>29.9</v>
      </c>
      <c r="GH52" s="424">
        <v>96.9</v>
      </c>
      <c r="GI52" s="102">
        <f>GI51+GI6+GI7</f>
        <v>30931</v>
      </c>
      <c r="GJ52" s="429" t="s">
        <v>646</v>
      </c>
      <c r="GK52" s="429" t="s">
        <v>646</v>
      </c>
      <c r="GL52" s="429" t="s">
        <v>646</v>
      </c>
      <c r="GM52" s="429" t="s">
        <v>646</v>
      </c>
      <c r="GN52" s="429" t="s">
        <v>646</v>
      </c>
      <c r="GO52" s="429" t="s">
        <v>646</v>
      </c>
      <c r="GP52" s="425">
        <v>6.8</v>
      </c>
      <c r="GQ52" s="431" t="s">
        <v>646</v>
      </c>
      <c r="GR52" s="431" t="s">
        <v>646</v>
      </c>
      <c r="GS52" s="151">
        <v>48.5</v>
      </c>
      <c r="GT52" s="429" t="s">
        <v>646</v>
      </c>
      <c r="GV52" s="100">
        <f t="shared" si="16"/>
        <v>2024465</v>
      </c>
      <c r="GW52" s="394">
        <f>GW51</f>
        <v>367109</v>
      </c>
    </row>
    <row r="53" spans="2:230" x14ac:dyDescent="0.15">
      <c r="S53" s="75"/>
      <c r="CI53" s="89"/>
      <c r="CJ53" s="84"/>
      <c r="EI53" s="420">
        <f>EI8+EI10+EI12+EI14+EI23+EI24+EI25+EI27+EI31+EI32+EI37+EI43+EI44+EI45+EI47+EI48</f>
        <v>1631661</v>
      </c>
      <c r="FJ53" s="394">
        <f>FJ44+FJ47+FJ45</f>
        <v>13997180</v>
      </c>
      <c r="FK53" s="394">
        <f>FK44+FK47+FK45</f>
        <v>869865</v>
      </c>
      <c r="GE53" s="89" t="s">
        <v>647</v>
      </c>
      <c r="GW53" s="101" t="s">
        <v>648</v>
      </c>
      <c r="GX53" s="101"/>
    </row>
    <row r="54" spans="2:230" x14ac:dyDescent="0.15">
      <c r="S54" s="75"/>
      <c r="CI54" s="89"/>
      <c r="CJ54" s="84"/>
      <c r="EI54" s="420">
        <f>EI51-EI53</f>
        <v>2208388</v>
      </c>
      <c r="EM54" s="423"/>
      <c r="FJ54" s="394">
        <f>FJ39+FJ53</f>
        <v>963663349</v>
      </c>
      <c r="FK54" s="394">
        <f>FK39+FK53</f>
        <v>77823850</v>
      </c>
      <c r="GF54" s="388"/>
      <c r="GG54" s="388"/>
      <c r="GH54" s="388"/>
      <c r="GI54" s="272">
        <v>30796</v>
      </c>
    </row>
    <row r="55" spans="2:230" x14ac:dyDescent="0.15">
      <c r="S55" s="75"/>
      <c r="CI55" s="89"/>
      <c r="CJ55" s="84"/>
    </row>
    <row r="56" spans="2:230" x14ac:dyDescent="0.15">
      <c r="B56" s="89" t="s">
        <v>650</v>
      </c>
      <c r="C56" s="89" t="str">
        <f t="shared" ref="C56:AH56" si="18">IF(SUM(C8:C38)=C39,"ok","エラー")</f>
        <v>ok</v>
      </c>
      <c r="D56" s="89" t="str">
        <f t="shared" si="18"/>
        <v>ok</v>
      </c>
      <c r="E56" s="89" t="str">
        <f t="shared" si="18"/>
        <v>ok</v>
      </c>
      <c r="F56" s="89" t="str">
        <f t="shared" si="18"/>
        <v>ok</v>
      </c>
      <c r="G56" s="89" t="str">
        <f t="shared" si="18"/>
        <v>ok</v>
      </c>
      <c r="H56" s="89" t="str">
        <f t="shared" si="18"/>
        <v>ok</v>
      </c>
      <c r="I56" s="89" t="str">
        <f t="shared" si="18"/>
        <v>ok</v>
      </c>
      <c r="J56" s="89" t="str">
        <f t="shared" si="18"/>
        <v>ok</v>
      </c>
      <c r="K56" s="89" t="str">
        <f t="shared" si="18"/>
        <v>ok</v>
      </c>
      <c r="L56" s="89" t="str">
        <f t="shared" si="18"/>
        <v>ok</v>
      </c>
      <c r="M56" s="89" t="str">
        <f t="shared" si="18"/>
        <v>ok</v>
      </c>
      <c r="N56" s="89" t="str">
        <f t="shared" si="18"/>
        <v>ok</v>
      </c>
      <c r="O56" s="89" t="str">
        <f t="shared" si="18"/>
        <v>ok</v>
      </c>
      <c r="P56" s="89" t="str">
        <f t="shared" si="18"/>
        <v>ok</v>
      </c>
      <c r="Q56" s="89" t="str">
        <f t="shared" si="18"/>
        <v>ok</v>
      </c>
      <c r="R56" s="89" t="str">
        <f t="shared" si="18"/>
        <v>ok</v>
      </c>
      <c r="S56" s="75" t="str">
        <f t="shared" si="18"/>
        <v>ok</v>
      </c>
      <c r="T56" s="89" t="str">
        <f t="shared" si="18"/>
        <v>ok</v>
      </c>
      <c r="U56" s="89" t="str">
        <f t="shared" si="18"/>
        <v>ok</v>
      </c>
      <c r="V56" s="89" t="str">
        <f t="shared" si="18"/>
        <v>ok</v>
      </c>
      <c r="W56" s="89" t="str">
        <f t="shared" si="18"/>
        <v>ok</v>
      </c>
      <c r="X56" s="89" t="str">
        <f t="shared" si="18"/>
        <v>ok</v>
      </c>
      <c r="Y56" s="89" t="str">
        <f t="shared" si="18"/>
        <v>ok</v>
      </c>
      <c r="Z56" s="89" t="str">
        <f t="shared" si="18"/>
        <v>ok</v>
      </c>
      <c r="AA56" s="89" t="str">
        <f t="shared" si="18"/>
        <v>ok</v>
      </c>
      <c r="AB56" s="89" t="str">
        <f t="shared" si="18"/>
        <v>ok</v>
      </c>
      <c r="AC56" s="89" t="str">
        <f t="shared" si="18"/>
        <v>ok</v>
      </c>
      <c r="AD56" s="89" t="str">
        <f t="shared" si="18"/>
        <v>ok</v>
      </c>
      <c r="AE56" s="89" t="str">
        <f t="shared" si="18"/>
        <v>ok</v>
      </c>
      <c r="AF56" s="89" t="str">
        <f t="shared" si="18"/>
        <v>ok</v>
      </c>
      <c r="AG56" s="89" t="str">
        <f t="shared" si="18"/>
        <v>ok</v>
      </c>
      <c r="AH56" s="89" t="str">
        <f t="shared" si="18"/>
        <v>ok</v>
      </c>
      <c r="AI56" s="89" t="str">
        <f t="shared" ref="AI56:BN56" si="19">IF(SUM(AI8:AI38)=AI39,"ok","エラー")</f>
        <v>ok</v>
      </c>
      <c r="AJ56" s="89" t="str">
        <f t="shared" si="19"/>
        <v>ok</v>
      </c>
      <c r="AK56" s="89" t="str">
        <f t="shared" si="19"/>
        <v>ok</v>
      </c>
      <c r="AL56" s="89" t="str">
        <f t="shared" si="19"/>
        <v>ok</v>
      </c>
      <c r="AM56" s="89" t="str">
        <f t="shared" si="19"/>
        <v>ok</v>
      </c>
      <c r="AN56" s="89" t="str">
        <f t="shared" si="19"/>
        <v>ok</v>
      </c>
      <c r="AO56" s="89" t="str">
        <f t="shared" si="19"/>
        <v>ok</v>
      </c>
      <c r="AP56" s="89" t="str">
        <f t="shared" si="19"/>
        <v>ok</v>
      </c>
      <c r="AQ56" s="89" t="str">
        <f t="shared" si="19"/>
        <v>ok</v>
      </c>
      <c r="AR56" s="89" t="str">
        <f t="shared" si="19"/>
        <v>ok</v>
      </c>
      <c r="AS56" s="89" t="str">
        <f t="shared" si="19"/>
        <v>ok</v>
      </c>
      <c r="AT56" s="89" t="str">
        <f t="shared" si="19"/>
        <v>ok</v>
      </c>
      <c r="AU56" s="89" t="str">
        <f t="shared" si="19"/>
        <v>ok</v>
      </c>
      <c r="AV56" s="89" t="str">
        <f t="shared" si="19"/>
        <v>ok</v>
      </c>
      <c r="AW56" s="89" t="str">
        <f t="shared" si="19"/>
        <v>ok</v>
      </c>
      <c r="AX56" s="89" t="str">
        <f t="shared" si="19"/>
        <v>ok</v>
      </c>
      <c r="AY56" s="89" t="str">
        <f t="shared" si="19"/>
        <v>ok</v>
      </c>
      <c r="AZ56" s="89" t="str">
        <f t="shared" si="19"/>
        <v>ok</v>
      </c>
      <c r="BA56" s="89" t="str">
        <f t="shared" si="19"/>
        <v>ok</v>
      </c>
      <c r="BB56" s="89" t="str">
        <f t="shared" si="19"/>
        <v>ok</v>
      </c>
      <c r="BC56" s="89" t="str">
        <f t="shared" si="19"/>
        <v>ok</v>
      </c>
      <c r="BD56" s="89" t="str">
        <f t="shared" si="19"/>
        <v>ok</v>
      </c>
      <c r="BE56" s="89" t="str">
        <f t="shared" si="19"/>
        <v>ok</v>
      </c>
      <c r="BF56" s="89" t="str">
        <f t="shared" si="19"/>
        <v>ok</v>
      </c>
      <c r="BG56" s="89" t="str">
        <f t="shared" si="19"/>
        <v>ok</v>
      </c>
      <c r="BH56" s="89" t="str">
        <f t="shared" si="19"/>
        <v>ok</v>
      </c>
      <c r="BI56" s="89" t="str">
        <f t="shared" si="19"/>
        <v>ok</v>
      </c>
      <c r="BJ56" s="89" t="str">
        <f t="shared" si="19"/>
        <v>ok</v>
      </c>
      <c r="BK56" s="89" t="str">
        <f t="shared" si="19"/>
        <v>ok</v>
      </c>
      <c r="BL56" s="89" t="str">
        <f t="shared" si="19"/>
        <v>ok</v>
      </c>
      <c r="BM56" s="89" t="str">
        <f t="shared" si="19"/>
        <v>ok</v>
      </c>
      <c r="BN56" s="89" t="str">
        <f t="shared" si="19"/>
        <v>ok</v>
      </c>
      <c r="BO56" s="89" t="str">
        <f t="shared" ref="BO56:CI56" si="20">IF(SUM(BO8:BO38)=BO39,"ok","エラー")</f>
        <v>ok</v>
      </c>
      <c r="BP56" s="89" t="str">
        <f t="shared" si="20"/>
        <v>ok</v>
      </c>
      <c r="BQ56" s="89" t="str">
        <f t="shared" si="20"/>
        <v>ok</v>
      </c>
      <c r="BR56" s="89" t="str">
        <f t="shared" si="20"/>
        <v>ok</v>
      </c>
      <c r="BS56" s="89" t="str">
        <f t="shared" si="20"/>
        <v>ok</v>
      </c>
      <c r="BT56" s="89" t="str">
        <f t="shared" si="20"/>
        <v>ok</v>
      </c>
      <c r="BU56" s="89" t="str">
        <f t="shared" si="20"/>
        <v>ok</v>
      </c>
      <c r="BV56" s="89" t="str">
        <f t="shared" si="20"/>
        <v>ok</v>
      </c>
      <c r="BW56" s="89" t="str">
        <f t="shared" si="20"/>
        <v>ok</v>
      </c>
      <c r="BX56" s="89" t="str">
        <f t="shared" si="20"/>
        <v>ok</v>
      </c>
      <c r="BY56" s="89" t="str">
        <f t="shared" si="20"/>
        <v>ok</v>
      </c>
      <c r="BZ56" s="89" t="str">
        <f t="shared" si="20"/>
        <v>ok</v>
      </c>
      <c r="CA56" s="89" t="str">
        <f t="shared" si="20"/>
        <v>ok</v>
      </c>
      <c r="CB56" s="89" t="str">
        <f t="shared" si="20"/>
        <v>ok</v>
      </c>
      <c r="CC56" s="89" t="str">
        <f t="shared" si="20"/>
        <v>ok</v>
      </c>
      <c r="CD56" s="89" t="str">
        <f t="shared" si="20"/>
        <v>ok</v>
      </c>
      <c r="CE56" s="89" t="str">
        <f t="shared" si="20"/>
        <v>ok</v>
      </c>
      <c r="CF56" s="89" t="str">
        <f t="shared" si="20"/>
        <v>ok</v>
      </c>
      <c r="CG56" s="89" t="str">
        <f t="shared" si="20"/>
        <v>ok</v>
      </c>
      <c r="CH56" s="89" t="str">
        <f t="shared" si="20"/>
        <v>ok</v>
      </c>
      <c r="CI56" s="89" t="str">
        <f t="shared" si="20"/>
        <v>ok</v>
      </c>
      <c r="CJ56" s="84"/>
      <c r="CK56" s="89" t="str">
        <f t="shared" ref="CK56:DP56" si="21">IF(SUM(CK8:CK38)=CK39,"ok","エラー")</f>
        <v>ok</v>
      </c>
      <c r="CL56" s="89" t="str">
        <f t="shared" si="21"/>
        <v>ok</v>
      </c>
      <c r="CM56" s="89" t="str">
        <f t="shared" si="21"/>
        <v>ok</v>
      </c>
      <c r="CN56" s="89" t="str">
        <f t="shared" si="21"/>
        <v>ok</v>
      </c>
      <c r="CO56" s="89" t="str">
        <f t="shared" si="21"/>
        <v>ok</v>
      </c>
      <c r="CP56" s="89" t="str">
        <f t="shared" si="21"/>
        <v>ok</v>
      </c>
      <c r="CQ56" s="89" t="str">
        <f t="shared" si="21"/>
        <v>ok</v>
      </c>
      <c r="CR56" s="89" t="str">
        <f t="shared" si="21"/>
        <v>ok</v>
      </c>
      <c r="CS56" s="89" t="str">
        <f t="shared" si="21"/>
        <v>ok</v>
      </c>
      <c r="CT56" s="89" t="str">
        <f t="shared" si="21"/>
        <v>ok</v>
      </c>
      <c r="CU56" s="89" t="str">
        <f t="shared" si="21"/>
        <v>ok</v>
      </c>
      <c r="CV56" s="89" t="str">
        <f t="shared" si="21"/>
        <v>ok</v>
      </c>
      <c r="CW56" s="89" t="str">
        <f t="shared" si="21"/>
        <v>ok</v>
      </c>
      <c r="CX56" s="89" t="str">
        <f t="shared" si="21"/>
        <v>ok</v>
      </c>
      <c r="CY56" s="89" t="str">
        <f t="shared" si="21"/>
        <v>ok</v>
      </c>
      <c r="CZ56" s="89" t="str">
        <f t="shared" si="21"/>
        <v>ok</v>
      </c>
      <c r="DA56" s="89" t="str">
        <f t="shared" si="21"/>
        <v>ok</v>
      </c>
      <c r="DB56" s="89" t="str">
        <f t="shared" si="21"/>
        <v>ok</v>
      </c>
      <c r="DC56" s="89" t="str">
        <f t="shared" si="21"/>
        <v>ok</v>
      </c>
      <c r="DD56" s="89" t="str">
        <f t="shared" si="21"/>
        <v>ok</v>
      </c>
      <c r="DE56" s="89" t="str">
        <f t="shared" si="21"/>
        <v>ok</v>
      </c>
      <c r="DF56" s="89" t="str">
        <f t="shared" si="21"/>
        <v>ok</v>
      </c>
      <c r="DG56" s="89" t="str">
        <f t="shared" si="21"/>
        <v>ok</v>
      </c>
      <c r="DH56" s="89" t="str">
        <f t="shared" si="21"/>
        <v>ok</v>
      </c>
      <c r="DI56" s="89" t="str">
        <f t="shared" si="21"/>
        <v>ok</v>
      </c>
      <c r="DJ56" s="89" t="str">
        <f t="shared" si="21"/>
        <v>ok</v>
      </c>
      <c r="DK56" s="89" t="str">
        <f t="shared" si="21"/>
        <v>ok</v>
      </c>
      <c r="DL56" s="89" t="str">
        <f t="shared" si="21"/>
        <v>ok</v>
      </c>
      <c r="DM56" s="89" t="str">
        <f t="shared" si="21"/>
        <v>ok</v>
      </c>
      <c r="DN56" s="89" t="str">
        <f t="shared" si="21"/>
        <v>ok</v>
      </c>
      <c r="DO56" s="89" t="str">
        <f t="shared" si="21"/>
        <v>ok</v>
      </c>
      <c r="DP56" s="89" t="str">
        <f t="shared" si="21"/>
        <v>ok</v>
      </c>
      <c r="DQ56" s="89" t="str">
        <f t="shared" ref="DQ56:EV56" si="22">IF(SUM(DQ8:DQ38)=DQ39,"ok","エラー")</f>
        <v>ok</v>
      </c>
      <c r="DR56" s="89" t="str">
        <f t="shared" si="22"/>
        <v>ok</v>
      </c>
      <c r="DS56" s="89" t="str">
        <f t="shared" si="22"/>
        <v>ok</v>
      </c>
      <c r="DT56" s="89" t="str">
        <f t="shared" si="22"/>
        <v>ok</v>
      </c>
      <c r="DU56" s="89" t="str">
        <f t="shared" si="22"/>
        <v>ok</v>
      </c>
      <c r="DV56" s="89" t="str">
        <f t="shared" si="22"/>
        <v>ok</v>
      </c>
      <c r="DW56" s="89" t="str">
        <f t="shared" si="22"/>
        <v>ok</v>
      </c>
      <c r="DX56" s="89" t="str">
        <f t="shared" si="22"/>
        <v>ok</v>
      </c>
      <c r="DY56" s="89" t="str">
        <f t="shared" si="22"/>
        <v>ok</v>
      </c>
      <c r="DZ56" s="89" t="str">
        <f t="shared" si="22"/>
        <v>ok</v>
      </c>
      <c r="EA56" s="89" t="str">
        <f t="shared" si="22"/>
        <v>ok</v>
      </c>
      <c r="EB56" s="89" t="str">
        <f t="shared" si="22"/>
        <v>ok</v>
      </c>
      <c r="EC56" s="89" t="str">
        <f t="shared" si="22"/>
        <v>ok</v>
      </c>
      <c r="ED56" s="89" t="str">
        <f t="shared" si="22"/>
        <v>ok</v>
      </c>
      <c r="EE56" s="89" t="str">
        <f t="shared" si="22"/>
        <v>ok</v>
      </c>
      <c r="EF56" s="89" t="str">
        <f t="shared" si="22"/>
        <v>ok</v>
      </c>
      <c r="EG56" s="89" t="str">
        <f t="shared" si="22"/>
        <v>ok</v>
      </c>
      <c r="EH56" s="89" t="str">
        <f t="shared" si="22"/>
        <v>ok</v>
      </c>
      <c r="EI56" s="89" t="str">
        <f t="shared" si="22"/>
        <v>ok</v>
      </c>
      <c r="EJ56" s="89" t="str">
        <f t="shared" si="22"/>
        <v>ok</v>
      </c>
      <c r="EK56" s="89" t="str">
        <f t="shared" si="22"/>
        <v>ok</v>
      </c>
      <c r="EL56" s="89" t="str">
        <f t="shared" si="22"/>
        <v>ok</v>
      </c>
      <c r="EM56" s="89" t="str">
        <f t="shared" si="22"/>
        <v>ok</v>
      </c>
      <c r="EN56" s="89" t="str">
        <f t="shared" si="22"/>
        <v>ok</v>
      </c>
      <c r="EO56" s="89" t="str">
        <f t="shared" si="22"/>
        <v>ok</v>
      </c>
      <c r="EP56" s="89" t="str">
        <f t="shared" si="22"/>
        <v>ok</v>
      </c>
      <c r="EQ56" s="89" t="str">
        <f t="shared" si="22"/>
        <v>ok</v>
      </c>
      <c r="ER56" s="89" t="str">
        <f t="shared" si="22"/>
        <v>ok</v>
      </c>
      <c r="ES56" s="89" t="str">
        <f t="shared" si="22"/>
        <v>ok</v>
      </c>
      <c r="ET56" s="89" t="str">
        <f t="shared" si="22"/>
        <v>ok</v>
      </c>
      <c r="EU56" s="89" t="str">
        <f t="shared" si="22"/>
        <v>ok</v>
      </c>
      <c r="EV56" s="89" t="str">
        <f t="shared" si="22"/>
        <v>ok</v>
      </c>
      <c r="EW56" s="89" t="str">
        <f t="shared" ref="EW56:FH56" si="23">IF(SUM(EW8:EW38)=EW39,"ok","エラー")</f>
        <v>ok</v>
      </c>
      <c r="EX56" s="89" t="str">
        <f t="shared" si="23"/>
        <v>ok</v>
      </c>
      <c r="EY56" s="89" t="str">
        <f t="shared" si="23"/>
        <v>ok</v>
      </c>
      <c r="EZ56" s="89" t="str">
        <f t="shared" si="23"/>
        <v>ok</v>
      </c>
      <c r="FA56" s="89" t="str">
        <f t="shared" si="23"/>
        <v>ok</v>
      </c>
      <c r="FB56" s="89" t="str">
        <f t="shared" si="23"/>
        <v>ok</v>
      </c>
      <c r="FC56" s="89" t="str">
        <f t="shared" si="23"/>
        <v>ok</v>
      </c>
      <c r="FD56" s="89" t="str">
        <f t="shared" si="23"/>
        <v>ok</v>
      </c>
      <c r="FE56" s="89" t="str">
        <f t="shared" si="23"/>
        <v>ok</v>
      </c>
      <c r="FF56" s="89" t="str">
        <f t="shared" si="23"/>
        <v>ok</v>
      </c>
      <c r="FG56" s="89" t="str">
        <f t="shared" si="23"/>
        <v>ok</v>
      </c>
      <c r="FH56" s="89" t="str">
        <f t="shared" si="23"/>
        <v>ok</v>
      </c>
      <c r="FJ56" s="89" t="str">
        <f>IF(SUM(FJ8:FJ38)=FJ39,"ok","エラー")</f>
        <v>ok</v>
      </c>
      <c r="FK56" s="89" t="str">
        <f>IF(SUM(FK8:FK38)=FK39,"ok","エラー")</f>
        <v>ok</v>
      </c>
      <c r="FL56" s="89" t="str">
        <f>IF(SUM(FL8:FL38)=FL39,"ok","エラー")</f>
        <v>ok</v>
      </c>
      <c r="FM56" s="89" t="str">
        <f>IF(SUM(FM8:FM38)=FM39,"ok","エラー")</f>
        <v>ok</v>
      </c>
      <c r="FW56" s="89" t="str">
        <f>IF(SUM(FW8:FW38)=FW39,"ok","エラー")</f>
        <v>ok</v>
      </c>
      <c r="FY56" s="89" t="str">
        <f t="shared" ref="FY56:GD56" si="24">IF(SUM(FY8:FY38)=FY39,"ok","エラー")</f>
        <v>ok</v>
      </c>
      <c r="FZ56" s="89" t="str">
        <f t="shared" si="24"/>
        <v>ok</v>
      </c>
      <c r="GA56" s="89" t="str">
        <f t="shared" si="24"/>
        <v>ok</v>
      </c>
      <c r="GB56" s="89" t="str">
        <f t="shared" si="24"/>
        <v>ok</v>
      </c>
      <c r="GC56" s="89" t="str">
        <f t="shared" si="24"/>
        <v>ok</v>
      </c>
      <c r="GD56" s="89" t="str">
        <f t="shared" si="24"/>
        <v>ok</v>
      </c>
      <c r="GI56" s="62" t="str">
        <f>IF(SUM(GI8:GI38)=GI39,"ok","エラー")</f>
        <v>ok</v>
      </c>
    </row>
    <row r="57" spans="2:230" x14ac:dyDescent="0.15">
      <c r="B57" s="89" t="s">
        <v>650</v>
      </c>
      <c r="C57" s="89" t="str">
        <f t="shared" ref="C57:AH57" si="25">IF(SUM(C40:C49)=C50,"ok","エラー")</f>
        <v>ok</v>
      </c>
      <c r="D57" s="89" t="str">
        <f t="shared" si="25"/>
        <v>ok</v>
      </c>
      <c r="E57" s="89" t="str">
        <f t="shared" si="25"/>
        <v>ok</v>
      </c>
      <c r="F57" s="89" t="str">
        <f t="shared" si="25"/>
        <v>ok</v>
      </c>
      <c r="G57" s="89" t="str">
        <f t="shared" si="25"/>
        <v>ok</v>
      </c>
      <c r="H57" s="89" t="str">
        <f t="shared" si="25"/>
        <v>ok</v>
      </c>
      <c r="I57" s="89" t="str">
        <f t="shared" si="25"/>
        <v>ok</v>
      </c>
      <c r="J57" s="89" t="str">
        <f t="shared" si="25"/>
        <v>ok</v>
      </c>
      <c r="K57" s="89" t="str">
        <f t="shared" si="25"/>
        <v>ok</v>
      </c>
      <c r="L57" s="89" t="str">
        <f t="shared" si="25"/>
        <v>ok</v>
      </c>
      <c r="M57" s="89" t="str">
        <f t="shared" si="25"/>
        <v>ok</v>
      </c>
      <c r="N57" s="89" t="str">
        <f t="shared" si="25"/>
        <v>ok</v>
      </c>
      <c r="O57" s="89" t="str">
        <f t="shared" si="25"/>
        <v>ok</v>
      </c>
      <c r="P57" s="89" t="str">
        <f t="shared" si="25"/>
        <v>ok</v>
      </c>
      <c r="Q57" s="89" t="str">
        <f t="shared" si="25"/>
        <v>ok</v>
      </c>
      <c r="R57" s="89" t="str">
        <f t="shared" si="25"/>
        <v>ok</v>
      </c>
      <c r="S57" s="75" t="str">
        <f t="shared" si="25"/>
        <v>ok</v>
      </c>
      <c r="T57" s="89" t="str">
        <f t="shared" si="25"/>
        <v>ok</v>
      </c>
      <c r="U57" s="89" t="str">
        <f t="shared" si="25"/>
        <v>ok</v>
      </c>
      <c r="V57" s="89" t="str">
        <f t="shared" si="25"/>
        <v>ok</v>
      </c>
      <c r="W57" s="89" t="str">
        <f t="shared" si="25"/>
        <v>ok</v>
      </c>
      <c r="X57" s="89" t="str">
        <f t="shared" si="25"/>
        <v>ok</v>
      </c>
      <c r="Y57" s="89" t="str">
        <f t="shared" si="25"/>
        <v>ok</v>
      </c>
      <c r="Z57" s="89" t="str">
        <f t="shared" si="25"/>
        <v>ok</v>
      </c>
      <c r="AA57" s="89" t="str">
        <f t="shared" si="25"/>
        <v>ok</v>
      </c>
      <c r="AB57" s="89" t="str">
        <f t="shared" si="25"/>
        <v>ok</v>
      </c>
      <c r="AC57" s="89" t="str">
        <f t="shared" si="25"/>
        <v>ok</v>
      </c>
      <c r="AD57" s="89" t="str">
        <f t="shared" si="25"/>
        <v>ok</v>
      </c>
      <c r="AE57" s="89" t="str">
        <f t="shared" si="25"/>
        <v>ok</v>
      </c>
      <c r="AF57" s="89" t="str">
        <f t="shared" si="25"/>
        <v>ok</v>
      </c>
      <c r="AG57" s="89" t="str">
        <f t="shared" si="25"/>
        <v>ok</v>
      </c>
      <c r="AH57" s="89" t="str">
        <f t="shared" si="25"/>
        <v>ok</v>
      </c>
      <c r="AI57" s="89" t="str">
        <f t="shared" ref="AI57:BN57" si="26">IF(SUM(AI40:AI49)=AI50,"ok","エラー")</f>
        <v>ok</v>
      </c>
      <c r="AJ57" s="89" t="str">
        <f t="shared" si="26"/>
        <v>ok</v>
      </c>
      <c r="AK57" s="89" t="str">
        <f t="shared" si="26"/>
        <v>ok</v>
      </c>
      <c r="AL57" s="89" t="str">
        <f t="shared" si="26"/>
        <v>ok</v>
      </c>
      <c r="AM57" s="89" t="str">
        <f t="shared" si="26"/>
        <v>ok</v>
      </c>
      <c r="AN57" s="89" t="str">
        <f t="shared" si="26"/>
        <v>ok</v>
      </c>
      <c r="AO57" s="89" t="str">
        <f t="shared" si="26"/>
        <v>ok</v>
      </c>
      <c r="AP57" s="89" t="str">
        <f t="shared" si="26"/>
        <v>ok</v>
      </c>
      <c r="AQ57" s="89" t="str">
        <f t="shared" si="26"/>
        <v>ok</v>
      </c>
      <c r="AR57" s="89" t="str">
        <f t="shared" si="26"/>
        <v>ok</v>
      </c>
      <c r="AS57" s="89" t="str">
        <f t="shared" si="26"/>
        <v>ok</v>
      </c>
      <c r="AT57" s="89" t="str">
        <f t="shared" si="26"/>
        <v>ok</v>
      </c>
      <c r="AU57" s="89" t="str">
        <f t="shared" si="26"/>
        <v>ok</v>
      </c>
      <c r="AV57" s="89" t="str">
        <f t="shared" si="26"/>
        <v>ok</v>
      </c>
      <c r="AW57" s="89" t="str">
        <f t="shared" si="26"/>
        <v>ok</v>
      </c>
      <c r="AX57" s="89" t="str">
        <f t="shared" si="26"/>
        <v>ok</v>
      </c>
      <c r="AY57" s="89" t="str">
        <f t="shared" si="26"/>
        <v>ok</v>
      </c>
      <c r="AZ57" s="89" t="str">
        <f t="shared" si="26"/>
        <v>ok</v>
      </c>
      <c r="BA57" s="89" t="str">
        <f t="shared" si="26"/>
        <v>ok</v>
      </c>
      <c r="BB57" s="89" t="str">
        <f t="shared" si="26"/>
        <v>ok</v>
      </c>
      <c r="BC57" s="89" t="str">
        <f t="shared" si="26"/>
        <v>ok</v>
      </c>
      <c r="BD57" s="89" t="str">
        <f t="shared" si="26"/>
        <v>ok</v>
      </c>
      <c r="BE57" s="89" t="str">
        <f t="shared" si="26"/>
        <v>ok</v>
      </c>
      <c r="BF57" s="89" t="str">
        <f t="shared" si="26"/>
        <v>ok</v>
      </c>
      <c r="BG57" s="89" t="str">
        <f t="shared" si="26"/>
        <v>ok</v>
      </c>
      <c r="BH57" s="89" t="str">
        <f t="shared" si="26"/>
        <v>ok</v>
      </c>
      <c r="BI57" s="89" t="str">
        <f t="shared" si="26"/>
        <v>ok</v>
      </c>
      <c r="BJ57" s="89" t="str">
        <f t="shared" si="26"/>
        <v>ok</v>
      </c>
      <c r="BK57" s="89" t="str">
        <f t="shared" si="26"/>
        <v>ok</v>
      </c>
      <c r="BL57" s="89" t="str">
        <f t="shared" si="26"/>
        <v>ok</v>
      </c>
      <c r="BM57" s="89" t="str">
        <f t="shared" si="26"/>
        <v>ok</v>
      </c>
      <c r="BN57" s="89" t="str">
        <f t="shared" si="26"/>
        <v>ok</v>
      </c>
      <c r="BO57" s="89" t="str">
        <f t="shared" ref="BO57:CI57" si="27">IF(SUM(BO40:BO49)=BO50,"ok","エラー")</f>
        <v>ok</v>
      </c>
      <c r="BP57" s="89" t="str">
        <f t="shared" si="27"/>
        <v>ok</v>
      </c>
      <c r="BQ57" s="89" t="str">
        <f t="shared" si="27"/>
        <v>ok</v>
      </c>
      <c r="BR57" s="89" t="str">
        <f t="shared" si="27"/>
        <v>ok</v>
      </c>
      <c r="BS57" s="89" t="str">
        <f t="shared" si="27"/>
        <v>ok</v>
      </c>
      <c r="BT57" s="89" t="str">
        <f t="shared" si="27"/>
        <v>ok</v>
      </c>
      <c r="BU57" s="89" t="str">
        <f t="shared" si="27"/>
        <v>ok</v>
      </c>
      <c r="BV57" s="89" t="str">
        <f t="shared" si="27"/>
        <v>ok</v>
      </c>
      <c r="BW57" s="89" t="str">
        <f t="shared" si="27"/>
        <v>ok</v>
      </c>
      <c r="BX57" s="89" t="str">
        <f t="shared" si="27"/>
        <v>ok</v>
      </c>
      <c r="BY57" s="89" t="str">
        <f t="shared" si="27"/>
        <v>ok</v>
      </c>
      <c r="BZ57" s="89" t="str">
        <f t="shared" si="27"/>
        <v>ok</v>
      </c>
      <c r="CA57" s="89" t="str">
        <f t="shared" si="27"/>
        <v>ok</v>
      </c>
      <c r="CB57" s="89" t="str">
        <f t="shared" si="27"/>
        <v>ok</v>
      </c>
      <c r="CC57" s="89" t="str">
        <f t="shared" si="27"/>
        <v>ok</v>
      </c>
      <c r="CD57" s="89" t="str">
        <f t="shared" si="27"/>
        <v>ok</v>
      </c>
      <c r="CE57" s="89" t="str">
        <f t="shared" si="27"/>
        <v>ok</v>
      </c>
      <c r="CF57" s="89" t="str">
        <f t="shared" si="27"/>
        <v>ok</v>
      </c>
      <c r="CG57" s="89" t="str">
        <f t="shared" si="27"/>
        <v>ok</v>
      </c>
      <c r="CH57" s="89" t="str">
        <f t="shared" si="27"/>
        <v>ok</v>
      </c>
      <c r="CI57" s="89" t="str">
        <f t="shared" si="27"/>
        <v>ok</v>
      </c>
      <c r="CJ57" s="84"/>
      <c r="CK57" s="89" t="str">
        <f t="shared" ref="CK57:DP57" si="28">IF(SUM(CK40:CK49)=CK50,"ok","エラー")</f>
        <v>ok</v>
      </c>
      <c r="CL57" s="89" t="str">
        <f t="shared" si="28"/>
        <v>ok</v>
      </c>
      <c r="CM57" s="89" t="str">
        <f t="shared" si="28"/>
        <v>ok</v>
      </c>
      <c r="CN57" s="89" t="str">
        <f t="shared" si="28"/>
        <v>ok</v>
      </c>
      <c r="CO57" s="89" t="str">
        <f t="shared" si="28"/>
        <v>ok</v>
      </c>
      <c r="CP57" s="89" t="str">
        <f t="shared" si="28"/>
        <v>ok</v>
      </c>
      <c r="CQ57" s="89" t="str">
        <f t="shared" si="28"/>
        <v>ok</v>
      </c>
      <c r="CR57" s="89" t="str">
        <f t="shared" si="28"/>
        <v>ok</v>
      </c>
      <c r="CS57" s="89" t="str">
        <f t="shared" si="28"/>
        <v>ok</v>
      </c>
      <c r="CT57" s="89" t="str">
        <f t="shared" si="28"/>
        <v>ok</v>
      </c>
      <c r="CU57" s="89" t="str">
        <f t="shared" si="28"/>
        <v>ok</v>
      </c>
      <c r="CV57" s="89" t="str">
        <f t="shared" si="28"/>
        <v>ok</v>
      </c>
      <c r="CW57" s="89" t="str">
        <f t="shared" si="28"/>
        <v>ok</v>
      </c>
      <c r="CX57" s="89" t="str">
        <f t="shared" si="28"/>
        <v>ok</v>
      </c>
      <c r="CY57" s="89" t="str">
        <f t="shared" si="28"/>
        <v>ok</v>
      </c>
      <c r="CZ57" s="89" t="str">
        <f t="shared" si="28"/>
        <v>ok</v>
      </c>
      <c r="DA57" s="89" t="str">
        <f t="shared" si="28"/>
        <v>ok</v>
      </c>
      <c r="DB57" s="89" t="str">
        <f t="shared" si="28"/>
        <v>ok</v>
      </c>
      <c r="DC57" s="89" t="str">
        <f t="shared" si="28"/>
        <v>ok</v>
      </c>
      <c r="DD57" s="89" t="str">
        <f t="shared" si="28"/>
        <v>ok</v>
      </c>
      <c r="DE57" s="89" t="str">
        <f t="shared" si="28"/>
        <v>ok</v>
      </c>
      <c r="DF57" s="89" t="str">
        <f t="shared" si="28"/>
        <v>ok</v>
      </c>
      <c r="DG57" s="89" t="str">
        <f t="shared" si="28"/>
        <v>ok</v>
      </c>
      <c r="DH57" s="89" t="str">
        <f t="shared" si="28"/>
        <v>ok</v>
      </c>
      <c r="DI57" s="89" t="str">
        <f t="shared" si="28"/>
        <v>ok</v>
      </c>
      <c r="DJ57" s="89" t="str">
        <f t="shared" si="28"/>
        <v>ok</v>
      </c>
      <c r="DK57" s="89" t="str">
        <f t="shared" si="28"/>
        <v>ok</v>
      </c>
      <c r="DL57" s="89" t="str">
        <f t="shared" si="28"/>
        <v>ok</v>
      </c>
      <c r="DM57" s="89" t="str">
        <f t="shared" si="28"/>
        <v>ok</v>
      </c>
      <c r="DN57" s="89" t="str">
        <f t="shared" si="28"/>
        <v>ok</v>
      </c>
      <c r="DO57" s="89" t="str">
        <f t="shared" si="28"/>
        <v>ok</v>
      </c>
      <c r="DP57" s="89" t="str">
        <f t="shared" si="28"/>
        <v>ok</v>
      </c>
      <c r="DQ57" s="89" t="str">
        <f t="shared" ref="DQ57:EV57" si="29">IF(SUM(DQ40:DQ49)=DQ50,"ok","エラー")</f>
        <v>ok</v>
      </c>
      <c r="DR57" s="89" t="str">
        <f t="shared" si="29"/>
        <v>ok</v>
      </c>
      <c r="DS57" s="89" t="str">
        <f t="shared" si="29"/>
        <v>ok</v>
      </c>
      <c r="DT57" s="89" t="str">
        <f t="shared" si="29"/>
        <v>ok</v>
      </c>
      <c r="DU57" s="89" t="str">
        <f t="shared" si="29"/>
        <v>ok</v>
      </c>
      <c r="DV57" s="89" t="str">
        <f t="shared" si="29"/>
        <v>ok</v>
      </c>
      <c r="DW57" s="89" t="str">
        <f t="shared" si="29"/>
        <v>ok</v>
      </c>
      <c r="DX57" s="89" t="str">
        <f t="shared" si="29"/>
        <v>ok</v>
      </c>
      <c r="DY57" s="89" t="str">
        <f t="shared" si="29"/>
        <v>ok</v>
      </c>
      <c r="DZ57" s="89" t="str">
        <f t="shared" si="29"/>
        <v>ok</v>
      </c>
      <c r="EA57" s="89" t="str">
        <f t="shared" si="29"/>
        <v>ok</v>
      </c>
      <c r="EB57" s="89" t="str">
        <f t="shared" si="29"/>
        <v>ok</v>
      </c>
      <c r="EC57" s="89" t="str">
        <f t="shared" si="29"/>
        <v>ok</v>
      </c>
      <c r="ED57" s="89" t="str">
        <f t="shared" si="29"/>
        <v>ok</v>
      </c>
      <c r="EE57" s="89" t="str">
        <f t="shared" si="29"/>
        <v>ok</v>
      </c>
      <c r="EF57" s="89" t="str">
        <f t="shared" si="29"/>
        <v>ok</v>
      </c>
      <c r="EG57" s="89" t="str">
        <f t="shared" si="29"/>
        <v>ok</v>
      </c>
      <c r="EH57" s="89" t="str">
        <f t="shared" si="29"/>
        <v>ok</v>
      </c>
      <c r="EI57" s="89" t="str">
        <f t="shared" si="29"/>
        <v>ok</v>
      </c>
      <c r="EJ57" s="89" t="str">
        <f t="shared" si="29"/>
        <v>ok</v>
      </c>
      <c r="EK57" s="89" t="str">
        <f t="shared" si="29"/>
        <v>ok</v>
      </c>
      <c r="EL57" s="89" t="str">
        <f t="shared" si="29"/>
        <v>ok</v>
      </c>
      <c r="EM57" s="89" t="str">
        <f t="shared" si="29"/>
        <v>ok</v>
      </c>
      <c r="EN57" s="89" t="str">
        <f t="shared" si="29"/>
        <v>ok</v>
      </c>
      <c r="EO57" s="89" t="str">
        <f t="shared" si="29"/>
        <v>ok</v>
      </c>
      <c r="EP57" s="89" t="str">
        <f t="shared" si="29"/>
        <v>ok</v>
      </c>
      <c r="EQ57" s="89" t="str">
        <f t="shared" si="29"/>
        <v>ok</v>
      </c>
      <c r="ER57" s="89" t="str">
        <f t="shared" si="29"/>
        <v>ok</v>
      </c>
      <c r="ES57" s="89" t="str">
        <f t="shared" si="29"/>
        <v>ok</v>
      </c>
      <c r="ET57" s="89" t="str">
        <f t="shared" si="29"/>
        <v>ok</v>
      </c>
      <c r="EU57" s="89" t="str">
        <f t="shared" si="29"/>
        <v>ok</v>
      </c>
      <c r="EV57" s="89" t="str">
        <f t="shared" si="29"/>
        <v>ok</v>
      </c>
      <c r="EW57" s="89" t="str">
        <f t="shared" ref="EW57:FH57" si="30">IF(SUM(EW40:EW49)=EW50,"ok","エラー")</f>
        <v>ok</v>
      </c>
      <c r="EX57" s="89" t="str">
        <f t="shared" si="30"/>
        <v>ok</v>
      </c>
      <c r="EY57" s="89" t="str">
        <f t="shared" si="30"/>
        <v>ok</v>
      </c>
      <c r="EZ57" s="89" t="str">
        <f t="shared" si="30"/>
        <v>ok</v>
      </c>
      <c r="FA57" s="89" t="str">
        <f t="shared" si="30"/>
        <v>ok</v>
      </c>
      <c r="FB57" s="89" t="str">
        <f t="shared" si="30"/>
        <v>ok</v>
      </c>
      <c r="FC57" s="89" t="str">
        <f t="shared" si="30"/>
        <v>ok</v>
      </c>
      <c r="FD57" s="89" t="str">
        <f t="shared" si="30"/>
        <v>ok</v>
      </c>
      <c r="FE57" s="89" t="str">
        <f t="shared" si="30"/>
        <v>ok</v>
      </c>
      <c r="FF57" s="89" t="str">
        <f t="shared" si="30"/>
        <v>ok</v>
      </c>
      <c r="FG57" s="89" t="str">
        <f t="shared" si="30"/>
        <v>ok</v>
      </c>
      <c r="FH57" s="89" t="str">
        <f t="shared" si="30"/>
        <v>ok</v>
      </c>
      <c r="FJ57" s="89" t="str">
        <f>IF(SUM(FJ40:FJ49)=FJ50,"ok","エラー")</f>
        <v>ok</v>
      </c>
      <c r="FK57" s="89" t="str">
        <f>IF(SUM(FK40:FK49)=FK50,"ok","エラー")</f>
        <v>ok</v>
      </c>
      <c r="FL57" s="89" t="str">
        <f>IF(SUM(FL40:FL49)=FL50,"ok","エラー")</f>
        <v>ok</v>
      </c>
      <c r="FM57" s="89" t="str">
        <f>IF(SUM(FM40:FM49)=FM50,"ok","エラー")</f>
        <v>ok</v>
      </c>
      <c r="FW57" s="89" t="str">
        <f>IF(SUM(FW40:FW49)=FW50,"ok","エラー")</f>
        <v>ok</v>
      </c>
      <c r="FY57" s="89" t="str">
        <f t="shared" ref="FY57:GD57" si="31">IF(SUM(FY40:FY49)=FY50,"ok","エラー")</f>
        <v>ok</v>
      </c>
      <c r="FZ57" s="89" t="str">
        <f t="shared" si="31"/>
        <v>ok</v>
      </c>
      <c r="GA57" s="89" t="str">
        <f t="shared" si="31"/>
        <v>ok</v>
      </c>
      <c r="GB57" s="89" t="str">
        <f t="shared" si="31"/>
        <v>ok</v>
      </c>
      <c r="GC57" s="89" t="str">
        <f t="shared" si="31"/>
        <v>ok</v>
      </c>
      <c r="GD57" s="89" t="str">
        <f t="shared" si="31"/>
        <v>ok</v>
      </c>
      <c r="GI57" s="62" t="str">
        <f>IF(SUM(GI40:GI49)=GI50,"ok","エラー")</f>
        <v>ok</v>
      </c>
    </row>
    <row r="58" spans="2:230" x14ac:dyDescent="0.15">
      <c r="B58" s="89" t="s">
        <v>650</v>
      </c>
      <c r="C58" s="89" t="str">
        <f t="shared" ref="C58:AH58" si="32">IF(C39+C50=C51,"ok","エラー")</f>
        <v>ok</v>
      </c>
      <c r="D58" s="89" t="str">
        <f t="shared" si="32"/>
        <v>ok</v>
      </c>
      <c r="E58" s="89" t="str">
        <f t="shared" si="32"/>
        <v>ok</v>
      </c>
      <c r="F58" s="89" t="str">
        <f t="shared" si="32"/>
        <v>ok</v>
      </c>
      <c r="G58" s="89" t="str">
        <f t="shared" si="32"/>
        <v>ok</v>
      </c>
      <c r="H58" s="89" t="str">
        <f t="shared" si="32"/>
        <v>ok</v>
      </c>
      <c r="I58" s="89" t="str">
        <f t="shared" si="32"/>
        <v>ok</v>
      </c>
      <c r="J58" s="89" t="str">
        <f t="shared" si="32"/>
        <v>ok</v>
      </c>
      <c r="K58" s="89" t="str">
        <f t="shared" si="32"/>
        <v>ok</v>
      </c>
      <c r="L58" s="89" t="str">
        <f t="shared" si="32"/>
        <v>ok</v>
      </c>
      <c r="M58" s="89" t="str">
        <f t="shared" si="32"/>
        <v>ok</v>
      </c>
      <c r="N58" s="89" t="str">
        <f t="shared" si="32"/>
        <v>ok</v>
      </c>
      <c r="O58" s="89" t="str">
        <f t="shared" si="32"/>
        <v>ok</v>
      </c>
      <c r="P58" s="89" t="str">
        <f t="shared" si="32"/>
        <v>ok</v>
      </c>
      <c r="Q58" s="89" t="str">
        <f t="shared" si="32"/>
        <v>ok</v>
      </c>
      <c r="R58" s="89" t="str">
        <f t="shared" si="32"/>
        <v>ok</v>
      </c>
      <c r="S58" s="75" t="str">
        <f t="shared" si="32"/>
        <v>ok</v>
      </c>
      <c r="T58" s="89" t="str">
        <f t="shared" si="32"/>
        <v>ok</v>
      </c>
      <c r="U58" s="89" t="str">
        <f t="shared" si="32"/>
        <v>ok</v>
      </c>
      <c r="V58" s="89" t="str">
        <f t="shared" si="32"/>
        <v>ok</v>
      </c>
      <c r="W58" s="89" t="str">
        <f t="shared" si="32"/>
        <v>ok</v>
      </c>
      <c r="X58" s="89" t="str">
        <f t="shared" si="32"/>
        <v>ok</v>
      </c>
      <c r="Y58" s="89" t="str">
        <f t="shared" si="32"/>
        <v>ok</v>
      </c>
      <c r="Z58" s="89" t="str">
        <f t="shared" si="32"/>
        <v>ok</v>
      </c>
      <c r="AA58" s="89" t="str">
        <f t="shared" si="32"/>
        <v>ok</v>
      </c>
      <c r="AB58" s="89" t="str">
        <f t="shared" si="32"/>
        <v>ok</v>
      </c>
      <c r="AC58" s="89" t="str">
        <f t="shared" si="32"/>
        <v>ok</v>
      </c>
      <c r="AD58" s="89" t="str">
        <f t="shared" si="32"/>
        <v>ok</v>
      </c>
      <c r="AE58" s="89" t="str">
        <f t="shared" si="32"/>
        <v>ok</v>
      </c>
      <c r="AF58" s="89" t="str">
        <f t="shared" si="32"/>
        <v>ok</v>
      </c>
      <c r="AG58" s="89" t="str">
        <f t="shared" si="32"/>
        <v>ok</v>
      </c>
      <c r="AH58" s="89" t="str">
        <f t="shared" si="32"/>
        <v>ok</v>
      </c>
      <c r="AI58" s="89" t="str">
        <f t="shared" ref="AI58:BN58" si="33">IF(AI39+AI50=AI51,"ok","エラー")</f>
        <v>ok</v>
      </c>
      <c r="AJ58" s="89" t="str">
        <f t="shared" si="33"/>
        <v>ok</v>
      </c>
      <c r="AK58" s="89" t="str">
        <f t="shared" si="33"/>
        <v>ok</v>
      </c>
      <c r="AL58" s="89" t="str">
        <f t="shared" si="33"/>
        <v>ok</v>
      </c>
      <c r="AM58" s="89" t="str">
        <f t="shared" si="33"/>
        <v>ok</v>
      </c>
      <c r="AN58" s="89" t="str">
        <f t="shared" si="33"/>
        <v>ok</v>
      </c>
      <c r="AO58" s="89" t="str">
        <f t="shared" si="33"/>
        <v>ok</v>
      </c>
      <c r="AP58" s="89" t="str">
        <f t="shared" si="33"/>
        <v>ok</v>
      </c>
      <c r="AQ58" s="89" t="str">
        <f t="shared" si="33"/>
        <v>ok</v>
      </c>
      <c r="AR58" s="89" t="str">
        <f t="shared" si="33"/>
        <v>ok</v>
      </c>
      <c r="AS58" s="89" t="str">
        <f t="shared" si="33"/>
        <v>ok</v>
      </c>
      <c r="AT58" s="89" t="str">
        <f t="shared" si="33"/>
        <v>ok</v>
      </c>
      <c r="AU58" s="89" t="str">
        <f t="shared" si="33"/>
        <v>ok</v>
      </c>
      <c r="AV58" s="89" t="str">
        <f t="shared" si="33"/>
        <v>ok</v>
      </c>
      <c r="AW58" s="89" t="str">
        <f t="shared" si="33"/>
        <v>ok</v>
      </c>
      <c r="AX58" s="89" t="str">
        <f t="shared" si="33"/>
        <v>ok</v>
      </c>
      <c r="AY58" s="89" t="str">
        <f t="shared" si="33"/>
        <v>ok</v>
      </c>
      <c r="AZ58" s="89" t="str">
        <f t="shared" si="33"/>
        <v>ok</v>
      </c>
      <c r="BA58" s="89" t="str">
        <f t="shared" si="33"/>
        <v>ok</v>
      </c>
      <c r="BB58" s="89" t="str">
        <f t="shared" si="33"/>
        <v>ok</v>
      </c>
      <c r="BC58" s="89" t="str">
        <f t="shared" si="33"/>
        <v>ok</v>
      </c>
      <c r="BD58" s="89" t="str">
        <f t="shared" si="33"/>
        <v>ok</v>
      </c>
      <c r="BE58" s="89" t="str">
        <f t="shared" si="33"/>
        <v>ok</v>
      </c>
      <c r="BF58" s="89" t="str">
        <f t="shared" si="33"/>
        <v>ok</v>
      </c>
      <c r="BG58" s="89" t="str">
        <f t="shared" si="33"/>
        <v>ok</v>
      </c>
      <c r="BH58" s="89" t="str">
        <f t="shared" si="33"/>
        <v>ok</v>
      </c>
      <c r="BI58" s="89" t="str">
        <f t="shared" si="33"/>
        <v>ok</v>
      </c>
      <c r="BJ58" s="89" t="str">
        <f t="shared" si="33"/>
        <v>ok</v>
      </c>
      <c r="BK58" s="89" t="str">
        <f t="shared" si="33"/>
        <v>ok</v>
      </c>
      <c r="BL58" s="89" t="str">
        <f t="shared" si="33"/>
        <v>ok</v>
      </c>
      <c r="BM58" s="89" t="str">
        <f t="shared" si="33"/>
        <v>ok</v>
      </c>
      <c r="BN58" s="89" t="str">
        <f t="shared" si="33"/>
        <v>ok</v>
      </c>
      <c r="BO58" s="89" t="str">
        <f t="shared" ref="BO58:CI58" si="34">IF(BO39+BO50=BO51,"ok","エラー")</f>
        <v>ok</v>
      </c>
      <c r="BP58" s="89" t="str">
        <f t="shared" si="34"/>
        <v>ok</v>
      </c>
      <c r="BQ58" s="89" t="str">
        <f t="shared" si="34"/>
        <v>ok</v>
      </c>
      <c r="BR58" s="89" t="str">
        <f t="shared" si="34"/>
        <v>ok</v>
      </c>
      <c r="BS58" s="89" t="str">
        <f t="shared" si="34"/>
        <v>ok</v>
      </c>
      <c r="BT58" s="89" t="str">
        <f t="shared" si="34"/>
        <v>ok</v>
      </c>
      <c r="BU58" s="89" t="str">
        <f t="shared" si="34"/>
        <v>ok</v>
      </c>
      <c r="BV58" s="89" t="str">
        <f t="shared" si="34"/>
        <v>ok</v>
      </c>
      <c r="BW58" s="89" t="str">
        <f t="shared" si="34"/>
        <v>ok</v>
      </c>
      <c r="BX58" s="89" t="str">
        <f t="shared" si="34"/>
        <v>ok</v>
      </c>
      <c r="BY58" s="89" t="str">
        <f t="shared" si="34"/>
        <v>ok</v>
      </c>
      <c r="BZ58" s="89" t="str">
        <f t="shared" si="34"/>
        <v>ok</v>
      </c>
      <c r="CA58" s="89" t="str">
        <f t="shared" si="34"/>
        <v>ok</v>
      </c>
      <c r="CB58" s="89" t="str">
        <f t="shared" si="34"/>
        <v>ok</v>
      </c>
      <c r="CC58" s="89" t="str">
        <f t="shared" si="34"/>
        <v>ok</v>
      </c>
      <c r="CD58" s="89" t="str">
        <f t="shared" si="34"/>
        <v>ok</v>
      </c>
      <c r="CE58" s="89" t="str">
        <f t="shared" si="34"/>
        <v>ok</v>
      </c>
      <c r="CF58" s="89" t="str">
        <f t="shared" si="34"/>
        <v>ok</v>
      </c>
      <c r="CG58" s="89" t="str">
        <f t="shared" si="34"/>
        <v>ok</v>
      </c>
      <c r="CH58" s="89" t="str">
        <f t="shared" si="34"/>
        <v>ok</v>
      </c>
      <c r="CI58" s="89" t="str">
        <f t="shared" si="34"/>
        <v>ok</v>
      </c>
      <c r="CJ58" s="84"/>
      <c r="CK58" s="89" t="str">
        <f t="shared" ref="CK58:DP58" si="35">IF(CK39+CK50=CK51,"ok","エラー")</f>
        <v>ok</v>
      </c>
      <c r="CL58" s="89" t="str">
        <f t="shared" si="35"/>
        <v>ok</v>
      </c>
      <c r="CM58" s="89" t="str">
        <f t="shared" si="35"/>
        <v>ok</v>
      </c>
      <c r="CN58" s="89" t="str">
        <f t="shared" si="35"/>
        <v>ok</v>
      </c>
      <c r="CO58" s="89" t="str">
        <f t="shared" si="35"/>
        <v>ok</v>
      </c>
      <c r="CP58" s="89" t="str">
        <f t="shared" si="35"/>
        <v>ok</v>
      </c>
      <c r="CQ58" s="89" t="str">
        <f t="shared" si="35"/>
        <v>ok</v>
      </c>
      <c r="CR58" s="89" t="str">
        <f t="shared" si="35"/>
        <v>ok</v>
      </c>
      <c r="CS58" s="89" t="str">
        <f t="shared" si="35"/>
        <v>ok</v>
      </c>
      <c r="CT58" s="89" t="str">
        <f t="shared" si="35"/>
        <v>ok</v>
      </c>
      <c r="CU58" s="89" t="str">
        <f t="shared" si="35"/>
        <v>ok</v>
      </c>
      <c r="CV58" s="89" t="str">
        <f t="shared" si="35"/>
        <v>ok</v>
      </c>
      <c r="CW58" s="89" t="str">
        <f t="shared" si="35"/>
        <v>ok</v>
      </c>
      <c r="CX58" s="89" t="str">
        <f t="shared" si="35"/>
        <v>ok</v>
      </c>
      <c r="CY58" s="89" t="str">
        <f t="shared" si="35"/>
        <v>ok</v>
      </c>
      <c r="CZ58" s="89" t="str">
        <f t="shared" si="35"/>
        <v>ok</v>
      </c>
      <c r="DA58" s="89" t="str">
        <f t="shared" si="35"/>
        <v>ok</v>
      </c>
      <c r="DB58" s="89" t="str">
        <f t="shared" si="35"/>
        <v>ok</v>
      </c>
      <c r="DC58" s="89" t="str">
        <f t="shared" si="35"/>
        <v>ok</v>
      </c>
      <c r="DD58" s="89" t="str">
        <f t="shared" si="35"/>
        <v>ok</v>
      </c>
      <c r="DE58" s="89" t="str">
        <f t="shared" si="35"/>
        <v>ok</v>
      </c>
      <c r="DF58" s="89" t="str">
        <f t="shared" si="35"/>
        <v>ok</v>
      </c>
      <c r="DG58" s="89" t="str">
        <f t="shared" si="35"/>
        <v>ok</v>
      </c>
      <c r="DH58" s="89" t="str">
        <f t="shared" si="35"/>
        <v>ok</v>
      </c>
      <c r="DI58" s="89" t="str">
        <f t="shared" si="35"/>
        <v>ok</v>
      </c>
      <c r="DJ58" s="89" t="str">
        <f t="shared" si="35"/>
        <v>ok</v>
      </c>
      <c r="DK58" s="89" t="str">
        <f t="shared" si="35"/>
        <v>ok</v>
      </c>
      <c r="DL58" s="89" t="str">
        <f t="shared" si="35"/>
        <v>ok</v>
      </c>
      <c r="DM58" s="89" t="str">
        <f t="shared" si="35"/>
        <v>ok</v>
      </c>
      <c r="DN58" s="89" t="str">
        <f t="shared" si="35"/>
        <v>ok</v>
      </c>
      <c r="DO58" s="89" t="str">
        <f t="shared" si="35"/>
        <v>ok</v>
      </c>
      <c r="DP58" s="89" t="str">
        <f t="shared" si="35"/>
        <v>ok</v>
      </c>
      <c r="DQ58" s="89" t="str">
        <f t="shared" ref="DQ58:EV58" si="36">IF(DQ39+DQ50=DQ51,"ok","エラー")</f>
        <v>ok</v>
      </c>
      <c r="DR58" s="89" t="str">
        <f t="shared" si="36"/>
        <v>ok</v>
      </c>
      <c r="DS58" s="89" t="str">
        <f t="shared" si="36"/>
        <v>ok</v>
      </c>
      <c r="DT58" s="89" t="str">
        <f t="shared" si="36"/>
        <v>ok</v>
      </c>
      <c r="DU58" s="89" t="str">
        <f t="shared" si="36"/>
        <v>ok</v>
      </c>
      <c r="DV58" s="89" t="str">
        <f t="shared" si="36"/>
        <v>ok</v>
      </c>
      <c r="DW58" s="89" t="str">
        <f t="shared" si="36"/>
        <v>ok</v>
      </c>
      <c r="DX58" s="89" t="str">
        <f t="shared" si="36"/>
        <v>ok</v>
      </c>
      <c r="DY58" s="89" t="str">
        <f t="shared" si="36"/>
        <v>ok</v>
      </c>
      <c r="DZ58" s="89" t="str">
        <f t="shared" si="36"/>
        <v>ok</v>
      </c>
      <c r="EA58" s="89" t="str">
        <f t="shared" si="36"/>
        <v>ok</v>
      </c>
      <c r="EB58" s="89" t="str">
        <f t="shared" si="36"/>
        <v>ok</v>
      </c>
      <c r="EC58" s="89" t="str">
        <f t="shared" si="36"/>
        <v>ok</v>
      </c>
      <c r="ED58" s="89" t="str">
        <f t="shared" si="36"/>
        <v>ok</v>
      </c>
      <c r="EE58" s="89" t="str">
        <f t="shared" si="36"/>
        <v>ok</v>
      </c>
      <c r="EF58" s="89" t="str">
        <f t="shared" si="36"/>
        <v>ok</v>
      </c>
      <c r="EG58" s="89" t="str">
        <f t="shared" si="36"/>
        <v>ok</v>
      </c>
      <c r="EH58" s="89" t="str">
        <f t="shared" si="36"/>
        <v>ok</v>
      </c>
      <c r="EI58" s="89" t="str">
        <f t="shared" si="36"/>
        <v>ok</v>
      </c>
      <c r="EJ58" s="89" t="str">
        <f t="shared" si="36"/>
        <v>ok</v>
      </c>
      <c r="EK58" s="89" t="str">
        <f t="shared" si="36"/>
        <v>ok</v>
      </c>
      <c r="EL58" s="89" t="str">
        <f t="shared" si="36"/>
        <v>ok</v>
      </c>
      <c r="EM58" s="89" t="str">
        <f t="shared" si="36"/>
        <v>ok</v>
      </c>
      <c r="EN58" s="89" t="str">
        <f t="shared" si="36"/>
        <v>ok</v>
      </c>
      <c r="EO58" s="89" t="str">
        <f t="shared" si="36"/>
        <v>ok</v>
      </c>
      <c r="EP58" s="89" t="str">
        <f t="shared" si="36"/>
        <v>ok</v>
      </c>
      <c r="EQ58" s="89" t="str">
        <f t="shared" si="36"/>
        <v>ok</v>
      </c>
      <c r="ER58" s="89" t="str">
        <f t="shared" si="36"/>
        <v>ok</v>
      </c>
      <c r="ES58" s="89" t="str">
        <f t="shared" si="36"/>
        <v>ok</v>
      </c>
      <c r="ET58" s="89" t="str">
        <f t="shared" si="36"/>
        <v>ok</v>
      </c>
      <c r="EU58" s="89" t="str">
        <f t="shared" si="36"/>
        <v>ok</v>
      </c>
      <c r="EV58" s="89" t="str">
        <f t="shared" si="36"/>
        <v>ok</v>
      </c>
      <c r="EW58" s="89" t="str">
        <f t="shared" ref="EW58:FH58" si="37">IF(EW39+EW50=EW51,"ok","エラー")</f>
        <v>ok</v>
      </c>
      <c r="EX58" s="89" t="str">
        <f t="shared" si="37"/>
        <v>ok</v>
      </c>
      <c r="EY58" s="89" t="str">
        <f t="shared" si="37"/>
        <v>ok</v>
      </c>
      <c r="EZ58" s="89" t="str">
        <f t="shared" si="37"/>
        <v>ok</v>
      </c>
      <c r="FA58" s="89" t="str">
        <f t="shared" si="37"/>
        <v>ok</v>
      </c>
      <c r="FB58" s="89" t="str">
        <f t="shared" si="37"/>
        <v>ok</v>
      </c>
      <c r="FC58" s="89" t="str">
        <f t="shared" si="37"/>
        <v>ok</v>
      </c>
      <c r="FD58" s="89" t="str">
        <f t="shared" si="37"/>
        <v>ok</v>
      </c>
      <c r="FE58" s="89" t="str">
        <f t="shared" si="37"/>
        <v>ok</v>
      </c>
      <c r="FF58" s="89" t="str">
        <f t="shared" si="37"/>
        <v>ok</v>
      </c>
      <c r="FG58" s="89" t="str">
        <f t="shared" si="37"/>
        <v>ok</v>
      </c>
      <c r="FH58" s="89" t="str">
        <f t="shared" si="37"/>
        <v>ok</v>
      </c>
      <c r="FJ58" s="89" t="str">
        <f>IF(FJ39+FJ50=FJ51,"ok","エラー")</f>
        <v>ok</v>
      </c>
      <c r="FK58" s="89" t="str">
        <f>IF(FK39+FK50=FK51,"ok","エラー")</f>
        <v>ok</v>
      </c>
      <c r="FL58" s="89" t="str">
        <f>IF(FL39+FL50=FL51,"ok","エラー")</f>
        <v>ok</v>
      </c>
      <c r="FM58" s="89" t="str">
        <f>IF(FM39+FM50=FM51,"ok","エラー")</f>
        <v>ok</v>
      </c>
      <c r="FW58" s="89" t="str">
        <f>IF(FW39+FW50=FW51,"ok","エラー")</f>
        <v>ok</v>
      </c>
      <c r="FY58" s="89" t="str">
        <f t="shared" ref="FY58:GD58" si="38">IF(FY39+FY50=FY51,"ok","エラー")</f>
        <v>ok</v>
      </c>
      <c r="FZ58" s="89" t="str">
        <f t="shared" si="38"/>
        <v>ok</v>
      </c>
      <c r="GA58" s="89" t="str">
        <f t="shared" si="38"/>
        <v>ok</v>
      </c>
      <c r="GB58" s="89" t="str">
        <f t="shared" si="38"/>
        <v>ok</v>
      </c>
      <c r="GC58" s="89" t="str">
        <f t="shared" si="38"/>
        <v>ok</v>
      </c>
      <c r="GD58" s="89" t="str">
        <f t="shared" si="38"/>
        <v>ok</v>
      </c>
      <c r="GI58" s="62" t="str">
        <f>IF(GI39+GI50=GI51,"ok","エラー")</f>
        <v>ok</v>
      </c>
    </row>
    <row r="59" spans="2:230" x14ac:dyDescent="0.15">
      <c r="B59" s="72" t="s">
        <v>650</v>
      </c>
      <c r="C59" s="89" t="str">
        <f t="shared" ref="C59:AH59" si="39">IF(C6+C7+C51=C52,"ok","エラー")</f>
        <v>ok</v>
      </c>
      <c r="D59" s="89" t="str">
        <f t="shared" si="39"/>
        <v>ok</v>
      </c>
      <c r="E59" s="89" t="str">
        <f t="shared" si="39"/>
        <v>ok</v>
      </c>
      <c r="F59" s="89" t="str">
        <f t="shared" si="39"/>
        <v>ok</v>
      </c>
      <c r="G59" s="89" t="str">
        <f t="shared" si="39"/>
        <v>ok</v>
      </c>
      <c r="H59" s="89" t="str">
        <f t="shared" si="39"/>
        <v>ok</v>
      </c>
      <c r="I59" s="89" t="str">
        <f t="shared" si="39"/>
        <v>ok</v>
      </c>
      <c r="J59" s="89" t="str">
        <f t="shared" si="39"/>
        <v>ok</v>
      </c>
      <c r="K59" s="89" t="str">
        <f t="shared" si="39"/>
        <v>ok</v>
      </c>
      <c r="L59" s="89" t="str">
        <f t="shared" si="39"/>
        <v>ok</v>
      </c>
      <c r="M59" s="89" t="str">
        <f t="shared" si="39"/>
        <v>ok</v>
      </c>
      <c r="N59" s="89" t="str">
        <f t="shared" si="39"/>
        <v>ok</v>
      </c>
      <c r="O59" s="89" t="str">
        <f t="shared" si="39"/>
        <v>ok</v>
      </c>
      <c r="P59" s="89" t="str">
        <f t="shared" si="39"/>
        <v>ok</v>
      </c>
      <c r="Q59" s="89" t="str">
        <f t="shared" si="39"/>
        <v>ok</v>
      </c>
      <c r="R59" s="89" t="str">
        <f t="shared" si="39"/>
        <v>ok</v>
      </c>
      <c r="S59" s="75" t="str">
        <f t="shared" si="39"/>
        <v>ok</v>
      </c>
      <c r="T59" s="89" t="str">
        <f t="shared" si="39"/>
        <v>ok</v>
      </c>
      <c r="U59" s="89" t="str">
        <f t="shared" si="39"/>
        <v>ok</v>
      </c>
      <c r="V59" s="89" t="str">
        <f t="shared" si="39"/>
        <v>ok</v>
      </c>
      <c r="W59" s="89" t="str">
        <f t="shared" si="39"/>
        <v>ok</v>
      </c>
      <c r="X59" s="89" t="str">
        <f t="shared" si="39"/>
        <v>ok</v>
      </c>
      <c r="Y59" s="89" t="str">
        <f t="shared" si="39"/>
        <v>ok</v>
      </c>
      <c r="Z59" s="89" t="str">
        <f t="shared" si="39"/>
        <v>ok</v>
      </c>
      <c r="AA59" s="89" t="str">
        <f t="shared" si="39"/>
        <v>ok</v>
      </c>
      <c r="AB59" s="89" t="str">
        <f t="shared" si="39"/>
        <v>ok</v>
      </c>
      <c r="AC59" s="89" t="str">
        <f t="shared" si="39"/>
        <v>ok</v>
      </c>
      <c r="AD59" s="89" t="str">
        <f t="shared" si="39"/>
        <v>ok</v>
      </c>
      <c r="AE59" s="89" t="str">
        <f t="shared" si="39"/>
        <v>ok</v>
      </c>
      <c r="AF59" s="89" t="str">
        <f t="shared" si="39"/>
        <v>ok</v>
      </c>
      <c r="AG59" s="89" t="str">
        <f t="shared" si="39"/>
        <v>ok</v>
      </c>
      <c r="AH59" s="89" t="str">
        <f t="shared" si="39"/>
        <v>ok</v>
      </c>
      <c r="AI59" s="89" t="str">
        <f t="shared" ref="AI59:BN59" si="40">IF(AI6+AI7+AI51=AI52,"ok","エラー")</f>
        <v>ok</v>
      </c>
      <c r="AJ59" s="89" t="str">
        <f t="shared" si="40"/>
        <v>ok</v>
      </c>
      <c r="AK59" s="89" t="str">
        <f t="shared" si="40"/>
        <v>ok</v>
      </c>
      <c r="AL59" s="89" t="str">
        <f t="shared" si="40"/>
        <v>ok</v>
      </c>
      <c r="AM59" s="89" t="str">
        <f t="shared" si="40"/>
        <v>ok</v>
      </c>
      <c r="AN59" s="89" t="str">
        <f t="shared" si="40"/>
        <v>ok</v>
      </c>
      <c r="AO59" s="89" t="str">
        <f t="shared" si="40"/>
        <v>ok</v>
      </c>
      <c r="AP59" s="89" t="str">
        <f t="shared" si="40"/>
        <v>ok</v>
      </c>
      <c r="AQ59" s="89" t="str">
        <f t="shared" si="40"/>
        <v>ok</v>
      </c>
      <c r="AR59" s="89" t="str">
        <f t="shared" si="40"/>
        <v>ok</v>
      </c>
      <c r="AS59" s="89" t="str">
        <f t="shared" si="40"/>
        <v>ok</v>
      </c>
      <c r="AT59" s="89" t="str">
        <f t="shared" si="40"/>
        <v>ok</v>
      </c>
      <c r="AU59" s="89" t="str">
        <f t="shared" si="40"/>
        <v>ok</v>
      </c>
      <c r="AV59" s="89" t="str">
        <f t="shared" si="40"/>
        <v>ok</v>
      </c>
      <c r="AW59" s="89" t="str">
        <f t="shared" si="40"/>
        <v>ok</v>
      </c>
      <c r="AX59" s="89" t="str">
        <f t="shared" si="40"/>
        <v>ok</v>
      </c>
      <c r="AY59" s="89" t="str">
        <f t="shared" si="40"/>
        <v>ok</v>
      </c>
      <c r="AZ59" s="89" t="str">
        <f t="shared" si="40"/>
        <v>ok</v>
      </c>
      <c r="BA59" s="89" t="str">
        <f t="shared" si="40"/>
        <v>ok</v>
      </c>
      <c r="BB59" s="89" t="str">
        <f t="shared" si="40"/>
        <v>ok</v>
      </c>
      <c r="BC59" s="89" t="str">
        <f t="shared" si="40"/>
        <v>ok</v>
      </c>
      <c r="BD59" s="89" t="str">
        <f t="shared" si="40"/>
        <v>ok</v>
      </c>
      <c r="BE59" s="89" t="str">
        <f t="shared" si="40"/>
        <v>ok</v>
      </c>
      <c r="BF59" s="89" t="str">
        <f t="shared" si="40"/>
        <v>ok</v>
      </c>
      <c r="BG59" s="89" t="str">
        <f t="shared" si="40"/>
        <v>ok</v>
      </c>
      <c r="BH59" s="89" t="str">
        <f t="shared" si="40"/>
        <v>ok</v>
      </c>
      <c r="BI59" s="89" t="str">
        <f t="shared" si="40"/>
        <v>ok</v>
      </c>
      <c r="BJ59" s="89" t="str">
        <f t="shared" si="40"/>
        <v>ok</v>
      </c>
      <c r="BK59" s="89" t="str">
        <f t="shared" si="40"/>
        <v>ok</v>
      </c>
      <c r="BL59" s="89" t="str">
        <f t="shared" si="40"/>
        <v>ok</v>
      </c>
      <c r="BM59" s="89" t="str">
        <f t="shared" si="40"/>
        <v>ok</v>
      </c>
      <c r="BN59" s="89" t="str">
        <f t="shared" si="40"/>
        <v>ok</v>
      </c>
      <c r="BO59" s="89" t="str">
        <f t="shared" ref="BO59:CI59" si="41">IF(BO6+BO7+BO51=BO52,"ok","エラー")</f>
        <v>ok</v>
      </c>
      <c r="BP59" s="89" t="str">
        <f t="shared" si="41"/>
        <v>ok</v>
      </c>
      <c r="BQ59" s="89" t="str">
        <f t="shared" si="41"/>
        <v>ok</v>
      </c>
      <c r="BR59" s="89" t="str">
        <f t="shared" si="41"/>
        <v>ok</v>
      </c>
      <c r="BS59" s="89" t="str">
        <f t="shared" si="41"/>
        <v>ok</v>
      </c>
      <c r="BT59" s="89" t="str">
        <f t="shared" si="41"/>
        <v>ok</v>
      </c>
      <c r="BU59" s="89" t="str">
        <f t="shared" si="41"/>
        <v>ok</v>
      </c>
      <c r="BV59" s="89" t="str">
        <f t="shared" si="41"/>
        <v>ok</v>
      </c>
      <c r="BW59" s="89" t="str">
        <f t="shared" si="41"/>
        <v>ok</v>
      </c>
      <c r="BX59" s="89" t="str">
        <f t="shared" si="41"/>
        <v>ok</v>
      </c>
      <c r="BY59" s="89" t="str">
        <f t="shared" si="41"/>
        <v>ok</v>
      </c>
      <c r="BZ59" s="89" t="str">
        <f t="shared" si="41"/>
        <v>ok</v>
      </c>
      <c r="CA59" s="89" t="str">
        <f t="shared" si="41"/>
        <v>ok</v>
      </c>
      <c r="CB59" s="89" t="str">
        <f t="shared" si="41"/>
        <v>ok</v>
      </c>
      <c r="CC59" s="89" t="str">
        <f t="shared" si="41"/>
        <v>ok</v>
      </c>
      <c r="CD59" s="89" t="str">
        <f t="shared" si="41"/>
        <v>ok</v>
      </c>
      <c r="CE59" s="89" t="str">
        <f t="shared" si="41"/>
        <v>ok</v>
      </c>
      <c r="CF59" s="89" t="str">
        <f t="shared" si="41"/>
        <v>ok</v>
      </c>
      <c r="CG59" s="89" t="str">
        <f t="shared" si="41"/>
        <v>ok</v>
      </c>
      <c r="CH59" s="89" t="str">
        <f t="shared" si="41"/>
        <v>ok</v>
      </c>
      <c r="CI59" s="89" t="str">
        <f t="shared" si="41"/>
        <v>ok</v>
      </c>
      <c r="CJ59" s="84"/>
      <c r="CK59" s="89" t="str">
        <f t="shared" ref="CK59:DP59" si="42">IF(CK6+CK7+CK51=CK52,"ok","エラー")</f>
        <v>ok</v>
      </c>
      <c r="CL59" s="89" t="str">
        <f t="shared" si="42"/>
        <v>ok</v>
      </c>
      <c r="CM59" s="89" t="str">
        <f t="shared" si="42"/>
        <v>ok</v>
      </c>
      <c r="CN59" s="89" t="str">
        <f t="shared" si="42"/>
        <v>ok</v>
      </c>
      <c r="CO59" s="89" t="str">
        <f t="shared" si="42"/>
        <v>ok</v>
      </c>
      <c r="CP59" s="89" t="str">
        <f t="shared" si="42"/>
        <v>ok</v>
      </c>
      <c r="CQ59" s="89" t="str">
        <f t="shared" si="42"/>
        <v>ok</v>
      </c>
      <c r="CR59" s="89" t="str">
        <f t="shared" si="42"/>
        <v>ok</v>
      </c>
      <c r="CS59" s="89" t="str">
        <f t="shared" si="42"/>
        <v>ok</v>
      </c>
      <c r="CT59" s="89" t="str">
        <f t="shared" si="42"/>
        <v>ok</v>
      </c>
      <c r="CU59" s="89" t="str">
        <f t="shared" si="42"/>
        <v>ok</v>
      </c>
      <c r="CV59" s="89" t="str">
        <f t="shared" si="42"/>
        <v>ok</v>
      </c>
      <c r="CW59" s="89" t="str">
        <f t="shared" si="42"/>
        <v>ok</v>
      </c>
      <c r="CX59" s="89" t="str">
        <f t="shared" si="42"/>
        <v>ok</v>
      </c>
      <c r="CY59" s="89" t="str">
        <f t="shared" si="42"/>
        <v>ok</v>
      </c>
      <c r="CZ59" s="89" t="str">
        <f t="shared" si="42"/>
        <v>ok</v>
      </c>
      <c r="DA59" s="89" t="str">
        <f t="shared" si="42"/>
        <v>ok</v>
      </c>
      <c r="DB59" s="89" t="str">
        <f t="shared" si="42"/>
        <v>ok</v>
      </c>
      <c r="DC59" s="89" t="str">
        <f t="shared" si="42"/>
        <v>ok</v>
      </c>
      <c r="DD59" s="89" t="str">
        <f t="shared" si="42"/>
        <v>ok</v>
      </c>
      <c r="DE59" s="89" t="str">
        <f t="shared" si="42"/>
        <v>ok</v>
      </c>
      <c r="DF59" s="89" t="str">
        <f t="shared" si="42"/>
        <v>ok</v>
      </c>
      <c r="DG59" s="89" t="str">
        <f t="shared" si="42"/>
        <v>ok</v>
      </c>
      <c r="DH59" s="89" t="str">
        <f t="shared" si="42"/>
        <v>ok</v>
      </c>
      <c r="DI59" s="89" t="str">
        <f t="shared" si="42"/>
        <v>ok</v>
      </c>
      <c r="DJ59" s="89" t="str">
        <f t="shared" si="42"/>
        <v>ok</v>
      </c>
      <c r="DK59" s="89" t="str">
        <f t="shared" si="42"/>
        <v>ok</v>
      </c>
      <c r="DL59" s="89" t="str">
        <f t="shared" si="42"/>
        <v>ok</v>
      </c>
      <c r="DM59" s="89" t="str">
        <f t="shared" si="42"/>
        <v>ok</v>
      </c>
      <c r="DN59" s="89" t="str">
        <f t="shared" si="42"/>
        <v>ok</v>
      </c>
      <c r="DO59" s="89" t="str">
        <f t="shared" si="42"/>
        <v>ok</v>
      </c>
      <c r="DP59" s="89" t="str">
        <f t="shared" si="42"/>
        <v>ok</v>
      </c>
      <c r="DQ59" s="89" t="str">
        <f t="shared" ref="DQ59:EV59" si="43">IF(DQ6+DQ7+DQ51=DQ52,"ok","エラー")</f>
        <v>ok</v>
      </c>
      <c r="DR59" s="89" t="str">
        <f t="shared" si="43"/>
        <v>ok</v>
      </c>
      <c r="DS59" s="89" t="str">
        <f t="shared" si="43"/>
        <v>ok</v>
      </c>
      <c r="DT59" s="89" t="str">
        <f t="shared" si="43"/>
        <v>ok</v>
      </c>
      <c r="DU59" s="89" t="str">
        <f t="shared" si="43"/>
        <v>ok</v>
      </c>
      <c r="DV59" s="89" t="str">
        <f t="shared" si="43"/>
        <v>ok</v>
      </c>
      <c r="DW59" s="89" t="str">
        <f t="shared" si="43"/>
        <v>ok</v>
      </c>
      <c r="DX59" s="89" t="str">
        <f t="shared" si="43"/>
        <v>ok</v>
      </c>
      <c r="DY59" s="89" t="str">
        <f t="shared" si="43"/>
        <v>ok</v>
      </c>
      <c r="DZ59" s="89" t="str">
        <f t="shared" si="43"/>
        <v>ok</v>
      </c>
      <c r="EA59" s="89" t="str">
        <f t="shared" si="43"/>
        <v>ok</v>
      </c>
      <c r="EB59" s="89" t="str">
        <f t="shared" si="43"/>
        <v>ok</v>
      </c>
      <c r="EC59" s="89" t="str">
        <f t="shared" si="43"/>
        <v>ok</v>
      </c>
      <c r="ED59" s="89" t="str">
        <f t="shared" si="43"/>
        <v>ok</v>
      </c>
      <c r="EE59" s="89" t="str">
        <f t="shared" si="43"/>
        <v>ok</v>
      </c>
      <c r="EF59" s="89" t="str">
        <f t="shared" si="43"/>
        <v>ok</v>
      </c>
      <c r="EG59" s="89" t="str">
        <f t="shared" si="43"/>
        <v>ok</v>
      </c>
      <c r="EH59" s="89" t="str">
        <f t="shared" si="43"/>
        <v>ok</v>
      </c>
      <c r="EI59" s="89" t="str">
        <f t="shared" si="43"/>
        <v>ok</v>
      </c>
      <c r="EJ59" s="89" t="str">
        <f t="shared" si="43"/>
        <v>ok</v>
      </c>
      <c r="EK59" s="89" t="str">
        <f t="shared" si="43"/>
        <v>ok</v>
      </c>
      <c r="EL59" s="89" t="str">
        <f t="shared" si="43"/>
        <v>ok</v>
      </c>
      <c r="EM59" s="89" t="str">
        <f t="shared" si="43"/>
        <v>ok</v>
      </c>
      <c r="EN59" s="89" t="str">
        <f t="shared" si="43"/>
        <v>ok</v>
      </c>
      <c r="EO59" s="89" t="str">
        <f t="shared" si="43"/>
        <v>ok</v>
      </c>
      <c r="EP59" s="89" t="str">
        <f t="shared" si="43"/>
        <v>ok</v>
      </c>
      <c r="EQ59" s="89" t="str">
        <f t="shared" si="43"/>
        <v>ok</v>
      </c>
      <c r="ER59" s="89" t="str">
        <f t="shared" si="43"/>
        <v>ok</v>
      </c>
      <c r="ES59" s="89" t="str">
        <f t="shared" si="43"/>
        <v>ok</v>
      </c>
      <c r="ET59" s="89" t="str">
        <f t="shared" si="43"/>
        <v>ok</v>
      </c>
      <c r="EU59" s="89" t="str">
        <f t="shared" si="43"/>
        <v>ok</v>
      </c>
      <c r="EV59" s="89" t="str">
        <f t="shared" si="43"/>
        <v>ok</v>
      </c>
      <c r="EW59" s="89" t="str">
        <f t="shared" ref="EW59:FH59" si="44">IF(EW6+EW7+EW51=EW52,"ok","エラー")</f>
        <v>ok</v>
      </c>
      <c r="EX59" s="89" t="str">
        <f t="shared" si="44"/>
        <v>ok</v>
      </c>
      <c r="EY59" s="89" t="str">
        <f t="shared" si="44"/>
        <v>ok</v>
      </c>
      <c r="EZ59" s="89" t="str">
        <f t="shared" si="44"/>
        <v>ok</v>
      </c>
      <c r="FA59" s="89" t="str">
        <f t="shared" si="44"/>
        <v>ok</v>
      </c>
      <c r="FB59" s="89" t="str">
        <f t="shared" si="44"/>
        <v>ok</v>
      </c>
      <c r="FC59" s="89" t="str">
        <f t="shared" si="44"/>
        <v>ok</v>
      </c>
      <c r="FD59" s="89" t="str">
        <f t="shared" si="44"/>
        <v>ok</v>
      </c>
      <c r="FE59" s="89" t="str">
        <f t="shared" si="44"/>
        <v>ok</v>
      </c>
      <c r="FF59" s="89" t="str">
        <f t="shared" si="44"/>
        <v>ok</v>
      </c>
      <c r="FG59" s="89" t="str">
        <f t="shared" si="44"/>
        <v>ok</v>
      </c>
      <c r="FH59" s="89" t="str">
        <f t="shared" si="44"/>
        <v>ok</v>
      </c>
      <c r="FJ59" s="89" t="str">
        <f>IF(FJ6+FJ7+FJ51=FJ52,"ok","エラー")</f>
        <v>ok</v>
      </c>
      <c r="FK59" s="89" t="str">
        <f>IF(FK6+FK7+FK51=FK52,"ok","エラー")</f>
        <v>ok</v>
      </c>
      <c r="FL59" s="89" t="str">
        <f>IF(FL6+FL7+FL51=FL52,"ok","エラー")</f>
        <v>ok</v>
      </c>
      <c r="FM59" s="89" t="str">
        <f>IF(FM6+FM7+FM51=FM52,"ok","エラー")</f>
        <v>ok</v>
      </c>
      <c r="FW59" s="89" t="str">
        <f>IF(FW6+FW7+FW51=FW52,"ok","エラー")</f>
        <v>ok</v>
      </c>
      <c r="FY59" s="89" t="str">
        <f>IF(FY6+FY7+FY51=FY52,"ok","エラー")</f>
        <v>ok</v>
      </c>
      <c r="FZ59" s="89" t="str">
        <f>IF(FZ6+FZ7+FZ51=FZ52,"ok","エラー")</f>
        <v>ok</v>
      </c>
      <c r="GA59" s="89" t="str">
        <f>IF(GA6+GA7+GA51=GA52,"ok","エラー")</f>
        <v>ok</v>
      </c>
      <c r="GB59" s="89" t="str">
        <f>IF(GB6+GB7+GB51=GB52,"ok","エラー")</f>
        <v>ok</v>
      </c>
      <c r="GC59" s="89" t="str">
        <f>IF(GC6+GC7+GC51=GC52,"ok","エラー")</f>
        <v>ok</v>
      </c>
      <c r="GD59" s="89" t="str">
        <f>IF(GD7+GD51=GD52,"ok","エラー")</f>
        <v>ok</v>
      </c>
      <c r="GI59" s="89" t="str">
        <f>IF(GI6+GI7+GI51=GI52,"ok","エラー")</f>
        <v>ok</v>
      </c>
    </row>
    <row r="66" spans="143:144" x14ac:dyDescent="0.15">
      <c r="EM66" s="421"/>
      <c r="EN66" s="422"/>
    </row>
    <row r="67" spans="143:144" x14ac:dyDescent="0.15">
      <c r="EM67" s="421"/>
      <c r="EN67" s="422"/>
    </row>
    <row r="68" spans="143:144" x14ac:dyDescent="0.15">
      <c r="EM68" s="421"/>
      <c r="EN68" s="422"/>
    </row>
    <row r="69" spans="143:144" x14ac:dyDescent="0.15">
      <c r="EM69" s="421"/>
      <c r="EN69" s="422"/>
    </row>
    <row r="70" spans="143:144" x14ac:dyDescent="0.15">
      <c r="EM70" s="421"/>
      <c r="EN70" s="422"/>
    </row>
    <row r="71" spans="143:144" x14ac:dyDescent="0.15">
      <c r="EM71" s="421"/>
      <c r="EN71" s="422"/>
    </row>
    <row r="72" spans="143:144" x14ac:dyDescent="0.15">
      <c r="EM72" s="421"/>
      <c r="EN72" s="422"/>
    </row>
    <row r="73" spans="143:144" x14ac:dyDescent="0.15">
      <c r="EM73" s="421"/>
      <c r="EN73" s="422"/>
    </row>
    <row r="74" spans="143:144" x14ac:dyDescent="0.15">
      <c r="EM74" s="421"/>
      <c r="EN74" s="422"/>
    </row>
    <row r="75" spans="143:144" x14ac:dyDescent="0.15">
      <c r="EM75" s="421"/>
      <c r="EN75" s="422"/>
    </row>
    <row r="76" spans="143:144" x14ac:dyDescent="0.15">
      <c r="EM76" s="421"/>
      <c r="EN76" s="422"/>
    </row>
    <row r="77" spans="143:144" x14ac:dyDescent="0.15">
      <c r="EM77" s="421"/>
      <c r="EN77" s="422"/>
    </row>
    <row r="78" spans="143:144" x14ac:dyDescent="0.15">
      <c r="EM78" s="421"/>
      <c r="EN78" s="422"/>
    </row>
    <row r="79" spans="143:144" x14ac:dyDescent="0.15">
      <c r="EM79" s="421"/>
      <c r="EN79" s="422"/>
    </row>
    <row r="80" spans="143:144" x14ac:dyDescent="0.15">
      <c r="EM80" s="421"/>
      <c r="EN80" s="422"/>
    </row>
    <row r="81" spans="143:144" x14ac:dyDescent="0.15">
      <c r="EM81" s="421"/>
      <c r="EN81" s="422"/>
    </row>
    <row r="82" spans="143:144" x14ac:dyDescent="0.15">
      <c r="EM82" s="421"/>
      <c r="EN82" s="422"/>
    </row>
    <row r="83" spans="143:144" x14ac:dyDescent="0.15">
      <c r="EM83" s="421"/>
      <c r="EN83" s="422"/>
    </row>
    <row r="84" spans="143:144" x14ac:dyDescent="0.15">
      <c r="EM84" s="421"/>
      <c r="EN84" s="422"/>
    </row>
    <row r="85" spans="143:144" x14ac:dyDescent="0.15">
      <c r="EM85" s="421"/>
      <c r="EN85" s="422"/>
    </row>
    <row r="86" spans="143:144" x14ac:dyDescent="0.15">
      <c r="EM86" s="421"/>
      <c r="EN86" s="422"/>
    </row>
    <row r="87" spans="143:144" x14ac:dyDescent="0.15">
      <c r="EM87" s="421"/>
      <c r="EN87" s="422"/>
    </row>
    <row r="88" spans="143:144" x14ac:dyDescent="0.15">
      <c r="EM88" s="421"/>
      <c r="EN88" s="422"/>
    </row>
    <row r="89" spans="143:144" x14ac:dyDescent="0.15">
      <c r="EM89" s="421"/>
      <c r="EN89" s="422"/>
    </row>
    <row r="90" spans="143:144" x14ac:dyDescent="0.15">
      <c r="EM90" s="421"/>
      <c r="EN90" s="422"/>
    </row>
    <row r="91" spans="143:144" x14ac:dyDescent="0.15">
      <c r="EM91" s="421"/>
      <c r="EN91" s="422"/>
    </row>
    <row r="92" spans="143:144" x14ac:dyDescent="0.15">
      <c r="EM92" s="421"/>
      <c r="EN92" s="422"/>
    </row>
    <row r="93" spans="143:144" x14ac:dyDescent="0.15">
      <c r="EM93" s="421"/>
      <c r="EN93" s="422"/>
    </row>
    <row r="94" spans="143:144" x14ac:dyDescent="0.15">
      <c r="EM94" s="421"/>
      <c r="EN94" s="422"/>
    </row>
    <row r="95" spans="143:144" x14ac:dyDescent="0.15">
      <c r="EM95" s="421"/>
      <c r="EN95" s="422"/>
    </row>
    <row r="96" spans="143:144" x14ac:dyDescent="0.15">
      <c r="EM96" s="421"/>
      <c r="EN96" s="422"/>
    </row>
    <row r="97" spans="143:144" x14ac:dyDescent="0.15">
      <c r="EM97" s="421"/>
      <c r="EN97" s="422"/>
    </row>
    <row r="98" spans="143:144" x14ac:dyDescent="0.15">
      <c r="EM98" s="421"/>
      <c r="EN98" s="422"/>
    </row>
    <row r="99" spans="143:144" x14ac:dyDescent="0.15">
      <c r="EM99" s="421"/>
      <c r="EN99" s="422"/>
    </row>
    <row r="100" spans="143:144" x14ac:dyDescent="0.15">
      <c r="EM100" s="421"/>
      <c r="EN100" s="422"/>
    </row>
    <row r="101" spans="143:144" x14ac:dyDescent="0.15">
      <c r="EM101" s="421"/>
      <c r="EN101" s="422"/>
    </row>
    <row r="102" spans="143:144" x14ac:dyDescent="0.15">
      <c r="EM102" s="421"/>
      <c r="EN102" s="422"/>
    </row>
    <row r="103" spans="143:144" x14ac:dyDescent="0.15">
      <c r="EM103" s="421"/>
      <c r="EN103" s="422"/>
    </row>
    <row r="104" spans="143:144" x14ac:dyDescent="0.15">
      <c r="EM104" s="421"/>
      <c r="EN104" s="422"/>
    </row>
    <row r="105" spans="143:144" x14ac:dyDescent="0.15">
      <c r="EM105" s="421"/>
      <c r="EN105" s="422"/>
    </row>
    <row r="106" spans="143:144" x14ac:dyDescent="0.15">
      <c r="EM106" s="421"/>
      <c r="EN106" s="422"/>
    </row>
  </sheetData>
  <mergeCells count="1">
    <mergeCell ref="FO2:FU2"/>
  </mergeCells>
  <phoneticPr fontId="3"/>
  <pageMargins left="0.59055118110236227" right="0.59055118110236227" top="0.98425196850393704" bottom="0.98425196850393704" header="0.51181102362204722" footer="0.51181102362204722"/>
  <pageSetup paperSize="9" fitToWidth="0" orientation="portrait" r:id="rId1"/>
  <colBreaks count="1" manualBreakCount="1">
    <brk id="187" max="1048575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8">
    <tabColor indexed="15"/>
    <pageSetUpPr fitToPage="1"/>
  </sheetPr>
  <dimension ref="A1:HV106"/>
  <sheetViews>
    <sheetView zoomScale="90" zoomScaleNormal="90" workbookViewId="0">
      <pane xSplit="2" ySplit="5" topLeftCell="FZ39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13.10937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12.33203125" style="174" bestFit="1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62" customWidth="1"/>
    <col min="192" max="192" width="8.5546875" style="174" bestFit="1" customWidth="1"/>
    <col min="193" max="193" width="10.33203125" style="174" bestFit="1" customWidth="1"/>
    <col min="194" max="194" width="8.5546875" style="174" bestFit="1" customWidth="1"/>
    <col min="195" max="195" width="9.6640625" style="174" bestFit="1" customWidth="1"/>
    <col min="196" max="196" width="10.33203125" style="174" bestFit="1" customWidth="1"/>
    <col min="197" max="197" width="8.5546875" style="174" bestFit="1" customWidth="1"/>
    <col min="198" max="198" width="11.88671875" style="174" bestFit="1" customWidth="1"/>
    <col min="199" max="199" width="10.33203125" style="174" bestFit="1" customWidth="1"/>
    <col min="200" max="200" width="8.5546875" style="174" bestFit="1" customWidth="1"/>
    <col min="201" max="201" width="9.6640625" style="174" bestFit="1" customWidth="1"/>
    <col min="202" max="202" width="10.33203125" style="174" bestFit="1" customWidth="1"/>
    <col min="203" max="230" width="13.6640625" style="174" customWidth="1"/>
  </cols>
  <sheetData>
    <row r="1" spans="2:230" x14ac:dyDescent="0.15">
      <c r="B1" s="98">
        <v>1</v>
      </c>
      <c r="C1" s="98">
        <v>2</v>
      </c>
      <c r="D1" s="98">
        <v>3</v>
      </c>
      <c r="E1" s="98">
        <v>4</v>
      </c>
      <c r="F1" s="98">
        <v>5</v>
      </c>
      <c r="G1" s="98">
        <v>6</v>
      </c>
      <c r="H1" s="98">
        <v>7</v>
      </c>
      <c r="I1" s="98">
        <v>8</v>
      </c>
      <c r="J1" s="98">
        <v>9</v>
      </c>
      <c r="K1" s="98">
        <v>10</v>
      </c>
      <c r="L1" s="98">
        <v>11</v>
      </c>
      <c r="M1" s="98">
        <v>12</v>
      </c>
      <c r="N1" s="98">
        <v>13</v>
      </c>
      <c r="O1" s="98">
        <v>14</v>
      </c>
      <c r="P1" s="98">
        <v>15</v>
      </c>
      <c r="Q1" s="98">
        <v>16</v>
      </c>
      <c r="R1" s="98">
        <v>17</v>
      </c>
      <c r="S1" s="98">
        <v>18</v>
      </c>
      <c r="T1" s="98">
        <v>19</v>
      </c>
      <c r="U1" s="98">
        <v>20</v>
      </c>
      <c r="V1" s="98">
        <v>21</v>
      </c>
      <c r="W1" s="98">
        <v>22</v>
      </c>
      <c r="X1" s="98">
        <v>23</v>
      </c>
      <c r="Y1" s="98">
        <v>24</v>
      </c>
      <c r="Z1" s="98">
        <v>25</v>
      </c>
      <c r="AA1" s="98">
        <v>26</v>
      </c>
      <c r="AB1" s="98">
        <v>27</v>
      </c>
      <c r="AC1" s="98">
        <v>28</v>
      </c>
      <c r="AD1" s="98">
        <v>29</v>
      </c>
      <c r="AE1" s="98">
        <v>30</v>
      </c>
      <c r="AF1" s="98">
        <v>31</v>
      </c>
      <c r="AG1" s="98">
        <v>32</v>
      </c>
      <c r="AH1" s="98">
        <v>33</v>
      </c>
      <c r="AI1" s="98">
        <v>34</v>
      </c>
      <c r="AJ1" s="98">
        <v>35</v>
      </c>
      <c r="AK1" s="98">
        <v>36</v>
      </c>
      <c r="AL1" s="98">
        <v>37</v>
      </c>
      <c r="AM1" s="98">
        <v>38</v>
      </c>
      <c r="AN1" s="98">
        <v>39</v>
      </c>
      <c r="AO1" s="98">
        <v>40</v>
      </c>
      <c r="AP1" s="98">
        <v>41</v>
      </c>
      <c r="AQ1" s="98">
        <v>42</v>
      </c>
      <c r="AR1" s="98">
        <v>43</v>
      </c>
      <c r="AS1" s="98">
        <v>44</v>
      </c>
      <c r="AT1" s="98">
        <v>45</v>
      </c>
      <c r="AU1" s="98">
        <v>46</v>
      </c>
      <c r="AV1" s="98">
        <v>47</v>
      </c>
      <c r="AW1" s="98">
        <v>48</v>
      </c>
      <c r="AX1" s="98">
        <v>49</v>
      </c>
      <c r="AY1" s="98">
        <v>50</v>
      </c>
      <c r="AZ1" s="98">
        <v>51</v>
      </c>
      <c r="BA1" s="98">
        <v>52</v>
      </c>
      <c r="BB1" s="98">
        <v>53</v>
      </c>
      <c r="BC1" s="98">
        <v>54</v>
      </c>
      <c r="BD1" s="98">
        <v>55</v>
      </c>
      <c r="BE1" s="98">
        <v>56</v>
      </c>
      <c r="BF1" s="98">
        <v>57</v>
      </c>
      <c r="BG1" s="98">
        <v>58</v>
      </c>
      <c r="BH1" s="98">
        <v>59</v>
      </c>
      <c r="BI1" s="98">
        <v>60</v>
      </c>
      <c r="BJ1" s="98">
        <v>61</v>
      </c>
      <c r="BK1" s="98">
        <v>62</v>
      </c>
      <c r="BL1" s="98">
        <v>63</v>
      </c>
      <c r="BM1" s="98">
        <v>64</v>
      </c>
      <c r="BN1" s="98">
        <v>65</v>
      </c>
      <c r="BO1" s="98">
        <v>66</v>
      </c>
      <c r="BP1" s="98">
        <v>67</v>
      </c>
      <c r="BQ1" s="98">
        <v>68</v>
      </c>
      <c r="BR1" s="98">
        <v>69</v>
      </c>
      <c r="BS1" s="98">
        <v>70</v>
      </c>
      <c r="BT1" s="98">
        <v>71</v>
      </c>
      <c r="BU1" s="98">
        <v>72</v>
      </c>
      <c r="BV1" s="98">
        <v>73</v>
      </c>
      <c r="BW1" s="98">
        <v>74</v>
      </c>
      <c r="BX1" s="98">
        <v>75</v>
      </c>
      <c r="BY1" s="98">
        <v>76</v>
      </c>
      <c r="BZ1" s="98">
        <v>77</v>
      </c>
      <c r="CA1" s="98">
        <v>78</v>
      </c>
      <c r="CB1" s="98">
        <v>79</v>
      </c>
      <c r="CC1" s="98">
        <v>80</v>
      </c>
      <c r="CD1" s="98">
        <v>81</v>
      </c>
      <c r="CE1" s="98">
        <v>82</v>
      </c>
      <c r="CF1" s="98">
        <v>83</v>
      </c>
      <c r="CG1" s="98">
        <v>84</v>
      </c>
      <c r="CH1" s="98">
        <v>85</v>
      </c>
      <c r="CI1" s="98">
        <v>86</v>
      </c>
      <c r="CJ1" s="98">
        <v>87</v>
      </c>
      <c r="CK1" s="98">
        <v>88</v>
      </c>
      <c r="CL1" s="98">
        <v>89</v>
      </c>
      <c r="CM1" s="98">
        <v>90</v>
      </c>
      <c r="CN1" s="98">
        <v>91</v>
      </c>
      <c r="CO1" s="98">
        <v>92</v>
      </c>
      <c r="CP1" s="98">
        <v>93</v>
      </c>
      <c r="CQ1" s="98">
        <v>94</v>
      </c>
      <c r="CR1" s="98">
        <v>95</v>
      </c>
      <c r="CS1" s="98">
        <v>96</v>
      </c>
      <c r="CT1" s="98">
        <v>97</v>
      </c>
      <c r="CU1" s="98">
        <v>98</v>
      </c>
      <c r="CV1" s="98">
        <v>99</v>
      </c>
      <c r="CW1" s="98">
        <v>100</v>
      </c>
      <c r="CX1" s="98">
        <v>101</v>
      </c>
      <c r="CY1" s="98">
        <v>102</v>
      </c>
      <c r="CZ1" s="98">
        <v>103</v>
      </c>
      <c r="DA1" s="98">
        <v>104</v>
      </c>
      <c r="DB1" s="98">
        <v>105</v>
      </c>
      <c r="DC1" s="98">
        <v>106</v>
      </c>
      <c r="DD1" s="98">
        <v>107</v>
      </c>
      <c r="DE1" s="98">
        <v>108</v>
      </c>
      <c r="DF1" s="98">
        <v>109</v>
      </c>
      <c r="DG1" s="98">
        <v>110</v>
      </c>
      <c r="DH1" s="98">
        <v>111</v>
      </c>
      <c r="DI1" s="98">
        <v>112</v>
      </c>
      <c r="DJ1" s="98">
        <v>113</v>
      </c>
      <c r="DK1" s="98">
        <v>114</v>
      </c>
      <c r="DL1" s="98">
        <v>115</v>
      </c>
      <c r="DM1" s="98">
        <v>116</v>
      </c>
      <c r="DN1" s="98">
        <v>117</v>
      </c>
      <c r="DO1" s="98">
        <v>118</v>
      </c>
      <c r="DP1" s="98">
        <v>119</v>
      </c>
      <c r="DQ1" s="98">
        <v>120</v>
      </c>
      <c r="DR1" s="98">
        <v>121</v>
      </c>
      <c r="DS1" s="98">
        <v>122</v>
      </c>
      <c r="DT1" s="98">
        <v>123</v>
      </c>
      <c r="DU1" s="98">
        <v>124</v>
      </c>
      <c r="DV1" s="98">
        <v>125</v>
      </c>
      <c r="DW1" s="98">
        <v>126</v>
      </c>
      <c r="DX1" s="98">
        <v>127</v>
      </c>
      <c r="DY1" s="98">
        <v>128</v>
      </c>
      <c r="DZ1" s="98">
        <v>129</v>
      </c>
      <c r="EA1" s="98">
        <v>130</v>
      </c>
      <c r="EB1" s="98">
        <v>131</v>
      </c>
      <c r="EC1" s="98">
        <v>132</v>
      </c>
      <c r="ED1" s="98">
        <v>133</v>
      </c>
      <c r="EE1" s="98">
        <v>134</v>
      </c>
      <c r="EF1" s="98">
        <v>135</v>
      </c>
      <c r="EG1" s="98">
        <v>136</v>
      </c>
      <c r="EH1" s="98">
        <v>137</v>
      </c>
      <c r="EI1" s="98">
        <v>138</v>
      </c>
      <c r="EJ1" s="98">
        <v>139</v>
      </c>
      <c r="EK1" s="98">
        <v>140</v>
      </c>
      <c r="EL1" s="98">
        <v>141</v>
      </c>
      <c r="EM1" s="98">
        <v>142</v>
      </c>
      <c r="EN1" s="98">
        <v>143</v>
      </c>
      <c r="EO1" s="98">
        <v>144</v>
      </c>
      <c r="EP1" s="98">
        <v>145</v>
      </c>
      <c r="EQ1" s="98">
        <v>146</v>
      </c>
      <c r="ER1" s="98">
        <v>147</v>
      </c>
      <c r="ES1" s="98">
        <v>148</v>
      </c>
      <c r="ET1" s="98">
        <v>149</v>
      </c>
      <c r="EU1" s="98">
        <v>150</v>
      </c>
      <c r="EV1" s="98">
        <v>151</v>
      </c>
      <c r="EW1" s="98">
        <v>152</v>
      </c>
      <c r="EX1" s="98">
        <v>153</v>
      </c>
      <c r="EY1" s="98">
        <v>154</v>
      </c>
      <c r="EZ1" s="98">
        <v>155</v>
      </c>
      <c r="FA1" s="98">
        <v>156</v>
      </c>
      <c r="FB1" s="98">
        <v>157</v>
      </c>
      <c r="FC1" s="98">
        <v>158</v>
      </c>
      <c r="FD1" s="98">
        <v>159</v>
      </c>
      <c r="FE1" s="98">
        <v>160</v>
      </c>
      <c r="FF1" s="98">
        <v>161</v>
      </c>
      <c r="FG1" s="98">
        <v>162</v>
      </c>
      <c r="FH1" s="98">
        <v>163</v>
      </c>
      <c r="FI1" s="98">
        <v>164</v>
      </c>
      <c r="FJ1" s="98">
        <v>165</v>
      </c>
      <c r="FK1" s="98">
        <v>166</v>
      </c>
      <c r="FL1" s="98">
        <v>167</v>
      </c>
      <c r="FM1" s="98">
        <v>168</v>
      </c>
      <c r="FN1" s="98">
        <v>169</v>
      </c>
      <c r="FO1" s="98">
        <v>170</v>
      </c>
      <c r="FP1" s="98">
        <v>171</v>
      </c>
      <c r="FQ1" s="98">
        <v>172</v>
      </c>
      <c r="FR1" s="98">
        <v>173</v>
      </c>
      <c r="FS1" s="98">
        <v>174</v>
      </c>
      <c r="FT1" s="98">
        <v>175</v>
      </c>
      <c r="FU1" s="98">
        <v>176</v>
      </c>
      <c r="FV1" s="98">
        <v>177</v>
      </c>
      <c r="FW1" s="98">
        <v>178</v>
      </c>
      <c r="FX1" s="98">
        <v>179</v>
      </c>
      <c r="FY1" s="98">
        <v>180</v>
      </c>
      <c r="FZ1" s="98">
        <v>181</v>
      </c>
      <c r="GA1" s="98">
        <v>182</v>
      </c>
      <c r="GB1" s="98">
        <v>183</v>
      </c>
      <c r="GC1" s="98">
        <v>184</v>
      </c>
      <c r="GD1" s="98">
        <v>185</v>
      </c>
      <c r="GE1" s="98">
        <v>186</v>
      </c>
      <c r="GF1" s="98">
        <v>187</v>
      </c>
      <c r="GG1" s="98">
        <v>188</v>
      </c>
      <c r="GH1" s="98">
        <v>189</v>
      </c>
      <c r="GI1" s="99">
        <v>190</v>
      </c>
      <c r="GJ1" s="98">
        <v>191</v>
      </c>
      <c r="GK1" s="98">
        <v>192</v>
      </c>
      <c r="GL1" s="98">
        <v>193</v>
      </c>
      <c r="GM1" s="98">
        <v>194</v>
      </c>
      <c r="GN1" s="98">
        <v>195</v>
      </c>
      <c r="GO1" s="98">
        <v>196</v>
      </c>
      <c r="GP1" s="98">
        <v>197</v>
      </c>
      <c r="GQ1" s="98">
        <v>198</v>
      </c>
      <c r="GR1" s="98">
        <v>199</v>
      </c>
      <c r="GS1" s="98">
        <v>200</v>
      </c>
      <c r="GT1" s="98">
        <v>201</v>
      </c>
    </row>
    <row r="2" spans="2:230" x14ac:dyDescent="0.15">
      <c r="C2" s="93" t="s">
        <v>338</v>
      </c>
      <c r="D2" s="94"/>
      <c r="E2" s="93" t="s">
        <v>339</v>
      </c>
      <c r="F2" s="93" t="s">
        <v>340</v>
      </c>
      <c r="G2" s="94"/>
      <c r="H2" s="93" t="s">
        <v>341</v>
      </c>
      <c r="I2" s="93" t="s">
        <v>342</v>
      </c>
      <c r="J2" s="93" t="s">
        <v>343</v>
      </c>
      <c r="K2" s="93" t="s">
        <v>344</v>
      </c>
      <c r="L2" s="93" t="s">
        <v>345</v>
      </c>
      <c r="M2" s="93" t="s">
        <v>346</v>
      </c>
      <c r="N2" s="93" t="s">
        <v>347</v>
      </c>
      <c r="O2" s="93" t="s">
        <v>348</v>
      </c>
      <c r="P2" s="93" t="s">
        <v>349</v>
      </c>
      <c r="Q2" s="93" t="s">
        <v>350</v>
      </c>
      <c r="R2" s="93" t="s">
        <v>351</v>
      </c>
      <c r="S2" s="93" t="s">
        <v>352</v>
      </c>
      <c r="T2" s="95"/>
      <c r="U2" s="93" t="s">
        <v>725</v>
      </c>
      <c r="V2" s="93" t="s">
        <v>354</v>
      </c>
      <c r="W2" s="93" t="s">
        <v>355</v>
      </c>
      <c r="X2" s="93" t="s">
        <v>664</v>
      </c>
      <c r="Y2" s="93" t="s">
        <v>356</v>
      </c>
      <c r="Z2" s="93" t="s">
        <v>357</v>
      </c>
      <c r="AA2" s="93" t="s">
        <v>653</v>
      </c>
      <c r="AB2" s="93" t="s">
        <v>359</v>
      </c>
      <c r="AC2" s="93" t="s">
        <v>654</v>
      </c>
      <c r="AD2" s="93" t="s">
        <v>665</v>
      </c>
      <c r="AE2" s="93" t="s">
        <v>726</v>
      </c>
      <c r="AF2" s="96" t="s">
        <v>363</v>
      </c>
      <c r="AG2" s="96" t="s">
        <v>364</v>
      </c>
      <c r="AH2" s="89"/>
      <c r="AI2" s="96" t="s">
        <v>684</v>
      </c>
      <c r="AJ2" s="96" t="s">
        <v>727</v>
      </c>
      <c r="AK2" s="96" t="s">
        <v>368</v>
      </c>
      <c r="AL2" s="29"/>
      <c r="AM2" s="96" t="s">
        <v>728</v>
      </c>
      <c r="AN2" s="96" t="s">
        <v>686</v>
      </c>
      <c r="AO2" s="96" t="s">
        <v>352</v>
      </c>
      <c r="AP2" s="96" t="s">
        <v>369</v>
      </c>
      <c r="AQ2" s="96" t="s">
        <v>371</v>
      </c>
      <c r="AR2" s="96" t="s">
        <v>372</v>
      </c>
      <c r="AS2" s="96" t="s">
        <v>729</v>
      </c>
      <c r="AT2" s="96" t="s">
        <v>376</v>
      </c>
      <c r="AU2" s="96" t="s">
        <v>377</v>
      </c>
      <c r="AV2" s="96" t="s">
        <v>378</v>
      </c>
      <c r="AW2" s="96" t="s">
        <v>688</v>
      </c>
      <c r="AX2" s="96" t="s">
        <v>380</v>
      </c>
      <c r="AY2" s="96" t="s">
        <v>381</v>
      </c>
      <c r="AZ2" s="96" t="s">
        <v>710</v>
      </c>
      <c r="BA2" s="96" t="s">
        <v>690</v>
      </c>
      <c r="BB2" s="96" t="s">
        <v>711</v>
      </c>
      <c r="BC2" s="96" t="s">
        <v>384</v>
      </c>
      <c r="BD2" s="96" t="s">
        <v>386</v>
      </c>
      <c r="BE2" s="96" t="s">
        <v>387</v>
      </c>
      <c r="BF2" s="96" t="s">
        <v>388</v>
      </c>
      <c r="BG2" s="96" t="s">
        <v>389</v>
      </c>
      <c r="BH2" s="96" t="s">
        <v>692</v>
      </c>
      <c r="BI2" s="96" t="s">
        <v>739</v>
      </c>
      <c r="BJ2" s="96" t="s">
        <v>385</v>
      </c>
      <c r="BK2" s="96" t="s">
        <v>392</v>
      </c>
      <c r="BL2" s="96" t="s">
        <v>694</v>
      </c>
      <c r="BM2" s="96" t="s">
        <v>393</v>
      </c>
      <c r="BN2" s="96" t="s">
        <v>696</v>
      </c>
      <c r="BO2" s="29"/>
      <c r="BP2" s="29"/>
      <c r="BQ2" s="96" t="s">
        <v>761</v>
      </c>
      <c r="BR2" s="96" t="s">
        <v>762</v>
      </c>
      <c r="BS2" s="96" t="s">
        <v>763</v>
      </c>
      <c r="BT2" s="96" t="s">
        <v>764</v>
      </c>
      <c r="BU2" s="96" t="s">
        <v>396</v>
      </c>
      <c r="BV2" s="89"/>
      <c r="BW2" s="96" t="s">
        <v>402</v>
      </c>
      <c r="BX2" s="96" t="s">
        <v>403</v>
      </c>
      <c r="BY2" s="96" t="s">
        <v>719</v>
      </c>
      <c r="BZ2" s="96" t="s">
        <v>405</v>
      </c>
      <c r="CA2" s="96" t="s">
        <v>406</v>
      </c>
      <c r="CB2" s="96" t="s">
        <v>407</v>
      </c>
      <c r="CC2" s="96" t="s">
        <v>408</v>
      </c>
      <c r="CD2" s="96" t="s">
        <v>409</v>
      </c>
      <c r="CE2" s="96" t="s">
        <v>410</v>
      </c>
      <c r="CF2" s="96" t="s">
        <v>411</v>
      </c>
      <c r="CG2" s="96" t="s">
        <v>412</v>
      </c>
      <c r="CH2" s="96" t="s">
        <v>413</v>
      </c>
      <c r="CI2" s="96" t="s">
        <v>414</v>
      </c>
      <c r="CJ2" s="81"/>
      <c r="CK2" s="96" t="s">
        <v>415</v>
      </c>
      <c r="CL2" s="96" t="s">
        <v>720</v>
      </c>
      <c r="CM2" s="96" t="s">
        <v>417</v>
      </c>
      <c r="CN2" s="96" t="s">
        <v>721</v>
      </c>
      <c r="CO2" s="96" t="s">
        <v>419</v>
      </c>
      <c r="CP2" s="96" t="s">
        <v>420</v>
      </c>
      <c r="CQ2" s="96" t="s">
        <v>421</v>
      </c>
      <c r="CR2" s="96" t="s">
        <v>422</v>
      </c>
      <c r="CS2" s="96" t="s">
        <v>423</v>
      </c>
      <c r="CT2" s="28"/>
      <c r="CU2" s="96" t="s">
        <v>424</v>
      </c>
      <c r="CV2" s="96" t="s">
        <v>425</v>
      </c>
      <c r="CW2" s="89"/>
      <c r="CX2" s="96" t="s">
        <v>426</v>
      </c>
      <c r="CY2" s="96" t="s">
        <v>427</v>
      </c>
      <c r="CZ2" s="89"/>
      <c r="DA2" s="96" t="s">
        <v>428</v>
      </c>
      <c r="DB2" s="96" t="s">
        <v>429</v>
      </c>
      <c r="DC2" s="96" t="s">
        <v>430</v>
      </c>
      <c r="DD2" s="96" t="s">
        <v>431</v>
      </c>
      <c r="DE2" s="96" t="s">
        <v>432</v>
      </c>
      <c r="DF2" s="96" t="s">
        <v>433</v>
      </c>
      <c r="DG2" s="96" t="s">
        <v>434</v>
      </c>
      <c r="DH2" s="96" t="s">
        <v>435</v>
      </c>
      <c r="DI2" s="96" t="s">
        <v>436</v>
      </c>
      <c r="DJ2" s="96" t="s">
        <v>437</v>
      </c>
      <c r="DK2" s="96" t="s">
        <v>438</v>
      </c>
      <c r="DL2" s="96" t="s">
        <v>439</v>
      </c>
      <c r="DM2" s="96" t="s">
        <v>440</v>
      </c>
      <c r="DN2" s="96" t="s">
        <v>441</v>
      </c>
      <c r="DO2" s="96" t="s">
        <v>442</v>
      </c>
      <c r="DP2" s="96" t="s">
        <v>443</v>
      </c>
      <c r="DQ2" s="96" t="s">
        <v>444</v>
      </c>
      <c r="DR2" s="96" t="s">
        <v>445</v>
      </c>
      <c r="DS2" s="96" t="s">
        <v>446</v>
      </c>
      <c r="DT2" s="96" t="s">
        <v>447</v>
      </c>
      <c r="DU2" s="96" t="s">
        <v>448</v>
      </c>
      <c r="DV2" s="89"/>
      <c r="DW2" s="96" t="s">
        <v>449</v>
      </c>
      <c r="DX2" s="173" t="s">
        <v>450</v>
      </c>
      <c r="DY2" s="96" t="s">
        <v>451</v>
      </c>
      <c r="DZ2" s="96" t="s">
        <v>452</v>
      </c>
      <c r="EA2" s="96" t="s">
        <v>453</v>
      </c>
      <c r="EB2" s="96" t="s">
        <v>454</v>
      </c>
      <c r="EC2" s="96" t="s">
        <v>455</v>
      </c>
      <c r="ED2" s="96" t="s">
        <v>456</v>
      </c>
      <c r="EE2" s="89"/>
      <c r="EF2" s="96" t="s">
        <v>457</v>
      </c>
      <c r="EG2" s="96" t="s">
        <v>458</v>
      </c>
      <c r="EH2" s="96" t="s">
        <v>459</v>
      </c>
      <c r="EI2" s="96" t="s">
        <v>460</v>
      </c>
      <c r="EJ2" s="96" t="s">
        <v>461</v>
      </c>
      <c r="EK2" s="89"/>
      <c r="EL2" s="89"/>
      <c r="EM2" s="97" t="s">
        <v>699</v>
      </c>
      <c r="EN2" s="96" t="s">
        <v>464</v>
      </c>
      <c r="EO2" s="96" t="s">
        <v>465</v>
      </c>
      <c r="EP2" s="89"/>
      <c r="EQ2" s="96" t="s">
        <v>466</v>
      </c>
      <c r="ER2" s="96" t="s">
        <v>467</v>
      </c>
      <c r="ES2" s="96" t="s">
        <v>468</v>
      </c>
      <c r="ET2" s="96" t="s">
        <v>469</v>
      </c>
      <c r="EU2" s="96" t="s">
        <v>470</v>
      </c>
      <c r="EV2" s="96" t="s">
        <v>471</v>
      </c>
      <c r="EW2" s="28"/>
      <c r="EX2" s="96" t="s">
        <v>472</v>
      </c>
      <c r="EY2" s="96" t="s">
        <v>473</v>
      </c>
      <c r="EZ2" s="96" t="s">
        <v>474</v>
      </c>
      <c r="FA2" s="96" t="s">
        <v>475</v>
      </c>
      <c r="FB2" s="96" t="s">
        <v>476</v>
      </c>
      <c r="FC2" s="96" t="s">
        <v>477</v>
      </c>
      <c r="FD2" s="96" t="s">
        <v>478</v>
      </c>
      <c r="FE2" s="96" t="s">
        <v>479</v>
      </c>
      <c r="FF2" s="96" t="s">
        <v>480</v>
      </c>
      <c r="FG2" s="89"/>
      <c r="FH2" s="96" t="s">
        <v>481</v>
      </c>
      <c r="FI2" s="89"/>
      <c r="FJ2" s="80" t="s">
        <v>482</v>
      </c>
      <c r="FK2" s="172" t="s">
        <v>483</v>
      </c>
      <c r="FL2" s="172" t="s">
        <v>484</v>
      </c>
      <c r="FM2" s="172" t="s">
        <v>485</v>
      </c>
      <c r="FN2" s="80" t="s">
        <v>700</v>
      </c>
      <c r="FO2" s="564" t="s">
        <v>701</v>
      </c>
      <c r="FP2" s="561"/>
      <c r="FQ2" s="561"/>
      <c r="FR2" s="561"/>
      <c r="FS2" s="561"/>
      <c r="FT2" s="561"/>
      <c r="FU2" s="561"/>
      <c r="FV2" s="89"/>
      <c r="FW2" s="96" t="s">
        <v>765</v>
      </c>
      <c r="FX2" s="89"/>
      <c r="FY2" s="96" t="s">
        <v>490</v>
      </c>
      <c r="FZ2" s="96" t="s">
        <v>491</v>
      </c>
      <c r="GA2" s="96" t="s">
        <v>492</v>
      </c>
      <c r="GB2" s="96" t="s">
        <v>493</v>
      </c>
      <c r="GC2" s="96" t="s">
        <v>494</v>
      </c>
      <c r="GD2" s="46" t="s">
        <v>745</v>
      </c>
      <c r="GE2" s="89"/>
      <c r="GF2" s="85" t="s">
        <v>703</v>
      </c>
      <c r="GG2" s="85"/>
      <c r="GH2" s="85"/>
      <c r="GI2" s="86" t="s">
        <v>753</v>
      </c>
      <c r="GJ2" s="46" t="s">
        <v>736</v>
      </c>
      <c r="GK2" s="46"/>
      <c r="GL2" s="46"/>
      <c r="GM2" s="46"/>
      <c r="GN2" s="46"/>
      <c r="GO2" s="46"/>
      <c r="GP2" s="46"/>
      <c r="GQ2" s="46"/>
      <c r="GR2" s="46"/>
      <c r="GS2" s="46"/>
      <c r="GT2" s="46"/>
    </row>
    <row r="3" spans="2:230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92" t="s">
        <v>159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V3" s="89"/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82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E3" s="89"/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K3" s="89"/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48" t="s">
        <v>517</v>
      </c>
      <c r="FJ3" s="48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P3" s="89"/>
      <c r="FQ3" s="89"/>
      <c r="FR3" s="89"/>
      <c r="FS3" s="89"/>
      <c r="FT3" s="89"/>
      <c r="FU3" s="89"/>
      <c r="FV3" s="30" t="s">
        <v>529</v>
      </c>
      <c r="FW3" s="30" t="s">
        <v>308</v>
      </c>
      <c r="FX3" s="48" t="s">
        <v>530</v>
      </c>
      <c r="FY3" s="30" t="s">
        <v>312</v>
      </c>
      <c r="FZ3" s="89"/>
      <c r="GA3" s="89"/>
      <c r="GB3" s="89"/>
      <c r="GC3" s="89"/>
      <c r="GD3" s="30" t="s">
        <v>531</v>
      </c>
      <c r="GE3" s="48" t="s">
        <v>530</v>
      </c>
      <c r="GF3" s="30" t="s">
        <v>532</v>
      </c>
      <c r="GG3" s="89"/>
      <c r="GH3" s="89"/>
      <c r="GI3" s="30" t="s">
        <v>706</v>
      </c>
      <c r="GJ3" s="89" t="s">
        <v>534</v>
      </c>
      <c r="GM3" s="89" t="s">
        <v>535</v>
      </c>
      <c r="GP3" s="89" t="s">
        <v>529</v>
      </c>
      <c r="GS3" s="89" t="s">
        <v>536</v>
      </c>
    </row>
    <row r="4" spans="2:230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 t="s">
        <v>554</v>
      </c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 t="s">
        <v>565</v>
      </c>
      <c r="BS4" s="31"/>
      <c r="BT4" s="30" t="s">
        <v>193</v>
      </c>
      <c r="BU4" s="30"/>
      <c r="BV4" s="89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570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82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 t="s">
        <v>589</v>
      </c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E4" s="89"/>
      <c r="EF4" s="89"/>
      <c r="EG4" s="89"/>
      <c r="EH4" s="89"/>
      <c r="EI4" s="89"/>
      <c r="EJ4" s="89"/>
      <c r="EK4" s="89"/>
      <c r="EL4" s="29" t="s">
        <v>758</v>
      </c>
      <c r="EM4" s="32" t="s">
        <v>766</v>
      </c>
      <c r="EN4" s="30"/>
      <c r="EO4" s="30"/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48" t="s">
        <v>596</v>
      </c>
      <c r="FJ4" s="48" t="s">
        <v>597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W4" s="89"/>
      <c r="FX4" s="48" t="s">
        <v>601</v>
      </c>
      <c r="FY4" s="89"/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48" t="s">
        <v>601</v>
      </c>
      <c r="GF4" s="30" t="s">
        <v>604</v>
      </c>
      <c r="GG4" s="30" t="s">
        <v>605</v>
      </c>
      <c r="GH4" s="30" t="s">
        <v>606</v>
      </c>
      <c r="GI4" s="30" t="s">
        <v>755</v>
      </c>
      <c r="GJ4" s="30" t="s">
        <v>608</v>
      </c>
      <c r="GK4" s="89" t="s">
        <v>609</v>
      </c>
      <c r="GL4" s="89" t="s">
        <v>610</v>
      </c>
      <c r="GM4" s="89" t="s">
        <v>608</v>
      </c>
      <c r="GN4" s="89" t="s">
        <v>609</v>
      </c>
      <c r="GO4" s="89" t="s">
        <v>610</v>
      </c>
      <c r="GP4" s="89" t="s">
        <v>596</v>
      </c>
      <c r="GQ4" s="89" t="s">
        <v>609</v>
      </c>
      <c r="GR4" s="89" t="s">
        <v>610</v>
      </c>
      <c r="GS4" s="89" t="s">
        <v>611</v>
      </c>
      <c r="GT4" s="89" t="s">
        <v>609</v>
      </c>
    </row>
    <row r="5" spans="2:230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620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47" t="s">
        <v>624</v>
      </c>
      <c r="BS5" s="30" t="s">
        <v>625</v>
      </c>
      <c r="BT5" s="30"/>
      <c r="BU5" s="30"/>
      <c r="BV5" s="89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82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635</v>
      </c>
      <c r="DX5" s="48"/>
      <c r="DY5" s="30"/>
      <c r="DZ5" s="30"/>
      <c r="EA5" s="79" t="s">
        <v>756</v>
      </c>
      <c r="EB5" s="30"/>
      <c r="EC5" s="30"/>
      <c r="ED5" s="30"/>
      <c r="EE5" s="89"/>
      <c r="EF5" s="89"/>
      <c r="EG5" s="89"/>
      <c r="EH5" s="89"/>
      <c r="EI5" s="89"/>
      <c r="EJ5" s="89"/>
      <c r="EK5" s="89"/>
      <c r="EL5" s="89" t="s">
        <v>760</v>
      </c>
      <c r="EM5" s="89" t="s">
        <v>637</v>
      </c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30" t="s">
        <v>595</v>
      </c>
      <c r="EZ5" s="30" t="s">
        <v>595</v>
      </c>
      <c r="FA5" s="89"/>
      <c r="FB5" s="89"/>
      <c r="FC5" s="89"/>
      <c r="FD5" s="89"/>
      <c r="FE5" s="89"/>
      <c r="FF5" s="89"/>
      <c r="FG5" s="89"/>
      <c r="FH5" s="89"/>
      <c r="FI5" s="51" t="s">
        <v>638</v>
      </c>
      <c r="FJ5" s="51"/>
      <c r="FK5" s="30" t="s">
        <v>639</v>
      </c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30" t="s">
        <v>600</v>
      </c>
      <c r="FW5" s="89"/>
      <c r="FX5" s="51" t="s">
        <v>638</v>
      </c>
      <c r="FY5" s="89"/>
      <c r="FZ5" s="89"/>
      <c r="GA5" s="89"/>
      <c r="GB5" s="89"/>
      <c r="GC5" s="89"/>
      <c r="GD5" s="89"/>
      <c r="GE5" s="51" t="s">
        <v>641</v>
      </c>
      <c r="GF5" s="70"/>
      <c r="GG5" s="89"/>
      <c r="GH5" s="89"/>
      <c r="GI5" s="89" t="s">
        <v>642</v>
      </c>
      <c r="GJ5" s="89"/>
      <c r="GK5" s="43" t="s">
        <v>643</v>
      </c>
      <c r="GL5" s="30" t="s">
        <v>644</v>
      </c>
      <c r="GM5" s="89"/>
      <c r="GN5" s="43" t="s">
        <v>643</v>
      </c>
      <c r="GO5" s="30" t="s">
        <v>644</v>
      </c>
      <c r="GP5" s="89"/>
      <c r="GQ5" s="43" t="s">
        <v>643</v>
      </c>
      <c r="GR5" s="30" t="s">
        <v>644</v>
      </c>
      <c r="GT5" s="43" t="s">
        <v>643</v>
      </c>
      <c r="GV5" s="89" t="s">
        <v>645</v>
      </c>
    </row>
    <row r="6" spans="2:230" s="89" customFormat="1" x14ac:dyDescent="0.15">
      <c r="B6" s="72" t="s">
        <v>1</v>
      </c>
      <c r="C6" s="102">
        <v>659255786</v>
      </c>
      <c r="D6" s="73">
        <f t="shared" ref="D6:D52" si="0">E6+F6</f>
        <v>138354909</v>
      </c>
      <c r="E6" s="102">
        <v>4009438</v>
      </c>
      <c r="F6" s="102">
        <v>134345471</v>
      </c>
      <c r="G6" s="73">
        <f t="shared" ref="G6:G52" si="1">H6+I6</f>
        <v>134976670</v>
      </c>
      <c r="H6" s="102">
        <v>17976391</v>
      </c>
      <c r="I6" s="102">
        <v>117000279</v>
      </c>
      <c r="J6" s="102">
        <v>271528912</v>
      </c>
      <c r="K6" s="102">
        <v>103800545</v>
      </c>
      <c r="L6" s="102">
        <v>132064501</v>
      </c>
      <c r="M6" s="102">
        <v>34910866</v>
      </c>
      <c r="N6" s="102">
        <v>31690886</v>
      </c>
      <c r="O6" s="102">
        <v>55143010</v>
      </c>
      <c r="P6" s="102">
        <v>26115331</v>
      </c>
      <c r="Q6" s="102">
        <v>29027679</v>
      </c>
      <c r="R6" s="102">
        <v>5987396</v>
      </c>
      <c r="S6" s="74"/>
      <c r="T6" s="73">
        <f t="shared" ref="T6:T52" si="2">SUM(U6:AA6)</f>
        <v>51649946</v>
      </c>
      <c r="U6" s="102">
        <v>1412540</v>
      </c>
      <c r="V6" s="102">
        <v>3818329</v>
      </c>
      <c r="W6" s="102">
        <v>2013538</v>
      </c>
      <c r="X6" s="102">
        <v>42962811</v>
      </c>
      <c r="Y6" s="102">
        <v>0</v>
      </c>
      <c r="Z6" s="102">
        <v>0</v>
      </c>
      <c r="AA6" s="102">
        <v>1442728</v>
      </c>
      <c r="AB6" s="102">
        <v>1804272</v>
      </c>
      <c r="AC6" s="102">
        <v>36787280</v>
      </c>
      <c r="AD6" s="102">
        <v>35731706</v>
      </c>
      <c r="AE6" s="102">
        <v>1055476</v>
      </c>
      <c r="AF6" s="102">
        <v>815492</v>
      </c>
      <c r="AG6" s="102">
        <v>8063647</v>
      </c>
      <c r="AH6" s="73">
        <f t="shared" ref="AH6:AH52" si="3">AI6+AJ6</f>
        <v>62205575</v>
      </c>
      <c r="AI6" s="102">
        <v>54163166</v>
      </c>
      <c r="AJ6" s="102">
        <v>8042409</v>
      </c>
      <c r="AK6" s="102">
        <v>349428482</v>
      </c>
      <c r="AL6" s="73">
        <f t="shared" ref="AL6:AL52" si="4">SUM(AM6:AP6)</f>
        <v>271250181</v>
      </c>
      <c r="AM6" s="102">
        <v>216489452</v>
      </c>
      <c r="AN6" s="102">
        <v>22494444</v>
      </c>
      <c r="AO6" s="74"/>
      <c r="AP6" s="102">
        <v>32266285</v>
      </c>
      <c r="AQ6" s="102">
        <v>14669429</v>
      </c>
      <c r="AR6" s="102">
        <v>0</v>
      </c>
      <c r="AS6" s="102">
        <v>0</v>
      </c>
      <c r="AT6" s="102">
        <v>56187274</v>
      </c>
      <c r="AU6" s="102">
        <v>28170678</v>
      </c>
      <c r="AV6" s="102">
        <v>0</v>
      </c>
      <c r="AW6" s="102">
        <v>2857738</v>
      </c>
      <c r="AX6" s="102">
        <v>28016596</v>
      </c>
      <c r="AY6" s="102">
        <v>24844</v>
      </c>
      <c r="AZ6" s="102">
        <v>19551166</v>
      </c>
      <c r="BA6" s="102">
        <v>7985822</v>
      </c>
      <c r="BB6" s="102">
        <v>1232975</v>
      </c>
      <c r="BC6" s="102">
        <v>50917725</v>
      </c>
      <c r="BD6" s="102">
        <v>30794558</v>
      </c>
      <c r="BE6" s="102">
        <v>4077413</v>
      </c>
      <c r="BF6" s="102">
        <v>8803491</v>
      </c>
      <c r="BG6" s="102">
        <v>0</v>
      </c>
      <c r="BH6" s="102">
        <v>25364037</v>
      </c>
      <c r="BI6" s="102">
        <v>24223055</v>
      </c>
      <c r="BJ6" s="102">
        <v>179300686</v>
      </c>
      <c r="BK6" s="102">
        <v>107929003</v>
      </c>
      <c r="BL6" s="102">
        <v>343369</v>
      </c>
      <c r="BM6" s="102">
        <v>13593634</v>
      </c>
      <c r="BN6" s="102">
        <v>121124000</v>
      </c>
      <c r="BO6" s="73">
        <f t="shared" ref="BO6:BO52" si="5">BN6-BP6-BT6</f>
        <v>45209000</v>
      </c>
      <c r="BP6" s="73">
        <f t="shared" ref="BP6:BP52" si="6">BQ6+BR6+BS6</f>
        <v>75915000</v>
      </c>
      <c r="BQ6" s="102">
        <v>0</v>
      </c>
      <c r="BR6" s="76">
        <v>0</v>
      </c>
      <c r="BS6" s="102">
        <v>75915000</v>
      </c>
      <c r="BT6" s="102">
        <v>0</v>
      </c>
      <c r="BU6" s="102">
        <v>1641158122</v>
      </c>
      <c r="BV6" s="71"/>
      <c r="BW6" s="102">
        <v>207535178</v>
      </c>
      <c r="BX6" s="102">
        <v>149917178</v>
      </c>
      <c r="BY6" s="102">
        <v>16317225</v>
      </c>
      <c r="BZ6" s="102">
        <v>7857469</v>
      </c>
      <c r="CA6" s="102">
        <v>517168585</v>
      </c>
      <c r="CB6" s="102">
        <v>81335755</v>
      </c>
      <c r="CC6" s="102">
        <v>7426448</v>
      </c>
      <c r="CD6" s="102">
        <v>124326602</v>
      </c>
      <c r="CE6" s="102">
        <v>291591922</v>
      </c>
      <c r="CF6" s="102">
        <v>10158097</v>
      </c>
      <c r="CG6" s="102">
        <v>2329761</v>
      </c>
      <c r="CH6" s="102">
        <v>265954583</v>
      </c>
      <c r="CI6" s="102">
        <v>226340523</v>
      </c>
      <c r="CJ6" s="83">
        <v>47623386</v>
      </c>
      <c r="CK6" s="102">
        <v>113975057</v>
      </c>
      <c r="CL6" s="102">
        <v>70126150</v>
      </c>
      <c r="CM6" s="102">
        <v>1586866</v>
      </c>
      <c r="CN6" s="102">
        <v>26764305</v>
      </c>
      <c r="CO6" s="102">
        <v>17190912</v>
      </c>
      <c r="CP6" s="102">
        <v>116379928</v>
      </c>
      <c r="CQ6" s="102">
        <v>340713</v>
      </c>
      <c r="CR6" s="102">
        <v>44753442</v>
      </c>
      <c r="CS6" s="102">
        <v>36277826</v>
      </c>
      <c r="CT6" s="73">
        <f t="shared" ref="CT6:CT52" si="7">CU6+CV6</f>
        <v>51909311</v>
      </c>
      <c r="CU6" s="102">
        <v>3515588</v>
      </c>
      <c r="CV6" s="102">
        <v>48393723</v>
      </c>
      <c r="CW6" s="73">
        <f t="shared" ref="CW6:CW52" si="8">CX6+CY6</f>
        <v>3881915</v>
      </c>
      <c r="CX6" s="102">
        <v>3259363</v>
      </c>
      <c r="CY6" s="102">
        <v>622552</v>
      </c>
      <c r="CZ6" s="73">
        <f t="shared" ref="CZ6:CZ52" si="9">DA6+DB6</f>
        <v>31388517</v>
      </c>
      <c r="DA6" s="102">
        <v>0</v>
      </c>
      <c r="DB6" s="102">
        <v>31388517</v>
      </c>
      <c r="DC6" s="102">
        <v>101863912</v>
      </c>
      <c r="DD6" s="102">
        <v>55986276</v>
      </c>
      <c r="DE6" s="102">
        <v>41637426</v>
      </c>
      <c r="DF6" s="102">
        <v>10839</v>
      </c>
      <c r="DG6" s="102">
        <v>337100</v>
      </c>
      <c r="DH6" s="102">
        <v>0</v>
      </c>
      <c r="DI6" s="102">
        <v>34958711</v>
      </c>
      <c r="DJ6" s="102">
        <v>32189750</v>
      </c>
      <c r="DK6" s="102">
        <v>18418</v>
      </c>
      <c r="DL6" s="102">
        <v>2750543</v>
      </c>
      <c r="DM6" s="102">
        <v>30876075</v>
      </c>
      <c r="DN6" s="102">
        <v>3067317</v>
      </c>
      <c r="DO6" s="102">
        <v>0</v>
      </c>
      <c r="DP6" s="102">
        <v>0</v>
      </c>
      <c r="DQ6" s="102">
        <v>100566644</v>
      </c>
      <c r="DR6" s="102">
        <v>0</v>
      </c>
      <c r="DS6" s="102">
        <v>0</v>
      </c>
      <c r="DT6" s="102">
        <v>129373357</v>
      </c>
      <c r="DU6" s="102">
        <v>0</v>
      </c>
      <c r="DV6" s="73">
        <f t="shared" ref="DV6:DV52" si="10">DW6</f>
        <v>18991631</v>
      </c>
      <c r="DW6" s="102">
        <v>18991631</v>
      </c>
      <c r="DX6" s="102">
        <v>32584128</v>
      </c>
      <c r="DY6" s="102">
        <v>0</v>
      </c>
      <c r="DZ6" s="102">
        <v>42259715</v>
      </c>
      <c r="EA6" s="74">
        <v>0</v>
      </c>
      <c r="EB6" s="102">
        <v>32686777</v>
      </c>
      <c r="EC6" s="102">
        <v>0</v>
      </c>
      <c r="ED6" s="102">
        <v>1635842942</v>
      </c>
      <c r="EE6" s="71"/>
      <c r="EF6" s="102">
        <v>5315180</v>
      </c>
      <c r="EG6" s="102">
        <v>4881344</v>
      </c>
      <c r="EH6" s="102">
        <v>433836</v>
      </c>
      <c r="EI6" s="102">
        <v>-23789219</v>
      </c>
      <c r="EJ6" s="102">
        <v>-22376027</v>
      </c>
      <c r="EK6" s="71"/>
      <c r="EL6" s="102"/>
      <c r="EM6" s="102">
        <v>2670766</v>
      </c>
      <c r="EN6" s="102">
        <v>37844150</v>
      </c>
      <c r="EO6" s="102">
        <v>6983303</v>
      </c>
      <c r="EP6" s="73">
        <f t="shared" ref="EP6:EP52" si="11">EQ6-ER6-C6-R6-T6-AB6-AC6-BP6-EN6-EO6</f>
        <v>76431777</v>
      </c>
      <c r="EQ6" s="102">
        <v>767782555</v>
      </c>
      <c r="ER6" s="71">
        <v>-184876355</v>
      </c>
      <c r="ES6" s="102">
        <v>187001357</v>
      </c>
      <c r="ET6" s="102">
        <v>135086306</v>
      </c>
      <c r="EU6" s="102">
        <v>154100520</v>
      </c>
      <c r="EV6" s="102">
        <v>233044747</v>
      </c>
      <c r="EW6" s="73">
        <f t="shared" ref="EW6:EW52" si="12">EX6+FA6+FB6</f>
        <v>27923361</v>
      </c>
      <c r="EX6" s="102">
        <v>27923361</v>
      </c>
      <c r="EY6" s="102">
        <v>3449393</v>
      </c>
      <c r="EZ6" s="102">
        <v>24176858</v>
      </c>
      <c r="FA6" s="102">
        <v>0</v>
      </c>
      <c r="FB6" s="102">
        <v>0</v>
      </c>
      <c r="FC6" s="102">
        <v>71513799</v>
      </c>
      <c r="FD6" s="102">
        <v>96045842</v>
      </c>
      <c r="FE6" s="102">
        <v>340713</v>
      </c>
      <c r="FF6" s="102">
        <v>108834082</v>
      </c>
      <c r="FG6" s="73">
        <f t="shared" ref="FG6:FG52" si="13">FH6-ES6-EU6-EV6-EW6-FC6-FD6-FF6</f>
        <v>68880022</v>
      </c>
      <c r="FH6" s="102">
        <v>947343730</v>
      </c>
      <c r="FI6" s="379">
        <f t="shared" ref="FI6:FI52" si="14">ROUND(EH6/(FJ6+FK6)*100,1)</f>
        <v>0.1</v>
      </c>
      <c r="FJ6" s="102">
        <v>684050250</v>
      </c>
      <c r="FK6" s="102">
        <v>75915015</v>
      </c>
      <c r="FL6" s="102">
        <v>493941975</v>
      </c>
      <c r="FM6" s="102">
        <v>531104097</v>
      </c>
      <c r="FN6" s="151">
        <v>0.91500000000000004</v>
      </c>
      <c r="FO6" s="424">
        <v>98.8</v>
      </c>
      <c r="FP6" s="151">
        <v>23.4</v>
      </c>
      <c r="FQ6" s="424">
        <v>19.3</v>
      </c>
      <c r="FR6" s="424">
        <v>29.1</v>
      </c>
      <c r="FS6" s="151">
        <v>8.6</v>
      </c>
      <c r="FT6" s="424">
        <v>8.8000000000000007</v>
      </c>
      <c r="FU6" s="151">
        <v>8.5</v>
      </c>
      <c r="FV6" s="384">
        <f t="shared" ref="FV6:FV52" si="15">GP6</f>
        <v>9.3000000000000007</v>
      </c>
      <c r="FW6" s="102">
        <v>2473326499</v>
      </c>
      <c r="FX6" s="384">
        <f t="shared" ref="FX6:FX52" si="16">ROUND(FW6/(FJ6+FK6)*100,1)</f>
        <v>325.5</v>
      </c>
      <c r="FY6" s="102">
        <v>203674677</v>
      </c>
      <c r="FZ6" s="102">
        <v>161797296</v>
      </c>
      <c r="GA6" s="102">
        <v>3700000</v>
      </c>
      <c r="GB6" s="102">
        <v>38177381</v>
      </c>
      <c r="GC6" s="102">
        <v>0</v>
      </c>
      <c r="GD6" s="427"/>
      <c r="GE6" s="386"/>
      <c r="GF6" s="424">
        <v>99.3</v>
      </c>
      <c r="GG6" s="424">
        <v>22.1</v>
      </c>
      <c r="GH6" s="424">
        <v>97.2</v>
      </c>
      <c r="GI6" s="102">
        <v>23283</v>
      </c>
      <c r="GJ6" s="123" t="s">
        <v>646</v>
      </c>
      <c r="GK6" s="151">
        <v>11.25</v>
      </c>
      <c r="GL6" s="87">
        <v>20</v>
      </c>
      <c r="GM6" s="123" t="s">
        <v>646</v>
      </c>
      <c r="GN6" s="151">
        <v>16.25</v>
      </c>
      <c r="GO6" s="430">
        <v>30</v>
      </c>
      <c r="GP6" s="424">
        <v>9.3000000000000007</v>
      </c>
      <c r="GQ6" s="425">
        <v>25</v>
      </c>
      <c r="GR6" s="425">
        <v>35</v>
      </c>
      <c r="GS6" s="151">
        <v>141.80000000000001</v>
      </c>
      <c r="GT6" s="424">
        <v>350</v>
      </c>
      <c r="GV6" s="100">
        <f t="shared" ref="GV6:GV52" si="17">ROUND((FJ6+FK6)/1000,0)</f>
        <v>759965</v>
      </c>
    </row>
    <row r="7" spans="2:230" s="89" customFormat="1" x14ac:dyDescent="0.15">
      <c r="B7" s="72" t="s">
        <v>3</v>
      </c>
      <c r="C7" s="102">
        <v>132746566</v>
      </c>
      <c r="D7" s="73">
        <f t="shared" si="0"/>
        <v>43168598</v>
      </c>
      <c r="E7" s="102">
        <v>1256764</v>
      </c>
      <c r="F7" s="102">
        <v>41911834</v>
      </c>
      <c r="G7" s="73">
        <f t="shared" si="1"/>
        <v>11567100</v>
      </c>
      <c r="H7" s="102">
        <v>2224868</v>
      </c>
      <c r="I7" s="102">
        <v>9342232</v>
      </c>
      <c r="J7" s="102">
        <v>56215976</v>
      </c>
      <c r="K7" s="102">
        <v>22622354</v>
      </c>
      <c r="L7" s="102">
        <v>21555135</v>
      </c>
      <c r="M7" s="102">
        <v>11058540</v>
      </c>
      <c r="N7" s="102">
        <v>6306165</v>
      </c>
      <c r="O7" s="102">
        <v>10241178</v>
      </c>
      <c r="P7" s="102">
        <v>5784113</v>
      </c>
      <c r="Q7" s="102">
        <v>4457065</v>
      </c>
      <c r="R7" s="102">
        <v>2067347</v>
      </c>
      <c r="S7" s="74"/>
      <c r="T7" s="73">
        <f t="shared" si="2"/>
        <v>12296764</v>
      </c>
      <c r="U7" s="102">
        <v>447639</v>
      </c>
      <c r="V7" s="102">
        <v>1208576</v>
      </c>
      <c r="W7" s="102">
        <v>636822</v>
      </c>
      <c r="X7" s="102">
        <v>9393674</v>
      </c>
      <c r="Y7" s="102">
        <v>148454</v>
      </c>
      <c r="Z7" s="102">
        <v>0</v>
      </c>
      <c r="AA7" s="102">
        <v>461599</v>
      </c>
      <c r="AB7" s="102">
        <v>633451</v>
      </c>
      <c r="AC7" s="102">
        <v>23628775</v>
      </c>
      <c r="AD7" s="102">
        <v>22558208</v>
      </c>
      <c r="AE7" s="102">
        <v>1070567</v>
      </c>
      <c r="AF7" s="102">
        <v>294625</v>
      </c>
      <c r="AG7" s="102">
        <v>5653777</v>
      </c>
      <c r="AH7" s="73">
        <f t="shared" si="3"/>
        <v>6168279</v>
      </c>
      <c r="AI7" s="102">
        <v>3896501</v>
      </c>
      <c r="AJ7" s="102">
        <v>2271778</v>
      </c>
      <c r="AK7" s="102">
        <v>81002084</v>
      </c>
      <c r="AL7" s="73">
        <f t="shared" si="4"/>
        <v>49323301</v>
      </c>
      <c r="AM7" s="102">
        <v>35192424</v>
      </c>
      <c r="AN7" s="102">
        <v>5617129</v>
      </c>
      <c r="AO7" s="74"/>
      <c r="AP7" s="102">
        <v>8513748</v>
      </c>
      <c r="AQ7" s="102">
        <v>1021173</v>
      </c>
      <c r="AR7" s="102">
        <v>0</v>
      </c>
      <c r="AS7" s="102">
        <v>9698</v>
      </c>
      <c r="AT7" s="102">
        <v>16408772</v>
      </c>
      <c r="AU7" s="102">
        <v>8044776</v>
      </c>
      <c r="AV7" s="102">
        <v>0</v>
      </c>
      <c r="AW7" s="102">
        <v>659127</v>
      </c>
      <c r="AX7" s="102">
        <v>8363996</v>
      </c>
      <c r="AY7" s="102">
        <v>17131</v>
      </c>
      <c r="AZ7" s="102">
        <v>1681089</v>
      </c>
      <c r="BA7" s="102">
        <v>1137290</v>
      </c>
      <c r="BB7" s="102">
        <v>179867</v>
      </c>
      <c r="BC7" s="102">
        <v>3711578</v>
      </c>
      <c r="BD7" s="102">
        <v>0</v>
      </c>
      <c r="BE7" s="102">
        <v>70</v>
      </c>
      <c r="BF7" s="102">
        <v>3711187</v>
      </c>
      <c r="BG7" s="102">
        <v>0</v>
      </c>
      <c r="BH7" s="102">
        <v>2976372</v>
      </c>
      <c r="BI7" s="102">
        <v>1592465</v>
      </c>
      <c r="BJ7" s="102">
        <v>9076915</v>
      </c>
      <c r="BK7" s="102">
        <v>3189005</v>
      </c>
      <c r="BL7" s="102">
        <v>3</v>
      </c>
      <c r="BM7" s="102">
        <v>2080259</v>
      </c>
      <c r="BN7" s="102">
        <v>48801400</v>
      </c>
      <c r="BO7" s="73">
        <f t="shared" si="5"/>
        <v>22537800</v>
      </c>
      <c r="BP7" s="73">
        <f t="shared" si="6"/>
        <v>26263600</v>
      </c>
      <c r="BQ7" s="102">
        <v>0</v>
      </c>
      <c r="BR7" s="76">
        <v>0</v>
      </c>
      <c r="BS7" s="102">
        <v>26263600</v>
      </c>
      <c r="BT7" s="102">
        <v>0</v>
      </c>
      <c r="BU7" s="102">
        <v>353078550</v>
      </c>
      <c r="BV7" s="71"/>
      <c r="BW7" s="102">
        <v>48667372</v>
      </c>
      <c r="BX7" s="102">
        <v>33932621</v>
      </c>
      <c r="BY7" s="102">
        <v>4318038</v>
      </c>
      <c r="BZ7" s="102">
        <v>2460275</v>
      </c>
      <c r="CA7" s="102">
        <v>114002617</v>
      </c>
      <c r="CB7" s="102">
        <v>22554911</v>
      </c>
      <c r="CC7" s="102">
        <v>2108715</v>
      </c>
      <c r="CD7" s="102">
        <v>39078869</v>
      </c>
      <c r="CE7" s="102">
        <v>47044557</v>
      </c>
      <c r="CF7" s="102">
        <v>2471464</v>
      </c>
      <c r="CG7" s="102">
        <v>744071</v>
      </c>
      <c r="CH7" s="102">
        <v>32907325</v>
      </c>
      <c r="CI7" s="102">
        <v>27916249</v>
      </c>
      <c r="CJ7" s="83">
        <v>4923724</v>
      </c>
      <c r="CK7" s="102">
        <v>41875018</v>
      </c>
      <c r="CL7" s="102">
        <v>27307828</v>
      </c>
      <c r="CM7" s="102">
        <v>1990175</v>
      </c>
      <c r="CN7" s="102">
        <v>6936365</v>
      </c>
      <c r="CO7" s="102">
        <v>1858001</v>
      </c>
      <c r="CP7" s="102">
        <v>26745628</v>
      </c>
      <c r="CQ7" s="102">
        <v>33863</v>
      </c>
      <c r="CR7" s="102">
        <v>9799978</v>
      </c>
      <c r="CS7" s="102">
        <v>4350789</v>
      </c>
      <c r="CT7" s="73">
        <f t="shared" si="7"/>
        <v>8830191</v>
      </c>
      <c r="CU7" s="102">
        <v>6972213</v>
      </c>
      <c r="CV7" s="102">
        <v>1857978</v>
      </c>
      <c r="CW7" s="73">
        <f t="shared" si="8"/>
        <v>0</v>
      </c>
      <c r="CX7" s="102">
        <v>0</v>
      </c>
      <c r="CY7" s="102">
        <v>0</v>
      </c>
      <c r="CZ7" s="73">
        <f t="shared" si="9"/>
        <v>8692281</v>
      </c>
      <c r="DA7" s="102">
        <v>6851913</v>
      </c>
      <c r="DB7" s="102">
        <v>1840368</v>
      </c>
      <c r="DC7" s="102">
        <v>48250312</v>
      </c>
      <c r="DD7" s="102">
        <v>20627942</v>
      </c>
      <c r="DE7" s="102">
        <v>27190025</v>
      </c>
      <c r="DF7" s="102">
        <v>74610</v>
      </c>
      <c r="DG7" s="102">
        <v>0</v>
      </c>
      <c r="DH7" s="102">
        <v>0</v>
      </c>
      <c r="DI7" s="102">
        <v>2811585</v>
      </c>
      <c r="DJ7" s="102">
        <v>4400</v>
      </c>
      <c r="DK7" s="102">
        <v>841218</v>
      </c>
      <c r="DL7" s="102">
        <v>1965967</v>
      </c>
      <c r="DM7" s="102">
        <v>2307000</v>
      </c>
      <c r="DN7" s="102">
        <v>0</v>
      </c>
      <c r="DO7" s="102">
        <v>0</v>
      </c>
      <c r="DP7" s="102">
        <v>0</v>
      </c>
      <c r="DQ7" s="102">
        <v>3246728</v>
      </c>
      <c r="DR7" s="102">
        <v>0</v>
      </c>
      <c r="DS7" s="102">
        <v>0</v>
      </c>
      <c r="DT7" s="102">
        <v>27569586</v>
      </c>
      <c r="DU7" s="102">
        <v>0</v>
      </c>
      <c r="DV7" s="73">
        <f t="shared" si="10"/>
        <v>0</v>
      </c>
      <c r="DW7" s="102">
        <v>0</v>
      </c>
      <c r="DX7" s="102">
        <v>9632326</v>
      </c>
      <c r="DY7" s="102">
        <v>203</v>
      </c>
      <c r="DZ7" s="102">
        <v>8468864</v>
      </c>
      <c r="EA7" s="74">
        <v>0</v>
      </c>
      <c r="EB7" s="102">
        <v>9353920</v>
      </c>
      <c r="EC7" s="102">
        <v>0</v>
      </c>
      <c r="ED7" s="102">
        <v>350241172</v>
      </c>
      <c r="EE7" s="71"/>
      <c r="EF7" s="102">
        <v>2837378</v>
      </c>
      <c r="EG7" s="102">
        <v>1097186</v>
      </c>
      <c r="EH7" s="102">
        <v>1740192</v>
      </c>
      <c r="EI7" s="102">
        <v>147727</v>
      </c>
      <c r="EJ7" s="102">
        <v>152127</v>
      </c>
      <c r="EK7" s="71"/>
      <c r="EL7" s="102"/>
      <c r="EM7" s="102">
        <v>847719</v>
      </c>
      <c r="EN7" s="102">
        <v>168907</v>
      </c>
      <c r="EO7" s="102">
        <v>598399</v>
      </c>
      <c r="EP7" s="73">
        <f t="shared" si="11"/>
        <v>13064178</v>
      </c>
      <c r="EQ7" s="102">
        <v>177418417</v>
      </c>
      <c r="ER7" s="71">
        <v>-34049570</v>
      </c>
      <c r="ES7" s="102">
        <v>44652763</v>
      </c>
      <c r="ET7" s="102">
        <v>30645401</v>
      </c>
      <c r="EU7" s="102">
        <v>35058183</v>
      </c>
      <c r="EV7" s="102">
        <v>32594356</v>
      </c>
      <c r="EW7" s="73">
        <f t="shared" si="12"/>
        <v>11250949</v>
      </c>
      <c r="EX7" s="102">
        <v>11250949</v>
      </c>
      <c r="EY7" s="102">
        <v>369964</v>
      </c>
      <c r="EZ7" s="102">
        <v>10828240</v>
      </c>
      <c r="FA7" s="102">
        <v>0</v>
      </c>
      <c r="FB7" s="102">
        <v>0</v>
      </c>
      <c r="FC7" s="102">
        <v>34136173</v>
      </c>
      <c r="FD7" s="102">
        <v>24369342</v>
      </c>
      <c r="FE7" s="102">
        <v>33863</v>
      </c>
      <c r="FF7" s="102">
        <v>22520854</v>
      </c>
      <c r="FG7" s="73">
        <f t="shared" si="13"/>
        <v>4087689</v>
      </c>
      <c r="FH7" s="102">
        <v>208670309</v>
      </c>
      <c r="FI7" s="379">
        <f t="shared" si="14"/>
        <v>0.9</v>
      </c>
      <c r="FJ7" s="102">
        <v>163114189</v>
      </c>
      <c r="FK7" s="102">
        <v>26263682</v>
      </c>
      <c r="FL7" s="102">
        <v>108079909</v>
      </c>
      <c r="FM7" s="102">
        <v>130638117</v>
      </c>
      <c r="FN7" s="151">
        <v>0.83899999999999997</v>
      </c>
      <c r="FO7" s="424">
        <v>95.3</v>
      </c>
      <c r="FP7" s="151">
        <v>22.9</v>
      </c>
      <c r="FQ7" s="424">
        <v>18</v>
      </c>
      <c r="FR7" s="424">
        <v>16.8</v>
      </c>
      <c r="FS7" s="151">
        <v>15.7</v>
      </c>
      <c r="FT7" s="424">
        <v>9.8000000000000007</v>
      </c>
      <c r="FU7" s="151">
        <v>11.4</v>
      </c>
      <c r="FV7" s="384">
        <f t="shared" si="15"/>
        <v>5.4</v>
      </c>
      <c r="FW7" s="102">
        <v>385678396</v>
      </c>
      <c r="FX7" s="384">
        <f t="shared" si="16"/>
        <v>203.7</v>
      </c>
      <c r="FY7" s="102">
        <v>39353809</v>
      </c>
      <c r="FZ7" s="102">
        <v>1809000</v>
      </c>
      <c r="GA7" s="102">
        <v>4240659</v>
      </c>
      <c r="GB7" s="102">
        <v>33304150</v>
      </c>
      <c r="GC7" s="102">
        <v>0</v>
      </c>
      <c r="GD7" s="427">
        <v>8362</v>
      </c>
      <c r="GE7" s="386">
        <f>IF(GD7=0,"-",ROUND(GD7/(GV7)*100,1))</f>
        <v>4.4000000000000004</v>
      </c>
      <c r="GF7" s="424">
        <v>98.9</v>
      </c>
      <c r="GG7" s="424">
        <v>31.5</v>
      </c>
      <c r="GH7" s="424">
        <v>96</v>
      </c>
      <c r="GI7" s="102">
        <v>4873</v>
      </c>
      <c r="GJ7" s="123" t="s">
        <v>646</v>
      </c>
      <c r="GK7" s="151">
        <v>11.25</v>
      </c>
      <c r="GL7" s="87">
        <v>20</v>
      </c>
      <c r="GM7" s="123" t="s">
        <v>646</v>
      </c>
      <c r="GN7" s="151">
        <v>16.25</v>
      </c>
      <c r="GO7" s="430">
        <v>30</v>
      </c>
      <c r="GP7" s="424">
        <v>5.4</v>
      </c>
      <c r="GQ7" s="425">
        <v>25</v>
      </c>
      <c r="GR7" s="425">
        <v>35</v>
      </c>
      <c r="GS7" s="151">
        <v>21.9</v>
      </c>
      <c r="GT7" s="424">
        <v>350</v>
      </c>
      <c r="GV7" s="100">
        <f t="shared" si="17"/>
        <v>189378</v>
      </c>
    </row>
    <row r="8" spans="2:230" x14ac:dyDescent="0.15">
      <c r="B8" s="89" t="s">
        <v>5</v>
      </c>
      <c r="C8" s="102">
        <v>24474350</v>
      </c>
      <c r="D8" s="73">
        <f t="shared" si="0"/>
        <v>8733486</v>
      </c>
      <c r="E8" s="102">
        <v>288223</v>
      </c>
      <c r="F8" s="102">
        <v>8445263</v>
      </c>
      <c r="G8" s="73">
        <f t="shared" si="1"/>
        <v>1751722</v>
      </c>
      <c r="H8" s="102">
        <v>430797</v>
      </c>
      <c r="I8" s="102">
        <v>1320925</v>
      </c>
      <c r="J8" s="102">
        <v>10117682</v>
      </c>
      <c r="K8" s="102">
        <v>4132679</v>
      </c>
      <c r="L8" s="102">
        <v>4246979</v>
      </c>
      <c r="M8" s="102">
        <v>1468236</v>
      </c>
      <c r="N8" s="102">
        <v>1586991</v>
      </c>
      <c r="O8" s="102">
        <v>1969463</v>
      </c>
      <c r="P8" s="102">
        <v>1102939</v>
      </c>
      <c r="Q8" s="102">
        <v>866524</v>
      </c>
      <c r="R8" s="102">
        <v>322808</v>
      </c>
      <c r="S8" s="74"/>
      <c r="T8" s="73">
        <f t="shared" si="2"/>
        <v>2783086</v>
      </c>
      <c r="U8" s="102">
        <v>90603</v>
      </c>
      <c r="V8" s="102">
        <v>245049</v>
      </c>
      <c r="W8" s="102">
        <v>129267</v>
      </c>
      <c r="X8" s="102">
        <v>2193868</v>
      </c>
      <c r="Y8" s="102">
        <v>46051</v>
      </c>
      <c r="Z8" s="102">
        <v>0</v>
      </c>
      <c r="AA8" s="102">
        <v>78248</v>
      </c>
      <c r="AB8" s="102">
        <v>140258</v>
      </c>
      <c r="AC8" s="102">
        <v>14097716</v>
      </c>
      <c r="AD8" s="102">
        <v>13834228</v>
      </c>
      <c r="AE8" s="102">
        <v>263486</v>
      </c>
      <c r="AF8" s="102">
        <v>35183</v>
      </c>
      <c r="AG8" s="102">
        <v>804800</v>
      </c>
      <c r="AH8" s="73">
        <f t="shared" si="3"/>
        <v>1351591</v>
      </c>
      <c r="AI8" s="102">
        <v>1010099</v>
      </c>
      <c r="AJ8" s="102">
        <v>341492</v>
      </c>
      <c r="AK8" s="102">
        <v>15845861</v>
      </c>
      <c r="AL8" s="73">
        <f t="shared" si="4"/>
        <v>10130791</v>
      </c>
      <c r="AM8" s="102">
        <v>7683160</v>
      </c>
      <c r="AN8" s="102">
        <v>1007906</v>
      </c>
      <c r="AO8" s="74"/>
      <c r="AP8" s="102">
        <v>1439725</v>
      </c>
      <c r="AQ8" s="102">
        <v>283097</v>
      </c>
      <c r="AR8" s="102">
        <v>0</v>
      </c>
      <c r="AS8" s="102">
        <v>0</v>
      </c>
      <c r="AT8" s="102">
        <v>4763800</v>
      </c>
      <c r="AU8" s="102">
        <v>3387654</v>
      </c>
      <c r="AV8" s="102">
        <v>502132</v>
      </c>
      <c r="AW8" s="102">
        <v>155229</v>
      </c>
      <c r="AX8" s="102">
        <v>1376146</v>
      </c>
      <c r="AY8" s="102">
        <v>91028</v>
      </c>
      <c r="AZ8" s="102">
        <v>320130</v>
      </c>
      <c r="BA8" s="102">
        <v>152917</v>
      </c>
      <c r="BB8" s="102">
        <v>47719</v>
      </c>
      <c r="BC8" s="102">
        <v>917699</v>
      </c>
      <c r="BD8" s="102">
        <v>0</v>
      </c>
      <c r="BE8" s="102">
        <v>0</v>
      </c>
      <c r="BF8" s="102">
        <v>770702</v>
      </c>
      <c r="BG8" s="102">
        <v>0</v>
      </c>
      <c r="BH8" s="102">
        <v>99370</v>
      </c>
      <c r="BI8" s="102">
        <v>45321</v>
      </c>
      <c r="BJ8" s="102">
        <v>1448940</v>
      </c>
      <c r="BK8" s="102">
        <v>0</v>
      </c>
      <c r="BL8" s="102">
        <v>0</v>
      </c>
      <c r="BM8" s="102">
        <v>621819</v>
      </c>
      <c r="BN8" s="102">
        <v>5527600</v>
      </c>
      <c r="BO8" s="73">
        <f t="shared" si="5"/>
        <v>1844600</v>
      </c>
      <c r="BP8" s="73">
        <f t="shared" si="6"/>
        <v>3473000</v>
      </c>
      <c r="BQ8" s="102">
        <v>0</v>
      </c>
      <c r="BR8" s="102">
        <v>0</v>
      </c>
      <c r="BS8" s="102">
        <v>3473000</v>
      </c>
      <c r="BT8" s="102">
        <v>210000</v>
      </c>
      <c r="BU8" s="102">
        <v>72980911</v>
      </c>
      <c r="BV8" s="71"/>
      <c r="BW8" s="102">
        <v>11828597</v>
      </c>
      <c r="BX8" s="102">
        <v>8192706</v>
      </c>
      <c r="BY8" s="102">
        <v>884194</v>
      </c>
      <c r="BZ8" s="102">
        <v>584107</v>
      </c>
      <c r="CA8" s="102">
        <v>24002021</v>
      </c>
      <c r="CB8" s="102">
        <v>4104076</v>
      </c>
      <c r="CC8" s="102">
        <v>375731</v>
      </c>
      <c r="CD8" s="102">
        <v>8992462</v>
      </c>
      <c r="CE8" s="102">
        <v>10061598</v>
      </c>
      <c r="CF8" s="102">
        <v>5633</v>
      </c>
      <c r="CG8" s="102">
        <v>461141</v>
      </c>
      <c r="CH8" s="102">
        <v>9730747</v>
      </c>
      <c r="CI8" s="102">
        <v>8538738</v>
      </c>
      <c r="CJ8" s="83">
        <f t="shared" ref="CJ8:CJ52" si="18">IF(CI8="","",CH8-CI8)</f>
        <v>1192009</v>
      </c>
      <c r="CK8" s="102">
        <v>7135559</v>
      </c>
      <c r="CL8" s="102">
        <v>4437987</v>
      </c>
      <c r="CM8" s="102">
        <v>414113</v>
      </c>
      <c r="CN8" s="102">
        <v>898078</v>
      </c>
      <c r="CO8" s="102">
        <v>579057</v>
      </c>
      <c r="CP8" s="102">
        <v>8059258</v>
      </c>
      <c r="CQ8" s="102">
        <v>2259922</v>
      </c>
      <c r="CR8" s="102">
        <v>1257065</v>
      </c>
      <c r="CS8" s="102">
        <v>1038356</v>
      </c>
      <c r="CT8" s="73">
        <f t="shared" si="7"/>
        <v>3629416</v>
      </c>
      <c r="CU8" s="102">
        <v>2378973</v>
      </c>
      <c r="CV8" s="102">
        <v>1250443</v>
      </c>
      <c r="CW8" s="73">
        <f t="shared" si="8"/>
        <v>1300000</v>
      </c>
      <c r="CX8" s="102">
        <v>1245619</v>
      </c>
      <c r="CY8" s="102">
        <v>54381</v>
      </c>
      <c r="CZ8" s="73">
        <f t="shared" si="9"/>
        <v>2294282</v>
      </c>
      <c r="DA8" s="102">
        <v>1100445</v>
      </c>
      <c r="DB8" s="102">
        <v>1193837</v>
      </c>
      <c r="DC8" s="102">
        <v>3846263</v>
      </c>
      <c r="DD8" s="102">
        <v>2097720</v>
      </c>
      <c r="DE8" s="102">
        <v>1704339</v>
      </c>
      <c r="DF8" s="77">
        <v>44204</v>
      </c>
      <c r="DG8" s="78">
        <v>0</v>
      </c>
      <c r="DH8" s="102">
        <v>41088</v>
      </c>
      <c r="DI8" s="102">
        <v>89361</v>
      </c>
      <c r="DJ8" s="102">
        <v>5392</v>
      </c>
      <c r="DK8" s="102">
        <v>1336</v>
      </c>
      <c r="DL8" s="102">
        <v>82633</v>
      </c>
      <c r="DM8" s="102">
        <v>515641</v>
      </c>
      <c r="DN8" s="102">
        <v>515641</v>
      </c>
      <c r="DO8" s="102">
        <v>55776</v>
      </c>
      <c r="DP8" s="102">
        <v>100000</v>
      </c>
      <c r="DQ8" s="102">
        <v>0</v>
      </c>
      <c r="DR8" s="102">
        <v>0</v>
      </c>
      <c r="DS8" s="102">
        <v>0</v>
      </c>
      <c r="DT8" s="102">
        <v>6474154</v>
      </c>
      <c r="DU8" s="102">
        <v>0</v>
      </c>
      <c r="DV8" s="73">
        <f t="shared" si="10"/>
        <v>0</v>
      </c>
      <c r="DW8" s="102">
        <v>0</v>
      </c>
      <c r="DX8" s="102">
        <v>2393260</v>
      </c>
      <c r="DY8" s="102">
        <v>0</v>
      </c>
      <c r="DZ8" s="102">
        <v>1989639</v>
      </c>
      <c r="EA8" s="74">
        <v>0</v>
      </c>
      <c r="EB8" s="102">
        <v>2091255</v>
      </c>
      <c r="EC8" s="102">
        <v>0</v>
      </c>
      <c r="ED8" s="102">
        <v>72301746</v>
      </c>
      <c r="EE8" s="71"/>
      <c r="EF8" s="102">
        <v>679165</v>
      </c>
      <c r="EG8" s="102">
        <v>606207</v>
      </c>
      <c r="EH8" s="102">
        <v>72958</v>
      </c>
      <c r="EI8" s="102">
        <v>-22363</v>
      </c>
      <c r="EJ8" s="102">
        <v>-16971</v>
      </c>
      <c r="EK8" s="71"/>
      <c r="EL8" s="102"/>
      <c r="EM8" s="102">
        <v>200148</v>
      </c>
      <c r="EN8" s="102">
        <v>398844</v>
      </c>
      <c r="EO8" s="102">
        <v>311169</v>
      </c>
      <c r="EP8" s="73">
        <f t="shared" si="11"/>
        <v>2173657</v>
      </c>
      <c r="EQ8" s="102">
        <v>41853401</v>
      </c>
      <c r="ER8" s="71">
        <v>-6321487</v>
      </c>
      <c r="ES8" s="102">
        <v>10731068</v>
      </c>
      <c r="ET8" s="102">
        <v>7336596</v>
      </c>
      <c r="EU8" s="102">
        <v>6594658</v>
      </c>
      <c r="EV8" s="102">
        <v>9658638</v>
      </c>
      <c r="EW8" s="73">
        <f t="shared" si="12"/>
        <v>990123</v>
      </c>
      <c r="EX8" s="102">
        <v>987936</v>
      </c>
      <c r="EY8" s="102">
        <v>109781</v>
      </c>
      <c r="EZ8" s="102">
        <v>870561</v>
      </c>
      <c r="FA8" s="102">
        <v>2187</v>
      </c>
      <c r="FB8" s="102">
        <v>0</v>
      </c>
      <c r="FC8" s="102">
        <v>5894688</v>
      </c>
      <c r="FD8" s="102">
        <v>7438637</v>
      </c>
      <c r="FE8" s="102">
        <v>2259922</v>
      </c>
      <c r="FF8" s="102">
        <v>5231108</v>
      </c>
      <c r="FG8" s="73">
        <f t="shared" si="13"/>
        <v>956803</v>
      </c>
      <c r="FH8" s="102">
        <v>47495723</v>
      </c>
      <c r="FI8" s="379">
        <f t="shared" si="14"/>
        <v>0.2</v>
      </c>
      <c r="FJ8" s="102">
        <v>39188629</v>
      </c>
      <c r="FK8" s="102">
        <v>3473068</v>
      </c>
      <c r="FL8" s="102">
        <v>19639753</v>
      </c>
      <c r="FM8" s="102">
        <v>33354250</v>
      </c>
      <c r="FN8" s="428">
        <v>0.58299999999999996</v>
      </c>
      <c r="FO8" s="424">
        <v>99.1</v>
      </c>
      <c r="FP8" s="425">
        <v>24.2</v>
      </c>
      <c r="FQ8" s="424">
        <v>15.1</v>
      </c>
      <c r="FR8" s="424">
        <v>22.1</v>
      </c>
      <c r="FS8" s="425">
        <v>12.4</v>
      </c>
      <c r="FT8" s="424">
        <v>13.2</v>
      </c>
      <c r="FU8" s="425">
        <v>10.8</v>
      </c>
      <c r="FV8" s="384">
        <f t="shared" si="15"/>
        <v>13.9</v>
      </c>
      <c r="FW8" s="102">
        <v>77187228</v>
      </c>
      <c r="FX8" s="384">
        <f t="shared" si="16"/>
        <v>180.9</v>
      </c>
      <c r="FY8" s="102">
        <v>6379084</v>
      </c>
      <c r="FZ8" s="102">
        <v>2837778</v>
      </c>
      <c r="GA8" s="102">
        <v>679373</v>
      </c>
      <c r="GB8" s="102">
        <v>2861933</v>
      </c>
      <c r="GC8" s="102">
        <v>0</v>
      </c>
      <c r="GD8" s="427"/>
      <c r="GE8" s="386"/>
      <c r="GF8" s="424">
        <v>99</v>
      </c>
      <c r="GG8" s="424">
        <v>33.9</v>
      </c>
      <c r="GH8" s="424">
        <v>96.4</v>
      </c>
      <c r="GI8" s="102">
        <v>1300</v>
      </c>
      <c r="GJ8" s="429" t="s">
        <v>646</v>
      </c>
      <c r="GK8" s="429">
        <v>11.39</v>
      </c>
      <c r="GL8" s="87">
        <v>20</v>
      </c>
      <c r="GM8" s="429" t="s">
        <v>646</v>
      </c>
      <c r="GN8" s="430">
        <v>16.39</v>
      </c>
      <c r="GO8" s="430">
        <v>30</v>
      </c>
      <c r="GP8" s="425">
        <v>13.9</v>
      </c>
      <c r="GQ8" s="425">
        <v>25</v>
      </c>
      <c r="GR8" s="425">
        <v>35</v>
      </c>
      <c r="GS8" s="431">
        <v>76.2</v>
      </c>
      <c r="GT8" s="425">
        <v>350</v>
      </c>
      <c r="GU8" s="394"/>
      <c r="GV8" s="100">
        <f t="shared" si="17"/>
        <v>42662</v>
      </c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</row>
    <row r="9" spans="2:230" x14ac:dyDescent="0.15">
      <c r="B9" s="89" t="s">
        <v>7</v>
      </c>
      <c r="C9" s="102">
        <v>66667598</v>
      </c>
      <c r="D9" s="73">
        <f t="shared" si="0"/>
        <v>28010014</v>
      </c>
      <c r="E9" s="102">
        <v>621815</v>
      </c>
      <c r="F9" s="102">
        <v>27388199</v>
      </c>
      <c r="G9" s="73">
        <f t="shared" si="1"/>
        <v>4898375</v>
      </c>
      <c r="H9" s="102">
        <v>1090084</v>
      </c>
      <c r="I9" s="102">
        <v>3808291</v>
      </c>
      <c r="J9" s="102">
        <v>24196347</v>
      </c>
      <c r="K9" s="102">
        <v>9967627</v>
      </c>
      <c r="L9" s="102">
        <v>11352802</v>
      </c>
      <c r="M9" s="102">
        <v>2662625</v>
      </c>
      <c r="N9" s="102">
        <v>2651278</v>
      </c>
      <c r="O9" s="102">
        <v>5661724</v>
      </c>
      <c r="P9" s="102">
        <v>3110614</v>
      </c>
      <c r="Q9" s="102">
        <v>2551110</v>
      </c>
      <c r="R9" s="102">
        <v>2749209</v>
      </c>
      <c r="S9" s="74"/>
      <c r="T9" s="73">
        <f t="shared" si="2"/>
        <v>5795411</v>
      </c>
      <c r="U9" s="102">
        <v>287125</v>
      </c>
      <c r="V9" s="102">
        <v>775854</v>
      </c>
      <c r="W9" s="102">
        <v>409033</v>
      </c>
      <c r="X9" s="102">
        <v>4184018</v>
      </c>
      <c r="Y9" s="102">
        <v>0</v>
      </c>
      <c r="Z9" s="102">
        <v>0</v>
      </c>
      <c r="AA9" s="102">
        <v>139381</v>
      </c>
      <c r="AB9" s="102">
        <v>252690</v>
      </c>
      <c r="AC9" s="102">
        <v>6468580</v>
      </c>
      <c r="AD9" s="102">
        <v>5908459</v>
      </c>
      <c r="AE9" s="102">
        <v>560118</v>
      </c>
      <c r="AF9" s="102">
        <v>48867</v>
      </c>
      <c r="AG9" s="102">
        <v>1198616</v>
      </c>
      <c r="AH9" s="73">
        <f t="shared" si="3"/>
        <v>2654225</v>
      </c>
      <c r="AI9" s="102">
        <v>2368982</v>
      </c>
      <c r="AJ9" s="102">
        <v>285243</v>
      </c>
      <c r="AK9" s="102">
        <v>28605613</v>
      </c>
      <c r="AL9" s="73">
        <f t="shared" si="4"/>
        <v>18458799</v>
      </c>
      <c r="AM9" s="102">
        <v>13862173</v>
      </c>
      <c r="AN9" s="102">
        <v>1506481</v>
      </c>
      <c r="AO9" s="74"/>
      <c r="AP9" s="102">
        <v>3090145</v>
      </c>
      <c r="AQ9" s="102">
        <v>1440703</v>
      </c>
      <c r="AR9" s="102">
        <v>0</v>
      </c>
      <c r="AS9" s="102">
        <v>0</v>
      </c>
      <c r="AT9" s="102">
        <v>7589093</v>
      </c>
      <c r="AU9" s="102">
        <v>5636226</v>
      </c>
      <c r="AV9" s="102">
        <v>0</v>
      </c>
      <c r="AW9" s="102">
        <v>444480</v>
      </c>
      <c r="AX9" s="102">
        <v>1952867</v>
      </c>
      <c r="AY9" s="102">
        <v>62603</v>
      </c>
      <c r="AZ9" s="102">
        <v>1557481</v>
      </c>
      <c r="BA9" s="102">
        <v>1465593</v>
      </c>
      <c r="BB9" s="102">
        <v>58622</v>
      </c>
      <c r="BC9" s="102">
        <v>3225024</v>
      </c>
      <c r="BD9" s="102">
        <v>0</v>
      </c>
      <c r="BE9" s="102">
        <v>900000</v>
      </c>
      <c r="BF9" s="102">
        <v>2281635</v>
      </c>
      <c r="BG9" s="102">
        <v>0</v>
      </c>
      <c r="BH9" s="102">
        <v>5650047</v>
      </c>
      <c r="BI9" s="102">
        <v>4207347</v>
      </c>
      <c r="BJ9" s="102">
        <v>2810797</v>
      </c>
      <c r="BK9" s="102">
        <v>297930</v>
      </c>
      <c r="BL9" s="102">
        <v>0</v>
      </c>
      <c r="BM9" s="102">
        <v>78665</v>
      </c>
      <c r="BN9" s="102">
        <v>10436900</v>
      </c>
      <c r="BO9" s="73">
        <f t="shared" si="5"/>
        <v>3336900</v>
      </c>
      <c r="BP9" s="73">
        <f t="shared" si="6"/>
        <v>7100000</v>
      </c>
      <c r="BQ9" s="102">
        <v>0</v>
      </c>
      <c r="BR9" s="102">
        <v>0</v>
      </c>
      <c r="BS9" s="102">
        <v>7100000</v>
      </c>
      <c r="BT9" s="102">
        <v>0</v>
      </c>
      <c r="BU9" s="102">
        <v>145768773</v>
      </c>
      <c r="BV9" s="71"/>
      <c r="BW9" s="102">
        <v>26960775</v>
      </c>
      <c r="BX9" s="102">
        <v>17548863</v>
      </c>
      <c r="BY9" s="102">
        <v>2218122</v>
      </c>
      <c r="BZ9" s="102">
        <v>2697005</v>
      </c>
      <c r="CA9" s="102">
        <v>41802964</v>
      </c>
      <c r="CB9" s="102">
        <v>8073558</v>
      </c>
      <c r="CC9" s="102">
        <v>696260</v>
      </c>
      <c r="CD9" s="102">
        <v>14019606</v>
      </c>
      <c r="CE9" s="102">
        <v>18478683</v>
      </c>
      <c r="CF9" s="102">
        <v>219305</v>
      </c>
      <c r="CG9" s="102">
        <v>314860</v>
      </c>
      <c r="CH9" s="102">
        <v>13793700</v>
      </c>
      <c r="CI9" s="102">
        <v>12607023</v>
      </c>
      <c r="CJ9" s="83">
        <f t="shared" si="18"/>
        <v>1186677</v>
      </c>
      <c r="CK9" s="102">
        <v>15068527</v>
      </c>
      <c r="CL9" s="102">
        <v>7972538</v>
      </c>
      <c r="CM9" s="102">
        <v>561168</v>
      </c>
      <c r="CN9" s="102">
        <v>3731990</v>
      </c>
      <c r="CO9" s="102">
        <v>610343</v>
      </c>
      <c r="CP9" s="102">
        <v>13760641</v>
      </c>
      <c r="CQ9" s="102">
        <v>1906807</v>
      </c>
      <c r="CR9" s="102">
        <v>3096312</v>
      </c>
      <c r="CS9" s="102">
        <v>1623625</v>
      </c>
      <c r="CT9" s="73">
        <f t="shared" si="7"/>
        <v>5244984</v>
      </c>
      <c r="CU9" s="102">
        <v>4750057</v>
      </c>
      <c r="CV9" s="102">
        <v>494927</v>
      </c>
      <c r="CW9" s="73">
        <f t="shared" si="8"/>
        <v>2162754</v>
      </c>
      <c r="CX9" s="102">
        <v>1865979</v>
      </c>
      <c r="CY9" s="102">
        <v>296775</v>
      </c>
      <c r="CZ9" s="73">
        <f t="shared" si="9"/>
        <v>2828311</v>
      </c>
      <c r="DA9" s="102">
        <v>2687048</v>
      </c>
      <c r="DB9" s="102">
        <v>141263</v>
      </c>
      <c r="DC9" s="102">
        <v>14309224</v>
      </c>
      <c r="DD9" s="102">
        <v>6729746</v>
      </c>
      <c r="DE9" s="102">
        <v>7541723</v>
      </c>
      <c r="DF9" s="77">
        <v>37755</v>
      </c>
      <c r="DG9" s="78">
        <v>0</v>
      </c>
      <c r="DH9" s="102">
        <v>0</v>
      </c>
      <c r="DI9" s="102">
        <v>3141094</v>
      </c>
      <c r="DJ9" s="102">
        <v>1500536</v>
      </c>
      <c r="DK9" s="102">
        <v>6690</v>
      </c>
      <c r="DL9" s="102">
        <v>1633868</v>
      </c>
      <c r="DM9" s="102">
        <v>0</v>
      </c>
      <c r="DN9" s="102">
        <v>0</v>
      </c>
      <c r="DO9" s="102">
        <v>0</v>
      </c>
      <c r="DP9" s="102">
        <v>0</v>
      </c>
      <c r="DQ9" s="102">
        <v>236449</v>
      </c>
      <c r="DR9" s="102">
        <v>0</v>
      </c>
      <c r="DS9" s="102">
        <v>0</v>
      </c>
      <c r="DT9" s="102">
        <v>12644040</v>
      </c>
      <c r="DU9" s="102">
        <v>0</v>
      </c>
      <c r="DV9" s="73">
        <f t="shared" si="10"/>
        <v>0</v>
      </c>
      <c r="DW9" s="102">
        <v>0</v>
      </c>
      <c r="DX9" s="102">
        <v>4047887</v>
      </c>
      <c r="DY9" s="102">
        <v>0</v>
      </c>
      <c r="DZ9" s="102">
        <v>4185952</v>
      </c>
      <c r="EA9" s="74">
        <v>0</v>
      </c>
      <c r="EB9" s="102">
        <v>3931749</v>
      </c>
      <c r="EC9" s="102">
        <v>0</v>
      </c>
      <c r="ED9" s="102">
        <v>142327757</v>
      </c>
      <c r="EE9" s="71"/>
      <c r="EF9" s="102">
        <v>3441016</v>
      </c>
      <c r="EG9" s="102">
        <v>2045185</v>
      </c>
      <c r="EH9" s="102">
        <v>1395831</v>
      </c>
      <c r="EI9" s="102">
        <v>-2811516</v>
      </c>
      <c r="EJ9" s="102">
        <v>-1310980</v>
      </c>
      <c r="EK9" s="71"/>
      <c r="EL9" s="102"/>
      <c r="EM9" s="102">
        <v>401007</v>
      </c>
      <c r="EN9" s="102">
        <v>900000</v>
      </c>
      <c r="EO9" s="102">
        <v>1540656</v>
      </c>
      <c r="EP9" s="73">
        <f t="shared" si="11"/>
        <v>5985257</v>
      </c>
      <c r="EQ9" s="102">
        <v>81982355</v>
      </c>
      <c r="ER9" s="71">
        <v>-15477046</v>
      </c>
      <c r="ES9" s="102">
        <v>25387835</v>
      </c>
      <c r="ET9" s="102">
        <v>16712735</v>
      </c>
      <c r="EU9" s="102">
        <v>11874872</v>
      </c>
      <c r="EV9" s="102">
        <v>13736053</v>
      </c>
      <c r="EW9" s="73">
        <f t="shared" si="12"/>
        <v>4739913</v>
      </c>
      <c r="EX9" s="102">
        <v>4739913</v>
      </c>
      <c r="EY9" s="102">
        <v>1009439</v>
      </c>
      <c r="EZ9" s="102">
        <v>3726619</v>
      </c>
      <c r="FA9" s="102">
        <v>0</v>
      </c>
      <c r="FB9" s="102">
        <v>0</v>
      </c>
      <c r="FC9" s="102">
        <v>11408413</v>
      </c>
      <c r="FD9" s="102">
        <v>12431639</v>
      </c>
      <c r="FE9" s="102">
        <v>1806807</v>
      </c>
      <c r="FF9" s="102">
        <v>10565131</v>
      </c>
      <c r="FG9" s="73">
        <f t="shared" si="13"/>
        <v>3874529</v>
      </c>
      <c r="FH9" s="102">
        <v>94018385</v>
      </c>
      <c r="FI9" s="379">
        <f t="shared" si="14"/>
        <v>1.7</v>
      </c>
      <c r="FJ9" s="102">
        <v>73469190</v>
      </c>
      <c r="FK9" s="102">
        <v>7535067</v>
      </c>
      <c r="FL9" s="102">
        <v>51809274</v>
      </c>
      <c r="FM9" s="102">
        <v>57717733</v>
      </c>
      <c r="FN9" s="428">
        <v>0.89100000000000001</v>
      </c>
      <c r="FO9" s="424">
        <v>93.2</v>
      </c>
      <c r="FP9" s="425">
        <v>29.8</v>
      </c>
      <c r="FQ9" s="424">
        <v>14.2</v>
      </c>
      <c r="FR9" s="424">
        <v>16.399999999999999</v>
      </c>
      <c r="FS9" s="425">
        <v>12.4</v>
      </c>
      <c r="FT9" s="424">
        <v>9.6</v>
      </c>
      <c r="FU9" s="425">
        <v>10.1</v>
      </c>
      <c r="FV9" s="384">
        <f t="shared" si="15"/>
        <v>8</v>
      </c>
      <c r="FW9" s="102">
        <v>91681797</v>
      </c>
      <c r="FX9" s="384">
        <f t="shared" si="16"/>
        <v>113.2</v>
      </c>
      <c r="FY9" s="102">
        <v>15909546</v>
      </c>
      <c r="FZ9" s="102">
        <v>3057657</v>
      </c>
      <c r="GA9" s="102">
        <v>3582307</v>
      </c>
      <c r="GB9" s="102">
        <v>9269582</v>
      </c>
      <c r="GC9" s="102">
        <v>0</v>
      </c>
      <c r="GD9" s="427"/>
      <c r="GE9" s="386"/>
      <c r="GF9" s="424">
        <v>98.6</v>
      </c>
      <c r="GG9" s="424">
        <v>19.8</v>
      </c>
      <c r="GH9" s="424">
        <v>94.3</v>
      </c>
      <c r="GI9" s="102">
        <v>2525</v>
      </c>
      <c r="GJ9" s="429" t="s">
        <v>646</v>
      </c>
      <c r="GK9" s="429">
        <v>11.25</v>
      </c>
      <c r="GL9" s="87">
        <v>20</v>
      </c>
      <c r="GM9" s="429" t="s">
        <v>646</v>
      </c>
      <c r="GN9" s="430">
        <v>16.25</v>
      </c>
      <c r="GO9" s="430">
        <v>30</v>
      </c>
      <c r="GP9" s="425">
        <v>8</v>
      </c>
      <c r="GQ9" s="425">
        <v>25</v>
      </c>
      <c r="GR9" s="425">
        <v>35</v>
      </c>
      <c r="GS9" s="431">
        <v>14.1</v>
      </c>
      <c r="GT9" s="425">
        <v>350</v>
      </c>
      <c r="GU9" s="394"/>
      <c r="GV9" s="100">
        <f t="shared" si="17"/>
        <v>81004</v>
      </c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</row>
    <row r="10" spans="2:230" x14ac:dyDescent="0.15">
      <c r="B10" s="89" t="s">
        <v>9</v>
      </c>
      <c r="C10" s="102">
        <v>16099801</v>
      </c>
      <c r="D10" s="73">
        <f t="shared" si="0"/>
        <v>6622686</v>
      </c>
      <c r="E10" s="102">
        <v>163982</v>
      </c>
      <c r="F10" s="102">
        <v>6458704</v>
      </c>
      <c r="G10" s="73">
        <f t="shared" si="1"/>
        <v>1310029</v>
      </c>
      <c r="H10" s="102">
        <v>276355</v>
      </c>
      <c r="I10" s="102">
        <v>1033674</v>
      </c>
      <c r="J10" s="102">
        <v>6054538</v>
      </c>
      <c r="K10" s="102">
        <v>2723092</v>
      </c>
      <c r="L10" s="102">
        <v>2665561</v>
      </c>
      <c r="M10" s="102">
        <v>652650</v>
      </c>
      <c r="N10" s="102">
        <v>631520</v>
      </c>
      <c r="O10" s="102">
        <v>1393604</v>
      </c>
      <c r="P10" s="102">
        <v>825173</v>
      </c>
      <c r="Q10" s="102">
        <v>568431</v>
      </c>
      <c r="R10" s="102">
        <v>199251</v>
      </c>
      <c r="S10" s="74"/>
      <c r="T10" s="73">
        <f t="shared" si="2"/>
        <v>1682450</v>
      </c>
      <c r="U10" s="102">
        <v>70345</v>
      </c>
      <c r="V10" s="102">
        <v>189381</v>
      </c>
      <c r="W10" s="102">
        <v>99602</v>
      </c>
      <c r="X10" s="102">
        <v>1219564</v>
      </c>
      <c r="Y10" s="102">
        <v>63805</v>
      </c>
      <c r="Z10" s="102">
        <v>0</v>
      </c>
      <c r="AA10" s="102">
        <v>39753</v>
      </c>
      <c r="AB10" s="102">
        <v>68762</v>
      </c>
      <c r="AC10" s="102">
        <v>2813868</v>
      </c>
      <c r="AD10" s="102">
        <v>2242590</v>
      </c>
      <c r="AE10" s="102">
        <v>571277</v>
      </c>
      <c r="AF10" s="102">
        <v>14907</v>
      </c>
      <c r="AG10" s="102">
        <v>269148</v>
      </c>
      <c r="AH10" s="73">
        <f t="shared" si="3"/>
        <v>1161940</v>
      </c>
      <c r="AI10" s="102">
        <v>918039</v>
      </c>
      <c r="AJ10" s="102">
        <v>243901</v>
      </c>
      <c r="AK10" s="102">
        <v>5185385</v>
      </c>
      <c r="AL10" s="73">
        <f t="shared" si="4"/>
        <v>2309955</v>
      </c>
      <c r="AM10" s="102">
        <v>1409373</v>
      </c>
      <c r="AN10" s="102">
        <v>231100</v>
      </c>
      <c r="AO10" s="74"/>
      <c r="AP10" s="102">
        <v>669482</v>
      </c>
      <c r="AQ10" s="102">
        <v>630888</v>
      </c>
      <c r="AR10" s="102">
        <v>17717</v>
      </c>
      <c r="AS10" s="102">
        <v>0</v>
      </c>
      <c r="AT10" s="102">
        <v>2300261</v>
      </c>
      <c r="AU10" s="102">
        <v>1238212</v>
      </c>
      <c r="AV10" s="102">
        <v>114561</v>
      </c>
      <c r="AW10" s="102">
        <v>189156</v>
      </c>
      <c r="AX10" s="102">
        <v>1062049</v>
      </c>
      <c r="AY10" s="102">
        <v>55089</v>
      </c>
      <c r="AZ10" s="102">
        <v>65997</v>
      </c>
      <c r="BA10" s="102">
        <v>30522</v>
      </c>
      <c r="BB10" s="102">
        <v>90411</v>
      </c>
      <c r="BC10" s="102">
        <v>497077</v>
      </c>
      <c r="BD10" s="102">
        <v>200000</v>
      </c>
      <c r="BE10" s="102">
        <v>0</v>
      </c>
      <c r="BF10" s="102">
        <v>279346</v>
      </c>
      <c r="BG10" s="102">
        <v>0</v>
      </c>
      <c r="BH10" s="102">
        <v>359723</v>
      </c>
      <c r="BI10" s="102">
        <v>97072</v>
      </c>
      <c r="BJ10" s="102">
        <v>649694</v>
      </c>
      <c r="BK10" s="102">
        <v>143754</v>
      </c>
      <c r="BL10" s="102">
        <v>2031</v>
      </c>
      <c r="BM10" s="102">
        <v>53399</v>
      </c>
      <c r="BN10" s="102">
        <v>3061900</v>
      </c>
      <c r="BO10" s="73">
        <f t="shared" si="5"/>
        <v>1159800</v>
      </c>
      <c r="BP10" s="73">
        <f t="shared" si="6"/>
        <v>1902100</v>
      </c>
      <c r="BQ10" s="102">
        <v>0</v>
      </c>
      <c r="BR10" s="102">
        <v>0</v>
      </c>
      <c r="BS10" s="102">
        <v>1902100</v>
      </c>
      <c r="BT10" s="102">
        <v>0</v>
      </c>
      <c r="BU10" s="102">
        <v>34520575</v>
      </c>
      <c r="BV10" s="71"/>
      <c r="BW10" s="102">
        <v>6518204</v>
      </c>
      <c r="BX10" s="102">
        <v>4285780</v>
      </c>
      <c r="BY10" s="102">
        <v>709462</v>
      </c>
      <c r="BZ10" s="102">
        <v>261291</v>
      </c>
      <c r="CA10" s="102">
        <v>7449031</v>
      </c>
      <c r="CB10" s="102">
        <v>1932929</v>
      </c>
      <c r="CC10" s="102">
        <v>131227</v>
      </c>
      <c r="CD10" s="102">
        <v>3576099</v>
      </c>
      <c r="CE10" s="102">
        <v>1730496</v>
      </c>
      <c r="CF10" s="102">
        <v>12893</v>
      </c>
      <c r="CG10" s="102">
        <v>64357</v>
      </c>
      <c r="CH10" s="102">
        <v>3894347</v>
      </c>
      <c r="CI10" s="102">
        <v>3411780</v>
      </c>
      <c r="CJ10" s="83">
        <f t="shared" si="18"/>
        <v>482567</v>
      </c>
      <c r="CK10" s="102">
        <v>5671885</v>
      </c>
      <c r="CL10" s="102">
        <v>3371176</v>
      </c>
      <c r="CM10" s="102">
        <v>574150</v>
      </c>
      <c r="CN10" s="102">
        <v>806976</v>
      </c>
      <c r="CO10" s="102">
        <v>469883</v>
      </c>
      <c r="CP10" s="102">
        <v>2354177</v>
      </c>
      <c r="CQ10" s="102">
        <v>1923</v>
      </c>
      <c r="CR10" s="102">
        <v>684129</v>
      </c>
      <c r="CS10" s="102">
        <v>464793</v>
      </c>
      <c r="CT10" s="73">
        <f t="shared" si="7"/>
        <v>1082985</v>
      </c>
      <c r="CU10" s="102">
        <v>1000814</v>
      </c>
      <c r="CV10" s="102">
        <v>82171</v>
      </c>
      <c r="CW10" s="73">
        <f t="shared" si="8"/>
        <v>355781</v>
      </c>
      <c r="CX10" s="102">
        <v>355781</v>
      </c>
      <c r="CY10" s="102">
        <v>0</v>
      </c>
      <c r="CZ10" s="73">
        <f t="shared" si="9"/>
        <v>724312</v>
      </c>
      <c r="DA10" s="102">
        <v>642141</v>
      </c>
      <c r="DB10" s="102">
        <v>82171</v>
      </c>
      <c r="DC10" s="102">
        <v>3566233</v>
      </c>
      <c r="DD10" s="102">
        <v>1701287</v>
      </c>
      <c r="DE10" s="102">
        <v>1760994</v>
      </c>
      <c r="DF10" s="77">
        <v>103952</v>
      </c>
      <c r="DG10" s="78">
        <v>0</v>
      </c>
      <c r="DH10" s="102">
        <v>58957</v>
      </c>
      <c r="DI10" s="102">
        <v>70947</v>
      </c>
      <c r="DJ10" s="102">
        <v>4248</v>
      </c>
      <c r="DK10" s="102">
        <v>0</v>
      </c>
      <c r="DL10" s="102">
        <v>66699</v>
      </c>
      <c r="DM10" s="102">
        <v>656520</v>
      </c>
      <c r="DN10" s="102">
        <v>656520</v>
      </c>
      <c r="DO10" s="102">
        <v>0</v>
      </c>
      <c r="DP10" s="102">
        <v>644219</v>
      </c>
      <c r="DQ10" s="102">
        <v>145250</v>
      </c>
      <c r="DR10" s="102">
        <v>0</v>
      </c>
      <c r="DS10" s="102">
        <v>0</v>
      </c>
      <c r="DT10" s="102">
        <v>3389871</v>
      </c>
      <c r="DU10" s="102">
        <v>0</v>
      </c>
      <c r="DV10" s="73">
        <f t="shared" si="10"/>
        <v>0</v>
      </c>
      <c r="DW10" s="102">
        <v>0</v>
      </c>
      <c r="DX10" s="102">
        <v>1157580</v>
      </c>
      <c r="DY10" s="102">
        <v>10091</v>
      </c>
      <c r="DZ10" s="102">
        <v>1077165</v>
      </c>
      <c r="EA10" s="74">
        <v>0</v>
      </c>
      <c r="EB10" s="102">
        <v>1145035</v>
      </c>
      <c r="EC10" s="102">
        <v>0</v>
      </c>
      <c r="ED10" s="102">
        <v>34245305</v>
      </c>
      <c r="EE10" s="71"/>
      <c r="EF10" s="102">
        <v>275270</v>
      </c>
      <c r="EG10" s="102">
        <v>54062</v>
      </c>
      <c r="EH10" s="102">
        <v>221208</v>
      </c>
      <c r="EI10" s="102">
        <v>24136</v>
      </c>
      <c r="EJ10" s="102">
        <v>-171616</v>
      </c>
      <c r="EK10" s="71"/>
      <c r="EL10" s="102"/>
      <c r="EM10" s="102">
        <v>102625</v>
      </c>
      <c r="EN10" s="102">
        <v>200000</v>
      </c>
      <c r="EO10" s="102">
        <v>60033</v>
      </c>
      <c r="EP10" s="73">
        <f t="shared" si="11"/>
        <v>760043</v>
      </c>
      <c r="EQ10" s="102">
        <v>20879039</v>
      </c>
      <c r="ER10" s="71">
        <v>-2907269</v>
      </c>
      <c r="ES10" s="102">
        <v>6120669</v>
      </c>
      <c r="ET10" s="102">
        <v>3966451</v>
      </c>
      <c r="EU10" s="102">
        <v>2143049</v>
      </c>
      <c r="EV10" s="102">
        <v>3894347</v>
      </c>
      <c r="EW10" s="73">
        <f t="shared" si="12"/>
        <v>924093</v>
      </c>
      <c r="EX10" s="102">
        <v>923746</v>
      </c>
      <c r="EY10" s="102">
        <v>56645</v>
      </c>
      <c r="EZ10" s="102">
        <v>852471</v>
      </c>
      <c r="FA10" s="102">
        <v>347</v>
      </c>
      <c r="FB10" s="102">
        <v>0</v>
      </c>
      <c r="FC10" s="102">
        <v>4437245</v>
      </c>
      <c r="FD10" s="102">
        <v>2098432</v>
      </c>
      <c r="FE10" s="102">
        <v>1923</v>
      </c>
      <c r="FF10" s="102">
        <v>2841639</v>
      </c>
      <c r="FG10" s="73">
        <f t="shared" si="13"/>
        <v>1051564</v>
      </c>
      <c r="FH10" s="102">
        <v>23511038</v>
      </c>
      <c r="FI10" s="379">
        <f t="shared" si="14"/>
        <v>1.1000000000000001</v>
      </c>
      <c r="FJ10" s="102">
        <v>19085732</v>
      </c>
      <c r="FK10" s="102">
        <v>1902148</v>
      </c>
      <c r="FL10" s="102">
        <v>12915141</v>
      </c>
      <c r="FM10" s="102">
        <v>15127294</v>
      </c>
      <c r="FN10" s="428">
        <v>0.85099999999999998</v>
      </c>
      <c r="FO10" s="424">
        <v>97.9</v>
      </c>
      <c r="FP10" s="425">
        <v>28.3</v>
      </c>
      <c r="FQ10" s="424">
        <v>10.1</v>
      </c>
      <c r="FR10" s="424">
        <v>18.5</v>
      </c>
      <c r="FS10" s="425">
        <v>19.7</v>
      </c>
      <c r="FT10" s="424">
        <v>7.7</v>
      </c>
      <c r="FU10" s="425">
        <v>11.7</v>
      </c>
      <c r="FV10" s="384">
        <f t="shared" si="15"/>
        <v>4.8</v>
      </c>
      <c r="FW10" s="102">
        <v>35133250</v>
      </c>
      <c r="FX10" s="384">
        <f t="shared" si="16"/>
        <v>167.4</v>
      </c>
      <c r="FY10" s="102">
        <v>6236560</v>
      </c>
      <c r="FZ10" s="102">
        <v>4508745</v>
      </c>
      <c r="GA10" s="102">
        <v>0</v>
      </c>
      <c r="GB10" s="102">
        <v>1727815</v>
      </c>
      <c r="GC10" s="102">
        <v>0</v>
      </c>
      <c r="GD10" s="427"/>
      <c r="GE10" s="386"/>
      <c r="GF10" s="424">
        <v>98.5</v>
      </c>
      <c r="GG10" s="424">
        <v>26.6</v>
      </c>
      <c r="GH10" s="424">
        <v>94.4</v>
      </c>
      <c r="GI10" s="102">
        <v>600</v>
      </c>
      <c r="GJ10" s="429" t="s">
        <v>646</v>
      </c>
      <c r="GK10" s="429">
        <v>12.4</v>
      </c>
      <c r="GL10" s="87">
        <v>20</v>
      </c>
      <c r="GM10" s="429" t="s">
        <v>646</v>
      </c>
      <c r="GN10" s="430">
        <v>17.399999999999999</v>
      </c>
      <c r="GO10" s="430">
        <v>30</v>
      </c>
      <c r="GP10" s="425">
        <v>4.8</v>
      </c>
      <c r="GQ10" s="425">
        <v>25</v>
      </c>
      <c r="GR10" s="425">
        <v>35</v>
      </c>
      <c r="GS10" s="431">
        <v>42.3</v>
      </c>
      <c r="GT10" s="425">
        <v>350</v>
      </c>
      <c r="GU10" s="394"/>
      <c r="GV10" s="100">
        <f t="shared" si="17"/>
        <v>20988</v>
      </c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</row>
    <row r="11" spans="2:230" x14ac:dyDescent="0.15">
      <c r="B11" s="89" t="s">
        <v>11</v>
      </c>
      <c r="C11" s="102">
        <v>64168708</v>
      </c>
      <c r="D11" s="73">
        <f t="shared" si="0"/>
        <v>26166484</v>
      </c>
      <c r="E11" s="102">
        <v>569129</v>
      </c>
      <c r="F11" s="102">
        <v>25597355</v>
      </c>
      <c r="G11" s="73">
        <f t="shared" si="1"/>
        <v>5652137</v>
      </c>
      <c r="H11" s="102">
        <v>1135388</v>
      </c>
      <c r="I11" s="102">
        <v>4516749</v>
      </c>
      <c r="J11" s="102">
        <v>23800730</v>
      </c>
      <c r="K11" s="102">
        <v>9661101</v>
      </c>
      <c r="L11" s="102">
        <v>11250699</v>
      </c>
      <c r="M11" s="102">
        <v>2436218</v>
      </c>
      <c r="N11" s="102">
        <v>1917198</v>
      </c>
      <c r="O11" s="102">
        <v>5397190</v>
      </c>
      <c r="P11" s="102">
        <v>2863837</v>
      </c>
      <c r="Q11" s="102">
        <v>2533353</v>
      </c>
      <c r="R11" s="102">
        <v>525483</v>
      </c>
      <c r="S11" s="74"/>
      <c r="T11" s="73">
        <f t="shared" si="2"/>
        <v>5636262</v>
      </c>
      <c r="U11" s="102">
        <v>268114</v>
      </c>
      <c r="V11" s="102">
        <v>724387</v>
      </c>
      <c r="W11" s="102">
        <v>381868</v>
      </c>
      <c r="X11" s="102">
        <v>4132947</v>
      </c>
      <c r="Y11" s="102">
        <v>0</v>
      </c>
      <c r="Z11" s="102">
        <v>0</v>
      </c>
      <c r="AA11" s="102">
        <v>128946</v>
      </c>
      <c r="AB11" s="102">
        <v>246538</v>
      </c>
      <c r="AC11" s="102">
        <v>1341438</v>
      </c>
      <c r="AD11" s="102">
        <v>1232454</v>
      </c>
      <c r="AE11" s="102">
        <v>108948</v>
      </c>
      <c r="AF11" s="102">
        <v>42592</v>
      </c>
      <c r="AG11" s="102">
        <v>1115534</v>
      </c>
      <c r="AH11" s="73">
        <f t="shared" si="3"/>
        <v>2997734</v>
      </c>
      <c r="AI11" s="102">
        <v>2448559</v>
      </c>
      <c r="AJ11" s="102">
        <v>549175</v>
      </c>
      <c r="AK11" s="102">
        <v>21850373</v>
      </c>
      <c r="AL11" s="73">
        <f t="shared" si="4"/>
        <v>11526844</v>
      </c>
      <c r="AM11" s="102">
        <v>7671979</v>
      </c>
      <c r="AN11" s="102">
        <v>867377</v>
      </c>
      <c r="AO11" s="74"/>
      <c r="AP11" s="102">
        <v>2987488</v>
      </c>
      <c r="AQ11" s="102">
        <v>1828954</v>
      </c>
      <c r="AR11" s="102">
        <v>0</v>
      </c>
      <c r="AS11" s="102">
        <v>0</v>
      </c>
      <c r="AT11" s="102">
        <v>6957323</v>
      </c>
      <c r="AU11" s="102">
        <v>5000454</v>
      </c>
      <c r="AV11" s="102">
        <v>437152</v>
      </c>
      <c r="AW11" s="102">
        <v>216208</v>
      </c>
      <c r="AX11" s="102">
        <v>1956869</v>
      </c>
      <c r="AY11" s="102">
        <v>0</v>
      </c>
      <c r="AZ11" s="102">
        <v>219023</v>
      </c>
      <c r="BA11" s="102">
        <v>172914</v>
      </c>
      <c r="BB11" s="102">
        <v>54480</v>
      </c>
      <c r="BC11" s="102">
        <v>1882251</v>
      </c>
      <c r="BD11" s="102">
        <v>0</v>
      </c>
      <c r="BE11" s="102">
        <v>0</v>
      </c>
      <c r="BF11" s="102">
        <v>1355793</v>
      </c>
      <c r="BG11" s="102">
        <v>526458</v>
      </c>
      <c r="BH11" s="102">
        <v>3181503</v>
      </c>
      <c r="BI11" s="102">
        <v>2043777</v>
      </c>
      <c r="BJ11" s="102">
        <v>2944221</v>
      </c>
      <c r="BK11" s="102">
        <v>351407</v>
      </c>
      <c r="BL11" s="102">
        <v>213230</v>
      </c>
      <c r="BM11" s="102">
        <v>81312</v>
      </c>
      <c r="BN11" s="102">
        <v>4424900</v>
      </c>
      <c r="BO11" s="73">
        <f t="shared" si="5"/>
        <v>4424900</v>
      </c>
      <c r="BP11" s="73">
        <f t="shared" si="6"/>
        <v>0</v>
      </c>
      <c r="BQ11" s="102">
        <v>0</v>
      </c>
      <c r="BR11" s="102">
        <v>0</v>
      </c>
      <c r="BS11" s="102">
        <v>0</v>
      </c>
      <c r="BT11" s="102">
        <v>0</v>
      </c>
      <c r="BU11" s="102">
        <v>117588363</v>
      </c>
      <c r="BV11" s="71"/>
      <c r="BW11" s="102">
        <v>21684144</v>
      </c>
      <c r="BX11" s="102">
        <v>14544628</v>
      </c>
      <c r="BY11" s="102">
        <v>1546290</v>
      </c>
      <c r="BZ11" s="102">
        <v>1739330</v>
      </c>
      <c r="CA11" s="102">
        <v>33554334</v>
      </c>
      <c r="CB11" s="102">
        <v>7626401</v>
      </c>
      <c r="CC11" s="102">
        <v>707883</v>
      </c>
      <c r="CD11" s="102">
        <v>14130201</v>
      </c>
      <c r="CE11" s="102">
        <v>10417211</v>
      </c>
      <c r="CF11" s="102">
        <v>326181</v>
      </c>
      <c r="CG11" s="102">
        <v>346254</v>
      </c>
      <c r="CH11" s="102">
        <v>6443749</v>
      </c>
      <c r="CI11" s="102">
        <v>5799770</v>
      </c>
      <c r="CJ11" s="83">
        <f t="shared" si="18"/>
        <v>643979</v>
      </c>
      <c r="CK11" s="102">
        <v>17039837</v>
      </c>
      <c r="CL11" s="102">
        <v>10993457</v>
      </c>
      <c r="CM11" s="102">
        <v>1304122</v>
      </c>
      <c r="CN11" s="102">
        <v>2601502</v>
      </c>
      <c r="CO11" s="102">
        <v>2314394</v>
      </c>
      <c r="CP11" s="102">
        <v>3960057</v>
      </c>
      <c r="CQ11" s="102">
        <v>6693</v>
      </c>
      <c r="CR11" s="102">
        <v>2309738</v>
      </c>
      <c r="CS11" s="102">
        <v>1364743</v>
      </c>
      <c r="CT11" s="73">
        <f t="shared" si="7"/>
        <v>32883</v>
      </c>
      <c r="CU11" s="102">
        <v>23755</v>
      </c>
      <c r="CV11" s="102">
        <v>9128</v>
      </c>
      <c r="CW11" s="73">
        <f t="shared" si="8"/>
        <v>0</v>
      </c>
      <c r="CX11" s="102">
        <v>0</v>
      </c>
      <c r="CY11" s="102">
        <v>0</v>
      </c>
      <c r="CZ11" s="73">
        <f t="shared" si="9"/>
        <v>0</v>
      </c>
      <c r="DA11" s="102">
        <v>0</v>
      </c>
      <c r="DB11" s="102">
        <v>0</v>
      </c>
      <c r="DC11" s="102">
        <v>12082364</v>
      </c>
      <c r="DD11" s="102">
        <v>5987053</v>
      </c>
      <c r="DE11" s="102">
        <v>5822349</v>
      </c>
      <c r="DF11" s="77">
        <v>33114</v>
      </c>
      <c r="DG11" s="78">
        <v>238236</v>
      </c>
      <c r="DH11" s="102">
        <v>1026</v>
      </c>
      <c r="DI11" s="102">
        <v>3690187</v>
      </c>
      <c r="DJ11" s="102">
        <v>1018469</v>
      </c>
      <c r="DK11" s="102">
        <v>0</v>
      </c>
      <c r="DL11" s="102">
        <v>2671718</v>
      </c>
      <c r="DM11" s="102">
        <v>72200</v>
      </c>
      <c r="DN11" s="102">
        <v>30000</v>
      </c>
      <c r="DO11" s="102">
        <v>30000</v>
      </c>
      <c r="DP11" s="102">
        <v>0</v>
      </c>
      <c r="DQ11" s="102">
        <v>463900</v>
      </c>
      <c r="DR11" s="102">
        <v>0</v>
      </c>
      <c r="DS11" s="102">
        <v>0</v>
      </c>
      <c r="DT11" s="102">
        <v>14651967</v>
      </c>
      <c r="DU11" s="102">
        <v>3579444</v>
      </c>
      <c r="DV11" s="73">
        <f t="shared" si="10"/>
        <v>0</v>
      </c>
      <c r="DW11" s="102">
        <v>0</v>
      </c>
      <c r="DX11" s="102">
        <v>3534464</v>
      </c>
      <c r="DY11" s="102">
        <v>50144</v>
      </c>
      <c r="DZ11" s="102">
        <v>3934142</v>
      </c>
      <c r="EA11" s="74">
        <v>0</v>
      </c>
      <c r="EB11" s="102">
        <v>3137943</v>
      </c>
      <c r="EC11" s="102">
        <v>0</v>
      </c>
      <c r="ED11" s="102">
        <v>115958159</v>
      </c>
      <c r="EE11" s="71"/>
      <c r="EF11" s="102">
        <v>1630204</v>
      </c>
      <c r="EG11" s="102">
        <v>513344</v>
      </c>
      <c r="EH11" s="102">
        <v>1116860</v>
      </c>
      <c r="EI11" s="102">
        <v>-926917</v>
      </c>
      <c r="EJ11" s="102">
        <v>91552</v>
      </c>
      <c r="EK11" s="71"/>
      <c r="EL11" s="102"/>
      <c r="EM11" s="102">
        <v>362845</v>
      </c>
      <c r="EN11" s="102">
        <v>374765</v>
      </c>
      <c r="EO11" s="102">
        <v>212501</v>
      </c>
      <c r="EP11" s="73">
        <f t="shared" si="11"/>
        <v>4581617</v>
      </c>
      <c r="EQ11" s="102">
        <v>71961021</v>
      </c>
      <c r="ER11" s="71">
        <v>-5126291</v>
      </c>
      <c r="ES11" s="102">
        <v>19949291</v>
      </c>
      <c r="ET11" s="102">
        <v>13234942</v>
      </c>
      <c r="EU11" s="102">
        <v>10125286</v>
      </c>
      <c r="EV11" s="102">
        <v>6442735</v>
      </c>
      <c r="EW11" s="73">
        <f t="shared" si="12"/>
        <v>2492716</v>
      </c>
      <c r="EX11" s="102">
        <v>2492716</v>
      </c>
      <c r="EY11" s="102">
        <v>158497</v>
      </c>
      <c r="EZ11" s="102">
        <v>2302987</v>
      </c>
      <c r="FA11" s="102">
        <v>0</v>
      </c>
      <c r="FB11" s="102">
        <v>0</v>
      </c>
      <c r="FC11" s="102">
        <v>14450473</v>
      </c>
      <c r="FD11" s="102">
        <v>3204310</v>
      </c>
      <c r="FE11" s="102">
        <v>6693</v>
      </c>
      <c r="FF11" s="102">
        <v>12888430</v>
      </c>
      <c r="FG11" s="73">
        <f t="shared" si="13"/>
        <v>5903867</v>
      </c>
      <c r="FH11" s="102">
        <v>75457108</v>
      </c>
      <c r="FI11" s="379">
        <f t="shared" si="14"/>
        <v>1.7</v>
      </c>
      <c r="FJ11" s="102">
        <v>64031267</v>
      </c>
      <c r="FK11" s="102">
        <v>3240060</v>
      </c>
      <c r="FL11" s="102">
        <v>47775313</v>
      </c>
      <c r="FM11" s="102">
        <v>49007767</v>
      </c>
      <c r="FN11" s="428">
        <v>0.96899999999999997</v>
      </c>
      <c r="FO11" s="424">
        <v>96.4</v>
      </c>
      <c r="FP11" s="425">
        <v>28.8</v>
      </c>
      <c r="FQ11" s="424">
        <v>15</v>
      </c>
      <c r="FR11" s="424">
        <v>9.6</v>
      </c>
      <c r="FS11" s="425">
        <v>20.2</v>
      </c>
      <c r="FT11" s="424">
        <v>3.9</v>
      </c>
      <c r="FU11" s="425">
        <v>15.6</v>
      </c>
      <c r="FV11" s="384">
        <f t="shared" si="15"/>
        <v>-1.1000000000000001</v>
      </c>
      <c r="FW11" s="102">
        <v>46093467</v>
      </c>
      <c r="FX11" s="384">
        <f t="shared" si="16"/>
        <v>68.5</v>
      </c>
      <c r="FY11" s="102">
        <v>26014890</v>
      </c>
      <c r="FZ11" s="102">
        <v>10188298</v>
      </c>
      <c r="GA11" s="102">
        <v>0</v>
      </c>
      <c r="GB11" s="102">
        <v>15826592</v>
      </c>
      <c r="GC11" s="102">
        <v>0</v>
      </c>
      <c r="GD11" s="427"/>
      <c r="GE11" s="386"/>
      <c r="GF11" s="424">
        <v>99.1</v>
      </c>
      <c r="GG11" s="424">
        <v>25.9</v>
      </c>
      <c r="GH11" s="424">
        <v>96.7</v>
      </c>
      <c r="GI11" s="102">
        <v>2103</v>
      </c>
      <c r="GJ11" s="429" t="s">
        <v>646</v>
      </c>
      <c r="GK11" s="429">
        <v>11.25</v>
      </c>
      <c r="GL11" s="87">
        <v>20</v>
      </c>
      <c r="GM11" s="429" t="s">
        <v>646</v>
      </c>
      <c r="GN11" s="430">
        <v>16.25</v>
      </c>
      <c r="GO11" s="430">
        <v>30</v>
      </c>
      <c r="GP11" s="425">
        <v>-1.1000000000000001</v>
      </c>
      <c r="GQ11" s="425">
        <v>25</v>
      </c>
      <c r="GR11" s="425">
        <v>35</v>
      </c>
      <c r="GS11" s="431" t="s">
        <v>646</v>
      </c>
      <c r="GT11" s="425">
        <v>350</v>
      </c>
      <c r="GU11" s="394"/>
      <c r="GV11" s="100">
        <f t="shared" si="17"/>
        <v>67271</v>
      </c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</row>
    <row r="12" spans="2:230" x14ac:dyDescent="0.15">
      <c r="B12" s="89" t="s">
        <v>13</v>
      </c>
      <c r="C12" s="102">
        <v>11316539</v>
      </c>
      <c r="D12" s="73">
        <f t="shared" si="0"/>
        <v>3640961</v>
      </c>
      <c r="E12" s="102">
        <v>112220</v>
      </c>
      <c r="F12" s="102">
        <v>3528741</v>
      </c>
      <c r="G12" s="73">
        <f t="shared" si="1"/>
        <v>909852</v>
      </c>
      <c r="H12" s="102">
        <v>268557</v>
      </c>
      <c r="I12" s="102">
        <v>641295</v>
      </c>
      <c r="J12" s="102">
        <v>5066553</v>
      </c>
      <c r="K12" s="102">
        <v>1933144</v>
      </c>
      <c r="L12" s="102">
        <v>2024330</v>
      </c>
      <c r="M12" s="102">
        <v>648118</v>
      </c>
      <c r="N12" s="102">
        <v>645135</v>
      </c>
      <c r="O12" s="102">
        <v>968155</v>
      </c>
      <c r="P12" s="102">
        <v>526071</v>
      </c>
      <c r="Q12" s="102">
        <v>442084</v>
      </c>
      <c r="R12" s="102">
        <v>179941</v>
      </c>
      <c r="S12" s="74"/>
      <c r="T12" s="73">
        <f t="shared" si="2"/>
        <v>1101842</v>
      </c>
      <c r="U12" s="102">
        <v>37286</v>
      </c>
      <c r="V12" s="102">
        <v>100693</v>
      </c>
      <c r="W12" s="102">
        <v>53065</v>
      </c>
      <c r="X12" s="102">
        <v>880322</v>
      </c>
      <c r="Y12" s="102">
        <v>0</v>
      </c>
      <c r="Z12" s="102">
        <v>0</v>
      </c>
      <c r="AA12" s="102">
        <v>30476</v>
      </c>
      <c r="AB12" s="102">
        <v>52710</v>
      </c>
      <c r="AC12" s="102">
        <v>4014733</v>
      </c>
      <c r="AD12" s="102">
        <v>3667524</v>
      </c>
      <c r="AE12" s="102">
        <v>347208</v>
      </c>
      <c r="AF12" s="102">
        <v>13997</v>
      </c>
      <c r="AG12" s="102">
        <v>148518</v>
      </c>
      <c r="AH12" s="73">
        <f t="shared" si="3"/>
        <v>543605</v>
      </c>
      <c r="AI12" s="102">
        <v>395226</v>
      </c>
      <c r="AJ12" s="102">
        <v>148379</v>
      </c>
      <c r="AK12" s="102">
        <v>5287915</v>
      </c>
      <c r="AL12" s="73">
        <f t="shared" si="4"/>
        <v>3141890</v>
      </c>
      <c r="AM12" s="102">
        <v>2295885</v>
      </c>
      <c r="AN12" s="102">
        <v>231256</v>
      </c>
      <c r="AO12" s="74"/>
      <c r="AP12" s="102">
        <v>614749</v>
      </c>
      <c r="AQ12" s="102">
        <v>285704</v>
      </c>
      <c r="AR12" s="102">
        <v>0</v>
      </c>
      <c r="AS12" s="102">
        <v>0</v>
      </c>
      <c r="AT12" s="102">
        <v>2149460</v>
      </c>
      <c r="AU12" s="102">
        <v>1324725</v>
      </c>
      <c r="AV12" s="102">
        <v>115503</v>
      </c>
      <c r="AW12" s="102">
        <v>5191</v>
      </c>
      <c r="AX12" s="102">
        <v>824735</v>
      </c>
      <c r="AY12" s="102">
        <v>43639</v>
      </c>
      <c r="AZ12" s="102">
        <v>95140</v>
      </c>
      <c r="BA12" s="102">
        <v>6293</v>
      </c>
      <c r="BB12" s="102">
        <v>9670</v>
      </c>
      <c r="BC12" s="102">
        <v>1004055</v>
      </c>
      <c r="BD12" s="102">
        <v>200350</v>
      </c>
      <c r="BE12" s="102">
        <v>0</v>
      </c>
      <c r="BF12" s="102">
        <v>756497</v>
      </c>
      <c r="BG12" s="102">
        <v>0</v>
      </c>
      <c r="BH12" s="102">
        <v>337136</v>
      </c>
      <c r="BI12" s="102">
        <v>310528</v>
      </c>
      <c r="BJ12" s="102">
        <v>392449</v>
      </c>
      <c r="BK12" s="102">
        <v>1000</v>
      </c>
      <c r="BL12" s="102">
        <v>12824</v>
      </c>
      <c r="BM12" s="102">
        <v>52412</v>
      </c>
      <c r="BN12" s="102">
        <v>2561922</v>
      </c>
      <c r="BO12" s="73">
        <f t="shared" si="5"/>
        <v>1073700</v>
      </c>
      <c r="BP12" s="73">
        <f t="shared" si="6"/>
        <v>1488222</v>
      </c>
      <c r="BQ12" s="102">
        <v>0</v>
      </c>
      <c r="BR12" s="102">
        <v>0</v>
      </c>
      <c r="BS12" s="102">
        <v>1488222</v>
      </c>
      <c r="BT12" s="102">
        <v>0</v>
      </c>
      <c r="BU12" s="102">
        <v>29209632</v>
      </c>
      <c r="BV12" s="71"/>
      <c r="BW12" s="102">
        <v>4038171</v>
      </c>
      <c r="BX12" s="102">
        <v>2373800</v>
      </c>
      <c r="BY12" s="102">
        <v>330385</v>
      </c>
      <c r="BZ12" s="102">
        <v>507210</v>
      </c>
      <c r="CA12" s="102">
        <v>8006957</v>
      </c>
      <c r="CB12" s="102">
        <v>1595859</v>
      </c>
      <c r="CC12" s="102">
        <v>186303</v>
      </c>
      <c r="CD12" s="102">
        <v>3119353</v>
      </c>
      <c r="CE12" s="102">
        <v>3038236</v>
      </c>
      <c r="CF12" s="102">
        <v>0</v>
      </c>
      <c r="CG12" s="102">
        <v>67206</v>
      </c>
      <c r="CH12" s="102">
        <v>3403825</v>
      </c>
      <c r="CI12" s="102">
        <v>2873946</v>
      </c>
      <c r="CJ12" s="83">
        <f t="shared" si="18"/>
        <v>529879</v>
      </c>
      <c r="CK12" s="102">
        <v>2742936</v>
      </c>
      <c r="CL12" s="102">
        <v>1492780</v>
      </c>
      <c r="CM12" s="102">
        <v>252370</v>
      </c>
      <c r="CN12" s="102">
        <v>522381</v>
      </c>
      <c r="CO12" s="102">
        <v>180278</v>
      </c>
      <c r="CP12" s="102">
        <v>2847084</v>
      </c>
      <c r="CQ12" s="102">
        <v>680182</v>
      </c>
      <c r="CR12" s="102">
        <v>352642</v>
      </c>
      <c r="CS12" s="102">
        <v>310780</v>
      </c>
      <c r="CT12" s="73">
        <f t="shared" si="7"/>
        <v>1021748</v>
      </c>
      <c r="CU12" s="102">
        <v>1010100</v>
      </c>
      <c r="CV12" s="102">
        <v>11648</v>
      </c>
      <c r="CW12" s="73">
        <f t="shared" si="8"/>
        <v>1000000</v>
      </c>
      <c r="CX12" s="102">
        <v>1000000</v>
      </c>
      <c r="CY12" s="102">
        <v>0</v>
      </c>
      <c r="CZ12" s="73">
        <f t="shared" si="9"/>
        <v>0</v>
      </c>
      <c r="DA12" s="102">
        <v>0</v>
      </c>
      <c r="DB12" s="102">
        <v>0</v>
      </c>
      <c r="DC12" s="102">
        <v>2367491</v>
      </c>
      <c r="DD12" s="102">
        <v>1041844</v>
      </c>
      <c r="DE12" s="102">
        <v>708621</v>
      </c>
      <c r="DF12" s="77">
        <v>177907</v>
      </c>
      <c r="DG12" s="78">
        <v>439119</v>
      </c>
      <c r="DH12" s="102">
        <v>0</v>
      </c>
      <c r="DI12" s="102">
        <v>480620</v>
      </c>
      <c r="DJ12" s="102">
        <v>155503</v>
      </c>
      <c r="DK12" s="102">
        <v>0</v>
      </c>
      <c r="DL12" s="102">
        <v>325117</v>
      </c>
      <c r="DM12" s="102">
        <v>0</v>
      </c>
      <c r="DN12" s="102">
        <v>0</v>
      </c>
      <c r="DO12" s="102">
        <v>0</v>
      </c>
      <c r="DP12" s="102">
        <v>0</v>
      </c>
      <c r="DQ12" s="102">
        <v>1000</v>
      </c>
      <c r="DR12" s="102">
        <v>0</v>
      </c>
      <c r="DS12" s="102">
        <v>0</v>
      </c>
      <c r="DT12" s="102">
        <v>4706593</v>
      </c>
      <c r="DU12" s="102">
        <v>2007079</v>
      </c>
      <c r="DV12" s="73">
        <f t="shared" si="10"/>
        <v>0</v>
      </c>
      <c r="DW12" s="102">
        <v>0</v>
      </c>
      <c r="DX12" s="102">
        <v>854084</v>
      </c>
      <c r="DY12" s="102">
        <v>202676</v>
      </c>
      <c r="DZ12" s="102">
        <v>934486</v>
      </c>
      <c r="EA12" s="74">
        <v>0</v>
      </c>
      <c r="EB12" s="102">
        <v>708268</v>
      </c>
      <c r="EC12" s="102">
        <v>0</v>
      </c>
      <c r="ED12" s="102">
        <v>28774955</v>
      </c>
      <c r="EE12" s="71"/>
      <c r="EF12" s="102">
        <v>434677</v>
      </c>
      <c r="EG12" s="102">
        <v>64143</v>
      </c>
      <c r="EH12" s="102">
        <v>370534</v>
      </c>
      <c r="EI12" s="102">
        <v>60006</v>
      </c>
      <c r="EJ12" s="102">
        <v>15159</v>
      </c>
      <c r="EK12" s="71"/>
      <c r="EL12" s="102"/>
      <c r="EM12" s="102">
        <v>76263</v>
      </c>
      <c r="EN12" s="102">
        <v>225394</v>
      </c>
      <c r="EO12" s="102">
        <v>45615</v>
      </c>
      <c r="EP12" s="73">
        <f t="shared" si="11"/>
        <v>781663</v>
      </c>
      <c r="EQ12" s="102">
        <v>16679762</v>
      </c>
      <c r="ER12" s="71">
        <v>-2526897</v>
      </c>
      <c r="ES12" s="102">
        <v>3664111</v>
      </c>
      <c r="ET12" s="102">
        <v>2106788</v>
      </c>
      <c r="EU12" s="102">
        <v>2305109</v>
      </c>
      <c r="EV12" s="102">
        <v>3403825</v>
      </c>
      <c r="EW12" s="73">
        <f t="shared" si="12"/>
        <v>311052</v>
      </c>
      <c r="EX12" s="102">
        <v>311052</v>
      </c>
      <c r="EY12" s="102">
        <v>4688</v>
      </c>
      <c r="EZ12" s="102">
        <v>294457</v>
      </c>
      <c r="FA12" s="102">
        <v>0</v>
      </c>
      <c r="FB12" s="102">
        <v>0</v>
      </c>
      <c r="FC12" s="102">
        <v>2204032</v>
      </c>
      <c r="FD12" s="102">
        <v>2698006</v>
      </c>
      <c r="FE12" s="102">
        <v>680182</v>
      </c>
      <c r="FF12" s="102">
        <v>3650407</v>
      </c>
      <c r="FG12" s="73">
        <f t="shared" si="13"/>
        <v>535440</v>
      </c>
      <c r="FH12" s="102">
        <v>18771982</v>
      </c>
      <c r="FI12" s="379">
        <f t="shared" si="14"/>
        <v>2.2000000000000002</v>
      </c>
      <c r="FJ12" s="102">
        <v>15058193</v>
      </c>
      <c r="FK12" s="102">
        <v>1488222</v>
      </c>
      <c r="FL12" s="102">
        <v>8798174</v>
      </c>
      <c r="FM12" s="102">
        <v>12465698</v>
      </c>
      <c r="FN12" s="428">
        <v>0.69499999999999995</v>
      </c>
      <c r="FO12" s="424">
        <v>98.7</v>
      </c>
      <c r="FP12" s="425">
        <v>21.2</v>
      </c>
      <c r="FQ12" s="424">
        <v>13.6</v>
      </c>
      <c r="FR12" s="424">
        <v>20</v>
      </c>
      <c r="FS12" s="425">
        <v>12</v>
      </c>
      <c r="FT12" s="424">
        <v>12</v>
      </c>
      <c r="FU12" s="425">
        <v>18.8</v>
      </c>
      <c r="FV12" s="384">
        <f t="shared" si="15"/>
        <v>19.100000000000001</v>
      </c>
      <c r="FW12" s="102">
        <v>31477957</v>
      </c>
      <c r="FX12" s="384">
        <f t="shared" si="16"/>
        <v>190.2</v>
      </c>
      <c r="FY12" s="102">
        <v>2833050</v>
      </c>
      <c r="FZ12" s="102">
        <v>970253</v>
      </c>
      <c r="GA12" s="102">
        <v>0</v>
      </c>
      <c r="GB12" s="102">
        <v>1862797</v>
      </c>
      <c r="GC12" s="102">
        <v>400000</v>
      </c>
      <c r="GD12" s="427">
        <v>3210</v>
      </c>
      <c r="GE12" s="386">
        <f>IF(GD12=0,"-",ROUND(GD12/(GV12)*100,1))</f>
        <v>19.399999999999999</v>
      </c>
      <c r="GF12" s="424">
        <v>98.7</v>
      </c>
      <c r="GG12" s="424">
        <v>25.2</v>
      </c>
      <c r="GH12" s="424">
        <v>96.5</v>
      </c>
      <c r="GI12" s="102">
        <v>419</v>
      </c>
      <c r="GJ12" s="429" t="s">
        <v>646</v>
      </c>
      <c r="GK12" s="429">
        <v>12.67</v>
      </c>
      <c r="GL12" s="87">
        <v>20</v>
      </c>
      <c r="GM12" s="429" t="s">
        <v>646</v>
      </c>
      <c r="GN12" s="430">
        <v>17.670000000000002</v>
      </c>
      <c r="GO12" s="430">
        <v>30</v>
      </c>
      <c r="GP12" s="425">
        <v>19.100000000000001</v>
      </c>
      <c r="GQ12" s="425">
        <v>25</v>
      </c>
      <c r="GR12" s="425">
        <v>35</v>
      </c>
      <c r="GS12" s="431">
        <v>155.69999999999999</v>
      </c>
      <c r="GT12" s="425">
        <v>350</v>
      </c>
      <c r="GU12" s="394"/>
      <c r="GV12" s="100">
        <f t="shared" si="17"/>
        <v>16546</v>
      </c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</row>
    <row r="13" spans="2:230" x14ac:dyDescent="0.15">
      <c r="B13" s="89" t="s">
        <v>15</v>
      </c>
      <c r="C13" s="102">
        <v>49838287</v>
      </c>
      <c r="D13" s="73">
        <f t="shared" si="0"/>
        <v>19947121</v>
      </c>
      <c r="E13" s="102">
        <v>568718</v>
      </c>
      <c r="F13" s="102">
        <v>19378403</v>
      </c>
      <c r="G13" s="73">
        <f t="shared" si="1"/>
        <v>3878431</v>
      </c>
      <c r="H13" s="102">
        <v>789933</v>
      </c>
      <c r="I13" s="102">
        <v>3088498</v>
      </c>
      <c r="J13" s="102">
        <v>18934729</v>
      </c>
      <c r="K13" s="102">
        <v>8004536</v>
      </c>
      <c r="L13" s="102">
        <v>8292032</v>
      </c>
      <c r="M13" s="102">
        <v>2389933</v>
      </c>
      <c r="N13" s="102">
        <v>1795193</v>
      </c>
      <c r="O13" s="102">
        <v>3894404</v>
      </c>
      <c r="P13" s="102">
        <v>2165798</v>
      </c>
      <c r="Q13" s="102">
        <v>1728606</v>
      </c>
      <c r="R13" s="102">
        <v>569518</v>
      </c>
      <c r="S13" s="74"/>
      <c r="T13" s="73">
        <f t="shared" si="2"/>
        <v>4976532</v>
      </c>
      <c r="U13" s="102">
        <v>212330</v>
      </c>
      <c r="V13" s="102">
        <v>573406</v>
      </c>
      <c r="W13" s="102">
        <v>302185</v>
      </c>
      <c r="X13" s="102">
        <v>3696683</v>
      </c>
      <c r="Y13" s="102">
        <v>52248</v>
      </c>
      <c r="Z13" s="102">
        <v>0</v>
      </c>
      <c r="AA13" s="102">
        <v>139680</v>
      </c>
      <c r="AB13" s="102">
        <v>245271</v>
      </c>
      <c r="AC13" s="102">
        <v>11217943</v>
      </c>
      <c r="AD13" s="102">
        <v>10719539</v>
      </c>
      <c r="AE13" s="102">
        <v>498401</v>
      </c>
      <c r="AF13" s="102">
        <v>50135</v>
      </c>
      <c r="AG13" s="102">
        <v>1506926</v>
      </c>
      <c r="AH13" s="73">
        <f t="shared" si="3"/>
        <v>2690167</v>
      </c>
      <c r="AI13" s="102">
        <v>1996702</v>
      </c>
      <c r="AJ13" s="102">
        <v>693465</v>
      </c>
      <c r="AK13" s="102">
        <v>22673116</v>
      </c>
      <c r="AL13" s="73">
        <f t="shared" si="4"/>
        <v>11480250</v>
      </c>
      <c r="AM13" s="102">
        <v>7441547</v>
      </c>
      <c r="AN13" s="102">
        <v>1325735</v>
      </c>
      <c r="AO13" s="74"/>
      <c r="AP13" s="102">
        <v>2712968</v>
      </c>
      <c r="AQ13" s="102">
        <v>2087225</v>
      </c>
      <c r="AR13" s="102">
        <v>0</v>
      </c>
      <c r="AS13" s="102">
        <v>0</v>
      </c>
      <c r="AT13" s="102">
        <v>6753773</v>
      </c>
      <c r="AU13" s="102">
        <v>4706880</v>
      </c>
      <c r="AV13" s="102">
        <v>0</v>
      </c>
      <c r="AW13" s="102">
        <v>955475</v>
      </c>
      <c r="AX13" s="102">
        <v>2046893</v>
      </c>
      <c r="AY13" s="102">
        <v>64079</v>
      </c>
      <c r="AZ13" s="102">
        <v>226517</v>
      </c>
      <c r="BA13" s="102">
        <v>135218</v>
      </c>
      <c r="BB13" s="102">
        <v>78339</v>
      </c>
      <c r="BC13" s="102">
        <v>2128359</v>
      </c>
      <c r="BD13" s="102">
        <v>120</v>
      </c>
      <c r="BE13" s="102">
        <v>0</v>
      </c>
      <c r="BF13" s="102">
        <v>2127713</v>
      </c>
      <c r="BG13" s="102">
        <v>0</v>
      </c>
      <c r="BH13" s="102">
        <v>1006118</v>
      </c>
      <c r="BI13" s="102">
        <v>575814</v>
      </c>
      <c r="BJ13" s="102">
        <v>1485323</v>
      </c>
      <c r="BK13" s="102">
        <v>615037</v>
      </c>
      <c r="BL13" s="102">
        <v>0</v>
      </c>
      <c r="BM13" s="102">
        <v>82754</v>
      </c>
      <c r="BN13" s="102">
        <v>8267400</v>
      </c>
      <c r="BO13" s="73">
        <f t="shared" si="5"/>
        <v>5267400</v>
      </c>
      <c r="BP13" s="73">
        <f t="shared" si="6"/>
        <v>3000000</v>
      </c>
      <c r="BQ13" s="102">
        <v>0</v>
      </c>
      <c r="BR13" s="102">
        <v>0</v>
      </c>
      <c r="BS13" s="102">
        <v>3000000</v>
      </c>
      <c r="BT13" s="102">
        <v>0</v>
      </c>
      <c r="BU13" s="102">
        <v>113713724</v>
      </c>
      <c r="BV13" s="71"/>
      <c r="BW13" s="102">
        <v>19614247</v>
      </c>
      <c r="BX13" s="102">
        <v>12601297</v>
      </c>
      <c r="BY13" s="102">
        <v>1319180</v>
      </c>
      <c r="BZ13" s="102">
        <v>2264750</v>
      </c>
      <c r="CA13" s="102">
        <v>31894201</v>
      </c>
      <c r="CB13" s="102">
        <v>7504984</v>
      </c>
      <c r="CC13" s="102">
        <v>720611</v>
      </c>
      <c r="CD13" s="102">
        <v>12962226</v>
      </c>
      <c r="CE13" s="102">
        <v>10021753</v>
      </c>
      <c r="CF13" s="102">
        <v>288631</v>
      </c>
      <c r="CG13" s="102">
        <v>395136</v>
      </c>
      <c r="CH13" s="102">
        <v>7215011</v>
      </c>
      <c r="CI13" s="102">
        <v>6702835</v>
      </c>
      <c r="CJ13" s="83">
        <f t="shared" si="18"/>
        <v>512176</v>
      </c>
      <c r="CK13" s="102">
        <v>14952922</v>
      </c>
      <c r="CL13" s="102">
        <v>8708864</v>
      </c>
      <c r="CM13" s="102">
        <v>985845</v>
      </c>
      <c r="CN13" s="102">
        <v>3398543</v>
      </c>
      <c r="CO13" s="102">
        <v>1744014</v>
      </c>
      <c r="CP13" s="102">
        <v>4467367</v>
      </c>
      <c r="CQ13" s="102">
        <v>21863</v>
      </c>
      <c r="CR13" s="102">
        <v>2413187</v>
      </c>
      <c r="CS13" s="102">
        <v>1428828</v>
      </c>
      <c r="CT13" s="73">
        <f t="shared" si="7"/>
        <v>996878</v>
      </c>
      <c r="CU13" s="102">
        <v>56025</v>
      </c>
      <c r="CV13" s="102">
        <v>940853</v>
      </c>
      <c r="CW13" s="73">
        <f t="shared" si="8"/>
        <v>0</v>
      </c>
      <c r="CX13" s="102">
        <v>0</v>
      </c>
      <c r="CY13" s="102">
        <v>0</v>
      </c>
      <c r="CZ13" s="73">
        <f t="shared" si="9"/>
        <v>0</v>
      </c>
      <c r="DA13" s="102">
        <v>0</v>
      </c>
      <c r="DB13" s="102">
        <v>0</v>
      </c>
      <c r="DC13" s="102">
        <v>14531082</v>
      </c>
      <c r="DD13" s="102">
        <v>8677967</v>
      </c>
      <c r="DE13" s="102">
        <v>5727887</v>
      </c>
      <c r="DF13" s="77">
        <v>125228</v>
      </c>
      <c r="DG13" s="78">
        <v>0</v>
      </c>
      <c r="DH13" s="102">
        <v>0</v>
      </c>
      <c r="DI13" s="102">
        <v>1384147</v>
      </c>
      <c r="DJ13" s="102">
        <v>297999</v>
      </c>
      <c r="DK13" s="102">
        <v>5180</v>
      </c>
      <c r="DL13" s="102">
        <v>1080968</v>
      </c>
      <c r="DM13" s="102">
        <v>0</v>
      </c>
      <c r="DN13" s="102">
        <v>0</v>
      </c>
      <c r="DO13" s="102">
        <v>0</v>
      </c>
      <c r="DP13" s="102">
        <v>0</v>
      </c>
      <c r="DQ13" s="102">
        <v>692553</v>
      </c>
      <c r="DR13" s="102">
        <v>0</v>
      </c>
      <c r="DS13" s="102">
        <v>0</v>
      </c>
      <c r="DT13" s="102">
        <v>15477138</v>
      </c>
      <c r="DU13" s="102">
        <v>4120000</v>
      </c>
      <c r="DV13" s="73">
        <f t="shared" si="10"/>
        <v>0</v>
      </c>
      <c r="DW13" s="102">
        <v>0</v>
      </c>
      <c r="DX13" s="102">
        <v>3936584</v>
      </c>
      <c r="DY13" s="102">
        <v>0</v>
      </c>
      <c r="DZ13" s="102">
        <v>3613106</v>
      </c>
      <c r="EA13" s="74">
        <v>0</v>
      </c>
      <c r="EB13" s="102">
        <v>3107147</v>
      </c>
      <c r="EC13" s="102">
        <v>0</v>
      </c>
      <c r="ED13" s="102">
        <v>111972682</v>
      </c>
      <c r="EE13" s="71"/>
      <c r="EF13" s="102">
        <v>1741042</v>
      </c>
      <c r="EG13" s="102">
        <v>1318147</v>
      </c>
      <c r="EH13" s="102">
        <v>422895</v>
      </c>
      <c r="EI13" s="102">
        <v>-152919</v>
      </c>
      <c r="EJ13" s="102">
        <v>144960</v>
      </c>
      <c r="EK13" s="71"/>
      <c r="EL13" s="102"/>
      <c r="EM13" s="102">
        <v>355515</v>
      </c>
      <c r="EN13" s="102">
        <v>120</v>
      </c>
      <c r="EO13" s="102">
        <v>170737</v>
      </c>
      <c r="EP13" s="73">
        <f t="shared" si="11"/>
        <v>1617381</v>
      </c>
      <c r="EQ13" s="102">
        <v>66897686</v>
      </c>
      <c r="ER13" s="71">
        <v>-4738103</v>
      </c>
      <c r="ES13" s="102">
        <v>18087707</v>
      </c>
      <c r="ET13" s="102">
        <v>11393415</v>
      </c>
      <c r="EU13" s="102">
        <v>10055547</v>
      </c>
      <c r="EV13" s="102">
        <v>7161262</v>
      </c>
      <c r="EW13" s="73">
        <f t="shared" si="12"/>
        <v>3589631</v>
      </c>
      <c r="EX13" s="102">
        <v>3589631</v>
      </c>
      <c r="EY13" s="102">
        <v>1135101</v>
      </c>
      <c r="EZ13" s="102">
        <v>2329302</v>
      </c>
      <c r="FA13" s="102">
        <v>0</v>
      </c>
      <c r="FB13" s="102">
        <v>0</v>
      </c>
      <c r="FC13" s="102">
        <v>12146960</v>
      </c>
      <c r="FD13" s="102">
        <v>3972749</v>
      </c>
      <c r="FE13" s="102">
        <v>21863</v>
      </c>
      <c r="FF13" s="102">
        <v>12890417</v>
      </c>
      <c r="FG13" s="73">
        <f t="shared" si="13"/>
        <v>2035840</v>
      </c>
      <c r="FH13" s="102">
        <v>69940113</v>
      </c>
      <c r="FI13" s="379">
        <f t="shared" si="14"/>
        <v>0.6</v>
      </c>
      <c r="FJ13" s="102">
        <v>60885021</v>
      </c>
      <c r="FK13" s="102">
        <v>6139432</v>
      </c>
      <c r="FL13" s="102">
        <v>38745086</v>
      </c>
      <c r="FM13" s="102">
        <v>49464027</v>
      </c>
      <c r="FN13" s="428">
        <v>0.77700000000000002</v>
      </c>
      <c r="FO13" s="424">
        <v>93.8</v>
      </c>
      <c r="FP13" s="425">
        <v>27.2</v>
      </c>
      <c r="FQ13" s="424">
        <v>15.3</v>
      </c>
      <c r="FR13" s="424">
        <v>10.9</v>
      </c>
      <c r="FS13" s="425">
        <v>17.2</v>
      </c>
      <c r="FT13" s="424">
        <v>4.2</v>
      </c>
      <c r="FU13" s="425">
        <v>16.5</v>
      </c>
      <c r="FV13" s="384">
        <f t="shared" si="15"/>
        <v>-0.2</v>
      </c>
      <c r="FW13" s="102">
        <v>50488273</v>
      </c>
      <c r="FX13" s="384">
        <f t="shared" si="16"/>
        <v>75.3</v>
      </c>
      <c r="FY13" s="102">
        <v>38656026</v>
      </c>
      <c r="FZ13" s="102">
        <v>14977127</v>
      </c>
      <c r="GA13" s="102">
        <v>2521438</v>
      </c>
      <c r="GB13" s="102">
        <v>21157461</v>
      </c>
      <c r="GC13" s="102">
        <v>0</v>
      </c>
      <c r="GD13" s="427">
        <v>3707</v>
      </c>
      <c r="GE13" s="386">
        <f>IF(GD13=0,"-",ROUND(GD13/(GV13)*100,1))</f>
        <v>5.5</v>
      </c>
      <c r="GF13" s="424">
        <v>99.4</v>
      </c>
      <c r="GG13" s="424">
        <v>40</v>
      </c>
      <c r="GH13" s="424">
        <v>97.9</v>
      </c>
      <c r="GI13" s="102">
        <v>2133</v>
      </c>
      <c r="GJ13" s="429" t="s">
        <v>646</v>
      </c>
      <c r="GK13" s="429">
        <v>11.25</v>
      </c>
      <c r="GL13" s="87">
        <v>20</v>
      </c>
      <c r="GM13" s="429" t="s">
        <v>646</v>
      </c>
      <c r="GN13" s="430">
        <v>16.25</v>
      </c>
      <c r="GO13" s="430">
        <v>30</v>
      </c>
      <c r="GP13" s="425">
        <v>-0.2</v>
      </c>
      <c r="GQ13" s="425">
        <v>25</v>
      </c>
      <c r="GR13" s="425">
        <v>35</v>
      </c>
      <c r="GS13" s="431" t="s">
        <v>646</v>
      </c>
      <c r="GT13" s="425">
        <v>350</v>
      </c>
      <c r="GU13" s="394"/>
      <c r="GV13" s="100">
        <f t="shared" si="17"/>
        <v>67024</v>
      </c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</row>
    <row r="14" spans="2:230" x14ac:dyDescent="0.15">
      <c r="B14" s="89" t="s">
        <v>17</v>
      </c>
      <c r="C14" s="102">
        <v>11473569</v>
      </c>
      <c r="D14" s="73">
        <f t="shared" si="0"/>
        <v>3916256</v>
      </c>
      <c r="E14" s="102">
        <v>130227</v>
      </c>
      <c r="F14" s="102">
        <v>3786029</v>
      </c>
      <c r="G14" s="73">
        <f t="shared" si="1"/>
        <v>766305</v>
      </c>
      <c r="H14" s="102">
        <v>185048</v>
      </c>
      <c r="I14" s="102">
        <v>581257</v>
      </c>
      <c r="J14" s="102">
        <v>4907894</v>
      </c>
      <c r="K14" s="102">
        <v>1603070</v>
      </c>
      <c r="L14" s="102">
        <v>2207623</v>
      </c>
      <c r="M14" s="102">
        <v>888233</v>
      </c>
      <c r="N14" s="102">
        <v>859704</v>
      </c>
      <c r="O14" s="102">
        <v>872595</v>
      </c>
      <c r="P14" s="102">
        <v>410988</v>
      </c>
      <c r="Q14" s="102">
        <v>461607</v>
      </c>
      <c r="R14" s="102">
        <v>168137</v>
      </c>
      <c r="S14" s="74"/>
      <c r="T14" s="73">
        <f t="shared" si="2"/>
        <v>1225782</v>
      </c>
      <c r="U14" s="102">
        <v>40866</v>
      </c>
      <c r="V14" s="102">
        <v>110456</v>
      </c>
      <c r="W14" s="102">
        <v>58243</v>
      </c>
      <c r="X14" s="102">
        <v>975079</v>
      </c>
      <c r="Y14" s="102">
        <v>0</v>
      </c>
      <c r="Z14" s="102">
        <v>0</v>
      </c>
      <c r="AA14" s="102">
        <v>41138</v>
      </c>
      <c r="AB14" s="102">
        <v>73220</v>
      </c>
      <c r="AC14" s="102">
        <v>4703423</v>
      </c>
      <c r="AD14" s="102">
        <v>4277052</v>
      </c>
      <c r="AE14" s="102">
        <v>426370</v>
      </c>
      <c r="AF14" s="102">
        <v>16837</v>
      </c>
      <c r="AG14" s="102">
        <v>370960</v>
      </c>
      <c r="AH14" s="73">
        <f t="shared" si="3"/>
        <v>507007</v>
      </c>
      <c r="AI14" s="102">
        <v>416908</v>
      </c>
      <c r="AJ14" s="102">
        <v>90099</v>
      </c>
      <c r="AK14" s="102">
        <v>5810034</v>
      </c>
      <c r="AL14" s="73">
        <f t="shared" si="4"/>
        <v>3539438</v>
      </c>
      <c r="AM14" s="102">
        <v>2320622</v>
      </c>
      <c r="AN14" s="102">
        <v>519786</v>
      </c>
      <c r="AO14" s="74"/>
      <c r="AP14" s="102">
        <v>699030</v>
      </c>
      <c r="AQ14" s="102">
        <v>253293</v>
      </c>
      <c r="AR14" s="102">
        <v>0</v>
      </c>
      <c r="AS14" s="102">
        <v>0</v>
      </c>
      <c r="AT14" s="102">
        <v>2392766</v>
      </c>
      <c r="AU14" s="102">
        <v>1399535</v>
      </c>
      <c r="AV14" s="102">
        <v>221292</v>
      </c>
      <c r="AW14" s="102">
        <v>168780</v>
      </c>
      <c r="AX14" s="102">
        <v>993231</v>
      </c>
      <c r="AY14" s="102">
        <v>109217</v>
      </c>
      <c r="AZ14" s="102">
        <v>25819</v>
      </c>
      <c r="BA14" s="102">
        <v>4466</v>
      </c>
      <c r="BB14" s="102">
        <v>53302</v>
      </c>
      <c r="BC14" s="102">
        <v>254007</v>
      </c>
      <c r="BD14" s="102">
        <v>0</v>
      </c>
      <c r="BE14" s="102">
        <v>0</v>
      </c>
      <c r="BF14" s="102">
        <v>229889</v>
      </c>
      <c r="BG14" s="102">
        <v>0</v>
      </c>
      <c r="BH14" s="102">
        <v>71823</v>
      </c>
      <c r="BI14" s="102">
        <v>19345</v>
      </c>
      <c r="BJ14" s="102">
        <v>529768</v>
      </c>
      <c r="BK14" s="102">
        <v>171755</v>
      </c>
      <c r="BL14" s="102">
        <v>0</v>
      </c>
      <c r="BM14" s="102">
        <v>53167</v>
      </c>
      <c r="BN14" s="102">
        <v>2633742</v>
      </c>
      <c r="BO14" s="73">
        <f t="shared" si="5"/>
        <v>1081900</v>
      </c>
      <c r="BP14" s="73">
        <f t="shared" si="6"/>
        <v>1551842</v>
      </c>
      <c r="BQ14" s="102">
        <v>0</v>
      </c>
      <c r="BR14" s="102">
        <v>0</v>
      </c>
      <c r="BS14" s="102">
        <v>1551842</v>
      </c>
      <c r="BT14" s="102">
        <v>0</v>
      </c>
      <c r="BU14" s="102">
        <v>30310196</v>
      </c>
      <c r="BV14" s="71"/>
      <c r="BW14" s="102">
        <v>5279616</v>
      </c>
      <c r="BX14" s="102">
        <v>3211774</v>
      </c>
      <c r="BY14" s="102">
        <v>374967</v>
      </c>
      <c r="BZ14" s="102">
        <v>598934</v>
      </c>
      <c r="CA14" s="102">
        <v>9383574</v>
      </c>
      <c r="CB14" s="102">
        <v>1808338</v>
      </c>
      <c r="CC14" s="102">
        <v>162027</v>
      </c>
      <c r="CD14" s="102">
        <v>4206311</v>
      </c>
      <c r="CE14" s="102">
        <v>3102339</v>
      </c>
      <c r="CF14" s="102">
        <v>0</v>
      </c>
      <c r="CG14" s="102">
        <v>104429</v>
      </c>
      <c r="CH14" s="102">
        <v>2598447</v>
      </c>
      <c r="CI14" s="102">
        <v>2217046</v>
      </c>
      <c r="CJ14" s="83">
        <f t="shared" si="18"/>
        <v>381401</v>
      </c>
      <c r="CK14" s="102">
        <v>3141297</v>
      </c>
      <c r="CL14" s="102">
        <v>1690863</v>
      </c>
      <c r="CM14" s="102">
        <v>299645</v>
      </c>
      <c r="CN14" s="102">
        <v>560568</v>
      </c>
      <c r="CO14" s="102">
        <v>114979</v>
      </c>
      <c r="CP14" s="102">
        <v>3408955</v>
      </c>
      <c r="CQ14" s="102">
        <v>1216205</v>
      </c>
      <c r="CR14" s="102">
        <v>743771</v>
      </c>
      <c r="CS14" s="102">
        <v>517042</v>
      </c>
      <c r="CT14" s="73">
        <f t="shared" si="7"/>
        <v>1018378</v>
      </c>
      <c r="CU14" s="102">
        <v>913054</v>
      </c>
      <c r="CV14" s="102">
        <v>105324</v>
      </c>
      <c r="CW14" s="73">
        <f t="shared" si="8"/>
        <v>905000</v>
      </c>
      <c r="CX14" s="102">
        <v>900777</v>
      </c>
      <c r="CY14" s="102">
        <v>4223</v>
      </c>
      <c r="CZ14" s="73">
        <f t="shared" si="9"/>
        <v>0</v>
      </c>
      <c r="DA14" s="102">
        <v>0</v>
      </c>
      <c r="DB14" s="102">
        <v>0</v>
      </c>
      <c r="DC14" s="102">
        <v>2282146</v>
      </c>
      <c r="DD14" s="102">
        <v>794428</v>
      </c>
      <c r="DE14" s="102">
        <v>1380317</v>
      </c>
      <c r="DF14" s="77">
        <v>107401</v>
      </c>
      <c r="DG14" s="78">
        <v>0</v>
      </c>
      <c r="DH14" s="102">
        <v>0</v>
      </c>
      <c r="DI14" s="102">
        <v>109130</v>
      </c>
      <c r="DJ14" s="102">
        <v>10000</v>
      </c>
      <c r="DK14" s="102">
        <v>0</v>
      </c>
      <c r="DL14" s="102">
        <v>99130</v>
      </c>
      <c r="DM14" s="102">
        <v>0</v>
      </c>
      <c r="DN14" s="102">
        <v>0</v>
      </c>
      <c r="DO14" s="102">
        <v>0</v>
      </c>
      <c r="DP14" s="102">
        <v>0</v>
      </c>
      <c r="DQ14" s="102">
        <v>165010</v>
      </c>
      <c r="DR14" s="102">
        <v>0</v>
      </c>
      <c r="DS14" s="102">
        <v>0</v>
      </c>
      <c r="DT14" s="102">
        <v>3744901</v>
      </c>
      <c r="DU14" s="102">
        <v>1153468</v>
      </c>
      <c r="DV14" s="73">
        <f t="shared" si="10"/>
        <v>0</v>
      </c>
      <c r="DW14" s="102">
        <v>0</v>
      </c>
      <c r="DX14" s="102">
        <v>1100556</v>
      </c>
      <c r="DY14" s="102">
        <v>0</v>
      </c>
      <c r="DZ14" s="102">
        <v>612273</v>
      </c>
      <c r="EA14" s="74">
        <v>0</v>
      </c>
      <c r="EB14" s="102">
        <v>878604</v>
      </c>
      <c r="EC14" s="102">
        <v>0</v>
      </c>
      <c r="ED14" s="102">
        <v>30228055</v>
      </c>
      <c r="EE14" s="71"/>
      <c r="EF14" s="102">
        <v>82141</v>
      </c>
      <c r="EG14" s="102">
        <v>17579</v>
      </c>
      <c r="EH14" s="102">
        <v>64562</v>
      </c>
      <c r="EI14" s="102">
        <v>45217</v>
      </c>
      <c r="EJ14" s="102">
        <v>55217</v>
      </c>
      <c r="EK14" s="71"/>
      <c r="EL14" s="102"/>
      <c r="EM14" s="102">
        <v>89876</v>
      </c>
      <c r="EN14" s="102">
        <v>0</v>
      </c>
      <c r="EO14" s="102">
        <v>23674</v>
      </c>
      <c r="EP14" s="73">
        <f t="shared" si="11"/>
        <v>349692</v>
      </c>
      <c r="EQ14" s="102">
        <v>17660968</v>
      </c>
      <c r="ER14" s="71">
        <v>-1908371</v>
      </c>
      <c r="ES14" s="102">
        <v>4853534</v>
      </c>
      <c r="ET14" s="102">
        <v>2921776</v>
      </c>
      <c r="EU14" s="102">
        <v>2461501</v>
      </c>
      <c r="EV14" s="102">
        <v>2598447</v>
      </c>
      <c r="EW14" s="73">
        <f t="shared" si="12"/>
        <v>533705</v>
      </c>
      <c r="EX14" s="102">
        <v>533705</v>
      </c>
      <c r="EY14" s="102">
        <v>4860</v>
      </c>
      <c r="EZ14" s="102">
        <v>451544</v>
      </c>
      <c r="FA14" s="102">
        <v>0</v>
      </c>
      <c r="FB14" s="102">
        <v>0</v>
      </c>
      <c r="FC14" s="102">
        <v>2587866</v>
      </c>
      <c r="FD14" s="102">
        <v>3116333</v>
      </c>
      <c r="FE14" s="102">
        <v>1136205</v>
      </c>
      <c r="FF14" s="102">
        <v>3231218</v>
      </c>
      <c r="FG14" s="73">
        <f t="shared" si="13"/>
        <v>104594</v>
      </c>
      <c r="FH14" s="102">
        <v>19487198</v>
      </c>
      <c r="FI14" s="379">
        <f t="shared" si="14"/>
        <v>0.4</v>
      </c>
      <c r="FJ14" s="102">
        <v>16166292</v>
      </c>
      <c r="FK14" s="102">
        <v>1551842</v>
      </c>
      <c r="FL14" s="102">
        <v>9208594</v>
      </c>
      <c r="FM14" s="102">
        <v>13467620</v>
      </c>
      <c r="FN14" s="428">
        <v>0.67400000000000004</v>
      </c>
      <c r="FO14" s="424">
        <v>99.9</v>
      </c>
      <c r="FP14" s="425">
        <v>26.8</v>
      </c>
      <c r="FQ14" s="424">
        <v>13.6</v>
      </c>
      <c r="FR14" s="424">
        <v>14.4</v>
      </c>
      <c r="FS14" s="425">
        <v>13.3</v>
      </c>
      <c r="FT14" s="424">
        <v>15.4</v>
      </c>
      <c r="FU14" s="425">
        <v>16</v>
      </c>
      <c r="FV14" s="384">
        <f t="shared" si="15"/>
        <v>12.9</v>
      </c>
      <c r="FW14" s="102">
        <v>26713744</v>
      </c>
      <c r="FX14" s="384">
        <f t="shared" si="16"/>
        <v>150.80000000000001</v>
      </c>
      <c r="FY14" s="102">
        <v>2419617</v>
      </c>
      <c r="FZ14" s="102">
        <v>1184373</v>
      </c>
      <c r="GA14" s="102">
        <v>188585</v>
      </c>
      <c r="GB14" s="102">
        <v>1046659</v>
      </c>
      <c r="GC14" s="102">
        <v>0</v>
      </c>
      <c r="GD14" s="427"/>
      <c r="GE14" s="386"/>
      <c r="GF14" s="424">
        <v>98.9</v>
      </c>
      <c r="GG14" s="424">
        <v>22.7</v>
      </c>
      <c r="GH14" s="424">
        <v>95.5</v>
      </c>
      <c r="GI14" s="102">
        <v>554</v>
      </c>
      <c r="GJ14" s="429" t="s">
        <v>646</v>
      </c>
      <c r="GK14" s="429">
        <v>12.61</v>
      </c>
      <c r="GL14" s="87">
        <v>20</v>
      </c>
      <c r="GM14" s="429" t="s">
        <v>646</v>
      </c>
      <c r="GN14" s="430">
        <v>17.61</v>
      </c>
      <c r="GO14" s="430">
        <v>30</v>
      </c>
      <c r="GP14" s="425">
        <v>12.9</v>
      </c>
      <c r="GQ14" s="425">
        <v>25</v>
      </c>
      <c r="GR14" s="425">
        <v>35</v>
      </c>
      <c r="GS14" s="431">
        <v>69.099999999999994</v>
      </c>
      <c r="GT14" s="425">
        <v>350</v>
      </c>
      <c r="GU14" s="394"/>
      <c r="GV14" s="100">
        <f t="shared" si="17"/>
        <v>17718</v>
      </c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</row>
    <row r="15" spans="2:230" x14ac:dyDescent="0.15">
      <c r="B15" s="89" t="s">
        <v>19</v>
      </c>
      <c r="C15" s="102">
        <v>21511271</v>
      </c>
      <c r="D15" s="73">
        <f t="shared" si="0"/>
        <v>6584259</v>
      </c>
      <c r="E15" s="102">
        <v>210193</v>
      </c>
      <c r="F15" s="102">
        <v>6374066</v>
      </c>
      <c r="G15" s="73">
        <f t="shared" si="1"/>
        <v>1580125</v>
      </c>
      <c r="H15" s="102">
        <v>472831</v>
      </c>
      <c r="I15" s="102">
        <v>1107294</v>
      </c>
      <c r="J15" s="102">
        <v>9411651</v>
      </c>
      <c r="K15" s="102">
        <v>3780423</v>
      </c>
      <c r="L15" s="102">
        <v>4037665</v>
      </c>
      <c r="M15" s="102">
        <v>1375634</v>
      </c>
      <c r="N15" s="102">
        <v>1140558</v>
      </c>
      <c r="O15" s="102">
        <v>1920174</v>
      </c>
      <c r="P15" s="102">
        <v>1024067</v>
      </c>
      <c r="Q15" s="102">
        <v>896107</v>
      </c>
      <c r="R15" s="102">
        <v>205692</v>
      </c>
      <c r="S15" s="74"/>
      <c r="T15" s="73">
        <f t="shared" si="2"/>
        <v>2173779</v>
      </c>
      <c r="U15" s="102">
        <v>68213</v>
      </c>
      <c r="V15" s="102">
        <v>184219</v>
      </c>
      <c r="W15" s="102">
        <v>97086</v>
      </c>
      <c r="X15" s="102">
        <v>1773790</v>
      </c>
      <c r="Y15" s="102">
        <v>0</v>
      </c>
      <c r="Z15" s="102">
        <v>0</v>
      </c>
      <c r="AA15" s="102">
        <v>50471</v>
      </c>
      <c r="AB15" s="102">
        <v>105466</v>
      </c>
      <c r="AC15" s="102">
        <v>6443712</v>
      </c>
      <c r="AD15" s="102">
        <v>5765642</v>
      </c>
      <c r="AE15" s="102">
        <v>678069</v>
      </c>
      <c r="AF15" s="102">
        <v>18076</v>
      </c>
      <c r="AG15" s="102">
        <v>1462476</v>
      </c>
      <c r="AH15" s="73">
        <f t="shared" si="3"/>
        <v>1012596</v>
      </c>
      <c r="AI15" s="102">
        <v>775373</v>
      </c>
      <c r="AJ15" s="102">
        <v>237223</v>
      </c>
      <c r="AK15" s="102">
        <v>14602457</v>
      </c>
      <c r="AL15" s="73">
        <f t="shared" si="4"/>
        <v>10102082</v>
      </c>
      <c r="AM15" s="102">
        <v>8218460</v>
      </c>
      <c r="AN15" s="102">
        <v>495098</v>
      </c>
      <c r="AO15" s="74"/>
      <c r="AP15" s="102">
        <v>1388524</v>
      </c>
      <c r="AQ15" s="102">
        <v>1574907</v>
      </c>
      <c r="AR15" s="102">
        <v>0</v>
      </c>
      <c r="AS15" s="102">
        <v>0</v>
      </c>
      <c r="AT15" s="102">
        <v>4136191</v>
      </c>
      <c r="AU15" s="102">
        <v>3157770</v>
      </c>
      <c r="AV15" s="102">
        <v>297124</v>
      </c>
      <c r="AW15" s="102">
        <v>547609</v>
      </c>
      <c r="AX15" s="102">
        <v>978421</v>
      </c>
      <c r="AY15" s="102">
        <v>108072</v>
      </c>
      <c r="AZ15" s="102">
        <v>1699779</v>
      </c>
      <c r="BA15" s="102">
        <v>1606070</v>
      </c>
      <c r="BB15" s="102">
        <v>154901</v>
      </c>
      <c r="BC15" s="102">
        <v>2232316</v>
      </c>
      <c r="BD15" s="102">
        <v>600000</v>
      </c>
      <c r="BE15" s="102">
        <v>62682</v>
      </c>
      <c r="BF15" s="102">
        <v>1569634</v>
      </c>
      <c r="BG15" s="102">
        <v>0</v>
      </c>
      <c r="BH15" s="102">
        <v>625722</v>
      </c>
      <c r="BI15" s="102">
        <v>612694</v>
      </c>
      <c r="BJ15" s="102">
        <v>826466</v>
      </c>
      <c r="BK15" s="102">
        <v>14406</v>
      </c>
      <c r="BL15" s="102">
        <v>0</v>
      </c>
      <c r="BM15" s="102">
        <v>58235</v>
      </c>
      <c r="BN15" s="102">
        <v>10158200</v>
      </c>
      <c r="BO15" s="73">
        <f t="shared" si="5"/>
        <v>7009700</v>
      </c>
      <c r="BP15" s="73">
        <f t="shared" si="6"/>
        <v>3148500</v>
      </c>
      <c r="BQ15" s="102">
        <v>0</v>
      </c>
      <c r="BR15" s="102">
        <v>0</v>
      </c>
      <c r="BS15" s="102">
        <v>3148500</v>
      </c>
      <c r="BT15" s="102">
        <v>0</v>
      </c>
      <c r="BU15" s="102">
        <v>67369100</v>
      </c>
      <c r="BV15" s="71"/>
      <c r="BW15" s="102">
        <v>8858736</v>
      </c>
      <c r="BX15" s="102">
        <v>5272599</v>
      </c>
      <c r="BY15" s="102">
        <v>1533127</v>
      </c>
      <c r="BZ15" s="102">
        <v>445578</v>
      </c>
      <c r="CA15" s="102">
        <v>20966247</v>
      </c>
      <c r="CB15" s="102">
        <v>3355767</v>
      </c>
      <c r="CC15" s="102">
        <v>241913</v>
      </c>
      <c r="CD15" s="102">
        <v>5079025</v>
      </c>
      <c r="CE15" s="102">
        <v>10952703</v>
      </c>
      <c r="CF15" s="102">
        <v>1180413</v>
      </c>
      <c r="CG15" s="102">
        <v>156283</v>
      </c>
      <c r="CH15" s="102">
        <v>5254121</v>
      </c>
      <c r="CI15" s="102">
        <v>4533177</v>
      </c>
      <c r="CJ15" s="83">
        <f t="shared" si="18"/>
        <v>720944</v>
      </c>
      <c r="CK15" s="102">
        <v>5553991</v>
      </c>
      <c r="CL15" s="102">
        <v>3094704</v>
      </c>
      <c r="CM15" s="102">
        <v>497483</v>
      </c>
      <c r="CN15" s="102">
        <v>771593</v>
      </c>
      <c r="CO15" s="102">
        <v>442245</v>
      </c>
      <c r="CP15" s="102">
        <v>3781064</v>
      </c>
      <c r="CQ15" s="102">
        <v>1860318</v>
      </c>
      <c r="CR15" s="102">
        <v>710540</v>
      </c>
      <c r="CS15" s="102">
        <v>415225</v>
      </c>
      <c r="CT15" s="73">
        <f t="shared" si="7"/>
        <v>80988</v>
      </c>
      <c r="CU15" s="102">
        <v>0</v>
      </c>
      <c r="CV15" s="102">
        <v>80988</v>
      </c>
      <c r="CW15" s="73">
        <f t="shared" si="8"/>
        <v>0</v>
      </c>
      <c r="CX15" s="102">
        <v>0</v>
      </c>
      <c r="CY15" s="102">
        <v>0</v>
      </c>
      <c r="CZ15" s="73">
        <f t="shared" si="9"/>
        <v>0</v>
      </c>
      <c r="DA15" s="102">
        <v>0</v>
      </c>
      <c r="DB15" s="102">
        <v>0</v>
      </c>
      <c r="DC15" s="102">
        <v>11727139</v>
      </c>
      <c r="DD15" s="102">
        <v>3734734</v>
      </c>
      <c r="DE15" s="102">
        <v>7975067</v>
      </c>
      <c r="DF15" s="77">
        <v>17338</v>
      </c>
      <c r="DG15" s="78">
        <v>0</v>
      </c>
      <c r="DH15" s="102">
        <v>0</v>
      </c>
      <c r="DI15" s="102">
        <v>1739019</v>
      </c>
      <c r="DJ15" s="102">
        <v>5779</v>
      </c>
      <c r="DK15" s="102">
        <v>1505560</v>
      </c>
      <c r="DL15" s="102">
        <v>227680</v>
      </c>
      <c r="DM15" s="102">
        <v>20440</v>
      </c>
      <c r="DN15" s="102">
        <v>20440</v>
      </c>
      <c r="DO15" s="102">
        <v>20440</v>
      </c>
      <c r="DP15" s="102">
        <v>0</v>
      </c>
      <c r="DQ15" s="102">
        <v>1852</v>
      </c>
      <c r="DR15" s="102">
        <v>0</v>
      </c>
      <c r="DS15" s="102">
        <v>0</v>
      </c>
      <c r="DT15" s="102">
        <v>7715093</v>
      </c>
      <c r="DU15" s="102">
        <v>2017151</v>
      </c>
      <c r="DV15" s="73">
        <f t="shared" si="10"/>
        <v>0</v>
      </c>
      <c r="DW15" s="102">
        <v>0</v>
      </c>
      <c r="DX15" s="102">
        <v>1790026</v>
      </c>
      <c r="DY15" s="102">
        <v>0</v>
      </c>
      <c r="DZ15" s="102">
        <v>2182105</v>
      </c>
      <c r="EA15" s="74">
        <v>0</v>
      </c>
      <c r="EB15" s="102">
        <v>1725811</v>
      </c>
      <c r="EC15" s="102">
        <v>0</v>
      </c>
      <c r="ED15" s="102">
        <v>66059947</v>
      </c>
      <c r="EE15" s="71"/>
      <c r="EF15" s="102">
        <v>1309153</v>
      </c>
      <c r="EG15" s="102">
        <v>279407</v>
      </c>
      <c r="EH15" s="102">
        <v>1029746</v>
      </c>
      <c r="EI15" s="102">
        <v>-582948</v>
      </c>
      <c r="EJ15" s="102">
        <v>-1175797</v>
      </c>
      <c r="EK15" s="71"/>
      <c r="EL15" s="102"/>
      <c r="EM15" s="102">
        <v>145037</v>
      </c>
      <c r="EN15" s="102">
        <v>662682</v>
      </c>
      <c r="EO15" s="102">
        <v>177793</v>
      </c>
      <c r="EP15" s="73">
        <f t="shared" si="11"/>
        <v>1266620</v>
      </c>
      <c r="EQ15" s="102">
        <v>30457996</v>
      </c>
      <c r="ER15" s="71">
        <v>-5237519</v>
      </c>
      <c r="ES15" s="102">
        <v>8413060</v>
      </c>
      <c r="ET15" s="102">
        <v>4929655</v>
      </c>
      <c r="EU15" s="102">
        <v>5131516</v>
      </c>
      <c r="EV15" s="102">
        <v>5224855</v>
      </c>
      <c r="EW15" s="73">
        <f t="shared" si="12"/>
        <v>1197912</v>
      </c>
      <c r="EX15" s="102">
        <v>1197912</v>
      </c>
      <c r="EY15" s="102">
        <v>61398</v>
      </c>
      <c r="EZ15" s="102">
        <v>1134776</v>
      </c>
      <c r="FA15" s="102">
        <v>0</v>
      </c>
      <c r="FB15" s="102">
        <v>0</v>
      </c>
      <c r="FC15" s="102">
        <v>4303374</v>
      </c>
      <c r="FD15" s="102">
        <v>3383323</v>
      </c>
      <c r="FE15" s="102">
        <v>1858987</v>
      </c>
      <c r="FF15" s="102">
        <v>6429175</v>
      </c>
      <c r="FG15" s="73">
        <f t="shared" si="13"/>
        <v>303147</v>
      </c>
      <c r="FH15" s="102">
        <v>34386362</v>
      </c>
      <c r="FI15" s="379">
        <f t="shared" si="14"/>
        <v>3.4</v>
      </c>
      <c r="FJ15" s="102">
        <v>27283390</v>
      </c>
      <c r="FK15" s="102">
        <v>3148547</v>
      </c>
      <c r="FL15" s="102">
        <v>16580171</v>
      </c>
      <c r="FM15" s="102">
        <v>22341147</v>
      </c>
      <c r="FN15" s="428">
        <v>0.75</v>
      </c>
      <c r="FO15" s="424">
        <v>97</v>
      </c>
      <c r="FP15" s="425">
        <v>26</v>
      </c>
      <c r="FQ15" s="424">
        <v>16.399999999999999</v>
      </c>
      <c r="FR15" s="424">
        <v>16.7</v>
      </c>
      <c r="FS15" s="425">
        <v>12.7</v>
      </c>
      <c r="FT15" s="424">
        <v>8.6</v>
      </c>
      <c r="FU15" s="425">
        <v>15.9</v>
      </c>
      <c r="FV15" s="384">
        <f t="shared" si="15"/>
        <v>7.6</v>
      </c>
      <c r="FW15" s="102">
        <v>58834979</v>
      </c>
      <c r="FX15" s="384">
        <f t="shared" si="16"/>
        <v>193.3</v>
      </c>
      <c r="FY15" s="102">
        <v>5069607</v>
      </c>
      <c r="FZ15" s="102">
        <v>1150496</v>
      </c>
      <c r="GA15" s="102">
        <v>1444586</v>
      </c>
      <c r="GB15" s="102">
        <v>2474525</v>
      </c>
      <c r="GC15" s="102">
        <v>600000</v>
      </c>
      <c r="GD15" s="427"/>
      <c r="GE15" s="386"/>
      <c r="GF15" s="424">
        <v>98.4</v>
      </c>
      <c r="GG15" s="424">
        <v>25.2</v>
      </c>
      <c r="GH15" s="424">
        <v>93.3</v>
      </c>
      <c r="GI15" s="102">
        <v>798</v>
      </c>
      <c r="GJ15" s="429" t="s">
        <v>646</v>
      </c>
      <c r="GK15" s="429">
        <v>11.79</v>
      </c>
      <c r="GL15" s="87">
        <v>20</v>
      </c>
      <c r="GM15" s="429" t="s">
        <v>646</v>
      </c>
      <c r="GN15" s="430">
        <v>16.79</v>
      </c>
      <c r="GO15" s="430">
        <v>30</v>
      </c>
      <c r="GP15" s="425">
        <v>7.6</v>
      </c>
      <c r="GQ15" s="425">
        <v>25</v>
      </c>
      <c r="GR15" s="425">
        <v>35</v>
      </c>
      <c r="GS15" s="431">
        <v>76.7</v>
      </c>
      <c r="GT15" s="425">
        <v>350</v>
      </c>
      <c r="GU15" s="394"/>
      <c r="GV15" s="100">
        <f t="shared" si="17"/>
        <v>30432</v>
      </c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</row>
    <row r="16" spans="2:230" x14ac:dyDescent="0.15">
      <c r="B16" s="89" t="s">
        <v>21</v>
      </c>
      <c r="C16" s="102">
        <v>56221017</v>
      </c>
      <c r="D16" s="73">
        <f t="shared" si="0"/>
        <v>22163424</v>
      </c>
      <c r="E16" s="102">
        <v>638820</v>
      </c>
      <c r="F16" s="102">
        <v>21524604</v>
      </c>
      <c r="G16" s="73">
        <f t="shared" si="1"/>
        <v>4719308</v>
      </c>
      <c r="H16" s="102">
        <v>692770</v>
      </c>
      <c r="I16" s="102">
        <v>4026538</v>
      </c>
      <c r="J16" s="102">
        <v>21003092</v>
      </c>
      <c r="K16" s="102">
        <v>8352083</v>
      </c>
      <c r="L16" s="102">
        <v>9869364</v>
      </c>
      <c r="M16" s="102">
        <v>2429109</v>
      </c>
      <c r="N16" s="102">
        <v>2092301</v>
      </c>
      <c r="O16" s="102">
        <v>4524617</v>
      </c>
      <c r="P16" s="102">
        <v>2411984</v>
      </c>
      <c r="Q16" s="102">
        <v>2112633</v>
      </c>
      <c r="R16" s="102">
        <v>594745</v>
      </c>
      <c r="S16" s="74"/>
      <c r="T16" s="73">
        <f t="shared" si="2"/>
        <v>5676861</v>
      </c>
      <c r="U16" s="102">
        <v>237637</v>
      </c>
      <c r="V16" s="102">
        <v>640498</v>
      </c>
      <c r="W16" s="102">
        <v>337115</v>
      </c>
      <c r="X16" s="102">
        <v>4231415</v>
      </c>
      <c r="Y16" s="102">
        <v>84232</v>
      </c>
      <c r="Z16" s="102">
        <v>0</v>
      </c>
      <c r="AA16" s="102">
        <v>145964</v>
      </c>
      <c r="AB16" s="102">
        <v>301244</v>
      </c>
      <c r="AC16" s="102">
        <v>12732349</v>
      </c>
      <c r="AD16" s="102">
        <v>12458088</v>
      </c>
      <c r="AE16" s="102">
        <v>274253</v>
      </c>
      <c r="AF16" s="102">
        <v>54858</v>
      </c>
      <c r="AG16" s="102">
        <v>1259948</v>
      </c>
      <c r="AH16" s="73">
        <f t="shared" si="3"/>
        <v>2376928</v>
      </c>
      <c r="AI16" s="102">
        <v>1869586</v>
      </c>
      <c r="AJ16" s="102">
        <v>507342</v>
      </c>
      <c r="AK16" s="102">
        <v>24375970</v>
      </c>
      <c r="AL16" s="73">
        <f t="shared" si="4"/>
        <v>14494216</v>
      </c>
      <c r="AM16" s="102">
        <v>10237514</v>
      </c>
      <c r="AN16" s="102">
        <v>1539329</v>
      </c>
      <c r="AO16" s="74"/>
      <c r="AP16" s="102">
        <v>2717373</v>
      </c>
      <c r="AQ16" s="102">
        <v>189147</v>
      </c>
      <c r="AR16" s="102">
        <v>0</v>
      </c>
      <c r="AS16" s="102">
        <v>0</v>
      </c>
      <c r="AT16" s="102">
        <v>7272441</v>
      </c>
      <c r="AU16" s="102">
        <v>5478690</v>
      </c>
      <c r="AV16" s="102">
        <v>6151</v>
      </c>
      <c r="AW16" s="102">
        <v>250696</v>
      </c>
      <c r="AX16" s="102">
        <v>1793751</v>
      </c>
      <c r="AY16" s="102">
        <v>110435</v>
      </c>
      <c r="AZ16" s="102">
        <v>93823</v>
      </c>
      <c r="BA16" s="102">
        <v>24347</v>
      </c>
      <c r="BB16" s="102">
        <v>7993</v>
      </c>
      <c r="BC16" s="102">
        <v>360614</v>
      </c>
      <c r="BD16" s="102">
        <v>0</v>
      </c>
      <c r="BE16" s="102">
        <v>167987</v>
      </c>
      <c r="BF16" s="102">
        <v>189127</v>
      </c>
      <c r="BG16" s="102">
        <v>0</v>
      </c>
      <c r="BH16" s="102">
        <v>1893867</v>
      </c>
      <c r="BI16" s="102">
        <v>1656358</v>
      </c>
      <c r="BJ16" s="102">
        <v>1508283</v>
      </c>
      <c r="BK16" s="102">
        <v>29046</v>
      </c>
      <c r="BL16" s="102">
        <v>0</v>
      </c>
      <c r="BM16" s="102">
        <v>80317</v>
      </c>
      <c r="BN16" s="102">
        <v>10501698</v>
      </c>
      <c r="BO16" s="73">
        <f t="shared" si="5"/>
        <v>2303000</v>
      </c>
      <c r="BP16" s="73">
        <f t="shared" si="6"/>
        <v>8198698</v>
      </c>
      <c r="BQ16" s="102">
        <v>0</v>
      </c>
      <c r="BR16" s="102">
        <v>0</v>
      </c>
      <c r="BS16" s="102">
        <v>8198698</v>
      </c>
      <c r="BT16" s="102">
        <v>0</v>
      </c>
      <c r="BU16" s="102">
        <v>125232639</v>
      </c>
      <c r="BV16" s="71"/>
      <c r="BW16" s="102">
        <v>20192681</v>
      </c>
      <c r="BX16" s="102">
        <v>14416394</v>
      </c>
      <c r="BY16" s="102">
        <v>921132</v>
      </c>
      <c r="BZ16" s="102">
        <v>1276834</v>
      </c>
      <c r="CA16" s="102">
        <v>38698734</v>
      </c>
      <c r="CB16" s="102">
        <v>7756362</v>
      </c>
      <c r="CC16" s="102">
        <v>696708</v>
      </c>
      <c r="CD16" s="102">
        <v>16279013</v>
      </c>
      <c r="CE16" s="102">
        <v>13430691</v>
      </c>
      <c r="CF16" s="102">
        <v>106142</v>
      </c>
      <c r="CG16" s="102">
        <v>429348</v>
      </c>
      <c r="CH16" s="102">
        <v>11659879</v>
      </c>
      <c r="CI16" s="102">
        <v>10446479</v>
      </c>
      <c r="CJ16" s="83">
        <f t="shared" si="18"/>
        <v>1213400</v>
      </c>
      <c r="CK16" s="102">
        <v>12617775</v>
      </c>
      <c r="CL16" s="102">
        <v>7496002</v>
      </c>
      <c r="CM16" s="102">
        <v>721214</v>
      </c>
      <c r="CN16" s="102">
        <v>2562997</v>
      </c>
      <c r="CO16" s="102">
        <v>1266494</v>
      </c>
      <c r="CP16" s="102">
        <v>16240677</v>
      </c>
      <c r="CQ16" s="102">
        <v>4232610</v>
      </c>
      <c r="CR16" s="102">
        <v>3265789</v>
      </c>
      <c r="CS16" s="102">
        <v>2117734</v>
      </c>
      <c r="CT16" s="73">
        <f t="shared" si="7"/>
        <v>7035541</v>
      </c>
      <c r="CU16" s="102">
        <v>2525471</v>
      </c>
      <c r="CV16" s="102">
        <v>4510070</v>
      </c>
      <c r="CW16" s="73">
        <f t="shared" si="8"/>
        <v>1473837</v>
      </c>
      <c r="CX16" s="102">
        <v>1315977</v>
      </c>
      <c r="CY16" s="102">
        <v>157860</v>
      </c>
      <c r="CZ16" s="73">
        <f t="shared" si="9"/>
        <v>5330453</v>
      </c>
      <c r="DA16" s="102">
        <v>1097519</v>
      </c>
      <c r="DB16" s="102">
        <v>4232934</v>
      </c>
      <c r="DC16" s="102">
        <v>7656595</v>
      </c>
      <c r="DD16" s="102">
        <v>2316170</v>
      </c>
      <c r="DE16" s="102">
        <v>5214432</v>
      </c>
      <c r="DF16" s="77">
        <v>15709</v>
      </c>
      <c r="DG16" s="78">
        <v>110284</v>
      </c>
      <c r="DH16" s="102">
        <v>19149</v>
      </c>
      <c r="DI16" s="102">
        <v>2175699</v>
      </c>
      <c r="DJ16" s="102">
        <v>1039736</v>
      </c>
      <c r="DK16" s="102">
        <v>506975</v>
      </c>
      <c r="DL16" s="102">
        <v>628988</v>
      </c>
      <c r="DM16" s="102">
        <v>235300</v>
      </c>
      <c r="DN16" s="102">
        <v>235300</v>
      </c>
      <c r="DO16" s="102">
        <v>235300</v>
      </c>
      <c r="DP16" s="102">
        <v>0</v>
      </c>
      <c r="DQ16" s="102">
        <v>6097</v>
      </c>
      <c r="DR16" s="102">
        <v>0</v>
      </c>
      <c r="DS16" s="102">
        <v>0</v>
      </c>
      <c r="DT16" s="102">
        <v>12421021</v>
      </c>
      <c r="DU16" s="102">
        <v>0</v>
      </c>
      <c r="DV16" s="73">
        <f t="shared" si="10"/>
        <v>0</v>
      </c>
      <c r="DW16" s="102">
        <v>0</v>
      </c>
      <c r="DX16" s="102">
        <v>3730829</v>
      </c>
      <c r="DY16" s="102">
        <v>0</v>
      </c>
      <c r="DZ16" s="102">
        <v>4931086</v>
      </c>
      <c r="EA16" s="74">
        <v>0</v>
      </c>
      <c r="EB16" s="102">
        <v>3759106</v>
      </c>
      <c r="EC16" s="102">
        <v>0</v>
      </c>
      <c r="ED16" s="102">
        <v>123190101</v>
      </c>
      <c r="EE16" s="71"/>
      <c r="EF16" s="102">
        <v>2042538</v>
      </c>
      <c r="EG16" s="102">
        <v>166104</v>
      </c>
      <c r="EH16" s="102">
        <v>1876434</v>
      </c>
      <c r="EI16" s="102">
        <v>220076</v>
      </c>
      <c r="EJ16" s="102">
        <v>2406096</v>
      </c>
      <c r="EK16" s="71"/>
      <c r="EL16" s="102"/>
      <c r="EM16" s="102">
        <v>407528</v>
      </c>
      <c r="EN16" s="102">
        <v>171487</v>
      </c>
      <c r="EO16" s="102">
        <v>56731</v>
      </c>
      <c r="EP16" s="73">
        <f t="shared" si="11"/>
        <v>3543619</v>
      </c>
      <c r="EQ16" s="102">
        <v>75581074</v>
      </c>
      <c r="ER16" s="71">
        <v>-11915677</v>
      </c>
      <c r="ES16" s="102">
        <v>18672279</v>
      </c>
      <c r="ET16" s="102">
        <v>13122859</v>
      </c>
      <c r="EU16" s="102">
        <v>12017238</v>
      </c>
      <c r="EV16" s="102">
        <v>11659879</v>
      </c>
      <c r="EW16" s="73">
        <f t="shared" si="12"/>
        <v>3888629</v>
      </c>
      <c r="EX16" s="102">
        <v>3869480</v>
      </c>
      <c r="EY16" s="102">
        <v>182756</v>
      </c>
      <c r="EZ16" s="102">
        <v>3684815</v>
      </c>
      <c r="FA16" s="102">
        <v>19149</v>
      </c>
      <c r="FB16" s="102">
        <v>0</v>
      </c>
      <c r="FC16" s="102">
        <v>10417326</v>
      </c>
      <c r="FD16" s="102">
        <v>14881044</v>
      </c>
      <c r="FE16" s="102">
        <v>4231155</v>
      </c>
      <c r="FF16" s="102">
        <v>10532667</v>
      </c>
      <c r="FG16" s="73">
        <f t="shared" si="13"/>
        <v>3385151</v>
      </c>
      <c r="FH16" s="102">
        <v>85454213</v>
      </c>
      <c r="FI16" s="379">
        <f t="shared" si="14"/>
        <v>2.4</v>
      </c>
      <c r="FJ16" s="102">
        <v>68694351</v>
      </c>
      <c r="FK16" s="102">
        <v>8198698</v>
      </c>
      <c r="FL16" s="102">
        <v>43497331</v>
      </c>
      <c r="FM16" s="102">
        <v>55955419</v>
      </c>
      <c r="FN16" s="428">
        <v>0.79200000000000004</v>
      </c>
      <c r="FO16" s="424">
        <v>87.2</v>
      </c>
      <c r="FP16" s="425">
        <v>22.9</v>
      </c>
      <c r="FQ16" s="424">
        <v>15</v>
      </c>
      <c r="FR16" s="424">
        <v>13.2</v>
      </c>
      <c r="FS16" s="425">
        <v>11.4</v>
      </c>
      <c r="FT16" s="424">
        <v>13</v>
      </c>
      <c r="FU16" s="425">
        <v>10</v>
      </c>
      <c r="FV16" s="384">
        <f t="shared" si="15"/>
        <v>0.8</v>
      </c>
      <c r="FW16" s="102">
        <v>96903574</v>
      </c>
      <c r="FX16" s="384">
        <f t="shared" si="16"/>
        <v>126</v>
      </c>
      <c r="FY16" s="102">
        <v>29726361</v>
      </c>
      <c r="FZ16" s="102">
        <v>9076691</v>
      </c>
      <c r="GA16" s="102">
        <v>6346305</v>
      </c>
      <c r="GB16" s="102">
        <v>14303365</v>
      </c>
      <c r="GC16" s="102">
        <v>5000000</v>
      </c>
      <c r="GD16" s="427">
        <v>7248</v>
      </c>
      <c r="GE16" s="386">
        <f>IF(GD16=0,"-",ROUND(GD16/(GV16)*100,1))</f>
        <v>9.4</v>
      </c>
      <c r="GF16" s="424">
        <v>99.4</v>
      </c>
      <c r="GG16" s="424">
        <v>32.799999999999997</v>
      </c>
      <c r="GH16" s="424">
        <v>97.2</v>
      </c>
      <c r="GI16" s="102">
        <v>2088</v>
      </c>
      <c r="GJ16" s="429" t="s">
        <v>646</v>
      </c>
      <c r="GK16" s="429">
        <v>11.25</v>
      </c>
      <c r="GL16" s="87">
        <v>20</v>
      </c>
      <c r="GM16" s="429" t="s">
        <v>646</v>
      </c>
      <c r="GN16" s="430">
        <v>16.25</v>
      </c>
      <c r="GO16" s="430">
        <v>30</v>
      </c>
      <c r="GP16" s="425">
        <v>0.8</v>
      </c>
      <c r="GQ16" s="425">
        <v>25</v>
      </c>
      <c r="GR16" s="425">
        <v>35</v>
      </c>
      <c r="GS16" s="431" t="s">
        <v>646</v>
      </c>
      <c r="GT16" s="425">
        <v>350</v>
      </c>
      <c r="GU16" s="394"/>
      <c r="GV16" s="100">
        <f t="shared" si="17"/>
        <v>76893</v>
      </c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</row>
    <row r="17" spans="2:230" x14ac:dyDescent="0.15">
      <c r="B17" s="89" t="s">
        <v>23</v>
      </c>
      <c r="C17" s="102">
        <v>44394030</v>
      </c>
      <c r="D17" s="73">
        <f t="shared" si="0"/>
        <v>17070756</v>
      </c>
      <c r="E17" s="102">
        <v>449317</v>
      </c>
      <c r="F17" s="102">
        <v>16621439</v>
      </c>
      <c r="G17" s="73">
        <f t="shared" si="1"/>
        <v>3595939</v>
      </c>
      <c r="H17" s="102">
        <v>716834</v>
      </c>
      <c r="I17" s="102">
        <v>2879105</v>
      </c>
      <c r="J17" s="102">
        <v>18021464</v>
      </c>
      <c r="K17" s="102">
        <v>7864859</v>
      </c>
      <c r="L17" s="102">
        <v>7818153</v>
      </c>
      <c r="M17" s="102">
        <v>2046754</v>
      </c>
      <c r="N17" s="102">
        <v>1743289</v>
      </c>
      <c r="O17" s="102">
        <v>3748006</v>
      </c>
      <c r="P17" s="102">
        <v>2073661</v>
      </c>
      <c r="Q17" s="102">
        <v>1674345</v>
      </c>
      <c r="R17" s="102">
        <v>446879</v>
      </c>
      <c r="S17" s="74"/>
      <c r="T17" s="73">
        <f t="shared" si="2"/>
        <v>4240922</v>
      </c>
      <c r="U17" s="102">
        <v>180281</v>
      </c>
      <c r="V17" s="102">
        <v>486925</v>
      </c>
      <c r="W17" s="102">
        <v>256633</v>
      </c>
      <c r="X17" s="102">
        <v>3109174</v>
      </c>
      <c r="Y17" s="102">
        <v>98240</v>
      </c>
      <c r="Z17" s="102">
        <v>0</v>
      </c>
      <c r="AA17" s="102">
        <v>109669</v>
      </c>
      <c r="AB17" s="102">
        <v>208819</v>
      </c>
      <c r="AC17" s="102">
        <v>2239655</v>
      </c>
      <c r="AD17" s="102">
        <v>1940055</v>
      </c>
      <c r="AE17" s="102">
        <v>299560</v>
      </c>
      <c r="AF17" s="102">
        <v>45941</v>
      </c>
      <c r="AG17" s="102">
        <v>1329487</v>
      </c>
      <c r="AH17" s="73">
        <f t="shared" si="3"/>
        <v>1662290</v>
      </c>
      <c r="AI17" s="102">
        <v>1229987</v>
      </c>
      <c r="AJ17" s="102">
        <v>432303</v>
      </c>
      <c r="AK17" s="102">
        <v>16036030</v>
      </c>
      <c r="AL17" s="73">
        <f t="shared" si="4"/>
        <v>8393821</v>
      </c>
      <c r="AM17" s="102">
        <v>5355773</v>
      </c>
      <c r="AN17" s="102">
        <v>1462254</v>
      </c>
      <c r="AO17" s="74"/>
      <c r="AP17" s="102">
        <v>1575794</v>
      </c>
      <c r="AQ17" s="102">
        <v>191982</v>
      </c>
      <c r="AR17" s="102">
        <v>0</v>
      </c>
      <c r="AS17" s="102">
        <v>0</v>
      </c>
      <c r="AT17" s="102">
        <v>6246718</v>
      </c>
      <c r="AU17" s="102">
        <v>3777026</v>
      </c>
      <c r="AV17" s="102">
        <v>541967</v>
      </c>
      <c r="AW17" s="102">
        <v>334717</v>
      </c>
      <c r="AX17" s="102">
        <v>2469692</v>
      </c>
      <c r="AY17" s="102">
        <v>32093</v>
      </c>
      <c r="AZ17" s="102">
        <v>188933</v>
      </c>
      <c r="BA17" s="102">
        <v>149402</v>
      </c>
      <c r="BB17" s="102">
        <v>20613</v>
      </c>
      <c r="BC17" s="102">
        <v>91429</v>
      </c>
      <c r="BD17" s="102">
        <v>0</v>
      </c>
      <c r="BE17" s="102">
        <v>0</v>
      </c>
      <c r="BF17" s="102">
        <v>280</v>
      </c>
      <c r="BG17" s="102">
        <v>0</v>
      </c>
      <c r="BH17" s="102">
        <v>1341129</v>
      </c>
      <c r="BI17" s="102">
        <v>473414</v>
      </c>
      <c r="BJ17" s="102">
        <v>2126780</v>
      </c>
      <c r="BK17" s="102">
        <v>420253</v>
      </c>
      <c r="BL17" s="102">
        <v>12430</v>
      </c>
      <c r="BM17" s="102">
        <v>73603</v>
      </c>
      <c r="BN17" s="102">
        <v>6378600</v>
      </c>
      <c r="BO17" s="73">
        <f t="shared" si="5"/>
        <v>3500500</v>
      </c>
      <c r="BP17" s="73">
        <f t="shared" si="6"/>
        <v>2878100</v>
      </c>
      <c r="BQ17" s="102">
        <v>0</v>
      </c>
      <c r="BR17" s="102">
        <v>0</v>
      </c>
      <c r="BS17" s="102">
        <v>2878100</v>
      </c>
      <c r="BT17" s="102">
        <v>0</v>
      </c>
      <c r="BU17" s="102">
        <v>86998255</v>
      </c>
      <c r="BV17" s="71"/>
      <c r="BW17" s="102">
        <v>12964691</v>
      </c>
      <c r="BX17" s="102">
        <v>9253173</v>
      </c>
      <c r="BY17" s="102">
        <v>723267</v>
      </c>
      <c r="BZ17" s="102">
        <v>549443</v>
      </c>
      <c r="CA17" s="102">
        <v>25410762</v>
      </c>
      <c r="CB17" s="102">
        <v>4843852</v>
      </c>
      <c r="CC17" s="102">
        <v>579882</v>
      </c>
      <c r="CD17" s="102">
        <v>12581202</v>
      </c>
      <c r="CE17" s="102">
        <v>7145380</v>
      </c>
      <c r="CF17" s="102">
        <v>0</v>
      </c>
      <c r="CG17" s="102">
        <v>257096</v>
      </c>
      <c r="CH17" s="102">
        <v>4777738</v>
      </c>
      <c r="CI17" s="102">
        <v>4051578</v>
      </c>
      <c r="CJ17" s="83">
        <f t="shared" si="18"/>
        <v>726160</v>
      </c>
      <c r="CK17" s="102">
        <v>14097381</v>
      </c>
      <c r="CL17" s="102">
        <v>7416260</v>
      </c>
      <c r="CM17" s="102">
        <v>1289994</v>
      </c>
      <c r="CN17" s="102">
        <v>3072717</v>
      </c>
      <c r="CO17" s="102">
        <v>1035018</v>
      </c>
      <c r="CP17" s="102">
        <v>4276979</v>
      </c>
      <c r="CQ17" s="102">
        <v>5493</v>
      </c>
      <c r="CR17" s="102">
        <v>2997857</v>
      </c>
      <c r="CS17" s="102">
        <v>2076731</v>
      </c>
      <c r="CT17" s="73">
        <f t="shared" si="7"/>
        <v>63997</v>
      </c>
      <c r="CU17" s="102">
        <v>4482</v>
      </c>
      <c r="CV17" s="102">
        <v>59515</v>
      </c>
      <c r="CW17" s="73">
        <f t="shared" si="8"/>
        <v>0</v>
      </c>
      <c r="CX17" s="102">
        <v>0</v>
      </c>
      <c r="CY17" s="102">
        <v>0</v>
      </c>
      <c r="CZ17" s="73">
        <f t="shared" si="9"/>
        <v>0</v>
      </c>
      <c r="DA17" s="102">
        <v>0</v>
      </c>
      <c r="DB17" s="102">
        <v>0</v>
      </c>
      <c r="DC17" s="102">
        <v>11235052</v>
      </c>
      <c r="DD17" s="102">
        <v>4682860</v>
      </c>
      <c r="DE17" s="102">
        <v>6517643</v>
      </c>
      <c r="DF17" s="77">
        <v>27398</v>
      </c>
      <c r="DG17" s="78">
        <v>7151</v>
      </c>
      <c r="DH17" s="102">
        <v>103309</v>
      </c>
      <c r="DI17" s="102">
        <v>806020</v>
      </c>
      <c r="DJ17" s="102">
        <v>1420</v>
      </c>
      <c r="DK17" s="102">
        <v>0</v>
      </c>
      <c r="DL17" s="102">
        <v>804600</v>
      </c>
      <c r="DM17" s="102">
        <v>8471</v>
      </c>
      <c r="DN17" s="102">
        <v>8471</v>
      </c>
      <c r="DO17" s="102">
        <v>8471</v>
      </c>
      <c r="DP17" s="102">
        <v>0</v>
      </c>
      <c r="DQ17" s="102">
        <v>420200</v>
      </c>
      <c r="DR17" s="102">
        <v>0</v>
      </c>
      <c r="DS17" s="102">
        <v>0</v>
      </c>
      <c r="DT17" s="102">
        <v>10701056</v>
      </c>
      <c r="DU17" s="102">
        <v>3354208</v>
      </c>
      <c r="DV17" s="73">
        <f t="shared" si="10"/>
        <v>0</v>
      </c>
      <c r="DW17" s="102">
        <v>0</v>
      </c>
      <c r="DX17" s="102">
        <v>2563471</v>
      </c>
      <c r="DY17" s="102">
        <v>141498</v>
      </c>
      <c r="DZ17" s="102">
        <v>2505321</v>
      </c>
      <c r="EA17" s="74">
        <v>0</v>
      </c>
      <c r="EB17" s="102">
        <v>2136558</v>
      </c>
      <c r="EC17" s="102">
        <v>0</v>
      </c>
      <c r="ED17" s="102">
        <v>85836677</v>
      </c>
      <c r="EE17" s="71"/>
      <c r="EF17" s="102">
        <v>1161578</v>
      </c>
      <c r="EG17" s="102">
        <v>306183</v>
      </c>
      <c r="EH17" s="102">
        <v>855395</v>
      </c>
      <c r="EI17" s="102">
        <v>-92019</v>
      </c>
      <c r="EJ17" s="102">
        <v>-90599</v>
      </c>
      <c r="EK17" s="71"/>
      <c r="EL17" s="102"/>
      <c r="EM17" s="102">
        <v>278782</v>
      </c>
      <c r="EN17" s="102">
        <v>91149</v>
      </c>
      <c r="EO17" s="102">
        <v>184936</v>
      </c>
      <c r="EP17" s="73">
        <f t="shared" si="11"/>
        <v>2012126</v>
      </c>
      <c r="EQ17" s="102">
        <v>51576246</v>
      </c>
      <c r="ER17" s="71">
        <v>-5120370</v>
      </c>
      <c r="ES17" s="102">
        <v>11899791</v>
      </c>
      <c r="ET17" s="102">
        <v>8297066</v>
      </c>
      <c r="EU17" s="102">
        <v>7707774</v>
      </c>
      <c r="EV17" s="102">
        <v>4777738</v>
      </c>
      <c r="EW17" s="73">
        <f t="shared" si="12"/>
        <v>4677321</v>
      </c>
      <c r="EX17" s="102">
        <v>4614091</v>
      </c>
      <c r="EY17" s="102">
        <v>353222</v>
      </c>
      <c r="EZ17" s="102">
        <v>4257771</v>
      </c>
      <c r="FA17" s="102">
        <v>63230</v>
      </c>
      <c r="FB17" s="102">
        <v>0</v>
      </c>
      <c r="FC17" s="102">
        <v>11619561</v>
      </c>
      <c r="FD17" s="102">
        <v>3589943</v>
      </c>
      <c r="FE17" s="102">
        <v>5493</v>
      </c>
      <c r="FF17" s="102">
        <v>9440210</v>
      </c>
      <c r="FG17" s="73">
        <f t="shared" si="13"/>
        <v>1822700</v>
      </c>
      <c r="FH17" s="102">
        <v>55535038</v>
      </c>
      <c r="FI17" s="379">
        <f t="shared" si="14"/>
        <v>1.7</v>
      </c>
      <c r="FJ17" s="102">
        <v>46511357</v>
      </c>
      <c r="FK17" s="102">
        <v>3229370</v>
      </c>
      <c r="FL17" s="102">
        <v>34264163</v>
      </c>
      <c r="FM17" s="102">
        <v>36194168</v>
      </c>
      <c r="FN17" s="428">
        <v>0.93600000000000005</v>
      </c>
      <c r="FO17" s="424">
        <v>89.7</v>
      </c>
      <c r="FP17" s="425">
        <v>23.1</v>
      </c>
      <c r="FQ17" s="424">
        <v>15.1</v>
      </c>
      <c r="FR17" s="424">
        <v>9.3000000000000007</v>
      </c>
      <c r="FS17" s="425">
        <v>20.9</v>
      </c>
      <c r="FT17" s="424">
        <v>5</v>
      </c>
      <c r="FU17" s="425">
        <v>14.4</v>
      </c>
      <c r="FV17" s="384">
        <f t="shared" si="15"/>
        <v>-2.1</v>
      </c>
      <c r="FW17" s="102">
        <v>58815525</v>
      </c>
      <c r="FX17" s="384">
        <f t="shared" si="16"/>
        <v>118.2</v>
      </c>
      <c r="FY17" s="102">
        <v>16590985</v>
      </c>
      <c r="FZ17" s="102">
        <v>6285520</v>
      </c>
      <c r="GA17" s="102">
        <v>0</v>
      </c>
      <c r="GB17" s="102">
        <v>10305465</v>
      </c>
      <c r="GC17" s="102">
        <v>0</v>
      </c>
      <c r="GD17" s="427">
        <v>713</v>
      </c>
      <c r="GE17" s="386">
        <f>IF(GD17=0,"-",ROUND(GD17/(GV17)*100,1))</f>
        <v>1.4</v>
      </c>
      <c r="GF17" s="424">
        <v>99</v>
      </c>
      <c r="GG17" s="424">
        <v>22</v>
      </c>
      <c r="GH17" s="424">
        <v>96.3</v>
      </c>
      <c r="GI17" s="102">
        <v>1436</v>
      </c>
      <c r="GJ17" s="429" t="s">
        <v>646</v>
      </c>
      <c r="GK17" s="429">
        <v>11.25</v>
      </c>
      <c r="GL17" s="87">
        <v>20</v>
      </c>
      <c r="GM17" s="429" t="s">
        <v>646</v>
      </c>
      <c r="GN17" s="430">
        <v>16.25</v>
      </c>
      <c r="GO17" s="430">
        <v>30</v>
      </c>
      <c r="GP17" s="425">
        <v>-2.1</v>
      </c>
      <c r="GQ17" s="425">
        <v>25</v>
      </c>
      <c r="GR17" s="425">
        <v>35</v>
      </c>
      <c r="GS17" s="431" t="s">
        <v>646</v>
      </c>
      <c r="GT17" s="425">
        <v>350</v>
      </c>
      <c r="GU17" s="394"/>
      <c r="GV17" s="100">
        <f t="shared" si="17"/>
        <v>49741</v>
      </c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</row>
    <row r="18" spans="2:230" x14ac:dyDescent="0.15">
      <c r="B18" s="89" t="s">
        <v>25</v>
      </c>
      <c r="C18" s="102">
        <v>38594479</v>
      </c>
      <c r="D18" s="73">
        <f t="shared" si="0"/>
        <v>13205067</v>
      </c>
      <c r="E18" s="102">
        <v>393541</v>
      </c>
      <c r="F18" s="102">
        <v>12811526</v>
      </c>
      <c r="G18" s="73">
        <f t="shared" si="1"/>
        <v>3152208</v>
      </c>
      <c r="H18" s="102">
        <v>721840</v>
      </c>
      <c r="I18" s="102">
        <v>2430368</v>
      </c>
      <c r="J18" s="102">
        <v>16067294</v>
      </c>
      <c r="K18" s="102">
        <v>7269583</v>
      </c>
      <c r="L18" s="102">
        <v>6527464</v>
      </c>
      <c r="M18" s="102">
        <v>1989407</v>
      </c>
      <c r="N18" s="102">
        <v>2550315</v>
      </c>
      <c r="O18" s="102">
        <v>3345760</v>
      </c>
      <c r="P18" s="102">
        <v>1926663</v>
      </c>
      <c r="Q18" s="102">
        <v>1419097</v>
      </c>
      <c r="R18" s="102">
        <v>419456</v>
      </c>
      <c r="S18" s="74"/>
      <c r="T18" s="73">
        <f t="shared" si="2"/>
        <v>3980060</v>
      </c>
      <c r="U18" s="102">
        <v>138511</v>
      </c>
      <c r="V18" s="102">
        <v>373621</v>
      </c>
      <c r="W18" s="102">
        <v>196750</v>
      </c>
      <c r="X18" s="102">
        <v>3168493</v>
      </c>
      <c r="Y18" s="102">
        <v>0</v>
      </c>
      <c r="Z18" s="102">
        <v>0</v>
      </c>
      <c r="AA18" s="102">
        <v>102685</v>
      </c>
      <c r="AB18" s="102">
        <v>217458</v>
      </c>
      <c r="AC18" s="102">
        <v>10853347</v>
      </c>
      <c r="AD18" s="102">
        <v>10309135</v>
      </c>
      <c r="AE18" s="102">
        <v>544159</v>
      </c>
      <c r="AF18" s="102">
        <v>39766</v>
      </c>
      <c r="AG18" s="102">
        <v>1742359</v>
      </c>
      <c r="AH18" s="73">
        <f t="shared" si="3"/>
        <v>1798517</v>
      </c>
      <c r="AI18" s="102">
        <v>1250393</v>
      </c>
      <c r="AJ18" s="102">
        <v>548124</v>
      </c>
      <c r="AK18" s="102">
        <v>21258382</v>
      </c>
      <c r="AL18" s="73">
        <f t="shared" si="4"/>
        <v>13277836</v>
      </c>
      <c r="AM18" s="102">
        <v>9855891</v>
      </c>
      <c r="AN18" s="102">
        <v>1313779</v>
      </c>
      <c r="AO18" s="74"/>
      <c r="AP18" s="102">
        <v>2108166</v>
      </c>
      <c r="AQ18" s="102">
        <v>1377818</v>
      </c>
      <c r="AR18" s="102">
        <v>0</v>
      </c>
      <c r="AS18" s="102">
        <v>41624</v>
      </c>
      <c r="AT18" s="102">
        <v>6517195</v>
      </c>
      <c r="AU18" s="102">
        <v>3718565</v>
      </c>
      <c r="AV18" s="102">
        <v>547226</v>
      </c>
      <c r="AW18" s="102">
        <v>571927</v>
      </c>
      <c r="AX18" s="102">
        <v>2798630</v>
      </c>
      <c r="AY18" s="102">
        <v>7222</v>
      </c>
      <c r="AZ18" s="102">
        <v>472742</v>
      </c>
      <c r="BA18" s="102">
        <v>346419</v>
      </c>
      <c r="BB18" s="102">
        <v>8859</v>
      </c>
      <c r="BC18" s="102">
        <v>2883787</v>
      </c>
      <c r="BD18" s="102">
        <v>880000</v>
      </c>
      <c r="BE18" s="102">
        <v>0</v>
      </c>
      <c r="BF18" s="102">
        <v>2003787</v>
      </c>
      <c r="BG18" s="102">
        <v>0</v>
      </c>
      <c r="BH18" s="102">
        <v>2791083</v>
      </c>
      <c r="BI18" s="102">
        <v>2125361</v>
      </c>
      <c r="BJ18" s="102">
        <v>999269</v>
      </c>
      <c r="BK18" s="102">
        <v>249060</v>
      </c>
      <c r="BL18" s="102">
        <v>512</v>
      </c>
      <c r="BM18" s="102">
        <v>69493</v>
      </c>
      <c r="BN18" s="102">
        <v>10743524</v>
      </c>
      <c r="BO18" s="73">
        <f t="shared" si="5"/>
        <v>5869600</v>
      </c>
      <c r="BP18" s="73">
        <f t="shared" si="6"/>
        <v>4873924</v>
      </c>
      <c r="BQ18" s="102">
        <v>0</v>
      </c>
      <c r="BR18" s="102">
        <v>0</v>
      </c>
      <c r="BS18" s="102">
        <v>4873924</v>
      </c>
      <c r="BT18" s="102">
        <v>0</v>
      </c>
      <c r="BU18" s="102">
        <v>103361907</v>
      </c>
      <c r="BV18" s="71"/>
      <c r="BW18" s="102">
        <v>16231543</v>
      </c>
      <c r="BX18" s="102">
        <v>10488473</v>
      </c>
      <c r="BY18" s="102">
        <v>1343818</v>
      </c>
      <c r="BZ18" s="102">
        <v>1631907</v>
      </c>
      <c r="CA18" s="102">
        <v>32312437</v>
      </c>
      <c r="CB18" s="102">
        <v>6006685</v>
      </c>
      <c r="CC18" s="102">
        <v>519762</v>
      </c>
      <c r="CD18" s="102">
        <v>11105701</v>
      </c>
      <c r="CE18" s="102">
        <v>13408341</v>
      </c>
      <c r="CF18" s="102">
        <v>921795</v>
      </c>
      <c r="CG18" s="102">
        <v>349633</v>
      </c>
      <c r="CH18" s="102">
        <v>9299333</v>
      </c>
      <c r="CI18" s="102">
        <v>8286800</v>
      </c>
      <c r="CJ18" s="83">
        <f t="shared" si="18"/>
        <v>1012533</v>
      </c>
      <c r="CK18" s="102">
        <v>10669745</v>
      </c>
      <c r="CL18" s="102">
        <v>7362149</v>
      </c>
      <c r="CM18" s="102">
        <v>576060</v>
      </c>
      <c r="CN18" s="102">
        <v>1862333</v>
      </c>
      <c r="CO18" s="102">
        <v>506272</v>
      </c>
      <c r="CP18" s="102">
        <v>5556354</v>
      </c>
      <c r="CQ18" s="102">
        <v>75462</v>
      </c>
      <c r="CR18" s="102">
        <v>2005727</v>
      </c>
      <c r="CS18" s="102">
        <v>1460378</v>
      </c>
      <c r="CT18" s="73">
        <f t="shared" si="7"/>
        <v>1621487</v>
      </c>
      <c r="CU18" s="102">
        <v>1621487</v>
      </c>
      <c r="CV18" s="102">
        <v>0</v>
      </c>
      <c r="CW18" s="73">
        <f t="shared" si="8"/>
        <v>1549581</v>
      </c>
      <c r="CX18" s="102">
        <v>1549581</v>
      </c>
      <c r="CY18" s="102">
        <v>0</v>
      </c>
      <c r="CZ18" s="73">
        <f t="shared" si="9"/>
        <v>0</v>
      </c>
      <c r="DA18" s="102">
        <v>0</v>
      </c>
      <c r="DB18" s="102">
        <v>0</v>
      </c>
      <c r="DC18" s="102">
        <v>11246395</v>
      </c>
      <c r="DD18" s="102">
        <v>5353974</v>
      </c>
      <c r="DE18" s="102">
        <v>5797320</v>
      </c>
      <c r="DF18" s="77">
        <v>92745</v>
      </c>
      <c r="DG18" s="78">
        <v>2356</v>
      </c>
      <c r="DH18" s="102">
        <v>0</v>
      </c>
      <c r="DI18" s="102">
        <v>1265428</v>
      </c>
      <c r="DJ18" s="102">
        <v>1087293</v>
      </c>
      <c r="DK18" s="102">
        <v>0</v>
      </c>
      <c r="DL18" s="102">
        <v>178135</v>
      </c>
      <c r="DM18" s="102">
        <v>525569</v>
      </c>
      <c r="DN18" s="102">
        <v>483369</v>
      </c>
      <c r="DO18" s="102">
        <v>87000</v>
      </c>
      <c r="DP18" s="102">
        <v>396369</v>
      </c>
      <c r="DQ18" s="102">
        <v>355900</v>
      </c>
      <c r="DR18" s="102">
        <v>0</v>
      </c>
      <c r="DS18" s="102">
        <v>0</v>
      </c>
      <c r="DT18" s="102">
        <v>14767076</v>
      </c>
      <c r="DU18" s="102">
        <v>5670380</v>
      </c>
      <c r="DV18" s="73">
        <f t="shared" si="10"/>
        <v>0</v>
      </c>
      <c r="DW18" s="102">
        <v>0</v>
      </c>
      <c r="DX18" s="102">
        <v>2680006</v>
      </c>
      <c r="DY18" s="102">
        <v>0</v>
      </c>
      <c r="DZ18" s="102">
        <v>3400949</v>
      </c>
      <c r="EA18" s="74">
        <v>0</v>
      </c>
      <c r="EB18" s="102">
        <v>2966901</v>
      </c>
      <c r="EC18" s="102">
        <v>0</v>
      </c>
      <c r="ED18" s="102">
        <v>102736052</v>
      </c>
      <c r="EE18" s="71"/>
      <c r="EF18" s="102">
        <v>625855</v>
      </c>
      <c r="EG18" s="102">
        <v>607751</v>
      </c>
      <c r="EH18" s="102">
        <v>18104</v>
      </c>
      <c r="EI18" s="102">
        <v>-2107257</v>
      </c>
      <c r="EJ18" s="102">
        <v>-1657164</v>
      </c>
      <c r="EK18" s="71"/>
      <c r="EL18" s="102"/>
      <c r="EM18" s="102">
        <v>269594</v>
      </c>
      <c r="EN18" s="102">
        <v>2380000</v>
      </c>
      <c r="EO18" s="102">
        <v>341801</v>
      </c>
      <c r="EP18" s="73">
        <f t="shared" si="11"/>
        <v>3758592</v>
      </c>
      <c r="EQ18" s="102">
        <v>54146190</v>
      </c>
      <c r="ER18" s="71">
        <v>-11272927</v>
      </c>
      <c r="ES18" s="102">
        <v>14986929</v>
      </c>
      <c r="ET18" s="102">
        <v>9684600</v>
      </c>
      <c r="EU18" s="102">
        <v>9027433</v>
      </c>
      <c r="EV18" s="102">
        <v>9214034</v>
      </c>
      <c r="EW18" s="73">
        <f t="shared" si="12"/>
        <v>2365209</v>
      </c>
      <c r="EX18" s="102">
        <v>2365209</v>
      </c>
      <c r="EY18" s="102">
        <v>192561</v>
      </c>
      <c r="EZ18" s="102">
        <v>2150103</v>
      </c>
      <c r="FA18" s="102">
        <v>0</v>
      </c>
      <c r="FB18" s="102">
        <v>0</v>
      </c>
      <c r="FC18" s="102">
        <v>8927728</v>
      </c>
      <c r="FD18" s="102">
        <v>5030612</v>
      </c>
      <c r="FE18" s="102">
        <v>75462</v>
      </c>
      <c r="FF18" s="102">
        <v>13242840</v>
      </c>
      <c r="FG18" s="73">
        <f t="shared" si="13"/>
        <v>1998477</v>
      </c>
      <c r="FH18" s="102">
        <v>64793262</v>
      </c>
      <c r="FI18" s="379">
        <f t="shared" si="14"/>
        <v>0</v>
      </c>
      <c r="FJ18" s="102">
        <v>49425965</v>
      </c>
      <c r="FK18" s="102">
        <v>4873924</v>
      </c>
      <c r="FL18" s="102">
        <v>30115337</v>
      </c>
      <c r="FM18" s="102">
        <v>40424472</v>
      </c>
      <c r="FN18" s="428">
        <v>0.73399999999999999</v>
      </c>
      <c r="FO18" s="424">
        <v>99.8</v>
      </c>
      <c r="FP18" s="425">
        <v>26.7</v>
      </c>
      <c r="FQ18" s="424">
        <v>16.2</v>
      </c>
      <c r="FR18" s="424">
        <v>16.100000000000001</v>
      </c>
      <c r="FS18" s="425">
        <v>14.5</v>
      </c>
      <c r="FT18" s="424">
        <v>4.9000000000000004</v>
      </c>
      <c r="FU18" s="425">
        <v>20.5</v>
      </c>
      <c r="FV18" s="384">
        <f t="shared" si="15"/>
        <v>7</v>
      </c>
      <c r="FW18" s="102">
        <v>89340386</v>
      </c>
      <c r="FX18" s="384">
        <f t="shared" si="16"/>
        <v>164.5</v>
      </c>
      <c r="FY18" s="102">
        <v>10097950</v>
      </c>
      <c r="FZ18" s="102">
        <v>6419345</v>
      </c>
      <c r="GA18" s="102">
        <v>0</v>
      </c>
      <c r="GB18" s="102">
        <v>3678605</v>
      </c>
      <c r="GC18" s="102">
        <v>0</v>
      </c>
      <c r="GD18" s="427"/>
      <c r="GE18" s="386"/>
      <c r="GF18" s="424">
        <v>99</v>
      </c>
      <c r="GG18" s="424">
        <v>32.9</v>
      </c>
      <c r="GH18" s="424">
        <v>97.2</v>
      </c>
      <c r="GI18" s="102">
        <v>1644</v>
      </c>
      <c r="GJ18" s="429" t="s">
        <v>646</v>
      </c>
      <c r="GK18" s="429">
        <v>11.25</v>
      </c>
      <c r="GL18" s="87">
        <v>20</v>
      </c>
      <c r="GM18" s="429" t="s">
        <v>646</v>
      </c>
      <c r="GN18" s="430">
        <v>16.25</v>
      </c>
      <c r="GO18" s="430">
        <v>30</v>
      </c>
      <c r="GP18" s="425">
        <v>7</v>
      </c>
      <c r="GQ18" s="425">
        <v>25</v>
      </c>
      <c r="GR18" s="425">
        <v>35</v>
      </c>
      <c r="GS18" s="431">
        <v>42.1</v>
      </c>
      <c r="GT18" s="425">
        <v>350</v>
      </c>
      <c r="GU18" s="394"/>
      <c r="GV18" s="100">
        <f t="shared" si="17"/>
        <v>54300</v>
      </c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</row>
    <row r="19" spans="2:230" x14ac:dyDescent="0.15">
      <c r="B19" s="89" t="s">
        <v>27</v>
      </c>
      <c r="C19" s="102">
        <v>20687284</v>
      </c>
      <c r="D19" s="73">
        <f t="shared" si="0"/>
        <v>4441526</v>
      </c>
      <c r="E19" s="102">
        <v>151721</v>
      </c>
      <c r="F19" s="102">
        <v>4289805</v>
      </c>
      <c r="G19" s="73">
        <f t="shared" si="1"/>
        <v>1781847</v>
      </c>
      <c r="H19" s="102">
        <v>465642</v>
      </c>
      <c r="I19" s="102">
        <v>1316205</v>
      </c>
      <c r="J19" s="102">
        <v>10079808</v>
      </c>
      <c r="K19" s="102">
        <v>3468607</v>
      </c>
      <c r="L19" s="102">
        <v>3719491</v>
      </c>
      <c r="M19" s="102">
        <v>2396051</v>
      </c>
      <c r="N19" s="102">
        <v>2416093</v>
      </c>
      <c r="O19" s="102">
        <v>1417208</v>
      </c>
      <c r="P19" s="102">
        <v>645230</v>
      </c>
      <c r="Q19" s="102">
        <v>771978</v>
      </c>
      <c r="R19" s="102">
        <v>188507</v>
      </c>
      <c r="S19" s="74"/>
      <c r="T19" s="73">
        <f t="shared" si="2"/>
        <v>1592250</v>
      </c>
      <c r="U19" s="102">
        <v>46162</v>
      </c>
      <c r="V19" s="102">
        <v>124843</v>
      </c>
      <c r="W19" s="102">
        <v>65855</v>
      </c>
      <c r="X19" s="102">
        <v>1261001</v>
      </c>
      <c r="Y19" s="102">
        <v>54921</v>
      </c>
      <c r="Z19" s="102">
        <v>0</v>
      </c>
      <c r="AA19" s="102">
        <v>39468</v>
      </c>
      <c r="AB19" s="102">
        <v>72533</v>
      </c>
      <c r="AC19" s="102">
        <v>1624026</v>
      </c>
      <c r="AD19" s="102">
        <v>816962</v>
      </c>
      <c r="AE19" s="102">
        <v>807063</v>
      </c>
      <c r="AF19" s="102">
        <v>17349</v>
      </c>
      <c r="AG19" s="102">
        <v>569798</v>
      </c>
      <c r="AH19" s="73">
        <f t="shared" si="3"/>
        <v>974856</v>
      </c>
      <c r="AI19" s="102">
        <v>695133</v>
      </c>
      <c r="AJ19" s="102">
        <v>279723</v>
      </c>
      <c r="AK19" s="102">
        <v>6944462</v>
      </c>
      <c r="AL19" s="73">
        <f t="shared" si="4"/>
        <v>3770665</v>
      </c>
      <c r="AM19" s="102">
        <v>2512430</v>
      </c>
      <c r="AN19" s="102">
        <v>504894</v>
      </c>
      <c r="AO19" s="74"/>
      <c r="AP19" s="102">
        <v>753341</v>
      </c>
      <c r="AQ19" s="102">
        <v>1014456</v>
      </c>
      <c r="AR19" s="102">
        <v>0</v>
      </c>
      <c r="AS19" s="102">
        <v>0</v>
      </c>
      <c r="AT19" s="102">
        <v>3217132</v>
      </c>
      <c r="AU19" s="102">
        <v>1779028</v>
      </c>
      <c r="AV19" s="102">
        <v>276110</v>
      </c>
      <c r="AW19" s="102">
        <v>44615</v>
      </c>
      <c r="AX19" s="102">
        <v>1438104</v>
      </c>
      <c r="AY19" s="102">
        <v>360793</v>
      </c>
      <c r="AZ19" s="102">
        <v>637676</v>
      </c>
      <c r="BA19" s="102">
        <v>633757</v>
      </c>
      <c r="BB19" s="102">
        <v>472022</v>
      </c>
      <c r="BC19" s="102">
        <v>3038384</v>
      </c>
      <c r="BD19" s="102">
        <v>828985</v>
      </c>
      <c r="BE19" s="102">
        <v>1057000</v>
      </c>
      <c r="BF19" s="102">
        <v>52399</v>
      </c>
      <c r="BG19" s="102">
        <v>1100000</v>
      </c>
      <c r="BH19" s="102">
        <v>1108905</v>
      </c>
      <c r="BI19" s="102">
        <v>994624</v>
      </c>
      <c r="BJ19" s="102">
        <v>708664</v>
      </c>
      <c r="BK19" s="102">
        <v>242335</v>
      </c>
      <c r="BL19" s="102">
        <v>0</v>
      </c>
      <c r="BM19" s="102">
        <v>33488</v>
      </c>
      <c r="BN19" s="102">
        <v>5166200</v>
      </c>
      <c r="BO19" s="73">
        <f t="shared" si="5"/>
        <v>3786000</v>
      </c>
      <c r="BP19" s="73">
        <f t="shared" si="6"/>
        <v>1380200</v>
      </c>
      <c r="BQ19" s="102">
        <v>0</v>
      </c>
      <c r="BR19" s="102">
        <v>0</v>
      </c>
      <c r="BS19" s="102">
        <v>1380200</v>
      </c>
      <c r="BT19" s="102">
        <v>0</v>
      </c>
      <c r="BU19" s="102">
        <v>47020048</v>
      </c>
      <c r="BV19" s="71"/>
      <c r="BW19" s="102">
        <v>5340916</v>
      </c>
      <c r="BX19" s="102">
        <v>3075248</v>
      </c>
      <c r="BY19" s="102">
        <v>462537</v>
      </c>
      <c r="BZ19" s="102">
        <v>605633</v>
      </c>
      <c r="CA19" s="102">
        <v>10021475</v>
      </c>
      <c r="CB19" s="102">
        <v>1942571</v>
      </c>
      <c r="CC19" s="102">
        <v>163510</v>
      </c>
      <c r="CD19" s="102">
        <v>4350163</v>
      </c>
      <c r="CE19" s="102">
        <v>3478307</v>
      </c>
      <c r="CF19" s="102">
        <v>10879</v>
      </c>
      <c r="CG19" s="102">
        <v>76045</v>
      </c>
      <c r="CH19" s="102">
        <v>8172359</v>
      </c>
      <c r="CI19" s="102">
        <v>6685648</v>
      </c>
      <c r="CJ19" s="83">
        <f t="shared" si="18"/>
        <v>1486711</v>
      </c>
      <c r="CK19" s="102">
        <v>4462452</v>
      </c>
      <c r="CL19" s="102">
        <v>3391822</v>
      </c>
      <c r="CM19" s="102">
        <v>162496</v>
      </c>
      <c r="CN19" s="102">
        <v>555171</v>
      </c>
      <c r="CO19" s="102">
        <v>123562</v>
      </c>
      <c r="CP19" s="102">
        <v>5124395</v>
      </c>
      <c r="CQ19" s="102">
        <v>1973386</v>
      </c>
      <c r="CR19" s="102">
        <v>1721039</v>
      </c>
      <c r="CS19" s="102">
        <v>1216966</v>
      </c>
      <c r="CT19" s="73">
        <f t="shared" si="7"/>
        <v>1500</v>
      </c>
      <c r="CU19" s="102">
        <v>1500</v>
      </c>
      <c r="CV19" s="102">
        <v>0</v>
      </c>
      <c r="CW19" s="73">
        <f t="shared" si="8"/>
        <v>0</v>
      </c>
      <c r="CX19" s="102">
        <v>0</v>
      </c>
      <c r="CY19" s="102">
        <v>0</v>
      </c>
      <c r="CZ19" s="73">
        <f t="shared" si="9"/>
        <v>0</v>
      </c>
      <c r="DA19" s="102">
        <v>0</v>
      </c>
      <c r="DB19" s="102">
        <v>0</v>
      </c>
      <c r="DC19" s="102">
        <v>5867584</v>
      </c>
      <c r="DD19" s="102">
        <v>2612476</v>
      </c>
      <c r="DE19" s="102">
        <v>3231307</v>
      </c>
      <c r="DF19" s="77">
        <v>23801</v>
      </c>
      <c r="DG19" s="78">
        <v>0</v>
      </c>
      <c r="DH19" s="102">
        <v>0</v>
      </c>
      <c r="DI19" s="102">
        <v>1619122</v>
      </c>
      <c r="DJ19" s="102">
        <v>1186142</v>
      </c>
      <c r="DK19" s="102">
        <v>300</v>
      </c>
      <c r="DL19" s="102">
        <v>432680</v>
      </c>
      <c r="DM19" s="102">
        <v>2000</v>
      </c>
      <c r="DN19" s="102">
        <v>0</v>
      </c>
      <c r="DO19" s="102">
        <v>0</v>
      </c>
      <c r="DP19" s="102">
        <v>0</v>
      </c>
      <c r="DQ19" s="102">
        <v>1342400</v>
      </c>
      <c r="DR19" s="102">
        <v>0</v>
      </c>
      <c r="DS19" s="102">
        <v>0</v>
      </c>
      <c r="DT19" s="102">
        <v>4843622</v>
      </c>
      <c r="DU19" s="102">
        <v>1529511</v>
      </c>
      <c r="DV19" s="73">
        <f t="shared" si="10"/>
        <v>0</v>
      </c>
      <c r="DW19" s="102">
        <v>0</v>
      </c>
      <c r="DX19" s="102">
        <v>1318830</v>
      </c>
      <c r="DY19" s="102">
        <v>0</v>
      </c>
      <c r="DZ19" s="102">
        <v>819150</v>
      </c>
      <c r="EA19" s="74">
        <v>0</v>
      </c>
      <c r="EB19" s="102">
        <v>1109308</v>
      </c>
      <c r="EC19" s="102">
        <v>0</v>
      </c>
      <c r="ED19" s="102">
        <v>46919887</v>
      </c>
      <c r="EE19" s="71"/>
      <c r="EF19" s="102">
        <v>100161</v>
      </c>
      <c r="EG19" s="102">
        <v>76690</v>
      </c>
      <c r="EH19" s="102">
        <v>23471</v>
      </c>
      <c r="EI19" s="102">
        <v>-971153</v>
      </c>
      <c r="EJ19" s="102">
        <v>379504</v>
      </c>
      <c r="EK19" s="71"/>
      <c r="EL19" s="102"/>
      <c r="EM19" s="102">
        <v>101343</v>
      </c>
      <c r="EN19" s="102">
        <v>3015984</v>
      </c>
      <c r="EO19" s="102">
        <v>636555</v>
      </c>
      <c r="EP19" s="73">
        <f t="shared" si="11"/>
        <v>1570962</v>
      </c>
      <c r="EQ19" s="102">
        <v>24181949</v>
      </c>
      <c r="ER19" s="71">
        <v>-6586352</v>
      </c>
      <c r="ES19" s="102">
        <v>4799652</v>
      </c>
      <c r="ET19" s="102">
        <v>2614506</v>
      </c>
      <c r="EU19" s="102">
        <v>2745575</v>
      </c>
      <c r="EV19" s="102">
        <v>7810523</v>
      </c>
      <c r="EW19" s="73">
        <f t="shared" si="12"/>
        <v>1165969</v>
      </c>
      <c r="EX19" s="102">
        <v>1165969</v>
      </c>
      <c r="EY19" s="102">
        <v>29389</v>
      </c>
      <c r="EZ19" s="102">
        <v>1135547</v>
      </c>
      <c r="FA19" s="102">
        <v>0</v>
      </c>
      <c r="FB19" s="102">
        <v>0</v>
      </c>
      <c r="FC19" s="102">
        <v>3094383</v>
      </c>
      <c r="FD19" s="102">
        <v>4510352</v>
      </c>
      <c r="FE19" s="102">
        <v>1683532</v>
      </c>
      <c r="FF19" s="102">
        <v>4156797</v>
      </c>
      <c r="FG19" s="73">
        <f t="shared" si="13"/>
        <v>2384889</v>
      </c>
      <c r="FH19" s="102">
        <v>30668140</v>
      </c>
      <c r="FI19" s="379">
        <f t="shared" si="14"/>
        <v>0.1</v>
      </c>
      <c r="FJ19" s="102">
        <v>20541215</v>
      </c>
      <c r="FK19" s="102">
        <v>1380287</v>
      </c>
      <c r="FL19" s="102">
        <v>15128784</v>
      </c>
      <c r="FM19" s="102">
        <v>15953699</v>
      </c>
      <c r="FN19" s="428">
        <v>0.92200000000000004</v>
      </c>
      <c r="FO19" s="424">
        <v>104.9</v>
      </c>
      <c r="FP19" s="425">
        <v>20.100000000000001</v>
      </c>
      <c r="FQ19" s="424">
        <v>11.9</v>
      </c>
      <c r="FR19" s="424">
        <v>29.5</v>
      </c>
      <c r="FS19" s="425">
        <v>12</v>
      </c>
      <c r="FT19" s="424">
        <v>13.9</v>
      </c>
      <c r="FU19" s="425">
        <v>17</v>
      </c>
      <c r="FV19" s="384">
        <f t="shared" si="15"/>
        <v>23.6</v>
      </c>
      <c r="FW19" s="102">
        <v>79627287</v>
      </c>
      <c r="FX19" s="384">
        <f t="shared" si="16"/>
        <v>363.2</v>
      </c>
      <c r="FY19" s="102">
        <v>4460521</v>
      </c>
      <c r="FZ19" s="102">
        <v>1314783</v>
      </c>
      <c r="GA19" s="102">
        <v>149949</v>
      </c>
      <c r="GB19" s="102">
        <v>2995789</v>
      </c>
      <c r="GC19" s="102">
        <v>0</v>
      </c>
      <c r="GD19" s="427">
        <v>3676</v>
      </c>
      <c r="GE19" s="386">
        <f>IF(GD19=0,"-",ROUND(GD19/(GV19)*100,1))</f>
        <v>16.8</v>
      </c>
      <c r="GF19" s="424">
        <v>99.4</v>
      </c>
      <c r="GG19" s="424">
        <v>36.9</v>
      </c>
      <c r="GH19" s="424">
        <v>98.2</v>
      </c>
      <c r="GI19" s="102">
        <v>504</v>
      </c>
      <c r="GJ19" s="429" t="s">
        <v>646</v>
      </c>
      <c r="GK19" s="429">
        <v>12.32</v>
      </c>
      <c r="GL19" s="87">
        <v>20</v>
      </c>
      <c r="GM19" s="429" t="s">
        <v>646</v>
      </c>
      <c r="GN19" s="430">
        <v>17.32</v>
      </c>
      <c r="GO19" s="430">
        <v>30</v>
      </c>
      <c r="GP19" s="425">
        <v>23.6</v>
      </c>
      <c r="GQ19" s="425">
        <v>25</v>
      </c>
      <c r="GR19" s="425">
        <v>35</v>
      </c>
      <c r="GS19" s="431">
        <v>291.60000000000002</v>
      </c>
      <c r="GT19" s="425">
        <v>350</v>
      </c>
      <c r="GU19" s="394"/>
      <c r="GV19" s="100">
        <f t="shared" si="17"/>
        <v>21922</v>
      </c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</row>
    <row r="20" spans="2:230" x14ac:dyDescent="0.15">
      <c r="B20" s="89" t="s">
        <v>29</v>
      </c>
      <c r="C20" s="102">
        <v>13497119</v>
      </c>
      <c r="D20" s="73">
        <f t="shared" si="0"/>
        <v>6011050</v>
      </c>
      <c r="E20" s="102">
        <v>175367</v>
      </c>
      <c r="F20" s="102">
        <v>5835683</v>
      </c>
      <c r="G20" s="73">
        <f t="shared" si="1"/>
        <v>660289</v>
      </c>
      <c r="H20" s="102">
        <v>194851</v>
      </c>
      <c r="I20" s="102">
        <v>465438</v>
      </c>
      <c r="J20" s="102">
        <v>5076697</v>
      </c>
      <c r="K20" s="102">
        <v>2003251</v>
      </c>
      <c r="L20" s="102">
        <v>2385806</v>
      </c>
      <c r="M20" s="102">
        <v>579478</v>
      </c>
      <c r="N20" s="102">
        <v>603085</v>
      </c>
      <c r="O20" s="102">
        <v>986881</v>
      </c>
      <c r="P20" s="102">
        <v>532636</v>
      </c>
      <c r="Q20" s="102">
        <v>454245</v>
      </c>
      <c r="R20" s="102">
        <v>200407</v>
      </c>
      <c r="S20" s="74"/>
      <c r="T20" s="73">
        <f t="shared" si="2"/>
        <v>1675316</v>
      </c>
      <c r="U20" s="102">
        <v>64262</v>
      </c>
      <c r="V20" s="102">
        <v>173177</v>
      </c>
      <c r="W20" s="102">
        <v>91138</v>
      </c>
      <c r="X20" s="102">
        <v>1244887</v>
      </c>
      <c r="Y20" s="102">
        <v>52682</v>
      </c>
      <c r="Z20" s="102">
        <v>0</v>
      </c>
      <c r="AA20" s="102">
        <v>49170</v>
      </c>
      <c r="AB20" s="102">
        <v>63532</v>
      </c>
      <c r="AC20" s="102">
        <v>6307233</v>
      </c>
      <c r="AD20" s="102">
        <v>6132984</v>
      </c>
      <c r="AE20" s="102">
        <v>174248</v>
      </c>
      <c r="AF20" s="102">
        <v>17967</v>
      </c>
      <c r="AG20" s="102">
        <v>1106263</v>
      </c>
      <c r="AH20" s="73">
        <f t="shared" si="3"/>
        <v>1055016</v>
      </c>
      <c r="AI20" s="102">
        <v>784553</v>
      </c>
      <c r="AJ20" s="102">
        <v>270463</v>
      </c>
      <c r="AK20" s="102">
        <v>7283202</v>
      </c>
      <c r="AL20" s="73">
        <f t="shared" si="4"/>
        <v>4622272</v>
      </c>
      <c r="AM20" s="102">
        <v>3339756</v>
      </c>
      <c r="AN20" s="102">
        <v>424067</v>
      </c>
      <c r="AO20" s="74"/>
      <c r="AP20" s="102">
        <v>858449</v>
      </c>
      <c r="AQ20" s="102">
        <v>346409</v>
      </c>
      <c r="AR20" s="102">
        <v>170656</v>
      </c>
      <c r="AS20" s="102">
        <v>0</v>
      </c>
      <c r="AT20" s="102">
        <v>2594220</v>
      </c>
      <c r="AU20" s="102">
        <v>1368639</v>
      </c>
      <c r="AV20" s="102">
        <v>216764</v>
      </c>
      <c r="AW20" s="102">
        <v>185049</v>
      </c>
      <c r="AX20" s="102">
        <v>1225581</v>
      </c>
      <c r="AY20" s="102">
        <v>4893</v>
      </c>
      <c r="AZ20" s="102">
        <v>27872</v>
      </c>
      <c r="BA20" s="102">
        <v>10609</v>
      </c>
      <c r="BB20" s="102">
        <v>57604</v>
      </c>
      <c r="BC20" s="102">
        <v>304520</v>
      </c>
      <c r="BD20" s="102">
        <v>0</v>
      </c>
      <c r="BE20" s="102">
        <v>0</v>
      </c>
      <c r="BF20" s="102">
        <v>304520</v>
      </c>
      <c r="BG20" s="102">
        <v>0</v>
      </c>
      <c r="BH20" s="102">
        <v>903728</v>
      </c>
      <c r="BI20" s="102">
        <v>780445</v>
      </c>
      <c r="BJ20" s="102">
        <v>1764281</v>
      </c>
      <c r="BK20" s="102">
        <v>1312388</v>
      </c>
      <c r="BL20" s="102">
        <v>0</v>
      </c>
      <c r="BM20" s="102">
        <v>58824</v>
      </c>
      <c r="BN20" s="102">
        <v>2389300</v>
      </c>
      <c r="BO20" s="73">
        <f t="shared" si="5"/>
        <v>889300</v>
      </c>
      <c r="BP20" s="73">
        <f t="shared" si="6"/>
        <v>1500000</v>
      </c>
      <c r="BQ20" s="102">
        <v>0</v>
      </c>
      <c r="BR20" s="102">
        <v>0</v>
      </c>
      <c r="BS20" s="102">
        <v>1500000</v>
      </c>
      <c r="BT20" s="102">
        <v>0</v>
      </c>
      <c r="BU20" s="102">
        <v>39247580</v>
      </c>
      <c r="BV20" s="71"/>
      <c r="BW20" s="102">
        <v>7707201</v>
      </c>
      <c r="BX20" s="102">
        <v>4897435</v>
      </c>
      <c r="BY20" s="102">
        <v>832558</v>
      </c>
      <c r="BZ20" s="102">
        <v>622839</v>
      </c>
      <c r="CA20" s="102">
        <v>11245198</v>
      </c>
      <c r="CB20" s="102">
        <v>2377803</v>
      </c>
      <c r="CC20" s="102">
        <v>212220</v>
      </c>
      <c r="CD20" s="102">
        <v>4162158</v>
      </c>
      <c r="CE20" s="102">
        <v>4340310</v>
      </c>
      <c r="CF20" s="102">
        <v>9986</v>
      </c>
      <c r="CG20" s="102">
        <v>142721</v>
      </c>
      <c r="CH20" s="102">
        <v>2346845</v>
      </c>
      <c r="CI20" s="102">
        <v>2021422</v>
      </c>
      <c r="CJ20" s="83">
        <f t="shared" si="18"/>
        <v>325423</v>
      </c>
      <c r="CK20" s="102">
        <v>4777081</v>
      </c>
      <c r="CL20" s="102">
        <v>3139847</v>
      </c>
      <c r="CM20" s="102">
        <v>389294</v>
      </c>
      <c r="CN20" s="102">
        <v>839159</v>
      </c>
      <c r="CO20" s="102">
        <v>277469</v>
      </c>
      <c r="CP20" s="102">
        <v>2703232</v>
      </c>
      <c r="CQ20" s="102">
        <v>1144996</v>
      </c>
      <c r="CR20" s="102">
        <v>1017085</v>
      </c>
      <c r="CS20" s="102">
        <v>668868</v>
      </c>
      <c r="CT20" s="73">
        <f t="shared" si="7"/>
        <v>13060</v>
      </c>
      <c r="CU20" s="102">
        <v>10740</v>
      </c>
      <c r="CV20" s="102">
        <v>2320</v>
      </c>
      <c r="CW20" s="73">
        <f t="shared" si="8"/>
        <v>0</v>
      </c>
      <c r="CX20" s="102">
        <v>0</v>
      </c>
      <c r="CY20" s="102">
        <v>0</v>
      </c>
      <c r="CZ20" s="73">
        <f t="shared" si="9"/>
        <v>0</v>
      </c>
      <c r="DA20" s="102">
        <v>0</v>
      </c>
      <c r="DB20" s="102">
        <v>0</v>
      </c>
      <c r="DC20" s="102">
        <v>2503868</v>
      </c>
      <c r="DD20" s="102">
        <v>965057</v>
      </c>
      <c r="DE20" s="102">
        <v>1518327</v>
      </c>
      <c r="DF20" s="77">
        <v>20484</v>
      </c>
      <c r="DG20" s="78">
        <v>0</v>
      </c>
      <c r="DH20" s="102">
        <v>218063</v>
      </c>
      <c r="DI20" s="102">
        <v>691023</v>
      </c>
      <c r="DJ20" s="102">
        <v>3603</v>
      </c>
      <c r="DK20" s="102">
        <v>0</v>
      </c>
      <c r="DL20" s="102">
        <v>687420</v>
      </c>
      <c r="DM20" s="102">
        <v>0</v>
      </c>
      <c r="DN20" s="102">
        <v>0</v>
      </c>
      <c r="DO20" s="102">
        <v>0</v>
      </c>
      <c r="DP20" s="102">
        <v>0</v>
      </c>
      <c r="DQ20" s="102">
        <v>1306710</v>
      </c>
      <c r="DR20" s="102">
        <v>0</v>
      </c>
      <c r="DS20" s="102">
        <v>0</v>
      </c>
      <c r="DT20" s="102">
        <v>4785233</v>
      </c>
      <c r="DU20" s="102">
        <v>1085431</v>
      </c>
      <c r="DV20" s="73">
        <f t="shared" si="10"/>
        <v>0</v>
      </c>
      <c r="DW20" s="102">
        <v>0</v>
      </c>
      <c r="DX20" s="102">
        <v>1357586</v>
      </c>
      <c r="DY20" s="102">
        <v>0</v>
      </c>
      <c r="DZ20" s="102">
        <v>1086740</v>
      </c>
      <c r="EA20" s="74">
        <v>0</v>
      </c>
      <c r="EB20" s="102">
        <v>1252970</v>
      </c>
      <c r="EC20" s="102">
        <v>0</v>
      </c>
      <c r="ED20" s="102">
        <v>38561923</v>
      </c>
      <c r="EE20" s="71"/>
      <c r="EF20" s="102">
        <v>685657</v>
      </c>
      <c r="EG20" s="102">
        <v>14193</v>
      </c>
      <c r="EH20" s="102">
        <v>671464</v>
      </c>
      <c r="EI20" s="102">
        <v>-108981</v>
      </c>
      <c r="EJ20" s="102">
        <v>-105378</v>
      </c>
      <c r="EK20" s="71"/>
      <c r="EL20" s="102"/>
      <c r="EM20" s="102">
        <v>115931</v>
      </c>
      <c r="EN20" s="102">
        <v>179200</v>
      </c>
      <c r="EO20" s="102">
        <v>17023</v>
      </c>
      <c r="EP20" s="73">
        <f t="shared" si="11"/>
        <v>1303514</v>
      </c>
      <c r="EQ20" s="102">
        <v>21761574</v>
      </c>
      <c r="ER20" s="71">
        <v>-2981770</v>
      </c>
      <c r="ES20" s="102">
        <v>6835229</v>
      </c>
      <c r="ET20" s="102">
        <v>4148133</v>
      </c>
      <c r="EU20" s="102">
        <v>3300588</v>
      </c>
      <c r="EV20" s="102">
        <v>2291171</v>
      </c>
      <c r="EW20" s="73">
        <f t="shared" si="12"/>
        <v>960671</v>
      </c>
      <c r="EX20" s="102">
        <v>938293</v>
      </c>
      <c r="EY20" s="102">
        <v>72349</v>
      </c>
      <c r="EZ20" s="102">
        <v>863860</v>
      </c>
      <c r="FA20" s="102">
        <v>22378</v>
      </c>
      <c r="FB20" s="102">
        <v>0</v>
      </c>
      <c r="FC20" s="102">
        <v>3671640</v>
      </c>
      <c r="FD20" s="102">
        <v>2415074</v>
      </c>
      <c r="FE20" s="102">
        <v>1144996</v>
      </c>
      <c r="FF20" s="102">
        <v>4048503</v>
      </c>
      <c r="FG20" s="73">
        <f t="shared" si="13"/>
        <v>534811</v>
      </c>
      <c r="FH20" s="102">
        <v>24057687</v>
      </c>
      <c r="FI20" s="379">
        <f t="shared" si="14"/>
        <v>3</v>
      </c>
      <c r="FJ20" s="102">
        <v>20309894</v>
      </c>
      <c r="FK20" s="102">
        <v>1945154</v>
      </c>
      <c r="FL20" s="102">
        <v>10960460</v>
      </c>
      <c r="FM20" s="102">
        <v>17093444</v>
      </c>
      <c r="FN20" s="428">
        <v>0.63200000000000001</v>
      </c>
      <c r="FO20" s="424">
        <v>97.3</v>
      </c>
      <c r="FP20" s="425">
        <v>30.1</v>
      </c>
      <c r="FQ20" s="424">
        <v>14.8</v>
      </c>
      <c r="FR20" s="424">
        <v>10.3</v>
      </c>
      <c r="FS20" s="425">
        <v>16.3</v>
      </c>
      <c r="FT20" s="424">
        <v>9.5</v>
      </c>
      <c r="FU20" s="425">
        <v>15.1</v>
      </c>
      <c r="FV20" s="384">
        <f t="shared" si="15"/>
        <v>0.1</v>
      </c>
      <c r="FW20" s="102">
        <v>26437072</v>
      </c>
      <c r="FX20" s="384">
        <f t="shared" si="16"/>
        <v>118.8</v>
      </c>
      <c r="FY20" s="102">
        <v>9945309</v>
      </c>
      <c r="FZ20" s="102">
        <v>3761713</v>
      </c>
      <c r="GA20" s="102">
        <v>0</v>
      </c>
      <c r="GB20" s="102">
        <v>6183596</v>
      </c>
      <c r="GC20" s="102">
        <v>0</v>
      </c>
      <c r="GD20" s="427"/>
      <c r="GE20" s="386"/>
      <c r="GF20" s="424">
        <v>98.5</v>
      </c>
      <c r="GG20" s="424">
        <v>28.9</v>
      </c>
      <c r="GH20" s="424">
        <v>94.6</v>
      </c>
      <c r="GI20" s="102">
        <v>794</v>
      </c>
      <c r="GJ20" s="429" t="s">
        <v>646</v>
      </c>
      <c r="GK20" s="429">
        <v>12.29</v>
      </c>
      <c r="GL20" s="87">
        <v>20</v>
      </c>
      <c r="GM20" s="429" t="s">
        <v>646</v>
      </c>
      <c r="GN20" s="430">
        <v>17.29</v>
      </c>
      <c r="GO20" s="430">
        <v>30</v>
      </c>
      <c r="GP20" s="425">
        <v>0.1</v>
      </c>
      <c r="GQ20" s="425">
        <v>25</v>
      </c>
      <c r="GR20" s="425">
        <v>35</v>
      </c>
      <c r="GS20" s="431" t="s">
        <v>646</v>
      </c>
      <c r="GT20" s="425">
        <v>350</v>
      </c>
      <c r="GU20" s="394"/>
      <c r="GV20" s="100">
        <f t="shared" si="17"/>
        <v>22255</v>
      </c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</row>
    <row r="21" spans="2:230" x14ac:dyDescent="0.15">
      <c r="B21" s="89" t="s">
        <v>31</v>
      </c>
      <c r="C21" s="102">
        <v>28484430</v>
      </c>
      <c r="D21" s="73">
        <f t="shared" si="0"/>
        <v>10897137</v>
      </c>
      <c r="E21" s="102">
        <v>351762</v>
      </c>
      <c r="F21" s="102">
        <v>10545375</v>
      </c>
      <c r="G21" s="73">
        <f t="shared" si="1"/>
        <v>2059328</v>
      </c>
      <c r="H21" s="102">
        <v>535226</v>
      </c>
      <c r="I21" s="102">
        <v>1524102</v>
      </c>
      <c r="J21" s="102">
        <v>11138919</v>
      </c>
      <c r="K21" s="102">
        <v>4794610</v>
      </c>
      <c r="L21" s="102">
        <v>5014074</v>
      </c>
      <c r="M21" s="102">
        <v>1043583</v>
      </c>
      <c r="N21" s="102">
        <v>1693880</v>
      </c>
      <c r="O21" s="102">
        <v>2481573</v>
      </c>
      <c r="P21" s="102">
        <v>1372094</v>
      </c>
      <c r="Q21" s="102">
        <v>1109479</v>
      </c>
      <c r="R21" s="102">
        <v>315351</v>
      </c>
      <c r="S21" s="74"/>
      <c r="T21" s="73">
        <f t="shared" si="2"/>
        <v>3146434</v>
      </c>
      <c r="U21" s="102">
        <v>115466</v>
      </c>
      <c r="V21" s="102">
        <v>311702</v>
      </c>
      <c r="W21" s="102">
        <v>164226</v>
      </c>
      <c r="X21" s="102">
        <v>2477699</v>
      </c>
      <c r="Y21" s="102">
        <v>0</v>
      </c>
      <c r="Z21" s="102">
        <v>0</v>
      </c>
      <c r="AA21" s="102">
        <v>77341</v>
      </c>
      <c r="AB21" s="102">
        <v>171984</v>
      </c>
      <c r="AC21" s="102">
        <v>12356343</v>
      </c>
      <c r="AD21" s="102">
        <v>11817847</v>
      </c>
      <c r="AE21" s="102">
        <v>538494</v>
      </c>
      <c r="AF21" s="102">
        <v>30242</v>
      </c>
      <c r="AG21" s="102">
        <v>920532</v>
      </c>
      <c r="AH21" s="73">
        <f t="shared" si="3"/>
        <v>948975</v>
      </c>
      <c r="AI21" s="102">
        <v>612561</v>
      </c>
      <c r="AJ21" s="102">
        <v>336414</v>
      </c>
      <c r="AK21" s="102">
        <v>18868127</v>
      </c>
      <c r="AL21" s="73">
        <f t="shared" si="4"/>
        <v>13006446</v>
      </c>
      <c r="AM21" s="102">
        <v>9741734</v>
      </c>
      <c r="AN21" s="102">
        <v>1180338</v>
      </c>
      <c r="AO21" s="74"/>
      <c r="AP21" s="102">
        <v>2084374</v>
      </c>
      <c r="AQ21" s="102">
        <v>337726</v>
      </c>
      <c r="AR21" s="102">
        <v>0</v>
      </c>
      <c r="AS21" s="102">
        <v>0</v>
      </c>
      <c r="AT21" s="102">
        <v>6119292</v>
      </c>
      <c r="AU21" s="102">
        <v>4543569</v>
      </c>
      <c r="AV21" s="102">
        <v>590169</v>
      </c>
      <c r="AW21" s="102">
        <v>490589</v>
      </c>
      <c r="AX21" s="102">
        <v>1575723</v>
      </c>
      <c r="AY21" s="102">
        <v>15062</v>
      </c>
      <c r="AZ21" s="102">
        <v>147864</v>
      </c>
      <c r="BA21" s="102">
        <v>130811</v>
      </c>
      <c r="BB21" s="102">
        <v>13836</v>
      </c>
      <c r="BC21" s="102">
        <v>1914424</v>
      </c>
      <c r="BD21" s="102">
        <v>140000</v>
      </c>
      <c r="BE21" s="102">
        <v>1529948</v>
      </c>
      <c r="BF21" s="102">
        <v>244476</v>
      </c>
      <c r="BG21" s="102">
        <v>0</v>
      </c>
      <c r="BH21" s="102">
        <v>1021951</v>
      </c>
      <c r="BI21" s="102">
        <v>857762</v>
      </c>
      <c r="BJ21" s="102">
        <v>677442</v>
      </c>
      <c r="BK21" s="102">
        <v>13447</v>
      </c>
      <c r="BL21" s="102">
        <v>0</v>
      </c>
      <c r="BM21" s="102">
        <v>65272</v>
      </c>
      <c r="BN21" s="102">
        <v>4477900</v>
      </c>
      <c r="BO21" s="73">
        <f t="shared" si="5"/>
        <v>1077900</v>
      </c>
      <c r="BP21" s="73">
        <f t="shared" si="6"/>
        <v>3400000</v>
      </c>
      <c r="BQ21" s="102">
        <v>0</v>
      </c>
      <c r="BR21" s="102">
        <v>0</v>
      </c>
      <c r="BS21" s="102">
        <v>3400000</v>
      </c>
      <c r="BT21" s="102">
        <v>0</v>
      </c>
      <c r="BU21" s="102">
        <v>79615127</v>
      </c>
      <c r="BV21" s="71"/>
      <c r="BW21" s="102">
        <v>10461710</v>
      </c>
      <c r="BX21" s="102">
        <v>7262565</v>
      </c>
      <c r="BY21" s="102">
        <v>951682</v>
      </c>
      <c r="BZ21" s="102">
        <v>295294</v>
      </c>
      <c r="CA21" s="102">
        <v>29217362</v>
      </c>
      <c r="CB21" s="102">
        <v>5839177</v>
      </c>
      <c r="CC21" s="102">
        <v>391562</v>
      </c>
      <c r="CD21" s="102">
        <v>9782175</v>
      </c>
      <c r="CE21" s="102">
        <v>12806518</v>
      </c>
      <c r="CF21" s="102">
        <v>43803</v>
      </c>
      <c r="CG21" s="102">
        <v>353147</v>
      </c>
      <c r="CH21" s="102">
        <v>8615526</v>
      </c>
      <c r="CI21" s="102">
        <v>7778097</v>
      </c>
      <c r="CJ21" s="83">
        <f t="shared" si="18"/>
        <v>837429</v>
      </c>
      <c r="CK21" s="102">
        <v>7269831</v>
      </c>
      <c r="CL21" s="102">
        <v>3802957</v>
      </c>
      <c r="CM21" s="102">
        <v>781415</v>
      </c>
      <c r="CN21" s="102">
        <v>1645727</v>
      </c>
      <c r="CO21" s="102">
        <v>275551</v>
      </c>
      <c r="CP21" s="102">
        <v>7365365</v>
      </c>
      <c r="CQ21" s="102">
        <v>2838637</v>
      </c>
      <c r="CR21" s="102">
        <v>1735356</v>
      </c>
      <c r="CS21" s="102">
        <v>1317334</v>
      </c>
      <c r="CT21" s="73">
        <f t="shared" si="7"/>
        <v>1725849</v>
      </c>
      <c r="CU21" s="102">
        <v>1725849</v>
      </c>
      <c r="CV21" s="102">
        <v>0</v>
      </c>
      <c r="CW21" s="73">
        <f t="shared" si="8"/>
        <v>0</v>
      </c>
      <c r="CX21" s="102">
        <v>0</v>
      </c>
      <c r="CY21" s="102">
        <v>0</v>
      </c>
      <c r="CZ21" s="73">
        <f t="shared" si="9"/>
        <v>1708184</v>
      </c>
      <c r="DA21" s="102">
        <v>1708184</v>
      </c>
      <c r="DB21" s="102">
        <v>0</v>
      </c>
      <c r="DC21" s="102">
        <v>4601238</v>
      </c>
      <c r="DD21" s="102">
        <v>1582130</v>
      </c>
      <c r="DE21" s="102">
        <v>2867597</v>
      </c>
      <c r="DF21" s="77">
        <v>41680</v>
      </c>
      <c r="DG21" s="78">
        <v>109831</v>
      </c>
      <c r="DH21" s="102">
        <v>0</v>
      </c>
      <c r="DI21" s="102">
        <v>2212668</v>
      </c>
      <c r="DJ21" s="102">
        <v>1074789</v>
      </c>
      <c r="DK21" s="102">
        <v>796345</v>
      </c>
      <c r="DL21" s="102">
        <v>341534</v>
      </c>
      <c r="DM21" s="102">
        <v>479881</v>
      </c>
      <c r="DN21" s="102">
        <v>479881</v>
      </c>
      <c r="DO21" s="102">
        <v>0</v>
      </c>
      <c r="DP21" s="102">
        <v>0</v>
      </c>
      <c r="DQ21" s="102">
        <v>10241</v>
      </c>
      <c r="DR21" s="102">
        <v>0</v>
      </c>
      <c r="DS21" s="102">
        <v>0</v>
      </c>
      <c r="DT21" s="102">
        <v>7664754</v>
      </c>
      <c r="DU21" s="102">
        <v>0</v>
      </c>
      <c r="DV21" s="73">
        <f t="shared" si="10"/>
        <v>0</v>
      </c>
      <c r="DW21" s="102">
        <v>0</v>
      </c>
      <c r="DX21" s="102">
        <v>2424847</v>
      </c>
      <c r="DY21" s="102">
        <v>0</v>
      </c>
      <c r="DZ21" s="102">
        <v>2823561</v>
      </c>
      <c r="EA21" s="74">
        <v>0</v>
      </c>
      <c r="EB21" s="102">
        <v>2416346</v>
      </c>
      <c r="EC21" s="102">
        <v>0</v>
      </c>
      <c r="ED21" s="102">
        <v>78174127</v>
      </c>
      <c r="EE21" s="71"/>
      <c r="EF21" s="102">
        <v>1441000</v>
      </c>
      <c r="EG21" s="102">
        <v>119921</v>
      </c>
      <c r="EH21" s="102">
        <v>1321079</v>
      </c>
      <c r="EI21" s="102">
        <v>463317</v>
      </c>
      <c r="EJ21" s="102">
        <v>2955127</v>
      </c>
      <c r="EK21" s="71"/>
      <c r="EL21" s="102"/>
      <c r="EM21" s="102">
        <v>240653</v>
      </c>
      <c r="EN21" s="102">
        <v>1669948</v>
      </c>
      <c r="EO21" s="102">
        <v>131297</v>
      </c>
      <c r="EP21" s="73">
        <f t="shared" si="11"/>
        <v>2037562</v>
      </c>
      <c r="EQ21" s="102">
        <v>44504784</v>
      </c>
      <c r="ER21" s="71">
        <v>-7208565</v>
      </c>
      <c r="ES21" s="102">
        <v>9525795</v>
      </c>
      <c r="ET21" s="102">
        <v>6431072</v>
      </c>
      <c r="EU21" s="102">
        <v>8060801</v>
      </c>
      <c r="EV21" s="102">
        <v>8591987</v>
      </c>
      <c r="EW21" s="73">
        <f t="shared" si="12"/>
        <v>2253789</v>
      </c>
      <c r="EX21" s="102">
        <v>2253789</v>
      </c>
      <c r="EY21" s="102">
        <v>87827</v>
      </c>
      <c r="EZ21" s="102">
        <v>2161782</v>
      </c>
      <c r="FA21" s="102">
        <v>0</v>
      </c>
      <c r="FB21" s="102">
        <v>0</v>
      </c>
      <c r="FC21" s="102">
        <v>5939610</v>
      </c>
      <c r="FD21" s="102">
        <v>6680001</v>
      </c>
      <c r="FE21" s="102">
        <v>2827785</v>
      </c>
      <c r="FF21" s="102">
        <v>6290801</v>
      </c>
      <c r="FG21" s="73">
        <f t="shared" si="13"/>
        <v>2929565</v>
      </c>
      <c r="FH21" s="102">
        <v>50272349</v>
      </c>
      <c r="FI21" s="379">
        <f t="shared" si="14"/>
        <v>2.9</v>
      </c>
      <c r="FJ21" s="102">
        <v>40793211</v>
      </c>
      <c r="FK21" s="102">
        <v>4014476</v>
      </c>
      <c r="FL21" s="102">
        <v>22504241</v>
      </c>
      <c r="FM21" s="102">
        <v>34154624</v>
      </c>
      <c r="FN21" s="428">
        <v>0.65400000000000003</v>
      </c>
      <c r="FO21" s="424">
        <v>93.1</v>
      </c>
      <c r="FP21" s="425">
        <v>20.6</v>
      </c>
      <c r="FQ21" s="424">
        <v>17.899999999999999</v>
      </c>
      <c r="FR21" s="424">
        <v>15.6</v>
      </c>
      <c r="FS21" s="425">
        <v>12.3</v>
      </c>
      <c r="FT21" s="424">
        <v>13.2</v>
      </c>
      <c r="FU21" s="425">
        <v>11.9</v>
      </c>
      <c r="FV21" s="384">
        <f t="shared" si="15"/>
        <v>2.9</v>
      </c>
      <c r="FW21" s="102">
        <v>63321804</v>
      </c>
      <c r="FX21" s="384">
        <f t="shared" si="16"/>
        <v>141.30000000000001</v>
      </c>
      <c r="FY21" s="102">
        <v>10556125</v>
      </c>
      <c r="FZ21" s="102">
        <v>3740582</v>
      </c>
      <c r="GA21" s="102">
        <v>894441</v>
      </c>
      <c r="GB21" s="102">
        <v>5921102</v>
      </c>
      <c r="GC21" s="102">
        <v>0</v>
      </c>
      <c r="GD21" s="427"/>
      <c r="GE21" s="386"/>
      <c r="GF21" s="424">
        <v>98.1</v>
      </c>
      <c r="GG21" s="424">
        <v>24.7</v>
      </c>
      <c r="GH21" s="424">
        <v>91.9</v>
      </c>
      <c r="GI21" s="102">
        <v>1060</v>
      </c>
      <c r="GJ21" s="429" t="s">
        <v>646</v>
      </c>
      <c r="GK21" s="429">
        <v>11.35</v>
      </c>
      <c r="GL21" s="87">
        <v>20</v>
      </c>
      <c r="GM21" s="429" t="s">
        <v>646</v>
      </c>
      <c r="GN21" s="430">
        <v>16.350000000000001</v>
      </c>
      <c r="GO21" s="430">
        <v>30</v>
      </c>
      <c r="GP21" s="425">
        <v>2.9</v>
      </c>
      <c r="GQ21" s="425">
        <v>25</v>
      </c>
      <c r="GR21" s="425">
        <v>35</v>
      </c>
      <c r="GS21" s="431" t="s">
        <v>646</v>
      </c>
      <c r="GT21" s="425">
        <v>350</v>
      </c>
      <c r="GU21" s="394"/>
      <c r="GV21" s="100">
        <f t="shared" si="17"/>
        <v>44808</v>
      </c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</row>
    <row r="22" spans="2:230" x14ac:dyDescent="0.15">
      <c r="B22" s="89" t="s">
        <v>33</v>
      </c>
      <c r="C22" s="102">
        <v>12631354</v>
      </c>
      <c r="D22" s="73">
        <f t="shared" si="0"/>
        <v>5716394</v>
      </c>
      <c r="E22" s="102">
        <v>173061</v>
      </c>
      <c r="F22" s="102">
        <v>5543333</v>
      </c>
      <c r="G22" s="73">
        <f t="shared" si="1"/>
        <v>808005</v>
      </c>
      <c r="H22" s="102">
        <v>194056</v>
      </c>
      <c r="I22" s="102">
        <v>613949</v>
      </c>
      <c r="J22" s="102">
        <v>4522666</v>
      </c>
      <c r="K22" s="102">
        <v>1667323</v>
      </c>
      <c r="L22" s="102">
        <v>2177275</v>
      </c>
      <c r="M22" s="102">
        <v>607073</v>
      </c>
      <c r="N22" s="102">
        <v>509285</v>
      </c>
      <c r="O22" s="102">
        <v>928068</v>
      </c>
      <c r="P22" s="102">
        <v>483211</v>
      </c>
      <c r="Q22" s="102">
        <v>444857</v>
      </c>
      <c r="R22" s="102">
        <v>217662</v>
      </c>
      <c r="S22" s="74"/>
      <c r="T22" s="73">
        <f t="shared" si="2"/>
        <v>1478384</v>
      </c>
      <c r="U22" s="102">
        <v>63594</v>
      </c>
      <c r="V22" s="102">
        <v>170725</v>
      </c>
      <c r="W22" s="102">
        <v>89626</v>
      </c>
      <c r="X22" s="102">
        <v>1079097</v>
      </c>
      <c r="Y22" s="102">
        <v>21893</v>
      </c>
      <c r="Z22" s="102">
        <v>0</v>
      </c>
      <c r="AA22" s="102">
        <v>53449</v>
      </c>
      <c r="AB22" s="102">
        <v>57575</v>
      </c>
      <c r="AC22" s="102">
        <v>6113430</v>
      </c>
      <c r="AD22" s="102">
        <v>5901046</v>
      </c>
      <c r="AE22" s="102">
        <v>212383</v>
      </c>
      <c r="AF22" s="102">
        <v>16051</v>
      </c>
      <c r="AG22" s="102">
        <v>368522</v>
      </c>
      <c r="AH22" s="73">
        <f t="shared" si="3"/>
        <v>638189</v>
      </c>
      <c r="AI22" s="102">
        <v>325957</v>
      </c>
      <c r="AJ22" s="102">
        <v>312232</v>
      </c>
      <c r="AK22" s="102">
        <v>6023513</v>
      </c>
      <c r="AL22" s="73">
        <f t="shared" si="4"/>
        <v>3418081</v>
      </c>
      <c r="AM22" s="102">
        <v>2007951</v>
      </c>
      <c r="AN22" s="102">
        <v>420391</v>
      </c>
      <c r="AO22" s="74"/>
      <c r="AP22" s="102">
        <v>989739</v>
      </c>
      <c r="AQ22" s="102">
        <v>324297</v>
      </c>
      <c r="AR22" s="102">
        <v>0</v>
      </c>
      <c r="AS22" s="102">
        <v>0</v>
      </c>
      <c r="AT22" s="102">
        <v>2424592</v>
      </c>
      <c r="AU22" s="102">
        <v>1307340</v>
      </c>
      <c r="AV22" s="102">
        <v>210685</v>
      </c>
      <c r="AW22" s="102">
        <v>63013</v>
      </c>
      <c r="AX22" s="102">
        <v>1117252</v>
      </c>
      <c r="AY22" s="102">
        <v>6801</v>
      </c>
      <c r="AZ22" s="102">
        <v>166415</v>
      </c>
      <c r="BA22" s="102">
        <v>90936</v>
      </c>
      <c r="BB22" s="102">
        <v>19348</v>
      </c>
      <c r="BC22" s="102">
        <v>1627507</v>
      </c>
      <c r="BD22" s="102">
        <v>1071961</v>
      </c>
      <c r="BE22" s="102">
        <v>435442</v>
      </c>
      <c r="BF22" s="102">
        <v>97911</v>
      </c>
      <c r="BG22" s="102">
        <v>0</v>
      </c>
      <c r="BH22" s="102">
        <v>166759</v>
      </c>
      <c r="BI22" s="102">
        <v>42632</v>
      </c>
      <c r="BJ22" s="102">
        <v>993718</v>
      </c>
      <c r="BK22" s="102">
        <v>56304</v>
      </c>
      <c r="BL22" s="102">
        <v>0</v>
      </c>
      <c r="BM22" s="102">
        <v>0</v>
      </c>
      <c r="BN22" s="102">
        <v>3209100</v>
      </c>
      <c r="BO22" s="73">
        <f t="shared" si="5"/>
        <v>1326700</v>
      </c>
      <c r="BP22" s="73">
        <f t="shared" si="6"/>
        <v>1882400</v>
      </c>
      <c r="BQ22" s="102">
        <v>0</v>
      </c>
      <c r="BR22" s="102">
        <v>0</v>
      </c>
      <c r="BS22" s="102">
        <v>1882400</v>
      </c>
      <c r="BT22" s="102">
        <v>0</v>
      </c>
      <c r="BU22" s="102">
        <v>36152119</v>
      </c>
      <c r="BV22" s="71"/>
      <c r="BW22" s="102">
        <v>6255105</v>
      </c>
      <c r="BX22" s="102">
        <v>3641212</v>
      </c>
      <c r="BY22" s="102">
        <v>570779</v>
      </c>
      <c r="BZ22" s="102">
        <v>896436</v>
      </c>
      <c r="CA22" s="102">
        <v>8621943</v>
      </c>
      <c r="CB22" s="102">
        <v>2453980</v>
      </c>
      <c r="CC22" s="102">
        <v>205990</v>
      </c>
      <c r="CD22" s="102">
        <v>3295712</v>
      </c>
      <c r="CE22" s="102">
        <v>2598983</v>
      </c>
      <c r="CF22" s="102">
        <v>7503</v>
      </c>
      <c r="CG22" s="102">
        <v>59775</v>
      </c>
      <c r="CH22" s="102">
        <v>4470620</v>
      </c>
      <c r="CI22" s="102">
        <v>4063806</v>
      </c>
      <c r="CJ22" s="83">
        <f t="shared" si="18"/>
        <v>406814</v>
      </c>
      <c r="CK22" s="102">
        <v>5274128</v>
      </c>
      <c r="CL22" s="102">
        <v>3791758</v>
      </c>
      <c r="CM22" s="102">
        <v>212760</v>
      </c>
      <c r="CN22" s="102">
        <v>669625</v>
      </c>
      <c r="CO22" s="102">
        <v>356540</v>
      </c>
      <c r="CP22" s="102">
        <v>2968923</v>
      </c>
      <c r="CQ22" s="102">
        <v>725480</v>
      </c>
      <c r="CR22" s="102">
        <v>1318509</v>
      </c>
      <c r="CS22" s="102">
        <v>683854</v>
      </c>
      <c r="CT22" s="73">
        <f t="shared" si="7"/>
        <v>123265</v>
      </c>
      <c r="CU22" s="102">
        <v>4687</v>
      </c>
      <c r="CV22" s="102">
        <v>118578</v>
      </c>
      <c r="CW22" s="73">
        <f t="shared" si="8"/>
        <v>0</v>
      </c>
      <c r="CX22" s="102">
        <v>0</v>
      </c>
      <c r="CY22" s="102">
        <v>0</v>
      </c>
      <c r="CZ22" s="73">
        <f t="shared" si="9"/>
        <v>0</v>
      </c>
      <c r="DA22" s="102">
        <v>0</v>
      </c>
      <c r="DB22" s="102">
        <v>0</v>
      </c>
      <c r="DC22" s="102">
        <v>2361287</v>
      </c>
      <c r="DD22" s="102">
        <v>1121154</v>
      </c>
      <c r="DE22" s="102">
        <v>1117687</v>
      </c>
      <c r="DF22" s="77">
        <v>122446</v>
      </c>
      <c r="DG22" s="78">
        <v>0</v>
      </c>
      <c r="DH22" s="102">
        <v>65850</v>
      </c>
      <c r="DI22" s="102">
        <v>849596</v>
      </c>
      <c r="DJ22" s="102">
        <v>502205</v>
      </c>
      <c r="DK22" s="102">
        <v>2542</v>
      </c>
      <c r="DL22" s="102">
        <v>344849</v>
      </c>
      <c r="DM22" s="102">
        <v>0</v>
      </c>
      <c r="DN22" s="102">
        <v>0</v>
      </c>
      <c r="DO22" s="102">
        <v>0</v>
      </c>
      <c r="DP22" s="102">
        <v>0</v>
      </c>
      <c r="DQ22" s="102">
        <v>9601</v>
      </c>
      <c r="DR22" s="102">
        <v>0</v>
      </c>
      <c r="DS22" s="102">
        <v>0</v>
      </c>
      <c r="DT22" s="102">
        <v>4720383</v>
      </c>
      <c r="DU22" s="102">
        <v>1147279</v>
      </c>
      <c r="DV22" s="73">
        <f t="shared" si="10"/>
        <v>0</v>
      </c>
      <c r="DW22" s="102">
        <v>0</v>
      </c>
      <c r="DX22" s="102">
        <v>1420440</v>
      </c>
      <c r="DY22" s="102">
        <v>0</v>
      </c>
      <c r="DZ22" s="102">
        <v>805409</v>
      </c>
      <c r="EA22" s="74">
        <v>0</v>
      </c>
      <c r="EB22" s="102">
        <v>1346115</v>
      </c>
      <c r="EC22" s="102">
        <v>0</v>
      </c>
      <c r="ED22" s="102">
        <v>35953976</v>
      </c>
      <c r="EE22" s="71"/>
      <c r="EF22" s="102">
        <v>198143</v>
      </c>
      <c r="EG22" s="102">
        <v>179864</v>
      </c>
      <c r="EH22" s="102">
        <v>18279</v>
      </c>
      <c r="EI22" s="102">
        <v>-24353</v>
      </c>
      <c r="EJ22" s="102">
        <v>-594109</v>
      </c>
      <c r="EK22" s="71"/>
      <c r="EL22" s="102"/>
      <c r="EM22" s="102">
        <v>110975</v>
      </c>
      <c r="EN22" s="102">
        <v>1507403</v>
      </c>
      <c r="EO22" s="102">
        <v>118376</v>
      </c>
      <c r="EP22" s="73">
        <f t="shared" si="11"/>
        <v>1358632</v>
      </c>
      <c r="EQ22" s="102">
        <v>20514456</v>
      </c>
      <c r="ER22" s="71">
        <v>-4850760</v>
      </c>
      <c r="ES22" s="102">
        <v>5643657</v>
      </c>
      <c r="ET22" s="102">
        <v>3337849</v>
      </c>
      <c r="EU22" s="102">
        <v>2360666</v>
      </c>
      <c r="EV22" s="102">
        <v>4433483</v>
      </c>
      <c r="EW22" s="73">
        <f t="shared" si="12"/>
        <v>700672</v>
      </c>
      <c r="EX22" s="102">
        <v>676705</v>
      </c>
      <c r="EY22" s="102">
        <v>87967</v>
      </c>
      <c r="EZ22" s="102">
        <v>563736</v>
      </c>
      <c r="FA22" s="102">
        <v>23967</v>
      </c>
      <c r="FB22" s="102">
        <v>0</v>
      </c>
      <c r="FC22" s="102">
        <v>4514863</v>
      </c>
      <c r="FD22" s="102">
        <v>2333834</v>
      </c>
      <c r="FE22" s="102">
        <v>725480</v>
      </c>
      <c r="FF22" s="102">
        <v>4044504</v>
      </c>
      <c r="FG22" s="73">
        <f t="shared" si="13"/>
        <v>1135394</v>
      </c>
      <c r="FH22" s="102">
        <v>25167073</v>
      </c>
      <c r="FI22" s="379">
        <f t="shared" si="14"/>
        <v>0.1</v>
      </c>
      <c r="FJ22" s="102">
        <v>19251558</v>
      </c>
      <c r="FK22" s="102">
        <v>1883632</v>
      </c>
      <c r="FL22" s="102">
        <v>10379929</v>
      </c>
      <c r="FM22" s="102">
        <v>16318936</v>
      </c>
      <c r="FN22" s="428">
        <v>0.629</v>
      </c>
      <c r="FO22" s="424">
        <v>103.9</v>
      </c>
      <c r="FP22" s="425">
        <v>25.9</v>
      </c>
      <c r="FQ22" s="424">
        <v>11</v>
      </c>
      <c r="FR22" s="424">
        <v>20.7</v>
      </c>
      <c r="FS22" s="425">
        <v>19.5</v>
      </c>
      <c r="FT22" s="424">
        <v>8.1</v>
      </c>
      <c r="FU22" s="425">
        <v>17.2</v>
      </c>
      <c r="FV22" s="384">
        <f t="shared" si="15"/>
        <v>5.5</v>
      </c>
      <c r="FW22" s="102">
        <v>32741036</v>
      </c>
      <c r="FX22" s="384">
        <f t="shared" si="16"/>
        <v>154.9</v>
      </c>
      <c r="FY22" s="102">
        <v>7440936</v>
      </c>
      <c r="FZ22" s="102">
        <v>4037840</v>
      </c>
      <c r="GA22" s="102">
        <v>416500</v>
      </c>
      <c r="GB22" s="102">
        <v>2986596</v>
      </c>
      <c r="GC22" s="102">
        <v>0</v>
      </c>
      <c r="GD22" s="427"/>
      <c r="GE22" s="386"/>
      <c r="GF22" s="424">
        <v>99.1</v>
      </c>
      <c r="GG22" s="424">
        <v>20.7</v>
      </c>
      <c r="GH22" s="424">
        <v>95.2</v>
      </c>
      <c r="GI22" s="102">
        <v>570</v>
      </c>
      <c r="GJ22" s="429" t="s">
        <v>646</v>
      </c>
      <c r="GK22" s="429">
        <v>12.39</v>
      </c>
      <c r="GL22" s="87">
        <v>20</v>
      </c>
      <c r="GM22" s="429" t="s">
        <v>646</v>
      </c>
      <c r="GN22" s="430">
        <v>17.39</v>
      </c>
      <c r="GO22" s="430">
        <v>30</v>
      </c>
      <c r="GP22" s="425">
        <v>5.5</v>
      </c>
      <c r="GQ22" s="425">
        <v>25</v>
      </c>
      <c r="GR22" s="425">
        <v>35</v>
      </c>
      <c r="GS22" s="431" t="s">
        <v>646</v>
      </c>
      <c r="GT22" s="425">
        <v>350</v>
      </c>
      <c r="GU22" s="394"/>
      <c r="GV22" s="100">
        <f t="shared" si="17"/>
        <v>21135</v>
      </c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</row>
    <row r="23" spans="2:230" x14ac:dyDescent="0.15">
      <c r="B23" s="89" t="s">
        <v>35</v>
      </c>
      <c r="C23" s="102">
        <v>13804437</v>
      </c>
      <c r="D23" s="73">
        <f t="shared" si="0"/>
        <v>5102623</v>
      </c>
      <c r="E23" s="102">
        <v>171480</v>
      </c>
      <c r="F23" s="102">
        <v>4931143</v>
      </c>
      <c r="G23" s="73">
        <f t="shared" si="1"/>
        <v>1104889</v>
      </c>
      <c r="H23" s="102">
        <v>247284</v>
      </c>
      <c r="I23" s="102">
        <v>857605</v>
      </c>
      <c r="J23" s="102">
        <v>5375246</v>
      </c>
      <c r="K23" s="102">
        <v>2565258</v>
      </c>
      <c r="L23" s="102">
        <v>2190848</v>
      </c>
      <c r="M23" s="102">
        <v>577747</v>
      </c>
      <c r="N23" s="102">
        <v>919435</v>
      </c>
      <c r="O23" s="102">
        <v>1174830</v>
      </c>
      <c r="P23" s="102">
        <v>701729</v>
      </c>
      <c r="Q23" s="102">
        <v>473101</v>
      </c>
      <c r="R23" s="102">
        <v>172849</v>
      </c>
      <c r="S23" s="74"/>
      <c r="T23" s="73">
        <f t="shared" si="2"/>
        <v>1664701</v>
      </c>
      <c r="U23" s="102">
        <v>54251</v>
      </c>
      <c r="V23" s="102">
        <v>146230</v>
      </c>
      <c r="W23" s="102">
        <v>76967</v>
      </c>
      <c r="X23" s="102">
        <v>1344864</v>
      </c>
      <c r="Y23" s="102">
        <v>0</v>
      </c>
      <c r="Z23" s="102">
        <v>0</v>
      </c>
      <c r="AA23" s="102">
        <v>42389</v>
      </c>
      <c r="AB23" s="102">
        <v>77030</v>
      </c>
      <c r="AC23" s="102">
        <v>7973337</v>
      </c>
      <c r="AD23" s="102">
        <v>7606040</v>
      </c>
      <c r="AE23" s="102">
        <v>367296</v>
      </c>
      <c r="AF23" s="102">
        <v>18226</v>
      </c>
      <c r="AG23" s="102">
        <v>336959</v>
      </c>
      <c r="AH23" s="73">
        <f t="shared" si="3"/>
        <v>567165</v>
      </c>
      <c r="AI23" s="102">
        <v>379217</v>
      </c>
      <c r="AJ23" s="102">
        <v>187948</v>
      </c>
      <c r="AK23" s="102">
        <v>9111573</v>
      </c>
      <c r="AL23" s="73">
        <f t="shared" si="4"/>
        <v>5715522</v>
      </c>
      <c r="AM23" s="102">
        <v>4278271</v>
      </c>
      <c r="AN23" s="102">
        <v>534514</v>
      </c>
      <c r="AO23" s="74"/>
      <c r="AP23" s="102">
        <v>902737</v>
      </c>
      <c r="AQ23" s="102">
        <v>230063</v>
      </c>
      <c r="AR23" s="102">
        <v>0</v>
      </c>
      <c r="AS23" s="102">
        <v>0</v>
      </c>
      <c r="AT23" s="102">
        <v>3188993</v>
      </c>
      <c r="AU23" s="102">
        <v>1784302</v>
      </c>
      <c r="AV23" s="102">
        <v>267052</v>
      </c>
      <c r="AW23" s="102">
        <v>251482</v>
      </c>
      <c r="AX23" s="102">
        <v>1404691</v>
      </c>
      <c r="AY23" s="102">
        <v>3077</v>
      </c>
      <c r="AZ23" s="102">
        <v>213284</v>
      </c>
      <c r="BA23" s="102">
        <v>44166</v>
      </c>
      <c r="BB23" s="102">
        <v>110711</v>
      </c>
      <c r="BC23" s="102">
        <v>730099</v>
      </c>
      <c r="BD23" s="102">
        <v>506369</v>
      </c>
      <c r="BE23" s="102">
        <v>0</v>
      </c>
      <c r="BF23" s="102">
        <v>221498</v>
      </c>
      <c r="BG23" s="102">
        <v>0</v>
      </c>
      <c r="BH23" s="102">
        <v>305611</v>
      </c>
      <c r="BI23" s="102">
        <v>304438</v>
      </c>
      <c r="BJ23" s="102">
        <v>295624</v>
      </c>
      <c r="BK23" s="102">
        <v>25020</v>
      </c>
      <c r="BL23" s="102">
        <v>0</v>
      </c>
      <c r="BM23" s="102">
        <v>0</v>
      </c>
      <c r="BN23" s="102">
        <v>3897800</v>
      </c>
      <c r="BO23" s="73">
        <f t="shared" si="5"/>
        <v>1965800</v>
      </c>
      <c r="BP23" s="73">
        <f t="shared" si="6"/>
        <v>1932000</v>
      </c>
      <c r="BQ23" s="102">
        <v>0</v>
      </c>
      <c r="BR23" s="102">
        <v>5900</v>
      </c>
      <c r="BS23" s="102">
        <v>1926100</v>
      </c>
      <c r="BT23" s="102">
        <v>0</v>
      </c>
      <c r="BU23" s="102">
        <v>42468399</v>
      </c>
      <c r="BV23" s="71"/>
      <c r="BW23" s="102">
        <v>7027317</v>
      </c>
      <c r="BX23" s="102">
        <v>4869529</v>
      </c>
      <c r="BY23" s="102">
        <v>408885</v>
      </c>
      <c r="BZ23" s="102">
        <v>381345</v>
      </c>
      <c r="CA23" s="102">
        <v>13551450</v>
      </c>
      <c r="CB23" s="102">
        <v>2574442</v>
      </c>
      <c r="CC23" s="102">
        <v>228934</v>
      </c>
      <c r="CD23" s="102">
        <v>4936373</v>
      </c>
      <c r="CE23" s="102">
        <v>5650581</v>
      </c>
      <c r="CF23" s="102">
        <v>6765</v>
      </c>
      <c r="CG23" s="102">
        <v>153925</v>
      </c>
      <c r="CH23" s="102">
        <v>4243987</v>
      </c>
      <c r="CI23" s="102">
        <v>3664168</v>
      </c>
      <c r="CJ23" s="83">
        <f t="shared" si="18"/>
        <v>579819</v>
      </c>
      <c r="CK23" s="102">
        <v>5041611</v>
      </c>
      <c r="CL23" s="102">
        <v>3310754</v>
      </c>
      <c r="CM23" s="102">
        <v>191678</v>
      </c>
      <c r="CN23" s="102">
        <v>820821</v>
      </c>
      <c r="CO23" s="102">
        <v>242042</v>
      </c>
      <c r="CP23" s="102">
        <v>1748809</v>
      </c>
      <c r="CQ23" s="102">
        <v>2403</v>
      </c>
      <c r="CR23" s="102">
        <v>1041607</v>
      </c>
      <c r="CS23" s="102">
        <v>873735</v>
      </c>
      <c r="CT23" s="73">
        <f t="shared" si="7"/>
        <v>9488</v>
      </c>
      <c r="CU23" s="102">
        <v>9000</v>
      </c>
      <c r="CV23" s="102">
        <v>488</v>
      </c>
      <c r="CW23" s="73">
        <f t="shared" si="8"/>
        <v>0</v>
      </c>
      <c r="CX23" s="102">
        <v>0</v>
      </c>
      <c r="CY23" s="102">
        <v>0</v>
      </c>
      <c r="CZ23" s="73">
        <f t="shared" si="9"/>
        <v>0</v>
      </c>
      <c r="DA23" s="102">
        <v>0</v>
      </c>
      <c r="DB23" s="102">
        <v>0</v>
      </c>
      <c r="DC23" s="102">
        <v>3081780</v>
      </c>
      <c r="DD23" s="102">
        <v>1776873</v>
      </c>
      <c r="DE23" s="102">
        <v>1226959</v>
      </c>
      <c r="DF23" s="77">
        <v>22886</v>
      </c>
      <c r="DG23" s="78">
        <v>55062</v>
      </c>
      <c r="DH23" s="102">
        <v>0</v>
      </c>
      <c r="DI23" s="102">
        <v>502379</v>
      </c>
      <c r="DJ23" s="102">
        <v>280932</v>
      </c>
      <c r="DK23" s="102">
        <v>5</v>
      </c>
      <c r="DL23" s="102">
        <v>221442</v>
      </c>
      <c r="DM23" s="102">
        <v>0</v>
      </c>
      <c r="DN23" s="102">
        <v>0</v>
      </c>
      <c r="DO23" s="102">
        <v>0</v>
      </c>
      <c r="DP23" s="102">
        <v>0</v>
      </c>
      <c r="DQ23" s="102">
        <v>25000</v>
      </c>
      <c r="DR23" s="102">
        <v>0</v>
      </c>
      <c r="DS23" s="102">
        <v>0</v>
      </c>
      <c r="DT23" s="102">
        <v>6579257</v>
      </c>
      <c r="DU23" s="102">
        <v>2400000</v>
      </c>
      <c r="DV23" s="73">
        <f t="shared" si="10"/>
        <v>0</v>
      </c>
      <c r="DW23" s="102">
        <v>0</v>
      </c>
      <c r="DX23" s="102">
        <v>1395329</v>
      </c>
      <c r="DY23" s="102">
        <v>0</v>
      </c>
      <c r="DZ23" s="102">
        <v>1454986</v>
      </c>
      <c r="EA23" s="74">
        <v>0</v>
      </c>
      <c r="EB23" s="102">
        <v>1328930</v>
      </c>
      <c r="EC23" s="102">
        <v>0</v>
      </c>
      <c r="ED23" s="102">
        <v>42043632</v>
      </c>
      <c r="EE23" s="71"/>
      <c r="EF23" s="102">
        <v>424767</v>
      </c>
      <c r="EG23" s="102">
        <v>214579</v>
      </c>
      <c r="EH23" s="102">
        <v>210188</v>
      </c>
      <c r="EI23" s="102">
        <v>-94250</v>
      </c>
      <c r="EJ23" s="102">
        <v>-319687</v>
      </c>
      <c r="EK23" s="71"/>
      <c r="EL23" s="102"/>
      <c r="EM23" s="102">
        <v>122910</v>
      </c>
      <c r="EN23" s="102">
        <v>652232</v>
      </c>
      <c r="EO23" s="102">
        <v>210653</v>
      </c>
      <c r="EP23" s="73">
        <f t="shared" si="11"/>
        <v>782110</v>
      </c>
      <c r="EQ23" s="102">
        <v>23710580</v>
      </c>
      <c r="ER23" s="71">
        <v>-3558769</v>
      </c>
      <c r="ES23" s="102">
        <v>6604029</v>
      </c>
      <c r="ET23" s="102">
        <v>4558393</v>
      </c>
      <c r="EU23" s="102">
        <v>3660715</v>
      </c>
      <c r="EV23" s="102">
        <v>4243987</v>
      </c>
      <c r="EW23" s="73">
        <f t="shared" si="12"/>
        <v>182441</v>
      </c>
      <c r="EX23" s="102">
        <v>182441</v>
      </c>
      <c r="EY23" s="102">
        <v>20203</v>
      </c>
      <c r="EZ23" s="102">
        <v>162152</v>
      </c>
      <c r="FA23" s="102">
        <v>0</v>
      </c>
      <c r="FB23" s="102">
        <v>0</v>
      </c>
      <c r="FC23" s="102">
        <v>4412816</v>
      </c>
      <c r="FD23" s="102">
        <v>1473633</v>
      </c>
      <c r="FE23" s="102">
        <v>2403</v>
      </c>
      <c r="FF23" s="102">
        <v>5693661</v>
      </c>
      <c r="FG23" s="73">
        <f t="shared" si="13"/>
        <v>573300</v>
      </c>
      <c r="FH23" s="102">
        <v>26844582</v>
      </c>
      <c r="FI23" s="379">
        <f t="shared" si="14"/>
        <v>0.9</v>
      </c>
      <c r="FJ23" s="102">
        <v>21693281</v>
      </c>
      <c r="FK23" s="102">
        <v>1926158</v>
      </c>
      <c r="FL23" s="102">
        <v>10947876</v>
      </c>
      <c r="FM23" s="102">
        <v>18553916</v>
      </c>
      <c r="FN23" s="428">
        <v>0.58199999999999996</v>
      </c>
      <c r="FO23" s="424">
        <v>101.9</v>
      </c>
      <c r="FP23" s="425">
        <v>27.1</v>
      </c>
      <c r="FQ23" s="424">
        <v>15</v>
      </c>
      <c r="FR23" s="424">
        <v>17.399999999999999</v>
      </c>
      <c r="FS23" s="425">
        <v>17.399999999999999</v>
      </c>
      <c r="FT23" s="424">
        <v>4.7</v>
      </c>
      <c r="FU23" s="425">
        <v>19.5</v>
      </c>
      <c r="FV23" s="384">
        <f t="shared" si="15"/>
        <v>10.4</v>
      </c>
      <c r="FW23" s="102">
        <v>41247628</v>
      </c>
      <c r="FX23" s="384">
        <f t="shared" si="16"/>
        <v>174.6</v>
      </c>
      <c r="FY23" s="102">
        <v>2349991</v>
      </c>
      <c r="FZ23" s="102">
        <v>1366368</v>
      </c>
      <c r="GA23" s="102">
        <v>21253</v>
      </c>
      <c r="GB23" s="102">
        <v>962370</v>
      </c>
      <c r="GC23" s="102">
        <v>0</v>
      </c>
      <c r="GD23" s="427">
        <v>926</v>
      </c>
      <c r="GE23" s="386">
        <f>IF(GD23=0,"-",ROUND(GD23/(GV23)*100,1))</f>
        <v>3.9</v>
      </c>
      <c r="GF23" s="424">
        <v>98.4</v>
      </c>
      <c r="GG23" s="424">
        <v>29</v>
      </c>
      <c r="GH23" s="424">
        <v>95</v>
      </c>
      <c r="GI23" s="102">
        <v>709</v>
      </c>
      <c r="GJ23" s="429" t="s">
        <v>646</v>
      </c>
      <c r="GK23" s="429">
        <v>12.18</v>
      </c>
      <c r="GL23" s="87">
        <v>20</v>
      </c>
      <c r="GM23" s="429" t="s">
        <v>646</v>
      </c>
      <c r="GN23" s="430">
        <v>17.18</v>
      </c>
      <c r="GO23" s="430">
        <v>30</v>
      </c>
      <c r="GP23" s="425">
        <v>10.4</v>
      </c>
      <c r="GQ23" s="425">
        <v>25</v>
      </c>
      <c r="GR23" s="425">
        <v>35</v>
      </c>
      <c r="GS23" s="431">
        <v>103</v>
      </c>
      <c r="GT23" s="425">
        <v>350</v>
      </c>
      <c r="GU23" s="394"/>
      <c r="GV23" s="100">
        <f t="shared" si="17"/>
        <v>23619</v>
      </c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</row>
    <row r="24" spans="2:230" x14ac:dyDescent="0.15">
      <c r="B24" s="89" t="s">
        <v>37</v>
      </c>
      <c r="C24" s="102">
        <v>16703863</v>
      </c>
      <c r="D24" s="73">
        <f t="shared" si="0"/>
        <v>5467601</v>
      </c>
      <c r="E24" s="102">
        <v>189179</v>
      </c>
      <c r="F24" s="102">
        <v>5278422</v>
      </c>
      <c r="G24" s="73">
        <f t="shared" si="1"/>
        <v>1303097</v>
      </c>
      <c r="H24" s="102">
        <v>349881</v>
      </c>
      <c r="I24" s="102">
        <v>953216</v>
      </c>
      <c r="J24" s="102">
        <v>7373410</v>
      </c>
      <c r="K24" s="102">
        <v>3259709</v>
      </c>
      <c r="L24" s="102">
        <v>3173072</v>
      </c>
      <c r="M24" s="102">
        <v>799857</v>
      </c>
      <c r="N24" s="102">
        <v>900073</v>
      </c>
      <c r="O24" s="102">
        <v>1539867</v>
      </c>
      <c r="P24" s="102">
        <v>858784</v>
      </c>
      <c r="Q24" s="102">
        <v>681083</v>
      </c>
      <c r="R24" s="102">
        <v>183103</v>
      </c>
      <c r="S24" s="74"/>
      <c r="T24" s="73">
        <f t="shared" si="2"/>
        <v>1858071</v>
      </c>
      <c r="U24" s="102">
        <v>57714</v>
      </c>
      <c r="V24" s="102">
        <v>155640</v>
      </c>
      <c r="W24" s="102">
        <v>81946</v>
      </c>
      <c r="X24" s="102">
        <v>1496666</v>
      </c>
      <c r="Y24" s="102">
        <v>21166</v>
      </c>
      <c r="Z24" s="102">
        <v>0</v>
      </c>
      <c r="AA24" s="102">
        <v>44939</v>
      </c>
      <c r="AB24" s="102">
        <v>81176</v>
      </c>
      <c r="AC24" s="102">
        <v>4427458</v>
      </c>
      <c r="AD24" s="102">
        <v>4134805</v>
      </c>
      <c r="AE24" s="102">
        <v>292652</v>
      </c>
      <c r="AF24" s="102">
        <v>16875</v>
      </c>
      <c r="AG24" s="102">
        <v>386670</v>
      </c>
      <c r="AH24" s="73">
        <f t="shared" si="3"/>
        <v>809723</v>
      </c>
      <c r="AI24" s="102">
        <v>401636</v>
      </c>
      <c r="AJ24" s="102">
        <v>408087</v>
      </c>
      <c r="AK24" s="102">
        <v>6672950</v>
      </c>
      <c r="AL24" s="73">
        <f t="shared" si="4"/>
        <v>3498872</v>
      </c>
      <c r="AM24" s="102">
        <v>1883873</v>
      </c>
      <c r="AN24" s="102">
        <v>744819</v>
      </c>
      <c r="AO24" s="74"/>
      <c r="AP24" s="102">
        <v>870180</v>
      </c>
      <c r="AQ24" s="102">
        <v>373711</v>
      </c>
      <c r="AR24" s="102">
        <v>0</v>
      </c>
      <c r="AS24" s="102">
        <v>0</v>
      </c>
      <c r="AT24" s="102">
        <v>2761417</v>
      </c>
      <c r="AU24" s="102">
        <v>1604015</v>
      </c>
      <c r="AV24" s="102">
        <v>371853</v>
      </c>
      <c r="AW24" s="102">
        <v>3414</v>
      </c>
      <c r="AX24" s="102">
        <v>1157402</v>
      </c>
      <c r="AY24" s="102">
        <v>32558</v>
      </c>
      <c r="AZ24" s="102">
        <v>92574</v>
      </c>
      <c r="BA24" s="102">
        <v>47207</v>
      </c>
      <c r="BB24" s="102">
        <v>2052</v>
      </c>
      <c r="BC24" s="102">
        <v>172091</v>
      </c>
      <c r="BD24" s="102">
        <v>0</v>
      </c>
      <c r="BE24" s="102">
        <v>154898</v>
      </c>
      <c r="BF24" s="102">
        <v>17193</v>
      </c>
      <c r="BG24" s="102">
        <v>0</v>
      </c>
      <c r="BH24" s="102">
        <v>751703</v>
      </c>
      <c r="BI24" s="102">
        <v>523053</v>
      </c>
      <c r="BJ24" s="102">
        <v>882734</v>
      </c>
      <c r="BK24" s="102">
        <v>3025</v>
      </c>
      <c r="BL24" s="102">
        <v>0</v>
      </c>
      <c r="BM24" s="102">
        <v>0</v>
      </c>
      <c r="BN24" s="102">
        <v>3246000</v>
      </c>
      <c r="BO24" s="73">
        <f t="shared" si="5"/>
        <v>1196000</v>
      </c>
      <c r="BP24" s="73">
        <f t="shared" si="6"/>
        <v>2050000</v>
      </c>
      <c r="BQ24" s="102">
        <v>0</v>
      </c>
      <c r="BR24" s="102">
        <v>0</v>
      </c>
      <c r="BS24" s="102">
        <v>2050000</v>
      </c>
      <c r="BT24" s="102">
        <v>0</v>
      </c>
      <c r="BU24" s="102">
        <v>39048460</v>
      </c>
      <c r="BV24" s="71"/>
      <c r="BW24" s="102">
        <v>5011266</v>
      </c>
      <c r="BX24" s="102">
        <v>3448715</v>
      </c>
      <c r="BY24" s="102">
        <v>370739</v>
      </c>
      <c r="BZ24" s="102">
        <v>178079</v>
      </c>
      <c r="CA24" s="102">
        <v>10957232</v>
      </c>
      <c r="CB24" s="102">
        <v>2376268</v>
      </c>
      <c r="CC24" s="102">
        <v>195524</v>
      </c>
      <c r="CD24" s="102">
        <v>5773970</v>
      </c>
      <c r="CE24" s="102">
        <v>2434691</v>
      </c>
      <c r="CF24" s="102">
        <v>5819</v>
      </c>
      <c r="CG24" s="102">
        <v>170390</v>
      </c>
      <c r="CH24" s="102">
        <v>3786925</v>
      </c>
      <c r="CI24" s="102">
        <v>3310035</v>
      </c>
      <c r="CJ24" s="83">
        <f t="shared" si="18"/>
        <v>476890</v>
      </c>
      <c r="CK24" s="102">
        <v>5759780</v>
      </c>
      <c r="CL24" s="102">
        <v>3947153</v>
      </c>
      <c r="CM24" s="102">
        <v>223937</v>
      </c>
      <c r="CN24" s="102">
        <v>934101</v>
      </c>
      <c r="CO24" s="102">
        <v>104642</v>
      </c>
      <c r="CP24" s="102">
        <v>3179369</v>
      </c>
      <c r="CQ24" s="102">
        <v>1755233</v>
      </c>
      <c r="CR24" s="102">
        <v>846829</v>
      </c>
      <c r="CS24" s="102">
        <v>200818</v>
      </c>
      <c r="CT24" s="73">
        <f t="shared" si="7"/>
        <v>34737</v>
      </c>
      <c r="CU24" s="102">
        <v>34737</v>
      </c>
      <c r="CV24" s="102">
        <v>0</v>
      </c>
      <c r="CW24" s="73">
        <f t="shared" si="8"/>
        <v>0</v>
      </c>
      <c r="CX24" s="102">
        <v>0</v>
      </c>
      <c r="CY24" s="102">
        <v>0</v>
      </c>
      <c r="CZ24" s="73">
        <f t="shared" si="9"/>
        <v>0</v>
      </c>
      <c r="DA24" s="102">
        <v>0</v>
      </c>
      <c r="DB24" s="102">
        <v>0</v>
      </c>
      <c r="DC24" s="102">
        <v>2681509</v>
      </c>
      <c r="DD24" s="102">
        <v>1370125</v>
      </c>
      <c r="DE24" s="102">
        <v>1232923</v>
      </c>
      <c r="DF24" s="77">
        <v>78461</v>
      </c>
      <c r="DG24" s="78">
        <v>0</v>
      </c>
      <c r="DH24" s="102">
        <v>0</v>
      </c>
      <c r="DI24" s="102">
        <v>1031980</v>
      </c>
      <c r="DJ24" s="102">
        <v>46112</v>
      </c>
      <c r="DK24" s="102">
        <v>257216</v>
      </c>
      <c r="DL24" s="102">
        <v>728652</v>
      </c>
      <c r="DM24" s="102">
        <v>0</v>
      </c>
      <c r="DN24" s="102">
        <v>0</v>
      </c>
      <c r="DO24" s="102">
        <v>0</v>
      </c>
      <c r="DP24" s="102">
        <v>0</v>
      </c>
      <c r="DQ24" s="102">
        <v>0</v>
      </c>
      <c r="DR24" s="102">
        <v>0</v>
      </c>
      <c r="DS24" s="102">
        <v>0</v>
      </c>
      <c r="DT24" s="102">
        <v>5778804</v>
      </c>
      <c r="DU24" s="102">
        <v>2117167</v>
      </c>
      <c r="DV24" s="73">
        <f t="shared" si="10"/>
        <v>0</v>
      </c>
      <c r="DW24" s="102">
        <v>0</v>
      </c>
      <c r="DX24" s="102">
        <v>1207102</v>
      </c>
      <c r="DY24" s="102">
        <v>0</v>
      </c>
      <c r="DZ24" s="102">
        <v>1327392</v>
      </c>
      <c r="EA24" s="74">
        <v>0</v>
      </c>
      <c r="EB24" s="102">
        <v>1122401</v>
      </c>
      <c r="EC24" s="102">
        <v>0</v>
      </c>
      <c r="ED24" s="102">
        <v>38291507</v>
      </c>
      <c r="EE24" s="71"/>
      <c r="EF24" s="102">
        <v>756953</v>
      </c>
      <c r="EG24" s="102">
        <v>73018</v>
      </c>
      <c r="EH24" s="102">
        <v>683935</v>
      </c>
      <c r="EI24" s="102">
        <v>160882</v>
      </c>
      <c r="EJ24" s="102">
        <v>206994</v>
      </c>
      <c r="EK24" s="71"/>
      <c r="EL24" s="102"/>
      <c r="EM24" s="102">
        <v>124150</v>
      </c>
      <c r="EN24" s="102">
        <v>154898</v>
      </c>
      <c r="EO24" s="102">
        <v>87684</v>
      </c>
      <c r="EP24" s="73">
        <f t="shared" si="11"/>
        <v>1311868</v>
      </c>
      <c r="EQ24" s="102">
        <v>23270546</v>
      </c>
      <c r="ER24" s="71">
        <v>-3587575</v>
      </c>
      <c r="ES24" s="102">
        <v>4619443</v>
      </c>
      <c r="ET24" s="102">
        <v>3086690</v>
      </c>
      <c r="EU24" s="102">
        <v>3259167</v>
      </c>
      <c r="EV24" s="102">
        <v>3749757</v>
      </c>
      <c r="EW24" s="73">
        <f t="shared" si="12"/>
        <v>825966</v>
      </c>
      <c r="EX24" s="102">
        <v>825966</v>
      </c>
      <c r="EY24" s="102">
        <v>183019</v>
      </c>
      <c r="EZ24" s="102">
        <v>638286</v>
      </c>
      <c r="FA24" s="102">
        <v>0</v>
      </c>
      <c r="FB24" s="102">
        <v>0</v>
      </c>
      <c r="FC24" s="102">
        <v>4594905</v>
      </c>
      <c r="FD24" s="102">
        <v>2957383</v>
      </c>
      <c r="FE24" s="102">
        <v>1753807</v>
      </c>
      <c r="FF24" s="102">
        <v>4989504</v>
      </c>
      <c r="FG24" s="73">
        <f t="shared" si="13"/>
        <v>1105043</v>
      </c>
      <c r="FH24" s="102">
        <v>26101168</v>
      </c>
      <c r="FI24" s="379">
        <f t="shared" si="14"/>
        <v>2.9</v>
      </c>
      <c r="FJ24" s="102">
        <v>20976962</v>
      </c>
      <c r="FK24" s="102">
        <v>2368271</v>
      </c>
      <c r="FL24" s="102">
        <v>13057272</v>
      </c>
      <c r="FM24" s="102">
        <v>17192077</v>
      </c>
      <c r="FN24" s="428">
        <v>0.75600000000000001</v>
      </c>
      <c r="FO24" s="424">
        <v>96.4</v>
      </c>
      <c r="FP24" s="425">
        <v>19</v>
      </c>
      <c r="FQ24" s="424">
        <v>13.7</v>
      </c>
      <c r="FR24" s="424">
        <v>15.8</v>
      </c>
      <c r="FS24" s="425">
        <v>17.3</v>
      </c>
      <c r="FT24" s="424">
        <v>10.7</v>
      </c>
      <c r="FU24" s="425">
        <v>19.7</v>
      </c>
      <c r="FV24" s="384">
        <f t="shared" si="15"/>
        <v>3.1</v>
      </c>
      <c r="FW24" s="102">
        <v>39520510</v>
      </c>
      <c r="FX24" s="384">
        <f t="shared" si="16"/>
        <v>169.3</v>
      </c>
      <c r="FY24" s="102">
        <v>16463610</v>
      </c>
      <c r="FZ24" s="102">
        <v>8576138</v>
      </c>
      <c r="GA24" s="102">
        <v>1599537</v>
      </c>
      <c r="GB24" s="102">
        <v>6287935</v>
      </c>
      <c r="GC24" s="102">
        <v>0</v>
      </c>
      <c r="GD24" s="427"/>
      <c r="GE24" s="386"/>
      <c r="GF24" s="424">
        <v>98.6</v>
      </c>
      <c r="GG24" s="424">
        <v>34.200000000000003</v>
      </c>
      <c r="GH24" s="424">
        <v>95</v>
      </c>
      <c r="GI24" s="102">
        <v>522</v>
      </c>
      <c r="GJ24" s="429" t="s">
        <v>646</v>
      </c>
      <c r="GK24" s="429">
        <v>12.2</v>
      </c>
      <c r="GL24" s="87">
        <v>20</v>
      </c>
      <c r="GM24" s="429" t="s">
        <v>646</v>
      </c>
      <c r="GN24" s="430">
        <v>17.2</v>
      </c>
      <c r="GO24" s="430">
        <v>30</v>
      </c>
      <c r="GP24" s="425">
        <v>3.1</v>
      </c>
      <c r="GQ24" s="425">
        <v>25</v>
      </c>
      <c r="GR24" s="425">
        <v>35</v>
      </c>
      <c r="GS24" s="431" t="s">
        <v>646</v>
      </c>
      <c r="GT24" s="425">
        <v>350</v>
      </c>
      <c r="GU24" s="394"/>
      <c r="GV24" s="100">
        <f t="shared" si="17"/>
        <v>23345</v>
      </c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</row>
    <row r="25" spans="2:230" x14ac:dyDescent="0.15">
      <c r="B25" s="89" t="s">
        <v>39</v>
      </c>
      <c r="C25" s="102">
        <v>22501147</v>
      </c>
      <c r="D25" s="73">
        <f t="shared" si="0"/>
        <v>9115084</v>
      </c>
      <c r="E25" s="102">
        <v>273397</v>
      </c>
      <c r="F25" s="102">
        <v>8841687</v>
      </c>
      <c r="G25" s="73">
        <f t="shared" si="1"/>
        <v>1304507</v>
      </c>
      <c r="H25" s="102">
        <v>387454</v>
      </c>
      <c r="I25" s="102">
        <v>917053</v>
      </c>
      <c r="J25" s="102">
        <v>8873589</v>
      </c>
      <c r="K25" s="102">
        <v>3406671</v>
      </c>
      <c r="L25" s="102">
        <v>4374573</v>
      </c>
      <c r="M25" s="102">
        <v>957216</v>
      </c>
      <c r="N25" s="102">
        <v>1120662</v>
      </c>
      <c r="O25" s="102">
        <v>1828077</v>
      </c>
      <c r="P25" s="102">
        <v>925855</v>
      </c>
      <c r="Q25" s="102">
        <v>902222</v>
      </c>
      <c r="R25" s="102">
        <v>305940</v>
      </c>
      <c r="S25" s="74"/>
      <c r="T25" s="73">
        <f t="shared" si="2"/>
        <v>2504036</v>
      </c>
      <c r="U25" s="102">
        <v>93878</v>
      </c>
      <c r="V25" s="102">
        <v>253909</v>
      </c>
      <c r="W25" s="102">
        <v>133942</v>
      </c>
      <c r="X25" s="102">
        <v>1913419</v>
      </c>
      <c r="Y25" s="102">
        <v>33765</v>
      </c>
      <c r="Z25" s="102">
        <v>0</v>
      </c>
      <c r="AA25" s="102">
        <v>75123</v>
      </c>
      <c r="AB25" s="102">
        <v>212234</v>
      </c>
      <c r="AC25" s="102">
        <v>8281684</v>
      </c>
      <c r="AD25" s="102">
        <v>7606375</v>
      </c>
      <c r="AE25" s="102">
        <v>675307</v>
      </c>
      <c r="AF25" s="102">
        <v>25227</v>
      </c>
      <c r="AG25" s="102">
        <v>521585</v>
      </c>
      <c r="AH25" s="73">
        <f t="shared" si="3"/>
        <v>1226248</v>
      </c>
      <c r="AI25" s="102">
        <v>1126330</v>
      </c>
      <c r="AJ25" s="102">
        <v>99918</v>
      </c>
      <c r="AK25" s="102">
        <v>12075137</v>
      </c>
      <c r="AL25" s="73">
        <f t="shared" si="4"/>
        <v>7242503</v>
      </c>
      <c r="AM25" s="102">
        <v>5483659</v>
      </c>
      <c r="AN25" s="102">
        <v>524983</v>
      </c>
      <c r="AO25" s="74"/>
      <c r="AP25" s="102">
        <v>1233861</v>
      </c>
      <c r="AQ25" s="102">
        <v>50928</v>
      </c>
      <c r="AR25" s="102">
        <v>0</v>
      </c>
      <c r="AS25" s="102">
        <v>217932</v>
      </c>
      <c r="AT25" s="102">
        <v>4512412</v>
      </c>
      <c r="AU25" s="102">
        <v>2664763</v>
      </c>
      <c r="AV25" s="102">
        <v>257964</v>
      </c>
      <c r="AW25" s="102">
        <v>545756</v>
      </c>
      <c r="AX25" s="102">
        <v>1847649</v>
      </c>
      <c r="AY25" s="102">
        <v>144448</v>
      </c>
      <c r="AZ25" s="102">
        <v>142569</v>
      </c>
      <c r="BA25" s="102">
        <v>26360</v>
      </c>
      <c r="BB25" s="102">
        <v>24253</v>
      </c>
      <c r="BC25" s="102">
        <v>1379641</v>
      </c>
      <c r="BD25" s="102">
        <v>300000</v>
      </c>
      <c r="BE25" s="102">
        <v>0</v>
      </c>
      <c r="BF25" s="102">
        <v>1067482</v>
      </c>
      <c r="BG25" s="102">
        <v>0</v>
      </c>
      <c r="BH25" s="102">
        <v>170463</v>
      </c>
      <c r="BI25" s="102">
        <v>93575</v>
      </c>
      <c r="BJ25" s="102">
        <v>651841</v>
      </c>
      <c r="BK25" s="102">
        <v>995</v>
      </c>
      <c r="BL25" s="102">
        <v>10080</v>
      </c>
      <c r="BM25" s="102">
        <v>0</v>
      </c>
      <c r="BN25" s="102">
        <v>5540000</v>
      </c>
      <c r="BO25" s="73">
        <f t="shared" si="5"/>
        <v>2633200</v>
      </c>
      <c r="BP25" s="73">
        <f t="shared" si="6"/>
        <v>2906800</v>
      </c>
      <c r="BQ25" s="102">
        <v>0</v>
      </c>
      <c r="BR25" s="102">
        <v>0</v>
      </c>
      <c r="BS25" s="102">
        <v>2906800</v>
      </c>
      <c r="BT25" s="102">
        <v>0</v>
      </c>
      <c r="BU25" s="102">
        <v>60292349</v>
      </c>
      <c r="BV25" s="71"/>
      <c r="BW25" s="102">
        <v>10619279</v>
      </c>
      <c r="BX25" s="102">
        <v>6709806</v>
      </c>
      <c r="BY25" s="102">
        <v>1203159</v>
      </c>
      <c r="BZ25" s="102">
        <v>825639</v>
      </c>
      <c r="CA25" s="102">
        <v>19467422</v>
      </c>
      <c r="CB25" s="102">
        <v>3661198</v>
      </c>
      <c r="CC25" s="102">
        <v>383565</v>
      </c>
      <c r="CD25" s="102">
        <v>7628626</v>
      </c>
      <c r="CE25" s="102">
        <v>7483130</v>
      </c>
      <c r="CF25" s="102">
        <v>12659</v>
      </c>
      <c r="CG25" s="102">
        <v>297504</v>
      </c>
      <c r="CH25" s="102">
        <v>5928388</v>
      </c>
      <c r="CI25" s="102">
        <v>5264862</v>
      </c>
      <c r="CJ25" s="83">
        <f t="shared" si="18"/>
        <v>663526</v>
      </c>
      <c r="CK25" s="102">
        <v>6739956</v>
      </c>
      <c r="CL25" s="102">
        <v>4534771</v>
      </c>
      <c r="CM25" s="102">
        <v>309486</v>
      </c>
      <c r="CN25" s="102">
        <v>824433</v>
      </c>
      <c r="CO25" s="102">
        <v>337651</v>
      </c>
      <c r="CP25" s="102">
        <v>6149111</v>
      </c>
      <c r="CQ25" s="102">
        <v>1247895</v>
      </c>
      <c r="CR25" s="102">
        <v>1413501</v>
      </c>
      <c r="CS25" s="102">
        <v>983040</v>
      </c>
      <c r="CT25" s="73">
        <f t="shared" si="7"/>
        <v>2496488</v>
      </c>
      <c r="CU25" s="102">
        <v>624393</v>
      </c>
      <c r="CV25" s="102">
        <v>1872095</v>
      </c>
      <c r="CW25" s="73">
        <f t="shared" si="8"/>
        <v>1614272</v>
      </c>
      <c r="CX25" s="102">
        <v>0</v>
      </c>
      <c r="CY25" s="102">
        <v>1614272</v>
      </c>
      <c r="CZ25" s="73">
        <f t="shared" si="9"/>
        <v>793400</v>
      </c>
      <c r="DA25" s="102">
        <v>558574</v>
      </c>
      <c r="DB25" s="102">
        <v>234826</v>
      </c>
      <c r="DC25" s="102">
        <v>5982317</v>
      </c>
      <c r="DD25" s="102">
        <v>1926266</v>
      </c>
      <c r="DE25" s="102">
        <v>4027220</v>
      </c>
      <c r="DF25" s="77">
        <v>28831</v>
      </c>
      <c r="DG25" s="78">
        <v>0</v>
      </c>
      <c r="DH25" s="102">
        <v>0</v>
      </c>
      <c r="DI25" s="102">
        <v>148135</v>
      </c>
      <c r="DJ25" s="102">
        <v>52140</v>
      </c>
      <c r="DK25" s="102">
        <v>70</v>
      </c>
      <c r="DL25" s="102">
        <v>95925</v>
      </c>
      <c r="DM25" s="102">
        <v>0</v>
      </c>
      <c r="DN25" s="102">
        <v>0</v>
      </c>
      <c r="DO25" s="102">
        <v>0</v>
      </c>
      <c r="DP25" s="102">
        <v>0</v>
      </c>
      <c r="DQ25" s="102">
        <v>20900</v>
      </c>
      <c r="DR25" s="102">
        <v>0</v>
      </c>
      <c r="DS25" s="102">
        <v>0</v>
      </c>
      <c r="DT25" s="102">
        <v>4763416</v>
      </c>
      <c r="DU25" s="102">
        <v>0</v>
      </c>
      <c r="DV25" s="73">
        <f t="shared" si="10"/>
        <v>0</v>
      </c>
      <c r="DW25" s="102">
        <v>0</v>
      </c>
      <c r="DX25" s="102">
        <v>1808552</v>
      </c>
      <c r="DY25" s="102">
        <v>0</v>
      </c>
      <c r="DZ25" s="102">
        <v>1464145</v>
      </c>
      <c r="EA25" s="74">
        <v>0</v>
      </c>
      <c r="EB25" s="102">
        <v>1490423</v>
      </c>
      <c r="EC25" s="102">
        <v>0</v>
      </c>
      <c r="ED25" s="102">
        <v>60156575</v>
      </c>
      <c r="EE25" s="71"/>
      <c r="EF25" s="102">
        <v>135774</v>
      </c>
      <c r="EG25" s="102">
        <v>67636</v>
      </c>
      <c r="EH25" s="102">
        <v>68138</v>
      </c>
      <c r="EI25" s="102">
        <v>-25437</v>
      </c>
      <c r="EJ25" s="102">
        <v>-273239</v>
      </c>
      <c r="EK25" s="71"/>
      <c r="EL25" s="102"/>
      <c r="EM25" s="102">
        <v>187434</v>
      </c>
      <c r="EN25" s="102">
        <v>312159</v>
      </c>
      <c r="EO25" s="102">
        <v>139614</v>
      </c>
      <c r="EP25" s="73">
        <f t="shared" si="11"/>
        <v>914806</v>
      </c>
      <c r="EQ25" s="102">
        <v>34048200</v>
      </c>
      <c r="ER25" s="71">
        <v>-4030220</v>
      </c>
      <c r="ES25" s="102">
        <v>9814519</v>
      </c>
      <c r="ET25" s="102">
        <v>6120199</v>
      </c>
      <c r="EU25" s="102">
        <v>5694425</v>
      </c>
      <c r="EV25" s="102">
        <v>5790087</v>
      </c>
      <c r="EW25" s="73">
        <f t="shared" si="12"/>
        <v>886715</v>
      </c>
      <c r="EX25" s="102">
        <v>886715</v>
      </c>
      <c r="EY25" s="102">
        <v>78923</v>
      </c>
      <c r="EZ25" s="102">
        <v>804861</v>
      </c>
      <c r="FA25" s="102">
        <v>0</v>
      </c>
      <c r="FB25" s="102">
        <v>0</v>
      </c>
      <c r="FC25" s="102">
        <v>5660094</v>
      </c>
      <c r="FD25" s="102">
        <v>5797982</v>
      </c>
      <c r="FE25" s="102">
        <v>1247895</v>
      </c>
      <c r="FF25" s="102">
        <v>3862908</v>
      </c>
      <c r="FG25" s="73">
        <f t="shared" si="13"/>
        <v>435916</v>
      </c>
      <c r="FH25" s="102">
        <v>37942646</v>
      </c>
      <c r="FI25" s="379">
        <f t="shared" si="14"/>
        <v>0.2</v>
      </c>
      <c r="FJ25" s="102">
        <v>30813686</v>
      </c>
      <c r="FK25" s="102">
        <v>2906882</v>
      </c>
      <c r="FL25" s="102">
        <v>17966316</v>
      </c>
      <c r="FM25" s="102">
        <v>25521698</v>
      </c>
      <c r="FN25" s="428">
        <v>0.68799999999999994</v>
      </c>
      <c r="FO25" s="424">
        <v>98.9</v>
      </c>
      <c r="FP25" s="425">
        <v>27.5</v>
      </c>
      <c r="FQ25" s="424">
        <v>16.399999999999999</v>
      </c>
      <c r="FR25" s="424">
        <v>16.7</v>
      </c>
      <c r="FS25" s="425">
        <v>15.5</v>
      </c>
      <c r="FT25" s="424">
        <v>11.9</v>
      </c>
      <c r="FU25" s="425">
        <v>10</v>
      </c>
      <c r="FV25" s="384">
        <f t="shared" si="15"/>
        <v>6.1</v>
      </c>
      <c r="FW25" s="102">
        <v>53701061</v>
      </c>
      <c r="FX25" s="384">
        <f t="shared" si="16"/>
        <v>159.30000000000001</v>
      </c>
      <c r="FY25" s="102">
        <v>6989463</v>
      </c>
      <c r="FZ25" s="102">
        <v>3905840</v>
      </c>
      <c r="GA25" s="102">
        <v>149080</v>
      </c>
      <c r="GB25" s="102">
        <v>2934543</v>
      </c>
      <c r="GC25" s="102">
        <v>0</v>
      </c>
      <c r="GD25" s="427"/>
      <c r="GE25" s="386"/>
      <c r="GF25" s="424">
        <v>98.8</v>
      </c>
      <c r="GG25" s="424">
        <v>30.4</v>
      </c>
      <c r="GH25" s="424">
        <v>95.8</v>
      </c>
      <c r="GI25" s="102">
        <v>1119</v>
      </c>
      <c r="GJ25" s="429" t="s">
        <v>646</v>
      </c>
      <c r="GK25" s="429">
        <v>11.65</v>
      </c>
      <c r="GL25" s="87">
        <v>20</v>
      </c>
      <c r="GM25" s="429" t="s">
        <v>646</v>
      </c>
      <c r="GN25" s="430">
        <v>16.649999999999999</v>
      </c>
      <c r="GO25" s="430">
        <v>30</v>
      </c>
      <c r="GP25" s="425">
        <v>6.1</v>
      </c>
      <c r="GQ25" s="425">
        <v>25</v>
      </c>
      <c r="GR25" s="425">
        <v>35</v>
      </c>
      <c r="GS25" s="431">
        <v>14.8</v>
      </c>
      <c r="GT25" s="425">
        <v>350</v>
      </c>
      <c r="GU25" s="394"/>
      <c r="GV25" s="100">
        <f t="shared" si="17"/>
        <v>33721</v>
      </c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</row>
    <row r="26" spans="2:230" x14ac:dyDescent="0.15">
      <c r="B26" s="89" t="s">
        <v>41</v>
      </c>
      <c r="C26" s="102">
        <v>22954030</v>
      </c>
      <c r="D26" s="73">
        <f t="shared" si="0"/>
        <v>9839453</v>
      </c>
      <c r="E26" s="102">
        <v>207998</v>
      </c>
      <c r="F26" s="102">
        <v>9631455</v>
      </c>
      <c r="G26" s="73">
        <f t="shared" si="1"/>
        <v>1187344</v>
      </c>
      <c r="H26" s="102">
        <v>359573</v>
      </c>
      <c r="I26" s="102">
        <v>827771</v>
      </c>
      <c r="J26" s="102">
        <v>8827334</v>
      </c>
      <c r="K26" s="102">
        <v>4130246</v>
      </c>
      <c r="L26" s="102">
        <v>3867424</v>
      </c>
      <c r="M26" s="102">
        <v>803817</v>
      </c>
      <c r="N26" s="102">
        <v>845118</v>
      </c>
      <c r="O26" s="102">
        <v>2104627</v>
      </c>
      <c r="P26" s="102">
        <v>1250051</v>
      </c>
      <c r="Q26" s="102">
        <v>854576</v>
      </c>
      <c r="R26" s="102">
        <v>237743</v>
      </c>
      <c r="S26" s="74"/>
      <c r="T26" s="73">
        <f t="shared" si="2"/>
        <v>1980416</v>
      </c>
      <c r="U26" s="102">
        <v>103583</v>
      </c>
      <c r="V26" s="102">
        <v>279561</v>
      </c>
      <c r="W26" s="102">
        <v>147271</v>
      </c>
      <c r="X26" s="102">
        <v>1389284</v>
      </c>
      <c r="Y26" s="102">
        <v>2366</v>
      </c>
      <c r="Z26" s="102">
        <v>0</v>
      </c>
      <c r="AA26" s="102">
        <v>58351</v>
      </c>
      <c r="AB26" s="102">
        <v>121088</v>
      </c>
      <c r="AC26" s="102">
        <v>979507</v>
      </c>
      <c r="AD26" s="102">
        <v>868957</v>
      </c>
      <c r="AE26" s="102">
        <v>110548</v>
      </c>
      <c r="AF26" s="102">
        <v>20905</v>
      </c>
      <c r="AG26" s="102">
        <v>463300</v>
      </c>
      <c r="AH26" s="73">
        <f t="shared" si="3"/>
        <v>859328</v>
      </c>
      <c r="AI26" s="102">
        <v>550343</v>
      </c>
      <c r="AJ26" s="102">
        <v>308985</v>
      </c>
      <c r="AK26" s="102">
        <v>6328970</v>
      </c>
      <c r="AL26" s="73">
        <f t="shared" si="4"/>
        <v>2945576</v>
      </c>
      <c r="AM26" s="102">
        <v>1565707</v>
      </c>
      <c r="AN26" s="102">
        <v>460977</v>
      </c>
      <c r="AO26" s="74"/>
      <c r="AP26" s="102">
        <v>918892</v>
      </c>
      <c r="AQ26" s="102">
        <v>8199</v>
      </c>
      <c r="AR26" s="102">
        <v>2985</v>
      </c>
      <c r="AS26" s="102">
        <v>0</v>
      </c>
      <c r="AT26" s="102">
        <v>3033981</v>
      </c>
      <c r="AU26" s="102">
        <v>1887180</v>
      </c>
      <c r="AV26" s="102">
        <v>235484</v>
      </c>
      <c r="AW26" s="102">
        <v>20709</v>
      </c>
      <c r="AX26" s="102">
        <v>1146801</v>
      </c>
      <c r="AY26" s="102">
        <v>0</v>
      </c>
      <c r="AZ26" s="102">
        <v>817960</v>
      </c>
      <c r="BA26" s="102">
        <v>673122</v>
      </c>
      <c r="BB26" s="102">
        <v>59023</v>
      </c>
      <c r="BC26" s="102">
        <v>2966230</v>
      </c>
      <c r="BD26" s="102">
        <v>670000</v>
      </c>
      <c r="BE26" s="102">
        <v>0</v>
      </c>
      <c r="BF26" s="102">
        <v>2135094</v>
      </c>
      <c r="BG26" s="102">
        <v>0</v>
      </c>
      <c r="BH26" s="102">
        <v>1382796</v>
      </c>
      <c r="BI26" s="102">
        <v>704350</v>
      </c>
      <c r="BJ26" s="102">
        <v>1309279</v>
      </c>
      <c r="BK26" s="102">
        <v>25725</v>
      </c>
      <c r="BL26" s="102">
        <v>0</v>
      </c>
      <c r="BM26" s="102">
        <v>600000</v>
      </c>
      <c r="BN26" s="102">
        <v>2379962</v>
      </c>
      <c r="BO26" s="73">
        <f t="shared" si="5"/>
        <v>712800</v>
      </c>
      <c r="BP26" s="73">
        <f t="shared" si="6"/>
        <v>1667162</v>
      </c>
      <c r="BQ26" s="102">
        <v>0</v>
      </c>
      <c r="BR26" s="102">
        <v>0</v>
      </c>
      <c r="BS26" s="102">
        <v>1667162</v>
      </c>
      <c r="BT26" s="102">
        <v>0</v>
      </c>
      <c r="BU26" s="102">
        <v>45894518</v>
      </c>
      <c r="BV26" s="71"/>
      <c r="BW26" s="102">
        <v>9397637</v>
      </c>
      <c r="BX26" s="102">
        <v>6500171</v>
      </c>
      <c r="BY26" s="102">
        <v>1005111</v>
      </c>
      <c r="BZ26" s="102">
        <v>234745</v>
      </c>
      <c r="CA26" s="102">
        <v>9858037</v>
      </c>
      <c r="CB26" s="102">
        <v>2401599</v>
      </c>
      <c r="CC26" s="102">
        <v>291957</v>
      </c>
      <c r="CD26" s="102">
        <v>4972753</v>
      </c>
      <c r="CE26" s="102">
        <v>2062040</v>
      </c>
      <c r="CF26" s="102">
        <v>26490</v>
      </c>
      <c r="CG26" s="102">
        <v>103013</v>
      </c>
      <c r="CH26" s="102">
        <v>2717518</v>
      </c>
      <c r="CI26" s="102">
        <v>2367148</v>
      </c>
      <c r="CJ26" s="83">
        <f t="shared" si="18"/>
        <v>350370</v>
      </c>
      <c r="CK26" s="102">
        <v>7290802</v>
      </c>
      <c r="CL26" s="102">
        <v>4899749</v>
      </c>
      <c r="CM26" s="102">
        <v>384738</v>
      </c>
      <c r="CN26" s="102">
        <v>1222652</v>
      </c>
      <c r="CO26" s="102">
        <v>287830</v>
      </c>
      <c r="CP26" s="102">
        <v>2654978</v>
      </c>
      <c r="CQ26" s="102">
        <v>2254</v>
      </c>
      <c r="CR26" s="102">
        <v>1426958</v>
      </c>
      <c r="CS26" s="102">
        <v>1007168</v>
      </c>
      <c r="CT26" s="73">
        <f t="shared" si="7"/>
        <v>601199</v>
      </c>
      <c r="CU26" s="102">
        <v>425362</v>
      </c>
      <c r="CV26" s="102">
        <v>175837</v>
      </c>
      <c r="CW26" s="73">
        <f t="shared" si="8"/>
        <v>271414</v>
      </c>
      <c r="CX26" s="102">
        <v>244708</v>
      </c>
      <c r="CY26" s="102">
        <v>26706</v>
      </c>
      <c r="CZ26" s="73">
        <f t="shared" si="9"/>
        <v>317970</v>
      </c>
      <c r="DA26" s="102">
        <v>172675</v>
      </c>
      <c r="DB26" s="102">
        <v>145295</v>
      </c>
      <c r="DC26" s="102">
        <v>5019121</v>
      </c>
      <c r="DD26" s="102">
        <v>1913404</v>
      </c>
      <c r="DE26" s="102">
        <v>3071890</v>
      </c>
      <c r="DF26" s="77">
        <v>33827</v>
      </c>
      <c r="DG26" s="78">
        <v>0</v>
      </c>
      <c r="DH26" s="102">
        <v>121533</v>
      </c>
      <c r="DI26" s="102">
        <v>1675502</v>
      </c>
      <c r="DJ26" s="102">
        <v>12785</v>
      </c>
      <c r="DK26" s="102">
        <v>2104</v>
      </c>
      <c r="DL26" s="102">
        <v>1660613</v>
      </c>
      <c r="DM26" s="102">
        <v>419144</v>
      </c>
      <c r="DN26" s="102">
        <v>418703</v>
      </c>
      <c r="DO26" s="102">
        <v>0</v>
      </c>
      <c r="DP26" s="102">
        <v>418703</v>
      </c>
      <c r="DQ26" s="102">
        <v>15000</v>
      </c>
      <c r="DR26" s="102">
        <v>0</v>
      </c>
      <c r="DS26" s="102">
        <v>0</v>
      </c>
      <c r="DT26" s="102">
        <v>4137513</v>
      </c>
      <c r="DU26" s="102">
        <v>0</v>
      </c>
      <c r="DV26" s="73">
        <f t="shared" si="10"/>
        <v>0</v>
      </c>
      <c r="DW26" s="102">
        <v>0</v>
      </c>
      <c r="DX26" s="102">
        <v>1197070</v>
      </c>
      <c r="DY26" s="102">
        <v>0</v>
      </c>
      <c r="DZ26" s="102">
        <v>1449584</v>
      </c>
      <c r="EA26" s="74">
        <v>0</v>
      </c>
      <c r="EB26" s="102">
        <v>1245080</v>
      </c>
      <c r="EC26" s="102">
        <v>0</v>
      </c>
      <c r="ED26" s="102">
        <v>43594615</v>
      </c>
      <c r="EE26" s="71"/>
      <c r="EF26" s="102">
        <v>2299903</v>
      </c>
      <c r="EG26" s="102">
        <v>527157</v>
      </c>
      <c r="EH26" s="102">
        <v>1772746</v>
      </c>
      <c r="EI26" s="102">
        <v>228396</v>
      </c>
      <c r="EJ26" s="102">
        <v>-428819</v>
      </c>
      <c r="EK26" s="71"/>
      <c r="EL26" s="102"/>
      <c r="EM26" s="102">
        <v>135153</v>
      </c>
      <c r="EN26" s="102">
        <v>724802</v>
      </c>
      <c r="EO26" s="102">
        <v>779245</v>
      </c>
      <c r="EP26" s="73">
        <f t="shared" si="11"/>
        <v>2044511</v>
      </c>
      <c r="EQ26" s="102">
        <v>26293689</v>
      </c>
      <c r="ER26" s="71">
        <v>-5194815</v>
      </c>
      <c r="ES26" s="102">
        <v>8954972</v>
      </c>
      <c r="ET26" s="102">
        <v>6128432</v>
      </c>
      <c r="EU26" s="102">
        <v>2869559</v>
      </c>
      <c r="EV26" s="102">
        <v>2717162</v>
      </c>
      <c r="EW26" s="73">
        <f t="shared" si="12"/>
        <v>942245</v>
      </c>
      <c r="EX26" s="102">
        <v>908910</v>
      </c>
      <c r="EY26" s="102">
        <v>262927</v>
      </c>
      <c r="EZ26" s="102">
        <v>612156</v>
      </c>
      <c r="FA26" s="102">
        <v>33335</v>
      </c>
      <c r="FB26" s="102">
        <v>0</v>
      </c>
      <c r="FC26" s="102">
        <v>5674448</v>
      </c>
      <c r="FD26" s="102">
        <v>2224246</v>
      </c>
      <c r="FE26" s="102">
        <v>2254</v>
      </c>
      <c r="FF26" s="102">
        <v>3530995</v>
      </c>
      <c r="FG26" s="73">
        <f t="shared" si="13"/>
        <v>2277588</v>
      </c>
      <c r="FH26" s="102">
        <v>29191215</v>
      </c>
      <c r="FI26" s="379">
        <f t="shared" si="14"/>
        <v>7.1</v>
      </c>
      <c r="FJ26" s="102">
        <v>23426952</v>
      </c>
      <c r="FK26" s="102">
        <v>1667162</v>
      </c>
      <c r="FL26" s="102">
        <v>17177095</v>
      </c>
      <c r="FM26" s="102">
        <v>18041126</v>
      </c>
      <c r="FN26" s="428">
        <v>0.94399999999999995</v>
      </c>
      <c r="FO26" s="424">
        <v>91.7</v>
      </c>
      <c r="FP26" s="425">
        <v>33.200000000000003</v>
      </c>
      <c r="FQ26" s="424">
        <v>11</v>
      </c>
      <c r="FR26" s="424">
        <v>10.4</v>
      </c>
      <c r="FS26" s="425">
        <v>19.399999999999999</v>
      </c>
      <c r="FT26" s="424">
        <v>6.3</v>
      </c>
      <c r="FU26" s="425">
        <v>10.3</v>
      </c>
      <c r="FV26" s="384">
        <f t="shared" si="15"/>
        <v>2.2000000000000002</v>
      </c>
      <c r="FW26" s="102">
        <v>28545159</v>
      </c>
      <c r="FX26" s="384">
        <f t="shared" si="16"/>
        <v>113.8</v>
      </c>
      <c r="FY26" s="102">
        <v>23707070</v>
      </c>
      <c r="FZ26" s="102">
        <v>7133460</v>
      </c>
      <c r="GA26" s="102">
        <v>1285017</v>
      </c>
      <c r="GB26" s="102">
        <v>15288593</v>
      </c>
      <c r="GC26" s="102">
        <v>0</v>
      </c>
      <c r="GD26" s="427">
        <v>1360</v>
      </c>
      <c r="GE26" s="386">
        <f>IF(GD26=0,"-",ROUND(GD26/(GV26)*100,1))</f>
        <v>5.4</v>
      </c>
      <c r="GF26" s="424">
        <v>98.9</v>
      </c>
      <c r="GG26" s="424">
        <v>20.5</v>
      </c>
      <c r="GH26" s="424">
        <v>94.3</v>
      </c>
      <c r="GI26" s="102">
        <v>894</v>
      </c>
      <c r="GJ26" s="429" t="s">
        <v>646</v>
      </c>
      <c r="GK26" s="429">
        <v>12.08</v>
      </c>
      <c r="GL26" s="87">
        <v>20</v>
      </c>
      <c r="GM26" s="429" t="s">
        <v>646</v>
      </c>
      <c r="GN26" s="430">
        <v>17.079999999999998</v>
      </c>
      <c r="GO26" s="430">
        <v>30</v>
      </c>
      <c r="GP26" s="425">
        <v>2.2000000000000002</v>
      </c>
      <c r="GQ26" s="425">
        <v>25</v>
      </c>
      <c r="GR26" s="425">
        <v>35</v>
      </c>
      <c r="GS26" s="431" t="s">
        <v>646</v>
      </c>
      <c r="GT26" s="425">
        <v>350</v>
      </c>
      <c r="GU26" s="394"/>
      <c r="GV26" s="100">
        <f t="shared" si="17"/>
        <v>25094</v>
      </c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</row>
    <row r="27" spans="2:230" x14ac:dyDescent="0.15">
      <c r="B27" s="89" t="s">
        <v>43</v>
      </c>
      <c r="C27" s="102">
        <v>8923545</v>
      </c>
      <c r="D27" s="73">
        <f t="shared" si="0"/>
        <v>3430973</v>
      </c>
      <c r="E27" s="102">
        <v>111396</v>
      </c>
      <c r="F27" s="102">
        <v>3319577</v>
      </c>
      <c r="G27" s="73">
        <f t="shared" si="1"/>
        <v>740024</v>
      </c>
      <c r="H27" s="102">
        <v>134389</v>
      </c>
      <c r="I27" s="102">
        <v>605635</v>
      </c>
      <c r="J27" s="102">
        <v>3593042</v>
      </c>
      <c r="K27" s="102">
        <v>1417337</v>
      </c>
      <c r="L27" s="102">
        <v>1434563</v>
      </c>
      <c r="M27" s="102">
        <v>715930</v>
      </c>
      <c r="N27" s="102">
        <v>367323</v>
      </c>
      <c r="O27" s="102">
        <v>713777</v>
      </c>
      <c r="P27" s="102">
        <v>405604</v>
      </c>
      <c r="Q27" s="102">
        <v>308173</v>
      </c>
      <c r="R27" s="102">
        <v>118750</v>
      </c>
      <c r="S27" s="74"/>
      <c r="T27" s="73">
        <f t="shared" si="2"/>
        <v>1022820</v>
      </c>
      <c r="U27" s="102">
        <v>36354</v>
      </c>
      <c r="V27" s="102">
        <v>98018</v>
      </c>
      <c r="W27" s="102">
        <v>51600</v>
      </c>
      <c r="X27" s="102">
        <v>807731</v>
      </c>
      <c r="Y27" s="102">
        <v>0</v>
      </c>
      <c r="Z27" s="102">
        <v>0</v>
      </c>
      <c r="AA27" s="102">
        <v>29117</v>
      </c>
      <c r="AB27" s="102">
        <v>47582</v>
      </c>
      <c r="AC27" s="102">
        <v>4382421</v>
      </c>
      <c r="AD27" s="102">
        <v>4147119</v>
      </c>
      <c r="AE27" s="102">
        <v>235301</v>
      </c>
      <c r="AF27" s="102">
        <v>11442</v>
      </c>
      <c r="AG27" s="102">
        <v>262268</v>
      </c>
      <c r="AH27" s="73">
        <f t="shared" si="3"/>
        <v>415904</v>
      </c>
      <c r="AI27" s="102">
        <v>379762</v>
      </c>
      <c r="AJ27" s="102">
        <v>36142</v>
      </c>
      <c r="AK27" s="102">
        <v>3851300</v>
      </c>
      <c r="AL27" s="73">
        <f t="shared" si="4"/>
        <v>2454672</v>
      </c>
      <c r="AM27" s="102">
        <v>1659612</v>
      </c>
      <c r="AN27" s="102">
        <v>374825</v>
      </c>
      <c r="AO27" s="74"/>
      <c r="AP27" s="102">
        <v>420235</v>
      </c>
      <c r="AQ27" s="102">
        <v>80015</v>
      </c>
      <c r="AR27" s="102">
        <v>0</v>
      </c>
      <c r="AS27" s="102">
        <v>0</v>
      </c>
      <c r="AT27" s="102">
        <v>1484174</v>
      </c>
      <c r="AU27" s="102">
        <v>1005878</v>
      </c>
      <c r="AV27" s="102">
        <v>129062</v>
      </c>
      <c r="AW27" s="102">
        <v>22609</v>
      </c>
      <c r="AX27" s="102">
        <v>478296</v>
      </c>
      <c r="AY27" s="102">
        <v>110</v>
      </c>
      <c r="AZ27" s="102">
        <v>30973</v>
      </c>
      <c r="BA27" s="102">
        <v>17484</v>
      </c>
      <c r="BB27" s="102">
        <v>14097</v>
      </c>
      <c r="BC27" s="102">
        <v>303860</v>
      </c>
      <c r="BD27" s="102">
        <v>280000</v>
      </c>
      <c r="BE27" s="102">
        <v>0</v>
      </c>
      <c r="BF27" s="102">
        <v>23860</v>
      </c>
      <c r="BG27" s="102">
        <v>0</v>
      </c>
      <c r="BH27" s="102">
        <v>56110</v>
      </c>
      <c r="BI27" s="102">
        <v>54838</v>
      </c>
      <c r="BJ27" s="102">
        <v>702131</v>
      </c>
      <c r="BK27" s="102">
        <v>450349</v>
      </c>
      <c r="BL27" s="102">
        <v>0</v>
      </c>
      <c r="BM27" s="102">
        <v>0</v>
      </c>
      <c r="BN27" s="102">
        <v>1601285</v>
      </c>
      <c r="BO27" s="73">
        <f t="shared" si="5"/>
        <v>298300</v>
      </c>
      <c r="BP27" s="73">
        <f t="shared" si="6"/>
        <v>1302985</v>
      </c>
      <c r="BQ27" s="102">
        <v>0</v>
      </c>
      <c r="BR27" s="102">
        <v>0</v>
      </c>
      <c r="BS27" s="102">
        <v>1302985</v>
      </c>
      <c r="BT27" s="102">
        <v>0</v>
      </c>
      <c r="BU27" s="102">
        <v>23228662</v>
      </c>
      <c r="BV27" s="71"/>
      <c r="BW27" s="102">
        <v>3904831</v>
      </c>
      <c r="BX27" s="102">
        <v>2414349</v>
      </c>
      <c r="BY27" s="102">
        <v>343730</v>
      </c>
      <c r="BZ27" s="102">
        <v>346753</v>
      </c>
      <c r="CA27" s="102">
        <v>6518975</v>
      </c>
      <c r="CB27" s="102">
        <v>1355622</v>
      </c>
      <c r="CC27" s="102">
        <v>132169</v>
      </c>
      <c r="CD27" s="102">
        <v>2611480</v>
      </c>
      <c r="CE27" s="102">
        <v>2317146</v>
      </c>
      <c r="CF27" s="102">
        <v>1888</v>
      </c>
      <c r="CG27" s="102">
        <v>100595</v>
      </c>
      <c r="CH27" s="102">
        <v>2073256</v>
      </c>
      <c r="CI27" s="102">
        <v>1805681</v>
      </c>
      <c r="CJ27" s="83">
        <f t="shared" si="18"/>
        <v>267575</v>
      </c>
      <c r="CK27" s="102">
        <v>2418253</v>
      </c>
      <c r="CL27" s="102">
        <v>1426580</v>
      </c>
      <c r="CM27" s="102">
        <v>223807</v>
      </c>
      <c r="CN27" s="102">
        <v>313356</v>
      </c>
      <c r="CO27" s="102">
        <v>87877</v>
      </c>
      <c r="CP27" s="102">
        <v>4405886</v>
      </c>
      <c r="CQ27" s="102">
        <v>1727947</v>
      </c>
      <c r="CR27" s="102">
        <v>437693</v>
      </c>
      <c r="CS27" s="102">
        <v>267557</v>
      </c>
      <c r="CT27" s="73">
        <f t="shared" si="7"/>
        <v>2017736</v>
      </c>
      <c r="CU27" s="102">
        <v>806813</v>
      </c>
      <c r="CV27" s="102">
        <v>1210923</v>
      </c>
      <c r="CW27" s="73">
        <f t="shared" si="8"/>
        <v>1076547</v>
      </c>
      <c r="CX27" s="102">
        <v>306074</v>
      </c>
      <c r="CY27" s="102">
        <v>770473</v>
      </c>
      <c r="CZ27" s="73">
        <f t="shared" si="9"/>
        <v>936693</v>
      </c>
      <c r="DA27" s="102">
        <v>498241</v>
      </c>
      <c r="DB27" s="102">
        <v>438452</v>
      </c>
      <c r="DC27" s="102">
        <v>921268</v>
      </c>
      <c r="DD27" s="102">
        <v>243008</v>
      </c>
      <c r="DE27" s="102">
        <v>661837</v>
      </c>
      <c r="DF27" s="77">
        <v>16423</v>
      </c>
      <c r="DG27" s="78">
        <v>0</v>
      </c>
      <c r="DH27" s="102">
        <v>0</v>
      </c>
      <c r="DI27" s="102">
        <v>23378</v>
      </c>
      <c r="DJ27" s="102">
        <v>2510</v>
      </c>
      <c r="DK27" s="102">
        <v>0</v>
      </c>
      <c r="DL27" s="102">
        <v>20868</v>
      </c>
      <c r="DM27" s="102">
        <v>0</v>
      </c>
      <c r="DN27" s="102">
        <v>0</v>
      </c>
      <c r="DO27" s="102">
        <v>0</v>
      </c>
      <c r="DP27" s="102">
        <v>0</v>
      </c>
      <c r="DQ27" s="102">
        <v>448515</v>
      </c>
      <c r="DR27" s="102">
        <v>0</v>
      </c>
      <c r="DS27" s="102">
        <v>0</v>
      </c>
      <c r="DT27" s="102">
        <v>2400869</v>
      </c>
      <c r="DU27" s="102">
        <v>0</v>
      </c>
      <c r="DV27" s="73">
        <f t="shared" si="10"/>
        <v>0</v>
      </c>
      <c r="DW27" s="102">
        <v>0</v>
      </c>
      <c r="DX27" s="102">
        <v>783067</v>
      </c>
      <c r="DY27" s="102">
        <v>0</v>
      </c>
      <c r="DZ27" s="102">
        <v>822110</v>
      </c>
      <c r="EA27" s="74">
        <v>0</v>
      </c>
      <c r="EB27" s="102">
        <v>792289</v>
      </c>
      <c r="EC27" s="102">
        <v>0</v>
      </c>
      <c r="ED27" s="102">
        <v>23203108</v>
      </c>
      <c r="EE27" s="71"/>
      <c r="EF27" s="102">
        <v>25554</v>
      </c>
      <c r="EG27" s="102">
        <v>13896</v>
      </c>
      <c r="EH27" s="102">
        <v>11658</v>
      </c>
      <c r="EI27" s="102">
        <v>-103180</v>
      </c>
      <c r="EJ27" s="102">
        <v>-379764</v>
      </c>
      <c r="EK27" s="71"/>
      <c r="EL27" s="102"/>
      <c r="EM27" s="102">
        <v>72116</v>
      </c>
      <c r="EN27" s="102">
        <v>280000</v>
      </c>
      <c r="EO27" s="102">
        <v>21416</v>
      </c>
      <c r="EP27" s="73">
        <f t="shared" si="11"/>
        <v>310189</v>
      </c>
      <c r="EQ27" s="102">
        <v>14506560</v>
      </c>
      <c r="ER27" s="71">
        <v>-1903148</v>
      </c>
      <c r="ES27" s="102">
        <v>3561558</v>
      </c>
      <c r="ET27" s="102">
        <v>2145913</v>
      </c>
      <c r="EU27" s="102">
        <v>2006944</v>
      </c>
      <c r="EV27" s="102">
        <v>2073256</v>
      </c>
      <c r="EW27" s="73">
        <f t="shared" si="12"/>
        <v>380091</v>
      </c>
      <c r="EX27" s="102">
        <v>380091</v>
      </c>
      <c r="EY27" s="102">
        <v>13959</v>
      </c>
      <c r="EZ27" s="102">
        <v>364409</v>
      </c>
      <c r="FA27" s="102">
        <v>0</v>
      </c>
      <c r="FB27" s="102">
        <v>0</v>
      </c>
      <c r="FC27" s="102">
        <v>1980503</v>
      </c>
      <c r="FD27" s="102">
        <v>4301974</v>
      </c>
      <c r="FE27" s="102">
        <v>1727189</v>
      </c>
      <c r="FF27" s="102">
        <v>1993614</v>
      </c>
      <c r="FG27" s="73">
        <f t="shared" si="13"/>
        <v>86214</v>
      </c>
      <c r="FH27" s="102">
        <v>16384154</v>
      </c>
      <c r="FI27" s="379">
        <f t="shared" si="14"/>
        <v>0.1</v>
      </c>
      <c r="FJ27" s="102">
        <v>13198952</v>
      </c>
      <c r="FK27" s="102">
        <v>1302985</v>
      </c>
      <c r="FL27" s="102">
        <v>7019984</v>
      </c>
      <c r="FM27" s="102">
        <v>11128235</v>
      </c>
      <c r="FN27" s="428">
        <v>0.63100000000000001</v>
      </c>
      <c r="FO27" s="424">
        <v>96.7</v>
      </c>
      <c r="FP27" s="425">
        <v>23.7</v>
      </c>
      <c r="FQ27" s="424">
        <v>13.3</v>
      </c>
      <c r="FR27" s="424">
        <v>13.9</v>
      </c>
      <c r="FS27" s="425">
        <v>12.5</v>
      </c>
      <c r="FT27" s="424">
        <v>21.3</v>
      </c>
      <c r="FU27" s="425">
        <v>11.5</v>
      </c>
      <c r="FV27" s="384">
        <f t="shared" si="15"/>
        <v>9.9</v>
      </c>
      <c r="FW27" s="102">
        <v>20233798</v>
      </c>
      <c r="FX27" s="384">
        <f t="shared" si="16"/>
        <v>139.5</v>
      </c>
      <c r="FY27" s="102">
        <v>3451858</v>
      </c>
      <c r="FZ27" s="102">
        <v>738488</v>
      </c>
      <c r="GA27" s="102">
        <v>174</v>
      </c>
      <c r="GB27" s="102">
        <v>2713196</v>
      </c>
      <c r="GC27" s="102">
        <v>250000</v>
      </c>
      <c r="GD27" s="427">
        <v>507</v>
      </c>
      <c r="GE27" s="386">
        <f>IF(GD27=0,"-",ROUND(GD27/(GV27)*100,1))</f>
        <v>3.5</v>
      </c>
      <c r="GF27" s="424">
        <v>98.2</v>
      </c>
      <c r="GG27" s="424">
        <v>33</v>
      </c>
      <c r="GH27" s="424">
        <v>94.8</v>
      </c>
      <c r="GI27" s="102">
        <v>399</v>
      </c>
      <c r="GJ27" s="429" t="s">
        <v>646</v>
      </c>
      <c r="GK27" s="429">
        <v>12.82</v>
      </c>
      <c r="GL27" s="87">
        <v>20</v>
      </c>
      <c r="GM27" s="429" t="s">
        <v>646</v>
      </c>
      <c r="GN27" s="430">
        <v>17.82</v>
      </c>
      <c r="GO27" s="430">
        <v>30</v>
      </c>
      <c r="GP27" s="425">
        <v>9.9</v>
      </c>
      <c r="GQ27" s="425">
        <v>25</v>
      </c>
      <c r="GR27" s="425">
        <v>35</v>
      </c>
      <c r="GS27" s="431">
        <v>32.9</v>
      </c>
      <c r="GT27" s="425">
        <v>350</v>
      </c>
      <c r="GU27" s="394"/>
      <c r="GV27" s="100">
        <f t="shared" si="17"/>
        <v>14502</v>
      </c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</row>
    <row r="28" spans="2:230" x14ac:dyDescent="0.15">
      <c r="B28" s="89" t="s">
        <v>45</v>
      </c>
      <c r="C28" s="102">
        <v>12481861</v>
      </c>
      <c r="D28" s="73">
        <f t="shared" si="0"/>
        <v>5194896</v>
      </c>
      <c r="E28" s="102">
        <v>169873</v>
      </c>
      <c r="F28" s="102">
        <v>5025023</v>
      </c>
      <c r="G28" s="73">
        <f t="shared" si="1"/>
        <v>598952</v>
      </c>
      <c r="H28" s="102">
        <v>193473</v>
      </c>
      <c r="I28" s="102">
        <v>405479</v>
      </c>
      <c r="J28" s="102">
        <v>4788284</v>
      </c>
      <c r="K28" s="102">
        <v>2112739</v>
      </c>
      <c r="L28" s="102">
        <v>2157404</v>
      </c>
      <c r="M28" s="102">
        <v>470804</v>
      </c>
      <c r="N28" s="102">
        <v>691872</v>
      </c>
      <c r="O28" s="102">
        <v>1032380</v>
      </c>
      <c r="P28" s="102">
        <v>592152</v>
      </c>
      <c r="Q28" s="102">
        <v>440228</v>
      </c>
      <c r="R28" s="102">
        <v>184094</v>
      </c>
      <c r="S28" s="74"/>
      <c r="T28" s="73">
        <f t="shared" si="2"/>
        <v>1551031</v>
      </c>
      <c r="U28" s="102">
        <v>55467</v>
      </c>
      <c r="V28" s="102">
        <v>149429</v>
      </c>
      <c r="W28" s="102">
        <v>78626</v>
      </c>
      <c r="X28" s="102">
        <v>1222359</v>
      </c>
      <c r="Y28" s="102">
        <v>0</v>
      </c>
      <c r="Z28" s="102">
        <v>0</v>
      </c>
      <c r="AA28" s="102">
        <v>45150</v>
      </c>
      <c r="AB28" s="102">
        <v>79530</v>
      </c>
      <c r="AC28" s="102">
        <v>8426856</v>
      </c>
      <c r="AD28" s="102">
        <v>8187407</v>
      </c>
      <c r="AE28" s="102">
        <v>239448</v>
      </c>
      <c r="AF28" s="102">
        <v>17580</v>
      </c>
      <c r="AG28" s="102">
        <v>327283</v>
      </c>
      <c r="AH28" s="73">
        <f t="shared" si="3"/>
        <v>584133</v>
      </c>
      <c r="AI28" s="102">
        <v>528419</v>
      </c>
      <c r="AJ28" s="102">
        <v>55714</v>
      </c>
      <c r="AK28" s="102">
        <v>7818404</v>
      </c>
      <c r="AL28" s="73">
        <f t="shared" si="4"/>
        <v>4866696</v>
      </c>
      <c r="AM28" s="102">
        <v>3545097</v>
      </c>
      <c r="AN28" s="102">
        <v>385458</v>
      </c>
      <c r="AO28" s="74"/>
      <c r="AP28" s="102">
        <v>936141</v>
      </c>
      <c r="AQ28" s="102">
        <v>243949</v>
      </c>
      <c r="AR28" s="102">
        <v>0</v>
      </c>
      <c r="AS28" s="102">
        <v>0</v>
      </c>
      <c r="AT28" s="102">
        <v>2566274</v>
      </c>
      <c r="AU28" s="102">
        <v>1406237</v>
      </c>
      <c r="AV28" s="102">
        <v>192115</v>
      </c>
      <c r="AW28" s="102">
        <v>9069</v>
      </c>
      <c r="AX28" s="102">
        <v>1160037</v>
      </c>
      <c r="AY28" s="102">
        <v>33249</v>
      </c>
      <c r="AZ28" s="102">
        <v>118827</v>
      </c>
      <c r="BA28" s="102">
        <v>95928</v>
      </c>
      <c r="BB28" s="102">
        <v>2190</v>
      </c>
      <c r="BC28" s="102">
        <v>24644</v>
      </c>
      <c r="BD28" s="102">
        <v>0</v>
      </c>
      <c r="BE28" s="102">
        <v>0</v>
      </c>
      <c r="BF28" s="102">
        <v>4553</v>
      </c>
      <c r="BG28" s="102">
        <v>0</v>
      </c>
      <c r="BH28" s="102">
        <v>1122446</v>
      </c>
      <c r="BI28" s="102">
        <v>1120430</v>
      </c>
      <c r="BJ28" s="102">
        <v>425652</v>
      </c>
      <c r="BK28" s="102">
        <v>1606</v>
      </c>
      <c r="BL28" s="102">
        <v>0</v>
      </c>
      <c r="BM28" s="102">
        <v>0</v>
      </c>
      <c r="BN28" s="102">
        <v>3327900</v>
      </c>
      <c r="BO28" s="73">
        <f t="shared" si="5"/>
        <v>1367200</v>
      </c>
      <c r="BP28" s="73">
        <f t="shared" si="6"/>
        <v>1960700</v>
      </c>
      <c r="BQ28" s="102">
        <v>0</v>
      </c>
      <c r="BR28" s="102">
        <v>0</v>
      </c>
      <c r="BS28" s="102">
        <v>1960700</v>
      </c>
      <c r="BT28" s="102">
        <v>0</v>
      </c>
      <c r="BU28" s="102">
        <v>39058705</v>
      </c>
      <c r="BV28" s="71"/>
      <c r="BW28" s="102">
        <v>4598583</v>
      </c>
      <c r="BX28" s="102">
        <v>3197616</v>
      </c>
      <c r="BY28" s="102">
        <v>325268</v>
      </c>
      <c r="BZ28" s="102">
        <v>83581</v>
      </c>
      <c r="CA28" s="102">
        <v>12610853</v>
      </c>
      <c r="CB28" s="102">
        <v>3201213</v>
      </c>
      <c r="CC28" s="102">
        <v>202981</v>
      </c>
      <c r="CD28" s="102">
        <v>4230365</v>
      </c>
      <c r="CE28" s="102">
        <v>4866494</v>
      </c>
      <c r="CF28" s="102">
        <v>0</v>
      </c>
      <c r="CG28" s="102">
        <v>109800</v>
      </c>
      <c r="CH28" s="102">
        <v>4893725</v>
      </c>
      <c r="CI28" s="102">
        <v>4350904</v>
      </c>
      <c r="CJ28" s="83">
        <f t="shared" si="18"/>
        <v>542821</v>
      </c>
      <c r="CK28" s="102">
        <v>4229049</v>
      </c>
      <c r="CL28" s="102">
        <v>2436378</v>
      </c>
      <c r="CM28" s="102">
        <v>623730</v>
      </c>
      <c r="CN28" s="102">
        <v>617641</v>
      </c>
      <c r="CO28" s="102">
        <v>95985</v>
      </c>
      <c r="CP28" s="102">
        <v>3401788</v>
      </c>
      <c r="CQ28" s="102">
        <v>2043302</v>
      </c>
      <c r="CR28" s="102">
        <v>785333</v>
      </c>
      <c r="CS28" s="102">
        <v>645757</v>
      </c>
      <c r="CT28" s="73">
        <f t="shared" si="7"/>
        <v>4207</v>
      </c>
      <c r="CU28" s="102">
        <v>2103</v>
      </c>
      <c r="CV28" s="102">
        <v>2104</v>
      </c>
      <c r="CW28" s="73">
        <f t="shared" si="8"/>
        <v>0</v>
      </c>
      <c r="CX28" s="102">
        <v>0</v>
      </c>
      <c r="CY28" s="102">
        <v>0</v>
      </c>
      <c r="CZ28" s="73">
        <f t="shared" si="9"/>
        <v>0</v>
      </c>
      <c r="DA28" s="102">
        <v>0</v>
      </c>
      <c r="DB28" s="102">
        <v>0</v>
      </c>
      <c r="DC28" s="102">
        <v>2312376</v>
      </c>
      <c r="DD28" s="102">
        <v>919676</v>
      </c>
      <c r="DE28" s="102">
        <v>1377012</v>
      </c>
      <c r="DF28" s="77">
        <v>15688</v>
      </c>
      <c r="DG28" s="78">
        <v>0</v>
      </c>
      <c r="DH28" s="102">
        <v>0</v>
      </c>
      <c r="DI28" s="102">
        <v>1128083</v>
      </c>
      <c r="DJ28" s="102">
        <v>574701</v>
      </c>
      <c r="DK28" s="102">
        <v>72</v>
      </c>
      <c r="DL28" s="102">
        <v>553310</v>
      </c>
      <c r="DM28" s="102">
        <v>126700</v>
      </c>
      <c r="DN28" s="102">
        <v>126700</v>
      </c>
      <c r="DO28" s="102">
        <v>126700</v>
      </c>
      <c r="DP28" s="102">
        <v>0</v>
      </c>
      <c r="DQ28" s="102">
        <v>0</v>
      </c>
      <c r="DR28" s="102">
        <v>0</v>
      </c>
      <c r="DS28" s="102">
        <v>0</v>
      </c>
      <c r="DT28" s="102">
        <v>5196904</v>
      </c>
      <c r="DU28" s="102">
        <v>1442718</v>
      </c>
      <c r="DV28" s="73">
        <f t="shared" si="10"/>
        <v>0</v>
      </c>
      <c r="DW28" s="102">
        <v>0</v>
      </c>
      <c r="DX28" s="102">
        <v>1339619</v>
      </c>
      <c r="DY28" s="102">
        <v>0</v>
      </c>
      <c r="DZ28" s="102">
        <v>1047362</v>
      </c>
      <c r="EA28" s="74">
        <v>0</v>
      </c>
      <c r="EB28" s="102">
        <v>1317632</v>
      </c>
      <c r="EC28" s="102">
        <v>0</v>
      </c>
      <c r="ED28" s="102">
        <v>38594046</v>
      </c>
      <c r="EE28" s="71"/>
      <c r="EF28" s="102">
        <v>464659</v>
      </c>
      <c r="EG28" s="102">
        <v>181858</v>
      </c>
      <c r="EH28" s="102">
        <v>282801</v>
      </c>
      <c r="EI28" s="102">
        <v>-837629</v>
      </c>
      <c r="EJ28" s="102">
        <v>-72670</v>
      </c>
      <c r="EK28" s="71"/>
      <c r="EL28" s="102"/>
      <c r="EM28" s="102">
        <v>115127</v>
      </c>
      <c r="EN28" s="102">
        <v>22877</v>
      </c>
      <c r="EO28" s="102">
        <v>112869</v>
      </c>
      <c r="EP28" s="73">
        <f t="shared" si="11"/>
        <v>1844700</v>
      </c>
      <c r="EQ28" s="102">
        <v>22740952</v>
      </c>
      <c r="ER28" s="71">
        <v>-3923566</v>
      </c>
      <c r="ES28" s="102">
        <v>4198923</v>
      </c>
      <c r="ET28" s="102">
        <v>2861077</v>
      </c>
      <c r="EU28" s="102">
        <v>3842486</v>
      </c>
      <c r="EV28" s="102">
        <v>4881200</v>
      </c>
      <c r="EW28" s="73">
        <f t="shared" si="12"/>
        <v>653581</v>
      </c>
      <c r="EX28" s="102">
        <v>653581</v>
      </c>
      <c r="EY28" s="102">
        <v>64193</v>
      </c>
      <c r="EZ28" s="102">
        <v>587800</v>
      </c>
      <c r="FA28" s="102">
        <v>0</v>
      </c>
      <c r="FB28" s="102">
        <v>0</v>
      </c>
      <c r="FC28" s="102">
        <v>3644619</v>
      </c>
      <c r="FD28" s="102">
        <v>3230466</v>
      </c>
      <c r="FE28" s="102">
        <v>2043302</v>
      </c>
      <c r="FF28" s="102">
        <v>4544681</v>
      </c>
      <c r="FG28" s="73">
        <f t="shared" si="13"/>
        <v>1203903</v>
      </c>
      <c r="FH28" s="102">
        <v>26199859</v>
      </c>
      <c r="FI28" s="379">
        <f t="shared" si="14"/>
        <v>1.2</v>
      </c>
      <c r="FJ28" s="102">
        <v>21121692</v>
      </c>
      <c r="FK28" s="102">
        <v>1960736</v>
      </c>
      <c r="FL28" s="102">
        <v>10058706</v>
      </c>
      <c r="FM28" s="102">
        <v>18188964</v>
      </c>
      <c r="FN28" s="428">
        <v>0.55300000000000005</v>
      </c>
      <c r="FO28" s="424">
        <v>98</v>
      </c>
      <c r="FP28" s="425">
        <v>17.8</v>
      </c>
      <c r="FQ28" s="424">
        <v>16.2</v>
      </c>
      <c r="FR28" s="424">
        <v>19.8</v>
      </c>
      <c r="FS28" s="425">
        <v>14.8</v>
      </c>
      <c r="FT28" s="424">
        <v>12.5</v>
      </c>
      <c r="FU28" s="425">
        <v>16.5</v>
      </c>
      <c r="FV28" s="384">
        <f t="shared" si="15"/>
        <v>9.9</v>
      </c>
      <c r="FW28" s="102">
        <v>42690407</v>
      </c>
      <c r="FX28" s="384">
        <f t="shared" si="16"/>
        <v>184.9</v>
      </c>
      <c r="FY28" s="102">
        <v>4684816</v>
      </c>
      <c r="FZ28" s="102">
        <v>3345648</v>
      </c>
      <c r="GA28" s="102">
        <v>72513</v>
      </c>
      <c r="GB28" s="102">
        <v>1266655</v>
      </c>
      <c r="GC28" s="102">
        <v>0</v>
      </c>
      <c r="GD28" s="427"/>
      <c r="GE28" s="386"/>
      <c r="GF28" s="424">
        <v>98.4</v>
      </c>
      <c r="GG28" s="424">
        <v>26.5</v>
      </c>
      <c r="GH28" s="424">
        <v>93.4</v>
      </c>
      <c r="GI28" s="102">
        <v>538</v>
      </c>
      <c r="GJ28" s="429" t="s">
        <v>646</v>
      </c>
      <c r="GK28" s="429">
        <v>12.22</v>
      </c>
      <c r="GL28" s="87">
        <v>20</v>
      </c>
      <c r="GM28" s="429" t="s">
        <v>646</v>
      </c>
      <c r="GN28" s="430">
        <v>17.22</v>
      </c>
      <c r="GO28" s="430">
        <v>30</v>
      </c>
      <c r="GP28" s="425">
        <v>9.9</v>
      </c>
      <c r="GQ28" s="425">
        <v>25</v>
      </c>
      <c r="GR28" s="425">
        <v>35</v>
      </c>
      <c r="GS28" s="431">
        <v>49.8</v>
      </c>
      <c r="GT28" s="425">
        <v>350</v>
      </c>
      <c r="GU28" s="394"/>
      <c r="GV28" s="100">
        <f t="shared" si="17"/>
        <v>23082</v>
      </c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</row>
    <row r="29" spans="2:230" x14ac:dyDescent="0.15">
      <c r="B29" s="89" t="s">
        <v>47</v>
      </c>
      <c r="C29" s="102">
        <v>17765278</v>
      </c>
      <c r="D29" s="73">
        <f t="shared" si="0"/>
        <v>5078870</v>
      </c>
      <c r="E29" s="102">
        <v>181427</v>
      </c>
      <c r="F29" s="102">
        <v>4897443</v>
      </c>
      <c r="G29" s="73">
        <f t="shared" si="1"/>
        <v>1647517</v>
      </c>
      <c r="H29" s="102">
        <v>431905</v>
      </c>
      <c r="I29" s="102">
        <v>1215612</v>
      </c>
      <c r="J29" s="102">
        <v>8047969</v>
      </c>
      <c r="K29" s="102">
        <v>3735203</v>
      </c>
      <c r="L29" s="102">
        <v>3151752</v>
      </c>
      <c r="M29" s="102">
        <v>1049769</v>
      </c>
      <c r="N29" s="102">
        <v>1222526</v>
      </c>
      <c r="O29" s="102">
        <v>1637492</v>
      </c>
      <c r="P29" s="102">
        <v>948059</v>
      </c>
      <c r="Q29" s="102">
        <v>689433</v>
      </c>
      <c r="R29" s="102">
        <v>180187</v>
      </c>
      <c r="S29" s="74"/>
      <c r="T29" s="73">
        <f t="shared" si="2"/>
        <v>2039238</v>
      </c>
      <c r="U29" s="102">
        <v>54135</v>
      </c>
      <c r="V29" s="102">
        <v>145792</v>
      </c>
      <c r="W29" s="102">
        <v>76694</v>
      </c>
      <c r="X29" s="102">
        <v>1718421</v>
      </c>
      <c r="Y29" s="102">
        <v>0</v>
      </c>
      <c r="Z29" s="102">
        <v>0</v>
      </c>
      <c r="AA29" s="102">
        <v>44196</v>
      </c>
      <c r="AB29" s="102">
        <v>76287</v>
      </c>
      <c r="AC29" s="102">
        <v>6863191</v>
      </c>
      <c r="AD29" s="102">
        <v>6621791</v>
      </c>
      <c r="AE29" s="102">
        <v>241399</v>
      </c>
      <c r="AF29" s="102">
        <v>17039</v>
      </c>
      <c r="AG29" s="102">
        <v>320994</v>
      </c>
      <c r="AH29" s="73">
        <f t="shared" si="3"/>
        <v>656613</v>
      </c>
      <c r="AI29" s="102">
        <v>468298</v>
      </c>
      <c r="AJ29" s="102">
        <v>188315</v>
      </c>
      <c r="AK29" s="102">
        <v>14134391</v>
      </c>
      <c r="AL29" s="73">
        <f t="shared" si="4"/>
        <v>10450329</v>
      </c>
      <c r="AM29" s="102">
        <v>8619008</v>
      </c>
      <c r="AN29" s="102">
        <v>570253</v>
      </c>
      <c r="AO29" s="74"/>
      <c r="AP29" s="102">
        <v>1261068</v>
      </c>
      <c r="AQ29" s="102">
        <v>215543</v>
      </c>
      <c r="AR29" s="102">
        <v>0</v>
      </c>
      <c r="AS29" s="102">
        <v>0</v>
      </c>
      <c r="AT29" s="102">
        <v>3508937</v>
      </c>
      <c r="AU29" s="102">
        <v>1832905</v>
      </c>
      <c r="AV29" s="102">
        <v>285255</v>
      </c>
      <c r="AW29" s="102">
        <v>350</v>
      </c>
      <c r="AX29" s="102">
        <v>1676032</v>
      </c>
      <c r="AY29" s="102">
        <v>324895</v>
      </c>
      <c r="AZ29" s="102">
        <v>85885</v>
      </c>
      <c r="BA29" s="102">
        <v>42330</v>
      </c>
      <c r="BB29" s="102">
        <v>8670</v>
      </c>
      <c r="BC29" s="102">
        <v>12750</v>
      </c>
      <c r="BD29" s="102">
        <v>0</v>
      </c>
      <c r="BE29" s="102">
        <v>0</v>
      </c>
      <c r="BF29" s="102">
        <v>12750</v>
      </c>
      <c r="BG29" s="102">
        <v>0</v>
      </c>
      <c r="BH29" s="102">
        <v>642984</v>
      </c>
      <c r="BI29" s="102">
        <v>265901</v>
      </c>
      <c r="BJ29" s="102">
        <v>514220</v>
      </c>
      <c r="BK29" s="102">
        <v>9000</v>
      </c>
      <c r="BL29" s="102">
        <v>11</v>
      </c>
      <c r="BM29" s="102">
        <v>0</v>
      </c>
      <c r="BN29" s="102">
        <v>4479243</v>
      </c>
      <c r="BO29" s="73">
        <f t="shared" si="5"/>
        <v>1942400</v>
      </c>
      <c r="BP29" s="73">
        <f t="shared" si="6"/>
        <v>2536843</v>
      </c>
      <c r="BQ29" s="102">
        <v>0</v>
      </c>
      <c r="BR29" s="102">
        <v>0</v>
      </c>
      <c r="BS29" s="102">
        <v>2536843</v>
      </c>
      <c r="BT29" s="102">
        <v>0</v>
      </c>
      <c r="BU29" s="102">
        <v>51305907</v>
      </c>
      <c r="BV29" s="71"/>
      <c r="BW29" s="102">
        <v>6678319</v>
      </c>
      <c r="BX29" s="102">
        <v>4640695</v>
      </c>
      <c r="BY29" s="102">
        <v>297712</v>
      </c>
      <c r="BZ29" s="102">
        <v>368887</v>
      </c>
      <c r="CA29" s="102">
        <v>19944515</v>
      </c>
      <c r="CB29" s="102">
        <v>3178248</v>
      </c>
      <c r="CC29" s="102">
        <v>327579</v>
      </c>
      <c r="CD29" s="102">
        <v>4954773</v>
      </c>
      <c r="CE29" s="102">
        <v>11252245</v>
      </c>
      <c r="CF29" s="102">
        <v>17917</v>
      </c>
      <c r="CG29" s="102">
        <v>213633</v>
      </c>
      <c r="CH29" s="102">
        <v>4951794</v>
      </c>
      <c r="CI29" s="102">
        <v>4354014</v>
      </c>
      <c r="CJ29" s="83">
        <f t="shared" si="18"/>
        <v>597780</v>
      </c>
      <c r="CK29" s="102">
        <v>5534747</v>
      </c>
      <c r="CL29" s="102">
        <v>3702211</v>
      </c>
      <c r="CM29" s="102">
        <v>128243</v>
      </c>
      <c r="CN29" s="102">
        <v>928206</v>
      </c>
      <c r="CO29" s="102">
        <v>180428</v>
      </c>
      <c r="CP29" s="102">
        <v>2976802</v>
      </c>
      <c r="CQ29" s="102">
        <v>1629539</v>
      </c>
      <c r="CR29" s="102">
        <v>720453</v>
      </c>
      <c r="CS29" s="102">
        <v>330414</v>
      </c>
      <c r="CT29" s="73">
        <f t="shared" si="7"/>
        <v>11262</v>
      </c>
      <c r="CU29" s="102">
        <v>9610</v>
      </c>
      <c r="CV29" s="102">
        <v>1652</v>
      </c>
      <c r="CW29" s="73">
        <f t="shared" si="8"/>
        <v>0</v>
      </c>
      <c r="CX29" s="102">
        <v>0</v>
      </c>
      <c r="CY29" s="102">
        <v>0</v>
      </c>
      <c r="CZ29" s="73">
        <f t="shared" si="9"/>
        <v>0</v>
      </c>
      <c r="DA29" s="102">
        <v>0</v>
      </c>
      <c r="DB29" s="102">
        <v>0</v>
      </c>
      <c r="DC29" s="102">
        <v>3741286</v>
      </c>
      <c r="DD29" s="102">
        <v>1739037</v>
      </c>
      <c r="DE29" s="102">
        <v>1986320</v>
      </c>
      <c r="DF29" s="77">
        <v>15929</v>
      </c>
      <c r="DG29" s="78">
        <v>0</v>
      </c>
      <c r="DH29" s="102">
        <v>0</v>
      </c>
      <c r="DI29" s="102">
        <v>159089</v>
      </c>
      <c r="DJ29" s="102">
        <v>138069</v>
      </c>
      <c r="DK29" s="102">
        <v>174</v>
      </c>
      <c r="DL29" s="102">
        <v>20846</v>
      </c>
      <c r="DM29" s="102">
        <v>0</v>
      </c>
      <c r="DN29" s="102">
        <v>0</v>
      </c>
      <c r="DO29" s="102">
        <v>0</v>
      </c>
      <c r="DP29" s="102">
        <v>0</v>
      </c>
      <c r="DQ29" s="102">
        <v>9000</v>
      </c>
      <c r="DR29" s="102">
        <v>0</v>
      </c>
      <c r="DS29" s="102">
        <v>0</v>
      </c>
      <c r="DT29" s="102">
        <v>6620965</v>
      </c>
      <c r="DU29" s="102">
        <v>1985796</v>
      </c>
      <c r="DV29" s="73">
        <f t="shared" si="10"/>
        <v>0</v>
      </c>
      <c r="DW29" s="102">
        <v>0</v>
      </c>
      <c r="DX29" s="102">
        <v>1303573</v>
      </c>
      <c r="DY29" s="102">
        <v>0</v>
      </c>
      <c r="DZ29" s="102">
        <v>2066090</v>
      </c>
      <c r="EA29" s="74">
        <v>0</v>
      </c>
      <c r="EB29" s="102">
        <v>1265506</v>
      </c>
      <c r="EC29" s="102">
        <v>0</v>
      </c>
      <c r="ED29" s="102">
        <v>50796945</v>
      </c>
      <c r="EE29" s="71"/>
      <c r="EF29" s="102">
        <v>508962</v>
      </c>
      <c r="EG29" s="102">
        <v>91724</v>
      </c>
      <c r="EH29" s="102">
        <v>417238</v>
      </c>
      <c r="EI29" s="102">
        <v>151337</v>
      </c>
      <c r="EJ29" s="102">
        <v>289406</v>
      </c>
      <c r="EK29" s="71"/>
      <c r="EL29" s="102"/>
      <c r="EM29" s="102">
        <v>126603</v>
      </c>
      <c r="EN29" s="102">
        <v>0</v>
      </c>
      <c r="EO29" s="102">
        <v>83175</v>
      </c>
      <c r="EP29" s="73">
        <f t="shared" si="11"/>
        <v>1096096</v>
      </c>
      <c r="EQ29" s="102">
        <v>26941220</v>
      </c>
      <c r="ER29" s="71">
        <v>-3699075</v>
      </c>
      <c r="ES29" s="102">
        <v>6274547</v>
      </c>
      <c r="ET29" s="102">
        <v>4411630</v>
      </c>
      <c r="EU29" s="102">
        <v>5122321</v>
      </c>
      <c r="EV29" s="102">
        <v>4869736</v>
      </c>
      <c r="EW29" s="73">
        <f t="shared" si="12"/>
        <v>638145</v>
      </c>
      <c r="EX29" s="102">
        <v>638145</v>
      </c>
      <c r="EY29" s="102">
        <v>51386</v>
      </c>
      <c r="EZ29" s="102">
        <v>585130</v>
      </c>
      <c r="FA29" s="102">
        <v>0</v>
      </c>
      <c r="FB29" s="102">
        <v>0</v>
      </c>
      <c r="FC29" s="102">
        <v>4510840</v>
      </c>
      <c r="FD29" s="102">
        <v>2685612</v>
      </c>
      <c r="FE29" s="102">
        <v>1628696</v>
      </c>
      <c r="FF29" s="102">
        <v>5732653</v>
      </c>
      <c r="FG29" s="73">
        <f t="shared" si="13"/>
        <v>297479</v>
      </c>
      <c r="FH29" s="102">
        <v>30131333</v>
      </c>
      <c r="FI29" s="379">
        <f t="shared" si="14"/>
        <v>1.5</v>
      </c>
      <c r="FJ29" s="102">
        <v>24441175</v>
      </c>
      <c r="FK29" s="102">
        <v>2536843</v>
      </c>
      <c r="FL29" s="102">
        <v>13761864</v>
      </c>
      <c r="FM29" s="102">
        <v>20355467</v>
      </c>
      <c r="FN29" s="428">
        <v>0.67700000000000005</v>
      </c>
      <c r="FO29" s="424">
        <v>98.9</v>
      </c>
      <c r="FP29" s="425">
        <v>22.3</v>
      </c>
      <c r="FQ29" s="424">
        <v>18.399999999999999</v>
      </c>
      <c r="FR29" s="424">
        <v>17.5</v>
      </c>
      <c r="FS29" s="425">
        <v>14.4</v>
      </c>
      <c r="FT29" s="424">
        <v>8.5</v>
      </c>
      <c r="FU29" s="425">
        <v>17.3</v>
      </c>
      <c r="FV29" s="384">
        <f t="shared" si="15"/>
        <v>7.3</v>
      </c>
      <c r="FW29" s="102">
        <v>47762046</v>
      </c>
      <c r="FX29" s="384">
        <f t="shared" si="16"/>
        <v>177</v>
      </c>
      <c r="FY29" s="102">
        <v>7154477</v>
      </c>
      <c r="FZ29" s="102">
        <v>1731894</v>
      </c>
      <c r="GA29" s="102">
        <v>311043</v>
      </c>
      <c r="GB29" s="102">
        <v>5111540</v>
      </c>
      <c r="GC29" s="102">
        <v>0</v>
      </c>
      <c r="GD29" s="427"/>
      <c r="GE29" s="386"/>
      <c r="GF29" s="424">
        <v>98.3</v>
      </c>
      <c r="GG29" s="424">
        <v>25.1</v>
      </c>
      <c r="GH29" s="424">
        <v>93.1</v>
      </c>
      <c r="GI29" s="102">
        <v>743</v>
      </c>
      <c r="GJ29" s="429" t="s">
        <v>646</v>
      </c>
      <c r="GK29" s="429">
        <v>11.96</v>
      </c>
      <c r="GL29" s="87">
        <v>20</v>
      </c>
      <c r="GM29" s="429" t="s">
        <v>646</v>
      </c>
      <c r="GN29" s="430">
        <v>16.96</v>
      </c>
      <c r="GO29" s="430">
        <v>30</v>
      </c>
      <c r="GP29" s="425">
        <v>7.3</v>
      </c>
      <c r="GQ29" s="425">
        <v>25</v>
      </c>
      <c r="GR29" s="425">
        <v>35</v>
      </c>
      <c r="GS29" s="431">
        <v>43.3</v>
      </c>
      <c r="GT29" s="425">
        <v>350</v>
      </c>
      <c r="GU29" s="394"/>
      <c r="GV29" s="100">
        <f t="shared" si="17"/>
        <v>26978</v>
      </c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</row>
    <row r="30" spans="2:230" x14ac:dyDescent="0.15">
      <c r="B30" s="89" t="s">
        <v>49</v>
      </c>
      <c r="C30" s="102">
        <v>17373763</v>
      </c>
      <c r="D30" s="73">
        <f t="shared" si="0"/>
        <v>4170025</v>
      </c>
      <c r="E30" s="102">
        <v>137715</v>
      </c>
      <c r="F30" s="102">
        <v>4032310</v>
      </c>
      <c r="G30" s="73">
        <f t="shared" si="1"/>
        <v>2172287</v>
      </c>
      <c r="H30" s="102">
        <v>347451</v>
      </c>
      <c r="I30" s="102">
        <v>1824836</v>
      </c>
      <c r="J30" s="102">
        <v>8582855</v>
      </c>
      <c r="K30" s="102">
        <v>4089898</v>
      </c>
      <c r="L30" s="102">
        <v>2552009</v>
      </c>
      <c r="M30" s="102">
        <v>1880214</v>
      </c>
      <c r="N30" s="102">
        <v>767230</v>
      </c>
      <c r="O30" s="102">
        <v>1593330</v>
      </c>
      <c r="P30" s="102">
        <v>1023686</v>
      </c>
      <c r="Q30" s="102">
        <v>569644</v>
      </c>
      <c r="R30" s="102">
        <v>144029</v>
      </c>
      <c r="S30" s="74"/>
      <c r="T30" s="73">
        <f t="shared" si="2"/>
        <v>1396663</v>
      </c>
      <c r="U30" s="102">
        <v>43464</v>
      </c>
      <c r="V30" s="102">
        <v>117392</v>
      </c>
      <c r="W30" s="102">
        <v>61870</v>
      </c>
      <c r="X30" s="102">
        <v>1136950</v>
      </c>
      <c r="Y30" s="102">
        <v>1641</v>
      </c>
      <c r="Z30" s="102">
        <v>0</v>
      </c>
      <c r="AA30" s="102">
        <v>35346</v>
      </c>
      <c r="AB30" s="102">
        <v>76180</v>
      </c>
      <c r="AC30" s="102">
        <v>507147</v>
      </c>
      <c r="AD30" s="102">
        <v>296837</v>
      </c>
      <c r="AE30" s="102">
        <v>210309</v>
      </c>
      <c r="AF30" s="102">
        <v>12950</v>
      </c>
      <c r="AG30" s="102">
        <v>724615</v>
      </c>
      <c r="AH30" s="73">
        <f t="shared" si="3"/>
        <v>674163</v>
      </c>
      <c r="AI30" s="102">
        <v>546565</v>
      </c>
      <c r="AJ30" s="102">
        <v>127598</v>
      </c>
      <c r="AK30" s="102">
        <v>5464230</v>
      </c>
      <c r="AL30" s="73">
        <f t="shared" si="4"/>
        <v>3061404</v>
      </c>
      <c r="AM30" s="102">
        <v>2066905</v>
      </c>
      <c r="AN30" s="102">
        <v>492276</v>
      </c>
      <c r="AO30" s="74"/>
      <c r="AP30" s="102">
        <v>502223</v>
      </c>
      <c r="AQ30" s="102">
        <v>287640</v>
      </c>
      <c r="AR30" s="102">
        <v>0</v>
      </c>
      <c r="AS30" s="102">
        <v>0</v>
      </c>
      <c r="AT30" s="102">
        <v>2566114</v>
      </c>
      <c r="AU30" s="102">
        <v>1716860</v>
      </c>
      <c r="AV30" s="102">
        <v>246138</v>
      </c>
      <c r="AW30" s="102">
        <v>528545</v>
      </c>
      <c r="AX30" s="102">
        <v>849254</v>
      </c>
      <c r="AY30" s="102">
        <v>33884</v>
      </c>
      <c r="AZ30" s="102">
        <v>408622</v>
      </c>
      <c r="BA30" s="102">
        <v>380836</v>
      </c>
      <c r="BB30" s="102">
        <v>11898</v>
      </c>
      <c r="BC30" s="102">
        <v>70608</v>
      </c>
      <c r="BD30" s="102">
        <v>0</v>
      </c>
      <c r="BE30" s="102">
        <v>0</v>
      </c>
      <c r="BF30" s="102">
        <v>32708</v>
      </c>
      <c r="BG30" s="102">
        <v>0</v>
      </c>
      <c r="BH30" s="102">
        <v>751117</v>
      </c>
      <c r="BI30" s="102">
        <v>686437</v>
      </c>
      <c r="BJ30" s="102">
        <v>705509</v>
      </c>
      <c r="BK30" s="102">
        <v>128359</v>
      </c>
      <c r="BL30" s="102">
        <v>0</v>
      </c>
      <c r="BM30" s="102">
        <v>0</v>
      </c>
      <c r="BN30" s="102">
        <v>1967900</v>
      </c>
      <c r="BO30" s="73">
        <f t="shared" si="5"/>
        <v>929100</v>
      </c>
      <c r="BP30" s="73">
        <f t="shared" si="6"/>
        <v>1038800</v>
      </c>
      <c r="BQ30" s="102">
        <v>0</v>
      </c>
      <c r="BR30" s="102">
        <v>0</v>
      </c>
      <c r="BS30" s="102">
        <v>1038800</v>
      </c>
      <c r="BT30" s="102">
        <v>0</v>
      </c>
      <c r="BU30" s="102">
        <v>32855508</v>
      </c>
      <c r="BV30" s="71"/>
      <c r="BW30" s="102">
        <v>5280117</v>
      </c>
      <c r="BX30" s="102">
        <v>3537458</v>
      </c>
      <c r="BY30" s="102">
        <v>506594</v>
      </c>
      <c r="BZ30" s="102">
        <v>162533</v>
      </c>
      <c r="CA30" s="102">
        <v>9297696</v>
      </c>
      <c r="CB30" s="102">
        <v>1904436</v>
      </c>
      <c r="CC30" s="102">
        <v>217320</v>
      </c>
      <c r="CD30" s="102">
        <v>4221884</v>
      </c>
      <c r="CE30" s="102">
        <v>2814471</v>
      </c>
      <c r="CF30" s="102">
        <v>6608</v>
      </c>
      <c r="CG30" s="102">
        <v>132977</v>
      </c>
      <c r="CH30" s="102">
        <v>3014529</v>
      </c>
      <c r="CI30" s="102">
        <v>2649935</v>
      </c>
      <c r="CJ30" s="83">
        <f t="shared" si="18"/>
        <v>364594</v>
      </c>
      <c r="CK30" s="102">
        <v>4986272</v>
      </c>
      <c r="CL30" s="102">
        <v>3087300</v>
      </c>
      <c r="CM30" s="102">
        <v>593663</v>
      </c>
      <c r="CN30" s="102">
        <v>862443</v>
      </c>
      <c r="CO30" s="102">
        <v>519996</v>
      </c>
      <c r="CP30" s="102">
        <v>1274080</v>
      </c>
      <c r="CQ30" s="102">
        <v>6742</v>
      </c>
      <c r="CR30" s="102">
        <v>741623</v>
      </c>
      <c r="CS30" s="102">
        <v>300111</v>
      </c>
      <c r="CT30" s="73">
        <f t="shared" si="7"/>
        <v>7031</v>
      </c>
      <c r="CU30" s="102">
        <v>2807</v>
      </c>
      <c r="CV30" s="102">
        <v>4224</v>
      </c>
      <c r="CW30" s="73">
        <f t="shared" si="8"/>
        <v>0</v>
      </c>
      <c r="CX30" s="102">
        <v>0</v>
      </c>
      <c r="CY30" s="102">
        <v>0</v>
      </c>
      <c r="CZ30" s="73">
        <f t="shared" si="9"/>
        <v>0</v>
      </c>
      <c r="DA30" s="102">
        <v>0</v>
      </c>
      <c r="DB30" s="102">
        <v>0</v>
      </c>
      <c r="DC30" s="102">
        <v>2358212</v>
      </c>
      <c r="DD30" s="102">
        <v>1252888</v>
      </c>
      <c r="DE30" s="102">
        <v>1060698</v>
      </c>
      <c r="DF30" s="77">
        <v>44626</v>
      </c>
      <c r="DG30" s="78">
        <v>0</v>
      </c>
      <c r="DH30" s="102">
        <v>0</v>
      </c>
      <c r="DI30" s="102">
        <v>541626</v>
      </c>
      <c r="DJ30" s="102">
        <v>525507</v>
      </c>
      <c r="DK30" s="102">
        <v>6</v>
      </c>
      <c r="DL30" s="102">
        <v>16113</v>
      </c>
      <c r="DM30" s="102">
        <v>0</v>
      </c>
      <c r="DN30" s="102">
        <v>0</v>
      </c>
      <c r="DO30" s="102">
        <v>0</v>
      </c>
      <c r="DP30" s="102">
        <v>0</v>
      </c>
      <c r="DQ30" s="102">
        <v>117580</v>
      </c>
      <c r="DR30" s="102">
        <v>0</v>
      </c>
      <c r="DS30" s="102">
        <v>0</v>
      </c>
      <c r="DT30" s="102">
        <v>4967079</v>
      </c>
      <c r="DU30" s="102">
        <v>2156000</v>
      </c>
      <c r="DV30" s="73">
        <f t="shared" si="10"/>
        <v>0</v>
      </c>
      <c r="DW30" s="102">
        <v>0</v>
      </c>
      <c r="DX30" s="102">
        <v>756467</v>
      </c>
      <c r="DY30" s="102">
        <v>87462</v>
      </c>
      <c r="DZ30" s="102">
        <v>1040200</v>
      </c>
      <c r="EA30" s="74">
        <v>0</v>
      </c>
      <c r="EB30" s="102">
        <v>722996</v>
      </c>
      <c r="EC30" s="102">
        <v>0</v>
      </c>
      <c r="ED30" s="102">
        <v>32357187</v>
      </c>
      <c r="EE30" s="71"/>
      <c r="EF30" s="102">
        <v>498321</v>
      </c>
      <c r="EG30" s="102">
        <v>210491</v>
      </c>
      <c r="EH30" s="102">
        <v>287830</v>
      </c>
      <c r="EI30" s="102">
        <v>-398607</v>
      </c>
      <c r="EJ30" s="102">
        <v>126900</v>
      </c>
      <c r="EK30" s="71"/>
      <c r="EL30" s="102"/>
      <c r="EM30" s="102">
        <v>85275</v>
      </c>
      <c r="EN30" s="102">
        <v>37900</v>
      </c>
      <c r="EO30" s="102">
        <v>402927</v>
      </c>
      <c r="EP30" s="73">
        <f t="shared" si="11"/>
        <v>1152803</v>
      </c>
      <c r="EQ30" s="102">
        <v>19510732</v>
      </c>
      <c r="ER30" s="71">
        <v>-2619480</v>
      </c>
      <c r="ES30" s="102">
        <v>4947743</v>
      </c>
      <c r="ET30" s="102">
        <v>3218113</v>
      </c>
      <c r="EU30" s="102">
        <v>2780002</v>
      </c>
      <c r="EV30" s="102">
        <v>2965387</v>
      </c>
      <c r="EW30" s="73">
        <f t="shared" si="12"/>
        <v>515472</v>
      </c>
      <c r="EX30" s="102">
        <v>515472</v>
      </c>
      <c r="EY30" s="102">
        <v>79480</v>
      </c>
      <c r="EZ30" s="102">
        <v>416666</v>
      </c>
      <c r="FA30" s="102">
        <v>0</v>
      </c>
      <c r="FB30" s="102">
        <v>0</v>
      </c>
      <c r="FC30" s="102">
        <v>3802434</v>
      </c>
      <c r="FD30" s="102">
        <v>1061714</v>
      </c>
      <c r="FE30" s="102">
        <v>6742</v>
      </c>
      <c r="FF30" s="102">
        <v>4528994</v>
      </c>
      <c r="FG30" s="73">
        <f t="shared" si="13"/>
        <v>1030145</v>
      </c>
      <c r="FH30" s="102">
        <v>21631891</v>
      </c>
      <c r="FI30" s="379">
        <f t="shared" si="14"/>
        <v>1.6</v>
      </c>
      <c r="FJ30" s="102">
        <v>17082730</v>
      </c>
      <c r="FK30" s="102">
        <v>1038865</v>
      </c>
      <c r="FL30" s="102">
        <v>12897355</v>
      </c>
      <c r="FM30" s="102">
        <v>13145636</v>
      </c>
      <c r="FN30" s="428">
        <v>0.98299999999999998</v>
      </c>
      <c r="FO30" s="424">
        <v>99.7</v>
      </c>
      <c r="FP30" s="425">
        <v>26</v>
      </c>
      <c r="FQ30" s="424">
        <v>14.7</v>
      </c>
      <c r="FR30" s="424">
        <v>15.3</v>
      </c>
      <c r="FS30" s="425">
        <v>19</v>
      </c>
      <c r="FT30" s="424">
        <v>4.2</v>
      </c>
      <c r="FU30" s="425">
        <v>17.899999999999999</v>
      </c>
      <c r="FV30" s="384">
        <f t="shared" si="15"/>
        <v>6.3</v>
      </c>
      <c r="FW30" s="102">
        <v>23598258</v>
      </c>
      <c r="FX30" s="384">
        <f t="shared" si="16"/>
        <v>130.19999999999999</v>
      </c>
      <c r="FY30" s="102">
        <v>7538102</v>
      </c>
      <c r="FZ30" s="102">
        <v>5299110</v>
      </c>
      <c r="GA30" s="102">
        <v>10314</v>
      </c>
      <c r="GB30" s="102">
        <v>2228678</v>
      </c>
      <c r="GC30" s="102">
        <v>0</v>
      </c>
      <c r="GD30" s="427">
        <v>0</v>
      </c>
      <c r="GE30" s="384">
        <f>ROUND(GD30/(FJ30+FK30)*100,1)</f>
        <v>0</v>
      </c>
      <c r="GF30" s="424">
        <v>98.8</v>
      </c>
      <c r="GG30" s="424">
        <v>36.6</v>
      </c>
      <c r="GH30" s="424">
        <v>96.4</v>
      </c>
      <c r="GI30" s="102">
        <v>554</v>
      </c>
      <c r="GJ30" s="429" t="s">
        <v>646</v>
      </c>
      <c r="GK30" s="429">
        <v>12.59</v>
      </c>
      <c r="GL30" s="87">
        <v>20</v>
      </c>
      <c r="GM30" s="429" t="s">
        <v>646</v>
      </c>
      <c r="GN30" s="430">
        <v>17.59</v>
      </c>
      <c r="GO30" s="430">
        <v>30</v>
      </c>
      <c r="GP30" s="425">
        <v>6.3</v>
      </c>
      <c r="GQ30" s="425">
        <v>25</v>
      </c>
      <c r="GR30" s="425">
        <v>35</v>
      </c>
      <c r="GS30" s="431" t="s">
        <v>646</v>
      </c>
      <c r="GT30" s="425">
        <v>350</v>
      </c>
      <c r="GU30" s="394"/>
      <c r="GV30" s="100">
        <f t="shared" si="17"/>
        <v>18122</v>
      </c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</row>
    <row r="31" spans="2:230" x14ac:dyDescent="0.15">
      <c r="B31" s="89" t="s">
        <v>51</v>
      </c>
      <c r="C31" s="102">
        <v>10592369</v>
      </c>
      <c r="D31" s="73">
        <f t="shared" si="0"/>
        <v>3060833</v>
      </c>
      <c r="E31" s="102">
        <v>88338</v>
      </c>
      <c r="F31" s="102">
        <v>2972495</v>
      </c>
      <c r="G31" s="73">
        <f t="shared" si="1"/>
        <v>993498</v>
      </c>
      <c r="H31" s="102">
        <v>163577</v>
      </c>
      <c r="I31" s="102">
        <v>829921</v>
      </c>
      <c r="J31" s="102">
        <v>5261654</v>
      </c>
      <c r="K31" s="102">
        <v>2271669</v>
      </c>
      <c r="L31" s="102">
        <v>1388602</v>
      </c>
      <c r="M31" s="102">
        <v>1550813</v>
      </c>
      <c r="N31" s="102">
        <v>329262</v>
      </c>
      <c r="O31" s="102">
        <v>892764</v>
      </c>
      <c r="P31" s="102">
        <v>585469</v>
      </c>
      <c r="Q31" s="102">
        <v>307295</v>
      </c>
      <c r="R31" s="102">
        <v>165458</v>
      </c>
      <c r="S31" s="74"/>
      <c r="T31" s="73">
        <f t="shared" si="2"/>
        <v>845072</v>
      </c>
      <c r="U31" s="102">
        <v>32639</v>
      </c>
      <c r="V31" s="102">
        <v>87923</v>
      </c>
      <c r="W31" s="102">
        <v>46260</v>
      </c>
      <c r="X31" s="102">
        <v>656444</v>
      </c>
      <c r="Y31" s="102">
        <v>0</v>
      </c>
      <c r="Z31" s="102">
        <v>0</v>
      </c>
      <c r="AA31" s="102">
        <v>21806</v>
      </c>
      <c r="AB31" s="102">
        <v>38968</v>
      </c>
      <c r="AC31" s="102">
        <v>1526214</v>
      </c>
      <c r="AD31" s="102">
        <v>1441850</v>
      </c>
      <c r="AE31" s="102">
        <v>84363</v>
      </c>
      <c r="AF31" s="102">
        <v>7281</v>
      </c>
      <c r="AG31" s="102">
        <v>186831</v>
      </c>
      <c r="AH31" s="73">
        <f t="shared" si="3"/>
        <v>288483</v>
      </c>
      <c r="AI31" s="102">
        <v>228155</v>
      </c>
      <c r="AJ31" s="102">
        <v>60328</v>
      </c>
      <c r="AK31" s="102">
        <v>4391800</v>
      </c>
      <c r="AL31" s="73">
        <f t="shared" si="4"/>
        <v>1854929</v>
      </c>
      <c r="AM31" s="102">
        <v>1247023</v>
      </c>
      <c r="AN31" s="102">
        <v>249361</v>
      </c>
      <c r="AO31" s="74"/>
      <c r="AP31" s="102">
        <v>358545</v>
      </c>
      <c r="AQ31" s="102">
        <v>7189</v>
      </c>
      <c r="AR31" s="102">
        <v>0</v>
      </c>
      <c r="AS31" s="102">
        <v>0</v>
      </c>
      <c r="AT31" s="102">
        <v>1704922</v>
      </c>
      <c r="AU31" s="102">
        <v>1113259</v>
      </c>
      <c r="AV31" s="102">
        <v>124950</v>
      </c>
      <c r="AW31" s="102">
        <v>214721</v>
      </c>
      <c r="AX31" s="102">
        <v>591663</v>
      </c>
      <c r="AY31" s="102">
        <v>396</v>
      </c>
      <c r="AZ31" s="102">
        <v>440636</v>
      </c>
      <c r="BA31" s="102">
        <v>365091</v>
      </c>
      <c r="BB31" s="102">
        <v>7559</v>
      </c>
      <c r="BC31" s="102">
        <v>550601</v>
      </c>
      <c r="BD31" s="102">
        <v>259939</v>
      </c>
      <c r="BE31" s="102">
        <v>0</v>
      </c>
      <c r="BF31" s="102">
        <v>282323</v>
      </c>
      <c r="BG31" s="102">
        <v>0</v>
      </c>
      <c r="BH31" s="102">
        <v>208770</v>
      </c>
      <c r="BI31" s="102">
        <v>151109</v>
      </c>
      <c r="BJ31" s="102">
        <v>772673</v>
      </c>
      <c r="BK31" s="102">
        <v>519703</v>
      </c>
      <c r="BL31" s="102">
        <v>0</v>
      </c>
      <c r="BM31" s="102">
        <v>0</v>
      </c>
      <c r="BN31" s="102">
        <v>3119600</v>
      </c>
      <c r="BO31" s="73">
        <f t="shared" si="5"/>
        <v>1706100</v>
      </c>
      <c r="BP31" s="73">
        <f t="shared" si="6"/>
        <v>1413500</v>
      </c>
      <c r="BQ31" s="102">
        <v>0</v>
      </c>
      <c r="BR31" s="102">
        <v>0</v>
      </c>
      <c r="BS31" s="102">
        <v>1413500</v>
      </c>
      <c r="BT31" s="102">
        <v>0</v>
      </c>
      <c r="BU31" s="102">
        <v>24847237</v>
      </c>
      <c r="BV31" s="71"/>
      <c r="BW31" s="102">
        <v>3388133</v>
      </c>
      <c r="BX31" s="102">
        <v>2059549</v>
      </c>
      <c r="BY31" s="102">
        <v>449937</v>
      </c>
      <c r="BZ31" s="102">
        <v>180525</v>
      </c>
      <c r="CA31" s="102">
        <v>5388196</v>
      </c>
      <c r="CB31" s="102">
        <v>1222576</v>
      </c>
      <c r="CC31" s="102">
        <v>100993</v>
      </c>
      <c r="CD31" s="102">
        <v>2347325</v>
      </c>
      <c r="CE31" s="102">
        <v>1640396</v>
      </c>
      <c r="CF31" s="102">
        <v>3</v>
      </c>
      <c r="CG31" s="102">
        <v>76619</v>
      </c>
      <c r="CH31" s="102">
        <v>3501895</v>
      </c>
      <c r="CI31" s="102">
        <v>2995040</v>
      </c>
      <c r="CJ31" s="83">
        <f t="shared" si="18"/>
        <v>506855</v>
      </c>
      <c r="CK31" s="102">
        <v>3071486</v>
      </c>
      <c r="CL31" s="102">
        <v>2181612</v>
      </c>
      <c r="CM31" s="102">
        <v>182524</v>
      </c>
      <c r="CN31" s="102">
        <v>379977</v>
      </c>
      <c r="CO31" s="102">
        <v>14698</v>
      </c>
      <c r="CP31" s="102">
        <v>1482842</v>
      </c>
      <c r="CQ31" s="102">
        <v>544752</v>
      </c>
      <c r="CR31" s="102">
        <v>89074</v>
      </c>
      <c r="CS31" s="102">
        <v>25530</v>
      </c>
      <c r="CT31" s="73">
        <f t="shared" si="7"/>
        <v>8983</v>
      </c>
      <c r="CU31" s="102">
        <v>4351</v>
      </c>
      <c r="CV31" s="102">
        <v>4632</v>
      </c>
      <c r="CW31" s="73">
        <f t="shared" si="8"/>
        <v>0</v>
      </c>
      <c r="CX31" s="102">
        <v>0</v>
      </c>
      <c r="CY31" s="102">
        <v>0</v>
      </c>
      <c r="CZ31" s="73">
        <f t="shared" si="9"/>
        <v>0</v>
      </c>
      <c r="DA31" s="102">
        <v>0</v>
      </c>
      <c r="DB31" s="102">
        <v>0</v>
      </c>
      <c r="DC31" s="102">
        <v>3769622</v>
      </c>
      <c r="DD31" s="102">
        <v>2466246</v>
      </c>
      <c r="DE31" s="102">
        <v>630199</v>
      </c>
      <c r="DF31" s="77">
        <v>660284</v>
      </c>
      <c r="DG31" s="78">
        <v>12893</v>
      </c>
      <c r="DH31" s="102">
        <v>0</v>
      </c>
      <c r="DI31" s="102">
        <v>946103</v>
      </c>
      <c r="DJ31" s="102">
        <v>906802</v>
      </c>
      <c r="DK31" s="102">
        <v>0</v>
      </c>
      <c r="DL31" s="102">
        <v>39301</v>
      </c>
      <c r="DM31" s="102">
        <v>0</v>
      </c>
      <c r="DN31" s="102">
        <v>0</v>
      </c>
      <c r="DO31" s="102">
        <v>0</v>
      </c>
      <c r="DP31" s="102">
        <v>0</v>
      </c>
      <c r="DQ31" s="102">
        <v>10570</v>
      </c>
      <c r="DR31" s="102">
        <v>0</v>
      </c>
      <c r="DS31" s="102">
        <v>0</v>
      </c>
      <c r="DT31" s="102">
        <v>2877462</v>
      </c>
      <c r="DU31" s="102">
        <v>992558</v>
      </c>
      <c r="DV31" s="73">
        <f t="shared" si="10"/>
        <v>0</v>
      </c>
      <c r="DW31" s="102">
        <v>0</v>
      </c>
      <c r="DX31" s="102">
        <v>721284</v>
      </c>
      <c r="DY31" s="102">
        <v>0</v>
      </c>
      <c r="DZ31" s="102">
        <v>547773</v>
      </c>
      <c r="EA31" s="74">
        <v>0</v>
      </c>
      <c r="EB31" s="102">
        <v>615847</v>
      </c>
      <c r="EC31" s="102">
        <v>0</v>
      </c>
      <c r="ED31" s="102">
        <v>24451007</v>
      </c>
      <c r="EE31" s="71"/>
      <c r="EF31" s="102">
        <v>396230</v>
      </c>
      <c r="EG31" s="102">
        <v>152693</v>
      </c>
      <c r="EH31" s="102">
        <v>243537</v>
      </c>
      <c r="EI31" s="102">
        <v>92428</v>
      </c>
      <c r="EJ31" s="102">
        <v>739291</v>
      </c>
      <c r="EK31" s="71"/>
      <c r="EL31" s="102"/>
      <c r="EM31" s="102">
        <v>58315</v>
      </c>
      <c r="EN31" s="102">
        <v>464910</v>
      </c>
      <c r="EO31" s="102">
        <v>438390</v>
      </c>
      <c r="EP31" s="73">
        <f t="shared" si="11"/>
        <v>790902</v>
      </c>
      <c r="EQ31" s="102">
        <v>13175362</v>
      </c>
      <c r="ER31" s="71">
        <v>-3100421</v>
      </c>
      <c r="ES31" s="102">
        <v>3211809</v>
      </c>
      <c r="ET31" s="102">
        <v>1915610</v>
      </c>
      <c r="EU31" s="102">
        <v>1471683</v>
      </c>
      <c r="EV31" s="102">
        <v>3229276</v>
      </c>
      <c r="EW31" s="73">
        <f t="shared" si="12"/>
        <v>706426</v>
      </c>
      <c r="EX31" s="102">
        <v>706426</v>
      </c>
      <c r="EY31" s="102">
        <v>208277</v>
      </c>
      <c r="EZ31" s="102">
        <v>476761</v>
      </c>
      <c r="FA31" s="102">
        <v>0</v>
      </c>
      <c r="FB31" s="102">
        <v>0</v>
      </c>
      <c r="FC31" s="102">
        <v>2527011</v>
      </c>
      <c r="FD31" s="102">
        <v>1271281</v>
      </c>
      <c r="FE31" s="102">
        <v>544752</v>
      </c>
      <c r="FF31" s="102">
        <v>2532915</v>
      </c>
      <c r="FG31" s="73">
        <f t="shared" si="13"/>
        <v>929152</v>
      </c>
      <c r="FH31" s="102">
        <v>15879553</v>
      </c>
      <c r="FI31" s="379">
        <f t="shared" si="14"/>
        <v>1.8</v>
      </c>
      <c r="FJ31" s="102">
        <v>11773633</v>
      </c>
      <c r="FK31" s="102">
        <v>1413580</v>
      </c>
      <c r="FL31" s="102">
        <v>7940587</v>
      </c>
      <c r="FM31" s="102">
        <v>9382437</v>
      </c>
      <c r="FN31" s="428">
        <v>0.86299999999999999</v>
      </c>
      <c r="FO31" s="424">
        <v>97.3</v>
      </c>
      <c r="FP31" s="425">
        <v>22.7</v>
      </c>
      <c r="FQ31" s="424">
        <v>10.6</v>
      </c>
      <c r="FR31" s="424">
        <v>23.4</v>
      </c>
      <c r="FS31" s="425">
        <v>16.7</v>
      </c>
      <c r="FT31" s="424">
        <v>6.8</v>
      </c>
      <c r="FU31" s="425">
        <v>16.899999999999999</v>
      </c>
      <c r="FV31" s="384">
        <f t="shared" si="15"/>
        <v>13.8</v>
      </c>
      <c r="FW31" s="102">
        <v>38118525</v>
      </c>
      <c r="FX31" s="384">
        <f t="shared" si="16"/>
        <v>289.10000000000002</v>
      </c>
      <c r="FY31" s="102">
        <v>5511607</v>
      </c>
      <c r="FZ31" s="102">
        <v>2302965</v>
      </c>
      <c r="GA31" s="102">
        <v>0</v>
      </c>
      <c r="GB31" s="102">
        <v>3208642</v>
      </c>
      <c r="GC31" s="102">
        <v>2820000</v>
      </c>
      <c r="GD31" s="427">
        <v>3188</v>
      </c>
      <c r="GE31" s="386">
        <f>IF(GD31=0,"-",ROUND(GD31/(GV31)*100,1))</f>
        <v>24.2</v>
      </c>
      <c r="GF31" s="424">
        <v>99</v>
      </c>
      <c r="GG31" s="424">
        <v>18.5</v>
      </c>
      <c r="GH31" s="424">
        <v>95.1</v>
      </c>
      <c r="GI31" s="102">
        <v>337</v>
      </c>
      <c r="GJ31" s="429" t="s">
        <v>646</v>
      </c>
      <c r="GK31" s="429">
        <v>12.93</v>
      </c>
      <c r="GL31" s="87">
        <v>20</v>
      </c>
      <c r="GM31" s="429" t="s">
        <v>646</v>
      </c>
      <c r="GN31" s="430">
        <v>17.93</v>
      </c>
      <c r="GO31" s="430">
        <v>30</v>
      </c>
      <c r="GP31" s="425">
        <v>13.8</v>
      </c>
      <c r="GQ31" s="425">
        <v>25</v>
      </c>
      <c r="GR31" s="425">
        <v>35</v>
      </c>
      <c r="GS31" s="431">
        <v>206</v>
      </c>
      <c r="GT31" s="425">
        <v>350</v>
      </c>
      <c r="GU31" s="394"/>
      <c r="GV31" s="100">
        <f t="shared" si="17"/>
        <v>13187</v>
      </c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</row>
    <row r="32" spans="2:230" x14ac:dyDescent="0.15">
      <c r="B32" s="89" t="s">
        <v>53</v>
      </c>
      <c r="C32" s="102">
        <v>7927620</v>
      </c>
      <c r="D32" s="73">
        <f t="shared" si="0"/>
        <v>3259392</v>
      </c>
      <c r="E32" s="102">
        <v>95948</v>
      </c>
      <c r="F32" s="102">
        <v>3163444</v>
      </c>
      <c r="G32" s="73">
        <f t="shared" si="1"/>
        <v>529254</v>
      </c>
      <c r="H32" s="102">
        <v>143525</v>
      </c>
      <c r="I32" s="102">
        <v>385729</v>
      </c>
      <c r="J32" s="102">
        <v>2952980</v>
      </c>
      <c r="K32" s="102">
        <v>1328090</v>
      </c>
      <c r="L32" s="102">
        <v>1327934</v>
      </c>
      <c r="M32" s="102">
        <v>264640</v>
      </c>
      <c r="N32" s="102">
        <v>419112</v>
      </c>
      <c r="O32" s="102">
        <v>698095</v>
      </c>
      <c r="P32" s="102">
        <v>401328</v>
      </c>
      <c r="Q32" s="102">
        <v>296767</v>
      </c>
      <c r="R32" s="102">
        <v>101869</v>
      </c>
      <c r="S32" s="74"/>
      <c r="T32" s="73">
        <f t="shared" si="2"/>
        <v>918575</v>
      </c>
      <c r="U32" s="102">
        <v>34948</v>
      </c>
      <c r="V32" s="102">
        <v>94977</v>
      </c>
      <c r="W32" s="102">
        <v>50256</v>
      </c>
      <c r="X32" s="102">
        <v>713416</v>
      </c>
      <c r="Y32" s="102">
        <v>0</v>
      </c>
      <c r="Z32" s="102">
        <v>0</v>
      </c>
      <c r="AA32" s="102">
        <v>24978</v>
      </c>
      <c r="AB32" s="102">
        <v>53684</v>
      </c>
      <c r="AC32" s="102">
        <v>4211744</v>
      </c>
      <c r="AD32" s="102">
        <v>4025470</v>
      </c>
      <c r="AE32" s="102">
        <v>186273</v>
      </c>
      <c r="AF32" s="102">
        <v>9814</v>
      </c>
      <c r="AG32" s="102">
        <v>141170</v>
      </c>
      <c r="AH32" s="73">
        <f t="shared" si="3"/>
        <v>457846</v>
      </c>
      <c r="AI32" s="102">
        <v>409793</v>
      </c>
      <c r="AJ32" s="102">
        <v>48053</v>
      </c>
      <c r="AK32" s="102">
        <v>4845634</v>
      </c>
      <c r="AL32" s="73">
        <f t="shared" si="4"/>
        <v>3012615</v>
      </c>
      <c r="AM32" s="102">
        <v>2321687</v>
      </c>
      <c r="AN32" s="102">
        <v>149828</v>
      </c>
      <c r="AO32" s="74"/>
      <c r="AP32" s="102">
        <v>541100</v>
      </c>
      <c r="AQ32" s="102">
        <v>135160</v>
      </c>
      <c r="AR32" s="102">
        <v>0</v>
      </c>
      <c r="AS32" s="102">
        <v>0</v>
      </c>
      <c r="AT32" s="102">
        <v>1540788</v>
      </c>
      <c r="AU32" s="102">
        <v>1127886</v>
      </c>
      <c r="AV32" s="102">
        <v>114343</v>
      </c>
      <c r="AW32" s="102">
        <v>144682</v>
      </c>
      <c r="AX32" s="102">
        <v>412902</v>
      </c>
      <c r="AY32" s="102">
        <v>0</v>
      </c>
      <c r="AZ32" s="102">
        <v>9372</v>
      </c>
      <c r="BA32" s="102">
        <v>219</v>
      </c>
      <c r="BB32" s="102">
        <v>12570</v>
      </c>
      <c r="BC32" s="102">
        <v>224790</v>
      </c>
      <c r="BD32" s="102">
        <v>90000</v>
      </c>
      <c r="BE32" s="102">
        <v>0</v>
      </c>
      <c r="BF32" s="102">
        <v>134790</v>
      </c>
      <c r="BG32" s="102">
        <v>0</v>
      </c>
      <c r="BH32" s="102">
        <v>128062</v>
      </c>
      <c r="BI32" s="102">
        <v>4897</v>
      </c>
      <c r="BJ32" s="102">
        <v>197495</v>
      </c>
      <c r="BK32" s="102">
        <v>0</v>
      </c>
      <c r="BL32" s="102">
        <v>0</v>
      </c>
      <c r="BM32" s="102">
        <v>0</v>
      </c>
      <c r="BN32" s="102">
        <v>1872000</v>
      </c>
      <c r="BO32" s="73">
        <f t="shared" si="5"/>
        <v>752800</v>
      </c>
      <c r="BP32" s="73">
        <f t="shared" si="6"/>
        <v>1119200</v>
      </c>
      <c r="BQ32" s="102">
        <v>0</v>
      </c>
      <c r="BR32" s="102">
        <v>0</v>
      </c>
      <c r="BS32" s="102">
        <v>1119200</v>
      </c>
      <c r="BT32" s="102">
        <v>0</v>
      </c>
      <c r="BU32" s="102">
        <v>22653033</v>
      </c>
      <c r="BV32" s="71"/>
      <c r="BW32" s="102">
        <v>4304422</v>
      </c>
      <c r="BX32" s="102">
        <v>2682263</v>
      </c>
      <c r="BY32" s="102">
        <v>469203</v>
      </c>
      <c r="BZ32" s="102">
        <v>346047</v>
      </c>
      <c r="CA32" s="102">
        <v>6820125</v>
      </c>
      <c r="CB32" s="102">
        <v>1497535</v>
      </c>
      <c r="CC32" s="102">
        <v>129191</v>
      </c>
      <c r="CD32" s="102">
        <v>2380765</v>
      </c>
      <c r="CE32" s="102">
        <v>2740532</v>
      </c>
      <c r="CF32" s="102">
        <v>3952</v>
      </c>
      <c r="CG32" s="102">
        <v>68060</v>
      </c>
      <c r="CH32" s="102">
        <v>1263114</v>
      </c>
      <c r="CI32" s="102">
        <v>1091817</v>
      </c>
      <c r="CJ32" s="83">
        <f t="shared" si="18"/>
        <v>171297</v>
      </c>
      <c r="CK32" s="102">
        <v>2409104</v>
      </c>
      <c r="CL32" s="102">
        <v>1407196</v>
      </c>
      <c r="CM32" s="102">
        <v>269795</v>
      </c>
      <c r="CN32" s="102">
        <v>301811</v>
      </c>
      <c r="CO32" s="102">
        <v>172035</v>
      </c>
      <c r="CP32" s="102">
        <v>2711570</v>
      </c>
      <c r="CQ32" s="102">
        <v>1641975</v>
      </c>
      <c r="CR32" s="102">
        <v>317622</v>
      </c>
      <c r="CS32" s="102">
        <v>273079</v>
      </c>
      <c r="CT32" s="73">
        <f t="shared" si="7"/>
        <v>234839</v>
      </c>
      <c r="CU32" s="102">
        <v>144673</v>
      </c>
      <c r="CV32" s="102">
        <v>90166</v>
      </c>
      <c r="CW32" s="73">
        <f t="shared" si="8"/>
        <v>226233</v>
      </c>
      <c r="CX32" s="102">
        <v>137863</v>
      </c>
      <c r="CY32" s="102">
        <v>88370</v>
      </c>
      <c r="CZ32" s="73">
        <f t="shared" si="9"/>
        <v>0</v>
      </c>
      <c r="DA32" s="102">
        <v>0</v>
      </c>
      <c r="DB32" s="102">
        <v>0</v>
      </c>
      <c r="DC32" s="102">
        <v>1447618</v>
      </c>
      <c r="DD32" s="102">
        <v>381246</v>
      </c>
      <c r="DE32" s="102">
        <v>1051261</v>
      </c>
      <c r="DF32" s="77">
        <v>15111</v>
      </c>
      <c r="DG32" s="78">
        <v>0</v>
      </c>
      <c r="DH32" s="102">
        <v>0</v>
      </c>
      <c r="DI32" s="102">
        <v>22920</v>
      </c>
      <c r="DJ32" s="102">
        <v>10591</v>
      </c>
      <c r="DK32" s="102">
        <v>1</v>
      </c>
      <c r="DL32" s="102">
        <v>12328</v>
      </c>
      <c r="DM32" s="102">
        <v>0</v>
      </c>
      <c r="DN32" s="102">
        <v>0</v>
      </c>
      <c r="DO32" s="102">
        <v>0</v>
      </c>
      <c r="DP32" s="102">
        <v>0</v>
      </c>
      <c r="DQ32" s="102">
        <v>0</v>
      </c>
      <c r="DR32" s="102">
        <v>0</v>
      </c>
      <c r="DS32" s="102">
        <v>0</v>
      </c>
      <c r="DT32" s="102">
        <v>3310672</v>
      </c>
      <c r="DU32" s="102">
        <v>1131803</v>
      </c>
      <c r="DV32" s="73">
        <f t="shared" si="10"/>
        <v>0</v>
      </c>
      <c r="DW32" s="102">
        <v>0</v>
      </c>
      <c r="DX32" s="102">
        <v>714552</v>
      </c>
      <c r="DY32" s="102">
        <v>0</v>
      </c>
      <c r="DZ32" s="102">
        <v>722096</v>
      </c>
      <c r="EA32" s="74">
        <v>0</v>
      </c>
      <c r="EB32" s="102">
        <v>742220</v>
      </c>
      <c r="EC32" s="102">
        <v>0</v>
      </c>
      <c r="ED32" s="102">
        <v>22461580</v>
      </c>
      <c r="EE32" s="71"/>
      <c r="EF32" s="102">
        <v>191453</v>
      </c>
      <c r="EG32" s="102">
        <v>176122</v>
      </c>
      <c r="EH32" s="102">
        <v>15331</v>
      </c>
      <c r="EI32" s="102">
        <v>-9566</v>
      </c>
      <c r="EJ32" s="102">
        <v>-88975</v>
      </c>
      <c r="EK32" s="71"/>
      <c r="EL32" s="102"/>
      <c r="EM32" s="102">
        <v>66542</v>
      </c>
      <c r="EN32" s="102">
        <v>90000</v>
      </c>
      <c r="EO32" s="102">
        <v>221</v>
      </c>
      <c r="EP32" s="73">
        <f t="shared" si="11"/>
        <v>683654</v>
      </c>
      <c r="EQ32" s="102">
        <v>13223306</v>
      </c>
      <c r="ER32" s="71">
        <v>-1883261</v>
      </c>
      <c r="ES32" s="102">
        <v>3947261</v>
      </c>
      <c r="ET32" s="102">
        <v>2396534</v>
      </c>
      <c r="EU32" s="102">
        <v>1976923</v>
      </c>
      <c r="EV32" s="102">
        <v>1263114</v>
      </c>
      <c r="EW32" s="73">
        <f t="shared" si="12"/>
        <v>176941</v>
      </c>
      <c r="EX32" s="102">
        <v>176941</v>
      </c>
      <c r="EY32" s="102">
        <v>28925</v>
      </c>
      <c r="EZ32" s="102">
        <v>146405</v>
      </c>
      <c r="FA32" s="102">
        <v>0</v>
      </c>
      <c r="FB32" s="102">
        <v>0</v>
      </c>
      <c r="FC32" s="102">
        <v>1881719</v>
      </c>
      <c r="FD32" s="102">
        <v>2565733</v>
      </c>
      <c r="FE32" s="102">
        <v>1641645</v>
      </c>
      <c r="FF32" s="102">
        <v>2929504</v>
      </c>
      <c r="FG32" s="73">
        <f t="shared" si="13"/>
        <v>173919</v>
      </c>
      <c r="FH32" s="102">
        <v>14915114</v>
      </c>
      <c r="FI32" s="379">
        <f t="shared" si="14"/>
        <v>0.1</v>
      </c>
      <c r="FJ32" s="102">
        <v>12313494</v>
      </c>
      <c r="FK32" s="102">
        <v>1119223</v>
      </c>
      <c r="FL32" s="102">
        <v>6398593</v>
      </c>
      <c r="FM32" s="102">
        <v>10424063</v>
      </c>
      <c r="FN32" s="428">
        <v>0.60099999999999998</v>
      </c>
      <c r="FO32" s="424">
        <v>102.1</v>
      </c>
      <c r="FP32" s="425">
        <v>29.1</v>
      </c>
      <c r="FQ32" s="424">
        <v>14.6</v>
      </c>
      <c r="FR32" s="424">
        <v>9.3000000000000007</v>
      </c>
      <c r="FS32" s="425">
        <v>12.8</v>
      </c>
      <c r="FT32" s="424">
        <v>15.9</v>
      </c>
      <c r="FU32" s="425">
        <v>19.399999999999999</v>
      </c>
      <c r="FV32" s="384">
        <f t="shared" si="15"/>
        <v>3.7</v>
      </c>
      <c r="FW32" s="102">
        <v>14176926</v>
      </c>
      <c r="FX32" s="384">
        <f t="shared" si="16"/>
        <v>105.5</v>
      </c>
      <c r="FY32" s="102">
        <v>2352739</v>
      </c>
      <c r="FZ32" s="102">
        <v>1917798</v>
      </c>
      <c r="GA32" s="102">
        <v>2498</v>
      </c>
      <c r="GB32" s="102">
        <v>432443</v>
      </c>
      <c r="GC32" s="102">
        <v>0</v>
      </c>
      <c r="GD32" s="427"/>
      <c r="GE32" s="386"/>
      <c r="GF32" s="424">
        <v>98.2</v>
      </c>
      <c r="GG32" s="424">
        <v>29.4</v>
      </c>
      <c r="GH32" s="424">
        <v>94.9</v>
      </c>
      <c r="GI32" s="102">
        <v>450</v>
      </c>
      <c r="GJ32" s="429" t="s">
        <v>646</v>
      </c>
      <c r="GK32" s="429">
        <v>12.91</v>
      </c>
      <c r="GL32" s="87">
        <v>20</v>
      </c>
      <c r="GM32" s="429" t="s">
        <v>646</v>
      </c>
      <c r="GN32" s="430">
        <v>17.91</v>
      </c>
      <c r="GO32" s="430">
        <v>30</v>
      </c>
      <c r="GP32" s="425">
        <v>3.7</v>
      </c>
      <c r="GQ32" s="425">
        <v>25</v>
      </c>
      <c r="GR32" s="425">
        <v>35</v>
      </c>
      <c r="GS32" s="431">
        <v>31.4</v>
      </c>
      <c r="GT32" s="425">
        <v>350</v>
      </c>
      <c r="GU32" s="394"/>
      <c r="GV32" s="100">
        <f t="shared" si="17"/>
        <v>13433</v>
      </c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</row>
    <row r="33" spans="2:230" x14ac:dyDescent="0.15">
      <c r="B33" s="89" t="s">
        <v>55</v>
      </c>
      <c r="C33" s="102">
        <v>75609780</v>
      </c>
      <c r="D33" s="73">
        <f t="shared" si="0"/>
        <v>23101955</v>
      </c>
      <c r="E33" s="102">
        <v>732227</v>
      </c>
      <c r="F33" s="102">
        <v>22369728</v>
      </c>
      <c r="G33" s="73">
        <f t="shared" si="1"/>
        <v>6836456</v>
      </c>
      <c r="H33" s="102">
        <v>1504412</v>
      </c>
      <c r="I33" s="102">
        <v>5332044</v>
      </c>
      <c r="J33" s="102">
        <v>31883472</v>
      </c>
      <c r="K33" s="102">
        <v>15607565</v>
      </c>
      <c r="L33" s="102">
        <v>12760420</v>
      </c>
      <c r="M33" s="102">
        <v>3188373</v>
      </c>
      <c r="N33" s="102">
        <v>4243158</v>
      </c>
      <c r="O33" s="102">
        <v>6928089</v>
      </c>
      <c r="P33" s="102">
        <v>4110779</v>
      </c>
      <c r="Q33" s="102">
        <v>2817310</v>
      </c>
      <c r="R33" s="102">
        <v>747222</v>
      </c>
      <c r="S33" s="74"/>
      <c r="T33" s="73">
        <f t="shared" si="2"/>
        <v>7667315</v>
      </c>
      <c r="U33" s="102">
        <v>239582</v>
      </c>
      <c r="V33" s="102">
        <v>646574</v>
      </c>
      <c r="W33" s="102">
        <v>340600</v>
      </c>
      <c r="X33" s="102">
        <v>6257221</v>
      </c>
      <c r="Y33" s="102">
        <v>0</v>
      </c>
      <c r="Z33" s="102">
        <v>0</v>
      </c>
      <c r="AA33" s="102">
        <v>183338</v>
      </c>
      <c r="AB33" s="102">
        <v>400537</v>
      </c>
      <c r="AC33" s="102">
        <v>22619176</v>
      </c>
      <c r="AD33" s="102">
        <v>21841013</v>
      </c>
      <c r="AE33" s="102">
        <v>778129</v>
      </c>
      <c r="AF33" s="102">
        <v>71129</v>
      </c>
      <c r="AG33" s="102">
        <v>2966147</v>
      </c>
      <c r="AH33" s="73">
        <f t="shared" si="3"/>
        <v>2817652</v>
      </c>
      <c r="AI33" s="102">
        <v>2378764</v>
      </c>
      <c r="AJ33" s="102">
        <v>438888</v>
      </c>
      <c r="AK33" s="102">
        <v>49966774</v>
      </c>
      <c r="AL33" s="73">
        <f t="shared" si="4"/>
        <v>33913789</v>
      </c>
      <c r="AM33" s="102">
        <v>26967462</v>
      </c>
      <c r="AN33" s="102">
        <v>2178283</v>
      </c>
      <c r="AO33" s="74"/>
      <c r="AP33" s="102">
        <v>4768044</v>
      </c>
      <c r="AQ33" s="102">
        <v>5141684</v>
      </c>
      <c r="AR33" s="102">
        <v>0</v>
      </c>
      <c r="AS33" s="102">
        <v>0</v>
      </c>
      <c r="AT33" s="102">
        <v>10186065</v>
      </c>
      <c r="AU33" s="102">
        <v>4797670</v>
      </c>
      <c r="AV33" s="102">
        <v>2683</v>
      </c>
      <c r="AW33" s="102">
        <v>290458</v>
      </c>
      <c r="AX33" s="102">
        <v>5388395</v>
      </c>
      <c r="AY33" s="102">
        <v>324702</v>
      </c>
      <c r="AZ33" s="102">
        <v>481914</v>
      </c>
      <c r="BA33" s="102">
        <v>327916</v>
      </c>
      <c r="BB33" s="102">
        <v>10014</v>
      </c>
      <c r="BC33" s="102">
        <v>2788786</v>
      </c>
      <c r="BD33" s="102">
        <v>2300000</v>
      </c>
      <c r="BE33" s="102">
        <v>0</v>
      </c>
      <c r="BF33" s="102">
        <v>144193</v>
      </c>
      <c r="BG33" s="102">
        <v>0</v>
      </c>
      <c r="BH33" s="102">
        <v>1672940</v>
      </c>
      <c r="BI33" s="102">
        <v>1420234</v>
      </c>
      <c r="BJ33" s="102">
        <v>3117144</v>
      </c>
      <c r="BK33" s="102">
        <v>1617485</v>
      </c>
      <c r="BL33" s="102">
        <v>0</v>
      </c>
      <c r="BM33" s="102">
        <v>97466</v>
      </c>
      <c r="BN33" s="102">
        <v>20658600</v>
      </c>
      <c r="BO33" s="73">
        <f t="shared" si="5"/>
        <v>10491200</v>
      </c>
      <c r="BP33" s="73">
        <f t="shared" si="6"/>
        <v>10167400</v>
      </c>
      <c r="BQ33" s="102">
        <v>0</v>
      </c>
      <c r="BR33" s="102">
        <v>0</v>
      </c>
      <c r="BS33" s="102">
        <v>10167400</v>
      </c>
      <c r="BT33" s="102">
        <v>0</v>
      </c>
      <c r="BU33" s="102">
        <v>201781195</v>
      </c>
      <c r="BV33" s="71"/>
      <c r="BW33" s="102">
        <v>28165959</v>
      </c>
      <c r="BX33" s="102">
        <v>18449336</v>
      </c>
      <c r="BY33" s="102">
        <v>2506775</v>
      </c>
      <c r="BZ33" s="102">
        <v>2633262</v>
      </c>
      <c r="CA33" s="102">
        <v>72045157</v>
      </c>
      <c r="CB33" s="102">
        <v>12509251</v>
      </c>
      <c r="CC33" s="102">
        <v>1191300</v>
      </c>
      <c r="CD33" s="102">
        <v>19781227</v>
      </c>
      <c r="CE33" s="102">
        <v>36164494</v>
      </c>
      <c r="CF33" s="102">
        <v>1804585</v>
      </c>
      <c r="CG33" s="102">
        <v>594300</v>
      </c>
      <c r="CH33" s="102">
        <v>17720692</v>
      </c>
      <c r="CI33" s="102">
        <v>15931582</v>
      </c>
      <c r="CJ33" s="83">
        <f t="shared" si="18"/>
        <v>1789110</v>
      </c>
      <c r="CK33" s="102">
        <v>16337878</v>
      </c>
      <c r="CL33" s="102">
        <v>10889885</v>
      </c>
      <c r="CM33" s="102">
        <v>399954</v>
      </c>
      <c r="CN33" s="102">
        <v>2628951</v>
      </c>
      <c r="CO33" s="102">
        <v>1604826</v>
      </c>
      <c r="CP33" s="102">
        <v>18459494</v>
      </c>
      <c r="CQ33" s="102">
        <v>2586461</v>
      </c>
      <c r="CR33" s="102">
        <v>4813033</v>
      </c>
      <c r="CS33" s="102">
        <v>3428589</v>
      </c>
      <c r="CT33" s="73">
        <f t="shared" si="7"/>
        <v>9141833</v>
      </c>
      <c r="CU33" s="102">
        <v>8227901</v>
      </c>
      <c r="CV33" s="102">
        <v>913932</v>
      </c>
      <c r="CW33" s="73">
        <f t="shared" si="8"/>
        <v>1000000</v>
      </c>
      <c r="CX33" s="102">
        <v>684624</v>
      </c>
      <c r="CY33" s="102">
        <v>315376</v>
      </c>
      <c r="CZ33" s="73">
        <f t="shared" si="9"/>
        <v>7961000</v>
      </c>
      <c r="DA33" s="102">
        <v>7366000</v>
      </c>
      <c r="DB33" s="102">
        <v>595000</v>
      </c>
      <c r="DC33" s="102">
        <v>19402803</v>
      </c>
      <c r="DD33" s="102">
        <v>10557563</v>
      </c>
      <c r="DE33" s="102">
        <v>8221390</v>
      </c>
      <c r="DF33" s="77">
        <v>559074</v>
      </c>
      <c r="DG33" s="78">
        <v>64776</v>
      </c>
      <c r="DH33" s="102">
        <v>0</v>
      </c>
      <c r="DI33" s="102">
        <v>4423242</v>
      </c>
      <c r="DJ33" s="102">
        <v>3797700</v>
      </c>
      <c r="DK33" s="102">
        <v>554500</v>
      </c>
      <c r="DL33" s="102">
        <v>71042</v>
      </c>
      <c r="DM33" s="102">
        <v>2313900</v>
      </c>
      <c r="DN33" s="102">
        <v>2145000</v>
      </c>
      <c r="DO33" s="102">
        <v>0</v>
      </c>
      <c r="DP33" s="102">
        <v>800000</v>
      </c>
      <c r="DQ33" s="102">
        <v>2088832</v>
      </c>
      <c r="DR33" s="102">
        <v>0</v>
      </c>
      <c r="DS33" s="102">
        <v>0</v>
      </c>
      <c r="DT33" s="102">
        <v>17847691</v>
      </c>
      <c r="DU33" s="102">
        <v>0</v>
      </c>
      <c r="DV33" s="73">
        <f t="shared" si="10"/>
        <v>0</v>
      </c>
      <c r="DW33" s="102">
        <v>0</v>
      </c>
      <c r="DX33" s="102">
        <v>5197851</v>
      </c>
      <c r="DY33" s="102">
        <v>0</v>
      </c>
      <c r="DZ33" s="102">
        <v>7187131</v>
      </c>
      <c r="EA33" s="74">
        <v>0</v>
      </c>
      <c r="EB33" s="102">
        <v>5374848</v>
      </c>
      <c r="EC33" s="102">
        <v>0</v>
      </c>
      <c r="ED33" s="102">
        <v>200410474</v>
      </c>
      <c r="EE33" s="71"/>
      <c r="EF33" s="102">
        <v>1370721</v>
      </c>
      <c r="EG33" s="102">
        <v>201283</v>
      </c>
      <c r="EH33" s="102">
        <v>1169438</v>
      </c>
      <c r="EI33" s="102">
        <v>-250796</v>
      </c>
      <c r="EJ33" s="102">
        <v>1247178</v>
      </c>
      <c r="EK33" s="71"/>
      <c r="EL33" s="102"/>
      <c r="EM33" s="102">
        <v>498814</v>
      </c>
      <c r="EN33" s="102">
        <v>2300412</v>
      </c>
      <c r="EO33" s="102">
        <v>133538</v>
      </c>
      <c r="EP33" s="73">
        <f t="shared" si="11"/>
        <v>3144845</v>
      </c>
      <c r="EQ33" s="102">
        <v>107115159</v>
      </c>
      <c r="ER33" s="71">
        <v>-15675066</v>
      </c>
      <c r="ES33" s="102">
        <v>26394308</v>
      </c>
      <c r="ET33" s="102">
        <v>16955068</v>
      </c>
      <c r="EU33" s="102">
        <v>20736145</v>
      </c>
      <c r="EV33" s="102">
        <v>17720692</v>
      </c>
      <c r="EW33" s="73">
        <f t="shared" si="12"/>
        <v>3370931</v>
      </c>
      <c r="EX33" s="102">
        <v>3370931</v>
      </c>
      <c r="EY33" s="102">
        <v>106937</v>
      </c>
      <c r="EZ33" s="102">
        <v>3253585</v>
      </c>
      <c r="FA33" s="102">
        <v>0</v>
      </c>
      <c r="FB33" s="102">
        <v>0</v>
      </c>
      <c r="FC33" s="102">
        <v>13544778</v>
      </c>
      <c r="FD33" s="102">
        <v>17657085</v>
      </c>
      <c r="FE33" s="102">
        <v>2586461</v>
      </c>
      <c r="FF33" s="102">
        <v>14378255</v>
      </c>
      <c r="FG33" s="73">
        <f t="shared" si="13"/>
        <v>7617310</v>
      </c>
      <c r="FH33" s="102">
        <v>121419504</v>
      </c>
      <c r="FI33" s="379">
        <f t="shared" si="14"/>
        <v>1.1000000000000001</v>
      </c>
      <c r="FJ33" s="102">
        <v>97483135</v>
      </c>
      <c r="FK33" s="102">
        <v>10167416</v>
      </c>
      <c r="FL33" s="102">
        <v>58211153</v>
      </c>
      <c r="FM33" s="102">
        <v>79716873</v>
      </c>
      <c r="FN33" s="428">
        <v>0.72499999999999998</v>
      </c>
      <c r="FO33" s="424">
        <v>95.3</v>
      </c>
      <c r="FP33" s="425">
        <v>23.9</v>
      </c>
      <c r="FQ33" s="424">
        <v>18.8</v>
      </c>
      <c r="FR33" s="424">
        <v>16.100000000000001</v>
      </c>
      <c r="FS33" s="425">
        <v>11.1</v>
      </c>
      <c r="FT33" s="424">
        <v>14</v>
      </c>
      <c r="FU33" s="425">
        <v>10.1</v>
      </c>
      <c r="FV33" s="384">
        <f t="shared" si="15"/>
        <v>5.3</v>
      </c>
      <c r="FW33" s="102">
        <v>176988062</v>
      </c>
      <c r="FX33" s="384">
        <f t="shared" si="16"/>
        <v>164.4</v>
      </c>
      <c r="FY33" s="102">
        <v>22513560</v>
      </c>
      <c r="FZ33" s="102">
        <v>16133868</v>
      </c>
      <c r="GA33" s="102">
        <v>2669500</v>
      </c>
      <c r="GB33" s="102">
        <v>3710192</v>
      </c>
      <c r="GC33" s="102">
        <v>0</v>
      </c>
      <c r="GD33" s="427"/>
      <c r="GE33" s="386"/>
      <c r="GF33" s="424">
        <v>98.7</v>
      </c>
      <c r="GG33" s="424">
        <v>42.4</v>
      </c>
      <c r="GH33" s="424">
        <v>96.3</v>
      </c>
      <c r="GI33" s="102">
        <v>2690</v>
      </c>
      <c r="GJ33" s="429" t="s">
        <v>646</v>
      </c>
      <c r="GK33" s="429">
        <v>11.25</v>
      </c>
      <c r="GL33" s="87">
        <v>20</v>
      </c>
      <c r="GM33" s="429" t="s">
        <v>646</v>
      </c>
      <c r="GN33" s="430">
        <v>16.25</v>
      </c>
      <c r="GO33" s="430">
        <v>30</v>
      </c>
      <c r="GP33" s="425">
        <v>5.3</v>
      </c>
      <c r="GQ33" s="425">
        <v>25</v>
      </c>
      <c r="GR33" s="425">
        <v>35</v>
      </c>
      <c r="GS33" s="431">
        <v>5.0999999999999996</v>
      </c>
      <c r="GT33" s="425">
        <v>350</v>
      </c>
      <c r="GU33" s="394"/>
      <c r="GV33" s="100">
        <f t="shared" si="17"/>
        <v>107651</v>
      </c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</row>
    <row r="34" spans="2:230" x14ac:dyDescent="0.15">
      <c r="B34" s="89" t="s">
        <v>57</v>
      </c>
      <c r="C34" s="102">
        <v>8972815</v>
      </c>
      <c r="D34" s="73">
        <f t="shared" si="0"/>
        <v>2308296</v>
      </c>
      <c r="E34" s="102">
        <v>87791</v>
      </c>
      <c r="F34" s="102">
        <v>2220505</v>
      </c>
      <c r="G34" s="73">
        <f t="shared" si="1"/>
        <v>562513</v>
      </c>
      <c r="H34" s="102">
        <v>189377</v>
      </c>
      <c r="I34" s="102">
        <v>373136</v>
      </c>
      <c r="J34" s="102">
        <v>4830075</v>
      </c>
      <c r="K34" s="102">
        <v>1912926</v>
      </c>
      <c r="L34" s="102">
        <v>1723068</v>
      </c>
      <c r="M34" s="102">
        <v>1061435</v>
      </c>
      <c r="N34" s="102">
        <v>444406</v>
      </c>
      <c r="O34" s="102">
        <v>713304</v>
      </c>
      <c r="P34" s="102">
        <v>371867</v>
      </c>
      <c r="Q34" s="102">
        <v>341437</v>
      </c>
      <c r="R34" s="102">
        <v>140841</v>
      </c>
      <c r="S34" s="74"/>
      <c r="T34" s="73">
        <f t="shared" si="2"/>
        <v>927892</v>
      </c>
      <c r="U34" s="102">
        <v>24445</v>
      </c>
      <c r="V34" s="102">
        <v>65839</v>
      </c>
      <c r="W34" s="102">
        <v>34637</v>
      </c>
      <c r="X34" s="102">
        <v>729529</v>
      </c>
      <c r="Y34" s="102">
        <v>44956</v>
      </c>
      <c r="Z34" s="102">
        <v>0</v>
      </c>
      <c r="AA34" s="102">
        <v>28486</v>
      </c>
      <c r="AB34" s="102">
        <v>35880</v>
      </c>
      <c r="AC34" s="102">
        <v>2776209</v>
      </c>
      <c r="AD34" s="102">
        <v>2366808</v>
      </c>
      <c r="AE34" s="102">
        <v>409400</v>
      </c>
      <c r="AF34" s="102">
        <v>10345</v>
      </c>
      <c r="AG34" s="102">
        <v>191796</v>
      </c>
      <c r="AH34" s="73">
        <f t="shared" si="3"/>
        <v>389174</v>
      </c>
      <c r="AI34" s="102">
        <v>249369</v>
      </c>
      <c r="AJ34" s="102">
        <v>139805</v>
      </c>
      <c r="AK34" s="102">
        <v>3911410</v>
      </c>
      <c r="AL34" s="73">
        <f t="shared" si="4"/>
        <v>2229374</v>
      </c>
      <c r="AM34" s="102">
        <v>1556618</v>
      </c>
      <c r="AN34" s="102">
        <v>154286</v>
      </c>
      <c r="AO34" s="74"/>
      <c r="AP34" s="102">
        <v>518470</v>
      </c>
      <c r="AQ34" s="102">
        <v>94483</v>
      </c>
      <c r="AR34" s="102">
        <v>0</v>
      </c>
      <c r="AS34" s="102">
        <v>0</v>
      </c>
      <c r="AT34" s="102">
        <v>1647972</v>
      </c>
      <c r="AU34" s="102">
        <v>861871</v>
      </c>
      <c r="AV34" s="102">
        <v>77222</v>
      </c>
      <c r="AW34" s="102">
        <v>8200</v>
      </c>
      <c r="AX34" s="102">
        <v>786101</v>
      </c>
      <c r="AY34" s="102">
        <v>4243</v>
      </c>
      <c r="AZ34" s="102">
        <v>15864</v>
      </c>
      <c r="BA34" s="102">
        <v>8899</v>
      </c>
      <c r="BB34" s="102">
        <v>5749</v>
      </c>
      <c r="BC34" s="102">
        <v>256249</v>
      </c>
      <c r="BD34" s="102">
        <v>0</v>
      </c>
      <c r="BE34" s="102">
        <v>0</v>
      </c>
      <c r="BF34" s="102">
        <v>256000</v>
      </c>
      <c r="BG34" s="102">
        <v>0</v>
      </c>
      <c r="BH34" s="102">
        <v>503882</v>
      </c>
      <c r="BI34" s="102">
        <v>454801</v>
      </c>
      <c r="BJ34" s="102">
        <v>180840</v>
      </c>
      <c r="BK34" s="102">
        <v>50</v>
      </c>
      <c r="BL34" s="102">
        <v>0</v>
      </c>
      <c r="BM34" s="102">
        <v>0</v>
      </c>
      <c r="BN34" s="102">
        <v>1610239</v>
      </c>
      <c r="BO34" s="73">
        <f t="shared" si="5"/>
        <v>435000</v>
      </c>
      <c r="BP34" s="73">
        <f t="shared" si="6"/>
        <v>1175239</v>
      </c>
      <c r="BQ34" s="102">
        <v>0</v>
      </c>
      <c r="BR34" s="102">
        <v>0</v>
      </c>
      <c r="BS34" s="102">
        <v>1175239</v>
      </c>
      <c r="BT34" s="102">
        <v>0</v>
      </c>
      <c r="BU34" s="102">
        <v>21577157</v>
      </c>
      <c r="BV34" s="71"/>
      <c r="BW34" s="102">
        <v>3678957</v>
      </c>
      <c r="BX34" s="102">
        <v>2598872</v>
      </c>
      <c r="BY34" s="102">
        <v>232831</v>
      </c>
      <c r="BZ34" s="102">
        <v>56874</v>
      </c>
      <c r="CA34" s="102">
        <v>5645158</v>
      </c>
      <c r="CB34" s="102">
        <v>1356627</v>
      </c>
      <c r="CC34" s="102">
        <v>128348</v>
      </c>
      <c r="CD34" s="102">
        <v>2105400</v>
      </c>
      <c r="CE34" s="102">
        <v>1984376</v>
      </c>
      <c r="CF34" s="102">
        <v>0</v>
      </c>
      <c r="CG34" s="102">
        <v>70367</v>
      </c>
      <c r="CH34" s="102">
        <v>3140065</v>
      </c>
      <c r="CI34" s="102">
        <v>2665351</v>
      </c>
      <c r="CJ34" s="83">
        <f t="shared" si="18"/>
        <v>474714</v>
      </c>
      <c r="CK34" s="102">
        <v>2713573</v>
      </c>
      <c r="CL34" s="102">
        <v>1830245</v>
      </c>
      <c r="CM34" s="102">
        <v>167311</v>
      </c>
      <c r="CN34" s="102">
        <v>417625</v>
      </c>
      <c r="CO34" s="102">
        <v>141208</v>
      </c>
      <c r="CP34" s="102">
        <v>2299524</v>
      </c>
      <c r="CQ34" s="102">
        <v>1205174</v>
      </c>
      <c r="CR34" s="102">
        <v>414987</v>
      </c>
      <c r="CS34" s="102">
        <v>176792</v>
      </c>
      <c r="CT34" s="73">
        <f t="shared" si="7"/>
        <v>13224</v>
      </c>
      <c r="CU34" s="102">
        <v>3584</v>
      </c>
      <c r="CV34" s="102">
        <v>9640</v>
      </c>
      <c r="CW34" s="73">
        <f t="shared" si="8"/>
        <v>0</v>
      </c>
      <c r="CX34" s="102">
        <v>0</v>
      </c>
      <c r="CY34" s="102">
        <v>0</v>
      </c>
      <c r="CZ34" s="73">
        <f t="shared" si="9"/>
        <v>0</v>
      </c>
      <c r="DA34" s="102">
        <v>0</v>
      </c>
      <c r="DB34" s="102">
        <v>0</v>
      </c>
      <c r="DC34" s="102">
        <v>959465</v>
      </c>
      <c r="DD34" s="102">
        <v>303422</v>
      </c>
      <c r="DE34" s="102">
        <v>614961</v>
      </c>
      <c r="DF34" s="77">
        <v>41082</v>
      </c>
      <c r="DG34" s="78">
        <v>0</v>
      </c>
      <c r="DH34" s="102">
        <v>22226</v>
      </c>
      <c r="DI34" s="102">
        <v>15471</v>
      </c>
      <c r="DJ34" s="102">
        <v>0</v>
      </c>
      <c r="DK34" s="102">
        <v>2146</v>
      </c>
      <c r="DL34" s="102">
        <v>13325</v>
      </c>
      <c r="DM34" s="102">
        <v>1567</v>
      </c>
      <c r="DN34" s="102">
        <v>1567</v>
      </c>
      <c r="DO34" s="102">
        <v>0</v>
      </c>
      <c r="DP34" s="102">
        <v>0</v>
      </c>
      <c r="DQ34" s="102">
        <v>0</v>
      </c>
      <c r="DR34" s="102">
        <v>0</v>
      </c>
      <c r="DS34" s="102">
        <v>0</v>
      </c>
      <c r="DT34" s="102">
        <v>2854354</v>
      </c>
      <c r="DU34" s="102">
        <v>740129</v>
      </c>
      <c r="DV34" s="73">
        <f t="shared" si="10"/>
        <v>0</v>
      </c>
      <c r="DW34" s="102">
        <v>0</v>
      </c>
      <c r="DX34" s="102">
        <v>771764</v>
      </c>
      <c r="DY34" s="102">
        <v>0</v>
      </c>
      <c r="DZ34" s="102">
        <v>657274</v>
      </c>
      <c r="EA34" s="74">
        <v>0</v>
      </c>
      <c r="EB34" s="102">
        <v>685187</v>
      </c>
      <c r="EC34" s="102">
        <v>0</v>
      </c>
      <c r="ED34" s="102">
        <v>21471568</v>
      </c>
      <c r="EE34" s="71"/>
      <c r="EF34" s="102">
        <v>105589</v>
      </c>
      <c r="EG34" s="102">
        <v>13811</v>
      </c>
      <c r="EH34" s="102">
        <v>91778</v>
      </c>
      <c r="EI34" s="102">
        <v>-363023</v>
      </c>
      <c r="EJ34" s="102">
        <v>-90908</v>
      </c>
      <c r="EK34" s="71"/>
      <c r="EL34" s="102"/>
      <c r="EM34" s="102">
        <v>63953</v>
      </c>
      <c r="EN34" s="102">
        <v>94000</v>
      </c>
      <c r="EO34" s="102">
        <v>14180</v>
      </c>
      <c r="EP34" s="73">
        <f t="shared" si="11"/>
        <v>647169</v>
      </c>
      <c r="EQ34" s="102">
        <v>12863982</v>
      </c>
      <c r="ER34" s="71">
        <v>-1920243</v>
      </c>
      <c r="ES34" s="102">
        <v>3335948</v>
      </c>
      <c r="ET34" s="102">
        <v>2275714</v>
      </c>
      <c r="EU34" s="102">
        <v>1478031</v>
      </c>
      <c r="EV34" s="102">
        <v>3140065</v>
      </c>
      <c r="EW34" s="73">
        <f t="shared" si="12"/>
        <v>237008</v>
      </c>
      <c r="EX34" s="102">
        <v>235882</v>
      </c>
      <c r="EY34" s="102">
        <v>2664</v>
      </c>
      <c r="EZ34" s="102">
        <v>228186</v>
      </c>
      <c r="FA34" s="102">
        <v>1126</v>
      </c>
      <c r="FB34" s="102">
        <v>0</v>
      </c>
      <c r="FC34" s="102">
        <v>1839933</v>
      </c>
      <c r="FD34" s="102">
        <v>2103921</v>
      </c>
      <c r="FE34" s="102">
        <v>1203137</v>
      </c>
      <c r="FF34" s="102">
        <v>2407842</v>
      </c>
      <c r="FG34" s="73">
        <f t="shared" si="13"/>
        <v>135888</v>
      </c>
      <c r="FH34" s="102">
        <v>14678636</v>
      </c>
      <c r="FI34" s="379">
        <f t="shared" si="14"/>
        <v>0.7</v>
      </c>
      <c r="FJ34" s="102">
        <v>11536741</v>
      </c>
      <c r="FK34" s="102">
        <v>1175239</v>
      </c>
      <c r="FL34" s="102">
        <v>7086322</v>
      </c>
      <c r="FM34" s="102">
        <v>9453130</v>
      </c>
      <c r="FN34" s="428">
        <v>0.74299999999999999</v>
      </c>
      <c r="FO34" s="424">
        <v>99.2</v>
      </c>
      <c r="FP34" s="425">
        <v>25.4</v>
      </c>
      <c r="FQ34" s="424">
        <v>11.4</v>
      </c>
      <c r="FR34" s="424">
        <v>22.1</v>
      </c>
      <c r="FS34" s="425">
        <v>12</v>
      </c>
      <c r="FT34" s="424">
        <v>11.5</v>
      </c>
      <c r="FU34" s="425">
        <v>15.9</v>
      </c>
      <c r="FV34" s="384">
        <f t="shared" si="15"/>
        <v>10.199999999999999</v>
      </c>
      <c r="FW34" s="102">
        <v>30562936</v>
      </c>
      <c r="FX34" s="384">
        <f t="shared" si="16"/>
        <v>240.4</v>
      </c>
      <c r="FY34" s="102">
        <v>3175051</v>
      </c>
      <c r="FZ34" s="102">
        <v>0</v>
      </c>
      <c r="GA34" s="102">
        <v>1431705</v>
      </c>
      <c r="GB34" s="102">
        <v>1743346</v>
      </c>
      <c r="GC34" s="102">
        <v>2917000</v>
      </c>
      <c r="GD34" s="427"/>
      <c r="GE34" s="386"/>
      <c r="GF34" s="424">
        <v>98.2</v>
      </c>
      <c r="GG34" s="424">
        <v>17.5</v>
      </c>
      <c r="GH34" s="424">
        <v>93.6</v>
      </c>
      <c r="GI34" s="102">
        <v>378</v>
      </c>
      <c r="GJ34" s="429" t="s">
        <v>646</v>
      </c>
      <c r="GK34" s="429">
        <v>12.98</v>
      </c>
      <c r="GL34" s="87">
        <v>20</v>
      </c>
      <c r="GM34" s="429" t="s">
        <v>646</v>
      </c>
      <c r="GN34" s="430">
        <v>17.98</v>
      </c>
      <c r="GO34" s="430">
        <v>30</v>
      </c>
      <c r="GP34" s="425">
        <v>10.199999999999999</v>
      </c>
      <c r="GQ34" s="425">
        <v>25</v>
      </c>
      <c r="GR34" s="425">
        <v>35</v>
      </c>
      <c r="GS34" s="431">
        <v>135.1</v>
      </c>
      <c r="GT34" s="425">
        <v>350</v>
      </c>
      <c r="GU34" s="394"/>
      <c r="GV34" s="100">
        <f t="shared" si="17"/>
        <v>12712</v>
      </c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</row>
    <row r="35" spans="2:230" x14ac:dyDescent="0.15">
      <c r="B35" s="89" t="s">
        <v>59</v>
      </c>
      <c r="C35" s="102">
        <v>6511511</v>
      </c>
      <c r="D35" s="73">
        <f t="shared" si="0"/>
        <v>2677600</v>
      </c>
      <c r="E35" s="102">
        <v>84434</v>
      </c>
      <c r="F35" s="102">
        <v>2593166</v>
      </c>
      <c r="G35" s="73">
        <f t="shared" si="1"/>
        <v>252865</v>
      </c>
      <c r="H35" s="102">
        <v>109598</v>
      </c>
      <c r="I35" s="102">
        <v>143267</v>
      </c>
      <c r="J35" s="102">
        <v>2601171</v>
      </c>
      <c r="K35" s="102">
        <v>1167582</v>
      </c>
      <c r="L35" s="102">
        <v>1225081</v>
      </c>
      <c r="M35" s="102">
        <v>194333</v>
      </c>
      <c r="N35" s="102">
        <v>356847</v>
      </c>
      <c r="O35" s="102">
        <v>561597</v>
      </c>
      <c r="P35" s="102">
        <v>311776</v>
      </c>
      <c r="Q35" s="102">
        <v>249821</v>
      </c>
      <c r="R35" s="102">
        <v>95888</v>
      </c>
      <c r="S35" s="74"/>
      <c r="T35" s="73">
        <f t="shared" si="2"/>
        <v>763752</v>
      </c>
      <c r="U35" s="102">
        <v>28524</v>
      </c>
      <c r="V35" s="102">
        <v>76961</v>
      </c>
      <c r="W35" s="102">
        <v>40534</v>
      </c>
      <c r="X35" s="102">
        <v>568491</v>
      </c>
      <c r="Y35" s="102">
        <v>25713</v>
      </c>
      <c r="Z35" s="102">
        <v>0</v>
      </c>
      <c r="AA35" s="102">
        <v>23529</v>
      </c>
      <c r="AB35" s="102">
        <v>40622</v>
      </c>
      <c r="AC35" s="102">
        <v>3893925</v>
      </c>
      <c r="AD35" s="102">
        <v>3525891</v>
      </c>
      <c r="AE35" s="102">
        <v>368033</v>
      </c>
      <c r="AF35" s="102">
        <v>7453</v>
      </c>
      <c r="AG35" s="102">
        <v>267447</v>
      </c>
      <c r="AH35" s="73">
        <f t="shared" si="3"/>
        <v>227845</v>
      </c>
      <c r="AI35" s="102">
        <v>164892</v>
      </c>
      <c r="AJ35" s="102">
        <v>62953</v>
      </c>
      <c r="AK35" s="102">
        <v>3646090</v>
      </c>
      <c r="AL35" s="73">
        <f t="shared" si="4"/>
        <v>1839988</v>
      </c>
      <c r="AM35" s="102">
        <v>1171211</v>
      </c>
      <c r="AN35" s="102">
        <v>216664</v>
      </c>
      <c r="AO35" s="74"/>
      <c r="AP35" s="102">
        <v>452113</v>
      </c>
      <c r="AQ35" s="102">
        <v>219239</v>
      </c>
      <c r="AR35" s="102">
        <v>0</v>
      </c>
      <c r="AS35" s="102">
        <v>0</v>
      </c>
      <c r="AT35" s="102">
        <v>1508610</v>
      </c>
      <c r="AU35" s="102">
        <v>777411</v>
      </c>
      <c r="AV35" s="102">
        <v>107976</v>
      </c>
      <c r="AW35" s="102">
        <v>4865</v>
      </c>
      <c r="AX35" s="102">
        <v>731199</v>
      </c>
      <c r="AY35" s="102">
        <v>156064</v>
      </c>
      <c r="AZ35" s="102">
        <v>25726</v>
      </c>
      <c r="BA35" s="102">
        <v>3901</v>
      </c>
      <c r="BB35" s="102">
        <v>2399</v>
      </c>
      <c r="BC35" s="102">
        <v>142716</v>
      </c>
      <c r="BD35" s="102">
        <v>140000</v>
      </c>
      <c r="BE35" s="102">
        <v>0</v>
      </c>
      <c r="BF35" s="102">
        <v>2716</v>
      </c>
      <c r="BG35" s="102">
        <v>0</v>
      </c>
      <c r="BH35" s="102">
        <v>638275</v>
      </c>
      <c r="BI35" s="102">
        <v>536953</v>
      </c>
      <c r="BJ35" s="102">
        <v>183040</v>
      </c>
      <c r="BK35" s="102">
        <v>0</v>
      </c>
      <c r="BL35" s="102">
        <v>0</v>
      </c>
      <c r="BM35" s="102">
        <v>0</v>
      </c>
      <c r="BN35" s="102">
        <v>1575500</v>
      </c>
      <c r="BO35" s="73">
        <f t="shared" si="5"/>
        <v>595500</v>
      </c>
      <c r="BP35" s="73">
        <f t="shared" si="6"/>
        <v>980000</v>
      </c>
      <c r="BQ35" s="102">
        <v>0</v>
      </c>
      <c r="BR35" s="102">
        <v>0</v>
      </c>
      <c r="BS35" s="102">
        <v>980000</v>
      </c>
      <c r="BT35" s="102">
        <v>0</v>
      </c>
      <c r="BU35" s="102">
        <v>19530799</v>
      </c>
      <c r="BV35" s="71"/>
      <c r="BW35" s="102">
        <v>3130159</v>
      </c>
      <c r="BX35" s="102">
        <v>1800191</v>
      </c>
      <c r="BY35" s="102">
        <v>486869</v>
      </c>
      <c r="BZ35" s="102">
        <v>245415</v>
      </c>
      <c r="CA35" s="102">
        <v>5354469</v>
      </c>
      <c r="CB35" s="102">
        <v>1203785</v>
      </c>
      <c r="CC35" s="102">
        <v>91267</v>
      </c>
      <c r="CD35" s="102">
        <v>2398228</v>
      </c>
      <c r="CE35" s="102">
        <v>1565454</v>
      </c>
      <c r="CF35" s="102">
        <v>2043</v>
      </c>
      <c r="CG35" s="102">
        <v>93593</v>
      </c>
      <c r="CH35" s="102">
        <v>2154671</v>
      </c>
      <c r="CI35" s="102">
        <v>1896562</v>
      </c>
      <c r="CJ35" s="83">
        <f t="shared" si="18"/>
        <v>258109</v>
      </c>
      <c r="CK35" s="102">
        <v>2087432</v>
      </c>
      <c r="CL35" s="102">
        <v>1464495</v>
      </c>
      <c r="CM35" s="102">
        <v>73357</v>
      </c>
      <c r="CN35" s="102">
        <v>247617</v>
      </c>
      <c r="CO35" s="102">
        <v>62491</v>
      </c>
      <c r="CP35" s="102">
        <v>2729514</v>
      </c>
      <c r="CQ35" s="102">
        <v>994766</v>
      </c>
      <c r="CR35" s="102">
        <v>372011</v>
      </c>
      <c r="CS35" s="102">
        <v>209269</v>
      </c>
      <c r="CT35" s="73">
        <f t="shared" si="7"/>
        <v>814367</v>
      </c>
      <c r="CU35" s="102">
        <v>557323</v>
      </c>
      <c r="CV35" s="102">
        <v>257044</v>
      </c>
      <c r="CW35" s="73">
        <f t="shared" si="8"/>
        <v>0</v>
      </c>
      <c r="CX35" s="102">
        <v>0</v>
      </c>
      <c r="CY35" s="102">
        <v>0</v>
      </c>
      <c r="CZ35" s="73">
        <f t="shared" si="9"/>
        <v>800637</v>
      </c>
      <c r="DA35" s="102">
        <v>545195</v>
      </c>
      <c r="DB35" s="102">
        <v>255442</v>
      </c>
      <c r="DC35" s="102">
        <v>1470596</v>
      </c>
      <c r="DD35" s="102">
        <v>1082123</v>
      </c>
      <c r="DE35" s="102">
        <v>374432</v>
      </c>
      <c r="DF35" s="77">
        <v>14041</v>
      </c>
      <c r="DG35" s="78">
        <v>0</v>
      </c>
      <c r="DH35" s="102">
        <v>0</v>
      </c>
      <c r="DI35" s="102">
        <v>391272</v>
      </c>
      <c r="DJ35" s="102">
        <v>269436</v>
      </c>
      <c r="DK35" s="102">
        <v>54</v>
      </c>
      <c r="DL35" s="102">
        <v>121782</v>
      </c>
      <c r="DM35" s="102">
        <v>0</v>
      </c>
      <c r="DN35" s="102">
        <v>0</v>
      </c>
      <c r="DO35" s="102">
        <v>0</v>
      </c>
      <c r="DP35" s="102">
        <v>0</v>
      </c>
      <c r="DQ35" s="102">
        <v>0</v>
      </c>
      <c r="DR35" s="102">
        <v>0</v>
      </c>
      <c r="DS35" s="102">
        <v>0</v>
      </c>
      <c r="DT35" s="102">
        <v>1628880</v>
      </c>
      <c r="DU35" s="102">
        <v>0</v>
      </c>
      <c r="DV35" s="73">
        <f t="shared" si="10"/>
        <v>0</v>
      </c>
      <c r="DW35" s="102">
        <v>0</v>
      </c>
      <c r="DX35" s="102">
        <v>509062</v>
      </c>
      <c r="DY35" s="102">
        <v>0</v>
      </c>
      <c r="DZ35" s="102">
        <v>567009</v>
      </c>
      <c r="EA35" s="74">
        <v>0</v>
      </c>
      <c r="EB35" s="102">
        <v>552809</v>
      </c>
      <c r="EC35" s="102">
        <v>0</v>
      </c>
      <c r="ED35" s="102">
        <v>19009484</v>
      </c>
      <c r="EE35" s="71"/>
      <c r="EF35" s="102">
        <v>521315</v>
      </c>
      <c r="EG35" s="102">
        <v>95445</v>
      </c>
      <c r="EH35" s="102">
        <v>425870</v>
      </c>
      <c r="EI35" s="102">
        <v>-111083</v>
      </c>
      <c r="EJ35" s="102">
        <v>18353</v>
      </c>
      <c r="EK35" s="71"/>
      <c r="EL35" s="102"/>
      <c r="EM35" s="102">
        <v>56569</v>
      </c>
      <c r="EN35" s="102">
        <v>140000</v>
      </c>
      <c r="EO35" s="102">
        <v>23457</v>
      </c>
      <c r="EP35" s="73">
        <f t="shared" si="11"/>
        <v>875928</v>
      </c>
      <c r="EQ35" s="102">
        <v>11313151</v>
      </c>
      <c r="ER35" s="71">
        <v>-2011932</v>
      </c>
      <c r="ES35" s="102">
        <v>2769487</v>
      </c>
      <c r="ET35" s="102">
        <v>1568522</v>
      </c>
      <c r="EU35" s="102">
        <v>1495795</v>
      </c>
      <c r="EV35" s="102">
        <v>2154671</v>
      </c>
      <c r="EW35" s="73">
        <f t="shared" si="12"/>
        <v>265215</v>
      </c>
      <c r="EX35" s="102">
        <v>265215</v>
      </c>
      <c r="EY35" s="102">
        <v>71596</v>
      </c>
      <c r="EZ35" s="102">
        <v>191878</v>
      </c>
      <c r="FA35" s="102">
        <v>0</v>
      </c>
      <c r="FB35" s="102">
        <v>0</v>
      </c>
      <c r="FC35" s="102">
        <v>1753582</v>
      </c>
      <c r="FD35" s="102">
        <v>2588681</v>
      </c>
      <c r="FE35" s="102">
        <v>994201</v>
      </c>
      <c r="FF35" s="102">
        <v>1326979</v>
      </c>
      <c r="FG35" s="73">
        <f t="shared" si="13"/>
        <v>449358</v>
      </c>
      <c r="FH35" s="102">
        <v>12803768</v>
      </c>
      <c r="FI35" s="379">
        <f t="shared" si="14"/>
        <v>3.8</v>
      </c>
      <c r="FJ35" s="102">
        <v>10295901</v>
      </c>
      <c r="FK35" s="102">
        <v>980322</v>
      </c>
      <c r="FL35" s="102">
        <v>5257009</v>
      </c>
      <c r="FM35" s="102">
        <v>8782900</v>
      </c>
      <c r="FN35" s="428">
        <v>0.58599999999999997</v>
      </c>
      <c r="FO35" s="424">
        <v>98.5</v>
      </c>
      <c r="FP35" s="425">
        <v>23.6</v>
      </c>
      <c r="FQ35" s="424">
        <v>12.9</v>
      </c>
      <c r="FR35" s="424">
        <v>18.899999999999999</v>
      </c>
      <c r="FS35" s="425">
        <v>14.1</v>
      </c>
      <c r="FT35" s="424">
        <v>18.5</v>
      </c>
      <c r="FU35" s="425">
        <v>10.1</v>
      </c>
      <c r="FV35" s="384">
        <f t="shared" si="15"/>
        <v>9.4</v>
      </c>
      <c r="FW35" s="102">
        <v>17015443</v>
      </c>
      <c r="FX35" s="384">
        <f t="shared" si="16"/>
        <v>150.9</v>
      </c>
      <c r="FY35" s="102">
        <v>3217932</v>
      </c>
      <c r="FZ35" s="102">
        <v>1442449</v>
      </c>
      <c r="GA35" s="102">
        <v>51150</v>
      </c>
      <c r="GB35" s="102">
        <v>1724333</v>
      </c>
      <c r="GC35" s="102">
        <v>74800</v>
      </c>
      <c r="GD35" s="427">
        <v>72</v>
      </c>
      <c r="GE35" s="386">
        <f>IF(GD35=0,"-",ROUND(GD35/(GV35)*100,1))</f>
        <v>0.6</v>
      </c>
      <c r="GF35" s="424">
        <v>98.7</v>
      </c>
      <c r="GG35" s="424">
        <v>27.7</v>
      </c>
      <c r="GH35" s="424">
        <v>95.1</v>
      </c>
      <c r="GI35" s="102">
        <v>294</v>
      </c>
      <c r="GJ35" s="429" t="s">
        <v>646</v>
      </c>
      <c r="GK35" s="429">
        <v>13.14</v>
      </c>
      <c r="GL35" s="87">
        <v>20</v>
      </c>
      <c r="GM35" s="429" t="s">
        <v>646</v>
      </c>
      <c r="GN35" s="430">
        <v>18.14</v>
      </c>
      <c r="GO35" s="430">
        <v>30</v>
      </c>
      <c r="GP35" s="425">
        <v>9.4</v>
      </c>
      <c r="GQ35" s="425">
        <v>25</v>
      </c>
      <c r="GR35" s="425">
        <v>35</v>
      </c>
      <c r="GS35" s="431">
        <v>8</v>
      </c>
      <c r="GT35" s="425">
        <v>350</v>
      </c>
      <c r="GU35" s="394"/>
      <c r="GV35" s="100">
        <f t="shared" si="17"/>
        <v>11276</v>
      </c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</row>
    <row r="36" spans="2:230" x14ac:dyDescent="0.15">
      <c r="B36" s="89" t="s">
        <v>61</v>
      </c>
      <c r="C36" s="102">
        <v>9196648</v>
      </c>
      <c r="D36" s="73">
        <f t="shared" si="0"/>
        <v>4215168</v>
      </c>
      <c r="E36" s="102">
        <v>121708</v>
      </c>
      <c r="F36" s="102">
        <v>4093460</v>
      </c>
      <c r="G36" s="73">
        <f t="shared" si="1"/>
        <v>365244</v>
      </c>
      <c r="H36" s="102">
        <v>122907</v>
      </c>
      <c r="I36" s="102">
        <v>242337</v>
      </c>
      <c r="J36" s="102">
        <v>3404433</v>
      </c>
      <c r="K36" s="102">
        <v>1458613</v>
      </c>
      <c r="L36" s="102">
        <v>1514575</v>
      </c>
      <c r="M36" s="102">
        <v>379165</v>
      </c>
      <c r="N36" s="102">
        <v>380522</v>
      </c>
      <c r="O36" s="102">
        <v>745019</v>
      </c>
      <c r="P36" s="102">
        <v>424838</v>
      </c>
      <c r="Q36" s="102">
        <v>320181</v>
      </c>
      <c r="R36" s="102">
        <v>129652</v>
      </c>
      <c r="S36" s="74"/>
      <c r="T36" s="73">
        <f t="shared" si="2"/>
        <v>1113295</v>
      </c>
      <c r="U36" s="102">
        <v>45795</v>
      </c>
      <c r="V36" s="102">
        <v>123708</v>
      </c>
      <c r="W36" s="102">
        <v>65206</v>
      </c>
      <c r="X36" s="102">
        <v>770950</v>
      </c>
      <c r="Y36" s="102">
        <v>75828</v>
      </c>
      <c r="Z36" s="102">
        <v>0</v>
      </c>
      <c r="AA36" s="102">
        <v>31808</v>
      </c>
      <c r="AB36" s="102">
        <v>60893</v>
      </c>
      <c r="AC36" s="102">
        <v>3396509</v>
      </c>
      <c r="AD36" s="102">
        <v>3194306</v>
      </c>
      <c r="AE36" s="102">
        <v>202202</v>
      </c>
      <c r="AF36" s="102">
        <v>10489</v>
      </c>
      <c r="AG36" s="102">
        <v>254538</v>
      </c>
      <c r="AH36" s="73">
        <f t="shared" si="3"/>
        <v>430531</v>
      </c>
      <c r="AI36" s="102">
        <v>332559</v>
      </c>
      <c r="AJ36" s="102">
        <v>97972</v>
      </c>
      <c r="AK36" s="102">
        <v>3357952</v>
      </c>
      <c r="AL36" s="73">
        <f t="shared" si="4"/>
        <v>1729938</v>
      </c>
      <c r="AM36" s="102">
        <v>1044621</v>
      </c>
      <c r="AN36" s="102">
        <v>208830</v>
      </c>
      <c r="AO36" s="74"/>
      <c r="AP36" s="102">
        <v>476487</v>
      </c>
      <c r="AQ36" s="102">
        <v>44029</v>
      </c>
      <c r="AR36" s="102">
        <v>0</v>
      </c>
      <c r="AS36" s="102">
        <v>0</v>
      </c>
      <c r="AT36" s="102">
        <v>1525832</v>
      </c>
      <c r="AU36" s="102">
        <v>808408</v>
      </c>
      <c r="AV36" s="102">
        <v>104179</v>
      </c>
      <c r="AW36" s="102">
        <v>17368</v>
      </c>
      <c r="AX36" s="102">
        <v>717424</v>
      </c>
      <c r="AY36" s="102">
        <v>37004</v>
      </c>
      <c r="AZ36" s="102">
        <v>666323</v>
      </c>
      <c r="BA36" s="102">
        <v>649465</v>
      </c>
      <c r="BB36" s="102">
        <v>2663</v>
      </c>
      <c r="BC36" s="102">
        <v>28968</v>
      </c>
      <c r="BD36" s="102">
        <v>0</v>
      </c>
      <c r="BE36" s="102">
        <v>0</v>
      </c>
      <c r="BF36" s="102">
        <v>7436</v>
      </c>
      <c r="BG36" s="102">
        <v>0</v>
      </c>
      <c r="BH36" s="102">
        <v>475174</v>
      </c>
      <c r="BI36" s="102">
        <v>295771</v>
      </c>
      <c r="BJ36" s="102">
        <v>278890</v>
      </c>
      <c r="BK36" s="102">
        <v>100000</v>
      </c>
      <c r="BL36" s="102">
        <v>0</v>
      </c>
      <c r="BM36" s="102">
        <v>0</v>
      </c>
      <c r="BN36" s="102">
        <v>2199897</v>
      </c>
      <c r="BO36" s="73">
        <f t="shared" si="5"/>
        <v>903700</v>
      </c>
      <c r="BP36" s="73">
        <f t="shared" si="6"/>
        <v>1296197</v>
      </c>
      <c r="BQ36" s="102">
        <v>0</v>
      </c>
      <c r="BR36" s="102">
        <v>0</v>
      </c>
      <c r="BS36" s="102">
        <v>1296197</v>
      </c>
      <c r="BT36" s="102">
        <v>0</v>
      </c>
      <c r="BU36" s="102">
        <v>23128254</v>
      </c>
      <c r="BV36" s="71"/>
      <c r="BW36" s="102">
        <v>4647864</v>
      </c>
      <c r="BX36" s="102">
        <v>2824865</v>
      </c>
      <c r="BY36" s="102">
        <v>325151</v>
      </c>
      <c r="BZ36" s="102">
        <v>567401</v>
      </c>
      <c r="CA36" s="102">
        <v>5984357</v>
      </c>
      <c r="CB36" s="102">
        <v>1607976</v>
      </c>
      <c r="CC36" s="102">
        <v>124709</v>
      </c>
      <c r="CD36" s="102">
        <v>2573162</v>
      </c>
      <c r="CE36" s="102">
        <v>1464979</v>
      </c>
      <c r="CF36" s="102">
        <v>3347</v>
      </c>
      <c r="CG36" s="102">
        <v>209922</v>
      </c>
      <c r="CH36" s="102">
        <v>3684903</v>
      </c>
      <c r="CI36" s="102">
        <v>3222495</v>
      </c>
      <c r="CJ36" s="83">
        <f t="shared" si="18"/>
        <v>462408</v>
      </c>
      <c r="CK36" s="102">
        <v>2765573</v>
      </c>
      <c r="CL36" s="102">
        <v>1609838</v>
      </c>
      <c r="CM36" s="102">
        <v>191543</v>
      </c>
      <c r="CN36" s="102">
        <v>414316</v>
      </c>
      <c r="CO36" s="102">
        <v>93097</v>
      </c>
      <c r="CP36" s="102">
        <v>938454</v>
      </c>
      <c r="CQ36" s="102">
        <v>482216</v>
      </c>
      <c r="CR36" s="102">
        <v>265270</v>
      </c>
      <c r="CS36" s="102">
        <v>138507</v>
      </c>
      <c r="CT36" s="73">
        <f t="shared" si="7"/>
        <v>6260</v>
      </c>
      <c r="CU36" s="102">
        <v>6260</v>
      </c>
      <c r="CV36" s="102">
        <v>0</v>
      </c>
      <c r="CW36" s="73">
        <f t="shared" si="8"/>
        <v>0</v>
      </c>
      <c r="CX36" s="102">
        <v>0</v>
      </c>
      <c r="CY36" s="102">
        <v>0</v>
      </c>
      <c r="CZ36" s="73">
        <f t="shared" si="9"/>
        <v>0</v>
      </c>
      <c r="DA36" s="102">
        <v>0</v>
      </c>
      <c r="DB36" s="102">
        <v>0</v>
      </c>
      <c r="DC36" s="102">
        <v>1774507</v>
      </c>
      <c r="DD36" s="102">
        <v>196951</v>
      </c>
      <c r="DE36" s="102">
        <v>1549474</v>
      </c>
      <c r="DF36" s="77">
        <v>28082</v>
      </c>
      <c r="DG36" s="78">
        <v>0</v>
      </c>
      <c r="DH36" s="102">
        <v>67722</v>
      </c>
      <c r="DI36" s="102">
        <v>177611</v>
      </c>
      <c r="DJ36" s="102">
        <v>152577</v>
      </c>
      <c r="DK36" s="102">
        <v>1093</v>
      </c>
      <c r="DL36" s="102">
        <v>23941</v>
      </c>
      <c r="DM36" s="102">
        <v>0</v>
      </c>
      <c r="DN36" s="102">
        <v>0</v>
      </c>
      <c r="DO36" s="102">
        <v>0</v>
      </c>
      <c r="DP36" s="102">
        <v>0</v>
      </c>
      <c r="DQ36" s="102">
        <v>0</v>
      </c>
      <c r="DR36" s="102">
        <v>0</v>
      </c>
      <c r="DS36" s="102">
        <v>0</v>
      </c>
      <c r="DT36" s="102">
        <v>2206687</v>
      </c>
      <c r="DU36" s="102">
        <v>200154</v>
      </c>
      <c r="DV36" s="73">
        <f t="shared" si="10"/>
        <v>0</v>
      </c>
      <c r="DW36" s="102">
        <v>0</v>
      </c>
      <c r="DX36" s="102">
        <v>720508</v>
      </c>
      <c r="DY36" s="102">
        <v>0</v>
      </c>
      <c r="DZ36" s="102">
        <v>593059</v>
      </c>
      <c r="EA36" s="74">
        <v>0</v>
      </c>
      <c r="EB36" s="102">
        <v>692896</v>
      </c>
      <c r="EC36" s="102">
        <v>0</v>
      </c>
      <c r="ED36" s="102">
        <v>22340775</v>
      </c>
      <c r="EE36" s="71"/>
      <c r="EF36" s="102">
        <v>787479</v>
      </c>
      <c r="EG36" s="102">
        <v>512458</v>
      </c>
      <c r="EH36" s="102">
        <v>275021</v>
      </c>
      <c r="EI36" s="102">
        <v>-20750</v>
      </c>
      <c r="EJ36" s="102">
        <v>161172</v>
      </c>
      <c r="EK36" s="71"/>
      <c r="EL36" s="102"/>
      <c r="EM36" s="102">
        <v>78055</v>
      </c>
      <c r="EN36" s="102">
        <v>2532</v>
      </c>
      <c r="EO36" s="102">
        <v>658831</v>
      </c>
      <c r="EP36" s="73">
        <f t="shared" si="11"/>
        <v>558718</v>
      </c>
      <c r="EQ36" s="102">
        <v>13907486</v>
      </c>
      <c r="ER36" s="71">
        <v>-2505789</v>
      </c>
      <c r="ES36" s="102">
        <v>4368351</v>
      </c>
      <c r="ET36" s="102">
        <v>2654284</v>
      </c>
      <c r="EU36" s="102">
        <v>1827740</v>
      </c>
      <c r="EV36" s="102">
        <v>3584903</v>
      </c>
      <c r="EW36" s="73">
        <f t="shared" si="12"/>
        <v>745479</v>
      </c>
      <c r="EX36" s="102">
        <v>728564</v>
      </c>
      <c r="EY36" s="102">
        <v>14206</v>
      </c>
      <c r="EZ36" s="102">
        <v>711476</v>
      </c>
      <c r="FA36" s="102">
        <v>16915</v>
      </c>
      <c r="FB36" s="102">
        <v>0</v>
      </c>
      <c r="FC36" s="102">
        <v>2157139</v>
      </c>
      <c r="FD36" s="102">
        <v>844735</v>
      </c>
      <c r="FE36" s="102">
        <v>478494</v>
      </c>
      <c r="FF36" s="102">
        <v>1835923</v>
      </c>
      <c r="FG36" s="73">
        <f t="shared" si="13"/>
        <v>261526</v>
      </c>
      <c r="FH36" s="102">
        <v>15625796</v>
      </c>
      <c r="FI36" s="379">
        <f t="shared" si="14"/>
        <v>1.9</v>
      </c>
      <c r="FJ36" s="102">
        <v>12814305</v>
      </c>
      <c r="FK36" s="102">
        <v>1296197</v>
      </c>
      <c r="FL36" s="102">
        <v>7492624</v>
      </c>
      <c r="FM36" s="102">
        <v>10686930</v>
      </c>
      <c r="FN36" s="428">
        <v>0.69599999999999995</v>
      </c>
      <c r="FO36" s="424">
        <v>96.8</v>
      </c>
      <c r="FP36" s="425">
        <v>29.4</v>
      </c>
      <c r="FQ36" s="424">
        <v>12.7</v>
      </c>
      <c r="FR36" s="424">
        <v>24.7</v>
      </c>
      <c r="FS36" s="425">
        <v>13.1</v>
      </c>
      <c r="FT36" s="424">
        <v>4.9000000000000004</v>
      </c>
      <c r="FU36" s="425">
        <v>11.4</v>
      </c>
      <c r="FV36" s="384">
        <f t="shared" si="15"/>
        <v>12.7</v>
      </c>
      <c r="FW36" s="102">
        <v>30572997</v>
      </c>
      <c r="FX36" s="384">
        <f t="shared" si="16"/>
        <v>216.7</v>
      </c>
      <c r="FY36" s="102">
        <v>5000841</v>
      </c>
      <c r="FZ36" s="102">
        <v>2606608</v>
      </c>
      <c r="GA36" s="102">
        <v>648085</v>
      </c>
      <c r="GB36" s="102">
        <v>1746148</v>
      </c>
      <c r="GC36" s="102">
        <v>0</v>
      </c>
      <c r="GD36" s="427">
        <v>12616</v>
      </c>
      <c r="GE36" s="386">
        <f>IF(GD36=0,"-",ROUND(GD36/(GV36)*100,1))</f>
        <v>89.4</v>
      </c>
      <c r="GF36" s="424">
        <v>99.3</v>
      </c>
      <c r="GG36" s="424">
        <v>31.9</v>
      </c>
      <c r="GH36" s="424">
        <v>97.3</v>
      </c>
      <c r="GI36" s="102">
        <v>475</v>
      </c>
      <c r="GJ36" s="429" t="s">
        <v>646</v>
      </c>
      <c r="GK36" s="429">
        <v>12.85</v>
      </c>
      <c r="GL36" s="87">
        <v>20</v>
      </c>
      <c r="GM36" s="429" t="s">
        <v>646</v>
      </c>
      <c r="GN36" s="430">
        <v>17.850000000000001</v>
      </c>
      <c r="GO36" s="430">
        <v>30</v>
      </c>
      <c r="GP36" s="425">
        <v>12.7</v>
      </c>
      <c r="GQ36" s="425">
        <v>25</v>
      </c>
      <c r="GR36" s="425">
        <v>35</v>
      </c>
      <c r="GS36" s="431">
        <v>183.1</v>
      </c>
      <c r="GT36" s="425">
        <v>350</v>
      </c>
      <c r="GU36" s="394"/>
      <c r="GV36" s="100">
        <f t="shared" si="17"/>
        <v>14111</v>
      </c>
      <c r="GW36" s="394"/>
      <c r="GX36" s="394"/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</row>
    <row r="37" spans="2:230" x14ac:dyDescent="0.15">
      <c r="B37" s="89" t="s">
        <v>63</v>
      </c>
      <c r="C37" s="102">
        <v>7377279</v>
      </c>
      <c r="D37" s="73">
        <f t="shared" si="0"/>
        <v>3447706</v>
      </c>
      <c r="E37" s="102">
        <v>89852</v>
      </c>
      <c r="F37" s="102">
        <v>3357854</v>
      </c>
      <c r="G37" s="73">
        <f t="shared" si="1"/>
        <v>437444</v>
      </c>
      <c r="H37" s="102">
        <v>101768</v>
      </c>
      <c r="I37" s="102">
        <v>335676</v>
      </c>
      <c r="J37" s="102">
        <v>2715775</v>
      </c>
      <c r="K37" s="102">
        <v>1126048</v>
      </c>
      <c r="L37" s="102">
        <v>1270284</v>
      </c>
      <c r="M37" s="102">
        <v>286921</v>
      </c>
      <c r="N37" s="102">
        <v>345317</v>
      </c>
      <c r="O37" s="102">
        <v>362803</v>
      </c>
      <c r="P37" s="102">
        <v>200194</v>
      </c>
      <c r="Q37" s="102">
        <v>162609</v>
      </c>
      <c r="R37" s="102">
        <v>101551</v>
      </c>
      <c r="S37" s="74"/>
      <c r="T37" s="73">
        <f t="shared" si="2"/>
        <v>843433</v>
      </c>
      <c r="U37" s="102">
        <v>36541</v>
      </c>
      <c r="V37" s="102">
        <v>98195</v>
      </c>
      <c r="W37" s="102">
        <v>51582</v>
      </c>
      <c r="X37" s="102">
        <v>632192</v>
      </c>
      <c r="Y37" s="102">
        <v>0</v>
      </c>
      <c r="Z37" s="102">
        <v>0</v>
      </c>
      <c r="AA37" s="102">
        <v>24923</v>
      </c>
      <c r="AB37" s="102">
        <v>45656</v>
      </c>
      <c r="AC37" s="102">
        <v>2916510</v>
      </c>
      <c r="AD37" s="102">
        <v>2650076</v>
      </c>
      <c r="AE37" s="102">
        <v>266433</v>
      </c>
      <c r="AF37" s="102">
        <v>9923</v>
      </c>
      <c r="AG37" s="102">
        <v>262591</v>
      </c>
      <c r="AH37" s="73">
        <f t="shared" si="3"/>
        <v>247006</v>
      </c>
      <c r="AI37" s="102">
        <v>203827</v>
      </c>
      <c r="AJ37" s="102">
        <v>43179</v>
      </c>
      <c r="AK37" s="102">
        <v>2924738</v>
      </c>
      <c r="AL37" s="73">
        <f t="shared" si="4"/>
        <v>1590537</v>
      </c>
      <c r="AM37" s="102">
        <v>1110293</v>
      </c>
      <c r="AN37" s="102">
        <v>189053</v>
      </c>
      <c r="AO37" s="74"/>
      <c r="AP37" s="102">
        <v>291191</v>
      </c>
      <c r="AQ37" s="102">
        <v>54393</v>
      </c>
      <c r="AR37" s="102">
        <v>0</v>
      </c>
      <c r="AS37" s="102">
        <v>0</v>
      </c>
      <c r="AT37" s="102">
        <v>1289831</v>
      </c>
      <c r="AU37" s="102">
        <v>663374</v>
      </c>
      <c r="AV37" s="102">
        <v>96695</v>
      </c>
      <c r="AW37" s="102">
        <v>24520</v>
      </c>
      <c r="AX37" s="102">
        <v>626457</v>
      </c>
      <c r="AY37" s="102">
        <v>45180</v>
      </c>
      <c r="AZ37" s="102">
        <v>22104</v>
      </c>
      <c r="BA37" s="102">
        <v>722</v>
      </c>
      <c r="BB37" s="102">
        <v>395</v>
      </c>
      <c r="BC37" s="102">
        <v>281180</v>
      </c>
      <c r="BD37" s="102">
        <v>0</v>
      </c>
      <c r="BE37" s="102">
        <v>0</v>
      </c>
      <c r="BF37" s="102">
        <v>280225</v>
      </c>
      <c r="BG37" s="102">
        <v>0</v>
      </c>
      <c r="BH37" s="102">
        <v>854887</v>
      </c>
      <c r="BI37" s="102">
        <v>837350</v>
      </c>
      <c r="BJ37" s="102">
        <v>220450</v>
      </c>
      <c r="BK37" s="102">
        <v>20</v>
      </c>
      <c r="BL37" s="102">
        <v>0</v>
      </c>
      <c r="BM37" s="102">
        <v>0</v>
      </c>
      <c r="BN37" s="102">
        <v>1638100</v>
      </c>
      <c r="BO37" s="73">
        <f t="shared" si="5"/>
        <v>505400</v>
      </c>
      <c r="BP37" s="73">
        <f t="shared" si="6"/>
        <v>1132700</v>
      </c>
      <c r="BQ37" s="102">
        <v>0</v>
      </c>
      <c r="BR37" s="102">
        <v>0</v>
      </c>
      <c r="BS37" s="102">
        <v>1132700</v>
      </c>
      <c r="BT37" s="102">
        <v>0</v>
      </c>
      <c r="BU37" s="102">
        <v>19035634</v>
      </c>
      <c r="BV37" s="71"/>
      <c r="BW37" s="102">
        <v>3853923</v>
      </c>
      <c r="BX37" s="102">
        <v>2391624</v>
      </c>
      <c r="BY37" s="102">
        <v>427368</v>
      </c>
      <c r="BZ37" s="102">
        <v>312180</v>
      </c>
      <c r="CA37" s="102">
        <v>4472006</v>
      </c>
      <c r="CB37" s="102">
        <v>909414</v>
      </c>
      <c r="CC37" s="102">
        <v>89253</v>
      </c>
      <c r="CD37" s="102">
        <v>2091003</v>
      </c>
      <c r="CE37" s="102">
        <v>1318257</v>
      </c>
      <c r="CF37" s="102">
        <v>0</v>
      </c>
      <c r="CG37" s="102">
        <v>64079</v>
      </c>
      <c r="CH37" s="102">
        <v>2137801</v>
      </c>
      <c r="CI37" s="102">
        <v>1948435</v>
      </c>
      <c r="CJ37" s="83">
        <f t="shared" si="18"/>
        <v>189366</v>
      </c>
      <c r="CK37" s="102">
        <v>3080557</v>
      </c>
      <c r="CL37" s="102">
        <v>2019826</v>
      </c>
      <c r="CM37" s="102">
        <v>170318</v>
      </c>
      <c r="CN37" s="102">
        <v>341420</v>
      </c>
      <c r="CO37" s="102">
        <v>28427</v>
      </c>
      <c r="CP37" s="102">
        <v>1314968</v>
      </c>
      <c r="CQ37" s="102">
        <v>463486</v>
      </c>
      <c r="CR37" s="102">
        <v>393049</v>
      </c>
      <c r="CS37" s="102">
        <v>284306</v>
      </c>
      <c r="CT37" s="73">
        <f t="shared" si="7"/>
        <v>29662</v>
      </c>
      <c r="CU37" s="102">
        <v>29662</v>
      </c>
      <c r="CV37" s="102">
        <v>0</v>
      </c>
      <c r="CW37" s="73">
        <f t="shared" si="8"/>
        <v>0</v>
      </c>
      <c r="CX37" s="102">
        <v>0</v>
      </c>
      <c r="CY37" s="102">
        <v>0</v>
      </c>
      <c r="CZ37" s="73">
        <f t="shared" si="9"/>
        <v>0</v>
      </c>
      <c r="DA37" s="102">
        <v>0</v>
      </c>
      <c r="DB37" s="102">
        <v>0</v>
      </c>
      <c r="DC37" s="102">
        <v>1221691</v>
      </c>
      <c r="DD37" s="102">
        <v>245528</v>
      </c>
      <c r="DE37" s="102">
        <v>912294</v>
      </c>
      <c r="DF37" s="77">
        <v>63869</v>
      </c>
      <c r="DG37" s="78">
        <v>0</v>
      </c>
      <c r="DH37" s="102">
        <v>0</v>
      </c>
      <c r="DI37" s="102">
        <v>306900</v>
      </c>
      <c r="DJ37" s="102">
        <v>5586</v>
      </c>
      <c r="DK37" s="102">
        <v>9</v>
      </c>
      <c r="DL37" s="102">
        <v>301305</v>
      </c>
      <c r="DM37" s="102">
        <v>0</v>
      </c>
      <c r="DN37" s="102">
        <v>0</v>
      </c>
      <c r="DO37" s="102">
        <v>0</v>
      </c>
      <c r="DP37" s="102">
        <v>0</v>
      </c>
      <c r="DQ37" s="102">
        <v>144</v>
      </c>
      <c r="DR37" s="102">
        <v>0</v>
      </c>
      <c r="DS37" s="102">
        <v>0</v>
      </c>
      <c r="DT37" s="102">
        <v>1891632</v>
      </c>
      <c r="DU37" s="102">
        <v>235441</v>
      </c>
      <c r="DV37" s="73">
        <f t="shared" si="10"/>
        <v>0</v>
      </c>
      <c r="DW37" s="102">
        <v>0</v>
      </c>
      <c r="DX37" s="102">
        <v>583158</v>
      </c>
      <c r="DY37" s="102">
        <v>0</v>
      </c>
      <c r="DZ37" s="102">
        <v>457862</v>
      </c>
      <c r="EA37" s="74">
        <v>0</v>
      </c>
      <c r="EB37" s="102">
        <v>615171</v>
      </c>
      <c r="EC37" s="102">
        <v>0</v>
      </c>
      <c r="ED37" s="102">
        <v>18308049</v>
      </c>
      <c r="EE37" s="71"/>
      <c r="EF37" s="102">
        <v>727585</v>
      </c>
      <c r="EG37" s="102">
        <v>66685</v>
      </c>
      <c r="EH37" s="102">
        <v>660900</v>
      </c>
      <c r="EI37" s="102">
        <v>-176450</v>
      </c>
      <c r="EJ37" s="102">
        <v>-170864</v>
      </c>
      <c r="EK37" s="71"/>
      <c r="EL37" s="102"/>
      <c r="EM37" s="102">
        <v>57793</v>
      </c>
      <c r="EN37" s="102">
        <v>280955</v>
      </c>
      <c r="EO37" s="102">
        <v>14378</v>
      </c>
      <c r="EP37" s="73">
        <f t="shared" si="11"/>
        <v>1132631</v>
      </c>
      <c r="EQ37" s="102">
        <v>11294352</v>
      </c>
      <c r="ER37" s="71">
        <v>-2550741</v>
      </c>
      <c r="ES37" s="102">
        <v>3577040</v>
      </c>
      <c r="ET37" s="102">
        <v>2161160</v>
      </c>
      <c r="EU37" s="102">
        <v>1109327</v>
      </c>
      <c r="EV37" s="102">
        <v>2137801</v>
      </c>
      <c r="EW37" s="73">
        <f t="shared" si="12"/>
        <v>498009</v>
      </c>
      <c r="EX37" s="102">
        <v>498009</v>
      </c>
      <c r="EY37" s="102">
        <v>24829</v>
      </c>
      <c r="EZ37" s="102">
        <v>469407</v>
      </c>
      <c r="FA37" s="102">
        <v>0</v>
      </c>
      <c r="FB37" s="102">
        <v>0</v>
      </c>
      <c r="FC37" s="102">
        <v>2675609</v>
      </c>
      <c r="FD37" s="102">
        <v>1192932</v>
      </c>
      <c r="FE37" s="102">
        <v>463486</v>
      </c>
      <c r="FF37" s="102">
        <v>1598087</v>
      </c>
      <c r="FG37" s="73">
        <f t="shared" si="13"/>
        <v>328703</v>
      </c>
      <c r="FH37" s="102">
        <v>13117508</v>
      </c>
      <c r="FI37" s="379">
        <f t="shared" si="14"/>
        <v>5.7</v>
      </c>
      <c r="FJ37" s="102">
        <v>10547632</v>
      </c>
      <c r="FK37" s="102">
        <v>1132716</v>
      </c>
      <c r="FL37" s="102">
        <v>6062644</v>
      </c>
      <c r="FM37" s="102">
        <v>8712720</v>
      </c>
      <c r="FN37" s="428">
        <v>0.69499999999999995</v>
      </c>
      <c r="FO37" s="424">
        <v>98</v>
      </c>
      <c r="FP37" s="425">
        <v>30</v>
      </c>
      <c r="FQ37" s="424">
        <v>9.3000000000000007</v>
      </c>
      <c r="FR37" s="424">
        <v>18</v>
      </c>
      <c r="FS37" s="425">
        <v>20.2</v>
      </c>
      <c r="FT37" s="424">
        <v>8.1</v>
      </c>
      <c r="FU37" s="425">
        <v>12.1</v>
      </c>
      <c r="FV37" s="384">
        <f t="shared" si="15"/>
        <v>7.4</v>
      </c>
      <c r="FW37" s="102">
        <v>16734109</v>
      </c>
      <c r="FX37" s="384">
        <f t="shared" si="16"/>
        <v>143.30000000000001</v>
      </c>
      <c r="FY37" s="102">
        <v>3904143</v>
      </c>
      <c r="FZ37" s="102">
        <v>3142644</v>
      </c>
      <c r="GA37" s="102">
        <v>36846</v>
      </c>
      <c r="GB37" s="102">
        <v>724653</v>
      </c>
      <c r="GC37" s="102">
        <v>0</v>
      </c>
      <c r="GD37" s="427"/>
      <c r="GE37" s="386"/>
      <c r="GF37" s="424">
        <v>98.6</v>
      </c>
      <c r="GG37" s="424">
        <v>16.600000000000001</v>
      </c>
      <c r="GH37" s="424">
        <v>92.9</v>
      </c>
      <c r="GI37" s="102">
        <v>370</v>
      </c>
      <c r="GJ37" s="429" t="s">
        <v>646</v>
      </c>
      <c r="GK37" s="429">
        <v>13.09</v>
      </c>
      <c r="GL37" s="87">
        <v>20</v>
      </c>
      <c r="GM37" s="429" t="s">
        <v>646</v>
      </c>
      <c r="GN37" s="430">
        <v>18.09</v>
      </c>
      <c r="GO37" s="430">
        <v>30</v>
      </c>
      <c r="GP37" s="425">
        <v>7.4</v>
      </c>
      <c r="GQ37" s="425">
        <v>25</v>
      </c>
      <c r="GR37" s="425">
        <v>35</v>
      </c>
      <c r="GS37" s="431" t="s">
        <v>646</v>
      </c>
      <c r="GT37" s="425">
        <v>350</v>
      </c>
      <c r="GU37" s="394"/>
      <c r="GV37" s="100">
        <f t="shared" si="17"/>
        <v>11680</v>
      </c>
      <c r="GW37" s="394"/>
      <c r="GX37" s="394"/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</row>
    <row r="38" spans="2:230" x14ac:dyDescent="0.15">
      <c r="B38" s="89" t="s">
        <v>65</v>
      </c>
      <c r="C38" s="102">
        <v>5444293</v>
      </c>
      <c r="D38" s="73">
        <f t="shared" si="0"/>
        <v>2457909</v>
      </c>
      <c r="E38" s="102">
        <v>87472</v>
      </c>
      <c r="F38" s="102">
        <v>2370437</v>
      </c>
      <c r="G38" s="73">
        <f t="shared" si="1"/>
        <v>185461</v>
      </c>
      <c r="H38" s="102">
        <v>70459</v>
      </c>
      <c r="I38" s="102">
        <v>115002</v>
      </c>
      <c r="J38" s="102">
        <v>2010121</v>
      </c>
      <c r="K38" s="102">
        <v>671711</v>
      </c>
      <c r="L38" s="102">
        <v>1035710</v>
      </c>
      <c r="M38" s="102">
        <v>247013</v>
      </c>
      <c r="N38" s="102">
        <v>285102</v>
      </c>
      <c r="O38" s="102">
        <v>405992</v>
      </c>
      <c r="P38" s="102">
        <v>188842</v>
      </c>
      <c r="Q38" s="102">
        <v>217150</v>
      </c>
      <c r="R38" s="102">
        <v>104709</v>
      </c>
      <c r="S38" s="74"/>
      <c r="T38" s="73">
        <f t="shared" si="2"/>
        <v>709385</v>
      </c>
      <c r="U38" s="102">
        <v>26399</v>
      </c>
      <c r="V38" s="102">
        <v>71096</v>
      </c>
      <c r="W38" s="102">
        <v>37400</v>
      </c>
      <c r="X38" s="102">
        <v>546241</v>
      </c>
      <c r="Y38" s="102">
        <v>2561</v>
      </c>
      <c r="Z38" s="102">
        <v>0</v>
      </c>
      <c r="AA38" s="102">
        <v>25688</v>
      </c>
      <c r="AB38" s="102">
        <v>35298</v>
      </c>
      <c r="AC38" s="102">
        <v>4213600</v>
      </c>
      <c r="AD38" s="102">
        <v>3943548</v>
      </c>
      <c r="AE38" s="102">
        <v>270051</v>
      </c>
      <c r="AF38" s="102">
        <v>8108</v>
      </c>
      <c r="AG38" s="102">
        <v>102487</v>
      </c>
      <c r="AH38" s="73">
        <f t="shared" si="3"/>
        <v>278039</v>
      </c>
      <c r="AI38" s="102">
        <v>190289</v>
      </c>
      <c r="AJ38" s="102">
        <v>87750</v>
      </c>
      <c r="AK38" s="102">
        <v>2782190</v>
      </c>
      <c r="AL38" s="73">
        <f t="shared" si="4"/>
        <v>1441707</v>
      </c>
      <c r="AM38" s="102">
        <v>852452</v>
      </c>
      <c r="AN38" s="102">
        <v>215692</v>
      </c>
      <c r="AO38" s="74"/>
      <c r="AP38" s="102">
        <v>373563</v>
      </c>
      <c r="AQ38" s="102">
        <v>157801</v>
      </c>
      <c r="AR38" s="102">
        <v>0</v>
      </c>
      <c r="AS38" s="102">
        <v>0</v>
      </c>
      <c r="AT38" s="102">
        <v>1327152</v>
      </c>
      <c r="AU38" s="102">
        <v>892451</v>
      </c>
      <c r="AV38" s="102">
        <v>196991</v>
      </c>
      <c r="AW38" s="102">
        <v>0</v>
      </c>
      <c r="AX38" s="102">
        <v>434701</v>
      </c>
      <c r="AY38" s="102">
        <v>6698</v>
      </c>
      <c r="AZ38" s="102">
        <v>6648</v>
      </c>
      <c r="BA38" s="102">
        <v>3164</v>
      </c>
      <c r="BB38" s="102">
        <v>7143</v>
      </c>
      <c r="BC38" s="102">
        <v>544637</v>
      </c>
      <c r="BD38" s="102">
        <v>314284</v>
      </c>
      <c r="BE38" s="102">
        <v>122745</v>
      </c>
      <c r="BF38" s="102">
        <v>85357</v>
      </c>
      <c r="BG38" s="102">
        <v>0</v>
      </c>
      <c r="BH38" s="102">
        <v>211525</v>
      </c>
      <c r="BI38" s="102">
        <v>206708</v>
      </c>
      <c r="BJ38" s="102">
        <v>131105</v>
      </c>
      <c r="BK38" s="102">
        <v>0</v>
      </c>
      <c r="BL38" s="102">
        <v>0</v>
      </c>
      <c r="BM38" s="102">
        <v>0</v>
      </c>
      <c r="BN38" s="102">
        <v>1658117</v>
      </c>
      <c r="BO38" s="73">
        <f t="shared" si="5"/>
        <v>778700</v>
      </c>
      <c r="BP38" s="73">
        <f t="shared" si="6"/>
        <v>849717</v>
      </c>
      <c r="BQ38" s="102">
        <v>0</v>
      </c>
      <c r="BR38" s="102">
        <v>0</v>
      </c>
      <c r="BS38" s="102">
        <v>849717</v>
      </c>
      <c r="BT38" s="102">
        <v>29700</v>
      </c>
      <c r="BU38" s="102">
        <v>17564436</v>
      </c>
      <c r="BV38" s="71"/>
      <c r="BW38" s="102">
        <v>3127220</v>
      </c>
      <c r="BX38" s="102">
        <v>2175790</v>
      </c>
      <c r="BY38" s="102">
        <v>253030</v>
      </c>
      <c r="BZ38" s="102">
        <v>18329</v>
      </c>
      <c r="CA38" s="102">
        <v>4074530</v>
      </c>
      <c r="CB38" s="102">
        <v>1071541</v>
      </c>
      <c r="CC38" s="102">
        <v>91122</v>
      </c>
      <c r="CD38" s="102">
        <v>1707363</v>
      </c>
      <c r="CE38" s="102">
        <v>1103673</v>
      </c>
      <c r="CF38" s="102">
        <v>3975</v>
      </c>
      <c r="CG38" s="102">
        <v>96856</v>
      </c>
      <c r="CH38" s="102">
        <v>1849016</v>
      </c>
      <c r="CI38" s="102">
        <v>1591211</v>
      </c>
      <c r="CJ38" s="83">
        <f t="shared" si="18"/>
        <v>257805</v>
      </c>
      <c r="CK38" s="102">
        <v>2323133</v>
      </c>
      <c r="CL38" s="102">
        <v>1302703</v>
      </c>
      <c r="CM38" s="102">
        <v>373463</v>
      </c>
      <c r="CN38" s="102">
        <v>373508</v>
      </c>
      <c r="CO38" s="102">
        <v>109036</v>
      </c>
      <c r="CP38" s="102">
        <v>2078230</v>
      </c>
      <c r="CQ38" s="102">
        <v>984572</v>
      </c>
      <c r="CR38" s="102">
        <v>359959</v>
      </c>
      <c r="CS38" s="102">
        <v>359959</v>
      </c>
      <c r="CT38" s="73">
        <f t="shared" si="7"/>
        <v>480201</v>
      </c>
      <c r="CU38" s="102">
        <v>180816</v>
      </c>
      <c r="CV38" s="102">
        <v>299385</v>
      </c>
      <c r="CW38" s="73">
        <f t="shared" si="8"/>
        <v>455804</v>
      </c>
      <c r="CX38" s="102">
        <v>175449</v>
      </c>
      <c r="CY38" s="102">
        <v>280355</v>
      </c>
      <c r="CZ38" s="73">
        <f t="shared" si="9"/>
        <v>0</v>
      </c>
      <c r="DA38" s="102">
        <v>0</v>
      </c>
      <c r="DB38" s="102">
        <v>0</v>
      </c>
      <c r="DC38" s="102">
        <v>1364651</v>
      </c>
      <c r="DD38" s="102">
        <v>668959</v>
      </c>
      <c r="DE38" s="102">
        <v>659021</v>
      </c>
      <c r="DF38" s="77">
        <v>36671</v>
      </c>
      <c r="DG38" s="78">
        <v>0</v>
      </c>
      <c r="DH38" s="102">
        <v>0</v>
      </c>
      <c r="DI38" s="102">
        <v>53502</v>
      </c>
      <c r="DJ38" s="102">
        <v>1594</v>
      </c>
      <c r="DK38" s="102">
        <v>30264</v>
      </c>
      <c r="DL38" s="102">
        <v>21644</v>
      </c>
      <c r="DM38" s="102">
        <v>0</v>
      </c>
      <c r="DN38" s="102">
        <v>0</v>
      </c>
      <c r="DO38" s="102">
        <v>0</v>
      </c>
      <c r="DP38" s="102">
        <v>0</v>
      </c>
      <c r="DQ38" s="102">
        <v>0</v>
      </c>
      <c r="DR38" s="102">
        <v>0</v>
      </c>
      <c r="DS38" s="102">
        <v>0</v>
      </c>
      <c r="DT38" s="102">
        <v>2375528</v>
      </c>
      <c r="DU38" s="102">
        <v>488388</v>
      </c>
      <c r="DV38" s="73">
        <f t="shared" si="10"/>
        <v>0</v>
      </c>
      <c r="DW38" s="102">
        <v>0</v>
      </c>
      <c r="DX38" s="102">
        <v>699670</v>
      </c>
      <c r="DY38" s="102">
        <v>0</v>
      </c>
      <c r="DZ38" s="102">
        <v>574205</v>
      </c>
      <c r="EA38" s="74">
        <v>0</v>
      </c>
      <c r="EB38" s="102">
        <v>613263</v>
      </c>
      <c r="EC38" s="102">
        <v>0</v>
      </c>
      <c r="ED38" s="102">
        <v>17354846</v>
      </c>
      <c r="EE38" s="71"/>
      <c r="EF38" s="102">
        <v>209590</v>
      </c>
      <c r="EG38" s="102">
        <v>9996</v>
      </c>
      <c r="EH38" s="102">
        <v>199594</v>
      </c>
      <c r="EI38" s="102">
        <v>-7114</v>
      </c>
      <c r="EJ38" s="102">
        <v>-319804</v>
      </c>
      <c r="EK38" s="71"/>
      <c r="EL38" s="102"/>
      <c r="EM38" s="102">
        <v>56975</v>
      </c>
      <c r="EN38" s="102">
        <v>459280</v>
      </c>
      <c r="EO38" s="102">
        <v>3698</v>
      </c>
      <c r="EP38" s="73">
        <f t="shared" si="11"/>
        <v>369132</v>
      </c>
      <c r="EQ38" s="102">
        <v>10515393</v>
      </c>
      <c r="ER38" s="71">
        <v>-1673719</v>
      </c>
      <c r="ES38" s="102">
        <v>2776457</v>
      </c>
      <c r="ET38" s="102">
        <v>1969300</v>
      </c>
      <c r="EU38" s="102">
        <v>1124073</v>
      </c>
      <c r="EV38" s="102">
        <v>1828353</v>
      </c>
      <c r="EW38" s="73">
        <f t="shared" si="12"/>
        <v>279884</v>
      </c>
      <c r="EX38" s="102">
        <v>279884</v>
      </c>
      <c r="EY38" s="102">
        <v>17797</v>
      </c>
      <c r="EZ38" s="102">
        <v>252775</v>
      </c>
      <c r="FA38" s="102">
        <v>0</v>
      </c>
      <c r="FB38" s="102">
        <v>0</v>
      </c>
      <c r="FC38" s="102">
        <v>1923496</v>
      </c>
      <c r="FD38" s="102">
        <v>1861286</v>
      </c>
      <c r="FE38" s="102">
        <v>984572</v>
      </c>
      <c r="FF38" s="102">
        <v>2034523</v>
      </c>
      <c r="FG38" s="73">
        <f t="shared" si="13"/>
        <v>151450</v>
      </c>
      <c r="FH38" s="102">
        <v>11979522</v>
      </c>
      <c r="FI38" s="379">
        <f t="shared" si="14"/>
        <v>1.9</v>
      </c>
      <c r="FJ38" s="102">
        <v>9789659</v>
      </c>
      <c r="FK38" s="102">
        <v>849717</v>
      </c>
      <c r="FL38" s="102">
        <v>4569858</v>
      </c>
      <c r="FM38" s="102">
        <v>8471801</v>
      </c>
      <c r="FN38" s="428">
        <v>0.53300000000000003</v>
      </c>
      <c r="FO38" s="424">
        <v>99.8</v>
      </c>
      <c r="FP38" s="425">
        <v>25.2</v>
      </c>
      <c r="FQ38" s="424">
        <v>10.4</v>
      </c>
      <c r="FR38" s="424">
        <v>17</v>
      </c>
      <c r="FS38" s="425">
        <v>16.3</v>
      </c>
      <c r="FT38" s="424">
        <v>11.8</v>
      </c>
      <c r="FU38" s="425">
        <v>18.100000000000001</v>
      </c>
      <c r="FV38" s="384">
        <f t="shared" si="15"/>
        <v>9.6999999999999993</v>
      </c>
      <c r="FW38" s="102">
        <v>16501908</v>
      </c>
      <c r="FX38" s="384">
        <f t="shared" si="16"/>
        <v>155.1</v>
      </c>
      <c r="FY38" s="102">
        <v>3201002</v>
      </c>
      <c r="FZ38" s="102">
        <v>1878627</v>
      </c>
      <c r="GA38" s="102">
        <v>431046</v>
      </c>
      <c r="GB38" s="102">
        <v>891329</v>
      </c>
      <c r="GC38" s="102">
        <v>180000</v>
      </c>
      <c r="GD38" s="427"/>
      <c r="GE38" s="386"/>
      <c r="GF38" s="424">
        <v>98.1</v>
      </c>
      <c r="GG38" s="424">
        <v>24.5</v>
      </c>
      <c r="GH38" s="424">
        <v>93.2</v>
      </c>
      <c r="GI38" s="102">
        <v>337</v>
      </c>
      <c r="GJ38" s="429" t="s">
        <v>646</v>
      </c>
      <c r="GK38" s="429">
        <v>13.23</v>
      </c>
      <c r="GL38" s="87">
        <v>20</v>
      </c>
      <c r="GM38" s="429" t="s">
        <v>646</v>
      </c>
      <c r="GN38" s="430">
        <v>18.23</v>
      </c>
      <c r="GO38" s="430">
        <v>30</v>
      </c>
      <c r="GP38" s="425">
        <v>9.6999999999999993</v>
      </c>
      <c r="GQ38" s="425">
        <v>25</v>
      </c>
      <c r="GR38" s="425">
        <v>35</v>
      </c>
      <c r="GS38" s="431">
        <v>56.8</v>
      </c>
      <c r="GT38" s="425">
        <v>350</v>
      </c>
      <c r="GU38" s="394"/>
      <c r="GV38" s="100">
        <f t="shared" si="17"/>
        <v>10639</v>
      </c>
      <c r="GW38" s="394"/>
      <c r="GX38" s="394"/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</row>
    <row r="39" spans="2:230" x14ac:dyDescent="0.15">
      <c r="B39" s="21" t="s">
        <v>67</v>
      </c>
      <c r="C39" s="102">
        <v>744200075</v>
      </c>
      <c r="D39" s="73">
        <f t="shared" si="0"/>
        <v>275055005</v>
      </c>
      <c r="E39" s="102">
        <v>7828331</v>
      </c>
      <c r="F39" s="102">
        <v>267226674</v>
      </c>
      <c r="G39" s="73">
        <f t="shared" si="1"/>
        <v>57745252</v>
      </c>
      <c r="H39" s="102">
        <v>13027245</v>
      </c>
      <c r="I39" s="102">
        <v>44718007</v>
      </c>
      <c r="J39" s="102">
        <v>299521474</v>
      </c>
      <c r="K39" s="102">
        <v>127487253</v>
      </c>
      <c r="L39" s="102">
        <v>128736637</v>
      </c>
      <c r="M39" s="102">
        <v>38041149</v>
      </c>
      <c r="N39" s="102">
        <v>36473790</v>
      </c>
      <c r="O39" s="102">
        <v>62441465</v>
      </c>
      <c r="P39" s="102">
        <v>34775979</v>
      </c>
      <c r="Q39" s="102">
        <v>27665486</v>
      </c>
      <c r="R39" s="102">
        <v>10416931</v>
      </c>
      <c r="S39" s="74"/>
      <c r="T39" s="73">
        <f t="shared" si="2"/>
        <v>74971066</v>
      </c>
      <c r="U39" s="102">
        <v>2888514</v>
      </c>
      <c r="V39" s="102">
        <v>7796180</v>
      </c>
      <c r="W39" s="102">
        <v>4107083</v>
      </c>
      <c r="X39" s="102">
        <v>57532215</v>
      </c>
      <c r="Y39" s="102">
        <v>682068</v>
      </c>
      <c r="Z39" s="102">
        <v>0</v>
      </c>
      <c r="AA39" s="102">
        <v>1965006</v>
      </c>
      <c r="AB39" s="102">
        <v>3760705</v>
      </c>
      <c r="AC39" s="102">
        <v>190723284</v>
      </c>
      <c r="AD39" s="102">
        <v>179481898</v>
      </c>
      <c r="AE39" s="102">
        <v>11241181</v>
      </c>
      <c r="AF39" s="102">
        <v>737554</v>
      </c>
      <c r="AG39" s="102">
        <v>21890568</v>
      </c>
      <c r="AH39" s="73">
        <f t="shared" si="3"/>
        <v>33303489</v>
      </c>
      <c r="AI39" s="102">
        <v>25636276</v>
      </c>
      <c r="AJ39" s="102">
        <v>7667213</v>
      </c>
      <c r="AK39" s="102">
        <v>361933983</v>
      </c>
      <c r="AL39" s="73">
        <f t="shared" si="4"/>
        <v>219521837</v>
      </c>
      <c r="AM39" s="102">
        <v>159327747</v>
      </c>
      <c r="AN39" s="102">
        <v>20679893</v>
      </c>
      <c r="AO39" s="74"/>
      <c r="AP39" s="102">
        <v>39514197</v>
      </c>
      <c r="AQ39" s="102">
        <v>19510632</v>
      </c>
      <c r="AR39" s="102">
        <v>191358</v>
      </c>
      <c r="AS39" s="102">
        <v>259556</v>
      </c>
      <c r="AT39" s="102">
        <v>115787731</v>
      </c>
      <c r="AU39" s="102">
        <v>72768783</v>
      </c>
      <c r="AV39" s="102">
        <v>6886798</v>
      </c>
      <c r="AW39" s="102">
        <v>6709482</v>
      </c>
      <c r="AX39" s="102">
        <v>43018948</v>
      </c>
      <c r="AY39" s="102">
        <v>2217534</v>
      </c>
      <c r="AZ39" s="102">
        <v>9524492</v>
      </c>
      <c r="BA39" s="102">
        <v>7647084</v>
      </c>
      <c r="BB39" s="102">
        <v>1429105</v>
      </c>
      <c r="BC39" s="102">
        <v>32839303</v>
      </c>
      <c r="BD39" s="102">
        <v>8782008</v>
      </c>
      <c r="BE39" s="102">
        <v>4430702</v>
      </c>
      <c r="BF39" s="102">
        <v>16971887</v>
      </c>
      <c r="BG39" s="102">
        <v>1626458</v>
      </c>
      <c r="BH39" s="102">
        <v>30435609</v>
      </c>
      <c r="BI39" s="102">
        <v>22503339</v>
      </c>
      <c r="BJ39" s="102">
        <v>30434722</v>
      </c>
      <c r="BK39" s="102">
        <v>6799459</v>
      </c>
      <c r="BL39" s="102">
        <v>251118</v>
      </c>
      <c r="BM39" s="102">
        <v>2160226</v>
      </c>
      <c r="BN39" s="102">
        <v>150711029</v>
      </c>
      <c r="BO39" s="73">
        <f t="shared" si="5"/>
        <v>71165100</v>
      </c>
      <c r="BP39" s="73">
        <f t="shared" si="6"/>
        <v>79306229</v>
      </c>
      <c r="BQ39" s="102">
        <v>0</v>
      </c>
      <c r="BR39" s="102">
        <v>5900</v>
      </c>
      <c r="BS39" s="102">
        <v>79300329</v>
      </c>
      <c r="BT39" s="102">
        <v>239700</v>
      </c>
      <c r="BU39" s="102">
        <v>1813359202</v>
      </c>
      <c r="BV39" s="71"/>
      <c r="BW39" s="102">
        <v>290750323</v>
      </c>
      <c r="BX39" s="102">
        <v>191366776</v>
      </c>
      <c r="BY39" s="102">
        <v>24333862</v>
      </c>
      <c r="BZ39" s="102">
        <v>21918186</v>
      </c>
      <c r="CA39" s="102">
        <v>544577418</v>
      </c>
      <c r="CB39" s="102">
        <v>109254073</v>
      </c>
      <c r="CC39" s="102">
        <v>9917801</v>
      </c>
      <c r="CD39" s="102">
        <v>202356104</v>
      </c>
      <c r="CE39" s="102">
        <v>211874508</v>
      </c>
      <c r="CF39" s="102">
        <v>5029215</v>
      </c>
      <c r="CG39" s="102">
        <v>6133064</v>
      </c>
      <c r="CH39" s="102">
        <v>168738526</v>
      </c>
      <c r="CI39" s="102">
        <v>149127385</v>
      </c>
      <c r="CJ39" s="83">
        <f t="shared" si="18"/>
        <v>19611141</v>
      </c>
      <c r="CK39" s="102">
        <v>207264553</v>
      </c>
      <c r="CL39" s="102">
        <v>128213860</v>
      </c>
      <c r="CM39" s="102">
        <v>13529676</v>
      </c>
      <c r="CN39" s="102">
        <v>36128238</v>
      </c>
      <c r="CO39" s="102">
        <v>14378368</v>
      </c>
      <c r="CP39" s="102">
        <v>144679947</v>
      </c>
      <c r="CQ39" s="102">
        <v>36268694</v>
      </c>
      <c r="CR39" s="102">
        <v>40067748</v>
      </c>
      <c r="CS39" s="102">
        <v>26209888</v>
      </c>
      <c r="CT39" s="73">
        <f t="shared" si="7"/>
        <v>39604476</v>
      </c>
      <c r="CU39" s="102">
        <v>27096389</v>
      </c>
      <c r="CV39" s="102">
        <v>12508087</v>
      </c>
      <c r="CW39" s="73">
        <f t="shared" si="8"/>
        <v>13391223</v>
      </c>
      <c r="CX39" s="102">
        <v>9782432</v>
      </c>
      <c r="CY39" s="102">
        <v>3608791</v>
      </c>
      <c r="CZ39" s="73">
        <f t="shared" si="9"/>
        <v>23695242</v>
      </c>
      <c r="DA39" s="102">
        <v>16376022</v>
      </c>
      <c r="DB39" s="102">
        <v>7319220</v>
      </c>
      <c r="DC39" s="102">
        <v>167692783</v>
      </c>
      <c r="DD39" s="102">
        <v>76441915</v>
      </c>
      <c r="DE39" s="102">
        <v>87543501</v>
      </c>
      <c r="DF39" s="77">
        <v>2666047</v>
      </c>
      <c r="DG39" s="78">
        <v>1039708</v>
      </c>
      <c r="DH39" s="102">
        <v>718923</v>
      </c>
      <c r="DI39" s="102">
        <v>31871254</v>
      </c>
      <c r="DJ39" s="102">
        <v>14670156</v>
      </c>
      <c r="DK39" s="102">
        <v>3672642</v>
      </c>
      <c r="DL39" s="102">
        <v>13528456</v>
      </c>
      <c r="DM39" s="102">
        <v>5377333</v>
      </c>
      <c r="DN39" s="102">
        <v>5121592</v>
      </c>
      <c r="DO39" s="102">
        <v>563687</v>
      </c>
      <c r="DP39" s="102">
        <v>2359291</v>
      </c>
      <c r="DQ39" s="102">
        <v>7892704</v>
      </c>
      <c r="DR39" s="102">
        <v>0</v>
      </c>
      <c r="DS39" s="102">
        <v>0</v>
      </c>
      <c r="DT39" s="102">
        <v>204144615</v>
      </c>
      <c r="DU39" s="102">
        <v>39554105</v>
      </c>
      <c r="DV39" s="73">
        <f t="shared" si="10"/>
        <v>0</v>
      </c>
      <c r="DW39" s="102">
        <v>0</v>
      </c>
      <c r="DX39" s="102">
        <v>54019078</v>
      </c>
      <c r="DY39" s="102">
        <v>491871</v>
      </c>
      <c r="DZ39" s="102">
        <v>56879362</v>
      </c>
      <c r="EA39" s="74">
        <v>0</v>
      </c>
      <c r="EB39" s="102">
        <v>50890614</v>
      </c>
      <c r="EC39" s="102">
        <v>0</v>
      </c>
      <c r="ED39" s="102">
        <v>1788086747</v>
      </c>
      <c r="EE39" s="71"/>
      <c r="EF39" s="102">
        <v>25272455</v>
      </c>
      <c r="EG39" s="102">
        <v>8977632</v>
      </c>
      <c r="EH39" s="102">
        <v>16294823</v>
      </c>
      <c r="EI39" s="102">
        <v>-8752516</v>
      </c>
      <c r="EJ39" s="102">
        <v>1569565</v>
      </c>
      <c r="EK39" s="71"/>
      <c r="EL39" s="102"/>
      <c r="EM39" s="102">
        <v>5163906</v>
      </c>
      <c r="EN39" s="102">
        <v>17793933</v>
      </c>
      <c r="EO39" s="102">
        <v>7153173</v>
      </c>
      <c r="EP39" s="73">
        <f t="shared" si="11"/>
        <v>50760999</v>
      </c>
      <c r="EQ39" s="102">
        <v>1025069171</v>
      </c>
      <c r="ER39" s="71">
        <v>-154017224</v>
      </c>
      <c r="ES39" s="102">
        <v>268927002</v>
      </c>
      <c r="ET39" s="102">
        <v>174665082</v>
      </c>
      <c r="EU39" s="102">
        <v>156366949</v>
      </c>
      <c r="EV39" s="102">
        <v>167248424</v>
      </c>
      <c r="EW39" s="73">
        <f t="shared" si="12"/>
        <v>42095954</v>
      </c>
      <c r="EX39" s="102">
        <v>41913320</v>
      </c>
      <c r="EY39" s="102">
        <v>4775801</v>
      </c>
      <c r="EZ39" s="102">
        <v>36682264</v>
      </c>
      <c r="FA39" s="102">
        <v>182634</v>
      </c>
      <c r="FB39" s="102">
        <v>0</v>
      </c>
      <c r="FC39" s="102">
        <v>168202088</v>
      </c>
      <c r="FD39" s="102">
        <v>131602953</v>
      </c>
      <c r="FE39" s="102">
        <v>35775521</v>
      </c>
      <c r="FF39" s="102">
        <v>173404885</v>
      </c>
      <c r="FG39" s="73">
        <f t="shared" si="13"/>
        <v>46013665</v>
      </c>
      <c r="FH39" s="102">
        <v>1153861920</v>
      </c>
      <c r="FI39" s="379">
        <f t="shared" si="14"/>
        <v>1.6</v>
      </c>
      <c r="FJ39" s="102">
        <v>930005195</v>
      </c>
      <c r="FK39" s="102">
        <v>87846239</v>
      </c>
      <c r="FL39" s="102">
        <v>578227009</v>
      </c>
      <c r="FM39" s="102">
        <v>756798271</v>
      </c>
      <c r="FN39" s="428">
        <v>0.75900000000000001</v>
      </c>
      <c r="FO39" s="424">
        <v>96</v>
      </c>
      <c r="FP39" s="425">
        <v>25.5</v>
      </c>
      <c r="FQ39" s="424">
        <v>15</v>
      </c>
      <c r="FR39" s="424">
        <v>15.7</v>
      </c>
      <c r="FS39" s="425">
        <v>14.9</v>
      </c>
      <c r="FT39" s="424">
        <v>9.6999999999999993</v>
      </c>
      <c r="FU39" s="425">
        <v>13.9</v>
      </c>
      <c r="FV39" s="384">
        <f t="shared" si="15"/>
        <v>5.6</v>
      </c>
      <c r="FW39" s="102">
        <v>1502767152</v>
      </c>
      <c r="FX39" s="384">
        <f t="shared" si="16"/>
        <v>147.6</v>
      </c>
      <c r="FY39" s="102">
        <v>313552829</v>
      </c>
      <c r="FZ39" s="102">
        <v>135033106</v>
      </c>
      <c r="GA39" s="102">
        <v>24943245</v>
      </c>
      <c r="GB39" s="102">
        <v>153576478</v>
      </c>
      <c r="GC39" s="102">
        <v>12241800</v>
      </c>
      <c r="GD39" s="427">
        <v>37223</v>
      </c>
      <c r="GE39" s="386">
        <f>IF(GD39=0,"-",ROUND(GD39/GW39*100,1))</f>
        <v>10.6</v>
      </c>
      <c r="GF39" s="424">
        <v>98.8</v>
      </c>
      <c r="GG39" s="424">
        <v>28.1</v>
      </c>
      <c r="GH39" s="424">
        <v>95.7</v>
      </c>
      <c r="GI39" s="102">
        <v>29337</v>
      </c>
      <c r="GJ39" s="429" t="s">
        <v>646</v>
      </c>
      <c r="GK39" s="429" t="s">
        <v>646</v>
      </c>
      <c r="GL39" s="88" t="s">
        <v>646</v>
      </c>
      <c r="GM39" s="429" t="s">
        <v>646</v>
      </c>
      <c r="GN39" s="429" t="s">
        <v>646</v>
      </c>
      <c r="GO39" s="429" t="s">
        <v>646</v>
      </c>
      <c r="GP39" s="425">
        <v>5.6</v>
      </c>
      <c r="GQ39" s="431" t="s">
        <v>646</v>
      </c>
      <c r="GR39" s="431" t="s">
        <v>646</v>
      </c>
      <c r="GS39" s="431">
        <v>13.6</v>
      </c>
      <c r="GT39" s="431" t="s">
        <v>646</v>
      </c>
      <c r="GU39" s="394"/>
      <c r="GV39" s="100">
        <f t="shared" si="17"/>
        <v>1017851</v>
      </c>
      <c r="GW39" s="394">
        <f>GV12+GV13+GV16+GV17+GV19+GV23+GV26+GV27+GV30+GV31+GV35+GV36</f>
        <v>352037</v>
      </c>
      <c r="GX39" s="394"/>
      <c r="GY39" s="394"/>
      <c r="GZ39" s="394"/>
      <c r="HA39" s="394"/>
      <c r="HB39" s="394"/>
      <c r="HC39" s="394"/>
      <c r="HD39" s="394"/>
      <c r="HE39" s="394"/>
      <c r="HF39" s="394"/>
      <c r="HG39" s="394"/>
      <c r="HH39" s="394"/>
      <c r="HI39" s="394"/>
      <c r="HJ39" s="394"/>
      <c r="HK39" s="394"/>
      <c r="HL39" s="394"/>
      <c r="HM39" s="394"/>
      <c r="HN39" s="394"/>
      <c r="HO39" s="394"/>
      <c r="HP39" s="394"/>
      <c r="HQ39" s="394"/>
      <c r="HR39" s="394"/>
      <c r="HS39" s="394"/>
      <c r="HT39" s="394"/>
      <c r="HU39" s="394"/>
      <c r="HV39" s="394"/>
    </row>
    <row r="40" spans="2:230" x14ac:dyDescent="0.15">
      <c r="B40" s="89" t="s">
        <v>69</v>
      </c>
      <c r="C40" s="102">
        <v>4661765</v>
      </c>
      <c r="D40" s="73">
        <f t="shared" si="0"/>
        <v>1780722</v>
      </c>
      <c r="E40" s="102">
        <v>51256</v>
      </c>
      <c r="F40" s="102">
        <v>1729466</v>
      </c>
      <c r="G40" s="73">
        <f t="shared" si="1"/>
        <v>559139</v>
      </c>
      <c r="H40" s="102">
        <v>60405</v>
      </c>
      <c r="I40" s="102">
        <v>498734</v>
      </c>
      <c r="J40" s="102">
        <v>1846053</v>
      </c>
      <c r="K40" s="102">
        <v>661128</v>
      </c>
      <c r="L40" s="102">
        <v>784628</v>
      </c>
      <c r="M40" s="102">
        <v>373994</v>
      </c>
      <c r="N40" s="102">
        <v>99887</v>
      </c>
      <c r="O40" s="102">
        <v>353947</v>
      </c>
      <c r="P40" s="102">
        <v>181200</v>
      </c>
      <c r="Q40" s="102">
        <v>172747</v>
      </c>
      <c r="R40" s="102">
        <v>48856</v>
      </c>
      <c r="S40" s="74"/>
      <c r="T40" s="73">
        <f t="shared" si="2"/>
        <v>437391</v>
      </c>
      <c r="U40" s="102">
        <v>18533</v>
      </c>
      <c r="V40" s="102">
        <v>50221</v>
      </c>
      <c r="W40" s="102">
        <v>26524</v>
      </c>
      <c r="X40" s="102">
        <v>285820</v>
      </c>
      <c r="Y40" s="102">
        <v>44296</v>
      </c>
      <c r="Z40" s="102">
        <v>0</v>
      </c>
      <c r="AA40" s="102">
        <v>11997</v>
      </c>
      <c r="AB40" s="102">
        <v>30544</v>
      </c>
      <c r="AC40" s="102">
        <v>1256140</v>
      </c>
      <c r="AD40" s="102">
        <v>998338</v>
      </c>
      <c r="AE40" s="102">
        <v>257802</v>
      </c>
      <c r="AF40" s="102">
        <v>3120</v>
      </c>
      <c r="AG40" s="102">
        <v>83081</v>
      </c>
      <c r="AH40" s="73">
        <f t="shared" si="3"/>
        <v>317418</v>
      </c>
      <c r="AI40" s="102">
        <v>276645</v>
      </c>
      <c r="AJ40" s="102">
        <v>40773</v>
      </c>
      <c r="AK40" s="102">
        <v>1318735</v>
      </c>
      <c r="AL40" s="73">
        <f t="shared" si="4"/>
        <v>503202</v>
      </c>
      <c r="AM40" s="102">
        <v>193744</v>
      </c>
      <c r="AN40" s="102">
        <v>126596</v>
      </c>
      <c r="AO40" s="74"/>
      <c r="AP40" s="102">
        <v>182862</v>
      </c>
      <c r="AQ40" s="102">
        <v>27871</v>
      </c>
      <c r="AR40" s="102">
        <v>0</v>
      </c>
      <c r="AS40" s="102">
        <v>0</v>
      </c>
      <c r="AT40" s="102">
        <v>794407</v>
      </c>
      <c r="AU40" s="102">
        <v>590948</v>
      </c>
      <c r="AV40" s="102">
        <v>29795</v>
      </c>
      <c r="AW40" s="102">
        <v>213901</v>
      </c>
      <c r="AX40" s="102">
        <v>203459</v>
      </c>
      <c r="AY40" s="102">
        <v>24717</v>
      </c>
      <c r="AZ40" s="102">
        <v>22914</v>
      </c>
      <c r="BA40" s="102">
        <v>20186</v>
      </c>
      <c r="BB40" s="102">
        <v>9687</v>
      </c>
      <c r="BC40" s="102">
        <v>353734</v>
      </c>
      <c r="BD40" s="102">
        <v>50000</v>
      </c>
      <c r="BE40" s="102">
        <v>50000</v>
      </c>
      <c r="BF40" s="102">
        <v>221656</v>
      </c>
      <c r="BG40" s="102">
        <v>0</v>
      </c>
      <c r="BH40" s="102">
        <v>152988</v>
      </c>
      <c r="BI40" s="102">
        <v>124558</v>
      </c>
      <c r="BJ40" s="102">
        <v>126120</v>
      </c>
      <c r="BK40" s="102">
        <v>21698</v>
      </c>
      <c r="BL40" s="102">
        <v>0</v>
      </c>
      <c r="BM40" s="102">
        <v>0</v>
      </c>
      <c r="BN40" s="102">
        <v>856213</v>
      </c>
      <c r="BO40" s="73">
        <f t="shared" si="5"/>
        <v>313500</v>
      </c>
      <c r="BP40" s="73">
        <f t="shared" si="6"/>
        <v>542713</v>
      </c>
      <c r="BQ40" s="102">
        <v>0</v>
      </c>
      <c r="BR40" s="102">
        <v>0</v>
      </c>
      <c r="BS40" s="102">
        <v>542713</v>
      </c>
      <c r="BT40" s="102">
        <v>0</v>
      </c>
      <c r="BU40" s="102">
        <v>10473113</v>
      </c>
      <c r="BV40" s="71"/>
      <c r="BW40" s="102">
        <v>1948279</v>
      </c>
      <c r="BX40" s="102">
        <v>1278673</v>
      </c>
      <c r="BY40" s="102">
        <v>171295</v>
      </c>
      <c r="BZ40" s="102">
        <v>101436</v>
      </c>
      <c r="CA40" s="102">
        <v>2109423</v>
      </c>
      <c r="CB40" s="102">
        <v>637418</v>
      </c>
      <c r="CC40" s="102">
        <v>43565</v>
      </c>
      <c r="CD40" s="102">
        <v>1153873</v>
      </c>
      <c r="CE40" s="102">
        <v>246198</v>
      </c>
      <c r="CF40" s="102">
        <v>1973</v>
      </c>
      <c r="CG40" s="102">
        <v>26396</v>
      </c>
      <c r="CH40" s="102">
        <v>1166366</v>
      </c>
      <c r="CI40" s="102">
        <v>1028969</v>
      </c>
      <c r="CJ40" s="83">
        <f t="shared" si="18"/>
        <v>137397</v>
      </c>
      <c r="CK40" s="102">
        <v>2051971</v>
      </c>
      <c r="CL40" s="102">
        <v>1162776</v>
      </c>
      <c r="CM40" s="102">
        <v>226657</v>
      </c>
      <c r="CN40" s="102">
        <v>318602</v>
      </c>
      <c r="CO40" s="102">
        <v>80475</v>
      </c>
      <c r="CP40" s="102">
        <v>301743</v>
      </c>
      <c r="CQ40" s="102">
        <v>1709</v>
      </c>
      <c r="CR40" s="102">
        <v>123289</v>
      </c>
      <c r="CS40" s="102">
        <v>101220</v>
      </c>
      <c r="CT40" s="73">
        <f t="shared" si="7"/>
        <v>3224</v>
      </c>
      <c r="CU40" s="102">
        <v>0</v>
      </c>
      <c r="CV40" s="102">
        <v>3224</v>
      </c>
      <c r="CW40" s="73">
        <f t="shared" si="8"/>
        <v>0</v>
      </c>
      <c r="CX40" s="102">
        <v>0</v>
      </c>
      <c r="CY40" s="102">
        <v>0</v>
      </c>
      <c r="CZ40" s="73">
        <f t="shared" si="9"/>
        <v>0</v>
      </c>
      <c r="DA40" s="102">
        <v>0</v>
      </c>
      <c r="DB40" s="102">
        <v>0</v>
      </c>
      <c r="DC40" s="102">
        <v>1223682</v>
      </c>
      <c r="DD40" s="102">
        <v>878322</v>
      </c>
      <c r="DE40" s="102">
        <v>313073</v>
      </c>
      <c r="DF40" s="77">
        <v>31971</v>
      </c>
      <c r="DG40" s="78">
        <v>0</v>
      </c>
      <c r="DH40" s="102">
        <v>13978</v>
      </c>
      <c r="DI40" s="102">
        <v>114177</v>
      </c>
      <c r="DJ40" s="102">
        <v>62573</v>
      </c>
      <c r="DK40" s="102">
        <v>325</v>
      </c>
      <c r="DL40" s="102">
        <v>51279</v>
      </c>
      <c r="DM40" s="102">
        <v>0</v>
      </c>
      <c r="DN40" s="102">
        <v>0</v>
      </c>
      <c r="DO40" s="102">
        <v>0</v>
      </c>
      <c r="DP40" s="102">
        <v>0</v>
      </c>
      <c r="DQ40" s="102">
        <v>21325</v>
      </c>
      <c r="DR40" s="102">
        <v>0</v>
      </c>
      <c r="DS40" s="102">
        <v>0</v>
      </c>
      <c r="DT40" s="102">
        <v>1349182</v>
      </c>
      <c r="DU40" s="102">
        <v>475000</v>
      </c>
      <c r="DV40" s="73">
        <f t="shared" si="10"/>
        <v>0</v>
      </c>
      <c r="DW40" s="102">
        <v>0</v>
      </c>
      <c r="DX40" s="102">
        <v>327163</v>
      </c>
      <c r="DY40" s="102">
        <v>0</v>
      </c>
      <c r="DZ40" s="102">
        <v>229067</v>
      </c>
      <c r="EA40" s="74">
        <v>0</v>
      </c>
      <c r="EB40" s="102">
        <v>317890</v>
      </c>
      <c r="EC40" s="102">
        <v>0</v>
      </c>
      <c r="ED40" s="102">
        <v>10380601</v>
      </c>
      <c r="EE40" s="71"/>
      <c r="EF40" s="102">
        <v>92512</v>
      </c>
      <c r="EG40" s="102">
        <v>37769</v>
      </c>
      <c r="EH40" s="102">
        <v>54743</v>
      </c>
      <c r="EI40" s="102">
        <v>-69815</v>
      </c>
      <c r="EJ40" s="102">
        <v>-57242</v>
      </c>
      <c r="EK40" s="71"/>
      <c r="EL40" s="102"/>
      <c r="EM40" s="102">
        <v>30709</v>
      </c>
      <c r="EN40" s="102">
        <v>132079</v>
      </c>
      <c r="EO40" s="102">
        <v>21965</v>
      </c>
      <c r="EP40" s="73">
        <f t="shared" si="11"/>
        <v>313906</v>
      </c>
      <c r="EQ40" s="102">
        <v>6437816</v>
      </c>
      <c r="ER40" s="71">
        <v>-1007543</v>
      </c>
      <c r="ES40" s="102">
        <v>1799706</v>
      </c>
      <c r="ET40" s="102">
        <v>1157180</v>
      </c>
      <c r="EU40" s="102">
        <v>769627</v>
      </c>
      <c r="EV40" s="102">
        <v>1117977</v>
      </c>
      <c r="EW40" s="73">
        <f t="shared" si="12"/>
        <v>277446</v>
      </c>
      <c r="EX40" s="102">
        <v>268606</v>
      </c>
      <c r="EY40" s="102">
        <v>107328</v>
      </c>
      <c r="EZ40" s="102">
        <v>157691</v>
      </c>
      <c r="FA40" s="102">
        <v>8840</v>
      </c>
      <c r="FB40" s="102">
        <v>0</v>
      </c>
      <c r="FC40" s="102">
        <v>1717308</v>
      </c>
      <c r="FD40" s="102">
        <v>280465</v>
      </c>
      <c r="FE40" s="102">
        <v>1709</v>
      </c>
      <c r="FF40" s="102">
        <v>1207422</v>
      </c>
      <c r="FG40" s="73">
        <f t="shared" si="13"/>
        <v>182896</v>
      </c>
      <c r="FH40" s="102">
        <v>7352847</v>
      </c>
      <c r="FI40" s="379">
        <f t="shared" si="14"/>
        <v>0.9</v>
      </c>
      <c r="FJ40" s="102">
        <v>5734440</v>
      </c>
      <c r="FK40" s="102">
        <v>542713</v>
      </c>
      <c r="FL40" s="102">
        <v>3656665</v>
      </c>
      <c r="FM40" s="102">
        <v>4649683</v>
      </c>
      <c r="FN40" s="428">
        <v>0.77300000000000002</v>
      </c>
      <c r="FO40" s="424">
        <v>99.6</v>
      </c>
      <c r="FP40" s="425">
        <v>27.9</v>
      </c>
      <c r="FQ40" s="424">
        <v>12</v>
      </c>
      <c r="FR40" s="424">
        <v>17.5</v>
      </c>
      <c r="FS40" s="425">
        <v>21.9</v>
      </c>
      <c r="FT40" s="424">
        <v>3.8</v>
      </c>
      <c r="FU40" s="425">
        <v>15.3</v>
      </c>
      <c r="FV40" s="384">
        <f t="shared" si="15"/>
        <v>7.9</v>
      </c>
      <c r="FW40" s="102">
        <v>10572195</v>
      </c>
      <c r="FX40" s="384">
        <f t="shared" si="16"/>
        <v>168.4</v>
      </c>
      <c r="FY40" s="102">
        <v>4493700</v>
      </c>
      <c r="FZ40" s="102">
        <v>1388754</v>
      </c>
      <c r="GA40" s="102">
        <v>1195528</v>
      </c>
      <c r="GB40" s="102">
        <v>1909418</v>
      </c>
      <c r="GC40" s="102">
        <v>0</v>
      </c>
      <c r="GD40" s="427"/>
      <c r="GE40" s="386"/>
      <c r="GF40" s="424">
        <v>99.6</v>
      </c>
      <c r="GG40" s="424">
        <v>12.4</v>
      </c>
      <c r="GH40" s="424">
        <v>93.9</v>
      </c>
      <c r="GI40" s="102">
        <v>234</v>
      </c>
      <c r="GJ40" s="429" t="s">
        <v>646</v>
      </c>
      <c r="GK40" s="429">
        <v>14.32</v>
      </c>
      <c r="GL40" s="87">
        <v>20</v>
      </c>
      <c r="GM40" s="429" t="s">
        <v>646</v>
      </c>
      <c r="GN40" s="430">
        <v>19.32</v>
      </c>
      <c r="GO40" s="430">
        <v>30</v>
      </c>
      <c r="GP40" s="425">
        <v>7.9</v>
      </c>
      <c r="GQ40" s="425">
        <v>25</v>
      </c>
      <c r="GR40" s="425">
        <v>35</v>
      </c>
      <c r="GS40" s="431" t="s">
        <v>646</v>
      </c>
      <c r="GT40" s="425">
        <v>350</v>
      </c>
      <c r="GU40" s="394"/>
      <c r="GV40" s="100">
        <f t="shared" si="17"/>
        <v>6277</v>
      </c>
      <c r="GW40" s="394"/>
      <c r="GX40" s="394"/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</row>
    <row r="41" spans="2:230" x14ac:dyDescent="0.15">
      <c r="B41" s="89" t="s">
        <v>71</v>
      </c>
      <c r="C41" s="102">
        <v>2011154</v>
      </c>
      <c r="D41" s="73">
        <f t="shared" si="0"/>
        <v>1215788</v>
      </c>
      <c r="E41" s="102">
        <v>37293</v>
      </c>
      <c r="F41" s="102">
        <v>1178495</v>
      </c>
      <c r="G41" s="73">
        <f t="shared" si="1"/>
        <v>28798</v>
      </c>
      <c r="H41" s="102">
        <v>17932</v>
      </c>
      <c r="I41" s="102">
        <v>10866</v>
      </c>
      <c r="J41" s="102">
        <v>691580</v>
      </c>
      <c r="K41" s="102">
        <v>198290</v>
      </c>
      <c r="L41" s="102">
        <v>349968</v>
      </c>
      <c r="M41" s="102">
        <v>143322</v>
      </c>
      <c r="N41" s="102">
        <v>47797</v>
      </c>
      <c r="O41" s="102">
        <v>0</v>
      </c>
      <c r="P41" s="102">
        <v>0</v>
      </c>
      <c r="Q41" s="102">
        <v>0</v>
      </c>
      <c r="R41" s="102">
        <v>55473</v>
      </c>
      <c r="S41" s="74"/>
      <c r="T41" s="73">
        <f t="shared" si="2"/>
        <v>283329</v>
      </c>
      <c r="U41" s="102">
        <v>14514</v>
      </c>
      <c r="V41" s="102">
        <v>38698</v>
      </c>
      <c r="W41" s="102">
        <v>20224</v>
      </c>
      <c r="X41" s="102">
        <v>189015</v>
      </c>
      <c r="Y41" s="102">
        <v>7266</v>
      </c>
      <c r="Z41" s="102">
        <v>0</v>
      </c>
      <c r="AA41" s="102">
        <v>13612</v>
      </c>
      <c r="AB41" s="102">
        <v>5610</v>
      </c>
      <c r="AC41" s="102">
        <v>2030652</v>
      </c>
      <c r="AD41" s="102">
        <v>1744719</v>
      </c>
      <c r="AE41" s="102">
        <v>285933</v>
      </c>
      <c r="AF41" s="102">
        <v>3142</v>
      </c>
      <c r="AG41" s="102">
        <v>91677</v>
      </c>
      <c r="AH41" s="73">
        <f t="shared" si="3"/>
        <v>76597</v>
      </c>
      <c r="AI41" s="102">
        <v>63029</v>
      </c>
      <c r="AJ41" s="102">
        <v>13568</v>
      </c>
      <c r="AK41" s="102">
        <v>386614</v>
      </c>
      <c r="AL41" s="73">
        <f t="shared" si="4"/>
        <v>91419</v>
      </c>
      <c r="AM41" s="102">
        <v>0</v>
      </c>
      <c r="AN41" s="102">
        <v>0</v>
      </c>
      <c r="AO41" s="74"/>
      <c r="AP41" s="102">
        <v>91419</v>
      </c>
      <c r="AQ41" s="102">
        <v>3771</v>
      </c>
      <c r="AR41" s="102">
        <v>8582</v>
      </c>
      <c r="AS41" s="102">
        <v>0</v>
      </c>
      <c r="AT41" s="102">
        <v>436875</v>
      </c>
      <c r="AU41" s="102">
        <v>221715</v>
      </c>
      <c r="AV41" s="102">
        <v>5543</v>
      </c>
      <c r="AW41" s="102">
        <v>227</v>
      </c>
      <c r="AX41" s="102">
        <v>215160</v>
      </c>
      <c r="AY41" s="102">
        <v>1245</v>
      </c>
      <c r="AZ41" s="102">
        <v>7210</v>
      </c>
      <c r="BA41" s="102">
        <v>286</v>
      </c>
      <c r="BB41" s="102">
        <v>8988</v>
      </c>
      <c r="BC41" s="102">
        <v>224837</v>
      </c>
      <c r="BD41" s="102">
        <v>138988</v>
      </c>
      <c r="BE41" s="102">
        <v>0</v>
      </c>
      <c r="BF41" s="102">
        <v>85138</v>
      </c>
      <c r="BG41" s="102">
        <v>0</v>
      </c>
      <c r="BH41" s="102">
        <v>262738</v>
      </c>
      <c r="BI41" s="102">
        <v>163485</v>
      </c>
      <c r="BJ41" s="102">
        <v>94185</v>
      </c>
      <c r="BK41" s="102">
        <v>3168</v>
      </c>
      <c r="BL41" s="102">
        <v>0</v>
      </c>
      <c r="BM41" s="102">
        <v>0</v>
      </c>
      <c r="BN41" s="102">
        <v>471305</v>
      </c>
      <c r="BO41" s="73">
        <f t="shared" si="5"/>
        <v>92900</v>
      </c>
      <c r="BP41" s="73">
        <f t="shared" si="6"/>
        <v>378405</v>
      </c>
      <c r="BQ41" s="102">
        <v>0</v>
      </c>
      <c r="BR41" s="102">
        <v>0</v>
      </c>
      <c r="BS41" s="102">
        <v>378405</v>
      </c>
      <c r="BT41" s="102">
        <v>0</v>
      </c>
      <c r="BU41" s="102">
        <v>6450386</v>
      </c>
      <c r="BV41" s="71"/>
      <c r="BW41" s="102">
        <v>2113116</v>
      </c>
      <c r="BX41" s="102">
        <v>1259427</v>
      </c>
      <c r="BY41" s="102">
        <v>208340</v>
      </c>
      <c r="BZ41" s="102">
        <v>227961</v>
      </c>
      <c r="CA41" s="102">
        <v>538234</v>
      </c>
      <c r="CB41" s="102">
        <v>256809</v>
      </c>
      <c r="CC41" s="102">
        <v>33495</v>
      </c>
      <c r="CD41" s="102">
        <v>239817</v>
      </c>
      <c r="CE41" s="102">
        <v>0</v>
      </c>
      <c r="CF41" s="102">
        <v>0</v>
      </c>
      <c r="CG41" s="102">
        <v>8113</v>
      </c>
      <c r="CH41" s="102">
        <v>552182</v>
      </c>
      <c r="CI41" s="102">
        <v>476598</v>
      </c>
      <c r="CJ41" s="83">
        <f t="shared" si="18"/>
        <v>75584</v>
      </c>
      <c r="CK41" s="102">
        <v>882692</v>
      </c>
      <c r="CL41" s="102">
        <v>477029</v>
      </c>
      <c r="CM41" s="102">
        <v>39857</v>
      </c>
      <c r="CN41" s="102">
        <v>223452</v>
      </c>
      <c r="CO41" s="102">
        <v>151658</v>
      </c>
      <c r="CP41" s="102">
        <v>631546</v>
      </c>
      <c r="CQ41" s="102">
        <v>293754</v>
      </c>
      <c r="CR41" s="102">
        <v>149374</v>
      </c>
      <c r="CS41" s="102">
        <v>144630</v>
      </c>
      <c r="CT41" s="73">
        <f t="shared" si="7"/>
        <v>69640</v>
      </c>
      <c r="CU41" s="102">
        <v>4518</v>
      </c>
      <c r="CV41" s="102">
        <v>65122</v>
      </c>
      <c r="CW41" s="73">
        <f t="shared" si="8"/>
        <v>0</v>
      </c>
      <c r="CX41" s="102">
        <v>0</v>
      </c>
      <c r="CY41" s="102">
        <v>0</v>
      </c>
      <c r="CZ41" s="73">
        <f t="shared" si="9"/>
        <v>0</v>
      </c>
      <c r="DA41" s="102">
        <v>0</v>
      </c>
      <c r="DB41" s="102">
        <v>0</v>
      </c>
      <c r="DC41" s="102">
        <v>189500</v>
      </c>
      <c r="DD41" s="102">
        <v>66572</v>
      </c>
      <c r="DE41" s="102">
        <v>92637</v>
      </c>
      <c r="DF41" s="77">
        <v>30291</v>
      </c>
      <c r="DG41" s="78">
        <v>0</v>
      </c>
      <c r="DH41" s="102">
        <v>77557</v>
      </c>
      <c r="DI41" s="102">
        <v>94796</v>
      </c>
      <c r="DJ41" s="102">
        <v>84188</v>
      </c>
      <c r="DK41" s="102">
        <v>0</v>
      </c>
      <c r="DL41" s="102">
        <v>10608</v>
      </c>
      <c r="DM41" s="102">
        <v>0</v>
      </c>
      <c r="DN41" s="102">
        <v>0</v>
      </c>
      <c r="DO41" s="102">
        <v>0</v>
      </c>
      <c r="DP41" s="102">
        <v>0</v>
      </c>
      <c r="DQ41" s="102">
        <v>4596</v>
      </c>
      <c r="DR41" s="102">
        <v>0</v>
      </c>
      <c r="DS41" s="102">
        <v>0</v>
      </c>
      <c r="DT41" s="102">
        <v>866890</v>
      </c>
      <c r="DU41" s="102">
        <v>148080</v>
      </c>
      <c r="DV41" s="73">
        <f t="shared" si="10"/>
        <v>0</v>
      </c>
      <c r="DW41" s="102">
        <v>0</v>
      </c>
      <c r="DX41" s="102">
        <v>270098</v>
      </c>
      <c r="DY41" s="102">
        <v>0</v>
      </c>
      <c r="DZ41" s="102">
        <v>121416</v>
      </c>
      <c r="EA41" s="74">
        <v>0</v>
      </c>
      <c r="EB41" s="102">
        <v>309164</v>
      </c>
      <c r="EC41" s="102">
        <v>0</v>
      </c>
      <c r="ED41" s="102">
        <v>6102767</v>
      </c>
      <c r="EE41" s="71"/>
      <c r="EF41" s="102">
        <v>347619</v>
      </c>
      <c r="EG41" s="102">
        <v>137389</v>
      </c>
      <c r="EH41" s="102">
        <v>210230</v>
      </c>
      <c r="EI41" s="102">
        <v>46745</v>
      </c>
      <c r="EJ41" s="102">
        <v>-8055</v>
      </c>
      <c r="EK41" s="71"/>
      <c r="EL41" s="102"/>
      <c r="EM41" s="102">
        <v>21400</v>
      </c>
      <c r="EN41" s="102">
        <v>139699</v>
      </c>
      <c r="EO41" s="102">
        <v>286</v>
      </c>
      <c r="EP41" s="73">
        <f t="shared" si="11"/>
        <v>291281</v>
      </c>
      <c r="EQ41" s="102">
        <v>4389360</v>
      </c>
      <c r="ER41" s="71">
        <v>-806529</v>
      </c>
      <c r="ES41" s="102">
        <v>1823602</v>
      </c>
      <c r="ET41" s="102">
        <v>1072138</v>
      </c>
      <c r="EU41" s="102">
        <v>142139</v>
      </c>
      <c r="EV41" s="102">
        <v>552182</v>
      </c>
      <c r="EW41" s="73">
        <f t="shared" si="12"/>
        <v>68779</v>
      </c>
      <c r="EX41" s="102">
        <v>57991</v>
      </c>
      <c r="EY41" s="102">
        <v>7663</v>
      </c>
      <c r="EZ41" s="102">
        <v>47237</v>
      </c>
      <c r="FA41" s="102">
        <v>10788</v>
      </c>
      <c r="FB41" s="102">
        <v>0</v>
      </c>
      <c r="FC41" s="102">
        <v>735020</v>
      </c>
      <c r="FD41" s="102">
        <v>541462</v>
      </c>
      <c r="FE41" s="102">
        <v>293754</v>
      </c>
      <c r="FF41" s="102">
        <v>778872</v>
      </c>
      <c r="FG41" s="73">
        <f t="shared" si="13"/>
        <v>206214</v>
      </c>
      <c r="FH41" s="102">
        <v>4848270</v>
      </c>
      <c r="FI41" s="379">
        <f t="shared" si="14"/>
        <v>4.5999999999999996</v>
      </c>
      <c r="FJ41" s="102">
        <v>4144929</v>
      </c>
      <c r="FK41" s="102">
        <v>378405</v>
      </c>
      <c r="FL41" s="102">
        <v>1888301</v>
      </c>
      <c r="FM41" s="102">
        <v>3625957</v>
      </c>
      <c r="FN41" s="428">
        <v>0.52500000000000002</v>
      </c>
      <c r="FO41" s="424">
        <v>98</v>
      </c>
      <c r="FP41" s="425">
        <v>40.1</v>
      </c>
      <c r="FQ41" s="424">
        <v>3.2</v>
      </c>
      <c r="FR41" s="424">
        <v>12.3</v>
      </c>
      <c r="FS41" s="425">
        <v>15</v>
      </c>
      <c r="FT41" s="424">
        <v>10.3</v>
      </c>
      <c r="FU41" s="425">
        <v>14.5</v>
      </c>
      <c r="FV41" s="384">
        <f t="shared" si="15"/>
        <v>6.1</v>
      </c>
      <c r="FW41" s="102">
        <v>6083870</v>
      </c>
      <c r="FX41" s="384">
        <f t="shared" si="16"/>
        <v>134.5</v>
      </c>
      <c r="FY41" s="102">
        <v>2907217</v>
      </c>
      <c r="FZ41" s="102">
        <v>1966136</v>
      </c>
      <c r="GA41" s="102">
        <v>677</v>
      </c>
      <c r="GB41" s="102">
        <v>940404</v>
      </c>
      <c r="GC41" s="102">
        <v>75600</v>
      </c>
      <c r="GD41" s="427"/>
      <c r="GE41" s="386"/>
      <c r="GF41" s="424">
        <v>99.2</v>
      </c>
      <c r="GG41" s="424">
        <v>23.1</v>
      </c>
      <c r="GH41" s="424">
        <v>96.9</v>
      </c>
      <c r="GI41" s="102">
        <v>197</v>
      </c>
      <c r="GJ41" s="429" t="s">
        <v>646</v>
      </c>
      <c r="GK41" s="429">
        <v>15</v>
      </c>
      <c r="GL41" s="87">
        <v>20</v>
      </c>
      <c r="GM41" s="429" t="s">
        <v>646</v>
      </c>
      <c r="GN41" s="430">
        <v>20</v>
      </c>
      <c r="GO41" s="430">
        <v>30</v>
      </c>
      <c r="GP41" s="425">
        <v>6.1</v>
      </c>
      <c r="GQ41" s="425">
        <v>25</v>
      </c>
      <c r="GR41" s="425">
        <v>35</v>
      </c>
      <c r="GS41" s="431">
        <v>27.9</v>
      </c>
      <c r="GT41" s="425">
        <v>350</v>
      </c>
      <c r="GU41" s="394"/>
      <c r="GV41" s="100">
        <f t="shared" si="17"/>
        <v>4523</v>
      </c>
      <c r="GW41" s="394"/>
      <c r="GX41" s="394"/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</row>
    <row r="42" spans="2:230" x14ac:dyDescent="0.15">
      <c r="B42" s="89" t="s">
        <v>73</v>
      </c>
      <c r="C42" s="102">
        <v>1249124</v>
      </c>
      <c r="D42" s="73">
        <f t="shared" si="0"/>
        <v>454034</v>
      </c>
      <c r="E42" s="102">
        <v>18574</v>
      </c>
      <c r="F42" s="102">
        <v>435460</v>
      </c>
      <c r="G42" s="73">
        <f t="shared" si="1"/>
        <v>40773</v>
      </c>
      <c r="H42" s="102">
        <v>19883</v>
      </c>
      <c r="I42" s="102">
        <v>20890</v>
      </c>
      <c r="J42" s="102">
        <v>658579</v>
      </c>
      <c r="K42" s="102">
        <v>124895</v>
      </c>
      <c r="L42" s="102">
        <v>247123</v>
      </c>
      <c r="M42" s="102">
        <v>286427</v>
      </c>
      <c r="N42" s="102">
        <v>57311</v>
      </c>
      <c r="O42" s="102">
        <v>0</v>
      </c>
      <c r="P42" s="102">
        <v>0</v>
      </c>
      <c r="Q42" s="102">
        <v>0</v>
      </c>
      <c r="R42" s="102">
        <v>57580</v>
      </c>
      <c r="S42" s="74"/>
      <c r="T42" s="73">
        <f t="shared" si="2"/>
        <v>190206</v>
      </c>
      <c r="U42" s="102">
        <v>5025</v>
      </c>
      <c r="V42" s="102">
        <v>13433</v>
      </c>
      <c r="W42" s="102">
        <v>7031</v>
      </c>
      <c r="X42" s="102">
        <v>124071</v>
      </c>
      <c r="Y42" s="102">
        <v>26545</v>
      </c>
      <c r="Z42" s="102">
        <v>0</v>
      </c>
      <c r="AA42" s="102">
        <v>14101</v>
      </c>
      <c r="AB42" s="102">
        <v>1086</v>
      </c>
      <c r="AC42" s="102">
        <v>1832127</v>
      </c>
      <c r="AD42" s="102">
        <v>1555107</v>
      </c>
      <c r="AE42" s="102">
        <v>277020</v>
      </c>
      <c r="AF42" s="102">
        <v>1911</v>
      </c>
      <c r="AG42" s="102">
        <v>12568</v>
      </c>
      <c r="AH42" s="73">
        <f t="shared" si="3"/>
        <v>91701</v>
      </c>
      <c r="AI42" s="102">
        <v>52094</v>
      </c>
      <c r="AJ42" s="102">
        <v>39607</v>
      </c>
      <c r="AK42" s="102">
        <v>457486</v>
      </c>
      <c r="AL42" s="73">
        <f t="shared" si="4"/>
        <v>99872</v>
      </c>
      <c r="AM42" s="102">
        <v>0</v>
      </c>
      <c r="AN42" s="102">
        <v>876</v>
      </c>
      <c r="AO42" s="74"/>
      <c r="AP42" s="102">
        <v>98996</v>
      </c>
      <c r="AQ42" s="102">
        <v>100990</v>
      </c>
      <c r="AR42" s="102">
        <v>30397</v>
      </c>
      <c r="AS42" s="102">
        <v>0</v>
      </c>
      <c r="AT42" s="102">
        <v>308302</v>
      </c>
      <c r="AU42" s="102">
        <v>123676</v>
      </c>
      <c r="AV42" s="102">
        <v>438</v>
      </c>
      <c r="AW42" s="102">
        <v>1570</v>
      </c>
      <c r="AX42" s="102">
        <v>184626</v>
      </c>
      <c r="AY42" s="102">
        <v>1582</v>
      </c>
      <c r="AZ42" s="102">
        <v>10390</v>
      </c>
      <c r="BA42" s="102">
        <v>1304</v>
      </c>
      <c r="BB42" s="102">
        <v>205</v>
      </c>
      <c r="BC42" s="102">
        <v>496779</v>
      </c>
      <c r="BD42" s="102">
        <v>380000</v>
      </c>
      <c r="BE42" s="102">
        <v>0</v>
      </c>
      <c r="BF42" s="102">
        <v>95670</v>
      </c>
      <c r="BG42" s="102">
        <v>0</v>
      </c>
      <c r="BH42" s="102">
        <v>338917</v>
      </c>
      <c r="BI42" s="102">
        <v>282655</v>
      </c>
      <c r="BJ42" s="102">
        <v>59804</v>
      </c>
      <c r="BK42" s="102">
        <v>0</v>
      </c>
      <c r="BL42" s="102">
        <v>0</v>
      </c>
      <c r="BM42" s="102">
        <v>0</v>
      </c>
      <c r="BN42" s="102">
        <v>940342</v>
      </c>
      <c r="BO42" s="73">
        <f t="shared" si="5"/>
        <v>707400</v>
      </c>
      <c r="BP42" s="73">
        <f t="shared" si="6"/>
        <v>232942</v>
      </c>
      <c r="BQ42" s="102">
        <v>0</v>
      </c>
      <c r="BR42" s="102">
        <v>0</v>
      </c>
      <c r="BS42" s="102">
        <v>232942</v>
      </c>
      <c r="BT42" s="102">
        <v>0</v>
      </c>
      <c r="BU42" s="102">
        <v>6048528</v>
      </c>
      <c r="BV42" s="71"/>
      <c r="BW42" s="102">
        <v>1142345</v>
      </c>
      <c r="BX42" s="102">
        <v>607558</v>
      </c>
      <c r="BY42" s="102">
        <v>93765</v>
      </c>
      <c r="BZ42" s="102">
        <v>176369</v>
      </c>
      <c r="CA42" s="102">
        <v>464276</v>
      </c>
      <c r="CB42" s="102">
        <v>263794</v>
      </c>
      <c r="CC42" s="102">
        <v>24987</v>
      </c>
      <c r="CD42" s="102">
        <v>151517</v>
      </c>
      <c r="CE42" s="102">
        <v>0</v>
      </c>
      <c r="CF42" s="102">
        <v>5261</v>
      </c>
      <c r="CG42" s="102">
        <v>18717</v>
      </c>
      <c r="CH42" s="102">
        <v>379830</v>
      </c>
      <c r="CI42" s="102">
        <v>327631</v>
      </c>
      <c r="CJ42" s="83">
        <f t="shared" si="18"/>
        <v>52199</v>
      </c>
      <c r="CK42" s="102">
        <v>676933</v>
      </c>
      <c r="CL42" s="102">
        <v>396053</v>
      </c>
      <c r="CM42" s="102">
        <v>23278</v>
      </c>
      <c r="CN42" s="102">
        <v>141999</v>
      </c>
      <c r="CO42" s="102">
        <v>20908</v>
      </c>
      <c r="CP42" s="102">
        <v>610464</v>
      </c>
      <c r="CQ42" s="102">
        <v>166631</v>
      </c>
      <c r="CR42" s="102">
        <v>147329</v>
      </c>
      <c r="CS42" s="102">
        <v>110336</v>
      </c>
      <c r="CT42" s="73">
        <f t="shared" si="7"/>
        <v>136104</v>
      </c>
      <c r="CU42" s="102">
        <v>4004</v>
      </c>
      <c r="CV42" s="102">
        <v>132100</v>
      </c>
      <c r="CW42" s="73">
        <f t="shared" si="8"/>
        <v>0</v>
      </c>
      <c r="CX42" s="102">
        <v>0</v>
      </c>
      <c r="CY42" s="102">
        <v>0</v>
      </c>
      <c r="CZ42" s="73">
        <f t="shared" si="9"/>
        <v>0</v>
      </c>
      <c r="DA42" s="102">
        <v>0</v>
      </c>
      <c r="DB42" s="102">
        <v>0</v>
      </c>
      <c r="DC42" s="102">
        <v>1230533</v>
      </c>
      <c r="DD42" s="102">
        <v>298906</v>
      </c>
      <c r="DE42" s="102">
        <v>907197</v>
      </c>
      <c r="DF42" s="77">
        <v>24430</v>
      </c>
      <c r="DG42" s="78">
        <v>0</v>
      </c>
      <c r="DH42" s="102">
        <v>137992</v>
      </c>
      <c r="DI42" s="102">
        <v>178028</v>
      </c>
      <c r="DJ42" s="102">
        <v>165897</v>
      </c>
      <c r="DK42" s="102">
        <v>0</v>
      </c>
      <c r="DL42" s="102">
        <v>12131</v>
      </c>
      <c r="DM42" s="102">
        <v>63887</v>
      </c>
      <c r="DN42" s="102">
        <v>63887</v>
      </c>
      <c r="DO42" s="102">
        <v>63887</v>
      </c>
      <c r="DP42" s="102">
        <v>0</v>
      </c>
      <c r="DQ42" s="102">
        <v>0</v>
      </c>
      <c r="DR42" s="102">
        <v>0</v>
      </c>
      <c r="DS42" s="102">
        <v>0</v>
      </c>
      <c r="DT42" s="102">
        <v>700691</v>
      </c>
      <c r="DU42" s="102">
        <v>217067</v>
      </c>
      <c r="DV42" s="73">
        <f t="shared" si="10"/>
        <v>0</v>
      </c>
      <c r="DW42" s="102">
        <v>0</v>
      </c>
      <c r="DX42" s="102">
        <v>195797</v>
      </c>
      <c r="DY42" s="102">
        <v>0</v>
      </c>
      <c r="DZ42" s="102">
        <v>96480</v>
      </c>
      <c r="EA42" s="74">
        <v>0</v>
      </c>
      <c r="EB42" s="102">
        <v>163117</v>
      </c>
      <c r="EC42" s="102">
        <v>0</v>
      </c>
      <c r="ED42" s="102">
        <v>5605887</v>
      </c>
      <c r="EE42" s="71"/>
      <c r="EF42" s="102">
        <v>442641</v>
      </c>
      <c r="EG42" s="102">
        <v>128841</v>
      </c>
      <c r="EH42" s="102">
        <v>313800</v>
      </c>
      <c r="EI42" s="102">
        <v>31145</v>
      </c>
      <c r="EJ42" s="102">
        <v>-182958</v>
      </c>
      <c r="EK42" s="71"/>
      <c r="EL42" s="102"/>
      <c r="EM42" s="102">
        <v>11213</v>
      </c>
      <c r="EN42" s="102">
        <v>470109</v>
      </c>
      <c r="EO42" s="102">
        <v>2864</v>
      </c>
      <c r="EP42" s="73">
        <f t="shared" si="11"/>
        <v>342241</v>
      </c>
      <c r="EQ42" s="102">
        <v>3332034</v>
      </c>
      <c r="ER42" s="71">
        <v>-1046245</v>
      </c>
      <c r="ES42" s="102">
        <v>1076429</v>
      </c>
      <c r="ET42" s="102">
        <v>562848</v>
      </c>
      <c r="EU42" s="102">
        <v>150869</v>
      </c>
      <c r="EV42" s="102">
        <v>379830</v>
      </c>
      <c r="EW42" s="73">
        <f t="shared" si="12"/>
        <v>404366</v>
      </c>
      <c r="EX42" s="102">
        <v>387475</v>
      </c>
      <c r="EY42" s="102">
        <v>14943</v>
      </c>
      <c r="EZ42" s="102">
        <v>369606</v>
      </c>
      <c r="FA42" s="102">
        <v>16891</v>
      </c>
      <c r="FB42" s="102">
        <v>0</v>
      </c>
      <c r="FC42" s="102">
        <v>523348</v>
      </c>
      <c r="FD42" s="102">
        <v>529157</v>
      </c>
      <c r="FE42" s="102">
        <v>166631</v>
      </c>
      <c r="FF42" s="102">
        <v>623365</v>
      </c>
      <c r="FG42" s="73">
        <f t="shared" si="13"/>
        <v>248274</v>
      </c>
      <c r="FH42" s="102">
        <v>3935638</v>
      </c>
      <c r="FI42" s="379">
        <f t="shared" si="14"/>
        <v>9.6</v>
      </c>
      <c r="FJ42" s="102">
        <v>3037572</v>
      </c>
      <c r="FK42" s="102">
        <v>232942</v>
      </c>
      <c r="FL42" s="102">
        <v>1163222</v>
      </c>
      <c r="FM42" s="102">
        <v>2718329</v>
      </c>
      <c r="FN42" s="428">
        <v>0.434</v>
      </c>
      <c r="FO42" s="424">
        <v>96.3</v>
      </c>
      <c r="FP42" s="425">
        <v>31.9</v>
      </c>
      <c r="FQ42" s="424">
        <v>4.5999999999999996</v>
      </c>
      <c r="FR42" s="424">
        <v>11.5</v>
      </c>
      <c r="FS42" s="425">
        <v>14.3</v>
      </c>
      <c r="FT42" s="424">
        <v>13.8</v>
      </c>
      <c r="FU42" s="425">
        <v>17.899999999999999</v>
      </c>
      <c r="FV42" s="384">
        <f t="shared" si="15"/>
        <v>12.7</v>
      </c>
      <c r="FW42" s="102">
        <v>5037888</v>
      </c>
      <c r="FX42" s="384">
        <f t="shared" si="16"/>
        <v>154</v>
      </c>
      <c r="FY42" s="102">
        <v>3929993</v>
      </c>
      <c r="FZ42" s="102">
        <v>3145208</v>
      </c>
      <c r="GA42" s="102">
        <v>0</v>
      </c>
      <c r="GB42" s="102">
        <v>784785</v>
      </c>
      <c r="GC42" s="102">
        <v>0</v>
      </c>
      <c r="GD42" s="427"/>
      <c r="GE42" s="386"/>
      <c r="GF42" s="424">
        <v>98.8</v>
      </c>
      <c r="GG42" s="424">
        <v>23.9</v>
      </c>
      <c r="GH42" s="424">
        <v>93.4</v>
      </c>
      <c r="GI42" s="102">
        <v>108</v>
      </c>
      <c r="GJ42" s="429" t="s">
        <v>646</v>
      </c>
      <c r="GK42" s="429">
        <v>15</v>
      </c>
      <c r="GL42" s="87">
        <v>20</v>
      </c>
      <c r="GM42" s="429" t="s">
        <v>646</v>
      </c>
      <c r="GN42" s="430">
        <v>20</v>
      </c>
      <c r="GO42" s="430">
        <v>30</v>
      </c>
      <c r="GP42" s="425">
        <v>12.7</v>
      </c>
      <c r="GQ42" s="425">
        <v>25</v>
      </c>
      <c r="GR42" s="425">
        <v>35</v>
      </c>
      <c r="GS42" s="431">
        <v>74.599999999999994</v>
      </c>
      <c r="GT42" s="425">
        <v>350</v>
      </c>
      <c r="GU42" s="394"/>
      <c r="GV42" s="100">
        <f t="shared" si="17"/>
        <v>3271</v>
      </c>
      <c r="GW42" s="394"/>
      <c r="GX42" s="394"/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</row>
    <row r="43" spans="2:230" x14ac:dyDescent="0.15">
      <c r="B43" s="89" t="s">
        <v>75</v>
      </c>
      <c r="C43" s="102">
        <v>2311733</v>
      </c>
      <c r="D43" s="73">
        <f t="shared" si="0"/>
        <v>690000</v>
      </c>
      <c r="E43" s="102">
        <v>24752</v>
      </c>
      <c r="F43" s="102">
        <v>665248</v>
      </c>
      <c r="G43" s="73">
        <f t="shared" si="1"/>
        <v>204131</v>
      </c>
      <c r="H43" s="102">
        <v>48170</v>
      </c>
      <c r="I43" s="102">
        <v>155961</v>
      </c>
      <c r="J43" s="102">
        <v>1053506</v>
      </c>
      <c r="K43" s="102">
        <v>523510</v>
      </c>
      <c r="L43" s="102">
        <v>389792</v>
      </c>
      <c r="M43" s="102">
        <v>128952</v>
      </c>
      <c r="N43" s="102">
        <v>110979</v>
      </c>
      <c r="O43" s="102">
        <v>225742</v>
      </c>
      <c r="P43" s="102">
        <v>140587</v>
      </c>
      <c r="Q43" s="102">
        <v>85155</v>
      </c>
      <c r="R43" s="102">
        <v>31687</v>
      </c>
      <c r="S43" s="74"/>
      <c r="T43" s="73">
        <f t="shared" si="2"/>
        <v>250422</v>
      </c>
      <c r="U43" s="102">
        <v>7195</v>
      </c>
      <c r="V43" s="102">
        <v>19415</v>
      </c>
      <c r="W43" s="102">
        <v>10225</v>
      </c>
      <c r="X43" s="102">
        <v>205813</v>
      </c>
      <c r="Y43" s="102">
        <v>0</v>
      </c>
      <c r="Z43" s="102">
        <v>0</v>
      </c>
      <c r="AA43" s="102">
        <v>7774</v>
      </c>
      <c r="AB43" s="102">
        <v>14704</v>
      </c>
      <c r="AC43" s="102">
        <v>1649514</v>
      </c>
      <c r="AD43" s="102">
        <v>1367516</v>
      </c>
      <c r="AE43" s="102">
        <v>281998</v>
      </c>
      <c r="AF43" s="102">
        <v>3066</v>
      </c>
      <c r="AG43" s="102">
        <v>4287</v>
      </c>
      <c r="AH43" s="73">
        <f t="shared" si="3"/>
        <v>191112</v>
      </c>
      <c r="AI43" s="102">
        <v>148792</v>
      </c>
      <c r="AJ43" s="102">
        <v>42320</v>
      </c>
      <c r="AK43" s="102">
        <v>634756</v>
      </c>
      <c r="AL43" s="73">
        <f t="shared" si="4"/>
        <v>126056</v>
      </c>
      <c r="AM43" s="102">
        <v>0</v>
      </c>
      <c r="AN43" s="102">
        <v>30032</v>
      </c>
      <c r="AO43" s="74"/>
      <c r="AP43" s="102">
        <v>96024</v>
      </c>
      <c r="AQ43" s="102">
        <v>44442</v>
      </c>
      <c r="AR43" s="102">
        <v>0</v>
      </c>
      <c r="AS43" s="102">
        <v>0</v>
      </c>
      <c r="AT43" s="102">
        <v>508376</v>
      </c>
      <c r="AU43" s="102">
        <v>118375</v>
      </c>
      <c r="AV43" s="102">
        <v>14513</v>
      </c>
      <c r="AW43" s="102">
        <v>0</v>
      </c>
      <c r="AX43" s="102">
        <v>390001</v>
      </c>
      <c r="AY43" s="102">
        <v>120953</v>
      </c>
      <c r="AZ43" s="102">
        <v>21943</v>
      </c>
      <c r="BA43" s="102">
        <v>0</v>
      </c>
      <c r="BB43" s="102">
        <v>1211</v>
      </c>
      <c r="BC43" s="102">
        <v>333945</v>
      </c>
      <c r="BD43" s="102">
        <v>84000</v>
      </c>
      <c r="BE43" s="102">
        <v>0</v>
      </c>
      <c r="BF43" s="102">
        <v>249945</v>
      </c>
      <c r="BG43" s="102">
        <v>0</v>
      </c>
      <c r="BH43" s="102">
        <v>248437</v>
      </c>
      <c r="BI43" s="102">
        <v>248437</v>
      </c>
      <c r="BJ43" s="102">
        <v>63959</v>
      </c>
      <c r="BK43" s="102">
        <v>0</v>
      </c>
      <c r="BL43" s="102">
        <v>0</v>
      </c>
      <c r="BM43" s="102">
        <v>0</v>
      </c>
      <c r="BN43" s="102">
        <v>744096</v>
      </c>
      <c r="BO43" s="73">
        <f t="shared" si="5"/>
        <v>416000</v>
      </c>
      <c r="BP43" s="73">
        <f t="shared" si="6"/>
        <v>328096</v>
      </c>
      <c r="BQ43" s="102">
        <v>0</v>
      </c>
      <c r="BR43" s="102">
        <v>0</v>
      </c>
      <c r="BS43" s="102">
        <v>328096</v>
      </c>
      <c r="BT43" s="102">
        <v>0</v>
      </c>
      <c r="BU43" s="102">
        <v>7013248</v>
      </c>
      <c r="BV43" s="71"/>
      <c r="BW43" s="102">
        <v>1239516</v>
      </c>
      <c r="BX43" s="102">
        <v>878746</v>
      </c>
      <c r="BY43" s="102">
        <v>70834</v>
      </c>
      <c r="BZ43" s="102">
        <v>11571</v>
      </c>
      <c r="CA43" s="102">
        <v>1018982</v>
      </c>
      <c r="CB43" s="102">
        <v>353358</v>
      </c>
      <c r="CC43" s="102">
        <v>30391</v>
      </c>
      <c r="CD43" s="102">
        <v>618584</v>
      </c>
      <c r="CE43" s="102">
        <v>0</v>
      </c>
      <c r="CF43" s="102">
        <v>0</v>
      </c>
      <c r="CG43" s="102">
        <v>16649</v>
      </c>
      <c r="CH43" s="102">
        <v>938182</v>
      </c>
      <c r="CI43" s="102">
        <v>806453</v>
      </c>
      <c r="CJ43" s="83">
        <f t="shared" si="18"/>
        <v>131729</v>
      </c>
      <c r="CK43" s="102">
        <v>1362311</v>
      </c>
      <c r="CL43" s="102">
        <v>915849</v>
      </c>
      <c r="CM43" s="102">
        <v>115877</v>
      </c>
      <c r="CN43" s="102">
        <v>159043</v>
      </c>
      <c r="CO43" s="102">
        <v>68695</v>
      </c>
      <c r="CP43" s="102">
        <v>193702</v>
      </c>
      <c r="CQ43" s="102">
        <v>1972</v>
      </c>
      <c r="CR43" s="102">
        <v>42455</v>
      </c>
      <c r="CS43" s="102">
        <v>18709</v>
      </c>
      <c r="CT43" s="73">
        <f t="shared" si="7"/>
        <v>28038</v>
      </c>
      <c r="CU43" s="102">
        <v>28038</v>
      </c>
      <c r="CV43" s="102">
        <v>0</v>
      </c>
      <c r="CW43" s="73">
        <f t="shared" si="8"/>
        <v>27735</v>
      </c>
      <c r="CX43" s="102">
        <v>27735</v>
      </c>
      <c r="CY43" s="102">
        <v>0</v>
      </c>
      <c r="CZ43" s="73">
        <f t="shared" si="9"/>
        <v>0</v>
      </c>
      <c r="DA43" s="102">
        <v>0</v>
      </c>
      <c r="DB43" s="102">
        <v>0</v>
      </c>
      <c r="DC43" s="102">
        <v>913243</v>
      </c>
      <c r="DD43" s="102">
        <v>138704</v>
      </c>
      <c r="DE43" s="102">
        <v>742335</v>
      </c>
      <c r="DF43" s="77">
        <v>32204</v>
      </c>
      <c r="DG43" s="78">
        <v>0</v>
      </c>
      <c r="DH43" s="102">
        <v>12485</v>
      </c>
      <c r="DI43" s="102">
        <v>124433</v>
      </c>
      <c r="DJ43" s="102">
        <v>124089</v>
      </c>
      <c r="DK43" s="102">
        <v>0</v>
      </c>
      <c r="DL43" s="102">
        <v>344</v>
      </c>
      <c r="DM43" s="102">
        <v>0</v>
      </c>
      <c r="DN43" s="102">
        <v>0</v>
      </c>
      <c r="DO43" s="102">
        <v>0</v>
      </c>
      <c r="DP43" s="102">
        <v>0</v>
      </c>
      <c r="DQ43" s="102">
        <v>0</v>
      </c>
      <c r="DR43" s="102">
        <v>0</v>
      </c>
      <c r="DS43" s="102">
        <v>0</v>
      </c>
      <c r="DT43" s="102">
        <v>1065338</v>
      </c>
      <c r="DU43" s="102">
        <v>421356</v>
      </c>
      <c r="DV43" s="73">
        <f t="shared" si="10"/>
        <v>0</v>
      </c>
      <c r="DW43" s="102">
        <v>0</v>
      </c>
      <c r="DX43" s="102">
        <v>245928</v>
      </c>
      <c r="DY43" s="102">
        <v>0</v>
      </c>
      <c r="DZ43" s="102">
        <v>199073</v>
      </c>
      <c r="EA43" s="74">
        <v>0</v>
      </c>
      <c r="EB43" s="102">
        <v>198981</v>
      </c>
      <c r="EC43" s="102">
        <v>0</v>
      </c>
      <c r="ED43" s="102">
        <v>6936887</v>
      </c>
      <c r="EE43" s="71"/>
      <c r="EF43" s="102">
        <v>76361</v>
      </c>
      <c r="EG43" s="102">
        <v>72664</v>
      </c>
      <c r="EH43" s="102">
        <v>3697</v>
      </c>
      <c r="EI43" s="102">
        <v>-244740</v>
      </c>
      <c r="EJ43" s="102">
        <v>-204651</v>
      </c>
      <c r="EK43" s="71"/>
      <c r="EL43" s="102"/>
      <c r="EM43" s="102">
        <v>17704</v>
      </c>
      <c r="EN43" s="102">
        <v>119000</v>
      </c>
      <c r="EO43" s="102">
        <v>21830</v>
      </c>
      <c r="EP43" s="73">
        <f t="shared" si="11"/>
        <v>391597</v>
      </c>
      <c r="EQ43" s="102">
        <v>4261126</v>
      </c>
      <c r="ER43" s="71">
        <v>-857457</v>
      </c>
      <c r="ES43" s="102">
        <v>1142892</v>
      </c>
      <c r="ET43" s="102">
        <v>798475</v>
      </c>
      <c r="EU43" s="102">
        <v>347520</v>
      </c>
      <c r="EV43" s="102">
        <v>938182</v>
      </c>
      <c r="EW43" s="73">
        <f t="shared" si="12"/>
        <v>134467</v>
      </c>
      <c r="EX43" s="102">
        <v>121982</v>
      </c>
      <c r="EY43" s="102">
        <v>20762</v>
      </c>
      <c r="EZ43" s="102">
        <v>94516</v>
      </c>
      <c r="FA43" s="102">
        <v>12485</v>
      </c>
      <c r="FB43" s="102">
        <v>0</v>
      </c>
      <c r="FC43" s="102">
        <v>1163502</v>
      </c>
      <c r="FD43" s="102">
        <v>170259</v>
      </c>
      <c r="FE43" s="102">
        <v>1972</v>
      </c>
      <c r="FF43" s="102">
        <v>953709</v>
      </c>
      <c r="FG43" s="73">
        <f t="shared" si="13"/>
        <v>191691</v>
      </c>
      <c r="FH43" s="102">
        <v>5042222</v>
      </c>
      <c r="FI43" s="379">
        <f t="shared" si="14"/>
        <v>0.1</v>
      </c>
      <c r="FJ43" s="102">
        <v>3735752</v>
      </c>
      <c r="FK43" s="102">
        <v>328096</v>
      </c>
      <c r="FL43" s="102">
        <v>1832917</v>
      </c>
      <c r="FM43" s="102">
        <v>3193375</v>
      </c>
      <c r="FN43" s="428">
        <v>0.56299999999999994</v>
      </c>
      <c r="FO43" s="424">
        <v>113.3</v>
      </c>
      <c r="FP43" s="425">
        <v>27.6</v>
      </c>
      <c r="FQ43" s="424">
        <v>8.4</v>
      </c>
      <c r="FR43" s="424">
        <v>22.7</v>
      </c>
      <c r="FS43" s="425">
        <v>27.1</v>
      </c>
      <c r="FT43" s="424">
        <v>3.7</v>
      </c>
      <c r="FU43" s="425">
        <v>22.2</v>
      </c>
      <c r="FV43" s="384">
        <f t="shared" si="15"/>
        <v>19.600000000000001</v>
      </c>
      <c r="FW43" s="102">
        <v>8889294</v>
      </c>
      <c r="FX43" s="384">
        <f t="shared" si="16"/>
        <v>218.7</v>
      </c>
      <c r="FY43" s="102">
        <v>829524</v>
      </c>
      <c r="FZ43" s="102">
        <v>655113</v>
      </c>
      <c r="GA43" s="102">
        <v>0</v>
      </c>
      <c r="GB43" s="102">
        <v>174411</v>
      </c>
      <c r="GC43" s="102">
        <v>0</v>
      </c>
      <c r="GD43" s="427"/>
      <c r="GE43" s="386"/>
      <c r="GF43" s="424">
        <v>98.8</v>
      </c>
      <c r="GG43" s="424">
        <v>17.3</v>
      </c>
      <c r="GH43" s="424">
        <v>94</v>
      </c>
      <c r="GI43" s="102">
        <v>150</v>
      </c>
      <c r="GJ43" s="429" t="s">
        <v>646</v>
      </c>
      <c r="GK43" s="429">
        <v>15</v>
      </c>
      <c r="GL43" s="87">
        <v>20</v>
      </c>
      <c r="GM43" s="429" t="s">
        <v>646</v>
      </c>
      <c r="GN43" s="430">
        <v>20</v>
      </c>
      <c r="GO43" s="430">
        <v>30</v>
      </c>
      <c r="GP43" s="425">
        <v>19.600000000000001</v>
      </c>
      <c r="GQ43" s="425">
        <v>25</v>
      </c>
      <c r="GR43" s="425">
        <v>35</v>
      </c>
      <c r="GS43" s="431">
        <v>126.1</v>
      </c>
      <c r="GT43" s="425">
        <v>350</v>
      </c>
      <c r="GU43" s="394"/>
      <c r="GV43" s="100">
        <f t="shared" si="17"/>
        <v>4064</v>
      </c>
      <c r="GW43" s="394"/>
      <c r="GX43" s="394"/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</row>
    <row r="44" spans="2:230" x14ac:dyDescent="0.15">
      <c r="B44" s="89" t="s">
        <v>77</v>
      </c>
      <c r="C44" s="102">
        <v>4234549</v>
      </c>
      <c r="D44" s="73">
        <f t="shared" si="0"/>
        <v>2213479</v>
      </c>
      <c r="E44" s="102">
        <v>69707</v>
      </c>
      <c r="F44" s="102">
        <v>2143772</v>
      </c>
      <c r="G44" s="73">
        <f t="shared" si="1"/>
        <v>136309</v>
      </c>
      <c r="H44" s="102">
        <v>48817</v>
      </c>
      <c r="I44" s="102">
        <v>87492</v>
      </c>
      <c r="J44" s="102">
        <v>1644996</v>
      </c>
      <c r="K44" s="102">
        <v>598009</v>
      </c>
      <c r="L44" s="102">
        <v>814480</v>
      </c>
      <c r="M44" s="102">
        <v>220654</v>
      </c>
      <c r="N44" s="102">
        <v>162644</v>
      </c>
      <c r="O44" s="102">
        <v>0</v>
      </c>
      <c r="P44" s="102">
        <v>0</v>
      </c>
      <c r="Q44" s="102">
        <v>0</v>
      </c>
      <c r="R44" s="102">
        <v>87890</v>
      </c>
      <c r="S44" s="74"/>
      <c r="T44" s="73">
        <f t="shared" si="2"/>
        <v>598816</v>
      </c>
      <c r="U44" s="102">
        <v>23869</v>
      </c>
      <c r="V44" s="102">
        <v>64330</v>
      </c>
      <c r="W44" s="102">
        <v>33857</v>
      </c>
      <c r="X44" s="102">
        <v>443818</v>
      </c>
      <c r="Y44" s="102">
        <v>11360</v>
      </c>
      <c r="Z44" s="102">
        <v>0</v>
      </c>
      <c r="AA44" s="102">
        <v>21582</v>
      </c>
      <c r="AB44" s="102">
        <v>35571</v>
      </c>
      <c r="AC44" s="102">
        <v>2353055</v>
      </c>
      <c r="AD44" s="102">
        <v>2153151</v>
      </c>
      <c r="AE44" s="102">
        <v>199903</v>
      </c>
      <c r="AF44" s="102">
        <v>6579</v>
      </c>
      <c r="AG44" s="102">
        <v>5336</v>
      </c>
      <c r="AH44" s="73">
        <f t="shared" si="3"/>
        <v>408757</v>
      </c>
      <c r="AI44" s="102">
        <v>316819</v>
      </c>
      <c r="AJ44" s="102">
        <v>91938</v>
      </c>
      <c r="AK44" s="102">
        <v>1330990</v>
      </c>
      <c r="AL44" s="73">
        <f t="shared" si="4"/>
        <v>360946</v>
      </c>
      <c r="AM44" s="102">
        <v>0</v>
      </c>
      <c r="AN44" s="102">
        <v>103388</v>
      </c>
      <c r="AO44" s="74"/>
      <c r="AP44" s="102">
        <v>257558</v>
      </c>
      <c r="AQ44" s="102">
        <v>110</v>
      </c>
      <c r="AR44" s="102">
        <v>3208</v>
      </c>
      <c r="AS44" s="102">
        <v>0</v>
      </c>
      <c r="AT44" s="102">
        <v>1076083</v>
      </c>
      <c r="AU44" s="102">
        <v>753667</v>
      </c>
      <c r="AV44" s="102">
        <v>50951</v>
      </c>
      <c r="AW44" s="102">
        <v>181443</v>
      </c>
      <c r="AX44" s="102">
        <v>322416</v>
      </c>
      <c r="AY44" s="102">
        <v>15535</v>
      </c>
      <c r="AZ44" s="102">
        <v>12344</v>
      </c>
      <c r="BA44" s="102">
        <v>7510</v>
      </c>
      <c r="BB44" s="102">
        <v>10909</v>
      </c>
      <c r="BC44" s="102">
        <v>419856</v>
      </c>
      <c r="BD44" s="102">
        <v>172000</v>
      </c>
      <c r="BE44" s="102">
        <v>0</v>
      </c>
      <c r="BF44" s="102">
        <v>247809</v>
      </c>
      <c r="BG44" s="102">
        <v>0</v>
      </c>
      <c r="BH44" s="102">
        <v>187930</v>
      </c>
      <c r="BI44" s="102">
        <v>66788</v>
      </c>
      <c r="BJ44" s="102">
        <v>293136</v>
      </c>
      <c r="BK44" s="102">
        <v>0</v>
      </c>
      <c r="BL44" s="102">
        <v>0</v>
      </c>
      <c r="BM44" s="102">
        <v>0</v>
      </c>
      <c r="BN44" s="102">
        <v>1053250</v>
      </c>
      <c r="BO44" s="73">
        <f t="shared" si="5"/>
        <v>371250</v>
      </c>
      <c r="BP44" s="73">
        <f t="shared" si="6"/>
        <v>682000</v>
      </c>
      <c r="BQ44" s="102">
        <v>0</v>
      </c>
      <c r="BR44" s="102">
        <v>0</v>
      </c>
      <c r="BS44" s="102">
        <v>682000</v>
      </c>
      <c r="BT44" s="102">
        <v>0</v>
      </c>
      <c r="BU44" s="102">
        <v>12115051</v>
      </c>
      <c r="BV44" s="71"/>
      <c r="BW44" s="102">
        <v>2500849</v>
      </c>
      <c r="BX44" s="102">
        <v>1523208</v>
      </c>
      <c r="BY44" s="102">
        <v>290360</v>
      </c>
      <c r="BZ44" s="102">
        <v>202169</v>
      </c>
      <c r="CA44" s="102">
        <v>2192000</v>
      </c>
      <c r="CB44" s="102">
        <v>686055</v>
      </c>
      <c r="CC44" s="102">
        <v>75110</v>
      </c>
      <c r="CD44" s="102">
        <v>1381326</v>
      </c>
      <c r="CE44" s="102">
        <v>0</v>
      </c>
      <c r="CF44" s="102">
        <v>3631</v>
      </c>
      <c r="CG44" s="102">
        <v>45878</v>
      </c>
      <c r="CH44" s="102">
        <v>1221106</v>
      </c>
      <c r="CI44" s="102">
        <v>1122000</v>
      </c>
      <c r="CJ44" s="83">
        <f t="shared" si="18"/>
        <v>99106</v>
      </c>
      <c r="CK44" s="102">
        <v>2032935</v>
      </c>
      <c r="CL44" s="102">
        <v>1103777</v>
      </c>
      <c r="CM44" s="102">
        <v>190063</v>
      </c>
      <c r="CN44" s="102">
        <v>408824</v>
      </c>
      <c r="CO44" s="102">
        <v>149764</v>
      </c>
      <c r="CP44" s="102">
        <v>1011260</v>
      </c>
      <c r="CQ44" s="102">
        <v>470778</v>
      </c>
      <c r="CR44" s="102">
        <v>382632</v>
      </c>
      <c r="CS44" s="102">
        <v>201628</v>
      </c>
      <c r="CT44" s="73">
        <f t="shared" si="7"/>
        <v>5422</v>
      </c>
      <c r="CU44" s="102">
        <v>4046</v>
      </c>
      <c r="CV44" s="102">
        <v>1376</v>
      </c>
      <c r="CW44" s="73">
        <f t="shared" si="8"/>
        <v>0</v>
      </c>
      <c r="CX44" s="102">
        <v>0</v>
      </c>
      <c r="CY44" s="102">
        <v>0</v>
      </c>
      <c r="CZ44" s="73">
        <f t="shared" si="9"/>
        <v>0</v>
      </c>
      <c r="DA44" s="102">
        <v>0</v>
      </c>
      <c r="DB44" s="102">
        <v>0</v>
      </c>
      <c r="DC44" s="102">
        <v>1176606</v>
      </c>
      <c r="DD44" s="102">
        <v>424810</v>
      </c>
      <c r="DE44" s="102">
        <v>738252</v>
      </c>
      <c r="DF44" s="77">
        <v>13544</v>
      </c>
      <c r="DG44" s="78">
        <v>0</v>
      </c>
      <c r="DH44" s="102">
        <v>14039</v>
      </c>
      <c r="DI44" s="102">
        <v>161545</v>
      </c>
      <c r="DJ44" s="102">
        <v>34000</v>
      </c>
      <c r="DK44" s="102">
        <v>834</v>
      </c>
      <c r="DL44" s="102">
        <v>126711</v>
      </c>
      <c r="DM44" s="102">
        <v>6000</v>
      </c>
      <c r="DN44" s="102">
        <v>6000</v>
      </c>
      <c r="DO44" s="102">
        <v>6000</v>
      </c>
      <c r="DP44" s="102">
        <v>0</v>
      </c>
      <c r="DQ44" s="102">
        <v>0</v>
      </c>
      <c r="DR44" s="102">
        <v>0</v>
      </c>
      <c r="DS44" s="102">
        <v>0</v>
      </c>
      <c r="DT44" s="102">
        <v>1525462</v>
      </c>
      <c r="DU44" s="102">
        <v>317300</v>
      </c>
      <c r="DV44" s="73">
        <f t="shared" si="10"/>
        <v>0</v>
      </c>
      <c r="DW44" s="102">
        <v>0</v>
      </c>
      <c r="DX44" s="102">
        <v>451972</v>
      </c>
      <c r="DY44" s="102">
        <v>0</v>
      </c>
      <c r="DZ44" s="102">
        <v>304938</v>
      </c>
      <c r="EA44" s="74">
        <v>0</v>
      </c>
      <c r="EB44" s="102">
        <v>451252</v>
      </c>
      <c r="EC44" s="102">
        <v>0</v>
      </c>
      <c r="ED44" s="102">
        <v>11991566</v>
      </c>
      <c r="EE44" s="71"/>
      <c r="EF44" s="102">
        <v>123485</v>
      </c>
      <c r="EG44" s="102">
        <v>70372</v>
      </c>
      <c r="EH44" s="102">
        <v>53113</v>
      </c>
      <c r="EI44" s="102">
        <v>-13675</v>
      </c>
      <c r="EJ44" s="102">
        <v>-151675</v>
      </c>
      <c r="EK44" s="71"/>
      <c r="EL44" s="102"/>
      <c r="EM44" s="102">
        <v>44338</v>
      </c>
      <c r="EN44" s="102">
        <v>189399</v>
      </c>
      <c r="EO44" s="102">
        <v>9416</v>
      </c>
      <c r="EP44" s="73">
        <f t="shared" si="11"/>
        <v>355330</v>
      </c>
      <c r="EQ44" s="102">
        <v>7316460</v>
      </c>
      <c r="ER44" s="71">
        <v>-1229566</v>
      </c>
      <c r="ES44" s="102">
        <v>2272735</v>
      </c>
      <c r="ET44" s="102">
        <v>1346881</v>
      </c>
      <c r="EU44" s="102">
        <v>746192</v>
      </c>
      <c r="EV44" s="102">
        <v>1193467</v>
      </c>
      <c r="EW44" s="73">
        <f t="shared" si="12"/>
        <v>181021</v>
      </c>
      <c r="EX44" s="102">
        <v>175813</v>
      </c>
      <c r="EY44" s="102">
        <v>11047</v>
      </c>
      <c r="EZ44" s="102">
        <v>163022</v>
      </c>
      <c r="FA44" s="102">
        <v>5208</v>
      </c>
      <c r="FB44" s="102">
        <v>0</v>
      </c>
      <c r="FC44" s="102">
        <v>1615518</v>
      </c>
      <c r="FD44" s="102">
        <v>838117</v>
      </c>
      <c r="FE44" s="102">
        <v>470365</v>
      </c>
      <c r="FF44" s="102">
        <v>1321986</v>
      </c>
      <c r="FG44" s="73">
        <f t="shared" si="13"/>
        <v>253505</v>
      </c>
      <c r="FH44" s="102">
        <v>8422541</v>
      </c>
      <c r="FI44" s="379">
        <f t="shared" si="14"/>
        <v>0.7</v>
      </c>
      <c r="FJ44" s="102">
        <v>7079231</v>
      </c>
      <c r="FK44" s="102">
        <v>682899</v>
      </c>
      <c r="FL44" s="102">
        <v>3844793</v>
      </c>
      <c r="FM44" s="102">
        <v>5997944</v>
      </c>
      <c r="FN44" s="428">
        <v>0.63</v>
      </c>
      <c r="FO44" s="424">
        <v>96.8</v>
      </c>
      <c r="FP44" s="425">
        <v>27</v>
      </c>
      <c r="FQ44" s="424">
        <v>9.4</v>
      </c>
      <c r="FR44" s="424">
        <v>15</v>
      </c>
      <c r="FS44" s="425">
        <v>19.100000000000001</v>
      </c>
      <c r="FT44" s="424">
        <v>9.6999999999999993</v>
      </c>
      <c r="FU44" s="425">
        <v>15.4</v>
      </c>
      <c r="FV44" s="384">
        <f t="shared" si="15"/>
        <v>8.6999999999999993</v>
      </c>
      <c r="FW44" s="102">
        <v>8636524</v>
      </c>
      <c r="FX44" s="384">
        <f t="shared" si="16"/>
        <v>111.3</v>
      </c>
      <c r="FY44" s="102">
        <v>3973784</v>
      </c>
      <c r="FZ44" s="102">
        <v>1164618</v>
      </c>
      <c r="GA44" s="102">
        <v>614664</v>
      </c>
      <c r="GB44" s="102">
        <v>2194502</v>
      </c>
      <c r="GC44" s="102">
        <v>777996</v>
      </c>
      <c r="GD44" s="427">
        <v>778</v>
      </c>
      <c r="GE44" s="386">
        <f>IF(GD44=0,"-",ROUND(GD44/(GV44)*100,1))</f>
        <v>10</v>
      </c>
      <c r="GF44" s="424">
        <v>98.8</v>
      </c>
      <c r="GG44" s="424">
        <v>27.8</v>
      </c>
      <c r="GH44" s="424">
        <v>95.2</v>
      </c>
      <c r="GI44" s="102">
        <v>283</v>
      </c>
      <c r="GJ44" s="429" t="s">
        <v>646</v>
      </c>
      <c r="GK44" s="429">
        <v>13.81</v>
      </c>
      <c r="GL44" s="87">
        <v>20</v>
      </c>
      <c r="GM44" s="429" t="s">
        <v>646</v>
      </c>
      <c r="GN44" s="430">
        <v>18.809999999999999</v>
      </c>
      <c r="GO44" s="430">
        <v>30</v>
      </c>
      <c r="GP44" s="425">
        <v>8.6999999999999993</v>
      </c>
      <c r="GQ44" s="425">
        <v>25</v>
      </c>
      <c r="GR44" s="425">
        <v>35</v>
      </c>
      <c r="GS44" s="431">
        <v>7.5</v>
      </c>
      <c r="GT44" s="425">
        <v>350</v>
      </c>
      <c r="GU44" s="394"/>
      <c r="GV44" s="100">
        <f t="shared" si="17"/>
        <v>7762</v>
      </c>
      <c r="GW44" s="394"/>
      <c r="GX44" s="394"/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</row>
    <row r="45" spans="2:230" x14ac:dyDescent="0.15">
      <c r="B45" s="89" t="s">
        <v>79</v>
      </c>
      <c r="C45" s="102">
        <v>3901276</v>
      </c>
      <c r="D45" s="73">
        <f t="shared" si="0"/>
        <v>357124</v>
      </c>
      <c r="E45" s="102">
        <v>12762</v>
      </c>
      <c r="F45" s="102">
        <v>344362</v>
      </c>
      <c r="G45" s="73">
        <f t="shared" si="1"/>
        <v>207197</v>
      </c>
      <c r="H45" s="102">
        <v>42098</v>
      </c>
      <c r="I45" s="102">
        <v>165099</v>
      </c>
      <c r="J45" s="102">
        <v>2957180</v>
      </c>
      <c r="K45" s="102">
        <v>1501743</v>
      </c>
      <c r="L45" s="102">
        <v>721946</v>
      </c>
      <c r="M45" s="102">
        <v>693910</v>
      </c>
      <c r="N45" s="102">
        <v>367364</v>
      </c>
      <c r="O45" s="102">
        <v>0</v>
      </c>
      <c r="P45" s="102">
        <v>0</v>
      </c>
      <c r="Q45" s="102">
        <v>0</v>
      </c>
      <c r="R45" s="102">
        <v>44360</v>
      </c>
      <c r="S45" s="74"/>
      <c r="T45" s="73">
        <f t="shared" si="2"/>
        <v>136250</v>
      </c>
      <c r="U45" s="102">
        <v>3651</v>
      </c>
      <c r="V45" s="102">
        <v>9874</v>
      </c>
      <c r="W45" s="102">
        <v>5207</v>
      </c>
      <c r="X45" s="102">
        <v>113697</v>
      </c>
      <c r="Y45" s="102">
        <v>0</v>
      </c>
      <c r="Z45" s="102">
        <v>0</v>
      </c>
      <c r="AA45" s="102">
        <v>3821</v>
      </c>
      <c r="AB45" s="102">
        <v>5273</v>
      </c>
      <c r="AC45" s="102">
        <v>5560</v>
      </c>
      <c r="AD45" s="102">
        <v>0</v>
      </c>
      <c r="AE45" s="102">
        <v>5560</v>
      </c>
      <c r="AF45" s="102">
        <v>1128</v>
      </c>
      <c r="AG45" s="102">
        <v>1207</v>
      </c>
      <c r="AH45" s="73">
        <f t="shared" si="3"/>
        <v>115403</v>
      </c>
      <c r="AI45" s="102">
        <v>101204</v>
      </c>
      <c r="AJ45" s="102">
        <v>14199</v>
      </c>
      <c r="AK45" s="102">
        <v>263455</v>
      </c>
      <c r="AL45" s="73">
        <f t="shared" si="4"/>
        <v>89002</v>
      </c>
      <c r="AM45" s="102">
        <v>0</v>
      </c>
      <c r="AN45" s="102">
        <v>0</v>
      </c>
      <c r="AO45" s="74"/>
      <c r="AP45" s="102">
        <v>89002</v>
      </c>
      <c r="AQ45" s="102">
        <v>0</v>
      </c>
      <c r="AR45" s="102">
        <v>0</v>
      </c>
      <c r="AS45" s="102">
        <v>0</v>
      </c>
      <c r="AT45" s="102">
        <v>214731</v>
      </c>
      <c r="AU45" s="102">
        <v>143992</v>
      </c>
      <c r="AV45" s="102">
        <v>0</v>
      </c>
      <c r="AW45" s="102">
        <v>2506</v>
      </c>
      <c r="AX45" s="102">
        <v>70739</v>
      </c>
      <c r="AY45" s="102">
        <v>4244</v>
      </c>
      <c r="AZ45" s="102">
        <v>8173</v>
      </c>
      <c r="BA45" s="102">
        <v>0</v>
      </c>
      <c r="BB45" s="102">
        <v>526</v>
      </c>
      <c r="BC45" s="102">
        <v>2140</v>
      </c>
      <c r="BD45" s="102">
        <v>0</v>
      </c>
      <c r="BE45" s="102">
        <v>0</v>
      </c>
      <c r="BF45" s="102">
        <v>2140</v>
      </c>
      <c r="BG45" s="102">
        <v>0</v>
      </c>
      <c r="BH45" s="102">
        <v>224147</v>
      </c>
      <c r="BI45" s="102">
        <v>205093</v>
      </c>
      <c r="BJ45" s="102">
        <v>73071</v>
      </c>
      <c r="BK45" s="102">
        <v>0</v>
      </c>
      <c r="BL45" s="102">
        <v>0</v>
      </c>
      <c r="BM45" s="102">
        <v>0</v>
      </c>
      <c r="BN45" s="102">
        <v>0</v>
      </c>
      <c r="BO45" s="73">
        <f t="shared" si="5"/>
        <v>0</v>
      </c>
      <c r="BP45" s="73">
        <f t="shared" si="6"/>
        <v>0</v>
      </c>
      <c r="BQ45" s="102">
        <v>0</v>
      </c>
      <c r="BR45" s="102">
        <v>0</v>
      </c>
      <c r="BS45" s="102">
        <v>0</v>
      </c>
      <c r="BT45" s="102">
        <v>0</v>
      </c>
      <c r="BU45" s="102">
        <v>4996700</v>
      </c>
      <c r="BV45" s="71"/>
      <c r="BW45" s="102">
        <v>1096798</v>
      </c>
      <c r="BX45" s="102">
        <v>656102</v>
      </c>
      <c r="BY45" s="102">
        <v>25594</v>
      </c>
      <c r="BZ45" s="102">
        <v>153656</v>
      </c>
      <c r="CA45" s="102">
        <v>459407</v>
      </c>
      <c r="CB45" s="102">
        <v>192323</v>
      </c>
      <c r="CC45" s="102">
        <v>18833</v>
      </c>
      <c r="CD45" s="102">
        <v>231513</v>
      </c>
      <c r="CE45" s="102">
        <v>0</v>
      </c>
      <c r="CF45" s="102">
        <v>734</v>
      </c>
      <c r="CG45" s="102">
        <v>16004</v>
      </c>
      <c r="CH45" s="102">
        <v>313274</v>
      </c>
      <c r="CI45" s="102">
        <v>282475</v>
      </c>
      <c r="CJ45" s="83">
        <f t="shared" si="18"/>
        <v>30799</v>
      </c>
      <c r="CK45" s="102">
        <v>594303</v>
      </c>
      <c r="CL45" s="102">
        <v>370770</v>
      </c>
      <c r="CM45" s="102">
        <v>17300</v>
      </c>
      <c r="CN45" s="102">
        <v>162521</v>
      </c>
      <c r="CO45" s="102">
        <v>15914</v>
      </c>
      <c r="CP45" s="102">
        <v>728212</v>
      </c>
      <c r="CQ45" s="102">
        <v>341211</v>
      </c>
      <c r="CR45" s="102">
        <v>31020</v>
      </c>
      <c r="CS45" s="102">
        <v>31020</v>
      </c>
      <c r="CT45" s="73">
        <f t="shared" si="7"/>
        <v>4678</v>
      </c>
      <c r="CU45" s="102">
        <v>0</v>
      </c>
      <c r="CV45" s="102">
        <v>4678</v>
      </c>
      <c r="CW45" s="73">
        <f t="shared" si="8"/>
        <v>0</v>
      </c>
      <c r="CX45" s="102">
        <v>0</v>
      </c>
      <c r="CY45" s="102">
        <v>0</v>
      </c>
      <c r="CZ45" s="73">
        <f t="shared" si="9"/>
        <v>0</v>
      </c>
      <c r="DA45" s="102">
        <v>0</v>
      </c>
      <c r="DB45" s="102">
        <v>0</v>
      </c>
      <c r="DC45" s="102">
        <v>178819</v>
      </c>
      <c r="DD45" s="102">
        <v>11484</v>
      </c>
      <c r="DE45" s="102">
        <v>151665</v>
      </c>
      <c r="DF45" s="77">
        <v>15670</v>
      </c>
      <c r="DG45" s="78">
        <v>0</v>
      </c>
      <c r="DH45" s="102">
        <v>0</v>
      </c>
      <c r="DI45" s="102">
        <v>551237</v>
      </c>
      <c r="DJ45" s="102">
        <v>444594</v>
      </c>
      <c r="DK45" s="102">
        <v>100624</v>
      </c>
      <c r="DL45" s="102">
        <v>6019</v>
      </c>
      <c r="DM45" s="102">
        <v>0</v>
      </c>
      <c r="DN45" s="102">
        <v>0</v>
      </c>
      <c r="DO45" s="102">
        <v>0</v>
      </c>
      <c r="DP45" s="102">
        <v>0</v>
      </c>
      <c r="DQ45" s="102">
        <v>0</v>
      </c>
      <c r="DR45" s="102">
        <v>0</v>
      </c>
      <c r="DS45" s="102">
        <v>0</v>
      </c>
      <c r="DT45" s="102">
        <v>835518</v>
      </c>
      <c r="DU45" s="102">
        <v>527329</v>
      </c>
      <c r="DV45" s="73">
        <f t="shared" si="10"/>
        <v>0</v>
      </c>
      <c r="DW45" s="102">
        <v>0</v>
      </c>
      <c r="DX45" s="102">
        <v>98644</v>
      </c>
      <c r="DY45" s="102">
        <v>0</v>
      </c>
      <c r="DZ45" s="102">
        <v>90195</v>
      </c>
      <c r="EA45" s="74">
        <v>0</v>
      </c>
      <c r="EB45" s="102">
        <v>119350</v>
      </c>
      <c r="EC45" s="102">
        <v>0</v>
      </c>
      <c r="ED45" s="102">
        <v>4773482</v>
      </c>
      <c r="EE45" s="71"/>
      <c r="EF45" s="102">
        <v>223218</v>
      </c>
      <c r="EG45" s="102">
        <v>9819</v>
      </c>
      <c r="EH45" s="102">
        <v>213399</v>
      </c>
      <c r="EI45" s="102">
        <v>8306</v>
      </c>
      <c r="EJ45" s="102">
        <v>452900</v>
      </c>
      <c r="EK45" s="71"/>
      <c r="EL45" s="102"/>
      <c r="EM45" s="102">
        <v>8561</v>
      </c>
      <c r="EN45" s="102">
        <v>0</v>
      </c>
      <c r="EO45" s="102">
        <v>2</v>
      </c>
      <c r="EP45" s="73">
        <f t="shared" si="11"/>
        <v>252951</v>
      </c>
      <c r="EQ45" s="102">
        <v>4093847</v>
      </c>
      <c r="ER45" s="71">
        <v>-251825</v>
      </c>
      <c r="ES45" s="102">
        <v>988524</v>
      </c>
      <c r="ET45" s="102">
        <v>577010</v>
      </c>
      <c r="EU45" s="102">
        <v>138223</v>
      </c>
      <c r="EV45" s="102">
        <v>313274</v>
      </c>
      <c r="EW45" s="73">
        <f t="shared" si="12"/>
        <v>163091</v>
      </c>
      <c r="EX45" s="102">
        <v>163091</v>
      </c>
      <c r="EY45" s="102">
        <v>0</v>
      </c>
      <c r="EZ45" s="102">
        <v>147421</v>
      </c>
      <c r="FA45" s="102">
        <v>0</v>
      </c>
      <c r="FB45" s="102">
        <v>0</v>
      </c>
      <c r="FC45" s="102">
        <v>463957</v>
      </c>
      <c r="FD45" s="102">
        <v>709577</v>
      </c>
      <c r="FE45" s="102">
        <v>341211</v>
      </c>
      <c r="FF45" s="102">
        <v>787767</v>
      </c>
      <c r="FG45" s="73">
        <f t="shared" si="13"/>
        <v>558041</v>
      </c>
      <c r="FH45" s="102">
        <v>4122454</v>
      </c>
      <c r="FI45" s="379">
        <f t="shared" si="14"/>
        <v>5.5</v>
      </c>
      <c r="FJ45" s="102">
        <v>3888232</v>
      </c>
      <c r="FK45" s="102">
        <v>0</v>
      </c>
      <c r="FL45" s="102">
        <v>2953944</v>
      </c>
      <c r="FM45" s="102">
        <v>2073559</v>
      </c>
      <c r="FN45" s="428">
        <v>1.357</v>
      </c>
      <c r="FO45" s="424">
        <v>70.5</v>
      </c>
      <c r="FP45" s="425">
        <v>24.1</v>
      </c>
      <c r="FQ45" s="424">
        <v>3.4</v>
      </c>
      <c r="FR45" s="424">
        <v>7.6</v>
      </c>
      <c r="FS45" s="425">
        <v>10.199999999999999</v>
      </c>
      <c r="FT45" s="424">
        <v>9.3000000000000007</v>
      </c>
      <c r="FU45" s="425">
        <v>15.5</v>
      </c>
      <c r="FV45" s="384">
        <f t="shared" si="15"/>
        <v>13.3</v>
      </c>
      <c r="FW45" s="102">
        <v>1465407</v>
      </c>
      <c r="FX45" s="384">
        <f t="shared" si="16"/>
        <v>37.700000000000003</v>
      </c>
      <c r="FY45" s="102">
        <v>5823771</v>
      </c>
      <c r="FZ45" s="102">
        <v>4979394</v>
      </c>
      <c r="GA45" s="102">
        <v>401353</v>
      </c>
      <c r="GB45" s="102">
        <v>443024</v>
      </c>
      <c r="GC45" s="102">
        <v>0</v>
      </c>
      <c r="GD45" s="427"/>
      <c r="GE45" s="386"/>
      <c r="GF45" s="424">
        <v>99.8</v>
      </c>
      <c r="GG45" s="424">
        <v>52.5</v>
      </c>
      <c r="GH45" s="424">
        <v>99.6</v>
      </c>
      <c r="GI45" s="102">
        <v>111</v>
      </c>
      <c r="GJ45" s="429" t="s">
        <v>646</v>
      </c>
      <c r="GK45" s="429">
        <v>15</v>
      </c>
      <c r="GL45" s="87">
        <v>20</v>
      </c>
      <c r="GM45" s="429" t="s">
        <v>646</v>
      </c>
      <c r="GN45" s="430">
        <v>20</v>
      </c>
      <c r="GO45" s="430">
        <v>30</v>
      </c>
      <c r="GP45" s="425">
        <v>13.3</v>
      </c>
      <c r="GQ45" s="425">
        <v>25</v>
      </c>
      <c r="GR45" s="425">
        <v>35</v>
      </c>
      <c r="GS45" s="431" t="s">
        <v>646</v>
      </c>
      <c r="GT45" s="425">
        <v>350</v>
      </c>
      <c r="GU45" s="394"/>
      <c r="GV45" s="100">
        <f t="shared" si="17"/>
        <v>3888</v>
      </c>
      <c r="GW45" s="394"/>
      <c r="GX45" s="394"/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</row>
    <row r="46" spans="2:230" x14ac:dyDescent="0.15">
      <c r="B46" s="89" t="s">
        <v>81</v>
      </c>
      <c r="C46" s="102">
        <v>2183882</v>
      </c>
      <c r="D46" s="73">
        <f t="shared" si="0"/>
        <v>671287</v>
      </c>
      <c r="E46" s="102">
        <v>25981</v>
      </c>
      <c r="F46" s="102">
        <v>645306</v>
      </c>
      <c r="G46" s="73">
        <f t="shared" si="1"/>
        <v>68544</v>
      </c>
      <c r="H46" s="102">
        <v>31675</v>
      </c>
      <c r="I46" s="102">
        <v>36869</v>
      </c>
      <c r="J46" s="102">
        <v>1325751</v>
      </c>
      <c r="K46" s="102">
        <v>504916</v>
      </c>
      <c r="L46" s="102">
        <v>472333</v>
      </c>
      <c r="M46" s="102">
        <v>344877</v>
      </c>
      <c r="N46" s="102">
        <v>86299</v>
      </c>
      <c r="O46" s="102">
        <v>0</v>
      </c>
      <c r="P46" s="102">
        <v>0</v>
      </c>
      <c r="Q46" s="102">
        <v>0</v>
      </c>
      <c r="R46" s="102">
        <v>46879</v>
      </c>
      <c r="S46" s="74"/>
      <c r="T46" s="73">
        <f t="shared" si="2"/>
        <v>273460</v>
      </c>
      <c r="U46" s="102">
        <v>7482</v>
      </c>
      <c r="V46" s="102">
        <v>20119</v>
      </c>
      <c r="W46" s="102">
        <v>10571</v>
      </c>
      <c r="X46" s="102">
        <v>171926</v>
      </c>
      <c r="Y46" s="102">
        <v>51868</v>
      </c>
      <c r="Z46" s="102">
        <v>0</v>
      </c>
      <c r="AA46" s="102">
        <v>11494</v>
      </c>
      <c r="AB46" s="102">
        <v>5753</v>
      </c>
      <c r="AC46" s="102">
        <v>1841775</v>
      </c>
      <c r="AD46" s="102">
        <v>1561779</v>
      </c>
      <c r="AE46" s="102">
        <v>279996</v>
      </c>
      <c r="AF46" s="102">
        <v>3336</v>
      </c>
      <c r="AG46" s="102">
        <v>8849</v>
      </c>
      <c r="AH46" s="73">
        <f t="shared" si="3"/>
        <v>107577</v>
      </c>
      <c r="AI46" s="102">
        <v>89087</v>
      </c>
      <c r="AJ46" s="102">
        <v>18490</v>
      </c>
      <c r="AK46" s="102">
        <v>767342</v>
      </c>
      <c r="AL46" s="73">
        <f t="shared" si="4"/>
        <v>151657</v>
      </c>
      <c r="AM46" s="102">
        <v>0</v>
      </c>
      <c r="AN46" s="102">
        <v>2057</v>
      </c>
      <c r="AO46" s="74"/>
      <c r="AP46" s="102">
        <v>149600</v>
      </c>
      <c r="AQ46" s="102">
        <v>83433</v>
      </c>
      <c r="AR46" s="102">
        <v>4549</v>
      </c>
      <c r="AS46" s="102">
        <v>0</v>
      </c>
      <c r="AT46" s="102">
        <v>441062</v>
      </c>
      <c r="AU46" s="102">
        <v>233777</v>
      </c>
      <c r="AV46" s="102">
        <v>0</v>
      </c>
      <c r="AW46" s="102">
        <v>2371</v>
      </c>
      <c r="AX46" s="102">
        <v>207285</v>
      </c>
      <c r="AY46" s="102">
        <v>4140</v>
      </c>
      <c r="AZ46" s="102">
        <v>53779</v>
      </c>
      <c r="BA46" s="102">
        <v>15596</v>
      </c>
      <c r="BB46" s="102">
        <v>8167</v>
      </c>
      <c r="BC46" s="102">
        <v>198302</v>
      </c>
      <c r="BD46" s="102">
        <v>60000</v>
      </c>
      <c r="BE46" s="102">
        <v>0</v>
      </c>
      <c r="BF46" s="102">
        <v>67676</v>
      </c>
      <c r="BG46" s="102">
        <v>0</v>
      </c>
      <c r="BH46" s="102">
        <v>130477</v>
      </c>
      <c r="BI46" s="102">
        <v>39404</v>
      </c>
      <c r="BJ46" s="102">
        <v>167304</v>
      </c>
      <c r="BK46" s="102">
        <v>1194</v>
      </c>
      <c r="BL46" s="102">
        <v>0</v>
      </c>
      <c r="BM46" s="102">
        <v>0</v>
      </c>
      <c r="BN46" s="102">
        <v>598170</v>
      </c>
      <c r="BO46" s="73">
        <f t="shared" si="5"/>
        <v>270500</v>
      </c>
      <c r="BP46" s="73">
        <f t="shared" si="6"/>
        <v>327670</v>
      </c>
      <c r="BQ46" s="102">
        <v>0</v>
      </c>
      <c r="BR46" s="102">
        <v>0</v>
      </c>
      <c r="BS46" s="102">
        <v>327670</v>
      </c>
      <c r="BT46" s="102">
        <v>0</v>
      </c>
      <c r="BU46" s="102">
        <v>6836114</v>
      </c>
      <c r="BV46" s="71"/>
      <c r="BW46" s="102">
        <v>1360066</v>
      </c>
      <c r="BX46" s="102">
        <v>874211</v>
      </c>
      <c r="BY46" s="102">
        <v>174682</v>
      </c>
      <c r="BZ46" s="102">
        <v>17956</v>
      </c>
      <c r="CA46" s="102">
        <v>758477</v>
      </c>
      <c r="CB46" s="102">
        <v>381175</v>
      </c>
      <c r="CC46" s="102">
        <v>34548</v>
      </c>
      <c r="CD46" s="102">
        <v>327213</v>
      </c>
      <c r="CE46" s="102">
        <v>0</v>
      </c>
      <c r="CF46" s="102">
        <v>1213</v>
      </c>
      <c r="CG46" s="102">
        <v>14328</v>
      </c>
      <c r="CH46" s="102">
        <v>970144</v>
      </c>
      <c r="CI46" s="102">
        <v>858281</v>
      </c>
      <c r="CJ46" s="83">
        <f t="shared" si="18"/>
        <v>111863</v>
      </c>
      <c r="CK46" s="102">
        <v>1132313</v>
      </c>
      <c r="CL46" s="102">
        <v>465931</v>
      </c>
      <c r="CM46" s="102">
        <v>217109</v>
      </c>
      <c r="CN46" s="102">
        <v>297682</v>
      </c>
      <c r="CO46" s="102">
        <v>83261</v>
      </c>
      <c r="CP46" s="102">
        <v>524461</v>
      </c>
      <c r="CQ46" s="102">
        <v>307630</v>
      </c>
      <c r="CR46" s="102">
        <v>127009</v>
      </c>
      <c r="CS46" s="102">
        <v>111956</v>
      </c>
      <c r="CT46" s="73">
        <f t="shared" si="7"/>
        <v>1760</v>
      </c>
      <c r="CU46" s="102">
        <v>1760</v>
      </c>
      <c r="CV46" s="102">
        <v>0</v>
      </c>
      <c r="CW46" s="73">
        <f t="shared" si="8"/>
        <v>0</v>
      </c>
      <c r="CX46" s="102">
        <v>0</v>
      </c>
      <c r="CY46" s="102">
        <v>0</v>
      </c>
      <c r="CZ46" s="73">
        <f t="shared" si="9"/>
        <v>0</v>
      </c>
      <c r="DA46" s="102">
        <v>0</v>
      </c>
      <c r="DB46" s="102">
        <v>0</v>
      </c>
      <c r="DC46" s="102">
        <v>702308</v>
      </c>
      <c r="DD46" s="102">
        <v>430900</v>
      </c>
      <c r="DE46" s="102">
        <v>249218</v>
      </c>
      <c r="DF46" s="77">
        <v>22190</v>
      </c>
      <c r="DG46" s="78">
        <v>0</v>
      </c>
      <c r="DH46" s="102">
        <v>9862</v>
      </c>
      <c r="DI46" s="102">
        <v>34720</v>
      </c>
      <c r="DJ46" s="102">
        <v>527</v>
      </c>
      <c r="DK46" s="102">
        <v>11</v>
      </c>
      <c r="DL46" s="102">
        <v>34182</v>
      </c>
      <c r="DM46" s="102">
        <v>0</v>
      </c>
      <c r="DN46" s="102">
        <v>0</v>
      </c>
      <c r="DO46" s="102">
        <v>0</v>
      </c>
      <c r="DP46" s="102">
        <v>0</v>
      </c>
      <c r="DQ46" s="102">
        <v>0</v>
      </c>
      <c r="DR46" s="102">
        <v>0</v>
      </c>
      <c r="DS46" s="102">
        <v>0</v>
      </c>
      <c r="DT46" s="102">
        <v>1030017</v>
      </c>
      <c r="DU46" s="102">
        <v>286204</v>
      </c>
      <c r="DV46" s="73">
        <f t="shared" si="10"/>
        <v>0</v>
      </c>
      <c r="DW46" s="102">
        <v>0</v>
      </c>
      <c r="DX46" s="102">
        <v>324720</v>
      </c>
      <c r="DY46" s="102">
        <v>0</v>
      </c>
      <c r="DZ46" s="102">
        <v>142014</v>
      </c>
      <c r="EA46" s="74">
        <v>0</v>
      </c>
      <c r="EB46" s="102">
        <v>259488</v>
      </c>
      <c r="EC46" s="102">
        <v>0</v>
      </c>
      <c r="ED46" s="102">
        <v>6605629</v>
      </c>
      <c r="EE46" s="71"/>
      <c r="EF46" s="102">
        <v>230485</v>
      </c>
      <c r="EG46" s="102">
        <v>186588</v>
      </c>
      <c r="EH46" s="102">
        <v>43897</v>
      </c>
      <c r="EI46" s="102">
        <v>4493</v>
      </c>
      <c r="EJ46" s="102">
        <v>-53574</v>
      </c>
      <c r="EK46" s="71"/>
      <c r="EL46" s="102"/>
      <c r="EM46" s="102">
        <v>16768</v>
      </c>
      <c r="EN46" s="102">
        <v>84312</v>
      </c>
      <c r="EO46" s="102">
        <v>27687</v>
      </c>
      <c r="EP46" s="73">
        <f t="shared" si="11"/>
        <v>173024</v>
      </c>
      <c r="EQ46" s="102">
        <v>4355085</v>
      </c>
      <c r="ER46" s="71">
        <v>-609357</v>
      </c>
      <c r="ES46" s="102">
        <v>1157117</v>
      </c>
      <c r="ET46" s="102">
        <v>678153</v>
      </c>
      <c r="EU46" s="102">
        <v>262525</v>
      </c>
      <c r="EV46" s="102">
        <v>970144</v>
      </c>
      <c r="EW46" s="73">
        <f t="shared" si="12"/>
        <v>87377</v>
      </c>
      <c r="EX46" s="102">
        <v>84264</v>
      </c>
      <c r="EY46" s="102">
        <v>4493</v>
      </c>
      <c r="EZ46" s="102">
        <v>79680</v>
      </c>
      <c r="FA46" s="102">
        <v>3113</v>
      </c>
      <c r="FB46" s="102">
        <v>0</v>
      </c>
      <c r="FC46" s="102">
        <v>851756</v>
      </c>
      <c r="FD46" s="102">
        <v>484574</v>
      </c>
      <c r="FE46" s="102">
        <v>307630</v>
      </c>
      <c r="FF46" s="102">
        <v>889800</v>
      </c>
      <c r="FG46" s="73">
        <f t="shared" si="13"/>
        <v>30664</v>
      </c>
      <c r="FH46" s="102">
        <v>4733957</v>
      </c>
      <c r="FI46" s="379">
        <f t="shared" si="14"/>
        <v>1</v>
      </c>
      <c r="FJ46" s="102">
        <v>3897358</v>
      </c>
      <c r="FK46" s="102">
        <v>327670</v>
      </c>
      <c r="FL46" s="102">
        <v>1812966</v>
      </c>
      <c r="FM46" s="102">
        <v>3374745</v>
      </c>
      <c r="FN46" s="428">
        <v>0.53400000000000003</v>
      </c>
      <c r="FO46" s="424">
        <v>95.5</v>
      </c>
      <c r="FP46" s="425">
        <v>25.1</v>
      </c>
      <c r="FQ46" s="424">
        <v>5.9</v>
      </c>
      <c r="FR46" s="424">
        <v>21.9</v>
      </c>
      <c r="FS46" s="425">
        <v>16.8</v>
      </c>
      <c r="FT46" s="424">
        <v>9.1</v>
      </c>
      <c r="FU46" s="425">
        <v>16</v>
      </c>
      <c r="FV46" s="384">
        <f t="shared" si="15"/>
        <v>17.600000000000001</v>
      </c>
      <c r="FW46" s="102">
        <v>7103242</v>
      </c>
      <c r="FX46" s="384">
        <f t="shared" si="16"/>
        <v>168.1</v>
      </c>
      <c r="FY46" s="102">
        <v>1311211</v>
      </c>
      <c r="FZ46" s="102">
        <v>817130</v>
      </c>
      <c r="GA46" s="102">
        <v>38386</v>
      </c>
      <c r="GB46" s="102">
        <v>455695</v>
      </c>
      <c r="GC46" s="102">
        <v>0</v>
      </c>
      <c r="GD46" s="427"/>
      <c r="GE46" s="386"/>
      <c r="GF46" s="424">
        <v>99</v>
      </c>
      <c r="GG46" s="424">
        <v>21.6</v>
      </c>
      <c r="GH46" s="424">
        <v>94.2</v>
      </c>
      <c r="GI46" s="102">
        <v>137</v>
      </c>
      <c r="GJ46" s="429" t="s">
        <v>646</v>
      </c>
      <c r="GK46" s="429">
        <v>15</v>
      </c>
      <c r="GL46" s="87">
        <v>20</v>
      </c>
      <c r="GM46" s="429" t="s">
        <v>646</v>
      </c>
      <c r="GN46" s="430">
        <v>20</v>
      </c>
      <c r="GO46" s="430">
        <v>30</v>
      </c>
      <c r="GP46" s="425">
        <v>17.600000000000001</v>
      </c>
      <c r="GQ46" s="425">
        <v>25</v>
      </c>
      <c r="GR46" s="425">
        <v>35</v>
      </c>
      <c r="GS46" s="431">
        <v>119.2</v>
      </c>
      <c r="GT46" s="425">
        <v>350</v>
      </c>
      <c r="GU46" s="394"/>
      <c r="GV46" s="100">
        <f t="shared" si="17"/>
        <v>4225</v>
      </c>
      <c r="GW46" s="394"/>
      <c r="GX46" s="394"/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</row>
    <row r="47" spans="2:230" x14ac:dyDescent="0.15">
      <c r="B47" s="89" t="s">
        <v>83</v>
      </c>
      <c r="C47" s="102">
        <v>1514835</v>
      </c>
      <c r="D47" s="73">
        <f t="shared" si="0"/>
        <v>646803</v>
      </c>
      <c r="E47" s="102">
        <v>21407</v>
      </c>
      <c r="F47" s="102">
        <v>625396</v>
      </c>
      <c r="G47" s="73">
        <f t="shared" si="1"/>
        <v>29737</v>
      </c>
      <c r="H47" s="102">
        <v>18401</v>
      </c>
      <c r="I47" s="102">
        <v>11336</v>
      </c>
      <c r="J47" s="102">
        <v>527863</v>
      </c>
      <c r="K47" s="102">
        <v>203921</v>
      </c>
      <c r="L47" s="102">
        <v>262258</v>
      </c>
      <c r="M47" s="102">
        <v>61684</v>
      </c>
      <c r="N47" s="102">
        <v>283202</v>
      </c>
      <c r="O47" s="102">
        <v>0</v>
      </c>
      <c r="P47" s="102">
        <v>0</v>
      </c>
      <c r="Q47" s="102">
        <v>0</v>
      </c>
      <c r="R47" s="102">
        <v>34286</v>
      </c>
      <c r="S47" s="74"/>
      <c r="T47" s="73">
        <f t="shared" si="2"/>
        <v>205532</v>
      </c>
      <c r="U47" s="102">
        <v>6952</v>
      </c>
      <c r="V47" s="102">
        <v>18764</v>
      </c>
      <c r="W47" s="102">
        <v>9885</v>
      </c>
      <c r="X47" s="102">
        <v>136028</v>
      </c>
      <c r="Y47" s="102">
        <v>25489</v>
      </c>
      <c r="Z47" s="102">
        <v>0</v>
      </c>
      <c r="AA47" s="102">
        <v>8414</v>
      </c>
      <c r="AB47" s="102">
        <v>9028</v>
      </c>
      <c r="AC47" s="102">
        <v>1400156</v>
      </c>
      <c r="AD47" s="102">
        <v>1183838</v>
      </c>
      <c r="AE47" s="102">
        <v>216318</v>
      </c>
      <c r="AF47" s="102">
        <v>2270</v>
      </c>
      <c r="AG47" s="102">
        <v>58482</v>
      </c>
      <c r="AH47" s="73">
        <f t="shared" si="3"/>
        <v>52996</v>
      </c>
      <c r="AI47" s="102">
        <v>35157</v>
      </c>
      <c r="AJ47" s="102">
        <v>17839</v>
      </c>
      <c r="AK47" s="102">
        <v>492015</v>
      </c>
      <c r="AL47" s="73">
        <f t="shared" si="4"/>
        <v>141615</v>
      </c>
      <c r="AM47" s="102">
        <v>0</v>
      </c>
      <c r="AN47" s="102">
        <v>64878</v>
      </c>
      <c r="AO47" s="74"/>
      <c r="AP47" s="102">
        <v>76737</v>
      </c>
      <c r="AQ47" s="102">
        <v>10582</v>
      </c>
      <c r="AR47" s="102">
        <v>0</v>
      </c>
      <c r="AS47" s="102">
        <v>0</v>
      </c>
      <c r="AT47" s="102">
        <v>491558</v>
      </c>
      <c r="AU47" s="102">
        <v>292991</v>
      </c>
      <c r="AV47" s="102">
        <v>32301</v>
      </c>
      <c r="AW47" s="102">
        <v>0</v>
      </c>
      <c r="AX47" s="102">
        <v>198567</v>
      </c>
      <c r="AY47" s="102">
        <v>0</v>
      </c>
      <c r="AZ47" s="102">
        <v>4467</v>
      </c>
      <c r="BA47" s="102">
        <v>0</v>
      </c>
      <c r="BB47" s="102">
        <v>250</v>
      </c>
      <c r="BC47" s="102">
        <v>129310</v>
      </c>
      <c r="BD47" s="102">
        <v>114388</v>
      </c>
      <c r="BE47" s="102">
        <v>0</v>
      </c>
      <c r="BF47" s="102">
        <v>14922</v>
      </c>
      <c r="BG47" s="102">
        <v>129310</v>
      </c>
      <c r="BH47" s="102">
        <v>54068</v>
      </c>
      <c r="BI47" s="102">
        <v>36232</v>
      </c>
      <c r="BJ47" s="102">
        <v>65168</v>
      </c>
      <c r="BK47" s="102">
        <v>0</v>
      </c>
      <c r="BL47" s="102">
        <v>0</v>
      </c>
      <c r="BM47" s="102">
        <v>0</v>
      </c>
      <c r="BN47" s="102">
        <v>281500</v>
      </c>
      <c r="BO47" s="73">
        <f t="shared" si="5"/>
        <v>41500</v>
      </c>
      <c r="BP47" s="73">
        <f t="shared" si="6"/>
        <v>240000</v>
      </c>
      <c r="BQ47" s="102">
        <v>0</v>
      </c>
      <c r="BR47" s="102">
        <v>0</v>
      </c>
      <c r="BS47" s="102">
        <v>240000</v>
      </c>
      <c r="BT47" s="102">
        <v>0</v>
      </c>
      <c r="BU47" s="102">
        <v>4795921</v>
      </c>
      <c r="BV47" s="71"/>
      <c r="BW47" s="102">
        <v>887930</v>
      </c>
      <c r="BX47" s="102">
        <v>577585</v>
      </c>
      <c r="BY47" s="102">
        <v>54783</v>
      </c>
      <c r="BZ47" s="102">
        <v>11186</v>
      </c>
      <c r="CA47" s="102">
        <v>767557</v>
      </c>
      <c r="CB47" s="102">
        <v>212977</v>
      </c>
      <c r="CC47" s="102">
        <v>16542</v>
      </c>
      <c r="CD47" s="102">
        <v>508092</v>
      </c>
      <c r="CE47" s="102">
        <v>0</v>
      </c>
      <c r="CF47" s="102">
        <v>0</v>
      </c>
      <c r="CG47" s="102">
        <v>29946</v>
      </c>
      <c r="CH47" s="102">
        <v>463968</v>
      </c>
      <c r="CI47" s="102">
        <v>394319</v>
      </c>
      <c r="CJ47" s="83">
        <f t="shared" si="18"/>
        <v>69649</v>
      </c>
      <c r="CK47" s="102">
        <v>750841</v>
      </c>
      <c r="CL47" s="102">
        <v>440300</v>
      </c>
      <c r="CM47" s="102">
        <v>106852</v>
      </c>
      <c r="CN47" s="102">
        <v>114476</v>
      </c>
      <c r="CO47" s="102">
        <v>24912</v>
      </c>
      <c r="CP47" s="102">
        <v>702416</v>
      </c>
      <c r="CQ47" s="102">
        <v>136278</v>
      </c>
      <c r="CR47" s="102">
        <v>232084</v>
      </c>
      <c r="CS47" s="102">
        <v>63872</v>
      </c>
      <c r="CT47" s="73">
        <f t="shared" si="7"/>
        <v>748</v>
      </c>
      <c r="CU47" s="102">
        <v>748</v>
      </c>
      <c r="CV47" s="102">
        <v>0</v>
      </c>
      <c r="CW47" s="73">
        <f t="shared" si="8"/>
        <v>0</v>
      </c>
      <c r="CX47" s="102">
        <v>0</v>
      </c>
      <c r="CY47" s="102">
        <v>0</v>
      </c>
      <c r="CZ47" s="73">
        <f t="shared" si="9"/>
        <v>0</v>
      </c>
      <c r="DA47" s="102">
        <v>0</v>
      </c>
      <c r="DB47" s="102">
        <v>0</v>
      </c>
      <c r="DC47" s="102">
        <v>180455</v>
      </c>
      <c r="DD47" s="102">
        <v>72531</v>
      </c>
      <c r="DE47" s="102">
        <v>107924</v>
      </c>
      <c r="DF47" s="77">
        <v>0</v>
      </c>
      <c r="DG47" s="78">
        <v>0</v>
      </c>
      <c r="DH47" s="102">
        <v>0</v>
      </c>
      <c r="DI47" s="102">
        <v>277787</v>
      </c>
      <c r="DJ47" s="102">
        <v>103572</v>
      </c>
      <c r="DK47" s="102">
        <v>16</v>
      </c>
      <c r="DL47" s="102">
        <v>174199</v>
      </c>
      <c r="DM47" s="102">
        <v>0</v>
      </c>
      <c r="DN47" s="102">
        <v>0</v>
      </c>
      <c r="DO47" s="102">
        <v>0</v>
      </c>
      <c r="DP47" s="102">
        <v>0</v>
      </c>
      <c r="DQ47" s="102">
        <v>0</v>
      </c>
      <c r="DR47" s="102">
        <v>0</v>
      </c>
      <c r="DS47" s="102">
        <v>0</v>
      </c>
      <c r="DT47" s="102">
        <v>575611</v>
      </c>
      <c r="DU47" s="102">
        <v>118107</v>
      </c>
      <c r="DV47" s="73">
        <f t="shared" si="10"/>
        <v>0</v>
      </c>
      <c r="DW47" s="102">
        <v>0</v>
      </c>
      <c r="DX47" s="102">
        <v>152679</v>
      </c>
      <c r="DY47" s="102">
        <v>0</v>
      </c>
      <c r="DZ47" s="102">
        <v>119227</v>
      </c>
      <c r="EA47" s="74">
        <v>0</v>
      </c>
      <c r="EB47" s="102">
        <v>179345</v>
      </c>
      <c r="EC47" s="102">
        <v>0</v>
      </c>
      <c r="ED47" s="102">
        <v>4631477</v>
      </c>
      <c r="EE47" s="71"/>
      <c r="EF47" s="102">
        <v>164444</v>
      </c>
      <c r="EG47" s="102">
        <v>62536</v>
      </c>
      <c r="EH47" s="102">
        <v>101908</v>
      </c>
      <c r="EI47" s="102">
        <v>65676</v>
      </c>
      <c r="EJ47" s="102">
        <v>54860</v>
      </c>
      <c r="EK47" s="71"/>
      <c r="EL47" s="102"/>
      <c r="EM47" s="102">
        <v>14008</v>
      </c>
      <c r="EN47" s="102">
        <v>114388</v>
      </c>
      <c r="EO47" s="102">
        <v>495</v>
      </c>
      <c r="EP47" s="73">
        <f t="shared" si="11"/>
        <v>131959</v>
      </c>
      <c r="EQ47" s="102">
        <v>3166107</v>
      </c>
      <c r="ER47" s="71">
        <v>-484572</v>
      </c>
      <c r="ES47" s="102">
        <v>832666</v>
      </c>
      <c r="ET47" s="102">
        <v>526643</v>
      </c>
      <c r="EU47" s="102">
        <v>214616</v>
      </c>
      <c r="EV47" s="102">
        <v>463968</v>
      </c>
      <c r="EW47" s="73">
        <f t="shared" si="12"/>
        <v>82955</v>
      </c>
      <c r="EX47" s="102">
        <v>82955</v>
      </c>
      <c r="EY47" s="102">
        <v>15238</v>
      </c>
      <c r="EZ47" s="102">
        <v>67717</v>
      </c>
      <c r="FA47" s="102">
        <v>0</v>
      </c>
      <c r="FB47" s="102">
        <v>0</v>
      </c>
      <c r="FC47" s="102">
        <v>574528</v>
      </c>
      <c r="FD47" s="102">
        <v>530663</v>
      </c>
      <c r="FE47" s="102">
        <v>134487</v>
      </c>
      <c r="FF47" s="102">
        <v>488466</v>
      </c>
      <c r="FG47" s="73">
        <f t="shared" si="13"/>
        <v>298373</v>
      </c>
      <c r="FH47" s="102">
        <v>3486235</v>
      </c>
      <c r="FI47" s="379">
        <f t="shared" si="14"/>
        <v>3.3</v>
      </c>
      <c r="FJ47" s="102">
        <v>2881946</v>
      </c>
      <c r="FK47" s="102">
        <v>248375</v>
      </c>
      <c r="FL47" s="102">
        <v>1326279</v>
      </c>
      <c r="FM47" s="102">
        <v>2510117</v>
      </c>
      <c r="FN47" s="428">
        <v>0.52100000000000002</v>
      </c>
      <c r="FO47" s="424">
        <v>90.8</v>
      </c>
      <c r="FP47" s="425">
        <v>26</v>
      </c>
      <c r="FQ47" s="424">
        <v>6.7</v>
      </c>
      <c r="FR47" s="424">
        <v>14.5</v>
      </c>
      <c r="FS47" s="425">
        <v>16.3</v>
      </c>
      <c r="FT47" s="424">
        <v>12.2</v>
      </c>
      <c r="FU47" s="425">
        <v>14.3</v>
      </c>
      <c r="FV47" s="384">
        <f t="shared" si="15"/>
        <v>8.6999999999999993</v>
      </c>
      <c r="FW47" s="102">
        <v>4716531</v>
      </c>
      <c r="FX47" s="384">
        <f t="shared" si="16"/>
        <v>150.69999999999999</v>
      </c>
      <c r="FY47" s="102">
        <v>2855836</v>
      </c>
      <c r="FZ47" s="102">
        <v>1502957</v>
      </c>
      <c r="GA47" s="102">
        <v>7841</v>
      </c>
      <c r="GB47" s="102">
        <v>1345038</v>
      </c>
      <c r="GC47" s="102">
        <v>0</v>
      </c>
      <c r="GD47" s="427"/>
      <c r="GE47" s="386"/>
      <c r="GF47" s="424">
        <v>98.5</v>
      </c>
      <c r="GG47" s="424">
        <v>26.8</v>
      </c>
      <c r="GH47" s="424">
        <v>95.3</v>
      </c>
      <c r="GI47" s="102">
        <v>94</v>
      </c>
      <c r="GJ47" s="429" t="s">
        <v>646</v>
      </c>
      <c r="GK47" s="429">
        <v>15</v>
      </c>
      <c r="GL47" s="87">
        <v>20</v>
      </c>
      <c r="GM47" s="429" t="s">
        <v>646</v>
      </c>
      <c r="GN47" s="430">
        <v>20</v>
      </c>
      <c r="GO47" s="430">
        <v>30</v>
      </c>
      <c r="GP47" s="425">
        <v>8.6999999999999993</v>
      </c>
      <c r="GQ47" s="425">
        <v>25</v>
      </c>
      <c r="GR47" s="425">
        <v>35</v>
      </c>
      <c r="GS47" s="431" t="s">
        <v>646</v>
      </c>
      <c r="GT47" s="425">
        <v>350</v>
      </c>
      <c r="GU47" s="394"/>
      <c r="GV47" s="100">
        <f t="shared" si="17"/>
        <v>3130</v>
      </c>
      <c r="GW47" s="394"/>
      <c r="GX47" s="394"/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</row>
    <row r="48" spans="2:230" x14ac:dyDescent="0.15">
      <c r="B48" s="89" t="s">
        <v>85</v>
      </c>
      <c r="C48" s="102">
        <v>1535737</v>
      </c>
      <c r="D48" s="73">
        <f t="shared" si="0"/>
        <v>763552</v>
      </c>
      <c r="E48" s="102">
        <v>24912</v>
      </c>
      <c r="F48" s="102">
        <v>738640</v>
      </c>
      <c r="G48" s="73">
        <f t="shared" si="1"/>
        <v>48116</v>
      </c>
      <c r="H48" s="102">
        <v>27407</v>
      </c>
      <c r="I48" s="102">
        <v>20709</v>
      </c>
      <c r="J48" s="102">
        <v>593469</v>
      </c>
      <c r="K48" s="102">
        <v>214683</v>
      </c>
      <c r="L48" s="102">
        <v>308768</v>
      </c>
      <c r="M48" s="102">
        <v>70018</v>
      </c>
      <c r="N48" s="102">
        <v>96290</v>
      </c>
      <c r="O48" s="102">
        <v>0</v>
      </c>
      <c r="P48" s="102">
        <v>0</v>
      </c>
      <c r="Q48" s="102">
        <v>0</v>
      </c>
      <c r="R48" s="102">
        <v>46122</v>
      </c>
      <c r="S48" s="74"/>
      <c r="T48" s="73">
        <f t="shared" si="2"/>
        <v>272913</v>
      </c>
      <c r="U48" s="102">
        <v>8232</v>
      </c>
      <c r="V48" s="102">
        <v>22056</v>
      </c>
      <c r="W48" s="102">
        <v>11562</v>
      </c>
      <c r="X48" s="102">
        <v>174950</v>
      </c>
      <c r="Y48" s="102">
        <v>44804</v>
      </c>
      <c r="Z48" s="102">
        <v>0</v>
      </c>
      <c r="AA48" s="102">
        <v>11309</v>
      </c>
      <c r="AB48" s="102">
        <v>10982</v>
      </c>
      <c r="AC48" s="102">
        <v>1957827</v>
      </c>
      <c r="AD48" s="102">
        <v>1745605</v>
      </c>
      <c r="AE48" s="102">
        <v>212222</v>
      </c>
      <c r="AF48" s="102">
        <v>2362</v>
      </c>
      <c r="AG48" s="102">
        <v>9457</v>
      </c>
      <c r="AH48" s="73">
        <f t="shared" si="3"/>
        <v>143510</v>
      </c>
      <c r="AI48" s="102">
        <v>83369</v>
      </c>
      <c r="AJ48" s="102">
        <v>60141</v>
      </c>
      <c r="AK48" s="102">
        <v>469734</v>
      </c>
      <c r="AL48" s="73">
        <f t="shared" si="4"/>
        <v>89925</v>
      </c>
      <c r="AM48" s="102">
        <v>0</v>
      </c>
      <c r="AN48" s="102">
        <v>1009</v>
      </c>
      <c r="AO48" s="74"/>
      <c r="AP48" s="102">
        <v>88916</v>
      </c>
      <c r="AQ48" s="102">
        <v>88146</v>
      </c>
      <c r="AR48" s="102">
        <v>0</v>
      </c>
      <c r="AS48" s="102">
        <v>0</v>
      </c>
      <c r="AT48" s="102">
        <v>389179</v>
      </c>
      <c r="AU48" s="102">
        <v>137019</v>
      </c>
      <c r="AV48" s="102">
        <v>402</v>
      </c>
      <c r="AW48" s="102">
        <v>4913</v>
      </c>
      <c r="AX48" s="102">
        <v>252160</v>
      </c>
      <c r="AY48" s="102">
        <v>35339</v>
      </c>
      <c r="AZ48" s="102">
        <v>9334</v>
      </c>
      <c r="BA48" s="102">
        <v>2858</v>
      </c>
      <c r="BB48" s="102">
        <v>627</v>
      </c>
      <c r="BC48" s="102">
        <v>329706</v>
      </c>
      <c r="BD48" s="102">
        <v>279235</v>
      </c>
      <c r="BE48" s="102">
        <v>0</v>
      </c>
      <c r="BF48" s="102">
        <v>50471</v>
      </c>
      <c r="BG48" s="102">
        <v>0</v>
      </c>
      <c r="BH48" s="102">
        <v>161501</v>
      </c>
      <c r="BI48" s="102">
        <v>34962</v>
      </c>
      <c r="BJ48" s="102">
        <v>76787</v>
      </c>
      <c r="BK48" s="102">
        <v>1000</v>
      </c>
      <c r="BL48" s="102">
        <v>0</v>
      </c>
      <c r="BM48" s="102">
        <v>0</v>
      </c>
      <c r="BN48" s="102">
        <v>673700</v>
      </c>
      <c r="BO48" s="73">
        <f t="shared" si="5"/>
        <v>393700</v>
      </c>
      <c r="BP48" s="73">
        <f t="shared" si="6"/>
        <v>280000</v>
      </c>
      <c r="BQ48" s="102">
        <v>0</v>
      </c>
      <c r="BR48" s="102">
        <v>0</v>
      </c>
      <c r="BS48" s="102">
        <v>280000</v>
      </c>
      <c r="BT48" s="102">
        <v>0</v>
      </c>
      <c r="BU48" s="102">
        <v>6089478</v>
      </c>
      <c r="BV48" s="71"/>
      <c r="BW48" s="102">
        <v>1276497</v>
      </c>
      <c r="BX48" s="102">
        <v>776730</v>
      </c>
      <c r="BY48" s="102">
        <v>100732</v>
      </c>
      <c r="BZ48" s="102">
        <v>88205</v>
      </c>
      <c r="CA48" s="102">
        <v>726313</v>
      </c>
      <c r="CB48" s="102">
        <v>260168</v>
      </c>
      <c r="CC48" s="102">
        <v>26210</v>
      </c>
      <c r="CD48" s="102">
        <v>427448</v>
      </c>
      <c r="CE48" s="102">
        <v>0</v>
      </c>
      <c r="CF48" s="102">
        <v>0</v>
      </c>
      <c r="CG48" s="102">
        <v>12487</v>
      </c>
      <c r="CH48" s="102">
        <v>633215</v>
      </c>
      <c r="CI48" s="102">
        <v>551916</v>
      </c>
      <c r="CJ48" s="83">
        <f t="shared" si="18"/>
        <v>81299</v>
      </c>
      <c r="CK48" s="102">
        <v>930246</v>
      </c>
      <c r="CL48" s="102">
        <v>575909</v>
      </c>
      <c r="CM48" s="102">
        <v>67822</v>
      </c>
      <c r="CN48" s="102">
        <v>153386</v>
      </c>
      <c r="CO48" s="102">
        <v>15040</v>
      </c>
      <c r="CP48" s="102">
        <v>662543</v>
      </c>
      <c r="CQ48" s="102">
        <v>171351</v>
      </c>
      <c r="CR48" s="102">
        <v>96330</v>
      </c>
      <c r="CS48" s="102">
        <v>83028</v>
      </c>
      <c r="CT48" s="73">
        <f t="shared" si="7"/>
        <v>20370</v>
      </c>
      <c r="CU48" s="102">
        <v>11850</v>
      </c>
      <c r="CV48" s="102">
        <v>8520</v>
      </c>
      <c r="CW48" s="73">
        <f t="shared" si="8"/>
        <v>0</v>
      </c>
      <c r="CX48" s="102">
        <v>0</v>
      </c>
      <c r="CY48" s="102">
        <v>0</v>
      </c>
      <c r="CZ48" s="73">
        <f t="shared" si="9"/>
        <v>0</v>
      </c>
      <c r="DA48" s="102">
        <v>0</v>
      </c>
      <c r="DB48" s="102">
        <v>0</v>
      </c>
      <c r="DC48" s="102">
        <v>945893</v>
      </c>
      <c r="DD48" s="102">
        <v>483607</v>
      </c>
      <c r="DE48" s="102">
        <v>443211</v>
      </c>
      <c r="DF48" s="77">
        <v>19075</v>
      </c>
      <c r="DG48" s="78">
        <v>0</v>
      </c>
      <c r="DH48" s="102">
        <v>2521</v>
      </c>
      <c r="DI48" s="102">
        <v>4552</v>
      </c>
      <c r="DJ48" s="102">
        <v>1969</v>
      </c>
      <c r="DK48" s="102">
        <v>376</v>
      </c>
      <c r="DL48" s="102">
        <v>2207</v>
      </c>
      <c r="DM48" s="102">
        <v>0</v>
      </c>
      <c r="DN48" s="102">
        <v>0</v>
      </c>
      <c r="DO48" s="102">
        <v>0</v>
      </c>
      <c r="DP48" s="102">
        <v>0</v>
      </c>
      <c r="DQ48" s="102">
        <v>0</v>
      </c>
      <c r="DR48" s="102">
        <v>0</v>
      </c>
      <c r="DS48" s="102">
        <v>0</v>
      </c>
      <c r="DT48" s="102">
        <v>742649</v>
      </c>
      <c r="DU48" s="102">
        <v>182434</v>
      </c>
      <c r="DV48" s="73">
        <f t="shared" si="10"/>
        <v>0</v>
      </c>
      <c r="DW48" s="102">
        <v>0</v>
      </c>
      <c r="DX48" s="102">
        <v>201527</v>
      </c>
      <c r="DY48" s="102">
        <v>0</v>
      </c>
      <c r="DZ48" s="102">
        <v>147692</v>
      </c>
      <c r="EA48" s="74">
        <v>0</v>
      </c>
      <c r="EB48" s="102">
        <v>202395</v>
      </c>
      <c r="EC48" s="102">
        <v>0</v>
      </c>
      <c r="ED48" s="102">
        <v>5939469</v>
      </c>
      <c r="EE48" s="71"/>
      <c r="EF48" s="102">
        <v>150009</v>
      </c>
      <c r="EG48" s="102">
        <v>37992</v>
      </c>
      <c r="EH48" s="102">
        <v>112017</v>
      </c>
      <c r="EI48" s="102">
        <v>41055</v>
      </c>
      <c r="EJ48" s="102">
        <v>-236211</v>
      </c>
      <c r="EK48" s="71"/>
      <c r="EL48" s="102"/>
      <c r="EM48" s="102">
        <v>16028</v>
      </c>
      <c r="EN48" s="102">
        <v>279235</v>
      </c>
      <c r="EO48" s="102">
        <v>3988</v>
      </c>
      <c r="EP48" s="73">
        <f t="shared" si="11"/>
        <v>106847</v>
      </c>
      <c r="EQ48" s="102">
        <v>3825943</v>
      </c>
      <c r="ER48" s="71">
        <v>-667708</v>
      </c>
      <c r="ES48" s="102">
        <v>1199929</v>
      </c>
      <c r="ET48" s="102">
        <v>734501</v>
      </c>
      <c r="EU48" s="102">
        <v>268580</v>
      </c>
      <c r="EV48" s="102">
        <v>633215</v>
      </c>
      <c r="EW48" s="73">
        <f t="shared" si="12"/>
        <v>210231</v>
      </c>
      <c r="EX48" s="102">
        <v>209740</v>
      </c>
      <c r="EY48" s="102">
        <v>4470</v>
      </c>
      <c r="EZ48" s="102">
        <v>203545</v>
      </c>
      <c r="FA48" s="102">
        <v>491</v>
      </c>
      <c r="FB48" s="102">
        <v>0</v>
      </c>
      <c r="FC48" s="102">
        <v>746933</v>
      </c>
      <c r="FD48" s="102">
        <v>617167</v>
      </c>
      <c r="FE48" s="102">
        <v>171351</v>
      </c>
      <c r="FF48" s="102">
        <v>652136</v>
      </c>
      <c r="FG48" s="73">
        <f t="shared" si="13"/>
        <v>15451</v>
      </c>
      <c r="FH48" s="102">
        <v>4343642</v>
      </c>
      <c r="FI48" s="379">
        <f t="shared" si="14"/>
        <v>2.9</v>
      </c>
      <c r="FJ48" s="102">
        <v>3587310</v>
      </c>
      <c r="FK48" s="102">
        <v>286681</v>
      </c>
      <c r="FL48" s="102">
        <v>1435265</v>
      </c>
      <c r="FM48" s="102">
        <v>3180870</v>
      </c>
      <c r="FN48" s="428">
        <v>0.44700000000000001</v>
      </c>
      <c r="FO48" s="424">
        <v>93.2</v>
      </c>
      <c r="FP48" s="425">
        <v>29.8</v>
      </c>
      <c r="FQ48" s="424">
        <v>6.8</v>
      </c>
      <c r="FR48" s="424">
        <v>16.100000000000001</v>
      </c>
      <c r="FS48" s="425">
        <v>16.100000000000001</v>
      </c>
      <c r="FT48" s="424">
        <v>9.6</v>
      </c>
      <c r="FU48" s="425">
        <v>14.3</v>
      </c>
      <c r="FV48" s="384">
        <f t="shared" si="15"/>
        <v>9.5</v>
      </c>
      <c r="FW48" s="102">
        <v>6272739</v>
      </c>
      <c r="FX48" s="384">
        <f t="shared" si="16"/>
        <v>161.9</v>
      </c>
      <c r="FY48" s="102">
        <v>2461643</v>
      </c>
      <c r="FZ48" s="102">
        <v>1181215</v>
      </c>
      <c r="GA48" s="102">
        <v>208380</v>
      </c>
      <c r="GB48" s="102">
        <v>1072048</v>
      </c>
      <c r="GC48" s="102">
        <v>0</v>
      </c>
      <c r="GD48" s="427">
        <v>50</v>
      </c>
      <c r="GE48" s="386">
        <f>IF(GD48=0,"-",ROUND(GD48/(GV48)*100,1))</f>
        <v>1.3</v>
      </c>
      <c r="GF48" s="424">
        <v>96.7</v>
      </c>
      <c r="GG48" s="424">
        <v>22.2</v>
      </c>
      <c r="GH48" s="424">
        <v>85.9</v>
      </c>
      <c r="GI48" s="102">
        <v>144</v>
      </c>
      <c r="GJ48" s="429" t="s">
        <v>646</v>
      </c>
      <c r="GK48" s="429">
        <v>15</v>
      </c>
      <c r="GL48" s="87">
        <v>20</v>
      </c>
      <c r="GM48" s="429" t="s">
        <v>646</v>
      </c>
      <c r="GN48" s="430">
        <v>20</v>
      </c>
      <c r="GO48" s="430">
        <v>30</v>
      </c>
      <c r="GP48" s="425">
        <v>9.5</v>
      </c>
      <c r="GQ48" s="425">
        <v>25</v>
      </c>
      <c r="GR48" s="425">
        <v>35</v>
      </c>
      <c r="GS48" s="431">
        <v>31.3</v>
      </c>
      <c r="GT48" s="425">
        <v>350</v>
      </c>
      <c r="GU48" s="394"/>
      <c r="GV48" s="100">
        <f t="shared" si="17"/>
        <v>3874</v>
      </c>
      <c r="GW48" s="394"/>
      <c r="GX48" s="394"/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</row>
    <row r="49" spans="2:230" x14ac:dyDescent="0.15">
      <c r="B49" s="89" t="s">
        <v>87</v>
      </c>
      <c r="C49" s="102">
        <v>533254</v>
      </c>
      <c r="D49" s="73">
        <f t="shared" si="0"/>
        <v>225008</v>
      </c>
      <c r="E49" s="102">
        <v>9203</v>
      </c>
      <c r="F49" s="102">
        <v>215805</v>
      </c>
      <c r="G49" s="73">
        <f t="shared" si="1"/>
        <v>33052</v>
      </c>
      <c r="H49" s="102">
        <v>13571</v>
      </c>
      <c r="I49" s="102">
        <v>19481</v>
      </c>
      <c r="J49" s="102">
        <v>257318</v>
      </c>
      <c r="K49" s="102">
        <v>77864</v>
      </c>
      <c r="L49" s="102">
        <v>129222</v>
      </c>
      <c r="M49" s="102">
        <v>50232</v>
      </c>
      <c r="N49" s="102">
        <v>3454</v>
      </c>
      <c r="O49" s="102">
        <v>0</v>
      </c>
      <c r="P49" s="102">
        <v>0</v>
      </c>
      <c r="Q49" s="102">
        <v>0</v>
      </c>
      <c r="R49" s="102">
        <v>18864</v>
      </c>
      <c r="S49" s="74"/>
      <c r="T49" s="73">
        <f t="shared" si="2"/>
        <v>108010</v>
      </c>
      <c r="U49" s="102">
        <v>2673</v>
      </c>
      <c r="V49" s="102">
        <v>7134</v>
      </c>
      <c r="W49" s="102">
        <v>3730</v>
      </c>
      <c r="X49" s="102">
        <v>65906</v>
      </c>
      <c r="Y49" s="102">
        <v>23942</v>
      </c>
      <c r="Z49" s="102">
        <v>0</v>
      </c>
      <c r="AA49" s="102">
        <v>4625</v>
      </c>
      <c r="AB49" s="102">
        <v>1826</v>
      </c>
      <c r="AC49" s="102">
        <v>1321448</v>
      </c>
      <c r="AD49" s="102">
        <v>1111521</v>
      </c>
      <c r="AE49" s="102">
        <v>209927</v>
      </c>
      <c r="AF49" s="102">
        <v>841</v>
      </c>
      <c r="AG49" s="102">
        <v>27815</v>
      </c>
      <c r="AH49" s="73">
        <f t="shared" si="3"/>
        <v>24836</v>
      </c>
      <c r="AI49" s="102">
        <v>15080</v>
      </c>
      <c r="AJ49" s="102">
        <v>9756</v>
      </c>
      <c r="AK49" s="102">
        <v>248853</v>
      </c>
      <c r="AL49" s="73">
        <f t="shared" si="4"/>
        <v>63791</v>
      </c>
      <c r="AM49" s="102">
        <v>0</v>
      </c>
      <c r="AN49" s="102">
        <v>25924</v>
      </c>
      <c r="AO49" s="74"/>
      <c r="AP49" s="102">
        <v>37867</v>
      </c>
      <c r="AQ49" s="102">
        <v>34137</v>
      </c>
      <c r="AR49" s="102">
        <v>10337</v>
      </c>
      <c r="AS49" s="102">
        <v>0</v>
      </c>
      <c r="AT49" s="102">
        <v>217343</v>
      </c>
      <c r="AU49" s="102">
        <v>78036</v>
      </c>
      <c r="AV49" s="102">
        <v>13140</v>
      </c>
      <c r="AW49" s="102">
        <v>120</v>
      </c>
      <c r="AX49" s="102">
        <v>139307</v>
      </c>
      <c r="AY49" s="102">
        <v>664</v>
      </c>
      <c r="AZ49" s="102">
        <v>3128</v>
      </c>
      <c r="BA49" s="102">
        <v>0</v>
      </c>
      <c r="BB49" s="102">
        <v>1960</v>
      </c>
      <c r="BC49" s="102">
        <v>0</v>
      </c>
      <c r="BD49" s="102">
        <v>0</v>
      </c>
      <c r="BE49" s="102">
        <v>0</v>
      </c>
      <c r="BF49" s="102">
        <v>0</v>
      </c>
      <c r="BG49" s="102">
        <v>0</v>
      </c>
      <c r="BH49" s="102">
        <v>100784</v>
      </c>
      <c r="BI49" s="102">
        <v>97811</v>
      </c>
      <c r="BJ49" s="102">
        <v>59545</v>
      </c>
      <c r="BK49" s="102">
        <v>0</v>
      </c>
      <c r="BL49" s="102">
        <v>0</v>
      </c>
      <c r="BM49" s="102">
        <v>0</v>
      </c>
      <c r="BN49" s="102">
        <v>335616</v>
      </c>
      <c r="BO49" s="73">
        <f t="shared" si="5"/>
        <v>213800</v>
      </c>
      <c r="BP49" s="73">
        <f t="shared" si="6"/>
        <v>121816</v>
      </c>
      <c r="BQ49" s="102">
        <v>0</v>
      </c>
      <c r="BR49" s="102">
        <v>0</v>
      </c>
      <c r="BS49" s="102">
        <v>121816</v>
      </c>
      <c r="BT49" s="102">
        <v>0</v>
      </c>
      <c r="BU49" s="102">
        <v>3004123</v>
      </c>
      <c r="BV49" s="71"/>
      <c r="BW49" s="102">
        <v>589744</v>
      </c>
      <c r="BX49" s="102">
        <v>387097</v>
      </c>
      <c r="BY49" s="102">
        <v>31024</v>
      </c>
      <c r="BZ49" s="102">
        <v>12977</v>
      </c>
      <c r="CA49" s="102">
        <v>295161</v>
      </c>
      <c r="CB49" s="102">
        <v>118579</v>
      </c>
      <c r="CC49" s="102">
        <v>15449</v>
      </c>
      <c r="CD49" s="102">
        <v>156836</v>
      </c>
      <c r="CE49" s="102">
        <v>0</v>
      </c>
      <c r="CF49" s="102">
        <v>646</v>
      </c>
      <c r="CG49" s="102">
        <v>3651</v>
      </c>
      <c r="CH49" s="102">
        <v>309292</v>
      </c>
      <c r="CI49" s="102">
        <v>266406</v>
      </c>
      <c r="CJ49" s="83">
        <f t="shared" si="18"/>
        <v>42886</v>
      </c>
      <c r="CK49" s="102">
        <v>510340</v>
      </c>
      <c r="CL49" s="102">
        <v>340610</v>
      </c>
      <c r="CM49" s="102">
        <v>32841</v>
      </c>
      <c r="CN49" s="102">
        <v>62991</v>
      </c>
      <c r="CO49" s="102">
        <v>7947</v>
      </c>
      <c r="CP49" s="102">
        <v>208633</v>
      </c>
      <c r="CQ49" s="102">
        <v>89172</v>
      </c>
      <c r="CR49" s="102">
        <v>7998</v>
      </c>
      <c r="CS49" s="102">
        <v>7998</v>
      </c>
      <c r="CT49" s="73">
        <f t="shared" si="7"/>
        <v>13669</v>
      </c>
      <c r="CU49" s="102">
        <v>1231</v>
      </c>
      <c r="CV49" s="102">
        <v>12438</v>
      </c>
      <c r="CW49" s="73">
        <f t="shared" si="8"/>
        <v>0</v>
      </c>
      <c r="CX49" s="102">
        <v>0</v>
      </c>
      <c r="CY49" s="102">
        <v>0</v>
      </c>
      <c r="CZ49" s="73">
        <f t="shared" si="9"/>
        <v>0</v>
      </c>
      <c r="DA49" s="102">
        <v>0</v>
      </c>
      <c r="DB49" s="102">
        <v>0</v>
      </c>
      <c r="DC49" s="102">
        <v>231055</v>
      </c>
      <c r="DD49" s="102">
        <v>127073</v>
      </c>
      <c r="DE49" s="102">
        <v>77797</v>
      </c>
      <c r="DF49" s="77">
        <v>26185</v>
      </c>
      <c r="DG49" s="78">
        <v>0</v>
      </c>
      <c r="DH49" s="102">
        <v>12129</v>
      </c>
      <c r="DI49" s="102">
        <v>320442</v>
      </c>
      <c r="DJ49" s="102">
        <v>320261</v>
      </c>
      <c r="DK49" s="102">
        <v>101</v>
      </c>
      <c r="DL49" s="102">
        <v>80</v>
      </c>
      <c r="DM49" s="102">
        <v>0</v>
      </c>
      <c r="DN49" s="102">
        <v>0</v>
      </c>
      <c r="DO49" s="102">
        <v>0</v>
      </c>
      <c r="DP49" s="102">
        <v>0</v>
      </c>
      <c r="DQ49" s="102">
        <v>0</v>
      </c>
      <c r="DR49" s="102">
        <v>0</v>
      </c>
      <c r="DS49" s="102">
        <v>0</v>
      </c>
      <c r="DT49" s="102">
        <v>377731</v>
      </c>
      <c r="DU49" s="102">
        <v>116233</v>
      </c>
      <c r="DV49" s="73">
        <f t="shared" si="10"/>
        <v>0</v>
      </c>
      <c r="DW49" s="102">
        <v>0</v>
      </c>
      <c r="DX49" s="102">
        <v>90401</v>
      </c>
      <c r="DY49" s="102">
        <v>0</v>
      </c>
      <c r="DZ49" s="102">
        <v>57173</v>
      </c>
      <c r="EA49" s="74">
        <v>0</v>
      </c>
      <c r="EB49" s="102">
        <v>105846</v>
      </c>
      <c r="EC49" s="102">
        <v>0</v>
      </c>
      <c r="ED49" s="102">
        <v>2862474</v>
      </c>
      <c r="EE49" s="71"/>
      <c r="EF49" s="102">
        <v>141649</v>
      </c>
      <c r="EG49" s="102">
        <v>53302</v>
      </c>
      <c r="EH49" s="102">
        <v>88347</v>
      </c>
      <c r="EI49" s="102">
        <v>-9464</v>
      </c>
      <c r="EJ49" s="102">
        <v>310797</v>
      </c>
      <c r="EK49" s="71"/>
      <c r="EL49" s="102"/>
      <c r="EM49" s="102">
        <v>5750</v>
      </c>
      <c r="EN49" s="102">
        <v>0</v>
      </c>
      <c r="EO49" s="102">
        <v>1686</v>
      </c>
      <c r="EP49" s="73">
        <f t="shared" si="11"/>
        <v>166807</v>
      </c>
      <c r="EQ49" s="102">
        <v>1984243</v>
      </c>
      <c r="ER49" s="71">
        <v>-289468</v>
      </c>
      <c r="ES49" s="102">
        <v>551927</v>
      </c>
      <c r="ET49" s="102">
        <v>350973</v>
      </c>
      <c r="EU49" s="102">
        <v>62070</v>
      </c>
      <c r="EV49" s="102">
        <v>309292</v>
      </c>
      <c r="EW49" s="73">
        <f t="shared" si="12"/>
        <v>36112</v>
      </c>
      <c r="EX49" s="102">
        <v>35863</v>
      </c>
      <c r="EY49" s="102">
        <v>9512</v>
      </c>
      <c r="EZ49" s="102">
        <v>23666</v>
      </c>
      <c r="FA49" s="102">
        <v>249</v>
      </c>
      <c r="FB49" s="102">
        <v>0</v>
      </c>
      <c r="FC49" s="102">
        <v>345935</v>
      </c>
      <c r="FD49" s="102">
        <v>159460</v>
      </c>
      <c r="FE49" s="102">
        <v>89172</v>
      </c>
      <c r="FF49" s="102">
        <v>340319</v>
      </c>
      <c r="FG49" s="73">
        <f t="shared" si="13"/>
        <v>326947</v>
      </c>
      <c r="FH49" s="102">
        <v>2132062</v>
      </c>
      <c r="FI49" s="379">
        <f t="shared" si="14"/>
        <v>4.5999999999999996</v>
      </c>
      <c r="FJ49" s="102">
        <v>1786790</v>
      </c>
      <c r="FK49" s="102">
        <v>121816</v>
      </c>
      <c r="FL49" s="102">
        <v>531613</v>
      </c>
      <c r="FM49" s="102">
        <v>1643153</v>
      </c>
      <c r="FN49" s="428">
        <v>0.32700000000000001</v>
      </c>
      <c r="FO49" s="424">
        <v>84.9</v>
      </c>
      <c r="FP49" s="425">
        <v>28.5</v>
      </c>
      <c r="FQ49" s="424">
        <v>3.3</v>
      </c>
      <c r="FR49" s="424">
        <v>16.3</v>
      </c>
      <c r="FS49" s="425">
        <v>17</v>
      </c>
      <c r="FT49" s="424">
        <v>6.8</v>
      </c>
      <c r="FU49" s="425">
        <v>12.6</v>
      </c>
      <c r="FV49" s="384">
        <f t="shared" si="15"/>
        <v>13.1</v>
      </c>
      <c r="FW49" s="102">
        <v>3092727</v>
      </c>
      <c r="FX49" s="384">
        <f t="shared" si="16"/>
        <v>162</v>
      </c>
      <c r="FY49" s="102">
        <v>1525753</v>
      </c>
      <c r="FZ49" s="102">
        <v>1374473</v>
      </c>
      <c r="GA49" s="102">
        <v>84403</v>
      </c>
      <c r="GB49" s="102">
        <v>66877</v>
      </c>
      <c r="GC49" s="102">
        <v>0</v>
      </c>
      <c r="GD49" s="427"/>
      <c r="GE49" s="386"/>
      <c r="GF49" s="424">
        <v>99.5</v>
      </c>
      <c r="GG49" s="424">
        <v>27.2</v>
      </c>
      <c r="GH49" s="424">
        <v>97.2</v>
      </c>
      <c r="GI49" s="102">
        <v>62</v>
      </c>
      <c r="GJ49" s="429" t="s">
        <v>646</v>
      </c>
      <c r="GK49" s="429">
        <v>15</v>
      </c>
      <c r="GL49" s="87">
        <v>20</v>
      </c>
      <c r="GM49" s="429" t="s">
        <v>646</v>
      </c>
      <c r="GN49" s="429">
        <v>20</v>
      </c>
      <c r="GO49" s="429">
        <v>30</v>
      </c>
      <c r="GP49" s="425">
        <v>13.1</v>
      </c>
      <c r="GQ49" s="425">
        <v>25</v>
      </c>
      <c r="GR49" s="425">
        <v>35</v>
      </c>
      <c r="GS49" s="431">
        <v>17.7</v>
      </c>
      <c r="GT49" s="425">
        <v>350</v>
      </c>
      <c r="GU49" s="394"/>
      <c r="GV49" s="100">
        <f t="shared" si="17"/>
        <v>1909</v>
      </c>
      <c r="GW49" s="394"/>
      <c r="GX49" s="394"/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</row>
    <row r="50" spans="2:230" x14ac:dyDescent="0.15">
      <c r="B50" s="21" t="s">
        <v>89</v>
      </c>
      <c r="C50" s="102">
        <v>24137309</v>
      </c>
      <c r="D50" s="73">
        <f t="shared" si="0"/>
        <v>9017797</v>
      </c>
      <c r="E50" s="102">
        <v>295847</v>
      </c>
      <c r="F50" s="102">
        <v>8721950</v>
      </c>
      <c r="G50" s="73">
        <f t="shared" si="1"/>
        <v>1355796</v>
      </c>
      <c r="H50" s="102">
        <v>328359</v>
      </c>
      <c r="I50" s="102">
        <v>1027437</v>
      </c>
      <c r="J50" s="102">
        <v>11556295</v>
      </c>
      <c r="K50" s="102">
        <v>4608959</v>
      </c>
      <c r="L50" s="102">
        <v>4480518</v>
      </c>
      <c r="M50" s="102">
        <v>2374070</v>
      </c>
      <c r="N50" s="102">
        <v>1315227</v>
      </c>
      <c r="O50" s="102">
        <v>579689</v>
      </c>
      <c r="P50" s="102">
        <v>321787</v>
      </c>
      <c r="Q50" s="102">
        <v>257902</v>
      </c>
      <c r="R50" s="102">
        <v>471997</v>
      </c>
      <c r="S50" s="74"/>
      <c r="T50" s="73">
        <f t="shared" si="2"/>
        <v>2756329</v>
      </c>
      <c r="U50" s="102">
        <v>98126</v>
      </c>
      <c r="V50" s="102">
        <v>264044</v>
      </c>
      <c r="W50" s="102">
        <v>138816</v>
      </c>
      <c r="X50" s="102">
        <v>1911044</v>
      </c>
      <c r="Y50" s="102">
        <v>235570</v>
      </c>
      <c r="Z50" s="102">
        <v>0</v>
      </c>
      <c r="AA50" s="102">
        <v>108729</v>
      </c>
      <c r="AB50" s="102">
        <v>120377</v>
      </c>
      <c r="AC50" s="102">
        <v>15648254</v>
      </c>
      <c r="AD50" s="102">
        <v>13421574</v>
      </c>
      <c r="AE50" s="102">
        <v>2226679</v>
      </c>
      <c r="AF50" s="102">
        <v>27755</v>
      </c>
      <c r="AG50" s="102">
        <v>302759</v>
      </c>
      <c r="AH50" s="73">
        <f t="shared" si="3"/>
        <v>1529907</v>
      </c>
      <c r="AI50" s="102">
        <v>1181276</v>
      </c>
      <c r="AJ50" s="102">
        <v>348631</v>
      </c>
      <c r="AK50" s="102">
        <v>6369980</v>
      </c>
      <c r="AL50" s="73">
        <f t="shared" si="4"/>
        <v>1717485</v>
      </c>
      <c r="AM50" s="102">
        <v>193744</v>
      </c>
      <c r="AN50" s="102">
        <v>354760</v>
      </c>
      <c r="AO50" s="74"/>
      <c r="AP50" s="102">
        <v>1168981</v>
      </c>
      <c r="AQ50" s="102">
        <v>393482</v>
      </c>
      <c r="AR50" s="102">
        <v>57073</v>
      </c>
      <c r="AS50" s="102">
        <v>0</v>
      </c>
      <c r="AT50" s="102">
        <v>4877916</v>
      </c>
      <c r="AU50" s="102">
        <v>2694196</v>
      </c>
      <c r="AV50" s="102">
        <v>147083</v>
      </c>
      <c r="AW50" s="102">
        <v>407051</v>
      </c>
      <c r="AX50" s="102">
        <v>2183720</v>
      </c>
      <c r="AY50" s="102">
        <v>208419</v>
      </c>
      <c r="AZ50" s="102">
        <v>153682</v>
      </c>
      <c r="BA50" s="102">
        <v>47740</v>
      </c>
      <c r="BB50" s="102">
        <v>42530</v>
      </c>
      <c r="BC50" s="102">
        <v>2488609</v>
      </c>
      <c r="BD50" s="102">
        <v>1278611</v>
      </c>
      <c r="BE50" s="102">
        <v>50000</v>
      </c>
      <c r="BF50" s="102">
        <v>1035427</v>
      </c>
      <c r="BG50" s="102">
        <v>129310</v>
      </c>
      <c r="BH50" s="102">
        <v>1861987</v>
      </c>
      <c r="BI50" s="102">
        <v>1299425</v>
      </c>
      <c r="BJ50" s="102">
        <v>1079079</v>
      </c>
      <c r="BK50" s="102">
        <v>27060</v>
      </c>
      <c r="BL50" s="102">
        <v>0</v>
      </c>
      <c r="BM50" s="102">
        <v>0</v>
      </c>
      <c r="BN50" s="102">
        <v>5954192</v>
      </c>
      <c r="BO50" s="73">
        <f t="shared" si="5"/>
        <v>2820550</v>
      </c>
      <c r="BP50" s="73">
        <f t="shared" si="6"/>
        <v>3133642</v>
      </c>
      <c r="BQ50" s="102">
        <v>0</v>
      </c>
      <c r="BR50" s="102">
        <v>0</v>
      </c>
      <c r="BS50" s="102">
        <v>3133642</v>
      </c>
      <c r="BT50" s="102">
        <v>0</v>
      </c>
      <c r="BU50" s="102">
        <v>67822662</v>
      </c>
      <c r="BV50" s="71"/>
      <c r="BW50" s="102">
        <v>14155140</v>
      </c>
      <c r="BX50" s="102">
        <v>8819337</v>
      </c>
      <c r="BY50" s="102">
        <v>1221409</v>
      </c>
      <c r="BZ50" s="102">
        <v>1003486</v>
      </c>
      <c r="CA50" s="102">
        <v>9329830</v>
      </c>
      <c r="CB50" s="102">
        <v>3362656</v>
      </c>
      <c r="CC50" s="102">
        <v>319130</v>
      </c>
      <c r="CD50" s="102">
        <v>5196219</v>
      </c>
      <c r="CE50" s="102">
        <v>246198</v>
      </c>
      <c r="CF50" s="102">
        <v>13458</v>
      </c>
      <c r="CG50" s="102">
        <v>192169</v>
      </c>
      <c r="CH50" s="102">
        <v>6947559</v>
      </c>
      <c r="CI50" s="102">
        <v>6115048</v>
      </c>
      <c r="CJ50" s="83">
        <f t="shared" si="18"/>
        <v>832511</v>
      </c>
      <c r="CK50" s="102">
        <v>10924885</v>
      </c>
      <c r="CL50" s="102">
        <v>6249004</v>
      </c>
      <c r="CM50" s="102">
        <v>1037656</v>
      </c>
      <c r="CN50" s="102">
        <v>2042976</v>
      </c>
      <c r="CO50" s="102">
        <v>618574</v>
      </c>
      <c r="CP50" s="102">
        <v>5574980</v>
      </c>
      <c r="CQ50" s="102">
        <v>1980486</v>
      </c>
      <c r="CR50" s="102">
        <v>1339520</v>
      </c>
      <c r="CS50" s="102">
        <v>874397</v>
      </c>
      <c r="CT50" s="73">
        <f t="shared" si="7"/>
        <v>283653</v>
      </c>
      <c r="CU50" s="102">
        <v>56195</v>
      </c>
      <c r="CV50" s="102">
        <v>227458</v>
      </c>
      <c r="CW50" s="73">
        <f t="shared" si="8"/>
        <v>27735</v>
      </c>
      <c r="CX50" s="102">
        <v>27735</v>
      </c>
      <c r="CY50" s="102">
        <v>0</v>
      </c>
      <c r="CZ50" s="73">
        <f t="shared" si="9"/>
        <v>0</v>
      </c>
      <c r="DA50" s="102">
        <v>0</v>
      </c>
      <c r="DB50" s="102">
        <v>0</v>
      </c>
      <c r="DC50" s="102">
        <v>6972094</v>
      </c>
      <c r="DD50" s="102">
        <v>2932909</v>
      </c>
      <c r="DE50" s="102">
        <v>3823309</v>
      </c>
      <c r="DF50" s="77">
        <v>215560</v>
      </c>
      <c r="DG50" s="78">
        <v>0</v>
      </c>
      <c r="DH50" s="102">
        <v>280563</v>
      </c>
      <c r="DI50" s="102">
        <v>1861717</v>
      </c>
      <c r="DJ50" s="102">
        <v>1341670</v>
      </c>
      <c r="DK50" s="102">
        <v>102287</v>
      </c>
      <c r="DL50" s="102">
        <v>417760</v>
      </c>
      <c r="DM50" s="102">
        <v>69887</v>
      </c>
      <c r="DN50" s="102">
        <v>69887</v>
      </c>
      <c r="DO50" s="102">
        <v>69887</v>
      </c>
      <c r="DP50" s="102">
        <v>0</v>
      </c>
      <c r="DQ50" s="102">
        <v>25921</v>
      </c>
      <c r="DR50" s="102">
        <v>0</v>
      </c>
      <c r="DS50" s="102">
        <v>0</v>
      </c>
      <c r="DT50" s="102">
        <v>9069089</v>
      </c>
      <c r="DU50" s="102">
        <v>2809110</v>
      </c>
      <c r="DV50" s="73">
        <f t="shared" si="10"/>
        <v>0</v>
      </c>
      <c r="DW50" s="102">
        <v>0</v>
      </c>
      <c r="DX50" s="102">
        <v>2358929</v>
      </c>
      <c r="DY50" s="102">
        <v>0</v>
      </c>
      <c r="DZ50" s="102">
        <v>1507275</v>
      </c>
      <c r="EA50" s="74">
        <v>0</v>
      </c>
      <c r="EB50" s="102">
        <v>2306828</v>
      </c>
      <c r="EC50" s="102">
        <v>0</v>
      </c>
      <c r="ED50" s="102">
        <v>65830239</v>
      </c>
      <c r="EE50" s="71"/>
      <c r="EF50" s="102">
        <v>1992423</v>
      </c>
      <c r="EG50" s="102">
        <v>797272</v>
      </c>
      <c r="EH50" s="102">
        <v>1195151</v>
      </c>
      <c r="EI50" s="102">
        <v>-140274</v>
      </c>
      <c r="EJ50" s="102">
        <v>-75809</v>
      </c>
      <c r="EK50" s="71"/>
      <c r="EL50" s="102"/>
      <c r="EM50" s="102">
        <v>186479</v>
      </c>
      <c r="EN50" s="102">
        <v>1528221</v>
      </c>
      <c r="EO50" s="102">
        <v>90219</v>
      </c>
      <c r="EP50" s="73">
        <f t="shared" si="11"/>
        <v>2525943</v>
      </c>
      <c r="EQ50" s="102">
        <v>43162021</v>
      </c>
      <c r="ER50" s="71">
        <v>-7250270</v>
      </c>
      <c r="ES50" s="102">
        <v>12845527</v>
      </c>
      <c r="ET50" s="102">
        <v>7804802</v>
      </c>
      <c r="EU50" s="102">
        <v>3102361</v>
      </c>
      <c r="EV50" s="102">
        <v>6871531</v>
      </c>
      <c r="EW50" s="73">
        <f t="shared" si="12"/>
        <v>1645845</v>
      </c>
      <c r="EX50" s="102">
        <v>1587780</v>
      </c>
      <c r="EY50" s="102">
        <v>195456</v>
      </c>
      <c r="EZ50" s="102">
        <v>1354101</v>
      </c>
      <c r="FA50" s="102">
        <v>58065</v>
      </c>
      <c r="FB50" s="102">
        <v>0</v>
      </c>
      <c r="FC50" s="102">
        <v>8737805</v>
      </c>
      <c r="FD50" s="102">
        <v>4860901</v>
      </c>
      <c r="FE50" s="102">
        <v>1978282</v>
      </c>
      <c r="FF50" s="102">
        <v>8043842</v>
      </c>
      <c r="FG50" s="73">
        <f t="shared" si="13"/>
        <v>2312056</v>
      </c>
      <c r="FH50" s="102">
        <v>48419868</v>
      </c>
      <c r="FI50" s="379">
        <f t="shared" si="14"/>
        <v>2.8</v>
      </c>
      <c r="FJ50" s="102">
        <v>39773560</v>
      </c>
      <c r="FK50" s="102">
        <v>3149597</v>
      </c>
      <c r="FL50" s="102">
        <v>20445965</v>
      </c>
      <c r="FM50" s="102">
        <v>32967732</v>
      </c>
      <c r="FN50" s="428">
        <v>0.61099999999999999</v>
      </c>
      <c r="FO50" s="424">
        <v>95</v>
      </c>
      <c r="FP50" s="425">
        <v>28.7</v>
      </c>
      <c r="FQ50" s="424">
        <v>7.1</v>
      </c>
      <c r="FR50" s="424">
        <v>15.7</v>
      </c>
      <c r="FS50" s="425">
        <v>17.899999999999999</v>
      </c>
      <c r="FT50" s="424">
        <v>8.6</v>
      </c>
      <c r="FU50" s="425">
        <v>15.9</v>
      </c>
      <c r="FV50" s="384">
        <f t="shared" si="15"/>
        <v>11.2</v>
      </c>
      <c r="FW50" s="102">
        <v>61870417</v>
      </c>
      <c r="FX50" s="384">
        <f t="shared" si="16"/>
        <v>144.1</v>
      </c>
      <c r="FY50" s="102">
        <v>30112432</v>
      </c>
      <c r="FZ50" s="102">
        <v>18174998</v>
      </c>
      <c r="GA50" s="102">
        <v>2551232</v>
      </c>
      <c r="GB50" s="102">
        <v>9386202</v>
      </c>
      <c r="GC50" s="102">
        <v>853596</v>
      </c>
      <c r="GD50" s="427">
        <v>828</v>
      </c>
      <c r="GE50" s="452">
        <f>IF(GD50=0,"-",ROUND(GD50/GW50*100,1))</f>
        <v>7.1</v>
      </c>
      <c r="GF50" s="424">
        <v>99</v>
      </c>
      <c r="GG50" s="424">
        <v>21.1</v>
      </c>
      <c r="GH50" s="424">
        <v>94.9</v>
      </c>
      <c r="GI50" s="102">
        <v>1520</v>
      </c>
      <c r="GJ50" s="429" t="s">
        <v>646</v>
      </c>
      <c r="GK50" s="429" t="s">
        <v>646</v>
      </c>
      <c r="GL50" s="88" t="s">
        <v>646</v>
      </c>
      <c r="GM50" s="429" t="s">
        <v>646</v>
      </c>
      <c r="GN50" s="429" t="s">
        <v>646</v>
      </c>
      <c r="GO50" s="429" t="s">
        <v>646</v>
      </c>
      <c r="GP50" s="425">
        <v>11.2</v>
      </c>
      <c r="GQ50" s="431" t="s">
        <v>646</v>
      </c>
      <c r="GR50" s="431" t="s">
        <v>646</v>
      </c>
      <c r="GS50" s="425">
        <v>18.899999999999999</v>
      </c>
      <c r="GT50" s="429" t="s">
        <v>646</v>
      </c>
      <c r="GU50" s="394"/>
      <c r="GV50" s="100">
        <f t="shared" si="17"/>
        <v>42923</v>
      </c>
      <c r="GW50" s="394">
        <f>GV44+GV48</f>
        <v>11636</v>
      </c>
      <c r="GX50" s="394"/>
      <c r="GY50" s="394"/>
      <c r="GZ50" s="394"/>
      <c r="HA50" s="394"/>
      <c r="HB50" s="394"/>
      <c r="HC50" s="394"/>
      <c r="HD50" s="394"/>
      <c r="HE50" s="394"/>
      <c r="HF50" s="394"/>
      <c r="HG50" s="394"/>
      <c r="HH50" s="394"/>
      <c r="HI50" s="394"/>
      <c r="HJ50" s="394"/>
      <c r="HK50" s="394"/>
      <c r="HL50" s="394"/>
      <c r="HM50" s="394"/>
      <c r="HN50" s="394"/>
      <c r="HO50" s="394"/>
      <c r="HP50" s="394"/>
      <c r="HQ50" s="394"/>
      <c r="HR50" s="394"/>
      <c r="HS50" s="394"/>
      <c r="HT50" s="394"/>
      <c r="HU50" s="394"/>
      <c r="HV50" s="394"/>
    </row>
    <row r="51" spans="2:230" x14ac:dyDescent="0.15">
      <c r="B51" s="21" t="s">
        <v>91</v>
      </c>
      <c r="C51" s="102">
        <v>768337384</v>
      </c>
      <c r="D51" s="73">
        <f t="shared" si="0"/>
        <v>284072802</v>
      </c>
      <c r="E51" s="102">
        <v>8124178</v>
      </c>
      <c r="F51" s="102">
        <v>275948624</v>
      </c>
      <c r="G51" s="73">
        <f t="shared" si="1"/>
        <v>59101048</v>
      </c>
      <c r="H51" s="102">
        <v>13355604</v>
      </c>
      <c r="I51" s="102">
        <v>45745444</v>
      </c>
      <c r="J51" s="102">
        <v>311077769</v>
      </c>
      <c r="K51" s="102">
        <v>132096212</v>
      </c>
      <c r="L51" s="102">
        <v>133217155</v>
      </c>
      <c r="M51" s="102">
        <v>40415219</v>
      </c>
      <c r="N51" s="102">
        <v>37789017</v>
      </c>
      <c r="O51" s="102">
        <v>63021154</v>
      </c>
      <c r="P51" s="102">
        <v>35097766</v>
      </c>
      <c r="Q51" s="102">
        <v>27923388</v>
      </c>
      <c r="R51" s="102">
        <v>10888928</v>
      </c>
      <c r="S51" s="74"/>
      <c r="T51" s="73">
        <f t="shared" si="2"/>
        <v>77727395</v>
      </c>
      <c r="U51" s="102">
        <v>2986640</v>
      </c>
      <c r="V51" s="102">
        <v>8060224</v>
      </c>
      <c r="W51" s="102">
        <v>4245899</v>
      </c>
      <c r="X51" s="102">
        <v>59443259</v>
      </c>
      <c r="Y51" s="102">
        <v>917638</v>
      </c>
      <c r="Z51" s="102">
        <v>0</v>
      </c>
      <c r="AA51" s="102">
        <v>2073735</v>
      </c>
      <c r="AB51" s="102">
        <v>3881082</v>
      </c>
      <c r="AC51" s="102">
        <v>206371538</v>
      </c>
      <c r="AD51" s="102">
        <v>192903472</v>
      </c>
      <c r="AE51" s="102">
        <v>13467860</v>
      </c>
      <c r="AF51" s="102">
        <v>765309</v>
      </c>
      <c r="AG51" s="102">
        <v>22193327</v>
      </c>
      <c r="AH51" s="73">
        <f t="shared" si="3"/>
        <v>34833396</v>
      </c>
      <c r="AI51" s="102">
        <v>26817552</v>
      </c>
      <c r="AJ51" s="102">
        <v>8015844</v>
      </c>
      <c r="AK51" s="102">
        <v>368303963</v>
      </c>
      <c r="AL51" s="73">
        <f t="shared" si="4"/>
        <v>221239322</v>
      </c>
      <c r="AM51" s="102">
        <v>159521491</v>
      </c>
      <c r="AN51" s="102">
        <v>21034653</v>
      </c>
      <c r="AO51" s="74"/>
      <c r="AP51" s="102">
        <v>40683178</v>
      </c>
      <c r="AQ51" s="102">
        <v>19904114</v>
      </c>
      <c r="AR51" s="102">
        <v>248431</v>
      </c>
      <c r="AS51" s="102">
        <v>259556</v>
      </c>
      <c r="AT51" s="102">
        <v>120665647</v>
      </c>
      <c r="AU51" s="102">
        <v>75462979</v>
      </c>
      <c r="AV51" s="102">
        <v>7033881</v>
      </c>
      <c r="AW51" s="102">
        <v>7116533</v>
      </c>
      <c r="AX51" s="102">
        <v>45202668</v>
      </c>
      <c r="AY51" s="102">
        <v>2425953</v>
      </c>
      <c r="AZ51" s="102">
        <v>9678174</v>
      </c>
      <c r="BA51" s="102">
        <v>7694824</v>
      </c>
      <c r="BB51" s="102">
        <v>1471635</v>
      </c>
      <c r="BC51" s="102">
        <v>35327912</v>
      </c>
      <c r="BD51" s="102">
        <v>10060619</v>
      </c>
      <c r="BE51" s="102">
        <v>4480702</v>
      </c>
      <c r="BF51" s="102">
        <v>18007314</v>
      </c>
      <c r="BG51" s="102">
        <v>1755768</v>
      </c>
      <c r="BH51" s="102">
        <v>32297596</v>
      </c>
      <c r="BI51" s="102">
        <v>23802764</v>
      </c>
      <c r="BJ51" s="102">
        <v>31513801</v>
      </c>
      <c r="BK51" s="102">
        <v>6826519</v>
      </c>
      <c r="BL51" s="102">
        <v>251118</v>
      </c>
      <c r="BM51" s="102">
        <v>2160226</v>
      </c>
      <c r="BN51" s="102">
        <v>156665221</v>
      </c>
      <c r="BO51" s="73">
        <f t="shared" si="5"/>
        <v>73985650</v>
      </c>
      <c r="BP51" s="73">
        <f t="shared" si="6"/>
        <v>82439871</v>
      </c>
      <c r="BQ51" s="102">
        <v>0</v>
      </c>
      <c r="BR51" s="102">
        <v>5900</v>
      </c>
      <c r="BS51" s="102">
        <v>82433971</v>
      </c>
      <c r="BT51" s="102">
        <v>239700</v>
      </c>
      <c r="BU51" s="102">
        <v>1881181864</v>
      </c>
      <c r="BV51" s="71"/>
      <c r="BW51" s="102">
        <v>304905463</v>
      </c>
      <c r="BX51" s="102">
        <v>200186113</v>
      </c>
      <c r="BY51" s="102">
        <v>25555271</v>
      </c>
      <c r="BZ51" s="102">
        <v>22921672</v>
      </c>
      <c r="CA51" s="102">
        <v>553907248</v>
      </c>
      <c r="CB51" s="102">
        <v>112616729</v>
      </c>
      <c r="CC51" s="102">
        <v>10236931</v>
      </c>
      <c r="CD51" s="102">
        <v>207552323</v>
      </c>
      <c r="CE51" s="102">
        <v>212120706</v>
      </c>
      <c r="CF51" s="102">
        <v>5042673</v>
      </c>
      <c r="CG51" s="102">
        <v>6325233</v>
      </c>
      <c r="CH51" s="102">
        <v>175686085</v>
      </c>
      <c r="CI51" s="102">
        <v>155242433</v>
      </c>
      <c r="CJ51" s="83">
        <f t="shared" si="18"/>
        <v>20443652</v>
      </c>
      <c r="CK51" s="102">
        <v>218189438</v>
      </c>
      <c r="CL51" s="102">
        <v>134462864</v>
      </c>
      <c r="CM51" s="102">
        <v>14567332</v>
      </c>
      <c r="CN51" s="102">
        <v>38171214</v>
      </c>
      <c r="CO51" s="102">
        <v>14996942</v>
      </c>
      <c r="CP51" s="102">
        <v>150254927</v>
      </c>
      <c r="CQ51" s="102">
        <v>38249180</v>
      </c>
      <c r="CR51" s="102">
        <v>41407268</v>
      </c>
      <c r="CS51" s="102">
        <v>27084285</v>
      </c>
      <c r="CT51" s="73">
        <f t="shared" si="7"/>
        <v>39888129</v>
      </c>
      <c r="CU51" s="102">
        <v>27152584</v>
      </c>
      <c r="CV51" s="102">
        <v>12735545</v>
      </c>
      <c r="CW51" s="73">
        <f t="shared" si="8"/>
        <v>13418958</v>
      </c>
      <c r="CX51" s="102">
        <v>9810167</v>
      </c>
      <c r="CY51" s="102">
        <v>3608791</v>
      </c>
      <c r="CZ51" s="73">
        <f t="shared" si="9"/>
        <v>23695242</v>
      </c>
      <c r="DA51" s="102">
        <v>16376022</v>
      </c>
      <c r="DB51" s="102">
        <v>7319220</v>
      </c>
      <c r="DC51" s="102">
        <v>174664877</v>
      </c>
      <c r="DD51" s="102">
        <v>79374824</v>
      </c>
      <c r="DE51" s="102">
        <v>91366810</v>
      </c>
      <c r="DF51" s="77">
        <v>2881607</v>
      </c>
      <c r="DG51" s="78">
        <v>1039708</v>
      </c>
      <c r="DH51" s="102">
        <v>999486</v>
      </c>
      <c r="DI51" s="102">
        <v>33732971</v>
      </c>
      <c r="DJ51" s="102">
        <v>16011826</v>
      </c>
      <c r="DK51" s="102">
        <v>3774929</v>
      </c>
      <c r="DL51" s="102">
        <v>13946216</v>
      </c>
      <c r="DM51" s="102">
        <v>5447220</v>
      </c>
      <c r="DN51" s="102">
        <v>5191479</v>
      </c>
      <c r="DO51" s="102">
        <v>633574</v>
      </c>
      <c r="DP51" s="102">
        <v>2359291</v>
      </c>
      <c r="DQ51" s="102">
        <v>7918625</v>
      </c>
      <c r="DR51" s="102">
        <v>0</v>
      </c>
      <c r="DS51" s="102">
        <v>0</v>
      </c>
      <c r="DT51" s="102">
        <v>213213704</v>
      </c>
      <c r="DU51" s="102">
        <v>42363215</v>
      </c>
      <c r="DV51" s="73">
        <f t="shared" si="10"/>
        <v>0</v>
      </c>
      <c r="DW51" s="102">
        <v>0</v>
      </c>
      <c r="DX51" s="102">
        <v>56378007</v>
      </c>
      <c r="DY51" s="102">
        <v>491871</v>
      </c>
      <c r="DZ51" s="102">
        <v>58386637</v>
      </c>
      <c r="EA51" s="74">
        <v>0</v>
      </c>
      <c r="EB51" s="102">
        <v>53197442</v>
      </c>
      <c r="EC51" s="102">
        <v>0</v>
      </c>
      <c r="ED51" s="102">
        <v>1853916986</v>
      </c>
      <c r="EE51" s="71"/>
      <c r="EF51" s="102">
        <v>27264878</v>
      </c>
      <c r="EG51" s="102">
        <v>9774904</v>
      </c>
      <c r="EH51" s="102">
        <v>17489974</v>
      </c>
      <c r="EI51" s="102">
        <v>-8892790</v>
      </c>
      <c r="EJ51" s="102">
        <v>1493756</v>
      </c>
      <c r="EK51" s="71"/>
      <c r="EL51" s="102"/>
      <c r="EM51" s="102">
        <v>5350385</v>
      </c>
      <c r="EN51" s="102">
        <v>19322154</v>
      </c>
      <c r="EO51" s="102">
        <v>7243392</v>
      </c>
      <c r="EP51" s="73">
        <f t="shared" si="11"/>
        <v>53286942</v>
      </c>
      <c r="EQ51" s="102">
        <v>1068231192</v>
      </c>
      <c r="ER51" s="71">
        <v>-161267494</v>
      </c>
      <c r="ES51" s="102">
        <v>281772529</v>
      </c>
      <c r="ET51" s="102">
        <v>182469884</v>
      </c>
      <c r="EU51" s="102">
        <v>159469310</v>
      </c>
      <c r="EV51" s="102">
        <v>174119955</v>
      </c>
      <c r="EW51" s="73">
        <f t="shared" si="12"/>
        <v>43741799</v>
      </c>
      <c r="EX51" s="102">
        <v>43501100</v>
      </c>
      <c r="EY51" s="102">
        <v>4971257</v>
      </c>
      <c r="EZ51" s="102">
        <v>38036365</v>
      </c>
      <c r="FA51" s="102">
        <v>240699</v>
      </c>
      <c r="FB51" s="102">
        <v>0</v>
      </c>
      <c r="FC51" s="102">
        <v>176939893</v>
      </c>
      <c r="FD51" s="102">
        <v>136463854</v>
      </c>
      <c r="FE51" s="102">
        <v>37753803</v>
      </c>
      <c r="FF51" s="102">
        <v>181448727</v>
      </c>
      <c r="FG51" s="73">
        <f t="shared" si="13"/>
        <v>48325721</v>
      </c>
      <c r="FH51" s="102">
        <v>1202281788</v>
      </c>
      <c r="FI51" s="379">
        <f t="shared" si="14"/>
        <v>1.6</v>
      </c>
      <c r="FJ51" s="102">
        <v>969778755</v>
      </c>
      <c r="FK51" s="102">
        <v>90995836</v>
      </c>
      <c r="FL51" s="102">
        <v>598672974</v>
      </c>
      <c r="FM51" s="102">
        <v>789766003</v>
      </c>
      <c r="FN51" s="428">
        <v>0.753</v>
      </c>
      <c r="FO51" s="424">
        <v>95.9</v>
      </c>
      <c r="FP51" s="425">
        <v>25.6</v>
      </c>
      <c r="FQ51" s="424">
        <v>14.7</v>
      </c>
      <c r="FR51" s="424">
        <v>15.7</v>
      </c>
      <c r="FS51" s="425">
        <v>15</v>
      </c>
      <c r="FT51" s="424">
        <v>9.6999999999999993</v>
      </c>
      <c r="FU51" s="425">
        <v>14</v>
      </c>
      <c r="FV51" s="384">
        <f t="shared" si="15"/>
        <v>5.9</v>
      </c>
      <c r="FW51" s="102">
        <v>1564637569</v>
      </c>
      <c r="FX51" s="384">
        <f t="shared" si="16"/>
        <v>147.5</v>
      </c>
      <c r="FY51" s="102">
        <v>343665261</v>
      </c>
      <c r="FZ51" s="102">
        <v>153208104</v>
      </c>
      <c r="GA51" s="102">
        <v>27494477</v>
      </c>
      <c r="GB51" s="102">
        <v>162962680</v>
      </c>
      <c r="GC51" s="102">
        <v>13095396</v>
      </c>
      <c r="GD51" s="427">
        <v>38051</v>
      </c>
      <c r="GE51" s="452">
        <f>IF(GD51=0,"-",ROUND(GD51/GW51*100,1))</f>
        <v>10.5</v>
      </c>
      <c r="GF51" s="424">
        <v>98.8</v>
      </c>
      <c r="GG51" s="424">
        <v>27.8</v>
      </c>
      <c r="GH51" s="424">
        <v>95.6</v>
      </c>
      <c r="GI51" s="102">
        <v>30857</v>
      </c>
      <c r="GJ51" s="429" t="s">
        <v>646</v>
      </c>
      <c r="GK51" s="429" t="s">
        <v>646</v>
      </c>
      <c r="GL51" s="88" t="s">
        <v>646</v>
      </c>
      <c r="GM51" s="429" t="s">
        <v>646</v>
      </c>
      <c r="GN51" s="429" t="s">
        <v>646</v>
      </c>
      <c r="GO51" s="429" t="s">
        <v>646</v>
      </c>
      <c r="GP51" s="425">
        <v>5.9</v>
      </c>
      <c r="GQ51" s="431" t="s">
        <v>646</v>
      </c>
      <c r="GR51" s="431" t="s">
        <v>646</v>
      </c>
      <c r="GS51" s="425">
        <v>13.9</v>
      </c>
      <c r="GT51" s="429" t="s">
        <v>646</v>
      </c>
      <c r="GU51" s="394"/>
      <c r="GV51" s="100">
        <f t="shared" si="17"/>
        <v>1060775</v>
      </c>
      <c r="GW51" s="394">
        <f>GW39+GW50</f>
        <v>363673</v>
      </c>
      <c r="GX51" s="394"/>
      <c r="GY51" s="394"/>
      <c r="GZ51" s="394"/>
      <c r="HA51" s="394"/>
      <c r="HB51" s="394"/>
      <c r="HC51" s="394"/>
      <c r="HD51" s="394"/>
      <c r="HE51" s="394"/>
      <c r="HF51" s="394"/>
      <c r="HG51" s="394"/>
      <c r="HH51" s="394"/>
      <c r="HI51" s="394"/>
      <c r="HJ51" s="394"/>
      <c r="HK51" s="394"/>
      <c r="HL51" s="394"/>
      <c r="HM51" s="394"/>
      <c r="HN51" s="394"/>
      <c r="HO51" s="394"/>
      <c r="HP51" s="394"/>
      <c r="HQ51" s="394"/>
      <c r="HR51" s="394"/>
      <c r="HS51" s="394"/>
      <c r="HT51" s="394"/>
      <c r="HU51" s="394"/>
      <c r="HV51" s="394"/>
    </row>
    <row r="52" spans="2:230" x14ac:dyDescent="0.15">
      <c r="B52" s="72" t="s">
        <v>0</v>
      </c>
      <c r="C52" s="102">
        <v>1560339736</v>
      </c>
      <c r="D52" s="73">
        <f t="shared" si="0"/>
        <v>465596309</v>
      </c>
      <c r="E52" s="102">
        <v>13390380</v>
      </c>
      <c r="F52" s="102">
        <v>452205929</v>
      </c>
      <c r="G52" s="73">
        <f t="shared" si="1"/>
        <v>205644818</v>
      </c>
      <c r="H52" s="102">
        <v>33556863</v>
      </c>
      <c r="I52" s="102">
        <v>172087955</v>
      </c>
      <c r="J52" s="102">
        <v>638822657</v>
      </c>
      <c r="K52" s="102">
        <v>258519111</v>
      </c>
      <c r="L52" s="102">
        <v>286836791</v>
      </c>
      <c r="M52" s="102">
        <v>86384625</v>
      </c>
      <c r="N52" s="102">
        <v>75786068</v>
      </c>
      <c r="O52" s="102">
        <v>128405342</v>
      </c>
      <c r="P52" s="102">
        <v>66997210</v>
      </c>
      <c r="Q52" s="102">
        <v>61408132</v>
      </c>
      <c r="R52" s="102">
        <v>18943671</v>
      </c>
      <c r="S52" s="74"/>
      <c r="T52" s="73">
        <f t="shared" si="2"/>
        <v>141674105</v>
      </c>
      <c r="U52" s="102">
        <v>4846819</v>
      </c>
      <c r="V52" s="102">
        <v>13087129</v>
      </c>
      <c r="W52" s="102">
        <v>6896259</v>
      </c>
      <c r="X52" s="102">
        <v>111799744</v>
      </c>
      <c r="Y52" s="102">
        <v>1066092</v>
      </c>
      <c r="Z52" s="102">
        <v>0</v>
      </c>
      <c r="AA52" s="102">
        <v>3978062</v>
      </c>
      <c r="AB52" s="102">
        <v>6318805</v>
      </c>
      <c r="AC52" s="102">
        <v>266787593</v>
      </c>
      <c r="AD52" s="102">
        <v>251193386</v>
      </c>
      <c r="AE52" s="102">
        <v>15593903</v>
      </c>
      <c r="AF52" s="102">
        <v>1875426</v>
      </c>
      <c r="AG52" s="102">
        <v>35910751</v>
      </c>
      <c r="AH52" s="73">
        <f t="shared" si="3"/>
        <v>103207250</v>
      </c>
      <c r="AI52" s="102">
        <v>84877219</v>
      </c>
      <c r="AJ52" s="102">
        <v>18330031</v>
      </c>
      <c r="AK52" s="102">
        <v>798734529</v>
      </c>
      <c r="AL52" s="73">
        <f t="shared" si="4"/>
        <v>541812804</v>
      </c>
      <c r="AM52" s="102">
        <v>411203367</v>
      </c>
      <c r="AN52" s="102">
        <v>49146226</v>
      </c>
      <c r="AO52" s="74"/>
      <c r="AP52" s="102">
        <v>81463211</v>
      </c>
      <c r="AQ52" s="102">
        <v>35594716</v>
      </c>
      <c r="AR52" s="102">
        <v>248431</v>
      </c>
      <c r="AS52" s="102">
        <v>269254</v>
      </c>
      <c r="AT52" s="102">
        <v>193261693</v>
      </c>
      <c r="AU52" s="102">
        <v>111678433</v>
      </c>
      <c r="AV52" s="102">
        <v>7033881</v>
      </c>
      <c r="AW52" s="102">
        <v>10633398</v>
      </c>
      <c r="AX52" s="102">
        <v>81583260</v>
      </c>
      <c r="AY52" s="102">
        <v>2467928</v>
      </c>
      <c r="AZ52" s="102">
        <v>30910429</v>
      </c>
      <c r="BA52" s="102">
        <v>16817936</v>
      </c>
      <c r="BB52" s="102">
        <v>2884477</v>
      </c>
      <c r="BC52" s="102">
        <v>89957215</v>
      </c>
      <c r="BD52" s="102">
        <v>40855177</v>
      </c>
      <c r="BE52" s="102">
        <v>8558185</v>
      </c>
      <c r="BF52" s="102">
        <v>30521992</v>
      </c>
      <c r="BG52" s="102">
        <v>1755768</v>
      </c>
      <c r="BH52" s="102">
        <v>60638005</v>
      </c>
      <c r="BI52" s="102">
        <v>49618284</v>
      </c>
      <c r="BJ52" s="102">
        <v>219891402</v>
      </c>
      <c r="BK52" s="102">
        <v>117944527</v>
      </c>
      <c r="BL52" s="102">
        <v>594490</v>
      </c>
      <c r="BM52" s="102">
        <v>17834119</v>
      </c>
      <c r="BN52" s="102">
        <v>326590621</v>
      </c>
      <c r="BO52" s="73">
        <f t="shared" si="5"/>
        <v>141732450</v>
      </c>
      <c r="BP52" s="73">
        <f t="shared" si="6"/>
        <v>184618471</v>
      </c>
      <c r="BQ52" s="102">
        <v>0</v>
      </c>
      <c r="BR52" s="102">
        <v>5900</v>
      </c>
      <c r="BS52" s="102">
        <v>184612571</v>
      </c>
      <c r="BT52" s="102">
        <v>239700</v>
      </c>
      <c r="BU52" s="102">
        <v>3875418536</v>
      </c>
      <c r="BV52" s="71"/>
      <c r="BW52" s="102">
        <v>561108013</v>
      </c>
      <c r="BX52" s="102">
        <v>384035912</v>
      </c>
      <c r="BY52" s="102">
        <v>46190534</v>
      </c>
      <c r="BZ52" s="102">
        <v>33239416</v>
      </c>
      <c r="CA52" s="102">
        <v>1185078450</v>
      </c>
      <c r="CB52" s="102">
        <v>216507395</v>
      </c>
      <c r="CC52" s="102">
        <v>19772094</v>
      </c>
      <c r="CD52" s="102">
        <v>370957794</v>
      </c>
      <c r="CE52" s="102">
        <v>550757185</v>
      </c>
      <c r="CF52" s="102">
        <v>17672234</v>
      </c>
      <c r="CG52" s="102">
        <v>9399065</v>
      </c>
      <c r="CH52" s="102">
        <v>474547993</v>
      </c>
      <c r="CI52" s="102">
        <v>409499205</v>
      </c>
      <c r="CJ52" s="83">
        <f t="shared" si="18"/>
        <v>65048788</v>
      </c>
      <c r="CK52" s="102">
        <v>374039513</v>
      </c>
      <c r="CL52" s="102">
        <v>231896842</v>
      </c>
      <c r="CM52" s="102">
        <v>18144373</v>
      </c>
      <c r="CN52" s="102">
        <v>71871884</v>
      </c>
      <c r="CO52" s="102">
        <v>34045855</v>
      </c>
      <c r="CP52" s="102">
        <v>293380483</v>
      </c>
      <c r="CQ52" s="102">
        <v>38623756</v>
      </c>
      <c r="CR52" s="102">
        <v>95960688</v>
      </c>
      <c r="CS52" s="102">
        <v>67712900</v>
      </c>
      <c r="CT52" s="73">
        <f t="shared" si="7"/>
        <v>100627631</v>
      </c>
      <c r="CU52" s="102">
        <v>37640385</v>
      </c>
      <c r="CV52" s="102">
        <v>62987246</v>
      </c>
      <c r="CW52" s="73">
        <f t="shared" si="8"/>
        <v>17300873</v>
      </c>
      <c r="CX52" s="102">
        <v>13069530</v>
      </c>
      <c r="CY52" s="102">
        <v>4231343</v>
      </c>
      <c r="CZ52" s="73">
        <f t="shared" si="9"/>
        <v>63776040</v>
      </c>
      <c r="DA52" s="102">
        <v>23227935</v>
      </c>
      <c r="DB52" s="102">
        <v>40548105</v>
      </c>
      <c r="DC52" s="102">
        <v>324779101</v>
      </c>
      <c r="DD52" s="102">
        <v>155989042</v>
      </c>
      <c r="DE52" s="102">
        <v>160194261</v>
      </c>
      <c r="DF52" s="102">
        <v>2967056</v>
      </c>
      <c r="DG52" s="102">
        <v>1376808</v>
      </c>
      <c r="DH52" s="102">
        <v>999486</v>
      </c>
      <c r="DI52" s="102">
        <v>71503267</v>
      </c>
      <c r="DJ52" s="102">
        <v>48205976</v>
      </c>
      <c r="DK52" s="102">
        <v>4634565</v>
      </c>
      <c r="DL52" s="102">
        <v>18662726</v>
      </c>
      <c r="DM52" s="102">
        <v>38630295</v>
      </c>
      <c r="DN52" s="102">
        <v>8258796</v>
      </c>
      <c r="DO52" s="102">
        <v>633574</v>
      </c>
      <c r="DP52" s="102">
        <v>2359291</v>
      </c>
      <c r="DQ52" s="102">
        <v>111731997</v>
      </c>
      <c r="DR52" s="102">
        <v>0</v>
      </c>
      <c r="DS52" s="102">
        <v>0</v>
      </c>
      <c r="DT52" s="102">
        <v>370156647</v>
      </c>
      <c r="DU52" s="102">
        <v>42363215</v>
      </c>
      <c r="DV52" s="73">
        <f t="shared" si="10"/>
        <v>18991631</v>
      </c>
      <c r="DW52" s="102">
        <v>18991631</v>
      </c>
      <c r="DX52" s="102">
        <v>98594461</v>
      </c>
      <c r="DY52" s="102">
        <v>492074</v>
      </c>
      <c r="DZ52" s="102">
        <v>109115216</v>
      </c>
      <c r="EA52" s="74">
        <v>0</v>
      </c>
      <c r="EB52" s="102">
        <v>95238139</v>
      </c>
      <c r="EC52" s="102">
        <v>0</v>
      </c>
      <c r="ED52" s="102">
        <v>3840001100</v>
      </c>
      <c r="EE52" s="71"/>
      <c r="EF52" s="102">
        <v>35417436</v>
      </c>
      <c r="EG52" s="102">
        <v>15753434</v>
      </c>
      <c r="EH52" s="102">
        <v>19664002</v>
      </c>
      <c r="EI52" s="102">
        <v>-32534282</v>
      </c>
      <c r="EJ52" s="102">
        <v>-20730144</v>
      </c>
      <c r="EK52" s="71"/>
      <c r="EL52" s="102"/>
      <c r="EM52" s="102">
        <v>8868870</v>
      </c>
      <c r="EN52" s="102">
        <v>57335211</v>
      </c>
      <c r="EO52" s="102">
        <v>14825094</v>
      </c>
      <c r="EP52" s="73">
        <f t="shared" si="11"/>
        <v>142782897</v>
      </c>
      <c r="EQ52" s="102">
        <v>2013432164</v>
      </c>
      <c r="ER52" s="71">
        <v>-380193419</v>
      </c>
      <c r="ES52" s="102">
        <v>513426649</v>
      </c>
      <c r="ET52" s="102">
        <v>348201591</v>
      </c>
      <c r="EU52" s="102">
        <v>348628013</v>
      </c>
      <c r="EV52" s="102">
        <v>439759058</v>
      </c>
      <c r="EW52" s="73">
        <f t="shared" si="12"/>
        <v>82916109</v>
      </c>
      <c r="EX52" s="102">
        <v>82675410</v>
      </c>
      <c r="EY52" s="102">
        <v>8790614</v>
      </c>
      <c r="EZ52" s="102">
        <v>73041463</v>
      </c>
      <c r="FA52" s="102">
        <v>240699</v>
      </c>
      <c r="FB52" s="102">
        <v>0</v>
      </c>
      <c r="FC52" s="102">
        <v>282589865</v>
      </c>
      <c r="FD52" s="102">
        <v>256879038</v>
      </c>
      <c r="FE52" s="102">
        <v>38128379</v>
      </c>
      <c r="FF52" s="102">
        <v>312803663</v>
      </c>
      <c r="FG52" s="73">
        <f t="shared" si="13"/>
        <v>121293432</v>
      </c>
      <c r="FH52" s="102">
        <v>2358295827</v>
      </c>
      <c r="FI52" s="379">
        <f t="shared" si="14"/>
        <v>1</v>
      </c>
      <c r="FJ52" s="102">
        <v>1816943194</v>
      </c>
      <c r="FK52" s="102">
        <v>193174533</v>
      </c>
      <c r="FL52" s="102">
        <v>1200694858</v>
      </c>
      <c r="FM52" s="102">
        <v>1451508217</v>
      </c>
      <c r="FN52" s="151">
        <v>0.82</v>
      </c>
      <c r="FO52" s="424">
        <v>97</v>
      </c>
      <c r="FP52" s="151">
        <v>24.5</v>
      </c>
      <c r="FQ52" s="424">
        <v>16.8</v>
      </c>
      <c r="FR52" s="424">
        <v>21</v>
      </c>
      <c r="FS52" s="151">
        <v>12.6</v>
      </c>
      <c r="FT52" s="424">
        <v>9.4</v>
      </c>
      <c r="FU52" s="151">
        <v>11.7</v>
      </c>
      <c r="FV52" s="384">
        <f t="shared" si="15"/>
        <v>7.1</v>
      </c>
      <c r="FW52" s="102">
        <v>4423642464</v>
      </c>
      <c r="FX52" s="384">
        <f t="shared" si="16"/>
        <v>220.1</v>
      </c>
      <c r="FY52" s="102">
        <v>586693747</v>
      </c>
      <c r="FZ52" s="102">
        <v>316814400</v>
      </c>
      <c r="GA52" s="102">
        <v>35435136</v>
      </c>
      <c r="GB52" s="102">
        <v>234444211</v>
      </c>
      <c r="GC52" s="102">
        <v>13095396</v>
      </c>
      <c r="GD52" s="454">
        <v>46413</v>
      </c>
      <c r="GE52" s="31">
        <f>IF(GD52=0,"-",ROUND(GD52/GW52*100,1))</f>
        <v>8.4</v>
      </c>
      <c r="GF52" s="424">
        <v>99</v>
      </c>
      <c r="GG52" s="424">
        <v>26.4</v>
      </c>
      <c r="GH52" s="424">
        <v>96.3</v>
      </c>
      <c r="GI52" s="102">
        <v>59013</v>
      </c>
      <c r="GJ52" s="429" t="s">
        <v>646</v>
      </c>
      <c r="GK52" s="429" t="s">
        <v>646</v>
      </c>
      <c r="GL52" s="88" t="s">
        <v>646</v>
      </c>
      <c r="GM52" s="429" t="s">
        <v>646</v>
      </c>
      <c r="GN52" s="429" t="s">
        <v>646</v>
      </c>
      <c r="GO52" s="429" t="s">
        <v>646</v>
      </c>
      <c r="GP52" s="425">
        <v>7.1</v>
      </c>
      <c r="GQ52" s="431" t="s">
        <v>646</v>
      </c>
      <c r="GR52" s="431" t="s">
        <v>646</v>
      </c>
      <c r="GS52" s="151">
        <v>62.3</v>
      </c>
      <c r="GT52" s="429" t="s">
        <v>646</v>
      </c>
      <c r="GV52" s="100">
        <f t="shared" si="17"/>
        <v>2010118</v>
      </c>
      <c r="GW52" s="394">
        <f>GW51+GV7</f>
        <v>553051</v>
      </c>
    </row>
    <row r="53" spans="2:230" x14ac:dyDescent="0.15">
      <c r="S53" s="75"/>
      <c r="CI53" s="89"/>
      <c r="CJ53" s="84"/>
      <c r="EI53" s="420">
        <f>EI8+EI10+EI12+EI14+EI23+EI24+EI25+EI27+EI31+EI32+EI37+EI43+EI44+EI45+EI47+EI48</f>
        <v>-191955</v>
      </c>
      <c r="FJ53" s="394">
        <f>FJ44+FJ47+FJ45</f>
        <v>13849409</v>
      </c>
      <c r="FK53" s="394">
        <f>FK44+FK47+FK45</f>
        <v>931274</v>
      </c>
      <c r="GE53" s="89" t="s">
        <v>647</v>
      </c>
      <c r="GW53" s="101" t="s">
        <v>648</v>
      </c>
      <c r="GX53" s="101"/>
    </row>
    <row r="54" spans="2:230" x14ac:dyDescent="0.15">
      <c r="S54" s="75"/>
      <c r="CI54" s="89"/>
      <c r="CJ54" s="84"/>
      <c r="EI54" s="420">
        <f>EI51-EI53</f>
        <v>-8700835</v>
      </c>
      <c r="EM54" s="423">
        <v>5361757</v>
      </c>
      <c r="FJ54" s="394">
        <f>FJ39+FJ53</f>
        <v>943854604</v>
      </c>
      <c r="FK54" s="394">
        <f>FK39+FK53</f>
        <v>88777513</v>
      </c>
      <c r="GF54" s="388"/>
      <c r="GG54" s="388"/>
      <c r="GH54" s="388"/>
      <c r="GI54" s="272">
        <v>30796</v>
      </c>
    </row>
    <row r="55" spans="2:230" x14ac:dyDescent="0.15">
      <c r="S55" s="75"/>
      <c r="CI55" s="89"/>
      <c r="CJ55" s="84"/>
    </row>
    <row r="56" spans="2:230" x14ac:dyDescent="0.15">
      <c r="B56" s="89" t="s">
        <v>650</v>
      </c>
      <c r="C56" s="89" t="str">
        <f t="shared" ref="C56:AH56" si="19">IF(SUM(C8:C38)=C39,"ok","エラー")</f>
        <v>ok</v>
      </c>
      <c r="D56" s="89" t="str">
        <f t="shared" si="19"/>
        <v>ok</v>
      </c>
      <c r="E56" s="89" t="str">
        <f t="shared" si="19"/>
        <v>ok</v>
      </c>
      <c r="F56" s="89" t="str">
        <f t="shared" si="19"/>
        <v>ok</v>
      </c>
      <c r="G56" s="89" t="str">
        <f t="shared" si="19"/>
        <v>ok</v>
      </c>
      <c r="H56" s="89" t="str">
        <f t="shared" si="19"/>
        <v>ok</v>
      </c>
      <c r="I56" s="89" t="str">
        <f t="shared" si="19"/>
        <v>ok</v>
      </c>
      <c r="J56" s="89" t="str">
        <f t="shared" si="19"/>
        <v>ok</v>
      </c>
      <c r="K56" s="89" t="str">
        <f t="shared" si="19"/>
        <v>ok</v>
      </c>
      <c r="L56" s="89" t="str">
        <f t="shared" si="19"/>
        <v>ok</v>
      </c>
      <c r="M56" s="89" t="str">
        <f t="shared" si="19"/>
        <v>ok</v>
      </c>
      <c r="N56" s="89" t="str">
        <f t="shared" si="19"/>
        <v>ok</v>
      </c>
      <c r="O56" s="89" t="str">
        <f t="shared" si="19"/>
        <v>ok</v>
      </c>
      <c r="P56" s="89" t="str">
        <f t="shared" si="19"/>
        <v>ok</v>
      </c>
      <c r="Q56" s="89" t="str">
        <f t="shared" si="19"/>
        <v>ok</v>
      </c>
      <c r="R56" s="89" t="str">
        <f t="shared" si="19"/>
        <v>ok</v>
      </c>
      <c r="S56" s="75" t="str">
        <f t="shared" si="19"/>
        <v>ok</v>
      </c>
      <c r="T56" s="89" t="str">
        <f t="shared" si="19"/>
        <v>ok</v>
      </c>
      <c r="U56" s="89" t="str">
        <f t="shared" si="19"/>
        <v>ok</v>
      </c>
      <c r="V56" s="89" t="str">
        <f t="shared" si="19"/>
        <v>ok</v>
      </c>
      <c r="W56" s="89" t="str">
        <f t="shared" si="19"/>
        <v>ok</v>
      </c>
      <c r="X56" s="89" t="str">
        <f t="shared" si="19"/>
        <v>ok</v>
      </c>
      <c r="Y56" s="89" t="str">
        <f t="shared" si="19"/>
        <v>ok</v>
      </c>
      <c r="Z56" s="89" t="str">
        <f t="shared" si="19"/>
        <v>ok</v>
      </c>
      <c r="AA56" s="89" t="str">
        <f t="shared" si="19"/>
        <v>ok</v>
      </c>
      <c r="AB56" s="89" t="str">
        <f t="shared" si="19"/>
        <v>ok</v>
      </c>
      <c r="AC56" s="89" t="str">
        <f t="shared" si="19"/>
        <v>ok</v>
      </c>
      <c r="AD56" s="89" t="str">
        <f t="shared" si="19"/>
        <v>ok</v>
      </c>
      <c r="AE56" s="89" t="str">
        <f t="shared" si="19"/>
        <v>ok</v>
      </c>
      <c r="AF56" s="89" t="str">
        <f t="shared" si="19"/>
        <v>ok</v>
      </c>
      <c r="AG56" s="89" t="str">
        <f t="shared" si="19"/>
        <v>ok</v>
      </c>
      <c r="AH56" s="89" t="str">
        <f t="shared" si="19"/>
        <v>ok</v>
      </c>
      <c r="AI56" s="89" t="str">
        <f t="shared" ref="AI56:BN56" si="20">IF(SUM(AI8:AI38)=AI39,"ok","エラー")</f>
        <v>ok</v>
      </c>
      <c r="AJ56" s="89" t="str">
        <f t="shared" si="20"/>
        <v>ok</v>
      </c>
      <c r="AK56" s="89" t="str">
        <f t="shared" si="20"/>
        <v>ok</v>
      </c>
      <c r="AL56" s="89" t="str">
        <f t="shared" si="20"/>
        <v>ok</v>
      </c>
      <c r="AM56" s="89" t="str">
        <f t="shared" si="20"/>
        <v>ok</v>
      </c>
      <c r="AN56" s="89" t="str">
        <f t="shared" si="20"/>
        <v>ok</v>
      </c>
      <c r="AO56" s="89" t="str">
        <f t="shared" si="20"/>
        <v>ok</v>
      </c>
      <c r="AP56" s="89" t="str">
        <f t="shared" si="20"/>
        <v>ok</v>
      </c>
      <c r="AQ56" s="89" t="str">
        <f t="shared" si="20"/>
        <v>ok</v>
      </c>
      <c r="AR56" s="89" t="str">
        <f t="shared" si="20"/>
        <v>ok</v>
      </c>
      <c r="AS56" s="89" t="str">
        <f t="shared" si="20"/>
        <v>ok</v>
      </c>
      <c r="AT56" s="89" t="str">
        <f t="shared" si="20"/>
        <v>ok</v>
      </c>
      <c r="AU56" s="89" t="str">
        <f t="shared" si="20"/>
        <v>ok</v>
      </c>
      <c r="AV56" s="89" t="str">
        <f t="shared" si="20"/>
        <v>ok</v>
      </c>
      <c r="AW56" s="89" t="str">
        <f t="shared" si="20"/>
        <v>ok</v>
      </c>
      <c r="AX56" s="89" t="str">
        <f t="shared" si="20"/>
        <v>ok</v>
      </c>
      <c r="AY56" s="89" t="str">
        <f t="shared" si="20"/>
        <v>ok</v>
      </c>
      <c r="AZ56" s="89" t="str">
        <f t="shared" si="20"/>
        <v>ok</v>
      </c>
      <c r="BA56" s="89" t="str">
        <f t="shared" si="20"/>
        <v>ok</v>
      </c>
      <c r="BB56" s="89" t="str">
        <f t="shared" si="20"/>
        <v>ok</v>
      </c>
      <c r="BC56" s="89" t="str">
        <f t="shared" si="20"/>
        <v>ok</v>
      </c>
      <c r="BD56" s="89" t="str">
        <f t="shared" si="20"/>
        <v>ok</v>
      </c>
      <c r="BE56" s="89" t="str">
        <f t="shared" si="20"/>
        <v>ok</v>
      </c>
      <c r="BF56" s="89" t="str">
        <f t="shared" si="20"/>
        <v>ok</v>
      </c>
      <c r="BG56" s="89" t="str">
        <f t="shared" si="20"/>
        <v>ok</v>
      </c>
      <c r="BH56" s="89" t="str">
        <f t="shared" si="20"/>
        <v>ok</v>
      </c>
      <c r="BI56" s="89" t="str">
        <f t="shared" si="20"/>
        <v>ok</v>
      </c>
      <c r="BJ56" s="89" t="str">
        <f t="shared" si="20"/>
        <v>ok</v>
      </c>
      <c r="BK56" s="89" t="str">
        <f t="shared" si="20"/>
        <v>ok</v>
      </c>
      <c r="BL56" s="89" t="str">
        <f t="shared" si="20"/>
        <v>ok</v>
      </c>
      <c r="BM56" s="89" t="str">
        <f t="shared" si="20"/>
        <v>ok</v>
      </c>
      <c r="BN56" s="89" t="str">
        <f t="shared" si="20"/>
        <v>ok</v>
      </c>
      <c r="BO56" s="89" t="str">
        <f t="shared" ref="BO56:CI56" si="21">IF(SUM(BO8:BO38)=BO39,"ok","エラー")</f>
        <v>ok</v>
      </c>
      <c r="BP56" s="89" t="str">
        <f t="shared" si="21"/>
        <v>ok</v>
      </c>
      <c r="BQ56" s="89" t="str">
        <f t="shared" si="21"/>
        <v>ok</v>
      </c>
      <c r="BR56" s="89" t="str">
        <f t="shared" si="21"/>
        <v>ok</v>
      </c>
      <c r="BS56" s="89" t="str">
        <f t="shared" si="21"/>
        <v>ok</v>
      </c>
      <c r="BT56" s="89" t="str">
        <f t="shared" si="21"/>
        <v>ok</v>
      </c>
      <c r="BU56" s="89" t="str">
        <f t="shared" si="21"/>
        <v>ok</v>
      </c>
      <c r="BV56" s="89" t="str">
        <f t="shared" si="21"/>
        <v>ok</v>
      </c>
      <c r="BW56" s="89" t="str">
        <f t="shared" si="21"/>
        <v>ok</v>
      </c>
      <c r="BX56" s="89" t="str">
        <f t="shared" si="21"/>
        <v>ok</v>
      </c>
      <c r="BY56" s="89" t="str">
        <f t="shared" si="21"/>
        <v>ok</v>
      </c>
      <c r="BZ56" s="89" t="str">
        <f t="shared" si="21"/>
        <v>ok</v>
      </c>
      <c r="CA56" s="89" t="str">
        <f t="shared" si="21"/>
        <v>ok</v>
      </c>
      <c r="CB56" s="89" t="str">
        <f t="shared" si="21"/>
        <v>ok</v>
      </c>
      <c r="CC56" s="89" t="str">
        <f t="shared" si="21"/>
        <v>ok</v>
      </c>
      <c r="CD56" s="89" t="str">
        <f t="shared" si="21"/>
        <v>ok</v>
      </c>
      <c r="CE56" s="89" t="str">
        <f t="shared" si="21"/>
        <v>ok</v>
      </c>
      <c r="CF56" s="89" t="str">
        <f t="shared" si="21"/>
        <v>ok</v>
      </c>
      <c r="CG56" s="89" t="str">
        <f t="shared" si="21"/>
        <v>ok</v>
      </c>
      <c r="CH56" s="89" t="str">
        <f t="shared" si="21"/>
        <v>ok</v>
      </c>
      <c r="CI56" s="89" t="str">
        <f t="shared" si="21"/>
        <v>ok</v>
      </c>
      <c r="CJ56" s="84"/>
      <c r="CK56" s="89" t="str">
        <f t="shared" ref="CK56:DP56" si="22">IF(SUM(CK8:CK38)=CK39,"ok","エラー")</f>
        <v>ok</v>
      </c>
      <c r="CL56" s="89" t="str">
        <f t="shared" si="22"/>
        <v>ok</v>
      </c>
      <c r="CM56" s="89" t="str">
        <f t="shared" si="22"/>
        <v>ok</v>
      </c>
      <c r="CN56" s="89" t="str">
        <f t="shared" si="22"/>
        <v>ok</v>
      </c>
      <c r="CO56" s="89" t="str">
        <f t="shared" si="22"/>
        <v>ok</v>
      </c>
      <c r="CP56" s="89" t="str">
        <f t="shared" si="22"/>
        <v>ok</v>
      </c>
      <c r="CQ56" s="89" t="str">
        <f t="shared" si="22"/>
        <v>ok</v>
      </c>
      <c r="CR56" s="89" t="str">
        <f t="shared" si="22"/>
        <v>ok</v>
      </c>
      <c r="CS56" s="89" t="str">
        <f t="shared" si="22"/>
        <v>ok</v>
      </c>
      <c r="CT56" s="89" t="str">
        <f t="shared" si="22"/>
        <v>ok</v>
      </c>
      <c r="CU56" s="89" t="str">
        <f t="shared" si="22"/>
        <v>ok</v>
      </c>
      <c r="CV56" s="89" t="str">
        <f t="shared" si="22"/>
        <v>ok</v>
      </c>
      <c r="CW56" s="89" t="str">
        <f t="shared" si="22"/>
        <v>ok</v>
      </c>
      <c r="CX56" s="89" t="str">
        <f t="shared" si="22"/>
        <v>ok</v>
      </c>
      <c r="CY56" s="89" t="str">
        <f t="shared" si="22"/>
        <v>ok</v>
      </c>
      <c r="CZ56" s="89" t="str">
        <f t="shared" si="22"/>
        <v>ok</v>
      </c>
      <c r="DA56" s="89" t="str">
        <f t="shared" si="22"/>
        <v>ok</v>
      </c>
      <c r="DB56" s="89" t="str">
        <f t="shared" si="22"/>
        <v>ok</v>
      </c>
      <c r="DC56" s="89" t="str">
        <f t="shared" si="22"/>
        <v>ok</v>
      </c>
      <c r="DD56" s="89" t="str">
        <f t="shared" si="22"/>
        <v>ok</v>
      </c>
      <c r="DE56" s="89" t="str">
        <f t="shared" si="22"/>
        <v>ok</v>
      </c>
      <c r="DF56" s="89" t="str">
        <f t="shared" si="22"/>
        <v>ok</v>
      </c>
      <c r="DG56" s="89" t="str">
        <f t="shared" si="22"/>
        <v>ok</v>
      </c>
      <c r="DH56" s="89" t="str">
        <f t="shared" si="22"/>
        <v>ok</v>
      </c>
      <c r="DI56" s="89" t="str">
        <f t="shared" si="22"/>
        <v>ok</v>
      </c>
      <c r="DJ56" s="89" t="str">
        <f t="shared" si="22"/>
        <v>ok</v>
      </c>
      <c r="DK56" s="89" t="str">
        <f t="shared" si="22"/>
        <v>ok</v>
      </c>
      <c r="DL56" s="89" t="str">
        <f t="shared" si="22"/>
        <v>ok</v>
      </c>
      <c r="DM56" s="89" t="str">
        <f t="shared" si="22"/>
        <v>ok</v>
      </c>
      <c r="DN56" s="89" t="str">
        <f t="shared" si="22"/>
        <v>ok</v>
      </c>
      <c r="DO56" s="89" t="str">
        <f t="shared" si="22"/>
        <v>ok</v>
      </c>
      <c r="DP56" s="89" t="str">
        <f t="shared" si="22"/>
        <v>ok</v>
      </c>
      <c r="DQ56" s="89" t="str">
        <f t="shared" ref="DQ56:EV56" si="23">IF(SUM(DQ8:DQ38)=DQ39,"ok","エラー")</f>
        <v>ok</v>
      </c>
      <c r="DR56" s="89" t="str">
        <f t="shared" si="23"/>
        <v>ok</v>
      </c>
      <c r="DS56" s="89" t="str">
        <f t="shared" si="23"/>
        <v>ok</v>
      </c>
      <c r="DT56" s="89" t="str">
        <f t="shared" si="23"/>
        <v>ok</v>
      </c>
      <c r="DU56" s="89" t="str">
        <f t="shared" si="23"/>
        <v>ok</v>
      </c>
      <c r="DV56" s="89" t="str">
        <f t="shared" si="23"/>
        <v>ok</v>
      </c>
      <c r="DW56" s="89" t="str">
        <f t="shared" si="23"/>
        <v>ok</v>
      </c>
      <c r="DX56" s="89" t="str">
        <f t="shared" si="23"/>
        <v>ok</v>
      </c>
      <c r="DY56" s="89" t="str">
        <f t="shared" si="23"/>
        <v>ok</v>
      </c>
      <c r="DZ56" s="89" t="str">
        <f t="shared" si="23"/>
        <v>ok</v>
      </c>
      <c r="EA56" s="89" t="str">
        <f t="shared" si="23"/>
        <v>ok</v>
      </c>
      <c r="EB56" s="89" t="str">
        <f t="shared" si="23"/>
        <v>ok</v>
      </c>
      <c r="EC56" s="89" t="str">
        <f t="shared" si="23"/>
        <v>ok</v>
      </c>
      <c r="ED56" s="89" t="str">
        <f t="shared" si="23"/>
        <v>ok</v>
      </c>
      <c r="EE56" s="89" t="str">
        <f t="shared" si="23"/>
        <v>ok</v>
      </c>
      <c r="EF56" s="89" t="str">
        <f t="shared" si="23"/>
        <v>ok</v>
      </c>
      <c r="EG56" s="89" t="str">
        <f t="shared" si="23"/>
        <v>ok</v>
      </c>
      <c r="EH56" s="89" t="str">
        <f t="shared" si="23"/>
        <v>ok</v>
      </c>
      <c r="EI56" s="89" t="str">
        <f t="shared" si="23"/>
        <v>ok</v>
      </c>
      <c r="EJ56" s="89" t="str">
        <f t="shared" si="23"/>
        <v>ok</v>
      </c>
      <c r="EK56" s="89" t="str">
        <f t="shared" si="23"/>
        <v>ok</v>
      </c>
      <c r="EL56" s="89" t="str">
        <f t="shared" si="23"/>
        <v>ok</v>
      </c>
      <c r="EM56" s="89" t="str">
        <f t="shared" si="23"/>
        <v>ok</v>
      </c>
      <c r="EN56" s="89" t="str">
        <f t="shared" si="23"/>
        <v>ok</v>
      </c>
      <c r="EO56" s="89" t="str">
        <f t="shared" si="23"/>
        <v>ok</v>
      </c>
      <c r="EP56" s="89" t="str">
        <f t="shared" si="23"/>
        <v>ok</v>
      </c>
      <c r="EQ56" s="89" t="str">
        <f t="shared" si="23"/>
        <v>ok</v>
      </c>
      <c r="ER56" s="89" t="str">
        <f t="shared" si="23"/>
        <v>ok</v>
      </c>
      <c r="ES56" s="89" t="str">
        <f t="shared" si="23"/>
        <v>ok</v>
      </c>
      <c r="ET56" s="89" t="str">
        <f t="shared" si="23"/>
        <v>ok</v>
      </c>
      <c r="EU56" s="89" t="str">
        <f t="shared" si="23"/>
        <v>ok</v>
      </c>
      <c r="EV56" s="89" t="str">
        <f t="shared" si="23"/>
        <v>ok</v>
      </c>
      <c r="EW56" s="89" t="str">
        <f t="shared" ref="EW56:FH56" si="24">IF(SUM(EW8:EW38)=EW39,"ok","エラー")</f>
        <v>ok</v>
      </c>
      <c r="EX56" s="89" t="str">
        <f t="shared" si="24"/>
        <v>ok</v>
      </c>
      <c r="EY56" s="89" t="str">
        <f t="shared" si="24"/>
        <v>ok</v>
      </c>
      <c r="EZ56" s="89" t="str">
        <f t="shared" si="24"/>
        <v>ok</v>
      </c>
      <c r="FA56" s="89" t="str">
        <f t="shared" si="24"/>
        <v>ok</v>
      </c>
      <c r="FB56" s="89" t="str">
        <f t="shared" si="24"/>
        <v>ok</v>
      </c>
      <c r="FC56" s="89" t="str">
        <f t="shared" si="24"/>
        <v>ok</v>
      </c>
      <c r="FD56" s="89" t="str">
        <f t="shared" si="24"/>
        <v>ok</v>
      </c>
      <c r="FE56" s="89" t="str">
        <f t="shared" si="24"/>
        <v>ok</v>
      </c>
      <c r="FF56" s="89" t="str">
        <f t="shared" si="24"/>
        <v>ok</v>
      </c>
      <c r="FG56" s="89" t="str">
        <f t="shared" si="24"/>
        <v>ok</v>
      </c>
      <c r="FH56" s="89" t="str">
        <f t="shared" si="24"/>
        <v>ok</v>
      </c>
      <c r="FJ56" s="89" t="str">
        <f>IF(SUM(FJ8:FJ38)=FJ39,"ok","エラー")</f>
        <v>ok</v>
      </c>
      <c r="FK56" s="89" t="str">
        <f>IF(SUM(FK8:FK38)=FK39,"ok","エラー")</f>
        <v>ok</v>
      </c>
      <c r="FL56" s="89" t="str">
        <f>IF(SUM(FL8:FL38)=FL39,"ok","エラー")</f>
        <v>ok</v>
      </c>
      <c r="FM56" s="89" t="str">
        <f>IF(SUM(FM8:FM38)=FM39,"ok","エラー")</f>
        <v>ok</v>
      </c>
      <c r="FW56" s="89" t="str">
        <f>IF(SUM(FW8:FW38)=FW39,"ok","エラー")</f>
        <v>ok</v>
      </c>
      <c r="FY56" s="89" t="str">
        <f t="shared" ref="FY56:GD56" si="25">IF(SUM(FY8:FY38)=FY39,"ok","エラー")</f>
        <v>ok</v>
      </c>
      <c r="FZ56" s="89" t="str">
        <f t="shared" si="25"/>
        <v>ok</v>
      </c>
      <c r="GA56" s="89" t="str">
        <f t="shared" si="25"/>
        <v>ok</v>
      </c>
      <c r="GB56" s="89" t="str">
        <f t="shared" si="25"/>
        <v>ok</v>
      </c>
      <c r="GC56" s="89" t="str">
        <f t="shared" si="25"/>
        <v>ok</v>
      </c>
      <c r="GD56" s="89" t="str">
        <f t="shared" si="25"/>
        <v>ok</v>
      </c>
      <c r="GI56" s="62" t="str">
        <f>IF(SUM(GI8:GI38)=GI39,"ok","エラー")</f>
        <v>ok</v>
      </c>
    </row>
    <row r="57" spans="2:230" x14ac:dyDescent="0.15">
      <c r="B57" s="89" t="s">
        <v>650</v>
      </c>
      <c r="C57" s="89" t="str">
        <f t="shared" ref="C57:AH57" si="26">IF(SUM(C40:C49)=C50,"ok","エラー")</f>
        <v>ok</v>
      </c>
      <c r="D57" s="89" t="str">
        <f t="shared" si="26"/>
        <v>ok</v>
      </c>
      <c r="E57" s="89" t="str">
        <f t="shared" si="26"/>
        <v>ok</v>
      </c>
      <c r="F57" s="89" t="str">
        <f t="shared" si="26"/>
        <v>ok</v>
      </c>
      <c r="G57" s="89" t="str">
        <f t="shared" si="26"/>
        <v>ok</v>
      </c>
      <c r="H57" s="89" t="str">
        <f t="shared" si="26"/>
        <v>ok</v>
      </c>
      <c r="I57" s="89" t="str">
        <f t="shared" si="26"/>
        <v>ok</v>
      </c>
      <c r="J57" s="89" t="str">
        <f t="shared" si="26"/>
        <v>ok</v>
      </c>
      <c r="K57" s="89" t="str">
        <f t="shared" si="26"/>
        <v>ok</v>
      </c>
      <c r="L57" s="89" t="str">
        <f t="shared" si="26"/>
        <v>ok</v>
      </c>
      <c r="M57" s="89" t="str">
        <f t="shared" si="26"/>
        <v>ok</v>
      </c>
      <c r="N57" s="89" t="str">
        <f t="shared" si="26"/>
        <v>ok</v>
      </c>
      <c r="O57" s="89" t="str">
        <f t="shared" si="26"/>
        <v>ok</v>
      </c>
      <c r="P57" s="89" t="str">
        <f t="shared" si="26"/>
        <v>ok</v>
      </c>
      <c r="Q57" s="89" t="str">
        <f t="shared" si="26"/>
        <v>ok</v>
      </c>
      <c r="R57" s="89" t="str">
        <f t="shared" si="26"/>
        <v>ok</v>
      </c>
      <c r="S57" s="75" t="str">
        <f t="shared" si="26"/>
        <v>ok</v>
      </c>
      <c r="T57" s="89" t="str">
        <f t="shared" si="26"/>
        <v>ok</v>
      </c>
      <c r="U57" s="89" t="str">
        <f t="shared" si="26"/>
        <v>ok</v>
      </c>
      <c r="V57" s="89" t="str">
        <f t="shared" si="26"/>
        <v>ok</v>
      </c>
      <c r="W57" s="89" t="str">
        <f t="shared" si="26"/>
        <v>ok</v>
      </c>
      <c r="X57" s="89" t="str">
        <f t="shared" si="26"/>
        <v>ok</v>
      </c>
      <c r="Y57" s="89" t="str">
        <f t="shared" si="26"/>
        <v>ok</v>
      </c>
      <c r="Z57" s="89" t="str">
        <f t="shared" si="26"/>
        <v>ok</v>
      </c>
      <c r="AA57" s="89" t="str">
        <f t="shared" si="26"/>
        <v>ok</v>
      </c>
      <c r="AB57" s="89" t="str">
        <f t="shared" si="26"/>
        <v>ok</v>
      </c>
      <c r="AC57" s="89" t="str">
        <f t="shared" si="26"/>
        <v>ok</v>
      </c>
      <c r="AD57" s="89" t="str">
        <f t="shared" si="26"/>
        <v>ok</v>
      </c>
      <c r="AE57" s="89" t="str">
        <f t="shared" si="26"/>
        <v>ok</v>
      </c>
      <c r="AF57" s="89" t="str">
        <f t="shared" si="26"/>
        <v>ok</v>
      </c>
      <c r="AG57" s="89" t="str">
        <f t="shared" si="26"/>
        <v>ok</v>
      </c>
      <c r="AH57" s="89" t="str">
        <f t="shared" si="26"/>
        <v>ok</v>
      </c>
      <c r="AI57" s="89" t="str">
        <f t="shared" ref="AI57:BN57" si="27">IF(SUM(AI40:AI49)=AI50,"ok","エラー")</f>
        <v>ok</v>
      </c>
      <c r="AJ57" s="89" t="str">
        <f t="shared" si="27"/>
        <v>ok</v>
      </c>
      <c r="AK57" s="89" t="str">
        <f t="shared" si="27"/>
        <v>ok</v>
      </c>
      <c r="AL57" s="89" t="str">
        <f t="shared" si="27"/>
        <v>ok</v>
      </c>
      <c r="AM57" s="89" t="str">
        <f t="shared" si="27"/>
        <v>ok</v>
      </c>
      <c r="AN57" s="89" t="str">
        <f t="shared" si="27"/>
        <v>ok</v>
      </c>
      <c r="AO57" s="89" t="str">
        <f t="shared" si="27"/>
        <v>ok</v>
      </c>
      <c r="AP57" s="89" t="str">
        <f t="shared" si="27"/>
        <v>ok</v>
      </c>
      <c r="AQ57" s="89" t="str">
        <f t="shared" si="27"/>
        <v>ok</v>
      </c>
      <c r="AR57" s="89" t="str">
        <f t="shared" si="27"/>
        <v>ok</v>
      </c>
      <c r="AS57" s="89" t="str">
        <f t="shared" si="27"/>
        <v>ok</v>
      </c>
      <c r="AT57" s="89" t="str">
        <f t="shared" si="27"/>
        <v>ok</v>
      </c>
      <c r="AU57" s="89" t="str">
        <f t="shared" si="27"/>
        <v>ok</v>
      </c>
      <c r="AV57" s="89" t="str">
        <f t="shared" si="27"/>
        <v>ok</v>
      </c>
      <c r="AW57" s="89" t="str">
        <f t="shared" si="27"/>
        <v>ok</v>
      </c>
      <c r="AX57" s="89" t="str">
        <f t="shared" si="27"/>
        <v>ok</v>
      </c>
      <c r="AY57" s="89" t="str">
        <f t="shared" si="27"/>
        <v>ok</v>
      </c>
      <c r="AZ57" s="89" t="str">
        <f t="shared" si="27"/>
        <v>ok</v>
      </c>
      <c r="BA57" s="89" t="str">
        <f t="shared" si="27"/>
        <v>ok</v>
      </c>
      <c r="BB57" s="89" t="str">
        <f t="shared" si="27"/>
        <v>ok</v>
      </c>
      <c r="BC57" s="89" t="str">
        <f t="shared" si="27"/>
        <v>ok</v>
      </c>
      <c r="BD57" s="89" t="str">
        <f t="shared" si="27"/>
        <v>ok</v>
      </c>
      <c r="BE57" s="89" t="str">
        <f t="shared" si="27"/>
        <v>ok</v>
      </c>
      <c r="BF57" s="89" t="str">
        <f t="shared" si="27"/>
        <v>ok</v>
      </c>
      <c r="BG57" s="89" t="str">
        <f t="shared" si="27"/>
        <v>ok</v>
      </c>
      <c r="BH57" s="89" t="str">
        <f t="shared" si="27"/>
        <v>ok</v>
      </c>
      <c r="BI57" s="89" t="str">
        <f t="shared" si="27"/>
        <v>ok</v>
      </c>
      <c r="BJ57" s="89" t="str">
        <f t="shared" si="27"/>
        <v>ok</v>
      </c>
      <c r="BK57" s="89" t="str">
        <f t="shared" si="27"/>
        <v>ok</v>
      </c>
      <c r="BL57" s="89" t="str">
        <f t="shared" si="27"/>
        <v>ok</v>
      </c>
      <c r="BM57" s="89" t="str">
        <f t="shared" si="27"/>
        <v>ok</v>
      </c>
      <c r="BN57" s="89" t="str">
        <f t="shared" si="27"/>
        <v>ok</v>
      </c>
      <c r="BO57" s="89" t="str">
        <f t="shared" ref="BO57:CI57" si="28">IF(SUM(BO40:BO49)=BO50,"ok","エラー")</f>
        <v>ok</v>
      </c>
      <c r="BP57" s="89" t="str">
        <f t="shared" si="28"/>
        <v>ok</v>
      </c>
      <c r="BQ57" s="89" t="str">
        <f t="shared" si="28"/>
        <v>ok</v>
      </c>
      <c r="BR57" s="89" t="str">
        <f t="shared" si="28"/>
        <v>ok</v>
      </c>
      <c r="BS57" s="89" t="str">
        <f t="shared" si="28"/>
        <v>ok</v>
      </c>
      <c r="BT57" s="89" t="str">
        <f t="shared" si="28"/>
        <v>ok</v>
      </c>
      <c r="BU57" s="89" t="str">
        <f t="shared" si="28"/>
        <v>ok</v>
      </c>
      <c r="BV57" s="89" t="str">
        <f t="shared" si="28"/>
        <v>ok</v>
      </c>
      <c r="BW57" s="89" t="str">
        <f t="shared" si="28"/>
        <v>ok</v>
      </c>
      <c r="BX57" s="89" t="str">
        <f t="shared" si="28"/>
        <v>ok</v>
      </c>
      <c r="BY57" s="89" t="str">
        <f t="shared" si="28"/>
        <v>ok</v>
      </c>
      <c r="BZ57" s="89" t="str">
        <f t="shared" si="28"/>
        <v>ok</v>
      </c>
      <c r="CA57" s="89" t="str">
        <f t="shared" si="28"/>
        <v>ok</v>
      </c>
      <c r="CB57" s="89" t="str">
        <f t="shared" si="28"/>
        <v>ok</v>
      </c>
      <c r="CC57" s="89" t="str">
        <f t="shared" si="28"/>
        <v>ok</v>
      </c>
      <c r="CD57" s="89" t="str">
        <f t="shared" si="28"/>
        <v>ok</v>
      </c>
      <c r="CE57" s="89" t="str">
        <f t="shared" si="28"/>
        <v>ok</v>
      </c>
      <c r="CF57" s="89" t="str">
        <f t="shared" si="28"/>
        <v>ok</v>
      </c>
      <c r="CG57" s="89" t="str">
        <f t="shared" si="28"/>
        <v>ok</v>
      </c>
      <c r="CH57" s="89" t="str">
        <f t="shared" si="28"/>
        <v>ok</v>
      </c>
      <c r="CI57" s="89" t="str">
        <f t="shared" si="28"/>
        <v>ok</v>
      </c>
      <c r="CJ57" s="84"/>
      <c r="CK57" s="89" t="str">
        <f t="shared" ref="CK57:DP57" si="29">IF(SUM(CK40:CK49)=CK50,"ok","エラー")</f>
        <v>ok</v>
      </c>
      <c r="CL57" s="89" t="str">
        <f t="shared" si="29"/>
        <v>ok</v>
      </c>
      <c r="CM57" s="89" t="str">
        <f t="shared" si="29"/>
        <v>ok</v>
      </c>
      <c r="CN57" s="89" t="str">
        <f t="shared" si="29"/>
        <v>ok</v>
      </c>
      <c r="CO57" s="89" t="str">
        <f t="shared" si="29"/>
        <v>ok</v>
      </c>
      <c r="CP57" s="89" t="str">
        <f t="shared" si="29"/>
        <v>ok</v>
      </c>
      <c r="CQ57" s="89" t="str">
        <f t="shared" si="29"/>
        <v>ok</v>
      </c>
      <c r="CR57" s="89" t="str">
        <f t="shared" si="29"/>
        <v>ok</v>
      </c>
      <c r="CS57" s="89" t="str">
        <f t="shared" si="29"/>
        <v>ok</v>
      </c>
      <c r="CT57" s="89" t="str">
        <f t="shared" si="29"/>
        <v>ok</v>
      </c>
      <c r="CU57" s="89" t="str">
        <f t="shared" si="29"/>
        <v>ok</v>
      </c>
      <c r="CV57" s="89" t="str">
        <f t="shared" si="29"/>
        <v>ok</v>
      </c>
      <c r="CW57" s="89" t="str">
        <f t="shared" si="29"/>
        <v>ok</v>
      </c>
      <c r="CX57" s="89" t="str">
        <f t="shared" si="29"/>
        <v>ok</v>
      </c>
      <c r="CY57" s="89" t="str">
        <f t="shared" si="29"/>
        <v>ok</v>
      </c>
      <c r="CZ57" s="89" t="str">
        <f t="shared" si="29"/>
        <v>ok</v>
      </c>
      <c r="DA57" s="89" t="str">
        <f t="shared" si="29"/>
        <v>ok</v>
      </c>
      <c r="DB57" s="89" t="str">
        <f t="shared" si="29"/>
        <v>ok</v>
      </c>
      <c r="DC57" s="89" t="str">
        <f t="shared" si="29"/>
        <v>ok</v>
      </c>
      <c r="DD57" s="89" t="str">
        <f t="shared" si="29"/>
        <v>ok</v>
      </c>
      <c r="DE57" s="89" t="str">
        <f t="shared" si="29"/>
        <v>ok</v>
      </c>
      <c r="DF57" s="89" t="str">
        <f t="shared" si="29"/>
        <v>ok</v>
      </c>
      <c r="DG57" s="89" t="str">
        <f t="shared" si="29"/>
        <v>ok</v>
      </c>
      <c r="DH57" s="89" t="str">
        <f t="shared" si="29"/>
        <v>ok</v>
      </c>
      <c r="DI57" s="89" t="str">
        <f t="shared" si="29"/>
        <v>ok</v>
      </c>
      <c r="DJ57" s="89" t="str">
        <f t="shared" si="29"/>
        <v>ok</v>
      </c>
      <c r="DK57" s="89" t="str">
        <f t="shared" si="29"/>
        <v>ok</v>
      </c>
      <c r="DL57" s="89" t="str">
        <f t="shared" si="29"/>
        <v>ok</v>
      </c>
      <c r="DM57" s="89" t="str">
        <f t="shared" si="29"/>
        <v>ok</v>
      </c>
      <c r="DN57" s="89" t="str">
        <f t="shared" si="29"/>
        <v>ok</v>
      </c>
      <c r="DO57" s="89" t="str">
        <f t="shared" si="29"/>
        <v>ok</v>
      </c>
      <c r="DP57" s="89" t="str">
        <f t="shared" si="29"/>
        <v>ok</v>
      </c>
      <c r="DQ57" s="89" t="str">
        <f t="shared" ref="DQ57:EV57" si="30">IF(SUM(DQ40:DQ49)=DQ50,"ok","エラー")</f>
        <v>ok</v>
      </c>
      <c r="DR57" s="89" t="str">
        <f t="shared" si="30"/>
        <v>ok</v>
      </c>
      <c r="DS57" s="89" t="str">
        <f t="shared" si="30"/>
        <v>ok</v>
      </c>
      <c r="DT57" s="89" t="str">
        <f t="shared" si="30"/>
        <v>ok</v>
      </c>
      <c r="DU57" s="89" t="str">
        <f t="shared" si="30"/>
        <v>ok</v>
      </c>
      <c r="DV57" s="89" t="str">
        <f t="shared" si="30"/>
        <v>ok</v>
      </c>
      <c r="DW57" s="89" t="str">
        <f t="shared" si="30"/>
        <v>ok</v>
      </c>
      <c r="DX57" s="89" t="str">
        <f t="shared" si="30"/>
        <v>ok</v>
      </c>
      <c r="DY57" s="89" t="str">
        <f t="shared" si="30"/>
        <v>ok</v>
      </c>
      <c r="DZ57" s="89" t="str">
        <f t="shared" si="30"/>
        <v>ok</v>
      </c>
      <c r="EA57" s="89" t="str">
        <f t="shared" si="30"/>
        <v>ok</v>
      </c>
      <c r="EB57" s="89" t="str">
        <f t="shared" si="30"/>
        <v>ok</v>
      </c>
      <c r="EC57" s="89" t="str">
        <f t="shared" si="30"/>
        <v>ok</v>
      </c>
      <c r="ED57" s="89" t="str">
        <f t="shared" si="30"/>
        <v>ok</v>
      </c>
      <c r="EE57" s="89" t="str">
        <f t="shared" si="30"/>
        <v>ok</v>
      </c>
      <c r="EF57" s="89" t="str">
        <f t="shared" si="30"/>
        <v>ok</v>
      </c>
      <c r="EG57" s="89" t="str">
        <f t="shared" si="30"/>
        <v>ok</v>
      </c>
      <c r="EH57" s="89" t="str">
        <f t="shared" si="30"/>
        <v>ok</v>
      </c>
      <c r="EI57" s="89" t="str">
        <f t="shared" si="30"/>
        <v>ok</v>
      </c>
      <c r="EJ57" s="89" t="str">
        <f t="shared" si="30"/>
        <v>ok</v>
      </c>
      <c r="EK57" s="89" t="str">
        <f t="shared" si="30"/>
        <v>ok</v>
      </c>
      <c r="EL57" s="89" t="str">
        <f t="shared" si="30"/>
        <v>ok</v>
      </c>
      <c r="EM57" s="89" t="str">
        <f t="shared" si="30"/>
        <v>ok</v>
      </c>
      <c r="EN57" s="89" t="str">
        <f t="shared" si="30"/>
        <v>ok</v>
      </c>
      <c r="EO57" s="89" t="str">
        <f t="shared" si="30"/>
        <v>ok</v>
      </c>
      <c r="EP57" s="89" t="str">
        <f t="shared" si="30"/>
        <v>ok</v>
      </c>
      <c r="EQ57" s="89" t="str">
        <f t="shared" si="30"/>
        <v>ok</v>
      </c>
      <c r="ER57" s="89" t="str">
        <f t="shared" si="30"/>
        <v>ok</v>
      </c>
      <c r="ES57" s="89" t="str">
        <f t="shared" si="30"/>
        <v>ok</v>
      </c>
      <c r="ET57" s="89" t="str">
        <f t="shared" si="30"/>
        <v>ok</v>
      </c>
      <c r="EU57" s="89" t="str">
        <f t="shared" si="30"/>
        <v>ok</v>
      </c>
      <c r="EV57" s="89" t="str">
        <f t="shared" si="30"/>
        <v>ok</v>
      </c>
      <c r="EW57" s="89" t="str">
        <f t="shared" ref="EW57:FH57" si="31">IF(SUM(EW40:EW49)=EW50,"ok","エラー")</f>
        <v>ok</v>
      </c>
      <c r="EX57" s="89" t="str">
        <f t="shared" si="31"/>
        <v>ok</v>
      </c>
      <c r="EY57" s="89" t="str">
        <f t="shared" si="31"/>
        <v>ok</v>
      </c>
      <c r="EZ57" s="89" t="str">
        <f t="shared" si="31"/>
        <v>ok</v>
      </c>
      <c r="FA57" s="89" t="str">
        <f t="shared" si="31"/>
        <v>ok</v>
      </c>
      <c r="FB57" s="89" t="str">
        <f t="shared" si="31"/>
        <v>ok</v>
      </c>
      <c r="FC57" s="89" t="str">
        <f t="shared" si="31"/>
        <v>ok</v>
      </c>
      <c r="FD57" s="89" t="str">
        <f t="shared" si="31"/>
        <v>ok</v>
      </c>
      <c r="FE57" s="89" t="str">
        <f t="shared" si="31"/>
        <v>ok</v>
      </c>
      <c r="FF57" s="89" t="str">
        <f t="shared" si="31"/>
        <v>ok</v>
      </c>
      <c r="FG57" s="89" t="str">
        <f t="shared" si="31"/>
        <v>ok</v>
      </c>
      <c r="FH57" s="89" t="str">
        <f t="shared" si="31"/>
        <v>ok</v>
      </c>
      <c r="FJ57" s="89" t="str">
        <f>IF(SUM(FJ40:FJ49)=FJ50,"ok","エラー")</f>
        <v>ok</v>
      </c>
      <c r="FK57" s="89" t="str">
        <f>IF(SUM(FK40:FK49)=FK50,"ok","エラー")</f>
        <v>ok</v>
      </c>
      <c r="FL57" s="89" t="str">
        <f>IF(SUM(FL40:FL49)=FL50,"ok","エラー")</f>
        <v>ok</v>
      </c>
      <c r="FM57" s="89" t="str">
        <f>IF(SUM(FM40:FM49)=FM50,"ok","エラー")</f>
        <v>ok</v>
      </c>
      <c r="FW57" s="89" t="str">
        <f>IF(SUM(FW40:FW49)=FW50,"ok","エラー")</f>
        <v>ok</v>
      </c>
      <c r="FY57" s="89" t="str">
        <f t="shared" ref="FY57:GD57" si="32">IF(SUM(FY40:FY49)=FY50,"ok","エラー")</f>
        <v>ok</v>
      </c>
      <c r="FZ57" s="89" t="str">
        <f t="shared" si="32"/>
        <v>ok</v>
      </c>
      <c r="GA57" s="89" t="str">
        <f t="shared" si="32"/>
        <v>ok</v>
      </c>
      <c r="GB57" s="89" t="str">
        <f t="shared" si="32"/>
        <v>ok</v>
      </c>
      <c r="GC57" s="89" t="str">
        <f t="shared" si="32"/>
        <v>ok</v>
      </c>
      <c r="GD57" s="89" t="str">
        <f t="shared" si="32"/>
        <v>ok</v>
      </c>
      <c r="GI57" s="62" t="str">
        <f>IF(SUM(GI40:GI49)=GI50,"ok","エラー")</f>
        <v>ok</v>
      </c>
    </row>
    <row r="58" spans="2:230" x14ac:dyDescent="0.15">
      <c r="B58" s="89" t="s">
        <v>650</v>
      </c>
      <c r="C58" s="89" t="str">
        <f t="shared" ref="C58:AH58" si="33">IF(C39+C50=C51,"ok","エラー")</f>
        <v>ok</v>
      </c>
      <c r="D58" s="89" t="str">
        <f t="shared" si="33"/>
        <v>ok</v>
      </c>
      <c r="E58" s="89" t="str">
        <f t="shared" si="33"/>
        <v>ok</v>
      </c>
      <c r="F58" s="89" t="str">
        <f t="shared" si="33"/>
        <v>ok</v>
      </c>
      <c r="G58" s="89" t="str">
        <f t="shared" si="33"/>
        <v>ok</v>
      </c>
      <c r="H58" s="89" t="str">
        <f t="shared" si="33"/>
        <v>ok</v>
      </c>
      <c r="I58" s="89" t="str">
        <f t="shared" si="33"/>
        <v>ok</v>
      </c>
      <c r="J58" s="89" t="str">
        <f t="shared" si="33"/>
        <v>ok</v>
      </c>
      <c r="K58" s="89" t="str">
        <f t="shared" si="33"/>
        <v>ok</v>
      </c>
      <c r="L58" s="89" t="str">
        <f t="shared" si="33"/>
        <v>ok</v>
      </c>
      <c r="M58" s="89" t="str">
        <f t="shared" si="33"/>
        <v>ok</v>
      </c>
      <c r="N58" s="89" t="str">
        <f t="shared" si="33"/>
        <v>ok</v>
      </c>
      <c r="O58" s="89" t="str">
        <f t="shared" si="33"/>
        <v>ok</v>
      </c>
      <c r="P58" s="89" t="str">
        <f t="shared" si="33"/>
        <v>ok</v>
      </c>
      <c r="Q58" s="89" t="str">
        <f t="shared" si="33"/>
        <v>ok</v>
      </c>
      <c r="R58" s="89" t="str">
        <f t="shared" si="33"/>
        <v>ok</v>
      </c>
      <c r="S58" s="75" t="str">
        <f t="shared" si="33"/>
        <v>ok</v>
      </c>
      <c r="T58" s="89" t="str">
        <f t="shared" si="33"/>
        <v>ok</v>
      </c>
      <c r="U58" s="89" t="str">
        <f t="shared" si="33"/>
        <v>ok</v>
      </c>
      <c r="V58" s="89" t="str">
        <f t="shared" si="33"/>
        <v>ok</v>
      </c>
      <c r="W58" s="89" t="str">
        <f t="shared" si="33"/>
        <v>ok</v>
      </c>
      <c r="X58" s="89" t="str">
        <f t="shared" si="33"/>
        <v>ok</v>
      </c>
      <c r="Y58" s="89" t="str">
        <f t="shared" si="33"/>
        <v>ok</v>
      </c>
      <c r="Z58" s="89" t="str">
        <f t="shared" si="33"/>
        <v>ok</v>
      </c>
      <c r="AA58" s="89" t="str">
        <f t="shared" si="33"/>
        <v>ok</v>
      </c>
      <c r="AB58" s="89" t="str">
        <f t="shared" si="33"/>
        <v>ok</v>
      </c>
      <c r="AC58" s="89" t="str">
        <f t="shared" si="33"/>
        <v>ok</v>
      </c>
      <c r="AD58" s="89" t="str">
        <f t="shared" si="33"/>
        <v>ok</v>
      </c>
      <c r="AE58" s="89" t="str">
        <f t="shared" si="33"/>
        <v>ok</v>
      </c>
      <c r="AF58" s="89" t="str">
        <f t="shared" si="33"/>
        <v>ok</v>
      </c>
      <c r="AG58" s="89" t="str">
        <f t="shared" si="33"/>
        <v>ok</v>
      </c>
      <c r="AH58" s="89" t="str">
        <f t="shared" si="33"/>
        <v>ok</v>
      </c>
      <c r="AI58" s="89" t="str">
        <f t="shared" ref="AI58:BN58" si="34">IF(AI39+AI50=AI51,"ok","エラー")</f>
        <v>ok</v>
      </c>
      <c r="AJ58" s="89" t="str">
        <f t="shared" si="34"/>
        <v>ok</v>
      </c>
      <c r="AK58" s="89" t="str">
        <f t="shared" si="34"/>
        <v>ok</v>
      </c>
      <c r="AL58" s="89" t="str">
        <f t="shared" si="34"/>
        <v>ok</v>
      </c>
      <c r="AM58" s="89" t="str">
        <f t="shared" si="34"/>
        <v>ok</v>
      </c>
      <c r="AN58" s="89" t="str">
        <f t="shared" si="34"/>
        <v>ok</v>
      </c>
      <c r="AO58" s="89" t="str">
        <f t="shared" si="34"/>
        <v>ok</v>
      </c>
      <c r="AP58" s="89" t="str">
        <f t="shared" si="34"/>
        <v>ok</v>
      </c>
      <c r="AQ58" s="89" t="str">
        <f t="shared" si="34"/>
        <v>ok</v>
      </c>
      <c r="AR58" s="89" t="str">
        <f t="shared" si="34"/>
        <v>ok</v>
      </c>
      <c r="AS58" s="89" t="str">
        <f t="shared" si="34"/>
        <v>ok</v>
      </c>
      <c r="AT58" s="89" t="str">
        <f t="shared" si="34"/>
        <v>ok</v>
      </c>
      <c r="AU58" s="89" t="str">
        <f t="shared" si="34"/>
        <v>ok</v>
      </c>
      <c r="AV58" s="89" t="str">
        <f t="shared" si="34"/>
        <v>ok</v>
      </c>
      <c r="AW58" s="89" t="str">
        <f t="shared" si="34"/>
        <v>ok</v>
      </c>
      <c r="AX58" s="89" t="str">
        <f t="shared" si="34"/>
        <v>ok</v>
      </c>
      <c r="AY58" s="89" t="str">
        <f t="shared" si="34"/>
        <v>ok</v>
      </c>
      <c r="AZ58" s="89" t="str">
        <f t="shared" si="34"/>
        <v>ok</v>
      </c>
      <c r="BA58" s="89" t="str">
        <f t="shared" si="34"/>
        <v>ok</v>
      </c>
      <c r="BB58" s="89" t="str">
        <f t="shared" si="34"/>
        <v>ok</v>
      </c>
      <c r="BC58" s="89" t="str">
        <f t="shared" si="34"/>
        <v>ok</v>
      </c>
      <c r="BD58" s="89" t="str">
        <f t="shared" si="34"/>
        <v>ok</v>
      </c>
      <c r="BE58" s="89" t="str">
        <f t="shared" si="34"/>
        <v>ok</v>
      </c>
      <c r="BF58" s="89" t="str">
        <f t="shared" si="34"/>
        <v>ok</v>
      </c>
      <c r="BG58" s="89" t="str">
        <f t="shared" si="34"/>
        <v>ok</v>
      </c>
      <c r="BH58" s="89" t="str">
        <f t="shared" si="34"/>
        <v>ok</v>
      </c>
      <c r="BI58" s="89" t="str">
        <f t="shared" si="34"/>
        <v>ok</v>
      </c>
      <c r="BJ58" s="89" t="str">
        <f t="shared" si="34"/>
        <v>ok</v>
      </c>
      <c r="BK58" s="89" t="str">
        <f t="shared" si="34"/>
        <v>ok</v>
      </c>
      <c r="BL58" s="89" t="str">
        <f t="shared" si="34"/>
        <v>ok</v>
      </c>
      <c r="BM58" s="89" t="str">
        <f t="shared" si="34"/>
        <v>ok</v>
      </c>
      <c r="BN58" s="89" t="str">
        <f t="shared" si="34"/>
        <v>ok</v>
      </c>
      <c r="BO58" s="89" t="str">
        <f t="shared" ref="BO58:CI58" si="35">IF(BO39+BO50=BO51,"ok","エラー")</f>
        <v>ok</v>
      </c>
      <c r="BP58" s="89" t="str">
        <f t="shared" si="35"/>
        <v>ok</v>
      </c>
      <c r="BQ58" s="89" t="str">
        <f t="shared" si="35"/>
        <v>ok</v>
      </c>
      <c r="BR58" s="89" t="str">
        <f t="shared" si="35"/>
        <v>ok</v>
      </c>
      <c r="BS58" s="89" t="str">
        <f t="shared" si="35"/>
        <v>ok</v>
      </c>
      <c r="BT58" s="89" t="str">
        <f t="shared" si="35"/>
        <v>ok</v>
      </c>
      <c r="BU58" s="89" t="str">
        <f t="shared" si="35"/>
        <v>ok</v>
      </c>
      <c r="BV58" s="89" t="str">
        <f t="shared" si="35"/>
        <v>ok</v>
      </c>
      <c r="BW58" s="89" t="str">
        <f t="shared" si="35"/>
        <v>ok</v>
      </c>
      <c r="BX58" s="89" t="str">
        <f t="shared" si="35"/>
        <v>ok</v>
      </c>
      <c r="BY58" s="89" t="str">
        <f t="shared" si="35"/>
        <v>ok</v>
      </c>
      <c r="BZ58" s="89" t="str">
        <f t="shared" si="35"/>
        <v>ok</v>
      </c>
      <c r="CA58" s="89" t="str">
        <f t="shared" si="35"/>
        <v>ok</v>
      </c>
      <c r="CB58" s="89" t="str">
        <f t="shared" si="35"/>
        <v>ok</v>
      </c>
      <c r="CC58" s="89" t="str">
        <f t="shared" si="35"/>
        <v>ok</v>
      </c>
      <c r="CD58" s="89" t="str">
        <f t="shared" si="35"/>
        <v>ok</v>
      </c>
      <c r="CE58" s="89" t="str">
        <f t="shared" si="35"/>
        <v>ok</v>
      </c>
      <c r="CF58" s="89" t="str">
        <f t="shared" si="35"/>
        <v>ok</v>
      </c>
      <c r="CG58" s="89" t="str">
        <f t="shared" si="35"/>
        <v>ok</v>
      </c>
      <c r="CH58" s="89" t="str">
        <f t="shared" si="35"/>
        <v>ok</v>
      </c>
      <c r="CI58" s="89" t="str">
        <f t="shared" si="35"/>
        <v>ok</v>
      </c>
      <c r="CJ58" s="84"/>
      <c r="CK58" s="89" t="str">
        <f t="shared" ref="CK58:DP58" si="36">IF(CK39+CK50=CK51,"ok","エラー")</f>
        <v>ok</v>
      </c>
      <c r="CL58" s="89" t="str">
        <f t="shared" si="36"/>
        <v>ok</v>
      </c>
      <c r="CM58" s="89" t="str">
        <f t="shared" si="36"/>
        <v>ok</v>
      </c>
      <c r="CN58" s="89" t="str">
        <f t="shared" si="36"/>
        <v>ok</v>
      </c>
      <c r="CO58" s="89" t="str">
        <f t="shared" si="36"/>
        <v>ok</v>
      </c>
      <c r="CP58" s="89" t="str">
        <f t="shared" si="36"/>
        <v>ok</v>
      </c>
      <c r="CQ58" s="89" t="str">
        <f t="shared" si="36"/>
        <v>ok</v>
      </c>
      <c r="CR58" s="89" t="str">
        <f t="shared" si="36"/>
        <v>ok</v>
      </c>
      <c r="CS58" s="89" t="str">
        <f t="shared" si="36"/>
        <v>ok</v>
      </c>
      <c r="CT58" s="89" t="str">
        <f t="shared" si="36"/>
        <v>ok</v>
      </c>
      <c r="CU58" s="89" t="str">
        <f t="shared" si="36"/>
        <v>ok</v>
      </c>
      <c r="CV58" s="89" t="str">
        <f t="shared" si="36"/>
        <v>ok</v>
      </c>
      <c r="CW58" s="89" t="str">
        <f t="shared" si="36"/>
        <v>ok</v>
      </c>
      <c r="CX58" s="89" t="str">
        <f t="shared" si="36"/>
        <v>ok</v>
      </c>
      <c r="CY58" s="89" t="str">
        <f t="shared" si="36"/>
        <v>ok</v>
      </c>
      <c r="CZ58" s="89" t="str">
        <f t="shared" si="36"/>
        <v>ok</v>
      </c>
      <c r="DA58" s="89" t="str">
        <f t="shared" si="36"/>
        <v>ok</v>
      </c>
      <c r="DB58" s="89" t="str">
        <f t="shared" si="36"/>
        <v>ok</v>
      </c>
      <c r="DC58" s="89" t="str">
        <f t="shared" si="36"/>
        <v>ok</v>
      </c>
      <c r="DD58" s="89" t="str">
        <f t="shared" si="36"/>
        <v>ok</v>
      </c>
      <c r="DE58" s="89" t="str">
        <f t="shared" si="36"/>
        <v>ok</v>
      </c>
      <c r="DF58" s="89" t="str">
        <f t="shared" si="36"/>
        <v>ok</v>
      </c>
      <c r="DG58" s="89" t="str">
        <f t="shared" si="36"/>
        <v>ok</v>
      </c>
      <c r="DH58" s="89" t="str">
        <f t="shared" si="36"/>
        <v>ok</v>
      </c>
      <c r="DI58" s="89" t="str">
        <f t="shared" si="36"/>
        <v>ok</v>
      </c>
      <c r="DJ58" s="89" t="str">
        <f t="shared" si="36"/>
        <v>ok</v>
      </c>
      <c r="DK58" s="89" t="str">
        <f t="shared" si="36"/>
        <v>ok</v>
      </c>
      <c r="DL58" s="89" t="str">
        <f t="shared" si="36"/>
        <v>ok</v>
      </c>
      <c r="DM58" s="89" t="str">
        <f t="shared" si="36"/>
        <v>ok</v>
      </c>
      <c r="DN58" s="89" t="str">
        <f t="shared" si="36"/>
        <v>ok</v>
      </c>
      <c r="DO58" s="89" t="str">
        <f t="shared" si="36"/>
        <v>ok</v>
      </c>
      <c r="DP58" s="89" t="str">
        <f t="shared" si="36"/>
        <v>ok</v>
      </c>
      <c r="DQ58" s="89" t="str">
        <f t="shared" ref="DQ58:EV58" si="37">IF(DQ39+DQ50=DQ51,"ok","エラー")</f>
        <v>ok</v>
      </c>
      <c r="DR58" s="89" t="str">
        <f t="shared" si="37"/>
        <v>ok</v>
      </c>
      <c r="DS58" s="89" t="str">
        <f t="shared" si="37"/>
        <v>ok</v>
      </c>
      <c r="DT58" s="89" t="str">
        <f t="shared" si="37"/>
        <v>ok</v>
      </c>
      <c r="DU58" s="89" t="str">
        <f t="shared" si="37"/>
        <v>ok</v>
      </c>
      <c r="DV58" s="89" t="str">
        <f t="shared" si="37"/>
        <v>ok</v>
      </c>
      <c r="DW58" s="89" t="str">
        <f t="shared" si="37"/>
        <v>ok</v>
      </c>
      <c r="DX58" s="89" t="str">
        <f t="shared" si="37"/>
        <v>ok</v>
      </c>
      <c r="DY58" s="89" t="str">
        <f t="shared" si="37"/>
        <v>ok</v>
      </c>
      <c r="DZ58" s="89" t="str">
        <f t="shared" si="37"/>
        <v>ok</v>
      </c>
      <c r="EA58" s="89" t="str">
        <f t="shared" si="37"/>
        <v>ok</v>
      </c>
      <c r="EB58" s="89" t="str">
        <f t="shared" si="37"/>
        <v>ok</v>
      </c>
      <c r="EC58" s="89" t="str">
        <f t="shared" si="37"/>
        <v>ok</v>
      </c>
      <c r="ED58" s="89" t="str">
        <f t="shared" si="37"/>
        <v>ok</v>
      </c>
      <c r="EE58" s="89" t="str">
        <f t="shared" si="37"/>
        <v>ok</v>
      </c>
      <c r="EF58" s="89" t="str">
        <f t="shared" si="37"/>
        <v>ok</v>
      </c>
      <c r="EG58" s="89" t="str">
        <f t="shared" si="37"/>
        <v>ok</v>
      </c>
      <c r="EH58" s="89" t="str">
        <f t="shared" si="37"/>
        <v>ok</v>
      </c>
      <c r="EI58" s="89" t="str">
        <f t="shared" si="37"/>
        <v>ok</v>
      </c>
      <c r="EJ58" s="89" t="str">
        <f t="shared" si="37"/>
        <v>ok</v>
      </c>
      <c r="EK58" s="89" t="str">
        <f t="shared" si="37"/>
        <v>ok</v>
      </c>
      <c r="EL58" s="89" t="str">
        <f t="shared" si="37"/>
        <v>ok</v>
      </c>
      <c r="EM58" s="89" t="str">
        <f t="shared" si="37"/>
        <v>ok</v>
      </c>
      <c r="EN58" s="89" t="str">
        <f t="shared" si="37"/>
        <v>ok</v>
      </c>
      <c r="EO58" s="89" t="str">
        <f t="shared" si="37"/>
        <v>ok</v>
      </c>
      <c r="EP58" s="89" t="str">
        <f t="shared" si="37"/>
        <v>ok</v>
      </c>
      <c r="EQ58" s="89" t="str">
        <f t="shared" si="37"/>
        <v>ok</v>
      </c>
      <c r="ER58" s="89" t="str">
        <f t="shared" si="37"/>
        <v>ok</v>
      </c>
      <c r="ES58" s="89" t="str">
        <f t="shared" si="37"/>
        <v>ok</v>
      </c>
      <c r="ET58" s="89" t="str">
        <f t="shared" si="37"/>
        <v>ok</v>
      </c>
      <c r="EU58" s="89" t="str">
        <f t="shared" si="37"/>
        <v>ok</v>
      </c>
      <c r="EV58" s="89" t="str">
        <f t="shared" si="37"/>
        <v>ok</v>
      </c>
      <c r="EW58" s="89" t="str">
        <f t="shared" ref="EW58:FH58" si="38">IF(EW39+EW50=EW51,"ok","エラー")</f>
        <v>ok</v>
      </c>
      <c r="EX58" s="89" t="str">
        <f t="shared" si="38"/>
        <v>ok</v>
      </c>
      <c r="EY58" s="89" t="str">
        <f t="shared" si="38"/>
        <v>ok</v>
      </c>
      <c r="EZ58" s="89" t="str">
        <f t="shared" si="38"/>
        <v>ok</v>
      </c>
      <c r="FA58" s="89" t="str">
        <f t="shared" si="38"/>
        <v>ok</v>
      </c>
      <c r="FB58" s="89" t="str">
        <f t="shared" si="38"/>
        <v>ok</v>
      </c>
      <c r="FC58" s="89" t="str">
        <f t="shared" si="38"/>
        <v>ok</v>
      </c>
      <c r="FD58" s="89" t="str">
        <f t="shared" si="38"/>
        <v>ok</v>
      </c>
      <c r="FE58" s="89" t="str">
        <f t="shared" si="38"/>
        <v>ok</v>
      </c>
      <c r="FF58" s="89" t="str">
        <f t="shared" si="38"/>
        <v>ok</v>
      </c>
      <c r="FG58" s="89" t="str">
        <f t="shared" si="38"/>
        <v>ok</v>
      </c>
      <c r="FH58" s="89" t="str">
        <f t="shared" si="38"/>
        <v>ok</v>
      </c>
      <c r="FJ58" s="89" t="str">
        <f>IF(FJ39+FJ50=FJ51,"ok","エラー")</f>
        <v>ok</v>
      </c>
      <c r="FK58" s="89" t="str">
        <f>IF(FK39+FK50=FK51,"ok","エラー")</f>
        <v>ok</v>
      </c>
      <c r="FL58" s="89" t="str">
        <f>IF(FL39+FL50=FL51,"ok","エラー")</f>
        <v>ok</v>
      </c>
      <c r="FM58" s="89" t="str">
        <f>IF(FM39+FM50=FM51,"ok","エラー")</f>
        <v>ok</v>
      </c>
      <c r="FW58" s="89" t="str">
        <f>IF(FW39+FW50=FW51,"ok","エラー")</f>
        <v>ok</v>
      </c>
      <c r="FY58" s="89" t="str">
        <f t="shared" ref="FY58:GD58" si="39">IF(FY39+FY50=FY51,"ok","エラー")</f>
        <v>ok</v>
      </c>
      <c r="FZ58" s="89" t="str">
        <f t="shared" si="39"/>
        <v>ok</v>
      </c>
      <c r="GA58" s="89" t="str">
        <f t="shared" si="39"/>
        <v>ok</v>
      </c>
      <c r="GB58" s="89" t="str">
        <f t="shared" si="39"/>
        <v>ok</v>
      </c>
      <c r="GC58" s="89" t="str">
        <f t="shared" si="39"/>
        <v>ok</v>
      </c>
      <c r="GD58" s="89" t="str">
        <f t="shared" si="39"/>
        <v>ok</v>
      </c>
      <c r="GI58" s="62" t="str">
        <f>IF(GI39+GI50=GI51,"ok","エラー")</f>
        <v>ok</v>
      </c>
    </row>
    <row r="59" spans="2:230" x14ac:dyDescent="0.15">
      <c r="B59" s="72" t="s">
        <v>650</v>
      </c>
      <c r="C59" s="89" t="str">
        <f t="shared" ref="C59:AH59" si="40">IF(C6+C7+C51=C52,"ok","エラー")</f>
        <v>ok</v>
      </c>
      <c r="D59" s="89" t="str">
        <f t="shared" si="40"/>
        <v>ok</v>
      </c>
      <c r="E59" s="89" t="str">
        <f t="shared" si="40"/>
        <v>ok</v>
      </c>
      <c r="F59" s="89" t="str">
        <f t="shared" si="40"/>
        <v>ok</v>
      </c>
      <c r="G59" s="89" t="str">
        <f t="shared" si="40"/>
        <v>ok</v>
      </c>
      <c r="H59" s="89" t="str">
        <f t="shared" si="40"/>
        <v>ok</v>
      </c>
      <c r="I59" s="89" t="str">
        <f t="shared" si="40"/>
        <v>ok</v>
      </c>
      <c r="J59" s="89" t="str">
        <f t="shared" si="40"/>
        <v>ok</v>
      </c>
      <c r="K59" s="89" t="str">
        <f t="shared" si="40"/>
        <v>ok</v>
      </c>
      <c r="L59" s="89" t="str">
        <f t="shared" si="40"/>
        <v>ok</v>
      </c>
      <c r="M59" s="89" t="str">
        <f t="shared" si="40"/>
        <v>ok</v>
      </c>
      <c r="N59" s="89" t="str">
        <f t="shared" si="40"/>
        <v>ok</v>
      </c>
      <c r="O59" s="89" t="str">
        <f t="shared" si="40"/>
        <v>ok</v>
      </c>
      <c r="P59" s="89" t="str">
        <f t="shared" si="40"/>
        <v>ok</v>
      </c>
      <c r="Q59" s="89" t="str">
        <f t="shared" si="40"/>
        <v>ok</v>
      </c>
      <c r="R59" s="89" t="str">
        <f t="shared" si="40"/>
        <v>ok</v>
      </c>
      <c r="S59" s="75" t="str">
        <f t="shared" si="40"/>
        <v>ok</v>
      </c>
      <c r="T59" s="89" t="str">
        <f t="shared" si="40"/>
        <v>ok</v>
      </c>
      <c r="U59" s="89" t="str">
        <f t="shared" si="40"/>
        <v>ok</v>
      </c>
      <c r="V59" s="89" t="str">
        <f t="shared" si="40"/>
        <v>ok</v>
      </c>
      <c r="W59" s="89" t="str">
        <f t="shared" si="40"/>
        <v>ok</v>
      </c>
      <c r="X59" s="89" t="str">
        <f t="shared" si="40"/>
        <v>ok</v>
      </c>
      <c r="Y59" s="89" t="str">
        <f t="shared" si="40"/>
        <v>ok</v>
      </c>
      <c r="Z59" s="89" t="str">
        <f t="shared" si="40"/>
        <v>ok</v>
      </c>
      <c r="AA59" s="89" t="str">
        <f t="shared" si="40"/>
        <v>ok</v>
      </c>
      <c r="AB59" s="89" t="str">
        <f t="shared" si="40"/>
        <v>ok</v>
      </c>
      <c r="AC59" s="89" t="str">
        <f t="shared" si="40"/>
        <v>ok</v>
      </c>
      <c r="AD59" s="89" t="str">
        <f t="shared" si="40"/>
        <v>ok</v>
      </c>
      <c r="AE59" s="89" t="str">
        <f t="shared" si="40"/>
        <v>ok</v>
      </c>
      <c r="AF59" s="89" t="str">
        <f t="shared" si="40"/>
        <v>ok</v>
      </c>
      <c r="AG59" s="89" t="str">
        <f t="shared" si="40"/>
        <v>ok</v>
      </c>
      <c r="AH59" s="89" t="str">
        <f t="shared" si="40"/>
        <v>ok</v>
      </c>
      <c r="AI59" s="89" t="str">
        <f t="shared" ref="AI59:BN59" si="41">IF(AI6+AI7+AI51=AI52,"ok","エラー")</f>
        <v>ok</v>
      </c>
      <c r="AJ59" s="89" t="str">
        <f t="shared" si="41"/>
        <v>ok</v>
      </c>
      <c r="AK59" s="89" t="str">
        <f t="shared" si="41"/>
        <v>ok</v>
      </c>
      <c r="AL59" s="89" t="str">
        <f t="shared" si="41"/>
        <v>ok</v>
      </c>
      <c r="AM59" s="89" t="str">
        <f t="shared" si="41"/>
        <v>ok</v>
      </c>
      <c r="AN59" s="89" t="str">
        <f t="shared" si="41"/>
        <v>ok</v>
      </c>
      <c r="AO59" s="89" t="str">
        <f t="shared" si="41"/>
        <v>ok</v>
      </c>
      <c r="AP59" s="89" t="str">
        <f t="shared" si="41"/>
        <v>ok</v>
      </c>
      <c r="AQ59" s="89" t="str">
        <f t="shared" si="41"/>
        <v>ok</v>
      </c>
      <c r="AR59" s="89" t="str">
        <f t="shared" si="41"/>
        <v>ok</v>
      </c>
      <c r="AS59" s="89" t="str">
        <f t="shared" si="41"/>
        <v>ok</v>
      </c>
      <c r="AT59" s="89" t="str">
        <f t="shared" si="41"/>
        <v>ok</v>
      </c>
      <c r="AU59" s="89" t="str">
        <f t="shared" si="41"/>
        <v>ok</v>
      </c>
      <c r="AV59" s="89" t="str">
        <f t="shared" si="41"/>
        <v>ok</v>
      </c>
      <c r="AW59" s="89" t="str">
        <f t="shared" si="41"/>
        <v>ok</v>
      </c>
      <c r="AX59" s="89" t="str">
        <f t="shared" si="41"/>
        <v>ok</v>
      </c>
      <c r="AY59" s="89" t="str">
        <f t="shared" si="41"/>
        <v>ok</v>
      </c>
      <c r="AZ59" s="89" t="str">
        <f t="shared" si="41"/>
        <v>ok</v>
      </c>
      <c r="BA59" s="89" t="str">
        <f t="shared" si="41"/>
        <v>ok</v>
      </c>
      <c r="BB59" s="89" t="str">
        <f t="shared" si="41"/>
        <v>ok</v>
      </c>
      <c r="BC59" s="89" t="str">
        <f t="shared" si="41"/>
        <v>ok</v>
      </c>
      <c r="BD59" s="89" t="str">
        <f t="shared" si="41"/>
        <v>ok</v>
      </c>
      <c r="BE59" s="89" t="str">
        <f t="shared" si="41"/>
        <v>ok</v>
      </c>
      <c r="BF59" s="89" t="str">
        <f t="shared" si="41"/>
        <v>ok</v>
      </c>
      <c r="BG59" s="89" t="str">
        <f t="shared" si="41"/>
        <v>ok</v>
      </c>
      <c r="BH59" s="89" t="str">
        <f t="shared" si="41"/>
        <v>ok</v>
      </c>
      <c r="BI59" s="89" t="str">
        <f t="shared" si="41"/>
        <v>ok</v>
      </c>
      <c r="BJ59" s="89" t="str">
        <f t="shared" si="41"/>
        <v>ok</v>
      </c>
      <c r="BK59" s="89" t="str">
        <f t="shared" si="41"/>
        <v>ok</v>
      </c>
      <c r="BL59" s="89" t="str">
        <f t="shared" si="41"/>
        <v>ok</v>
      </c>
      <c r="BM59" s="89" t="str">
        <f t="shared" si="41"/>
        <v>ok</v>
      </c>
      <c r="BN59" s="89" t="str">
        <f t="shared" si="41"/>
        <v>ok</v>
      </c>
      <c r="BO59" s="89" t="str">
        <f t="shared" ref="BO59:CI59" si="42">IF(BO6+BO7+BO51=BO52,"ok","エラー")</f>
        <v>ok</v>
      </c>
      <c r="BP59" s="89" t="str">
        <f t="shared" si="42"/>
        <v>ok</v>
      </c>
      <c r="BQ59" s="89" t="str">
        <f t="shared" si="42"/>
        <v>ok</v>
      </c>
      <c r="BR59" s="89" t="str">
        <f t="shared" si="42"/>
        <v>ok</v>
      </c>
      <c r="BS59" s="89" t="str">
        <f t="shared" si="42"/>
        <v>ok</v>
      </c>
      <c r="BT59" s="89" t="str">
        <f t="shared" si="42"/>
        <v>ok</v>
      </c>
      <c r="BU59" s="89" t="str">
        <f t="shared" si="42"/>
        <v>ok</v>
      </c>
      <c r="BV59" s="89" t="str">
        <f t="shared" si="42"/>
        <v>ok</v>
      </c>
      <c r="BW59" s="89" t="str">
        <f t="shared" si="42"/>
        <v>ok</v>
      </c>
      <c r="BX59" s="89" t="str">
        <f t="shared" si="42"/>
        <v>ok</v>
      </c>
      <c r="BY59" s="89" t="str">
        <f t="shared" si="42"/>
        <v>ok</v>
      </c>
      <c r="BZ59" s="89" t="str">
        <f t="shared" si="42"/>
        <v>ok</v>
      </c>
      <c r="CA59" s="89" t="str">
        <f t="shared" si="42"/>
        <v>ok</v>
      </c>
      <c r="CB59" s="89" t="str">
        <f t="shared" si="42"/>
        <v>ok</v>
      </c>
      <c r="CC59" s="89" t="str">
        <f t="shared" si="42"/>
        <v>ok</v>
      </c>
      <c r="CD59" s="89" t="str">
        <f t="shared" si="42"/>
        <v>ok</v>
      </c>
      <c r="CE59" s="89" t="str">
        <f t="shared" si="42"/>
        <v>ok</v>
      </c>
      <c r="CF59" s="89" t="str">
        <f t="shared" si="42"/>
        <v>ok</v>
      </c>
      <c r="CG59" s="89" t="str">
        <f t="shared" si="42"/>
        <v>ok</v>
      </c>
      <c r="CH59" s="89" t="str">
        <f t="shared" si="42"/>
        <v>ok</v>
      </c>
      <c r="CI59" s="89" t="str">
        <f t="shared" si="42"/>
        <v>ok</v>
      </c>
      <c r="CJ59" s="84"/>
      <c r="CK59" s="89" t="str">
        <f t="shared" ref="CK59:DP59" si="43">IF(CK6+CK7+CK51=CK52,"ok","エラー")</f>
        <v>ok</v>
      </c>
      <c r="CL59" s="89" t="str">
        <f t="shared" si="43"/>
        <v>ok</v>
      </c>
      <c r="CM59" s="89" t="str">
        <f t="shared" si="43"/>
        <v>ok</v>
      </c>
      <c r="CN59" s="89" t="str">
        <f t="shared" si="43"/>
        <v>ok</v>
      </c>
      <c r="CO59" s="89" t="str">
        <f t="shared" si="43"/>
        <v>ok</v>
      </c>
      <c r="CP59" s="89" t="str">
        <f t="shared" si="43"/>
        <v>ok</v>
      </c>
      <c r="CQ59" s="89" t="str">
        <f t="shared" si="43"/>
        <v>ok</v>
      </c>
      <c r="CR59" s="89" t="str">
        <f t="shared" si="43"/>
        <v>ok</v>
      </c>
      <c r="CS59" s="89" t="str">
        <f t="shared" si="43"/>
        <v>ok</v>
      </c>
      <c r="CT59" s="89" t="str">
        <f t="shared" si="43"/>
        <v>ok</v>
      </c>
      <c r="CU59" s="89" t="str">
        <f t="shared" si="43"/>
        <v>ok</v>
      </c>
      <c r="CV59" s="89" t="str">
        <f t="shared" si="43"/>
        <v>ok</v>
      </c>
      <c r="CW59" s="89" t="str">
        <f t="shared" si="43"/>
        <v>ok</v>
      </c>
      <c r="CX59" s="89" t="str">
        <f t="shared" si="43"/>
        <v>ok</v>
      </c>
      <c r="CY59" s="89" t="str">
        <f t="shared" si="43"/>
        <v>ok</v>
      </c>
      <c r="CZ59" s="89" t="str">
        <f t="shared" si="43"/>
        <v>ok</v>
      </c>
      <c r="DA59" s="89" t="str">
        <f t="shared" si="43"/>
        <v>ok</v>
      </c>
      <c r="DB59" s="89" t="str">
        <f t="shared" si="43"/>
        <v>ok</v>
      </c>
      <c r="DC59" s="89" t="str">
        <f t="shared" si="43"/>
        <v>ok</v>
      </c>
      <c r="DD59" s="89" t="str">
        <f t="shared" si="43"/>
        <v>ok</v>
      </c>
      <c r="DE59" s="89" t="str">
        <f t="shared" si="43"/>
        <v>ok</v>
      </c>
      <c r="DF59" s="89" t="str">
        <f t="shared" si="43"/>
        <v>ok</v>
      </c>
      <c r="DG59" s="89" t="str">
        <f t="shared" si="43"/>
        <v>ok</v>
      </c>
      <c r="DH59" s="89" t="str">
        <f t="shared" si="43"/>
        <v>ok</v>
      </c>
      <c r="DI59" s="89" t="str">
        <f t="shared" si="43"/>
        <v>ok</v>
      </c>
      <c r="DJ59" s="89" t="str">
        <f t="shared" si="43"/>
        <v>ok</v>
      </c>
      <c r="DK59" s="89" t="str">
        <f t="shared" si="43"/>
        <v>ok</v>
      </c>
      <c r="DL59" s="89" t="str">
        <f t="shared" si="43"/>
        <v>ok</v>
      </c>
      <c r="DM59" s="89" t="str">
        <f t="shared" si="43"/>
        <v>ok</v>
      </c>
      <c r="DN59" s="89" t="str">
        <f t="shared" si="43"/>
        <v>ok</v>
      </c>
      <c r="DO59" s="89" t="str">
        <f t="shared" si="43"/>
        <v>ok</v>
      </c>
      <c r="DP59" s="89" t="str">
        <f t="shared" si="43"/>
        <v>ok</v>
      </c>
      <c r="DQ59" s="89" t="str">
        <f t="shared" ref="DQ59:EV59" si="44">IF(DQ6+DQ7+DQ51=DQ52,"ok","エラー")</f>
        <v>ok</v>
      </c>
      <c r="DR59" s="89" t="str">
        <f t="shared" si="44"/>
        <v>ok</v>
      </c>
      <c r="DS59" s="89" t="str">
        <f t="shared" si="44"/>
        <v>ok</v>
      </c>
      <c r="DT59" s="89" t="str">
        <f t="shared" si="44"/>
        <v>ok</v>
      </c>
      <c r="DU59" s="89" t="str">
        <f t="shared" si="44"/>
        <v>ok</v>
      </c>
      <c r="DV59" s="89" t="str">
        <f t="shared" si="44"/>
        <v>ok</v>
      </c>
      <c r="DW59" s="89" t="str">
        <f t="shared" si="44"/>
        <v>ok</v>
      </c>
      <c r="DX59" s="89" t="str">
        <f t="shared" si="44"/>
        <v>ok</v>
      </c>
      <c r="DY59" s="89" t="str">
        <f t="shared" si="44"/>
        <v>ok</v>
      </c>
      <c r="DZ59" s="89" t="str">
        <f t="shared" si="44"/>
        <v>ok</v>
      </c>
      <c r="EA59" s="89" t="str">
        <f t="shared" si="44"/>
        <v>ok</v>
      </c>
      <c r="EB59" s="89" t="str">
        <f t="shared" si="44"/>
        <v>ok</v>
      </c>
      <c r="EC59" s="89" t="str">
        <f t="shared" si="44"/>
        <v>ok</v>
      </c>
      <c r="ED59" s="89" t="str">
        <f t="shared" si="44"/>
        <v>ok</v>
      </c>
      <c r="EE59" s="89" t="str">
        <f t="shared" si="44"/>
        <v>ok</v>
      </c>
      <c r="EF59" s="89" t="str">
        <f t="shared" si="44"/>
        <v>ok</v>
      </c>
      <c r="EG59" s="89" t="str">
        <f t="shared" si="44"/>
        <v>ok</v>
      </c>
      <c r="EH59" s="89" t="str">
        <f t="shared" si="44"/>
        <v>ok</v>
      </c>
      <c r="EI59" s="89" t="str">
        <f t="shared" si="44"/>
        <v>ok</v>
      </c>
      <c r="EJ59" s="89" t="str">
        <f t="shared" si="44"/>
        <v>ok</v>
      </c>
      <c r="EK59" s="89" t="str">
        <f t="shared" si="44"/>
        <v>ok</v>
      </c>
      <c r="EL59" s="89" t="str">
        <f t="shared" si="44"/>
        <v>ok</v>
      </c>
      <c r="EM59" s="89" t="str">
        <f t="shared" si="44"/>
        <v>ok</v>
      </c>
      <c r="EN59" s="89" t="str">
        <f t="shared" si="44"/>
        <v>ok</v>
      </c>
      <c r="EO59" s="89" t="str">
        <f t="shared" si="44"/>
        <v>ok</v>
      </c>
      <c r="EP59" s="89" t="str">
        <f t="shared" si="44"/>
        <v>ok</v>
      </c>
      <c r="EQ59" s="89" t="str">
        <f t="shared" si="44"/>
        <v>ok</v>
      </c>
      <c r="ER59" s="89" t="str">
        <f t="shared" si="44"/>
        <v>ok</v>
      </c>
      <c r="ES59" s="89" t="str">
        <f t="shared" si="44"/>
        <v>ok</v>
      </c>
      <c r="ET59" s="89" t="str">
        <f t="shared" si="44"/>
        <v>ok</v>
      </c>
      <c r="EU59" s="89" t="str">
        <f t="shared" si="44"/>
        <v>ok</v>
      </c>
      <c r="EV59" s="89" t="str">
        <f t="shared" si="44"/>
        <v>ok</v>
      </c>
      <c r="EW59" s="89" t="str">
        <f t="shared" ref="EW59:FH59" si="45">IF(EW6+EW7+EW51=EW52,"ok","エラー")</f>
        <v>ok</v>
      </c>
      <c r="EX59" s="89" t="str">
        <f t="shared" si="45"/>
        <v>ok</v>
      </c>
      <c r="EY59" s="89" t="str">
        <f t="shared" si="45"/>
        <v>ok</v>
      </c>
      <c r="EZ59" s="89" t="str">
        <f t="shared" si="45"/>
        <v>ok</v>
      </c>
      <c r="FA59" s="89" t="str">
        <f t="shared" si="45"/>
        <v>ok</v>
      </c>
      <c r="FB59" s="89" t="str">
        <f t="shared" si="45"/>
        <v>ok</v>
      </c>
      <c r="FC59" s="89" t="str">
        <f t="shared" si="45"/>
        <v>ok</v>
      </c>
      <c r="FD59" s="89" t="str">
        <f t="shared" si="45"/>
        <v>ok</v>
      </c>
      <c r="FE59" s="89" t="str">
        <f t="shared" si="45"/>
        <v>ok</v>
      </c>
      <c r="FF59" s="89" t="str">
        <f t="shared" si="45"/>
        <v>ok</v>
      </c>
      <c r="FG59" s="89" t="str">
        <f t="shared" si="45"/>
        <v>ok</v>
      </c>
      <c r="FH59" s="89" t="str">
        <f t="shared" si="45"/>
        <v>ok</v>
      </c>
      <c r="FJ59" s="89" t="str">
        <f>IF(FJ6+FJ7+FJ51=FJ52,"ok","エラー")</f>
        <v>ok</v>
      </c>
      <c r="FK59" s="89" t="str">
        <f>IF(FK6+FK7+FK51=FK52,"ok","エラー")</f>
        <v>ok</v>
      </c>
      <c r="FL59" s="89" t="str">
        <f>IF(FL6+FL7+FL51=FL52,"ok","エラー")</f>
        <v>ok</v>
      </c>
      <c r="FM59" s="89" t="str">
        <f>IF(FM6+FM7+FM51=FM52,"ok","エラー")</f>
        <v>ok</v>
      </c>
      <c r="FW59" s="89" t="str">
        <f>IF(FW6+FW7+FW51=FW52,"ok","エラー")</f>
        <v>ok</v>
      </c>
      <c r="FY59" s="89" t="str">
        <f>IF(FY6+FY7+FY51=FY52,"ok","エラー")</f>
        <v>ok</v>
      </c>
      <c r="FZ59" s="89" t="str">
        <f>IF(FZ6+FZ7+FZ51=FZ52,"ok","エラー")</f>
        <v>ok</v>
      </c>
      <c r="GA59" s="89" t="str">
        <f>IF(GA6+GA7+GA51=GA52,"ok","エラー")</f>
        <v>ok</v>
      </c>
      <c r="GB59" s="89" t="str">
        <f>IF(GB6+GB7+GB51=GB52,"ok","エラー")</f>
        <v>ok</v>
      </c>
      <c r="GC59" s="89" t="str">
        <f>IF(GC6+GC7+GC51=GC52,"ok","エラー")</f>
        <v>ok</v>
      </c>
      <c r="GD59" s="89" t="str">
        <f>IF(GD7+GD51=GD52,"ok","エラー")</f>
        <v>ok</v>
      </c>
      <c r="GI59" s="89" t="str">
        <f>IF(GI6+GI7+GI51=GI52,"ok","エラー")</f>
        <v>ok</v>
      </c>
    </row>
    <row r="66" spans="143:144" x14ac:dyDescent="0.15">
      <c r="EM66" s="421"/>
      <c r="EN66" s="422"/>
    </row>
    <row r="67" spans="143:144" x14ac:dyDescent="0.15">
      <c r="EM67" s="421"/>
      <c r="EN67" s="422"/>
    </row>
    <row r="68" spans="143:144" x14ac:dyDescent="0.15">
      <c r="EM68" s="421"/>
      <c r="EN68" s="422"/>
    </row>
    <row r="69" spans="143:144" x14ac:dyDescent="0.15">
      <c r="EM69" s="421"/>
      <c r="EN69" s="422"/>
    </row>
    <row r="70" spans="143:144" x14ac:dyDescent="0.15">
      <c r="EM70" s="421"/>
      <c r="EN70" s="422"/>
    </row>
    <row r="71" spans="143:144" x14ac:dyDescent="0.15">
      <c r="EM71" s="421"/>
      <c r="EN71" s="422"/>
    </row>
    <row r="72" spans="143:144" x14ac:dyDescent="0.15">
      <c r="EM72" s="421"/>
      <c r="EN72" s="422"/>
    </row>
    <row r="73" spans="143:144" x14ac:dyDescent="0.15">
      <c r="EM73" s="421"/>
      <c r="EN73" s="422"/>
    </row>
    <row r="74" spans="143:144" x14ac:dyDescent="0.15">
      <c r="EM74" s="421"/>
      <c r="EN74" s="422"/>
    </row>
    <row r="75" spans="143:144" x14ac:dyDescent="0.15">
      <c r="EM75" s="421"/>
      <c r="EN75" s="422"/>
    </row>
    <row r="76" spans="143:144" x14ac:dyDescent="0.15">
      <c r="EM76" s="421"/>
      <c r="EN76" s="422"/>
    </row>
    <row r="77" spans="143:144" x14ac:dyDescent="0.15">
      <c r="EM77" s="421"/>
      <c r="EN77" s="422"/>
    </row>
    <row r="78" spans="143:144" x14ac:dyDescent="0.15">
      <c r="EM78" s="421"/>
      <c r="EN78" s="422"/>
    </row>
    <row r="79" spans="143:144" x14ac:dyDescent="0.15">
      <c r="EM79" s="421"/>
      <c r="EN79" s="422"/>
    </row>
    <row r="80" spans="143:144" x14ac:dyDescent="0.15">
      <c r="EM80" s="421"/>
      <c r="EN80" s="422"/>
    </row>
    <row r="81" spans="143:144" x14ac:dyDescent="0.15">
      <c r="EM81" s="421"/>
      <c r="EN81" s="422"/>
    </row>
    <row r="82" spans="143:144" x14ac:dyDescent="0.15">
      <c r="EM82" s="421"/>
      <c r="EN82" s="422"/>
    </row>
    <row r="83" spans="143:144" x14ac:dyDescent="0.15">
      <c r="EM83" s="421"/>
      <c r="EN83" s="422"/>
    </row>
    <row r="84" spans="143:144" x14ac:dyDescent="0.15">
      <c r="EM84" s="421"/>
      <c r="EN84" s="422"/>
    </row>
    <row r="85" spans="143:144" x14ac:dyDescent="0.15">
      <c r="EM85" s="421"/>
      <c r="EN85" s="422"/>
    </row>
    <row r="86" spans="143:144" x14ac:dyDescent="0.15">
      <c r="EM86" s="421"/>
      <c r="EN86" s="422"/>
    </row>
    <row r="87" spans="143:144" x14ac:dyDescent="0.15">
      <c r="EM87" s="421"/>
      <c r="EN87" s="422"/>
    </row>
    <row r="88" spans="143:144" x14ac:dyDescent="0.15">
      <c r="EM88" s="421"/>
      <c r="EN88" s="422"/>
    </row>
    <row r="89" spans="143:144" x14ac:dyDescent="0.15">
      <c r="EM89" s="421"/>
      <c r="EN89" s="422"/>
    </row>
    <row r="90" spans="143:144" x14ac:dyDescent="0.15">
      <c r="EM90" s="421"/>
      <c r="EN90" s="422"/>
    </row>
    <row r="91" spans="143:144" x14ac:dyDescent="0.15">
      <c r="EM91" s="421"/>
      <c r="EN91" s="422"/>
    </row>
    <row r="92" spans="143:144" x14ac:dyDescent="0.15">
      <c r="EM92" s="421"/>
      <c r="EN92" s="422"/>
    </row>
    <row r="93" spans="143:144" x14ac:dyDescent="0.15">
      <c r="EM93" s="421"/>
      <c r="EN93" s="422"/>
    </row>
    <row r="94" spans="143:144" x14ac:dyDescent="0.15">
      <c r="EM94" s="421"/>
      <c r="EN94" s="422"/>
    </row>
    <row r="95" spans="143:144" x14ac:dyDescent="0.15">
      <c r="EM95" s="421"/>
      <c r="EN95" s="422"/>
    </row>
    <row r="96" spans="143:144" x14ac:dyDescent="0.15">
      <c r="EM96" s="421"/>
      <c r="EN96" s="422"/>
    </row>
    <row r="97" spans="143:144" x14ac:dyDescent="0.15">
      <c r="EM97" s="421"/>
      <c r="EN97" s="422"/>
    </row>
    <row r="98" spans="143:144" x14ac:dyDescent="0.15">
      <c r="EM98" s="421"/>
      <c r="EN98" s="422"/>
    </row>
    <row r="99" spans="143:144" x14ac:dyDescent="0.15">
      <c r="EM99" s="421"/>
      <c r="EN99" s="422"/>
    </row>
    <row r="100" spans="143:144" x14ac:dyDescent="0.15">
      <c r="EM100" s="421"/>
      <c r="EN100" s="422"/>
    </row>
    <row r="101" spans="143:144" x14ac:dyDescent="0.15">
      <c r="EM101" s="421"/>
      <c r="EN101" s="422"/>
    </row>
    <row r="102" spans="143:144" x14ac:dyDescent="0.15">
      <c r="EM102" s="421"/>
      <c r="EN102" s="422"/>
    </row>
    <row r="103" spans="143:144" x14ac:dyDescent="0.15">
      <c r="EM103" s="421"/>
      <c r="EN103" s="422"/>
    </row>
    <row r="104" spans="143:144" x14ac:dyDescent="0.15">
      <c r="EM104" s="421"/>
      <c r="EN104" s="422"/>
    </row>
    <row r="105" spans="143:144" x14ac:dyDescent="0.15">
      <c r="EM105" s="421"/>
      <c r="EN105" s="422"/>
    </row>
    <row r="106" spans="143:144" x14ac:dyDescent="0.15">
      <c r="EM106" s="421"/>
      <c r="EN106" s="422"/>
    </row>
  </sheetData>
  <mergeCells count="1">
    <mergeCell ref="FO2:FU2"/>
  </mergeCells>
  <phoneticPr fontId="3"/>
  <pageMargins left="0.59055118110236227" right="0.59055118110236227" top="0.98425196850393704" bottom="0.98425196850393704" header="0.51181102362204722" footer="0.51181102362204722"/>
  <pageSetup paperSize="9" fitToWidth="0" orientation="portrait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9">
    <tabColor indexed="15"/>
    <pageSetUpPr fitToPage="1"/>
  </sheetPr>
  <dimension ref="A1:HV106"/>
  <sheetViews>
    <sheetView zoomScale="90" zoomScaleNormal="90" workbookViewId="0">
      <pane xSplit="2" ySplit="5" topLeftCell="GA27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13.10937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12.33203125" style="174" bestFit="1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62" customWidth="1"/>
    <col min="192" max="192" width="8.5546875" style="174" bestFit="1" customWidth="1"/>
    <col min="193" max="193" width="10.33203125" style="174" bestFit="1" customWidth="1"/>
    <col min="194" max="194" width="8.5546875" style="174" bestFit="1" customWidth="1"/>
    <col min="195" max="195" width="9.6640625" style="174" bestFit="1" customWidth="1"/>
    <col min="196" max="196" width="10.33203125" style="174" bestFit="1" customWidth="1"/>
    <col min="197" max="197" width="8.5546875" style="174" bestFit="1" customWidth="1"/>
    <col min="198" max="198" width="11.88671875" style="174" bestFit="1" customWidth="1"/>
    <col min="199" max="199" width="10.33203125" style="174" bestFit="1" customWidth="1"/>
    <col min="200" max="200" width="8.5546875" style="174" bestFit="1" customWidth="1"/>
    <col min="201" max="201" width="9.6640625" style="174" bestFit="1" customWidth="1"/>
    <col min="202" max="202" width="10.33203125" style="174" bestFit="1" customWidth="1"/>
    <col min="203" max="230" width="13.6640625" style="174" customWidth="1"/>
  </cols>
  <sheetData>
    <row r="1" spans="2:230" x14ac:dyDescent="0.15">
      <c r="B1" s="98">
        <v>1</v>
      </c>
      <c r="C1" s="98">
        <v>2</v>
      </c>
      <c r="D1" s="98">
        <v>3</v>
      </c>
      <c r="E1" s="98">
        <v>4</v>
      </c>
      <c r="F1" s="98">
        <v>5</v>
      </c>
      <c r="G1" s="98">
        <v>6</v>
      </c>
      <c r="H1" s="98">
        <v>7</v>
      </c>
      <c r="I1" s="98">
        <v>8</v>
      </c>
      <c r="J1" s="98">
        <v>9</v>
      </c>
      <c r="K1" s="98">
        <v>10</v>
      </c>
      <c r="L1" s="98">
        <v>11</v>
      </c>
      <c r="M1" s="98">
        <v>12</v>
      </c>
      <c r="N1" s="98">
        <v>13</v>
      </c>
      <c r="O1" s="98">
        <v>14</v>
      </c>
      <c r="P1" s="98">
        <v>15</v>
      </c>
      <c r="Q1" s="98">
        <v>16</v>
      </c>
      <c r="R1" s="98">
        <v>17</v>
      </c>
      <c r="S1" s="98">
        <v>18</v>
      </c>
      <c r="T1" s="98">
        <v>19</v>
      </c>
      <c r="U1" s="98">
        <v>20</v>
      </c>
      <c r="V1" s="98">
        <v>21</v>
      </c>
      <c r="W1" s="98">
        <v>22</v>
      </c>
      <c r="X1" s="98">
        <v>23</v>
      </c>
      <c r="Y1" s="98">
        <v>24</v>
      </c>
      <c r="Z1" s="98">
        <v>25</v>
      </c>
      <c r="AA1" s="98">
        <v>26</v>
      </c>
      <c r="AB1" s="98">
        <v>27</v>
      </c>
      <c r="AC1" s="98">
        <v>28</v>
      </c>
      <c r="AD1" s="98">
        <v>29</v>
      </c>
      <c r="AE1" s="98">
        <v>30</v>
      </c>
      <c r="AF1" s="98">
        <v>31</v>
      </c>
      <c r="AG1" s="98">
        <v>32</v>
      </c>
      <c r="AH1" s="98">
        <v>33</v>
      </c>
      <c r="AI1" s="98">
        <v>34</v>
      </c>
      <c r="AJ1" s="98">
        <v>35</v>
      </c>
      <c r="AK1" s="98">
        <v>36</v>
      </c>
      <c r="AL1" s="98">
        <v>37</v>
      </c>
      <c r="AM1" s="98">
        <v>38</v>
      </c>
      <c r="AN1" s="98">
        <v>39</v>
      </c>
      <c r="AO1" s="98">
        <v>40</v>
      </c>
      <c r="AP1" s="98">
        <v>41</v>
      </c>
      <c r="AQ1" s="98">
        <v>42</v>
      </c>
      <c r="AR1" s="98">
        <v>43</v>
      </c>
      <c r="AS1" s="98">
        <v>44</v>
      </c>
      <c r="AT1" s="98">
        <v>45</v>
      </c>
      <c r="AU1" s="98">
        <v>46</v>
      </c>
      <c r="AV1" s="98">
        <v>47</v>
      </c>
      <c r="AW1" s="98">
        <v>48</v>
      </c>
      <c r="AX1" s="98">
        <v>49</v>
      </c>
      <c r="AY1" s="98">
        <v>50</v>
      </c>
      <c r="AZ1" s="98">
        <v>51</v>
      </c>
      <c r="BA1" s="98">
        <v>52</v>
      </c>
      <c r="BB1" s="98">
        <v>53</v>
      </c>
      <c r="BC1" s="98">
        <v>54</v>
      </c>
      <c r="BD1" s="98">
        <v>55</v>
      </c>
      <c r="BE1" s="98">
        <v>56</v>
      </c>
      <c r="BF1" s="98">
        <v>57</v>
      </c>
      <c r="BG1" s="98">
        <v>58</v>
      </c>
      <c r="BH1" s="98">
        <v>59</v>
      </c>
      <c r="BI1" s="98">
        <v>60</v>
      </c>
      <c r="BJ1" s="98">
        <v>61</v>
      </c>
      <c r="BK1" s="98">
        <v>62</v>
      </c>
      <c r="BL1" s="98">
        <v>63</v>
      </c>
      <c r="BM1" s="98">
        <v>64</v>
      </c>
      <c r="BN1" s="98">
        <v>65</v>
      </c>
      <c r="BO1" s="98">
        <v>66</v>
      </c>
      <c r="BP1" s="98">
        <v>67</v>
      </c>
      <c r="BQ1" s="98">
        <v>68</v>
      </c>
      <c r="BR1" s="98">
        <v>69</v>
      </c>
      <c r="BS1" s="98">
        <v>70</v>
      </c>
      <c r="BT1" s="98">
        <v>71</v>
      </c>
      <c r="BU1" s="98">
        <v>72</v>
      </c>
      <c r="BV1" s="98">
        <v>73</v>
      </c>
      <c r="BW1" s="98">
        <v>74</v>
      </c>
      <c r="BX1" s="98">
        <v>75</v>
      </c>
      <c r="BY1" s="98">
        <v>76</v>
      </c>
      <c r="BZ1" s="98">
        <v>77</v>
      </c>
      <c r="CA1" s="98">
        <v>78</v>
      </c>
      <c r="CB1" s="98">
        <v>79</v>
      </c>
      <c r="CC1" s="98">
        <v>80</v>
      </c>
      <c r="CD1" s="98">
        <v>81</v>
      </c>
      <c r="CE1" s="98">
        <v>82</v>
      </c>
      <c r="CF1" s="98">
        <v>83</v>
      </c>
      <c r="CG1" s="98">
        <v>84</v>
      </c>
      <c r="CH1" s="98">
        <v>85</v>
      </c>
      <c r="CI1" s="98">
        <v>86</v>
      </c>
      <c r="CJ1" s="98">
        <v>87</v>
      </c>
      <c r="CK1" s="98">
        <v>88</v>
      </c>
      <c r="CL1" s="98">
        <v>89</v>
      </c>
      <c r="CM1" s="98">
        <v>90</v>
      </c>
      <c r="CN1" s="98">
        <v>91</v>
      </c>
      <c r="CO1" s="98">
        <v>92</v>
      </c>
      <c r="CP1" s="98">
        <v>93</v>
      </c>
      <c r="CQ1" s="98">
        <v>94</v>
      </c>
      <c r="CR1" s="98">
        <v>95</v>
      </c>
      <c r="CS1" s="98">
        <v>96</v>
      </c>
      <c r="CT1" s="98">
        <v>97</v>
      </c>
      <c r="CU1" s="98">
        <v>98</v>
      </c>
      <c r="CV1" s="98">
        <v>99</v>
      </c>
      <c r="CW1" s="98">
        <v>100</v>
      </c>
      <c r="CX1" s="98">
        <v>101</v>
      </c>
      <c r="CY1" s="98">
        <v>102</v>
      </c>
      <c r="CZ1" s="98">
        <v>103</v>
      </c>
      <c r="DA1" s="98">
        <v>104</v>
      </c>
      <c r="DB1" s="98">
        <v>105</v>
      </c>
      <c r="DC1" s="98">
        <v>106</v>
      </c>
      <c r="DD1" s="98">
        <v>107</v>
      </c>
      <c r="DE1" s="98">
        <v>108</v>
      </c>
      <c r="DF1" s="98">
        <v>109</v>
      </c>
      <c r="DG1" s="98">
        <v>110</v>
      </c>
      <c r="DH1" s="98">
        <v>111</v>
      </c>
      <c r="DI1" s="98">
        <v>112</v>
      </c>
      <c r="DJ1" s="98">
        <v>113</v>
      </c>
      <c r="DK1" s="98">
        <v>114</v>
      </c>
      <c r="DL1" s="98">
        <v>115</v>
      </c>
      <c r="DM1" s="98">
        <v>116</v>
      </c>
      <c r="DN1" s="98">
        <v>117</v>
      </c>
      <c r="DO1" s="98">
        <v>118</v>
      </c>
      <c r="DP1" s="98">
        <v>119</v>
      </c>
      <c r="DQ1" s="98">
        <v>120</v>
      </c>
      <c r="DR1" s="98">
        <v>121</v>
      </c>
      <c r="DS1" s="98">
        <v>122</v>
      </c>
      <c r="DT1" s="98">
        <v>123</v>
      </c>
      <c r="DU1" s="98">
        <v>124</v>
      </c>
      <c r="DV1" s="98">
        <v>125</v>
      </c>
      <c r="DW1" s="98">
        <v>126</v>
      </c>
      <c r="DX1" s="98">
        <v>127</v>
      </c>
      <c r="DY1" s="98">
        <v>128</v>
      </c>
      <c r="DZ1" s="98">
        <v>129</v>
      </c>
      <c r="EA1" s="98">
        <v>130</v>
      </c>
      <c r="EB1" s="98">
        <v>131</v>
      </c>
      <c r="EC1" s="98">
        <v>132</v>
      </c>
      <c r="ED1" s="98">
        <v>133</v>
      </c>
      <c r="EE1" s="98">
        <v>134</v>
      </c>
      <c r="EF1" s="98">
        <v>135</v>
      </c>
      <c r="EG1" s="98">
        <v>136</v>
      </c>
      <c r="EH1" s="98">
        <v>137</v>
      </c>
      <c r="EI1" s="98">
        <v>138</v>
      </c>
      <c r="EJ1" s="98">
        <v>139</v>
      </c>
      <c r="EK1" s="98">
        <v>140</v>
      </c>
      <c r="EL1" s="98">
        <v>141</v>
      </c>
      <c r="EM1" s="98">
        <v>142</v>
      </c>
      <c r="EN1" s="98">
        <v>143</v>
      </c>
      <c r="EO1" s="98">
        <v>144</v>
      </c>
      <c r="EP1" s="98">
        <v>145</v>
      </c>
      <c r="EQ1" s="98">
        <v>146</v>
      </c>
      <c r="ER1" s="98">
        <v>147</v>
      </c>
      <c r="ES1" s="98">
        <v>148</v>
      </c>
      <c r="ET1" s="98">
        <v>149</v>
      </c>
      <c r="EU1" s="98">
        <v>150</v>
      </c>
      <c r="EV1" s="98">
        <v>151</v>
      </c>
      <c r="EW1" s="98">
        <v>152</v>
      </c>
      <c r="EX1" s="98">
        <v>153</v>
      </c>
      <c r="EY1" s="98">
        <v>154</v>
      </c>
      <c r="EZ1" s="98">
        <v>155</v>
      </c>
      <c r="FA1" s="98">
        <v>156</v>
      </c>
      <c r="FB1" s="98">
        <v>157</v>
      </c>
      <c r="FC1" s="98">
        <v>158</v>
      </c>
      <c r="FD1" s="98">
        <v>159</v>
      </c>
      <c r="FE1" s="98">
        <v>160</v>
      </c>
      <c r="FF1" s="98">
        <v>161</v>
      </c>
      <c r="FG1" s="98">
        <v>162</v>
      </c>
      <c r="FH1" s="98">
        <v>163</v>
      </c>
      <c r="FI1" s="98">
        <v>164</v>
      </c>
      <c r="FJ1" s="98">
        <v>165</v>
      </c>
      <c r="FK1" s="98">
        <v>166</v>
      </c>
      <c r="FL1" s="98">
        <v>167</v>
      </c>
      <c r="FM1" s="98">
        <v>168</v>
      </c>
      <c r="FN1" s="98">
        <v>169</v>
      </c>
      <c r="FO1" s="98">
        <v>170</v>
      </c>
      <c r="FP1" s="98">
        <v>171</v>
      </c>
      <c r="FQ1" s="98">
        <v>172</v>
      </c>
      <c r="FR1" s="98">
        <v>173</v>
      </c>
      <c r="FS1" s="98">
        <v>174</v>
      </c>
      <c r="FT1" s="98">
        <v>175</v>
      </c>
      <c r="FU1" s="98">
        <v>176</v>
      </c>
      <c r="FV1" s="98">
        <v>177</v>
      </c>
      <c r="FW1" s="98">
        <v>178</v>
      </c>
      <c r="FX1" s="98">
        <v>179</v>
      </c>
      <c r="FY1" s="98">
        <v>180</v>
      </c>
      <c r="FZ1" s="98">
        <v>181</v>
      </c>
      <c r="GA1" s="98">
        <v>182</v>
      </c>
      <c r="GB1" s="98">
        <v>183</v>
      </c>
      <c r="GC1" s="98">
        <v>184</v>
      </c>
      <c r="GD1" s="98">
        <v>185</v>
      </c>
      <c r="GE1" s="98">
        <v>186</v>
      </c>
      <c r="GF1" s="98">
        <v>187</v>
      </c>
      <c r="GG1" s="98">
        <v>188</v>
      </c>
      <c r="GH1" s="98">
        <v>189</v>
      </c>
      <c r="GI1" s="99">
        <v>190</v>
      </c>
      <c r="GJ1" s="98">
        <v>191</v>
      </c>
      <c r="GK1" s="98">
        <v>192</v>
      </c>
      <c r="GL1" s="98">
        <v>193</v>
      </c>
      <c r="GM1" s="98">
        <v>194</v>
      </c>
      <c r="GN1" s="98">
        <v>195</v>
      </c>
      <c r="GO1" s="98">
        <v>196</v>
      </c>
      <c r="GP1" s="98">
        <v>197</v>
      </c>
      <c r="GQ1" s="98">
        <v>198</v>
      </c>
      <c r="GR1" s="98">
        <v>199</v>
      </c>
      <c r="GS1" s="98">
        <v>200</v>
      </c>
      <c r="GT1" s="98">
        <v>201</v>
      </c>
    </row>
    <row r="2" spans="2:230" x14ac:dyDescent="0.15">
      <c r="C2" s="93" t="s">
        <v>338</v>
      </c>
      <c r="D2" s="94"/>
      <c r="E2" s="93" t="s">
        <v>339</v>
      </c>
      <c r="F2" s="93" t="s">
        <v>340</v>
      </c>
      <c r="G2" s="94"/>
      <c r="H2" s="93" t="s">
        <v>341</v>
      </c>
      <c r="I2" s="93" t="s">
        <v>342</v>
      </c>
      <c r="J2" s="93" t="s">
        <v>343</v>
      </c>
      <c r="K2" s="93" t="s">
        <v>344</v>
      </c>
      <c r="L2" s="93" t="s">
        <v>345</v>
      </c>
      <c r="M2" s="93" t="s">
        <v>346</v>
      </c>
      <c r="N2" s="93" t="s">
        <v>347</v>
      </c>
      <c r="O2" s="93" t="s">
        <v>348</v>
      </c>
      <c r="P2" s="93" t="s">
        <v>349</v>
      </c>
      <c r="Q2" s="93" t="s">
        <v>350</v>
      </c>
      <c r="R2" s="93" t="s">
        <v>351</v>
      </c>
      <c r="S2" s="93" t="s">
        <v>352</v>
      </c>
      <c r="T2" s="95"/>
      <c r="U2" s="93" t="s">
        <v>725</v>
      </c>
      <c r="V2" s="93" t="s">
        <v>354</v>
      </c>
      <c r="W2" s="93" t="s">
        <v>355</v>
      </c>
      <c r="X2" s="93" t="s">
        <v>664</v>
      </c>
      <c r="Y2" s="93" t="s">
        <v>356</v>
      </c>
      <c r="Z2" s="93" t="s">
        <v>357</v>
      </c>
      <c r="AA2" s="93" t="s">
        <v>653</v>
      </c>
      <c r="AB2" s="93" t="s">
        <v>359</v>
      </c>
      <c r="AC2" s="93" t="s">
        <v>654</v>
      </c>
      <c r="AD2" s="93" t="s">
        <v>665</v>
      </c>
      <c r="AE2" s="93" t="s">
        <v>726</v>
      </c>
      <c r="AF2" s="96" t="s">
        <v>363</v>
      </c>
      <c r="AG2" s="96" t="s">
        <v>364</v>
      </c>
      <c r="AH2" s="89"/>
      <c r="AI2" s="96" t="s">
        <v>684</v>
      </c>
      <c r="AJ2" s="96" t="s">
        <v>727</v>
      </c>
      <c r="AK2" s="96" t="s">
        <v>368</v>
      </c>
      <c r="AL2" s="29"/>
      <c r="AM2" s="96" t="s">
        <v>728</v>
      </c>
      <c r="AN2" s="96" t="s">
        <v>686</v>
      </c>
      <c r="AO2" s="96" t="s">
        <v>352</v>
      </c>
      <c r="AP2" s="96" t="s">
        <v>369</v>
      </c>
      <c r="AQ2" s="96" t="s">
        <v>371</v>
      </c>
      <c r="AR2" s="96" t="s">
        <v>372</v>
      </c>
      <c r="AS2" s="96" t="s">
        <v>729</v>
      </c>
      <c r="AT2" s="96" t="s">
        <v>376</v>
      </c>
      <c r="AU2" s="96" t="s">
        <v>377</v>
      </c>
      <c r="AV2" s="96" t="s">
        <v>378</v>
      </c>
      <c r="AW2" s="96" t="s">
        <v>688</v>
      </c>
      <c r="AX2" s="96" t="s">
        <v>380</v>
      </c>
      <c r="AY2" s="96" t="s">
        <v>381</v>
      </c>
      <c r="AZ2" s="96" t="s">
        <v>710</v>
      </c>
      <c r="BA2" s="96" t="s">
        <v>690</v>
      </c>
      <c r="BB2" s="96" t="s">
        <v>711</v>
      </c>
      <c r="BC2" s="96" t="s">
        <v>384</v>
      </c>
      <c r="BD2" s="96" t="s">
        <v>386</v>
      </c>
      <c r="BE2" s="96" t="s">
        <v>387</v>
      </c>
      <c r="BF2" s="96" t="s">
        <v>388</v>
      </c>
      <c r="BG2" s="96" t="s">
        <v>389</v>
      </c>
      <c r="BH2" s="96" t="s">
        <v>692</v>
      </c>
      <c r="BI2" s="96" t="s">
        <v>739</v>
      </c>
      <c r="BJ2" s="96" t="s">
        <v>385</v>
      </c>
      <c r="BK2" s="96" t="s">
        <v>392</v>
      </c>
      <c r="BL2" s="96" t="s">
        <v>694</v>
      </c>
      <c r="BM2" s="96" t="s">
        <v>393</v>
      </c>
      <c r="BN2" s="96" t="s">
        <v>696</v>
      </c>
      <c r="BO2" s="29"/>
      <c r="BP2" s="29"/>
      <c r="BQ2" s="96" t="s">
        <v>743</v>
      </c>
      <c r="BR2" s="96" t="s">
        <v>750</v>
      </c>
      <c r="BS2" s="96" t="s">
        <v>748</v>
      </c>
      <c r="BT2" s="96" t="s">
        <v>767</v>
      </c>
      <c r="BU2" s="96" t="s">
        <v>396</v>
      </c>
      <c r="BV2" s="89"/>
      <c r="BW2" s="96" t="s">
        <v>402</v>
      </c>
      <c r="BX2" s="96" t="s">
        <v>403</v>
      </c>
      <c r="BY2" s="96" t="s">
        <v>719</v>
      </c>
      <c r="BZ2" s="96" t="s">
        <v>405</v>
      </c>
      <c r="CA2" s="96" t="s">
        <v>406</v>
      </c>
      <c r="CB2" s="96" t="s">
        <v>407</v>
      </c>
      <c r="CC2" s="96" t="s">
        <v>408</v>
      </c>
      <c r="CD2" s="96" t="s">
        <v>409</v>
      </c>
      <c r="CE2" s="96" t="s">
        <v>410</v>
      </c>
      <c r="CF2" s="96" t="s">
        <v>411</v>
      </c>
      <c r="CG2" s="96" t="s">
        <v>412</v>
      </c>
      <c r="CH2" s="96" t="s">
        <v>413</v>
      </c>
      <c r="CI2" s="96" t="s">
        <v>414</v>
      </c>
      <c r="CJ2" s="81"/>
      <c r="CK2" s="96" t="s">
        <v>415</v>
      </c>
      <c r="CL2" s="96" t="s">
        <v>720</v>
      </c>
      <c r="CM2" s="96" t="s">
        <v>417</v>
      </c>
      <c r="CN2" s="96" t="s">
        <v>721</v>
      </c>
      <c r="CO2" s="96" t="s">
        <v>419</v>
      </c>
      <c r="CP2" s="96" t="s">
        <v>420</v>
      </c>
      <c r="CQ2" s="96" t="s">
        <v>421</v>
      </c>
      <c r="CR2" s="96" t="s">
        <v>422</v>
      </c>
      <c r="CS2" s="96" t="s">
        <v>423</v>
      </c>
      <c r="CT2" s="28"/>
      <c r="CU2" s="96" t="s">
        <v>424</v>
      </c>
      <c r="CV2" s="96" t="s">
        <v>425</v>
      </c>
      <c r="CW2" s="89"/>
      <c r="CX2" s="96" t="s">
        <v>426</v>
      </c>
      <c r="CY2" s="96" t="s">
        <v>427</v>
      </c>
      <c r="CZ2" s="89"/>
      <c r="DA2" s="96" t="s">
        <v>428</v>
      </c>
      <c r="DB2" s="96" t="s">
        <v>429</v>
      </c>
      <c r="DC2" s="96" t="s">
        <v>430</v>
      </c>
      <c r="DD2" s="96" t="s">
        <v>431</v>
      </c>
      <c r="DE2" s="96" t="s">
        <v>432</v>
      </c>
      <c r="DF2" s="96" t="s">
        <v>433</v>
      </c>
      <c r="DG2" s="96" t="s">
        <v>434</v>
      </c>
      <c r="DH2" s="96" t="s">
        <v>435</v>
      </c>
      <c r="DI2" s="96" t="s">
        <v>436</v>
      </c>
      <c r="DJ2" s="96" t="s">
        <v>437</v>
      </c>
      <c r="DK2" s="96" t="s">
        <v>438</v>
      </c>
      <c r="DL2" s="96" t="s">
        <v>439</v>
      </c>
      <c r="DM2" s="96" t="s">
        <v>440</v>
      </c>
      <c r="DN2" s="96" t="s">
        <v>441</v>
      </c>
      <c r="DO2" s="96" t="s">
        <v>442</v>
      </c>
      <c r="DP2" s="96" t="s">
        <v>443</v>
      </c>
      <c r="DQ2" s="96" t="s">
        <v>444</v>
      </c>
      <c r="DR2" s="96" t="s">
        <v>445</v>
      </c>
      <c r="DS2" s="96" t="s">
        <v>446</v>
      </c>
      <c r="DT2" s="96" t="s">
        <v>447</v>
      </c>
      <c r="DU2" s="96" t="s">
        <v>448</v>
      </c>
      <c r="DV2" s="89"/>
      <c r="DW2" s="96" t="s">
        <v>449</v>
      </c>
      <c r="DX2" s="173" t="s">
        <v>450</v>
      </c>
      <c r="DY2" s="96" t="s">
        <v>451</v>
      </c>
      <c r="DZ2" s="96" t="s">
        <v>452</v>
      </c>
      <c r="EA2" s="96" t="s">
        <v>453</v>
      </c>
      <c r="EB2" s="96" t="s">
        <v>454</v>
      </c>
      <c r="EC2" s="96" t="s">
        <v>455</v>
      </c>
      <c r="ED2" s="96" t="s">
        <v>456</v>
      </c>
      <c r="EE2" s="89"/>
      <c r="EF2" s="96" t="s">
        <v>457</v>
      </c>
      <c r="EG2" s="96" t="s">
        <v>458</v>
      </c>
      <c r="EH2" s="96" t="s">
        <v>459</v>
      </c>
      <c r="EI2" s="96" t="s">
        <v>460</v>
      </c>
      <c r="EJ2" s="96" t="s">
        <v>461</v>
      </c>
      <c r="EK2" s="89"/>
      <c r="EL2" s="89"/>
      <c r="EM2" s="97" t="s">
        <v>699</v>
      </c>
      <c r="EN2" s="96" t="s">
        <v>464</v>
      </c>
      <c r="EO2" s="96" t="s">
        <v>465</v>
      </c>
      <c r="EP2" s="89"/>
      <c r="EQ2" s="96" t="s">
        <v>466</v>
      </c>
      <c r="ER2" s="96" t="s">
        <v>467</v>
      </c>
      <c r="ES2" s="96" t="s">
        <v>468</v>
      </c>
      <c r="ET2" s="96" t="s">
        <v>469</v>
      </c>
      <c r="EU2" s="96" t="s">
        <v>470</v>
      </c>
      <c r="EV2" s="96" t="s">
        <v>471</v>
      </c>
      <c r="EW2" s="28"/>
      <c r="EX2" s="96" t="s">
        <v>472</v>
      </c>
      <c r="EY2" s="96" t="s">
        <v>473</v>
      </c>
      <c r="EZ2" s="96" t="s">
        <v>474</v>
      </c>
      <c r="FA2" s="96" t="s">
        <v>475</v>
      </c>
      <c r="FB2" s="96" t="s">
        <v>476</v>
      </c>
      <c r="FC2" s="96" t="s">
        <v>477</v>
      </c>
      <c r="FD2" s="96" t="s">
        <v>478</v>
      </c>
      <c r="FE2" s="96" t="s">
        <v>479</v>
      </c>
      <c r="FF2" s="96" t="s">
        <v>480</v>
      </c>
      <c r="FG2" s="89"/>
      <c r="FH2" s="96" t="s">
        <v>481</v>
      </c>
      <c r="FI2" s="89"/>
      <c r="FJ2" s="80" t="s">
        <v>482</v>
      </c>
      <c r="FK2" s="172" t="s">
        <v>483</v>
      </c>
      <c r="FL2" s="172" t="s">
        <v>484</v>
      </c>
      <c r="FM2" s="172" t="s">
        <v>485</v>
      </c>
      <c r="FN2" s="80" t="s">
        <v>700</v>
      </c>
      <c r="FO2" s="564" t="s">
        <v>701</v>
      </c>
      <c r="FP2" s="561"/>
      <c r="FQ2" s="561"/>
      <c r="FR2" s="561"/>
      <c r="FS2" s="561"/>
      <c r="FT2" s="561"/>
      <c r="FU2" s="561"/>
      <c r="FV2" s="89"/>
      <c r="FW2" s="96" t="s">
        <v>768</v>
      </c>
      <c r="FX2" s="89"/>
      <c r="FY2" s="96" t="s">
        <v>490</v>
      </c>
      <c r="FZ2" s="96" t="s">
        <v>491</v>
      </c>
      <c r="GA2" s="96" t="s">
        <v>492</v>
      </c>
      <c r="GB2" s="96" t="s">
        <v>493</v>
      </c>
      <c r="GC2" s="96" t="s">
        <v>494</v>
      </c>
      <c r="GD2" s="46" t="s">
        <v>745</v>
      </c>
      <c r="GE2" s="89"/>
      <c r="GF2" s="85" t="s">
        <v>703</v>
      </c>
      <c r="GG2" s="85"/>
      <c r="GH2" s="85"/>
      <c r="GI2" s="86" t="s">
        <v>753</v>
      </c>
      <c r="GJ2" s="46" t="s">
        <v>329</v>
      </c>
      <c r="GK2" s="46"/>
      <c r="GL2" s="46"/>
      <c r="GM2" s="46"/>
      <c r="GN2" s="46"/>
      <c r="GO2" s="46"/>
      <c r="GP2" s="46"/>
      <c r="GQ2" s="46"/>
      <c r="GR2" s="46"/>
      <c r="GS2" s="46"/>
      <c r="GT2" s="46"/>
    </row>
    <row r="3" spans="2:230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92" t="s">
        <v>159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V3" s="89"/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82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E3" s="89"/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K3" s="89"/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48" t="s">
        <v>517</v>
      </c>
      <c r="FJ3" s="48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P3" s="89"/>
      <c r="FQ3" s="89"/>
      <c r="FR3" s="89"/>
      <c r="FS3" s="89"/>
      <c r="FT3" s="89"/>
      <c r="FU3" s="89"/>
      <c r="FV3" s="30" t="s">
        <v>529</v>
      </c>
      <c r="FW3" s="30" t="s">
        <v>308</v>
      </c>
      <c r="FX3" s="48" t="s">
        <v>530</v>
      </c>
      <c r="FY3" s="30" t="s">
        <v>312</v>
      </c>
      <c r="FZ3" s="89"/>
      <c r="GA3" s="89"/>
      <c r="GB3" s="89"/>
      <c r="GC3" s="89"/>
      <c r="GD3" s="30" t="s">
        <v>531</v>
      </c>
      <c r="GE3" s="48" t="s">
        <v>530</v>
      </c>
      <c r="GF3" s="30" t="s">
        <v>532</v>
      </c>
      <c r="GG3" s="89"/>
      <c r="GH3" s="89"/>
      <c r="GI3" s="30" t="s">
        <v>706</v>
      </c>
      <c r="GJ3" s="89" t="s">
        <v>534</v>
      </c>
      <c r="GM3" s="89" t="s">
        <v>535</v>
      </c>
      <c r="GP3" s="89" t="s">
        <v>529</v>
      </c>
      <c r="GS3" s="89" t="s">
        <v>536</v>
      </c>
    </row>
    <row r="4" spans="2:230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 t="s">
        <v>554</v>
      </c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 t="s">
        <v>565</v>
      </c>
      <c r="BS4" s="31"/>
      <c r="BT4" s="30" t="s">
        <v>193</v>
      </c>
      <c r="BU4" s="30"/>
      <c r="BV4" s="89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570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82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 t="s">
        <v>589</v>
      </c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E4" s="89"/>
      <c r="EF4" s="89"/>
      <c r="EG4" s="89"/>
      <c r="EH4" s="89"/>
      <c r="EI4" s="89"/>
      <c r="EJ4" s="89"/>
      <c r="EK4" s="89"/>
      <c r="EL4" s="29" t="s">
        <v>758</v>
      </c>
      <c r="EM4" s="32" t="s">
        <v>769</v>
      </c>
      <c r="EN4" s="30"/>
      <c r="EO4" s="30"/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48" t="s">
        <v>596</v>
      </c>
      <c r="FJ4" s="48" t="s">
        <v>597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W4" s="89"/>
      <c r="FX4" s="48" t="s">
        <v>601</v>
      </c>
      <c r="FY4" s="89"/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48" t="s">
        <v>601</v>
      </c>
      <c r="GF4" s="30" t="s">
        <v>604</v>
      </c>
      <c r="GG4" s="30" t="s">
        <v>605</v>
      </c>
      <c r="GH4" s="30" t="s">
        <v>606</v>
      </c>
      <c r="GI4" s="30" t="s">
        <v>755</v>
      </c>
      <c r="GJ4" s="30" t="s">
        <v>608</v>
      </c>
      <c r="GK4" s="89" t="s">
        <v>609</v>
      </c>
      <c r="GL4" s="89" t="s">
        <v>610</v>
      </c>
      <c r="GM4" s="89" t="s">
        <v>608</v>
      </c>
      <c r="GN4" s="89" t="s">
        <v>609</v>
      </c>
      <c r="GO4" s="89" t="s">
        <v>610</v>
      </c>
      <c r="GP4" s="89" t="s">
        <v>596</v>
      </c>
      <c r="GQ4" s="89" t="s">
        <v>609</v>
      </c>
      <c r="GR4" s="89" t="s">
        <v>610</v>
      </c>
      <c r="GS4" s="89" t="s">
        <v>611</v>
      </c>
      <c r="GT4" s="89" t="s">
        <v>609</v>
      </c>
    </row>
    <row r="5" spans="2:230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620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47" t="s">
        <v>624</v>
      </c>
      <c r="BS5" s="30" t="s">
        <v>625</v>
      </c>
      <c r="BT5" s="30"/>
      <c r="BU5" s="30"/>
      <c r="BV5" s="89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82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635</v>
      </c>
      <c r="DX5" s="48"/>
      <c r="DY5" s="30"/>
      <c r="DZ5" s="30"/>
      <c r="EA5" s="79" t="s">
        <v>756</v>
      </c>
      <c r="EB5" s="30"/>
      <c r="EC5" s="30"/>
      <c r="ED5" s="30"/>
      <c r="EE5" s="89"/>
      <c r="EF5" s="89"/>
      <c r="EG5" s="89"/>
      <c r="EH5" s="89"/>
      <c r="EI5" s="89"/>
      <c r="EJ5" s="89"/>
      <c r="EK5" s="89"/>
      <c r="EL5" s="89" t="s">
        <v>760</v>
      </c>
      <c r="EM5" s="89" t="s">
        <v>637</v>
      </c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30" t="s">
        <v>595</v>
      </c>
      <c r="EZ5" s="30" t="s">
        <v>595</v>
      </c>
      <c r="FA5" s="89"/>
      <c r="FB5" s="89"/>
      <c r="FC5" s="89"/>
      <c r="FD5" s="89"/>
      <c r="FE5" s="89"/>
      <c r="FF5" s="89"/>
      <c r="FG5" s="89"/>
      <c r="FH5" s="89"/>
      <c r="FI5" s="51" t="s">
        <v>638</v>
      </c>
      <c r="FJ5" s="51"/>
      <c r="FK5" s="30" t="s">
        <v>639</v>
      </c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30" t="s">
        <v>600</v>
      </c>
      <c r="FW5" s="89"/>
      <c r="FX5" s="51" t="s">
        <v>638</v>
      </c>
      <c r="FY5" s="89"/>
      <c r="FZ5" s="89"/>
      <c r="GA5" s="89"/>
      <c r="GB5" s="89"/>
      <c r="GC5" s="89"/>
      <c r="GD5" s="89"/>
      <c r="GE5" s="51" t="s">
        <v>641</v>
      </c>
      <c r="GF5" s="70"/>
      <c r="GG5" s="89"/>
      <c r="GH5" s="89"/>
      <c r="GI5" s="89" t="s">
        <v>642</v>
      </c>
      <c r="GJ5" s="89"/>
      <c r="GK5" s="43" t="s">
        <v>643</v>
      </c>
      <c r="GL5" s="30" t="s">
        <v>644</v>
      </c>
      <c r="GM5" s="89"/>
      <c r="GN5" s="43" t="s">
        <v>643</v>
      </c>
      <c r="GO5" s="30" t="s">
        <v>644</v>
      </c>
      <c r="GP5" s="89"/>
      <c r="GQ5" s="43" t="s">
        <v>643</v>
      </c>
      <c r="GR5" s="30" t="s">
        <v>644</v>
      </c>
      <c r="GT5" s="43" t="s">
        <v>643</v>
      </c>
      <c r="GV5" s="89" t="s">
        <v>645</v>
      </c>
    </row>
    <row r="6" spans="2:230" s="89" customFormat="1" x14ac:dyDescent="0.15">
      <c r="B6" s="72" t="s">
        <v>1</v>
      </c>
      <c r="C6" s="102">
        <v>641869666</v>
      </c>
      <c r="D6" s="73">
        <f t="shared" ref="D6:D52" si="0">E6+F6</f>
        <v>135462858</v>
      </c>
      <c r="E6" s="102">
        <v>3603141</v>
      </c>
      <c r="F6" s="102">
        <v>131859717</v>
      </c>
      <c r="G6" s="73">
        <f t="shared" ref="G6:G52" si="1">H6+I6</f>
        <v>125170728</v>
      </c>
      <c r="H6" s="102">
        <v>17974531</v>
      </c>
      <c r="I6" s="102">
        <v>107196197</v>
      </c>
      <c r="J6" s="102">
        <v>267977539</v>
      </c>
      <c r="K6" s="102">
        <v>104432207</v>
      </c>
      <c r="L6" s="102">
        <v>128356256</v>
      </c>
      <c r="M6" s="102">
        <v>34439330</v>
      </c>
      <c r="N6" s="102">
        <v>32134416</v>
      </c>
      <c r="O6" s="102">
        <v>54451741</v>
      </c>
      <c r="P6" s="102">
        <v>26232782</v>
      </c>
      <c r="Q6" s="102">
        <v>28218959</v>
      </c>
      <c r="R6" s="102">
        <v>6304853</v>
      </c>
      <c r="S6" s="74"/>
      <c r="T6" s="73">
        <f t="shared" ref="T6:T52" si="2">SUM(U6:AA6)</f>
        <v>46712092</v>
      </c>
      <c r="U6" s="102">
        <v>1439731</v>
      </c>
      <c r="V6" s="102">
        <v>2096117</v>
      </c>
      <c r="W6" s="102">
        <v>3222050</v>
      </c>
      <c r="X6" s="102">
        <v>37016247</v>
      </c>
      <c r="Y6" s="102">
        <v>0</v>
      </c>
      <c r="Z6" s="102">
        <v>0</v>
      </c>
      <c r="AA6" s="102">
        <v>2937947</v>
      </c>
      <c r="AB6" s="102">
        <v>1964401</v>
      </c>
      <c r="AC6" s="102">
        <v>48639887</v>
      </c>
      <c r="AD6" s="102">
        <v>47327491</v>
      </c>
      <c r="AE6" s="102">
        <v>1312142</v>
      </c>
      <c r="AF6" s="102">
        <v>924478</v>
      </c>
      <c r="AG6" s="102">
        <v>7650320</v>
      </c>
      <c r="AH6" s="73">
        <f t="shared" ref="AH6:AH52" si="3">AI6+AJ6</f>
        <v>61828093</v>
      </c>
      <c r="AI6" s="102">
        <v>53142797</v>
      </c>
      <c r="AJ6" s="102">
        <v>8685296</v>
      </c>
      <c r="AK6" s="102">
        <v>348442426</v>
      </c>
      <c r="AL6" s="73">
        <f t="shared" ref="AL6:AL52" si="4">SUM(AM6:AP6)</f>
        <v>270406760</v>
      </c>
      <c r="AM6" s="102">
        <v>218442784</v>
      </c>
      <c r="AN6" s="102">
        <v>21299386</v>
      </c>
      <c r="AO6" s="74"/>
      <c r="AP6" s="102">
        <v>30664590</v>
      </c>
      <c r="AQ6" s="102">
        <v>11612702</v>
      </c>
      <c r="AR6" s="102">
        <v>0</v>
      </c>
      <c r="AS6" s="102">
        <v>0</v>
      </c>
      <c r="AT6" s="102">
        <v>53264401</v>
      </c>
      <c r="AU6" s="102">
        <v>27685412</v>
      </c>
      <c r="AV6" s="102">
        <v>0</v>
      </c>
      <c r="AW6" s="102">
        <v>1865489</v>
      </c>
      <c r="AX6" s="102">
        <v>25578989</v>
      </c>
      <c r="AY6" s="102">
        <v>18755</v>
      </c>
      <c r="AZ6" s="102">
        <v>46526349</v>
      </c>
      <c r="BA6" s="102">
        <v>34945436</v>
      </c>
      <c r="BB6" s="102">
        <v>270192</v>
      </c>
      <c r="BC6" s="102">
        <v>47472426</v>
      </c>
      <c r="BD6" s="102">
        <v>0</v>
      </c>
      <c r="BE6" s="102">
        <v>35266823</v>
      </c>
      <c r="BF6" s="102">
        <v>6759573</v>
      </c>
      <c r="BG6" s="102">
        <v>0</v>
      </c>
      <c r="BH6" s="102">
        <v>1526159</v>
      </c>
      <c r="BI6" s="102">
        <v>411104</v>
      </c>
      <c r="BJ6" s="102">
        <v>196184125</v>
      </c>
      <c r="BK6" s="102">
        <v>118422883</v>
      </c>
      <c r="BL6" s="102">
        <v>403740</v>
      </c>
      <c r="BM6" s="102">
        <v>14344144</v>
      </c>
      <c r="BN6" s="102">
        <v>154833000</v>
      </c>
      <c r="BO6" s="73">
        <f t="shared" ref="BO6:BO52" si="5">BN6-BP6-BT6</f>
        <v>59437000</v>
      </c>
      <c r="BP6" s="73">
        <f t="shared" ref="BP6:BP52" si="6">BQ6+BR6+BS6</f>
        <v>95396000</v>
      </c>
      <c r="BQ6" s="102">
        <v>0</v>
      </c>
      <c r="BR6" s="76">
        <v>0</v>
      </c>
      <c r="BS6" s="102">
        <v>95396000</v>
      </c>
      <c r="BT6" s="102">
        <v>0</v>
      </c>
      <c r="BU6" s="102">
        <v>1675766192</v>
      </c>
      <c r="BV6" s="71"/>
      <c r="BW6" s="102">
        <v>209069688</v>
      </c>
      <c r="BX6" s="102">
        <v>149711300</v>
      </c>
      <c r="BY6" s="102">
        <v>17718885</v>
      </c>
      <c r="BZ6" s="102">
        <v>8167505</v>
      </c>
      <c r="CA6" s="102">
        <v>501060197</v>
      </c>
      <c r="CB6" s="102">
        <v>69567423</v>
      </c>
      <c r="CC6" s="102">
        <v>7390225</v>
      </c>
      <c r="CD6" s="102">
        <v>119238131</v>
      </c>
      <c r="CE6" s="102">
        <v>291924268</v>
      </c>
      <c r="CF6" s="102">
        <v>10670974</v>
      </c>
      <c r="CG6" s="102">
        <v>2269176</v>
      </c>
      <c r="CH6" s="102">
        <v>279754685</v>
      </c>
      <c r="CI6" s="102">
        <v>236468495</v>
      </c>
      <c r="CJ6" s="83">
        <v>47623386</v>
      </c>
      <c r="CK6" s="102">
        <v>103692461</v>
      </c>
      <c r="CL6" s="102">
        <v>65355574</v>
      </c>
      <c r="CM6" s="102">
        <v>2975803</v>
      </c>
      <c r="CN6" s="102">
        <v>20505637</v>
      </c>
      <c r="CO6" s="102">
        <v>16071975</v>
      </c>
      <c r="CP6" s="102">
        <v>148988333</v>
      </c>
      <c r="CQ6" s="102">
        <v>347284</v>
      </c>
      <c r="CR6" s="102">
        <v>55678166</v>
      </c>
      <c r="CS6" s="102">
        <v>47467080</v>
      </c>
      <c r="CT6" s="73">
        <f t="shared" ref="CT6:CT52" si="7">CU6+CV6</f>
        <v>47105958</v>
      </c>
      <c r="CU6" s="102">
        <v>8193144</v>
      </c>
      <c r="CV6" s="102">
        <v>38912814</v>
      </c>
      <c r="CW6" s="73">
        <f t="shared" ref="CW6:CW52" si="8">CX6+CY6</f>
        <v>8907603</v>
      </c>
      <c r="CX6" s="102">
        <v>8012380</v>
      </c>
      <c r="CY6" s="102">
        <v>895223</v>
      </c>
      <c r="CZ6" s="73">
        <f t="shared" ref="CZ6:CZ52" si="9">DA6+DB6</f>
        <v>30913882</v>
      </c>
      <c r="DA6" s="102">
        <v>0</v>
      </c>
      <c r="DB6" s="102">
        <v>30913882</v>
      </c>
      <c r="DC6" s="102">
        <v>83722696</v>
      </c>
      <c r="DD6" s="102">
        <v>47911894</v>
      </c>
      <c r="DE6" s="102">
        <v>31525704</v>
      </c>
      <c r="DF6" s="102">
        <v>0</v>
      </c>
      <c r="DG6" s="102">
        <v>403740</v>
      </c>
      <c r="DH6" s="102">
        <v>0</v>
      </c>
      <c r="DI6" s="102">
        <v>63455786</v>
      </c>
      <c r="DJ6" s="102">
        <v>39043288</v>
      </c>
      <c r="DK6" s="102">
        <v>460193</v>
      </c>
      <c r="DL6" s="102">
        <v>23952305</v>
      </c>
      <c r="DM6" s="102">
        <v>8232396</v>
      </c>
      <c r="DN6" s="102">
        <v>4591646</v>
      </c>
      <c r="DO6" s="102">
        <v>0</v>
      </c>
      <c r="DP6" s="102">
        <v>0</v>
      </c>
      <c r="DQ6" s="102">
        <v>113288429</v>
      </c>
      <c r="DR6" s="102">
        <v>0</v>
      </c>
      <c r="DS6" s="102">
        <v>0</v>
      </c>
      <c r="DT6" s="102">
        <v>123065509</v>
      </c>
      <c r="DU6" s="102">
        <v>0</v>
      </c>
      <c r="DV6" s="73">
        <f t="shared" ref="DV6:DV52" si="10">DW6</f>
        <v>16728251</v>
      </c>
      <c r="DW6" s="102">
        <v>16728251</v>
      </c>
      <c r="DX6" s="102">
        <v>32033323</v>
      </c>
      <c r="DY6" s="102">
        <v>0</v>
      </c>
      <c r="DZ6" s="102">
        <v>40708097</v>
      </c>
      <c r="EA6" s="74">
        <v>0</v>
      </c>
      <c r="EB6" s="102">
        <v>31017568</v>
      </c>
      <c r="EC6" s="102">
        <v>0</v>
      </c>
      <c r="ED6" s="102">
        <v>1650402155</v>
      </c>
      <c r="EE6" s="71"/>
      <c r="EF6" s="102">
        <v>25364037</v>
      </c>
      <c r="EG6" s="102">
        <v>1140982</v>
      </c>
      <c r="EH6" s="102">
        <v>24223055</v>
      </c>
      <c r="EI6" s="102">
        <v>23811951</v>
      </c>
      <c r="EJ6" s="102">
        <v>62860525</v>
      </c>
      <c r="EK6" s="71"/>
      <c r="EL6" s="102"/>
      <c r="EM6" s="102">
        <v>2667830</v>
      </c>
      <c r="EN6" s="102">
        <v>35267753</v>
      </c>
      <c r="EO6" s="102">
        <v>14816350</v>
      </c>
      <c r="EP6" s="73">
        <f t="shared" ref="EP6:EP52" si="11">EQ6-ER6-C6-R6-T6-AB6-AC6-BP6-EN6-EO6</f>
        <v>58388375</v>
      </c>
      <c r="EQ6" s="102">
        <v>757768701</v>
      </c>
      <c r="ER6" s="71">
        <v>-191590676</v>
      </c>
      <c r="ES6" s="102">
        <v>190907438</v>
      </c>
      <c r="ET6" s="102">
        <v>136707492</v>
      </c>
      <c r="EU6" s="102">
        <v>148449750</v>
      </c>
      <c r="EV6" s="102">
        <v>247671655</v>
      </c>
      <c r="EW6" s="73">
        <f t="shared" ref="EW6:EW52" si="12">EX6+FA6+FB6</f>
        <v>25646102</v>
      </c>
      <c r="EX6" s="102">
        <v>25646102</v>
      </c>
      <c r="EY6" s="102">
        <v>4085670</v>
      </c>
      <c r="EZ6" s="102">
        <v>20867074</v>
      </c>
      <c r="FA6" s="102">
        <v>0</v>
      </c>
      <c r="FB6" s="102">
        <v>0</v>
      </c>
      <c r="FC6" s="102">
        <v>65259847</v>
      </c>
      <c r="FD6" s="102">
        <v>91559260</v>
      </c>
      <c r="FE6" s="102">
        <v>347284</v>
      </c>
      <c r="FF6" s="102">
        <v>104854018</v>
      </c>
      <c r="FG6" s="73">
        <f t="shared" ref="FG6:FG52" si="13">FH6-ES6-EU6-EV6-EW6-FC6-FD6-FF6</f>
        <v>49647270</v>
      </c>
      <c r="FH6" s="102">
        <v>923995340</v>
      </c>
      <c r="FI6" s="379">
        <f t="shared" ref="FI6:FI52" si="14">ROUND(EH6/(FJ6+FK6)*100,1)</f>
        <v>3.2</v>
      </c>
      <c r="FJ6" s="102">
        <v>668594494</v>
      </c>
      <c r="FK6" s="102">
        <v>95396176</v>
      </c>
      <c r="FL6" s="102">
        <v>472618473</v>
      </c>
      <c r="FM6" s="102">
        <v>519029103</v>
      </c>
      <c r="FN6" s="151">
        <v>0.90500000000000003</v>
      </c>
      <c r="FO6" s="424">
        <v>98.3</v>
      </c>
      <c r="FP6" s="151">
        <v>23.6</v>
      </c>
      <c r="FQ6" s="424">
        <v>18.3</v>
      </c>
      <c r="FR6" s="424">
        <v>30.6</v>
      </c>
      <c r="FS6" s="151">
        <v>7.7</v>
      </c>
      <c r="FT6" s="424">
        <v>9.3000000000000007</v>
      </c>
      <c r="FU6" s="151">
        <v>8.1999999999999993</v>
      </c>
      <c r="FV6" s="384">
        <f t="shared" ref="FV6:FV52" si="15">GP6</f>
        <v>9</v>
      </c>
      <c r="FW6" s="102">
        <v>2578573351</v>
      </c>
      <c r="FX6" s="384">
        <f t="shared" ref="FX6:FX52" si="16">ROUND(FW6/(FJ6+FK6)*100,1)</f>
        <v>337.5</v>
      </c>
      <c r="FY6" s="102">
        <v>210101891</v>
      </c>
      <c r="FZ6" s="102">
        <v>158112567</v>
      </c>
      <c r="GA6" s="102">
        <v>7758995</v>
      </c>
      <c r="GB6" s="102">
        <v>44230329</v>
      </c>
      <c r="GC6" s="102">
        <v>0</v>
      </c>
      <c r="GD6" s="454"/>
      <c r="GE6" s="386"/>
      <c r="GF6" s="424">
        <v>99.2</v>
      </c>
      <c r="GG6" s="424">
        <v>24.9</v>
      </c>
      <c r="GH6" s="424">
        <v>96.8</v>
      </c>
      <c r="GI6" s="102">
        <v>23655</v>
      </c>
      <c r="GJ6" s="123" t="s">
        <v>646</v>
      </c>
      <c r="GK6" s="151">
        <v>11.25</v>
      </c>
      <c r="GL6" s="87">
        <v>20</v>
      </c>
      <c r="GM6" s="123" t="s">
        <v>646</v>
      </c>
      <c r="GN6" s="151">
        <v>16.25</v>
      </c>
      <c r="GO6" s="430">
        <v>30</v>
      </c>
      <c r="GP6" s="424">
        <v>9</v>
      </c>
      <c r="GQ6" s="425">
        <v>25</v>
      </c>
      <c r="GR6" s="425">
        <v>35</v>
      </c>
      <c r="GS6" s="151">
        <v>152.5</v>
      </c>
      <c r="GT6" s="424">
        <v>350</v>
      </c>
      <c r="GV6" s="100">
        <f t="shared" ref="GV6:GV52" si="17">ROUND((FJ6+FK6)/1000,0)</f>
        <v>763991</v>
      </c>
    </row>
    <row r="7" spans="2:230" s="89" customFormat="1" x14ac:dyDescent="0.15">
      <c r="B7" s="72" t="s">
        <v>3</v>
      </c>
      <c r="C7" s="102">
        <v>131058924</v>
      </c>
      <c r="D7" s="73">
        <f t="shared" si="0"/>
        <v>42648398</v>
      </c>
      <c r="E7" s="102">
        <v>1073742</v>
      </c>
      <c r="F7" s="102">
        <v>41574656</v>
      </c>
      <c r="G7" s="73">
        <f t="shared" si="1"/>
        <v>10163989</v>
      </c>
      <c r="H7" s="102">
        <v>2212137</v>
      </c>
      <c r="I7" s="102">
        <v>7951852</v>
      </c>
      <c r="J7" s="102">
        <v>56383958</v>
      </c>
      <c r="K7" s="102">
        <v>22651284</v>
      </c>
      <c r="L7" s="102">
        <v>20970193</v>
      </c>
      <c r="M7" s="102">
        <v>11823685</v>
      </c>
      <c r="N7" s="102">
        <v>6554596</v>
      </c>
      <c r="O7" s="102">
        <v>10134332</v>
      </c>
      <c r="P7" s="102">
        <v>5780504</v>
      </c>
      <c r="Q7" s="102">
        <v>4353828</v>
      </c>
      <c r="R7" s="102">
        <v>2186915</v>
      </c>
      <c r="S7" s="74"/>
      <c r="T7" s="73">
        <f t="shared" si="2"/>
        <v>10808926</v>
      </c>
      <c r="U7" s="102">
        <v>458612</v>
      </c>
      <c r="V7" s="102">
        <v>666834</v>
      </c>
      <c r="W7" s="102">
        <v>1024093</v>
      </c>
      <c r="X7" s="102">
        <v>7551327</v>
      </c>
      <c r="Y7" s="102">
        <v>142590</v>
      </c>
      <c r="Z7" s="102">
        <v>0</v>
      </c>
      <c r="AA7" s="102">
        <v>965470</v>
      </c>
      <c r="AB7" s="102">
        <v>714468</v>
      </c>
      <c r="AC7" s="102">
        <v>21277706</v>
      </c>
      <c r="AD7" s="102">
        <v>20264081</v>
      </c>
      <c r="AE7" s="102">
        <v>1013606</v>
      </c>
      <c r="AF7" s="102">
        <v>333289</v>
      </c>
      <c r="AG7" s="102">
        <v>5597532</v>
      </c>
      <c r="AH7" s="73">
        <f t="shared" si="3"/>
        <v>6387596</v>
      </c>
      <c r="AI7" s="102">
        <v>3912546</v>
      </c>
      <c r="AJ7" s="102">
        <v>2475050</v>
      </c>
      <c r="AK7" s="102">
        <v>81184029</v>
      </c>
      <c r="AL7" s="73">
        <f t="shared" si="4"/>
        <v>48358769</v>
      </c>
      <c r="AM7" s="102">
        <v>34422286</v>
      </c>
      <c r="AN7" s="102">
        <v>5211741</v>
      </c>
      <c r="AO7" s="74"/>
      <c r="AP7" s="102">
        <v>8724742</v>
      </c>
      <c r="AQ7" s="102">
        <v>4561847</v>
      </c>
      <c r="AR7" s="102">
        <v>0</v>
      </c>
      <c r="AS7" s="102">
        <v>9796</v>
      </c>
      <c r="AT7" s="102">
        <v>15810100</v>
      </c>
      <c r="AU7" s="102">
        <v>8332472</v>
      </c>
      <c r="AV7" s="102">
        <v>0</v>
      </c>
      <c r="AW7" s="102">
        <v>916523</v>
      </c>
      <c r="AX7" s="102">
        <v>7477628</v>
      </c>
      <c r="AY7" s="102">
        <v>4477</v>
      </c>
      <c r="AZ7" s="102">
        <v>1434716</v>
      </c>
      <c r="BA7" s="102">
        <v>923346</v>
      </c>
      <c r="BB7" s="102">
        <v>75313</v>
      </c>
      <c r="BC7" s="102">
        <v>1958452</v>
      </c>
      <c r="BD7" s="102">
        <v>0</v>
      </c>
      <c r="BE7" s="102">
        <v>0</v>
      </c>
      <c r="BF7" s="102">
        <v>1958100</v>
      </c>
      <c r="BG7" s="102">
        <v>0</v>
      </c>
      <c r="BH7" s="102">
        <v>2434456</v>
      </c>
      <c r="BI7" s="102">
        <v>1540990</v>
      </c>
      <c r="BJ7" s="102">
        <v>8948576</v>
      </c>
      <c r="BK7" s="102">
        <v>2903410</v>
      </c>
      <c r="BL7" s="102">
        <v>31</v>
      </c>
      <c r="BM7" s="102">
        <v>2104156</v>
      </c>
      <c r="BN7" s="102">
        <v>44467600</v>
      </c>
      <c r="BO7" s="73">
        <f t="shared" si="5"/>
        <v>18450800</v>
      </c>
      <c r="BP7" s="73">
        <f t="shared" si="6"/>
        <v>24546800</v>
      </c>
      <c r="BQ7" s="102">
        <v>0</v>
      </c>
      <c r="BR7" s="76">
        <v>0</v>
      </c>
      <c r="BS7" s="102">
        <v>24546800</v>
      </c>
      <c r="BT7" s="102">
        <v>1470000</v>
      </c>
      <c r="BU7" s="102">
        <v>340345277</v>
      </c>
      <c r="BV7" s="71"/>
      <c r="BW7" s="102">
        <v>49074366</v>
      </c>
      <c r="BX7" s="102">
        <v>33544964</v>
      </c>
      <c r="BY7" s="102">
        <v>5053242</v>
      </c>
      <c r="BZ7" s="102">
        <v>2656007</v>
      </c>
      <c r="CA7" s="102">
        <v>108346648</v>
      </c>
      <c r="CB7" s="102">
        <v>19342502</v>
      </c>
      <c r="CC7" s="102">
        <v>2049493</v>
      </c>
      <c r="CD7" s="102">
        <v>37550828</v>
      </c>
      <c r="CE7" s="102">
        <v>46078370</v>
      </c>
      <c r="CF7" s="102">
        <v>2576134</v>
      </c>
      <c r="CG7" s="102">
        <v>749321</v>
      </c>
      <c r="CH7" s="102">
        <v>33826733</v>
      </c>
      <c r="CI7" s="102">
        <v>28815843</v>
      </c>
      <c r="CJ7" s="83">
        <v>4923724</v>
      </c>
      <c r="CK7" s="102">
        <v>40719230</v>
      </c>
      <c r="CL7" s="102">
        <v>27206976</v>
      </c>
      <c r="CM7" s="102">
        <v>1890741</v>
      </c>
      <c r="CN7" s="102">
        <v>6326801</v>
      </c>
      <c r="CO7" s="102">
        <v>1727168</v>
      </c>
      <c r="CP7" s="102">
        <v>26951973</v>
      </c>
      <c r="CQ7" s="102">
        <v>39282</v>
      </c>
      <c r="CR7" s="102">
        <v>9421571</v>
      </c>
      <c r="CS7" s="102">
        <v>5098951</v>
      </c>
      <c r="CT7" s="73">
        <f t="shared" si="7"/>
        <v>8934463</v>
      </c>
      <c r="CU7" s="102">
        <v>6893837</v>
      </c>
      <c r="CV7" s="102">
        <v>2040626</v>
      </c>
      <c r="CW7" s="73">
        <f t="shared" si="8"/>
        <v>0</v>
      </c>
      <c r="CX7" s="102">
        <v>0</v>
      </c>
      <c r="CY7" s="102">
        <v>0</v>
      </c>
      <c r="CZ7" s="73">
        <f t="shared" si="9"/>
        <v>8791397</v>
      </c>
      <c r="DA7" s="102">
        <v>6768537</v>
      </c>
      <c r="DB7" s="102">
        <v>2022860</v>
      </c>
      <c r="DC7" s="102">
        <v>41263314</v>
      </c>
      <c r="DD7" s="102">
        <v>24316638</v>
      </c>
      <c r="DE7" s="102">
        <v>16776700</v>
      </c>
      <c r="DF7" s="102">
        <v>57476</v>
      </c>
      <c r="DG7" s="102">
        <v>0</v>
      </c>
      <c r="DH7" s="102">
        <v>0</v>
      </c>
      <c r="DI7" s="102">
        <v>4159170</v>
      </c>
      <c r="DJ7" s="102">
        <v>4400</v>
      </c>
      <c r="DK7" s="102">
        <v>827792</v>
      </c>
      <c r="DL7" s="102">
        <v>3326978</v>
      </c>
      <c r="DM7" s="102">
        <v>2289464</v>
      </c>
      <c r="DN7" s="102">
        <v>0</v>
      </c>
      <c r="DO7" s="102">
        <v>0</v>
      </c>
      <c r="DP7" s="102">
        <v>0</v>
      </c>
      <c r="DQ7" s="102">
        <v>3049661</v>
      </c>
      <c r="DR7" s="102">
        <v>0</v>
      </c>
      <c r="DS7" s="102">
        <v>0</v>
      </c>
      <c r="DT7" s="102">
        <v>25961178</v>
      </c>
      <c r="DU7" s="102">
        <v>0</v>
      </c>
      <c r="DV7" s="73">
        <f t="shared" si="10"/>
        <v>0</v>
      </c>
      <c r="DW7" s="102">
        <v>0</v>
      </c>
      <c r="DX7" s="102">
        <v>9439254</v>
      </c>
      <c r="DY7" s="102">
        <v>112</v>
      </c>
      <c r="DZ7" s="102">
        <v>7599584</v>
      </c>
      <c r="EA7" s="74">
        <v>0</v>
      </c>
      <c r="EB7" s="102">
        <v>8842538</v>
      </c>
      <c r="EC7" s="102">
        <v>0</v>
      </c>
      <c r="ED7" s="102">
        <v>337368905</v>
      </c>
      <c r="EE7" s="71"/>
      <c r="EF7" s="102">
        <v>2976372</v>
      </c>
      <c r="EG7" s="102">
        <v>1383907</v>
      </c>
      <c r="EH7" s="102">
        <v>1592465</v>
      </c>
      <c r="EI7" s="102">
        <v>51475</v>
      </c>
      <c r="EJ7" s="102">
        <v>55875</v>
      </c>
      <c r="EK7" s="71"/>
      <c r="EL7" s="102"/>
      <c r="EM7" s="102">
        <v>849107</v>
      </c>
      <c r="EN7" s="102">
        <v>0</v>
      </c>
      <c r="EO7" s="102">
        <v>984190</v>
      </c>
      <c r="EP7" s="73">
        <f t="shared" si="11"/>
        <v>15276500</v>
      </c>
      <c r="EQ7" s="102">
        <v>172046907</v>
      </c>
      <c r="ER7" s="71">
        <v>-34807522</v>
      </c>
      <c r="ES7" s="102">
        <v>43733964</v>
      </c>
      <c r="ET7" s="102">
        <v>30485293</v>
      </c>
      <c r="EU7" s="102">
        <v>33694958</v>
      </c>
      <c r="EV7" s="102">
        <v>33436778</v>
      </c>
      <c r="EW7" s="73">
        <f t="shared" si="12"/>
        <v>7571663</v>
      </c>
      <c r="EX7" s="102">
        <v>7571663</v>
      </c>
      <c r="EY7" s="102">
        <v>497638</v>
      </c>
      <c r="EZ7" s="102">
        <v>7047249</v>
      </c>
      <c r="FA7" s="102">
        <v>0</v>
      </c>
      <c r="FB7" s="102">
        <v>0</v>
      </c>
      <c r="FC7" s="102">
        <v>33635903</v>
      </c>
      <c r="FD7" s="102">
        <v>24887258</v>
      </c>
      <c r="FE7" s="102">
        <v>39282</v>
      </c>
      <c r="FF7" s="102">
        <v>21407699</v>
      </c>
      <c r="FG7" s="73">
        <f t="shared" si="13"/>
        <v>5580206</v>
      </c>
      <c r="FH7" s="102">
        <v>203948429</v>
      </c>
      <c r="FI7" s="379">
        <f t="shared" si="14"/>
        <v>0.9</v>
      </c>
      <c r="FJ7" s="102">
        <v>162138013</v>
      </c>
      <c r="FK7" s="102">
        <v>24546850</v>
      </c>
      <c r="FL7" s="102">
        <v>108514930</v>
      </c>
      <c r="FM7" s="102">
        <v>128779011</v>
      </c>
      <c r="FN7" s="151">
        <v>0.84</v>
      </c>
      <c r="FO7" s="424">
        <v>96.3</v>
      </c>
      <c r="FP7" s="151">
        <v>23.3</v>
      </c>
      <c r="FQ7" s="424">
        <v>18</v>
      </c>
      <c r="FR7" s="424">
        <v>17.899999999999999</v>
      </c>
      <c r="FS7" s="151">
        <v>16.100000000000001</v>
      </c>
      <c r="FT7" s="424">
        <v>9.1</v>
      </c>
      <c r="FU7" s="151">
        <v>11.2</v>
      </c>
      <c r="FV7" s="384">
        <f t="shared" si="15"/>
        <v>5.2</v>
      </c>
      <c r="FW7" s="102">
        <v>364793245</v>
      </c>
      <c r="FX7" s="384">
        <f t="shared" si="16"/>
        <v>195.4</v>
      </c>
      <c r="FY7" s="102">
        <v>40253481</v>
      </c>
      <c r="FZ7" s="102">
        <v>1804600</v>
      </c>
      <c r="GA7" s="102">
        <v>3399511</v>
      </c>
      <c r="GB7" s="102">
        <v>35049370</v>
      </c>
      <c r="GC7" s="102">
        <v>0</v>
      </c>
      <c r="GD7" s="454">
        <v>12488</v>
      </c>
      <c r="GE7" s="386">
        <f>IF(GD7=0,"-",ROUND(GD7/(GV7)*100,1))</f>
        <v>6.7</v>
      </c>
      <c r="GF7" s="424">
        <v>98.7</v>
      </c>
      <c r="GG7" s="424">
        <v>28.9</v>
      </c>
      <c r="GH7" s="424">
        <v>95.4</v>
      </c>
      <c r="GI7" s="102">
        <v>4853</v>
      </c>
      <c r="GJ7" s="123" t="s">
        <v>646</v>
      </c>
      <c r="GK7" s="151">
        <v>11.25</v>
      </c>
      <c r="GL7" s="87">
        <v>20</v>
      </c>
      <c r="GM7" s="123" t="s">
        <v>646</v>
      </c>
      <c r="GN7" s="151">
        <v>16.25</v>
      </c>
      <c r="GO7" s="430">
        <v>30</v>
      </c>
      <c r="GP7" s="424">
        <v>5.2</v>
      </c>
      <c r="GQ7" s="425">
        <v>25</v>
      </c>
      <c r="GR7" s="425">
        <v>35</v>
      </c>
      <c r="GS7" s="151">
        <v>27.6</v>
      </c>
      <c r="GT7" s="424">
        <v>350</v>
      </c>
      <c r="GV7" s="100">
        <f t="shared" si="17"/>
        <v>186685</v>
      </c>
    </row>
    <row r="8" spans="2:230" x14ac:dyDescent="0.15">
      <c r="B8" s="89" t="s">
        <v>5</v>
      </c>
      <c r="C8" s="102">
        <v>24436181</v>
      </c>
      <c r="D8" s="73">
        <f t="shared" si="0"/>
        <v>8759414</v>
      </c>
      <c r="E8" s="102">
        <v>252728</v>
      </c>
      <c r="F8" s="102">
        <v>8506686</v>
      </c>
      <c r="G8" s="73">
        <f t="shared" si="1"/>
        <v>1634742</v>
      </c>
      <c r="H8" s="102">
        <v>443290</v>
      </c>
      <c r="I8" s="102">
        <v>1191452</v>
      </c>
      <c r="J8" s="102">
        <v>10129284</v>
      </c>
      <c r="K8" s="102">
        <v>4166087</v>
      </c>
      <c r="L8" s="102">
        <v>4162060</v>
      </c>
      <c r="M8" s="102">
        <v>1533769</v>
      </c>
      <c r="N8" s="102">
        <v>1650470</v>
      </c>
      <c r="O8" s="102">
        <v>1958926</v>
      </c>
      <c r="P8" s="102">
        <v>1110436</v>
      </c>
      <c r="Q8" s="102">
        <v>848490</v>
      </c>
      <c r="R8" s="102">
        <v>356557</v>
      </c>
      <c r="S8" s="74"/>
      <c r="T8" s="73">
        <f t="shared" si="2"/>
        <v>2412311</v>
      </c>
      <c r="U8" s="102">
        <v>92494</v>
      </c>
      <c r="V8" s="102">
        <v>134437</v>
      </c>
      <c r="W8" s="102">
        <v>206405</v>
      </c>
      <c r="X8" s="102">
        <v>1758166</v>
      </c>
      <c r="Y8" s="102">
        <v>47208</v>
      </c>
      <c r="Z8" s="102">
        <v>0</v>
      </c>
      <c r="AA8" s="102">
        <v>173601</v>
      </c>
      <c r="AB8" s="102">
        <v>158603</v>
      </c>
      <c r="AC8" s="102">
        <v>13993596</v>
      </c>
      <c r="AD8" s="102">
        <v>13749396</v>
      </c>
      <c r="AE8" s="102">
        <v>244189</v>
      </c>
      <c r="AF8" s="102">
        <v>40224</v>
      </c>
      <c r="AG8" s="102">
        <v>796806</v>
      </c>
      <c r="AH8" s="73">
        <f t="shared" si="3"/>
        <v>1438798</v>
      </c>
      <c r="AI8" s="102">
        <v>1064508</v>
      </c>
      <c r="AJ8" s="102">
        <v>374290</v>
      </c>
      <c r="AK8" s="102">
        <v>14757845</v>
      </c>
      <c r="AL8" s="73">
        <f t="shared" si="4"/>
        <v>9549379</v>
      </c>
      <c r="AM8" s="102">
        <v>7327522</v>
      </c>
      <c r="AN8" s="102">
        <v>927584</v>
      </c>
      <c r="AO8" s="74"/>
      <c r="AP8" s="102">
        <v>1294273</v>
      </c>
      <c r="AQ8" s="102">
        <v>358371</v>
      </c>
      <c r="AR8" s="102">
        <v>0</v>
      </c>
      <c r="AS8" s="102">
        <v>0</v>
      </c>
      <c r="AT8" s="102">
        <v>4859582</v>
      </c>
      <c r="AU8" s="102">
        <v>3612215</v>
      </c>
      <c r="AV8" s="102">
        <v>461169</v>
      </c>
      <c r="AW8" s="102">
        <v>627043</v>
      </c>
      <c r="AX8" s="102">
        <v>1247367</v>
      </c>
      <c r="AY8" s="102">
        <v>7406</v>
      </c>
      <c r="AZ8" s="102">
        <v>287381</v>
      </c>
      <c r="BA8" s="102">
        <v>112313</v>
      </c>
      <c r="BB8" s="102">
        <v>41041</v>
      </c>
      <c r="BC8" s="102">
        <v>1980484</v>
      </c>
      <c r="BD8" s="102">
        <v>600000</v>
      </c>
      <c r="BE8" s="102">
        <v>600000</v>
      </c>
      <c r="BF8" s="102">
        <v>369656</v>
      </c>
      <c r="BG8" s="102">
        <v>299605</v>
      </c>
      <c r="BH8" s="102">
        <v>292588</v>
      </c>
      <c r="BI8" s="102">
        <v>142120</v>
      </c>
      <c r="BJ8" s="102">
        <v>1086133</v>
      </c>
      <c r="BK8" s="102">
        <v>15000</v>
      </c>
      <c r="BL8" s="102">
        <v>0</v>
      </c>
      <c r="BM8" s="102">
        <v>265407</v>
      </c>
      <c r="BN8" s="102">
        <v>5937900</v>
      </c>
      <c r="BO8" s="73">
        <f t="shared" si="5"/>
        <v>2306700</v>
      </c>
      <c r="BP8" s="73">
        <f t="shared" si="6"/>
        <v>3501200</v>
      </c>
      <c r="BQ8" s="102">
        <v>0</v>
      </c>
      <c r="BR8" s="102">
        <v>0</v>
      </c>
      <c r="BS8" s="102">
        <v>3501200</v>
      </c>
      <c r="BT8" s="102">
        <v>130000</v>
      </c>
      <c r="BU8" s="102">
        <v>72876030</v>
      </c>
      <c r="BV8" s="71"/>
      <c r="BW8" s="102">
        <v>11930072</v>
      </c>
      <c r="BX8" s="102">
        <v>8071365</v>
      </c>
      <c r="BY8" s="102">
        <v>1157934</v>
      </c>
      <c r="BZ8" s="102">
        <v>557163</v>
      </c>
      <c r="CA8" s="102">
        <v>22570519</v>
      </c>
      <c r="CB8" s="102">
        <v>3400625</v>
      </c>
      <c r="CC8" s="102">
        <v>373274</v>
      </c>
      <c r="CD8" s="102">
        <v>8653182</v>
      </c>
      <c r="CE8" s="102">
        <v>9693115</v>
      </c>
      <c r="CF8" s="102">
        <v>14454</v>
      </c>
      <c r="CG8" s="102">
        <v>435869</v>
      </c>
      <c r="CH8" s="102">
        <v>9885795</v>
      </c>
      <c r="CI8" s="102">
        <v>8562512</v>
      </c>
      <c r="CJ8" s="83">
        <f t="shared" ref="CJ8:CJ52" si="18">IF(CI8="","",CH8-CI8)</f>
        <v>1323283</v>
      </c>
      <c r="CK8" s="102">
        <v>6744589</v>
      </c>
      <c r="CL8" s="102">
        <v>4146718</v>
      </c>
      <c r="CM8" s="102">
        <v>403713</v>
      </c>
      <c r="CN8" s="102">
        <v>868864</v>
      </c>
      <c r="CO8" s="102">
        <v>478799</v>
      </c>
      <c r="CP8" s="102">
        <v>8593940</v>
      </c>
      <c r="CQ8" s="102">
        <v>2505856</v>
      </c>
      <c r="CR8" s="102">
        <v>1329928</v>
      </c>
      <c r="CS8" s="102">
        <v>1154538</v>
      </c>
      <c r="CT8" s="73">
        <f t="shared" si="7"/>
        <v>3737138</v>
      </c>
      <c r="CU8" s="102">
        <v>2549872</v>
      </c>
      <c r="CV8" s="102">
        <v>1187266</v>
      </c>
      <c r="CW8" s="73">
        <f t="shared" si="8"/>
        <v>1363079</v>
      </c>
      <c r="CX8" s="102">
        <v>1337096</v>
      </c>
      <c r="CY8" s="102">
        <v>25983</v>
      </c>
      <c r="CZ8" s="73">
        <f t="shared" si="9"/>
        <v>2336103</v>
      </c>
      <c r="DA8" s="102">
        <v>1176932</v>
      </c>
      <c r="DB8" s="102">
        <v>1159171</v>
      </c>
      <c r="DC8" s="102">
        <v>4953398</v>
      </c>
      <c r="DD8" s="102">
        <v>3447305</v>
      </c>
      <c r="DE8" s="102">
        <v>1487340</v>
      </c>
      <c r="DF8" s="77">
        <v>11347</v>
      </c>
      <c r="DG8" s="78">
        <v>7406</v>
      </c>
      <c r="DH8" s="102">
        <v>11700</v>
      </c>
      <c r="DI8" s="102">
        <v>502006</v>
      </c>
      <c r="DJ8" s="102">
        <v>5269</v>
      </c>
      <c r="DK8" s="102">
        <v>12822</v>
      </c>
      <c r="DL8" s="102">
        <v>483915</v>
      </c>
      <c r="DM8" s="102">
        <v>529647</v>
      </c>
      <c r="DN8" s="102">
        <v>529647</v>
      </c>
      <c r="DO8" s="102">
        <v>105259</v>
      </c>
      <c r="DP8" s="102">
        <v>36921</v>
      </c>
      <c r="DQ8" s="102">
        <v>15000</v>
      </c>
      <c r="DR8" s="102">
        <v>0</v>
      </c>
      <c r="DS8" s="102">
        <v>0</v>
      </c>
      <c r="DT8" s="102">
        <v>6511195</v>
      </c>
      <c r="DU8" s="102">
        <v>0</v>
      </c>
      <c r="DV8" s="73">
        <f t="shared" si="10"/>
        <v>0</v>
      </c>
      <c r="DW8" s="102">
        <v>0</v>
      </c>
      <c r="DX8" s="102">
        <v>2300280</v>
      </c>
      <c r="DY8" s="102">
        <v>0</v>
      </c>
      <c r="DZ8" s="102">
        <v>1893366</v>
      </c>
      <c r="EA8" s="74">
        <v>0</v>
      </c>
      <c r="EB8" s="102">
        <v>2017944</v>
      </c>
      <c r="EC8" s="102">
        <v>0</v>
      </c>
      <c r="ED8" s="102">
        <v>72726660</v>
      </c>
      <c r="EE8" s="71"/>
      <c r="EF8" s="102">
        <v>149370</v>
      </c>
      <c r="EG8" s="102">
        <v>54049</v>
      </c>
      <c r="EH8" s="102">
        <v>95321</v>
      </c>
      <c r="EI8" s="102">
        <v>-196799</v>
      </c>
      <c r="EJ8" s="102">
        <v>-791530</v>
      </c>
      <c r="EK8" s="71"/>
      <c r="EL8" s="102"/>
      <c r="EM8" s="102">
        <v>201077</v>
      </c>
      <c r="EN8" s="102">
        <v>1518889</v>
      </c>
      <c r="EO8" s="102">
        <v>278018</v>
      </c>
      <c r="EP8" s="73">
        <f t="shared" si="11"/>
        <v>1700059</v>
      </c>
      <c r="EQ8" s="102">
        <v>41397472</v>
      </c>
      <c r="ER8" s="71">
        <v>-6957942</v>
      </c>
      <c r="ES8" s="102">
        <v>10897708</v>
      </c>
      <c r="ET8" s="102">
        <v>7210867</v>
      </c>
      <c r="EU8" s="102">
        <v>6563595</v>
      </c>
      <c r="EV8" s="102">
        <v>9818299</v>
      </c>
      <c r="EW8" s="73">
        <f t="shared" si="12"/>
        <v>711647</v>
      </c>
      <c r="EX8" s="102">
        <v>699947</v>
      </c>
      <c r="EY8" s="102">
        <v>90459</v>
      </c>
      <c r="EZ8" s="102">
        <v>609279</v>
      </c>
      <c r="FA8" s="102">
        <v>11700</v>
      </c>
      <c r="FB8" s="102">
        <v>0</v>
      </c>
      <c r="FC8" s="102">
        <v>5580529</v>
      </c>
      <c r="FD8" s="102">
        <v>8046370</v>
      </c>
      <c r="FE8" s="102">
        <v>2505856</v>
      </c>
      <c r="FF8" s="102">
        <v>5361502</v>
      </c>
      <c r="FG8" s="73">
        <f t="shared" si="13"/>
        <v>1226394</v>
      </c>
      <c r="FH8" s="102">
        <v>48206044</v>
      </c>
      <c r="FI8" s="379">
        <f t="shared" si="14"/>
        <v>0.2</v>
      </c>
      <c r="FJ8" s="102">
        <v>38724644</v>
      </c>
      <c r="FK8" s="102">
        <v>3501345</v>
      </c>
      <c r="FL8" s="102">
        <v>19224237</v>
      </c>
      <c r="FM8" s="102">
        <v>32973633</v>
      </c>
      <c r="FN8" s="428">
        <v>0.57599999999999996</v>
      </c>
      <c r="FO8" s="424">
        <v>100.5</v>
      </c>
      <c r="FP8" s="425">
        <v>24.9</v>
      </c>
      <c r="FQ8" s="424">
        <v>15.2</v>
      </c>
      <c r="FR8" s="424">
        <v>22.7</v>
      </c>
      <c r="FS8" s="425">
        <v>11.7</v>
      </c>
      <c r="FT8" s="424">
        <v>14.5</v>
      </c>
      <c r="FU8" s="425">
        <v>10.6</v>
      </c>
      <c r="FV8" s="384">
        <f t="shared" si="15"/>
        <v>14.8</v>
      </c>
      <c r="FW8" s="102">
        <v>80198366</v>
      </c>
      <c r="FX8" s="384">
        <f t="shared" si="16"/>
        <v>189.9</v>
      </c>
      <c r="FY8" s="102">
        <v>7010425</v>
      </c>
      <c r="FZ8" s="102">
        <v>2832386</v>
      </c>
      <c r="GA8" s="102">
        <v>628037</v>
      </c>
      <c r="GB8" s="102">
        <v>3550002</v>
      </c>
      <c r="GC8" s="102">
        <v>0</v>
      </c>
      <c r="GD8" s="454"/>
      <c r="GE8" s="386"/>
      <c r="GF8" s="424">
        <v>98.9</v>
      </c>
      <c r="GG8" s="424">
        <v>32.9</v>
      </c>
      <c r="GH8" s="424">
        <v>95.7</v>
      </c>
      <c r="GI8" s="102">
        <v>1302</v>
      </c>
      <c r="GJ8" s="429" t="s">
        <v>646</v>
      </c>
      <c r="GK8" s="429">
        <v>11.4</v>
      </c>
      <c r="GL8" s="87">
        <v>20</v>
      </c>
      <c r="GM8" s="429" t="s">
        <v>646</v>
      </c>
      <c r="GN8" s="430">
        <v>16.399999999999999</v>
      </c>
      <c r="GO8" s="430">
        <v>30</v>
      </c>
      <c r="GP8" s="425">
        <v>14.8</v>
      </c>
      <c r="GQ8" s="425">
        <v>25</v>
      </c>
      <c r="GR8" s="425">
        <v>35</v>
      </c>
      <c r="GS8" s="431">
        <v>97</v>
      </c>
      <c r="GT8" s="425">
        <v>350</v>
      </c>
      <c r="GU8" s="394"/>
      <c r="GV8" s="100">
        <f t="shared" si="17"/>
        <v>42226</v>
      </c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</row>
    <row r="9" spans="2:230" x14ac:dyDescent="0.15">
      <c r="B9" s="89" t="s">
        <v>7</v>
      </c>
      <c r="C9" s="102">
        <v>65090732</v>
      </c>
      <c r="D9" s="73">
        <f t="shared" si="0"/>
        <v>27492648</v>
      </c>
      <c r="E9" s="102">
        <v>526415</v>
      </c>
      <c r="F9" s="102">
        <v>26966233</v>
      </c>
      <c r="G9" s="73">
        <f t="shared" si="1"/>
        <v>4161055</v>
      </c>
      <c r="H9" s="102">
        <v>1058094</v>
      </c>
      <c r="I9" s="102">
        <v>3102961</v>
      </c>
      <c r="J9" s="102">
        <v>23930190</v>
      </c>
      <c r="K9" s="102">
        <v>9885575</v>
      </c>
      <c r="L9" s="102">
        <v>11119274</v>
      </c>
      <c r="M9" s="102">
        <v>2712263</v>
      </c>
      <c r="N9" s="102">
        <v>2706396</v>
      </c>
      <c r="O9" s="102">
        <v>5589342</v>
      </c>
      <c r="P9" s="102">
        <v>3082226</v>
      </c>
      <c r="Q9" s="102">
        <v>2507116</v>
      </c>
      <c r="R9" s="102">
        <v>3103338</v>
      </c>
      <c r="S9" s="74"/>
      <c r="T9" s="73">
        <f t="shared" si="2"/>
        <v>5001763</v>
      </c>
      <c r="U9" s="102">
        <v>293052</v>
      </c>
      <c r="V9" s="102">
        <v>426549</v>
      </c>
      <c r="W9" s="102">
        <v>655556</v>
      </c>
      <c r="X9" s="102">
        <v>3333466</v>
      </c>
      <c r="Y9" s="102">
        <v>0</v>
      </c>
      <c r="Z9" s="102">
        <v>0</v>
      </c>
      <c r="AA9" s="102">
        <v>293140</v>
      </c>
      <c r="AB9" s="102">
        <v>262037</v>
      </c>
      <c r="AC9" s="102">
        <v>6727614</v>
      </c>
      <c r="AD9" s="102">
        <v>6106528</v>
      </c>
      <c r="AE9" s="102">
        <v>621067</v>
      </c>
      <c r="AF9" s="102">
        <v>57684</v>
      </c>
      <c r="AG9" s="102">
        <v>1159623</v>
      </c>
      <c r="AH9" s="73">
        <f t="shared" si="3"/>
        <v>2602394</v>
      </c>
      <c r="AI9" s="102">
        <v>2303401</v>
      </c>
      <c r="AJ9" s="102">
        <v>298993</v>
      </c>
      <c r="AK9" s="102">
        <v>27372050</v>
      </c>
      <c r="AL9" s="73">
        <f t="shared" si="4"/>
        <v>18082718</v>
      </c>
      <c r="AM9" s="102">
        <v>13755345</v>
      </c>
      <c r="AN9" s="102">
        <v>1435872</v>
      </c>
      <c r="AO9" s="74"/>
      <c r="AP9" s="102">
        <v>2891501</v>
      </c>
      <c r="AQ9" s="102">
        <v>1512305</v>
      </c>
      <c r="AR9" s="102">
        <v>0</v>
      </c>
      <c r="AS9" s="102">
        <v>0</v>
      </c>
      <c r="AT9" s="102">
        <v>8151361</v>
      </c>
      <c r="AU9" s="102">
        <v>5890495</v>
      </c>
      <c r="AV9" s="102">
        <v>0</v>
      </c>
      <c r="AW9" s="102">
        <v>697742</v>
      </c>
      <c r="AX9" s="102">
        <v>2260866</v>
      </c>
      <c r="AY9" s="102">
        <v>38836</v>
      </c>
      <c r="AZ9" s="102">
        <v>1412701</v>
      </c>
      <c r="BA9" s="102">
        <v>1307578</v>
      </c>
      <c r="BB9" s="102">
        <v>41677</v>
      </c>
      <c r="BC9" s="102">
        <v>250336</v>
      </c>
      <c r="BD9" s="102">
        <v>0</v>
      </c>
      <c r="BE9" s="102">
        <v>0</v>
      </c>
      <c r="BF9" s="102">
        <v>197322</v>
      </c>
      <c r="BG9" s="102">
        <v>0</v>
      </c>
      <c r="BH9" s="102">
        <v>2952991</v>
      </c>
      <c r="BI9" s="102">
        <v>1859399</v>
      </c>
      <c r="BJ9" s="102">
        <v>2923062</v>
      </c>
      <c r="BK9" s="102">
        <v>362314</v>
      </c>
      <c r="BL9" s="102">
        <v>0</v>
      </c>
      <c r="BM9" s="102">
        <v>84505</v>
      </c>
      <c r="BN9" s="102">
        <v>10166700</v>
      </c>
      <c r="BO9" s="73">
        <f t="shared" si="5"/>
        <v>2498200</v>
      </c>
      <c r="BP9" s="73">
        <f t="shared" si="6"/>
        <v>7668500</v>
      </c>
      <c r="BQ9" s="102">
        <v>0</v>
      </c>
      <c r="BR9" s="102">
        <v>0</v>
      </c>
      <c r="BS9" s="102">
        <v>7668500</v>
      </c>
      <c r="BT9" s="102">
        <v>0</v>
      </c>
      <c r="BU9" s="102">
        <v>137276063</v>
      </c>
      <c r="BV9" s="71"/>
      <c r="BW9" s="102">
        <v>26691988</v>
      </c>
      <c r="BX9" s="102">
        <v>17148095</v>
      </c>
      <c r="BY9" s="102">
        <v>2546783</v>
      </c>
      <c r="BZ9" s="102">
        <v>2637539</v>
      </c>
      <c r="CA9" s="102">
        <v>39401755</v>
      </c>
      <c r="CB9" s="102">
        <v>6941120</v>
      </c>
      <c r="CC9" s="102">
        <v>663222</v>
      </c>
      <c r="CD9" s="102">
        <v>12985999</v>
      </c>
      <c r="CE9" s="102">
        <v>18248318</v>
      </c>
      <c r="CF9" s="102">
        <v>231755</v>
      </c>
      <c r="CG9" s="102">
        <v>329709</v>
      </c>
      <c r="CH9" s="102">
        <v>13558931</v>
      </c>
      <c r="CI9" s="102">
        <v>12215567</v>
      </c>
      <c r="CJ9" s="83">
        <f t="shared" si="18"/>
        <v>1343364</v>
      </c>
      <c r="CK9" s="102">
        <v>14529136</v>
      </c>
      <c r="CL9" s="102">
        <v>7623195</v>
      </c>
      <c r="CM9" s="102">
        <v>564526</v>
      </c>
      <c r="CN9" s="102">
        <v>3656144</v>
      </c>
      <c r="CO9" s="102">
        <v>670508</v>
      </c>
      <c r="CP9" s="102">
        <v>11701577</v>
      </c>
      <c r="CQ9" s="102">
        <v>1945435</v>
      </c>
      <c r="CR9" s="102">
        <v>2744174</v>
      </c>
      <c r="CS9" s="102">
        <v>1582016</v>
      </c>
      <c r="CT9" s="73">
        <f t="shared" si="7"/>
        <v>4314402</v>
      </c>
      <c r="CU9" s="102">
        <v>3807529</v>
      </c>
      <c r="CV9" s="102">
        <v>506873</v>
      </c>
      <c r="CW9" s="73">
        <f t="shared" si="8"/>
        <v>1533062</v>
      </c>
      <c r="CX9" s="102">
        <v>1223525</v>
      </c>
      <c r="CY9" s="102">
        <v>309537</v>
      </c>
      <c r="CZ9" s="73">
        <f t="shared" si="9"/>
        <v>2682145</v>
      </c>
      <c r="DA9" s="102">
        <v>2551881</v>
      </c>
      <c r="DB9" s="102">
        <v>130264</v>
      </c>
      <c r="DC9" s="102">
        <v>8950004</v>
      </c>
      <c r="DD9" s="102">
        <v>4279034</v>
      </c>
      <c r="DE9" s="102">
        <v>4670970</v>
      </c>
      <c r="DF9" s="77">
        <v>0</v>
      </c>
      <c r="DG9" s="78">
        <v>0</v>
      </c>
      <c r="DH9" s="102">
        <v>0</v>
      </c>
      <c r="DI9" s="102">
        <v>2407885</v>
      </c>
      <c r="DJ9" s="102">
        <v>543237</v>
      </c>
      <c r="DK9" s="102">
        <v>637228</v>
      </c>
      <c r="DL9" s="102">
        <v>1227420</v>
      </c>
      <c r="DM9" s="102">
        <v>801102</v>
      </c>
      <c r="DN9" s="102">
        <v>801102</v>
      </c>
      <c r="DO9" s="102">
        <v>94961</v>
      </c>
      <c r="DP9" s="102">
        <v>566823</v>
      </c>
      <c r="DQ9" s="102">
        <v>303039</v>
      </c>
      <c r="DR9" s="102">
        <v>0</v>
      </c>
      <c r="DS9" s="102">
        <v>0</v>
      </c>
      <c r="DT9" s="102">
        <v>12610091</v>
      </c>
      <c r="DU9" s="102">
        <v>0</v>
      </c>
      <c r="DV9" s="73">
        <f t="shared" si="10"/>
        <v>0</v>
      </c>
      <c r="DW9" s="102">
        <v>0</v>
      </c>
      <c r="DX9" s="102">
        <v>3913015</v>
      </c>
      <c r="DY9" s="102">
        <v>0</v>
      </c>
      <c r="DZ9" s="102">
        <v>4413235</v>
      </c>
      <c r="EA9" s="74">
        <v>0</v>
      </c>
      <c r="EB9" s="102">
        <v>3756156</v>
      </c>
      <c r="EC9" s="102">
        <v>0</v>
      </c>
      <c r="ED9" s="102">
        <v>131626016</v>
      </c>
      <c r="EE9" s="71"/>
      <c r="EF9" s="102">
        <v>5650047</v>
      </c>
      <c r="EG9" s="102">
        <v>1442700</v>
      </c>
      <c r="EH9" s="102">
        <v>4207347</v>
      </c>
      <c r="EI9" s="102">
        <v>2347948</v>
      </c>
      <c r="EJ9" s="102">
        <v>2948322</v>
      </c>
      <c r="EK9" s="71"/>
      <c r="EL9" s="102"/>
      <c r="EM9" s="102">
        <v>400086</v>
      </c>
      <c r="EN9" s="102">
        <v>0</v>
      </c>
      <c r="EO9" s="102">
        <v>1400720</v>
      </c>
      <c r="EP9" s="73">
        <f t="shared" si="11"/>
        <v>4403049</v>
      </c>
      <c r="EQ9" s="102">
        <v>80243168</v>
      </c>
      <c r="ER9" s="71">
        <v>-13414585</v>
      </c>
      <c r="ES9" s="102">
        <v>25313693</v>
      </c>
      <c r="ET9" s="102">
        <v>16389729</v>
      </c>
      <c r="EU9" s="102">
        <v>11112439</v>
      </c>
      <c r="EV9" s="102">
        <v>13556529</v>
      </c>
      <c r="EW9" s="73">
        <f t="shared" si="12"/>
        <v>2857440</v>
      </c>
      <c r="EX9" s="102">
        <v>2857440</v>
      </c>
      <c r="EY9" s="102">
        <v>293223</v>
      </c>
      <c r="EZ9" s="102">
        <v>2564217</v>
      </c>
      <c r="FA9" s="102">
        <v>0</v>
      </c>
      <c r="FB9" s="102">
        <v>0</v>
      </c>
      <c r="FC9" s="102">
        <v>10390702</v>
      </c>
      <c r="FD9" s="102">
        <v>10409922</v>
      </c>
      <c r="FE9" s="102">
        <v>1945435</v>
      </c>
      <c r="FF9" s="102">
        <v>10667263</v>
      </c>
      <c r="FG9" s="73">
        <f t="shared" si="13"/>
        <v>3699718</v>
      </c>
      <c r="FH9" s="102">
        <v>88007706</v>
      </c>
      <c r="FI9" s="379">
        <f t="shared" si="14"/>
        <v>5.2</v>
      </c>
      <c r="FJ9" s="102">
        <v>72625308</v>
      </c>
      <c r="FK9" s="102">
        <v>7668613</v>
      </c>
      <c r="FL9" s="102">
        <v>50875528</v>
      </c>
      <c r="FM9" s="102">
        <v>56995236</v>
      </c>
      <c r="FN9" s="428">
        <v>0.89300000000000002</v>
      </c>
      <c r="FO9" s="424">
        <v>91.4</v>
      </c>
      <c r="FP9" s="425">
        <v>30.1</v>
      </c>
      <c r="FQ9" s="424">
        <v>13.5</v>
      </c>
      <c r="FR9" s="424">
        <v>16.399999999999999</v>
      </c>
      <c r="FS9" s="425">
        <v>11.7</v>
      </c>
      <c r="FT9" s="424">
        <v>9.3000000000000007</v>
      </c>
      <c r="FU9" s="425">
        <v>9.9</v>
      </c>
      <c r="FV9" s="384">
        <f t="shared" si="15"/>
        <v>8.6</v>
      </c>
      <c r="FW9" s="102">
        <v>93851920</v>
      </c>
      <c r="FX9" s="384">
        <f t="shared" si="16"/>
        <v>116.9</v>
      </c>
      <c r="FY9" s="102">
        <v>15948286</v>
      </c>
      <c r="FZ9" s="102">
        <v>1557121</v>
      </c>
      <c r="GA9" s="102">
        <v>4475617</v>
      </c>
      <c r="GB9" s="102">
        <v>9915548</v>
      </c>
      <c r="GC9" s="102">
        <v>1408769</v>
      </c>
      <c r="GD9" s="454"/>
      <c r="GE9" s="386"/>
      <c r="GF9" s="424">
        <v>98.6</v>
      </c>
      <c r="GG9" s="424">
        <v>19.600000000000001</v>
      </c>
      <c r="GH9" s="424">
        <v>93.7</v>
      </c>
      <c r="GI9" s="102">
        <v>2520</v>
      </c>
      <c r="GJ9" s="429" t="s">
        <v>646</v>
      </c>
      <c r="GK9" s="429">
        <v>11.25</v>
      </c>
      <c r="GL9" s="87">
        <v>20</v>
      </c>
      <c r="GM9" s="429" t="s">
        <v>646</v>
      </c>
      <c r="GN9" s="430">
        <v>16.25</v>
      </c>
      <c r="GO9" s="430">
        <v>30</v>
      </c>
      <c r="GP9" s="425">
        <v>8.6</v>
      </c>
      <c r="GQ9" s="425">
        <v>25</v>
      </c>
      <c r="GR9" s="425">
        <v>35</v>
      </c>
      <c r="GS9" s="431">
        <v>23.9</v>
      </c>
      <c r="GT9" s="425">
        <v>350</v>
      </c>
      <c r="GU9" s="394"/>
      <c r="GV9" s="100">
        <f t="shared" si="17"/>
        <v>80294</v>
      </c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</row>
    <row r="10" spans="2:230" x14ac:dyDescent="0.15">
      <c r="B10" s="89" t="s">
        <v>9</v>
      </c>
      <c r="C10" s="102">
        <v>16651895</v>
      </c>
      <c r="D10" s="73">
        <f t="shared" si="0"/>
        <v>6560948</v>
      </c>
      <c r="E10" s="102">
        <v>139489</v>
      </c>
      <c r="F10" s="102">
        <v>6421459</v>
      </c>
      <c r="G10" s="73">
        <f t="shared" si="1"/>
        <v>1946731</v>
      </c>
      <c r="H10" s="102">
        <v>275990</v>
      </c>
      <c r="I10" s="102">
        <v>1670741</v>
      </c>
      <c r="J10" s="102">
        <v>6030182</v>
      </c>
      <c r="K10" s="102">
        <v>2737481</v>
      </c>
      <c r="L10" s="102">
        <v>2626923</v>
      </c>
      <c r="M10" s="102">
        <v>652493</v>
      </c>
      <c r="N10" s="102">
        <v>637950</v>
      </c>
      <c r="O10" s="102">
        <v>1390936</v>
      </c>
      <c r="P10" s="102">
        <v>828665</v>
      </c>
      <c r="Q10" s="102">
        <v>562271</v>
      </c>
      <c r="R10" s="102">
        <v>208338</v>
      </c>
      <c r="S10" s="74"/>
      <c r="T10" s="73">
        <f t="shared" si="2"/>
        <v>1482085</v>
      </c>
      <c r="U10" s="102">
        <v>72650</v>
      </c>
      <c r="V10" s="102">
        <v>105570</v>
      </c>
      <c r="W10" s="102">
        <v>162059</v>
      </c>
      <c r="X10" s="102">
        <v>991006</v>
      </c>
      <c r="Y10" s="102">
        <v>67033</v>
      </c>
      <c r="Z10" s="102">
        <v>0</v>
      </c>
      <c r="AA10" s="102">
        <v>83767</v>
      </c>
      <c r="AB10" s="102">
        <v>73662</v>
      </c>
      <c r="AC10" s="102">
        <v>2343726</v>
      </c>
      <c r="AD10" s="102">
        <v>1773510</v>
      </c>
      <c r="AE10" s="102">
        <v>570210</v>
      </c>
      <c r="AF10" s="102">
        <v>16690</v>
      </c>
      <c r="AG10" s="102">
        <v>254043</v>
      </c>
      <c r="AH10" s="73">
        <f t="shared" si="3"/>
        <v>1164969</v>
      </c>
      <c r="AI10" s="102">
        <v>914892</v>
      </c>
      <c r="AJ10" s="102">
        <v>250077</v>
      </c>
      <c r="AK10" s="102">
        <v>5012869</v>
      </c>
      <c r="AL10" s="73">
        <f t="shared" si="4"/>
        <v>2347423</v>
      </c>
      <c r="AM10" s="102">
        <v>1411617</v>
      </c>
      <c r="AN10" s="102">
        <v>222232</v>
      </c>
      <c r="AO10" s="74"/>
      <c r="AP10" s="102">
        <v>713574</v>
      </c>
      <c r="AQ10" s="102">
        <v>620280</v>
      </c>
      <c r="AR10" s="102">
        <v>21900</v>
      </c>
      <c r="AS10" s="102">
        <v>0</v>
      </c>
      <c r="AT10" s="102">
        <v>2201621</v>
      </c>
      <c r="AU10" s="102">
        <v>1099722</v>
      </c>
      <c r="AV10" s="102">
        <v>111116</v>
      </c>
      <c r="AW10" s="102">
        <v>79462</v>
      </c>
      <c r="AX10" s="102">
        <v>1101899</v>
      </c>
      <c r="AY10" s="102">
        <v>141882</v>
      </c>
      <c r="AZ10" s="102">
        <v>284697</v>
      </c>
      <c r="BA10" s="102">
        <v>265067</v>
      </c>
      <c r="BB10" s="102">
        <v>70339</v>
      </c>
      <c r="BC10" s="102">
        <v>827005</v>
      </c>
      <c r="BD10" s="102">
        <v>500000</v>
      </c>
      <c r="BE10" s="102">
        <v>0</v>
      </c>
      <c r="BF10" s="102">
        <v>326802</v>
      </c>
      <c r="BG10" s="102">
        <v>0</v>
      </c>
      <c r="BH10" s="102">
        <v>681576</v>
      </c>
      <c r="BI10" s="102">
        <v>453813</v>
      </c>
      <c r="BJ10" s="102">
        <v>540331</v>
      </c>
      <c r="BK10" s="102">
        <v>161743</v>
      </c>
      <c r="BL10" s="102">
        <v>0</v>
      </c>
      <c r="BM10" s="102">
        <v>57363</v>
      </c>
      <c r="BN10" s="102">
        <v>5121600</v>
      </c>
      <c r="BO10" s="73">
        <f t="shared" si="5"/>
        <v>3605600</v>
      </c>
      <c r="BP10" s="73">
        <f t="shared" si="6"/>
        <v>1516000</v>
      </c>
      <c r="BQ10" s="102">
        <v>0</v>
      </c>
      <c r="BR10" s="102">
        <v>0</v>
      </c>
      <c r="BS10" s="102">
        <v>1516000</v>
      </c>
      <c r="BT10" s="102">
        <v>0</v>
      </c>
      <c r="BU10" s="102">
        <v>36935446</v>
      </c>
      <c r="BV10" s="71"/>
      <c r="BW10" s="102">
        <v>6509582</v>
      </c>
      <c r="BX10" s="102">
        <v>4094655</v>
      </c>
      <c r="BY10" s="102">
        <v>993245</v>
      </c>
      <c r="BZ10" s="102">
        <v>235107</v>
      </c>
      <c r="CA10" s="102">
        <v>7060705</v>
      </c>
      <c r="CB10" s="102">
        <v>1722187</v>
      </c>
      <c r="CC10" s="102">
        <v>130742</v>
      </c>
      <c r="CD10" s="102">
        <v>3392664</v>
      </c>
      <c r="CE10" s="102">
        <v>1751924</v>
      </c>
      <c r="CF10" s="102">
        <v>12420</v>
      </c>
      <c r="CG10" s="102">
        <v>50468</v>
      </c>
      <c r="CH10" s="102">
        <v>3787404</v>
      </c>
      <c r="CI10" s="102">
        <v>3270672</v>
      </c>
      <c r="CJ10" s="83">
        <f t="shared" si="18"/>
        <v>516732</v>
      </c>
      <c r="CK10" s="102">
        <v>5315944</v>
      </c>
      <c r="CL10" s="102">
        <v>2979710</v>
      </c>
      <c r="CM10" s="102">
        <v>563779</v>
      </c>
      <c r="CN10" s="102">
        <v>779121</v>
      </c>
      <c r="CO10" s="102">
        <v>490508</v>
      </c>
      <c r="CP10" s="102">
        <v>5779135</v>
      </c>
      <c r="CQ10" s="102">
        <v>1676</v>
      </c>
      <c r="CR10" s="102">
        <v>640486</v>
      </c>
      <c r="CS10" s="102">
        <v>468326</v>
      </c>
      <c r="CT10" s="73">
        <f t="shared" si="7"/>
        <v>1047118</v>
      </c>
      <c r="CU10" s="102">
        <v>963620</v>
      </c>
      <c r="CV10" s="102">
        <v>83498</v>
      </c>
      <c r="CW10" s="73">
        <f t="shared" si="8"/>
        <v>368610</v>
      </c>
      <c r="CX10" s="102">
        <v>368610</v>
      </c>
      <c r="CY10" s="102">
        <v>0</v>
      </c>
      <c r="CZ10" s="73">
        <f t="shared" si="9"/>
        <v>675612</v>
      </c>
      <c r="DA10" s="102">
        <v>592114</v>
      </c>
      <c r="DB10" s="102">
        <v>83498</v>
      </c>
      <c r="DC10" s="102">
        <v>3432556</v>
      </c>
      <c r="DD10" s="102">
        <v>2023619</v>
      </c>
      <c r="DE10" s="102">
        <v>1398394</v>
      </c>
      <c r="DF10" s="77">
        <v>10543</v>
      </c>
      <c r="DG10" s="78">
        <v>0</v>
      </c>
      <c r="DH10" s="102">
        <v>47640</v>
      </c>
      <c r="DI10" s="102">
        <v>90330</v>
      </c>
      <c r="DJ10" s="102">
        <v>1843</v>
      </c>
      <c r="DK10" s="102">
        <v>0</v>
      </c>
      <c r="DL10" s="102">
        <v>88487</v>
      </c>
      <c r="DM10" s="102">
        <v>631390</v>
      </c>
      <c r="DN10" s="102">
        <v>631390</v>
      </c>
      <c r="DO10" s="102">
        <v>0</v>
      </c>
      <c r="DP10" s="102">
        <v>631390</v>
      </c>
      <c r="DQ10" s="102">
        <v>160960</v>
      </c>
      <c r="DR10" s="102">
        <v>0</v>
      </c>
      <c r="DS10" s="102">
        <v>0</v>
      </c>
      <c r="DT10" s="102">
        <v>3169569</v>
      </c>
      <c r="DU10" s="102">
        <v>0</v>
      </c>
      <c r="DV10" s="73">
        <f t="shared" si="10"/>
        <v>0</v>
      </c>
      <c r="DW10" s="102">
        <v>0</v>
      </c>
      <c r="DX10" s="102">
        <v>1122727</v>
      </c>
      <c r="DY10" s="102">
        <v>14038</v>
      </c>
      <c r="DZ10" s="102">
        <v>916603</v>
      </c>
      <c r="EA10" s="74">
        <v>0</v>
      </c>
      <c r="EB10" s="102">
        <v>1096201</v>
      </c>
      <c r="EC10" s="102">
        <v>0</v>
      </c>
      <c r="ED10" s="102">
        <v>36475723</v>
      </c>
      <c r="EE10" s="71"/>
      <c r="EF10" s="102">
        <v>459723</v>
      </c>
      <c r="EG10" s="102">
        <v>262651</v>
      </c>
      <c r="EH10" s="102">
        <v>197072</v>
      </c>
      <c r="EI10" s="102">
        <v>-756741</v>
      </c>
      <c r="EJ10" s="102">
        <v>-1254898</v>
      </c>
      <c r="EK10" s="71"/>
      <c r="EL10" s="102"/>
      <c r="EM10" s="102">
        <v>102964</v>
      </c>
      <c r="EN10" s="102">
        <v>500000</v>
      </c>
      <c r="EO10" s="102">
        <v>281605</v>
      </c>
      <c r="EP10" s="73">
        <f t="shared" si="11"/>
        <v>1010125</v>
      </c>
      <c r="EQ10" s="102">
        <v>20776396</v>
      </c>
      <c r="ER10" s="71">
        <v>-3291040</v>
      </c>
      <c r="ES10" s="102">
        <v>6121748</v>
      </c>
      <c r="ET10" s="102">
        <v>3779366</v>
      </c>
      <c r="EU10" s="102">
        <v>2019086</v>
      </c>
      <c r="EV10" s="102">
        <v>3787404</v>
      </c>
      <c r="EW10" s="73">
        <f t="shared" si="12"/>
        <v>749555</v>
      </c>
      <c r="EX10" s="102">
        <v>734915</v>
      </c>
      <c r="EY10" s="102">
        <v>49758</v>
      </c>
      <c r="EZ10" s="102">
        <v>685157</v>
      </c>
      <c r="FA10" s="102">
        <v>14640</v>
      </c>
      <c r="FB10" s="102">
        <v>0</v>
      </c>
      <c r="FC10" s="102">
        <v>4132105</v>
      </c>
      <c r="FD10" s="102">
        <v>2990021</v>
      </c>
      <c r="FE10" s="102">
        <v>1676</v>
      </c>
      <c r="FF10" s="102">
        <v>2688711</v>
      </c>
      <c r="FG10" s="73">
        <f t="shared" si="13"/>
        <v>1119083</v>
      </c>
      <c r="FH10" s="102">
        <v>23607713</v>
      </c>
      <c r="FI10" s="379">
        <f t="shared" si="14"/>
        <v>0.9</v>
      </c>
      <c r="FJ10" s="102">
        <v>19914467</v>
      </c>
      <c r="FK10" s="102">
        <v>1516175</v>
      </c>
      <c r="FL10" s="102">
        <v>13780458</v>
      </c>
      <c r="FM10" s="102">
        <v>15553968</v>
      </c>
      <c r="FN10" s="428">
        <v>0.84699999999999998</v>
      </c>
      <c r="FO10" s="424">
        <v>97.6</v>
      </c>
      <c r="FP10" s="425">
        <v>29</v>
      </c>
      <c r="FQ10" s="424">
        <v>9.8000000000000007</v>
      </c>
      <c r="FR10" s="424">
        <v>18.399999999999999</v>
      </c>
      <c r="FS10" s="425">
        <v>19</v>
      </c>
      <c r="FT10" s="424">
        <v>7.6</v>
      </c>
      <c r="FU10" s="425">
        <v>11.6</v>
      </c>
      <c r="FV10" s="384">
        <f t="shared" si="15"/>
        <v>6</v>
      </c>
      <c r="FW10" s="102">
        <v>35483130</v>
      </c>
      <c r="FX10" s="384">
        <f t="shared" si="16"/>
        <v>165.6</v>
      </c>
      <c r="FY10" s="102">
        <v>6544960</v>
      </c>
      <c r="FZ10" s="102">
        <v>4604497</v>
      </c>
      <c r="GA10" s="102">
        <v>0</v>
      </c>
      <c r="GB10" s="102">
        <v>1940463</v>
      </c>
      <c r="GC10" s="102">
        <v>0</v>
      </c>
      <c r="GD10" s="454"/>
      <c r="GE10" s="386"/>
      <c r="GF10" s="424">
        <v>98.6</v>
      </c>
      <c r="GG10" s="424">
        <v>27.3</v>
      </c>
      <c r="GH10" s="424">
        <v>94.1</v>
      </c>
      <c r="GI10" s="102">
        <v>601</v>
      </c>
      <c r="GJ10" s="429" t="s">
        <v>646</v>
      </c>
      <c r="GK10" s="429">
        <v>12.36</v>
      </c>
      <c r="GL10" s="87">
        <v>20</v>
      </c>
      <c r="GM10" s="429" t="s">
        <v>646</v>
      </c>
      <c r="GN10" s="430">
        <v>17.36</v>
      </c>
      <c r="GO10" s="430">
        <v>30</v>
      </c>
      <c r="GP10" s="425">
        <v>6</v>
      </c>
      <c r="GQ10" s="425">
        <v>25</v>
      </c>
      <c r="GR10" s="425">
        <v>35</v>
      </c>
      <c r="GS10" s="431">
        <v>44.2</v>
      </c>
      <c r="GT10" s="425">
        <v>350</v>
      </c>
      <c r="GU10" s="394"/>
      <c r="GV10" s="100">
        <f t="shared" si="17"/>
        <v>21431</v>
      </c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</row>
    <row r="11" spans="2:230" x14ac:dyDescent="0.15">
      <c r="B11" s="89" t="s">
        <v>11</v>
      </c>
      <c r="C11" s="102">
        <v>62616514</v>
      </c>
      <c r="D11" s="73">
        <f t="shared" si="0"/>
        <v>26053507</v>
      </c>
      <c r="E11" s="102">
        <v>488870</v>
      </c>
      <c r="F11" s="102">
        <v>25564637</v>
      </c>
      <c r="G11" s="73">
        <f t="shared" si="1"/>
        <v>4649341</v>
      </c>
      <c r="H11" s="102">
        <v>1103321</v>
      </c>
      <c r="I11" s="102">
        <v>3546020</v>
      </c>
      <c r="J11" s="102">
        <v>23428957</v>
      </c>
      <c r="K11" s="102">
        <v>9624218</v>
      </c>
      <c r="L11" s="102">
        <v>10901259</v>
      </c>
      <c r="M11" s="102">
        <v>2453533</v>
      </c>
      <c r="N11" s="102">
        <v>1967496</v>
      </c>
      <c r="O11" s="102">
        <v>5315199</v>
      </c>
      <c r="P11" s="102">
        <v>2855203</v>
      </c>
      <c r="Q11" s="102">
        <v>2459996</v>
      </c>
      <c r="R11" s="102">
        <v>551368</v>
      </c>
      <c r="S11" s="74"/>
      <c r="T11" s="73">
        <f t="shared" si="2"/>
        <v>4909477</v>
      </c>
      <c r="U11" s="102">
        <v>274209</v>
      </c>
      <c r="V11" s="102">
        <v>398714</v>
      </c>
      <c r="W11" s="102">
        <v>612335</v>
      </c>
      <c r="X11" s="102">
        <v>3352997</v>
      </c>
      <c r="Y11" s="102">
        <v>0</v>
      </c>
      <c r="Z11" s="102">
        <v>0</v>
      </c>
      <c r="AA11" s="102">
        <v>271222</v>
      </c>
      <c r="AB11" s="102">
        <v>254758</v>
      </c>
      <c r="AC11" s="102">
        <v>1698929</v>
      </c>
      <c r="AD11" s="102">
        <v>1565467</v>
      </c>
      <c r="AE11" s="102">
        <v>133265</v>
      </c>
      <c r="AF11" s="102">
        <v>48637</v>
      </c>
      <c r="AG11" s="102">
        <v>1326312</v>
      </c>
      <c r="AH11" s="73">
        <f t="shared" si="3"/>
        <v>3001498</v>
      </c>
      <c r="AI11" s="102">
        <v>2431852</v>
      </c>
      <c r="AJ11" s="102">
        <v>569646</v>
      </c>
      <c r="AK11" s="102">
        <v>19590235</v>
      </c>
      <c r="AL11" s="73">
        <f t="shared" si="4"/>
        <v>11405155</v>
      </c>
      <c r="AM11" s="102">
        <v>7727229</v>
      </c>
      <c r="AN11" s="102">
        <v>837846</v>
      </c>
      <c r="AO11" s="74"/>
      <c r="AP11" s="102">
        <v>2840080</v>
      </c>
      <c r="AQ11" s="102">
        <v>1232280</v>
      </c>
      <c r="AR11" s="102">
        <v>0</v>
      </c>
      <c r="AS11" s="102">
        <v>0</v>
      </c>
      <c r="AT11" s="102">
        <v>6639774</v>
      </c>
      <c r="AU11" s="102">
        <v>4781923</v>
      </c>
      <c r="AV11" s="102">
        <v>418923</v>
      </c>
      <c r="AW11" s="102">
        <v>304291</v>
      </c>
      <c r="AX11" s="102">
        <v>1857851</v>
      </c>
      <c r="AY11" s="102">
        <v>44798</v>
      </c>
      <c r="AZ11" s="102">
        <v>254910</v>
      </c>
      <c r="BA11" s="102">
        <v>153059</v>
      </c>
      <c r="BB11" s="102">
        <v>55492</v>
      </c>
      <c r="BC11" s="102">
        <v>2157241</v>
      </c>
      <c r="BD11" s="102">
        <v>0</v>
      </c>
      <c r="BE11" s="102">
        <v>0</v>
      </c>
      <c r="BF11" s="102">
        <v>1912836</v>
      </c>
      <c r="BG11" s="102">
        <v>244404</v>
      </c>
      <c r="BH11" s="102">
        <v>1304466</v>
      </c>
      <c r="BI11" s="102">
        <v>131453</v>
      </c>
      <c r="BJ11" s="102">
        <v>2277159</v>
      </c>
      <c r="BK11" s="102">
        <v>351428</v>
      </c>
      <c r="BL11" s="102">
        <v>192416</v>
      </c>
      <c r="BM11" s="102">
        <v>43913</v>
      </c>
      <c r="BN11" s="102">
        <v>2030400</v>
      </c>
      <c r="BO11" s="73">
        <f t="shared" si="5"/>
        <v>2030400</v>
      </c>
      <c r="BP11" s="73">
        <f t="shared" si="6"/>
        <v>0</v>
      </c>
      <c r="BQ11" s="102">
        <v>0</v>
      </c>
      <c r="BR11" s="102">
        <v>0</v>
      </c>
      <c r="BS11" s="102">
        <v>0</v>
      </c>
      <c r="BT11" s="102">
        <v>0</v>
      </c>
      <c r="BU11" s="102">
        <v>108717170</v>
      </c>
      <c r="BV11" s="71"/>
      <c r="BW11" s="102">
        <v>21375998</v>
      </c>
      <c r="BX11" s="102">
        <v>14303407</v>
      </c>
      <c r="BY11" s="102">
        <v>1780229</v>
      </c>
      <c r="BZ11" s="102">
        <v>1717944</v>
      </c>
      <c r="CA11" s="102">
        <v>31407791</v>
      </c>
      <c r="CB11" s="102">
        <v>6591663</v>
      </c>
      <c r="CC11" s="102">
        <v>680260</v>
      </c>
      <c r="CD11" s="102">
        <v>13111881</v>
      </c>
      <c r="CE11" s="102">
        <v>10319070</v>
      </c>
      <c r="CF11" s="102">
        <v>335264</v>
      </c>
      <c r="CG11" s="102">
        <v>368133</v>
      </c>
      <c r="CH11" s="102">
        <v>6830253</v>
      </c>
      <c r="CI11" s="102">
        <v>6049064</v>
      </c>
      <c r="CJ11" s="83">
        <f t="shared" si="18"/>
        <v>781189</v>
      </c>
      <c r="CK11" s="102">
        <v>15283988</v>
      </c>
      <c r="CL11" s="102">
        <v>9749243</v>
      </c>
      <c r="CM11" s="102">
        <v>1198160</v>
      </c>
      <c r="CN11" s="102">
        <v>2510059</v>
      </c>
      <c r="CO11" s="102">
        <v>2317436</v>
      </c>
      <c r="CP11" s="102">
        <v>3598632</v>
      </c>
      <c r="CQ11" s="102">
        <v>5892</v>
      </c>
      <c r="CR11" s="102">
        <v>1934430</v>
      </c>
      <c r="CS11" s="102">
        <v>1354097</v>
      </c>
      <c r="CT11" s="73">
        <f t="shared" si="7"/>
        <v>831736</v>
      </c>
      <c r="CU11" s="102">
        <v>452860</v>
      </c>
      <c r="CV11" s="102">
        <v>378876</v>
      </c>
      <c r="CW11" s="73">
        <f t="shared" si="8"/>
        <v>800783</v>
      </c>
      <c r="CX11" s="102">
        <v>431345</v>
      </c>
      <c r="CY11" s="102">
        <v>369438</v>
      </c>
      <c r="CZ11" s="73">
        <f t="shared" si="9"/>
        <v>0</v>
      </c>
      <c r="DA11" s="102">
        <v>0</v>
      </c>
      <c r="DB11" s="102">
        <v>0</v>
      </c>
      <c r="DC11" s="102">
        <v>8231154</v>
      </c>
      <c r="DD11" s="102">
        <v>4433868</v>
      </c>
      <c r="DE11" s="102">
        <v>3623755</v>
      </c>
      <c r="DF11" s="77">
        <v>1054</v>
      </c>
      <c r="DG11" s="78">
        <v>172477</v>
      </c>
      <c r="DH11" s="102">
        <v>0</v>
      </c>
      <c r="DI11" s="102">
        <v>2376584</v>
      </c>
      <c r="DJ11" s="102">
        <v>65475</v>
      </c>
      <c r="DK11" s="102">
        <v>0</v>
      </c>
      <c r="DL11" s="102">
        <v>2311109</v>
      </c>
      <c r="DM11" s="102">
        <v>460484</v>
      </c>
      <c r="DN11" s="102">
        <v>415984</v>
      </c>
      <c r="DO11" s="102">
        <v>136119</v>
      </c>
      <c r="DP11" s="102">
        <v>279865</v>
      </c>
      <c r="DQ11" s="102">
        <v>423900</v>
      </c>
      <c r="DR11" s="102">
        <v>0</v>
      </c>
      <c r="DS11" s="102">
        <v>0</v>
      </c>
      <c r="DT11" s="102">
        <v>13229447</v>
      </c>
      <c r="DU11" s="102">
        <v>3509283</v>
      </c>
      <c r="DV11" s="73">
        <f t="shared" si="10"/>
        <v>0</v>
      </c>
      <c r="DW11" s="102">
        <v>0</v>
      </c>
      <c r="DX11" s="102">
        <v>3456555</v>
      </c>
      <c r="DY11" s="102">
        <v>83914</v>
      </c>
      <c r="DZ11" s="102">
        <v>2966373</v>
      </c>
      <c r="EA11" s="74">
        <v>0</v>
      </c>
      <c r="EB11" s="102">
        <v>2986071</v>
      </c>
      <c r="EC11" s="102">
        <v>0</v>
      </c>
      <c r="ED11" s="102">
        <v>105535667</v>
      </c>
      <c r="EE11" s="71"/>
      <c r="EF11" s="102">
        <v>3181503</v>
      </c>
      <c r="EG11" s="102">
        <v>1137726</v>
      </c>
      <c r="EH11" s="102">
        <v>2043777</v>
      </c>
      <c r="EI11" s="102">
        <v>1912324</v>
      </c>
      <c r="EJ11" s="102">
        <v>1977799</v>
      </c>
      <c r="EK11" s="71"/>
      <c r="EL11" s="102"/>
      <c r="EM11" s="102">
        <v>360083</v>
      </c>
      <c r="EN11" s="102">
        <v>551669</v>
      </c>
      <c r="EO11" s="102">
        <v>226497</v>
      </c>
      <c r="EP11" s="73">
        <f t="shared" si="11"/>
        <v>2641794</v>
      </c>
      <c r="EQ11" s="102">
        <v>70079683</v>
      </c>
      <c r="ER11" s="71">
        <v>-3371323</v>
      </c>
      <c r="ES11" s="102">
        <v>19589580</v>
      </c>
      <c r="ET11" s="102">
        <v>12907684</v>
      </c>
      <c r="EU11" s="102">
        <v>9448667</v>
      </c>
      <c r="EV11" s="102">
        <v>6829276</v>
      </c>
      <c r="EW11" s="73">
        <f t="shared" si="12"/>
        <v>1500153</v>
      </c>
      <c r="EX11" s="102">
        <v>1500153</v>
      </c>
      <c r="EY11" s="102">
        <v>170085</v>
      </c>
      <c r="EZ11" s="102">
        <v>1329014</v>
      </c>
      <c r="FA11" s="102">
        <v>0</v>
      </c>
      <c r="FB11" s="102">
        <v>0</v>
      </c>
      <c r="FC11" s="102">
        <v>13069342</v>
      </c>
      <c r="FD11" s="102">
        <v>3168605</v>
      </c>
      <c r="FE11" s="102">
        <v>5892</v>
      </c>
      <c r="FF11" s="102">
        <v>11682706</v>
      </c>
      <c r="FG11" s="73">
        <f t="shared" si="13"/>
        <v>4981174</v>
      </c>
      <c r="FH11" s="102">
        <v>70269503</v>
      </c>
      <c r="FI11" s="379">
        <f t="shared" si="14"/>
        <v>3</v>
      </c>
      <c r="FJ11" s="102">
        <v>63945735</v>
      </c>
      <c r="FK11" s="102">
        <v>3395047</v>
      </c>
      <c r="FL11" s="102">
        <v>47300349</v>
      </c>
      <c r="FM11" s="102">
        <v>48800494</v>
      </c>
      <c r="FN11" s="428">
        <v>0.96799999999999997</v>
      </c>
      <c r="FO11" s="424">
        <v>96.4</v>
      </c>
      <c r="FP11" s="425">
        <v>28.9</v>
      </c>
      <c r="FQ11" s="424">
        <v>14.4</v>
      </c>
      <c r="FR11" s="424">
        <v>10.4</v>
      </c>
      <c r="FS11" s="425">
        <v>19.600000000000001</v>
      </c>
      <c r="FT11" s="424">
        <v>4.2</v>
      </c>
      <c r="FU11" s="425">
        <v>15.5</v>
      </c>
      <c r="FV11" s="384">
        <f t="shared" si="15"/>
        <v>-0.5</v>
      </c>
      <c r="FW11" s="102">
        <v>47487229</v>
      </c>
      <c r="FX11" s="384">
        <f t="shared" si="16"/>
        <v>70.5</v>
      </c>
      <c r="FY11" s="102">
        <v>23680496</v>
      </c>
      <c r="FZ11" s="102">
        <v>9169829</v>
      </c>
      <c r="GA11" s="102">
        <v>0</v>
      </c>
      <c r="GB11" s="102">
        <v>14510667</v>
      </c>
      <c r="GC11" s="102">
        <v>0</v>
      </c>
      <c r="GD11" s="454"/>
      <c r="GE11" s="386"/>
      <c r="GF11" s="424">
        <v>99.1</v>
      </c>
      <c r="GG11" s="424">
        <v>23.9</v>
      </c>
      <c r="GH11" s="424">
        <v>96.4</v>
      </c>
      <c r="GI11" s="102">
        <v>2164</v>
      </c>
      <c r="GJ11" s="429" t="s">
        <v>646</v>
      </c>
      <c r="GK11" s="429">
        <v>11.25</v>
      </c>
      <c r="GL11" s="87">
        <v>20</v>
      </c>
      <c r="GM11" s="429" t="s">
        <v>646</v>
      </c>
      <c r="GN11" s="430">
        <v>16.25</v>
      </c>
      <c r="GO11" s="430">
        <v>30</v>
      </c>
      <c r="GP11" s="425">
        <v>-0.5</v>
      </c>
      <c r="GQ11" s="425">
        <v>25</v>
      </c>
      <c r="GR11" s="425">
        <v>35</v>
      </c>
      <c r="GS11" s="431" t="s">
        <v>646</v>
      </c>
      <c r="GT11" s="425">
        <v>350</v>
      </c>
      <c r="GU11" s="394"/>
      <c r="GV11" s="100">
        <f t="shared" si="17"/>
        <v>67341</v>
      </c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</row>
    <row r="12" spans="2:230" x14ac:dyDescent="0.15">
      <c r="B12" s="89" t="s">
        <v>13</v>
      </c>
      <c r="C12" s="102">
        <v>11243775</v>
      </c>
      <c r="D12" s="73">
        <f t="shared" si="0"/>
        <v>3551192</v>
      </c>
      <c r="E12" s="102">
        <v>95656</v>
      </c>
      <c r="F12" s="102">
        <v>3455536</v>
      </c>
      <c r="G12" s="73">
        <f t="shared" si="1"/>
        <v>927376</v>
      </c>
      <c r="H12" s="102">
        <v>273943</v>
      </c>
      <c r="I12" s="102">
        <v>653433</v>
      </c>
      <c r="J12" s="102">
        <v>5057562</v>
      </c>
      <c r="K12" s="102">
        <v>1956717</v>
      </c>
      <c r="L12" s="102">
        <v>2007199</v>
      </c>
      <c r="M12" s="102">
        <v>635155</v>
      </c>
      <c r="N12" s="102">
        <v>656809</v>
      </c>
      <c r="O12" s="102">
        <v>970223</v>
      </c>
      <c r="P12" s="102">
        <v>531312</v>
      </c>
      <c r="Q12" s="102">
        <v>438911</v>
      </c>
      <c r="R12" s="102">
        <v>174194</v>
      </c>
      <c r="S12" s="74"/>
      <c r="T12" s="73">
        <f t="shared" si="2"/>
        <v>953320</v>
      </c>
      <c r="U12" s="102">
        <v>38194</v>
      </c>
      <c r="V12" s="102">
        <v>55524</v>
      </c>
      <c r="W12" s="102">
        <v>85260</v>
      </c>
      <c r="X12" s="102">
        <v>710507</v>
      </c>
      <c r="Y12" s="102">
        <v>0</v>
      </c>
      <c r="Z12" s="102">
        <v>0</v>
      </c>
      <c r="AA12" s="102">
        <v>63835</v>
      </c>
      <c r="AB12" s="102">
        <v>62602</v>
      </c>
      <c r="AC12" s="102">
        <v>4186947</v>
      </c>
      <c r="AD12" s="102">
        <v>3811399</v>
      </c>
      <c r="AE12" s="102">
        <v>375543</v>
      </c>
      <c r="AF12" s="102">
        <v>14965</v>
      </c>
      <c r="AG12" s="102">
        <v>133186</v>
      </c>
      <c r="AH12" s="73">
        <f t="shared" si="3"/>
        <v>534070</v>
      </c>
      <c r="AI12" s="102">
        <v>372305</v>
      </c>
      <c r="AJ12" s="102">
        <v>161765</v>
      </c>
      <c r="AK12" s="102">
        <v>5433314</v>
      </c>
      <c r="AL12" s="73">
        <f t="shared" si="4"/>
        <v>3042371</v>
      </c>
      <c r="AM12" s="102">
        <v>2213250</v>
      </c>
      <c r="AN12" s="102">
        <v>217183</v>
      </c>
      <c r="AO12" s="74"/>
      <c r="AP12" s="102">
        <v>611938</v>
      </c>
      <c r="AQ12" s="102">
        <v>122978</v>
      </c>
      <c r="AR12" s="102">
        <v>0</v>
      </c>
      <c r="AS12" s="102">
        <v>0</v>
      </c>
      <c r="AT12" s="102">
        <v>2236566</v>
      </c>
      <c r="AU12" s="102">
        <v>1491214</v>
      </c>
      <c r="AV12" s="102">
        <v>108591</v>
      </c>
      <c r="AW12" s="102">
        <v>317</v>
      </c>
      <c r="AX12" s="102">
        <v>745352</v>
      </c>
      <c r="AY12" s="102">
        <v>1570</v>
      </c>
      <c r="AZ12" s="102">
        <v>111182</v>
      </c>
      <c r="BA12" s="102">
        <v>2705</v>
      </c>
      <c r="BB12" s="102">
        <v>2472</v>
      </c>
      <c r="BC12" s="102">
        <v>444742</v>
      </c>
      <c r="BD12" s="102">
        <v>109330</v>
      </c>
      <c r="BE12" s="102">
        <v>0</v>
      </c>
      <c r="BF12" s="102">
        <v>270174</v>
      </c>
      <c r="BG12" s="102">
        <v>0</v>
      </c>
      <c r="BH12" s="102">
        <v>522454</v>
      </c>
      <c r="BI12" s="102">
        <v>497274</v>
      </c>
      <c r="BJ12" s="102">
        <v>397485</v>
      </c>
      <c r="BK12" s="102">
        <v>1000</v>
      </c>
      <c r="BL12" s="102">
        <v>17364</v>
      </c>
      <c r="BM12" s="102">
        <v>56167</v>
      </c>
      <c r="BN12" s="102">
        <v>3210416</v>
      </c>
      <c r="BO12" s="73">
        <f t="shared" si="5"/>
        <v>1578900</v>
      </c>
      <c r="BP12" s="73">
        <f t="shared" si="6"/>
        <v>1631516</v>
      </c>
      <c r="BQ12" s="102">
        <v>0</v>
      </c>
      <c r="BR12" s="102">
        <v>0</v>
      </c>
      <c r="BS12" s="102">
        <v>1631516</v>
      </c>
      <c r="BT12" s="102">
        <v>0</v>
      </c>
      <c r="BU12" s="102">
        <v>29661690</v>
      </c>
      <c r="BV12" s="71"/>
      <c r="BW12" s="102">
        <v>4313175</v>
      </c>
      <c r="BX12" s="102">
        <v>2301445</v>
      </c>
      <c r="BY12" s="102">
        <v>693335</v>
      </c>
      <c r="BZ12" s="102">
        <v>500124</v>
      </c>
      <c r="CA12" s="102">
        <v>7511574</v>
      </c>
      <c r="CB12" s="102">
        <v>1343775</v>
      </c>
      <c r="CC12" s="102">
        <v>179993</v>
      </c>
      <c r="CD12" s="102">
        <v>2980522</v>
      </c>
      <c r="CE12" s="102">
        <v>2937617</v>
      </c>
      <c r="CF12" s="102">
        <v>0</v>
      </c>
      <c r="CG12" s="102">
        <v>69667</v>
      </c>
      <c r="CH12" s="102">
        <v>3611039</v>
      </c>
      <c r="CI12" s="102">
        <v>3042695</v>
      </c>
      <c r="CJ12" s="83">
        <f t="shared" si="18"/>
        <v>568344</v>
      </c>
      <c r="CK12" s="102">
        <v>2502137</v>
      </c>
      <c r="CL12" s="102">
        <v>1376449</v>
      </c>
      <c r="CM12" s="102">
        <v>235264</v>
      </c>
      <c r="CN12" s="102">
        <v>487823</v>
      </c>
      <c r="CO12" s="102">
        <v>112196</v>
      </c>
      <c r="CP12" s="102">
        <v>2513897</v>
      </c>
      <c r="CQ12" s="102">
        <v>726035</v>
      </c>
      <c r="CR12" s="102">
        <v>347932</v>
      </c>
      <c r="CS12" s="102">
        <v>295007</v>
      </c>
      <c r="CT12" s="73">
        <f t="shared" si="7"/>
        <v>1089296</v>
      </c>
      <c r="CU12" s="102">
        <v>778531</v>
      </c>
      <c r="CV12" s="102">
        <v>310765</v>
      </c>
      <c r="CW12" s="73">
        <f t="shared" si="8"/>
        <v>1000820</v>
      </c>
      <c r="CX12" s="102">
        <v>702028</v>
      </c>
      <c r="CY12" s="102">
        <v>298792</v>
      </c>
      <c r="CZ12" s="73">
        <f t="shared" si="9"/>
        <v>0</v>
      </c>
      <c r="DA12" s="102">
        <v>0</v>
      </c>
      <c r="DB12" s="102">
        <v>0</v>
      </c>
      <c r="DC12" s="102">
        <v>3444224</v>
      </c>
      <c r="DD12" s="102">
        <v>1735403</v>
      </c>
      <c r="DE12" s="102">
        <v>863938</v>
      </c>
      <c r="DF12" s="77">
        <v>214095</v>
      </c>
      <c r="DG12" s="78">
        <v>630788</v>
      </c>
      <c r="DH12" s="102">
        <v>0</v>
      </c>
      <c r="DI12" s="102">
        <v>1100522</v>
      </c>
      <c r="DJ12" s="102">
        <v>701092</v>
      </c>
      <c r="DK12" s="102">
        <v>0</v>
      </c>
      <c r="DL12" s="102">
        <v>399430</v>
      </c>
      <c r="DM12" s="102">
        <v>0</v>
      </c>
      <c r="DN12" s="102">
        <v>0</v>
      </c>
      <c r="DO12" s="102">
        <v>0</v>
      </c>
      <c r="DP12" s="102">
        <v>0</v>
      </c>
      <c r="DQ12" s="102">
        <v>1000</v>
      </c>
      <c r="DR12" s="102">
        <v>0</v>
      </c>
      <c r="DS12" s="102">
        <v>0</v>
      </c>
      <c r="DT12" s="102">
        <v>4214790</v>
      </c>
      <c r="DU12" s="102">
        <v>1736421</v>
      </c>
      <c r="DV12" s="73">
        <f t="shared" si="10"/>
        <v>0</v>
      </c>
      <c r="DW12" s="102">
        <v>0</v>
      </c>
      <c r="DX12" s="102">
        <v>832677</v>
      </c>
      <c r="DY12" s="102">
        <v>204123</v>
      </c>
      <c r="DZ12" s="102">
        <v>782450</v>
      </c>
      <c r="EA12" s="74">
        <v>0</v>
      </c>
      <c r="EB12" s="102">
        <v>659119</v>
      </c>
      <c r="EC12" s="102">
        <v>0</v>
      </c>
      <c r="ED12" s="102">
        <v>29324554</v>
      </c>
      <c r="EE12" s="71"/>
      <c r="EF12" s="102">
        <v>337136</v>
      </c>
      <c r="EG12" s="102">
        <v>26608</v>
      </c>
      <c r="EH12" s="102">
        <v>310528</v>
      </c>
      <c r="EI12" s="102">
        <v>-186746</v>
      </c>
      <c r="EJ12" s="102">
        <v>405016</v>
      </c>
      <c r="EK12" s="71"/>
      <c r="EL12" s="102"/>
      <c r="EM12" s="102">
        <v>76534</v>
      </c>
      <c r="EN12" s="102">
        <v>126900</v>
      </c>
      <c r="EO12" s="102">
        <v>48031</v>
      </c>
      <c r="EP12" s="73">
        <f t="shared" si="11"/>
        <v>1160419</v>
      </c>
      <c r="EQ12" s="102">
        <v>16635803</v>
      </c>
      <c r="ER12" s="71">
        <v>-2951901</v>
      </c>
      <c r="ES12" s="102">
        <v>3948399</v>
      </c>
      <c r="ET12" s="102">
        <v>2084316</v>
      </c>
      <c r="EU12" s="102">
        <v>2187664</v>
      </c>
      <c r="EV12" s="102">
        <v>3611039</v>
      </c>
      <c r="EW12" s="73">
        <f t="shared" si="12"/>
        <v>413269</v>
      </c>
      <c r="EX12" s="102">
        <v>413269</v>
      </c>
      <c r="EY12" s="102">
        <v>11722</v>
      </c>
      <c r="EZ12" s="102">
        <v>396552</v>
      </c>
      <c r="FA12" s="102">
        <v>0</v>
      </c>
      <c r="FB12" s="102">
        <v>0</v>
      </c>
      <c r="FC12" s="102">
        <v>2005385</v>
      </c>
      <c r="FD12" s="102">
        <v>2373462</v>
      </c>
      <c r="FE12" s="102">
        <v>726035</v>
      </c>
      <c r="FF12" s="102">
        <v>3626718</v>
      </c>
      <c r="FG12" s="73">
        <f t="shared" si="13"/>
        <v>1084632</v>
      </c>
      <c r="FH12" s="102">
        <v>19250568</v>
      </c>
      <c r="FI12" s="379">
        <f t="shared" si="14"/>
        <v>1.9</v>
      </c>
      <c r="FJ12" s="102">
        <v>14944250</v>
      </c>
      <c r="FK12" s="102">
        <v>1631516</v>
      </c>
      <c r="FL12" s="102">
        <v>8553490</v>
      </c>
      <c r="FM12" s="102">
        <v>12336004</v>
      </c>
      <c r="FN12" s="428">
        <v>0.69099999999999995</v>
      </c>
      <c r="FO12" s="424">
        <v>98.9</v>
      </c>
      <c r="FP12" s="425">
        <v>22.8</v>
      </c>
      <c r="FQ12" s="424">
        <v>12.8</v>
      </c>
      <c r="FR12" s="424">
        <v>21.2</v>
      </c>
      <c r="FS12" s="425">
        <v>10.6</v>
      </c>
      <c r="FT12" s="424">
        <v>12.5</v>
      </c>
      <c r="FU12" s="425">
        <v>18.2</v>
      </c>
      <c r="FV12" s="384">
        <f t="shared" si="15"/>
        <v>18.5</v>
      </c>
      <c r="FW12" s="102">
        <v>31789981</v>
      </c>
      <c r="FX12" s="384">
        <f t="shared" si="16"/>
        <v>191.8</v>
      </c>
      <c r="FY12" s="102">
        <v>3309277</v>
      </c>
      <c r="FZ12" s="102">
        <v>1015100</v>
      </c>
      <c r="GA12" s="102">
        <v>0</v>
      </c>
      <c r="GB12" s="102">
        <v>2294177</v>
      </c>
      <c r="GC12" s="102">
        <v>400000</v>
      </c>
      <c r="GD12" s="454">
        <v>3577</v>
      </c>
      <c r="GE12" s="386">
        <f>IF(GD12=0,"-",ROUND(GD12/(GV12)*100,1))</f>
        <v>21.6</v>
      </c>
      <c r="GF12" s="424">
        <v>99</v>
      </c>
      <c r="GG12" s="424">
        <v>23.7</v>
      </c>
      <c r="GH12" s="424">
        <v>96.6</v>
      </c>
      <c r="GI12" s="102">
        <v>428</v>
      </c>
      <c r="GJ12" s="429" t="s">
        <v>646</v>
      </c>
      <c r="GK12" s="429">
        <v>12.67</v>
      </c>
      <c r="GL12" s="87">
        <v>20</v>
      </c>
      <c r="GM12" s="429" t="s">
        <v>646</v>
      </c>
      <c r="GN12" s="430">
        <v>17.670000000000002</v>
      </c>
      <c r="GO12" s="430">
        <v>30</v>
      </c>
      <c r="GP12" s="425">
        <v>18.5</v>
      </c>
      <c r="GQ12" s="425">
        <v>25</v>
      </c>
      <c r="GR12" s="425">
        <v>35</v>
      </c>
      <c r="GS12" s="431">
        <v>159.1</v>
      </c>
      <c r="GT12" s="425">
        <v>350</v>
      </c>
      <c r="GU12" s="394"/>
      <c r="GV12" s="100">
        <f t="shared" si="17"/>
        <v>16576</v>
      </c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</row>
    <row r="13" spans="2:230" x14ac:dyDescent="0.15">
      <c r="B13" s="89" t="s">
        <v>15</v>
      </c>
      <c r="C13" s="102">
        <v>49449529</v>
      </c>
      <c r="D13" s="73">
        <f t="shared" si="0"/>
        <v>20353041</v>
      </c>
      <c r="E13" s="102">
        <v>485196</v>
      </c>
      <c r="F13" s="102">
        <v>19867845</v>
      </c>
      <c r="G13" s="73">
        <f t="shared" si="1"/>
        <v>3352133</v>
      </c>
      <c r="H13" s="102">
        <v>766294</v>
      </c>
      <c r="I13" s="102">
        <v>2585839</v>
      </c>
      <c r="J13" s="102">
        <v>18713412</v>
      </c>
      <c r="K13" s="102">
        <v>7982875</v>
      </c>
      <c r="L13" s="102">
        <v>8098068</v>
      </c>
      <c r="M13" s="102">
        <v>2381651</v>
      </c>
      <c r="N13" s="102">
        <v>1872867</v>
      </c>
      <c r="O13" s="102">
        <v>3845562</v>
      </c>
      <c r="P13" s="102">
        <v>2156135</v>
      </c>
      <c r="Q13" s="102">
        <v>1689427</v>
      </c>
      <c r="R13" s="102">
        <v>593078</v>
      </c>
      <c r="S13" s="74"/>
      <c r="T13" s="73">
        <f t="shared" si="2"/>
        <v>4277880</v>
      </c>
      <c r="U13" s="102">
        <v>217679</v>
      </c>
      <c r="V13" s="102">
        <v>316283</v>
      </c>
      <c r="W13" s="102">
        <v>485485</v>
      </c>
      <c r="X13" s="102">
        <v>2917242</v>
      </c>
      <c r="Y13" s="102">
        <v>49567</v>
      </c>
      <c r="Z13" s="102">
        <v>0</v>
      </c>
      <c r="AA13" s="102">
        <v>291624</v>
      </c>
      <c r="AB13" s="102">
        <v>288446</v>
      </c>
      <c r="AC13" s="102">
        <v>11319819</v>
      </c>
      <c r="AD13" s="102">
        <v>10822535</v>
      </c>
      <c r="AE13" s="102">
        <v>497265</v>
      </c>
      <c r="AF13" s="102">
        <v>55760</v>
      </c>
      <c r="AG13" s="102">
        <v>1387584</v>
      </c>
      <c r="AH13" s="73">
        <f t="shared" si="3"/>
        <v>2665048</v>
      </c>
      <c r="AI13" s="102">
        <v>1998803</v>
      </c>
      <c r="AJ13" s="102">
        <v>666245</v>
      </c>
      <c r="AK13" s="102">
        <v>22405674</v>
      </c>
      <c r="AL13" s="73">
        <f t="shared" si="4"/>
        <v>11193932</v>
      </c>
      <c r="AM13" s="102">
        <v>7400434</v>
      </c>
      <c r="AN13" s="102">
        <v>1187931</v>
      </c>
      <c r="AO13" s="74"/>
      <c r="AP13" s="102">
        <v>2605567</v>
      </c>
      <c r="AQ13" s="102">
        <v>2402794</v>
      </c>
      <c r="AR13" s="102">
        <v>0</v>
      </c>
      <c r="AS13" s="102">
        <v>0</v>
      </c>
      <c r="AT13" s="102">
        <v>6234457</v>
      </c>
      <c r="AU13" s="102">
        <v>3656530</v>
      </c>
      <c r="AV13" s="102">
        <v>0</v>
      </c>
      <c r="AW13" s="102">
        <v>74162</v>
      </c>
      <c r="AX13" s="102">
        <v>2577927</v>
      </c>
      <c r="AY13" s="102">
        <v>618546</v>
      </c>
      <c r="AZ13" s="102">
        <v>187757</v>
      </c>
      <c r="BA13" s="102">
        <v>99505</v>
      </c>
      <c r="BB13" s="102">
        <v>36726</v>
      </c>
      <c r="BC13" s="102">
        <v>480014</v>
      </c>
      <c r="BD13" s="102">
        <v>120</v>
      </c>
      <c r="BE13" s="102">
        <v>0</v>
      </c>
      <c r="BF13" s="102">
        <v>172222</v>
      </c>
      <c r="BG13" s="102">
        <v>0</v>
      </c>
      <c r="BH13" s="102">
        <v>1750919</v>
      </c>
      <c r="BI13" s="102">
        <v>247826</v>
      </c>
      <c r="BJ13" s="102">
        <v>1436361</v>
      </c>
      <c r="BK13" s="102">
        <v>605249</v>
      </c>
      <c r="BL13" s="102">
        <v>67634</v>
      </c>
      <c r="BM13" s="102">
        <v>44372</v>
      </c>
      <c r="BN13" s="102">
        <v>8542900</v>
      </c>
      <c r="BO13" s="73">
        <f t="shared" si="5"/>
        <v>5242900</v>
      </c>
      <c r="BP13" s="73">
        <f t="shared" si="6"/>
        <v>3300000</v>
      </c>
      <c r="BQ13" s="102">
        <v>0</v>
      </c>
      <c r="BR13" s="102">
        <v>0</v>
      </c>
      <c r="BS13" s="102">
        <v>3300000</v>
      </c>
      <c r="BT13" s="102">
        <v>0</v>
      </c>
      <c r="BU13" s="102">
        <v>111111952</v>
      </c>
      <c r="BV13" s="71"/>
      <c r="BW13" s="102">
        <v>19977777</v>
      </c>
      <c r="BX13" s="102">
        <v>12186594</v>
      </c>
      <c r="BY13" s="102">
        <v>2237473</v>
      </c>
      <c r="BZ13" s="102">
        <v>2233289</v>
      </c>
      <c r="CA13" s="102">
        <v>30125356</v>
      </c>
      <c r="CB13" s="102">
        <v>6264335</v>
      </c>
      <c r="CC13" s="102">
        <v>714738</v>
      </c>
      <c r="CD13" s="102">
        <v>12646351</v>
      </c>
      <c r="CE13" s="102">
        <v>9900605</v>
      </c>
      <c r="CF13" s="102">
        <v>287113</v>
      </c>
      <c r="CG13" s="102">
        <v>311194</v>
      </c>
      <c r="CH13" s="102">
        <v>7291320</v>
      </c>
      <c r="CI13" s="102">
        <v>6695379</v>
      </c>
      <c r="CJ13" s="83">
        <f t="shared" si="18"/>
        <v>595941</v>
      </c>
      <c r="CK13" s="102">
        <v>13550293</v>
      </c>
      <c r="CL13" s="102">
        <v>7814711</v>
      </c>
      <c r="CM13" s="102">
        <v>835057</v>
      </c>
      <c r="CN13" s="102">
        <v>3203904</v>
      </c>
      <c r="CO13" s="102">
        <v>1773618</v>
      </c>
      <c r="CP13" s="102">
        <v>4500174</v>
      </c>
      <c r="CQ13" s="102">
        <v>21410</v>
      </c>
      <c r="CR13" s="102">
        <v>2323796</v>
      </c>
      <c r="CS13" s="102">
        <v>1450356</v>
      </c>
      <c r="CT13" s="73">
        <f t="shared" si="7"/>
        <v>979451</v>
      </c>
      <c r="CU13" s="102">
        <v>59083</v>
      </c>
      <c r="CV13" s="102">
        <v>920368</v>
      </c>
      <c r="CW13" s="73">
        <f t="shared" si="8"/>
        <v>0</v>
      </c>
      <c r="CX13" s="102">
        <v>0</v>
      </c>
      <c r="CY13" s="102">
        <v>0</v>
      </c>
      <c r="CZ13" s="73">
        <f t="shared" si="9"/>
        <v>0</v>
      </c>
      <c r="DA13" s="102">
        <v>0</v>
      </c>
      <c r="DB13" s="102">
        <v>0</v>
      </c>
      <c r="DC13" s="102">
        <v>15023287</v>
      </c>
      <c r="DD13" s="102">
        <v>8995248</v>
      </c>
      <c r="DE13" s="102">
        <v>5885692</v>
      </c>
      <c r="DF13" s="77">
        <v>142347</v>
      </c>
      <c r="DG13" s="78">
        <v>0</v>
      </c>
      <c r="DH13" s="102">
        <v>0</v>
      </c>
      <c r="DI13" s="102">
        <v>3002333</v>
      </c>
      <c r="DJ13" s="102">
        <v>1332008</v>
      </c>
      <c r="DK13" s="102">
        <v>3623</v>
      </c>
      <c r="DL13" s="102">
        <v>1666702</v>
      </c>
      <c r="DM13" s="102">
        <v>0</v>
      </c>
      <c r="DN13" s="102">
        <v>0</v>
      </c>
      <c r="DO13" s="102">
        <v>0</v>
      </c>
      <c r="DP13" s="102">
        <v>0</v>
      </c>
      <c r="DQ13" s="102">
        <v>676673</v>
      </c>
      <c r="DR13" s="102">
        <v>0</v>
      </c>
      <c r="DS13" s="102">
        <v>0</v>
      </c>
      <c r="DT13" s="102">
        <v>14185003</v>
      </c>
      <c r="DU13" s="102">
        <v>4280000</v>
      </c>
      <c r="DV13" s="73">
        <f t="shared" si="10"/>
        <v>0</v>
      </c>
      <c r="DW13" s="102">
        <v>0</v>
      </c>
      <c r="DX13" s="102">
        <v>3850460</v>
      </c>
      <c r="DY13" s="102">
        <v>0</v>
      </c>
      <c r="DZ13" s="102">
        <v>3083719</v>
      </c>
      <c r="EA13" s="74">
        <v>0</v>
      </c>
      <c r="EB13" s="102">
        <v>2970141</v>
      </c>
      <c r="EC13" s="102">
        <v>0</v>
      </c>
      <c r="ED13" s="102">
        <v>110105834</v>
      </c>
      <c r="EE13" s="71"/>
      <c r="EF13" s="102">
        <v>1006118</v>
      </c>
      <c r="EG13" s="102">
        <v>430304</v>
      </c>
      <c r="EH13" s="102">
        <v>575814</v>
      </c>
      <c r="EI13" s="102">
        <v>327988</v>
      </c>
      <c r="EJ13" s="102">
        <v>1659876</v>
      </c>
      <c r="EK13" s="71"/>
      <c r="EL13" s="102"/>
      <c r="EM13" s="102">
        <v>356388</v>
      </c>
      <c r="EN13" s="102">
        <v>40120</v>
      </c>
      <c r="EO13" s="102">
        <v>130640</v>
      </c>
      <c r="EP13" s="73">
        <f t="shared" si="11"/>
        <v>2302695</v>
      </c>
      <c r="EQ13" s="102">
        <v>65984512</v>
      </c>
      <c r="ER13" s="71">
        <v>-5717695</v>
      </c>
      <c r="ES13" s="102">
        <v>18544110</v>
      </c>
      <c r="ET13" s="102">
        <v>10964485</v>
      </c>
      <c r="EU13" s="102">
        <v>9538623</v>
      </c>
      <c r="EV13" s="102">
        <v>6922885</v>
      </c>
      <c r="EW13" s="73">
        <f t="shared" si="12"/>
        <v>3329409</v>
      </c>
      <c r="EX13" s="102">
        <v>3329409</v>
      </c>
      <c r="EY13" s="102">
        <v>494020</v>
      </c>
      <c r="EZ13" s="102">
        <v>2780188</v>
      </c>
      <c r="FA13" s="102">
        <v>0</v>
      </c>
      <c r="FB13" s="102">
        <v>0</v>
      </c>
      <c r="FC13" s="102">
        <v>10968868</v>
      </c>
      <c r="FD13" s="102">
        <v>4037820</v>
      </c>
      <c r="FE13" s="102">
        <v>21410</v>
      </c>
      <c r="FF13" s="102">
        <v>12763504</v>
      </c>
      <c r="FG13" s="73">
        <f t="shared" si="13"/>
        <v>4646968</v>
      </c>
      <c r="FH13" s="102">
        <v>70752187</v>
      </c>
      <c r="FI13" s="379">
        <f t="shared" si="14"/>
        <v>0.9</v>
      </c>
      <c r="FJ13" s="102">
        <v>60075024</v>
      </c>
      <c r="FK13" s="102">
        <v>6664716</v>
      </c>
      <c r="FL13" s="102">
        <v>37923404</v>
      </c>
      <c r="FM13" s="102">
        <v>48745939</v>
      </c>
      <c r="FN13" s="428">
        <v>0.77400000000000002</v>
      </c>
      <c r="FO13" s="424">
        <v>91.2</v>
      </c>
      <c r="FP13" s="425">
        <v>27.9</v>
      </c>
      <c r="FQ13" s="424">
        <v>14.6</v>
      </c>
      <c r="FR13" s="424">
        <v>10.6</v>
      </c>
      <c r="FS13" s="425">
        <v>16</v>
      </c>
      <c r="FT13" s="424">
        <v>4</v>
      </c>
      <c r="FU13" s="425">
        <v>15.5</v>
      </c>
      <c r="FV13" s="384">
        <f t="shared" si="15"/>
        <v>-0.6</v>
      </c>
      <c r="FW13" s="102">
        <v>48932560</v>
      </c>
      <c r="FX13" s="384">
        <f t="shared" si="16"/>
        <v>73.3</v>
      </c>
      <c r="FY13" s="102">
        <v>39399712</v>
      </c>
      <c r="FZ13" s="102">
        <v>14679248</v>
      </c>
      <c r="GA13" s="102">
        <v>2516258</v>
      </c>
      <c r="GB13" s="102">
        <v>22204206</v>
      </c>
      <c r="GC13" s="102">
        <v>0</v>
      </c>
      <c r="GD13" s="454">
        <v>2282</v>
      </c>
      <c r="GE13" s="386">
        <f>IF(GD13=0,"-",ROUND(GD13/(GV13)*100,1))</f>
        <v>3.4</v>
      </c>
      <c r="GF13" s="424">
        <v>99.2</v>
      </c>
      <c r="GG13" s="424">
        <v>37.700000000000003</v>
      </c>
      <c r="GH13" s="424">
        <v>97.3</v>
      </c>
      <c r="GI13" s="102">
        <v>2083</v>
      </c>
      <c r="GJ13" s="429" t="s">
        <v>646</v>
      </c>
      <c r="GK13" s="429">
        <v>11.25</v>
      </c>
      <c r="GL13" s="87">
        <v>20</v>
      </c>
      <c r="GM13" s="429" t="s">
        <v>646</v>
      </c>
      <c r="GN13" s="430">
        <v>16.25</v>
      </c>
      <c r="GO13" s="430">
        <v>30</v>
      </c>
      <c r="GP13" s="425">
        <v>-0.6</v>
      </c>
      <c r="GQ13" s="425">
        <v>25</v>
      </c>
      <c r="GR13" s="425">
        <v>35</v>
      </c>
      <c r="GS13" s="431" t="s">
        <v>646</v>
      </c>
      <c r="GT13" s="425">
        <v>350</v>
      </c>
      <c r="GU13" s="394"/>
      <c r="GV13" s="100">
        <f t="shared" si="17"/>
        <v>66740</v>
      </c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</row>
    <row r="14" spans="2:230" x14ac:dyDescent="0.15">
      <c r="B14" s="89" t="s">
        <v>17</v>
      </c>
      <c r="C14" s="102">
        <v>11509816</v>
      </c>
      <c r="D14" s="73">
        <f t="shared" si="0"/>
        <v>3916646</v>
      </c>
      <c r="E14" s="102">
        <v>100658</v>
      </c>
      <c r="F14" s="102">
        <v>3815988</v>
      </c>
      <c r="G14" s="73">
        <f t="shared" si="1"/>
        <v>720042</v>
      </c>
      <c r="H14" s="102">
        <v>189872</v>
      </c>
      <c r="I14" s="102">
        <v>530170</v>
      </c>
      <c r="J14" s="102">
        <v>4942736</v>
      </c>
      <c r="K14" s="102">
        <v>1642388</v>
      </c>
      <c r="L14" s="102">
        <v>2141550</v>
      </c>
      <c r="M14" s="102">
        <v>959541</v>
      </c>
      <c r="N14" s="102">
        <v>916647</v>
      </c>
      <c r="O14" s="102">
        <v>866006</v>
      </c>
      <c r="P14" s="102">
        <v>419667</v>
      </c>
      <c r="Q14" s="102">
        <v>446339</v>
      </c>
      <c r="R14" s="102">
        <v>176117</v>
      </c>
      <c r="S14" s="74"/>
      <c r="T14" s="73">
        <f t="shared" si="2"/>
        <v>1059504</v>
      </c>
      <c r="U14" s="102">
        <v>41688</v>
      </c>
      <c r="V14" s="102">
        <v>60674</v>
      </c>
      <c r="W14" s="102">
        <v>93246</v>
      </c>
      <c r="X14" s="102">
        <v>777494</v>
      </c>
      <c r="Y14" s="102">
        <v>0</v>
      </c>
      <c r="Z14" s="102">
        <v>0</v>
      </c>
      <c r="AA14" s="102">
        <v>86402</v>
      </c>
      <c r="AB14" s="102">
        <v>82393</v>
      </c>
      <c r="AC14" s="102">
        <v>4820557</v>
      </c>
      <c r="AD14" s="102">
        <v>4400150</v>
      </c>
      <c r="AE14" s="102">
        <v>420402</v>
      </c>
      <c r="AF14" s="102">
        <v>18584</v>
      </c>
      <c r="AG14" s="102">
        <v>371479</v>
      </c>
      <c r="AH14" s="73">
        <f t="shared" si="3"/>
        <v>544052</v>
      </c>
      <c r="AI14" s="102">
        <v>443417</v>
      </c>
      <c r="AJ14" s="102">
        <v>100635</v>
      </c>
      <c r="AK14" s="102">
        <v>5197835</v>
      </c>
      <c r="AL14" s="73">
        <f t="shared" si="4"/>
        <v>3322961</v>
      </c>
      <c r="AM14" s="102">
        <v>2170965</v>
      </c>
      <c r="AN14" s="102">
        <v>480130</v>
      </c>
      <c r="AO14" s="74"/>
      <c r="AP14" s="102">
        <v>671866</v>
      </c>
      <c r="AQ14" s="102">
        <v>210040</v>
      </c>
      <c r="AR14" s="102">
        <v>0</v>
      </c>
      <c r="AS14" s="102">
        <v>0</v>
      </c>
      <c r="AT14" s="102">
        <v>2174091</v>
      </c>
      <c r="AU14" s="102">
        <v>1362158</v>
      </c>
      <c r="AV14" s="102">
        <v>218827</v>
      </c>
      <c r="AW14" s="102">
        <v>203</v>
      </c>
      <c r="AX14" s="102">
        <v>811933</v>
      </c>
      <c r="AY14" s="102">
        <v>12056</v>
      </c>
      <c r="AZ14" s="102">
        <v>36783</v>
      </c>
      <c r="BA14" s="102">
        <v>10833</v>
      </c>
      <c r="BB14" s="102">
        <v>12515</v>
      </c>
      <c r="BC14" s="102">
        <v>515563</v>
      </c>
      <c r="BD14" s="102">
        <v>0</v>
      </c>
      <c r="BE14" s="102">
        <v>0</v>
      </c>
      <c r="BF14" s="102">
        <v>496965</v>
      </c>
      <c r="BG14" s="102">
        <v>0</v>
      </c>
      <c r="BH14" s="102">
        <v>119224</v>
      </c>
      <c r="BI14" s="102">
        <v>81347</v>
      </c>
      <c r="BJ14" s="102">
        <v>521877</v>
      </c>
      <c r="BK14" s="102">
        <v>171709</v>
      </c>
      <c r="BL14" s="102">
        <v>0</v>
      </c>
      <c r="BM14" s="102">
        <v>56959</v>
      </c>
      <c r="BN14" s="102">
        <v>2236430</v>
      </c>
      <c r="BO14" s="73">
        <f t="shared" si="5"/>
        <v>524600</v>
      </c>
      <c r="BP14" s="73">
        <f t="shared" si="6"/>
        <v>1711830</v>
      </c>
      <c r="BQ14" s="102">
        <v>0</v>
      </c>
      <c r="BR14" s="102">
        <v>0</v>
      </c>
      <c r="BS14" s="102">
        <v>1711830</v>
      </c>
      <c r="BT14" s="102">
        <v>0</v>
      </c>
      <c r="BU14" s="102">
        <v>29396820</v>
      </c>
      <c r="BV14" s="71"/>
      <c r="BW14" s="102">
        <v>5449614</v>
      </c>
      <c r="BX14" s="102">
        <v>3229635</v>
      </c>
      <c r="BY14" s="102">
        <v>560131</v>
      </c>
      <c r="BZ14" s="102">
        <v>587953</v>
      </c>
      <c r="CA14" s="102">
        <v>8757675</v>
      </c>
      <c r="CB14" s="102">
        <v>1524297</v>
      </c>
      <c r="CC14" s="102">
        <v>170303</v>
      </c>
      <c r="CD14" s="102">
        <v>4042788</v>
      </c>
      <c r="CE14" s="102">
        <v>2911152</v>
      </c>
      <c r="CF14" s="102">
        <v>0</v>
      </c>
      <c r="CG14" s="102">
        <v>109055</v>
      </c>
      <c r="CH14" s="102">
        <v>2785307</v>
      </c>
      <c r="CI14" s="102">
        <v>2362854</v>
      </c>
      <c r="CJ14" s="83">
        <f t="shared" si="18"/>
        <v>422453</v>
      </c>
      <c r="CK14" s="102">
        <v>3017362</v>
      </c>
      <c r="CL14" s="102">
        <v>1608789</v>
      </c>
      <c r="CM14" s="102">
        <v>289643</v>
      </c>
      <c r="CN14" s="102">
        <v>541188</v>
      </c>
      <c r="CO14" s="102">
        <v>113011</v>
      </c>
      <c r="CP14" s="102">
        <v>3700824</v>
      </c>
      <c r="CQ14" s="102">
        <v>1348621</v>
      </c>
      <c r="CR14" s="102">
        <v>790331</v>
      </c>
      <c r="CS14" s="102">
        <v>478281</v>
      </c>
      <c r="CT14" s="73">
        <f t="shared" si="7"/>
        <v>1072718</v>
      </c>
      <c r="CU14" s="102">
        <v>964222</v>
      </c>
      <c r="CV14" s="102">
        <v>108496</v>
      </c>
      <c r="CW14" s="73">
        <f t="shared" si="8"/>
        <v>958496</v>
      </c>
      <c r="CX14" s="102">
        <v>950000</v>
      </c>
      <c r="CY14" s="102">
        <v>8496</v>
      </c>
      <c r="CZ14" s="73">
        <f t="shared" si="9"/>
        <v>0</v>
      </c>
      <c r="DA14" s="102">
        <v>0</v>
      </c>
      <c r="DB14" s="102">
        <v>0</v>
      </c>
      <c r="DC14" s="102">
        <v>1336867</v>
      </c>
      <c r="DD14" s="102">
        <v>461433</v>
      </c>
      <c r="DE14" s="102">
        <v>798204</v>
      </c>
      <c r="DF14" s="77">
        <v>77230</v>
      </c>
      <c r="DG14" s="78">
        <v>0</v>
      </c>
      <c r="DH14" s="102">
        <v>0</v>
      </c>
      <c r="DI14" s="102">
        <v>152455</v>
      </c>
      <c r="DJ14" s="102">
        <v>41000</v>
      </c>
      <c r="DK14" s="102">
        <v>0</v>
      </c>
      <c r="DL14" s="102">
        <v>111455</v>
      </c>
      <c r="DM14" s="102">
        <v>0</v>
      </c>
      <c r="DN14" s="102">
        <v>0</v>
      </c>
      <c r="DO14" s="102">
        <v>0</v>
      </c>
      <c r="DP14" s="102">
        <v>0</v>
      </c>
      <c r="DQ14" s="102">
        <v>169480</v>
      </c>
      <c r="DR14" s="102">
        <v>0</v>
      </c>
      <c r="DS14" s="102">
        <v>0</v>
      </c>
      <c r="DT14" s="102">
        <v>3842402</v>
      </c>
      <c r="DU14" s="102">
        <v>1398450</v>
      </c>
      <c r="DV14" s="73">
        <f t="shared" si="10"/>
        <v>0</v>
      </c>
      <c r="DW14" s="102">
        <v>0</v>
      </c>
      <c r="DX14" s="102">
        <v>1048932</v>
      </c>
      <c r="DY14" s="102">
        <v>0</v>
      </c>
      <c r="DZ14" s="102">
        <v>565055</v>
      </c>
      <c r="EA14" s="74">
        <v>0</v>
      </c>
      <c r="EB14" s="102">
        <v>829965</v>
      </c>
      <c r="EC14" s="102">
        <v>0</v>
      </c>
      <c r="ED14" s="102">
        <v>29324997</v>
      </c>
      <c r="EE14" s="71"/>
      <c r="EF14" s="102">
        <v>71823</v>
      </c>
      <c r="EG14" s="102">
        <v>52478</v>
      </c>
      <c r="EH14" s="102">
        <v>19345</v>
      </c>
      <c r="EI14" s="102">
        <v>-62002</v>
      </c>
      <c r="EJ14" s="102">
        <v>-21002</v>
      </c>
      <c r="EK14" s="71"/>
      <c r="EL14" s="102"/>
      <c r="EM14" s="102">
        <v>90152</v>
      </c>
      <c r="EN14" s="102">
        <v>105</v>
      </c>
      <c r="EO14" s="102">
        <v>25402</v>
      </c>
      <c r="EP14" s="73">
        <f t="shared" si="11"/>
        <v>491880</v>
      </c>
      <c r="EQ14" s="102">
        <v>17666971</v>
      </c>
      <c r="ER14" s="71">
        <v>-2210633</v>
      </c>
      <c r="ES14" s="102">
        <v>5052238</v>
      </c>
      <c r="ET14" s="102">
        <v>2957141</v>
      </c>
      <c r="EU14" s="102">
        <v>2352873</v>
      </c>
      <c r="EV14" s="102">
        <v>2785307</v>
      </c>
      <c r="EW14" s="73">
        <f t="shared" si="12"/>
        <v>530893</v>
      </c>
      <c r="EX14" s="102">
        <v>530893</v>
      </c>
      <c r="EY14" s="102">
        <v>11718</v>
      </c>
      <c r="EZ14" s="102">
        <v>441945</v>
      </c>
      <c r="FA14" s="102">
        <v>0</v>
      </c>
      <c r="FB14" s="102">
        <v>0</v>
      </c>
      <c r="FC14" s="102">
        <v>2495715</v>
      </c>
      <c r="FD14" s="102">
        <v>2982180</v>
      </c>
      <c r="FE14" s="102">
        <v>936621</v>
      </c>
      <c r="FF14" s="102">
        <v>3416442</v>
      </c>
      <c r="FG14" s="73">
        <f t="shared" si="13"/>
        <v>190133</v>
      </c>
      <c r="FH14" s="102">
        <v>19805781</v>
      </c>
      <c r="FI14" s="379">
        <f t="shared" si="14"/>
        <v>0.1</v>
      </c>
      <c r="FJ14" s="102">
        <v>16065126</v>
      </c>
      <c r="FK14" s="102">
        <v>1711830</v>
      </c>
      <c r="FL14" s="102">
        <v>8975213</v>
      </c>
      <c r="FM14" s="102">
        <v>13375363</v>
      </c>
      <c r="FN14" s="428">
        <v>0.67100000000000004</v>
      </c>
      <c r="FO14" s="424">
        <v>99.3</v>
      </c>
      <c r="FP14" s="425">
        <v>26.4</v>
      </c>
      <c r="FQ14" s="424">
        <v>12.9</v>
      </c>
      <c r="FR14" s="424">
        <v>15.3</v>
      </c>
      <c r="FS14" s="425">
        <v>12.5</v>
      </c>
      <c r="FT14" s="424">
        <v>14.8</v>
      </c>
      <c r="FU14" s="425">
        <v>17</v>
      </c>
      <c r="FV14" s="384">
        <f t="shared" si="15"/>
        <v>13.7</v>
      </c>
      <c r="FW14" s="102">
        <v>26297048</v>
      </c>
      <c r="FX14" s="384">
        <f t="shared" si="16"/>
        <v>147.9</v>
      </c>
      <c r="FY14" s="102">
        <v>2540376</v>
      </c>
      <c r="FZ14" s="102">
        <v>1174373</v>
      </c>
      <c r="GA14" s="102">
        <v>188585</v>
      </c>
      <c r="GB14" s="102">
        <v>1177418</v>
      </c>
      <c r="GC14" s="102">
        <v>0</v>
      </c>
      <c r="GD14" s="427"/>
      <c r="GE14" s="386"/>
      <c r="GF14" s="424">
        <v>98.7</v>
      </c>
      <c r="GG14" s="424">
        <v>24.6</v>
      </c>
      <c r="GH14" s="424">
        <v>94.5</v>
      </c>
      <c r="GI14" s="102">
        <v>557</v>
      </c>
      <c r="GJ14" s="429" t="s">
        <v>646</v>
      </c>
      <c r="GK14" s="429">
        <v>12.6</v>
      </c>
      <c r="GL14" s="87">
        <v>20</v>
      </c>
      <c r="GM14" s="429" t="s">
        <v>646</v>
      </c>
      <c r="GN14" s="430">
        <v>17.600000000000001</v>
      </c>
      <c r="GO14" s="430">
        <v>30</v>
      </c>
      <c r="GP14" s="425">
        <v>13.7</v>
      </c>
      <c r="GQ14" s="425">
        <v>25</v>
      </c>
      <c r="GR14" s="425">
        <v>35</v>
      </c>
      <c r="GS14" s="431">
        <v>79.8</v>
      </c>
      <c r="GT14" s="425">
        <v>350</v>
      </c>
      <c r="GU14" s="394"/>
      <c r="GV14" s="100">
        <f t="shared" si="17"/>
        <v>17777</v>
      </c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</row>
    <row r="15" spans="2:230" x14ac:dyDescent="0.15">
      <c r="B15" s="89" t="s">
        <v>19</v>
      </c>
      <c r="C15" s="102">
        <v>21435767</v>
      </c>
      <c r="D15" s="73">
        <f t="shared" si="0"/>
        <v>6531842</v>
      </c>
      <c r="E15" s="102">
        <v>181113</v>
      </c>
      <c r="F15" s="102">
        <v>6350729</v>
      </c>
      <c r="G15" s="73">
        <f t="shared" si="1"/>
        <v>1550323</v>
      </c>
      <c r="H15" s="102">
        <v>474905</v>
      </c>
      <c r="I15" s="102">
        <v>1075418</v>
      </c>
      <c r="J15" s="102">
        <v>9374512</v>
      </c>
      <c r="K15" s="102">
        <v>3813114</v>
      </c>
      <c r="L15" s="102">
        <v>3916059</v>
      </c>
      <c r="M15" s="102">
        <v>1426566</v>
      </c>
      <c r="N15" s="102">
        <v>1182340</v>
      </c>
      <c r="O15" s="102">
        <v>1910816</v>
      </c>
      <c r="P15" s="102">
        <v>1031499</v>
      </c>
      <c r="Q15" s="102">
        <v>879317</v>
      </c>
      <c r="R15" s="102">
        <v>216335</v>
      </c>
      <c r="S15" s="74"/>
      <c r="T15" s="73">
        <f t="shared" si="2"/>
        <v>1885593</v>
      </c>
      <c r="U15" s="102">
        <v>69980</v>
      </c>
      <c r="V15" s="102">
        <v>101634</v>
      </c>
      <c r="W15" s="102">
        <v>155956</v>
      </c>
      <c r="X15" s="102">
        <v>1451611</v>
      </c>
      <c r="Y15" s="102">
        <v>0</v>
      </c>
      <c r="Z15" s="102">
        <v>0</v>
      </c>
      <c r="AA15" s="102">
        <v>106412</v>
      </c>
      <c r="AB15" s="102">
        <v>116034</v>
      </c>
      <c r="AC15" s="102">
        <v>6131773</v>
      </c>
      <c r="AD15" s="102">
        <v>5458406</v>
      </c>
      <c r="AE15" s="102">
        <v>673361</v>
      </c>
      <c r="AF15" s="102">
        <v>20138</v>
      </c>
      <c r="AG15" s="102">
        <v>1552768</v>
      </c>
      <c r="AH15" s="73">
        <f t="shared" si="3"/>
        <v>965367</v>
      </c>
      <c r="AI15" s="102">
        <v>758245</v>
      </c>
      <c r="AJ15" s="102">
        <v>207122</v>
      </c>
      <c r="AK15" s="102">
        <v>13900415</v>
      </c>
      <c r="AL15" s="73">
        <f t="shared" si="4"/>
        <v>9226697</v>
      </c>
      <c r="AM15" s="102">
        <v>7442690</v>
      </c>
      <c r="AN15" s="102">
        <v>482966</v>
      </c>
      <c r="AO15" s="74"/>
      <c r="AP15" s="102">
        <v>1301041</v>
      </c>
      <c r="AQ15" s="102">
        <v>2161827</v>
      </c>
      <c r="AR15" s="102">
        <v>0</v>
      </c>
      <c r="AS15" s="102">
        <v>0</v>
      </c>
      <c r="AT15" s="102">
        <v>3364301</v>
      </c>
      <c r="AU15" s="102">
        <v>2532942</v>
      </c>
      <c r="AV15" s="102">
        <v>321923</v>
      </c>
      <c r="AW15" s="102">
        <v>122263</v>
      </c>
      <c r="AX15" s="102">
        <v>831359</v>
      </c>
      <c r="AY15" s="102">
        <v>25385</v>
      </c>
      <c r="AZ15" s="102">
        <v>1036448</v>
      </c>
      <c r="BA15" s="102">
        <v>945309</v>
      </c>
      <c r="BB15" s="102">
        <v>8186</v>
      </c>
      <c r="BC15" s="102">
        <v>73143</v>
      </c>
      <c r="BD15" s="102">
        <v>0</v>
      </c>
      <c r="BE15" s="102">
        <v>0</v>
      </c>
      <c r="BF15" s="102">
        <v>73143</v>
      </c>
      <c r="BG15" s="102">
        <v>0</v>
      </c>
      <c r="BH15" s="102">
        <v>492418</v>
      </c>
      <c r="BI15" s="102">
        <v>453974</v>
      </c>
      <c r="BJ15" s="102">
        <v>738070</v>
      </c>
      <c r="BK15" s="102">
        <v>14914</v>
      </c>
      <c r="BL15" s="102">
        <v>0</v>
      </c>
      <c r="BM15" s="102">
        <v>62389</v>
      </c>
      <c r="BN15" s="102">
        <v>7724000</v>
      </c>
      <c r="BO15" s="73">
        <f t="shared" si="5"/>
        <v>4362700</v>
      </c>
      <c r="BP15" s="73">
        <f t="shared" si="6"/>
        <v>3361300</v>
      </c>
      <c r="BQ15" s="102">
        <v>0</v>
      </c>
      <c r="BR15" s="102">
        <v>0</v>
      </c>
      <c r="BS15" s="102">
        <v>3361300</v>
      </c>
      <c r="BT15" s="102">
        <v>0</v>
      </c>
      <c r="BU15" s="102">
        <v>59660756</v>
      </c>
      <c r="BV15" s="71"/>
      <c r="BW15" s="102">
        <v>9038387</v>
      </c>
      <c r="BX15" s="102">
        <v>5667880</v>
      </c>
      <c r="BY15" s="102">
        <v>1335103</v>
      </c>
      <c r="BZ15" s="102">
        <v>429756</v>
      </c>
      <c r="CA15" s="102">
        <v>19413225</v>
      </c>
      <c r="CB15" s="102">
        <v>2754197</v>
      </c>
      <c r="CC15" s="102">
        <v>244286</v>
      </c>
      <c r="CD15" s="102">
        <v>5024491</v>
      </c>
      <c r="CE15" s="102">
        <v>9955641</v>
      </c>
      <c r="CF15" s="102">
        <v>1268787</v>
      </c>
      <c r="CG15" s="102">
        <v>164843</v>
      </c>
      <c r="CH15" s="102">
        <v>5621788</v>
      </c>
      <c r="CI15" s="102">
        <v>4866457</v>
      </c>
      <c r="CJ15" s="83">
        <f t="shared" si="18"/>
        <v>755331</v>
      </c>
      <c r="CK15" s="102">
        <v>4684779</v>
      </c>
      <c r="CL15" s="102">
        <v>2776292</v>
      </c>
      <c r="CM15" s="102">
        <v>457078</v>
      </c>
      <c r="CN15" s="102">
        <v>777940</v>
      </c>
      <c r="CO15" s="102">
        <v>415895</v>
      </c>
      <c r="CP15" s="102">
        <v>4332231</v>
      </c>
      <c r="CQ15" s="102">
        <v>1919482</v>
      </c>
      <c r="CR15" s="102">
        <v>665938</v>
      </c>
      <c r="CS15" s="102">
        <v>460390</v>
      </c>
      <c r="CT15" s="73">
        <f t="shared" si="7"/>
        <v>82406</v>
      </c>
      <c r="CU15" s="102">
        <v>82406</v>
      </c>
      <c r="CV15" s="102">
        <v>0</v>
      </c>
      <c r="CW15" s="73">
        <f t="shared" si="8"/>
        <v>0</v>
      </c>
      <c r="CX15" s="102">
        <v>0</v>
      </c>
      <c r="CY15" s="102">
        <v>0</v>
      </c>
      <c r="CZ15" s="73">
        <f t="shared" si="9"/>
        <v>0</v>
      </c>
      <c r="DA15" s="102">
        <v>0</v>
      </c>
      <c r="DB15" s="102">
        <v>0</v>
      </c>
      <c r="DC15" s="102">
        <v>7210392</v>
      </c>
      <c r="DD15" s="102">
        <v>4040729</v>
      </c>
      <c r="DE15" s="102">
        <v>3169663</v>
      </c>
      <c r="DF15" s="77">
        <v>0</v>
      </c>
      <c r="DG15" s="78">
        <v>0</v>
      </c>
      <c r="DH15" s="102">
        <v>0</v>
      </c>
      <c r="DI15" s="102">
        <v>173784</v>
      </c>
      <c r="DJ15" s="102">
        <v>1606</v>
      </c>
      <c r="DK15" s="102">
        <v>9</v>
      </c>
      <c r="DL15" s="102">
        <v>172169</v>
      </c>
      <c r="DM15" s="102">
        <v>46435</v>
      </c>
      <c r="DN15" s="102">
        <v>46435</v>
      </c>
      <c r="DO15" s="102">
        <v>46435</v>
      </c>
      <c r="DP15" s="102">
        <v>0</v>
      </c>
      <c r="DQ15" s="102">
        <v>1800</v>
      </c>
      <c r="DR15" s="102">
        <v>0</v>
      </c>
      <c r="DS15" s="102">
        <v>0</v>
      </c>
      <c r="DT15" s="102">
        <v>7096318</v>
      </c>
      <c r="DU15" s="102">
        <v>1365000</v>
      </c>
      <c r="DV15" s="73">
        <f t="shared" si="10"/>
        <v>0</v>
      </c>
      <c r="DW15" s="102">
        <v>0</v>
      </c>
      <c r="DX15" s="102">
        <v>1718377</v>
      </c>
      <c r="DY15" s="102">
        <v>0</v>
      </c>
      <c r="DZ15" s="102">
        <v>2505950</v>
      </c>
      <c r="EA15" s="74">
        <v>0</v>
      </c>
      <c r="EB15" s="102">
        <v>1506991</v>
      </c>
      <c r="EC15" s="102">
        <v>0</v>
      </c>
      <c r="ED15" s="102">
        <v>58035034</v>
      </c>
      <c r="EE15" s="71"/>
      <c r="EF15" s="102">
        <v>1625722</v>
      </c>
      <c r="EG15" s="102">
        <v>13028</v>
      </c>
      <c r="EH15" s="102">
        <v>1612694</v>
      </c>
      <c r="EI15" s="102">
        <v>658720</v>
      </c>
      <c r="EJ15" s="102">
        <v>660326</v>
      </c>
      <c r="EK15" s="71"/>
      <c r="EL15" s="102"/>
      <c r="EM15" s="102">
        <v>145501</v>
      </c>
      <c r="EN15" s="102">
        <v>0</v>
      </c>
      <c r="EO15" s="102">
        <v>1027212</v>
      </c>
      <c r="EP15" s="73">
        <f t="shared" si="11"/>
        <v>1196915</v>
      </c>
      <c r="EQ15" s="102">
        <v>29805640</v>
      </c>
      <c r="ER15" s="71">
        <v>-5565289</v>
      </c>
      <c r="ES15" s="102">
        <v>8578405</v>
      </c>
      <c r="ET15" s="102">
        <v>5300982</v>
      </c>
      <c r="EU15" s="102">
        <v>4791044</v>
      </c>
      <c r="EV15" s="102">
        <v>5591818</v>
      </c>
      <c r="EW15" s="73">
        <f t="shared" si="12"/>
        <v>469491</v>
      </c>
      <c r="EX15" s="102">
        <v>469491</v>
      </c>
      <c r="EY15" s="102">
        <v>4054</v>
      </c>
      <c r="EZ15" s="102">
        <v>465437</v>
      </c>
      <c r="FA15" s="102">
        <v>0</v>
      </c>
      <c r="FB15" s="102">
        <v>0</v>
      </c>
      <c r="FC15" s="102">
        <v>3956514</v>
      </c>
      <c r="FD15" s="102">
        <v>3956381</v>
      </c>
      <c r="FE15" s="102">
        <v>1918205</v>
      </c>
      <c r="FF15" s="102">
        <v>6032717</v>
      </c>
      <c r="FG15" s="73">
        <f t="shared" si="13"/>
        <v>368837</v>
      </c>
      <c r="FH15" s="102">
        <v>33745207</v>
      </c>
      <c r="FI15" s="379">
        <f t="shared" si="14"/>
        <v>5.4</v>
      </c>
      <c r="FJ15" s="102">
        <v>26628286</v>
      </c>
      <c r="FK15" s="102">
        <v>3361387</v>
      </c>
      <c r="FL15" s="102">
        <v>16246934</v>
      </c>
      <c r="FM15" s="102">
        <v>21705340</v>
      </c>
      <c r="FN15" s="428">
        <v>0.75900000000000001</v>
      </c>
      <c r="FO15" s="424">
        <v>96.9</v>
      </c>
      <c r="FP15" s="425">
        <v>26.9</v>
      </c>
      <c r="FQ15" s="424">
        <v>15.5</v>
      </c>
      <c r="FR15" s="424">
        <v>18.100000000000001</v>
      </c>
      <c r="FS15" s="425">
        <v>12.3</v>
      </c>
      <c r="FT15" s="424">
        <v>8</v>
      </c>
      <c r="FU15" s="425">
        <v>15.5</v>
      </c>
      <c r="FV15" s="384">
        <f t="shared" si="15"/>
        <v>8.1</v>
      </c>
      <c r="FW15" s="102">
        <v>53209957</v>
      </c>
      <c r="FX15" s="384">
        <f t="shared" si="16"/>
        <v>177.4</v>
      </c>
      <c r="FY15" s="102">
        <v>4504203</v>
      </c>
      <c r="FZ15" s="102">
        <v>744717</v>
      </c>
      <c r="GA15" s="102">
        <v>1708</v>
      </c>
      <c r="GB15" s="102">
        <v>3757778</v>
      </c>
      <c r="GC15" s="102">
        <v>1555300</v>
      </c>
      <c r="GD15" s="454"/>
      <c r="GE15" s="386"/>
      <c r="GF15" s="424">
        <v>98.1</v>
      </c>
      <c r="GG15" s="424">
        <v>22.6</v>
      </c>
      <c r="GH15" s="424">
        <v>92.2</v>
      </c>
      <c r="GI15" s="102">
        <v>830</v>
      </c>
      <c r="GJ15" s="429" t="s">
        <v>646</v>
      </c>
      <c r="GK15" s="429">
        <v>11.81</v>
      </c>
      <c r="GL15" s="87">
        <v>20</v>
      </c>
      <c r="GM15" s="429" t="s">
        <v>646</v>
      </c>
      <c r="GN15" s="430">
        <v>16.809999999999999</v>
      </c>
      <c r="GO15" s="430">
        <v>30</v>
      </c>
      <c r="GP15" s="425">
        <v>8.1</v>
      </c>
      <c r="GQ15" s="425">
        <v>25</v>
      </c>
      <c r="GR15" s="425">
        <v>35</v>
      </c>
      <c r="GS15" s="431">
        <v>70.400000000000006</v>
      </c>
      <c r="GT15" s="425">
        <v>350</v>
      </c>
      <c r="GU15" s="394"/>
      <c r="GV15" s="100">
        <f t="shared" si="17"/>
        <v>29990</v>
      </c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</row>
    <row r="16" spans="2:230" x14ac:dyDescent="0.15">
      <c r="B16" s="89" t="s">
        <v>21</v>
      </c>
      <c r="C16" s="102">
        <v>55300051</v>
      </c>
      <c r="D16" s="73">
        <f t="shared" si="0"/>
        <v>22338624</v>
      </c>
      <c r="E16" s="102">
        <v>544431</v>
      </c>
      <c r="F16" s="102">
        <v>21794193</v>
      </c>
      <c r="G16" s="73">
        <f t="shared" si="1"/>
        <v>3820367</v>
      </c>
      <c r="H16" s="102">
        <v>682225</v>
      </c>
      <c r="I16" s="102">
        <v>3138142</v>
      </c>
      <c r="J16" s="102">
        <v>20793934</v>
      </c>
      <c r="K16" s="102">
        <v>8365013</v>
      </c>
      <c r="L16" s="102">
        <v>9640621</v>
      </c>
      <c r="M16" s="102">
        <v>2462916</v>
      </c>
      <c r="N16" s="102">
        <v>2150854</v>
      </c>
      <c r="O16" s="102">
        <v>4486297</v>
      </c>
      <c r="P16" s="102">
        <v>2413103</v>
      </c>
      <c r="Q16" s="102">
        <v>2073194</v>
      </c>
      <c r="R16" s="102">
        <v>632548</v>
      </c>
      <c r="S16" s="74"/>
      <c r="T16" s="73">
        <f t="shared" si="2"/>
        <v>4884431</v>
      </c>
      <c r="U16" s="102">
        <v>245311</v>
      </c>
      <c r="V16" s="102">
        <v>355976</v>
      </c>
      <c r="W16" s="102">
        <v>545919</v>
      </c>
      <c r="X16" s="102">
        <v>3341472</v>
      </c>
      <c r="Y16" s="102">
        <v>84626</v>
      </c>
      <c r="Z16" s="102">
        <v>0</v>
      </c>
      <c r="AA16" s="102">
        <v>311127</v>
      </c>
      <c r="AB16" s="102">
        <v>329811</v>
      </c>
      <c r="AC16" s="102">
        <v>11140429</v>
      </c>
      <c r="AD16" s="102">
        <v>10834931</v>
      </c>
      <c r="AE16" s="102">
        <v>305470</v>
      </c>
      <c r="AF16" s="102">
        <v>62435</v>
      </c>
      <c r="AG16" s="102">
        <v>1200457</v>
      </c>
      <c r="AH16" s="73">
        <f t="shared" si="3"/>
        <v>2385066</v>
      </c>
      <c r="AI16" s="102">
        <v>1918343</v>
      </c>
      <c r="AJ16" s="102">
        <v>466723</v>
      </c>
      <c r="AK16" s="102">
        <v>21487037</v>
      </c>
      <c r="AL16" s="73">
        <f t="shared" si="4"/>
        <v>13989920</v>
      </c>
      <c r="AM16" s="102">
        <v>10044481</v>
      </c>
      <c r="AN16" s="102">
        <v>1441606</v>
      </c>
      <c r="AO16" s="74"/>
      <c r="AP16" s="102">
        <v>2503833</v>
      </c>
      <c r="AQ16" s="102">
        <v>140166</v>
      </c>
      <c r="AR16" s="102">
        <v>0</v>
      </c>
      <c r="AS16" s="102">
        <v>0</v>
      </c>
      <c r="AT16" s="102">
        <v>8132236</v>
      </c>
      <c r="AU16" s="102">
        <v>6350645</v>
      </c>
      <c r="AV16" s="102">
        <v>720803</v>
      </c>
      <c r="AW16" s="102">
        <v>387223</v>
      </c>
      <c r="AX16" s="102">
        <v>1781591</v>
      </c>
      <c r="AY16" s="102">
        <v>26668</v>
      </c>
      <c r="AZ16" s="102">
        <v>137834</v>
      </c>
      <c r="BA16" s="102">
        <v>59697</v>
      </c>
      <c r="BB16" s="102">
        <v>365972</v>
      </c>
      <c r="BC16" s="102">
        <v>436240</v>
      </c>
      <c r="BD16" s="102">
        <v>0</v>
      </c>
      <c r="BE16" s="102">
        <v>171035</v>
      </c>
      <c r="BF16" s="102">
        <v>261280</v>
      </c>
      <c r="BG16" s="102">
        <v>0</v>
      </c>
      <c r="BH16" s="102">
        <v>1601501</v>
      </c>
      <c r="BI16" s="102">
        <v>1435187</v>
      </c>
      <c r="BJ16" s="102">
        <v>1272738</v>
      </c>
      <c r="BK16" s="102">
        <v>0</v>
      </c>
      <c r="BL16" s="102">
        <v>0</v>
      </c>
      <c r="BM16" s="102">
        <v>86279</v>
      </c>
      <c r="BN16" s="102">
        <v>9514395</v>
      </c>
      <c r="BO16" s="73">
        <f t="shared" si="5"/>
        <v>1428400</v>
      </c>
      <c r="BP16" s="73">
        <f t="shared" si="6"/>
        <v>8085995</v>
      </c>
      <c r="BQ16" s="102">
        <v>0</v>
      </c>
      <c r="BR16" s="102">
        <v>0</v>
      </c>
      <c r="BS16" s="102">
        <v>8085995</v>
      </c>
      <c r="BT16" s="102">
        <v>0</v>
      </c>
      <c r="BU16" s="102">
        <v>118883181</v>
      </c>
      <c r="BV16" s="71"/>
      <c r="BW16" s="102">
        <v>19641712</v>
      </c>
      <c r="BX16" s="102">
        <v>13666910</v>
      </c>
      <c r="BY16" s="102">
        <v>1253148</v>
      </c>
      <c r="BZ16" s="102">
        <v>1269178</v>
      </c>
      <c r="CA16" s="102">
        <v>36286427</v>
      </c>
      <c r="CB16" s="102">
        <v>6502649</v>
      </c>
      <c r="CC16" s="102">
        <v>667610</v>
      </c>
      <c r="CD16" s="102">
        <v>15238864</v>
      </c>
      <c r="CE16" s="102">
        <v>13424114</v>
      </c>
      <c r="CF16" s="102">
        <v>16870</v>
      </c>
      <c r="CG16" s="102">
        <v>433970</v>
      </c>
      <c r="CH16" s="102">
        <v>13227773</v>
      </c>
      <c r="CI16" s="102">
        <v>11838945</v>
      </c>
      <c r="CJ16" s="83">
        <f t="shared" si="18"/>
        <v>1388828</v>
      </c>
      <c r="CK16" s="102">
        <v>11396455</v>
      </c>
      <c r="CL16" s="102">
        <v>6478482</v>
      </c>
      <c r="CM16" s="102">
        <v>657237</v>
      </c>
      <c r="CN16" s="102">
        <v>2687130</v>
      </c>
      <c r="CO16" s="102">
        <v>1537796</v>
      </c>
      <c r="CP16" s="102">
        <v>15873832</v>
      </c>
      <c r="CQ16" s="102">
        <v>4377077</v>
      </c>
      <c r="CR16" s="102">
        <v>2863874</v>
      </c>
      <c r="CS16" s="102">
        <v>2319794</v>
      </c>
      <c r="CT16" s="73">
        <f t="shared" si="7"/>
        <v>6880863</v>
      </c>
      <c r="CU16" s="102">
        <v>2223327</v>
      </c>
      <c r="CV16" s="102">
        <v>4657536</v>
      </c>
      <c r="CW16" s="73">
        <f t="shared" si="8"/>
        <v>1153345</v>
      </c>
      <c r="CX16" s="102">
        <v>995054</v>
      </c>
      <c r="CY16" s="102">
        <v>158291</v>
      </c>
      <c r="CZ16" s="73">
        <f t="shared" si="9"/>
        <v>5429039</v>
      </c>
      <c r="DA16" s="102">
        <v>1061478</v>
      </c>
      <c r="DB16" s="102">
        <v>4367561</v>
      </c>
      <c r="DC16" s="102">
        <v>5110737</v>
      </c>
      <c r="DD16" s="102">
        <v>1170789</v>
      </c>
      <c r="DE16" s="102">
        <v>3939819</v>
      </c>
      <c r="DF16" s="77">
        <v>129</v>
      </c>
      <c r="DG16" s="78">
        <v>0</v>
      </c>
      <c r="DH16" s="102">
        <v>153944</v>
      </c>
      <c r="DI16" s="102">
        <v>2471586</v>
      </c>
      <c r="DJ16" s="102">
        <v>1030211</v>
      </c>
      <c r="DK16" s="102">
        <v>509071</v>
      </c>
      <c r="DL16" s="102">
        <v>932304</v>
      </c>
      <c r="DM16" s="102">
        <v>106900</v>
      </c>
      <c r="DN16" s="102">
        <v>106900</v>
      </c>
      <c r="DO16" s="102">
        <v>106900</v>
      </c>
      <c r="DP16" s="102">
        <v>0</v>
      </c>
      <c r="DQ16" s="102">
        <v>0</v>
      </c>
      <c r="DR16" s="102">
        <v>0</v>
      </c>
      <c r="DS16" s="102">
        <v>0</v>
      </c>
      <c r="DT16" s="102">
        <v>11182152</v>
      </c>
      <c r="DU16" s="102">
        <v>0</v>
      </c>
      <c r="DV16" s="73">
        <f t="shared" si="10"/>
        <v>0</v>
      </c>
      <c r="DW16" s="102">
        <v>0</v>
      </c>
      <c r="DX16" s="102">
        <v>3604418</v>
      </c>
      <c r="DY16" s="102">
        <v>2664</v>
      </c>
      <c r="DZ16" s="102">
        <v>4040875</v>
      </c>
      <c r="EA16" s="74">
        <v>0</v>
      </c>
      <c r="EB16" s="102">
        <v>3534195</v>
      </c>
      <c r="EC16" s="102">
        <v>0</v>
      </c>
      <c r="ED16" s="102">
        <v>116989314</v>
      </c>
      <c r="EE16" s="71"/>
      <c r="EF16" s="102">
        <v>1893867</v>
      </c>
      <c r="EG16" s="102">
        <v>237509</v>
      </c>
      <c r="EH16" s="102">
        <v>1656358</v>
      </c>
      <c r="EI16" s="102">
        <v>221171</v>
      </c>
      <c r="EJ16" s="102">
        <v>3644082</v>
      </c>
      <c r="EK16" s="71"/>
      <c r="EL16" s="102"/>
      <c r="EM16" s="102">
        <v>408610</v>
      </c>
      <c r="EN16" s="102">
        <v>174960</v>
      </c>
      <c r="EO16" s="102">
        <v>92559</v>
      </c>
      <c r="EP16" s="73">
        <f t="shared" si="11"/>
        <v>3619511</v>
      </c>
      <c r="EQ16" s="102">
        <v>72349705</v>
      </c>
      <c r="ER16" s="71">
        <v>-11910590</v>
      </c>
      <c r="ES16" s="102">
        <v>17969650</v>
      </c>
      <c r="ET16" s="102">
        <v>12207707</v>
      </c>
      <c r="EU16" s="102">
        <v>10549248</v>
      </c>
      <c r="EV16" s="102">
        <v>13227773</v>
      </c>
      <c r="EW16" s="73">
        <f t="shared" si="12"/>
        <v>2892417</v>
      </c>
      <c r="EX16" s="102">
        <v>2738473</v>
      </c>
      <c r="EY16" s="102">
        <v>155344</v>
      </c>
      <c r="EZ16" s="102">
        <v>2583000</v>
      </c>
      <c r="FA16" s="102">
        <v>153944</v>
      </c>
      <c r="FB16" s="102">
        <v>0</v>
      </c>
      <c r="FC16" s="102">
        <v>9491631</v>
      </c>
      <c r="FD16" s="102">
        <v>14775479</v>
      </c>
      <c r="FE16" s="102">
        <v>4375835</v>
      </c>
      <c r="FF16" s="102">
        <v>9546618</v>
      </c>
      <c r="FG16" s="73">
        <f t="shared" si="13"/>
        <v>3913612</v>
      </c>
      <c r="FH16" s="102">
        <v>82366428</v>
      </c>
      <c r="FI16" s="379">
        <f t="shared" si="14"/>
        <v>2.2000000000000002</v>
      </c>
      <c r="FJ16" s="102">
        <v>65975658</v>
      </c>
      <c r="FK16" s="102">
        <v>8085995</v>
      </c>
      <c r="FL16" s="102">
        <v>42392490</v>
      </c>
      <c r="FM16" s="102">
        <v>52925040</v>
      </c>
      <c r="FN16" s="428">
        <v>0.80400000000000005</v>
      </c>
      <c r="FO16" s="424">
        <v>87.8</v>
      </c>
      <c r="FP16" s="425">
        <v>23.2</v>
      </c>
      <c r="FQ16" s="424">
        <v>13.9</v>
      </c>
      <c r="FR16" s="424">
        <v>14.2</v>
      </c>
      <c r="FS16" s="425">
        <v>11.1</v>
      </c>
      <c r="FT16" s="424">
        <v>13.4</v>
      </c>
      <c r="FU16" s="425">
        <v>10</v>
      </c>
      <c r="FV16" s="384">
        <f t="shared" si="15"/>
        <v>1.5</v>
      </c>
      <c r="FW16" s="102">
        <v>96848355</v>
      </c>
      <c r="FX16" s="384">
        <f t="shared" si="16"/>
        <v>130.80000000000001</v>
      </c>
      <c r="FY16" s="102">
        <v>27907775</v>
      </c>
      <c r="FZ16" s="102">
        <v>8036955</v>
      </c>
      <c r="GA16" s="102">
        <v>6007317</v>
      </c>
      <c r="GB16" s="102">
        <v>13863503</v>
      </c>
      <c r="GC16" s="102">
        <v>5000000</v>
      </c>
      <c r="GD16" s="454">
        <v>8133</v>
      </c>
      <c r="GE16" s="386">
        <f>IF(GD16=0,"-",ROUND(GD16/(GV16)*100,1))</f>
        <v>11</v>
      </c>
      <c r="GF16" s="424">
        <v>99.2</v>
      </c>
      <c r="GG16" s="424">
        <v>26.8</v>
      </c>
      <c r="GH16" s="424">
        <v>96.4</v>
      </c>
      <c r="GI16" s="102">
        <v>1988</v>
      </c>
      <c r="GJ16" s="429" t="s">
        <v>646</v>
      </c>
      <c r="GK16" s="429">
        <v>11.25</v>
      </c>
      <c r="GL16" s="87">
        <v>20</v>
      </c>
      <c r="GM16" s="429" t="s">
        <v>646</v>
      </c>
      <c r="GN16" s="430">
        <v>16.25</v>
      </c>
      <c r="GO16" s="430">
        <v>30</v>
      </c>
      <c r="GP16" s="425">
        <v>1.5</v>
      </c>
      <c r="GQ16" s="425">
        <v>25</v>
      </c>
      <c r="GR16" s="425">
        <v>35</v>
      </c>
      <c r="GS16" s="431" t="s">
        <v>646</v>
      </c>
      <c r="GT16" s="425">
        <v>350</v>
      </c>
      <c r="GU16" s="394"/>
      <c r="GV16" s="100">
        <f t="shared" si="17"/>
        <v>74062</v>
      </c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</row>
    <row r="17" spans="2:230" x14ac:dyDescent="0.15">
      <c r="B17" s="89" t="s">
        <v>23</v>
      </c>
      <c r="C17" s="102">
        <v>43977673</v>
      </c>
      <c r="D17" s="73">
        <f t="shared" si="0"/>
        <v>17083857</v>
      </c>
      <c r="E17" s="102">
        <v>383280</v>
      </c>
      <c r="F17" s="102">
        <v>16700577</v>
      </c>
      <c r="G17" s="73">
        <f t="shared" si="1"/>
        <v>3400672</v>
      </c>
      <c r="H17" s="102">
        <v>711439</v>
      </c>
      <c r="I17" s="102">
        <v>2689233</v>
      </c>
      <c r="J17" s="102">
        <v>17801634</v>
      </c>
      <c r="K17" s="102">
        <v>7811311</v>
      </c>
      <c r="L17" s="102">
        <v>7572657</v>
      </c>
      <c r="M17" s="102">
        <v>2125755</v>
      </c>
      <c r="N17" s="102">
        <v>1798059</v>
      </c>
      <c r="O17" s="102">
        <v>3685823</v>
      </c>
      <c r="P17" s="102">
        <v>2055634</v>
      </c>
      <c r="Q17" s="102">
        <v>1630189</v>
      </c>
      <c r="R17" s="102">
        <v>464622</v>
      </c>
      <c r="S17" s="74"/>
      <c r="T17" s="73">
        <f t="shared" si="2"/>
        <v>3697716</v>
      </c>
      <c r="U17" s="102">
        <v>184250</v>
      </c>
      <c r="V17" s="102">
        <v>268145</v>
      </c>
      <c r="W17" s="102">
        <v>412066</v>
      </c>
      <c r="X17" s="102">
        <v>2507453</v>
      </c>
      <c r="Y17" s="102">
        <v>97236</v>
      </c>
      <c r="Z17" s="102">
        <v>0</v>
      </c>
      <c r="AA17" s="102">
        <v>228566</v>
      </c>
      <c r="AB17" s="102">
        <v>224254</v>
      </c>
      <c r="AC17" s="102">
        <v>2758841</v>
      </c>
      <c r="AD17" s="102">
        <v>2464298</v>
      </c>
      <c r="AE17" s="102">
        <v>294528</v>
      </c>
      <c r="AF17" s="102">
        <v>50474</v>
      </c>
      <c r="AG17" s="102">
        <v>1174129</v>
      </c>
      <c r="AH17" s="73">
        <f t="shared" si="3"/>
        <v>2279551</v>
      </c>
      <c r="AI17" s="102">
        <v>1856020</v>
      </c>
      <c r="AJ17" s="102">
        <v>423531</v>
      </c>
      <c r="AK17" s="102">
        <v>18751286</v>
      </c>
      <c r="AL17" s="73">
        <f t="shared" si="4"/>
        <v>7996256</v>
      </c>
      <c r="AM17" s="102">
        <v>5338659</v>
      </c>
      <c r="AN17" s="102">
        <v>1175538</v>
      </c>
      <c r="AO17" s="74"/>
      <c r="AP17" s="102">
        <v>1482059</v>
      </c>
      <c r="AQ17" s="102">
        <v>1233142</v>
      </c>
      <c r="AR17" s="102">
        <v>0</v>
      </c>
      <c r="AS17" s="102">
        <v>0</v>
      </c>
      <c r="AT17" s="102">
        <v>5764254</v>
      </c>
      <c r="AU17" s="102">
        <v>3489641</v>
      </c>
      <c r="AV17" s="102">
        <v>461987</v>
      </c>
      <c r="AW17" s="102">
        <v>98033</v>
      </c>
      <c r="AX17" s="102">
        <v>2274613</v>
      </c>
      <c r="AY17" s="102">
        <v>0</v>
      </c>
      <c r="AZ17" s="102">
        <v>123541</v>
      </c>
      <c r="BA17" s="102">
        <v>97899</v>
      </c>
      <c r="BB17" s="102">
        <v>90042</v>
      </c>
      <c r="BC17" s="102">
        <v>182672</v>
      </c>
      <c r="BD17" s="102">
        <v>0</v>
      </c>
      <c r="BE17" s="102">
        <v>0</v>
      </c>
      <c r="BF17" s="102">
        <v>560</v>
      </c>
      <c r="BG17" s="102">
        <v>0</v>
      </c>
      <c r="BH17" s="102">
        <v>1340841</v>
      </c>
      <c r="BI17" s="102">
        <v>410554</v>
      </c>
      <c r="BJ17" s="102">
        <v>1590694</v>
      </c>
      <c r="BK17" s="102">
        <v>430580</v>
      </c>
      <c r="BL17" s="102">
        <v>7576</v>
      </c>
      <c r="BM17" s="102">
        <v>39750</v>
      </c>
      <c r="BN17" s="102">
        <v>4208800</v>
      </c>
      <c r="BO17" s="73">
        <f t="shared" si="5"/>
        <v>2288800</v>
      </c>
      <c r="BP17" s="73">
        <f t="shared" si="6"/>
        <v>1920000</v>
      </c>
      <c r="BQ17" s="102">
        <v>0</v>
      </c>
      <c r="BR17" s="102">
        <v>0</v>
      </c>
      <c r="BS17" s="102">
        <v>1920000</v>
      </c>
      <c r="BT17" s="102">
        <v>0</v>
      </c>
      <c r="BU17" s="102">
        <v>86679390</v>
      </c>
      <c r="BV17" s="71"/>
      <c r="BW17" s="102">
        <v>12549006</v>
      </c>
      <c r="BX17" s="102">
        <v>8533280</v>
      </c>
      <c r="BY17" s="102">
        <v>1235426</v>
      </c>
      <c r="BZ17" s="102">
        <v>512481</v>
      </c>
      <c r="CA17" s="102">
        <v>23650390</v>
      </c>
      <c r="CB17" s="102">
        <v>4172293</v>
      </c>
      <c r="CC17" s="102">
        <v>580530</v>
      </c>
      <c r="CD17" s="102">
        <v>11700180</v>
      </c>
      <c r="CE17" s="102">
        <v>6934853</v>
      </c>
      <c r="CF17" s="102">
        <v>0</v>
      </c>
      <c r="CG17" s="102">
        <v>262064</v>
      </c>
      <c r="CH17" s="102">
        <v>4914457</v>
      </c>
      <c r="CI17" s="102">
        <v>4109925</v>
      </c>
      <c r="CJ17" s="83">
        <f t="shared" si="18"/>
        <v>804532</v>
      </c>
      <c r="CK17" s="102">
        <v>13416017</v>
      </c>
      <c r="CL17" s="102">
        <v>6699573</v>
      </c>
      <c r="CM17" s="102">
        <v>1238376</v>
      </c>
      <c r="CN17" s="102">
        <v>3116570</v>
      </c>
      <c r="CO17" s="102">
        <v>854869</v>
      </c>
      <c r="CP17" s="102">
        <v>3470298</v>
      </c>
      <c r="CQ17" s="102">
        <v>4933</v>
      </c>
      <c r="CR17" s="102">
        <v>2427666</v>
      </c>
      <c r="CS17" s="102">
        <v>1799150</v>
      </c>
      <c r="CT17" s="73">
        <f t="shared" si="7"/>
        <v>20861</v>
      </c>
      <c r="CU17" s="102">
        <v>12961</v>
      </c>
      <c r="CV17" s="102">
        <v>7900</v>
      </c>
      <c r="CW17" s="73">
        <f t="shared" si="8"/>
        <v>0</v>
      </c>
      <c r="CX17" s="102">
        <v>0</v>
      </c>
      <c r="CY17" s="102">
        <v>0</v>
      </c>
      <c r="CZ17" s="73">
        <f t="shared" si="9"/>
        <v>0</v>
      </c>
      <c r="DA17" s="102">
        <v>0</v>
      </c>
      <c r="DB17" s="102">
        <v>0</v>
      </c>
      <c r="DC17" s="102">
        <v>14073452</v>
      </c>
      <c r="DD17" s="102">
        <v>8206506</v>
      </c>
      <c r="DE17" s="102">
        <v>5862491</v>
      </c>
      <c r="DF17" s="77">
        <v>0</v>
      </c>
      <c r="DG17" s="78">
        <v>4455</v>
      </c>
      <c r="DH17" s="102">
        <v>54652</v>
      </c>
      <c r="DI17" s="102">
        <v>1808433</v>
      </c>
      <c r="DJ17" s="102">
        <v>3113</v>
      </c>
      <c r="DK17" s="102">
        <v>0</v>
      </c>
      <c r="DL17" s="102">
        <v>1805320</v>
      </c>
      <c r="DM17" s="102">
        <v>8138</v>
      </c>
      <c r="DN17" s="102">
        <v>8138</v>
      </c>
      <c r="DO17" s="102">
        <v>8138</v>
      </c>
      <c r="DP17" s="102">
        <v>0</v>
      </c>
      <c r="DQ17" s="102">
        <v>430520</v>
      </c>
      <c r="DR17" s="102">
        <v>0</v>
      </c>
      <c r="DS17" s="102">
        <v>0</v>
      </c>
      <c r="DT17" s="102">
        <v>9634029</v>
      </c>
      <c r="DU17" s="102">
        <v>3056000</v>
      </c>
      <c r="DV17" s="73">
        <f t="shared" si="10"/>
        <v>0</v>
      </c>
      <c r="DW17" s="102">
        <v>0</v>
      </c>
      <c r="DX17" s="102">
        <v>2497078</v>
      </c>
      <c r="DY17" s="102">
        <v>8807</v>
      </c>
      <c r="DZ17" s="102">
        <v>2096816</v>
      </c>
      <c r="EA17" s="74">
        <v>0</v>
      </c>
      <c r="EB17" s="102">
        <v>1974100</v>
      </c>
      <c r="EC17" s="102">
        <v>0</v>
      </c>
      <c r="ED17" s="102">
        <v>84864261</v>
      </c>
      <c r="EE17" s="71"/>
      <c r="EF17" s="102">
        <v>1815129</v>
      </c>
      <c r="EG17" s="102">
        <v>867715</v>
      </c>
      <c r="EH17" s="102">
        <v>947414</v>
      </c>
      <c r="EI17" s="102">
        <v>125860</v>
      </c>
      <c r="EJ17" s="102">
        <v>128973</v>
      </c>
      <c r="EK17" s="71"/>
      <c r="EL17" s="102"/>
      <c r="EM17" s="102">
        <v>277689</v>
      </c>
      <c r="EN17" s="102">
        <v>182112</v>
      </c>
      <c r="EO17" s="102">
        <v>114588</v>
      </c>
      <c r="EP17" s="73">
        <f t="shared" si="11"/>
        <v>2364853</v>
      </c>
      <c r="EQ17" s="102">
        <v>51173580</v>
      </c>
      <c r="ER17" s="71">
        <v>-4531079</v>
      </c>
      <c r="ES17" s="102">
        <v>11302895</v>
      </c>
      <c r="ET17" s="102">
        <v>7368869</v>
      </c>
      <c r="EU17" s="102">
        <v>7295578</v>
      </c>
      <c r="EV17" s="102">
        <v>4914457</v>
      </c>
      <c r="EW17" s="73">
        <f t="shared" si="12"/>
        <v>5191693</v>
      </c>
      <c r="EX17" s="102">
        <v>5137041</v>
      </c>
      <c r="EY17" s="102">
        <v>601347</v>
      </c>
      <c r="EZ17" s="102">
        <v>4535694</v>
      </c>
      <c r="FA17" s="102">
        <v>54652</v>
      </c>
      <c r="FB17" s="102">
        <v>0</v>
      </c>
      <c r="FC17" s="102">
        <v>11038063</v>
      </c>
      <c r="FD17" s="102">
        <v>2830414</v>
      </c>
      <c r="FE17" s="102">
        <v>4933</v>
      </c>
      <c r="FF17" s="102">
        <v>8660483</v>
      </c>
      <c r="FG17" s="73">
        <f t="shared" si="13"/>
        <v>2655947</v>
      </c>
      <c r="FH17" s="102">
        <v>53889530</v>
      </c>
      <c r="FI17" s="379">
        <f t="shared" si="14"/>
        <v>1.9</v>
      </c>
      <c r="FJ17" s="102">
        <v>46011857</v>
      </c>
      <c r="FK17" s="102">
        <v>3872600</v>
      </c>
      <c r="FL17" s="102">
        <v>33297195</v>
      </c>
      <c r="FM17" s="102">
        <v>35761493</v>
      </c>
      <c r="FN17" s="428">
        <v>0.93200000000000005</v>
      </c>
      <c r="FO17" s="424">
        <v>87.7</v>
      </c>
      <c r="FP17" s="425">
        <v>22.1</v>
      </c>
      <c r="FQ17" s="424">
        <v>14.7</v>
      </c>
      <c r="FR17" s="424">
        <v>9.9</v>
      </c>
      <c r="FS17" s="425">
        <v>20.8</v>
      </c>
      <c r="FT17" s="424">
        <v>4.4000000000000004</v>
      </c>
      <c r="FU17" s="425">
        <v>14.1</v>
      </c>
      <c r="FV17" s="384">
        <f t="shared" si="15"/>
        <v>-1.6</v>
      </c>
      <c r="FW17" s="102">
        <v>56488503</v>
      </c>
      <c r="FX17" s="384">
        <f t="shared" si="16"/>
        <v>113.2</v>
      </c>
      <c r="FY17" s="102">
        <v>15311245</v>
      </c>
      <c r="FZ17" s="102">
        <v>5810100</v>
      </c>
      <c r="GA17" s="102">
        <v>0</v>
      </c>
      <c r="GB17" s="102">
        <v>9501145</v>
      </c>
      <c r="GC17" s="102">
        <v>0</v>
      </c>
      <c r="GD17" s="454">
        <v>442</v>
      </c>
      <c r="GE17" s="386">
        <f>IF(GD17=0,"-",ROUND(GD17/(GV17)*100,1))</f>
        <v>0.9</v>
      </c>
      <c r="GF17" s="424">
        <v>99</v>
      </c>
      <c r="GG17" s="424">
        <v>22.1</v>
      </c>
      <c r="GH17" s="424">
        <v>96.2</v>
      </c>
      <c r="GI17" s="102">
        <v>1418</v>
      </c>
      <c r="GJ17" s="429" t="s">
        <v>646</v>
      </c>
      <c r="GK17" s="429">
        <v>11.25</v>
      </c>
      <c r="GL17" s="87">
        <v>20</v>
      </c>
      <c r="GM17" s="429" t="s">
        <v>646</v>
      </c>
      <c r="GN17" s="430">
        <v>16.25</v>
      </c>
      <c r="GO17" s="430">
        <v>30</v>
      </c>
      <c r="GP17" s="425">
        <v>-1.6</v>
      </c>
      <c r="GQ17" s="425">
        <v>25</v>
      </c>
      <c r="GR17" s="425">
        <v>35</v>
      </c>
      <c r="GS17" s="431" t="s">
        <v>646</v>
      </c>
      <c r="GT17" s="425">
        <v>350</v>
      </c>
      <c r="GU17" s="394"/>
      <c r="GV17" s="100">
        <f t="shared" si="17"/>
        <v>49884</v>
      </c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</row>
    <row r="18" spans="2:230" x14ac:dyDescent="0.15">
      <c r="B18" s="89" t="s">
        <v>25</v>
      </c>
      <c r="C18" s="102">
        <v>38460767</v>
      </c>
      <c r="D18" s="73">
        <f t="shared" si="0"/>
        <v>13127402</v>
      </c>
      <c r="E18" s="102">
        <v>340078</v>
      </c>
      <c r="F18" s="102">
        <v>12787324</v>
      </c>
      <c r="G18" s="73">
        <f t="shared" si="1"/>
        <v>3125690</v>
      </c>
      <c r="H18" s="102">
        <v>703206</v>
      </c>
      <c r="I18" s="102">
        <v>2422484</v>
      </c>
      <c r="J18" s="102">
        <v>16029657</v>
      </c>
      <c r="K18" s="102">
        <v>7349532</v>
      </c>
      <c r="L18" s="102">
        <v>6338633</v>
      </c>
      <c r="M18" s="102">
        <v>2060095</v>
      </c>
      <c r="N18" s="102">
        <v>2598960</v>
      </c>
      <c r="O18" s="102">
        <v>3307236</v>
      </c>
      <c r="P18" s="102">
        <v>1945292</v>
      </c>
      <c r="Q18" s="102">
        <v>1361944</v>
      </c>
      <c r="R18" s="102">
        <v>438900</v>
      </c>
      <c r="S18" s="74"/>
      <c r="T18" s="73">
        <f t="shared" si="2"/>
        <v>3456232</v>
      </c>
      <c r="U18" s="102">
        <v>142784</v>
      </c>
      <c r="V18" s="102">
        <v>207135</v>
      </c>
      <c r="W18" s="102">
        <v>317594</v>
      </c>
      <c r="X18" s="102">
        <v>2573288</v>
      </c>
      <c r="Y18" s="102">
        <v>0</v>
      </c>
      <c r="Z18" s="102">
        <v>0</v>
      </c>
      <c r="AA18" s="102">
        <v>215431</v>
      </c>
      <c r="AB18" s="102">
        <v>241952</v>
      </c>
      <c r="AC18" s="102">
        <v>11147194</v>
      </c>
      <c r="AD18" s="102">
        <v>10546643</v>
      </c>
      <c r="AE18" s="102">
        <v>600538</v>
      </c>
      <c r="AF18" s="102">
        <v>45859</v>
      </c>
      <c r="AG18" s="102">
        <v>1709115</v>
      </c>
      <c r="AH18" s="73">
        <f t="shared" si="3"/>
        <v>1761581</v>
      </c>
      <c r="AI18" s="102">
        <v>1203062</v>
      </c>
      <c r="AJ18" s="102">
        <v>558519</v>
      </c>
      <c r="AK18" s="102">
        <v>22828519</v>
      </c>
      <c r="AL18" s="73">
        <f t="shared" si="4"/>
        <v>14268427</v>
      </c>
      <c r="AM18" s="102">
        <v>11338462</v>
      </c>
      <c r="AN18" s="102">
        <v>989437</v>
      </c>
      <c r="AO18" s="74"/>
      <c r="AP18" s="102">
        <v>1940528</v>
      </c>
      <c r="AQ18" s="102">
        <v>1315591</v>
      </c>
      <c r="AR18" s="102">
        <v>5700</v>
      </c>
      <c r="AS18" s="102">
        <v>41853</v>
      </c>
      <c r="AT18" s="102">
        <v>6013633</v>
      </c>
      <c r="AU18" s="102">
        <v>3430234</v>
      </c>
      <c r="AV18" s="102">
        <v>513192</v>
      </c>
      <c r="AW18" s="102">
        <v>310389</v>
      </c>
      <c r="AX18" s="102">
        <v>2583399</v>
      </c>
      <c r="AY18" s="102">
        <v>10181</v>
      </c>
      <c r="AZ18" s="102">
        <v>1135619</v>
      </c>
      <c r="BA18" s="102">
        <v>1036567</v>
      </c>
      <c r="BB18" s="102">
        <v>110208</v>
      </c>
      <c r="BC18" s="102">
        <v>201951</v>
      </c>
      <c r="BD18" s="102">
        <v>0</v>
      </c>
      <c r="BE18" s="102">
        <v>0</v>
      </c>
      <c r="BF18" s="102">
        <v>201951</v>
      </c>
      <c r="BG18" s="102">
        <v>0</v>
      </c>
      <c r="BH18" s="102">
        <v>1466717</v>
      </c>
      <c r="BI18" s="102">
        <v>616051</v>
      </c>
      <c r="BJ18" s="102">
        <v>1958575</v>
      </c>
      <c r="BK18" s="102">
        <v>1105341</v>
      </c>
      <c r="BL18" s="102">
        <v>1003</v>
      </c>
      <c r="BM18" s="102">
        <v>74451</v>
      </c>
      <c r="BN18" s="102">
        <v>14179792</v>
      </c>
      <c r="BO18" s="73">
        <f t="shared" si="5"/>
        <v>8709400</v>
      </c>
      <c r="BP18" s="73">
        <f t="shared" si="6"/>
        <v>5470392</v>
      </c>
      <c r="BQ18" s="102">
        <v>0</v>
      </c>
      <c r="BR18" s="102">
        <v>0</v>
      </c>
      <c r="BS18" s="102">
        <v>5470392</v>
      </c>
      <c r="BT18" s="102">
        <v>0</v>
      </c>
      <c r="BU18" s="102">
        <v>105198467</v>
      </c>
      <c r="BV18" s="71"/>
      <c r="BW18" s="102">
        <v>15413800</v>
      </c>
      <c r="BX18" s="102">
        <v>10004885</v>
      </c>
      <c r="BY18" s="102">
        <v>1204652</v>
      </c>
      <c r="BZ18" s="102">
        <v>1560451</v>
      </c>
      <c r="CA18" s="102">
        <v>30994537</v>
      </c>
      <c r="CB18" s="102">
        <v>5017192</v>
      </c>
      <c r="CC18" s="102">
        <v>506984</v>
      </c>
      <c r="CD18" s="102">
        <v>10505890</v>
      </c>
      <c r="CE18" s="102">
        <v>13658078</v>
      </c>
      <c r="CF18" s="102">
        <v>942781</v>
      </c>
      <c r="CG18" s="102">
        <v>363272</v>
      </c>
      <c r="CH18" s="102">
        <v>8870553</v>
      </c>
      <c r="CI18" s="102">
        <v>7796160</v>
      </c>
      <c r="CJ18" s="83">
        <f t="shared" si="18"/>
        <v>1074393</v>
      </c>
      <c r="CK18" s="102">
        <v>10205360</v>
      </c>
      <c r="CL18" s="102">
        <v>6983034</v>
      </c>
      <c r="CM18" s="102">
        <v>551057</v>
      </c>
      <c r="CN18" s="102">
        <v>1798236</v>
      </c>
      <c r="CO18" s="102">
        <v>489846</v>
      </c>
      <c r="CP18" s="102">
        <v>7611973</v>
      </c>
      <c r="CQ18" s="102">
        <v>65047</v>
      </c>
      <c r="CR18" s="102">
        <v>1958082</v>
      </c>
      <c r="CS18" s="102">
        <v>1498039</v>
      </c>
      <c r="CT18" s="73">
        <f t="shared" si="7"/>
        <v>1132751</v>
      </c>
      <c r="CU18" s="102">
        <v>1132751</v>
      </c>
      <c r="CV18" s="102">
        <v>0</v>
      </c>
      <c r="CW18" s="73">
        <f t="shared" si="8"/>
        <v>1058069</v>
      </c>
      <c r="CX18" s="102">
        <v>1058069</v>
      </c>
      <c r="CY18" s="102">
        <v>0</v>
      </c>
      <c r="CZ18" s="73">
        <f t="shared" si="9"/>
        <v>0</v>
      </c>
      <c r="DA18" s="102">
        <v>0</v>
      </c>
      <c r="DB18" s="102">
        <v>0</v>
      </c>
      <c r="DC18" s="102">
        <v>12387006</v>
      </c>
      <c r="DD18" s="102">
        <v>5409192</v>
      </c>
      <c r="DE18" s="102">
        <v>6934735</v>
      </c>
      <c r="DF18" s="77">
        <v>41109</v>
      </c>
      <c r="DG18" s="78">
        <v>1970</v>
      </c>
      <c r="DH18" s="102">
        <v>12498</v>
      </c>
      <c r="DI18" s="102">
        <v>1423281</v>
      </c>
      <c r="DJ18" s="102">
        <v>324128</v>
      </c>
      <c r="DK18" s="102">
        <v>0</v>
      </c>
      <c r="DL18" s="102">
        <v>1099153</v>
      </c>
      <c r="DM18" s="102">
        <v>781000</v>
      </c>
      <c r="DN18" s="102">
        <v>736500</v>
      </c>
      <c r="DO18" s="102">
        <v>74000</v>
      </c>
      <c r="DP18" s="102">
        <v>662500</v>
      </c>
      <c r="DQ18" s="102">
        <v>322700</v>
      </c>
      <c r="DR18" s="102">
        <v>0</v>
      </c>
      <c r="DS18" s="102">
        <v>0</v>
      </c>
      <c r="DT18" s="102">
        <v>13894830</v>
      </c>
      <c r="DU18" s="102">
        <v>5544823</v>
      </c>
      <c r="DV18" s="73">
        <f t="shared" si="10"/>
        <v>0</v>
      </c>
      <c r="DW18" s="102">
        <v>0</v>
      </c>
      <c r="DX18" s="102">
        <v>2640614</v>
      </c>
      <c r="DY18" s="102">
        <v>0</v>
      </c>
      <c r="DZ18" s="102">
        <v>2879246</v>
      </c>
      <c r="EA18" s="74">
        <v>0</v>
      </c>
      <c r="EB18" s="102">
        <v>2788302</v>
      </c>
      <c r="EC18" s="102">
        <v>0</v>
      </c>
      <c r="ED18" s="102">
        <v>102407384</v>
      </c>
      <c r="EE18" s="71"/>
      <c r="EF18" s="102">
        <v>2791083</v>
      </c>
      <c r="EG18" s="102">
        <v>665722</v>
      </c>
      <c r="EH18" s="102">
        <v>2125361</v>
      </c>
      <c r="EI18" s="102">
        <v>1509310</v>
      </c>
      <c r="EJ18" s="102">
        <v>1881986</v>
      </c>
      <c r="EK18" s="71"/>
      <c r="EL18" s="102"/>
      <c r="EM18" s="102">
        <v>270307</v>
      </c>
      <c r="EN18" s="102">
        <v>0</v>
      </c>
      <c r="EO18" s="102">
        <v>1110267</v>
      </c>
      <c r="EP18" s="73">
        <f t="shared" si="11"/>
        <v>5610374</v>
      </c>
      <c r="EQ18" s="102">
        <v>53832757</v>
      </c>
      <c r="ER18" s="71">
        <v>-12103321</v>
      </c>
      <c r="ES18" s="102">
        <v>14161583</v>
      </c>
      <c r="ET18" s="102">
        <v>9203009</v>
      </c>
      <c r="EU18" s="102">
        <v>8739924</v>
      </c>
      <c r="EV18" s="102">
        <v>8786292</v>
      </c>
      <c r="EW18" s="73">
        <f t="shared" si="12"/>
        <v>4208849</v>
      </c>
      <c r="EX18" s="102">
        <v>4202051</v>
      </c>
      <c r="EY18" s="102">
        <v>125509</v>
      </c>
      <c r="EZ18" s="102">
        <v>4076293</v>
      </c>
      <c r="FA18" s="102">
        <v>6798</v>
      </c>
      <c r="FB18" s="102">
        <v>0</v>
      </c>
      <c r="FC18" s="102">
        <v>8549531</v>
      </c>
      <c r="FD18" s="102">
        <v>3615130</v>
      </c>
      <c r="FE18" s="102">
        <v>65047</v>
      </c>
      <c r="FF18" s="102">
        <v>12607808</v>
      </c>
      <c r="FG18" s="73">
        <f t="shared" si="13"/>
        <v>2475878</v>
      </c>
      <c r="FH18" s="102">
        <v>63144995</v>
      </c>
      <c r="FI18" s="379">
        <f t="shared" si="14"/>
        <v>3.9</v>
      </c>
      <c r="FJ18" s="102">
        <v>48909143</v>
      </c>
      <c r="FK18" s="102">
        <v>5470392</v>
      </c>
      <c r="FL18" s="102">
        <v>29375112</v>
      </c>
      <c r="FM18" s="102">
        <v>39811968</v>
      </c>
      <c r="FN18" s="428">
        <v>0.73</v>
      </c>
      <c r="FO18" s="424">
        <v>95.2</v>
      </c>
      <c r="FP18" s="425">
        <v>24.8</v>
      </c>
      <c r="FQ18" s="424">
        <v>15.6</v>
      </c>
      <c r="FR18" s="424">
        <v>15.6</v>
      </c>
      <c r="FS18" s="425">
        <v>13.7</v>
      </c>
      <c r="FT18" s="424">
        <v>4.8</v>
      </c>
      <c r="FU18" s="425">
        <v>19.8</v>
      </c>
      <c r="FV18" s="384">
        <f t="shared" si="15"/>
        <v>6.9</v>
      </c>
      <c r="FW18" s="102">
        <v>86883662</v>
      </c>
      <c r="FX18" s="384">
        <f t="shared" si="16"/>
        <v>159.80000000000001</v>
      </c>
      <c r="FY18" s="102">
        <v>11716309</v>
      </c>
      <c r="FZ18" s="102">
        <v>6212052</v>
      </c>
      <c r="GA18" s="102">
        <v>0</v>
      </c>
      <c r="GB18" s="102">
        <v>5504257</v>
      </c>
      <c r="GC18" s="102">
        <v>0</v>
      </c>
      <c r="GD18" s="454"/>
      <c r="GE18" s="386"/>
      <c r="GF18" s="424">
        <v>99</v>
      </c>
      <c r="GG18" s="424">
        <v>33.700000000000003</v>
      </c>
      <c r="GH18" s="424">
        <v>97.1</v>
      </c>
      <c r="GI18" s="102">
        <v>1608</v>
      </c>
      <c r="GJ18" s="429" t="s">
        <v>646</v>
      </c>
      <c r="GK18" s="429">
        <v>11.25</v>
      </c>
      <c r="GL18" s="87">
        <v>20</v>
      </c>
      <c r="GM18" s="429" t="s">
        <v>646</v>
      </c>
      <c r="GN18" s="430">
        <v>16.25</v>
      </c>
      <c r="GO18" s="430">
        <v>30</v>
      </c>
      <c r="GP18" s="425">
        <v>6.9</v>
      </c>
      <c r="GQ18" s="425">
        <v>25</v>
      </c>
      <c r="GR18" s="425">
        <v>35</v>
      </c>
      <c r="GS18" s="431">
        <v>40.1</v>
      </c>
      <c r="GT18" s="425">
        <v>350</v>
      </c>
      <c r="GU18" s="394"/>
      <c r="GV18" s="100">
        <f t="shared" si="17"/>
        <v>54380</v>
      </c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</row>
    <row r="19" spans="2:230" x14ac:dyDescent="0.15">
      <c r="B19" s="89" t="s">
        <v>27</v>
      </c>
      <c r="C19" s="102">
        <v>20750040</v>
      </c>
      <c r="D19" s="73">
        <f t="shared" si="0"/>
        <v>4439540</v>
      </c>
      <c r="E19" s="102">
        <v>131515</v>
      </c>
      <c r="F19" s="102">
        <v>4308025</v>
      </c>
      <c r="G19" s="73">
        <f t="shared" si="1"/>
        <v>1756629</v>
      </c>
      <c r="H19" s="102">
        <v>434731</v>
      </c>
      <c r="I19" s="102">
        <v>1321898</v>
      </c>
      <c r="J19" s="102">
        <v>10090850</v>
      </c>
      <c r="K19" s="102">
        <v>3470344</v>
      </c>
      <c r="L19" s="102">
        <v>3666867</v>
      </c>
      <c r="M19" s="102">
        <v>2516932</v>
      </c>
      <c r="N19" s="102">
        <v>2565829</v>
      </c>
      <c r="O19" s="102">
        <v>1407277</v>
      </c>
      <c r="P19" s="102">
        <v>646177</v>
      </c>
      <c r="Q19" s="102">
        <v>761100</v>
      </c>
      <c r="R19" s="102">
        <v>205077</v>
      </c>
      <c r="S19" s="74"/>
      <c r="T19" s="73">
        <f t="shared" si="2"/>
        <v>1406321</v>
      </c>
      <c r="U19" s="102">
        <v>46993</v>
      </c>
      <c r="V19" s="102">
        <v>68421</v>
      </c>
      <c r="W19" s="102">
        <v>105178</v>
      </c>
      <c r="X19" s="102">
        <v>1039254</v>
      </c>
      <c r="Y19" s="102">
        <v>59928</v>
      </c>
      <c r="Z19" s="102">
        <v>0</v>
      </c>
      <c r="AA19" s="102">
        <v>86547</v>
      </c>
      <c r="AB19" s="102">
        <v>80316</v>
      </c>
      <c r="AC19" s="102">
        <v>2011826</v>
      </c>
      <c r="AD19" s="102">
        <v>1215433</v>
      </c>
      <c r="AE19" s="102">
        <v>796388</v>
      </c>
      <c r="AF19" s="102">
        <v>19018</v>
      </c>
      <c r="AG19" s="102">
        <v>553818</v>
      </c>
      <c r="AH19" s="73">
        <f t="shared" si="3"/>
        <v>962906</v>
      </c>
      <c r="AI19" s="102">
        <v>674316</v>
      </c>
      <c r="AJ19" s="102">
        <v>288590</v>
      </c>
      <c r="AK19" s="102">
        <v>6382636</v>
      </c>
      <c r="AL19" s="73">
        <f t="shared" si="4"/>
        <v>3641282</v>
      </c>
      <c r="AM19" s="102">
        <v>2461045</v>
      </c>
      <c r="AN19" s="102">
        <v>487890</v>
      </c>
      <c r="AO19" s="74"/>
      <c r="AP19" s="102">
        <v>692347</v>
      </c>
      <c r="AQ19" s="102">
        <v>686178</v>
      </c>
      <c r="AR19" s="102">
        <v>0</v>
      </c>
      <c r="AS19" s="102">
        <v>0</v>
      </c>
      <c r="AT19" s="102">
        <v>3242197</v>
      </c>
      <c r="AU19" s="102">
        <v>2127437</v>
      </c>
      <c r="AV19" s="102">
        <v>264534</v>
      </c>
      <c r="AW19" s="102">
        <v>387753</v>
      </c>
      <c r="AX19" s="102">
        <v>1114760</v>
      </c>
      <c r="AY19" s="102">
        <v>92856</v>
      </c>
      <c r="AZ19" s="102">
        <v>718509</v>
      </c>
      <c r="BA19" s="102">
        <v>706527</v>
      </c>
      <c r="BB19" s="102">
        <v>66014</v>
      </c>
      <c r="BC19" s="102">
        <v>739233</v>
      </c>
      <c r="BD19" s="102">
        <v>581002</v>
      </c>
      <c r="BE19" s="102">
        <v>0</v>
      </c>
      <c r="BF19" s="102">
        <v>58231</v>
      </c>
      <c r="BG19" s="102">
        <v>100000</v>
      </c>
      <c r="BH19" s="102">
        <v>250704</v>
      </c>
      <c r="BI19" s="102">
        <v>211501</v>
      </c>
      <c r="BJ19" s="102">
        <v>625059</v>
      </c>
      <c r="BK19" s="102">
        <v>141338</v>
      </c>
      <c r="BL19" s="102">
        <v>0</v>
      </c>
      <c r="BM19" s="102">
        <v>75011</v>
      </c>
      <c r="BN19" s="102">
        <v>3711000</v>
      </c>
      <c r="BO19" s="73">
        <f t="shared" si="5"/>
        <v>2007400</v>
      </c>
      <c r="BP19" s="73">
        <f t="shared" si="6"/>
        <v>1703600</v>
      </c>
      <c r="BQ19" s="102">
        <v>0</v>
      </c>
      <c r="BR19" s="102">
        <v>0</v>
      </c>
      <c r="BS19" s="102">
        <v>1703600</v>
      </c>
      <c r="BT19" s="102">
        <v>0</v>
      </c>
      <c r="BU19" s="102">
        <v>41724674</v>
      </c>
      <c r="BV19" s="71"/>
      <c r="BW19" s="102">
        <v>5280065</v>
      </c>
      <c r="BX19" s="102">
        <v>3110918</v>
      </c>
      <c r="BY19" s="102">
        <v>392375</v>
      </c>
      <c r="BZ19" s="102">
        <v>600731</v>
      </c>
      <c r="CA19" s="102">
        <v>9357697</v>
      </c>
      <c r="CB19" s="102">
        <v>1610198</v>
      </c>
      <c r="CC19" s="102">
        <v>158979</v>
      </c>
      <c r="CD19" s="102">
        <v>4257312</v>
      </c>
      <c r="CE19" s="102">
        <v>3240202</v>
      </c>
      <c r="CF19" s="102">
        <v>10898</v>
      </c>
      <c r="CG19" s="102">
        <v>80108</v>
      </c>
      <c r="CH19" s="102">
        <v>7361344</v>
      </c>
      <c r="CI19" s="102">
        <v>5774692</v>
      </c>
      <c r="CJ19" s="83">
        <f t="shared" si="18"/>
        <v>1586652</v>
      </c>
      <c r="CK19" s="102">
        <v>4038903</v>
      </c>
      <c r="CL19" s="102">
        <v>3120621</v>
      </c>
      <c r="CM19" s="102">
        <v>160179</v>
      </c>
      <c r="CN19" s="102">
        <v>457873</v>
      </c>
      <c r="CO19" s="102">
        <v>122562</v>
      </c>
      <c r="CP19" s="102">
        <v>4343511</v>
      </c>
      <c r="CQ19" s="102">
        <v>1796492</v>
      </c>
      <c r="CR19" s="102">
        <v>1609253</v>
      </c>
      <c r="CS19" s="102">
        <v>1129409</v>
      </c>
      <c r="CT19" s="73">
        <f t="shared" si="7"/>
        <v>1500</v>
      </c>
      <c r="CU19" s="102">
        <v>1500</v>
      </c>
      <c r="CV19" s="102">
        <v>0</v>
      </c>
      <c r="CW19" s="73">
        <f t="shared" si="8"/>
        <v>0</v>
      </c>
      <c r="CX19" s="102">
        <v>0</v>
      </c>
      <c r="CY19" s="102">
        <v>0</v>
      </c>
      <c r="CZ19" s="73">
        <f t="shared" si="9"/>
        <v>0</v>
      </c>
      <c r="DA19" s="102">
        <v>0</v>
      </c>
      <c r="DB19" s="102">
        <v>0</v>
      </c>
      <c r="DC19" s="102">
        <v>3636088</v>
      </c>
      <c r="DD19" s="102">
        <v>2247800</v>
      </c>
      <c r="DE19" s="102">
        <v>1380177</v>
      </c>
      <c r="DF19" s="77">
        <v>8110</v>
      </c>
      <c r="DG19" s="78">
        <v>0</v>
      </c>
      <c r="DH19" s="102">
        <v>0</v>
      </c>
      <c r="DI19" s="102">
        <v>1684234</v>
      </c>
      <c r="DJ19" s="102">
        <v>935014</v>
      </c>
      <c r="DK19" s="102">
        <v>252</v>
      </c>
      <c r="DL19" s="102">
        <v>748968</v>
      </c>
      <c r="DM19" s="102">
        <v>0</v>
      </c>
      <c r="DN19" s="102">
        <v>0</v>
      </c>
      <c r="DO19" s="102">
        <v>0</v>
      </c>
      <c r="DP19" s="102">
        <v>0</v>
      </c>
      <c r="DQ19" s="102">
        <v>114400</v>
      </c>
      <c r="DR19" s="102">
        <v>0</v>
      </c>
      <c r="DS19" s="102">
        <v>0</v>
      </c>
      <c r="DT19" s="102">
        <v>4676965</v>
      </c>
      <c r="DU19" s="102">
        <v>1545157</v>
      </c>
      <c r="DV19" s="73">
        <f t="shared" si="10"/>
        <v>0</v>
      </c>
      <c r="DW19" s="102">
        <v>0</v>
      </c>
      <c r="DX19" s="102">
        <v>1301503</v>
      </c>
      <c r="DY19" s="102">
        <v>0</v>
      </c>
      <c r="DZ19" s="102">
        <v>757094</v>
      </c>
      <c r="EA19" s="74">
        <v>0</v>
      </c>
      <c r="EB19" s="102">
        <v>1068318</v>
      </c>
      <c r="EC19" s="102">
        <v>0</v>
      </c>
      <c r="ED19" s="102">
        <v>40615769</v>
      </c>
      <c r="EE19" s="71"/>
      <c r="EF19" s="102">
        <v>1108905</v>
      </c>
      <c r="EG19" s="102">
        <v>114281</v>
      </c>
      <c r="EH19" s="102">
        <v>994624</v>
      </c>
      <c r="EI19" s="102">
        <v>783123</v>
      </c>
      <c r="EJ19" s="102">
        <v>1347335</v>
      </c>
      <c r="EK19" s="71"/>
      <c r="EL19" s="102"/>
      <c r="EM19" s="102">
        <v>101685</v>
      </c>
      <c r="EN19" s="102">
        <v>711002</v>
      </c>
      <c r="EO19" s="102">
        <v>717713</v>
      </c>
      <c r="EP19" s="73">
        <f t="shared" si="11"/>
        <v>981920</v>
      </c>
      <c r="EQ19" s="102">
        <v>24472598</v>
      </c>
      <c r="ER19" s="71">
        <v>-4095217</v>
      </c>
      <c r="ES19" s="102">
        <v>4723033</v>
      </c>
      <c r="ET19" s="102">
        <v>2611133</v>
      </c>
      <c r="EU19" s="102">
        <v>2535823</v>
      </c>
      <c r="EV19" s="102">
        <v>7093326</v>
      </c>
      <c r="EW19" s="73">
        <f t="shared" si="12"/>
        <v>664207</v>
      </c>
      <c r="EX19" s="102">
        <v>664207</v>
      </c>
      <c r="EY19" s="102">
        <v>45244</v>
      </c>
      <c r="EZ19" s="102">
        <v>617568</v>
      </c>
      <c r="FA19" s="102">
        <v>0</v>
      </c>
      <c r="FB19" s="102">
        <v>0</v>
      </c>
      <c r="FC19" s="102">
        <v>2710646</v>
      </c>
      <c r="FD19" s="102">
        <v>3886083</v>
      </c>
      <c r="FE19" s="102">
        <v>1563743</v>
      </c>
      <c r="FF19" s="102">
        <v>4108873</v>
      </c>
      <c r="FG19" s="73">
        <f t="shared" si="13"/>
        <v>1736919</v>
      </c>
      <c r="FH19" s="102">
        <v>27458910</v>
      </c>
      <c r="FI19" s="379">
        <f t="shared" si="14"/>
        <v>4.5999999999999996</v>
      </c>
      <c r="FJ19" s="102">
        <v>20150924</v>
      </c>
      <c r="FK19" s="102">
        <v>1703776</v>
      </c>
      <c r="FL19" s="102">
        <v>14470954</v>
      </c>
      <c r="FM19" s="102">
        <v>15686387</v>
      </c>
      <c r="FN19" s="428">
        <v>0.91500000000000004</v>
      </c>
      <c r="FO19" s="424">
        <v>99.4</v>
      </c>
      <c r="FP19" s="425">
        <v>19.3</v>
      </c>
      <c r="FQ19" s="424">
        <v>10.6</v>
      </c>
      <c r="FR19" s="424">
        <v>28.9</v>
      </c>
      <c r="FS19" s="425">
        <v>10.9</v>
      </c>
      <c r="FT19" s="424">
        <v>13</v>
      </c>
      <c r="FU19" s="425">
        <v>16.3</v>
      </c>
      <c r="FV19" s="384">
        <f t="shared" si="15"/>
        <v>23.2</v>
      </c>
      <c r="FW19" s="102">
        <v>81146735</v>
      </c>
      <c r="FX19" s="384">
        <f t="shared" si="16"/>
        <v>371.3</v>
      </c>
      <c r="FY19" s="102">
        <v>4779783</v>
      </c>
      <c r="FZ19" s="102">
        <v>957626</v>
      </c>
      <c r="GA19" s="102">
        <v>1206649</v>
      </c>
      <c r="GB19" s="102">
        <v>2615508</v>
      </c>
      <c r="GC19" s="102">
        <v>0</v>
      </c>
      <c r="GD19" s="454">
        <v>3884</v>
      </c>
      <c r="GE19" s="386">
        <f>IF(GD19=0,"-",ROUND(GD19/(GV19)*100,1))</f>
        <v>17.8</v>
      </c>
      <c r="GF19" s="424">
        <v>99.3</v>
      </c>
      <c r="GG19" s="424">
        <v>32.9</v>
      </c>
      <c r="GH19" s="424">
        <v>98</v>
      </c>
      <c r="GI19" s="102">
        <v>523</v>
      </c>
      <c r="GJ19" s="429" t="s">
        <v>646</v>
      </c>
      <c r="GK19" s="429">
        <v>12.32</v>
      </c>
      <c r="GL19" s="87">
        <v>20</v>
      </c>
      <c r="GM19" s="429" t="s">
        <v>646</v>
      </c>
      <c r="GN19" s="430">
        <v>17.32</v>
      </c>
      <c r="GO19" s="430">
        <v>30</v>
      </c>
      <c r="GP19" s="425">
        <v>23.2</v>
      </c>
      <c r="GQ19" s="425">
        <v>25</v>
      </c>
      <c r="GR19" s="425">
        <v>35</v>
      </c>
      <c r="GS19" s="431">
        <v>302.10000000000002</v>
      </c>
      <c r="GT19" s="425">
        <v>350</v>
      </c>
      <c r="GU19" s="394"/>
      <c r="GV19" s="100">
        <f t="shared" si="17"/>
        <v>21855</v>
      </c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</row>
    <row r="20" spans="2:230" x14ac:dyDescent="0.15">
      <c r="B20" s="89" t="s">
        <v>29</v>
      </c>
      <c r="C20" s="102">
        <v>13404615</v>
      </c>
      <c r="D20" s="73">
        <f t="shared" si="0"/>
        <v>6029232</v>
      </c>
      <c r="E20" s="102">
        <v>151847</v>
      </c>
      <c r="F20" s="102">
        <v>5877385</v>
      </c>
      <c r="G20" s="73">
        <f t="shared" si="1"/>
        <v>594779</v>
      </c>
      <c r="H20" s="102">
        <v>189124</v>
      </c>
      <c r="I20" s="102">
        <v>405655</v>
      </c>
      <c r="J20" s="102">
        <v>5036302</v>
      </c>
      <c r="K20" s="102">
        <v>2003503</v>
      </c>
      <c r="L20" s="102">
        <v>2318696</v>
      </c>
      <c r="M20" s="102">
        <v>605898</v>
      </c>
      <c r="N20" s="102">
        <v>615628</v>
      </c>
      <c r="O20" s="102">
        <v>974218</v>
      </c>
      <c r="P20" s="102">
        <v>533090</v>
      </c>
      <c r="Q20" s="102">
        <v>441128</v>
      </c>
      <c r="R20" s="102">
        <v>209922</v>
      </c>
      <c r="S20" s="74"/>
      <c r="T20" s="73">
        <f t="shared" si="2"/>
        <v>1451388</v>
      </c>
      <c r="U20" s="102">
        <v>66275</v>
      </c>
      <c r="V20" s="102">
        <v>96252</v>
      </c>
      <c r="W20" s="102">
        <v>147697</v>
      </c>
      <c r="X20" s="102">
        <v>984009</v>
      </c>
      <c r="Y20" s="102">
        <v>53900</v>
      </c>
      <c r="Z20" s="102">
        <v>0</v>
      </c>
      <c r="AA20" s="102">
        <v>103255</v>
      </c>
      <c r="AB20" s="102">
        <v>67614</v>
      </c>
      <c r="AC20" s="102">
        <v>6479290</v>
      </c>
      <c r="AD20" s="102">
        <v>6270672</v>
      </c>
      <c r="AE20" s="102">
        <v>208612</v>
      </c>
      <c r="AF20" s="102">
        <v>20318</v>
      </c>
      <c r="AG20" s="102">
        <v>823554</v>
      </c>
      <c r="AH20" s="73">
        <f t="shared" si="3"/>
        <v>903222</v>
      </c>
      <c r="AI20" s="102">
        <v>630333</v>
      </c>
      <c r="AJ20" s="102">
        <v>272889</v>
      </c>
      <c r="AK20" s="102">
        <v>6864694</v>
      </c>
      <c r="AL20" s="73">
        <f t="shared" si="4"/>
        <v>4568089</v>
      </c>
      <c r="AM20" s="102">
        <v>3391543</v>
      </c>
      <c r="AN20" s="102">
        <v>398808</v>
      </c>
      <c r="AO20" s="74"/>
      <c r="AP20" s="102">
        <v>777738</v>
      </c>
      <c r="AQ20" s="102">
        <v>377490</v>
      </c>
      <c r="AR20" s="102">
        <v>10499</v>
      </c>
      <c r="AS20" s="102">
        <v>0</v>
      </c>
      <c r="AT20" s="102">
        <v>2309398</v>
      </c>
      <c r="AU20" s="102">
        <v>1167719</v>
      </c>
      <c r="AV20" s="102">
        <v>187075</v>
      </c>
      <c r="AW20" s="102">
        <v>32673</v>
      </c>
      <c r="AX20" s="102">
        <v>1141679</v>
      </c>
      <c r="AY20" s="102">
        <v>6021</v>
      </c>
      <c r="AZ20" s="102">
        <v>183343</v>
      </c>
      <c r="BA20" s="102">
        <v>168414</v>
      </c>
      <c r="BB20" s="102">
        <v>24714</v>
      </c>
      <c r="BC20" s="102">
        <v>1043926</v>
      </c>
      <c r="BD20" s="102">
        <v>0</v>
      </c>
      <c r="BE20" s="102">
        <v>0</v>
      </c>
      <c r="BF20" s="102">
        <v>143926</v>
      </c>
      <c r="BG20" s="102">
        <v>0</v>
      </c>
      <c r="BH20" s="102">
        <v>569591</v>
      </c>
      <c r="BI20" s="102">
        <v>518664</v>
      </c>
      <c r="BJ20" s="102">
        <v>2627807</v>
      </c>
      <c r="BK20" s="102">
        <v>2289728</v>
      </c>
      <c r="BL20" s="102">
        <v>0</v>
      </c>
      <c r="BM20" s="102">
        <v>31768</v>
      </c>
      <c r="BN20" s="102">
        <v>2693600</v>
      </c>
      <c r="BO20" s="73">
        <f t="shared" si="5"/>
        <v>1193600</v>
      </c>
      <c r="BP20" s="73">
        <f t="shared" si="6"/>
        <v>1500000</v>
      </c>
      <c r="BQ20" s="102">
        <v>0</v>
      </c>
      <c r="BR20" s="102">
        <v>0</v>
      </c>
      <c r="BS20" s="102">
        <v>1500000</v>
      </c>
      <c r="BT20" s="102">
        <v>0</v>
      </c>
      <c r="BU20" s="102">
        <v>39676996</v>
      </c>
      <c r="BV20" s="71"/>
      <c r="BW20" s="102">
        <v>7189345</v>
      </c>
      <c r="BX20" s="102">
        <v>4643832</v>
      </c>
      <c r="BY20" s="102">
        <v>670659</v>
      </c>
      <c r="BZ20" s="102">
        <v>581942</v>
      </c>
      <c r="CA20" s="102">
        <v>10802944</v>
      </c>
      <c r="CB20" s="102">
        <v>2017718</v>
      </c>
      <c r="CC20" s="102">
        <v>204528</v>
      </c>
      <c r="CD20" s="102">
        <v>4035165</v>
      </c>
      <c r="CE20" s="102">
        <v>4382693</v>
      </c>
      <c r="CF20" s="102">
        <v>21247</v>
      </c>
      <c r="CG20" s="102">
        <v>141593</v>
      </c>
      <c r="CH20" s="102">
        <v>2231504</v>
      </c>
      <c r="CI20" s="102">
        <v>1881939</v>
      </c>
      <c r="CJ20" s="83">
        <f t="shared" si="18"/>
        <v>349565</v>
      </c>
      <c r="CK20" s="102">
        <v>4663562</v>
      </c>
      <c r="CL20" s="102">
        <v>3076621</v>
      </c>
      <c r="CM20" s="102">
        <v>376941</v>
      </c>
      <c r="CN20" s="102">
        <v>833732</v>
      </c>
      <c r="CO20" s="102">
        <v>303581</v>
      </c>
      <c r="CP20" s="102">
        <v>2538060</v>
      </c>
      <c r="CQ20" s="102">
        <v>1142557</v>
      </c>
      <c r="CR20" s="102">
        <v>967715</v>
      </c>
      <c r="CS20" s="102">
        <v>682561</v>
      </c>
      <c r="CT20" s="73">
        <f t="shared" si="7"/>
        <v>5281</v>
      </c>
      <c r="CU20" s="102">
        <v>3018</v>
      </c>
      <c r="CV20" s="102">
        <v>2263</v>
      </c>
      <c r="CW20" s="73">
        <f t="shared" si="8"/>
        <v>0</v>
      </c>
      <c r="CX20" s="102">
        <v>0</v>
      </c>
      <c r="CY20" s="102">
        <v>0</v>
      </c>
      <c r="CZ20" s="73">
        <f t="shared" si="9"/>
        <v>0</v>
      </c>
      <c r="DA20" s="102">
        <v>0</v>
      </c>
      <c r="DB20" s="102">
        <v>0</v>
      </c>
      <c r="DC20" s="102">
        <v>3185535</v>
      </c>
      <c r="DD20" s="102">
        <v>819786</v>
      </c>
      <c r="DE20" s="102">
        <v>2365749</v>
      </c>
      <c r="DF20" s="77">
        <v>0</v>
      </c>
      <c r="DG20" s="78">
        <v>0</v>
      </c>
      <c r="DH20" s="102">
        <v>48916</v>
      </c>
      <c r="DI20" s="102">
        <v>680331</v>
      </c>
      <c r="DJ20" s="102">
        <v>3361</v>
      </c>
      <c r="DK20" s="102">
        <v>0</v>
      </c>
      <c r="DL20" s="102">
        <v>676970</v>
      </c>
      <c r="DM20" s="102">
        <v>0</v>
      </c>
      <c r="DN20" s="102">
        <v>0</v>
      </c>
      <c r="DO20" s="102">
        <v>0</v>
      </c>
      <c r="DP20" s="102">
        <v>0</v>
      </c>
      <c r="DQ20" s="102">
        <v>1385130</v>
      </c>
      <c r="DR20" s="102">
        <v>0</v>
      </c>
      <c r="DS20" s="102">
        <v>0</v>
      </c>
      <c r="DT20" s="102">
        <v>5744360</v>
      </c>
      <c r="DU20" s="102">
        <v>1225291</v>
      </c>
      <c r="DV20" s="73">
        <f t="shared" si="10"/>
        <v>0</v>
      </c>
      <c r="DW20" s="102">
        <v>0</v>
      </c>
      <c r="DX20" s="102">
        <v>1323571</v>
      </c>
      <c r="DY20" s="102">
        <v>0</v>
      </c>
      <c r="DZ20" s="102">
        <v>1088740</v>
      </c>
      <c r="EA20" s="74">
        <v>0</v>
      </c>
      <c r="EB20" s="102">
        <v>1204239</v>
      </c>
      <c r="EC20" s="102">
        <v>0</v>
      </c>
      <c r="ED20" s="102">
        <v>38773268</v>
      </c>
      <c r="EE20" s="71"/>
      <c r="EF20" s="102">
        <v>903728</v>
      </c>
      <c r="EG20" s="102">
        <v>123283</v>
      </c>
      <c r="EH20" s="102">
        <v>780445</v>
      </c>
      <c r="EI20" s="102">
        <v>261781</v>
      </c>
      <c r="EJ20" s="102">
        <v>265142</v>
      </c>
      <c r="EK20" s="71"/>
      <c r="EL20" s="102"/>
      <c r="EM20" s="102">
        <v>116851</v>
      </c>
      <c r="EN20" s="102">
        <v>308615</v>
      </c>
      <c r="EO20" s="102">
        <v>174872</v>
      </c>
      <c r="EP20" s="73">
        <f t="shared" si="11"/>
        <v>1071336</v>
      </c>
      <c r="EQ20" s="102">
        <v>21633147</v>
      </c>
      <c r="ER20" s="71">
        <v>-3034505</v>
      </c>
      <c r="ES20" s="102">
        <v>6389165</v>
      </c>
      <c r="ET20" s="102">
        <v>3957869</v>
      </c>
      <c r="EU20" s="102">
        <v>3267935</v>
      </c>
      <c r="EV20" s="102">
        <v>2183320</v>
      </c>
      <c r="EW20" s="73">
        <f t="shared" si="12"/>
        <v>916538</v>
      </c>
      <c r="EX20" s="102">
        <v>898178</v>
      </c>
      <c r="EY20" s="102">
        <v>40200</v>
      </c>
      <c r="EZ20" s="102">
        <v>857978</v>
      </c>
      <c r="FA20" s="102">
        <v>18360</v>
      </c>
      <c r="FB20" s="102">
        <v>0</v>
      </c>
      <c r="FC20" s="102">
        <v>3621263</v>
      </c>
      <c r="FD20" s="102">
        <v>2261146</v>
      </c>
      <c r="FE20" s="102">
        <v>1142557</v>
      </c>
      <c r="FF20" s="102">
        <v>4237379</v>
      </c>
      <c r="FG20" s="73">
        <f t="shared" si="13"/>
        <v>887178</v>
      </c>
      <c r="FH20" s="102">
        <v>23763924</v>
      </c>
      <c r="FI20" s="379">
        <f t="shared" si="14"/>
        <v>3.5</v>
      </c>
      <c r="FJ20" s="102">
        <v>20352252</v>
      </c>
      <c r="FK20" s="102">
        <v>2070820</v>
      </c>
      <c r="FL20" s="102">
        <v>10799865</v>
      </c>
      <c r="FM20" s="102">
        <v>17073398</v>
      </c>
      <c r="FN20" s="428">
        <v>0.628</v>
      </c>
      <c r="FO20" s="424">
        <v>95.4</v>
      </c>
      <c r="FP20" s="425">
        <v>28.4</v>
      </c>
      <c r="FQ20" s="424">
        <v>14.8</v>
      </c>
      <c r="FR20" s="424">
        <v>9.9</v>
      </c>
      <c r="FS20" s="425">
        <v>16.2</v>
      </c>
      <c r="FT20" s="424">
        <v>9.4</v>
      </c>
      <c r="FU20" s="425">
        <v>15.4</v>
      </c>
      <c r="FV20" s="384">
        <f t="shared" si="15"/>
        <v>0.5</v>
      </c>
      <c r="FW20" s="102">
        <v>26113060</v>
      </c>
      <c r="FX20" s="384">
        <f t="shared" si="16"/>
        <v>116.5</v>
      </c>
      <c r="FY20" s="102">
        <v>9558804</v>
      </c>
      <c r="FZ20" s="102">
        <v>3758110</v>
      </c>
      <c r="GA20" s="102">
        <v>0</v>
      </c>
      <c r="GB20" s="102">
        <v>5800694</v>
      </c>
      <c r="GC20" s="102">
        <v>0</v>
      </c>
      <c r="GD20" s="454"/>
      <c r="GE20" s="386"/>
      <c r="GF20" s="424">
        <v>98.4</v>
      </c>
      <c r="GG20" s="424">
        <v>23.4</v>
      </c>
      <c r="GH20" s="424">
        <v>93.5</v>
      </c>
      <c r="GI20" s="102">
        <v>792</v>
      </c>
      <c r="GJ20" s="429" t="s">
        <v>646</v>
      </c>
      <c r="GK20" s="429">
        <v>12.27</v>
      </c>
      <c r="GL20" s="87">
        <v>20</v>
      </c>
      <c r="GM20" s="429" t="s">
        <v>646</v>
      </c>
      <c r="GN20" s="430">
        <v>17.27</v>
      </c>
      <c r="GO20" s="430">
        <v>30</v>
      </c>
      <c r="GP20" s="425">
        <v>0.5</v>
      </c>
      <c r="GQ20" s="425">
        <v>25</v>
      </c>
      <c r="GR20" s="425">
        <v>35</v>
      </c>
      <c r="GS20" s="431" t="s">
        <v>646</v>
      </c>
      <c r="GT20" s="425">
        <v>350</v>
      </c>
      <c r="GU20" s="394"/>
      <c r="GV20" s="100">
        <f t="shared" si="17"/>
        <v>22423</v>
      </c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</row>
    <row r="21" spans="2:230" x14ac:dyDescent="0.15">
      <c r="B21" s="89" t="s">
        <v>31</v>
      </c>
      <c r="C21" s="102">
        <v>28279333</v>
      </c>
      <c r="D21" s="73">
        <f t="shared" si="0"/>
        <v>10988278</v>
      </c>
      <c r="E21" s="102">
        <v>305623</v>
      </c>
      <c r="F21" s="102">
        <v>10682655</v>
      </c>
      <c r="G21" s="73">
        <f t="shared" si="1"/>
        <v>1915944</v>
      </c>
      <c r="H21" s="102">
        <v>524761</v>
      </c>
      <c r="I21" s="102">
        <v>1391183</v>
      </c>
      <c r="J21" s="102">
        <v>10969565</v>
      </c>
      <c r="K21" s="102">
        <v>4710785</v>
      </c>
      <c r="L21" s="102">
        <v>4947564</v>
      </c>
      <c r="M21" s="102">
        <v>1024791</v>
      </c>
      <c r="N21" s="102">
        <v>1745355</v>
      </c>
      <c r="O21" s="102">
        <v>2454692</v>
      </c>
      <c r="P21" s="102">
        <v>1376126</v>
      </c>
      <c r="Q21" s="102">
        <v>1078566</v>
      </c>
      <c r="R21" s="102">
        <v>338547</v>
      </c>
      <c r="S21" s="74"/>
      <c r="T21" s="73">
        <f t="shared" si="2"/>
        <v>2679811</v>
      </c>
      <c r="U21" s="102">
        <v>118717</v>
      </c>
      <c r="V21" s="102">
        <v>172295</v>
      </c>
      <c r="W21" s="102">
        <v>264255</v>
      </c>
      <c r="X21" s="102">
        <v>1958032</v>
      </c>
      <c r="Y21" s="102">
        <v>0</v>
      </c>
      <c r="Z21" s="102">
        <v>0</v>
      </c>
      <c r="AA21" s="102">
        <v>166512</v>
      </c>
      <c r="AB21" s="102">
        <v>192469</v>
      </c>
      <c r="AC21" s="102">
        <v>11973701</v>
      </c>
      <c r="AD21" s="102">
        <v>11415121</v>
      </c>
      <c r="AE21" s="102">
        <v>558570</v>
      </c>
      <c r="AF21" s="102">
        <v>34652</v>
      </c>
      <c r="AG21" s="102">
        <v>878094</v>
      </c>
      <c r="AH21" s="73">
        <f t="shared" si="3"/>
        <v>937650</v>
      </c>
      <c r="AI21" s="102">
        <v>649089</v>
      </c>
      <c r="AJ21" s="102">
        <v>288561</v>
      </c>
      <c r="AK21" s="102">
        <v>18205417</v>
      </c>
      <c r="AL21" s="73">
        <f t="shared" si="4"/>
        <v>12457075</v>
      </c>
      <c r="AM21" s="102">
        <v>9452494</v>
      </c>
      <c r="AN21" s="102">
        <v>1067239</v>
      </c>
      <c r="AO21" s="74"/>
      <c r="AP21" s="102">
        <v>1937342</v>
      </c>
      <c r="AQ21" s="102">
        <v>460765</v>
      </c>
      <c r="AR21" s="102">
        <v>0</v>
      </c>
      <c r="AS21" s="102">
        <v>0</v>
      </c>
      <c r="AT21" s="102">
        <v>5752125</v>
      </c>
      <c r="AU21" s="102">
        <v>4308970</v>
      </c>
      <c r="AV21" s="102">
        <v>533619</v>
      </c>
      <c r="AW21" s="102">
        <v>638094</v>
      </c>
      <c r="AX21" s="102">
        <v>1443155</v>
      </c>
      <c r="AY21" s="102">
        <v>8216</v>
      </c>
      <c r="AZ21" s="102">
        <v>147515</v>
      </c>
      <c r="BA21" s="102">
        <v>135326</v>
      </c>
      <c r="BB21" s="102">
        <v>18306</v>
      </c>
      <c r="BC21" s="102">
        <v>1524828</v>
      </c>
      <c r="BD21" s="102">
        <v>500000</v>
      </c>
      <c r="BE21" s="102">
        <v>883380</v>
      </c>
      <c r="BF21" s="102">
        <v>141444</v>
      </c>
      <c r="BG21" s="102">
        <v>0</v>
      </c>
      <c r="BH21" s="102">
        <v>773500</v>
      </c>
      <c r="BI21" s="102">
        <v>696058</v>
      </c>
      <c r="BJ21" s="102">
        <v>854218</v>
      </c>
      <c r="BK21" s="102">
        <v>58863</v>
      </c>
      <c r="BL21" s="102">
        <v>0</v>
      </c>
      <c r="BM21" s="102">
        <v>70117</v>
      </c>
      <c r="BN21" s="102">
        <v>5989300</v>
      </c>
      <c r="BO21" s="73">
        <f t="shared" si="5"/>
        <v>1989300</v>
      </c>
      <c r="BP21" s="73">
        <f t="shared" si="6"/>
        <v>4000000</v>
      </c>
      <c r="BQ21" s="102">
        <v>0</v>
      </c>
      <c r="BR21" s="102">
        <v>0</v>
      </c>
      <c r="BS21" s="102">
        <v>4000000</v>
      </c>
      <c r="BT21" s="102">
        <v>0</v>
      </c>
      <c r="BU21" s="102">
        <v>78579466</v>
      </c>
      <c r="BV21" s="71"/>
      <c r="BW21" s="102">
        <v>10609694</v>
      </c>
      <c r="BX21" s="102">
        <v>7148381</v>
      </c>
      <c r="BY21" s="102">
        <v>1251898</v>
      </c>
      <c r="BZ21" s="102">
        <v>303758</v>
      </c>
      <c r="CA21" s="102">
        <v>27694574</v>
      </c>
      <c r="CB21" s="102">
        <v>4868652</v>
      </c>
      <c r="CC21" s="102">
        <v>380889</v>
      </c>
      <c r="CD21" s="102">
        <v>9425655</v>
      </c>
      <c r="CE21" s="102">
        <v>12599846</v>
      </c>
      <c r="CF21" s="102">
        <v>46791</v>
      </c>
      <c r="CG21" s="102">
        <v>361517</v>
      </c>
      <c r="CH21" s="102">
        <v>8446786</v>
      </c>
      <c r="CI21" s="102">
        <v>7501393</v>
      </c>
      <c r="CJ21" s="83">
        <f t="shared" si="18"/>
        <v>945393</v>
      </c>
      <c r="CK21" s="102">
        <v>7030859</v>
      </c>
      <c r="CL21" s="102">
        <v>3585030</v>
      </c>
      <c r="CM21" s="102">
        <v>771600</v>
      </c>
      <c r="CN21" s="102">
        <v>1570237</v>
      </c>
      <c r="CO21" s="102">
        <v>282227</v>
      </c>
      <c r="CP21" s="102">
        <v>7582780</v>
      </c>
      <c r="CQ21" s="102">
        <v>2924980</v>
      </c>
      <c r="CR21" s="102">
        <v>1536244</v>
      </c>
      <c r="CS21" s="102">
        <v>1089800</v>
      </c>
      <c r="CT21" s="73">
        <f t="shared" si="7"/>
        <v>1684289</v>
      </c>
      <c r="CU21" s="102">
        <v>1684289</v>
      </c>
      <c r="CV21" s="102">
        <v>0</v>
      </c>
      <c r="CW21" s="73">
        <f t="shared" si="8"/>
        <v>0</v>
      </c>
      <c r="CX21" s="102">
        <v>0</v>
      </c>
      <c r="CY21" s="102">
        <v>0</v>
      </c>
      <c r="CZ21" s="73">
        <f t="shared" si="9"/>
        <v>1672382</v>
      </c>
      <c r="DA21" s="102">
        <v>1672382</v>
      </c>
      <c r="DB21" s="102">
        <v>0</v>
      </c>
      <c r="DC21" s="102">
        <v>5521784</v>
      </c>
      <c r="DD21" s="102">
        <v>2834706</v>
      </c>
      <c r="DE21" s="102">
        <v>2687078</v>
      </c>
      <c r="DF21" s="77">
        <v>0</v>
      </c>
      <c r="DG21" s="78">
        <v>0</v>
      </c>
      <c r="DH21" s="102">
        <v>0</v>
      </c>
      <c r="DI21" s="102">
        <v>2493972</v>
      </c>
      <c r="DJ21" s="102">
        <v>751761</v>
      </c>
      <c r="DK21" s="102">
        <v>1458778</v>
      </c>
      <c r="DL21" s="102">
        <v>283433</v>
      </c>
      <c r="DM21" s="102">
        <v>461916</v>
      </c>
      <c r="DN21" s="102">
        <v>461916</v>
      </c>
      <c r="DO21" s="102">
        <v>0</v>
      </c>
      <c r="DP21" s="102">
        <v>0</v>
      </c>
      <c r="DQ21" s="102">
        <v>11756</v>
      </c>
      <c r="DR21" s="102">
        <v>0</v>
      </c>
      <c r="DS21" s="102">
        <v>0</v>
      </c>
      <c r="DT21" s="102">
        <v>7421167</v>
      </c>
      <c r="DU21" s="102">
        <v>0</v>
      </c>
      <c r="DV21" s="73">
        <f t="shared" si="10"/>
        <v>0</v>
      </c>
      <c r="DW21" s="102">
        <v>0</v>
      </c>
      <c r="DX21" s="102">
        <v>2363244</v>
      </c>
      <c r="DY21" s="102">
        <v>0</v>
      </c>
      <c r="DZ21" s="102">
        <v>2786371</v>
      </c>
      <c r="EA21" s="74">
        <v>0</v>
      </c>
      <c r="EB21" s="102">
        <v>2271552</v>
      </c>
      <c r="EC21" s="102">
        <v>0</v>
      </c>
      <c r="ED21" s="102">
        <v>77557515</v>
      </c>
      <c r="EE21" s="71"/>
      <c r="EF21" s="102">
        <v>1021951</v>
      </c>
      <c r="EG21" s="102">
        <v>164189</v>
      </c>
      <c r="EH21" s="102">
        <v>857762</v>
      </c>
      <c r="EI21" s="102">
        <v>161704</v>
      </c>
      <c r="EJ21" s="102">
        <v>1433584</v>
      </c>
      <c r="EK21" s="71"/>
      <c r="EL21" s="102"/>
      <c r="EM21" s="102">
        <v>241340</v>
      </c>
      <c r="EN21" s="102">
        <v>1383384</v>
      </c>
      <c r="EO21" s="102">
        <v>135326</v>
      </c>
      <c r="EP21" s="73">
        <f t="shared" si="11"/>
        <v>1996448</v>
      </c>
      <c r="EQ21" s="102">
        <v>43498513</v>
      </c>
      <c r="ER21" s="71">
        <v>-7480506</v>
      </c>
      <c r="ES21" s="102">
        <v>9531798</v>
      </c>
      <c r="ET21" s="102">
        <v>6179291</v>
      </c>
      <c r="EU21" s="102">
        <v>7927551</v>
      </c>
      <c r="EV21" s="102">
        <v>8423399</v>
      </c>
      <c r="EW21" s="73">
        <f t="shared" si="12"/>
        <v>1710034</v>
      </c>
      <c r="EX21" s="102">
        <v>1710034</v>
      </c>
      <c r="EY21" s="102">
        <v>386188</v>
      </c>
      <c r="EZ21" s="102">
        <v>1323846</v>
      </c>
      <c r="FA21" s="102">
        <v>0</v>
      </c>
      <c r="FB21" s="102">
        <v>0</v>
      </c>
      <c r="FC21" s="102">
        <v>5945070</v>
      </c>
      <c r="FD21" s="102">
        <v>7023340</v>
      </c>
      <c r="FE21" s="102">
        <v>2916376</v>
      </c>
      <c r="FF21" s="102">
        <v>6198071</v>
      </c>
      <c r="FG21" s="73">
        <f t="shared" si="13"/>
        <v>3197805</v>
      </c>
      <c r="FH21" s="102">
        <v>49957068</v>
      </c>
      <c r="FI21" s="379">
        <f t="shared" si="14"/>
        <v>1.9</v>
      </c>
      <c r="FJ21" s="102">
        <v>39918945</v>
      </c>
      <c r="FK21" s="102">
        <v>4210087</v>
      </c>
      <c r="FL21" s="102">
        <v>21985831</v>
      </c>
      <c r="FM21" s="102">
        <v>33400952</v>
      </c>
      <c r="FN21" s="428">
        <v>0.65500000000000003</v>
      </c>
      <c r="FO21" s="424">
        <v>92.7</v>
      </c>
      <c r="FP21" s="425">
        <v>20.100000000000001</v>
      </c>
      <c r="FQ21" s="424">
        <v>17.7</v>
      </c>
      <c r="FR21" s="424">
        <v>16.600000000000001</v>
      </c>
      <c r="FS21" s="425">
        <v>12</v>
      </c>
      <c r="FT21" s="424">
        <v>13.1</v>
      </c>
      <c r="FU21" s="425">
        <v>11.6</v>
      </c>
      <c r="FV21" s="384">
        <f t="shared" si="15"/>
        <v>3.6</v>
      </c>
      <c r="FW21" s="102">
        <v>66640474</v>
      </c>
      <c r="FX21" s="384">
        <f t="shared" si="16"/>
        <v>151</v>
      </c>
      <c r="FY21" s="102">
        <v>10257881</v>
      </c>
      <c r="FZ21" s="102">
        <v>2805793</v>
      </c>
      <c r="GA21" s="102">
        <v>1628044</v>
      </c>
      <c r="GB21" s="102">
        <v>5824044</v>
      </c>
      <c r="GC21" s="102">
        <v>0</v>
      </c>
      <c r="GD21" s="454"/>
      <c r="GE21" s="386"/>
      <c r="GF21" s="424">
        <v>98</v>
      </c>
      <c r="GG21" s="424">
        <v>20.8</v>
      </c>
      <c r="GH21" s="424">
        <v>90.9</v>
      </c>
      <c r="GI21" s="102">
        <v>1086</v>
      </c>
      <c r="GJ21" s="429" t="s">
        <v>646</v>
      </c>
      <c r="GK21" s="429">
        <v>11.36</v>
      </c>
      <c r="GL21" s="87">
        <v>20</v>
      </c>
      <c r="GM21" s="429" t="s">
        <v>646</v>
      </c>
      <c r="GN21" s="430">
        <v>16.36</v>
      </c>
      <c r="GO21" s="430">
        <v>30</v>
      </c>
      <c r="GP21" s="425">
        <v>3.6</v>
      </c>
      <c r="GQ21" s="425">
        <v>25</v>
      </c>
      <c r="GR21" s="425">
        <v>35</v>
      </c>
      <c r="GS21" s="431" t="s">
        <v>646</v>
      </c>
      <c r="GT21" s="425">
        <v>350</v>
      </c>
      <c r="GU21" s="394"/>
      <c r="GV21" s="100">
        <f t="shared" si="17"/>
        <v>44129</v>
      </c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</row>
    <row r="22" spans="2:230" x14ac:dyDescent="0.15">
      <c r="B22" s="89" t="s">
        <v>33</v>
      </c>
      <c r="C22" s="102">
        <v>12665494</v>
      </c>
      <c r="D22" s="73">
        <f t="shared" si="0"/>
        <v>5821058</v>
      </c>
      <c r="E22" s="102">
        <v>151148</v>
      </c>
      <c r="F22" s="102">
        <v>5669910</v>
      </c>
      <c r="G22" s="73">
        <f t="shared" si="1"/>
        <v>721785</v>
      </c>
      <c r="H22" s="102">
        <v>199650</v>
      </c>
      <c r="I22" s="102">
        <v>522135</v>
      </c>
      <c r="J22" s="102">
        <v>4521071</v>
      </c>
      <c r="K22" s="102">
        <v>1689686</v>
      </c>
      <c r="L22" s="102">
        <v>2149378</v>
      </c>
      <c r="M22" s="102">
        <v>611516</v>
      </c>
      <c r="N22" s="102">
        <v>533768</v>
      </c>
      <c r="O22" s="102">
        <v>926813</v>
      </c>
      <c r="P22" s="102">
        <v>488346</v>
      </c>
      <c r="Q22" s="102">
        <v>438467</v>
      </c>
      <c r="R22" s="102">
        <v>228512</v>
      </c>
      <c r="S22" s="74"/>
      <c r="T22" s="73">
        <f t="shared" si="2"/>
        <v>1278550</v>
      </c>
      <c r="U22" s="102">
        <v>66665</v>
      </c>
      <c r="V22" s="102">
        <v>96405</v>
      </c>
      <c r="W22" s="102">
        <v>147484</v>
      </c>
      <c r="X22" s="102">
        <v>834477</v>
      </c>
      <c r="Y22" s="102">
        <v>21042</v>
      </c>
      <c r="Z22" s="102">
        <v>0</v>
      </c>
      <c r="AA22" s="102">
        <v>112477</v>
      </c>
      <c r="AB22" s="102">
        <v>62966</v>
      </c>
      <c r="AC22" s="102">
        <v>6399154</v>
      </c>
      <c r="AD22" s="102">
        <v>6169825</v>
      </c>
      <c r="AE22" s="102">
        <v>229321</v>
      </c>
      <c r="AF22" s="102">
        <v>17829</v>
      </c>
      <c r="AG22" s="102">
        <v>333560</v>
      </c>
      <c r="AH22" s="73">
        <f t="shared" si="3"/>
        <v>699749</v>
      </c>
      <c r="AI22" s="102">
        <v>384243</v>
      </c>
      <c r="AJ22" s="102">
        <v>315506</v>
      </c>
      <c r="AK22" s="102">
        <v>5602056</v>
      </c>
      <c r="AL22" s="73">
        <f t="shared" si="4"/>
        <v>3379994</v>
      </c>
      <c r="AM22" s="102">
        <v>2151349</v>
      </c>
      <c r="AN22" s="102">
        <v>389294</v>
      </c>
      <c r="AO22" s="74"/>
      <c r="AP22" s="102">
        <v>839351</v>
      </c>
      <c r="AQ22" s="102">
        <v>305461</v>
      </c>
      <c r="AR22" s="102">
        <v>0</v>
      </c>
      <c r="AS22" s="102">
        <v>0</v>
      </c>
      <c r="AT22" s="102">
        <v>2287731</v>
      </c>
      <c r="AU22" s="102">
        <v>1276479</v>
      </c>
      <c r="AV22" s="102">
        <v>193588</v>
      </c>
      <c r="AW22" s="102">
        <v>119283</v>
      </c>
      <c r="AX22" s="102">
        <v>1011252</v>
      </c>
      <c r="AY22" s="102">
        <v>8316</v>
      </c>
      <c r="AZ22" s="102">
        <v>183034</v>
      </c>
      <c r="BA22" s="102">
        <v>105765</v>
      </c>
      <c r="BB22" s="102">
        <v>42846</v>
      </c>
      <c r="BC22" s="102">
        <v>1273809</v>
      </c>
      <c r="BD22" s="102">
        <v>94897</v>
      </c>
      <c r="BE22" s="102">
        <v>160000</v>
      </c>
      <c r="BF22" s="102">
        <v>993435</v>
      </c>
      <c r="BG22" s="102">
        <v>0</v>
      </c>
      <c r="BH22" s="102">
        <v>106306</v>
      </c>
      <c r="BI22" s="102">
        <v>11969</v>
      </c>
      <c r="BJ22" s="102">
        <v>404751</v>
      </c>
      <c r="BK22" s="102">
        <v>14153</v>
      </c>
      <c r="BL22" s="102">
        <v>0</v>
      </c>
      <c r="BM22" s="102">
        <v>0</v>
      </c>
      <c r="BN22" s="102">
        <v>3582800</v>
      </c>
      <c r="BO22" s="73">
        <f t="shared" si="5"/>
        <v>1543300</v>
      </c>
      <c r="BP22" s="73">
        <f t="shared" si="6"/>
        <v>2039500</v>
      </c>
      <c r="BQ22" s="102">
        <v>0</v>
      </c>
      <c r="BR22" s="102">
        <v>0</v>
      </c>
      <c r="BS22" s="102">
        <v>2039500</v>
      </c>
      <c r="BT22" s="102">
        <v>0</v>
      </c>
      <c r="BU22" s="102">
        <v>35169147</v>
      </c>
      <c r="BV22" s="71"/>
      <c r="BW22" s="102">
        <v>6305613</v>
      </c>
      <c r="BX22" s="102">
        <v>3567828</v>
      </c>
      <c r="BY22" s="102">
        <v>627788</v>
      </c>
      <c r="BZ22" s="102">
        <v>966147</v>
      </c>
      <c r="CA22" s="102">
        <v>8420560</v>
      </c>
      <c r="CB22" s="102">
        <v>2220251</v>
      </c>
      <c r="CC22" s="102">
        <v>204229</v>
      </c>
      <c r="CD22" s="102">
        <v>3292571</v>
      </c>
      <c r="CE22" s="102">
        <v>2635401</v>
      </c>
      <c r="CF22" s="102">
        <v>8186</v>
      </c>
      <c r="CG22" s="102">
        <v>59922</v>
      </c>
      <c r="CH22" s="102">
        <v>3782368</v>
      </c>
      <c r="CI22" s="102">
        <v>3324643</v>
      </c>
      <c r="CJ22" s="83">
        <f t="shared" si="18"/>
        <v>457725</v>
      </c>
      <c r="CK22" s="102">
        <v>4783857</v>
      </c>
      <c r="CL22" s="102">
        <v>3371838</v>
      </c>
      <c r="CM22" s="102">
        <v>179961</v>
      </c>
      <c r="CN22" s="102">
        <v>683335</v>
      </c>
      <c r="CO22" s="102">
        <v>318607</v>
      </c>
      <c r="CP22" s="102">
        <v>2473407</v>
      </c>
      <c r="CQ22" s="102">
        <v>738636</v>
      </c>
      <c r="CR22" s="102">
        <v>891965</v>
      </c>
      <c r="CS22" s="102">
        <v>625595</v>
      </c>
      <c r="CT22" s="73">
        <f t="shared" si="7"/>
        <v>133915</v>
      </c>
      <c r="CU22" s="102">
        <v>17514</v>
      </c>
      <c r="CV22" s="102">
        <v>116401</v>
      </c>
      <c r="CW22" s="73">
        <f t="shared" si="8"/>
        <v>0</v>
      </c>
      <c r="CX22" s="102">
        <v>0</v>
      </c>
      <c r="CY22" s="102">
        <v>0</v>
      </c>
      <c r="CZ22" s="73">
        <f t="shared" si="9"/>
        <v>0</v>
      </c>
      <c r="DA22" s="102">
        <v>0</v>
      </c>
      <c r="DB22" s="102">
        <v>0</v>
      </c>
      <c r="DC22" s="102">
        <v>3632242</v>
      </c>
      <c r="DD22" s="102">
        <v>1160060</v>
      </c>
      <c r="DE22" s="102">
        <v>2308765</v>
      </c>
      <c r="DF22" s="77">
        <v>163417</v>
      </c>
      <c r="DG22" s="78">
        <v>0</v>
      </c>
      <c r="DH22" s="102">
        <v>65465</v>
      </c>
      <c r="DI22" s="102">
        <v>732276</v>
      </c>
      <c r="DJ22" s="102">
        <v>373371</v>
      </c>
      <c r="DK22" s="102">
        <v>2326</v>
      </c>
      <c r="DL22" s="102">
        <v>356579</v>
      </c>
      <c r="DM22" s="102">
        <v>0</v>
      </c>
      <c r="DN22" s="102">
        <v>0</v>
      </c>
      <c r="DO22" s="102">
        <v>0</v>
      </c>
      <c r="DP22" s="102">
        <v>0</v>
      </c>
      <c r="DQ22" s="102">
        <v>14149</v>
      </c>
      <c r="DR22" s="102">
        <v>0</v>
      </c>
      <c r="DS22" s="102">
        <v>0</v>
      </c>
      <c r="DT22" s="102">
        <v>4473844</v>
      </c>
      <c r="DU22" s="102">
        <v>1095565</v>
      </c>
      <c r="DV22" s="73">
        <f t="shared" si="10"/>
        <v>0</v>
      </c>
      <c r="DW22" s="102">
        <v>0</v>
      </c>
      <c r="DX22" s="102">
        <v>1390044</v>
      </c>
      <c r="DY22" s="102">
        <v>0</v>
      </c>
      <c r="DZ22" s="102">
        <v>696271</v>
      </c>
      <c r="EA22" s="74">
        <v>0</v>
      </c>
      <c r="EB22" s="102">
        <v>1291964</v>
      </c>
      <c r="EC22" s="102">
        <v>0</v>
      </c>
      <c r="ED22" s="102">
        <v>35002388</v>
      </c>
      <c r="EE22" s="71"/>
      <c r="EF22" s="102">
        <v>166759</v>
      </c>
      <c r="EG22" s="102">
        <v>124127</v>
      </c>
      <c r="EH22" s="102">
        <v>42632</v>
      </c>
      <c r="EI22" s="102">
        <v>30663</v>
      </c>
      <c r="EJ22" s="102">
        <v>309137</v>
      </c>
      <c r="EK22" s="71"/>
      <c r="EL22" s="102"/>
      <c r="EM22" s="102">
        <v>112173</v>
      </c>
      <c r="EN22" s="102">
        <v>254897</v>
      </c>
      <c r="EO22" s="102">
        <v>129017</v>
      </c>
      <c r="EP22" s="73">
        <f t="shared" si="11"/>
        <v>535539</v>
      </c>
      <c r="EQ22" s="102">
        <v>20652505</v>
      </c>
      <c r="ER22" s="71">
        <v>-2941124</v>
      </c>
      <c r="ES22" s="102">
        <v>5764635</v>
      </c>
      <c r="ET22" s="102">
        <v>3244423</v>
      </c>
      <c r="EU22" s="102">
        <v>2233023</v>
      </c>
      <c r="EV22" s="102">
        <v>3756211</v>
      </c>
      <c r="EW22" s="73">
        <f t="shared" si="12"/>
        <v>826968</v>
      </c>
      <c r="EX22" s="102">
        <v>794184</v>
      </c>
      <c r="EY22" s="102">
        <v>6522</v>
      </c>
      <c r="EZ22" s="102">
        <v>751379</v>
      </c>
      <c r="FA22" s="102">
        <v>32784</v>
      </c>
      <c r="FB22" s="102">
        <v>0</v>
      </c>
      <c r="FC22" s="102">
        <v>4051863</v>
      </c>
      <c r="FD22" s="102">
        <v>2168087</v>
      </c>
      <c r="FE22" s="102">
        <v>738636</v>
      </c>
      <c r="FF22" s="102">
        <v>3991185</v>
      </c>
      <c r="FG22" s="73">
        <f t="shared" si="13"/>
        <v>635503</v>
      </c>
      <c r="FH22" s="102">
        <v>23427475</v>
      </c>
      <c r="FI22" s="379">
        <f t="shared" si="14"/>
        <v>0.2</v>
      </c>
      <c r="FJ22" s="102">
        <v>19229952</v>
      </c>
      <c r="FK22" s="102">
        <v>2039517</v>
      </c>
      <c r="FL22" s="102">
        <v>10104431</v>
      </c>
      <c r="FM22" s="102">
        <v>16283131</v>
      </c>
      <c r="FN22" s="428">
        <v>0.628</v>
      </c>
      <c r="FO22" s="424">
        <v>98</v>
      </c>
      <c r="FP22" s="425">
        <v>25.9</v>
      </c>
      <c r="FQ22" s="424">
        <v>10.3</v>
      </c>
      <c r="FR22" s="424">
        <v>17.3</v>
      </c>
      <c r="FS22" s="425">
        <v>18.3</v>
      </c>
      <c r="FT22" s="424">
        <v>7.9</v>
      </c>
      <c r="FU22" s="425">
        <v>17</v>
      </c>
      <c r="FV22" s="384">
        <f t="shared" si="15"/>
        <v>8.6999999999999993</v>
      </c>
      <c r="FW22" s="102">
        <v>33595742</v>
      </c>
      <c r="FX22" s="384">
        <f t="shared" si="16"/>
        <v>158</v>
      </c>
      <c r="FY22" s="102">
        <v>8196655</v>
      </c>
      <c r="FZ22" s="102">
        <v>4607596</v>
      </c>
      <c r="GA22" s="102">
        <v>849400</v>
      </c>
      <c r="GB22" s="102">
        <v>2739659</v>
      </c>
      <c r="GC22" s="102">
        <v>0</v>
      </c>
      <c r="GD22" s="427"/>
      <c r="GE22" s="386"/>
      <c r="GF22" s="424">
        <v>98.9</v>
      </c>
      <c r="GG22" s="424">
        <v>22.1</v>
      </c>
      <c r="GH22" s="424">
        <v>94.8</v>
      </c>
      <c r="GI22" s="102">
        <v>564</v>
      </c>
      <c r="GJ22" s="429" t="s">
        <v>646</v>
      </c>
      <c r="GK22" s="429">
        <v>12.38</v>
      </c>
      <c r="GL22" s="87">
        <v>20</v>
      </c>
      <c r="GM22" s="429" t="s">
        <v>646</v>
      </c>
      <c r="GN22" s="430">
        <v>17.38</v>
      </c>
      <c r="GO22" s="430">
        <v>30</v>
      </c>
      <c r="GP22" s="425">
        <v>8.6999999999999993</v>
      </c>
      <c r="GQ22" s="425">
        <v>25</v>
      </c>
      <c r="GR22" s="425">
        <v>35</v>
      </c>
      <c r="GS22" s="431" t="s">
        <v>646</v>
      </c>
      <c r="GT22" s="425">
        <v>350</v>
      </c>
      <c r="GU22" s="394"/>
      <c r="GV22" s="100">
        <f t="shared" si="17"/>
        <v>21269</v>
      </c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</row>
    <row r="23" spans="2:230" x14ac:dyDescent="0.15">
      <c r="B23" s="89" t="s">
        <v>35</v>
      </c>
      <c r="C23" s="102">
        <v>13509224</v>
      </c>
      <c r="D23" s="73">
        <f t="shared" si="0"/>
        <v>5120888</v>
      </c>
      <c r="E23" s="102">
        <v>148586</v>
      </c>
      <c r="F23" s="102">
        <v>4972302</v>
      </c>
      <c r="G23" s="73">
        <f t="shared" si="1"/>
        <v>838249</v>
      </c>
      <c r="H23" s="102">
        <v>256304</v>
      </c>
      <c r="I23" s="102">
        <v>581945</v>
      </c>
      <c r="J23" s="102">
        <v>5306078</v>
      </c>
      <c r="K23" s="102">
        <v>2595488</v>
      </c>
      <c r="L23" s="102">
        <v>2127628</v>
      </c>
      <c r="M23" s="102">
        <v>541136</v>
      </c>
      <c r="N23" s="102">
        <v>945917</v>
      </c>
      <c r="O23" s="102">
        <v>1172599</v>
      </c>
      <c r="P23" s="102">
        <v>711851</v>
      </c>
      <c r="Q23" s="102">
        <v>460748</v>
      </c>
      <c r="R23" s="102">
        <v>185301</v>
      </c>
      <c r="S23" s="74"/>
      <c r="T23" s="73">
        <f t="shared" si="2"/>
        <v>1425707</v>
      </c>
      <c r="U23" s="102">
        <v>56068</v>
      </c>
      <c r="V23" s="102">
        <v>81303</v>
      </c>
      <c r="W23" s="102">
        <v>124622</v>
      </c>
      <c r="X23" s="102">
        <v>1072628</v>
      </c>
      <c r="Y23" s="102">
        <v>0</v>
      </c>
      <c r="Z23" s="102">
        <v>0</v>
      </c>
      <c r="AA23" s="102">
        <v>91086</v>
      </c>
      <c r="AB23" s="102">
        <v>85917</v>
      </c>
      <c r="AC23" s="102">
        <v>8168082</v>
      </c>
      <c r="AD23" s="102">
        <v>7780996</v>
      </c>
      <c r="AE23" s="102">
        <v>387081</v>
      </c>
      <c r="AF23" s="102">
        <v>20135</v>
      </c>
      <c r="AG23" s="102">
        <v>285358</v>
      </c>
      <c r="AH23" s="73">
        <f t="shared" si="3"/>
        <v>638741</v>
      </c>
      <c r="AI23" s="102">
        <v>435674</v>
      </c>
      <c r="AJ23" s="102">
        <v>203067</v>
      </c>
      <c r="AK23" s="102">
        <v>8613766</v>
      </c>
      <c r="AL23" s="73">
        <f t="shared" si="4"/>
        <v>5430813</v>
      </c>
      <c r="AM23" s="102">
        <v>4088024</v>
      </c>
      <c r="AN23" s="102">
        <v>457206</v>
      </c>
      <c r="AO23" s="74"/>
      <c r="AP23" s="102">
        <v>885583</v>
      </c>
      <c r="AQ23" s="102">
        <v>211322</v>
      </c>
      <c r="AR23" s="102">
        <v>0</v>
      </c>
      <c r="AS23" s="102">
        <v>0</v>
      </c>
      <c r="AT23" s="102">
        <v>3186249</v>
      </c>
      <c r="AU23" s="102">
        <v>1849890</v>
      </c>
      <c r="AV23" s="102">
        <v>228603</v>
      </c>
      <c r="AW23" s="102">
        <v>297062</v>
      </c>
      <c r="AX23" s="102">
        <v>1336359</v>
      </c>
      <c r="AY23" s="102">
        <v>0</v>
      </c>
      <c r="AZ23" s="102">
        <v>403358</v>
      </c>
      <c r="BA23" s="102">
        <v>261285</v>
      </c>
      <c r="BB23" s="102">
        <v>116711</v>
      </c>
      <c r="BC23" s="102">
        <v>320707</v>
      </c>
      <c r="BD23" s="102">
        <v>189119</v>
      </c>
      <c r="BE23" s="102">
        <v>0</v>
      </c>
      <c r="BF23" s="102">
        <v>131588</v>
      </c>
      <c r="BG23" s="102">
        <v>0</v>
      </c>
      <c r="BH23" s="102">
        <v>339486</v>
      </c>
      <c r="BI23" s="102">
        <v>328917</v>
      </c>
      <c r="BJ23" s="102">
        <v>420824</v>
      </c>
      <c r="BK23" s="102">
        <v>35128</v>
      </c>
      <c r="BL23" s="102">
        <v>0</v>
      </c>
      <c r="BM23" s="102">
        <v>0</v>
      </c>
      <c r="BN23" s="102">
        <v>4150400</v>
      </c>
      <c r="BO23" s="73">
        <f t="shared" si="5"/>
        <v>1590000</v>
      </c>
      <c r="BP23" s="73">
        <f t="shared" si="6"/>
        <v>2179200</v>
      </c>
      <c r="BQ23" s="102">
        <v>0</v>
      </c>
      <c r="BR23" s="102">
        <v>123000</v>
      </c>
      <c r="BS23" s="102">
        <v>2056200</v>
      </c>
      <c r="BT23" s="102">
        <v>381200</v>
      </c>
      <c r="BU23" s="102">
        <v>41869966</v>
      </c>
      <c r="BV23" s="71"/>
      <c r="BW23" s="102">
        <v>7315901</v>
      </c>
      <c r="BX23" s="102">
        <v>4725152</v>
      </c>
      <c r="BY23" s="102">
        <v>858528</v>
      </c>
      <c r="BZ23" s="102">
        <v>382014</v>
      </c>
      <c r="CA23" s="102">
        <v>12531009</v>
      </c>
      <c r="CB23" s="102">
        <v>2114113</v>
      </c>
      <c r="CC23" s="102">
        <v>228966</v>
      </c>
      <c r="CD23" s="102">
        <v>4653060</v>
      </c>
      <c r="CE23" s="102">
        <v>5351277</v>
      </c>
      <c r="CF23" s="102">
        <v>14013</v>
      </c>
      <c r="CG23" s="102">
        <v>169050</v>
      </c>
      <c r="CH23" s="102">
        <v>4256897</v>
      </c>
      <c r="CI23" s="102">
        <v>3616831</v>
      </c>
      <c r="CJ23" s="83">
        <f t="shared" si="18"/>
        <v>640066</v>
      </c>
      <c r="CK23" s="102">
        <v>4950493</v>
      </c>
      <c r="CL23" s="102">
        <v>3181442</v>
      </c>
      <c r="CM23" s="102">
        <v>222595</v>
      </c>
      <c r="CN23" s="102">
        <v>856546</v>
      </c>
      <c r="CO23" s="102">
        <v>230252</v>
      </c>
      <c r="CP23" s="102">
        <v>1684316</v>
      </c>
      <c r="CQ23" s="102">
        <v>2101</v>
      </c>
      <c r="CR23" s="102">
        <v>959753</v>
      </c>
      <c r="CS23" s="102">
        <v>531738</v>
      </c>
      <c r="CT23" s="73">
        <f t="shared" si="7"/>
        <v>147678</v>
      </c>
      <c r="CU23" s="102">
        <v>9000</v>
      </c>
      <c r="CV23" s="102">
        <v>138678</v>
      </c>
      <c r="CW23" s="73">
        <f t="shared" si="8"/>
        <v>137902</v>
      </c>
      <c r="CX23" s="102">
        <v>0</v>
      </c>
      <c r="CY23" s="102">
        <v>137902</v>
      </c>
      <c r="CZ23" s="73">
        <f t="shared" si="9"/>
        <v>0</v>
      </c>
      <c r="DA23" s="102">
        <v>0</v>
      </c>
      <c r="DB23" s="102">
        <v>0</v>
      </c>
      <c r="DC23" s="102">
        <v>3348534</v>
      </c>
      <c r="DD23" s="102">
        <v>1949583</v>
      </c>
      <c r="DE23" s="102">
        <v>1269112</v>
      </c>
      <c r="DF23" s="77">
        <v>0</v>
      </c>
      <c r="DG23" s="78">
        <v>129839</v>
      </c>
      <c r="DH23" s="102">
        <v>0</v>
      </c>
      <c r="DI23" s="102">
        <v>804395</v>
      </c>
      <c r="DJ23" s="102">
        <v>609839</v>
      </c>
      <c r="DK23" s="102">
        <v>5</v>
      </c>
      <c r="DL23" s="102">
        <v>194551</v>
      </c>
      <c r="DM23" s="102">
        <v>0</v>
      </c>
      <c r="DN23" s="102">
        <v>0</v>
      </c>
      <c r="DO23" s="102">
        <v>0</v>
      </c>
      <c r="DP23" s="102">
        <v>0</v>
      </c>
      <c r="DQ23" s="102">
        <v>35000</v>
      </c>
      <c r="DR23" s="102">
        <v>0</v>
      </c>
      <c r="DS23" s="102">
        <v>0</v>
      </c>
      <c r="DT23" s="102">
        <v>6407558</v>
      </c>
      <c r="DU23" s="102">
        <v>2470000</v>
      </c>
      <c r="DV23" s="73">
        <f t="shared" si="10"/>
        <v>0</v>
      </c>
      <c r="DW23" s="102">
        <v>0</v>
      </c>
      <c r="DX23" s="102">
        <v>1314436</v>
      </c>
      <c r="DY23" s="102">
        <v>0</v>
      </c>
      <c r="DZ23" s="102">
        <v>1341244</v>
      </c>
      <c r="EA23" s="74">
        <v>0</v>
      </c>
      <c r="EB23" s="102">
        <v>1281867</v>
      </c>
      <c r="EC23" s="102">
        <v>0</v>
      </c>
      <c r="ED23" s="102">
        <v>41564355</v>
      </c>
      <c r="EE23" s="71"/>
      <c r="EF23" s="102">
        <v>305611</v>
      </c>
      <c r="EG23" s="102">
        <v>1173</v>
      </c>
      <c r="EH23" s="102">
        <v>304438</v>
      </c>
      <c r="EI23" s="102">
        <v>-24479</v>
      </c>
      <c r="EJ23" s="102">
        <v>396241</v>
      </c>
      <c r="EK23" s="71"/>
      <c r="EL23" s="102"/>
      <c r="EM23" s="102">
        <v>123611</v>
      </c>
      <c r="EN23" s="102">
        <v>285000</v>
      </c>
      <c r="EO23" s="102">
        <v>400683</v>
      </c>
      <c r="EP23" s="73">
        <f t="shared" si="11"/>
        <v>997935</v>
      </c>
      <c r="EQ23" s="102">
        <v>23394366</v>
      </c>
      <c r="ER23" s="71">
        <v>-3842683</v>
      </c>
      <c r="ES23" s="102">
        <v>6476677</v>
      </c>
      <c r="ET23" s="102">
        <v>4424728</v>
      </c>
      <c r="EU23" s="102">
        <v>3527303</v>
      </c>
      <c r="EV23" s="102">
        <v>4256897</v>
      </c>
      <c r="EW23" s="73">
        <f t="shared" si="12"/>
        <v>359742</v>
      </c>
      <c r="EX23" s="102">
        <v>359742</v>
      </c>
      <c r="EY23" s="102">
        <v>2456</v>
      </c>
      <c r="EZ23" s="102">
        <v>357286</v>
      </c>
      <c r="FA23" s="102">
        <v>0</v>
      </c>
      <c r="FB23" s="102">
        <v>0</v>
      </c>
      <c r="FC23" s="102">
        <v>4359930</v>
      </c>
      <c r="FD23" s="102">
        <v>1438238</v>
      </c>
      <c r="FE23" s="102">
        <v>2101</v>
      </c>
      <c r="FF23" s="102">
        <v>5615663</v>
      </c>
      <c r="FG23" s="73">
        <f t="shared" si="13"/>
        <v>896988</v>
      </c>
      <c r="FH23" s="102">
        <v>26931438</v>
      </c>
      <c r="FI23" s="379">
        <f t="shared" si="14"/>
        <v>1.3</v>
      </c>
      <c r="FJ23" s="102">
        <v>21764195</v>
      </c>
      <c r="FK23" s="102">
        <v>2056353</v>
      </c>
      <c r="FL23" s="102">
        <v>10799447</v>
      </c>
      <c r="FM23" s="102">
        <v>18511919</v>
      </c>
      <c r="FN23" s="428">
        <v>0.57899999999999996</v>
      </c>
      <c r="FO23" s="424">
        <v>100.2</v>
      </c>
      <c r="FP23" s="425">
        <v>26.5</v>
      </c>
      <c r="FQ23" s="424">
        <v>14.5</v>
      </c>
      <c r="FR23" s="424">
        <v>17.600000000000001</v>
      </c>
      <c r="FS23" s="425">
        <v>17.3</v>
      </c>
      <c r="FT23" s="424">
        <v>4.5999999999999996</v>
      </c>
      <c r="FU23" s="425">
        <v>18.899999999999999</v>
      </c>
      <c r="FV23" s="384">
        <f t="shared" si="15"/>
        <v>10.6</v>
      </c>
      <c r="FW23" s="102">
        <v>41020860</v>
      </c>
      <c r="FX23" s="384">
        <f t="shared" si="16"/>
        <v>172.2</v>
      </c>
      <c r="FY23" s="102">
        <v>2575479</v>
      </c>
      <c r="FZ23" s="102">
        <v>1591805</v>
      </c>
      <c r="GA23" s="102">
        <v>21248</v>
      </c>
      <c r="GB23" s="102">
        <v>962426</v>
      </c>
      <c r="GC23" s="102">
        <v>0</v>
      </c>
      <c r="GD23" s="454">
        <v>790</v>
      </c>
      <c r="GE23" s="386">
        <f>IF(GD23=0,"-",ROUND(GD23/(GV23)*100,1))</f>
        <v>3.3</v>
      </c>
      <c r="GF23" s="424">
        <v>98.2</v>
      </c>
      <c r="GG23" s="424">
        <v>30.8</v>
      </c>
      <c r="GH23" s="424">
        <v>94.6</v>
      </c>
      <c r="GI23" s="102">
        <v>704</v>
      </c>
      <c r="GJ23" s="429" t="s">
        <v>646</v>
      </c>
      <c r="GK23" s="429">
        <v>12.17</v>
      </c>
      <c r="GL23" s="87">
        <v>20</v>
      </c>
      <c r="GM23" s="429" t="s">
        <v>646</v>
      </c>
      <c r="GN23" s="430">
        <v>17.170000000000002</v>
      </c>
      <c r="GO23" s="430">
        <v>30</v>
      </c>
      <c r="GP23" s="425">
        <v>10.6</v>
      </c>
      <c r="GQ23" s="425">
        <v>25</v>
      </c>
      <c r="GR23" s="425">
        <v>35</v>
      </c>
      <c r="GS23" s="431">
        <v>107.5</v>
      </c>
      <c r="GT23" s="425">
        <v>350</v>
      </c>
      <c r="GU23" s="394"/>
      <c r="GV23" s="100">
        <f t="shared" si="17"/>
        <v>23821</v>
      </c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</row>
    <row r="24" spans="2:230" x14ac:dyDescent="0.15">
      <c r="B24" s="89" t="s">
        <v>37</v>
      </c>
      <c r="C24" s="102">
        <v>16658453</v>
      </c>
      <c r="D24" s="73">
        <f t="shared" si="0"/>
        <v>5474940</v>
      </c>
      <c r="E24" s="102">
        <v>160963</v>
      </c>
      <c r="F24" s="102">
        <v>5313977</v>
      </c>
      <c r="G24" s="73">
        <f t="shared" si="1"/>
        <v>1230615</v>
      </c>
      <c r="H24" s="102">
        <v>354170</v>
      </c>
      <c r="I24" s="102">
        <v>876445</v>
      </c>
      <c r="J24" s="102">
        <v>7355879</v>
      </c>
      <c r="K24" s="102">
        <v>3288266</v>
      </c>
      <c r="L24" s="102">
        <v>3115132</v>
      </c>
      <c r="M24" s="102">
        <v>810923</v>
      </c>
      <c r="N24" s="102">
        <v>945045</v>
      </c>
      <c r="O24" s="102">
        <v>1535129</v>
      </c>
      <c r="P24" s="102">
        <v>866733</v>
      </c>
      <c r="Q24" s="102">
        <v>668396</v>
      </c>
      <c r="R24" s="102">
        <v>191884</v>
      </c>
      <c r="S24" s="74"/>
      <c r="T24" s="73">
        <f t="shared" si="2"/>
        <v>1613412</v>
      </c>
      <c r="U24" s="102">
        <v>59702</v>
      </c>
      <c r="V24" s="102">
        <v>86467</v>
      </c>
      <c r="W24" s="102">
        <v>132422</v>
      </c>
      <c r="X24" s="102">
        <v>1216965</v>
      </c>
      <c r="Y24" s="102">
        <v>23454</v>
      </c>
      <c r="Z24" s="102">
        <v>0</v>
      </c>
      <c r="AA24" s="102">
        <v>94402</v>
      </c>
      <c r="AB24" s="102">
        <v>99607</v>
      </c>
      <c r="AC24" s="102">
        <v>4446303</v>
      </c>
      <c r="AD24" s="102">
        <v>4122889</v>
      </c>
      <c r="AE24" s="102">
        <v>323409</v>
      </c>
      <c r="AF24" s="102">
        <v>18786</v>
      </c>
      <c r="AG24" s="102">
        <v>398329</v>
      </c>
      <c r="AH24" s="73">
        <f t="shared" si="3"/>
        <v>819438</v>
      </c>
      <c r="AI24" s="102">
        <v>406415</v>
      </c>
      <c r="AJ24" s="102">
        <v>413023</v>
      </c>
      <c r="AK24" s="102">
        <v>6195427</v>
      </c>
      <c r="AL24" s="73">
        <f t="shared" si="4"/>
        <v>3326838</v>
      </c>
      <c r="AM24" s="102">
        <v>1819384</v>
      </c>
      <c r="AN24" s="102">
        <v>687050</v>
      </c>
      <c r="AO24" s="74"/>
      <c r="AP24" s="102">
        <v>820404</v>
      </c>
      <c r="AQ24" s="102">
        <v>463678</v>
      </c>
      <c r="AR24" s="102">
        <v>0</v>
      </c>
      <c r="AS24" s="102">
        <v>0</v>
      </c>
      <c r="AT24" s="102">
        <v>2738224</v>
      </c>
      <c r="AU24" s="102">
        <v>1567606</v>
      </c>
      <c r="AV24" s="102">
        <v>342522</v>
      </c>
      <c r="AW24" s="102">
        <v>3463</v>
      </c>
      <c r="AX24" s="102">
        <v>1170618</v>
      </c>
      <c r="AY24" s="102">
        <v>179227</v>
      </c>
      <c r="AZ24" s="102">
        <v>31859</v>
      </c>
      <c r="BA24" s="102">
        <v>4696</v>
      </c>
      <c r="BB24" s="102">
        <v>3121</v>
      </c>
      <c r="BC24" s="102">
        <v>670142</v>
      </c>
      <c r="BD24" s="102">
        <v>0</v>
      </c>
      <c r="BE24" s="102">
        <v>539604</v>
      </c>
      <c r="BF24" s="102">
        <v>130538</v>
      </c>
      <c r="BG24" s="102">
        <v>0</v>
      </c>
      <c r="BH24" s="102">
        <v>861211</v>
      </c>
      <c r="BI24" s="102">
        <v>715731</v>
      </c>
      <c r="BJ24" s="102">
        <v>773610</v>
      </c>
      <c r="BK24" s="102">
        <v>17167</v>
      </c>
      <c r="BL24" s="102">
        <v>0</v>
      </c>
      <c r="BM24" s="102">
        <v>0</v>
      </c>
      <c r="BN24" s="102">
        <v>6666500</v>
      </c>
      <c r="BO24" s="73">
        <f t="shared" si="5"/>
        <v>4766500</v>
      </c>
      <c r="BP24" s="73">
        <f t="shared" si="6"/>
        <v>1900000</v>
      </c>
      <c r="BQ24" s="102">
        <v>0</v>
      </c>
      <c r="BR24" s="102">
        <v>0</v>
      </c>
      <c r="BS24" s="102">
        <v>1900000</v>
      </c>
      <c r="BT24" s="102">
        <v>0</v>
      </c>
      <c r="BU24" s="102">
        <v>42186306</v>
      </c>
      <c r="BV24" s="71"/>
      <c r="BW24" s="102">
        <v>6095257</v>
      </c>
      <c r="BX24" s="102">
        <v>4140361</v>
      </c>
      <c r="BY24" s="102">
        <v>642865</v>
      </c>
      <c r="BZ24" s="102">
        <v>171595</v>
      </c>
      <c r="CA24" s="102">
        <v>10066870</v>
      </c>
      <c r="CB24" s="102">
        <v>1896201</v>
      </c>
      <c r="CC24" s="102">
        <v>200395</v>
      </c>
      <c r="CD24" s="102">
        <v>5456320</v>
      </c>
      <c r="CE24" s="102">
        <v>2324957</v>
      </c>
      <c r="CF24" s="102">
        <v>5876</v>
      </c>
      <c r="CG24" s="102">
        <v>182961</v>
      </c>
      <c r="CH24" s="102">
        <v>3819505</v>
      </c>
      <c r="CI24" s="102">
        <v>3310311</v>
      </c>
      <c r="CJ24" s="83">
        <f t="shared" si="18"/>
        <v>509194</v>
      </c>
      <c r="CK24" s="102">
        <v>5419269</v>
      </c>
      <c r="CL24" s="102">
        <v>3555863</v>
      </c>
      <c r="CM24" s="102">
        <v>236799</v>
      </c>
      <c r="CN24" s="102">
        <v>963210</v>
      </c>
      <c r="CO24" s="102">
        <v>108894</v>
      </c>
      <c r="CP24" s="102">
        <v>1894587</v>
      </c>
      <c r="CQ24" s="102">
        <v>607572</v>
      </c>
      <c r="CR24" s="102">
        <v>814123</v>
      </c>
      <c r="CS24" s="102">
        <v>230056</v>
      </c>
      <c r="CT24" s="73">
        <f t="shared" si="7"/>
        <v>13268</v>
      </c>
      <c r="CU24" s="102">
        <v>13268</v>
      </c>
      <c r="CV24" s="102">
        <v>0</v>
      </c>
      <c r="CW24" s="73">
        <f t="shared" si="8"/>
        <v>0</v>
      </c>
      <c r="CX24" s="102">
        <v>0</v>
      </c>
      <c r="CY24" s="102">
        <v>0</v>
      </c>
      <c r="CZ24" s="73">
        <f t="shared" si="9"/>
        <v>0</v>
      </c>
      <c r="DA24" s="102">
        <v>0</v>
      </c>
      <c r="DB24" s="102">
        <v>0</v>
      </c>
      <c r="DC24" s="102">
        <v>3818551</v>
      </c>
      <c r="DD24" s="102">
        <v>1067260</v>
      </c>
      <c r="DE24" s="102">
        <v>2751291</v>
      </c>
      <c r="DF24" s="77">
        <v>0</v>
      </c>
      <c r="DG24" s="78">
        <v>0</v>
      </c>
      <c r="DH24" s="102">
        <v>0</v>
      </c>
      <c r="DI24" s="102">
        <v>1770319</v>
      </c>
      <c r="DJ24" s="102">
        <v>1177560</v>
      </c>
      <c r="DK24" s="102">
        <v>582824</v>
      </c>
      <c r="DL24" s="102">
        <v>9935</v>
      </c>
      <c r="DM24" s="102">
        <v>0</v>
      </c>
      <c r="DN24" s="102">
        <v>0</v>
      </c>
      <c r="DO24" s="102">
        <v>0</v>
      </c>
      <c r="DP24" s="102">
        <v>0</v>
      </c>
      <c r="DQ24" s="102">
        <v>3000000</v>
      </c>
      <c r="DR24" s="102">
        <v>0</v>
      </c>
      <c r="DS24" s="102">
        <v>0</v>
      </c>
      <c r="DT24" s="102">
        <v>5441351</v>
      </c>
      <c r="DU24" s="102">
        <v>1915268</v>
      </c>
      <c r="DV24" s="73">
        <f t="shared" si="10"/>
        <v>0</v>
      </c>
      <c r="DW24" s="102">
        <v>0</v>
      </c>
      <c r="DX24" s="102">
        <v>1170798</v>
      </c>
      <c r="DY24" s="102">
        <v>0</v>
      </c>
      <c r="DZ24" s="102">
        <v>1293516</v>
      </c>
      <c r="EA24" s="74">
        <v>0</v>
      </c>
      <c r="EB24" s="102">
        <v>1056471</v>
      </c>
      <c r="EC24" s="102">
        <v>0</v>
      </c>
      <c r="ED24" s="102">
        <v>41434603</v>
      </c>
      <c r="EE24" s="71"/>
      <c r="EF24" s="102">
        <v>751703</v>
      </c>
      <c r="EG24" s="102">
        <v>228650</v>
      </c>
      <c r="EH24" s="102">
        <v>523053</v>
      </c>
      <c r="EI24" s="102">
        <v>-192678</v>
      </c>
      <c r="EJ24" s="102">
        <v>984882</v>
      </c>
      <c r="EK24" s="71"/>
      <c r="EL24" s="102"/>
      <c r="EM24" s="102">
        <v>124437</v>
      </c>
      <c r="EN24" s="102">
        <v>539604</v>
      </c>
      <c r="EO24" s="102">
        <v>28056</v>
      </c>
      <c r="EP24" s="73">
        <f t="shared" si="11"/>
        <v>1448192</v>
      </c>
      <c r="EQ24" s="102">
        <v>23028445</v>
      </c>
      <c r="ER24" s="71">
        <v>-3897066</v>
      </c>
      <c r="ES24" s="102">
        <v>5673815</v>
      </c>
      <c r="ET24" s="102">
        <v>3752185</v>
      </c>
      <c r="EU24" s="102">
        <v>3020765</v>
      </c>
      <c r="EV24" s="102">
        <v>3759799</v>
      </c>
      <c r="EW24" s="73">
        <f t="shared" si="12"/>
        <v>1111124</v>
      </c>
      <c r="EX24" s="102">
        <v>1111124</v>
      </c>
      <c r="EY24" s="102">
        <v>30812</v>
      </c>
      <c r="EZ24" s="102">
        <v>1080312</v>
      </c>
      <c r="FA24" s="102">
        <v>0</v>
      </c>
      <c r="FB24" s="102">
        <v>0</v>
      </c>
      <c r="FC24" s="102">
        <v>4370577</v>
      </c>
      <c r="FD24" s="102">
        <v>1645536</v>
      </c>
      <c r="FE24" s="102">
        <v>607572</v>
      </c>
      <c r="FF24" s="102">
        <v>4728325</v>
      </c>
      <c r="FG24" s="73">
        <f t="shared" si="13"/>
        <v>1863867</v>
      </c>
      <c r="FH24" s="102">
        <v>26173808</v>
      </c>
      <c r="FI24" s="379">
        <f t="shared" si="14"/>
        <v>2.2000000000000002</v>
      </c>
      <c r="FJ24" s="102">
        <v>20886281</v>
      </c>
      <c r="FK24" s="102">
        <v>2660795</v>
      </c>
      <c r="FL24" s="102">
        <v>12911979</v>
      </c>
      <c r="FM24" s="102">
        <v>16997393</v>
      </c>
      <c r="FN24" s="428">
        <v>0.76</v>
      </c>
      <c r="FO24" s="424">
        <v>94.5</v>
      </c>
      <c r="FP24" s="425">
        <v>23.3</v>
      </c>
      <c r="FQ24" s="424">
        <v>12.9</v>
      </c>
      <c r="FR24" s="424">
        <v>16.100000000000001</v>
      </c>
      <c r="FS24" s="425">
        <v>16.5</v>
      </c>
      <c r="FT24" s="424">
        <v>6.4</v>
      </c>
      <c r="FU24" s="425">
        <v>18.8</v>
      </c>
      <c r="FV24" s="384">
        <f t="shared" si="15"/>
        <v>2.6</v>
      </c>
      <c r="FW24" s="102">
        <v>39584545</v>
      </c>
      <c r="FX24" s="384">
        <f t="shared" si="16"/>
        <v>168.1</v>
      </c>
      <c r="FY24" s="102">
        <v>15598740</v>
      </c>
      <c r="FZ24" s="102">
        <v>8526856</v>
      </c>
      <c r="GA24" s="102">
        <v>1496569</v>
      </c>
      <c r="GB24" s="102">
        <v>5575315</v>
      </c>
      <c r="GC24" s="102">
        <v>0</v>
      </c>
      <c r="GD24" s="454"/>
      <c r="GE24" s="386"/>
      <c r="GF24" s="424">
        <v>98.2</v>
      </c>
      <c r="GG24" s="424">
        <v>30.9</v>
      </c>
      <c r="GH24" s="424">
        <v>94.1</v>
      </c>
      <c r="GI24" s="102">
        <v>642</v>
      </c>
      <c r="GJ24" s="429" t="s">
        <v>646</v>
      </c>
      <c r="GK24" s="429">
        <v>12.19</v>
      </c>
      <c r="GL24" s="87">
        <v>20</v>
      </c>
      <c r="GM24" s="429" t="s">
        <v>646</v>
      </c>
      <c r="GN24" s="430">
        <v>17.190000000000001</v>
      </c>
      <c r="GO24" s="430">
        <v>30</v>
      </c>
      <c r="GP24" s="425">
        <v>2.6</v>
      </c>
      <c r="GQ24" s="425">
        <v>25</v>
      </c>
      <c r="GR24" s="425">
        <v>35</v>
      </c>
      <c r="GS24" s="431" t="s">
        <v>646</v>
      </c>
      <c r="GT24" s="425">
        <v>350</v>
      </c>
      <c r="GU24" s="394"/>
      <c r="GV24" s="100">
        <f t="shared" si="17"/>
        <v>23547</v>
      </c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</row>
    <row r="25" spans="2:230" x14ac:dyDescent="0.15">
      <c r="B25" s="89" t="s">
        <v>39</v>
      </c>
      <c r="C25" s="102">
        <v>21862215</v>
      </c>
      <c r="D25" s="73">
        <f t="shared" si="0"/>
        <v>8632065</v>
      </c>
      <c r="E25" s="102">
        <v>8261</v>
      </c>
      <c r="F25" s="102">
        <v>8623804</v>
      </c>
      <c r="G25" s="73">
        <f t="shared" si="1"/>
        <v>1271899</v>
      </c>
      <c r="H25" s="102">
        <v>382614</v>
      </c>
      <c r="I25" s="102">
        <v>889285</v>
      </c>
      <c r="J25" s="102">
        <v>8739470</v>
      </c>
      <c r="K25" s="102">
        <v>3473890</v>
      </c>
      <c r="L25" s="102">
        <v>4250751</v>
      </c>
      <c r="M25" s="102">
        <v>946795</v>
      </c>
      <c r="N25" s="102">
        <v>1150388</v>
      </c>
      <c r="O25" s="102">
        <v>1816022</v>
      </c>
      <c r="P25" s="102">
        <v>939200</v>
      </c>
      <c r="Q25" s="102">
        <v>876822</v>
      </c>
      <c r="R25" s="102">
        <v>305436</v>
      </c>
      <c r="S25" s="74"/>
      <c r="T25" s="73">
        <f t="shared" si="2"/>
        <v>2142748</v>
      </c>
      <c r="U25" s="102">
        <v>95461</v>
      </c>
      <c r="V25" s="102">
        <v>139067</v>
      </c>
      <c r="W25" s="102">
        <v>213860</v>
      </c>
      <c r="X25" s="102">
        <v>1509941</v>
      </c>
      <c r="Y25" s="102">
        <v>34110</v>
      </c>
      <c r="Z25" s="102">
        <v>0</v>
      </c>
      <c r="AA25" s="102">
        <v>150309</v>
      </c>
      <c r="AB25" s="102">
        <v>188922</v>
      </c>
      <c r="AC25" s="102">
        <v>8669044</v>
      </c>
      <c r="AD25" s="102">
        <v>7946730</v>
      </c>
      <c r="AE25" s="102">
        <v>722305</v>
      </c>
      <c r="AF25" s="102">
        <v>27605</v>
      </c>
      <c r="AG25" s="102">
        <v>486518</v>
      </c>
      <c r="AH25" s="73">
        <f t="shared" si="3"/>
        <v>1317761</v>
      </c>
      <c r="AI25" s="102">
        <v>1210801</v>
      </c>
      <c r="AJ25" s="102">
        <v>106960</v>
      </c>
      <c r="AK25" s="102">
        <v>12898028</v>
      </c>
      <c r="AL25" s="73">
        <f t="shared" si="4"/>
        <v>7229845</v>
      </c>
      <c r="AM25" s="102">
        <v>5648679</v>
      </c>
      <c r="AN25" s="102">
        <v>453861</v>
      </c>
      <c r="AO25" s="74"/>
      <c r="AP25" s="102">
        <v>1127305</v>
      </c>
      <c r="AQ25" s="102">
        <v>476942</v>
      </c>
      <c r="AR25" s="102">
        <v>0</v>
      </c>
      <c r="AS25" s="102">
        <v>220223</v>
      </c>
      <c r="AT25" s="102">
        <v>3953420</v>
      </c>
      <c r="AU25" s="102">
        <v>2306514</v>
      </c>
      <c r="AV25" s="102">
        <v>226930</v>
      </c>
      <c r="AW25" s="102">
        <v>281466</v>
      </c>
      <c r="AX25" s="102">
        <v>1646906</v>
      </c>
      <c r="AY25" s="102">
        <v>54175</v>
      </c>
      <c r="AZ25" s="102">
        <v>440854</v>
      </c>
      <c r="BA25" s="102">
        <v>109075</v>
      </c>
      <c r="BB25" s="102">
        <v>51781</v>
      </c>
      <c r="BC25" s="102">
        <v>152644</v>
      </c>
      <c r="BD25" s="102">
        <v>0</v>
      </c>
      <c r="BE25" s="102">
        <v>0</v>
      </c>
      <c r="BF25" s="102">
        <v>129164</v>
      </c>
      <c r="BG25" s="102">
        <v>0</v>
      </c>
      <c r="BH25" s="102">
        <v>673547</v>
      </c>
      <c r="BI25" s="102">
        <v>234682</v>
      </c>
      <c r="BJ25" s="102">
        <v>2289470</v>
      </c>
      <c r="BK25" s="102">
        <v>1048</v>
      </c>
      <c r="BL25" s="102">
        <v>0</v>
      </c>
      <c r="BM25" s="102">
        <v>0</v>
      </c>
      <c r="BN25" s="102">
        <v>5575300</v>
      </c>
      <c r="BO25" s="73">
        <f t="shared" si="5"/>
        <v>2318200</v>
      </c>
      <c r="BP25" s="73">
        <f t="shared" si="6"/>
        <v>3257100</v>
      </c>
      <c r="BQ25" s="102">
        <v>0</v>
      </c>
      <c r="BR25" s="102">
        <v>0</v>
      </c>
      <c r="BS25" s="102">
        <v>3257100</v>
      </c>
      <c r="BT25" s="102">
        <v>0</v>
      </c>
      <c r="BU25" s="102">
        <v>61255516</v>
      </c>
      <c r="BV25" s="71"/>
      <c r="BW25" s="102">
        <v>9856327</v>
      </c>
      <c r="BX25" s="102">
        <v>6141405</v>
      </c>
      <c r="BY25" s="102">
        <v>1109278</v>
      </c>
      <c r="BZ25" s="102">
        <v>853235</v>
      </c>
      <c r="CA25" s="102">
        <v>18505681</v>
      </c>
      <c r="CB25" s="102">
        <v>3198368</v>
      </c>
      <c r="CC25" s="102">
        <v>369681</v>
      </c>
      <c r="CD25" s="102">
        <v>7320864</v>
      </c>
      <c r="CE25" s="102">
        <v>7320237</v>
      </c>
      <c r="CF25" s="102">
        <v>6679</v>
      </c>
      <c r="CG25" s="102">
        <v>289452</v>
      </c>
      <c r="CH25" s="102">
        <v>5639812</v>
      </c>
      <c r="CI25" s="102">
        <v>4912810</v>
      </c>
      <c r="CJ25" s="83">
        <f t="shared" si="18"/>
        <v>727002</v>
      </c>
      <c r="CK25" s="102">
        <v>6482689</v>
      </c>
      <c r="CL25" s="102">
        <v>4357028</v>
      </c>
      <c r="CM25" s="102">
        <v>396458</v>
      </c>
      <c r="CN25" s="102">
        <v>778410</v>
      </c>
      <c r="CO25" s="102">
        <v>380342</v>
      </c>
      <c r="CP25" s="102">
        <v>8094618</v>
      </c>
      <c r="CQ25" s="102">
        <v>1356297</v>
      </c>
      <c r="CR25" s="102">
        <v>1307953</v>
      </c>
      <c r="CS25" s="102">
        <v>1020625</v>
      </c>
      <c r="CT25" s="73">
        <f t="shared" si="7"/>
        <v>4284957</v>
      </c>
      <c r="CU25" s="102">
        <v>751929</v>
      </c>
      <c r="CV25" s="102">
        <v>3533028</v>
      </c>
      <c r="CW25" s="73">
        <f t="shared" si="8"/>
        <v>3524593</v>
      </c>
      <c r="CX25" s="102">
        <v>187000</v>
      </c>
      <c r="CY25" s="102">
        <v>3337593</v>
      </c>
      <c r="CZ25" s="73">
        <f t="shared" si="9"/>
        <v>719788</v>
      </c>
      <c r="DA25" s="102">
        <v>546929</v>
      </c>
      <c r="DB25" s="102">
        <v>172859</v>
      </c>
      <c r="DC25" s="102">
        <v>6303179</v>
      </c>
      <c r="DD25" s="102">
        <v>4169460</v>
      </c>
      <c r="DE25" s="102">
        <v>2128501</v>
      </c>
      <c r="DF25" s="77">
        <v>5218</v>
      </c>
      <c r="DG25" s="78">
        <v>0</v>
      </c>
      <c r="DH25" s="102">
        <v>11290</v>
      </c>
      <c r="DI25" s="102">
        <v>1031615</v>
      </c>
      <c r="DJ25" s="102">
        <v>321920</v>
      </c>
      <c r="DK25" s="102">
        <v>560</v>
      </c>
      <c r="DL25" s="102">
        <v>709135</v>
      </c>
      <c r="DM25" s="102">
        <v>0</v>
      </c>
      <c r="DN25" s="102">
        <v>0</v>
      </c>
      <c r="DO25" s="102">
        <v>0</v>
      </c>
      <c r="DP25" s="102">
        <v>0</v>
      </c>
      <c r="DQ25" s="102">
        <v>20600</v>
      </c>
      <c r="DR25" s="102">
        <v>0</v>
      </c>
      <c r="DS25" s="102">
        <v>0</v>
      </c>
      <c r="DT25" s="102">
        <v>4758900</v>
      </c>
      <c r="DU25" s="102">
        <v>122550</v>
      </c>
      <c r="DV25" s="73">
        <f t="shared" si="10"/>
        <v>0</v>
      </c>
      <c r="DW25" s="102">
        <v>0</v>
      </c>
      <c r="DX25" s="102">
        <v>1759409</v>
      </c>
      <c r="DY25" s="102">
        <v>0</v>
      </c>
      <c r="DZ25" s="102">
        <v>1449698</v>
      </c>
      <c r="EA25" s="74">
        <v>0</v>
      </c>
      <c r="EB25" s="102">
        <v>1427168</v>
      </c>
      <c r="EC25" s="102">
        <v>0</v>
      </c>
      <c r="ED25" s="102">
        <v>61085053</v>
      </c>
      <c r="EE25" s="71"/>
      <c r="EF25" s="102">
        <v>170463</v>
      </c>
      <c r="EG25" s="102">
        <v>76888</v>
      </c>
      <c r="EH25" s="102">
        <v>93575</v>
      </c>
      <c r="EI25" s="102">
        <v>-141107</v>
      </c>
      <c r="EJ25" s="102">
        <v>180877</v>
      </c>
      <c r="EK25" s="71"/>
      <c r="EL25" s="102"/>
      <c r="EM25" s="102">
        <v>187506</v>
      </c>
      <c r="EN25" s="102">
        <v>23480</v>
      </c>
      <c r="EO25" s="102">
        <v>438230</v>
      </c>
      <c r="EP25" s="73">
        <f t="shared" si="11"/>
        <v>3226678</v>
      </c>
      <c r="EQ25" s="102">
        <v>33416193</v>
      </c>
      <c r="ER25" s="71">
        <v>-6697660</v>
      </c>
      <c r="ES25" s="102">
        <v>9134810</v>
      </c>
      <c r="ET25" s="102">
        <v>5549923</v>
      </c>
      <c r="EU25" s="102">
        <v>5443096</v>
      </c>
      <c r="EV25" s="102">
        <v>5479399</v>
      </c>
      <c r="EW25" s="73">
        <f t="shared" si="12"/>
        <v>1423175</v>
      </c>
      <c r="EX25" s="102">
        <v>1421396</v>
      </c>
      <c r="EY25" s="102">
        <v>134477</v>
      </c>
      <c r="EZ25" s="102">
        <v>1286919</v>
      </c>
      <c r="FA25" s="102">
        <v>1779</v>
      </c>
      <c r="FB25" s="102">
        <v>0</v>
      </c>
      <c r="FC25" s="102">
        <v>5403284</v>
      </c>
      <c r="FD25" s="102">
        <v>7759455</v>
      </c>
      <c r="FE25" s="102">
        <v>1356297</v>
      </c>
      <c r="FF25" s="102">
        <v>3963977</v>
      </c>
      <c r="FG25" s="73">
        <f t="shared" si="13"/>
        <v>1336194</v>
      </c>
      <c r="FH25" s="102">
        <v>39943390</v>
      </c>
      <c r="FI25" s="379">
        <f t="shared" si="14"/>
        <v>0.3</v>
      </c>
      <c r="FJ25" s="102">
        <v>30281465</v>
      </c>
      <c r="FK25" s="102">
        <v>3257110</v>
      </c>
      <c r="FL25" s="102">
        <v>17163750</v>
      </c>
      <c r="FM25" s="102">
        <v>25110480</v>
      </c>
      <c r="FN25" s="428">
        <v>0.68200000000000005</v>
      </c>
      <c r="FO25" s="424">
        <v>95.4</v>
      </c>
      <c r="FP25" s="425">
        <v>25.7</v>
      </c>
      <c r="FQ25" s="424">
        <v>15.9</v>
      </c>
      <c r="FR25" s="424">
        <v>16</v>
      </c>
      <c r="FS25" s="425">
        <v>15.2</v>
      </c>
      <c r="FT25" s="424">
        <v>11.8</v>
      </c>
      <c r="FU25" s="425">
        <v>9.9</v>
      </c>
      <c r="FV25" s="384">
        <f t="shared" si="15"/>
        <v>5.0999999999999996</v>
      </c>
      <c r="FW25" s="102">
        <v>53436620</v>
      </c>
      <c r="FX25" s="384">
        <f t="shared" si="16"/>
        <v>159.30000000000001</v>
      </c>
      <c r="FY25" s="102">
        <v>8208811</v>
      </c>
      <c r="FZ25" s="102">
        <v>4153700</v>
      </c>
      <c r="GA25" s="102">
        <v>149010</v>
      </c>
      <c r="GB25" s="102">
        <v>3906101</v>
      </c>
      <c r="GC25" s="102">
        <v>0</v>
      </c>
      <c r="GD25" s="454"/>
      <c r="GE25" s="386"/>
      <c r="GF25" s="424">
        <v>98.6</v>
      </c>
      <c r="GG25" s="424">
        <v>27.2</v>
      </c>
      <c r="GH25" s="424">
        <v>95.2</v>
      </c>
      <c r="GI25" s="102">
        <v>1034</v>
      </c>
      <c r="GJ25" s="429" t="s">
        <v>646</v>
      </c>
      <c r="GK25" s="429">
        <v>11.66</v>
      </c>
      <c r="GL25" s="87">
        <v>20</v>
      </c>
      <c r="GM25" s="429" t="s">
        <v>646</v>
      </c>
      <c r="GN25" s="430">
        <v>16.66</v>
      </c>
      <c r="GO25" s="430">
        <v>30</v>
      </c>
      <c r="GP25" s="425">
        <v>5.0999999999999996</v>
      </c>
      <c r="GQ25" s="425">
        <v>25</v>
      </c>
      <c r="GR25" s="425">
        <v>35</v>
      </c>
      <c r="GS25" s="431">
        <v>20.7</v>
      </c>
      <c r="GT25" s="425">
        <v>350</v>
      </c>
      <c r="GU25" s="394"/>
      <c r="GV25" s="100">
        <f t="shared" si="17"/>
        <v>33539</v>
      </c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</row>
    <row r="26" spans="2:230" x14ac:dyDescent="0.15">
      <c r="B26" s="89" t="s">
        <v>41</v>
      </c>
      <c r="C26" s="102">
        <v>22599183</v>
      </c>
      <c r="D26" s="73">
        <f t="shared" si="0"/>
        <v>9696122</v>
      </c>
      <c r="E26" s="102">
        <v>177856</v>
      </c>
      <c r="F26" s="102">
        <v>9518266</v>
      </c>
      <c r="G26" s="73">
        <f t="shared" si="1"/>
        <v>1090720</v>
      </c>
      <c r="H26" s="102">
        <v>338927</v>
      </c>
      <c r="I26" s="102">
        <v>751793</v>
      </c>
      <c r="J26" s="102">
        <v>8705625</v>
      </c>
      <c r="K26" s="102">
        <v>4137559</v>
      </c>
      <c r="L26" s="102">
        <v>3789453</v>
      </c>
      <c r="M26" s="102">
        <v>747248</v>
      </c>
      <c r="N26" s="102">
        <v>898051</v>
      </c>
      <c r="O26" s="102">
        <v>2086555</v>
      </c>
      <c r="P26" s="102">
        <v>1253621</v>
      </c>
      <c r="Q26" s="102">
        <v>832934</v>
      </c>
      <c r="R26" s="102">
        <v>248470</v>
      </c>
      <c r="S26" s="74"/>
      <c r="T26" s="73">
        <f t="shared" si="2"/>
        <v>1728001</v>
      </c>
      <c r="U26" s="102">
        <v>105852</v>
      </c>
      <c r="V26" s="102">
        <v>154224</v>
      </c>
      <c r="W26" s="102">
        <v>237187</v>
      </c>
      <c r="X26" s="102">
        <v>1105574</v>
      </c>
      <c r="Y26" s="102">
        <v>2925</v>
      </c>
      <c r="Z26" s="102">
        <v>0</v>
      </c>
      <c r="AA26" s="102">
        <v>122239</v>
      </c>
      <c r="AB26" s="102">
        <v>122603</v>
      </c>
      <c r="AC26" s="102">
        <v>1250697</v>
      </c>
      <c r="AD26" s="102">
        <v>1069433</v>
      </c>
      <c r="AE26" s="102">
        <v>181256</v>
      </c>
      <c r="AF26" s="102">
        <v>23490</v>
      </c>
      <c r="AG26" s="102">
        <v>388089</v>
      </c>
      <c r="AH26" s="73">
        <f t="shared" si="3"/>
        <v>890006</v>
      </c>
      <c r="AI26" s="102">
        <v>597322</v>
      </c>
      <c r="AJ26" s="102">
        <v>292684</v>
      </c>
      <c r="AK26" s="102">
        <v>9875898</v>
      </c>
      <c r="AL26" s="73">
        <f t="shared" si="4"/>
        <v>2823630</v>
      </c>
      <c r="AM26" s="102">
        <v>1569510</v>
      </c>
      <c r="AN26" s="102">
        <v>362442</v>
      </c>
      <c r="AO26" s="74"/>
      <c r="AP26" s="102">
        <v>891678</v>
      </c>
      <c r="AQ26" s="102">
        <v>1064336</v>
      </c>
      <c r="AR26" s="102">
        <v>0</v>
      </c>
      <c r="AS26" s="102">
        <v>0</v>
      </c>
      <c r="AT26" s="102">
        <v>3025418</v>
      </c>
      <c r="AU26" s="102">
        <v>1590008</v>
      </c>
      <c r="AV26" s="102">
        <v>179826</v>
      </c>
      <c r="AW26" s="102">
        <v>32241</v>
      </c>
      <c r="AX26" s="102">
        <v>1435410</v>
      </c>
      <c r="AY26" s="102">
        <v>372572</v>
      </c>
      <c r="AZ26" s="102">
        <v>690555</v>
      </c>
      <c r="BA26" s="102">
        <v>558680</v>
      </c>
      <c r="BB26" s="102">
        <v>78219</v>
      </c>
      <c r="BC26" s="102">
        <v>2209039</v>
      </c>
      <c r="BD26" s="102">
        <v>0</v>
      </c>
      <c r="BE26" s="102">
        <v>260000</v>
      </c>
      <c r="BF26" s="102">
        <v>427834</v>
      </c>
      <c r="BG26" s="102">
        <v>0</v>
      </c>
      <c r="BH26" s="102">
        <v>1721241</v>
      </c>
      <c r="BI26" s="102">
        <v>332320</v>
      </c>
      <c r="BJ26" s="102">
        <v>3989819</v>
      </c>
      <c r="BK26" s="102">
        <v>10470</v>
      </c>
      <c r="BL26" s="102">
        <v>0</v>
      </c>
      <c r="BM26" s="102">
        <v>3100000</v>
      </c>
      <c r="BN26" s="102">
        <v>3646195</v>
      </c>
      <c r="BO26" s="73">
        <f t="shared" si="5"/>
        <v>2304800</v>
      </c>
      <c r="BP26" s="73">
        <f t="shared" si="6"/>
        <v>1341395</v>
      </c>
      <c r="BQ26" s="102">
        <v>0</v>
      </c>
      <c r="BR26" s="102">
        <v>0</v>
      </c>
      <c r="BS26" s="102">
        <v>1341395</v>
      </c>
      <c r="BT26" s="102">
        <v>0</v>
      </c>
      <c r="BU26" s="102">
        <v>52486923</v>
      </c>
      <c r="BV26" s="71"/>
      <c r="BW26" s="102">
        <v>8951238</v>
      </c>
      <c r="BX26" s="102">
        <v>6378705</v>
      </c>
      <c r="BY26" s="102">
        <v>695499</v>
      </c>
      <c r="BZ26" s="102">
        <v>261904</v>
      </c>
      <c r="CA26" s="102">
        <v>8937636</v>
      </c>
      <c r="CB26" s="102">
        <v>2028080</v>
      </c>
      <c r="CC26" s="102">
        <v>290372</v>
      </c>
      <c r="CD26" s="102">
        <v>4417475</v>
      </c>
      <c r="CE26" s="102">
        <v>2082829</v>
      </c>
      <c r="CF26" s="102">
        <v>26179</v>
      </c>
      <c r="CG26" s="102">
        <v>92450</v>
      </c>
      <c r="CH26" s="102">
        <v>3259880</v>
      </c>
      <c r="CI26" s="102">
        <v>2881999</v>
      </c>
      <c r="CJ26" s="83">
        <f t="shared" si="18"/>
        <v>377881</v>
      </c>
      <c r="CK26" s="102">
        <v>7171043</v>
      </c>
      <c r="CL26" s="102">
        <v>4674749</v>
      </c>
      <c r="CM26" s="102">
        <v>423660</v>
      </c>
      <c r="CN26" s="102">
        <v>1269467</v>
      </c>
      <c r="CO26" s="102">
        <v>489755</v>
      </c>
      <c r="CP26" s="102">
        <v>2451759</v>
      </c>
      <c r="CQ26" s="102">
        <v>1949</v>
      </c>
      <c r="CR26" s="102">
        <v>1287180</v>
      </c>
      <c r="CS26" s="102">
        <v>1021662</v>
      </c>
      <c r="CT26" s="73">
        <f t="shared" si="7"/>
        <v>638552</v>
      </c>
      <c r="CU26" s="102">
        <v>605552</v>
      </c>
      <c r="CV26" s="102">
        <v>33000</v>
      </c>
      <c r="CW26" s="73">
        <f t="shared" si="8"/>
        <v>293417</v>
      </c>
      <c r="CX26" s="102">
        <v>260417</v>
      </c>
      <c r="CY26" s="102">
        <v>33000</v>
      </c>
      <c r="CZ26" s="73">
        <f t="shared" si="9"/>
        <v>328684</v>
      </c>
      <c r="DA26" s="102">
        <v>328684</v>
      </c>
      <c r="DB26" s="102">
        <v>0</v>
      </c>
      <c r="DC26" s="102">
        <v>7445184</v>
      </c>
      <c r="DD26" s="102">
        <v>4921112</v>
      </c>
      <c r="DE26" s="102">
        <v>2524072</v>
      </c>
      <c r="DF26" s="77">
        <v>0</v>
      </c>
      <c r="DG26" s="78">
        <v>0</v>
      </c>
      <c r="DH26" s="102">
        <v>12365</v>
      </c>
      <c r="DI26" s="102">
        <v>7329405</v>
      </c>
      <c r="DJ26" s="102">
        <v>17592</v>
      </c>
      <c r="DK26" s="102">
        <v>2024</v>
      </c>
      <c r="DL26" s="102">
        <v>7309789</v>
      </c>
      <c r="DM26" s="102">
        <v>413273</v>
      </c>
      <c r="DN26" s="102">
        <v>412776</v>
      </c>
      <c r="DO26" s="102">
        <v>0</v>
      </c>
      <c r="DP26" s="102">
        <v>412776</v>
      </c>
      <c r="DQ26" s="102">
        <v>79</v>
      </c>
      <c r="DR26" s="102">
        <v>0</v>
      </c>
      <c r="DS26" s="102">
        <v>0</v>
      </c>
      <c r="DT26" s="102">
        <v>3802510</v>
      </c>
      <c r="DU26" s="102">
        <v>0</v>
      </c>
      <c r="DV26" s="73">
        <f t="shared" si="10"/>
        <v>0</v>
      </c>
      <c r="DW26" s="102">
        <v>0</v>
      </c>
      <c r="DX26" s="102">
        <v>1170646</v>
      </c>
      <c r="DY26" s="102">
        <v>0</v>
      </c>
      <c r="DZ26" s="102">
        <v>1338292</v>
      </c>
      <c r="EA26" s="74">
        <v>0</v>
      </c>
      <c r="EB26" s="102">
        <v>1170145</v>
      </c>
      <c r="EC26" s="102">
        <v>0</v>
      </c>
      <c r="ED26" s="102">
        <v>50264127</v>
      </c>
      <c r="EE26" s="71"/>
      <c r="EF26" s="102">
        <v>2222796</v>
      </c>
      <c r="EG26" s="102">
        <v>678446</v>
      </c>
      <c r="EH26" s="102">
        <v>1544350</v>
      </c>
      <c r="EI26" s="102">
        <v>712030</v>
      </c>
      <c r="EJ26" s="102">
        <v>994345</v>
      </c>
      <c r="EK26" s="71"/>
      <c r="EL26" s="102"/>
      <c r="EM26" s="102">
        <v>134303</v>
      </c>
      <c r="EN26" s="102">
        <v>2025104</v>
      </c>
      <c r="EO26" s="102">
        <v>658123</v>
      </c>
      <c r="EP26" s="73">
        <f t="shared" si="11"/>
        <v>6948894</v>
      </c>
      <c r="EQ26" s="102">
        <v>25972444</v>
      </c>
      <c r="ER26" s="71">
        <v>-10950026</v>
      </c>
      <c r="ES26" s="102">
        <v>8524822</v>
      </c>
      <c r="ET26" s="102">
        <v>6011276</v>
      </c>
      <c r="EU26" s="102">
        <v>2679025</v>
      </c>
      <c r="EV26" s="102">
        <v>3259524</v>
      </c>
      <c r="EW26" s="73">
        <f t="shared" si="12"/>
        <v>1475850</v>
      </c>
      <c r="EX26" s="102">
        <v>1463485</v>
      </c>
      <c r="EY26" s="102">
        <v>31073</v>
      </c>
      <c r="EZ26" s="102">
        <v>1432412</v>
      </c>
      <c r="FA26" s="102">
        <v>12365</v>
      </c>
      <c r="FB26" s="102">
        <v>0</v>
      </c>
      <c r="FC26" s="102">
        <v>5333829</v>
      </c>
      <c r="FD26" s="102">
        <v>2039359</v>
      </c>
      <c r="FE26" s="102">
        <v>1949</v>
      </c>
      <c r="FF26" s="102">
        <v>3240204</v>
      </c>
      <c r="FG26" s="73">
        <f t="shared" si="13"/>
        <v>8175934</v>
      </c>
      <c r="FH26" s="102">
        <v>34728547</v>
      </c>
      <c r="FI26" s="379">
        <f t="shared" si="14"/>
        <v>6.1</v>
      </c>
      <c r="FJ26" s="102">
        <v>23534387</v>
      </c>
      <c r="FK26" s="102">
        <v>1889669</v>
      </c>
      <c r="FL26" s="102">
        <v>16813268</v>
      </c>
      <c r="FM26" s="102">
        <v>17882701</v>
      </c>
      <c r="FN26" s="428">
        <v>0.94499999999999995</v>
      </c>
      <c r="FO26" s="424">
        <v>92.9</v>
      </c>
      <c r="FP26" s="425">
        <v>33.200000000000003</v>
      </c>
      <c r="FQ26" s="424">
        <v>10.6</v>
      </c>
      <c r="FR26" s="424">
        <v>11.8</v>
      </c>
      <c r="FS26" s="425">
        <v>19.2</v>
      </c>
      <c r="FT26" s="424">
        <v>6.1</v>
      </c>
      <c r="FU26" s="425">
        <v>10.199999999999999</v>
      </c>
      <c r="FV26" s="384">
        <f t="shared" si="15"/>
        <v>3.1</v>
      </c>
      <c r="FW26" s="102">
        <v>28532345</v>
      </c>
      <c r="FX26" s="384">
        <f t="shared" si="16"/>
        <v>112.2</v>
      </c>
      <c r="FY26" s="102">
        <v>23632723</v>
      </c>
      <c r="FZ26" s="102">
        <v>6950675</v>
      </c>
      <c r="GA26" s="102">
        <v>1282913</v>
      </c>
      <c r="GB26" s="102">
        <v>15399135</v>
      </c>
      <c r="GC26" s="102">
        <v>0</v>
      </c>
      <c r="GD26" s="454">
        <v>1604</v>
      </c>
      <c r="GE26" s="386">
        <f>IF(GD26=0,"-",ROUND(GD26/(GV26)*100,1))</f>
        <v>6.3</v>
      </c>
      <c r="GF26" s="424">
        <v>98.5</v>
      </c>
      <c r="GG26" s="424">
        <v>24.5</v>
      </c>
      <c r="GH26" s="424">
        <v>93.6</v>
      </c>
      <c r="GI26" s="102">
        <v>853</v>
      </c>
      <c r="GJ26" s="429" t="s">
        <v>646</v>
      </c>
      <c r="GK26" s="429">
        <v>12.06</v>
      </c>
      <c r="GL26" s="87">
        <v>20</v>
      </c>
      <c r="GM26" s="429" t="s">
        <v>646</v>
      </c>
      <c r="GN26" s="430">
        <v>17.059999999999999</v>
      </c>
      <c r="GO26" s="430">
        <v>30</v>
      </c>
      <c r="GP26" s="425">
        <v>3.1</v>
      </c>
      <c r="GQ26" s="425">
        <v>25</v>
      </c>
      <c r="GR26" s="425">
        <v>35</v>
      </c>
      <c r="GS26" s="431" t="s">
        <v>646</v>
      </c>
      <c r="GT26" s="425">
        <v>350</v>
      </c>
      <c r="GU26" s="394"/>
      <c r="GV26" s="100">
        <f t="shared" si="17"/>
        <v>25424</v>
      </c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</row>
    <row r="27" spans="2:230" x14ac:dyDescent="0.15">
      <c r="B27" s="89" t="s">
        <v>43</v>
      </c>
      <c r="C27" s="102">
        <v>8804883</v>
      </c>
      <c r="D27" s="73">
        <f t="shared" si="0"/>
        <v>3437943</v>
      </c>
      <c r="E27" s="102">
        <v>95338</v>
      </c>
      <c r="F27" s="102">
        <v>3342605</v>
      </c>
      <c r="G27" s="73">
        <f t="shared" si="1"/>
        <v>598862</v>
      </c>
      <c r="H27" s="102">
        <v>123049</v>
      </c>
      <c r="I27" s="102">
        <v>475813</v>
      </c>
      <c r="J27" s="102">
        <v>3597627</v>
      </c>
      <c r="K27" s="102">
        <v>1449133</v>
      </c>
      <c r="L27" s="102">
        <v>1406188</v>
      </c>
      <c r="M27" s="102">
        <v>717058</v>
      </c>
      <c r="N27" s="102">
        <v>378706</v>
      </c>
      <c r="O27" s="102">
        <v>715125</v>
      </c>
      <c r="P27" s="102">
        <v>413843</v>
      </c>
      <c r="Q27" s="102">
        <v>301282</v>
      </c>
      <c r="R27" s="102">
        <v>124141</v>
      </c>
      <c r="S27" s="74"/>
      <c r="T27" s="73">
        <f t="shared" si="2"/>
        <v>880909</v>
      </c>
      <c r="U27" s="102">
        <v>37600</v>
      </c>
      <c r="V27" s="102">
        <v>54476</v>
      </c>
      <c r="W27" s="102">
        <v>83455</v>
      </c>
      <c r="X27" s="102">
        <v>644349</v>
      </c>
      <c r="Y27" s="102">
        <v>0</v>
      </c>
      <c r="Z27" s="102">
        <v>0</v>
      </c>
      <c r="AA27" s="102">
        <v>61029</v>
      </c>
      <c r="AB27" s="102">
        <v>53775</v>
      </c>
      <c r="AC27" s="102">
        <v>4308490</v>
      </c>
      <c r="AD27" s="102">
        <v>4046519</v>
      </c>
      <c r="AE27" s="102">
        <v>261967</v>
      </c>
      <c r="AF27" s="102">
        <v>12912</v>
      </c>
      <c r="AG27" s="102">
        <v>255784</v>
      </c>
      <c r="AH27" s="73">
        <f t="shared" si="3"/>
        <v>420825</v>
      </c>
      <c r="AI27" s="102">
        <v>382471</v>
      </c>
      <c r="AJ27" s="102">
        <v>38354</v>
      </c>
      <c r="AK27" s="102">
        <v>3703376</v>
      </c>
      <c r="AL27" s="73">
        <f t="shared" si="4"/>
        <v>2418703</v>
      </c>
      <c r="AM27" s="102">
        <v>1643250</v>
      </c>
      <c r="AN27" s="102">
        <v>342146</v>
      </c>
      <c r="AO27" s="74"/>
      <c r="AP27" s="102">
        <v>433307</v>
      </c>
      <c r="AQ27" s="102">
        <v>131192</v>
      </c>
      <c r="AR27" s="102">
        <v>20570</v>
      </c>
      <c r="AS27" s="102">
        <v>0</v>
      </c>
      <c r="AT27" s="102">
        <v>1436468</v>
      </c>
      <c r="AU27" s="102">
        <v>913528</v>
      </c>
      <c r="AV27" s="102">
        <v>111728</v>
      </c>
      <c r="AW27" s="102">
        <v>1201</v>
      </c>
      <c r="AX27" s="102">
        <v>522940</v>
      </c>
      <c r="AY27" s="102">
        <v>63248</v>
      </c>
      <c r="AZ27" s="102">
        <v>26778</v>
      </c>
      <c r="BA27" s="102">
        <v>7076</v>
      </c>
      <c r="BB27" s="102">
        <v>20255</v>
      </c>
      <c r="BC27" s="102">
        <v>0</v>
      </c>
      <c r="BD27" s="102">
        <v>0</v>
      </c>
      <c r="BE27" s="102">
        <v>0</v>
      </c>
      <c r="BF27" s="102">
        <v>0</v>
      </c>
      <c r="BG27" s="102">
        <v>0</v>
      </c>
      <c r="BH27" s="102">
        <v>152996</v>
      </c>
      <c r="BI27" s="102">
        <v>129396</v>
      </c>
      <c r="BJ27" s="102">
        <v>680814</v>
      </c>
      <c r="BK27" s="102">
        <v>436065</v>
      </c>
      <c r="BL27" s="102">
        <v>0</v>
      </c>
      <c r="BM27" s="102">
        <v>0</v>
      </c>
      <c r="BN27" s="102">
        <v>1875142</v>
      </c>
      <c r="BO27" s="73">
        <f t="shared" si="5"/>
        <v>462200</v>
      </c>
      <c r="BP27" s="73">
        <f t="shared" si="6"/>
        <v>1412942</v>
      </c>
      <c r="BQ27" s="102">
        <v>0</v>
      </c>
      <c r="BR27" s="102">
        <v>0</v>
      </c>
      <c r="BS27" s="102">
        <v>1412942</v>
      </c>
      <c r="BT27" s="102">
        <v>0</v>
      </c>
      <c r="BU27" s="102">
        <v>22757548</v>
      </c>
      <c r="BV27" s="71"/>
      <c r="BW27" s="102">
        <v>3693894</v>
      </c>
      <c r="BX27" s="102">
        <v>2288334</v>
      </c>
      <c r="BY27" s="102">
        <v>307327</v>
      </c>
      <c r="BZ27" s="102">
        <v>347568</v>
      </c>
      <c r="CA27" s="102">
        <v>5807241</v>
      </c>
      <c r="CB27" s="102">
        <v>924867</v>
      </c>
      <c r="CC27" s="102">
        <v>132587</v>
      </c>
      <c r="CD27" s="102">
        <v>2524336</v>
      </c>
      <c r="CE27" s="102">
        <v>2142919</v>
      </c>
      <c r="CF27" s="102">
        <v>4491</v>
      </c>
      <c r="CG27" s="102">
        <v>77921</v>
      </c>
      <c r="CH27" s="102">
        <v>2069875</v>
      </c>
      <c r="CI27" s="102">
        <v>1778876</v>
      </c>
      <c r="CJ27" s="83">
        <f t="shared" si="18"/>
        <v>290999</v>
      </c>
      <c r="CK27" s="102">
        <v>2319733</v>
      </c>
      <c r="CL27" s="102">
        <v>1346974</v>
      </c>
      <c r="CM27" s="102">
        <v>210015</v>
      </c>
      <c r="CN27" s="102">
        <v>327939</v>
      </c>
      <c r="CO27" s="102">
        <v>89224</v>
      </c>
      <c r="CP27" s="102">
        <v>3518301</v>
      </c>
      <c r="CQ27" s="102">
        <v>1744003</v>
      </c>
      <c r="CR27" s="102">
        <v>404820</v>
      </c>
      <c r="CS27" s="102">
        <v>239929</v>
      </c>
      <c r="CT27" s="73">
        <f t="shared" si="7"/>
        <v>993078</v>
      </c>
      <c r="CU27" s="102">
        <v>272383</v>
      </c>
      <c r="CV27" s="102">
        <v>720695</v>
      </c>
      <c r="CW27" s="73">
        <f t="shared" si="8"/>
        <v>989829</v>
      </c>
      <c r="CX27" s="102">
        <v>270766</v>
      </c>
      <c r="CY27" s="102">
        <v>719063</v>
      </c>
      <c r="CZ27" s="73">
        <f t="shared" si="9"/>
        <v>0</v>
      </c>
      <c r="DA27" s="102">
        <v>0</v>
      </c>
      <c r="DB27" s="102">
        <v>0</v>
      </c>
      <c r="DC27" s="102">
        <v>1325516</v>
      </c>
      <c r="DD27" s="102">
        <v>425977</v>
      </c>
      <c r="DE27" s="102">
        <v>899539</v>
      </c>
      <c r="DF27" s="77">
        <v>0</v>
      </c>
      <c r="DG27" s="78">
        <v>0</v>
      </c>
      <c r="DH27" s="102">
        <v>29267</v>
      </c>
      <c r="DI27" s="102">
        <v>29401</v>
      </c>
      <c r="DJ27" s="102">
        <v>2517</v>
      </c>
      <c r="DK27" s="102">
        <v>0</v>
      </c>
      <c r="DL27" s="102">
        <v>26884</v>
      </c>
      <c r="DM27" s="102">
        <v>0</v>
      </c>
      <c r="DN27" s="102">
        <v>0</v>
      </c>
      <c r="DO27" s="102">
        <v>0</v>
      </c>
      <c r="DP27" s="102">
        <v>0</v>
      </c>
      <c r="DQ27" s="102">
        <v>434848</v>
      </c>
      <c r="DR27" s="102">
        <v>0</v>
      </c>
      <c r="DS27" s="102">
        <v>0</v>
      </c>
      <c r="DT27" s="102">
        <v>3324138</v>
      </c>
      <c r="DU27" s="102">
        <v>1138238</v>
      </c>
      <c r="DV27" s="73">
        <f t="shared" si="10"/>
        <v>0</v>
      </c>
      <c r="DW27" s="102">
        <v>0</v>
      </c>
      <c r="DX27" s="102">
        <v>759585</v>
      </c>
      <c r="DY27" s="102">
        <v>0</v>
      </c>
      <c r="DZ27" s="102">
        <v>674517</v>
      </c>
      <c r="EA27" s="74">
        <v>0</v>
      </c>
      <c r="EB27" s="102">
        <v>748453</v>
      </c>
      <c r="EC27" s="102">
        <v>0</v>
      </c>
      <c r="ED27" s="102">
        <v>22641438</v>
      </c>
      <c r="EE27" s="71"/>
      <c r="EF27" s="102">
        <v>116110</v>
      </c>
      <c r="EG27" s="102">
        <v>1272</v>
      </c>
      <c r="EH27" s="102">
        <v>114838</v>
      </c>
      <c r="EI27" s="102">
        <v>-144558</v>
      </c>
      <c r="EJ27" s="102">
        <v>-142041</v>
      </c>
      <c r="EK27" s="71"/>
      <c r="EL27" s="102"/>
      <c r="EM27" s="102">
        <v>72636</v>
      </c>
      <c r="EN27" s="102">
        <v>0</v>
      </c>
      <c r="EO27" s="102">
        <v>16714</v>
      </c>
      <c r="EP27" s="73">
        <f t="shared" si="11"/>
        <v>466538</v>
      </c>
      <c r="EQ27" s="102">
        <v>14185110</v>
      </c>
      <c r="ER27" s="71">
        <v>-1883282</v>
      </c>
      <c r="ES27" s="102">
        <v>3375379</v>
      </c>
      <c r="ET27" s="102">
        <v>2034435</v>
      </c>
      <c r="EU27" s="102">
        <v>1615257</v>
      </c>
      <c r="EV27" s="102">
        <v>2069875</v>
      </c>
      <c r="EW27" s="73">
        <f t="shared" si="12"/>
        <v>501649</v>
      </c>
      <c r="EX27" s="102">
        <v>498701</v>
      </c>
      <c r="EY27" s="102">
        <v>26764</v>
      </c>
      <c r="EZ27" s="102">
        <v>471937</v>
      </c>
      <c r="FA27" s="102">
        <v>2948</v>
      </c>
      <c r="FB27" s="102">
        <v>0</v>
      </c>
      <c r="FC27" s="102">
        <v>1907142</v>
      </c>
      <c r="FD27" s="102">
        <v>3423108</v>
      </c>
      <c r="FE27" s="102">
        <v>1743182</v>
      </c>
      <c r="FF27" s="102">
        <v>2972410</v>
      </c>
      <c r="FG27" s="73">
        <f t="shared" si="13"/>
        <v>87462</v>
      </c>
      <c r="FH27" s="102">
        <v>15952282</v>
      </c>
      <c r="FI27" s="379">
        <f t="shared" si="14"/>
        <v>0.8</v>
      </c>
      <c r="FJ27" s="102">
        <v>13078700</v>
      </c>
      <c r="FK27" s="102">
        <v>1412942</v>
      </c>
      <c r="FL27" s="102">
        <v>6968037</v>
      </c>
      <c r="FM27" s="102">
        <v>11014556</v>
      </c>
      <c r="FN27" s="428">
        <v>0.63900000000000001</v>
      </c>
      <c r="FO27" s="424">
        <v>92.2</v>
      </c>
      <c r="FP27" s="425">
        <v>22.8</v>
      </c>
      <c r="FQ27" s="424">
        <v>10.8</v>
      </c>
      <c r="FR27" s="424">
        <v>14.1</v>
      </c>
      <c r="FS27" s="425">
        <v>12.1</v>
      </c>
      <c r="FT27" s="424">
        <v>16.2</v>
      </c>
      <c r="FU27" s="425">
        <v>15.7</v>
      </c>
      <c r="FV27" s="384">
        <f t="shared" si="15"/>
        <v>9.8000000000000007</v>
      </c>
      <c r="FW27" s="102">
        <v>20438194</v>
      </c>
      <c r="FX27" s="384">
        <f t="shared" si="16"/>
        <v>141</v>
      </c>
      <c r="FY27" s="102">
        <v>3672339</v>
      </c>
      <c r="FZ27" s="102">
        <v>955978</v>
      </c>
      <c r="GA27" s="102">
        <v>173</v>
      </c>
      <c r="GB27" s="102">
        <v>2716188</v>
      </c>
      <c r="GC27" s="102">
        <v>250000</v>
      </c>
      <c r="GD27" s="454">
        <v>392</v>
      </c>
      <c r="GE27" s="386">
        <f>IF(GD27=0,"-",ROUND(GD27/(GV27)*100,1))</f>
        <v>2.7</v>
      </c>
      <c r="GF27" s="424">
        <v>97.8</v>
      </c>
      <c r="GG27" s="424">
        <v>34.799999999999997</v>
      </c>
      <c r="GH27" s="424">
        <v>94.4</v>
      </c>
      <c r="GI27" s="102">
        <v>393</v>
      </c>
      <c r="GJ27" s="429" t="s">
        <v>646</v>
      </c>
      <c r="GK27" s="429">
        <v>12.82</v>
      </c>
      <c r="GL27" s="87">
        <v>20</v>
      </c>
      <c r="GM27" s="429" t="s">
        <v>646</v>
      </c>
      <c r="GN27" s="430">
        <v>17.82</v>
      </c>
      <c r="GO27" s="430">
        <v>30</v>
      </c>
      <c r="GP27" s="425">
        <v>9.8000000000000007</v>
      </c>
      <c r="GQ27" s="425">
        <v>25</v>
      </c>
      <c r="GR27" s="425">
        <v>35</v>
      </c>
      <c r="GS27" s="431">
        <v>40.299999999999997</v>
      </c>
      <c r="GT27" s="425">
        <v>350</v>
      </c>
      <c r="GU27" s="394"/>
      <c r="GV27" s="100">
        <f t="shared" si="17"/>
        <v>14492</v>
      </c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</row>
    <row r="28" spans="2:230" x14ac:dyDescent="0.15">
      <c r="B28" s="89" t="s">
        <v>45</v>
      </c>
      <c r="C28" s="102">
        <v>12494494</v>
      </c>
      <c r="D28" s="73">
        <f t="shared" si="0"/>
        <v>5216292</v>
      </c>
      <c r="E28" s="102">
        <v>147047</v>
      </c>
      <c r="F28" s="102">
        <v>5069245</v>
      </c>
      <c r="G28" s="73">
        <f t="shared" si="1"/>
        <v>585924</v>
      </c>
      <c r="H28" s="102">
        <v>187830</v>
      </c>
      <c r="I28" s="102">
        <v>398094</v>
      </c>
      <c r="J28" s="102">
        <v>4772205</v>
      </c>
      <c r="K28" s="102">
        <v>2151471</v>
      </c>
      <c r="L28" s="102">
        <v>2094743</v>
      </c>
      <c r="M28" s="102">
        <v>477407</v>
      </c>
      <c r="N28" s="102">
        <v>714736</v>
      </c>
      <c r="O28" s="102">
        <v>1033800</v>
      </c>
      <c r="P28" s="102">
        <v>602891</v>
      </c>
      <c r="Q28" s="102">
        <v>430909</v>
      </c>
      <c r="R28" s="102">
        <v>193030</v>
      </c>
      <c r="S28" s="74"/>
      <c r="T28" s="73">
        <f t="shared" si="2"/>
        <v>1328790</v>
      </c>
      <c r="U28" s="102">
        <v>57424</v>
      </c>
      <c r="V28" s="102">
        <v>83243</v>
      </c>
      <c r="W28" s="102">
        <v>127568</v>
      </c>
      <c r="X28" s="102">
        <v>965641</v>
      </c>
      <c r="Y28" s="102">
        <v>0</v>
      </c>
      <c r="Z28" s="102">
        <v>0</v>
      </c>
      <c r="AA28" s="102">
        <v>94914</v>
      </c>
      <c r="AB28" s="102">
        <v>89827</v>
      </c>
      <c r="AC28" s="102">
        <v>8425388</v>
      </c>
      <c r="AD28" s="102">
        <v>8175053</v>
      </c>
      <c r="AE28" s="102">
        <v>250330</v>
      </c>
      <c r="AF28" s="102">
        <v>19483</v>
      </c>
      <c r="AG28" s="102">
        <v>317046</v>
      </c>
      <c r="AH28" s="73">
        <f t="shared" si="3"/>
        <v>575727</v>
      </c>
      <c r="AI28" s="102">
        <v>519441</v>
      </c>
      <c r="AJ28" s="102">
        <v>56286</v>
      </c>
      <c r="AK28" s="102">
        <v>7318181</v>
      </c>
      <c r="AL28" s="73">
        <f t="shared" si="4"/>
        <v>4936638</v>
      </c>
      <c r="AM28" s="102">
        <v>3627209</v>
      </c>
      <c r="AN28" s="102">
        <v>366196</v>
      </c>
      <c r="AO28" s="74"/>
      <c r="AP28" s="102">
        <v>943233</v>
      </c>
      <c r="AQ28" s="102">
        <v>298926</v>
      </c>
      <c r="AR28" s="102">
        <v>0</v>
      </c>
      <c r="AS28" s="102">
        <v>0</v>
      </c>
      <c r="AT28" s="102">
        <v>2420733</v>
      </c>
      <c r="AU28" s="102">
        <v>1339148</v>
      </c>
      <c r="AV28" s="102">
        <v>183098</v>
      </c>
      <c r="AW28" s="102">
        <v>21752</v>
      </c>
      <c r="AX28" s="102">
        <v>1081585</v>
      </c>
      <c r="AY28" s="102">
        <v>17084</v>
      </c>
      <c r="AZ28" s="102">
        <v>281985</v>
      </c>
      <c r="BA28" s="102">
        <v>256811</v>
      </c>
      <c r="BB28" s="102">
        <v>22352</v>
      </c>
      <c r="BC28" s="102">
        <v>81763</v>
      </c>
      <c r="BD28" s="102">
        <v>0</v>
      </c>
      <c r="BE28" s="102">
        <v>0</v>
      </c>
      <c r="BF28" s="102">
        <v>60695</v>
      </c>
      <c r="BG28" s="102">
        <v>0</v>
      </c>
      <c r="BH28" s="102">
        <v>163669</v>
      </c>
      <c r="BI28" s="102">
        <v>77985</v>
      </c>
      <c r="BJ28" s="102">
        <v>1874910</v>
      </c>
      <c r="BK28" s="102">
        <v>1540865</v>
      </c>
      <c r="BL28" s="102">
        <v>0</v>
      </c>
      <c r="BM28" s="102">
        <v>0</v>
      </c>
      <c r="BN28" s="102">
        <v>6789400</v>
      </c>
      <c r="BO28" s="73">
        <f t="shared" si="5"/>
        <v>4707700</v>
      </c>
      <c r="BP28" s="73">
        <f t="shared" si="6"/>
        <v>2081700</v>
      </c>
      <c r="BQ28" s="102">
        <v>0</v>
      </c>
      <c r="BR28" s="102">
        <v>0</v>
      </c>
      <c r="BS28" s="102">
        <v>2081700</v>
      </c>
      <c r="BT28" s="102">
        <v>0</v>
      </c>
      <c r="BU28" s="102">
        <v>42396778</v>
      </c>
      <c r="BV28" s="71"/>
      <c r="BW28" s="102">
        <v>4423618</v>
      </c>
      <c r="BX28" s="102">
        <v>3090590</v>
      </c>
      <c r="BY28" s="102">
        <v>270959</v>
      </c>
      <c r="BZ28" s="102">
        <v>84117</v>
      </c>
      <c r="CA28" s="102">
        <v>11900452</v>
      </c>
      <c r="CB28" s="102">
        <v>2712585</v>
      </c>
      <c r="CC28" s="102">
        <v>202507</v>
      </c>
      <c r="CD28" s="102">
        <v>4089995</v>
      </c>
      <c r="CE28" s="102">
        <v>4784823</v>
      </c>
      <c r="CF28" s="102">
        <v>0</v>
      </c>
      <c r="CG28" s="102">
        <v>110422</v>
      </c>
      <c r="CH28" s="102">
        <v>6453112</v>
      </c>
      <c r="CI28" s="102">
        <v>5842360</v>
      </c>
      <c r="CJ28" s="83">
        <f t="shared" si="18"/>
        <v>610752</v>
      </c>
      <c r="CK28" s="102">
        <v>4208466</v>
      </c>
      <c r="CL28" s="102">
        <v>2401050</v>
      </c>
      <c r="CM28" s="102">
        <v>608762</v>
      </c>
      <c r="CN28" s="102">
        <v>615021</v>
      </c>
      <c r="CO28" s="102">
        <v>84546</v>
      </c>
      <c r="CP28" s="102">
        <v>5918266</v>
      </c>
      <c r="CQ28" s="102">
        <v>2073156</v>
      </c>
      <c r="CR28" s="102">
        <v>794554</v>
      </c>
      <c r="CS28" s="102">
        <v>700552</v>
      </c>
      <c r="CT28" s="73">
        <f t="shared" si="7"/>
        <v>3761</v>
      </c>
      <c r="CU28" s="102">
        <v>1601</v>
      </c>
      <c r="CV28" s="102">
        <v>2160</v>
      </c>
      <c r="CW28" s="73">
        <f t="shared" si="8"/>
        <v>0</v>
      </c>
      <c r="CX28" s="102">
        <v>0</v>
      </c>
      <c r="CY28" s="102">
        <v>0</v>
      </c>
      <c r="CZ28" s="73">
        <f t="shared" si="9"/>
        <v>0</v>
      </c>
      <c r="DA28" s="102">
        <v>0</v>
      </c>
      <c r="DB28" s="102">
        <v>0</v>
      </c>
      <c r="DC28" s="102">
        <v>1520945</v>
      </c>
      <c r="DD28" s="102">
        <v>887948</v>
      </c>
      <c r="DE28" s="102">
        <v>632997</v>
      </c>
      <c r="DF28" s="77">
        <v>0</v>
      </c>
      <c r="DG28" s="78">
        <v>0</v>
      </c>
      <c r="DH28" s="102">
        <v>0</v>
      </c>
      <c r="DI28" s="102">
        <v>105290</v>
      </c>
      <c r="DJ28" s="102">
        <v>44101</v>
      </c>
      <c r="DK28" s="102">
        <v>22</v>
      </c>
      <c r="DL28" s="102">
        <v>61167</v>
      </c>
      <c r="DM28" s="102">
        <v>75300</v>
      </c>
      <c r="DN28" s="102">
        <v>75300</v>
      </c>
      <c r="DO28" s="102">
        <v>75300</v>
      </c>
      <c r="DP28" s="102">
        <v>0</v>
      </c>
      <c r="DQ28" s="102">
        <v>1539259</v>
      </c>
      <c r="DR28" s="102">
        <v>0</v>
      </c>
      <c r="DS28" s="102">
        <v>0</v>
      </c>
      <c r="DT28" s="102">
        <v>5045078</v>
      </c>
      <c r="DU28" s="102">
        <v>1410833</v>
      </c>
      <c r="DV28" s="73">
        <f t="shared" si="10"/>
        <v>0</v>
      </c>
      <c r="DW28" s="102">
        <v>0</v>
      </c>
      <c r="DX28" s="102">
        <v>1326230</v>
      </c>
      <c r="DY28" s="102">
        <v>0</v>
      </c>
      <c r="DZ28" s="102">
        <v>946398</v>
      </c>
      <c r="EA28" s="74">
        <v>0</v>
      </c>
      <c r="EB28" s="102">
        <v>1244624</v>
      </c>
      <c r="EC28" s="102">
        <v>0</v>
      </c>
      <c r="ED28" s="102">
        <v>41274332</v>
      </c>
      <c r="EE28" s="71"/>
      <c r="EF28" s="102">
        <v>1122446</v>
      </c>
      <c r="EG28" s="102">
        <v>2016</v>
      </c>
      <c r="EH28" s="102">
        <v>1120430</v>
      </c>
      <c r="EI28" s="102">
        <v>1042445</v>
      </c>
      <c r="EJ28" s="102">
        <v>1286020</v>
      </c>
      <c r="EK28" s="71"/>
      <c r="EL28" s="102"/>
      <c r="EM28" s="102">
        <v>115904</v>
      </c>
      <c r="EN28" s="102">
        <v>50853</v>
      </c>
      <c r="EO28" s="102">
        <v>262948</v>
      </c>
      <c r="EP28" s="73">
        <f t="shared" si="11"/>
        <v>680696</v>
      </c>
      <c r="EQ28" s="102">
        <v>22551012</v>
      </c>
      <c r="ER28" s="71">
        <v>-3056714</v>
      </c>
      <c r="ES28" s="102">
        <v>4076544</v>
      </c>
      <c r="ET28" s="102">
        <v>2772382</v>
      </c>
      <c r="EU28" s="102">
        <v>3493569</v>
      </c>
      <c r="EV28" s="102">
        <v>4881750</v>
      </c>
      <c r="EW28" s="73">
        <f t="shared" si="12"/>
        <v>452639</v>
      </c>
      <c r="EX28" s="102">
        <v>452639</v>
      </c>
      <c r="EY28" s="102">
        <v>88822</v>
      </c>
      <c r="EZ28" s="102">
        <v>363817</v>
      </c>
      <c r="FA28" s="102">
        <v>0</v>
      </c>
      <c r="FB28" s="102">
        <v>0</v>
      </c>
      <c r="FC28" s="102">
        <v>3625162</v>
      </c>
      <c r="FD28" s="102">
        <v>3312437</v>
      </c>
      <c r="FE28" s="102">
        <v>2073156</v>
      </c>
      <c r="FF28" s="102">
        <v>4470854</v>
      </c>
      <c r="FG28" s="73">
        <f t="shared" si="13"/>
        <v>172325</v>
      </c>
      <c r="FH28" s="102">
        <v>24485280</v>
      </c>
      <c r="FI28" s="379">
        <f t="shared" si="14"/>
        <v>4.9000000000000004</v>
      </c>
      <c r="FJ28" s="102">
        <v>20952198</v>
      </c>
      <c r="FK28" s="102">
        <v>2081814</v>
      </c>
      <c r="FL28" s="102">
        <v>9878230</v>
      </c>
      <c r="FM28" s="102">
        <v>18053283</v>
      </c>
      <c r="FN28" s="428">
        <v>0.55900000000000005</v>
      </c>
      <c r="FO28" s="424">
        <v>96</v>
      </c>
      <c r="FP28" s="425">
        <v>17.2</v>
      </c>
      <c r="FQ28" s="424">
        <v>14.8</v>
      </c>
      <c r="FR28" s="424">
        <v>20</v>
      </c>
      <c r="FS28" s="425">
        <v>14.6</v>
      </c>
      <c r="FT28" s="424">
        <v>12.9</v>
      </c>
      <c r="FU28" s="425">
        <v>16.100000000000001</v>
      </c>
      <c r="FV28" s="384">
        <f t="shared" si="15"/>
        <v>10.4</v>
      </c>
      <c r="FW28" s="102">
        <v>43713411</v>
      </c>
      <c r="FX28" s="384">
        <f t="shared" si="16"/>
        <v>189.8</v>
      </c>
      <c r="FY28" s="102">
        <v>3561039</v>
      </c>
      <c r="FZ28" s="102">
        <v>2770755</v>
      </c>
      <c r="GA28" s="102">
        <v>72439</v>
      </c>
      <c r="GB28" s="102">
        <v>717845</v>
      </c>
      <c r="GC28" s="102">
        <v>0</v>
      </c>
      <c r="GD28" s="454"/>
      <c r="GE28" s="386"/>
      <c r="GF28" s="424">
        <v>98.4</v>
      </c>
      <c r="GG28" s="424">
        <v>25.5</v>
      </c>
      <c r="GH28" s="424">
        <v>92.7</v>
      </c>
      <c r="GI28" s="102">
        <v>523</v>
      </c>
      <c r="GJ28" s="429" t="s">
        <v>646</v>
      </c>
      <c r="GK28" s="429">
        <v>12.23</v>
      </c>
      <c r="GL28" s="87">
        <v>20</v>
      </c>
      <c r="GM28" s="429" t="s">
        <v>646</v>
      </c>
      <c r="GN28" s="430">
        <v>17.23</v>
      </c>
      <c r="GO28" s="430">
        <v>30</v>
      </c>
      <c r="GP28" s="425">
        <v>10.4</v>
      </c>
      <c r="GQ28" s="425">
        <v>25</v>
      </c>
      <c r="GR28" s="425">
        <v>35</v>
      </c>
      <c r="GS28" s="431">
        <v>57.1</v>
      </c>
      <c r="GT28" s="425">
        <v>350</v>
      </c>
      <c r="GU28" s="394"/>
      <c r="GV28" s="100">
        <f t="shared" si="17"/>
        <v>23034</v>
      </c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</row>
    <row r="29" spans="2:230" x14ac:dyDescent="0.15">
      <c r="B29" s="89" t="s">
        <v>47</v>
      </c>
      <c r="C29" s="102">
        <v>17642074</v>
      </c>
      <c r="D29" s="73">
        <f t="shared" si="0"/>
        <v>5088641</v>
      </c>
      <c r="E29" s="102">
        <v>156836</v>
      </c>
      <c r="F29" s="102">
        <v>4931805</v>
      </c>
      <c r="G29" s="73">
        <f t="shared" si="1"/>
        <v>1481231</v>
      </c>
      <c r="H29" s="102">
        <v>434470</v>
      </c>
      <c r="I29" s="102">
        <v>1046761</v>
      </c>
      <c r="J29" s="102">
        <v>8055853</v>
      </c>
      <c r="K29" s="102">
        <v>3791671</v>
      </c>
      <c r="L29" s="102">
        <v>3098108</v>
      </c>
      <c r="M29" s="102">
        <v>1053925</v>
      </c>
      <c r="N29" s="102">
        <v>1262518</v>
      </c>
      <c r="O29" s="102">
        <v>1638030</v>
      </c>
      <c r="P29" s="102">
        <v>961524</v>
      </c>
      <c r="Q29" s="102">
        <v>676506</v>
      </c>
      <c r="R29" s="102">
        <v>188654</v>
      </c>
      <c r="S29" s="74"/>
      <c r="T29" s="73">
        <f t="shared" si="2"/>
        <v>1786210</v>
      </c>
      <c r="U29" s="102">
        <v>56326</v>
      </c>
      <c r="V29" s="102">
        <v>81454</v>
      </c>
      <c r="W29" s="102">
        <v>124610</v>
      </c>
      <c r="X29" s="102">
        <v>1431051</v>
      </c>
      <c r="Y29" s="102">
        <v>0</v>
      </c>
      <c r="Z29" s="102">
        <v>0</v>
      </c>
      <c r="AA29" s="102">
        <v>92769</v>
      </c>
      <c r="AB29" s="102">
        <v>89725</v>
      </c>
      <c r="AC29" s="102">
        <v>6725324</v>
      </c>
      <c r="AD29" s="102">
        <v>6502352</v>
      </c>
      <c r="AE29" s="102">
        <v>222967</v>
      </c>
      <c r="AF29" s="102">
        <v>19780</v>
      </c>
      <c r="AG29" s="102">
        <v>323008</v>
      </c>
      <c r="AH29" s="73">
        <f t="shared" si="3"/>
        <v>655380</v>
      </c>
      <c r="AI29" s="102">
        <v>465194</v>
      </c>
      <c r="AJ29" s="102">
        <v>190186</v>
      </c>
      <c r="AK29" s="102">
        <v>15197280</v>
      </c>
      <c r="AL29" s="73">
        <f t="shared" si="4"/>
        <v>10220602</v>
      </c>
      <c r="AM29" s="102">
        <v>8584653</v>
      </c>
      <c r="AN29" s="102">
        <v>540044</v>
      </c>
      <c r="AO29" s="74"/>
      <c r="AP29" s="102">
        <v>1095905</v>
      </c>
      <c r="AQ29" s="102">
        <v>125989</v>
      </c>
      <c r="AR29" s="102">
        <v>0</v>
      </c>
      <c r="AS29" s="102">
        <v>0</v>
      </c>
      <c r="AT29" s="102">
        <v>3201583</v>
      </c>
      <c r="AU29" s="102">
        <v>1741655</v>
      </c>
      <c r="AV29" s="102">
        <v>270022</v>
      </c>
      <c r="AW29" s="102">
        <v>994</v>
      </c>
      <c r="AX29" s="102">
        <v>1459928</v>
      </c>
      <c r="AY29" s="102">
        <v>98803</v>
      </c>
      <c r="AZ29" s="102">
        <v>47454</v>
      </c>
      <c r="BA29" s="102">
        <v>4866</v>
      </c>
      <c r="BB29" s="102">
        <v>7601</v>
      </c>
      <c r="BC29" s="102">
        <v>362621</v>
      </c>
      <c r="BD29" s="102">
        <v>150000</v>
      </c>
      <c r="BE29" s="102">
        <v>50000</v>
      </c>
      <c r="BF29" s="102">
        <v>162621</v>
      </c>
      <c r="BG29" s="102">
        <v>0</v>
      </c>
      <c r="BH29" s="102">
        <v>424048</v>
      </c>
      <c r="BI29" s="102">
        <v>254528</v>
      </c>
      <c r="BJ29" s="102">
        <v>834179</v>
      </c>
      <c r="BK29" s="102">
        <v>9000</v>
      </c>
      <c r="BL29" s="102">
        <v>74</v>
      </c>
      <c r="BM29" s="102">
        <v>0</v>
      </c>
      <c r="BN29" s="102">
        <v>5175666</v>
      </c>
      <c r="BO29" s="73">
        <f t="shared" si="5"/>
        <v>2084600</v>
      </c>
      <c r="BP29" s="73">
        <f t="shared" si="6"/>
        <v>2804666</v>
      </c>
      <c r="BQ29" s="102">
        <v>0</v>
      </c>
      <c r="BR29" s="102">
        <v>0</v>
      </c>
      <c r="BS29" s="102">
        <v>2804666</v>
      </c>
      <c r="BT29" s="102">
        <v>286400</v>
      </c>
      <c r="BU29" s="102">
        <v>52680587</v>
      </c>
      <c r="BV29" s="71"/>
      <c r="BW29" s="102">
        <v>6716844</v>
      </c>
      <c r="BX29" s="102">
        <v>4404363</v>
      </c>
      <c r="BY29" s="102">
        <v>643522</v>
      </c>
      <c r="BZ29" s="102">
        <v>353777</v>
      </c>
      <c r="CA29" s="102">
        <v>19291950</v>
      </c>
      <c r="CB29" s="102">
        <v>2608590</v>
      </c>
      <c r="CC29" s="102">
        <v>332078</v>
      </c>
      <c r="CD29" s="102">
        <v>4894811</v>
      </c>
      <c r="CE29" s="102">
        <v>11228592</v>
      </c>
      <c r="CF29" s="102">
        <v>13214</v>
      </c>
      <c r="CG29" s="102">
        <v>214505</v>
      </c>
      <c r="CH29" s="102">
        <v>5068473</v>
      </c>
      <c r="CI29" s="102">
        <v>4417450</v>
      </c>
      <c r="CJ29" s="83">
        <f t="shared" si="18"/>
        <v>651023</v>
      </c>
      <c r="CK29" s="102">
        <v>4995800</v>
      </c>
      <c r="CL29" s="102">
        <v>3283609</v>
      </c>
      <c r="CM29" s="102">
        <v>119055</v>
      </c>
      <c r="CN29" s="102">
        <v>921047</v>
      </c>
      <c r="CO29" s="102">
        <v>177487</v>
      </c>
      <c r="CP29" s="102">
        <v>2907461</v>
      </c>
      <c r="CQ29" s="102">
        <v>1682343</v>
      </c>
      <c r="CR29" s="102">
        <v>672553</v>
      </c>
      <c r="CS29" s="102">
        <v>340946</v>
      </c>
      <c r="CT29" s="73">
        <f t="shared" si="7"/>
        <v>9584</v>
      </c>
      <c r="CU29" s="102">
        <v>7796</v>
      </c>
      <c r="CV29" s="102">
        <v>1788</v>
      </c>
      <c r="CW29" s="73">
        <f t="shared" si="8"/>
        <v>0</v>
      </c>
      <c r="CX29" s="102">
        <v>0</v>
      </c>
      <c r="CY29" s="102">
        <v>0</v>
      </c>
      <c r="CZ29" s="73">
        <f t="shared" si="9"/>
        <v>0</v>
      </c>
      <c r="DA29" s="102">
        <v>0</v>
      </c>
      <c r="DB29" s="102">
        <v>0</v>
      </c>
      <c r="DC29" s="102">
        <v>5203387</v>
      </c>
      <c r="DD29" s="102">
        <v>3382952</v>
      </c>
      <c r="DE29" s="102">
        <v>1820435</v>
      </c>
      <c r="DF29" s="77">
        <v>0</v>
      </c>
      <c r="DG29" s="78">
        <v>0</v>
      </c>
      <c r="DH29" s="102">
        <v>0</v>
      </c>
      <c r="DI29" s="102">
        <v>1089331</v>
      </c>
      <c r="DJ29" s="102">
        <v>129815</v>
      </c>
      <c r="DK29" s="102">
        <v>123</v>
      </c>
      <c r="DL29" s="102">
        <v>959393</v>
      </c>
      <c r="DM29" s="102">
        <v>0</v>
      </c>
      <c r="DN29" s="102">
        <v>0</v>
      </c>
      <c r="DO29" s="102">
        <v>0</v>
      </c>
      <c r="DP29" s="102">
        <v>0</v>
      </c>
      <c r="DQ29" s="102">
        <v>9000</v>
      </c>
      <c r="DR29" s="102">
        <v>0</v>
      </c>
      <c r="DS29" s="102">
        <v>0</v>
      </c>
      <c r="DT29" s="102">
        <v>6577870</v>
      </c>
      <c r="DU29" s="102">
        <v>1841255</v>
      </c>
      <c r="DV29" s="73">
        <f t="shared" si="10"/>
        <v>0</v>
      </c>
      <c r="DW29" s="102">
        <v>0</v>
      </c>
      <c r="DX29" s="102">
        <v>1255230</v>
      </c>
      <c r="DY29" s="102">
        <v>0</v>
      </c>
      <c r="DZ29" s="102">
        <v>2212865</v>
      </c>
      <c r="EA29" s="74">
        <v>0</v>
      </c>
      <c r="EB29" s="102">
        <v>1268520</v>
      </c>
      <c r="EC29" s="102">
        <v>0</v>
      </c>
      <c r="ED29" s="102">
        <v>52037603</v>
      </c>
      <c r="EE29" s="71"/>
      <c r="EF29" s="102">
        <v>642984</v>
      </c>
      <c r="EG29" s="102">
        <v>377083</v>
      </c>
      <c r="EH29" s="102">
        <v>265901</v>
      </c>
      <c r="EI29" s="102">
        <v>11373</v>
      </c>
      <c r="EJ29" s="102">
        <v>-8812</v>
      </c>
      <c r="EK29" s="71"/>
      <c r="EL29" s="102"/>
      <c r="EM29" s="102">
        <v>127638</v>
      </c>
      <c r="EN29" s="102">
        <v>200000</v>
      </c>
      <c r="EO29" s="102">
        <v>45349</v>
      </c>
      <c r="EP29" s="73">
        <f t="shared" si="11"/>
        <v>1852470</v>
      </c>
      <c r="EQ29" s="102">
        <v>26451767</v>
      </c>
      <c r="ER29" s="71">
        <v>-4882705</v>
      </c>
      <c r="ES29" s="102">
        <v>6079681</v>
      </c>
      <c r="ET29" s="102">
        <v>4163772</v>
      </c>
      <c r="EU29" s="102">
        <v>5278023</v>
      </c>
      <c r="EV29" s="102">
        <v>4981158</v>
      </c>
      <c r="EW29" s="73">
        <f t="shared" si="12"/>
        <v>527080</v>
      </c>
      <c r="EX29" s="102">
        <v>527080</v>
      </c>
      <c r="EY29" s="102">
        <v>6715</v>
      </c>
      <c r="EZ29" s="102">
        <v>520365</v>
      </c>
      <c r="FA29" s="102">
        <v>0</v>
      </c>
      <c r="FB29" s="102">
        <v>0</v>
      </c>
      <c r="FC29" s="102">
        <v>4172546</v>
      </c>
      <c r="FD29" s="102">
        <v>2638146</v>
      </c>
      <c r="FE29" s="102">
        <v>1682343</v>
      </c>
      <c r="FF29" s="102">
        <v>5776084</v>
      </c>
      <c r="FG29" s="73">
        <f t="shared" si="13"/>
        <v>1238770</v>
      </c>
      <c r="FH29" s="102">
        <v>30691488</v>
      </c>
      <c r="FI29" s="379">
        <f t="shared" si="14"/>
        <v>1</v>
      </c>
      <c r="FJ29" s="102">
        <v>24124253</v>
      </c>
      <c r="FK29" s="102">
        <v>2804666</v>
      </c>
      <c r="FL29" s="102">
        <v>13549041</v>
      </c>
      <c r="FM29" s="102">
        <v>20051393</v>
      </c>
      <c r="FN29" s="428">
        <v>0.68300000000000005</v>
      </c>
      <c r="FO29" s="424">
        <v>97.6</v>
      </c>
      <c r="FP29" s="425">
        <v>21.9</v>
      </c>
      <c r="FQ29" s="424">
        <v>19.100000000000001</v>
      </c>
      <c r="FR29" s="424">
        <v>18</v>
      </c>
      <c r="FS29" s="425">
        <v>13.9</v>
      </c>
      <c r="FT29" s="424">
        <v>7.6</v>
      </c>
      <c r="FU29" s="425">
        <v>16.600000000000001</v>
      </c>
      <c r="FV29" s="384">
        <f t="shared" si="15"/>
        <v>7.1</v>
      </c>
      <c r="FW29" s="102">
        <v>47636817</v>
      </c>
      <c r="FX29" s="384">
        <f t="shared" si="16"/>
        <v>176.9</v>
      </c>
      <c r="FY29" s="102">
        <v>7008138</v>
      </c>
      <c r="FZ29" s="102">
        <v>1593825</v>
      </c>
      <c r="GA29" s="102">
        <v>310869</v>
      </c>
      <c r="GB29" s="102">
        <v>5103444</v>
      </c>
      <c r="GC29" s="102">
        <v>0</v>
      </c>
      <c r="GD29" s="454"/>
      <c r="GE29" s="386"/>
      <c r="GF29" s="424">
        <v>98.2</v>
      </c>
      <c r="GG29" s="424">
        <v>20.399999999999999</v>
      </c>
      <c r="GH29" s="424">
        <v>91.8</v>
      </c>
      <c r="GI29" s="102">
        <v>723</v>
      </c>
      <c r="GJ29" s="429" t="s">
        <v>646</v>
      </c>
      <c r="GK29" s="429">
        <v>11.96</v>
      </c>
      <c r="GL29" s="87">
        <v>20</v>
      </c>
      <c r="GM29" s="429" t="s">
        <v>646</v>
      </c>
      <c r="GN29" s="430">
        <v>16.96</v>
      </c>
      <c r="GO29" s="430">
        <v>30</v>
      </c>
      <c r="GP29" s="425">
        <v>7.1</v>
      </c>
      <c r="GQ29" s="425">
        <v>25</v>
      </c>
      <c r="GR29" s="425">
        <v>35</v>
      </c>
      <c r="GS29" s="431">
        <v>42.1</v>
      </c>
      <c r="GT29" s="425">
        <v>350</v>
      </c>
      <c r="GU29" s="394"/>
      <c r="GV29" s="100">
        <f t="shared" si="17"/>
        <v>26929</v>
      </c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</row>
    <row r="30" spans="2:230" x14ac:dyDescent="0.15">
      <c r="B30" s="89" t="s">
        <v>49</v>
      </c>
      <c r="C30" s="102">
        <v>17709917</v>
      </c>
      <c r="D30" s="73">
        <f t="shared" si="0"/>
        <v>4147457</v>
      </c>
      <c r="E30" s="102">
        <v>118384</v>
      </c>
      <c r="F30" s="102">
        <v>4029073</v>
      </c>
      <c r="G30" s="73">
        <f t="shared" si="1"/>
        <v>1677901</v>
      </c>
      <c r="H30" s="102">
        <v>337341</v>
      </c>
      <c r="I30" s="102">
        <v>1340560</v>
      </c>
      <c r="J30" s="102">
        <v>8562404</v>
      </c>
      <c r="K30" s="102">
        <v>4110546</v>
      </c>
      <c r="L30" s="102">
        <v>2503070</v>
      </c>
      <c r="M30" s="102">
        <v>1888239</v>
      </c>
      <c r="N30" s="102">
        <v>1648405</v>
      </c>
      <c r="O30" s="102">
        <v>1588342</v>
      </c>
      <c r="P30" s="102">
        <v>1031504</v>
      </c>
      <c r="Q30" s="102">
        <v>556838</v>
      </c>
      <c r="R30" s="102">
        <v>149997</v>
      </c>
      <c r="S30" s="74"/>
      <c r="T30" s="73">
        <f t="shared" si="2"/>
        <v>1235874</v>
      </c>
      <c r="U30" s="102">
        <v>44480</v>
      </c>
      <c r="V30" s="102">
        <v>64686</v>
      </c>
      <c r="W30" s="102">
        <v>99356</v>
      </c>
      <c r="X30" s="102">
        <v>952004</v>
      </c>
      <c r="Y30" s="102">
        <v>1560</v>
      </c>
      <c r="Z30" s="102">
        <v>0</v>
      </c>
      <c r="AA30" s="102">
        <v>73788</v>
      </c>
      <c r="AB30" s="102">
        <v>86993</v>
      </c>
      <c r="AC30" s="102">
        <v>505959</v>
      </c>
      <c r="AD30" s="102">
        <v>269982</v>
      </c>
      <c r="AE30" s="102">
        <v>235972</v>
      </c>
      <c r="AF30" s="102">
        <v>14835</v>
      </c>
      <c r="AG30" s="102">
        <v>652354</v>
      </c>
      <c r="AH30" s="73">
        <f t="shared" si="3"/>
        <v>692687</v>
      </c>
      <c r="AI30" s="102">
        <v>563175</v>
      </c>
      <c r="AJ30" s="102">
        <v>129512</v>
      </c>
      <c r="AK30" s="102">
        <v>5162829</v>
      </c>
      <c r="AL30" s="73">
        <f t="shared" si="4"/>
        <v>2902202</v>
      </c>
      <c r="AM30" s="102">
        <v>2014173</v>
      </c>
      <c r="AN30" s="102">
        <v>410464</v>
      </c>
      <c r="AO30" s="74"/>
      <c r="AP30" s="102">
        <v>477565</v>
      </c>
      <c r="AQ30" s="102">
        <v>599365</v>
      </c>
      <c r="AR30" s="102">
        <v>0</v>
      </c>
      <c r="AS30" s="102">
        <v>0</v>
      </c>
      <c r="AT30" s="102">
        <v>2169685</v>
      </c>
      <c r="AU30" s="102">
        <v>1425930</v>
      </c>
      <c r="AV30" s="102">
        <v>205232</v>
      </c>
      <c r="AW30" s="102">
        <v>311648</v>
      </c>
      <c r="AX30" s="102">
        <v>743755</v>
      </c>
      <c r="AY30" s="102">
        <v>1025</v>
      </c>
      <c r="AZ30" s="102">
        <v>28337</v>
      </c>
      <c r="BA30" s="102">
        <v>150</v>
      </c>
      <c r="BB30" s="102">
        <v>7550</v>
      </c>
      <c r="BC30" s="102">
        <v>80703</v>
      </c>
      <c r="BD30" s="102">
        <v>12708</v>
      </c>
      <c r="BE30" s="102">
        <v>0</v>
      </c>
      <c r="BF30" s="102">
        <v>38629</v>
      </c>
      <c r="BG30" s="102">
        <v>0</v>
      </c>
      <c r="BH30" s="102">
        <v>800789</v>
      </c>
      <c r="BI30" s="102">
        <v>660497</v>
      </c>
      <c r="BJ30" s="102">
        <v>912410</v>
      </c>
      <c r="BK30" s="102">
        <v>122759</v>
      </c>
      <c r="BL30" s="102">
        <v>0</v>
      </c>
      <c r="BM30" s="102">
        <v>0</v>
      </c>
      <c r="BN30" s="102">
        <v>2737100</v>
      </c>
      <c r="BO30" s="73">
        <f t="shared" si="5"/>
        <v>1723300</v>
      </c>
      <c r="BP30" s="73">
        <f t="shared" si="6"/>
        <v>1013800</v>
      </c>
      <c r="BQ30" s="102">
        <v>0</v>
      </c>
      <c r="BR30" s="102">
        <v>0</v>
      </c>
      <c r="BS30" s="102">
        <v>1013800</v>
      </c>
      <c r="BT30" s="102">
        <v>0</v>
      </c>
      <c r="BU30" s="102">
        <v>32948019</v>
      </c>
      <c r="BV30" s="71"/>
      <c r="BW30" s="102">
        <v>5344855</v>
      </c>
      <c r="BX30" s="102">
        <v>3529471</v>
      </c>
      <c r="BY30" s="102">
        <v>593389</v>
      </c>
      <c r="BZ30" s="102">
        <v>153508</v>
      </c>
      <c r="CA30" s="102">
        <v>8532871</v>
      </c>
      <c r="CB30" s="102">
        <v>1616190</v>
      </c>
      <c r="CC30" s="102">
        <v>204276</v>
      </c>
      <c r="CD30" s="102">
        <v>3956754</v>
      </c>
      <c r="CE30" s="102">
        <v>2620571</v>
      </c>
      <c r="CF30" s="102">
        <v>5070</v>
      </c>
      <c r="CG30" s="102">
        <v>130010</v>
      </c>
      <c r="CH30" s="102">
        <v>3231000</v>
      </c>
      <c r="CI30" s="102">
        <v>2808763</v>
      </c>
      <c r="CJ30" s="83">
        <f t="shared" si="18"/>
        <v>422237</v>
      </c>
      <c r="CK30" s="102">
        <v>4466465</v>
      </c>
      <c r="CL30" s="102">
        <v>2493428</v>
      </c>
      <c r="CM30" s="102">
        <v>617113</v>
      </c>
      <c r="CN30" s="102">
        <v>857104</v>
      </c>
      <c r="CO30" s="102">
        <v>558378</v>
      </c>
      <c r="CP30" s="102">
        <v>1631402</v>
      </c>
      <c r="CQ30" s="102">
        <v>6546</v>
      </c>
      <c r="CR30" s="102">
        <v>729479</v>
      </c>
      <c r="CS30" s="102">
        <v>313089</v>
      </c>
      <c r="CT30" s="73">
        <f t="shared" si="7"/>
        <v>8441</v>
      </c>
      <c r="CU30" s="102">
        <v>1796</v>
      </c>
      <c r="CV30" s="102">
        <v>6645</v>
      </c>
      <c r="CW30" s="73">
        <f t="shared" si="8"/>
        <v>0</v>
      </c>
      <c r="CX30" s="102">
        <v>0</v>
      </c>
      <c r="CY30" s="102">
        <v>0</v>
      </c>
      <c r="CZ30" s="73">
        <f t="shared" si="9"/>
        <v>0</v>
      </c>
      <c r="DA30" s="102">
        <v>0</v>
      </c>
      <c r="DB30" s="102">
        <v>0</v>
      </c>
      <c r="DC30" s="102">
        <v>3159463</v>
      </c>
      <c r="DD30" s="102">
        <v>1658046</v>
      </c>
      <c r="DE30" s="102">
        <v>1496917</v>
      </c>
      <c r="DF30" s="77">
        <v>4500</v>
      </c>
      <c r="DG30" s="78">
        <v>0</v>
      </c>
      <c r="DH30" s="102">
        <v>0</v>
      </c>
      <c r="DI30" s="102">
        <v>371027</v>
      </c>
      <c r="DJ30" s="102">
        <v>354757</v>
      </c>
      <c r="DK30" s="102">
        <v>6</v>
      </c>
      <c r="DL30" s="102">
        <v>16264</v>
      </c>
      <c r="DM30" s="102">
        <v>0</v>
      </c>
      <c r="DN30" s="102">
        <v>0</v>
      </c>
      <c r="DO30" s="102">
        <v>0</v>
      </c>
      <c r="DP30" s="102">
        <v>0</v>
      </c>
      <c r="DQ30" s="102">
        <v>122218</v>
      </c>
      <c r="DR30" s="102">
        <v>0</v>
      </c>
      <c r="DS30" s="102">
        <v>0</v>
      </c>
      <c r="DT30" s="102">
        <v>4779223</v>
      </c>
      <c r="DU30" s="102">
        <v>2170000</v>
      </c>
      <c r="DV30" s="73">
        <f t="shared" si="10"/>
        <v>0</v>
      </c>
      <c r="DW30" s="102">
        <v>0</v>
      </c>
      <c r="DX30" s="102">
        <v>689277</v>
      </c>
      <c r="DY30" s="102">
        <v>178097</v>
      </c>
      <c r="DZ30" s="102">
        <v>1009379</v>
      </c>
      <c r="EA30" s="74">
        <v>0</v>
      </c>
      <c r="EB30" s="102">
        <v>662073</v>
      </c>
      <c r="EC30" s="102">
        <v>0</v>
      </c>
      <c r="ED30" s="102">
        <v>32196902</v>
      </c>
      <c r="EE30" s="71"/>
      <c r="EF30" s="102">
        <v>751117</v>
      </c>
      <c r="EG30" s="102">
        <v>64680</v>
      </c>
      <c r="EH30" s="102">
        <v>686437</v>
      </c>
      <c r="EI30" s="102">
        <v>25940</v>
      </c>
      <c r="EJ30" s="102">
        <v>367989</v>
      </c>
      <c r="EK30" s="71"/>
      <c r="EL30" s="102"/>
      <c r="EM30" s="102">
        <v>84307</v>
      </c>
      <c r="EN30" s="102">
        <v>50967</v>
      </c>
      <c r="EO30" s="102">
        <v>25640</v>
      </c>
      <c r="EP30" s="73">
        <f t="shared" si="11"/>
        <v>1291349</v>
      </c>
      <c r="EQ30" s="102">
        <v>19703575</v>
      </c>
      <c r="ER30" s="71">
        <v>-2366921</v>
      </c>
      <c r="ES30" s="102">
        <v>5031600</v>
      </c>
      <c r="ET30" s="102">
        <v>3241861</v>
      </c>
      <c r="EU30" s="102">
        <v>2650218</v>
      </c>
      <c r="EV30" s="102">
        <v>3159347</v>
      </c>
      <c r="EW30" s="73">
        <f t="shared" si="12"/>
        <v>428693</v>
      </c>
      <c r="EX30" s="102">
        <v>428693</v>
      </c>
      <c r="EY30" s="102">
        <v>32872</v>
      </c>
      <c r="EZ30" s="102">
        <v>391321</v>
      </c>
      <c r="FA30" s="102">
        <v>0</v>
      </c>
      <c r="FB30" s="102">
        <v>0</v>
      </c>
      <c r="FC30" s="102">
        <v>3402913</v>
      </c>
      <c r="FD30" s="102">
        <v>1366371</v>
      </c>
      <c r="FE30" s="102">
        <v>6546</v>
      </c>
      <c r="FF30" s="102">
        <v>4398035</v>
      </c>
      <c r="FG30" s="73">
        <f t="shared" si="13"/>
        <v>882202</v>
      </c>
      <c r="FH30" s="102">
        <v>21319379</v>
      </c>
      <c r="FI30" s="379">
        <f t="shared" si="14"/>
        <v>3.8</v>
      </c>
      <c r="FJ30" s="102">
        <v>17226237</v>
      </c>
      <c r="FK30" s="102">
        <v>1013893</v>
      </c>
      <c r="FL30" s="102">
        <v>12965553</v>
      </c>
      <c r="FM30" s="102">
        <v>13235535</v>
      </c>
      <c r="FN30" s="428">
        <v>0.99099999999999999</v>
      </c>
      <c r="FO30" s="424">
        <v>98.7</v>
      </c>
      <c r="FP30" s="425">
        <v>26.2</v>
      </c>
      <c r="FQ30" s="424">
        <v>13.9</v>
      </c>
      <c r="FR30" s="424">
        <v>16.600000000000001</v>
      </c>
      <c r="FS30" s="425">
        <v>17.2</v>
      </c>
      <c r="FT30" s="424">
        <v>5</v>
      </c>
      <c r="FU30" s="425">
        <v>17</v>
      </c>
      <c r="FV30" s="384">
        <f t="shared" si="15"/>
        <v>7.3</v>
      </c>
      <c r="FW30" s="102">
        <v>24280293</v>
      </c>
      <c r="FX30" s="384">
        <f t="shared" si="16"/>
        <v>133.1</v>
      </c>
      <c r="FY30" s="102">
        <v>7029184</v>
      </c>
      <c r="FZ30" s="102">
        <v>4773603</v>
      </c>
      <c r="GA30" s="102">
        <v>10308</v>
      </c>
      <c r="GB30" s="102">
        <v>2245273</v>
      </c>
      <c r="GC30" s="102">
        <v>0</v>
      </c>
      <c r="GD30" s="454">
        <v>0</v>
      </c>
      <c r="GE30" s="384">
        <f>ROUND(GD30/(FJ30+FK30)*100,1)</f>
        <v>0</v>
      </c>
      <c r="GF30" s="424">
        <v>98.7</v>
      </c>
      <c r="GG30" s="424">
        <v>35.5</v>
      </c>
      <c r="GH30" s="424">
        <v>95.8</v>
      </c>
      <c r="GI30" s="102">
        <v>565</v>
      </c>
      <c r="GJ30" s="429" t="s">
        <v>646</v>
      </c>
      <c r="GK30" s="429">
        <v>12.58</v>
      </c>
      <c r="GL30" s="87">
        <v>20</v>
      </c>
      <c r="GM30" s="429" t="s">
        <v>646</v>
      </c>
      <c r="GN30" s="430">
        <v>17.579999999999998</v>
      </c>
      <c r="GO30" s="430">
        <v>30</v>
      </c>
      <c r="GP30" s="425">
        <v>7.3</v>
      </c>
      <c r="GQ30" s="425">
        <v>25</v>
      </c>
      <c r="GR30" s="425">
        <v>35</v>
      </c>
      <c r="GS30" s="431" t="s">
        <v>646</v>
      </c>
      <c r="GT30" s="425">
        <v>350</v>
      </c>
      <c r="GU30" s="394"/>
      <c r="GV30" s="100">
        <f t="shared" si="17"/>
        <v>18240</v>
      </c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</row>
    <row r="31" spans="2:230" x14ac:dyDescent="0.15">
      <c r="B31" s="89" t="s">
        <v>51</v>
      </c>
      <c r="C31" s="102">
        <v>10224878</v>
      </c>
      <c r="D31" s="73">
        <f t="shared" si="0"/>
        <v>3059706</v>
      </c>
      <c r="E31" s="102">
        <v>75438</v>
      </c>
      <c r="F31" s="102">
        <v>2984268</v>
      </c>
      <c r="G31" s="73">
        <f t="shared" si="1"/>
        <v>601423</v>
      </c>
      <c r="H31" s="102">
        <v>161945</v>
      </c>
      <c r="I31" s="102">
        <v>439478</v>
      </c>
      <c r="J31" s="102">
        <v>5282707</v>
      </c>
      <c r="K31" s="102">
        <v>2273092</v>
      </c>
      <c r="L31" s="102">
        <v>1350196</v>
      </c>
      <c r="M31" s="102">
        <v>1610187</v>
      </c>
      <c r="N31" s="102">
        <v>341117</v>
      </c>
      <c r="O31" s="102">
        <v>886460</v>
      </c>
      <c r="P31" s="102">
        <v>584468</v>
      </c>
      <c r="Q31" s="102">
        <v>301992</v>
      </c>
      <c r="R31" s="102">
        <v>153662</v>
      </c>
      <c r="S31" s="74"/>
      <c r="T31" s="73">
        <f t="shared" si="2"/>
        <v>729727</v>
      </c>
      <c r="U31" s="102">
        <v>33681</v>
      </c>
      <c r="V31" s="102">
        <v>48926</v>
      </c>
      <c r="W31" s="102">
        <v>75089</v>
      </c>
      <c r="X31" s="102">
        <v>526164</v>
      </c>
      <c r="Y31" s="102">
        <v>0</v>
      </c>
      <c r="Z31" s="102">
        <v>0</v>
      </c>
      <c r="AA31" s="102">
        <v>45867</v>
      </c>
      <c r="AB31" s="102">
        <v>46517</v>
      </c>
      <c r="AC31" s="102">
        <v>1455016</v>
      </c>
      <c r="AD31" s="102">
        <v>1373691</v>
      </c>
      <c r="AE31" s="102">
        <v>81322</v>
      </c>
      <c r="AF31" s="102">
        <v>8364</v>
      </c>
      <c r="AG31" s="102">
        <v>150506</v>
      </c>
      <c r="AH31" s="73">
        <f t="shared" si="3"/>
        <v>369718</v>
      </c>
      <c r="AI31" s="102">
        <v>304629</v>
      </c>
      <c r="AJ31" s="102">
        <v>65089</v>
      </c>
      <c r="AK31" s="102">
        <v>4120406</v>
      </c>
      <c r="AL31" s="73">
        <f t="shared" si="4"/>
        <v>1792058</v>
      </c>
      <c r="AM31" s="102">
        <v>1234167</v>
      </c>
      <c r="AN31" s="102">
        <v>216436</v>
      </c>
      <c r="AO31" s="74"/>
      <c r="AP31" s="102">
        <v>341455</v>
      </c>
      <c r="AQ31" s="102">
        <v>196216</v>
      </c>
      <c r="AR31" s="102">
        <v>0</v>
      </c>
      <c r="AS31" s="102">
        <v>0</v>
      </c>
      <c r="AT31" s="102">
        <v>1773775</v>
      </c>
      <c r="AU31" s="102">
        <v>1074320</v>
      </c>
      <c r="AV31" s="102">
        <v>129146</v>
      </c>
      <c r="AW31" s="102">
        <v>181943</v>
      </c>
      <c r="AX31" s="102">
        <v>699455</v>
      </c>
      <c r="AY31" s="102">
        <v>171085</v>
      </c>
      <c r="AZ31" s="102">
        <v>324443</v>
      </c>
      <c r="BA31" s="102">
        <v>247832</v>
      </c>
      <c r="BB31" s="102">
        <v>11170</v>
      </c>
      <c r="BC31" s="102">
        <v>993651</v>
      </c>
      <c r="BD31" s="102">
        <v>714711</v>
      </c>
      <c r="BE31" s="102">
        <v>0</v>
      </c>
      <c r="BF31" s="102">
        <v>266249</v>
      </c>
      <c r="BG31" s="102">
        <v>0</v>
      </c>
      <c r="BH31" s="102">
        <v>351692</v>
      </c>
      <c r="BI31" s="102">
        <v>322292</v>
      </c>
      <c r="BJ31" s="102">
        <v>368724</v>
      </c>
      <c r="BK31" s="102">
        <v>72953</v>
      </c>
      <c r="BL31" s="102">
        <v>0</v>
      </c>
      <c r="BM31" s="102">
        <v>0</v>
      </c>
      <c r="BN31" s="102">
        <v>7650400</v>
      </c>
      <c r="BO31" s="73">
        <f t="shared" si="5"/>
        <v>6285400</v>
      </c>
      <c r="BP31" s="73">
        <f t="shared" si="6"/>
        <v>1365000</v>
      </c>
      <c r="BQ31" s="102">
        <v>0</v>
      </c>
      <c r="BR31" s="102">
        <v>0</v>
      </c>
      <c r="BS31" s="102">
        <v>1365000</v>
      </c>
      <c r="BT31" s="102">
        <v>0</v>
      </c>
      <c r="BU31" s="102">
        <v>28732649</v>
      </c>
      <c r="BV31" s="71"/>
      <c r="BW31" s="102">
        <v>3451860</v>
      </c>
      <c r="BX31" s="102">
        <v>2061485</v>
      </c>
      <c r="BY31" s="102">
        <v>497635</v>
      </c>
      <c r="BZ31" s="102">
        <v>183594</v>
      </c>
      <c r="CA31" s="102">
        <v>5050041</v>
      </c>
      <c r="CB31" s="102">
        <v>1018057</v>
      </c>
      <c r="CC31" s="102">
        <v>102547</v>
      </c>
      <c r="CD31" s="102">
        <v>2276692</v>
      </c>
      <c r="CE31" s="102">
        <v>1580231</v>
      </c>
      <c r="CF31" s="102">
        <v>0</v>
      </c>
      <c r="CG31" s="102">
        <v>72400</v>
      </c>
      <c r="CH31" s="102">
        <v>3033865</v>
      </c>
      <c r="CI31" s="102">
        <v>2529779</v>
      </c>
      <c r="CJ31" s="83">
        <f t="shared" si="18"/>
        <v>504086</v>
      </c>
      <c r="CK31" s="102">
        <v>2925615</v>
      </c>
      <c r="CL31" s="102">
        <v>2074015</v>
      </c>
      <c r="CM31" s="102">
        <v>195513</v>
      </c>
      <c r="CN31" s="102">
        <v>406296</v>
      </c>
      <c r="CO31" s="102">
        <v>13600</v>
      </c>
      <c r="CP31" s="102">
        <v>6580393</v>
      </c>
      <c r="CQ31" s="102">
        <v>630118</v>
      </c>
      <c r="CR31" s="102">
        <v>342004</v>
      </c>
      <c r="CS31" s="102">
        <v>254506</v>
      </c>
      <c r="CT31" s="73">
        <f t="shared" si="7"/>
        <v>20525</v>
      </c>
      <c r="CU31" s="102">
        <v>3594</v>
      </c>
      <c r="CV31" s="102">
        <v>16931</v>
      </c>
      <c r="CW31" s="73">
        <f t="shared" si="8"/>
        <v>0</v>
      </c>
      <c r="CX31" s="102">
        <v>0</v>
      </c>
      <c r="CY31" s="102">
        <v>0</v>
      </c>
      <c r="CZ31" s="73">
        <f t="shared" si="9"/>
        <v>0</v>
      </c>
      <c r="DA31" s="102">
        <v>0</v>
      </c>
      <c r="DB31" s="102">
        <v>0</v>
      </c>
      <c r="DC31" s="102">
        <v>3851697</v>
      </c>
      <c r="DD31" s="102">
        <v>1944016</v>
      </c>
      <c r="DE31" s="102">
        <v>1276027</v>
      </c>
      <c r="DF31" s="77">
        <v>601496</v>
      </c>
      <c r="DG31" s="78">
        <v>30158</v>
      </c>
      <c r="DH31" s="102">
        <v>0</v>
      </c>
      <c r="DI31" s="102">
        <v>712108</v>
      </c>
      <c r="DJ31" s="102">
        <v>690656</v>
      </c>
      <c r="DK31" s="102">
        <v>0</v>
      </c>
      <c r="DL31" s="102">
        <v>21452</v>
      </c>
      <c r="DM31" s="102">
        <v>0</v>
      </c>
      <c r="DN31" s="102">
        <v>0</v>
      </c>
      <c r="DO31" s="102">
        <v>0</v>
      </c>
      <c r="DP31" s="102">
        <v>0</v>
      </c>
      <c r="DQ31" s="102">
        <v>26130</v>
      </c>
      <c r="DR31" s="102">
        <v>0</v>
      </c>
      <c r="DS31" s="102">
        <v>0</v>
      </c>
      <c r="DT31" s="102">
        <v>2878570</v>
      </c>
      <c r="DU31" s="102">
        <v>1056714</v>
      </c>
      <c r="DV31" s="73">
        <f t="shared" si="10"/>
        <v>0</v>
      </c>
      <c r="DW31" s="102">
        <v>0</v>
      </c>
      <c r="DX31" s="102">
        <v>700955</v>
      </c>
      <c r="DY31" s="102">
        <v>0</v>
      </c>
      <c r="DZ31" s="102">
        <v>525382</v>
      </c>
      <c r="EA31" s="74">
        <v>0</v>
      </c>
      <c r="EB31" s="102">
        <v>595519</v>
      </c>
      <c r="EC31" s="102">
        <v>0</v>
      </c>
      <c r="ED31" s="102">
        <v>28523879</v>
      </c>
      <c r="EE31" s="71"/>
      <c r="EF31" s="102">
        <v>208770</v>
      </c>
      <c r="EG31" s="102">
        <v>57661</v>
      </c>
      <c r="EH31" s="102">
        <v>151109</v>
      </c>
      <c r="EI31" s="102">
        <v>-171183</v>
      </c>
      <c r="EJ31" s="102">
        <v>-195238</v>
      </c>
      <c r="EK31" s="71"/>
      <c r="EL31" s="102"/>
      <c r="EM31" s="102">
        <v>58887</v>
      </c>
      <c r="EN31" s="102">
        <v>911698</v>
      </c>
      <c r="EO31" s="102">
        <v>322597</v>
      </c>
      <c r="EP31" s="73">
        <f t="shared" si="11"/>
        <v>934232</v>
      </c>
      <c r="EQ31" s="102">
        <v>12618164</v>
      </c>
      <c r="ER31" s="71">
        <v>-3525163</v>
      </c>
      <c r="ES31" s="102">
        <v>3309131</v>
      </c>
      <c r="ET31" s="102">
        <v>1969197</v>
      </c>
      <c r="EU31" s="102">
        <v>1465216</v>
      </c>
      <c r="EV31" s="102">
        <v>2990467</v>
      </c>
      <c r="EW31" s="73">
        <f t="shared" si="12"/>
        <v>1212835</v>
      </c>
      <c r="EX31" s="102">
        <v>1212835</v>
      </c>
      <c r="EY31" s="102">
        <v>151108</v>
      </c>
      <c r="EZ31" s="102">
        <v>1056586</v>
      </c>
      <c r="FA31" s="102">
        <v>0</v>
      </c>
      <c r="FB31" s="102">
        <v>0</v>
      </c>
      <c r="FC31" s="102">
        <v>2377388</v>
      </c>
      <c r="FD31" s="102">
        <v>1329695</v>
      </c>
      <c r="FE31" s="102">
        <v>630118</v>
      </c>
      <c r="FF31" s="102">
        <v>2568676</v>
      </c>
      <c r="FG31" s="73">
        <f t="shared" si="13"/>
        <v>681149</v>
      </c>
      <c r="FH31" s="102">
        <v>15934557</v>
      </c>
      <c r="FI31" s="379">
        <f t="shared" si="14"/>
        <v>1.1000000000000001</v>
      </c>
      <c r="FJ31" s="102">
        <v>11856813</v>
      </c>
      <c r="FK31" s="102">
        <v>1365077</v>
      </c>
      <c r="FL31" s="102">
        <v>8001316</v>
      </c>
      <c r="FM31" s="102">
        <v>9359775</v>
      </c>
      <c r="FN31" s="428">
        <v>0.872</v>
      </c>
      <c r="FO31" s="424">
        <v>97.8</v>
      </c>
      <c r="FP31" s="425">
        <v>24</v>
      </c>
      <c r="FQ31" s="424">
        <v>10.7</v>
      </c>
      <c r="FR31" s="424">
        <v>22.6</v>
      </c>
      <c r="FS31" s="425">
        <v>16.100000000000001</v>
      </c>
      <c r="FT31" s="424">
        <v>6.8</v>
      </c>
      <c r="FU31" s="425">
        <v>17.399999999999999</v>
      </c>
      <c r="FV31" s="384">
        <f t="shared" si="15"/>
        <v>13.8</v>
      </c>
      <c r="FW31" s="102">
        <v>37993964</v>
      </c>
      <c r="FX31" s="384">
        <f t="shared" si="16"/>
        <v>287.39999999999998</v>
      </c>
      <c r="FY31" s="102">
        <v>5098616</v>
      </c>
      <c r="FZ31" s="102">
        <v>1656102</v>
      </c>
      <c r="GA31" s="102">
        <v>0</v>
      </c>
      <c r="GB31" s="102">
        <v>3442514</v>
      </c>
      <c r="GC31" s="102">
        <v>3050000</v>
      </c>
      <c r="GD31" s="454">
        <v>3363</v>
      </c>
      <c r="GE31" s="386">
        <f>IF(GD31=0,"-",ROUND(GD31/(GV31)*100,1))</f>
        <v>25.4</v>
      </c>
      <c r="GF31" s="424">
        <v>98.9</v>
      </c>
      <c r="GG31" s="424">
        <v>18.2</v>
      </c>
      <c r="GH31" s="424">
        <v>94.9</v>
      </c>
      <c r="GI31" s="102">
        <v>347</v>
      </c>
      <c r="GJ31" s="429" t="s">
        <v>646</v>
      </c>
      <c r="GK31" s="429">
        <v>12.93</v>
      </c>
      <c r="GL31" s="87">
        <v>20</v>
      </c>
      <c r="GM31" s="429" t="s">
        <v>646</v>
      </c>
      <c r="GN31" s="430">
        <v>17.93</v>
      </c>
      <c r="GO31" s="430">
        <v>30</v>
      </c>
      <c r="GP31" s="425">
        <v>13.8</v>
      </c>
      <c r="GQ31" s="425">
        <v>25</v>
      </c>
      <c r="GR31" s="425">
        <v>35</v>
      </c>
      <c r="GS31" s="431">
        <v>203.9</v>
      </c>
      <c r="GT31" s="425">
        <v>350</v>
      </c>
      <c r="GU31" s="394"/>
      <c r="GV31" s="100">
        <f t="shared" si="17"/>
        <v>13222</v>
      </c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</row>
    <row r="32" spans="2:230" x14ac:dyDescent="0.15">
      <c r="B32" s="89" t="s">
        <v>53</v>
      </c>
      <c r="C32" s="102">
        <v>8246149</v>
      </c>
      <c r="D32" s="73">
        <f t="shared" si="0"/>
        <v>3516686</v>
      </c>
      <c r="E32" s="102">
        <v>83232</v>
      </c>
      <c r="F32" s="102">
        <v>3433454</v>
      </c>
      <c r="G32" s="73">
        <f t="shared" si="1"/>
        <v>613494</v>
      </c>
      <c r="H32" s="102">
        <v>141233</v>
      </c>
      <c r="I32" s="102">
        <v>472261</v>
      </c>
      <c r="J32" s="102">
        <v>2914755</v>
      </c>
      <c r="K32" s="102">
        <v>1334534</v>
      </c>
      <c r="L32" s="102">
        <v>1290430</v>
      </c>
      <c r="M32" s="102">
        <v>257488</v>
      </c>
      <c r="N32" s="102">
        <v>440606</v>
      </c>
      <c r="O32" s="102">
        <v>694059</v>
      </c>
      <c r="P32" s="102">
        <v>405252</v>
      </c>
      <c r="Q32" s="102">
        <v>288807</v>
      </c>
      <c r="R32" s="102">
        <v>106140</v>
      </c>
      <c r="S32" s="74"/>
      <c r="T32" s="73">
        <f t="shared" si="2"/>
        <v>786209</v>
      </c>
      <c r="U32" s="102">
        <v>35239</v>
      </c>
      <c r="V32" s="102">
        <v>51240</v>
      </c>
      <c r="W32" s="102">
        <v>78694</v>
      </c>
      <c r="X32" s="102">
        <v>568854</v>
      </c>
      <c r="Y32" s="102">
        <v>0</v>
      </c>
      <c r="Z32" s="102">
        <v>0</v>
      </c>
      <c r="AA32" s="102">
        <v>52182</v>
      </c>
      <c r="AB32" s="102">
        <v>62248</v>
      </c>
      <c r="AC32" s="102">
        <v>4316408</v>
      </c>
      <c r="AD32" s="102">
        <v>4123375</v>
      </c>
      <c r="AE32" s="102">
        <v>193029</v>
      </c>
      <c r="AF32" s="102">
        <v>10986</v>
      </c>
      <c r="AG32" s="102">
        <v>134223</v>
      </c>
      <c r="AH32" s="73">
        <f t="shared" si="3"/>
        <v>463780</v>
      </c>
      <c r="AI32" s="102">
        <v>413951</v>
      </c>
      <c r="AJ32" s="102">
        <v>49829</v>
      </c>
      <c r="AK32" s="102">
        <v>4409729</v>
      </c>
      <c r="AL32" s="73">
        <f t="shared" si="4"/>
        <v>2995382</v>
      </c>
      <c r="AM32" s="102">
        <v>2303902</v>
      </c>
      <c r="AN32" s="102">
        <v>175057</v>
      </c>
      <c r="AO32" s="74"/>
      <c r="AP32" s="102">
        <v>516423</v>
      </c>
      <c r="AQ32" s="102">
        <v>164388</v>
      </c>
      <c r="AR32" s="102">
        <v>0</v>
      </c>
      <c r="AS32" s="102">
        <v>0</v>
      </c>
      <c r="AT32" s="102">
        <v>1422121</v>
      </c>
      <c r="AU32" s="102">
        <v>1008155</v>
      </c>
      <c r="AV32" s="102">
        <v>110534</v>
      </c>
      <c r="AW32" s="102">
        <v>87630</v>
      </c>
      <c r="AX32" s="102">
        <v>413966</v>
      </c>
      <c r="AY32" s="102">
        <v>31258</v>
      </c>
      <c r="AZ32" s="102">
        <v>14067</v>
      </c>
      <c r="BA32" s="102">
        <v>3747</v>
      </c>
      <c r="BB32" s="102">
        <v>3403</v>
      </c>
      <c r="BC32" s="102">
        <v>428829</v>
      </c>
      <c r="BD32" s="102">
        <v>320000</v>
      </c>
      <c r="BE32" s="102">
        <v>0</v>
      </c>
      <c r="BF32" s="102">
        <v>108829</v>
      </c>
      <c r="BG32" s="102">
        <v>0</v>
      </c>
      <c r="BH32" s="102">
        <v>73102</v>
      </c>
      <c r="BI32" s="102">
        <v>35754</v>
      </c>
      <c r="BJ32" s="102">
        <v>259459</v>
      </c>
      <c r="BK32" s="102">
        <v>0</v>
      </c>
      <c r="BL32" s="102">
        <v>0</v>
      </c>
      <c r="BM32" s="102">
        <v>0</v>
      </c>
      <c r="BN32" s="102">
        <v>2184900</v>
      </c>
      <c r="BO32" s="73">
        <f t="shared" si="5"/>
        <v>986100</v>
      </c>
      <c r="BP32" s="73">
        <f t="shared" si="6"/>
        <v>1198800</v>
      </c>
      <c r="BQ32" s="102">
        <v>0</v>
      </c>
      <c r="BR32" s="102">
        <v>0</v>
      </c>
      <c r="BS32" s="102">
        <v>1198800</v>
      </c>
      <c r="BT32" s="102">
        <v>0</v>
      </c>
      <c r="BU32" s="102">
        <v>22921753</v>
      </c>
      <c r="BV32" s="71"/>
      <c r="BW32" s="102">
        <v>4247167</v>
      </c>
      <c r="BX32" s="102">
        <v>2644063</v>
      </c>
      <c r="BY32" s="102">
        <v>472771</v>
      </c>
      <c r="BZ32" s="102">
        <v>318604</v>
      </c>
      <c r="CA32" s="102">
        <v>6469199</v>
      </c>
      <c r="CB32" s="102">
        <v>1249364</v>
      </c>
      <c r="CC32" s="102">
        <v>123860</v>
      </c>
      <c r="CD32" s="102">
        <v>2272959</v>
      </c>
      <c r="CE32" s="102">
        <v>2757628</v>
      </c>
      <c r="CF32" s="102">
        <v>11754</v>
      </c>
      <c r="CG32" s="102">
        <v>53584</v>
      </c>
      <c r="CH32" s="102">
        <v>1314476</v>
      </c>
      <c r="CI32" s="102">
        <v>1125172</v>
      </c>
      <c r="CJ32" s="83">
        <f t="shared" si="18"/>
        <v>189304</v>
      </c>
      <c r="CK32" s="102">
        <v>2218888</v>
      </c>
      <c r="CL32" s="102">
        <v>1237305</v>
      </c>
      <c r="CM32" s="102">
        <v>266439</v>
      </c>
      <c r="CN32" s="102">
        <v>315912</v>
      </c>
      <c r="CO32" s="102">
        <v>191927</v>
      </c>
      <c r="CP32" s="102">
        <v>3995688</v>
      </c>
      <c r="CQ32" s="102">
        <v>1655242</v>
      </c>
      <c r="CR32" s="102">
        <v>297420</v>
      </c>
      <c r="CS32" s="102">
        <v>251095</v>
      </c>
      <c r="CT32" s="73">
        <f t="shared" si="7"/>
        <v>213436</v>
      </c>
      <c r="CU32" s="102">
        <v>122506</v>
      </c>
      <c r="CV32" s="102">
        <v>90930</v>
      </c>
      <c r="CW32" s="73">
        <f t="shared" si="8"/>
        <v>206158</v>
      </c>
      <c r="CX32" s="102">
        <v>116812</v>
      </c>
      <c r="CY32" s="102">
        <v>89346</v>
      </c>
      <c r="CZ32" s="73">
        <f t="shared" si="9"/>
        <v>0</v>
      </c>
      <c r="DA32" s="102">
        <v>0</v>
      </c>
      <c r="DB32" s="102">
        <v>0</v>
      </c>
      <c r="DC32" s="102">
        <v>1030908</v>
      </c>
      <c r="DD32" s="102">
        <v>382903</v>
      </c>
      <c r="DE32" s="102">
        <v>648005</v>
      </c>
      <c r="DF32" s="77">
        <v>0</v>
      </c>
      <c r="DG32" s="78">
        <v>0</v>
      </c>
      <c r="DH32" s="102">
        <v>4349</v>
      </c>
      <c r="DI32" s="102">
        <v>56767</v>
      </c>
      <c r="DJ32" s="102">
        <v>8372</v>
      </c>
      <c r="DK32" s="102">
        <v>1</v>
      </c>
      <c r="DL32" s="102">
        <v>48394</v>
      </c>
      <c r="DM32" s="102">
        <v>0</v>
      </c>
      <c r="DN32" s="102">
        <v>0</v>
      </c>
      <c r="DO32" s="102">
        <v>0</v>
      </c>
      <c r="DP32" s="102">
        <v>0</v>
      </c>
      <c r="DQ32" s="102">
        <v>0</v>
      </c>
      <c r="DR32" s="102">
        <v>0</v>
      </c>
      <c r="DS32" s="102">
        <v>0</v>
      </c>
      <c r="DT32" s="102">
        <v>3244322</v>
      </c>
      <c r="DU32" s="102">
        <v>1170888</v>
      </c>
      <c r="DV32" s="73">
        <f t="shared" si="10"/>
        <v>0</v>
      </c>
      <c r="DW32" s="102">
        <v>0</v>
      </c>
      <c r="DX32" s="102">
        <v>687213</v>
      </c>
      <c r="DY32" s="102">
        <v>0</v>
      </c>
      <c r="DZ32" s="102">
        <v>688792</v>
      </c>
      <c r="EA32" s="74">
        <v>0</v>
      </c>
      <c r="EB32" s="102">
        <v>697428</v>
      </c>
      <c r="EC32" s="102">
        <v>0</v>
      </c>
      <c r="ED32" s="102">
        <v>22773691</v>
      </c>
      <c r="EE32" s="71"/>
      <c r="EF32" s="102">
        <v>148062</v>
      </c>
      <c r="EG32" s="102">
        <v>123165</v>
      </c>
      <c r="EH32" s="102">
        <v>24897</v>
      </c>
      <c r="EI32" s="102">
        <v>-310857</v>
      </c>
      <c r="EJ32" s="102">
        <v>-622303</v>
      </c>
      <c r="EK32" s="71"/>
      <c r="EL32" s="102"/>
      <c r="EM32" s="102">
        <v>66434</v>
      </c>
      <c r="EN32" s="102">
        <v>320000</v>
      </c>
      <c r="EO32" s="102">
        <v>4975</v>
      </c>
      <c r="EP32" s="73">
        <f t="shared" si="11"/>
        <v>685982</v>
      </c>
      <c r="EQ32" s="102">
        <v>13528140</v>
      </c>
      <c r="ER32" s="71">
        <v>-2198771</v>
      </c>
      <c r="ES32" s="102">
        <v>3874889</v>
      </c>
      <c r="ET32" s="102">
        <v>2324211</v>
      </c>
      <c r="EU32" s="102">
        <v>1947413</v>
      </c>
      <c r="EV32" s="102">
        <v>1314476</v>
      </c>
      <c r="EW32" s="73">
        <f t="shared" si="12"/>
        <v>204800</v>
      </c>
      <c r="EX32" s="102">
        <v>201851</v>
      </c>
      <c r="EY32" s="102">
        <v>13415</v>
      </c>
      <c r="EZ32" s="102">
        <v>188436</v>
      </c>
      <c r="FA32" s="102">
        <v>2949</v>
      </c>
      <c r="FB32" s="102">
        <v>0</v>
      </c>
      <c r="FC32" s="102">
        <v>1859584</v>
      </c>
      <c r="FD32" s="102">
        <v>3263800</v>
      </c>
      <c r="FE32" s="102">
        <v>1654836</v>
      </c>
      <c r="FF32" s="102">
        <v>2905286</v>
      </c>
      <c r="FG32" s="73">
        <f t="shared" si="13"/>
        <v>208601</v>
      </c>
      <c r="FH32" s="102">
        <v>15578849</v>
      </c>
      <c r="FI32" s="379">
        <f t="shared" si="14"/>
        <v>0.2</v>
      </c>
      <c r="FJ32" s="102">
        <v>12139744</v>
      </c>
      <c r="FK32" s="102">
        <v>1198867</v>
      </c>
      <c r="FL32" s="102">
        <v>6156784</v>
      </c>
      <c r="FM32" s="102">
        <v>10272770</v>
      </c>
      <c r="FN32" s="428">
        <v>0.59399999999999997</v>
      </c>
      <c r="FO32" s="424">
        <v>98.5</v>
      </c>
      <c r="FP32" s="425">
        <v>27.8</v>
      </c>
      <c r="FQ32" s="424">
        <v>13.9</v>
      </c>
      <c r="FR32" s="424">
        <v>9.4</v>
      </c>
      <c r="FS32" s="425">
        <v>12.1</v>
      </c>
      <c r="FT32" s="424">
        <v>15.7</v>
      </c>
      <c r="FU32" s="425">
        <v>18.399999999999999</v>
      </c>
      <c r="FV32" s="384">
        <f t="shared" si="15"/>
        <v>4.8</v>
      </c>
      <c r="FW32" s="102">
        <v>13396743</v>
      </c>
      <c r="FX32" s="384">
        <f t="shared" si="16"/>
        <v>100.4</v>
      </c>
      <c r="FY32" s="102">
        <v>2534609</v>
      </c>
      <c r="FZ32" s="102">
        <v>1977207</v>
      </c>
      <c r="GA32" s="102">
        <v>2497</v>
      </c>
      <c r="GB32" s="102">
        <v>554905</v>
      </c>
      <c r="GC32" s="102">
        <v>0</v>
      </c>
      <c r="GD32" s="454"/>
      <c r="GE32" s="386"/>
      <c r="GF32" s="424">
        <v>98.4</v>
      </c>
      <c r="GG32" s="424">
        <v>33.200000000000003</v>
      </c>
      <c r="GH32" s="424">
        <v>95</v>
      </c>
      <c r="GI32" s="102">
        <v>436</v>
      </c>
      <c r="GJ32" s="429" t="s">
        <v>646</v>
      </c>
      <c r="GK32" s="429">
        <v>12.92</v>
      </c>
      <c r="GL32" s="87">
        <v>20</v>
      </c>
      <c r="GM32" s="429" t="s">
        <v>646</v>
      </c>
      <c r="GN32" s="430">
        <v>17.920000000000002</v>
      </c>
      <c r="GO32" s="430">
        <v>30</v>
      </c>
      <c r="GP32" s="425">
        <v>4.8</v>
      </c>
      <c r="GQ32" s="425">
        <v>25</v>
      </c>
      <c r="GR32" s="425">
        <v>35</v>
      </c>
      <c r="GS32" s="431">
        <v>30.5</v>
      </c>
      <c r="GT32" s="425">
        <v>350</v>
      </c>
      <c r="GU32" s="394"/>
      <c r="GV32" s="100">
        <f t="shared" si="17"/>
        <v>13339</v>
      </c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</row>
    <row r="33" spans="2:230" x14ac:dyDescent="0.15">
      <c r="B33" s="89" t="s">
        <v>55</v>
      </c>
      <c r="C33" s="102">
        <v>75270001</v>
      </c>
      <c r="D33" s="73">
        <f t="shared" si="0"/>
        <v>22905583</v>
      </c>
      <c r="E33" s="102">
        <v>623844</v>
      </c>
      <c r="F33" s="102">
        <v>22281739</v>
      </c>
      <c r="G33" s="73">
        <f t="shared" si="1"/>
        <v>6685497</v>
      </c>
      <c r="H33" s="102">
        <v>1523601</v>
      </c>
      <c r="I33" s="102">
        <v>5161896</v>
      </c>
      <c r="J33" s="102">
        <v>31808582</v>
      </c>
      <c r="K33" s="102">
        <v>15719265</v>
      </c>
      <c r="L33" s="102">
        <v>12541336</v>
      </c>
      <c r="M33" s="102">
        <v>3217839</v>
      </c>
      <c r="N33" s="102">
        <v>4407329</v>
      </c>
      <c r="O33" s="102">
        <v>6902875</v>
      </c>
      <c r="P33" s="102">
        <v>4134675</v>
      </c>
      <c r="Q33" s="102">
        <v>2768200</v>
      </c>
      <c r="R33" s="102">
        <v>782953</v>
      </c>
      <c r="S33" s="74"/>
      <c r="T33" s="73">
        <f t="shared" si="2"/>
        <v>6676675</v>
      </c>
      <c r="U33" s="102">
        <v>247326</v>
      </c>
      <c r="V33" s="102">
        <v>358236</v>
      </c>
      <c r="W33" s="102">
        <v>548667</v>
      </c>
      <c r="X33" s="102">
        <v>5137334</v>
      </c>
      <c r="Y33" s="102">
        <v>0</v>
      </c>
      <c r="Z33" s="102">
        <v>0</v>
      </c>
      <c r="AA33" s="102">
        <v>385112</v>
      </c>
      <c r="AB33" s="102">
        <v>438647</v>
      </c>
      <c r="AC33" s="102">
        <v>22391749</v>
      </c>
      <c r="AD33" s="102">
        <v>21531155</v>
      </c>
      <c r="AE33" s="102">
        <v>860551</v>
      </c>
      <c r="AF33" s="102">
        <v>81411</v>
      </c>
      <c r="AG33" s="102">
        <v>2895107</v>
      </c>
      <c r="AH33" s="73">
        <f t="shared" si="3"/>
        <v>2927169</v>
      </c>
      <c r="AI33" s="102">
        <v>2499194</v>
      </c>
      <c r="AJ33" s="102">
        <v>427975</v>
      </c>
      <c r="AK33" s="102">
        <v>46772716</v>
      </c>
      <c r="AL33" s="73">
        <f t="shared" si="4"/>
        <v>33618915</v>
      </c>
      <c r="AM33" s="102">
        <v>27211199</v>
      </c>
      <c r="AN33" s="102">
        <v>1941078</v>
      </c>
      <c r="AO33" s="74"/>
      <c r="AP33" s="102">
        <v>4466638</v>
      </c>
      <c r="AQ33" s="102">
        <v>1865004</v>
      </c>
      <c r="AR33" s="102">
        <v>0</v>
      </c>
      <c r="AS33" s="102">
        <v>0</v>
      </c>
      <c r="AT33" s="102">
        <v>9382035</v>
      </c>
      <c r="AU33" s="102">
        <v>4661558</v>
      </c>
      <c r="AV33" s="102">
        <v>5722</v>
      </c>
      <c r="AW33" s="102">
        <v>294827</v>
      </c>
      <c r="AX33" s="102">
        <v>4720477</v>
      </c>
      <c r="AY33" s="102">
        <v>3823</v>
      </c>
      <c r="AZ33" s="102">
        <v>605297</v>
      </c>
      <c r="BA33" s="102">
        <v>490739</v>
      </c>
      <c r="BB33" s="102">
        <v>12493</v>
      </c>
      <c r="BC33" s="102">
        <v>3631936</v>
      </c>
      <c r="BD33" s="102">
        <v>0</v>
      </c>
      <c r="BE33" s="102">
        <v>0</v>
      </c>
      <c r="BF33" s="102">
        <v>3258650</v>
      </c>
      <c r="BG33" s="102">
        <v>0</v>
      </c>
      <c r="BH33" s="102">
        <v>1067246</v>
      </c>
      <c r="BI33" s="102">
        <v>1002783</v>
      </c>
      <c r="BJ33" s="102">
        <v>2925915</v>
      </c>
      <c r="BK33" s="102">
        <v>1368354</v>
      </c>
      <c r="BL33" s="102">
        <v>0</v>
      </c>
      <c r="BM33" s="102">
        <v>52261</v>
      </c>
      <c r="BN33" s="102">
        <v>23513500</v>
      </c>
      <c r="BO33" s="73">
        <f t="shared" si="5"/>
        <v>12251700</v>
      </c>
      <c r="BP33" s="73">
        <f t="shared" si="6"/>
        <v>10761800</v>
      </c>
      <c r="BQ33" s="102">
        <v>0</v>
      </c>
      <c r="BR33" s="102">
        <v>0</v>
      </c>
      <c r="BS33" s="102">
        <v>10761800</v>
      </c>
      <c r="BT33" s="102">
        <v>500000</v>
      </c>
      <c r="BU33" s="102">
        <v>199374850</v>
      </c>
      <c r="BV33" s="71"/>
      <c r="BW33" s="102">
        <v>27883425</v>
      </c>
      <c r="BX33" s="102">
        <v>18146070</v>
      </c>
      <c r="BY33" s="102">
        <v>2687642</v>
      </c>
      <c r="BZ33" s="102">
        <v>2558195</v>
      </c>
      <c r="CA33" s="102">
        <v>69165096</v>
      </c>
      <c r="CB33" s="102">
        <v>10490282</v>
      </c>
      <c r="CC33" s="102">
        <v>1121223</v>
      </c>
      <c r="CD33" s="102">
        <v>18969658</v>
      </c>
      <c r="CE33" s="102">
        <v>36113899</v>
      </c>
      <c r="CF33" s="102">
        <v>1864432</v>
      </c>
      <c r="CG33" s="102">
        <v>605432</v>
      </c>
      <c r="CH33" s="102">
        <v>17540241</v>
      </c>
      <c r="CI33" s="102">
        <v>15546127</v>
      </c>
      <c r="CJ33" s="83">
        <f t="shared" si="18"/>
        <v>1994114</v>
      </c>
      <c r="CK33" s="102">
        <v>14956752</v>
      </c>
      <c r="CL33" s="102">
        <v>9717773</v>
      </c>
      <c r="CM33" s="102">
        <v>381989</v>
      </c>
      <c r="CN33" s="102">
        <v>2576117</v>
      </c>
      <c r="CO33" s="102">
        <v>1624969</v>
      </c>
      <c r="CP33" s="102">
        <v>27641842</v>
      </c>
      <c r="CQ33" s="102">
        <v>2407967</v>
      </c>
      <c r="CR33" s="102">
        <v>4635838</v>
      </c>
      <c r="CS33" s="102">
        <v>3534907</v>
      </c>
      <c r="CT33" s="73">
        <f t="shared" si="7"/>
        <v>10263975</v>
      </c>
      <c r="CU33" s="102">
        <v>8183335</v>
      </c>
      <c r="CV33" s="102">
        <v>2080640</v>
      </c>
      <c r="CW33" s="73">
        <f t="shared" si="8"/>
        <v>867021</v>
      </c>
      <c r="CX33" s="102">
        <v>646733</v>
      </c>
      <c r="CY33" s="102">
        <v>220288</v>
      </c>
      <c r="CZ33" s="73">
        <f t="shared" si="9"/>
        <v>9241000</v>
      </c>
      <c r="DA33" s="102">
        <v>7384000</v>
      </c>
      <c r="DB33" s="102">
        <v>1857000</v>
      </c>
      <c r="DC33" s="102">
        <v>13771674</v>
      </c>
      <c r="DD33" s="102">
        <v>5871526</v>
      </c>
      <c r="DE33" s="102">
        <v>7269217</v>
      </c>
      <c r="DF33" s="77">
        <v>546758</v>
      </c>
      <c r="DG33" s="78">
        <v>84173</v>
      </c>
      <c r="DH33" s="102">
        <v>0</v>
      </c>
      <c r="DI33" s="102">
        <v>4532991</v>
      </c>
      <c r="DJ33" s="102">
        <v>4146600</v>
      </c>
      <c r="DK33" s="102">
        <v>311800</v>
      </c>
      <c r="DL33" s="102">
        <v>74591</v>
      </c>
      <c r="DM33" s="102">
        <v>1097067</v>
      </c>
      <c r="DN33" s="102">
        <v>919267</v>
      </c>
      <c r="DO33" s="102">
        <v>0</v>
      </c>
      <c r="DP33" s="102">
        <v>919267</v>
      </c>
      <c r="DQ33" s="102">
        <v>1799414</v>
      </c>
      <c r="DR33" s="102">
        <v>0</v>
      </c>
      <c r="DS33" s="102">
        <v>0</v>
      </c>
      <c r="DT33" s="102">
        <v>17688439</v>
      </c>
      <c r="DU33" s="102">
        <v>0</v>
      </c>
      <c r="DV33" s="73">
        <f t="shared" si="10"/>
        <v>0</v>
      </c>
      <c r="DW33" s="102">
        <v>0</v>
      </c>
      <c r="DX33" s="102">
        <v>5072000</v>
      </c>
      <c r="DY33" s="102">
        <v>0</v>
      </c>
      <c r="DZ33" s="102">
        <v>7000858</v>
      </c>
      <c r="EA33" s="74">
        <v>0</v>
      </c>
      <c r="EB33" s="102">
        <v>5065400</v>
      </c>
      <c r="EC33" s="102">
        <v>0</v>
      </c>
      <c r="ED33" s="102">
        <v>197701910</v>
      </c>
      <c r="EE33" s="71"/>
      <c r="EF33" s="102">
        <v>1672940</v>
      </c>
      <c r="EG33" s="102">
        <v>252706</v>
      </c>
      <c r="EH33" s="102">
        <v>1420234</v>
      </c>
      <c r="EI33" s="102">
        <v>417451</v>
      </c>
      <c r="EJ33" s="102">
        <v>4564359</v>
      </c>
      <c r="EK33" s="71"/>
      <c r="EL33" s="102"/>
      <c r="EM33" s="102">
        <v>501349</v>
      </c>
      <c r="EN33" s="102">
        <v>463</v>
      </c>
      <c r="EO33" s="102">
        <v>482443</v>
      </c>
      <c r="EP33" s="73">
        <f t="shared" si="11"/>
        <v>4450024</v>
      </c>
      <c r="EQ33" s="102">
        <v>105641436</v>
      </c>
      <c r="ER33" s="71">
        <v>-15613319</v>
      </c>
      <c r="ES33" s="102">
        <v>25792699</v>
      </c>
      <c r="ET33" s="102">
        <v>16864126</v>
      </c>
      <c r="EU33" s="102">
        <v>20107840</v>
      </c>
      <c r="EV33" s="102">
        <v>17502287</v>
      </c>
      <c r="EW33" s="73">
        <f t="shared" si="12"/>
        <v>4135354</v>
      </c>
      <c r="EX33" s="102">
        <v>4135354</v>
      </c>
      <c r="EY33" s="102">
        <v>126636</v>
      </c>
      <c r="EZ33" s="102">
        <v>4000560</v>
      </c>
      <c r="FA33" s="102">
        <v>0</v>
      </c>
      <c r="FB33" s="102">
        <v>0</v>
      </c>
      <c r="FC33" s="102">
        <v>12422467</v>
      </c>
      <c r="FD33" s="102">
        <v>18350343</v>
      </c>
      <c r="FE33" s="102">
        <v>2407967</v>
      </c>
      <c r="FF33" s="102">
        <v>14531951</v>
      </c>
      <c r="FG33" s="73">
        <f t="shared" si="13"/>
        <v>6738874</v>
      </c>
      <c r="FH33" s="102">
        <v>119581815</v>
      </c>
      <c r="FI33" s="379">
        <f t="shared" si="14"/>
        <v>1.3</v>
      </c>
      <c r="FJ33" s="102">
        <v>96501352</v>
      </c>
      <c r="FK33" s="102">
        <v>10761889</v>
      </c>
      <c r="FL33" s="102">
        <v>57429415</v>
      </c>
      <c r="FM33" s="102">
        <v>78960570</v>
      </c>
      <c r="FN33" s="428">
        <v>0.72499999999999998</v>
      </c>
      <c r="FO33" s="424">
        <v>94.5</v>
      </c>
      <c r="FP33" s="425">
        <v>23.5</v>
      </c>
      <c r="FQ33" s="424">
        <v>18.399999999999999</v>
      </c>
      <c r="FR33" s="424">
        <v>16</v>
      </c>
      <c r="FS33" s="425">
        <v>10.5</v>
      </c>
      <c r="FT33" s="424">
        <v>14.9</v>
      </c>
      <c r="FU33" s="425">
        <v>9.8000000000000007</v>
      </c>
      <c r="FV33" s="384">
        <f t="shared" si="15"/>
        <v>5.9</v>
      </c>
      <c r="FW33" s="102">
        <v>172261044</v>
      </c>
      <c r="FX33" s="384">
        <f t="shared" si="16"/>
        <v>160.6</v>
      </c>
      <c r="FY33" s="102">
        <v>20534511</v>
      </c>
      <c r="FZ33" s="102">
        <v>14636168</v>
      </c>
      <c r="GA33" s="102">
        <v>2115000</v>
      </c>
      <c r="GB33" s="102">
        <v>3783343</v>
      </c>
      <c r="GC33" s="102">
        <v>0</v>
      </c>
      <c r="GD33" s="454"/>
      <c r="GE33" s="386"/>
      <c r="GF33" s="424">
        <v>98.5</v>
      </c>
      <c r="GG33" s="424">
        <v>39.200000000000003</v>
      </c>
      <c r="GH33" s="424">
        <v>95.2</v>
      </c>
      <c r="GI33" s="102">
        <v>2683</v>
      </c>
      <c r="GJ33" s="429" t="s">
        <v>646</v>
      </c>
      <c r="GK33" s="429">
        <v>11.25</v>
      </c>
      <c r="GL33" s="87">
        <v>20</v>
      </c>
      <c r="GM33" s="429" t="s">
        <v>646</v>
      </c>
      <c r="GN33" s="430">
        <v>16.25</v>
      </c>
      <c r="GO33" s="430">
        <v>30</v>
      </c>
      <c r="GP33" s="425">
        <v>5.9</v>
      </c>
      <c r="GQ33" s="425">
        <v>25</v>
      </c>
      <c r="GR33" s="425">
        <v>35</v>
      </c>
      <c r="GS33" s="431">
        <v>8.5</v>
      </c>
      <c r="GT33" s="425">
        <v>350</v>
      </c>
      <c r="GU33" s="394"/>
      <c r="GV33" s="100">
        <f t="shared" si="17"/>
        <v>107263</v>
      </c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</row>
    <row r="34" spans="2:230" x14ac:dyDescent="0.15">
      <c r="B34" s="89" t="s">
        <v>57</v>
      </c>
      <c r="C34" s="102">
        <v>8832217</v>
      </c>
      <c r="D34" s="73">
        <f t="shared" si="0"/>
        <v>2312837</v>
      </c>
      <c r="E34" s="102">
        <v>74564</v>
      </c>
      <c r="F34" s="102">
        <v>2238273</v>
      </c>
      <c r="G34" s="73">
        <f t="shared" si="1"/>
        <v>459412</v>
      </c>
      <c r="H34" s="102">
        <v>186569</v>
      </c>
      <c r="I34" s="102">
        <v>272843</v>
      </c>
      <c r="J34" s="102">
        <v>4788368</v>
      </c>
      <c r="K34" s="102">
        <v>1930208</v>
      </c>
      <c r="L34" s="102">
        <v>1647626</v>
      </c>
      <c r="M34" s="102">
        <v>1077974</v>
      </c>
      <c r="N34" s="102">
        <v>456934</v>
      </c>
      <c r="O34" s="102">
        <v>702923</v>
      </c>
      <c r="P34" s="102">
        <v>374756</v>
      </c>
      <c r="Q34" s="102">
        <v>328167</v>
      </c>
      <c r="R34" s="102">
        <v>146213</v>
      </c>
      <c r="S34" s="74"/>
      <c r="T34" s="73">
        <f t="shared" si="2"/>
        <v>812613</v>
      </c>
      <c r="U34" s="102">
        <v>25276</v>
      </c>
      <c r="V34" s="102">
        <v>36681</v>
      </c>
      <c r="W34" s="102">
        <v>56258</v>
      </c>
      <c r="X34" s="102">
        <v>588514</v>
      </c>
      <c r="Y34" s="102">
        <v>46696</v>
      </c>
      <c r="Z34" s="102">
        <v>0</v>
      </c>
      <c r="AA34" s="102">
        <v>59188</v>
      </c>
      <c r="AB34" s="102">
        <v>44575</v>
      </c>
      <c r="AC34" s="102">
        <v>2812141</v>
      </c>
      <c r="AD34" s="102">
        <v>2389539</v>
      </c>
      <c r="AE34" s="102">
        <v>422598</v>
      </c>
      <c r="AF34" s="102">
        <v>11685</v>
      </c>
      <c r="AG34" s="102">
        <v>176080</v>
      </c>
      <c r="AH34" s="73">
        <f t="shared" si="3"/>
        <v>395294</v>
      </c>
      <c r="AI34" s="102">
        <v>250931</v>
      </c>
      <c r="AJ34" s="102">
        <v>144363</v>
      </c>
      <c r="AK34" s="102">
        <v>3913711</v>
      </c>
      <c r="AL34" s="73">
        <f t="shared" si="4"/>
        <v>2219422</v>
      </c>
      <c r="AM34" s="102">
        <v>1559118</v>
      </c>
      <c r="AN34" s="102">
        <v>155409</v>
      </c>
      <c r="AO34" s="74"/>
      <c r="AP34" s="102">
        <v>504895</v>
      </c>
      <c r="AQ34" s="102">
        <v>144311</v>
      </c>
      <c r="AR34" s="102">
        <v>0</v>
      </c>
      <c r="AS34" s="102">
        <v>0</v>
      </c>
      <c r="AT34" s="102">
        <v>1800631</v>
      </c>
      <c r="AU34" s="102">
        <v>1046453</v>
      </c>
      <c r="AV34" s="102">
        <v>77704</v>
      </c>
      <c r="AW34" s="102">
        <v>235609</v>
      </c>
      <c r="AX34" s="102">
        <v>754178</v>
      </c>
      <c r="AY34" s="102">
        <v>20635</v>
      </c>
      <c r="AZ34" s="102">
        <v>81477</v>
      </c>
      <c r="BA34" s="102">
        <v>70909</v>
      </c>
      <c r="BB34" s="102">
        <v>17648</v>
      </c>
      <c r="BC34" s="102">
        <v>8558</v>
      </c>
      <c r="BD34" s="102">
        <v>0</v>
      </c>
      <c r="BE34" s="102">
        <v>0</v>
      </c>
      <c r="BF34" s="102">
        <v>8338</v>
      </c>
      <c r="BG34" s="102">
        <v>0</v>
      </c>
      <c r="BH34" s="102">
        <v>464503</v>
      </c>
      <c r="BI34" s="102">
        <v>422072</v>
      </c>
      <c r="BJ34" s="102">
        <v>207690</v>
      </c>
      <c r="BK34" s="102">
        <v>0</v>
      </c>
      <c r="BL34" s="102">
        <v>0</v>
      </c>
      <c r="BM34" s="102">
        <v>0</v>
      </c>
      <c r="BN34" s="102">
        <v>8341056</v>
      </c>
      <c r="BO34" s="73">
        <f t="shared" si="5"/>
        <v>7030500</v>
      </c>
      <c r="BP34" s="73">
        <f t="shared" si="6"/>
        <v>1310556</v>
      </c>
      <c r="BQ34" s="102">
        <v>0</v>
      </c>
      <c r="BR34" s="102">
        <v>0</v>
      </c>
      <c r="BS34" s="102">
        <v>1310556</v>
      </c>
      <c r="BT34" s="102">
        <v>0</v>
      </c>
      <c r="BU34" s="102">
        <v>28066092</v>
      </c>
      <c r="BV34" s="71"/>
      <c r="BW34" s="102">
        <v>3594198</v>
      </c>
      <c r="BX34" s="102">
        <v>2484918</v>
      </c>
      <c r="BY34" s="102">
        <v>265588</v>
      </c>
      <c r="BZ34" s="102">
        <v>58021</v>
      </c>
      <c r="CA34" s="102">
        <v>5386422</v>
      </c>
      <c r="CB34" s="102">
        <v>1112576</v>
      </c>
      <c r="CC34" s="102">
        <v>120607</v>
      </c>
      <c r="CD34" s="102">
        <v>2012915</v>
      </c>
      <c r="CE34" s="102">
        <v>2071129</v>
      </c>
      <c r="CF34" s="102">
        <v>135</v>
      </c>
      <c r="CG34" s="102">
        <v>68960</v>
      </c>
      <c r="CH34" s="102">
        <v>2684258</v>
      </c>
      <c r="CI34" s="102">
        <v>2196452</v>
      </c>
      <c r="CJ34" s="83">
        <f t="shared" si="18"/>
        <v>487806</v>
      </c>
      <c r="CK34" s="102">
        <v>2582226</v>
      </c>
      <c r="CL34" s="102">
        <v>1710075</v>
      </c>
      <c r="CM34" s="102">
        <v>162172</v>
      </c>
      <c r="CN34" s="102">
        <v>396051</v>
      </c>
      <c r="CO34" s="102">
        <v>115228</v>
      </c>
      <c r="CP34" s="102">
        <v>8822483</v>
      </c>
      <c r="CQ34" s="102">
        <v>1041514</v>
      </c>
      <c r="CR34" s="102">
        <v>469036</v>
      </c>
      <c r="CS34" s="102">
        <v>212187</v>
      </c>
      <c r="CT34" s="73">
        <f t="shared" si="7"/>
        <v>9571</v>
      </c>
      <c r="CU34" s="102">
        <v>692</v>
      </c>
      <c r="CV34" s="102">
        <v>8879</v>
      </c>
      <c r="CW34" s="73">
        <f t="shared" si="8"/>
        <v>0</v>
      </c>
      <c r="CX34" s="102">
        <v>0</v>
      </c>
      <c r="CY34" s="102">
        <v>0</v>
      </c>
      <c r="CZ34" s="73">
        <f t="shared" si="9"/>
        <v>0</v>
      </c>
      <c r="DA34" s="102">
        <v>0</v>
      </c>
      <c r="DB34" s="102">
        <v>0</v>
      </c>
      <c r="DC34" s="102">
        <v>1166417</v>
      </c>
      <c r="DD34" s="102">
        <v>758080</v>
      </c>
      <c r="DE34" s="102">
        <v>345582</v>
      </c>
      <c r="DF34" s="77">
        <v>62755</v>
      </c>
      <c r="DG34" s="78">
        <v>0</v>
      </c>
      <c r="DH34" s="102">
        <v>0</v>
      </c>
      <c r="DI34" s="102">
        <v>419652</v>
      </c>
      <c r="DJ34" s="102">
        <v>0</v>
      </c>
      <c r="DK34" s="102">
        <v>249187</v>
      </c>
      <c r="DL34" s="102">
        <v>170465</v>
      </c>
      <c r="DM34" s="102">
        <v>12815</v>
      </c>
      <c r="DN34" s="102">
        <v>12815</v>
      </c>
      <c r="DO34" s="102">
        <v>11300</v>
      </c>
      <c r="DP34" s="102">
        <v>0</v>
      </c>
      <c r="DQ34" s="102">
        <v>0</v>
      </c>
      <c r="DR34" s="102">
        <v>0</v>
      </c>
      <c r="DS34" s="102">
        <v>0</v>
      </c>
      <c r="DT34" s="102">
        <v>2778511</v>
      </c>
      <c r="DU34" s="102">
        <v>767909</v>
      </c>
      <c r="DV34" s="73">
        <f t="shared" si="10"/>
        <v>0</v>
      </c>
      <c r="DW34" s="102">
        <v>0</v>
      </c>
      <c r="DX34" s="102">
        <v>737422</v>
      </c>
      <c r="DY34" s="102">
        <v>0</v>
      </c>
      <c r="DZ34" s="102">
        <v>622412</v>
      </c>
      <c r="EA34" s="74">
        <v>0</v>
      </c>
      <c r="EB34" s="102">
        <v>650768</v>
      </c>
      <c r="EC34" s="102">
        <v>0</v>
      </c>
      <c r="ED34" s="102">
        <v>27562210</v>
      </c>
      <c r="EE34" s="71"/>
      <c r="EF34" s="102">
        <v>503882</v>
      </c>
      <c r="EG34" s="102">
        <v>49081</v>
      </c>
      <c r="EH34" s="102">
        <v>454801</v>
      </c>
      <c r="EI34" s="102">
        <v>32729</v>
      </c>
      <c r="EJ34" s="102">
        <v>32729</v>
      </c>
      <c r="EK34" s="71"/>
      <c r="EL34" s="102"/>
      <c r="EM34" s="102">
        <v>64472</v>
      </c>
      <c r="EN34" s="102">
        <v>0</v>
      </c>
      <c r="EO34" s="102">
        <v>81465</v>
      </c>
      <c r="EP34" s="73">
        <f t="shared" si="11"/>
        <v>827849</v>
      </c>
      <c r="EQ34" s="102">
        <v>12659444</v>
      </c>
      <c r="ER34" s="71">
        <v>-2208185</v>
      </c>
      <c r="ES34" s="102">
        <v>3227246</v>
      </c>
      <c r="ET34" s="102">
        <v>2157838</v>
      </c>
      <c r="EU34" s="102">
        <v>1481510</v>
      </c>
      <c r="EV34" s="102">
        <v>2684258</v>
      </c>
      <c r="EW34" s="73">
        <f t="shared" si="12"/>
        <v>253480</v>
      </c>
      <c r="EX34" s="102">
        <v>253480</v>
      </c>
      <c r="EY34" s="102">
        <v>8096</v>
      </c>
      <c r="EZ34" s="102">
        <v>233286</v>
      </c>
      <c r="FA34" s="102">
        <v>0</v>
      </c>
      <c r="FB34" s="102">
        <v>0</v>
      </c>
      <c r="FC34" s="102">
        <v>1737995</v>
      </c>
      <c r="FD34" s="102">
        <v>2065805</v>
      </c>
      <c r="FE34" s="102">
        <v>1039556</v>
      </c>
      <c r="FF34" s="102">
        <v>2391209</v>
      </c>
      <c r="FG34" s="73">
        <f t="shared" si="13"/>
        <v>522244</v>
      </c>
      <c r="FH34" s="102">
        <v>14363747</v>
      </c>
      <c r="FI34" s="379">
        <f t="shared" si="14"/>
        <v>3.6</v>
      </c>
      <c r="FJ34" s="102">
        <v>11481767</v>
      </c>
      <c r="FK34" s="102">
        <v>1310556</v>
      </c>
      <c r="FL34" s="102">
        <v>6989036</v>
      </c>
      <c r="FM34" s="102">
        <v>9375094</v>
      </c>
      <c r="FN34" s="428">
        <v>0.73899999999999999</v>
      </c>
      <c r="FO34" s="424">
        <v>96.6</v>
      </c>
      <c r="FP34" s="425">
        <v>24.4</v>
      </c>
      <c r="FQ34" s="424">
        <v>11.5</v>
      </c>
      <c r="FR34" s="424">
        <v>20.8</v>
      </c>
      <c r="FS34" s="425">
        <v>11.5</v>
      </c>
      <c r="FT34" s="424">
        <v>11.5</v>
      </c>
      <c r="FU34" s="425">
        <v>16.2</v>
      </c>
      <c r="FV34" s="384">
        <f t="shared" si="15"/>
        <v>9.1</v>
      </c>
      <c r="FW34" s="102">
        <v>31618048</v>
      </c>
      <c r="FX34" s="384">
        <f t="shared" si="16"/>
        <v>247.2</v>
      </c>
      <c r="FY34" s="102">
        <v>3415580</v>
      </c>
      <c r="FZ34" s="102">
        <v>0</v>
      </c>
      <c r="GA34" s="102">
        <v>1429559</v>
      </c>
      <c r="GB34" s="102">
        <v>1986021</v>
      </c>
      <c r="GC34" s="102">
        <v>0</v>
      </c>
      <c r="GD34" s="454"/>
      <c r="GE34" s="386"/>
      <c r="GF34" s="424">
        <v>98.4</v>
      </c>
      <c r="GG34" s="424">
        <v>19.399999999999999</v>
      </c>
      <c r="GH34" s="424">
        <v>93.3</v>
      </c>
      <c r="GI34" s="102">
        <v>377</v>
      </c>
      <c r="GJ34" s="429" t="s">
        <v>646</v>
      </c>
      <c r="GK34" s="429">
        <v>12.97</v>
      </c>
      <c r="GL34" s="87">
        <v>20</v>
      </c>
      <c r="GM34" s="429" t="s">
        <v>646</v>
      </c>
      <c r="GN34" s="430">
        <v>17.97</v>
      </c>
      <c r="GO34" s="430">
        <v>30</v>
      </c>
      <c r="GP34" s="425">
        <v>9.1</v>
      </c>
      <c r="GQ34" s="425">
        <v>25</v>
      </c>
      <c r="GR34" s="425">
        <v>35</v>
      </c>
      <c r="GS34" s="431">
        <v>138.1</v>
      </c>
      <c r="GT34" s="425">
        <v>350</v>
      </c>
      <c r="GU34" s="394"/>
      <c r="GV34" s="100">
        <f t="shared" si="17"/>
        <v>12792</v>
      </c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</row>
    <row r="35" spans="2:230" x14ac:dyDescent="0.15">
      <c r="B35" s="89" t="s">
        <v>59</v>
      </c>
      <c r="C35" s="102">
        <v>6524703</v>
      </c>
      <c r="D35" s="73">
        <f t="shared" si="0"/>
        <v>2704867</v>
      </c>
      <c r="E35" s="102">
        <v>72350</v>
      </c>
      <c r="F35" s="102">
        <v>2632517</v>
      </c>
      <c r="G35" s="73">
        <f t="shared" si="1"/>
        <v>251932</v>
      </c>
      <c r="H35" s="102">
        <v>112520</v>
      </c>
      <c r="I35" s="102">
        <v>139412</v>
      </c>
      <c r="J35" s="102">
        <v>2579053</v>
      </c>
      <c r="K35" s="102">
        <v>1169386</v>
      </c>
      <c r="L35" s="102">
        <v>1197485</v>
      </c>
      <c r="M35" s="102">
        <v>198132</v>
      </c>
      <c r="N35" s="102">
        <v>371340</v>
      </c>
      <c r="O35" s="102">
        <v>558318</v>
      </c>
      <c r="P35" s="102">
        <v>312469</v>
      </c>
      <c r="Q35" s="102">
        <v>245849</v>
      </c>
      <c r="R35" s="102">
        <v>104255</v>
      </c>
      <c r="S35" s="74"/>
      <c r="T35" s="73">
        <f t="shared" si="2"/>
        <v>658965</v>
      </c>
      <c r="U35" s="102">
        <v>29376</v>
      </c>
      <c r="V35" s="102">
        <v>42627</v>
      </c>
      <c r="W35" s="102">
        <v>65371</v>
      </c>
      <c r="X35" s="102">
        <v>443195</v>
      </c>
      <c r="Y35" s="102">
        <v>27134</v>
      </c>
      <c r="Z35" s="102">
        <v>0</v>
      </c>
      <c r="AA35" s="102">
        <v>51262</v>
      </c>
      <c r="AB35" s="102">
        <v>45687</v>
      </c>
      <c r="AC35" s="102">
        <v>4088330</v>
      </c>
      <c r="AD35" s="102">
        <v>3686878</v>
      </c>
      <c r="AE35" s="102">
        <v>401448</v>
      </c>
      <c r="AF35" s="102">
        <v>8202</v>
      </c>
      <c r="AG35" s="102">
        <v>260536</v>
      </c>
      <c r="AH35" s="73">
        <f t="shared" si="3"/>
        <v>261491</v>
      </c>
      <c r="AI35" s="102">
        <v>168638</v>
      </c>
      <c r="AJ35" s="102">
        <v>92853</v>
      </c>
      <c r="AK35" s="102">
        <v>3168471</v>
      </c>
      <c r="AL35" s="73">
        <f t="shared" si="4"/>
        <v>1879022</v>
      </c>
      <c r="AM35" s="102">
        <v>1275003</v>
      </c>
      <c r="AN35" s="102">
        <v>212164</v>
      </c>
      <c r="AO35" s="74"/>
      <c r="AP35" s="102">
        <v>391855</v>
      </c>
      <c r="AQ35" s="102">
        <v>82814</v>
      </c>
      <c r="AR35" s="102">
        <v>0</v>
      </c>
      <c r="AS35" s="102">
        <v>0</v>
      </c>
      <c r="AT35" s="102">
        <v>1227463</v>
      </c>
      <c r="AU35" s="102">
        <v>700302</v>
      </c>
      <c r="AV35" s="102">
        <v>106000</v>
      </c>
      <c r="AW35" s="102">
        <v>10816</v>
      </c>
      <c r="AX35" s="102">
        <v>527161</v>
      </c>
      <c r="AY35" s="102">
        <v>56</v>
      </c>
      <c r="AZ35" s="102">
        <v>33116</v>
      </c>
      <c r="BA35" s="102">
        <v>15221</v>
      </c>
      <c r="BB35" s="102">
        <v>2345</v>
      </c>
      <c r="BC35" s="102">
        <v>2354</v>
      </c>
      <c r="BD35" s="102">
        <v>0</v>
      </c>
      <c r="BE35" s="102">
        <v>0</v>
      </c>
      <c r="BF35" s="102">
        <v>2354</v>
      </c>
      <c r="BG35" s="102">
        <v>0</v>
      </c>
      <c r="BH35" s="102">
        <v>531830</v>
      </c>
      <c r="BI35" s="102">
        <v>526121</v>
      </c>
      <c r="BJ35" s="102">
        <v>158666</v>
      </c>
      <c r="BK35" s="102">
        <v>0</v>
      </c>
      <c r="BL35" s="102">
        <v>0</v>
      </c>
      <c r="BM35" s="102">
        <v>0</v>
      </c>
      <c r="BN35" s="102">
        <v>1223200</v>
      </c>
      <c r="BO35" s="73">
        <f t="shared" si="5"/>
        <v>155000</v>
      </c>
      <c r="BP35" s="73">
        <f t="shared" si="6"/>
        <v>1068200</v>
      </c>
      <c r="BQ35" s="102">
        <v>0</v>
      </c>
      <c r="BR35" s="102">
        <v>0</v>
      </c>
      <c r="BS35" s="102">
        <v>1068200</v>
      </c>
      <c r="BT35" s="102">
        <v>0</v>
      </c>
      <c r="BU35" s="102">
        <v>18299614</v>
      </c>
      <c r="BV35" s="71"/>
      <c r="BW35" s="102">
        <v>3342137</v>
      </c>
      <c r="BX35" s="102">
        <v>2097224</v>
      </c>
      <c r="BY35" s="102">
        <v>338518</v>
      </c>
      <c r="BZ35" s="102">
        <v>261291</v>
      </c>
      <c r="CA35" s="102">
        <v>4918307</v>
      </c>
      <c r="CB35" s="102">
        <v>970494</v>
      </c>
      <c r="CC35" s="102">
        <v>92858</v>
      </c>
      <c r="CD35" s="102">
        <v>2290545</v>
      </c>
      <c r="CE35" s="102">
        <v>1473482</v>
      </c>
      <c r="CF35" s="102">
        <v>2161</v>
      </c>
      <c r="CG35" s="102">
        <v>88591</v>
      </c>
      <c r="CH35" s="102">
        <v>2293936</v>
      </c>
      <c r="CI35" s="102">
        <v>2006764</v>
      </c>
      <c r="CJ35" s="83">
        <f t="shared" si="18"/>
        <v>287172</v>
      </c>
      <c r="CK35" s="102">
        <v>2014598</v>
      </c>
      <c r="CL35" s="102">
        <v>1418248</v>
      </c>
      <c r="CM35" s="102">
        <v>72802</v>
      </c>
      <c r="CN35" s="102">
        <v>238007</v>
      </c>
      <c r="CO35" s="102">
        <v>64409</v>
      </c>
      <c r="CP35" s="102">
        <v>2063792</v>
      </c>
      <c r="CQ35" s="102">
        <v>369603</v>
      </c>
      <c r="CR35" s="102">
        <v>348629</v>
      </c>
      <c r="CS35" s="102">
        <v>208373</v>
      </c>
      <c r="CT35" s="73">
        <f t="shared" si="7"/>
        <v>818318</v>
      </c>
      <c r="CU35" s="102">
        <v>560058</v>
      </c>
      <c r="CV35" s="102">
        <v>258260</v>
      </c>
      <c r="CW35" s="73">
        <f t="shared" si="8"/>
        <v>0</v>
      </c>
      <c r="CX35" s="102">
        <v>0</v>
      </c>
      <c r="CY35" s="102">
        <v>0</v>
      </c>
      <c r="CZ35" s="73">
        <f t="shared" si="9"/>
        <v>808691</v>
      </c>
      <c r="DA35" s="102">
        <v>553896</v>
      </c>
      <c r="DB35" s="102">
        <v>254795</v>
      </c>
      <c r="DC35" s="102">
        <v>558452</v>
      </c>
      <c r="DD35" s="102">
        <v>374781</v>
      </c>
      <c r="DE35" s="102">
        <v>183671</v>
      </c>
      <c r="DF35" s="77">
        <v>0</v>
      </c>
      <c r="DG35" s="78">
        <v>0</v>
      </c>
      <c r="DH35" s="102">
        <v>4988</v>
      </c>
      <c r="DI35" s="102">
        <v>857028</v>
      </c>
      <c r="DJ35" s="102">
        <v>785464</v>
      </c>
      <c r="DK35" s="102">
        <v>40</v>
      </c>
      <c r="DL35" s="102">
        <v>71524</v>
      </c>
      <c r="DM35" s="102">
        <v>0</v>
      </c>
      <c r="DN35" s="102">
        <v>0</v>
      </c>
      <c r="DO35" s="102">
        <v>0</v>
      </c>
      <c r="DP35" s="102">
        <v>0</v>
      </c>
      <c r="DQ35" s="102">
        <v>0</v>
      </c>
      <c r="DR35" s="102">
        <v>0</v>
      </c>
      <c r="DS35" s="102">
        <v>0</v>
      </c>
      <c r="DT35" s="102">
        <v>1543692</v>
      </c>
      <c r="DU35" s="102">
        <v>0</v>
      </c>
      <c r="DV35" s="73">
        <f t="shared" si="10"/>
        <v>0</v>
      </c>
      <c r="DW35" s="102">
        <v>0</v>
      </c>
      <c r="DX35" s="102">
        <v>490278</v>
      </c>
      <c r="DY35" s="102">
        <v>0</v>
      </c>
      <c r="DZ35" s="102">
        <v>528898</v>
      </c>
      <c r="EA35" s="74">
        <v>0</v>
      </c>
      <c r="EB35" s="102">
        <v>524516</v>
      </c>
      <c r="EC35" s="102">
        <v>0</v>
      </c>
      <c r="ED35" s="102">
        <v>17661339</v>
      </c>
      <c r="EE35" s="71"/>
      <c r="EF35" s="102">
        <v>638275</v>
      </c>
      <c r="EG35" s="102">
        <v>101322</v>
      </c>
      <c r="EH35" s="102">
        <v>536953</v>
      </c>
      <c r="EI35" s="102">
        <v>10832</v>
      </c>
      <c r="EJ35" s="102">
        <v>796296</v>
      </c>
      <c r="EK35" s="71"/>
      <c r="EL35" s="102"/>
      <c r="EM35" s="102">
        <v>56951</v>
      </c>
      <c r="EN35" s="102">
        <v>0</v>
      </c>
      <c r="EO35" s="102">
        <v>31490</v>
      </c>
      <c r="EP35" s="73">
        <f t="shared" si="11"/>
        <v>829968</v>
      </c>
      <c r="EQ35" s="102">
        <v>11430142</v>
      </c>
      <c r="ER35" s="71">
        <v>-1921456</v>
      </c>
      <c r="ES35" s="102">
        <v>3008230</v>
      </c>
      <c r="ET35" s="102">
        <v>1895288</v>
      </c>
      <c r="EU35" s="102">
        <v>1294198</v>
      </c>
      <c r="EV35" s="102">
        <v>2293936</v>
      </c>
      <c r="EW35" s="73">
        <f t="shared" si="12"/>
        <v>206201</v>
      </c>
      <c r="EX35" s="102">
        <v>201213</v>
      </c>
      <c r="EY35" s="102">
        <v>53052</v>
      </c>
      <c r="EZ35" s="102">
        <v>148161</v>
      </c>
      <c r="FA35" s="102">
        <v>4988</v>
      </c>
      <c r="FB35" s="102">
        <v>0</v>
      </c>
      <c r="FC35" s="102">
        <v>1781637</v>
      </c>
      <c r="FD35" s="102">
        <v>1937659</v>
      </c>
      <c r="FE35" s="102">
        <v>369603</v>
      </c>
      <c r="FF35" s="102">
        <v>1274436</v>
      </c>
      <c r="FG35" s="73">
        <f t="shared" si="13"/>
        <v>917026</v>
      </c>
      <c r="FH35" s="102">
        <v>12713323</v>
      </c>
      <c r="FI35" s="379">
        <f t="shared" si="14"/>
        <v>4.7</v>
      </c>
      <c r="FJ35" s="102">
        <v>10323226</v>
      </c>
      <c r="FK35" s="102">
        <v>1068221</v>
      </c>
      <c r="FL35" s="102">
        <v>5117123</v>
      </c>
      <c r="FM35" s="102">
        <v>8784574</v>
      </c>
      <c r="FN35" s="428">
        <v>0.58199999999999996</v>
      </c>
      <c r="FO35" s="424">
        <v>93.4</v>
      </c>
      <c r="FP35" s="425">
        <v>25.2</v>
      </c>
      <c r="FQ35" s="424">
        <v>11.2</v>
      </c>
      <c r="FR35" s="424">
        <v>19.8</v>
      </c>
      <c r="FS35" s="425">
        <v>14.1</v>
      </c>
      <c r="FT35" s="424">
        <v>13</v>
      </c>
      <c r="FU35" s="425">
        <v>9.6</v>
      </c>
      <c r="FV35" s="384">
        <f t="shared" si="15"/>
        <v>10.5</v>
      </c>
      <c r="FW35" s="102">
        <v>17336505</v>
      </c>
      <c r="FX35" s="384">
        <f t="shared" si="16"/>
        <v>152.19999999999999</v>
      </c>
      <c r="FY35" s="102">
        <v>2968719</v>
      </c>
      <c r="FZ35" s="102">
        <v>1313013</v>
      </c>
      <c r="GA35" s="102">
        <v>51096</v>
      </c>
      <c r="GB35" s="102">
        <v>1604610</v>
      </c>
      <c r="GC35" s="102">
        <v>172000</v>
      </c>
      <c r="GD35" s="454">
        <v>891</v>
      </c>
      <c r="GE35" s="386">
        <f>IF(GD35=0,"-",ROUND(GD35/(GV35)*100,1))</f>
        <v>7.8</v>
      </c>
      <c r="GF35" s="424">
        <v>98.6</v>
      </c>
      <c r="GG35" s="424">
        <v>26.1</v>
      </c>
      <c r="GH35" s="424">
        <v>94.4</v>
      </c>
      <c r="GI35" s="102">
        <v>356</v>
      </c>
      <c r="GJ35" s="429" t="s">
        <v>646</v>
      </c>
      <c r="GK35" s="429">
        <v>13.13</v>
      </c>
      <c r="GL35" s="87">
        <v>20</v>
      </c>
      <c r="GM35" s="429" t="s">
        <v>646</v>
      </c>
      <c r="GN35" s="430">
        <v>18.13</v>
      </c>
      <c r="GO35" s="430">
        <v>30</v>
      </c>
      <c r="GP35" s="425">
        <v>10.5</v>
      </c>
      <c r="GQ35" s="425">
        <v>25</v>
      </c>
      <c r="GR35" s="425">
        <v>35</v>
      </c>
      <c r="GS35" s="431">
        <v>20.9</v>
      </c>
      <c r="GT35" s="425">
        <v>350</v>
      </c>
      <c r="GU35" s="394"/>
      <c r="GV35" s="100">
        <f t="shared" si="17"/>
        <v>11391</v>
      </c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</row>
    <row r="36" spans="2:230" x14ac:dyDescent="0.15">
      <c r="B36" s="89" t="s">
        <v>61</v>
      </c>
      <c r="C36" s="102">
        <v>9294809</v>
      </c>
      <c r="D36" s="73">
        <f t="shared" si="0"/>
        <v>4345382</v>
      </c>
      <c r="E36" s="102">
        <v>104291</v>
      </c>
      <c r="F36" s="102">
        <v>4241091</v>
      </c>
      <c r="G36" s="73">
        <f t="shared" si="1"/>
        <v>357664</v>
      </c>
      <c r="H36" s="102">
        <v>125058</v>
      </c>
      <c r="I36" s="102">
        <v>232606</v>
      </c>
      <c r="J36" s="102">
        <v>3363175</v>
      </c>
      <c r="K36" s="102">
        <v>1442959</v>
      </c>
      <c r="L36" s="102">
        <v>1472554</v>
      </c>
      <c r="M36" s="102">
        <v>395586</v>
      </c>
      <c r="N36" s="102">
        <v>407696</v>
      </c>
      <c r="O36" s="102">
        <v>737779</v>
      </c>
      <c r="P36" s="102">
        <v>426746</v>
      </c>
      <c r="Q36" s="102">
        <v>311033</v>
      </c>
      <c r="R36" s="102">
        <v>135924</v>
      </c>
      <c r="S36" s="74"/>
      <c r="T36" s="73">
        <f t="shared" si="2"/>
        <v>972169</v>
      </c>
      <c r="U36" s="102">
        <v>46962</v>
      </c>
      <c r="V36" s="102">
        <v>68196</v>
      </c>
      <c r="W36" s="102">
        <v>104638</v>
      </c>
      <c r="X36" s="102">
        <v>601792</v>
      </c>
      <c r="Y36" s="102">
        <v>83730</v>
      </c>
      <c r="Z36" s="102">
        <v>0</v>
      </c>
      <c r="AA36" s="102">
        <v>66851</v>
      </c>
      <c r="AB36" s="102">
        <v>68436</v>
      </c>
      <c r="AC36" s="102">
        <v>3419038</v>
      </c>
      <c r="AD36" s="102">
        <v>3210009</v>
      </c>
      <c r="AE36" s="102">
        <v>209024</v>
      </c>
      <c r="AF36" s="102">
        <v>11616</v>
      </c>
      <c r="AG36" s="102">
        <v>251207</v>
      </c>
      <c r="AH36" s="73">
        <f t="shared" si="3"/>
        <v>424051</v>
      </c>
      <c r="AI36" s="102">
        <v>331106</v>
      </c>
      <c r="AJ36" s="102">
        <v>92945</v>
      </c>
      <c r="AK36" s="102">
        <v>3144448</v>
      </c>
      <c r="AL36" s="73">
        <f t="shared" si="4"/>
        <v>1684418</v>
      </c>
      <c r="AM36" s="102">
        <v>1041464</v>
      </c>
      <c r="AN36" s="102">
        <v>212909</v>
      </c>
      <c r="AO36" s="74"/>
      <c r="AP36" s="102">
        <v>430045</v>
      </c>
      <c r="AQ36" s="102">
        <v>96709</v>
      </c>
      <c r="AR36" s="102">
        <v>0</v>
      </c>
      <c r="AS36" s="102">
        <v>0</v>
      </c>
      <c r="AT36" s="102">
        <v>1420558</v>
      </c>
      <c r="AU36" s="102">
        <v>785133</v>
      </c>
      <c r="AV36" s="102">
        <v>106455</v>
      </c>
      <c r="AW36" s="102">
        <v>0</v>
      </c>
      <c r="AX36" s="102">
        <v>635425</v>
      </c>
      <c r="AY36" s="102">
        <v>10133</v>
      </c>
      <c r="AZ36" s="102">
        <v>398623</v>
      </c>
      <c r="BA36" s="102">
        <v>383805</v>
      </c>
      <c r="BB36" s="102">
        <v>109642</v>
      </c>
      <c r="BC36" s="102">
        <v>29375</v>
      </c>
      <c r="BD36" s="102">
        <v>0</v>
      </c>
      <c r="BE36" s="102">
        <v>0</v>
      </c>
      <c r="BF36" s="102">
        <v>6660</v>
      </c>
      <c r="BG36" s="102">
        <v>0</v>
      </c>
      <c r="BH36" s="102">
        <v>409096</v>
      </c>
      <c r="BI36" s="102">
        <v>238376</v>
      </c>
      <c r="BJ36" s="102">
        <v>252203</v>
      </c>
      <c r="BK36" s="102">
        <v>100000</v>
      </c>
      <c r="BL36" s="102">
        <v>0</v>
      </c>
      <c r="BM36" s="102">
        <v>0</v>
      </c>
      <c r="BN36" s="102">
        <v>4746452</v>
      </c>
      <c r="BO36" s="73">
        <f t="shared" si="5"/>
        <v>3372900</v>
      </c>
      <c r="BP36" s="73">
        <f t="shared" si="6"/>
        <v>1373552</v>
      </c>
      <c r="BQ36" s="102">
        <v>0</v>
      </c>
      <c r="BR36" s="102">
        <v>0</v>
      </c>
      <c r="BS36" s="102">
        <v>1373552</v>
      </c>
      <c r="BT36" s="102">
        <v>0</v>
      </c>
      <c r="BU36" s="102">
        <v>25087647</v>
      </c>
      <c r="BV36" s="71"/>
      <c r="BW36" s="102">
        <v>4559669</v>
      </c>
      <c r="BX36" s="102">
        <v>2742093</v>
      </c>
      <c r="BY36" s="102">
        <v>379844</v>
      </c>
      <c r="BZ36" s="102">
        <v>523385</v>
      </c>
      <c r="CA36" s="102">
        <v>5556888</v>
      </c>
      <c r="CB36" s="102">
        <v>1317983</v>
      </c>
      <c r="CC36" s="102">
        <v>116008</v>
      </c>
      <c r="CD36" s="102">
        <v>2506580</v>
      </c>
      <c r="CE36" s="102">
        <v>1434647</v>
      </c>
      <c r="CF36" s="102">
        <v>2700</v>
      </c>
      <c r="CG36" s="102">
        <v>178672</v>
      </c>
      <c r="CH36" s="102">
        <v>3504293</v>
      </c>
      <c r="CI36" s="102">
        <v>3019917</v>
      </c>
      <c r="CJ36" s="83">
        <f t="shared" si="18"/>
        <v>484376</v>
      </c>
      <c r="CK36" s="102">
        <v>2527328</v>
      </c>
      <c r="CL36" s="102">
        <v>1458389</v>
      </c>
      <c r="CM36" s="102">
        <v>184712</v>
      </c>
      <c r="CN36" s="102">
        <v>393577</v>
      </c>
      <c r="CO36" s="102">
        <v>94036</v>
      </c>
      <c r="CP36" s="102">
        <v>2580234</v>
      </c>
      <c r="CQ36" s="102">
        <v>427213</v>
      </c>
      <c r="CR36" s="102">
        <v>242938</v>
      </c>
      <c r="CS36" s="102">
        <v>132192</v>
      </c>
      <c r="CT36" s="73">
        <f t="shared" si="7"/>
        <v>4858</v>
      </c>
      <c r="CU36" s="102">
        <v>4858</v>
      </c>
      <c r="CV36" s="102">
        <v>0</v>
      </c>
      <c r="CW36" s="73">
        <f t="shared" si="8"/>
        <v>0</v>
      </c>
      <c r="CX36" s="102">
        <v>0</v>
      </c>
      <c r="CY36" s="102">
        <v>0</v>
      </c>
      <c r="CZ36" s="73">
        <f t="shared" si="9"/>
        <v>0</v>
      </c>
      <c r="DA36" s="102">
        <v>0</v>
      </c>
      <c r="DB36" s="102">
        <v>0</v>
      </c>
      <c r="DC36" s="102">
        <v>3043989</v>
      </c>
      <c r="DD36" s="102">
        <v>256677</v>
      </c>
      <c r="DE36" s="102">
        <v>2782992</v>
      </c>
      <c r="DF36" s="77">
        <v>0</v>
      </c>
      <c r="DG36" s="78">
        <v>0</v>
      </c>
      <c r="DH36" s="102">
        <v>105911</v>
      </c>
      <c r="DI36" s="102">
        <v>499323</v>
      </c>
      <c r="DJ36" s="102">
        <v>471864</v>
      </c>
      <c r="DK36" s="102">
        <v>969</v>
      </c>
      <c r="DL36" s="102">
        <v>26490</v>
      </c>
      <c r="DM36" s="102">
        <v>0</v>
      </c>
      <c r="DN36" s="102">
        <v>0</v>
      </c>
      <c r="DO36" s="102">
        <v>0</v>
      </c>
      <c r="DP36" s="102">
        <v>0</v>
      </c>
      <c r="DQ36" s="102">
        <v>0</v>
      </c>
      <c r="DR36" s="102">
        <v>0</v>
      </c>
      <c r="DS36" s="102">
        <v>0</v>
      </c>
      <c r="DT36" s="102">
        <v>2140802</v>
      </c>
      <c r="DU36" s="102">
        <v>233946</v>
      </c>
      <c r="DV36" s="73">
        <f t="shared" si="10"/>
        <v>0</v>
      </c>
      <c r="DW36" s="102">
        <v>0</v>
      </c>
      <c r="DX36" s="102">
        <v>694278</v>
      </c>
      <c r="DY36" s="102">
        <v>0</v>
      </c>
      <c r="DZ36" s="102">
        <v>544730</v>
      </c>
      <c r="EA36" s="74">
        <v>0</v>
      </c>
      <c r="EB36" s="102">
        <v>667808</v>
      </c>
      <c r="EC36" s="102">
        <v>0</v>
      </c>
      <c r="ED36" s="102">
        <v>24612473</v>
      </c>
      <c r="EE36" s="71"/>
      <c r="EF36" s="102">
        <v>475174</v>
      </c>
      <c r="EG36" s="102">
        <v>179403</v>
      </c>
      <c r="EH36" s="102">
        <v>295771</v>
      </c>
      <c r="EI36" s="102">
        <v>57395</v>
      </c>
      <c r="EJ36" s="102">
        <v>579635</v>
      </c>
      <c r="EK36" s="71"/>
      <c r="EL36" s="102"/>
      <c r="EM36" s="102">
        <v>78261</v>
      </c>
      <c r="EN36" s="102">
        <v>3708</v>
      </c>
      <c r="EO36" s="102">
        <v>392075</v>
      </c>
      <c r="EP36" s="73">
        <f t="shared" si="11"/>
        <v>653689</v>
      </c>
      <c r="EQ36" s="102">
        <v>13901992</v>
      </c>
      <c r="ER36" s="71">
        <v>-2411408</v>
      </c>
      <c r="ES36" s="102">
        <v>4295487</v>
      </c>
      <c r="ET36" s="102">
        <v>2570933</v>
      </c>
      <c r="EU36" s="102">
        <v>1722065</v>
      </c>
      <c r="EV36" s="102">
        <v>3404293</v>
      </c>
      <c r="EW36" s="73">
        <f t="shared" si="12"/>
        <v>1191066</v>
      </c>
      <c r="EX36" s="102">
        <v>1128434</v>
      </c>
      <c r="EY36" s="102">
        <v>11780</v>
      </c>
      <c r="EZ36" s="102">
        <v>1112334</v>
      </c>
      <c r="FA36" s="102">
        <v>62632</v>
      </c>
      <c r="FB36" s="102">
        <v>0</v>
      </c>
      <c r="FC36" s="102">
        <v>2047523</v>
      </c>
      <c r="FD36" s="102">
        <v>779139</v>
      </c>
      <c r="FE36" s="102">
        <v>424395</v>
      </c>
      <c r="FF36" s="102">
        <v>1812916</v>
      </c>
      <c r="FG36" s="73">
        <f t="shared" si="13"/>
        <v>585737</v>
      </c>
      <c r="FH36" s="102">
        <v>15838226</v>
      </c>
      <c r="FI36" s="379">
        <f t="shared" si="14"/>
        <v>2.1</v>
      </c>
      <c r="FJ36" s="102">
        <v>12863976</v>
      </c>
      <c r="FK36" s="102">
        <v>1373552</v>
      </c>
      <c r="FL36" s="102">
        <v>7435191</v>
      </c>
      <c r="FM36" s="102">
        <v>10619643</v>
      </c>
      <c r="FN36" s="428">
        <v>0.69399999999999995</v>
      </c>
      <c r="FO36" s="424">
        <v>93</v>
      </c>
      <c r="FP36" s="425">
        <v>28.9</v>
      </c>
      <c r="FQ36" s="424">
        <v>11.9</v>
      </c>
      <c r="FR36" s="424">
        <v>23.2</v>
      </c>
      <c r="FS36" s="425">
        <v>12.5</v>
      </c>
      <c r="FT36" s="424">
        <v>4.8</v>
      </c>
      <c r="FU36" s="425">
        <v>11</v>
      </c>
      <c r="FV36" s="384">
        <f t="shared" si="15"/>
        <v>13.7</v>
      </c>
      <c r="FW36" s="102">
        <v>31595595</v>
      </c>
      <c r="FX36" s="384">
        <f t="shared" si="16"/>
        <v>221.9</v>
      </c>
      <c r="FY36" s="102">
        <v>4830666</v>
      </c>
      <c r="FZ36" s="102">
        <v>2454031</v>
      </c>
      <c r="GA36" s="102">
        <v>646992</v>
      </c>
      <c r="GB36" s="102">
        <v>1729643</v>
      </c>
      <c r="GC36" s="102">
        <v>0</v>
      </c>
      <c r="GD36" s="454">
        <v>14555</v>
      </c>
      <c r="GE36" s="386">
        <f>IF(GD36=0,"-",ROUND(GD36/(GV36)*100,1))</f>
        <v>102.2</v>
      </c>
      <c r="GF36" s="424">
        <v>99.3</v>
      </c>
      <c r="GG36" s="424">
        <v>33.299999999999997</v>
      </c>
      <c r="GH36" s="424">
        <v>97</v>
      </c>
      <c r="GI36" s="102">
        <v>466</v>
      </c>
      <c r="GJ36" s="429" t="s">
        <v>646</v>
      </c>
      <c r="GK36" s="429">
        <v>12.84</v>
      </c>
      <c r="GL36" s="87">
        <v>20</v>
      </c>
      <c r="GM36" s="429" t="s">
        <v>646</v>
      </c>
      <c r="GN36" s="430">
        <v>17.84</v>
      </c>
      <c r="GO36" s="430">
        <v>30</v>
      </c>
      <c r="GP36" s="425">
        <v>13.7</v>
      </c>
      <c r="GQ36" s="425">
        <v>25</v>
      </c>
      <c r="GR36" s="425">
        <v>35</v>
      </c>
      <c r="GS36" s="431">
        <v>210.1</v>
      </c>
      <c r="GT36" s="425">
        <v>350</v>
      </c>
      <c r="GU36" s="394"/>
      <c r="GV36" s="100">
        <f t="shared" si="17"/>
        <v>14238</v>
      </c>
      <c r="GW36" s="394"/>
      <c r="GX36" s="394"/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</row>
    <row r="37" spans="2:230" x14ac:dyDescent="0.15">
      <c r="B37" s="89" t="s">
        <v>63</v>
      </c>
      <c r="C37" s="102">
        <v>7325177</v>
      </c>
      <c r="D37" s="73">
        <f t="shared" si="0"/>
        <v>3417381</v>
      </c>
      <c r="E37" s="102">
        <v>77512</v>
      </c>
      <c r="F37" s="102">
        <v>3339869</v>
      </c>
      <c r="G37" s="73">
        <f t="shared" si="1"/>
        <v>436653</v>
      </c>
      <c r="H37" s="102">
        <v>102349</v>
      </c>
      <c r="I37" s="102">
        <v>334304</v>
      </c>
      <c r="J37" s="102">
        <v>2689964</v>
      </c>
      <c r="K37" s="102">
        <v>1124179</v>
      </c>
      <c r="L37" s="102">
        <v>1241548</v>
      </c>
      <c r="M37" s="102">
        <v>291752</v>
      </c>
      <c r="N37" s="102">
        <v>357978</v>
      </c>
      <c r="O37" s="102">
        <v>358128</v>
      </c>
      <c r="P37" s="102">
        <v>200098</v>
      </c>
      <c r="Q37" s="102">
        <v>158030</v>
      </c>
      <c r="R37" s="102">
        <v>105957</v>
      </c>
      <c r="S37" s="74"/>
      <c r="T37" s="73">
        <f t="shared" si="2"/>
        <v>734730</v>
      </c>
      <c r="U37" s="102">
        <v>37980</v>
      </c>
      <c r="V37" s="102">
        <v>55127</v>
      </c>
      <c r="W37" s="102">
        <v>84558</v>
      </c>
      <c r="X37" s="102">
        <v>504936</v>
      </c>
      <c r="Y37" s="102">
        <v>0</v>
      </c>
      <c r="Z37" s="102">
        <v>0</v>
      </c>
      <c r="AA37" s="102">
        <v>52129</v>
      </c>
      <c r="AB37" s="102">
        <v>48986</v>
      </c>
      <c r="AC37" s="102">
        <v>2850388</v>
      </c>
      <c r="AD37" s="102">
        <v>2555279</v>
      </c>
      <c r="AE37" s="102">
        <v>295105</v>
      </c>
      <c r="AF37" s="102">
        <v>11032</v>
      </c>
      <c r="AG37" s="102">
        <v>238275</v>
      </c>
      <c r="AH37" s="73">
        <f t="shared" si="3"/>
        <v>272669</v>
      </c>
      <c r="AI37" s="102">
        <v>229901</v>
      </c>
      <c r="AJ37" s="102">
        <v>42768</v>
      </c>
      <c r="AK37" s="102">
        <v>2975587</v>
      </c>
      <c r="AL37" s="73">
        <f t="shared" si="4"/>
        <v>1535881</v>
      </c>
      <c r="AM37" s="102">
        <v>1107824</v>
      </c>
      <c r="AN37" s="102">
        <v>159332</v>
      </c>
      <c r="AO37" s="74"/>
      <c r="AP37" s="102">
        <v>268725</v>
      </c>
      <c r="AQ37" s="102">
        <v>56685</v>
      </c>
      <c r="AR37" s="102">
        <v>0</v>
      </c>
      <c r="AS37" s="102">
        <v>0</v>
      </c>
      <c r="AT37" s="102">
        <v>1246288</v>
      </c>
      <c r="AU37" s="102">
        <v>690599</v>
      </c>
      <c r="AV37" s="102">
        <v>81861</v>
      </c>
      <c r="AW37" s="102">
        <v>120821</v>
      </c>
      <c r="AX37" s="102">
        <v>555689</v>
      </c>
      <c r="AY37" s="102">
        <v>22088</v>
      </c>
      <c r="AZ37" s="102">
        <v>21418</v>
      </c>
      <c r="BA37" s="102">
        <v>3306</v>
      </c>
      <c r="BB37" s="102">
        <v>4447</v>
      </c>
      <c r="BC37" s="102">
        <v>318309</v>
      </c>
      <c r="BD37" s="102">
        <v>0</v>
      </c>
      <c r="BE37" s="102">
        <v>0</v>
      </c>
      <c r="BF37" s="102">
        <v>300232</v>
      </c>
      <c r="BG37" s="102">
        <v>0</v>
      </c>
      <c r="BH37" s="102">
        <v>889862</v>
      </c>
      <c r="BI37" s="102">
        <v>840381</v>
      </c>
      <c r="BJ37" s="102">
        <v>170613</v>
      </c>
      <c r="BK37" s="102">
        <v>132</v>
      </c>
      <c r="BL37" s="102">
        <v>0</v>
      </c>
      <c r="BM37" s="102">
        <v>0</v>
      </c>
      <c r="BN37" s="102">
        <v>2089400</v>
      </c>
      <c r="BO37" s="73">
        <f t="shared" si="5"/>
        <v>921900</v>
      </c>
      <c r="BP37" s="73">
        <f t="shared" si="6"/>
        <v>1167500</v>
      </c>
      <c r="BQ37" s="102">
        <v>0</v>
      </c>
      <c r="BR37" s="102">
        <v>0</v>
      </c>
      <c r="BS37" s="102">
        <v>1167500</v>
      </c>
      <c r="BT37" s="102">
        <v>0</v>
      </c>
      <c r="BU37" s="102">
        <v>19303138</v>
      </c>
      <c r="BV37" s="71"/>
      <c r="BW37" s="102">
        <v>3828255</v>
      </c>
      <c r="BX37" s="102">
        <v>2348038</v>
      </c>
      <c r="BY37" s="102">
        <v>489047</v>
      </c>
      <c r="BZ37" s="102">
        <v>280832</v>
      </c>
      <c r="CA37" s="102">
        <v>4164412</v>
      </c>
      <c r="CB37" s="102">
        <v>766936</v>
      </c>
      <c r="CC37" s="102">
        <v>78470</v>
      </c>
      <c r="CD37" s="102">
        <v>1952890</v>
      </c>
      <c r="CE37" s="102">
        <v>1303356</v>
      </c>
      <c r="CF37" s="102">
        <v>0</v>
      </c>
      <c r="CG37" s="102">
        <v>62760</v>
      </c>
      <c r="CH37" s="102">
        <v>2343627</v>
      </c>
      <c r="CI37" s="102">
        <v>2125756</v>
      </c>
      <c r="CJ37" s="83">
        <f t="shared" si="18"/>
        <v>217871</v>
      </c>
      <c r="CK37" s="102">
        <v>2693847</v>
      </c>
      <c r="CL37" s="102">
        <v>1743508</v>
      </c>
      <c r="CM37" s="102">
        <v>149021</v>
      </c>
      <c r="CN37" s="102">
        <v>320213</v>
      </c>
      <c r="CO37" s="102">
        <v>30183</v>
      </c>
      <c r="CP37" s="102">
        <v>1252763</v>
      </c>
      <c r="CQ37" s="102">
        <v>467100</v>
      </c>
      <c r="CR37" s="102">
        <v>334383</v>
      </c>
      <c r="CS37" s="102">
        <v>259669</v>
      </c>
      <c r="CT37" s="73">
        <f t="shared" si="7"/>
        <v>28394</v>
      </c>
      <c r="CU37" s="102">
        <v>28394</v>
      </c>
      <c r="CV37" s="102">
        <v>0</v>
      </c>
      <c r="CW37" s="73">
        <f t="shared" si="8"/>
        <v>0</v>
      </c>
      <c r="CX37" s="102">
        <v>0</v>
      </c>
      <c r="CY37" s="102">
        <v>0</v>
      </c>
      <c r="CZ37" s="73">
        <f t="shared" si="9"/>
        <v>0</v>
      </c>
      <c r="DA37" s="102">
        <v>0</v>
      </c>
      <c r="DB37" s="102">
        <v>0</v>
      </c>
      <c r="DC37" s="102">
        <v>2297226</v>
      </c>
      <c r="DD37" s="102">
        <v>1349057</v>
      </c>
      <c r="DE37" s="102">
        <v>928353</v>
      </c>
      <c r="DF37" s="77">
        <v>19816</v>
      </c>
      <c r="DG37" s="78">
        <v>0</v>
      </c>
      <c r="DH37" s="102">
        <v>0</v>
      </c>
      <c r="DI37" s="102">
        <v>6228</v>
      </c>
      <c r="DJ37" s="102">
        <v>4539</v>
      </c>
      <c r="DK37" s="102">
        <v>9</v>
      </c>
      <c r="DL37" s="102">
        <v>1680</v>
      </c>
      <c r="DM37" s="102">
        <v>0</v>
      </c>
      <c r="DN37" s="102">
        <v>0</v>
      </c>
      <c r="DO37" s="102">
        <v>0</v>
      </c>
      <c r="DP37" s="102">
        <v>0</v>
      </c>
      <c r="DQ37" s="102">
        <v>288</v>
      </c>
      <c r="DR37" s="102">
        <v>0</v>
      </c>
      <c r="DS37" s="102">
        <v>0</v>
      </c>
      <c r="DT37" s="102">
        <v>1831422</v>
      </c>
      <c r="DU37" s="102">
        <v>247716</v>
      </c>
      <c r="DV37" s="73">
        <f t="shared" si="10"/>
        <v>0</v>
      </c>
      <c r="DW37" s="102">
        <v>0</v>
      </c>
      <c r="DX37" s="102">
        <v>594580</v>
      </c>
      <c r="DY37" s="102">
        <v>0</v>
      </c>
      <c r="DZ37" s="102">
        <v>404422</v>
      </c>
      <c r="EA37" s="74">
        <v>0</v>
      </c>
      <c r="EB37" s="102">
        <v>584704</v>
      </c>
      <c r="EC37" s="102">
        <v>0</v>
      </c>
      <c r="ED37" s="102">
        <v>18448251</v>
      </c>
      <c r="EE37" s="71"/>
      <c r="EF37" s="102">
        <v>854887</v>
      </c>
      <c r="EG37" s="102">
        <v>17537</v>
      </c>
      <c r="EH37" s="102">
        <v>837350</v>
      </c>
      <c r="EI37" s="102">
        <v>-3031</v>
      </c>
      <c r="EJ37" s="102">
        <v>1508</v>
      </c>
      <c r="EK37" s="71"/>
      <c r="EL37" s="102"/>
      <c r="EM37" s="102">
        <v>57857</v>
      </c>
      <c r="EN37" s="102">
        <v>300954</v>
      </c>
      <c r="EO37" s="102">
        <v>15195</v>
      </c>
      <c r="EP37" s="73">
        <f t="shared" si="11"/>
        <v>1028185</v>
      </c>
      <c r="EQ37" s="102">
        <v>11076270</v>
      </c>
      <c r="ER37" s="71">
        <v>-2500802</v>
      </c>
      <c r="ES37" s="102">
        <v>3540919</v>
      </c>
      <c r="ET37" s="102">
        <v>2118602</v>
      </c>
      <c r="EU37" s="102">
        <v>1037355</v>
      </c>
      <c r="EV37" s="102">
        <v>2343627</v>
      </c>
      <c r="EW37" s="73">
        <f t="shared" si="12"/>
        <v>642304</v>
      </c>
      <c r="EX37" s="102">
        <v>642304</v>
      </c>
      <c r="EY37" s="102">
        <v>90200</v>
      </c>
      <c r="EZ37" s="102">
        <v>548294</v>
      </c>
      <c r="FA37" s="102">
        <v>0</v>
      </c>
      <c r="FB37" s="102">
        <v>0</v>
      </c>
      <c r="FC37" s="102">
        <v>2397182</v>
      </c>
      <c r="FD37" s="102">
        <v>1152324</v>
      </c>
      <c r="FE37" s="102">
        <v>467100</v>
      </c>
      <c r="FF37" s="102">
        <v>1577980</v>
      </c>
      <c r="FG37" s="73">
        <f t="shared" si="13"/>
        <v>30494</v>
      </c>
      <c r="FH37" s="102">
        <v>12722185</v>
      </c>
      <c r="FI37" s="379">
        <f t="shared" si="14"/>
        <v>7.2</v>
      </c>
      <c r="FJ37" s="102">
        <v>10398144</v>
      </c>
      <c r="FK37" s="102">
        <v>1167519</v>
      </c>
      <c r="FL37" s="102">
        <v>5981452</v>
      </c>
      <c r="FM37" s="102">
        <v>8556156</v>
      </c>
      <c r="FN37" s="428">
        <v>0.69599999999999995</v>
      </c>
      <c r="FO37" s="424">
        <v>97.7</v>
      </c>
      <c r="FP37" s="425">
        <v>28.6</v>
      </c>
      <c r="FQ37" s="424">
        <v>8.9</v>
      </c>
      <c r="FR37" s="424">
        <v>20.100000000000001</v>
      </c>
      <c r="FS37" s="425">
        <v>19.7</v>
      </c>
      <c r="FT37" s="424">
        <v>8.1</v>
      </c>
      <c r="FU37" s="425">
        <v>12.1</v>
      </c>
      <c r="FV37" s="384">
        <f t="shared" si="15"/>
        <v>9.1999999999999993</v>
      </c>
      <c r="FW37" s="102">
        <v>17044444</v>
      </c>
      <c r="FX37" s="384">
        <f t="shared" si="16"/>
        <v>147.4</v>
      </c>
      <c r="FY37" s="102">
        <v>3877469</v>
      </c>
      <c r="FZ37" s="102">
        <v>3137058</v>
      </c>
      <c r="GA37" s="102">
        <v>36837</v>
      </c>
      <c r="GB37" s="102">
        <v>703574</v>
      </c>
      <c r="GC37" s="102">
        <v>0</v>
      </c>
      <c r="GD37" s="454"/>
      <c r="GE37" s="386"/>
      <c r="GF37" s="424">
        <v>98.5</v>
      </c>
      <c r="GG37" s="424">
        <v>15.8</v>
      </c>
      <c r="GH37" s="424">
        <v>92.2</v>
      </c>
      <c r="GI37" s="102">
        <v>372</v>
      </c>
      <c r="GJ37" s="429" t="s">
        <v>646</v>
      </c>
      <c r="GK37" s="429">
        <v>13.11</v>
      </c>
      <c r="GL37" s="87">
        <v>20</v>
      </c>
      <c r="GM37" s="429" t="s">
        <v>646</v>
      </c>
      <c r="GN37" s="430">
        <v>18.11</v>
      </c>
      <c r="GO37" s="430">
        <v>30</v>
      </c>
      <c r="GP37" s="425">
        <v>9.1999999999999993</v>
      </c>
      <c r="GQ37" s="425">
        <v>25</v>
      </c>
      <c r="GR37" s="425">
        <v>35</v>
      </c>
      <c r="GS37" s="431">
        <v>4.2</v>
      </c>
      <c r="GT37" s="425">
        <v>350</v>
      </c>
      <c r="GU37" s="394"/>
      <c r="GV37" s="100">
        <f t="shared" si="17"/>
        <v>11566</v>
      </c>
      <c r="GW37" s="394"/>
      <c r="GX37" s="394"/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</row>
    <row r="38" spans="2:230" x14ac:dyDescent="0.15">
      <c r="B38" s="89" t="s">
        <v>65</v>
      </c>
      <c r="C38" s="102">
        <v>5425747</v>
      </c>
      <c r="D38" s="73">
        <f t="shared" si="0"/>
        <v>2493715</v>
      </c>
      <c r="E38" s="102">
        <v>74467</v>
      </c>
      <c r="F38" s="102">
        <v>2419248</v>
      </c>
      <c r="G38" s="73">
        <f t="shared" si="1"/>
        <v>152564</v>
      </c>
      <c r="H38" s="102">
        <v>70252</v>
      </c>
      <c r="I38" s="102">
        <v>82312</v>
      </c>
      <c r="J38" s="102">
        <v>1989008</v>
      </c>
      <c r="K38" s="102">
        <v>682364</v>
      </c>
      <c r="L38" s="102">
        <v>1006487</v>
      </c>
      <c r="M38" s="102">
        <v>244944</v>
      </c>
      <c r="N38" s="102">
        <v>296390</v>
      </c>
      <c r="O38" s="102">
        <v>397050</v>
      </c>
      <c r="P38" s="102">
        <v>188652</v>
      </c>
      <c r="Q38" s="102">
        <v>208398</v>
      </c>
      <c r="R38" s="102">
        <v>110004</v>
      </c>
      <c r="S38" s="74"/>
      <c r="T38" s="73">
        <f t="shared" si="2"/>
        <v>607171</v>
      </c>
      <c r="U38" s="102">
        <v>27296</v>
      </c>
      <c r="V38" s="102">
        <v>39618</v>
      </c>
      <c r="W38" s="102">
        <v>60767</v>
      </c>
      <c r="X38" s="102">
        <v>423035</v>
      </c>
      <c r="Y38" s="102">
        <v>2352</v>
      </c>
      <c r="Z38" s="102">
        <v>0</v>
      </c>
      <c r="AA38" s="102">
        <v>54103</v>
      </c>
      <c r="AB38" s="102">
        <v>36212</v>
      </c>
      <c r="AC38" s="102">
        <v>4262895</v>
      </c>
      <c r="AD38" s="102">
        <v>3976268</v>
      </c>
      <c r="AE38" s="102">
        <v>286623</v>
      </c>
      <c r="AF38" s="102">
        <v>9044</v>
      </c>
      <c r="AG38" s="102">
        <v>98667</v>
      </c>
      <c r="AH38" s="73">
        <f t="shared" si="3"/>
        <v>294401</v>
      </c>
      <c r="AI38" s="102">
        <v>200039</v>
      </c>
      <c r="AJ38" s="102">
        <v>94362</v>
      </c>
      <c r="AK38" s="102">
        <v>2256900</v>
      </c>
      <c r="AL38" s="73">
        <f t="shared" si="4"/>
        <v>1303698</v>
      </c>
      <c r="AM38" s="102">
        <v>772343</v>
      </c>
      <c r="AN38" s="102">
        <v>206419</v>
      </c>
      <c r="AO38" s="74"/>
      <c r="AP38" s="102">
        <v>324936</v>
      </c>
      <c r="AQ38" s="102">
        <v>107503</v>
      </c>
      <c r="AR38" s="102">
        <v>0</v>
      </c>
      <c r="AS38" s="102">
        <v>0</v>
      </c>
      <c r="AT38" s="102">
        <v>1352993</v>
      </c>
      <c r="AU38" s="102">
        <v>870271</v>
      </c>
      <c r="AV38" s="102">
        <v>190883</v>
      </c>
      <c r="AW38" s="102">
        <v>309</v>
      </c>
      <c r="AX38" s="102">
        <v>482722</v>
      </c>
      <c r="AY38" s="102">
        <v>49183</v>
      </c>
      <c r="AZ38" s="102">
        <v>8284</v>
      </c>
      <c r="BA38" s="102">
        <v>20</v>
      </c>
      <c r="BB38" s="102">
        <v>857</v>
      </c>
      <c r="BC38" s="102">
        <v>205961</v>
      </c>
      <c r="BD38" s="102">
        <v>27300</v>
      </c>
      <c r="BE38" s="102">
        <v>0</v>
      </c>
      <c r="BF38" s="102">
        <v>128350</v>
      </c>
      <c r="BG38" s="102">
        <v>0</v>
      </c>
      <c r="BH38" s="102">
        <v>243896</v>
      </c>
      <c r="BI38" s="102">
        <v>175703</v>
      </c>
      <c r="BJ38" s="102">
        <v>181977</v>
      </c>
      <c r="BK38" s="102">
        <v>0</v>
      </c>
      <c r="BL38" s="102">
        <v>0</v>
      </c>
      <c r="BM38" s="102">
        <v>0</v>
      </c>
      <c r="BN38" s="102">
        <v>1675513</v>
      </c>
      <c r="BO38" s="73">
        <f t="shared" si="5"/>
        <v>482500</v>
      </c>
      <c r="BP38" s="73">
        <f t="shared" si="6"/>
        <v>920013</v>
      </c>
      <c r="BQ38" s="102">
        <v>0</v>
      </c>
      <c r="BR38" s="102">
        <v>0</v>
      </c>
      <c r="BS38" s="102">
        <v>920013</v>
      </c>
      <c r="BT38" s="102">
        <v>273000</v>
      </c>
      <c r="BU38" s="102">
        <v>16770522</v>
      </c>
      <c r="BV38" s="71"/>
      <c r="BW38" s="102">
        <v>3383369</v>
      </c>
      <c r="BX38" s="102">
        <v>2189592</v>
      </c>
      <c r="BY38" s="102">
        <v>496676</v>
      </c>
      <c r="BZ38" s="102">
        <v>19614</v>
      </c>
      <c r="CA38" s="102">
        <v>3658481</v>
      </c>
      <c r="CB38" s="102">
        <v>822354</v>
      </c>
      <c r="CC38" s="102">
        <v>85555</v>
      </c>
      <c r="CD38" s="102">
        <v>1660794</v>
      </c>
      <c r="CE38" s="102">
        <v>1007077</v>
      </c>
      <c r="CF38" s="102">
        <v>4068</v>
      </c>
      <c r="CG38" s="102">
        <v>78633</v>
      </c>
      <c r="CH38" s="102">
        <v>1680561</v>
      </c>
      <c r="CI38" s="102">
        <v>1401006</v>
      </c>
      <c r="CJ38" s="83">
        <f t="shared" si="18"/>
        <v>279555</v>
      </c>
      <c r="CK38" s="102">
        <v>2228164</v>
      </c>
      <c r="CL38" s="102">
        <v>1173014</v>
      </c>
      <c r="CM38" s="102">
        <v>382188</v>
      </c>
      <c r="CN38" s="102">
        <v>365655</v>
      </c>
      <c r="CO38" s="102">
        <v>103259</v>
      </c>
      <c r="CP38" s="102">
        <v>2162269</v>
      </c>
      <c r="CQ38" s="102">
        <v>848158</v>
      </c>
      <c r="CR38" s="102">
        <v>370884</v>
      </c>
      <c r="CS38" s="102">
        <v>370884</v>
      </c>
      <c r="CT38" s="73">
        <f t="shared" si="7"/>
        <v>686542</v>
      </c>
      <c r="CU38" s="102">
        <v>397220</v>
      </c>
      <c r="CV38" s="102">
        <v>289322</v>
      </c>
      <c r="CW38" s="73">
        <f t="shared" si="8"/>
        <v>661498</v>
      </c>
      <c r="CX38" s="102">
        <v>390316</v>
      </c>
      <c r="CY38" s="102">
        <v>271182</v>
      </c>
      <c r="CZ38" s="73">
        <f t="shared" si="9"/>
        <v>0</v>
      </c>
      <c r="DA38" s="102">
        <v>0</v>
      </c>
      <c r="DB38" s="102">
        <v>0</v>
      </c>
      <c r="DC38" s="102">
        <v>1008752</v>
      </c>
      <c r="DD38" s="102">
        <v>359341</v>
      </c>
      <c r="DE38" s="102">
        <v>633140</v>
      </c>
      <c r="DF38" s="77">
        <v>16271</v>
      </c>
      <c r="DG38" s="78">
        <v>0</v>
      </c>
      <c r="DH38" s="102">
        <v>0</v>
      </c>
      <c r="DI38" s="102">
        <v>53531</v>
      </c>
      <c r="DJ38" s="102">
        <v>1742</v>
      </c>
      <c r="DK38" s="102">
        <v>30332</v>
      </c>
      <c r="DL38" s="102">
        <v>21457</v>
      </c>
      <c r="DM38" s="102">
        <v>0</v>
      </c>
      <c r="DN38" s="102">
        <v>0</v>
      </c>
      <c r="DO38" s="102">
        <v>0</v>
      </c>
      <c r="DP38" s="102">
        <v>0</v>
      </c>
      <c r="DQ38" s="102">
        <v>0</v>
      </c>
      <c r="DR38" s="102">
        <v>0</v>
      </c>
      <c r="DS38" s="102">
        <v>0</v>
      </c>
      <c r="DT38" s="102">
        <v>2280611</v>
      </c>
      <c r="DU38" s="102">
        <v>481571</v>
      </c>
      <c r="DV38" s="73">
        <f t="shared" si="10"/>
        <v>0</v>
      </c>
      <c r="DW38" s="102">
        <v>0</v>
      </c>
      <c r="DX38" s="102">
        <v>681888</v>
      </c>
      <c r="DY38" s="102">
        <v>0</v>
      </c>
      <c r="DZ38" s="102">
        <v>543805</v>
      </c>
      <c r="EA38" s="74">
        <v>0</v>
      </c>
      <c r="EB38" s="102">
        <v>573345</v>
      </c>
      <c r="EC38" s="102">
        <v>0</v>
      </c>
      <c r="ED38" s="102">
        <v>16558997</v>
      </c>
      <c r="EE38" s="71"/>
      <c r="EF38" s="102">
        <v>211525</v>
      </c>
      <c r="EG38" s="102">
        <v>4817</v>
      </c>
      <c r="EH38" s="102">
        <v>206708</v>
      </c>
      <c r="EI38" s="102">
        <v>31004</v>
      </c>
      <c r="EJ38" s="102">
        <v>5446</v>
      </c>
      <c r="EK38" s="71"/>
      <c r="EL38" s="102"/>
      <c r="EM38" s="102">
        <v>57435</v>
      </c>
      <c r="EN38" s="102">
        <v>77611</v>
      </c>
      <c r="EO38" s="102">
        <v>5111</v>
      </c>
      <c r="EP38" s="73">
        <f t="shared" si="11"/>
        <v>408995</v>
      </c>
      <c r="EQ38" s="102">
        <v>10451073</v>
      </c>
      <c r="ER38" s="71">
        <v>-1402686</v>
      </c>
      <c r="ES38" s="102">
        <v>2762478</v>
      </c>
      <c r="ET38" s="102">
        <v>1881439</v>
      </c>
      <c r="EU38" s="102">
        <v>1035701</v>
      </c>
      <c r="EV38" s="102">
        <v>1659784</v>
      </c>
      <c r="EW38" s="73">
        <f t="shared" si="12"/>
        <v>273376</v>
      </c>
      <c r="EX38" s="102">
        <v>273376</v>
      </c>
      <c r="EY38" s="102">
        <v>36393</v>
      </c>
      <c r="EZ38" s="102">
        <v>231466</v>
      </c>
      <c r="FA38" s="102">
        <v>0</v>
      </c>
      <c r="FB38" s="102">
        <v>0</v>
      </c>
      <c r="FC38" s="102">
        <v>1868588</v>
      </c>
      <c r="FD38" s="102">
        <v>1921024</v>
      </c>
      <c r="FE38" s="102">
        <v>847324</v>
      </c>
      <c r="FF38" s="102">
        <v>1974870</v>
      </c>
      <c r="FG38" s="73">
        <f t="shared" si="13"/>
        <v>146413</v>
      </c>
      <c r="FH38" s="102">
        <v>11642234</v>
      </c>
      <c r="FI38" s="379">
        <f t="shared" si="14"/>
        <v>1.9</v>
      </c>
      <c r="FJ38" s="102">
        <v>9684624</v>
      </c>
      <c r="FK38" s="102">
        <v>920013</v>
      </c>
      <c r="FL38" s="102">
        <v>4434019</v>
      </c>
      <c r="FM38" s="102">
        <v>8410287</v>
      </c>
      <c r="FN38" s="428">
        <v>0.53500000000000003</v>
      </c>
      <c r="FO38" s="424">
        <v>95.2</v>
      </c>
      <c r="FP38" s="425">
        <v>24.7</v>
      </c>
      <c r="FQ38" s="424">
        <v>9.6</v>
      </c>
      <c r="FR38" s="424">
        <v>15.4</v>
      </c>
      <c r="FS38" s="425">
        <v>16.2</v>
      </c>
      <c r="FT38" s="424">
        <v>11.2</v>
      </c>
      <c r="FU38" s="425">
        <v>17.2</v>
      </c>
      <c r="FV38" s="384">
        <f t="shared" si="15"/>
        <v>8.6999999999999993</v>
      </c>
      <c r="FW38" s="102">
        <v>16435002</v>
      </c>
      <c r="FX38" s="384">
        <f t="shared" si="16"/>
        <v>155</v>
      </c>
      <c r="FY38" s="102">
        <v>3669886</v>
      </c>
      <c r="FZ38" s="102">
        <v>2191318</v>
      </c>
      <c r="GA38" s="102">
        <v>523528</v>
      </c>
      <c r="GB38" s="102">
        <v>955040</v>
      </c>
      <c r="GC38" s="102">
        <v>210000</v>
      </c>
      <c r="GD38" s="427"/>
      <c r="GE38" s="386"/>
      <c r="GF38" s="424">
        <v>98</v>
      </c>
      <c r="GG38" s="424">
        <v>25.8</v>
      </c>
      <c r="GH38" s="424">
        <v>92.9</v>
      </c>
      <c r="GI38" s="102">
        <v>337</v>
      </c>
      <c r="GJ38" s="429" t="s">
        <v>646</v>
      </c>
      <c r="GK38" s="429">
        <v>13.24</v>
      </c>
      <c r="GL38" s="87">
        <v>20</v>
      </c>
      <c r="GM38" s="429" t="s">
        <v>646</v>
      </c>
      <c r="GN38" s="430">
        <v>18.239999999999998</v>
      </c>
      <c r="GO38" s="430">
        <v>30</v>
      </c>
      <c r="GP38" s="425">
        <v>8.6999999999999993</v>
      </c>
      <c r="GQ38" s="425">
        <v>25</v>
      </c>
      <c r="GR38" s="425">
        <v>35</v>
      </c>
      <c r="GS38" s="431">
        <v>56</v>
      </c>
      <c r="GT38" s="425">
        <v>350</v>
      </c>
      <c r="GU38" s="394"/>
      <c r="GV38" s="100">
        <f t="shared" si="17"/>
        <v>10605</v>
      </c>
      <c r="GW38" s="394"/>
      <c r="GX38" s="394"/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</row>
    <row r="39" spans="2:230" x14ac:dyDescent="0.15">
      <c r="B39" s="21" t="s">
        <v>67</v>
      </c>
      <c r="C39" s="102">
        <v>737696306</v>
      </c>
      <c r="D39" s="73">
        <f t="shared" si="0"/>
        <v>274617734</v>
      </c>
      <c r="E39" s="102">
        <v>6477016</v>
      </c>
      <c r="F39" s="102">
        <v>268140718</v>
      </c>
      <c r="G39" s="73">
        <f t="shared" si="1"/>
        <v>52611649</v>
      </c>
      <c r="H39" s="102">
        <v>12869077</v>
      </c>
      <c r="I39" s="102">
        <v>39742572</v>
      </c>
      <c r="J39" s="102">
        <v>297360601</v>
      </c>
      <c r="K39" s="102">
        <v>127882640</v>
      </c>
      <c r="L39" s="102">
        <v>125739543</v>
      </c>
      <c r="M39" s="102">
        <v>38639507</v>
      </c>
      <c r="N39" s="102">
        <v>38622584</v>
      </c>
      <c r="O39" s="102">
        <v>61912560</v>
      </c>
      <c r="P39" s="102">
        <v>34881194</v>
      </c>
      <c r="Q39" s="102">
        <v>27031366</v>
      </c>
      <c r="R39" s="102">
        <v>11129474</v>
      </c>
      <c r="S39" s="74"/>
      <c r="T39" s="73">
        <f t="shared" si="2"/>
        <v>64956292</v>
      </c>
      <c r="U39" s="102">
        <v>2966990</v>
      </c>
      <c r="V39" s="102">
        <v>4309585</v>
      </c>
      <c r="W39" s="102">
        <v>6613617</v>
      </c>
      <c r="X39" s="102">
        <v>46222451</v>
      </c>
      <c r="Y39" s="102">
        <v>702501</v>
      </c>
      <c r="Z39" s="102">
        <v>0</v>
      </c>
      <c r="AA39" s="102">
        <v>4141148</v>
      </c>
      <c r="AB39" s="102">
        <v>4106594</v>
      </c>
      <c r="AC39" s="102">
        <v>191228648</v>
      </c>
      <c r="AD39" s="102">
        <v>179364462</v>
      </c>
      <c r="AE39" s="102">
        <v>11863716</v>
      </c>
      <c r="AF39" s="102">
        <v>832633</v>
      </c>
      <c r="AG39" s="102">
        <v>20965615</v>
      </c>
      <c r="AH39" s="73">
        <f t="shared" si="3"/>
        <v>34265059</v>
      </c>
      <c r="AI39" s="102">
        <v>26581711</v>
      </c>
      <c r="AJ39" s="102">
        <v>7683348</v>
      </c>
      <c r="AK39" s="102">
        <v>353518635</v>
      </c>
      <c r="AL39" s="73">
        <f t="shared" si="4"/>
        <v>214789746</v>
      </c>
      <c r="AM39" s="102">
        <v>159126987</v>
      </c>
      <c r="AN39" s="102">
        <v>18639769</v>
      </c>
      <c r="AO39" s="74"/>
      <c r="AP39" s="102">
        <v>37022990</v>
      </c>
      <c r="AQ39" s="102">
        <v>19225048</v>
      </c>
      <c r="AR39" s="102">
        <v>58669</v>
      </c>
      <c r="AS39" s="102">
        <v>262076</v>
      </c>
      <c r="AT39" s="102">
        <v>111120971</v>
      </c>
      <c r="AU39" s="102">
        <v>70149394</v>
      </c>
      <c r="AV39" s="102">
        <v>7071613</v>
      </c>
      <c r="AW39" s="102">
        <v>5760713</v>
      </c>
      <c r="AX39" s="102">
        <v>40971577</v>
      </c>
      <c r="AY39" s="102">
        <v>2137132</v>
      </c>
      <c r="AZ39" s="102">
        <v>9679159</v>
      </c>
      <c r="BA39" s="102">
        <v>7624782</v>
      </c>
      <c r="BB39" s="102">
        <v>1456145</v>
      </c>
      <c r="BC39" s="102">
        <v>21627779</v>
      </c>
      <c r="BD39" s="102">
        <v>3799187</v>
      </c>
      <c r="BE39" s="102">
        <v>2664019</v>
      </c>
      <c r="BF39" s="102">
        <v>10780678</v>
      </c>
      <c r="BG39" s="102">
        <v>644009</v>
      </c>
      <c r="BH39" s="102">
        <v>23394010</v>
      </c>
      <c r="BI39" s="102">
        <v>14064728</v>
      </c>
      <c r="BJ39" s="102">
        <v>35555603</v>
      </c>
      <c r="BK39" s="102">
        <v>9437301</v>
      </c>
      <c r="BL39" s="102">
        <v>286067</v>
      </c>
      <c r="BM39" s="102">
        <v>4200712</v>
      </c>
      <c r="BN39" s="102">
        <v>176890157</v>
      </c>
      <c r="BO39" s="73">
        <f t="shared" si="5"/>
        <v>92753500</v>
      </c>
      <c r="BP39" s="73">
        <f t="shared" si="6"/>
        <v>82566057</v>
      </c>
      <c r="BQ39" s="102">
        <v>0</v>
      </c>
      <c r="BR39" s="102">
        <v>123000</v>
      </c>
      <c r="BS39" s="102">
        <v>82443057</v>
      </c>
      <c r="BT39" s="102">
        <v>1570600</v>
      </c>
      <c r="BU39" s="102">
        <v>1798685156</v>
      </c>
      <c r="BV39" s="71"/>
      <c r="BW39" s="102">
        <v>288963842</v>
      </c>
      <c r="BX39" s="102">
        <v>187090974</v>
      </c>
      <c r="BY39" s="102">
        <v>28689267</v>
      </c>
      <c r="BZ39" s="102">
        <v>21504817</v>
      </c>
      <c r="CA39" s="102">
        <v>513398285</v>
      </c>
      <c r="CB39" s="102">
        <v>91798192</v>
      </c>
      <c r="CC39" s="102">
        <v>9662557</v>
      </c>
      <c r="CD39" s="102">
        <v>192550163</v>
      </c>
      <c r="CE39" s="102">
        <v>208190283</v>
      </c>
      <c r="CF39" s="102">
        <v>5157338</v>
      </c>
      <c r="CG39" s="102">
        <v>6017187</v>
      </c>
      <c r="CH39" s="102">
        <v>170400433</v>
      </c>
      <c r="CI39" s="102">
        <v>148813270</v>
      </c>
      <c r="CJ39" s="83">
        <f t="shared" si="18"/>
        <v>21587163</v>
      </c>
      <c r="CK39" s="102">
        <v>193324617</v>
      </c>
      <c r="CL39" s="102">
        <v>117216776</v>
      </c>
      <c r="CM39" s="102">
        <v>13111864</v>
      </c>
      <c r="CN39" s="102">
        <v>35572728</v>
      </c>
      <c r="CO39" s="102">
        <v>14637948</v>
      </c>
      <c r="CP39" s="102">
        <v>171814445</v>
      </c>
      <c r="CQ39" s="102">
        <v>34845011</v>
      </c>
      <c r="CR39" s="102">
        <v>37043361</v>
      </c>
      <c r="CS39" s="102">
        <v>26009769</v>
      </c>
      <c r="CT39" s="73">
        <f t="shared" si="7"/>
        <v>41158663</v>
      </c>
      <c r="CU39" s="102">
        <v>25697465</v>
      </c>
      <c r="CV39" s="102">
        <v>15461198</v>
      </c>
      <c r="CW39" s="73">
        <f t="shared" si="8"/>
        <v>14916682</v>
      </c>
      <c r="CX39" s="102">
        <v>8937771</v>
      </c>
      <c r="CY39" s="102">
        <v>5978911</v>
      </c>
      <c r="CZ39" s="73">
        <f t="shared" si="9"/>
        <v>23893444</v>
      </c>
      <c r="DA39" s="102">
        <v>15868296</v>
      </c>
      <c r="DB39" s="102">
        <v>8025148</v>
      </c>
      <c r="DC39" s="102">
        <v>158982600</v>
      </c>
      <c r="DD39" s="102">
        <v>81024197</v>
      </c>
      <c r="DE39" s="102">
        <v>74966621</v>
      </c>
      <c r="DF39" s="77">
        <v>1926195</v>
      </c>
      <c r="DG39" s="78">
        <v>1061266</v>
      </c>
      <c r="DH39" s="102">
        <v>562985</v>
      </c>
      <c r="DI39" s="102">
        <v>40768423</v>
      </c>
      <c r="DJ39" s="102">
        <v>14879827</v>
      </c>
      <c r="DK39" s="102">
        <v>3802011</v>
      </c>
      <c r="DL39" s="102">
        <v>22086585</v>
      </c>
      <c r="DM39" s="102">
        <v>5425467</v>
      </c>
      <c r="DN39" s="102">
        <v>5158170</v>
      </c>
      <c r="DO39" s="102">
        <v>658412</v>
      </c>
      <c r="DP39" s="102">
        <v>3509542</v>
      </c>
      <c r="DQ39" s="102">
        <v>11017343</v>
      </c>
      <c r="DR39" s="102">
        <v>0</v>
      </c>
      <c r="DS39" s="102">
        <v>0</v>
      </c>
      <c r="DT39" s="102">
        <v>196409159</v>
      </c>
      <c r="DU39" s="102">
        <v>39782878</v>
      </c>
      <c r="DV39" s="73">
        <f t="shared" si="10"/>
        <v>0</v>
      </c>
      <c r="DW39" s="102">
        <v>0</v>
      </c>
      <c r="DX39" s="102">
        <v>52467720</v>
      </c>
      <c r="DY39" s="102">
        <v>491643</v>
      </c>
      <c r="DZ39" s="102">
        <v>52597372</v>
      </c>
      <c r="EA39" s="74">
        <v>0</v>
      </c>
      <c r="EB39" s="102">
        <v>48174067</v>
      </c>
      <c r="EC39" s="102">
        <v>0</v>
      </c>
      <c r="ED39" s="102">
        <v>1765705547</v>
      </c>
      <c r="EE39" s="71"/>
      <c r="EF39" s="102">
        <v>32979609</v>
      </c>
      <c r="EG39" s="102">
        <v>7932270</v>
      </c>
      <c r="EH39" s="102">
        <v>25047339</v>
      </c>
      <c r="EI39" s="102">
        <v>8491610</v>
      </c>
      <c r="EJ39" s="102">
        <v>23816081</v>
      </c>
      <c r="EK39" s="71"/>
      <c r="EL39" s="102"/>
      <c r="EM39" s="102">
        <v>5173428</v>
      </c>
      <c r="EN39" s="102">
        <v>10542095</v>
      </c>
      <c r="EO39" s="102">
        <v>9103561</v>
      </c>
      <c r="EP39" s="73">
        <f t="shared" si="11"/>
        <v>57818593</v>
      </c>
      <c r="EQ39" s="102">
        <v>1010212023</v>
      </c>
      <c r="ER39" s="71">
        <v>-158935597</v>
      </c>
      <c r="ES39" s="102">
        <v>266073047</v>
      </c>
      <c r="ET39" s="102">
        <v>170099067</v>
      </c>
      <c r="EU39" s="102">
        <v>148361627</v>
      </c>
      <c r="EV39" s="102">
        <v>167328212</v>
      </c>
      <c r="EW39" s="73">
        <f t="shared" si="12"/>
        <v>41371931</v>
      </c>
      <c r="EX39" s="102">
        <v>40991392</v>
      </c>
      <c r="EY39" s="102">
        <v>3330064</v>
      </c>
      <c r="EZ39" s="102">
        <v>37441039</v>
      </c>
      <c r="FA39" s="102">
        <v>380539</v>
      </c>
      <c r="FB39" s="102">
        <v>0</v>
      </c>
      <c r="FC39" s="102">
        <v>157074974</v>
      </c>
      <c r="FD39" s="102">
        <v>128946879</v>
      </c>
      <c r="FE39" s="102">
        <v>34182302</v>
      </c>
      <c r="FF39" s="102">
        <v>169792856</v>
      </c>
      <c r="FG39" s="73">
        <f t="shared" si="13"/>
        <v>57304061</v>
      </c>
      <c r="FH39" s="102">
        <v>1136253587</v>
      </c>
      <c r="FI39" s="379">
        <f t="shared" si="14"/>
        <v>2.5</v>
      </c>
      <c r="FJ39" s="102">
        <v>920568933</v>
      </c>
      <c r="FK39" s="102">
        <v>93246752</v>
      </c>
      <c r="FL39" s="102">
        <v>567899132</v>
      </c>
      <c r="FM39" s="102">
        <v>746624475</v>
      </c>
      <c r="FN39" s="428">
        <v>0.75900000000000001</v>
      </c>
      <c r="FO39" s="424">
        <v>94.5</v>
      </c>
      <c r="FP39" s="425">
        <v>25.3</v>
      </c>
      <c r="FQ39" s="424">
        <v>14.4</v>
      </c>
      <c r="FR39" s="424">
        <v>15.9</v>
      </c>
      <c r="FS39" s="425">
        <v>14.3</v>
      </c>
      <c r="FT39" s="424">
        <v>9.5</v>
      </c>
      <c r="FU39" s="425">
        <v>13.7</v>
      </c>
      <c r="FV39" s="384">
        <f t="shared" si="15"/>
        <v>6.1</v>
      </c>
      <c r="FW39" s="102">
        <v>1501291152</v>
      </c>
      <c r="FX39" s="384">
        <f t="shared" si="16"/>
        <v>148.1</v>
      </c>
      <c r="FY39" s="102">
        <v>308882696</v>
      </c>
      <c r="FZ39" s="102">
        <v>126647597</v>
      </c>
      <c r="GA39" s="102">
        <v>25650653</v>
      </c>
      <c r="GB39" s="102">
        <v>156584446</v>
      </c>
      <c r="GC39" s="102">
        <v>12046069</v>
      </c>
      <c r="GD39" s="454">
        <v>39913</v>
      </c>
      <c r="GE39" s="386">
        <f>IF(GD39=0,"-",ROUND(GD39/GW39*100,1))</f>
        <v>10.7</v>
      </c>
      <c r="GF39" s="424">
        <v>98.7</v>
      </c>
      <c r="GG39" s="424">
        <v>26.9</v>
      </c>
      <c r="GH39" s="424">
        <v>95.1</v>
      </c>
      <c r="GI39" s="102">
        <v>29275</v>
      </c>
      <c r="GJ39" s="429" t="s">
        <v>646</v>
      </c>
      <c r="GK39" s="429" t="s">
        <v>646</v>
      </c>
      <c r="GL39" s="88" t="s">
        <v>646</v>
      </c>
      <c r="GM39" s="429" t="s">
        <v>646</v>
      </c>
      <c r="GN39" s="429" t="s">
        <v>646</v>
      </c>
      <c r="GO39" s="429" t="s">
        <v>646</v>
      </c>
      <c r="GP39" s="425">
        <v>6.1</v>
      </c>
      <c r="GQ39" s="431" t="s">
        <v>646</v>
      </c>
      <c r="GR39" s="431" t="s">
        <v>646</v>
      </c>
      <c r="GS39" s="431">
        <v>19</v>
      </c>
      <c r="GT39" s="431" t="s">
        <v>646</v>
      </c>
      <c r="GU39" s="394"/>
      <c r="GV39" s="100">
        <f t="shared" si="17"/>
        <v>1013816</v>
      </c>
      <c r="GW39" s="394">
        <f>GV12+GV13+GV16+GV17+GV19+GV20+GV23+GV26+GV27+GV30+GV31+GV35+GV36</f>
        <v>372368</v>
      </c>
      <c r="GX39" s="394"/>
      <c r="GY39" s="394"/>
      <c r="GZ39" s="394"/>
      <c r="HA39" s="394"/>
      <c r="HB39" s="394"/>
      <c r="HC39" s="394"/>
      <c r="HD39" s="394"/>
      <c r="HE39" s="394"/>
      <c r="HF39" s="394"/>
      <c r="HG39" s="394"/>
      <c r="HH39" s="394"/>
      <c r="HI39" s="394"/>
      <c r="HJ39" s="394"/>
      <c r="HK39" s="394"/>
      <c r="HL39" s="394"/>
      <c r="HM39" s="394"/>
      <c r="HN39" s="394"/>
      <c r="HO39" s="394"/>
      <c r="HP39" s="394"/>
      <c r="HQ39" s="394"/>
      <c r="HR39" s="394"/>
      <c r="HS39" s="394"/>
      <c r="HT39" s="394"/>
      <c r="HU39" s="394"/>
      <c r="HV39" s="394"/>
    </row>
    <row r="40" spans="2:230" x14ac:dyDescent="0.15">
      <c r="B40" s="89" t="s">
        <v>69</v>
      </c>
      <c r="C40" s="102">
        <v>4602578</v>
      </c>
      <c r="D40" s="73">
        <f t="shared" si="0"/>
        <v>1792664</v>
      </c>
      <c r="E40" s="102">
        <v>43427</v>
      </c>
      <c r="F40" s="102">
        <v>1749237</v>
      </c>
      <c r="G40" s="73">
        <f t="shared" si="1"/>
        <v>585366</v>
      </c>
      <c r="H40" s="102">
        <v>58007</v>
      </c>
      <c r="I40" s="102">
        <v>527359</v>
      </c>
      <c r="J40" s="102">
        <v>1757193</v>
      </c>
      <c r="K40" s="102">
        <v>646421</v>
      </c>
      <c r="L40" s="102">
        <v>738154</v>
      </c>
      <c r="M40" s="102">
        <v>346315</v>
      </c>
      <c r="N40" s="102">
        <v>104332</v>
      </c>
      <c r="O40" s="102">
        <v>341994</v>
      </c>
      <c r="P40" s="102">
        <v>177059</v>
      </c>
      <c r="Q40" s="102">
        <v>164935</v>
      </c>
      <c r="R40" s="102">
        <v>52987</v>
      </c>
      <c r="S40" s="74"/>
      <c r="T40" s="73">
        <f t="shared" si="2"/>
        <v>382214</v>
      </c>
      <c r="U40" s="102">
        <v>18717</v>
      </c>
      <c r="V40" s="102">
        <v>27304</v>
      </c>
      <c r="W40" s="102">
        <v>42032</v>
      </c>
      <c r="X40" s="102">
        <v>222829</v>
      </c>
      <c r="Y40" s="102">
        <v>45261</v>
      </c>
      <c r="Z40" s="102">
        <v>0</v>
      </c>
      <c r="AA40" s="102">
        <v>26071</v>
      </c>
      <c r="AB40" s="102">
        <v>29929</v>
      </c>
      <c r="AC40" s="102">
        <v>1253112</v>
      </c>
      <c r="AD40" s="102">
        <v>1039981</v>
      </c>
      <c r="AE40" s="102">
        <v>213129</v>
      </c>
      <c r="AF40" s="102">
        <v>3564</v>
      </c>
      <c r="AG40" s="102">
        <v>82792</v>
      </c>
      <c r="AH40" s="73">
        <f t="shared" si="3"/>
        <v>323883</v>
      </c>
      <c r="AI40" s="102">
        <v>281993</v>
      </c>
      <c r="AJ40" s="102">
        <v>41890</v>
      </c>
      <c r="AK40" s="102">
        <v>1019080</v>
      </c>
      <c r="AL40" s="73">
        <f t="shared" si="4"/>
        <v>388432</v>
      </c>
      <c r="AM40" s="102">
        <v>173557</v>
      </c>
      <c r="AN40" s="102">
        <v>47542</v>
      </c>
      <c r="AO40" s="74"/>
      <c r="AP40" s="102">
        <v>167333</v>
      </c>
      <c r="AQ40" s="102">
        <v>360</v>
      </c>
      <c r="AR40" s="102">
        <v>0</v>
      </c>
      <c r="AS40" s="102">
        <v>0</v>
      </c>
      <c r="AT40" s="102">
        <v>536543</v>
      </c>
      <c r="AU40" s="102">
        <v>345237</v>
      </c>
      <c r="AV40" s="102">
        <v>27626</v>
      </c>
      <c r="AW40" s="102">
        <v>1055</v>
      </c>
      <c r="AX40" s="102">
        <v>191306</v>
      </c>
      <c r="AY40" s="102">
        <v>14228</v>
      </c>
      <c r="AZ40" s="102">
        <v>759475</v>
      </c>
      <c r="BA40" s="102">
        <v>748208</v>
      </c>
      <c r="BB40" s="102">
        <v>7967</v>
      </c>
      <c r="BC40" s="102">
        <v>30004</v>
      </c>
      <c r="BD40" s="102">
        <v>496</v>
      </c>
      <c r="BE40" s="102">
        <v>0</v>
      </c>
      <c r="BF40" s="102">
        <v>0</v>
      </c>
      <c r="BG40" s="102">
        <v>0</v>
      </c>
      <c r="BH40" s="102">
        <v>128456</v>
      </c>
      <c r="BI40" s="102">
        <v>50323</v>
      </c>
      <c r="BJ40" s="102">
        <v>116677</v>
      </c>
      <c r="BK40" s="102">
        <v>18186</v>
      </c>
      <c r="BL40" s="102">
        <v>0</v>
      </c>
      <c r="BM40" s="102">
        <v>0</v>
      </c>
      <c r="BN40" s="102">
        <v>788640</v>
      </c>
      <c r="BO40" s="73">
        <f t="shared" si="5"/>
        <v>148200</v>
      </c>
      <c r="BP40" s="73">
        <f t="shared" si="6"/>
        <v>640440</v>
      </c>
      <c r="BQ40" s="102">
        <v>0</v>
      </c>
      <c r="BR40" s="102">
        <v>0</v>
      </c>
      <c r="BS40" s="102">
        <v>640440</v>
      </c>
      <c r="BT40" s="102">
        <v>0</v>
      </c>
      <c r="BU40" s="102">
        <v>10117901</v>
      </c>
      <c r="BV40" s="71"/>
      <c r="BW40" s="102">
        <v>1974991</v>
      </c>
      <c r="BX40" s="102">
        <v>1277448</v>
      </c>
      <c r="BY40" s="102">
        <v>219876</v>
      </c>
      <c r="BZ40" s="102">
        <v>99322</v>
      </c>
      <c r="CA40" s="102">
        <v>1953321</v>
      </c>
      <c r="CB40" s="102">
        <v>531945</v>
      </c>
      <c r="CC40" s="102">
        <v>48324</v>
      </c>
      <c r="CD40" s="102">
        <v>1113998</v>
      </c>
      <c r="CE40" s="102">
        <v>226959</v>
      </c>
      <c r="CF40" s="102">
        <v>4673</v>
      </c>
      <c r="CG40" s="102">
        <v>27422</v>
      </c>
      <c r="CH40" s="102">
        <v>1229921</v>
      </c>
      <c r="CI40" s="102">
        <v>1074928</v>
      </c>
      <c r="CJ40" s="83">
        <f t="shared" si="18"/>
        <v>154993</v>
      </c>
      <c r="CK40" s="102">
        <v>1734883</v>
      </c>
      <c r="CL40" s="102">
        <v>946659</v>
      </c>
      <c r="CM40" s="102">
        <v>221635</v>
      </c>
      <c r="CN40" s="102">
        <v>309075</v>
      </c>
      <c r="CO40" s="102">
        <v>89056</v>
      </c>
      <c r="CP40" s="102">
        <v>290476</v>
      </c>
      <c r="CQ40" s="102">
        <v>1648</v>
      </c>
      <c r="CR40" s="102">
        <v>108730</v>
      </c>
      <c r="CS40" s="102">
        <v>95277</v>
      </c>
      <c r="CT40" s="73">
        <f t="shared" si="7"/>
        <v>12806</v>
      </c>
      <c r="CU40" s="102">
        <v>0</v>
      </c>
      <c r="CV40" s="102">
        <v>12806</v>
      </c>
      <c r="CW40" s="73">
        <f t="shared" si="8"/>
        <v>0</v>
      </c>
      <c r="CX40" s="102">
        <v>0</v>
      </c>
      <c r="CY40" s="102">
        <v>0</v>
      </c>
      <c r="CZ40" s="73">
        <f t="shared" si="9"/>
        <v>0</v>
      </c>
      <c r="DA40" s="102">
        <v>0</v>
      </c>
      <c r="DB40" s="102">
        <v>0</v>
      </c>
      <c r="DC40" s="102">
        <v>524833</v>
      </c>
      <c r="DD40" s="102">
        <v>137366</v>
      </c>
      <c r="DE40" s="102">
        <v>387467</v>
      </c>
      <c r="DF40" s="77">
        <v>0</v>
      </c>
      <c r="DG40" s="78">
        <v>0</v>
      </c>
      <c r="DH40" s="102">
        <v>42055</v>
      </c>
      <c r="DI40" s="102">
        <v>824342</v>
      </c>
      <c r="DJ40" s="102">
        <v>76651</v>
      </c>
      <c r="DK40" s="102">
        <v>334</v>
      </c>
      <c r="DL40" s="102">
        <v>747357</v>
      </c>
      <c r="DM40" s="102">
        <v>0</v>
      </c>
      <c r="DN40" s="102">
        <v>0</v>
      </c>
      <c r="DO40" s="102">
        <v>0</v>
      </c>
      <c r="DP40" s="102">
        <v>0</v>
      </c>
      <c r="DQ40" s="102">
        <v>17550</v>
      </c>
      <c r="DR40" s="102">
        <v>0</v>
      </c>
      <c r="DS40" s="102">
        <v>0</v>
      </c>
      <c r="DT40" s="102">
        <v>1283485</v>
      </c>
      <c r="DU40" s="102">
        <v>475000</v>
      </c>
      <c r="DV40" s="73">
        <f t="shared" si="10"/>
        <v>0</v>
      </c>
      <c r="DW40" s="102">
        <v>0</v>
      </c>
      <c r="DX40" s="102">
        <v>317789</v>
      </c>
      <c r="DY40" s="102">
        <v>0</v>
      </c>
      <c r="DZ40" s="102">
        <v>188091</v>
      </c>
      <c r="EA40" s="74">
        <v>0</v>
      </c>
      <c r="EB40" s="102">
        <v>301457</v>
      </c>
      <c r="EC40" s="102">
        <v>0</v>
      </c>
      <c r="ED40" s="102">
        <v>9964913</v>
      </c>
      <c r="EE40" s="71"/>
      <c r="EF40" s="102">
        <v>152988</v>
      </c>
      <c r="EG40" s="102">
        <v>28430</v>
      </c>
      <c r="EH40" s="102">
        <v>124558</v>
      </c>
      <c r="EI40" s="102">
        <v>74235</v>
      </c>
      <c r="EJ40" s="102">
        <v>150390</v>
      </c>
      <c r="EK40" s="71"/>
      <c r="EL40" s="102"/>
      <c r="EM40" s="102">
        <v>30881</v>
      </c>
      <c r="EN40" s="102">
        <v>28909</v>
      </c>
      <c r="EO40" s="102">
        <v>758613</v>
      </c>
      <c r="EP40" s="73">
        <f t="shared" si="11"/>
        <v>237412</v>
      </c>
      <c r="EQ40" s="102">
        <v>6324384</v>
      </c>
      <c r="ER40" s="71">
        <v>-1661810</v>
      </c>
      <c r="ES40" s="102">
        <v>1827462</v>
      </c>
      <c r="ET40" s="102">
        <v>1155326</v>
      </c>
      <c r="EU40" s="102">
        <v>753398</v>
      </c>
      <c r="EV40" s="102">
        <v>1177802</v>
      </c>
      <c r="EW40" s="73">
        <f t="shared" si="12"/>
        <v>330104</v>
      </c>
      <c r="EX40" s="102">
        <v>302149</v>
      </c>
      <c r="EY40" s="102">
        <v>16954</v>
      </c>
      <c r="EZ40" s="102">
        <v>285195</v>
      </c>
      <c r="FA40" s="102">
        <v>27955</v>
      </c>
      <c r="FB40" s="102">
        <v>0</v>
      </c>
      <c r="FC40" s="102">
        <v>1407931</v>
      </c>
      <c r="FD40" s="102">
        <v>275206</v>
      </c>
      <c r="FE40" s="102">
        <v>1648</v>
      </c>
      <c r="FF40" s="102">
        <v>1156257</v>
      </c>
      <c r="FG40" s="73">
        <f t="shared" si="13"/>
        <v>905046</v>
      </c>
      <c r="FH40" s="102">
        <v>7833206</v>
      </c>
      <c r="FI40" s="379">
        <f t="shared" si="14"/>
        <v>2</v>
      </c>
      <c r="FJ40" s="102">
        <v>5624096</v>
      </c>
      <c r="FK40" s="102">
        <v>640440</v>
      </c>
      <c r="FL40" s="102">
        <v>3512567</v>
      </c>
      <c r="FM40" s="102">
        <v>4552548</v>
      </c>
      <c r="FN40" s="428">
        <v>0.76500000000000001</v>
      </c>
      <c r="FO40" s="424">
        <v>97.4</v>
      </c>
      <c r="FP40" s="425">
        <v>27.4</v>
      </c>
      <c r="FQ40" s="424">
        <v>11.7</v>
      </c>
      <c r="FR40" s="424">
        <v>18.3</v>
      </c>
      <c r="FS40" s="425">
        <v>20.6</v>
      </c>
      <c r="FT40" s="424">
        <v>3.7</v>
      </c>
      <c r="FU40" s="425">
        <v>14.5</v>
      </c>
      <c r="FV40" s="384">
        <f t="shared" si="15"/>
        <v>9.3000000000000007</v>
      </c>
      <c r="FW40" s="102">
        <v>10744951</v>
      </c>
      <c r="FX40" s="384">
        <f t="shared" si="16"/>
        <v>171.5</v>
      </c>
      <c r="FY40" s="102">
        <v>4701178</v>
      </c>
      <c r="FZ40" s="102">
        <v>1376181</v>
      </c>
      <c r="GA40" s="102">
        <v>1245203</v>
      </c>
      <c r="GB40" s="102">
        <v>2079794</v>
      </c>
      <c r="GC40" s="102">
        <v>0</v>
      </c>
      <c r="GD40" s="427"/>
      <c r="GE40" s="386"/>
      <c r="GF40" s="424">
        <v>99.4</v>
      </c>
      <c r="GG40" s="424">
        <v>6.8</v>
      </c>
      <c r="GH40" s="424">
        <v>93.4</v>
      </c>
      <c r="GI40" s="102">
        <v>226</v>
      </c>
      <c r="GJ40" s="429" t="s">
        <v>646</v>
      </c>
      <c r="GK40" s="429">
        <v>14.33</v>
      </c>
      <c r="GL40" s="87">
        <v>20</v>
      </c>
      <c r="GM40" s="429" t="s">
        <v>646</v>
      </c>
      <c r="GN40" s="430">
        <v>19.329999999999998</v>
      </c>
      <c r="GO40" s="430">
        <v>30</v>
      </c>
      <c r="GP40" s="425">
        <v>9.3000000000000007</v>
      </c>
      <c r="GQ40" s="425">
        <v>25</v>
      </c>
      <c r="GR40" s="425">
        <v>35</v>
      </c>
      <c r="GS40" s="431" t="s">
        <v>646</v>
      </c>
      <c r="GT40" s="425">
        <v>350</v>
      </c>
      <c r="GU40" s="394"/>
      <c r="GV40" s="100">
        <f t="shared" si="17"/>
        <v>6265</v>
      </c>
      <c r="GW40" s="394"/>
      <c r="GX40" s="394"/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</row>
    <row r="41" spans="2:230" x14ac:dyDescent="0.15">
      <c r="B41" s="89" t="s">
        <v>71</v>
      </c>
      <c r="C41" s="102">
        <v>2072108</v>
      </c>
      <c r="D41" s="73">
        <f t="shared" si="0"/>
        <v>1272314</v>
      </c>
      <c r="E41" s="102">
        <v>32381</v>
      </c>
      <c r="F41" s="102">
        <v>1239933</v>
      </c>
      <c r="G41" s="73">
        <f t="shared" si="1"/>
        <v>30112</v>
      </c>
      <c r="H41" s="102">
        <v>17589</v>
      </c>
      <c r="I41" s="102">
        <v>12523</v>
      </c>
      <c r="J41" s="102">
        <v>692917</v>
      </c>
      <c r="K41" s="102">
        <v>203324</v>
      </c>
      <c r="L41" s="102">
        <v>347788</v>
      </c>
      <c r="M41" s="102">
        <v>141805</v>
      </c>
      <c r="N41" s="102">
        <v>49904</v>
      </c>
      <c r="O41" s="102">
        <v>0</v>
      </c>
      <c r="P41" s="102">
        <v>0</v>
      </c>
      <c r="Q41" s="102">
        <v>0</v>
      </c>
      <c r="R41" s="102">
        <v>58332</v>
      </c>
      <c r="S41" s="74"/>
      <c r="T41" s="73">
        <f t="shared" si="2"/>
        <v>249839</v>
      </c>
      <c r="U41" s="102">
        <v>15558</v>
      </c>
      <c r="V41" s="102">
        <v>22417</v>
      </c>
      <c r="W41" s="102">
        <v>34208</v>
      </c>
      <c r="X41" s="102">
        <v>141390</v>
      </c>
      <c r="Y41" s="102">
        <v>7570</v>
      </c>
      <c r="Z41" s="102">
        <v>0</v>
      </c>
      <c r="AA41" s="102">
        <v>28696</v>
      </c>
      <c r="AB41" s="102">
        <v>6468</v>
      </c>
      <c r="AC41" s="102">
        <v>2109570</v>
      </c>
      <c r="AD41" s="102">
        <v>1781860</v>
      </c>
      <c r="AE41" s="102">
        <v>327708</v>
      </c>
      <c r="AF41" s="102">
        <v>3564</v>
      </c>
      <c r="AG41" s="102">
        <v>152826</v>
      </c>
      <c r="AH41" s="73">
        <f t="shared" si="3"/>
        <v>80791</v>
      </c>
      <c r="AI41" s="102">
        <v>66446</v>
      </c>
      <c r="AJ41" s="102">
        <v>14345</v>
      </c>
      <c r="AK41" s="102">
        <v>392119</v>
      </c>
      <c r="AL41" s="73">
        <f t="shared" si="4"/>
        <v>77363</v>
      </c>
      <c r="AM41" s="102">
        <v>0</v>
      </c>
      <c r="AN41" s="102">
        <v>0</v>
      </c>
      <c r="AO41" s="74"/>
      <c r="AP41" s="102">
        <v>77363</v>
      </c>
      <c r="AQ41" s="102">
        <v>55899</v>
      </c>
      <c r="AR41" s="102">
        <v>3809</v>
      </c>
      <c r="AS41" s="102">
        <v>0</v>
      </c>
      <c r="AT41" s="102">
        <v>456790</v>
      </c>
      <c r="AU41" s="102">
        <v>253312</v>
      </c>
      <c r="AV41" s="102">
        <v>364</v>
      </c>
      <c r="AW41" s="102">
        <v>93149</v>
      </c>
      <c r="AX41" s="102">
        <v>203478</v>
      </c>
      <c r="AY41" s="102">
        <v>27880</v>
      </c>
      <c r="AZ41" s="102">
        <v>8449</v>
      </c>
      <c r="BA41" s="102">
        <v>3266</v>
      </c>
      <c r="BB41" s="102">
        <v>7278</v>
      </c>
      <c r="BC41" s="102">
        <v>223214</v>
      </c>
      <c r="BD41" s="102">
        <v>0</v>
      </c>
      <c r="BE41" s="102">
        <v>0</v>
      </c>
      <c r="BF41" s="102">
        <v>214005</v>
      </c>
      <c r="BG41" s="102">
        <v>0</v>
      </c>
      <c r="BH41" s="102">
        <v>215019</v>
      </c>
      <c r="BI41" s="102">
        <v>150667</v>
      </c>
      <c r="BJ41" s="102">
        <v>89495</v>
      </c>
      <c r="BK41" s="102">
        <v>4580</v>
      </c>
      <c r="BL41" s="102">
        <v>0</v>
      </c>
      <c r="BM41" s="102">
        <v>0</v>
      </c>
      <c r="BN41" s="102">
        <v>636424</v>
      </c>
      <c r="BO41" s="73">
        <f t="shared" si="5"/>
        <v>203600</v>
      </c>
      <c r="BP41" s="73">
        <f t="shared" si="6"/>
        <v>432824</v>
      </c>
      <c r="BQ41" s="102">
        <v>0</v>
      </c>
      <c r="BR41" s="102">
        <v>0</v>
      </c>
      <c r="BS41" s="102">
        <v>432824</v>
      </c>
      <c r="BT41" s="102">
        <v>0</v>
      </c>
      <c r="BU41" s="102">
        <v>6762286</v>
      </c>
      <c r="BV41" s="71"/>
      <c r="BW41" s="102">
        <v>2034224</v>
      </c>
      <c r="BX41" s="102">
        <v>1232895</v>
      </c>
      <c r="BY41" s="102">
        <v>184964</v>
      </c>
      <c r="BZ41" s="102">
        <v>226980</v>
      </c>
      <c r="CA41" s="102">
        <v>486979</v>
      </c>
      <c r="CB41" s="102">
        <v>208593</v>
      </c>
      <c r="CC41" s="102">
        <v>34896</v>
      </c>
      <c r="CD41" s="102">
        <v>236894</v>
      </c>
      <c r="CE41" s="102">
        <v>0</v>
      </c>
      <c r="CF41" s="102">
        <v>127</v>
      </c>
      <c r="CG41" s="102">
        <v>6469</v>
      </c>
      <c r="CH41" s="102">
        <v>555670</v>
      </c>
      <c r="CI41" s="102">
        <v>473998</v>
      </c>
      <c r="CJ41" s="83">
        <f t="shared" si="18"/>
        <v>81672</v>
      </c>
      <c r="CK41" s="102">
        <v>788872</v>
      </c>
      <c r="CL41" s="102">
        <v>375329</v>
      </c>
      <c r="CM41" s="102">
        <v>45102</v>
      </c>
      <c r="CN41" s="102">
        <v>227806</v>
      </c>
      <c r="CO41" s="102">
        <v>133717</v>
      </c>
      <c r="CP41" s="102">
        <v>634045</v>
      </c>
      <c r="CQ41" s="102">
        <v>322291</v>
      </c>
      <c r="CR41" s="102">
        <v>87909</v>
      </c>
      <c r="CS41" s="102">
        <v>71173</v>
      </c>
      <c r="CT41" s="73">
        <f t="shared" si="7"/>
        <v>89508</v>
      </c>
      <c r="CU41" s="102">
        <v>60710</v>
      </c>
      <c r="CV41" s="102">
        <v>28798</v>
      </c>
      <c r="CW41" s="73">
        <f t="shared" si="8"/>
        <v>0</v>
      </c>
      <c r="CX41" s="102">
        <v>0</v>
      </c>
      <c r="CY41" s="102">
        <v>0</v>
      </c>
      <c r="CZ41" s="73">
        <f t="shared" si="9"/>
        <v>0</v>
      </c>
      <c r="DA41" s="102">
        <v>0</v>
      </c>
      <c r="DB41" s="102">
        <v>0</v>
      </c>
      <c r="DC41" s="102">
        <v>814698</v>
      </c>
      <c r="DD41" s="102">
        <v>426796</v>
      </c>
      <c r="DE41" s="102">
        <v>387902</v>
      </c>
      <c r="DF41" s="77">
        <v>0</v>
      </c>
      <c r="DG41" s="78">
        <v>0</v>
      </c>
      <c r="DH41" s="102">
        <v>14145</v>
      </c>
      <c r="DI41" s="102">
        <v>309914</v>
      </c>
      <c r="DJ41" s="102">
        <v>101800</v>
      </c>
      <c r="DK41" s="102">
        <v>0</v>
      </c>
      <c r="DL41" s="102">
        <v>208114</v>
      </c>
      <c r="DM41" s="102">
        <v>0</v>
      </c>
      <c r="DN41" s="102">
        <v>0</v>
      </c>
      <c r="DO41" s="102">
        <v>0</v>
      </c>
      <c r="DP41" s="102">
        <v>0</v>
      </c>
      <c r="DQ41" s="102">
        <v>3576</v>
      </c>
      <c r="DR41" s="102">
        <v>0</v>
      </c>
      <c r="DS41" s="102">
        <v>0</v>
      </c>
      <c r="DT41" s="102">
        <v>723708</v>
      </c>
      <c r="DU41" s="102">
        <v>107467</v>
      </c>
      <c r="DV41" s="73">
        <f t="shared" si="10"/>
        <v>0</v>
      </c>
      <c r="DW41" s="102">
        <v>0</v>
      </c>
      <c r="DX41" s="102">
        <v>271807</v>
      </c>
      <c r="DY41" s="102">
        <v>0</v>
      </c>
      <c r="DZ41" s="102">
        <v>103440</v>
      </c>
      <c r="EA41" s="74">
        <v>0</v>
      </c>
      <c r="EB41" s="102">
        <v>223247</v>
      </c>
      <c r="EC41" s="102">
        <v>0</v>
      </c>
      <c r="ED41" s="102">
        <v>6499548</v>
      </c>
      <c r="EE41" s="71"/>
      <c r="EF41" s="102">
        <v>262738</v>
      </c>
      <c r="EG41" s="102">
        <v>99253</v>
      </c>
      <c r="EH41" s="102">
        <v>163485</v>
      </c>
      <c r="EI41" s="102">
        <v>12818</v>
      </c>
      <c r="EJ41" s="102">
        <v>114618</v>
      </c>
      <c r="EK41" s="71"/>
      <c r="EL41" s="102"/>
      <c r="EM41" s="102">
        <v>21823</v>
      </c>
      <c r="EN41" s="102">
        <v>9210</v>
      </c>
      <c r="EO41" s="102">
        <v>3266</v>
      </c>
      <c r="EP41" s="73">
        <f t="shared" si="11"/>
        <v>240950</v>
      </c>
      <c r="EQ41" s="102">
        <v>4499881</v>
      </c>
      <c r="ER41" s="71">
        <v>-682686</v>
      </c>
      <c r="ES41" s="102">
        <v>1778442</v>
      </c>
      <c r="ET41" s="102">
        <v>1057535</v>
      </c>
      <c r="EU41" s="102">
        <v>135183</v>
      </c>
      <c r="EV41" s="102">
        <v>555670</v>
      </c>
      <c r="EW41" s="73">
        <f t="shared" si="12"/>
        <v>140335</v>
      </c>
      <c r="EX41" s="102">
        <v>135299</v>
      </c>
      <c r="EY41" s="102">
        <v>16029</v>
      </c>
      <c r="EZ41" s="102">
        <v>119270</v>
      </c>
      <c r="FA41" s="102">
        <v>5036</v>
      </c>
      <c r="FB41" s="102">
        <v>0</v>
      </c>
      <c r="FC41" s="102">
        <v>686877</v>
      </c>
      <c r="FD41" s="102">
        <v>571454</v>
      </c>
      <c r="FE41" s="102">
        <v>322291</v>
      </c>
      <c r="FF41" s="102">
        <v>652462</v>
      </c>
      <c r="FG41" s="73">
        <f t="shared" si="13"/>
        <v>399406</v>
      </c>
      <c r="FH41" s="102">
        <v>4919829</v>
      </c>
      <c r="FI41" s="379">
        <f t="shared" si="14"/>
        <v>3.5</v>
      </c>
      <c r="FJ41" s="102">
        <v>4195783</v>
      </c>
      <c r="FK41" s="102">
        <v>432824</v>
      </c>
      <c r="FL41" s="102">
        <v>1887301</v>
      </c>
      <c r="FM41" s="102">
        <v>3669161</v>
      </c>
      <c r="FN41" s="428">
        <v>0.53900000000000003</v>
      </c>
      <c r="FO41" s="424">
        <v>91</v>
      </c>
      <c r="FP41" s="425">
        <v>37</v>
      </c>
      <c r="FQ41" s="424">
        <v>2.9</v>
      </c>
      <c r="FR41" s="424">
        <v>12.1</v>
      </c>
      <c r="FS41" s="425">
        <v>13.3</v>
      </c>
      <c r="FT41" s="424">
        <v>11</v>
      </c>
      <c r="FU41" s="425">
        <v>12.5</v>
      </c>
      <c r="FV41" s="384">
        <f t="shared" si="15"/>
        <v>6.2</v>
      </c>
      <c r="FW41" s="102">
        <v>6089163</v>
      </c>
      <c r="FX41" s="384">
        <f t="shared" si="16"/>
        <v>131.6</v>
      </c>
      <c r="FY41" s="102">
        <v>3035640</v>
      </c>
      <c r="FZ41" s="102">
        <v>2020936</v>
      </c>
      <c r="GA41" s="102">
        <v>677</v>
      </c>
      <c r="GB41" s="102">
        <v>1014027</v>
      </c>
      <c r="GC41" s="102">
        <v>113400</v>
      </c>
      <c r="GD41" s="427"/>
      <c r="GE41" s="386"/>
      <c r="GF41" s="424">
        <v>99</v>
      </c>
      <c r="GG41" s="424">
        <v>29.2</v>
      </c>
      <c r="GH41" s="424">
        <v>97.1</v>
      </c>
      <c r="GI41" s="102">
        <v>201</v>
      </c>
      <c r="GJ41" s="429" t="s">
        <v>646</v>
      </c>
      <c r="GK41" s="429">
        <v>15</v>
      </c>
      <c r="GL41" s="87">
        <v>20</v>
      </c>
      <c r="GM41" s="429" t="s">
        <v>646</v>
      </c>
      <c r="GN41" s="430">
        <v>20</v>
      </c>
      <c r="GO41" s="430">
        <v>30</v>
      </c>
      <c r="GP41" s="425">
        <v>6.2</v>
      </c>
      <c r="GQ41" s="425">
        <v>25</v>
      </c>
      <c r="GR41" s="425">
        <v>35</v>
      </c>
      <c r="GS41" s="431">
        <v>26</v>
      </c>
      <c r="GT41" s="425">
        <v>350</v>
      </c>
      <c r="GU41" s="394"/>
      <c r="GV41" s="100">
        <f t="shared" si="17"/>
        <v>4629</v>
      </c>
      <c r="GW41" s="394"/>
      <c r="GX41" s="394"/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</row>
    <row r="42" spans="2:230" x14ac:dyDescent="0.15">
      <c r="B42" s="89" t="s">
        <v>73</v>
      </c>
      <c r="C42" s="102">
        <v>1262959</v>
      </c>
      <c r="D42" s="73">
        <f t="shared" si="0"/>
        <v>451607</v>
      </c>
      <c r="E42" s="102">
        <v>16054</v>
      </c>
      <c r="F42" s="102">
        <v>435553</v>
      </c>
      <c r="G42" s="73">
        <f t="shared" si="1"/>
        <v>40620</v>
      </c>
      <c r="H42" s="102">
        <v>21191</v>
      </c>
      <c r="I42" s="102">
        <v>19429</v>
      </c>
      <c r="J42" s="102">
        <v>672634</v>
      </c>
      <c r="K42" s="102">
        <v>126811</v>
      </c>
      <c r="L42" s="102">
        <v>243338</v>
      </c>
      <c r="M42" s="102">
        <v>302351</v>
      </c>
      <c r="N42" s="102">
        <v>59237</v>
      </c>
      <c r="O42" s="102">
        <v>0</v>
      </c>
      <c r="P42" s="102">
        <v>0</v>
      </c>
      <c r="Q42" s="102">
        <v>0</v>
      </c>
      <c r="R42" s="102">
        <v>60534</v>
      </c>
      <c r="S42" s="74"/>
      <c r="T42" s="73">
        <f t="shared" si="2"/>
        <v>181117</v>
      </c>
      <c r="U42" s="102">
        <v>5318</v>
      </c>
      <c r="V42" s="102">
        <v>7695</v>
      </c>
      <c r="W42" s="102">
        <v>11778</v>
      </c>
      <c r="X42" s="102">
        <v>98633</v>
      </c>
      <c r="Y42" s="102">
        <v>27960</v>
      </c>
      <c r="Z42" s="102">
        <v>0</v>
      </c>
      <c r="AA42" s="102">
        <v>29733</v>
      </c>
      <c r="AB42" s="102">
        <v>1688</v>
      </c>
      <c r="AC42" s="102">
        <v>1852161</v>
      </c>
      <c r="AD42" s="102">
        <v>1557051</v>
      </c>
      <c r="AE42" s="102">
        <v>295108</v>
      </c>
      <c r="AF42" s="102">
        <v>2129</v>
      </c>
      <c r="AG42" s="102">
        <v>12790</v>
      </c>
      <c r="AH42" s="73">
        <f t="shared" si="3"/>
        <v>92683</v>
      </c>
      <c r="AI42" s="102">
        <v>53005</v>
      </c>
      <c r="AJ42" s="102">
        <v>39678</v>
      </c>
      <c r="AK42" s="102">
        <v>298813</v>
      </c>
      <c r="AL42" s="73">
        <f t="shared" si="4"/>
        <v>87213</v>
      </c>
      <c r="AM42" s="102">
        <v>0</v>
      </c>
      <c r="AN42" s="102">
        <v>35</v>
      </c>
      <c r="AO42" s="74"/>
      <c r="AP42" s="102">
        <v>87178</v>
      </c>
      <c r="AQ42" s="102">
        <v>84539</v>
      </c>
      <c r="AR42" s="102">
        <v>0</v>
      </c>
      <c r="AS42" s="102">
        <v>0</v>
      </c>
      <c r="AT42" s="102">
        <v>281538</v>
      </c>
      <c r="AU42" s="102">
        <v>98123</v>
      </c>
      <c r="AV42" s="102">
        <v>17</v>
      </c>
      <c r="AW42" s="102">
        <v>0</v>
      </c>
      <c r="AX42" s="102">
        <v>183415</v>
      </c>
      <c r="AY42" s="102">
        <v>0</v>
      </c>
      <c r="AZ42" s="102">
        <v>9764</v>
      </c>
      <c r="BA42" s="102">
        <v>0</v>
      </c>
      <c r="BB42" s="102">
        <v>1763</v>
      </c>
      <c r="BC42" s="102">
        <v>92842</v>
      </c>
      <c r="BD42" s="102">
        <v>30000</v>
      </c>
      <c r="BE42" s="102">
        <v>0</v>
      </c>
      <c r="BF42" s="102">
        <v>56593</v>
      </c>
      <c r="BG42" s="102">
        <v>0</v>
      </c>
      <c r="BH42" s="102">
        <v>298279</v>
      </c>
      <c r="BI42" s="102">
        <v>188563</v>
      </c>
      <c r="BJ42" s="102">
        <v>61393</v>
      </c>
      <c r="BK42" s="102">
        <v>0</v>
      </c>
      <c r="BL42" s="102">
        <v>0</v>
      </c>
      <c r="BM42" s="102">
        <v>0</v>
      </c>
      <c r="BN42" s="102">
        <v>358723</v>
      </c>
      <c r="BO42" s="73">
        <f t="shared" si="5"/>
        <v>109100</v>
      </c>
      <c r="BP42" s="73">
        <f t="shared" si="6"/>
        <v>249623</v>
      </c>
      <c r="BQ42" s="102">
        <v>0</v>
      </c>
      <c r="BR42" s="102">
        <v>0</v>
      </c>
      <c r="BS42" s="102">
        <v>249623</v>
      </c>
      <c r="BT42" s="102">
        <v>0</v>
      </c>
      <c r="BU42" s="102">
        <v>4869176</v>
      </c>
      <c r="BV42" s="71"/>
      <c r="BW42" s="102">
        <v>1099752</v>
      </c>
      <c r="BX42" s="102">
        <v>620478</v>
      </c>
      <c r="BY42" s="102">
        <v>45519</v>
      </c>
      <c r="BZ42" s="102">
        <v>170102</v>
      </c>
      <c r="CA42" s="102">
        <v>407538</v>
      </c>
      <c r="CB42" s="102">
        <v>218694</v>
      </c>
      <c r="CC42" s="102">
        <v>22881</v>
      </c>
      <c r="CD42" s="102">
        <v>149703</v>
      </c>
      <c r="CE42" s="102">
        <v>0</v>
      </c>
      <c r="CF42" s="102">
        <v>5293</v>
      </c>
      <c r="CG42" s="102">
        <v>10967</v>
      </c>
      <c r="CH42" s="102">
        <v>343516</v>
      </c>
      <c r="CI42" s="102">
        <v>287600</v>
      </c>
      <c r="CJ42" s="83">
        <f t="shared" si="18"/>
        <v>55916</v>
      </c>
      <c r="CK42" s="102">
        <v>685588</v>
      </c>
      <c r="CL42" s="102">
        <v>403565</v>
      </c>
      <c r="CM42" s="102">
        <v>21559</v>
      </c>
      <c r="CN42" s="102">
        <v>139010</v>
      </c>
      <c r="CO42" s="102">
        <v>21096</v>
      </c>
      <c r="CP42" s="102">
        <v>606589</v>
      </c>
      <c r="CQ42" s="102">
        <v>176682</v>
      </c>
      <c r="CR42" s="102">
        <v>126839</v>
      </c>
      <c r="CS42" s="102">
        <v>97240</v>
      </c>
      <c r="CT42" s="73">
        <f t="shared" si="7"/>
        <v>198556</v>
      </c>
      <c r="CU42" s="102">
        <v>3197</v>
      </c>
      <c r="CV42" s="102">
        <v>195359</v>
      </c>
      <c r="CW42" s="73">
        <f t="shared" si="8"/>
        <v>0</v>
      </c>
      <c r="CX42" s="102">
        <v>0</v>
      </c>
      <c r="CY42" s="102">
        <v>0</v>
      </c>
      <c r="CZ42" s="73">
        <f t="shared" si="9"/>
        <v>0</v>
      </c>
      <c r="DA42" s="102">
        <v>0</v>
      </c>
      <c r="DB42" s="102">
        <v>0</v>
      </c>
      <c r="DC42" s="102">
        <v>404300</v>
      </c>
      <c r="DD42" s="102">
        <v>148942</v>
      </c>
      <c r="DE42" s="102">
        <v>254246</v>
      </c>
      <c r="DF42" s="77">
        <v>1112</v>
      </c>
      <c r="DG42" s="78">
        <v>0</v>
      </c>
      <c r="DH42" s="102">
        <v>18131</v>
      </c>
      <c r="DI42" s="102">
        <v>260333</v>
      </c>
      <c r="DJ42" s="102">
        <v>206360</v>
      </c>
      <c r="DK42" s="102">
        <v>0</v>
      </c>
      <c r="DL42" s="102">
        <v>53973</v>
      </c>
      <c r="DM42" s="102">
        <v>0</v>
      </c>
      <c r="DN42" s="102">
        <v>0</v>
      </c>
      <c r="DO42" s="102">
        <v>0</v>
      </c>
      <c r="DP42" s="102">
        <v>0</v>
      </c>
      <c r="DQ42" s="102">
        <v>0</v>
      </c>
      <c r="DR42" s="102">
        <v>0</v>
      </c>
      <c r="DS42" s="102">
        <v>0</v>
      </c>
      <c r="DT42" s="102">
        <v>683416</v>
      </c>
      <c r="DU42" s="102">
        <v>194000</v>
      </c>
      <c r="DV42" s="73">
        <f t="shared" si="10"/>
        <v>0</v>
      </c>
      <c r="DW42" s="102">
        <v>0</v>
      </c>
      <c r="DX42" s="102">
        <v>197867</v>
      </c>
      <c r="DY42" s="102">
        <v>0</v>
      </c>
      <c r="DZ42" s="102">
        <v>98090</v>
      </c>
      <c r="EA42" s="74">
        <v>0</v>
      </c>
      <c r="EB42" s="102">
        <v>160572</v>
      </c>
      <c r="EC42" s="102">
        <v>0</v>
      </c>
      <c r="ED42" s="102">
        <v>4530259</v>
      </c>
      <c r="EE42" s="71"/>
      <c r="EF42" s="102">
        <v>338917</v>
      </c>
      <c r="EG42" s="102">
        <v>56262</v>
      </c>
      <c r="EH42" s="102">
        <v>282655</v>
      </c>
      <c r="EI42" s="102">
        <v>94092</v>
      </c>
      <c r="EJ42" s="102">
        <v>270452</v>
      </c>
      <c r="EK42" s="71"/>
      <c r="EL42" s="102"/>
      <c r="EM42" s="102">
        <v>11504</v>
      </c>
      <c r="EN42" s="102">
        <v>78249</v>
      </c>
      <c r="EO42" s="102">
        <v>1560</v>
      </c>
      <c r="EP42" s="73">
        <f t="shared" si="11"/>
        <v>318908</v>
      </c>
      <c r="EQ42" s="102">
        <v>3360588</v>
      </c>
      <c r="ER42" s="71">
        <v>-646211</v>
      </c>
      <c r="ES42" s="102">
        <v>1037181</v>
      </c>
      <c r="ET42" s="102">
        <v>578353</v>
      </c>
      <c r="EU42" s="102">
        <v>143446</v>
      </c>
      <c r="EV42" s="102">
        <v>343516</v>
      </c>
      <c r="EW42" s="73">
        <f t="shared" si="12"/>
        <v>163880</v>
      </c>
      <c r="EX42" s="102">
        <v>158349</v>
      </c>
      <c r="EY42" s="102">
        <v>4123</v>
      </c>
      <c r="EZ42" s="102">
        <v>154226</v>
      </c>
      <c r="FA42" s="102">
        <v>5531</v>
      </c>
      <c r="FB42" s="102">
        <v>0</v>
      </c>
      <c r="FC42" s="102">
        <v>556929</v>
      </c>
      <c r="FD42" s="102">
        <v>543865</v>
      </c>
      <c r="FE42" s="102">
        <v>176682</v>
      </c>
      <c r="FF42" s="102">
        <v>613038</v>
      </c>
      <c r="FG42" s="73">
        <f t="shared" si="13"/>
        <v>266027</v>
      </c>
      <c r="FH42" s="102">
        <v>3667882</v>
      </c>
      <c r="FI42" s="379">
        <f t="shared" si="14"/>
        <v>8.6</v>
      </c>
      <c r="FJ42" s="102">
        <v>3047765</v>
      </c>
      <c r="FK42" s="102">
        <v>249623</v>
      </c>
      <c r="FL42" s="102">
        <v>1164665</v>
      </c>
      <c r="FM42" s="102">
        <v>2714653</v>
      </c>
      <c r="FN42" s="428">
        <v>0.436</v>
      </c>
      <c r="FO42" s="424">
        <v>92.1</v>
      </c>
      <c r="FP42" s="425">
        <v>29.6</v>
      </c>
      <c r="FQ42" s="424">
        <v>4.3</v>
      </c>
      <c r="FR42" s="424">
        <v>10.3</v>
      </c>
      <c r="FS42" s="425">
        <v>14.8</v>
      </c>
      <c r="FT42" s="424">
        <v>15.3</v>
      </c>
      <c r="FU42" s="425">
        <v>17.3</v>
      </c>
      <c r="FV42" s="384">
        <f t="shared" si="15"/>
        <v>12</v>
      </c>
      <c r="FW42" s="102">
        <v>4425177</v>
      </c>
      <c r="FX42" s="384">
        <f t="shared" si="16"/>
        <v>134.19999999999999</v>
      </c>
      <c r="FY42" s="102">
        <v>4227635</v>
      </c>
      <c r="FZ42" s="102">
        <v>3359311</v>
      </c>
      <c r="GA42" s="102">
        <v>0</v>
      </c>
      <c r="GB42" s="102">
        <v>868324</v>
      </c>
      <c r="GC42" s="102">
        <v>0</v>
      </c>
      <c r="GD42" s="427"/>
      <c r="GE42" s="386"/>
      <c r="GF42" s="424">
        <v>98.7</v>
      </c>
      <c r="GG42" s="424">
        <v>18.100000000000001</v>
      </c>
      <c r="GH42" s="424">
        <v>92.4</v>
      </c>
      <c r="GI42" s="102">
        <v>111</v>
      </c>
      <c r="GJ42" s="429" t="s">
        <v>646</v>
      </c>
      <c r="GK42" s="429">
        <v>15</v>
      </c>
      <c r="GL42" s="87">
        <v>20</v>
      </c>
      <c r="GM42" s="429" t="s">
        <v>646</v>
      </c>
      <c r="GN42" s="430">
        <v>20</v>
      </c>
      <c r="GO42" s="430">
        <v>30</v>
      </c>
      <c r="GP42" s="425">
        <v>12</v>
      </c>
      <c r="GQ42" s="425">
        <v>25</v>
      </c>
      <c r="GR42" s="425">
        <v>35</v>
      </c>
      <c r="GS42" s="431">
        <v>49.9</v>
      </c>
      <c r="GT42" s="425">
        <v>350</v>
      </c>
      <c r="GU42" s="394"/>
      <c r="GV42" s="100">
        <f t="shared" si="17"/>
        <v>3297</v>
      </c>
      <c r="GW42" s="394"/>
      <c r="GX42" s="394"/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</row>
    <row r="43" spans="2:230" x14ac:dyDescent="0.15">
      <c r="B43" s="89" t="s">
        <v>75</v>
      </c>
      <c r="C43" s="102">
        <v>2309924</v>
      </c>
      <c r="D43" s="73">
        <f t="shared" si="0"/>
        <v>678761</v>
      </c>
      <c r="E43" s="102">
        <v>21065</v>
      </c>
      <c r="F43" s="102">
        <v>657696</v>
      </c>
      <c r="G43" s="73">
        <f t="shared" si="1"/>
        <v>205681</v>
      </c>
      <c r="H43" s="102">
        <v>47929</v>
      </c>
      <c r="I43" s="102">
        <v>157752</v>
      </c>
      <c r="J43" s="102">
        <v>1057591</v>
      </c>
      <c r="K43" s="102">
        <v>528757</v>
      </c>
      <c r="L43" s="102">
        <v>382819</v>
      </c>
      <c r="M43" s="102">
        <v>135506</v>
      </c>
      <c r="N43" s="102">
        <v>116231</v>
      </c>
      <c r="O43" s="102">
        <v>225105</v>
      </c>
      <c r="P43" s="102">
        <v>141101</v>
      </c>
      <c r="Q43" s="102">
        <v>84004</v>
      </c>
      <c r="R43" s="102">
        <v>33133</v>
      </c>
      <c r="S43" s="74"/>
      <c r="T43" s="73">
        <f t="shared" si="2"/>
        <v>216968</v>
      </c>
      <c r="U43" s="102">
        <v>7371</v>
      </c>
      <c r="V43" s="102">
        <v>10730</v>
      </c>
      <c r="W43" s="102">
        <v>16494</v>
      </c>
      <c r="X43" s="102">
        <v>166073</v>
      </c>
      <c r="Y43" s="102">
        <v>0</v>
      </c>
      <c r="Z43" s="102">
        <v>0</v>
      </c>
      <c r="AA43" s="102">
        <v>16300</v>
      </c>
      <c r="AB43" s="102">
        <v>18544</v>
      </c>
      <c r="AC43" s="102">
        <v>1735615</v>
      </c>
      <c r="AD43" s="102">
        <v>1446330</v>
      </c>
      <c r="AE43" s="102">
        <v>289284</v>
      </c>
      <c r="AF43" s="102">
        <v>3504</v>
      </c>
      <c r="AG43" s="102">
        <v>878</v>
      </c>
      <c r="AH43" s="73">
        <f t="shared" si="3"/>
        <v>236757</v>
      </c>
      <c r="AI43" s="102">
        <v>191116</v>
      </c>
      <c r="AJ43" s="102">
        <v>45641</v>
      </c>
      <c r="AK43" s="102">
        <v>1057244</v>
      </c>
      <c r="AL43" s="73">
        <f t="shared" si="4"/>
        <v>130190</v>
      </c>
      <c r="AM43" s="102">
        <v>0</v>
      </c>
      <c r="AN43" s="102">
        <v>31390</v>
      </c>
      <c r="AO43" s="74"/>
      <c r="AP43" s="102">
        <v>98800</v>
      </c>
      <c r="AQ43" s="102">
        <v>260281</v>
      </c>
      <c r="AR43" s="102">
        <v>0</v>
      </c>
      <c r="AS43" s="102">
        <v>0</v>
      </c>
      <c r="AT43" s="102">
        <v>388995</v>
      </c>
      <c r="AU43" s="102">
        <v>123544</v>
      </c>
      <c r="AV43" s="102">
        <v>15696</v>
      </c>
      <c r="AW43" s="102">
        <v>0</v>
      </c>
      <c r="AX43" s="102">
        <v>265451</v>
      </c>
      <c r="AY43" s="102">
        <v>4565</v>
      </c>
      <c r="AZ43" s="102">
        <v>21830</v>
      </c>
      <c r="BA43" s="102">
        <v>0</v>
      </c>
      <c r="BB43" s="102">
        <v>1730</v>
      </c>
      <c r="BC43" s="102">
        <v>13058</v>
      </c>
      <c r="BD43" s="102">
        <v>0</v>
      </c>
      <c r="BE43" s="102">
        <v>0</v>
      </c>
      <c r="BF43" s="102">
        <v>3979</v>
      </c>
      <c r="BG43" s="102">
        <v>0</v>
      </c>
      <c r="BH43" s="102">
        <v>326984</v>
      </c>
      <c r="BI43" s="102">
        <v>312597</v>
      </c>
      <c r="BJ43" s="102">
        <v>92586</v>
      </c>
      <c r="BK43" s="102">
        <v>0</v>
      </c>
      <c r="BL43" s="102">
        <v>0</v>
      </c>
      <c r="BM43" s="102">
        <v>0</v>
      </c>
      <c r="BN43" s="102">
        <v>1140215</v>
      </c>
      <c r="BO43" s="73">
        <f t="shared" si="5"/>
        <v>600400</v>
      </c>
      <c r="BP43" s="73">
        <f t="shared" si="6"/>
        <v>368315</v>
      </c>
      <c r="BQ43" s="102">
        <v>0</v>
      </c>
      <c r="BR43" s="102">
        <v>0</v>
      </c>
      <c r="BS43" s="102">
        <v>368315</v>
      </c>
      <c r="BT43" s="102">
        <v>171500</v>
      </c>
      <c r="BU43" s="102">
        <v>7597965</v>
      </c>
      <c r="BV43" s="71"/>
      <c r="BW43" s="102">
        <v>1374620</v>
      </c>
      <c r="BX43" s="102">
        <v>847842</v>
      </c>
      <c r="BY43" s="102">
        <v>238175</v>
      </c>
      <c r="BZ43" s="102">
        <v>11609</v>
      </c>
      <c r="CA43" s="102">
        <v>938964</v>
      </c>
      <c r="CB43" s="102">
        <v>291937</v>
      </c>
      <c r="CC43" s="102">
        <v>29432</v>
      </c>
      <c r="CD43" s="102">
        <v>600648</v>
      </c>
      <c r="CE43" s="102">
        <v>0</v>
      </c>
      <c r="CF43" s="102">
        <v>0</v>
      </c>
      <c r="CG43" s="102">
        <v>16947</v>
      </c>
      <c r="CH43" s="102">
        <v>932505</v>
      </c>
      <c r="CI43" s="102">
        <v>795325</v>
      </c>
      <c r="CJ43" s="83">
        <f t="shared" si="18"/>
        <v>137180</v>
      </c>
      <c r="CK43" s="102">
        <v>1327571</v>
      </c>
      <c r="CL43" s="102">
        <v>958291</v>
      </c>
      <c r="CM43" s="102">
        <v>113230</v>
      </c>
      <c r="CN43" s="102">
        <v>144772</v>
      </c>
      <c r="CO43" s="102">
        <v>62938</v>
      </c>
      <c r="CP43" s="102">
        <v>175112</v>
      </c>
      <c r="CQ43" s="102">
        <v>1934</v>
      </c>
      <c r="CR43" s="102">
        <v>46514</v>
      </c>
      <c r="CS43" s="102">
        <v>22795</v>
      </c>
      <c r="CT43" s="73">
        <f t="shared" si="7"/>
        <v>28664</v>
      </c>
      <c r="CU43" s="102">
        <v>28664</v>
      </c>
      <c r="CV43" s="102">
        <v>0</v>
      </c>
      <c r="CW43" s="73">
        <f t="shared" si="8"/>
        <v>28362</v>
      </c>
      <c r="CX43" s="102">
        <v>28362</v>
      </c>
      <c r="CY43" s="102">
        <v>0</v>
      </c>
      <c r="CZ43" s="73">
        <f t="shared" si="9"/>
        <v>0</v>
      </c>
      <c r="DA43" s="102">
        <v>0</v>
      </c>
      <c r="DB43" s="102">
        <v>0</v>
      </c>
      <c r="DC43" s="102">
        <v>1128469</v>
      </c>
      <c r="DD43" s="102">
        <v>686653</v>
      </c>
      <c r="DE43" s="102">
        <v>441816</v>
      </c>
      <c r="DF43" s="77">
        <v>0</v>
      </c>
      <c r="DG43" s="78">
        <v>0</v>
      </c>
      <c r="DH43" s="102">
        <v>6502</v>
      </c>
      <c r="DI43" s="102">
        <v>372368</v>
      </c>
      <c r="DJ43" s="102">
        <v>160000</v>
      </c>
      <c r="DK43" s="102">
        <v>0</v>
      </c>
      <c r="DL43" s="102">
        <v>212368</v>
      </c>
      <c r="DM43" s="102">
        <v>0</v>
      </c>
      <c r="DN43" s="102">
        <v>0</v>
      </c>
      <c r="DO43" s="102">
        <v>0</v>
      </c>
      <c r="DP43" s="102">
        <v>0</v>
      </c>
      <c r="DQ43" s="102">
        <v>0</v>
      </c>
      <c r="DR43" s="102">
        <v>0</v>
      </c>
      <c r="DS43" s="102">
        <v>0</v>
      </c>
      <c r="DT43" s="102">
        <v>1030479</v>
      </c>
      <c r="DU43" s="102">
        <v>429917</v>
      </c>
      <c r="DV43" s="73">
        <f t="shared" si="10"/>
        <v>0</v>
      </c>
      <c r="DW43" s="102">
        <v>0</v>
      </c>
      <c r="DX43" s="102">
        <v>239249</v>
      </c>
      <c r="DY43" s="102">
        <v>0</v>
      </c>
      <c r="DZ43" s="102">
        <v>174285</v>
      </c>
      <c r="EA43" s="74">
        <v>0</v>
      </c>
      <c r="EB43" s="102">
        <v>187028</v>
      </c>
      <c r="EC43" s="102">
        <v>0</v>
      </c>
      <c r="ED43" s="102">
        <v>7349528</v>
      </c>
      <c r="EE43" s="71"/>
      <c r="EF43" s="102">
        <v>248437</v>
      </c>
      <c r="EG43" s="102">
        <v>0</v>
      </c>
      <c r="EH43" s="102">
        <v>248437</v>
      </c>
      <c r="EI43" s="102">
        <v>-64160</v>
      </c>
      <c r="EJ43" s="102">
        <v>95840</v>
      </c>
      <c r="EK43" s="71"/>
      <c r="EL43" s="102"/>
      <c r="EM43" s="102">
        <v>17888</v>
      </c>
      <c r="EN43" s="102">
        <v>1765</v>
      </c>
      <c r="EO43" s="102">
        <v>21830</v>
      </c>
      <c r="EP43" s="73">
        <f t="shared" si="11"/>
        <v>791668</v>
      </c>
      <c r="EQ43" s="102">
        <v>4317688</v>
      </c>
      <c r="ER43" s="71">
        <v>-1180074</v>
      </c>
      <c r="ES43" s="102">
        <v>1098964</v>
      </c>
      <c r="ET43" s="102">
        <v>766742</v>
      </c>
      <c r="EU43" s="102">
        <v>325817</v>
      </c>
      <c r="EV43" s="102">
        <v>902372</v>
      </c>
      <c r="EW43" s="73">
        <f t="shared" si="12"/>
        <v>262699</v>
      </c>
      <c r="EX43" s="102">
        <v>256197</v>
      </c>
      <c r="EY43" s="102">
        <v>4901</v>
      </c>
      <c r="EZ43" s="102">
        <v>251296</v>
      </c>
      <c r="FA43" s="102">
        <v>6502</v>
      </c>
      <c r="FB43" s="102">
        <v>0</v>
      </c>
      <c r="FC43" s="102">
        <v>1141677</v>
      </c>
      <c r="FD43" s="102">
        <v>164318</v>
      </c>
      <c r="FE43" s="102">
        <v>1934</v>
      </c>
      <c r="FF43" s="102">
        <v>921706</v>
      </c>
      <c r="FG43" s="73">
        <f t="shared" si="13"/>
        <v>431772</v>
      </c>
      <c r="FH43" s="102">
        <v>5249325</v>
      </c>
      <c r="FI43" s="379">
        <f t="shared" si="14"/>
        <v>6</v>
      </c>
      <c r="FJ43" s="102">
        <v>3745487</v>
      </c>
      <c r="FK43" s="102">
        <v>368315</v>
      </c>
      <c r="FL43" s="102">
        <v>1770155</v>
      </c>
      <c r="FM43" s="102">
        <v>3216485</v>
      </c>
      <c r="FN43" s="428">
        <v>0.55700000000000005</v>
      </c>
      <c r="FO43" s="424">
        <v>104.3</v>
      </c>
      <c r="FP43" s="425">
        <v>26</v>
      </c>
      <c r="FQ43" s="424">
        <v>7.7</v>
      </c>
      <c r="FR43" s="424">
        <v>21.4</v>
      </c>
      <c r="FS43" s="425">
        <v>23.8</v>
      </c>
      <c r="FT43" s="424">
        <v>3.3</v>
      </c>
      <c r="FU43" s="425">
        <v>20.7</v>
      </c>
      <c r="FV43" s="384">
        <f t="shared" si="15"/>
        <v>18.5</v>
      </c>
      <c r="FW43" s="102">
        <v>8951651</v>
      </c>
      <c r="FX43" s="384">
        <f t="shared" si="16"/>
        <v>217.6</v>
      </c>
      <c r="FY43" s="102">
        <v>1039036</v>
      </c>
      <c r="FZ43" s="102">
        <v>615024</v>
      </c>
      <c r="GA43" s="102">
        <v>0</v>
      </c>
      <c r="GB43" s="102">
        <v>424012</v>
      </c>
      <c r="GC43" s="102">
        <v>0</v>
      </c>
      <c r="GD43" s="427"/>
      <c r="GE43" s="386"/>
      <c r="GF43" s="424">
        <v>98.7</v>
      </c>
      <c r="GG43" s="424">
        <v>19.8</v>
      </c>
      <c r="GH43" s="424">
        <v>93.8</v>
      </c>
      <c r="GI43" s="102">
        <v>153</v>
      </c>
      <c r="GJ43" s="429" t="s">
        <v>646</v>
      </c>
      <c r="GK43" s="429">
        <v>15</v>
      </c>
      <c r="GL43" s="87">
        <v>20</v>
      </c>
      <c r="GM43" s="429" t="s">
        <v>646</v>
      </c>
      <c r="GN43" s="430">
        <v>20</v>
      </c>
      <c r="GO43" s="430">
        <v>30</v>
      </c>
      <c r="GP43" s="425">
        <v>18.5</v>
      </c>
      <c r="GQ43" s="425">
        <v>25</v>
      </c>
      <c r="GR43" s="425">
        <v>35</v>
      </c>
      <c r="GS43" s="431">
        <v>136.19999999999999</v>
      </c>
      <c r="GT43" s="425">
        <v>350</v>
      </c>
      <c r="GU43" s="394"/>
      <c r="GV43" s="100">
        <f t="shared" si="17"/>
        <v>4114</v>
      </c>
      <c r="GW43" s="394"/>
      <c r="GX43" s="394"/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</row>
    <row r="44" spans="2:230" x14ac:dyDescent="0.15">
      <c r="B44" s="89" t="s">
        <v>77</v>
      </c>
      <c r="C44" s="102">
        <v>4286747</v>
      </c>
      <c r="D44" s="73">
        <f t="shared" si="0"/>
        <v>2249025</v>
      </c>
      <c r="E44" s="102">
        <v>59693</v>
      </c>
      <c r="F44" s="102">
        <v>2189332</v>
      </c>
      <c r="G44" s="73">
        <f t="shared" si="1"/>
        <v>128632</v>
      </c>
      <c r="H44" s="102">
        <v>49420</v>
      </c>
      <c r="I44" s="102">
        <v>79212</v>
      </c>
      <c r="J44" s="102">
        <v>1661002</v>
      </c>
      <c r="K44" s="102">
        <v>607915</v>
      </c>
      <c r="L44" s="102">
        <v>815016</v>
      </c>
      <c r="M44" s="102">
        <v>226218</v>
      </c>
      <c r="N44" s="102">
        <v>173581</v>
      </c>
      <c r="O44" s="102">
        <v>0</v>
      </c>
      <c r="P44" s="102">
        <v>0</v>
      </c>
      <c r="Q44" s="102">
        <v>0</v>
      </c>
      <c r="R44" s="102">
        <v>91582</v>
      </c>
      <c r="S44" s="74"/>
      <c r="T44" s="73">
        <f t="shared" si="2"/>
        <v>518706</v>
      </c>
      <c r="U44" s="102">
        <v>24618</v>
      </c>
      <c r="V44" s="102">
        <v>35746</v>
      </c>
      <c r="W44" s="102">
        <v>54846</v>
      </c>
      <c r="X44" s="102">
        <v>345530</v>
      </c>
      <c r="Y44" s="102">
        <v>12894</v>
      </c>
      <c r="Z44" s="102">
        <v>0</v>
      </c>
      <c r="AA44" s="102">
        <v>45072</v>
      </c>
      <c r="AB44" s="102">
        <v>38814</v>
      </c>
      <c r="AC44" s="102">
        <v>2086324</v>
      </c>
      <c r="AD44" s="102">
        <v>1882140</v>
      </c>
      <c r="AE44" s="102">
        <v>204181</v>
      </c>
      <c r="AF44" s="102">
        <v>7138</v>
      </c>
      <c r="AG44" s="102">
        <v>4576</v>
      </c>
      <c r="AH44" s="73">
        <f t="shared" si="3"/>
        <v>397604</v>
      </c>
      <c r="AI44" s="102">
        <v>305044</v>
      </c>
      <c r="AJ44" s="102">
        <v>92560</v>
      </c>
      <c r="AK44" s="102">
        <v>1124143</v>
      </c>
      <c r="AL44" s="73">
        <f t="shared" si="4"/>
        <v>320502</v>
      </c>
      <c r="AM44" s="102">
        <v>0</v>
      </c>
      <c r="AN44" s="102">
        <v>98891</v>
      </c>
      <c r="AO44" s="74"/>
      <c r="AP44" s="102">
        <v>221611</v>
      </c>
      <c r="AQ44" s="102">
        <v>4577</v>
      </c>
      <c r="AR44" s="102">
        <v>0</v>
      </c>
      <c r="AS44" s="102">
        <v>0</v>
      </c>
      <c r="AT44" s="102">
        <v>881230</v>
      </c>
      <c r="AU44" s="102">
        <v>471417</v>
      </c>
      <c r="AV44" s="102">
        <v>49445</v>
      </c>
      <c r="AW44" s="102">
        <v>61715</v>
      </c>
      <c r="AX44" s="102">
        <v>409813</v>
      </c>
      <c r="AY44" s="102">
        <v>7315</v>
      </c>
      <c r="AZ44" s="102">
        <v>14444</v>
      </c>
      <c r="BA44" s="102">
        <v>5895</v>
      </c>
      <c r="BB44" s="102">
        <v>1175</v>
      </c>
      <c r="BC44" s="102">
        <v>1014927</v>
      </c>
      <c r="BD44" s="102">
        <v>294156</v>
      </c>
      <c r="BE44" s="102">
        <v>0</v>
      </c>
      <c r="BF44" s="102">
        <v>199071</v>
      </c>
      <c r="BG44" s="102">
        <v>0</v>
      </c>
      <c r="BH44" s="102">
        <v>363689</v>
      </c>
      <c r="BI44" s="102">
        <v>290591</v>
      </c>
      <c r="BJ44" s="102">
        <v>305320</v>
      </c>
      <c r="BK44" s="102">
        <v>0</v>
      </c>
      <c r="BL44" s="102">
        <v>0</v>
      </c>
      <c r="BM44" s="102">
        <v>0</v>
      </c>
      <c r="BN44" s="102">
        <v>933500</v>
      </c>
      <c r="BO44" s="73">
        <f t="shared" si="5"/>
        <v>216500</v>
      </c>
      <c r="BP44" s="73">
        <f t="shared" si="6"/>
        <v>717000</v>
      </c>
      <c r="BQ44" s="102">
        <v>0</v>
      </c>
      <c r="BR44" s="102">
        <v>0</v>
      </c>
      <c r="BS44" s="102">
        <v>717000</v>
      </c>
      <c r="BT44" s="102">
        <v>0</v>
      </c>
      <c r="BU44" s="102">
        <v>12069919</v>
      </c>
      <c r="BV44" s="71"/>
      <c r="BW44" s="102">
        <v>2556619</v>
      </c>
      <c r="BX44" s="102">
        <v>1568906</v>
      </c>
      <c r="BY44" s="102">
        <v>291512</v>
      </c>
      <c r="BZ44" s="102">
        <v>203277</v>
      </c>
      <c r="CA44" s="102">
        <v>1994388</v>
      </c>
      <c r="CB44" s="102">
        <v>555001</v>
      </c>
      <c r="CC44" s="102">
        <v>75488</v>
      </c>
      <c r="CD44" s="102">
        <v>1314886</v>
      </c>
      <c r="CE44" s="102">
        <v>0</v>
      </c>
      <c r="CF44" s="102">
        <v>4656</v>
      </c>
      <c r="CG44" s="102">
        <v>44357</v>
      </c>
      <c r="CH44" s="102">
        <v>1324419</v>
      </c>
      <c r="CI44" s="102">
        <v>1204713</v>
      </c>
      <c r="CJ44" s="83">
        <f t="shared" si="18"/>
        <v>119706</v>
      </c>
      <c r="CK44" s="102">
        <v>1865209</v>
      </c>
      <c r="CL44" s="102">
        <v>1018124</v>
      </c>
      <c r="CM44" s="102">
        <v>171247</v>
      </c>
      <c r="CN44" s="102">
        <v>382538</v>
      </c>
      <c r="CO44" s="102">
        <v>159998</v>
      </c>
      <c r="CP44" s="102">
        <v>949602</v>
      </c>
      <c r="CQ44" s="102">
        <v>425249</v>
      </c>
      <c r="CR44" s="102">
        <v>359541</v>
      </c>
      <c r="CS44" s="102">
        <v>201275</v>
      </c>
      <c r="CT44" s="73">
        <f t="shared" si="7"/>
        <v>8968</v>
      </c>
      <c r="CU44" s="102">
        <v>7316</v>
      </c>
      <c r="CV44" s="102">
        <v>1652</v>
      </c>
      <c r="CW44" s="73">
        <f t="shared" si="8"/>
        <v>0</v>
      </c>
      <c r="CX44" s="102">
        <v>0</v>
      </c>
      <c r="CY44" s="102">
        <v>0</v>
      </c>
      <c r="CZ44" s="73">
        <f t="shared" si="9"/>
        <v>0</v>
      </c>
      <c r="DA44" s="102">
        <v>0</v>
      </c>
      <c r="DB44" s="102">
        <v>0</v>
      </c>
      <c r="DC44" s="102">
        <v>790144</v>
      </c>
      <c r="DD44" s="102">
        <v>331947</v>
      </c>
      <c r="DE44" s="102">
        <v>457840</v>
      </c>
      <c r="DF44" s="77">
        <v>357</v>
      </c>
      <c r="DG44" s="78">
        <v>0</v>
      </c>
      <c r="DH44" s="102">
        <v>14294</v>
      </c>
      <c r="DI44" s="102">
        <v>786325</v>
      </c>
      <c r="DJ44" s="102">
        <v>259616</v>
      </c>
      <c r="DK44" s="102">
        <v>246</v>
      </c>
      <c r="DL44" s="102">
        <v>526463</v>
      </c>
      <c r="DM44" s="102">
        <v>9000</v>
      </c>
      <c r="DN44" s="102">
        <v>9000</v>
      </c>
      <c r="DO44" s="102">
        <v>9000</v>
      </c>
      <c r="DP44" s="102">
        <v>0</v>
      </c>
      <c r="DQ44" s="102">
        <v>0</v>
      </c>
      <c r="DR44" s="102">
        <v>0</v>
      </c>
      <c r="DS44" s="102">
        <v>0</v>
      </c>
      <c r="DT44" s="102">
        <v>1431991</v>
      </c>
      <c r="DU44" s="102">
        <v>312300</v>
      </c>
      <c r="DV44" s="73">
        <f t="shared" si="10"/>
        <v>0</v>
      </c>
      <c r="DW44" s="102">
        <v>0</v>
      </c>
      <c r="DX44" s="102">
        <v>449580</v>
      </c>
      <c r="DY44" s="102">
        <v>0</v>
      </c>
      <c r="DZ44" s="102">
        <v>263862</v>
      </c>
      <c r="EA44" s="74">
        <v>0</v>
      </c>
      <c r="EB44" s="102">
        <v>405122</v>
      </c>
      <c r="EC44" s="102">
        <v>0</v>
      </c>
      <c r="ED44" s="102">
        <v>11881989</v>
      </c>
      <c r="EE44" s="71"/>
      <c r="EF44" s="102">
        <v>187930</v>
      </c>
      <c r="EG44" s="102">
        <v>121142</v>
      </c>
      <c r="EH44" s="102">
        <v>66788</v>
      </c>
      <c r="EI44" s="102">
        <v>-223803</v>
      </c>
      <c r="EJ44" s="102">
        <v>-258343</v>
      </c>
      <c r="EK44" s="71"/>
      <c r="EL44" s="102"/>
      <c r="EM44" s="102">
        <v>44450</v>
      </c>
      <c r="EN44" s="102">
        <v>935608</v>
      </c>
      <c r="EO44" s="102">
        <v>11115</v>
      </c>
      <c r="EP44" s="73">
        <f t="shared" si="11"/>
        <v>598767</v>
      </c>
      <c r="EQ44" s="102">
        <v>7029311</v>
      </c>
      <c r="ER44" s="71">
        <v>-2255352</v>
      </c>
      <c r="ES44" s="102">
        <v>2332335</v>
      </c>
      <c r="ET44" s="102">
        <v>1388362</v>
      </c>
      <c r="EU44" s="102">
        <v>726556</v>
      </c>
      <c r="EV44" s="102">
        <v>1300592</v>
      </c>
      <c r="EW44" s="73">
        <f t="shared" si="12"/>
        <v>271634</v>
      </c>
      <c r="EX44" s="102">
        <v>270659</v>
      </c>
      <c r="EY44" s="102">
        <v>1838</v>
      </c>
      <c r="EZ44" s="102">
        <v>268464</v>
      </c>
      <c r="FA44" s="102">
        <v>975</v>
      </c>
      <c r="FB44" s="102">
        <v>0</v>
      </c>
      <c r="FC44" s="102">
        <v>1521453</v>
      </c>
      <c r="FD44" s="102">
        <v>783367</v>
      </c>
      <c r="FE44" s="102">
        <v>425249</v>
      </c>
      <c r="FF44" s="102">
        <v>1260661</v>
      </c>
      <c r="FG44" s="73">
        <f t="shared" si="13"/>
        <v>900135</v>
      </c>
      <c r="FH44" s="102">
        <v>9096733</v>
      </c>
      <c r="FI44" s="379">
        <f t="shared" si="14"/>
        <v>0.9</v>
      </c>
      <c r="FJ44" s="102">
        <v>6835267</v>
      </c>
      <c r="FK44" s="102">
        <v>717877</v>
      </c>
      <c r="FL44" s="102">
        <v>3839982</v>
      </c>
      <c r="FM44" s="102">
        <v>6014782</v>
      </c>
      <c r="FN44" s="428">
        <v>0.63300000000000001</v>
      </c>
      <c r="FO44" s="424">
        <v>98.7</v>
      </c>
      <c r="FP44" s="425">
        <v>28.3</v>
      </c>
      <c r="FQ44" s="424">
        <v>9.4</v>
      </c>
      <c r="FR44" s="424">
        <v>16.899999999999999</v>
      </c>
      <c r="FS44" s="425">
        <v>18</v>
      </c>
      <c r="FT44" s="424">
        <v>9.3000000000000007</v>
      </c>
      <c r="FU44" s="425">
        <v>15.1</v>
      </c>
      <c r="FV44" s="384">
        <f t="shared" si="15"/>
        <v>9</v>
      </c>
      <c r="FW44" s="102">
        <v>8705274</v>
      </c>
      <c r="FX44" s="384">
        <f t="shared" si="16"/>
        <v>115.3</v>
      </c>
      <c r="FY44" s="102">
        <v>4232048</v>
      </c>
      <c r="FZ44" s="102">
        <v>1302618</v>
      </c>
      <c r="GA44" s="102">
        <v>613830</v>
      </c>
      <c r="GB44" s="102">
        <v>2315600</v>
      </c>
      <c r="GC44" s="102">
        <v>777763</v>
      </c>
      <c r="GD44" s="427">
        <v>778</v>
      </c>
      <c r="GE44" s="386">
        <f>IF(GD44=0,"-",ROUND(GD44/(GV44)*100,1))</f>
        <v>10.3</v>
      </c>
      <c r="GF44" s="424">
        <v>98.6</v>
      </c>
      <c r="GG44" s="424">
        <v>26.7</v>
      </c>
      <c r="GH44" s="424">
        <v>94.9</v>
      </c>
      <c r="GI44" s="102">
        <v>282</v>
      </c>
      <c r="GJ44" s="429" t="s">
        <v>646</v>
      </c>
      <c r="GK44" s="429">
        <v>13.87</v>
      </c>
      <c r="GL44" s="87">
        <v>20</v>
      </c>
      <c r="GM44" s="429" t="s">
        <v>646</v>
      </c>
      <c r="GN44" s="430">
        <v>18.87</v>
      </c>
      <c r="GO44" s="430">
        <v>30</v>
      </c>
      <c r="GP44" s="425">
        <v>9</v>
      </c>
      <c r="GQ44" s="425">
        <v>25</v>
      </c>
      <c r="GR44" s="425">
        <v>35</v>
      </c>
      <c r="GS44" s="431">
        <v>11.7</v>
      </c>
      <c r="GT44" s="425">
        <v>350</v>
      </c>
      <c r="GU44" s="394"/>
      <c r="GV44" s="100">
        <f t="shared" si="17"/>
        <v>7553</v>
      </c>
      <c r="GW44" s="394"/>
      <c r="GX44" s="394"/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</row>
    <row r="45" spans="2:230" x14ac:dyDescent="0.15">
      <c r="B45" s="89" t="s">
        <v>79</v>
      </c>
      <c r="C45" s="102">
        <v>4113267</v>
      </c>
      <c r="D45" s="73">
        <f t="shared" si="0"/>
        <v>350804</v>
      </c>
      <c r="E45" s="102">
        <v>10239</v>
      </c>
      <c r="F45" s="102">
        <v>340565</v>
      </c>
      <c r="G45" s="73">
        <f t="shared" si="1"/>
        <v>327722</v>
      </c>
      <c r="H45" s="102">
        <v>44955</v>
      </c>
      <c r="I45" s="102">
        <v>282767</v>
      </c>
      <c r="J45" s="102">
        <v>3007069</v>
      </c>
      <c r="K45" s="102">
        <v>1497437</v>
      </c>
      <c r="L45" s="102">
        <v>715289</v>
      </c>
      <c r="M45" s="102">
        <v>753775</v>
      </c>
      <c r="N45" s="102">
        <v>415714</v>
      </c>
      <c r="O45" s="102">
        <v>0</v>
      </c>
      <c r="P45" s="102">
        <v>0</v>
      </c>
      <c r="Q45" s="102">
        <v>0</v>
      </c>
      <c r="R45" s="102">
        <v>46503</v>
      </c>
      <c r="S45" s="74"/>
      <c r="T45" s="73">
        <f t="shared" si="2"/>
        <v>121346</v>
      </c>
      <c r="U45" s="102">
        <v>3731</v>
      </c>
      <c r="V45" s="102">
        <v>5424</v>
      </c>
      <c r="W45" s="102">
        <v>8330</v>
      </c>
      <c r="X45" s="102">
        <v>95804</v>
      </c>
      <c r="Y45" s="102">
        <v>0</v>
      </c>
      <c r="Z45" s="102">
        <v>0</v>
      </c>
      <c r="AA45" s="102">
        <v>8057</v>
      </c>
      <c r="AB45" s="102">
        <v>7975</v>
      </c>
      <c r="AC45" s="102">
        <v>5509</v>
      </c>
      <c r="AD45" s="102">
        <v>0</v>
      </c>
      <c r="AE45" s="102">
        <v>5508</v>
      </c>
      <c r="AF45" s="102">
        <v>1249</v>
      </c>
      <c r="AG45" s="102">
        <v>1217</v>
      </c>
      <c r="AH45" s="73">
        <f t="shared" si="3"/>
        <v>117593</v>
      </c>
      <c r="AI45" s="102">
        <v>103239</v>
      </c>
      <c r="AJ45" s="102">
        <v>14354</v>
      </c>
      <c r="AK45" s="102">
        <v>221449</v>
      </c>
      <c r="AL45" s="73">
        <f t="shared" si="4"/>
        <v>82983</v>
      </c>
      <c r="AM45" s="102">
        <v>0</v>
      </c>
      <c r="AN45" s="102">
        <v>0</v>
      </c>
      <c r="AO45" s="74"/>
      <c r="AP45" s="102">
        <v>82983</v>
      </c>
      <c r="AQ45" s="102">
        <v>3618</v>
      </c>
      <c r="AR45" s="102">
        <v>0</v>
      </c>
      <c r="AS45" s="102">
        <v>0</v>
      </c>
      <c r="AT45" s="102">
        <v>189700</v>
      </c>
      <c r="AU45" s="102">
        <v>121833</v>
      </c>
      <c r="AV45" s="102">
        <v>0</v>
      </c>
      <c r="AW45" s="102">
        <v>0</v>
      </c>
      <c r="AX45" s="102">
        <v>67867</v>
      </c>
      <c r="AY45" s="102">
        <v>0</v>
      </c>
      <c r="AZ45" s="102">
        <v>10098</v>
      </c>
      <c r="BA45" s="102">
        <v>0</v>
      </c>
      <c r="BB45" s="102">
        <v>120</v>
      </c>
      <c r="BC45" s="102">
        <v>3947</v>
      </c>
      <c r="BD45" s="102">
        <v>0</v>
      </c>
      <c r="BE45" s="102">
        <v>0</v>
      </c>
      <c r="BF45" s="102">
        <v>3947</v>
      </c>
      <c r="BG45" s="102">
        <v>0</v>
      </c>
      <c r="BH45" s="102">
        <v>319113</v>
      </c>
      <c r="BI45" s="102">
        <v>285113</v>
      </c>
      <c r="BJ45" s="102">
        <v>82054</v>
      </c>
      <c r="BK45" s="102">
        <v>0</v>
      </c>
      <c r="BL45" s="102">
        <v>0</v>
      </c>
      <c r="BM45" s="102">
        <v>0</v>
      </c>
      <c r="BN45" s="102">
        <v>0</v>
      </c>
      <c r="BO45" s="73">
        <f t="shared" si="5"/>
        <v>0</v>
      </c>
      <c r="BP45" s="73">
        <f t="shared" si="6"/>
        <v>0</v>
      </c>
      <c r="BQ45" s="102">
        <v>0</v>
      </c>
      <c r="BR45" s="102">
        <v>0</v>
      </c>
      <c r="BS45" s="102">
        <v>0</v>
      </c>
      <c r="BT45" s="102">
        <v>0</v>
      </c>
      <c r="BU45" s="102">
        <v>5241140</v>
      </c>
      <c r="BV45" s="71"/>
      <c r="BW45" s="102">
        <v>1169738</v>
      </c>
      <c r="BX45" s="102">
        <v>645991</v>
      </c>
      <c r="BY45" s="102">
        <v>98927</v>
      </c>
      <c r="BZ45" s="102">
        <v>165498</v>
      </c>
      <c r="CA45" s="102">
        <v>434848</v>
      </c>
      <c r="CB45" s="102">
        <v>175134</v>
      </c>
      <c r="CC45" s="102">
        <v>19275</v>
      </c>
      <c r="CD45" s="102">
        <v>226956</v>
      </c>
      <c r="CE45" s="102">
        <v>0</v>
      </c>
      <c r="CF45" s="102">
        <v>1199</v>
      </c>
      <c r="CG45" s="102">
        <v>12284</v>
      </c>
      <c r="CH45" s="102">
        <v>367019</v>
      </c>
      <c r="CI45" s="102">
        <v>330203</v>
      </c>
      <c r="CJ45" s="83">
        <f t="shared" si="18"/>
        <v>36816</v>
      </c>
      <c r="CK45" s="102">
        <v>473766</v>
      </c>
      <c r="CL45" s="102">
        <v>266406</v>
      </c>
      <c r="CM45" s="102">
        <v>10991</v>
      </c>
      <c r="CN45" s="102">
        <v>149000</v>
      </c>
      <c r="CO45" s="102">
        <v>15587</v>
      </c>
      <c r="CP45" s="102">
        <v>1015210</v>
      </c>
      <c r="CQ45" s="102">
        <v>318410</v>
      </c>
      <c r="CR45" s="102">
        <v>34764</v>
      </c>
      <c r="CS45" s="102">
        <v>34764</v>
      </c>
      <c r="CT45" s="73">
        <f t="shared" si="7"/>
        <v>6434</v>
      </c>
      <c r="CU45" s="102">
        <v>0</v>
      </c>
      <c r="CV45" s="102">
        <v>6434</v>
      </c>
      <c r="CW45" s="73">
        <f t="shared" si="8"/>
        <v>0</v>
      </c>
      <c r="CX45" s="102">
        <v>0</v>
      </c>
      <c r="CY45" s="102">
        <v>0</v>
      </c>
      <c r="CZ45" s="73">
        <f t="shared" si="9"/>
        <v>0</v>
      </c>
      <c r="DA45" s="102">
        <v>0</v>
      </c>
      <c r="DB45" s="102">
        <v>0</v>
      </c>
      <c r="DC45" s="102">
        <v>101117</v>
      </c>
      <c r="DD45" s="102">
        <v>13396</v>
      </c>
      <c r="DE45" s="102">
        <v>87721</v>
      </c>
      <c r="DF45" s="77">
        <v>0</v>
      </c>
      <c r="DG45" s="78">
        <v>0</v>
      </c>
      <c r="DH45" s="102">
        <v>0</v>
      </c>
      <c r="DI45" s="102">
        <v>637768</v>
      </c>
      <c r="DJ45" s="102">
        <v>531653</v>
      </c>
      <c r="DK45" s="102">
        <v>100462</v>
      </c>
      <c r="DL45" s="102">
        <v>5653</v>
      </c>
      <c r="DM45" s="102">
        <v>0</v>
      </c>
      <c r="DN45" s="102">
        <v>0</v>
      </c>
      <c r="DO45" s="102">
        <v>0</v>
      </c>
      <c r="DP45" s="102">
        <v>0</v>
      </c>
      <c r="DQ45" s="102">
        <v>0</v>
      </c>
      <c r="DR45" s="102">
        <v>0</v>
      </c>
      <c r="DS45" s="102">
        <v>0</v>
      </c>
      <c r="DT45" s="102">
        <v>801940</v>
      </c>
      <c r="DU45" s="102">
        <v>489494</v>
      </c>
      <c r="DV45" s="73">
        <f t="shared" si="10"/>
        <v>0</v>
      </c>
      <c r="DW45" s="102">
        <v>0</v>
      </c>
      <c r="DX45" s="102">
        <v>116467</v>
      </c>
      <c r="DY45" s="102">
        <v>0</v>
      </c>
      <c r="DZ45" s="102">
        <v>86342</v>
      </c>
      <c r="EA45" s="74">
        <v>0</v>
      </c>
      <c r="EB45" s="102">
        <v>109637</v>
      </c>
      <c r="EC45" s="102">
        <v>0</v>
      </c>
      <c r="ED45" s="102">
        <v>5016993</v>
      </c>
      <c r="EE45" s="71"/>
      <c r="EF45" s="102">
        <v>224147</v>
      </c>
      <c r="EG45" s="102">
        <v>19054</v>
      </c>
      <c r="EH45" s="102">
        <v>205093</v>
      </c>
      <c r="EI45" s="102">
        <v>-80020</v>
      </c>
      <c r="EJ45" s="102">
        <v>451633</v>
      </c>
      <c r="EK45" s="71"/>
      <c r="EL45" s="102"/>
      <c r="EM45" s="102">
        <v>8551</v>
      </c>
      <c r="EN45" s="102">
        <v>0</v>
      </c>
      <c r="EO45" s="102">
        <v>2</v>
      </c>
      <c r="EP45" s="73">
        <f t="shared" si="11"/>
        <v>336175</v>
      </c>
      <c r="EQ45" s="102">
        <v>4295849</v>
      </c>
      <c r="ER45" s="71">
        <v>-334928</v>
      </c>
      <c r="ES45" s="102">
        <v>1061007</v>
      </c>
      <c r="ET45" s="102">
        <v>562465</v>
      </c>
      <c r="EU45" s="102">
        <v>136769</v>
      </c>
      <c r="EV45" s="102">
        <v>365487</v>
      </c>
      <c r="EW45" s="73">
        <f t="shared" si="12"/>
        <v>62007</v>
      </c>
      <c r="EX45" s="102">
        <v>62007</v>
      </c>
      <c r="EY45" s="102">
        <v>986</v>
      </c>
      <c r="EZ45" s="102">
        <v>61021</v>
      </c>
      <c r="FA45" s="102">
        <v>0</v>
      </c>
      <c r="FB45" s="102">
        <v>0</v>
      </c>
      <c r="FC45" s="102">
        <v>377638</v>
      </c>
      <c r="FD45" s="102">
        <v>998062</v>
      </c>
      <c r="FE45" s="102">
        <v>318410</v>
      </c>
      <c r="FF45" s="102">
        <v>764096</v>
      </c>
      <c r="FG45" s="73">
        <f t="shared" si="13"/>
        <v>641564</v>
      </c>
      <c r="FH45" s="102">
        <v>4406630</v>
      </c>
      <c r="FI45" s="379">
        <f t="shared" si="14"/>
        <v>5.4</v>
      </c>
      <c r="FJ45" s="102">
        <v>3792449</v>
      </c>
      <c r="FK45" s="102">
        <v>0</v>
      </c>
      <c r="FL45" s="102">
        <v>2871044</v>
      </c>
      <c r="FM45" s="102">
        <v>2101144</v>
      </c>
      <c r="FN45" s="428">
        <v>1.2969999999999999</v>
      </c>
      <c r="FO45" s="424">
        <v>67.8</v>
      </c>
      <c r="FP45" s="425">
        <v>24.3</v>
      </c>
      <c r="FQ45" s="424">
        <v>3.2</v>
      </c>
      <c r="FR45" s="424">
        <v>8.5</v>
      </c>
      <c r="FS45" s="425">
        <v>8.1</v>
      </c>
      <c r="FT45" s="424">
        <v>8.5</v>
      </c>
      <c r="FU45" s="425">
        <v>15</v>
      </c>
      <c r="FV45" s="384">
        <f t="shared" si="15"/>
        <v>15</v>
      </c>
      <c r="FW45" s="102">
        <v>1747882</v>
      </c>
      <c r="FX45" s="384">
        <f t="shared" si="16"/>
        <v>46.1</v>
      </c>
      <c r="FY45" s="102">
        <v>5274674</v>
      </c>
      <c r="FZ45" s="102">
        <v>4534800</v>
      </c>
      <c r="GA45" s="102">
        <v>300729</v>
      </c>
      <c r="GB45" s="102">
        <v>439145</v>
      </c>
      <c r="GC45" s="102">
        <v>0</v>
      </c>
      <c r="GD45" s="427"/>
      <c r="GE45" s="386"/>
      <c r="GF45" s="424">
        <v>99.8</v>
      </c>
      <c r="GG45" s="424">
        <v>36.6</v>
      </c>
      <c r="GH45" s="424">
        <v>99.5</v>
      </c>
      <c r="GI45" s="102">
        <v>110</v>
      </c>
      <c r="GJ45" s="429" t="s">
        <v>646</v>
      </c>
      <c r="GK45" s="429">
        <v>15</v>
      </c>
      <c r="GL45" s="87">
        <v>20</v>
      </c>
      <c r="GM45" s="429" t="s">
        <v>646</v>
      </c>
      <c r="GN45" s="430">
        <v>20</v>
      </c>
      <c r="GO45" s="430">
        <v>30</v>
      </c>
      <c r="GP45" s="425">
        <v>15</v>
      </c>
      <c r="GQ45" s="425">
        <v>25</v>
      </c>
      <c r="GR45" s="425">
        <v>35</v>
      </c>
      <c r="GS45" s="431" t="s">
        <v>646</v>
      </c>
      <c r="GT45" s="425">
        <v>350</v>
      </c>
      <c r="GU45" s="394"/>
      <c r="GV45" s="100">
        <f t="shared" si="17"/>
        <v>3792</v>
      </c>
      <c r="GW45" s="394"/>
      <c r="GX45" s="394"/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</row>
    <row r="46" spans="2:230" x14ac:dyDescent="0.15">
      <c r="B46" s="89" t="s">
        <v>81</v>
      </c>
      <c r="C46" s="102">
        <v>2186335</v>
      </c>
      <c r="D46" s="73">
        <f t="shared" si="0"/>
        <v>697121</v>
      </c>
      <c r="E46" s="102">
        <v>22948</v>
      </c>
      <c r="F46" s="102">
        <v>674173</v>
      </c>
      <c r="G46" s="73">
        <f t="shared" si="1"/>
        <v>73201</v>
      </c>
      <c r="H46" s="102">
        <v>32350</v>
      </c>
      <c r="I46" s="102">
        <v>40851</v>
      </c>
      <c r="J46" s="102">
        <v>1293130</v>
      </c>
      <c r="K46" s="102">
        <v>510680</v>
      </c>
      <c r="L46" s="102">
        <v>472400</v>
      </c>
      <c r="M46" s="102">
        <v>306412</v>
      </c>
      <c r="N46" s="102">
        <v>91415</v>
      </c>
      <c r="O46" s="102">
        <v>0</v>
      </c>
      <c r="P46" s="102">
        <v>0</v>
      </c>
      <c r="Q46" s="102">
        <v>0</v>
      </c>
      <c r="R46" s="102">
        <v>48577</v>
      </c>
      <c r="S46" s="74"/>
      <c r="T46" s="73">
        <f t="shared" si="2"/>
        <v>245812</v>
      </c>
      <c r="U46" s="102">
        <v>7804</v>
      </c>
      <c r="V46" s="102">
        <v>11298</v>
      </c>
      <c r="W46" s="102">
        <v>17300</v>
      </c>
      <c r="X46" s="102">
        <v>133828</v>
      </c>
      <c r="Y46" s="102">
        <v>51691</v>
      </c>
      <c r="Z46" s="102">
        <v>0</v>
      </c>
      <c r="AA46" s="102">
        <v>23891</v>
      </c>
      <c r="AB46" s="102">
        <v>7561</v>
      </c>
      <c r="AC46" s="102">
        <v>1986736</v>
      </c>
      <c r="AD46" s="102">
        <v>1700370</v>
      </c>
      <c r="AE46" s="102">
        <v>286364</v>
      </c>
      <c r="AF46" s="102">
        <v>3647</v>
      </c>
      <c r="AG46" s="102">
        <v>8053</v>
      </c>
      <c r="AH46" s="73">
        <f t="shared" si="3"/>
        <v>105504</v>
      </c>
      <c r="AI46" s="102">
        <v>87644</v>
      </c>
      <c r="AJ46" s="102">
        <v>17860</v>
      </c>
      <c r="AK46" s="102">
        <v>409708</v>
      </c>
      <c r="AL46" s="73">
        <f t="shared" si="4"/>
        <v>135610</v>
      </c>
      <c r="AM46" s="102">
        <v>0</v>
      </c>
      <c r="AN46" s="102">
        <v>2181</v>
      </c>
      <c r="AO46" s="74"/>
      <c r="AP46" s="102">
        <v>133429</v>
      </c>
      <c r="AQ46" s="102">
        <v>46889</v>
      </c>
      <c r="AR46" s="102">
        <v>0</v>
      </c>
      <c r="AS46" s="102">
        <v>0</v>
      </c>
      <c r="AT46" s="102">
        <v>408140</v>
      </c>
      <c r="AU46" s="102">
        <v>207185</v>
      </c>
      <c r="AV46" s="102">
        <v>1035</v>
      </c>
      <c r="AW46" s="102">
        <v>50</v>
      </c>
      <c r="AX46" s="102">
        <v>200955</v>
      </c>
      <c r="AY46" s="102">
        <v>4842</v>
      </c>
      <c r="AZ46" s="102">
        <v>40374</v>
      </c>
      <c r="BA46" s="102">
        <v>809</v>
      </c>
      <c r="BB46" s="102">
        <v>2887</v>
      </c>
      <c r="BC46" s="102">
        <v>87249</v>
      </c>
      <c r="BD46" s="102">
        <v>0</v>
      </c>
      <c r="BE46" s="102">
        <v>0</v>
      </c>
      <c r="BF46" s="102">
        <v>7158</v>
      </c>
      <c r="BG46" s="102">
        <v>0</v>
      </c>
      <c r="BH46" s="102">
        <v>81766</v>
      </c>
      <c r="BI46" s="102">
        <v>37722</v>
      </c>
      <c r="BJ46" s="102">
        <v>169524</v>
      </c>
      <c r="BK46" s="102">
        <v>762</v>
      </c>
      <c r="BL46" s="102">
        <v>0</v>
      </c>
      <c r="BM46" s="102">
        <v>0</v>
      </c>
      <c r="BN46" s="102">
        <v>456687</v>
      </c>
      <c r="BO46" s="73">
        <f t="shared" si="5"/>
        <v>119700</v>
      </c>
      <c r="BP46" s="73">
        <f t="shared" si="6"/>
        <v>336987</v>
      </c>
      <c r="BQ46" s="102">
        <v>0</v>
      </c>
      <c r="BR46" s="102">
        <v>0</v>
      </c>
      <c r="BS46" s="102">
        <v>336987</v>
      </c>
      <c r="BT46" s="102">
        <v>0</v>
      </c>
      <c r="BU46" s="102">
        <v>6248560</v>
      </c>
      <c r="BV46" s="71"/>
      <c r="BW46" s="102">
        <v>1308066</v>
      </c>
      <c r="BX46" s="102">
        <v>886028</v>
      </c>
      <c r="BY46" s="102">
        <v>111573</v>
      </c>
      <c r="BZ46" s="102">
        <v>15831</v>
      </c>
      <c r="CA46" s="102">
        <v>685532</v>
      </c>
      <c r="CB46" s="102">
        <v>318620</v>
      </c>
      <c r="CC46" s="102">
        <v>33468</v>
      </c>
      <c r="CD46" s="102">
        <v>316130</v>
      </c>
      <c r="CE46" s="102">
        <v>0</v>
      </c>
      <c r="CF46" s="102">
        <v>1024</v>
      </c>
      <c r="CG46" s="102">
        <v>16250</v>
      </c>
      <c r="CH46" s="102">
        <v>1112474</v>
      </c>
      <c r="CI46" s="102">
        <v>984297</v>
      </c>
      <c r="CJ46" s="83">
        <f t="shared" si="18"/>
        <v>128177</v>
      </c>
      <c r="CK46" s="102">
        <v>1060342</v>
      </c>
      <c r="CL46" s="102">
        <v>452723</v>
      </c>
      <c r="CM46" s="102">
        <v>210465</v>
      </c>
      <c r="CN46" s="102">
        <v>279464</v>
      </c>
      <c r="CO46" s="102">
        <v>84698</v>
      </c>
      <c r="CP46" s="102">
        <v>483177</v>
      </c>
      <c r="CQ46" s="102">
        <v>277531</v>
      </c>
      <c r="CR46" s="102">
        <v>118019</v>
      </c>
      <c r="CS46" s="102">
        <v>107166</v>
      </c>
      <c r="CT46" s="73">
        <f t="shared" si="7"/>
        <v>1423</v>
      </c>
      <c r="CU46" s="102">
        <v>1423</v>
      </c>
      <c r="CV46" s="102">
        <v>0</v>
      </c>
      <c r="CW46" s="73">
        <f t="shared" si="8"/>
        <v>0</v>
      </c>
      <c r="CX46" s="102">
        <v>0</v>
      </c>
      <c r="CY46" s="102">
        <v>0</v>
      </c>
      <c r="CZ46" s="73">
        <f t="shared" si="9"/>
        <v>0</v>
      </c>
      <c r="DA46" s="102">
        <v>0</v>
      </c>
      <c r="DB46" s="102">
        <v>0</v>
      </c>
      <c r="DC46" s="102">
        <v>257285</v>
      </c>
      <c r="DD46" s="102">
        <v>99704</v>
      </c>
      <c r="DE46" s="102">
        <v>157201</v>
      </c>
      <c r="DF46" s="77">
        <v>229</v>
      </c>
      <c r="DG46" s="78">
        <v>151</v>
      </c>
      <c r="DH46" s="102">
        <v>7744</v>
      </c>
      <c r="DI46" s="102">
        <v>95736</v>
      </c>
      <c r="DJ46" s="102">
        <v>30157</v>
      </c>
      <c r="DK46" s="102">
        <v>4</v>
      </c>
      <c r="DL46" s="102">
        <v>65575</v>
      </c>
      <c r="DM46" s="102">
        <v>0</v>
      </c>
      <c r="DN46" s="102">
        <v>0</v>
      </c>
      <c r="DO46" s="102">
        <v>0</v>
      </c>
      <c r="DP46" s="102">
        <v>0</v>
      </c>
      <c r="DQ46" s="102">
        <v>0</v>
      </c>
      <c r="DR46" s="102">
        <v>0</v>
      </c>
      <c r="DS46" s="102">
        <v>0</v>
      </c>
      <c r="DT46" s="102">
        <v>1023029</v>
      </c>
      <c r="DU46" s="102">
        <v>292471</v>
      </c>
      <c r="DV46" s="73">
        <f t="shared" si="10"/>
        <v>0</v>
      </c>
      <c r="DW46" s="102">
        <v>0</v>
      </c>
      <c r="DX46" s="102">
        <v>322931</v>
      </c>
      <c r="DY46" s="102">
        <v>0</v>
      </c>
      <c r="DZ46" s="102">
        <v>135389</v>
      </c>
      <c r="EA46" s="74">
        <v>0</v>
      </c>
      <c r="EB46" s="102">
        <v>254517</v>
      </c>
      <c r="EC46" s="102">
        <v>0</v>
      </c>
      <c r="ED46" s="102">
        <v>6118083</v>
      </c>
      <c r="EE46" s="71"/>
      <c r="EF46" s="102">
        <v>130477</v>
      </c>
      <c r="EG46" s="102">
        <v>91073</v>
      </c>
      <c r="EH46" s="102">
        <v>39404</v>
      </c>
      <c r="EI46" s="102">
        <v>1682</v>
      </c>
      <c r="EJ46" s="102">
        <v>93339</v>
      </c>
      <c r="EK46" s="71"/>
      <c r="EL46" s="102"/>
      <c r="EM46" s="102">
        <v>17058</v>
      </c>
      <c r="EN46" s="102">
        <v>24923</v>
      </c>
      <c r="EO46" s="102">
        <v>14723</v>
      </c>
      <c r="EP46" s="73">
        <f t="shared" si="11"/>
        <v>126139</v>
      </c>
      <c r="EQ46" s="102">
        <v>4478668</v>
      </c>
      <c r="ER46" s="71">
        <v>-499125</v>
      </c>
      <c r="ES46" s="102">
        <v>1121774</v>
      </c>
      <c r="ET46" s="102">
        <v>748603</v>
      </c>
      <c r="EU46" s="102">
        <v>259585</v>
      </c>
      <c r="EV46" s="102">
        <v>1111647</v>
      </c>
      <c r="EW46" s="73">
        <f t="shared" si="12"/>
        <v>76895</v>
      </c>
      <c r="EX46" s="102">
        <v>69151</v>
      </c>
      <c r="EY46" s="102">
        <v>9851</v>
      </c>
      <c r="EZ46" s="102">
        <v>59300</v>
      </c>
      <c r="FA46" s="102">
        <v>7744</v>
      </c>
      <c r="FB46" s="102">
        <v>0</v>
      </c>
      <c r="FC46" s="102">
        <v>812320</v>
      </c>
      <c r="FD46" s="102">
        <v>460017</v>
      </c>
      <c r="FE46" s="102">
        <v>277531</v>
      </c>
      <c r="FF46" s="102">
        <v>892027</v>
      </c>
      <c r="FG46" s="73">
        <f t="shared" si="13"/>
        <v>113051</v>
      </c>
      <c r="FH46" s="102">
        <v>4847316</v>
      </c>
      <c r="FI46" s="379">
        <f t="shared" si="14"/>
        <v>0.9</v>
      </c>
      <c r="FJ46" s="102">
        <v>3995024</v>
      </c>
      <c r="FK46" s="102">
        <v>336987</v>
      </c>
      <c r="FL46" s="102">
        <v>1776643</v>
      </c>
      <c r="FM46" s="102">
        <v>3389443</v>
      </c>
      <c r="FN46" s="428">
        <v>0.53400000000000003</v>
      </c>
      <c r="FO46" s="424">
        <v>95.7</v>
      </c>
      <c r="FP46" s="425">
        <v>23.8</v>
      </c>
      <c r="FQ46" s="424">
        <v>5.7</v>
      </c>
      <c r="FR46" s="424">
        <v>23.1</v>
      </c>
      <c r="FS46" s="425">
        <v>16.2</v>
      </c>
      <c r="FT46" s="424">
        <v>9.4</v>
      </c>
      <c r="FU46" s="425">
        <v>15.7</v>
      </c>
      <c r="FV46" s="384">
        <f t="shared" si="15"/>
        <v>18.8</v>
      </c>
      <c r="FW46" s="102">
        <v>7363353</v>
      </c>
      <c r="FX46" s="384">
        <f t="shared" si="16"/>
        <v>170</v>
      </c>
      <c r="FY46" s="102">
        <v>1404167</v>
      </c>
      <c r="FZ46" s="102">
        <v>876603</v>
      </c>
      <c r="GA46" s="102">
        <v>38375</v>
      </c>
      <c r="GB46" s="102">
        <v>489189</v>
      </c>
      <c r="GC46" s="102">
        <v>0</v>
      </c>
      <c r="GD46" s="427"/>
      <c r="GE46" s="386"/>
      <c r="GF46" s="424">
        <v>98.7</v>
      </c>
      <c r="GG46" s="424">
        <v>21.9</v>
      </c>
      <c r="GH46" s="424">
        <v>93.6</v>
      </c>
      <c r="GI46" s="102">
        <v>140</v>
      </c>
      <c r="GJ46" s="429" t="s">
        <v>646</v>
      </c>
      <c r="GK46" s="429">
        <v>15</v>
      </c>
      <c r="GL46" s="87">
        <v>20</v>
      </c>
      <c r="GM46" s="429" t="s">
        <v>646</v>
      </c>
      <c r="GN46" s="430">
        <v>20</v>
      </c>
      <c r="GO46" s="430">
        <v>30</v>
      </c>
      <c r="GP46" s="425">
        <v>18.8</v>
      </c>
      <c r="GQ46" s="425">
        <v>25</v>
      </c>
      <c r="GR46" s="425">
        <v>35</v>
      </c>
      <c r="GS46" s="431">
        <v>126.4</v>
      </c>
      <c r="GT46" s="425">
        <v>350</v>
      </c>
      <c r="GU46" s="394"/>
      <c r="GV46" s="100">
        <f t="shared" si="17"/>
        <v>4332</v>
      </c>
      <c r="GW46" s="394"/>
      <c r="GX46" s="394"/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</row>
    <row r="47" spans="2:230" x14ac:dyDescent="0.15">
      <c r="B47" s="89" t="s">
        <v>83</v>
      </c>
      <c r="C47" s="102">
        <v>1575829</v>
      </c>
      <c r="D47" s="73">
        <f t="shared" si="0"/>
        <v>670645</v>
      </c>
      <c r="E47" s="102">
        <v>18654</v>
      </c>
      <c r="F47" s="102">
        <v>651991</v>
      </c>
      <c r="G47" s="73">
        <f t="shared" si="1"/>
        <v>31773</v>
      </c>
      <c r="H47" s="102">
        <v>18135</v>
      </c>
      <c r="I47" s="102">
        <v>13638</v>
      </c>
      <c r="J47" s="102">
        <v>531202</v>
      </c>
      <c r="K47" s="102">
        <v>208878</v>
      </c>
      <c r="L47" s="102">
        <v>258515</v>
      </c>
      <c r="M47" s="102">
        <v>63809</v>
      </c>
      <c r="N47" s="102">
        <v>315584</v>
      </c>
      <c r="O47" s="102">
        <v>0</v>
      </c>
      <c r="P47" s="102">
        <v>0</v>
      </c>
      <c r="Q47" s="102">
        <v>0</v>
      </c>
      <c r="R47" s="102">
        <v>34552</v>
      </c>
      <c r="S47" s="74"/>
      <c r="T47" s="73">
        <f t="shared" si="2"/>
        <v>180478</v>
      </c>
      <c r="U47" s="102">
        <v>7194</v>
      </c>
      <c r="V47" s="102">
        <v>10406</v>
      </c>
      <c r="W47" s="102">
        <v>15924</v>
      </c>
      <c r="X47" s="102">
        <v>105109</v>
      </c>
      <c r="Y47" s="102">
        <v>24850</v>
      </c>
      <c r="Z47" s="102">
        <v>0</v>
      </c>
      <c r="AA47" s="102">
        <v>16995</v>
      </c>
      <c r="AB47" s="102">
        <v>10283</v>
      </c>
      <c r="AC47" s="102">
        <v>1403231</v>
      </c>
      <c r="AD47" s="102">
        <v>1181992</v>
      </c>
      <c r="AE47" s="102">
        <v>221238</v>
      </c>
      <c r="AF47" s="102">
        <v>2447</v>
      </c>
      <c r="AG47" s="102">
        <v>59453</v>
      </c>
      <c r="AH47" s="73">
        <f t="shared" si="3"/>
        <v>52721</v>
      </c>
      <c r="AI47" s="102">
        <v>34370</v>
      </c>
      <c r="AJ47" s="102">
        <v>18351</v>
      </c>
      <c r="AK47" s="102">
        <v>594391</v>
      </c>
      <c r="AL47" s="73">
        <f t="shared" si="4"/>
        <v>119420</v>
      </c>
      <c r="AM47" s="102">
        <v>0</v>
      </c>
      <c r="AN47" s="102">
        <v>48315</v>
      </c>
      <c r="AO47" s="74"/>
      <c r="AP47" s="102">
        <v>71105</v>
      </c>
      <c r="AQ47" s="102">
        <v>107030</v>
      </c>
      <c r="AR47" s="102">
        <v>0</v>
      </c>
      <c r="AS47" s="102">
        <v>0</v>
      </c>
      <c r="AT47" s="102">
        <v>438851</v>
      </c>
      <c r="AU47" s="102">
        <v>180069</v>
      </c>
      <c r="AV47" s="102">
        <v>24096</v>
      </c>
      <c r="AW47" s="102">
        <v>0</v>
      </c>
      <c r="AX47" s="102">
        <v>258782</v>
      </c>
      <c r="AY47" s="102">
        <v>78632</v>
      </c>
      <c r="AZ47" s="102">
        <v>57458</v>
      </c>
      <c r="BA47" s="102">
        <v>53914</v>
      </c>
      <c r="BB47" s="102">
        <v>0</v>
      </c>
      <c r="BC47" s="102">
        <v>86798</v>
      </c>
      <c r="BD47" s="102">
        <v>0</v>
      </c>
      <c r="BE47" s="102">
        <v>0</v>
      </c>
      <c r="BF47" s="102">
        <v>86798</v>
      </c>
      <c r="BG47" s="102">
        <v>86798</v>
      </c>
      <c r="BH47" s="102">
        <v>115774</v>
      </c>
      <c r="BI47" s="102">
        <v>112431</v>
      </c>
      <c r="BJ47" s="102">
        <v>468638</v>
      </c>
      <c r="BK47" s="102">
        <v>422707</v>
      </c>
      <c r="BL47" s="102">
        <v>0</v>
      </c>
      <c r="BM47" s="102">
        <v>0</v>
      </c>
      <c r="BN47" s="102">
        <v>812113</v>
      </c>
      <c r="BO47" s="73">
        <f t="shared" si="5"/>
        <v>552400</v>
      </c>
      <c r="BP47" s="73">
        <f t="shared" si="6"/>
        <v>259713</v>
      </c>
      <c r="BQ47" s="102">
        <v>0</v>
      </c>
      <c r="BR47" s="102">
        <v>0</v>
      </c>
      <c r="BS47" s="102">
        <v>259713</v>
      </c>
      <c r="BT47" s="102">
        <v>0</v>
      </c>
      <c r="BU47" s="102">
        <v>5893017</v>
      </c>
      <c r="BV47" s="71"/>
      <c r="BW47" s="102">
        <v>865935</v>
      </c>
      <c r="BX47" s="102">
        <v>571394</v>
      </c>
      <c r="BY47" s="102">
        <v>40428</v>
      </c>
      <c r="BZ47" s="102">
        <v>10139</v>
      </c>
      <c r="CA47" s="102">
        <v>693189</v>
      </c>
      <c r="CB47" s="102">
        <v>178627</v>
      </c>
      <c r="CC47" s="102">
        <v>16691</v>
      </c>
      <c r="CD47" s="102">
        <v>474616</v>
      </c>
      <c r="CE47" s="102">
        <v>0</v>
      </c>
      <c r="CF47" s="102">
        <v>0</v>
      </c>
      <c r="CG47" s="102">
        <v>23255</v>
      </c>
      <c r="CH47" s="102">
        <v>518918</v>
      </c>
      <c r="CI47" s="102">
        <v>446693</v>
      </c>
      <c r="CJ47" s="83">
        <f t="shared" si="18"/>
        <v>72225</v>
      </c>
      <c r="CK47" s="102">
        <v>676662</v>
      </c>
      <c r="CL47" s="102">
        <v>372239</v>
      </c>
      <c r="CM47" s="102">
        <v>108273</v>
      </c>
      <c r="CN47" s="102">
        <v>105092</v>
      </c>
      <c r="CO47" s="102">
        <v>22245</v>
      </c>
      <c r="CP47" s="102">
        <v>540064</v>
      </c>
      <c r="CQ47" s="102">
        <v>138539</v>
      </c>
      <c r="CR47" s="102">
        <v>103484</v>
      </c>
      <c r="CS47" s="102">
        <v>68321</v>
      </c>
      <c r="CT47" s="73">
        <f t="shared" si="7"/>
        <v>1041</v>
      </c>
      <c r="CU47" s="102">
        <v>1041</v>
      </c>
      <c r="CV47" s="102">
        <v>0</v>
      </c>
      <c r="CW47" s="73">
        <f t="shared" si="8"/>
        <v>0</v>
      </c>
      <c r="CX47" s="102">
        <v>0</v>
      </c>
      <c r="CY47" s="102">
        <v>0</v>
      </c>
      <c r="CZ47" s="73">
        <f t="shared" si="9"/>
        <v>0</v>
      </c>
      <c r="DA47" s="102">
        <v>0</v>
      </c>
      <c r="DB47" s="102">
        <v>0</v>
      </c>
      <c r="DC47" s="102">
        <v>1248716</v>
      </c>
      <c r="DD47" s="102">
        <v>263921</v>
      </c>
      <c r="DE47" s="102">
        <v>984795</v>
      </c>
      <c r="DF47" s="77">
        <v>0</v>
      </c>
      <c r="DG47" s="78">
        <v>0</v>
      </c>
      <c r="DH47" s="102">
        <v>0</v>
      </c>
      <c r="DI47" s="102">
        <v>639655</v>
      </c>
      <c r="DJ47" s="102">
        <v>172158</v>
      </c>
      <c r="DK47" s="102">
        <v>16</v>
      </c>
      <c r="DL47" s="102">
        <v>467481</v>
      </c>
      <c r="DM47" s="102">
        <v>0</v>
      </c>
      <c r="DN47" s="102">
        <v>0</v>
      </c>
      <c r="DO47" s="102">
        <v>0</v>
      </c>
      <c r="DP47" s="102">
        <v>0</v>
      </c>
      <c r="DQ47" s="102">
        <v>0</v>
      </c>
      <c r="DR47" s="102">
        <v>0</v>
      </c>
      <c r="DS47" s="102">
        <v>0</v>
      </c>
      <c r="DT47" s="102">
        <v>633565</v>
      </c>
      <c r="DU47" s="102">
        <v>107470</v>
      </c>
      <c r="DV47" s="73">
        <f t="shared" si="10"/>
        <v>0</v>
      </c>
      <c r="DW47" s="102">
        <v>0</v>
      </c>
      <c r="DX47" s="102">
        <v>150113</v>
      </c>
      <c r="DY47" s="102">
        <v>0</v>
      </c>
      <c r="DZ47" s="102">
        <v>106562</v>
      </c>
      <c r="EA47" s="74">
        <v>0</v>
      </c>
      <c r="EB47" s="102">
        <v>163789</v>
      </c>
      <c r="EC47" s="102">
        <v>0</v>
      </c>
      <c r="ED47" s="102">
        <v>5838949</v>
      </c>
      <c r="EE47" s="71"/>
      <c r="EF47" s="102">
        <v>54068</v>
      </c>
      <c r="EG47" s="102">
        <v>17836</v>
      </c>
      <c r="EH47" s="102">
        <v>36232</v>
      </c>
      <c r="EI47" s="102">
        <v>-76199</v>
      </c>
      <c r="EJ47" s="102">
        <v>133514</v>
      </c>
      <c r="EK47" s="71"/>
      <c r="EL47" s="102"/>
      <c r="EM47" s="102">
        <v>14162</v>
      </c>
      <c r="EN47" s="102">
        <v>0</v>
      </c>
      <c r="EO47" s="102">
        <v>54409</v>
      </c>
      <c r="EP47" s="73">
        <f t="shared" si="11"/>
        <v>742204</v>
      </c>
      <c r="EQ47" s="102">
        <v>3206820</v>
      </c>
      <c r="ER47" s="71">
        <v>-1053879</v>
      </c>
      <c r="ES47" s="102">
        <v>811663</v>
      </c>
      <c r="ET47" s="102">
        <v>521232</v>
      </c>
      <c r="EU47" s="102">
        <v>213704</v>
      </c>
      <c r="EV47" s="102">
        <v>518918</v>
      </c>
      <c r="EW47" s="73">
        <f t="shared" si="12"/>
        <v>360013</v>
      </c>
      <c r="EX47" s="102">
        <v>360013</v>
      </c>
      <c r="EY47" s="102">
        <v>45249</v>
      </c>
      <c r="EZ47" s="102">
        <v>314764</v>
      </c>
      <c r="FA47" s="102">
        <v>0</v>
      </c>
      <c r="FB47" s="102">
        <v>0</v>
      </c>
      <c r="FC47" s="102">
        <v>571134</v>
      </c>
      <c r="FD47" s="102">
        <v>499618</v>
      </c>
      <c r="FE47" s="102">
        <v>138539</v>
      </c>
      <c r="FF47" s="102">
        <v>572847</v>
      </c>
      <c r="FG47" s="73">
        <f t="shared" si="13"/>
        <v>658734</v>
      </c>
      <c r="FH47" s="102">
        <v>4206631</v>
      </c>
      <c r="FI47" s="379">
        <f t="shared" si="14"/>
        <v>1.1000000000000001</v>
      </c>
      <c r="FJ47" s="102">
        <v>2903295</v>
      </c>
      <c r="FK47" s="102">
        <v>259713</v>
      </c>
      <c r="FL47" s="102">
        <v>1329686</v>
      </c>
      <c r="FM47" s="102">
        <v>2509890</v>
      </c>
      <c r="FN47" s="428">
        <v>0.51900000000000002</v>
      </c>
      <c r="FO47" s="424">
        <v>89.3</v>
      </c>
      <c r="FP47" s="425">
        <v>24.9</v>
      </c>
      <c r="FQ47" s="424">
        <v>6.6</v>
      </c>
      <c r="FR47" s="424">
        <v>14.8</v>
      </c>
      <c r="FS47" s="425">
        <v>16</v>
      </c>
      <c r="FT47" s="424">
        <v>12.5</v>
      </c>
      <c r="FU47" s="425">
        <v>13.9</v>
      </c>
      <c r="FV47" s="384">
        <f t="shared" si="15"/>
        <v>10</v>
      </c>
      <c r="FW47" s="102">
        <v>4829349</v>
      </c>
      <c r="FX47" s="384">
        <f t="shared" si="16"/>
        <v>152.69999999999999</v>
      </c>
      <c r="FY47" s="102">
        <v>2707360</v>
      </c>
      <c r="FZ47" s="102">
        <v>1513772</v>
      </c>
      <c r="GA47" s="102">
        <v>7826</v>
      </c>
      <c r="GB47" s="102">
        <v>1185762</v>
      </c>
      <c r="GC47" s="102">
        <v>0</v>
      </c>
      <c r="GD47" s="427"/>
      <c r="GE47" s="386"/>
      <c r="GF47" s="424">
        <v>98.6</v>
      </c>
      <c r="GG47" s="424">
        <v>32.1</v>
      </c>
      <c r="GH47" s="424">
        <v>95.3</v>
      </c>
      <c r="GI47" s="102">
        <v>95</v>
      </c>
      <c r="GJ47" s="429" t="s">
        <v>646</v>
      </c>
      <c r="GK47" s="429">
        <v>15</v>
      </c>
      <c r="GL47" s="87">
        <v>20</v>
      </c>
      <c r="GM47" s="429" t="s">
        <v>646</v>
      </c>
      <c r="GN47" s="430">
        <v>20</v>
      </c>
      <c r="GO47" s="430">
        <v>30</v>
      </c>
      <c r="GP47" s="425">
        <v>10</v>
      </c>
      <c r="GQ47" s="425">
        <v>25</v>
      </c>
      <c r="GR47" s="425">
        <v>35</v>
      </c>
      <c r="GS47" s="431" t="s">
        <v>646</v>
      </c>
      <c r="GT47" s="425">
        <v>350</v>
      </c>
      <c r="GU47" s="394"/>
      <c r="GV47" s="100">
        <f t="shared" si="17"/>
        <v>3163</v>
      </c>
      <c r="GW47" s="394"/>
      <c r="GX47" s="394"/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</row>
    <row r="48" spans="2:230" x14ac:dyDescent="0.15">
      <c r="B48" s="89" t="s">
        <v>85</v>
      </c>
      <c r="C48" s="102">
        <v>1517759</v>
      </c>
      <c r="D48" s="73">
        <f t="shared" si="0"/>
        <v>764642</v>
      </c>
      <c r="E48" s="102">
        <v>21471</v>
      </c>
      <c r="F48" s="102">
        <v>743171</v>
      </c>
      <c r="G48" s="73">
        <f t="shared" si="1"/>
        <v>43577</v>
      </c>
      <c r="H48" s="102">
        <v>20176</v>
      </c>
      <c r="I48" s="102">
        <v>23401</v>
      </c>
      <c r="J48" s="102">
        <v>579435</v>
      </c>
      <c r="K48" s="102">
        <v>214721</v>
      </c>
      <c r="L48" s="102">
        <v>297132</v>
      </c>
      <c r="M48" s="102">
        <v>67582</v>
      </c>
      <c r="N48" s="102">
        <v>96027</v>
      </c>
      <c r="O48" s="102">
        <v>0</v>
      </c>
      <c r="P48" s="102">
        <v>0</v>
      </c>
      <c r="Q48" s="102">
        <v>0</v>
      </c>
      <c r="R48" s="102">
        <v>48256</v>
      </c>
      <c r="S48" s="74"/>
      <c r="T48" s="73">
        <f t="shared" si="2"/>
        <v>257465</v>
      </c>
      <c r="U48" s="102">
        <v>8675</v>
      </c>
      <c r="V48" s="102">
        <v>12546</v>
      </c>
      <c r="W48" s="102">
        <v>19197</v>
      </c>
      <c r="X48" s="102">
        <v>137796</v>
      </c>
      <c r="Y48" s="102">
        <v>55524</v>
      </c>
      <c r="Z48" s="102">
        <v>0</v>
      </c>
      <c r="AA48" s="102">
        <v>23727</v>
      </c>
      <c r="AB48" s="102">
        <v>13755</v>
      </c>
      <c r="AC48" s="102">
        <v>1981272</v>
      </c>
      <c r="AD48" s="102">
        <v>1764507</v>
      </c>
      <c r="AE48" s="102">
        <v>216763</v>
      </c>
      <c r="AF48" s="102">
        <v>2599</v>
      </c>
      <c r="AG48" s="102">
        <v>12377</v>
      </c>
      <c r="AH48" s="73">
        <f t="shared" si="3"/>
        <v>139316</v>
      </c>
      <c r="AI48" s="102">
        <v>82355</v>
      </c>
      <c r="AJ48" s="102">
        <v>56961</v>
      </c>
      <c r="AK48" s="102">
        <v>616497</v>
      </c>
      <c r="AL48" s="73">
        <f t="shared" si="4"/>
        <v>82300</v>
      </c>
      <c r="AM48" s="102">
        <v>0</v>
      </c>
      <c r="AN48" s="102">
        <v>1807</v>
      </c>
      <c r="AO48" s="74"/>
      <c r="AP48" s="102">
        <v>80493</v>
      </c>
      <c r="AQ48" s="102">
        <v>100662</v>
      </c>
      <c r="AR48" s="102">
        <v>0</v>
      </c>
      <c r="AS48" s="102">
        <v>0</v>
      </c>
      <c r="AT48" s="102">
        <v>421361</v>
      </c>
      <c r="AU48" s="102">
        <v>175708</v>
      </c>
      <c r="AV48" s="102">
        <v>864</v>
      </c>
      <c r="AW48" s="102">
        <v>1674</v>
      </c>
      <c r="AX48" s="102">
        <v>245653</v>
      </c>
      <c r="AY48" s="102">
        <v>105762</v>
      </c>
      <c r="AZ48" s="102">
        <v>8623</v>
      </c>
      <c r="BA48" s="102">
        <v>1746</v>
      </c>
      <c r="BB48" s="102">
        <v>935</v>
      </c>
      <c r="BC48" s="102">
        <v>131008</v>
      </c>
      <c r="BD48" s="102">
        <v>50000</v>
      </c>
      <c r="BE48" s="102">
        <v>9989</v>
      </c>
      <c r="BF48" s="102">
        <v>71019</v>
      </c>
      <c r="BG48" s="102">
        <v>0</v>
      </c>
      <c r="BH48" s="102">
        <v>100664</v>
      </c>
      <c r="BI48" s="102">
        <v>40848</v>
      </c>
      <c r="BJ48" s="102">
        <v>65735</v>
      </c>
      <c r="BK48" s="102">
        <v>1000</v>
      </c>
      <c r="BL48" s="102">
        <v>0</v>
      </c>
      <c r="BM48" s="102">
        <v>0</v>
      </c>
      <c r="BN48" s="102">
        <v>536800</v>
      </c>
      <c r="BO48" s="73">
        <f t="shared" si="5"/>
        <v>228800</v>
      </c>
      <c r="BP48" s="73">
        <f t="shared" si="6"/>
        <v>308000</v>
      </c>
      <c r="BQ48" s="102">
        <v>0</v>
      </c>
      <c r="BR48" s="102">
        <v>0</v>
      </c>
      <c r="BS48" s="102">
        <v>308000</v>
      </c>
      <c r="BT48" s="102">
        <v>0</v>
      </c>
      <c r="BU48" s="102">
        <v>5854422</v>
      </c>
      <c r="BV48" s="71"/>
      <c r="BW48" s="102">
        <v>1418307</v>
      </c>
      <c r="BX48" s="102">
        <v>839742</v>
      </c>
      <c r="BY48" s="102">
        <v>170569</v>
      </c>
      <c r="BZ48" s="102">
        <v>84773</v>
      </c>
      <c r="CA48" s="102">
        <v>667690</v>
      </c>
      <c r="CB48" s="102">
        <v>204446</v>
      </c>
      <c r="CC48" s="102">
        <v>28033</v>
      </c>
      <c r="CD48" s="102">
        <v>426275</v>
      </c>
      <c r="CE48" s="102">
        <v>0</v>
      </c>
      <c r="CF48" s="102">
        <v>0</v>
      </c>
      <c r="CG48" s="102">
        <v>8936</v>
      </c>
      <c r="CH48" s="102">
        <v>653451</v>
      </c>
      <c r="CI48" s="102">
        <v>562131</v>
      </c>
      <c r="CJ48" s="83">
        <f t="shared" si="18"/>
        <v>91320</v>
      </c>
      <c r="CK48" s="102">
        <v>885941</v>
      </c>
      <c r="CL48" s="102">
        <v>551571</v>
      </c>
      <c r="CM48" s="102">
        <v>75852</v>
      </c>
      <c r="CN48" s="102">
        <v>139308</v>
      </c>
      <c r="CO48" s="102">
        <v>15372</v>
      </c>
      <c r="CP48" s="102">
        <v>378762</v>
      </c>
      <c r="CQ48" s="102">
        <v>168987</v>
      </c>
      <c r="CR48" s="102">
        <v>97180</v>
      </c>
      <c r="CS48" s="102">
        <v>85881</v>
      </c>
      <c r="CT48" s="73">
        <f t="shared" si="7"/>
        <v>20463</v>
      </c>
      <c r="CU48" s="102">
        <v>11750</v>
      </c>
      <c r="CV48" s="102">
        <v>8713</v>
      </c>
      <c r="CW48" s="73">
        <f t="shared" si="8"/>
        <v>0</v>
      </c>
      <c r="CX48" s="102">
        <v>0</v>
      </c>
      <c r="CY48" s="102">
        <v>0</v>
      </c>
      <c r="CZ48" s="73">
        <f t="shared" si="9"/>
        <v>0</v>
      </c>
      <c r="DA48" s="102">
        <v>0</v>
      </c>
      <c r="DB48" s="102">
        <v>0</v>
      </c>
      <c r="DC48" s="102">
        <v>926297</v>
      </c>
      <c r="DD48" s="102">
        <v>389757</v>
      </c>
      <c r="DE48" s="102">
        <v>536540</v>
      </c>
      <c r="DF48" s="77">
        <v>0</v>
      </c>
      <c r="DG48" s="78">
        <v>0</v>
      </c>
      <c r="DH48" s="102">
        <v>9608</v>
      </c>
      <c r="DI48" s="102">
        <v>5208</v>
      </c>
      <c r="DJ48" s="102">
        <v>2276</v>
      </c>
      <c r="DK48" s="102">
        <v>430</v>
      </c>
      <c r="DL48" s="102">
        <v>2502</v>
      </c>
      <c r="DM48" s="102">
        <v>0</v>
      </c>
      <c r="DN48" s="102">
        <v>0</v>
      </c>
      <c r="DO48" s="102">
        <v>0</v>
      </c>
      <c r="DP48" s="102">
        <v>0</v>
      </c>
      <c r="DQ48" s="102">
        <v>0</v>
      </c>
      <c r="DR48" s="102">
        <v>0</v>
      </c>
      <c r="DS48" s="102">
        <v>0</v>
      </c>
      <c r="DT48" s="102">
        <v>696285</v>
      </c>
      <c r="DU48" s="102">
        <v>166603</v>
      </c>
      <c r="DV48" s="73">
        <f t="shared" si="10"/>
        <v>0</v>
      </c>
      <c r="DW48" s="102">
        <v>0</v>
      </c>
      <c r="DX48" s="102">
        <v>198786</v>
      </c>
      <c r="DY48" s="102">
        <v>0</v>
      </c>
      <c r="DZ48" s="102">
        <v>136662</v>
      </c>
      <c r="EA48" s="74">
        <v>0</v>
      </c>
      <c r="EB48" s="102">
        <v>187221</v>
      </c>
      <c r="EC48" s="102">
        <v>0</v>
      </c>
      <c r="ED48" s="102">
        <v>5656921</v>
      </c>
      <c r="EE48" s="71"/>
      <c r="EF48" s="102">
        <v>197501</v>
      </c>
      <c r="EG48" s="102">
        <v>126539</v>
      </c>
      <c r="EH48" s="102">
        <v>70962</v>
      </c>
      <c r="EI48" s="102">
        <v>-10886</v>
      </c>
      <c r="EJ48" s="102">
        <v>-48621</v>
      </c>
      <c r="EK48" s="71"/>
      <c r="EL48" s="102"/>
      <c r="EM48" s="102">
        <v>16153</v>
      </c>
      <c r="EN48" s="102">
        <v>59989</v>
      </c>
      <c r="EO48" s="102">
        <v>2464</v>
      </c>
      <c r="EP48" s="73">
        <f t="shared" si="11"/>
        <v>304457</v>
      </c>
      <c r="EQ48" s="102">
        <v>3821106</v>
      </c>
      <c r="ER48" s="71">
        <v>-672311</v>
      </c>
      <c r="ES48" s="102">
        <v>1352672</v>
      </c>
      <c r="ET48" s="102">
        <v>802704</v>
      </c>
      <c r="EU48" s="102">
        <v>285218</v>
      </c>
      <c r="EV48" s="102">
        <v>653451</v>
      </c>
      <c r="EW48" s="73">
        <f t="shared" si="12"/>
        <v>339284</v>
      </c>
      <c r="EX48" s="102">
        <v>334401</v>
      </c>
      <c r="EY48" s="102">
        <v>18834</v>
      </c>
      <c r="EZ48" s="102">
        <v>315567</v>
      </c>
      <c r="FA48" s="102">
        <v>4883</v>
      </c>
      <c r="FB48" s="102">
        <v>0</v>
      </c>
      <c r="FC48" s="102">
        <v>688498</v>
      </c>
      <c r="FD48" s="102">
        <v>345463</v>
      </c>
      <c r="FE48" s="102">
        <v>168987</v>
      </c>
      <c r="FF48" s="102">
        <v>615230</v>
      </c>
      <c r="FG48" s="73">
        <f t="shared" si="13"/>
        <v>16100</v>
      </c>
      <c r="FH48" s="102">
        <v>4295916</v>
      </c>
      <c r="FI48" s="379">
        <f t="shared" si="14"/>
        <v>1.8</v>
      </c>
      <c r="FJ48" s="102">
        <v>3587727</v>
      </c>
      <c r="FK48" s="102">
        <v>308299</v>
      </c>
      <c r="FL48" s="102">
        <v>1411428</v>
      </c>
      <c r="FM48" s="102">
        <v>3179788</v>
      </c>
      <c r="FN48" s="428">
        <v>0.45300000000000001</v>
      </c>
      <c r="FO48" s="424">
        <v>92.3</v>
      </c>
      <c r="FP48" s="425">
        <v>31.8</v>
      </c>
      <c r="FQ48" s="424">
        <v>7.3</v>
      </c>
      <c r="FR48" s="424">
        <v>16.399999999999999</v>
      </c>
      <c r="FS48" s="425">
        <v>15.6</v>
      </c>
      <c r="FT48" s="424">
        <v>7.4</v>
      </c>
      <c r="FU48" s="425">
        <v>13.5</v>
      </c>
      <c r="FV48" s="384">
        <f t="shared" si="15"/>
        <v>10.199999999999999</v>
      </c>
      <c r="FW48" s="102">
        <v>6150955</v>
      </c>
      <c r="FX48" s="384">
        <f t="shared" si="16"/>
        <v>157.9</v>
      </c>
      <c r="FY48" s="102">
        <v>2750797</v>
      </c>
      <c r="FZ48" s="102">
        <v>1458480</v>
      </c>
      <c r="GA48" s="102">
        <v>172004</v>
      </c>
      <c r="GB48" s="102">
        <v>1120313</v>
      </c>
      <c r="GC48" s="102">
        <v>0</v>
      </c>
      <c r="GD48" s="427">
        <v>125</v>
      </c>
      <c r="GE48" s="386">
        <f>IF(GD48=0,"-",ROUND(GD48/(GV48)*100,1))</f>
        <v>3.2</v>
      </c>
      <c r="GF48" s="424">
        <v>96.6</v>
      </c>
      <c r="GG48" s="424">
        <v>18.8</v>
      </c>
      <c r="GH48" s="424">
        <v>84.8</v>
      </c>
      <c r="GI48" s="102">
        <v>145</v>
      </c>
      <c r="GJ48" s="429" t="s">
        <v>646</v>
      </c>
      <c r="GK48" s="429">
        <v>15</v>
      </c>
      <c r="GL48" s="87">
        <v>20</v>
      </c>
      <c r="GM48" s="429" t="s">
        <v>646</v>
      </c>
      <c r="GN48" s="430">
        <v>20</v>
      </c>
      <c r="GO48" s="430">
        <v>30</v>
      </c>
      <c r="GP48" s="425">
        <v>10.199999999999999</v>
      </c>
      <c r="GQ48" s="425">
        <v>25</v>
      </c>
      <c r="GR48" s="425">
        <v>35</v>
      </c>
      <c r="GS48" s="431">
        <v>32.200000000000003</v>
      </c>
      <c r="GT48" s="425">
        <v>350</v>
      </c>
      <c r="GU48" s="394"/>
      <c r="GV48" s="100">
        <f t="shared" si="17"/>
        <v>3896</v>
      </c>
      <c r="GW48" s="394"/>
      <c r="GX48" s="394"/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</row>
    <row r="49" spans="2:230" x14ac:dyDescent="0.15">
      <c r="B49" s="89" t="s">
        <v>87</v>
      </c>
      <c r="C49" s="102">
        <v>545512</v>
      </c>
      <c r="D49" s="73">
        <f t="shared" si="0"/>
        <v>234719</v>
      </c>
      <c r="E49" s="102">
        <v>8117</v>
      </c>
      <c r="F49" s="102">
        <v>226602</v>
      </c>
      <c r="G49" s="73">
        <f t="shared" si="1"/>
        <v>37086</v>
      </c>
      <c r="H49" s="102">
        <v>13814</v>
      </c>
      <c r="I49" s="102">
        <v>23272</v>
      </c>
      <c r="J49" s="102">
        <v>255247</v>
      </c>
      <c r="K49" s="102">
        <v>79686</v>
      </c>
      <c r="L49" s="102">
        <v>126511</v>
      </c>
      <c r="M49" s="102">
        <v>49050</v>
      </c>
      <c r="N49" s="102">
        <v>4167</v>
      </c>
      <c r="O49" s="102">
        <v>0</v>
      </c>
      <c r="P49" s="102">
        <v>0</v>
      </c>
      <c r="Q49" s="102">
        <v>0</v>
      </c>
      <c r="R49" s="102">
        <v>19836</v>
      </c>
      <c r="S49" s="74"/>
      <c r="T49" s="73">
        <f t="shared" si="2"/>
        <v>101274</v>
      </c>
      <c r="U49" s="102">
        <v>2860</v>
      </c>
      <c r="V49" s="102">
        <v>4123</v>
      </c>
      <c r="W49" s="102">
        <v>6293</v>
      </c>
      <c r="X49" s="102">
        <v>52756</v>
      </c>
      <c r="Y49" s="102">
        <v>25491</v>
      </c>
      <c r="Z49" s="102">
        <v>0</v>
      </c>
      <c r="AA49" s="102">
        <v>9751</v>
      </c>
      <c r="AB49" s="102">
        <v>2163</v>
      </c>
      <c r="AC49" s="102">
        <v>1308785</v>
      </c>
      <c r="AD49" s="102">
        <v>1094550</v>
      </c>
      <c r="AE49" s="102">
        <v>214234</v>
      </c>
      <c r="AF49" s="102">
        <v>968</v>
      </c>
      <c r="AG49" s="102">
        <v>22373</v>
      </c>
      <c r="AH49" s="73">
        <f t="shared" si="3"/>
        <v>24656</v>
      </c>
      <c r="AI49" s="102">
        <v>14991</v>
      </c>
      <c r="AJ49" s="102">
        <v>9665</v>
      </c>
      <c r="AK49" s="102">
        <v>190648</v>
      </c>
      <c r="AL49" s="73">
        <f t="shared" si="4"/>
        <v>58724</v>
      </c>
      <c r="AM49" s="102">
        <v>0</v>
      </c>
      <c r="AN49" s="102">
        <v>27330</v>
      </c>
      <c r="AO49" s="74"/>
      <c r="AP49" s="102">
        <v>31394</v>
      </c>
      <c r="AQ49" s="102">
        <v>73022</v>
      </c>
      <c r="AR49" s="102">
        <v>0</v>
      </c>
      <c r="AS49" s="102">
        <v>0</v>
      </c>
      <c r="AT49" s="102">
        <v>195409</v>
      </c>
      <c r="AU49" s="102">
        <v>67019</v>
      </c>
      <c r="AV49" s="102">
        <v>13665</v>
      </c>
      <c r="AW49" s="102">
        <v>100</v>
      </c>
      <c r="AX49" s="102">
        <v>128390</v>
      </c>
      <c r="AY49" s="102">
        <v>19638</v>
      </c>
      <c r="AZ49" s="102">
        <v>3061</v>
      </c>
      <c r="BA49" s="102">
        <v>0</v>
      </c>
      <c r="BB49" s="102">
        <v>1465</v>
      </c>
      <c r="BC49" s="102">
        <v>0</v>
      </c>
      <c r="BD49" s="102">
        <v>0</v>
      </c>
      <c r="BE49" s="102">
        <v>0</v>
      </c>
      <c r="BF49" s="102">
        <v>0</v>
      </c>
      <c r="BG49" s="102">
        <v>0</v>
      </c>
      <c r="BH49" s="102">
        <v>94737</v>
      </c>
      <c r="BI49" s="102">
        <v>92655</v>
      </c>
      <c r="BJ49" s="102">
        <v>63791</v>
      </c>
      <c r="BK49" s="102">
        <v>0</v>
      </c>
      <c r="BL49" s="102">
        <v>0</v>
      </c>
      <c r="BM49" s="102">
        <v>0</v>
      </c>
      <c r="BN49" s="102">
        <v>209615</v>
      </c>
      <c r="BO49" s="73">
        <f t="shared" si="5"/>
        <v>84300</v>
      </c>
      <c r="BP49" s="73">
        <f t="shared" si="6"/>
        <v>125315</v>
      </c>
      <c r="BQ49" s="102">
        <v>0</v>
      </c>
      <c r="BR49" s="102">
        <v>0</v>
      </c>
      <c r="BS49" s="102">
        <v>125315</v>
      </c>
      <c r="BT49" s="102">
        <v>0</v>
      </c>
      <c r="BU49" s="102">
        <v>2784293</v>
      </c>
      <c r="BV49" s="71"/>
      <c r="BW49" s="102">
        <v>615771</v>
      </c>
      <c r="BX49" s="102">
        <v>379090</v>
      </c>
      <c r="BY49" s="102">
        <v>69294</v>
      </c>
      <c r="BZ49" s="102">
        <v>12035</v>
      </c>
      <c r="CA49" s="102">
        <v>256729</v>
      </c>
      <c r="CB49" s="102">
        <v>84096</v>
      </c>
      <c r="CC49" s="102">
        <v>13625</v>
      </c>
      <c r="CD49" s="102">
        <v>154118</v>
      </c>
      <c r="CE49" s="102">
        <v>0</v>
      </c>
      <c r="CF49" s="102">
        <v>949</v>
      </c>
      <c r="CG49" s="102">
        <v>3781</v>
      </c>
      <c r="CH49" s="102">
        <v>303868</v>
      </c>
      <c r="CI49" s="102">
        <v>257465</v>
      </c>
      <c r="CJ49" s="83">
        <f t="shared" si="18"/>
        <v>46403</v>
      </c>
      <c r="CK49" s="102">
        <v>474098</v>
      </c>
      <c r="CL49" s="102">
        <v>326170</v>
      </c>
      <c r="CM49" s="102">
        <v>31264</v>
      </c>
      <c r="CN49" s="102">
        <v>61670</v>
      </c>
      <c r="CO49" s="102">
        <v>7945</v>
      </c>
      <c r="CP49" s="102">
        <v>193741</v>
      </c>
      <c r="CQ49" s="102">
        <v>89282</v>
      </c>
      <c r="CR49" s="102">
        <v>9885</v>
      </c>
      <c r="CS49" s="102">
        <v>9885</v>
      </c>
      <c r="CT49" s="73">
        <f t="shared" si="7"/>
        <v>7319</v>
      </c>
      <c r="CU49" s="102">
        <v>1231</v>
      </c>
      <c r="CV49" s="102">
        <v>6088</v>
      </c>
      <c r="CW49" s="73">
        <f t="shared" si="8"/>
        <v>0</v>
      </c>
      <c r="CX49" s="102">
        <v>0</v>
      </c>
      <c r="CY49" s="102">
        <v>0</v>
      </c>
      <c r="CZ49" s="73">
        <f t="shared" si="9"/>
        <v>0</v>
      </c>
      <c r="DA49" s="102">
        <v>0</v>
      </c>
      <c r="DB49" s="102">
        <v>0</v>
      </c>
      <c r="DC49" s="102">
        <v>252213</v>
      </c>
      <c r="DD49" s="102">
        <v>152354</v>
      </c>
      <c r="DE49" s="102">
        <v>99859</v>
      </c>
      <c r="DF49" s="77">
        <v>0</v>
      </c>
      <c r="DG49" s="78">
        <v>0</v>
      </c>
      <c r="DH49" s="102">
        <v>3592</v>
      </c>
      <c r="DI49" s="102">
        <v>219375</v>
      </c>
      <c r="DJ49" s="102">
        <v>219165</v>
      </c>
      <c r="DK49" s="102">
        <v>117</v>
      </c>
      <c r="DL49" s="102">
        <v>93</v>
      </c>
      <c r="DM49" s="102">
        <v>0</v>
      </c>
      <c r="DN49" s="102">
        <v>0</v>
      </c>
      <c r="DO49" s="102">
        <v>0</v>
      </c>
      <c r="DP49" s="102">
        <v>0</v>
      </c>
      <c r="DQ49" s="102">
        <v>0</v>
      </c>
      <c r="DR49" s="102">
        <v>0</v>
      </c>
      <c r="DS49" s="102">
        <v>0</v>
      </c>
      <c r="DT49" s="102">
        <v>356177</v>
      </c>
      <c r="DU49" s="102">
        <v>104141</v>
      </c>
      <c r="DV49" s="73">
        <f t="shared" si="10"/>
        <v>0</v>
      </c>
      <c r="DW49" s="102">
        <v>0</v>
      </c>
      <c r="DX49" s="102">
        <v>93744</v>
      </c>
      <c r="DY49" s="102">
        <v>0</v>
      </c>
      <c r="DZ49" s="102">
        <v>51639</v>
      </c>
      <c r="EA49" s="74">
        <v>0</v>
      </c>
      <c r="EB49" s="102">
        <v>99053</v>
      </c>
      <c r="EC49" s="102">
        <v>0</v>
      </c>
      <c r="ED49" s="102">
        <v>2683509</v>
      </c>
      <c r="EE49" s="71"/>
      <c r="EF49" s="102">
        <v>100784</v>
      </c>
      <c r="EG49" s="102">
        <v>2973</v>
      </c>
      <c r="EH49" s="102">
        <v>97811</v>
      </c>
      <c r="EI49" s="102">
        <v>5156</v>
      </c>
      <c r="EJ49" s="102">
        <v>224321</v>
      </c>
      <c r="EK49" s="71"/>
      <c r="EL49" s="102"/>
      <c r="EM49" s="102">
        <v>5859</v>
      </c>
      <c r="EN49" s="102">
        <v>0</v>
      </c>
      <c r="EO49" s="102">
        <v>1686</v>
      </c>
      <c r="EP49" s="73">
        <f t="shared" si="11"/>
        <v>116071</v>
      </c>
      <c r="EQ49" s="102">
        <v>1978538</v>
      </c>
      <c r="ER49" s="71">
        <v>-242104</v>
      </c>
      <c r="ES49" s="102">
        <v>581098</v>
      </c>
      <c r="ET49" s="102">
        <v>345463</v>
      </c>
      <c r="EU49" s="102">
        <v>64157</v>
      </c>
      <c r="EV49" s="102">
        <v>303868</v>
      </c>
      <c r="EW49" s="73">
        <f t="shared" si="12"/>
        <v>67685</v>
      </c>
      <c r="EX49" s="102">
        <v>64093</v>
      </c>
      <c r="EY49" s="102">
        <v>1094</v>
      </c>
      <c r="EZ49" s="102">
        <v>62999</v>
      </c>
      <c r="FA49" s="102">
        <v>3592</v>
      </c>
      <c r="FB49" s="102">
        <v>0</v>
      </c>
      <c r="FC49" s="102">
        <v>393718</v>
      </c>
      <c r="FD49" s="102">
        <v>161090</v>
      </c>
      <c r="FE49" s="102">
        <v>89282</v>
      </c>
      <c r="FF49" s="102">
        <v>322297</v>
      </c>
      <c r="FG49" s="73">
        <f t="shared" si="13"/>
        <v>225945</v>
      </c>
      <c r="FH49" s="102">
        <v>2119858</v>
      </c>
      <c r="FI49" s="379">
        <f t="shared" si="14"/>
        <v>5.2</v>
      </c>
      <c r="FJ49" s="102">
        <v>1761062</v>
      </c>
      <c r="FK49" s="102">
        <v>125315</v>
      </c>
      <c r="FL49" s="102">
        <v>521248</v>
      </c>
      <c r="FM49" s="102">
        <v>1620068</v>
      </c>
      <c r="FN49" s="428">
        <v>0.33400000000000002</v>
      </c>
      <c r="FO49" s="424">
        <v>87.7</v>
      </c>
      <c r="FP49" s="425">
        <v>29.2</v>
      </c>
      <c r="FQ49" s="424">
        <v>3.4</v>
      </c>
      <c r="FR49" s="424">
        <v>16</v>
      </c>
      <c r="FS49" s="425">
        <v>18.899999999999999</v>
      </c>
      <c r="FT49" s="424">
        <v>7.3</v>
      </c>
      <c r="FU49" s="425">
        <v>12.4</v>
      </c>
      <c r="FV49" s="384">
        <f t="shared" si="15"/>
        <v>15.3</v>
      </c>
      <c r="FW49" s="102">
        <v>3023517</v>
      </c>
      <c r="FX49" s="384">
        <f t="shared" si="16"/>
        <v>160.30000000000001</v>
      </c>
      <c r="FY49" s="102">
        <v>1205311</v>
      </c>
      <c r="FZ49" s="102">
        <v>1054212</v>
      </c>
      <c r="GA49" s="102">
        <v>84302</v>
      </c>
      <c r="GB49" s="102">
        <v>66797</v>
      </c>
      <c r="GC49" s="102">
        <v>0</v>
      </c>
      <c r="GD49" s="427"/>
      <c r="GE49" s="386"/>
      <c r="GF49" s="424">
        <v>99.6</v>
      </c>
      <c r="GG49" s="424">
        <v>29.3</v>
      </c>
      <c r="GH49" s="424">
        <v>96.7</v>
      </c>
      <c r="GI49" s="102">
        <v>58</v>
      </c>
      <c r="GJ49" s="429" t="s">
        <v>646</v>
      </c>
      <c r="GK49" s="429">
        <v>15</v>
      </c>
      <c r="GL49" s="87">
        <v>20</v>
      </c>
      <c r="GM49" s="429" t="s">
        <v>646</v>
      </c>
      <c r="GN49" s="429">
        <v>20</v>
      </c>
      <c r="GO49" s="429">
        <v>30</v>
      </c>
      <c r="GP49" s="425">
        <v>15.3</v>
      </c>
      <c r="GQ49" s="425">
        <v>25</v>
      </c>
      <c r="GR49" s="425">
        <v>35</v>
      </c>
      <c r="GS49" s="431">
        <v>38.6</v>
      </c>
      <c r="GT49" s="425">
        <v>350</v>
      </c>
      <c r="GU49" s="394"/>
      <c r="GV49" s="100">
        <f t="shared" si="17"/>
        <v>1886</v>
      </c>
      <c r="GW49" s="394"/>
      <c r="GX49" s="394"/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</row>
    <row r="50" spans="2:230" x14ac:dyDescent="0.15">
      <c r="B50" s="21" t="s">
        <v>89</v>
      </c>
      <c r="C50" s="102">
        <v>24473018</v>
      </c>
      <c r="D50" s="73">
        <f t="shared" si="0"/>
        <v>9162302</v>
      </c>
      <c r="E50" s="102">
        <v>254049</v>
      </c>
      <c r="F50" s="102">
        <v>8908253</v>
      </c>
      <c r="G50" s="73">
        <f t="shared" si="1"/>
        <v>1503770</v>
      </c>
      <c r="H50" s="102">
        <v>323566</v>
      </c>
      <c r="I50" s="102">
        <v>1180204</v>
      </c>
      <c r="J50" s="102">
        <v>11507420</v>
      </c>
      <c r="K50" s="102">
        <v>4624630</v>
      </c>
      <c r="L50" s="102">
        <v>4396962</v>
      </c>
      <c r="M50" s="102">
        <v>2392823</v>
      </c>
      <c r="N50" s="102">
        <v>1426192</v>
      </c>
      <c r="O50" s="102">
        <v>567099</v>
      </c>
      <c r="P50" s="102">
        <v>318160</v>
      </c>
      <c r="Q50" s="102">
        <v>248939</v>
      </c>
      <c r="R50" s="102">
        <v>494292</v>
      </c>
      <c r="S50" s="74"/>
      <c r="T50" s="73">
        <f t="shared" si="2"/>
        <v>2455219</v>
      </c>
      <c r="U50" s="102">
        <v>101846</v>
      </c>
      <c r="V50" s="102">
        <v>147689</v>
      </c>
      <c r="W50" s="102">
        <v>226402</v>
      </c>
      <c r="X50" s="102">
        <v>1499748</v>
      </c>
      <c r="Y50" s="102">
        <v>251241</v>
      </c>
      <c r="Z50" s="102">
        <v>0</v>
      </c>
      <c r="AA50" s="102">
        <v>228293</v>
      </c>
      <c r="AB50" s="102">
        <v>137180</v>
      </c>
      <c r="AC50" s="102">
        <v>15722315</v>
      </c>
      <c r="AD50" s="102">
        <v>13448781</v>
      </c>
      <c r="AE50" s="102">
        <v>2273517</v>
      </c>
      <c r="AF50" s="102">
        <v>30809</v>
      </c>
      <c r="AG50" s="102">
        <v>357335</v>
      </c>
      <c r="AH50" s="73">
        <f t="shared" si="3"/>
        <v>1571508</v>
      </c>
      <c r="AI50" s="102">
        <v>1220203</v>
      </c>
      <c r="AJ50" s="102">
        <v>351305</v>
      </c>
      <c r="AK50" s="102">
        <v>5924092</v>
      </c>
      <c r="AL50" s="73">
        <f t="shared" si="4"/>
        <v>1482737</v>
      </c>
      <c r="AM50" s="102">
        <v>173557</v>
      </c>
      <c r="AN50" s="102">
        <v>257491</v>
      </c>
      <c r="AO50" s="74"/>
      <c r="AP50" s="102">
        <v>1051689</v>
      </c>
      <c r="AQ50" s="102">
        <v>736877</v>
      </c>
      <c r="AR50" s="102">
        <v>3809</v>
      </c>
      <c r="AS50" s="102">
        <v>0</v>
      </c>
      <c r="AT50" s="102">
        <v>4198557</v>
      </c>
      <c r="AU50" s="102">
        <v>2043447</v>
      </c>
      <c r="AV50" s="102">
        <v>132808</v>
      </c>
      <c r="AW50" s="102">
        <v>157743</v>
      </c>
      <c r="AX50" s="102">
        <v>2155110</v>
      </c>
      <c r="AY50" s="102">
        <v>262862</v>
      </c>
      <c r="AZ50" s="102">
        <v>933576</v>
      </c>
      <c r="BA50" s="102">
        <v>813838</v>
      </c>
      <c r="BB50" s="102">
        <v>25320</v>
      </c>
      <c r="BC50" s="102">
        <v>1683047</v>
      </c>
      <c r="BD50" s="102">
        <v>374652</v>
      </c>
      <c r="BE50" s="102">
        <v>9989</v>
      </c>
      <c r="BF50" s="102">
        <v>642570</v>
      </c>
      <c r="BG50" s="102">
        <v>86798</v>
      </c>
      <c r="BH50" s="102">
        <v>2044481</v>
      </c>
      <c r="BI50" s="102">
        <v>1561510</v>
      </c>
      <c r="BJ50" s="102">
        <v>1515213</v>
      </c>
      <c r="BK50" s="102">
        <v>447235</v>
      </c>
      <c r="BL50" s="102">
        <v>0</v>
      </c>
      <c r="BM50" s="102">
        <v>0</v>
      </c>
      <c r="BN50" s="102">
        <v>5872717</v>
      </c>
      <c r="BO50" s="73">
        <f t="shared" si="5"/>
        <v>2263000</v>
      </c>
      <c r="BP50" s="73">
        <f t="shared" si="6"/>
        <v>3438217</v>
      </c>
      <c r="BQ50" s="102">
        <v>0</v>
      </c>
      <c r="BR50" s="102">
        <v>0</v>
      </c>
      <c r="BS50" s="102">
        <v>3438217</v>
      </c>
      <c r="BT50" s="102">
        <v>171500</v>
      </c>
      <c r="BU50" s="102">
        <v>67438679</v>
      </c>
      <c r="BV50" s="71"/>
      <c r="BW50" s="102">
        <v>14418023</v>
      </c>
      <c r="BX50" s="102">
        <v>8869814</v>
      </c>
      <c r="BY50" s="102">
        <v>1470837</v>
      </c>
      <c r="BZ50" s="102">
        <v>999566</v>
      </c>
      <c r="CA50" s="102">
        <v>8519178</v>
      </c>
      <c r="CB50" s="102">
        <v>2767093</v>
      </c>
      <c r="CC50" s="102">
        <v>322113</v>
      </c>
      <c r="CD50" s="102">
        <v>5014224</v>
      </c>
      <c r="CE50" s="102">
        <v>226959</v>
      </c>
      <c r="CF50" s="102">
        <v>17921</v>
      </c>
      <c r="CG50" s="102">
        <v>170668</v>
      </c>
      <c r="CH50" s="102">
        <v>7341761</v>
      </c>
      <c r="CI50" s="102">
        <v>6417353</v>
      </c>
      <c r="CJ50" s="83">
        <f t="shared" si="18"/>
        <v>924408</v>
      </c>
      <c r="CK50" s="102">
        <v>9972932</v>
      </c>
      <c r="CL50" s="102">
        <v>5671077</v>
      </c>
      <c r="CM50" s="102">
        <v>1009618</v>
      </c>
      <c r="CN50" s="102">
        <v>1937735</v>
      </c>
      <c r="CO50" s="102">
        <v>612652</v>
      </c>
      <c r="CP50" s="102">
        <v>5266778</v>
      </c>
      <c r="CQ50" s="102">
        <v>1920553</v>
      </c>
      <c r="CR50" s="102">
        <v>1092865</v>
      </c>
      <c r="CS50" s="102">
        <v>793777</v>
      </c>
      <c r="CT50" s="73">
        <f t="shared" si="7"/>
        <v>375182</v>
      </c>
      <c r="CU50" s="102">
        <v>115332</v>
      </c>
      <c r="CV50" s="102">
        <v>259850</v>
      </c>
      <c r="CW50" s="73">
        <f t="shared" si="8"/>
        <v>28362</v>
      </c>
      <c r="CX50" s="102">
        <v>28362</v>
      </c>
      <c r="CY50" s="102">
        <v>0</v>
      </c>
      <c r="CZ50" s="73">
        <f t="shared" si="9"/>
        <v>0</v>
      </c>
      <c r="DA50" s="102">
        <v>0</v>
      </c>
      <c r="DB50" s="102">
        <v>0</v>
      </c>
      <c r="DC50" s="102">
        <v>6448072</v>
      </c>
      <c r="DD50" s="102">
        <v>2650836</v>
      </c>
      <c r="DE50" s="102">
        <v>3795387</v>
      </c>
      <c r="DF50" s="77">
        <v>1698</v>
      </c>
      <c r="DG50" s="78">
        <v>151</v>
      </c>
      <c r="DH50" s="102">
        <v>116071</v>
      </c>
      <c r="DI50" s="102">
        <v>4151024</v>
      </c>
      <c r="DJ50" s="102">
        <v>1759836</v>
      </c>
      <c r="DK50" s="102">
        <v>101609</v>
      </c>
      <c r="DL50" s="102">
        <v>2289579</v>
      </c>
      <c r="DM50" s="102">
        <v>9000</v>
      </c>
      <c r="DN50" s="102">
        <v>9000</v>
      </c>
      <c r="DO50" s="102">
        <v>9000</v>
      </c>
      <c r="DP50" s="102">
        <v>0</v>
      </c>
      <c r="DQ50" s="102">
        <v>21126</v>
      </c>
      <c r="DR50" s="102">
        <v>0</v>
      </c>
      <c r="DS50" s="102">
        <v>0</v>
      </c>
      <c r="DT50" s="102">
        <v>8664075</v>
      </c>
      <c r="DU50" s="102">
        <v>2678863</v>
      </c>
      <c r="DV50" s="73">
        <f t="shared" si="10"/>
        <v>0</v>
      </c>
      <c r="DW50" s="102">
        <v>0</v>
      </c>
      <c r="DX50" s="102">
        <v>2358333</v>
      </c>
      <c r="DY50" s="102">
        <v>0</v>
      </c>
      <c r="DZ50" s="102">
        <v>1344362</v>
      </c>
      <c r="EA50" s="74">
        <v>0</v>
      </c>
      <c r="EB50" s="102">
        <v>2091643</v>
      </c>
      <c r="EC50" s="102">
        <v>0</v>
      </c>
      <c r="ED50" s="102">
        <v>65540692</v>
      </c>
      <c r="EE50" s="71"/>
      <c r="EF50" s="102">
        <v>1897987</v>
      </c>
      <c r="EG50" s="102">
        <v>562562</v>
      </c>
      <c r="EH50" s="102">
        <v>1335425</v>
      </c>
      <c r="EI50" s="102">
        <v>-267085</v>
      </c>
      <c r="EJ50" s="102">
        <v>1227143</v>
      </c>
      <c r="EK50" s="71"/>
      <c r="EL50" s="102"/>
      <c r="EM50" s="102">
        <v>188329</v>
      </c>
      <c r="EN50" s="102">
        <v>1138653</v>
      </c>
      <c r="EO50" s="102">
        <v>869668</v>
      </c>
      <c r="EP50" s="73">
        <f t="shared" si="11"/>
        <v>3812751</v>
      </c>
      <c r="EQ50" s="102">
        <v>43312833</v>
      </c>
      <c r="ER50" s="71">
        <v>-9228480</v>
      </c>
      <c r="ES50" s="102">
        <v>13002598</v>
      </c>
      <c r="ET50" s="102">
        <v>7926785</v>
      </c>
      <c r="EU50" s="102">
        <v>3043833</v>
      </c>
      <c r="EV50" s="102">
        <v>7233323</v>
      </c>
      <c r="EW50" s="73">
        <f t="shared" si="12"/>
        <v>2074536</v>
      </c>
      <c r="EX50" s="102">
        <v>2012318</v>
      </c>
      <c r="EY50" s="102">
        <v>119859</v>
      </c>
      <c r="EZ50" s="102">
        <v>1892102</v>
      </c>
      <c r="FA50" s="102">
        <v>62218</v>
      </c>
      <c r="FB50" s="102">
        <v>0</v>
      </c>
      <c r="FC50" s="102">
        <v>8158175</v>
      </c>
      <c r="FD50" s="102">
        <v>4802460</v>
      </c>
      <c r="FE50" s="102">
        <v>1920553</v>
      </c>
      <c r="FF50" s="102">
        <v>7770621</v>
      </c>
      <c r="FG50" s="73">
        <f t="shared" si="13"/>
        <v>4557780</v>
      </c>
      <c r="FH50" s="102">
        <v>50643326</v>
      </c>
      <c r="FI50" s="379">
        <f t="shared" si="14"/>
        <v>3.1</v>
      </c>
      <c r="FJ50" s="102">
        <v>39487955</v>
      </c>
      <c r="FK50" s="102">
        <v>3439393</v>
      </c>
      <c r="FL50" s="102">
        <v>20084719</v>
      </c>
      <c r="FM50" s="102">
        <v>32967962</v>
      </c>
      <c r="FN50" s="428">
        <v>0.60699999999999998</v>
      </c>
      <c r="FO50" s="424">
        <v>92.7</v>
      </c>
      <c r="FP50" s="425">
        <v>28.2</v>
      </c>
      <c r="FQ50" s="424">
        <v>6.9</v>
      </c>
      <c r="FR50" s="424">
        <v>16.100000000000001</v>
      </c>
      <c r="FS50" s="425">
        <v>16.7</v>
      </c>
      <c r="FT50" s="424">
        <v>8.5</v>
      </c>
      <c r="FU50" s="425">
        <v>15.2</v>
      </c>
      <c r="FV50" s="384">
        <f t="shared" si="15"/>
        <v>11.8</v>
      </c>
      <c r="FW50" s="102">
        <v>62031272</v>
      </c>
      <c r="FX50" s="384">
        <f t="shared" si="16"/>
        <v>144.5</v>
      </c>
      <c r="FY50" s="102">
        <v>30577846</v>
      </c>
      <c r="FZ50" s="102">
        <v>18111937</v>
      </c>
      <c r="GA50" s="102">
        <v>2462946</v>
      </c>
      <c r="GB50" s="102">
        <v>10002963</v>
      </c>
      <c r="GC50" s="102">
        <v>891163</v>
      </c>
      <c r="GD50" s="454">
        <v>903</v>
      </c>
      <c r="GE50" s="452">
        <f>IF(GD50=0,"-",ROUND(GD50/GW50*100,1))</f>
        <v>7.9</v>
      </c>
      <c r="GF50" s="424">
        <v>98.9</v>
      </c>
      <c r="GG50" s="424">
        <v>19.3</v>
      </c>
      <c r="GH50" s="424">
        <v>94.5</v>
      </c>
      <c r="GI50" s="102">
        <v>1521</v>
      </c>
      <c r="GJ50" s="429" t="s">
        <v>646</v>
      </c>
      <c r="GK50" s="429" t="s">
        <v>646</v>
      </c>
      <c r="GL50" s="88" t="s">
        <v>646</v>
      </c>
      <c r="GM50" s="429" t="s">
        <v>646</v>
      </c>
      <c r="GN50" s="429" t="s">
        <v>646</v>
      </c>
      <c r="GO50" s="429" t="s">
        <v>646</v>
      </c>
      <c r="GP50" s="425">
        <v>11.8</v>
      </c>
      <c r="GQ50" s="431" t="s">
        <v>646</v>
      </c>
      <c r="GR50" s="431" t="s">
        <v>646</v>
      </c>
      <c r="GS50" s="425">
        <v>24.6</v>
      </c>
      <c r="GT50" s="429" t="s">
        <v>646</v>
      </c>
      <c r="GU50" s="394"/>
      <c r="GV50" s="100">
        <f t="shared" si="17"/>
        <v>42927</v>
      </c>
      <c r="GW50" s="394">
        <f>GV44+GV48</f>
        <v>11449</v>
      </c>
      <c r="GX50" s="394"/>
      <c r="GY50" s="394"/>
      <c r="GZ50" s="394"/>
      <c r="HA50" s="394"/>
      <c r="HB50" s="394"/>
      <c r="HC50" s="394"/>
      <c r="HD50" s="394"/>
      <c r="HE50" s="394"/>
      <c r="HF50" s="394"/>
      <c r="HG50" s="394"/>
      <c r="HH50" s="394"/>
      <c r="HI50" s="394"/>
      <c r="HJ50" s="394"/>
      <c r="HK50" s="394"/>
      <c r="HL50" s="394"/>
      <c r="HM50" s="394"/>
      <c r="HN50" s="394"/>
      <c r="HO50" s="394"/>
      <c r="HP50" s="394"/>
      <c r="HQ50" s="394"/>
      <c r="HR50" s="394"/>
      <c r="HS50" s="394"/>
      <c r="HT50" s="394"/>
      <c r="HU50" s="394"/>
      <c r="HV50" s="394"/>
    </row>
    <row r="51" spans="2:230" x14ac:dyDescent="0.15">
      <c r="B51" s="21" t="s">
        <v>91</v>
      </c>
      <c r="C51" s="102">
        <v>762169324</v>
      </c>
      <c r="D51" s="73">
        <f t="shared" si="0"/>
        <v>283780036</v>
      </c>
      <c r="E51" s="102">
        <v>6731065</v>
      </c>
      <c r="F51" s="102">
        <v>277048971</v>
      </c>
      <c r="G51" s="73">
        <f t="shared" si="1"/>
        <v>54115419</v>
      </c>
      <c r="H51" s="102">
        <v>13192643</v>
      </c>
      <c r="I51" s="102">
        <v>40922776</v>
      </c>
      <c r="J51" s="102">
        <v>308868021</v>
      </c>
      <c r="K51" s="102">
        <v>132507270</v>
      </c>
      <c r="L51" s="102">
        <v>130136505</v>
      </c>
      <c r="M51" s="102">
        <v>41032330</v>
      </c>
      <c r="N51" s="102">
        <v>40048776</v>
      </c>
      <c r="O51" s="102">
        <v>62479659</v>
      </c>
      <c r="P51" s="102">
        <v>35199354</v>
      </c>
      <c r="Q51" s="102">
        <v>27280305</v>
      </c>
      <c r="R51" s="102">
        <v>11623766</v>
      </c>
      <c r="S51" s="74"/>
      <c r="T51" s="73">
        <f t="shared" si="2"/>
        <v>67411511</v>
      </c>
      <c r="U51" s="102">
        <v>3068836</v>
      </c>
      <c r="V51" s="102">
        <v>4457274</v>
      </c>
      <c r="W51" s="102">
        <v>6840019</v>
      </c>
      <c r="X51" s="102">
        <v>47722199</v>
      </c>
      <c r="Y51" s="102">
        <v>953742</v>
      </c>
      <c r="Z51" s="102">
        <v>0</v>
      </c>
      <c r="AA51" s="102">
        <v>4369441</v>
      </c>
      <c r="AB51" s="102">
        <v>4243774</v>
      </c>
      <c r="AC51" s="102">
        <v>206950963</v>
      </c>
      <c r="AD51" s="102">
        <v>192813243</v>
      </c>
      <c r="AE51" s="102">
        <v>14137233</v>
      </c>
      <c r="AF51" s="102">
        <v>863442</v>
      </c>
      <c r="AG51" s="102">
        <v>21322950</v>
      </c>
      <c r="AH51" s="73">
        <f t="shared" si="3"/>
        <v>35836567</v>
      </c>
      <c r="AI51" s="102">
        <v>27801914</v>
      </c>
      <c r="AJ51" s="102">
        <v>8034653</v>
      </c>
      <c r="AK51" s="102">
        <v>359442727</v>
      </c>
      <c r="AL51" s="73">
        <f t="shared" si="4"/>
        <v>216272483</v>
      </c>
      <c r="AM51" s="102">
        <v>159300544</v>
      </c>
      <c r="AN51" s="102">
        <v>18897260</v>
      </c>
      <c r="AO51" s="74"/>
      <c r="AP51" s="102">
        <v>38074679</v>
      </c>
      <c r="AQ51" s="102">
        <v>19961925</v>
      </c>
      <c r="AR51" s="102">
        <v>62478</v>
      </c>
      <c r="AS51" s="102">
        <v>262076</v>
      </c>
      <c r="AT51" s="102">
        <v>115319528</v>
      </c>
      <c r="AU51" s="102">
        <v>72192841</v>
      </c>
      <c r="AV51" s="102">
        <v>7204421</v>
      </c>
      <c r="AW51" s="102">
        <v>5918456</v>
      </c>
      <c r="AX51" s="102">
        <v>43126687</v>
      </c>
      <c r="AY51" s="102">
        <v>2399994</v>
      </c>
      <c r="AZ51" s="102">
        <v>10612735</v>
      </c>
      <c r="BA51" s="102">
        <v>8438620</v>
      </c>
      <c r="BB51" s="102">
        <v>1481465</v>
      </c>
      <c r="BC51" s="102">
        <v>23310826</v>
      </c>
      <c r="BD51" s="102">
        <v>4173839</v>
      </c>
      <c r="BE51" s="102">
        <v>2674008</v>
      </c>
      <c r="BF51" s="102">
        <v>11423248</v>
      </c>
      <c r="BG51" s="102">
        <v>730807</v>
      </c>
      <c r="BH51" s="102">
        <v>25438491</v>
      </c>
      <c r="BI51" s="102">
        <v>15626238</v>
      </c>
      <c r="BJ51" s="102">
        <v>37070816</v>
      </c>
      <c r="BK51" s="102">
        <v>9884536</v>
      </c>
      <c r="BL51" s="102">
        <v>286067</v>
      </c>
      <c r="BM51" s="102">
        <v>4200712</v>
      </c>
      <c r="BN51" s="102">
        <v>182762874</v>
      </c>
      <c r="BO51" s="73">
        <f t="shared" si="5"/>
        <v>95016500</v>
      </c>
      <c r="BP51" s="73">
        <f t="shared" si="6"/>
        <v>86004274</v>
      </c>
      <c r="BQ51" s="102">
        <v>0</v>
      </c>
      <c r="BR51" s="102">
        <v>123000</v>
      </c>
      <c r="BS51" s="102">
        <v>85881274</v>
      </c>
      <c r="BT51" s="102">
        <v>1742100</v>
      </c>
      <c r="BU51" s="102">
        <v>1866123835</v>
      </c>
      <c r="BV51" s="71"/>
      <c r="BW51" s="102">
        <v>303381865</v>
      </c>
      <c r="BX51" s="102">
        <v>195960788</v>
      </c>
      <c r="BY51" s="102">
        <v>30160104</v>
      </c>
      <c r="BZ51" s="102">
        <v>22504383</v>
      </c>
      <c r="CA51" s="102">
        <v>521917463</v>
      </c>
      <c r="CB51" s="102">
        <v>94565285</v>
      </c>
      <c r="CC51" s="102">
        <v>9984670</v>
      </c>
      <c r="CD51" s="102">
        <v>197564387</v>
      </c>
      <c r="CE51" s="102">
        <v>208417242</v>
      </c>
      <c r="CF51" s="102">
        <v>5175259</v>
      </c>
      <c r="CG51" s="102">
        <v>6187855</v>
      </c>
      <c r="CH51" s="102">
        <v>177742194</v>
      </c>
      <c r="CI51" s="102">
        <v>155230623</v>
      </c>
      <c r="CJ51" s="83">
        <f t="shared" si="18"/>
        <v>22511571</v>
      </c>
      <c r="CK51" s="102">
        <v>203297549</v>
      </c>
      <c r="CL51" s="102">
        <v>122887853</v>
      </c>
      <c r="CM51" s="102">
        <v>14121482</v>
      </c>
      <c r="CN51" s="102">
        <v>37510463</v>
      </c>
      <c r="CO51" s="102">
        <v>15250600</v>
      </c>
      <c r="CP51" s="102">
        <v>177081223</v>
      </c>
      <c r="CQ51" s="102">
        <v>36765564</v>
      </c>
      <c r="CR51" s="102">
        <v>38136226</v>
      </c>
      <c r="CS51" s="102">
        <v>26803546</v>
      </c>
      <c r="CT51" s="73">
        <f t="shared" si="7"/>
        <v>41533845</v>
      </c>
      <c r="CU51" s="102">
        <v>25812797</v>
      </c>
      <c r="CV51" s="102">
        <v>15721048</v>
      </c>
      <c r="CW51" s="73">
        <f t="shared" si="8"/>
        <v>14945044</v>
      </c>
      <c r="CX51" s="102">
        <v>8966133</v>
      </c>
      <c r="CY51" s="102">
        <v>5978911</v>
      </c>
      <c r="CZ51" s="73">
        <f t="shared" si="9"/>
        <v>23893444</v>
      </c>
      <c r="DA51" s="102">
        <v>15868296</v>
      </c>
      <c r="DB51" s="102">
        <v>8025148</v>
      </c>
      <c r="DC51" s="102">
        <v>165430672</v>
      </c>
      <c r="DD51" s="102">
        <v>83675033</v>
      </c>
      <c r="DE51" s="102">
        <v>78762008</v>
      </c>
      <c r="DF51" s="77">
        <v>1927893</v>
      </c>
      <c r="DG51" s="78">
        <v>1061417</v>
      </c>
      <c r="DH51" s="102">
        <v>679056</v>
      </c>
      <c r="DI51" s="102">
        <v>44919447</v>
      </c>
      <c r="DJ51" s="102">
        <v>16639663</v>
      </c>
      <c r="DK51" s="102">
        <v>3903620</v>
      </c>
      <c r="DL51" s="102">
        <v>24376164</v>
      </c>
      <c r="DM51" s="102">
        <v>5434467</v>
      </c>
      <c r="DN51" s="102">
        <v>5167170</v>
      </c>
      <c r="DO51" s="102">
        <v>667412</v>
      </c>
      <c r="DP51" s="102">
        <v>3509542</v>
      </c>
      <c r="DQ51" s="102">
        <v>11038469</v>
      </c>
      <c r="DR51" s="102">
        <v>0</v>
      </c>
      <c r="DS51" s="102">
        <v>0</v>
      </c>
      <c r="DT51" s="102">
        <v>205073234</v>
      </c>
      <c r="DU51" s="102">
        <v>42461741</v>
      </c>
      <c r="DV51" s="73">
        <f t="shared" si="10"/>
        <v>0</v>
      </c>
      <c r="DW51" s="102">
        <v>0</v>
      </c>
      <c r="DX51" s="102">
        <v>54826053</v>
      </c>
      <c r="DY51" s="102">
        <v>491643</v>
      </c>
      <c r="DZ51" s="102">
        <v>53941734</v>
      </c>
      <c r="EA51" s="74">
        <v>0</v>
      </c>
      <c r="EB51" s="102">
        <v>50265710</v>
      </c>
      <c r="EC51" s="102">
        <v>0</v>
      </c>
      <c r="ED51" s="102">
        <v>1831246239</v>
      </c>
      <c r="EE51" s="71"/>
      <c r="EF51" s="102">
        <v>34877596</v>
      </c>
      <c r="EG51" s="102">
        <v>8494832</v>
      </c>
      <c r="EH51" s="102">
        <v>26382764</v>
      </c>
      <c r="EI51" s="102">
        <v>8224525</v>
      </c>
      <c r="EJ51" s="102">
        <v>25043224</v>
      </c>
      <c r="EK51" s="71"/>
      <c r="EL51" s="102"/>
      <c r="EM51" s="102">
        <v>5361757</v>
      </c>
      <c r="EN51" s="102">
        <v>11680748</v>
      </c>
      <c r="EO51" s="102">
        <v>9973229</v>
      </c>
      <c r="EP51" s="73">
        <f t="shared" si="11"/>
        <v>61631344</v>
      </c>
      <c r="EQ51" s="102">
        <v>1053524856</v>
      </c>
      <c r="ER51" s="71">
        <v>-168164077</v>
      </c>
      <c r="ES51" s="102">
        <v>279075645</v>
      </c>
      <c r="ET51" s="102">
        <v>178025852</v>
      </c>
      <c r="EU51" s="102">
        <v>151405460</v>
      </c>
      <c r="EV51" s="102">
        <v>174561535</v>
      </c>
      <c r="EW51" s="73">
        <f t="shared" si="12"/>
        <v>43446467</v>
      </c>
      <c r="EX51" s="102">
        <v>43003710</v>
      </c>
      <c r="EY51" s="102">
        <v>3449923</v>
      </c>
      <c r="EZ51" s="102">
        <v>39333141</v>
      </c>
      <c r="FA51" s="102">
        <v>442757</v>
      </c>
      <c r="FB51" s="102">
        <v>0</v>
      </c>
      <c r="FC51" s="102">
        <v>165233149</v>
      </c>
      <c r="FD51" s="102">
        <v>133749339</v>
      </c>
      <c r="FE51" s="102">
        <v>36102855</v>
      </c>
      <c r="FF51" s="102">
        <v>177563477</v>
      </c>
      <c r="FG51" s="73">
        <f t="shared" si="13"/>
        <v>61861841</v>
      </c>
      <c r="FH51" s="102">
        <v>1186896913</v>
      </c>
      <c r="FI51" s="379">
        <f t="shared" si="14"/>
        <v>2.5</v>
      </c>
      <c r="FJ51" s="102">
        <v>960056888</v>
      </c>
      <c r="FK51" s="102">
        <v>96686145</v>
      </c>
      <c r="FL51" s="102">
        <v>587983851</v>
      </c>
      <c r="FM51" s="102">
        <v>779592437</v>
      </c>
      <c r="FN51" s="428">
        <v>0.753</v>
      </c>
      <c r="FO51" s="424">
        <v>94.4</v>
      </c>
      <c r="FP51" s="425">
        <v>25.4</v>
      </c>
      <c r="FQ51" s="424">
        <v>14.1</v>
      </c>
      <c r="FR51" s="424">
        <v>15.9</v>
      </c>
      <c r="FS51" s="425">
        <v>14.4</v>
      </c>
      <c r="FT51" s="424">
        <v>9.5</v>
      </c>
      <c r="FU51" s="425">
        <v>13.8</v>
      </c>
      <c r="FV51" s="384">
        <f t="shared" si="15"/>
        <v>6.3</v>
      </c>
      <c r="FW51" s="102">
        <v>1563322424</v>
      </c>
      <c r="FX51" s="384">
        <f t="shared" si="16"/>
        <v>147.9</v>
      </c>
      <c r="FY51" s="102">
        <v>339460542</v>
      </c>
      <c r="FZ51" s="102">
        <v>144759534</v>
      </c>
      <c r="GA51" s="102">
        <v>28113599</v>
      </c>
      <c r="GB51" s="102">
        <v>166587409</v>
      </c>
      <c r="GC51" s="102">
        <v>12937232</v>
      </c>
      <c r="GD51" s="454">
        <v>40816</v>
      </c>
      <c r="GE51" s="452">
        <f>IF(GD51=0,"-",ROUND(GD51/GW51*100,1))</f>
        <v>10.6</v>
      </c>
      <c r="GF51" s="424">
        <v>98.7</v>
      </c>
      <c r="GG51" s="424">
        <v>26.6</v>
      </c>
      <c r="GH51" s="424">
        <v>95.1</v>
      </c>
      <c r="GI51" s="102">
        <v>30796</v>
      </c>
      <c r="GJ51" s="429" t="s">
        <v>646</v>
      </c>
      <c r="GK51" s="429" t="s">
        <v>646</v>
      </c>
      <c r="GL51" s="88" t="s">
        <v>646</v>
      </c>
      <c r="GM51" s="429" t="s">
        <v>646</v>
      </c>
      <c r="GN51" s="429" t="s">
        <v>646</v>
      </c>
      <c r="GO51" s="429" t="s">
        <v>646</v>
      </c>
      <c r="GP51" s="425">
        <v>6.3</v>
      </c>
      <c r="GQ51" s="431" t="s">
        <v>646</v>
      </c>
      <c r="GR51" s="431" t="s">
        <v>646</v>
      </c>
      <c r="GS51" s="425">
        <v>19.2</v>
      </c>
      <c r="GT51" s="429" t="s">
        <v>646</v>
      </c>
      <c r="GU51" s="394"/>
      <c r="GV51" s="100">
        <f t="shared" si="17"/>
        <v>1056743</v>
      </c>
      <c r="GW51" s="394">
        <f>GW39+GW50</f>
        <v>383817</v>
      </c>
      <c r="GX51" s="394"/>
      <c r="GY51" s="394"/>
      <c r="GZ51" s="394"/>
      <c r="HA51" s="394"/>
      <c r="HB51" s="394"/>
      <c r="HC51" s="394"/>
      <c r="HD51" s="394"/>
      <c r="HE51" s="394"/>
      <c r="HF51" s="394"/>
      <c r="HG51" s="394"/>
      <c r="HH51" s="394"/>
      <c r="HI51" s="394"/>
      <c r="HJ51" s="394"/>
      <c r="HK51" s="394"/>
      <c r="HL51" s="394"/>
      <c r="HM51" s="394"/>
      <c r="HN51" s="394"/>
      <c r="HO51" s="394"/>
      <c r="HP51" s="394"/>
      <c r="HQ51" s="394"/>
      <c r="HR51" s="394"/>
      <c r="HS51" s="394"/>
      <c r="HT51" s="394"/>
      <c r="HU51" s="394"/>
      <c r="HV51" s="394"/>
    </row>
    <row r="52" spans="2:230" x14ac:dyDescent="0.15">
      <c r="B52" s="72" t="s">
        <v>0</v>
      </c>
      <c r="C52" s="102">
        <v>1535097914</v>
      </c>
      <c r="D52" s="73">
        <f t="shared" si="0"/>
        <v>461891292</v>
      </c>
      <c r="E52" s="102">
        <v>11407948</v>
      </c>
      <c r="F52" s="102">
        <v>450483344</v>
      </c>
      <c r="G52" s="73">
        <f t="shared" si="1"/>
        <v>189450136</v>
      </c>
      <c r="H52" s="102">
        <v>33379311</v>
      </c>
      <c r="I52" s="102">
        <v>156070825</v>
      </c>
      <c r="J52" s="102">
        <v>633229518</v>
      </c>
      <c r="K52" s="102">
        <v>259590761</v>
      </c>
      <c r="L52" s="102">
        <v>279462954</v>
      </c>
      <c r="M52" s="102">
        <v>87295345</v>
      </c>
      <c r="N52" s="102">
        <v>78737788</v>
      </c>
      <c r="O52" s="102">
        <v>127065732</v>
      </c>
      <c r="P52" s="102">
        <v>67212640</v>
      </c>
      <c r="Q52" s="102">
        <v>59853092</v>
      </c>
      <c r="R52" s="102">
        <v>20115534</v>
      </c>
      <c r="S52" s="74"/>
      <c r="T52" s="73">
        <f t="shared" si="2"/>
        <v>124932529</v>
      </c>
      <c r="U52" s="102">
        <v>4967179</v>
      </c>
      <c r="V52" s="102">
        <v>7220225</v>
      </c>
      <c r="W52" s="102">
        <v>11086162</v>
      </c>
      <c r="X52" s="102">
        <v>92289773</v>
      </c>
      <c r="Y52" s="102">
        <v>1096332</v>
      </c>
      <c r="Z52" s="102">
        <v>0</v>
      </c>
      <c r="AA52" s="102">
        <v>8272858</v>
      </c>
      <c r="AB52" s="102">
        <v>6922643</v>
      </c>
      <c r="AC52" s="102">
        <v>276868556</v>
      </c>
      <c r="AD52" s="102">
        <v>260404815</v>
      </c>
      <c r="AE52" s="102">
        <v>16462981</v>
      </c>
      <c r="AF52" s="102">
        <v>2121209</v>
      </c>
      <c r="AG52" s="102">
        <v>34570802</v>
      </c>
      <c r="AH52" s="73">
        <f t="shared" si="3"/>
        <v>104052256</v>
      </c>
      <c r="AI52" s="102">
        <v>84857257</v>
      </c>
      <c r="AJ52" s="102">
        <v>19194999</v>
      </c>
      <c r="AK52" s="102">
        <v>789069182</v>
      </c>
      <c r="AL52" s="73">
        <f t="shared" si="4"/>
        <v>535038012</v>
      </c>
      <c r="AM52" s="102">
        <v>412165614</v>
      </c>
      <c r="AN52" s="102">
        <v>45408387</v>
      </c>
      <c r="AO52" s="74"/>
      <c r="AP52" s="102">
        <v>77464011</v>
      </c>
      <c r="AQ52" s="102">
        <v>36136474</v>
      </c>
      <c r="AR52" s="102">
        <v>62478</v>
      </c>
      <c r="AS52" s="102">
        <v>271872</v>
      </c>
      <c r="AT52" s="102">
        <v>184394029</v>
      </c>
      <c r="AU52" s="102">
        <v>108210725</v>
      </c>
      <c r="AV52" s="102">
        <v>7204421</v>
      </c>
      <c r="AW52" s="102">
        <v>8700468</v>
      </c>
      <c r="AX52" s="102">
        <v>76183304</v>
      </c>
      <c r="AY52" s="102">
        <v>2423226</v>
      </c>
      <c r="AZ52" s="102">
        <v>58573800</v>
      </c>
      <c r="BA52" s="102">
        <v>44307402</v>
      </c>
      <c r="BB52" s="102">
        <v>1826970</v>
      </c>
      <c r="BC52" s="102">
        <v>72741704</v>
      </c>
      <c r="BD52" s="102">
        <v>4173839</v>
      </c>
      <c r="BE52" s="102">
        <v>37940831</v>
      </c>
      <c r="BF52" s="102">
        <v>20140921</v>
      </c>
      <c r="BG52" s="102">
        <v>730807</v>
      </c>
      <c r="BH52" s="102">
        <v>29399106</v>
      </c>
      <c r="BI52" s="102">
        <v>17578332</v>
      </c>
      <c r="BJ52" s="102">
        <v>242203517</v>
      </c>
      <c r="BK52" s="102">
        <v>131210829</v>
      </c>
      <c r="BL52" s="102">
        <v>689838</v>
      </c>
      <c r="BM52" s="102">
        <v>20649012</v>
      </c>
      <c r="BN52" s="102">
        <v>382063474</v>
      </c>
      <c r="BO52" s="73">
        <f t="shared" si="5"/>
        <v>172904300</v>
      </c>
      <c r="BP52" s="73">
        <f t="shared" si="6"/>
        <v>205947074</v>
      </c>
      <c r="BQ52" s="102">
        <v>0</v>
      </c>
      <c r="BR52" s="102">
        <v>123000</v>
      </c>
      <c r="BS52" s="102">
        <v>205824074</v>
      </c>
      <c r="BT52" s="102">
        <v>3212100</v>
      </c>
      <c r="BU52" s="102">
        <v>3882235304</v>
      </c>
      <c r="BV52" s="71"/>
      <c r="BW52" s="102">
        <v>561525919</v>
      </c>
      <c r="BX52" s="102">
        <v>379217052</v>
      </c>
      <c r="BY52" s="102">
        <v>52932231</v>
      </c>
      <c r="BZ52" s="102">
        <v>33327895</v>
      </c>
      <c r="CA52" s="102">
        <v>1131324308</v>
      </c>
      <c r="CB52" s="102">
        <v>183475210</v>
      </c>
      <c r="CC52" s="102">
        <v>19424388</v>
      </c>
      <c r="CD52" s="102">
        <v>354353346</v>
      </c>
      <c r="CE52" s="102">
        <v>546419880</v>
      </c>
      <c r="CF52" s="102">
        <v>18422367</v>
      </c>
      <c r="CG52" s="102">
        <v>9206352</v>
      </c>
      <c r="CH52" s="102">
        <v>491323612</v>
      </c>
      <c r="CI52" s="102">
        <v>420514961</v>
      </c>
      <c r="CJ52" s="83">
        <f t="shared" si="18"/>
        <v>70808651</v>
      </c>
      <c r="CK52" s="102">
        <v>347709240</v>
      </c>
      <c r="CL52" s="102">
        <v>215450403</v>
      </c>
      <c r="CM52" s="102">
        <v>18988026</v>
      </c>
      <c r="CN52" s="102">
        <v>64342901</v>
      </c>
      <c r="CO52" s="102">
        <v>33049743</v>
      </c>
      <c r="CP52" s="102">
        <v>353021529</v>
      </c>
      <c r="CQ52" s="102">
        <v>37152130</v>
      </c>
      <c r="CR52" s="102">
        <v>103235963</v>
      </c>
      <c r="CS52" s="102">
        <v>79369577</v>
      </c>
      <c r="CT52" s="73">
        <f t="shared" si="7"/>
        <v>97574266</v>
      </c>
      <c r="CU52" s="102">
        <v>40899778</v>
      </c>
      <c r="CV52" s="102">
        <v>56674488</v>
      </c>
      <c r="CW52" s="73">
        <f t="shared" si="8"/>
        <v>23852647</v>
      </c>
      <c r="CX52" s="102">
        <v>16978513</v>
      </c>
      <c r="CY52" s="102">
        <v>6874134</v>
      </c>
      <c r="CZ52" s="73">
        <f t="shared" si="9"/>
        <v>63598723</v>
      </c>
      <c r="DA52" s="102">
        <v>22636833</v>
      </c>
      <c r="DB52" s="102">
        <v>40961890</v>
      </c>
      <c r="DC52" s="102">
        <v>290416682</v>
      </c>
      <c r="DD52" s="102">
        <v>155903565</v>
      </c>
      <c r="DE52" s="102">
        <v>127064412</v>
      </c>
      <c r="DF52" s="102">
        <v>1985369</v>
      </c>
      <c r="DG52" s="102">
        <v>1465157</v>
      </c>
      <c r="DH52" s="102">
        <v>679056</v>
      </c>
      <c r="DI52" s="102">
        <v>112534403</v>
      </c>
      <c r="DJ52" s="102">
        <v>55687351</v>
      </c>
      <c r="DK52" s="102">
        <v>5191605</v>
      </c>
      <c r="DL52" s="102">
        <v>51655447</v>
      </c>
      <c r="DM52" s="102">
        <v>15956327</v>
      </c>
      <c r="DN52" s="102">
        <v>9758816</v>
      </c>
      <c r="DO52" s="102">
        <v>667412</v>
      </c>
      <c r="DP52" s="102">
        <v>3509542</v>
      </c>
      <c r="DQ52" s="102">
        <v>127376559</v>
      </c>
      <c r="DR52" s="102">
        <v>0</v>
      </c>
      <c r="DS52" s="102">
        <v>0</v>
      </c>
      <c r="DT52" s="102">
        <v>354099921</v>
      </c>
      <c r="DU52" s="102">
        <v>42461741</v>
      </c>
      <c r="DV52" s="73">
        <f t="shared" si="10"/>
        <v>16728251</v>
      </c>
      <c r="DW52" s="102">
        <v>16728251</v>
      </c>
      <c r="DX52" s="102">
        <v>96298630</v>
      </c>
      <c r="DY52" s="102">
        <v>491755</v>
      </c>
      <c r="DZ52" s="102">
        <v>102249415</v>
      </c>
      <c r="EA52" s="74">
        <v>0</v>
      </c>
      <c r="EB52" s="102">
        <v>90125816</v>
      </c>
      <c r="EC52" s="102">
        <v>0</v>
      </c>
      <c r="ED52" s="102">
        <v>3819017299</v>
      </c>
      <c r="EE52" s="71"/>
      <c r="EF52" s="102">
        <v>63218005</v>
      </c>
      <c r="EG52" s="102">
        <v>11019721</v>
      </c>
      <c r="EH52" s="102">
        <v>52198284</v>
      </c>
      <c r="EI52" s="102">
        <v>32087951</v>
      </c>
      <c r="EJ52" s="102">
        <v>87959624</v>
      </c>
      <c r="EK52" s="71"/>
      <c r="EL52" s="102"/>
      <c r="EM52" s="102">
        <v>8878694</v>
      </c>
      <c r="EN52" s="102">
        <v>46948501</v>
      </c>
      <c r="EO52" s="102">
        <v>25773769</v>
      </c>
      <c r="EP52" s="73">
        <f t="shared" si="11"/>
        <v>135296219</v>
      </c>
      <c r="EQ52" s="102">
        <v>1983340464</v>
      </c>
      <c r="ER52" s="71">
        <v>-394562275</v>
      </c>
      <c r="ES52" s="102">
        <v>513717047</v>
      </c>
      <c r="ET52" s="102">
        <v>345218637</v>
      </c>
      <c r="EU52" s="102">
        <v>333550168</v>
      </c>
      <c r="EV52" s="102">
        <v>455669968</v>
      </c>
      <c r="EW52" s="73">
        <f t="shared" si="12"/>
        <v>76664232</v>
      </c>
      <c r="EX52" s="102">
        <v>76221475</v>
      </c>
      <c r="EY52" s="102">
        <v>8033231</v>
      </c>
      <c r="EZ52" s="102">
        <v>67247464</v>
      </c>
      <c r="FA52" s="102">
        <v>442757</v>
      </c>
      <c r="FB52" s="102">
        <v>0</v>
      </c>
      <c r="FC52" s="102">
        <v>264128899</v>
      </c>
      <c r="FD52" s="102">
        <v>250195857</v>
      </c>
      <c r="FE52" s="102">
        <v>36489421</v>
      </c>
      <c r="FF52" s="102">
        <v>303825194</v>
      </c>
      <c r="FG52" s="73">
        <f t="shared" si="13"/>
        <v>117089317</v>
      </c>
      <c r="FH52" s="102">
        <v>2314840682</v>
      </c>
      <c r="FI52" s="379">
        <f t="shared" si="14"/>
        <v>2.6</v>
      </c>
      <c r="FJ52" s="102">
        <v>1790789395</v>
      </c>
      <c r="FK52" s="102">
        <v>216629171</v>
      </c>
      <c r="FL52" s="102">
        <v>1169117254</v>
      </c>
      <c r="FM52" s="102">
        <v>1427400551</v>
      </c>
      <c r="FN52" s="151">
        <v>0.81599999999999995</v>
      </c>
      <c r="FO52" s="424">
        <v>96.1</v>
      </c>
      <c r="FP52" s="151">
        <v>24.5</v>
      </c>
      <c r="FQ52" s="424">
        <v>16.100000000000001</v>
      </c>
      <c r="FR52" s="424">
        <v>21.8</v>
      </c>
      <c r="FS52" s="151">
        <v>11.9</v>
      </c>
      <c r="FT52" s="424">
        <v>9.4</v>
      </c>
      <c r="FU52" s="151">
        <v>11.4</v>
      </c>
      <c r="FV52" s="384">
        <f t="shared" si="15"/>
        <v>7.2</v>
      </c>
      <c r="FW52" s="102">
        <v>4506689020</v>
      </c>
      <c r="FX52" s="384">
        <f t="shared" si="16"/>
        <v>224.5</v>
      </c>
      <c r="FY52" s="102">
        <v>589815914</v>
      </c>
      <c r="FZ52" s="102">
        <v>304676701</v>
      </c>
      <c r="GA52" s="102">
        <v>39272105</v>
      </c>
      <c r="GB52" s="102">
        <v>245867108</v>
      </c>
      <c r="GC52" s="102">
        <v>12937232</v>
      </c>
      <c r="GD52" s="454">
        <v>53304</v>
      </c>
      <c r="GE52" s="31">
        <f>IF(GD52=0,"-",ROUND(GD52/GW52*100,1))</f>
        <v>9.3000000000000007</v>
      </c>
      <c r="GF52" s="424">
        <v>98.9</v>
      </c>
      <c r="GG52" s="424">
        <v>26.3</v>
      </c>
      <c r="GH52" s="424">
        <v>95.8</v>
      </c>
      <c r="GI52" s="102">
        <v>59304</v>
      </c>
      <c r="GJ52" s="429" t="s">
        <v>646</v>
      </c>
      <c r="GK52" s="429" t="s">
        <v>646</v>
      </c>
      <c r="GL52" s="88" t="s">
        <v>646</v>
      </c>
      <c r="GM52" s="429" t="s">
        <v>646</v>
      </c>
      <c r="GN52" s="429" t="s">
        <v>646</v>
      </c>
      <c r="GO52" s="429" t="s">
        <v>646</v>
      </c>
      <c r="GP52" s="425">
        <v>7.2</v>
      </c>
      <c r="GQ52" s="431" t="s">
        <v>646</v>
      </c>
      <c r="GR52" s="431" t="s">
        <v>646</v>
      </c>
      <c r="GS52" s="151">
        <v>69.7</v>
      </c>
      <c r="GT52" s="429" t="s">
        <v>646</v>
      </c>
      <c r="GV52" s="100">
        <f t="shared" si="17"/>
        <v>2007419</v>
      </c>
      <c r="GW52" s="394">
        <f>GW51+GV7</f>
        <v>570502</v>
      </c>
    </row>
    <row r="53" spans="2:230" x14ac:dyDescent="0.15">
      <c r="S53" s="75"/>
      <c r="CI53" s="89"/>
      <c r="CJ53" s="84"/>
      <c r="EI53" s="420">
        <f>EI8+EI10+EI12+EI14+EI23+EI24+EI25+EI27+EI31+EI32+EI37+EI43+EI44+EI45+EI47+EI48</f>
        <v>-2645249</v>
      </c>
      <c r="FJ53" s="394">
        <f>FJ44+FJ47+FJ45</f>
        <v>13531011</v>
      </c>
      <c r="FK53" s="394">
        <f>FK44+FK47+FK45</f>
        <v>977590</v>
      </c>
      <c r="GE53" s="89" t="s">
        <v>647</v>
      </c>
      <c r="GW53" s="101" t="s">
        <v>648</v>
      </c>
      <c r="GX53" s="101"/>
    </row>
    <row r="54" spans="2:230" x14ac:dyDescent="0.15">
      <c r="S54" s="75"/>
      <c r="CI54" s="89"/>
      <c r="CJ54" s="84"/>
      <c r="EI54" s="420">
        <f>EI51-EI53</f>
        <v>10869774</v>
      </c>
      <c r="EM54" s="423">
        <v>5360883</v>
      </c>
      <c r="FJ54" s="394">
        <f>FJ39+FJ53</f>
        <v>934099944</v>
      </c>
      <c r="FK54" s="394">
        <f>FK39+FK53</f>
        <v>94224342</v>
      </c>
      <c r="GF54" s="388"/>
      <c r="GG54" s="388"/>
      <c r="GH54" s="388"/>
      <c r="GI54" s="272">
        <v>31346</v>
      </c>
    </row>
    <row r="55" spans="2:230" x14ac:dyDescent="0.15">
      <c r="S55" s="75"/>
      <c r="CI55" s="89"/>
      <c r="CJ55" s="84"/>
    </row>
    <row r="56" spans="2:230" x14ac:dyDescent="0.15">
      <c r="B56" s="89" t="s">
        <v>650</v>
      </c>
      <c r="C56" s="89" t="str">
        <f t="shared" ref="C56:AH56" si="19">IF(SUM(C8:C38)=C39,"ok","エラー")</f>
        <v>ok</v>
      </c>
      <c r="D56" s="89" t="str">
        <f t="shared" si="19"/>
        <v>ok</v>
      </c>
      <c r="E56" s="89" t="str">
        <f t="shared" si="19"/>
        <v>ok</v>
      </c>
      <c r="F56" s="89" t="str">
        <f t="shared" si="19"/>
        <v>ok</v>
      </c>
      <c r="G56" s="89" t="str">
        <f t="shared" si="19"/>
        <v>ok</v>
      </c>
      <c r="H56" s="89" t="str">
        <f t="shared" si="19"/>
        <v>ok</v>
      </c>
      <c r="I56" s="89" t="str">
        <f t="shared" si="19"/>
        <v>ok</v>
      </c>
      <c r="J56" s="89" t="str">
        <f t="shared" si="19"/>
        <v>ok</v>
      </c>
      <c r="K56" s="89" t="str">
        <f t="shared" si="19"/>
        <v>ok</v>
      </c>
      <c r="L56" s="89" t="str">
        <f t="shared" si="19"/>
        <v>ok</v>
      </c>
      <c r="M56" s="89" t="str">
        <f t="shared" si="19"/>
        <v>ok</v>
      </c>
      <c r="N56" s="89" t="str">
        <f t="shared" si="19"/>
        <v>ok</v>
      </c>
      <c r="O56" s="89" t="str">
        <f t="shared" si="19"/>
        <v>ok</v>
      </c>
      <c r="P56" s="89" t="str">
        <f t="shared" si="19"/>
        <v>ok</v>
      </c>
      <c r="Q56" s="89" t="str">
        <f t="shared" si="19"/>
        <v>ok</v>
      </c>
      <c r="R56" s="89" t="str">
        <f t="shared" si="19"/>
        <v>ok</v>
      </c>
      <c r="S56" s="75" t="str">
        <f t="shared" si="19"/>
        <v>ok</v>
      </c>
      <c r="T56" s="89" t="str">
        <f t="shared" si="19"/>
        <v>ok</v>
      </c>
      <c r="U56" s="89" t="str">
        <f t="shared" si="19"/>
        <v>ok</v>
      </c>
      <c r="V56" s="89" t="str">
        <f t="shared" si="19"/>
        <v>ok</v>
      </c>
      <c r="W56" s="89" t="str">
        <f t="shared" si="19"/>
        <v>ok</v>
      </c>
      <c r="X56" s="89" t="str">
        <f t="shared" si="19"/>
        <v>ok</v>
      </c>
      <c r="Y56" s="89" t="str">
        <f t="shared" si="19"/>
        <v>ok</v>
      </c>
      <c r="Z56" s="89" t="str">
        <f t="shared" si="19"/>
        <v>ok</v>
      </c>
      <c r="AA56" s="89" t="str">
        <f t="shared" si="19"/>
        <v>ok</v>
      </c>
      <c r="AB56" s="89" t="str">
        <f t="shared" si="19"/>
        <v>ok</v>
      </c>
      <c r="AC56" s="89" t="str">
        <f t="shared" si="19"/>
        <v>ok</v>
      </c>
      <c r="AD56" s="89" t="str">
        <f t="shared" si="19"/>
        <v>ok</v>
      </c>
      <c r="AE56" s="89" t="str">
        <f t="shared" si="19"/>
        <v>ok</v>
      </c>
      <c r="AF56" s="89" t="str">
        <f t="shared" si="19"/>
        <v>ok</v>
      </c>
      <c r="AG56" s="89" t="str">
        <f t="shared" si="19"/>
        <v>ok</v>
      </c>
      <c r="AH56" s="89" t="str">
        <f t="shared" si="19"/>
        <v>ok</v>
      </c>
      <c r="AI56" s="89" t="str">
        <f t="shared" ref="AI56:BN56" si="20">IF(SUM(AI8:AI38)=AI39,"ok","エラー")</f>
        <v>ok</v>
      </c>
      <c r="AJ56" s="89" t="str">
        <f t="shared" si="20"/>
        <v>ok</v>
      </c>
      <c r="AK56" s="89" t="str">
        <f t="shared" si="20"/>
        <v>ok</v>
      </c>
      <c r="AL56" s="89" t="str">
        <f t="shared" si="20"/>
        <v>ok</v>
      </c>
      <c r="AM56" s="89" t="str">
        <f t="shared" si="20"/>
        <v>ok</v>
      </c>
      <c r="AN56" s="89" t="str">
        <f t="shared" si="20"/>
        <v>ok</v>
      </c>
      <c r="AO56" s="89" t="str">
        <f t="shared" si="20"/>
        <v>ok</v>
      </c>
      <c r="AP56" s="89" t="str">
        <f t="shared" si="20"/>
        <v>ok</v>
      </c>
      <c r="AQ56" s="89" t="str">
        <f t="shared" si="20"/>
        <v>ok</v>
      </c>
      <c r="AR56" s="89" t="str">
        <f t="shared" si="20"/>
        <v>ok</v>
      </c>
      <c r="AS56" s="89" t="str">
        <f t="shared" si="20"/>
        <v>ok</v>
      </c>
      <c r="AT56" s="89" t="str">
        <f t="shared" si="20"/>
        <v>ok</v>
      </c>
      <c r="AU56" s="89" t="str">
        <f t="shared" si="20"/>
        <v>ok</v>
      </c>
      <c r="AV56" s="89" t="str">
        <f t="shared" si="20"/>
        <v>ok</v>
      </c>
      <c r="AW56" s="89" t="str">
        <f t="shared" si="20"/>
        <v>ok</v>
      </c>
      <c r="AX56" s="89" t="str">
        <f t="shared" si="20"/>
        <v>ok</v>
      </c>
      <c r="AY56" s="89" t="str">
        <f t="shared" si="20"/>
        <v>ok</v>
      </c>
      <c r="AZ56" s="89" t="str">
        <f t="shared" si="20"/>
        <v>ok</v>
      </c>
      <c r="BA56" s="89" t="str">
        <f t="shared" si="20"/>
        <v>ok</v>
      </c>
      <c r="BB56" s="89" t="str">
        <f t="shared" si="20"/>
        <v>ok</v>
      </c>
      <c r="BC56" s="89" t="str">
        <f t="shared" si="20"/>
        <v>ok</v>
      </c>
      <c r="BD56" s="89" t="str">
        <f t="shared" si="20"/>
        <v>ok</v>
      </c>
      <c r="BE56" s="89" t="str">
        <f t="shared" si="20"/>
        <v>ok</v>
      </c>
      <c r="BF56" s="89" t="str">
        <f t="shared" si="20"/>
        <v>ok</v>
      </c>
      <c r="BG56" s="89" t="str">
        <f t="shared" si="20"/>
        <v>ok</v>
      </c>
      <c r="BH56" s="89" t="str">
        <f t="shared" si="20"/>
        <v>ok</v>
      </c>
      <c r="BI56" s="89" t="str">
        <f t="shared" si="20"/>
        <v>ok</v>
      </c>
      <c r="BJ56" s="89" t="str">
        <f t="shared" si="20"/>
        <v>ok</v>
      </c>
      <c r="BK56" s="89" t="str">
        <f t="shared" si="20"/>
        <v>ok</v>
      </c>
      <c r="BL56" s="89" t="str">
        <f t="shared" si="20"/>
        <v>ok</v>
      </c>
      <c r="BM56" s="89" t="str">
        <f t="shared" si="20"/>
        <v>ok</v>
      </c>
      <c r="BN56" s="89" t="str">
        <f t="shared" si="20"/>
        <v>ok</v>
      </c>
      <c r="BO56" s="89" t="str">
        <f t="shared" ref="BO56:CI56" si="21">IF(SUM(BO8:BO38)=BO39,"ok","エラー")</f>
        <v>ok</v>
      </c>
      <c r="BP56" s="89" t="str">
        <f t="shared" si="21"/>
        <v>ok</v>
      </c>
      <c r="BQ56" s="89" t="str">
        <f t="shared" si="21"/>
        <v>ok</v>
      </c>
      <c r="BR56" s="89" t="str">
        <f t="shared" si="21"/>
        <v>ok</v>
      </c>
      <c r="BS56" s="89" t="str">
        <f t="shared" si="21"/>
        <v>ok</v>
      </c>
      <c r="BT56" s="89" t="str">
        <f t="shared" si="21"/>
        <v>ok</v>
      </c>
      <c r="BU56" s="89" t="str">
        <f t="shared" si="21"/>
        <v>ok</v>
      </c>
      <c r="BV56" s="89" t="str">
        <f t="shared" si="21"/>
        <v>ok</v>
      </c>
      <c r="BW56" s="89" t="str">
        <f t="shared" si="21"/>
        <v>ok</v>
      </c>
      <c r="BX56" s="89" t="str">
        <f t="shared" si="21"/>
        <v>ok</v>
      </c>
      <c r="BY56" s="89" t="str">
        <f t="shared" si="21"/>
        <v>ok</v>
      </c>
      <c r="BZ56" s="89" t="str">
        <f t="shared" si="21"/>
        <v>ok</v>
      </c>
      <c r="CA56" s="89" t="str">
        <f t="shared" si="21"/>
        <v>ok</v>
      </c>
      <c r="CB56" s="89" t="str">
        <f t="shared" si="21"/>
        <v>ok</v>
      </c>
      <c r="CC56" s="89" t="str">
        <f t="shared" si="21"/>
        <v>ok</v>
      </c>
      <c r="CD56" s="89" t="str">
        <f t="shared" si="21"/>
        <v>ok</v>
      </c>
      <c r="CE56" s="89" t="str">
        <f t="shared" si="21"/>
        <v>ok</v>
      </c>
      <c r="CF56" s="89" t="str">
        <f t="shared" si="21"/>
        <v>ok</v>
      </c>
      <c r="CG56" s="89" t="str">
        <f t="shared" si="21"/>
        <v>ok</v>
      </c>
      <c r="CH56" s="89" t="str">
        <f t="shared" si="21"/>
        <v>ok</v>
      </c>
      <c r="CI56" s="89" t="str">
        <f t="shared" si="21"/>
        <v>ok</v>
      </c>
      <c r="CJ56" s="84"/>
      <c r="CK56" s="89" t="str">
        <f t="shared" ref="CK56:DP56" si="22">IF(SUM(CK8:CK38)=CK39,"ok","エラー")</f>
        <v>ok</v>
      </c>
      <c r="CL56" s="89" t="str">
        <f t="shared" si="22"/>
        <v>ok</v>
      </c>
      <c r="CM56" s="89" t="str">
        <f t="shared" si="22"/>
        <v>ok</v>
      </c>
      <c r="CN56" s="89" t="str">
        <f t="shared" si="22"/>
        <v>ok</v>
      </c>
      <c r="CO56" s="89" t="str">
        <f t="shared" si="22"/>
        <v>ok</v>
      </c>
      <c r="CP56" s="89" t="str">
        <f t="shared" si="22"/>
        <v>ok</v>
      </c>
      <c r="CQ56" s="89" t="str">
        <f t="shared" si="22"/>
        <v>ok</v>
      </c>
      <c r="CR56" s="89" t="str">
        <f t="shared" si="22"/>
        <v>ok</v>
      </c>
      <c r="CS56" s="89" t="str">
        <f t="shared" si="22"/>
        <v>ok</v>
      </c>
      <c r="CT56" s="89" t="str">
        <f t="shared" si="22"/>
        <v>ok</v>
      </c>
      <c r="CU56" s="89" t="str">
        <f t="shared" si="22"/>
        <v>ok</v>
      </c>
      <c r="CV56" s="89" t="str">
        <f t="shared" si="22"/>
        <v>ok</v>
      </c>
      <c r="CW56" s="89" t="str">
        <f t="shared" si="22"/>
        <v>ok</v>
      </c>
      <c r="CX56" s="89" t="str">
        <f t="shared" si="22"/>
        <v>ok</v>
      </c>
      <c r="CY56" s="89" t="str">
        <f t="shared" si="22"/>
        <v>ok</v>
      </c>
      <c r="CZ56" s="89" t="str">
        <f t="shared" si="22"/>
        <v>ok</v>
      </c>
      <c r="DA56" s="89" t="str">
        <f t="shared" si="22"/>
        <v>ok</v>
      </c>
      <c r="DB56" s="89" t="str">
        <f t="shared" si="22"/>
        <v>ok</v>
      </c>
      <c r="DC56" s="89" t="str">
        <f t="shared" si="22"/>
        <v>ok</v>
      </c>
      <c r="DD56" s="89" t="str">
        <f t="shared" si="22"/>
        <v>ok</v>
      </c>
      <c r="DE56" s="89" t="str">
        <f t="shared" si="22"/>
        <v>ok</v>
      </c>
      <c r="DF56" s="89" t="str">
        <f t="shared" si="22"/>
        <v>ok</v>
      </c>
      <c r="DG56" s="89" t="str">
        <f t="shared" si="22"/>
        <v>ok</v>
      </c>
      <c r="DH56" s="89" t="str">
        <f t="shared" si="22"/>
        <v>ok</v>
      </c>
      <c r="DI56" s="89" t="str">
        <f t="shared" si="22"/>
        <v>ok</v>
      </c>
      <c r="DJ56" s="89" t="str">
        <f t="shared" si="22"/>
        <v>ok</v>
      </c>
      <c r="DK56" s="89" t="str">
        <f t="shared" si="22"/>
        <v>ok</v>
      </c>
      <c r="DL56" s="89" t="str">
        <f t="shared" si="22"/>
        <v>ok</v>
      </c>
      <c r="DM56" s="89" t="str">
        <f t="shared" si="22"/>
        <v>ok</v>
      </c>
      <c r="DN56" s="89" t="str">
        <f t="shared" si="22"/>
        <v>ok</v>
      </c>
      <c r="DO56" s="89" t="str">
        <f t="shared" si="22"/>
        <v>ok</v>
      </c>
      <c r="DP56" s="89" t="str">
        <f t="shared" si="22"/>
        <v>ok</v>
      </c>
      <c r="DQ56" s="89" t="str">
        <f t="shared" ref="DQ56:EV56" si="23">IF(SUM(DQ8:DQ38)=DQ39,"ok","エラー")</f>
        <v>ok</v>
      </c>
      <c r="DR56" s="89" t="str">
        <f t="shared" si="23"/>
        <v>ok</v>
      </c>
      <c r="DS56" s="89" t="str">
        <f t="shared" si="23"/>
        <v>ok</v>
      </c>
      <c r="DT56" s="89" t="str">
        <f t="shared" si="23"/>
        <v>ok</v>
      </c>
      <c r="DU56" s="89" t="str">
        <f t="shared" si="23"/>
        <v>ok</v>
      </c>
      <c r="DV56" s="89" t="str">
        <f t="shared" si="23"/>
        <v>ok</v>
      </c>
      <c r="DW56" s="89" t="str">
        <f t="shared" si="23"/>
        <v>ok</v>
      </c>
      <c r="DX56" s="89" t="str">
        <f t="shared" si="23"/>
        <v>ok</v>
      </c>
      <c r="DY56" s="89" t="str">
        <f t="shared" si="23"/>
        <v>ok</v>
      </c>
      <c r="DZ56" s="89" t="str">
        <f t="shared" si="23"/>
        <v>ok</v>
      </c>
      <c r="EA56" s="89" t="str">
        <f t="shared" si="23"/>
        <v>ok</v>
      </c>
      <c r="EB56" s="89" t="str">
        <f t="shared" si="23"/>
        <v>ok</v>
      </c>
      <c r="EC56" s="89" t="str">
        <f t="shared" si="23"/>
        <v>ok</v>
      </c>
      <c r="ED56" s="89" t="str">
        <f t="shared" si="23"/>
        <v>ok</v>
      </c>
      <c r="EE56" s="89" t="str">
        <f t="shared" si="23"/>
        <v>ok</v>
      </c>
      <c r="EF56" s="89" t="str">
        <f t="shared" si="23"/>
        <v>ok</v>
      </c>
      <c r="EG56" s="89" t="str">
        <f t="shared" si="23"/>
        <v>ok</v>
      </c>
      <c r="EH56" s="89" t="str">
        <f t="shared" si="23"/>
        <v>ok</v>
      </c>
      <c r="EI56" s="89" t="str">
        <f t="shared" si="23"/>
        <v>ok</v>
      </c>
      <c r="EJ56" s="89" t="str">
        <f t="shared" si="23"/>
        <v>ok</v>
      </c>
      <c r="EK56" s="89" t="str">
        <f t="shared" si="23"/>
        <v>ok</v>
      </c>
      <c r="EL56" s="89" t="str">
        <f t="shared" si="23"/>
        <v>ok</v>
      </c>
      <c r="EM56" s="89" t="str">
        <f t="shared" si="23"/>
        <v>ok</v>
      </c>
      <c r="EN56" s="89" t="str">
        <f t="shared" si="23"/>
        <v>ok</v>
      </c>
      <c r="EO56" s="89" t="str">
        <f t="shared" si="23"/>
        <v>ok</v>
      </c>
      <c r="EP56" s="89" t="str">
        <f t="shared" si="23"/>
        <v>ok</v>
      </c>
      <c r="EQ56" s="89" t="str">
        <f t="shared" si="23"/>
        <v>ok</v>
      </c>
      <c r="ER56" s="89" t="str">
        <f t="shared" si="23"/>
        <v>ok</v>
      </c>
      <c r="ES56" s="89" t="str">
        <f t="shared" si="23"/>
        <v>ok</v>
      </c>
      <c r="ET56" s="89" t="str">
        <f t="shared" si="23"/>
        <v>ok</v>
      </c>
      <c r="EU56" s="89" t="str">
        <f t="shared" si="23"/>
        <v>ok</v>
      </c>
      <c r="EV56" s="89" t="str">
        <f t="shared" si="23"/>
        <v>ok</v>
      </c>
      <c r="EW56" s="89" t="str">
        <f t="shared" ref="EW56:FM56" si="24">IF(SUM(EW8:EW38)=EW39,"ok","エラー")</f>
        <v>ok</v>
      </c>
      <c r="EX56" s="89" t="str">
        <f t="shared" si="24"/>
        <v>ok</v>
      </c>
      <c r="EY56" s="89" t="str">
        <f t="shared" si="24"/>
        <v>ok</v>
      </c>
      <c r="EZ56" s="89" t="str">
        <f t="shared" si="24"/>
        <v>ok</v>
      </c>
      <c r="FA56" s="89" t="str">
        <f t="shared" si="24"/>
        <v>ok</v>
      </c>
      <c r="FB56" s="89" t="str">
        <f t="shared" si="24"/>
        <v>ok</v>
      </c>
      <c r="FC56" s="89" t="str">
        <f t="shared" si="24"/>
        <v>ok</v>
      </c>
      <c r="FD56" s="89" t="str">
        <f t="shared" si="24"/>
        <v>ok</v>
      </c>
      <c r="FE56" s="89" t="str">
        <f t="shared" si="24"/>
        <v>ok</v>
      </c>
      <c r="FF56" s="89" t="str">
        <f t="shared" si="24"/>
        <v>ok</v>
      </c>
      <c r="FG56" s="89" t="str">
        <f t="shared" si="24"/>
        <v>ok</v>
      </c>
      <c r="FH56" s="89" t="str">
        <f t="shared" si="24"/>
        <v>ok</v>
      </c>
      <c r="FI56" s="89" t="str">
        <f t="shared" si="24"/>
        <v>エラー</v>
      </c>
      <c r="FJ56" s="89" t="str">
        <f t="shared" si="24"/>
        <v>ok</v>
      </c>
      <c r="FK56" s="89" t="str">
        <f t="shared" si="24"/>
        <v>ok</v>
      </c>
      <c r="FL56" s="89" t="str">
        <f t="shared" si="24"/>
        <v>ok</v>
      </c>
      <c r="FM56" s="89" t="str">
        <f t="shared" si="24"/>
        <v>ok</v>
      </c>
      <c r="FW56" s="89" t="str">
        <f>IF(SUM(FW8:FW38)=FW39,"ok","エラー")</f>
        <v>ok</v>
      </c>
      <c r="FY56" s="89" t="str">
        <f t="shared" ref="FY56:GD56" si="25">IF(SUM(FY8:FY38)=FY39,"ok","エラー")</f>
        <v>ok</v>
      </c>
      <c r="FZ56" s="89" t="str">
        <f t="shared" si="25"/>
        <v>ok</v>
      </c>
      <c r="GA56" s="89" t="str">
        <f t="shared" si="25"/>
        <v>ok</v>
      </c>
      <c r="GB56" s="89" t="str">
        <f t="shared" si="25"/>
        <v>ok</v>
      </c>
      <c r="GC56" s="89" t="str">
        <f t="shared" si="25"/>
        <v>ok</v>
      </c>
      <c r="GD56" s="89" t="str">
        <f t="shared" si="25"/>
        <v>ok</v>
      </c>
      <c r="GI56" s="62" t="str">
        <f>IF(SUM(GI8:GI38)=GI39,"ok","エラー")</f>
        <v>ok</v>
      </c>
    </row>
    <row r="57" spans="2:230" x14ac:dyDescent="0.15">
      <c r="B57" s="89" t="s">
        <v>650</v>
      </c>
      <c r="C57" s="89" t="str">
        <f t="shared" ref="C57:AH57" si="26">IF(SUM(C40:C49)=C50,"ok","エラー")</f>
        <v>ok</v>
      </c>
      <c r="D57" s="89" t="str">
        <f t="shared" si="26"/>
        <v>ok</v>
      </c>
      <c r="E57" s="89" t="str">
        <f t="shared" si="26"/>
        <v>ok</v>
      </c>
      <c r="F57" s="89" t="str">
        <f t="shared" si="26"/>
        <v>ok</v>
      </c>
      <c r="G57" s="89" t="str">
        <f t="shared" si="26"/>
        <v>ok</v>
      </c>
      <c r="H57" s="89" t="str">
        <f t="shared" si="26"/>
        <v>ok</v>
      </c>
      <c r="I57" s="89" t="str">
        <f t="shared" si="26"/>
        <v>ok</v>
      </c>
      <c r="J57" s="89" t="str">
        <f t="shared" si="26"/>
        <v>ok</v>
      </c>
      <c r="K57" s="89" t="str">
        <f t="shared" si="26"/>
        <v>ok</v>
      </c>
      <c r="L57" s="89" t="str">
        <f t="shared" si="26"/>
        <v>ok</v>
      </c>
      <c r="M57" s="89" t="str">
        <f t="shared" si="26"/>
        <v>ok</v>
      </c>
      <c r="N57" s="89" t="str">
        <f t="shared" si="26"/>
        <v>ok</v>
      </c>
      <c r="O57" s="89" t="str">
        <f t="shared" si="26"/>
        <v>ok</v>
      </c>
      <c r="P57" s="89" t="str">
        <f t="shared" si="26"/>
        <v>ok</v>
      </c>
      <c r="Q57" s="89" t="str">
        <f t="shared" si="26"/>
        <v>ok</v>
      </c>
      <c r="R57" s="89" t="str">
        <f t="shared" si="26"/>
        <v>ok</v>
      </c>
      <c r="S57" s="75" t="str">
        <f t="shared" si="26"/>
        <v>ok</v>
      </c>
      <c r="T57" s="89" t="str">
        <f t="shared" si="26"/>
        <v>ok</v>
      </c>
      <c r="U57" s="89" t="str">
        <f t="shared" si="26"/>
        <v>ok</v>
      </c>
      <c r="V57" s="89" t="str">
        <f t="shared" si="26"/>
        <v>ok</v>
      </c>
      <c r="W57" s="89" t="str">
        <f t="shared" si="26"/>
        <v>ok</v>
      </c>
      <c r="X57" s="89" t="str">
        <f t="shared" si="26"/>
        <v>ok</v>
      </c>
      <c r="Y57" s="89" t="str">
        <f t="shared" si="26"/>
        <v>ok</v>
      </c>
      <c r="Z57" s="89" t="str">
        <f t="shared" si="26"/>
        <v>ok</v>
      </c>
      <c r="AA57" s="89" t="str">
        <f t="shared" si="26"/>
        <v>ok</v>
      </c>
      <c r="AB57" s="89" t="str">
        <f t="shared" si="26"/>
        <v>ok</v>
      </c>
      <c r="AC57" s="89" t="str">
        <f t="shared" si="26"/>
        <v>ok</v>
      </c>
      <c r="AD57" s="89" t="str">
        <f t="shared" si="26"/>
        <v>ok</v>
      </c>
      <c r="AE57" s="89" t="str">
        <f t="shared" si="26"/>
        <v>ok</v>
      </c>
      <c r="AF57" s="89" t="str">
        <f t="shared" si="26"/>
        <v>ok</v>
      </c>
      <c r="AG57" s="89" t="str">
        <f t="shared" si="26"/>
        <v>ok</v>
      </c>
      <c r="AH57" s="89" t="str">
        <f t="shared" si="26"/>
        <v>ok</v>
      </c>
      <c r="AI57" s="89" t="str">
        <f t="shared" ref="AI57:BN57" si="27">IF(SUM(AI40:AI49)=AI50,"ok","エラー")</f>
        <v>ok</v>
      </c>
      <c r="AJ57" s="89" t="str">
        <f t="shared" si="27"/>
        <v>ok</v>
      </c>
      <c r="AK57" s="89" t="str">
        <f t="shared" si="27"/>
        <v>ok</v>
      </c>
      <c r="AL57" s="89" t="str">
        <f t="shared" si="27"/>
        <v>ok</v>
      </c>
      <c r="AM57" s="89" t="str">
        <f t="shared" si="27"/>
        <v>ok</v>
      </c>
      <c r="AN57" s="89" t="str">
        <f t="shared" si="27"/>
        <v>ok</v>
      </c>
      <c r="AO57" s="89" t="str">
        <f t="shared" si="27"/>
        <v>ok</v>
      </c>
      <c r="AP57" s="89" t="str">
        <f t="shared" si="27"/>
        <v>ok</v>
      </c>
      <c r="AQ57" s="89" t="str">
        <f t="shared" si="27"/>
        <v>ok</v>
      </c>
      <c r="AR57" s="89" t="str">
        <f t="shared" si="27"/>
        <v>ok</v>
      </c>
      <c r="AS57" s="89" t="str">
        <f t="shared" si="27"/>
        <v>ok</v>
      </c>
      <c r="AT57" s="89" t="str">
        <f t="shared" si="27"/>
        <v>ok</v>
      </c>
      <c r="AU57" s="89" t="str">
        <f t="shared" si="27"/>
        <v>ok</v>
      </c>
      <c r="AV57" s="89" t="str">
        <f t="shared" si="27"/>
        <v>ok</v>
      </c>
      <c r="AW57" s="89" t="str">
        <f t="shared" si="27"/>
        <v>ok</v>
      </c>
      <c r="AX57" s="89" t="str">
        <f t="shared" si="27"/>
        <v>ok</v>
      </c>
      <c r="AY57" s="89" t="str">
        <f t="shared" si="27"/>
        <v>ok</v>
      </c>
      <c r="AZ57" s="89" t="str">
        <f t="shared" si="27"/>
        <v>ok</v>
      </c>
      <c r="BA57" s="89" t="str">
        <f t="shared" si="27"/>
        <v>ok</v>
      </c>
      <c r="BB57" s="89" t="str">
        <f t="shared" si="27"/>
        <v>ok</v>
      </c>
      <c r="BC57" s="89" t="str">
        <f t="shared" si="27"/>
        <v>ok</v>
      </c>
      <c r="BD57" s="89" t="str">
        <f t="shared" si="27"/>
        <v>ok</v>
      </c>
      <c r="BE57" s="89" t="str">
        <f t="shared" si="27"/>
        <v>ok</v>
      </c>
      <c r="BF57" s="89" t="str">
        <f t="shared" si="27"/>
        <v>ok</v>
      </c>
      <c r="BG57" s="89" t="str">
        <f t="shared" si="27"/>
        <v>ok</v>
      </c>
      <c r="BH57" s="89" t="str">
        <f t="shared" si="27"/>
        <v>ok</v>
      </c>
      <c r="BI57" s="89" t="str">
        <f t="shared" si="27"/>
        <v>ok</v>
      </c>
      <c r="BJ57" s="89" t="str">
        <f t="shared" si="27"/>
        <v>ok</v>
      </c>
      <c r="BK57" s="89" t="str">
        <f t="shared" si="27"/>
        <v>ok</v>
      </c>
      <c r="BL57" s="89" t="str">
        <f t="shared" si="27"/>
        <v>ok</v>
      </c>
      <c r="BM57" s="89" t="str">
        <f t="shared" si="27"/>
        <v>ok</v>
      </c>
      <c r="BN57" s="89" t="str">
        <f t="shared" si="27"/>
        <v>ok</v>
      </c>
      <c r="BO57" s="89" t="str">
        <f t="shared" ref="BO57:CI57" si="28">IF(SUM(BO40:BO49)=BO50,"ok","エラー")</f>
        <v>ok</v>
      </c>
      <c r="BP57" s="89" t="str">
        <f t="shared" si="28"/>
        <v>ok</v>
      </c>
      <c r="BQ57" s="89" t="str">
        <f t="shared" si="28"/>
        <v>ok</v>
      </c>
      <c r="BR57" s="89" t="str">
        <f t="shared" si="28"/>
        <v>ok</v>
      </c>
      <c r="BS57" s="89" t="str">
        <f t="shared" si="28"/>
        <v>ok</v>
      </c>
      <c r="BT57" s="89" t="str">
        <f t="shared" si="28"/>
        <v>ok</v>
      </c>
      <c r="BU57" s="89" t="str">
        <f t="shared" si="28"/>
        <v>ok</v>
      </c>
      <c r="BV57" s="89" t="str">
        <f t="shared" si="28"/>
        <v>ok</v>
      </c>
      <c r="BW57" s="89" t="str">
        <f t="shared" si="28"/>
        <v>ok</v>
      </c>
      <c r="BX57" s="89" t="str">
        <f t="shared" si="28"/>
        <v>ok</v>
      </c>
      <c r="BY57" s="89" t="str">
        <f t="shared" si="28"/>
        <v>ok</v>
      </c>
      <c r="BZ57" s="89" t="str">
        <f t="shared" si="28"/>
        <v>ok</v>
      </c>
      <c r="CA57" s="89" t="str">
        <f t="shared" si="28"/>
        <v>ok</v>
      </c>
      <c r="CB57" s="89" t="str">
        <f t="shared" si="28"/>
        <v>ok</v>
      </c>
      <c r="CC57" s="89" t="str">
        <f t="shared" si="28"/>
        <v>ok</v>
      </c>
      <c r="CD57" s="89" t="str">
        <f t="shared" si="28"/>
        <v>ok</v>
      </c>
      <c r="CE57" s="89" t="str">
        <f t="shared" si="28"/>
        <v>ok</v>
      </c>
      <c r="CF57" s="89" t="str">
        <f t="shared" si="28"/>
        <v>ok</v>
      </c>
      <c r="CG57" s="89" t="str">
        <f t="shared" si="28"/>
        <v>ok</v>
      </c>
      <c r="CH57" s="89" t="str">
        <f t="shared" si="28"/>
        <v>ok</v>
      </c>
      <c r="CI57" s="89" t="str">
        <f t="shared" si="28"/>
        <v>ok</v>
      </c>
      <c r="CJ57" s="84"/>
      <c r="CK57" s="89" t="str">
        <f t="shared" ref="CK57:DP57" si="29">IF(SUM(CK40:CK49)=CK50,"ok","エラー")</f>
        <v>ok</v>
      </c>
      <c r="CL57" s="89" t="str">
        <f t="shared" si="29"/>
        <v>ok</v>
      </c>
      <c r="CM57" s="89" t="str">
        <f t="shared" si="29"/>
        <v>ok</v>
      </c>
      <c r="CN57" s="89" t="str">
        <f t="shared" si="29"/>
        <v>ok</v>
      </c>
      <c r="CO57" s="89" t="str">
        <f t="shared" si="29"/>
        <v>ok</v>
      </c>
      <c r="CP57" s="89" t="str">
        <f t="shared" si="29"/>
        <v>ok</v>
      </c>
      <c r="CQ57" s="89" t="str">
        <f t="shared" si="29"/>
        <v>ok</v>
      </c>
      <c r="CR57" s="89" t="str">
        <f t="shared" si="29"/>
        <v>ok</v>
      </c>
      <c r="CS57" s="89" t="str">
        <f t="shared" si="29"/>
        <v>ok</v>
      </c>
      <c r="CT57" s="89" t="str">
        <f t="shared" si="29"/>
        <v>ok</v>
      </c>
      <c r="CU57" s="89" t="str">
        <f t="shared" si="29"/>
        <v>ok</v>
      </c>
      <c r="CV57" s="89" t="str">
        <f t="shared" si="29"/>
        <v>ok</v>
      </c>
      <c r="CW57" s="89" t="str">
        <f t="shared" si="29"/>
        <v>ok</v>
      </c>
      <c r="CX57" s="89" t="str">
        <f t="shared" si="29"/>
        <v>ok</v>
      </c>
      <c r="CY57" s="89" t="str">
        <f t="shared" si="29"/>
        <v>ok</v>
      </c>
      <c r="CZ57" s="89" t="str">
        <f t="shared" si="29"/>
        <v>ok</v>
      </c>
      <c r="DA57" s="89" t="str">
        <f t="shared" si="29"/>
        <v>ok</v>
      </c>
      <c r="DB57" s="89" t="str">
        <f t="shared" si="29"/>
        <v>ok</v>
      </c>
      <c r="DC57" s="89" t="str">
        <f t="shared" si="29"/>
        <v>ok</v>
      </c>
      <c r="DD57" s="89" t="str">
        <f t="shared" si="29"/>
        <v>ok</v>
      </c>
      <c r="DE57" s="89" t="str">
        <f t="shared" si="29"/>
        <v>ok</v>
      </c>
      <c r="DF57" s="89" t="str">
        <f t="shared" si="29"/>
        <v>ok</v>
      </c>
      <c r="DG57" s="89" t="str">
        <f t="shared" si="29"/>
        <v>ok</v>
      </c>
      <c r="DH57" s="89" t="str">
        <f t="shared" si="29"/>
        <v>ok</v>
      </c>
      <c r="DI57" s="89" t="str">
        <f t="shared" si="29"/>
        <v>ok</v>
      </c>
      <c r="DJ57" s="89" t="str">
        <f t="shared" si="29"/>
        <v>ok</v>
      </c>
      <c r="DK57" s="89" t="str">
        <f t="shared" si="29"/>
        <v>ok</v>
      </c>
      <c r="DL57" s="89" t="str">
        <f t="shared" si="29"/>
        <v>ok</v>
      </c>
      <c r="DM57" s="89" t="str">
        <f t="shared" si="29"/>
        <v>ok</v>
      </c>
      <c r="DN57" s="89" t="str">
        <f t="shared" si="29"/>
        <v>ok</v>
      </c>
      <c r="DO57" s="89" t="str">
        <f t="shared" si="29"/>
        <v>ok</v>
      </c>
      <c r="DP57" s="89" t="str">
        <f t="shared" si="29"/>
        <v>ok</v>
      </c>
      <c r="DQ57" s="89" t="str">
        <f t="shared" ref="DQ57:EV57" si="30">IF(SUM(DQ40:DQ49)=DQ50,"ok","エラー")</f>
        <v>ok</v>
      </c>
      <c r="DR57" s="89" t="str">
        <f t="shared" si="30"/>
        <v>ok</v>
      </c>
      <c r="DS57" s="89" t="str">
        <f t="shared" si="30"/>
        <v>ok</v>
      </c>
      <c r="DT57" s="89" t="str">
        <f t="shared" si="30"/>
        <v>ok</v>
      </c>
      <c r="DU57" s="89" t="str">
        <f t="shared" si="30"/>
        <v>ok</v>
      </c>
      <c r="DV57" s="89" t="str">
        <f t="shared" si="30"/>
        <v>ok</v>
      </c>
      <c r="DW57" s="89" t="str">
        <f t="shared" si="30"/>
        <v>ok</v>
      </c>
      <c r="DX57" s="89" t="str">
        <f t="shared" si="30"/>
        <v>ok</v>
      </c>
      <c r="DY57" s="89" t="str">
        <f t="shared" si="30"/>
        <v>ok</v>
      </c>
      <c r="DZ57" s="89" t="str">
        <f t="shared" si="30"/>
        <v>ok</v>
      </c>
      <c r="EA57" s="89" t="str">
        <f t="shared" si="30"/>
        <v>ok</v>
      </c>
      <c r="EB57" s="89" t="str">
        <f t="shared" si="30"/>
        <v>ok</v>
      </c>
      <c r="EC57" s="89" t="str">
        <f t="shared" si="30"/>
        <v>ok</v>
      </c>
      <c r="ED57" s="89" t="str">
        <f t="shared" si="30"/>
        <v>ok</v>
      </c>
      <c r="EE57" s="89" t="str">
        <f t="shared" si="30"/>
        <v>ok</v>
      </c>
      <c r="EF57" s="89" t="str">
        <f t="shared" si="30"/>
        <v>ok</v>
      </c>
      <c r="EG57" s="89" t="str">
        <f t="shared" si="30"/>
        <v>ok</v>
      </c>
      <c r="EH57" s="89" t="str">
        <f t="shared" si="30"/>
        <v>ok</v>
      </c>
      <c r="EI57" s="89" t="str">
        <f t="shared" si="30"/>
        <v>ok</v>
      </c>
      <c r="EJ57" s="89" t="str">
        <f t="shared" si="30"/>
        <v>ok</v>
      </c>
      <c r="EK57" s="89" t="str">
        <f t="shared" si="30"/>
        <v>ok</v>
      </c>
      <c r="EL57" s="89" t="str">
        <f t="shared" si="30"/>
        <v>ok</v>
      </c>
      <c r="EM57" s="89" t="str">
        <f t="shared" si="30"/>
        <v>ok</v>
      </c>
      <c r="EN57" s="89" t="str">
        <f t="shared" si="30"/>
        <v>ok</v>
      </c>
      <c r="EO57" s="89" t="str">
        <f t="shared" si="30"/>
        <v>ok</v>
      </c>
      <c r="EP57" s="89" t="str">
        <f t="shared" si="30"/>
        <v>ok</v>
      </c>
      <c r="EQ57" s="89" t="str">
        <f t="shared" si="30"/>
        <v>ok</v>
      </c>
      <c r="ER57" s="89" t="str">
        <f t="shared" si="30"/>
        <v>ok</v>
      </c>
      <c r="ES57" s="89" t="str">
        <f t="shared" si="30"/>
        <v>ok</v>
      </c>
      <c r="ET57" s="89" t="str">
        <f t="shared" si="30"/>
        <v>ok</v>
      </c>
      <c r="EU57" s="89" t="str">
        <f t="shared" si="30"/>
        <v>ok</v>
      </c>
      <c r="EV57" s="89" t="str">
        <f t="shared" si="30"/>
        <v>ok</v>
      </c>
      <c r="EW57" s="89" t="str">
        <f t="shared" ref="EW57:FM57" si="31">IF(SUM(EW40:EW49)=EW50,"ok","エラー")</f>
        <v>ok</v>
      </c>
      <c r="EX57" s="89" t="str">
        <f t="shared" si="31"/>
        <v>ok</v>
      </c>
      <c r="EY57" s="89" t="str">
        <f t="shared" si="31"/>
        <v>ok</v>
      </c>
      <c r="EZ57" s="89" t="str">
        <f t="shared" si="31"/>
        <v>ok</v>
      </c>
      <c r="FA57" s="89" t="str">
        <f t="shared" si="31"/>
        <v>ok</v>
      </c>
      <c r="FB57" s="89" t="str">
        <f t="shared" si="31"/>
        <v>ok</v>
      </c>
      <c r="FC57" s="89" t="str">
        <f t="shared" si="31"/>
        <v>ok</v>
      </c>
      <c r="FD57" s="89" t="str">
        <f t="shared" si="31"/>
        <v>ok</v>
      </c>
      <c r="FE57" s="89" t="str">
        <f t="shared" si="31"/>
        <v>ok</v>
      </c>
      <c r="FF57" s="89" t="str">
        <f t="shared" si="31"/>
        <v>ok</v>
      </c>
      <c r="FG57" s="89" t="str">
        <f t="shared" si="31"/>
        <v>ok</v>
      </c>
      <c r="FH57" s="89" t="str">
        <f t="shared" si="31"/>
        <v>ok</v>
      </c>
      <c r="FI57" s="89" t="str">
        <f t="shared" si="31"/>
        <v>エラー</v>
      </c>
      <c r="FJ57" s="89" t="str">
        <f t="shared" si="31"/>
        <v>ok</v>
      </c>
      <c r="FK57" s="89" t="str">
        <f t="shared" si="31"/>
        <v>ok</v>
      </c>
      <c r="FL57" s="89" t="str">
        <f t="shared" si="31"/>
        <v>ok</v>
      </c>
      <c r="FM57" s="89" t="str">
        <f t="shared" si="31"/>
        <v>ok</v>
      </c>
      <c r="FW57" s="89" t="str">
        <f>IF(SUM(FW40:FW49)=FW50,"ok","エラー")</f>
        <v>ok</v>
      </c>
      <c r="FY57" s="89" t="str">
        <f t="shared" ref="FY57:GD57" si="32">IF(SUM(FY40:FY49)=FY50,"ok","エラー")</f>
        <v>ok</v>
      </c>
      <c r="FZ57" s="89" t="str">
        <f t="shared" si="32"/>
        <v>ok</v>
      </c>
      <c r="GA57" s="89" t="str">
        <f t="shared" si="32"/>
        <v>ok</v>
      </c>
      <c r="GB57" s="89" t="str">
        <f t="shared" si="32"/>
        <v>ok</v>
      </c>
      <c r="GC57" s="89" t="str">
        <f t="shared" si="32"/>
        <v>ok</v>
      </c>
      <c r="GD57" s="89" t="str">
        <f t="shared" si="32"/>
        <v>ok</v>
      </c>
      <c r="GI57" s="62" t="str">
        <f>IF(SUM(GI40:GI49)=GI50,"ok","エラー")</f>
        <v>ok</v>
      </c>
    </row>
    <row r="58" spans="2:230" x14ac:dyDescent="0.15">
      <c r="B58" s="89" t="s">
        <v>650</v>
      </c>
      <c r="C58" s="89" t="str">
        <f t="shared" ref="C58:AH58" si="33">IF(C39+C50=C51,"ok","エラー")</f>
        <v>ok</v>
      </c>
      <c r="D58" s="89" t="str">
        <f t="shared" si="33"/>
        <v>ok</v>
      </c>
      <c r="E58" s="89" t="str">
        <f t="shared" si="33"/>
        <v>ok</v>
      </c>
      <c r="F58" s="89" t="str">
        <f t="shared" si="33"/>
        <v>ok</v>
      </c>
      <c r="G58" s="89" t="str">
        <f t="shared" si="33"/>
        <v>ok</v>
      </c>
      <c r="H58" s="89" t="str">
        <f t="shared" si="33"/>
        <v>ok</v>
      </c>
      <c r="I58" s="89" t="str">
        <f t="shared" si="33"/>
        <v>ok</v>
      </c>
      <c r="J58" s="89" t="str">
        <f t="shared" si="33"/>
        <v>ok</v>
      </c>
      <c r="K58" s="89" t="str">
        <f t="shared" si="33"/>
        <v>ok</v>
      </c>
      <c r="L58" s="89" t="str">
        <f t="shared" si="33"/>
        <v>ok</v>
      </c>
      <c r="M58" s="89" t="str">
        <f t="shared" si="33"/>
        <v>ok</v>
      </c>
      <c r="N58" s="89" t="str">
        <f t="shared" si="33"/>
        <v>ok</v>
      </c>
      <c r="O58" s="89" t="str">
        <f t="shared" si="33"/>
        <v>ok</v>
      </c>
      <c r="P58" s="89" t="str">
        <f t="shared" si="33"/>
        <v>ok</v>
      </c>
      <c r="Q58" s="89" t="str">
        <f t="shared" si="33"/>
        <v>ok</v>
      </c>
      <c r="R58" s="89" t="str">
        <f t="shared" si="33"/>
        <v>ok</v>
      </c>
      <c r="S58" s="75" t="str">
        <f t="shared" si="33"/>
        <v>ok</v>
      </c>
      <c r="T58" s="89" t="str">
        <f t="shared" si="33"/>
        <v>ok</v>
      </c>
      <c r="U58" s="89" t="str">
        <f t="shared" si="33"/>
        <v>ok</v>
      </c>
      <c r="V58" s="89" t="str">
        <f t="shared" si="33"/>
        <v>ok</v>
      </c>
      <c r="W58" s="89" t="str">
        <f t="shared" si="33"/>
        <v>ok</v>
      </c>
      <c r="X58" s="89" t="str">
        <f t="shared" si="33"/>
        <v>ok</v>
      </c>
      <c r="Y58" s="89" t="str">
        <f t="shared" si="33"/>
        <v>ok</v>
      </c>
      <c r="Z58" s="89" t="str">
        <f t="shared" si="33"/>
        <v>ok</v>
      </c>
      <c r="AA58" s="89" t="str">
        <f t="shared" si="33"/>
        <v>ok</v>
      </c>
      <c r="AB58" s="89" t="str">
        <f t="shared" si="33"/>
        <v>ok</v>
      </c>
      <c r="AC58" s="89" t="str">
        <f t="shared" si="33"/>
        <v>ok</v>
      </c>
      <c r="AD58" s="89" t="str">
        <f t="shared" si="33"/>
        <v>ok</v>
      </c>
      <c r="AE58" s="89" t="str">
        <f t="shared" si="33"/>
        <v>ok</v>
      </c>
      <c r="AF58" s="89" t="str">
        <f t="shared" si="33"/>
        <v>ok</v>
      </c>
      <c r="AG58" s="89" t="str">
        <f t="shared" si="33"/>
        <v>ok</v>
      </c>
      <c r="AH58" s="89" t="str">
        <f t="shared" si="33"/>
        <v>ok</v>
      </c>
      <c r="AI58" s="89" t="str">
        <f t="shared" ref="AI58:BN58" si="34">IF(AI39+AI50=AI51,"ok","エラー")</f>
        <v>ok</v>
      </c>
      <c r="AJ58" s="89" t="str">
        <f t="shared" si="34"/>
        <v>ok</v>
      </c>
      <c r="AK58" s="89" t="str">
        <f t="shared" si="34"/>
        <v>ok</v>
      </c>
      <c r="AL58" s="89" t="str">
        <f t="shared" si="34"/>
        <v>ok</v>
      </c>
      <c r="AM58" s="89" t="str">
        <f t="shared" si="34"/>
        <v>ok</v>
      </c>
      <c r="AN58" s="89" t="str">
        <f t="shared" si="34"/>
        <v>ok</v>
      </c>
      <c r="AO58" s="89" t="str">
        <f t="shared" si="34"/>
        <v>ok</v>
      </c>
      <c r="AP58" s="89" t="str">
        <f t="shared" si="34"/>
        <v>ok</v>
      </c>
      <c r="AQ58" s="89" t="str">
        <f t="shared" si="34"/>
        <v>ok</v>
      </c>
      <c r="AR58" s="89" t="str">
        <f t="shared" si="34"/>
        <v>ok</v>
      </c>
      <c r="AS58" s="89" t="str">
        <f t="shared" si="34"/>
        <v>ok</v>
      </c>
      <c r="AT58" s="89" t="str">
        <f t="shared" si="34"/>
        <v>ok</v>
      </c>
      <c r="AU58" s="89" t="str">
        <f t="shared" si="34"/>
        <v>ok</v>
      </c>
      <c r="AV58" s="89" t="str">
        <f t="shared" si="34"/>
        <v>ok</v>
      </c>
      <c r="AW58" s="89" t="str">
        <f t="shared" si="34"/>
        <v>ok</v>
      </c>
      <c r="AX58" s="89" t="str">
        <f t="shared" si="34"/>
        <v>ok</v>
      </c>
      <c r="AY58" s="89" t="str">
        <f t="shared" si="34"/>
        <v>ok</v>
      </c>
      <c r="AZ58" s="89" t="str">
        <f t="shared" si="34"/>
        <v>ok</v>
      </c>
      <c r="BA58" s="89" t="str">
        <f t="shared" si="34"/>
        <v>ok</v>
      </c>
      <c r="BB58" s="89" t="str">
        <f t="shared" si="34"/>
        <v>ok</v>
      </c>
      <c r="BC58" s="89" t="str">
        <f t="shared" si="34"/>
        <v>ok</v>
      </c>
      <c r="BD58" s="89" t="str">
        <f t="shared" si="34"/>
        <v>ok</v>
      </c>
      <c r="BE58" s="89" t="str">
        <f t="shared" si="34"/>
        <v>ok</v>
      </c>
      <c r="BF58" s="89" t="str">
        <f t="shared" si="34"/>
        <v>ok</v>
      </c>
      <c r="BG58" s="89" t="str">
        <f t="shared" si="34"/>
        <v>ok</v>
      </c>
      <c r="BH58" s="89" t="str">
        <f t="shared" si="34"/>
        <v>ok</v>
      </c>
      <c r="BI58" s="89" t="str">
        <f t="shared" si="34"/>
        <v>ok</v>
      </c>
      <c r="BJ58" s="89" t="str">
        <f t="shared" si="34"/>
        <v>ok</v>
      </c>
      <c r="BK58" s="89" t="str">
        <f t="shared" si="34"/>
        <v>ok</v>
      </c>
      <c r="BL58" s="89" t="str">
        <f t="shared" si="34"/>
        <v>ok</v>
      </c>
      <c r="BM58" s="89" t="str">
        <f t="shared" si="34"/>
        <v>ok</v>
      </c>
      <c r="BN58" s="89" t="str">
        <f t="shared" si="34"/>
        <v>ok</v>
      </c>
      <c r="BO58" s="89" t="str">
        <f t="shared" ref="BO58:CI58" si="35">IF(BO39+BO50=BO51,"ok","エラー")</f>
        <v>ok</v>
      </c>
      <c r="BP58" s="89" t="str">
        <f t="shared" si="35"/>
        <v>ok</v>
      </c>
      <c r="BQ58" s="89" t="str">
        <f t="shared" si="35"/>
        <v>ok</v>
      </c>
      <c r="BR58" s="89" t="str">
        <f t="shared" si="35"/>
        <v>ok</v>
      </c>
      <c r="BS58" s="89" t="str">
        <f t="shared" si="35"/>
        <v>ok</v>
      </c>
      <c r="BT58" s="89" t="str">
        <f t="shared" si="35"/>
        <v>ok</v>
      </c>
      <c r="BU58" s="89" t="str">
        <f t="shared" si="35"/>
        <v>ok</v>
      </c>
      <c r="BV58" s="89" t="str">
        <f t="shared" si="35"/>
        <v>ok</v>
      </c>
      <c r="BW58" s="89" t="str">
        <f t="shared" si="35"/>
        <v>ok</v>
      </c>
      <c r="BX58" s="89" t="str">
        <f t="shared" si="35"/>
        <v>ok</v>
      </c>
      <c r="BY58" s="89" t="str">
        <f t="shared" si="35"/>
        <v>ok</v>
      </c>
      <c r="BZ58" s="89" t="str">
        <f t="shared" si="35"/>
        <v>ok</v>
      </c>
      <c r="CA58" s="89" t="str">
        <f t="shared" si="35"/>
        <v>ok</v>
      </c>
      <c r="CB58" s="89" t="str">
        <f t="shared" si="35"/>
        <v>ok</v>
      </c>
      <c r="CC58" s="89" t="str">
        <f t="shared" si="35"/>
        <v>ok</v>
      </c>
      <c r="CD58" s="89" t="str">
        <f t="shared" si="35"/>
        <v>ok</v>
      </c>
      <c r="CE58" s="89" t="str">
        <f t="shared" si="35"/>
        <v>ok</v>
      </c>
      <c r="CF58" s="89" t="str">
        <f t="shared" si="35"/>
        <v>ok</v>
      </c>
      <c r="CG58" s="89" t="str">
        <f t="shared" si="35"/>
        <v>ok</v>
      </c>
      <c r="CH58" s="89" t="str">
        <f t="shared" si="35"/>
        <v>ok</v>
      </c>
      <c r="CI58" s="89" t="str">
        <f t="shared" si="35"/>
        <v>ok</v>
      </c>
      <c r="CJ58" s="84"/>
      <c r="CK58" s="89" t="str">
        <f t="shared" ref="CK58:DP58" si="36">IF(CK39+CK50=CK51,"ok","エラー")</f>
        <v>ok</v>
      </c>
      <c r="CL58" s="89" t="str">
        <f t="shared" si="36"/>
        <v>ok</v>
      </c>
      <c r="CM58" s="89" t="str">
        <f t="shared" si="36"/>
        <v>ok</v>
      </c>
      <c r="CN58" s="89" t="str">
        <f t="shared" si="36"/>
        <v>ok</v>
      </c>
      <c r="CO58" s="89" t="str">
        <f t="shared" si="36"/>
        <v>ok</v>
      </c>
      <c r="CP58" s="89" t="str">
        <f t="shared" si="36"/>
        <v>ok</v>
      </c>
      <c r="CQ58" s="89" t="str">
        <f t="shared" si="36"/>
        <v>ok</v>
      </c>
      <c r="CR58" s="89" t="str">
        <f t="shared" si="36"/>
        <v>ok</v>
      </c>
      <c r="CS58" s="89" t="str">
        <f t="shared" si="36"/>
        <v>ok</v>
      </c>
      <c r="CT58" s="89" t="str">
        <f t="shared" si="36"/>
        <v>ok</v>
      </c>
      <c r="CU58" s="89" t="str">
        <f t="shared" si="36"/>
        <v>ok</v>
      </c>
      <c r="CV58" s="89" t="str">
        <f t="shared" si="36"/>
        <v>ok</v>
      </c>
      <c r="CW58" s="89" t="str">
        <f t="shared" si="36"/>
        <v>ok</v>
      </c>
      <c r="CX58" s="89" t="str">
        <f t="shared" si="36"/>
        <v>ok</v>
      </c>
      <c r="CY58" s="89" t="str">
        <f t="shared" si="36"/>
        <v>ok</v>
      </c>
      <c r="CZ58" s="89" t="str">
        <f t="shared" si="36"/>
        <v>ok</v>
      </c>
      <c r="DA58" s="89" t="str">
        <f t="shared" si="36"/>
        <v>ok</v>
      </c>
      <c r="DB58" s="89" t="str">
        <f t="shared" si="36"/>
        <v>ok</v>
      </c>
      <c r="DC58" s="89" t="str">
        <f t="shared" si="36"/>
        <v>ok</v>
      </c>
      <c r="DD58" s="89" t="str">
        <f t="shared" si="36"/>
        <v>ok</v>
      </c>
      <c r="DE58" s="89" t="str">
        <f t="shared" si="36"/>
        <v>ok</v>
      </c>
      <c r="DF58" s="89" t="str">
        <f t="shared" si="36"/>
        <v>ok</v>
      </c>
      <c r="DG58" s="89" t="str">
        <f t="shared" si="36"/>
        <v>ok</v>
      </c>
      <c r="DH58" s="89" t="str">
        <f t="shared" si="36"/>
        <v>ok</v>
      </c>
      <c r="DI58" s="89" t="str">
        <f t="shared" si="36"/>
        <v>ok</v>
      </c>
      <c r="DJ58" s="89" t="str">
        <f t="shared" si="36"/>
        <v>ok</v>
      </c>
      <c r="DK58" s="89" t="str">
        <f t="shared" si="36"/>
        <v>ok</v>
      </c>
      <c r="DL58" s="89" t="str">
        <f t="shared" si="36"/>
        <v>ok</v>
      </c>
      <c r="DM58" s="89" t="str">
        <f t="shared" si="36"/>
        <v>ok</v>
      </c>
      <c r="DN58" s="89" t="str">
        <f t="shared" si="36"/>
        <v>ok</v>
      </c>
      <c r="DO58" s="89" t="str">
        <f t="shared" si="36"/>
        <v>ok</v>
      </c>
      <c r="DP58" s="89" t="str">
        <f t="shared" si="36"/>
        <v>ok</v>
      </c>
      <c r="DQ58" s="89" t="str">
        <f t="shared" ref="DQ58:EV58" si="37">IF(DQ39+DQ50=DQ51,"ok","エラー")</f>
        <v>ok</v>
      </c>
      <c r="DR58" s="89" t="str">
        <f t="shared" si="37"/>
        <v>ok</v>
      </c>
      <c r="DS58" s="89" t="str">
        <f t="shared" si="37"/>
        <v>ok</v>
      </c>
      <c r="DT58" s="89" t="str">
        <f t="shared" si="37"/>
        <v>ok</v>
      </c>
      <c r="DU58" s="89" t="str">
        <f t="shared" si="37"/>
        <v>ok</v>
      </c>
      <c r="DV58" s="89" t="str">
        <f t="shared" si="37"/>
        <v>ok</v>
      </c>
      <c r="DW58" s="89" t="str">
        <f t="shared" si="37"/>
        <v>ok</v>
      </c>
      <c r="DX58" s="89" t="str">
        <f t="shared" si="37"/>
        <v>ok</v>
      </c>
      <c r="DY58" s="89" t="str">
        <f t="shared" si="37"/>
        <v>ok</v>
      </c>
      <c r="DZ58" s="89" t="str">
        <f t="shared" si="37"/>
        <v>ok</v>
      </c>
      <c r="EA58" s="89" t="str">
        <f t="shared" si="37"/>
        <v>ok</v>
      </c>
      <c r="EB58" s="89" t="str">
        <f t="shared" si="37"/>
        <v>ok</v>
      </c>
      <c r="EC58" s="89" t="str">
        <f t="shared" si="37"/>
        <v>ok</v>
      </c>
      <c r="ED58" s="89" t="str">
        <f t="shared" si="37"/>
        <v>ok</v>
      </c>
      <c r="EE58" s="89" t="str">
        <f t="shared" si="37"/>
        <v>ok</v>
      </c>
      <c r="EF58" s="89" t="str">
        <f t="shared" si="37"/>
        <v>ok</v>
      </c>
      <c r="EG58" s="89" t="str">
        <f t="shared" si="37"/>
        <v>ok</v>
      </c>
      <c r="EH58" s="89" t="str">
        <f t="shared" si="37"/>
        <v>ok</v>
      </c>
      <c r="EI58" s="89" t="str">
        <f t="shared" si="37"/>
        <v>ok</v>
      </c>
      <c r="EJ58" s="89" t="str">
        <f t="shared" si="37"/>
        <v>ok</v>
      </c>
      <c r="EK58" s="89" t="str">
        <f t="shared" si="37"/>
        <v>ok</v>
      </c>
      <c r="EL58" s="89" t="str">
        <f t="shared" si="37"/>
        <v>ok</v>
      </c>
      <c r="EM58" s="89" t="str">
        <f t="shared" si="37"/>
        <v>ok</v>
      </c>
      <c r="EN58" s="89" t="str">
        <f t="shared" si="37"/>
        <v>ok</v>
      </c>
      <c r="EO58" s="89" t="str">
        <f t="shared" si="37"/>
        <v>ok</v>
      </c>
      <c r="EP58" s="89" t="str">
        <f t="shared" si="37"/>
        <v>ok</v>
      </c>
      <c r="EQ58" s="89" t="str">
        <f t="shared" si="37"/>
        <v>ok</v>
      </c>
      <c r="ER58" s="89" t="str">
        <f t="shared" si="37"/>
        <v>ok</v>
      </c>
      <c r="ES58" s="89" t="str">
        <f t="shared" si="37"/>
        <v>ok</v>
      </c>
      <c r="ET58" s="89" t="str">
        <f t="shared" si="37"/>
        <v>ok</v>
      </c>
      <c r="EU58" s="89" t="str">
        <f t="shared" si="37"/>
        <v>ok</v>
      </c>
      <c r="EV58" s="89" t="str">
        <f t="shared" si="37"/>
        <v>ok</v>
      </c>
      <c r="EW58" s="89" t="str">
        <f t="shared" ref="EW58:FM58" si="38">IF(EW39+EW50=EW51,"ok","エラー")</f>
        <v>ok</v>
      </c>
      <c r="EX58" s="89" t="str">
        <f t="shared" si="38"/>
        <v>ok</v>
      </c>
      <c r="EY58" s="89" t="str">
        <f t="shared" si="38"/>
        <v>ok</v>
      </c>
      <c r="EZ58" s="89" t="str">
        <f t="shared" si="38"/>
        <v>ok</v>
      </c>
      <c r="FA58" s="89" t="str">
        <f t="shared" si="38"/>
        <v>ok</v>
      </c>
      <c r="FB58" s="89" t="str">
        <f t="shared" si="38"/>
        <v>ok</v>
      </c>
      <c r="FC58" s="89" t="str">
        <f t="shared" si="38"/>
        <v>ok</v>
      </c>
      <c r="FD58" s="89" t="str">
        <f t="shared" si="38"/>
        <v>ok</v>
      </c>
      <c r="FE58" s="89" t="str">
        <f t="shared" si="38"/>
        <v>ok</v>
      </c>
      <c r="FF58" s="89" t="str">
        <f t="shared" si="38"/>
        <v>ok</v>
      </c>
      <c r="FG58" s="89" t="str">
        <f t="shared" si="38"/>
        <v>ok</v>
      </c>
      <c r="FH58" s="89" t="str">
        <f t="shared" si="38"/>
        <v>ok</v>
      </c>
      <c r="FI58" s="89" t="str">
        <f t="shared" si="38"/>
        <v>エラー</v>
      </c>
      <c r="FJ58" s="89" t="str">
        <f t="shared" si="38"/>
        <v>ok</v>
      </c>
      <c r="FK58" s="89" t="str">
        <f t="shared" si="38"/>
        <v>ok</v>
      </c>
      <c r="FL58" s="89" t="str">
        <f t="shared" si="38"/>
        <v>ok</v>
      </c>
      <c r="FM58" s="89" t="str">
        <f t="shared" si="38"/>
        <v>ok</v>
      </c>
      <c r="FW58" s="89" t="str">
        <f>IF(FW39+FW50=FW51,"ok","エラー")</f>
        <v>ok</v>
      </c>
      <c r="FY58" s="89" t="str">
        <f t="shared" ref="FY58:GD58" si="39">IF(FY39+FY50=FY51,"ok","エラー")</f>
        <v>ok</v>
      </c>
      <c r="FZ58" s="89" t="str">
        <f t="shared" si="39"/>
        <v>ok</v>
      </c>
      <c r="GA58" s="89" t="str">
        <f t="shared" si="39"/>
        <v>ok</v>
      </c>
      <c r="GB58" s="89" t="str">
        <f t="shared" si="39"/>
        <v>ok</v>
      </c>
      <c r="GC58" s="89" t="str">
        <f t="shared" si="39"/>
        <v>ok</v>
      </c>
      <c r="GD58" s="89" t="str">
        <f t="shared" si="39"/>
        <v>ok</v>
      </c>
      <c r="GI58" s="62" t="str">
        <f>IF(GI39+GI50=GI51,"ok","エラー")</f>
        <v>ok</v>
      </c>
    </row>
    <row r="59" spans="2:230" x14ac:dyDescent="0.15">
      <c r="B59" s="72" t="s">
        <v>650</v>
      </c>
      <c r="C59" s="89" t="str">
        <f t="shared" ref="C59:AH59" si="40">IF(C6+C7+C51=C52,"ok","エラー")</f>
        <v>ok</v>
      </c>
      <c r="D59" s="89" t="str">
        <f t="shared" si="40"/>
        <v>ok</v>
      </c>
      <c r="E59" s="89" t="str">
        <f t="shared" si="40"/>
        <v>ok</v>
      </c>
      <c r="F59" s="89" t="str">
        <f t="shared" si="40"/>
        <v>ok</v>
      </c>
      <c r="G59" s="89" t="str">
        <f t="shared" si="40"/>
        <v>ok</v>
      </c>
      <c r="H59" s="89" t="str">
        <f t="shared" si="40"/>
        <v>ok</v>
      </c>
      <c r="I59" s="89" t="str">
        <f t="shared" si="40"/>
        <v>ok</v>
      </c>
      <c r="J59" s="89" t="str">
        <f t="shared" si="40"/>
        <v>ok</v>
      </c>
      <c r="K59" s="89" t="str">
        <f t="shared" si="40"/>
        <v>ok</v>
      </c>
      <c r="L59" s="89" t="str">
        <f t="shared" si="40"/>
        <v>ok</v>
      </c>
      <c r="M59" s="89" t="str">
        <f t="shared" si="40"/>
        <v>ok</v>
      </c>
      <c r="N59" s="89" t="str">
        <f t="shared" si="40"/>
        <v>ok</v>
      </c>
      <c r="O59" s="89" t="str">
        <f t="shared" si="40"/>
        <v>ok</v>
      </c>
      <c r="P59" s="89" t="str">
        <f t="shared" si="40"/>
        <v>ok</v>
      </c>
      <c r="Q59" s="89" t="str">
        <f t="shared" si="40"/>
        <v>ok</v>
      </c>
      <c r="R59" s="89" t="str">
        <f t="shared" si="40"/>
        <v>ok</v>
      </c>
      <c r="S59" s="75" t="str">
        <f t="shared" si="40"/>
        <v>ok</v>
      </c>
      <c r="T59" s="89" t="str">
        <f t="shared" si="40"/>
        <v>ok</v>
      </c>
      <c r="U59" s="89" t="str">
        <f t="shared" si="40"/>
        <v>ok</v>
      </c>
      <c r="V59" s="89" t="str">
        <f t="shared" si="40"/>
        <v>ok</v>
      </c>
      <c r="W59" s="89" t="str">
        <f t="shared" si="40"/>
        <v>ok</v>
      </c>
      <c r="X59" s="89" t="str">
        <f t="shared" si="40"/>
        <v>ok</v>
      </c>
      <c r="Y59" s="89" t="str">
        <f t="shared" si="40"/>
        <v>ok</v>
      </c>
      <c r="Z59" s="89" t="str">
        <f t="shared" si="40"/>
        <v>ok</v>
      </c>
      <c r="AA59" s="89" t="str">
        <f t="shared" si="40"/>
        <v>ok</v>
      </c>
      <c r="AB59" s="89" t="str">
        <f t="shared" si="40"/>
        <v>ok</v>
      </c>
      <c r="AC59" s="89" t="str">
        <f t="shared" si="40"/>
        <v>ok</v>
      </c>
      <c r="AD59" s="89" t="str">
        <f t="shared" si="40"/>
        <v>ok</v>
      </c>
      <c r="AE59" s="89" t="str">
        <f t="shared" si="40"/>
        <v>ok</v>
      </c>
      <c r="AF59" s="89" t="str">
        <f t="shared" si="40"/>
        <v>ok</v>
      </c>
      <c r="AG59" s="89" t="str">
        <f t="shared" si="40"/>
        <v>ok</v>
      </c>
      <c r="AH59" s="89" t="str">
        <f t="shared" si="40"/>
        <v>ok</v>
      </c>
      <c r="AI59" s="89" t="str">
        <f t="shared" ref="AI59:BN59" si="41">IF(AI6+AI7+AI51=AI52,"ok","エラー")</f>
        <v>ok</v>
      </c>
      <c r="AJ59" s="89" t="str">
        <f t="shared" si="41"/>
        <v>ok</v>
      </c>
      <c r="AK59" s="89" t="str">
        <f t="shared" si="41"/>
        <v>ok</v>
      </c>
      <c r="AL59" s="89" t="str">
        <f t="shared" si="41"/>
        <v>ok</v>
      </c>
      <c r="AM59" s="89" t="str">
        <f t="shared" si="41"/>
        <v>ok</v>
      </c>
      <c r="AN59" s="89" t="str">
        <f t="shared" si="41"/>
        <v>ok</v>
      </c>
      <c r="AO59" s="89" t="str">
        <f t="shared" si="41"/>
        <v>ok</v>
      </c>
      <c r="AP59" s="89" t="str">
        <f t="shared" si="41"/>
        <v>ok</v>
      </c>
      <c r="AQ59" s="89" t="str">
        <f t="shared" si="41"/>
        <v>ok</v>
      </c>
      <c r="AR59" s="89" t="str">
        <f t="shared" si="41"/>
        <v>ok</v>
      </c>
      <c r="AS59" s="89" t="str">
        <f t="shared" si="41"/>
        <v>ok</v>
      </c>
      <c r="AT59" s="89" t="str">
        <f t="shared" si="41"/>
        <v>ok</v>
      </c>
      <c r="AU59" s="89" t="str">
        <f t="shared" si="41"/>
        <v>ok</v>
      </c>
      <c r="AV59" s="89" t="str">
        <f t="shared" si="41"/>
        <v>ok</v>
      </c>
      <c r="AW59" s="89" t="str">
        <f t="shared" si="41"/>
        <v>ok</v>
      </c>
      <c r="AX59" s="89" t="str">
        <f t="shared" si="41"/>
        <v>ok</v>
      </c>
      <c r="AY59" s="89" t="str">
        <f t="shared" si="41"/>
        <v>ok</v>
      </c>
      <c r="AZ59" s="89" t="str">
        <f t="shared" si="41"/>
        <v>ok</v>
      </c>
      <c r="BA59" s="89" t="str">
        <f t="shared" si="41"/>
        <v>ok</v>
      </c>
      <c r="BB59" s="89" t="str">
        <f t="shared" si="41"/>
        <v>ok</v>
      </c>
      <c r="BC59" s="89" t="str">
        <f t="shared" si="41"/>
        <v>ok</v>
      </c>
      <c r="BD59" s="89" t="str">
        <f t="shared" si="41"/>
        <v>ok</v>
      </c>
      <c r="BE59" s="89" t="str">
        <f t="shared" si="41"/>
        <v>ok</v>
      </c>
      <c r="BF59" s="89" t="str">
        <f t="shared" si="41"/>
        <v>ok</v>
      </c>
      <c r="BG59" s="89" t="str">
        <f t="shared" si="41"/>
        <v>ok</v>
      </c>
      <c r="BH59" s="89" t="str">
        <f t="shared" si="41"/>
        <v>ok</v>
      </c>
      <c r="BI59" s="89" t="str">
        <f t="shared" si="41"/>
        <v>ok</v>
      </c>
      <c r="BJ59" s="89" t="str">
        <f t="shared" si="41"/>
        <v>ok</v>
      </c>
      <c r="BK59" s="89" t="str">
        <f t="shared" si="41"/>
        <v>ok</v>
      </c>
      <c r="BL59" s="89" t="str">
        <f t="shared" si="41"/>
        <v>ok</v>
      </c>
      <c r="BM59" s="89" t="str">
        <f t="shared" si="41"/>
        <v>ok</v>
      </c>
      <c r="BN59" s="89" t="str">
        <f t="shared" si="41"/>
        <v>ok</v>
      </c>
      <c r="BO59" s="89" t="str">
        <f t="shared" ref="BO59:CI59" si="42">IF(BO6+BO7+BO51=BO52,"ok","エラー")</f>
        <v>ok</v>
      </c>
      <c r="BP59" s="89" t="str">
        <f t="shared" si="42"/>
        <v>ok</v>
      </c>
      <c r="BQ59" s="89" t="str">
        <f t="shared" si="42"/>
        <v>ok</v>
      </c>
      <c r="BR59" s="89" t="str">
        <f t="shared" si="42"/>
        <v>ok</v>
      </c>
      <c r="BS59" s="89" t="str">
        <f t="shared" si="42"/>
        <v>ok</v>
      </c>
      <c r="BT59" s="89" t="str">
        <f t="shared" si="42"/>
        <v>ok</v>
      </c>
      <c r="BU59" s="89" t="str">
        <f t="shared" si="42"/>
        <v>ok</v>
      </c>
      <c r="BV59" s="89" t="str">
        <f t="shared" si="42"/>
        <v>ok</v>
      </c>
      <c r="BW59" s="89" t="str">
        <f t="shared" si="42"/>
        <v>ok</v>
      </c>
      <c r="BX59" s="89" t="str">
        <f t="shared" si="42"/>
        <v>ok</v>
      </c>
      <c r="BY59" s="89" t="str">
        <f t="shared" si="42"/>
        <v>ok</v>
      </c>
      <c r="BZ59" s="89" t="str">
        <f t="shared" si="42"/>
        <v>ok</v>
      </c>
      <c r="CA59" s="89" t="str">
        <f t="shared" si="42"/>
        <v>ok</v>
      </c>
      <c r="CB59" s="89" t="str">
        <f t="shared" si="42"/>
        <v>ok</v>
      </c>
      <c r="CC59" s="89" t="str">
        <f t="shared" si="42"/>
        <v>ok</v>
      </c>
      <c r="CD59" s="89" t="str">
        <f t="shared" si="42"/>
        <v>ok</v>
      </c>
      <c r="CE59" s="89" t="str">
        <f t="shared" si="42"/>
        <v>ok</v>
      </c>
      <c r="CF59" s="89" t="str">
        <f t="shared" si="42"/>
        <v>ok</v>
      </c>
      <c r="CG59" s="89" t="str">
        <f t="shared" si="42"/>
        <v>ok</v>
      </c>
      <c r="CH59" s="89" t="str">
        <f t="shared" si="42"/>
        <v>ok</v>
      </c>
      <c r="CI59" s="89" t="str">
        <f t="shared" si="42"/>
        <v>ok</v>
      </c>
      <c r="CJ59" s="84"/>
      <c r="CK59" s="89" t="str">
        <f t="shared" ref="CK59:DP59" si="43">IF(CK6+CK7+CK51=CK52,"ok","エラー")</f>
        <v>ok</v>
      </c>
      <c r="CL59" s="89" t="str">
        <f t="shared" si="43"/>
        <v>ok</v>
      </c>
      <c r="CM59" s="89" t="str">
        <f t="shared" si="43"/>
        <v>ok</v>
      </c>
      <c r="CN59" s="89" t="str">
        <f t="shared" si="43"/>
        <v>ok</v>
      </c>
      <c r="CO59" s="89" t="str">
        <f t="shared" si="43"/>
        <v>ok</v>
      </c>
      <c r="CP59" s="89" t="str">
        <f t="shared" si="43"/>
        <v>ok</v>
      </c>
      <c r="CQ59" s="89" t="str">
        <f t="shared" si="43"/>
        <v>ok</v>
      </c>
      <c r="CR59" s="89" t="str">
        <f t="shared" si="43"/>
        <v>ok</v>
      </c>
      <c r="CS59" s="89" t="str">
        <f t="shared" si="43"/>
        <v>ok</v>
      </c>
      <c r="CT59" s="89" t="str">
        <f t="shared" si="43"/>
        <v>ok</v>
      </c>
      <c r="CU59" s="89" t="str">
        <f t="shared" si="43"/>
        <v>ok</v>
      </c>
      <c r="CV59" s="89" t="str">
        <f t="shared" si="43"/>
        <v>ok</v>
      </c>
      <c r="CW59" s="89" t="str">
        <f t="shared" si="43"/>
        <v>ok</v>
      </c>
      <c r="CX59" s="89" t="str">
        <f t="shared" si="43"/>
        <v>ok</v>
      </c>
      <c r="CY59" s="89" t="str">
        <f t="shared" si="43"/>
        <v>ok</v>
      </c>
      <c r="CZ59" s="89" t="str">
        <f t="shared" si="43"/>
        <v>ok</v>
      </c>
      <c r="DA59" s="89" t="str">
        <f t="shared" si="43"/>
        <v>ok</v>
      </c>
      <c r="DB59" s="89" t="str">
        <f t="shared" si="43"/>
        <v>ok</v>
      </c>
      <c r="DC59" s="89" t="str">
        <f t="shared" si="43"/>
        <v>ok</v>
      </c>
      <c r="DD59" s="89" t="str">
        <f t="shared" si="43"/>
        <v>ok</v>
      </c>
      <c r="DE59" s="89" t="str">
        <f t="shared" si="43"/>
        <v>ok</v>
      </c>
      <c r="DF59" s="89" t="str">
        <f t="shared" si="43"/>
        <v>ok</v>
      </c>
      <c r="DG59" s="89" t="str">
        <f t="shared" si="43"/>
        <v>ok</v>
      </c>
      <c r="DH59" s="89" t="str">
        <f t="shared" si="43"/>
        <v>ok</v>
      </c>
      <c r="DI59" s="89" t="str">
        <f t="shared" si="43"/>
        <v>ok</v>
      </c>
      <c r="DJ59" s="89" t="str">
        <f t="shared" si="43"/>
        <v>ok</v>
      </c>
      <c r="DK59" s="89" t="str">
        <f t="shared" si="43"/>
        <v>ok</v>
      </c>
      <c r="DL59" s="89" t="str">
        <f t="shared" si="43"/>
        <v>ok</v>
      </c>
      <c r="DM59" s="89" t="str">
        <f t="shared" si="43"/>
        <v>ok</v>
      </c>
      <c r="DN59" s="89" t="str">
        <f t="shared" si="43"/>
        <v>ok</v>
      </c>
      <c r="DO59" s="89" t="str">
        <f t="shared" si="43"/>
        <v>ok</v>
      </c>
      <c r="DP59" s="89" t="str">
        <f t="shared" si="43"/>
        <v>ok</v>
      </c>
      <c r="DQ59" s="89" t="str">
        <f t="shared" ref="DQ59:EV59" si="44">IF(DQ6+DQ7+DQ51=DQ52,"ok","エラー")</f>
        <v>ok</v>
      </c>
      <c r="DR59" s="89" t="str">
        <f t="shared" si="44"/>
        <v>ok</v>
      </c>
      <c r="DS59" s="89" t="str">
        <f t="shared" si="44"/>
        <v>ok</v>
      </c>
      <c r="DT59" s="89" t="str">
        <f t="shared" si="44"/>
        <v>ok</v>
      </c>
      <c r="DU59" s="89" t="str">
        <f t="shared" si="44"/>
        <v>ok</v>
      </c>
      <c r="DV59" s="89" t="str">
        <f t="shared" si="44"/>
        <v>ok</v>
      </c>
      <c r="DW59" s="89" t="str">
        <f t="shared" si="44"/>
        <v>ok</v>
      </c>
      <c r="DX59" s="89" t="str">
        <f t="shared" si="44"/>
        <v>ok</v>
      </c>
      <c r="DY59" s="89" t="str">
        <f t="shared" si="44"/>
        <v>ok</v>
      </c>
      <c r="DZ59" s="89" t="str">
        <f t="shared" si="44"/>
        <v>ok</v>
      </c>
      <c r="EA59" s="89" t="str">
        <f t="shared" si="44"/>
        <v>ok</v>
      </c>
      <c r="EB59" s="89" t="str">
        <f t="shared" si="44"/>
        <v>ok</v>
      </c>
      <c r="EC59" s="89" t="str">
        <f t="shared" si="44"/>
        <v>ok</v>
      </c>
      <c r="ED59" s="89" t="str">
        <f t="shared" si="44"/>
        <v>ok</v>
      </c>
      <c r="EE59" s="89" t="str">
        <f t="shared" si="44"/>
        <v>ok</v>
      </c>
      <c r="EF59" s="89" t="str">
        <f t="shared" si="44"/>
        <v>ok</v>
      </c>
      <c r="EG59" s="89" t="str">
        <f t="shared" si="44"/>
        <v>ok</v>
      </c>
      <c r="EH59" s="89" t="str">
        <f t="shared" si="44"/>
        <v>ok</v>
      </c>
      <c r="EI59" s="89" t="str">
        <f t="shared" si="44"/>
        <v>ok</v>
      </c>
      <c r="EJ59" s="89" t="str">
        <f t="shared" si="44"/>
        <v>ok</v>
      </c>
      <c r="EK59" s="89" t="str">
        <f t="shared" si="44"/>
        <v>ok</v>
      </c>
      <c r="EL59" s="89" t="str">
        <f t="shared" si="44"/>
        <v>ok</v>
      </c>
      <c r="EM59" s="89" t="str">
        <f t="shared" si="44"/>
        <v>ok</v>
      </c>
      <c r="EN59" s="89" t="str">
        <f t="shared" si="44"/>
        <v>ok</v>
      </c>
      <c r="EO59" s="89" t="str">
        <f t="shared" si="44"/>
        <v>ok</v>
      </c>
      <c r="EP59" s="89" t="str">
        <f t="shared" si="44"/>
        <v>ok</v>
      </c>
      <c r="EQ59" s="89" t="str">
        <f t="shared" si="44"/>
        <v>ok</v>
      </c>
      <c r="ER59" s="89" t="str">
        <f t="shared" si="44"/>
        <v>ok</v>
      </c>
      <c r="ES59" s="89" t="str">
        <f t="shared" si="44"/>
        <v>ok</v>
      </c>
      <c r="ET59" s="89" t="str">
        <f t="shared" si="44"/>
        <v>ok</v>
      </c>
      <c r="EU59" s="89" t="str">
        <f t="shared" si="44"/>
        <v>ok</v>
      </c>
      <c r="EV59" s="89" t="str">
        <f t="shared" si="44"/>
        <v>ok</v>
      </c>
      <c r="EW59" s="89" t="str">
        <f t="shared" ref="EW59:FM59" si="45">IF(EW6+EW7+EW51=EW52,"ok","エラー")</f>
        <v>ok</v>
      </c>
      <c r="EX59" s="89" t="str">
        <f t="shared" si="45"/>
        <v>ok</v>
      </c>
      <c r="EY59" s="89" t="str">
        <f t="shared" si="45"/>
        <v>ok</v>
      </c>
      <c r="EZ59" s="89" t="str">
        <f t="shared" si="45"/>
        <v>ok</v>
      </c>
      <c r="FA59" s="89" t="str">
        <f t="shared" si="45"/>
        <v>ok</v>
      </c>
      <c r="FB59" s="89" t="str">
        <f t="shared" si="45"/>
        <v>ok</v>
      </c>
      <c r="FC59" s="89" t="str">
        <f t="shared" si="45"/>
        <v>ok</v>
      </c>
      <c r="FD59" s="89" t="str">
        <f t="shared" si="45"/>
        <v>ok</v>
      </c>
      <c r="FE59" s="89" t="str">
        <f t="shared" si="45"/>
        <v>ok</v>
      </c>
      <c r="FF59" s="89" t="str">
        <f t="shared" si="45"/>
        <v>ok</v>
      </c>
      <c r="FG59" s="89" t="str">
        <f t="shared" si="45"/>
        <v>ok</v>
      </c>
      <c r="FH59" s="89" t="str">
        <f t="shared" si="45"/>
        <v>ok</v>
      </c>
      <c r="FI59" s="89" t="str">
        <f t="shared" si="45"/>
        <v>エラー</v>
      </c>
      <c r="FJ59" s="89" t="str">
        <f t="shared" si="45"/>
        <v>ok</v>
      </c>
      <c r="FK59" s="89" t="str">
        <f t="shared" si="45"/>
        <v>ok</v>
      </c>
      <c r="FL59" s="89" t="str">
        <f t="shared" si="45"/>
        <v>ok</v>
      </c>
      <c r="FM59" s="89" t="str">
        <f t="shared" si="45"/>
        <v>ok</v>
      </c>
      <c r="FW59" s="89" t="str">
        <f>IF(FW6+FW7+FW51=FW52,"ok","エラー")</f>
        <v>ok</v>
      </c>
      <c r="FY59" s="89" t="str">
        <f t="shared" ref="FY59:GD59" si="46">IF(FY6+FY7+FY51=FY52,"ok","エラー")</f>
        <v>ok</v>
      </c>
      <c r="FZ59" s="89" t="str">
        <f t="shared" si="46"/>
        <v>ok</v>
      </c>
      <c r="GA59" s="89" t="str">
        <f t="shared" si="46"/>
        <v>ok</v>
      </c>
      <c r="GB59" s="89" t="str">
        <f t="shared" si="46"/>
        <v>ok</v>
      </c>
      <c r="GC59" s="89" t="str">
        <f t="shared" si="46"/>
        <v>ok</v>
      </c>
      <c r="GD59" s="89" t="str">
        <f t="shared" si="46"/>
        <v>ok</v>
      </c>
      <c r="GI59" s="89" t="str">
        <f>IF(GI6+GI7+GI51=GI52,"ok","エラー")</f>
        <v>ok</v>
      </c>
    </row>
    <row r="66" spans="143:144" x14ac:dyDescent="0.15">
      <c r="EM66" s="421"/>
      <c r="EN66" s="422"/>
    </row>
    <row r="67" spans="143:144" x14ac:dyDescent="0.15">
      <c r="EM67" s="421"/>
      <c r="EN67" s="422"/>
    </row>
    <row r="68" spans="143:144" x14ac:dyDescent="0.15">
      <c r="EM68" s="421"/>
      <c r="EN68" s="422"/>
    </row>
    <row r="69" spans="143:144" x14ac:dyDescent="0.15">
      <c r="EM69" s="421"/>
      <c r="EN69" s="422"/>
    </row>
    <row r="70" spans="143:144" x14ac:dyDescent="0.15">
      <c r="EM70" s="421"/>
      <c r="EN70" s="422"/>
    </row>
    <row r="71" spans="143:144" x14ac:dyDescent="0.15">
      <c r="EM71" s="421"/>
      <c r="EN71" s="422"/>
    </row>
    <row r="72" spans="143:144" x14ac:dyDescent="0.15">
      <c r="EM72" s="421"/>
      <c r="EN72" s="422"/>
    </row>
    <row r="73" spans="143:144" x14ac:dyDescent="0.15">
      <c r="EM73" s="421"/>
      <c r="EN73" s="422"/>
    </row>
    <row r="74" spans="143:144" x14ac:dyDescent="0.15">
      <c r="EM74" s="421"/>
      <c r="EN74" s="422"/>
    </row>
    <row r="75" spans="143:144" x14ac:dyDescent="0.15">
      <c r="EM75" s="421"/>
      <c r="EN75" s="422"/>
    </row>
    <row r="76" spans="143:144" x14ac:dyDescent="0.15">
      <c r="EM76" s="421"/>
      <c r="EN76" s="422"/>
    </row>
    <row r="77" spans="143:144" x14ac:dyDescent="0.15">
      <c r="EM77" s="421"/>
      <c r="EN77" s="422"/>
    </row>
    <row r="78" spans="143:144" x14ac:dyDescent="0.15">
      <c r="EM78" s="421"/>
      <c r="EN78" s="422"/>
    </row>
    <row r="79" spans="143:144" x14ac:dyDescent="0.15">
      <c r="EM79" s="421"/>
      <c r="EN79" s="422"/>
    </row>
    <row r="80" spans="143:144" x14ac:dyDescent="0.15">
      <c r="EM80" s="421"/>
      <c r="EN80" s="422"/>
    </row>
    <row r="81" spans="143:144" x14ac:dyDescent="0.15">
      <c r="EM81" s="421"/>
      <c r="EN81" s="422"/>
    </row>
    <row r="82" spans="143:144" x14ac:dyDescent="0.15">
      <c r="EM82" s="421"/>
      <c r="EN82" s="422"/>
    </row>
    <row r="83" spans="143:144" x14ac:dyDescent="0.15">
      <c r="EM83" s="421"/>
      <c r="EN83" s="422"/>
    </row>
    <row r="84" spans="143:144" x14ac:dyDescent="0.15">
      <c r="EM84" s="421"/>
      <c r="EN84" s="422"/>
    </row>
    <row r="85" spans="143:144" x14ac:dyDescent="0.15">
      <c r="EM85" s="421"/>
      <c r="EN85" s="422"/>
    </row>
    <row r="86" spans="143:144" x14ac:dyDescent="0.15">
      <c r="EM86" s="421"/>
      <c r="EN86" s="422"/>
    </row>
    <row r="87" spans="143:144" x14ac:dyDescent="0.15">
      <c r="EM87" s="421"/>
      <c r="EN87" s="422"/>
    </row>
    <row r="88" spans="143:144" x14ac:dyDescent="0.15">
      <c r="EM88" s="421"/>
      <c r="EN88" s="422"/>
    </row>
    <row r="89" spans="143:144" x14ac:dyDescent="0.15">
      <c r="EM89" s="421"/>
      <c r="EN89" s="422"/>
    </row>
    <row r="90" spans="143:144" x14ac:dyDescent="0.15">
      <c r="EM90" s="421"/>
      <c r="EN90" s="422"/>
    </row>
    <row r="91" spans="143:144" x14ac:dyDescent="0.15">
      <c r="EM91" s="421"/>
      <c r="EN91" s="422"/>
    </row>
    <row r="92" spans="143:144" x14ac:dyDescent="0.15">
      <c r="EM92" s="421"/>
      <c r="EN92" s="422"/>
    </row>
    <row r="93" spans="143:144" x14ac:dyDescent="0.15">
      <c r="EM93" s="421"/>
      <c r="EN93" s="422"/>
    </row>
    <row r="94" spans="143:144" x14ac:dyDescent="0.15">
      <c r="EM94" s="421"/>
      <c r="EN94" s="422"/>
    </row>
    <row r="95" spans="143:144" x14ac:dyDescent="0.15">
      <c r="EM95" s="421"/>
      <c r="EN95" s="422"/>
    </row>
    <row r="96" spans="143:144" x14ac:dyDescent="0.15">
      <c r="EM96" s="421"/>
      <c r="EN96" s="422"/>
    </row>
    <row r="97" spans="143:144" x14ac:dyDescent="0.15">
      <c r="EM97" s="421"/>
      <c r="EN97" s="422"/>
    </row>
    <row r="98" spans="143:144" x14ac:dyDescent="0.15">
      <c r="EM98" s="421"/>
      <c r="EN98" s="422"/>
    </row>
    <row r="99" spans="143:144" x14ac:dyDescent="0.15">
      <c r="EM99" s="421"/>
      <c r="EN99" s="422"/>
    </row>
    <row r="100" spans="143:144" x14ac:dyDescent="0.15">
      <c r="EM100" s="421"/>
      <c r="EN100" s="422"/>
    </row>
    <row r="101" spans="143:144" x14ac:dyDescent="0.15">
      <c r="EM101" s="421"/>
      <c r="EN101" s="422"/>
    </row>
    <row r="102" spans="143:144" x14ac:dyDescent="0.15">
      <c r="EM102" s="421"/>
      <c r="EN102" s="422"/>
    </row>
    <row r="103" spans="143:144" x14ac:dyDescent="0.15">
      <c r="EM103" s="421"/>
      <c r="EN103" s="422"/>
    </row>
    <row r="104" spans="143:144" x14ac:dyDescent="0.15">
      <c r="EM104" s="421"/>
      <c r="EN104" s="422"/>
    </row>
    <row r="105" spans="143:144" x14ac:dyDescent="0.15">
      <c r="EM105" s="421"/>
      <c r="EN105" s="422"/>
    </row>
    <row r="106" spans="143:144" x14ac:dyDescent="0.15">
      <c r="EM106" s="421"/>
      <c r="EN106" s="422"/>
    </row>
  </sheetData>
  <mergeCells count="1">
    <mergeCell ref="FO2:FU2"/>
  </mergeCells>
  <phoneticPr fontId="3"/>
  <pageMargins left="0.59055118110236227" right="0.59055118110236227" top="0.98425196850393704" bottom="0.98425196850393704" header="0.51181102362204722" footer="0.51181102362204722"/>
  <pageSetup paperSize="9" fitToWidth="0" orientation="portrait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0">
    <tabColor indexed="15"/>
    <pageSetUpPr fitToPage="1"/>
  </sheetPr>
  <dimension ref="A1:HV106"/>
  <sheetViews>
    <sheetView zoomScale="85" zoomScaleNormal="85" workbookViewId="0">
      <pane xSplit="2" ySplit="5" topLeftCell="FU27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13.10937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12.33203125" style="174" bestFit="1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62" customWidth="1"/>
    <col min="192" max="192" width="8.5546875" style="174" bestFit="1" customWidth="1"/>
    <col min="193" max="193" width="10.33203125" style="174" customWidth="1"/>
    <col min="194" max="194" width="8.5546875" style="174" customWidth="1"/>
    <col min="195" max="195" width="9.6640625" style="174" customWidth="1"/>
    <col min="196" max="196" width="10.33203125" style="174" customWidth="1"/>
    <col min="197" max="197" width="8.5546875" style="174" customWidth="1"/>
    <col min="198" max="198" width="11.88671875" style="174" customWidth="1"/>
    <col min="199" max="199" width="10.33203125" style="174" customWidth="1"/>
    <col min="200" max="200" width="8.5546875" style="174" customWidth="1"/>
    <col min="201" max="201" width="9.6640625" style="174" customWidth="1"/>
    <col min="202" max="202" width="10.33203125" style="174" customWidth="1"/>
    <col min="203" max="230" width="13.6640625" style="174" customWidth="1"/>
  </cols>
  <sheetData>
    <row r="1" spans="2:230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52">
        <v>190</v>
      </c>
      <c r="GJ1" s="10">
        <v>191</v>
      </c>
      <c r="GK1" s="10">
        <v>192</v>
      </c>
      <c r="GL1" s="10">
        <v>193</v>
      </c>
      <c r="GM1" s="10">
        <v>194</v>
      </c>
      <c r="GN1" s="10">
        <v>195</v>
      </c>
      <c r="GO1" s="10">
        <v>196</v>
      </c>
      <c r="GP1" s="10">
        <v>197</v>
      </c>
      <c r="GQ1" s="10">
        <v>198</v>
      </c>
      <c r="GR1" s="10">
        <v>199</v>
      </c>
      <c r="GS1" s="10">
        <v>200</v>
      </c>
      <c r="GT1" s="10">
        <v>201</v>
      </c>
    </row>
    <row r="2" spans="2:230" x14ac:dyDescent="0.15">
      <c r="C2" s="96" t="s">
        <v>338</v>
      </c>
      <c r="D2" s="29"/>
      <c r="E2" s="96" t="s">
        <v>339</v>
      </c>
      <c r="F2" s="96" t="s">
        <v>340</v>
      </c>
      <c r="G2" s="29"/>
      <c r="H2" s="96" t="s">
        <v>341</v>
      </c>
      <c r="I2" s="96" t="s">
        <v>342</v>
      </c>
      <c r="J2" s="96" t="s">
        <v>343</v>
      </c>
      <c r="K2" s="96" t="s">
        <v>344</v>
      </c>
      <c r="L2" s="96" t="s">
        <v>345</v>
      </c>
      <c r="M2" s="96" t="s">
        <v>346</v>
      </c>
      <c r="N2" s="96" t="s">
        <v>347</v>
      </c>
      <c r="O2" s="96" t="s">
        <v>348</v>
      </c>
      <c r="P2" s="96" t="s">
        <v>349</v>
      </c>
      <c r="Q2" s="96" t="s">
        <v>350</v>
      </c>
      <c r="R2" s="96" t="s">
        <v>351</v>
      </c>
      <c r="S2" s="96" t="s">
        <v>352</v>
      </c>
      <c r="T2" s="89"/>
      <c r="U2" s="96" t="s">
        <v>725</v>
      </c>
      <c r="V2" s="96" t="s">
        <v>354</v>
      </c>
      <c r="W2" s="96" t="s">
        <v>355</v>
      </c>
      <c r="X2" s="96" t="s">
        <v>664</v>
      </c>
      <c r="Y2" s="96" t="s">
        <v>356</v>
      </c>
      <c r="Z2" s="96" t="s">
        <v>357</v>
      </c>
      <c r="AA2" s="96" t="s">
        <v>653</v>
      </c>
      <c r="AB2" s="96" t="s">
        <v>359</v>
      </c>
      <c r="AC2" s="96" t="s">
        <v>654</v>
      </c>
      <c r="AD2" s="96" t="s">
        <v>665</v>
      </c>
      <c r="AE2" s="96" t="s">
        <v>726</v>
      </c>
      <c r="AF2" s="96" t="s">
        <v>363</v>
      </c>
      <c r="AG2" s="96" t="s">
        <v>364</v>
      </c>
      <c r="AH2" s="89"/>
      <c r="AI2" s="96" t="s">
        <v>684</v>
      </c>
      <c r="AJ2" s="96" t="s">
        <v>727</v>
      </c>
      <c r="AK2" s="96" t="s">
        <v>368</v>
      </c>
      <c r="AL2" s="29"/>
      <c r="AM2" s="96" t="s">
        <v>728</v>
      </c>
      <c r="AN2" s="96" t="s">
        <v>686</v>
      </c>
      <c r="AO2" s="96" t="s">
        <v>352</v>
      </c>
      <c r="AP2" s="96" t="s">
        <v>369</v>
      </c>
      <c r="AQ2" s="96" t="s">
        <v>371</v>
      </c>
      <c r="AR2" s="96" t="s">
        <v>372</v>
      </c>
      <c r="AS2" s="96" t="s">
        <v>729</v>
      </c>
      <c r="AT2" s="96" t="s">
        <v>376</v>
      </c>
      <c r="AU2" s="96" t="s">
        <v>377</v>
      </c>
      <c r="AV2" s="96" t="s">
        <v>378</v>
      </c>
      <c r="AW2" s="96" t="s">
        <v>688</v>
      </c>
      <c r="AX2" s="96" t="s">
        <v>380</v>
      </c>
      <c r="AY2" s="96" t="s">
        <v>381</v>
      </c>
      <c r="AZ2" s="96" t="s">
        <v>710</v>
      </c>
      <c r="BA2" s="96" t="s">
        <v>690</v>
      </c>
      <c r="BB2" s="96" t="s">
        <v>711</v>
      </c>
      <c r="BC2" s="96" t="s">
        <v>384</v>
      </c>
      <c r="BD2" s="96" t="s">
        <v>386</v>
      </c>
      <c r="BE2" s="96" t="s">
        <v>387</v>
      </c>
      <c r="BF2" s="96" t="s">
        <v>388</v>
      </c>
      <c r="BG2" s="96" t="s">
        <v>389</v>
      </c>
      <c r="BH2" s="96" t="s">
        <v>692</v>
      </c>
      <c r="BI2" s="96" t="s">
        <v>739</v>
      </c>
      <c r="BJ2" s="96" t="s">
        <v>385</v>
      </c>
      <c r="BK2" s="96" t="s">
        <v>392</v>
      </c>
      <c r="BL2" s="96" t="s">
        <v>694</v>
      </c>
      <c r="BM2" s="96" t="s">
        <v>393</v>
      </c>
      <c r="BN2" s="96" t="s">
        <v>696</v>
      </c>
      <c r="BO2" s="29"/>
      <c r="BP2" s="29"/>
      <c r="BQ2" s="96" t="s">
        <v>770</v>
      </c>
      <c r="BR2" s="96" t="s">
        <v>761</v>
      </c>
      <c r="BS2" s="96" t="s">
        <v>771</v>
      </c>
      <c r="BT2" s="96" t="s">
        <v>772</v>
      </c>
      <c r="BU2" s="96" t="s">
        <v>396</v>
      </c>
      <c r="BV2" s="89"/>
      <c r="BW2" s="96" t="s">
        <v>402</v>
      </c>
      <c r="BX2" s="96" t="s">
        <v>403</v>
      </c>
      <c r="BY2" s="96" t="s">
        <v>719</v>
      </c>
      <c r="BZ2" s="96" t="s">
        <v>405</v>
      </c>
      <c r="CA2" s="96" t="s">
        <v>406</v>
      </c>
      <c r="CB2" s="96" t="s">
        <v>407</v>
      </c>
      <c r="CC2" s="96" t="s">
        <v>408</v>
      </c>
      <c r="CD2" s="96" t="s">
        <v>409</v>
      </c>
      <c r="CE2" s="96" t="s">
        <v>410</v>
      </c>
      <c r="CF2" s="96" t="s">
        <v>411</v>
      </c>
      <c r="CG2" s="96" t="s">
        <v>412</v>
      </c>
      <c r="CH2" s="96" t="s">
        <v>413</v>
      </c>
      <c r="CI2" s="96" t="s">
        <v>414</v>
      </c>
      <c r="CJ2" s="81"/>
      <c r="CK2" s="96" t="s">
        <v>415</v>
      </c>
      <c r="CL2" s="96" t="s">
        <v>720</v>
      </c>
      <c r="CM2" s="96" t="s">
        <v>417</v>
      </c>
      <c r="CN2" s="96" t="s">
        <v>721</v>
      </c>
      <c r="CO2" s="96" t="s">
        <v>419</v>
      </c>
      <c r="CP2" s="96" t="s">
        <v>420</v>
      </c>
      <c r="CQ2" s="96" t="s">
        <v>421</v>
      </c>
      <c r="CR2" s="96" t="s">
        <v>422</v>
      </c>
      <c r="CS2" s="96" t="s">
        <v>423</v>
      </c>
      <c r="CT2" s="28"/>
      <c r="CU2" s="96" t="s">
        <v>424</v>
      </c>
      <c r="CV2" s="96" t="s">
        <v>425</v>
      </c>
      <c r="CW2" s="89"/>
      <c r="CX2" s="96" t="s">
        <v>426</v>
      </c>
      <c r="CY2" s="96" t="s">
        <v>427</v>
      </c>
      <c r="CZ2" s="89"/>
      <c r="DA2" s="96" t="s">
        <v>428</v>
      </c>
      <c r="DB2" s="96" t="s">
        <v>429</v>
      </c>
      <c r="DC2" s="96" t="s">
        <v>430</v>
      </c>
      <c r="DD2" s="96" t="s">
        <v>431</v>
      </c>
      <c r="DE2" s="96" t="s">
        <v>432</v>
      </c>
      <c r="DF2" s="96" t="s">
        <v>433</v>
      </c>
      <c r="DG2" s="96" t="s">
        <v>434</v>
      </c>
      <c r="DH2" s="96" t="s">
        <v>435</v>
      </c>
      <c r="DI2" s="96" t="s">
        <v>436</v>
      </c>
      <c r="DJ2" s="96" t="s">
        <v>437</v>
      </c>
      <c r="DK2" s="96" t="s">
        <v>438</v>
      </c>
      <c r="DL2" s="96" t="s">
        <v>439</v>
      </c>
      <c r="DM2" s="96" t="s">
        <v>440</v>
      </c>
      <c r="DN2" s="96" t="s">
        <v>441</v>
      </c>
      <c r="DO2" s="96" t="s">
        <v>442</v>
      </c>
      <c r="DP2" s="96" t="s">
        <v>443</v>
      </c>
      <c r="DQ2" s="96" t="s">
        <v>444</v>
      </c>
      <c r="DR2" s="96" t="s">
        <v>445</v>
      </c>
      <c r="DS2" s="96" t="s">
        <v>446</v>
      </c>
      <c r="DT2" s="96" t="s">
        <v>447</v>
      </c>
      <c r="DU2" s="96" t="s">
        <v>448</v>
      </c>
      <c r="DV2" s="89"/>
      <c r="DW2" s="96" t="s">
        <v>449</v>
      </c>
      <c r="DX2" s="173" t="s">
        <v>450</v>
      </c>
      <c r="DY2" s="96" t="s">
        <v>451</v>
      </c>
      <c r="DZ2" s="96" t="s">
        <v>452</v>
      </c>
      <c r="EA2" s="96" t="s">
        <v>453</v>
      </c>
      <c r="EB2" s="96" t="s">
        <v>454</v>
      </c>
      <c r="EC2" s="96" t="s">
        <v>455</v>
      </c>
      <c r="ED2" s="96" t="s">
        <v>456</v>
      </c>
      <c r="EE2" s="89"/>
      <c r="EF2" s="96" t="s">
        <v>457</v>
      </c>
      <c r="EG2" s="96" t="s">
        <v>458</v>
      </c>
      <c r="EH2" s="96" t="s">
        <v>459</v>
      </c>
      <c r="EI2" s="96" t="s">
        <v>460</v>
      </c>
      <c r="EJ2" s="96" t="s">
        <v>461</v>
      </c>
      <c r="EK2" s="89"/>
      <c r="EL2" s="89"/>
      <c r="EM2" s="46" t="s">
        <v>773</v>
      </c>
      <c r="EN2" s="96" t="s">
        <v>464</v>
      </c>
      <c r="EO2" s="96" t="s">
        <v>465</v>
      </c>
      <c r="EP2" s="89"/>
      <c r="EQ2" s="96" t="s">
        <v>466</v>
      </c>
      <c r="ER2" s="96" t="s">
        <v>467</v>
      </c>
      <c r="ES2" s="96" t="s">
        <v>468</v>
      </c>
      <c r="ET2" s="96" t="s">
        <v>469</v>
      </c>
      <c r="EU2" s="96" t="s">
        <v>470</v>
      </c>
      <c r="EV2" s="96" t="s">
        <v>471</v>
      </c>
      <c r="EW2" s="28"/>
      <c r="EX2" s="96" t="s">
        <v>472</v>
      </c>
      <c r="EY2" s="96" t="s">
        <v>473</v>
      </c>
      <c r="EZ2" s="96" t="s">
        <v>474</v>
      </c>
      <c r="FA2" s="96" t="s">
        <v>475</v>
      </c>
      <c r="FB2" s="96" t="s">
        <v>476</v>
      </c>
      <c r="FC2" s="96" t="s">
        <v>477</v>
      </c>
      <c r="FD2" s="96" t="s">
        <v>478</v>
      </c>
      <c r="FE2" s="96" t="s">
        <v>479</v>
      </c>
      <c r="FF2" s="96" t="s">
        <v>480</v>
      </c>
      <c r="FG2" s="89"/>
      <c r="FH2" s="96" t="s">
        <v>481</v>
      </c>
      <c r="FI2" s="89"/>
      <c r="FJ2" s="80" t="s">
        <v>482</v>
      </c>
      <c r="FK2" s="172" t="s">
        <v>483</v>
      </c>
      <c r="FL2" s="172" t="s">
        <v>484</v>
      </c>
      <c r="FM2" s="172" t="s">
        <v>485</v>
      </c>
      <c r="FN2" s="80" t="s">
        <v>700</v>
      </c>
      <c r="FO2" s="564" t="s">
        <v>701</v>
      </c>
      <c r="FP2" s="561"/>
      <c r="FQ2" s="561"/>
      <c r="FR2" s="561"/>
      <c r="FS2" s="561"/>
      <c r="FT2" s="561"/>
      <c r="FU2" s="561"/>
      <c r="FV2" s="89"/>
      <c r="FW2" s="96" t="s">
        <v>774</v>
      </c>
      <c r="FX2" s="89"/>
      <c r="FY2" s="96" t="s">
        <v>490</v>
      </c>
      <c r="FZ2" s="96" t="s">
        <v>491</v>
      </c>
      <c r="GA2" s="96" t="s">
        <v>492</v>
      </c>
      <c r="GB2" s="96" t="s">
        <v>493</v>
      </c>
      <c r="GC2" s="96" t="s">
        <v>494</v>
      </c>
      <c r="GD2" s="46" t="s">
        <v>745</v>
      </c>
      <c r="GE2" s="89"/>
      <c r="GF2" s="85" t="s">
        <v>703</v>
      </c>
      <c r="GG2" s="85"/>
      <c r="GH2" s="85"/>
      <c r="GI2" s="86" t="s">
        <v>753</v>
      </c>
      <c r="GJ2" s="46" t="s">
        <v>329</v>
      </c>
      <c r="GK2" s="46"/>
      <c r="GL2" s="46"/>
      <c r="GM2" s="46"/>
      <c r="GN2" s="46"/>
      <c r="GO2" s="46"/>
      <c r="GP2" s="46"/>
      <c r="GQ2" s="46"/>
      <c r="GR2" s="46"/>
      <c r="GS2" s="46"/>
      <c r="GT2" s="46"/>
    </row>
    <row r="3" spans="2:230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159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V3" s="89"/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82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E3" s="89"/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K3" s="89"/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48" t="s">
        <v>517</v>
      </c>
      <c r="FJ3" s="48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P3" s="89"/>
      <c r="FQ3" s="89"/>
      <c r="FR3" s="89"/>
      <c r="FS3" s="89"/>
      <c r="FT3" s="89"/>
      <c r="FU3" s="89"/>
      <c r="FV3" s="30" t="s">
        <v>529</v>
      </c>
      <c r="FW3" s="30" t="s">
        <v>308</v>
      </c>
      <c r="FX3" s="48" t="s">
        <v>530</v>
      </c>
      <c r="FY3" s="30" t="s">
        <v>312</v>
      </c>
      <c r="FZ3" s="89"/>
      <c r="GA3" s="89"/>
      <c r="GB3" s="89"/>
      <c r="GC3" s="89"/>
      <c r="GD3" s="30" t="s">
        <v>531</v>
      </c>
      <c r="GE3" s="48" t="s">
        <v>530</v>
      </c>
      <c r="GF3" s="30" t="s">
        <v>532</v>
      </c>
      <c r="GG3" s="89"/>
      <c r="GH3" s="89"/>
      <c r="GI3" s="30" t="s">
        <v>706</v>
      </c>
      <c r="GJ3" s="89" t="s">
        <v>534</v>
      </c>
      <c r="GM3" s="89" t="s">
        <v>535</v>
      </c>
      <c r="GP3" s="89" t="s">
        <v>529</v>
      </c>
      <c r="GS3" s="89" t="s">
        <v>536</v>
      </c>
    </row>
    <row r="4" spans="2:230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 t="s">
        <v>554</v>
      </c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 t="s">
        <v>565</v>
      </c>
      <c r="BS4" s="31"/>
      <c r="BT4" s="30" t="s">
        <v>193</v>
      </c>
      <c r="BU4" s="30"/>
      <c r="BV4" s="89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570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82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 t="s">
        <v>589</v>
      </c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E4" s="89"/>
      <c r="EF4" s="89"/>
      <c r="EG4" s="89"/>
      <c r="EH4" s="89"/>
      <c r="EI4" s="89"/>
      <c r="EJ4" s="89"/>
      <c r="EK4" s="89"/>
      <c r="EL4" s="29" t="s">
        <v>758</v>
      </c>
      <c r="EM4" s="32" t="s">
        <v>775</v>
      </c>
      <c r="EN4" s="30"/>
      <c r="EO4" s="30"/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48" t="s">
        <v>596</v>
      </c>
      <c r="FJ4" s="48" t="s">
        <v>597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W4" s="89"/>
      <c r="FX4" s="48" t="s">
        <v>601</v>
      </c>
      <c r="FY4" s="89"/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48" t="s">
        <v>601</v>
      </c>
      <c r="GF4" s="30" t="s">
        <v>604</v>
      </c>
      <c r="GG4" s="30" t="s">
        <v>605</v>
      </c>
      <c r="GH4" s="30" t="s">
        <v>606</v>
      </c>
      <c r="GI4" s="30" t="s">
        <v>755</v>
      </c>
      <c r="GJ4" s="30" t="s">
        <v>608</v>
      </c>
      <c r="GK4" s="89" t="s">
        <v>609</v>
      </c>
      <c r="GL4" s="89" t="s">
        <v>610</v>
      </c>
      <c r="GM4" s="89" t="s">
        <v>608</v>
      </c>
      <c r="GN4" s="89" t="s">
        <v>609</v>
      </c>
      <c r="GO4" s="89" t="s">
        <v>610</v>
      </c>
      <c r="GP4" s="89" t="s">
        <v>596</v>
      </c>
      <c r="GQ4" s="89" t="s">
        <v>609</v>
      </c>
      <c r="GR4" s="89" t="s">
        <v>610</v>
      </c>
      <c r="GS4" s="89" t="s">
        <v>611</v>
      </c>
      <c r="GT4" s="89" t="s">
        <v>609</v>
      </c>
    </row>
    <row r="5" spans="2:230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620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47" t="s">
        <v>624</v>
      </c>
      <c r="BS5" s="30" t="s">
        <v>625</v>
      </c>
      <c r="BT5" s="30"/>
      <c r="BU5" s="30"/>
      <c r="BV5" s="89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82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635</v>
      </c>
      <c r="DX5" s="48"/>
      <c r="DY5" s="30"/>
      <c r="DZ5" s="30"/>
      <c r="EA5" s="79" t="s">
        <v>756</v>
      </c>
      <c r="EB5" s="30"/>
      <c r="EC5" s="30"/>
      <c r="ED5" s="30"/>
      <c r="EE5" s="89"/>
      <c r="EF5" s="89"/>
      <c r="EG5" s="89"/>
      <c r="EH5" s="89"/>
      <c r="EI5" s="89"/>
      <c r="EJ5" s="89"/>
      <c r="EK5" s="89"/>
      <c r="EL5" s="89" t="s">
        <v>760</v>
      </c>
      <c r="EM5" s="89" t="s">
        <v>637</v>
      </c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30" t="s">
        <v>595</v>
      </c>
      <c r="EZ5" s="30" t="s">
        <v>595</v>
      </c>
      <c r="FA5" s="89"/>
      <c r="FB5" s="89"/>
      <c r="FC5" s="89"/>
      <c r="FD5" s="89"/>
      <c r="FE5" s="89"/>
      <c r="FF5" s="89"/>
      <c r="FG5" s="89"/>
      <c r="FH5" s="89"/>
      <c r="FI5" s="51" t="s">
        <v>638</v>
      </c>
      <c r="FJ5" s="51"/>
      <c r="FK5" s="30" t="s">
        <v>639</v>
      </c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30" t="s">
        <v>600</v>
      </c>
      <c r="FW5" s="89"/>
      <c r="FX5" s="51" t="s">
        <v>638</v>
      </c>
      <c r="FY5" s="89"/>
      <c r="FZ5" s="89"/>
      <c r="GA5" s="89"/>
      <c r="GB5" s="89"/>
      <c r="GC5" s="89"/>
      <c r="GD5" s="89"/>
      <c r="GE5" s="51" t="s">
        <v>641</v>
      </c>
      <c r="GF5" s="70"/>
      <c r="GG5" s="89"/>
      <c r="GH5" s="89"/>
      <c r="GI5" s="89" t="s">
        <v>642</v>
      </c>
      <c r="GJ5" s="89"/>
      <c r="GK5" s="43" t="s">
        <v>643</v>
      </c>
      <c r="GL5" s="30" t="s">
        <v>644</v>
      </c>
      <c r="GM5" s="89"/>
      <c r="GN5" s="43" t="s">
        <v>643</v>
      </c>
      <c r="GO5" s="30" t="s">
        <v>644</v>
      </c>
      <c r="GP5" s="89"/>
      <c r="GQ5" s="43" t="s">
        <v>643</v>
      </c>
      <c r="GR5" s="30" t="s">
        <v>644</v>
      </c>
      <c r="GT5" s="43" t="s">
        <v>643</v>
      </c>
      <c r="GV5" s="89" t="s">
        <v>645</v>
      </c>
    </row>
    <row r="6" spans="2:230" s="89" customFormat="1" x14ac:dyDescent="0.15">
      <c r="B6" s="72" t="s">
        <v>1</v>
      </c>
      <c r="C6" s="102">
        <v>627005974</v>
      </c>
      <c r="D6" s="73">
        <f t="shared" ref="D6:D52" si="0">E6+F6</f>
        <v>133937129</v>
      </c>
      <c r="E6" s="102">
        <v>3565324</v>
      </c>
      <c r="F6" s="102">
        <v>130371805</v>
      </c>
      <c r="G6" s="73">
        <f t="shared" ref="G6:G52" si="1">H6+I6</f>
        <v>118206870</v>
      </c>
      <c r="H6" s="102">
        <v>17686801</v>
      </c>
      <c r="I6" s="102">
        <v>100520069</v>
      </c>
      <c r="J6" s="102">
        <v>265031943</v>
      </c>
      <c r="K6" s="102">
        <v>105593786</v>
      </c>
      <c r="L6" s="102">
        <v>125074803</v>
      </c>
      <c r="M6" s="102">
        <v>33591177</v>
      </c>
      <c r="N6" s="102">
        <v>29118686</v>
      </c>
      <c r="O6" s="102">
        <v>54053605</v>
      </c>
      <c r="P6" s="102">
        <v>26499426</v>
      </c>
      <c r="Q6" s="102">
        <v>27554179</v>
      </c>
      <c r="R6" s="102">
        <v>6670581</v>
      </c>
      <c r="S6" s="74"/>
      <c r="T6" s="73">
        <f t="shared" ref="T6:T52" si="2">SUM(U6:AA6)</f>
        <v>43648629</v>
      </c>
      <c r="U6" s="102">
        <v>1459706</v>
      </c>
      <c r="V6" s="102">
        <v>1131625</v>
      </c>
      <c r="W6" s="102">
        <v>261490</v>
      </c>
      <c r="X6" s="102">
        <v>37334439</v>
      </c>
      <c r="Y6" s="102">
        <v>0</v>
      </c>
      <c r="Z6" s="102">
        <v>0</v>
      </c>
      <c r="AA6" s="102">
        <v>3461369</v>
      </c>
      <c r="AB6" s="102">
        <v>2036848</v>
      </c>
      <c r="AC6" s="102">
        <v>50172283</v>
      </c>
      <c r="AD6" s="102">
        <v>48767326</v>
      </c>
      <c r="AE6" s="102">
        <v>1404751</v>
      </c>
      <c r="AF6" s="102">
        <v>961173</v>
      </c>
      <c r="AG6" s="102">
        <v>7203399</v>
      </c>
      <c r="AH6" s="73">
        <f t="shared" ref="AH6:AH52" si="3">AI6+AJ6</f>
        <v>60559449</v>
      </c>
      <c r="AI6" s="102">
        <v>51262091</v>
      </c>
      <c r="AJ6" s="102">
        <v>9297358</v>
      </c>
      <c r="AK6" s="102">
        <v>333309474</v>
      </c>
      <c r="AL6" s="73">
        <f t="shared" ref="AL6:AL52" si="4">SUM(AM6:AP6)</f>
        <v>268374264</v>
      </c>
      <c r="AM6" s="102">
        <v>220111527</v>
      </c>
      <c r="AN6" s="102">
        <v>20788152</v>
      </c>
      <c r="AO6" s="74"/>
      <c r="AP6" s="102">
        <v>27474585</v>
      </c>
      <c r="AQ6" s="102">
        <v>10653733</v>
      </c>
      <c r="AR6" s="102">
        <v>0</v>
      </c>
      <c r="AS6" s="102">
        <v>0</v>
      </c>
      <c r="AT6" s="102">
        <v>52471831</v>
      </c>
      <c r="AU6" s="102">
        <v>27654510</v>
      </c>
      <c r="AV6" s="102">
        <v>0</v>
      </c>
      <c r="AW6" s="102">
        <v>1339188</v>
      </c>
      <c r="AX6" s="102">
        <v>24817321</v>
      </c>
      <c r="AY6" s="102">
        <v>16294</v>
      </c>
      <c r="AZ6" s="102">
        <v>28144609</v>
      </c>
      <c r="BA6" s="102">
        <v>14730287</v>
      </c>
      <c r="BB6" s="102">
        <v>350749</v>
      </c>
      <c r="BC6" s="102">
        <v>146360299</v>
      </c>
      <c r="BD6" s="102">
        <v>0</v>
      </c>
      <c r="BE6" s="102">
        <v>18143588</v>
      </c>
      <c r="BF6" s="102">
        <v>123246906</v>
      </c>
      <c r="BG6" s="102">
        <v>0</v>
      </c>
      <c r="BH6" s="102">
        <v>1259126</v>
      </c>
      <c r="BI6" s="102">
        <v>452595</v>
      </c>
      <c r="BJ6" s="102">
        <v>199525631</v>
      </c>
      <c r="BK6" s="102">
        <v>125566157</v>
      </c>
      <c r="BL6" s="102">
        <v>628234</v>
      </c>
      <c r="BM6" s="102">
        <v>14026946</v>
      </c>
      <c r="BN6" s="102">
        <v>129578950</v>
      </c>
      <c r="BO6" s="73">
        <f t="shared" ref="BO6:BO52" si="5">BN6-BP6-BT6</f>
        <v>40773950</v>
      </c>
      <c r="BP6" s="73">
        <f t="shared" ref="BP6:BP52" si="6">BQ6+BR6+BS6</f>
        <v>88805000</v>
      </c>
      <c r="BQ6" s="102">
        <v>0</v>
      </c>
      <c r="BR6" s="76">
        <v>0</v>
      </c>
      <c r="BS6" s="102">
        <v>88805000</v>
      </c>
      <c r="BT6" s="102">
        <v>0</v>
      </c>
      <c r="BU6" s="102">
        <v>1700781243</v>
      </c>
      <c r="BV6" s="71"/>
      <c r="BW6" s="102">
        <v>232278063</v>
      </c>
      <c r="BX6" s="102">
        <v>156588595</v>
      </c>
      <c r="BY6" s="102">
        <v>31874320</v>
      </c>
      <c r="BZ6" s="102">
        <v>7978437</v>
      </c>
      <c r="CA6" s="102">
        <v>498402937</v>
      </c>
      <c r="CB6" s="102">
        <v>65045531</v>
      </c>
      <c r="CC6" s="102">
        <v>7155186</v>
      </c>
      <c r="CD6" s="102">
        <v>117251891</v>
      </c>
      <c r="CE6" s="102">
        <v>295391730</v>
      </c>
      <c r="CF6" s="102">
        <v>11037693</v>
      </c>
      <c r="CG6" s="102">
        <v>2520906</v>
      </c>
      <c r="CH6" s="102">
        <v>260025664</v>
      </c>
      <c r="CI6" s="102">
        <v>214391590</v>
      </c>
      <c r="CJ6" s="83">
        <v>47623386</v>
      </c>
      <c r="CK6" s="102">
        <v>102786956</v>
      </c>
      <c r="CL6" s="102">
        <v>64390008</v>
      </c>
      <c r="CM6" s="102">
        <v>3518893</v>
      </c>
      <c r="CN6" s="102">
        <v>20066407</v>
      </c>
      <c r="CO6" s="102">
        <v>16435035</v>
      </c>
      <c r="CP6" s="102">
        <v>127006234</v>
      </c>
      <c r="CQ6" s="102">
        <v>369755</v>
      </c>
      <c r="CR6" s="102">
        <v>63295268</v>
      </c>
      <c r="CS6" s="102">
        <v>54426068</v>
      </c>
      <c r="CT6" s="73">
        <f t="shared" ref="CT6:CT52" si="7">CU6+CV6</f>
        <v>49365609</v>
      </c>
      <c r="CU6" s="102">
        <v>9064220</v>
      </c>
      <c r="CV6" s="102">
        <v>40301389</v>
      </c>
      <c r="CW6" s="73">
        <f t="shared" ref="CW6:CW52" si="8">CX6+CY6</f>
        <v>9748066</v>
      </c>
      <c r="CX6" s="102">
        <v>8839324</v>
      </c>
      <c r="CY6" s="102">
        <v>908742</v>
      </c>
      <c r="CZ6" s="73">
        <f t="shared" ref="CZ6:CZ52" si="9">DA6+DB6</f>
        <v>31496669</v>
      </c>
      <c r="DA6" s="102">
        <v>0</v>
      </c>
      <c r="DB6" s="102">
        <v>31496669</v>
      </c>
      <c r="DC6" s="102">
        <v>76714668</v>
      </c>
      <c r="DD6" s="102">
        <v>41748878</v>
      </c>
      <c r="DE6" s="102">
        <v>31596957</v>
      </c>
      <c r="DF6" s="102">
        <v>0</v>
      </c>
      <c r="DG6" s="102">
        <v>623017</v>
      </c>
      <c r="DH6" s="102">
        <v>0</v>
      </c>
      <c r="DI6" s="102">
        <v>131805431</v>
      </c>
      <c r="DJ6" s="102">
        <v>119069443</v>
      </c>
      <c r="DK6" s="102">
        <v>5775974</v>
      </c>
      <c r="DL6" s="102">
        <v>6960014</v>
      </c>
      <c r="DM6" s="102">
        <v>8821801</v>
      </c>
      <c r="DN6" s="102">
        <v>4502749</v>
      </c>
      <c r="DO6" s="102">
        <v>0</v>
      </c>
      <c r="DP6" s="102">
        <v>0</v>
      </c>
      <c r="DQ6" s="102">
        <v>123166220</v>
      </c>
      <c r="DR6" s="102">
        <v>0</v>
      </c>
      <c r="DS6" s="102">
        <v>0</v>
      </c>
      <c r="DT6" s="102">
        <v>121812075</v>
      </c>
      <c r="DU6" s="102">
        <v>0</v>
      </c>
      <c r="DV6" s="73">
        <f t="shared" ref="DV6:DV52" si="10">DW6</f>
        <v>17234311</v>
      </c>
      <c r="DW6" s="102">
        <v>17234311</v>
      </c>
      <c r="DX6" s="102">
        <v>30769835</v>
      </c>
      <c r="DY6" s="102">
        <v>0</v>
      </c>
      <c r="DZ6" s="102">
        <v>41389034</v>
      </c>
      <c r="EA6" s="74">
        <v>0</v>
      </c>
      <c r="EB6" s="102">
        <v>29825401</v>
      </c>
      <c r="EC6" s="102">
        <v>0</v>
      </c>
      <c r="ED6" s="102">
        <v>1699255084</v>
      </c>
      <c r="EE6" s="71"/>
      <c r="EF6" s="102">
        <v>1526159</v>
      </c>
      <c r="EG6" s="102">
        <v>1115055</v>
      </c>
      <c r="EH6" s="102">
        <v>411104</v>
      </c>
      <c r="EI6" s="102">
        <v>-41491</v>
      </c>
      <c r="EJ6" s="102">
        <v>119028440</v>
      </c>
      <c r="EK6" s="71"/>
      <c r="EL6" s="102"/>
      <c r="EM6" s="102">
        <v>2663467</v>
      </c>
      <c r="EN6" s="102">
        <v>18153328</v>
      </c>
      <c r="EO6" s="102">
        <v>11572563</v>
      </c>
      <c r="EP6" s="73">
        <f t="shared" ref="EP6:EP52" si="11">EQ6-ER6-C6-R6-T6-AB6-AC6-BP6-EN6-EO6</f>
        <v>46825580</v>
      </c>
      <c r="EQ6" s="102">
        <v>742017726</v>
      </c>
      <c r="ER6" s="71">
        <v>-152873060</v>
      </c>
      <c r="ES6" s="102">
        <v>217275860</v>
      </c>
      <c r="ET6" s="102">
        <v>146474967</v>
      </c>
      <c r="EU6" s="102">
        <v>149030551</v>
      </c>
      <c r="EV6" s="102">
        <v>228752465</v>
      </c>
      <c r="EW6" s="73">
        <f t="shared" ref="EW6:EW52" si="12">EX6+FA6+FB6</f>
        <v>20047134</v>
      </c>
      <c r="EX6" s="102">
        <v>20047134</v>
      </c>
      <c r="EY6" s="102">
        <v>1798970</v>
      </c>
      <c r="EZ6" s="102">
        <v>17972348</v>
      </c>
      <c r="FA6" s="102">
        <v>0</v>
      </c>
      <c r="FB6" s="102">
        <v>0</v>
      </c>
      <c r="FC6" s="102">
        <v>61574885</v>
      </c>
      <c r="FD6" s="102">
        <v>99602667</v>
      </c>
      <c r="FE6" s="102">
        <v>369755</v>
      </c>
      <c r="FF6" s="102">
        <v>104718298</v>
      </c>
      <c r="FG6" s="73">
        <f t="shared" ref="FG6:FG52" si="13">FH6-ES6-EU6-EV6-EW6-FC6-FD6-FF6</f>
        <v>12362767</v>
      </c>
      <c r="FH6" s="102">
        <v>893364627</v>
      </c>
      <c r="FI6" s="379">
        <f t="shared" ref="FI6:FI52" si="14">ROUND(EH6/(FJ6+FK6)*100,1)</f>
        <v>0.1</v>
      </c>
      <c r="FJ6" s="102">
        <v>666680714</v>
      </c>
      <c r="FK6" s="102">
        <v>88805445</v>
      </c>
      <c r="FL6" s="102">
        <v>470524793</v>
      </c>
      <c r="FM6" s="102">
        <v>520407130</v>
      </c>
      <c r="FN6" s="151">
        <v>0.90400000000000003</v>
      </c>
      <c r="FO6" s="424">
        <v>101.9</v>
      </c>
      <c r="FP6" s="151">
        <v>27.6</v>
      </c>
      <c r="FQ6" s="424">
        <v>18.899999999999999</v>
      </c>
      <c r="FR6" s="424">
        <v>29.1</v>
      </c>
      <c r="FS6" s="151">
        <v>7.3</v>
      </c>
      <c r="FT6" s="424">
        <v>10.3</v>
      </c>
      <c r="FU6" s="151">
        <v>8.3000000000000007</v>
      </c>
      <c r="FV6" s="384">
        <f t="shared" ref="FV6:FV52" si="15">GP6</f>
        <v>9.4</v>
      </c>
      <c r="FW6" s="102">
        <v>2660208846</v>
      </c>
      <c r="FX6" s="384">
        <f t="shared" ref="FX6:FX52" si="16">ROUND(FW6/(FJ6+FK6)*100,1)</f>
        <v>352.1</v>
      </c>
      <c r="FY6" s="102">
        <v>188657772</v>
      </c>
      <c r="FZ6" s="102">
        <v>119069443</v>
      </c>
      <c r="GA6" s="102">
        <v>42550732</v>
      </c>
      <c r="GB6" s="102">
        <v>27037597</v>
      </c>
      <c r="GC6" s="102">
        <v>0</v>
      </c>
      <c r="GD6" s="454"/>
      <c r="GE6" s="386"/>
      <c r="GF6" s="424">
        <v>99.1</v>
      </c>
      <c r="GG6" s="424">
        <v>24.3</v>
      </c>
      <c r="GH6" s="424">
        <v>96.3</v>
      </c>
      <c r="GI6" s="102">
        <v>24221</v>
      </c>
      <c r="GJ6" s="123" t="s">
        <v>646</v>
      </c>
      <c r="GK6" s="151">
        <v>11.25</v>
      </c>
      <c r="GL6" s="87">
        <v>20</v>
      </c>
      <c r="GM6" s="123" t="s">
        <v>646</v>
      </c>
      <c r="GN6" s="151">
        <v>16.25</v>
      </c>
      <c r="GO6" s="430">
        <v>30</v>
      </c>
      <c r="GP6" s="424">
        <v>9.4</v>
      </c>
      <c r="GQ6" s="425">
        <v>25</v>
      </c>
      <c r="GR6" s="425">
        <v>35</v>
      </c>
      <c r="GS6" s="151">
        <v>180.8</v>
      </c>
      <c r="GT6" s="424">
        <v>350</v>
      </c>
      <c r="GV6" s="100">
        <f t="shared" ref="GV6:GV52" si="17">ROUND((FJ6+FK6)/1000,0)</f>
        <v>755486</v>
      </c>
    </row>
    <row r="7" spans="2:230" s="89" customFormat="1" x14ac:dyDescent="0.15">
      <c r="B7" s="72" t="s">
        <v>3</v>
      </c>
      <c r="C7" s="102">
        <v>130988480</v>
      </c>
      <c r="D7" s="73">
        <f t="shared" si="0"/>
        <v>42566705</v>
      </c>
      <c r="E7" s="102">
        <v>1064322</v>
      </c>
      <c r="F7" s="102">
        <v>41502383</v>
      </c>
      <c r="G7" s="73">
        <f t="shared" si="1"/>
        <v>10383455</v>
      </c>
      <c r="H7" s="102">
        <v>2168725</v>
      </c>
      <c r="I7" s="102">
        <v>8214730</v>
      </c>
      <c r="J7" s="102">
        <v>56871483</v>
      </c>
      <c r="K7" s="102">
        <v>22774274</v>
      </c>
      <c r="L7" s="102">
        <v>20333805</v>
      </c>
      <c r="M7" s="102">
        <v>12788933</v>
      </c>
      <c r="N7" s="102">
        <v>5952949</v>
      </c>
      <c r="O7" s="102">
        <v>10057297</v>
      </c>
      <c r="P7" s="102">
        <v>5810353</v>
      </c>
      <c r="Q7" s="102">
        <v>4246944</v>
      </c>
      <c r="R7" s="102">
        <v>2347958</v>
      </c>
      <c r="S7" s="74"/>
      <c r="T7" s="73">
        <f t="shared" si="2"/>
        <v>9745158</v>
      </c>
      <c r="U7" s="102">
        <v>468336</v>
      </c>
      <c r="V7" s="102">
        <v>362607</v>
      </c>
      <c r="W7" s="102">
        <v>83545</v>
      </c>
      <c r="X7" s="102">
        <v>7616239</v>
      </c>
      <c r="Y7" s="102">
        <v>142956</v>
      </c>
      <c r="Z7" s="102">
        <v>0</v>
      </c>
      <c r="AA7" s="102">
        <v>1071475</v>
      </c>
      <c r="AB7" s="102">
        <v>755326</v>
      </c>
      <c r="AC7" s="102">
        <v>27286034</v>
      </c>
      <c r="AD7" s="102">
        <v>21566324</v>
      </c>
      <c r="AE7" s="102">
        <v>1124069</v>
      </c>
      <c r="AF7" s="102">
        <v>347274</v>
      </c>
      <c r="AG7" s="102">
        <v>5494077</v>
      </c>
      <c r="AH7" s="73">
        <f t="shared" si="3"/>
        <v>6459676</v>
      </c>
      <c r="AI7" s="102">
        <v>3989751</v>
      </c>
      <c r="AJ7" s="102">
        <v>2469925</v>
      </c>
      <c r="AK7" s="102">
        <v>79210289</v>
      </c>
      <c r="AL7" s="73">
        <f t="shared" si="4"/>
        <v>46954651</v>
      </c>
      <c r="AM7" s="102">
        <v>34320000</v>
      </c>
      <c r="AN7" s="102">
        <v>4788142</v>
      </c>
      <c r="AO7" s="74"/>
      <c r="AP7" s="102">
        <v>7846509</v>
      </c>
      <c r="AQ7" s="102">
        <v>5151841</v>
      </c>
      <c r="AR7" s="102">
        <v>0</v>
      </c>
      <c r="AS7" s="102">
        <v>10310</v>
      </c>
      <c r="AT7" s="102">
        <v>16112047</v>
      </c>
      <c r="AU7" s="102">
        <v>8621669</v>
      </c>
      <c r="AV7" s="102">
        <v>0</v>
      </c>
      <c r="AW7" s="102">
        <v>1275372</v>
      </c>
      <c r="AX7" s="102">
        <v>7490378</v>
      </c>
      <c r="AY7" s="102">
        <v>0</v>
      </c>
      <c r="AZ7" s="102">
        <v>1005549</v>
      </c>
      <c r="BA7" s="102">
        <v>627639</v>
      </c>
      <c r="BB7" s="102">
        <v>848624</v>
      </c>
      <c r="BC7" s="102">
        <v>2532743</v>
      </c>
      <c r="BD7" s="102">
        <v>0</v>
      </c>
      <c r="BE7" s="102">
        <v>70</v>
      </c>
      <c r="BF7" s="102">
        <v>2532252</v>
      </c>
      <c r="BG7" s="102">
        <v>0</v>
      </c>
      <c r="BH7" s="102">
        <v>3037902</v>
      </c>
      <c r="BI7" s="102">
        <v>992048</v>
      </c>
      <c r="BJ7" s="102">
        <v>8626524</v>
      </c>
      <c r="BK7" s="102">
        <v>3308753</v>
      </c>
      <c r="BL7" s="102">
        <v>753</v>
      </c>
      <c r="BM7" s="102">
        <v>2314231</v>
      </c>
      <c r="BN7" s="102">
        <v>46970380</v>
      </c>
      <c r="BO7" s="73">
        <f t="shared" si="5"/>
        <v>24807680</v>
      </c>
      <c r="BP7" s="73">
        <f t="shared" si="6"/>
        <v>20786700</v>
      </c>
      <c r="BQ7" s="102">
        <v>0</v>
      </c>
      <c r="BR7" s="76">
        <v>0</v>
      </c>
      <c r="BS7" s="102">
        <v>20786700</v>
      </c>
      <c r="BT7" s="102">
        <v>1376000</v>
      </c>
      <c r="BU7" s="102">
        <v>347539470</v>
      </c>
      <c r="BV7" s="71"/>
      <c r="BW7" s="102">
        <v>49767771</v>
      </c>
      <c r="BX7" s="102">
        <v>34293838</v>
      </c>
      <c r="BY7" s="102">
        <v>4722877</v>
      </c>
      <c r="BZ7" s="102">
        <v>2717437</v>
      </c>
      <c r="CA7" s="102">
        <v>106831843</v>
      </c>
      <c r="CB7" s="102">
        <v>18550476</v>
      </c>
      <c r="CC7" s="102">
        <v>2050612</v>
      </c>
      <c r="CD7" s="102">
        <v>37124815</v>
      </c>
      <c r="CE7" s="102">
        <v>45778774</v>
      </c>
      <c r="CF7" s="102">
        <v>2548702</v>
      </c>
      <c r="CG7" s="102">
        <v>778434</v>
      </c>
      <c r="CH7" s="102">
        <v>33112024</v>
      </c>
      <c r="CI7" s="102">
        <v>28178489</v>
      </c>
      <c r="CJ7" s="83">
        <v>4923724</v>
      </c>
      <c r="CK7" s="102">
        <v>40566817</v>
      </c>
      <c r="CL7" s="102">
        <v>27674999</v>
      </c>
      <c r="CM7" s="102">
        <v>1802016</v>
      </c>
      <c r="CN7" s="102">
        <v>6061048</v>
      </c>
      <c r="CO7" s="102">
        <v>2048326</v>
      </c>
      <c r="CP7" s="102">
        <v>26991495</v>
      </c>
      <c r="CQ7" s="102">
        <v>207554</v>
      </c>
      <c r="CR7" s="102">
        <v>9487403</v>
      </c>
      <c r="CS7" s="102">
        <v>5502655</v>
      </c>
      <c r="CT7" s="73">
        <f t="shared" si="7"/>
        <v>9107542</v>
      </c>
      <c r="CU7" s="102">
        <v>7150400</v>
      </c>
      <c r="CV7" s="102">
        <v>1957142</v>
      </c>
      <c r="CW7" s="73">
        <f t="shared" si="8"/>
        <v>0</v>
      </c>
      <c r="CX7" s="102">
        <v>0</v>
      </c>
      <c r="CY7" s="102">
        <v>0</v>
      </c>
      <c r="CZ7" s="73">
        <f t="shared" si="9"/>
        <v>8871008</v>
      </c>
      <c r="DA7" s="102">
        <v>6934195</v>
      </c>
      <c r="DB7" s="102">
        <v>1936813</v>
      </c>
      <c r="DC7" s="102">
        <v>51231852</v>
      </c>
      <c r="DD7" s="102">
        <v>31438813</v>
      </c>
      <c r="DE7" s="102">
        <v>19376446</v>
      </c>
      <c r="DF7" s="102">
        <v>24835</v>
      </c>
      <c r="DG7" s="102">
        <v>753</v>
      </c>
      <c r="DH7" s="102">
        <v>0</v>
      </c>
      <c r="DI7" s="102">
        <v>2434346</v>
      </c>
      <c r="DJ7" s="102">
        <v>3400</v>
      </c>
      <c r="DK7" s="102">
        <v>514540</v>
      </c>
      <c r="DL7" s="102">
        <v>1916406</v>
      </c>
      <c r="DM7" s="102">
        <v>3338166</v>
      </c>
      <c r="DN7" s="102">
        <v>0</v>
      </c>
      <c r="DO7" s="102">
        <v>0</v>
      </c>
      <c r="DP7" s="102">
        <v>0</v>
      </c>
      <c r="DQ7" s="102">
        <v>3498191</v>
      </c>
      <c r="DR7" s="102">
        <v>0</v>
      </c>
      <c r="DS7" s="102">
        <v>0</v>
      </c>
      <c r="DT7" s="102">
        <v>25284183</v>
      </c>
      <c r="DU7" s="102">
        <v>0</v>
      </c>
      <c r="DV7" s="73">
        <f t="shared" si="10"/>
        <v>0</v>
      </c>
      <c r="DW7" s="102">
        <v>0</v>
      </c>
      <c r="DX7" s="102">
        <v>8923790</v>
      </c>
      <c r="DY7" s="102">
        <v>1954</v>
      </c>
      <c r="DZ7" s="102">
        <v>7780078</v>
      </c>
      <c r="EA7" s="74">
        <v>0</v>
      </c>
      <c r="EB7" s="102">
        <v>8502238</v>
      </c>
      <c r="EC7" s="102">
        <v>0</v>
      </c>
      <c r="ED7" s="102">
        <v>345105014</v>
      </c>
      <c r="EE7" s="71"/>
      <c r="EF7" s="102">
        <v>2434456</v>
      </c>
      <c r="EG7" s="102">
        <v>893466</v>
      </c>
      <c r="EH7" s="102">
        <v>1540990</v>
      </c>
      <c r="EI7" s="102">
        <v>548942</v>
      </c>
      <c r="EJ7" s="102">
        <v>552342</v>
      </c>
      <c r="EK7" s="71"/>
      <c r="EL7" s="102"/>
      <c r="EM7" s="102">
        <v>849348</v>
      </c>
      <c r="EN7" s="102">
        <v>12801</v>
      </c>
      <c r="EO7" s="102">
        <v>548314</v>
      </c>
      <c r="EP7" s="73">
        <f t="shared" si="11"/>
        <v>13959412</v>
      </c>
      <c r="EQ7" s="102">
        <v>177241659</v>
      </c>
      <c r="ER7" s="71">
        <v>-29188524</v>
      </c>
      <c r="ES7" s="102">
        <v>44449564</v>
      </c>
      <c r="ET7" s="102">
        <v>31307804</v>
      </c>
      <c r="EU7" s="102">
        <v>33149086</v>
      </c>
      <c r="EV7" s="102">
        <v>32734507</v>
      </c>
      <c r="EW7" s="73">
        <f t="shared" si="12"/>
        <v>11107030</v>
      </c>
      <c r="EX7" s="102">
        <v>11107030</v>
      </c>
      <c r="EY7" s="102">
        <v>5408976</v>
      </c>
      <c r="EZ7" s="102">
        <v>5691514</v>
      </c>
      <c r="FA7" s="102">
        <v>0</v>
      </c>
      <c r="FB7" s="102">
        <v>0</v>
      </c>
      <c r="FC7" s="102">
        <v>33634142</v>
      </c>
      <c r="FD7" s="102">
        <v>24636255</v>
      </c>
      <c r="FE7" s="102">
        <v>207554</v>
      </c>
      <c r="FF7" s="102">
        <v>20712566</v>
      </c>
      <c r="FG7" s="73">
        <f t="shared" si="13"/>
        <v>3706203</v>
      </c>
      <c r="FH7" s="102">
        <v>204129353</v>
      </c>
      <c r="FI7" s="379">
        <f t="shared" si="14"/>
        <v>0.8</v>
      </c>
      <c r="FJ7" s="102">
        <v>163734998</v>
      </c>
      <c r="FK7" s="102">
        <v>20786709</v>
      </c>
      <c r="FL7" s="102">
        <v>108980974</v>
      </c>
      <c r="FM7" s="102">
        <v>130547298</v>
      </c>
      <c r="FN7" s="151">
        <v>0.83299999999999996</v>
      </c>
      <c r="FO7" s="424">
        <v>96.7</v>
      </c>
      <c r="FP7" s="151">
        <v>24.1</v>
      </c>
      <c r="FQ7" s="424">
        <v>18</v>
      </c>
      <c r="FR7" s="424">
        <v>17.8</v>
      </c>
      <c r="FS7" s="151">
        <v>16.3</v>
      </c>
      <c r="FT7" s="424">
        <v>8.6</v>
      </c>
      <c r="FU7" s="151">
        <v>10.9</v>
      </c>
      <c r="FV7" s="384">
        <f t="shared" si="15"/>
        <v>4.9000000000000004</v>
      </c>
      <c r="FW7" s="102">
        <v>349141488</v>
      </c>
      <c r="FX7" s="384">
        <f t="shared" si="16"/>
        <v>189.2</v>
      </c>
      <c r="FY7" s="102">
        <v>37993519</v>
      </c>
      <c r="FZ7" s="102">
        <v>1800200</v>
      </c>
      <c r="GA7" s="102">
        <v>2571719</v>
      </c>
      <c r="GB7" s="102">
        <v>33621600</v>
      </c>
      <c r="GC7" s="102">
        <v>0</v>
      </c>
      <c r="GD7" s="454">
        <v>14309091</v>
      </c>
      <c r="GE7" s="386">
        <f>IF(GD7=0,"-",ROUND(GD7/(FJ7+FK7)*100,1))</f>
        <v>7.8</v>
      </c>
      <c r="GF7" s="424">
        <v>98.6</v>
      </c>
      <c r="GG7" s="424">
        <v>26.6</v>
      </c>
      <c r="GH7" s="424">
        <v>95.1</v>
      </c>
      <c r="GI7" s="102">
        <v>4910</v>
      </c>
      <c r="GJ7" s="123" t="s">
        <v>646</v>
      </c>
      <c r="GK7" s="151">
        <v>11.25</v>
      </c>
      <c r="GL7" s="87">
        <v>20</v>
      </c>
      <c r="GM7" s="123" t="s">
        <v>646</v>
      </c>
      <c r="GN7" s="151">
        <v>16.25</v>
      </c>
      <c r="GO7" s="430">
        <v>30</v>
      </c>
      <c r="GP7" s="424">
        <v>4.9000000000000004</v>
      </c>
      <c r="GQ7" s="425">
        <v>25</v>
      </c>
      <c r="GR7" s="425">
        <v>35</v>
      </c>
      <c r="GS7" s="151">
        <v>36.9</v>
      </c>
      <c r="GT7" s="424">
        <v>350</v>
      </c>
      <c r="GV7" s="100">
        <f t="shared" si="17"/>
        <v>184522</v>
      </c>
    </row>
    <row r="8" spans="2:230" x14ac:dyDescent="0.15">
      <c r="B8" s="89" t="s">
        <v>5</v>
      </c>
      <c r="C8" s="102">
        <v>24039308</v>
      </c>
      <c r="D8" s="73">
        <f t="shared" si="0"/>
        <v>8617417</v>
      </c>
      <c r="E8" s="102">
        <v>247105</v>
      </c>
      <c r="F8" s="102">
        <v>8370312</v>
      </c>
      <c r="G8" s="73">
        <f t="shared" si="1"/>
        <v>1700656</v>
      </c>
      <c r="H8" s="102">
        <v>441280</v>
      </c>
      <c r="I8" s="102">
        <v>1259376</v>
      </c>
      <c r="J8" s="102">
        <v>10017059</v>
      </c>
      <c r="K8" s="102">
        <v>4173948</v>
      </c>
      <c r="L8" s="102">
        <v>3987701</v>
      </c>
      <c r="M8" s="102">
        <v>1573979</v>
      </c>
      <c r="N8" s="102">
        <v>1481048</v>
      </c>
      <c r="O8" s="102">
        <v>1928645</v>
      </c>
      <c r="P8" s="102">
        <v>1115527</v>
      </c>
      <c r="Q8" s="102">
        <v>813118</v>
      </c>
      <c r="R8" s="102">
        <v>373390</v>
      </c>
      <c r="S8" s="74"/>
      <c r="T8" s="73">
        <f t="shared" si="2"/>
        <v>2198253</v>
      </c>
      <c r="U8" s="102">
        <v>94652</v>
      </c>
      <c r="V8" s="102">
        <v>73256</v>
      </c>
      <c r="W8" s="102">
        <v>16865</v>
      </c>
      <c r="X8" s="102">
        <v>1773279</v>
      </c>
      <c r="Y8" s="102">
        <v>49745</v>
      </c>
      <c r="Z8" s="102">
        <v>0</v>
      </c>
      <c r="AA8" s="102">
        <v>190456</v>
      </c>
      <c r="AB8" s="102">
        <v>166265</v>
      </c>
      <c r="AC8" s="102">
        <v>14261552</v>
      </c>
      <c r="AD8" s="102">
        <v>14014018</v>
      </c>
      <c r="AE8" s="102">
        <v>247523</v>
      </c>
      <c r="AF8" s="102">
        <v>42293</v>
      </c>
      <c r="AG8" s="102">
        <v>751399</v>
      </c>
      <c r="AH8" s="73">
        <f t="shared" si="3"/>
        <v>1498604</v>
      </c>
      <c r="AI8" s="102">
        <v>1138753</v>
      </c>
      <c r="AJ8" s="102">
        <v>359851</v>
      </c>
      <c r="AK8" s="102">
        <v>13578220</v>
      </c>
      <c r="AL8" s="73">
        <f t="shared" si="4"/>
        <v>9165375</v>
      </c>
      <c r="AM8" s="102">
        <v>7116404</v>
      </c>
      <c r="AN8" s="102">
        <v>808252</v>
      </c>
      <c r="AO8" s="74"/>
      <c r="AP8" s="102">
        <v>1240719</v>
      </c>
      <c r="AQ8" s="102">
        <v>168752</v>
      </c>
      <c r="AR8" s="102">
        <v>0</v>
      </c>
      <c r="AS8" s="102">
        <v>0</v>
      </c>
      <c r="AT8" s="102">
        <v>4521195</v>
      </c>
      <c r="AU8" s="102">
        <v>3253315</v>
      </c>
      <c r="AV8" s="102">
        <v>402639</v>
      </c>
      <c r="AW8" s="102">
        <v>203353</v>
      </c>
      <c r="AX8" s="102">
        <v>1267880</v>
      </c>
      <c r="AY8" s="102">
        <v>18725</v>
      </c>
      <c r="AZ8" s="102">
        <v>194326</v>
      </c>
      <c r="BA8" s="102">
        <v>45757</v>
      </c>
      <c r="BB8" s="102">
        <v>665232</v>
      </c>
      <c r="BC8" s="102">
        <v>695406</v>
      </c>
      <c r="BD8" s="102">
        <v>0</v>
      </c>
      <c r="BE8" s="102">
        <v>0</v>
      </c>
      <c r="BF8" s="102">
        <v>437140</v>
      </c>
      <c r="BG8" s="102">
        <v>62955</v>
      </c>
      <c r="BH8" s="102">
        <v>363354</v>
      </c>
      <c r="BI8" s="102">
        <v>235200</v>
      </c>
      <c r="BJ8" s="102">
        <v>859152</v>
      </c>
      <c r="BK8" s="102">
        <v>15000</v>
      </c>
      <c r="BL8" s="102">
        <v>0</v>
      </c>
      <c r="BM8" s="102">
        <v>126173</v>
      </c>
      <c r="BN8" s="102">
        <v>9745400</v>
      </c>
      <c r="BO8" s="73">
        <f t="shared" si="5"/>
        <v>5615400</v>
      </c>
      <c r="BP8" s="73">
        <f t="shared" si="6"/>
        <v>3400000</v>
      </c>
      <c r="BQ8" s="102">
        <v>0</v>
      </c>
      <c r="BR8" s="102">
        <v>70000</v>
      </c>
      <c r="BS8" s="102">
        <v>3330000</v>
      </c>
      <c r="BT8" s="102">
        <v>730000</v>
      </c>
      <c r="BU8" s="102">
        <v>73953349</v>
      </c>
      <c r="BV8" s="71"/>
      <c r="BW8" s="102">
        <v>12306091</v>
      </c>
      <c r="BX8" s="102">
        <v>8108330</v>
      </c>
      <c r="BY8" s="102">
        <v>1471364</v>
      </c>
      <c r="BZ8" s="102">
        <v>556682</v>
      </c>
      <c r="CA8" s="102">
        <v>21874313</v>
      </c>
      <c r="CB8" s="102">
        <v>3227042</v>
      </c>
      <c r="CC8" s="102">
        <v>376119</v>
      </c>
      <c r="CD8" s="102">
        <v>8500584</v>
      </c>
      <c r="CE8" s="102">
        <v>9332377</v>
      </c>
      <c r="CF8" s="102">
        <v>1421</v>
      </c>
      <c r="CG8" s="102">
        <v>436770</v>
      </c>
      <c r="CH8" s="102">
        <v>9732276</v>
      </c>
      <c r="CI8" s="102">
        <v>8287622</v>
      </c>
      <c r="CJ8" s="83">
        <f t="shared" ref="CJ8:CJ52" si="18">IF(CI8="","",CH8-CI8)</f>
        <v>1444654</v>
      </c>
      <c r="CK8" s="102">
        <v>6695242</v>
      </c>
      <c r="CL8" s="102">
        <v>4112934</v>
      </c>
      <c r="CM8" s="102">
        <v>444091</v>
      </c>
      <c r="CN8" s="102">
        <v>864413</v>
      </c>
      <c r="CO8" s="102">
        <v>394193</v>
      </c>
      <c r="CP8" s="102">
        <v>12374398</v>
      </c>
      <c r="CQ8" s="102">
        <v>2246296</v>
      </c>
      <c r="CR8" s="102">
        <v>775690</v>
      </c>
      <c r="CS8" s="102">
        <v>640130</v>
      </c>
      <c r="CT8" s="73">
        <f t="shared" si="7"/>
        <v>3924255</v>
      </c>
      <c r="CU8" s="102">
        <v>2752084</v>
      </c>
      <c r="CV8" s="102">
        <v>1172171</v>
      </c>
      <c r="CW8" s="73">
        <f t="shared" si="8"/>
        <v>1400000</v>
      </c>
      <c r="CX8" s="102">
        <v>1388731</v>
      </c>
      <c r="CY8" s="102">
        <v>11269</v>
      </c>
      <c r="CZ8" s="73">
        <f t="shared" si="9"/>
        <v>2497227</v>
      </c>
      <c r="DA8" s="102">
        <v>1336325</v>
      </c>
      <c r="DB8" s="102">
        <v>1160902</v>
      </c>
      <c r="DC8" s="102">
        <v>2857912</v>
      </c>
      <c r="DD8" s="102">
        <v>1595872</v>
      </c>
      <c r="DE8" s="102">
        <v>1233507</v>
      </c>
      <c r="DF8" s="77">
        <v>13658</v>
      </c>
      <c r="DG8" s="78">
        <v>14875</v>
      </c>
      <c r="DH8" s="102">
        <v>7494</v>
      </c>
      <c r="DI8" s="102">
        <v>507371</v>
      </c>
      <c r="DJ8" s="102">
        <v>394850</v>
      </c>
      <c r="DK8" s="102">
        <v>1955</v>
      </c>
      <c r="DL8" s="102">
        <v>110566</v>
      </c>
      <c r="DM8" s="102">
        <v>652872</v>
      </c>
      <c r="DN8" s="102">
        <v>652872</v>
      </c>
      <c r="DO8" s="102">
        <v>61000</v>
      </c>
      <c r="DP8" s="102">
        <v>0</v>
      </c>
      <c r="DQ8" s="102">
        <v>15000</v>
      </c>
      <c r="DR8" s="102">
        <v>0</v>
      </c>
      <c r="DS8" s="102">
        <v>0</v>
      </c>
      <c r="DT8" s="102">
        <v>6093599</v>
      </c>
      <c r="DU8" s="102">
        <v>0</v>
      </c>
      <c r="DV8" s="73">
        <f t="shared" si="10"/>
        <v>0</v>
      </c>
      <c r="DW8" s="102">
        <v>0</v>
      </c>
      <c r="DX8" s="102">
        <v>2182277</v>
      </c>
      <c r="DY8" s="102">
        <v>0</v>
      </c>
      <c r="DZ8" s="102">
        <v>1876923</v>
      </c>
      <c r="EA8" s="74">
        <v>0</v>
      </c>
      <c r="EB8" s="102">
        <v>1971444</v>
      </c>
      <c r="EC8" s="102">
        <v>0</v>
      </c>
      <c r="ED8" s="102">
        <v>73510761</v>
      </c>
      <c r="EE8" s="71"/>
      <c r="EF8" s="102">
        <v>442588</v>
      </c>
      <c r="EG8" s="102">
        <v>150468</v>
      </c>
      <c r="EH8" s="102">
        <v>292120</v>
      </c>
      <c r="EI8" s="102">
        <v>-193080</v>
      </c>
      <c r="EJ8" s="102">
        <v>201770</v>
      </c>
      <c r="EK8" s="71"/>
      <c r="EL8" s="102"/>
      <c r="EM8" s="102">
        <v>201467</v>
      </c>
      <c r="EN8" s="102">
        <v>155632</v>
      </c>
      <c r="EO8" s="102">
        <v>184840</v>
      </c>
      <c r="EP8" s="73">
        <f t="shared" si="11"/>
        <v>1712009</v>
      </c>
      <c r="EQ8" s="102">
        <v>41081061</v>
      </c>
      <c r="ER8" s="71">
        <v>-5410188</v>
      </c>
      <c r="ES8" s="102">
        <v>10541707</v>
      </c>
      <c r="ET8" s="102">
        <v>7296076</v>
      </c>
      <c r="EU8" s="102">
        <v>6184303</v>
      </c>
      <c r="EV8" s="102">
        <v>9659853</v>
      </c>
      <c r="EW8" s="73">
        <f t="shared" si="12"/>
        <v>665269</v>
      </c>
      <c r="EX8" s="102">
        <v>664704</v>
      </c>
      <c r="EY8" s="102">
        <v>62378</v>
      </c>
      <c r="EZ8" s="102">
        <v>595497</v>
      </c>
      <c r="FA8" s="102">
        <v>565</v>
      </c>
      <c r="FB8" s="102">
        <v>0</v>
      </c>
      <c r="FC8" s="102">
        <v>5394327</v>
      </c>
      <c r="FD8" s="102">
        <v>7321926</v>
      </c>
      <c r="FE8" s="102">
        <v>2246296</v>
      </c>
      <c r="FF8" s="102">
        <v>4974386</v>
      </c>
      <c r="FG8" s="73">
        <f t="shared" si="13"/>
        <v>1306890</v>
      </c>
      <c r="FH8" s="102">
        <v>46048661</v>
      </c>
      <c r="FI8" s="379">
        <f t="shared" si="14"/>
        <v>0.7</v>
      </c>
      <c r="FJ8" s="102">
        <v>38704053</v>
      </c>
      <c r="FK8" s="102">
        <v>3330072</v>
      </c>
      <c r="FL8" s="102">
        <v>19051430</v>
      </c>
      <c r="FM8" s="102">
        <v>33053505</v>
      </c>
      <c r="FN8" s="428">
        <v>0.57299999999999995</v>
      </c>
      <c r="FO8" s="424">
        <v>97.8</v>
      </c>
      <c r="FP8" s="425">
        <v>24</v>
      </c>
      <c r="FQ8" s="424">
        <v>14.4</v>
      </c>
      <c r="FR8" s="424">
        <v>22.6</v>
      </c>
      <c r="FS8" s="425">
        <v>11.3</v>
      </c>
      <c r="FT8" s="424">
        <v>14.5</v>
      </c>
      <c r="FU8" s="425">
        <v>10.3</v>
      </c>
      <c r="FV8" s="384">
        <f t="shared" si="15"/>
        <v>14.9</v>
      </c>
      <c r="FW8" s="102">
        <v>82822978</v>
      </c>
      <c r="FX8" s="384">
        <f t="shared" si="16"/>
        <v>197</v>
      </c>
      <c r="FY8" s="102">
        <v>7928075</v>
      </c>
      <c r="FZ8" s="102">
        <v>3277117</v>
      </c>
      <c r="GA8" s="102">
        <v>1215215</v>
      </c>
      <c r="GB8" s="102">
        <v>3435743</v>
      </c>
      <c r="GC8" s="102">
        <v>0</v>
      </c>
      <c r="GD8" s="454"/>
      <c r="GE8" s="386"/>
      <c r="GF8" s="424">
        <v>98.5</v>
      </c>
      <c r="GG8" s="424">
        <v>26.8</v>
      </c>
      <c r="GH8" s="424">
        <v>94.8</v>
      </c>
      <c r="GI8" s="102">
        <v>1305</v>
      </c>
      <c r="GJ8" s="429" t="s">
        <v>646</v>
      </c>
      <c r="GK8" s="429">
        <v>11.41</v>
      </c>
      <c r="GL8" s="87">
        <v>20</v>
      </c>
      <c r="GM8" s="429" t="s">
        <v>646</v>
      </c>
      <c r="GN8" s="430">
        <v>16.41</v>
      </c>
      <c r="GO8" s="430">
        <v>30</v>
      </c>
      <c r="GP8" s="425">
        <v>14.9</v>
      </c>
      <c r="GQ8" s="425">
        <v>25</v>
      </c>
      <c r="GR8" s="425">
        <v>35</v>
      </c>
      <c r="GS8" s="431">
        <v>106.1</v>
      </c>
      <c r="GT8" s="425">
        <v>350</v>
      </c>
      <c r="GU8" s="394"/>
      <c r="GV8" s="100">
        <f t="shared" si="17"/>
        <v>42034</v>
      </c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</row>
    <row r="9" spans="2:230" x14ac:dyDescent="0.15">
      <c r="B9" s="89" t="s">
        <v>7</v>
      </c>
      <c r="C9" s="102">
        <v>64220370</v>
      </c>
      <c r="D9" s="73">
        <f t="shared" si="0"/>
        <v>27089905</v>
      </c>
      <c r="E9" s="102">
        <v>519983</v>
      </c>
      <c r="F9" s="102">
        <v>26569922</v>
      </c>
      <c r="G9" s="73">
        <f t="shared" si="1"/>
        <v>4492973</v>
      </c>
      <c r="H9" s="102">
        <v>1052876</v>
      </c>
      <c r="I9" s="102">
        <v>3440097</v>
      </c>
      <c r="J9" s="102">
        <v>23457849</v>
      </c>
      <c r="K9" s="102">
        <v>9755513</v>
      </c>
      <c r="L9" s="102">
        <v>10788430</v>
      </c>
      <c r="M9" s="102">
        <v>2604827</v>
      </c>
      <c r="N9" s="102">
        <v>2454184</v>
      </c>
      <c r="O9" s="102">
        <v>5478038</v>
      </c>
      <c r="P9" s="102">
        <v>3051472</v>
      </c>
      <c r="Q9" s="102">
        <v>2426566</v>
      </c>
      <c r="R9" s="102">
        <v>3088546</v>
      </c>
      <c r="S9" s="74"/>
      <c r="T9" s="73">
        <f t="shared" si="2"/>
        <v>4263838</v>
      </c>
      <c r="U9" s="102">
        <v>297684</v>
      </c>
      <c r="V9" s="102">
        <v>230684</v>
      </c>
      <c r="W9" s="102">
        <v>53256</v>
      </c>
      <c r="X9" s="102">
        <v>3362121</v>
      </c>
      <c r="Y9" s="102">
        <v>0</v>
      </c>
      <c r="Z9" s="102">
        <v>0</v>
      </c>
      <c r="AA9" s="102">
        <v>320093</v>
      </c>
      <c r="AB9" s="102">
        <v>275557</v>
      </c>
      <c r="AC9" s="102">
        <v>7309719</v>
      </c>
      <c r="AD9" s="102">
        <v>6688921</v>
      </c>
      <c r="AE9" s="102">
        <v>620779</v>
      </c>
      <c r="AF9" s="102">
        <v>59596</v>
      </c>
      <c r="AG9" s="102">
        <v>1106118</v>
      </c>
      <c r="AH9" s="73">
        <f t="shared" si="3"/>
        <v>2648824</v>
      </c>
      <c r="AI9" s="102">
        <v>2360004</v>
      </c>
      <c r="AJ9" s="102">
        <v>288820</v>
      </c>
      <c r="AK9" s="102">
        <v>25216790</v>
      </c>
      <c r="AL9" s="73">
        <f t="shared" si="4"/>
        <v>17300362</v>
      </c>
      <c r="AM9" s="102">
        <v>13255439</v>
      </c>
      <c r="AN9" s="102">
        <v>1375068</v>
      </c>
      <c r="AO9" s="74"/>
      <c r="AP9" s="102">
        <v>2669855</v>
      </c>
      <c r="AQ9" s="102">
        <v>1147902</v>
      </c>
      <c r="AR9" s="102">
        <v>0</v>
      </c>
      <c r="AS9" s="102">
        <v>0</v>
      </c>
      <c r="AT9" s="102">
        <v>8207630</v>
      </c>
      <c r="AU9" s="102">
        <v>4882712</v>
      </c>
      <c r="AV9" s="102">
        <v>2047</v>
      </c>
      <c r="AW9" s="102">
        <v>498481</v>
      </c>
      <c r="AX9" s="102">
        <v>3324918</v>
      </c>
      <c r="AY9" s="102">
        <v>3720</v>
      </c>
      <c r="AZ9" s="102">
        <v>284755</v>
      </c>
      <c r="BA9" s="102">
        <v>208067</v>
      </c>
      <c r="BB9" s="102">
        <v>33343</v>
      </c>
      <c r="BC9" s="102">
        <v>2596164</v>
      </c>
      <c r="BD9" s="102">
        <v>0</v>
      </c>
      <c r="BE9" s="102">
        <v>173938</v>
      </c>
      <c r="BF9" s="102">
        <v>183608</v>
      </c>
      <c r="BG9" s="102">
        <v>2108769</v>
      </c>
      <c r="BH9" s="102">
        <v>2003691</v>
      </c>
      <c r="BI9" s="102">
        <v>1767846</v>
      </c>
      <c r="BJ9" s="102">
        <v>7002170</v>
      </c>
      <c r="BK9" s="102">
        <v>4576719</v>
      </c>
      <c r="BL9" s="102">
        <v>0</v>
      </c>
      <c r="BM9" s="102">
        <v>45637</v>
      </c>
      <c r="BN9" s="102">
        <v>15164400</v>
      </c>
      <c r="BO9" s="73">
        <f t="shared" si="5"/>
        <v>7850600</v>
      </c>
      <c r="BP9" s="73">
        <f t="shared" si="6"/>
        <v>7313800</v>
      </c>
      <c r="BQ9" s="102">
        <v>0</v>
      </c>
      <c r="BR9" s="102">
        <v>0</v>
      </c>
      <c r="BS9" s="102">
        <v>7313800</v>
      </c>
      <c r="BT9" s="102">
        <v>0</v>
      </c>
      <c r="BU9" s="102">
        <v>143481511</v>
      </c>
      <c r="BV9" s="71"/>
      <c r="BW9" s="102">
        <v>25620544</v>
      </c>
      <c r="BX9" s="102">
        <v>17379302</v>
      </c>
      <c r="BY9" s="102">
        <v>2755804</v>
      </c>
      <c r="BZ9" s="102">
        <v>1274022</v>
      </c>
      <c r="CA9" s="102">
        <v>38512985</v>
      </c>
      <c r="CB9" s="102">
        <v>6384964</v>
      </c>
      <c r="CC9" s="102">
        <v>645887</v>
      </c>
      <c r="CD9" s="102">
        <v>13205661</v>
      </c>
      <c r="CE9" s="102">
        <v>17728839</v>
      </c>
      <c r="CF9" s="102">
        <v>204344</v>
      </c>
      <c r="CG9" s="102">
        <v>342248</v>
      </c>
      <c r="CH9" s="102">
        <v>13993108</v>
      </c>
      <c r="CI9" s="102">
        <v>12515204</v>
      </c>
      <c r="CJ9" s="83">
        <f t="shared" si="18"/>
        <v>1477904</v>
      </c>
      <c r="CK9" s="102">
        <v>14554326</v>
      </c>
      <c r="CL9" s="102">
        <v>6943299</v>
      </c>
      <c r="CM9" s="102">
        <v>1458489</v>
      </c>
      <c r="CN9" s="102">
        <v>3309550</v>
      </c>
      <c r="CO9" s="102">
        <v>641373</v>
      </c>
      <c r="CP9" s="102">
        <v>19507810</v>
      </c>
      <c r="CQ9" s="102">
        <v>2052380</v>
      </c>
      <c r="CR9" s="102">
        <v>2595567</v>
      </c>
      <c r="CS9" s="102">
        <v>1519832</v>
      </c>
      <c r="CT9" s="73">
        <f t="shared" si="7"/>
        <v>4621741</v>
      </c>
      <c r="CU9" s="102">
        <v>4056027</v>
      </c>
      <c r="CV9" s="102">
        <v>565714</v>
      </c>
      <c r="CW9" s="73">
        <f t="shared" si="8"/>
        <v>1568807</v>
      </c>
      <c r="CX9" s="102">
        <v>1234771</v>
      </c>
      <c r="CY9" s="102">
        <v>334036</v>
      </c>
      <c r="CZ9" s="73">
        <f t="shared" si="9"/>
        <v>2944130</v>
      </c>
      <c r="DA9" s="102">
        <v>2779586</v>
      </c>
      <c r="DB9" s="102">
        <v>164544</v>
      </c>
      <c r="DC9" s="102">
        <v>12845937</v>
      </c>
      <c r="DD9" s="102">
        <v>3994224</v>
      </c>
      <c r="DE9" s="102">
        <v>8851713</v>
      </c>
      <c r="DF9" s="77">
        <v>0</v>
      </c>
      <c r="DG9" s="78">
        <v>0</v>
      </c>
      <c r="DH9" s="102">
        <v>0</v>
      </c>
      <c r="DI9" s="102">
        <v>931039</v>
      </c>
      <c r="DJ9" s="102">
        <v>769</v>
      </c>
      <c r="DK9" s="102">
        <v>414512</v>
      </c>
      <c r="DL9" s="102">
        <v>515758</v>
      </c>
      <c r="DM9" s="102">
        <v>811621</v>
      </c>
      <c r="DN9" s="102">
        <v>811621</v>
      </c>
      <c r="DO9" s="102">
        <v>144111</v>
      </c>
      <c r="DP9" s="102">
        <v>556619</v>
      </c>
      <c r="DQ9" s="102">
        <v>319256</v>
      </c>
      <c r="DR9" s="102">
        <v>0</v>
      </c>
      <c r="DS9" s="102">
        <v>0</v>
      </c>
      <c r="DT9" s="102">
        <v>12790521</v>
      </c>
      <c r="DU9" s="102">
        <v>0</v>
      </c>
      <c r="DV9" s="73">
        <f t="shared" si="10"/>
        <v>0</v>
      </c>
      <c r="DW9" s="102">
        <v>0</v>
      </c>
      <c r="DX9" s="102">
        <v>3720377</v>
      </c>
      <c r="DY9" s="102">
        <v>0</v>
      </c>
      <c r="DZ9" s="102">
        <v>4837375</v>
      </c>
      <c r="EA9" s="74">
        <v>0</v>
      </c>
      <c r="EB9" s="102">
        <v>3540250</v>
      </c>
      <c r="EC9" s="102">
        <v>0</v>
      </c>
      <c r="ED9" s="102">
        <v>140528520</v>
      </c>
      <c r="EE9" s="71"/>
      <c r="EF9" s="102">
        <v>2952991</v>
      </c>
      <c r="EG9" s="102">
        <v>1093592</v>
      </c>
      <c r="EH9" s="102">
        <v>1859399</v>
      </c>
      <c r="EI9" s="102">
        <v>91553</v>
      </c>
      <c r="EJ9" s="102">
        <v>807192</v>
      </c>
      <c r="EK9" s="71"/>
      <c r="EL9" s="102"/>
      <c r="EM9" s="102">
        <v>397334</v>
      </c>
      <c r="EN9" s="102">
        <v>2302707</v>
      </c>
      <c r="EO9" s="102">
        <v>273621</v>
      </c>
      <c r="EP9" s="73">
        <f t="shared" si="11"/>
        <v>7825102</v>
      </c>
      <c r="EQ9" s="102">
        <v>79217626</v>
      </c>
      <c r="ER9" s="71">
        <v>-17655634</v>
      </c>
      <c r="ES9" s="102">
        <v>24637644</v>
      </c>
      <c r="ET9" s="102">
        <v>16641864</v>
      </c>
      <c r="EU9" s="102">
        <v>11216845</v>
      </c>
      <c r="EV9" s="102">
        <v>13991529</v>
      </c>
      <c r="EW9" s="73">
        <f t="shared" si="12"/>
        <v>7090882</v>
      </c>
      <c r="EX9" s="102">
        <v>7090882</v>
      </c>
      <c r="EY9" s="102">
        <v>472451</v>
      </c>
      <c r="EZ9" s="102">
        <v>6618431</v>
      </c>
      <c r="FA9" s="102">
        <v>0</v>
      </c>
      <c r="FB9" s="102">
        <v>0</v>
      </c>
      <c r="FC9" s="102">
        <v>10025412</v>
      </c>
      <c r="FD9" s="102">
        <v>13726154</v>
      </c>
      <c r="FE9" s="102">
        <v>2052380</v>
      </c>
      <c r="FF9" s="102">
        <v>10772884</v>
      </c>
      <c r="FG9" s="73">
        <f t="shared" si="13"/>
        <v>2458919</v>
      </c>
      <c r="FH9" s="102">
        <v>93920269</v>
      </c>
      <c r="FI9" s="379">
        <f t="shared" si="14"/>
        <v>2.4</v>
      </c>
      <c r="FJ9" s="102">
        <v>71338767</v>
      </c>
      <c r="FK9" s="102">
        <v>7313808</v>
      </c>
      <c r="FL9" s="102">
        <v>49604680</v>
      </c>
      <c r="FM9" s="102">
        <v>56293601</v>
      </c>
      <c r="FN9" s="428">
        <v>0.9</v>
      </c>
      <c r="FO9" s="424">
        <v>94</v>
      </c>
      <c r="FP9" s="425">
        <v>29.8</v>
      </c>
      <c r="FQ9" s="424">
        <v>13.8</v>
      </c>
      <c r="FR9" s="424">
        <v>16.399999999999999</v>
      </c>
      <c r="FS9" s="425">
        <v>11.5</v>
      </c>
      <c r="FT9" s="424">
        <v>12.1</v>
      </c>
      <c r="FU9" s="425">
        <v>9.6999999999999993</v>
      </c>
      <c r="FV9" s="384">
        <f t="shared" si="15"/>
        <v>9.8000000000000007</v>
      </c>
      <c r="FW9" s="102">
        <v>95900787</v>
      </c>
      <c r="FX9" s="384">
        <f t="shared" si="16"/>
        <v>121.9</v>
      </c>
      <c r="FY9" s="102">
        <v>13734802</v>
      </c>
      <c r="FZ9" s="102">
        <v>1013884</v>
      </c>
      <c r="GA9" s="102">
        <v>3838390</v>
      </c>
      <c r="GB9" s="102">
        <v>8882528</v>
      </c>
      <c r="GC9" s="102">
        <v>2108769</v>
      </c>
      <c r="GD9" s="454"/>
      <c r="GE9" s="386"/>
      <c r="GF9" s="424">
        <v>98.4</v>
      </c>
      <c r="GG9" s="424">
        <v>21.1</v>
      </c>
      <c r="GH9" s="424">
        <v>93.2</v>
      </c>
      <c r="GI9" s="102">
        <v>2525</v>
      </c>
      <c r="GJ9" s="429" t="s">
        <v>646</v>
      </c>
      <c r="GK9" s="429">
        <v>11.25</v>
      </c>
      <c r="GL9" s="87">
        <v>20</v>
      </c>
      <c r="GM9" s="429" t="s">
        <v>646</v>
      </c>
      <c r="GN9" s="430">
        <v>16.25</v>
      </c>
      <c r="GO9" s="430">
        <v>30</v>
      </c>
      <c r="GP9" s="425">
        <v>9.8000000000000007</v>
      </c>
      <c r="GQ9" s="425">
        <v>25</v>
      </c>
      <c r="GR9" s="425">
        <v>35</v>
      </c>
      <c r="GS9" s="431">
        <v>34.700000000000003</v>
      </c>
      <c r="GT9" s="425">
        <v>350</v>
      </c>
      <c r="GU9" s="394"/>
      <c r="GV9" s="100">
        <f t="shared" si="17"/>
        <v>78653</v>
      </c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</row>
    <row r="10" spans="2:230" x14ac:dyDescent="0.15">
      <c r="B10" s="89" t="s">
        <v>9</v>
      </c>
      <c r="C10" s="102">
        <v>17542681</v>
      </c>
      <c r="D10" s="73">
        <f t="shared" si="0"/>
        <v>6660486</v>
      </c>
      <c r="E10" s="102">
        <v>138536</v>
      </c>
      <c r="F10" s="102">
        <v>6521950</v>
      </c>
      <c r="G10" s="73">
        <f t="shared" si="1"/>
        <v>3025225</v>
      </c>
      <c r="H10" s="102">
        <v>284139</v>
      </c>
      <c r="I10" s="102">
        <v>2741086</v>
      </c>
      <c r="J10" s="102">
        <v>5848476</v>
      </c>
      <c r="K10" s="102">
        <v>2623513</v>
      </c>
      <c r="L10" s="102">
        <v>2543837</v>
      </c>
      <c r="M10" s="102">
        <v>634598</v>
      </c>
      <c r="N10" s="102">
        <v>571700</v>
      </c>
      <c r="O10" s="102">
        <v>1353949</v>
      </c>
      <c r="P10" s="102">
        <v>804673</v>
      </c>
      <c r="Q10" s="102">
        <v>549276</v>
      </c>
      <c r="R10" s="102">
        <v>214414</v>
      </c>
      <c r="S10" s="74"/>
      <c r="T10" s="73">
        <f t="shared" si="2"/>
        <v>1308320</v>
      </c>
      <c r="U10" s="102">
        <v>74480</v>
      </c>
      <c r="V10" s="102">
        <v>57624</v>
      </c>
      <c r="W10" s="102">
        <v>13254</v>
      </c>
      <c r="X10" s="102">
        <v>999524</v>
      </c>
      <c r="Y10" s="102">
        <v>71828</v>
      </c>
      <c r="Z10" s="102">
        <v>0</v>
      </c>
      <c r="AA10" s="102">
        <v>91610</v>
      </c>
      <c r="AB10" s="102">
        <v>77512</v>
      </c>
      <c r="AC10" s="102">
        <v>3274732</v>
      </c>
      <c r="AD10" s="102">
        <v>2734420</v>
      </c>
      <c r="AE10" s="102">
        <v>540307</v>
      </c>
      <c r="AF10" s="102">
        <v>17280</v>
      </c>
      <c r="AG10" s="102">
        <v>252002</v>
      </c>
      <c r="AH10" s="73">
        <f t="shared" si="3"/>
        <v>1157429</v>
      </c>
      <c r="AI10" s="102">
        <v>918133</v>
      </c>
      <c r="AJ10" s="102">
        <v>239296</v>
      </c>
      <c r="AK10" s="102">
        <v>4159870</v>
      </c>
      <c r="AL10" s="73">
        <f t="shared" si="4"/>
        <v>2243485</v>
      </c>
      <c r="AM10" s="102">
        <v>1412236</v>
      </c>
      <c r="AN10" s="102">
        <v>221931</v>
      </c>
      <c r="AO10" s="74"/>
      <c r="AP10" s="102">
        <v>609318</v>
      </c>
      <c r="AQ10" s="102">
        <v>169798</v>
      </c>
      <c r="AR10" s="102">
        <v>0</v>
      </c>
      <c r="AS10" s="102">
        <v>0</v>
      </c>
      <c r="AT10" s="102">
        <v>2113181</v>
      </c>
      <c r="AU10" s="102">
        <v>1155806</v>
      </c>
      <c r="AV10" s="102">
        <v>110966</v>
      </c>
      <c r="AW10" s="102">
        <v>111597</v>
      </c>
      <c r="AX10" s="102">
        <v>957375</v>
      </c>
      <c r="AY10" s="102">
        <v>48116</v>
      </c>
      <c r="AZ10" s="102">
        <v>537305</v>
      </c>
      <c r="BA10" s="102">
        <v>517760</v>
      </c>
      <c r="BB10" s="102">
        <v>57887</v>
      </c>
      <c r="BC10" s="102">
        <v>226970</v>
      </c>
      <c r="BD10" s="102">
        <v>0</v>
      </c>
      <c r="BE10" s="102">
        <v>0</v>
      </c>
      <c r="BF10" s="102">
        <v>226586</v>
      </c>
      <c r="BG10" s="102">
        <v>0</v>
      </c>
      <c r="BH10" s="102">
        <v>856</v>
      </c>
      <c r="BI10" s="102">
        <v>856</v>
      </c>
      <c r="BJ10" s="102">
        <v>3808253</v>
      </c>
      <c r="BK10" s="102">
        <v>3534273</v>
      </c>
      <c r="BL10" s="102">
        <v>112</v>
      </c>
      <c r="BM10" s="102">
        <v>30980</v>
      </c>
      <c r="BN10" s="102">
        <v>2761600</v>
      </c>
      <c r="BO10" s="73">
        <f t="shared" si="5"/>
        <v>665600</v>
      </c>
      <c r="BP10" s="73">
        <f t="shared" si="6"/>
        <v>2096000</v>
      </c>
      <c r="BQ10" s="102">
        <v>0</v>
      </c>
      <c r="BR10" s="102">
        <v>0</v>
      </c>
      <c r="BS10" s="102">
        <v>2096000</v>
      </c>
      <c r="BT10" s="102">
        <v>0</v>
      </c>
      <c r="BU10" s="102">
        <v>37510292</v>
      </c>
      <c r="BV10" s="71"/>
      <c r="BW10" s="102">
        <v>6844552</v>
      </c>
      <c r="BX10" s="102">
        <v>4345698</v>
      </c>
      <c r="BY10" s="102">
        <v>1015290</v>
      </c>
      <c r="BZ10" s="102">
        <v>227152</v>
      </c>
      <c r="CA10" s="102">
        <v>7039689</v>
      </c>
      <c r="CB10" s="102">
        <v>1584724</v>
      </c>
      <c r="CC10" s="102">
        <v>132253</v>
      </c>
      <c r="CD10" s="102">
        <v>3397275</v>
      </c>
      <c r="CE10" s="102">
        <v>1868145</v>
      </c>
      <c r="CF10" s="102">
        <v>4686</v>
      </c>
      <c r="CG10" s="102">
        <v>51656</v>
      </c>
      <c r="CH10" s="102">
        <v>3765871</v>
      </c>
      <c r="CI10" s="102">
        <v>3201878</v>
      </c>
      <c r="CJ10" s="83">
        <f t="shared" si="18"/>
        <v>563993</v>
      </c>
      <c r="CK10" s="102">
        <v>5268925</v>
      </c>
      <c r="CL10" s="102">
        <v>3075454</v>
      </c>
      <c r="CM10" s="102">
        <v>543760</v>
      </c>
      <c r="CN10" s="102">
        <v>655622</v>
      </c>
      <c r="CO10" s="102">
        <v>493786</v>
      </c>
      <c r="CP10" s="102">
        <v>2283252</v>
      </c>
      <c r="CQ10" s="102">
        <v>1933</v>
      </c>
      <c r="CR10" s="102">
        <v>623627</v>
      </c>
      <c r="CS10" s="102">
        <v>480828</v>
      </c>
      <c r="CT10" s="73">
        <f t="shared" si="7"/>
        <v>1279293</v>
      </c>
      <c r="CU10" s="102">
        <v>1057127</v>
      </c>
      <c r="CV10" s="102">
        <v>222166</v>
      </c>
      <c r="CW10" s="73">
        <f t="shared" si="8"/>
        <v>590724</v>
      </c>
      <c r="CX10" s="102">
        <v>490724</v>
      </c>
      <c r="CY10" s="102">
        <v>100000</v>
      </c>
      <c r="CZ10" s="73">
        <f t="shared" si="9"/>
        <v>685669</v>
      </c>
      <c r="DA10" s="102">
        <v>563503</v>
      </c>
      <c r="DB10" s="102">
        <v>122166</v>
      </c>
      <c r="DC10" s="102">
        <v>1709740</v>
      </c>
      <c r="DD10" s="102">
        <v>892840</v>
      </c>
      <c r="DE10" s="102">
        <v>811708</v>
      </c>
      <c r="DF10" s="77">
        <v>5192</v>
      </c>
      <c r="DG10" s="78">
        <v>0</v>
      </c>
      <c r="DH10" s="102">
        <v>0</v>
      </c>
      <c r="DI10" s="102">
        <v>1759650</v>
      </c>
      <c r="DJ10" s="102">
        <v>1361050</v>
      </c>
      <c r="DK10" s="102">
        <v>0</v>
      </c>
      <c r="DL10" s="102">
        <v>398600</v>
      </c>
      <c r="DM10" s="102">
        <v>618834</v>
      </c>
      <c r="DN10" s="102">
        <v>618834</v>
      </c>
      <c r="DO10" s="102">
        <v>0</v>
      </c>
      <c r="DP10" s="102">
        <v>618834</v>
      </c>
      <c r="DQ10" s="102">
        <v>3532200</v>
      </c>
      <c r="DR10" s="102">
        <v>0</v>
      </c>
      <c r="DS10" s="102">
        <v>0</v>
      </c>
      <c r="DT10" s="102">
        <v>3012217</v>
      </c>
      <c r="DU10" s="102">
        <v>0</v>
      </c>
      <c r="DV10" s="73">
        <f t="shared" si="10"/>
        <v>0</v>
      </c>
      <c r="DW10" s="102">
        <v>0</v>
      </c>
      <c r="DX10" s="102">
        <v>1059186</v>
      </c>
      <c r="DY10" s="102">
        <v>16496</v>
      </c>
      <c r="DZ10" s="102">
        <v>889264</v>
      </c>
      <c r="EA10" s="74">
        <v>0</v>
      </c>
      <c r="EB10" s="102">
        <v>1047271</v>
      </c>
      <c r="EC10" s="102">
        <v>0</v>
      </c>
      <c r="ED10" s="102">
        <v>36328716</v>
      </c>
      <c r="EE10" s="71"/>
      <c r="EF10" s="102">
        <v>1181576</v>
      </c>
      <c r="EG10" s="102">
        <v>227763</v>
      </c>
      <c r="EH10" s="102">
        <v>953813</v>
      </c>
      <c r="EI10" s="102">
        <v>932957</v>
      </c>
      <c r="EJ10" s="102">
        <v>2294007</v>
      </c>
      <c r="EK10" s="71"/>
      <c r="EL10" s="102"/>
      <c r="EM10" s="102">
        <v>102978</v>
      </c>
      <c r="EN10" s="102">
        <v>0</v>
      </c>
      <c r="EO10" s="102">
        <v>534919</v>
      </c>
      <c r="EP10" s="73">
        <f t="shared" si="11"/>
        <v>304993</v>
      </c>
      <c r="EQ10" s="102">
        <v>22434939</v>
      </c>
      <c r="ER10" s="71">
        <v>-2918632</v>
      </c>
      <c r="ES10" s="102">
        <v>6434750</v>
      </c>
      <c r="ET10" s="102">
        <v>4007438</v>
      </c>
      <c r="EU10" s="102">
        <v>2062268</v>
      </c>
      <c r="EV10" s="102">
        <v>3765871</v>
      </c>
      <c r="EW10" s="73">
        <f t="shared" si="12"/>
        <v>394163</v>
      </c>
      <c r="EX10" s="102">
        <v>394163</v>
      </c>
      <c r="EY10" s="102">
        <v>23994</v>
      </c>
      <c r="EZ10" s="102">
        <v>370169</v>
      </c>
      <c r="FA10" s="102">
        <v>0</v>
      </c>
      <c r="FB10" s="102">
        <v>0</v>
      </c>
      <c r="FC10" s="102">
        <v>4144762</v>
      </c>
      <c r="FD10" s="102">
        <v>2068848</v>
      </c>
      <c r="FE10" s="102">
        <v>1933</v>
      </c>
      <c r="FF10" s="102">
        <v>2552393</v>
      </c>
      <c r="FG10" s="73">
        <f t="shared" si="13"/>
        <v>2748940</v>
      </c>
      <c r="FH10" s="102">
        <v>24171995</v>
      </c>
      <c r="FI10" s="379">
        <f t="shared" si="14"/>
        <v>4.7</v>
      </c>
      <c r="FJ10" s="102">
        <v>18276727</v>
      </c>
      <c r="FK10" s="102">
        <v>2096146</v>
      </c>
      <c r="FL10" s="102">
        <v>11920547</v>
      </c>
      <c r="FM10" s="102">
        <v>14636963</v>
      </c>
      <c r="FN10" s="428">
        <v>0.82699999999999996</v>
      </c>
      <c r="FO10" s="424">
        <v>89</v>
      </c>
      <c r="FP10" s="425">
        <v>27</v>
      </c>
      <c r="FQ10" s="424">
        <v>9</v>
      </c>
      <c r="FR10" s="424">
        <v>16.5</v>
      </c>
      <c r="FS10" s="425">
        <v>16.8</v>
      </c>
      <c r="FT10" s="424">
        <v>7.8</v>
      </c>
      <c r="FU10" s="425">
        <v>10</v>
      </c>
      <c r="FV10" s="384">
        <f t="shared" si="15"/>
        <v>6.8</v>
      </c>
      <c r="FW10" s="102">
        <v>33632202</v>
      </c>
      <c r="FX10" s="384">
        <f t="shared" si="16"/>
        <v>165.1</v>
      </c>
      <c r="FY10" s="102">
        <v>6781433</v>
      </c>
      <c r="FZ10" s="102">
        <v>4602654</v>
      </c>
      <c r="GA10" s="102">
        <v>0</v>
      </c>
      <c r="GB10" s="102">
        <v>2178779</v>
      </c>
      <c r="GC10" s="102">
        <v>0</v>
      </c>
      <c r="GD10" s="454">
        <v>988403</v>
      </c>
      <c r="GE10" s="386">
        <f>IF(GD10=0,"-",ROUND(GD10/(FJ10+FK10)*100,1))</f>
        <v>4.9000000000000004</v>
      </c>
      <c r="GF10" s="424">
        <v>98.3</v>
      </c>
      <c r="GG10" s="424">
        <v>27.9</v>
      </c>
      <c r="GH10" s="424">
        <v>93.8</v>
      </c>
      <c r="GI10" s="102">
        <v>618</v>
      </c>
      <c r="GJ10" s="429" t="s">
        <v>646</v>
      </c>
      <c r="GK10" s="429">
        <v>12.46</v>
      </c>
      <c r="GL10" s="87">
        <v>20</v>
      </c>
      <c r="GM10" s="429" t="s">
        <v>646</v>
      </c>
      <c r="GN10" s="430">
        <v>17.46</v>
      </c>
      <c r="GO10" s="430">
        <v>30</v>
      </c>
      <c r="GP10" s="425">
        <v>6.8</v>
      </c>
      <c r="GQ10" s="425">
        <v>25</v>
      </c>
      <c r="GR10" s="425">
        <v>35</v>
      </c>
      <c r="GS10" s="431">
        <v>61.3</v>
      </c>
      <c r="GT10" s="425">
        <v>350</v>
      </c>
      <c r="GU10" s="394"/>
      <c r="GV10" s="100">
        <f t="shared" si="17"/>
        <v>20373</v>
      </c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</row>
    <row r="11" spans="2:230" x14ac:dyDescent="0.15">
      <c r="B11" s="89" t="s">
        <v>11</v>
      </c>
      <c r="C11" s="102">
        <v>61770040</v>
      </c>
      <c r="D11" s="73">
        <f t="shared" si="0"/>
        <v>25048736</v>
      </c>
      <c r="E11" s="102">
        <v>483216</v>
      </c>
      <c r="F11" s="102">
        <v>24565520</v>
      </c>
      <c r="G11" s="73">
        <f t="shared" si="1"/>
        <v>5190238</v>
      </c>
      <c r="H11" s="102">
        <v>1084954</v>
      </c>
      <c r="I11" s="102">
        <v>4105284</v>
      </c>
      <c r="J11" s="102">
        <v>23217214</v>
      </c>
      <c r="K11" s="102">
        <v>9649954</v>
      </c>
      <c r="L11" s="102">
        <v>10603893</v>
      </c>
      <c r="M11" s="102">
        <v>2494741</v>
      </c>
      <c r="N11" s="102">
        <v>1783761</v>
      </c>
      <c r="O11" s="102">
        <v>5256666</v>
      </c>
      <c r="P11" s="102">
        <v>2859295</v>
      </c>
      <c r="Q11" s="102">
        <v>2397371</v>
      </c>
      <c r="R11" s="102">
        <v>574317</v>
      </c>
      <c r="S11" s="74"/>
      <c r="T11" s="73">
        <f t="shared" si="2"/>
        <v>4224528</v>
      </c>
      <c r="U11" s="102">
        <v>279994</v>
      </c>
      <c r="V11" s="102">
        <v>216788</v>
      </c>
      <c r="W11" s="102">
        <v>49951</v>
      </c>
      <c r="X11" s="102">
        <v>3381819</v>
      </c>
      <c r="Y11" s="102">
        <v>0</v>
      </c>
      <c r="Z11" s="102">
        <v>0</v>
      </c>
      <c r="AA11" s="102">
        <v>295976</v>
      </c>
      <c r="AB11" s="102">
        <v>249981</v>
      </c>
      <c r="AC11" s="102">
        <v>1955423</v>
      </c>
      <c r="AD11" s="102">
        <v>1771733</v>
      </c>
      <c r="AE11" s="102">
        <v>183554</v>
      </c>
      <c r="AF11" s="102">
        <v>51438</v>
      </c>
      <c r="AG11" s="102">
        <v>1422361</v>
      </c>
      <c r="AH11" s="73">
        <f t="shared" si="3"/>
        <v>2976996</v>
      </c>
      <c r="AI11" s="102">
        <v>2438903</v>
      </c>
      <c r="AJ11" s="102">
        <v>538093</v>
      </c>
      <c r="AK11" s="102">
        <v>18874723</v>
      </c>
      <c r="AL11" s="73">
        <f t="shared" si="4"/>
        <v>11078092</v>
      </c>
      <c r="AM11" s="102">
        <v>7646600</v>
      </c>
      <c r="AN11" s="102">
        <v>828150</v>
      </c>
      <c r="AO11" s="74"/>
      <c r="AP11" s="102">
        <v>2603342</v>
      </c>
      <c r="AQ11" s="102">
        <v>1454728</v>
      </c>
      <c r="AR11" s="102">
        <v>0</v>
      </c>
      <c r="AS11" s="102">
        <v>0</v>
      </c>
      <c r="AT11" s="102">
        <v>6869675</v>
      </c>
      <c r="AU11" s="102">
        <v>4721050</v>
      </c>
      <c r="AV11" s="102">
        <v>414075</v>
      </c>
      <c r="AW11" s="102">
        <v>363797</v>
      </c>
      <c r="AX11" s="102">
        <v>2148625</v>
      </c>
      <c r="AY11" s="102">
        <v>313067</v>
      </c>
      <c r="AZ11" s="102">
        <v>1231746</v>
      </c>
      <c r="BA11" s="102">
        <v>1195171</v>
      </c>
      <c r="BB11" s="102">
        <v>7762</v>
      </c>
      <c r="BC11" s="102">
        <v>8282670</v>
      </c>
      <c r="BD11" s="102">
        <v>200000</v>
      </c>
      <c r="BE11" s="102">
        <v>0</v>
      </c>
      <c r="BF11" s="102">
        <v>1471032</v>
      </c>
      <c r="BG11" s="102">
        <v>151408</v>
      </c>
      <c r="BH11" s="102">
        <v>1014193</v>
      </c>
      <c r="BI11" s="102">
        <v>76999</v>
      </c>
      <c r="BJ11" s="102">
        <v>4191019</v>
      </c>
      <c r="BK11" s="102">
        <v>2861375</v>
      </c>
      <c r="BL11" s="102">
        <v>245050</v>
      </c>
      <c r="BM11" s="102">
        <v>47156</v>
      </c>
      <c r="BN11" s="102">
        <v>2466200</v>
      </c>
      <c r="BO11" s="73">
        <f t="shared" si="5"/>
        <v>2466200</v>
      </c>
      <c r="BP11" s="73">
        <f t="shared" si="6"/>
        <v>0</v>
      </c>
      <c r="BQ11" s="102">
        <v>0</v>
      </c>
      <c r="BR11" s="102">
        <v>0</v>
      </c>
      <c r="BS11" s="102">
        <v>0</v>
      </c>
      <c r="BT11" s="102">
        <v>0</v>
      </c>
      <c r="BU11" s="102">
        <v>116163072</v>
      </c>
      <c r="BV11" s="71"/>
      <c r="BW11" s="102">
        <v>22725928</v>
      </c>
      <c r="BX11" s="102">
        <v>14935509</v>
      </c>
      <c r="BY11" s="102">
        <v>2283624</v>
      </c>
      <c r="BZ11" s="102">
        <v>1782688</v>
      </c>
      <c r="CA11" s="102">
        <v>31124053</v>
      </c>
      <c r="CB11" s="102">
        <v>6199601</v>
      </c>
      <c r="CC11" s="102">
        <v>1017438</v>
      </c>
      <c r="CD11" s="102">
        <v>12875945</v>
      </c>
      <c r="CE11" s="102">
        <v>10296497</v>
      </c>
      <c r="CF11" s="102">
        <v>329533</v>
      </c>
      <c r="CG11" s="102">
        <v>404154</v>
      </c>
      <c r="CH11" s="102">
        <v>7408649</v>
      </c>
      <c r="CI11" s="102">
        <v>6493864</v>
      </c>
      <c r="CJ11" s="83">
        <f t="shared" si="18"/>
        <v>914785</v>
      </c>
      <c r="CK11" s="102">
        <v>15097302</v>
      </c>
      <c r="CL11" s="102">
        <v>9460002</v>
      </c>
      <c r="CM11" s="102">
        <v>1171372</v>
      </c>
      <c r="CN11" s="102">
        <v>2551555</v>
      </c>
      <c r="CO11" s="102">
        <v>2319021</v>
      </c>
      <c r="CP11" s="102">
        <v>6129985</v>
      </c>
      <c r="CQ11" s="102">
        <v>6712</v>
      </c>
      <c r="CR11" s="102">
        <v>1815545</v>
      </c>
      <c r="CS11" s="102">
        <v>1244372</v>
      </c>
      <c r="CT11" s="73">
        <f t="shared" si="7"/>
        <v>885624</v>
      </c>
      <c r="CU11" s="102">
        <v>498217</v>
      </c>
      <c r="CV11" s="102">
        <v>387407</v>
      </c>
      <c r="CW11" s="73">
        <f t="shared" si="8"/>
        <v>848087</v>
      </c>
      <c r="CX11" s="102">
        <v>460680</v>
      </c>
      <c r="CY11" s="102">
        <v>387407</v>
      </c>
      <c r="CZ11" s="73">
        <f t="shared" si="9"/>
        <v>0</v>
      </c>
      <c r="DA11" s="102">
        <v>0</v>
      </c>
      <c r="DB11" s="102">
        <v>0</v>
      </c>
      <c r="DC11" s="102">
        <v>12618165</v>
      </c>
      <c r="DD11" s="102">
        <v>4496739</v>
      </c>
      <c r="DE11" s="102">
        <v>7893841</v>
      </c>
      <c r="DF11" s="77">
        <v>1581</v>
      </c>
      <c r="DG11" s="78">
        <v>226004</v>
      </c>
      <c r="DH11" s="102">
        <v>0</v>
      </c>
      <c r="DI11" s="102">
        <v>499274</v>
      </c>
      <c r="DJ11" s="102">
        <v>35777</v>
      </c>
      <c r="DK11" s="102">
        <v>0</v>
      </c>
      <c r="DL11" s="102">
        <v>463497</v>
      </c>
      <c r="DM11" s="102">
        <v>405268</v>
      </c>
      <c r="DN11" s="102">
        <v>387968</v>
      </c>
      <c r="DO11" s="102">
        <v>0</v>
      </c>
      <c r="DP11" s="102">
        <v>387968</v>
      </c>
      <c r="DQ11" s="102">
        <v>402400</v>
      </c>
      <c r="DR11" s="102">
        <v>0</v>
      </c>
      <c r="DS11" s="102">
        <v>0</v>
      </c>
      <c r="DT11" s="102">
        <v>16128561</v>
      </c>
      <c r="DU11" s="102">
        <v>3637218</v>
      </c>
      <c r="DV11" s="73">
        <f t="shared" si="10"/>
        <v>0</v>
      </c>
      <c r="DW11" s="102">
        <v>0</v>
      </c>
      <c r="DX11" s="102">
        <v>3241171</v>
      </c>
      <c r="DY11" s="102">
        <v>94666</v>
      </c>
      <c r="DZ11" s="102">
        <v>3037133</v>
      </c>
      <c r="EA11" s="74">
        <v>0</v>
      </c>
      <c r="EB11" s="102">
        <v>2816141</v>
      </c>
      <c r="EC11" s="102">
        <v>0</v>
      </c>
      <c r="ED11" s="102">
        <v>114858606</v>
      </c>
      <c r="EE11" s="71"/>
      <c r="EF11" s="102">
        <v>1304466</v>
      </c>
      <c r="EG11" s="102">
        <v>1173013</v>
      </c>
      <c r="EH11" s="102">
        <v>131453</v>
      </c>
      <c r="EI11" s="102">
        <v>54454</v>
      </c>
      <c r="EJ11" s="102">
        <v>-109769</v>
      </c>
      <c r="EK11" s="71"/>
      <c r="EL11" s="102"/>
      <c r="EM11" s="102">
        <v>356768</v>
      </c>
      <c r="EN11" s="102">
        <v>7149330</v>
      </c>
      <c r="EO11" s="102">
        <v>1208890</v>
      </c>
      <c r="EP11" s="73">
        <f t="shared" si="11"/>
        <v>4495355</v>
      </c>
      <c r="EQ11" s="102">
        <v>68825727</v>
      </c>
      <c r="ER11" s="71">
        <v>-12802137</v>
      </c>
      <c r="ES11" s="102">
        <v>20941385</v>
      </c>
      <c r="ET11" s="102">
        <v>13501785</v>
      </c>
      <c r="EU11" s="102">
        <v>9726130</v>
      </c>
      <c r="EV11" s="102">
        <v>7407698</v>
      </c>
      <c r="EW11" s="73">
        <f t="shared" si="12"/>
        <v>5995304</v>
      </c>
      <c r="EX11" s="102">
        <v>5995304</v>
      </c>
      <c r="EY11" s="102">
        <v>212522</v>
      </c>
      <c r="EZ11" s="102">
        <v>5781201</v>
      </c>
      <c r="FA11" s="102">
        <v>0</v>
      </c>
      <c r="FB11" s="102">
        <v>0</v>
      </c>
      <c r="FC11" s="102">
        <v>12854080</v>
      </c>
      <c r="FD11" s="102">
        <v>5762074</v>
      </c>
      <c r="FE11" s="102">
        <v>6712</v>
      </c>
      <c r="FF11" s="102">
        <v>14651894</v>
      </c>
      <c r="FG11" s="73">
        <f t="shared" si="13"/>
        <v>2984833</v>
      </c>
      <c r="FH11" s="102">
        <v>80323398</v>
      </c>
      <c r="FI11" s="379">
        <f t="shared" si="14"/>
        <v>0.2</v>
      </c>
      <c r="FJ11" s="102">
        <v>61921057</v>
      </c>
      <c r="FK11" s="102">
        <v>3907997</v>
      </c>
      <c r="FL11" s="102">
        <v>45745539</v>
      </c>
      <c r="FM11" s="102">
        <v>47517272</v>
      </c>
      <c r="FN11" s="428">
        <v>0.97299999999999998</v>
      </c>
      <c r="FO11" s="424">
        <v>99.9</v>
      </c>
      <c r="FP11" s="425">
        <v>31.1</v>
      </c>
      <c r="FQ11" s="424">
        <v>14.9</v>
      </c>
      <c r="FR11" s="424">
        <v>11.6</v>
      </c>
      <c r="FS11" s="425">
        <v>19</v>
      </c>
      <c r="FT11" s="424">
        <v>4.5</v>
      </c>
      <c r="FU11" s="425">
        <v>15.4</v>
      </c>
      <c r="FV11" s="384">
        <f t="shared" si="15"/>
        <v>0</v>
      </c>
      <c r="FW11" s="102">
        <v>51505893</v>
      </c>
      <c r="FX11" s="384">
        <f t="shared" si="16"/>
        <v>78.2</v>
      </c>
      <c r="FY11" s="102">
        <v>23216748</v>
      </c>
      <c r="FZ11" s="102">
        <v>9104354</v>
      </c>
      <c r="GA11" s="102">
        <v>0</v>
      </c>
      <c r="GB11" s="102">
        <v>14112394</v>
      </c>
      <c r="GC11" s="102">
        <v>0</v>
      </c>
      <c r="GD11" s="454"/>
      <c r="GE11" s="386"/>
      <c r="GF11" s="424">
        <v>99</v>
      </c>
      <c r="GG11" s="424">
        <v>22.2</v>
      </c>
      <c r="GH11" s="424">
        <v>96.2</v>
      </c>
      <c r="GI11" s="102">
        <v>2224</v>
      </c>
      <c r="GJ11" s="429" t="s">
        <v>646</v>
      </c>
      <c r="GK11" s="429">
        <v>11.25</v>
      </c>
      <c r="GL11" s="87">
        <v>20</v>
      </c>
      <c r="GM11" s="429" t="s">
        <v>646</v>
      </c>
      <c r="GN11" s="430">
        <v>16.25</v>
      </c>
      <c r="GO11" s="430">
        <v>30</v>
      </c>
      <c r="GP11" s="425">
        <v>0</v>
      </c>
      <c r="GQ11" s="425">
        <v>25</v>
      </c>
      <c r="GR11" s="425">
        <v>35</v>
      </c>
      <c r="GS11" s="431" t="s">
        <v>646</v>
      </c>
      <c r="GT11" s="425">
        <v>350</v>
      </c>
      <c r="GU11" s="394"/>
      <c r="GV11" s="100">
        <f t="shared" si="17"/>
        <v>65829</v>
      </c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</row>
    <row r="12" spans="2:230" x14ac:dyDescent="0.15">
      <c r="B12" s="89" t="s">
        <v>13</v>
      </c>
      <c r="C12" s="102">
        <v>10991094</v>
      </c>
      <c r="D12" s="73">
        <f t="shared" si="0"/>
        <v>3557418</v>
      </c>
      <c r="E12" s="102">
        <v>95413</v>
      </c>
      <c r="F12" s="102">
        <v>3462005</v>
      </c>
      <c r="G12" s="73">
        <f t="shared" si="1"/>
        <v>775105</v>
      </c>
      <c r="H12" s="102">
        <v>257994</v>
      </c>
      <c r="I12" s="102">
        <v>517111</v>
      </c>
      <c r="J12" s="102">
        <v>5021964</v>
      </c>
      <c r="K12" s="102">
        <v>2015890</v>
      </c>
      <c r="L12" s="102">
        <v>1953217</v>
      </c>
      <c r="M12" s="102">
        <v>587445</v>
      </c>
      <c r="N12" s="102">
        <v>583940</v>
      </c>
      <c r="O12" s="102">
        <v>972411</v>
      </c>
      <c r="P12" s="102">
        <v>544784</v>
      </c>
      <c r="Q12" s="102">
        <v>427627</v>
      </c>
      <c r="R12" s="102">
        <v>184490</v>
      </c>
      <c r="S12" s="74"/>
      <c r="T12" s="73">
        <f t="shared" si="2"/>
        <v>863153</v>
      </c>
      <c r="U12" s="102">
        <v>39000</v>
      </c>
      <c r="V12" s="102">
        <v>30201</v>
      </c>
      <c r="W12" s="102">
        <v>6961</v>
      </c>
      <c r="X12" s="102">
        <v>716614</v>
      </c>
      <c r="Y12" s="102">
        <v>0</v>
      </c>
      <c r="Z12" s="102">
        <v>0</v>
      </c>
      <c r="AA12" s="102">
        <v>70377</v>
      </c>
      <c r="AB12" s="102">
        <v>72177</v>
      </c>
      <c r="AC12" s="102">
        <v>4254480</v>
      </c>
      <c r="AD12" s="102">
        <v>3884312</v>
      </c>
      <c r="AE12" s="102">
        <v>370164</v>
      </c>
      <c r="AF12" s="102">
        <v>14794</v>
      </c>
      <c r="AG12" s="102">
        <v>125737</v>
      </c>
      <c r="AH12" s="73">
        <f t="shared" si="3"/>
        <v>513315</v>
      </c>
      <c r="AI12" s="102">
        <v>356462</v>
      </c>
      <c r="AJ12" s="102">
        <v>156853</v>
      </c>
      <c r="AK12" s="102">
        <v>4714308</v>
      </c>
      <c r="AL12" s="73">
        <f t="shared" si="4"/>
        <v>2883767</v>
      </c>
      <c r="AM12" s="102">
        <v>2171485</v>
      </c>
      <c r="AN12" s="102">
        <v>211429</v>
      </c>
      <c r="AO12" s="74"/>
      <c r="AP12" s="102">
        <v>500853</v>
      </c>
      <c r="AQ12" s="102">
        <v>122856</v>
      </c>
      <c r="AR12" s="102">
        <v>0</v>
      </c>
      <c r="AS12" s="102">
        <v>0</v>
      </c>
      <c r="AT12" s="102">
        <v>1752917</v>
      </c>
      <c r="AU12" s="102">
        <v>959202</v>
      </c>
      <c r="AV12" s="102">
        <v>105575</v>
      </c>
      <c r="AW12" s="102">
        <v>46122</v>
      </c>
      <c r="AX12" s="102">
        <v>793715</v>
      </c>
      <c r="AY12" s="102">
        <v>6150</v>
      </c>
      <c r="AZ12" s="102">
        <v>128213</v>
      </c>
      <c r="BA12" s="102">
        <v>26770</v>
      </c>
      <c r="BB12" s="102">
        <v>16819</v>
      </c>
      <c r="BC12" s="102">
        <v>313498</v>
      </c>
      <c r="BD12" s="102">
        <v>0</v>
      </c>
      <c r="BE12" s="102">
        <v>0</v>
      </c>
      <c r="BF12" s="102">
        <v>298741</v>
      </c>
      <c r="BG12" s="102">
        <v>0</v>
      </c>
      <c r="BH12" s="102">
        <v>222079</v>
      </c>
      <c r="BI12" s="102">
        <v>141083</v>
      </c>
      <c r="BJ12" s="102">
        <v>706199</v>
      </c>
      <c r="BK12" s="102">
        <v>12820</v>
      </c>
      <c r="BL12" s="102">
        <v>900</v>
      </c>
      <c r="BM12" s="102">
        <v>30330</v>
      </c>
      <c r="BN12" s="102">
        <v>2882351</v>
      </c>
      <c r="BO12" s="73">
        <f t="shared" si="5"/>
        <v>1259100</v>
      </c>
      <c r="BP12" s="73">
        <f t="shared" si="6"/>
        <v>1623251</v>
      </c>
      <c r="BQ12" s="102">
        <v>0</v>
      </c>
      <c r="BR12" s="102">
        <v>119200</v>
      </c>
      <c r="BS12" s="102">
        <v>1504051</v>
      </c>
      <c r="BT12" s="102">
        <v>0</v>
      </c>
      <c r="BU12" s="102">
        <v>27755624</v>
      </c>
      <c r="BV12" s="71"/>
      <c r="BW12" s="102">
        <v>4076500</v>
      </c>
      <c r="BX12" s="102">
        <v>2381167</v>
      </c>
      <c r="BY12" s="102">
        <v>336963</v>
      </c>
      <c r="BZ12" s="102">
        <v>501161</v>
      </c>
      <c r="CA12" s="102">
        <v>7314862</v>
      </c>
      <c r="CB12" s="102">
        <v>1206799</v>
      </c>
      <c r="CC12" s="102">
        <v>173173</v>
      </c>
      <c r="CD12" s="102">
        <v>3041877</v>
      </c>
      <c r="CE12" s="102">
        <v>2816044</v>
      </c>
      <c r="CF12" s="102">
        <v>0</v>
      </c>
      <c r="CG12" s="102">
        <v>76969</v>
      </c>
      <c r="CH12" s="102">
        <v>3713454</v>
      </c>
      <c r="CI12" s="102">
        <v>3101676</v>
      </c>
      <c r="CJ12" s="83">
        <f t="shared" si="18"/>
        <v>611778</v>
      </c>
      <c r="CK12" s="102">
        <v>2560888</v>
      </c>
      <c r="CL12" s="102">
        <v>1430469</v>
      </c>
      <c r="CM12" s="102">
        <v>212236</v>
      </c>
      <c r="CN12" s="102">
        <v>470851</v>
      </c>
      <c r="CO12" s="102">
        <v>100894</v>
      </c>
      <c r="CP12" s="102">
        <v>2487571</v>
      </c>
      <c r="CQ12" s="102">
        <v>755365</v>
      </c>
      <c r="CR12" s="102">
        <v>355289</v>
      </c>
      <c r="CS12" s="102">
        <v>263741</v>
      </c>
      <c r="CT12" s="73">
        <f t="shared" si="7"/>
        <v>1076781</v>
      </c>
      <c r="CU12" s="102">
        <v>1076781</v>
      </c>
      <c r="CV12" s="102">
        <v>0</v>
      </c>
      <c r="CW12" s="73">
        <f t="shared" si="8"/>
        <v>1020000</v>
      </c>
      <c r="CX12" s="102">
        <v>1020000</v>
      </c>
      <c r="CY12" s="102">
        <v>0</v>
      </c>
      <c r="CZ12" s="73">
        <f t="shared" si="9"/>
        <v>0</v>
      </c>
      <c r="DA12" s="102">
        <v>0</v>
      </c>
      <c r="DB12" s="102">
        <v>0</v>
      </c>
      <c r="DC12" s="102">
        <v>2120536</v>
      </c>
      <c r="DD12" s="102">
        <v>862227</v>
      </c>
      <c r="DE12" s="102">
        <v>927142</v>
      </c>
      <c r="DF12" s="77">
        <v>257385</v>
      </c>
      <c r="DG12" s="78">
        <v>73782</v>
      </c>
      <c r="DH12" s="102">
        <v>0</v>
      </c>
      <c r="DI12" s="102">
        <v>807619</v>
      </c>
      <c r="DJ12" s="102">
        <v>117769</v>
      </c>
      <c r="DK12" s="102">
        <v>0</v>
      </c>
      <c r="DL12" s="102">
        <v>689850</v>
      </c>
      <c r="DM12" s="102">
        <v>0</v>
      </c>
      <c r="DN12" s="102">
        <v>0</v>
      </c>
      <c r="DO12" s="102">
        <v>0</v>
      </c>
      <c r="DP12" s="102">
        <v>0</v>
      </c>
      <c r="DQ12" s="102">
        <v>1000</v>
      </c>
      <c r="DR12" s="102">
        <v>0</v>
      </c>
      <c r="DS12" s="102">
        <v>0</v>
      </c>
      <c r="DT12" s="102">
        <v>4049846</v>
      </c>
      <c r="DU12" s="102">
        <v>1588703</v>
      </c>
      <c r="DV12" s="73">
        <f t="shared" si="10"/>
        <v>0</v>
      </c>
      <c r="DW12" s="102">
        <v>0</v>
      </c>
      <c r="DX12" s="102">
        <v>791831</v>
      </c>
      <c r="DY12" s="102">
        <v>205513</v>
      </c>
      <c r="DZ12" s="102">
        <v>822156</v>
      </c>
      <c r="EA12" s="74">
        <v>0</v>
      </c>
      <c r="EB12" s="102">
        <v>641643</v>
      </c>
      <c r="EC12" s="102">
        <v>0</v>
      </c>
      <c r="ED12" s="102">
        <v>27233170</v>
      </c>
      <c r="EE12" s="71"/>
      <c r="EF12" s="102">
        <v>522454</v>
      </c>
      <c r="EG12" s="102">
        <v>25180</v>
      </c>
      <c r="EH12" s="102">
        <v>497274</v>
      </c>
      <c r="EI12" s="102">
        <v>356191</v>
      </c>
      <c r="EJ12" s="102">
        <v>473960</v>
      </c>
      <c r="EK12" s="71"/>
      <c r="EL12" s="102"/>
      <c r="EM12" s="102">
        <v>76825</v>
      </c>
      <c r="EN12" s="102">
        <v>6666</v>
      </c>
      <c r="EO12" s="102">
        <v>57843</v>
      </c>
      <c r="EP12" s="73">
        <f t="shared" si="11"/>
        <v>797867</v>
      </c>
      <c r="EQ12" s="102">
        <v>16380188</v>
      </c>
      <c r="ER12" s="71">
        <v>-2470833</v>
      </c>
      <c r="ES12" s="102">
        <v>3591862</v>
      </c>
      <c r="ET12" s="102">
        <v>1995763</v>
      </c>
      <c r="EU12" s="102">
        <v>2130167</v>
      </c>
      <c r="EV12" s="102">
        <v>3701634</v>
      </c>
      <c r="EW12" s="73">
        <f t="shared" si="12"/>
        <v>191238</v>
      </c>
      <c r="EX12" s="102">
        <v>191238</v>
      </c>
      <c r="EY12" s="102">
        <v>10283</v>
      </c>
      <c r="EZ12" s="102">
        <v>180870</v>
      </c>
      <c r="FA12" s="102">
        <v>0</v>
      </c>
      <c r="FB12" s="102">
        <v>0</v>
      </c>
      <c r="FC12" s="102">
        <v>2123563</v>
      </c>
      <c r="FD12" s="102">
        <v>2358881</v>
      </c>
      <c r="FE12" s="102">
        <v>755365</v>
      </c>
      <c r="FF12" s="102">
        <v>3447891</v>
      </c>
      <c r="FG12" s="73">
        <f t="shared" si="13"/>
        <v>783331</v>
      </c>
      <c r="FH12" s="102">
        <v>18328567</v>
      </c>
      <c r="FI12" s="379">
        <f t="shared" si="14"/>
        <v>3</v>
      </c>
      <c r="FJ12" s="102">
        <v>14909536</v>
      </c>
      <c r="FK12" s="102">
        <v>1504051</v>
      </c>
      <c r="FL12" s="102">
        <v>8501684</v>
      </c>
      <c r="FM12" s="102">
        <v>12386108</v>
      </c>
      <c r="FN12" s="428">
        <v>0.69099999999999995</v>
      </c>
      <c r="FO12" s="424">
        <v>98.3</v>
      </c>
      <c r="FP12" s="425">
        <v>20.9</v>
      </c>
      <c r="FQ12" s="424">
        <v>12.7</v>
      </c>
      <c r="FR12" s="424">
        <v>22</v>
      </c>
      <c r="FS12" s="425">
        <v>11.3</v>
      </c>
      <c r="FT12" s="424">
        <v>12.9</v>
      </c>
      <c r="FU12" s="425">
        <v>17.8</v>
      </c>
      <c r="FV12" s="384">
        <f t="shared" si="15"/>
        <v>18.5</v>
      </c>
      <c r="FW12" s="102">
        <v>31622260</v>
      </c>
      <c r="FX12" s="384">
        <f t="shared" si="16"/>
        <v>192.7</v>
      </c>
      <c r="FY12" s="102">
        <v>2588259</v>
      </c>
      <c r="FZ12" s="102">
        <v>423338</v>
      </c>
      <c r="GA12" s="102">
        <v>0</v>
      </c>
      <c r="GB12" s="102">
        <v>2164921</v>
      </c>
      <c r="GC12" s="102">
        <v>400000</v>
      </c>
      <c r="GD12" s="454">
        <v>3518337</v>
      </c>
      <c r="GE12" s="386">
        <f>IF(GD12=0,"-",ROUND(GD12/(FJ12+FK12)*100,1))</f>
        <v>21.4</v>
      </c>
      <c r="GF12" s="424">
        <v>99</v>
      </c>
      <c r="GG12" s="424">
        <v>27</v>
      </c>
      <c r="GH12" s="424">
        <v>96.6</v>
      </c>
      <c r="GI12" s="102">
        <v>427</v>
      </c>
      <c r="GJ12" s="429" t="s">
        <v>646</v>
      </c>
      <c r="GK12" s="429">
        <v>12.68</v>
      </c>
      <c r="GL12" s="87">
        <v>20</v>
      </c>
      <c r="GM12" s="429" t="s">
        <v>646</v>
      </c>
      <c r="GN12" s="430">
        <v>17.68</v>
      </c>
      <c r="GO12" s="430">
        <v>30</v>
      </c>
      <c r="GP12" s="425">
        <v>18.5</v>
      </c>
      <c r="GQ12" s="425">
        <v>25</v>
      </c>
      <c r="GR12" s="425">
        <v>35</v>
      </c>
      <c r="GS12" s="431">
        <v>173.5</v>
      </c>
      <c r="GT12" s="425">
        <v>350</v>
      </c>
      <c r="GU12" s="394"/>
      <c r="GV12" s="100">
        <f t="shared" si="17"/>
        <v>16414</v>
      </c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</row>
    <row r="13" spans="2:230" x14ac:dyDescent="0.15">
      <c r="B13" s="89" t="s">
        <v>15</v>
      </c>
      <c r="C13" s="102">
        <v>48410180</v>
      </c>
      <c r="D13" s="73">
        <f t="shared" si="0"/>
        <v>19991042</v>
      </c>
      <c r="E13" s="102">
        <v>485105</v>
      </c>
      <c r="F13" s="102">
        <v>19505937</v>
      </c>
      <c r="G13" s="73">
        <f t="shared" si="1"/>
        <v>3081385</v>
      </c>
      <c r="H13" s="102">
        <v>748298</v>
      </c>
      <c r="I13" s="102">
        <v>2333087</v>
      </c>
      <c r="J13" s="102">
        <v>18499184</v>
      </c>
      <c r="K13" s="102">
        <v>8038683</v>
      </c>
      <c r="L13" s="102">
        <v>7844148</v>
      </c>
      <c r="M13" s="102">
        <v>2357221</v>
      </c>
      <c r="N13" s="102">
        <v>1709665</v>
      </c>
      <c r="O13" s="102">
        <v>3799727</v>
      </c>
      <c r="P13" s="102">
        <v>2166796</v>
      </c>
      <c r="Q13" s="102">
        <v>1632931</v>
      </c>
      <c r="R13" s="102">
        <v>616343</v>
      </c>
      <c r="S13" s="74"/>
      <c r="T13" s="73">
        <f t="shared" si="2"/>
        <v>3747887</v>
      </c>
      <c r="U13" s="102">
        <v>222792</v>
      </c>
      <c r="V13" s="102">
        <v>172466</v>
      </c>
      <c r="W13" s="102">
        <v>39721</v>
      </c>
      <c r="X13" s="102">
        <v>2942319</v>
      </c>
      <c r="Y13" s="102">
        <v>53079</v>
      </c>
      <c r="Z13" s="102">
        <v>0</v>
      </c>
      <c r="AA13" s="102">
        <v>317510</v>
      </c>
      <c r="AB13" s="102">
        <v>298594</v>
      </c>
      <c r="AC13" s="102">
        <v>11722835</v>
      </c>
      <c r="AD13" s="102">
        <v>11186694</v>
      </c>
      <c r="AE13" s="102">
        <v>536122</v>
      </c>
      <c r="AF13" s="102">
        <v>57411</v>
      </c>
      <c r="AG13" s="102">
        <v>1298031</v>
      </c>
      <c r="AH13" s="73">
        <f t="shared" si="3"/>
        <v>2668137</v>
      </c>
      <c r="AI13" s="102">
        <v>1995205</v>
      </c>
      <c r="AJ13" s="102">
        <v>672932</v>
      </c>
      <c r="AK13" s="102">
        <v>20008634</v>
      </c>
      <c r="AL13" s="73">
        <f t="shared" si="4"/>
        <v>10806038</v>
      </c>
      <c r="AM13" s="102">
        <v>7400104</v>
      </c>
      <c r="AN13" s="102">
        <v>964695</v>
      </c>
      <c r="AO13" s="74"/>
      <c r="AP13" s="102">
        <v>2441239</v>
      </c>
      <c r="AQ13" s="102">
        <v>680347</v>
      </c>
      <c r="AR13" s="102">
        <v>0</v>
      </c>
      <c r="AS13" s="102">
        <v>0</v>
      </c>
      <c r="AT13" s="102">
        <v>5463286</v>
      </c>
      <c r="AU13" s="102">
        <v>2820954</v>
      </c>
      <c r="AV13" s="102">
        <v>0</v>
      </c>
      <c r="AW13" s="102">
        <v>129156</v>
      </c>
      <c r="AX13" s="102">
        <v>2642332</v>
      </c>
      <c r="AY13" s="102">
        <v>88520</v>
      </c>
      <c r="AZ13" s="102">
        <v>175652</v>
      </c>
      <c r="BA13" s="102">
        <v>74124</v>
      </c>
      <c r="BB13" s="102">
        <v>465531</v>
      </c>
      <c r="BC13" s="102">
        <v>1231763</v>
      </c>
      <c r="BD13" s="102">
        <v>240</v>
      </c>
      <c r="BE13" s="102">
        <v>0</v>
      </c>
      <c r="BF13" s="102">
        <v>1163307</v>
      </c>
      <c r="BG13" s="102">
        <v>0</v>
      </c>
      <c r="BH13" s="102">
        <v>967934</v>
      </c>
      <c r="BI13" s="102">
        <v>499650</v>
      </c>
      <c r="BJ13" s="102">
        <v>1629112</v>
      </c>
      <c r="BK13" s="102">
        <v>768397</v>
      </c>
      <c r="BL13" s="102">
        <v>120413</v>
      </c>
      <c r="BM13" s="102">
        <v>47319</v>
      </c>
      <c r="BN13" s="102">
        <v>5504800</v>
      </c>
      <c r="BO13" s="73">
        <f t="shared" si="5"/>
        <v>2204800</v>
      </c>
      <c r="BP13" s="73">
        <f t="shared" si="6"/>
        <v>3300000</v>
      </c>
      <c r="BQ13" s="102">
        <v>0</v>
      </c>
      <c r="BR13" s="102">
        <v>0</v>
      </c>
      <c r="BS13" s="102">
        <v>3300000</v>
      </c>
      <c r="BT13" s="102">
        <v>0</v>
      </c>
      <c r="BU13" s="102">
        <v>104266130</v>
      </c>
      <c r="BV13" s="71"/>
      <c r="BW13" s="102">
        <v>20646092</v>
      </c>
      <c r="BX13" s="102">
        <v>12648808</v>
      </c>
      <c r="BY13" s="102">
        <v>2472627</v>
      </c>
      <c r="BZ13" s="102">
        <v>2140571</v>
      </c>
      <c r="CA13" s="102">
        <v>29633483</v>
      </c>
      <c r="CB13" s="102">
        <v>6098933</v>
      </c>
      <c r="CC13" s="102">
        <v>705811</v>
      </c>
      <c r="CD13" s="102">
        <v>12466119</v>
      </c>
      <c r="CE13" s="102">
        <v>9776590</v>
      </c>
      <c r="CF13" s="102">
        <v>251883</v>
      </c>
      <c r="CG13" s="102">
        <v>328437</v>
      </c>
      <c r="CH13" s="102">
        <v>7352736</v>
      </c>
      <c r="CI13" s="102">
        <v>6656139</v>
      </c>
      <c r="CJ13" s="83">
        <f t="shared" si="18"/>
        <v>696597</v>
      </c>
      <c r="CK13" s="102">
        <v>13272093</v>
      </c>
      <c r="CL13" s="102">
        <v>7586730</v>
      </c>
      <c r="CM13" s="102">
        <v>781585</v>
      </c>
      <c r="CN13" s="102">
        <v>3268918</v>
      </c>
      <c r="CO13" s="102">
        <v>1714865</v>
      </c>
      <c r="CP13" s="102">
        <v>4621174</v>
      </c>
      <c r="CQ13" s="102">
        <v>23255</v>
      </c>
      <c r="CR13" s="102">
        <v>2245973</v>
      </c>
      <c r="CS13" s="102">
        <v>1653550</v>
      </c>
      <c r="CT13" s="73">
        <f t="shared" si="7"/>
        <v>967819</v>
      </c>
      <c r="CU13" s="102">
        <v>42854</v>
      </c>
      <c r="CV13" s="102">
        <v>924965</v>
      </c>
      <c r="CW13" s="73">
        <f t="shared" si="8"/>
        <v>0</v>
      </c>
      <c r="CX13" s="102">
        <v>0</v>
      </c>
      <c r="CY13" s="102">
        <v>0</v>
      </c>
      <c r="CZ13" s="73">
        <f t="shared" si="9"/>
        <v>0</v>
      </c>
      <c r="DA13" s="102">
        <v>0</v>
      </c>
      <c r="DB13" s="102">
        <v>0</v>
      </c>
      <c r="DC13" s="102">
        <v>9389127</v>
      </c>
      <c r="DD13" s="102">
        <v>5338851</v>
      </c>
      <c r="DE13" s="102">
        <v>4017913</v>
      </c>
      <c r="DF13" s="77">
        <v>32363</v>
      </c>
      <c r="DG13" s="78">
        <v>0</v>
      </c>
      <c r="DH13" s="102">
        <v>0</v>
      </c>
      <c r="DI13" s="102">
        <v>1383955</v>
      </c>
      <c r="DJ13" s="102">
        <v>255997</v>
      </c>
      <c r="DK13" s="102">
        <v>5038</v>
      </c>
      <c r="DL13" s="102">
        <v>1122920</v>
      </c>
      <c r="DM13" s="102">
        <v>0</v>
      </c>
      <c r="DN13" s="102">
        <v>0</v>
      </c>
      <c r="DO13" s="102">
        <v>0</v>
      </c>
      <c r="DP13" s="102">
        <v>0</v>
      </c>
      <c r="DQ13" s="102">
        <v>845799</v>
      </c>
      <c r="DR13" s="102">
        <v>0</v>
      </c>
      <c r="DS13" s="102">
        <v>0</v>
      </c>
      <c r="DT13" s="102">
        <v>13655887</v>
      </c>
      <c r="DU13" s="102">
        <v>4180000</v>
      </c>
      <c r="DV13" s="73">
        <f t="shared" si="10"/>
        <v>0</v>
      </c>
      <c r="DW13" s="102">
        <v>0</v>
      </c>
      <c r="DX13" s="102">
        <v>3607295</v>
      </c>
      <c r="DY13" s="102">
        <v>0</v>
      </c>
      <c r="DZ13" s="102">
        <v>2666281</v>
      </c>
      <c r="EA13" s="74">
        <v>0</v>
      </c>
      <c r="EB13" s="102">
        <v>2901558</v>
      </c>
      <c r="EC13" s="102">
        <v>0</v>
      </c>
      <c r="ED13" s="102">
        <v>102515211</v>
      </c>
      <c r="EE13" s="71"/>
      <c r="EF13" s="102">
        <v>1750919</v>
      </c>
      <c r="EG13" s="102">
        <v>1503093</v>
      </c>
      <c r="EH13" s="102">
        <v>247826</v>
      </c>
      <c r="EI13" s="102">
        <v>-251824</v>
      </c>
      <c r="EJ13" s="102">
        <v>3933</v>
      </c>
      <c r="EK13" s="71"/>
      <c r="EL13" s="102"/>
      <c r="EM13" s="102">
        <v>356329</v>
      </c>
      <c r="EN13" s="102">
        <v>790240</v>
      </c>
      <c r="EO13" s="102">
        <v>106743</v>
      </c>
      <c r="EP13" s="73">
        <f t="shared" si="11"/>
        <v>1487531</v>
      </c>
      <c r="EQ13" s="102">
        <v>64853250</v>
      </c>
      <c r="ER13" s="71">
        <v>-5627103</v>
      </c>
      <c r="ES13" s="102">
        <v>19201629</v>
      </c>
      <c r="ET13" s="102">
        <v>11389784</v>
      </c>
      <c r="EU13" s="102">
        <v>8907506</v>
      </c>
      <c r="EV13" s="102">
        <v>7256732</v>
      </c>
      <c r="EW13" s="73">
        <f t="shared" si="12"/>
        <v>3150398</v>
      </c>
      <c r="EX13" s="102">
        <v>3150398</v>
      </c>
      <c r="EY13" s="102">
        <v>560760</v>
      </c>
      <c r="EZ13" s="102">
        <v>2557275</v>
      </c>
      <c r="FA13" s="102">
        <v>0</v>
      </c>
      <c r="FB13" s="102">
        <v>0</v>
      </c>
      <c r="FC13" s="102">
        <v>10678588</v>
      </c>
      <c r="FD13" s="102">
        <v>4242145</v>
      </c>
      <c r="FE13" s="102">
        <v>23255</v>
      </c>
      <c r="FF13" s="102">
        <v>12367703</v>
      </c>
      <c r="FG13" s="73">
        <f t="shared" si="13"/>
        <v>2979979</v>
      </c>
      <c r="FH13" s="102">
        <v>68784680</v>
      </c>
      <c r="FI13" s="379">
        <f t="shared" si="14"/>
        <v>0.4</v>
      </c>
      <c r="FJ13" s="102">
        <v>59920181</v>
      </c>
      <c r="FK13" s="102">
        <v>6027245</v>
      </c>
      <c r="FL13" s="102">
        <v>37584335</v>
      </c>
      <c r="FM13" s="102">
        <v>48722802</v>
      </c>
      <c r="FN13" s="428">
        <v>0.77300000000000002</v>
      </c>
      <c r="FO13" s="424">
        <v>91.9</v>
      </c>
      <c r="FP13" s="425">
        <v>29.4</v>
      </c>
      <c r="FQ13" s="424">
        <v>13.8</v>
      </c>
      <c r="FR13" s="424">
        <v>11.3</v>
      </c>
      <c r="FS13" s="425">
        <v>15.5</v>
      </c>
      <c r="FT13" s="424">
        <v>4.2</v>
      </c>
      <c r="FU13" s="425">
        <v>15.1</v>
      </c>
      <c r="FV13" s="384">
        <f t="shared" si="15"/>
        <v>-0.6</v>
      </c>
      <c r="FW13" s="102">
        <v>47085039</v>
      </c>
      <c r="FX13" s="384">
        <f t="shared" si="16"/>
        <v>71.400000000000006</v>
      </c>
      <c r="FY13" s="102">
        <v>36569721</v>
      </c>
      <c r="FZ13" s="102">
        <v>13347360</v>
      </c>
      <c r="GA13" s="102">
        <v>2512635</v>
      </c>
      <c r="GB13" s="102">
        <v>20709726</v>
      </c>
      <c r="GC13" s="102">
        <v>0</v>
      </c>
      <c r="GD13" s="454">
        <v>3118570</v>
      </c>
      <c r="GE13" s="386">
        <f>IF(GD13=0,"-",ROUND(GD13/(FJ13+FK13)*100,1))</f>
        <v>4.7</v>
      </c>
      <c r="GF13" s="424">
        <v>99.1</v>
      </c>
      <c r="GG13" s="424">
        <v>33.299999999999997</v>
      </c>
      <c r="GH13" s="424">
        <v>96.7</v>
      </c>
      <c r="GI13" s="102">
        <v>2049</v>
      </c>
      <c r="GJ13" s="429" t="s">
        <v>646</v>
      </c>
      <c r="GK13" s="429">
        <v>11.25</v>
      </c>
      <c r="GL13" s="87">
        <v>20</v>
      </c>
      <c r="GM13" s="429" t="s">
        <v>646</v>
      </c>
      <c r="GN13" s="430">
        <v>16.25</v>
      </c>
      <c r="GO13" s="430">
        <v>30</v>
      </c>
      <c r="GP13" s="425">
        <v>-0.6</v>
      </c>
      <c r="GQ13" s="425">
        <v>25</v>
      </c>
      <c r="GR13" s="425">
        <v>35</v>
      </c>
      <c r="GS13" s="431" t="s">
        <v>646</v>
      </c>
      <c r="GT13" s="425">
        <v>350</v>
      </c>
      <c r="GU13" s="394"/>
      <c r="GV13" s="100">
        <f t="shared" si="17"/>
        <v>65947</v>
      </c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</row>
    <row r="14" spans="2:230" x14ac:dyDescent="0.15">
      <c r="B14" s="89" t="s">
        <v>17</v>
      </c>
      <c r="C14" s="102">
        <v>11428808</v>
      </c>
      <c r="D14" s="73">
        <f t="shared" si="0"/>
        <v>3901891</v>
      </c>
      <c r="E14" s="102">
        <v>110424</v>
      </c>
      <c r="F14" s="102">
        <v>3791467</v>
      </c>
      <c r="G14" s="73">
        <f t="shared" si="1"/>
        <v>676917</v>
      </c>
      <c r="H14" s="102">
        <v>181887</v>
      </c>
      <c r="I14" s="102">
        <v>495030</v>
      </c>
      <c r="J14" s="102">
        <v>5013426</v>
      </c>
      <c r="K14" s="102">
        <v>1664760</v>
      </c>
      <c r="L14" s="102">
        <v>2053667</v>
      </c>
      <c r="M14" s="102">
        <v>1088847</v>
      </c>
      <c r="N14" s="102">
        <v>838510</v>
      </c>
      <c r="O14" s="102">
        <v>856783</v>
      </c>
      <c r="P14" s="102">
        <v>427192</v>
      </c>
      <c r="Q14" s="102">
        <v>429591</v>
      </c>
      <c r="R14" s="102">
        <v>184662</v>
      </c>
      <c r="S14" s="74"/>
      <c r="T14" s="73">
        <f t="shared" si="2"/>
        <v>961892</v>
      </c>
      <c r="U14" s="102">
        <v>42364</v>
      </c>
      <c r="V14" s="102">
        <v>32826</v>
      </c>
      <c r="W14" s="102">
        <v>7577</v>
      </c>
      <c r="X14" s="102">
        <v>784177</v>
      </c>
      <c r="Y14" s="102">
        <v>0</v>
      </c>
      <c r="Z14" s="102">
        <v>0</v>
      </c>
      <c r="AA14" s="102">
        <v>94948</v>
      </c>
      <c r="AB14" s="102">
        <v>87213</v>
      </c>
      <c r="AC14" s="102">
        <v>4884672</v>
      </c>
      <c r="AD14" s="102">
        <v>4465339</v>
      </c>
      <c r="AE14" s="102">
        <v>419327</v>
      </c>
      <c r="AF14" s="102">
        <v>18974</v>
      </c>
      <c r="AG14" s="102">
        <v>372119</v>
      </c>
      <c r="AH14" s="73">
        <f t="shared" si="3"/>
        <v>512904</v>
      </c>
      <c r="AI14" s="102">
        <v>425787</v>
      </c>
      <c r="AJ14" s="102">
        <v>87117</v>
      </c>
      <c r="AK14" s="102">
        <v>5133878</v>
      </c>
      <c r="AL14" s="73">
        <f t="shared" si="4"/>
        <v>3260429</v>
      </c>
      <c r="AM14" s="102">
        <v>2142487</v>
      </c>
      <c r="AN14" s="102">
        <v>445467</v>
      </c>
      <c r="AO14" s="74"/>
      <c r="AP14" s="102">
        <v>672475</v>
      </c>
      <c r="AQ14" s="102">
        <v>156326</v>
      </c>
      <c r="AR14" s="102">
        <v>0</v>
      </c>
      <c r="AS14" s="102">
        <v>0</v>
      </c>
      <c r="AT14" s="102">
        <v>2112371</v>
      </c>
      <c r="AU14" s="102">
        <v>1276043</v>
      </c>
      <c r="AV14" s="102">
        <v>222733</v>
      </c>
      <c r="AW14" s="102">
        <v>12647</v>
      </c>
      <c r="AX14" s="102">
        <v>836328</v>
      </c>
      <c r="AY14" s="102">
        <v>917</v>
      </c>
      <c r="AZ14" s="102">
        <v>221907</v>
      </c>
      <c r="BA14" s="102">
        <v>210592</v>
      </c>
      <c r="BB14" s="102">
        <v>17191</v>
      </c>
      <c r="BC14" s="102">
        <v>55594</v>
      </c>
      <c r="BD14" s="102">
        <v>0</v>
      </c>
      <c r="BE14" s="102">
        <v>0</v>
      </c>
      <c r="BF14" s="102">
        <v>19193</v>
      </c>
      <c r="BG14" s="102">
        <v>0</v>
      </c>
      <c r="BH14" s="102">
        <v>119639</v>
      </c>
      <c r="BI14" s="102">
        <v>63912</v>
      </c>
      <c r="BJ14" s="102">
        <v>479786</v>
      </c>
      <c r="BK14" s="102">
        <v>169640</v>
      </c>
      <c r="BL14" s="102">
        <v>0</v>
      </c>
      <c r="BM14" s="102">
        <v>30538</v>
      </c>
      <c r="BN14" s="102">
        <v>2254603</v>
      </c>
      <c r="BO14" s="73">
        <f t="shared" si="5"/>
        <v>591400</v>
      </c>
      <c r="BP14" s="73">
        <f t="shared" si="6"/>
        <v>1663203</v>
      </c>
      <c r="BQ14" s="102">
        <v>0</v>
      </c>
      <c r="BR14" s="102">
        <v>0</v>
      </c>
      <c r="BS14" s="102">
        <v>1663203</v>
      </c>
      <c r="BT14" s="102">
        <v>0</v>
      </c>
      <c r="BU14" s="102">
        <v>28846213</v>
      </c>
      <c r="BV14" s="71"/>
      <c r="BW14" s="102">
        <v>5441875</v>
      </c>
      <c r="BX14" s="102">
        <v>3265916</v>
      </c>
      <c r="BY14" s="102">
        <v>516767</v>
      </c>
      <c r="BZ14" s="102">
        <v>582224</v>
      </c>
      <c r="CA14" s="102">
        <v>8732714</v>
      </c>
      <c r="CB14" s="102">
        <v>1486711</v>
      </c>
      <c r="CC14" s="102">
        <v>164104</v>
      </c>
      <c r="CD14" s="102">
        <v>4128385</v>
      </c>
      <c r="CE14" s="102">
        <v>2838343</v>
      </c>
      <c r="CF14" s="102">
        <v>0</v>
      </c>
      <c r="CG14" s="102">
        <v>115171</v>
      </c>
      <c r="CH14" s="102">
        <v>2778451</v>
      </c>
      <c r="CI14" s="102">
        <v>2317205</v>
      </c>
      <c r="CJ14" s="83">
        <f t="shared" si="18"/>
        <v>461246</v>
      </c>
      <c r="CK14" s="102">
        <v>2956395</v>
      </c>
      <c r="CL14" s="102">
        <v>1550240</v>
      </c>
      <c r="CM14" s="102">
        <v>277300</v>
      </c>
      <c r="CN14" s="102">
        <v>531913</v>
      </c>
      <c r="CO14" s="102">
        <v>106473</v>
      </c>
      <c r="CP14" s="102">
        <v>3156352</v>
      </c>
      <c r="CQ14" s="102">
        <v>1208871</v>
      </c>
      <c r="CR14" s="102">
        <v>640385</v>
      </c>
      <c r="CS14" s="102">
        <v>549677</v>
      </c>
      <c r="CT14" s="73">
        <f t="shared" si="7"/>
        <v>840149</v>
      </c>
      <c r="CU14" s="102">
        <v>737826</v>
      </c>
      <c r="CV14" s="102">
        <v>102323</v>
      </c>
      <c r="CW14" s="73">
        <f t="shared" si="8"/>
        <v>726459</v>
      </c>
      <c r="CX14" s="102">
        <v>724136</v>
      </c>
      <c r="CY14" s="102">
        <v>2323</v>
      </c>
      <c r="CZ14" s="73">
        <f t="shared" si="9"/>
        <v>0</v>
      </c>
      <c r="DA14" s="102">
        <v>0</v>
      </c>
      <c r="DB14" s="102">
        <v>0</v>
      </c>
      <c r="DC14" s="102">
        <v>1248290</v>
      </c>
      <c r="DD14" s="102">
        <v>392316</v>
      </c>
      <c r="DE14" s="102">
        <v>778744</v>
      </c>
      <c r="DF14" s="77">
        <v>77230</v>
      </c>
      <c r="DG14" s="78">
        <v>0</v>
      </c>
      <c r="DH14" s="102">
        <v>11030</v>
      </c>
      <c r="DI14" s="102">
        <v>282610</v>
      </c>
      <c r="DJ14" s="102">
        <v>185000</v>
      </c>
      <c r="DK14" s="102">
        <v>0</v>
      </c>
      <c r="DL14" s="102">
        <v>97610</v>
      </c>
      <c r="DM14" s="102">
        <v>0</v>
      </c>
      <c r="DN14" s="102">
        <v>0</v>
      </c>
      <c r="DO14" s="102">
        <v>0</v>
      </c>
      <c r="DP14" s="102">
        <v>0</v>
      </c>
      <c r="DQ14" s="102">
        <v>166970</v>
      </c>
      <c r="DR14" s="102">
        <v>0</v>
      </c>
      <c r="DS14" s="102">
        <v>0</v>
      </c>
      <c r="DT14" s="102">
        <v>3845829</v>
      </c>
      <c r="DU14" s="102">
        <v>1463472</v>
      </c>
      <c r="DV14" s="73">
        <f t="shared" si="10"/>
        <v>0</v>
      </c>
      <c r="DW14" s="102">
        <v>0</v>
      </c>
      <c r="DX14" s="102">
        <v>989392</v>
      </c>
      <c r="DY14" s="102">
        <v>0</v>
      </c>
      <c r="DZ14" s="102">
        <v>574790</v>
      </c>
      <c r="EA14" s="74">
        <v>0</v>
      </c>
      <c r="EB14" s="102">
        <v>818175</v>
      </c>
      <c r="EC14" s="102">
        <v>0</v>
      </c>
      <c r="ED14" s="102">
        <v>28726989</v>
      </c>
      <c r="EE14" s="71"/>
      <c r="EF14" s="102">
        <v>119224</v>
      </c>
      <c r="EG14" s="102">
        <v>37877</v>
      </c>
      <c r="EH14" s="102">
        <v>81347</v>
      </c>
      <c r="EI14" s="102">
        <v>17435</v>
      </c>
      <c r="EJ14" s="102">
        <v>202435</v>
      </c>
      <c r="EK14" s="71"/>
      <c r="EL14" s="102"/>
      <c r="EM14" s="102">
        <v>90267</v>
      </c>
      <c r="EN14" s="102">
        <v>7256</v>
      </c>
      <c r="EO14" s="102">
        <v>186177</v>
      </c>
      <c r="EP14" s="73">
        <f t="shared" si="11"/>
        <v>342300</v>
      </c>
      <c r="EQ14" s="102">
        <v>17566221</v>
      </c>
      <c r="ER14" s="71">
        <v>-2179962</v>
      </c>
      <c r="ES14" s="102">
        <v>5022544</v>
      </c>
      <c r="ET14" s="102">
        <v>2953878</v>
      </c>
      <c r="EU14" s="102">
        <v>2219270</v>
      </c>
      <c r="EV14" s="102">
        <v>2778451</v>
      </c>
      <c r="EW14" s="73">
        <f t="shared" si="12"/>
        <v>452251</v>
      </c>
      <c r="EX14" s="102">
        <v>447165</v>
      </c>
      <c r="EY14" s="102">
        <v>5482</v>
      </c>
      <c r="EZ14" s="102">
        <v>364453</v>
      </c>
      <c r="FA14" s="102">
        <v>5086</v>
      </c>
      <c r="FB14" s="102">
        <v>0</v>
      </c>
      <c r="FC14" s="102">
        <v>2437181</v>
      </c>
      <c r="FD14" s="102">
        <v>3020367</v>
      </c>
      <c r="FE14" s="102">
        <v>1208871</v>
      </c>
      <c r="FF14" s="102">
        <v>3427906</v>
      </c>
      <c r="FG14" s="73">
        <f t="shared" si="13"/>
        <v>268989</v>
      </c>
      <c r="FH14" s="102">
        <v>19626959</v>
      </c>
      <c r="FI14" s="379">
        <f t="shared" si="14"/>
        <v>0.5</v>
      </c>
      <c r="FJ14" s="102">
        <v>16047703</v>
      </c>
      <c r="FK14" s="102">
        <v>1663203</v>
      </c>
      <c r="FL14" s="102">
        <v>8937671</v>
      </c>
      <c r="FM14" s="102">
        <v>13401286</v>
      </c>
      <c r="FN14" s="428">
        <v>0.67800000000000005</v>
      </c>
      <c r="FO14" s="424">
        <v>99.6</v>
      </c>
      <c r="FP14" s="425">
        <v>27</v>
      </c>
      <c r="FQ14" s="424">
        <v>12.3</v>
      </c>
      <c r="FR14" s="424">
        <v>15.4</v>
      </c>
      <c r="FS14" s="425">
        <v>12.3</v>
      </c>
      <c r="FT14" s="424">
        <v>15.2</v>
      </c>
      <c r="FU14" s="425">
        <v>17</v>
      </c>
      <c r="FV14" s="384">
        <f t="shared" si="15"/>
        <v>13.8</v>
      </c>
      <c r="FW14" s="102">
        <v>26425074</v>
      </c>
      <c r="FX14" s="384">
        <f t="shared" si="16"/>
        <v>149.19999999999999</v>
      </c>
      <c r="FY14" s="102">
        <v>2884885</v>
      </c>
      <c r="FZ14" s="102">
        <v>1133373</v>
      </c>
      <c r="GA14" s="102">
        <v>188585</v>
      </c>
      <c r="GB14" s="102">
        <v>1562927</v>
      </c>
      <c r="GC14" s="102">
        <v>0</v>
      </c>
      <c r="GD14" s="427"/>
      <c r="GE14" s="386"/>
      <c r="GF14" s="424">
        <v>98.6</v>
      </c>
      <c r="GG14" s="424">
        <v>20.7</v>
      </c>
      <c r="GH14" s="424">
        <v>93.9</v>
      </c>
      <c r="GI14" s="102">
        <v>567</v>
      </c>
      <c r="GJ14" s="429" t="s">
        <v>646</v>
      </c>
      <c r="GK14" s="429">
        <v>12.61</v>
      </c>
      <c r="GL14" s="87">
        <v>20</v>
      </c>
      <c r="GM14" s="429" t="s">
        <v>646</v>
      </c>
      <c r="GN14" s="430">
        <v>17.61</v>
      </c>
      <c r="GO14" s="430">
        <v>30</v>
      </c>
      <c r="GP14" s="425">
        <v>13.8</v>
      </c>
      <c r="GQ14" s="425">
        <v>25</v>
      </c>
      <c r="GR14" s="425">
        <v>35</v>
      </c>
      <c r="GS14" s="431">
        <v>90.1</v>
      </c>
      <c r="GT14" s="425">
        <v>350</v>
      </c>
      <c r="GU14" s="394"/>
      <c r="GV14" s="100">
        <f t="shared" si="17"/>
        <v>17711</v>
      </c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</row>
    <row r="15" spans="2:230" x14ac:dyDescent="0.15">
      <c r="B15" s="89" t="s">
        <v>19</v>
      </c>
      <c r="C15" s="102">
        <v>21287930</v>
      </c>
      <c r="D15" s="73">
        <f t="shared" si="0"/>
        <v>6447637</v>
      </c>
      <c r="E15" s="102">
        <v>181130</v>
      </c>
      <c r="F15" s="102">
        <v>6266507</v>
      </c>
      <c r="G15" s="73">
        <f t="shared" si="1"/>
        <v>1546341</v>
      </c>
      <c r="H15" s="102">
        <v>477435</v>
      </c>
      <c r="I15" s="102">
        <v>1068906</v>
      </c>
      <c r="J15" s="102">
        <v>9478816</v>
      </c>
      <c r="K15" s="102">
        <v>3882550</v>
      </c>
      <c r="L15" s="102">
        <v>3824070</v>
      </c>
      <c r="M15" s="102">
        <v>1457038</v>
      </c>
      <c r="N15" s="102">
        <v>1085744</v>
      </c>
      <c r="O15" s="102">
        <v>1911482</v>
      </c>
      <c r="P15" s="102">
        <v>1050001</v>
      </c>
      <c r="Q15" s="102">
        <v>861481</v>
      </c>
      <c r="R15" s="102">
        <v>227115</v>
      </c>
      <c r="S15" s="74"/>
      <c r="T15" s="73">
        <f t="shared" si="2"/>
        <v>1721193</v>
      </c>
      <c r="U15" s="102">
        <v>71750</v>
      </c>
      <c r="V15" s="102">
        <v>55530</v>
      </c>
      <c r="W15" s="102">
        <v>12782</v>
      </c>
      <c r="X15" s="102">
        <v>1464090</v>
      </c>
      <c r="Y15" s="102">
        <v>0</v>
      </c>
      <c r="Z15" s="102">
        <v>0</v>
      </c>
      <c r="AA15" s="102">
        <v>117041</v>
      </c>
      <c r="AB15" s="102">
        <v>116980</v>
      </c>
      <c r="AC15" s="102">
        <v>5990876</v>
      </c>
      <c r="AD15" s="102">
        <v>5325759</v>
      </c>
      <c r="AE15" s="102">
        <v>665110</v>
      </c>
      <c r="AF15" s="102">
        <v>21364</v>
      </c>
      <c r="AG15" s="102">
        <v>1565237</v>
      </c>
      <c r="AH15" s="73">
        <f t="shared" si="3"/>
        <v>1009924</v>
      </c>
      <c r="AI15" s="102">
        <v>801181</v>
      </c>
      <c r="AJ15" s="102">
        <v>208743</v>
      </c>
      <c r="AK15" s="102">
        <v>11676333</v>
      </c>
      <c r="AL15" s="73">
        <f t="shared" si="4"/>
        <v>9014318</v>
      </c>
      <c r="AM15" s="102">
        <v>7503131</v>
      </c>
      <c r="AN15" s="102">
        <v>453155</v>
      </c>
      <c r="AO15" s="74"/>
      <c r="AP15" s="102">
        <v>1058032</v>
      </c>
      <c r="AQ15" s="102">
        <v>324521</v>
      </c>
      <c r="AR15" s="102">
        <v>0</v>
      </c>
      <c r="AS15" s="102">
        <v>0</v>
      </c>
      <c r="AT15" s="102">
        <v>3559130</v>
      </c>
      <c r="AU15" s="102">
        <v>1917294</v>
      </c>
      <c r="AV15" s="102">
        <v>244169</v>
      </c>
      <c r="AW15" s="102">
        <v>107673</v>
      </c>
      <c r="AX15" s="102">
        <v>1641836</v>
      </c>
      <c r="AY15" s="102">
        <v>12922</v>
      </c>
      <c r="AZ15" s="102">
        <v>1059388</v>
      </c>
      <c r="BA15" s="102">
        <v>978086</v>
      </c>
      <c r="BB15" s="102">
        <v>26944</v>
      </c>
      <c r="BC15" s="102">
        <v>4326</v>
      </c>
      <c r="BD15" s="102">
        <v>0</v>
      </c>
      <c r="BE15" s="102">
        <v>0</v>
      </c>
      <c r="BF15" s="102">
        <v>4326</v>
      </c>
      <c r="BG15" s="102">
        <v>4326</v>
      </c>
      <c r="BH15" s="102">
        <v>186723</v>
      </c>
      <c r="BI15" s="102">
        <v>183809</v>
      </c>
      <c r="BJ15" s="102">
        <v>644728</v>
      </c>
      <c r="BK15" s="102">
        <v>19587</v>
      </c>
      <c r="BL15" s="102">
        <v>0</v>
      </c>
      <c r="BM15" s="102">
        <v>33163</v>
      </c>
      <c r="BN15" s="102">
        <v>7881900</v>
      </c>
      <c r="BO15" s="73">
        <f t="shared" si="5"/>
        <v>5016600</v>
      </c>
      <c r="BP15" s="73">
        <f t="shared" si="6"/>
        <v>2865300</v>
      </c>
      <c r="BQ15" s="102">
        <v>0</v>
      </c>
      <c r="BR15" s="102">
        <v>0</v>
      </c>
      <c r="BS15" s="102">
        <v>2865300</v>
      </c>
      <c r="BT15" s="102">
        <v>0</v>
      </c>
      <c r="BU15" s="102">
        <v>56980091</v>
      </c>
      <c r="BV15" s="71"/>
      <c r="BW15" s="102">
        <v>9762209</v>
      </c>
      <c r="BX15" s="102">
        <v>6284680</v>
      </c>
      <c r="BY15" s="102">
        <v>1367606</v>
      </c>
      <c r="BZ15" s="102">
        <v>415336</v>
      </c>
      <c r="CA15" s="102">
        <v>19031190</v>
      </c>
      <c r="CB15" s="102">
        <v>2568606</v>
      </c>
      <c r="CC15" s="102">
        <v>249276</v>
      </c>
      <c r="CD15" s="102">
        <v>5108562</v>
      </c>
      <c r="CE15" s="102">
        <v>9629568</v>
      </c>
      <c r="CF15" s="102">
        <v>1304087</v>
      </c>
      <c r="CG15" s="102">
        <v>166448</v>
      </c>
      <c r="CH15" s="102">
        <v>5629817</v>
      </c>
      <c r="CI15" s="102">
        <v>4838749</v>
      </c>
      <c r="CJ15" s="83">
        <f t="shared" si="18"/>
        <v>791068</v>
      </c>
      <c r="CK15" s="102">
        <v>4569099</v>
      </c>
      <c r="CL15" s="102">
        <v>2789559</v>
      </c>
      <c r="CM15" s="102">
        <v>395988</v>
      </c>
      <c r="CN15" s="102">
        <v>733125</v>
      </c>
      <c r="CO15" s="102">
        <v>312573</v>
      </c>
      <c r="CP15" s="102">
        <v>7622147</v>
      </c>
      <c r="CQ15" s="102">
        <v>1989814</v>
      </c>
      <c r="CR15" s="102">
        <v>699350</v>
      </c>
      <c r="CS15" s="102">
        <v>466104</v>
      </c>
      <c r="CT15" s="73">
        <f t="shared" si="7"/>
        <v>73504</v>
      </c>
      <c r="CU15" s="102">
        <v>73504</v>
      </c>
      <c r="CV15" s="102">
        <v>0</v>
      </c>
      <c r="CW15" s="73">
        <f t="shared" si="8"/>
        <v>0</v>
      </c>
      <c r="CX15" s="102">
        <v>0</v>
      </c>
      <c r="CY15" s="102">
        <v>0</v>
      </c>
      <c r="CZ15" s="73">
        <f t="shared" si="9"/>
        <v>0</v>
      </c>
      <c r="DA15" s="102">
        <v>0</v>
      </c>
      <c r="DB15" s="102">
        <v>0</v>
      </c>
      <c r="DC15" s="102">
        <v>1909637</v>
      </c>
      <c r="DD15" s="102">
        <v>789959</v>
      </c>
      <c r="DE15" s="102">
        <v>1119678</v>
      </c>
      <c r="DF15" s="77">
        <v>0</v>
      </c>
      <c r="DG15" s="78">
        <v>0</v>
      </c>
      <c r="DH15" s="102">
        <v>0</v>
      </c>
      <c r="DI15" s="102">
        <v>206981</v>
      </c>
      <c r="DJ15" s="102">
        <v>253</v>
      </c>
      <c r="DK15" s="102">
        <v>1</v>
      </c>
      <c r="DL15" s="102">
        <v>206727</v>
      </c>
      <c r="DM15" s="102">
        <v>7619</v>
      </c>
      <c r="DN15" s="102">
        <v>7619</v>
      </c>
      <c r="DO15" s="102">
        <v>7619</v>
      </c>
      <c r="DP15" s="102">
        <v>0</v>
      </c>
      <c r="DQ15" s="102">
        <v>1980</v>
      </c>
      <c r="DR15" s="102">
        <v>0</v>
      </c>
      <c r="DS15" s="102">
        <v>0</v>
      </c>
      <c r="DT15" s="102">
        <v>6934421</v>
      </c>
      <c r="DU15" s="102">
        <v>1468800</v>
      </c>
      <c r="DV15" s="73">
        <f t="shared" si="10"/>
        <v>0</v>
      </c>
      <c r="DW15" s="102">
        <v>0</v>
      </c>
      <c r="DX15" s="102">
        <v>1615772</v>
      </c>
      <c r="DY15" s="102">
        <v>0</v>
      </c>
      <c r="DZ15" s="102">
        <v>2425300</v>
      </c>
      <c r="EA15" s="74">
        <v>0</v>
      </c>
      <c r="EB15" s="102">
        <v>1424549</v>
      </c>
      <c r="EC15" s="102">
        <v>0</v>
      </c>
      <c r="ED15" s="102">
        <v>55987673</v>
      </c>
      <c r="EE15" s="71"/>
      <c r="EF15" s="102">
        <v>992418</v>
      </c>
      <c r="EG15" s="102">
        <v>38444</v>
      </c>
      <c r="EH15" s="102">
        <v>953974</v>
      </c>
      <c r="EI15" s="102">
        <v>570165</v>
      </c>
      <c r="EJ15" s="102">
        <v>570517</v>
      </c>
      <c r="EK15" s="71"/>
      <c r="EL15" s="102"/>
      <c r="EM15" s="102">
        <v>145822</v>
      </c>
      <c r="EN15" s="102">
        <v>0</v>
      </c>
      <c r="EO15" s="102">
        <v>1053526</v>
      </c>
      <c r="EP15" s="73">
        <f t="shared" si="11"/>
        <v>647607</v>
      </c>
      <c r="EQ15" s="102">
        <v>29365458</v>
      </c>
      <c r="ER15" s="71">
        <v>-4545069</v>
      </c>
      <c r="ES15" s="102">
        <v>9219391</v>
      </c>
      <c r="ET15" s="102">
        <v>5840527</v>
      </c>
      <c r="EU15" s="102">
        <v>4600118</v>
      </c>
      <c r="EV15" s="102">
        <v>5601507</v>
      </c>
      <c r="EW15" s="73">
        <f t="shared" si="12"/>
        <v>164142</v>
      </c>
      <c r="EX15" s="102">
        <v>164142</v>
      </c>
      <c r="EY15" s="102">
        <v>2540</v>
      </c>
      <c r="EZ15" s="102">
        <v>161602</v>
      </c>
      <c r="FA15" s="102">
        <v>0</v>
      </c>
      <c r="FB15" s="102">
        <v>0</v>
      </c>
      <c r="FC15" s="102">
        <v>3621817</v>
      </c>
      <c r="FD15" s="102">
        <v>3592285</v>
      </c>
      <c r="FE15" s="102">
        <v>1989344</v>
      </c>
      <c r="FF15" s="102">
        <v>5772433</v>
      </c>
      <c r="FG15" s="73">
        <f t="shared" si="13"/>
        <v>346416</v>
      </c>
      <c r="FH15" s="102">
        <v>32918109</v>
      </c>
      <c r="FI15" s="379">
        <f t="shared" si="14"/>
        <v>3.2</v>
      </c>
      <c r="FJ15" s="102">
        <v>26986216</v>
      </c>
      <c r="FK15" s="102">
        <v>2865411</v>
      </c>
      <c r="FL15" s="102">
        <v>16635852</v>
      </c>
      <c r="FM15" s="102">
        <v>21937216</v>
      </c>
      <c r="FN15" s="428">
        <v>0.76900000000000002</v>
      </c>
      <c r="FO15" s="424">
        <v>100.7</v>
      </c>
      <c r="FP15" s="425">
        <v>29.9</v>
      </c>
      <c r="FQ15" s="424">
        <v>15.4</v>
      </c>
      <c r="FR15" s="424">
        <v>18.7</v>
      </c>
      <c r="FS15" s="425">
        <v>11</v>
      </c>
      <c r="FT15" s="424">
        <v>9.3000000000000007</v>
      </c>
      <c r="FU15" s="425">
        <v>15.8</v>
      </c>
      <c r="FV15" s="384">
        <f t="shared" si="15"/>
        <v>8.1999999999999993</v>
      </c>
      <c r="FW15" s="102">
        <v>50352414</v>
      </c>
      <c r="FX15" s="384">
        <f t="shared" si="16"/>
        <v>168.7</v>
      </c>
      <c r="FY15" s="102">
        <v>3867605</v>
      </c>
      <c r="FZ15" s="102">
        <v>243111</v>
      </c>
      <c r="GA15" s="102">
        <v>1699</v>
      </c>
      <c r="GB15" s="102">
        <v>3622795</v>
      </c>
      <c r="GC15" s="102">
        <v>2138800</v>
      </c>
      <c r="GD15" s="454"/>
      <c r="GE15" s="386"/>
      <c r="GF15" s="424">
        <v>97.9</v>
      </c>
      <c r="GG15" s="424">
        <v>20.100000000000001</v>
      </c>
      <c r="GH15" s="424">
        <v>91.5</v>
      </c>
      <c r="GI15" s="102">
        <v>866</v>
      </c>
      <c r="GJ15" s="429" t="s">
        <v>646</v>
      </c>
      <c r="GK15" s="429">
        <v>11.81</v>
      </c>
      <c r="GL15" s="87">
        <v>20</v>
      </c>
      <c r="GM15" s="429" t="s">
        <v>646</v>
      </c>
      <c r="GN15" s="430">
        <v>16.809999999999999</v>
      </c>
      <c r="GO15" s="430">
        <v>30</v>
      </c>
      <c r="GP15" s="425">
        <v>8.1999999999999993</v>
      </c>
      <c r="GQ15" s="425">
        <v>25</v>
      </c>
      <c r="GR15" s="425">
        <v>35</v>
      </c>
      <c r="GS15" s="431">
        <v>64.900000000000006</v>
      </c>
      <c r="GT15" s="425">
        <v>350</v>
      </c>
      <c r="GU15" s="394"/>
      <c r="GV15" s="100">
        <f t="shared" si="17"/>
        <v>29852</v>
      </c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</row>
    <row r="16" spans="2:230" x14ac:dyDescent="0.15">
      <c r="B16" s="89" t="s">
        <v>21</v>
      </c>
      <c r="C16" s="102">
        <v>54538132</v>
      </c>
      <c r="D16" s="73">
        <f t="shared" si="0"/>
        <v>22477324</v>
      </c>
      <c r="E16" s="102">
        <v>542898</v>
      </c>
      <c r="F16" s="102">
        <v>21934426</v>
      </c>
      <c r="G16" s="73">
        <f t="shared" si="1"/>
        <v>3125582</v>
      </c>
      <c r="H16" s="102">
        <v>674635</v>
      </c>
      <c r="I16" s="102">
        <v>2450947</v>
      </c>
      <c r="J16" s="102">
        <v>20813446</v>
      </c>
      <c r="K16" s="102">
        <v>8477753</v>
      </c>
      <c r="L16" s="102">
        <v>9398751</v>
      </c>
      <c r="M16" s="102">
        <v>2427245</v>
      </c>
      <c r="N16" s="102">
        <v>1948083</v>
      </c>
      <c r="O16" s="102">
        <v>4476448</v>
      </c>
      <c r="P16" s="102">
        <v>2441661</v>
      </c>
      <c r="Q16" s="102">
        <v>2034787</v>
      </c>
      <c r="R16" s="102">
        <v>660966</v>
      </c>
      <c r="S16" s="74"/>
      <c r="T16" s="73">
        <f t="shared" si="2"/>
        <v>4296122</v>
      </c>
      <c r="U16" s="102">
        <v>252365</v>
      </c>
      <c r="V16" s="102">
        <v>195229</v>
      </c>
      <c r="W16" s="102">
        <v>44895</v>
      </c>
      <c r="X16" s="102">
        <v>3370195</v>
      </c>
      <c r="Y16" s="102">
        <v>92851</v>
      </c>
      <c r="Z16" s="102">
        <v>0</v>
      </c>
      <c r="AA16" s="102">
        <v>340587</v>
      </c>
      <c r="AB16" s="102">
        <v>347025</v>
      </c>
      <c r="AC16" s="102">
        <v>10983421</v>
      </c>
      <c r="AD16" s="102">
        <v>10670110</v>
      </c>
      <c r="AE16" s="102">
        <v>313283</v>
      </c>
      <c r="AF16" s="102">
        <v>64912</v>
      </c>
      <c r="AG16" s="102">
        <v>1105315</v>
      </c>
      <c r="AH16" s="73">
        <f t="shared" si="3"/>
        <v>2340885</v>
      </c>
      <c r="AI16" s="102">
        <v>1910099</v>
      </c>
      <c r="AJ16" s="102">
        <v>430786</v>
      </c>
      <c r="AK16" s="102">
        <v>21683185</v>
      </c>
      <c r="AL16" s="73">
        <f t="shared" si="4"/>
        <v>13655081</v>
      </c>
      <c r="AM16" s="102">
        <v>9879515</v>
      </c>
      <c r="AN16" s="102">
        <v>1416988</v>
      </c>
      <c r="AO16" s="74"/>
      <c r="AP16" s="102">
        <v>2358578</v>
      </c>
      <c r="AQ16" s="102">
        <v>622127</v>
      </c>
      <c r="AR16" s="102">
        <v>1794</v>
      </c>
      <c r="AS16" s="102">
        <v>0</v>
      </c>
      <c r="AT16" s="102">
        <v>8408945</v>
      </c>
      <c r="AU16" s="102">
        <v>5732880</v>
      </c>
      <c r="AV16" s="102">
        <v>708495</v>
      </c>
      <c r="AW16" s="102">
        <v>561532</v>
      </c>
      <c r="AX16" s="102">
        <v>2676065</v>
      </c>
      <c r="AY16" s="102">
        <v>52009</v>
      </c>
      <c r="AZ16" s="102">
        <v>811402</v>
      </c>
      <c r="BA16" s="102">
        <v>731422</v>
      </c>
      <c r="BB16" s="102">
        <v>71192</v>
      </c>
      <c r="BC16" s="102">
        <v>966681</v>
      </c>
      <c r="BD16" s="102">
        <v>5009</v>
      </c>
      <c r="BE16" s="102">
        <v>800000</v>
      </c>
      <c r="BF16" s="102">
        <v>134277</v>
      </c>
      <c r="BG16" s="102">
        <v>0</v>
      </c>
      <c r="BH16" s="102">
        <v>2342591</v>
      </c>
      <c r="BI16" s="102">
        <v>1411701</v>
      </c>
      <c r="BJ16" s="102">
        <v>1136046</v>
      </c>
      <c r="BK16" s="102">
        <v>0</v>
      </c>
      <c r="BL16" s="102">
        <v>0</v>
      </c>
      <c r="BM16" s="102">
        <v>46596</v>
      </c>
      <c r="BN16" s="102">
        <v>10395022</v>
      </c>
      <c r="BO16" s="73">
        <f t="shared" si="5"/>
        <v>3091400</v>
      </c>
      <c r="BP16" s="73">
        <f t="shared" si="6"/>
        <v>7303622</v>
      </c>
      <c r="BQ16" s="102">
        <v>0</v>
      </c>
      <c r="BR16" s="102">
        <v>0</v>
      </c>
      <c r="BS16" s="102">
        <v>7303622</v>
      </c>
      <c r="BT16" s="102">
        <v>0</v>
      </c>
      <c r="BU16" s="102">
        <v>120151842</v>
      </c>
      <c r="BV16" s="71"/>
      <c r="BW16" s="102">
        <v>20573358</v>
      </c>
      <c r="BX16" s="102">
        <v>13789178</v>
      </c>
      <c r="BY16" s="102">
        <v>2074476</v>
      </c>
      <c r="BZ16" s="102">
        <v>1246815</v>
      </c>
      <c r="CA16" s="102">
        <v>35781773</v>
      </c>
      <c r="CB16" s="102">
        <v>6225713</v>
      </c>
      <c r="CC16" s="102">
        <v>643036</v>
      </c>
      <c r="CD16" s="102">
        <v>15176894</v>
      </c>
      <c r="CE16" s="102">
        <v>13273339</v>
      </c>
      <c r="CF16" s="102">
        <v>0</v>
      </c>
      <c r="CG16" s="102">
        <v>449686</v>
      </c>
      <c r="CH16" s="102">
        <v>11060874</v>
      </c>
      <c r="CI16" s="102">
        <v>9548894</v>
      </c>
      <c r="CJ16" s="83">
        <f t="shared" si="18"/>
        <v>1511980</v>
      </c>
      <c r="CK16" s="102">
        <v>11527901</v>
      </c>
      <c r="CL16" s="102">
        <v>6567339</v>
      </c>
      <c r="CM16" s="102">
        <v>681674</v>
      </c>
      <c r="CN16" s="102">
        <v>2500865</v>
      </c>
      <c r="CO16" s="102">
        <v>1288183</v>
      </c>
      <c r="CP16" s="102">
        <v>15756544</v>
      </c>
      <c r="CQ16" s="102">
        <v>4357274</v>
      </c>
      <c r="CR16" s="102">
        <v>2754958</v>
      </c>
      <c r="CS16" s="102">
        <v>1892402</v>
      </c>
      <c r="CT16" s="73">
        <f t="shared" si="7"/>
        <v>6931810</v>
      </c>
      <c r="CU16" s="102">
        <v>1986148</v>
      </c>
      <c r="CV16" s="102">
        <v>4945662</v>
      </c>
      <c r="CW16" s="73">
        <f t="shared" si="8"/>
        <v>1010610</v>
      </c>
      <c r="CX16" s="102">
        <v>887228</v>
      </c>
      <c r="CY16" s="102">
        <v>123382</v>
      </c>
      <c r="CZ16" s="73">
        <f t="shared" si="9"/>
        <v>5661192</v>
      </c>
      <c r="DA16" s="102">
        <v>970913</v>
      </c>
      <c r="DB16" s="102">
        <v>4690279</v>
      </c>
      <c r="DC16" s="102">
        <v>8908415</v>
      </c>
      <c r="DD16" s="102">
        <v>4479873</v>
      </c>
      <c r="DE16" s="102">
        <v>4428332</v>
      </c>
      <c r="DF16" s="77">
        <v>210</v>
      </c>
      <c r="DG16" s="78">
        <v>0</v>
      </c>
      <c r="DH16" s="102">
        <v>68645</v>
      </c>
      <c r="DI16" s="102">
        <v>2805428</v>
      </c>
      <c r="DJ16" s="102">
        <v>1347709</v>
      </c>
      <c r="DK16" s="102">
        <v>810703</v>
      </c>
      <c r="DL16" s="102">
        <v>647016</v>
      </c>
      <c r="DM16" s="102">
        <v>87300</v>
      </c>
      <c r="DN16" s="102">
        <v>87300</v>
      </c>
      <c r="DO16" s="102">
        <v>87300</v>
      </c>
      <c r="DP16" s="102">
        <v>0</v>
      </c>
      <c r="DQ16" s="102">
        <v>0</v>
      </c>
      <c r="DR16" s="102">
        <v>0</v>
      </c>
      <c r="DS16" s="102">
        <v>0</v>
      </c>
      <c r="DT16" s="102">
        <v>10691920</v>
      </c>
      <c r="DU16" s="102">
        <v>0</v>
      </c>
      <c r="DV16" s="73">
        <f t="shared" si="10"/>
        <v>0</v>
      </c>
      <c r="DW16" s="102">
        <v>0</v>
      </c>
      <c r="DX16" s="102">
        <v>3433160</v>
      </c>
      <c r="DY16" s="102">
        <v>6705</v>
      </c>
      <c r="DZ16" s="102">
        <v>3835618</v>
      </c>
      <c r="EA16" s="74">
        <v>0</v>
      </c>
      <c r="EB16" s="102">
        <v>3416437</v>
      </c>
      <c r="EC16" s="102">
        <v>0</v>
      </c>
      <c r="ED16" s="102">
        <v>118550341</v>
      </c>
      <c r="EE16" s="71"/>
      <c r="EF16" s="102">
        <v>1601501</v>
      </c>
      <c r="EG16" s="102">
        <v>166314</v>
      </c>
      <c r="EH16" s="102">
        <v>1435187</v>
      </c>
      <c r="EI16" s="102">
        <v>23486</v>
      </c>
      <c r="EJ16" s="102">
        <v>1731669</v>
      </c>
      <c r="EK16" s="71"/>
      <c r="EL16" s="102"/>
      <c r="EM16" s="102">
        <v>408966</v>
      </c>
      <c r="EN16" s="102">
        <v>836451</v>
      </c>
      <c r="EO16" s="102">
        <v>764964</v>
      </c>
      <c r="EP16" s="73">
        <f t="shared" si="11"/>
        <v>2753661</v>
      </c>
      <c r="EQ16" s="102">
        <v>70890578</v>
      </c>
      <c r="ER16" s="71">
        <v>-11593786</v>
      </c>
      <c r="ES16" s="102">
        <v>18928644</v>
      </c>
      <c r="ET16" s="102">
        <v>12371498</v>
      </c>
      <c r="EU16" s="102">
        <v>10581683</v>
      </c>
      <c r="EV16" s="102">
        <v>11060874</v>
      </c>
      <c r="EW16" s="73">
        <f t="shared" si="12"/>
        <v>3147525</v>
      </c>
      <c r="EX16" s="102">
        <v>3080674</v>
      </c>
      <c r="EY16" s="102">
        <v>665884</v>
      </c>
      <c r="EZ16" s="102">
        <v>2414580</v>
      </c>
      <c r="FA16" s="102">
        <v>66851</v>
      </c>
      <c r="FB16" s="102">
        <v>0</v>
      </c>
      <c r="FC16" s="102">
        <v>9348712</v>
      </c>
      <c r="FD16" s="102">
        <v>14714891</v>
      </c>
      <c r="FE16" s="102">
        <v>4355877</v>
      </c>
      <c r="FF16" s="102">
        <v>9116890</v>
      </c>
      <c r="FG16" s="73">
        <f t="shared" si="13"/>
        <v>3983644</v>
      </c>
      <c r="FH16" s="102">
        <v>80882863</v>
      </c>
      <c r="FI16" s="379">
        <f t="shared" si="14"/>
        <v>2</v>
      </c>
      <c r="FJ16" s="102">
        <v>65782548</v>
      </c>
      <c r="FK16" s="102">
        <v>7303622</v>
      </c>
      <c r="FL16" s="102">
        <v>42447840</v>
      </c>
      <c r="FM16" s="102">
        <v>53117950</v>
      </c>
      <c r="FN16" s="428">
        <v>0.80400000000000005</v>
      </c>
      <c r="FO16" s="424">
        <v>89.7</v>
      </c>
      <c r="FP16" s="425">
        <v>24.8</v>
      </c>
      <c r="FQ16" s="424">
        <v>14.2</v>
      </c>
      <c r="FR16" s="424">
        <v>14.5</v>
      </c>
      <c r="FS16" s="425">
        <v>11.5</v>
      </c>
      <c r="FT16" s="424">
        <v>13.3</v>
      </c>
      <c r="FU16" s="425">
        <v>9.8000000000000007</v>
      </c>
      <c r="FV16" s="384">
        <f t="shared" si="15"/>
        <v>1.3</v>
      </c>
      <c r="FW16" s="102">
        <v>99172905</v>
      </c>
      <c r="FX16" s="384">
        <f t="shared" si="16"/>
        <v>135.69999999999999</v>
      </c>
      <c r="FY16" s="102">
        <v>25868505</v>
      </c>
      <c r="FZ16" s="102">
        <v>7006744</v>
      </c>
      <c r="GA16" s="102">
        <v>5669281</v>
      </c>
      <c r="GB16" s="102">
        <v>13192480</v>
      </c>
      <c r="GC16" s="102">
        <v>5000000</v>
      </c>
      <c r="GD16" s="454">
        <v>9262899</v>
      </c>
      <c r="GE16" s="386">
        <f>IF(GD16=0,"-",ROUND(GD16/(FJ16+FK16)*100,1))</f>
        <v>12.7</v>
      </c>
      <c r="GF16" s="424">
        <v>99.1</v>
      </c>
      <c r="GG16" s="424">
        <v>24.4</v>
      </c>
      <c r="GH16" s="424">
        <v>95.8</v>
      </c>
      <c r="GI16" s="102">
        <v>1969</v>
      </c>
      <c r="GJ16" s="429" t="s">
        <v>646</v>
      </c>
      <c r="GK16" s="429">
        <v>11.25</v>
      </c>
      <c r="GL16" s="87">
        <v>20</v>
      </c>
      <c r="GM16" s="429" t="s">
        <v>646</v>
      </c>
      <c r="GN16" s="430">
        <v>16.25</v>
      </c>
      <c r="GO16" s="430">
        <v>30</v>
      </c>
      <c r="GP16" s="425">
        <v>1.3</v>
      </c>
      <c r="GQ16" s="425">
        <v>25</v>
      </c>
      <c r="GR16" s="425">
        <v>35</v>
      </c>
      <c r="GS16" s="431" t="s">
        <v>646</v>
      </c>
      <c r="GT16" s="425">
        <v>350</v>
      </c>
      <c r="GU16" s="394"/>
      <c r="GV16" s="100">
        <f t="shared" si="17"/>
        <v>73086</v>
      </c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</row>
    <row r="17" spans="2:230" x14ac:dyDescent="0.15">
      <c r="B17" s="89" t="s">
        <v>23</v>
      </c>
      <c r="C17" s="102">
        <v>43347260</v>
      </c>
      <c r="D17" s="73">
        <f t="shared" si="0"/>
        <v>17035738</v>
      </c>
      <c r="E17" s="102">
        <v>379318</v>
      </c>
      <c r="F17" s="102">
        <v>16656420</v>
      </c>
      <c r="G17" s="73">
        <f t="shared" si="1"/>
        <v>3224688</v>
      </c>
      <c r="H17" s="102">
        <v>718817</v>
      </c>
      <c r="I17" s="102">
        <v>2505871</v>
      </c>
      <c r="J17" s="102">
        <v>17603990</v>
      </c>
      <c r="K17" s="102">
        <v>7814186</v>
      </c>
      <c r="L17" s="102">
        <v>7362720</v>
      </c>
      <c r="M17" s="102">
        <v>2130158</v>
      </c>
      <c r="N17" s="102">
        <v>1635487</v>
      </c>
      <c r="O17" s="102">
        <v>3647448</v>
      </c>
      <c r="P17" s="102">
        <v>2054134</v>
      </c>
      <c r="Q17" s="102">
        <v>1593314</v>
      </c>
      <c r="R17" s="102">
        <v>484709</v>
      </c>
      <c r="S17" s="74"/>
      <c r="T17" s="73">
        <f t="shared" si="2"/>
        <v>3234332</v>
      </c>
      <c r="U17" s="102">
        <v>187125</v>
      </c>
      <c r="V17" s="102">
        <v>145031</v>
      </c>
      <c r="W17" s="102">
        <v>33495</v>
      </c>
      <c r="X17" s="102">
        <v>2529005</v>
      </c>
      <c r="Y17" s="102">
        <v>89869</v>
      </c>
      <c r="Z17" s="102">
        <v>0</v>
      </c>
      <c r="AA17" s="102">
        <v>249807</v>
      </c>
      <c r="AB17" s="102">
        <v>230268</v>
      </c>
      <c r="AC17" s="102">
        <v>2838635</v>
      </c>
      <c r="AD17" s="102">
        <v>2548962</v>
      </c>
      <c r="AE17" s="102">
        <v>289625</v>
      </c>
      <c r="AF17" s="102">
        <v>51634</v>
      </c>
      <c r="AG17" s="102">
        <v>1074637</v>
      </c>
      <c r="AH17" s="73">
        <f t="shared" si="3"/>
        <v>2242749</v>
      </c>
      <c r="AI17" s="102">
        <v>1829222</v>
      </c>
      <c r="AJ17" s="102">
        <v>413527</v>
      </c>
      <c r="AK17" s="102">
        <v>14336162</v>
      </c>
      <c r="AL17" s="73">
        <f t="shared" si="4"/>
        <v>7394567</v>
      </c>
      <c r="AM17" s="102">
        <v>5005393</v>
      </c>
      <c r="AN17" s="102">
        <v>943528</v>
      </c>
      <c r="AO17" s="74"/>
      <c r="AP17" s="102">
        <v>1445646</v>
      </c>
      <c r="AQ17" s="102">
        <v>1367899</v>
      </c>
      <c r="AR17" s="102">
        <v>0</v>
      </c>
      <c r="AS17" s="102">
        <v>0</v>
      </c>
      <c r="AT17" s="102">
        <v>5620101</v>
      </c>
      <c r="AU17" s="102">
        <v>3292930</v>
      </c>
      <c r="AV17" s="102">
        <v>454046</v>
      </c>
      <c r="AW17" s="102">
        <v>62263</v>
      </c>
      <c r="AX17" s="102">
        <v>2327171</v>
      </c>
      <c r="AY17" s="102">
        <v>92555</v>
      </c>
      <c r="AZ17" s="102">
        <v>265133</v>
      </c>
      <c r="BA17" s="102">
        <v>242987</v>
      </c>
      <c r="BB17" s="102">
        <v>9111</v>
      </c>
      <c r="BC17" s="102">
        <v>175361</v>
      </c>
      <c r="BD17" s="102">
        <v>0</v>
      </c>
      <c r="BE17" s="102">
        <v>0</v>
      </c>
      <c r="BF17" s="102">
        <v>670</v>
      </c>
      <c r="BG17" s="102">
        <v>0</v>
      </c>
      <c r="BH17" s="102">
        <v>1369674</v>
      </c>
      <c r="BI17" s="102">
        <v>371496</v>
      </c>
      <c r="BJ17" s="102">
        <v>1697647</v>
      </c>
      <c r="BK17" s="102">
        <v>350000</v>
      </c>
      <c r="BL17" s="102">
        <v>6821</v>
      </c>
      <c r="BM17" s="102">
        <v>43981</v>
      </c>
      <c r="BN17" s="102">
        <v>4664800</v>
      </c>
      <c r="BO17" s="73">
        <f t="shared" si="5"/>
        <v>1464800</v>
      </c>
      <c r="BP17" s="73">
        <f t="shared" si="6"/>
        <v>3200000</v>
      </c>
      <c r="BQ17" s="102">
        <v>0</v>
      </c>
      <c r="BR17" s="102">
        <v>0</v>
      </c>
      <c r="BS17" s="102">
        <v>3200000</v>
      </c>
      <c r="BT17" s="102">
        <v>0</v>
      </c>
      <c r="BU17" s="102">
        <v>81642213</v>
      </c>
      <c r="BV17" s="71"/>
      <c r="BW17" s="102">
        <v>13243220</v>
      </c>
      <c r="BX17" s="102">
        <v>8865705</v>
      </c>
      <c r="BY17" s="102">
        <v>1548368</v>
      </c>
      <c r="BZ17" s="102">
        <v>455283</v>
      </c>
      <c r="CA17" s="102">
        <v>23152037</v>
      </c>
      <c r="CB17" s="102">
        <v>3973747</v>
      </c>
      <c r="CC17" s="102">
        <v>579065</v>
      </c>
      <c r="CD17" s="102">
        <v>11463146</v>
      </c>
      <c r="CE17" s="102">
        <v>6866849</v>
      </c>
      <c r="CF17" s="102">
        <v>0</v>
      </c>
      <c r="CG17" s="102">
        <v>268440</v>
      </c>
      <c r="CH17" s="102">
        <v>4885291</v>
      </c>
      <c r="CI17" s="102">
        <v>4037865</v>
      </c>
      <c r="CJ17" s="83">
        <f t="shared" si="18"/>
        <v>847426</v>
      </c>
      <c r="CK17" s="102">
        <v>12789908</v>
      </c>
      <c r="CL17" s="102">
        <v>6410901</v>
      </c>
      <c r="CM17" s="102">
        <v>1189250</v>
      </c>
      <c r="CN17" s="102">
        <v>2826738</v>
      </c>
      <c r="CO17" s="102">
        <v>920210</v>
      </c>
      <c r="CP17" s="102">
        <v>3367734</v>
      </c>
      <c r="CQ17" s="102">
        <v>5542</v>
      </c>
      <c r="CR17" s="102">
        <v>2339427</v>
      </c>
      <c r="CS17" s="102">
        <v>1868106</v>
      </c>
      <c r="CT17" s="73">
        <f t="shared" si="7"/>
        <v>20785</v>
      </c>
      <c r="CU17" s="102">
        <v>10281</v>
      </c>
      <c r="CV17" s="102">
        <v>10504</v>
      </c>
      <c r="CW17" s="73">
        <f t="shared" si="8"/>
        <v>0</v>
      </c>
      <c r="CX17" s="102">
        <v>0</v>
      </c>
      <c r="CY17" s="102">
        <v>0</v>
      </c>
      <c r="CZ17" s="73">
        <f t="shared" si="9"/>
        <v>0</v>
      </c>
      <c r="DA17" s="102">
        <v>0</v>
      </c>
      <c r="DB17" s="102">
        <v>0</v>
      </c>
      <c r="DC17" s="102">
        <v>10277694</v>
      </c>
      <c r="DD17" s="102">
        <v>4128897</v>
      </c>
      <c r="DE17" s="102">
        <v>6141976</v>
      </c>
      <c r="DF17" s="77">
        <v>0</v>
      </c>
      <c r="DG17" s="78">
        <v>6821</v>
      </c>
      <c r="DH17" s="102">
        <v>29281</v>
      </c>
      <c r="DI17" s="102">
        <v>412070</v>
      </c>
      <c r="DJ17" s="102">
        <v>4200</v>
      </c>
      <c r="DK17" s="102">
        <v>0</v>
      </c>
      <c r="DL17" s="102">
        <v>407870</v>
      </c>
      <c r="DM17" s="102">
        <v>7818</v>
      </c>
      <c r="DN17" s="102">
        <v>7818</v>
      </c>
      <c r="DO17" s="102">
        <v>7818</v>
      </c>
      <c r="DP17" s="102">
        <v>0</v>
      </c>
      <c r="DQ17" s="102">
        <v>350000</v>
      </c>
      <c r="DR17" s="102">
        <v>0</v>
      </c>
      <c r="DS17" s="102">
        <v>0</v>
      </c>
      <c r="DT17" s="102">
        <v>10455109</v>
      </c>
      <c r="DU17" s="102">
        <v>3186000</v>
      </c>
      <c r="DV17" s="73">
        <f t="shared" si="10"/>
        <v>0</v>
      </c>
      <c r="DW17" s="102">
        <v>0</v>
      </c>
      <c r="DX17" s="102">
        <v>2359992</v>
      </c>
      <c r="DY17" s="102">
        <v>1025973</v>
      </c>
      <c r="DZ17" s="102">
        <v>2001824</v>
      </c>
      <c r="EA17" s="74">
        <v>0</v>
      </c>
      <c r="EB17" s="102">
        <v>1879789</v>
      </c>
      <c r="EC17" s="102">
        <v>0</v>
      </c>
      <c r="ED17" s="102">
        <v>79890372</v>
      </c>
      <c r="EE17" s="71"/>
      <c r="EF17" s="102">
        <v>1751841</v>
      </c>
      <c r="EG17" s="102">
        <v>930287</v>
      </c>
      <c r="EH17" s="102">
        <v>821554</v>
      </c>
      <c r="EI17" s="102">
        <v>77058</v>
      </c>
      <c r="EJ17" s="102">
        <v>81258</v>
      </c>
      <c r="EK17" s="71"/>
      <c r="EL17" s="102"/>
      <c r="EM17" s="102">
        <v>276662</v>
      </c>
      <c r="EN17" s="102">
        <v>174691</v>
      </c>
      <c r="EO17" s="102">
        <v>254020</v>
      </c>
      <c r="EP17" s="73">
        <f t="shared" si="11"/>
        <v>1437198</v>
      </c>
      <c r="EQ17" s="102">
        <v>50186838</v>
      </c>
      <c r="ER17" s="71">
        <v>-5014275</v>
      </c>
      <c r="ES17" s="102">
        <v>11940996</v>
      </c>
      <c r="ET17" s="102">
        <v>7696196</v>
      </c>
      <c r="EU17" s="102">
        <v>7047589</v>
      </c>
      <c r="EV17" s="102">
        <v>4885291</v>
      </c>
      <c r="EW17" s="73">
        <f t="shared" si="12"/>
        <v>5677505</v>
      </c>
      <c r="EX17" s="102">
        <v>5659220</v>
      </c>
      <c r="EY17" s="102">
        <v>594569</v>
      </c>
      <c r="EZ17" s="102">
        <v>5064651</v>
      </c>
      <c r="FA17" s="102">
        <v>18285</v>
      </c>
      <c r="FB17" s="102">
        <v>0</v>
      </c>
      <c r="FC17" s="102">
        <v>10263348</v>
      </c>
      <c r="FD17" s="102">
        <v>2893058</v>
      </c>
      <c r="FE17" s="102">
        <v>5542</v>
      </c>
      <c r="FF17" s="102">
        <v>9490731</v>
      </c>
      <c r="FG17" s="73">
        <f t="shared" si="13"/>
        <v>1250754</v>
      </c>
      <c r="FH17" s="102">
        <v>53449272</v>
      </c>
      <c r="FI17" s="379">
        <f t="shared" si="14"/>
        <v>1.7</v>
      </c>
      <c r="FJ17" s="102">
        <v>45399630</v>
      </c>
      <c r="FK17" s="102">
        <v>3655898</v>
      </c>
      <c r="FL17" s="102">
        <v>32886470</v>
      </c>
      <c r="FM17" s="102">
        <v>35395638</v>
      </c>
      <c r="FN17" s="428">
        <v>0.93700000000000006</v>
      </c>
      <c r="FO17" s="424">
        <v>85.4</v>
      </c>
      <c r="FP17" s="425">
        <v>22.8</v>
      </c>
      <c r="FQ17" s="424">
        <v>14.1</v>
      </c>
      <c r="FR17" s="424">
        <v>9.8000000000000007</v>
      </c>
      <c r="FS17" s="425">
        <v>19.3</v>
      </c>
      <c r="FT17" s="424">
        <v>4.2</v>
      </c>
      <c r="FU17" s="425">
        <v>13.5</v>
      </c>
      <c r="FV17" s="384">
        <f t="shared" si="15"/>
        <v>-1</v>
      </c>
      <c r="FW17" s="102">
        <v>56391788</v>
      </c>
      <c r="FX17" s="384">
        <f t="shared" si="16"/>
        <v>115</v>
      </c>
      <c r="FY17" s="102">
        <v>13092372</v>
      </c>
      <c r="FZ17" s="102">
        <v>5395987</v>
      </c>
      <c r="GA17" s="102">
        <v>0</v>
      </c>
      <c r="GB17" s="102">
        <v>7696385</v>
      </c>
      <c r="GC17" s="102">
        <v>0</v>
      </c>
      <c r="GD17" s="454">
        <v>737820</v>
      </c>
      <c r="GE17" s="386">
        <f>IF(GD17=0,"-",ROUND(GD17/(FJ17+FK17)*100,1))</f>
        <v>1.5</v>
      </c>
      <c r="GF17" s="424">
        <v>98.9</v>
      </c>
      <c r="GG17" s="424">
        <v>22.2</v>
      </c>
      <c r="GH17" s="424">
        <v>96.1</v>
      </c>
      <c r="GI17" s="102">
        <v>1434</v>
      </c>
      <c r="GJ17" s="429" t="s">
        <v>646</v>
      </c>
      <c r="GK17" s="429">
        <v>11.27</v>
      </c>
      <c r="GL17" s="87">
        <v>20</v>
      </c>
      <c r="GM17" s="429" t="s">
        <v>646</v>
      </c>
      <c r="GN17" s="430">
        <v>16.27</v>
      </c>
      <c r="GO17" s="430">
        <v>30</v>
      </c>
      <c r="GP17" s="425">
        <v>-1</v>
      </c>
      <c r="GQ17" s="425">
        <v>25</v>
      </c>
      <c r="GR17" s="425">
        <v>35</v>
      </c>
      <c r="GS17" s="431" t="s">
        <v>646</v>
      </c>
      <c r="GT17" s="425">
        <v>350</v>
      </c>
      <c r="GU17" s="394"/>
      <c r="GV17" s="100">
        <f t="shared" si="17"/>
        <v>49056</v>
      </c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</row>
    <row r="18" spans="2:230" x14ac:dyDescent="0.15">
      <c r="B18" s="89" t="s">
        <v>25</v>
      </c>
      <c r="C18" s="102">
        <v>38033326</v>
      </c>
      <c r="D18" s="73">
        <f t="shared" si="0"/>
        <v>13167432</v>
      </c>
      <c r="E18" s="102">
        <v>340475</v>
      </c>
      <c r="F18" s="102">
        <v>12826957</v>
      </c>
      <c r="G18" s="73">
        <f t="shared" si="1"/>
        <v>3049296</v>
      </c>
      <c r="H18" s="102">
        <v>692725</v>
      </c>
      <c r="I18" s="102">
        <v>2356571</v>
      </c>
      <c r="J18" s="102">
        <v>16001476</v>
      </c>
      <c r="K18" s="102">
        <v>7480517</v>
      </c>
      <c r="L18" s="102">
        <v>6167249</v>
      </c>
      <c r="M18" s="102">
        <v>2077423</v>
      </c>
      <c r="N18" s="102">
        <v>2246970</v>
      </c>
      <c r="O18" s="102">
        <v>3302304</v>
      </c>
      <c r="P18" s="102">
        <v>1977066</v>
      </c>
      <c r="Q18" s="102">
        <v>1325238</v>
      </c>
      <c r="R18" s="102">
        <v>457951</v>
      </c>
      <c r="S18" s="74"/>
      <c r="T18" s="73">
        <f t="shared" si="2"/>
        <v>3118641</v>
      </c>
      <c r="U18" s="102">
        <v>147535</v>
      </c>
      <c r="V18" s="102">
        <v>114004</v>
      </c>
      <c r="W18" s="102">
        <v>26149</v>
      </c>
      <c r="X18" s="102">
        <v>2595409</v>
      </c>
      <c r="Y18" s="102">
        <v>0</v>
      </c>
      <c r="Z18" s="102">
        <v>0</v>
      </c>
      <c r="AA18" s="102">
        <v>235544</v>
      </c>
      <c r="AB18" s="102">
        <v>265819</v>
      </c>
      <c r="AC18" s="102">
        <v>11795186</v>
      </c>
      <c r="AD18" s="102">
        <v>11132357</v>
      </c>
      <c r="AE18" s="102">
        <v>662815</v>
      </c>
      <c r="AF18" s="102">
        <v>46075</v>
      </c>
      <c r="AG18" s="102">
        <v>1725651</v>
      </c>
      <c r="AH18" s="73">
        <f t="shared" si="3"/>
        <v>1735924</v>
      </c>
      <c r="AI18" s="102">
        <v>1182173</v>
      </c>
      <c r="AJ18" s="102">
        <v>553751</v>
      </c>
      <c r="AK18" s="102">
        <v>19832357</v>
      </c>
      <c r="AL18" s="73">
        <f t="shared" si="4"/>
        <v>13476667</v>
      </c>
      <c r="AM18" s="102">
        <v>10735644</v>
      </c>
      <c r="AN18" s="102">
        <v>916018</v>
      </c>
      <c r="AO18" s="74"/>
      <c r="AP18" s="102">
        <v>1825005</v>
      </c>
      <c r="AQ18" s="102">
        <v>604464</v>
      </c>
      <c r="AR18" s="102">
        <v>0</v>
      </c>
      <c r="AS18" s="102">
        <v>40500</v>
      </c>
      <c r="AT18" s="102">
        <v>5873035</v>
      </c>
      <c r="AU18" s="102">
        <v>3391321</v>
      </c>
      <c r="AV18" s="102">
        <v>478440</v>
      </c>
      <c r="AW18" s="102">
        <v>229985</v>
      </c>
      <c r="AX18" s="102">
        <v>2481714</v>
      </c>
      <c r="AY18" s="102">
        <v>10623</v>
      </c>
      <c r="AZ18" s="102">
        <v>475252</v>
      </c>
      <c r="BA18" s="102">
        <v>402661</v>
      </c>
      <c r="BB18" s="102">
        <v>14960</v>
      </c>
      <c r="BC18" s="102">
        <v>291551</v>
      </c>
      <c r="BD18" s="102">
        <v>0</v>
      </c>
      <c r="BE18" s="102">
        <v>0</v>
      </c>
      <c r="BF18" s="102">
        <v>291551</v>
      </c>
      <c r="BG18" s="102">
        <v>0</v>
      </c>
      <c r="BH18" s="102">
        <v>907320</v>
      </c>
      <c r="BI18" s="102">
        <v>625070</v>
      </c>
      <c r="BJ18" s="102">
        <v>922202</v>
      </c>
      <c r="BK18" s="102">
        <v>168958</v>
      </c>
      <c r="BL18" s="102">
        <v>754</v>
      </c>
      <c r="BM18" s="102">
        <v>39918</v>
      </c>
      <c r="BN18" s="102">
        <v>9997261</v>
      </c>
      <c r="BO18" s="73">
        <f t="shared" si="5"/>
        <v>3961700</v>
      </c>
      <c r="BP18" s="73">
        <f t="shared" si="6"/>
        <v>5335561</v>
      </c>
      <c r="BQ18" s="102">
        <v>0</v>
      </c>
      <c r="BR18" s="102">
        <v>0</v>
      </c>
      <c r="BS18" s="102">
        <v>5335561</v>
      </c>
      <c r="BT18" s="102">
        <v>700000</v>
      </c>
      <c r="BU18" s="102">
        <v>95533011</v>
      </c>
      <c r="BV18" s="71"/>
      <c r="BW18" s="102">
        <v>16136375</v>
      </c>
      <c r="BX18" s="102">
        <v>10156112</v>
      </c>
      <c r="BY18" s="102">
        <v>1761989</v>
      </c>
      <c r="BZ18" s="102">
        <v>1526705</v>
      </c>
      <c r="CA18" s="102">
        <v>30882769</v>
      </c>
      <c r="CB18" s="102">
        <v>4793128</v>
      </c>
      <c r="CC18" s="102">
        <v>506862</v>
      </c>
      <c r="CD18" s="102">
        <v>10330661</v>
      </c>
      <c r="CE18" s="102">
        <v>13859430</v>
      </c>
      <c r="CF18" s="102">
        <v>972225</v>
      </c>
      <c r="CG18" s="102">
        <v>419810</v>
      </c>
      <c r="CH18" s="102">
        <v>8822011</v>
      </c>
      <c r="CI18" s="102">
        <v>7685028</v>
      </c>
      <c r="CJ18" s="83">
        <f t="shared" si="18"/>
        <v>1136983</v>
      </c>
      <c r="CK18" s="102">
        <v>10165305</v>
      </c>
      <c r="CL18" s="102">
        <v>7017389</v>
      </c>
      <c r="CM18" s="102">
        <v>540415</v>
      </c>
      <c r="CN18" s="102">
        <v>1731551</v>
      </c>
      <c r="CO18" s="102">
        <v>480033</v>
      </c>
      <c r="CP18" s="102">
        <v>3829785</v>
      </c>
      <c r="CQ18" s="102">
        <v>83334</v>
      </c>
      <c r="CR18" s="102">
        <v>1803783</v>
      </c>
      <c r="CS18" s="102">
        <v>1410416</v>
      </c>
      <c r="CT18" s="73">
        <f t="shared" si="7"/>
        <v>1181846</v>
      </c>
      <c r="CU18" s="102">
        <v>1181846</v>
      </c>
      <c r="CV18" s="102">
        <v>0</v>
      </c>
      <c r="CW18" s="73">
        <f t="shared" si="8"/>
        <v>1114306</v>
      </c>
      <c r="CX18" s="102">
        <v>1114306</v>
      </c>
      <c r="CY18" s="102">
        <v>0</v>
      </c>
      <c r="CZ18" s="73">
        <f t="shared" si="9"/>
        <v>0</v>
      </c>
      <c r="DA18" s="102">
        <v>0</v>
      </c>
      <c r="DB18" s="102">
        <v>0</v>
      </c>
      <c r="DC18" s="102">
        <v>8779155</v>
      </c>
      <c r="DD18" s="102">
        <v>3730148</v>
      </c>
      <c r="DE18" s="102">
        <v>4981182</v>
      </c>
      <c r="DF18" s="77">
        <v>40305</v>
      </c>
      <c r="DG18" s="78">
        <v>27520</v>
      </c>
      <c r="DH18" s="102">
        <v>0</v>
      </c>
      <c r="DI18" s="102">
        <v>790829</v>
      </c>
      <c r="DJ18" s="102">
        <v>333915</v>
      </c>
      <c r="DK18" s="102">
        <v>0</v>
      </c>
      <c r="DL18" s="102">
        <v>456914</v>
      </c>
      <c r="DM18" s="102">
        <v>741390</v>
      </c>
      <c r="DN18" s="102">
        <v>724090</v>
      </c>
      <c r="DO18" s="102">
        <v>90100</v>
      </c>
      <c r="DP18" s="102">
        <v>633990</v>
      </c>
      <c r="DQ18" s="102">
        <v>214000</v>
      </c>
      <c r="DR18" s="102">
        <v>0</v>
      </c>
      <c r="DS18" s="102">
        <v>0</v>
      </c>
      <c r="DT18" s="102">
        <v>13224642</v>
      </c>
      <c r="DU18" s="102">
        <v>5313195</v>
      </c>
      <c r="DV18" s="73">
        <f t="shared" si="10"/>
        <v>0</v>
      </c>
      <c r="DW18" s="102">
        <v>0</v>
      </c>
      <c r="DX18" s="102">
        <v>2503476</v>
      </c>
      <c r="DY18" s="102">
        <v>0</v>
      </c>
      <c r="DZ18" s="102">
        <v>2733094</v>
      </c>
      <c r="EA18" s="74">
        <v>0</v>
      </c>
      <c r="EB18" s="102">
        <v>2619768</v>
      </c>
      <c r="EC18" s="102">
        <v>0</v>
      </c>
      <c r="ED18" s="102">
        <v>94066294</v>
      </c>
      <c r="EE18" s="71"/>
      <c r="EF18" s="102">
        <v>1466717</v>
      </c>
      <c r="EG18" s="102">
        <v>850666</v>
      </c>
      <c r="EH18" s="102">
        <v>616051</v>
      </c>
      <c r="EI18" s="102">
        <v>-9019</v>
      </c>
      <c r="EJ18" s="102">
        <v>533154</v>
      </c>
      <c r="EK18" s="71"/>
      <c r="EL18" s="102"/>
      <c r="EM18" s="102">
        <v>270029</v>
      </c>
      <c r="EN18" s="102">
        <v>0</v>
      </c>
      <c r="EO18" s="102">
        <v>64712</v>
      </c>
      <c r="EP18" s="73">
        <f t="shared" si="11"/>
        <v>1572310</v>
      </c>
      <c r="EQ18" s="102">
        <v>53757498</v>
      </c>
      <c r="ER18" s="71">
        <v>-6886008</v>
      </c>
      <c r="ES18" s="102">
        <v>14174229</v>
      </c>
      <c r="ET18" s="102">
        <v>9321879</v>
      </c>
      <c r="EU18" s="102">
        <v>8387153</v>
      </c>
      <c r="EV18" s="102">
        <v>8735083</v>
      </c>
      <c r="EW18" s="73">
        <f t="shared" si="12"/>
        <v>2636478</v>
      </c>
      <c r="EX18" s="102">
        <v>2636478</v>
      </c>
      <c r="EY18" s="102">
        <v>202245</v>
      </c>
      <c r="EZ18" s="102">
        <v>2408328</v>
      </c>
      <c r="FA18" s="102">
        <v>0</v>
      </c>
      <c r="FB18" s="102">
        <v>0</v>
      </c>
      <c r="FC18" s="102">
        <v>8335938</v>
      </c>
      <c r="FD18" s="102">
        <v>3417229</v>
      </c>
      <c r="FE18" s="102">
        <v>83334</v>
      </c>
      <c r="FF18" s="102">
        <v>12019058</v>
      </c>
      <c r="FG18" s="73">
        <f t="shared" si="13"/>
        <v>1471621</v>
      </c>
      <c r="FH18" s="102">
        <v>59176789</v>
      </c>
      <c r="FI18" s="379">
        <f t="shared" si="14"/>
        <v>1.1000000000000001</v>
      </c>
      <c r="FJ18" s="102">
        <v>48276549</v>
      </c>
      <c r="FK18" s="102">
        <v>5335561</v>
      </c>
      <c r="FL18" s="102">
        <v>28535879</v>
      </c>
      <c r="FM18" s="102">
        <v>39668236</v>
      </c>
      <c r="FN18" s="428">
        <v>0.73299999999999998</v>
      </c>
      <c r="FO18" s="424">
        <v>93.6</v>
      </c>
      <c r="FP18" s="425">
        <v>25.2</v>
      </c>
      <c r="FQ18" s="424">
        <v>15.1</v>
      </c>
      <c r="FR18" s="424">
        <v>15.3</v>
      </c>
      <c r="FS18" s="425">
        <v>13.2</v>
      </c>
      <c r="FT18" s="424">
        <v>4.9000000000000004</v>
      </c>
      <c r="FU18" s="425">
        <v>19.100000000000001</v>
      </c>
      <c r="FV18" s="384">
        <f t="shared" si="15"/>
        <v>6.7</v>
      </c>
      <c r="FW18" s="102">
        <v>80547023</v>
      </c>
      <c r="FX18" s="384">
        <f t="shared" si="16"/>
        <v>150.19999999999999</v>
      </c>
      <c r="FY18" s="102">
        <v>10494979</v>
      </c>
      <c r="FZ18" s="102">
        <v>5887923</v>
      </c>
      <c r="GA18" s="102">
        <v>0</v>
      </c>
      <c r="GB18" s="102">
        <v>4607056</v>
      </c>
      <c r="GC18" s="102">
        <v>0</v>
      </c>
      <c r="GD18" s="454">
        <v>5935770</v>
      </c>
      <c r="GE18" s="386">
        <f>IF(GD18=0,"-",ROUND(GD18/(FJ18+FK18)*100,1))</f>
        <v>11.1</v>
      </c>
      <c r="GF18" s="424">
        <v>98.8</v>
      </c>
      <c r="GG18" s="424">
        <v>31.1</v>
      </c>
      <c r="GH18" s="424">
        <v>96.5</v>
      </c>
      <c r="GI18" s="102">
        <v>1609</v>
      </c>
      <c r="GJ18" s="429" t="s">
        <v>646</v>
      </c>
      <c r="GK18" s="429">
        <v>11.25</v>
      </c>
      <c r="GL18" s="87">
        <v>20</v>
      </c>
      <c r="GM18" s="429" t="s">
        <v>646</v>
      </c>
      <c r="GN18" s="430">
        <v>16.25</v>
      </c>
      <c r="GO18" s="430">
        <v>30</v>
      </c>
      <c r="GP18" s="425">
        <v>6.7</v>
      </c>
      <c r="GQ18" s="425">
        <v>25</v>
      </c>
      <c r="GR18" s="425">
        <v>35</v>
      </c>
      <c r="GS18" s="431">
        <v>43</v>
      </c>
      <c r="GT18" s="425">
        <v>350</v>
      </c>
      <c r="GU18" s="394"/>
      <c r="GV18" s="100">
        <f t="shared" si="17"/>
        <v>53612</v>
      </c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</row>
    <row r="19" spans="2:230" x14ac:dyDescent="0.15">
      <c r="B19" s="89" t="s">
        <v>27</v>
      </c>
      <c r="C19" s="102">
        <v>18759652</v>
      </c>
      <c r="D19" s="73">
        <f t="shared" si="0"/>
        <v>4408978</v>
      </c>
      <c r="E19" s="102">
        <v>130763</v>
      </c>
      <c r="F19" s="102">
        <v>4278215</v>
      </c>
      <c r="G19" s="73">
        <f t="shared" si="1"/>
        <v>1432995</v>
      </c>
      <c r="H19" s="102">
        <v>430927</v>
      </c>
      <c r="I19" s="102">
        <v>1002068</v>
      </c>
      <c r="J19" s="102">
        <v>9146992</v>
      </c>
      <c r="K19" s="102">
        <v>2931609</v>
      </c>
      <c r="L19" s="102">
        <v>3600647</v>
      </c>
      <c r="M19" s="102">
        <v>2185247</v>
      </c>
      <c r="N19" s="102">
        <v>2196082</v>
      </c>
      <c r="O19" s="102">
        <v>1403907</v>
      </c>
      <c r="P19" s="102">
        <v>653957</v>
      </c>
      <c r="Q19" s="102">
        <v>749950</v>
      </c>
      <c r="R19" s="102">
        <v>210747</v>
      </c>
      <c r="S19" s="74"/>
      <c r="T19" s="73">
        <f t="shared" si="2"/>
        <v>1292220</v>
      </c>
      <c r="U19" s="102">
        <v>47691</v>
      </c>
      <c r="V19" s="102">
        <v>36959</v>
      </c>
      <c r="W19" s="102">
        <v>8534</v>
      </c>
      <c r="X19" s="102">
        <v>1048188</v>
      </c>
      <c r="Y19" s="102">
        <v>55506</v>
      </c>
      <c r="Z19" s="102">
        <v>0</v>
      </c>
      <c r="AA19" s="102">
        <v>95342</v>
      </c>
      <c r="AB19" s="102">
        <v>86941</v>
      </c>
      <c r="AC19" s="102">
        <v>2343898</v>
      </c>
      <c r="AD19" s="102">
        <v>1587467</v>
      </c>
      <c r="AE19" s="102">
        <v>756425</v>
      </c>
      <c r="AF19" s="102">
        <v>19224</v>
      </c>
      <c r="AG19" s="102">
        <v>932327</v>
      </c>
      <c r="AH19" s="73">
        <f t="shared" si="3"/>
        <v>958094</v>
      </c>
      <c r="AI19" s="102">
        <v>672152</v>
      </c>
      <c r="AJ19" s="102">
        <v>285942</v>
      </c>
      <c r="AK19" s="102">
        <v>5529673</v>
      </c>
      <c r="AL19" s="73">
        <f t="shared" si="4"/>
        <v>3463658</v>
      </c>
      <c r="AM19" s="102">
        <v>2367839</v>
      </c>
      <c r="AN19" s="102">
        <v>470745</v>
      </c>
      <c r="AO19" s="74"/>
      <c r="AP19" s="102">
        <v>625074</v>
      </c>
      <c r="AQ19" s="102">
        <v>329062</v>
      </c>
      <c r="AR19" s="102">
        <v>0</v>
      </c>
      <c r="AS19" s="102">
        <v>0</v>
      </c>
      <c r="AT19" s="102">
        <v>2503090</v>
      </c>
      <c r="AU19" s="102">
        <v>1503759</v>
      </c>
      <c r="AV19" s="102">
        <v>235372</v>
      </c>
      <c r="AW19" s="102">
        <v>86804</v>
      </c>
      <c r="AX19" s="102">
        <v>999331</v>
      </c>
      <c r="AY19" s="102">
        <v>0</v>
      </c>
      <c r="AZ19" s="102">
        <v>1211182</v>
      </c>
      <c r="BA19" s="102">
        <v>1206102</v>
      </c>
      <c r="BB19" s="102">
        <v>49953</v>
      </c>
      <c r="BC19" s="102">
        <v>1408760</v>
      </c>
      <c r="BD19" s="102">
        <v>300398</v>
      </c>
      <c r="BE19" s="102">
        <v>0</v>
      </c>
      <c r="BF19" s="102">
        <v>1008362</v>
      </c>
      <c r="BG19" s="102">
        <v>100000</v>
      </c>
      <c r="BH19" s="102">
        <v>0</v>
      </c>
      <c r="BI19" s="102">
        <v>0</v>
      </c>
      <c r="BJ19" s="102">
        <v>494239</v>
      </c>
      <c r="BK19" s="102">
        <v>25287</v>
      </c>
      <c r="BL19" s="102">
        <v>0</v>
      </c>
      <c r="BM19" s="102">
        <v>36049</v>
      </c>
      <c r="BN19" s="102">
        <v>6515200</v>
      </c>
      <c r="BO19" s="73">
        <f t="shared" si="5"/>
        <v>4573800</v>
      </c>
      <c r="BP19" s="73">
        <f t="shared" si="6"/>
        <v>1941400</v>
      </c>
      <c r="BQ19" s="102">
        <v>0</v>
      </c>
      <c r="BR19" s="102">
        <v>0</v>
      </c>
      <c r="BS19" s="102">
        <v>1941400</v>
      </c>
      <c r="BT19" s="102">
        <v>0</v>
      </c>
      <c r="BU19" s="102">
        <v>42315200</v>
      </c>
      <c r="BV19" s="71"/>
      <c r="BW19" s="102">
        <v>6577267</v>
      </c>
      <c r="BX19" s="102">
        <v>4015869</v>
      </c>
      <c r="BY19" s="102">
        <v>592791</v>
      </c>
      <c r="BZ19" s="102">
        <v>617069</v>
      </c>
      <c r="CA19" s="102">
        <v>9201240</v>
      </c>
      <c r="CB19" s="102">
        <v>1496323</v>
      </c>
      <c r="CC19" s="102">
        <v>152760</v>
      </c>
      <c r="CD19" s="102">
        <v>4304938</v>
      </c>
      <c r="CE19" s="102">
        <v>3158998</v>
      </c>
      <c r="CF19" s="102">
        <v>4855</v>
      </c>
      <c r="CG19" s="102">
        <v>83347</v>
      </c>
      <c r="CH19" s="102">
        <v>6954526</v>
      </c>
      <c r="CI19" s="102">
        <v>5312980</v>
      </c>
      <c r="CJ19" s="83">
        <f t="shared" si="18"/>
        <v>1641546</v>
      </c>
      <c r="CK19" s="102">
        <v>3812852</v>
      </c>
      <c r="CL19" s="102">
        <v>2832264</v>
      </c>
      <c r="CM19" s="102">
        <v>149972</v>
      </c>
      <c r="CN19" s="102">
        <v>499984</v>
      </c>
      <c r="CO19" s="102">
        <v>108925</v>
      </c>
      <c r="CP19" s="102">
        <v>3558174</v>
      </c>
      <c r="CQ19" s="102">
        <v>951765</v>
      </c>
      <c r="CR19" s="102">
        <v>1587935</v>
      </c>
      <c r="CS19" s="102">
        <v>1105055</v>
      </c>
      <c r="CT19" s="73">
        <f t="shared" si="7"/>
        <v>1500</v>
      </c>
      <c r="CU19" s="102">
        <v>1500</v>
      </c>
      <c r="CV19" s="102">
        <v>0</v>
      </c>
      <c r="CW19" s="73">
        <f t="shared" si="8"/>
        <v>0</v>
      </c>
      <c r="CX19" s="102">
        <v>0</v>
      </c>
      <c r="CY19" s="102">
        <v>0</v>
      </c>
      <c r="CZ19" s="73">
        <f t="shared" si="9"/>
        <v>0</v>
      </c>
      <c r="DA19" s="102">
        <v>0</v>
      </c>
      <c r="DB19" s="102">
        <v>0</v>
      </c>
      <c r="DC19" s="102">
        <v>4612985</v>
      </c>
      <c r="DD19" s="102">
        <v>781557</v>
      </c>
      <c r="DE19" s="102">
        <v>3824362</v>
      </c>
      <c r="DF19" s="77">
        <v>7066</v>
      </c>
      <c r="DG19" s="78">
        <v>0</v>
      </c>
      <c r="DH19" s="102">
        <v>945</v>
      </c>
      <c r="DI19" s="102">
        <v>1806357</v>
      </c>
      <c r="DJ19" s="102">
        <v>581025</v>
      </c>
      <c r="DK19" s="102">
        <v>1205896</v>
      </c>
      <c r="DL19" s="102">
        <v>19436</v>
      </c>
      <c r="DM19" s="102">
        <v>0</v>
      </c>
      <c r="DN19" s="102">
        <v>0</v>
      </c>
      <c r="DO19" s="102">
        <v>0</v>
      </c>
      <c r="DP19" s="102">
        <v>0</v>
      </c>
      <c r="DQ19" s="102">
        <v>414500</v>
      </c>
      <c r="DR19" s="102">
        <v>0</v>
      </c>
      <c r="DS19" s="102">
        <v>0</v>
      </c>
      <c r="DT19" s="102">
        <v>4610311</v>
      </c>
      <c r="DU19" s="102">
        <v>1554587</v>
      </c>
      <c r="DV19" s="73">
        <f t="shared" si="10"/>
        <v>0</v>
      </c>
      <c r="DW19" s="102">
        <v>0</v>
      </c>
      <c r="DX19" s="102">
        <v>1223025</v>
      </c>
      <c r="DY19" s="102">
        <v>0</v>
      </c>
      <c r="DZ19" s="102">
        <v>789212</v>
      </c>
      <c r="EA19" s="74">
        <v>0</v>
      </c>
      <c r="EB19" s="102">
        <v>1041901</v>
      </c>
      <c r="EC19" s="102">
        <v>406414</v>
      </c>
      <c r="ED19" s="102">
        <v>42064496</v>
      </c>
      <c r="EE19" s="71"/>
      <c r="EF19" s="102">
        <v>250704</v>
      </c>
      <c r="EG19" s="102">
        <v>39203</v>
      </c>
      <c r="EH19" s="102">
        <v>211501</v>
      </c>
      <c r="EI19" s="102">
        <v>619143</v>
      </c>
      <c r="EJ19" s="102">
        <v>899770</v>
      </c>
      <c r="EK19" s="71"/>
      <c r="EL19" s="102"/>
      <c r="EM19" s="102">
        <v>102059</v>
      </c>
      <c r="EN19" s="102">
        <v>1343398</v>
      </c>
      <c r="EO19" s="102">
        <v>1210493</v>
      </c>
      <c r="EP19" s="73">
        <f t="shared" si="11"/>
        <v>438456</v>
      </c>
      <c r="EQ19" s="102">
        <v>22712682</v>
      </c>
      <c r="ER19" s="71">
        <v>-4914523</v>
      </c>
      <c r="ES19" s="102">
        <v>5688595</v>
      </c>
      <c r="ET19" s="102">
        <v>3202476</v>
      </c>
      <c r="EU19" s="102">
        <v>2500335</v>
      </c>
      <c r="EV19" s="102">
        <v>6843518</v>
      </c>
      <c r="EW19" s="73">
        <f t="shared" si="12"/>
        <v>302562</v>
      </c>
      <c r="EX19" s="102">
        <v>302417</v>
      </c>
      <c r="EY19" s="102">
        <v>16095</v>
      </c>
      <c r="EZ19" s="102">
        <v>286107</v>
      </c>
      <c r="FA19" s="102">
        <v>145</v>
      </c>
      <c r="FB19" s="102">
        <v>0</v>
      </c>
      <c r="FC19" s="102">
        <v>2670868</v>
      </c>
      <c r="FD19" s="102">
        <v>3065759</v>
      </c>
      <c r="FE19" s="102">
        <v>635765</v>
      </c>
      <c r="FF19" s="102">
        <v>4024843</v>
      </c>
      <c r="FG19" s="73">
        <f t="shared" si="13"/>
        <v>2280021</v>
      </c>
      <c r="FH19" s="102">
        <v>27376501</v>
      </c>
      <c r="FI19" s="379">
        <f t="shared" si="14"/>
        <v>1</v>
      </c>
      <c r="FJ19" s="102">
        <v>19389521</v>
      </c>
      <c r="FK19" s="102">
        <v>1941504</v>
      </c>
      <c r="FL19" s="102">
        <v>13647249</v>
      </c>
      <c r="FM19" s="102">
        <v>15224479</v>
      </c>
      <c r="FN19" s="428">
        <v>0.92500000000000004</v>
      </c>
      <c r="FO19" s="424">
        <v>102.3</v>
      </c>
      <c r="FP19" s="425">
        <v>23.3</v>
      </c>
      <c r="FQ19" s="424">
        <v>11</v>
      </c>
      <c r="FR19" s="424">
        <v>30.2</v>
      </c>
      <c r="FS19" s="425">
        <v>10.8</v>
      </c>
      <c r="FT19" s="424">
        <v>9.6</v>
      </c>
      <c r="FU19" s="425">
        <v>17</v>
      </c>
      <c r="FV19" s="384">
        <f t="shared" si="15"/>
        <v>22.8</v>
      </c>
      <c r="FW19" s="102">
        <v>83210427</v>
      </c>
      <c r="FX19" s="384">
        <f t="shared" si="16"/>
        <v>390.1</v>
      </c>
      <c r="FY19" s="102">
        <v>3734782</v>
      </c>
      <c r="FZ19" s="102">
        <v>603614</v>
      </c>
      <c r="GA19" s="102">
        <v>1206397</v>
      </c>
      <c r="GB19" s="102">
        <v>1924771</v>
      </c>
      <c r="GC19" s="102">
        <v>0</v>
      </c>
      <c r="GD19" s="454">
        <v>3957461</v>
      </c>
      <c r="GE19" s="386">
        <f>IF(GD19=0,"-",ROUND(GD19/(FJ19+FK19)*100,1))</f>
        <v>18.600000000000001</v>
      </c>
      <c r="GF19" s="424">
        <v>99.3</v>
      </c>
      <c r="GG19" s="424">
        <v>34.299999999999997</v>
      </c>
      <c r="GH19" s="424">
        <v>97.5</v>
      </c>
      <c r="GI19" s="102">
        <v>683</v>
      </c>
      <c r="GJ19" s="429" t="s">
        <v>646</v>
      </c>
      <c r="GK19" s="429">
        <v>12.37</v>
      </c>
      <c r="GL19" s="87">
        <v>20</v>
      </c>
      <c r="GM19" s="429" t="s">
        <v>646</v>
      </c>
      <c r="GN19" s="430">
        <v>17.37</v>
      </c>
      <c r="GO19" s="430">
        <v>30</v>
      </c>
      <c r="GP19" s="425">
        <v>22.8</v>
      </c>
      <c r="GQ19" s="425">
        <v>25</v>
      </c>
      <c r="GR19" s="425">
        <v>35</v>
      </c>
      <c r="GS19" s="431">
        <v>352</v>
      </c>
      <c r="GT19" s="425">
        <v>350</v>
      </c>
      <c r="GU19" s="394"/>
      <c r="GV19" s="100">
        <f t="shared" si="17"/>
        <v>21331</v>
      </c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</row>
    <row r="20" spans="2:230" x14ac:dyDescent="0.15">
      <c r="B20" s="89" t="s">
        <v>29</v>
      </c>
      <c r="C20" s="102">
        <v>13390207</v>
      </c>
      <c r="D20" s="73">
        <f t="shared" si="0"/>
        <v>6074427</v>
      </c>
      <c r="E20" s="102">
        <v>151095</v>
      </c>
      <c r="F20" s="102">
        <v>5923332</v>
      </c>
      <c r="G20" s="73">
        <f t="shared" si="1"/>
        <v>620742</v>
      </c>
      <c r="H20" s="102">
        <v>191364</v>
      </c>
      <c r="I20" s="102">
        <v>429378</v>
      </c>
      <c r="J20" s="102">
        <v>5010189</v>
      </c>
      <c r="K20" s="102">
        <v>2047814</v>
      </c>
      <c r="L20" s="102">
        <v>2293783</v>
      </c>
      <c r="M20" s="102">
        <v>562191</v>
      </c>
      <c r="N20" s="102">
        <v>555623</v>
      </c>
      <c r="O20" s="102">
        <v>977812</v>
      </c>
      <c r="P20" s="102">
        <v>542941</v>
      </c>
      <c r="Q20" s="102">
        <v>434871</v>
      </c>
      <c r="R20" s="102">
        <v>220662</v>
      </c>
      <c r="S20" s="74"/>
      <c r="T20" s="73">
        <f t="shared" si="2"/>
        <v>1288979</v>
      </c>
      <c r="U20" s="102">
        <v>67944</v>
      </c>
      <c r="V20" s="102">
        <v>52586</v>
      </c>
      <c r="W20" s="102">
        <v>12106</v>
      </c>
      <c r="X20" s="102">
        <v>992467</v>
      </c>
      <c r="Y20" s="102">
        <v>50162</v>
      </c>
      <c r="Z20" s="102">
        <v>0</v>
      </c>
      <c r="AA20" s="102">
        <v>113714</v>
      </c>
      <c r="AB20" s="102">
        <v>71828</v>
      </c>
      <c r="AC20" s="102">
        <v>6753458</v>
      </c>
      <c r="AD20" s="102">
        <v>6508045</v>
      </c>
      <c r="AE20" s="102">
        <v>245406</v>
      </c>
      <c r="AF20" s="102">
        <v>21756</v>
      </c>
      <c r="AG20" s="102">
        <v>579884</v>
      </c>
      <c r="AH20" s="73">
        <f t="shared" si="3"/>
        <v>904717</v>
      </c>
      <c r="AI20" s="102">
        <v>639591</v>
      </c>
      <c r="AJ20" s="102">
        <v>265126</v>
      </c>
      <c r="AK20" s="102">
        <v>6651198</v>
      </c>
      <c r="AL20" s="73">
        <f t="shared" si="4"/>
        <v>4352382</v>
      </c>
      <c r="AM20" s="102">
        <v>3339831</v>
      </c>
      <c r="AN20" s="102">
        <v>315998</v>
      </c>
      <c r="AO20" s="74"/>
      <c r="AP20" s="102">
        <v>696553</v>
      </c>
      <c r="AQ20" s="102">
        <v>300363</v>
      </c>
      <c r="AR20" s="102">
        <v>19771</v>
      </c>
      <c r="AS20" s="102">
        <v>0</v>
      </c>
      <c r="AT20" s="102">
        <v>2423173</v>
      </c>
      <c r="AU20" s="102">
        <v>1311082</v>
      </c>
      <c r="AV20" s="102">
        <v>193610</v>
      </c>
      <c r="AW20" s="102">
        <v>143456</v>
      </c>
      <c r="AX20" s="102">
        <v>1112091</v>
      </c>
      <c r="AY20" s="102">
        <v>6997</v>
      </c>
      <c r="AZ20" s="102">
        <v>18795</v>
      </c>
      <c r="BA20" s="102">
        <v>1322</v>
      </c>
      <c r="BB20" s="102">
        <v>13264</v>
      </c>
      <c r="BC20" s="102">
        <v>96996</v>
      </c>
      <c r="BD20" s="102">
        <v>0</v>
      </c>
      <c r="BE20" s="102">
        <v>0</v>
      </c>
      <c r="BF20" s="102">
        <v>96996</v>
      </c>
      <c r="BG20" s="102">
        <v>0</v>
      </c>
      <c r="BH20" s="102">
        <v>648216</v>
      </c>
      <c r="BI20" s="102">
        <v>548848</v>
      </c>
      <c r="BJ20" s="102">
        <v>1774232</v>
      </c>
      <c r="BK20" s="102">
        <v>1468275</v>
      </c>
      <c r="BL20" s="102">
        <v>0</v>
      </c>
      <c r="BM20" s="102">
        <v>35139</v>
      </c>
      <c r="BN20" s="102">
        <v>2468100</v>
      </c>
      <c r="BO20" s="73">
        <f t="shared" si="5"/>
        <v>968100</v>
      </c>
      <c r="BP20" s="73">
        <f t="shared" si="6"/>
        <v>1500000</v>
      </c>
      <c r="BQ20" s="102">
        <v>0</v>
      </c>
      <c r="BR20" s="102">
        <v>0</v>
      </c>
      <c r="BS20" s="102">
        <v>1500000</v>
      </c>
      <c r="BT20" s="102">
        <v>0</v>
      </c>
      <c r="BU20" s="102">
        <v>37325465</v>
      </c>
      <c r="BV20" s="71"/>
      <c r="BW20" s="102">
        <v>7387321</v>
      </c>
      <c r="BX20" s="102">
        <v>4662172</v>
      </c>
      <c r="BY20" s="102">
        <v>884570</v>
      </c>
      <c r="BZ20" s="102">
        <v>547320</v>
      </c>
      <c r="CA20" s="102">
        <v>10862492</v>
      </c>
      <c r="CB20" s="102">
        <v>1973198</v>
      </c>
      <c r="CC20" s="102">
        <v>211928</v>
      </c>
      <c r="CD20" s="102">
        <v>4074292</v>
      </c>
      <c r="CE20" s="102">
        <v>4451717</v>
      </c>
      <c r="CF20" s="102">
        <v>3910</v>
      </c>
      <c r="CG20" s="102">
        <v>147447</v>
      </c>
      <c r="CH20" s="102">
        <v>2148523</v>
      </c>
      <c r="CI20" s="102">
        <v>1781177</v>
      </c>
      <c r="CJ20" s="83">
        <f t="shared" si="18"/>
        <v>367346</v>
      </c>
      <c r="CK20" s="102">
        <v>4467019</v>
      </c>
      <c r="CL20" s="102">
        <v>3079730</v>
      </c>
      <c r="CM20" s="102">
        <v>374820</v>
      </c>
      <c r="CN20" s="102">
        <v>567985</v>
      </c>
      <c r="CO20" s="102">
        <v>298046</v>
      </c>
      <c r="CP20" s="102">
        <v>2534300</v>
      </c>
      <c r="CQ20" s="102">
        <v>1152914</v>
      </c>
      <c r="CR20" s="102">
        <v>989499</v>
      </c>
      <c r="CS20" s="102">
        <v>721056</v>
      </c>
      <c r="CT20" s="73">
        <f t="shared" si="7"/>
        <v>2951</v>
      </c>
      <c r="CU20" s="102">
        <v>1003</v>
      </c>
      <c r="CV20" s="102">
        <v>1948</v>
      </c>
      <c r="CW20" s="73">
        <f t="shared" si="8"/>
        <v>0</v>
      </c>
      <c r="CX20" s="102">
        <v>0</v>
      </c>
      <c r="CY20" s="102">
        <v>0</v>
      </c>
      <c r="CZ20" s="73">
        <f t="shared" si="9"/>
        <v>0</v>
      </c>
      <c r="DA20" s="102">
        <v>0</v>
      </c>
      <c r="DB20" s="102">
        <v>0</v>
      </c>
      <c r="DC20" s="102">
        <v>2404524</v>
      </c>
      <c r="DD20" s="102">
        <v>846443</v>
      </c>
      <c r="DE20" s="102">
        <v>1558081</v>
      </c>
      <c r="DF20" s="77">
        <v>0</v>
      </c>
      <c r="DG20" s="78">
        <v>0</v>
      </c>
      <c r="DH20" s="102">
        <v>74935</v>
      </c>
      <c r="DI20" s="102">
        <v>384314</v>
      </c>
      <c r="DJ20" s="102">
        <v>3712</v>
      </c>
      <c r="DK20" s="102">
        <v>0</v>
      </c>
      <c r="DL20" s="102">
        <v>380602</v>
      </c>
      <c r="DM20" s="102">
        <v>0</v>
      </c>
      <c r="DN20" s="102">
        <v>0</v>
      </c>
      <c r="DO20" s="102">
        <v>0</v>
      </c>
      <c r="DP20" s="102">
        <v>0</v>
      </c>
      <c r="DQ20" s="102">
        <v>1465425</v>
      </c>
      <c r="DR20" s="102">
        <v>0</v>
      </c>
      <c r="DS20" s="102">
        <v>0</v>
      </c>
      <c r="DT20" s="102">
        <v>4728975</v>
      </c>
      <c r="DU20" s="102">
        <v>1313410</v>
      </c>
      <c r="DV20" s="73">
        <f t="shared" si="10"/>
        <v>0</v>
      </c>
      <c r="DW20" s="102">
        <v>0</v>
      </c>
      <c r="DX20" s="102">
        <v>1246940</v>
      </c>
      <c r="DY20" s="102">
        <v>0</v>
      </c>
      <c r="DZ20" s="102">
        <v>1004733</v>
      </c>
      <c r="EA20" s="74">
        <v>0</v>
      </c>
      <c r="EB20" s="102">
        <v>1160383</v>
      </c>
      <c r="EC20" s="102">
        <v>0</v>
      </c>
      <c r="ED20" s="102">
        <v>36755874</v>
      </c>
      <c r="EE20" s="71"/>
      <c r="EF20" s="102">
        <v>569591</v>
      </c>
      <c r="EG20" s="102">
        <v>50927</v>
      </c>
      <c r="EH20" s="102">
        <v>518664</v>
      </c>
      <c r="EI20" s="102">
        <v>-30184</v>
      </c>
      <c r="EJ20" s="102">
        <v>-26472</v>
      </c>
      <c r="EK20" s="71"/>
      <c r="EL20" s="102"/>
      <c r="EM20" s="102">
        <v>117521</v>
      </c>
      <c r="EN20" s="102">
        <v>12187</v>
      </c>
      <c r="EO20" s="102">
        <v>7873</v>
      </c>
      <c r="EP20" s="73">
        <f t="shared" si="11"/>
        <v>936271</v>
      </c>
      <c r="EQ20" s="102">
        <v>21746890</v>
      </c>
      <c r="ER20" s="71">
        <v>-2434575</v>
      </c>
      <c r="ES20" s="102">
        <v>6623148</v>
      </c>
      <c r="ET20" s="102">
        <v>3987428</v>
      </c>
      <c r="EU20" s="102">
        <v>3352259</v>
      </c>
      <c r="EV20" s="102">
        <v>2100952</v>
      </c>
      <c r="EW20" s="73">
        <f t="shared" si="12"/>
        <v>927763</v>
      </c>
      <c r="EX20" s="102">
        <v>891499</v>
      </c>
      <c r="EY20" s="102">
        <v>55203</v>
      </c>
      <c r="EZ20" s="102">
        <v>836296</v>
      </c>
      <c r="FA20" s="102">
        <v>36264</v>
      </c>
      <c r="FB20" s="102">
        <v>0</v>
      </c>
      <c r="FC20" s="102">
        <v>3621652</v>
      </c>
      <c r="FD20" s="102">
        <v>2282373</v>
      </c>
      <c r="FE20" s="102">
        <v>1152914</v>
      </c>
      <c r="FF20" s="102">
        <v>4126833</v>
      </c>
      <c r="FG20" s="73">
        <f t="shared" si="13"/>
        <v>576894</v>
      </c>
      <c r="FH20" s="102">
        <v>23611874</v>
      </c>
      <c r="FI20" s="379">
        <f t="shared" si="14"/>
        <v>2.2999999999999998</v>
      </c>
      <c r="FJ20" s="102">
        <v>20372994</v>
      </c>
      <c r="FK20" s="102">
        <v>2015954</v>
      </c>
      <c r="FL20" s="102">
        <v>10686061</v>
      </c>
      <c r="FM20" s="102">
        <v>17194106</v>
      </c>
      <c r="FN20" s="428">
        <v>0.628</v>
      </c>
      <c r="FO20" s="424">
        <v>95.7</v>
      </c>
      <c r="FP20" s="425">
        <v>28.9</v>
      </c>
      <c r="FQ20" s="424">
        <v>15.1</v>
      </c>
      <c r="FR20" s="424">
        <v>9.5</v>
      </c>
      <c r="FS20" s="425">
        <v>16.100000000000001</v>
      </c>
      <c r="FT20" s="424">
        <v>9.6</v>
      </c>
      <c r="FU20" s="425">
        <v>15.1</v>
      </c>
      <c r="FV20" s="384">
        <f t="shared" si="15"/>
        <v>1</v>
      </c>
      <c r="FW20" s="102">
        <v>25301399</v>
      </c>
      <c r="FX20" s="384">
        <f t="shared" si="16"/>
        <v>113</v>
      </c>
      <c r="FY20" s="102">
        <v>9022400</v>
      </c>
      <c r="FZ20" s="102">
        <v>3754750</v>
      </c>
      <c r="GA20" s="102">
        <v>0</v>
      </c>
      <c r="GB20" s="102">
        <v>5267650</v>
      </c>
      <c r="GC20" s="102">
        <v>0</v>
      </c>
      <c r="GD20" s="454">
        <v>718291</v>
      </c>
      <c r="GE20" s="386">
        <f>IF(GD20=0,"-",ROUND(GD20/(FJ20+FK20)*100,1))</f>
        <v>3.2</v>
      </c>
      <c r="GF20" s="424">
        <v>98.1</v>
      </c>
      <c r="GG20" s="424">
        <v>25.8</v>
      </c>
      <c r="GH20" s="424">
        <v>93</v>
      </c>
      <c r="GI20" s="102">
        <v>797</v>
      </c>
      <c r="GJ20" s="429" t="s">
        <v>646</v>
      </c>
      <c r="GK20" s="429">
        <v>12.28</v>
      </c>
      <c r="GL20" s="87">
        <v>20</v>
      </c>
      <c r="GM20" s="429" t="s">
        <v>646</v>
      </c>
      <c r="GN20" s="430">
        <v>17.28</v>
      </c>
      <c r="GO20" s="430">
        <v>30</v>
      </c>
      <c r="GP20" s="425">
        <v>1</v>
      </c>
      <c r="GQ20" s="425">
        <v>25</v>
      </c>
      <c r="GR20" s="425">
        <v>35</v>
      </c>
      <c r="GS20" s="431" t="s">
        <v>646</v>
      </c>
      <c r="GT20" s="425">
        <v>350</v>
      </c>
      <c r="GU20" s="394"/>
      <c r="GV20" s="100">
        <f t="shared" si="17"/>
        <v>22389</v>
      </c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</row>
    <row r="21" spans="2:230" x14ac:dyDescent="0.15">
      <c r="B21" s="89" t="s">
        <v>31</v>
      </c>
      <c r="C21" s="102">
        <v>27938969</v>
      </c>
      <c r="D21" s="73">
        <f t="shared" si="0"/>
        <v>10992780</v>
      </c>
      <c r="E21" s="102">
        <v>304190</v>
      </c>
      <c r="F21" s="102">
        <v>10688590</v>
      </c>
      <c r="G21" s="73">
        <f t="shared" si="1"/>
        <v>1851719</v>
      </c>
      <c r="H21" s="102">
        <v>529089</v>
      </c>
      <c r="I21" s="102">
        <v>1322630</v>
      </c>
      <c r="J21" s="102">
        <v>10894549</v>
      </c>
      <c r="K21" s="102">
        <v>4782532</v>
      </c>
      <c r="L21" s="102">
        <v>4809328</v>
      </c>
      <c r="M21" s="102">
        <v>1019570</v>
      </c>
      <c r="N21" s="102">
        <v>1548788</v>
      </c>
      <c r="O21" s="102">
        <v>2449418</v>
      </c>
      <c r="P21" s="102">
        <v>1396933</v>
      </c>
      <c r="Q21" s="102">
        <v>1052485</v>
      </c>
      <c r="R21" s="102">
        <v>360983</v>
      </c>
      <c r="S21" s="74"/>
      <c r="T21" s="73">
        <f t="shared" si="2"/>
        <v>2399345</v>
      </c>
      <c r="U21" s="102">
        <v>122261</v>
      </c>
      <c r="V21" s="102">
        <v>94540</v>
      </c>
      <c r="W21" s="102">
        <v>21720</v>
      </c>
      <c r="X21" s="102">
        <v>1974863</v>
      </c>
      <c r="Y21" s="102">
        <v>0</v>
      </c>
      <c r="Z21" s="102">
        <v>0</v>
      </c>
      <c r="AA21" s="102">
        <v>185961</v>
      </c>
      <c r="AB21" s="102">
        <v>201761</v>
      </c>
      <c r="AC21" s="102">
        <v>12434430</v>
      </c>
      <c r="AD21" s="102">
        <v>11837686</v>
      </c>
      <c r="AE21" s="102">
        <v>596733</v>
      </c>
      <c r="AF21" s="102">
        <v>35829</v>
      </c>
      <c r="AG21" s="102">
        <v>820693</v>
      </c>
      <c r="AH21" s="73">
        <f t="shared" si="3"/>
        <v>947148</v>
      </c>
      <c r="AI21" s="102">
        <v>666673</v>
      </c>
      <c r="AJ21" s="102">
        <v>280475</v>
      </c>
      <c r="AK21" s="102">
        <v>17835357</v>
      </c>
      <c r="AL21" s="73">
        <f t="shared" si="4"/>
        <v>12298105</v>
      </c>
      <c r="AM21" s="102">
        <v>9393673</v>
      </c>
      <c r="AN21" s="102">
        <v>1041719</v>
      </c>
      <c r="AO21" s="74"/>
      <c r="AP21" s="102">
        <v>1862713</v>
      </c>
      <c r="AQ21" s="102">
        <v>826150</v>
      </c>
      <c r="AR21" s="102">
        <v>0</v>
      </c>
      <c r="AS21" s="102">
        <v>0</v>
      </c>
      <c r="AT21" s="102">
        <v>5653756</v>
      </c>
      <c r="AU21" s="102">
        <v>3320620</v>
      </c>
      <c r="AV21" s="102">
        <v>520859</v>
      </c>
      <c r="AW21" s="102">
        <v>396179</v>
      </c>
      <c r="AX21" s="102">
        <v>2333136</v>
      </c>
      <c r="AY21" s="102">
        <v>76100</v>
      </c>
      <c r="AZ21" s="102">
        <v>182625</v>
      </c>
      <c r="BA21" s="102">
        <v>169226</v>
      </c>
      <c r="BB21" s="102">
        <v>122639</v>
      </c>
      <c r="BC21" s="102">
        <v>217110</v>
      </c>
      <c r="BD21" s="102">
        <v>0</v>
      </c>
      <c r="BE21" s="102">
        <v>120008</v>
      </c>
      <c r="BF21" s="102">
        <v>97101</v>
      </c>
      <c r="BG21" s="102">
        <v>0</v>
      </c>
      <c r="BH21" s="102">
        <v>939023</v>
      </c>
      <c r="BI21" s="102">
        <v>513943</v>
      </c>
      <c r="BJ21" s="102">
        <v>847117</v>
      </c>
      <c r="BK21" s="102">
        <v>68989</v>
      </c>
      <c r="BL21" s="102">
        <v>0</v>
      </c>
      <c r="BM21" s="102">
        <v>38788</v>
      </c>
      <c r="BN21" s="102">
        <v>8688200</v>
      </c>
      <c r="BO21" s="73">
        <f t="shared" si="5"/>
        <v>4710400</v>
      </c>
      <c r="BP21" s="73">
        <f t="shared" si="6"/>
        <v>3977800</v>
      </c>
      <c r="BQ21" s="102">
        <v>0</v>
      </c>
      <c r="BR21" s="102">
        <v>0</v>
      </c>
      <c r="BS21" s="102">
        <v>3977800</v>
      </c>
      <c r="BT21" s="102">
        <v>0</v>
      </c>
      <c r="BU21" s="102">
        <v>79624985</v>
      </c>
      <c r="BV21" s="71"/>
      <c r="BW21" s="102">
        <v>11651482</v>
      </c>
      <c r="BX21" s="102">
        <v>7647850</v>
      </c>
      <c r="BY21" s="102">
        <v>1681882</v>
      </c>
      <c r="BZ21" s="102">
        <v>286948</v>
      </c>
      <c r="CA21" s="102">
        <v>26752729</v>
      </c>
      <c r="CB21" s="102">
        <v>4551210</v>
      </c>
      <c r="CC21" s="102">
        <v>371256</v>
      </c>
      <c r="CD21" s="102">
        <v>9387852</v>
      </c>
      <c r="CE21" s="102">
        <v>11999111</v>
      </c>
      <c r="CF21" s="102">
        <v>43638</v>
      </c>
      <c r="CG21" s="102">
        <v>323769</v>
      </c>
      <c r="CH21" s="102">
        <v>7960512</v>
      </c>
      <c r="CI21" s="102">
        <v>6923363</v>
      </c>
      <c r="CJ21" s="83">
        <f t="shared" si="18"/>
        <v>1037149</v>
      </c>
      <c r="CK21" s="102">
        <v>7143245</v>
      </c>
      <c r="CL21" s="102">
        <v>3684764</v>
      </c>
      <c r="CM21" s="102">
        <v>768162</v>
      </c>
      <c r="CN21" s="102">
        <v>1616585</v>
      </c>
      <c r="CO21" s="102">
        <v>310450</v>
      </c>
      <c r="CP21" s="102">
        <v>7648228</v>
      </c>
      <c r="CQ21" s="102">
        <v>2899721</v>
      </c>
      <c r="CR21" s="102">
        <v>1329040</v>
      </c>
      <c r="CS21" s="102">
        <v>1082556</v>
      </c>
      <c r="CT21" s="73">
        <f t="shared" si="7"/>
        <v>11851</v>
      </c>
      <c r="CU21" s="102">
        <v>11851</v>
      </c>
      <c r="CV21" s="102">
        <v>0</v>
      </c>
      <c r="CW21" s="73">
        <f t="shared" si="8"/>
        <v>0</v>
      </c>
      <c r="CX21" s="102">
        <v>0</v>
      </c>
      <c r="CY21" s="102">
        <v>0</v>
      </c>
      <c r="CZ21" s="73">
        <f t="shared" si="9"/>
        <v>0</v>
      </c>
      <c r="DA21" s="102">
        <v>0</v>
      </c>
      <c r="DB21" s="102">
        <v>0</v>
      </c>
      <c r="DC21" s="102">
        <v>5779298</v>
      </c>
      <c r="DD21" s="102">
        <v>3022427</v>
      </c>
      <c r="DE21" s="102">
        <v>2755842</v>
      </c>
      <c r="DF21" s="77">
        <v>0</v>
      </c>
      <c r="DG21" s="78">
        <v>1029</v>
      </c>
      <c r="DH21" s="102">
        <v>0</v>
      </c>
      <c r="DI21" s="102">
        <v>2349935</v>
      </c>
      <c r="DJ21" s="102">
        <v>764140</v>
      </c>
      <c r="DK21" s="102">
        <v>1049389</v>
      </c>
      <c r="DL21" s="102">
        <v>536406</v>
      </c>
      <c r="DM21" s="102">
        <v>0</v>
      </c>
      <c r="DN21" s="102">
        <v>0</v>
      </c>
      <c r="DO21" s="102">
        <v>0</v>
      </c>
      <c r="DP21" s="102">
        <v>0</v>
      </c>
      <c r="DQ21" s="102">
        <v>19260</v>
      </c>
      <c r="DR21" s="102">
        <v>0</v>
      </c>
      <c r="DS21" s="102">
        <v>0</v>
      </c>
      <c r="DT21" s="102">
        <v>9236346</v>
      </c>
      <c r="DU21" s="102">
        <v>1780337</v>
      </c>
      <c r="DV21" s="73">
        <f t="shared" si="10"/>
        <v>0</v>
      </c>
      <c r="DW21" s="102">
        <v>0</v>
      </c>
      <c r="DX21" s="102">
        <v>2215349</v>
      </c>
      <c r="DY21" s="102">
        <v>0</v>
      </c>
      <c r="DZ21" s="102">
        <v>3125399</v>
      </c>
      <c r="EA21" s="74">
        <v>0</v>
      </c>
      <c r="EB21" s="102">
        <v>2115261</v>
      </c>
      <c r="EC21" s="102">
        <v>0</v>
      </c>
      <c r="ED21" s="102">
        <v>78851485</v>
      </c>
      <c r="EE21" s="71"/>
      <c r="EF21" s="102">
        <v>773500</v>
      </c>
      <c r="EG21" s="102">
        <v>77442</v>
      </c>
      <c r="EH21" s="102">
        <v>696058</v>
      </c>
      <c r="EI21" s="102">
        <v>182115</v>
      </c>
      <c r="EJ21" s="102">
        <v>1522549</v>
      </c>
      <c r="EK21" s="71"/>
      <c r="EL21" s="102"/>
      <c r="EM21" s="102">
        <v>242087</v>
      </c>
      <c r="EN21" s="102">
        <v>120009</v>
      </c>
      <c r="EO21" s="102">
        <v>170580</v>
      </c>
      <c r="EP21" s="73">
        <f t="shared" si="11"/>
        <v>1380436</v>
      </c>
      <c r="EQ21" s="102">
        <v>43371317</v>
      </c>
      <c r="ER21" s="71">
        <v>-5612996</v>
      </c>
      <c r="ES21" s="102">
        <v>10531044</v>
      </c>
      <c r="ET21" s="102">
        <v>6618074</v>
      </c>
      <c r="EU21" s="102">
        <v>7211686</v>
      </c>
      <c r="EV21" s="102">
        <v>7937100</v>
      </c>
      <c r="EW21" s="73">
        <f t="shared" si="12"/>
        <v>1503429</v>
      </c>
      <c r="EX21" s="102">
        <v>1503429</v>
      </c>
      <c r="EY21" s="102">
        <v>261475</v>
      </c>
      <c r="EZ21" s="102">
        <v>1241954</v>
      </c>
      <c r="FA21" s="102">
        <v>0</v>
      </c>
      <c r="FB21" s="102">
        <v>0</v>
      </c>
      <c r="FC21" s="102">
        <v>5598114</v>
      </c>
      <c r="FD21" s="102">
        <v>4892086</v>
      </c>
      <c r="FE21" s="102">
        <v>2892016</v>
      </c>
      <c r="FF21" s="102">
        <v>8024238</v>
      </c>
      <c r="FG21" s="73">
        <f t="shared" si="13"/>
        <v>2513116</v>
      </c>
      <c r="FH21" s="102">
        <v>48210813</v>
      </c>
      <c r="FI21" s="379">
        <f t="shared" si="14"/>
        <v>1.6</v>
      </c>
      <c r="FJ21" s="102">
        <v>39648579</v>
      </c>
      <c r="FK21" s="102">
        <v>3977835</v>
      </c>
      <c r="FL21" s="102">
        <v>21535291</v>
      </c>
      <c r="FM21" s="102">
        <v>33337431</v>
      </c>
      <c r="FN21" s="428">
        <v>0.65700000000000003</v>
      </c>
      <c r="FO21" s="424">
        <v>90.9</v>
      </c>
      <c r="FP21" s="425">
        <v>22.1</v>
      </c>
      <c r="FQ21" s="424">
        <v>16</v>
      </c>
      <c r="FR21" s="424">
        <v>16.5</v>
      </c>
      <c r="FS21" s="425">
        <v>11.3</v>
      </c>
      <c r="FT21" s="424">
        <v>9.5</v>
      </c>
      <c r="FU21" s="425">
        <v>14.8</v>
      </c>
      <c r="FV21" s="384">
        <f t="shared" si="15"/>
        <v>4</v>
      </c>
      <c r="FW21" s="102">
        <v>68152567</v>
      </c>
      <c r="FX21" s="384">
        <f t="shared" si="16"/>
        <v>156.19999999999999</v>
      </c>
      <c r="FY21" s="102">
        <v>9288733</v>
      </c>
      <c r="FZ21" s="102">
        <v>2554032</v>
      </c>
      <c r="GA21" s="102">
        <v>1052646</v>
      </c>
      <c r="GB21" s="102">
        <v>5682055</v>
      </c>
      <c r="GC21" s="102">
        <v>0</v>
      </c>
      <c r="GD21" s="454"/>
      <c r="GE21" s="386"/>
      <c r="GF21" s="424">
        <v>97.7</v>
      </c>
      <c r="GG21" s="424">
        <v>20.7</v>
      </c>
      <c r="GH21" s="424">
        <v>90</v>
      </c>
      <c r="GI21" s="102">
        <v>1139</v>
      </c>
      <c r="GJ21" s="429" t="s">
        <v>646</v>
      </c>
      <c r="GK21" s="429">
        <v>11.37</v>
      </c>
      <c r="GL21" s="87">
        <v>20</v>
      </c>
      <c r="GM21" s="429" t="s">
        <v>646</v>
      </c>
      <c r="GN21" s="430">
        <v>16.37</v>
      </c>
      <c r="GO21" s="430">
        <v>30</v>
      </c>
      <c r="GP21" s="425">
        <v>4</v>
      </c>
      <c r="GQ21" s="425">
        <v>25</v>
      </c>
      <c r="GR21" s="425">
        <v>35</v>
      </c>
      <c r="GS21" s="431" t="s">
        <v>646</v>
      </c>
      <c r="GT21" s="425">
        <v>350</v>
      </c>
      <c r="GU21" s="394"/>
      <c r="GV21" s="100">
        <f t="shared" si="17"/>
        <v>43626</v>
      </c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</row>
    <row r="22" spans="2:230" x14ac:dyDescent="0.15">
      <c r="B22" s="89" t="s">
        <v>33</v>
      </c>
      <c r="C22" s="102">
        <v>12619738</v>
      </c>
      <c r="D22" s="73">
        <f t="shared" si="0"/>
        <v>5971524</v>
      </c>
      <c r="E22" s="102">
        <v>150628</v>
      </c>
      <c r="F22" s="102">
        <v>5820896</v>
      </c>
      <c r="G22" s="73">
        <f t="shared" si="1"/>
        <v>578438</v>
      </c>
      <c r="H22" s="102">
        <v>192919</v>
      </c>
      <c r="I22" s="102">
        <v>385519</v>
      </c>
      <c r="J22" s="102">
        <v>4523552</v>
      </c>
      <c r="K22" s="102">
        <v>1726829</v>
      </c>
      <c r="L22" s="102">
        <v>2110247</v>
      </c>
      <c r="M22" s="102">
        <v>615097</v>
      </c>
      <c r="N22" s="102">
        <v>482160</v>
      </c>
      <c r="O22" s="102">
        <v>928113</v>
      </c>
      <c r="P22" s="102">
        <v>498399</v>
      </c>
      <c r="Q22" s="102">
        <v>429714</v>
      </c>
      <c r="R22" s="102">
        <v>240697</v>
      </c>
      <c r="S22" s="74"/>
      <c r="T22" s="73">
        <f t="shared" si="2"/>
        <v>1123023</v>
      </c>
      <c r="U22" s="102">
        <v>69390</v>
      </c>
      <c r="V22" s="102">
        <v>53618</v>
      </c>
      <c r="W22" s="102">
        <v>12297</v>
      </c>
      <c r="X22" s="102">
        <v>841651</v>
      </c>
      <c r="Y22" s="102">
        <v>21963</v>
      </c>
      <c r="Z22" s="102">
        <v>0</v>
      </c>
      <c r="AA22" s="102">
        <v>124104</v>
      </c>
      <c r="AB22" s="102">
        <v>67766</v>
      </c>
      <c r="AC22" s="102">
        <v>6286135</v>
      </c>
      <c r="AD22" s="102">
        <v>6039856</v>
      </c>
      <c r="AE22" s="102">
        <v>246265</v>
      </c>
      <c r="AF22" s="102">
        <v>18548</v>
      </c>
      <c r="AG22" s="102">
        <v>308933</v>
      </c>
      <c r="AH22" s="73">
        <f t="shared" si="3"/>
        <v>730129</v>
      </c>
      <c r="AI22" s="102">
        <v>421032</v>
      </c>
      <c r="AJ22" s="102">
        <v>309097</v>
      </c>
      <c r="AK22" s="102">
        <v>5303800</v>
      </c>
      <c r="AL22" s="73">
        <f t="shared" si="4"/>
        <v>3271864</v>
      </c>
      <c r="AM22" s="102">
        <v>2149396</v>
      </c>
      <c r="AN22" s="102">
        <v>371965</v>
      </c>
      <c r="AO22" s="74"/>
      <c r="AP22" s="102">
        <v>750503</v>
      </c>
      <c r="AQ22" s="102">
        <v>128811</v>
      </c>
      <c r="AR22" s="102">
        <v>896</v>
      </c>
      <c r="AS22" s="102">
        <v>0</v>
      </c>
      <c r="AT22" s="102">
        <v>2217915</v>
      </c>
      <c r="AU22" s="102">
        <v>1193276</v>
      </c>
      <c r="AV22" s="102">
        <v>185982</v>
      </c>
      <c r="AW22" s="102">
        <v>20914</v>
      </c>
      <c r="AX22" s="102">
        <v>1024639</v>
      </c>
      <c r="AY22" s="102">
        <v>7514</v>
      </c>
      <c r="AZ22" s="102">
        <v>113258</v>
      </c>
      <c r="BA22" s="102">
        <v>18616</v>
      </c>
      <c r="BB22" s="102">
        <v>3440</v>
      </c>
      <c r="BC22" s="102">
        <v>329020</v>
      </c>
      <c r="BD22" s="102">
        <v>178897</v>
      </c>
      <c r="BE22" s="102">
        <v>6187</v>
      </c>
      <c r="BF22" s="102">
        <v>123380</v>
      </c>
      <c r="BG22" s="102">
        <v>0</v>
      </c>
      <c r="BH22" s="102">
        <v>122216</v>
      </c>
      <c r="BI22" s="102">
        <v>21072</v>
      </c>
      <c r="BJ22" s="102">
        <v>368897</v>
      </c>
      <c r="BK22" s="102">
        <v>17799</v>
      </c>
      <c r="BL22" s="102">
        <v>0</v>
      </c>
      <c r="BM22" s="102">
        <v>0</v>
      </c>
      <c r="BN22" s="102">
        <v>2899500</v>
      </c>
      <c r="BO22" s="73">
        <f t="shared" si="5"/>
        <v>949000</v>
      </c>
      <c r="BP22" s="73">
        <f t="shared" si="6"/>
        <v>1950500</v>
      </c>
      <c r="BQ22" s="102">
        <v>0</v>
      </c>
      <c r="BR22" s="102">
        <v>0</v>
      </c>
      <c r="BS22" s="102">
        <v>1950500</v>
      </c>
      <c r="BT22" s="102">
        <v>0</v>
      </c>
      <c r="BU22" s="102">
        <v>32753015</v>
      </c>
      <c r="BV22" s="71"/>
      <c r="BW22" s="102">
        <v>6525413</v>
      </c>
      <c r="BX22" s="102">
        <v>3715008</v>
      </c>
      <c r="BY22" s="102">
        <v>708075</v>
      </c>
      <c r="BZ22" s="102">
        <v>920039</v>
      </c>
      <c r="CA22" s="102">
        <v>8447709</v>
      </c>
      <c r="CB22" s="102">
        <v>2078492</v>
      </c>
      <c r="CC22" s="102">
        <v>200966</v>
      </c>
      <c r="CD22" s="102">
        <v>3358049</v>
      </c>
      <c r="CE22" s="102">
        <v>2742635</v>
      </c>
      <c r="CF22" s="102">
        <v>4676</v>
      </c>
      <c r="CG22" s="102">
        <v>62891</v>
      </c>
      <c r="CH22" s="102">
        <v>3449891</v>
      </c>
      <c r="CI22" s="102">
        <v>2958223</v>
      </c>
      <c r="CJ22" s="83">
        <f t="shared" si="18"/>
        <v>491668</v>
      </c>
      <c r="CK22" s="102">
        <v>4806386</v>
      </c>
      <c r="CL22" s="102">
        <v>3361278</v>
      </c>
      <c r="CM22" s="102">
        <v>177767</v>
      </c>
      <c r="CN22" s="102">
        <v>666278</v>
      </c>
      <c r="CO22" s="102">
        <v>349232</v>
      </c>
      <c r="CP22" s="102">
        <v>2317945</v>
      </c>
      <c r="CQ22" s="102">
        <v>744759</v>
      </c>
      <c r="CR22" s="102">
        <v>853877</v>
      </c>
      <c r="CS22" s="102">
        <v>631805</v>
      </c>
      <c r="CT22" s="73">
        <f t="shared" si="7"/>
        <v>119688</v>
      </c>
      <c r="CU22" s="102">
        <v>5970</v>
      </c>
      <c r="CV22" s="102">
        <v>113718</v>
      </c>
      <c r="CW22" s="73">
        <f t="shared" si="8"/>
        <v>0</v>
      </c>
      <c r="CX22" s="102">
        <v>0</v>
      </c>
      <c r="CY22" s="102">
        <v>0</v>
      </c>
      <c r="CZ22" s="73">
        <f t="shared" si="9"/>
        <v>0</v>
      </c>
      <c r="DA22" s="102">
        <v>0</v>
      </c>
      <c r="DB22" s="102">
        <v>0</v>
      </c>
      <c r="DC22" s="102">
        <v>2116113</v>
      </c>
      <c r="DD22" s="102">
        <v>993834</v>
      </c>
      <c r="DE22" s="102">
        <v>1003638</v>
      </c>
      <c r="DF22" s="77">
        <v>118641</v>
      </c>
      <c r="DG22" s="78">
        <v>0</v>
      </c>
      <c r="DH22" s="102">
        <v>31645</v>
      </c>
      <c r="DI22" s="102">
        <v>262812</v>
      </c>
      <c r="DJ22" s="102">
        <v>42164</v>
      </c>
      <c r="DK22" s="102">
        <v>1745</v>
      </c>
      <c r="DL22" s="102">
        <v>218903</v>
      </c>
      <c r="DM22" s="102">
        <v>0</v>
      </c>
      <c r="DN22" s="102">
        <v>0</v>
      </c>
      <c r="DO22" s="102">
        <v>0</v>
      </c>
      <c r="DP22" s="102">
        <v>0</v>
      </c>
      <c r="DQ22" s="102">
        <v>17795</v>
      </c>
      <c r="DR22" s="102">
        <v>0</v>
      </c>
      <c r="DS22" s="102">
        <v>0</v>
      </c>
      <c r="DT22" s="102">
        <v>4321768</v>
      </c>
      <c r="DU22" s="102">
        <v>1049459</v>
      </c>
      <c r="DV22" s="73">
        <f t="shared" si="10"/>
        <v>0</v>
      </c>
      <c r="DW22" s="102">
        <v>0</v>
      </c>
      <c r="DX22" s="102">
        <v>1297296</v>
      </c>
      <c r="DY22" s="102">
        <v>0</v>
      </c>
      <c r="DZ22" s="102">
        <v>731726</v>
      </c>
      <c r="EA22" s="74">
        <v>0</v>
      </c>
      <c r="EB22" s="102">
        <v>1243287</v>
      </c>
      <c r="EC22" s="102">
        <v>0</v>
      </c>
      <c r="ED22" s="102">
        <v>32646709</v>
      </c>
      <c r="EE22" s="71"/>
      <c r="EF22" s="102">
        <v>106306</v>
      </c>
      <c r="EG22" s="102">
        <v>94337</v>
      </c>
      <c r="EH22" s="102">
        <v>11969</v>
      </c>
      <c r="EI22" s="102">
        <v>-9103</v>
      </c>
      <c r="EJ22" s="102">
        <v>-142500</v>
      </c>
      <c r="EK22" s="71"/>
      <c r="EL22" s="102"/>
      <c r="EM22" s="102">
        <v>112884</v>
      </c>
      <c r="EN22" s="102">
        <v>185084</v>
      </c>
      <c r="EO22" s="102">
        <v>61010</v>
      </c>
      <c r="EP22" s="73">
        <f t="shared" si="11"/>
        <v>333016</v>
      </c>
      <c r="EQ22" s="102">
        <v>20355907</v>
      </c>
      <c r="ER22" s="71">
        <v>-2511062</v>
      </c>
      <c r="ES22" s="102">
        <v>5997927</v>
      </c>
      <c r="ET22" s="102">
        <v>3372688</v>
      </c>
      <c r="EU22" s="102">
        <v>2307819</v>
      </c>
      <c r="EV22" s="102">
        <v>3421136</v>
      </c>
      <c r="EW22" s="73">
        <f t="shared" si="12"/>
        <v>558160</v>
      </c>
      <c r="EX22" s="102">
        <v>537555</v>
      </c>
      <c r="EY22" s="102">
        <v>59830</v>
      </c>
      <c r="EZ22" s="102">
        <v>425214</v>
      </c>
      <c r="FA22" s="102">
        <v>20605</v>
      </c>
      <c r="FB22" s="102">
        <v>0</v>
      </c>
      <c r="FC22" s="102">
        <v>4035658</v>
      </c>
      <c r="FD22" s="102">
        <v>2065253</v>
      </c>
      <c r="FE22" s="102">
        <v>744759</v>
      </c>
      <c r="FF22" s="102">
        <v>3828334</v>
      </c>
      <c r="FG22" s="73">
        <f t="shared" si="13"/>
        <v>557356</v>
      </c>
      <c r="FH22" s="102">
        <v>22771643</v>
      </c>
      <c r="FI22" s="379">
        <f t="shared" si="14"/>
        <v>0.1</v>
      </c>
      <c r="FJ22" s="102">
        <v>19284463</v>
      </c>
      <c r="FK22" s="102">
        <v>1950548</v>
      </c>
      <c r="FL22" s="102">
        <v>10253391</v>
      </c>
      <c r="FM22" s="102">
        <v>16286505</v>
      </c>
      <c r="FN22" s="428">
        <v>0.63600000000000001</v>
      </c>
      <c r="FO22" s="424">
        <v>99.6</v>
      </c>
      <c r="FP22" s="425">
        <v>28</v>
      </c>
      <c r="FQ22" s="424">
        <v>10.8</v>
      </c>
      <c r="FR22" s="424">
        <v>16</v>
      </c>
      <c r="FS22" s="425">
        <v>18.2</v>
      </c>
      <c r="FT22" s="424">
        <v>8.1</v>
      </c>
      <c r="FU22" s="425">
        <v>16.899999999999999</v>
      </c>
      <c r="FV22" s="384">
        <f t="shared" si="15"/>
        <v>9.6999999999999993</v>
      </c>
      <c r="FW22" s="102">
        <v>33337585</v>
      </c>
      <c r="FX22" s="384">
        <f t="shared" si="16"/>
        <v>157</v>
      </c>
      <c r="FY22" s="102">
        <v>8712710</v>
      </c>
      <c r="FZ22" s="102">
        <v>4329122</v>
      </c>
      <c r="GA22" s="102">
        <v>1007074</v>
      </c>
      <c r="GB22" s="102">
        <v>3376514</v>
      </c>
      <c r="GC22" s="102">
        <v>0</v>
      </c>
      <c r="GD22" s="427"/>
      <c r="GE22" s="386"/>
      <c r="GF22" s="424">
        <v>98.7</v>
      </c>
      <c r="GG22" s="424">
        <v>23.6</v>
      </c>
      <c r="GH22" s="424">
        <v>94.3</v>
      </c>
      <c r="GI22" s="102">
        <v>566</v>
      </c>
      <c r="GJ22" s="429" t="s">
        <v>646</v>
      </c>
      <c r="GK22" s="429">
        <v>12.38</v>
      </c>
      <c r="GL22" s="87">
        <v>20</v>
      </c>
      <c r="GM22" s="429" t="s">
        <v>646</v>
      </c>
      <c r="GN22" s="430">
        <v>17.38</v>
      </c>
      <c r="GO22" s="430">
        <v>30</v>
      </c>
      <c r="GP22" s="425">
        <v>9.6999999999999993</v>
      </c>
      <c r="GQ22" s="425">
        <v>25</v>
      </c>
      <c r="GR22" s="425">
        <v>35</v>
      </c>
      <c r="GS22" s="431" t="s">
        <v>646</v>
      </c>
      <c r="GT22" s="425">
        <v>350</v>
      </c>
      <c r="GU22" s="394"/>
      <c r="GV22" s="100">
        <f t="shared" si="17"/>
        <v>21235</v>
      </c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</row>
    <row r="23" spans="2:230" x14ac:dyDescent="0.15">
      <c r="B23" s="89" t="s">
        <v>35</v>
      </c>
      <c r="C23" s="102">
        <v>13617809</v>
      </c>
      <c r="D23" s="73">
        <f t="shared" si="0"/>
        <v>5143678</v>
      </c>
      <c r="E23" s="102">
        <v>148053</v>
      </c>
      <c r="F23" s="102">
        <v>4995625</v>
      </c>
      <c r="G23" s="73">
        <f t="shared" si="1"/>
        <v>993618</v>
      </c>
      <c r="H23" s="102">
        <v>253164</v>
      </c>
      <c r="I23" s="102">
        <v>740454</v>
      </c>
      <c r="J23" s="102">
        <v>5329193</v>
      </c>
      <c r="K23" s="102">
        <v>2659883</v>
      </c>
      <c r="L23" s="102">
        <v>2081571</v>
      </c>
      <c r="M23" s="102">
        <v>545661</v>
      </c>
      <c r="N23" s="102">
        <v>845910</v>
      </c>
      <c r="O23" s="102">
        <v>1182845</v>
      </c>
      <c r="P23" s="102">
        <v>729775</v>
      </c>
      <c r="Q23" s="102">
        <v>453070</v>
      </c>
      <c r="R23" s="102">
        <v>193341</v>
      </c>
      <c r="S23" s="74"/>
      <c r="T23" s="73">
        <f t="shared" si="2"/>
        <v>1294379</v>
      </c>
      <c r="U23" s="102">
        <v>57907</v>
      </c>
      <c r="V23" s="102">
        <v>44766</v>
      </c>
      <c r="W23" s="102">
        <v>10278</v>
      </c>
      <c r="X23" s="102">
        <v>1081849</v>
      </c>
      <c r="Y23" s="102">
        <v>0</v>
      </c>
      <c r="Z23" s="102">
        <v>0</v>
      </c>
      <c r="AA23" s="102">
        <v>99579</v>
      </c>
      <c r="AB23" s="102">
        <v>88900</v>
      </c>
      <c r="AC23" s="102">
        <v>8313970</v>
      </c>
      <c r="AD23" s="102">
        <v>7888471</v>
      </c>
      <c r="AE23" s="102">
        <v>425454</v>
      </c>
      <c r="AF23" s="102">
        <v>20910</v>
      </c>
      <c r="AG23" s="102">
        <v>263319</v>
      </c>
      <c r="AH23" s="73">
        <f t="shared" si="3"/>
        <v>653841</v>
      </c>
      <c r="AI23" s="102">
        <v>461903</v>
      </c>
      <c r="AJ23" s="102">
        <v>191938</v>
      </c>
      <c r="AK23" s="102">
        <v>7842850</v>
      </c>
      <c r="AL23" s="73">
        <f t="shared" si="4"/>
        <v>5314627</v>
      </c>
      <c r="AM23" s="102">
        <v>4094833</v>
      </c>
      <c r="AN23" s="102">
        <v>408692</v>
      </c>
      <c r="AO23" s="74"/>
      <c r="AP23" s="102">
        <v>811102</v>
      </c>
      <c r="AQ23" s="102">
        <v>78044</v>
      </c>
      <c r="AR23" s="102">
        <v>0</v>
      </c>
      <c r="AS23" s="102">
        <v>0</v>
      </c>
      <c r="AT23" s="102">
        <v>3064600</v>
      </c>
      <c r="AU23" s="102">
        <v>1592183</v>
      </c>
      <c r="AV23" s="102">
        <v>204346</v>
      </c>
      <c r="AW23" s="102">
        <v>118235</v>
      </c>
      <c r="AX23" s="102">
        <v>1472417</v>
      </c>
      <c r="AY23" s="102">
        <v>135215</v>
      </c>
      <c r="AZ23" s="102">
        <v>340355</v>
      </c>
      <c r="BA23" s="102">
        <v>245475</v>
      </c>
      <c r="BB23" s="102">
        <v>69485</v>
      </c>
      <c r="BC23" s="102">
        <v>126087</v>
      </c>
      <c r="BD23" s="102">
        <v>0</v>
      </c>
      <c r="BE23" s="102">
        <v>0</v>
      </c>
      <c r="BF23" s="102">
        <v>126087</v>
      </c>
      <c r="BG23" s="102">
        <v>0</v>
      </c>
      <c r="BH23" s="102">
        <v>382132</v>
      </c>
      <c r="BI23" s="102">
        <v>323626</v>
      </c>
      <c r="BJ23" s="102">
        <v>254514</v>
      </c>
      <c r="BK23" s="102">
        <v>20147</v>
      </c>
      <c r="BL23" s="102">
        <v>0</v>
      </c>
      <c r="BM23" s="102">
        <v>0</v>
      </c>
      <c r="BN23" s="102">
        <v>3369900</v>
      </c>
      <c r="BO23" s="73">
        <f t="shared" si="5"/>
        <v>1154900</v>
      </c>
      <c r="BP23" s="73">
        <f t="shared" si="6"/>
        <v>1933800</v>
      </c>
      <c r="BQ23" s="102">
        <v>0</v>
      </c>
      <c r="BR23" s="102">
        <v>0</v>
      </c>
      <c r="BS23" s="102">
        <v>1933800</v>
      </c>
      <c r="BT23" s="102">
        <v>281200</v>
      </c>
      <c r="BU23" s="102">
        <v>39896392</v>
      </c>
      <c r="BV23" s="71"/>
      <c r="BW23" s="102">
        <v>7299134</v>
      </c>
      <c r="BX23" s="102">
        <v>4825023</v>
      </c>
      <c r="BY23" s="102">
        <v>713840</v>
      </c>
      <c r="BZ23" s="102">
        <v>390234</v>
      </c>
      <c r="CA23" s="102">
        <v>12493672</v>
      </c>
      <c r="CB23" s="102">
        <v>2012358</v>
      </c>
      <c r="CC23" s="102">
        <v>215541</v>
      </c>
      <c r="CD23" s="102">
        <v>4660686</v>
      </c>
      <c r="CE23" s="102">
        <v>5418740</v>
      </c>
      <c r="CF23" s="102">
        <v>1168</v>
      </c>
      <c r="CG23" s="102">
        <v>184824</v>
      </c>
      <c r="CH23" s="102">
        <v>4157466</v>
      </c>
      <c r="CI23" s="102">
        <v>3484270</v>
      </c>
      <c r="CJ23" s="83">
        <f t="shared" si="18"/>
        <v>673196</v>
      </c>
      <c r="CK23" s="102">
        <v>4984115</v>
      </c>
      <c r="CL23" s="102">
        <v>3271364</v>
      </c>
      <c r="CM23" s="102">
        <v>265064</v>
      </c>
      <c r="CN23" s="102">
        <v>812395</v>
      </c>
      <c r="CO23" s="102">
        <v>215641</v>
      </c>
      <c r="CP23" s="102">
        <v>1574673</v>
      </c>
      <c r="CQ23" s="102">
        <v>2395</v>
      </c>
      <c r="CR23" s="102">
        <v>821761</v>
      </c>
      <c r="CS23" s="102">
        <v>450479</v>
      </c>
      <c r="CT23" s="73">
        <f t="shared" si="7"/>
        <v>207301</v>
      </c>
      <c r="CU23" s="102">
        <v>9000</v>
      </c>
      <c r="CV23" s="102">
        <v>198301</v>
      </c>
      <c r="CW23" s="73">
        <f t="shared" si="8"/>
        <v>151391</v>
      </c>
      <c r="CX23" s="102">
        <v>0</v>
      </c>
      <c r="CY23" s="102">
        <v>151391</v>
      </c>
      <c r="CZ23" s="73">
        <f t="shared" si="9"/>
        <v>0</v>
      </c>
      <c r="DA23" s="102">
        <v>0</v>
      </c>
      <c r="DB23" s="102">
        <v>0</v>
      </c>
      <c r="DC23" s="102">
        <v>1933188</v>
      </c>
      <c r="DD23" s="102">
        <v>1039652</v>
      </c>
      <c r="DE23" s="102">
        <v>849335</v>
      </c>
      <c r="DF23" s="77">
        <v>0</v>
      </c>
      <c r="DG23" s="78">
        <v>44201</v>
      </c>
      <c r="DH23" s="102">
        <v>0</v>
      </c>
      <c r="DI23" s="102">
        <v>554749</v>
      </c>
      <c r="DJ23" s="102">
        <v>400520</v>
      </c>
      <c r="DK23" s="102">
        <v>5</v>
      </c>
      <c r="DL23" s="102">
        <v>154224</v>
      </c>
      <c r="DM23" s="102">
        <v>0</v>
      </c>
      <c r="DN23" s="102">
        <v>0</v>
      </c>
      <c r="DO23" s="102">
        <v>0</v>
      </c>
      <c r="DP23" s="102">
        <v>0</v>
      </c>
      <c r="DQ23" s="102">
        <v>20000</v>
      </c>
      <c r="DR23" s="102">
        <v>0</v>
      </c>
      <c r="DS23" s="102">
        <v>0</v>
      </c>
      <c r="DT23" s="102">
        <v>6324268</v>
      </c>
      <c r="DU23" s="102">
        <v>2520000</v>
      </c>
      <c r="DV23" s="73">
        <f t="shared" si="10"/>
        <v>0</v>
      </c>
      <c r="DW23" s="102">
        <v>0</v>
      </c>
      <c r="DX23" s="102">
        <v>1241987</v>
      </c>
      <c r="DY23" s="102">
        <v>0</v>
      </c>
      <c r="DZ23" s="102">
        <v>1342380</v>
      </c>
      <c r="EA23" s="74">
        <v>0</v>
      </c>
      <c r="EB23" s="102">
        <v>1219890</v>
      </c>
      <c r="EC23" s="102">
        <v>0</v>
      </c>
      <c r="ED23" s="102">
        <v>39556906</v>
      </c>
      <c r="EE23" s="71"/>
      <c r="EF23" s="102">
        <v>339486</v>
      </c>
      <c r="EG23" s="102">
        <v>10569</v>
      </c>
      <c r="EH23" s="102">
        <v>328917</v>
      </c>
      <c r="EI23" s="102">
        <v>5291</v>
      </c>
      <c r="EJ23" s="102">
        <v>405811</v>
      </c>
      <c r="EK23" s="71"/>
      <c r="EL23" s="102"/>
      <c r="EM23" s="102">
        <v>123991</v>
      </c>
      <c r="EN23" s="102">
        <v>90000</v>
      </c>
      <c r="EO23" s="102">
        <v>337910</v>
      </c>
      <c r="EP23" s="73">
        <f t="shared" si="11"/>
        <v>762092</v>
      </c>
      <c r="EQ23" s="102">
        <v>23529309</v>
      </c>
      <c r="ER23" s="71">
        <v>-3102892</v>
      </c>
      <c r="ES23" s="102">
        <v>6543872</v>
      </c>
      <c r="ET23" s="102">
        <v>4464247</v>
      </c>
      <c r="EU23" s="102">
        <v>3574160</v>
      </c>
      <c r="EV23" s="102">
        <v>4157466</v>
      </c>
      <c r="EW23" s="73">
        <f t="shared" si="12"/>
        <v>92677</v>
      </c>
      <c r="EX23" s="102">
        <v>92677</v>
      </c>
      <c r="EY23" s="102">
        <v>10219</v>
      </c>
      <c r="EZ23" s="102">
        <v>82458</v>
      </c>
      <c r="FA23" s="102">
        <v>0</v>
      </c>
      <c r="FB23" s="102">
        <v>0</v>
      </c>
      <c r="FC23" s="102">
        <v>4268468</v>
      </c>
      <c r="FD23" s="102">
        <v>1366357</v>
      </c>
      <c r="FE23" s="102">
        <v>2395</v>
      </c>
      <c r="FF23" s="102">
        <v>5546859</v>
      </c>
      <c r="FG23" s="73">
        <f t="shared" si="13"/>
        <v>742856</v>
      </c>
      <c r="FH23" s="102">
        <v>26292715</v>
      </c>
      <c r="FI23" s="379">
        <f t="shared" si="14"/>
        <v>1.4</v>
      </c>
      <c r="FJ23" s="102">
        <v>21585531</v>
      </c>
      <c r="FK23" s="102">
        <v>1933896</v>
      </c>
      <c r="FL23" s="102">
        <v>10611098</v>
      </c>
      <c r="FM23" s="102">
        <v>18499569</v>
      </c>
      <c r="FN23" s="428">
        <v>0.57999999999999996</v>
      </c>
      <c r="FO23" s="424">
        <v>100.3</v>
      </c>
      <c r="FP23" s="425">
        <v>27.2</v>
      </c>
      <c r="FQ23" s="424">
        <v>14.9</v>
      </c>
      <c r="FR23" s="424">
        <v>17.3</v>
      </c>
      <c r="FS23" s="425">
        <v>17.100000000000001</v>
      </c>
      <c r="FT23" s="424">
        <v>4.3</v>
      </c>
      <c r="FU23" s="425">
        <v>18.8</v>
      </c>
      <c r="FV23" s="384">
        <f t="shared" si="15"/>
        <v>10.1</v>
      </c>
      <c r="FW23" s="102">
        <v>40487291</v>
      </c>
      <c r="FX23" s="384">
        <f t="shared" si="16"/>
        <v>172.1</v>
      </c>
      <c r="FY23" s="102">
        <v>2091791</v>
      </c>
      <c r="FZ23" s="102">
        <v>1171085</v>
      </c>
      <c r="GA23" s="102">
        <v>21243</v>
      </c>
      <c r="GB23" s="102">
        <v>899463</v>
      </c>
      <c r="GC23" s="102">
        <v>100000</v>
      </c>
      <c r="GD23" s="454">
        <v>869404</v>
      </c>
      <c r="GE23" s="386">
        <f>IF(GD23=0,"-",ROUND(GD23/(FJ23+FK23)*100,1))</f>
        <v>3.7</v>
      </c>
      <c r="GF23" s="424">
        <v>98.2</v>
      </c>
      <c r="GG23" s="424">
        <v>32.9</v>
      </c>
      <c r="GH23" s="424">
        <v>94.4</v>
      </c>
      <c r="GI23" s="102">
        <v>701</v>
      </c>
      <c r="GJ23" s="429" t="s">
        <v>646</v>
      </c>
      <c r="GK23" s="429">
        <v>12.19</v>
      </c>
      <c r="GL23" s="87">
        <v>20</v>
      </c>
      <c r="GM23" s="429" t="s">
        <v>646</v>
      </c>
      <c r="GN23" s="430">
        <v>17.190000000000001</v>
      </c>
      <c r="GO23" s="430">
        <v>30</v>
      </c>
      <c r="GP23" s="425">
        <v>10.1</v>
      </c>
      <c r="GQ23" s="425">
        <v>25</v>
      </c>
      <c r="GR23" s="425">
        <v>35</v>
      </c>
      <c r="GS23" s="431">
        <v>117.2</v>
      </c>
      <c r="GT23" s="425">
        <v>350</v>
      </c>
      <c r="GU23" s="394"/>
      <c r="GV23" s="100">
        <f t="shared" si="17"/>
        <v>23519</v>
      </c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</row>
    <row r="24" spans="2:230" x14ac:dyDescent="0.15">
      <c r="B24" s="89" t="s">
        <v>37</v>
      </c>
      <c r="C24" s="102">
        <v>16657876</v>
      </c>
      <c r="D24" s="73">
        <f t="shared" si="0"/>
        <v>5455625</v>
      </c>
      <c r="E24" s="102">
        <v>160394</v>
      </c>
      <c r="F24" s="102">
        <v>5295231</v>
      </c>
      <c r="G24" s="73">
        <f t="shared" si="1"/>
        <v>1317009</v>
      </c>
      <c r="H24" s="102">
        <v>345452</v>
      </c>
      <c r="I24" s="102">
        <v>971557</v>
      </c>
      <c r="J24" s="102">
        <v>7389290</v>
      </c>
      <c r="K24" s="102">
        <v>3343792</v>
      </c>
      <c r="L24" s="102">
        <v>3039812</v>
      </c>
      <c r="M24" s="102">
        <v>861999</v>
      </c>
      <c r="N24" s="102">
        <v>847193</v>
      </c>
      <c r="O24" s="102">
        <v>1535425</v>
      </c>
      <c r="P24" s="102">
        <v>880719</v>
      </c>
      <c r="Q24" s="102">
        <v>654706</v>
      </c>
      <c r="R24" s="102">
        <v>201415</v>
      </c>
      <c r="S24" s="74"/>
      <c r="T24" s="73">
        <f t="shared" si="2"/>
        <v>1479058</v>
      </c>
      <c r="U24" s="102">
        <v>61823</v>
      </c>
      <c r="V24" s="102">
        <v>47796</v>
      </c>
      <c r="W24" s="102">
        <v>10975</v>
      </c>
      <c r="X24" s="102">
        <v>1227427</v>
      </c>
      <c r="Y24" s="102">
        <v>27223</v>
      </c>
      <c r="Z24" s="102">
        <v>0</v>
      </c>
      <c r="AA24" s="102">
        <v>103814</v>
      </c>
      <c r="AB24" s="102">
        <v>109771</v>
      </c>
      <c r="AC24" s="102">
        <v>4557294</v>
      </c>
      <c r="AD24" s="102">
        <v>4220433</v>
      </c>
      <c r="AE24" s="102">
        <v>336855</v>
      </c>
      <c r="AF24" s="102">
        <v>19211</v>
      </c>
      <c r="AG24" s="102">
        <v>368906</v>
      </c>
      <c r="AH24" s="73">
        <f t="shared" si="3"/>
        <v>817658</v>
      </c>
      <c r="AI24" s="102">
        <v>414751</v>
      </c>
      <c r="AJ24" s="102">
        <v>402907</v>
      </c>
      <c r="AK24" s="102">
        <v>5491931</v>
      </c>
      <c r="AL24" s="73">
        <f t="shared" si="4"/>
        <v>3087795</v>
      </c>
      <c r="AM24" s="102">
        <v>1754315</v>
      </c>
      <c r="AN24" s="102">
        <v>588007</v>
      </c>
      <c r="AO24" s="74"/>
      <c r="AP24" s="102">
        <v>745473</v>
      </c>
      <c r="AQ24" s="102">
        <v>184045</v>
      </c>
      <c r="AR24" s="102">
        <v>0</v>
      </c>
      <c r="AS24" s="102">
        <v>0</v>
      </c>
      <c r="AT24" s="102">
        <v>2790042</v>
      </c>
      <c r="AU24" s="102">
        <v>1669401</v>
      </c>
      <c r="AV24" s="102">
        <v>294004</v>
      </c>
      <c r="AW24" s="102">
        <v>123443</v>
      </c>
      <c r="AX24" s="102">
        <v>1120641</v>
      </c>
      <c r="AY24" s="102">
        <v>46169</v>
      </c>
      <c r="AZ24" s="102">
        <v>35904</v>
      </c>
      <c r="BA24" s="102">
        <v>7749</v>
      </c>
      <c r="BB24" s="102">
        <v>507</v>
      </c>
      <c r="BC24" s="102">
        <v>204037</v>
      </c>
      <c r="BD24" s="102">
        <v>0</v>
      </c>
      <c r="BE24" s="102">
        <v>117902</v>
      </c>
      <c r="BF24" s="102">
        <v>53625</v>
      </c>
      <c r="BG24" s="102">
        <v>0</v>
      </c>
      <c r="BH24" s="102">
        <v>703090</v>
      </c>
      <c r="BI24" s="102">
        <v>657134</v>
      </c>
      <c r="BJ24" s="102">
        <v>3703020</v>
      </c>
      <c r="BK24" s="102">
        <v>3004218</v>
      </c>
      <c r="BL24" s="102">
        <v>0</v>
      </c>
      <c r="BM24" s="102">
        <v>0</v>
      </c>
      <c r="BN24" s="102">
        <v>3012300</v>
      </c>
      <c r="BO24" s="73">
        <f t="shared" si="5"/>
        <v>512300</v>
      </c>
      <c r="BP24" s="73">
        <f t="shared" si="6"/>
        <v>2500000</v>
      </c>
      <c r="BQ24" s="102">
        <v>0</v>
      </c>
      <c r="BR24" s="102">
        <v>0</v>
      </c>
      <c r="BS24" s="102">
        <v>2500000</v>
      </c>
      <c r="BT24" s="102">
        <v>0</v>
      </c>
      <c r="BU24" s="102">
        <v>40152020</v>
      </c>
      <c r="BV24" s="71"/>
      <c r="BW24" s="102">
        <v>6649601</v>
      </c>
      <c r="BX24" s="102">
        <v>4269217</v>
      </c>
      <c r="BY24" s="102">
        <v>1022897</v>
      </c>
      <c r="BZ24" s="102">
        <v>198467</v>
      </c>
      <c r="CA24" s="102">
        <v>10057675</v>
      </c>
      <c r="CB24" s="102">
        <v>1804633</v>
      </c>
      <c r="CC24" s="102">
        <v>193269</v>
      </c>
      <c r="CD24" s="102">
        <v>5488295</v>
      </c>
      <c r="CE24" s="102">
        <v>2376245</v>
      </c>
      <c r="CF24" s="102">
        <v>0</v>
      </c>
      <c r="CG24" s="102">
        <v>194203</v>
      </c>
      <c r="CH24" s="102">
        <v>3672261</v>
      </c>
      <c r="CI24" s="102">
        <v>3124525</v>
      </c>
      <c r="CJ24" s="83">
        <f t="shared" si="18"/>
        <v>547736</v>
      </c>
      <c r="CK24" s="102">
        <v>5050595</v>
      </c>
      <c r="CL24" s="102">
        <v>3366052</v>
      </c>
      <c r="CM24" s="102">
        <v>229450</v>
      </c>
      <c r="CN24" s="102">
        <v>756403</v>
      </c>
      <c r="CO24" s="102">
        <v>103122</v>
      </c>
      <c r="CP24" s="102">
        <v>1977280</v>
      </c>
      <c r="CQ24" s="102">
        <v>635950</v>
      </c>
      <c r="CR24" s="102">
        <v>794687</v>
      </c>
      <c r="CS24" s="102">
        <v>228096</v>
      </c>
      <c r="CT24" s="73">
        <f t="shared" si="7"/>
        <v>14325</v>
      </c>
      <c r="CU24" s="102">
        <v>14325</v>
      </c>
      <c r="CV24" s="102">
        <v>0</v>
      </c>
      <c r="CW24" s="73">
        <f t="shared" si="8"/>
        <v>0</v>
      </c>
      <c r="CX24" s="102">
        <v>0</v>
      </c>
      <c r="CY24" s="102">
        <v>0</v>
      </c>
      <c r="CZ24" s="73">
        <f t="shared" si="9"/>
        <v>0</v>
      </c>
      <c r="DA24" s="102">
        <v>0</v>
      </c>
      <c r="DB24" s="102">
        <v>0</v>
      </c>
      <c r="DC24" s="102">
        <v>1472564</v>
      </c>
      <c r="DD24" s="102">
        <v>651752</v>
      </c>
      <c r="DE24" s="102">
        <v>806899</v>
      </c>
      <c r="DF24" s="77">
        <v>13913</v>
      </c>
      <c r="DG24" s="78">
        <v>0</v>
      </c>
      <c r="DH24" s="102">
        <v>0</v>
      </c>
      <c r="DI24" s="102">
        <v>1703602</v>
      </c>
      <c r="DJ24" s="102">
        <v>994444</v>
      </c>
      <c r="DK24" s="102">
        <v>0</v>
      </c>
      <c r="DL24" s="102">
        <v>709158</v>
      </c>
      <c r="DM24" s="102">
        <v>0</v>
      </c>
      <c r="DN24" s="102">
        <v>0</v>
      </c>
      <c r="DO24" s="102">
        <v>0</v>
      </c>
      <c r="DP24" s="102">
        <v>0</v>
      </c>
      <c r="DQ24" s="102">
        <v>3308271</v>
      </c>
      <c r="DR24" s="102">
        <v>0</v>
      </c>
      <c r="DS24" s="102">
        <v>0</v>
      </c>
      <c r="DT24" s="102">
        <v>5295838</v>
      </c>
      <c r="DU24" s="102">
        <v>1867910</v>
      </c>
      <c r="DV24" s="73">
        <f t="shared" si="10"/>
        <v>0</v>
      </c>
      <c r="DW24" s="102">
        <v>0</v>
      </c>
      <c r="DX24" s="102">
        <v>1082782</v>
      </c>
      <c r="DY24" s="102">
        <v>0</v>
      </c>
      <c r="DZ24" s="102">
        <v>1318131</v>
      </c>
      <c r="EA24" s="74">
        <v>0</v>
      </c>
      <c r="EB24" s="102">
        <v>1021867</v>
      </c>
      <c r="EC24" s="102">
        <v>0</v>
      </c>
      <c r="ED24" s="102">
        <v>39290809</v>
      </c>
      <c r="EE24" s="71"/>
      <c r="EF24" s="102">
        <v>861211</v>
      </c>
      <c r="EG24" s="102">
        <v>145480</v>
      </c>
      <c r="EH24" s="102">
        <v>715731</v>
      </c>
      <c r="EI24" s="102">
        <v>58597</v>
      </c>
      <c r="EJ24" s="102">
        <v>1419534</v>
      </c>
      <c r="EK24" s="71"/>
      <c r="EL24" s="102"/>
      <c r="EM24" s="102">
        <v>125150</v>
      </c>
      <c r="EN24" s="102">
        <v>117902</v>
      </c>
      <c r="EO24" s="102">
        <v>25536</v>
      </c>
      <c r="EP24" s="73">
        <f t="shared" si="11"/>
        <v>1336437</v>
      </c>
      <c r="EQ24" s="102">
        <v>23024625</v>
      </c>
      <c r="ER24" s="71">
        <v>-3960664</v>
      </c>
      <c r="ES24" s="102">
        <v>6104105</v>
      </c>
      <c r="ET24" s="102">
        <v>3779230</v>
      </c>
      <c r="EU24" s="102">
        <v>3213833</v>
      </c>
      <c r="EV24" s="102">
        <v>3629392</v>
      </c>
      <c r="EW24" s="73">
        <f t="shared" si="12"/>
        <v>619857</v>
      </c>
      <c r="EX24" s="102">
        <v>619857</v>
      </c>
      <c r="EY24" s="102">
        <v>67497</v>
      </c>
      <c r="EZ24" s="102">
        <v>552360</v>
      </c>
      <c r="FA24" s="102">
        <v>0</v>
      </c>
      <c r="FB24" s="102">
        <v>0</v>
      </c>
      <c r="FC24" s="102">
        <v>4087735</v>
      </c>
      <c r="FD24" s="102">
        <v>1783531</v>
      </c>
      <c r="FE24" s="102">
        <v>635950</v>
      </c>
      <c r="FF24" s="102">
        <v>4588587</v>
      </c>
      <c r="FG24" s="73">
        <f t="shared" si="13"/>
        <v>2097038</v>
      </c>
      <c r="FH24" s="102">
        <v>26124078</v>
      </c>
      <c r="FI24" s="379">
        <f t="shared" si="14"/>
        <v>3.1</v>
      </c>
      <c r="FJ24" s="102">
        <v>20396897</v>
      </c>
      <c r="FK24" s="102">
        <v>2622607</v>
      </c>
      <c r="FL24" s="102">
        <v>12512289</v>
      </c>
      <c r="FM24" s="102">
        <v>16732722</v>
      </c>
      <c r="FN24" s="428">
        <v>0.77</v>
      </c>
      <c r="FO24" s="424">
        <v>89.8</v>
      </c>
      <c r="FP24" s="425">
        <v>24</v>
      </c>
      <c r="FQ24" s="424">
        <v>13.2</v>
      </c>
      <c r="FR24" s="424">
        <v>13.6</v>
      </c>
      <c r="FS24" s="425">
        <v>15.1</v>
      </c>
      <c r="FT24" s="424">
        <v>5.9</v>
      </c>
      <c r="FU24" s="425">
        <v>17.7</v>
      </c>
      <c r="FV24" s="384">
        <f t="shared" si="15"/>
        <v>1.9</v>
      </c>
      <c r="FW24" s="102">
        <v>36228356</v>
      </c>
      <c r="FX24" s="384">
        <f t="shared" si="16"/>
        <v>157.4</v>
      </c>
      <c r="FY24" s="102">
        <v>14490275</v>
      </c>
      <c r="FZ24" s="102">
        <v>7346191</v>
      </c>
      <c r="GA24" s="102">
        <v>1452190</v>
      </c>
      <c r="GB24" s="102">
        <v>5691894</v>
      </c>
      <c r="GC24" s="102">
        <v>4655261</v>
      </c>
      <c r="GD24" s="454">
        <v>4767074</v>
      </c>
      <c r="GE24" s="386">
        <f>IF(GD24=0,"-",ROUND(GD24/(FJ24+FK24)*100,1))</f>
        <v>20.7</v>
      </c>
      <c r="GF24" s="424">
        <v>98</v>
      </c>
      <c r="GG24" s="424">
        <v>25.5</v>
      </c>
      <c r="GH24" s="424">
        <v>93.3</v>
      </c>
      <c r="GI24" s="102">
        <v>654</v>
      </c>
      <c r="GJ24" s="429" t="s">
        <v>646</v>
      </c>
      <c r="GK24" s="429">
        <v>12.23</v>
      </c>
      <c r="GL24" s="87">
        <v>20</v>
      </c>
      <c r="GM24" s="429" t="s">
        <v>646</v>
      </c>
      <c r="GN24" s="430">
        <v>17.23</v>
      </c>
      <c r="GO24" s="430">
        <v>30</v>
      </c>
      <c r="GP24" s="425">
        <v>1.9</v>
      </c>
      <c r="GQ24" s="425">
        <v>25</v>
      </c>
      <c r="GR24" s="425">
        <v>35</v>
      </c>
      <c r="GS24" s="431">
        <v>10.9</v>
      </c>
      <c r="GT24" s="425">
        <v>350</v>
      </c>
      <c r="GU24" s="394"/>
      <c r="GV24" s="100">
        <f t="shared" si="17"/>
        <v>23020</v>
      </c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</row>
    <row r="25" spans="2:230" x14ac:dyDescent="0.15">
      <c r="B25" s="89" t="s">
        <v>39</v>
      </c>
      <c r="C25" s="102">
        <v>21654712</v>
      </c>
      <c r="D25" s="73">
        <f t="shared" si="0"/>
        <v>8937614</v>
      </c>
      <c r="E25" s="102">
        <v>229715</v>
      </c>
      <c r="F25" s="102">
        <v>8707899</v>
      </c>
      <c r="G25" s="73">
        <f t="shared" si="1"/>
        <v>1055436</v>
      </c>
      <c r="H25" s="102">
        <v>384686</v>
      </c>
      <c r="I25" s="102">
        <v>670750</v>
      </c>
      <c r="J25" s="102">
        <v>8598342</v>
      </c>
      <c r="K25" s="102">
        <v>3522574</v>
      </c>
      <c r="L25" s="102">
        <v>4110056</v>
      </c>
      <c r="M25" s="102">
        <v>897677</v>
      </c>
      <c r="N25" s="102">
        <v>1019739</v>
      </c>
      <c r="O25" s="102">
        <v>1797294</v>
      </c>
      <c r="P25" s="102">
        <v>949809</v>
      </c>
      <c r="Q25" s="102">
        <v>847485</v>
      </c>
      <c r="R25" s="102">
        <v>318945</v>
      </c>
      <c r="S25" s="74"/>
      <c r="T25" s="73">
        <f t="shared" si="2"/>
        <v>1910904</v>
      </c>
      <c r="U25" s="102">
        <v>96730</v>
      </c>
      <c r="V25" s="102">
        <v>74969</v>
      </c>
      <c r="W25" s="102">
        <v>17313</v>
      </c>
      <c r="X25" s="102">
        <v>1522920</v>
      </c>
      <c r="Y25" s="102">
        <v>34541</v>
      </c>
      <c r="Z25" s="102">
        <v>0</v>
      </c>
      <c r="AA25" s="102">
        <v>164431</v>
      </c>
      <c r="AB25" s="102">
        <v>203514</v>
      </c>
      <c r="AC25" s="102">
        <v>8998790</v>
      </c>
      <c r="AD25" s="102">
        <v>8199245</v>
      </c>
      <c r="AE25" s="102">
        <v>799528</v>
      </c>
      <c r="AF25" s="102">
        <v>28095</v>
      </c>
      <c r="AG25" s="102">
        <v>460001</v>
      </c>
      <c r="AH25" s="73">
        <f t="shared" si="3"/>
        <v>1496760</v>
      </c>
      <c r="AI25" s="102">
        <v>1395520</v>
      </c>
      <c r="AJ25" s="102">
        <v>101240</v>
      </c>
      <c r="AK25" s="102">
        <v>11876201</v>
      </c>
      <c r="AL25" s="73">
        <f t="shared" si="4"/>
        <v>7185510</v>
      </c>
      <c r="AM25" s="102">
        <v>5695860</v>
      </c>
      <c r="AN25" s="102">
        <v>442533</v>
      </c>
      <c r="AO25" s="74"/>
      <c r="AP25" s="102">
        <v>1047117</v>
      </c>
      <c r="AQ25" s="102">
        <v>516422</v>
      </c>
      <c r="AR25" s="102">
        <v>0</v>
      </c>
      <c r="AS25" s="102">
        <v>231773</v>
      </c>
      <c r="AT25" s="102">
        <v>3800886</v>
      </c>
      <c r="AU25" s="102">
        <v>2173606</v>
      </c>
      <c r="AV25" s="102">
        <v>221267</v>
      </c>
      <c r="AW25" s="102">
        <v>204919</v>
      </c>
      <c r="AX25" s="102">
        <v>1627280</v>
      </c>
      <c r="AY25" s="102">
        <v>4233</v>
      </c>
      <c r="AZ25" s="102">
        <v>691391</v>
      </c>
      <c r="BA25" s="102">
        <v>578773</v>
      </c>
      <c r="BB25" s="102">
        <v>18631</v>
      </c>
      <c r="BC25" s="102">
        <v>33554</v>
      </c>
      <c r="BD25" s="102">
        <v>0</v>
      </c>
      <c r="BE25" s="102">
        <v>0</v>
      </c>
      <c r="BF25" s="102">
        <v>33554</v>
      </c>
      <c r="BG25" s="102">
        <v>0</v>
      </c>
      <c r="BH25" s="102">
        <v>437119</v>
      </c>
      <c r="BI25" s="102">
        <v>353280</v>
      </c>
      <c r="BJ25" s="102">
        <v>1022884</v>
      </c>
      <c r="BK25" s="102">
        <v>1687</v>
      </c>
      <c r="BL25" s="102">
        <v>0</v>
      </c>
      <c r="BM25" s="102">
        <v>0</v>
      </c>
      <c r="BN25" s="102">
        <v>4532300</v>
      </c>
      <c r="BO25" s="73">
        <f t="shared" si="5"/>
        <v>1513800</v>
      </c>
      <c r="BP25" s="73">
        <f t="shared" si="6"/>
        <v>3018500</v>
      </c>
      <c r="BQ25" s="102">
        <v>0</v>
      </c>
      <c r="BR25" s="102">
        <v>0</v>
      </c>
      <c r="BS25" s="102">
        <v>3018500</v>
      </c>
      <c r="BT25" s="102">
        <v>0</v>
      </c>
      <c r="BU25" s="102">
        <v>57716460</v>
      </c>
      <c r="BV25" s="71"/>
      <c r="BW25" s="102">
        <v>10388936</v>
      </c>
      <c r="BX25" s="102">
        <v>6303239</v>
      </c>
      <c r="BY25" s="102">
        <v>1438117</v>
      </c>
      <c r="BZ25" s="102">
        <v>870890</v>
      </c>
      <c r="CA25" s="102">
        <v>18115606</v>
      </c>
      <c r="CB25" s="102">
        <v>3119010</v>
      </c>
      <c r="CC25" s="102">
        <v>359308</v>
      </c>
      <c r="CD25" s="102">
        <v>7032621</v>
      </c>
      <c r="CE25" s="102">
        <v>7298373</v>
      </c>
      <c r="CF25" s="102">
        <v>5897</v>
      </c>
      <c r="CG25" s="102">
        <v>300168</v>
      </c>
      <c r="CH25" s="102">
        <v>5334189</v>
      </c>
      <c r="CI25" s="102">
        <v>4547065</v>
      </c>
      <c r="CJ25" s="83">
        <f t="shared" si="18"/>
        <v>787124</v>
      </c>
      <c r="CK25" s="102">
        <v>6539515</v>
      </c>
      <c r="CL25" s="102">
        <v>4450300</v>
      </c>
      <c r="CM25" s="102">
        <v>393237</v>
      </c>
      <c r="CN25" s="102">
        <v>799509</v>
      </c>
      <c r="CO25" s="102">
        <v>391647</v>
      </c>
      <c r="CP25" s="102">
        <v>6110511</v>
      </c>
      <c r="CQ25" s="102">
        <v>1435060</v>
      </c>
      <c r="CR25" s="102">
        <v>1259010</v>
      </c>
      <c r="CS25" s="102">
        <v>999907</v>
      </c>
      <c r="CT25" s="73">
        <f t="shared" si="7"/>
        <v>2352133</v>
      </c>
      <c r="CU25" s="102">
        <v>753530</v>
      </c>
      <c r="CV25" s="102">
        <v>1598603</v>
      </c>
      <c r="CW25" s="73">
        <f t="shared" si="8"/>
        <v>1585986</v>
      </c>
      <c r="CX25" s="102">
        <v>187000</v>
      </c>
      <c r="CY25" s="102">
        <v>1398986</v>
      </c>
      <c r="CZ25" s="73">
        <f t="shared" si="9"/>
        <v>726147</v>
      </c>
      <c r="DA25" s="102">
        <v>548530</v>
      </c>
      <c r="DB25" s="102">
        <v>177617</v>
      </c>
      <c r="DC25" s="102">
        <v>4768715</v>
      </c>
      <c r="DD25" s="102">
        <v>2486071</v>
      </c>
      <c r="DE25" s="102">
        <v>2279314</v>
      </c>
      <c r="DF25" s="77">
        <v>3330</v>
      </c>
      <c r="DG25" s="78">
        <v>0</v>
      </c>
      <c r="DH25" s="102">
        <v>39363</v>
      </c>
      <c r="DI25" s="102">
        <v>765025</v>
      </c>
      <c r="DJ25" s="102">
        <v>181750</v>
      </c>
      <c r="DK25" s="102">
        <v>60</v>
      </c>
      <c r="DL25" s="102">
        <v>583215</v>
      </c>
      <c r="DM25" s="102">
        <v>0</v>
      </c>
      <c r="DN25" s="102">
        <v>0</v>
      </c>
      <c r="DO25" s="102">
        <v>0</v>
      </c>
      <c r="DP25" s="102">
        <v>0</v>
      </c>
      <c r="DQ25" s="102">
        <v>21300</v>
      </c>
      <c r="DR25" s="102">
        <v>0</v>
      </c>
      <c r="DS25" s="102">
        <v>0</v>
      </c>
      <c r="DT25" s="102">
        <v>4568106</v>
      </c>
      <c r="DU25" s="102">
        <v>74587</v>
      </c>
      <c r="DV25" s="73">
        <f t="shared" si="10"/>
        <v>0</v>
      </c>
      <c r="DW25" s="102">
        <v>0</v>
      </c>
      <c r="DX25" s="102">
        <v>1668652</v>
      </c>
      <c r="DY25" s="102">
        <v>0</v>
      </c>
      <c r="DZ25" s="102">
        <v>1447006</v>
      </c>
      <c r="EA25" s="74">
        <v>0</v>
      </c>
      <c r="EB25" s="102">
        <v>1377851</v>
      </c>
      <c r="EC25" s="102">
        <v>0</v>
      </c>
      <c r="ED25" s="102">
        <v>57042913</v>
      </c>
      <c r="EE25" s="71"/>
      <c r="EF25" s="102">
        <v>673547</v>
      </c>
      <c r="EG25" s="102">
        <v>438865</v>
      </c>
      <c r="EH25" s="102">
        <v>234682</v>
      </c>
      <c r="EI25" s="102">
        <v>-118598</v>
      </c>
      <c r="EJ25" s="102">
        <v>63244</v>
      </c>
      <c r="EK25" s="71"/>
      <c r="EL25" s="102"/>
      <c r="EM25" s="102">
        <v>187108</v>
      </c>
      <c r="EN25" s="102">
        <v>0</v>
      </c>
      <c r="EO25" s="102">
        <v>688948</v>
      </c>
      <c r="EP25" s="73">
        <f t="shared" si="11"/>
        <v>1567530</v>
      </c>
      <c r="EQ25" s="102">
        <v>33346733</v>
      </c>
      <c r="ER25" s="71">
        <v>-5015110</v>
      </c>
      <c r="ES25" s="102">
        <v>9598240</v>
      </c>
      <c r="ET25" s="102">
        <v>5797348</v>
      </c>
      <c r="EU25" s="102">
        <v>5272986</v>
      </c>
      <c r="EV25" s="102">
        <v>5136042</v>
      </c>
      <c r="EW25" s="73">
        <f t="shared" si="12"/>
        <v>1700907</v>
      </c>
      <c r="EX25" s="102">
        <v>1700907</v>
      </c>
      <c r="EY25" s="102">
        <v>165039</v>
      </c>
      <c r="EZ25" s="102">
        <v>1535688</v>
      </c>
      <c r="FA25" s="102">
        <v>0</v>
      </c>
      <c r="FB25" s="102">
        <v>0</v>
      </c>
      <c r="FC25" s="102">
        <v>5256446</v>
      </c>
      <c r="FD25" s="102">
        <v>5818684</v>
      </c>
      <c r="FE25" s="102">
        <v>1435060</v>
      </c>
      <c r="FF25" s="102">
        <v>3787022</v>
      </c>
      <c r="FG25" s="73">
        <f t="shared" si="13"/>
        <v>1117969</v>
      </c>
      <c r="FH25" s="102">
        <v>37688296</v>
      </c>
      <c r="FI25" s="379">
        <f t="shared" si="14"/>
        <v>0.7</v>
      </c>
      <c r="FJ25" s="102">
        <v>30153941</v>
      </c>
      <c r="FK25" s="102">
        <v>3018601</v>
      </c>
      <c r="FL25" s="102">
        <v>16957859</v>
      </c>
      <c r="FM25" s="102">
        <v>25055469</v>
      </c>
      <c r="FN25" s="428">
        <v>0.68600000000000005</v>
      </c>
      <c r="FO25" s="424">
        <v>95.8</v>
      </c>
      <c r="FP25" s="425">
        <v>26.9</v>
      </c>
      <c r="FQ25" s="424">
        <v>15.5</v>
      </c>
      <c r="FR25" s="424">
        <v>15.1</v>
      </c>
      <c r="FS25" s="425">
        <v>15</v>
      </c>
      <c r="FT25" s="424">
        <v>12.5</v>
      </c>
      <c r="FU25" s="425">
        <v>9.6</v>
      </c>
      <c r="FV25" s="384">
        <f t="shared" si="15"/>
        <v>4.7</v>
      </c>
      <c r="FW25" s="102">
        <v>52774130</v>
      </c>
      <c r="FX25" s="384">
        <f t="shared" si="16"/>
        <v>159.1</v>
      </c>
      <c r="FY25" s="102">
        <v>7306360</v>
      </c>
      <c r="FZ25" s="102">
        <v>3831780</v>
      </c>
      <c r="GA25" s="102">
        <v>148450</v>
      </c>
      <c r="GB25" s="102">
        <v>3326130</v>
      </c>
      <c r="GC25" s="102">
        <v>0</v>
      </c>
      <c r="GD25" s="454"/>
      <c r="GE25" s="386"/>
      <c r="GF25" s="424">
        <v>98.5</v>
      </c>
      <c r="GG25" s="424">
        <v>27.9</v>
      </c>
      <c r="GH25" s="424">
        <v>94.9</v>
      </c>
      <c r="GI25" s="102">
        <v>1052</v>
      </c>
      <c r="GJ25" s="429" t="s">
        <v>646</v>
      </c>
      <c r="GK25" s="429">
        <v>11.67</v>
      </c>
      <c r="GL25" s="87">
        <v>20</v>
      </c>
      <c r="GM25" s="429" t="s">
        <v>646</v>
      </c>
      <c r="GN25" s="430">
        <v>16.670000000000002</v>
      </c>
      <c r="GO25" s="430">
        <v>30</v>
      </c>
      <c r="GP25" s="425">
        <v>4.7</v>
      </c>
      <c r="GQ25" s="425">
        <v>25</v>
      </c>
      <c r="GR25" s="425">
        <v>35</v>
      </c>
      <c r="GS25" s="431">
        <v>28.1</v>
      </c>
      <c r="GT25" s="425">
        <v>350</v>
      </c>
      <c r="GU25" s="394"/>
      <c r="GV25" s="100">
        <f t="shared" si="17"/>
        <v>33173</v>
      </c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</row>
    <row r="26" spans="2:230" x14ac:dyDescent="0.15">
      <c r="B26" s="89" t="s">
        <v>41</v>
      </c>
      <c r="C26" s="102">
        <v>22524944</v>
      </c>
      <c r="D26" s="73">
        <f t="shared" si="0"/>
        <v>10014968</v>
      </c>
      <c r="E26" s="102">
        <v>176619</v>
      </c>
      <c r="F26" s="102">
        <v>9838349</v>
      </c>
      <c r="G26" s="73">
        <f t="shared" si="1"/>
        <v>1111136</v>
      </c>
      <c r="H26" s="102">
        <v>350132</v>
      </c>
      <c r="I26" s="102">
        <v>761004</v>
      </c>
      <c r="J26" s="102">
        <v>8447044</v>
      </c>
      <c r="K26" s="102">
        <v>4035622</v>
      </c>
      <c r="L26" s="102">
        <v>3635692</v>
      </c>
      <c r="M26" s="102">
        <v>743433</v>
      </c>
      <c r="N26" s="102">
        <v>833463</v>
      </c>
      <c r="O26" s="102">
        <v>2022636</v>
      </c>
      <c r="P26" s="102">
        <v>1226242</v>
      </c>
      <c r="Q26" s="102">
        <v>796394</v>
      </c>
      <c r="R26" s="102">
        <v>250026</v>
      </c>
      <c r="S26" s="74"/>
      <c r="T26" s="73">
        <f t="shared" si="2"/>
        <v>1456041</v>
      </c>
      <c r="U26" s="102">
        <v>107583</v>
      </c>
      <c r="V26" s="102">
        <v>83299</v>
      </c>
      <c r="W26" s="102">
        <v>19193</v>
      </c>
      <c r="X26" s="102">
        <v>1115080</v>
      </c>
      <c r="Y26" s="102">
        <v>2032</v>
      </c>
      <c r="Z26" s="102">
        <v>0</v>
      </c>
      <c r="AA26" s="102">
        <v>128854</v>
      </c>
      <c r="AB26" s="102">
        <v>120720</v>
      </c>
      <c r="AC26" s="102">
        <v>1287863</v>
      </c>
      <c r="AD26" s="102">
        <v>1117593</v>
      </c>
      <c r="AE26" s="102">
        <v>170262</v>
      </c>
      <c r="AF26" s="102">
        <v>24251</v>
      </c>
      <c r="AG26" s="102">
        <v>342691</v>
      </c>
      <c r="AH26" s="73">
        <f t="shared" si="3"/>
        <v>873075</v>
      </c>
      <c r="AI26" s="102">
        <v>593689</v>
      </c>
      <c r="AJ26" s="102">
        <v>279386</v>
      </c>
      <c r="AK26" s="102">
        <v>5432712</v>
      </c>
      <c r="AL26" s="73">
        <f t="shared" si="4"/>
        <v>2725718</v>
      </c>
      <c r="AM26" s="102">
        <v>1492460</v>
      </c>
      <c r="AN26" s="102">
        <v>417107</v>
      </c>
      <c r="AO26" s="74"/>
      <c r="AP26" s="102">
        <v>816151</v>
      </c>
      <c r="AQ26" s="102">
        <v>128855</v>
      </c>
      <c r="AR26" s="102">
        <v>0</v>
      </c>
      <c r="AS26" s="102">
        <v>0</v>
      </c>
      <c r="AT26" s="102">
        <v>3138531</v>
      </c>
      <c r="AU26" s="102">
        <v>1867290</v>
      </c>
      <c r="AV26" s="102">
        <v>136566</v>
      </c>
      <c r="AW26" s="102">
        <v>116814</v>
      </c>
      <c r="AX26" s="102">
        <v>1271241</v>
      </c>
      <c r="AY26" s="102">
        <v>218163</v>
      </c>
      <c r="AZ26" s="102">
        <v>814360</v>
      </c>
      <c r="BA26" s="102">
        <v>689130</v>
      </c>
      <c r="BB26" s="102">
        <v>49277</v>
      </c>
      <c r="BC26" s="102">
        <v>1061532</v>
      </c>
      <c r="BD26" s="102">
        <v>0</v>
      </c>
      <c r="BE26" s="102">
        <v>500000</v>
      </c>
      <c r="BF26" s="102">
        <v>505925</v>
      </c>
      <c r="BG26" s="102">
        <v>0</v>
      </c>
      <c r="BH26" s="102">
        <v>844056</v>
      </c>
      <c r="BI26" s="102">
        <v>492973</v>
      </c>
      <c r="BJ26" s="102">
        <v>1090088</v>
      </c>
      <c r="BK26" s="102">
        <v>10363</v>
      </c>
      <c r="BL26" s="102">
        <v>0</v>
      </c>
      <c r="BM26" s="102">
        <v>600000</v>
      </c>
      <c r="BN26" s="102">
        <v>2781086</v>
      </c>
      <c r="BO26" s="73">
        <f t="shared" si="5"/>
        <v>1297800</v>
      </c>
      <c r="BP26" s="73">
        <f t="shared" si="6"/>
        <v>1483286</v>
      </c>
      <c r="BQ26" s="102">
        <v>0</v>
      </c>
      <c r="BR26" s="102">
        <v>0</v>
      </c>
      <c r="BS26" s="102">
        <v>1483286</v>
      </c>
      <c r="BT26" s="102">
        <v>0</v>
      </c>
      <c r="BU26" s="102">
        <v>42091253</v>
      </c>
      <c r="BV26" s="71"/>
      <c r="BW26" s="102">
        <v>9461139</v>
      </c>
      <c r="BX26" s="102">
        <v>6544348</v>
      </c>
      <c r="BY26" s="102">
        <v>1013817</v>
      </c>
      <c r="BZ26" s="102">
        <v>265781</v>
      </c>
      <c r="CA26" s="102">
        <v>8281367</v>
      </c>
      <c r="CB26" s="102">
        <v>1871730</v>
      </c>
      <c r="CC26" s="102">
        <v>230883</v>
      </c>
      <c r="CD26" s="102">
        <v>4095946</v>
      </c>
      <c r="CE26" s="102">
        <v>1990854</v>
      </c>
      <c r="CF26" s="102">
        <v>6709</v>
      </c>
      <c r="CG26" s="102">
        <v>84981</v>
      </c>
      <c r="CH26" s="102">
        <v>3765151</v>
      </c>
      <c r="CI26" s="102">
        <v>3342642</v>
      </c>
      <c r="CJ26" s="83">
        <f t="shared" si="18"/>
        <v>422509</v>
      </c>
      <c r="CK26" s="102">
        <v>6924030</v>
      </c>
      <c r="CL26" s="102">
        <v>4560324</v>
      </c>
      <c r="CM26" s="102">
        <v>387699</v>
      </c>
      <c r="CN26" s="102">
        <v>1154663</v>
      </c>
      <c r="CO26" s="102">
        <v>568386</v>
      </c>
      <c r="CP26" s="102">
        <v>2533825</v>
      </c>
      <c r="CQ26" s="102">
        <v>78316</v>
      </c>
      <c r="CR26" s="102">
        <v>1324321</v>
      </c>
      <c r="CS26" s="102">
        <v>1039050</v>
      </c>
      <c r="CT26" s="73">
        <f t="shared" si="7"/>
        <v>644778</v>
      </c>
      <c r="CU26" s="102">
        <v>609578</v>
      </c>
      <c r="CV26" s="102">
        <v>35200</v>
      </c>
      <c r="CW26" s="73">
        <f t="shared" si="8"/>
        <v>295617</v>
      </c>
      <c r="CX26" s="102">
        <v>260417</v>
      </c>
      <c r="CY26" s="102">
        <v>35200</v>
      </c>
      <c r="CZ26" s="73">
        <f t="shared" si="9"/>
        <v>338726</v>
      </c>
      <c r="DA26" s="102">
        <v>338726</v>
      </c>
      <c r="DB26" s="102">
        <v>0</v>
      </c>
      <c r="DC26" s="102">
        <v>3923920</v>
      </c>
      <c r="DD26" s="102">
        <v>2020808</v>
      </c>
      <c r="DE26" s="102">
        <v>1903112</v>
      </c>
      <c r="DF26" s="77">
        <v>0</v>
      </c>
      <c r="DG26" s="78">
        <v>0</v>
      </c>
      <c r="DH26" s="102">
        <v>8537</v>
      </c>
      <c r="DI26" s="102">
        <v>327081</v>
      </c>
      <c r="DJ26" s="102">
        <v>15096</v>
      </c>
      <c r="DK26" s="102">
        <v>3044</v>
      </c>
      <c r="DL26" s="102">
        <v>308941</v>
      </c>
      <c r="DM26" s="102">
        <v>399046</v>
      </c>
      <c r="DN26" s="102">
        <v>398880</v>
      </c>
      <c r="DO26" s="102">
        <v>0</v>
      </c>
      <c r="DP26" s="102">
        <v>398880</v>
      </c>
      <c r="DQ26" s="102">
        <v>0</v>
      </c>
      <c r="DR26" s="102">
        <v>0</v>
      </c>
      <c r="DS26" s="102">
        <v>0</v>
      </c>
      <c r="DT26" s="102">
        <v>3677530</v>
      </c>
      <c r="DU26" s="102">
        <v>0</v>
      </c>
      <c r="DV26" s="73">
        <f t="shared" si="10"/>
        <v>0</v>
      </c>
      <c r="DW26" s="102">
        <v>0</v>
      </c>
      <c r="DX26" s="102">
        <v>1137361</v>
      </c>
      <c r="DY26" s="102">
        <v>0</v>
      </c>
      <c r="DZ26" s="102">
        <v>1320626</v>
      </c>
      <c r="EA26" s="74">
        <v>0</v>
      </c>
      <c r="EB26" s="102">
        <v>1096112</v>
      </c>
      <c r="EC26" s="102">
        <v>0</v>
      </c>
      <c r="ED26" s="102">
        <v>39870012</v>
      </c>
      <c r="EE26" s="71"/>
      <c r="EF26" s="102">
        <v>2221241</v>
      </c>
      <c r="EG26" s="102">
        <v>1388921</v>
      </c>
      <c r="EH26" s="102">
        <v>832320</v>
      </c>
      <c r="EI26" s="102">
        <v>-180653</v>
      </c>
      <c r="EJ26" s="102">
        <v>97959</v>
      </c>
      <c r="EK26" s="71"/>
      <c r="EL26" s="102"/>
      <c r="EM26" s="102">
        <v>133044</v>
      </c>
      <c r="EN26" s="102">
        <v>555607</v>
      </c>
      <c r="EO26" s="102">
        <v>772287</v>
      </c>
      <c r="EP26" s="73">
        <f t="shared" si="11"/>
        <v>1591860</v>
      </c>
      <c r="EQ26" s="102">
        <v>25663845</v>
      </c>
      <c r="ER26" s="71">
        <v>-4378789</v>
      </c>
      <c r="ES26" s="102">
        <v>9000415</v>
      </c>
      <c r="ET26" s="102">
        <v>6161133</v>
      </c>
      <c r="EU26" s="102">
        <v>2304445</v>
      </c>
      <c r="EV26" s="102">
        <v>3764794</v>
      </c>
      <c r="EW26" s="73">
        <f t="shared" si="12"/>
        <v>1064515</v>
      </c>
      <c r="EX26" s="102">
        <v>1055978</v>
      </c>
      <c r="EY26" s="102">
        <v>132345</v>
      </c>
      <c r="EZ26" s="102">
        <v>923633</v>
      </c>
      <c r="FA26" s="102">
        <v>8537</v>
      </c>
      <c r="FB26" s="102">
        <v>0</v>
      </c>
      <c r="FC26" s="102">
        <v>5305979</v>
      </c>
      <c r="FD26" s="102">
        <v>2152273</v>
      </c>
      <c r="FE26" s="102">
        <v>78316</v>
      </c>
      <c r="FF26" s="102">
        <v>3119724</v>
      </c>
      <c r="FG26" s="73">
        <f t="shared" si="13"/>
        <v>1219248</v>
      </c>
      <c r="FH26" s="102">
        <v>27931393</v>
      </c>
      <c r="FI26" s="379">
        <f t="shared" si="14"/>
        <v>3.4</v>
      </c>
      <c r="FJ26" s="102">
        <v>23033127</v>
      </c>
      <c r="FK26" s="102">
        <v>1694877</v>
      </c>
      <c r="FL26" s="102">
        <v>16621949</v>
      </c>
      <c r="FM26" s="102">
        <v>17675853</v>
      </c>
      <c r="FN26" s="428">
        <v>0.95399999999999996</v>
      </c>
      <c r="FO26" s="424">
        <v>93.8</v>
      </c>
      <c r="FP26" s="425">
        <v>34.1</v>
      </c>
      <c r="FQ26" s="424">
        <v>9.1</v>
      </c>
      <c r="FR26" s="424">
        <v>13.9</v>
      </c>
      <c r="FS26" s="425">
        <v>18</v>
      </c>
      <c r="FT26" s="424">
        <v>6.7</v>
      </c>
      <c r="FU26" s="425">
        <v>9.8000000000000007</v>
      </c>
      <c r="FV26" s="384">
        <f t="shared" si="15"/>
        <v>4.5</v>
      </c>
      <c r="FW26" s="102">
        <v>27768149</v>
      </c>
      <c r="FX26" s="384">
        <f t="shared" si="16"/>
        <v>112.3</v>
      </c>
      <c r="FY26" s="102">
        <v>16491152</v>
      </c>
      <c r="FZ26" s="102">
        <v>6933083</v>
      </c>
      <c r="GA26" s="102">
        <v>1040889</v>
      </c>
      <c r="GB26" s="102">
        <v>8517180</v>
      </c>
      <c r="GC26" s="102">
        <v>0</v>
      </c>
      <c r="GD26" s="454">
        <v>1592727</v>
      </c>
      <c r="GE26" s="386">
        <f>IF(GD26=0,"-",ROUND(GD26/(FJ26+FK26)*100,1))</f>
        <v>6.4</v>
      </c>
      <c r="GF26" s="424">
        <v>98.5</v>
      </c>
      <c r="GG26" s="424">
        <v>17.2</v>
      </c>
      <c r="GH26" s="424">
        <v>93</v>
      </c>
      <c r="GI26" s="102">
        <v>874</v>
      </c>
      <c r="GJ26" s="429" t="s">
        <v>646</v>
      </c>
      <c r="GK26" s="429">
        <v>12.1</v>
      </c>
      <c r="GL26" s="87">
        <v>20</v>
      </c>
      <c r="GM26" s="429" t="s">
        <v>646</v>
      </c>
      <c r="GN26" s="430">
        <v>17.100000000000001</v>
      </c>
      <c r="GO26" s="430">
        <v>30</v>
      </c>
      <c r="GP26" s="425">
        <v>4.5</v>
      </c>
      <c r="GQ26" s="425">
        <v>25</v>
      </c>
      <c r="GR26" s="425">
        <v>35</v>
      </c>
      <c r="GS26" s="431" t="s">
        <v>646</v>
      </c>
      <c r="GT26" s="425">
        <v>350</v>
      </c>
      <c r="GU26" s="394"/>
      <c r="GV26" s="100">
        <f t="shared" si="17"/>
        <v>24728</v>
      </c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</row>
    <row r="27" spans="2:230" x14ac:dyDescent="0.15">
      <c r="B27" s="89" t="s">
        <v>43</v>
      </c>
      <c r="C27" s="102">
        <v>8813287</v>
      </c>
      <c r="D27" s="73">
        <f t="shared" si="0"/>
        <v>3442585</v>
      </c>
      <c r="E27" s="102">
        <v>95328</v>
      </c>
      <c r="F27" s="102">
        <v>3347257</v>
      </c>
      <c r="G27" s="73">
        <f t="shared" si="1"/>
        <v>667760</v>
      </c>
      <c r="H27" s="102">
        <v>131201</v>
      </c>
      <c r="I27" s="102">
        <v>536559</v>
      </c>
      <c r="J27" s="102">
        <v>3558975</v>
      </c>
      <c r="K27" s="102">
        <v>1488480</v>
      </c>
      <c r="L27" s="102">
        <v>1367994</v>
      </c>
      <c r="M27" s="102">
        <v>676914</v>
      </c>
      <c r="N27" s="102">
        <v>350918</v>
      </c>
      <c r="O27" s="102">
        <v>717827</v>
      </c>
      <c r="P27" s="102">
        <v>423870</v>
      </c>
      <c r="Q27" s="102">
        <v>293957</v>
      </c>
      <c r="R27" s="102">
        <v>130426</v>
      </c>
      <c r="S27" s="74"/>
      <c r="T27" s="73">
        <f t="shared" si="2"/>
        <v>792952</v>
      </c>
      <c r="U27" s="102">
        <v>38922</v>
      </c>
      <c r="V27" s="102">
        <v>30085</v>
      </c>
      <c r="W27" s="102">
        <v>6905</v>
      </c>
      <c r="X27" s="102">
        <v>649889</v>
      </c>
      <c r="Y27" s="102">
        <v>0</v>
      </c>
      <c r="Z27" s="102">
        <v>0</v>
      </c>
      <c r="AA27" s="102">
        <v>67151</v>
      </c>
      <c r="AB27" s="102">
        <v>59034</v>
      </c>
      <c r="AC27" s="102">
        <v>4390967</v>
      </c>
      <c r="AD27" s="102">
        <v>4137396</v>
      </c>
      <c r="AE27" s="102">
        <v>253567</v>
      </c>
      <c r="AF27" s="102">
        <v>13885</v>
      </c>
      <c r="AG27" s="102">
        <v>250682</v>
      </c>
      <c r="AH27" s="73">
        <f t="shared" si="3"/>
        <v>420281</v>
      </c>
      <c r="AI27" s="102">
        <v>384647</v>
      </c>
      <c r="AJ27" s="102">
        <v>35634</v>
      </c>
      <c r="AK27" s="102">
        <v>3355663</v>
      </c>
      <c r="AL27" s="73">
        <f t="shared" si="4"/>
        <v>2936150</v>
      </c>
      <c r="AM27" s="102">
        <v>1643250</v>
      </c>
      <c r="AN27" s="102">
        <v>1025330</v>
      </c>
      <c r="AO27" s="74"/>
      <c r="AP27" s="102">
        <v>267570</v>
      </c>
      <c r="AQ27" s="102">
        <v>63005</v>
      </c>
      <c r="AR27" s="102">
        <v>0</v>
      </c>
      <c r="AS27" s="102">
        <v>0</v>
      </c>
      <c r="AT27" s="102">
        <v>1428638</v>
      </c>
      <c r="AU27" s="102">
        <v>753005</v>
      </c>
      <c r="AV27" s="102">
        <v>258557</v>
      </c>
      <c r="AW27" s="102">
        <v>9549</v>
      </c>
      <c r="AX27" s="102">
        <v>675633</v>
      </c>
      <c r="AY27" s="102">
        <v>476</v>
      </c>
      <c r="AZ27" s="102">
        <v>29828</v>
      </c>
      <c r="BA27" s="102">
        <v>4683</v>
      </c>
      <c r="BB27" s="102">
        <v>15314</v>
      </c>
      <c r="BC27" s="102">
        <v>0</v>
      </c>
      <c r="BD27" s="102">
        <v>0</v>
      </c>
      <c r="BE27" s="102">
        <v>0</v>
      </c>
      <c r="BF27" s="102">
        <v>0</v>
      </c>
      <c r="BG27" s="102">
        <v>0</v>
      </c>
      <c r="BH27" s="102">
        <v>247952</v>
      </c>
      <c r="BI27" s="102">
        <v>228211</v>
      </c>
      <c r="BJ27" s="102">
        <v>671627</v>
      </c>
      <c r="BK27" s="102">
        <v>449807</v>
      </c>
      <c r="BL27" s="102">
        <v>0</v>
      </c>
      <c r="BM27" s="102">
        <v>0</v>
      </c>
      <c r="BN27" s="102">
        <v>1573994</v>
      </c>
      <c r="BO27" s="73">
        <f t="shared" si="5"/>
        <v>230800</v>
      </c>
      <c r="BP27" s="73">
        <f t="shared" si="6"/>
        <v>1343194</v>
      </c>
      <c r="BQ27" s="102">
        <v>0</v>
      </c>
      <c r="BR27" s="102">
        <v>0</v>
      </c>
      <c r="BS27" s="102">
        <v>1343194</v>
      </c>
      <c r="BT27" s="102">
        <v>0</v>
      </c>
      <c r="BU27" s="102">
        <v>22194530</v>
      </c>
      <c r="BV27" s="71"/>
      <c r="BW27" s="102">
        <v>3959839</v>
      </c>
      <c r="BX27" s="102">
        <v>2354684</v>
      </c>
      <c r="BY27" s="102">
        <v>505514</v>
      </c>
      <c r="BZ27" s="102">
        <v>321898</v>
      </c>
      <c r="CA27" s="102">
        <v>5734524</v>
      </c>
      <c r="CB27" s="102">
        <v>905170</v>
      </c>
      <c r="CC27" s="102">
        <v>126976</v>
      </c>
      <c r="CD27" s="102">
        <v>2568291</v>
      </c>
      <c r="CE27" s="102">
        <v>2053624</v>
      </c>
      <c r="CF27" s="102">
        <v>0</v>
      </c>
      <c r="CG27" s="102">
        <v>80388</v>
      </c>
      <c r="CH27" s="102">
        <v>1932955</v>
      </c>
      <c r="CI27" s="102">
        <v>1624957</v>
      </c>
      <c r="CJ27" s="83">
        <f t="shared" si="18"/>
        <v>307998</v>
      </c>
      <c r="CK27" s="102">
        <v>2353253</v>
      </c>
      <c r="CL27" s="102">
        <v>1360010</v>
      </c>
      <c r="CM27" s="102">
        <v>200912</v>
      </c>
      <c r="CN27" s="102">
        <v>315302</v>
      </c>
      <c r="CO27" s="102">
        <v>93488</v>
      </c>
      <c r="CP27" s="102">
        <v>3207746</v>
      </c>
      <c r="CQ27" s="102">
        <v>1683304</v>
      </c>
      <c r="CR27" s="102">
        <v>367434</v>
      </c>
      <c r="CS27" s="102">
        <v>208370</v>
      </c>
      <c r="CT27" s="73">
        <f t="shared" si="7"/>
        <v>934343</v>
      </c>
      <c r="CU27" s="102">
        <v>115392</v>
      </c>
      <c r="CV27" s="102">
        <v>818951</v>
      </c>
      <c r="CW27" s="73">
        <f t="shared" si="8"/>
        <v>931375</v>
      </c>
      <c r="CX27" s="102">
        <v>113914</v>
      </c>
      <c r="CY27" s="102">
        <v>817461</v>
      </c>
      <c r="CZ27" s="73">
        <f t="shared" si="9"/>
        <v>0</v>
      </c>
      <c r="DA27" s="102">
        <v>0</v>
      </c>
      <c r="DB27" s="102">
        <v>0</v>
      </c>
      <c r="DC27" s="102">
        <v>882631</v>
      </c>
      <c r="DD27" s="102">
        <v>214484</v>
      </c>
      <c r="DE27" s="102">
        <v>668147</v>
      </c>
      <c r="DF27" s="77">
        <v>0</v>
      </c>
      <c r="DG27" s="78">
        <v>0</v>
      </c>
      <c r="DH27" s="102">
        <v>0</v>
      </c>
      <c r="DI27" s="102">
        <v>24346</v>
      </c>
      <c r="DJ27" s="102">
        <v>1658</v>
      </c>
      <c r="DK27" s="102">
        <v>0</v>
      </c>
      <c r="DL27" s="102">
        <v>22688</v>
      </c>
      <c r="DM27" s="102">
        <v>157861</v>
      </c>
      <c r="DN27" s="102">
        <v>157861</v>
      </c>
      <c r="DO27" s="102">
        <v>0</v>
      </c>
      <c r="DP27" s="102">
        <v>157861</v>
      </c>
      <c r="DQ27" s="102">
        <v>416964</v>
      </c>
      <c r="DR27" s="102">
        <v>0</v>
      </c>
      <c r="DS27" s="102">
        <v>0</v>
      </c>
      <c r="DT27" s="102">
        <v>3147927</v>
      </c>
      <c r="DU27" s="102">
        <v>992280</v>
      </c>
      <c r="DV27" s="73">
        <f t="shared" si="10"/>
        <v>0</v>
      </c>
      <c r="DW27" s="102">
        <v>0</v>
      </c>
      <c r="DX27" s="102">
        <v>729602</v>
      </c>
      <c r="DY27" s="102">
        <v>0</v>
      </c>
      <c r="DZ27" s="102">
        <v>699409</v>
      </c>
      <c r="EA27" s="74">
        <v>0</v>
      </c>
      <c r="EB27" s="102">
        <v>723832</v>
      </c>
      <c r="EC27" s="102">
        <v>0</v>
      </c>
      <c r="ED27" s="102">
        <v>21911534</v>
      </c>
      <c r="EE27" s="71"/>
      <c r="EF27" s="102">
        <v>282996</v>
      </c>
      <c r="EG27" s="102">
        <v>23600</v>
      </c>
      <c r="EH27" s="102">
        <v>259396</v>
      </c>
      <c r="EI27" s="102">
        <v>-198815</v>
      </c>
      <c r="EJ27" s="102">
        <v>-197157</v>
      </c>
      <c r="EK27" s="71"/>
      <c r="EL27" s="102"/>
      <c r="EM27" s="102">
        <v>72769</v>
      </c>
      <c r="EN27" s="102">
        <v>0</v>
      </c>
      <c r="EO27" s="102">
        <v>20029</v>
      </c>
      <c r="EP27" s="73">
        <f t="shared" si="11"/>
        <v>485145</v>
      </c>
      <c r="EQ27" s="102">
        <v>14200551</v>
      </c>
      <c r="ER27" s="71">
        <v>-1834483</v>
      </c>
      <c r="ES27" s="102">
        <v>3589669</v>
      </c>
      <c r="ET27" s="102">
        <v>2057266</v>
      </c>
      <c r="EU27" s="102">
        <v>1674637</v>
      </c>
      <c r="EV27" s="102">
        <v>1932955</v>
      </c>
      <c r="EW27" s="73">
        <f t="shared" si="12"/>
        <v>479837</v>
      </c>
      <c r="EX27" s="102">
        <v>479837</v>
      </c>
      <c r="EY27" s="102">
        <v>17880</v>
      </c>
      <c r="EZ27" s="102">
        <v>461957</v>
      </c>
      <c r="FA27" s="102">
        <v>0</v>
      </c>
      <c r="FB27" s="102">
        <v>0</v>
      </c>
      <c r="FC27" s="102">
        <v>1894314</v>
      </c>
      <c r="FD27" s="102">
        <v>3131463</v>
      </c>
      <c r="FE27" s="102">
        <v>1682783</v>
      </c>
      <c r="FF27" s="102">
        <v>2799059</v>
      </c>
      <c r="FG27" s="73">
        <f t="shared" si="13"/>
        <v>250104</v>
      </c>
      <c r="FH27" s="102">
        <v>15752038</v>
      </c>
      <c r="FI27" s="379">
        <f t="shared" si="14"/>
        <v>1.8</v>
      </c>
      <c r="FJ27" s="102">
        <v>13171245</v>
      </c>
      <c r="FK27" s="102">
        <v>1343194</v>
      </c>
      <c r="FL27" s="102">
        <v>6985209</v>
      </c>
      <c r="FM27" s="102">
        <v>11113341</v>
      </c>
      <c r="FN27" s="428">
        <v>0.64400000000000002</v>
      </c>
      <c r="FO27" s="424">
        <v>92.6</v>
      </c>
      <c r="FP27" s="425">
        <v>24.3</v>
      </c>
      <c r="FQ27" s="424">
        <v>11.3</v>
      </c>
      <c r="FR27" s="424">
        <v>13.2</v>
      </c>
      <c r="FS27" s="425">
        <v>12</v>
      </c>
      <c r="FT27" s="424">
        <v>15</v>
      </c>
      <c r="FU27" s="425">
        <v>15.3</v>
      </c>
      <c r="FV27" s="384">
        <f t="shared" si="15"/>
        <v>9.3000000000000007</v>
      </c>
      <c r="FW27" s="102">
        <v>20341928</v>
      </c>
      <c r="FX27" s="384">
        <f t="shared" si="16"/>
        <v>140.1</v>
      </c>
      <c r="FY27" s="102">
        <v>3512938</v>
      </c>
      <c r="FZ27" s="102">
        <v>823461</v>
      </c>
      <c r="GA27" s="102">
        <v>173</v>
      </c>
      <c r="GB27" s="102">
        <v>2689304</v>
      </c>
      <c r="GC27" s="102">
        <v>250000</v>
      </c>
      <c r="GD27" s="454">
        <v>398546</v>
      </c>
      <c r="GE27" s="386">
        <f>IF(GD27=0,"-",ROUND(GD27/(FJ27+FK27)*100,1))</f>
        <v>2.7</v>
      </c>
      <c r="GF27" s="424">
        <v>98.1</v>
      </c>
      <c r="GG27" s="424">
        <v>31.1</v>
      </c>
      <c r="GH27" s="424">
        <v>93.9</v>
      </c>
      <c r="GI27" s="102">
        <v>398</v>
      </c>
      <c r="GJ27" s="429" t="s">
        <v>646</v>
      </c>
      <c r="GK27" s="429">
        <v>12.81</v>
      </c>
      <c r="GL27" s="87">
        <v>20</v>
      </c>
      <c r="GM27" s="429" t="s">
        <v>646</v>
      </c>
      <c r="GN27" s="430">
        <v>17.809999999999999</v>
      </c>
      <c r="GO27" s="430">
        <v>30</v>
      </c>
      <c r="GP27" s="425">
        <v>9.3000000000000007</v>
      </c>
      <c r="GQ27" s="425">
        <v>25</v>
      </c>
      <c r="GR27" s="425">
        <v>35</v>
      </c>
      <c r="GS27" s="431">
        <v>45.7</v>
      </c>
      <c r="GT27" s="425">
        <v>350</v>
      </c>
      <c r="GU27" s="394"/>
      <c r="GV27" s="100">
        <f t="shared" si="17"/>
        <v>14514</v>
      </c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</row>
    <row r="28" spans="2:230" x14ac:dyDescent="0.15">
      <c r="B28" s="89" t="s">
        <v>45</v>
      </c>
      <c r="C28" s="102">
        <v>12496315</v>
      </c>
      <c r="D28" s="73">
        <f t="shared" si="0"/>
        <v>5258032</v>
      </c>
      <c r="E28" s="102">
        <v>147172</v>
      </c>
      <c r="F28" s="102">
        <v>5110860</v>
      </c>
      <c r="G28" s="73">
        <f t="shared" si="1"/>
        <v>619729</v>
      </c>
      <c r="H28" s="102">
        <v>191633</v>
      </c>
      <c r="I28" s="102">
        <v>428096</v>
      </c>
      <c r="J28" s="102">
        <v>4756275</v>
      </c>
      <c r="K28" s="102">
        <v>2204992</v>
      </c>
      <c r="L28" s="102">
        <v>2032199</v>
      </c>
      <c r="M28" s="102">
        <v>470203</v>
      </c>
      <c r="N28" s="102">
        <v>661124</v>
      </c>
      <c r="O28" s="102">
        <v>1032883</v>
      </c>
      <c r="P28" s="102">
        <v>616352</v>
      </c>
      <c r="Q28" s="102">
        <v>416531</v>
      </c>
      <c r="R28" s="102">
        <v>201090</v>
      </c>
      <c r="S28" s="74"/>
      <c r="T28" s="73">
        <f t="shared" si="2"/>
        <v>1193415</v>
      </c>
      <c r="U28" s="102">
        <v>59422</v>
      </c>
      <c r="V28" s="102">
        <v>45920</v>
      </c>
      <c r="W28" s="102">
        <v>10534</v>
      </c>
      <c r="X28" s="102">
        <v>973941</v>
      </c>
      <c r="Y28" s="102">
        <v>0</v>
      </c>
      <c r="Z28" s="102">
        <v>0</v>
      </c>
      <c r="AA28" s="102">
        <v>103598</v>
      </c>
      <c r="AB28" s="102">
        <v>95742</v>
      </c>
      <c r="AC28" s="102">
        <v>8192196</v>
      </c>
      <c r="AD28" s="102">
        <v>7893064</v>
      </c>
      <c r="AE28" s="102">
        <v>299126</v>
      </c>
      <c r="AF28" s="102">
        <v>19855</v>
      </c>
      <c r="AG28" s="102">
        <v>322931</v>
      </c>
      <c r="AH28" s="73">
        <f t="shared" si="3"/>
        <v>568706</v>
      </c>
      <c r="AI28" s="102">
        <v>513012</v>
      </c>
      <c r="AJ28" s="102">
        <v>55694</v>
      </c>
      <c r="AK28" s="102">
        <v>7110918</v>
      </c>
      <c r="AL28" s="73">
        <f t="shared" si="4"/>
        <v>4625235</v>
      </c>
      <c r="AM28" s="102">
        <v>3487500</v>
      </c>
      <c r="AN28" s="102">
        <v>358454</v>
      </c>
      <c r="AO28" s="74"/>
      <c r="AP28" s="102">
        <v>779281</v>
      </c>
      <c r="AQ28" s="102">
        <v>324839</v>
      </c>
      <c r="AR28" s="102">
        <v>0</v>
      </c>
      <c r="AS28" s="102">
        <v>0</v>
      </c>
      <c r="AT28" s="102">
        <v>2391403</v>
      </c>
      <c r="AU28" s="102">
        <v>1321690</v>
      </c>
      <c r="AV28" s="102">
        <v>179227</v>
      </c>
      <c r="AW28" s="102">
        <v>31426</v>
      </c>
      <c r="AX28" s="102">
        <v>1069713</v>
      </c>
      <c r="AY28" s="102">
        <v>18733</v>
      </c>
      <c r="AZ28" s="102">
        <v>69775</v>
      </c>
      <c r="BA28" s="102">
        <v>36908</v>
      </c>
      <c r="BB28" s="102">
        <v>2448</v>
      </c>
      <c r="BC28" s="102">
        <v>1919474</v>
      </c>
      <c r="BD28" s="102">
        <v>0</v>
      </c>
      <c r="BE28" s="102">
        <v>0</v>
      </c>
      <c r="BF28" s="102">
        <v>77150</v>
      </c>
      <c r="BG28" s="102">
        <v>0</v>
      </c>
      <c r="BH28" s="102">
        <v>848335</v>
      </c>
      <c r="BI28" s="102">
        <v>771095</v>
      </c>
      <c r="BJ28" s="102">
        <v>367775</v>
      </c>
      <c r="BK28" s="102">
        <v>11016</v>
      </c>
      <c r="BL28" s="102">
        <v>0</v>
      </c>
      <c r="BM28" s="102">
        <v>0</v>
      </c>
      <c r="BN28" s="102">
        <v>2987900</v>
      </c>
      <c r="BO28" s="73">
        <f t="shared" si="5"/>
        <v>775700</v>
      </c>
      <c r="BP28" s="73">
        <f t="shared" si="6"/>
        <v>1865300</v>
      </c>
      <c r="BQ28" s="102">
        <v>0</v>
      </c>
      <c r="BR28" s="102">
        <v>0</v>
      </c>
      <c r="BS28" s="102">
        <v>1865300</v>
      </c>
      <c r="BT28" s="102">
        <v>346900</v>
      </c>
      <c r="BU28" s="102">
        <v>38788278</v>
      </c>
      <c r="BV28" s="71"/>
      <c r="BW28" s="102">
        <v>5044483</v>
      </c>
      <c r="BX28" s="102">
        <v>3227780</v>
      </c>
      <c r="BY28" s="102">
        <v>733474</v>
      </c>
      <c r="BZ28" s="102">
        <v>79310</v>
      </c>
      <c r="CA28" s="102">
        <v>11565465</v>
      </c>
      <c r="CB28" s="102">
        <v>2565406</v>
      </c>
      <c r="CC28" s="102">
        <v>206671</v>
      </c>
      <c r="CD28" s="102">
        <v>4118017</v>
      </c>
      <c r="CE28" s="102">
        <v>4557736</v>
      </c>
      <c r="CF28" s="102">
        <v>0</v>
      </c>
      <c r="CG28" s="102">
        <v>117410</v>
      </c>
      <c r="CH28" s="102">
        <v>5028852</v>
      </c>
      <c r="CI28" s="102">
        <v>4343060</v>
      </c>
      <c r="CJ28" s="83">
        <f t="shared" si="18"/>
        <v>685792</v>
      </c>
      <c r="CK28" s="102">
        <v>4167116</v>
      </c>
      <c r="CL28" s="102">
        <v>2402918</v>
      </c>
      <c r="CM28" s="102">
        <v>593786</v>
      </c>
      <c r="CN28" s="102">
        <v>580296</v>
      </c>
      <c r="CO28" s="102">
        <v>92618</v>
      </c>
      <c r="CP28" s="102">
        <v>3422388</v>
      </c>
      <c r="CQ28" s="102">
        <v>2024760</v>
      </c>
      <c r="CR28" s="102">
        <v>777008</v>
      </c>
      <c r="CS28" s="102">
        <v>694693</v>
      </c>
      <c r="CT28" s="73">
        <f t="shared" si="7"/>
        <v>2546</v>
      </c>
      <c r="CU28" s="102">
        <v>0</v>
      </c>
      <c r="CV28" s="102">
        <v>2546</v>
      </c>
      <c r="CW28" s="73">
        <f t="shared" si="8"/>
        <v>0</v>
      </c>
      <c r="CX28" s="102">
        <v>0</v>
      </c>
      <c r="CY28" s="102">
        <v>0</v>
      </c>
      <c r="CZ28" s="73">
        <f t="shared" si="9"/>
        <v>0</v>
      </c>
      <c r="DA28" s="102">
        <v>0</v>
      </c>
      <c r="DB28" s="102">
        <v>0</v>
      </c>
      <c r="DC28" s="102">
        <v>3473943</v>
      </c>
      <c r="DD28" s="102">
        <v>976089</v>
      </c>
      <c r="DE28" s="102">
        <v>2497854</v>
      </c>
      <c r="DF28" s="77">
        <v>0</v>
      </c>
      <c r="DG28" s="78">
        <v>0</v>
      </c>
      <c r="DH28" s="102">
        <v>0</v>
      </c>
      <c r="DI28" s="102">
        <v>785792</v>
      </c>
      <c r="DJ28" s="102">
        <v>761284</v>
      </c>
      <c r="DK28" s="102">
        <v>62</v>
      </c>
      <c r="DL28" s="102">
        <v>24446</v>
      </c>
      <c r="DM28" s="102">
        <v>21100</v>
      </c>
      <c r="DN28" s="102">
        <v>21100</v>
      </c>
      <c r="DO28" s="102">
        <v>21100</v>
      </c>
      <c r="DP28" s="102">
        <v>0</v>
      </c>
      <c r="DQ28" s="102">
        <v>0</v>
      </c>
      <c r="DR28" s="102">
        <v>0</v>
      </c>
      <c r="DS28" s="102">
        <v>0</v>
      </c>
      <c r="DT28" s="102">
        <v>5022852</v>
      </c>
      <c r="DU28" s="102">
        <v>1362820</v>
      </c>
      <c r="DV28" s="73">
        <f t="shared" si="10"/>
        <v>0</v>
      </c>
      <c r="DW28" s="102">
        <v>0</v>
      </c>
      <c r="DX28" s="102">
        <v>1239469</v>
      </c>
      <c r="DY28" s="102">
        <v>0</v>
      </c>
      <c r="DZ28" s="102">
        <v>1082476</v>
      </c>
      <c r="EA28" s="74">
        <v>0</v>
      </c>
      <c r="EB28" s="102">
        <v>1222559</v>
      </c>
      <c r="EC28" s="102">
        <v>0</v>
      </c>
      <c r="ED28" s="102">
        <v>38624609</v>
      </c>
      <c r="EE28" s="71"/>
      <c r="EF28" s="102">
        <v>163669</v>
      </c>
      <c r="EG28" s="102">
        <v>85684</v>
      </c>
      <c r="EH28" s="102">
        <v>77985</v>
      </c>
      <c r="EI28" s="102">
        <v>-693110</v>
      </c>
      <c r="EJ28" s="102">
        <v>295789</v>
      </c>
      <c r="EK28" s="71"/>
      <c r="EL28" s="102"/>
      <c r="EM28" s="102">
        <v>116561</v>
      </c>
      <c r="EN28" s="102">
        <v>1887457</v>
      </c>
      <c r="EO28" s="102">
        <v>27141</v>
      </c>
      <c r="EP28" s="73">
        <f t="shared" si="11"/>
        <v>1289122</v>
      </c>
      <c r="EQ28" s="102">
        <v>22198613</v>
      </c>
      <c r="ER28" s="71">
        <v>-5049165</v>
      </c>
      <c r="ES28" s="102">
        <v>4293874</v>
      </c>
      <c r="ET28" s="102">
        <v>2885781</v>
      </c>
      <c r="EU28" s="102">
        <v>3410353</v>
      </c>
      <c r="EV28" s="102">
        <v>4973143</v>
      </c>
      <c r="EW28" s="73">
        <f t="shared" si="12"/>
        <v>2228867</v>
      </c>
      <c r="EX28" s="102">
        <v>2228867</v>
      </c>
      <c r="EY28" s="102">
        <v>78339</v>
      </c>
      <c r="EZ28" s="102">
        <v>2150528</v>
      </c>
      <c r="FA28" s="102">
        <v>0</v>
      </c>
      <c r="FB28" s="102">
        <v>0</v>
      </c>
      <c r="FC28" s="102">
        <v>3582646</v>
      </c>
      <c r="FD28" s="102">
        <v>3286917</v>
      </c>
      <c r="FE28" s="102">
        <v>2024760</v>
      </c>
      <c r="FF28" s="102">
        <v>4455406</v>
      </c>
      <c r="FG28" s="73">
        <f t="shared" si="13"/>
        <v>852903</v>
      </c>
      <c r="FH28" s="102">
        <v>27084109</v>
      </c>
      <c r="FI28" s="379">
        <f t="shared" si="14"/>
        <v>0.3</v>
      </c>
      <c r="FJ28" s="102">
        <v>20738203</v>
      </c>
      <c r="FK28" s="102">
        <v>1865423</v>
      </c>
      <c r="FL28" s="102">
        <v>9961784</v>
      </c>
      <c r="FM28" s="102">
        <v>17859240</v>
      </c>
      <c r="FN28" s="428">
        <v>0.56899999999999995</v>
      </c>
      <c r="FO28" s="424">
        <v>97.9</v>
      </c>
      <c r="FP28" s="425">
        <v>18.5</v>
      </c>
      <c r="FQ28" s="424">
        <v>14.9</v>
      </c>
      <c r="FR28" s="424">
        <v>20.7</v>
      </c>
      <c r="FS28" s="425">
        <v>14.8</v>
      </c>
      <c r="FT28" s="424">
        <v>12.9</v>
      </c>
      <c r="FU28" s="425">
        <v>15.8</v>
      </c>
      <c r="FV28" s="384">
        <f t="shared" si="15"/>
        <v>10.8</v>
      </c>
      <c r="FW28" s="102">
        <v>42766371</v>
      </c>
      <c r="FX28" s="384">
        <f t="shared" si="16"/>
        <v>189.2</v>
      </c>
      <c r="FY28" s="102">
        <v>3516252</v>
      </c>
      <c r="FZ28" s="102">
        <v>2726487</v>
      </c>
      <c r="GA28" s="102">
        <v>72415</v>
      </c>
      <c r="GB28" s="102">
        <v>717350</v>
      </c>
      <c r="GC28" s="102">
        <v>0</v>
      </c>
      <c r="GD28" s="454">
        <v>4877086</v>
      </c>
      <c r="GE28" s="386">
        <f>IF(GD28=0,"-",ROUND(GD28/(FJ28+FK28)*100,1))</f>
        <v>21.6</v>
      </c>
      <c r="GF28" s="424">
        <v>98</v>
      </c>
      <c r="GG28" s="424">
        <v>24.1</v>
      </c>
      <c r="GH28" s="424">
        <v>91.8</v>
      </c>
      <c r="GI28" s="102">
        <v>547</v>
      </c>
      <c r="GJ28" s="429" t="s">
        <v>646</v>
      </c>
      <c r="GK28" s="429">
        <v>12.26</v>
      </c>
      <c r="GL28" s="87">
        <v>20</v>
      </c>
      <c r="GM28" s="429" t="s">
        <v>646</v>
      </c>
      <c r="GN28" s="430">
        <v>17.260000000000002</v>
      </c>
      <c r="GO28" s="430">
        <v>30</v>
      </c>
      <c r="GP28" s="425">
        <v>10.8</v>
      </c>
      <c r="GQ28" s="425">
        <v>25</v>
      </c>
      <c r="GR28" s="425">
        <v>35</v>
      </c>
      <c r="GS28" s="431">
        <v>98.7</v>
      </c>
      <c r="GT28" s="425">
        <v>350</v>
      </c>
      <c r="GU28" s="394"/>
      <c r="GV28" s="100">
        <f t="shared" si="17"/>
        <v>22604</v>
      </c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</row>
    <row r="29" spans="2:230" x14ac:dyDescent="0.15">
      <c r="B29" s="89" t="s">
        <v>47</v>
      </c>
      <c r="C29" s="102">
        <v>17635824</v>
      </c>
      <c r="D29" s="73">
        <f t="shared" si="0"/>
        <v>5109516</v>
      </c>
      <c r="E29" s="102">
        <v>157479</v>
      </c>
      <c r="F29" s="102">
        <v>4952037</v>
      </c>
      <c r="G29" s="73">
        <f t="shared" si="1"/>
        <v>1453167</v>
      </c>
      <c r="H29" s="102">
        <v>432437</v>
      </c>
      <c r="I29" s="102">
        <v>1020730</v>
      </c>
      <c r="J29" s="102">
        <v>8162644</v>
      </c>
      <c r="K29" s="102">
        <v>3904699</v>
      </c>
      <c r="L29" s="102">
        <v>3059354</v>
      </c>
      <c r="M29" s="102">
        <v>1082792</v>
      </c>
      <c r="N29" s="102">
        <v>1138695</v>
      </c>
      <c r="O29" s="102">
        <v>1659297</v>
      </c>
      <c r="P29" s="102">
        <v>990457</v>
      </c>
      <c r="Q29" s="102">
        <v>668840</v>
      </c>
      <c r="R29" s="102">
        <v>198394</v>
      </c>
      <c r="S29" s="74"/>
      <c r="T29" s="73">
        <f t="shared" si="2"/>
        <v>1659584</v>
      </c>
      <c r="U29" s="102">
        <v>58430</v>
      </c>
      <c r="V29" s="102">
        <v>45195</v>
      </c>
      <c r="W29" s="102">
        <v>10390</v>
      </c>
      <c r="X29" s="102">
        <v>1443354</v>
      </c>
      <c r="Y29" s="102">
        <v>0</v>
      </c>
      <c r="Z29" s="102">
        <v>0</v>
      </c>
      <c r="AA29" s="102">
        <v>102215</v>
      </c>
      <c r="AB29" s="102">
        <v>102251</v>
      </c>
      <c r="AC29" s="102">
        <v>6663673</v>
      </c>
      <c r="AD29" s="102">
        <v>6434571</v>
      </c>
      <c r="AE29" s="102">
        <v>229096</v>
      </c>
      <c r="AF29" s="102">
        <v>20984</v>
      </c>
      <c r="AG29" s="102">
        <v>310390</v>
      </c>
      <c r="AH29" s="73">
        <f t="shared" si="3"/>
        <v>679733</v>
      </c>
      <c r="AI29" s="102">
        <v>490885</v>
      </c>
      <c r="AJ29" s="102">
        <v>188848</v>
      </c>
      <c r="AK29" s="102">
        <v>13602495</v>
      </c>
      <c r="AL29" s="73">
        <f t="shared" si="4"/>
        <v>10039985</v>
      </c>
      <c r="AM29" s="102">
        <v>8437104</v>
      </c>
      <c r="AN29" s="102">
        <v>524879</v>
      </c>
      <c r="AO29" s="74"/>
      <c r="AP29" s="102">
        <v>1078002</v>
      </c>
      <c r="AQ29" s="102">
        <v>226025</v>
      </c>
      <c r="AR29" s="102">
        <v>0</v>
      </c>
      <c r="AS29" s="102">
        <v>0</v>
      </c>
      <c r="AT29" s="102">
        <v>3081410</v>
      </c>
      <c r="AU29" s="102">
        <v>1676908</v>
      </c>
      <c r="AV29" s="102">
        <v>262440</v>
      </c>
      <c r="AW29" s="102">
        <v>431</v>
      </c>
      <c r="AX29" s="102">
        <v>1404502</v>
      </c>
      <c r="AY29" s="102">
        <v>83951</v>
      </c>
      <c r="AZ29" s="102">
        <v>282717</v>
      </c>
      <c r="BA29" s="102">
        <v>240149</v>
      </c>
      <c r="BB29" s="102">
        <v>8577</v>
      </c>
      <c r="BC29" s="102">
        <v>1108970</v>
      </c>
      <c r="BD29" s="102">
        <v>250000</v>
      </c>
      <c r="BE29" s="102">
        <v>0</v>
      </c>
      <c r="BF29" s="102">
        <v>858970</v>
      </c>
      <c r="BG29" s="102">
        <v>0</v>
      </c>
      <c r="BH29" s="102">
        <v>145521</v>
      </c>
      <c r="BI29" s="102">
        <v>110284</v>
      </c>
      <c r="BJ29" s="102">
        <v>511453</v>
      </c>
      <c r="BK29" s="102">
        <v>9000</v>
      </c>
      <c r="BL29" s="102">
        <v>0</v>
      </c>
      <c r="BM29" s="102">
        <v>0</v>
      </c>
      <c r="BN29" s="102">
        <v>8574723</v>
      </c>
      <c r="BO29" s="73">
        <f t="shared" si="5"/>
        <v>5517700</v>
      </c>
      <c r="BP29" s="73">
        <f t="shared" si="6"/>
        <v>2470423</v>
      </c>
      <c r="BQ29" s="102">
        <v>0</v>
      </c>
      <c r="BR29" s="102">
        <v>0</v>
      </c>
      <c r="BS29" s="102">
        <v>2470423</v>
      </c>
      <c r="BT29" s="102">
        <v>586600</v>
      </c>
      <c r="BU29" s="102">
        <v>54586699</v>
      </c>
      <c r="BV29" s="71"/>
      <c r="BW29" s="102">
        <v>7314563</v>
      </c>
      <c r="BX29" s="102">
        <v>4741221</v>
      </c>
      <c r="BY29" s="102">
        <v>925973</v>
      </c>
      <c r="BZ29" s="102">
        <v>292548</v>
      </c>
      <c r="CA29" s="102">
        <v>19202228</v>
      </c>
      <c r="CB29" s="102">
        <v>2485656</v>
      </c>
      <c r="CC29" s="102">
        <v>295812</v>
      </c>
      <c r="CD29" s="102">
        <v>4934835</v>
      </c>
      <c r="CE29" s="102">
        <v>11244319</v>
      </c>
      <c r="CF29" s="102">
        <v>7581</v>
      </c>
      <c r="CG29" s="102">
        <v>227800</v>
      </c>
      <c r="CH29" s="102">
        <v>4857147</v>
      </c>
      <c r="CI29" s="102">
        <v>4201423</v>
      </c>
      <c r="CJ29" s="83">
        <f t="shared" si="18"/>
        <v>655724</v>
      </c>
      <c r="CK29" s="102">
        <v>4899396</v>
      </c>
      <c r="CL29" s="102">
        <v>3256135</v>
      </c>
      <c r="CM29" s="102">
        <v>133903</v>
      </c>
      <c r="CN29" s="102">
        <v>901824</v>
      </c>
      <c r="CO29" s="102">
        <v>158990</v>
      </c>
      <c r="CP29" s="102">
        <v>6576337</v>
      </c>
      <c r="CQ29" s="102">
        <v>1743557</v>
      </c>
      <c r="CR29" s="102">
        <v>611495</v>
      </c>
      <c r="CS29" s="102">
        <v>236574</v>
      </c>
      <c r="CT29" s="73">
        <f t="shared" si="7"/>
        <v>8138</v>
      </c>
      <c r="CU29" s="102">
        <v>6454</v>
      </c>
      <c r="CV29" s="102">
        <v>1684</v>
      </c>
      <c r="CW29" s="73">
        <f t="shared" si="8"/>
        <v>0</v>
      </c>
      <c r="CX29" s="102">
        <v>0</v>
      </c>
      <c r="CY29" s="102">
        <v>0</v>
      </c>
      <c r="CZ29" s="73">
        <f t="shared" si="9"/>
        <v>0</v>
      </c>
      <c r="DA29" s="102">
        <v>0</v>
      </c>
      <c r="DB29" s="102">
        <v>0</v>
      </c>
      <c r="DC29" s="102">
        <v>4583955</v>
      </c>
      <c r="DD29" s="102">
        <v>2351468</v>
      </c>
      <c r="DE29" s="102">
        <v>2232487</v>
      </c>
      <c r="DF29" s="77">
        <v>0</v>
      </c>
      <c r="DG29" s="78">
        <v>0</v>
      </c>
      <c r="DH29" s="102">
        <v>0</v>
      </c>
      <c r="DI29" s="102">
        <v>251332</v>
      </c>
      <c r="DJ29" s="102">
        <v>59412</v>
      </c>
      <c r="DK29" s="102">
        <v>59413</v>
      </c>
      <c r="DL29" s="102">
        <v>132507</v>
      </c>
      <c r="DM29" s="102">
        <v>0</v>
      </c>
      <c r="DN29" s="102">
        <v>0</v>
      </c>
      <c r="DO29" s="102">
        <v>0</v>
      </c>
      <c r="DP29" s="102">
        <v>0</v>
      </c>
      <c r="DQ29" s="102">
        <v>9000</v>
      </c>
      <c r="DR29" s="102">
        <v>0</v>
      </c>
      <c r="DS29" s="102">
        <v>0</v>
      </c>
      <c r="DT29" s="102">
        <v>6309703</v>
      </c>
      <c r="DU29" s="102">
        <v>1773121</v>
      </c>
      <c r="DV29" s="73">
        <f t="shared" si="10"/>
        <v>0</v>
      </c>
      <c r="DW29" s="102">
        <v>0</v>
      </c>
      <c r="DX29" s="102">
        <v>1166488</v>
      </c>
      <c r="DY29" s="102">
        <v>0</v>
      </c>
      <c r="DZ29" s="102">
        <v>2178557</v>
      </c>
      <c r="EA29" s="74">
        <v>0</v>
      </c>
      <c r="EB29" s="102">
        <v>1191537</v>
      </c>
      <c r="EC29" s="102">
        <v>0</v>
      </c>
      <c r="ED29" s="102">
        <v>54162651</v>
      </c>
      <c r="EE29" s="71"/>
      <c r="EF29" s="102">
        <v>424048</v>
      </c>
      <c r="EG29" s="102">
        <v>169520</v>
      </c>
      <c r="EH29" s="102">
        <v>254528</v>
      </c>
      <c r="EI29" s="102">
        <v>144244</v>
      </c>
      <c r="EJ29" s="102">
        <v>-46344</v>
      </c>
      <c r="EK29" s="71"/>
      <c r="EL29" s="102"/>
      <c r="EM29" s="102">
        <v>128073</v>
      </c>
      <c r="EN29" s="102">
        <v>250000</v>
      </c>
      <c r="EO29" s="102">
        <v>280648</v>
      </c>
      <c r="EP29" s="73">
        <f t="shared" si="11"/>
        <v>888529</v>
      </c>
      <c r="EQ29" s="102">
        <v>26280710</v>
      </c>
      <c r="ER29" s="71">
        <v>-3868616</v>
      </c>
      <c r="ES29" s="102">
        <v>6397231</v>
      </c>
      <c r="ET29" s="102">
        <v>4501015</v>
      </c>
      <c r="EU29" s="102">
        <v>5322114</v>
      </c>
      <c r="EV29" s="102">
        <v>4751295</v>
      </c>
      <c r="EW29" s="73">
        <f t="shared" si="12"/>
        <v>664767</v>
      </c>
      <c r="EX29" s="102">
        <v>664767</v>
      </c>
      <c r="EY29" s="102">
        <v>183461</v>
      </c>
      <c r="EZ29" s="102">
        <v>481306</v>
      </c>
      <c r="FA29" s="102">
        <v>0</v>
      </c>
      <c r="FB29" s="102">
        <v>0</v>
      </c>
      <c r="FC29" s="102">
        <v>3986885</v>
      </c>
      <c r="FD29" s="102">
        <v>2706344</v>
      </c>
      <c r="FE29" s="102">
        <v>1743557</v>
      </c>
      <c r="FF29" s="102">
        <v>5507906</v>
      </c>
      <c r="FG29" s="73">
        <f t="shared" si="13"/>
        <v>388736</v>
      </c>
      <c r="FH29" s="102">
        <v>29725278</v>
      </c>
      <c r="FI29" s="379">
        <f t="shared" si="14"/>
        <v>1</v>
      </c>
      <c r="FJ29" s="102">
        <v>24092253</v>
      </c>
      <c r="FK29" s="102">
        <v>2470423</v>
      </c>
      <c r="FL29" s="102">
        <v>13594119</v>
      </c>
      <c r="FM29" s="102">
        <v>20027623</v>
      </c>
      <c r="FN29" s="428">
        <v>0.69399999999999995</v>
      </c>
      <c r="FO29" s="424">
        <v>99.7</v>
      </c>
      <c r="FP29" s="425">
        <v>23.5</v>
      </c>
      <c r="FQ29" s="424">
        <v>19.600000000000001</v>
      </c>
      <c r="FR29" s="424">
        <v>17.5</v>
      </c>
      <c r="FS29" s="425">
        <v>13.8</v>
      </c>
      <c r="FT29" s="424">
        <v>8.3000000000000007</v>
      </c>
      <c r="FU29" s="425">
        <v>16.5</v>
      </c>
      <c r="FV29" s="384">
        <f t="shared" si="15"/>
        <v>6.9</v>
      </c>
      <c r="FW29" s="102">
        <v>46878601</v>
      </c>
      <c r="FX29" s="384">
        <f t="shared" si="16"/>
        <v>176.5</v>
      </c>
      <c r="FY29" s="102">
        <v>6281428</v>
      </c>
      <c r="FZ29" s="102">
        <v>1614010</v>
      </c>
      <c r="GA29" s="102">
        <v>360746</v>
      </c>
      <c r="GB29" s="102">
        <v>4306672</v>
      </c>
      <c r="GC29" s="102">
        <v>5270000</v>
      </c>
      <c r="GD29" s="454"/>
      <c r="GE29" s="386"/>
      <c r="GF29" s="424">
        <v>98.1</v>
      </c>
      <c r="GG29" s="424">
        <v>22.4</v>
      </c>
      <c r="GH29" s="424">
        <v>91.2</v>
      </c>
      <c r="GI29" s="102">
        <v>741</v>
      </c>
      <c r="GJ29" s="429" t="s">
        <v>646</v>
      </c>
      <c r="GK29" s="429">
        <v>11.99</v>
      </c>
      <c r="GL29" s="87">
        <v>20</v>
      </c>
      <c r="GM29" s="429">
        <v>1.66</v>
      </c>
      <c r="GN29" s="430">
        <v>16.989999999999998</v>
      </c>
      <c r="GO29" s="430">
        <v>30</v>
      </c>
      <c r="GP29" s="425">
        <v>6.9</v>
      </c>
      <c r="GQ29" s="425">
        <v>25</v>
      </c>
      <c r="GR29" s="425">
        <v>35</v>
      </c>
      <c r="GS29" s="431">
        <v>46.2</v>
      </c>
      <c r="GT29" s="425">
        <v>350</v>
      </c>
      <c r="GU29" s="394"/>
      <c r="GV29" s="100">
        <f t="shared" si="17"/>
        <v>26563</v>
      </c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</row>
    <row r="30" spans="2:230" x14ac:dyDescent="0.15">
      <c r="B30" s="89" t="s">
        <v>49</v>
      </c>
      <c r="C30" s="102">
        <v>17801115</v>
      </c>
      <c r="D30" s="73">
        <f t="shared" si="0"/>
        <v>4160445</v>
      </c>
      <c r="E30" s="102">
        <v>117070</v>
      </c>
      <c r="F30" s="102">
        <v>4043375</v>
      </c>
      <c r="G30" s="73">
        <f t="shared" si="1"/>
        <v>1952220</v>
      </c>
      <c r="H30" s="102">
        <v>343836</v>
      </c>
      <c r="I30" s="102">
        <v>1608384</v>
      </c>
      <c r="J30" s="102">
        <v>8574475</v>
      </c>
      <c r="K30" s="102">
        <v>4156340</v>
      </c>
      <c r="L30" s="102">
        <v>2407744</v>
      </c>
      <c r="M30" s="102">
        <v>1903821</v>
      </c>
      <c r="N30" s="102">
        <v>1453328</v>
      </c>
      <c r="O30" s="102">
        <v>1576955</v>
      </c>
      <c r="P30" s="102">
        <v>1042546</v>
      </c>
      <c r="Q30" s="102">
        <v>534409</v>
      </c>
      <c r="R30" s="102">
        <v>156946</v>
      </c>
      <c r="S30" s="74"/>
      <c r="T30" s="73">
        <f t="shared" si="2"/>
        <v>1131734</v>
      </c>
      <c r="U30" s="102">
        <v>45571</v>
      </c>
      <c r="V30" s="102">
        <v>35243</v>
      </c>
      <c r="W30" s="102">
        <v>8099</v>
      </c>
      <c r="X30" s="102">
        <v>960188</v>
      </c>
      <c r="Y30" s="102">
        <v>1745</v>
      </c>
      <c r="Z30" s="102">
        <v>0</v>
      </c>
      <c r="AA30" s="102">
        <v>80888</v>
      </c>
      <c r="AB30" s="102">
        <v>94416</v>
      </c>
      <c r="AC30" s="102">
        <v>405172</v>
      </c>
      <c r="AD30" s="102">
        <v>146039</v>
      </c>
      <c r="AE30" s="102">
        <v>259128</v>
      </c>
      <c r="AF30" s="102">
        <v>15831</v>
      </c>
      <c r="AG30" s="102">
        <v>636327</v>
      </c>
      <c r="AH30" s="73">
        <f t="shared" si="3"/>
        <v>685458</v>
      </c>
      <c r="AI30" s="102">
        <v>559122</v>
      </c>
      <c r="AJ30" s="102">
        <v>126336</v>
      </c>
      <c r="AK30" s="102">
        <v>4553198</v>
      </c>
      <c r="AL30" s="73">
        <f t="shared" si="4"/>
        <v>2862845</v>
      </c>
      <c r="AM30" s="102">
        <v>1980548</v>
      </c>
      <c r="AN30" s="102">
        <v>418697</v>
      </c>
      <c r="AO30" s="74"/>
      <c r="AP30" s="102">
        <v>463600</v>
      </c>
      <c r="AQ30" s="102">
        <v>143038</v>
      </c>
      <c r="AR30" s="102">
        <v>0</v>
      </c>
      <c r="AS30" s="102">
        <v>0</v>
      </c>
      <c r="AT30" s="102">
        <v>2080235</v>
      </c>
      <c r="AU30" s="102">
        <v>1288502</v>
      </c>
      <c r="AV30" s="102">
        <v>209348</v>
      </c>
      <c r="AW30" s="102">
        <v>4123</v>
      </c>
      <c r="AX30" s="102">
        <v>791733</v>
      </c>
      <c r="AY30" s="102">
        <v>11082</v>
      </c>
      <c r="AZ30" s="102">
        <v>405201</v>
      </c>
      <c r="BA30" s="102">
        <v>373579</v>
      </c>
      <c r="BB30" s="102">
        <v>7610</v>
      </c>
      <c r="BC30" s="102">
        <v>153534</v>
      </c>
      <c r="BD30" s="102">
        <v>0</v>
      </c>
      <c r="BE30" s="102">
        <v>0</v>
      </c>
      <c r="BF30" s="102">
        <v>115884</v>
      </c>
      <c r="BG30" s="102">
        <v>0</v>
      </c>
      <c r="BH30" s="102">
        <v>264288</v>
      </c>
      <c r="BI30" s="102">
        <v>181581</v>
      </c>
      <c r="BJ30" s="102">
        <v>1644378</v>
      </c>
      <c r="BK30" s="102">
        <v>106884</v>
      </c>
      <c r="BL30" s="102">
        <v>0</v>
      </c>
      <c r="BM30" s="102">
        <v>0</v>
      </c>
      <c r="BN30" s="102">
        <v>2157000</v>
      </c>
      <c r="BO30" s="73">
        <f t="shared" si="5"/>
        <v>1418900</v>
      </c>
      <c r="BP30" s="73">
        <f t="shared" si="6"/>
        <v>738100</v>
      </c>
      <c r="BQ30" s="102">
        <v>0</v>
      </c>
      <c r="BR30" s="102">
        <v>0</v>
      </c>
      <c r="BS30" s="102">
        <v>738100</v>
      </c>
      <c r="BT30" s="102">
        <v>0</v>
      </c>
      <c r="BU30" s="102">
        <v>32192443</v>
      </c>
      <c r="BV30" s="71"/>
      <c r="BW30" s="102">
        <v>5597812</v>
      </c>
      <c r="BX30" s="102">
        <v>3622259</v>
      </c>
      <c r="BY30" s="102">
        <v>727041</v>
      </c>
      <c r="BZ30" s="102">
        <v>148923</v>
      </c>
      <c r="CA30" s="102">
        <v>8317458</v>
      </c>
      <c r="CB30" s="102">
        <v>1512309</v>
      </c>
      <c r="CC30" s="102">
        <v>190476</v>
      </c>
      <c r="CD30" s="102">
        <v>3892930</v>
      </c>
      <c r="CE30" s="102">
        <v>2576733</v>
      </c>
      <c r="CF30" s="102">
        <v>0</v>
      </c>
      <c r="CG30" s="102">
        <v>145010</v>
      </c>
      <c r="CH30" s="102">
        <v>3317229</v>
      </c>
      <c r="CI30" s="102">
        <v>2844323</v>
      </c>
      <c r="CJ30" s="83">
        <f t="shared" si="18"/>
        <v>472906</v>
      </c>
      <c r="CK30" s="102">
        <v>4470044</v>
      </c>
      <c r="CL30" s="102">
        <v>2446072</v>
      </c>
      <c r="CM30" s="102">
        <v>609430</v>
      </c>
      <c r="CN30" s="102">
        <v>835807</v>
      </c>
      <c r="CO30" s="102">
        <v>452154</v>
      </c>
      <c r="CP30" s="102">
        <v>1497773</v>
      </c>
      <c r="CQ30" s="102">
        <v>7068</v>
      </c>
      <c r="CR30" s="102">
        <v>679733</v>
      </c>
      <c r="CS30" s="102">
        <v>295441</v>
      </c>
      <c r="CT30" s="73">
        <f t="shared" si="7"/>
        <v>30428</v>
      </c>
      <c r="CU30" s="102">
        <v>1916</v>
      </c>
      <c r="CV30" s="102">
        <v>28512</v>
      </c>
      <c r="CW30" s="73">
        <f t="shared" si="8"/>
        <v>0</v>
      </c>
      <c r="CX30" s="102">
        <v>0</v>
      </c>
      <c r="CY30" s="102">
        <v>0</v>
      </c>
      <c r="CZ30" s="73">
        <f t="shared" si="9"/>
        <v>0</v>
      </c>
      <c r="DA30" s="102">
        <v>0</v>
      </c>
      <c r="DB30" s="102">
        <v>0</v>
      </c>
      <c r="DC30" s="102">
        <v>3143360</v>
      </c>
      <c r="DD30" s="102">
        <v>301521</v>
      </c>
      <c r="DE30" s="102">
        <v>2841839</v>
      </c>
      <c r="DF30" s="77">
        <v>0</v>
      </c>
      <c r="DG30" s="78">
        <v>0</v>
      </c>
      <c r="DH30" s="102">
        <v>0</v>
      </c>
      <c r="DI30" s="102">
        <v>107955</v>
      </c>
      <c r="DJ30" s="102">
        <v>91985</v>
      </c>
      <c r="DK30" s="102">
        <v>8</v>
      </c>
      <c r="DL30" s="102">
        <v>15962</v>
      </c>
      <c r="DM30" s="102">
        <v>0</v>
      </c>
      <c r="DN30" s="102">
        <v>0</v>
      </c>
      <c r="DO30" s="102">
        <v>0</v>
      </c>
      <c r="DP30" s="102">
        <v>0</v>
      </c>
      <c r="DQ30" s="102">
        <v>113248</v>
      </c>
      <c r="DR30" s="102">
        <v>0</v>
      </c>
      <c r="DS30" s="102">
        <v>0</v>
      </c>
      <c r="DT30" s="102">
        <v>4374621</v>
      </c>
      <c r="DU30" s="102">
        <v>1920000</v>
      </c>
      <c r="DV30" s="73">
        <f t="shared" si="10"/>
        <v>0</v>
      </c>
      <c r="DW30" s="102">
        <v>0</v>
      </c>
      <c r="DX30" s="102">
        <v>668994</v>
      </c>
      <c r="DY30" s="102">
        <v>178253</v>
      </c>
      <c r="DZ30" s="102">
        <v>915119</v>
      </c>
      <c r="EA30" s="74">
        <v>0</v>
      </c>
      <c r="EB30" s="102">
        <v>621894</v>
      </c>
      <c r="EC30" s="102">
        <v>0</v>
      </c>
      <c r="ED30" s="102">
        <v>31391654</v>
      </c>
      <c r="EE30" s="71"/>
      <c r="EF30" s="102">
        <v>800789</v>
      </c>
      <c r="EG30" s="102">
        <v>140292</v>
      </c>
      <c r="EH30" s="102">
        <v>660497</v>
      </c>
      <c r="EI30" s="102">
        <v>478916</v>
      </c>
      <c r="EJ30" s="102">
        <v>570901</v>
      </c>
      <c r="EK30" s="71"/>
      <c r="EL30" s="102"/>
      <c r="EM30" s="102">
        <v>84107</v>
      </c>
      <c r="EN30" s="102">
        <v>69876</v>
      </c>
      <c r="EO30" s="102">
        <v>403706</v>
      </c>
      <c r="EP30" s="73">
        <f t="shared" si="11"/>
        <v>1410635</v>
      </c>
      <c r="EQ30" s="102">
        <v>19605214</v>
      </c>
      <c r="ER30" s="71">
        <v>-2606486</v>
      </c>
      <c r="ES30" s="102">
        <v>5229490</v>
      </c>
      <c r="ET30" s="102">
        <v>3267610</v>
      </c>
      <c r="EU30" s="102">
        <v>2591460</v>
      </c>
      <c r="EV30" s="102">
        <v>3254783</v>
      </c>
      <c r="EW30" s="73">
        <f t="shared" si="12"/>
        <v>1427748</v>
      </c>
      <c r="EX30" s="102">
        <v>1427748</v>
      </c>
      <c r="EY30" s="102">
        <v>20191</v>
      </c>
      <c r="EZ30" s="102">
        <v>1407557</v>
      </c>
      <c r="FA30" s="102">
        <v>0</v>
      </c>
      <c r="FB30" s="102">
        <v>0</v>
      </c>
      <c r="FC30" s="102">
        <v>3321534</v>
      </c>
      <c r="FD30" s="102">
        <v>1078253</v>
      </c>
      <c r="FE30" s="102">
        <v>7068</v>
      </c>
      <c r="FF30" s="102">
        <v>3951390</v>
      </c>
      <c r="FG30" s="73">
        <f t="shared" si="13"/>
        <v>556253</v>
      </c>
      <c r="FH30" s="102">
        <v>21410911</v>
      </c>
      <c r="FI30" s="379">
        <f t="shared" si="14"/>
        <v>3.6</v>
      </c>
      <c r="FJ30" s="102">
        <v>17425741</v>
      </c>
      <c r="FK30" s="102">
        <v>738222</v>
      </c>
      <c r="FL30" s="102">
        <v>13232035</v>
      </c>
      <c r="FM30" s="102">
        <v>13378074</v>
      </c>
      <c r="FN30" s="428">
        <v>1.012</v>
      </c>
      <c r="FO30" s="424">
        <v>100.2</v>
      </c>
      <c r="FP30" s="425">
        <v>27.9</v>
      </c>
      <c r="FQ30" s="424">
        <v>13.9</v>
      </c>
      <c r="FR30" s="424">
        <v>17.5</v>
      </c>
      <c r="FS30" s="425">
        <v>17.399999999999999</v>
      </c>
      <c r="FT30" s="424">
        <v>4.0999999999999996</v>
      </c>
      <c r="FU30" s="425">
        <v>16.899999999999999</v>
      </c>
      <c r="FV30" s="384">
        <f t="shared" si="15"/>
        <v>7.9</v>
      </c>
      <c r="FW30" s="102">
        <v>24351956</v>
      </c>
      <c r="FX30" s="384">
        <f t="shared" si="16"/>
        <v>134.1</v>
      </c>
      <c r="FY30" s="102">
        <v>6709389</v>
      </c>
      <c r="FZ30" s="102">
        <v>4431486</v>
      </c>
      <c r="GA30" s="102">
        <v>10302</v>
      </c>
      <c r="GB30" s="102">
        <v>2267601</v>
      </c>
      <c r="GC30" s="102">
        <v>0</v>
      </c>
      <c r="GD30" s="454">
        <v>0</v>
      </c>
      <c r="GE30" s="384">
        <f>ROUND(GD30/(FJ30+FK30)*100,1)</f>
        <v>0</v>
      </c>
      <c r="GF30" s="424">
        <v>98.6</v>
      </c>
      <c r="GG30" s="424">
        <v>28.7</v>
      </c>
      <c r="GH30" s="424">
        <v>95.1</v>
      </c>
      <c r="GI30" s="102">
        <v>570</v>
      </c>
      <c r="GJ30" s="429" t="s">
        <v>646</v>
      </c>
      <c r="GK30" s="429">
        <v>12.58</v>
      </c>
      <c r="GL30" s="87">
        <v>20</v>
      </c>
      <c r="GM30" s="429" t="s">
        <v>646</v>
      </c>
      <c r="GN30" s="430">
        <v>17.579999999999998</v>
      </c>
      <c r="GO30" s="430">
        <v>30</v>
      </c>
      <c r="GP30" s="425">
        <v>7.9</v>
      </c>
      <c r="GQ30" s="425">
        <v>25</v>
      </c>
      <c r="GR30" s="425">
        <v>35</v>
      </c>
      <c r="GS30" s="431" t="s">
        <v>646</v>
      </c>
      <c r="GT30" s="425">
        <v>350</v>
      </c>
      <c r="GU30" s="394"/>
      <c r="GV30" s="100">
        <f t="shared" si="17"/>
        <v>18164</v>
      </c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</row>
    <row r="31" spans="2:230" x14ac:dyDescent="0.15">
      <c r="B31" s="89" t="s">
        <v>51</v>
      </c>
      <c r="C31" s="102">
        <v>10545376</v>
      </c>
      <c r="D31" s="73">
        <f t="shared" si="0"/>
        <v>3110696</v>
      </c>
      <c r="E31" s="102">
        <v>75571</v>
      </c>
      <c r="F31" s="102">
        <v>3035125</v>
      </c>
      <c r="G31" s="73">
        <f t="shared" si="1"/>
        <v>748411</v>
      </c>
      <c r="H31" s="102">
        <v>158239</v>
      </c>
      <c r="I31" s="102">
        <v>590172</v>
      </c>
      <c r="J31" s="102">
        <v>5422341</v>
      </c>
      <c r="K31" s="102">
        <v>2328979</v>
      </c>
      <c r="L31" s="102">
        <v>1334265</v>
      </c>
      <c r="M31" s="102">
        <v>1709180</v>
      </c>
      <c r="N31" s="102">
        <v>316437</v>
      </c>
      <c r="O31" s="102">
        <v>895607</v>
      </c>
      <c r="P31" s="102">
        <v>597510</v>
      </c>
      <c r="Q31" s="102">
        <v>298097</v>
      </c>
      <c r="R31" s="102">
        <v>173607</v>
      </c>
      <c r="S31" s="74"/>
      <c r="T31" s="73">
        <f t="shared" si="2"/>
        <v>648388</v>
      </c>
      <c r="U31" s="102">
        <v>34483</v>
      </c>
      <c r="V31" s="102">
        <v>26695</v>
      </c>
      <c r="W31" s="102">
        <v>6149</v>
      </c>
      <c r="X31" s="102">
        <v>530687</v>
      </c>
      <c r="Y31" s="102">
        <v>0</v>
      </c>
      <c r="Z31" s="102">
        <v>0</v>
      </c>
      <c r="AA31" s="102">
        <v>50374</v>
      </c>
      <c r="AB31" s="102">
        <v>49638</v>
      </c>
      <c r="AC31" s="102">
        <v>1326816</v>
      </c>
      <c r="AD31" s="102">
        <v>1241711</v>
      </c>
      <c r="AE31" s="102">
        <v>85102</v>
      </c>
      <c r="AF31" s="102">
        <v>8712</v>
      </c>
      <c r="AG31" s="102">
        <v>120692</v>
      </c>
      <c r="AH31" s="73">
        <f t="shared" si="3"/>
        <v>384594</v>
      </c>
      <c r="AI31" s="102">
        <v>342701</v>
      </c>
      <c r="AJ31" s="102">
        <v>41893</v>
      </c>
      <c r="AK31" s="102">
        <v>3193003</v>
      </c>
      <c r="AL31" s="73">
        <f t="shared" si="4"/>
        <v>1720699</v>
      </c>
      <c r="AM31" s="102">
        <v>1241560</v>
      </c>
      <c r="AN31" s="102">
        <v>175611</v>
      </c>
      <c r="AO31" s="74"/>
      <c r="AP31" s="102">
        <v>303528</v>
      </c>
      <c r="AQ31" s="102">
        <v>23649</v>
      </c>
      <c r="AR31" s="102">
        <v>0</v>
      </c>
      <c r="AS31" s="102">
        <v>0</v>
      </c>
      <c r="AT31" s="102">
        <v>1663841</v>
      </c>
      <c r="AU31" s="102">
        <v>1246390</v>
      </c>
      <c r="AV31" s="102">
        <v>87806</v>
      </c>
      <c r="AW31" s="102">
        <v>117181</v>
      </c>
      <c r="AX31" s="102">
        <v>417451</v>
      </c>
      <c r="AY31" s="102">
        <v>89231</v>
      </c>
      <c r="AZ31" s="102">
        <v>603784</v>
      </c>
      <c r="BA31" s="102">
        <v>532742</v>
      </c>
      <c r="BB31" s="102">
        <v>7306</v>
      </c>
      <c r="BC31" s="102">
        <v>754117</v>
      </c>
      <c r="BD31" s="102">
        <v>484395</v>
      </c>
      <c r="BE31" s="102">
        <v>0</v>
      </c>
      <c r="BF31" s="102">
        <v>255317</v>
      </c>
      <c r="BG31" s="102">
        <v>0</v>
      </c>
      <c r="BH31" s="102">
        <v>119153</v>
      </c>
      <c r="BI31" s="102">
        <v>112495</v>
      </c>
      <c r="BJ31" s="102">
        <v>310678</v>
      </c>
      <c r="BK31" s="102">
        <v>71365</v>
      </c>
      <c r="BL31" s="102">
        <v>0</v>
      </c>
      <c r="BM31" s="102">
        <v>0</v>
      </c>
      <c r="BN31" s="102">
        <v>3105500</v>
      </c>
      <c r="BO31" s="73">
        <f t="shared" si="5"/>
        <v>1227000</v>
      </c>
      <c r="BP31" s="73">
        <f t="shared" si="6"/>
        <v>1538500</v>
      </c>
      <c r="BQ31" s="102">
        <v>0</v>
      </c>
      <c r="BR31" s="102">
        <v>560000</v>
      </c>
      <c r="BS31" s="102">
        <v>978500</v>
      </c>
      <c r="BT31" s="102">
        <v>340000</v>
      </c>
      <c r="BU31" s="102">
        <v>23015205</v>
      </c>
      <c r="BV31" s="71"/>
      <c r="BW31" s="102">
        <v>3764545</v>
      </c>
      <c r="BX31" s="102">
        <v>2229097</v>
      </c>
      <c r="BY31" s="102">
        <v>566106</v>
      </c>
      <c r="BZ31" s="102">
        <v>198811</v>
      </c>
      <c r="CA31" s="102">
        <v>4950103</v>
      </c>
      <c r="CB31" s="102">
        <v>930350</v>
      </c>
      <c r="CC31" s="102">
        <v>99787</v>
      </c>
      <c r="CD31" s="102">
        <v>2257956</v>
      </c>
      <c r="CE31" s="102">
        <v>1594828</v>
      </c>
      <c r="CF31" s="102">
        <v>0</v>
      </c>
      <c r="CG31" s="102">
        <v>67015</v>
      </c>
      <c r="CH31" s="102">
        <v>2892054</v>
      </c>
      <c r="CI31" s="102">
        <v>2370147</v>
      </c>
      <c r="CJ31" s="83">
        <f t="shared" si="18"/>
        <v>521907</v>
      </c>
      <c r="CK31" s="102">
        <v>2863280</v>
      </c>
      <c r="CL31" s="102">
        <v>1988453</v>
      </c>
      <c r="CM31" s="102">
        <v>202641</v>
      </c>
      <c r="CN31" s="102">
        <v>387701</v>
      </c>
      <c r="CO31" s="102">
        <v>13540</v>
      </c>
      <c r="CP31" s="102">
        <v>1676830</v>
      </c>
      <c r="CQ31" s="102">
        <v>642403</v>
      </c>
      <c r="CR31" s="102">
        <v>298423</v>
      </c>
      <c r="CS31" s="102">
        <v>233621</v>
      </c>
      <c r="CT31" s="73">
        <f t="shared" si="7"/>
        <v>40300</v>
      </c>
      <c r="CU31" s="102">
        <v>608</v>
      </c>
      <c r="CV31" s="102">
        <v>39692</v>
      </c>
      <c r="CW31" s="73">
        <f t="shared" si="8"/>
        <v>0</v>
      </c>
      <c r="CX31" s="102">
        <v>0</v>
      </c>
      <c r="CY31" s="102">
        <v>0</v>
      </c>
      <c r="CZ31" s="73">
        <f t="shared" si="9"/>
        <v>0</v>
      </c>
      <c r="DA31" s="102">
        <v>0</v>
      </c>
      <c r="DB31" s="102">
        <v>0</v>
      </c>
      <c r="DC31" s="102">
        <v>2854693</v>
      </c>
      <c r="DD31" s="102">
        <v>826469</v>
      </c>
      <c r="DE31" s="102">
        <v>1453191</v>
      </c>
      <c r="DF31" s="77">
        <v>456909</v>
      </c>
      <c r="DG31" s="78">
        <v>118124</v>
      </c>
      <c r="DH31" s="102">
        <v>0</v>
      </c>
      <c r="DI31" s="102">
        <v>716832</v>
      </c>
      <c r="DJ31" s="102">
        <v>694779</v>
      </c>
      <c r="DK31" s="102">
        <v>0</v>
      </c>
      <c r="DL31" s="102">
        <v>22053</v>
      </c>
      <c r="DM31" s="102">
        <v>0</v>
      </c>
      <c r="DN31" s="102">
        <v>0</v>
      </c>
      <c r="DO31" s="102">
        <v>0</v>
      </c>
      <c r="DP31" s="102">
        <v>0</v>
      </c>
      <c r="DQ31" s="102">
        <v>41180</v>
      </c>
      <c r="DR31" s="102">
        <v>0</v>
      </c>
      <c r="DS31" s="102">
        <v>0</v>
      </c>
      <c r="DT31" s="102">
        <v>2890456</v>
      </c>
      <c r="DU31" s="102">
        <v>1163926</v>
      </c>
      <c r="DV31" s="73">
        <f t="shared" si="10"/>
        <v>0</v>
      </c>
      <c r="DW31" s="102">
        <v>0</v>
      </c>
      <c r="DX31" s="102">
        <v>668683</v>
      </c>
      <c r="DY31" s="102">
        <v>0</v>
      </c>
      <c r="DZ31" s="102">
        <v>466239</v>
      </c>
      <c r="EA31" s="74">
        <v>0</v>
      </c>
      <c r="EB31" s="102">
        <v>591608</v>
      </c>
      <c r="EC31" s="102">
        <v>0</v>
      </c>
      <c r="ED31" s="102">
        <v>22663513</v>
      </c>
      <c r="EE31" s="71"/>
      <c r="EF31" s="102">
        <v>351692</v>
      </c>
      <c r="EG31" s="102">
        <v>29400</v>
      </c>
      <c r="EH31" s="102">
        <v>322292</v>
      </c>
      <c r="EI31" s="102">
        <v>209797</v>
      </c>
      <c r="EJ31" s="102">
        <v>420181</v>
      </c>
      <c r="EK31" s="71"/>
      <c r="EL31" s="102"/>
      <c r="EM31" s="102">
        <v>59047</v>
      </c>
      <c r="EN31" s="102">
        <v>487800</v>
      </c>
      <c r="EO31" s="102">
        <v>602176</v>
      </c>
      <c r="EP31" s="73">
        <f t="shared" si="11"/>
        <v>377776</v>
      </c>
      <c r="EQ31" s="102">
        <v>12752537</v>
      </c>
      <c r="ER31" s="71">
        <v>-2997540</v>
      </c>
      <c r="ES31" s="102">
        <v>3283823</v>
      </c>
      <c r="ET31" s="102">
        <v>2143535</v>
      </c>
      <c r="EU31" s="102">
        <v>1378549</v>
      </c>
      <c r="EV31" s="102">
        <v>2866532</v>
      </c>
      <c r="EW31" s="73">
        <f t="shared" si="12"/>
        <v>937855</v>
      </c>
      <c r="EX31" s="102">
        <v>937855</v>
      </c>
      <c r="EY31" s="102">
        <v>33770</v>
      </c>
      <c r="EZ31" s="102">
        <v>880642</v>
      </c>
      <c r="FA31" s="102">
        <v>0</v>
      </c>
      <c r="FB31" s="102">
        <v>0</v>
      </c>
      <c r="FC31" s="102">
        <v>2377050</v>
      </c>
      <c r="FD31" s="102">
        <v>1256416</v>
      </c>
      <c r="FE31" s="102">
        <v>642403</v>
      </c>
      <c r="FF31" s="102">
        <v>2584224</v>
      </c>
      <c r="FG31" s="73">
        <f t="shared" si="13"/>
        <v>713936</v>
      </c>
      <c r="FH31" s="102">
        <v>15398385</v>
      </c>
      <c r="FI31" s="379">
        <f t="shared" si="14"/>
        <v>2.4</v>
      </c>
      <c r="FJ31" s="102">
        <v>12311292</v>
      </c>
      <c r="FK31" s="102">
        <v>978616</v>
      </c>
      <c r="FL31" s="102">
        <v>8484107</v>
      </c>
      <c r="FM31" s="102">
        <v>9568910</v>
      </c>
      <c r="FN31" s="428">
        <v>0.873</v>
      </c>
      <c r="FO31" s="424">
        <v>96.4</v>
      </c>
      <c r="FP31" s="425">
        <v>24</v>
      </c>
      <c r="FQ31" s="424">
        <v>10.199999999999999</v>
      </c>
      <c r="FR31" s="424">
        <v>21.2</v>
      </c>
      <c r="FS31" s="425">
        <v>16.600000000000001</v>
      </c>
      <c r="FT31" s="424">
        <v>7.1</v>
      </c>
      <c r="FU31" s="425">
        <v>17.2</v>
      </c>
      <c r="FV31" s="384">
        <f t="shared" si="15"/>
        <v>14.2</v>
      </c>
      <c r="FW31" s="102">
        <v>32873343</v>
      </c>
      <c r="FX31" s="384">
        <f t="shared" si="16"/>
        <v>247.4</v>
      </c>
      <c r="FY31" s="102">
        <v>5357627</v>
      </c>
      <c r="FZ31" s="102">
        <v>1680157</v>
      </c>
      <c r="GA31" s="102">
        <v>0</v>
      </c>
      <c r="GB31" s="102">
        <v>3677470</v>
      </c>
      <c r="GC31" s="102">
        <v>3280000</v>
      </c>
      <c r="GD31" s="454">
        <v>9300731</v>
      </c>
      <c r="GE31" s="386">
        <f t="shared" ref="GE31:GE36" si="19">IF(GD31=0,"-",ROUND(GD31/(FJ31+FK31)*100,1))</f>
        <v>70</v>
      </c>
      <c r="GF31" s="424">
        <v>98.8</v>
      </c>
      <c r="GG31" s="424">
        <v>22.2</v>
      </c>
      <c r="GH31" s="424">
        <v>94.7</v>
      </c>
      <c r="GI31" s="102">
        <v>355</v>
      </c>
      <c r="GJ31" s="429" t="s">
        <v>646</v>
      </c>
      <c r="GK31" s="429">
        <v>12.92</v>
      </c>
      <c r="GL31" s="87">
        <v>20</v>
      </c>
      <c r="GM31" s="429" t="s">
        <v>646</v>
      </c>
      <c r="GN31" s="430">
        <v>17.920000000000002</v>
      </c>
      <c r="GO31" s="430">
        <v>30</v>
      </c>
      <c r="GP31" s="425">
        <v>14.2</v>
      </c>
      <c r="GQ31" s="425">
        <v>25</v>
      </c>
      <c r="GR31" s="425">
        <v>35</v>
      </c>
      <c r="GS31" s="431">
        <v>222.7</v>
      </c>
      <c r="GT31" s="425">
        <v>350</v>
      </c>
      <c r="GU31" s="394"/>
      <c r="GV31" s="100">
        <f t="shared" si="17"/>
        <v>13290</v>
      </c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</row>
    <row r="32" spans="2:230" x14ac:dyDescent="0.15">
      <c r="B32" s="89" t="s">
        <v>53</v>
      </c>
      <c r="C32" s="102">
        <v>7854009</v>
      </c>
      <c r="D32" s="73">
        <f t="shared" si="0"/>
        <v>3292041</v>
      </c>
      <c r="E32" s="102">
        <v>83148</v>
      </c>
      <c r="F32" s="102">
        <v>3208893</v>
      </c>
      <c r="G32" s="73">
        <f t="shared" si="1"/>
        <v>511095</v>
      </c>
      <c r="H32" s="102">
        <v>142089</v>
      </c>
      <c r="I32" s="102">
        <v>369006</v>
      </c>
      <c r="J32" s="102">
        <v>2902572</v>
      </c>
      <c r="K32" s="102">
        <v>1347283</v>
      </c>
      <c r="L32" s="102">
        <v>1264188</v>
      </c>
      <c r="M32" s="102">
        <v>258496</v>
      </c>
      <c r="N32" s="102">
        <v>390586</v>
      </c>
      <c r="O32" s="102">
        <v>692756</v>
      </c>
      <c r="P32" s="102">
        <v>409951</v>
      </c>
      <c r="Q32" s="102">
        <v>282805</v>
      </c>
      <c r="R32" s="102">
        <v>111159</v>
      </c>
      <c r="S32" s="74"/>
      <c r="T32" s="73">
        <f t="shared" si="2"/>
        <v>701456</v>
      </c>
      <c r="U32" s="102">
        <v>36110</v>
      </c>
      <c r="V32" s="102">
        <v>27928</v>
      </c>
      <c r="W32" s="102">
        <v>6419</v>
      </c>
      <c r="X32" s="102">
        <v>573743</v>
      </c>
      <c r="Y32" s="102">
        <v>0</v>
      </c>
      <c r="Z32" s="102">
        <v>0</v>
      </c>
      <c r="AA32" s="102">
        <v>57256</v>
      </c>
      <c r="AB32" s="102">
        <v>67692</v>
      </c>
      <c r="AC32" s="102">
        <v>4414571</v>
      </c>
      <c r="AD32" s="102">
        <v>4200699</v>
      </c>
      <c r="AE32" s="102">
        <v>213869</v>
      </c>
      <c r="AF32" s="102">
        <v>11170</v>
      </c>
      <c r="AG32" s="102">
        <v>126703</v>
      </c>
      <c r="AH32" s="73">
        <f t="shared" si="3"/>
        <v>442988</v>
      </c>
      <c r="AI32" s="102">
        <v>397595</v>
      </c>
      <c r="AJ32" s="102">
        <v>45393</v>
      </c>
      <c r="AK32" s="102">
        <v>4443272</v>
      </c>
      <c r="AL32" s="73">
        <f t="shared" si="4"/>
        <v>3043660</v>
      </c>
      <c r="AM32" s="102">
        <v>2446230</v>
      </c>
      <c r="AN32" s="102">
        <v>146055</v>
      </c>
      <c r="AO32" s="74"/>
      <c r="AP32" s="102">
        <v>451375</v>
      </c>
      <c r="AQ32" s="102">
        <v>163550</v>
      </c>
      <c r="AR32" s="102">
        <v>0</v>
      </c>
      <c r="AS32" s="102">
        <v>0</v>
      </c>
      <c r="AT32" s="102">
        <v>1322536</v>
      </c>
      <c r="AU32" s="102">
        <v>703859</v>
      </c>
      <c r="AV32" s="102">
        <v>96928</v>
      </c>
      <c r="AW32" s="102">
        <v>150</v>
      </c>
      <c r="AX32" s="102">
        <v>618677</v>
      </c>
      <c r="AY32" s="102">
        <v>0</v>
      </c>
      <c r="AZ32" s="102">
        <v>15197</v>
      </c>
      <c r="BA32" s="102">
        <v>3218</v>
      </c>
      <c r="BB32" s="102">
        <v>3067</v>
      </c>
      <c r="BC32" s="102">
        <v>13520</v>
      </c>
      <c r="BD32" s="102">
        <v>0</v>
      </c>
      <c r="BE32" s="102">
        <v>0</v>
      </c>
      <c r="BF32" s="102">
        <v>13520</v>
      </c>
      <c r="BG32" s="102">
        <v>0</v>
      </c>
      <c r="BH32" s="102">
        <v>63606</v>
      </c>
      <c r="BI32" s="102">
        <v>48166</v>
      </c>
      <c r="BJ32" s="102">
        <v>243256</v>
      </c>
      <c r="BK32" s="102">
        <v>0</v>
      </c>
      <c r="BL32" s="102">
        <v>0</v>
      </c>
      <c r="BM32" s="102">
        <v>0</v>
      </c>
      <c r="BN32" s="102">
        <v>1506700</v>
      </c>
      <c r="BO32" s="73">
        <f t="shared" si="5"/>
        <v>364100</v>
      </c>
      <c r="BP32" s="73">
        <f t="shared" si="6"/>
        <v>1142600</v>
      </c>
      <c r="BQ32" s="102">
        <v>0</v>
      </c>
      <c r="BR32" s="102">
        <v>0</v>
      </c>
      <c r="BS32" s="102">
        <v>1142600</v>
      </c>
      <c r="BT32" s="102">
        <v>0</v>
      </c>
      <c r="BU32" s="102">
        <v>21340902</v>
      </c>
      <c r="BV32" s="71"/>
      <c r="BW32" s="102">
        <v>4133298</v>
      </c>
      <c r="BX32" s="102">
        <v>2646834</v>
      </c>
      <c r="BY32" s="102">
        <v>413752</v>
      </c>
      <c r="BZ32" s="102">
        <v>263953</v>
      </c>
      <c r="CA32" s="102">
        <v>6434273</v>
      </c>
      <c r="CB32" s="102">
        <v>1171566</v>
      </c>
      <c r="CC32" s="102">
        <v>118134</v>
      </c>
      <c r="CD32" s="102">
        <v>2330689</v>
      </c>
      <c r="CE32" s="102">
        <v>2759104</v>
      </c>
      <c r="CF32" s="102">
        <v>1518</v>
      </c>
      <c r="CG32" s="102">
        <v>53112</v>
      </c>
      <c r="CH32" s="102">
        <v>1368977</v>
      </c>
      <c r="CI32" s="102">
        <v>1162263</v>
      </c>
      <c r="CJ32" s="83">
        <f t="shared" si="18"/>
        <v>206714</v>
      </c>
      <c r="CK32" s="102">
        <v>2189554</v>
      </c>
      <c r="CL32" s="102">
        <v>1234657</v>
      </c>
      <c r="CM32" s="102">
        <v>259682</v>
      </c>
      <c r="CN32" s="102">
        <v>300727</v>
      </c>
      <c r="CO32" s="102">
        <v>188549</v>
      </c>
      <c r="CP32" s="102">
        <v>2474461</v>
      </c>
      <c r="CQ32" s="102">
        <v>1593097</v>
      </c>
      <c r="CR32" s="102">
        <v>288668</v>
      </c>
      <c r="CS32" s="102">
        <v>234437</v>
      </c>
      <c r="CT32" s="73">
        <f t="shared" si="7"/>
        <v>174984</v>
      </c>
      <c r="CU32" s="102">
        <v>34607</v>
      </c>
      <c r="CV32" s="102">
        <v>140377</v>
      </c>
      <c r="CW32" s="73">
        <f t="shared" si="8"/>
        <v>168591</v>
      </c>
      <c r="CX32" s="102">
        <v>29234</v>
      </c>
      <c r="CY32" s="102">
        <v>139357</v>
      </c>
      <c r="CZ32" s="73">
        <f t="shared" si="9"/>
        <v>0</v>
      </c>
      <c r="DA32" s="102">
        <v>0</v>
      </c>
      <c r="DB32" s="102">
        <v>0</v>
      </c>
      <c r="DC32" s="102">
        <v>701846</v>
      </c>
      <c r="DD32" s="102">
        <v>360083</v>
      </c>
      <c r="DE32" s="102">
        <v>341763</v>
      </c>
      <c r="DF32" s="77">
        <v>0</v>
      </c>
      <c r="DG32" s="78">
        <v>0</v>
      </c>
      <c r="DH32" s="102">
        <v>0</v>
      </c>
      <c r="DI32" s="102">
        <v>296430</v>
      </c>
      <c r="DJ32" s="102">
        <v>295448</v>
      </c>
      <c r="DK32" s="102">
        <v>2</v>
      </c>
      <c r="DL32" s="102">
        <v>980</v>
      </c>
      <c r="DM32" s="102">
        <v>0</v>
      </c>
      <c r="DN32" s="102">
        <v>0</v>
      </c>
      <c r="DO32" s="102">
        <v>0</v>
      </c>
      <c r="DP32" s="102">
        <v>0</v>
      </c>
      <c r="DQ32" s="102">
        <v>0</v>
      </c>
      <c r="DR32" s="102">
        <v>0</v>
      </c>
      <c r="DS32" s="102">
        <v>0</v>
      </c>
      <c r="DT32" s="102">
        <v>3180412</v>
      </c>
      <c r="DU32" s="102">
        <v>1190549</v>
      </c>
      <c r="DV32" s="73">
        <f t="shared" si="10"/>
        <v>0</v>
      </c>
      <c r="DW32" s="102">
        <v>0</v>
      </c>
      <c r="DX32" s="102">
        <v>637084</v>
      </c>
      <c r="DY32" s="102">
        <v>0</v>
      </c>
      <c r="DZ32" s="102">
        <v>687685</v>
      </c>
      <c r="EA32" s="74">
        <v>0</v>
      </c>
      <c r="EB32" s="102">
        <v>665094</v>
      </c>
      <c r="EC32" s="102">
        <v>0</v>
      </c>
      <c r="ED32" s="102">
        <v>20967800</v>
      </c>
      <c r="EE32" s="71"/>
      <c r="EF32" s="102">
        <v>373102</v>
      </c>
      <c r="EG32" s="102">
        <v>37348</v>
      </c>
      <c r="EH32" s="102">
        <v>335754</v>
      </c>
      <c r="EI32" s="102">
        <v>137588</v>
      </c>
      <c r="EJ32" s="102">
        <v>433046</v>
      </c>
      <c r="EK32" s="71"/>
      <c r="EL32" s="102"/>
      <c r="EM32" s="102">
        <v>66466</v>
      </c>
      <c r="EN32" s="102">
        <v>0</v>
      </c>
      <c r="EO32" s="102">
        <v>5772</v>
      </c>
      <c r="EP32" s="73">
        <f t="shared" si="11"/>
        <v>658092</v>
      </c>
      <c r="EQ32" s="102">
        <v>13160057</v>
      </c>
      <c r="ER32" s="71">
        <v>-1795294</v>
      </c>
      <c r="ES32" s="102">
        <v>3772817</v>
      </c>
      <c r="ET32" s="102">
        <v>2321423</v>
      </c>
      <c r="EU32" s="102">
        <v>1858749</v>
      </c>
      <c r="EV32" s="102">
        <v>1368977</v>
      </c>
      <c r="EW32" s="73">
        <f t="shared" si="12"/>
        <v>112212</v>
      </c>
      <c r="EX32" s="102">
        <v>112212</v>
      </c>
      <c r="EY32" s="102">
        <v>4302</v>
      </c>
      <c r="EZ32" s="102">
        <v>107910</v>
      </c>
      <c r="FA32" s="102">
        <v>0</v>
      </c>
      <c r="FB32" s="102">
        <v>0</v>
      </c>
      <c r="FC32" s="102">
        <v>1770065</v>
      </c>
      <c r="FD32" s="102">
        <v>2379473</v>
      </c>
      <c r="FE32" s="102">
        <v>1592669</v>
      </c>
      <c r="FF32" s="102">
        <v>2844703</v>
      </c>
      <c r="FG32" s="73">
        <f t="shared" si="13"/>
        <v>475543</v>
      </c>
      <c r="FH32" s="102">
        <v>14582539</v>
      </c>
      <c r="FI32" s="379">
        <f t="shared" si="14"/>
        <v>2.5</v>
      </c>
      <c r="FJ32" s="102">
        <v>12030284</v>
      </c>
      <c r="FK32" s="102">
        <v>1142650</v>
      </c>
      <c r="FL32" s="102">
        <v>6026347</v>
      </c>
      <c r="FM32" s="102">
        <v>10227046</v>
      </c>
      <c r="FN32" s="428">
        <v>0.59799999999999998</v>
      </c>
      <c r="FO32" s="424">
        <v>98.8</v>
      </c>
      <c r="FP32" s="425">
        <v>28</v>
      </c>
      <c r="FQ32" s="424">
        <v>13.7</v>
      </c>
      <c r="FR32" s="424">
        <v>10.199999999999999</v>
      </c>
      <c r="FS32" s="425">
        <v>11.8</v>
      </c>
      <c r="FT32" s="424">
        <v>15.4</v>
      </c>
      <c r="FU32" s="425">
        <v>18.600000000000001</v>
      </c>
      <c r="FV32" s="384">
        <f t="shared" si="15"/>
        <v>5.6</v>
      </c>
      <c r="FW32" s="102">
        <v>12337015</v>
      </c>
      <c r="FX32" s="384">
        <f t="shared" si="16"/>
        <v>93.7</v>
      </c>
      <c r="FY32" s="102">
        <v>2606671</v>
      </c>
      <c r="FZ32" s="102">
        <v>1988835</v>
      </c>
      <c r="GA32" s="102">
        <v>2496</v>
      </c>
      <c r="GB32" s="102">
        <v>615340</v>
      </c>
      <c r="GC32" s="102">
        <v>0</v>
      </c>
      <c r="GD32" s="454">
        <v>1131241</v>
      </c>
      <c r="GE32" s="386">
        <f t="shared" si="19"/>
        <v>8.6</v>
      </c>
      <c r="GF32" s="424">
        <v>98.3</v>
      </c>
      <c r="GG32" s="424">
        <v>26.7</v>
      </c>
      <c r="GH32" s="424">
        <v>94</v>
      </c>
      <c r="GI32" s="102">
        <v>420</v>
      </c>
      <c r="GJ32" s="429" t="s">
        <v>646</v>
      </c>
      <c r="GK32" s="429">
        <v>12.93</v>
      </c>
      <c r="GL32" s="87">
        <v>20</v>
      </c>
      <c r="GM32" s="429" t="s">
        <v>646</v>
      </c>
      <c r="GN32" s="430">
        <v>17.93</v>
      </c>
      <c r="GO32" s="430">
        <v>30</v>
      </c>
      <c r="GP32" s="425">
        <v>5.6</v>
      </c>
      <c r="GQ32" s="425">
        <v>25</v>
      </c>
      <c r="GR32" s="425">
        <v>35</v>
      </c>
      <c r="GS32" s="431">
        <v>36.1</v>
      </c>
      <c r="GT32" s="425">
        <v>350</v>
      </c>
      <c r="GU32" s="394"/>
      <c r="GV32" s="100">
        <f t="shared" si="17"/>
        <v>13173</v>
      </c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</row>
    <row r="33" spans="2:230" x14ac:dyDescent="0.15">
      <c r="B33" s="89" t="s">
        <v>55</v>
      </c>
      <c r="C33" s="102">
        <v>75010688</v>
      </c>
      <c r="D33" s="73">
        <f t="shared" si="0"/>
        <v>22468021</v>
      </c>
      <c r="E33" s="102">
        <v>614695</v>
      </c>
      <c r="F33" s="102">
        <v>21853326</v>
      </c>
      <c r="G33" s="73">
        <f t="shared" si="1"/>
        <v>7054482</v>
      </c>
      <c r="H33" s="102">
        <v>1502885</v>
      </c>
      <c r="I33" s="102">
        <v>5551597</v>
      </c>
      <c r="J33" s="102">
        <v>31944471</v>
      </c>
      <c r="K33" s="102">
        <v>16008399</v>
      </c>
      <c r="L33" s="102">
        <v>12370387</v>
      </c>
      <c r="M33" s="102">
        <v>3244498</v>
      </c>
      <c r="N33" s="102">
        <v>4013712</v>
      </c>
      <c r="O33" s="102">
        <v>6937487</v>
      </c>
      <c r="P33" s="102">
        <v>4204894</v>
      </c>
      <c r="Q33" s="102">
        <v>2732593</v>
      </c>
      <c r="R33" s="102">
        <v>818704</v>
      </c>
      <c r="S33" s="74"/>
      <c r="T33" s="73">
        <f t="shared" si="2"/>
        <v>6102870</v>
      </c>
      <c r="U33" s="102">
        <v>256065</v>
      </c>
      <c r="V33" s="102">
        <v>197961</v>
      </c>
      <c r="W33" s="102">
        <v>45456</v>
      </c>
      <c r="X33" s="102">
        <v>5181496</v>
      </c>
      <c r="Y33" s="102">
        <v>0</v>
      </c>
      <c r="Z33" s="102">
        <v>0</v>
      </c>
      <c r="AA33" s="102">
        <v>421892</v>
      </c>
      <c r="AB33" s="102">
        <v>479217</v>
      </c>
      <c r="AC33" s="102">
        <v>23131214</v>
      </c>
      <c r="AD33" s="102">
        <v>22131622</v>
      </c>
      <c r="AE33" s="102">
        <v>999567</v>
      </c>
      <c r="AF33" s="102">
        <v>86052</v>
      </c>
      <c r="AG33" s="102">
        <v>2883987</v>
      </c>
      <c r="AH33" s="73">
        <f t="shared" si="3"/>
        <v>2930722</v>
      </c>
      <c r="AI33" s="102">
        <v>2511924</v>
      </c>
      <c r="AJ33" s="102">
        <v>418798</v>
      </c>
      <c r="AK33" s="102">
        <v>43366629</v>
      </c>
      <c r="AL33" s="73">
        <f t="shared" si="4"/>
        <v>32889401</v>
      </c>
      <c r="AM33" s="102">
        <v>27358614</v>
      </c>
      <c r="AN33" s="102">
        <v>1535897</v>
      </c>
      <c r="AO33" s="74"/>
      <c r="AP33" s="102">
        <v>3994890</v>
      </c>
      <c r="AQ33" s="102">
        <v>463396</v>
      </c>
      <c r="AR33" s="102">
        <v>0</v>
      </c>
      <c r="AS33" s="102">
        <v>0</v>
      </c>
      <c r="AT33" s="102">
        <v>9754264</v>
      </c>
      <c r="AU33" s="102">
        <v>5193063</v>
      </c>
      <c r="AV33" s="102">
        <v>0</v>
      </c>
      <c r="AW33" s="102">
        <v>767032</v>
      </c>
      <c r="AX33" s="102">
        <v>4561201</v>
      </c>
      <c r="AY33" s="102">
        <v>25218</v>
      </c>
      <c r="AZ33" s="102">
        <v>480481</v>
      </c>
      <c r="BA33" s="102">
        <v>356316</v>
      </c>
      <c r="BB33" s="102">
        <v>5470</v>
      </c>
      <c r="BC33" s="102">
        <v>1602911</v>
      </c>
      <c r="BD33" s="102">
        <v>0</v>
      </c>
      <c r="BE33" s="102">
        <v>0</v>
      </c>
      <c r="BF33" s="102">
        <v>1329963</v>
      </c>
      <c r="BG33" s="102">
        <v>0</v>
      </c>
      <c r="BH33" s="102">
        <v>1882761</v>
      </c>
      <c r="BI33" s="102">
        <v>1760214</v>
      </c>
      <c r="BJ33" s="102">
        <v>2241469</v>
      </c>
      <c r="BK33" s="102">
        <v>1015783</v>
      </c>
      <c r="BL33" s="102">
        <v>0</v>
      </c>
      <c r="BM33" s="102">
        <v>51517</v>
      </c>
      <c r="BN33" s="102">
        <v>15385500</v>
      </c>
      <c r="BO33" s="73">
        <f t="shared" si="5"/>
        <v>3924900</v>
      </c>
      <c r="BP33" s="73">
        <f t="shared" si="6"/>
        <v>9960600</v>
      </c>
      <c r="BQ33" s="102">
        <v>0</v>
      </c>
      <c r="BR33" s="102">
        <v>0</v>
      </c>
      <c r="BS33" s="102">
        <v>9960600</v>
      </c>
      <c r="BT33" s="102">
        <v>1500000</v>
      </c>
      <c r="BU33" s="102">
        <v>186162939</v>
      </c>
      <c r="BV33" s="71"/>
      <c r="BW33" s="102">
        <v>28989688</v>
      </c>
      <c r="BX33" s="102">
        <v>18493473</v>
      </c>
      <c r="BY33" s="102">
        <v>3554738</v>
      </c>
      <c r="BZ33" s="102">
        <v>2407364</v>
      </c>
      <c r="CA33" s="102">
        <v>68740915</v>
      </c>
      <c r="CB33" s="102">
        <v>9980629</v>
      </c>
      <c r="CC33" s="102">
        <v>1050078</v>
      </c>
      <c r="CD33" s="102">
        <v>18762724</v>
      </c>
      <c r="CE33" s="102">
        <v>36409542</v>
      </c>
      <c r="CF33" s="102">
        <v>1921188</v>
      </c>
      <c r="CG33" s="102">
        <v>616604</v>
      </c>
      <c r="CH33" s="102">
        <v>17444671</v>
      </c>
      <c r="CI33" s="102">
        <v>15222574</v>
      </c>
      <c r="CJ33" s="83">
        <f t="shared" si="18"/>
        <v>2222097</v>
      </c>
      <c r="CK33" s="102">
        <v>15346982</v>
      </c>
      <c r="CL33" s="102">
        <v>10177144</v>
      </c>
      <c r="CM33" s="102">
        <v>360178</v>
      </c>
      <c r="CN33" s="102">
        <v>2462194</v>
      </c>
      <c r="CO33" s="102">
        <v>1625250</v>
      </c>
      <c r="CP33" s="102">
        <v>19230658</v>
      </c>
      <c r="CQ33" s="102">
        <v>2522491</v>
      </c>
      <c r="CR33" s="102">
        <v>4567959</v>
      </c>
      <c r="CS33" s="102">
        <v>3490466</v>
      </c>
      <c r="CT33" s="73">
        <f t="shared" si="7"/>
        <v>10677800</v>
      </c>
      <c r="CU33" s="102">
        <v>8445606</v>
      </c>
      <c r="CV33" s="102">
        <v>2232194</v>
      </c>
      <c r="CW33" s="73">
        <f t="shared" si="8"/>
        <v>1000442</v>
      </c>
      <c r="CX33" s="102">
        <v>658804</v>
      </c>
      <c r="CY33" s="102">
        <v>341638</v>
      </c>
      <c r="CZ33" s="73">
        <f t="shared" si="9"/>
        <v>9561000</v>
      </c>
      <c r="DA33" s="102">
        <v>7674000</v>
      </c>
      <c r="DB33" s="102">
        <v>1887000</v>
      </c>
      <c r="DC33" s="102">
        <v>9884142</v>
      </c>
      <c r="DD33" s="102">
        <v>3242198</v>
      </c>
      <c r="DE33" s="102">
        <v>5965778</v>
      </c>
      <c r="DF33" s="77">
        <v>625358</v>
      </c>
      <c r="DG33" s="78">
        <v>50808</v>
      </c>
      <c r="DH33" s="102">
        <v>0</v>
      </c>
      <c r="DI33" s="102">
        <v>3438848</v>
      </c>
      <c r="DJ33" s="102">
        <v>2624400</v>
      </c>
      <c r="DK33" s="102">
        <v>5600</v>
      </c>
      <c r="DL33" s="102">
        <v>808848</v>
      </c>
      <c r="DM33" s="102">
        <v>868958</v>
      </c>
      <c r="DN33" s="102">
        <v>799558</v>
      </c>
      <c r="DO33" s="102">
        <v>0</v>
      </c>
      <c r="DP33" s="102">
        <v>799558</v>
      </c>
      <c r="DQ33" s="102">
        <v>2695613</v>
      </c>
      <c r="DR33" s="102">
        <v>0</v>
      </c>
      <c r="DS33" s="102">
        <v>0</v>
      </c>
      <c r="DT33" s="102">
        <v>16829968</v>
      </c>
      <c r="DU33" s="102">
        <v>0</v>
      </c>
      <c r="DV33" s="73">
        <f t="shared" si="10"/>
        <v>0</v>
      </c>
      <c r="DW33" s="102">
        <v>0</v>
      </c>
      <c r="DX33" s="102">
        <v>4850779</v>
      </c>
      <c r="DY33" s="102">
        <v>0</v>
      </c>
      <c r="DZ33" s="102">
        <v>6910018</v>
      </c>
      <c r="EA33" s="74">
        <v>0</v>
      </c>
      <c r="EB33" s="102">
        <v>4950348</v>
      </c>
      <c r="EC33" s="102">
        <v>0</v>
      </c>
      <c r="ED33" s="102">
        <v>185095693</v>
      </c>
      <c r="EE33" s="71"/>
      <c r="EF33" s="102">
        <v>1067246</v>
      </c>
      <c r="EG33" s="102">
        <v>64463</v>
      </c>
      <c r="EH33" s="102">
        <v>1002783</v>
      </c>
      <c r="EI33" s="102">
        <v>-757431</v>
      </c>
      <c r="EJ33" s="102">
        <v>1942978</v>
      </c>
      <c r="EK33" s="71"/>
      <c r="EL33" s="102"/>
      <c r="EM33" s="102">
        <v>502164</v>
      </c>
      <c r="EN33" s="102">
        <v>673</v>
      </c>
      <c r="EO33" s="102">
        <v>60961</v>
      </c>
      <c r="EP33" s="73">
        <f t="shared" si="11"/>
        <v>3270824</v>
      </c>
      <c r="EQ33" s="102">
        <v>105628745</v>
      </c>
      <c r="ER33" s="71">
        <v>-13207006</v>
      </c>
      <c r="ES33" s="102">
        <v>25923133</v>
      </c>
      <c r="ET33" s="102">
        <v>17100386</v>
      </c>
      <c r="EU33" s="102">
        <v>19961447</v>
      </c>
      <c r="EV33" s="102">
        <v>17390459</v>
      </c>
      <c r="EW33" s="73">
        <f t="shared" si="12"/>
        <v>2964539</v>
      </c>
      <c r="EX33" s="102">
        <v>2964539</v>
      </c>
      <c r="EY33" s="102">
        <v>260479</v>
      </c>
      <c r="EZ33" s="102">
        <v>2640102</v>
      </c>
      <c r="FA33" s="102">
        <v>0</v>
      </c>
      <c r="FB33" s="102">
        <v>0</v>
      </c>
      <c r="FC33" s="102">
        <v>12480832</v>
      </c>
      <c r="FD33" s="102">
        <v>18648140</v>
      </c>
      <c r="FE33" s="102">
        <v>2522491</v>
      </c>
      <c r="FF33" s="102">
        <v>13841326</v>
      </c>
      <c r="FG33" s="73">
        <f t="shared" si="13"/>
        <v>6558629</v>
      </c>
      <c r="FH33" s="102">
        <v>117768505</v>
      </c>
      <c r="FI33" s="379">
        <f t="shared" si="14"/>
        <v>0.9</v>
      </c>
      <c r="FJ33" s="102">
        <v>95871144</v>
      </c>
      <c r="FK33" s="102">
        <v>9960669</v>
      </c>
      <c r="FL33" s="102">
        <v>56624453</v>
      </c>
      <c r="FM33" s="102">
        <v>78704964</v>
      </c>
      <c r="FN33" s="428">
        <v>0.72899999999999998</v>
      </c>
      <c r="FO33" s="424">
        <v>95.4</v>
      </c>
      <c r="FP33" s="425">
        <v>23.7</v>
      </c>
      <c r="FQ33" s="424">
        <v>18.399999999999999</v>
      </c>
      <c r="FR33" s="424">
        <v>16</v>
      </c>
      <c r="FS33" s="425">
        <v>10.9</v>
      </c>
      <c r="FT33" s="424">
        <v>15.7</v>
      </c>
      <c r="FU33" s="425">
        <v>9.5</v>
      </c>
      <c r="FV33" s="384">
        <f t="shared" si="15"/>
        <v>6.6</v>
      </c>
      <c r="FW33" s="102">
        <v>164293672</v>
      </c>
      <c r="FX33" s="384">
        <f t="shared" si="16"/>
        <v>155.19999999999999</v>
      </c>
      <c r="FY33" s="102">
        <v>19260170</v>
      </c>
      <c r="FZ33" s="102">
        <v>10489568</v>
      </c>
      <c r="GA33" s="102">
        <v>1803200</v>
      </c>
      <c r="GB33" s="102">
        <v>6967402</v>
      </c>
      <c r="GC33" s="102">
        <v>0</v>
      </c>
      <c r="GD33" s="454">
        <v>9141376</v>
      </c>
      <c r="GE33" s="386">
        <f t="shared" si="19"/>
        <v>8.6</v>
      </c>
      <c r="GF33" s="424">
        <v>98.2</v>
      </c>
      <c r="GG33" s="424">
        <v>34.5</v>
      </c>
      <c r="GH33" s="424">
        <v>94</v>
      </c>
      <c r="GI33" s="102">
        <v>2677</v>
      </c>
      <c r="GJ33" s="429" t="s">
        <v>646</v>
      </c>
      <c r="GK33" s="429">
        <v>11.25</v>
      </c>
      <c r="GL33" s="87">
        <v>20</v>
      </c>
      <c r="GM33" s="429" t="s">
        <v>646</v>
      </c>
      <c r="GN33" s="430">
        <v>16.25</v>
      </c>
      <c r="GO33" s="430">
        <v>30</v>
      </c>
      <c r="GP33" s="425">
        <v>6.6</v>
      </c>
      <c r="GQ33" s="425">
        <v>25</v>
      </c>
      <c r="GR33" s="425">
        <v>35</v>
      </c>
      <c r="GS33" s="431">
        <v>27.5</v>
      </c>
      <c r="GT33" s="425">
        <v>350</v>
      </c>
      <c r="GU33" s="394"/>
      <c r="GV33" s="100">
        <f t="shared" si="17"/>
        <v>105832</v>
      </c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</row>
    <row r="34" spans="2:230" x14ac:dyDescent="0.15">
      <c r="B34" s="89" t="s">
        <v>57</v>
      </c>
      <c r="C34" s="102">
        <v>8627560</v>
      </c>
      <c r="D34" s="73">
        <f t="shared" si="0"/>
        <v>2328554</v>
      </c>
      <c r="E34" s="102">
        <v>73648</v>
      </c>
      <c r="F34" s="102">
        <v>2254906</v>
      </c>
      <c r="G34" s="73">
        <f t="shared" si="1"/>
        <v>553000</v>
      </c>
      <c r="H34" s="102">
        <v>199318</v>
      </c>
      <c r="I34" s="102">
        <v>353682</v>
      </c>
      <c r="J34" s="102">
        <v>4532654</v>
      </c>
      <c r="K34" s="102">
        <v>1849609</v>
      </c>
      <c r="L34" s="102">
        <v>1622640</v>
      </c>
      <c r="M34" s="102">
        <v>935986</v>
      </c>
      <c r="N34" s="102">
        <v>416276</v>
      </c>
      <c r="O34" s="102">
        <v>688093</v>
      </c>
      <c r="P34" s="102">
        <v>367709</v>
      </c>
      <c r="Q34" s="102">
        <v>320384</v>
      </c>
      <c r="R34" s="102">
        <v>148948</v>
      </c>
      <c r="S34" s="74"/>
      <c r="T34" s="73">
        <f t="shared" si="2"/>
        <v>758911</v>
      </c>
      <c r="U34" s="102">
        <v>26030</v>
      </c>
      <c r="V34" s="102">
        <v>20129</v>
      </c>
      <c r="W34" s="102">
        <v>4625</v>
      </c>
      <c r="X34" s="102">
        <v>593573</v>
      </c>
      <c r="Y34" s="102">
        <v>49628</v>
      </c>
      <c r="Z34" s="102">
        <v>0</v>
      </c>
      <c r="AA34" s="102">
        <v>64926</v>
      </c>
      <c r="AB34" s="102">
        <v>49087</v>
      </c>
      <c r="AC34" s="102">
        <v>2926018</v>
      </c>
      <c r="AD34" s="102">
        <v>2490476</v>
      </c>
      <c r="AE34" s="102">
        <v>435538</v>
      </c>
      <c r="AF34" s="102">
        <v>12334</v>
      </c>
      <c r="AG34" s="102">
        <v>155210</v>
      </c>
      <c r="AH34" s="73">
        <f t="shared" si="3"/>
        <v>387526</v>
      </c>
      <c r="AI34" s="102">
        <v>244850</v>
      </c>
      <c r="AJ34" s="102">
        <v>142676</v>
      </c>
      <c r="AK34" s="102">
        <v>3695145</v>
      </c>
      <c r="AL34" s="73">
        <f t="shared" si="4"/>
        <v>2275815</v>
      </c>
      <c r="AM34" s="102">
        <v>1635991</v>
      </c>
      <c r="AN34" s="102">
        <v>160729</v>
      </c>
      <c r="AO34" s="74"/>
      <c r="AP34" s="102">
        <v>479095</v>
      </c>
      <c r="AQ34" s="102">
        <v>101363</v>
      </c>
      <c r="AR34" s="102">
        <v>19380</v>
      </c>
      <c r="AS34" s="102">
        <v>0</v>
      </c>
      <c r="AT34" s="102">
        <v>1637523</v>
      </c>
      <c r="AU34" s="102">
        <v>947842</v>
      </c>
      <c r="AV34" s="102">
        <v>80365</v>
      </c>
      <c r="AW34" s="102">
        <v>115745</v>
      </c>
      <c r="AX34" s="102">
        <v>689681</v>
      </c>
      <c r="AY34" s="102">
        <v>1519</v>
      </c>
      <c r="AZ34" s="102">
        <v>19969</v>
      </c>
      <c r="BA34" s="102">
        <v>17057</v>
      </c>
      <c r="BB34" s="102">
        <v>1702</v>
      </c>
      <c r="BC34" s="102">
        <v>102476</v>
      </c>
      <c r="BD34" s="102">
        <v>0</v>
      </c>
      <c r="BE34" s="102">
        <v>0</v>
      </c>
      <c r="BF34" s="102">
        <v>102476</v>
      </c>
      <c r="BG34" s="102">
        <v>0</v>
      </c>
      <c r="BH34" s="102">
        <v>884233</v>
      </c>
      <c r="BI34" s="102">
        <v>827965</v>
      </c>
      <c r="BJ34" s="102">
        <v>229852</v>
      </c>
      <c r="BK34" s="102">
        <v>10</v>
      </c>
      <c r="BL34" s="102">
        <v>0</v>
      </c>
      <c r="BM34" s="102">
        <v>0</v>
      </c>
      <c r="BN34" s="102">
        <v>2984919</v>
      </c>
      <c r="BO34" s="73">
        <f t="shared" si="5"/>
        <v>1460600</v>
      </c>
      <c r="BP34" s="73">
        <f t="shared" si="6"/>
        <v>1224319</v>
      </c>
      <c r="BQ34" s="102">
        <v>0</v>
      </c>
      <c r="BR34" s="102">
        <v>0</v>
      </c>
      <c r="BS34" s="102">
        <v>1224319</v>
      </c>
      <c r="BT34" s="102">
        <v>300000</v>
      </c>
      <c r="BU34" s="102">
        <v>22621413</v>
      </c>
      <c r="BV34" s="71"/>
      <c r="BW34" s="102">
        <v>4594660</v>
      </c>
      <c r="BX34" s="102">
        <v>2996205</v>
      </c>
      <c r="BY34" s="102">
        <v>644869</v>
      </c>
      <c r="BZ34" s="102">
        <v>54418</v>
      </c>
      <c r="CA34" s="102">
        <v>5355821</v>
      </c>
      <c r="CB34" s="102">
        <v>1016843</v>
      </c>
      <c r="CC34" s="102">
        <v>110840</v>
      </c>
      <c r="CD34" s="102">
        <v>2062930</v>
      </c>
      <c r="CE34" s="102">
        <v>2091768</v>
      </c>
      <c r="CF34" s="102">
        <v>0</v>
      </c>
      <c r="CG34" s="102">
        <v>73320</v>
      </c>
      <c r="CH34" s="102">
        <v>2476379</v>
      </c>
      <c r="CI34" s="102">
        <v>1995097</v>
      </c>
      <c r="CJ34" s="83">
        <f t="shared" si="18"/>
        <v>481282</v>
      </c>
      <c r="CK34" s="102">
        <v>2571018</v>
      </c>
      <c r="CL34" s="102">
        <v>1707933</v>
      </c>
      <c r="CM34" s="102">
        <v>144284</v>
      </c>
      <c r="CN34" s="102">
        <v>407799</v>
      </c>
      <c r="CO34" s="102">
        <v>117361</v>
      </c>
      <c r="CP34" s="102">
        <v>2024394</v>
      </c>
      <c r="CQ34" s="102">
        <v>309636</v>
      </c>
      <c r="CR34" s="102">
        <v>540567</v>
      </c>
      <c r="CS34" s="102">
        <v>284712</v>
      </c>
      <c r="CT34" s="73">
        <f t="shared" si="7"/>
        <v>9324</v>
      </c>
      <c r="CU34" s="102">
        <v>788</v>
      </c>
      <c r="CV34" s="102">
        <v>8536</v>
      </c>
      <c r="CW34" s="73">
        <f t="shared" si="8"/>
        <v>0</v>
      </c>
      <c r="CX34" s="102">
        <v>0</v>
      </c>
      <c r="CY34" s="102">
        <v>0</v>
      </c>
      <c r="CZ34" s="73">
        <f t="shared" si="9"/>
        <v>0</v>
      </c>
      <c r="DA34" s="102">
        <v>0</v>
      </c>
      <c r="DB34" s="102">
        <v>0</v>
      </c>
      <c r="DC34" s="102">
        <v>1871360</v>
      </c>
      <c r="DD34" s="102">
        <v>412740</v>
      </c>
      <c r="DE34" s="102">
        <v>1424730</v>
      </c>
      <c r="DF34" s="77">
        <v>33890</v>
      </c>
      <c r="DG34" s="78">
        <v>0</v>
      </c>
      <c r="DH34" s="102">
        <v>39184</v>
      </c>
      <c r="DI34" s="102">
        <v>434608</v>
      </c>
      <c r="DJ34" s="102">
        <v>0</v>
      </c>
      <c r="DK34" s="102">
        <v>413983</v>
      </c>
      <c r="DL34" s="102">
        <v>20625</v>
      </c>
      <c r="DM34" s="102">
        <v>10164</v>
      </c>
      <c r="DN34" s="102">
        <v>10164</v>
      </c>
      <c r="DO34" s="102">
        <v>8700</v>
      </c>
      <c r="DP34" s="102">
        <v>0</v>
      </c>
      <c r="DQ34" s="102">
        <v>0</v>
      </c>
      <c r="DR34" s="102">
        <v>0</v>
      </c>
      <c r="DS34" s="102">
        <v>0</v>
      </c>
      <c r="DT34" s="102">
        <v>2661961</v>
      </c>
      <c r="DU34" s="102">
        <v>708787</v>
      </c>
      <c r="DV34" s="73">
        <f t="shared" si="10"/>
        <v>0</v>
      </c>
      <c r="DW34" s="102">
        <v>0</v>
      </c>
      <c r="DX34" s="102">
        <v>693226</v>
      </c>
      <c r="DY34" s="102">
        <v>0</v>
      </c>
      <c r="DZ34" s="102">
        <v>629610</v>
      </c>
      <c r="EA34" s="74">
        <v>0</v>
      </c>
      <c r="EB34" s="102">
        <v>630338</v>
      </c>
      <c r="EC34" s="102">
        <v>0</v>
      </c>
      <c r="ED34" s="102">
        <v>22156910</v>
      </c>
      <c r="EE34" s="71"/>
      <c r="EF34" s="102">
        <v>464503</v>
      </c>
      <c r="EG34" s="102">
        <v>42431</v>
      </c>
      <c r="EH34" s="102">
        <v>422072</v>
      </c>
      <c r="EI34" s="102">
        <v>-405893</v>
      </c>
      <c r="EJ34" s="102">
        <v>-405893</v>
      </c>
      <c r="EK34" s="71"/>
      <c r="EL34" s="102"/>
      <c r="EM34" s="102">
        <v>64587</v>
      </c>
      <c r="EN34" s="102">
        <v>0</v>
      </c>
      <c r="EO34" s="102">
        <v>19952</v>
      </c>
      <c r="EP34" s="73">
        <f t="shared" si="11"/>
        <v>964683</v>
      </c>
      <c r="EQ34" s="102">
        <v>12522858</v>
      </c>
      <c r="ER34" s="71">
        <v>-2196620</v>
      </c>
      <c r="ES34" s="102">
        <v>3947019</v>
      </c>
      <c r="ET34" s="102">
        <v>2679936</v>
      </c>
      <c r="EU34" s="102">
        <v>1370913</v>
      </c>
      <c r="EV34" s="102">
        <v>2476379</v>
      </c>
      <c r="EW34" s="73">
        <f t="shared" si="12"/>
        <v>101452</v>
      </c>
      <c r="EX34" s="102">
        <v>100348</v>
      </c>
      <c r="EY34" s="102">
        <v>2914</v>
      </c>
      <c r="EZ34" s="102">
        <v>96318</v>
      </c>
      <c r="FA34" s="102">
        <v>1104</v>
      </c>
      <c r="FB34" s="102">
        <v>0</v>
      </c>
      <c r="FC34" s="102">
        <v>1752374</v>
      </c>
      <c r="FD34" s="102">
        <v>1810983</v>
      </c>
      <c r="FE34" s="102">
        <v>309636</v>
      </c>
      <c r="FF34" s="102">
        <v>2258336</v>
      </c>
      <c r="FG34" s="73">
        <f t="shared" si="13"/>
        <v>537519</v>
      </c>
      <c r="FH34" s="102">
        <v>14254975</v>
      </c>
      <c r="FI34" s="379">
        <f t="shared" si="14"/>
        <v>3.4</v>
      </c>
      <c r="FJ34" s="102">
        <v>11354698</v>
      </c>
      <c r="FK34" s="102">
        <v>1224319</v>
      </c>
      <c r="FL34" s="102">
        <v>6835460</v>
      </c>
      <c r="FM34" s="102">
        <v>9325936</v>
      </c>
      <c r="FN34" s="428">
        <v>0.74299999999999999</v>
      </c>
      <c r="FO34" s="424">
        <v>94.3</v>
      </c>
      <c r="FP34" s="425">
        <v>30.2</v>
      </c>
      <c r="FQ34" s="424">
        <v>10.8</v>
      </c>
      <c r="FR34" s="424">
        <v>19.5</v>
      </c>
      <c r="FS34" s="425">
        <v>11.8</v>
      </c>
      <c r="FT34" s="424">
        <v>6.2</v>
      </c>
      <c r="FU34" s="425">
        <v>14.9</v>
      </c>
      <c r="FV34" s="384">
        <f t="shared" si="15"/>
        <v>8.8000000000000007</v>
      </c>
      <c r="FW34" s="102">
        <v>25473444</v>
      </c>
      <c r="FX34" s="384">
        <f t="shared" si="16"/>
        <v>202.5</v>
      </c>
      <c r="FY34" s="102">
        <v>3004266</v>
      </c>
      <c r="FZ34" s="102">
        <v>0</v>
      </c>
      <c r="GA34" s="102">
        <v>1180372</v>
      </c>
      <c r="GB34" s="102">
        <v>1823894</v>
      </c>
      <c r="GC34" s="102">
        <v>250000</v>
      </c>
      <c r="GD34" s="454">
        <v>6687910</v>
      </c>
      <c r="GE34" s="386">
        <f t="shared" si="19"/>
        <v>53.2</v>
      </c>
      <c r="GF34" s="424">
        <v>98.2</v>
      </c>
      <c r="GG34" s="424">
        <v>18.899999999999999</v>
      </c>
      <c r="GH34" s="424">
        <v>92.6</v>
      </c>
      <c r="GI34" s="102">
        <v>460</v>
      </c>
      <c r="GJ34" s="429" t="s">
        <v>646</v>
      </c>
      <c r="GK34" s="429">
        <v>12.99</v>
      </c>
      <c r="GL34" s="87">
        <v>20</v>
      </c>
      <c r="GM34" s="429" t="s">
        <v>646</v>
      </c>
      <c r="GN34" s="430">
        <v>17.989999999999998</v>
      </c>
      <c r="GO34" s="430">
        <v>30</v>
      </c>
      <c r="GP34" s="425">
        <v>8.8000000000000007</v>
      </c>
      <c r="GQ34" s="425">
        <v>25</v>
      </c>
      <c r="GR34" s="425">
        <v>35</v>
      </c>
      <c r="GS34" s="431">
        <v>144.69999999999999</v>
      </c>
      <c r="GT34" s="425">
        <v>350</v>
      </c>
      <c r="GU34" s="394"/>
      <c r="GV34" s="100">
        <f t="shared" si="17"/>
        <v>12579</v>
      </c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</row>
    <row r="35" spans="2:230" x14ac:dyDescent="0.15">
      <c r="B35" s="89" t="s">
        <v>59</v>
      </c>
      <c r="C35" s="102">
        <v>6485190</v>
      </c>
      <c r="D35" s="73">
        <f t="shared" si="0"/>
        <v>2722452</v>
      </c>
      <c r="E35" s="102">
        <v>72074</v>
      </c>
      <c r="F35" s="102">
        <v>2650378</v>
      </c>
      <c r="G35" s="73">
        <f t="shared" si="1"/>
        <v>217500</v>
      </c>
      <c r="H35" s="102">
        <v>104903</v>
      </c>
      <c r="I35" s="102">
        <v>112597</v>
      </c>
      <c r="J35" s="102">
        <v>2588286</v>
      </c>
      <c r="K35" s="102">
        <v>1194298</v>
      </c>
      <c r="L35" s="102">
        <v>1176246</v>
      </c>
      <c r="M35" s="102">
        <v>203047</v>
      </c>
      <c r="N35" s="102">
        <v>339628</v>
      </c>
      <c r="O35" s="102">
        <v>559517</v>
      </c>
      <c r="P35" s="102">
        <v>317851</v>
      </c>
      <c r="Q35" s="102">
        <v>241666</v>
      </c>
      <c r="R35" s="102">
        <v>108748</v>
      </c>
      <c r="S35" s="74"/>
      <c r="T35" s="73">
        <f t="shared" si="2"/>
        <v>590010</v>
      </c>
      <c r="U35" s="102">
        <v>30305</v>
      </c>
      <c r="V35" s="102">
        <v>23425</v>
      </c>
      <c r="W35" s="102">
        <v>5377</v>
      </c>
      <c r="X35" s="102">
        <v>447004</v>
      </c>
      <c r="Y35" s="102">
        <v>27876</v>
      </c>
      <c r="Z35" s="102">
        <v>0</v>
      </c>
      <c r="AA35" s="102">
        <v>56023</v>
      </c>
      <c r="AB35" s="102">
        <v>49900</v>
      </c>
      <c r="AC35" s="102">
        <v>4130619</v>
      </c>
      <c r="AD35" s="102">
        <v>3722867</v>
      </c>
      <c r="AE35" s="102">
        <v>407749</v>
      </c>
      <c r="AF35" s="102">
        <v>8504</v>
      </c>
      <c r="AG35" s="102">
        <v>245417</v>
      </c>
      <c r="AH35" s="73">
        <f t="shared" si="3"/>
        <v>277039</v>
      </c>
      <c r="AI35" s="102">
        <v>169692</v>
      </c>
      <c r="AJ35" s="102">
        <v>107347</v>
      </c>
      <c r="AK35" s="102">
        <v>2920593</v>
      </c>
      <c r="AL35" s="73">
        <f t="shared" si="4"/>
        <v>1903990</v>
      </c>
      <c r="AM35" s="102">
        <v>1275003</v>
      </c>
      <c r="AN35" s="102">
        <v>292294</v>
      </c>
      <c r="AO35" s="74"/>
      <c r="AP35" s="102">
        <v>336693</v>
      </c>
      <c r="AQ35" s="102">
        <v>72815</v>
      </c>
      <c r="AR35" s="102">
        <v>0</v>
      </c>
      <c r="AS35" s="102">
        <v>0</v>
      </c>
      <c r="AT35" s="102">
        <v>1280427</v>
      </c>
      <c r="AU35" s="102">
        <v>749541</v>
      </c>
      <c r="AV35" s="102">
        <v>99255</v>
      </c>
      <c r="AW35" s="102">
        <v>115690</v>
      </c>
      <c r="AX35" s="102">
        <v>530886</v>
      </c>
      <c r="AY35" s="102">
        <v>78</v>
      </c>
      <c r="AZ35" s="102">
        <v>151917</v>
      </c>
      <c r="BA35" s="102">
        <v>132336</v>
      </c>
      <c r="BB35" s="102">
        <v>3867</v>
      </c>
      <c r="BC35" s="102">
        <v>272585</v>
      </c>
      <c r="BD35" s="102">
        <v>120000</v>
      </c>
      <c r="BE35" s="102">
        <v>0</v>
      </c>
      <c r="BF35" s="102">
        <v>152585</v>
      </c>
      <c r="BG35" s="102">
        <v>0</v>
      </c>
      <c r="BH35" s="102">
        <v>538987</v>
      </c>
      <c r="BI35" s="102">
        <v>508997</v>
      </c>
      <c r="BJ35" s="102">
        <v>168099</v>
      </c>
      <c r="BK35" s="102">
        <v>0</v>
      </c>
      <c r="BL35" s="102">
        <v>0</v>
      </c>
      <c r="BM35" s="102">
        <v>0</v>
      </c>
      <c r="BN35" s="102">
        <v>1243500</v>
      </c>
      <c r="BO35" s="73">
        <f t="shared" si="5"/>
        <v>232200</v>
      </c>
      <c r="BP35" s="73">
        <f t="shared" si="6"/>
        <v>1011300</v>
      </c>
      <c r="BQ35" s="102">
        <v>0</v>
      </c>
      <c r="BR35" s="102">
        <v>0</v>
      </c>
      <c r="BS35" s="102">
        <v>1011300</v>
      </c>
      <c r="BT35" s="102">
        <v>0</v>
      </c>
      <c r="BU35" s="102">
        <v>18475402</v>
      </c>
      <c r="BV35" s="71"/>
      <c r="BW35" s="102">
        <v>3654423</v>
      </c>
      <c r="BX35" s="102">
        <v>2169155</v>
      </c>
      <c r="BY35" s="102">
        <v>552287</v>
      </c>
      <c r="BZ35" s="102">
        <v>254299</v>
      </c>
      <c r="CA35" s="102">
        <v>4833528</v>
      </c>
      <c r="CB35" s="102">
        <v>858138</v>
      </c>
      <c r="CC35" s="102">
        <v>96638</v>
      </c>
      <c r="CD35" s="102">
        <v>2237489</v>
      </c>
      <c r="CE35" s="102">
        <v>1549646</v>
      </c>
      <c r="CF35" s="102">
        <v>0</v>
      </c>
      <c r="CG35" s="102">
        <v>91313</v>
      </c>
      <c r="CH35" s="102">
        <v>2432589</v>
      </c>
      <c r="CI35" s="102">
        <v>2117890</v>
      </c>
      <c r="CJ35" s="83">
        <f t="shared" si="18"/>
        <v>314699</v>
      </c>
      <c r="CK35" s="102">
        <v>2128312</v>
      </c>
      <c r="CL35" s="102">
        <v>1460741</v>
      </c>
      <c r="CM35" s="102">
        <v>66491</v>
      </c>
      <c r="CN35" s="102">
        <v>235236</v>
      </c>
      <c r="CO35" s="102">
        <v>52623</v>
      </c>
      <c r="CP35" s="102">
        <v>1994414</v>
      </c>
      <c r="CQ35" s="102">
        <v>352525</v>
      </c>
      <c r="CR35" s="102">
        <v>300337</v>
      </c>
      <c r="CS35" s="102">
        <v>220628</v>
      </c>
      <c r="CT35" s="73">
        <f t="shared" si="7"/>
        <v>866266</v>
      </c>
      <c r="CU35" s="102">
        <v>601374</v>
      </c>
      <c r="CV35" s="102">
        <v>264892</v>
      </c>
      <c r="CW35" s="73">
        <f t="shared" si="8"/>
        <v>0</v>
      </c>
      <c r="CX35" s="102">
        <v>0</v>
      </c>
      <c r="CY35" s="102">
        <v>0</v>
      </c>
      <c r="CZ35" s="73">
        <f t="shared" si="9"/>
        <v>838239</v>
      </c>
      <c r="DA35" s="102">
        <v>575044</v>
      </c>
      <c r="DB35" s="102">
        <v>263195</v>
      </c>
      <c r="DC35" s="102">
        <v>976926</v>
      </c>
      <c r="DD35" s="102">
        <v>312768</v>
      </c>
      <c r="DE35" s="102">
        <v>662383</v>
      </c>
      <c r="DF35" s="77">
        <v>1775</v>
      </c>
      <c r="DG35" s="78">
        <v>0</v>
      </c>
      <c r="DH35" s="102">
        <v>18860</v>
      </c>
      <c r="DI35" s="102">
        <v>341779</v>
      </c>
      <c r="DJ35" s="102">
        <v>269540</v>
      </c>
      <c r="DK35" s="102">
        <v>57</v>
      </c>
      <c r="DL35" s="102">
        <v>72182</v>
      </c>
      <c r="DM35" s="102">
        <v>0</v>
      </c>
      <c r="DN35" s="102">
        <v>0</v>
      </c>
      <c r="DO35" s="102">
        <v>0</v>
      </c>
      <c r="DP35" s="102">
        <v>0</v>
      </c>
      <c r="DQ35" s="102">
        <v>0</v>
      </c>
      <c r="DR35" s="102">
        <v>0</v>
      </c>
      <c r="DS35" s="102">
        <v>0</v>
      </c>
      <c r="DT35" s="102">
        <v>1510118</v>
      </c>
      <c r="DU35" s="102">
        <v>0</v>
      </c>
      <c r="DV35" s="73">
        <f t="shared" si="10"/>
        <v>0</v>
      </c>
      <c r="DW35" s="102">
        <v>0</v>
      </c>
      <c r="DX35" s="102">
        <v>482038</v>
      </c>
      <c r="DY35" s="102">
        <v>0</v>
      </c>
      <c r="DZ35" s="102">
        <v>536035</v>
      </c>
      <c r="EA35" s="74">
        <v>0</v>
      </c>
      <c r="EB35" s="102">
        <v>491890</v>
      </c>
      <c r="EC35" s="102">
        <v>0</v>
      </c>
      <c r="ED35" s="102">
        <v>17943572</v>
      </c>
      <c r="EE35" s="71"/>
      <c r="EF35" s="102">
        <v>531830</v>
      </c>
      <c r="EG35" s="102">
        <v>5709</v>
      </c>
      <c r="EH35" s="102">
        <v>526121</v>
      </c>
      <c r="EI35" s="102">
        <v>17124</v>
      </c>
      <c r="EJ35" s="102">
        <v>166664</v>
      </c>
      <c r="EK35" s="71"/>
      <c r="EL35" s="102"/>
      <c r="EM35" s="102">
        <v>57238</v>
      </c>
      <c r="EN35" s="102">
        <v>270000</v>
      </c>
      <c r="EO35" s="102">
        <v>149676</v>
      </c>
      <c r="EP35" s="73">
        <f t="shared" si="11"/>
        <v>726258</v>
      </c>
      <c r="EQ35" s="102">
        <v>11372971</v>
      </c>
      <c r="ER35" s="71">
        <v>-2148730</v>
      </c>
      <c r="ES35" s="102">
        <v>3359104</v>
      </c>
      <c r="ET35" s="102">
        <v>1973994</v>
      </c>
      <c r="EU35" s="102">
        <v>1249496</v>
      </c>
      <c r="EV35" s="102">
        <v>2432589</v>
      </c>
      <c r="EW35" s="73">
        <f t="shared" si="12"/>
        <v>564905</v>
      </c>
      <c r="EX35" s="102">
        <v>552223</v>
      </c>
      <c r="EY35" s="102">
        <v>44468</v>
      </c>
      <c r="EZ35" s="102">
        <v>506868</v>
      </c>
      <c r="FA35" s="102">
        <v>12682</v>
      </c>
      <c r="FB35" s="102">
        <v>0</v>
      </c>
      <c r="FC35" s="102">
        <v>1847351</v>
      </c>
      <c r="FD35" s="102">
        <v>1890939</v>
      </c>
      <c r="FE35" s="102">
        <v>352525</v>
      </c>
      <c r="FF35" s="102">
        <v>1254427</v>
      </c>
      <c r="FG35" s="73">
        <f t="shared" si="13"/>
        <v>391060</v>
      </c>
      <c r="FH35" s="102">
        <v>12989871</v>
      </c>
      <c r="FI35" s="379">
        <f t="shared" si="14"/>
        <v>4.7</v>
      </c>
      <c r="FJ35" s="102">
        <v>10239369</v>
      </c>
      <c r="FK35" s="102">
        <v>1011357</v>
      </c>
      <c r="FL35" s="102">
        <v>5046682</v>
      </c>
      <c r="FM35" s="102">
        <v>8769549</v>
      </c>
      <c r="FN35" s="428">
        <v>0.59599999999999997</v>
      </c>
      <c r="FO35" s="424">
        <v>96.1</v>
      </c>
      <c r="FP35" s="425">
        <v>26.8</v>
      </c>
      <c r="FQ35" s="424">
        <v>10.9</v>
      </c>
      <c r="FR35" s="424">
        <v>21</v>
      </c>
      <c r="FS35" s="425">
        <v>14</v>
      </c>
      <c r="FT35" s="424">
        <v>13.5</v>
      </c>
      <c r="FU35" s="425">
        <v>9.5</v>
      </c>
      <c r="FV35" s="384">
        <f t="shared" si="15"/>
        <v>11.1</v>
      </c>
      <c r="FW35" s="102">
        <v>18120069</v>
      </c>
      <c r="FX35" s="384">
        <f t="shared" si="16"/>
        <v>161.1</v>
      </c>
      <c r="FY35" s="102">
        <v>2112808</v>
      </c>
      <c r="FZ35" s="102">
        <v>527549</v>
      </c>
      <c r="GA35" s="102">
        <v>51056</v>
      </c>
      <c r="GB35" s="102">
        <v>1534203</v>
      </c>
      <c r="GC35" s="102">
        <v>334200</v>
      </c>
      <c r="GD35" s="454">
        <v>870007</v>
      </c>
      <c r="GE35" s="386">
        <f t="shared" si="19"/>
        <v>7.7</v>
      </c>
      <c r="GF35" s="424">
        <v>98.6</v>
      </c>
      <c r="GG35" s="424">
        <v>25.5</v>
      </c>
      <c r="GH35" s="424">
        <v>93.8</v>
      </c>
      <c r="GI35" s="102">
        <v>363</v>
      </c>
      <c r="GJ35" s="429" t="s">
        <v>646</v>
      </c>
      <c r="GK35" s="429">
        <v>13.15</v>
      </c>
      <c r="GL35" s="87">
        <v>20</v>
      </c>
      <c r="GM35" s="429" t="s">
        <v>646</v>
      </c>
      <c r="GN35" s="430">
        <v>18.149999999999999</v>
      </c>
      <c r="GO35" s="430">
        <v>30</v>
      </c>
      <c r="GP35" s="425">
        <v>11.1</v>
      </c>
      <c r="GQ35" s="425">
        <v>25</v>
      </c>
      <c r="GR35" s="425">
        <v>35</v>
      </c>
      <c r="GS35" s="431">
        <v>48.4</v>
      </c>
      <c r="GT35" s="425">
        <v>350</v>
      </c>
      <c r="GU35" s="394"/>
      <c r="GV35" s="100">
        <f t="shared" si="17"/>
        <v>11251</v>
      </c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</row>
    <row r="36" spans="2:230" x14ac:dyDescent="0.15">
      <c r="B36" s="89" t="s">
        <v>61</v>
      </c>
      <c r="C36" s="102">
        <v>9266304</v>
      </c>
      <c r="D36" s="73">
        <f t="shared" si="0"/>
        <v>4343534</v>
      </c>
      <c r="E36" s="102">
        <v>103706</v>
      </c>
      <c r="F36" s="102">
        <v>4239828</v>
      </c>
      <c r="G36" s="73">
        <f t="shared" si="1"/>
        <v>374937</v>
      </c>
      <c r="H36" s="102">
        <v>123764</v>
      </c>
      <c r="I36" s="102">
        <v>251173</v>
      </c>
      <c r="J36" s="102">
        <v>3357525</v>
      </c>
      <c r="K36" s="102">
        <v>1450312</v>
      </c>
      <c r="L36" s="102">
        <v>1446292</v>
      </c>
      <c r="M36" s="102">
        <v>407383</v>
      </c>
      <c r="N36" s="102">
        <v>373662</v>
      </c>
      <c r="O36" s="102">
        <v>736022</v>
      </c>
      <c r="P36" s="102">
        <v>431452</v>
      </c>
      <c r="Q36" s="102">
        <v>304570</v>
      </c>
      <c r="R36" s="102">
        <v>141751</v>
      </c>
      <c r="S36" s="74"/>
      <c r="T36" s="73">
        <f t="shared" si="2"/>
        <v>858530</v>
      </c>
      <c r="U36" s="102">
        <v>48299</v>
      </c>
      <c r="V36" s="102">
        <v>37348</v>
      </c>
      <c r="W36" s="102">
        <v>8580</v>
      </c>
      <c r="X36" s="102">
        <v>606965</v>
      </c>
      <c r="Y36" s="102">
        <v>84300</v>
      </c>
      <c r="Z36" s="102">
        <v>0</v>
      </c>
      <c r="AA36" s="102">
        <v>73038</v>
      </c>
      <c r="AB36" s="102">
        <v>71002</v>
      </c>
      <c r="AC36" s="102">
        <v>3494186</v>
      </c>
      <c r="AD36" s="102">
        <v>3274672</v>
      </c>
      <c r="AE36" s="102">
        <v>219510</v>
      </c>
      <c r="AF36" s="102">
        <v>12204</v>
      </c>
      <c r="AG36" s="102">
        <v>252201</v>
      </c>
      <c r="AH36" s="73">
        <f t="shared" si="3"/>
        <v>415580</v>
      </c>
      <c r="AI36" s="102">
        <v>330091</v>
      </c>
      <c r="AJ36" s="102">
        <v>85489</v>
      </c>
      <c r="AK36" s="102">
        <v>3271032</v>
      </c>
      <c r="AL36" s="73">
        <f t="shared" si="4"/>
        <v>1680294</v>
      </c>
      <c r="AM36" s="102">
        <v>1057227</v>
      </c>
      <c r="AN36" s="102">
        <v>207612</v>
      </c>
      <c r="AO36" s="74"/>
      <c r="AP36" s="102">
        <v>415455</v>
      </c>
      <c r="AQ36" s="102">
        <v>106204</v>
      </c>
      <c r="AR36" s="102">
        <v>6555</v>
      </c>
      <c r="AS36" s="102">
        <v>0</v>
      </c>
      <c r="AT36" s="102">
        <v>1405158</v>
      </c>
      <c r="AU36" s="102">
        <v>760428</v>
      </c>
      <c r="AV36" s="102">
        <v>103806</v>
      </c>
      <c r="AW36" s="102">
        <v>4761</v>
      </c>
      <c r="AX36" s="102">
        <v>644730</v>
      </c>
      <c r="AY36" s="102">
        <v>37716</v>
      </c>
      <c r="AZ36" s="102">
        <v>713711</v>
      </c>
      <c r="BA36" s="102">
        <v>700633</v>
      </c>
      <c r="BB36" s="102">
        <v>11165</v>
      </c>
      <c r="BC36" s="102">
        <v>33948</v>
      </c>
      <c r="BD36" s="102">
        <v>0</v>
      </c>
      <c r="BE36" s="102">
        <v>0</v>
      </c>
      <c r="BF36" s="102">
        <v>6534</v>
      </c>
      <c r="BG36" s="102">
        <v>0</v>
      </c>
      <c r="BH36" s="102">
        <v>388406</v>
      </c>
      <c r="BI36" s="102">
        <v>293715</v>
      </c>
      <c r="BJ36" s="102">
        <v>266230</v>
      </c>
      <c r="BK36" s="102">
        <v>100000</v>
      </c>
      <c r="BL36" s="102">
        <v>0</v>
      </c>
      <c r="BM36" s="102">
        <v>0</v>
      </c>
      <c r="BN36" s="102">
        <v>2304436</v>
      </c>
      <c r="BO36" s="73">
        <f t="shared" si="5"/>
        <v>954300</v>
      </c>
      <c r="BP36" s="73">
        <f t="shared" si="6"/>
        <v>1350136</v>
      </c>
      <c r="BQ36" s="102">
        <v>0</v>
      </c>
      <c r="BR36" s="102">
        <v>0</v>
      </c>
      <c r="BS36" s="102">
        <v>1350136</v>
      </c>
      <c r="BT36" s="102">
        <v>0</v>
      </c>
      <c r="BU36" s="102">
        <v>22905844</v>
      </c>
      <c r="BV36" s="71"/>
      <c r="BW36" s="102">
        <v>4431420</v>
      </c>
      <c r="BX36" s="102">
        <v>2736632</v>
      </c>
      <c r="BY36" s="102">
        <v>297360</v>
      </c>
      <c r="BZ36" s="102">
        <v>499499</v>
      </c>
      <c r="CA36" s="102">
        <v>5518238</v>
      </c>
      <c r="CB36" s="102">
        <v>1275981</v>
      </c>
      <c r="CC36" s="102">
        <v>117406</v>
      </c>
      <c r="CD36" s="102">
        <v>2550602</v>
      </c>
      <c r="CE36" s="102">
        <v>1397701</v>
      </c>
      <c r="CF36" s="102">
        <v>0</v>
      </c>
      <c r="CG36" s="102">
        <v>174986</v>
      </c>
      <c r="CH36" s="102">
        <v>3548462</v>
      </c>
      <c r="CI36" s="102">
        <v>3026632</v>
      </c>
      <c r="CJ36" s="83">
        <f t="shared" si="18"/>
        <v>521830</v>
      </c>
      <c r="CK36" s="102">
        <v>2509093</v>
      </c>
      <c r="CL36" s="102">
        <v>1438525</v>
      </c>
      <c r="CM36" s="102">
        <v>178279</v>
      </c>
      <c r="CN36" s="102">
        <v>407654</v>
      </c>
      <c r="CO36" s="102">
        <v>81634</v>
      </c>
      <c r="CP36" s="102">
        <v>880579</v>
      </c>
      <c r="CQ36" s="102">
        <v>406675</v>
      </c>
      <c r="CR36" s="102">
        <v>292112</v>
      </c>
      <c r="CS36" s="102">
        <v>214151</v>
      </c>
      <c r="CT36" s="73">
        <f t="shared" si="7"/>
        <v>5790</v>
      </c>
      <c r="CU36" s="102">
        <v>5790</v>
      </c>
      <c r="CV36" s="102">
        <v>0</v>
      </c>
      <c r="CW36" s="73">
        <f t="shared" si="8"/>
        <v>0</v>
      </c>
      <c r="CX36" s="102">
        <v>0</v>
      </c>
      <c r="CY36" s="102">
        <v>0</v>
      </c>
      <c r="CZ36" s="73">
        <f t="shared" si="9"/>
        <v>0</v>
      </c>
      <c r="DA36" s="102">
        <v>0</v>
      </c>
      <c r="DB36" s="102">
        <v>0</v>
      </c>
      <c r="DC36" s="102">
        <v>1994515</v>
      </c>
      <c r="DD36" s="102">
        <v>213316</v>
      </c>
      <c r="DE36" s="102">
        <v>1777216</v>
      </c>
      <c r="DF36" s="77">
        <v>3983</v>
      </c>
      <c r="DG36" s="78">
        <v>0</v>
      </c>
      <c r="DH36" s="102">
        <v>90555</v>
      </c>
      <c r="DI36" s="102">
        <v>932695</v>
      </c>
      <c r="DJ36" s="102">
        <v>650139</v>
      </c>
      <c r="DK36" s="102">
        <v>963</v>
      </c>
      <c r="DL36" s="102">
        <v>281593</v>
      </c>
      <c r="DM36" s="102">
        <v>0</v>
      </c>
      <c r="DN36" s="102">
        <v>0</v>
      </c>
      <c r="DO36" s="102">
        <v>0</v>
      </c>
      <c r="DP36" s="102">
        <v>0</v>
      </c>
      <c r="DQ36" s="102">
        <v>0</v>
      </c>
      <c r="DR36" s="102">
        <v>0</v>
      </c>
      <c r="DS36" s="102">
        <v>0</v>
      </c>
      <c r="DT36" s="102">
        <v>2509557</v>
      </c>
      <c r="DU36" s="102">
        <v>596551</v>
      </c>
      <c r="DV36" s="73">
        <f t="shared" si="10"/>
        <v>0</v>
      </c>
      <c r="DW36" s="102">
        <v>0</v>
      </c>
      <c r="DX36" s="102">
        <v>645801</v>
      </c>
      <c r="DY36" s="102">
        <v>0</v>
      </c>
      <c r="DZ36" s="102">
        <v>629287</v>
      </c>
      <c r="EA36" s="74">
        <v>0</v>
      </c>
      <c r="EB36" s="102">
        <v>637908</v>
      </c>
      <c r="EC36" s="102">
        <v>0</v>
      </c>
      <c r="ED36" s="102">
        <v>22496748</v>
      </c>
      <c r="EE36" s="71"/>
      <c r="EF36" s="102">
        <v>409096</v>
      </c>
      <c r="EG36" s="102">
        <v>170720</v>
      </c>
      <c r="EH36" s="102">
        <v>238376</v>
      </c>
      <c r="EI36" s="102">
        <v>-55339</v>
      </c>
      <c r="EJ36" s="102">
        <v>668851</v>
      </c>
      <c r="EK36" s="71"/>
      <c r="EL36" s="102"/>
      <c r="EM36" s="102">
        <v>78051</v>
      </c>
      <c r="EN36" s="102">
        <v>2890</v>
      </c>
      <c r="EO36" s="102">
        <v>708991</v>
      </c>
      <c r="EP36" s="73">
        <f t="shared" si="11"/>
        <v>689709</v>
      </c>
      <c r="EQ36" s="102">
        <v>13843977</v>
      </c>
      <c r="ER36" s="71">
        <v>-2739522</v>
      </c>
      <c r="ES36" s="102">
        <v>4180489</v>
      </c>
      <c r="ET36" s="102">
        <v>2583888</v>
      </c>
      <c r="EU36" s="102">
        <v>1626303</v>
      </c>
      <c r="EV36" s="102">
        <v>3448462</v>
      </c>
      <c r="EW36" s="73">
        <f t="shared" si="12"/>
        <v>920333</v>
      </c>
      <c r="EX36" s="102">
        <v>877715</v>
      </c>
      <c r="EY36" s="102">
        <v>6726</v>
      </c>
      <c r="EZ36" s="102">
        <v>867006</v>
      </c>
      <c r="FA36" s="102">
        <v>42618</v>
      </c>
      <c r="FB36" s="102">
        <v>0</v>
      </c>
      <c r="FC36" s="102">
        <v>1981536</v>
      </c>
      <c r="FD36" s="102">
        <v>821494</v>
      </c>
      <c r="FE36" s="102">
        <v>403874</v>
      </c>
      <c r="FF36" s="102">
        <v>2186310</v>
      </c>
      <c r="FG36" s="73">
        <f t="shared" si="13"/>
        <v>1009476</v>
      </c>
      <c r="FH36" s="102">
        <v>16174403</v>
      </c>
      <c r="FI36" s="379">
        <f t="shared" si="14"/>
        <v>1.7</v>
      </c>
      <c r="FJ36" s="102">
        <v>12606527</v>
      </c>
      <c r="FK36" s="102">
        <v>1350136</v>
      </c>
      <c r="FL36" s="102">
        <v>7225497</v>
      </c>
      <c r="FM36" s="102">
        <v>10500169</v>
      </c>
      <c r="FN36" s="428">
        <v>0.69899999999999995</v>
      </c>
      <c r="FO36" s="424">
        <v>91.6</v>
      </c>
      <c r="FP36" s="425">
        <v>28.8</v>
      </c>
      <c r="FQ36" s="424">
        <v>11.3</v>
      </c>
      <c r="FR36" s="424">
        <v>23.5</v>
      </c>
      <c r="FS36" s="425">
        <v>12.3</v>
      </c>
      <c r="FT36" s="424">
        <v>4.7</v>
      </c>
      <c r="FU36" s="425">
        <v>10.4</v>
      </c>
      <c r="FV36" s="384">
        <f t="shared" si="15"/>
        <v>15.5</v>
      </c>
      <c r="FW36" s="102">
        <v>29869060</v>
      </c>
      <c r="FX36" s="384">
        <f t="shared" si="16"/>
        <v>214</v>
      </c>
      <c r="FY36" s="102">
        <v>4338003</v>
      </c>
      <c r="FZ36" s="102">
        <v>1982167</v>
      </c>
      <c r="GA36" s="102">
        <v>646023</v>
      </c>
      <c r="GB36" s="102">
        <v>1709813</v>
      </c>
      <c r="GC36" s="102">
        <v>0</v>
      </c>
      <c r="GD36" s="454">
        <v>17778832</v>
      </c>
      <c r="GE36" s="386">
        <f t="shared" si="19"/>
        <v>127.4</v>
      </c>
      <c r="GF36" s="424">
        <v>99.1</v>
      </c>
      <c r="GG36" s="424">
        <v>33.700000000000003</v>
      </c>
      <c r="GH36" s="424">
        <v>96.3</v>
      </c>
      <c r="GI36" s="102">
        <v>460</v>
      </c>
      <c r="GJ36" s="429" t="s">
        <v>646</v>
      </c>
      <c r="GK36" s="429">
        <v>12.86</v>
      </c>
      <c r="GL36" s="87">
        <v>20</v>
      </c>
      <c r="GM36" s="429" t="s">
        <v>646</v>
      </c>
      <c r="GN36" s="430">
        <v>17.86</v>
      </c>
      <c r="GO36" s="430">
        <v>30</v>
      </c>
      <c r="GP36" s="425">
        <v>15.5</v>
      </c>
      <c r="GQ36" s="425">
        <v>25</v>
      </c>
      <c r="GR36" s="425">
        <v>35</v>
      </c>
      <c r="GS36" s="431">
        <v>232.7</v>
      </c>
      <c r="GT36" s="425">
        <v>350</v>
      </c>
      <c r="GU36" s="394"/>
      <c r="GV36" s="100">
        <f t="shared" si="17"/>
        <v>13957</v>
      </c>
      <c r="GW36" s="394"/>
      <c r="GX36" s="394"/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</row>
    <row r="37" spans="2:230" x14ac:dyDescent="0.15">
      <c r="B37" s="89" t="s">
        <v>63</v>
      </c>
      <c r="C37" s="102">
        <v>7389720</v>
      </c>
      <c r="D37" s="73">
        <f t="shared" si="0"/>
        <v>3430203</v>
      </c>
      <c r="E37" s="102">
        <v>77478</v>
      </c>
      <c r="F37" s="102">
        <v>3352725</v>
      </c>
      <c r="G37" s="73">
        <f t="shared" si="1"/>
        <v>513465</v>
      </c>
      <c r="H37" s="102">
        <v>100781</v>
      </c>
      <c r="I37" s="102">
        <v>412684</v>
      </c>
      <c r="J37" s="102">
        <v>2699971</v>
      </c>
      <c r="K37" s="102">
        <v>1136933</v>
      </c>
      <c r="L37" s="102">
        <v>1216670</v>
      </c>
      <c r="M37" s="102">
        <v>312649</v>
      </c>
      <c r="N37" s="102">
        <v>325399</v>
      </c>
      <c r="O37" s="102">
        <v>356723</v>
      </c>
      <c r="P37" s="102">
        <v>202204</v>
      </c>
      <c r="Q37" s="102">
        <v>154519</v>
      </c>
      <c r="R37" s="102">
        <v>110694</v>
      </c>
      <c r="S37" s="74"/>
      <c r="T37" s="73">
        <f t="shared" si="2"/>
        <v>642529</v>
      </c>
      <c r="U37" s="102">
        <v>39044</v>
      </c>
      <c r="V37" s="102">
        <v>30206</v>
      </c>
      <c r="W37" s="102">
        <v>6947</v>
      </c>
      <c r="X37" s="102">
        <v>509277</v>
      </c>
      <c r="Y37" s="102">
        <v>0</v>
      </c>
      <c r="Z37" s="102">
        <v>0</v>
      </c>
      <c r="AA37" s="102">
        <v>57055</v>
      </c>
      <c r="AB37" s="102">
        <v>48632</v>
      </c>
      <c r="AC37" s="102">
        <v>2965731</v>
      </c>
      <c r="AD37" s="102">
        <v>2655312</v>
      </c>
      <c r="AE37" s="102">
        <v>310416</v>
      </c>
      <c r="AF37" s="102">
        <v>11592</v>
      </c>
      <c r="AG37" s="102">
        <v>215199</v>
      </c>
      <c r="AH37" s="73">
        <f t="shared" si="3"/>
        <v>251155</v>
      </c>
      <c r="AI37" s="102">
        <v>210368</v>
      </c>
      <c r="AJ37" s="102">
        <v>40787</v>
      </c>
      <c r="AK37" s="102">
        <v>2679768</v>
      </c>
      <c r="AL37" s="73">
        <f t="shared" si="4"/>
        <v>1468196</v>
      </c>
      <c r="AM37" s="102">
        <v>1065215</v>
      </c>
      <c r="AN37" s="102">
        <v>158920</v>
      </c>
      <c r="AO37" s="74"/>
      <c r="AP37" s="102">
        <v>244061</v>
      </c>
      <c r="AQ37" s="102">
        <v>262369</v>
      </c>
      <c r="AR37" s="102">
        <v>0</v>
      </c>
      <c r="AS37" s="102">
        <v>0</v>
      </c>
      <c r="AT37" s="102">
        <v>1087795</v>
      </c>
      <c r="AU37" s="102">
        <v>564668</v>
      </c>
      <c r="AV37" s="102">
        <v>82109</v>
      </c>
      <c r="AW37" s="102">
        <v>544</v>
      </c>
      <c r="AX37" s="102">
        <v>523127</v>
      </c>
      <c r="AY37" s="102">
        <v>16800</v>
      </c>
      <c r="AZ37" s="102">
        <v>24242</v>
      </c>
      <c r="BA37" s="102">
        <v>6836</v>
      </c>
      <c r="BB37" s="102">
        <v>1757</v>
      </c>
      <c r="BC37" s="102">
        <v>322176</v>
      </c>
      <c r="BD37" s="102">
        <v>0</v>
      </c>
      <c r="BE37" s="102">
        <v>0</v>
      </c>
      <c r="BF37" s="102">
        <v>300378</v>
      </c>
      <c r="BG37" s="102">
        <v>0</v>
      </c>
      <c r="BH37" s="102">
        <v>908430</v>
      </c>
      <c r="BI37" s="102">
        <v>800498</v>
      </c>
      <c r="BJ37" s="102">
        <v>146465</v>
      </c>
      <c r="BK37" s="102">
        <v>140</v>
      </c>
      <c r="BL37" s="102">
        <v>0</v>
      </c>
      <c r="BM37" s="102">
        <v>0</v>
      </c>
      <c r="BN37" s="102">
        <v>2490700</v>
      </c>
      <c r="BO37" s="73">
        <f t="shared" si="5"/>
        <v>1365100</v>
      </c>
      <c r="BP37" s="73">
        <f t="shared" si="6"/>
        <v>1125600</v>
      </c>
      <c r="BQ37" s="102">
        <v>0</v>
      </c>
      <c r="BR37" s="102">
        <v>0</v>
      </c>
      <c r="BS37" s="102">
        <v>1125600</v>
      </c>
      <c r="BT37" s="102">
        <v>0</v>
      </c>
      <c r="BU37" s="102">
        <v>19296585</v>
      </c>
      <c r="BV37" s="71"/>
      <c r="BW37" s="102">
        <v>4087236</v>
      </c>
      <c r="BX37" s="102">
        <v>2444101</v>
      </c>
      <c r="BY37" s="102">
        <v>684113</v>
      </c>
      <c r="BZ37" s="102">
        <v>236330</v>
      </c>
      <c r="CA37" s="102">
        <v>4065991</v>
      </c>
      <c r="CB37" s="102">
        <v>687076</v>
      </c>
      <c r="CC37" s="102">
        <v>78158</v>
      </c>
      <c r="CD37" s="102">
        <v>1961755</v>
      </c>
      <c r="CE37" s="102">
        <v>1277912</v>
      </c>
      <c r="CF37" s="102">
        <v>0</v>
      </c>
      <c r="CG37" s="102">
        <v>61090</v>
      </c>
      <c r="CH37" s="102">
        <v>2387243</v>
      </c>
      <c r="CI37" s="102">
        <v>2144908</v>
      </c>
      <c r="CJ37" s="83">
        <f t="shared" si="18"/>
        <v>242335</v>
      </c>
      <c r="CK37" s="102">
        <v>2601747</v>
      </c>
      <c r="CL37" s="102">
        <v>1741558</v>
      </c>
      <c r="CM37" s="102">
        <v>148823</v>
      </c>
      <c r="CN37" s="102">
        <v>297452</v>
      </c>
      <c r="CO37" s="102">
        <v>26398</v>
      </c>
      <c r="CP37" s="102">
        <v>2012924</v>
      </c>
      <c r="CQ37" s="102">
        <v>473170</v>
      </c>
      <c r="CR37" s="102">
        <v>315027</v>
      </c>
      <c r="CS37" s="102">
        <v>177326</v>
      </c>
      <c r="CT37" s="73">
        <f t="shared" si="7"/>
        <v>51288</v>
      </c>
      <c r="CU37" s="102">
        <v>51288</v>
      </c>
      <c r="CV37" s="102">
        <v>0</v>
      </c>
      <c r="CW37" s="73">
        <f t="shared" si="8"/>
        <v>0</v>
      </c>
      <c r="CX37" s="102">
        <v>0</v>
      </c>
      <c r="CY37" s="102">
        <v>0</v>
      </c>
      <c r="CZ37" s="73">
        <f t="shared" si="9"/>
        <v>0</v>
      </c>
      <c r="DA37" s="102">
        <v>0</v>
      </c>
      <c r="DB37" s="102">
        <v>0</v>
      </c>
      <c r="DC37" s="102">
        <v>1274381</v>
      </c>
      <c r="DD37" s="102">
        <v>834070</v>
      </c>
      <c r="DE37" s="102">
        <v>407476</v>
      </c>
      <c r="DF37" s="77">
        <v>32835</v>
      </c>
      <c r="DG37" s="78">
        <v>0</v>
      </c>
      <c r="DH37" s="102">
        <v>1006</v>
      </c>
      <c r="DI37" s="102">
        <v>125244</v>
      </c>
      <c r="DJ37" s="102">
        <v>123337</v>
      </c>
      <c r="DK37" s="102">
        <v>100</v>
      </c>
      <c r="DL37" s="102">
        <v>1807</v>
      </c>
      <c r="DM37" s="102">
        <v>0</v>
      </c>
      <c r="DN37" s="102">
        <v>0</v>
      </c>
      <c r="DO37" s="102">
        <v>0</v>
      </c>
      <c r="DP37" s="102">
        <v>0</v>
      </c>
      <c r="DQ37" s="102">
        <v>432</v>
      </c>
      <c r="DR37" s="102">
        <v>0</v>
      </c>
      <c r="DS37" s="102">
        <v>0</v>
      </c>
      <c r="DT37" s="102">
        <v>1824121</v>
      </c>
      <c r="DU37" s="102">
        <v>335617</v>
      </c>
      <c r="DV37" s="73">
        <f t="shared" si="10"/>
        <v>0</v>
      </c>
      <c r="DW37" s="102">
        <v>0</v>
      </c>
      <c r="DX37" s="102">
        <v>540360</v>
      </c>
      <c r="DY37" s="102">
        <v>0</v>
      </c>
      <c r="DZ37" s="102">
        <v>394992</v>
      </c>
      <c r="EA37" s="74">
        <v>0</v>
      </c>
      <c r="EB37" s="102">
        <v>553152</v>
      </c>
      <c r="EC37" s="102">
        <v>0</v>
      </c>
      <c r="ED37" s="102">
        <v>18406723</v>
      </c>
      <c r="EE37" s="71"/>
      <c r="EF37" s="102">
        <v>889862</v>
      </c>
      <c r="EG37" s="102">
        <v>49481</v>
      </c>
      <c r="EH37" s="102">
        <v>840381</v>
      </c>
      <c r="EI37" s="102">
        <v>39883</v>
      </c>
      <c r="EJ37" s="102">
        <v>163220</v>
      </c>
      <c r="EK37" s="71"/>
      <c r="EL37" s="102"/>
      <c r="EM37" s="102">
        <v>57652</v>
      </c>
      <c r="EN37" s="102">
        <v>6605</v>
      </c>
      <c r="EO37" s="102">
        <v>19521</v>
      </c>
      <c r="EP37" s="73">
        <f t="shared" si="11"/>
        <v>1038300</v>
      </c>
      <c r="EQ37" s="102">
        <v>11168898</v>
      </c>
      <c r="ER37" s="71">
        <v>-2178434</v>
      </c>
      <c r="ES37" s="102">
        <v>3516278</v>
      </c>
      <c r="ET37" s="102">
        <v>2223264</v>
      </c>
      <c r="EU37" s="102">
        <v>1052706</v>
      </c>
      <c r="EV37" s="102">
        <v>2387243</v>
      </c>
      <c r="EW37" s="73">
        <f t="shared" si="12"/>
        <v>348696</v>
      </c>
      <c r="EX37" s="102">
        <v>347725</v>
      </c>
      <c r="EY37" s="102">
        <v>14006</v>
      </c>
      <c r="EZ37" s="102">
        <v>329648</v>
      </c>
      <c r="FA37" s="102">
        <v>971</v>
      </c>
      <c r="FB37" s="102">
        <v>0</v>
      </c>
      <c r="FC37" s="102">
        <v>2292938</v>
      </c>
      <c r="FD37" s="102">
        <v>1130407</v>
      </c>
      <c r="FE37" s="102">
        <v>473170</v>
      </c>
      <c r="FF37" s="102">
        <v>1582167</v>
      </c>
      <c r="FG37" s="73">
        <f t="shared" si="13"/>
        <v>147035</v>
      </c>
      <c r="FH37" s="102">
        <v>12457470</v>
      </c>
      <c r="FI37" s="379">
        <f t="shared" si="14"/>
        <v>7.4</v>
      </c>
      <c r="FJ37" s="102">
        <v>10305361</v>
      </c>
      <c r="FK37" s="102">
        <v>1125624</v>
      </c>
      <c r="FL37" s="102">
        <v>5882609</v>
      </c>
      <c r="FM37" s="102">
        <v>8537921</v>
      </c>
      <c r="FN37" s="428">
        <v>0.70199999999999996</v>
      </c>
      <c r="FO37" s="424">
        <v>98.7</v>
      </c>
      <c r="FP37" s="425">
        <v>30</v>
      </c>
      <c r="FQ37" s="424">
        <v>9</v>
      </c>
      <c r="FR37" s="424">
        <v>20.399999999999999</v>
      </c>
      <c r="FS37" s="425">
        <v>18.600000000000001</v>
      </c>
      <c r="FT37" s="424">
        <v>9</v>
      </c>
      <c r="FU37" s="425">
        <v>11.5</v>
      </c>
      <c r="FV37" s="384">
        <f t="shared" si="15"/>
        <v>9.8000000000000007</v>
      </c>
      <c r="FW37" s="102">
        <v>17080800</v>
      </c>
      <c r="FX37" s="384">
        <f t="shared" si="16"/>
        <v>149.4</v>
      </c>
      <c r="FY37" s="102">
        <v>4171473</v>
      </c>
      <c r="FZ37" s="102">
        <v>3132519</v>
      </c>
      <c r="GA37" s="102">
        <v>36828</v>
      </c>
      <c r="GB37" s="102">
        <v>1002126</v>
      </c>
      <c r="GC37" s="102">
        <v>0</v>
      </c>
      <c r="GD37" s="454"/>
      <c r="GE37" s="386"/>
      <c r="GF37" s="424">
        <v>98.3</v>
      </c>
      <c r="GG37" s="424">
        <v>16.100000000000001</v>
      </c>
      <c r="GH37" s="424">
        <v>91.5</v>
      </c>
      <c r="GI37" s="102">
        <v>374</v>
      </c>
      <c r="GJ37" s="429" t="s">
        <v>646</v>
      </c>
      <c r="GK37" s="429">
        <v>13.12</v>
      </c>
      <c r="GL37" s="87">
        <v>20</v>
      </c>
      <c r="GM37" s="429" t="s">
        <v>646</v>
      </c>
      <c r="GN37" s="430">
        <v>18.12</v>
      </c>
      <c r="GO37" s="430">
        <v>30</v>
      </c>
      <c r="GP37" s="425">
        <v>9.8000000000000007</v>
      </c>
      <c r="GQ37" s="425">
        <v>25</v>
      </c>
      <c r="GR37" s="425">
        <v>35</v>
      </c>
      <c r="GS37" s="431">
        <v>7.5</v>
      </c>
      <c r="GT37" s="425">
        <v>350</v>
      </c>
      <c r="GU37" s="394"/>
      <c r="GV37" s="100">
        <f t="shared" si="17"/>
        <v>11431</v>
      </c>
      <c r="GW37" s="394"/>
      <c r="GX37" s="394"/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</row>
    <row r="38" spans="2:230" x14ac:dyDescent="0.15">
      <c r="B38" s="89" t="s">
        <v>65</v>
      </c>
      <c r="C38" s="102">
        <v>5411704</v>
      </c>
      <c r="D38" s="73">
        <f t="shared" si="0"/>
        <v>2494182</v>
      </c>
      <c r="E38" s="102">
        <v>74111</v>
      </c>
      <c r="F38" s="102">
        <v>2420071</v>
      </c>
      <c r="G38" s="73">
        <f t="shared" si="1"/>
        <v>162480</v>
      </c>
      <c r="H38" s="102">
        <v>69542</v>
      </c>
      <c r="I38" s="102">
        <v>92938</v>
      </c>
      <c r="J38" s="102">
        <v>1992697</v>
      </c>
      <c r="K38" s="102">
        <v>693029</v>
      </c>
      <c r="L38" s="102">
        <v>981896</v>
      </c>
      <c r="M38" s="102">
        <v>262860</v>
      </c>
      <c r="N38" s="102">
        <v>269198</v>
      </c>
      <c r="O38" s="102">
        <v>398304</v>
      </c>
      <c r="P38" s="102">
        <v>193766</v>
      </c>
      <c r="Q38" s="102">
        <v>204538</v>
      </c>
      <c r="R38" s="102">
        <v>114817</v>
      </c>
      <c r="S38" s="74"/>
      <c r="T38" s="73">
        <f t="shared" si="2"/>
        <v>543096</v>
      </c>
      <c r="U38" s="102">
        <v>28074</v>
      </c>
      <c r="V38" s="102">
        <v>21716</v>
      </c>
      <c r="W38" s="102">
        <v>4994</v>
      </c>
      <c r="X38" s="102">
        <v>426671</v>
      </c>
      <c r="Y38" s="102">
        <v>2476</v>
      </c>
      <c r="Z38" s="102">
        <v>0</v>
      </c>
      <c r="AA38" s="102">
        <v>59165</v>
      </c>
      <c r="AB38" s="102">
        <v>39396</v>
      </c>
      <c r="AC38" s="102">
        <v>4202958</v>
      </c>
      <c r="AD38" s="102">
        <v>3907505</v>
      </c>
      <c r="AE38" s="102">
        <v>295449</v>
      </c>
      <c r="AF38" s="102">
        <v>10000</v>
      </c>
      <c r="AG38" s="102">
        <v>76612</v>
      </c>
      <c r="AH38" s="73">
        <f t="shared" si="3"/>
        <v>293968</v>
      </c>
      <c r="AI38" s="102">
        <v>202566</v>
      </c>
      <c r="AJ38" s="102">
        <v>91402</v>
      </c>
      <c r="AK38" s="102">
        <v>2155349</v>
      </c>
      <c r="AL38" s="73">
        <f t="shared" si="4"/>
        <v>1274849</v>
      </c>
      <c r="AM38" s="102">
        <v>772297</v>
      </c>
      <c r="AN38" s="102">
        <v>204380</v>
      </c>
      <c r="AO38" s="74"/>
      <c r="AP38" s="102">
        <v>298172</v>
      </c>
      <c r="AQ38" s="102">
        <v>65775</v>
      </c>
      <c r="AR38" s="102">
        <v>0</v>
      </c>
      <c r="AS38" s="102">
        <v>0</v>
      </c>
      <c r="AT38" s="102">
        <v>1220310</v>
      </c>
      <c r="AU38" s="102">
        <v>645045</v>
      </c>
      <c r="AV38" s="102">
        <v>113900</v>
      </c>
      <c r="AW38" s="102">
        <v>0</v>
      </c>
      <c r="AX38" s="102">
        <v>575265</v>
      </c>
      <c r="AY38" s="102">
        <v>3712</v>
      </c>
      <c r="AZ38" s="102">
        <v>25432</v>
      </c>
      <c r="BA38" s="102">
        <v>20752</v>
      </c>
      <c r="BB38" s="102">
        <v>347</v>
      </c>
      <c r="BC38" s="102">
        <v>365508</v>
      </c>
      <c r="BD38" s="102">
        <v>268867</v>
      </c>
      <c r="BE38" s="102">
        <v>0</v>
      </c>
      <c r="BF38" s="102">
        <v>79428</v>
      </c>
      <c r="BG38" s="102">
        <v>0</v>
      </c>
      <c r="BH38" s="102">
        <v>254246</v>
      </c>
      <c r="BI38" s="102">
        <v>242246</v>
      </c>
      <c r="BJ38" s="102">
        <v>147886</v>
      </c>
      <c r="BK38" s="102">
        <v>0</v>
      </c>
      <c r="BL38" s="102">
        <v>0</v>
      </c>
      <c r="BM38" s="102">
        <v>0</v>
      </c>
      <c r="BN38" s="102">
        <v>1245639</v>
      </c>
      <c r="BO38" s="73">
        <f t="shared" si="5"/>
        <v>206800</v>
      </c>
      <c r="BP38" s="73">
        <f t="shared" si="6"/>
        <v>865739</v>
      </c>
      <c r="BQ38" s="102">
        <v>0</v>
      </c>
      <c r="BR38" s="102">
        <v>0</v>
      </c>
      <c r="BS38" s="102">
        <v>865739</v>
      </c>
      <c r="BT38" s="102">
        <v>173100</v>
      </c>
      <c r="BU38" s="102">
        <v>16107268</v>
      </c>
      <c r="BV38" s="71"/>
      <c r="BW38" s="102">
        <v>3328506</v>
      </c>
      <c r="BX38" s="102">
        <v>2209086</v>
      </c>
      <c r="BY38" s="102">
        <v>424441</v>
      </c>
      <c r="BZ38" s="102">
        <v>13877</v>
      </c>
      <c r="CA38" s="102">
        <v>3673767</v>
      </c>
      <c r="CB38" s="102">
        <v>778663</v>
      </c>
      <c r="CC38" s="102">
        <v>83217</v>
      </c>
      <c r="CD38" s="102">
        <v>1699027</v>
      </c>
      <c r="CE38" s="102">
        <v>991086</v>
      </c>
      <c r="CF38" s="102">
        <v>42330</v>
      </c>
      <c r="CG38" s="102">
        <v>79444</v>
      </c>
      <c r="CH38" s="102">
        <v>1679766</v>
      </c>
      <c r="CI38" s="102">
        <v>1383099</v>
      </c>
      <c r="CJ38" s="83">
        <f t="shared" si="18"/>
        <v>296667</v>
      </c>
      <c r="CK38" s="102">
        <v>2050771</v>
      </c>
      <c r="CL38" s="102">
        <v>1089351</v>
      </c>
      <c r="CM38" s="102">
        <v>350171</v>
      </c>
      <c r="CN38" s="102">
        <v>351520</v>
      </c>
      <c r="CO38" s="102">
        <v>104050</v>
      </c>
      <c r="CP38" s="102">
        <v>2113501</v>
      </c>
      <c r="CQ38" s="102">
        <v>986013</v>
      </c>
      <c r="CR38" s="102">
        <v>254263</v>
      </c>
      <c r="CS38" s="102">
        <v>254263</v>
      </c>
      <c r="CT38" s="73">
        <f t="shared" si="7"/>
        <v>581476</v>
      </c>
      <c r="CU38" s="102">
        <v>308186</v>
      </c>
      <c r="CV38" s="102">
        <v>273290</v>
      </c>
      <c r="CW38" s="73">
        <f t="shared" si="8"/>
        <v>556446</v>
      </c>
      <c r="CX38" s="102">
        <v>302632</v>
      </c>
      <c r="CY38" s="102">
        <v>253814</v>
      </c>
      <c r="CZ38" s="73">
        <f t="shared" si="9"/>
        <v>0</v>
      </c>
      <c r="DA38" s="102">
        <v>0</v>
      </c>
      <c r="DB38" s="102">
        <v>0</v>
      </c>
      <c r="DC38" s="102">
        <v>551969</v>
      </c>
      <c r="DD38" s="102">
        <v>227519</v>
      </c>
      <c r="DE38" s="102">
        <v>316772</v>
      </c>
      <c r="DF38" s="77">
        <v>7678</v>
      </c>
      <c r="DG38" s="78">
        <v>0</v>
      </c>
      <c r="DH38" s="102">
        <v>0</v>
      </c>
      <c r="DI38" s="102">
        <v>62284</v>
      </c>
      <c r="DJ38" s="102">
        <v>10698</v>
      </c>
      <c r="DK38" s="102">
        <v>30311</v>
      </c>
      <c r="DL38" s="102">
        <v>21275</v>
      </c>
      <c r="DM38" s="102">
        <v>20000</v>
      </c>
      <c r="DN38" s="102">
        <v>20000</v>
      </c>
      <c r="DO38" s="102">
        <v>20000</v>
      </c>
      <c r="DP38" s="102">
        <v>0</v>
      </c>
      <c r="DQ38" s="102">
        <v>0</v>
      </c>
      <c r="DR38" s="102">
        <v>0</v>
      </c>
      <c r="DS38" s="102">
        <v>0</v>
      </c>
      <c r="DT38" s="102">
        <v>2278757</v>
      </c>
      <c r="DU38" s="102">
        <v>496693</v>
      </c>
      <c r="DV38" s="73">
        <f t="shared" si="10"/>
        <v>0</v>
      </c>
      <c r="DW38" s="102">
        <v>0</v>
      </c>
      <c r="DX38" s="102">
        <v>676465</v>
      </c>
      <c r="DY38" s="102">
        <v>0</v>
      </c>
      <c r="DZ38" s="102">
        <v>534115</v>
      </c>
      <c r="EA38" s="74">
        <v>0</v>
      </c>
      <c r="EB38" s="102">
        <v>571482</v>
      </c>
      <c r="EC38" s="102">
        <v>0</v>
      </c>
      <c r="ED38" s="102">
        <v>15863371</v>
      </c>
      <c r="EE38" s="71"/>
      <c r="EF38" s="102">
        <v>243897</v>
      </c>
      <c r="EG38" s="102">
        <v>68193</v>
      </c>
      <c r="EH38" s="102">
        <v>175704</v>
      </c>
      <c r="EI38" s="102">
        <v>-66542</v>
      </c>
      <c r="EJ38" s="102">
        <v>-324711</v>
      </c>
      <c r="EK38" s="71"/>
      <c r="EL38" s="102"/>
      <c r="EM38" s="102">
        <v>57546</v>
      </c>
      <c r="EN38" s="102">
        <v>286080</v>
      </c>
      <c r="EO38" s="102">
        <v>21389</v>
      </c>
      <c r="EP38" s="73">
        <f t="shared" si="11"/>
        <v>348592</v>
      </c>
      <c r="EQ38" s="102">
        <v>10321971</v>
      </c>
      <c r="ER38" s="71">
        <v>-1511800</v>
      </c>
      <c r="ES38" s="102">
        <v>2826648</v>
      </c>
      <c r="ET38" s="102">
        <v>1894958</v>
      </c>
      <c r="EU38" s="102">
        <v>1008516</v>
      </c>
      <c r="EV38" s="102">
        <v>1679766</v>
      </c>
      <c r="EW38" s="73">
        <f t="shared" si="12"/>
        <v>214053</v>
      </c>
      <c r="EX38" s="102">
        <v>214053</v>
      </c>
      <c r="EY38" s="102">
        <v>17074</v>
      </c>
      <c r="EZ38" s="102">
        <v>196940</v>
      </c>
      <c r="FA38" s="102">
        <v>0</v>
      </c>
      <c r="FB38" s="102">
        <v>0</v>
      </c>
      <c r="FC38" s="102">
        <v>1769082</v>
      </c>
      <c r="FD38" s="102">
        <v>1953712</v>
      </c>
      <c r="FE38" s="102">
        <v>985586</v>
      </c>
      <c r="FF38" s="102">
        <v>1984128</v>
      </c>
      <c r="FG38" s="73">
        <f t="shared" si="13"/>
        <v>153969</v>
      </c>
      <c r="FH38" s="102">
        <v>11589874</v>
      </c>
      <c r="FI38" s="379">
        <f t="shared" si="14"/>
        <v>1.7</v>
      </c>
      <c r="FJ38" s="102">
        <v>9578702</v>
      </c>
      <c r="FK38" s="102">
        <v>865739</v>
      </c>
      <c r="FL38" s="102">
        <v>4418205</v>
      </c>
      <c r="FM38" s="102">
        <v>8310902</v>
      </c>
      <c r="FN38" s="428">
        <v>0.54400000000000004</v>
      </c>
      <c r="FO38" s="424">
        <v>98.9</v>
      </c>
      <c r="FP38" s="425">
        <v>26.4</v>
      </c>
      <c r="FQ38" s="424">
        <v>9.6</v>
      </c>
      <c r="FR38" s="424">
        <v>15.9</v>
      </c>
      <c r="FS38" s="425">
        <v>16.100000000000001</v>
      </c>
      <c r="FT38" s="424">
        <v>12.5</v>
      </c>
      <c r="FU38" s="425">
        <v>17.600000000000001</v>
      </c>
      <c r="FV38" s="384">
        <f t="shared" si="15"/>
        <v>8.1</v>
      </c>
      <c r="FW38" s="102">
        <v>15947136</v>
      </c>
      <c r="FX38" s="384">
        <f t="shared" si="16"/>
        <v>152.69999999999999</v>
      </c>
      <c r="FY38" s="102">
        <v>3772005</v>
      </c>
      <c r="FZ38" s="102">
        <v>2216876</v>
      </c>
      <c r="GA38" s="102">
        <v>493196</v>
      </c>
      <c r="GB38" s="102">
        <v>1061933</v>
      </c>
      <c r="GC38" s="102">
        <v>240000</v>
      </c>
      <c r="GD38" s="427"/>
      <c r="GE38" s="386"/>
      <c r="GF38" s="424">
        <v>97.7</v>
      </c>
      <c r="GG38" s="424">
        <v>25.1</v>
      </c>
      <c r="GH38" s="424">
        <v>92.2</v>
      </c>
      <c r="GI38" s="102">
        <v>348</v>
      </c>
      <c r="GJ38" s="429" t="s">
        <v>646</v>
      </c>
      <c r="GK38" s="429">
        <v>13.26</v>
      </c>
      <c r="GL38" s="87">
        <v>20</v>
      </c>
      <c r="GM38" s="429" t="s">
        <v>646</v>
      </c>
      <c r="GN38" s="430">
        <v>18.260000000000002</v>
      </c>
      <c r="GO38" s="430">
        <v>30</v>
      </c>
      <c r="GP38" s="425">
        <v>8.1</v>
      </c>
      <c r="GQ38" s="425">
        <v>25</v>
      </c>
      <c r="GR38" s="425">
        <v>35</v>
      </c>
      <c r="GS38" s="431">
        <v>55.2</v>
      </c>
      <c r="GT38" s="425">
        <v>350</v>
      </c>
      <c r="GU38" s="394"/>
      <c r="GV38" s="100">
        <f t="shared" si="17"/>
        <v>10444</v>
      </c>
      <c r="GW38" s="394"/>
      <c r="GX38" s="394"/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</row>
    <row r="39" spans="2:230" x14ac:dyDescent="0.15">
      <c r="B39" s="21" t="s">
        <v>67</v>
      </c>
      <c r="C39" s="102">
        <v>730110128</v>
      </c>
      <c r="D39" s="73">
        <f t="shared" si="0"/>
        <v>273154881</v>
      </c>
      <c r="E39" s="102">
        <v>6666540</v>
      </c>
      <c r="F39" s="102">
        <v>266488341</v>
      </c>
      <c r="G39" s="73">
        <f t="shared" si="1"/>
        <v>53677745</v>
      </c>
      <c r="H39" s="102">
        <v>12793401</v>
      </c>
      <c r="I39" s="102">
        <v>40884344</v>
      </c>
      <c r="J39" s="102">
        <v>294804937</v>
      </c>
      <c r="K39" s="102">
        <v>128391275</v>
      </c>
      <c r="L39" s="102">
        <v>122488694</v>
      </c>
      <c r="M39" s="102">
        <v>38332226</v>
      </c>
      <c r="N39" s="102">
        <v>34717013</v>
      </c>
      <c r="O39" s="102">
        <v>61532822</v>
      </c>
      <c r="P39" s="102">
        <v>35169938</v>
      </c>
      <c r="Q39" s="102">
        <v>26362884</v>
      </c>
      <c r="R39" s="102">
        <v>11479003</v>
      </c>
      <c r="S39" s="74"/>
      <c r="T39" s="73">
        <f t="shared" si="2"/>
        <v>57805583</v>
      </c>
      <c r="U39" s="102">
        <v>3041825</v>
      </c>
      <c r="V39" s="102">
        <v>2354023</v>
      </c>
      <c r="W39" s="102">
        <v>541797</v>
      </c>
      <c r="X39" s="102">
        <v>46619785</v>
      </c>
      <c r="Y39" s="102">
        <v>714824</v>
      </c>
      <c r="Z39" s="102">
        <v>0</v>
      </c>
      <c r="AA39" s="102">
        <v>4533329</v>
      </c>
      <c r="AB39" s="102">
        <v>4344599</v>
      </c>
      <c r="AC39" s="102">
        <v>196491490</v>
      </c>
      <c r="AD39" s="102">
        <v>184057355</v>
      </c>
      <c r="AE39" s="102">
        <v>12433654</v>
      </c>
      <c r="AF39" s="102">
        <v>864718</v>
      </c>
      <c r="AG39" s="102">
        <v>20471712</v>
      </c>
      <c r="AH39" s="73">
        <f t="shared" si="3"/>
        <v>34424863</v>
      </c>
      <c r="AI39" s="102">
        <v>26978686</v>
      </c>
      <c r="AJ39" s="102">
        <v>7446177</v>
      </c>
      <c r="AK39" s="102">
        <v>319525247</v>
      </c>
      <c r="AL39" s="73">
        <f t="shared" si="4"/>
        <v>208698959</v>
      </c>
      <c r="AM39" s="102">
        <v>156957184</v>
      </c>
      <c r="AN39" s="102">
        <v>17850305</v>
      </c>
      <c r="AO39" s="74"/>
      <c r="AP39" s="102">
        <v>33891470</v>
      </c>
      <c r="AQ39" s="102">
        <v>11327500</v>
      </c>
      <c r="AR39" s="102">
        <v>48396</v>
      </c>
      <c r="AS39" s="102">
        <v>272273</v>
      </c>
      <c r="AT39" s="102">
        <v>108446999</v>
      </c>
      <c r="AU39" s="102">
        <v>63885665</v>
      </c>
      <c r="AV39" s="102">
        <v>6708932</v>
      </c>
      <c r="AW39" s="102">
        <v>4704002</v>
      </c>
      <c r="AX39" s="102">
        <v>44561334</v>
      </c>
      <c r="AY39" s="102">
        <v>1430231</v>
      </c>
      <c r="AZ39" s="102">
        <v>11615203</v>
      </c>
      <c r="BA39" s="102">
        <v>9974999</v>
      </c>
      <c r="BB39" s="102">
        <v>1781798</v>
      </c>
      <c r="BC39" s="102">
        <v>24966299</v>
      </c>
      <c r="BD39" s="102">
        <v>1807806</v>
      </c>
      <c r="BE39" s="102">
        <v>1718035</v>
      </c>
      <c r="BF39" s="102">
        <v>9567666</v>
      </c>
      <c r="BG39" s="102">
        <v>2427458</v>
      </c>
      <c r="BH39" s="102">
        <v>20119824</v>
      </c>
      <c r="BI39" s="102">
        <v>14173965</v>
      </c>
      <c r="BJ39" s="102">
        <v>39580473</v>
      </c>
      <c r="BK39" s="102">
        <v>18857539</v>
      </c>
      <c r="BL39" s="102">
        <v>374050</v>
      </c>
      <c r="BM39" s="102">
        <v>1283284</v>
      </c>
      <c r="BN39" s="102">
        <v>153545434</v>
      </c>
      <c r="BO39" s="73">
        <f t="shared" si="5"/>
        <v>67545800</v>
      </c>
      <c r="BP39" s="73">
        <f t="shared" si="6"/>
        <v>81041834</v>
      </c>
      <c r="BQ39" s="102">
        <v>0</v>
      </c>
      <c r="BR39" s="102">
        <v>749200</v>
      </c>
      <c r="BS39" s="102">
        <v>80292634</v>
      </c>
      <c r="BT39" s="102">
        <v>4957800</v>
      </c>
      <c r="BU39" s="102">
        <v>1735845646</v>
      </c>
      <c r="BV39" s="71"/>
      <c r="BW39" s="102">
        <v>302217510</v>
      </c>
      <c r="BX39" s="102">
        <v>194013658</v>
      </c>
      <c r="BY39" s="102">
        <v>35690535</v>
      </c>
      <c r="BZ39" s="102">
        <v>19576617</v>
      </c>
      <c r="CA39" s="102">
        <v>505684669</v>
      </c>
      <c r="CB39" s="102">
        <v>86824709</v>
      </c>
      <c r="CC39" s="102">
        <v>9703128</v>
      </c>
      <c r="CD39" s="102">
        <v>191475033</v>
      </c>
      <c r="CE39" s="102">
        <v>206226693</v>
      </c>
      <c r="CF39" s="102">
        <v>5111649</v>
      </c>
      <c r="CG39" s="102">
        <v>6228911</v>
      </c>
      <c r="CH39" s="102">
        <v>165951381</v>
      </c>
      <c r="CI39" s="102">
        <v>142594742</v>
      </c>
      <c r="CJ39" s="83">
        <f t="shared" si="18"/>
        <v>23356639</v>
      </c>
      <c r="CK39" s="102">
        <v>191335707</v>
      </c>
      <c r="CL39" s="102">
        <v>115853889</v>
      </c>
      <c r="CM39" s="102">
        <v>13690911</v>
      </c>
      <c r="CN39" s="102">
        <v>33802415</v>
      </c>
      <c r="CO39" s="102">
        <v>14123708</v>
      </c>
      <c r="CP39" s="102">
        <v>156503693</v>
      </c>
      <c r="CQ39" s="102">
        <v>33376355</v>
      </c>
      <c r="CR39" s="102">
        <v>34902750</v>
      </c>
      <c r="CS39" s="102">
        <v>24791844</v>
      </c>
      <c r="CT39" s="73">
        <f t="shared" si="7"/>
        <v>38540817</v>
      </c>
      <c r="CU39" s="102">
        <v>24451461</v>
      </c>
      <c r="CV39" s="102">
        <v>14089356</v>
      </c>
      <c r="CW39" s="73">
        <f t="shared" si="8"/>
        <v>12968841</v>
      </c>
      <c r="CX39" s="102">
        <v>8872577</v>
      </c>
      <c r="CY39" s="102">
        <v>4096264</v>
      </c>
      <c r="CZ39" s="73">
        <f t="shared" si="9"/>
        <v>23252330</v>
      </c>
      <c r="DA39" s="102">
        <v>14786627</v>
      </c>
      <c r="DB39" s="102">
        <v>8465703</v>
      </c>
      <c r="DC39" s="102">
        <v>131869636</v>
      </c>
      <c r="DD39" s="102">
        <v>52817215</v>
      </c>
      <c r="DE39" s="102">
        <v>76755955</v>
      </c>
      <c r="DF39" s="77">
        <v>1733302</v>
      </c>
      <c r="DG39" s="78">
        <v>563164</v>
      </c>
      <c r="DH39" s="102">
        <v>421480</v>
      </c>
      <c r="DI39" s="102">
        <v>26058846</v>
      </c>
      <c r="DJ39" s="102">
        <v>12602820</v>
      </c>
      <c r="DK39" s="102">
        <v>4002847</v>
      </c>
      <c r="DL39" s="102">
        <v>9453179</v>
      </c>
      <c r="DM39" s="102">
        <v>4809851</v>
      </c>
      <c r="DN39" s="102">
        <v>4705685</v>
      </c>
      <c r="DO39" s="102">
        <v>447748</v>
      </c>
      <c r="DP39" s="102">
        <v>3553710</v>
      </c>
      <c r="DQ39" s="102">
        <v>14391593</v>
      </c>
      <c r="DR39" s="102">
        <v>0</v>
      </c>
      <c r="DS39" s="102">
        <v>0</v>
      </c>
      <c r="DT39" s="102">
        <v>196186147</v>
      </c>
      <c r="DU39" s="102">
        <v>41538022</v>
      </c>
      <c r="DV39" s="73">
        <f t="shared" si="10"/>
        <v>0</v>
      </c>
      <c r="DW39" s="102">
        <v>0</v>
      </c>
      <c r="DX39" s="102">
        <v>49616310</v>
      </c>
      <c r="DY39" s="102">
        <v>1527606</v>
      </c>
      <c r="DZ39" s="102">
        <v>52442513</v>
      </c>
      <c r="EA39" s="74">
        <v>0</v>
      </c>
      <c r="EB39" s="102">
        <v>46205219</v>
      </c>
      <c r="EC39" s="102">
        <v>406414</v>
      </c>
      <c r="ED39" s="102">
        <v>1709960635</v>
      </c>
      <c r="EE39" s="71"/>
      <c r="EF39" s="102">
        <v>25885011</v>
      </c>
      <c r="EG39" s="102">
        <v>9329282</v>
      </c>
      <c r="EH39" s="102">
        <v>16555729</v>
      </c>
      <c r="EI39" s="102">
        <v>1046406</v>
      </c>
      <c r="EJ39" s="102">
        <v>14717546</v>
      </c>
      <c r="EK39" s="71"/>
      <c r="EL39" s="102"/>
      <c r="EM39" s="102">
        <v>5171552</v>
      </c>
      <c r="EN39" s="102">
        <v>17108541</v>
      </c>
      <c r="EO39" s="102">
        <v>10284854</v>
      </c>
      <c r="EP39" s="73">
        <f t="shared" si="11"/>
        <v>43869696</v>
      </c>
      <c r="EQ39" s="102">
        <v>1001367794</v>
      </c>
      <c r="ER39" s="71">
        <v>-151167934</v>
      </c>
      <c r="ES39" s="102">
        <v>275041702</v>
      </c>
      <c r="ET39" s="102">
        <v>176032368</v>
      </c>
      <c r="EU39" s="102">
        <v>145305798</v>
      </c>
      <c r="EV39" s="102">
        <v>164797506</v>
      </c>
      <c r="EW39" s="73">
        <f t="shared" si="12"/>
        <v>47300289</v>
      </c>
      <c r="EX39" s="102">
        <v>47086576</v>
      </c>
      <c r="EY39" s="102">
        <v>4264421</v>
      </c>
      <c r="EZ39" s="102">
        <v>42527549</v>
      </c>
      <c r="FA39" s="102">
        <v>213713</v>
      </c>
      <c r="FB39" s="102">
        <v>0</v>
      </c>
      <c r="FC39" s="102">
        <v>153129255</v>
      </c>
      <c r="FD39" s="102">
        <v>126638715</v>
      </c>
      <c r="FE39" s="102">
        <v>33046606</v>
      </c>
      <c r="FF39" s="102">
        <v>170889991</v>
      </c>
      <c r="FG39" s="73">
        <f t="shared" si="13"/>
        <v>43723977</v>
      </c>
      <c r="FH39" s="102">
        <v>1126827233</v>
      </c>
      <c r="FI39" s="379">
        <f t="shared" si="14"/>
        <v>1.7</v>
      </c>
      <c r="FJ39" s="102">
        <v>911152839</v>
      </c>
      <c r="FK39" s="102">
        <v>88235208</v>
      </c>
      <c r="FL39" s="102">
        <v>558993621</v>
      </c>
      <c r="FM39" s="102">
        <v>742460386</v>
      </c>
      <c r="FN39" s="428">
        <v>0.76300000000000001</v>
      </c>
      <c r="FO39" s="424">
        <v>94.9</v>
      </c>
      <c r="FP39" s="425">
        <v>26.3</v>
      </c>
      <c r="FQ39" s="424">
        <v>14.2</v>
      </c>
      <c r="FR39" s="424">
        <v>15.9</v>
      </c>
      <c r="FS39" s="425">
        <v>14</v>
      </c>
      <c r="FT39" s="424">
        <v>9.6</v>
      </c>
      <c r="FU39" s="425">
        <v>13.6</v>
      </c>
      <c r="FV39" s="384">
        <f t="shared" si="15"/>
        <v>6.4</v>
      </c>
      <c r="FW39" s="102">
        <v>1473051662</v>
      </c>
      <c r="FX39" s="384">
        <f t="shared" si="16"/>
        <v>147.4</v>
      </c>
      <c r="FY39" s="102">
        <v>282808617</v>
      </c>
      <c r="FZ39" s="102">
        <v>113572617</v>
      </c>
      <c r="GA39" s="102">
        <v>24011501</v>
      </c>
      <c r="GB39" s="102">
        <v>145224499</v>
      </c>
      <c r="GC39" s="102">
        <v>24027030</v>
      </c>
      <c r="GD39" s="454">
        <v>85652485</v>
      </c>
      <c r="GE39" s="386">
        <f>IF(GD39=0,"-",ROUND(GD39/1000/GW39*100,1))</f>
        <v>13.8</v>
      </c>
      <c r="GF39" s="424">
        <v>98.6</v>
      </c>
      <c r="GG39" s="424">
        <v>25.5</v>
      </c>
      <c r="GH39" s="424">
        <v>94.4</v>
      </c>
      <c r="GI39" s="102">
        <v>29772</v>
      </c>
      <c r="GJ39" s="429" t="s">
        <v>646</v>
      </c>
      <c r="GK39" s="429" t="s">
        <v>646</v>
      </c>
      <c r="GL39" s="88" t="s">
        <v>646</v>
      </c>
      <c r="GM39" s="429" t="s">
        <v>646</v>
      </c>
      <c r="GN39" s="429" t="s">
        <v>646</v>
      </c>
      <c r="GO39" s="429" t="s">
        <v>646</v>
      </c>
      <c r="GP39" s="425">
        <v>6.4</v>
      </c>
      <c r="GQ39" s="431" t="s">
        <v>646</v>
      </c>
      <c r="GR39" s="431" t="s">
        <v>646</v>
      </c>
      <c r="GS39" s="431">
        <v>30.4</v>
      </c>
      <c r="GT39" s="431" t="s">
        <v>646</v>
      </c>
      <c r="GU39" s="394"/>
      <c r="GV39" s="100">
        <f t="shared" si="17"/>
        <v>999388</v>
      </c>
      <c r="GW39" s="394">
        <f>SUM(GV10,GV12:GV13,GV16:GV20,GV23:GV24,GV26:GV28,GV30:GV36)</f>
        <v>618839</v>
      </c>
      <c r="GX39" s="394"/>
      <c r="GY39" s="394"/>
      <c r="GZ39" s="394"/>
      <c r="HA39" s="394"/>
      <c r="HB39" s="394"/>
      <c r="HC39" s="394"/>
      <c r="HD39" s="394"/>
      <c r="HE39" s="394"/>
      <c r="HF39" s="394"/>
      <c r="HG39" s="394"/>
      <c r="HH39" s="394"/>
      <c r="HI39" s="394"/>
      <c r="HJ39" s="394"/>
      <c r="HK39" s="394"/>
      <c r="HL39" s="394"/>
      <c r="HM39" s="394"/>
      <c r="HN39" s="394"/>
      <c r="HO39" s="394"/>
      <c r="HP39" s="394"/>
      <c r="HQ39" s="394"/>
      <c r="HR39" s="394"/>
      <c r="HS39" s="394"/>
      <c r="HT39" s="394"/>
      <c r="HU39" s="394"/>
      <c r="HV39" s="394"/>
    </row>
    <row r="40" spans="2:230" x14ac:dyDescent="0.15">
      <c r="B40" s="89" t="s">
        <v>69</v>
      </c>
      <c r="C40" s="102">
        <v>4593011</v>
      </c>
      <c r="D40" s="73">
        <f t="shared" si="0"/>
        <v>1764131</v>
      </c>
      <c r="E40" s="102">
        <v>42994</v>
      </c>
      <c r="F40" s="102">
        <v>1721137</v>
      </c>
      <c r="G40" s="73">
        <f t="shared" si="1"/>
        <v>608731</v>
      </c>
      <c r="H40" s="102">
        <v>58360</v>
      </c>
      <c r="I40" s="102">
        <v>550371</v>
      </c>
      <c r="J40" s="102">
        <v>1764014</v>
      </c>
      <c r="K40" s="102">
        <v>648397</v>
      </c>
      <c r="L40" s="102">
        <v>733420</v>
      </c>
      <c r="M40" s="102">
        <v>355438</v>
      </c>
      <c r="N40" s="102">
        <v>93846</v>
      </c>
      <c r="O40" s="102">
        <v>341488</v>
      </c>
      <c r="P40" s="102">
        <v>177245</v>
      </c>
      <c r="Q40" s="102">
        <v>164243</v>
      </c>
      <c r="R40" s="102">
        <v>55648</v>
      </c>
      <c r="S40" s="74"/>
      <c r="T40" s="73">
        <f t="shared" si="2"/>
        <v>337291</v>
      </c>
      <c r="U40" s="102">
        <v>18861</v>
      </c>
      <c r="V40" s="102">
        <v>14628</v>
      </c>
      <c r="W40" s="102">
        <v>3384</v>
      </c>
      <c r="X40" s="102">
        <v>224744</v>
      </c>
      <c r="Y40" s="102">
        <v>46990</v>
      </c>
      <c r="Z40" s="102">
        <v>0</v>
      </c>
      <c r="AA40" s="102">
        <v>28684</v>
      </c>
      <c r="AB40" s="102">
        <v>28915</v>
      </c>
      <c r="AC40" s="102">
        <v>1310644</v>
      </c>
      <c r="AD40" s="102">
        <v>1089071</v>
      </c>
      <c r="AE40" s="102">
        <v>221571</v>
      </c>
      <c r="AF40" s="102">
        <v>3632</v>
      </c>
      <c r="AG40" s="102">
        <v>73519</v>
      </c>
      <c r="AH40" s="73">
        <f t="shared" si="3"/>
        <v>310317</v>
      </c>
      <c r="AI40" s="102">
        <v>271099</v>
      </c>
      <c r="AJ40" s="102">
        <v>39218</v>
      </c>
      <c r="AK40" s="102">
        <v>953487</v>
      </c>
      <c r="AL40" s="73">
        <f t="shared" si="4"/>
        <v>348455</v>
      </c>
      <c r="AM40" s="102">
        <v>166070</v>
      </c>
      <c r="AN40" s="102">
        <v>41604</v>
      </c>
      <c r="AO40" s="74"/>
      <c r="AP40" s="102">
        <v>140781</v>
      </c>
      <c r="AQ40" s="102">
        <v>50453</v>
      </c>
      <c r="AR40" s="102">
        <v>0</v>
      </c>
      <c r="AS40" s="102">
        <v>0</v>
      </c>
      <c r="AT40" s="102">
        <v>522353</v>
      </c>
      <c r="AU40" s="102">
        <v>324168</v>
      </c>
      <c r="AV40" s="102">
        <v>24829</v>
      </c>
      <c r="AW40" s="102">
        <v>711</v>
      </c>
      <c r="AX40" s="102">
        <v>198185</v>
      </c>
      <c r="AY40" s="102">
        <v>10745</v>
      </c>
      <c r="AZ40" s="102">
        <v>9467</v>
      </c>
      <c r="BA40" s="102">
        <v>2109</v>
      </c>
      <c r="BB40" s="102">
        <v>7684</v>
      </c>
      <c r="BC40" s="102">
        <v>102670</v>
      </c>
      <c r="BD40" s="102">
        <v>11500</v>
      </c>
      <c r="BE40" s="102">
        <v>50000</v>
      </c>
      <c r="BF40" s="102">
        <v>0</v>
      </c>
      <c r="BG40" s="102">
        <v>0</v>
      </c>
      <c r="BH40" s="102">
        <v>99711</v>
      </c>
      <c r="BI40" s="102">
        <v>57474</v>
      </c>
      <c r="BJ40" s="102">
        <v>182046</v>
      </c>
      <c r="BK40" s="102">
        <v>53519</v>
      </c>
      <c r="BL40" s="102">
        <v>0</v>
      </c>
      <c r="BM40" s="102">
        <v>0</v>
      </c>
      <c r="BN40" s="102">
        <v>964184</v>
      </c>
      <c r="BO40" s="73">
        <f t="shared" si="5"/>
        <v>364500</v>
      </c>
      <c r="BP40" s="73">
        <f t="shared" si="6"/>
        <v>599684</v>
      </c>
      <c r="BQ40" s="102">
        <v>0</v>
      </c>
      <c r="BR40" s="102">
        <v>0</v>
      </c>
      <c r="BS40" s="102">
        <v>599684</v>
      </c>
      <c r="BT40" s="102">
        <v>0</v>
      </c>
      <c r="BU40" s="102">
        <v>9554579</v>
      </c>
      <c r="BV40" s="71"/>
      <c r="BW40" s="102">
        <v>2030250</v>
      </c>
      <c r="BX40" s="102">
        <v>1243560</v>
      </c>
      <c r="BY40" s="102">
        <v>293921</v>
      </c>
      <c r="BZ40" s="102">
        <v>94828</v>
      </c>
      <c r="CA40" s="102">
        <v>1877324</v>
      </c>
      <c r="CB40" s="102">
        <v>488374</v>
      </c>
      <c r="CC40" s="102">
        <v>49149</v>
      </c>
      <c r="CD40" s="102">
        <v>1094959</v>
      </c>
      <c r="CE40" s="102">
        <v>215635</v>
      </c>
      <c r="CF40" s="102">
        <v>1401</v>
      </c>
      <c r="CG40" s="102">
        <v>27806</v>
      </c>
      <c r="CH40" s="102">
        <v>1300726</v>
      </c>
      <c r="CI40" s="102">
        <v>1131984</v>
      </c>
      <c r="CJ40" s="83">
        <f t="shared" si="18"/>
        <v>168742</v>
      </c>
      <c r="CK40" s="102">
        <v>1697465</v>
      </c>
      <c r="CL40" s="102">
        <v>925607</v>
      </c>
      <c r="CM40" s="102">
        <v>207882</v>
      </c>
      <c r="CN40" s="102">
        <v>312529</v>
      </c>
      <c r="CO40" s="102">
        <v>77092</v>
      </c>
      <c r="CP40" s="102">
        <v>323678</v>
      </c>
      <c r="CQ40" s="102">
        <v>1803</v>
      </c>
      <c r="CR40" s="102">
        <v>131923</v>
      </c>
      <c r="CS40" s="102">
        <v>120663</v>
      </c>
      <c r="CT40" s="73">
        <f t="shared" si="7"/>
        <v>42462</v>
      </c>
      <c r="CU40" s="102">
        <v>0</v>
      </c>
      <c r="CV40" s="102">
        <v>42462</v>
      </c>
      <c r="CW40" s="73">
        <f t="shared" si="8"/>
        <v>0</v>
      </c>
      <c r="CX40" s="102">
        <v>0</v>
      </c>
      <c r="CY40" s="102">
        <v>0</v>
      </c>
      <c r="CZ40" s="73">
        <f t="shared" si="9"/>
        <v>0</v>
      </c>
      <c r="DA40" s="102">
        <v>0</v>
      </c>
      <c r="DB40" s="102">
        <v>0</v>
      </c>
      <c r="DC40" s="102">
        <v>719234</v>
      </c>
      <c r="DD40" s="102">
        <v>171630</v>
      </c>
      <c r="DE40" s="102">
        <v>547317</v>
      </c>
      <c r="DF40" s="77">
        <v>0</v>
      </c>
      <c r="DG40" s="78">
        <v>0</v>
      </c>
      <c r="DH40" s="102">
        <v>30619</v>
      </c>
      <c r="DI40" s="102">
        <v>83705</v>
      </c>
      <c r="DJ40" s="102">
        <v>82164</v>
      </c>
      <c r="DK40" s="102">
        <v>1195</v>
      </c>
      <c r="DL40" s="102">
        <v>346</v>
      </c>
      <c r="DM40" s="102">
        <v>0</v>
      </c>
      <c r="DN40" s="102">
        <v>0</v>
      </c>
      <c r="DO40" s="102">
        <v>0</v>
      </c>
      <c r="DP40" s="102">
        <v>0</v>
      </c>
      <c r="DQ40" s="102">
        <v>53000</v>
      </c>
      <c r="DR40" s="102">
        <v>0</v>
      </c>
      <c r="DS40" s="102">
        <v>0</v>
      </c>
      <c r="DT40" s="102">
        <v>1233030</v>
      </c>
      <c r="DU40" s="102">
        <v>480000</v>
      </c>
      <c r="DV40" s="73">
        <f t="shared" si="10"/>
        <v>0</v>
      </c>
      <c r="DW40" s="102">
        <v>0</v>
      </c>
      <c r="DX40" s="102">
        <v>294479</v>
      </c>
      <c r="DY40" s="102">
        <v>0</v>
      </c>
      <c r="DZ40" s="102">
        <v>174709</v>
      </c>
      <c r="EA40" s="74">
        <v>0</v>
      </c>
      <c r="EB40" s="102">
        <v>283777</v>
      </c>
      <c r="EC40" s="102">
        <v>0</v>
      </c>
      <c r="ED40" s="102">
        <v>9426123</v>
      </c>
      <c r="EE40" s="71"/>
      <c r="EF40" s="102">
        <v>128456</v>
      </c>
      <c r="EG40" s="102">
        <v>78133</v>
      </c>
      <c r="EH40" s="102">
        <v>50323</v>
      </c>
      <c r="EI40" s="102">
        <v>-7151</v>
      </c>
      <c r="EJ40" s="102">
        <v>63513</v>
      </c>
      <c r="EK40" s="71"/>
      <c r="EL40" s="102"/>
      <c r="EM40" s="102">
        <v>30908</v>
      </c>
      <c r="EN40" s="102">
        <v>102670</v>
      </c>
      <c r="EO40" s="102">
        <v>7655</v>
      </c>
      <c r="EP40" s="73">
        <f t="shared" si="11"/>
        <v>162695</v>
      </c>
      <c r="EQ40" s="102">
        <v>6329141</v>
      </c>
      <c r="ER40" s="71">
        <v>-869072</v>
      </c>
      <c r="ES40" s="102">
        <v>1851325</v>
      </c>
      <c r="ET40" s="102">
        <v>1112269</v>
      </c>
      <c r="EU40" s="102">
        <v>730170</v>
      </c>
      <c r="EV40" s="102">
        <v>1246451</v>
      </c>
      <c r="EW40" s="73">
        <f t="shared" si="12"/>
        <v>314762</v>
      </c>
      <c r="EX40" s="102">
        <v>284593</v>
      </c>
      <c r="EY40" s="102">
        <v>19406</v>
      </c>
      <c r="EZ40" s="102">
        <v>264900</v>
      </c>
      <c r="FA40" s="102">
        <v>30169</v>
      </c>
      <c r="FB40" s="102">
        <v>0</v>
      </c>
      <c r="FC40" s="102">
        <v>1355883</v>
      </c>
      <c r="FD40" s="102">
        <v>307070</v>
      </c>
      <c r="FE40" s="102">
        <v>1803</v>
      </c>
      <c r="FF40" s="102">
        <v>1112178</v>
      </c>
      <c r="FG40" s="73">
        <f t="shared" si="13"/>
        <v>151918</v>
      </c>
      <c r="FH40" s="102">
        <v>7069757</v>
      </c>
      <c r="FI40" s="379">
        <f t="shared" si="14"/>
        <v>0.8</v>
      </c>
      <c r="FJ40" s="102">
        <v>5593112</v>
      </c>
      <c r="FK40" s="102">
        <v>599684</v>
      </c>
      <c r="FL40" s="102">
        <v>3460445</v>
      </c>
      <c r="FM40" s="102">
        <v>4546992</v>
      </c>
      <c r="FN40" s="428">
        <v>0.77</v>
      </c>
      <c r="FO40" s="424">
        <v>97.8</v>
      </c>
      <c r="FP40" s="425">
        <v>28.6</v>
      </c>
      <c r="FQ40" s="424">
        <v>11.4</v>
      </c>
      <c r="FR40" s="424">
        <v>19.5</v>
      </c>
      <c r="FS40" s="425">
        <v>19.7</v>
      </c>
      <c r="FT40" s="424">
        <v>3.8</v>
      </c>
      <c r="FU40" s="425">
        <v>13.8</v>
      </c>
      <c r="FV40" s="384">
        <f t="shared" si="15"/>
        <v>10.5</v>
      </c>
      <c r="FW40" s="102">
        <v>11031239</v>
      </c>
      <c r="FX40" s="384">
        <f t="shared" si="16"/>
        <v>178.1</v>
      </c>
      <c r="FY40" s="102">
        <v>3877331</v>
      </c>
      <c r="FZ40" s="102">
        <v>1300026</v>
      </c>
      <c r="GA40" s="102">
        <v>1244869</v>
      </c>
      <c r="GB40" s="102">
        <v>1332436</v>
      </c>
      <c r="GC40" s="102">
        <v>0</v>
      </c>
      <c r="GD40" s="427"/>
      <c r="GE40" s="386"/>
      <c r="GF40" s="424">
        <v>99.3</v>
      </c>
      <c r="GG40" s="424">
        <v>8.6999999999999993</v>
      </c>
      <c r="GH40" s="424">
        <v>93.3</v>
      </c>
      <c r="GI40" s="102">
        <v>225</v>
      </c>
      <c r="GJ40" s="429" t="s">
        <v>646</v>
      </c>
      <c r="GK40" s="429">
        <v>14.36</v>
      </c>
      <c r="GL40" s="87">
        <v>20</v>
      </c>
      <c r="GM40" s="429" t="s">
        <v>646</v>
      </c>
      <c r="GN40" s="430">
        <v>19.36</v>
      </c>
      <c r="GO40" s="430">
        <v>30</v>
      </c>
      <c r="GP40" s="425">
        <v>10.5</v>
      </c>
      <c r="GQ40" s="425">
        <v>25</v>
      </c>
      <c r="GR40" s="425">
        <v>35</v>
      </c>
      <c r="GS40" s="431" t="s">
        <v>646</v>
      </c>
      <c r="GT40" s="425">
        <v>350</v>
      </c>
      <c r="GU40" s="394"/>
      <c r="GV40" s="100">
        <f t="shared" si="17"/>
        <v>6193</v>
      </c>
      <c r="GW40" s="394"/>
      <c r="GX40" s="394"/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</row>
    <row r="41" spans="2:230" x14ac:dyDescent="0.15">
      <c r="B41" s="89" t="s">
        <v>71</v>
      </c>
      <c r="C41" s="102">
        <v>2143332</v>
      </c>
      <c r="D41" s="73">
        <f t="shared" si="0"/>
        <v>1340574</v>
      </c>
      <c r="E41" s="102">
        <v>32897</v>
      </c>
      <c r="F41" s="102">
        <v>1307677</v>
      </c>
      <c r="G41" s="73">
        <f t="shared" si="1"/>
        <v>25193</v>
      </c>
      <c r="H41" s="102">
        <v>17810</v>
      </c>
      <c r="I41" s="102">
        <v>7383</v>
      </c>
      <c r="J41" s="102">
        <v>704402</v>
      </c>
      <c r="K41" s="102">
        <v>210130</v>
      </c>
      <c r="L41" s="102">
        <v>345752</v>
      </c>
      <c r="M41" s="102">
        <v>148520</v>
      </c>
      <c r="N41" s="102">
        <v>46577</v>
      </c>
      <c r="O41" s="102">
        <v>0</v>
      </c>
      <c r="P41" s="102">
        <v>0</v>
      </c>
      <c r="Q41" s="102">
        <v>0</v>
      </c>
      <c r="R41" s="102">
        <v>60738</v>
      </c>
      <c r="S41" s="74"/>
      <c r="T41" s="73">
        <f t="shared" si="2"/>
        <v>213972</v>
      </c>
      <c r="U41" s="102">
        <v>16430</v>
      </c>
      <c r="V41" s="102">
        <v>12670</v>
      </c>
      <c r="W41" s="102">
        <v>2893</v>
      </c>
      <c r="X41" s="102">
        <v>142605</v>
      </c>
      <c r="Y41" s="102">
        <v>8071</v>
      </c>
      <c r="Z41" s="102">
        <v>0</v>
      </c>
      <c r="AA41" s="102">
        <v>31303</v>
      </c>
      <c r="AB41" s="102">
        <v>8261</v>
      </c>
      <c r="AC41" s="102">
        <v>1988166</v>
      </c>
      <c r="AD41" s="102">
        <v>1648881</v>
      </c>
      <c r="AE41" s="102">
        <v>339283</v>
      </c>
      <c r="AF41" s="102">
        <v>3658</v>
      </c>
      <c r="AG41" s="102">
        <v>86176</v>
      </c>
      <c r="AH41" s="73">
        <f t="shared" si="3"/>
        <v>82868</v>
      </c>
      <c r="AI41" s="102">
        <v>68716</v>
      </c>
      <c r="AJ41" s="102">
        <v>14152</v>
      </c>
      <c r="AK41" s="102">
        <v>285343</v>
      </c>
      <c r="AL41" s="73">
        <f t="shared" si="4"/>
        <v>74850</v>
      </c>
      <c r="AM41" s="102">
        <v>0</v>
      </c>
      <c r="AN41" s="102">
        <v>0</v>
      </c>
      <c r="AO41" s="74"/>
      <c r="AP41" s="102">
        <v>74850</v>
      </c>
      <c r="AQ41" s="102">
        <v>0</v>
      </c>
      <c r="AR41" s="102">
        <v>1309</v>
      </c>
      <c r="AS41" s="102">
        <v>0</v>
      </c>
      <c r="AT41" s="102">
        <v>343939</v>
      </c>
      <c r="AU41" s="102">
        <v>130002</v>
      </c>
      <c r="AV41" s="102">
        <v>0</v>
      </c>
      <c r="AW41" s="102">
        <v>1218</v>
      </c>
      <c r="AX41" s="102">
        <v>213937</v>
      </c>
      <c r="AY41" s="102">
        <v>29126</v>
      </c>
      <c r="AZ41" s="102">
        <v>5121</v>
      </c>
      <c r="BA41" s="102">
        <v>468</v>
      </c>
      <c r="BB41" s="102">
        <v>1717</v>
      </c>
      <c r="BC41" s="102">
        <v>106675</v>
      </c>
      <c r="BD41" s="102">
        <v>0</v>
      </c>
      <c r="BE41" s="102">
        <v>0</v>
      </c>
      <c r="BF41" s="102">
        <v>50000</v>
      </c>
      <c r="BG41" s="102">
        <v>0</v>
      </c>
      <c r="BH41" s="102">
        <v>359742</v>
      </c>
      <c r="BI41" s="102">
        <v>274835</v>
      </c>
      <c r="BJ41" s="102">
        <v>127387</v>
      </c>
      <c r="BK41" s="102">
        <v>3768</v>
      </c>
      <c r="BL41" s="102">
        <v>0</v>
      </c>
      <c r="BM41" s="102">
        <v>0</v>
      </c>
      <c r="BN41" s="102">
        <v>411877</v>
      </c>
      <c r="BO41" s="73">
        <f t="shared" si="5"/>
        <v>1500</v>
      </c>
      <c r="BP41" s="73">
        <f t="shared" si="6"/>
        <v>410377</v>
      </c>
      <c r="BQ41" s="102">
        <v>0</v>
      </c>
      <c r="BR41" s="102">
        <v>0</v>
      </c>
      <c r="BS41" s="102">
        <v>410377</v>
      </c>
      <c r="BT41" s="102">
        <v>0</v>
      </c>
      <c r="BU41" s="102">
        <v>6228972</v>
      </c>
      <c r="BV41" s="71"/>
      <c r="BW41" s="102">
        <v>2081116</v>
      </c>
      <c r="BX41" s="102">
        <v>1269454</v>
      </c>
      <c r="BY41" s="102">
        <v>207593</v>
      </c>
      <c r="BZ41" s="102">
        <v>208981</v>
      </c>
      <c r="CA41" s="102">
        <v>497665</v>
      </c>
      <c r="CB41" s="102">
        <v>196350</v>
      </c>
      <c r="CC41" s="102">
        <v>33132</v>
      </c>
      <c r="CD41" s="102">
        <v>261466</v>
      </c>
      <c r="CE41" s="102">
        <v>0</v>
      </c>
      <c r="CF41" s="102">
        <v>0</v>
      </c>
      <c r="CG41" s="102">
        <v>6717</v>
      </c>
      <c r="CH41" s="102">
        <v>547837</v>
      </c>
      <c r="CI41" s="102">
        <v>460017</v>
      </c>
      <c r="CJ41" s="83">
        <f t="shared" si="18"/>
        <v>87820</v>
      </c>
      <c r="CK41" s="102">
        <v>818867</v>
      </c>
      <c r="CL41" s="102">
        <v>413038</v>
      </c>
      <c r="CM41" s="102">
        <v>41131</v>
      </c>
      <c r="CN41" s="102">
        <v>213249</v>
      </c>
      <c r="CO41" s="102">
        <v>139125</v>
      </c>
      <c r="CP41" s="102">
        <v>613247</v>
      </c>
      <c r="CQ41" s="102">
        <v>335723</v>
      </c>
      <c r="CR41" s="102">
        <v>147292</v>
      </c>
      <c r="CS41" s="102">
        <v>135842</v>
      </c>
      <c r="CT41" s="73">
        <f t="shared" si="7"/>
        <v>74982</v>
      </c>
      <c r="CU41" s="102">
        <v>60640</v>
      </c>
      <c r="CV41" s="102">
        <v>14342</v>
      </c>
      <c r="CW41" s="73">
        <f t="shared" si="8"/>
        <v>0</v>
      </c>
      <c r="CX41" s="102">
        <v>0</v>
      </c>
      <c r="CY41" s="102">
        <v>0</v>
      </c>
      <c r="CZ41" s="73">
        <f t="shared" si="9"/>
        <v>0</v>
      </c>
      <c r="DA41" s="102">
        <v>0</v>
      </c>
      <c r="DB41" s="102">
        <v>0</v>
      </c>
      <c r="DC41" s="102">
        <v>233504</v>
      </c>
      <c r="DD41" s="102">
        <v>6362</v>
      </c>
      <c r="DE41" s="102">
        <v>227142</v>
      </c>
      <c r="DF41" s="77">
        <v>0</v>
      </c>
      <c r="DG41" s="78">
        <v>0</v>
      </c>
      <c r="DH41" s="102">
        <v>16689</v>
      </c>
      <c r="DI41" s="102">
        <v>368863</v>
      </c>
      <c r="DJ41" s="102">
        <v>166916</v>
      </c>
      <c r="DK41" s="102">
        <v>0</v>
      </c>
      <c r="DL41" s="102">
        <v>201947</v>
      </c>
      <c r="DM41" s="102">
        <v>0</v>
      </c>
      <c r="DN41" s="102">
        <v>0</v>
      </c>
      <c r="DO41" s="102">
        <v>0</v>
      </c>
      <c r="DP41" s="102">
        <v>0</v>
      </c>
      <c r="DQ41" s="102">
        <v>2976</v>
      </c>
      <c r="DR41" s="102">
        <v>0</v>
      </c>
      <c r="DS41" s="102">
        <v>0</v>
      </c>
      <c r="DT41" s="102">
        <v>694064</v>
      </c>
      <c r="DU41" s="102">
        <v>89439</v>
      </c>
      <c r="DV41" s="73">
        <f t="shared" si="10"/>
        <v>0</v>
      </c>
      <c r="DW41" s="102">
        <v>0</v>
      </c>
      <c r="DX41" s="102">
        <v>240776</v>
      </c>
      <c r="DY41" s="102">
        <v>0</v>
      </c>
      <c r="DZ41" s="102">
        <v>108977</v>
      </c>
      <c r="EA41" s="74">
        <v>0</v>
      </c>
      <c r="EB41" s="102">
        <v>232561</v>
      </c>
      <c r="EC41" s="102">
        <v>0</v>
      </c>
      <c r="ED41" s="102">
        <v>6013953</v>
      </c>
      <c r="EE41" s="71"/>
      <c r="EF41" s="102">
        <v>215019</v>
      </c>
      <c r="EG41" s="102">
        <v>64352</v>
      </c>
      <c r="EH41" s="102">
        <v>150667</v>
      </c>
      <c r="EI41" s="102">
        <v>-124168</v>
      </c>
      <c r="EJ41" s="102">
        <v>42748</v>
      </c>
      <c r="EK41" s="71"/>
      <c r="EL41" s="102"/>
      <c r="EM41" s="102">
        <v>22096</v>
      </c>
      <c r="EN41" s="102">
        <v>29000</v>
      </c>
      <c r="EO41" s="102">
        <v>468</v>
      </c>
      <c r="EP41" s="73">
        <f t="shared" si="11"/>
        <v>373638</v>
      </c>
      <c r="EQ41" s="102">
        <v>4418127</v>
      </c>
      <c r="ER41" s="71">
        <v>-809825</v>
      </c>
      <c r="ES41" s="102">
        <v>1874431</v>
      </c>
      <c r="ET41" s="102">
        <v>1094373</v>
      </c>
      <c r="EU41" s="102">
        <v>141999</v>
      </c>
      <c r="EV41" s="102">
        <v>547837</v>
      </c>
      <c r="EW41" s="73">
        <f t="shared" si="12"/>
        <v>88402</v>
      </c>
      <c r="EX41" s="102">
        <v>83527</v>
      </c>
      <c r="EY41" s="102">
        <v>1697</v>
      </c>
      <c r="EZ41" s="102">
        <v>81830</v>
      </c>
      <c r="FA41" s="102">
        <v>4875</v>
      </c>
      <c r="FB41" s="102">
        <v>0</v>
      </c>
      <c r="FC41" s="102">
        <v>685004</v>
      </c>
      <c r="FD41" s="102">
        <v>562033</v>
      </c>
      <c r="FE41" s="102">
        <v>320777</v>
      </c>
      <c r="FF41" s="102">
        <v>622577</v>
      </c>
      <c r="FG41" s="73">
        <f t="shared" si="13"/>
        <v>490650</v>
      </c>
      <c r="FH41" s="102">
        <v>5012933</v>
      </c>
      <c r="FI41" s="379">
        <f t="shared" si="14"/>
        <v>3.3</v>
      </c>
      <c r="FJ41" s="102">
        <v>4137186</v>
      </c>
      <c r="FK41" s="102">
        <v>410377</v>
      </c>
      <c r="FL41" s="102">
        <v>1942689</v>
      </c>
      <c r="FM41" s="102">
        <v>3589117</v>
      </c>
      <c r="FN41" s="428">
        <v>0.55900000000000005</v>
      </c>
      <c r="FO41" s="424">
        <v>94.5</v>
      </c>
      <c r="FP41" s="425">
        <v>39.299999999999997</v>
      </c>
      <c r="FQ41" s="424">
        <v>3.2</v>
      </c>
      <c r="FR41" s="424">
        <v>12.2</v>
      </c>
      <c r="FS41" s="425">
        <v>14.3</v>
      </c>
      <c r="FT41" s="424">
        <v>10.199999999999999</v>
      </c>
      <c r="FU41" s="425">
        <v>12.4</v>
      </c>
      <c r="FV41" s="384">
        <f t="shared" si="15"/>
        <v>5.6</v>
      </c>
      <c r="FW41" s="102">
        <v>5926736</v>
      </c>
      <c r="FX41" s="384">
        <f t="shared" si="16"/>
        <v>130.30000000000001</v>
      </c>
      <c r="FY41" s="102">
        <v>2938503</v>
      </c>
      <c r="FZ41" s="102">
        <v>1919118</v>
      </c>
      <c r="GA41" s="102">
        <v>677</v>
      </c>
      <c r="GB41" s="102">
        <v>1018708</v>
      </c>
      <c r="GC41" s="102">
        <v>151200</v>
      </c>
      <c r="GD41" s="427"/>
      <c r="GE41" s="386"/>
      <c r="GF41" s="424">
        <v>99.2</v>
      </c>
      <c r="GG41" s="424">
        <v>25.5</v>
      </c>
      <c r="GH41" s="424">
        <v>96.9</v>
      </c>
      <c r="GI41" s="102">
        <v>205</v>
      </c>
      <c r="GJ41" s="429" t="s">
        <v>646</v>
      </c>
      <c r="GK41" s="429">
        <v>15</v>
      </c>
      <c r="GL41" s="87">
        <v>20</v>
      </c>
      <c r="GM41" s="429" t="s">
        <v>646</v>
      </c>
      <c r="GN41" s="430">
        <v>20</v>
      </c>
      <c r="GO41" s="430">
        <v>30</v>
      </c>
      <c r="GP41" s="425">
        <v>5.6</v>
      </c>
      <c r="GQ41" s="425">
        <v>25</v>
      </c>
      <c r="GR41" s="425">
        <v>35</v>
      </c>
      <c r="GS41" s="431">
        <v>31.8</v>
      </c>
      <c r="GT41" s="425">
        <v>350</v>
      </c>
      <c r="GU41" s="394"/>
      <c r="GV41" s="100">
        <f t="shared" si="17"/>
        <v>4548</v>
      </c>
      <c r="GW41" s="394"/>
      <c r="GX41" s="394"/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</row>
    <row r="42" spans="2:230" x14ac:dyDescent="0.15">
      <c r="B42" s="89" t="s">
        <v>73</v>
      </c>
      <c r="C42" s="102">
        <v>1300958</v>
      </c>
      <c r="D42" s="73">
        <f t="shared" si="0"/>
        <v>472903</v>
      </c>
      <c r="E42" s="102">
        <v>16316</v>
      </c>
      <c r="F42" s="102">
        <v>456587</v>
      </c>
      <c r="G42" s="73">
        <f t="shared" si="1"/>
        <v>36036</v>
      </c>
      <c r="H42" s="102">
        <v>21753</v>
      </c>
      <c r="I42" s="102">
        <v>14283</v>
      </c>
      <c r="J42" s="102">
        <v>698101</v>
      </c>
      <c r="K42" s="102">
        <v>130713</v>
      </c>
      <c r="L42" s="102">
        <v>244754</v>
      </c>
      <c r="M42" s="102">
        <v>322500</v>
      </c>
      <c r="N42" s="102">
        <v>55071</v>
      </c>
      <c r="O42" s="102">
        <v>0</v>
      </c>
      <c r="P42" s="102">
        <v>0</v>
      </c>
      <c r="Q42" s="102">
        <v>0</v>
      </c>
      <c r="R42" s="102">
        <v>63691</v>
      </c>
      <c r="S42" s="74"/>
      <c r="T42" s="73">
        <f t="shared" si="2"/>
        <v>170160</v>
      </c>
      <c r="U42" s="102">
        <v>5518</v>
      </c>
      <c r="V42" s="102">
        <v>4266</v>
      </c>
      <c r="W42" s="102">
        <v>980</v>
      </c>
      <c r="X42" s="102">
        <v>99482</v>
      </c>
      <c r="Y42" s="102">
        <v>27132</v>
      </c>
      <c r="Z42" s="102">
        <v>0</v>
      </c>
      <c r="AA42" s="102">
        <v>32782</v>
      </c>
      <c r="AB42" s="102">
        <v>2010</v>
      </c>
      <c r="AC42" s="102">
        <v>1812919</v>
      </c>
      <c r="AD42" s="102">
        <v>1506757</v>
      </c>
      <c r="AE42" s="102">
        <v>306160</v>
      </c>
      <c r="AF42" s="102">
        <v>2306</v>
      </c>
      <c r="AG42" s="102">
        <v>15596</v>
      </c>
      <c r="AH42" s="73">
        <f t="shared" si="3"/>
        <v>92649</v>
      </c>
      <c r="AI42" s="102">
        <v>51867</v>
      </c>
      <c r="AJ42" s="102">
        <v>40782</v>
      </c>
      <c r="AK42" s="102">
        <v>209763</v>
      </c>
      <c r="AL42" s="73">
        <f t="shared" si="4"/>
        <v>78330</v>
      </c>
      <c r="AM42" s="102">
        <v>0</v>
      </c>
      <c r="AN42" s="102">
        <v>0</v>
      </c>
      <c r="AO42" s="74"/>
      <c r="AP42" s="102">
        <v>78330</v>
      </c>
      <c r="AQ42" s="102">
        <v>0</v>
      </c>
      <c r="AR42" s="102">
        <v>0</v>
      </c>
      <c r="AS42" s="102">
        <v>0</v>
      </c>
      <c r="AT42" s="102">
        <v>270026</v>
      </c>
      <c r="AU42" s="102">
        <v>98484</v>
      </c>
      <c r="AV42" s="102">
        <v>0</v>
      </c>
      <c r="AW42" s="102">
        <v>0</v>
      </c>
      <c r="AX42" s="102">
        <v>171542</v>
      </c>
      <c r="AY42" s="102">
        <v>0</v>
      </c>
      <c r="AZ42" s="102">
        <v>18542</v>
      </c>
      <c r="BA42" s="102">
        <v>4900</v>
      </c>
      <c r="BB42" s="102">
        <v>1034</v>
      </c>
      <c r="BC42" s="102">
        <v>258141</v>
      </c>
      <c r="BD42" s="102">
        <v>219000</v>
      </c>
      <c r="BE42" s="102">
        <v>0</v>
      </c>
      <c r="BF42" s="102">
        <v>30630</v>
      </c>
      <c r="BG42" s="102">
        <v>0</v>
      </c>
      <c r="BH42" s="102">
        <v>374079</v>
      </c>
      <c r="BI42" s="102">
        <v>173681</v>
      </c>
      <c r="BJ42" s="102">
        <v>79441</v>
      </c>
      <c r="BK42" s="102">
        <v>0</v>
      </c>
      <c r="BL42" s="102">
        <v>0</v>
      </c>
      <c r="BM42" s="102">
        <v>0</v>
      </c>
      <c r="BN42" s="102">
        <v>269273</v>
      </c>
      <c r="BO42" s="73">
        <f t="shared" si="5"/>
        <v>15900</v>
      </c>
      <c r="BP42" s="73">
        <f t="shared" si="6"/>
        <v>253373</v>
      </c>
      <c r="BQ42" s="102">
        <v>0</v>
      </c>
      <c r="BR42" s="102">
        <v>0</v>
      </c>
      <c r="BS42" s="102">
        <v>253373</v>
      </c>
      <c r="BT42" s="102">
        <v>0</v>
      </c>
      <c r="BU42" s="102">
        <v>4940588</v>
      </c>
      <c r="BV42" s="71"/>
      <c r="BW42" s="102">
        <v>1225223</v>
      </c>
      <c r="BX42" s="102">
        <v>616522</v>
      </c>
      <c r="BY42" s="102">
        <v>158449</v>
      </c>
      <c r="BZ42" s="102">
        <v>170075</v>
      </c>
      <c r="CA42" s="102">
        <v>418399</v>
      </c>
      <c r="CB42" s="102">
        <v>208356</v>
      </c>
      <c r="CC42" s="102">
        <v>25175</v>
      </c>
      <c r="CD42" s="102">
        <v>162192</v>
      </c>
      <c r="CE42" s="102">
        <v>0</v>
      </c>
      <c r="CF42" s="102">
        <v>5305</v>
      </c>
      <c r="CG42" s="102">
        <v>17371</v>
      </c>
      <c r="CH42" s="102">
        <v>384384</v>
      </c>
      <c r="CI42" s="102">
        <v>325436</v>
      </c>
      <c r="CJ42" s="83">
        <f t="shared" si="18"/>
        <v>58948</v>
      </c>
      <c r="CK42" s="102">
        <v>727775</v>
      </c>
      <c r="CL42" s="102">
        <v>373097</v>
      </c>
      <c r="CM42" s="102">
        <v>20727</v>
      </c>
      <c r="CN42" s="102">
        <v>129396</v>
      </c>
      <c r="CO42" s="102">
        <v>16590</v>
      </c>
      <c r="CP42" s="102">
        <v>615860</v>
      </c>
      <c r="CQ42" s="102">
        <v>183494</v>
      </c>
      <c r="CR42" s="102">
        <v>129136</v>
      </c>
      <c r="CS42" s="102">
        <v>101429</v>
      </c>
      <c r="CT42" s="73">
        <f t="shared" si="7"/>
        <v>193005</v>
      </c>
      <c r="CU42" s="102">
        <v>3335</v>
      </c>
      <c r="CV42" s="102">
        <v>189670</v>
      </c>
      <c r="CW42" s="73">
        <f t="shared" si="8"/>
        <v>0</v>
      </c>
      <c r="CX42" s="102">
        <v>0</v>
      </c>
      <c r="CY42" s="102">
        <v>0</v>
      </c>
      <c r="CZ42" s="73">
        <f t="shared" si="9"/>
        <v>0</v>
      </c>
      <c r="DA42" s="102">
        <v>0</v>
      </c>
      <c r="DB42" s="102">
        <v>0</v>
      </c>
      <c r="DC42" s="102">
        <v>248670</v>
      </c>
      <c r="DD42" s="102">
        <v>10542</v>
      </c>
      <c r="DE42" s="102">
        <v>236129</v>
      </c>
      <c r="DF42" s="77">
        <v>1999</v>
      </c>
      <c r="DG42" s="78">
        <v>0</v>
      </c>
      <c r="DH42" s="102">
        <v>0</v>
      </c>
      <c r="DI42" s="102">
        <v>371096</v>
      </c>
      <c r="DJ42" s="102">
        <v>315229</v>
      </c>
      <c r="DK42" s="102">
        <v>0</v>
      </c>
      <c r="DL42" s="102">
        <v>55867</v>
      </c>
      <c r="DM42" s="102">
        <v>0</v>
      </c>
      <c r="DN42" s="102">
        <v>0</v>
      </c>
      <c r="DO42" s="102">
        <v>0</v>
      </c>
      <c r="DP42" s="102">
        <v>0</v>
      </c>
      <c r="DQ42" s="102">
        <v>0</v>
      </c>
      <c r="DR42" s="102">
        <v>0</v>
      </c>
      <c r="DS42" s="102">
        <v>0</v>
      </c>
      <c r="DT42" s="102">
        <v>634312</v>
      </c>
      <c r="DU42" s="102">
        <v>172000</v>
      </c>
      <c r="DV42" s="73">
        <f t="shared" si="10"/>
        <v>0</v>
      </c>
      <c r="DW42" s="102">
        <v>0</v>
      </c>
      <c r="DX42" s="102">
        <v>179114</v>
      </c>
      <c r="DY42" s="102">
        <v>0</v>
      </c>
      <c r="DZ42" s="102">
        <v>99097</v>
      </c>
      <c r="EA42" s="74">
        <v>0</v>
      </c>
      <c r="EB42" s="102">
        <v>159083</v>
      </c>
      <c r="EC42" s="102">
        <v>0</v>
      </c>
      <c r="ED42" s="102">
        <v>4642309</v>
      </c>
      <c r="EE42" s="71"/>
      <c r="EF42" s="102">
        <v>298279</v>
      </c>
      <c r="EG42" s="102">
        <v>109716</v>
      </c>
      <c r="EH42" s="102">
        <v>188563</v>
      </c>
      <c r="EI42" s="102">
        <v>14882</v>
      </c>
      <c r="EJ42" s="102">
        <v>111111</v>
      </c>
      <c r="EK42" s="71"/>
      <c r="EL42" s="102"/>
      <c r="EM42" s="102">
        <v>11646</v>
      </c>
      <c r="EN42" s="102">
        <v>244511</v>
      </c>
      <c r="EO42" s="102">
        <v>10830</v>
      </c>
      <c r="EP42" s="73">
        <f t="shared" si="11"/>
        <v>319757</v>
      </c>
      <c r="EQ42" s="102">
        <v>3352044</v>
      </c>
      <c r="ER42" s="71">
        <v>-826165</v>
      </c>
      <c r="ES42" s="102">
        <v>1152165</v>
      </c>
      <c r="ET42" s="102">
        <v>565173</v>
      </c>
      <c r="EU42" s="102">
        <v>150003</v>
      </c>
      <c r="EV42" s="102">
        <v>384384</v>
      </c>
      <c r="EW42" s="73">
        <f t="shared" si="12"/>
        <v>188950</v>
      </c>
      <c r="EX42" s="102">
        <v>188950</v>
      </c>
      <c r="EY42" s="102">
        <v>1791</v>
      </c>
      <c r="EZ42" s="102">
        <v>187110</v>
      </c>
      <c r="FA42" s="102">
        <v>0</v>
      </c>
      <c r="FB42" s="102">
        <v>0</v>
      </c>
      <c r="FC42" s="102">
        <v>516541</v>
      </c>
      <c r="FD42" s="102">
        <v>549468</v>
      </c>
      <c r="FE42" s="102">
        <v>178440</v>
      </c>
      <c r="FF42" s="102">
        <v>562366</v>
      </c>
      <c r="FG42" s="73">
        <f t="shared" si="13"/>
        <v>376053</v>
      </c>
      <c r="FH42" s="102">
        <v>3879930</v>
      </c>
      <c r="FI42" s="379">
        <f t="shared" si="14"/>
        <v>5.7</v>
      </c>
      <c r="FJ42" s="102">
        <v>3056126</v>
      </c>
      <c r="FK42" s="102">
        <v>253373</v>
      </c>
      <c r="FL42" s="102">
        <v>1209901</v>
      </c>
      <c r="FM42" s="102">
        <v>2716658</v>
      </c>
      <c r="FN42" s="428">
        <v>0.442</v>
      </c>
      <c r="FO42" s="424">
        <v>92</v>
      </c>
      <c r="FP42" s="425">
        <v>31.6</v>
      </c>
      <c r="FQ42" s="424">
        <v>4.5</v>
      </c>
      <c r="FR42" s="424">
        <v>11.6</v>
      </c>
      <c r="FS42" s="425">
        <v>13.5</v>
      </c>
      <c r="FT42" s="424">
        <v>14.7</v>
      </c>
      <c r="FU42" s="425">
        <v>15.7</v>
      </c>
      <c r="FV42" s="384">
        <f t="shared" si="15"/>
        <v>11.1</v>
      </c>
      <c r="FW42" s="102">
        <v>4355235</v>
      </c>
      <c r="FX42" s="384">
        <f t="shared" si="16"/>
        <v>131.6</v>
      </c>
      <c r="FY42" s="102">
        <v>4053895</v>
      </c>
      <c r="FZ42" s="102">
        <v>3182951</v>
      </c>
      <c r="GA42" s="102">
        <v>0</v>
      </c>
      <c r="GB42" s="102">
        <v>870944</v>
      </c>
      <c r="GC42" s="102">
        <v>0</v>
      </c>
      <c r="GD42" s="427"/>
      <c r="GE42" s="386"/>
      <c r="GF42" s="424">
        <v>98.7</v>
      </c>
      <c r="GG42" s="424">
        <v>21.1</v>
      </c>
      <c r="GH42" s="424">
        <v>91.7</v>
      </c>
      <c r="GI42" s="102">
        <v>109</v>
      </c>
      <c r="GJ42" s="429" t="s">
        <v>646</v>
      </c>
      <c r="GK42" s="429">
        <v>15</v>
      </c>
      <c r="GL42" s="87">
        <v>20</v>
      </c>
      <c r="GM42" s="429" t="s">
        <v>646</v>
      </c>
      <c r="GN42" s="430">
        <v>20</v>
      </c>
      <c r="GO42" s="430">
        <v>30</v>
      </c>
      <c r="GP42" s="425">
        <v>11.1</v>
      </c>
      <c r="GQ42" s="425">
        <v>25</v>
      </c>
      <c r="GR42" s="425">
        <v>35</v>
      </c>
      <c r="GS42" s="431">
        <v>58.2</v>
      </c>
      <c r="GT42" s="425">
        <v>350</v>
      </c>
      <c r="GU42" s="394"/>
      <c r="GV42" s="100">
        <f t="shared" si="17"/>
        <v>3309</v>
      </c>
      <c r="GW42" s="394"/>
      <c r="GX42" s="394"/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</row>
    <row r="43" spans="2:230" x14ac:dyDescent="0.15">
      <c r="B43" s="89" t="s">
        <v>75</v>
      </c>
      <c r="C43" s="102">
        <v>2318641</v>
      </c>
      <c r="D43" s="73">
        <f t="shared" si="0"/>
        <v>702920</v>
      </c>
      <c r="E43" s="102">
        <v>21179</v>
      </c>
      <c r="F43" s="102">
        <v>681741</v>
      </c>
      <c r="G43" s="73">
        <f t="shared" si="1"/>
        <v>178831</v>
      </c>
      <c r="H43" s="102">
        <v>49375</v>
      </c>
      <c r="I43" s="102">
        <v>129456</v>
      </c>
      <c r="J43" s="102">
        <v>1072069</v>
      </c>
      <c r="K43" s="102">
        <v>543355</v>
      </c>
      <c r="L43" s="102">
        <v>380663</v>
      </c>
      <c r="M43" s="102">
        <v>137397</v>
      </c>
      <c r="N43" s="102">
        <v>110865</v>
      </c>
      <c r="O43" s="102">
        <v>227950</v>
      </c>
      <c r="P43" s="102">
        <v>144261</v>
      </c>
      <c r="Q43" s="102">
        <v>83689</v>
      </c>
      <c r="R43" s="102">
        <v>34867</v>
      </c>
      <c r="S43" s="74"/>
      <c r="T43" s="73">
        <f t="shared" si="2"/>
        <v>200157</v>
      </c>
      <c r="U43" s="102">
        <v>7524</v>
      </c>
      <c r="V43" s="102">
        <v>5822</v>
      </c>
      <c r="W43" s="102">
        <v>1339</v>
      </c>
      <c r="X43" s="102">
        <v>167501</v>
      </c>
      <c r="Y43" s="102">
        <v>0</v>
      </c>
      <c r="Z43" s="102">
        <v>0</v>
      </c>
      <c r="AA43" s="102">
        <v>17971</v>
      </c>
      <c r="AB43" s="102">
        <v>20944</v>
      </c>
      <c r="AC43" s="102">
        <v>1691636</v>
      </c>
      <c r="AD43" s="102">
        <v>1392134</v>
      </c>
      <c r="AE43" s="102">
        <v>299501</v>
      </c>
      <c r="AF43" s="102">
        <v>3638</v>
      </c>
      <c r="AG43" s="102">
        <v>895</v>
      </c>
      <c r="AH43" s="73">
        <f t="shared" si="3"/>
        <v>190700</v>
      </c>
      <c r="AI43" s="102">
        <v>145873</v>
      </c>
      <c r="AJ43" s="102">
        <v>44827</v>
      </c>
      <c r="AK43" s="102">
        <v>445956</v>
      </c>
      <c r="AL43" s="73">
        <f t="shared" si="4"/>
        <v>131023</v>
      </c>
      <c r="AM43" s="102">
        <v>0</v>
      </c>
      <c r="AN43" s="102">
        <v>28132</v>
      </c>
      <c r="AO43" s="74"/>
      <c r="AP43" s="102">
        <v>102891</v>
      </c>
      <c r="AQ43" s="102">
        <v>31558</v>
      </c>
      <c r="AR43" s="102">
        <v>0</v>
      </c>
      <c r="AS43" s="102">
        <v>0</v>
      </c>
      <c r="AT43" s="102">
        <v>399961</v>
      </c>
      <c r="AU43" s="102">
        <v>136522</v>
      </c>
      <c r="AV43" s="102">
        <v>14066</v>
      </c>
      <c r="AW43" s="102">
        <v>0</v>
      </c>
      <c r="AX43" s="102">
        <v>263439</v>
      </c>
      <c r="AY43" s="102">
        <v>4288</v>
      </c>
      <c r="AZ43" s="102">
        <v>12648</v>
      </c>
      <c r="BA43" s="102">
        <v>1807</v>
      </c>
      <c r="BB43" s="102">
        <v>428</v>
      </c>
      <c r="BC43" s="102">
        <v>5758</v>
      </c>
      <c r="BD43" s="102">
        <v>0</v>
      </c>
      <c r="BE43" s="102">
        <v>0</v>
      </c>
      <c r="BF43" s="102">
        <v>5746</v>
      </c>
      <c r="BG43" s="102">
        <v>0</v>
      </c>
      <c r="BH43" s="102">
        <v>487086</v>
      </c>
      <c r="BI43" s="102">
        <v>449586</v>
      </c>
      <c r="BJ43" s="102">
        <v>85230</v>
      </c>
      <c r="BK43" s="102">
        <v>1000</v>
      </c>
      <c r="BL43" s="102">
        <v>0</v>
      </c>
      <c r="BM43" s="102">
        <v>0</v>
      </c>
      <c r="BN43" s="102">
        <v>2088618</v>
      </c>
      <c r="BO43" s="73">
        <f t="shared" si="5"/>
        <v>1594600</v>
      </c>
      <c r="BP43" s="73">
        <f t="shared" si="6"/>
        <v>343818</v>
      </c>
      <c r="BQ43" s="102">
        <v>0</v>
      </c>
      <c r="BR43" s="102">
        <v>0</v>
      </c>
      <c r="BS43" s="102">
        <v>343818</v>
      </c>
      <c r="BT43" s="102">
        <v>150200</v>
      </c>
      <c r="BU43" s="102">
        <v>7987163</v>
      </c>
      <c r="BV43" s="71"/>
      <c r="BW43" s="102">
        <v>1405422</v>
      </c>
      <c r="BX43" s="102">
        <v>870820</v>
      </c>
      <c r="BY43" s="102">
        <v>242946</v>
      </c>
      <c r="BZ43" s="102">
        <v>12371</v>
      </c>
      <c r="CA43" s="102">
        <v>909445</v>
      </c>
      <c r="CB43" s="102">
        <v>261801</v>
      </c>
      <c r="CC43" s="102">
        <v>26219</v>
      </c>
      <c r="CD43" s="102">
        <v>604262</v>
      </c>
      <c r="CE43" s="102">
        <v>0</v>
      </c>
      <c r="CF43" s="102">
        <v>0</v>
      </c>
      <c r="CG43" s="102">
        <v>17163</v>
      </c>
      <c r="CH43" s="102">
        <v>846483</v>
      </c>
      <c r="CI43" s="102">
        <v>717977</v>
      </c>
      <c r="CJ43" s="83">
        <f t="shared" si="18"/>
        <v>128506</v>
      </c>
      <c r="CK43" s="102">
        <v>1247452</v>
      </c>
      <c r="CL43" s="102">
        <v>893900</v>
      </c>
      <c r="CM43" s="102">
        <v>112821</v>
      </c>
      <c r="CN43" s="102">
        <v>132291</v>
      </c>
      <c r="CO43" s="102">
        <v>64663</v>
      </c>
      <c r="CP43" s="102">
        <v>1702508</v>
      </c>
      <c r="CQ43" s="102">
        <v>2148</v>
      </c>
      <c r="CR43" s="102">
        <v>37500</v>
      </c>
      <c r="CS43" s="102">
        <v>18446</v>
      </c>
      <c r="CT43" s="73">
        <f t="shared" si="7"/>
        <v>29282</v>
      </c>
      <c r="CU43" s="102">
        <v>29282</v>
      </c>
      <c r="CV43" s="102">
        <v>0</v>
      </c>
      <c r="CW43" s="73">
        <f t="shared" si="8"/>
        <v>28980</v>
      </c>
      <c r="CX43" s="102">
        <v>28980</v>
      </c>
      <c r="CY43" s="102">
        <v>0</v>
      </c>
      <c r="CZ43" s="73">
        <f t="shared" si="9"/>
        <v>0</v>
      </c>
      <c r="DA43" s="102">
        <v>0</v>
      </c>
      <c r="DB43" s="102">
        <v>0</v>
      </c>
      <c r="DC43" s="102">
        <v>187810</v>
      </c>
      <c r="DD43" s="102">
        <v>106529</v>
      </c>
      <c r="DE43" s="102">
        <v>81281</v>
      </c>
      <c r="DF43" s="77">
        <v>0</v>
      </c>
      <c r="DG43" s="78">
        <v>0</v>
      </c>
      <c r="DH43" s="102">
        <v>14897</v>
      </c>
      <c r="DI43" s="102">
        <v>255344</v>
      </c>
      <c r="DJ43" s="102">
        <v>255024</v>
      </c>
      <c r="DK43" s="102">
        <v>0</v>
      </c>
      <c r="DL43" s="102">
        <v>320</v>
      </c>
      <c r="DM43" s="102">
        <v>0</v>
      </c>
      <c r="DN43" s="102">
        <v>0</v>
      </c>
      <c r="DO43" s="102">
        <v>0</v>
      </c>
      <c r="DP43" s="102">
        <v>0</v>
      </c>
      <c r="DQ43" s="102">
        <v>0</v>
      </c>
      <c r="DR43" s="102">
        <v>0</v>
      </c>
      <c r="DS43" s="102">
        <v>0</v>
      </c>
      <c r="DT43" s="102">
        <v>1026155</v>
      </c>
      <c r="DU43" s="102">
        <v>442128</v>
      </c>
      <c r="DV43" s="73">
        <f t="shared" si="10"/>
        <v>0</v>
      </c>
      <c r="DW43" s="102">
        <v>0</v>
      </c>
      <c r="DX43" s="102">
        <v>224066</v>
      </c>
      <c r="DY43" s="102">
        <v>0</v>
      </c>
      <c r="DZ43" s="102">
        <v>170281</v>
      </c>
      <c r="EA43" s="74">
        <v>0</v>
      </c>
      <c r="EB43" s="102">
        <v>189680</v>
      </c>
      <c r="EC43" s="102">
        <v>0</v>
      </c>
      <c r="ED43" s="102">
        <v>7660179</v>
      </c>
      <c r="EE43" s="71"/>
      <c r="EF43" s="102">
        <v>326984</v>
      </c>
      <c r="EG43" s="102">
        <v>14387</v>
      </c>
      <c r="EH43" s="102">
        <v>312597</v>
      </c>
      <c r="EI43" s="102">
        <v>-136989</v>
      </c>
      <c r="EJ43" s="102">
        <v>118035</v>
      </c>
      <c r="EK43" s="71"/>
      <c r="EL43" s="102"/>
      <c r="EM43" s="102">
        <v>17988</v>
      </c>
      <c r="EN43" s="102">
        <v>12</v>
      </c>
      <c r="EO43" s="102">
        <v>12648</v>
      </c>
      <c r="EP43" s="73">
        <f t="shared" si="11"/>
        <v>573199</v>
      </c>
      <c r="EQ43" s="102">
        <v>4269883</v>
      </c>
      <c r="ER43" s="71">
        <v>-926039</v>
      </c>
      <c r="ES43" s="102">
        <v>1155316</v>
      </c>
      <c r="ET43" s="102">
        <v>787713</v>
      </c>
      <c r="EU43" s="102">
        <v>317820</v>
      </c>
      <c r="EV43" s="102">
        <v>846483</v>
      </c>
      <c r="EW43" s="73">
        <f t="shared" si="12"/>
        <v>89261</v>
      </c>
      <c r="EX43" s="102">
        <v>74364</v>
      </c>
      <c r="EY43" s="102">
        <v>14871</v>
      </c>
      <c r="EZ43" s="102">
        <v>59493</v>
      </c>
      <c r="FA43" s="102">
        <v>14897</v>
      </c>
      <c r="FB43" s="102">
        <v>0</v>
      </c>
      <c r="FC43" s="102">
        <v>1071113</v>
      </c>
      <c r="FD43" s="102">
        <v>137546</v>
      </c>
      <c r="FE43" s="102">
        <v>2148</v>
      </c>
      <c r="FF43" s="102">
        <v>934534</v>
      </c>
      <c r="FG43" s="73">
        <f t="shared" si="13"/>
        <v>316865</v>
      </c>
      <c r="FH43" s="102">
        <v>4868938</v>
      </c>
      <c r="FI43" s="379">
        <f t="shared" si="14"/>
        <v>7.6</v>
      </c>
      <c r="FJ43" s="102">
        <v>3746745</v>
      </c>
      <c r="FK43" s="102">
        <v>343818</v>
      </c>
      <c r="FL43" s="102">
        <v>1814824</v>
      </c>
      <c r="FM43" s="102">
        <v>3203988</v>
      </c>
      <c r="FN43" s="428">
        <v>0.57199999999999995</v>
      </c>
      <c r="FO43" s="424">
        <v>105.9</v>
      </c>
      <c r="FP43" s="425">
        <v>27.9</v>
      </c>
      <c r="FQ43" s="424">
        <v>7.7</v>
      </c>
      <c r="FR43" s="424">
        <v>20.5</v>
      </c>
      <c r="FS43" s="425">
        <v>24</v>
      </c>
      <c r="FT43" s="424">
        <v>3.3</v>
      </c>
      <c r="FU43" s="425">
        <v>20.9</v>
      </c>
      <c r="FV43" s="384">
        <f t="shared" si="15"/>
        <v>17.899999999999999</v>
      </c>
      <c r="FW43" s="102">
        <v>8606761</v>
      </c>
      <c r="FX43" s="384">
        <f t="shared" si="16"/>
        <v>210.4</v>
      </c>
      <c r="FY43" s="102">
        <v>670647</v>
      </c>
      <c r="FZ43" s="102">
        <v>455024</v>
      </c>
      <c r="GA43" s="102">
        <v>0</v>
      </c>
      <c r="GB43" s="102">
        <v>215623</v>
      </c>
      <c r="GC43" s="102">
        <v>0</v>
      </c>
      <c r="GD43" s="427"/>
      <c r="GE43" s="386"/>
      <c r="GF43" s="424">
        <v>98.6</v>
      </c>
      <c r="GG43" s="424">
        <v>30.5</v>
      </c>
      <c r="GH43" s="424">
        <v>93.5</v>
      </c>
      <c r="GI43" s="102">
        <v>151</v>
      </c>
      <c r="GJ43" s="429" t="s">
        <v>646</v>
      </c>
      <c r="GK43" s="429">
        <v>15</v>
      </c>
      <c r="GL43" s="87">
        <v>20</v>
      </c>
      <c r="GM43" s="429" t="s">
        <v>646</v>
      </c>
      <c r="GN43" s="430">
        <v>20</v>
      </c>
      <c r="GO43" s="430">
        <v>30</v>
      </c>
      <c r="GP43" s="425">
        <v>17.899999999999999</v>
      </c>
      <c r="GQ43" s="425">
        <v>25</v>
      </c>
      <c r="GR43" s="425">
        <v>35</v>
      </c>
      <c r="GS43" s="431">
        <v>151.19999999999999</v>
      </c>
      <c r="GT43" s="425">
        <v>350</v>
      </c>
      <c r="GU43" s="394"/>
      <c r="GV43" s="100">
        <f t="shared" si="17"/>
        <v>4091</v>
      </c>
      <c r="GW43" s="394"/>
      <c r="GX43" s="394"/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</row>
    <row r="44" spans="2:230" x14ac:dyDescent="0.15">
      <c r="B44" s="89" t="s">
        <v>77</v>
      </c>
      <c r="C44" s="102">
        <v>4335207</v>
      </c>
      <c r="D44" s="73">
        <f t="shared" si="0"/>
        <v>2255113</v>
      </c>
      <c r="E44" s="102">
        <v>59380</v>
      </c>
      <c r="F44" s="102">
        <v>2195733</v>
      </c>
      <c r="G44" s="73">
        <f t="shared" si="1"/>
        <v>201864</v>
      </c>
      <c r="H44" s="102">
        <v>44770</v>
      </c>
      <c r="I44" s="102">
        <v>157094</v>
      </c>
      <c r="J44" s="102">
        <v>1636678</v>
      </c>
      <c r="K44" s="102">
        <v>621455</v>
      </c>
      <c r="L44" s="102">
        <v>794944</v>
      </c>
      <c r="M44" s="102">
        <v>208244</v>
      </c>
      <c r="N44" s="102">
        <v>167569</v>
      </c>
      <c r="O44" s="102">
        <v>0</v>
      </c>
      <c r="P44" s="102">
        <v>0</v>
      </c>
      <c r="Q44" s="102">
        <v>0</v>
      </c>
      <c r="R44" s="102">
        <v>95939</v>
      </c>
      <c r="S44" s="74"/>
      <c r="T44" s="73">
        <f t="shared" si="2"/>
        <v>458926</v>
      </c>
      <c r="U44" s="102">
        <v>25232</v>
      </c>
      <c r="V44" s="102">
        <v>19534</v>
      </c>
      <c r="W44" s="102">
        <v>4499</v>
      </c>
      <c r="X44" s="102">
        <v>348500</v>
      </c>
      <c r="Y44" s="102">
        <v>11698</v>
      </c>
      <c r="Z44" s="102">
        <v>0</v>
      </c>
      <c r="AA44" s="102">
        <v>49463</v>
      </c>
      <c r="AB44" s="102">
        <v>41721</v>
      </c>
      <c r="AC44" s="102">
        <v>2594771</v>
      </c>
      <c r="AD44" s="102">
        <v>2382500</v>
      </c>
      <c r="AE44" s="102">
        <v>212268</v>
      </c>
      <c r="AF44" s="102">
        <v>7438</v>
      </c>
      <c r="AG44" s="102">
        <v>8275</v>
      </c>
      <c r="AH44" s="73">
        <f t="shared" si="3"/>
        <v>397783</v>
      </c>
      <c r="AI44" s="102">
        <v>302239</v>
      </c>
      <c r="AJ44" s="102">
        <v>95544</v>
      </c>
      <c r="AK44" s="102">
        <v>1153244</v>
      </c>
      <c r="AL44" s="73">
        <f t="shared" si="4"/>
        <v>313677</v>
      </c>
      <c r="AM44" s="102">
        <v>0</v>
      </c>
      <c r="AN44" s="102">
        <v>95231</v>
      </c>
      <c r="AO44" s="74"/>
      <c r="AP44" s="102">
        <v>218446</v>
      </c>
      <c r="AQ44" s="102">
        <v>115671</v>
      </c>
      <c r="AR44" s="102">
        <v>4175</v>
      </c>
      <c r="AS44" s="102">
        <v>0</v>
      </c>
      <c r="AT44" s="102">
        <v>891883</v>
      </c>
      <c r="AU44" s="102">
        <v>488149</v>
      </c>
      <c r="AV44" s="102">
        <v>47615</v>
      </c>
      <c r="AW44" s="102">
        <v>20819</v>
      </c>
      <c r="AX44" s="102">
        <v>403734</v>
      </c>
      <c r="AY44" s="102">
        <v>8882</v>
      </c>
      <c r="AZ44" s="102">
        <v>4766</v>
      </c>
      <c r="BA44" s="102">
        <v>124</v>
      </c>
      <c r="BB44" s="102">
        <v>2408</v>
      </c>
      <c r="BC44" s="102">
        <v>28273</v>
      </c>
      <c r="BD44" s="102">
        <v>0</v>
      </c>
      <c r="BE44" s="102">
        <v>0</v>
      </c>
      <c r="BF44" s="102">
        <v>27964</v>
      </c>
      <c r="BG44" s="102">
        <v>0</v>
      </c>
      <c r="BH44" s="102">
        <v>204871</v>
      </c>
      <c r="BI44" s="102">
        <v>131881</v>
      </c>
      <c r="BJ44" s="102">
        <v>213605</v>
      </c>
      <c r="BK44" s="102">
        <v>0</v>
      </c>
      <c r="BL44" s="102">
        <v>0</v>
      </c>
      <c r="BM44" s="102">
        <v>0</v>
      </c>
      <c r="BN44" s="102">
        <v>976600</v>
      </c>
      <c r="BO44" s="73">
        <f t="shared" si="5"/>
        <v>190600</v>
      </c>
      <c r="BP44" s="73">
        <f t="shared" si="6"/>
        <v>786000</v>
      </c>
      <c r="BQ44" s="102">
        <v>0</v>
      </c>
      <c r="BR44" s="102">
        <v>0</v>
      </c>
      <c r="BS44" s="102">
        <v>786000</v>
      </c>
      <c r="BT44" s="102">
        <v>0</v>
      </c>
      <c r="BU44" s="102">
        <v>11415710</v>
      </c>
      <c r="BV44" s="71"/>
      <c r="BW44" s="102">
        <v>2900028</v>
      </c>
      <c r="BX44" s="102">
        <v>1956161</v>
      </c>
      <c r="BY44" s="102">
        <v>210224</v>
      </c>
      <c r="BZ44" s="102">
        <v>175921</v>
      </c>
      <c r="CA44" s="102">
        <v>1944021</v>
      </c>
      <c r="CB44" s="102">
        <v>507714</v>
      </c>
      <c r="CC44" s="102">
        <v>69264</v>
      </c>
      <c r="CD44" s="102">
        <v>1322358</v>
      </c>
      <c r="CE44" s="102">
        <v>0</v>
      </c>
      <c r="CF44" s="102">
        <v>879</v>
      </c>
      <c r="CG44" s="102">
        <v>43806</v>
      </c>
      <c r="CH44" s="102">
        <v>1262888</v>
      </c>
      <c r="CI44" s="102">
        <v>1127910</v>
      </c>
      <c r="CJ44" s="83">
        <f t="shared" si="18"/>
        <v>134978</v>
      </c>
      <c r="CK44" s="102">
        <v>1878411</v>
      </c>
      <c r="CL44" s="102">
        <v>1001168</v>
      </c>
      <c r="CM44" s="102">
        <v>189521</v>
      </c>
      <c r="CN44" s="102">
        <v>381933</v>
      </c>
      <c r="CO44" s="102">
        <v>152191</v>
      </c>
      <c r="CP44" s="102">
        <v>492489</v>
      </c>
      <c r="CQ44" s="102">
        <v>1106</v>
      </c>
      <c r="CR44" s="102">
        <v>334861</v>
      </c>
      <c r="CS44" s="102">
        <v>199369</v>
      </c>
      <c r="CT44" s="73">
        <f t="shared" si="7"/>
        <v>7226</v>
      </c>
      <c r="CU44" s="102">
        <v>4715</v>
      </c>
      <c r="CV44" s="102">
        <v>2511</v>
      </c>
      <c r="CW44" s="73">
        <f t="shared" si="8"/>
        <v>0</v>
      </c>
      <c r="CX44" s="102">
        <v>0</v>
      </c>
      <c r="CY44" s="102">
        <v>0</v>
      </c>
      <c r="CZ44" s="73">
        <f t="shared" si="9"/>
        <v>0</v>
      </c>
      <c r="DA44" s="102">
        <v>0</v>
      </c>
      <c r="DB44" s="102">
        <v>0</v>
      </c>
      <c r="DC44" s="102">
        <v>640595</v>
      </c>
      <c r="DD44" s="102">
        <v>338889</v>
      </c>
      <c r="DE44" s="102">
        <v>301292</v>
      </c>
      <c r="DF44" s="77">
        <v>414</v>
      </c>
      <c r="DG44" s="78">
        <v>0</v>
      </c>
      <c r="DH44" s="102">
        <v>60887</v>
      </c>
      <c r="DI44" s="102">
        <v>368757</v>
      </c>
      <c r="DJ44" s="102">
        <v>361000</v>
      </c>
      <c r="DK44" s="102">
        <v>356</v>
      </c>
      <c r="DL44" s="102">
        <v>7401</v>
      </c>
      <c r="DM44" s="102">
        <v>0</v>
      </c>
      <c r="DN44" s="102">
        <v>0</v>
      </c>
      <c r="DO44" s="102">
        <v>0</v>
      </c>
      <c r="DP44" s="102">
        <v>0</v>
      </c>
      <c r="DQ44" s="102">
        <v>0</v>
      </c>
      <c r="DR44" s="102">
        <v>0</v>
      </c>
      <c r="DS44" s="102">
        <v>0</v>
      </c>
      <c r="DT44" s="102">
        <v>1351754</v>
      </c>
      <c r="DU44" s="102">
        <v>269200</v>
      </c>
      <c r="DV44" s="73">
        <f t="shared" si="10"/>
        <v>0</v>
      </c>
      <c r="DW44" s="102">
        <v>0</v>
      </c>
      <c r="DX44" s="102">
        <v>420680</v>
      </c>
      <c r="DY44" s="102">
        <v>0</v>
      </c>
      <c r="DZ44" s="102">
        <v>268012</v>
      </c>
      <c r="EA44" s="74">
        <v>0</v>
      </c>
      <c r="EB44" s="102">
        <v>392924</v>
      </c>
      <c r="EC44" s="102">
        <v>0</v>
      </c>
      <c r="ED44" s="102">
        <v>11052021</v>
      </c>
      <c r="EE44" s="71"/>
      <c r="EF44" s="102">
        <v>363689</v>
      </c>
      <c r="EG44" s="102">
        <v>73098</v>
      </c>
      <c r="EH44" s="102">
        <v>290591</v>
      </c>
      <c r="EI44" s="102">
        <v>158710</v>
      </c>
      <c r="EJ44" s="102">
        <v>519710</v>
      </c>
      <c r="EK44" s="71"/>
      <c r="EL44" s="102"/>
      <c r="EM44" s="102">
        <v>44544</v>
      </c>
      <c r="EN44" s="102">
        <v>5110</v>
      </c>
      <c r="EO44" s="102">
        <v>1649</v>
      </c>
      <c r="EP44" s="73">
        <f t="shared" si="11"/>
        <v>381222</v>
      </c>
      <c r="EQ44" s="102">
        <v>7534002</v>
      </c>
      <c r="ER44" s="71">
        <v>-1166543</v>
      </c>
      <c r="ES44" s="102">
        <v>2663731</v>
      </c>
      <c r="ET44" s="102">
        <v>1767016</v>
      </c>
      <c r="EU44" s="102">
        <v>698204</v>
      </c>
      <c r="EV44" s="102">
        <v>1242152</v>
      </c>
      <c r="EW44" s="73">
        <f t="shared" si="12"/>
        <v>252696</v>
      </c>
      <c r="EX44" s="102">
        <v>244848</v>
      </c>
      <c r="EY44" s="102">
        <v>11872</v>
      </c>
      <c r="EZ44" s="102">
        <v>232562</v>
      </c>
      <c r="FA44" s="102">
        <v>7848</v>
      </c>
      <c r="FB44" s="102">
        <v>0</v>
      </c>
      <c r="FC44" s="102">
        <v>1482474</v>
      </c>
      <c r="FD44" s="102">
        <v>346990</v>
      </c>
      <c r="FE44" s="102">
        <v>931</v>
      </c>
      <c r="FF44" s="102">
        <v>1181757</v>
      </c>
      <c r="FG44" s="73">
        <f t="shared" si="13"/>
        <v>468852</v>
      </c>
      <c r="FH44" s="102">
        <v>8336856</v>
      </c>
      <c r="FI44" s="379">
        <f t="shared" si="14"/>
        <v>3.6</v>
      </c>
      <c r="FJ44" s="102">
        <v>7221821</v>
      </c>
      <c r="FK44" s="102">
        <v>786297</v>
      </c>
      <c r="FL44" s="102">
        <v>3762104</v>
      </c>
      <c r="FM44" s="102">
        <v>6144604</v>
      </c>
      <c r="FN44" s="428">
        <v>0.64600000000000002</v>
      </c>
      <c r="FO44" s="424">
        <v>88.9</v>
      </c>
      <c r="FP44" s="425">
        <v>30.4</v>
      </c>
      <c r="FQ44" s="424">
        <v>8.5</v>
      </c>
      <c r="FR44" s="424">
        <v>15.1</v>
      </c>
      <c r="FS44" s="425">
        <v>16.8</v>
      </c>
      <c r="FT44" s="424">
        <v>3.8</v>
      </c>
      <c r="FU44" s="425">
        <v>13.1</v>
      </c>
      <c r="FV44" s="384">
        <f t="shared" si="15"/>
        <v>8.9</v>
      </c>
      <c r="FW44" s="102">
        <v>8976487</v>
      </c>
      <c r="FX44" s="384">
        <f t="shared" si="16"/>
        <v>112.1</v>
      </c>
      <c r="FY44" s="102">
        <v>3938950</v>
      </c>
      <c r="FZ44" s="102">
        <v>1337158</v>
      </c>
      <c r="GA44" s="102">
        <v>613584</v>
      </c>
      <c r="GB44" s="102">
        <v>1988208</v>
      </c>
      <c r="GC44" s="102">
        <v>777529</v>
      </c>
      <c r="GD44" s="427">
        <v>778461</v>
      </c>
      <c r="GE44" s="386">
        <f>IF(GD44=0,"-",ROUND(GD44/(FJ44+FK44)*100,1))</f>
        <v>9.6999999999999993</v>
      </c>
      <c r="GF44" s="424">
        <v>98.6</v>
      </c>
      <c r="GG44" s="424">
        <v>27.6</v>
      </c>
      <c r="GH44" s="424">
        <v>94.5</v>
      </c>
      <c r="GI44" s="102">
        <v>334</v>
      </c>
      <c r="GJ44" s="429" t="s">
        <v>646</v>
      </c>
      <c r="GK44" s="429">
        <v>13.75</v>
      </c>
      <c r="GL44" s="87">
        <v>20</v>
      </c>
      <c r="GM44" s="429" t="s">
        <v>646</v>
      </c>
      <c r="GN44" s="430">
        <v>18.75</v>
      </c>
      <c r="GO44" s="430">
        <v>30</v>
      </c>
      <c r="GP44" s="425">
        <v>8.9</v>
      </c>
      <c r="GQ44" s="425">
        <v>25</v>
      </c>
      <c r="GR44" s="425">
        <v>35</v>
      </c>
      <c r="GS44" s="431">
        <v>21.8</v>
      </c>
      <c r="GT44" s="425">
        <v>350</v>
      </c>
      <c r="GU44" s="394"/>
      <c r="GV44" s="100">
        <f t="shared" si="17"/>
        <v>8008</v>
      </c>
      <c r="GW44" s="394"/>
      <c r="GX44" s="394"/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</row>
    <row r="45" spans="2:230" x14ac:dyDescent="0.15">
      <c r="B45" s="89" t="s">
        <v>79</v>
      </c>
      <c r="C45" s="102">
        <v>3884261</v>
      </c>
      <c r="D45" s="73">
        <f t="shared" si="0"/>
        <v>349232</v>
      </c>
      <c r="E45" s="102">
        <v>10033</v>
      </c>
      <c r="F45" s="102">
        <v>339199</v>
      </c>
      <c r="G45" s="73">
        <f t="shared" si="1"/>
        <v>113931</v>
      </c>
      <c r="H45" s="102">
        <v>42626</v>
      </c>
      <c r="I45" s="102">
        <v>71305</v>
      </c>
      <c r="J45" s="102">
        <v>2702568</v>
      </c>
      <c r="K45" s="102">
        <v>1343688</v>
      </c>
      <c r="L45" s="102">
        <v>683013</v>
      </c>
      <c r="M45" s="102">
        <v>633993</v>
      </c>
      <c r="N45" s="102">
        <v>706724</v>
      </c>
      <c r="O45" s="102">
        <v>0</v>
      </c>
      <c r="P45" s="102">
        <v>0</v>
      </c>
      <c r="Q45" s="102">
        <v>0</v>
      </c>
      <c r="R45" s="102">
        <v>41911</v>
      </c>
      <c r="S45" s="74"/>
      <c r="T45" s="73">
        <f t="shared" si="2"/>
        <v>112902</v>
      </c>
      <c r="U45" s="102">
        <v>3780</v>
      </c>
      <c r="V45" s="102">
        <v>2933</v>
      </c>
      <c r="W45" s="102">
        <v>680</v>
      </c>
      <c r="X45" s="102">
        <v>96627</v>
      </c>
      <c r="Y45" s="102">
        <v>0</v>
      </c>
      <c r="Z45" s="102">
        <v>0</v>
      </c>
      <c r="AA45" s="102">
        <v>8882</v>
      </c>
      <c r="AB45" s="102">
        <v>8977</v>
      </c>
      <c r="AC45" s="102">
        <v>6053</v>
      </c>
      <c r="AD45" s="102">
        <v>0</v>
      </c>
      <c r="AE45" s="102">
        <v>6052</v>
      </c>
      <c r="AF45" s="102">
        <v>1235</v>
      </c>
      <c r="AG45" s="102">
        <v>1467</v>
      </c>
      <c r="AH45" s="73">
        <f t="shared" si="3"/>
        <v>111759</v>
      </c>
      <c r="AI45" s="102">
        <v>97856</v>
      </c>
      <c r="AJ45" s="102">
        <v>13903</v>
      </c>
      <c r="AK45" s="102">
        <v>200118</v>
      </c>
      <c r="AL45" s="73">
        <f t="shared" si="4"/>
        <v>71136</v>
      </c>
      <c r="AM45" s="102">
        <v>0</v>
      </c>
      <c r="AN45" s="102">
        <v>0</v>
      </c>
      <c r="AO45" s="74"/>
      <c r="AP45" s="102">
        <v>71136</v>
      </c>
      <c r="AQ45" s="102">
        <v>2553</v>
      </c>
      <c r="AR45" s="102">
        <v>0</v>
      </c>
      <c r="AS45" s="102">
        <v>0</v>
      </c>
      <c r="AT45" s="102">
        <v>191380</v>
      </c>
      <c r="AU45" s="102">
        <v>129724</v>
      </c>
      <c r="AV45" s="102">
        <v>0</v>
      </c>
      <c r="AW45" s="102">
        <v>1008</v>
      </c>
      <c r="AX45" s="102">
        <v>61656</v>
      </c>
      <c r="AY45" s="102">
        <v>3228</v>
      </c>
      <c r="AZ45" s="102">
        <v>9654</v>
      </c>
      <c r="BA45" s="102">
        <v>0</v>
      </c>
      <c r="BB45" s="102">
        <v>190</v>
      </c>
      <c r="BC45" s="102">
        <v>47655</v>
      </c>
      <c r="BD45" s="102">
        <v>0</v>
      </c>
      <c r="BE45" s="102">
        <v>0</v>
      </c>
      <c r="BF45" s="102">
        <v>47655</v>
      </c>
      <c r="BG45" s="102">
        <v>0</v>
      </c>
      <c r="BH45" s="102">
        <v>243865</v>
      </c>
      <c r="BI45" s="102">
        <v>209865</v>
      </c>
      <c r="BJ45" s="102">
        <v>83932</v>
      </c>
      <c r="BK45" s="102">
        <v>0</v>
      </c>
      <c r="BL45" s="102">
        <v>0</v>
      </c>
      <c r="BM45" s="102">
        <v>0</v>
      </c>
      <c r="BN45" s="102">
        <v>0</v>
      </c>
      <c r="BO45" s="73">
        <f t="shared" si="5"/>
        <v>0</v>
      </c>
      <c r="BP45" s="73">
        <f t="shared" si="6"/>
        <v>0</v>
      </c>
      <c r="BQ45" s="102">
        <v>0</v>
      </c>
      <c r="BR45" s="102">
        <v>0</v>
      </c>
      <c r="BS45" s="102">
        <v>0</v>
      </c>
      <c r="BT45" s="102">
        <v>0</v>
      </c>
      <c r="BU45" s="102">
        <v>4945359</v>
      </c>
      <c r="BV45" s="71"/>
      <c r="BW45" s="102">
        <v>1079431</v>
      </c>
      <c r="BX45" s="102">
        <v>655126</v>
      </c>
      <c r="BY45" s="102">
        <v>25718</v>
      </c>
      <c r="BZ45" s="102">
        <v>141054</v>
      </c>
      <c r="CA45" s="102">
        <v>418424</v>
      </c>
      <c r="CB45" s="102">
        <v>163585</v>
      </c>
      <c r="CC45" s="102">
        <v>18314</v>
      </c>
      <c r="CD45" s="102">
        <v>223616</v>
      </c>
      <c r="CE45" s="102">
        <v>0</v>
      </c>
      <c r="CF45" s="102">
        <v>514</v>
      </c>
      <c r="CG45" s="102">
        <v>12395</v>
      </c>
      <c r="CH45" s="102">
        <v>408744</v>
      </c>
      <c r="CI45" s="102">
        <v>364790</v>
      </c>
      <c r="CJ45" s="83">
        <f t="shared" si="18"/>
        <v>43954</v>
      </c>
      <c r="CK45" s="102">
        <v>462324</v>
      </c>
      <c r="CL45" s="102">
        <v>264153</v>
      </c>
      <c r="CM45" s="102">
        <v>9214</v>
      </c>
      <c r="CN45" s="102">
        <v>147042</v>
      </c>
      <c r="CO45" s="102">
        <v>16522</v>
      </c>
      <c r="CP45" s="102">
        <v>1111693</v>
      </c>
      <c r="CQ45" s="102">
        <v>119406</v>
      </c>
      <c r="CR45" s="102">
        <v>26366</v>
      </c>
      <c r="CS45" s="102">
        <v>26366</v>
      </c>
      <c r="CT45" s="73">
        <f t="shared" si="7"/>
        <v>7168</v>
      </c>
      <c r="CU45" s="102">
        <v>0</v>
      </c>
      <c r="CV45" s="102">
        <v>7168</v>
      </c>
      <c r="CW45" s="73">
        <f t="shared" si="8"/>
        <v>0</v>
      </c>
      <c r="CX45" s="102">
        <v>0</v>
      </c>
      <c r="CY45" s="102">
        <v>0</v>
      </c>
      <c r="CZ45" s="73">
        <f t="shared" si="9"/>
        <v>0</v>
      </c>
      <c r="DA45" s="102">
        <v>0</v>
      </c>
      <c r="DB45" s="102">
        <v>0</v>
      </c>
      <c r="DC45" s="102">
        <v>129883</v>
      </c>
      <c r="DD45" s="102">
        <v>8487</v>
      </c>
      <c r="DE45" s="102">
        <v>121396</v>
      </c>
      <c r="DF45" s="77">
        <v>0</v>
      </c>
      <c r="DG45" s="78">
        <v>0</v>
      </c>
      <c r="DH45" s="102">
        <v>0</v>
      </c>
      <c r="DI45" s="102">
        <v>219263</v>
      </c>
      <c r="DJ45" s="102">
        <v>113255</v>
      </c>
      <c r="DK45" s="102">
        <v>100267</v>
      </c>
      <c r="DL45" s="102">
        <v>5741</v>
      </c>
      <c r="DM45" s="102">
        <v>0</v>
      </c>
      <c r="DN45" s="102">
        <v>0</v>
      </c>
      <c r="DO45" s="102">
        <v>0</v>
      </c>
      <c r="DP45" s="102">
        <v>0</v>
      </c>
      <c r="DQ45" s="102">
        <v>0</v>
      </c>
      <c r="DR45" s="102">
        <v>0</v>
      </c>
      <c r="DS45" s="102">
        <v>0</v>
      </c>
      <c r="DT45" s="102">
        <v>779962</v>
      </c>
      <c r="DU45" s="102">
        <v>484857</v>
      </c>
      <c r="DV45" s="73">
        <f t="shared" si="10"/>
        <v>0</v>
      </c>
      <c r="DW45" s="102">
        <v>0</v>
      </c>
      <c r="DX45" s="102">
        <v>103983</v>
      </c>
      <c r="DY45" s="102">
        <v>0</v>
      </c>
      <c r="DZ45" s="102">
        <v>83187</v>
      </c>
      <c r="EA45" s="74">
        <v>0</v>
      </c>
      <c r="EB45" s="102">
        <v>107935</v>
      </c>
      <c r="EC45" s="102">
        <v>0</v>
      </c>
      <c r="ED45" s="102">
        <v>4626246</v>
      </c>
      <c r="EE45" s="71"/>
      <c r="EF45" s="102">
        <v>319113</v>
      </c>
      <c r="EG45" s="102">
        <v>34000</v>
      </c>
      <c r="EH45" s="102">
        <v>285113</v>
      </c>
      <c r="EI45" s="102">
        <v>75248</v>
      </c>
      <c r="EJ45" s="102">
        <v>188503</v>
      </c>
      <c r="EK45" s="71"/>
      <c r="EL45" s="102"/>
      <c r="EM45" s="102">
        <v>8422</v>
      </c>
      <c r="EN45" s="102">
        <v>2431</v>
      </c>
      <c r="EO45" s="102">
        <v>2</v>
      </c>
      <c r="EP45" s="73">
        <f t="shared" si="11"/>
        <v>251366</v>
      </c>
      <c r="EQ45" s="102">
        <v>4055339</v>
      </c>
      <c r="ER45" s="71">
        <v>-252564</v>
      </c>
      <c r="ES45" s="102">
        <v>971132</v>
      </c>
      <c r="ET45" s="102">
        <v>561945</v>
      </c>
      <c r="EU45" s="102">
        <v>140621</v>
      </c>
      <c r="EV45" s="102">
        <v>375070</v>
      </c>
      <c r="EW45" s="73">
        <f t="shared" si="12"/>
        <v>111544</v>
      </c>
      <c r="EX45" s="102">
        <v>111544</v>
      </c>
      <c r="EY45" s="102">
        <v>5934</v>
      </c>
      <c r="EZ45" s="102">
        <v>105610</v>
      </c>
      <c r="FA45" s="102">
        <v>0</v>
      </c>
      <c r="FB45" s="102">
        <v>0</v>
      </c>
      <c r="FC45" s="102">
        <v>326981</v>
      </c>
      <c r="FD45" s="102">
        <v>1096677</v>
      </c>
      <c r="FE45" s="102">
        <v>119406</v>
      </c>
      <c r="FF45" s="102">
        <v>742507</v>
      </c>
      <c r="FG45" s="73">
        <f t="shared" si="13"/>
        <v>224258</v>
      </c>
      <c r="FH45" s="102">
        <v>3988790</v>
      </c>
      <c r="FI45" s="379">
        <f t="shared" si="14"/>
        <v>8.1999999999999993</v>
      </c>
      <c r="FJ45" s="102">
        <v>3425336</v>
      </c>
      <c r="FK45" s="102">
        <v>53540</v>
      </c>
      <c r="FL45" s="102">
        <v>2598818</v>
      </c>
      <c r="FM45" s="102">
        <v>2029713</v>
      </c>
      <c r="FN45" s="428">
        <v>1.3069999999999999</v>
      </c>
      <c r="FO45" s="424">
        <v>69</v>
      </c>
      <c r="FP45" s="425">
        <v>23.3</v>
      </c>
      <c r="FQ45" s="424">
        <v>3.5</v>
      </c>
      <c r="FR45" s="424">
        <v>9.1999999999999993</v>
      </c>
      <c r="FS45" s="425">
        <v>7.7</v>
      </c>
      <c r="FT45" s="424">
        <v>9.5</v>
      </c>
      <c r="FU45" s="425">
        <v>15.5</v>
      </c>
      <c r="FV45" s="384">
        <f t="shared" si="15"/>
        <v>15.9</v>
      </c>
      <c r="FW45" s="102">
        <v>2078085</v>
      </c>
      <c r="FX45" s="384">
        <f t="shared" si="16"/>
        <v>59.7</v>
      </c>
      <c r="FY45" s="102">
        <v>4640853</v>
      </c>
      <c r="FZ45" s="102">
        <v>4003147</v>
      </c>
      <c r="GA45" s="102">
        <v>200267</v>
      </c>
      <c r="GB45" s="102">
        <v>437439</v>
      </c>
      <c r="GC45" s="102">
        <v>0</v>
      </c>
      <c r="GD45" s="427"/>
      <c r="GE45" s="386"/>
      <c r="GF45" s="424">
        <v>99.8</v>
      </c>
      <c r="GG45" s="424">
        <v>43.4</v>
      </c>
      <c r="GH45" s="424">
        <v>99.6</v>
      </c>
      <c r="GI45" s="102">
        <v>110</v>
      </c>
      <c r="GJ45" s="429" t="s">
        <v>646</v>
      </c>
      <c r="GK45" s="429">
        <v>15</v>
      </c>
      <c r="GL45" s="87">
        <v>20</v>
      </c>
      <c r="GM45" s="429" t="s">
        <v>646</v>
      </c>
      <c r="GN45" s="430">
        <v>20</v>
      </c>
      <c r="GO45" s="430">
        <v>30</v>
      </c>
      <c r="GP45" s="425">
        <v>15.9</v>
      </c>
      <c r="GQ45" s="425">
        <v>25</v>
      </c>
      <c r="GR45" s="425">
        <v>35</v>
      </c>
      <c r="GS45" s="431" t="s">
        <v>646</v>
      </c>
      <c r="GT45" s="425">
        <v>350</v>
      </c>
      <c r="GU45" s="394"/>
      <c r="GV45" s="100">
        <f t="shared" si="17"/>
        <v>3479</v>
      </c>
      <c r="GW45" s="394"/>
      <c r="GX45" s="394"/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</row>
    <row r="46" spans="2:230" x14ac:dyDescent="0.15">
      <c r="B46" s="89" t="s">
        <v>81</v>
      </c>
      <c r="C46" s="102">
        <v>2265127</v>
      </c>
      <c r="D46" s="73">
        <f t="shared" si="0"/>
        <v>700247</v>
      </c>
      <c r="E46" s="102">
        <v>22982</v>
      </c>
      <c r="F46" s="102">
        <v>677265</v>
      </c>
      <c r="G46" s="73">
        <f t="shared" si="1"/>
        <v>69517</v>
      </c>
      <c r="H46" s="102">
        <v>29970</v>
      </c>
      <c r="I46" s="102">
        <v>39547</v>
      </c>
      <c r="J46" s="102">
        <v>1381058</v>
      </c>
      <c r="K46" s="102">
        <v>550636</v>
      </c>
      <c r="L46" s="102">
        <v>495979</v>
      </c>
      <c r="M46" s="102">
        <v>330723</v>
      </c>
      <c r="N46" s="102">
        <v>83246</v>
      </c>
      <c r="O46" s="102">
        <v>0</v>
      </c>
      <c r="P46" s="102">
        <v>0</v>
      </c>
      <c r="Q46" s="102">
        <v>0</v>
      </c>
      <c r="R46" s="102">
        <v>50412</v>
      </c>
      <c r="S46" s="74"/>
      <c r="T46" s="73">
        <f t="shared" si="2"/>
        <v>233562</v>
      </c>
      <c r="U46" s="102">
        <v>8108</v>
      </c>
      <c r="V46" s="102">
        <v>6263</v>
      </c>
      <c r="W46" s="102">
        <v>1435</v>
      </c>
      <c r="X46" s="102">
        <v>134979</v>
      </c>
      <c r="Y46" s="102">
        <v>56802</v>
      </c>
      <c r="Z46" s="102">
        <v>0</v>
      </c>
      <c r="AA46" s="102">
        <v>25975</v>
      </c>
      <c r="AB46" s="102">
        <v>8023</v>
      </c>
      <c r="AC46" s="102">
        <v>1860903</v>
      </c>
      <c r="AD46" s="102">
        <v>1563194</v>
      </c>
      <c r="AE46" s="102">
        <v>297707</v>
      </c>
      <c r="AF46" s="102">
        <v>3737</v>
      </c>
      <c r="AG46" s="102">
        <v>11849</v>
      </c>
      <c r="AH46" s="73">
        <f t="shared" si="3"/>
        <v>112472</v>
      </c>
      <c r="AI46" s="102">
        <v>95518</v>
      </c>
      <c r="AJ46" s="102">
        <v>16954</v>
      </c>
      <c r="AK46" s="102">
        <v>390153</v>
      </c>
      <c r="AL46" s="73">
        <f t="shared" si="4"/>
        <v>131911</v>
      </c>
      <c r="AM46" s="102">
        <v>0</v>
      </c>
      <c r="AN46" s="102">
        <v>0</v>
      </c>
      <c r="AO46" s="74"/>
      <c r="AP46" s="102">
        <v>131911</v>
      </c>
      <c r="AQ46" s="102">
        <v>26517</v>
      </c>
      <c r="AR46" s="102">
        <v>7956</v>
      </c>
      <c r="AS46" s="102">
        <v>0</v>
      </c>
      <c r="AT46" s="102">
        <v>704996</v>
      </c>
      <c r="AU46" s="102">
        <v>203613</v>
      </c>
      <c r="AV46" s="102">
        <v>0</v>
      </c>
      <c r="AW46" s="102">
        <v>8473</v>
      </c>
      <c r="AX46" s="102">
        <v>501383</v>
      </c>
      <c r="AY46" s="102">
        <v>244187</v>
      </c>
      <c r="AZ46" s="102">
        <v>24384</v>
      </c>
      <c r="BA46" s="102">
        <v>6097</v>
      </c>
      <c r="BB46" s="102">
        <v>5971</v>
      </c>
      <c r="BC46" s="102">
        <v>201574</v>
      </c>
      <c r="BD46" s="102">
        <v>144973</v>
      </c>
      <c r="BE46" s="102">
        <v>0</v>
      </c>
      <c r="BF46" s="102">
        <v>4973</v>
      </c>
      <c r="BG46" s="102">
        <v>0</v>
      </c>
      <c r="BH46" s="102">
        <v>139665</v>
      </c>
      <c r="BI46" s="102">
        <v>30590</v>
      </c>
      <c r="BJ46" s="102">
        <v>176298</v>
      </c>
      <c r="BK46" s="102">
        <v>3546</v>
      </c>
      <c r="BL46" s="102">
        <v>0</v>
      </c>
      <c r="BM46" s="102">
        <v>0</v>
      </c>
      <c r="BN46" s="102">
        <v>425209</v>
      </c>
      <c r="BO46" s="73">
        <f t="shared" si="5"/>
        <v>100900</v>
      </c>
      <c r="BP46" s="73">
        <f t="shared" si="6"/>
        <v>324309</v>
      </c>
      <c r="BQ46" s="102">
        <v>0</v>
      </c>
      <c r="BR46" s="102">
        <v>0</v>
      </c>
      <c r="BS46" s="102">
        <v>324309</v>
      </c>
      <c r="BT46" s="102">
        <v>0</v>
      </c>
      <c r="BU46" s="102">
        <v>6614335</v>
      </c>
      <c r="BV46" s="71"/>
      <c r="BW46" s="102">
        <v>1318757</v>
      </c>
      <c r="BX46" s="102">
        <v>863723</v>
      </c>
      <c r="BY46" s="102">
        <v>143204</v>
      </c>
      <c r="BZ46" s="102">
        <v>16664</v>
      </c>
      <c r="CA46" s="102">
        <v>694818</v>
      </c>
      <c r="CB46" s="102">
        <v>304218</v>
      </c>
      <c r="CC46" s="102">
        <v>35486</v>
      </c>
      <c r="CD46" s="102">
        <v>339928</v>
      </c>
      <c r="CE46" s="102">
        <v>0</v>
      </c>
      <c r="CF46" s="102">
        <v>6</v>
      </c>
      <c r="CG46" s="102">
        <v>15180</v>
      </c>
      <c r="CH46" s="102">
        <v>1087979</v>
      </c>
      <c r="CI46" s="102">
        <v>941902</v>
      </c>
      <c r="CJ46" s="83">
        <f t="shared" si="18"/>
        <v>146077</v>
      </c>
      <c r="CK46" s="102">
        <v>1072185</v>
      </c>
      <c r="CL46" s="102">
        <v>454478</v>
      </c>
      <c r="CM46" s="102">
        <v>217582</v>
      </c>
      <c r="CN46" s="102">
        <v>279224</v>
      </c>
      <c r="CO46" s="102">
        <v>87779</v>
      </c>
      <c r="CP46" s="102">
        <v>665078</v>
      </c>
      <c r="CQ46" s="102">
        <v>356073</v>
      </c>
      <c r="CR46" s="102">
        <v>117743</v>
      </c>
      <c r="CS46" s="102">
        <v>102172</v>
      </c>
      <c r="CT46" s="73">
        <f t="shared" si="7"/>
        <v>971</v>
      </c>
      <c r="CU46" s="102">
        <v>971</v>
      </c>
      <c r="CV46" s="102">
        <v>0</v>
      </c>
      <c r="CW46" s="73">
        <f t="shared" si="8"/>
        <v>0</v>
      </c>
      <c r="CX46" s="102">
        <v>0</v>
      </c>
      <c r="CY46" s="102">
        <v>0</v>
      </c>
      <c r="CZ46" s="73">
        <f t="shared" si="9"/>
        <v>0</v>
      </c>
      <c r="DA46" s="102">
        <v>0</v>
      </c>
      <c r="DB46" s="102">
        <v>0</v>
      </c>
      <c r="DC46" s="102">
        <v>472795</v>
      </c>
      <c r="DD46" s="102">
        <v>53822</v>
      </c>
      <c r="DE46" s="102">
        <v>175387</v>
      </c>
      <c r="DF46" s="77">
        <v>33</v>
      </c>
      <c r="DG46" s="78">
        <v>243553</v>
      </c>
      <c r="DH46" s="102">
        <v>30059</v>
      </c>
      <c r="DI46" s="102">
        <v>89345</v>
      </c>
      <c r="DJ46" s="102">
        <v>40297</v>
      </c>
      <c r="DK46" s="102">
        <v>8</v>
      </c>
      <c r="DL46" s="102">
        <v>49040</v>
      </c>
      <c r="DM46" s="102">
        <v>0</v>
      </c>
      <c r="DN46" s="102">
        <v>0</v>
      </c>
      <c r="DO46" s="102">
        <v>0</v>
      </c>
      <c r="DP46" s="102">
        <v>0</v>
      </c>
      <c r="DQ46" s="102">
        <v>0</v>
      </c>
      <c r="DR46" s="102">
        <v>0</v>
      </c>
      <c r="DS46" s="102">
        <v>0</v>
      </c>
      <c r="DT46" s="102">
        <v>1013774</v>
      </c>
      <c r="DU46" s="102">
        <v>303188</v>
      </c>
      <c r="DV46" s="73">
        <f t="shared" si="10"/>
        <v>0</v>
      </c>
      <c r="DW46" s="102">
        <v>0</v>
      </c>
      <c r="DX46" s="102">
        <v>313264</v>
      </c>
      <c r="DY46" s="102">
        <v>0</v>
      </c>
      <c r="DZ46" s="102">
        <v>144344</v>
      </c>
      <c r="EA46" s="74">
        <v>0</v>
      </c>
      <c r="EB46" s="102">
        <v>241054</v>
      </c>
      <c r="EC46" s="102">
        <v>0</v>
      </c>
      <c r="ED46" s="102">
        <v>6532569</v>
      </c>
      <c r="EE46" s="71"/>
      <c r="EF46" s="102">
        <v>81766</v>
      </c>
      <c r="EG46" s="102">
        <v>44044</v>
      </c>
      <c r="EH46" s="102">
        <v>37722</v>
      </c>
      <c r="EI46" s="102">
        <v>7132</v>
      </c>
      <c r="EJ46" s="102">
        <v>-97544</v>
      </c>
      <c r="EK46" s="71"/>
      <c r="EL46" s="102"/>
      <c r="EM46" s="102">
        <v>17290</v>
      </c>
      <c r="EN46" s="102">
        <v>160807</v>
      </c>
      <c r="EO46" s="102">
        <v>12505</v>
      </c>
      <c r="EP46" s="73">
        <f t="shared" si="11"/>
        <v>71371</v>
      </c>
      <c r="EQ46" s="102">
        <v>4421764</v>
      </c>
      <c r="ER46" s="71">
        <v>-565255</v>
      </c>
      <c r="ES46" s="102">
        <v>1072324</v>
      </c>
      <c r="ET46" s="102">
        <v>732025</v>
      </c>
      <c r="EU46" s="102">
        <v>256103</v>
      </c>
      <c r="EV46" s="102">
        <v>1084203</v>
      </c>
      <c r="EW46" s="73">
        <f t="shared" si="12"/>
        <v>79611</v>
      </c>
      <c r="EX46" s="102">
        <v>61208</v>
      </c>
      <c r="EY46" s="102">
        <v>4877</v>
      </c>
      <c r="EZ46" s="102">
        <v>56298</v>
      </c>
      <c r="FA46" s="102">
        <v>18403</v>
      </c>
      <c r="FB46" s="102">
        <v>0</v>
      </c>
      <c r="FC46" s="102">
        <v>762858</v>
      </c>
      <c r="FD46" s="102">
        <v>636201</v>
      </c>
      <c r="FE46" s="102">
        <v>356073</v>
      </c>
      <c r="FF46" s="102">
        <v>888053</v>
      </c>
      <c r="FG46" s="73">
        <f t="shared" si="13"/>
        <v>125900</v>
      </c>
      <c r="FH46" s="102">
        <v>4905253</v>
      </c>
      <c r="FI46" s="379">
        <f t="shared" si="14"/>
        <v>0.9</v>
      </c>
      <c r="FJ46" s="102">
        <v>3929802</v>
      </c>
      <c r="FK46" s="102">
        <v>324309</v>
      </c>
      <c r="FL46" s="102">
        <v>1832498</v>
      </c>
      <c r="FM46" s="102">
        <v>3395692</v>
      </c>
      <c r="FN46" s="428">
        <v>0.53900000000000003</v>
      </c>
      <c r="FO46" s="424">
        <v>96</v>
      </c>
      <c r="FP46" s="425">
        <v>23.4</v>
      </c>
      <c r="FQ46" s="424">
        <v>5.7</v>
      </c>
      <c r="FR46" s="424">
        <v>24.3</v>
      </c>
      <c r="FS46" s="425">
        <v>14.5</v>
      </c>
      <c r="FT46" s="424">
        <v>10.5</v>
      </c>
      <c r="FU46" s="425">
        <v>15.8</v>
      </c>
      <c r="FV46" s="384">
        <f t="shared" si="15"/>
        <v>19.899999999999999</v>
      </c>
      <c r="FW46" s="102">
        <v>7890963</v>
      </c>
      <c r="FX46" s="384">
        <f t="shared" si="16"/>
        <v>185.5</v>
      </c>
      <c r="FY46" s="102">
        <v>1315589</v>
      </c>
      <c r="FZ46" s="102">
        <v>846446</v>
      </c>
      <c r="GA46" s="102">
        <v>38371</v>
      </c>
      <c r="GB46" s="102">
        <v>430772</v>
      </c>
      <c r="GC46" s="102">
        <v>0</v>
      </c>
      <c r="GD46" s="427"/>
      <c r="GE46" s="386"/>
      <c r="GF46" s="424">
        <v>98.2</v>
      </c>
      <c r="GG46" s="424">
        <v>25</v>
      </c>
      <c r="GH46" s="424">
        <v>93.2</v>
      </c>
      <c r="GI46" s="102">
        <v>139</v>
      </c>
      <c r="GJ46" s="429" t="s">
        <v>646</v>
      </c>
      <c r="GK46" s="429">
        <v>15</v>
      </c>
      <c r="GL46" s="87">
        <v>20</v>
      </c>
      <c r="GM46" s="429" t="s">
        <v>646</v>
      </c>
      <c r="GN46" s="430">
        <v>20</v>
      </c>
      <c r="GO46" s="430">
        <v>30</v>
      </c>
      <c r="GP46" s="425">
        <v>19.899999999999999</v>
      </c>
      <c r="GQ46" s="425">
        <v>25</v>
      </c>
      <c r="GR46" s="425">
        <v>35</v>
      </c>
      <c r="GS46" s="431">
        <v>147.6</v>
      </c>
      <c r="GT46" s="425">
        <v>350</v>
      </c>
      <c r="GU46" s="394"/>
      <c r="GV46" s="100">
        <f t="shared" si="17"/>
        <v>4254</v>
      </c>
      <c r="GW46" s="394"/>
      <c r="GX46" s="394"/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</row>
    <row r="47" spans="2:230" x14ac:dyDescent="0.15">
      <c r="B47" s="89" t="s">
        <v>83</v>
      </c>
      <c r="C47" s="102">
        <v>1509217</v>
      </c>
      <c r="D47" s="73">
        <f t="shared" si="0"/>
        <v>661507</v>
      </c>
      <c r="E47" s="102">
        <v>18448</v>
      </c>
      <c r="F47" s="102">
        <v>643059</v>
      </c>
      <c r="G47" s="73">
        <f t="shared" si="1"/>
        <v>35159</v>
      </c>
      <c r="H47" s="102">
        <v>16810</v>
      </c>
      <c r="I47" s="102">
        <v>18349</v>
      </c>
      <c r="J47" s="102">
        <v>526586</v>
      </c>
      <c r="K47" s="102">
        <v>211087</v>
      </c>
      <c r="L47" s="102">
        <v>250054</v>
      </c>
      <c r="M47" s="102">
        <v>65445</v>
      </c>
      <c r="N47" s="102">
        <v>259938</v>
      </c>
      <c r="O47" s="102">
        <v>0</v>
      </c>
      <c r="P47" s="102">
        <v>0</v>
      </c>
      <c r="Q47" s="102">
        <v>0</v>
      </c>
      <c r="R47" s="102">
        <v>36358</v>
      </c>
      <c r="S47" s="74"/>
      <c r="T47" s="73">
        <f t="shared" si="2"/>
        <v>162750</v>
      </c>
      <c r="U47" s="102">
        <v>7526</v>
      </c>
      <c r="V47" s="102">
        <v>5806</v>
      </c>
      <c r="W47" s="102">
        <v>1326</v>
      </c>
      <c r="X47" s="102">
        <v>106013</v>
      </c>
      <c r="Y47" s="102">
        <v>23342</v>
      </c>
      <c r="Z47" s="102">
        <v>0</v>
      </c>
      <c r="AA47" s="102">
        <v>18737</v>
      </c>
      <c r="AB47" s="102">
        <v>11158</v>
      </c>
      <c r="AC47" s="102">
        <v>1462361</v>
      </c>
      <c r="AD47" s="102">
        <v>1231856</v>
      </c>
      <c r="AE47" s="102">
        <v>230504</v>
      </c>
      <c r="AF47" s="102">
        <v>2536</v>
      </c>
      <c r="AG47" s="102">
        <v>56170</v>
      </c>
      <c r="AH47" s="73">
        <f t="shared" si="3"/>
        <v>51199</v>
      </c>
      <c r="AI47" s="102">
        <v>33673</v>
      </c>
      <c r="AJ47" s="102">
        <v>17526</v>
      </c>
      <c r="AK47" s="102">
        <v>445902</v>
      </c>
      <c r="AL47" s="73">
        <f t="shared" si="4"/>
        <v>124876</v>
      </c>
      <c r="AM47" s="102">
        <v>0</v>
      </c>
      <c r="AN47" s="102">
        <v>54174</v>
      </c>
      <c r="AO47" s="74"/>
      <c r="AP47" s="102">
        <v>70702</v>
      </c>
      <c r="AQ47" s="102">
        <v>114080</v>
      </c>
      <c r="AR47" s="102">
        <v>752</v>
      </c>
      <c r="AS47" s="102">
        <v>0</v>
      </c>
      <c r="AT47" s="102">
        <v>351096</v>
      </c>
      <c r="AU47" s="102">
        <v>157973</v>
      </c>
      <c r="AV47" s="102">
        <v>27180</v>
      </c>
      <c r="AW47" s="102">
        <v>100</v>
      </c>
      <c r="AX47" s="102">
        <v>193123</v>
      </c>
      <c r="AY47" s="102">
        <v>6387</v>
      </c>
      <c r="AZ47" s="102">
        <v>3092</v>
      </c>
      <c r="BA47" s="102">
        <v>0</v>
      </c>
      <c r="BB47" s="102">
        <v>431</v>
      </c>
      <c r="BC47" s="102">
        <v>53931</v>
      </c>
      <c r="BD47" s="102">
        <v>0</v>
      </c>
      <c r="BE47" s="102">
        <v>0</v>
      </c>
      <c r="BF47" s="102">
        <v>35383</v>
      </c>
      <c r="BG47" s="102">
        <v>0</v>
      </c>
      <c r="BH47" s="102">
        <v>92796</v>
      </c>
      <c r="BI47" s="102">
        <v>92796</v>
      </c>
      <c r="BJ47" s="102">
        <v>45022</v>
      </c>
      <c r="BK47" s="102">
        <v>0</v>
      </c>
      <c r="BL47" s="102">
        <v>0</v>
      </c>
      <c r="BM47" s="102">
        <v>0</v>
      </c>
      <c r="BN47" s="102">
        <v>369756</v>
      </c>
      <c r="BO47" s="73">
        <f t="shared" si="5"/>
        <v>76600</v>
      </c>
      <c r="BP47" s="73">
        <f t="shared" si="6"/>
        <v>293156</v>
      </c>
      <c r="BQ47" s="102">
        <v>0</v>
      </c>
      <c r="BR47" s="102">
        <v>0</v>
      </c>
      <c r="BS47" s="102">
        <v>293156</v>
      </c>
      <c r="BT47" s="102">
        <v>0</v>
      </c>
      <c r="BU47" s="102">
        <v>4653775</v>
      </c>
      <c r="BV47" s="71"/>
      <c r="BW47" s="102">
        <v>960327</v>
      </c>
      <c r="BX47" s="102">
        <v>574025</v>
      </c>
      <c r="BY47" s="102">
        <v>133284</v>
      </c>
      <c r="BZ47" s="102">
        <v>10733</v>
      </c>
      <c r="CA47" s="102">
        <v>676576</v>
      </c>
      <c r="CB47" s="102">
        <v>174866</v>
      </c>
      <c r="CC47" s="102">
        <v>18312</v>
      </c>
      <c r="CD47" s="102">
        <v>463590</v>
      </c>
      <c r="CE47" s="102">
        <v>0</v>
      </c>
      <c r="CF47" s="102">
        <v>0</v>
      </c>
      <c r="CG47" s="102">
        <v>19808</v>
      </c>
      <c r="CH47" s="102">
        <v>489227</v>
      </c>
      <c r="CI47" s="102">
        <v>410817</v>
      </c>
      <c r="CJ47" s="83">
        <f t="shared" si="18"/>
        <v>78410</v>
      </c>
      <c r="CK47" s="102">
        <v>657347</v>
      </c>
      <c r="CL47" s="102">
        <v>332665</v>
      </c>
      <c r="CM47" s="102">
        <v>117615</v>
      </c>
      <c r="CN47" s="102">
        <v>98256</v>
      </c>
      <c r="CO47" s="102">
        <v>21361</v>
      </c>
      <c r="CP47" s="102">
        <v>485261</v>
      </c>
      <c r="CQ47" s="102">
        <v>140561</v>
      </c>
      <c r="CR47" s="102">
        <v>94088</v>
      </c>
      <c r="CS47" s="102">
        <v>55693</v>
      </c>
      <c r="CT47" s="73">
        <f t="shared" si="7"/>
        <v>659</v>
      </c>
      <c r="CU47" s="102">
        <v>659</v>
      </c>
      <c r="CV47" s="102">
        <v>0</v>
      </c>
      <c r="CW47" s="73">
        <f t="shared" si="8"/>
        <v>0</v>
      </c>
      <c r="CX47" s="102">
        <v>0</v>
      </c>
      <c r="CY47" s="102">
        <v>0</v>
      </c>
      <c r="CZ47" s="73">
        <f t="shared" si="9"/>
        <v>0</v>
      </c>
      <c r="DA47" s="102">
        <v>0</v>
      </c>
      <c r="DB47" s="102">
        <v>0</v>
      </c>
      <c r="DC47" s="102">
        <v>311429</v>
      </c>
      <c r="DD47" s="102">
        <v>198297</v>
      </c>
      <c r="DE47" s="102">
        <v>113132</v>
      </c>
      <c r="DF47" s="77">
        <v>0</v>
      </c>
      <c r="DG47" s="78">
        <v>0</v>
      </c>
      <c r="DH47" s="102">
        <v>2991</v>
      </c>
      <c r="DI47" s="102">
        <v>414584</v>
      </c>
      <c r="DJ47" s="102">
        <v>305020</v>
      </c>
      <c r="DK47" s="102">
        <v>16</v>
      </c>
      <c r="DL47" s="102">
        <v>109548</v>
      </c>
      <c r="DM47" s="102">
        <v>0</v>
      </c>
      <c r="DN47" s="102">
        <v>0</v>
      </c>
      <c r="DO47" s="102">
        <v>0</v>
      </c>
      <c r="DP47" s="102">
        <v>0</v>
      </c>
      <c r="DQ47" s="102">
        <v>0</v>
      </c>
      <c r="DR47" s="102">
        <v>0</v>
      </c>
      <c r="DS47" s="102">
        <v>0</v>
      </c>
      <c r="DT47" s="102">
        <v>518898</v>
      </c>
      <c r="DU47" s="102">
        <v>110911</v>
      </c>
      <c r="DV47" s="73">
        <f t="shared" si="10"/>
        <v>0</v>
      </c>
      <c r="DW47" s="102">
        <v>0</v>
      </c>
      <c r="DX47" s="102">
        <v>142879</v>
      </c>
      <c r="DY47" s="102">
        <v>0</v>
      </c>
      <c r="DZ47" s="102">
        <v>102147</v>
      </c>
      <c r="EA47" s="74">
        <v>0</v>
      </c>
      <c r="EB47" s="102">
        <v>156994</v>
      </c>
      <c r="EC47" s="102">
        <v>0</v>
      </c>
      <c r="ED47" s="102">
        <v>4538001</v>
      </c>
      <c r="EE47" s="71"/>
      <c r="EF47" s="102">
        <v>115774</v>
      </c>
      <c r="EG47" s="102">
        <v>3343</v>
      </c>
      <c r="EH47" s="102">
        <v>112431</v>
      </c>
      <c r="EI47" s="102">
        <v>19635</v>
      </c>
      <c r="EJ47" s="102">
        <v>324655</v>
      </c>
      <c r="EK47" s="71"/>
      <c r="EL47" s="102"/>
      <c r="EM47" s="102">
        <v>14226</v>
      </c>
      <c r="EN47" s="102">
        <v>18786</v>
      </c>
      <c r="EO47" s="102">
        <v>495</v>
      </c>
      <c r="EP47" s="73">
        <f t="shared" si="11"/>
        <v>139221</v>
      </c>
      <c r="EQ47" s="102">
        <v>3184380</v>
      </c>
      <c r="ER47" s="71">
        <v>-449122</v>
      </c>
      <c r="ES47" s="102">
        <v>910669</v>
      </c>
      <c r="ET47" s="102">
        <v>527926</v>
      </c>
      <c r="EU47" s="102">
        <v>186662</v>
      </c>
      <c r="EV47" s="102">
        <v>489227</v>
      </c>
      <c r="EW47" s="73">
        <f t="shared" si="12"/>
        <v>55178</v>
      </c>
      <c r="EX47" s="102">
        <v>54939</v>
      </c>
      <c r="EY47" s="102">
        <v>4317</v>
      </c>
      <c r="EZ47" s="102">
        <v>50622</v>
      </c>
      <c r="FA47" s="102">
        <v>239</v>
      </c>
      <c r="FB47" s="102">
        <v>0</v>
      </c>
      <c r="FC47" s="102">
        <v>558222</v>
      </c>
      <c r="FD47" s="102">
        <v>426590</v>
      </c>
      <c r="FE47" s="102">
        <v>140561</v>
      </c>
      <c r="FF47" s="102">
        <v>458786</v>
      </c>
      <c r="FG47" s="73">
        <f t="shared" si="13"/>
        <v>432394</v>
      </c>
      <c r="FH47" s="102">
        <v>3517728</v>
      </c>
      <c r="FI47" s="379">
        <f t="shared" si="14"/>
        <v>3.6</v>
      </c>
      <c r="FJ47" s="102">
        <v>2842626</v>
      </c>
      <c r="FK47" s="102">
        <v>293156</v>
      </c>
      <c r="FL47" s="102">
        <v>1253470</v>
      </c>
      <c r="FM47" s="102">
        <v>2485326</v>
      </c>
      <c r="FN47" s="428">
        <v>0.52700000000000002</v>
      </c>
      <c r="FO47" s="424">
        <v>86</v>
      </c>
      <c r="FP47" s="425">
        <v>23.7</v>
      </c>
      <c r="FQ47" s="424">
        <v>5.7</v>
      </c>
      <c r="FR47" s="424">
        <v>15</v>
      </c>
      <c r="FS47" s="425">
        <v>15.5</v>
      </c>
      <c r="FT47" s="424">
        <v>12</v>
      </c>
      <c r="FU47" s="425">
        <v>13.3</v>
      </c>
      <c r="FV47" s="384">
        <f t="shared" si="15"/>
        <v>11.5</v>
      </c>
      <c r="FW47" s="102">
        <v>4463929</v>
      </c>
      <c r="FX47" s="384">
        <f t="shared" si="16"/>
        <v>142.4</v>
      </c>
      <c r="FY47" s="102">
        <v>2154503</v>
      </c>
      <c r="FZ47" s="102">
        <v>1341614</v>
      </c>
      <c r="GA47" s="102">
        <v>7810</v>
      </c>
      <c r="GB47" s="102">
        <v>805079</v>
      </c>
      <c r="GC47" s="102">
        <v>0</v>
      </c>
      <c r="GD47" s="427">
        <v>454697</v>
      </c>
      <c r="GE47" s="386">
        <f>IF(GD47=0,"-",ROUND(GD47/(FJ47+FK47)*100,1))</f>
        <v>14.5</v>
      </c>
      <c r="GF47" s="424">
        <v>98.2</v>
      </c>
      <c r="GG47" s="424">
        <v>27.1</v>
      </c>
      <c r="GH47" s="424">
        <v>94.8</v>
      </c>
      <c r="GI47" s="102">
        <v>95</v>
      </c>
      <c r="GJ47" s="429" t="s">
        <v>646</v>
      </c>
      <c r="GK47" s="429">
        <v>15</v>
      </c>
      <c r="GL47" s="87">
        <v>20</v>
      </c>
      <c r="GM47" s="429" t="s">
        <v>646</v>
      </c>
      <c r="GN47" s="430">
        <v>20</v>
      </c>
      <c r="GO47" s="430">
        <v>30</v>
      </c>
      <c r="GP47" s="425">
        <v>11.5</v>
      </c>
      <c r="GQ47" s="425">
        <v>25</v>
      </c>
      <c r="GR47" s="425">
        <v>35</v>
      </c>
      <c r="GS47" s="431">
        <v>6.4</v>
      </c>
      <c r="GT47" s="425">
        <v>350</v>
      </c>
      <c r="GU47" s="394"/>
      <c r="GV47" s="100">
        <f t="shared" si="17"/>
        <v>3136</v>
      </c>
      <c r="GW47" s="394"/>
      <c r="GX47" s="394"/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</row>
    <row r="48" spans="2:230" x14ac:dyDescent="0.15">
      <c r="B48" s="89" t="s">
        <v>85</v>
      </c>
      <c r="C48" s="102">
        <v>1519097</v>
      </c>
      <c r="D48" s="73">
        <f t="shared" si="0"/>
        <v>776440</v>
      </c>
      <c r="E48" s="102">
        <v>21624</v>
      </c>
      <c r="F48" s="102">
        <v>754816</v>
      </c>
      <c r="G48" s="73">
        <f t="shared" si="1"/>
        <v>54926</v>
      </c>
      <c r="H48" s="102">
        <v>21185</v>
      </c>
      <c r="I48" s="102">
        <v>33741</v>
      </c>
      <c r="J48" s="102">
        <v>568558</v>
      </c>
      <c r="K48" s="102">
        <v>215794</v>
      </c>
      <c r="L48" s="102">
        <v>285699</v>
      </c>
      <c r="M48" s="102">
        <v>67065</v>
      </c>
      <c r="N48" s="102">
        <v>85715</v>
      </c>
      <c r="O48" s="102">
        <v>0</v>
      </c>
      <c r="P48" s="102">
        <v>0</v>
      </c>
      <c r="Q48" s="102">
        <v>0</v>
      </c>
      <c r="R48" s="102">
        <v>50673</v>
      </c>
      <c r="S48" s="74"/>
      <c r="T48" s="73">
        <f t="shared" si="2"/>
        <v>230069</v>
      </c>
      <c r="U48" s="102">
        <v>8934</v>
      </c>
      <c r="V48" s="102">
        <v>6925</v>
      </c>
      <c r="W48" s="102">
        <v>1599</v>
      </c>
      <c r="X48" s="102">
        <v>138980</v>
      </c>
      <c r="Y48" s="102">
        <v>47527</v>
      </c>
      <c r="Z48" s="102">
        <v>0</v>
      </c>
      <c r="AA48" s="102">
        <v>26104</v>
      </c>
      <c r="AB48" s="102">
        <v>16733</v>
      </c>
      <c r="AC48" s="102">
        <v>1957252</v>
      </c>
      <c r="AD48" s="102">
        <v>1730984</v>
      </c>
      <c r="AE48" s="102">
        <v>226266</v>
      </c>
      <c r="AF48" s="102">
        <v>2784</v>
      </c>
      <c r="AG48" s="102">
        <v>15933</v>
      </c>
      <c r="AH48" s="73">
        <f t="shared" si="3"/>
        <v>129558</v>
      </c>
      <c r="AI48" s="102">
        <v>76234</v>
      </c>
      <c r="AJ48" s="102">
        <v>53324</v>
      </c>
      <c r="AK48" s="102">
        <v>361167</v>
      </c>
      <c r="AL48" s="73">
        <f t="shared" si="4"/>
        <v>82394</v>
      </c>
      <c r="AM48" s="102">
        <v>0</v>
      </c>
      <c r="AN48" s="102">
        <v>1277</v>
      </c>
      <c r="AO48" s="74"/>
      <c r="AP48" s="102">
        <v>81117</v>
      </c>
      <c r="AQ48" s="102">
        <v>19157</v>
      </c>
      <c r="AR48" s="102">
        <v>0</v>
      </c>
      <c r="AS48" s="102">
        <v>0</v>
      </c>
      <c r="AT48" s="102">
        <v>437142</v>
      </c>
      <c r="AU48" s="102">
        <v>265654</v>
      </c>
      <c r="AV48" s="102">
        <v>638</v>
      </c>
      <c r="AW48" s="102">
        <v>116400</v>
      </c>
      <c r="AX48" s="102">
        <v>171488</v>
      </c>
      <c r="AY48" s="102">
        <v>15668</v>
      </c>
      <c r="AZ48" s="102">
        <v>7682</v>
      </c>
      <c r="BA48" s="102">
        <v>646</v>
      </c>
      <c r="BB48" s="102">
        <v>532</v>
      </c>
      <c r="BC48" s="102">
        <v>17322</v>
      </c>
      <c r="BD48" s="102">
        <v>0</v>
      </c>
      <c r="BE48" s="102">
        <v>0</v>
      </c>
      <c r="BF48" s="102">
        <v>17322</v>
      </c>
      <c r="BG48" s="102">
        <v>0</v>
      </c>
      <c r="BH48" s="102">
        <v>53093</v>
      </c>
      <c r="BI48" s="102">
        <v>46707</v>
      </c>
      <c r="BJ48" s="102">
        <v>64690</v>
      </c>
      <c r="BK48" s="102">
        <v>1000</v>
      </c>
      <c r="BL48" s="102">
        <v>0</v>
      </c>
      <c r="BM48" s="102">
        <v>0</v>
      </c>
      <c r="BN48" s="102">
        <v>373600</v>
      </c>
      <c r="BO48" s="73">
        <f t="shared" si="5"/>
        <v>68600</v>
      </c>
      <c r="BP48" s="73">
        <f t="shared" si="6"/>
        <v>305000</v>
      </c>
      <c r="BQ48" s="102">
        <v>0</v>
      </c>
      <c r="BR48" s="102">
        <v>0</v>
      </c>
      <c r="BS48" s="102">
        <v>305000</v>
      </c>
      <c r="BT48" s="102">
        <v>0</v>
      </c>
      <c r="BU48" s="102">
        <v>5237327</v>
      </c>
      <c r="BV48" s="71"/>
      <c r="BW48" s="102">
        <v>1368966</v>
      </c>
      <c r="BX48" s="102">
        <v>857203</v>
      </c>
      <c r="BY48" s="102">
        <v>106402</v>
      </c>
      <c r="BZ48" s="102">
        <v>89165</v>
      </c>
      <c r="CA48" s="102">
        <v>645185</v>
      </c>
      <c r="CB48" s="102">
        <v>192816</v>
      </c>
      <c r="CC48" s="102">
        <v>29176</v>
      </c>
      <c r="CD48" s="102">
        <v>414919</v>
      </c>
      <c r="CE48" s="102">
        <v>0</v>
      </c>
      <c r="CF48" s="102">
        <v>0</v>
      </c>
      <c r="CG48" s="102">
        <v>8274</v>
      </c>
      <c r="CH48" s="102">
        <v>641451</v>
      </c>
      <c r="CI48" s="102">
        <v>542321</v>
      </c>
      <c r="CJ48" s="83">
        <f t="shared" si="18"/>
        <v>99130</v>
      </c>
      <c r="CK48" s="102">
        <v>844769</v>
      </c>
      <c r="CL48" s="102">
        <v>497988</v>
      </c>
      <c r="CM48" s="102">
        <v>75862</v>
      </c>
      <c r="CN48" s="102">
        <v>133717</v>
      </c>
      <c r="CO48" s="102">
        <v>15350</v>
      </c>
      <c r="CP48" s="102">
        <v>403056</v>
      </c>
      <c r="CQ48" s="102">
        <v>175968</v>
      </c>
      <c r="CR48" s="102">
        <v>98951</v>
      </c>
      <c r="CS48" s="102">
        <v>90165</v>
      </c>
      <c r="CT48" s="73">
        <f t="shared" si="7"/>
        <v>21697</v>
      </c>
      <c r="CU48" s="102">
        <v>12863</v>
      </c>
      <c r="CV48" s="102">
        <v>8834</v>
      </c>
      <c r="CW48" s="73">
        <f t="shared" si="8"/>
        <v>0</v>
      </c>
      <c r="CX48" s="102">
        <v>0</v>
      </c>
      <c r="CY48" s="102">
        <v>0</v>
      </c>
      <c r="CZ48" s="73">
        <f t="shared" si="9"/>
        <v>0</v>
      </c>
      <c r="DA48" s="102">
        <v>0</v>
      </c>
      <c r="DB48" s="102">
        <v>0</v>
      </c>
      <c r="DC48" s="102">
        <v>487120</v>
      </c>
      <c r="DD48" s="102">
        <v>160025</v>
      </c>
      <c r="DE48" s="102">
        <v>327095</v>
      </c>
      <c r="DF48" s="77">
        <v>0</v>
      </c>
      <c r="DG48" s="78">
        <v>0</v>
      </c>
      <c r="DH48" s="102">
        <v>4719</v>
      </c>
      <c r="DI48" s="102">
        <v>5358</v>
      </c>
      <c r="DJ48" s="102">
        <v>2435</v>
      </c>
      <c r="DK48" s="102">
        <v>557</v>
      </c>
      <c r="DL48" s="102">
        <v>2366</v>
      </c>
      <c r="DM48" s="102">
        <v>0</v>
      </c>
      <c r="DN48" s="102">
        <v>0</v>
      </c>
      <c r="DO48" s="102">
        <v>0</v>
      </c>
      <c r="DP48" s="102">
        <v>0</v>
      </c>
      <c r="DQ48" s="102">
        <v>0</v>
      </c>
      <c r="DR48" s="102">
        <v>0</v>
      </c>
      <c r="DS48" s="102">
        <v>0</v>
      </c>
      <c r="DT48" s="102">
        <v>679689</v>
      </c>
      <c r="DU48" s="102">
        <v>163541</v>
      </c>
      <c r="DV48" s="73">
        <f t="shared" si="10"/>
        <v>0</v>
      </c>
      <c r="DW48" s="102">
        <v>0</v>
      </c>
      <c r="DX48" s="102">
        <v>190499</v>
      </c>
      <c r="DY48" s="102">
        <v>0</v>
      </c>
      <c r="DZ48" s="102">
        <v>135281</v>
      </c>
      <c r="EA48" s="74">
        <v>0</v>
      </c>
      <c r="EB48" s="102">
        <v>183428</v>
      </c>
      <c r="EC48" s="102">
        <v>0</v>
      </c>
      <c r="ED48" s="102">
        <v>5095663</v>
      </c>
      <c r="EE48" s="71"/>
      <c r="EF48" s="102">
        <v>141664</v>
      </c>
      <c r="EG48" s="102">
        <v>59816</v>
      </c>
      <c r="EH48" s="102">
        <v>81848</v>
      </c>
      <c r="EI48" s="102">
        <v>-12859</v>
      </c>
      <c r="EJ48" s="102">
        <v>-10424</v>
      </c>
      <c r="EK48" s="71"/>
      <c r="EL48" s="102"/>
      <c r="EM48" s="102">
        <v>16260</v>
      </c>
      <c r="EN48" s="102">
        <v>0</v>
      </c>
      <c r="EO48" s="102">
        <v>0</v>
      </c>
      <c r="EP48" s="73">
        <f t="shared" si="11"/>
        <v>135698</v>
      </c>
      <c r="EQ48" s="102">
        <v>3776608</v>
      </c>
      <c r="ER48" s="71">
        <v>-437914</v>
      </c>
      <c r="ES48" s="102">
        <v>1295348</v>
      </c>
      <c r="ET48" s="102">
        <v>817655</v>
      </c>
      <c r="EU48" s="102">
        <v>241686</v>
      </c>
      <c r="EV48" s="102">
        <v>641451</v>
      </c>
      <c r="EW48" s="73">
        <f t="shared" si="12"/>
        <v>249427</v>
      </c>
      <c r="EX48" s="102">
        <v>245632</v>
      </c>
      <c r="EY48" s="102">
        <v>615</v>
      </c>
      <c r="EZ48" s="102">
        <v>245017</v>
      </c>
      <c r="FA48" s="102">
        <v>3795</v>
      </c>
      <c r="FB48" s="102">
        <v>0</v>
      </c>
      <c r="FC48" s="102">
        <v>680608</v>
      </c>
      <c r="FD48" s="102">
        <v>349640</v>
      </c>
      <c r="FE48" s="102">
        <v>175968</v>
      </c>
      <c r="FF48" s="102">
        <v>598991</v>
      </c>
      <c r="FG48" s="73">
        <f t="shared" si="13"/>
        <v>15707</v>
      </c>
      <c r="FH48" s="102">
        <v>4072858</v>
      </c>
      <c r="FI48" s="379">
        <f t="shared" si="14"/>
        <v>2.1</v>
      </c>
      <c r="FJ48" s="102">
        <v>3530334</v>
      </c>
      <c r="FK48" s="102">
        <v>315458</v>
      </c>
      <c r="FL48" s="102">
        <v>1399248</v>
      </c>
      <c r="FM48" s="102">
        <v>3130182</v>
      </c>
      <c r="FN48" s="428">
        <v>0.47</v>
      </c>
      <c r="FO48" s="424">
        <v>92</v>
      </c>
      <c r="FP48" s="425">
        <v>32.6</v>
      </c>
      <c r="FQ48" s="424">
        <v>6.2</v>
      </c>
      <c r="FR48" s="424">
        <v>16.600000000000001</v>
      </c>
      <c r="FS48" s="425">
        <v>15.5</v>
      </c>
      <c r="FT48" s="424">
        <v>7.4</v>
      </c>
      <c r="FU48" s="425">
        <v>13.3</v>
      </c>
      <c r="FV48" s="384">
        <f t="shared" si="15"/>
        <v>10.7</v>
      </c>
      <c r="FW48" s="102">
        <v>6176286</v>
      </c>
      <c r="FX48" s="384">
        <f t="shared" si="16"/>
        <v>160.6</v>
      </c>
      <c r="FY48" s="102">
        <v>2835597</v>
      </c>
      <c r="FZ48" s="102">
        <v>1465205</v>
      </c>
      <c r="GA48" s="102">
        <v>181562</v>
      </c>
      <c r="GB48" s="102">
        <v>1188830</v>
      </c>
      <c r="GC48" s="102">
        <v>0</v>
      </c>
      <c r="GD48" s="427">
        <v>50419</v>
      </c>
      <c r="GE48" s="386">
        <f>IF(GD48=0,"-",ROUND(GD48/(FJ48+FK48)*100,1))</f>
        <v>1.3</v>
      </c>
      <c r="GF48" s="424">
        <v>96.4</v>
      </c>
      <c r="GG48" s="424">
        <v>15.4</v>
      </c>
      <c r="GH48" s="424">
        <v>84.2</v>
      </c>
      <c r="GI48" s="102">
        <v>143</v>
      </c>
      <c r="GJ48" s="429" t="s">
        <v>646</v>
      </c>
      <c r="GK48" s="429">
        <v>15</v>
      </c>
      <c r="GL48" s="87">
        <v>20</v>
      </c>
      <c r="GM48" s="429" t="s">
        <v>646</v>
      </c>
      <c r="GN48" s="430">
        <v>20</v>
      </c>
      <c r="GO48" s="430">
        <v>30</v>
      </c>
      <c r="GP48" s="425">
        <v>10.7</v>
      </c>
      <c r="GQ48" s="425">
        <v>25</v>
      </c>
      <c r="GR48" s="425">
        <v>35</v>
      </c>
      <c r="GS48" s="431">
        <v>27.4</v>
      </c>
      <c r="GT48" s="425">
        <v>350</v>
      </c>
      <c r="GU48" s="394"/>
      <c r="GV48" s="100">
        <f t="shared" si="17"/>
        <v>3846</v>
      </c>
      <c r="GW48" s="394"/>
      <c r="GX48" s="394"/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</row>
    <row r="49" spans="2:230" x14ac:dyDescent="0.15">
      <c r="B49" s="89" t="s">
        <v>87</v>
      </c>
      <c r="C49" s="102">
        <v>563641</v>
      </c>
      <c r="D49" s="73">
        <f t="shared" si="0"/>
        <v>250467</v>
      </c>
      <c r="E49" s="102">
        <v>8260</v>
      </c>
      <c r="F49" s="102">
        <v>242207</v>
      </c>
      <c r="G49" s="73">
        <f t="shared" si="1"/>
        <v>31542</v>
      </c>
      <c r="H49" s="102">
        <v>13890</v>
      </c>
      <c r="I49" s="102">
        <v>17652</v>
      </c>
      <c r="J49" s="102">
        <v>263278</v>
      </c>
      <c r="K49" s="102">
        <v>84423</v>
      </c>
      <c r="L49" s="102">
        <v>127598</v>
      </c>
      <c r="M49" s="102">
        <v>51257</v>
      </c>
      <c r="N49" s="102">
        <v>4153</v>
      </c>
      <c r="O49" s="102">
        <v>0</v>
      </c>
      <c r="P49" s="102">
        <v>0</v>
      </c>
      <c r="Q49" s="102">
        <v>0</v>
      </c>
      <c r="R49" s="102">
        <v>20872</v>
      </c>
      <c r="S49" s="74"/>
      <c r="T49" s="73">
        <f t="shared" si="2"/>
        <v>94780</v>
      </c>
      <c r="U49" s="102">
        <v>3026</v>
      </c>
      <c r="V49" s="102">
        <v>2332</v>
      </c>
      <c r="W49" s="102">
        <v>532</v>
      </c>
      <c r="X49" s="102">
        <v>53210</v>
      </c>
      <c r="Y49" s="102">
        <v>24929</v>
      </c>
      <c r="Z49" s="102">
        <v>0</v>
      </c>
      <c r="AA49" s="102">
        <v>10751</v>
      </c>
      <c r="AB49" s="102">
        <v>2613</v>
      </c>
      <c r="AC49" s="102">
        <v>1283520</v>
      </c>
      <c r="AD49" s="102">
        <v>1060312</v>
      </c>
      <c r="AE49" s="102">
        <v>223207</v>
      </c>
      <c r="AF49" s="102">
        <v>1065</v>
      </c>
      <c r="AG49" s="102">
        <v>28165</v>
      </c>
      <c r="AH49" s="73">
        <f t="shared" si="3"/>
        <v>26454</v>
      </c>
      <c r="AI49" s="102">
        <v>16410</v>
      </c>
      <c r="AJ49" s="102">
        <v>10044</v>
      </c>
      <c r="AK49" s="102">
        <v>131973</v>
      </c>
      <c r="AL49" s="73">
        <f t="shared" si="4"/>
        <v>51039</v>
      </c>
      <c r="AM49" s="102">
        <v>0</v>
      </c>
      <c r="AN49" s="102">
        <v>26588</v>
      </c>
      <c r="AO49" s="74"/>
      <c r="AP49" s="102">
        <v>24451</v>
      </c>
      <c r="AQ49" s="102">
        <v>15014</v>
      </c>
      <c r="AR49" s="102">
        <v>0</v>
      </c>
      <c r="AS49" s="102">
        <v>0</v>
      </c>
      <c r="AT49" s="102">
        <v>251037</v>
      </c>
      <c r="AU49" s="102">
        <v>91773</v>
      </c>
      <c r="AV49" s="102">
        <v>13294</v>
      </c>
      <c r="AW49" s="102">
        <v>1113</v>
      </c>
      <c r="AX49" s="102">
        <v>159264</v>
      </c>
      <c r="AY49" s="102">
        <v>54432</v>
      </c>
      <c r="AZ49" s="102">
        <v>1392</v>
      </c>
      <c r="BA49" s="102">
        <v>0</v>
      </c>
      <c r="BB49" s="102">
        <v>1695</v>
      </c>
      <c r="BC49" s="102">
        <v>0</v>
      </c>
      <c r="BD49" s="102">
        <v>0</v>
      </c>
      <c r="BE49" s="102">
        <v>0</v>
      </c>
      <c r="BF49" s="102">
        <v>0</v>
      </c>
      <c r="BG49" s="102">
        <v>0</v>
      </c>
      <c r="BH49" s="102">
        <v>113399</v>
      </c>
      <c r="BI49" s="102">
        <v>95877</v>
      </c>
      <c r="BJ49" s="102">
        <v>64803</v>
      </c>
      <c r="BK49" s="102">
        <v>0</v>
      </c>
      <c r="BL49" s="102">
        <v>0</v>
      </c>
      <c r="BM49" s="102">
        <v>0</v>
      </c>
      <c r="BN49" s="102">
        <v>463397</v>
      </c>
      <c r="BO49" s="73">
        <f t="shared" si="5"/>
        <v>204600</v>
      </c>
      <c r="BP49" s="73">
        <f t="shared" si="6"/>
        <v>137797</v>
      </c>
      <c r="BQ49" s="102">
        <v>0</v>
      </c>
      <c r="BR49" s="102">
        <v>0</v>
      </c>
      <c r="BS49" s="102">
        <v>137797</v>
      </c>
      <c r="BT49" s="102">
        <v>121000</v>
      </c>
      <c r="BU49" s="102">
        <v>3048806</v>
      </c>
      <c r="BV49" s="71"/>
      <c r="BW49" s="102">
        <v>769731</v>
      </c>
      <c r="BX49" s="102">
        <v>383507</v>
      </c>
      <c r="BY49" s="102">
        <v>208427</v>
      </c>
      <c r="BZ49" s="102">
        <v>15062</v>
      </c>
      <c r="CA49" s="102">
        <v>248928</v>
      </c>
      <c r="CB49" s="102">
        <v>71914</v>
      </c>
      <c r="CC49" s="102">
        <v>12972</v>
      </c>
      <c r="CD49" s="102">
        <v>157846</v>
      </c>
      <c r="CE49" s="102">
        <v>0</v>
      </c>
      <c r="CF49" s="102">
        <v>3142</v>
      </c>
      <c r="CG49" s="102">
        <v>3049</v>
      </c>
      <c r="CH49" s="102">
        <v>367634</v>
      </c>
      <c r="CI49" s="102">
        <v>319618</v>
      </c>
      <c r="CJ49" s="83">
        <f t="shared" si="18"/>
        <v>48016</v>
      </c>
      <c r="CK49" s="102">
        <v>477644</v>
      </c>
      <c r="CL49" s="102">
        <v>352731</v>
      </c>
      <c r="CM49" s="102">
        <v>20285</v>
      </c>
      <c r="CN49" s="102">
        <v>55529</v>
      </c>
      <c r="CO49" s="102">
        <v>5263</v>
      </c>
      <c r="CP49" s="102">
        <v>207120</v>
      </c>
      <c r="CQ49" s="102">
        <v>91046</v>
      </c>
      <c r="CR49" s="102">
        <v>4803</v>
      </c>
      <c r="CS49" s="102">
        <v>4803</v>
      </c>
      <c r="CT49" s="73">
        <f t="shared" si="7"/>
        <v>9845</v>
      </c>
      <c r="CU49" s="102">
        <v>1231</v>
      </c>
      <c r="CV49" s="102">
        <v>8614</v>
      </c>
      <c r="CW49" s="73">
        <f t="shared" si="8"/>
        <v>0</v>
      </c>
      <c r="CX49" s="102">
        <v>0</v>
      </c>
      <c r="CY49" s="102">
        <v>0</v>
      </c>
      <c r="CZ49" s="73">
        <f t="shared" si="9"/>
        <v>0</v>
      </c>
      <c r="DA49" s="102">
        <v>0</v>
      </c>
      <c r="DB49" s="102">
        <v>0</v>
      </c>
      <c r="DC49" s="102">
        <v>358224</v>
      </c>
      <c r="DD49" s="102">
        <v>148063</v>
      </c>
      <c r="DE49" s="102">
        <v>210161</v>
      </c>
      <c r="DF49" s="77">
        <v>0</v>
      </c>
      <c r="DG49" s="78">
        <v>0</v>
      </c>
      <c r="DH49" s="102">
        <v>0</v>
      </c>
      <c r="DI49" s="102">
        <v>165946</v>
      </c>
      <c r="DJ49" s="102">
        <v>165772</v>
      </c>
      <c r="DK49" s="102">
        <v>97</v>
      </c>
      <c r="DL49" s="102">
        <v>77</v>
      </c>
      <c r="DM49" s="102">
        <v>0</v>
      </c>
      <c r="DN49" s="102">
        <v>0</v>
      </c>
      <c r="DO49" s="102">
        <v>0</v>
      </c>
      <c r="DP49" s="102">
        <v>0</v>
      </c>
      <c r="DQ49" s="102">
        <v>0</v>
      </c>
      <c r="DR49" s="102">
        <v>0</v>
      </c>
      <c r="DS49" s="102">
        <v>0</v>
      </c>
      <c r="DT49" s="102">
        <v>353579</v>
      </c>
      <c r="DU49" s="102">
        <v>104305</v>
      </c>
      <c r="DV49" s="73">
        <f t="shared" si="10"/>
        <v>0</v>
      </c>
      <c r="DW49" s="102">
        <v>0</v>
      </c>
      <c r="DX49" s="102">
        <v>94176</v>
      </c>
      <c r="DY49" s="102">
        <v>0</v>
      </c>
      <c r="DZ49" s="102">
        <v>56843</v>
      </c>
      <c r="EA49" s="74">
        <v>0</v>
      </c>
      <c r="EB49" s="102">
        <v>90649</v>
      </c>
      <c r="EC49" s="102">
        <v>0</v>
      </c>
      <c r="ED49" s="102">
        <v>2954069</v>
      </c>
      <c r="EE49" s="71"/>
      <c r="EF49" s="102">
        <v>94737</v>
      </c>
      <c r="EG49" s="102">
        <v>2082</v>
      </c>
      <c r="EH49" s="102">
        <v>92655</v>
      </c>
      <c r="EI49" s="102">
        <v>-3222</v>
      </c>
      <c r="EJ49" s="102">
        <v>162550</v>
      </c>
      <c r="EK49" s="71"/>
      <c r="EL49" s="102"/>
      <c r="EM49" s="102">
        <v>5951</v>
      </c>
      <c r="EN49" s="102">
        <v>0</v>
      </c>
      <c r="EO49" s="102">
        <v>446</v>
      </c>
      <c r="EP49" s="73">
        <f t="shared" si="11"/>
        <v>108338</v>
      </c>
      <c r="EQ49" s="102">
        <v>1966491</v>
      </c>
      <c r="ER49" s="71">
        <v>-245516</v>
      </c>
      <c r="ES49" s="102">
        <v>615228</v>
      </c>
      <c r="ET49" s="102">
        <v>353060</v>
      </c>
      <c r="EU49" s="102">
        <v>62980</v>
      </c>
      <c r="EV49" s="102">
        <v>367634</v>
      </c>
      <c r="EW49" s="73">
        <f t="shared" si="12"/>
        <v>47478</v>
      </c>
      <c r="EX49" s="102">
        <v>47478</v>
      </c>
      <c r="EY49" s="102">
        <v>726</v>
      </c>
      <c r="EZ49" s="102">
        <v>46752</v>
      </c>
      <c r="FA49" s="102">
        <v>0</v>
      </c>
      <c r="FB49" s="102">
        <v>0</v>
      </c>
      <c r="FC49" s="102">
        <v>360655</v>
      </c>
      <c r="FD49" s="102">
        <v>174461</v>
      </c>
      <c r="FE49" s="102">
        <v>91046</v>
      </c>
      <c r="FF49" s="102">
        <v>318571</v>
      </c>
      <c r="FG49" s="73">
        <f t="shared" si="13"/>
        <v>170263</v>
      </c>
      <c r="FH49" s="102">
        <v>2117270</v>
      </c>
      <c r="FI49" s="379">
        <f t="shared" si="14"/>
        <v>4.9000000000000004</v>
      </c>
      <c r="FJ49" s="102">
        <v>1742484</v>
      </c>
      <c r="FK49" s="102">
        <v>137797</v>
      </c>
      <c r="FL49" s="102">
        <v>535133</v>
      </c>
      <c r="FM49" s="102">
        <v>1595445</v>
      </c>
      <c r="FN49" s="428">
        <v>0.34699999999999998</v>
      </c>
      <c r="FO49" s="424">
        <v>92.7</v>
      </c>
      <c r="FP49" s="425">
        <v>30.8</v>
      </c>
      <c r="FQ49" s="424">
        <v>3.3</v>
      </c>
      <c r="FR49" s="424">
        <v>19.5</v>
      </c>
      <c r="FS49" s="425">
        <v>18.100000000000001</v>
      </c>
      <c r="FT49" s="424">
        <v>8.3000000000000007</v>
      </c>
      <c r="FU49" s="425">
        <v>12.4</v>
      </c>
      <c r="FV49" s="384">
        <f t="shared" si="15"/>
        <v>17.5</v>
      </c>
      <c r="FW49" s="102">
        <v>3071367</v>
      </c>
      <c r="FX49" s="384">
        <f t="shared" si="16"/>
        <v>163.30000000000001</v>
      </c>
      <c r="FY49" s="102">
        <v>985936</v>
      </c>
      <c r="FZ49" s="102">
        <v>835047</v>
      </c>
      <c r="GA49" s="102">
        <v>84185</v>
      </c>
      <c r="GB49" s="102">
        <v>66704</v>
      </c>
      <c r="GC49" s="102">
        <v>0</v>
      </c>
      <c r="GD49" s="427"/>
      <c r="GE49" s="386"/>
      <c r="GF49" s="424">
        <v>99.4</v>
      </c>
      <c r="GG49" s="424">
        <v>40.1</v>
      </c>
      <c r="GH49" s="424">
        <v>95.7</v>
      </c>
      <c r="GI49" s="102">
        <v>63</v>
      </c>
      <c r="GJ49" s="429" t="s">
        <v>646</v>
      </c>
      <c r="GK49" s="429">
        <v>15</v>
      </c>
      <c r="GL49" s="87">
        <v>20</v>
      </c>
      <c r="GM49" s="429" t="s">
        <v>646</v>
      </c>
      <c r="GN49" s="429">
        <v>20</v>
      </c>
      <c r="GO49" s="429">
        <v>30</v>
      </c>
      <c r="GP49" s="425">
        <v>17.5</v>
      </c>
      <c r="GQ49" s="425">
        <v>25</v>
      </c>
      <c r="GR49" s="425">
        <v>35</v>
      </c>
      <c r="GS49" s="431">
        <v>59.1</v>
      </c>
      <c r="GT49" s="425">
        <v>350</v>
      </c>
      <c r="GU49" s="394"/>
      <c r="GV49" s="100">
        <f t="shared" si="17"/>
        <v>1880</v>
      </c>
      <c r="GW49" s="394"/>
      <c r="GX49" s="394"/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</row>
    <row r="50" spans="2:230" x14ac:dyDescent="0.15">
      <c r="B50" s="21" t="s">
        <v>89</v>
      </c>
      <c r="C50" s="102">
        <v>24432492</v>
      </c>
      <c r="D50" s="73">
        <f t="shared" si="0"/>
        <v>9273534</v>
      </c>
      <c r="E50" s="102">
        <v>254113</v>
      </c>
      <c r="F50" s="102">
        <v>9019421</v>
      </c>
      <c r="G50" s="73">
        <f t="shared" si="1"/>
        <v>1355730</v>
      </c>
      <c r="H50" s="102">
        <v>316549</v>
      </c>
      <c r="I50" s="102">
        <v>1039181</v>
      </c>
      <c r="J50" s="102">
        <v>11317312</v>
      </c>
      <c r="K50" s="102">
        <v>4559678</v>
      </c>
      <c r="L50" s="102">
        <v>4341876</v>
      </c>
      <c r="M50" s="102">
        <v>2320582</v>
      </c>
      <c r="N50" s="102">
        <v>1613704</v>
      </c>
      <c r="O50" s="102">
        <v>569438</v>
      </c>
      <c r="P50" s="102">
        <v>321506</v>
      </c>
      <c r="Q50" s="102">
        <v>247932</v>
      </c>
      <c r="R50" s="102">
        <v>511109</v>
      </c>
      <c r="S50" s="74"/>
      <c r="T50" s="73">
        <f t="shared" si="2"/>
        <v>2214569</v>
      </c>
      <c r="U50" s="102">
        <v>104939</v>
      </c>
      <c r="V50" s="102">
        <v>81179</v>
      </c>
      <c r="W50" s="102">
        <v>18667</v>
      </c>
      <c r="X50" s="102">
        <v>1512641</v>
      </c>
      <c r="Y50" s="102">
        <v>246491</v>
      </c>
      <c r="Z50" s="102">
        <v>0</v>
      </c>
      <c r="AA50" s="102">
        <v>250652</v>
      </c>
      <c r="AB50" s="102">
        <v>149355</v>
      </c>
      <c r="AC50" s="102">
        <v>15968225</v>
      </c>
      <c r="AD50" s="102">
        <v>13605689</v>
      </c>
      <c r="AE50" s="102">
        <v>2362519</v>
      </c>
      <c r="AF50" s="102">
        <v>32029</v>
      </c>
      <c r="AG50" s="102">
        <v>298045</v>
      </c>
      <c r="AH50" s="73">
        <f t="shared" si="3"/>
        <v>1505759</v>
      </c>
      <c r="AI50" s="102">
        <v>1159485</v>
      </c>
      <c r="AJ50" s="102">
        <v>346274</v>
      </c>
      <c r="AK50" s="102">
        <v>4577106</v>
      </c>
      <c r="AL50" s="73">
        <f t="shared" si="4"/>
        <v>1407691</v>
      </c>
      <c r="AM50" s="102">
        <v>166070</v>
      </c>
      <c r="AN50" s="102">
        <v>247006</v>
      </c>
      <c r="AO50" s="74"/>
      <c r="AP50" s="102">
        <v>994615</v>
      </c>
      <c r="AQ50" s="102">
        <v>375003</v>
      </c>
      <c r="AR50" s="102">
        <v>14192</v>
      </c>
      <c r="AS50" s="102">
        <v>0</v>
      </c>
      <c r="AT50" s="102">
        <v>4363813</v>
      </c>
      <c r="AU50" s="102">
        <v>2026062</v>
      </c>
      <c r="AV50" s="102">
        <v>127622</v>
      </c>
      <c r="AW50" s="102">
        <v>149842</v>
      </c>
      <c r="AX50" s="102">
        <v>2337751</v>
      </c>
      <c r="AY50" s="102">
        <v>376943</v>
      </c>
      <c r="AZ50" s="102">
        <v>96748</v>
      </c>
      <c r="BA50" s="102">
        <v>16151</v>
      </c>
      <c r="BB50" s="102">
        <v>22090</v>
      </c>
      <c r="BC50" s="102">
        <v>821999</v>
      </c>
      <c r="BD50" s="102">
        <v>375473</v>
      </c>
      <c r="BE50" s="102">
        <v>50000</v>
      </c>
      <c r="BF50" s="102">
        <v>219673</v>
      </c>
      <c r="BG50" s="102">
        <v>0</v>
      </c>
      <c r="BH50" s="102">
        <v>2168307</v>
      </c>
      <c r="BI50" s="102">
        <v>1563292</v>
      </c>
      <c r="BJ50" s="102">
        <v>1122454</v>
      </c>
      <c r="BK50" s="102">
        <v>62833</v>
      </c>
      <c r="BL50" s="102">
        <v>0</v>
      </c>
      <c r="BM50" s="102">
        <v>0</v>
      </c>
      <c r="BN50" s="102">
        <v>6342514</v>
      </c>
      <c r="BO50" s="73">
        <f t="shared" si="5"/>
        <v>2617800</v>
      </c>
      <c r="BP50" s="73">
        <f t="shared" si="6"/>
        <v>3453514</v>
      </c>
      <c r="BQ50" s="102">
        <v>0</v>
      </c>
      <c r="BR50" s="102">
        <v>0</v>
      </c>
      <c r="BS50" s="102">
        <v>3453514</v>
      </c>
      <c r="BT50" s="102">
        <v>271200</v>
      </c>
      <c r="BU50" s="102">
        <v>64626614</v>
      </c>
      <c r="BV50" s="71"/>
      <c r="BW50" s="102">
        <v>15139251</v>
      </c>
      <c r="BX50" s="102">
        <v>9290101</v>
      </c>
      <c r="BY50" s="102">
        <v>1730168</v>
      </c>
      <c r="BZ50" s="102">
        <v>934854</v>
      </c>
      <c r="CA50" s="102">
        <v>8330785</v>
      </c>
      <c r="CB50" s="102">
        <v>2569994</v>
      </c>
      <c r="CC50" s="102">
        <v>317199</v>
      </c>
      <c r="CD50" s="102">
        <v>5045136</v>
      </c>
      <c r="CE50" s="102">
        <v>215635</v>
      </c>
      <c r="CF50" s="102">
        <v>11247</v>
      </c>
      <c r="CG50" s="102">
        <v>171569</v>
      </c>
      <c r="CH50" s="102">
        <v>7337353</v>
      </c>
      <c r="CI50" s="102">
        <v>6342772</v>
      </c>
      <c r="CJ50" s="83">
        <f t="shared" si="18"/>
        <v>994581</v>
      </c>
      <c r="CK50" s="102">
        <v>9884239</v>
      </c>
      <c r="CL50" s="102">
        <v>5508825</v>
      </c>
      <c r="CM50" s="102">
        <v>1012640</v>
      </c>
      <c r="CN50" s="102">
        <v>1883166</v>
      </c>
      <c r="CO50" s="102">
        <v>595936</v>
      </c>
      <c r="CP50" s="102">
        <v>6619990</v>
      </c>
      <c r="CQ50" s="102">
        <v>1407328</v>
      </c>
      <c r="CR50" s="102">
        <v>1122663</v>
      </c>
      <c r="CS50" s="102">
        <v>854948</v>
      </c>
      <c r="CT50" s="73">
        <f t="shared" si="7"/>
        <v>387297</v>
      </c>
      <c r="CU50" s="102">
        <v>113696</v>
      </c>
      <c r="CV50" s="102">
        <v>273601</v>
      </c>
      <c r="CW50" s="73">
        <f t="shared" si="8"/>
        <v>28980</v>
      </c>
      <c r="CX50" s="102">
        <v>28980</v>
      </c>
      <c r="CY50" s="102">
        <v>0</v>
      </c>
      <c r="CZ50" s="73">
        <f t="shared" si="9"/>
        <v>0</v>
      </c>
      <c r="DA50" s="102">
        <v>0</v>
      </c>
      <c r="DB50" s="102">
        <v>0</v>
      </c>
      <c r="DC50" s="102">
        <v>3789264</v>
      </c>
      <c r="DD50" s="102">
        <v>1202646</v>
      </c>
      <c r="DE50" s="102">
        <v>2340332</v>
      </c>
      <c r="DF50" s="77">
        <v>2446</v>
      </c>
      <c r="DG50" s="78">
        <v>243553</v>
      </c>
      <c r="DH50" s="102">
        <v>160861</v>
      </c>
      <c r="DI50" s="102">
        <v>2342261</v>
      </c>
      <c r="DJ50" s="102">
        <v>1807112</v>
      </c>
      <c r="DK50" s="102">
        <v>102496</v>
      </c>
      <c r="DL50" s="102">
        <v>432653</v>
      </c>
      <c r="DM50" s="102">
        <v>0</v>
      </c>
      <c r="DN50" s="102">
        <v>0</v>
      </c>
      <c r="DO50" s="102">
        <v>0</v>
      </c>
      <c r="DP50" s="102">
        <v>0</v>
      </c>
      <c r="DQ50" s="102">
        <v>55976</v>
      </c>
      <c r="DR50" s="102">
        <v>0</v>
      </c>
      <c r="DS50" s="102">
        <v>0</v>
      </c>
      <c r="DT50" s="102">
        <v>8285217</v>
      </c>
      <c r="DU50" s="102">
        <v>2619569</v>
      </c>
      <c r="DV50" s="73">
        <f t="shared" si="10"/>
        <v>0</v>
      </c>
      <c r="DW50" s="102">
        <v>0</v>
      </c>
      <c r="DX50" s="102">
        <v>2203916</v>
      </c>
      <c r="DY50" s="102">
        <v>0</v>
      </c>
      <c r="DZ50" s="102">
        <v>1342878</v>
      </c>
      <c r="EA50" s="74">
        <v>0</v>
      </c>
      <c r="EB50" s="102">
        <v>2038085</v>
      </c>
      <c r="EC50" s="102">
        <v>0</v>
      </c>
      <c r="ED50" s="102">
        <v>62541133</v>
      </c>
      <c r="EE50" s="71"/>
      <c r="EF50" s="102">
        <v>2085481</v>
      </c>
      <c r="EG50" s="102">
        <v>482971</v>
      </c>
      <c r="EH50" s="102">
        <v>1602510</v>
      </c>
      <c r="EI50" s="102">
        <v>-8782</v>
      </c>
      <c r="EJ50" s="102">
        <v>1422857</v>
      </c>
      <c r="EK50" s="71"/>
      <c r="EL50" s="102"/>
      <c r="EM50" s="102">
        <v>189331</v>
      </c>
      <c r="EN50" s="102">
        <v>563327</v>
      </c>
      <c r="EO50" s="102">
        <v>46698</v>
      </c>
      <c r="EP50" s="73">
        <f t="shared" si="11"/>
        <v>2516505</v>
      </c>
      <c r="EQ50" s="102">
        <v>43307779</v>
      </c>
      <c r="ER50" s="71">
        <v>-6548015</v>
      </c>
      <c r="ES50" s="102">
        <v>13561669</v>
      </c>
      <c r="ET50" s="102">
        <v>8319155</v>
      </c>
      <c r="EU50" s="102">
        <v>2926248</v>
      </c>
      <c r="EV50" s="102">
        <v>7224892</v>
      </c>
      <c r="EW50" s="73">
        <f t="shared" si="12"/>
        <v>1477309</v>
      </c>
      <c r="EX50" s="102">
        <v>1397083</v>
      </c>
      <c r="EY50" s="102">
        <v>66106</v>
      </c>
      <c r="EZ50" s="102">
        <v>1330194</v>
      </c>
      <c r="FA50" s="102">
        <v>80226</v>
      </c>
      <c r="FB50" s="102">
        <v>0</v>
      </c>
      <c r="FC50" s="102">
        <v>7800339</v>
      </c>
      <c r="FD50" s="102">
        <v>4586676</v>
      </c>
      <c r="FE50" s="102">
        <v>1387153</v>
      </c>
      <c r="FF50" s="102">
        <v>7420320</v>
      </c>
      <c r="FG50" s="73">
        <f t="shared" si="13"/>
        <v>2772860</v>
      </c>
      <c r="FH50" s="102">
        <v>47770313</v>
      </c>
      <c r="FI50" s="379">
        <f t="shared" si="14"/>
        <v>3.7</v>
      </c>
      <c r="FJ50" s="102">
        <v>39225572</v>
      </c>
      <c r="FK50" s="102">
        <v>3517809</v>
      </c>
      <c r="FL50" s="102">
        <v>19809130</v>
      </c>
      <c r="FM50" s="102">
        <v>32837717</v>
      </c>
      <c r="FN50" s="428">
        <v>0.61699999999999999</v>
      </c>
      <c r="FO50" s="424">
        <v>91.7</v>
      </c>
      <c r="FP50" s="425">
        <v>29.2</v>
      </c>
      <c r="FQ50" s="424">
        <v>6.6</v>
      </c>
      <c r="FR50" s="424">
        <v>16.399999999999999</v>
      </c>
      <c r="FS50" s="425">
        <v>16.2</v>
      </c>
      <c r="FT50" s="424">
        <v>7.5</v>
      </c>
      <c r="FU50" s="425">
        <v>14.6</v>
      </c>
      <c r="FV50" s="384">
        <f t="shared" si="15"/>
        <v>12.2</v>
      </c>
      <c r="FW50" s="102">
        <v>62577088</v>
      </c>
      <c r="FX50" s="384">
        <f t="shared" si="16"/>
        <v>146.4</v>
      </c>
      <c r="FY50" s="102">
        <v>27411804</v>
      </c>
      <c r="FZ50" s="102">
        <v>16685736</v>
      </c>
      <c r="GA50" s="102">
        <v>2371325</v>
      </c>
      <c r="GB50" s="102">
        <v>8354743</v>
      </c>
      <c r="GC50" s="102">
        <v>928729</v>
      </c>
      <c r="GD50" s="454">
        <v>1283577</v>
      </c>
      <c r="GE50" s="452">
        <f>IF(GD50=0,"-",ROUND(GD50/1000/GW50*100,1))</f>
        <v>8.6</v>
      </c>
      <c r="GF50" s="424">
        <v>98.8</v>
      </c>
      <c r="GG50" s="424">
        <v>21.3</v>
      </c>
      <c r="GH50" s="424">
        <v>94.2</v>
      </c>
      <c r="GI50" s="102">
        <v>1574</v>
      </c>
      <c r="GJ50" s="429" t="s">
        <v>646</v>
      </c>
      <c r="GK50" s="429" t="s">
        <v>646</v>
      </c>
      <c r="GL50" s="88" t="s">
        <v>646</v>
      </c>
      <c r="GM50" s="429" t="s">
        <v>646</v>
      </c>
      <c r="GN50" s="429" t="s">
        <v>646</v>
      </c>
      <c r="GO50" s="429" t="s">
        <v>646</v>
      </c>
      <c r="GP50" s="425">
        <v>12.2</v>
      </c>
      <c r="GQ50" s="431" t="s">
        <v>646</v>
      </c>
      <c r="GR50" s="431" t="s">
        <v>646</v>
      </c>
      <c r="GS50" s="425">
        <v>42.3</v>
      </c>
      <c r="GT50" s="429" t="s">
        <v>646</v>
      </c>
      <c r="GU50" s="394"/>
      <c r="GV50" s="100">
        <f t="shared" si="17"/>
        <v>42743</v>
      </c>
      <c r="GW50" s="394">
        <f>GV44+GV48+GV47</f>
        <v>14990</v>
      </c>
      <c r="GX50" s="394"/>
      <c r="GY50" s="394"/>
      <c r="GZ50" s="394"/>
      <c r="HA50" s="394"/>
      <c r="HB50" s="394"/>
      <c r="HC50" s="394"/>
      <c r="HD50" s="394"/>
      <c r="HE50" s="394"/>
      <c r="HF50" s="394"/>
      <c r="HG50" s="394"/>
      <c r="HH50" s="394"/>
      <c r="HI50" s="394"/>
      <c r="HJ50" s="394"/>
      <c r="HK50" s="394"/>
      <c r="HL50" s="394"/>
      <c r="HM50" s="394"/>
      <c r="HN50" s="394"/>
      <c r="HO50" s="394"/>
      <c r="HP50" s="394"/>
      <c r="HQ50" s="394"/>
      <c r="HR50" s="394"/>
      <c r="HS50" s="394"/>
      <c r="HT50" s="394"/>
      <c r="HU50" s="394"/>
      <c r="HV50" s="394"/>
    </row>
    <row r="51" spans="2:230" x14ac:dyDescent="0.15">
      <c r="B51" s="21" t="s">
        <v>91</v>
      </c>
      <c r="C51" s="102">
        <v>754542620</v>
      </c>
      <c r="D51" s="73">
        <f t="shared" si="0"/>
        <v>282428415</v>
      </c>
      <c r="E51" s="102">
        <v>6920653</v>
      </c>
      <c r="F51" s="102">
        <v>275507762</v>
      </c>
      <c r="G51" s="73">
        <f t="shared" si="1"/>
        <v>55033475</v>
      </c>
      <c r="H51" s="102">
        <v>13109950</v>
      </c>
      <c r="I51" s="102">
        <v>41923525</v>
      </c>
      <c r="J51" s="102">
        <v>306122249</v>
      </c>
      <c r="K51" s="102">
        <v>132950953</v>
      </c>
      <c r="L51" s="102">
        <v>126830570</v>
      </c>
      <c r="M51" s="102">
        <v>40652808</v>
      </c>
      <c r="N51" s="102">
        <v>36330717</v>
      </c>
      <c r="O51" s="102">
        <v>62102260</v>
      </c>
      <c r="P51" s="102">
        <v>35491444</v>
      </c>
      <c r="Q51" s="102">
        <v>26610816</v>
      </c>
      <c r="R51" s="102">
        <v>11990112</v>
      </c>
      <c r="S51" s="74"/>
      <c r="T51" s="73">
        <f t="shared" si="2"/>
        <v>60020152</v>
      </c>
      <c r="U51" s="102">
        <v>3146764</v>
      </c>
      <c r="V51" s="102">
        <v>2435202</v>
      </c>
      <c r="W51" s="102">
        <v>560464</v>
      </c>
      <c r="X51" s="102">
        <v>48132426</v>
      </c>
      <c r="Y51" s="102">
        <v>961315</v>
      </c>
      <c r="Z51" s="102">
        <v>0</v>
      </c>
      <c r="AA51" s="102">
        <v>4783981</v>
      </c>
      <c r="AB51" s="102">
        <v>4493954</v>
      </c>
      <c r="AC51" s="102">
        <v>212459715</v>
      </c>
      <c r="AD51" s="102">
        <v>197663044</v>
      </c>
      <c r="AE51" s="102">
        <v>14796173</v>
      </c>
      <c r="AF51" s="102">
        <v>896747</v>
      </c>
      <c r="AG51" s="102">
        <v>20769757</v>
      </c>
      <c r="AH51" s="73">
        <f t="shared" si="3"/>
        <v>35930622</v>
      </c>
      <c r="AI51" s="102">
        <v>28138171</v>
      </c>
      <c r="AJ51" s="102">
        <v>7792451</v>
      </c>
      <c r="AK51" s="102">
        <v>324102353</v>
      </c>
      <c r="AL51" s="73">
        <f t="shared" si="4"/>
        <v>210106650</v>
      </c>
      <c r="AM51" s="102">
        <v>157123254</v>
      </c>
      <c r="AN51" s="102">
        <v>18097311</v>
      </c>
      <c r="AO51" s="74"/>
      <c r="AP51" s="102">
        <v>34886085</v>
      </c>
      <c r="AQ51" s="102">
        <v>11702503</v>
      </c>
      <c r="AR51" s="102">
        <v>62588</v>
      </c>
      <c r="AS51" s="102">
        <v>272273</v>
      </c>
      <c r="AT51" s="102">
        <v>112810812</v>
      </c>
      <c r="AU51" s="102">
        <v>65911727</v>
      </c>
      <c r="AV51" s="102">
        <v>6836554</v>
      </c>
      <c r="AW51" s="102">
        <v>4853844</v>
      </c>
      <c r="AX51" s="102">
        <v>46899085</v>
      </c>
      <c r="AY51" s="102">
        <v>1807174</v>
      </c>
      <c r="AZ51" s="102">
        <v>11711951</v>
      </c>
      <c r="BA51" s="102">
        <v>9991150</v>
      </c>
      <c r="BB51" s="102">
        <v>1803888</v>
      </c>
      <c r="BC51" s="102">
        <v>25788298</v>
      </c>
      <c r="BD51" s="102">
        <v>2183279</v>
      </c>
      <c r="BE51" s="102">
        <v>1768035</v>
      </c>
      <c r="BF51" s="102">
        <v>9787339</v>
      </c>
      <c r="BG51" s="102">
        <v>2427458</v>
      </c>
      <c r="BH51" s="102">
        <v>22288131</v>
      </c>
      <c r="BI51" s="102">
        <v>15737257</v>
      </c>
      <c r="BJ51" s="102">
        <v>40702927</v>
      </c>
      <c r="BK51" s="102">
        <v>18920372</v>
      </c>
      <c r="BL51" s="102">
        <v>374050</v>
      </c>
      <c r="BM51" s="102">
        <v>1283284</v>
      </c>
      <c r="BN51" s="102">
        <v>159887948</v>
      </c>
      <c r="BO51" s="73">
        <f t="shared" si="5"/>
        <v>70163600</v>
      </c>
      <c r="BP51" s="73">
        <f t="shared" si="6"/>
        <v>84495348</v>
      </c>
      <c r="BQ51" s="102">
        <v>0</v>
      </c>
      <c r="BR51" s="102">
        <v>749200</v>
      </c>
      <c r="BS51" s="102">
        <v>83746148</v>
      </c>
      <c r="BT51" s="102">
        <v>5229000</v>
      </c>
      <c r="BU51" s="102">
        <v>1800472260</v>
      </c>
      <c r="BV51" s="71"/>
      <c r="BW51" s="102">
        <v>317356761</v>
      </c>
      <c r="BX51" s="102">
        <v>203303759</v>
      </c>
      <c r="BY51" s="102">
        <v>37420703</v>
      </c>
      <c r="BZ51" s="102">
        <v>20511471</v>
      </c>
      <c r="CA51" s="102">
        <v>514015454</v>
      </c>
      <c r="CB51" s="102">
        <v>89394703</v>
      </c>
      <c r="CC51" s="102">
        <v>10020327</v>
      </c>
      <c r="CD51" s="102">
        <v>196520169</v>
      </c>
      <c r="CE51" s="102">
        <v>206442328</v>
      </c>
      <c r="CF51" s="102">
        <v>5122896</v>
      </c>
      <c r="CG51" s="102">
        <v>6400480</v>
      </c>
      <c r="CH51" s="102">
        <v>173288734</v>
      </c>
      <c r="CI51" s="102">
        <v>148937514</v>
      </c>
      <c r="CJ51" s="83">
        <f t="shared" si="18"/>
        <v>24351220</v>
      </c>
      <c r="CK51" s="102">
        <v>201219946</v>
      </c>
      <c r="CL51" s="102">
        <v>121362714</v>
      </c>
      <c r="CM51" s="102">
        <v>14703551</v>
      </c>
      <c r="CN51" s="102">
        <v>35685581</v>
      </c>
      <c r="CO51" s="102">
        <v>14719644</v>
      </c>
      <c r="CP51" s="102">
        <v>163123683</v>
      </c>
      <c r="CQ51" s="102">
        <v>34783683</v>
      </c>
      <c r="CR51" s="102">
        <v>36025413</v>
      </c>
      <c r="CS51" s="102">
        <v>25646792</v>
      </c>
      <c r="CT51" s="73">
        <f t="shared" si="7"/>
        <v>38928114</v>
      </c>
      <c r="CU51" s="102">
        <v>24565157</v>
      </c>
      <c r="CV51" s="102">
        <v>14362957</v>
      </c>
      <c r="CW51" s="73">
        <f t="shared" si="8"/>
        <v>12997821</v>
      </c>
      <c r="CX51" s="102">
        <v>8901557</v>
      </c>
      <c r="CY51" s="102">
        <v>4096264</v>
      </c>
      <c r="CZ51" s="73">
        <f t="shared" si="9"/>
        <v>23252330</v>
      </c>
      <c r="DA51" s="102">
        <v>14786627</v>
      </c>
      <c r="DB51" s="102">
        <v>8465703</v>
      </c>
      <c r="DC51" s="102">
        <v>135658900</v>
      </c>
      <c r="DD51" s="102">
        <v>54019861</v>
      </c>
      <c r="DE51" s="102">
        <v>79096287</v>
      </c>
      <c r="DF51" s="77">
        <v>1735748</v>
      </c>
      <c r="DG51" s="78">
        <v>806717</v>
      </c>
      <c r="DH51" s="102">
        <v>582341</v>
      </c>
      <c r="DI51" s="102">
        <v>28401107</v>
      </c>
      <c r="DJ51" s="102">
        <v>14409932</v>
      </c>
      <c r="DK51" s="102">
        <v>4105343</v>
      </c>
      <c r="DL51" s="102">
        <v>9885832</v>
      </c>
      <c r="DM51" s="102">
        <v>4809851</v>
      </c>
      <c r="DN51" s="102">
        <v>4705685</v>
      </c>
      <c r="DO51" s="102">
        <v>447748</v>
      </c>
      <c r="DP51" s="102">
        <v>3553710</v>
      </c>
      <c r="DQ51" s="102">
        <v>14447569</v>
      </c>
      <c r="DR51" s="102">
        <v>0</v>
      </c>
      <c r="DS51" s="102">
        <v>0</v>
      </c>
      <c r="DT51" s="102">
        <v>204471364</v>
      </c>
      <c r="DU51" s="102">
        <v>44157591</v>
      </c>
      <c r="DV51" s="73">
        <f t="shared" si="10"/>
        <v>0</v>
      </c>
      <c r="DW51" s="102">
        <v>0</v>
      </c>
      <c r="DX51" s="102">
        <v>51820226</v>
      </c>
      <c r="DY51" s="102">
        <v>1527606</v>
      </c>
      <c r="DZ51" s="102">
        <v>53785391</v>
      </c>
      <c r="EA51" s="74">
        <v>0</v>
      </c>
      <c r="EB51" s="102">
        <v>48243304</v>
      </c>
      <c r="EC51" s="102">
        <v>406414</v>
      </c>
      <c r="ED51" s="102">
        <v>1772501768</v>
      </c>
      <c r="EE51" s="71"/>
      <c r="EF51" s="102">
        <v>27970492</v>
      </c>
      <c r="EG51" s="102">
        <v>9812253</v>
      </c>
      <c r="EH51" s="102">
        <v>18158239</v>
      </c>
      <c r="EI51" s="102">
        <v>1037624</v>
      </c>
      <c r="EJ51" s="102">
        <v>16140403</v>
      </c>
      <c r="EK51" s="71"/>
      <c r="EL51" s="102"/>
      <c r="EM51" s="102">
        <v>5360883</v>
      </c>
      <c r="EN51" s="102">
        <v>17671868</v>
      </c>
      <c r="EO51" s="102">
        <v>10331552</v>
      </c>
      <c r="EP51" s="73">
        <f t="shared" si="11"/>
        <v>46386201</v>
      </c>
      <c r="EQ51" s="102">
        <v>1044675573</v>
      </c>
      <c r="ER51" s="71">
        <v>-157715949</v>
      </c>
      <c r="ES51" s="102">
        <v>288603371</v>
      </c>
      <c r="ET51" s="102">
        <v>184351523</v>
      </c>
      <c r="EU51" s="102">
        <v>148232046</v>
      </c>
      <c r="EV51" s="102">
        <v>172022398</v>
      </c>
      <c r="EW51" s="73">
        <f t="shared" si="12"/>
        <v>48777598</v>
      </c>
      <c r="EX51" s="102">
        <v>48483659</v>
      </c>
      <c r="EY51" s="102">
        <v>4330527</v>
      </c>
      <c r="EZ51" s="102">
        <v>43857743</v>
      </c>
      <c r="FA51" s="102">
        <v>293939</v>
      </c>
      <c r="FB51" s="102">
        <v>0</v>
      </c>
      <c r="FC51" s="102">
        <v>160929594</v>
      </c>
      <c r="FD51" s="102">
        <v>131225391</v>
      </c>
      <c r="FE51" s="102">
        <v>34433759</v>
      </c>
      <c r="FF51" s="102">
        <v>178310311</v>
      </c>
      <c r="FG51" s="73">
        <f t="shared" si="13"/>
        <v>46496837</v>
      </c>
      <c r="FH51" s="102">
        <v>1174597546</v>
      </c>
      <c r="FI51" s="379">
        <f t="shared" si="14"/>
        <v>1.7</v>
      </c>
      <c r="FJ51" s="102">
        <v>950378411</v>
      </c>
      <c r="FK51" s="102">
        <v>91753017</v>
      </c>
      <c r="FL51" s="102">
        <v>578802751</v>
      </c>
      <c r="FM51" s="102">
        <v>775298103</v>
      </c>
      <c r="FN51" s="428">
        <v>0.75700000000000001</v>
      </c>
      <c r="FO51" s="424">
        <v>94.7</v>
      </c>
      <c r="FP51" s="425">
        <v>26.4</v>
      </c>
      <c r="FQ51" s="424">
        <v>13.9</v>
      </c>
      <c r="FR51" s="424">
        <v>15.9</v>
      </c>
      <c r="FS51" s="425">
        <v>14</v>
      </c>
      <c r="FT51" s="424">
        <v>9.5</v>
      </c>
      <c r="FU51" s="425">
        <v>13.6</v>
      </c>
      <c r="FV51" s="384">
        <f t="shared" si="15"/>
        <v>6.6</v>
      </c>
      <c r="FW51" s="102">
        <v>1535628750</v>
      </c>
      <c r="FX51" s="384">
        <f t="shared" si="16"/>
        <v>147.4</v>
      </c>
      <c r="FY51" s="102">
        <v>310220421</v>
      </c>
      <c r="FZ51" s="102">
        <v>130258353</v>
      </c>
      <c r="GA51" s="102">
        <v>26382826</v>
      </c>
      <c r="GB51" s="102">
        <v>153579242</v>
      </c>
      <c r="GC51" s="102">
        <v>24955759</v>
      </c>
      <c r="GD51" s="454">
        <v>86936062</v>
      </c>
      <c r="GE51" s="452">
        <f>IF(GD51=0,"-",ROUND(GD51/1000/GW51*100,1))</f>
        <v>13.7</v>
      </c>
      <c r="GF51" s="424">
        <v>98.6</v>
      </c>
      <c r="GG51" s="424">
        <v>25.3</v>
      </c>
      <c r="GH51" s="424">
        <v>94.4</v>
      </c>
      <c r="GI51" s="102">
        <v>31346</v>
      </c>
      <c r="GJ51" s="429" t="s">
        <v>646</v>
      </c>
      <c r="GK51" s="429" t="s">
        <v>646</v>
      </c>
      <c r="GL51" s="88" t="s">
        <v>646</v>
      </c>
      <c r="GM51" s="429" t="s">
        <v>646</v>
      </c>
      <c r="GN51" s="429" t="s">
        <v>646</v>
      </c>
      <c r="GO51" s="429" t="s">
        <v>646</v>
      </c>
      <c r="GP51" s="425">
        <v>6.6</v>
      </c>
      <c r="GQ51" s="431" t="s">
        <v>646</v>
      </c>
      <c r="GR51" s="431" t="s">
        <v>646</v>
      </c>
      <c r="GS51" s="425">
        <v>30.9</v>
      </c>
      <c r="GT51" s="429" t="s">
        <v>646</v>
      </c>
      <c r="GU51" s="394"/>
      <c r="GV51" s="100">
        <f t="shared" si="17"/>
        <v>1042131</v>
      </c>
      <c r="GW51" s="394">
        <f>GW39+GW50</f>
        <v>633829</v>
      </c>
      <c r="GX51" s="394"/>
      <c r="GY51" s="394"/>
      <c r="GZ51" s="394"/>
      <c r="HA51" s="394"/>
      <c r="HB51" s="394"/>
      <c r="HC51" s="394"/>
      <c r="HD51" s="394"/>
      <c r="HE51" s="394"/>
      <c r="HF51" s="394"/>
      <c r="HG51" s="394"/>
      <c r="HH51" s="394"/>
      <c r="HI51" s="394"/>
      <c r="HJ51" s="394"/>
      <c r="HK51" s="394"/>
      <c r="HL51" s="394"/>
      <c r="HM51" s="394"/>
      <c r="HN51" s="394"/>
      <c r="HO51" s="394"/>
      <c r="HP51" s="394"/>
      <c r="HQ51" s="394"/>
      <c r="HR51" s="394"/>
      <c r="HS51" s="394"/>
      <c r="HT51" s="394"/>
      <c r="HU51" s="394"/>
      <c r="HV51" s="394"/>
    </row>
    <row r="52" spans="2:230" x14ac:dyDescent="0.15">
      <c r="B52" s="72" t="s">
        <v>0</v>
      </c>
      <c r="C52" s="102">
        <v>1512537074</v>
      </c>
      <c r="D52" s="73">
        <f t="shared" si="0"/>
        <v>458932249</v>
      </c>
      <c r="E52" s="102">
        <v>11550299</v>
      </c>
      <c r="F52" s="102">
        <v>447381950</v>
      </c>
      <c r="G52" s="73">
        <f t="shared" si="1"/>
        <v>183623800</v>
      </c>
      <c r="H52" s="102">
        <v>32965476</v>
      </c>
      <c r="I52" s="102">
        <v>150658324</v>
      </c>
      <c r="J52" s="102">
        <v>628025675</v>
      </c>
      <c r="K52" s="102">
        <v>261319013</v>
      </c>
      <c r="L52" s="102">
        <v>272239178</v>
      </c>
      <c r="M52" s="102">
        <v>87032918</v>
      </c>
      <c r="N52" s="102">
        <v>71402352</v>
      </c>
      <c r="O52" s="102">
        <v>126213162</v>
      </c>
      <c r="P52" s="102">
        <v>67801223</v>
      </c>
      <c r="Q52" s="102">
        <v>58411939</v>
      </c>
      <c r="R52" s="102">
        <v>21008651</v>
      </c>
      <c r="S52" s="74"/>
      <c r="T52" s="73">
        <f t="shared" si="2"/>
        <v>113413939</v>
      </c>
      <c r="U52" s="102">
        <v>5074806</v>
      </c>
      <c r="V52" s="102">
        <v>3929434</v>
      </c>
      <c r="W52" s="102">
        <v>905499</v>
      </c>
      <c r="X52" s="102">
        <v>93083104</v>
      </c>
      <c r="Y52" s="102">
        <v>1104271</v>
      </c>
      <c r="Z52" s="102">
        <v>0</v>
      </c>
      <c r="AA52" s="102">
        <v>9316825</v>
      </c>
      <c r="AB52" s="102">
        <v>7286128</v>
      </c>
      <c r="AC52" s="102">
        <v>289918032</v>
      </c>
      <c r="AD52" s="102">
        <v>267996694</v>
      </c>
      <c r="AE52" s="102">
        <v>17324993</v>
      </c>
      <c r="AF52" s="102">
        <v>2205194</v>
      </c>
      <c r="AG52" s="102">
        <v>33467233</v>
      </c>
      <c r="AH52" s="73">
        <f t="shared" si="3"/>
        <v>102949747</v>
      </c>
      <c r="AI52" s="102">
        <v>83390013</v>
      </c>
      <c r="AJ52" s="102">
        <v>19559734</v>
      </c>
      <c r="AK52" s="102">
        <v>736622116</v>
      </c>
      <c r="AL52" s="73">
        <f t="shared" si="4"/>
        <v>554560273</v>
      </c>
      <c r="AM52" s="102">
        <v>411554781</v>
      </c>
      <c r="AN52" s="102">
        <v>72798313</v>
      </c>
      <c r="AO52" s="74"/>
      <c r="AP52" s="102">
        <v>70207179</v>
      </c>
      <c r="AQ52" s="102">
        <v>27508077</v>
      </c>
      <c r="AR52" s="102">
        <v>62588</v>
      </c>
      <c r="AS52" s="102">
        <v>282583</v>
      </c>
      <c r="AT52" s="102">
        <v>181394690</v>
      </c>
      <c r="AU52" s="102">
        <v>102187906</v>
      </c>
      <c r="AV52" s="102">
        <v>6836554</v>
      </c>
      <c r="AW52" s="102">
        <v>7468404</v>
      </c>
      <c r="AX52" s="102">
        <v>79206784</v>
      </c>
      <c r="AY52" s="102">
        <v>1823468</v>
      </c>
      <c r="AZ52" s="102">
        <v>40862109</v>
      </c>
      <c r="BA52" s="102">
        <v>25349076</v>
      </c>
      <c r="BB52" s="102">
        <v>3003261</v>
      </c>
      <c r="BC52" s="102">
        <v>174681340</v>
      </c>
      <c r="BD52" s="102">
        <v>2183279</v>
      </c>
      <c r="BE52" s="102">
        <v>19911693</v>
      </c>
      <c r="BF52" s="102">
        <v>135566497</v>
      </c>
      <c r="BG52" s="102">
        <v>2427458</v>
      </c>
      <c r="BH52" s="102">
        <v>26585159</v>
      </c>
      <c r="BI52" s="102">
        <v>17181900</v>
      </c>
      <c r="BJ52" s="102">
        <v>248855082</v>
      </c>
      <c r="BK52" s="102">
        <v>147795282</v>
      </c>
      <c r="BL52" s="102">
        <v>1003037</v>
      </c>
      <c r="BM52" s="102">
        <v>17624461</v>
      </c>
      <c r="BN52" s="102">
        <v>336437278</v>
      </c>
      <c r="BO52" s="73">
        <f t="shared" si="5"/>
        <v>135745230</v>
      </c>
      <c r="BP52" s="73">
        <f t="shared" si="6"/>
        <v>194087048</v>
      </c>
      <c r="BQ52" s="102">
        <v>0</v>
      </c>
      <c r="BR52" s="102">
        <v>749200</v>
      </c>
      <c r="BS52" s="102">
        <v>193337848</v>
      </c>
      <c r="BT52" s="102">
        <v>6605000</v>
      </c>
      <c r="BU52" s="102">
        <v>3848792973</v>
      </c>
      <c r="BV52" s="71"/>
      <c r="BW52" s="102">
        <v>599402595</v>
      </c>
      <c r="BX52" s="102">
        <v>394186192</v>
      </c>
      <c r="BY52" s="102">
        <v>74017900</v>
      </c>
      <c r="BZ52" s="102">
        <v>31207345</v>
      </c>
      <c r="CA52" s="102">
        <v>1119250234</v>
      </c>
      <c r="CB52" s="102">
        <v>172990710</v>
      </c>
      <c r="CC52" s="102">
        <v>19226125</v>
      </c>
      <c r="CD52" s="102">
        <v>350896875</v>
      </c>
      <c r="CE52" s="102">
        <v>547612832</v>
      </c>
      <c r="CF52" s="102">
        <v>18709291</v>
      </c>
      <c r="CG52" s="102">
        <v>9699820</v>
      </c>
      <c r="CH52" s="102">
        <v>466426422</v>
      </c>
      <c r="CI52" s="102">
        <v>391507593</v>
      </c>
      <c r="CJ52" s="83">
        <f t="shared" si="18"/>
        <v>74918829</v>
      </c>
      <c r="CK52" s="102">
        <v>344573719</v>
      </c>
      <c r="CL52" s="102">
        <v>213427721</v>
      </c>
      <c r="CM52" s="102">
        <v>20024460</v>
      </c>
      <c r="CN52" s="102">
        <v>61813036</v>
      </c>
      <c r="CO52" s="102">
        <v>33203005</v>
      </c>
      <c r="CP52" s="102">
        <v>317121412</v>
      </c>
      <c r="CQ52" s="102">
        <v>35360992</v>
      </c>
      <c r="CR52" s="102">
        <v>108808084</v>
      </c>
      <c r="CS52" s="102">
        <v>85575515</v>
      </c>
      <c r="CT52" s="73">
        <f t="shared" si="7"/>
        <v>97401265</v>
      </c>
      <c r="CU52" s="102">
        <v>40779777</v>
      </c>
      <c r="CV52" s="102">
        <v>56621488</v>
      </c>
      <c r="CW52" s="73">
        <f t="shared" si="8"/>
        <v>22745887</v>
      </c>
      <c r="CX52" s="102">
        <v>17740881</v>
      </c>
      <c r="CY52" s="102">
        <v>5005006</v>
      </c>
      <c r="CZ52" s="73">
        <f t="shared" si="9"/>
        <v>63620007</v>
      </c>
      <c r="DA52" s="102">
        <v>21720822</v>
      </c>
      <c r="DB52" s="102">
        <v>41899185</v>
      </c>
      <c r="DC52" s="102">
        <v>263605420</v>
      </c>
      <c r="DD52" s="102">
        <v>127207552</v>
      </c>
      <c r="DE52" s="102">
        <v>130069690</v>
      </c>
      <c r="DF52" s="102">
        <v>1760583</v>
      </c>
      <c r="DG52" s="102">
        <v>1430487</v>
      </c>
      <c r="DH52" s="102">
        <v>582341</v>
      </c>
      <c r="DI52" s="102">
        <v>162640884</v>
      </c>
      <c r="DJ52" s="102">
        <v>133482775</v>
      </c>
      <c r="DK52" s="102">
        <v>10395857</v>
      </c>
      <c r="DL52" s="102">
        <v>18762252</v>
      </c>
      <c r="DM52" s="102">
        <v>16969818</v>
      </c>
      <c r="DN52" s="102">
        <v>9208434</v>
      </c>
      <c r="DO52" s="102">
        <v>447748</v>
      </c>
      <c r="DP52" s="102">
        <v>3553710</v>
      </c>
      <c r="DQ52" s="102">
        <v>141111980</v>
      </c>
      <c r="DR52" s="102">
        <v>0</v>
      </c>
      <c r="DS52" s="102">
        <v>0</v>
      </c>
      <c r="DT52" s="102">
        <v>351567622</v>
      </c>
      <c r="DU52" s="102">
        <v>44157591</v>
      </c>
      <c r="DV52" s="73">
        <f t="shared" si="10"/>
        <v>17234311</v>
      </c>
      <c r="DW52" s="102">
        <v>17234311</v>
      </c>
      <c r="DX52" s="102">
        <v>91513851</v>
      </c>
      <c r="DY52" s="102">
        <v>1529560</v>
      </c>
      <c r="DZ52" s="102">
        <v>102954503</v>
      </c>
      <c r="EA52" s="74">
        <v>0</v>
      </c>
      <c r="EB52" s="102">
        <v>86570943</v>
      </c>
      <c r="EC52" s="102">
        <v>406414</v>
      </c>
      <c r="ED52" s="102">
        <v>3816861866</v>
      </c>
      <c r="EE52" s="71"/>
      <c r="EF52" s="102">
        <v>31931107</v>
      </c>
      <c r="EG52" s="102">
        <v>11820774</v>
      </c>
      <c r="EH52" s="102">
        <v>20110333</v>
      </c>
      <c r="EI52" s="102">
        <v>1545075</v>
      </c>
      <c r="EJ52" s="102">
        <v>135721185</v>
      </c>
      <c r="EK52" s="71"/>
      <c r="EL52" s="102"/>
      <c r="EM52" s="102">
        <v>8873698</v>
      </c>
      <c r="EN52" s="102">
        <v>35837997</v>
      </c>
      <c r="EO52" s="102">
        <v>22452429</v>
      </c>
      <c r="EP52" s="73">
        <f t="shared" si="11"/>
        <v>107171193</v>
      </c>
      <c r="EQ52" s="102">
        <v>1963934958</v>
      </c>
      <c r="ER52" s="71">
        <v>-339777533</v>
      </c>
      <c r="ES52" s="102">
        <v>550328795</v>
      </c>
      <c r="ET52" s="102">
        <v>362134294</v>
      </c>
      <c r="EU52" s="102">
        <v>330411683</v>
      </c>
      <c r="EV52" s="102">
        <v>433509370</v>
      </c>
      <c r="EW52" s="73">
        <f t="shared" si="12"/>
        <v>79931762</v>
      </c>
      <c r="EX52" s="102">
        <v>79637823</v>
      </c>
      <c r="EY52" s="102">
        <v>11538473</v>
      </c>
      <c r="EZ52" s="102">
        <v>67521605</v>
      </c>
      <c r="FA52" s="102">
        <v>293939</v>
      </c>
      <c r="FB52" s="102">
        <v>0</v>
      </c>
      <c r="FC52" s="102">
        <v>256138621</v>
      </c>
      <c r="FD52" s="102">
        <v>255464313</v>
      </c>
      <c r="FE52" s="102">
        <v>35011068</v>
      </c>
      <c r="FF52" s="102">
        <v>303741175</v>
      </c>
      <c r="FG52" s="73">
        <f t="shared" si="13"/>
        <v>62565807</v>
      </c>
      <c r="FH52" s="102">
        <v>2272091526</v>
      </c>
      <c r="FI52" s="379">
        <f t="shared" si="14"/>
        <v>1</v>
      </c>
      <c r="FJ52" s="102">
        <v>1780794123</v>
      </c>
      <c r="FK52" s="102">
        <v>201345171</v>
      </c>
      <c r="FL52" s="102">
        <v>1158308518</v>
      </c>
      <c r="FM52" s="102">
        <v>1426252531</v>
      </c>
      <c r="FN52" s="151">
        <v>0.81699999999999995</v>
      </c>
      <c r="FO52" s="424">
        <v>97.7</v>
      </c>
      <c r="FP52" s="151">
        <v>26.7</v>
      </c>
      <c r="FQ52" s="424">
        <v>16.2</v>
      </c>
      <c r="FR52" s="424">
        <v>21.2</v>
      </c>
      <c r="FS52" s="151">
        <v>11.6</v>
      </c>
      <c r="FT52" s="424">
        <v>9.8000000000000007</v>
      </c>
      <c r="FU52" s="151">
        <v>11.3</v>
      </c>
      <c r="FV52" s="384">
        <f t="shared" si="15"/>
        <v>7.5</v>
      </c>
      <c r="FW52" s="102">
        <v>4544979084</v>
      </c>
      <c r="FX52" s="384">
        <f t="shared" si="16"/>
        <v>229.3</v>
      </c>
      <c r="FY52" s="102">
        <v>536871712</v>
      </c>
      <c r="FZ52" s="102">
        <v>251127996</v>
      </c>
      <c r="GA52" s="102">
        <v>71505277</v>
      </c>
      <c r="GB52" s="102">
        <v>214238439</v>
      </c>
      <c r="GC52" s="102">
        <v>24955759</v>
      </c>
      <c r="GD52" s="454">
        <f>SUM(GD6:GD7,GD51)</f>
        <v>101245153</v>
      </c>
      <c r="GE52" s="452">
        <f>IF(GD52=0,"-",ROUND(GD52/1000/GW52*100,1))</f>
        <v>12.4</v>
      </c>
      <c r="GF52" s="424">
        <v>98.8</v>
      </c>
      <c r="GG52" s="424">
        <v>25.1</v>
      </c>
      <c r="GH52" s="424">
        <v>95.2</v>
      </c>
      <c r="GI52" s="102">
        <v>60477</v>
      </c>
      <c r="GJ52" s="429" t="s">
        <v>646</v>
      </c>
      <c r="GK52" s="429" t="s">
        <v>646</v>
      </c>
      <c r="GL52" s="88" t="s">
        <v>646</v>
      </c>
      <c r="GM52" s="429" t="s">
        <v>646</v>
      </c>
      <c r="GN52" s="429" t="s">
        <v>646</v>
      </c>
      <c r="GO52" s="429" t="s">
        <v>646</v>
      </c>
      <c r="GP52" s="425">
        <v>7.5</v>
      </c>
      <c r="GQ52" s="431" t="s">
        <v>646</v>
      </c>
      <c r="GR52" s="431" t="s">
        <v>646</v>
      </c>
      <c r="GS52" s="151">
        <v>87.4</v>
      </c>
      <c r="GT52" s="429" t="s">
        <v>646</v>
      </c>
      <c r="GV52" s="100">
        <f t="shared" si="17"/>
        <v>1982139</v>
      </c>
      <c r="GW52" s="394">
        <f>GW51+GV7</f>
        <v>818351</v>
      </c>
    </row>
    <row r="53" spans="2:230" x14ac:dyDescent="0.15">
      <c r="S53" s="75"/>
      <c r="CI53" s="89"/>
      <c r="CJ53" s="84"/>
      <c r="EI53" s="420">
        <f>EI8+EI18+EI22+EI27+EI29+EI31+EI32+EI34+EI37+EI40+EI43+EI44+EI45+EI48</f>
        <v>-207439</v>
      </c>
      <c r="FJ53" s="394">
        <f>FJ44+FJ47+FJ45</f>
        <v>13489783</v>
      </c>
      <c r="FK53" s="394">
        <f>FK44+FK47+FK45</f>
        <v>1132993</v>
      </c>
      <c r="GE53" s="89" t="s">
        <v>647</v>
      </c>
      <c r="GW53" s="101" t="s">
        <v>648</v>
      </c>
    </row>
    <row r="54" spans="2:230" x14ac:dyDescent="0.15">
      <c r="S54" s="75"/>
      <c r="CI54" s="89"/>
      <c r="CJ54" s="84"/>
      <c r="EI54" s="420">
        <f>EI51-EI53</f>
        <v>1245063</v>
      </c>
      <c r="EM54" s="423">
        <v>5298121</v>
      </c>
      <c r="FJ54" s="394">
        <f>FJ39+FJ53</f>
        <v>924642622</v>
      </c>
      <c r="FK54" s="394">
        <f>FK39+FK53</f>
        <v>89368201</v>
      </c>
      <c r="GF54" s="388"/>
      <c r="GG54" s="388"/>
      <c r="GH54" s="388"/>
      <c r="GI54" s="272">
        <v>31729</v>
      </c>
    </row>
    <row r="55" spans="2:230" x14ac:dyDescent="0.15">
      <c r="S55" s="75"/>
      <c r="CI55" s="89"/>
      <c r="CJ55" s="84"/>
    </row>
    <row r="56" spans="2:230" x14ac:dyDescent="0.15">
      <c r="B56" s="89" t="s">
        <v>650</v>
      </c>
      <c r="C56" s="89" t="str">
        <f t="shared" ref="C56:AH56" si="20">IF(SUM(C8:C38)=C39,"ok","エラー")</f>
        <v>ok</v>
      </c>
      <c r="D56" s="89" t="str">
        <f t="shared" si="20"/>
        <v>ok</v>
      </c>
      <c r="E56" s="89" t="str">
        <f t="shared" si="20"/>
        <v>ok</v>
      </c>
      <c r="F56" s="89" t="str">
        <f t="shared" si="20"/>
        <v>ok</v>
      </c>
      <c r="G56" s="89" t="str">
        <f t="shared" si="20"/>
        <v>ok</v>
      </c>
      <c r="H56" s="89" t="str">
        <f t="shared" si="20"/>
        <v>ok</v>
      </c>
      <c r="I56" s="89" t="str">
        <f t="shared" si="20"/>
        <v>ok</v>
      </c>
      <c r="J56" s="89" t="str">
        <f t="shared" si="20"/>
        <v>ok</v>
      </c>
      <c r="K56" s="89" t="str">
        <f t="shared" si="20"/>
        <v>ok</v>
      </c>
      <c r="L56" s="89" t="str">
        <f t="shared" si="20"/>
        <v>ok</v>
      </c>
      <c r="M56" s="89" t="str">
        <f t="shared" si="20"/>
        <v>ok</v>
      </c>
      <c r="N56" s="89" t="str">
        <f t="shared" si="20"/>
        <v>ok</v>
      </c>
      <c r="O56" s="89" t="str">
        <f t="shared" si="20"/>
        <v>ok</v>
      </c>
      <c r="P56" s="89" t="str">
        <f t="shared" si="20"/>
        <v>ok</v>
      </c>
      <c r="Q56" s="89" t="str">
        <f t="shared" si="20"/>
        <v>ok</v>
      </c>
      <c r="R56" s="89" t="str">
        <f t="shared" si="20"/>
        <v>ok</v>
      </c>
      <c r="S56" s="75" t="str">
        <f t="shared" si="20"/>
        <v>ok</v>
      </c>
      <c r="T56" s="89" t="str">
        <f t="shared" si="20"/>
        <v>ok</v>
      </c>
      <c r="U56" s="89" t="str">
        <f t="shared" si="20"/>
        <v>ok</v>
      </c>
      <c r="V56" s="89" t="str">
        <f t="shared" si="20"/>
        <v>ok</v>
      </c>
      <c r="W56" s="89" t="str">
        <f t="shared" si="20"/>
        <v>ok</v>
      </c>
      <c r="X56" s="89" t="str">
        <f t="shared" si="20"/>
        <v>ok</v>
      </c>
      <c r="Y56" s="89" t="str">
        <f t="shared" si="20"/>
        <v>ok</v>
      </c>
      <c r="Z56" s="89" t="str">
        <f t="shared" si="20"/>
        <v>ok</v>
      </c>
      <c r="AA56" s="89" t="str">
        <f t="shared" si="20"/>
        <v>ok</v>
      </c>
      <c r="AB56" s="89" t="str">
        <f t="shared" si="20"/>
        <v>ok</v>
      </c>
      <c r="AC56" s="89" t="str">
        <f t="shared" si="20"/>
        <v>ok</v>
      </c>
      <c r="AD56" s="89" t="str">
        <f t="shared" si="20"/>
        <v>ok</v>
      </c>
      <c r="AE56" s="89" t="str">
        <f t="shared" si="20"/>
        <v>ok</v>
      </c>
      <c r="AF56" s="89" t="str">
        <f t="shared" si="20"/>
        <v>ok</v>
      </c>
      <c r="AG56" s="89" t="str">
        <f t="shared" si="20"/>
        <v>ok</v>
      </c>
      <c r="AH56" s="89" t="str">
        <f t="shared" si="20"/>
        <v>ok</v>
      </c>
      <c r="AI56" s="89" t="str">
        <f t="shared" ref="AI56:BN56" si="21">IF(SUM(AI8:AI38)=AI39,"ok","エラー")</f>
        <v>ok</v>
      </c>
      <c r="AJ56" s="89" t="str">
        <f t="shared" si="21"/>
        <v>ok</v>
      </c>
      <c r="AK56" s="89" t="str">
        <f t="shared" si="21"/>
        <v>ok</v>
      </c>
      <c r="AL56" s="89" t="str">
        <f t="shared" si="21"/>
        <v>ok</v>
      </c>
      <c r="AM56" s="89" t="str">
        <f t="shared" si="21"/>
        <v>ok</v>
      </c>
      <c r="AN56" s="89" t="str">
        <f t="shared" si="21"/>
        <v>ok</v>
      </c>
      <c r="AO56" s="89" t="str">
        <f t="shared" si="21"/>
        <v>ok</v>
      </c>
      <c r="AP56" s="89" t="str">
        <f t="shared" si="21"/>
        <v>ok</v>
      </c>
      <c r="AQ56" s="89" t="str">
        <f t="shared" si="21"/>
        <v>ok</v>
      </c>
      <c r="AR56" s="89" t="str">
        <f t="shared" si="21"/>
        <v>ok</v>
      </c>
      <c r="AS56" s="89" t="str">
        <f t="shared" si="21"/>
        <v>ok</v>
      </c>
      <c r="AT56" s="89" t="str">
        <f t="shared" si="21"/>
        <v>ok</v>
      </c>
      <c r="AU56" s="89" t="str">
        <f t="shared" si="21"/>
        <v>ok</v>
      </c>
      <c r="AV56" s="89" t="str">
        <f t="shared" si="21"/>
        <v>ok</v>
      </c>
      <c r="AW56" s="89" t="str">
        <f t="shared" si="21"/>
        <v>ok</v>
      </c>
      <c r="AX56" s="89" t="str">
        <f t="shared" si="21"/>
        <v>ok</v>
      </c>
      <c r="AY56" s="89" t="str">
        <f t="shared" si="21"/>
        <v>ok</v>
      </c>
      <c r="AZ56" s="89" t="str">
        <f t="shared" si="21"/>
        <v>ok</v>
      </c>
      <c r="BA56" s="89" t="str">
        <f t="shared" si="21"/>
        <v>ok</v>
      </c>
      <c r="BB56" s="89" t="str">
        <f t="shared" si="21"/>
        <v>ok</v>
      </c>
      <c r="BC56" s="89" t="str">
        <f t="shared" si="21"/>
        <v>ok</v>
      </c>
      <c r="BD56" s="89" t="str">
        <f t="shared" si="21"/>
        <v>ok</v>
      </c>
      <c r="BE56" s="89" t="str">
        <f t="shared" si="21"/>
        <v>ok</v>
      </c>
      <c r="BF56" s="89" t="str">
        <f t="shared" si="21"/>
        <v>ok</v>
      </c>
      <c r="BG56" s="89" t="str">
        <f t="shared" si="21"/>
        <v>ok</v>
      </c>
      <c r="BH56" s="89" t="str">
        <f t="shared" si="21"/>
        <v>ok</v>
      </c>
      <c r="BI56" s="89" t="str">
        <f t="shared" si="21"/>
        <v>ok</v>
      </c>
      <c r="BJ56" s="89" t="str">
        <f t="shared" si="21"/>
        <v>ok</v>
      </c>
      <c r="BK56" s="89" t="str">
        <f t="shared" si="21"/>
        <v>ok</v>
      </c>
      <c r="BL56" s="89" t="str">
        <f t="shared" si="21"/>
        <v>ok</v>
      </c>
      <c r="BM56" s="89" t="str">
        <f t="shared" si="21"/>
        <v>ok</v>
      </c>
      <c r="BN56" s="89" t="str">
        <f t="shared" si="21"/>
        <v>ok</v>
      </c>
      <c r="BO56" s="89" t="str">
        <f t="shared" ref="BO56:CI56" si="22">IF(SUM(BO8:BO38)=BO39,"ok","エラー")</f>
        <v>ok</v>
      </c>
      <c r="BP56" s="89" t="str">
        <f t="shared" si="22"/>
        <v>ok</v>
      </c>
      <c r="BQ56" s="89" t="str">
        <f t="shared" si="22"/>
        <v>ok</v>
      </c>
      <c r="BR56" s="89" t="str">
        <f t="shared" si="22"/>
        <v>ok</v>
      </c>
      <c r="BS56" s="89" t="str">
        <f t="shared" si="22"/>
        <v>ok</v>
      </c>
      <c r="BT56" s="89" t="str">
        <f t="shared" si="22"/>
        <v>ok</v>
      </c>
      <c r="BU56" s="89" t="str">
        <f t="shared" si="22"/>
        <v>ok</v>
      </c>
      <c r="BV56" s="89" t="str">
        <f t="shared" si="22"/>
        <v>ok</v>
      </c>
      <c r="BW56" s="89" t="str">
        <f t="shared" si="22"/>
        <v>ok</v>
      </c>
      <c r="BX56" s="89" t="str">
        <f t="shared" si="22"/>
        <v>ok</v>
      </c>
      <c r="BY56" s="89" t="str">
        <f t="shared" si="22"/>
        <v>ok</v>
      </c>
      <c r="BZ56" s="89" t="str">
        <f t="shared" si="22"/>
        <v>ok</v>
      </c>
      <c r="CA56" s="89" t="str">
        <f t="shared" si="22"/>
        <v>ok</v>
      </c>
      <c r="CB56" s="89" t="str">
        <f t="shared" si="22"/>
        <v>ok</v>
      </c>
      <c r="CC56" s="89" t="str">
        <f t="shared" si="22"/>
        <v>ok</v>
      </c>
      <c r="CD56" s="89" t="str">
        <f t="shared" si="22"/>
        <v>ok</v>
      </c>
      <c r="CE56" s="89" t="str">
        <f t="shared" si="22"/>
        <v>ok</v>
      </c>
      <c r="CF56" s="89" t="str">
        <f t="shared" si="22"/>
        <v>ok</v>
      </c>
      <c r="CG56" s="89" t="str">
        <f t="shared" si="22"/>
        <v>ok</v>
      </c>
      <c r="CH56" s="89" t="str">
        <f t="shared" si="22"/>
        <v>ok</v>
      </c>
      <c r="CI56" s="89" t="str">
        <f t="shared" si="22"/>
        <v>ok</v>
      </c>
      <c r="CJ56" s="84"/>
      <c r="CK56" s="89" t="str">
        <f t="shared" ref="CK56:DP56" si="23">IF(SUM(CK8:CK38)=CK39,"ok","エラー")</f>
        <v>ok</v>
      </c>
      <c r="CL56" s="89" t="str">
        <f t="shared" si="23"/>
        <v>ok</v>
      </c>
      <c r="CM56" s="89" t="str">
        <f t="shared" si="23"/>
        <v>ok</v>
      </c>
      <c r="CN56" s="89" t="str">
        <f t="shared" si="23"/>
        <v>ok</v>
      </c>
      <c r="CO56" s="89" t="str">
        <f t="shared" si="23"/>
        <v>ok</v>
      </c>
      <c r="CP56" s="89" t="str">
        <f t="shared" si="23"/>
        <v>ok</v>
      </c>
      <c r="CQ56" s="89" t="str">
        <f t="shared" si="23"/>
        <v>ok</v>
      </c>
      <c r="CR56" s="89" t="str">
        <f t="shared" si="23"/>
        <v>ok</v>
      </c>
      <c r="CS56" s="89" t="str">
        <f t="shared" si="23"/>
        <v>ok</v>
      </c>
      <c r="CT56" s="89" t="str">
        <f t="shared" si="23"/>
        <v>ok</v>
      </c>
      <c r="CU56" s="89" t="str">
        <f t="shared" si="23"/>
        <v>ok</v>
      </c>
      <c r="CV56" s="89" t="str">
        <f t="shared" si="23"/>
        <v>ok</v>
      </c>
      <c r="CW56" s="89" t="str">
        <f t="shared" si="23"/>
        <v>ok</v>
      </c>
      <c r="CX56" s="89" t="str">
        <f t="shared" si="23"/>
        <v>ok</v>
      </c>
      <c r="CY56" s="89" t="str">
        <f t="shared" si="23"/>
        <v>ok</v>
      </c>
      <c r="CZ56" s="89" t="str">
        <f t="shared" si="23"/>
        <v>ok</v>
      </c>
      <c r="DA56" s="89" t="str">
        <f t="shared" si="23"/>
        <v>ok</v>
      </c>
      <c r="DB56" s="89" t="str">
        <f t="shared" si="23"/>
        <v>ok</v>
      </c>
      <c r="DC56" s="89" t="str">
        <f t="shared" si="23"/>
        <v>ok</v>
      </c>
      <c r="DD56" s="89" t="str">
        <f t="shared" si="23"/>
        <v>ok</v>
      </c>
      <c r="DE56" s="89" t="str">
        <f t="shared" si="23"/>
        <v>ok</v>
      </c>
      <c r="DF56" s="89" t="str">
        <f t="shared" si="23"/>
        <v>ok</v>
      </c>
      <c r="DG56" s="89" t="str">
        <f t="shared" si="23"/>
        <v>ok</v>
      </c>
      <c r="DH56" s="89" t="str">
        <f t="shared" si="23"/>
        <v>ok</v>
      </c>
      <c r="DI56" s="89" t="str">
        <f t="shared" si="23"/>
        <v>ok</v>
      </c>
      <c r="DJ56" s="89" t="str">
        <f t="shared" si="23"/>
        <v>ok</v>
      </c>
      <c r="DK56" s="89" t="str">
        <f t="shared" si="23"/>
        <v>ok</v>
      </c>
      <c r="DL56" s="89" t="str">
        <f t="shared" si="23"/>
        <v>ok</v>
      </c>
      <c r="DM56" s="89" t="str">
        <f t="shared" si="23"/>
        <v>ok</v>
      </c>
      <c r="DN56" s="89" t="str">
        <f t="shared" si="23"/>
        <v>ok</v>
      </c>
      <c r="DO56" s="89" t="str">
        <f t="shared" si="23"/>
        <v>ok</v>
      </c>
      <c r="DP56" s="89" t="str">
        <f t="shared" si="23"/>
        <v>ok</v>
      </c>
      <c r="DQ56" s="89" t="str">
        <f t="shared" ref="DQ56:EV56" si="24">IF(SUM(DQ8:DQ38)=DQ39,"ok","エラー")</f>
        <v>ok</v>
      </c>
      <c r="DR56" s="89" t="str">
        <f t="shared" si="24"/>
        <v>ok</v>
      </c>
      <c r="DS56" s="89" t="str">
        <f t="shared" si="24"/>
        <v>ok</v>
      </c>
      <c r="DT56" s="89" t="str">
        <f t="shared" si="24"/>
        <v>ok</v>
      </c>
      <c r="DU56" s="89" t="str">
        <f t="shared" si="24"/>
        <v>ok</v>
      </c>
      <c r="DV56" s="89" t="str">
        <f t="shared" si="24"/>
        <v>ok</v>
      </c>
      <c r="DW56" s="89" t="str">
        <f t="shared" si="24"/>
        <v>ok</v>
      </c>
      <c r="DX56" s="89" t="str">
        <f t="shared" si="24"/>
        <v>ok</v>
      </c>
      <c r="DY56" s="89" t="str">
        <f t="shared" si="24"/>
        <v>ok</v>
      </c>
      <c r="DZ56" s="89" t="str">
        <f t="shared" si="24"/>
        <v>ok</v>
      </c>
      <c r="EA56" s="89" t="str">
        <f t="shared" si="24"/>
        <v>ok</v>
      </c>
      <c r="EB56" s="89" t="str">
        <f t="shared" si="24"/>
        <v>ok</v>
      </c>
      <c r="EC56" s="89" t="str">
        <f t="shared" si="24"/>
        <v>ok</v>
      </c>
      <c r="ED56" s="89" t="str">
        <f t="shared" si="24"/>
        <v>ok</v>
      </c>
      <c r="EE56" s="89" t="str">
        <f t="shared" si="24"/>
        <v>ok</v>
      </c>
      <c r="EF56" s="89" t="str">
        <f t="shared" si="24"/>
        <v>ok</v>
      </c>
      <c r="EG56" s="89" t="str">
        <f t="shared" si="24"/>
        <v>ok</v>
      </c>
      <c r="EH56" s="89" t="str">
        <f t="shared" si="24"/>
        <v>ok</v>
      </c>
      <c r="EI56" s="89" t="str">
        <f t="shared" si="24"/>
        <v>ok</v>
      </c>
      <c r="EJ56" s="89" t="str">
        <f t="shared" si="24"/>
        <v>ok</v>
      </c>
      <c r="EK56" s="89" t="str">
        <f t="shared" si="24"/>
        <v>ok</v>
      </c>
      <c r="EL56" s="89" t="str">
        <f t="shared" si="24"/>
        <v>ok</v>
      </c>
      <c r="EM56" s="89" t="str">
        <f t="shared" si="24"/>
        <v>ok</v>
      </c>
      <c r="EN56" s="89" t="str">
        <f t="shared" si="24"/>
        <v>ok</v>
      </c>
      <c r="EO56" s="89" t="str">
        <f t="shared" si="24"/>
        <v>ok</v>
      </c>
      <c r="EP56" s="89" t="str">
        <f t="shared" si="24"/>
        <v>ok</v>
      </c>
      <c r="EQ56" s="89" t="str">
        <f t="shared" si="24"/>
        <v>ok</v>
      </c>
      <c r="ER56" s="89" t="str">
        <f t="shared" si="24"/>
        <v>ok</v>
      </c>
      <c r="ES56" s="89" t="str">
        <f t="shared" si="24"/>
        <v>ok</v>
      </c>
      <c r="ET56" s="89" t="str">
        <f t="shared" si="24"/>
        <v>ok</v>
      </c>
      <c r="EU56" s="89" t="str">
        <f t="shared" si="24"/>
        <v>ok</v>
      </c>
      <c r="EV56" s="89" t="str">
        <f t="shared" si="24"/>
        <v>ok</v>
      </c>
      <c r="EW56" s="89" t="str">
        <f t="shared" ref="EW56:FM56" si="25">IF(SUM(EW8:EW38)=EW39,"ok","エラー")</f>
        <v>ok</v>
      </c>
      <c r="EX56" s="89" t="str">
        <f t="shared" si="25"/>
        <v>ok</v>
      </c>
      <c r="EY56" s="89" t="str">
        <f t="shared" si="25"/>
        <v>ok</v>
      </c>
      <c r="EZ56" s="89" t="str">
        <f t="shared" si="25"/>
        <v>ok</v>
      </c>
      <c r="FA56" s="89" t="str">
        <f t="shared" si="25"/>
        <v>ok</v>
      </c>
      <c r="FB56" s="89" t="str">
        <f t="shared" si="25"/>
        <v>ok</v>
      </c>
      <c r="FC56" s="89" t="str">
        <f t="shared" si="25"/>
        <v>ok</v>
      </c>
      <c r="FD56" s="89" t="str">
        <f t="shared" si="25"/>
        <v>ok</v>
      </c>
      <c r="FE56" s="89" t="str">
        <f t="shared" si="25"/>
        <v>ok</v>
      </c>
      <c r="FF56" s="89" t="str">
        <f t="shared" si="25"/>
        <v>ok</v>
      </c>
      <c r="FG56" s="89" t="str">
        <f t="shared" si="25"/>
        <v>ok</v>
      </c>
      <c r="FH56" s="89" t="str">
        <f t="shared" si="25"/>
        <v>ok</v>
      </c>
      <c r="FI56" s="89" t="str">
        <f t="shared" si="25"/>
        <v>エラー</v>
      </c>
      <c r="FJ56" s="89" t="str">
        <f t="shared" si="25"/>
        <v>ok</v>
      </c>
      <c r="FK56" s="89" t="str">
        <f t="shared" si="25"/>
        <v>ok</v>
      </c>
      <c r="FL56" s="89" t="str">
        <f t="shared" si="25"/>
        <v>ok</v>
      </c>
      <c r="FM56" s="89" t="str">
        <f t="shared" si="25"/>
        <v>ok</v>
      </c>
      <c r="FW56" s="89" t="str">
        <f>IF(SUM(FW8:FW38)=FW39,"ok","エラー")</f>
        <v>ok</v>
      </c>
      <c r="FY56" s="89" t="str">
        <f t="shared" ref="FY56:GD56" si="26">IF(SUM(FY8:FY38)=FY39,"ok","エラー")</f>
        <v>ok</v>
      </c>
      <c r="FZ56" s="89" t="str">
        <f t="shared" si="26"/>
        <v>ok</v>
      </c>
      <c r="GA56" s="89" t="str">
        <f t="shared" si="26"/>
        <v>ok</v>
      </c>
      <c r="GB56" s="89" t="str">
        <f t="shared" si="26"/>
        <v>ok</v>
      </c>
      <c r="GC56" s="89" t="str">
        <f t="shared" si="26"/>
        <v>ok</v>
      </c>
      <c r="GD56" s="89" t="str">
        <f t="shared" si="26"/>
        <v>ok</v>
      </c>
      <c r="GI56" s="62" t="str">
        <f>IF(SUM(GI8:GI38)=GI39,"ok","エラー")</f>
        <v>ok</v>
      </c>
    </row>
    <row r="57" spans="2:230" x14ac:dyDescent="0.15">
      <c r="B57" s="89" t="s">
        <v>650</v>
      </c>
      <c r="C57" s="89" t="str">
        <f t="shared" ref="C57:AH57" si="27">IF(SUM(C40:C49)=C50,"ok","エラー")</f>
        <v>ok</v>
      </c>
      <c r="D57" s="89" t="str">
        <f t="shared" si="27"/>
        <v>ok</v>
      </c>
      <c r="E57" s="89" t="str">
        <f t="shared" si="27"/>
        <v>ok</v>
      </c>
      <c r="F57" s="89" t="str">
        <f t="shared" si="27"/>
        <v>ok</v>
      </c>
      <c r="G57" s="89" t="str">
        <f t="shared" si="27"/>
        <v>ok</v>
      </c>
      <c r="H57" s="89" t="str">
        <f t="shared" si="27"/>
        <v>ok</v>
      </c>
      <c r="I57" s="89" t="str">
        <f t="shared" si="27"/>
        <v>ok</v>
      </c>
      <c r="J57" s="89" t="str">
        <f t="shared" si="27"/>
        <v>ok</v>
      </c>
      <c r="K57" s="89" t="str">
        <f t="shared" si="27"/>
        <v>ok</v>
      </c>
      <c r="L57" s="89" t="str">
        <f t="shared" si="27"/>
        <v>ok</v>
      </c>
      <c r="M57" s="89" t="str">
        <f t="shared" si="27"/>
        <v>ok</v>
      </c>
      <c r="N57" s="89" t="str">
        <f t="shared" si="27"/>
        <v>ok</v>
      </c>
      <c r="O57" s="89" t="str">
        <f t="shared" si="27"/>
        <v>ok</v>
      </c>
      <c r="P57" s="89" t="str">
        <f t="shared" si="27"/>
        <v>ok</v>
      </c>
      <c r="Q57" s="89" t="str">
        <f t="shared" si="27"/>
        <v>ok</v>
      </c>
      <c r="R57" s="89" t="str">
        <f t="shared" si="27"/>
        <v>ok</v>
      </c>
      <c r="S57" s="75" t="str">
        <f t="shared" si="27"/>
        <v>ok</v>
      </c>
      <c r="T57" s="89" t="str">
        <f t="shared" si="27"/>
        <v>ok</v>
      </c>
      <c r="U57" s="89" t="str">
        <f t="shared" si="27"/>
        <v>ok</v>
      </c>
      <c r="V57" s="89" t="str">
        <f t="shared" si="27"/>
        <v>ok</v>
      </c>
      <c r="W57" s="89" t="str">
        <f t="shared" si="27"/>
        <v>ok</v>
      </c>
      <c r="X57" s="89" t="str">
        <f t="shared" si="27"/>
        <v>ok</v>
      </c>
      <c r="Y57" s="89" t="str">
        <f t="shared" si="27"/>
        <v>ok</v>
      </c>
      <c r="Z57" s="89" t="str">
        <f t="shared" si="27"/>
        <v>ok</v>
      </c>
      <c r="AA57" s="89" t="str">
        <f t="shared" si="27"/>
        <v>ok</v>
      </c>
      <c r="AB57" s="89" t="str">
        <f t="shared" si="27"/>
        <v>ok</v>
      </c>
      <c r="AC57" s="89" t="str">
        <f t="shared" si="27"/>
        <v>ok</v>
      </c>
      <c r="AD57" s="89" t="str">
        <f t="shared" si="27"/>
        <v>ok</v>
      </c>
      <c r="AE57" s="89" t="str">
        <f t="shared" si="27"/>
        <v>ok</v>
      </c>
      <c r="AF57" s="89" t="str">
        <f t="shared" si="27"/>
        <v>ok</v>
      </c>
      <c r="AG57" s="89" t="str">
        <f t="shared" si="27"/>
        <v>ok</v>
      </c>
      <c r="AH57" s="89" t="str">
        <f t="shared" si="27"/>
        <v>ok</v>
      </c>
      <c r="AI57" s="89" t="str">
        <f t="shared" ref="AI57:BN57" si="28">IF(SUM(AI40:AI49)=AI50,"ok","エラー")</f>
        <v>ok</v>
      </c>
      <c r="AJ57" s="89" t="str">
        <f t="shared" si="28"/>
        <v>ok</v>
      </c>
      <c r="AK57" s="89" t="str">
        <f t="shared" si="28"/>
        <v>ok</v>
      </c>
      <c r="AL57" s="89" t="str">
        <f t="shared" si="28"/>
        <v>ok</v>
      </c>
      <c r="AM57" s="89" t="str">
        <f t="shared" si="28"/>
        <v>ok</v>
      </c>
      <c r="AN57" s="89" t="str">
        <f t="shared" si="28"/>
        <v>ok</v>
      </c>
      <c r="AO57" s="89" t="str">
        <f t="shared" si="28"/>
        <v>ok</v>
      </c>
      <c r="AP57" s="89" t="str">
        <f t="shared" si="28"/>
        <v>ok</v>
      </c>
      <c r="AQ57" s="89" t="str">
        <f t="shared" si="28"/>
        <v>ok</v>
      </c>
      <c r="AR57" s="89" t="str">
        <f t="shared" si="28"/>
        <v>ok</v>
      </c>
      <c r="AS57" s="89" t="str">
        <f t="shared" si="28"/>
        <v>ok</v>
      </c>
      <c r="AT57" s="89" t="str">
        <f t="shared" si="28"/>
        <v>ok</v>
      </c>
      <c r="AU57" s="89" t="str">
        <f t="shared" si="28"/>
        <v>ok</v>
      </c>
      <c r="AV57" s="89" t="str">
        <f t="shared" si="28"/>
        <v>ok</v>
      </c>
      <c r="AW57" s="89" t="str">
        <f t="shared" si="28"/>
        <v>ok</v>
      </c>
      <c r="AX57" s="89" t="str">
        <f t="shared" si="28"/>
        <v>ok</v>
      </c>
      <c r="AY57" s="89" t="str">
        <f t="shared" si="28"/>
        <v>ok</v>
      </c>
      <c r="AZ57" s="89" t="str">
        <f t="shared" si="28"/>
        <v>ok</v>
      </c>
      <c r="BA57" s="89" t="str">
        <f t="shared" si="28"/>
        <v>ok</v>
      </c>
      <c r="BB57" s="89" t="str">
        <f t="shared" si="28"/>
        <v>ok</v>
      </c>
      <c r="BC57" s="89" t="str">
        <f t="shared" si="28"/>
        <v>ok</v>
      </c>
      <c r="BD57" s="89" t="str">
        <f t="shared" si="28"/>
        <v>ok</v>
      </c>
      <c r="BE57" s="89" t="str">
        <f t="shared" si="28"/>
        <v>ok</v>
      </c>
      <c r="BF57" s="89" t="str">
        <f t="shared" si="28"/>
        <v>ok</v>
      </c>
      <c r="BG57" s="89" t="str">
        <f t="shared" si="28"/>
        <v>ok</v>
      </c>
      <c r="BH57" s="89" t="str">
        <f t="shared" si="28"/>
        <v>ok</v>
      </c>
      <c r="BI57" s="89" t="str">
        <f t="shared" si="28"/>
        <v>ok</v>
      </c>
      <c r="BJ57" s="89" t="str">
        <f t="shared" si="28"/>
        <v>ok</v>
      </c>
      <c r="BK57" s="89" t="str">
        <f t="shared" si="28"/>
        <v>ok</v>
      </c>
      <c r="BL57" s="89" t="str">
        <f t="shared" si="28"/>
        <v>ok</v>
      </c>
      <c r="BM57" s="89" t="str">
        <f t="shared" si="28"/>
        <v>ok</v>
      </c>
      <c r="BN57" s="89" t="str">
        <f t="shared" si="28"/>
        <v>ok</v>
      </c>
      <c r="BO57" s="89" t="str">
        <f t="shared" ref="BO57:CI57" si="29">IF(SUM(BO40:BO49)=BO50,"ok","エラー")</f>
        <v>ok</v>
      </c>
      <c r="BP57" s="89" t="str">
        <f t="shared" si="29"/>
        <v>ok</v>
      </c>
      <c r="BQ57" s="89" t="str">
        <f t="shared" si="29"/>
        <v>ok</v>
      </c>
      <c r="BR57" s="89" t="str">
        <f t="shared" si="29"/>
        <v>ok</v>
      </c>
      <c r="BS57" s="89" t="str">
        <f t="shared" si="29"/>
        <v>ok</v>
      </c>
      <c r="BT57" s="89" t="str">
        <f t="shared" si="29"/>
        <v>ok</v>
      </c>
      <c r="BU57" s="89" t="str">
        <f t="shared" si="29"/>
        <v>ok</v>
      </c>
      <c r="BV57" s="89" t="str">
        <f t="shared" si="29"/>
        <v>ok</v>
      </c>
      <c r="BW57" s="89" t="str">
        <f t="shared" si="29"/>
        <v>ok</v>
      </c>
      <c r="BX57" s="89" t="str">
        <f t="shared" si="29"/>
        <v>ok</v>
      </c>
      <c r="BY57" s="89" t="str">
        <f t="shared" si="29"/>
        <v>ok</v>
      </c>
      <c r="BZ57" s="89" t="str">
        <f t="shared" si="29"/>
        <v>ok</v>
      </c>
      <c r="CA57" s="89" t="str">
        <f t="shared" si="29"/>
        <v>ok</v>
      </c>
      <c r="CB57" s="89" t="str">
        <f t="shared" si="29"/>
        <v>ok</v>
      </c>
      <c r="CC57" s="89" t="str">
        <f t="shared" si="29"/>
        <v>ok</v>
      </c>
      <c r="CD57" s="89" t="str">
        <f t="shared" si="29"/>
        <v>ok</v>
      </c>
      <c r="CE57" s="89" t="str">
        <f t="shared" si="29"/>
        <v>ok</v>
      </c>
      <c r="CF57" s="89" t="str">
        <f t="shared" si="29"/>
        <v>ok</v>
      </c>
      <c r="CG57" s="89" t="str">
        <f t="shared" si="29"/>
        <v>ok</v>
      </c>
      <c r="CH57" s="89" t="str">
        <f t="shared" si="29"/>
        <v>ok</v>
      </c>
      <c r="CI57" s="89" t="str">
        <f t="shared" si="29"/>
        <v>ok</v>
      </c>
      <c r="CJ57" s="84"/>
      <c r="CK57" s="89" t="str">
        <f t="shared" ref="CK57:DP57" si="30">IF(SUM(CK40:CK49)=CK50,"ok","エラー")</f>
        <v>ok</v>
      </c>
      <c r="CL57" s="89" t="str">
        <f t="shared" si="30"/>
        <v>ok</v>
      </c>
      <c r="CM57" s="89" t="str">
        <f t="shared" si="30"/>
        <v>ok</v>
      </c>
      <c r="CN57" s="89" t="str">
        <f t="shared" si="30"/>
        <v>ok</v>
      </c>
      <c r="CO57" s="89" t="str">
        <f t="shared" si="30"/>
        <v>ok</v>
      </c>
      <c r="CP57" s="89" t="str">
        <f t="shared" si="30"/>
        <v>ok</v>
      </c>
      <c r="CQ57" s="89" t="str">
        <f t="shared" si="30"/>
        <v>ok</v>
      </c>
      <c r="CR57" s="89" t="str">
        <f t="shared" si="30"/>
        <v>ok</v>
      </c>
      <c r="CS57" s="89" t="str">
        <f t="shared" si="30"/>
        <v>ok</v>
      </c>
      <c r="CT57" s="89" t="str">
        <f t="shared" si="30"/>
        <v>ok</v>
      </c>
      <c r="CU57" s="89" t="str">
        <f t="shared" si="30"/>
        <v>ok</v>
      </c>
      <c r="CV57" s="89" t="str">
        <f t="shared" si="30"/>
        <v>ok</v>
      </c>
      <c r="CW57" s="89" t="str">
        <f t="shared" si="30"/>
        <v>ok</v>
      </c>
      <c r="CX57" s="89" t="str">
        <f t="shared" si="30"/>
        <v>ok</v>
      </c>
      <c r="CY57" s="89" t="str">
        <f t="shared" si="30"/>
        <v>ok</v>
      </c>
      <c r="CZ57" s="89" t="str">
        <f t="shared" si="30"/>
        <v>ok</v>
      </c>
      <c r="DA57" s="89" t="str">
        <f t="shared" si="30"/>
        <v>ok</v>
      </c>
      <c r="DB57" s="89" t="str">
        <f t="shared" si="30"/>
        <v>ok</v>
      </c>
      <c r="DC57" s="89" t="str">
        <f t="shared" si="30"/>
        <v>ok</v>
      </c>
      <c r="DD57" s="89" t="str">
        <f t="shared" si="30"/>
        <v>ok</v>
      </c>
      <c r="DE57" s="89" t="str">
        <f t="shared" si="30"/>
        <v>ok</v>
      </c>
      <c r="DF57" s="89" t="str">
        <f t="shared" si="30"/>
        <v>ok</v>
      </c>
      <c r="DG57" s="89" t="str">
        <f t="shared" si="30"/>
        <v>ok</v>
      </c>
      <c r="DH57" s="89" t="str">
        <f t="shared" si="30"/>
        <v>ok</v>
      </c>
      <c r="DI57" s="89" t="str">
        <f t="shared" si="30"/>
        <v>ok</v>
      </c>
      <c r="DJ57" s="89" t="str">
        <f t="shared" si="30"/>
        <v>ok</v>
      </c>
      <c r="DK57" s="89" t="str">
        <f t="shared" si="30"/>
        <v>ok</v>
      </c>
      <c r="DL57" s="89" t="str">
        <f t="shared" si="30"/>
        <v>ok</v>
      </c>
      <c r="DM57" s="89" t="str">
        <f t="shared" si="30"/>
        <v>ok</v>
      </c>
      <c r="DN57" s="89" t="str">
        <f t="shared" si="30"/>
        <v>ok</v>
      </c>
      <c r="DO57" s="89" t="str">
        <f t="shared" si="30"/>
        <v>ok</v>
      </c>
      <c r="DP57" s="89" t="str">
        <f t="shared" si="30"/>
        <v>ok</v>
      </c>
      <c r="DQ57" s="89" t="str">
        <f t="shared" ref="DQ57:EV57" si="31">IF(SUM(DQ40:DQ49)=DQ50,"ok","エラー")</f>
        <v>ok</v>
      </c>
      <c r="DR57" s="89" t="str">
        <f t="shared" si="31"/>
        <v>ok</v>
      </c>
      <c r="DS57" s="89" t="str">
        <f t="shared" si="31"/>
        <v>ok</v>
      </c>
      <c r="DT57" s="89" t="str">
        <f t="shared" si="31"/>
        <v>ok</v>
      </c>
      <c r="DU57" s="89" t="str">
        <f t="shared" si="31"/>
        <v>ok</v>
      </c>
      <c r="DV57" s="89" t="str">
        <f t="shared" si="31"/>
        <v>ok</v>
      </c>
      <c r="DW57" s="89" t="str">
        <f t="shared" si="31"/>
        <v>ok</v>
      </c>
      <c r="DX57" s="89" t="str">
        <f t="shared" si="31"/>
        <v>ok</v>
      </c>
      <c r="DY57" s="89" t="str">
        <f t="shared" si="31"/>
        <v>ok</v>
      </c>
      <c r="DZ57" s="89" t="str">
        <f t="shared" si="31"/>
        <v>ok</v>
      </c>
      <c r="EA57" s="89" t="str">
        <f t="shared" si="31"/>
        <v>ok</v>
      </c>
      <c r="EB57" s="89" t="str">
        <f t="shared" si="31"/>
        <v>ok</v>
      </c>
      <c r="EC57" s="89" t="str">
        <f t="shared" si="31"/>
        <v>ok</v>
      </c>
      <c r="ED57" s="89" t="str">
        <f t="shared" si="31"/>
        <v>ok</v>
      </c>
      <c r="EE57" s="89" t="str">
        <f t="shared" si="31"/>
        <v>ok</v>
      </c>
      <c r="EF57" s="89" t="str">
        <f t="shared" si="31"/>
        <v>ok</v>
      </c>
      <c r="EG57" s="89" t="str">
        <f t="shared" si="31"/>
        <v>ok</v>
      </c>
      <c r="EH57" s="89" t="str">
        <f t="shared" si="31"/>
        <v>ok</v>
      </c>
      <c r="EI57" s="89" t="str">
        <f t="shared" si="31"/>
        <v>ok</v>
      </c>
      <c r="EJ57" s="89" t="str">
        <f t="shared" si="31"/>
        <v>ok</v>
      </c>
      <c r="EK57" s="89" t="str">
        <f t="shared" si="31"/>
        <v>ok</v>
      </c>
      <c r="EL57" s="89" t="str">
        <f t="shared" si="31"/>
        <v>ok</v>
      </c>
      <c r="EM57" s="89" t="str">
        <f t="shared" si="31"/>
        <v>ok</v>
      </c>
      <c r="EN57" s="89" t="str">
        <f t="shared" si="31"/>
        <v>ok</v>
      </c>
      <c r="EO57" s="89" t="str">
        <f t="shared" si="31"/>
        <v>ok</v>
      </c>
      <c r="EP57" s="89" t="str">
        <f t="shared" si="31"/>
        <v>ok</v>
      </c>
      <c r="EQ57" s="89" t="str">
        <f t="shared" si="31"/>
        <v>ok</v>
      </c>
      <c r="ER57" s="89" t="str">
        <f t="shared" si="31"/>
        <v>ok</v>
      </c>
      <c r="ES57" s="89" t="str">
        <f t="shared" si="31"/>
        <v>ok</v>
      </c>
      <c r="ET57" s="89" t="str">
        <f t="shared" si="31"/>
        <v>ok</v>
      </c>
      <c r="EU57" s="89" t="str">
        <f t="shared" si="31"/>
        <v>ok</v>
      </c>
      <c r="EV57" s="89" t="str">
        <f t="shared" si="31"/>
        <v>ok</v>
      </c>
      <c r="EW57" s="89" t="str">
        <f t="shared" ref="EW57:FM57" si="32">IF(SUM(EW40:EW49)=EW50,"ok","エラー")</f>
        <v>ok</v>
      </c>
      <c r="EX57" s="89" t="str">
        <f t="shared" si="32"/>
        <v>ok</v>
      </c>
      <c r="EY57" s="89" t="str">
        <f t="shared" si="32"/>
        <v>ok</v>
      </c>
      <c r="EZ57" s="89" t="str">
        <f t="shared" si="32"/>
        <v>ok</v>
      </c>
      <c r="FA57" s="89" t="str">
        <f t="shared" si="32"/>
        <v>ok</v>
      </c>
      <c r="FB57" s="89" t="str">
        <f t="shared" si="32"/>
        <v>ok</v>
      </c>
      <c r="FC57" s="89" t="str">
        <f t="shared" si="32"/>
        <v>ok</v>
      </c>
      <c r="FD57" s="89" t="str">
        <f t="shared" si="32"/>
        <v>ok</v>
      </c>
      <c r="FE57" s="89" t="str">
        <f t="shared" si="32"/>
        <v>ok</v>
      </c>
      <c r="FF57" s="89" t="str">
        <f t="shared" si="32"/>
        <v>ok</v>
      </c>
      <c r="FG57" s="89" t="str">
        <f t="shared" si="32"/>
        <v>ok</v>
      </c>
      <c r="FH57" s="89" t="str">
        <f t="shared" si="32"/>
        <v>ok</v>
      </c>
      <c r="FI57" s="89" t="str">
        <f t="shared" si="32"/>
        <v>エラー</v>
      </c>
      <c r="FJ57" s="89" t="str">
        <f t="shared" si="32"/>
        <v>ok</v>
      </c>
      <c r="FK57" s="89" t="str">
        <f t="shared" si="32"/>
        <v>ok</v>
      </c>
      <c r="FL57" s="89" t="str">
        <f t="shared" si="32"/>
        <v>ok</v>
      </c>
      <c r="FM57" s="89" t="str">
        <f t="shared" si="32"/>
        <v>ok</v>
      </c>
      <c r="FW57" s="89" t="str">
        <f>IF(SUM(FW40:FW49)=FW50,"ok","エラー")</f>
        <v>ok</v>
      </c>
      <c r="FY57" s="89" t="str">
        <f t="shared" ref="FY57:GD57" si="33">IF(SUM(FY40:FY49)=FY50,"ok","エラー")</f>
        <v>ok</v>
      </c>
      <c r="FZ57" s="89" t="str">
        <f t="shared" si="33"/>
        <v>ok</v>
      </c>
      <c r="GA57" s="89" t="str">
        <f t="shared" si="33"/>
        <v>ok</v>
      </c>
      <c r="GB57" s="89" t="str">
        <f t="shared" si="33"/>
        <v>ok</v>
      </c>
      <c r="GC57" s="89" t="str">
        <f t="shared" si="33"/>
        <v>ok</v>
      </c>
      <c r="GD57" s="89" t="str">
        <f t="shared" si="33"/>
        <v>ok</v>
      </c>
      <c r="GI57" s="62" t="str">
        <f>IF(SUM(GI40:GI49)=GI50,"ok","エラー")</f>
        <v>ok</v>
      </c>
    </row>
    <row r="58" spans="2:230" x14ac:dyDescent="0.15">
      <c r="B58" s="89" t="s">
        <v>650</v>
      </c>
      <c r="C58" s="89" t="str">
        <f t="shared" ref="C58:AH58" si="34">IF(C39+C50=C51,"ok","エラー")</f>
        <v>ok</v>
      </c>
      <c r="D58" s="89" t="str">
        <f t="shared" si="34"/>
        <v>ok</v>
      </c>
      <c r="E58" s="89" t="str">
        <f t="shared" si="34"/>
        <v>ok</v>
      </c>
      <c r="F58" s="89" t="str">
        <f t="shared" si="34"/>
        <v>ok</v>
      </c>
      <c r="G58" s="89" t="str">
        <f t="shared" si="34"/>
        <v>ok</v>
      </c>
      <c r="H58" s="89" t="str">
        <f t="shared" si="34"/>
        <v>ok</v>
      </c>
      <c r="I58" s="89" t="str">
        <f t="shared" si="34"/>
        <v>ok</v>
      </c>
      <c r="J58" s="89" t="str">
        <f t="shared" si="34"/>
        <v>ok</v>
      </c>
      <c r="K58" s="89" t="str">
        <f t="shared" si="34"/>
        <v>ok</v>
      </c>
      <c r="L58" s="89" t="str">
        <f t="shared" si="34"/>
        <v>ok</v>
      </c>
      <c r="M58" s="89" t="str">
        <f t="shared" si="34"/>
        <v>ok</v>
      </c>
      <c r="N58" s="89" t="str">
        <f t="shared" si="34"/>
        <v>ok</v>
      </c>
      <c r="O58" s="89" t="str">
        <f t="shared" si="34"/>
        <v>ok</v>
      </c>
      <c r="P58" s="89" t="str">
        <f t="shared" si="34"/>
        <v>ok</v>
      </c>
      <c r="Q58" s="89" t="str">
        <f t="shared" si="34"/>
        <v>ok</v>
      </c>
      <c r="R58" s="89" t="str">
        <f t="shared" si="34"/>
        <v>ok</v>
      </c>
      <c r="S58" s="75" t="str">
        <f t="shared" si="34"/>
        <v>ok</v>
      </c>
      <c r="T58" s="89" t="str">
        <f t="shared" si="34"/>
        <v>ok</v>
      </c>
      <c r="U58" s="89" t="str">
        <f t="shared" si="34"/>
        <v>ok</v>
      </c>
      <c r="V58" s="89" t="str">
        <f t="shared" si="34"/>
        <v>ok</v>
      </c>
      <c r="W58" s="89" t="str">
        <f t="shared" si="34"/>
        <v>ok</v>
      </c>
      <c r="X58" s="89" t="str">
        <f t="shared" si="34"/>
        <v>ok</v>
      </c>
      <c r="Y58" s="89" t="str">
        <f t="shared" si="34"/>
        <v>ok</v>
      </c>
      <c r="Z58" s="89" t="str">
        <f t="shared" si="34"/>
        <v>ok</v>
      </c>
      <c r="AA58" s="89" t="str">
        <f t="shared" si="34"/>
        <v>ok</v>
      </c>
      <c r="AB58" s="89" t="str">
        <f t="shared" si="34"/>
        <v>ok</v>
      </c>
      <c r="AC58" s="89" t="str">
        <f t="shared" si="34"/>
        <v>ok</v>
      </c>
      <c r="AD58" s="89" t="str">
        <f t="shared" si="34"/>
        <v>ok</v>
      </c>
      <c r="AE58" s="89" t="str">
        <f t="shared" si="34"/>
        <v>ok</v>
      </c>
      <c r="AF58" s="89" t="str">
        <f t="shared" si="34"/>
        <v>ok</v>
      </c>
      <c r="AG58" s="89" t="str">
        <f t="shared" si="34"/>
        <v>ok</v>
      </c>
      <c r="AH58" s="89" t="str">
        <f t="shared" si="34"/>
        <v>ok</v>
      </c>
      <c r="AI58" s="89" t="str">
        <f t="shared" ref="AI58:BN58" si="35">IF(AI39+AI50=AI51,"ok","エラー")</f>
        <v>ok</v>
      </c>
      <c r="AJ58" s="89" t="str">
        <f t="shared" si="35"/>
        <v>ok</v>
      </c>
      <c r="AK58" s="89" t="str">
        <f t="shared" si="35"/>
        <v>ok</v>
      </c>
      <c r="AL58" s="89" t="str">
        <f t="shared" si="35"/>
        <v>ok</v>
      </c>
      <c r="AM58" s="89" t="str">
        <f t="shared" si="35"/>
        <v>ok</v>
      </c>
      <c r="AN58" s="89" t="str">
        <f t="shared" si="35"/>
        <v>ok</v>
      </c>
      <c r="AO58" s="89" t="str">
        <f t="shared" si="35"/>
        <v>ok</v>
      </c>
      <c r="AP58" s="89" t="str">
        <f t="shared" si="35"/>
        <v>ok</v>
      </c>
      <c r="AQ58" s="89" t="str">
        <f t="shared" si="35"/>
        <v>ok</v>
      </c>
      <c r="AR58" s="89" t="str">
        <f t="shared" si="35"/>
        <v>ok</v>
      </c>
      <c r="AS58" s="89" t="str">
        <f t="shared" si="35"/>
        <v>ok</v>
      </c>
      <c r="AT58" s="89" t="str">
        <f t="shared" si="35"/>
        <v>ok</v>
      </c>
      <c r="AU58" s="89" t="str">
        <f t="shared" si="35"/>
        <v>ok</v>
      </c>
      <c r="AV58" s="89" t="str">
        <f t="shared" si="35"/>
        <v>ok</v>
      </c>
      <c r="AW58" s="89" t="str">
        <f t="shared" si="35"/>
        <v>ok</v>
      </c>
      <c r="AX58" s="89" t="str">
        <f t="shared" si="35"/>
        <v>ok</v>
      </c>
      <c r="AY58" s="89" t="str">
        <f t="shared" si="35"/>
        <v>ok</v>
      </c>
      <c r="AZ58" s="89" t="str">
        <f t="shared" si="35"/>
        <v>ok</v>
      </c>
      <c r="BA58" s="89" t="str">
        <f t="shared" si="35"/>
        <v>ok</v>
      </c>
      <c r="BB58" s="89" t="str">
        <f t="shared" si="35"/>
        <v>ok</v>
      </c>
      <c r="BC58" s="89" t="str">
        <f t="shared" si="35"/>
        <v>ok</v>
      </c>
      <c r="BD58" s="89" t="str">
        <f t="shared" si="35"/>
        <v>ok</v>
      </c>
      <c r="BE58" s="89" t="str">
        <f t="shared" si="35"/>
        <v>ok</v>
      </c>
      <c r="BF58" s="89" t="str">
        <f t="shared" si="35"/>
        <v>ok</v>
      </c>
      <c r="BG58" s="89" t="str">
        <f t="shared" si="35"/>
        <v>ok</v>
      </c>
      <c r="BH58" s="89" t="str">
        <f t="shared" si="35"/>
        <v>ok</v>
      </c>
      <c r="BI58" s="89" t="str">
        <f t="shared" si="35"/>
        <v>ok</v>
      </c>
      <c r="BJ58" s="89" t="str">
        <f t="shared" si="35"/>
        <v>ok</v>
      </c>
      <c r="BK58" s="89" t="str">
        <f t="shared" si="35"/>
        <v>ok</v>
      </c>
      <c r="BL58" s="89" t="str">
        <f t="shared" si="35"/>
        <v>ok</v>
      </c>
      <c r="BM58" s="89" t="str">
        <f t="shared" si="35"/>
        <v>ok</v>
      </c>
      <c r="BN58" s="89" t="str">
        <f t="shared" si="35"/>
        <v>ok</v>
      </c>
      <c r="BO58" s="89" t="str">
        <f t="shared" ref="BO58:CI58" si="36">IF(BO39+BO50=BO51,"ok","エラー")</f>
        <v>ok</v>
      </c>
      <c r="BP58" s="89" t="str">
        <f t="shared" si="36"/>
        <v>ok</v>
      </c>
      <c r="BQ58" s="89" t="str">
        <f t="shared" si="36"/>
        <v>ok</v>
      </c>
      <c r="BR58" s="89" t="str">
        <f t="shared" si="36"/>
        <v>ok</v>
      </c>
      <c r="BS58" s="89" t="str">
        <f t="shared" si="36"/>
        <v>ok</v>
      </c>
      <c r="BT58" s="89" t="str">
        <f t="shared" si="36"/>
        <v>ok</v>
      </c>
      <c r="BU58" s="89" t="str">
        <f t="shared" si="36"/>
        <v>ok</v>
      </c>
      <c r="BV58" s="89" t="str">
        <f t="shared" si="36"/>
        <v>ok</v>
      </c>
      <c r="BW58" s="89" t="str">
        <f t="shared" si="36"/>
        <v>ok</v>
      </c>
      <c r="BX58" s="89" t="str">
        <f t="shared" si="36"/>
        <v>ok</v>
      </c>
      <c r="BY58" s="89" t="str">
        <f t="shared" si="36"/>
        <v>ok</v>
      </c>
      <c r="BZ58" s="89" t="str">
        <f t="shared" si="36"/>
        <v>ok</v>
      </c>
      <c r="CA58" s="89" t="str">
        <f t="shared" si="36"/>
        <v>ok</v>
      </c>
      <c r="CB58" s="89" t="str">
        <f t="shared" si="36"/>
        <v>ok</v>
      </c>
      <c r="CC58" s="89" t="str">
        <f t="shared" si="36"/>
        <v>ok</v>
      </c>
      <c r="CD58" s="89" t="str">
        <f t="shared" si="36"/>
        <v>ok</v>
      </c>
      <c r="CE58" s="89" t="str">
        <f t="shared" si="36"/>
        <v>ok</v>
      </c>
      <c r="CF58" s="89" t="str">
        <f t="shared" si="36"/>
        <v>ok</v>
      </c>
      <c r="CG58" s="89" t="str">
        <f t="shared" si="36"/>
        <v>ok</v>
      </c>
      <c r="CH58" s="89" t="str">
        <f t="shared" si="36"/>
        <v>ok</v>
      </c>
      <c r="CI58" s="89" t="str">
        <f t="shared" si="36"/>
        <v>ok</v>
      </c>
      <c r="CJ58" s="84"/>
      <c r="CK58" s="89" t="str">
        <f t="shared" ref="CK58:DP58" si="37">IF(CK39+CK50=CK51,"ok","エラー")</f>
        <v>ok</v>
      </c>
      <c r="CL58" s="89" t="str">
        <f t="shared" si="37"/>
        <v>ok</v>
      </c>
      <c r="CM58" s="89" t="str">
        <f t="shared" si="37"/>
        <v>ok</v>
      </c>
      <c r="CN58" s="89" t="str">
        <f t="shared" si="37"/>
        <v>ok</v>
      </c>
      <c r="CO58" s="89" t="str">
        <f t="shared" si="37"/>
        <v>ok</v>
      </c>
      <c r="CP58" s="89" t="str">
        <f t="shared" si="37"/>
        <v>ok</v>
      </c>
      <c r="CQ58" s="89" t="str">
        <f t="shared" si="37"/>
        <v>ok</v>
      </c>
      <c r="CR58" s="89" t="str">
        <f t="shared" si="37"/>
        <v>ok</v>
      </c>
      <c r="CS58" s="89" t="str">
        <f t="shared" si="37"/>
        <v>ok</v>
      </c>
      <c r="CT58" s="89" t="str">
        <f t="shared" si="37"/>
        <v>ok</v>
      </c>
      <c r="CU58" s="89" t="str">
        <f t="shared" si="37"/>
        <v>ok</v>
      </c>
      <c r="CV58" s="89" t="str">
        <f t="shared" si="37"/>
        <v>ok</v>
      </c>
      <c r="CW58" s="89" t="str">
        <f t="shared" si="37"/>
        <v>ok</v>
      </c>
      <c r="CX58" s="89" t="str">
        <f t="shared" si="37"/>
        <v>ok</v>
      </c>
      <c r="CY58" s="89" t="str">
        <f t="shared" si="37"/>
        <v>ok</v>
      </c>
      <c r="CZ58" s="89" t="str">
        <f t="shared" si="37"/>
        <v>ok</v>
      </c>
      <c r="DA58" s="89" t="str">
        <f t="shared" si="37"/>
        <v>ok</v>
      </c>
      <c r="DB58" s="89" t="str">
        <f t="shared" si="37"/>
        <v>ok</v>
      </c>
      <c r="DC58" s="89" t="str">
        <f t="shared" si="37"/>
        <v>ok</v>
      </c>
      <c r="DD58" s="89" t="str">
        <f t="shared" si="37"/>
        <v>ok</v>
      </c>
      <c r="DE58" s="89" t="str">
        <f t="shared" si="37"/>
        <v>ok</v>
      </c>
      <c r="DF58" s="89" t="str">
        <f t="shared" si="37"/>
        <v>ok</v>
      </c>
      <c r="DG58" s="89" t="str">
        <f t="shared" si="37"/>
        <v>ok</v>
      </c>
      <c r="DH58" s="89" t="str">
        <f t="shared" si="37"/>
        <v>ok</v>
      </c>
      <c r="DI58" s="89" t="str">
        <f t="shared" si="37"/>
        <v>ok</v>
      </c>
      <c r="DJ58" s="89" t="str">
        <f t="shared" si="37"/>
        <v>ok</v>
      </c>
      <c r="DK58" s="89" t="str">
        <f t="shared" si="37"/>
        <v>ok</v>
      </c>
      <c r="DL58" s="89" t="str">
        <f t="shared" si="37"/>
        <v>ok</v>
      </c>
      <c r="DM58" s="89" t="str">
        <f t="shared" si="37"/>
        <v>ok</v>
      </c>
      <c r="DN58" s="89" t="str">
        <f t="shared" si="37"/>
        <v>ok</v>
      </c>
      <c r="DO58" s="89" t="str">
        <f t="shared" si="37"/>
        <v>ok</v>
      </c>
      <c r="DP58" s="89" t="str">
        <f t="shared" si="37"/>
        <v>ok</v>
      </c>
      <c r="DQ58" s="89" t="str">
        <f t="shared" ref="DQ58:EV58" si="38">IF(DQ39+DQ50=DQ51,"ok","エラー")</f>
        <v>ok</v>
      </c>
      <c r="DR58" s="89" t="str">
        <f t="shared" si="38"/>
        <v>ok</v>
      </c>
      <c r="DS58" s="89" t="str">
        <f t="shared" si="38"/>
        <v>ok</v>
      </c>
      <c r="DT58" s="89" t="str">
        <f t="shared" si="38"/>
        <v>ok</v>
      </c>
      <c r="DU58" s="89" t="str">
        <f t="shared" si="38"/>
        <v>ok</v>
      </c>
      <c r="DV58" s="89" t="str">
        <f t="shared" si="38"/>
        <v>ok</v>
      </c>
      <c r="DW58" s="89" t="str">
        <f t="shared" si="38"/>
        <v>ok</v>
      </c>
      <c r="DX58" s="89" t="str">
        <f t="shared" si="38"/>
        <v>ok</v>
      </c>
      <c r="DY58" s="89" t="str">
        <f t="shared" si="38"/>
        <v>ok</v>
      </c>
      <c r="DZ58" s="89" t="str">
        <f t="shared" si="38"/>
        <v>ok</v>
      </c>
      <c r="EA58" s="89" t="str">
        <f t="shared" si="38"/>
        <v>ok</v>
      </c>
      <c r="EB58" s="89" t="str">
        <f t="shared" si="38"/>
        <v>ok</v>
      </c>
      <c r="EC58" s="89" t="str">
        <f t="shared" si="38"/>
        <v>ok</v>
      </c>
      <c r="ED58" s="89" t="str">
        <f t="shared" si="38"/>
        <v>ok</v>
      </c>
      <c r="EE58" s="89" t="str">
        <f t="shared" si="38"/>
        <v>ok</v>
      </c>
      <c r="EF58" s="89" t="str">
        <f t="shared" si="38"/>
        <v>ok</v>
      </c>
      <c r="EG58" s="89" t="str">
        <f t="shared" si="38"/>
        <v>ok</v>
      </c>
      <c r="EH58" s="89" t="str">
        <f t="shared" si="38"/>
        <v>ok</v>
      </c>
      <c r="EI58" s="89" t="str">
        <f t="shared" si="38"/>
        <v>ok</v>
      </c>
      <c r="EJ58" s="89" t="str">
        <f t="shared" si="38"/>
        <v>ok</v>
      </c>
      <c r="EK58" s="89" t="str">
        <f t="shared" si="38"/>
        <v>ok</v>
      </c>
      <c r="EL58" s="89" t="str">
        <f t="shared" si="38"/>
        <v>ok</v>
      </c>
      <c r="EM58" s="89" t="str">
        <f t="shared" si="38"/>
        <v>ok</v>
      </c>
      <c r="EN58" s="89" t="str">
        <f t="shared" si="38"/>
        <v>ok</v>
      </c>
      <c r="EO58" s="89" t="str">
        <f t="shared" si="38"/>
        <v>ok</v>
      </c>
      <c r="EP58" s="89" t="str">
        <f t="shared" si="38"/>
        <v>ok</v>
      </c>
      <c r="EQ58" s="89" t="str">
        <f t="shared" si="38"/>
        <v>ok</v>
      </c>
      <c r="ER58" s="89" t="str">
        <f t="shared" si="38"/>
        <v>ok</v>
      </c>
      <c r="ES58" s="89" t="str">
        <f t="shared" si="38"/>
        <v>ok</v>
      </c>
      <c r="ET58" s="89" t="str">
        <f t="shared" si="38"/>
        <v>ok</v>
      </c>
      <c r="EU58" s="89" t="str">
        <f t="shared" si="38"/>
        <v>ok</v>
      </c>
      <c r="EV58" s="89" t="str">
        <f t="shared" si="38"/>
        <v>ok</v>
      </c>
      <c r="EW58" s="89" t="str">
        <f t="shared" ref="EW58:FM58" si="39">IF(EW39+EW50=EW51,"ok","エラー")</f>
        <v>ok</v>
      </c>
      <c r="EX58" s="89" t="str">
        <f t="shared" si="39"/>
        <v>ok</v>
      </c>
      <c r="EY58" s="89" t="str">
        <f t="shared" si="39"/>
        <v>ok</v>
      </c>
      <c r="EZ58" s="89" t="str">
        <f t="shared" si="39"/>
        <v>ok</v>
      </c>
      <c r="FA58" s="89" t="str">
        <f t="shared" si="39"/>
        <v>ok</v>
      </c>
      <c r="FB58" s="89" t="str">
        <f t="shared" si="39"/>
        <v>ok</v>
      </c>
      <c r="FC58" s="89" t="str">
        <f t="shared" si="39"/>
        <v>ok</v>
      </c>
      <c r="FD58" s="89" t="str">
        <f t="shared" si="39"/>
        <v>ok</v>
      </c>
      <c r="FE58" s="89" t="str">
        <f t="shared" si="39"/>
        <v>ok</v>
      </c>
      <c r="FF58" s="89" t="str">
        <f t="shared" si="39"/>
        <v>ok</v>
      </c>
      <c r="FG58" s="89" t="str">
        <f t="shared" si="39"/>
        <v>ok</v>
      </c>
      <c r="FH58" s="89" t="str">
        <f t="shared" si="39"/>
        <v>ok</v>
      </c>
      <c r="FI58" s="89" t="str">
        <f t="shared" si="39"/>
        <v>エラー</v>
      </c>
      <c r="FJ58" s="89" t="str">
        <f t="shared" si="39"/>
        <v>ok</v>
      </c>
      <c r="FK58" s="89" t="str">
        <f t="shared" si="39"/>
        <v>ok</v>
      </c>
      <c r="FL58" s="89" t="str">
        <f t="shared" si="39"/>
        <v>ok</v>
      </c>
      <c r="FM58" s="89" t="str">
        <f t="shared" si="39"/>
        <v>ok</v>
      </c>
      <c r="FW58" s="89" t="str">
        <f>IF(FW39+FW50=FW51,"ok","エラー")</f>
        <v>ok</v>
      </c>
      <c r="FY58" s="89" t="str">
        <f t="shared" ref="FY58:GD58" si="40">IF(FY39+FY50=FY51,"ok","エラー")</f>
        <v>ok</v>
      </c>
      <c r="FZ58" s="89" t="str">
        <f t="shared" si="40"/>
        <v>ok</v>
      </c>
      <c r="GA58" s="89" t="str">
        <f t="shared" si="40"/>
        <v>ok</v>
      </c>
      <c r="GB58" s="89" t="str">
        <f t="shared" si="40"/>
        <v>ok</v>
      </c>
      <c r="GC58" s="89" t="str">
        <f t="shared" si="40"/>
        <v>ok</v>
      </c>
      <c r="GD58" s="89" t="str">
        <f t="shared" si="40"/>
        <v>ok</v>
      </c>
      <c r="GI58" s="62" t="str">
        <f>IF(GI39+GI50=GI51,"ok","エラー")</f>
        <v>ok</v>
      </c>
    </row>
    <row r="59" spans="2:230" x14ac:dyDescent="0.15">
      <c r="B59" s="72" t="s">
        <v>650</v>
      </c>
      <c r="C59" s="89" t="str">
        <f t="shared" ref="C59:AH59" si="41">IF(C6+C7+C51=C52,"ok","エラー")</f>
        <v>ok</v>
      </c>
      <c r="D59" s="89" t="str">
        <f t="shared" si="41"/>
        <v>ok</v>
      </c>
      <c r="E59" s="89" t="str">
        <f t="shared" si="41"/>
        <v>ok</v>
      </c>
      <c r="F59" s="89" t="str">
        <f t="shared" si="41"/>
        <v>ok</v>
      </c>
      <c r="G59" s="89" t="str">
        <f t="shared" si="41"/>
        <v>ok</v>
      </c>
      <c r="H59" s="89" t="str">
        <f t="shared" si="41"/>
        <v>ok</v>
      </c>
      <c r="I59" s="89" t="str">
        <f t="shared" si="41"/>
        <v>ok</v>
      </c>
      <c r="J59" s="89" t="str">
        <f t="shared" si="41"/>
        <v>ok</v>
      </c>
      <c r="K59" s="89" t="str">
        <f t="shared" si="41"/>
        <v>ok</v>
      </c>
      <c r="L59" s="89" t="str">
        <f t="shared" si="41"/>
        <v>ok</v>
      </c>
      <c r="M59" s="89" t="str">
        <f t="shared" si="41"/>
        <v>ok</v>
      </c>
      <c r="N59" s="89" t="str">
        <f t="shared" si="41"/>
        <v>ok</v>
      </c>
      <c r="O59" s="89" t="str">
        <f t="shared" si="41"/>
        <v>ok</v>
      </c>
      <c r="P59" s="89" t="str">
        <f t="shared" si="41"/>
        <v>ok</v>
      </c>
      <c r="Q59" s="89" t="str">
        <f t="shared" si="41"/>
        <v>ok</v>
      </c>
      <c r="R59" s="89" t="str">
        <f t="shared" si="41"/>
        <v>ok</v>
      </c>
      <c r="S59" s="75" t="str">
        <f t="shared" si="41"/>
        <v>ok</v>
      </c>
      <c r="T59" s="89" t="str">
        <f t="shared" si="41"/>
        <v>ok</v>
      </c>
      <c r="U59" s="89" t="str">
        <f t="shared" si="41"/>
        <v>ok</v>
      </c>
      <c r="V59" s="89" t="str">
        <f t="shared" si="41"/>
        <v>ok</v>
      </c>
      <c r="W59" s="89" t="str">
        <f t="shared" si="41"/>
        <v>ok</v>
      </c>
      <c r="X59" s="89" t="str">
        <f t="shared" si="41"/>
        <v>ok</v>
      </c>
      <c r="Y59" s="89" t="str">
        <f t="shared" si="41"/>
        <v>ok</v>
      </c>
      <c r="Z59" s="89" t="str">
        <f t="shared" si="41"/>
        <v>ok</v>
      </c>
      <c r="AA59" s="89" t="str">
        <f t="shared" si="41"/>
        <v>ok</v>
      </c>
      <c r="AB59" s="89" t="str">
        <f t="shared" si="41"/>
        <v>ok</v>
      </c>
      <c r="AC59" s="89" t="str">
        <f t="shared" si="41"/>
        <v>ok</v>
      </c>
      <c r="AD59" s="89" t="str">
        <f t="shared" si="41"/>
        <v>ok</v>
      </c>
      <c r="AE59" s="89" t="str">
        <f t="shared" si="41"/>
        <v>ok</v>
      </c>
      <c r="AF59" s="89" t="str">
        <f t="shared" si="41"/>
        <v>ok</v>
      </c>
      <c r="AG59" s="89" t="str">
        <f t="shared" si="41"/>
        <v>ok</v>
      </c>
      <c r="AH59" s="89" t="str">
        <f t="shared" si="41"/>
        <v>ok</v>
      </c>
      <c r="AI59" s="89" t="str">
        <f t="shared" ref="AI59:BN59" si="42">IF(AI6+AI7+AI51=AI52,"ok","エラー")</f>
        <v>ok</v>
      </c>
      <c r="AJ59" s="89" t="str">
        <f t="shared" si="42"/>
        <v>ok</v>
      </c>
      <c r="AK59" s="89" t="str">
        <f t="shared" si="42"/>
        <v>ok</v>
      </c>
      <c r="AL59" s="89" t="str">
        <f t="shared" si="42"/>
        <v>エラー</v>
      </c>
      <c r="AM59" s="89" t="str">
        <f t="shared" si="42"/>
        <v>ok</v>
      </c>
      <c r="AN59" s="89" t="str">
        <f t="shared" si="42"/>
        <v>エラー</v>
      </c>
      <c r="AO59" s="89" t="str">
        <f t="shared" si="42"/>
        <v>ok</v>
      </c>
      <c r="AP59" s="89" t="str">
        <f t="shared" si="42"/>
        <v>ok</v>
      </c>
      <c r="AQ59" s="89" t="str">
        <f t="shared" si="42"/>
        <v>ok</v>
      </c>
      <c r="AR59" s="89" t="str">
        <f t="shared" si="42"/>
        <v>ok</v>
      </c>
      <c r="AS59" s="89" t="str">
        <f t="shared" si="42"/>
        <v>ok</v>
      </c>
      <c r="AT59" s="89" t="str">
        <f t="shared" si="42"/>
        <v>ok</v>
      </c>
      <c r="AU59" s="89" t="str">
        <f t="shared" si="42"/>
        <v>ok</v>
      </c>
      <c r="AV59" s="89" t="str">
        <f t="shared" si="42"/>
        <v>ok</v>
      </c>
      <c r="AW59" s="89" t="str">
        <f t="shared" si="42"/>
        <v>ok</v>
      </c>
      <c r="AX59" s="89" t="str">
        <f t="shared" si="42"/>
        <v>ok</v>
      </c>
      <c r="AY59" s="89" t="str">
        <f t="shared" si="42"/>
        <v>ok</v>
      </c>
      <c r="AZ59" s="89" t="str">
        <f t="shared" si="42"/>
        <v>ok</v>
      </c>
      <c r="BA59" s="89" t="str">
        <f t="shared" si="42"/>
        <v>ok</v>
      </c>
      <c r="BB59" s="89" t="str">
        <f t="shared" si="42"/>
        <v>ok</v>
      </c>
      <c r="BC59" s="89" t="str">
        <f t="shared" si="42"/>
        <v>ok</v>
      </c>
      <c r="BD59" s="89" t="str">
        <f t="shared" si="42"/>
        <v>ok</v>
      </c>
      <c r="BE59" s="89" t="str">
        <f t="shared" si="42"/>
        <v>ok</v>
      </c>
      <c r="BF59" s="89" t="str">
        <f t="shared" si="42"/>
        <v>ok</v>
      </c>
      <c r="BG59" s="89" t="str">
        <f t="shared" si="42"/>
        <v>ok</v>
      </c>
      <c r="BH59" s="89" t="str">
        <f t="shared" si="42"/>
        <v>ok</v>
      </c>
      <c r="BI59" s="89" t="str">
        <f t="shared" si="42"/>
        <v>ok</v>
      </c>
      <c r="BJ59" s="89" t="str">
        <f t="shared" si="42"/>
        <v>ok</v>
      </c>
      <c r="BK59" s="89" t="str">
        <f t="shared" si="42"/>
        <v>ok</v>
      </c>
      <c r="BL59" s="89" t="str">
        <f t="shared" si="42"/>
        <v>ok</v>
      </c>
      <c r="BM59" s="89" t="str">
        <f t="shared" si="42"/>
        <v>ok</v>
      </c>
      <c r="BN59" s="89" t="str">
        <f t="shared" si="42"/>
        <v>ok</v>
      </c>
      <c r="BO59" s="89" t="str">
        <f t="shared" ref="BO59:CI59" si="43">IF(BO6+BO7+BO51=BO52,"ok","エラー")</f>
        <v>ok</v>
      </c>
      <c r="BP59" s="89" t="str">
        <f t="shared" si="43"/>
        <v>ok</v>
      </c>
      <c r="BQ59" s="89" t="str">
        <f t="shared" si="43"/>
        <v>ok</v>
      </c>
      <c r="BR59" s="89" t="str">
        <f t="shared" si="43"/>
        <v>ok</v>
      </c>
      <c r="BS59" s="89" t="str">
        <f t="shared" si="43"/>
        <v>ok</v>
      </c>
      <c r="BT59" s="89" t="str">
        <f t="shared" si="43"/>
        <v>ok</v>
      </c>
      <c r="BU59" s="89" t="str">
        <f t="shared" si="43"/>
        <v>ok</v>
      </c>
      <c r="BV59" s="89" t="str">
        <f t="shared" si="43"/>
        <v>ok</v>
      </c>
      <c r="BW59" s="89" t="str">
        <f t="shared" si="43"/>
        <v>ok</v>
      </c>
      <c r="BX59" s="89" t="str">
        <f t="shared" si="43"/>
        <v>ok</v>
      </c>
      <c r="BY59" s="89" t="str">
        <f t="shared" si="43"/>
        <v>ok</v>
      </c>
      <c r="BZ59" s="89" t="str">
        <f t="shared" si="43"/>
        <v>ok</v>
      </c>
      <c r="CA59" s="89" t="str">
        <f t="shared" si="43"/>
        <v>ok</v>
      </c>
      <c r="CB59" s="89" t="str">
        <f t="shared" si="43"/>
        <v>ok</v>
      </c>
      <c r="CC59" s="89" t="str">
        <f t="shared" si="43"/>
        <v>ok</v>
      </c>
      <c r="CD59" s="89" t="str">
        <f t="shared" si="43"/>
        <v>ok</v>
      </c>
      <c r="CE59" s="89" t="str">
        <f t="shared" si="43"/>
        <v>ok</v>
      </c>
      <c r="CF59" s="89" t="str">
        <f t="shared" si="43"/>
        <v>ok</v>
      </c>
      <c r="CG59" s="89" t="str">
        <f t="shared" si="43"/>
        <v>ok</v>
      </c>
      <c r="CH59" s="89" t="str">
        <f t="shared" si="43"/>
        <v>ok</v>
      </c>
      <c r="CI59" s="89" t="str">
        <f t="shared" si="43"/>
        <v>ok</v>
      </c>
      <c r="CJ59" s="84"/>
      <c r="CK59" s="89" t="str">
        <f t="shared" ref="CK59:DP59" si="44">IF(CK6+CK7+CK51=CK52,"ok","エラー")</f>
        <v>ok</v>
      </c>
      <c r="CL59" s="89" t="str">
        <f t="shared" si="44"/>
        <v>ok</v>
      </c>
      <c r="CM59" s="89" t="str">
        <f t="shared" si="44"/>
        <v>ok</v>
      </c>
      <c r="CN59" s="89" t="str">
        <f t="shared" si="44"/>
        <v>ok</v>
      </c>
      <c r="CO59" s="89" t="str">
        <f t="shared" si="44"/>
        <v>ok</v>
      </c>
      <c r="CP59" s="89" t="str">
        <f t="shared" si="44"/>
        <v>ok</v>
      </c>
      <c r="CQ59" s="89" t="str">
        <f t="shared" si="44"/>
        <v>ok</v>
      </c>
      <c r="CR59" s="89" t="str">
        <f t="shared" si="44"/>
        <v>ok</v>
      </c>
      <c r="CS59" s="89" t="str">
        <f t="shared" si="44"/>
        <v>ok</v>
      </c>
      <c r="CT59" s="89" t="str">
        <f t="shared" si="44"/>
        <v>ok</v>
      </c>
      <c r="CU59" s="89" t="str">
        <f t="shared" si="44"/>
        <v>ok</v>
      </c>
      <c r="CV59" s="89" t="str">
        <f t="shared" si="44"/>
        <v>ok</v>
      </c>
      <c r="CW59" s="89" t="str">
        <f t="shared" si="44"/>
        <v>ok</v>
      </c>
      <c r="CX59" s="89" t="str">
        <f t="shared" si="44"/>
        <v>ok</v>
      </c>
      <c r="CY59" s="89" t="str">
        <f t="shared" si="44"/>
        <v>ok</v>
      </c>
      <c r="CZ59" s="89" t="str">
        <f t="shared" si="44"/>
        <v>ok</v>
      </c>
      <c r="DA59" s="89" t="str">
        <f t="shared" si="44"/>
        <v>ok</v>
      </c>
      <c r="DB59" s="89" t="str">
        <f t="shared" si="44"/>
        <v>ok</v>
      </c>
      <c r="DC59" s="89" t="str">
        <f t="shared" si="44"/>
        <v>ok</v>
      </c>
      <c r="DD59" s="89" t="str">
        <f t="shared" si="44"/>
        <v>ok</v>
      </c>
      <c r="DE59" s="89" t="str">
        <f t="shared" si="44"/>
        <v>ok</v>
      </c>
      <c r="DF59" s="89" t="str">
        <f t="shared" si="44"/>
        <v>ok</v>
      </c>
      <c r="DG59" s="89" t="str">
        <f t="shared" si="44"/>
        <v>ok</v>
      </c>
      <c r="DH59" s="89" t="str">
        <f t="shared" si="44"/>
        <v>ok</v>
      </c>
      <c r="DI59" s="89" t="str">
        <f t="shared" si="44"/>
        <v>ok</v>
      </c>
      <c r="DJ59" s="89" t="str">
        <f t="shared" si="44"/>
        <v>ok</v>
      </c>
      <c r="DK59" s="89" t="str">
        <f t="shared" si="44"/>
        <v>ok</v>
      </c>
      <c r="DL59" s="89" t="str">
        <f t="shared" si="44"/>
        <v>ok</v>
      </c>
      <c r="DM59" s="89" t="str">
        <f t="shared" si="44"/>
        <v>ok</v>
      </c>
      <c r="DN59" s="89" t="str">
        <f t="shared" si="44"/>
        <v>ok</v>
      </c>
      <c r="DO59" s="89" t="str">
        <f t="shared" si="44"/>
        <v>ok</v>
      </c>
      <c r="DP59" s="89" t="str">
        <f t="shared" si="44"/>
        <v>ok</v>
      </c>
      <c r="DQ59" s="89" t="str">
        <f t="shared" ref="DQ59:EV59" si="45">IF(DQ6+DQ7+DQ51=DQ52,"ok","エラー")</f>
        <v>ok</v>
      </c>
      <c r="DR59" s="89" t="str">
        <f t="shared" si="45"/>
        <v>ok</v>
      </c>
      <c r="DS59" s="89" t="str">
        <f t="shared" si="45"/>
        <v>ok</v>
      </c>
      <c r="DT59" s="89" t="str">
        <f t="shared" si="45"/>
        <v>ok</v>
      </c>
      <c r="DU59" s="89" t="str">
        <f t="shared" si="45"/>
        <v>ok</v>
      </c>
      <c r="DV59" s="89" t="str">
        <f t="shared" si="45"/>
        <v>ok</v>
      </c>
      <c r="DW59" s="89" t="str">
        <f t="shared" si="45"/>
        <v>ok</v>
      </c>
      <c r="DX59" s="89" t="str">
        <f t="shared" si="45"/>
        <v>ok</v>
      </c>
      <c r="DY59" s="89" t="str">
        <f t="shared" si="45"/>
        <v>ok</v>
      </c>
      <c r="DZ59" s="89" t="str">
        <f t="shared" si="45"/>
        <v>ok</v>
      </c>
      <c r="EA59" s="89" t="str">
        <f t="shared" si="45"/>
        <v>ok</v>
      </c>
      <c r="EB59" s="89" t="str">
        <f t="shared" si="45"/>
        <v>ok</v>
      </c>
      <c r="EC59" s="89" t="str">
        <f t="shared" si="45"/>
        <v>ok</v>
      </c>
      <c r="ED59" s="89" t="str">
        <f t="shared" si="45"/>
        <v>ok</v>
      </c>
      <c r="EE59" s="89" t="str">
        <f t="shared" si="45"/>
        <v>ok</v>
      </c>
      <c r="EF59" s="89" t="str">
        <f t="shared" si="45"/>
        <v>ok</v>
      </c>
      <c r="EG59" s="89" t="str">
        <f t="shared" si="45"/>
        <v>ok</v>
      </c>
      <c r="EH59" s="89" t="str">
        <f t="shared" si="45"/>
        <v>ok</v>
      </c>
      <c r="EI59" s="89" t="str">
        <f t="shared" si="45"/>
        <v>ok</v>
      </c>
      <c r="EJ59" s="89" t="str">
        <f t="shared" si="45"/>
        <v>ok</v>
      </c>
      <c r="EK59" s="89" t="str">
        <f t="shared" si="45"/>
        <v>ok</v>
      </c>
      <c r="EL59" s="89" t="str">
        <f t="shared" si="45"/>
        <v>ok</v>
      </c>
      <c r="EM59" s="89" t="str">
        <f t="shared" si="45"/>
        <v>ok</v>
      </c>
      <c r="EN59" s="89" t="str">
        <f t="shared" si="45"/>
        <v>ok</v>
      </c>
      <c r="EO59" s="89" t="str">
        <f t="shared" si="45"/>
        <v>ok</v>
      </c>
      <c r="EP59" s="89" t="str">
        <f t="shared" si="45"/>
        <v>ok</v>
      </c>
      <c r="EQ59" s="89" t="str">
        <f t="shared" si="45"/>
        <v>ok</v>
      </c>
      <c r="ER59" s="89" t="str">
        <f t="shared" si="45"/>
        <v>ok</v>
      </c>
      <c r="ES59" s="89" t="str">
        <f t="shared" si="45"/>
        <v>ok</v>
      </c>
      <c r="ET59" s="89" t="str">
        <f t="shared" si="45"/>
        <v>ok</v>
      </c>
      <c r="EU59" s="89" t="str">
        <f t="shared" si="45"/>
        <v>ok</v>
      </c>
      <c r="EV59" s="89" t="str">
        <f t="shared" si="45"/>
        <v>ok</v>
      </c>
      <c r="EW59" s="89" t="str">
        <f t="shared" ref="EW59:FM59" si="46">IF(EW6+EW7+EW51=EW52,"ok","エラー")</f>
        <v>ok</v>
      </c>
      <c r="EX59" s="89" t="str">
        <f t="shared" si="46"/>
        <v>ok</v>
      </c>
      <c r="EY59" s="89" t="str">
        <f t="shared" si="46"/>
        <v>ok</v>
      </c>
      <c r="EZ59" s="89" t="str">
        <f t="shared" si="46"/>
        <v>ok</v>
      </c>
      <c r="FA59" s="89" t="str">
        <f t="shared" si="46"/>
        <v>ok</v>
      </c>
      <c r="FB59" s="89" t="str">
        <f t="shared" si="46"/>
        <v>ok</v>
      </c>
      <c r="FC59" s="89" t="str">
        <f t="shared" si="46"/>
        <v>ok</v>
      </c>
      <c r="FD59" s="89" t="str">
        <f t="shared" si="46"/>
        <v>ok</v>
      </c>
      <c r="FE59" s="89" t="str">
        <f t="shared" si="46"/>
        <v>ok</v>
      </c>
      <c r="FF59" s="89" t="str">
        <f t="shared" si="46"/>
        <v>ok</v>
      </c>
      <c r="FG59" s="89" t="str">
        <f t="shared" si="46"/>
        <v>ok</v>
      </c>
      <c r="FH59" s="89" t="str">
        <f t="shared" si="46"/>
        <v>ok</v>
      </c>
      <c r="FI59" s="89" t="str">
        <f t="shared" si="46"/>
        <v>エラー</v>
      </c>
      <c r="FJ59" s="89" t="str">
        <f t="shared" si="46"/>
        <v>ok</v>
      </c>
      <c r="FK59" s="89" t="str">
        <f t="shared" si="46"/>
        <v>ok</v>
      </c>
      <c r="FL59" s="89" t="str">
        <f t="shared" si="46"/>
        <v>ok</v>
      </c>
      <c r="FM59" s="89" t="str">
        <f t="shared" si="46"/>
        <v>ok</v>
      </c>
      <c r="FW59" s="89" t="str">
        <f>IF(FW6+FW7+FW51=FW52,"ok","エラー")</f>
        <v>ok</v>
      </c>
      <c r="FY59" s="89" t="str">
        <f t="shared" ref="FY59:GD59" si="47">IF(FY6+FY7+FY51=FY52,"ok","エラー")</f>
        <v>ok</v>
      </c>
      <c r="FZ59" s="89" t="str">
        <f t="shared" si="47"/>
        <v>ok</v>
      </c>
      <c r="GA59" s="89" t="str">
        <f t="shared" si="47"/>
        <v>ok</v>
      </c>
      <c r="GB59" s="89" t="str">
        <f t="shared" si="47"/>
        <v>ok</v>
      </c>
      <c r="GC59" s="89" t="str">
        <f t="shared" si="47"/>
        <v>ok</v>
      </c>
      <c r="GD59" s="89" t="str">
        <f t="shared" si="47"/>
        <v>ok</v>
      </c>
      <c r="GI59" s="89" t="str">
        <f>IF(GI6+GI7+GI51=GI52,"ok","エラー")</f>
        <v>ok</v>
      </c>
    </row>
    <row r="66" spans="143:144" x14ac:dyDescent="0.15">
      <c r="EM66" s="421"/>
      <c r="EN66" s="422"/>
    </row>
    <row r="67" spans="143:144" x14ac:dyDescent="0.15">
      <c r="EM67" s="421"/>
      <c r="EN67" s="422"/>
    </row>
    <row r="68" spans="143:144" x14ac:dyDescent="0.15">
      <c r="EM68" s="421"/>
      <c r="EN68" s="422"/>
    </row>
    <row r="69" spans="143:144" x14ac:dyDescent="0.15">
      <c r="EM69" s="421"/>
      <c r="EN69" s="422"/>
    </row>
    <row r="70" spans="143:144" x14ac:dyDescent="0.15">
      <c r="EM70" s="421"/>
      <c r="EN70" s="422"/>
    </row>
    <row r="71" spans="143:144" x14ac:dyDescent="0.15">
      <c r="EM71" s="421"/>
      <c r="EN71" s="422"/>
    </row>
    <row r="72" spans="143:144" x14ac:dyDescent="0.15">
      <c r="EM72" s="421"/>
      <c r="EN72" s="422"/>
    </row>
    <row r="73" spans="143:144" x14ac:dyDescent="0.15">
      <c r="EM73" s="421"/>
      <c r="EN73" s="422"/>
    </row>
    <row r="74" spans="143:144" x14ac:dyDescent="0.15">
      <c r="EM74" s="421"/>
      <c r="EN74" s="422"/>
    </row>
    <row r="75" spans="143:144" x14ac:dyDescent="0.15">
      <c r="EM75" s="421"/>
      <c r="EN75" s="422"/>
    </row>
    <row r="76" spans="143:144" x14ac:dyDescent="0.15">
      <c r="EM76" s="421"/>
      <c r="EN76" s="422"/>
    </row>
    <row r="77" spans="143:144" x14ac:dyDescent="0.15">
      <c r="EM77" s="421"/>
      <c r="EN77" s="422"/>
    </row>
    <row r="78" spans="143:144" x14ac:dyDescent="0.15">
      <c r="EM78" s="421"/>
      <c r="EN78" s="422"/>
    </row>
    <row r="79" spans="143:144" x14ac:dyDescent="0.15">
      <c r="EM79" s="421"/>
      <c r="EN79" s="422"/>
    </row>
    <row r="80" spans="143:144" x14ac:dyDescent="0.15">
      <c r="EM80" s="421"/>
      <c r="EN80" s="422"/>
    </row>
    <row r="81" spans="143:144" x14ac:dyDescent="0.15">
      <c r="EM81" s="421"/>
      <c r="EN81" s="422"/>
    </row>
    <row r="82" spans="143:144" x14ac:dyDescent="0.15">
      <c r="EM82" s="421"/>
      <c r="EN82" s="422"/>
    </row>
    <row r="83" spans="143:144" x14ac:dyDescent="0.15">
      <c r="EM83" s="421"/>
      <c r="EN83" s="422"/>
    </row>
    <row r="84" spans="143:144" x14ac:dyDescent="0.15">
      <c r="EM84" s="421"/>
      <c r="EN84" s="422"/>
    </row>
    <row r="85" spans="143:144" x14ac:dyDescent="0.15">
      <c r="EM85" s="421"/>
      <c r="EN85" s="422"/>
    </row>
    <row r="86" spans="143:144" x14ac:dyDescent="0.15">
      <c r="EM86" s="421"/>
      <c r="EN86" s="422"/>
    </row>
    <row r="87" spans="143:144" x14ac:dyDescent="0.15">
      <c r="EM87" s="421"/>
      <c r="EN87" s="422"/>
    </row>
    <row r="88" spans="143:144" x14ac:dyDescent="0.15">
      <c r="EM88" s="421"/>
      <c r="EN88" s="422"/>
    </row>
    <row r="89" spans="143:144" x14ac:dyDescent="0.15">
      <c r="EM89" s="421"/>
      <c r="EN89" s="422"/>
    </row>
    <row r="90" spans="143:144" x14ac:dyDescent="0.15">
      <c r="EM90" s="421"/>
      <c r="EN90" s="422"/>
    </row>
    <row r="91" spans="143:144" x14ac:dyDescent="0.15">
      <c r="EM91" s="421"/>
      <c r="EN91" s="422"/>
    </row>
    <row r="92" spans="143:144" x14ac:dyDescent="0.15">
      <c r="EM92" s="421"/>
      <c r="EN92" s="422"/>
    </row>
    <row r="93" spans="143:144" x14ac:dyDescent="0.15">
      <c r="EM93" s="421"/>
      <c r="EN93" s="422"/>
    </row>
    <row r="94" spans="143:144" x14ac:dyDescent="0.15">
      <c r="EM94" s="421"/>
      <c r="EN94" s="422"/>
    </row>
    <row r="95" spans="143:144" x14ac:dyDescent="0.15">
      <c r="EM95" s="421"/>
      <c r="EN95" s="422"/>
    </row>
    <row r="96" spans="143:144" x14ac:dyDescent="0.15">
      <c r="EM96" s="421"/>
      <c r="EN96" s="422"/>
    </row>
    <row r="97" spans="143:144" x14ac:dyDescent="0.15">
      <c r="EM97" s="421"/>
      <c r="EN97" s="422"/>
    </row>
    <row r="98" spans="143:144" x14ac:dyDescent="0.15">
      <c r="EM98" s="421"/>
      <c r="EN98" s="422"/>
    </row>
    <row r="99" spans="143:144" x14ac:dyDescent="0.15">
      <c r="EM99" s="421"/>
      <c r="EN99" s="422"/>
    </row>
    <row r="100" spans="143:144" x14ac:dyDescent="0.15">
      <c r="EM100" s="421"/>
      <c r="EN100" s="422"/>
    </row>
    <row r="101" spans="143:144" x14ac:dyDescent="0.15">
      <c r="EM101" s="421"/>
      <c r="EN101" s="422"/>
    </row>
    <row r="102" spans="143:144" x14ac:dyDescent="0.15">
      <c r="EM102" s="421"/>
      <c r="EN102" s="422"/>
    </row>
    <row r="103" spans="143:144" x14ac:dyDescent="0.15">
      <c r="EM103" s="421"/>
      <c r="EN103" s="422"/>
    </row>
    <row r="104" spans="143:144" x14ac:dyDescent="0.15">
      <c r="EM104" s="421"/>
      <c r="EN104" s="422"/>
    </row>
    <row r="105" spans="143:144" x14ac:dyDescent="0.15">
      <c r="EM105" s="421"/>
      <c r="EN105" s="422"/>
    </row>
    <row r="106" spans="143:144" x14ac:dyDescent="0.15">
      <c r="EM106" s="421"/>
      <c r="EN106" s="422"/>
    </row>
  </sheetData>
  <mergeCells count="1">
    <mergeCell ref="FO2:FU2"/>
  </mergeCells>
  <phoneticPr fontId="3"/>
  <pageMargins left="0.59055118110236227" right="0.59055118110236227" top="0.98425196850393704" bottom="0.98425196850393704" header="0.51181102362204722" footer="0.51181102362204722"/>
  <pageSetup paperSize="9" fitToWidth="0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1">
    <tabColor indexed="15"/>
    <pageSetUpPr fitToPage="1"/>
  </sheetPr>
  <dimension ref="A1:HV106"/>
  <sheetViews>
    <sheetView zoomScaleNormal="100" workbookViewId="0">
      <pane xSplit="2" ySplit="5" topLeftCell="GB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13.10937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12.33203125" style="174" bestFit="1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62" customWidth="1"/>
    <col min="192" max="192" width="8.5546875" style="174" bestFit="1" customWidth="1"/>
    <col min="193" max="193" width="10.33203125" style="174" bestFit="1" customWidth="1"/>
    <col min="194" max="194" width="8.5546875" style="174" customWidth="1"/>
    <col min="195" max="195" width="9.6640625" style="174" customWidth="1"/>
    <col min="196" max="196" width="10.33203125" style="174" customWidth="1"/>
    <col min="197" max="197" width="8.5546875" style="174" customWidth="1"/>
    <col min="198" max="198" width="11.88671875" style="174" customWidth="1"/>
    <col min="199" max="199" width="10.33203125" style="174" customWidth="1"/>
    <col min="200" max="200" width="8.5546875" style="174" customWidth="1"/>
    <col min="201" max="201" width="9.6640625" style="174" customWidth="1"/>
    <col min="202" max="202" width="10.33203125" style="174" customWidth="1"/>
    <col min="203" max="230" width="13.6640625" style="174" customWidth="1"/>
  </cols>
  <sheetData>
    <row r="1" spans="2:230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52">
        <v>190</v>
      </c>
      <c r="GJ1" s="10">
        <v>191</v>
      </c>
      <c r="GK1" s="10">
        <v>192</v>
      </c>
      <c r="GL1" s="10">
        <v>193</v>
      </c>
      <c r="GM1" s="10">
        <v>194</v>
      </c>
      <c r="GN1" s="10">
        <v>195</v>
      </c>
      <c r="GO1" s="10">
        <v>196</v>
      </c>
      <c r="GP1" s="10">
        <v>197</v>
      </c>
      <c r="GQ1" s="10">
        <v>198</v>
      </c>
      <c r="GR1" s="10">
        <v>199</v>
      </c>
      <c r="GS1" s="10">
        <v>200</v>
      </c>
      <c r="GT1" s="10">
        <v>201</v>
      </c>
    </row>
    <row r="2" spans="2:230" x14ac:dyDescent="0.15">
      <c r="C2" s="96" t="s">
        <v>338</v>
      </c>
      <c r="D2" s="29"/>
      <c r="E2" s="96" t="s">
        <v>339</v>
      </c>
      <c r="F2" s="96" t="s">
        <v>340</v>
      </c>
      <c r="G2" s="29"/>
      <c r="H2" s="96" t="s">
        <v>341</v>
      </c>
      <c r="I2" s="96" t="s">
        <v>342</v>
      </c>
      <c r="J2" s="96" t="s">
        <v>343</v>
      </c>
      <c r="K2" s="96" t="s">
        <v>344</v>
      </c>
      <c r="L2" s="96" t="s">
        <v>345</v>
      </c>
      <c r="M2" s="96" t="s">
        <v>346</v>
      </c>
      <c r="N2" s="96" t="s">
        <v>347</v>
      </c>
      <c r="O2" s="96" t="s">
        <v>348</v>
      </c>
      <c r="P2" s="96" t="s">
        <v>349</v>
      </c>
      <c r="Q2" s="96" t="s">
        <v>350</v>
      </c>
      <c r="R2" s="96" t="s">
        <v>351</v>
      </c>
      <c r="S2" s="96" t="s">
        <v>352</v>
      </c>
      <c r="T2" s="89"/>
      <c r="U2" s="96" t="s">
        <v>725</v>
      </c>
      <c r="V2" s="96" t="s">
        <v>354</v>
      </c>
      <c r="W2" s="96" t="s">
        <v>355</v>
      </c>
      <c r="X2" s="96" t="s">
        <v>664</v>
      </c>
      <c r="Y2" s="96" t="s">
        <v>356</v>
      </c>
      <c r="Z2" s="96" t="s">
        <v>357</v>
      </c>
      <c r="AA2" s="96" t="s">
        <v>653</v>
      </c>
      <c r="AB2" s="96" t="s">
        <v>359</v>
      </c>
      <c r="AC2" s="96" t="s">
        <v>654</v>
      </c>
      <c r="AD2" s="96" t="s">
        <v>665</v>
      </c>
      <c r="AE2" s="96" t="s">
        <v>726</v>
      </c>
      <c r="AF2" s="96" t="s">
        <v>363</v>
      </c>
      <c r="AG2" s="96" t="s">
        <v>364</v>
      </c>
      <c r="AH2" s="89"/>
      <c r="AI2" s="96" t="s">
        <v>684</v>
      </c>
      <c r="AJ2" s="96" t="s">
        <v>727</v>
      </c>
      <c r="AK2" s="96" t="s">
        <v>368</v>
      </c>
      <c r="AL2" s="29"/>
      <c r="AM2" s="96" t="s">
        <v>728</v>
      </c>
      <c r="AN2" s="96" t="s">
        <v>686</v>
      </c>
      <c r="AO2" s="96" t="s">
        <v>352</v>
      </c>
      <c r="AP2" s="96" t="s">
        <v>369</v>
      </c>
      <c r="AQ2" s="96" t="s">
        <v>371</v>
      </c>
      <c r="AR2" s="96" t="s">
        <v>372</v>
      </c>
      <c r="AS2" s="96" t="s">
        <v>776</v>
      </c>
      <c r="AT2" s="96" t="s">
        <v>376</v>
      </c>
      <c r="AU2" s="96" t="s">
        <v>377</v>
      </c>
      <c r="AV2" s="96" t="s">
        <v>378</v>
      </c>
      <c r="AW2" s="96" t="s">
        <v>688</v>
      </c>
      <c r="AX2" s="96" t="s">
        <v>380</v>
      </c>
      <c r="AY2" s="96" t="s">
        <v>381</v>
      </c>
      <c r="AZ2" s="96" t="s">
        <v>710</v>
      </c>
      <c r="BA2" s="96" t="s">
        <v>690</v>
      </c>
      <c r="BB2" s="96" t="s">
        <v>711</v>
      </c>
      <c r="BC2" s="96" t="s">
        <v>384</v>
      </c>
      <c r="BD2" s="96" t="s">
        <v>386</v>
      </c>
      <c r="BE2" s="96" t="s">
        <v>387</v>
      </c>
      <c r="BF2" s="96" t="s">
        <v>388</v>
      </c>
      <c r="BG2" s="96" t="s">
        <v>389</v>
      </c>
      <c r="BH2" s="96" t="s">
        <v>692</v>
      </c>
      <c r="BI2" s="96" t="s">
        <v>739</v>
      </c>
      <c r="BJ2" s="96" t="s">
        <v>385</v>
      </c>
      <c r="BK2" s="96" t="s">
        <v>392</v>
      </c>
      <c r="BL2" s="96" t="s">
        <v>694</v>
      </c>
      <c r="BM2" s="96" t="s">
        <v>393</v>
      </c>
      <c r="BN2" s="96" t="s">
        <v>696</v>
      </c>
      <c r="BO2" s="29"/>
      <c r="BP2" s="29"/>
      <c r="BQ2" s="96" t="s">
        <v>777</v>
      </c>
      <c r="BR2" s="96" t="s">
        <v>778</v>
      </c>
      <c r="BS2" s="96" t="s">
        <v>779</v>
      </c>
      <c r="BT2" s="96" t="s">
        <v>780</v>
      </c>
      <c r="BU2" s="96" t="s">
        <v>396</v>
      </c>
      <c r="BV2" s="89"/>
      <c r="BW2" s="96" t="s">
        <v>402</v>
      </c>
      <c r="BX2" s="96" t="s">
        <v>403</v>
      </c>
      <c r="BY2" s="96" t="s">
        <v>719</v>
      </c>
      <c r="BZ2" s="96" t="s">
        <v>405</v>
      </c>
      <c r="CA2" s="96" t="s">
        <v>406</v>
      </c>
      <c r="CB2" s="96" t="s">
        <v>407</v>
      </c>
      <c r="CC2" s="96" t="s">
        <v>408</v>
      </c>
      <c r="CD2" s="96" t="s">
        <v>409</v>
      </c>
      <c r="CE2" s="96" t="s">
        <v>410</v>
      </c>
      <c r="CF2" s="96" t="s">
        <v>411</v>
      </c>
      <c r="CG2" s="96" t="s">
        <v>412</v>
      </c>
      <c r="CH2" s="96" t="s">
        <v>413</v>
      </c>
      <c r="CI2" s="96" t="s">
        <v>414</v>
      </c>
      <c r="CJ2" s="81"/>
      <c r="CK2" s="96" t="s">
        <v>415</v>
      </c>
      <c r="CL2" s="96" t="s">
        <v>720</v>
      </c>
      <c r="CM2" s="96" t="s">
        <v>417</v>
      </c>
      <c r="CN2" s="96" t="s">
        <v>721</v>
      </c>
      <c r="CO2" s="96" t="s">
        <v>419</v>
      </c>
      <c r="CP2" s="96" t="s">
        <v>420</v>
      </c>
      <c r="CQ2" s="96" t="s">
        <v>421</v>
      </c>
      <c r="CR2" s="96" t="s">
        <v>422</v>
      </c>
      <c r="CS2" s="96" t="s">
        <v>423</v>
      </c>
      <c r="CT2" s="28"/>
      <c r="CU2" s="96" t="s">
        <v>424</v>
      </c>
      <c r="CV2" s="96" t="s">
        <v>425</v>
      </c>
      <c r="CW2" s="89"/>
      <c r="CX2" s="96" t="s">
        <v>426</v>
      </c>
      <c r="CY2" s="96" t="s">
        <v>427</v>
      </c>
      <c r="CZ2" s="89"/>
      <c r="DA2" s="96" t="s">
        <v>428</v>
      </c>
      <c r="DB2" s="96" t="s">
        <v>429</v>
      </c>
      <c r="DC2" s="96" t="s">
        <v>430</v>
      </c>
      <c r="DD2" s="96" t="s">
        <v>431</v>
      </c>
      <c r="DE2" s="96" t="s">
        <v>432</v>
      </c>
      <c r="DF2" s="96" t="s">
        <v>433</v>
      </c>
      <c r="DG2" s="96" t="s">
        <v>434</v>
      </c>
      <c r="DH2" s="96" t="s">
        <v>435</v>
      </c>
      <c r="DI2" s="96" t="s">
        <v>436</v>
      </c>
      <c r="DJ2" s="96" t="s">
        <v>437</v>
      </c>
      <c r="DK2" s="96" t="s">
        <v>438</v>
      </c>
      <c r="DL2" s="96" t="s">
        <v>439</v>
      </c>
      <c r="DM2" s="96" t="s">
        <v>440</v>
      </c>
      <c r="DN2" s="96" t="s">
        <v>441</v>
      </c>
      <c r="DO2" s="96" t="s">
        <v>442</v>
      </c>
      <c r="DP2" s="96" t="s">
        <v>443</v>
      </c>
      <c r="DQ2" s="96" t="s">
        <v>444</v>
      </c>
      <c r="DR2" s="96" t="s">
        <v>445</v>
      </c>
      <c r="DS2" s="96" t="s">
        <v>446</v>
      </c>
      <c r="DT2" s="96" t="s">
        <v>447</v>
      </c>
      <c r="DU2" s="96" t="s">
        <v>448</v>
      </c>
      <c r="DV2" s="89"/>
      <c r="DW2" s="96" t="s">
        <v>449</v>
      </c>
      <c r="DX2" s="173" t="s">
        <v>450</v>
      </c>
      <c r="DY2" s="96" t="s">
        <v>451</v>
      </c>
      <c r="DZ2" s="96" t="s">
        <v>452</v>
      </c>
      <c r="EA2" s="96" t="s">
        <v>453</v>
      </c>
      <c r="EB2" s="96" t="s">
        <v>454</v>
      </c>
      <c r="EC2" s="96" t="s">
        <v>455</v>
      </c>
      <c r="ED2" s="96" t="s">
        <v>456</v>
      </c>
      <c r="EE2" s="89"/>
      <c r="EF2" s="96" t="s">
        <v>457</v>
      </c>
      <c r="EG2" s="96" t="s">
        <v>458</v>
      </c>
      <c r="EH2" s="96" t="s">
        <v>459</v>
      </c>
      <c r="EI2" s="96" t="s">
        <v>460</v>
      </c>
      <c r="EJ2" s="96" t="s">
        <v>461</v>
      </c>
      <c r="EK2" s="89"/>
      <c r="EL2" s="89"/>
      <c r="EM2" s="46" t="s">
        <v>781</v>
      </c>
      <c r="EN2" s="96" t="s">
        <v>464</v>
      </c>
      <c r="EO2" s="96" t="s">
        <v>465</v>
      </c>
      <c r="EP2" s="89"/>
      <c r="EQ2" s="96" t="s">
        <v>466</v>
      </c>
      <c r="ER2" s="96" t="s">
        <v>467</v>
      </c>
      <c r="ES2" s="96" t="s">
        <v>468</v>
      </c>
      <c r="ET2" s="96" t="s">
        <v>469</v>
      </c>
      <c r="EU2" s="96" t="s">
        <v>470</v>
      </c>
      <c r="EV2" s="96" t="s">
        <v>471</v>
      </c>
      <c r="EW2" s="28"/>
      <c r="EX2" s="96" t="s">
        <v>472</v>
      </c>
      <c r="EY2" s="96" t="s">
        <v>473</v>
      </c>
      <c r="EZ2" s="96" t="s">
        <v>474</v>
      </c>
      <c r="FA2" s="96" t="s">
        <v>475</v>
      </c>
      <c r="FB2" s="96" t="s">
        <v>476</v>
      </c>
      <c r="FC2" s="96" t="s">
        <v>477</v>
      </c>
      <c r="FD2" s="96" t="s">
        <v>478</v>
      </c>
      <c r="FE2" s="96" t="s">
        <v>479</v>
      </c>
      <c r="FF2" s="96" t="s">
        <v>480</v>
      </c>
      <c r="FG2" s="89"/>
      <c r="FH2" s="96" t="s">
        <v>481</v>
      </c>
      <c r="FI2" s="89"/>
      <c r="FJ2" s="80" t="s">
        <v>482</v>
      </c>
      <c r="FK2" s="172" t="s">
        <v>483</v>
      </c>
      <c r="FL2" s="172" t="s">
        <v>484</v>
      </c>
      <c r="FM2" s="172" t="s">
        <v>485</v>
      </c>
      <c r="FN2" s="80" t="s">
        <v>700</v>
      </c>
      <c r="FO2" s="564" t="s">
        <v>701</v>
      </c>
      <c r="FP2" s="561"/>
      <c r="FQ2" s="561"/>
      <c r="FR2" s="561"/>
      <c r="FS2" s="561"/>
      <c r="FT2" s="561"/>
      <c r="FU2" s="561"/>
      <c r="FV2" s="89"/>
      <c r="FW2" s="96" t="s">
        <v>782</v>
      </c>
      <c r="FX2" s="89"/>
      <c r="FY2" s="96" t="s">
        <v>490</v>
      </c>
      <c r="FZ2" s="96" t="s">
        <v>491</v>
      </c>
      <c r="GA2" s="96" t="s">
        <v>492</v>
      </c>
      <c r="GB2" s="96" t="s">
        <v>493</v>
      </c>
      <c r="GC2" s="96" t="s">
        <v>494</v>
      </c>
      <c r="GD2" s="46" t="s">
        <v>745</v>
      </c>
      <c r="GE2" s="89"/>
      <c r="GF2" s="85" t="s">
        <v>703</v>
      </c>
      <c r="GG2" s="85"/>
      <c r="GH2" s="85"/>
      <c r="GI2" s="86" t="s">
        <v>753</v>
      </c>
      <c r="GJ2" s="46" t="s">
        <v>329</v>
      </c>
      <c r="GK2" s="46"/>
      <c r="GL2" s="46"/>
      <c r="GM2" s="46"/>
      <c r="GN2" s="46"/>
      <c r="GO2" s="46"/>
      <c r="GP2" s="46"/>
      <c r="GQ2" s="46"/>
      <c r="GR2" s="46"/>
      <c r="GS2" s="46"/>
      <c r="GT2" s="46"/>
    </row>
    <row r="3" spans="2:230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159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V3" s="89"/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82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E3" s="89"/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K3" s="89"/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48" t="s">
        <v>517</v>
      </c>
      <c r="FJ3" s="48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P3" s="89"/>
      <c r="FQ3" s="89"/>
      <c r="FR3" s="89"/>
      <c r="FS3" s="89"/>
      <c r="FT3" s="89"/>
      <c r="FU3" s="89"/>
      <c r="FV3" s="30" t="s">
        <v>529</v>
      </c>
      <c r="FW3" s="30" t="s">
        <v>308</v>
      </c>
      <c r="FX3" s="48" t="s">
        <v>530</v>
      </c>
      <c r="FY3" s="30" t="s">
        <v>312</v>
      </c>
      <c r="FZ3" s="89"/>
      <c r="GA3" s="89"/>
      <c r="GB3" s="89"/>
      <c r="GC3" s="89"/>
      <c r="GD3" s="30" t="s">
        <v>531</v>
      </c>
      <c r="GE3" s="48" t="s">
        <v>530</v>
      </c>
      <c r="GF3" s="30" t="s">
        <v>532</v>
      </c>
      <c r="GG3" s="89"/>
      <c r="GH3" s="89"/>
      <c r="GI3" s="30" t="s">
        <v>706</v>
      </c>
      <c r="GJ3" s="89" t="s">
        <v>534</v>
      </c>
      <c r="GM3" s="89" t="s">
        <v>535</v>
      </c>
      <c r="GP3" s="89" t="s">
        <v>529</v>
      </c>
      <c r="GS3" s="89" t="s">
        <v>536</v>
      </c>
    </row>
    <row r="4" spans="2:230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 t="s">
        <v>554</v>
      </c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 t="s">
        <v>565</v>
      </c>
      <c r="BS4" s="31"/>
      <c r="BT4" s="30" t="s">
        <v>193</v>
      </c>
      <c r="BU4" s="30"/>
      <c r="BV4" s="89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570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82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 t="s">
        <v>589</v>
      </c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E4" s="89"/>
      <c r="EF4" s="89"/>
      <c r="EG4" s="89"/>
      <c r="EH4" s="89"/>
      <c r="EI4" s="89"/>
      <c r="EJ4" s="89"/>
      <c r="EK4" s="89"/>
      <c r="EL4" s="29" t="s">
        <v>758</v>
      </c>
      <c r="EM4" s="32" t="s">
        <v>775</v>
      </c>
      <c r="EN4" s="30"/>
      <c r="EO4" s="30"/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48" t="s">
        <v>596</v>
      </c>
      <c r="FJ4" s="48" t="s">
        <v>597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W4" s="89"/>
      <c r="FX4" s="48" t="s">
        <v>601</v>
      </c>
      <c r="FY4" s="89"/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48" t="s">
        <v>601</v>
      </c>
      <c r="GF4" s="30" t="s">
        <v>604</v>
      </c>
      <c r="GG4" s="30" t="s">
        <v>605</v>
      </c>
      <c r="GH4" s="30" t="s">
        <v>606</v>
      </c>
      <c r="GI4" s="30" t="s">
        <v>755</v>
      </c>
      <c r="GJ4" s="30" t="s">
        <v>608</v>
      </c>
      <c r="GK4" s="89" t="s">
        <v>609</v>
      </c>
      <c r="GL4" s="89" t="s">
        <v>610</v>
      </c>
      <c r="GM4" s="89" t="s">
        <v>608</v>
      </c>
      <c r="GN4" s="89" t="s">
        <v>609</v>
      </c>
      <c r="GO4" s="89" t="s">
        <v>610</v>
      </c>
      <c r="GP4" s="89" t="s">
        <v>596</v>
      </c>
      <c r="GQ4" s="89" t="s">
        <v>609</v>
      </c>
      <c r="GR4" s="89" t="s">
        <v>610</v>
      </c>
      <c r="GS4" s="89" t="s">
        <v>611</v>
      </c>
      <c r="GT4" s="89" t="s">
        <v>609</v>
      </c>
    </row>
    <row r="5" spans="2:230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620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47" t="s">
        <v>624</v>
      </c>
      <c r="BS5" s="30" t="s">
        <v>625</v>
      </c>
      <c r="BT5" s="30"/>
      <c r="BU5" s="30"/>
      <c r="BV5" s="89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82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635</v>
      </c>
      <c r="DX5" s="48"/>
      <c r="DY5" s="30"/>
      <c r="DZ5" s="30"/>
      <c r="EA5" s="79" t="s">
        <v>756</v>
      </c>
      <c r="EB5" s="30"/>
      <c r="EC5" s="30"/>
      <c r="ED5" s="30"/>
      <c r="EE5" s="89"/>
      <c r="EF5" s="89"/>
      <c r="EG5" s="89"/>
      <c r="EH5" s="89"/>
      <c r="EI5" s="89"/>
      <c r="EJ5" s="89"/>
      <c r="EK5" s="89"/>
      <c r="EL5" s="89" t="s">
        <v>760</v>
      </c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30" t="s">
        <v>595</v>
      </c>
      <c r="EZ5" s="30" t="s">
        <v>595</v>
      </c>
      <c r="FA5" s="89"/>
      <c r="FB5" s="89"/>
      <c r="FC5" s="89"/>
      <c r="FD5" s="89"/>
      <c r="FE5" s="89"/>
      <c r="FF5" s="89"/>
      <c r="FG5" s="89"/>
      <c r="FH5" s="89"/>
      <c r="FI5" s="51" t="s">
        <v>638</v>
      </c>
      <c r="FJ5" s="51"/>
      <c r="FK5" s="30" t="s">
        <v>639</v>
      </c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30" t="s">
        <v>600</v>
      </c>
      <c r="FW5" s="89"/>
      <c r="FX5" s="51" t="s">
        <v>638</v>
      </c>
      <c r="FY5" s="89"/>
      <c r="FZ5" s="89"/>
      <c r="GA5" s="89"/>
      <c r="GB5" s="89"/>
      <c r="GC5" s="89"/>
      <c r="GD5" s="89"/>
      <c r="GE5" s="51" t="s">
        <v>641</v>
      </c>
      <c r="GF5" s="70"/>
      <c r="GG5" s="89"/>
      <c r="GH5" s="89"/>
      <c r="GJ5" s="89"/>
      <c r="GK5" s="43" t="s">
        <v>643</v>
      </c>
      <c r="GL5" s="30" t="s">
        <v>644</v>
      </c>
      <c r="GM5" s="89"/>
      <c r="GN5" s="43" t="s">
        <v>643</v>
      </c>
      <c r="GO5" s="30" t="s">
        <v>644</v>
      </c>
      <c r="GP5" s="89"/>
      <c r="GQ5" s="43" t="s">
        <v>643</v>
      </c>
      <c r="GR5" s="30" t="s">
        <v>644</v>
      </c>
      <c r="GT5" s="43" t="s">
        <v>643</v>
      </c>
      <c r="GV5" s="89" t="s">
        <v>645</v>
      </c>
    </row>
    <row r="6" spans="2:230" s="89" customFormat="1" x14ac:dyDescent="0.15">
      <c r="B6" s="72" t="s">
        <v>1</v>
      </c>
      <c r="C6" s="102">
        <v>636066246</v>
      </c>
      <c r="D6" s="73">
        <f t="shared" ref="D6:D52" si="0">E6+F6</f>
        <v>128744749</v>
      </c>
      <c r="E6" s="102">
        <v>3510827</v>
      </c>
      <c r="F6" s="102">
        <v>125233922</v>
      </c>
      <c r="G6" s="73">
        <f t="shared" ref="G6:G52" si="1">H6+I6</f>
        <v>116154372</v>
      </c>
      <c r="H6" s="102">
        <v>17644547</v>
      </c>
      <c r="I6" s="102">
        <v>98509825</v>
      </c>
      <c r="J6" s="102">
        <v>278506705</v>
      </c>
      <c r="K6" s="102">
        <v>108309561</v>
      </c>
      <c r="L6" s="102">
        <v>135812975</v>
      </c>
      <c r="M6" s="102">
        <v>33604770</v>
      </c>
      <c r="N6" s="102">
        <v>29282013</v>
      </c>
      <c r="O6" s="102">
        <v>57178803</v>
      </c>
      <c r="P6" s="102">
        <v>27149824</v>
      </c>
      <c r="Q6" s="102">
        <v>30028979</v>
      </c>
      <c r="R6" s="102">
        <v>7152321</v>
      </c>
      <c r="S6" s="74"/>
      <c r="T6" s="73">
        <f t="shared" ref="T6:T52" si="2">SUM(U6:AA6)</f>
        <v>42752691</v>
      </c>
      <c r="U6" s="102">
        <v>1550360</v>
      </c>
      <c r="V6" s="102">
        <v>1006944</v>
      </c>
      <c r="W6" s="102">
        <v>225309</v>
      </c>
      <c r="X6" s="102">
        <v>37177383</v>
      </c>
      <c r="Y6" s="102">
        <v>0</v>
      </c>
      <c r="Z6" s="102">
        <v>137</v>
      </c>
      <c r="AA6" s="102">
        <v>2792558</v>
      </c>
      <c r="AB6" s="102">
        <v>5834946</v>
      </c>
      <c r="AC6" s="102">
        <v>54194825</v>
      </c>
      <c r="AD6" s="102">
        <v>52690593</v>
      </c>
      <c r="AE6" s="102">
        <v>1504000</v>
      </c>
      <c r="AF6" s="102">
        <v>977168</v>
      </c>
      <c r="AG6" s="102">
        <v>6864478</v>
      </c>
      <c r="AH6" s="73">
        <f t="shared" ref="AH6:AH52" si="3">AI6+AJ6</f>
        <v>56681005</v>
      </c>
      <c r="AI6" s="102">
        <v>49323022</v>
      </c>
      <c r="AJ6" s="102">
        <v>7357983</v>
      </c>
      <c r="AK6" s="102">
        <v>344383677</v>
      </c>
      <c r="AL6" s="73">
        <f t="shared" ref="AL6:AL52" si="4">SUM(AM6:AP6)</f>
        <v>304538325</v>
      </c>
      <c r="AM6" s="102">
        <v>225199338</v>
      </c>
      <c r="AN6" s="102">
        <v>55506946</v>
      </c>
      <c r="AO6" s="74"/>
      <c r="AP6" s="102">
        <v>23832041</v>
      </c>
      <c r="AQ6" s="102">
        <v>13062371</v>
      </c>
      <c r="AR6" s="102">
        <v>0</v>
      </c>
      <c r="AS6" s="102">
        <v>0</v>
      </c>
      <c r="AT6" s="102">
        <v>50902877</v>
      </c>
      <c r="AU6" s="102">
        <v>27397362</v>
      </c>
      <c r="AV6" s="102">
        <v>0</v>
      </c>
      <c r="AW6" s="102">
        <v>1608080</v>
      </c>
      <c r="AX6" s="102">
        <v>23505515</v>
      </c>
      <c r="AY6" s="102">
        <v>30806</v>
      </c>
      <c r="AZ6" s="102">
        <v>38669485</v>
      </c>
      <c r="BA6" s="102">
        <v>24896916</v>
      </c>
      <c r="BB6" s="102">
        <v>3478187</v>
      </c>
      <c r="BC6" s="102">
        <v>16480995</v>
      </c>
      <c r="BD6" s="102">
        <v>0</v>
      </c>
      <c r="BE6" s="102">
        <v>6943363</v>
      </c>
      <c r="BF6" s="102">
        <v>5207533</v>
      </c>
      <c r="BG6" s="102">
        <v>0</v>
      </c>
      <c r="BH6" s="102">
        <v>1408349</v>
      </c>
      <c r="BI6" s="102">
        <v>408358</v>
      </c>
      <c r="BJ6" s="102">
        <v>210461693</v>
      </c>
      <c r="BK6" s="102">
        <v>134462742</v>
      </c>
      <c r="BL6" s="102">
        <v>498800</v>
      </c>
      <c r="BM6" s="102">
        <v>15174381</v>
      </c>
      <c r="BN6" s="102">
        <v>164084100</v>
      </c>
      <c r="BO6" s="73">
        <f t="shared" ref="BO6:BO52" si="5">BN6-BP6-BT6</f>
        <v>78008100</v>
      </c>
      <c r="BP6" s="73">
        <f t="shared" ref="BP6:BP52" si="6">BQ6+BR6+BS6</f>
        <v>86076000</v>
      </c>
      <c r="BQ6" s="102">
        <v>0</v>
      </c>
      <c r="BR6" s="76">
        <v>0</v>
      </c>
      <c r="BS6" s="102">
        <v>86076000</v>
      </c>
      <c r="BT6" s="102">
        <v>0</v>
      </c>
      <c r="BU6" s="102">
        <v>1651156490</v>
      </c>
      <c r="BV6" s="71"/>
      <c r="BW6" s="102">
        <v>241496660</v>
      </c>
      <c r="BX6" s="102">
        <v>164455623</v>
      </c>
      <c r="BY6" s="102">
        <v>30483675</v>
      </c>
      <c r="BZ6" s="102">
        <v>7038157</v>
      </c>
      <c r="CA6" s="102">
        <v>496849933</v>
      </c>
      <c r="CB6" s="102">
        <v>58279689</v>
      </c>
      <c r="CC6" s="102">
        <v>7126731</v>
      </c>
      <c r="CD6" s="102">
        <v>119373760</v>
      </c>
      <c r="CE6" s="102">
        <v>297776723</v>
      </c>
      <c r="CF6" s="102">
        <v>11582000</v>
      </c>
      <c r="CG6" s="102">
        <v>2653531</v>
      </c>
      <c r="CH6" s="102">
        <v>237153427</v>
      </c>
      <c r="CI6" s="102">
        <v>189530041</v>
      </c>
      <c r="CJ6" s="83">
        <v>47623386</v>
      </c>
      <c r="CK6" s="102">
        <v>106928791</v>
      </c>
      <c r="CL6" s="102">
        <v>69347034</v>
      </c>
      <c r="CM6" s="102">
        <v>1596647</v>
      </c>
      <c r="CN6" s="102">
        <v>20584044</v>
      </c>
      <c r="CO6" s="102">
        <v>16278604</v>
      </c>
      <c r="CP6" s="102">
        <v>135047519</v>
      </c>
      <c r="CQ6" s="102">
        <v>498489</v>
      </c>
      <c r="CR6" s="102">
        <v>71508248</v>
      </c>
      <c r="CS6" s="102">
        <v>58256785</v>
      </c>
      <c r="CT6" s="73">
        <f t="shared" ref="CT6:CT52" si="7">CU6+CV6</f>
        <v>52913582</v>
      </c>
      <c r="CU6" s="102">
        <v>9114492</v>
      </c>
      <c r="CV6" s="102">
        <v>43799090</v>
      </c>
      <c r="CW6" s="73">
        <f t="shared" ref="CW6:CW52" si="8">CX6+CY6</f>
        <v>9765218</v>
      </c>
      <c r="CX6" s="102">
        <v>8870278</v>
      </c>
      <c r="CY6" s="102">
        <v>894940</v>
      </c>
      <c r="CZ6" s="73">
        <f t="shared" ref="CZ6:CZ52" si="9">DA6+DB6</f>
        <v>31359872</v>
      </c>
      <c r="DA6" s="102">
        <v>0</v>
      </c>
      <c r="DB6" s="102">
        <v>31359872</v>
      </c>
      <c r="DC6" s="102">
        <v>90088021</v>
      </c>
      <c r="DD6" s="102">
        <v>51885000</v>
      </c>
      <c r="DE6" s="102">
        <v>34776840</v>
      </c>
      <c r="DF6" s="102">
        <v>0</v>
      </c>
      <c r="DG6" s="102">
        <v>492170</v>
      </c>
      <c r="DH6" s="102">
        <v>0</v>
      </c>
      <c r="DI6" s="102">
        <v>37998566</v>
      </c>
      <c r="DJ6" s="102">
        <v>0</v>
      </c>
      <c r="DK6" s="102">
        <v>24661175</v>
      </c>
      <c r="DL6" s="102">
        <v>13337391</v>
      </c>
      <c r="DM6" s="102">
        <v>8743583</v>
      </c>
      <c r="DN6" s="102">
        <v>4770103</v>
      </c>
      <c r="DO6" s="102">
        <v>0</v>
      </c>
      <c r="DP6" s="102">
        <v>0</v>
      </c>
      <c r="DQ6" s="102">
        <v>167111282</v>
      </c>
      <c r="DR6" s="102">
        <v>0</v>
      </c>
      <c r="DS6" s="102">
        <v>0</v>
      </c>
      <c r="DT6" s="102">
        <v>112200978</v>
      </c>
      <c r="DU6" s="102">
        <v>0</v>
      </c>
      <c r="DV6" s="73">
        <f t="shared" ref="DV6:DV52" si="10">DW6</f>
        <v>9517733</v>
      </c>
      <c r="DW6" s="102">
        <v>9517733</v>
      </c>
      <c r="DX6" s="102">
        <v>28750346</v>
      </c>
      <c r="DY6" s="102">
        <v>0</v>
      </c>
      <c r="DZ6" s="102">
        <v>42878647</v>
      </c>
      <c r="EA6" s="74">
        <v>0</v>
      </c>
      <c r="EB6" s="102">
        <v>28453468</v>
      </c>
      <c r="EC6" s="102">
        <v>0</v>
      </c>
      <c r="ED6" s="102">
        <v>1649897364</v>
      </c>
      <c r="EE6" s="71"/>
      <c r="EF6" s="102">
        <v>1259126</v>
      </c>
      <c r="EG6" s="102">
        <v>806531</v>
      </c>
      <c r="EH6" s="102">
        <v>452595</v>
      </c>
      <c r="EI6" s="102">
        <v>44237</v>
      </c>
      <c r="EJ6" s="102">
        <v>44503</v>
      </c>
      <c r="EK6" s="71"/>
      <c r="EL6" s="102"/>
      <c r="EM6" s="102">
        <v>2543137</v>
      </c>
      <c r="EN6" s="102">
        <v>6945742</v>
      </c>
      <c r="EO6" s="102">
        <v>17466160</v>
      </c>
      <c r="EP6" s="73">
        <f t="shared" ref="EP6:EP52" si="11">EQ6-ER6-C6-R6-T6-AB6-AC6-BP6-EN6-EO6</f>
        <v>48543762</v>
      </c>
      <c r="EQ6" s="102">
        <v>757741644</v>
      </c>
      <c r="ER6" s="71">
        <v>-147291049</v>
      </c>
      <c r="ES6" s="102">
        <v>225160067</v>
      </c>
      <c r="ET6" s="102">
        <v>153330647</v>
      </c>
      <c r="EU6" s="102">
        <v>143892858</v>
      </c>
      <c r="EV6" s="102">
        <v>208863475</v>
      </c>
      <c r="EW6" s="73">
        <f t="shared" ref="EW6:EW52" si="12">EX6+FA6+FB6</f>
        <v>24759425</v>
      </c>
      <c r="EX6" s="102">
        <v>24759425</v>
      </c>
      <c r="EY6" s="102">
        <v>2885406</v>
      </c>
      <c r="EZ6" s="102">
        <v>21582008</v>
      </c>
      <c r="FA6" s="102">
        <v>0</v>
      </c>
      <c r="FB6" s="102">
        <v>0</v>
      </c>
      <c r="FC6" s="102">
        <v>67985079</v>
      </c>
      <c r="FD6" s="102">
        <v>106471844</v>
      </c>
      <c r="FE6" s="102">
        <v>498489</v>
      </c>
      <c r="FF6" s="102">
        <v>96055642</v>
      </c>
      <c r="FG6" s="73">
        <f t="shared" ref="FG6:FG52" si="13">FH6-ES6-EU6-EV6-EW6-FC6-FD6-FF6</f>
        <v>30585177</v>
      </c>
      <c r="FH6" s="102">
        <v>903773567</v>
      </c>
      <c r="FI6" s="379">
        <f t="shared" ref="FI6:FI52" si="14">ROUND(EH6/(FJ6+FK6)*100,1)</f>
        <v>0.1</v>
      </c>
      <c r="FJ6" s="102">
        <v>665519691</v>
      </c>
      <c r="FK6" s="102">
        <v>86076713</v>
      </c>
      <c r="FL6" s="102">
        <v>467383059</v>
      </c>
      <c r="FM6" s="102">
        <v>519966407</v>
      </c>
      <c r="FN6" s="151">
        <v>0.91200000000000003</v>
      </c>
      <c r="FO6" s="424">
        <v>99.5</v>
      </c>
      <c r="FP6" s="151">
        <v>28.2</v>
      </c>
      <c r="FQ6" s="424">
        <v>18</v>
      </c>
      <c r="FR6" s="424">
        <v>26.2</v>
      </c>
      <c r="FS6" s="151">
        <v>7.8</v>
      </c>
      <c r="FT6" s="424">
        <v>11</v>
      </c>
      <c r="FU6" s="151">
        <v>7.9</v>
      </c>
      <c r="FV6" s="384">
        <f t="shared" ref="FV6:FV52" si="15">GP6</f>
        <v>10</v>
      </c>
      <c r="FW6" s="102">
        <v>2745021486</v>
      </c>
      <c r="FX6" s="384">
        <f t="shared" ref="FX6:FX52" si="16">ROUND(FW6/(FJ6+FK6)*100,1)</f>
        <v>365.2</v>
      </c>
      <c r="FY6" s="102">
        <v>151410010</v>
      </c>
      <c r="FZ6" s="102">
        <v>0</v>
      </c>
      <c r="GA6" s="102">
        <v>54918346</v>
      </c>
      <c r="GB6" s="102">
        <v>96491664</v>
      </c>
      <c r="GC6" s="102">
        <v>0</v>
      </c>
      <c r="GD6" s="454"/>
      <c r="GE6" s="386"/>
      <c r="GF6" s="424">
        <v>98.887131644442093</v>
      </c>
      <c r="GG6" s="424">
        <v>23.937929118822449</v>
      </c>
      <c r="GH6" s="424">
        <v>95.840751428472132</v>
      </c>
      <c r="GI6" s="102">
        <v>24972</v>
      </c>
      <c r="GJ6" s="123" t="s">
        <v>646</v>
      </c>
      <c r="GK6" s="151">
        <v>11.25</v>
      </c>
      <c r="GL6" s="87">
        <v>20</v>
      </c>
      <c r="GM6" s="123" t="s">
        <v>646</v>
      </c>
      <c r="GN6" s="151">
        <v>16.25</v>
      </c>
      <c r="GO6" s="430">
        <v>30</v>
      </c>
      <c r="GP6" s="424">
        <v>10</v>
      </c>
      <c r="GQ6" s="425">
        <v>25</v>
      </c>
      <c r="GR6" s="425">
        <v>35</v>
      </c>
      <c r="GS6" s="151">
        <v>199.9</v>
      </c>
      <c r="GT6" s="424">
        <v>350</v>
      </c>
      <c r="GV6" s="100">
        <f t="shared" ref="GV6:GV52" si="17">ROUND((FJ6+FK6)/1000,0)</f>
        <v>751596</v>
      </c>
    </row>
    <row r="7" spans="2:230" s="89" customFormat="1" x14ac:dyDescent="0.15">
      <c r="B7" s="72" t="s">
        <v>3</v>
      </c>
      <c r="C7" s="102">
        <v>132616382</v>
      </c>
      <c r="D7" s="73">
        <f t="shared" si="0"/>
        <v>40684825</v>
      </c>
      <c r="E7" s="102">
        <v>1058580</v>
      </c>
      <c r="F7" s="102">
        <v>39626245</v>
      </c>
      <c r="G7" s="73">
        <f t="shared" si="1"/>
        <v>10227257</v>
      </c>
      <c r="H7" s="102">
        <v>2193363</v>
      </c>
      <c r="I7" s="102">
        <v>8033894</v>
      </c>
      <c r="J7" s="102">
        <v>59992813</v>
      </c>
      <c r="K7" s="102">
        <v>23157680</v>
      </c>
      <c r="L7" s="102">
        <v>22022129</v>
      </c>
      <c r="M7" s="102">
        <v>13848571</v>
      </c>
      <c r="N7" s="102">
        <v>6115818</v>
      </c>
      <c r="O7" s="102">
        <v>10539924</v>
      </c>
      <c r="P7" s="102">
        <v>5913118</v>
      </c>
      <c r="Q7" s="102">
        <v>4626806</v>
      </c>
      <c r="R7" s="102">
        <v>2432394</v>
      </c>
      <c r="S7" s="74"/>
      <c r="T7" s="73">
        <f t="shared" si="2"/>
        <v>9512687</v>
      </c>
      <c r="U7" s="102">
        <v>501854</v>
      </c>
      <c r="V7" s="102">
        <v>325759</v>
      </c>
      <c r="W7" s="102">
        <v>72726</v>
      </c>
      <c r="X7" s="102">
        <v>7582220</v>
      </c>
      <c r="Y7" s="102">
        <v>142190</v>
      </c>
      <c r="Z7" s="102">
        <v>0</v>
      </c>
      <c r="AA7" s="102">
        <v>887938</v>
      </c>
      <c r="AB7" s="102">
        <v>1856753</v>
      </c>
      <c r="AC7" s="102">
        <v>21875162</v>
      </c>
      <c r="AD7" s="102">
        <v>20754133</v>
      </c>
      <c r="AE7" s="102">
        <v>1120955</v>
      </c>
      <c r="AF7" s="102">
        <v>351836</v>
      </c>
      <c r="AG7" s="102">
        <v>5585113</v>
      </c>
      <c r="AH7" s="73">
        <f t="shared" si="3"/>
        <v>6798070</v>
      </c>
      <c r="AI7" s="102">
        <v>4324051</v>
      </c>
      <c r="AJ7" s="102">
        <v>2474019</v>
      </c>
      <c r="AK7" s="102">
        <v>77007628</v>
      </c>
      <c r="AL7" s="73">
        <f t="shared" si="4"/>
        <v>44864222</v>
      </c>
      <c r="AM7" s="102">
        <v>33611904</v>
      </c>
      <c r="AN7" s="102">
        <v>4396914</v>
      </c>
      <c r="AO7" s="74"/>
      <c r="AP7" s="102">
        <v>6855404</v>
      </c>
      <c r="AQ7" s="102">
        <v>3341207</v>
      </c>
      <c r="AR7" s="102">
        <v>0</v>
      </c>
      <c r="AS7" s="102">
        <v>11454</v>
      </c>
      <c r="AT7" s="102">
        <v>15877485</v>
      </c>
      <c r="AU7" s="102">
        <v>8846024</v>
      </c>
      <c r="AV7" s="102">
        <v>0</v>
      </c>
      <c r="AW7" s="102">
        <v>752904</v>
      </c>
      <c r="AX7" s="102">
        <v>7031461</v>
      </c>
      <c r="AY7" s="102">
        <v>0</v>
      </c>
      <c r="AZ7" s="102">
        <v>1888650</v>
      </c>
      <c r="BA7" s="102">
        <v>1599635</v>
      </c>
      <c r="BB7" s="102">
        <v>283655</v>
      </c>
      <c r="BC7" s="102">
        <v>2377968</v>
      </c>
      <c r="BD7" s="102">
        <v>0</v>
      </c>
      <c r="BE7" s="102">
        <v>72500</v>
      </c>
      <c r="BF7" s="102">
        <v>2305079</v>
      </c>
      <c r="BG7" s="102">
        <v>0</v>
      </c>
      <c r="BH7" s="102">
        <v>3269721</v>
      </c>
      <c r="BI7" s="102">
        <v>975153</v>
      </c>
      <c r="BJ7" s="102">
        <v>8488301</v>
      </c>
      <c r="BK7" s="102">
        <v>3519689</v>
      </c>
      <c r="BL7" s="102">
        <v>15548</v>
      </c>
      <c r="BM7" s="102">
        <v>1980384</v>
      </c>
      <c r="BN7" s="102">
        <v>58502820</v>
      </c>
      <c r="BO7" s="73">
        <f t="shared" si="5"/>
        <v>36802420</v>
      </c>
      <c r="BP7" s="73">
        <f t="shared" si="6"/>
        <v>19870400</v>
      </c>
      <c r="BQ7" s="102">
        <v>0</v>
      </c>
      <c r="BR7" s="76">
        <v>0</v>
      </c>
      <c r="BS7" s="102">
        <v>19870400</v>
      </c>
      <c r="BT7" s="102">
        <v>1830000</v>
      </c>
      <c r="BU7" s="102">
        <v>354988375</v>
      </c>
      <c r="BV7" s="71"/>
      <c r="BW7" s="102">
        <v>52450988</v>
      </c>
      <c r="BX7" s="102">
        <v>34971608</v>
      </c>
      <c r="BY7" s="102">
        <v>6330913</v>
      </c>
      <c r="BZ7" s="102">
        <v>2812045</v>
      </c>
      <c r="CA7" s="102">
        <v>104750222</v>
      </c>
      <c r="CB7" s="102">
        <v>16726731</v>
      </c>
      <c r="CC7" s="102">
        <v>2001452</v>
      </c>
      <c r="CD7" s="102">
        <v>38287746</v>
      </c>
      <c r="CE7" s="102">
        <v>44316186</v>
      </c>
      <c r="CF7" s="102">
        <v>2639173</v>
      </c>
      <c r="CG7" s="102">
        <v>778907</v>
      </c>
      <c r="CH7" s="102">
        <v>31238265</v>
      </c>
      <c r="CI7" s="102">
        <v>26314541</v>
      </c>
      <c r="CJ7" s="83">
        <v>4923724</v>
      </c>
      <c r="CK7" s="102">
        <v>40826893</v>
      </c>
      <c r="CL7" s="102">
        <v>27719344</v>
      </c>
      <c r="CM7" s="102">
        <v>1828508</v>
      </c>
      <c r="CN7" s="102">
        <v>6113632</v>
      </c>
      <c r="CO7" s="102">
        <v>2253816</v>
      </c>
      <c r="CP7" s="102">
        <v>27141592</v>
      </c>
      <c r="CQ7" s="102">
        <v>35962</v>
      </c>
      <c r="CR7" s="102">
        <v>9124811</v>
      </c>
      <c r="CS7" s="102">
        <v>5095825</v>
      </c>
      <c r="CT7" s="73">
        <f t="shared" si="7"/>
        <v>11689745</v>
      </c>
      <c r="CU7" s="102">
        <v>7902026</v>
      </c>
      <c r="CV7" s="102">
        <v>3787719</v>
      </c>
      <c r="CW7" s="73">
        <f t="shared" si="8"/>
        <v>2075000</v>
      </c>
      <c r="CX7" s="102">
        <v>394103</v>
      </c>
      <c r="CY7" s="102">
        <v>1680897</v>
      </c>
      <c r="CZ7" s="73">
        <f t="shared" si="9"/>
        <v>9098432</v>
      </c>
      <c r="DA7" s="102">
        <v>7016232</v>
      </c>
      <c r="DB7" s="102">
        <v>2082200</v>
      </c>
      <c r="DC7" s="102">
        <v>44499642</v>
      </c>
      <c r="DD7" s="102">
        <v>24513359</v>
      </c>
      <c r="DE7" s="102">
        <v>19290474</v>
      </c>
      <c r="DF7" s="102">
        <v>77354</v>
      </c>
      <c r="DG7" s="102">
        <v>15548</v>
      </c>
      <c r="DH7" s="102">
        <v>0</v>
      </c>
      <c r="DI7" s="102">
        <v>2969301</v>
      </c>
      <c r="DJ7" s="102">
        <v>3200</v>
      </c>
      <c r="DK7" s="102">
        <v>1507439</v>
      </c>
      <c r="DL7" s="102">
        <v>1458662</v>
      </c>
      <c r="DM7" s="102">
        <v>17069000</v>
      </c>
      <c r="DN7" s="102">
        <v>14000000</v>
      </c>
      <c r="DO7" s="102">
        <v>0</v>
      </c>
      <c r="DP7" s="102">
        <v>14000000</v>
      </c>
      <c r="DQ7" s="102">
        <v>4378897</v>
      </c>
      <c r="DR7" s="102">
        <v>0</v>
      </c>
      <c r="DS7" s="102">
        <v>0</v>
      </c>
      <c r="DT7" s="102">
        <v>24371857</v>
      </c>
      <c r="DU7" s="102">
        <v>0</v>
      </c>
      <c r="DV7" s="73">
        <f t="shared" si="10"/>
        <v>0</v>
      </c>
      <c r="DW7" s="102">
        <v>0</v>
      </c>
      <c r="DX7" s="102">
        <v>8292948</v>
      </c>
      <c r="DY7" s="102">
        <v>508</v>
      </c>
      <c r="DZ7" s="102">
        <v>8057312</v>
      </c>
      <c r="EA7" s="74">
        <v>0</v>
      </c>
      <c r="EB7" s="102">
        <v>7946089</v>
      </c>
      <c r="EC7" s="102">
        <v>0</v>
      </c>
      <c r="ED7" s="102">
        <v>351950473</v>
      </c>
      <c r="EE7" s="71"/>
      <c r="EF7" s="102">
        <v>3037902</v>
      </c>
      <c r="EG7" s="102">
        <v>2045854</v>
      </c>
      <c r="EH7" s="102">
        <v>992048</v>
      </c>
      <c r="EI7" s="102">
        <v>16993</v>
      </c>
      <c r="EJ7" s="102">
        <v>459514</v>
      </c>
      <c r="EK7" s="71"/>
      <c r="EL7" s="102"/>
      <c r="EM7" s="102">
        <v>838675</v>
      </c>
      <c r="EN7" s="102">
        <v>72500</v>
      </c>
      <c r="EO7" s="102">
        <v>1092551</v>
      </c>
      <c r="EP7" s="73">
        <f t="shared" si="11"/>
        <v>12973436</v>
      </c>
      <c r="EQ7" s="102">
        <v>174908964</v>
      </c>
      <c r="ER7" s="71">
        <v>-27393301</v>
      </c>
      <c r="ES7" s="102">
        <v>46848430</v>
      </c>
      <c r="ET7" s="102">
        <v>31704538</v>
      </c>
      <c r="EU7" s="102">
        <v>31671722</v>
      </c>
      <c r="EV7" s="102">
        <v>30904510</v>
      </c>
      <c r="EW7" s="73">
        <f t="shared" si="12"/>
        <v>7493840</v>
      </c>
      <c r="EX7" s="102">
        <v>7493840</v>
      </c>
      <c r="EY7" s="102">
        <v>1529291</v>
      </c>
      <c r="EZ7" s="102">
        <v>5954371</v>
      </c>
      <c r="FA7" s="102">
        <v>0</v>
      </c>
      <c r="FB7" s="102">
        <v>0</v>
      </c>
      <c r="FC7" s="102">
        <v>33339390</v>
      </c>
      <c r="FD7" s="102">
        <v>25295341</v>
      </c>
      <c r="FE7" s="102">
        <v>35962</v>
      </c>
      <c r="FF7" s="102">
        <v>19871900</v>
      </c>
      <c r="FG7" s="73">
        <f t="shared" si="13"/>
        <v>3939122</v>
      </c>
      <c r="FH7" s="102">
        <v>199364255</v>
      </c>
      <c r="FI7" s="379">
        <f t="shared" si="14"/>
        <v>0.5</v>
      </c>
      <c r="FJ7" s="102">
        <v>163531366</v>
      </c>
      <c r="FK7" s="102">
        <v>19870480</v>
      </c>
      <c r="FL7" s="102">
        <v>109774738</v>
      </c>
      <c r="FM7" s="102">
        <v>130398373</v>
      </c>
      <c r="FN7" s="151">
        <v>0.82899999999999996</v>
      </c>
      <c r="FO7" s="424">
        <v>95.5</v>
      </c>
      <c r="FP7" s="151">
        <v>25.3</v>
      </c>
      <c r="FQ7" s="424">
        <v>17.100000000000001</v>
      </c>
      <c r="FR7" s="424">
        <v>16.5</v>
      </c>
      <c r="FS7" s="151">
        <v>16.2</v>
      </c>
      <c r="FT7" s="424">
        <v>9</v>
      </c>
      <c r="FU7" s="151">
        <v>10.6</v>
      </c>
      <c r="FV7" s="384">
        <f t="shared" si="15"/>
        <v>4.9000000000000004</v>
      </c>
      <c r="FW7" s="102">
        <v>330349598</v>
      </c>
      <c r="FX7" s="384">
        <f t="shared" si="16"/>
        <v>180.1</v>
      </c>
      <c r="FY7" s="102">
        <v>38091495</v>
      </c>
      <c r="FZ7" s="102">
        <v>1796800</v>
      </c>
      <c r="GA7" s="102">
        <v>2057249</v>
      </c>
      <c r="GB7" s="102">
        <v>34237446</v>
      </c>
      <c r="GC7" s="102">
        <v>100000</v>
      </c>
      <c r="GD7" s="454">
        <v>18566647</v>
      </c>
      <c r="GE7" s="386">
        <f t="shared" ref="GE7:GE13" si="18">IF(GD7=0,"-",ROUND(GD7/(FJ7+FK7)*100,1))</f>
        <v>10.1</v>
      </c>
      <c r="GF7" s="424">
        <v>98.448709396370532</v>
      </c>
      <c r="GG7" s="424">
        <v>26.407515510956539</v>
      </c>
      <c r="GH7" s="424">
        <v>94.993400350085508</v>
      </c>
      <c r="GI7" s="102">
        <v>4965</v>
      </c>
      <c r="GJ7" s="123" t="s">
        <v>646</v>
      </c>
      <c r="GK7" s="151">
        <v>11.25</v>
      </c>
      <c r="GL7" s="87">
        <v>20</v>
      </c>
      <c r="GM7" s="123" t="s">
        <v>646</v>
      </c>
      <c r="GN7" s="151">
        <v>16.25</v>
      </c>
      <c r="GO7" s="430">
        <v>30</v>
      </c>
      <c r="GP7" s="424">
        <v>4.9000000000000004</v>
      </c>
      <c r="GQ7" s="425">
        <v>25</v>
      </c>
      <c r="GR7" s="425">
        <v>35</v>
      </c>
      <c r="GS7" s="151">
        <v>52.8</v>
      </c>
      <c r="GT7" s="424">
        <v>350</v>
      </c>
      <c r="GV7" s="100">
        <f t="shared" si="17"/>
        <v>183402</v>
      </c>
    </row>
    <row r="8" spans="2:230" x14ac:dyDescent="0.15">
      <c r="B8" s="89" t="s">
        <v>5</v>
      </c>
      <c r="C8" s="102">
        <v>23881438</v>
      </c>
      <c r="D8" s="73">
        <f t="shared" si="0"/>
        <v>8229061</v>
      </c>
      <c r="E8" s="102">
        <v>245694</v>
      </c>
      <c r="F8" s="102">
        <v>7983367</v>
      </c>
      <c r="G8" s="73">
        <f t="shared" si="1"/>
        <v>1724596</v>
      </c>
      <c r="H8" s="102">
        <v>431911</v>
      </c>
      <c r="I8" s="102">
        <v>1292685</v>
      </c>
      <c r="J8" s="102">
        <v>10107453</v>
      </c>
      <c r="K8" s="102">
        <v>4223826</v>
      </c>
      <c r="L8" s="102">
        <v>4399723</v>
      </c>
      <c r="M8" s="102">
        <v>1197473</v>
      </c>
      <c r="N8" s="102">
        <v>1517509</v>
      </c>
      <c r="O8" s="102">
        <v>2012548</v>
      </c>
      <c r="P8" s="102">
        <v>1120619</v>
      </c>
      <c r="Q8" s="102">
        <v>891929</v>
      </c>
      <c r="R8" s="102">
        <v>398746</v>
      </c>
      <c r="S8" s="74"/>
      <c r="T8" s="73">
        <f t="shared" si="2"/>
        <v>2163005</v>
      </c>
      <c r="U8" s="102">
        <v>102203</v>
      </c>
      <c r="V8" s="102">
        <v>66259</v>
      </c>
      <c r="W8" s="102">
        <v>14722</v>
      </c>
      <c r="X8" s="102">
        <v>1777066</v>
      </c>
      <c r="Y8" s="102">
        <v>50071</v>
      </c>
      <c r="Z8" s="102">
        <v>0</v>
      </c>
      <c r="AA8" s="102">
        <v>152684</v>
      </c>
      <c r="AB8" s="102">
        <v>349689</v>
      </c>
      <c r="AC8" s="102">
        <v>14485504</v>
      </c>
      <c r="AD8" s="102">
        <v>14261201</v>
      </c>
      <c r="AE8" s="102">
        <v>224290</v>
      </c>
      <c r="AF8" s="102">
        <v>41926</v>
      </c>
      <c r="AG8" s="102">
        <v>629601</v>
      </c>
      <c r="AH8" s="73">
        <f t="shared" si="3"/>
        <v>1515536</v>
      </c>
      <c r="AI8" s="102">
        <v>1172269</v>
      </c>
      <c r="AJ8" s="102">
        <v>343267</v>
      </c>
      <c r="AK8" s="102">
        <v>13716782</v>
      </c>
      <c r="AL8" s="73">
        <f t="shared" si="4"/>
        <v>8371987</v>
      </c>
      <c r="AM8" s="102">
        <v>6590916</v>
      </c>
      <c r="AN8" s="102">
        <v>747119</v>
      </c>
      <c r="AO8" s="74"/>
      <c r="AP8" s="102">
        <v>1033952</v>
      </c>
      <c r="AQ8" s="102">
        <v>494248</v>
      </c>
      <c r="AR8" s="102">
        <v>0</v>
      </c>
      <c r="AS8" s="102">
        <v>0</v>
      </c>
      <c r="AT8" s="102">
        <v>4226240</v>
      </c>
      <c r="AU8" s="102">
        <v>2888660</v>
      </c>
      <c r="AV8" s="102">
        <v>373560</v>
      </c>
      <c r="AW8" s="102">
        <v>66828</v>
      </c>
      <c r="AX8" s="102">
        <v>1337580</v>
      </c>
      <c r="AY8" s="102">
        <v>181083</v>
      </c>
      <c r="AZ8" s="102">
        <v>544653</v>
      </c>
      <c r="BA8" s="102">
        <v>412009</v>
      </c>
      <c r="BB8" s="102">
        <v>500831</v>
      </c>
      <c r="BC8" s="102">
        <v>221420</v>
      </c>
      <c r="BD8" s="102">
        <v>0</v>
      </c>
      <c r="BE8" s="102">
        <v>0</v>
      </c>
      <c r="BF8" s="102">
        <v>93752</v>
      </c>
      <c r="BG8" s="102">
        <v>0</v>
      </c>
      <c r="BH8" s="102">
        <v>348284</v>
      </c>
      <c r="BI8" s="102">
        <v>243144</v>
      </c>
      <c r="BJ8" s="102">
        <v>777470</v>
      </c>
      <c r="BK8" s="102">
        <v>30000</v>
      </c>
      <c r="BL8" s="102">
        <v>0</v>
      </c>
      <c r="BM8" s="102">
        <v>40541</v>
      </c>
      <c r="BN8" s="102">
        <v>5039600</v>
      </c>
      <c r="BO8" s="73">
        <f t="shared" si="5"/>
        <v>1215600</v>
      </c>
      <c r="BP8" s="73">
        <f t="shared" si="6"/>
        <v>3279000</v>
      </c>
      <c r="BQ8" s="102">
        <v>0</v>
      </c>
      <c r="BR8" s="102">
        <v>0</v>
      </c>
      <c r="BS8" s="102">
        <v>3279000</v>
      </c>
      <c r="BT8" s="102">
        <v>545000</v>
      </c>
      <c r="BU8" s="102">
        <v>68840725</v>
      </c>
      <c r="BV8" s="71"/>
      <c r="BW8" s="102">
        <v>12182943</v>
      </c>
      <c r="BX8" s="102">
        <v>8217202</v>
      </c>
      <c r="BY8" s="102">
        <v>1189450</v>
      </c>
      <c r="BZ8" s="102">
        <v>524078</v>
      </c>
      <c r="CA8" s="102">
        <v>21240436</v>
      </c>
      <c r="CB8" s="102">
        <v>2819618</v>
      </c>
      <c r="CC8" s="102">
        <v>373242</v>
      </c>
      <c r="CD8" s="102">
        <v>8905620</v>
      </c>
      <c r="CE8" s="102">
        <v>8706554</v>
      </c>
      <c r="CF8" s="102">
        <v>1730</v>
      </c>
      <c r="CG8" s="102">
        <v>421656</v>
      </c>
      <c r="CH8" s="102">
        <v>9520493</v>
      </c>
      <c r="CI8" s="102">
        <v>7969769</v>
      </c>
      <c r="CJ8" s="83">
        <f t="shared" ref="CJ8:CJ52" si="19">IF(CI8="","",CH8-CI8)</f>
        <v>1550724</v>
      </c>
      <c r="CK8" s="102">
        <v>6848992</v>
      </c>
      <c r="CL8" s="102">
        <v>4202585</v>
      </c>
      <c r="CM8" s="102">
        <v>412174</v>
      </c>
      <c r="CN8" s="102">
        <v>838862</v>
      </c>
      <c r="CO8" s="102">
        <v>287615</v>
      </c>
      <c r="CP8" s="102">
        <v>7950752</v>
      </c>
      <c r="CQ8" s="102">
        <v>2167302</v>
      </c>
      <c r="CR8" s="102">
        <v>771420</v>
      </c>
      <c r="CS8" s="102">
        <v>710608</v>
      </c>
      <c r="CT8" s="73">
        <f t="shared" si="7"/>
        <v>3893064</v>
      </c>
      <c r="CU8" s="102">
        <v>3889569</v>
      </c>
      <c r="CV8" s="102">
        <v>3495</v>
      </c>
      <c r="CW8" s="73">
        <f t="shared" si="8"/>
        <v>1200163</v>
      </c>
      <c r="CX8" s="102">
        <v>1200163</v>
      </c>
      <c r="CY8" s="102">
        <v>0</v>
      </c>
      <c r="CZ8" s="73">
        <f t="shared" si="9"/>
        <v>2656148</v>
      </c>
      <c r="DA8" s="102">
        <v>2652653</v>
      </c>
      <c r="DB8" s="102">
        <v>3495</v>
      </c>
      <c r="DC8" s="102">
        <v>3081614</v>
      </c>
      <c r="DD8" s="102">
        <v>1839140</v>
      </c>
      <c r="DE8" s="102">
        <v>1197560</v>
      </c>
      <c r="DF8" s="77">
        <v>7822</v>
      </c>
      <c r="DG8" s="78">
        <v>37092</v>
      </c>
      <c r="DH8" s="102">
        <v>0</v>
      </c>
      <c r="DI8" s="102">
        <v>864261</v>
      </c>
      <c r="DJ8" s="102">
        <v>632709</v>
      </c>
      <c r="DK8" s="102">
        <v>3056</v>
      </c>
      <c r="DL8" s="102">
        <v>228496</v>
      </c>
      <c r="DM8" s="102">
        <v>654690</v>
      </c>
      <c r="DN8" s="102">
        <v>654690</v>
      </c>
      <c r="DO8" s="102">
        <v>40100</v>
      </c>
      <c r="DP8" s="102">
        <v>200000</v>
      </c>
      <c r="DQ8" s="102">
        <v>30000</v>
      </c>
      <c r="DR8" s="102">
        <v>0</v>
      </c>
      <c r="DS8" s="102">
        <v>0</v>
      </c>
      <c r="DT8" s="102">
        <v>5565575</v>
      </c>
      <c r="DU8" s="102">
        <v>0</v>
      </c>
      <c r="DV8" s="73">
        <f t="shared" si="10"/>
        <v>0</v>
      </c>
      <c r="DW8" s="102">
        <v>0</v>
      </c>
      <c r="DX8" s="102">
        <v>2043754</v>
      </c>
      <c r="DY8" s="102">
        <v>0</v>
      </c>
      <c r="DZ8" s="102">
        <v>1588151</v>
      </c>
      <c r="EA8" s="74">
        <v>0</v>
      </c>
      <c r="EB8" s="102">
        <v>1933670</v>
      </c>
      <c r="EC8" s="102">
        <v>0</v>
      </c>
      <c r="ED8" s="102">
        <v>68227371</v>
      </c>
      <c r="EE8" s="71"/>
      <c r="EF8" s="102">
        <v>613354</v>
      </c>
      <c r="EG8" s="102">
        <v>128154</v>
      </c>
      <c r="EH8" s="102">
        <v>485200</v>
      </c>
      <c r="EI8" s="102">
        <v>-7944</v>
      </c>
      <c r="EJ8" s="102">
        <v>624765</v>
      </c>
      <c r="EK8" s="71"/>
      <c r="EL8" s="102"/>
      <c r="EM8" s="102">
        <v>200273</v>
      </c>
      <c r="EN8" s="102">
        <v>26099</v>
      </c>
      <c r="EO8" s="102">
        <v>539518</v>
      </c>
      <c r="EP8" s="73">
        <f t="shared" si="11"/>
        <v>1474887</v>
      </c>
      <c r="EQ8" s="102">
        <v>41320308</v>
      </c>
      <c r="ER8" s="71">
        <v>-5277578</v>
      </c>
      <c r="ES8" s="102">
        <v>10658086</v>
      </c>
      <c r="ET8" s="102">
        <v>7420704</v>
      </c>
      <c r="EU8" s="102">
        <v>6182036</v>
      </c>
      <c r="EV8" s="102">
        <v>9453870</v>
      </c>
      <c r="EW8" s="73">
        <f t="shared" si="12"/>
        <v>650608</v>
      </c>
      <c r="EX8" s="102">
        <v>650608</v>
      </c>
      <c r="EY8" s="102">
        <v>53578</v>
      </c>
      <c r="EZ8" s="102">
        <v>593119</v>
      </c>
      <c r="FA8" s="102">
        <v>0</v>
      </c>
      <c r="FB8" s="102">
        <v>0</v>
      </c>
      <c r="FC8" s="102">
        <v>5528995</v>
      </c>
      <c r="FD8" s="102">
        <v>7364628</v>
      </c>
      <c r="FE8" s="102">
        <v>2167302</v>
      </c>
      <c r="FF8" s="102">
        <v>4594599</v>
      </c>
      <c r="FG8" s="73">
        <f t="shared" si="13"/>
        <v>1551710</v>
      </c>
      <c r="FH8" s="102">
        <v>45984532</v>
      </c>
      <c r="FI8" s="379">
        <f t="shared" si="14"/>
        <v>1.2</v>
      </c>
      <c r="FJ8" s="102">
        <v>38420607</v>
      </c>
      <c r="FK8" s="102">
        <v>3279092</v>
      </c>
      <c r="FL8" s="102">
        <v>18721813</v>
      </c>
      <c r="FM8" s="102">
        <v>32982117</v>
      </c>
      <c r="FN8" s="428">
        <v>0.58299999999999996</v>
      </c>
      <c r="FO8" s="424">
        <v>97.3</v>
      </c>
      <c r="FP8" s="425">
        <v>24.3</v>
      </c>
      <c r="FQ8" s="424">
        <v>14.2</v>
      </c>
      <c r="FR8" s="424">
        <v>22</v>
      </c>
      <c r="FS8" s="425">
        <v>10.4</v>
      </c>
      <c r="FT8" s="424">
        <v>15.4</v>
      </c>
      <c r="FU8" s="425">
        <v>10</v>
      </c>
      <c r="FV8" s="384">
        <f t="shared" si="15"/>
        <v>14.4</v>
      </c>
      <c r="FW8" s="102">
        <v>81365200</v>
      </c>
      <c r="FX8" s="384">
        <f t="shared" si="16"/>
        <v>195.1</v>
      </c>
      <c r="FY8" s="102">
        <v>7607844</v>
      </c>
      <c r="FZ8" s="102">
        <v>2632267</v>
      </c>
      <c r="GA8" s="102">
        <v>1213260</v>
      </c>
      <c r="GB8" s="102">
        <v>3762317</v>
      </c>
      <c r="GC8" s="102">
        <v>0</v>
      </c>
      <c r="GD8" s="454">
        <v>4924395</v>
      </c>
      <c r="GE8" s="386">
        <f t="shared" si="18"/>
        <v>11.8</v>
      </c>
      <c r="GF8" s="424">
        <v>98.373730931883202</v>
      </c>
      <c r="GG8" s="424">
        <v>24.492365914132851</v>
      </c>
      <c r="GH8" s="424">
        <v>94.34770019797206</v>
      </c>
      <c r="GI8" s="102">
        <v>1310</v>
      </c>
      <c r="GJ8" s="429" t="s">
        <v>646</v>
      </c>
      <c r="GK8" s="429">
        <v>11.42</v>
      </c>
      <c r="GL8" s="87">
        <v>20</v>
      </c>
      <c r="GM8" s="429" t="s">
        <v>646</v>
      </c>
      <c r="GN8" s="430">
        <v>16.420000000000002</v>
      </c>
      <c r="GO8" s="430">
        <v>30</v>
      </c>
      <c r="GP8" s="425">
        <v>14.4</v>
      </c>
      <c r="GQ8" s="425">
        <v>25</v>
      </c>
      <c r="GR8" s="425">
        <v>35</v>
      </c>
      <c r="GS8" s="431">
        <v>119.4</v>
      </c>
      <c r="GT8" s="425">
        <v>350</v>
      </c>
      <c r="GU8" s="394"/>
      <c r="GV8" s="100">
        <f t="shared" si="17"/>
        <v>41700</v>
      </c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</row>
    <row r="9" spans="2:230" x14ac:dyDescent="0.15">
      <c r="B9" s="89" t="s">
        <v>7</v>
      </c>
      <c r="C9" s="102">
        <v>63806115</v>
      </c>
      <c r="D9" s="73">
        <f t="shared" si="0"/>
        <v>26030902</v>
      </c>
      <c r="E9" s="102">
        <v>528768</v>
      </c>
      <c r="F9" s="102">
        <v>25502134</v>
      </c>
      <c r="G9" s="73">
        <f t="shared" si="1"/>
        <v>4190548</v>
      </c>
      <c r="H9" s="102">
        <v>1059219</v>
      </c>
      <c r="I9" s="102">
        <v>3131329</v>
      </c>
      <c r="J9" s="102">
        <v>24206182</v>
      </c>
      <c r="K9" s="102">
        <v>9843283</v>
      </c>
      <c r="L9" s="102">
        <v>11434737</v>
      </c>
      <c r="M9" s="102">
        <v>2595348</v>
      </c>
      <c r="N9" s="102">
        <v>2555648</v>
      </c>
      <c r="O9" s="102">
        <v>5647577</v>
      </c>
      <c r="P9" s="102">
        <v>3068997</v>
      </c>
      <c r="Q9" s="102">
        <v>2578580</v>
      </c>
      <c r="R9" s="102">
        <v>3100201</v>
      </c>
      <c r="S9" s="74"/>
      <c r="T9" s="73">
        <f t="shared" si="2"/>
        <v>4186797</v>
      </c>
      <c r="U9" s="102">
        <v>317265</v>
      </c>
      <c r="V9" s="102">
        <v>205993</v>
      </c>
      <c r="W9" s="102">
        <v>46035</v>
      </c>
      <c r="X9" s="102">
        <v>3358320</v>
      </c>
      <c r="Y9" s="102">
        <v>0</v>
      </c>
      <c r="Z9" s="102">
        <v>0</v>
      </c>
      <c r="AA9" s="102">
        <v>259184</v>
      </c>
      <c r="AB9" s="102">
        <v>657666</v>
      </c>
      <c r="AC9" s="102">
        <v>5806148</v>
      </c>
      <c r="AD9" s="102">
        <v>5194289</v>
      </c>
      <c r="AE9" s="102">
        <v>611837</v>
      </c>
      <c r="AF9" s="102">
        <v>58944</v>
      </c>
      <c r="AG9" s="102">
        <v>1068612</v>
      </c>
      <c r="AH9" s="73">
        <f t="shared" si="3"/>
        <v>2620293</v>
      </c>
      <c r="AI9" s="102">
        <v>2352531</v>
      </c>
      <c r="AJ9" s="102">
        <v>267762</v>
      </c>
      <c r="AK9" s="102">
        <v>24711003</v>
      </c>
      <c r="AL9" s="73">
        <f t="shared" si="4"/>
        <v>16454258</v>
      </c>
      <c r="AM9" s="102">
        <v>12812781</v>
      </c>
      <c r="AN9" s="102">
        <v>1310328</v>
      </c>
      <c r="AO9" s="74"/>
      <c r="AP9" s="102">
        <v>2331149</v>
      </c>
      <c r="AQ9" s="102">
        <v>459495</v>
      </c>
      <c r="AR9" s="102">
        <v>0</v>
      </c>
      <c r="AS9" s="102">
        <v>0</v>
      </c>
      <c r="AT9" s="102">
        <v>8552408</v>
      </c>
      <c r="AU9" s="102">
        <v>5174013</v>
      </c>
      <c r="AV9" s="102">
        <v>400084</v>
      </c>
      <c r="AW9" s="102">
        <v>9492</v>
      </c>
      <c r="AX9" s="102">
        <v>3378395</v>
      </c>
      <c r="AY9" s="102">
        <v>289155</v>
      </c>
      <c r="AZ9" s="102">
        <v>272592</v>
      </c>
      <c r="BA9" s="102">
        <v>191182</v>
      </c>
      <c r="BB9" s="102">
        <v>176413</v>
      </c>
      <c r="BC9" s="102">
        <v>432554</v>
      </c>
      <c r="BD9" s="102">
        <v>1875</v>
      </c>
      <c r="BE9" s="102">
        <v>0</v>
      </c>
      <c r="BF9" s="102">
        <v>361588</v>
      </c>
      <c r="BG9" s="102">
        <v>0</v>
      </c>
      <c r="BH9" s="102">
        <v>1287481</v>
      </c>
      <c r="BI9" s="102">
        <v>815617</v>
      </c>
      <c r="BJ9" s="102">
        <v>4630138</v>
      </c>
      <c r="BK9" s="102">
        <v>3206482</v>
      </c>
      <c r="BL9" s="102">
        <v>0</v>
      </c>
      <c r="BM9" s="102">
        <v>48177</v>
      </c>
      <c r="BN9" s="102">
        <v>7063600</v>
      </c>
      <c r="BO9" s="73">
        <f t="shared" si="5"/>
        <v>1405500</v>
      </c>
      <c r="BP9" s="73">
        <f t="shared" si="6"/>
        <v>5658100</v>
      </c>
      <c r="BQ9" s="102">
        <v>0</v>
      </c>
      <c r="BR9" s="102">
        <v>0</v>
      </c>
      <c r="BS9" s="102">
        <v>5658100</v>
      </c>
      <c r="BT9" s="102">
        <v>0</v>
      </c>
      <c r="BU9" s="102">
        <v>128430965</v>
      </c>
      <c r="BV9" s="71"/>
      <c r="BW9" s="102">
        <v>26741029</v>
      </c>
      <c r="BX9" s="102">
        <v>17814426</v>
      </c>
      <c r="BY9" s="102">
        <v>3351678</v>
      </c>
      <c r="BZ9" s="102">
        <v>1176603</v>
      </c>
      <c r="CA9" s="102">
        <v>37151000</v>
      </c>
      <c r="CB9" s="102">
        <v>5487931</v>
      </c>
      <c r="CC9" s="102">
        <v>626568</v>
      </c>
      <c r="CD9" s="102">
        <v>13713227</v>
      </c>
      <c r="CE9" s="102">
        <v>16958030</v>
      </c>
      <c r="CF9" s="102">
        <v>10431</v>
      </c>
      <c r="CG9" s="102">
        <v>346800</v>
      </c>
      <c r="CH9" s="102">
        <v>14016071</v>
      </c>
      <c r="CI9" s="102">
        <v>12379864</v>
      </c>
      <c r="CJ9" s="83">
        <f t="shared" si="19"/>
        <v>1636207</v>
      </c>
      <c r="CK9" s="102">
        <v>12858473</v>
      </c>
      <c r="CL9" s="102">
        <v>6052446</v>
      </c>
      <c r="CM9" s="102">
        <v>1413638</v>
      </c>
      <c r="CN9" s="102">
        <v>2544938</v>
      </c>
      <c r="CO9" s="102">
        <v>683799</v>
      </c>
      <c r="CP9" s="102">
        <v>12636701</v>
      </c>
      <c r="CQ9" s="102">
        <v>1971669</v>
      </c>
      <c r="CR9" s="102">
        <v>2897762</v>
      </c>
      <c r="CS9" s="102">
        <v>1539853</v>
      </c>
      <c r="CT9" s="73">
        <f t="shared" si="7"/>
        <v>4707268</v>
      </c>
      <c r="CU9" s="102">
        <v>4095936</v>
      </c>
      <c r="CV9" s="102">
        <v>611332</v>
      </c>
      <c r="CW9" s="73">
        <f t="shared" si="8"/>
        <v>1618707</v>
      </c>
      <c r="CX9" s="102">
        <v>1282485</v>
      </c>
      <c r="CY9" s="102">
        <v>336222</v>
      </c>
      <c r="CZ9" s="73">
        <f t="shared" si="9"/>
        <v>2943341</v>
      </c>
      <c r="DA9" s="102">
        <v>2771633</v>
      </c>
      <c r="DB9" s="102">
        <v>171708</v>
      </c>
      <c r="DC9" s="102">
        <v>8015634</v>
      </c>
      <c r="DD9" s="102">
        <v>1526362</v>
      </c>
      <c r="DE9" s="102">
        <v>6489272</v>
      </c>
      <c r="DF9" s="77">
        <v>0</v>
      </c>
      <c r="DG9" s="78">
        <v>0</v>
      </c>
      <c r="DH9" s="102">
        <v>0</v>
      </c>
      <c r="DI9" s="102">
        <v>669044</v>
      </c>
      <c r="DJ9" s="102">
        <v>281050</v>
      </c>
      <c r="DK9" s="102">
        <v>6689</v>
      </c>
      <c r="DL9" s="102">
        <v>381305</v>
      </c>
      <c r="DM9" s="102">
        <v>770935</v>
      </c>
      <c r="DN9" s="102">
        <v>770935</v>
      </c>
      <c r="DO9" s="102">
        <v>192609</v>
      </c>
      <c r="DP9" s="102">
        <v>462544</v>
      </c>
      <c r="DQ9" s="102">
        <v>350665</v>
      </c>
      <c r="DR9" s="102">
        <v>0</v>
      </c>
      <c r="DS9" s="102">
        <v>0</v>
      </c>
      <c r="DT9" s="102">
        <v>12533923</v>
      </c>
      <c r="DU9" s="102">
        <v>0</v>
      </c>
      <c r="DV9" s="73">
        <f t="shared" si="10"/>
        <v>0</v>
      </c>
      <c r="DW9" s="102">
        <v>0</v>
      </c>
      <c r="DX9" s="102">
        <v>3402668</v>
      </c>
      <c r="DY9" s="102">
        <v>0</v>
      </c>
      <c r="DZ9" s="102">
        <v>4867113</v>
      </c>
      <c r="EA9" s="74">
        <v>0</v>
      </c>
      <c r="EB9" s="102">
        <v>3453364</v>
      </c>
      <c r="EC9" s="102">
        <v>0</v>
      </c>
      <c r="ED9" s="102">
        <v>126427274</v>
      </c>
      <c r="EE9" s="71"/>
      <c r="EF9" s="102">
        <v>2003691</v>
      </c>
      <c r="EG9" s="102">
        <v>235845</v>
      </c>
      <c r="EH9" s="102">
        <v>1767846</v>
      </c>
      <c r="EI9" s="102">
        <v>952229</v>
      </c>
      <c r="EJ9" s="102">
        <v>1304033</v>
      </c>
      <c r="EK9" s="71"/>
      <c r="EL9" s="102"/>
      <c r="EM9" s="102">
        <v>391371</v>
      </c>
      <c r="EN9" s="102">
        <v>1876</v>
      </c>
      <c r="EO9" s="102">
        <v>156928</v>
      </c>
      <c r="EP9" s="73">
        <f t="shared" si="11"/>
        <v>5062026</v>
      </c>
      <c r="EQ9" s="102">
        <v>77615871</v>
      </c>
      <c r="ER9" s="71">
        <v>-10819986</v>
      </c>
      <c r="ES9" s="102">
        <v>24994318</v>
      </c>
      <c r="ET9" s="102">
        <v>17118900</v>
      </c>
      <c r="EU9" s="102">
        <v>9638713</v>
      </c>
      <c r="EV9" s="102">
        <v>14013310</v>
      </c>
      <c r="EW9" s="73">
        <f t="shared" si="12"/>
        <v>5045418</v>
      </c>
      <c r="EX9" s="102">
        <v>5045418</v>
      </c>
      <c r="EY9" s="102">
        <v>353667</v>
      </c>
      <c r="EZ9" s="102">
        <v>4691751</v>
      </c>
      <c r="FA9" s="102">
        <v>0</v>
      </c>
      <c r="FB9" s="102">
        <v>0</v>
      </c>
      <c r="FC9" s="102">
        <v>9606075</v>
      </c>
      <c r="FD9" s="102">
        <v>10862698</v>
      </c>
      <c r="FE9" s="102">
        <v>1971669</v>
      </c>
      <c r="FF9" s="102">
        <v>10558913</v>
      </c>
      <c r="FG9" s="73">
        <f t="shared" si="13"/>
        <v>1713593</v>
      </c>
      <c r="FH9" s="102">
        <v>86433038</v>
      </c>
      <c r="FI9" s="379">
        <f t="shared" si="14"/>
        <v>2.4</v>
      </c>
      <c r="FJ9" s="102">
        <v>69395896</v>
      </c>
      <c r="FK9" s="102">
        <v>5658120</v>
      </c>
      <c r="FL9" s="102">
        <v>49369953</v>
      </c>
      <c r="FM9" s="102">
        <v>54539594</v>
      </c>
      <c r="FN9" s="428">
        <v>0.93300000000000005</v>
      </c>
      <c r="FO9" s="424">
        <v>96</v>
      </c>
      <c r="FP9" s="425">
        <v>31.6</v>
      </c>
      <c r="FQ9" s="424">
        <v>12.4</v>
      </c>
      <c r="FR9" s="424">
        <v>18</v>
      </c>
      <c r="FS9" s="425">
        <v>11.3</v>
      </c>
      <c r="FT9" s="424">
        <v>12.4</v>
      </c>
      <c r="FU9" s="425">
        <v>9.8000000000000007</v>
      </c>
      <c r="FV9" s="384">
        <f t="shared" si="15"/>
        <v>10.8</v>
      </c>
      <c r="FW9" s="102">
        <v>93251591</v>
      </c>
      <c r="FX9" s="384">
        <f t="shared" si="16"/>
        <v>124.2</v>
      </c>
      <c r="FY9" s="102">
        <v>13156948</v>
      </c>
      <c r="FZ9" s="102">
        <v>1013115</v>
      </c>
      <c r="GA9" s="102">
        <v>3597815</v>
      </c>
      <c r="GB9" s="102">
        <v>8546018</v>
      </c>
      <c r="GC9" s="102">
        <v>2908769</v>
      </c>
      <c r="GD9" s="454">
        <v>6392672</v>
      </c>
      <c r="GE9" s="386">
        <f t="shared" si="18"/>
        <v>8.5</v>
      </c>
      <c r="GF9" s="424">
        <v>98.227902360511081</v>
      </c>
      <c r="GG9" s="424">
        <v>19.329749862481592</v>
      </c>
      <c r="GH9" s="424">
        <v>92.841323513350531</v>
      </c>
      <c r="GI9" s="102">
        <v>2507</v>
      </c>
      <c r="GJ9" s="429" t="s">
        <v>646</v>
      </c>
      <c r="GK9" s="429">
        <v>11.25</v>
      </c>
      <c r="GL9" s="87">
        <v>20</v>
      </c>
      <c r="GM9" s="429" t="s">
        <v>646</v>
      </c>
      <c r="GN9" s="430">
        <v>16.25</v>
      </c>
      <c r="GO9" s="430">
        <v>30</v>
      </c>
      <c r="GP9" s="425">
        <v>10.8</v>
      </c>
      <c r="GQ9" s="425">
        <v>25</v>
      </c>
      <c r="GR9" s="425">
        <v>35</v>
      </c>
      <c r="GS9" s="431">
        <v>51.2</v>
      </c>
      <c r="GT9" s="425">
        <v>350</v>
      </c>
      <c r="GU9" s="394"/>
      <c r="GV9" s="100">
        <f t="shared" si="17"/>
        <v>75054</v>
      </c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</row>
    <row r="10" spans="2:230" x14ac:dyDescent="0.15">
      <c r="B10" s="89" t="s">
        <v>9</v>
      </c>
      <c r="C10" s="102">
        <v>15626770</v>
      </c>
      <c r="D10" s="73">
        <f t="shared" si="0"/>
        <v>6426506</v>
      </c>
      <c r="E10" s="102">
        <v>139367</v>
      </c>
      <c r="F10" s="102">
        <v>6287139</v>
      </c>
      <c r="G10" s="73">
        <f t="shared" si="1"/>
        <v>1089772</v>
      </c>
      <c r="H10" s="102">
        <v>278613</v>
      </c>
      <c r="I10" s="102">
        <v>811159</v>
      </c>
      <c r="J10" s="102">
        <v>6053936</v>
      </c>
      <c r="K10" s="102">
        <v>2627453</v>
      </c>
      <c r="L10" s="102">
        <v>2699778</v>
      </c>
      <c r="M10" s="102">
        <v>669308</v>
      </c>
      <c r="N10" s="102">
        <v>580350</v>
      </c>
      <c r="O10" s="102">
        <v>1394340</v>
      </c>
      <c r="P10" s="102">
        <v>804430</v>
      </c>
      <c r="Q10" s="102">
        <v>589910</v>
      </c>
      <c r="R10" s="102">
        <v>226219</v>
      </c>
      <c r="S10" s="74"/>
      <c r="T10" s="73">
        <f t="shared" si="2"/>
        <v>1286773</v>
      </c>
      <c r="U10" s="102">
        <v>80096</v>
      </c>
      <c r="V10" s="102">
        <v>51990</v>
      </c>
      <c r="W10" s="102">
        <v>11605</v>
      </c>
      <c r="X10" s="102">
        <v>986895</v>
      </c>
      <c r="Y10" s="102">
        <v>82809</v>
      </c>
      <c r="Z10" s="102">
        <v>0</v>
      </c>
      <c r="AA10" s="102">
        <v>73378</v>
      </c>
      <c r="AB10" s="102">
        <v>177220</v>
      </c>
      <c r="AC10" s="102">
        <v>2910105</v>
      </c>
      <c r="AD10" s="102">
        <v>2371243</v>
      </c>
      <c r="AE10" s="102">
        <v>538856</v>
      </c>
      <c r="AF10" s="102">
        <v>17137</v>
      </c>
      <c r="AG10" s="102">
        <v>243299</v>
      </c>
      <c r="AH10" s="73">
        <f t="shared" si="3"/>
        <v>1042680</v>
      </c>
      <c r="AI10" s="102">
        <v>859079</v>
      </c>
      <c r="AJ10" s="102">
        <v>183601</v>
      </c>
      <c r="AK10" s="102">
        <v>4525587</v>
      </c>
      <c r="AL10" s="73">
        <f t="shared" si="4"/>
        <v>2151392</v>
      </c>
      <c r="AM10" s="102">
        <v>1374774</v>
      </c>
      <c r="AN10" s="102">
        <v>235438</v>
      </c>
      <c r="AO10" s="74"/>
      <c r="AP10" s="102">
        <v>541180</v>
      </c>
      <c r="AQ10" s="102">
        <v>408398</v>
      </c>
      <c r="AR10" s="102">
        <v>676</v>
      </c>
      <c r="AS10" s="102">
        <v>0</v>
      </c>
      <c r="AT10" s="102">
        <v>2108941</v>
      </c>
      <c r="AU10" s="102">
        <v>1163415</v>
      </c>
      <c r="AV10" s="102">
        <v>177989</v>
      </c>
      <c r="AW10" s="102">
        <v>129440</v>
      </c>
      <c r="AX10" s="102">
        <v>945526</v>
      </c>
      <c r="AY10" s="102">
        <v>612</v>
      </c>
      <c r="AZ10" s="102">
        <v>63267</v>
      </c>
      <c r="BA10" s="102">
        <v>40928</v>
      </c>
      <c r="BB10" s="102">
        <v>137401</v>
      </c>
      <c r="BC10" s="102">
        <v>1108199</v>
      </c>
      <c r="BD10" s="102">
        <v>760000</v>
      </c>
      <c r="BE10" s="102">
        <v>0</v>
      </c>
      <c r="BF10" s="102">
        <v>332949</v>
      </c>
      <c r="BG10" s="102">
        <v>0</v>
      </c>
      <c r="BH10" s="102">
        <v>768868</v>
      </c>
      <c r="BI10" s="102">
        <v>666979</v>
      </c>
      <c r="BJ10" s="102">
        <v>3925320</v>
      </c>
      <c r="BK10" s="102">
        <v>3561154</v>
      </c>
      <c r="BL10" s="102">
        <v>0</v>
      </c>
      <c r="BM10" s="102">
        <v>34269</v>
      </c>
      <c r="BN10" s="102">
        <v>2667100</v>
      </c>
      <c r="BO10" s="73">
        <f t="shared" si="5"/>
        <v>840600</v>
      </c>
      <c r="BP10" s="73">
        <f t="shared" si="6"/>
        <v>1826500</v>
      </c>
      <c r="BQ10" s="102">
        <v>0</v>
      </c>
      <c r="BR10" s="102">
        <v>0</v>
      </c>
      <c r="BS10" s="102">
        <v>1826500</v>
      </c>
      <c r="BT10" s="102">
        <v>0</v>
      </c>
      <c r="BU10" s="102">
        <v>36834886</v>
      </c>
      <c r="BV10" s="71"/>
      <c r="BW10" s="102">
        <v>7483581</v>
      </c>
      <c r="BX10" s="102">
        <v>4708369</v>
      </c>
      <c r="BY10" s="102">
        <v>1173284</v>
      </c>
      <c r="BZ10" s="102">
        <v>213287</v>
      </c>
      <c r="CA10" s="102">
        <v>7032637</v>
      </c>
      <c r="CB10" s="102">
        <v>1334257</v>
      </c>
      <c r="CC10" s="102">
        <v>128080</v>
      </c>
      <c r="CD10" s="102">
        <v>3615654</v>
      </c>
      <c r="CE10" s="102">
        <v>1812275</v>
      </c>
      <c r="CF10" s="102">
        <v>85901</v>
      </c>
      <c r="CG10" s="102">
        <v>53720</v>
      </c>
      <c r="CH10" s="102">
        <v>4001368</v>
      </c>
      <c r="CI10" s="102">
        <v>3385633</v>
      </c>
      <c r="CJ10" s="83">
        <f t="shared" si="19"/>
        <v>615735</v>
      </c>
      <c r="CK10" s="102">
        <v>5187037</v>
      </c>
      <c r="CL10" s="102">
        <v>2940792</v>
      </c>
      <c r="CM10" s="102">
        <v>518773</v>
      </c>
      <c r="CN10" s="102">
        <v>693020</v>
      </c>
      <c r="CO10" s="102">
        <v>633579</v>
      </c>
      <c r="CP10" s="102">
        <v>2929404</v>
      </c>
      <c r="CQ10" s="102">
        <v>1395</v>
      </c>
      <c r="CR10" s="102">
        <v>635848</v>
      </c>
      <c r="CS10" s="102">
        <v>477569</v>
      </c>
      <c r="CT10" s="73">
        <f t="shared" si="7"/>
        <v>1700771</v>
      </c>
      <c r="CU10" s="102">
        <v>1102647</v>
      </c>
      <c r="CV10" s="102">
        <v>598124</v>
      </c>
      <c r="CW10" s="73">
        <f t="shared" si="8"/>
        <v>1066733</v>
      </c>
      <c r="CX10" s="102">
        <v>508913</v>
      </c>
      <c r="CY10" s="102">
        <v>557820</v>
      </c>
      <c r="CZ10" s="73">
        <f t="shared" si="9"/>
        <v>630285</v>
      </c>
      <c r="DA10" s="102">
        <v>589981</v>
      </c>
      <c r="DB10" s="102">
        <v>40304</v>
      </c>
      <c r="DC10" s="102">
        <v>2124689</v>
      </c>
      <c r="DD10" s="102">
        <v>972174</v>
      </c>
      <c r="DE10" s="102">
        <v>1152515</v>
      </c>
      <c r="DF10" s="77">
        <v>0</v>
      </c>
      <c r="DG10" s="78">
        <v>0</v>
      </c>
      <c r="DH10" s="102">
        <v>5681</v>
      </c>
      <c r="DI10" s="102">
        <v>351184</v>
      </c>
      <c r="DJ10" s="102">
        <v>1369</v>
      </c>
      <c r="DK10" s="102">
        <v>0</v>
      </c>
      <c r="DL10" s="102">
        <v>349815</v>
      </c>
      <c r="DM10" s="102">
        <v>543920</v>
      </c>
      <c r="DN10" s="102">
        <v>543920</v>
      </c>
      <c r="DO10" s="102">
        <v>0</v>
      </c>
      <c r="DP10" s="102">
        <v>488673</v>
      </c>
      <c r="DQ10" s="102">
        <v>3556810</v>
      </c>
      <c r="DR10" s="102">
        <v>0</v>
      </c>
      <c r="DS10" s="102">
        <v>0</v>
      </c>
      <c r="DT10" s="102">
        <v>2964140</v>
      </c>
      <c r="DU10" s="102">
        <v>0</v>
      </c>
      <c r="DV10" s="73">
        <f t="shared" si="10"/>
        <v>0</v>
      </c>
      <c r="DW10" s="102">
        <v>0</v>
      </c>
      <c r="DX10" s="102">
        <v>1003114</v>
      </c>
      <c r="DY10" s="102">
        <v>8186</v>
      </c>
      <c r="DZ10" s="102">
        <v>965123</v>
      </c>
      <c r="EA10" s="74">
        <v>0</v>
      </c>
      <c r="EB10" s="102">
        <v>987717</v>
      </c>
      <c r="EC10" s="102">
        <v>0</v>
      </c>
      <c r="ED10" s="102">
        <v>36814030</v>
      </c>
      <c r="EE10" s="71"/>
      <c r="EF10" s="102">
        <v>20856</v>
      </c>
      <c r="EG10" s="102">
        <v>0</v>
      </c>
      <c r="EH10" s="102">
        <v>20856</v>
      </c>
      <c r="EI10" s="102">
        <v>-1346123</v>
      </c>
      <c r="EJ10" s="102">
        <v>-1969699</v>
      </c>
      <c r="EK10" s="71"/>
      <c r="EL10" s="102"/>
      <c r="EM10" s="102">
        <v>101818</v>
      </c>
      <c r="EN10" s="102">
        <v>820000</v>
      </c>
      <c r="EO10" s="102">
        <v>60541</v>
      </c>
      <c r="EP10" s="73">
        <f t="shared" si="11"/>
        <v>1004420</v>
      </c>
      <c r="EQ10" s="102">
        <v>20244224</v>
      </c>
      <c r="ER10" s="71">
        <v>-3694324</v>
      </c>
      <c r="ES10" s="102">
        <v>7086287</v>
      </c>
      <c r="ET10" s="102">
        <v>4384349</v>
      </c>
      <c r="EU10" s="102">
        <v>1938757</v>
      </c>
      <c r="EV10" s="102">
        <v>4001368</v>
      </c>
      <c r="EW10" s="73">
        <f t="shared" si="12"/>
        <v>449926</v>
      </c>
      <c r="EX10" s="102">
        <v>444921</v>
      </c>
      <c r="EY10" s="102">
        <v>21370</v>
      </c>
      <c r="EZ10" s="102">
        <v>423551</v>
      </c>
      <c r="FA10" s="102">
        <v>5005</v>
      </c>
      <c r="FB10" s="102">
        <v>0</v>
      </c>
      <c r="FC10" s="102">
        <v>4023530</v>
      </c>
      <c r="FD10" s="102">
        <v>2597300</v>
      </c>
      <c r="FE10" s="102">
        <v>1395</v>
      </c>
      <c r="FF10" s="102">
        <v>2515492</v>
      </c>
      <c r="FG10" s="73">
        <f t="shared" si="13"/>
        <v>1305032</v>
      </c>
      <c r="FH10" s="102">
        <v>23917692</v>
      </c>
      <c r="FI10" s="379">
        <f t="shared" si="14"/>
        <v>0.1</v>
      </c>
      <c r="FJ10" s="102">
        <v>18589819</v>
      </c>
      <c r="FK10" s="102">
        <v>1826664</v>
      </c>
      <c r="FL10" s="102">
        <v>12430823</v>
      </c>
      <c r="FM10" s="102">
        <v>14801169</v>
      </c>
      <c r="FN10" s="428">
        <v>0.86399999999999999</v>
      </c>
      <c r="FO10" s="424">
        <v>101.4</v>
      </c>
      <c r="FP10" s="425">
        <v>32.9</v>
      </c>
      <c r="FQ10" s="424">
        <v>9.1999999999999993</v>
      </c>
      <c r="FR10" s="424">
        <v>19</v>
      </c>
      <c r="FS10" s="425">
        <v>18.399999999999999</v>
      </c>
      <c r="FT10" s="424">
        <v>8.4</v>
      </c>
      <c r="FU10" s="425">
        <v>10.7</v>
      </c>
      <c r="FV10" s="384">
        <f t="shared" si="15"/>
        <v>7.2</v>
      </c>
      <c r="FW10" s="102">
        <v>34072480</v>
      </c>
      <c r="FX10" s="384">
        <f t="shared" si="16"/>
        <v>166.9</v>
      </c>
      <c r="FY10" s="102">
        <v>5228369</v>
      </c>
      <c r="FZ10" s="102">
        <v>3221604</v>
      </c>
      <c r="GA10" s="102">
        <v>0</v>
      </c>
      <c r="GB10" s="102">
        <v>2006765</v>
      </c>
      <c r="GC10" s="102">
        <v>0</v>
      </c>
      <c r="GD10" s="454">
        <v>1033287</v>
      </c>
      <c r="GE10" s="386">
        <f t="shared" si="18"/>
        <v>5.0999999999999996</v>
      </c>
      <c r="GF10" s="424">
        <v>97.851740123559779</v>
      </c>
      <c r="GG10" s="424">
        <v>18.507389781307129</v>
      </c>
      <c r="GH10" s="424">
        <v>91.214677870043175</v>
      </c>
      <c r="GI10" s="102">
        <v>648</v>
      </c>
      <c r="GJ10" s="429" t="s">
        <v>646</v>
      </c>
      <c r="GK10" s="429">
        <v>12.46</v>
      </c>
      <c r="GL10" s="87">
        <v>20</v>
      </c>
      <c r="GM10" s="429" t="s">
        <v>646</v>
      </c>
      <c r="GN10" s="430">
        <v>17.46</v>
      </c>
      <c r="GO10" s="430">
        <v>30</v>
      </c>
      <c r="GP10" s="425">
        <v>7.2</v>
      </c>
      <c r="GQ10" s="425">
        <v>25</v>
      </c>
      <c r="GR10" s="425">
        <v>35</v>
      </c>
      <c r="GS10" s="431">
        <v>82.1</v>
      </c>
      <c r="GT10" s="425">
        <v>350</v>
      </c>
      <c r="GU10" s="394"/>
      <c r="GV10" s="100">
        <f t="shared" si="17"/>
        <v>20416</v>
      </c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</row>
    <row r="11" spans="2:230" x14ac:dyDescent="0.15">
      <c r="B11" s="89" t="s">
        <v>11</v>
      </c>
      <c r="C11" s="102">
        <v>61859026</v>
      </c>
      <c r="D11" s="73">
        <f t="shared" si="0"/>
        <v>24156810</v>
      </c>
      <c r="E11" s="102">
        <v>480425</v>
      </c>
      <c r="F11" s="102">
        <v>23676385</v>
      </c>
      <c r="G11" s="73">
        <f t="shared" si="1"/>
        <v>4788164</v>
      </c>
      <c r="H11" s="102">
        <v>1095950</v>
      </c>
      <c r="I11" s="102">
        <v>3692214</v>
      </c>
      <c r="J11" s="102">
        <v>24392108</v>
      </c>
      <c r="K11" s="102">
        <v>9861796</v>
      </c>
      <c r="L11" s="102">
        <v>11456937</v>
      </c>
      <c r="M11" s="102">
        <v>2594409</v>
      </c>
      <c r="N11" s="102">
        <v>1811593</v>
      </c>
      <c r="O11" s="102">
        <v>5497443</v>
      </c>
      <c r="P11" s="102">
        <v>2921832</v>
      </c>
      <c r="Q11" s="102">
        <v>2575611</v>
      </c>
      <c r="R11" s="102">
        <v>612828</v>
      </c>
      <c r="S11" s="74"/>
      <c r="T11" s="73">
        <f t="shared" si="2"/>
        <v>4142874</v>
      </c>
      <c r="U11" s="102">
        <v>299947</v>
      </c>
      <c r="V11" s="102">
        <v>194706</v>
      </c>
      <c r="W11" s="102">
        <v>43475</v>
      </c>
      <c r="X11" s="102">
        <v>3367143</v>
      </c>
      <c r="Y11" s="102">
        <v>0</v>
      </c>
      <c r="Z11" s="102">
        <v>0</v>
      </c>
      <c r="AA11" s="102">
        <v>237603</v>
      </c>
      <c r="AB11" s="102">
        <v>790031</v>
      </c>
      <c r="AC11" s="102">
        <v>1457721</v>
      </c>
      <c r="AD11" s="102">
        <v>1302289</v>
      </c>
      <c r="AE11" s="102">
        <v>154821</v>
      </c>
      <c r="AF11" s="102">
        <v>51338</v>
      </c>
      <c r="AG11" s="102">
        <v>1374582</v>
      </c>
      <c r="AH11" s="73">
        <f t="shared" si="3"/>
        <v>2738928</v>
      </c>
      <c r="AI11" s="102">
        <v>2313995</v>
      </c>
      <c r="AJ11" s="102">
        <v>424933</v>
      </c>
      <c r="AK11" s="102">
        <v>18739625</v>
      </c>
      <c r="AL11" s="73">
        <f t="shared" si="4"/>
        <v>10770342</v>
      </c>
      <c r="AM11" s="102">
        <v>7756697</v>
      </c>
      <c r="AN11" s="102">
        <v>780051</v>
      </c>
      <c r="AO11" s="74"/>
      <c r="AP11" s="102">
        <v>2233594</v>
      </c>
      <c r="AQ11" s="102">
        <v>842578</v>
      </c>
      <c r="AR11" s="102">
        <v>0</v>
      </c>
      <c r="AS11" s="102">
        <v>0</v>
      </c>
      <c r="AT11" s="102">
        <v>6529226</v>
      </c>
      <c r="AU11" s="102">
        <v>4682815</v>
      </c>
      <c r="AV11" s="102">
        <v>390025</v>
      </c>
      <c r="AW11" s="102">
        <v>440002</v>
      </c>
      <c r="AX11" s="102">
        <v>1846411</v>
      </c>
      <c r="AY11" s="102">
        <v>35120</v>
      </c>
      <c r="AZ11" s="102">
        <v>211957</v>
      </c>
      <c r="BA11" s="102">
        <v>172346</v>
      </c>
      <c r="BB11" s="102">
        <v>14472</v>
      </c>
      <c r="BC11" s="102">
        <v>4668461</v>
      </c>
      <c r="BD11" s="102">
        <v>250000</v>
      </c>
      <c r="BE11" s="102">
        <v>0</v>
      </c>
      <c r="BF11" s="102">
        <v>1794410</v>
      </c>
      <c r="BG11" s="102">
        <v>0</v>
      </c>
      <c r="BH11" s="102">
        <v>1103749</v>
      </c>
      <c r="BI11" s="102">
        <v>161544</v>
      </c>
      <c r="BJ11" s="102">
        <v>2413343</v>
      </c>
      <c r="BK11" s="102">
        <v>1171411</v>
      </c>
      <c r="BL11" s="102">
        <v>185693</v>
      </c>
      <c r="BM11" s="102">
        <v>21878</v>
      </c>
      <c r="BN11" s="102">
        <v>1273200</v>
      </c>
      <c r="BO11" s="73">
        <f t="shared" si="5"/>
        <v>1273200</v>
      </c>
      <c r="BP11" s="73">
        <f t="shared" si="6"/>
        <v>0</v>
      </c>
      <c r="BQ11" s="102">
        <v>0</v>
      </c>
      <c r="BR11" s="102">
        <v>0</v>
      </c>
      <c r="BS11" s="102">
        <v>0</v>
      </c>
      <c r="BT11" s="102">
        <v>0</v>
      </c>
      <c r="BU11" s="102">
        <v>107981361</v>
      </c>
      <c r="BV11" s="71"/>
      <c r="BW11" s="102">
        <v>23929966</v>
      </c>
      <c r="BX11" s="102">
        <v>15972752</v>
      </c>
      <c r="BY11" s="102">
        <v>2089443</v>
      </c>
      <c r="BZ11" s="102">
        <v>1812855</v>
      </c>
      <c r="CA11" s="102">
        <v>30921213</v>
      </c>
      <c r="CB11" s="102">
        <v>5660002</v>
      </c>
      <c r="CC11" s="102">
        <v>1161443</v>
      </c>
      <c r="CD11" s="102">
        <v>13348671</v>
      </c>
      <c r="CE11" s="102">
        <v>9979058</v>
      </c>
      <c r="CF11" s="102">
        <v>349150</v>
      </c>
      <c r="CG11" s="102">
        <v>422150</v>
      </c>
      <c r="CH11" s="102">
        <v>7540652</v>
      </c>
      <c r="CI11" s="102">
        <v>6490080</v>
      </c>
      <c r="CJ11" s="83">
        <f t="shared" si="19"/>
        <v>1050572</v>
      </c>
      <c r="CK11" s="102">
        <v>15202416</v>
      </c>
      <c r="CL11" s="102">
        <v>9572680</v>
      </c>
      <c r="CM11" s="102">
        <v>1072531</v>
      </c>
      <c r="CN11" s="102">
        <v>2621630</v>
      </c>
      <c r="CO11" s="102">
        <v>2316244</v>
      </c>
      <c r="CP11" s="102">
        <v>4270382</v>
      </c>
      <c r="CQ11" s="102">
        <v>7510</v>
      </c>
      <c r="CR11" s="102">
        <v>2114560</v>
      </c>
      <c r="CS11" s="102">
        <v>1386556</v>
      </c>
      <c r="CT11" s="73">
        <f t="shared" si="7"/>
        <v>889337</v>
      </c>
      <c r="CU11" s="102">
        <v>543473</v>
      </c>
      <c r="CV11" s="102">
        <v>345864</v>
      </c>
      <c r="CW11" s="73">
        <f t="shared" si="8"/>
        <v>855155</v>
      </c>
      <c r="CX11" s="102">
        <v>509291</v>
      </c>
      <c r="CY11" s="102">
        <v>345864</v>
      </c>
      <c r="CZ11" s="73">
        <f t="shared" si="9"/>
        <v>0</v>
      </c>
      <c r="DA11" s="102">
        <v>0</v>
      </c>
      <c r="DB11" s="102">
        <v>0</v>
      </c>
      <c r="DC11" s="102">
        <v>6484074</v>
      </c>
      <c r="DD11" s="102">
        <v>2970006</v>
      </c>
      <c r="DE11" s="102">
        <v>3341883</v>
      </c>
      <c r="DF11" s="77">
        <v>2108</v>
      </c>
      <c r="DG11" s="78">
        <v>170077</v>
      </c>
      <c r="DH11" s="102">
        <v>0</v>
      </c>
      <c r="DI11" s="102">
        <v>264949</v>
      </c>
      <c r="DJ11" s="102">
        <v>78611</v>
      </c>
      <c r="DK11" s="102">
        <v>0</v>
      </c>
      <c r="DL11" s="102">
        <v>186338</v>
      </c>
      <c r="DM11" s="102">
        <v>448223</v>
      </c>
      <c r="DN11" s="102">
        <v>443423</v>
      </c>
      <c r="DO11" s="102">
        <v>0</v>
      </c>
      <c r="DP11" s="102">
        <v>443423</v>
      </c>
      <c r="DQ11" s="102">
        <v>2886900</v>
      </c>
      <c r="DR11" s="102">
        <v>0</v>
      </c>
      <c r="DS11" s="102">
        <v>0</v>
      </c>
      <c r="DT11" s="102">
        <v>12702149</v>
      </c>
      <c r="DU11" s="102">
        <v>3689126</v>
      </c>
      <c r="DV11" s="73">
        <f t="shared" si="10"/>
        <v>0</v>
      </c>
      <c r="DW11" s="102">
        <v>0</v>
      </c>
      <c r="DX11" s="102">
        <v>2938201</v>
      </c>
      <c r="DY11" s="102">
        <v>114051</v>
      </c>
      <c r="DZ11" s="102">
        <v>2987451</v>
      </c>
      <c r="EA11" s="74">
        <v>0</v>
      </c>
      <c r="EB11" s="102">
        <v>2806409</v>
      </c>
      <c r="EC11" s="102">
        <v>0</v>
      </c>
      <c r="ED11" s="102">
        <v>106967168</v>
      </c>
      <c r="EE11" s="71"/>
      <c r="EF11" s="102">
        <v>1014193</v>
      </c>
      <c r="EG11" s="102">
        <v>937194</v>
      </c>
      <c r="EH11" s="102">
        <v>76999</v>
      </c>
      <c r="EI11" s="102">
        <v>-84545</v>
      </c>
      <c r="EJ11" s="102">
        <v>-255934</v>
      </c>
      <c r="EK11" s="71"/>
      <c r="EL11" s="102"/>
      <c r="EM11" s="102">
        <v>349822</v>
      </c>
      <c r="EN11" s="102">
        <v>3190106</v>
      </c>
      <c r="EO11" s="102">
        <v>189749</v>
      </c>
      <c r="EP11" s="73">
        <f t="shared" si="11"/>
        <v>2363406</v>
      </c>
      <c r="EQ11" s="102">
        <v>68913818</v>
      </c>
      <c r="ER11" s="71">
        <v>-5691923</v>
      </c>
      <c r="ES11" s="102">
        <v>22228051</v>
      </c>
      <c r="ET11" s="102">
        <v>14583653</v>
      </c>
      <c r="EU11" s="102">
        <v>9538223</v>
      </c>
      <c r="EV11" s="102">
        <v>7539718</v>
      </c>
      <c r="EW11" s="73">
        <f t="shared" si="12"/>
        <v>1648284</v>
      </c>
      <c r="EX11" s="102">
        <v>1648284</v>
      </c>
      <c r="EY11" s="102">
        <v>114158</v>
      </c>
      <c r="EZ11" s="102">
        <v>1532018</v>
      </c>
      <c r="FA11" s="102">
        <v>0</v>
      </c>
      <c r="FB11" s="102">
        <v>0</v>
      </c>
      <c r="FC11" s="102">
        <v>12728387</v>
      </c>
      <c r="FD11" s="102">
        <v>3651821</v>
      </c>
      <c r="FE11" s="102">
        <v>7510</v>
      </c>
      <c r="FF11" s="102">
        <v>10912943</v>
      </c>
      <c r="FG11" s="73">
        <f t="shared" si="13"/>
        <v>5344121</v>
      </c>
      <c r="FH11" s="102">
        <v>73591548</v>
      </c>
      <c r="FI11" s="379">
        <f t="shared" si="14"/>
        <v>0.1</v>
      </c>
      <c r="FJ11" s="102">
        <v>62367272</v>
      </c>
      <c r="FK11" s="102">
        <v>3407893</v>
      </c>
      <c r="FL11" s="102">
        <v>46615627</v>
      </c>
      <c r="FM11" s="102">
        <v>47917916</v>
      </c>
      <c r="FN11" s="428">
        <v>1.016</v>
      </c>
      <c r="FO11" s="424">
        <v>102.3</v>
      </c>
      <c r="FP11" s="425">
        <v>33.6</v>
      </c>
      <c r="FQ11" s="424">
        <v>14.9</v>
      </c>
      <c r="FR11" s="424">
        <v>11.8</v>
      </c>
      <c r="FS11" s="425">
        <v>19</v>
      </c>
      <c r="FT11" s="424">
        <v>5</v>
      </c>
      <c r="FU11" s="425">
        <v>14.6</v>
      </c>
      <c r="FV11" s="384">
        <f t="shared" si="15"/>
        <v>0.4</v>
      </c>
      <c r="FW11" s="102">
        <v>55533557</v>
      </c>
      <c r="FX11" s="384">
        <f t="shared" si="16"/>
        <v>84.4</v>
      </c>
      <c r="FY11" s="102">
        <v>24388506</v>
      </c>
      <c r="FZ11" s="102">
        <v>9268577</v>
      </c>
      <c r="GA11" s="102">
        <v>0</v>
      </c>
      <c r="GB11" s="102">
        <v>15119929</v>
      </c>
      <c r="GC11" s="102">
        <v>0</v>
      </c>
      <c r="GD11" s="454">
        <v>8764007</v>
      </c>
      <c r="GE11" s="386">
        <f t="shared" si="18"/>
        <v>13.3</v>
      </c>
      <c r="GF11" s="424">
        <v>98.946567134700246</v>
      </c>
      <c r="GG11" s="424">
        <v>26.279678670854221</v>
      </c>
      <c r="GH11" s="424">
        <v>96.110926495952995</v>
      </c>
      <c r="GI11" s="102">
        <v>2313</v>
      </c>
      <c r="GJ11" s="429" t="s">
        <v>646</v>
      </c>
      <c r="GK11" s="429">
        <v>11.25</v>
      </c>
      <c r="GL11" s="87">
        <v>20</v>
      </c>
      <c r="GM11" s="429" t="s">
        <v>646</v>
      </c>
      <c r="GN11" s="430">
        <v>16.25</v>
      </c>
      <c r="GO11" s="430">
        <v>30</v>
      </c>
      <c r="GP11" s="425">
        <v>0.4</v>
      </c>
      <c r="GQ11" s="425">
        <v>25</v>
      </c>
      <c r="GR11" s="425">
        <v>35</v>
      </c>
      <c r="GS11" s="431" t="s">
        <v>646</v>
      </c>
      <c r="GT11" s="425">
        <v>350</v>
      </c>
      <c r="GU11" s="394"/>
      <c r="GV11" s="100">
        <f t="shared" si="17"/>
        <v>65775</v>
      </c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</row>
    <row r="12" spans="2:230" x14ac:dyDescent="0.15">
      <c r="B12" s="89" t="s">
        <v>13</v>
      </c>
      <c r="C12" s="102">
        <v>11326234</v>
      </c>
      <c r="D12" s="73">
        <f t="shared" si="0"/>
        <v>3395046</v>
      </c>
      <c r="E12" s="102">
        <v>95755</v>
      </c>
      <c r="F12" s="102">
        <v>3299291</v>
      </c>
      <c r="G12" s="73">
        <f t="shared" si="1"/>
        <v>930669</v>
      </c>
      <c r="H12" s="102">
        <v>268273</v>
      </c>
      <c r="I12" s="102">
        <v>662396</v>
      </c>
      <c r="J12" s="102">
        <v>5297680</v>
      </c>
      <c r="K12" s="102">
        <v>2010120</v>
      </c>
      <c r="L12" s="102">
        <v>2165605</v>
      </c>
      <c r="M12" s="102">
        <v>645610</v>
      </c>
      <c r="N12" s="102">
        <v>603681</v>
      </c>
      <c r="O12" s="102">
        <v>1019273</v>
      </c>
      <c r="P12" s="102">
        <v>544413</v>
      </c>
      <c r="Q12" s="102">
        <v>474860</v>
      </c>
      <c r="R12" s="102">
        <v>193440</v>
      </c>
      <c r="S12" s="74"/>
      <c r="T12" s="73">
        <f t="shared" si="2"/>
        <v>854605</v>
      </c>
      <c r="U12" s="102">
        <v>41826</v>
      </c>
      <c r="V12" s="102">
        <v>27139</v>
      </c>
      <c r="W12" s="102">
        <v>6051</v>
      </c>
      <c r="X12" s="102">
        <v>723149</v>
      </c>
      <c r="Y12" s="102">
        <v>0</v>
      </c>
      <c r="Z12" s="102">
        <v>0</v>
      </c>
      <c r="AA12" s="102">
        <v>56440</v>
      </c>
      <c r="AB12" s="102">
        <v>143620</v>
      </c>
      <c r="AC12" s="102">
        <v>4065471</v>
      </c>
      <c r="AD12" s="102">
        <v>3662470</v>
      </c>
      <c r="AE12" s="102">
        <v>402996</v>
      </c>
      <c r="AF12" s="102">
        <v>14556</v>
      </c>
      <c r="AG12" s="102">
        <v>115567</v>
      </c>
      <c r="AH12" s="73">
        <f t="shared" si="3"/>
        <v>535793</v>
      </c>
      <c r="AI12" s="102">
        <v>379466</v>
      </c>
      <c r="AJ12" s="102">
        <v>156327</v>
      </c>
      <c r="AK12" s="102">
        <v>4797779</v>
      </c>
      <c r="AL12" s="73">
        <f t="shared" si="4"/>
        <v>2710795</v>
      </c>
      <c r="AM12" s="102">
        <v>2073590</v>
      </c>
      <c r="AN12" s="102">
        <v>220202</v>
      </c>
      <c r="AO12" s="74"/>
      <c r="AP12" s="102">
        <v>417003</v>
      </c>
      <c r="AQ12" s="102">
        <v>185891</v>
      </c>
      <c r="AR12" s="102">
        <v>0</v>
      </c>
      <c r="AS12" s="102">
        <v>0</v>
      </c>
      <c r="AT12" s="102">
        <v>1776742</v>
      </c>
      <c r="AU12" s="102">
        <v>960406</v>
      </c>
      <c r="AV12" s="102">
        <v>108867</v>
      </c>
      <c r="AW12" s="102">
        <v>32265</v>
      </c>
      <c r="AX12" s="102">
        <v>816336</v>
      </c>
      <c r="AY12" s="102">
        <v>0</v>
      </c>
      <c r="AZ12" s="102">
        <v>83510</v>
      </c>
      <c r="BA12" s="102">
        <v>24572</v>
      </c>
      <c r="BB12" s="102">
        <v>101869</v>
      </c>
      <c r="BC12" s="102">
        <v>440007</v>
      </c>
      <c r="BD12" s="102">
        <v>100000</v>
      </c>
      <c r="BE12" s="102">
        <v>0</v>
      </c>
      <c r="BF12" s="102">
        <v>325646</v>
      </c>
      <c r="BG12" s="102">
        <v>0</v>
      </c>
      <c r="BH12" s="102">
        <v>161887</v>
      </c>
      <c r="BI12" s="102">
        <v>105066</v>
      </c>
      <c r="BJ12" s="102">
        <v>546277</v>
      </c>
      <c r="BK12" s="102">
        <v>12818</v>
      </c>
      <c r="BL12" s="102">
        <v>0</v>
      </c>
      <c r="BM12" s="102">
        <v>33470</v>
      </c>
      <c r="BN12" s="102">
        <v>2619305</v>
      </c>
      <c r="BO12" s="73">
        <f t="shared" si="5"/>
        <v>867800</v>
      </c>
      <c r="BP12" s="73">
        <f t="shared" si="6"/>
        <v>1451505</v>
      </c>
      <c r="BQ12" s="102">
        <v>0</v>
      </c>
      <c r="BR12" s="102">
        <v>0</v>
      </c>
      <c r="BS12" s="102">
        <v>1451505</v>
      </c>
      <c r="BT12" s="102">
        <v>300000</v>
      </c>
      <c r="BU12" s="102">
        <v>27776662</v>
      </c>
      <c r="BV12" s="71"/>
      <c r="BW12" s="102">
        <v>4619230</v>
      </c>
      <c r="BX12" s="102">
        <v>2493518</v>
      </c>
      <c r="BY12" s="102">
        <v>669591</v>
      </c>
      <c r="BZ12" s="102">
        <v>527553</v>
      </c>
      <c r="CA12" s="102">
        <v>7307836</v>
      </c>
      <c r="CB12" s="102">
        <v>1086531</v>
      </c>
      <c r="CC12" s="102">
        <v>181772</v>
      </c>
      <c r="CD12" s="102">
        <v>3218201</v>
      </c>
      <c r="CE12" s="102">
        <v>2743248</v>
      </c>
      <c r="CF12" s="102">
        <v>0</v>
      </c>
      <c r="CG12" s="102">
        <v>78084</v>
      </c>
      <c r="CH12" s="102">
        <v>3745723</v>
      </c>
      <c r="CI12" s="102">
        <v>3091710</v>
      </c>
      <c r="CJ12" s="83">
        <f t="shared" si="19"/>
        <v>654013</v>
      </c>
      <c r="CK12" s="102">
        <v>2558050</v>
      </c>
      <c r="CL12" s="102">
        <v>1410374</v>
      </c>
      <c r="CM12" s="102">
        <v>197656</v>
      </c>
      <c r="CN12" s="102">
        <v>429819</v>
      </c>
      <c r="CO12" s="102">
        <v>121119</v>
      </c>
      <c r="CP12" s="102">
        <v>2587948</v>
      </c>
      <c r="CQ12" s="102">
        <v>824174</v>
      </c>
      <c r="CR12" s="102">
        <v>386312</v>
      </c>
      <c r="CS12" s="102">
        <v>293064</v>
      </c>
      <c r="CT12" s="73">
        <f t="shared" si="7"/>
        <v>1152354</v>
      </c>
      <c r="CU12" s="102">
        <v>1152354</v>
      </c>
      <c r="CV12" s="102">
        <v>0</v>
      </c>
      <c r="CW12" s="73">
        <f t="shared" si="8"/>
        <v>1107788</v>
      </c>
      <c r="CX12" s="102">
        <v>1107788</v>
      </c>
      <c r="CY12" s="102">
        <v>0</v>
      </c>
      <c r="CZ12" s="73">
        <f t="shared" si="9"/>
        <v>0</v>
      </c>
      <c r="DA12" s="102">
        <v>0</v>
      </c>
      <c r="DB12" s="102">
        <v>0</v>
      </c>
      <c r="DC12" s="102">
        <v>1715475</v>
      </c>
      <c r="DD12" s="102">
        <v>645388</v>
      </c>
      <c r="DE12" s="102">
        <v>763534</v>
      </c>
      <c r="DF12" s="77">
        <v>270480</v>
      </c>
      <c r="DG12" s="78">
        <v>36073</v>
      </c>
      <c r="DH12" s="102">
        <v>0</v>
      </c>
      <c r="DI12" s="102">
        <v>892274</v>
      </c>
      <c r="DJ12" s="102">
        <v>232835</v>
      </c>
      <c r="DK12" s="102">
        <v>0</v>
      </c>
      <c r="DL12" s="102">
        <v>659439</v>
      </c>
      <c r="DM12" s="102">
        <v>0</v>
      </c>
      <c r="DN12" s="102">
        <v>0</v>
      </c>
      <c r="DO12" s="102">
        <v>0</v>
      </c>
      <c r="DP12" s="102">
        <v>0</v>
      </c>
      <c r="DQ12" s="102">
        <v>1000</v>
      </c>
      <c r="DR12" s="102">
        <v>0</v>
      </c>
      <c r="DS12" s="102">
        <v>0</v>
      </c>
      <c r="DT12" s="102">
        <v>4005928</v>
      </c>
      <c r="DU12" s="102">
        <v>1551118</v>
      </c>
      <c r="DV12" s="73">
        <f t="shared" si="10"/>
        <v>0</v>
      </c>
      <c r="DW12" s="102">
        <v>0</v>
      </c>
      <c r="DX12" s="102">
        <v>745700</v>
      </c>
      <c r="DY12" s="102">
        <v>256847</v>
      </c>
      <c r="DZ12" s="102">
        <v>877354</v>
      </c>
      <c r="EA12" s="74">
        <v>0</v>
      </c>
      <c r="EB12" s="102">
        <v>574909</v>
      </c>
      <c r="EC12" s="102">
        <v>0</v>
      </c>
      <c r="ED12" s="102">
        <v>27554583</v>
      </c>
      <c r="EE12" s="71"/>
      <c r="EF12" s="102">
        <v>222079</v>
      </c>
      <c r="EG12" s="102">
        <v>80996</v>
      </c>
      <c r="EH12" s="102">
        <v>141083</v>
      </c>
      <c r="EI12" s="102">
        <v>36017</v>
      </c>
      <c r="EJ12" s="102">
        <v>168852</v>
      </c>
      <c r="EK12" s="71"/>
      <c r="EL12" s="102"/>
      <c r="EM12" s="102">
        <v>76129</v>
      </c>
      <c r="EN12" s="102">
        <v>114361</v>
      </c>
      <c r="EO12" s="102">
        <v>82650</v>
      </c>
      <c r="EP12" s="73">
        <f t="shared" si="11"/>
        <v>632962</v>
      </c>
      <c r="EQ12" s="102">
        <v>16597926</v>
      </c>
      <c r="ER12" s="71">
        <v>-2266922</v>
      </c>
      <c r="ES12" s="102">
        <v>3782856</v>
      </c>
      <c r="ET12" s="102">
        <v>2058818</v>
      </c>
      <c r="EU12" s="102">
        <v>2081599</v>
      </c>
      <c r="EV12" s="102">
        <v>3733905</v>
      </c>
      <c r="EW12" s="73">
        <f t="shared" si="12"/>
        <v>338607</v>
      </c>
      <c r="EX12" s="102">
        <v>338607</v>
      </c>
      <c r="EY12" s="102">
        <v>21126</v>
      </c>
      <c r="EZ12" s="102">
        <v>303901</v>
      </c>
      <c r="FA12" s="102">
        <v>0</v>
      </c>
      <c r="FB12" s="102">
        <v>0</v>
      </c>
      <c r="FC12" s="102">
        <v>2122105</v>
      </c>
      <c r="FD12" s="102">
        <v>2433794</v>
      </c>
      <c r="FE12" s="102">
        <v>824174</v>
      </c>
      <c r="FF12" s="102">
        <v>3357507</v>
      </c>
      <c r="FG12" s="73">
        <f t="shared" si="13"/>
        <v>804996</v>
      </c>
      <c r="FH12" s="102">
        <v>18655369</v>
      </c>
      <c r="FI12" s="379">
        <f t="shared" si="14"/>
        <v>0.9</v>
      </c>
      <c r="FJ12" s="102">
        <v>14722102</v>
      </c>
      <c r="FK12" s="102">
        <v>1451505</v>
      </c>
      <c r="FL12" s="102">
        <v>8544264</v>
      </c>
      <c r="FM12" s="102">
        <v>12333457</v>
      </c>
      <c r="FN12" s="428">
        <v>0.71</v>
      </c>
      <c r="FO12" s="424">
        <v>99.4</v>
      </c>
      <c r="FP12" s="425">
        <v>22.2</v>
      </c>
      <c r="FQ12" s="424">
        <v>12.4</v>
      </c>
      <c r="FR12" s="424">
        <v>22.3</v>
      </c>
      <c r="FS12" s="425">
        <v>11</v>
      </c>
      <c r="FT12" s="424">
        <v>13.1</v>
      </c>
      <c r="FU12" s="425">
        <v>17.7</v>
      </c>
      <c r="FV12" s="384">
        <f t="shared" si="15"/>
        <v>18.7</v>
      </c>
      <c r="FW12" s="102">
        <v>31841585</v>
      </c>
      <c r="FX12" s="384">
        <f t="shared" si="16"/>
        <v>196.9</v>
      </c>
      <c r="FY12" s="102">
        <v>2079381</v>
      </c>
      <c r="FZ12" s="102">
        <v>305569</v>
      </c>
      <c r="GA12" s="102">
        <v>0</v>
      </c>
      <c r="GB12" s="102">
        <v>1773812</v>
      </c>
      <c r="GC12" s="102">
        <v>400000</v>
      </c>
      <c r="GD12" s="454">
        <v>3487613</v>
      </c>
      <c r="GE12" s="386">
        <f t="shared" si="18"/>
        <v>21.6</v>
      </c>
      <c r="GF12" s="424">
        <v>98.983831861253364</v>
      </c>
      <c r="GG12" s="424">
        <v>30.55544596447276</v>
      </c>
      <c r="GH12" s="424">
        <v>96.61657880989533</v>
      </c>
      <c r="GI12" s="102">
        <v>427</v>
      </c>
      <c r="GJ12" s="429" t="s">
        <v>646</v>
      </c>
      <c r="GK12" s="429">
        <v>12.7</v>
      </c>
      <c r="GL12" s="87">
        <v>20</v>
      </c>
      <c r="GM12" s="429">
        <v>3.34</v>
      </c>
      <c r="GN12" s="430">
        <v>17.7</v>
      </c>
      <c r="GO12" s="430">
        <v>30</v>
      </c>
      <c r="GP12" s="425">
        <v>18.7</v>
      </c>
      <c r="GQ12" s="425">
        <v>25</v>
      </c>
      <c r="GR12" s="425">
        <v>35</v>
      </c>
      <c r="GS12" s="431">
        <v>194</v>
      </c>
      <c r="GT12" s="425">
        <v>350</v>
      </c>
      <c r="GU12" s="394"/>
      <c r="GV12" s="100">
        <f t="shared" si="17"/>
        <v>16174</v>
      </c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</row>
    <row r="13" spans="2:230" x14ac:dyDescent="0.15">
      <c r="B13" s="89" t="s">
        <v>15</v>
      </c>
      <c r="C13" s="102">
        <v>48975005</v>
      </c>
      <c r="D13" s="73">
        <f t="shared" si="0"/>
        <v>19369894</v>
      </c>
      <c r="E13" s="102">
        <v>487742</v>
      </c>
      <c r="F13" s="102">
        <v>18882152</v>
      </c>
      <c r="G13" s="73">
        <f t="shared" si="1"/>
        <v>3302968</v>
      </c>
      <c r="H13" s="102">
        <v>745566</v>
      </c>
      <c r="I13" s="102">
        <v>2557402</v>
      </c>
      <c r="J13" s="102">
        <v>19323295</v>
      </c>
      <c r="K13" s="102">
        <v>8190194</v>
      </c>
      <c r="L13" s="102">
        <v>8508986</v>
      </c>
      <c r="M13" s="102">
        <v>2359176</v>
      </c>
      <c r="N13" s="102">
        <v>1735996</v>
      </c>
      <c r="O13" s="102">
        <v>3986549</v>
      </c>
      <c r="P13" s="102">
        <v>2206086</v>
      </c>
      <c r="Q13" s="102">
        <v>1780463</v>
      </c>
      <c r="R13" s="102">
        <v>678933</v>
      </c>
      <c r="S13" s="74"/>
      <c r="T13" s="73">
        <f t="shared" si="2"/>
        <v>3672639</v>
      </c>
      <c r="U13" s="102">
        <v>239558</v>
      </c>
      <c r="V13" s="102">
        <v>155414</v>
      </c>
      <c r="W13" s="102">
        <v>34624</v>
      </c>
      <c r="X13" s="102">
        <v>2923351</v>
      </c>
      <c r="Y13" s="102">
        <v>56463</v>
      </c>
      <c r="Z13" s="102">
        <v>0</v>
      </c>
      <c r="AA13" s="102">
        <v>263229</v>
      </c>
      <c r="AB13" s="102">
        <v>608146</v>
      </c>
      <c r="AC13" s="102">
        <v>11657168</v>
      </c>
      <c r="AD13" s="102">
        <v>11030768</v>
      </c>
      <c r="AE13" s="102">
        <v>626378</v>
      </c>
      <c r="AF13" s="102">
        <v>57374</v>
      </c>
      <c r="AG13" s="102">
        <v>1093262</v>
      </c>
      <c r="AH13" s="73">
        <f t="shared" si="3"/>
        <v>2594277</v>
      </c>
      <c r="AI13" s="102">
        <v>1944911</v>
      </c>
      <c r="AJ13" s="102">
        <v>649366</v>
      </c>
      <c r="AK13" s="102">
        <v>19926879</v>
      </c>
      <c r="AL13" s="73">
        <f t="shared" si="4"/>
        <v>10487278</v>
      </c>
      <c r="AM13" s="102">
        <v>7449331</v>
      </c>
      <c r="AN13" s="102">
        <v>895144</v>
      </c>
      <c r="AO13" s="74"/>
      <c r="AP13" s="102">
        <v>2142803</v>
      </c>
      <c r="AQ13" s="102">
        <v>669653</v>
      </c>
      <c r="AR13" s="102">
        <v>0</v>
      </c>
      <c r="AS13" s="102">
        <v>0</v>
      </c>
      <c r="AT13" s="102">
        <v>7013768</v>
      </c>
      <c r="AU13" s="102">
        <v>4362273</v>
      </c>
      <c r="AV13" s="102">
        <v>0</v>
      </c>
      <c r="AW13" s="102">
        <v>1676925</v>
      </c>
      <c r="AX13" s="102">
        <v>2651495</v>
      </c>
      <c r="AY13" s="102">
        <v>40497</v>
      </c>
      <c r="AZ13" s="102">
        <v>175412</v>
      </c>
      <c r="BA13" s="102">
        <v>69146</v>
      </c>
      <c r="BB13" s="102">
        <v>31020</v>
      </c>
      <c r="BC13" s="102">
        <v>1244180</v>
      </c>
      <c r="BD13" s="102">
        <v>240</v>
      </c>
      <c r="BE13" s="102">
        <v>195159</v>
      </c>
      <c r="BF13" s="102">
        <v>963642</v>
      </c>
      <c r="BG13" s="102">
        <v>0</v>
      </c>
      <c r="BH13" s="102">
        <v>2807768</v>
      </c>
      <c r="BI13" s="102">
        <v>304344</v>
      </c>
      <c r="BJ13" s="102">
        <v>1535727</v>
      </c>
      <c r="BK13" s="102">
        <v>837567</v>
      </c>
      <c r="BL13" s="102">
        <v>90919</v>
      </c>
      <c r="BM13" s="102">
        <v>21878</v>
      </c>
      <c r="BN13" s="102">
        <v>3897300</v>
      </c>
      <c r="BO13" s="73">
        <f t="shared" si="5"/>
        <v>1897300</v>
      </c>
      <c r="BP13" s="73">
        <f t="shared" si="6"/>
        <v>2000000</v>
      </c>
      <c r="BQ13" s="102">
        <v>0</v>
      </c>
      <c r="BR13" s="102">
        <v>0</v>
      </c>
      <c r="BS13" s="102">
        <v>2000000</v>
      </c>
      <c r="BT13" s="102">
        <v>0</v>
      </c>
      <c r="BU13" s="102">
        <v>105968858</v>
      </c>
      <c r="BV13" s="71"/>
      <c r="BW13" s="102">
        <v>21478312</v>
      </c>
      <c r="BX13" s="102">
        <v>12995971</v>
      </c>
      <c r="BY13" s="102">
        <v>2897916</v>
      </c>
      <c r="BZ13" s="102">
        <v>2083424</v>
      </c>
      <c r="CA13" s="102">
        <v>28716384</v>
      </c>
      <c r="CB13" s="102">
        <v>5523270</v>
      </c>
      <c r="CC13" s="102">
        <v>681027</v>
      </c>
      <c r="CD13" s="102">
        <v>12610232</v>
      </c>
      <c r="CE13" s="102">
        <v>9350345</v>
      </c>
      <c r="CF13" s="102">
        <v>200509</v>
      </c>
      <c r="CG13" s="102">
        <v>348101</v>
      </c>
      <c r="CH13" s="102">
        <v>7194618</v>
      </c>
      <c r="CI13" s="102">
        <v>6386153</v>
      </c>
      <c r="CJ13" s="83">
        <f t="shared" si="19"/>
        <v>808465</v>
      </c>
      <c r="CK13" s="102">
        <v>13803423</v>
      </c>
      <c r="CL13" s="102">
        <v>7822149</v>
      </c>
      <c r="CM13" s="102">
        <v>791241</v>
      </c>
      <c r="CN13" s="102">
        <v>3564607</v>
      </c>
      <c r="CO13" s="102">
        <v>1508826</v>
      </c>
      <c r="CP13" s="102">
        <v>4344776</v>
      </c>
      <c r="CQ13" s="102">
        <v>40807</v>
      </c>
      <c r="CR13" s="102">
        <v>2324499</v>
      </c>
      <c r="CS13" s="102">
        <v>1614125</v>
      </c>
      <c r="CT13" s="73">
        <f t="shared" si="7"/>
        <v>1024159</v>
      </c>
      <c r="CU13" s="102">
        <v>74770</v>
      </c>
      <c r="CV13" s="102">
        <v>949389</v>
      </c>
      <c r="CW13" s="73">
        <f t="shared" si="8"/>
        <v>0</v>
      </c>
      <c r="CX13" s="102">
        <v>0</v>
      </c>
      <c r="CY13" s="102">
        <v>0</v>
      </c>
      <c r="CZ13" s="73">
        <f t="shared" si="9"/>
        <v>0</v>
      </c>
      <c r="DA13" s="102">
        <v>0</v>
      </c>
      <c r="DB13" s="102">
        <v>0</v>
      </c>
      <c r="DC13" s="102">
        <v>10874617</v>
      </c>
      <c r="DD13" s="102">
        <v>6234040</v>
      </c>
      <c r="DE13" s="102">
        <v>4584547</v>
      </c>
      <c r="DF13" s="77">
        <v>56030</v>
      </c>
      <c r="DG13" s="78">
        <v>0</v>
      </c>
      <c r="DH13" s="102">
        <v>0</v>
      </c>
      <c r="DI13" s="102">
        <v>1747326</v>
      </c>
      <c r="DJ13" s="102">
        <v>660667</v>
      </c>
      <c r="DK13" s="102">
        <v>6213</v>
      </c>
      <c r="DL13" s="102">
        <v>1080446</v>
      </c>
      <c r="DM13" s="102">
        <v>100</v>
      </c>
      <c r="DN13" s="102">
        <v>0</v>
      </c>
      <c r="DO13" s="102">
        <v>0</v>
      </c>
      <c r="DP13" s="102">
        <v>0</v>
      </c>
      <c r="DQ13" s="102">
        <v>896452</v>
      </c>
      <c r="DR13" s="102">
        <v>0</v>
      </c>
      <c r="DS13" s="102">
        <v>0</v>
      </c>
      <c r="DT13" s="102">
        <v>14436090</v>
      </c>
      <c r="DU13" s="102">
        <v>4100000</v>
      </c>
      <c r="DV13" s="73">
        <f t="shared" si="10"/>
        <v>0</v>
      </c>
      <c r="DW13" s="102">
        <v>0</v>
      </c>
      <c r="DX13" s="102">
        <v>3316976</v>
      </c>
      <c r="DY13" s="102">
        <v>0</v>
      </c>
      <c r="DZ13" s="102">
        <v>2727427</v>
      </c>
      <c r="EA13" s="74">
        <v>0</v>
      </c>
      <c r="EB13" s="102">
        <v>2791017</v>
      </c>
      <c r="EC13" s="102">
        <v>0</v>
      </c>
      <c r="ED13" s="102">
        <v>105000924</v>
      </c>
      <c r="EE13" s="71"/>
      <c r="EF13" s="102">
        <v>967934</v>
      </c>
      <c r="EG13" s="102">
        <v>468284</v>
      </c>
      <c r="EH13" s="102">
        <v>499650</v>
      </c>
      <c r="EI13" s="102">
        <v>195306</v>
      </c>
      <c r="EJ13" s="102">
        <v>1050899</v>
      </c>
      <c r="EK13" s="71"/>
      <c r="EL13" s="102"/>
      <c r="EM13" s="102">
        <v>354284</v>
      </c>
      <c r="EN13" s="102">
        <v>640203</v>
      </c>
      <c r="EO13" s="102">
        <v>101264</v>
      </c>
      <c r="EP13" s="73">
        <f t="shared" si="11"/>
        <v>2085156</v>
      </c>
      <c r="EQ13" s="102">
        <v>65649265</v>
      </c>
      <c r="ER13" s="71">
        <v>-4769249</v>
      </c>
      <c r="ES13" s="102">
        <v>19955641</v>
      </c>
      <c r="ET13" s="102">
        <v>11666632</v>
      </c>
      <c r="EU13" s="102">
        <v>8453121</v>
      </c>
      <c r="EV13" s="102">
        <v>7083059</v>
      </c>
      <c r="EW13" s="73">
        <f t="shared" si="12"/>
        <v>2743794</v>
      </c>
      <c r="EX13" s="102">
        <v>2743794</v>
      </c>
      <c r="EY13" s="102">
        <v>618521</v>
      </c>
      <c r="EZ13" s="102">
        <v>2069243</v>
      </c>
      <c r="FA13" s="102">
        <v>0</v>
      </c>
      <c r="FB13" s="102">
        <v>0</v>
      </c>
      <c r="FC13" s="102">
        <v>11057694</v>
      </c>
      <c r="FD13" s="102">
        <v>3836525</v>
      </c>
      <c r="FE13" s="102">
        <v>40807</v>
      </c>
      <c r="FF13" s="102">
        <v>13200433</v>
      </c>
      <c r="FG13" s="73">
        <f t="shared" si="13"/>
        <v>3175330</v>
      </c>
      <c r="FH13" s="102">
        <v>69505597</v>
      </c>
      <c r="FI13" s="379">
        <f t="shared" si="14"/>
        <v>0.8</v>
      </c>
      <c r="FJ13" s="102">
        <v>59637898</v>
      </c>
      <c r="FK13" s="102">
        <v>5763905</v>
      </c>
      <c r="FL13" s="102">
        <v>37583534</v>
      </c>
      <c r="FM13" s="102">
        <v>48612508</v>
      </c>
      <c r="FN13" s="428">
        <v>0.78700000000000003</v>
      </c>
      <c r="FO13" s="424">
        <v>91.5</v>
      </c>
      <c r="FP13" s="425">
        <v>30.7</v>
      </c>
      <c r="FQ13" s="424">
        <v>13.3</v>
      </c>
      <c r="FR13" s="424">
        <v>10.9</v>
      </c>
      <c r="FS13" s="425">
        <v>15.6</v>
      </c>
      <c r="FT13" s="424">
        <v>4.2</v>
      </c>
      <c r="FU13" s="425">
        <v>14.6</v>
      </c>
      <c r="FV13" s="384">
        <f t="shared" si="15"/>
        <v>-0.1</v>
      </c>
      <c r="FW13" s="102">
        <v>48236378</v>
      </c>
      <c r="FX13" s="384">
        <f t="shared" si="16"/>
        <v>73.8</v>
      </c>
      <c r="FY13" s="102">
        <v>36349313</v>
      </c>
      <c r="FZ13" s="102">
        <v>13091603</v>
      </c>
      <c r="GA13" s="102">
        <v>2507597</v>
      </c>
      <c r="GB13" s="102">
        <v>20750113</v>
      </c>
      <c r="GC13" s="102">
        <v>0</v>
      </c>
      <c r="GD13" s="454">
        <v>2543404</v>
      </c>
      <c r="GE13" s="386">
        <f t="shared" si="18"/>
        <v>3.9</v>
      </c>
      <c r="GF13" s="424">
        <v>98.971692610570685</v>
      </c>
      <c r="GG13" s="424">
        <v>33.990860638523728</v>
      </c>
      <c r="GH13" s="424">
        <v>96.194311822231597</v>
      </c>
      <c r="GI13" s="102">
        <v>2024</v>
      </c>
      <c r="GJ13" s="429" t="s">
        <v>646</v>
      </c>
      <c r="GK13" s="429">
        <v>11.25</v>
      </c>
      <c r="GL13" s="87">
        <v>20</v>
      </c>
      <c r="GM13" s="429" t="s">
        <v>646</v>
      </c>
      <c r="GN13" s="430">
        <v>16.25</v>
      </c>
      <c r="GO13" s="430">
        <v>30</v>
      </c>
      <c r="GP13" s="425">
        <v>-0.1</v>
      </c>
      <c r="GQ13" s="425">
        <v>25</v>
      </c>
      <c r="GR13" s="425">
        <v>35</v>
      </c>
      <c r="GS13" s="431" t="s">
        <v>646</v>
      </c>
      <c r="GT13" s="425">
        <v>350</v>
      </c>
      <c r="GU13" s="394"/>
      <c r="GV13" s="100">
        <f t="shared" si="17"/>
        <v>65402</v>
      </c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</row>
    <row r="14" spans="2:230" x14ac:dyDescent="0.15">
      <c r="B14" s="89" t="s">
        <v>17</v>
      </c>
      <c r="C14" s="102">
        <v>11536212</v>
      </c>
      <c r="D14" s="73">
        <f t="shared" si="0"/>
        <v>3718774</v>
      </c>
      <c r="E14" s="102">
        <v>110820</v>
      </c>
      <c r="F14" s="102">
        <v>3607954</v>
      </c>
      <c r="G14" s="73">
        <f t="shared" si="1"/>
        <v>758621</v>
      </c>
      <c r="H14" s="102">
        <v>189959</v>
      </c>
      <c r="I14" s="102">
        <v>568662</v>
      </c>
      <c r="J14" s="102">
        <v>5168531</v>
      </c>
      <c r="K14" s="102">
        <v>1718593</v>
      </c>
      <c r="L14" s="102">
        <v>2239573</v>
      </c>
      <c r="M14" s="102">
        <v>998836</v>
      </c>
      <c r="N14" s="102">
        <v>842561</v>
      </c>
      <c r="O14" s="102">
        <v>905812</v>
      </c>
      <c r="P14" s="102">
        <v>438504</v>
      </c>
      <c r="Q14" s="102">
        <v>467308</v>
      </c>
      <c r="R14" s="102">
        <v>196386</v>
      </c>
      <c r="S14" s="74"/>
      <c r="T14" s="73">
        <f t="shared" si="2"/>
        <v>944156</v>
      </c>
      <c r="U14" s="102">
        <v>45281</v>
      </c>
      <c r="V14" s="102">
        <v>29384</v>
      </c>
      <c r="W14" s="102">
        <v>6554</v>
      </c>
      <c r="X14" s="102">
        <v>786966</v>
      </c>
      <c r="Y14" s="102">
        <v>0</v>
      </c>
      <c r="Z14" s="102">
        <v>0</v>
      </c>
      <c r="AA14" s="102">
        <v>75971</v>
      </c>
      <c r="AB14" s="102">
        <v>173384</v>
      </c>
      <c r="AC14" s="102">
        <v>4781471</v>
      </c>
      <c r="AD14" s="102">
        <v>4372864</v>
      </c>
      <c r="AE14" s="102">
        <v>408601</v>
      </c>
      <c r="AF14" s="102">
        <v>19668</v>
      </c>
      <c r="AG14" s="102">
        <v>396641</v>
      </c>
      <c r="AH14" s="73">
        <f t="shared" si="3"/>
        <v>508110</v>
      </c>
      <c r="AI14" s="102">
        <v>422002</v>
      </c>
      <c r="AJ14" s="102">
        <v>86108</v>
      </c>
      <c r="AK14" s="102">
        <v>5279635</v>
      </c>
      <c r="AL14" s="73">
        <f t="shared" si="4"/>
        <v>3128519</v>
      </c>
      <c r="AM14" s="102">
        <v>2151793</v>
      </c>
      <c r="AN14" s="102">
        <v>446825</v>
      </c>
      <c r="AO14" s="74"/>
      <c r="AP14" s="102">
        <v>529901</v>
      </c>
      <c r="AQ14" s="102">
        <v>271281</v>
      </c>
      <c r="AR14" s="102">
        <v>0</v>
      </c>
      <c r="AS14" s="102">
        <v>0</v>
      </c>
      <c r="AT14" s="102">
        <v>2034406</v>
      </c>
      <c r="AU14" s="102">
        <v>1226193</v>
      </c>
      <c r="AV14" s="102">
        <v>223412</v>
      </c>
      <c r="AW14" s="102">
        <v>16652</v>
      </c>
      <c r="AX14" s="102">
        <v>808213</v>
      </c>
      <c r="AY14" s="102">
        <v>2817</v>
      </c>
      <c r="AZ14" s="102">
        <v>299938</v>
      </c>
      <c r="BA14" s="102">
        <v>289595</v>
      </c>
      <c r="BB14" s="102">
        <v>1986</v>
      </c>
      <c r="BC14" s="102">
        <v>1610290</v>
      </c>
      <c r="BD14" s="102">
        <v>0</v>
      </c>
      <c r="BE14" s="102">
        <v>0</v>
      </c>
      <c r="BF14" s="102">
        <v>292085</v>
      </c>
      <c r="BG14" s="102">
        <v>0</v>
      </c>
      <c r="BH14" s="102">
        <v>148707</v>
      </c>
      <c r="BI14" s="102">
        <v>100630</v>
      </c>
      <c r="BJ14" s="102">
        <v>360087</v>
      </c>
      <c r="BK14" s="102">
        <v>20168</v>
      </c>
      <c r="BL14" s="102">
        <v>0</v>
      </c>
      <c r="BM14" s="102">
        <v>33493</v>
      </c>
      <c r="BN14" s="102">
        <v>2345130</v>
      </c>
      <c r="BO14" s="73">
        <f t="shared" si="5"/>
        <v>724100</v>
      </c>
      <c r="BP14" s="73">
        <f t="shared" si="6"/>
        <v>1621030</v>
      </c>
      <c r="BQ14" s="102">
        <v>0</v>
      </c>
      <c r="BR14" s="102">
        <v>0</v>
      </c>
      <c r="BS14" s="102">
        <v>1621030</v>
      </c>
      <c r="BT14" s="102">
        <v>0</v>
      </c>
      <c r="BU14" s="102">
        <v>30636207</v>
      </c>
      <c r="BV14" s="71"/>
      <c r="BW14" s="102">
        <v>5718317</v>
      </c>
      <c r="BX14" s="102">
        <v>3413303</v>
      </c>
      <c r="BY14" s="102">
        <v>571658</v>
      </c>
      <c r="BZ14" s="102">
        <v>596090</v>
      </c>
      <c r="CA14" s="102">
        <v>8657857</v>
      </c>
      <c r="CB14" s="102">
        <v>1274099</v>
      </c>
      <c r="CC14" s="102">
        <v>163453</v>
      </c>
      <c r="CD14" s="102">
        <v>4297883</v>
      </c>
      <c r="CE14" s="102">
        <v>2805963</v>
      </c>
      <c r="CF14" s="102">
        <v>0</v>
      </c>
      <c r="CG14" s="102">
        <v>116459</v>
      </c>
      <c r="CH14" s="102">
        <v>2840759</v>
      </c>
      <c r="CI14" s="102">
        <v>2347747</v>
      </c>
      <c r="CJ14" s="83">
        <f t="shared" si="19"/>
        <v>493012</v>
      </c>
      <c r="CK14" s="102">
        <v>3065709</v>
      </c>
      <c r="CL14" s="102">
        <v>1626229</v>
      </c>
      <c r="CM14" s="102">
        <v>302365</v>
      </c>
      <c r="CN14" s="102">
        <v>496026</v>
      </c>
      <c r="CO14" s="102">
        <v>105102</v>
      </c>
      <c r="CP14" s="102">
        <v>4479493</v>
      </c>
      <c r="CQ14" s="102">
        <v>1166423</v>
      </c>
      <c r="CR14" s="102">
        <v>680792</v>
      </c>
      <c r="CS14" s="102">
        <v>603086</v>
      </c>
      <c r="CT14" s="73">
        <f t="shared" si="7"/>
        <v>2156650</v>
      </c>
      <c r="CU14" s="102">
        <v>740162</v>
      </c>
      <c r="CV14" s="102">
        <v>1416488</v>
      </c>
      <c r="CW14" s="73">
        <f t="shared" si="8"/>
        <v>2039713</v>
      </c>
      <c r="CX14" s="102">
        <v>724667</v>
      </c>
      <c r="CY14" s="102">
        <v>1315046</v>
      </c>
      <c r="CZ14" s="73">
        <f t="shared" si="9"/>
        <v>0</v>
      </c>
      <c r="DA14" s="102">
        <v>0</v>
      </c>
      <c r="DB14" s="102">
        <v>0</v>
      </c>
      <c r="DC14" s="102">
        <v>1602691</v>
      </c>
      <c r="DD14" s="102">
        <v>680469</v>
      </c>
      <c r="DE14" s="102">
        <v>844992</v>
      </c>
      <c r="DF14" s="77">
        <v>77230</v>
      </c>
      <c r="DG14" s="78">
        <v>0</v>
      </c>
      <c r="DH14" s="102">
        <v>10895</v>
      </c>
      <c r="DI14" s="102">
        <v>382557</v>
      </c>
      <c r="DJ14" s="102">
        <v>331000</v>
      </c>
      <c r="DK14" s="102">
        <v>0</v>
      </c>
      <c r="DL14" s="102">
        <v>51557</v>
      </c>
      <c r="DM14" s="102">
        <v>0</v>
      </c>
      <c r="DN14" s="102">
        <v>0</v>
      </c>
      <c r="DO14" s="102">
        <v>0</v>
      </c>
      <c r="DP14" s="102">
        <v>0</v>
      </c>
      <c r="DQ14" s="102">
        <v>17351</v>
      </c>
      <c r="DR14" s="102">
        <v>0</v>
      </c>
      <c r="DS14" s="102">
        <v>0</v>
      </c>
      <c r="DT14" s="102">
        <v>3635837</v>
      </c>
      <c r="DU14" s="102">
        <v>1325992</v>
      </c>
      <c r="DV14" s="73">
        <f t="shared" si="10"/>
        <v>0</v>
      </c>
      <c r="DW14" s="102">
        <v>0</v>
      </c>
      <c r="DX14" s="102">
        <v>920243</v>
      </c>
      <c r="DY14" s="102">
        <v>0</v>
      </c>
      <c r="DZ14" s="102">
        <v>587707</v>
      </c>
      <c r="EA14" s="74">
        <v>0</v>
      </c>
      <c r="EB14" s="102">
        <v>799772</v>
      </c>
      <c r="EC14" s="102">
        <v>0</v>
      </c>
      <c r="ED14" s="102">
        <v>30516568</v>
      </c>
      <c r="EE14" s="71"/>
      <c r="EF14" s="102">
        <v>119639</v>
      </c>
      <c r="EG14" s="102">
        <v>55727</v>
      </c>
      <c r="EH14" s="102">
        <v>63912</v>
      </c>
      <c r="EI14" s="102">
        <v>-36718</v>
      </c>
      <c r="EJ14" s="102">
        <v>294282</v>
      </c>
      <c r="EK14" s="71"/>
      <c r="EL14" s="102"/>
      <c r="EM14" s="102">
        <v>89899</v>
      </c>
      <c r="EN14" s="102">
        <v>0</v>
      </c>
      <c r="EO14" s="102">
        <v>292169</v>
      </c>
      <c r="EP14" s="73">
        <f t="shared" si="11"/>
        <v>442877</v>
      </c>
      <c r="EQ14" s="102">
        <v>17651277</v>
      </c>
      <c r="ER14" s="71">
        <v>-2336408</v>
      </c>
      <c r="ES14" s="102">
        <v>5290584</v>
      </c>
      <c r="ET14" s="102">
        <v>3101555</v>
      </c>
      <c r="EU14" s="102">
        <v>2343686</v>
      </c>
      <c r="EV14" s="102">
        <v>2839918</v>
      </c>
      <c r="EW14" s="73">
        <f t="shared" si="12"/>
        <v>524147</v>
      </c>
      <c r="EX14" s="102">
        <v>518180</v>
      </c>
      <c r="EY14" s="102">
        <v>44926</v>
      </c>
      <c r="EZ14" s="102">
        <v>396024</v>
      </c>
      <c r="FA14" s="102">
        <v>5967</v>
      </c>
      <c r="FB14" s="102">
        <v>0</v>
      </c>
      <c r="FC14" s="102">
        <v>2451009</v>
      </c>
      <c r="FD14" s="102">
        <v>2751306</v>
      </c>
      <c r="FE14" s="102">
        <v>966423</v>
      </c>
      <c r="FF14" s="102">
        <v>3221184</v>
      </c>
      <c r="FG14" s="73">
        <f t="shared" si="13"/>
        <v>446212</v>
      </c>
      <c r="FH14" s="102">
        <v>19868046</v>
      </c>
      <c r="FI14" s="379">
        <f t="shared" si="14"/>
        <v>0.4</v>
      </c>
      <c r="FJ14" s="102">
        <v>16156784</v>
      </c>
      <c r="FK14" s="102">
        <v>1621030</v>
      </c>
      <c r="FL14" s="102">
        <v>9114424</v>
      </c>
      <c r="FM14" s="102">
        <v>13486989</v>
      </c>
      <c r="FN14" s="428">
        <v>0.69399999999999995</v>
      </c>
      <c r="FO14" s="424">
        <v>99.5</v>
      </c>
      <c r="FP14" s="425">
        <v>28.6</v>
      </c>
      <c r="FQ14" s="424">
        <v>13</v>
      </c>
      <c r="FR14" s="424">
        <v>15.7</v>
      </c>
      <c r="FS14" s="425">
        <v>12.1</v>
      </c>
      <c r="FT14" s="424">
        <v>13.9</v>
      </c>
      <c r="FU14" s="425">
        <v>15.8</v>
      </c>
      <c r="FV14" s="384">
        <f t="shared" si="15"/>
        <v>13.8</v>
      </c>
      <c r="FW14" s="102">
        <v>26487676</v>
      </c>
      <c r="FX14" s="384">
        <f t="shared" si="16"/>
        <v>149</v>
      </c>
      <c r="FY14" s="102">
        <v>2621467</v>
      </c>
      <c r="FZ14" s="102">
        <v>948373</v>
      </c>
      <c r="GA14" s="102">
        <v>188585</v>
      </c>
      <c r="GB14" s="102">
        <v>1484509</v>
      </c>
      <c r="GC14" s="102">
        <v>0</v>
      </c>
      <c r="GD14" s="427"/>
      <c r="GE14" s="386"/>
      <c r="GF14" s="424">
        <v>98.560199185324393</v>
      </c>
      <c r="GG14" s="424">
        <v>21.767976867592392</v>
      </c>
      <c r="GH14" s="424">
        <v>93.655226666893981</v>
      </c>
      <c r="GI14" s="102">
        <v>568</v>
      </c>
      <c r="GJ14" s="429" t="s">
        <v>646</v>
      </c>
      <c r="GK14" s="429">
        <v>12.6</v>
      </c>
      <c r="GL14" s="87">
        <v>20</v>
      </c>
      <c r="GM14" s="429" t="s">
        <v>646</v>
      </c>
      <c r="GN14" s="430">
        <v>17.600000000000001</v>
      </c>
      <c r="GO14" s="430">
        <v>30</v>
      </c>
      <c r="GP14" s="425">
        <v>13.8</v>
      </c>
      <c r="GQ14" s="425">
        <v>25</v>
      </c>
      <c r="GR14" s="425">
        <v>35</v>
      </c>
      <c r="GS14" s="431">
        <v>104.6</v>
      </c>
      <c r="GT14" s="425">
        <v>350</v>
      </c>
      <c r="GU14" s="394"/>
      <c r="GV14" s="100">
        <f t="shared" si="17"/>
        <v>17778</v>
      </c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</row>
    <row r="15" spans="2:230" x14ac:dyDescent="0.15">
      <c r="B15" s="89" t="s">
        <v>19</v>
      </c>
      <c r="C15" s="102">
        <v>22230650</v>
      </c>
      <c r="D15" s="73">
        <f t="shared" si="0"/>
        <v>6241732</v>
      </c>
      <c r="E15" s="102">
        <v>180549</v>
      </c>
      <c r="F15" s="102">
        <v>6061183</v>
      </c>
      <c r="G15" s="73">
        <f t="shared" si="1"/>
        <v>1708890</v>
      </c>
      <c r="H15" s="102">
        <v>491101</v>
      </c>
      <c r="I15" s="102">
        <v>1217789</v>
      </c>
      <c r="J15" s="102">
        <v>10082824</v>
      </c>
      <c r="K15" s="102">
        <v>4029357</v>
      </c>
      <c r="L15" s="102">
        <v>4195800</v>
      </c>
      <c r="M15" s="102">
        <v>1534414</v>
      </c>
      <c r="N15" s="102">
        <v>1119749</v>
      </c>
      <c r="O15" s="102">
        <v>2037097</v>
      </c>
      <c r="P15" s="102">
        <v>1090846</v>
      </c>
      <c r="Q15" s="102">
        <v>946251</v>
      </c>
      <c r="R15" s="102">
        <v>243375</v>
      </c>
      <c r="S15" s="74"/>
      <c r="T15" s="73">
        <f t="shared" si="2"/>
        <v>1721372</v>
      </c>
      <c r="U15" s="102">
        <v>77346</v>
      </c>
      <c r="V15" s="102">
        <v>50162</v>
      </c>
      <c r="W15" s="102">
        <v>11162</v>
      </c>
      <c r="X15" s="102">
        <v>1488347</v>
      </c>
      <c r="Y15" s="102">
        <v>0</v>
      </c>
      <c r="Z15" s="102">
        <v>0</v>
      </c>
      <c r="AA15" s="102">
        <v>94355</v>
      </c>
      <c r="AB15" s="102">
        <v>214157</v>
      </c>
      <c r="AC15" s="102">
        <v>5660080</v>
      </c>
      <c r="AD15" s="102">
        <v>5023414</v>
      </c>
      <c r="AE15" s="102">
        <v>636658</v>
      </c>
      <c r="AF15" s="102">
        <v>22331</v>
      </c>
      <c r="AG15" s="102">
        <v>1634095</v>
      </c>
      <c r="AH15" s="73">
        <f t="shared" si="3"/>
        <v>990438</v>
      </c>
      <c r="AI15" s="102">
        <v>782489</v>
      </c>
      <c r="AJ15" s="102">
        <v>207949</v>
      </c>
      <c r="AK15" s="102">
        <v>12118934</v>
      </c>
      <c r="AL15" s="73">
        <f t="shared" si="4"/>
        <v>8641345</v>
      </c>
      <c r="AM15" s="102">
        <v>7305582</v>
      </c>
      <c r="AN15" s="102">
        <v>394027</v>
      </c>
      <c r="AO15" s="74"/>
      <c r="AP15" s="102">
        <v>941736</v>
      </c>
      <c r="AQ15" s="102">
        <v>617083</v>
      </c>
      <c r="AR15" s="102">
        <v>0</v>
      </c>
      <c r="AS15" s="102">
        <v>0</v>
      </c>
      <c r="AT15" s="102">
        <v>3266209</v>
      </c>
      <c r="AU15" s="102">
        <v>1656182</v>
      </c>
      <c r="AV15" s="102">
        <v>198064</v>
      </c>
      <c r="AW15" s="102">
        <v>7087</v>
      </c>
      <c r="AX15" s="102">
        <v>1610027</v>
      </c>
      <c r="AY15" s="102">
        <v>23521</v>
      </c>
      <c r="AZ15" s="102">
        <v>91650</v>
      </c>
      <c r="BA15" s="102">
        <v>3656</v>
      </c>
      <c r="BB15" s="102">
        <v>13875</v>
      </c>
      <c r="BC15" s="102">
        <v>113668</v>
      </c>
      <c r="BD15" s="102">
        <v>109313</v>
      </c>
      <c r="BE15" s="102">
        <v>0</v>
      </c>
      <c r="BF15" s="102">
        <v>4355</v>
      </c>
      <c r="BG15" s="102">
        <v>0</v>
      </c>
      <c r="BH15" s="102">
        <v>133445</v>
      </c>
      <c r="BI15" s="102">
        <v>105164</v>
      </c>
      <c r="BJ15" s="102">
        <v>520809</v>
      </c>
      <c r="BK15" s="102">
        <v>20678</v>
      </c>
      <c r="BL15" s="102">
        <v>0</v>
      </c>
      <c r="BM15" s="102">
        <v>36681</v>
      </c>
      <c r="BN15" s="102">
        <v>3407800</v>
      </c>
      <c r="BO15" s="73">
        <f t="shared" si="5"/>
        <v>752500</v>
      </c>
      <c r="BP15" s="73">
        <f t="shared" si="6"/>
        <v>2655300</v>
      </c>
      <c r="BQ15" s="102">
        <v>0</v>
      </c>
      <c r="BR15" s="102">
        <v>0</v>
      </c>
      <c r="BS15" s="102">
        <v>2655300</v>
      </c>
      <c r="BT15" s="102">
        <v>0</v>
      </c>
      <c r="BU15" s="102">
        <v>52382888</v>
      </c>
      <c r="BV15" s="71"/>
      <c r="BW15" s="102">
        <v>10795208</v>
      </c>
      <c r="BX15" s="102">
        <v>6733590</v>
      </c>
      <c r="BY15" s="102">
        <v>1827845</v>
      </c>
      <c r="BZ15" s="102">
        <v>405222</v>
      </c>
      <c r="CA15" s="102">
        <v>18940073</v>
      </c>
      <c r="CB15" s="102">
        <v>2196889</v>
      </c>
      <c r="CC15" s="102">
        <v>249518</v>
      </c>
      <c r="CD15" s="102">
        <v>5445788</v>
      </c>
      <c r="CE15" s="102">
        <v>9517844</v>
      </c>
      <c r="CF15" s="102">
        <v>1355746</v>
      </c>
      <c r="CG15" s="102">
        <v>173989</v>
      </c>
      <c r="CH15" s="102">
        <v>5581673</v>
      </c>
      <c r="CI15" s="102">
        <v>4717433</v>
      </c>
      <c r="CJ15" s="83">
        <f t="shared" si="19"/>
        <v>864240</v>
      </c>
      <c r="CK15" s="102">
        <v>4447595</v>
      </c>
      <c r="CL15" s="102">
        <v>2688377</v>
      </c>
      <c r="CM15" s="102">
        <v>358239</v>
      </c>
      <c r="CN15" s="102">
        <v>741163</v>
      </c>
      <c r="CO15" s="102">
        <v>251968</v>
      </c>
      <c r="CP15" s="102">
        <v>3348678</v>
      </c>
      <c r="CQ15" s="102">
        <v>2021907</v>
      </c>
      <c r="CR15" s="102">
        <v>752556</v>
      </c>
      <c r="CS15" s="102">
        <v>557447</v>
      </c>
      <c r="CT15" s="73">
        <f t="shared" si="7"/>
        <v>71100</v>
      </c>
      <c r="CU15" s="102">
        <v>71100</v>
      </c>
      <c r="CV15" s="102">
        <v>0</v>
      </c>
      <c r="CW15" s="73">
        <f t="shared" si="8"/>
        <v>0</v>
      </c>
      <c r="CX15" s="102">
        <v>0</v>
      </c>
      <c r="CY15" s="102">
        <v>0</v>
      </c>
      <c r="CZ15" s="73">
        <f t="shared" si="9"/>
        <v>0</v>
      </c>
      <c r="DA15" s="102">
        <v>0</v>
      </c>
      <c r="DB15" s="102">
        <v>0</v>
      </c>
      <c r="DC15" s="102">
        <v>1869328</v>
      </c>
      <c r="DD15" s="102">
        <v>1224938</v>
      </c>
      <c r="DE15" s="102">
        <v>631631</v>
      </c>
      <c r="DF15" s="77">
        <v>0</v>
      </c>
      <c r="DG15" s="78">
        <v>12759</v>
      </c>
      <c r="DH15" s="102">
        <v>0</v>
      </c>
      <c r="DI15" s="102">
        <v>19590</v>
      </c>
      <c r="DJ15" s="102">
        <v>626</v>
      </c>
      <c r="DK15" s="102">
        <v>12</v>
      </c>
      <c r="DL15" s="102">
        <v>18952</v>
      </c>
      <c r="DM15" s="102">
        <v>4745</v>
      </c>
      <c r="DN15" s="102">
        <v>4745</v>
      </c>
      <c r="DO15" s="102">
        <v>4745</v>
      </c>
      <c r="DP15" s="102">
        <v>0</v>
      </c>
      <c r="DQ15" s="102">
        <v>1930</v>
      </c>
      <c r="DR15" s="102">
        <v>0</v>
      </c>
      <c r="DS15" s="102">
        <v>0</v>
      </c>
      <c r="DT15" s="102">
        <v>6735377</v>
      </c>
      <c r="DU15" s="102">
        <v>1615000</v>
      </c>
      <c r="DV15" s="73">
        <f t="shared" si="10"/>
        <v>0</v>
      </c>
      <c r="DW15" s="102">
        <v>0</v>
      </c>
      <c r="DX15" s="102">
        <v>1494997</v>
      </c>
      <c r="DY15" s="102">
        <v>0</v>
      </c>
      <c r="DZ15" s="102">
        <v>2255901</v>
      </c>
      <c r="EA15" s="74">
        <v>0</v>
      </c>
      <c r="EB15" s="102">
        <v>1369479</v>
      </c>
      <c r="EC15" s="102">
        <v>0</v>
      </c>
      <c r="ED15" s="102">
        <v>51996165</v>
      </c>
      <c r="EE15" s="71"/>
      <c r="EF15" s="102">
        <v>386723</v>
      </c>
      <c r="EG15" s="102">
        <v>2914</v>
      </c>
      <c r="EH15" s="102">
        <v>383809</v>
      </c>
      <c r="EI15" s="102">
        <v>169131</v>
      </c>
      <c r="EJ15" s="102">
        <v>60598</v>
      </c>
      <c r="EK15" s="71"/>
      <c r="EL15" s="102"/>
      <c r="EM15" s="102">
        <v>144013</v>
      </c>
      <c r="EN15" s="102">
        <v>109313</v>
      </c>
      <c r="EO15" s="102">
        <v>84432</v>
      </c>
      <c r="EP15" s="73">
        <f t="shared" si="11"/>
        <v>662395</v>
      </c>
      <c r="EQ15" s="102">
        <v>30091965</v>
      </c>
      <c r="ER15" s="71">
        <v>-3489109</v>
      </c>
      <c r="ES15" s="102">
        <v>10294854</v>
      </c>
      <c r="ET15" s="102">
        <v>6283380</v>
      </c>
      <c r="EU15" s="102">
        <v>4471907</v>
      </c>
      <c r="EV15" s="102">
        <v>5551975</v>
      </c>
      <c r="EW15" s="73">
        <f t="shared" si="12"/>
        <v>437442</v>
      </c>
      <c r="EX15" s="102">
        <v>437442</v>
      </c>
      <c r="EY15" s="102">
        <v>60734</v>
      </c>
      <c r="EZ15" s="102">
        <v>373044</v>
      </c>
      <c r="FA15" s="102">
        <v>0</v>
      </c>
      <c r="FB15" s="102">
        <v>0</v>
      </c>
      <c r="FC15" s="102">
        <v>3551287</v>
      </c>
      <c r="FD15" s="102">
        <v>3111840</v>
      </c>
      <c r="FE15" s="102">
        <v>2021907</v>
      </c>
      <c r="FF15" s="102">
        <v>5705840</v>
      </c>
      <c r="FG15" s="73">
        <f t="shared" si="13"/>
        <v>69206</v>
      </c>
      <c r="FH15" s="102">
        <v>33194351</v>
      </c>
      <c r="FI15" s="379">
        <f t="shared" si="14"/>
        <v>1.3</v>
      </c>
      <c r="FJ15" s="102">
        <v>26918794</v>
      </c>
      <c r="FK15" s="102">
        <v>2655388</v>
      </c>
      <c r="FL15" s="102">
        <v>16860489</v>
      </c>
      <c r="FM15" s="102">
        <v>21883305</v>
      </c>
      <c r="FN15" s="428">
        <v>0.78800000000000003</v>
      </c>
      <c r="FO15" s="424">
        <v>101</v>
      </c>
      <c r="FP15" s="425">
        <v>32.6</v>
      </c>
      <c r="FQ15" s="424">
        <v>14.7</v>
      </c>
      <c r="FR15" s="424">
        <v>18.3</v>
      </c>
      <c r="FS15" s="425">
        <v>10.4</v>
      </c>
      <c r="FT15" s="424">
        <v>9.5</v>
      </c>
      <c r="FU15" s="425">
        <v>15.4</v>
      </c>
      <c r="FV15" s="384">
        <f t="shared" si="15"/>
        <v>7.7</v>
      </c>
      <c r="FW15" s="102">
        <v>47309263</v>
      </c>
      <c r="FX15" s="384">
        <f t="shared" si="16"/>
        <v>160</v>
      </c>
      <c r="FY15" s="102">
        <v>3447309</v>
      </c>
      <c r="FZ15" s="102">
        <v>42858</v>
      </c>
      <c r="GA15" s="102">
        <v>1698</v>
      </c>
      <c r="GB15" s="102">
        <v>3402753</v>
      </c>
      <c r="GC15" s="102">
        <v>2458800</v>
      </c>
      <c r="GD15" s="454">
        <v>3792353</v>
      </c>
      <c r="GE15" s="386">
        <f t="shared" ref="GE15:GE21" si="20">IF(GD15=0,"-",ROUND(GD15/(FJ15+FK15)*100,1))</f>
        <v>12.8</v>
      </c>
      <c r="GF15" s="424">
        <v>97.83726465462243</v>
      </c>
      <c r="GG15" s="424">
        <v>22.010182943200661</v>
      </c>
      <c r="GH15" s="424">
        <v>91.501929592908581</v>
      </c>
      <c r="GI15" s="102">
        <v>894</v>
      </c>
      <c r="GJ15" s="429" t="s">
        <v>646</v>
      </c>
      <c r="GK15" s="429">
        <v>11.83</v>
      </c>
      <c r="GL15" s="87">
        <v>20</v>
      </c>
      <c r="GM15" s="429" t="s">
        <v>646</v>
      </c>
      <c r="GN15" s="430">
        <v>16.829999999999998</v>
      </c>
      <c r="GO15" s="430">
        <v>30</v>
      </c>
      <c r="GP15" s="425">
        <v>7.7</v>
      </c>
      <c r="GQ15" s="425">
        <v>25</v>
      </c>
      <c r="GR15" s="425">
        <v>35</v>
      </c>
      <c r="GS15" s="431">
        <v>86.9</v>
      </c>
      <c r="GT15" s="425">
        <v>350</v>
      </c>
      <c r="GU15" s="394"/>
      <c r="GV15" s="100">
        <f t="shared" si="17"/>
        <v>29574</v>
      </c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</row>
    <row r="16" spans="2:230" x14ac:dyDescent="0.15">
      <c r="B16" s="89" t="s">
        <v>21</v>
      </c>
      <c r="C16" s="102">
        <v>55729638</v>
      </c>
      <c r="D16" s="73">
        <f t="shared" si="0"/>
        <v>21797691</v>
      </c>
      <c r="E16" s="102">
        <v>541989</v>
      </c>
      <c r="F16" s="102">
        <v>21255702</v>
      </c>
      <c r="G16" s="73">
        <f t="shared" si="1"/>
        <v>3683598</v>
      </c>
      <c r="H16" s="102">
        <v>704738</v>
      </c>
      <c r="I16" s="102">
        <v>2978860</v>
      </c>
      <c r="J16" s="102">
        <v>21897238</v>
      </c>
      <c r="K16" s="102">
        <v>8647738</v>
      </c>
      <c r="L16" s="102">
        <v>10220659</v>
      </c>
      <c r="M16" s="102">
        <v>2485700</v>
      </c>
      <c r="N16" s="102">
        <v>1966764</v>
      </c>
      <c r="O16" s="102">
        <v>4702327</v>
      </c>
      <c r="P16" s="102">
        <v>2482137</v>
      </c>
      <c r="Q16" s="102">
        <v>2220190</v>
      </c>
      <c r="R16" s="102">
        <v>698165</v>
      </c>
      <c r="S16" s="74"/>
      <c r="T16" s="73">
        <f t="shared" si="2"/>
        <v>4220467</v>
      </c>
      <c r="U16" s="102">
        <v>272890</v>
      </c>
      <c r="V16" s="102">
        <v>176946</v>
      </c>
      <c r="W16" s="102">
        <v>39342</v>
      </c>
      <c r="X16" s="102">
        <v>3364612</v>
      </c>
      <c r="Y16" s="102">
        <v>96001</v>
      </c>
      <c r="Z16" s="102">
        <v>0</v>
      </c>
      <c r="AA16" s="102">
        <v>270676</v>
      </c>
      <c r="AB16" s="102">
        <v>861062</v>
      </c>
      <c r="AC16" s="102">
        <v>10234665</v>
      </c>
      <c r="AD16" s="102">
        <v>9951432</v>
      </c>
      <c r="AE16" s="102">
        <v>283211</v>
      </c>
      <c r="AF16" s="102">
        <v>67512</v>
      </c>
      <c r="AG16" s="102">
        <v>1083386</v>
      </c>
      <c r="AH16" s="73">
        <f t="shared" si="3"/>
        <v>2356208</v>
      </c>
      <c r="AI16" s="102">
        <v>1928498</v>
      </c>
      <c r="AJ16" s="102">
        <v>427710</v>
      </c>
      <c r="AK16" s="102">
        <v>22300400</v>
      </c>
      <c r="AL16" s="73">
        <f t="shared" si="4"/>
        <v>13255212</v>
      </c>
      <c r="AM16" s="102">
        <v>10021538</v>
      </c>
      <c r="AN16" s="102">
        <v>1290024</v>
      </c>
      <c r="AO16" s="74"/>
      <c r="AP16" s="102">
        <v>1943650</v>
      </c>
      <c r="AQ16" s="102">
        <v>511510</v>
      </c>
      <c r="AR16" s="102">
        <v>0</v>
      </c>
      <c r="AS16" s="102">
        <v>0</v>
      </c>
      <c r="AT16" s="102">
        <v>7853465</v>
      </c>
      <c r="AU16" s="102">
        <v>4958568</v>
      </c>
      <c r="AV16" s="102">
        <v>645012</v>
      </c>
      <c r="AW16" s="102">
        <v>147240</v>
      </c>
      <c r="AX16" s="102">
        <v>2894897</v>
      </c>
      <c r="AY16" s="102">
        <v>177285</v>
      </c>
      <c r="AZ16" s="102">
        <v>175299</v>
      </c>
      <c r="BA16" s="102">
        <v>89508</v>
      </c>
      <c r="BB16" s="102">
        <v>42170</v>
      </c>
      <c r="BC16" s="102">
        <v>1711452</v>
      </c>
      <c r="BD16" s="102">
        <v>0</v>
      </c>
      <c r="BE16" s="102">
        <v>300000</v>
      </c>
      <c r="BF16" s="102">
        <v>1378666</v>
      </c>
      <c r="BG16" s="102">
        <v>0</v>
      </c>
      <c r="BH16" s="102">
        <v>1538543</v>
      </c>
      <c r="BI16" s="102">
        <v>1221482</v>
      </c>
      <c r="BJ16" s="102">
        <v>1107645</v>
      </c>
      <c r="BK16" s="102">
        <v>0</v>
      </c>
      <c r="BL16" s="102">
        <v>0</v>
      </c>
      <c r="BM16" s="102">
        <v>48758</v>
      </c>
      <c r="BN16" s="102">
        <v>8092231</v>
      </c>
      <c r="BO16" s="73">
        <f t="shared" si="5"/>
        <v>1566300</v>
      </c>
      <c r="BP16" s="73">
        <f t="shared" si="6"/>
        <v>6525931</v>
      </c>
      <c r="BQ16" s="102">
        <v>0</v>
      </c>
      <c r="BR16" s="102">
        <v>0</v>
      </c>
      <c r="BS16" s="102">
        <v>6525931</v>
      </c>
      <c r="BT16" s="102">
        <v>0</v>
      </c>
      <c r="BU16" s="102">
        <v>118072308</v>
      </c>
      <c r="BV16" s="71"/>
      <c r="BW16" s="102">
        <v>21800054</v>
      </c>
      <c r="BX16" s="102">
        <v>14329150</v>
      </c>
      <c r="BY16" s="102">
        <v>2523041</v>
      </c>
      <c r="BZ16" s="102">
        <v>1280265</v>
      </c>
      <c r="CA16" s="102">
        <v>35188595</v>
      </c>
      <c r="CB16" s="102">
        <v>5465600</v>
      </c>
      <c r="CC16" s="102">
        <v>651734</v>
      </c>
      <c r="CD16" s="102">
        <v>15691907</v>
      </c>
      <c r="CE16" s="102">
        <v>12898189</v>
      </c>
      <c r="CF16" s="102">
        <v>0</v>
      </c>
      <c r="CG16" s="102">
        <v>475565</v>
      </c>
      <c r="CH16" s="102">
        <v>10762981</v>
      </c>
      <c r="CI16" s="102">
        <v>9133528</v>
      </c>
      <c r="CJ16" s="83">
        <f t="shared" si="19"/>
        <v>1629453</v>
      </c>
      <c r="CK16" s="102">
        <v>11566803</v>
      </c>
      <c r="CL16" s="102">
        <v>6502847</v>
      </c>
      <c r="CM16" s="102">
        <v>618845</v>
      </c>
      <c r="CN16" s="102">
        <v>2513530</v>
      </c>
      <c r="CO16" s="102">
        <v>1308587</v>
      </c>
      <c r="CP16" s="102">
        <v>16066756</v>
      </c>
      <c r="CQ16" s="102">
        <v>4524076</v>
      </c>
      <c r="CR16" s="102">
        <v>2843211</v>
      </c>
      <c r="CS16" s="102">
        <v>1871231</v>
      </c>
      <c r="CT16" s="73">
        <f t="shared" si="7"/>
        <v>7179078</v>
      </c>
      <c r="CU16" s="102">
        <v>2022761</v>
      </c>
      <c r="CV16" s="102">
        <v>5156317</v>
      </c>
      <c r="CW16" s="73">
        <f t="shared" si="8"/>
        <v>966080</v>
      </c>
      <c r="CX16" s="102">
        <v>882511</v>
      </c>
      <c r="CY16" s="102">
        <v>83569</v>
      </c>
      <c r="CZ16" s="73">
        <f t="shared" si="9"/>
        <v>5922797</v>
      </c>
      <c r="DA16" s="102">
        <v>996482</v>
      </c>
      <c r="DB16" s="102">
        <v>4926315</v>
      </c>
      <c r="DC16" s="102">
        <v>5213509</v>
      </c>
      <c r="DD16" s="102">
        <v>2447410</v>
      </c>
      <c r="DE16" s="102">
        <v>2765910</v>
      </c>
      <c r="DF16" s="77">
        <v>189</v>
      </c>
      <c r="DG16" s="78">
        <v>0</v>
      </c>
      <c r="DH16" s="102">
        <v>0</v>
      </c>
      <c r="DI16" s="102">
        <v>3564645</v>
      </c>
      <c r="DJ16" s="102">
        <v>1127274</v>
      </c>
      <c r="DK16" s="102">
        <v>312315</v>
      </c>
      <c r="DL16" s="102">
        <v>2125056</v>
      </c>
      <c r="DM16" s="102">
        <v>22900</v>
      </c>
      <c r="DN16" s="102">
        <v>22900</v>
      </c>
      <c r="DO16" s="102">
        <v>12900</v>
      </c>
      <c r="DP16" s="102">
        <v>0</v>
      </c>
      <c r="DQ16" s="102">
        <v>0</v>
      </c>
      <c r="DR16" s="102">
        <v>0</v>
      </c>
      <c r="DS16" s="102">
        <v>0</v>
      </c>
      <c r="DT16" s="102">
        <v>10234887</v>
      </c>
      <c r="DU16" s="102">
        <v>0</v>
      </c>
      <c r="DV16" s="73">
        <f t="shared" si="10"/>
        <v>22563</v>
      </c>
      <c r="DW16" s="102">
        <v>22563</v>
      </c>
      <c r="DX16" s="102">
        <v>3070347</v>
      </c>
      <c r="DY16" s="102">
        <v>10921</v>
      </c>
      <c r="DZ16" s="102">
        <v>3871739</v>
      </c>
      <c r="EA16" s="74">
        <v>0</v>
      </c>
      <c r="EB16" s="102">
        <v>3259317</v>
      </c>
      <c r="EC16" s="102">
        <v>0</v>
      </c>
      <c r="ED16" s="102">
        <v>115729717</v>
      </c>
      <c r="EE16" s="71"/>
      <c r="EF16" s="102">
        <v>2342591</v>
      </c>
      <c r="EG16" s="102">
        <v>930890</v>
      </c>
      <c r="EH16" s="102">
        <v>1411701</v>
      </c>
      <c r="EI16" s="102">
        <v>190219</v>
      </c>
      <c r="EJ16" s="102">
        <v>1818225</v>
      </c>
      <c r="EK16" s="71"/>
      <c r="EL16" s="102"/>
      <c r="EM16" s="102">
        <v>406123</v>
      </c>
      <c r="EN16" s="102">
        <v>1085040</v>
      </c>
      <c r="EO16" s="102">
        <v>123926</v>
      </c>
      <c r="EP16" s="73">
        <f t="shared" si="11"/>
        <v>2799886</v>
      </c>
      <c r="EQ16" s="102">
        <v>71811509</v>
      </c>
      <c r="ER16" s="71">
        <v>-10467271</v>
      </c>
      <c r="ES16" s="102">
        <v>20035656</v>
      </c>
      <c r="ET16" s="102">
        <v>12813889</v>
      </c>
      <c r="EU16" s="102">
        <v>9797932</v>
      </c>
      <c r="EV16" s="102">
        <v>10762981</v>
      </c>
      <c r="EW16" s="73">
        <f t="shared" si="12"/>
        <v>1675641</v>
      </c>
      <c r="EX16" s="102">
        <v>1675641</v>
      </c>
      <c r="EY16" s="102">
        <v>263934</v>
      </c>
      <c r="EZ16" s="102">
        <v>1411518</v>
      </c>
      <c r="FA16" s="102">
        <v>0</v>
      </c>
      <c r="FB16" s="102">
        <v>0</v>
      </c>
      <c r="FC16" s="102">
        <v>9243276</v>
      </c>
      <c r="FD16" s="102">
        <v>14941689</v>
      </c>
      <c r="FE16" s="102">
        <v>4524076</v>
      </c>
      <c r="FF16" s="102">
        <v>8712833</v>
      </c>
      <c r="FG16" s="73">
        <f t="shared" si="13"/>
        <v>4766181</v>
      </c>
      <c r="FH16" s="102">
        <v>79936189</v>
      </c>
      <c r="FI16" s="379">
        <f t="shared" si="14"/>
        <v>2</v>
      </c>
      <c r="FJ16" s="102">
        <v>65314715</v>
      </c>
      <c r="FK16" s="102">
        <v>6525931</v>
      </c>
      <c r="FL16" s="102">
        <v>42856403</v>
      </c>
      <c r="FM16" s="102">
        <v>52799254</v>
      </c>
      <c r="FN16" s="428">
        <v>0.82799999999999996</v>
      </c>
      <c r="FO16" s="424">
        <v>89.4</v>
      </c>
      <c r="FP16" s="425">
        <v>26.3</v>
      </c>
      <c r="FQ16" s="424">
        <v>13.3</v>
      </c>
      <c r="FR16" s="424">
        <v>13.9</v>
      </c>
      <c r="FS16" s="425">
        <v>11.5</v>
      </c>
      <c r="FT16" s="424">
        <v>13.5</v>
      </c>
      <c r="FU16" s="425">
        <v>9.1999999999999993</v>
      </c>
      <c r="FV16" s="384">
        <f t="shared" si="15"/>
        <v>1</v>
      </c>
      <c r="FW16" s="102">
        <v>98326778</v>
      </c>
      <c r="FX16" s="384">
        <f t="shared" si="16"/>
        <v>136.9</v>
      </c>
      <c r="FY16" s="102">
        <v>24002365</v>
      </c>
      <c r="FZ16" s="102">
        <v>5664043</v>
      </c>
      <c r="GA16" s="102">
        <v>5658579</v>
      </c>
      <c r="GB16" s="102">
        <v>12679743</v>
      </c>
      <c r="GC16" s="102">
        <v>5000000</v>
      </c>
      <c r="GD16" s="454">
        <v>10956202</v>
      </c>
      <c r="GE16" s="386">
        <f t="shared" si="20"/>
        <v>15.3</v>
      </c>
      <c r="GF16" s="424">
        <v>99.004194512996278</v>
      </c>
      <c r="GG16" s="424">
        <v>22.70690383455322</v>
      </c>
      <c r="GH16" s="424">
        <v>95.309634161520663</v>
      </c>
      <c r="GI16" s="102">
        <v>2031</v>
      </c>
      <c r="GJ16" s="429" t="s">
        <v>646</v>
      </c>
      <c r="GK16" s="429">
        <v>11.25</v>
      </c>
      <c r="GL16" s="87">
        <v>20</v>
      </c>
      <c r="GM16" s="429" t="s">
        <v>646</v>
      </c>
      <c r="GN16" s="430">
        <v>16.25</v>
      </c>
      <c r="GO16" s="430">
        <v>30</v>
      </c>
      <c r="GP16" s="425">
        <v>1</v>
      </c>
      <c r="GQ16" s="425">
        <v>25</v>
      </c>
      <c r="GR16" s="425">
        <v>35</v>
      </c>
      <c r="GS16" s="431">
        <v>8.1999999999999993</v>
      </c>
      <c r="GT16" s="425">
        <v>350</v>
      </c>
      <c r="GU16" s="394"/>
      <c r="GV16" s="100">
        <f t="shared" si="17"/>
        <v>71841</v>
      </c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</row>
    <row r="17" spans="2:230" x14ac:dyDescent="0.15">
      <c r="B17" s="89" t="s">
        <v>23</v>
      </c>
      <c r="C17" s="102">
        <v>44068603</v>
      </c>
      <c r="D17" s="73">
        <f t="shared" si="0"/>
        <v>16516816</v>
      </c>
      <c r="E17" s="102">
        <v>377440</v>
      </c>
      <c r="F17" s="102">
        <v>16139376</v>
      </c>
      <c r="G17" s="73">
        <f t="shared" si="1"/>
        <v>3263291</v>
      </c>
      <c r="H17" s="102">
        <v>718327</v>
      </c>
      <c r="I17" s="102">
        <v>2544964</v>
      </c>
      <c r="J17" s="102">
        <v>18588505</v>
      </c>
      <c r="K17" s="102">
        <v>7991789</v>
      </c>
      <c r="L17" s="102">
        <v>8087758</v>
      </c>
      <c r="M17" s="102">
        <v>2208511</v>
      </c>
      <c r="N17" s="102">
        <v>1660867</v>
      </c>
      <c r="O17" s="102">
        <v>3841162</v>
      </c>
      <c r="P17" s="102">
        <v>2094069</v>
      </c>
      <c r="Q17" s="102">
        <v>1747093</v>
      </c>
      <c r="R17" s="102">
        <v>511648</v>
      </c>
      <c r="S17" s="74"/>
      <c r="T17" s="73">
        <f t="shared" si="2"/>
        <v>3146499</v>
      </c>
      <c r="U17" s="102">
        <v>199424</v>
      </c>
      <c r="V17" s="102">
        <v>129463</v>
      </c>
      <c r="W17" s="102">
        <v>28915</v>
      </c>
      <c r="X17" s="102">
        <v>2508670</v>
      </c>
      <c r="Y17" s="102">
        <v>81655</v>
      </c>
      <c r="Z17" s="102">
        <v>0</v>
      </c>
      <c r="AA17" s="102">
        <v>198372</v>
      </c>
      <c r="AB17" s="102">
        <v>487546</v>
      </c>
      <c r="AC17" s="102">
        <v>2541828</v>
      </c>
      <c r="AD17" s="102">
        <v>2252815</v>
      </c>
      <c r="AE17" s="102">
        <v>288830</v>
      </c>
      <c r="AF17" s="102">
        <v>51572</v>
      </c>
      <c r="AG17" s="102">
        <v>1009607</v>
      </c>
      <c r="AH17" s="73">
        <f t="shared" si="3"/>
        <v>2205800</v>
      </c>
      <c r="AI17" s="102">
        <v>1797606</v>
      </c>
      <c r="AJ17" s="102">
        <v>408194</v>
      </c>
      <c r="AK17" s="102">
        <v>14912788</v>
      </c>
      <c r="AL17" s="73">
        <f t="shared" si="4"/>
        <v>7038284</v>
      </c>
      <c r="AM17" s="102">
        <v>4895470</v>
      </c>
      <c r="AN17" s="102">
        <v>863970</v>
      </c>
      <c r="AO17" s="74"/>
      <c r="AP17" s="102">
        <v>1278844</v>
      </c>
      <c r="AQ17" s="102">
        <v>1527100</v>
      </c>
      <c r="AR17" s="102">
        <v>0</v>
      </c>
      <c r="AS17" s="102">
        <v>0</v>
      </c>
      <c r="AT17" s="102">
        <v>5615973</v>
      </c>
      <c r="AU17" s="102">
        <v>3909298</v>
      </c>
      <c r="AV17" s="102">
        <v>431986</v>
      </c>
      <c r="AW17" s="102">
        <v>109602</v>
      </c>
      <c r="AX17" s="102">
        <v>1706675</v>
      </c>
      <c r="AY17" s="102">
        <v>78298</v>
      </c>
      <c r="AZ17" s="102">
        <v>323114</v>
      </c>
      <c r="BA17" s="102">
        <v>303583</v>
      </c>
      <c r="BB17" s="102">
        <v>23644</v>
      </c>
      <c r="BC17" s="102">
        <v>138638</v>
      </c>
      <c r="BD17" s="102">
        <v>0</v>
      </c>
      <c r="BE17" s="102">
        <v>0</v>
      </c>
      <c r="BF17" s="102">
        <v>44373</v>
      </c>
      <c r="BG17" s="102">
        <v>0</v>
      </c>
      <c r="BH17" s="102">
        <v>1949777</v>
      </c>
      <c r="BI17" s="102">
        <v>384813</v>
      </c>
      <c r="BJ17" s="102">
        <v>1749872</v>
      </c>
      <c r="BK17" s="102">
        <v>350000</v>
      </c>
      <c r="BL17" s="102">
        <v>27622</v>
      </c>
      <c r="BM17" s="102">
        <v>21890</v>
      </c>
      <c r="BN17" s="102">
        <v>6072400</v>
      </c>
      <c r="BO17" s="73">
        <f t="shared" si="5"/>
        <v>2721500</v>
      </c>
      <c r="BP17" s="73">
        <f t="shared" si="6"/>
        <v>3350900</v>
      </c>
      <c r="BQ17" s="102">
        <v>0</v>
      </c>
      <c r="BR17" s="102">
        <v>0</v>
      </c>
      <c r="BS17" s="102">
        <v>3350900</v>
      </c>
      <c r="BT17" s="102">
        <v>0</v>
      </c>
      <c r="BU17" s="102">
        <v>84809309</v>
      </c>
      <c r="BV17" s="71"/>
      <c r="BW17" s="102">
        <v>14330118</v>
      </c>
      <c r="BX17" s="102">
        <v>9476199</v>
      </c>
      <c r="BY17" s="102">
        <v>1757363</v>
      </c>
      <c r="BZ17" s="102">
        <v>477342</v>
      </c>
      <c r="CA17" s="102">
        <v>22721774</v>
      </c>
      <c r="CB17" s="102">
        <v>3700003</v>
      </c>
      <c r="CC17" s="102">
        <v>550433</v>
      </c>
      <c r="CD17" s="102">
        <v>11661961</v>
      </c>
      <c r="CE17" s="102">
        <v>6529405</v>
      </c>
      <c r="CF17" s="102">
        <v>0</v>
      </c>
      <c r="CG17" s="102">
        <v>275404</v>
      </c>
      <c r="CH17" s="102">
        <v>4878102</v>
      </c>
      <c r="CI17" s="102">
        <v>4007307</v>
      </c>
      <c r="CJ17" s="83">
        <f t="shared" si="19"/>
        <v>870795</v>
      </c>
      <c r="CK17" s="102">
        <v>13034127</v>
      </c>
      <c r="CL17" s="102">
        <v>6504875</v>
      </c>
      <c r="CM17" s="102">
        <v>1108085</v>
      </c>
      <c r="CN17" s="102">
        <v>2942345</v>
      </c>
      <c r="CO17" s="102">
        <v>868941</v>
      </c>
      <c r="CP17" s="102">
        <v>3295026</v>
      </c>
      <c r="CQ17" s="102">
        <v>7655</v>
      </c>
      <c r="CR17" s="102">
        <v>2347579</v>
      </c>
      <c r="CS17" s="102">
        <v>1760521</v>
      </c>
      <c r="CT17" s="73">
        <f t="shared" si="7"/>
        <v>12931</v>
      </c>
      <c r="CU17" s="102">
        <v>6077</v>
      </c>
      <c r="CV17" s="102">
        <v>6854</v>
      </c>
      <c r="CW17" s="73">
        <f t="shared" si="8"/>
        <v>0</v>
      </c>
      <c r="CX17" s="102">
        <v>0</v>
      </c>
      <c r="CY17" s="102">
        <v>0</v>
      </c>
      <c r="CZ17" s="73">
        <f t="shared" si="9"/>
        <v>0</v>
      </c>
      <c r="DA17" s="102">
        <v>0</v>
      </c>
      <c r="DB17" s="102">
        <v>0</v>
      </c>
      <c r="DC17" s="102">
        <v>13068439</v>
      </c>
      <c r="DD17" s="102">
        <v>4493376</v>
      </c>
      <c r="DE17" s="102">
        <v>8547441</v>
      </c>
      <c r="DF17" s="77">
        <v>0</v>
      </c>
      <c r="DG17" s="78">
        <v>27622</v>
      </c>
      <c r="DH17" s="102">
        <v>9084</v>
      </c>
      <c r="DI17" s="102">
        <v>1115367</v>
      </c>
      <c r="DJ17" s="102">
        <v>703640</v>
      </c>
      <c r="DK17" s="102">
        <v>0</v>
      </c>
      <c r="DL17" s="102">
        <v>411727</v>
      </c>
      <c r="DM17" s="102">
        <v>7510</v>
      </c>
      <c r="DN17" s="102">
        <v>7510</v>
      </c>
      <c r="DO17" s="102">
        <v>7510</v>
      </c>
      <c r="DP17" s="102">
        <v>0</v>
      </c>
      <c r="DQ17" s="102">
        <v>350000</v>
      </c>
      <c r="DR17" s="102">
        <v>0</v>
      </c>
      <c r="DS17" s="102">
        <v>0</v>
      </c>
      <c r="DT17" s="102">
        <v>9388147</v>
      </c>
      <c r="DU17" s="102">
        <v>3355000</v>
      </c>
      <c r="DV17" s="73">
        <f t="shared" si="10"/>
        <v>0</v>
      </c>
      <c r="DW17" s="102">
        <v>0</v>
      </c>
      <c r="DX17" s="102">
        <v>2135822</v>
      </c>
      <c r="DY17" s="102">
        <v>0</v>
      </c>
      <c r="DZ17" s="102">
        <v>2122313</v>
      </c>
      <c r="EA17" s="74">
        <v>0</v>
      </c>
      <c r="EB17" s="102">
        <v>1773481</v>
      </c>
      <c r="EC17" s="102">
        <v>0</v>
      </c>
      <c r="ED17" s="102">
        <v>83066635</v>
      </c>
      <c r="EE17" s="71"/>
      <c r="EF17" s="102">
        <v>1742674</v>
      </c>
      <c r="EG17" s="102">
        <v>998178</v>
      </c>
      <c r="EH17" s="102">
        <v>744496</v>
      </c>
      <c r="EI17" s="102">
        <v>-26317</v>
      </c>
      <c r="EJ17" s="102">
        <v>677323</v>
      </c>
      <c r="EK17" s="71"/>
      <c r="EL17" s="102"/>
      <c r="EM17" s="102">
        <v>273447</v>
      </c>
      <c r="EN17" s="102">
        <v>94265</v>
      </c>
      <c r="EO17" s="102">
        <v>313570</v>
      </c>
      <c r="EP17" s="73">
        <f t="shared" si="11"/>
        <v>2101902</v>
      </c>
      <c r="EQ17" s="102">
        <v>50807696</v>
      </c>
      <c r="ER17" s="71">
        <v>-5809065</v>
      </c>
      <c r="ES17" s="102">
        <v>13083191</v>
      </c>
      <c r="ET17" s="102">
        <v>8349504</v>
      </c>
      <c r="EU17" s="102">
        <v>6928097</v>
      </c>
      <c r="EV17" s="102">
        <v>4878102</v>
      </c>
      <c r="EW17" s="73">
        <f t="shared" si="12"/>
        <v>6452135</v>
      </c>
      <c r="EX17" s="102">
        <v>6445404</v>
      </c>
      <c r="EY17" s="102">
        <v>488681</v>
      </c>
      <c r="EZ17" s="102">
        <v>5956723</v>
      </c>
      <c r="FA17" s="102">
        <v>6731</v>
      </c>
      <c r="FB17" s="102">
        <v>0</v>
      </c>
      <c r="FC17" s="102">
        <v>10346669</v>
      </c>
      <c r="FD17" s="102">
        <v>2804244</v>
      </c>
      <c r="FE17" s="102">
        <v>7655</v>
      </c>
      <c r="FF17" s="102">
        <v>8463621</v>
      </c>
      <c r="FG17" s="73">
        <f t="shared" si="13"/>
        <v>1918028</v>
      </c>
      <c r="FH17" s="102">
        <v>54874087</v>
      </c>
      <c r="FI17" s="379">
        <f t="shared" si="14"/>
        <v>1.5</v>
      </c>
      <c r="FJ17" s="102">
        <v>45387040</v>
      </c>
      <c r="FK17" s="102">
        <v>3350966</v>
      </c>
      <c r="FL17" s="102">
        <v>33164483</v>
      </c>
      <c r="FM17" s="102">
        <v>35417298</v>
      </c>
      <c r="FN17" s="428">
        <v>0.96</v>
      </c>
      <c r="FO17" s="424">
        <v>86.2</v>
      </c>
      <c r="FP17" s="425">
        <v>25.3</v>
      </c>
      <c r="FQ17" s="424">
        <v>13.7</v>
      </c>
      <c r="FR17" s="424">
        <v>9.6</v>
      </c>
      <c r="FS17" s="425">
        <v>19.100000000000001</v>
      </c>
      <c r="FT17" s="424">
        <v>4.2</v>
      </c>
      <c r="FU17" s="425">
        <v>12.9</v>
      </c>
      <c r="FV17" s="384">
        <f t="shared" si="15"/>
        <v>-0.5</v>
      </c>
      <c r="FW17" s="102">
        <v>55764853</v>
      </c>
      <c r="FX17" s="384">
        <f t="shared" si="16"/>
        <v>114.4</v>
      </c>
      <c r="FY17" s="102">
        <v>12307973</v>
      </c>
      <c r="FZ17" s="102">
        <v>5018787</v>
      </c>
      <c r="GA17" s="102">
        <v>0</v>
      </c>
      <c r="GB17" s="102">
        <v>7289186</v>
      </c>
      <c r="GC17" s="102">
        <v>0</v>
      </c>
      <c r="GD17" s="454">
        <v>1699251</v>
      </c>
      <c r="GE17" s="386">
        <f t="shared" si="20"/>
        <v>3.5</v>
      </c>
      <c r="GF17" s="424">
        <v>98.910767362743513</v>
      </c>
      <c r="GG17" s="424">
        <v>28.021555852049911</v>
      </c>
      <c r="GH17" s="424">
        <v>95.975138536783774</v>
      </c>
      <c r="GI17" s="102">
        <v>1463</v>
      </c>
      <c r="GJ17" s="429" t="s">
        <v>646</v>
      </c>
      <c r="GK17" s="429">
        <v>11.27</v>
      </c>
      <c r="GL17" s="87">
        <v>20</v>
      </c>
      <c r="GM17" s="429" t="s">
        <v>646</v>
      </c>
      <c r="GN17" s="430">
        <v>16.27</v>
      </c>
      <c r="GO17" s="430">
        <v>30</v>
      </c>
      <c r="GP17" s="425">
        <v>-0.5</v>
      </c>
      <c r="GQ17" s="425">
        <v>25</v>
      </c>
      <c r="GR17" s="425">
        <v>35</v>
      </c>
      <c r="GS17" s="431" t="s">
        <v>646</v>
      </c>
      <c r="GT17" s="425">
        <v>350</v>
      </c>
      <c r="GU17" s="394"/>
      <c r="GV17" s="100">
        <f t="shared" si="17"/>
        <v>48738</v>
      </c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</row>
    <row r="18" spans="2:230" x14ac:dyDescent="0.15">
      <c r="B18" s="89" t="s">
        <v>25</v>
      </c>
      <c r="C18" s="102">
        <v>38247645</v>
      </c>
      <c r="D18" s="73">
        <f t="shared" si="0"/>
        <v>12615337</v>
      </c>
      <c r="E18" s="102">
        <v>341145</v>
      </c>
      <c r="F18" s="102">
        <v>12274192</v>
      </c>
      <c r="G18" s="73">
        <f t="shared" si="1"/>
        <v>2868803</v>
      </c>
      <c r="H18" s="102">
        <v>684049</v>
      </c>
      <c r="I18" s="102">
        <v>2184754</v>
      </c>
      <c r="J18" s="102">
        <v>16870119</v>
      </c>
      <c r="K18" s="102">
        <v>7641893</v>
      </c>
      <c r="L18" s="102">
        <v>6718205</v>
      </c>
      <c r="M18" s="102">
        <v>2213802</v>
      </c>
      <c r="N18" s="102">
        <v>2157398</v>
      </c>
      <c r="O18" s="102">
        <v>3473481</v>
      </c>
      <c r="P18" s="102">
        <v>2029368</v>
      </c>
      <c r="Q18" s="102">
        <v>1444113</v>
      </c>
      <c r="R18" s="102">
        <v>486121</v>
      </c>
      <c r="S18" s="74"/>
      <c r="T18" s="73">
        <f t="shared" si="2"/>
        <v>3082695</v>
      </c>
      <c r="U18" s="102">
        <v>160953</v>
      </c>
      <c r="V18" s="102">
        <v>104286</v>
      </c>
      <c r="W18" s="102">
        <v>23120</v>
      </c>
      <c r="X18" s="102">
        <v>2606156</v>
      </c>
      <c r="Y18" s="102">
        <v>0</v>
      </c>
      <c r="Z18" s="102">
        <v>0</v>
      </c>
      <c r="AA18" s="102">
        <v>188180</v>
      </c>
      <c r="AB18" s="102">
        <v>474492</v>
      </c>
      <c r="AC18" s="102">
        <v>11179733</v>
      </c>
      <c r="AD18" s="102">
        <v>10565129</v>
      </c>
      <c r="AE18" s="102">
        <v>614588</v>
      </c>
      <c r="AF18" s="102">
        <v>47048</v>
      </c>
      <c r="AG18" s="102">
        <v>1728855</v>
      </c>
      <c r="AH18" s="73">
        <f t="shared" si="3"/>
        <v>1707191</v>
      </c>
      <c r="AI18" s="102">
        <v>1171401</v>
      </c>
      <c r="AJ18" s="102">
        <v>535790</v>
      </c>
      <c r="AK18" s="102">
        <v>19810652</v>
      </c>
      <c r="AL18" s="73">
        <f t="shared" si="4"/>
        <v>12735496</v>
      </c>
      <c r="AM18" s="102">
        <v>10221807</v>
      </c>
      <c r="AN18" s="102">
        <v>891040</v>
      </c>
      <c r="AO18" s="74"/>
      <c r="AP18" s="102">
        <v>1622649</v>
      </c>
      <c r="AQ18" s="102">
        <v>494660</v>
      </c>
      <c r="AR18" s="102">
        <v>0</v>
      </c>
      <c r="AS18" s="102">
        <v>43269</v>
      </c>
      <c r="AT18" s="102">
        <v>5692114</v>
      </c>
      <c r="AU18" s="102">
        <v>3287289</v>
      </c>
      <c r="AV18" s="102">
        <v>465176</v>
      </c>
      <c r="AW18" s="102">
        <v>242867</v>
      </c>
      <c r="AX18" s="102">
        <v>2404825</v>
      </c>
      <c r="AY18" s="102">
        <v>37042</v>
      </c>
      <c r="AZ18" s="102">
        <v>418789</v>
      </c>
      <c r="BA18" s="102">
        <v>341859</v>
      </c>
      <c r="BB18" s="102">
        <v>8098</v>
      </c>
      <c r="BC18" s="102">
        <v>400729</v>
      </c>
      <c r="BD18" s="102">
        <v>0</v>
      </c>
      <c r="BE18" s="102">
        <v>0</v>
      </c>
      <c r="BF18" s="102">
        <v>400729</v>
      </c>
      <c r="BG18" s="102">
        <v>0</v>
      </c>
      <c r="BH18" s="102">
        <v>1154380</v>
      </c>
      <c r="BI18" s="102">
        <v>989606</v>
      </c>
      <c r="BJ18" s="102">
        <v>959769</v>
      </c>
      <c r="BK18" s="102">
        <v>185981</v>
      </c>
      <c r="BL18" s="102">
        <v>821</v>
      </c>
      <c r="BM18" s="102">
        <v>43629</v>
      </c>
      <c r="BN18" s="102">
        <v>8227228</v>
      </c>
      <c r="BO18" s="73">
        <f t="shared" si="5"/>
        <v>2359400</v>
      </c>
      <c r="BP18" s="73">
        <f t="shared" si="6"/>
        <v>4867828</v>
      </c>
      <c r="BQ18" s="102">
        <v>0</v>
      </c>
      <c r="BR18" s="102">
        <v>0</v>
      </c>
      <c r="BS18" s="102">
        <v>4867828</v>
      </c>
      <c r="BT18" s="102">
        <v>1000000</v>
      </c>
      <c r="BU18" s="102">
        <v>93668808</v>
      </c>
      <c r="BV18" s="71"/>
      <c r="BW18" s="102">
        <v>17085954</v>
      </c>
      <c r="BX18" s="102">
        <v>10470128</v>
      </c>
      <c r="BY18" s="102">
        <v>2224449</v>
      </c>
      <c r="BZ18" s="102">
        <v>1528237</v>
      </c>
      <c r="CA18" s="102">
        <v>30498710</v>
      </c>
      <c r="CB18" s="102">
        <v>4356285</v>
      </c>
      <c r="CC18" s="102">
        <v>505013</v>
      </c>
      <c r="CD18" s="102">
        <v>10695049</v>
      </c>
      <c r="CE18" s="102">
        <v>13491165</v>
      </c>
      <c r="CF18" s="102">
        <v>1014220</v>
      </c>
      <c r="CG18" s="102">
        <v>433718</v>
      </c>
      <c r="CH18" s="102">
        <v>8799889</v>
      </c>
      <c r="CI18" s="102">
        <v>7594470</v>
      </c>
      <c r="CJ18" s="83">
        <f t="shared" si="19"/>
        <v>1205419</v>
      </c>
      <c r="CK18" s="102">
        <v>10181377</v>
      </c>
      <c r="CL18" s="102">
        <v>6896869</v>
      </c>
      <c r="CM18" s="102">
        <v>455037</v>
      </c>
      <c r="CN18" s="102">
        <v>1835938</v>
      </c>
      <c r="CO18" s="102">
        <v>347752</v>
      </c>
      <c r="CP18" s="102">
        <v>3736621</v>
      </c>
      <c r="CQ18" s="102">
        <v>38640</v>
      </c>
      <c r="CR18" s="102">
        <v>1740314</v>
      </c>
      <c r="CS18" s="102">
        <v>998617</v>
      </c>
      <c r="CT18" s="73">
        <f t="shared" si="7"/>
        <v>1217798</v>
      </c>
      <c r="CU18" s="102">
        <v>1217798</v>
      </c>
      <c r="CV18" s="102">
        <v>0</v>
      </c>
      <c r="CW18" s="73">
        <f t="shared" si="8"/>
        <v>1150333</v>
      </c>
      <c r="CX18" s="102">
        <v>1150333</v>
      </c>
      <c r="CY18" s="102">
        <v>0</v>
      </c>
      <c r="CZ18" s="73">
        <f t="shared" si="9"/>
        <v>0</v>
      </c>
      <c r="DA18" s="102">
        <v>0</v>
      </c>
      <c r="DB18" s="102">
        <v>0</v>
      </c>
      <c r="DC18" s="102">
        <v>6662705</v>
      </c>
      <c r="DD18" s="102">
        <v>3068954</v>
      </c>
      <c r="DE18" s="102">
        <v>3530578</v>
      </c>
      <c r="DF18" s="77">
        <v>34323</v>
      </c>
      <c r="DG18" s="78">
        <v>21000</v>
      </c>
      <c r="DH18" s="102">
        <v>0</v>
      </c>
      <c r="DI18" s="102">
        <v>908848</v>
      </c>
      <c r="DJ18" s="102">
        <v>516639</v>
      </c>
      <c r="DK18" s="102">
        <v>0</v>
      </c>
      <c r="DL18" s="102">
        <v>392209</v>
      </c>
      <c r="DM18" s="102">
        <v>712641</v>
      </c>
      <c r="DN18" s="102">
        <v>707841</v>
      </c>
      <c r="DO18" s="102">
        <v>87000</v>
      </c>
      <c r="DP18" s="102">
        <v>620841</v>
      </c>
      <c r="DQ18" s="102">
        <v>299900</v>
      </c>
      <c r="DR18" s="102">
        <v>0</v>
      </c>
      <c r="DS18" s="102">
        <v>0</v>
      </c>
      <c r="DT18" s="102">
        <v>13527091</v>
      </c>
      <c r="DU18" s="102">
        <v>5608532</v>
      </c>
      <c r="DV18" s="73">
        <f t="shared" si="10"/>
        <v>0</v>
      </c>
      <c r="DW18" s="102">
        <v>0</v>
      </c>
      <c r="DX18" s="102">
        <v>2378616</v>
      </c>
      <c r="DY18" s="102">
        <v>0</v>
      </c>
      <c r="DZ18" s="102">
        <v>2932844</v>
      </c>
      <c r="EA18" s="74">
        <v>0</v>
      </c>
      <c r="EB18" s="102">
        <v>2539318</v>
      </c>
      <c r="EC18" s="102">
        <v>0</v>
      </c>
      <c r="ED18" s="102">
        <v>92761488</v>
      </c>
      <c r="EE18" s="71"/>
      <c r="EF18" s="102">
        <v>907320</v>
      </c>
      <c r="EG18" s="102">
        <v>282250</v>
      </c>
      <c r="EH18" s="102">
        <v>625070</v>
      </c>
      <c r="EI18" s="102">
        <v>-364536</v>
      </c>
      <c r="EJ18" s="102">
        <v>388331</v>
      </c>
      <c r="EK18" s="71"/>
      <c r="EL18" s="102"/>
      <c r="EM18" s="102">
        <v>264380</v>
      </c>
      <c r="EN18" s="102">
        <v>0</v>
      </c>
      <c r="EO18" s="102">
        <v>105127</v>
      </c>
      <c r="EP18" s="73">
        <f t="shared" si="11"/>
        <v>2106135</v>
      </c>
      <c r="EQ18" s="102">
        <v>53561003</v>
      </c>
      <c r="ER18" s="71">
        <v>-6988773</v>
      </c>
      <c r="ES18" s="102">
        <v>14829145</v>
      </c>
      <c r="ET18" s="102">
        <v>9660495</v>
      </c>
      <c r="EU18" s="102">
        <v>8418488</v>
      </c>
      <c r="EV18" s="102">
        <v>8709062</v>
      </c>
      <c r="EW18" s="73">
        <f t="shared" si="12"/>
        <v>2276129</v>
      </c>
      <c r="EX18" s="102">
        <v>2276129</v>
      </c>
      <c r="EY18" s="102">
        <v>158274</v>
      </c>
      <c r="EZ18" s="102">
        <v>2082182</v>
      </c>
      <c r="FA18" s="102">
        <v>0</v>
      </c>
      <c r="FB18" s="102">
        <v>0</v>
      </c>
      <c r="FC18" s="102">
        <v>8270612</v>
      </c>
      <c r="FD18" s="102">
        <v>3235681</v>
      </c>
      <c r="FE18" s="102">
        <v>38640</v>
      </c>
      <c r="FF18" s="102">
        <v>12260275</v>
      </c>
      <c r="FG18" s="73">
        <f t="shared" si="13"/>
        <v>1643064</v>
      </c>
      <c r="FH18" s="102">
        <v>59642456</v>
      </c>
      <c r="FI18" s="379">
        <f t="shared" si="14"/>
        <v>1.2</v>
      </c>
      <c r="FJ18" s="102">
        <v>48160052</v>
      </c>
      <c r="FK18" s="102">
        <v>4867828</v>
      </c>
      <c r="FL18" s="102">
        <v>28983047</v>
      </c>
      <c r="FM18" s="102">
        <v>39535552</v>
      </c>
      <c r="FN18" s="428">
        <v>0.75700000000000001</v>
      </c>
      <c r="FO18" s="424">
        <v>95.6</v>
      </c>
      <c r="FP18" s="425">
        <v>26.5</v>
      </c>
      <c r="FQ18" s="424">
        <v>15.4</v>
      </c>
      <c r="FR18" s="424">
        <v>15.5</v>
      </c>
      <c r="FS18" s="425">
        <v>13.3</v>
      </c>
      <c r="FT18" s="424">
        <v>4.8</v>
      </c>
      <c r="FU18" s="425">
        <v>19.5</v>
      </c>
      <c r="FV18" s="384">
        <f t="shared" si="15"/>
        <v>6.7</v>
      </c>
      <c r="FW18" s="102">
        <v>78234790</v>
      </c>
      <c r="FX18" s="384">
        <f t="shared" si="16"/>
        <v>147.5</v>
      </c>
      <c r="FY18" s="102">
        <v>9995702</v>
      </c>
      <c r="FZ18" s="102">
        <v>5554007</v>
      </c>
      <c r="GA18" s="102">
        <v>0</v>
      </c>
      <c r="GB18" s="102">
        <v>4441695</v>
      </c>
      <c r="GC18" s="102">
        <v>0</v>
      </c>
      <c r="GD18" s="454">
        <v>5799488</v>
      </c>
      <c r="GE18" s="386">
        <f t="shared" si="20"/>
        <v>10.9</v>
      </c>
      <c r="GF18" s="424">
        <v>98.762345431341501</v>
      </c>
      <c r="GG18" s="424">
        <v>31.082815536722968</v>
      </c>
      <c r="GH18" s="424">
        <v>96.289208358810626</v>
      </c>
      <c r="GI18" s="102">
        <v>1595</v>
      </c>
      <c r="GJ18" s="429" t="s">
        <v>646</v>
      </c>
      <c r="GK18" s="429">
        <v>11.25</v>
      </c>
      <c r="GL18" s="87">
        <v>20</v>
      </c>
      <c r="GM18" s="429" t="s">
        <v>646</v>
      </c>
      <c r="GN18" s="430">
        <v>16.25</v>
      </c>
      <c r="GO18" s="430">
        <v>30</v>
      </c>
      <c r="GP18" s="425">
        <v>6.7</v>
      </c>
      <c r="GQ18" s="425">
        <v>25</v>
      </c>
      <c r="GR18" s="425">
        <v>35</v>
      </c>
      <c r="GS18" s="431">
        <v>53.9</v>
      </c>
      <c r="GT18" s="425">
        <v>350</v>
      </c>
      <c r="GU18" s="394"/>
      <c r="GV18" s="100">
        <f t="shared" si="17"/>
        <v>53028</v>
      </c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</row>
    <row r="19" spans="2:230" x14ac:dyDescent="0.15">
      <c r="B19" s="89" t="s">
        <v>27</v>
      </c>
      <c r="C19" s="102">
        <v>19002446</v>
      </c>
      <c r="D19" s="73">
        <f t="shared" si="0"/>
        <v>4200604</v>
      </c>
      <c r="E19" s="102">
        <v>130733</v>
      </c>
      <c r="F19" s="102">
        <v>4069871</v>
      </c>
      <c r="G19" s="73">
        <f t="shared" si="1"/>
        <v>1373370</v>
      </c>
      <c r="H19" s="102">
        <v>419065</v>
      </c>
      <c r="I19" s="102">
        <v>954305</v>
      </c>
      <c r="J19" s="102">
        <v>9641275</v>
      </c>
      <c r="K19" s="102">
        <v>2980453</v>
      </c>
      <c r="L19" s="102">
        <v>3968491</v>
      </c>
      <c r="M19" s="102">
        <v>2252355</v>
      </c>
      <c r="N19" s="102">
        <v>2132203</v>
      </c>
      <c r="O19" s="102">
        <v>1488336</v>
      </c>
      <c r="P19" s="102">
        <v>662602</v>
      </c>
      <c r="Q19" s="102">
        <v>825734</v>
      </c>
      <c r="R19" s="102">
        <v>221028</v>
      </c>
      <c r="S19" s="74"/>
      <c r="T19" s="73">
        <f t="shared" si="2"/>
        <v>1269403</v>
      </c>
      <c r="U19" s="102">
        <v>50786</v>
      </c>
      <c r="V19" s="102">
        <v>32977</v>
      </c>
      <c r="W19" s="102">
        <v>7372</v>
      </c>
      <c r="X19" s="102">
        <v>1041450</v>
      </c>
      <c r="Y19" s="102">
        <v>60467</v>
      </c>
      <c r="Z19" s="102">
        <v>0</v>
      </c>
      <c r="AA19" s="102">
        <v>76351</v>
      </c>
      <c r="AB19" s="102">
        <v>214694</v>
      </c>
      <c r="AC19" s="102">
        <v>1899928</v>
      </c>
      <c r="AD19" s="102">
        <v>1149203</v>
      </c>
      <c r="AE19" s="102">
        <v>750719</v>
      </c>
      <c r="AF19" s="102">
        <v>19767</v>
      </c>
      <c r="AG19" s="102">
        <v>904780</v>
      </c>
      <c r="AH19" s="73">
        <f t="shared" si="3"/>
        <v>965148</v>
      </c>
      <c r="AI19" s="102">
        <v>673720</v>
      </c>
      <c r="AJ19" s="102">
        <v>291428</v>
      </c>
      <c r="AK19" s="102">
        <v>5864085</v>
      </c>
      <c r="AL19" s="73">
        <f t="shared" si="4"/>
        <v>3414871</v>
      </c>
      <c r="AM19" s="102">
        <v>2523273</v>
      </c>
      <c r="AN19" s="102">
        <v>434657</v>
      </c>
      <c r="AO19" s="74"/>
      <c r="AP19" s="102">
        <v>456941</v>
      </c>
      <c r="AQ19" s="102">
        <v>367675</v>
      </c>
      <c r="AR19" s="102">
        <v>0</v>
      </c>
      <c r="AS19" s="102">
        <v>0</v>
      </c>
      <c r="AT19" s="102">
        <v>2417520</v>
      </c>
      <c r="AU19" s="102">
        <v>1342370</v>
      </c>
      <c r="AV19" s="102">
        <v>217329</v>
      </c>
      <c r="AW19" s="102">
        <v>20600</v>
      </c>
      <c r="AX19" s="102">
        <v>1075150</v>
      </c>
      <c r="AY19" s="102">
        <v>0</v>
      </c>
      <c r="AZ19" s="102">
        <v>55317</v>
      </c>
      <c r="BA19" s="102">
        <v>40265</v>
      </c>
      <c r="BB19" s="102">
        <v>59201</v>
      </c>
      <c r="BC19" s="102">
        <v>794814</v>
      </c>
      <c r="BD19" s="102">
        <v>749344</v>
      </c>
      <c r="BE19" s="102">
        <v>0</v>
      </c>
      <c r="BF19" s="102">
        <v>45470</v>
      </c>
      <c r="BG19" s="102">
        <v>0</v>
      </c>
      <c r="BH19" s="102">
        <v>0</v>
      </c>
      <c r="BI19" s="102">
        <v>0</v>
      </c>
      <c r="BJ19" s="102">
        <v>951898</v>
      </c>
      <c r="BK19" s="102">
        <v>21200</v>
      </c>
      <c r="BL19" s="102">
        <v>0</v>
      </c>
      <c r="BM19" s="102">
        <v>34079</v>
      </c>
      <c r="BN19" s="102">
        <v>4247100</v>
      </c>
      <c r="BO19" s="73">
        <f t="shared" si="5"/>
        <v>2506200</v>
      </c>
      <c r="BP19" s="73">
        <f t="shared" si="6"/>
        <v>1477300</v>
      </c>
      <c r="BQ19" s="102">
        <v>0</v>
      </c>
      <c r="BR19" s="102">
        <v>0</v>
      </c>
      <c r="BS19" s="102">
        <v>1477300</v>
      </c>
      <c r="BT19" s="102">
        <v>263600</v>
      </c>
      <c r="BU19" s="102">
        <v>38887129</v>
      </c>
      <c r="BV19" s="71"/>
      <c r="BW19" s="102">
        <v>6958572</v>
      </c>
      <c r="BX19" s="102">
        <v>4233601</v>
      </c>
      <c r="BY19" s="102">
        <v>632150</v>
      </c>
      <c r="BZ19" s="102">
        <v>613296</v>
      </c>
      <c r="CA19" s="102">
        <v>9076772</v>
      </c>
      <c r="CB19" s="102">
        <v>1270207</v>
      </c>
      <c r="CC19" s="102">
        <v>149480</v>
      </c>
      <c r="CD19" s="102">
        <v>4455923</v>
      </c>
      <c r="CE19" s="102">
        <v>3112684</v>
      </c>
      <c r="CF19" s="102">
        <v>4358</v>
      </c>
      <c r="CG19" s="102">
        <v>84120</v>
      </c>
      <c r="CH19" s="102">
        <v>6643124</v>
      </c>
      <c r="CI19" s="102">
        <v>4931862</v>
      </c>
      <c r="CJ19" s="83">
        <f t="shared" si="19"/>
        <v>1711262</v>
      </c>
      <c r="CK19" s="102">
        <v>3924300</v>
      </c>
      <c r="CL19" s="102">
        <v>2848478</v>
      </c>
      <c r="CM19" s="102">
        <v>163186</v>
      </c>
      <c r="CN19" s="102">
        <v>567855</v>
      </c>
      <c r="CO19" s="102">
        <v>183215</v>
      </c>
      <c r="CP19" s="102">
        <v>3743985</v>
      </c>
      <c r="CQ19" s="102">
        <v>955415</v>
      </c>
      <c r="CR19" s="102">
        <v>1520928</v>
      </c>
      <c r="CS19" s="102">
        <v>1075970</v>
      </c>
      <c r="CT19" s="73">
        <f t="shared" si="7"/>
        <v>7493</v>
      </c>
      <c r="CU19" s="102">
        <v>7493</v>
      </c>
      <c r="CV19" s="102">
        <v>0</v>
      </c>
      <c r="CW19" s="73">
        <f t="shared" si="8"/>
        <v>0</v>
      </c>
      <c r="CX19" s="102">
        <v>0</v>
      </c>
      <c r="CY19" s="102">
        <v>0</v>
      </c>
      <c r="CZ19" s="73">
        <f t="shared" si="9"/>
        <v>0</v>
      </c>
      <c r="DA19" s="102">
        <v>0</v>
      </c>
      <c r="DB19" s="102">
        <v>0</v>
      </c>
      <c r="DC19" s="102">
        <v>2335692</v>
      </c>
      <c r="DD19" s="102">
        <v>776000</v>
      </c>
      <c r="DE19" s="102">
        <v>1558303</v>
      </c>
      <c r="DF19" s="77">
        <v>1389</v>
      </c>
      <c r="DG19" s="78">
        <v>0</v>
      </c>
      <c r="DH19" s="102">
        <v>2024</v>
      </c>
      <c r="DI19" s="102">
        <v>967977</v>
      </c>
      <c r="DJ19" s="102">
        <v>301042</v>
      </c>
      <c r="DK19" s="102">
        <v>0</v>
      </c>
      <c r="DL19" s="102">
        <v>666935</v>
      </c>
      <c r="DM19" s="102">
        <v>3000</v>
      </c>
      <c r="DN19" s="102">
        <v>0</v>
      </c>
      <c r="DO19" s="102">
        <v>0</v>
      </c>
      <c r="DP19" s="102">
        <v>0</v>
      </c>
      <c r="DQ19" s="102">
        <v>485000</v>
      </c>
      <c r="DR19" s="102">
        <v>0</v>
      </c>
      <c r="DS19" s="102">
        <v>0</v>
      </c>
      <c r="DT19" s="102">
        <v>4357113</v>
      </c>
      <c r="DU19" s="102">
        <v>1470618</v>
      </c>
      <c r="DV19" s="73">
        <f t="shared" si="10"/>
        <v>0</v>
      </c>
      <c r="DW19" s="102">
        <v>0</v>
      </c>
      <c r="DX19" s="102">
        <v>1133263</v>
      </c>
      <c r="DY19" s="102">
        <v>0</v>
      </c>
      <c r="DZ19" s="102">
        <v>779525</v>
      </c>
      <c r="EA19" s="74">
        <v>0</v>
      </c>
      <c r="EB19" s="102">
        <v>973538</v>
      </c>
      <c r="EC19" s="102">
        <v>612769</v>
      </c>
      <c r="ED19" s="102">
        <v>39293543</v>
      </c>
      <c r="EE19" s="71"/>
      <c r="EF19" s="102">
        <v>-406414</v>
      </c>
      <c r="EG19" s="102">
        <v>1228</v>
      </c>
      <c r="EH19" s="102">
        <v>-407642</v>
      </c>
      <c r="EI19" s="102">
        <v>218619</v>
      </c>
      <c r="EJ19" s="102">
        <v>-229683</v>
      </c>
      <c r="EK19" s="71"/>
      <c r="EL19" s="102"/>
      <c r="EM19" s="102">
        <v>101364</v>
      </c>
      <c r="EN19" s="102">
        <v>779344</v>
      </c>
      <c r="EO19" s="102">
        <v>54656</v>
      </c>
      <c r="EP19" s="73">
        <f t="shared" si="11"/>
        <v>359413</v>
      </c>
      <c r="EQ19" s="102">
        <v>22627266</v>
      </c>
      <c r="ER19" s="71">
        <v>-2650946</v>
      </c>
      <c r="ES19" s="102">
        <v>5851466</v>
      </c>
      <c r="ET19" s="102">
        <v>3476575</v>
      </c>
      <c r="EU19" s="102">
        <v>2295463</v>
      </c>
      <c r="EV19" s="102">
        <v>6411128</v>
      </c>
      <c r="EW19" s="73">
        <f t="shared" si="12"/>
        <v>221312</v>
      </c>
      <c r="EX19" s="102">
        <v>220888</v>
      </c>
      <c r="EY19" s="102">
        <v>6244</v>
      </c>
      <c r="EZ19" s="102">
        <v>214644</v>
      </c>
      <c r="FA19" s="102">
        <v>424</v>
      </c>
      <c r="FB19" s="102">
        <v>0</v>
      </c>
      <c r="FC19" s="102">
        <v>2789225</v>
      </c>
      <c r="FD19" s="102">
        <v>3209482</v>
      </c>
      <c r="FE19" s="102">
        <v>651415</v>
      </c>
      <c r="FF19" s="102">
        <v>3791543</v>
      </c>
      <c r="FG19" s="73">
        <f t="shared" si="13"/>
        <v>1115007</v>
      </c>
      <c r="FH19" s="102">
        <v>25684626</v>
      </c>
      <c r="FI19" s="379">
        <f t="shared" si="14"/>
        <v>-1.9</v>
      </c>
      <c r="FJ19" s="102">
        <v>20069648</v>
      </c>
      <c r="FK19" s="102">
        <v>1477441</v>
      </c>
      <c r="FL19" s="102">
        <v>14514753</v>
      </c>
      <c r="FM19" s="102">
        <v>15663059</v>
      </c>
      <c r="FN19" s="428">
        <v>0.96499999999999997</v>
      </c>
      <c r="FO19" s="424">
        <v>103.6</v>
      </c>
      <c r="FP19" s="425">
        <v>25.3</v>
      </c>
      <c r="FQ19" s="424">
        <v>10.4</v>
      </c>
      <c r="FR19" s="424">
        <v>29.1</v>
      </c>
      <c r="FS19" s="425">
        <v>11.6</v>
      </c>
      <c r="FT19" s="424">
        <v>9.8000000000000007</v>
      </c>
      <c r="FU19" s="425">
        <v>16.600000000000001</v>
      </c>
      <c r="FV19" s="384">
        <f t="shared" si="15"/>
        <v>21.2</v>
      </c>
      <c r="FW19" s="102">
        <v>82008207</v>
      </c>
      <c r="FX19" s="384">
        <f t="shared" si="16"/>
        <v>380.6</v>
      </c>
      <c r="FY19" s="102">
        <v>3237185</v>
      </c>
      <c r="FZ19" s="102">
        <v>322987</v>
      </c>
      <c r="GA19" s="102">
        <v>501</v>
      </c>
      <c r="GB19" s="102">
        <v>2913697</v>
      </c>
      <c r="GC19" s="102">
        <v>100000</v>
      </c>
      <c r="GD19" s="454">
        <v>6228147</v>
      </c>
      <c r="GE19" s="386">
        <f t="shared" si="20"/>
        <v>28.9</v>
      </c>
      <c r="GF19" s="424">
        <v>99.102769298387329</v>
      </c>
      <c r="GG19" s="424">
        <v>32.665986023062743</v>
      </c>
      <c r="GH19" s="424">
        <v>96.961134254342142</v>
      </c>
      <c r="GI19" s="102">
        <v>708</v>
      </c>
      <c r="GJ19" s="429">
        <v>1.89</v>
      </c>
      <c r="GK19" s="429">
        <v>12.35</v>
      </c>
      <c r="GL19" s="87">
        <v>20</v>
      </c>
      <c r="GM19" s="429" t="s">
        <v>646</v>
      </c>
      <c r="GN19" s="430">
        <v>17.350000000000001</v>
      </c>
      <c r="GO19" s="430">
        <v>30</v>
      </c>
      <c r="GP19" s="425">
        <v>21.2</v>
      </c>
      <c r="GQ19" s="425">
        <v>25</v>
      </c>
      <c r="GR19" s="425">
        <v>35</v>
      </c>
      <c r="GS19" s="431">
        <v>364.9</v>
      </c>
      <c r="GT19" s="425">
        <v>350</v>
      </c>
      <c r="GU19" s="394"/>
      <c r="GV19" s="100">
        <f t="shared" si="17"/>
        <v>21547</v>
      </c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</row>
    <row r="20" spans="2:230" x14ac:dyDescent="0.15">
      <c r="B20" s="89" t="s">
        <v>29</v>
      </c>
      <c r="C20" s="102">
        <v>13591060</v>
      </c>
      <c r="D20" s="73">
        <f t="shared" si="0"/>
        <v>5919433</v>
      </c>
      <c r="E20" s="102">
        <v>150813</v>
      </c>
      <c r="F20" s="102">
        <v>5768620</v>
      </c>
      <c r="G20" s="73">
        <f t="shared" si="1"/>
        <v>647938</v>
      </c>
      <c r="H20" s="102">
        <v>189682</v>
      </c>
      <c r="I20" s="102">
        <v>458256</v>
      </c>
      <c r="J20" s="102">
        <v>5281658</v>
      </c>
      <c r="K20" s="102">
        <v>2091791</v>
      </c>
      <c r="L20" s="102">
        <v>2515055</v>
      </c>
      <c r="M20" s="102">
        <v>568437</v>
      </c>
      <c r="N20" s="102">
        <v>572759</v>
      </c>
      <c r="O20" s="102">
        <v>1021750</v>
      </c>
      <c r="P20" s="102">
        <v>547086</v>
      </c>
      <c r="Q20" s="102">
        <v>474664</v>
      </c>
      <c r="R20" s="102">
        <v>232864</v>
      </c>
      <c r="S20" s="74"/>
      <c r="T20" s="73">
        <f t="shared" si="2"/>
        <v>1275456</v>
      </c>
      <c r="U20" s="102">
        <v>73418</v>
      </c>
      <c r="V20" s="102">
        <v>47589</v>
      </c>
      <c r="W20" s="102">
        <v>10568</v>
      </c>
      <c r="X20" s="102">
        <v>1007240</v>
      </c>
      <c r="Y20" s="102">
        <v>46361</v>
      </c>
      <c r="Z20" s="102">
        <v>0</v>
      </c>
      <c r="AA20" s="102">
        <v>90280</v>
      </c>
      <c r="AB20" s="102">
        <v>174199</v>
      </c>
      <c r="AC20" s="102">
        <v>6652713</v>
      </c>
      <c r="AD20" s="102">
        <v>6410867</v>
      </c>
      <c r="AE20" s="102">
        <v>241838</v>
      </c>
      <c r="AF20" s="102">
        <v>22002</v>
      </c>
      <c r="AG20" s="102">
        <v>495487</v>
      </c>
      <c r="AH20" s="73">
        <f t="shared" si="3"/>
        <v>921730</v>
      </c>
      <c r="AI20" s="102">
        <v>658309</v>
      </c>
      <c r="AJ20" s="102">
        <v>263421</v>
      </c>
      <c r="AK20" s="102">
        <v>6595497</v>
      </c>
      <c r="AL20" s="73">
        <f t="shared" si="4"/>
        <v>4046406</v>
      </c>
      <c r="AM20" s="102">
        <v>3276012</v>
      </c>
      <c r="AN20" s="102">
        <v>256596</v>
      </c>
      <c r="AO20" s="74"/>
      <c r="AP20" s="102">
        <v>513798</v>
      </c>
      <c r="AQ20" s="102">
        <v>222146</v>
      </c>
      <c r="AR20" s="102">
        <v>0</v>
      </c>
      <c r="AS20" s="102">
        <v>0</v>
      </c>
      <c r="AT20" s="102">
        <v>2516940</v>
      </c>
      <c r="AU20" s="102">
        <v>1329477</v>
      </c>
      <c r="AV20" s="102">
        <v>158681</v>
      </c>
      <c r="AW20" s="102">
        <v>223979</v>
      </c>
      <c r="AX20" s="102">
        <v>1187463</v>
      </c>
      <c r="AY20" s="102">
        <v>93741</v>
      </c>
      <c r="AZ20" s="102">
        <v>21664</v>
      </c>
      <c r="BA20" s="102">
        <v>4680</v>
      </c>
      <c r="BB20" s="102">
        <v>17748</v>
      </c>
      <c r="BC20" s="102">
        <v>413454</v>
      </c>
      <c r="BD20" s="102">
        <v>99658</v>
      </c>
      <c r="BE20" s="102">
        <v>0</v>
      </c>
      <c r="BF20" s="102">
        <v>313796</v>
      </c>
      <c r="BG20" s="102">
        <v>0</v>
      </c>
      <c r="BH20" s="102">
        <v>624097</v>
      </c>
      <c r="BI20" s="102">
        <v>546842</v>
      </c>
      <c r="BJ20" s="102">
        <v>1863730</v>
      </c>
      <c r="BK20" s="102">
        <v>1550660</v>
      </c>
      <c r="BL20" s="102">
        <v>0</v>
      </c>
      <c r="BM20" s="102">
        <v>21911</v>
      </c>
      <c r="BN20" s="102">
        <v>2008700</v>
      </c>
      <c r="BO20" s="73">
        <f t="shared" si="5"/>
        <v>508700</v>
      </c>
      <c r="BP20" s="73">
        <f t="shared" si="6"/>
        <v>1500000</v>
      </c>
      <c r="BQ20" s="102">
        <v>0</v>
      </c>
      <c r="BR20" s="102">
        <v>0</v>
      </c>
      <c r="BS20" s="102">
        <v>1500000</v>
      </c>
      <c r="BT20" s="102">
        <v>0</v>
      </c>
      <c r="BU20" s="102">
        <v>37427341</v>
      </c>
      <c r="BV20" s="71"/>
      <c r="BW20" s="102">
        <v>7109535</v>
      </c>
      <c r="BX20" s="102">
        <v>4634001</v>
      </c>
      <c r="BY20" s="102">
        <v>820169</v>
      </c>
      <c r="BZ20" s="102">
        <v>277927</v>
      </c>
      <c r="CA20" s="102">
        <v>10723792</v>
      </c>
      <c r="CB20" s="102">
        <v>1611097</v>
      </c>
      <c r="CC20" s="102">
        <v>210157</v>
      </c>
      <c r="CD20" s="102">
        <v>4356697</v>
      </c>
      <c r="CE20" s="102">
        <v>4385710</v>
      </c>
      <c r="CF20" s="102">
        <v>4689</v>
      </c>
      <c r="CG20" s="102">
        <v>155442</v>
      </c>
      <c r="CH20" s="102">
        <v>2242824</v>
      </c>
      <c r="CI20" s="102">
        <v>1859432</v>
      </c>
      <c r="CJ20" s="83">
        <f t="shared" si="19"/>
        <v>383392</v>
      </c>
      <c r="CK20" s="102">
        <v>4825436</v>
      </c>
      <c r="CL20" s="102">
        <v>3174836</v>
      </c>
      <c r="CM20" s="102">
        <v>573925</v>
      </c>
      <c r="CN20" s="102">
        <v>588840</v>
      </c>
      <c r="CO20" s="102">
        <v>267050</v>
      </c>
      <c r="CP20" s="102">
        <v>2527930</v>
      </c>
      <c r="CQ20" s="102">
        <v>1183956</v>
      </c>
      <c r="CR20" s="102">
        <v>993451</v>
      </c>
      <c r="CS20" s="102">
        <v>733588</v>
      </c>
      <c r="CT20" s="73">
        <f t="shared" si="7"/>
        <v>3722</v>
      </c>
      <c r="CU20" s="102">
        <v>626</v>
      </c>
      <c r="CV20" s="102">
        <v>3096</v>
      </c>
      <c r="CW20" s="73">
        <f t="shared" si="8"/>
        <v>0</v>
      </c>
      <c r="CX20" s="102">
        <v>0</v>
      </c>
      <c r="CY20" s="102">
        <v>0</v>
      </c>
      <c r="CZ20" s="73">
        <f t="shared" si="9"/>
        <v>0</v>
      </c>
      <c r="DA20" s="102">
        <v>0</v>
      </c>
      <c r="DB20" s="102">
        <v>0</v>
      </c>
      <c r="DC20" s="102">
        <v>2254274</v>
      </c>
      <c r="DD20" s="102">
        <v>997783</v>
      </c>
      <c r="DE20" s="102">
        <v>1256491</v>
      </c>
      <c r="DF20" s="77">
        <v>0</v>
      </c>
      <c r="DG20" s="78">
        <v>0</v>
      </c>
      <c r="DH20" s="102">
        <v>9601</v>
      </c>
      <c r="DI20" s="102">
        <v>697253</v>
      </c>
      <c r="DJ20" s="102">
        <v>3948</v>
      </c>
      <c r="DK20" s="102">
        <v>0</v>
      </c>
      <c r="DL20" s="102">
        <v>693305</v>
      </c>
      <c r="DM20" s="102">
        <v>0</v>
      </c>
      <c r="DN20" s="102">
        <v>0</v>
      </c>
      <c r="DO20" s="102">
        <v>0</v>
      </c>
      <c r="DP20" s="102">
        <v>0</v>
      </c>
      <c r="DQ20" s="102">
        <v>1548385</v>
      </c>
      <c r="DR20" s="102">
        <v>0</v>
      </c>
      <c r="DS20" s="102">
        <v>0</v>
      </c>
      <c r="DT20" s="102">
        <v>4573045</v>
      </c>
      <c r="DU20" s="102">
        <v>1335251</v>
      </c>
      <c r="DV20" s="73">
        <f t="shared" si="10"/>
        <v>0</v>
      </c>
      <c r="DW20" s="102">
        <v>0</v>
      </c>
      <c r="DX20" s="102">
        <v>1155798</v>
      </c>
      <c r="DY20" s="102">
        <v>0</v>
      </c>
      <c r="DZ20" s="102">
        <v>974327</v>
      </c>
      <c r="EA20" s="74">
        <v>0</v>
      </c>
      <c r="EB20" s="102">
        <v>1105976</v>
      </c>
      <c r="EC20" s="102">
        <v>0</v>
      </c>
      <c r="ED20" s="102">
        <v>36779125</v>
      </c>
      <c r="EE20" s="71"/>
      <c r="EF20" s="102">
        <v>648216</v>
      </c>
      <c r="EG20" s="102">
        <v>99368</v>
      </c>
      <c r="EH20" s="102">
        <v>548848</v>
      </c>
      <c r="EI20" s="102">
        <v>2006</v>
      </c>
      <c r="EJ20" s="102">
        <v>5954</v>
      </c>
      <c r="EK20" s="71"/>
      <c r="EL20" s="102"/>
      <c r="EM20" s="102">
        <v>117689</v>
      </c>
      <c r="EN20" s="102">
        <v>227101</v>
      </c>
      <c r="EO20" s="102">
        <v>11432</v>
      </c>
      <c r="EP20" s="73">
        <f t="shared" si="11"/>
        <v>1019601</v>
      </c>
      <c r="EQ20" s="102">
        <v>21948294</v>
      </c>
      <c r="ER20" s="71">
        <v>-2736132</v>
      </c>
      <c r="ES20" s="102">
        <v>6425473</v>
      </c>
      <c r="ET20" s="102">
        <v>4009882</v>
      </c>
      <c r="EU20" s="102">
        <v>3429477</v>
      </c>
      <c r="EV20" s="102">
        <v>2179936</v>
      </c>
      <c r="EW20" s="73">
        <f t="shared" si="12"/>
        <v>1087958</v>
      </c>
      <c r="EX20" s="102">
        <v>1078357</v>
      </c>
      <c r="EY20" s="102">
        <v>160315</v>
      </c>
      <c r="EZ20" s="102">
        <v>918042</v>
      </c>
      <c r="FA20" s="102">
        <v>9601</v>
      </c>
      <c r="FB20" s="102">
        <v>0</v>
      </c>
      <c r="FC20" s="102">
        <v>3801223</v>
      </c>
      <c r="FD20" s="102">
        <v>2263041</v>
      </c>
      <c r="FE20" s="102">
        <v>1150630</v>
      </c>
      <c r="FF20" s="102">
        <v>3992694</v>
      </c>
      <c r="FG20" s="73">
        <f t="shared" si="13"/>
        <v>856408</v>
      </c>
      <c r="FH20" s="102">
        <v>24036210</v>
      </c>
      <c r="FI20" s="379">
        <f t="shared" si="14"/>
        <v>2.5</v>
      </c>
      <c r="FJ20" s="102">
        <v>20427711</v>
      </c>
      <c r="FK20" s="102">
        <v>1973426</v>
      </c>
      <c r="FL20" s="102">
        <v>10826310</v>
      </c>
      <c r="FM20" s="102">
        <v>17179336</v>
      </c>
      <c r="FN20" s="428">
        <v>0.65300000000000002</v>
      </c>
      <c r="FO20" s="424">
        <v>94.2</v>
      </c>
      <c r="FP20" s="425">
        <v>27.4</v>
      </c>
      <c r="FQ20" s="424">
        <v>15.4</v>
      </c>
      <c r="FR20" s="424">
        <v>9.3000000000000007</v>
      </c>
      <c r="FS20" s="425">
        <v>16.8</v>
      </c>
      <c r="FT20" s="424">
        <v>9.6</v>
      </c>
      <c r="FU20" s="425">
        <v>14.6</v>
      </c>
      <c r="FV20" s="384">
        <f t="shared" si="15"/>
        <v>1.7</v>
      </c>
      <c r="FW20" s="102">
        <v>24614476</v>
      </c>
      <c r="FX20" s="384">
        <f t="shared" si="16"/>
        <v>109.9</v>
      </c>
      <c r="FY20" s="102">
        <v>8735083</v>
      </c>
      <c r="FZ20" s="102">
        <v>3751037</v>
      </c>
      <c r="GA20" s="102">
        <v>0</v>
      </c>
      <c r="GB20" s="102">
        <v>4984046</v>
      </c>
      <c r="GC20" s="102">
        <v>0</v>
      </c>
      <c r="GD20" s="454">
        <v>627734</v>
      </c>
      <c r="GE20" s="386">
        <f t="shared" si="20"/>
        <v>2.8</v>
      </c>
      <c r="GF20" s="424">
        <v>97.927468433837973</v>
      </c>
      <c r="GG20" s="424">
        <v>22.325436314115731</v>
      </c>
      <c r="GH20" s="424">
        <v>92.515929333417205</v>
      </c>
      <c r="GI20" s="102">
        <v>779</v>
      </c>
      <c r="GJ20" s="429" t="s">
        <v>646</v>
      </c>
      <c r="GK20" s="429">
        <v>12.28</v>
      </c>
      <c r="GL20" s="87">
        <v>20</v>
      </c>
      <c r="GM20" s="429" t="s">
        <v>646</v>
      </c>
      <c r="GN20" s="430">
        <v>17.28</v>
      </c>
      <c r="GO20" s="430">
        <v>30</v>
      </c>
      <c r="GP20" s="425">
        <v>1.7</v>
      </c>
      <c r="GQ20" s="425">
        <v>25</v>
      </c>
      <c r="GR20" s="425">
        <v>35</v>
      </c>
      <c r="GS20" s="431" t="s">
        <v>646</v>
      </c>
      <c r="GT20" s="425">
        <v>350</v>
      </c>
      <c r="GU20" s="394"/>
      <c r="GV20" s="100">
        <f t="shared" si="17"/>
        <v>22401</v>
      </c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</row>
    <row r="21" spans="2:230" x14ac:dyDescent="0.15">
      <c r="B21" s="89" t="s">
        <v>31</v>
      </c>
      <c r="C21" s="102">
        <v>27966759</v>
      </c>
      <c r="D21" s="73">
        <f t="shared" si="0"/>
        <v>10537381</v>
      </c>
      <c r="E21" s="102">
        <v>303260</v>
      </c>
      <c r="F21" s="102">
        <v>10234121</v>
      </c>
      <c r="G21" s="73">
        <f t="shared" si="1"/>
        <v>1796530</v>
      </c>
      <c r="H21" s="102">
        <v>501063</v>
      </c>
      <c r="I21" s="102">
        <v>1295467</v>
      </c>
      <c r="J21" s="102">
        <v>11350460</v>
      </c>
      <c r="K21" s="102">
        <v>4953359</v>
      </c>
      <c r="L21" s="102">
        <v>5088882</v>
      </c>
      <c r="M21" s="102">
        <v>1038469</v>
      </c>
      <c r="N21" s="102">
        <v>1545002</v>
      </c>
      <c r="O21" s="102">
        <v>2540135</v>
      </c>
      <c r="P21" s="102">
        <v>1406852</v>
      </c>
      <c r="Q21" s="102">
        <v>1133283</v>
      </c>
      <c r="R21" s="102">
        <v>379395</v>
      </c>
      <c r="S21" s="74"/>
      <c r="T21" s="73">
        <f t="shared" si="2"/>
        <v>2373108</v>
      </c>
      <c r="U21" s="102">
        <v>132822</v>
      </c>
      <c r="V21" s="102">
        <v>86076</v>
      </c>
      <c r="W21" s="102">
        <v>19097</v>
      </c>
      <c r="X21" s="102">
        <v>1988038</v>
      </c>
      <c r="Y21" s="102">
        <v>0</v>
      </c>
      <c r="Z21" s="102">
        <v>0</v>
      </c>
      <c r="AA21" s="102">
        <v>147075</v>
      </c>
      <c r="AB21" s="102">
        <v>357232</v>
      </c>
      <c r="AC21" s="102">
        <v>11619388</v>
      </c>
      <c r="AD21" s="102">
        <v>11087244</v>
      </c>
      <c r="AE21" s="102">
        <v>532132</v>
      </c>
      <c r="AF21" s="102">
        <v>36699</v>
      </c>
      <c r="AG21" s="102">
        <v>702398</v>
      </c>
      <c r="AH21" s="73">
        <f t="shared" si="3"/>
        <v>1043671</v>
      </c>
      <c r="AI21" s="102">
        <v>769387</v>
      </c>
      <c r="AJ21" s="102">
        <v>274284</v>
      </c>
      <c r="AK21" s="102">
        <v>17370466</v>
      </c>
      <c r="AL21" s="73">
        <f t="shared" si="4"/>
        <v>11450977</v>
      </c>
      <c r="AM21" s="102">
        <v>8869124</v>
      </c>
      <c r="AN21" s="102">
        <v>1019927</v>
      </c>
      <c r="AO21" s="74"/>
      <c r="AP21" s="102">
        <v>1561926</v>
      </c>
      <c r="AQ21" s="102">
        <v>490561</v>
      </c>
      <c r="AR21" s="102">
        <v>0</v>
      </c>
      <c r="AS21" s="102">
        <v>0</v>
      </c>
      <c r="AT21" s="102">
        <v>5487787</v>
      </c>
      <c r="AU21" s="102">
        <v>3265580</v>
      </c>
      <c r="AV21" s="102">
        <v>509963</v>
      </c>
      <c r="AW21" s="102">
        <v>427420</v>
      </c>
      <c r="AX21" s="102">
        <v>2222207</v>
      </c>
      <c r="AY21" s="102">
        <v>14816</v>
      </c>
      <c r="AZ21" s="102">
        <v>309750</v>
      </c>
      <c r="BA21" s="102">
        <v>303538</v>
      </c>
      <c r="BB21" s="102">
        <v>26357</v>
      </c>
      <c r="BC21" s="102">
        <v>215823</v>
      </c>
      <c r="BD21" s="102">
        <v>0</v>
      </c>
      <c r="BE21" s="102">
        <v>20</v>
      </c>
      <c r="BF21" s="102">
        <v>215777</v>
      </c>
      <c r="BG21" s="102">
        <v>0</v>
      </c>
      <c r="BH21" s="102">
        <v>367521</v>
      </c>
      <c r="BI21" s="102">
        <v>350953</v>
      </c>
      <c r="BJ21" s="102">
        <v>750858</v>
      </c>
      <c r="BK21" s="102">
        <v>51436</v>
      </c>
      <c r="BL21" s="102">
        <v>0</v>
      </c>
      <c r="BM21" s="102">
        <v>41899</v>
      </c>
      <c r="BN21" s="102">
        <v>5587200</v>
      </c>
      <c r="BO21" s="73">
        <f t="shared" si="5"/>
        <v>1723500</v>
      </c>
      <c r="BP21" s="73">
        <f t="shared" si="6"/>
        <v>3863700</v>
      </c>
      <c r="BQ21" s="102">
        <v>0</v>
      </c>
      <c r="BR21" s="102">
        <v>0</v>
      </c>
      <c r="BS21" s="102">
        <v>3863700</v>
      </c>
      <c r="BT21" s="102">
        <v>0</v>
      </c>
      <c r="BU21" s="102">
        <v>74594412</v>
      </c>
      <c r="BV21" s="71"/>
      <c r="BW21" s="102">
        <v>12967749</v>
      </c>
      <c r="BX21" s="102">
        <v>8322500</v>
      </c>
      <c r="BY21" s="102">
        <v>2097024</v>
      </c>
      <c r="BZ21" s="102">
        <v>273131</v>
      </c>
      <c r="CA21" s="102">
        <v>26038516</v>
      </c>
      <c r="CB21" s="102">
        <v>3938140</v>
      </c>
      <c r="CC21" s="102">
        <v>357123</v>
      </c>
      <c r="CD21" s="102">
        <v>9698504</v>
      </c>
      <c r="CE21" s="102">
        <v>11667084</v>
      </c>
      <c r="CF21" s="102">
        <v>51099</v>
      </c>
      <c r="CG21" s="102">
        <v>314033</v>
      </c>
      <c r="CH21" s="102">
        <v>7218521</v>
      </c>
      <c r="CI21" s="102">
        <v>6113157</v>
      </c>
      <c r="CJ21" s="83">
        <f t="shared" si="19"/>
        <v>1105364</v>
      </c>
      <c r="CK21" s="102">
        <v>6829810</v>
      </c>
      <c r="CL21" s="102">
        <v>3283746</v>
      </c>
      <c r="CM21" s="102">
        <v>770080</v>
      </c>
      <c r="CN21" s="102">
        <v>1601674</v>
      </c>
      <c r="CO21" s="102">
        <v>284020</v>
      </c>
      <c r="CP21" s="102">
        <v>5386460</v>
      </c>
      <c r="CQ21" s="102">
        <v>2996307</v>
      </c>
      <c r="CR21" s="102">
        <v>1469824</v>
      </c>
      <c r="CS21" s="102">
        <v>1205688</v>
      </c>
      <c r="CT21" s="73">
        <f t="shared" si="7"/>
        <v>12272</v>
      </c>
      <c r="CU21" s="102">
        <v>12272</v>
      </c>
      <c r="CV21" s="102">
        <v>0</v>
      </c>
      <c r="CW21" s="73">
        <f t="shared" si="8"/>
        <v>0</v>
      </c>
      <c r="CX21" s="102">
        <v>0</v>
      </c>
      <c r="CY21" s="102">
        <v>0</v>
      </c>
      <c r="CZ21" s="73">
        <f t="shared" si="9"/>
        <v>0</v>
      </c>
      <c r="DA21" s="102">
        <v>0</v>
      </c>
      <c r="DB21" s="102">
        <v>0</v>
      </c>
      <c r="DC21" s="102">
        <v>4576792</v>
      </c>
      <c r="DD21" s="102">
        <v>2660341</v>
      </c>
      <c r="DE21" s="102">
        <v>1915916</v>
      </c>
      <c r="DF21" s="77">
        <v>0</v>
      </c>
      <c r="DG21" s="78">
        <v>535</v>
      </c>
      <c r="DH21" s="102">
        <v>0</v>
      </c>
      <c r="DI21" s="102">
        <v>1686176</v>
      </c>
      <c r="DJ21" s="102">
        <v>1180504</v>
      </c>
      <c r="DK21" s="102">
        <v>120011</v>
      </c>
      <c r="DL21" s="102">
        <v>385661</v>
      </c>
      <c r="DM21" s="102">
        <v>0</v>
      </c>
      <c r="DN21" s="102">
        <v>0</v>
      </c>
      <c r="DO21" s="102">
        <v>0</v>
      </c>
      <c r="DP21" s="102">
        <v>0</v>
      </c>
      <c r="DQ21" s="102">
        <v>16554</v>
      </c>
      <c r="DR21" s="102">
        <v>0</v>
      </c>
      <c r="DS21" s="102">
        <v>0</v>
      </c>
      <c r="DT21" s="102">
        <v>8650791</v>
      </c>
      <c r="DU21" s="102">
        <v>1793146</v>
      </c>
      <c r="DV21" s="73">
        <f t="shared" si="10"/>
        <v>0</v>
      </c>
      <c r="DW21" s="102">
        <v>0</v>
      </c>
      <c r="DX21" s="102">
        <v>2033021</v>
      </c>
      <c r="DY21" s="102">
        <v>0</v>
      </c>
      <c r="DZ21" s="102">
        <v>2852895</v>
      </c>
      <c r="EA21" s="74">
        <v>0</v>
      </c>
      <c r="EB21" s="102">
        <v>1971729</v>
      </c>
      <c r="EC21" s="102">
        <v>0</v>
      </c>
      <c r="ED21" s="102">
        <v>73655389</v>
      </c>
      <c r="EE21" s="71"/>
      <c r="EF21" s="102">
        <v>939023</v>
      </c>
      <c r="EG21" s="102">
        <v>425080</v>
      </c>
      <c r="EH21" s="102">
        <v>513943</v>
      </c>
      <c r="EI21" s="102">
        <v>162990</v>
      </c>
      <c r="EJ21" s="102">
        <v>1343494</v>
      </c>
      <c r="EK21" s="71"/>
      <c r="EL21" s="102"/>
      <c r="EM21" s="102">
        <v>239906</v>
      </c>
      <c r="EN21" s="102">
        <v>46</v>
      </c>
      <c r="EO21" s="102">
        <v>303538</v>
      </c>
      <c r="EP21" s="73">
        <f t="shared" si="11"/>
        <v>1144388</v>
      </c>
      <c r="EQ21" s="102">
        <v>42732581</v>
      </c>
      <c r="ER21" s="71">
        <v>-5274973</v>
      </c>
      <c r="ES21" s="102">
        <v>11922901</v>
      </c>
      <c r="ET21" s="102">
        <v>7340356</v>
      </c>
      <c r="EU21" s="102">
        <v>7001573</v>
      </c>
      <c r="EV21" s="102">
        <v>7195083</v>
      </c>
      <c r="EW21" s="73">
        <f t="shared" si="12"/>
        <v>1280477</v>
      </c>
      <c r="EX21" s="102">
        <v>1280477</v>
      </c>
      <c r="EY21" s="102">
        <v>304500</v>
      </c>
      <c r="EZ21" s="102">
        <v>975977</v>
      </c>
      <c r="FA21" s="102">
        <v>0</v>
      </c>
      <c r="FB21" s="102">
        <v>0</v>
      </c>
      <c r="FC21" s="102">
        <v>5513269</v>
      </c>
      <c r="FD21" s="102">
        <v>4780097</v>
      </c>
      <c r="FE21" s="102">
        <v>2949371</v>
      </c>
      <c r="FF21" s="102">
        <v>7459150</v>
      </c>
      <c r="FG21" s="73">
        <f t="shared" si="13"/>
        <v>1915981</v>
      </c>
      <c r="FH21" s="102">
        <v>47068531</v>
      </c>
      <c r="FI21" s="379">
        <f t="shared" si="14"/>
        <v>1.2</v>
      </c>
      <c r="FJ21" s="102">
        <v>38817106</v>
      </c>
      <c r="FK21" s="102">
        <v>3863871</v>
      </c>
      <c r="FL21" s="102">
        <v>21550911</v>
      </c>
      <c r="FM21" s="102">
        <v>32638155</v>
      </c>
      <c r="FN21" s="428">
        <v>0.68100000000000005</v>
      </c>
      <c r="FO21" s="424">
        <v>94.3</v>
      </c>
      <c r="FP21" s="425">
        <v>25.6</v>
      </c>
      <c r="FQ21" s="424">
        <v>16</v>
      </c>
      <c r="FR21" s="424">
        <v>16.5</v>
      </c>
      <c r="FS21" s="425">
        <v>11.3</v>
      </c>
      <c r="FT21" s="424">
        <v>9.8000000000000007</v>
      </c>
      <c r="FU21" s="425">
        <v>14.5</v>
      </c>
      <c r="FV21" s="384">
        <f t="shared" si="15"/>
        <v>4.3</v>
      </c>
      <c r="FW21" s="102">
        <v>66387730</v>
      </c>
      <c r="FX21" s="384">
        <f t="shared" si="16"/>
        <v>155.5</v>
      </c>
      <c r="FY21" s="102">
        <v>7155907</v>
      </c>
      <c r="FZ21" s="102">
        <v>1789892</v>
      </c>
      <c r="GA21" s="102">
        <v>123265</v>
      </c>
      <c r="GB21" s="102">
        <v>5242750</v>
      </c>
      <c r="GC21" s="102">
        <v>0</v>
      </c>
      <c r="GD21" s="454">
        <v>2383038</v>
      </c>
      <c r="GE21" s="386">
        <f t="shared" si="20"/>
        <v>5.6</v>
      </c>
      <c r="GF21" s="424">
        <v>97.303793888645615</v>
      </c>
      <c r="GG21" s="424">
        <v>20.633213558208428</v>
      </c>
      <c r="GH21" s="424">
        <v>89.149878280534679</v>
      </c>
      <c r="GI21" s="102">
        <v>1186</v>
      </c>
      <c r="GJ21" s="429" t="s">
        <v>646</v>
      </c>
      <c r="GK21" s="429">
        <v>11.39</v>
      </c>
      <c r="GL21" s="87">
        <v>20</v>
      </c>
      <c r="GM21" s="429" t="s">
        <v>646</v>
      </c>
      <c r="GN21" s="430">
        <v>16.39</v>
      </c>
      <c r="GO21" s="430">
        <v>30</v>
      </c>
      <c r="GP21" s="425">
        <v>4.3</v>
      </c>
      <c r="GQ21" s="425">
        <v>25</v>
      </c>
      <c r="GR21" s="425">
        <v>35</v>
      </c>
      <c r="GS21" s="431">
        <v>7.4</v>
      </c>
      <c r="GT21" s="425">
        <v>350</v>
      </c>
      <c r="GU21" s="394"/>
      <c r="GV21" s="100">
        <f t="shared" si="17"/>
        <v>42681</v>
      </c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</row>
    <row r="22" spans="2:230" x14ac:dyDescent="0.15">
      <c r="B22" s="89" t="s">
        <v>33</v>
      </c>
      <c r="C22" s="102">
        <v>13078169</v>
      </c>
      <c r="D22" s="73">
        <f t="shared" si="0"/>
        <v>5920296</v>
      </c>
      <c r="E22" s="102">
        <v>150603</v>
      </c>
      <c r="F22" s="102">
        <v>5769693</v>
      </c>
      <c r="G22" s="73">
        <f t="shared" si="1"/>
        <v>730313</v>
      </c>
      <c r="H22" s="102">
        <v>198673</v>
      </c>
      <c r="I22" s="102">
        <v>531640</v>
      </c>
      <c r="J22" s="102">
        <v>4812212</v>
      </c>
      <c r="K22" s="102">
        <v>1791221</v>
      </c>
      <c r="L22" s="102">
        <v>2329085</v>
      </c>
      <c r="M22" s="102">
        <v>620506</v>
      </c>
      <c r="N22" s="102">
        <v>492827</v>
      </c>
      <c r="O22" s="102">
        <v>989531</v>
      </c>
      <c r="P22" s="102">
        <v>515501</v>
      </c>
      <c r="Q22" s="102">
        <v>474030</v>
      </c>
      <c r="R22" s="102">
        <v>256148</v>
      </c>
      <c r="S22" s="74"/>
      <c r="T22" s="73">
        <f t="shared" si="2"/>
        <v>1120166</v>
      </c>
      <c r="U22" s="102">
        <v>75820</v>
      </c>
      <c r="V22" s="102">
        <v>49111</v>
      </c>
      <c r="W22" s="102">
        <v>10875</v>
      </c>
      <c r="X22" s="102">
        <v>862819</v>
      </c>
      <c r="Y22" s="102">
        <v>22219</v>
      </c>
      <c r="Z22" s="102">
        <v>0</v>
      </c>
      <c r="AA22" s="102">
        <v>99322</v>
      </c>
      <c r="AB22" s="102">
        <v>163615</v>
      </c>
      <c r="AC22" s="102">
        <v>6213050</v>
      </c>
      <c r="AD22" s="102">
        <v>5965545</v>
      </c>
      <c r="AE22" s="102">
        <v>247497</v>
      </c>
      <c r="AF22" s="102">
        <v>19016</v>
      </c>
      <c r="AG22" s="102">
        <v>307878</v>
      </c>
      <c r="AH22" s="73">
        <f t="shared" si="3"/>
        <v>834770</v>
      </c>
      <c r="AI22" s="102">
        <v>524449</v>
      </c>
      <c r="AJ22" s="102">
        <v>310321</v>
      </c>
      <c r="AK22" s="102">
        <v>5331308</v>
      </c>
      <c r="AL22" s="73">
        <f t="shared" si="4"/>
        <v>3203195</v>
      </c>
      <c r="AM22" s="102">
        <v>2257480</v>
      </c>
      <c r="AN22" s="102">
        <v>374209</v>
      </c>
      <c r="AO22" s="74"/>
      <c r="AP22" s="102">
        <v>571506</v>
      </c>
      <c r="AQ22" s="102">
        <v>98424</v>
      </c>
      <c r="AR22" s="102">
        <v>0</v>
      </c>
      <c r="AS22" s="102">
        <v>0</v>
      </c>
      <c r="AT22" s="102">
        <v>2314472</v>
      </c>
      <c r="AU22" s="102">
        <v>1179448</v>
      </c>
      <c r="AV22" s="102">
        <v>187500</v>
      </c>
      <c r="AW22" s="102">
        <v>6488</v>
      </c>
      <c r="AX22" s="102">
        <v>1135024</v>
      </c>
      <c r="AY22" s="102">
        <v>94399</v>
      </c>
      <c r="AZ22" s="102">
        <v>104652</v>
      </c>
      <c r="BA22" s="102">
        <v>34988</v>
      </c>
      <c r="BB22" s="102">
        <v>4867</v>
      </c>
      <c r="BC22" s="102">
        <v>1832298</v>
      </c>
      <c r="BD22" s="102">
        <v>37856</v>
      </c>
      <c r="BE22" s="102">
        <v>1670000</v>
      </c>
      <c r="BF22" s="102">
        <v>103720</v>
      </c>
      <c r="BG22" s="102">
        <v>0</v>
      </c>
      <c r="BH22" s="102">
        <v>111958</v>
      </c>
      <c r="BI22" s="102">
        <v>13099</v>
      </c>
      <c r="BJ22" s="102">
        <v>355747</v>
      </c>
      <c r="BK22" s="102">
        <v>20593</v>
      </c>
      <c r="BL22" s="102">
        <v>0</v>
      </c>
      <c r="BM22" s="102">
        <v>0</v>
      </c>
      <c r="BN22" s="102">
        <v>2422100</v>
      </c>
      <c r="BO22" s="73">
        <f t="shared" si="5"/>
        <v>509200</v>
      </c>
      <c r="BP22" s="73">
        <f t="shared" si="6"/>
        <v>1912900</v>
      </c>
      <c r="BQ22" s="102">
        <v>0</v>
      </c>
      <c r="BR22" s="102">
        <v>0</v>
      </c>
      <c r="BS22" s="102">
        <v>1912900</v>
      </c>
      <c r="BT22" s="102">
        <v>0</v>
      </c>
      <c r="BU22" s="102">
        <v>34470214</v>
      </c>
      <c r="BV22" s="71"/>
      <c r="BW22" s="102">
        <v>6664694</v>
      </c>
      <c r="BX22" s="102">
        <v>3780855</v>
      </c>
      <c r="BY22" s="102">
        <v>751131</v>
      </c>
      <c r="BZ22" s="102">
        <v>880151</v>
      </c>
      <c r="CA22" s="102">
        <v>8308987</v>
      </c>
      <c r="CB22" s="102">
        <v>1671613</v>
      </c>
      <c r="CC22" s="102">
        <v>197008</v>
      </c>
      <c r="CD22" s="102">
        <v>3609497</v>
      </c>
      <c r="CE22" s="102">
        <v>2766151</v>
      </c>
      <c r="CF22" s="102">
        <v>190</v>
      </c>
      <c r="CG22" s="102">
        <v>64299</v>
      </c>
      <c r="CH22" s="102">
        <v>6102308</v>
      </c>
      <c r="CI22" s="102">
        <v>5551032</v>
      </c>
      <c r="CJ22" s="83">
        <f t="shared" si="19"/>
        <v>551276</v>
      </c>
      <c r="CK22" s="102">
        <v>4979409</v>
      </c>
      <c r="CL22" s="102">
        <v>3499471</v>
      </c>
      <c r="CM22" s="102">
        <v>185167</v>
      </c>
      <c r="CN22" s="102">
        <v>689224</v>
      </c>
      <c r="CO22" s="102">
        <v>371697</v>
      </c>
      <c r="CP22" s="102">
        <v>2272686</v>
      </c>
      <c r="CQ22" s="102">
        <v>800636</v>
      </c>
      <c r="CR22" s="102">
        <v>854223</v>
      </c>
      <c r="CS22" s="102">
        <v>624285</v>
      </c>
      <c r="CT22" s="73">
        <f t="shared" si="7"/>
        <v>120175</v>
      </c>
      <c r="CU22" s="102">
        <v>4469</v>
      </c>
      <c r="CV22" s="102">
        <v>115706</v>
      </c>
      <c r="CW22" s="73">
        <f t="shared" si="8"/>
        <v>0</v>
      </c>
      <c r="CX22" s="102">
        <v>0</v>
      </c>
      <c r="CY22" s="102">
        <v>0</v>
      </c>
      <c r="CZ22" s="73">
        <f t="shared" si="9"/>
        <v>0</v>
      </c>
      <c r="DA22" s="102">
        <v>0</v>
      </c>
      <c r="DB22" s="102">
        <v>0</v>
      </c>
      <c r="DC22" s="102">
        <v>1388080</v>
      </c>
      <c r="DD22" s="102">
        <v>320493</v>
      </c>
      <c r="DE22" s="102">
        <v>923742</v>
      </c>
      <c r="DF22" s="77">
        <v>143845</v>
      </c>
      <c r="DG22" s="78">
        <v>0</v>
      </c>
      <c r="DH22" s="102">
        <v>14776</v>
      </c>
      <c r="DI22" s="102">
        <v>79757</v>
      </c>
      <c r="DJ22" s="102">
        <v>51492</v>
      </c>
      <c r="DK22" s="102">
        <v>9000</v>
      </c>
      <c r="DL22" s="102">
        <v>19265</v>
      </c>
      <c r="DM22" s="102">
        <v>0</v>
      </c>
      <c r="DN22" s="102">
        <v>0</v>
      </c>
      <c r="DO22" s="102">
        <v>0</v>
      </c>
      <c r="DP22" s="102">
        <v>0</v>
      </c>
      <c r="DQ22" s="102">
        <v>20587</v>
      </c>
      <c r="DR22" s="102">
        <v>0</v>
      </c>
      <c r="DS22" s="102">
        <v>0</v>
      </c>
      <c r="DT22" s="102">
        <v>4145017</v>
      </c>
      <c r="DU22" s="102">
        <v>1030732</v>
      </c>
      <c r="DV22" s="73">
        <f t="shared" si="10"/>
        <v>0</v>
      </c>
      <c r="DW22" s="102">
        <v>0</v>
      </c>
      <c r="DX22" s="102">
        <v>1176561</v>
      </c>
      <c r="DY22" s="102">
        <v>0</v>
      </c>
      <c r="DZ22" s="102">
        <v>734746</v>
      </c>
      <c r="EA22" s="74">
        <v>0</v>
      </c>
      <c r="EB22" s="102">
        <v>1202978</v>
      </c>
      <c r="EC22" s="102">
        <v>0</v>
      </c>
      <c r="ED22" s="102">
        <v>34347998</v>
      </c>
      <c r="EE22" s="71"/>
      <c r="EF22" s="102">
        <v>122216</v>
      </c>
      <c r="EG22" s="102">
        <v>101144</v>
      </c>
      <c r="EH22" s="102">
        <v>21072</v>
      </c>
      <c r="EI22" s="102">
        <v>7973</v>
      </c>
      <c r="EJ22" s="102">
        <v>2367273</v>
      </c>
      <c r="EK22" s="71"/>
      <c r="EL22" s="102"/>
      <c r="EM22" s="102">
        <v>113397</v>
      </c>
      <c r="EN22" s="102">
        <v>1751556</v>
      </c>
      <c r="EO22" s="102">
        <v>50035</v>
      </c>
      <c r="EP22" s="73">
        <f t="shared" si="11"/>
        <v>484801</v>
      </c>
      <c r="EQ22" s="102">
        <v>20850164</v>
      </c>
      <c r="ER22" s="71">
        <v>-4180276</v>
      </c>
      <c r="ES22" s="102">
        <v>6097504</v>
      </c>
      <c r="ET22" s="102">
        <v>3439441</v>
      </c>
      <c r="EU22" s="102">
        <v>2085253</v>
      </c>
      <c r="EV22" s="102">
        <v>6071157</v>
      </c>
      <c r="EW22" s="73">
        <f t="shared" si="12"/>
        <v>604724</v>
      </c>
      <c r="EX22" s="102">
        <v>593296</v>
      </c>
      <c r="EY22" s="102">
        <v>13885</v>
      </c>
      <c r="EZ22" s="102">
        <v>549469</v>
      </c>
      <c r="FA22" s="102">
        <v>11428</v>
      </c>
      <c r="FB22" s="102">
        <v>0</v>
      </c>
      <c r="FC22" s="102">
        <v>4015255</v>
      </c>
      <c r="FD22" s="102">
        <v>1992820</v>
      </c>
      <c r="FE22" s="102">
        <v>800636</v>
      </c>
      <c r="FF22" s="102">
        <v>3661273</v>
      </c>
      <c r="FG22" s="73">
        <f t="shared" si="13"/>
        <v>380238</v>
      </c>
      <c r="FH22" s="102">
        <v>24908224</v>
      </c>
      <c r="FI22" s="379">
        <f t="shared" si="14"/>
        <v>0.1</v>
      </c>
      <c r="FJ22" s="102">
        <v>19260022</v>
      </c>
      <c r="FK22" s="102">
        <v>1912990</v>
      </c>
      <c r="FL22" s="102">
        <v>10331234</v>
      </c>
      <c r="FM22" s="102">
        <v>16296779</v>
      </c>
      <c r="FN22" s="428">
        <v>0.65900000000000003</v>
      </c>
      <c r="FO22" s="424">
        <v>97.7</v>
      </c>
      <c r="FP22" s="425">
        <v>28.1</v>
      </c>
      <c r="FQ22" s="424">
        <v>9.6</v>
      </c>
      <c r="FR22" s="424">
        <v>17.2</v>
      </c>
      <c r="FS22" s="425">
        <v>17.8</v>
      </c>
      <c r="FT22" s="424">
        <v>8</v>
      </c>
      <c r="FU22" s="425">
        <v>15.8</v>
      </c>
      <c r="FV22" s="384">
        <f t="shared" si="15"/>
        <v>10.6</v>
      </c>
      <c r="FW22" s="102">
        <v>33396308</v>
      </c>
      <c r="FX22" s="384">
        <f t="shared" si="16"/>
        <v>157.69999999999999</v>
      </c>
      <c r="FY22" s="102">
        <v>8758363</v>
      </c>
      <c r="FZ22" s="102">
        <v>4465855</v>
      </c>
      <c r="GA22" s="102">
        <v>1011516</v>
      </c>
      <c r="GB22" s="102">
        <v>3280992</v>
      </c>
      <c r="GC22" s="102">
        <v>0</v>
      </c>
      <c r="GD22" s="427"/>
      <c r="GE22" s="386"/>
      <c r="GF22" s="424">
        <v>98.518226640663102</v>
      </c>
      <c r="GG22" s="424">
        <v>20.169346280509981</v>
      </c>
      <c r="GH22" s="424">
        <v>93.997208007067172</v>
      </c>
      <c r="GI22" s="102">
        <v>569</v>
      </c>
      <c r="GJ22" s="429" t="s">
        <v>646</v>
      </c>
      <c r="GK22" s="429">
        <v>12.38</v>
      </c>
      <c r="GL22" s="87">
        <v>20</v>
      </c>
      <c r="GM22" s="429" t="s">
        <v>646</v>
      </c>
      <c r="GN22" s="430">
        <v>17.38</v>
      </c>
      <c r="GO22" s="430">
        <v>30</v>
      </c>
      <c r="GP22" s="425">
        <v>10.6</v>
      </c>
      <c r="GQ22" s="425">
        <v>25</v>
      </c>
      <c r="GR22" s="425">
        <v>35</v>
      </c>
      <c r="GS22" s="431" t="s">
        <v>646</v>
      </c>
      <c r="GT22" s="425">
        <v>350</v>
      </c>
      <c r="GU22" s="394"/>
      <c r="GV22" s="100">
        <f t="shared" si="17"/>
        <v>21173</v>
      </c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</row>
    <row r="23" spans="2:230" x14ac:dyDescent="0.15">
      <c r="B23" s="89" t="s">
        <v>35</v>
      </c>
      <c r="C23" s="102">
        <v>13687770</v>
      </c>
      <c r="D23" s="73">
        <f t="shared" si="0"/>
        <v>4979677</v>
      </c>
      <c r="E23" s="102">
        <v>148556</v>
      </c>
      <c r="F23" s="102">
        <v>4831121</v>
      </c>
      <c r="G23" s="73">
        <f t="shared" si="1"/>
        <v>862870</v>
      </c>
      <c r="H23" s="102">
        <v>256624</v>
      </c>
      <c r="I23" s="102">
        <v>606246</v>
      </c>
      <c r="J23" s="102">
        <v>5588471</v>
      </c>
      <c r="K23" s="102">
        <v>2712095</v>
      </c>
      <c r="L23" s="102">
        <v>2274949</v>
      </c>
      <c r="M23" s="102">
        <v>558701</v>
      </c>
      <c r="N23" s="102">
        <v>859593</v>
      </c>
      <c r="O23" s="102">
        <v>1241621</v>
      </c>
      <c r="P23" s="102">
        <v>746567</v>
      </c>
      <c r="Q23" s="102">
        <v>495054</v>
      </c>
      <c r="R23" s="102">
        <v>205265</v>
      </c>
      <c r="S23" s="74"/>
      <c r="T23" s="73">
        <f t="shared" si="2"/>
        <v>1285143</v>
      </c>
      <c r="U23" s="102">
        <v>62940</v>
      </c>
      <c r="V23" s="102">
        <v>40795</v>
      </c>
      <c r="W23" s="102">
        <v>9056</v>
      </c>
      <c r="X23" s="102">
        <v>1092786</v>
      </c>
      <c r="Y23" s="102">
        <v>0</v>
      </c>
      <c r="Z23" s="102">
        <v>0</v>
      </c>
      <c r="AA23" s="102">
        <v>79566</v>
      </c>
      <c r="AB23" s="102">
        <v>177040</v>
      </c>
      <c r="AC23" s="102">
        <v>8204638</v>
      </c>
      <c r="AD23" s="102">
        <v>7788707</v>
      </c>
      <c r="AE23" s="102">
        <v>415827</v>
      </c>
      <c r="AF23" s="102">
        <v>21174</v>
      </c>
      <c r="AG23" s="102">
        <v>240298</v>
      </c>
      <c r="AH23" s="73">
        <f t="shared" si="3"/>
        <v>650785</v>
      </c>
      <c r="AI23" s="102">
        <v>468327</v>
      </c>
      <c r="AJ23" s="102">
        <v>182458</v>
      </c>
      <c r="AK23" s="102">
        <v>7689687</v>
      </c>
      <c r="AL23" s="73">
        <f t="shared" si="4"/>
        <v>4805471</v>
      </c>
      <c r="AM23" s="102">
        <v>3714758</v>
      </c>
      <c r="AN23" s="102">
        <v>390371</v>
      </c>
      <c r="AO23" s="74"/>
      <c r="AP23" s="102">
        <v>700342</v>
      </c>
      <c r="AQ23" s="102">
        <v>161630</v>
      </c>
      <c r="AR23" s="102">
        <v>0</v>
      </c>
      <c r="AS23" s="102">
        <v>0</v>
      </c>
      <c r="AT23" s="102">
        <v>3327035</v>
      </c>
      <c r="AU23" s="102">
        <v>1811723</v>
      </c>
      <c r="AV23" s="102">
        <v>195186</v>
      </c>
      <c r="AW23" s="102">
        <v>155358</v>
      </c>
      <c r="AX23" s="102">
        <v>1515312</v>
      </c>
      <c r="AY23" s="102">
        <v>197874</v>
      </c>
      <c r="AZ23" s="102">
        <v>81241</v>
      </c>
      <c r="BA23" s="102">
        <v>14856</v>
      </c>
      <c r="BB23" s="102">
        <v>5633</v>
      </c>
      <c r="BC23" s="102">
        <v>68896</v>
      </c>
      <c r="BD23" s="102">
        <v>0</v>
      </c>
      <c r="BE23" s="102">
        <v>0</v>
      </c>
      <c r="BF23" s="102">
        <v>68896</v>
      </c>
      <c r="BG23" s="102">
        <v>0</v>
      </c>
      <c r="BH23" s="102">
        <v>767285</v>
      </c>
      <c r="BI23" s="102">
        <v>725582</v>
      </c>
      <c r="BJ23" s="102">
        <v>352879</v>
      </c>
      <c r="BK23" s="102">
        <v>20085</v>
      </c>
      <c r="BL23" s="102">
        <v>0</v>
      </c>
      <c r="BM23" s="102">
        <v>0</v>
      </c>
      <c r="BN23" s="102">
        <v>5505000</v>
      </c>
      <c r="BO23" s="73">
        <f t="shared" si="5"/>
        <v>1890700</v>
      </c>
      <c r="BP23" s="73">
        <f t="shared" si="6"/>
        <v>1920400</v>
      </c>
      <c r="BQ23" s="102">
        <v>0</v>
      </c>
      <c r="BR23" s="102">
        <v>0</v>
      </c>
      <c r="BS23" s="102">
        <v>1920400</v>
      </c>
      <c r="BT23" s="102">
        <v>1693900</v>
      </c>
      <c r="BU23" s="102">
        <v>42269769</v>
      </c>
      <c r="BV23" s="71"/>
      <c r="BW23" s="102">
        <v>9163637</v>
      </c>
      <c r="BX23" s="102">
        <v>5163261</v>
      </c>
      <c r="BY23" s="102">
        <v>2134750</v>
      </c>
      <c r="BZ23" s="102">
        <v>382467</v>
      </c>
      <c r="CA23" s="102">
        <v>12033054</v>
      </c>
      <c r="CB23" s="102">
        <v>1792770</v>
      </c>
      <c r="CC23" s="102">
        <v>216079</v>
      </c>
      <c r="CD23" s="102">
        <v>4863716</v>
      </c>
      <c r="CE23" s="102">
        <v>4982636</v>
      </c>
      <c r="CF23" s="102">
        <v>1544</v>
      </c>
      <c r="CG23" s="102">
        <v>170417</v>
      </c>
      <c r="CH23" s="102">
        <v>3906690</v>
      </c>
      <c r="CI23" s="102">
        <v>3226073</v>
      </c>
      <c r="CJ23" s="83">
        <f t="shared" si="19"/>
        <v>680617</v>
      </c>
      <c r="CK23" s="102">
        <v>4902255</v>
      </c>
      <c r="CL23" s="102">
        <v>3092237</v>
      </c>
      <c r="CM23" s="102">
        <v>301879</v>
      </c>
      <c r="CN23" s="102">
        <v>853567</v>
      </c>
      <c r="CO23" s="102">
        <v>221164</v>
      </c>
      <c r="CP23" s="102">
        <v>1795383</v>
      </c>
      <c r="CQ23" s="102">
        <v>1762</v>
      </c>
      <c r="CR23" s="102">
        <v>851039</v>
      </c>
      <c r="CS23" s="102">
        <v>474943</v>
      </c>
      <c r="CT23" s="73">
        <f t="shared" si="7"/>
        <v>264047</v>
      </c>
      <c r="CU23" s="102">
        <v>9000</v>
      </c>
      <c r="CV23" s="102">
        <v>255047</v>
      </c>
      <c r="CW23" s="73">
        <f t="shared" si="8"/>
        <v>219984</v>
      </c>
      <c r="CX23" s="102">
        <v>0</v>
      </c>
      <c r="CY23" s="102">
        <v>219984</v>
      </c>
      <c r="CZ23" s="73">
        <f t="shared" si="9"/>
        <v>0</v>
      </c>
      <c r="DA23" s="102">
        <v>0</v>
      </c>
      <c r="DB23" s="102">
        <v>0</v>
      </c>
      <c r="DC23" s="102">
        <v>3139488</v>
      </c>
      <c r="DD23" s="102">
        <v>1085617</v>
      </c>
      <c r="DE23" s="102">
        <v>1770380</v>
      </c>
      <c r="DF23" s="77">
        <v>0</v>
      </c>
      <c r="DG23" s="78">
        <v>283491</v>
      </c>
      <c r="DH23" s="102">
        <v>0</v>
      </c>
      <c r="DI23" s="102">
        <v>453430</v>
      </c>
      <c r="DJ23" s="102">
        <v>365118</v>
      </c>
      <c r="DK23" s="102">
        <v>6</v>
      </c>
      <c r="DL23" s="102">
        <v>88306</v>
      </c>
      <c r="DM23" s="102">
        <v>0</v>
      </c>
      <c r="DN23" s="102">
        <v>0</v>
      </c>
      <c r="DO23" s="102">
        <v>0</v>
      </c>
      <c r="DP23" s="102">
        <v>0</v>
      </c>
      <c r="DQ23" s="102">
        <v>20000</v>
      </c>
      <c r="DR23" s="102">
        <v>0</v>
      </c>
      <c r="DS23" s="102">
        <v>0</v>
      </c>
      <c r="DT23" s="102">
        <v>6252536</v>
      </c>
      <c r="DU23" s="102">
        <v>2600000</v>
      </c>
      <c r="DV23" s="73">
        <f t="shared" si="10"/>
        <v>0</v>
      </c>
      <c r="DW23" s="102">
        <v>0</v>
      </c>
      <c r="DX23" s="102">
        <v>1177654</v>
      </c>
      <c r="DY23" s="102">
        <v>0</v>
      </c>
      <c r="DZ23" s="102">
        <v>1288599</v>
      </c>
      <c r="EA23" s="74">
        <v>0</v>
      </c>
      <c r="EB23" s="102">
        <v>1186272</v>
      </c>
      <c r="EC23" s="102">
        <v>0</v>
      </c>
      <c r="ED23" s="102">
        <v>41887637</v>
      </c>
      <c r="EE23" s="71"/>
      <c r="EF23" s="102">
        <v>382132</v>
      </c>
      <c r="EG23" s="102">
        <v>58506</v>
      </c>
      <c r="EH23" s="102">
        <v>323626</v>
      </c>
      <c r="EI23" s="102">
        <v>-401956</v>
      </c>
      <c r="EJ23" s="102">
        <v>-36838</v>
      </c>
      <c r="EK23" s="71"/>
      <c r="EL23" s="102"/>
      <c r="EM23" s="102">
        <v>123609</v>
      </c>
      <c r="EN23" s="102">
        <v>16000</v>
      </c>
      <c r="EO23" s="102">
        <v>79439</v>
      </c>
      <c r="EP23" s="73">
        <f t="shared" si="11"/>
        <v>1218562</v>
      </c>
      <c r="EQ23" s="102">
        <v>23581030</v>
      </c>
      <c r="ER23" s="71">
        <v>-3213227</v>
      </c>
      <c r="ES23" s="102">
        <v>6984085</v>
      </c>
      <c r="ET23" s="102">
        <v>4822501</v>
      </c>
      <c r="EU23" s="102">
        <v>3493591</v>
      </c>
      <c r="EV23" s="102">
        <v>3906690</v>
      </c>
      <c r="EW23" s="73">
        <f t="shared" si="12"/>
        <v>217559</v>
      </c>
      <c r="EX23" s="102">
        <v>217559</v>
      </c>
      <c r="EY23" s="102">
        <v>11265</v>
      </c>
      <c r="EZ23" s="102">
        <v>206294</v>
      </c>
      <c r="FA23" s="102">
        <v>0</v>
      </c>
      <c r="FB23" s="102">
        <v>0</v>
      </c>
      <c r="FC23" s="102">
        <v>4129765</v>
      </c>
      <c r="FD23" s="102">
        <v>1518308</v>
      </c>
      <c r="FE23" s="102">
        <v>1762</v>
      </c>
      <c r="FF23" s="102">
        <v>5500510</v>
      </c>
      <c r="FG23" s="73">
        <f t="shared" si="13"/>
        <v>661617</v>
      </c>
      <c r="FH23" s="102">
        <v>26412125</v>
      </c>
      <c r="FI23" s="379">
        <f t="shared" si="14"/>
        <v>1.4</v>
      </c>
      <c r="FJ23" s="102">
        <v>21682902</v>
      </c>
      <c r="FK23" s="102">
        <v>1920584</v>
      </c>
      <c r="FL23" s="102">
        <v>10788909</v>
      </c>
      <c r="FM23" s="102">
        <v>18557825</v>
      </c>
      <c r="FN23" s="428">
        <v>0.59699999999999998</v>
      </c>
      <c r="FO23" s="424">
        <v>99.2</v>
      </c>
      <c r="FP23" s="425">
        <v>28.2</v>
      </c>
      <c r="FQ23" s="424">
        <v>14.5</v>
      </c>
      <c r="FR23" s="424">
        <v>16.3</v>
      </c>
      <c r="FS23" s="425">
        <v>16.2</v>
      </c>
      <c r="FT23" s="424">
        <v>4.4000000000000004</v>
      </c>
      <c r="FU23" s="425">
        <v>18.8</v>
      </c>
      <c r="FV23" s="384">
        <f t="shared" si="15"/>
        <v>9</v>
      </c>
      <c r="FW23" s="102">
        <v>40601661</v>
      </c>
      <c r="FX23" s="384">
        <f t="shared" si="16"/>
        <v>172</v>
      </c>
      <c r="FY23" s="102">
        <v>1663129</v>
      </c>
      <c r="FZ23" s="102">
        <v>770565</v>
      </c>
      <c r="GA23" s="102">
        <v>21238</v>
      </c>
      <c r="GB23" s="102">
        <v>871326</v>
      </c>
      <c r="GC23" s="102">
        <v>0</v>
      </c>
      <c r="GD23" s="454">
        <v>887202</v>
      </c>
      <c r="GE23" s="386">
        <f>IF(GD23=0,"-",ROUND(GD23/(FJ23+FK23)*100,1))</f>
        <v>3.8</v>
      </c>
      <c r="GF23" s="424">
        <v>97.976261076952127</v>
      </c>
      <c r="GG23" s="424">
        <v>28.06249111590806</v>
      </c>
      <c r="GH23" s="424">
        <v>93.635869105691285</v>
      </c>
      <c r="GI23" s="102">
        <v>743</v>
      </c>
      <c r="GJ23" s="429" t="s">
        <v>646</v>
      </c>
      <c r="GK23" s="429">
        <v>12.18</v>
      </c>
      <c r="GL23" s="87">
        <v>20</v>
      </c>
      <c r="GM23" s="429" t="s">
        <v>646</v>
      </c>
      <c r="GN23" s="430">
        <v>17.18</v>
      </c>
      <c r="GO23" s="430">
        <v>30</v>
      </c>
      <c r="GP23" s="425">
        <v>9</v>
      </c>
      <c r="GQ23" s="425">
        <v>25</v>
      </c>
      <c r="GR23" s="425">
        <v>35</v>
      </c>
      <c r="GS23" s="431">
        <v>120.1</v>
      </c>
      <c r="GT23" s="425">
        <v>350</v>
      </c>
      <c r="GU23" s="394"/>
      <c r="GV23" s="100">
        <f t="shared" si="17"/>
        <v>23603</v>
      </c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</row>
    <row r="24" spans="2:230" x14ac:dyDescent="0.15">
      <c r="B24" s="89" t="s">
        <v>37</v>
      </c>
      <c r="C24" s="102">
        <v>17140367</v>
      </c>
      <c r="D24" s="73">
        <f t="shared" si="0"/>
        <v>5298872</v>
      </c>
      <c r="E24" s="102">
        <v>160555</v>
      </c>
      <c r="F24" s="102">
        <v>5138317</v>
      </c>
      <c r="G24" s="73">
        <f t="shared" si="1"/>
        <v>1433377</v>
      </c>
      <c r="H24" s="102">
        <v>373108</v>
      </c>
      <c r="I24" s="102">
        <v>1060269</v>
      </c>
      <c r="J24" s="102">
        <v>7798821</v>
      </c>
      <c r="K24" s="102">
        <v>3434054</v>
      </c>
      <c r="L24" s="102">
        <v>3326964</v>
      </c>
      <c r="M24" s="102">
        <v>895104</v>
      </c>
      <c r="N24" s="102">
        <v>874355</v>
      </c>
      <c r="O24" s="102">
        <v>1621608</v>
      </c>
      <c r="P24" s="102">
        <v>900478</v>
      </c>
      <c r="Q24" s="102">
        <v>721130</v>
      </c>
      <c r="R24" s="102">
        <v>222730</v>
      </c>
      <c r="S24" s="74"/>
      <c r="T24" s="73">
        <f t="shared" si="2"/>
        <v>1463867</v>
      </c>
      <c r="U24" s="102">
        <v>67114</v>
      </c>
      <c r="V24" s="102">
        <v>43509</v>
      </c>
      <c r="W24" s="102">
        <v>9666</v>
      </c>
      <c r="X24" s="102">
        <v>1226080</v>
      </c>
      <c r="Y24" s="102">
        <v>31151</v>
      </c>
      <c r="Z24" s="102">
        <v>0</v>
      </c>
      <c r="AA24" s="102">
        <v>86347</v>
      </c>
      <c r="AB24" s="102">
        <v>199436</v>
      </c>
      <c r="AC24" s="102">
        <v>4139212</v>
      </c>
      <c r="AD24" s="102">
        <v>3796335</v>
      </c>
      <c r="AE24" s="102">
        <v>342870</v>
      </c>
      <c r="AF24" s="102">
        <v>19321</v>
      </c>
      <c r="AG24" s="102">
        <v>348742</v>
      </c>
      <c r="AH24" s="73">
        <f t="shared" si="3"/>
        <v>830983</v>
      </c>
      <c r="AI24" s="102">
        <v>424084</v>
      </c>
      <c r="AJ24" s="102">
        <v>406899</v>
      </c>
      <c r="AK24" s="102">
        <v>6611985</v>
      </c>
      <c r="AL24" s="73">
        <f t="shared" si="4"/>
        <v>3014836</v>
      </c>
      <c r="AM24" s="102">
        <v>1726236</v>
      </c>
      <c r="AN24" s="102">
        <v>582164</v>
      </c>
      <c r="AO24" s="74"/>
      <c r="AP24" s="102">
        <v>706436</v>
      </c>
      <c r="AQ24" s="102">
        <v>756017</v>
      </c>
      <c r="AR24" s="102">
        <v>0</v>
      </c>
      <c r="AS24" s="102">
        <v>0</v>
      </c>
      <c r="AT24" s="102">
        <v>2714347</v>
      </c>
      <c r="AU24" s="102">
        <v>1620244</v>
      </c>
      <c r="AV24" s="102">
        <v>291082</v>
      </c>
      <c r="AW24" s="102">
        <v>57616</v>
      </c>
      <c r="AX24" s="102">
        <v>1094103</v>
      </c>
      <c r="AY24" s="102">
        <v>50408</v>
      </c>
      <c r="AZ24" s="102">
        <v>55957</v>
      </c>
      <c r="BA24" s="102">
        <v>26152</v>
      </c>
      <c r="BB24" s="102">
        <v>3389</v>
      </c>
      <c r="BC24" s="102">
        <v>78530</v>
      </c>
      <c r="BD24" s="102">
        <v>0</v>
      </c>
      <c r="BE24" s="102">
        <v>0</v>
      </c>
      <c r="BF24" s="102">
        <v>59561</v>
      </c>
      <c r="BG24" s="102">
        <v>0</v>
      </c>
      <c r="BH24" s="102">
        <v>700284</v>
      </c>
      <c r="BI24" s="102">
        <v>403598</v>
      </c>
      <c r="BJ24" s="102">
        <v>3651940</v>
      </c>
      <c r="BK24" s="102">
        <v>3013795</v>
      </c>
      <c r="BL24" s="102">
        <v>0</v>
      </c>
      <c r="BM24" s="102">
        <v>0</v>
      </c>
      <c r="BN24" s="102">
        <v>4211020</v>
      </c>
      <c r="BO24" s="73">
        <f t="shared" si="5"/>
        <v>1842000</v>
      </c>
      <c r="BP24" s="73">
        <f t="shared" si="6"/>
        <v>2369020</v>
      </c>
      <c r="BQ24" s="102">
        <v>0</v>
      </c>
      <c r="BR24" s="102">
        <v>0</v>
      </c>
      <c r="BS24" s="102">
        <v>2369020</v>
      </c>
      <c r="BT24" s="102">
        <v>0</v>
      </c>
      <c r="BU24" s="102">
        <v>42392110</v>
      </c>
      <c r="BV24" s="71"/>
      <c r="BW24" s="102">
        <v>6427095</v>
      </c>
      <c r="BX24" s="102">
        <v>4375305</v>
      </c>
      <c r="BY24" s="102">
        <v>636885</v>
      </c>
      <c r="BZ24" s="102">
        <v>205513</v>
      </c>
      <c r="CA24" s="102">
        <v>9814963</v>
      </c>
      <c r="CB24" s="102">
        <v>1605100</v>
      </c>
      <c r="CC24" s="102">
        <v>198286</v>
      </c>
      <c r="CD24" s="102">
        <v>5553509</v>
      </c>
      <c r="CE24" s="102">
        <v>2256017</v>
      </c>
      <c r="CF24" s="102">
        <v>0</v>
      </c>
      <c r="CG24" s="102">
        <v>201731</v>
      </c>
      <c r="CH24" s="102">
        <v>3168885</v>
      </c>
      <c r="CI24" s="102">
        <v>2618311</v>
      </c>
      <c r="CJ24" s="83">
        <f t="shared" si="19"/>
        <v>550574</v>
      </c>
      <c r="CK24" s="102">
        <v>5116792</v>
      </c>
      <c r="CL24" s="102">
        <v>3467943</v>
      </c>
      <c r="CM24" s="102">
        <v>209465</v>
      </c>
      <c r="CN24" s="102">
        <v>761516</v>
      </c>
      <c r="CO24" s="102">
        <v>140327</v>
      </c>
      <c r="CP24" s="102">
        <v>1943758</v>
      </c>
      <c r="CQ24" s="102">
        <v>683873</v>
      </c>
      <c r="CR24" s="102">
        <v>802557</v>
      </c>
      <c r="CS24" s="102">
        <v>199071</v>
      </c>
      <c r="CT24" s="73">
        <f t="shared" si="7"/>
        <v>16630</v>
      </c>
      <c r="CU24" s="102">
        <v>16630</v>
      </c>
      <c r="CV24" s="102">
        <v>0</v>
      </c>
      <c r="CW24" s="73">
        <f t="shared" si="8"/>
        <v>0</v>
      </c>
      <c r="CX24" s="102">
        <v>0</v>
      </c>
      <c r="CY24" s="102">
        <v>0</v>
      </c>
      <c r="CZ24" s="73">
        <f t="shared" si="9"/>
        <v>0</v>
      </c>
      <c r="DA24" s="102">
        <v>0</v>
      </c>
      <c r="DB24" s="102">
        <v>0</v>
      </c>
      <c r="DC24" s="102">
        <v>3739170</v>
      </c>
      <c r="DD24" s="102">
        <v>2066825</v>
      </c>
      <c r="DE24" s="102">
        <v>1656139</v>
      </c>
      <c r="DF24" s="77">
        <v>16206</v>
      </c>
      <c r="DG24" s="78">
        <v>0</v>
      </c>
      <c r="DH24" s="102">
        <v>0</v>
      </c>
      <c r="DI24" s="102">
        <v>2804721</v>
      </c>
      <c r="DJ24" s="102">
        <v>913033</v>
      </c>
      <c r="DK24" s="102">
        <v>160918</v>
      </c>
      <c r="DL24" s="102">
        <v>1730770</v>
      </c>
      <c r="DM24" s="102">
        <v>0</v>
      </c>
      <c r="DN24" s="102">
        <v>0</v>
      </c>
      <c r="DO24" s="102">
        <v>0</v>
      </c>
      <c r="DP24" s="102">
        <v>0</v>
      </c>
      <c r="DQ24" s="102">
        <v>3193557</v>
      </c>
      <c r="DR24" s="102">
        <v>0</v>
      </c>
      <c r="DS24" s="102">
        <v>0</v>
      </c>
      <c r="DT24" s="102">
        <v>5339752</v>
      </c>
      <c r="DU24" s="102">
        <v>1967317</v>
      </c>
      <c r="DV24" s="73">
        <f t="shared" si="10"/>
        <v>0</v>
      </c>
      <c r="DW24" s="102">
        <v>0</v>
      </c>
      <c r="DX24" s="102">
        <v>1004396</v>
      </c>
      <c r="DY24" s="102">
        <v>0</v>
      </c>
      <c r="DZ24" s="102">
        <v>1353209</v>
      </c>
      <c r="EA24" s="74">
        <v>0</v>
      </c>
      <c r="EB24" s="102">
        <v>1006872</v>
      </c>
      <c r="EC24" s="102">
        <v>0</v>
      </c>
      <c r="ED24" s="102">
        <v>41689020</v>
      </c>
      <c r="EE24" s="71"/>
      <c r="EF24" s="102">
        <v>703090</v>
      </c>
      <c r="EG24" s="102">
        <v>45956</v>
      </c>
      <c r="EH24" s="102">
        <v>657134</v>
      </c>
      <c r="EI24" s="102">
        <v>253536</v>
      </c>
      <c r="EJ24" s="102">
        <v>1203459</v>
      </c>
      <c r="EK24" s="71"/>
      <c r="EL24" s="102"/>
      <c r="EM24" s="102">
        <v>123573</v>
      </c>
      <c r="EN24" s="102">
        <v>0</v>
      </c>
      <c r="EO24" s="102">
        <v>44167</v>
      </c>
      <c r="EP24" s="73">
        <f t="shared" si="11"/>
        <v>1212507</v>
      </c>
      <c r="EQ24" s="102">
        <v>23184933</v>
      </c>
      <c r="ER24" s="71">
        <v>-3606373</v>
      </c>
      <c r="ES24" s="102">
        <v>5851959</v>
      </c>
      <c r="ET24" s="102">
        <v>3851327</v>
      </c>
      <c r="EU24" s="102">
        <v>2877119</v>
      </c>
      <c r="EV24" s="102">
        <v>3119250</v>
      </c>
      <c r="EW24" s="73">
        <f t="shared" si="12"/>
        <v>1099829</v>
      </c>
      <c r="EX24" s="102">
        <v>1099829</v>
      </c>
      <c r="EY24" s="102">
        <v>177797</v>
      </c>
      <c r="EZ24" s="102">
        <v>918882</v>
      </c>
      <c r="FA24" s="102">
        <v>0</v>
      </c>
      <c r="FB24" s="102">
        <v>0</v>
      </c>
      <c r="FC24" s="102">
        <v>3973745</v>
      </c>
      <c r="FD24" s="102">
        <v>1720765</v>
      </c>
      <c r="FE24" s="102">
        <v>683873</v>
      </c>
      <c r="FF24" s="102">
        <v>4637389</v>
      </c>
      <c r="FG24" s="73">
        <f t="shared" si="13"/>
        <v>2808160</v>
      </c>
      <c r="FH24" s="102">
        <v>26088216</v>
      </c>
      <c r="FI24" s="379">
        <f t="shared" si="14"/>
        <v>2.9</v>
      </c>
      <c r="FJ24" s="102">
        <v>20378893</v>
      </c>
      <c r="FK24" s="102">
        <v>2369020</v>
      </c>
      <c r="FL24" s="102">
        <v>12856352</v>
      </c>
      <c r="FM24" s="102">
        <v>16645760</v>
      </c>
      <c r="FN24" s="428">
        <v>0.82399999999999995</v>
      </c>
      <c r="FO24" s="424">
        <v>88.3</v>
      </c>
      <c r="FP24" s="425">
        <v>23.7</v>
      </c>
      <c r="FQ24" s="424">
        <v>12</v>
      </c>
      <c r="FR24" s="424">
        <v>12.9</v>
      </c>
      <c r="FS24" s="425">
        <v>15.2</v>
      </c>
      <c r="FT24" s="424">
        <v>6</v>
      </c>
      <c r="FU24" s="425">
        <v>18</v>
      </c>
      <c r="FV24" s="384">
        <f t="shared" si="15"/>
        <v>2.7</v>
      </c>
      <c r="FW24" s="102">
        <v>36340581</v>
      </c>
      <c r="FX24" s="384">
        <f t="shared" si="16"/>
        <v>159.80000000000001</v>
      </c>
      <c r="FY24" s="102">
        <v>12939856</v>
      </c>
      <c r="FZ24" s="102">
        <v>6345881</v>
      </c>
      <c r="GA24" s="102">
        <v>1566839</v>
      </c>
      <c r="GB24" s="102">
        <v>5027136</v>
      </c>
      <c r="GC24" s="102">
        <v>4967469</v>
      </c>
      <c r="GD24" s="454">
        <v>4848485</v>
      </c>
      <c r="GE24" s="386">
        <f>IF(GD24=0,"-",ROUND(GD24/(FJ24+FK24)*100,1))</f>
        <v>21.3</v>
      </c>
      <c r="GF24" s="424">
        <v>97.944275424444243</v>
      </c>
      <c r="GG24" s="424">
        <v>22.706144060729891</v>
      </c>
      <c r="GH24" s="424">
        <v>93.162765781320473</v>
      </c>
      <c r="GI24" s="102">
        <v>666</v>
      </c>
      <c r="GJ24" s="429" t="s">
        <v>646</v>
      </c>
      <c r="GK24" s="429">
        <v>12.25</v>
      </c>
      <c r="GL24" s="87">
        <v>20</v>
      </c>
      <c r="GM24" s="429" t="s">
        <v>646</v>
      </c>
      <c r="GN24" s="430">
        <v>17.25</v>
      </c>
      <c r="GO24" s="430">
        <v>30</v>
      </c>
      <c r="GP24" s="425">
        <v>2.7</v>
      </c>
      <c r="GQ24" s="425">
        <v>25</v>
      </c>
      <c r="GR24" s="425">
        <v>35</v>
      </c>
      <c r="GS24" s="431">
        <v>20</v>
      </c>
      <c r="GT24" s="425">
        <v>350</v>
      </c>
      <c r="GU24" s="394"/>
      <c r="GV24" s="100">
        <f t="shared" si="17"/>
        <v>22748</v>
      </c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</row>
    <row r="25" spans="2:230" x14ac:dyDescent="0.15">
      <c r="B25" s="89" t="s">
        <v>39</v>
      </c>
      <c r="C25" s="102">
        <v>22005735</v>
      </c>
      <c r="D25" s="73">
        <f t="shared" si="0"/>
        <v>8517339</v>
      </c>
      <c r="E25" s="102">
        <v>229457</v>
      </c>
      <c r="F25" s="102">
        <v>8287882</v>
      </c>
      <c r="G25" s="73">
        <f t="shared" si="1"/>
        <v>1222813</v>
      </c>
      <c r="H25" s="102">
        <v>379291</v>
      </c>
      <c r="I25" s="102">
        <v>843522</v>
      </c>
      <c r="J25" s="102">
        <v>9097493</v>
      </c>
      <c r="K25" s="102">
        <v>3618165</v>
      </c>
      <c r="L25" s="102">
        <v>4482977</v>
      </c>
      <c r="M25" s="102">
        <v>925518</v>
      </c>
      <c r="N25" s="102">
        <v>1029063</v>
      </c>
      <c r="O25" s="102">
        <v>1896503</v>
      </c>
      <c r="P25" s="102">
        <v>971062</v>
      </c>
      <c r="Q25" s="102">
        <v>925441</v>
      </c>
      <c r="R25" s="102">
        <v>340066</v>
      </c>
      <c r="S25" s="74"/>
      <c r="T25" s="73">
        <f t="shared" si="2"/>
        <v>1847152</v>
      </c>
      <c r="U25" s="102">
        <v>103122</v>
      </c>
      <c r="V25" s="102">
        <v>66942</v>
      </c>
      <c r="W25" s="102">
        <v>14948</v>
      </c>
      <c r="X25" s="102">
        <v>1498632</v>
      </c>
      <c r="Y25" s="102">
        <v>31647</v>
      </c>
      <c r="Z25" s="102">
        <v>0</v>
      </c>
      <c r="AA25" s="102">
        <v>131861</v>
      </c>
      <c r="AB25" s="102">
        <v>432559</v>
      </c>
      <c r="AC25" s="102">
        <v>8614302</v>
      </c>
      <c r="AD25" s="102">
        <v>7836655</v>
      </c>
      <c r="AE25" s="102">
        <v>777636</v>
      </c>
      <c r="AF25" s="102">
        <v>27597</v>
      </c>
      <c r="AG25" s="102">
        <v>438847</v>
      </c>
      <c r="AH25" s="73">
        <f t="shared" si="3"/>
        <v>1577318</v>
      </c>
      <c r="AI25" s="102">
        <v>1473007</v>
      </c>
      <c r="AJ25" s="102">
        <v>104311</v>
      </c>
      <c r="AK25" s="102">
        <v>11727023</v>
      </c>
      <c r="AL25" s="73">
        <f t="shared" si="4"/>
        <v>6929936</v>
      </c>
      <c r="AM25" s="102">
        <v>5578078</v>
      </c>
      <c r="AN25" s="102">
        <v>411446</v>
      </c>
      <c r="AO25" s="74"/>
      <c r="AP25" s="102">
        <v>940412</v>
      </c>
      <c r="AQ25" s="102">
        <v>398701</v>
      </c>
      <c r="AR25" s="102">
        <v>0</v>
      </c>
      <c r="AS25" s="102">
        <v>246727</v>
      </c>
      <c r="AT25" s="102">
        <v>3752507</v>
      </c>
      <c r="AU25" s="102">
        <v>2157454</v>
      </c>
      <c r="AV25" s="102">
        <v>205723</v>
      </c>
      <c r="AW25" s="102">
        <v>153800</v>
      </c>
      <c r="AX25" s="102">
        <v>1595053</v>
      </c>
      <c r="AY25" s="102">
        <v>81750</v>
      </c>
      <c r="AZ25" s="102">
        <v>178025</v>
      </c>
      <c r="BA25" s="102">
        <v>100326</v>
      </c>
      <c r="BB25" s="102">
        <v>58335</v>
      </c>
      <c r="BC25" s="102">
        <v>314201</v>
      </c>
      <c r="BD25" s="102">
        <v>0</v>
      </c>
      <c r="BE25" s="102">
        <v>0</v>
      </c>
      <c r="BF25" s="102">
        <v>14201</v>
      </c>
      <c r="BG25" s="102">
        <v>0</v>
      </c>
      <c r="BH25" s="102">
        <v>194879</v>
      </c>
      <c r="BI25" s="102">
        <v>83671</v>
      </c>
      <c r="BJ25" s="102">
        <v>889232</v>
      </c>
      <c r="BK25" s="102">
        <v>518132</v>
      </c>
      <c r="BL25" s="102">
        <v>0</v>
      </c>
      <c r="BM25" s="102">
        <v>0</v>
      </c>
      <c r="BN25" s="102">
        <v>7235400</v>
      </c>
      <c r="BO25" s="73">
        <f t="shared" si="5"/>
        <v>4315600</v>
      </c>
      <c r="BP25" s="73">
        <f t="shared" si="6"/>
        <v>2919800</v>
      </c>
      <c r="BQ25" s="102">
        <v>0</v>
      </c>
      <c r="BR25" s="102">
        <v>0</v>
      </c>
      <c r="BS25" s="102">
        <v>2919800</v>
      </c>
      <c r="BT25" s="102">
        <v>0</v>
      </c>
      <c r="BU25" s="102">
        <v>59879905</v>
      </c>
      <c r="BV25" s="71"/>
      <c r="BW25" s="102">
        <v>11103315</v>
      </c>
      <c r="BX25" s="102">
        <v>6651049</v>
      </c>
      <c r="BY25" s="102">
        <v>1699823</v>
      </c>
      <c r="BZ25" s="102">
        <v>844135</v>
      </c>
      <c r="CA25" s="102">
        <v>18050247</v>
      </c>
      <c r="CB25" s="102">
        <v>2719809</v>
      </c>
      <c r="CC25" s="102">
        <v>344105</v>
      </c>
      <c r="CD25" s="102">
        <v>7537795</v>
      </c>
      <c r="CE25" s="102">
        <v>7125799</v>
      </c>
      <c r="CF25" s="102">
        <v>5431</v>
      </c>
      <c r="CG25" s="102">
        <v>313971</v>
      </c>
      <c r="CH25" s="102">
        <v>5027077</v>
      </c>
      <c r="CI25" s="102">
        <v>4223930</v>
      </c>
      <c r="CJ25" s="83">
        <f t="shared" si="19"/>
        <v>803147</v>
      </c>
      <c r="CK25" s="102">
        <v>6687705</v>
      </c>
      <c r="CL25" s="102">
        <v>4477314</v>
      </c>
      <c r="CM25" s="102">
        <v>431134</v>
      </c>
      <c r="CN25" s="102">
        <v>849609</v>
      </c>
      <c r="CO25" s="102">
        <v>378679</v>
      </c>
      <c r="CP25" s="102">
        <v>7856122</v>
      </c>
      <c r="CQ25" s="102">
        <v>1290494</v>
      </c>
      <c r="CR25" s="102">
        <v>1320190</v>
      </c>
      <c r="CS25" s="102">
        <v>1070165</v>
      </c>
      <c r="CT25" s="73">
        <f t="shared" si="7"/>
        <v>1840791</v>
      </c>
      <c r="CU25" s="102">
        <v>760895</v>
      </c>
      <c r="CV25" s="102">
        <v>1079896</v>
      </c>
      <c r="CW25" s="73">
        <f t="shared" si="8"/>
        <v>1073423</v>
      </c>
      <c r="CX25" s="102">
        <v>187000</v>
      </c>
      <c r="CY25" s="102">
        <v>886423</v>
      </c>
      <c r="CZ25" s="73">
        <f t="shared" si="9"/>
        <v>725705</v>
      </c>
      <c r="DA25" s="102">
        <v>553895</v>
      </c>
      <c r="DB25" s="102">
        <v>171810</v>
      </c>
      <c r="DC25" s="102">
        <v>4791978</v>
      </c>
      <c r="DD25" s="102">
        <v>1439432</v>
      </c>
      <c r="DE25" s="102">
        <v>3349987</v>
      </c>
      <c r="DF25" s="77">
        <v>2559</v>
      </c>
      <c r="DG25" s="78">
        <v>0</v>
      </c>
      <c r="DH25" s="102">
        <v>29284</v>
      </c>
      <c r="DI25" s="102">
        <v>790305</v>
      </c>
      <c r="DJ25" s="102">
        <v>590530</v>
      </c>
      <c r="DK25" s="102">
        <v>80090</v>
      </c>
      <c r="DL25" s="102">
        <v>119685</v>
      </c>
      <c r="DM25" s="102">
        <v>0</v>
      </c>
      <c r="DN25" s="102">
        <v>0</v>
      </c>
      <c r="DO25" s="102">
        <v>0</v>
      </c>
      <c r="DP25" s="102">
        <v>0</v>
      </c>
      <c r="DQ25" s="102">
        <v>421800</v>
      </c>
      <c r="DR25" s="102">
        <v>300000</v>
      </c>
      <c r="DS25" s="102">
        <v>300000</v>
      </c>
      <c r="DT25" s="102">
        <v>4306274</v>
      </c>
      <c r="DU25" s="102">
        <v>60757</v>
      </c>
      <c r="DV25" s="73">
        <f t="shared" si="10"/>
        <v>0</v>
      </c>
      <c r="DW25" s="102">
        <v>0</v>
      </c>
      <c r="DX25" s="102">
        <v>1479238</v>
      </c>
      <c r="DY25" s="102">
        <v>0</v>
      </c>
      <c r="DZ25" s="102">
        <v>1460209</v>
      </c>
      <c r="EA25" s="74">
        <v>0</v>
      </c>
      <c r="EB25" s="102">
        <v>1306050</v>
      </c>
      <c r="EC25" s="102">
        <v>0</v>
      </c>
      <c r="ED25" s="102">
        <v>59442786</v>
      </c>
      <c r="EE25" s="71"/>
      <c r="EF25" s="102">
        <v>437119</v>
      </c>
      <c r="EG25" s="102">
        <v>83839</v>
      </c>
      <c r="EH25" s="102">
        <v>353280</v>
      </c>
      <c r="EI25" s="102">
        <v>269609</v>
      </c>
      <c r="EJ25" s="102">
        <v>860235</v>
      </c>
      <c r="EK25" s="71"/>
      <c r="EL25" s="102"/>
      <c r="EM25" s="102">
        <v>185336</v>
      </c>
      <c r="EN25" s="102">
        <v>300000</v>
      </c>
      <c r="EO25" s="102">
        <v>175283</v>
      </c>
      <c r="EP25" s="73">
        <f t="shared" si="11"/>
        <v>1340538</v>
      </c>
      <c r="EQ25" s="102">
        <v>33514138</v>
      </c>
      <c r="ER25" s="71">
        <v>-4461297</v>
      </c>
      <c r="ES25" s="102">
        <v>10244354</v>
      </c>
      <c r="ET25" s="102">
        <v>6071384</v>
      </c>
      <c r="EU25" s="102">
        <v>5160762</v>
      </c>
      <c r="EV25" s="102">
        <v>4819547</v>
      </c>
      <c r="EW25" s="73">
        <f t="shared" si="12"/>
        <v>2337462</v>
      </c>
      <c r="EX25" s="102">
        <v>2331336</v>
      </c>
      <c r="EY25" s="102">
        <v>147086</v>
      </c>
      <c r="EZ25" s="102">
        <v>2183991</v>
      </c>
      <c r="FA25" s="102">
        <v>6126</v>
      </c>
      <c r="FB25" s="102">
        <v>0</v>
      </c>
      <c r="FC25" s="102">
        <v>5232576</v>
      </c>
      <c r="FD25" s="102">
        <v>4695692</v>
      </c>
      <c r="FE25" s="102">
        <v>1290494</v>
      </c>
      <c r="FF25" s="102">
        <v>3554169</v>
      </c>
      <c r="FG25" s="73">
        <f t="shared" si="13"/>
        <v>1510959</v>
      </c>
      <c r="FH25" s="102">
        <v>37555521</v>
      </c>
      <c r="FI25" s="379">
        <f t="shared" si="14"/>
        <v>1.1000000000000001</v>
      </c>
      <c r="FJ25" s="102">
        <v>29915782</v>
      </c>
      <c r="FK25" s="102">
        <v>2919885</v>
      </c>
      <c r="FL25" s="102">
        <v>17104983</v>
      </c>
      <c r="FM25" s="102">
        <v>24941040</v>
      </c>
      <c r="FN25" s="428">
        <v>0.70399999999999996</v>
      </c>
      <c r="FO25" s="424">
        <v>94.1</v>
      </c>
      <c r="FP25" s="425">
        <v>27.9</v>
      </c>
      <c r="FQ25" s="424">
        <v>15.2</v>
      </c>
      <c r="FR25" s="424">
        <v>14.2</v>
      </c>
      <c r="FS25" s="425">
        <v>14.9</v>
      </c>
      <c r="FT25" s="424">
        <v>11.9</v>
      </c>
      <c r="FU25" s="425">
        <v>8.9</v>
      </c>
      <c r="FV25" s="384">
        <f t="shared" si="15"/>
        <v>4.8</v>
      </c>
      <c r="FW25" s="102">
        <v>52788895</v>
      </c>
      <c r="FX25" s="384">
        <f t="shared" si="16"/>
        <v>160.80000000000001</v>
      </c>
      <c r="FY25" s="102">
        <v>6574889</v>
      </c>
      <c r="FZ25" s="102">
        <v>3650030</v>
      </c>
      <c r="GA25" s="102">
        <v>148390</v>
      </c>
      <c r="GB25" s="102">
        <v>2776469</v>
      </c>
      <c r="GC25" s="102">
        <v>0</v>
      </c>
      <c r="GD25" s="454"/>
      <c r="GE25" s="386"/>
      <c r="GF25" s="424">
        <v>98.629998971502218</v>
      </c>
      <c r="GG25" s="424">
        <v>29.463681460663562</v>
      </c>
      <c r="GH25" s="424">
        <v>94.68545149510885</v>
      </c>
      <c r="GI25" s="102">
        <v>1066</v>
      </c>
      <c r="GJ25" s="429" t="s">
        <v>646</v>
      </c>
      <c r="GK25" s="429">
        <v>11.69</v>
      </c>
      <c r="GL25" s="87">
        <v>20</v>
      </c>
      <c r="GM25" s="429" t="s">
        <v>646</v>
      </c>
      <c r="GN25" s="430">
        <v>16.690000000000001</v>
      </c>
      <c r="GO25" s="430">
        <v>30</v>
      </c>
      <c r="GP25" s="425">
        <v>4.8</v>
      </c>
      <c r="GQ25" s="425">
        <v>25</v>
      </c>
      <c r="GR25" s="425">
        <v>35</v>
      </c>
      <c r="GS25" s="431">
        <v>41.8</v>
      </c>
      <c r="GT25" s="425">
        <v>350</v>
      </c>
      <c r="GU25" s="394"/>
      <c r="GV25" s="100">
        <f t="shared" si="17"/>
        <v>32836</v>
      </c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</row>
    <row r="26" spans="2:230" x14ac:dyDescent="0.15">
      <c r="B26" s="89" t="s">
        <v>41</v>
      </c>
      <c r="C26" s="102">
        <v>22321891</v>
      </c>
      <c r="D26" s="73">
        <f t="shared" si="0"/>
        <v>9306869</v>
      </c>
      <c r="E26" s="102">
        <v>175196</v>
      </c>
      <c r="F26" s="102">
        <v>9131673</v>
      </c>
      <c r="G26" s="73">
        <f t="shared" si="1"/>
        <v>1086988</v>
      </c>
      <c r="H26" s="102">
        <v>337965</v>
      </c>
      <c r="I26" s="102">
        <v>749023</v>
      </c>
      <c r="J26" s="102">
        <v>8858237</v>
      </c>
      <c r="K26" s="102">
        <v>4118157</v>
      </c>
      <c r="L26" s="102">
        <v>3944338</v>
      </c>
      <c r="M26" s="102">
        <v>761616</v>
      </c>
      <c r="N26" s="102">
        <v>865242</v>
      </c>
      <c r="O26" s="102">
        <v>2110094</v>
      </c>
      <c r="P26" s="102">
        <v>1249297</v>
      </c>
      <c r="Q26" s="102">
        <v>860797</v>
      </c>
      <c r="R26" s="102">
        <v>268963</v>
      </c>
      <c r="S26" s="74"/>
      <c r="T26" s="73">
        <f t="shared" si="2"/>
        <v>1422112</v>
      </c>
      <c r="U26" s="102">
        <v>115732</v>
      </c>
      <c r="V26" s="102">
        <v>75060</v>
      </c>
      <c r="W26" s="102">
        <v>16704</v>
      </c>
      <c r="X26" s="102">
        <v>1107100</v>
      </c>
      <c r="Y26" s="102">
        <v>3233</v>
      </c>
      <c r="Z26" s="102">
        <v>0</v>
      </c>
      <c r="AA26" s="102">
        <v>104283</v>
      </c>
      <c r="AB26" s="102">
        <v>370819</v>
      </c>
      <c r="AC26" s="102">
        <v>948536</v>
      </c>
      <c r="AD26" s="102">
        <v>771418</v>
      </c>
      <c r="AE26" s="102">
        <v>177109</v>
      </c>
      <c r="AF26" s="102">
        <v>24588</v>
      </c>
      <c r="AG26" s="102">
        <v>304456</v>
      </c>
      <c r="AH26" s="73">
        <f t="shared" si="3"/>
        <v>851928</v>
      </c>
      <c r="AI26" s="102">
        <v>581604</v>
      </c>
      <c r="AJ26" s="102">
        <v>270324</v>
      </c>
      <c r="AK26" s="102">
        <v>6517369</v>
      </c>
      <c r="AL26" s="73">
        <f t="shared" si="4"/>
        <v>2421162</v>
      </c>
      <c r="AM26" s="102">
        <v>1361135</v>
      </c>
      <c r="AN26" s="102">
        <v>399833</v>
      </c>
      <c r="AO26" s="74"/>
      <c r="AP26" s="102">
        <v>660194</v>
      </c>
      <c r="AQ26" s="102">
        <v>873253</v>
      </c>
      <c r="AR26" s="102">
        <v>0</v>
      </c>
      <c r="AS26" s="102">
        <v>0</v>
      </c>
      <c r="AT26" s="102">
        <v>2719986</v>
      </c>
      <c r="AU26" s="102">
        <v>1529685</v>
      </c>
      <c r="AV26" s="102">
        <v>128461</v>
      </c>
      <c r="AW26" s="102">
        <v>63975</v>
      </c>
      <c r="AX26" s="102">
        <v>1190301</v>
      </c>
      <c r="AY26" s="102">
        <v>85612</v>
      </c>
      <c r="AZ26" s="102">
        <v>226567</v>
      </c>
      <c r="BA26" s="102">
        <v>105390</v>
      </c>
      <c r="BB26" s="102">
        <v>6746</v>
      </c>
      <c r="BC26" s="102">
        <v>741702</v>
      </c>
      <c r="BD26" s="102">
        <v>5320</v>
      </c>
      <c r="BE26" s="102">
        <v>260000</v>
      </c>
      <c r="BF26" s="102">
        <v>388351</v>
      </c>
      <c r="BG26" s="102">
        <v>0</v>
      </c>
      <c r="BH26" s="102">
        <v>644846</v>
      </c>
      <c r="BI26" s="102">
        <v>510906</v>
      </c>
      <c r="BJ26" s="102">
        <v>1538670</v>
      </c>
      <c r="BK26" s="102">
        <v>54018</v>
      </c>
      <c r="BL26" s="102">
        <v>0</v>
      </c>
      <c r="BM26" s="102">
        <v>600000</v>
      </c>
      <c r="BN26" s="102">
        <v>2341112</v>
      </c>
      <c r="BO26" s="73">
        <f t="shared" si="5"/>
        <v>840900</v>
      </c>
      <c r="BP26" s="73">
        <f t="shared" si="6"/>
        <v>1500212</v>
      </c>
      <c r="BQ26" s="102">
        <v>0</v>
      </c>
      <c r="BR26" s="102">
        <v>0</v>
      </c>
      <c r="BS26" s="102">
        <v>1500212</v>
      </c>
      <c r="BT26" s="102">
        <v>0</v>
      </c>
      <c r="BU26" s="102">
        <v>41250291</v>
      </c>
      <c r="BV26" s="71"/>
      <c r="BW26" s="102">
        <v>9316859</v>
      </c>
      <c r="BX26" s="102">
        <v>6558943</v>
      </c>
      <c r="BY26" s="102">
        <v>771522</v>
      </c>
      <c r="BZ26" s="102">
        <v>264664</v>
      </c>
      <c r="CA26" s="102">
        <v>7960861</v>
      </c>
      <c r="CB26" s="102">
        <v>1597499</v>
      </c>
      <c r="CC26" s="102">
        <v>243657</v>
      </c>
      <c r="CD26" s="102">
        <v>4264086</v>
      </c>
      <c r="CE26" s="102">
        <v>1764955</v>
      </c>
      <c r="CF26" s="102">
        <v>6239</v>
      </c>
      <c r="CG26" s="102">
        <v>84173</v>
      </c>
      <c r="CH26" s="102">
        <v>3647295</v>
      </c>
      <c r="CI26" s="102">
        <v>3182897</v>
      </c>
      <c r="CJ26" s="83">
        <f t="shared" si="19"/>
        <v>464398</v>
      </c>
      <c r="CK26" s="102">
        <v>6692043</v>
      </c>
      <c r="CL26" s="102">
        <v>4474349</v>
      </c>
      <c r="CM26" s="102">
        <v>362023</v>
      </c>
      <c r="CN26" s="102">
        <v>1106943</v>
      </c>
      <c r="CO26" s="102">
        <v>527588</v>
      </c>
      <c r="CP26" s="102">
        <v>2537716</v>
      </c>
      <c r="CQ26" s="102">
        <v>62914</v>
      </c>
      <c r="CR26" s="102">
        <v>1374367</v>
      </c>
      <c r="CS26" s="102">
        <v>1144760</v>
      </c>
      <c r="CT26" s="73">
        <f t="shared" si="7"/>
        <v>623172</v>
      </c>
      <c r="CU26" s="102">
        <v>589572</v>
      </c>
      <c r="CV26" s="102">
        <v>33600</v>
      </c>
      <c r="CW26" s="73">
        <f t="shared" si="8"/>
        <v>290417</v>
      </c>
      <c r="CX26" s="102">
        <v>260417</v>
      </c>
      <c r="CY26" s="102">
        <v>30000</v>
      </c>
      <c r="CZ26" s="73">
        <f t="shared" si="9"/>
        <v>324832</v>
      </c>
      <c r="DA26" s="102">
        <v>321232</v>
      </c>
      <c r="DB26" s="102">
        <v>3600</v>
      </c>
      <c r="DC26" s="102">
        <v>4316128</v>
      </c>
      <c r="DD26" s="102">
        <v>2693322</v>
      </c>
      <c r="DE26" s="102">
        <v>1622806</v>
      </c>
      <c r="DF26" s="77">
        <v>0</v>
      </c>
      <c r="DG26" s="78">
        <v>0</v>
      </c>
      <c r="DH26" s="102">
        <v>13578</v>
      </c>
      <c r="DI26" s="102">
        <v>923613</v>
      </c>
      <c r="DJ26" s="102">
        <v>13792</v>
      </c>
      <c r="DK26" s="102">
        <v>2551</v>
      </c>
      <c r="DL26" s="102">
        <v>907270</v>
      </c>
      <c r="DM26" s="102">
        <v>389398</v>
      </c>
      <c r="DN26" s="102">
        <v>389398</v>
      </c>
      <c r="DO26" s="102">
        <v>0</v>
      </c>
      <c r="DP26" s="102">
        <v>389398</v>
      </c>
      <c r="DQ26" s="102">
        <v>58000</v>
      </c>
      <c r="DR26" s="102">
        <v>0</v>
      </c>
      <c r="DS26" s="102">
        <v>0</v>
      </c>
      <c r="DT26" s="102">
        <v>3503156</v>
      </c>
      <c r="DU26" s="102">
        <v>0</v>
      </c>
      <c r="DV26" s="73">
        <f t="shared" si="10"/>
        <v>0</v>
      </c>
      <c r="DW26" s="102">
        <v>0</v>
      </c>
      <c r="DX26" s="102">
        <v>1043302</v>
      </c>
      <c r="DY26" s="102">
        <v>0</v>
      </c>
      <c r="DZ26" s="102">
        <v>1278740</v>
      </c>
      <c r="EA26" s="74">
        <v>0</v>
      </c>
      <c r="EB26" s="102">
        <v>1053757</v>
      </c>
      <c r="EC26" s="102">
        <v>0</v>
      </c>
      <c r="ED26" s="102">
        <v>39886235</v>
      </c>
      <c r="EE26" s="71"/>
      <c r="EF26" s="102">
        <v>1364056</v>
      </c>
      <c r="EG26" s="102">
        <v>351083</v>
      </c>
      <c r="EH26" s="102">
        <v>1012973</v>
      </c>
      <c r="EI26" s="102">
        <v>-7933</v>
      </c>
      <c r="EJ26" s="102">
        <v>539</v>
      </c>
      <c r="EK26" s="71"/>
      <c r="EL26" s="102"/>
      <c r="EM26" s="102">
        <v>129209</v>
      </c>
      <c r="EN26" s="102">
        <v>363848</v>
      </c>
      <c r="EO26" s="102">
        <v>189896</v>
      </c>
      <c r="EP26" s="73">
        <f t="shared" si="11"/>
        <v>2135118</v>
      </c>
      <c r="EQ26" s="102">
        <v>25356909</v>
      </c>
      <c r="ER26" s="71">
        <v>-4164486</v>
      </c>
      <c r="ES26" s="102">
        <v>8841462</v>
      </c>
      <c r="ET26" s="102">
        <v>6132929</v>
      </c>
      <c r="EU26" s="102">
        <v>2110777</v>
      </c>
      <c r="EV26" s="102">
        <v>3643928</v>
      </c>
      <c r="EW26" s="73">
        <f t="shared" si="12"/>
        <v>1386670</v>
      </c>
      <c r="EX26" s="102">
        <v>1373092</v>
      </c>
      <c r="EY26" s="102">
        <v>228535</v>
      </c>
      <c r="EZ26" s="102">
        <v>1144557</v>
      </c>
      <c r="FA26" s="102">
        <v>13578</v>
      </c>
      <c r="FB26" s="102">
        <v>0</v>
      </c>
      <c r="FC26" s="102">
        <v>5122850</v>
      </c>
      <c r="FD26" s="102">
        <v>2258656</v>
      </c>
      <c r="FE26" s="102">
        <v>62914</v>
      </c>
      <c r="FF26" s="102">
        <v>2972447</v>
      </c>
      <c r="FG26" s="73">
        <f t="shared" si="13"/>
        <v>1823872</v>
      </c>
      <c r="FH26" s="102">
        <v>28160662</v>
      </c>
      <c r="FI26" s="379">
        <f t="shared" si="14"/>
        <v>4.0999999999999996</v>
      </c>
      <c r="FJ26" s="102">
        <v>22945983</v>
      </c>
      <c r="FK26" s="102">
        <v>1500212</v>
      </c>
      <c r="FL26" s="102">
        <v>16827790</v>
      </c>
      <c r="FM26" s="102">
        <v>17599208</v>
      </c>
      <c r="FN26" s="428">
        <v>0.99</v>
      </c>
      <c r="FO26" s="424">
        <v>94.8</v>
      </c>
      <c r="FP26" s="425">
        <v>35</v>
      </c>
      <c r="FQ26" s="424">
        <v>8.5</v>
      </c>
      <c r="FR26" s="424">
        <v>14.7</v>
      </c>
      <c r="FS26" s="425">
        <v>18</v>
      </c>
      <c r="FT26" s="424">
        <v>7.1</v>
      </c>
      <c r="FU26" s="425">
        <v>9.5</v>
      </c>
      <c r="FV26" s="384">
        <f t="shared" si="15"/>
        <v>4.9000000000000004</v>
      </c>
      <c r="FW26" s="102">
        <v>28329705</v>
      </c>
      <c r="FX26" s="384">
        <f t="shared" si="16"/>
        <v>115.9</v>
      </c>
      <c r="FY26" s="102">
        <v>16649996</v>
      </c>
      <c r="FZ26" s="102">
        <v>6917987</v>
      </c>
      <c r="GA26" s="102">
        <v>1017845</v>
      </c>
      <c r="GB26" s="102">
        <v>8714164</v>
      </c>
      <c r="GC26" s="102">
        <v>0</v>
      </c>
      <c r="GD26" s="454">
        <v>2216714</v>
      </c>
      <c r="GE26" s="386">
        <f t="shared" ref="GE26:GE37" si="21">IF(GD26=0,"-",ROUND(GD26/(FJ26+FK26)*100,1))</f>
        <v>9.1</v>
      </c>
      <c r="GF26" s="424">
        <v>98.197642909141649</v>
      </c>
      <c r="GG26" s="424">
        <v>18.176369488798869</v>
      </c>
      <c r="GH26" s="424">
        <v>91.657350122234348</v>
      </c>
      <c r="GI26" s="102">
        <v>873</v>
      </c>
      <c r="GJ26" s="429" t="s">
        <v>646</v>
      </c>
      <c r="GK26" s="429">
        <v>12.12</v>
      </c>
      <c r="GL26" s="87">
        <v>20</v>
      </c>
      <c r="GM26" s="429" t="s">
        <v>646</v>
      </c>
      <c r="GN26" s="430">
        <v>17.12</v>
      </c>
      <c r="GO26" s="430">
        <v>30</v>
      </c>
      <c r="GP26" s="425">
        <v>4.9000000000000004</v>
      </c>
      <c r="GQ26" s="425">
        <v>25</v>
      </c>
      <c r="GR26" s="425">
        <v>35</v>
      </c>
      <c r="GS26" s="431" t="s">
        <v>646</v>
      </c>
      <c r="GT26" s="425">
        <v>350</v>
      </c>
      <c r="GU26" s="394"/>
      <c r="GV26" s="100">
        <f t="shared" si="17"/>
        <v>24446</v>
      </c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</row>
    <row r="27" spans="2:230" x14ac:dyDescent="0.15">
      <c r="B27" s="89" t="s">
        <v>43</v>
      </c>
      <c r="C27" s="102">
        <v>8964964</v>
      </c>
      <c r="D27" s="73">
        <f t="shared" si="0"/>
        <v>3336703</v>
      </c>
      <c r="E27" s="102">
        <v>95362</v>
      </c>
      <c r="F27" s="102">
        <v>3241341</v>
      </c>
      <c r="G27" s="73">
        <f t="shared" si="1"/>
        <v>683301</v>
      </c>
      <c r="H27" s="102">
        <v>126341</v>
      </c>
      <c r="I27" s="102">
        <v>556960</v>
      </c>
      <c r="J27" s="102">
        <v>3759864</v>
      </c>
      <c r="K27" s="102">
        <v>1532573</v>
      </c>
      <c r="L27" s="102">
        <v>1489241</v>
      </c>
      <c r="M27" s="102">
        <v>712335</v>
      </c>
      <c r="N27" s="102">
        <v>356664</v>
      </c>
      <c r="O27" s="102">
        <v>754085</v>
      </c>
      <c r="P27" s="102">
        <v>433297</v>
      </c>
      <c r="Q27" s="102">
        <v>320788</v>
      </c>
      <c r="R27" s="102">
        <v>134073</v>
      </c>
      <c r="S27" s="74"/>
      <c r="T27" s="73">
        <f t="shared" si="2"/>
        <v>791030</v>
      </c>
      <c r="U27" s="102">
        <v>42393</v>
      </c>
      <c r="V27" s="102">
        <v>27469</v>
      </c>
      <c r="W27" s="102">
        <v>6091</v>
      </c>
      <c r="X27" s="102">
        <v>661349</v>
      </c>
      <c r="Y27" s="102">
        <v>0</v>
      </c>
      <c r="Z27" s="102">
        <v>0</v>
      </c>
      <c r="AA27" s="102">
        <v>53728</v>
      </c>
      <c r="AB27" s="102">
        <v>134343</v>
      </c>
      <c r="AC27" s="102">
        <v>4020579</v>
      </c>
      <c r="AD27" s="102">
        <v>3764751</v>
      </c>
      <c r="AE27" s="102">
        <v>255824</v>
      </c>
      <c r="AF27" s="102">
        <v>13193</v>
      </c>
      <c r="AG27" s="102">
        <v>232388</v>
      </c>
      <c r="AH27" s="73">
        <f t="shared" si="3"/>
        <v>427423</v>
      </c>
      <c r="AI27" s="102">
        <v>391235</v>
      </c>
      <c r="AJ27" s="102">
        <v>36188</v>
      </c>
      <c r="AK27" s="102">
        <v>3508480</v>
      </c>
      <c r="AL27" s="73">
        <f t="shared" si="4"/>
        <v>2131379</v>
      </c>
      <c r="AM27" s="102">
        <v>1529756</v>
      </c>
      <c r="AN27" s="102">
        <v>316563</v>
      </c>
      <c r="AO27" s="74"/>
      <c r="AP27" s="102">
        <v>285060</v>
      </c>
      <c r="AQ27" s="102">
        <v>56218</v>
      </c>
      <c r="AR27" s="102">
        <v>0</v>
      </c>
      <c r="AS27" s="102">
        <v>0</v>
      </c>
      <c r="AT27" s="102">
        <v>1445450</v>
      </c>
      <c r="AU27" s="102">
        <v>768467</v>
      </c>
      <c r="AV27" s="102">
        <v>98917</v>
      </c>
      <c r="AW27" s="102">
        <v>33944</v>
      </c>
      <c r="AX27" s="102">
        <v>676983</v>
      </c>
      <c r="AY27" s="102">
        <v>47317</v>
      </c>
      <c r="AZ27" s="102">
        <v>26813</v>
      </c>
      <c r="BA27" s="102">
        <v>205</v>
      </c>
      <c r="BB27" s="102">
        <v>3647</v>
      </c>
      <c r="BC27" s="102">
        <v>500</v>
      </c>
      <c r="BD27" s="102">
        <v>0</v>
      </c>
      <c r="BE27" s="102">
        <v>0</v>
      </c>
      <c r="BF27" s="102">
        <v>500</v>
      </c>
      <c r="BG27" s="102">
        <v>0</v>
      </c>
      <c r="BH27" s="102">
        <v>405249</v>
      </c>
      <c r="BI27" s="102">
        <v>352583</v>
      </c>
      <c r="BJ27" s="102">
        <v>316158</v>
      </c>
      <c r="BK27" s="102">
        <v>47031</v>
      </c>
      <c r="BL27" s="102">
        <v>0</v>
      </c>
      <c r="BM27" s="102">
        <v>0</v>
      </c>
      <c r="BN27" s="102">
        <v>1441782</v>
      </c>
      <c r="BO27" s="73">
        <f t="shared" si="5"/>
        <v>182800</v>
      </c>
      <c r="BP27" s="73">
        <f t="shared" si="6"/>
        <v>1258982</v>
      </c>
      <c r="BQ27" s="102">
        <v>0</v>
      </c>
      <c r="BR27" s="102">
        <v>0</v>
      </c>
      <c r="BS27" s="102">
        <v>1258982</v>
      </c>
      <c r="BT27" s="102">
        <v>0</v>
      </c>
      <c r="BU27" s="102">
        <v>21866072</v>
      </c>
      <c r="BV27" s="71"/>
      <c r="BW27" s="102">
        <v>3828952</v>
      </c>
      <c r="BX27" s="102">
        <v>2345245</v>
      </c>
      <c r="BY27" s="102">
        <v>365214</v>
      </c>
      <c r="BZ27" s="102">
        <v>311003</v>
      </c>
      <c r="CA27" s="102">
        <v>5792816</v>
      </c>
      <c r="CB27" s="102">
        <v>813387</v>
      </c>
      <c r="CC27" s="102">
        <v>122516</v>
      </c>
      <c r="CD27" s="102">
        <v>2743145</v>
      </c>
      <c r="CE27" s="102">
        <v>2025108</v>
      </c>
      <c r="CF27" s="102">
        <v>0</v>
      </c>
      <c r="CG27" s="102">
        <v>88660</v>
      </c>
      <c r="CH27" s="102">
        <v>1867057</v>
      </c>
      <c r="CI27" s="102">
        <v>1542507</v>
      </c>
      <c r="CJ27" s="83">
        <f t="shared" si="19"/>
        <v>324550</v>
      </c>
      <c r="CK27" s="102">
        <v>2343941</v>
      </c>
      <c r="CL27" s="102">
        <v>1385510</v>
      </c>
      <c r="CM27" s="102">
        <v>214340</v>
      </c>
      <c r="CN27" s="102">
        <v>319885</v>
      </c>
      <c r="CO27" s="102">
        <v>85309</v>
      </c>
      <c r="CP27" s="102">
        <v>3404919</v>
      </c>
      <c r="CQ27" s="102">
        <v>1756640</v>
      </c>
      <c r="CR27" s="102">
        <v>399074</v>
      </c>
      <c r="CS27" s="102">
        <v>209067</v>
      </c>
      <c r="CT27" s="73">
        <f t="shared" si="7"/>
        <v>1032163</v>
      </c>
      <c r="CU27" s="102">
        <v>108949</v>
      </c>
      <c r="CV27" s="102">
        <v>923214</v>
      </c>
      <c r="CW27" s="73">
        <f t="shared" si="8"/>
        <v>1028317</v>
      </c>
      <c r="CX27" s="102">
        <v>106682</v>
      </c>
      <c r="CY27" s="102">
        <v>921635</v>
      </c>
      <c r="CZ27" s="73">
        <f t="shared" si="9"/>
        <v>0</v>
      </c>
      <c r="DA27" s="102">
        <v>0</v>
      </c>
      <c r="DB27" s="102">
        <v>0</v>
      </c>
      <c r="DC27" s="102">
        <v>816790</v>
      </c>
      <c r="DD27" s="102">
        <v>252313</v>
      </c>
      <c r="DE27" s="102">
        <v>564477</v>
      </c>
      <c r="DF27" s="77">
        <v>0</v>
      </c>
      <c r="DG27" s="78">
        <v>0</v>
      </c>
      <c r="DH27" s="102">
        <v>0</v>
      </c>
      <c r="DI27" s="102">
        <v>11804</v>
      </c>
      <c r="DJ27" s="102">
        <v>1511</v>
      </c>
      <c r="DK27" s="102">
        <v>0</v>
      </c>
      <c r="DL27" s="102">
        <v>10293</v>
      </c>
      <c r="DM27" s="102">
        <v>179806</v>
      </c>
      <c r="DN27" s="102">
        <v>179806</v>
      </c>
      <c r="DO27" s="102">
        <v>0</v>
      </c>
      <c r="DP27" s="102">
        <v>179806</v>
      </c>
      <c r="DQ27" s="102">
        <v>45249</v>
      </c>
      <c r="DR27" s="102">
        <v>0</v>
      </c>
      <c r="DS27" s="102">
        <v>0</v>
      </c>
      <c r="DT27" s="102">
        <v>3011477</v>
      </c>
      <c r="DU27" s="102">
        <v>930692</v>
      </c>
      <c r="DV27" s="73">
        <f t="shared" si="10"/>
        <v>0</v>
      </c>
      <c r="DW27" s="102">
        <v>0</v>
      </c>
      <c r="DX27" s="102">
        <v>680339</v>
      </c>
      <c r="DY27" s="102">
        <v>0</v>
      </c>
      <c r="DZ27" s="102">
        <v>685431</v>
      </c>
      <c r="EA27" s="74">
        <v>0</v>
      </c>
      <c r="EB27" s="102">
        <v>713340</v>
      </c>
      <c r="EC27" s="102">
        <v>0</v>
      </c>
      <c r="ED27" s="102">
        <v>21388120</v>
      </c>
      <c r="EE27" s="71"/>
      <c r="EF27" s="102">
        <v>477952</v>
      </c>
      <c r="EG27" s="102">
        <v>19741</v>
      </c>
      <c r="EH27" s="102">
        <v>458211</v>
      </c>
      <c r="EI27" s="102">
        <v>-264372</v>
      </c>
      <c r="EJ27" s="102">
        <v>-262861</v>
      </c>
      <c r="EK27" s="71"/>
      <c r="EL27" s="102"/>
      <c r="EM27" s="102">
        <v>72166</v>
      </c>
      <c r="EN27" s="102">
        <v>0</v>
      </c>
      <c r="EO27" s="102">
        <v>15361</v>
      </c>
      <c r="EP27" s="73">
        <f t="shared" si="11"/>
        <v>641271</v>
      </c>
      <c r="EQ27" s="102">
        <v>14058182</v>
      </c>
      <c r="ER27" s="71">
        <v>-1902421</v>
      </c>
      <c r="ES27" s="102">
        <v>3425336</v>
      </c>
      <c r="ET27" s="102">
        <v>2036627</v>
      </c>
      <c r="EU27" s="102">
        <v>1675165</v>
      </c>
      <c r="EV27" s="102">
        <v>1867057</v>
      </c>
      <c r="EW27" s="73">
        <f t="shared" si="12"/>
        <v>383452</v>
      </c>
      <c r="EX27" s="102">
        <v>383452</v>
      </c>
      <c r="EY27" s="102">
        <v>29728</v>
      </c>
      <c r="EZ27" s="102">
        <v>353724</v>
      </c>
      <c r="FA27" s="102">
        <v>0</v>
      </c>
      <c r="FB27" s="102">
        <v>0</v>
      </c>
      <c r="FC27" s="102">
        <v>1888044</v>
      </c>
      <c r="FD27" s="102">
        <v>3305870</v>
      </c>
      <c r="FE27" s="102">
        <v>1756640</v>
      </c>
      <c r="FF27" s="102">
        <v>2675790</v>
      </c>
      <c r="FG27" s="73">
        <f t="shared" si="13"/>
        <v>261937</v>
      </c>
      <c r="FH27" s="102">
        <v>15482651</v>
      </c>
      <c r="FI27" s="379">
        <f t="shared" si="14"/>
        <v>3.2</v>
      </c>
      <c r="FJ27" s="102">
        <v>12930626</v>
      </c>
      <c r="FK27" s="102">
        <v>1258982</v>
      </c>
      <c r="FL27" s="102">
        <v>7118057</v>
      </c>
      <c r="FM27" s="102">
        <v>10881014</v>
      </c>
      <c r="FN27" s="428">
        <v>0.66700000000000004</v>
      </c>
      <c r="FO27" s="424">
        <v>92.3</v>
      </c>
      <c r="FP27" s="425">
        <v>23.6</v>
      </c>
      <c r="FQ27" s="424">
        <v>11.5</v>
      </c>
      <c r="FR27" s="424">
        <v>13</v>
      </c>
      <c r="FS27" s="425">
        <v>11.9</v>
      </c>
      <c r="FT27" s="424">
        <v>15.7</v>
      </c>
      <c r="FU27" s="425">
        <v>15.1</v>
      </c>
      <c r="FV27" s="384">
        <f t="shared" si="15"/>
        <v>9.5</v>
      </c>
      <c r="FW27" s="102">
        <v>20392891</v>
      </c>
      <c r="FX27" s="384">
        <f t="shared" si="16"/>
        <v>143.69999999999999</v>
      </c>
      <c r="FY27" s="102">
        <v>3258592</v>
      </c>
      <c r="FZ27" s="102">
        <v>591803</v>
      </c>
      <c r="GA27" s="102">
        <v>173</v>
      </c>
      <c r="GB27" s="102">
        <v>2666616</v>
      </c>
      <c r="GC27" s="102">
        <v>250000</v>
      </c>
      <c r="GD27" s="454">
        <v>371153</v>
      </c>
      <c r="GE27" s="386">
        <f t="shared" si="21"/>
        <v>2.6</v>
      </c>
      <c r="GF27" s="424">
        <v>97.941739416000601</v>
      </c>
      <c r="GG27" s="424">
        <v>30.859457117921739</v>
      </c>
      <c r="GH27" s="424">
        <v>93.546497073960253</v>
      </c>
      <c r="GI27" s="102">
        <v>389</v>
      </c>
      <c r="GJ27" s="429" t="s">
        <v>646</v>
      </c>
      <c r="GK27" s="429">
        <v>12.84</v>
      </c>
      <c r="GL27" s="87">
        <v>20</v>
      </c>
      <c r="GM27" s="429" t="s">
        <v>646</v>
      </c>
      <c r="GN27" s="430">
        <v>17.84</v>
      </c>
      <c r="GO27" s="430">
        <v>30</v>
      </c>
      <c r="GP27" s="425">
        <v>9.5</v>
      </c>
      <c r="GQ27" s="425">
        <v>25</v>
      </c>
      <c r="GR27" s="425">
        <v>35</v>
      </c>
      <c r="GS27" s="431">
        <v>58.7</v>
      </c>
      <c r="GT27" s="425">
        <v>350</v>
      </c>
      <c r="GU27" s="394"/>
      <c r="GV27" s="100">
        <f t="shared" si="17"/>
        <v>14190</v>
      </c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</row>
    <row r="28" spans="2:230" x14ac:dyDescent="0.15">
      <c r="B28" s="89" t="s">
        <v>45</v>
      </c>
      <c r="C28" s="102">
        <v>12816782</v>
      </c>
      <c r="D28" s="73">
        <f t="shared" si="0"/>
        <v>5102024</v>
      </c>
      <c r="E28" s="102">
        <v>148234</v>
      </c>
      <c r="F28" s="102">
        <v>4953790</v>
      </c>
      <c r="G28" s="73">
        <f t="shared" si="1"/>
        <v>740851</v>
      </c>
      <c r="H28" s="102">
        <v>196637</v>
      </c>
      <c r="I28" s="102">
        <v>544214</v>
      </c>
      <c r="J28" s="102">
        <v>5035618</v>
      </c>
      <c r="K28" s="102">
        <v>2251319</v>
      </c>
      <c r="L28" s="102">
        <v>2254563</v>
      </c>
      <c r="M28" s="102">
        <v>480687</v>
      </c>
      <c r="N28" s="102">
        <v>676814</v>
      </c>
      <c r="O28" s="102">
        <v>1093526</v>
      </c>
      <c r="P28" s="102">
        <v>629409</v>
      </c>
      <c r="Q28" s="102">
        <v>464117</v>
      </c>
      <c r="R28" s="102">
        <v>214049</v>
      </c>
      <c r="S28" s="74"/>
      <c r="T28" s="73">
        <f t="shared" si="2"/>
        <v>1173278</v>
      </c>
      <c r="U28" s="102">
        <v>64800</v>
      </c>
      <c r="V28" s="102">
        <v>41986</v>
      </c>
      <c r="W28" s="102">
        <v>9309</v>
      </c>
      <c r="X28" s="102">
        <v>974205</v>
      </c>
      <c r="Y28" s="102">
        <v>0</v>
      </c>
      <c r="Z28" s="102">
        <v>0</v>
      </c>
      <c r="AA28" s="102">
        <v>82978</v>
      </c>
      <c r="AB28" s="102">
        <v>193763</v>
      </c>
      <c r="AC28" s="102">
        <v>7893111</v>
      </c>
      <c r="AD28" s="102">
        <v>7619933</v>
      </c>
      <c r="AE28" s="102">
        <v>273171</v>
      </c>
      <c r="AF28" s="102">
        <v>20145</v>
      </c>
      <c r="AG28" s="102">
        <v>325890</v>
      </c>
      <c r="AH28" s="73">
        <f t="shared" si="3"/>
        <v>566273</v>
      </c>
      <c r="AI28" s="102">
        <v>510323</v>
      </c>
      <c r="AJ28" s="102">
        <v>55950</v>
      </c>
      <c r="AK28" s="102">
        <v>7207851</v>
      </c>
      <c r="AL28" s="73">
        <f t="shared" si="4"/>
        <v>4450509</v>
      </c>
      <c r="AM28" s="102">
        <v>3433953</v>
      </c>
      <c r="AN28" s="102">
        <v>363184</v>
      </c>
      <c r="AO28" s="74"/>
      <c r="AP28" s="102">
        <v>653372</v>
      </c>
      <c r="AQ28" s="102">
        <v>112940</v>
      </c>
      <c r="AR28" s="102">
        <v>0</v>
      </c>
      <c r="AS28" s="102">
        <v>0</v>
      </c>
      <c r="AT28" s="102">
        <v>2454722</v>
      </c>
      <c r="AU28" s="102">
        <v>1444969</v>
      </c>
      <c r="AV28" s="102">
        <v>181593</v>
      </c>
      <c r="AW28" s="102">
        <v>108006</v>
      </c>
      <c r="AX28" s="102">
        <v>1009753</v>
      </c>
      <c r="AY28" s="102">
        <v>4668</v>
      </c>
      <c r="AZ28" s="102">
        <v>34643</v>
      </c>
      <c r="BA28" s="102">
        <v>8025</v>
      </c>
      <c r="BB28" s="102">
        <v>5627</v>
      </c>
      <c r="BC28" s="102">
        <v>80246</v>
      </c>
      <c r="BD28" s="102">
        <v>0</v>
      </c>
      <c r="BE28" s="102">
        <v>0</v>
      </c>
      <c r="BF28" s="102">
        <v>80133</v>
      </c>
      <c r="BG28" s="102">
        <v>0</v>
      </c>
      <c r="BH28" s="102">
        <v>720361</v>
      </c>
      <c r="BI28" s="102">
        <v>649591</v>
      </c>
      <c r="BJ28" s="102">
        <v>430636</v>
      </c>
      <c r="BK28" s="102">
        <v>17641</v>
      </c>
      <c r="BL28" s="102">
        <v>0</v>
      </c>
      <c r="BM28" s="102">
        <v>0</v>
      </c>
      <c r="BN28" s="102">
        <v>2591600</v>
      </c>
      <c r="BO28" s="73">
        <f t="shared" si="5"/>
        <v>715300</v>
      </c>
      <c r="BP28" s="73">
        <f t="shared" si="6"/>
        <v>1876300</v>
      </c>
      <c r="BQ28" s="102">
        <v>0</v>
      </c>
      <c r="BR28" s="102">
        <v>0</v>
      </c>
      <c r="BS28" s="102">
        <v>1876300</v>
      </c>
      <c r="BT28" s="102">
        <v>0</v>
      </c>
      <c r="BU28" s="102">
        <v>36728977</v>
      </c>
      <c r="BV28" s="71"/>
      <c r="BW28" s="102">
        <v>4824000</v>
      </c>
      <c r="BX28" s="102">
        <v>3252808</v>
      </c>
      <c r="BY28" s="102">
        <v>420812</v>
      </c>
      <c r="BZ28" s="102">
        <v>80375</v>
      </c>
      <c r="CA28" s="102">
        <v>11316669</v>
      </c>
      <c r="CB28" s="102">
        <v>2177400</v>
      </c>
      <c r="CC28" s="102">
        <v>239775</v>
      </c>
      <c r="CD28" s="102">
        <v>4441847</v>
      </c>
      <c r="CE28" s="102">
        <v>4342348</v>
      </c>
      <c r="CF28" s="102">
        <v>214</v>
      </c>
      <c r="CG28" s="102">
        <v>114785</v>
      </c>
      <c r="CH28" s="102">
        <v>4932316</v>
      </c>
      <c r="CI28" s="102">
        <v>4190137</v>
      </c>
      <c r="CJ28" s="83">
        <f t="shared" si="19"/>
        <v>742179</v>
      </c>
      <c r="CK28" s="102">
        <v>4238960</v>
      </c>
      <c r="CL28" s="102">
        <v>2484887</v>
      </c>
      <c r="CM28" s="102">
        <v>573002</v>
      </c>
      <c r="CN28" s="102">
        <v>595718</v>
      </c>
      <c r="CO28" s="102">
        <v>101564</v>
      </c>
      <c r="CP28" s="102">
        <v>3186435</v>
      </c>
      <c r="CQ28" s="102">
        <v>2075211</v>
      </c>
      <c r="CR28" s="102">
        <v>791833</v>
      </c>
      <c r="CS28" s="102">
        <v>676569</v>
      </c>
      <c r="CT28" s="73">
        <f t="shared" si="7"/>
        <v>4250</v>
      </c>
      <c r="CU28" s="102">
        <v>496</v>
      </c>
      <c r="CV28" s="102">
        <v>3754</v>
      </c>
      <c r="CW28" s="73">
        <f t="shared" si="8"/>
        <v>0</v>
      </c>
      <c r="CX28" s="102">
        <v>0</v>
      </c>
      <c r="CY28" s="102">
        <v>0</v>
      </c>
      <c r="CZ28" s="73">
        <f t="shared" si="9"/>
        <v>0</v>
      </c>
      <c r="DA28" s="102">
        <v>0</v>
      </c>
      <c r="DB28" s="102">
        <v>0</v>
      </c>
      <c r="DC28" s="102">
        <v>1747684</v>
      </c>
      <c r="DD28" s="102">
        <v>614062</v>
      </c>
      <c r="DE28" s="102">
        <v>1133622</v>
      </c>
      <c r="DF28" s="77">
        <v>0</v>
      </c>
      <c r="DG28" s="78">
        <v>0</v>
      </c>
      <c r="DH28" s="102">
        <v>0</v>
      </c>
      <c r="DI28" s="102">
        <v>660287</v>
      </c>
      <c r="DJ28" s="102">
        <v>651960</v>
      </c>
      <c r="DK28" s="102">
        <v>68</v>
      </c>
      <c r="DL28" s="102">
        <v>8250</v>
      </c>
      <c r="DM28" s="102">
        <v>0</v>
      </c>
      <c r="DN28" s="102">
        <v>0</v>
      </c>
      <c r="DO28" s="102">
        <v>0</v>
      </c>
      <c r="DP28" s="102">
        <v>0</v>
      </c>
      <c r="DQ28" s="102">
        <v>125156</v>
      </c>
      <c r="DR28" s="102">
        <v>0</v>
      </c>
      <c r="DS28" s="102">
        <v>0</v>
      </c>
      <c r="DT28" s="102">
        <v>4747571</v>
      </c>
      <c r="DU28" s="102">
        <v>1384088</v>
      </c>
      <c r="DV28" s="73">
        <f t="shared" si="10"/>
        <v>0</v>
      </c>
      <c r="DW28" s="102">
        <v>0</v>
      </c>
      <c r="DX28" s="102">
        <v>1131598</v>
      </c>
      <c r="DY28" s="102">
        <v>0</v>
      </c>
      <c r="DZ28" s="102">
        <v>981769</v>
      </c>
      <c r="EA28" s="74">
        <v>0</v>
      </c>
      <c r="EB28" s="102">
        <v>1137171</v>
      </c>
      <c r="EC28" s="102">
        <v>0</v>
      </c>
      <c r="ED28" s="102">
        <v>35880642</v>
      </c>
      <c r="EE28" s="71"/>
      <c r="EF28" s="102">
        <v>848335</v>
      </c>
      <c r="EG28" s="102">
        <v>77240</v>
      </c>
      <c r="EH28" s="102">
        <v>771095</v>
      </c>
      <c r="EI28" s="102">
        <v>121504</v>
      </c>
      <c r="EJ28" s="102">
        <v>959906</v>
      </c>
      <c r="EK28" s="71"/>
      <c r="EL28" s="102"/>
      <c r="EM28" s="102">
        <v>116288</v>
      </c>
      <c r="EN28" s="102">
        <v>50320</v>
      </c>
      <c r="EO28" s="102">
        <v>26734</v>
      </c>
      <c r="EP28" s="73">
        <f t="shared" si="11"/>
        <v>1258413</v>
      </c>
      <c r="EQ28" s="102">
        <v>22311128</v>
      </c>
      <c r="ER28" s="71">
        <v>-3191622</v>
      </c>
      <c r="ES28" s="102">
        <v>4433368</v>
      </c>
      <c r="ET28" s="102">
        <v>2896818</v>
      </c>
      <c r="EU28" s="102">
        <v>3160589</v>
      </c>
      <c r="EV28" s="102">
        <v>4867573</v>
      </c>
      <c r="EW28" s="73">
        <f t="shared" si="12"/>
        <v>625280</v>
      </c>
      <c r="EX28" s="102">
        <v>625280</v>
      </c>
      <c r="EY28" s="102">
        <v>101169</v>
      </c>
      <c r="EZ28" s="102">
        <v>524111</v>
      </c>
      <c r="FA28" s="102">
        <v>0</v>
      </c>
      <c r="FB28" s="102">
        <v>0</v>
      </c>
      <c r="FC28" s="102">
        <v>3485581</v>
      </c>
      <c r="FD28" s="102">
        <v>3026385</v>
      </c>
      <c r="FE28" s="102">
        <v>2075211</v>
      </c>
      <c r="FF28" s="102">
        <v>4189723</v>
      </c>
      <c r="FG28" s="73">
        <f t="shared" si="13"/>
        <v>865916</v>
      </c>
      <c r="FH28" s="102">
        <v>24654415</v>
      </c>
      <c r="FI28" s="379">
        <f t="shared" si="14"/>
        <v>3.4</v>
      </c>
      <c r="FJ28" s="102">
        <v>20684953</v>
      </c>
      <c r="FK28" s="102">
        <v>1876380</v>
      </c>
      <c r="FL28" s="102">
        <v>10151152</v>
      </c>
      <c r="FM28" s="102">
        <v>17770786</v>
      </c>
      <c r="FN28" s="428">
        <v>0.58799999999999997</v>
      </c>
      <c r="FO28" s="424">
        <v>94.5</v>
      </c>
      <c r="FP28" s="425">
        <v>19.3</v>
      </c>
      <c r="FQ28" s="424">
        <v>13.7</v>
      </c>
      <c r="FR28" s="424">
        <v>20.3</v>
      </c>
      <c r="FS28" s="425">
        <v>14.2</v>
      </c>
      <c r="FT28" s="424">
        <v>12.7</v>
      </c>
      <c r="FU28" s="425">
        <v>13.9</v>
      </c>
      <c r="FV28" s="384">
        <f t="shared" si="15"/>
        <v>10.7</v>
      </c>
      <c r="FW28" s="102">
        <v>44121531</v>
      </c>
      <c r="FX28" s="384">
        <f t="shared" si="16"/>
        <v>195.6</v>
      </c>
      <c r="FY28" s="102">
        <v>2807399</v>
      </c>
      <c r="FZ28" s="102">
        <v>1965013</v>
      </c>
      <c r="GA28" s="102">
        <v>72353</v>
      </c>
      <c r="GB28" s="102">
        <v>770033</v>
      </c>
      <c r="GC28" s="102">
        <v>0</v>
      </c>
      <c r="GD28" s="454">
        <v>4895593</v>
      </c>
      <c r="GE28" s="386">
        <f t="shared" si="21"/>
        <v>21.7</v>
      </c>
      <c r="GF28" s="424">
        <v>97.864982245241208</v>
      </c>
      <c r="GG28" s="424">
        <v>23.624110699570949</v>
      </c>
      <c r="GH28" s="424">
        <v>91.28513089707026</v>
      </c>
      <c r="GI28" s="102">
        <v>541</v>
      </c>
      <c r="GJ28" s="429" t="s">
        <v>646</v>
      </c>
      <c r="GK28" s="429">
        <v>12.26</v>
      </c>
      <c r="GL28" s="87">
        <v>20</v>
      </c>
      <c r="GM28" s="429" t="s">
        <v>646</v>
      </c>
      <c r="GN28" s="430">
        <v>17.260000000000002</v>
      </c>
      <c r="GO28" s="430">
        <v>30</v>
      </c>
      <c r="GP28" s="425">
        <v>10.7</v>
      </c>
      <c r="GQ28" s="425">
        <v>25</v>
      </c>
      <c r="GR28" s="425">
        <v>35</v>
      </c>
      <c r="GS28" s="431">
        <v>116.6</v>
      </c>
      <c r="GT28" s="425">
        <v>350</v>
      </c>
      <c r="GU28" s="394"/>
      <c r="GV28" s="100">
        <f t="shared" si="17"/>
        <v>22561</v>
      </c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</row>
    <row r="29" spans="2:230" x14ac:dyDescent="0.15">
      <c r="B29" s="89" t="s">
        <v>47</v>
      </c>
      <c r="C29" s="102">
        <v>18261748</v>
      </c>
      <c r="D29" s="73">
        <f t="shared" si="0"/>
        <v>4982441</v>
      </c>
      <c r="E29" s="102">
        <v>156622</v>
      </c>
      <c r="F29" s="102">
        <v>4825819</v>
      </c>
      <c r="G29" s="73">
        <f t="shared" si="1"/>
        <v>1625137</v>
      </c>
      <c r="H29" s="102">
        <v>436767</v>
      </c>
      <c r="I29" s="102">
        <v>1188370</v>
      </c>
      <c r="J29" s="102">
        <v>8603970</v>
      </c>
      <c r="K29" s="102">
        <v>4011216</v>
      </c>
      <c r="L29" s="102">
        <v>3352327</v>
      </c>
      <c r="M29" s="102">
        <v>1123011</v>
      </c>
      <c r="N29" s="102">
        <v>1182753</v>
      </c>
      <c r="O29" s="102">
        <v>1754637</v>
      </c>
      <c r="P29" s="102">
        <v>1016645</v>
      </c>
      <c r="Q29" s="102">
        <v>737992</v>
      </c>
      <c r="R29" s="102">
        <v>212289</v>
      </c>
      <c r="S29" s="74"/>
      <c r="T29" s="73">
        <f t="shared" si="2"/>
        <v>1626391</v>
      </c>
      <c r="U29" s="102">
        <v>63385</v>
      </c>
      <c r="V29" s="102">
        <v>41077</v>
      </c>
      <c r="W29" s="102">
        <v>9114</v>
      </c>
      <c r="X29" s="102">
        <v>1430519</v>
      </c>
      <c r="Y29" s="102">
        <v>0</v>
      </c>
      <c r="Z29" s="102">
        <v>0</v>
      </c>
      <c r="AA29" s="102">
        <v>82296</v>
      </c>
      <c r="AB29" s="102">
        <v>194029</v>
      </c>
      <c r="AC29" s="102">
        <v>6203236</v>
      </c>
      <c r="AD29" s="102">
        <v>6013252</v>
      </c>
      <c r="AE29" s="102">
        <v>189977</v>
      </c>
      <c r="AF29" s="102">
        <v>20841</v>
      </c>
      <c r="AG29" s="102">
        <v>299086</v>
      </c>
      <c r="AH29" s="73">
        <f t="shared" si="3"/>
        <v>692363</v>
      </c>
      <c r="AI29" s="102">
        <v>502244</v>
      </c>
      <c r="AJ29" s="102">
        <v>190119</v>
      </c>
      <c r="AK29" s="102">
        <v>13900590</v>
      </c>
      <c r="AL29" s="73">
        <f t="shared" si="4"/>
        <v>9699617</v>
      </c>
      <c r="AM29" s="102">
        <v>8336500</v>
      </c>
      <c r="AN29" s="102">
        <v>521870</v>
      </c>
      <c r="AO29" s="74"/>
      <c r="AP29" s="102">
        <v>841247</v>
      </c>
      <c r="AQ29" s="102">
        <v>1086711</v>
      </c>
      <c r="AR29" s="102">
        <v>0</v>
      </c>
      <c r="AS29" s="102">
        <v>0</v>
      </c>
      <c r="AT29" s="102">
        <v>3150134</v>
      </c>
      <c r="AU29" s="102">
        <v>1649774</v>
      </c>
      <c r="AV29" s="102">
        <v>349840</v>
      </c>
      <c r="AW29" s="102">
        <v>150</v>
      </c>
      <c r="AX29" s="102">
        <v>1500360</v>
      </c>
      <c r="AY29" s="102">
        <v>73688</v>
      </c>
      <c r="AZ29" s="102">
        <v>175494</v>
      </c>
      <c r="BA29" s="102">
        <v>132869</v>
      </c>
      <c r="BB29" s="102">
        <v>20046</v>
      </c>
      <c r="BC29" s="102">
        <v>1773636</v>
      </c>
      <c r="BD29" s="102">
        <v>1764190</v>
      </c>
      <c r="BE29" s="102">
        <v>0</v>
      </c>
      <c r="BF29" s="102">
        <v>9446</v>
      </c>
      <c r="BG29" s="102">
        <v>0</v>
      </c>
      <c r="BH29" s="102">
        <v>736395</v>
      </c>
      <c r="BI29" s="102">
        <v>705120</v>
      </c>
      <c r="BJ29" s="102">
        <v>427640</v>
      </c>
      <c r="BK29" s="102">
        <v>9000</v>
      </c>
      <c r="BL29" s="102">
        <v>0</v>
      </c>
      <c r="BM29" s="102">
        <v>0</v>
      </c>
      <c r="BN29" s="102">
        <v>4501439</v>
      </c>
      <c r="BO29" s="73">
        <f t="shared" si="5"/>
        <v>1430000</v>
      </c>
      <c r="BP29" s="73">
        <f t="shared" si="6"/>
        <v>2365139</v>
      </c>
      <c r="BQ29" s="102">
        <v>0</v>
      </c>
      <c r="BR29" s="102">
        <v>0</v>
      </c>
      <c r="BS29" s="102">
        <v>2365139</v>
      </c>
      <c r="BT29" s="102">
        <v>706300</v>
      </c>
      <c r="BU29" s="102">
        <v>52195357</v>
      </c>
      <c r="BV29" s="71"/>
      <c r="BW29" s="102">
        <v>7771854</v>
      </c>
      <c r="BX29" s="102">
        <v>4965621</v>
      </c>
      <c r="BY29" s="102">
        <v>1091748</v>
      </c>
      <c r="BZ29" s="102">
        <v>280714</v>
      </c>
      <c r="CA29" s="102">
        <v>18866809</v>
      </c>
      <c r="CB29" s="102">
        <v>2210378</v>
      </c>
      <c r="CC29" s="102">
        <v>253846</v>
      </c>
      <c r="CD29" s="102">
        <v>5221920</v>
      </c>
      <c r="CE29" s="102">
        <v>10941385</v>
      </c>
      <c r="CF29" s="102">
        <v>6761</v>
      </c>
      <c r="CG29" s="102">
        <v>232234</v>
      </c>
      <c r="CH29" s="102">
        <v>4844352</v>
      </c>
      <c r="CI29" s="102">
        <v>4160739</v>
      </c>
      <c r="CJ29" s="83">
        <f t="shared" si="19"/>
        <v>683613</v>
      </c>
      <c r="CK29" s="102">
        <v>5464879</v>
      </c>
      <c r="CL29" s="102">
        <v>3818245</v>
      </c>
      <c r="CM29" s="102">
        <v>91476</v>
      </c>
      <c r="CN29" s="102">
        <v>880364</v>
      </c>
      <c r="CO29" s="102">
        <v>132693</v>
      </c>
      <c r="CP29" s="102">
        <v>2929345</v>
      </c>
      <c r="CQ29" s="102">
        <v>1774490</v>
      </c>
      <c r="CR29" s="102">
        <v>628902</v>
      </c>
      <c r="CS29" s="102">
        <v>182852</v>
      </c>
      <c r="CT29" s="73">
        <f t="shared" si="7"/>
        <v>11532</v>
      </c>
      <c r="CU29" s="102">
        <v>7780</v>
      </c>
      <c r="CV29" s="102">
        <v>3752</v>
      </c>
      <c r="CW29" s="73">
        <f t="shared" si="8"/>
        <v>0</v>
      </c>
      <c r="CX29" s="102">
        <v>0</v>
      </c>
      <c r="CY29" s="102">
        <v>0</v>
      </c>
      <c r="CZ29" s="73">
        <f t="shared" si="9"/>
        <v>0</v>
      </c>
      <c r="DA29" s="102">
        <v>0</v>
      </c>
      <c r="DB29" s="102">
        <v>0</v>
      </c>
      <c r="DC29" s="102">
        <v>3835606</v>
      </c>
      <c r="DD29" s="102">
        <v>3170294</v>
      </c>
      <c r="DE29" s="102">
        <v>665312</v>
      </c>
      <c r="DF29" s="77">
        <v>0</v>
      </c>
      <c r="DG29" s="78">
        <v>0</v>
      </c>
      <c r="DH29" s="102">
        <v>0</v>
      </c>
      <c r="DI29" s="102">
        <v>2028995</v>
      </c>
      <c r="DJ29" s="102">
        <v>357302</v>
      </c>
      <c r="DK29" s="102">
        <v>119</v>
      </c>
      <c r="DL29" s="102">
        <v>1671574</v>
      </c>
      <c r="DM29" s="102">
        <v>0</v>
      </c>
      <c r="DN29" s="102">
        <v>0</v>
      </c>
      <c r="DO29" s="102">
        <v>0</v>
      </c>
      <c r="DP29" s="102">
        <v>0</v>
      </c>
      <c r="DQ29" s="102">
        <v>9000</v>
      </c>
      <c r="DR29" s="102">
        <v>0</v>
      </c>
      <c r="DS29" s="102">
        <v>0</v>
      </c>
      <c r="DT29" s="102">
        <v>6166303</v>
      </c>
      <c r="DU29" s="102">
        <v>1760000</v>
      </c>
      <c r="DV29" s="73">
        <f t="shared" si="10"/>
        <v>0</v>
      </c>
      <c r="DW29" s="102">
        <v>0</v>
      </c>
      <c r="DX29" s="102">
        <v>1045432</v>
      </c>
      <c r="DY29" s="102">
        <v>0</v>
      </c>
      <c r="DZ29" s="102">
        <v>2221336</v>
      </c>
      <c r="EA29" s="74">
        <v>0</v>
      </c>
      <c r="EB29" s="102">
        <v>1139535</v>
      </c>
      <c r="EC29" s="102">
        <v>0</v>
      </c>
      <c r="ED29" s="102">
        <v>52049836</v>
      </c>
      <c r="EE29" s="71"/>
      <c r="EF29" s="102">
        <v>145521</v>
      </c>
      <c r="EG29" s="102">
        <v>35237</v>
      </c>
      <c r="EH29" s="102">
        <v>110284</v>
      </c>
      <c r="EI29" s="102">
        <v>-592856</v>
      </c>
      <c r="EJ29" s="102">
        <v>-1999744</v>
      </c>
      <c r="EK29" s="71"/>
      <c r="EL29" s="102"/>
      <c r="EM29" s="102">
        <v>126190</v>
      </c>
      <c r="EN29" s="102">
        <v>1764190</v>
      </c>
      <c r="EO29" s="102">
        <v>173400</v>
      </c>
      <c r="EP29" s="73">
        <f t="shared" si="11"/>
        <v>1144788</v>
      </c>
      <c r="EQ29" s="102">
        <v>26518534</v>
      </c>
      <c r="ER29" s="71">
        <v>-5426676</v>
      </c>
      <c r="ES29" s="102">
        <v>6655789</v>
      </c>
      <c r="ET29" s="102">
        <v>4615934</v>
      </c>
      <c r="EU29" s="102">
        <v>5058038</v>
      </c>
      <c r="EV29" s="102">
        <v>4747667</v>
      </c>
      <c r="EW29" s="73">
        <f t="shared" si="12"/>
        <v>746173</v>
      </c>
      <c r="EX29" s="102">
        <v>746173</v>
      </c>
      <c r="EY29" s="102">
        <v>182901</v>
      </c>
      <c r="EZ29" s="102">
        <v>563272</v>
      </c>
      <c r="FA29" s="102">
        <v>0</v>
      </c>
      <c r="FB29" s="102">
        <v>0</v>
      </c>
      <c r="FC29" s="102">
        <v>4400474</v>
      </c>
      <c r="FD29" s="102">
        <v>2670263</v>
      </c>
      <c r="FE29" s="102">
        <v>1774490</v>
      </c>
      <c r="FF29" s="102">
        <v>5386787</v>
      </c>
      <c r="FG29" s="73">
        <f t="shared" si="13"/>
        <v>2134498</v>
      </c>
      <c r="FH29" s="102">
        <v>31799689</v>
      </c>
      <c r="FI29" s="379">
        <f t="shared" si="14"/>
        <v>0.4</v>
      </c>
      <c r="FJ29" s="102">
        <v>23652907</v>
      </c>
      <c r="FK29" s="102">
        <v>2365139</v>
      </c>
      <c r="FL29" s="102">
        <v>13634436</v>
      </c>
      <c r="FM29" s="102">
        <v>19647389</v>
      </c>
      <c r="FN29" s="428">
        <v>0.71799999999999997</v>
      </c>
      <c r="FO29" s="424">
        <v>98.7</v>
      </c>
      <c r="FP29" s="425">
        <v>24.3</v>
      </c>
      <c r="FQ29" s="424">
        <v>18.600000000000001</v>
      </c>
      <c r="FR29" s="424">
        <v>17.399999999999999</v>
      </c>
      <c r="FS29" s="425">
        <v>13.3</v>
      </c>
      <c r="FT29" s="424">
        <v>8.6999999999999993</v>
      </c>
      <c r="FU29" s="425">
        <v>15.9</v>
      </c>
      <c r="FV29" s="384">
        <f t="shared" si="15"/>
        <v>7</v>
      </c>
      <c r="FW29" s="102">
        <v>42505301</v>
      </c>
      <c r="FX29" s="384">
        <f t="shared" si="16"/>
        <v>163.4</v>
      </c>
      <c r="FY29" s="102">
        <v>7139066</v>
      </c>
      <c r="FZ29" s="102">
        <v>1804598</v>
      </c>
      <c r="GA29" s="102">
        <v>301333</v>
      </c>
      <c r="GB29" s="102">
        <v>5033135</v>
      </c>
      <c r="GC29" s="102">
        <v>0</v>
      </c>
      <c r="GD29" s="454">
        <v>3632187</v>
      </c>
      <c r="GE29" s="386">
        <f t="shared" si="21"/>
        <v>14</v>
      </c>
      <c r="GF29" s="424">
        <v>97.54780143208842</v>
      </c>
      <c r="GG29" s="424">
        <v>22.498964896586191</v>
      </c>
      <c r="GH29" s="424">
        <v>90.60510977797523</v>
      </c>
      <c r="GI29" s="102">
        <v>765</v>
      </c>
      <c r="GJ29" s="429" t="s">
        <v>646</v>
      </c>
      <c r="GK29" s="429">
        <v>12.02</v>
      </c>
      <c r="GL29" s="87">
        <v>20</v>
      </c>
      <c r="GM29" s="429">
        <v>6.16</v>
      </c>
      <c r="GN29" s="430">
        <v>17.02</v>
      </c>
      <c r="GO29" s="430">
        <v>30</v>
      </c>
      <c r="GP29" s="425">
        <v>7</v>
      </c>
      <c r="GQ29" s="425">
        <v>25</v>
      </c>
      <c r="GR29" s="425">
        <v>35</v>
      </c>
      <c r="GS29" s="431">
        <v>47.3</v>
      </c>
      <c r="GT29" s="425">
        <v>350</v>
      </c>
      <c r="GU29" s="394"/>
      <c r="GV29" s="100">
        <f t="shared" si="17"/>
        <v>26018</v>
      </c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</row>
    <row r="30" spans="2:230" x14ac:dyDescent="0.15">
      <c r="B30" s="89" t="s">
        <v>49</v>
      </c>
      <c r="C30" s="102">
        <v>18424743</v>
      </c>
      <c r="D30" s="73">
        <f t="shared" si="0"/>
        <v>3943149</v>
      </c>
      <c r="E30" s="102">
        <v>115019</v>
      </c>
      <c r="F30" s="102">
        <v>3828130</v>
      </c>
      <c r="G30" s="73">
        <f t="shared" si="1"/>
        <v>1963838</v>
      </c>
      <c r="H30" s="102">
        <v>339246</v>
      </c>
      <c r="I30" s="102">
        <v>1624592</v>
      </c>
      <c r="J30" s="102">
        <v>8897885</v>
      </c>
      <c r="K30" s="102">
        <v>4254696</v>
      </c>
      <c r="L30" s="102">
        <v>2621304</v>
      </c>
      <c r="M30" s="102">
        <v>1911601</v>
      </c>
      <c r="N30" s="102">
        <v>1894334</v>
      </c>
      <c r="O30" s="102">
        <v>1643021</v>
      </c>
      <c r="P30" s="102">
        <v>1070358</v>
      </c>
      <c r="Q30" s="102">
        <v>572663</v>
      </c>
      <c r="R30" s="102">
        <v>167953</v>
      </c>
      <c r="S30" s="74"/>
      <c r="T30" s="73">
        <f t="shared" si="2"/>
        <v>1119296</v>
      </c>
      <c r="U30" s="102">
        <v>49464</v>
      </c>
      <c r="V30" s="102">
        <v>32056</v>
      </c>
      <c r="W30" s="102">
        <v>7113</v>
      </c>
      <c r="X30" s="102">
        <v>963654</v>
      </c>
      <c r="Y30" s="102">
        <v>1893</v>
      </c>
      <c r="Z30" s="102">
        <v>0</v>
      </c>
      <c r="AA30" s="102">
        <v>65116</v>
      </c>
      <c r="AB30" s="102">
        <v>192200</v>
      </c>
      <c r="AC30" s="102">
        <v>252522</v>
      </c>
      <c r="AD30" s="102">
        <v>0</v>
      </c>
      <c r="AE30" s="102">
        <v>252517</v>
      </c>
      <c r="AF30" s="102">
        <v>15895</v>
      </c>
      <c r="AG30" s="102">
        <v>611676</v>
      </c>
      <c r="AH30" s="73">
        <f t="shared" si="3"/>
        <v>669951</v>
      </c>
      <c r="AI30" s="102">
        <v>546227</v>
      </c>
      <c r="AJ30" s="102">
        <v>123724</v>
      </c>
      <c r="AK30" s="102">
        <v>5043033</v>
      </c>
      <c r="AL30" s="73">
        <f t="shared" si="4"/>
        <v>2675294</v>
      </c>
      <c r="AM30" s="102">
        <v>1900928</v>
      </c>
      <c r="AN30" s="102">
        <v>390300</v>
      </c>
      <c r="AO30" s="74"/>
      <c r="AP30" s="102">
        <v>384066</v>
      </c>
      <c r="AQ30" s="102">
        <v>121358</v>
      </c>
      <c r="AR30" s="102">
        <v>0</v>
      </c>
      <c r="AS30" s="102">
        <v>0</v>
      </c>
      <c r="AT30" s="102">
        <v>1870656</v>
      </c>
      <c r="AU30" s="102">
        <v>1119959</v>
      </c>
      <c r="AV30" s="102">
        <v>195149</v>
      </c>
      <c r="AW30" s="102">
        <v>118368</v>
      </c>
      <c r="AX30" s="102">
        <v>750697</v>
      </c>
      <c r="AY30" s="102">
        <v>6460</v>
      </c>
      <c r="AZ30" s="102">
        <v>590245</v>
      </c>
      <c r="BA30" s="102">
        <v>549300</v>
      </c>
      <c r="BB30" s="102">
        <v>10026</v>
      </c>
      <c r="BC30" s="102">
        <v>1206784</v>
      </c>
      <c r="BD30" s="102">
        <v>973140</v>
      </c>
      <c r="BE30" s="102">
        <v>0</v>
      </c>
      <c r="BF30" s="102">
        <v>187614</v>
      </c>
      <c r="BG30" s="102">
        <v>0</v>
      </c>
      <c r="BH30" s="102">
        <v>425724</v>
      </c>
      <c r="BI30" s="102">
        <v>180005</v>
      </c>
      <c r="BJ30" s="102">
        <v>707837</v>
      </c>
      <c r="BK30" s="102">
        <v>106196</v>
      </c>
      <c r="BL30" s="102">
        <v>0</v>
      </c>
      <c r="BM30" s="102">
        <v>0</v>
      </c>
      <c r="BN30" s="102">
        <v>2040600</v>
      </c>
      <c r="BO30" s="73">
        <f t="shared" si="5"/>
        <v>1523900</v>
      </c>
      <c r="BP30" s="73">
        <f t="shared" si="6"/>
        <v>516700</v>
      </c>
      <c r="BQ30" s="102">
        <v>0</v>
      </c>
      <c r="BR30" s="102">
        <v>0</v>
      </c>
      <c r="BS30" s="102">
        <v>516700</v>
      </c>
      <c r="BT30" s="102">
        <v>0</v>
      </c>
      <c r="BU30" s="102">
        <v>33349141</v>
      </c>
      <c r="BV30" s="71"/>
      <c r="BW30" s="102">
        <v>5606438</v>
      </c>
      <c r="BX30" s="102">
        <v>3710452</v>
      </c>
      <c r="BY30" s="102">
        <v>577767</v>
      </c>
      <c r="BZ30" s="102">
        <v>146624</v>
      </c>
      <c r="CA30" s="102">
        <v>8065496</v>
      </c>
      <c r="CB30" s="102">
        <v>1322019</v>
      </c>
      <c r="CC30" s="102">
        <v>184180</v>
      </c>
      <c r="CD30" s="102">
        <v>3832919</v>
      </c>
      <c r="CE30" s="102">
        <v>2575411</v>
      </c>
      <c r="CF30" s="102">
        <v>0</v>
      </c>
      <c r="CG30" s="102">
        <v>150967</v>
      </c>
      <c r="CH30" s="102">
        <v>3361074</v>
      </c>
      <c r="CI30" s="102">
        <v>2847440</v>
      </c>
      <c r="CJ30" s="83">
        <f t="shared" si="19"/>
        <v>513634</v>
      </c>
      <c r="CK30" s="102">
        <v>4592793</v>
      </c>
      <c r="CL30" s="102">
        <v>2606532</v>
      </c>
      <c r="CM30" s="102">
        <v>575934</v>
      </c>
      <c r="CN30" s="102">
        <v>816126</v>
      </c>
      <c r="CO30" s="102">
        <v>572303</v>
      </c>
      <c r="CP30" s="102">
        <v>2055469</v>
      </c>
      <c r="CQ30" s="102">
        <v>14213</v>
      </c>
      <c r="CR30" s="102">
        <v>673632</v>
      </c>
      <c r="CS30" s="102">
        <v>268086</v>
      </c>
      <c r="CT30" s="73">
        <f t="shared" si="7"/>
        <v>33569</v>
      </c>
      <c r="CU30" s="102">
        <v>3069</v>
      </c>
      <c r="CV30" s="102">
        <v>30500</v>
      </c>
      <c r="CW30" s="73">
        <f t="shared" si="8"/>
        <v>0</v>
      </c>
      <c r="CX30" s="102">
        <v>0</v>
      </c>
      <c r="CY30" s="102">
        <v>0</v>
      </c>
      <c r="CZ30" s="73">
        <f t="shared" si="9"/>
        <v>0</v>
      </c>
      <c r="DA30" s="102">
        <v>0</v>
      </c>
      <c r="DB30" s="102">
        <v>0</v>
      </c>
      <c r="DC30" s="102">
        <v>3167617</v>
      </c>
      <c r="DD30" s="102">
        <v>1615719</v>
      </c>
      <c r="DE30" s="102">
        <v>1551898</v>
      </c>
      <c r="DF30" s="77">
        <v>0</v>
      </c>
      <c r="DG30" s="78">
        <v>0</v>
      </c>
      <c r="DH30" s="102">
        <v>0</v>
      </c>
      <c r="DI30" s="102">
        <v>1113709</v>
      </c>
      <c r="DJ30" s="102">
        <v>1097033</v>
      </c>
      <c r="DK30" s="102">
        <v>8</v>
      </c>
      <c r="DL30" s="102">
        <v>16668</v>
      </c>
      <c r="DM30" s="102">
        <v>0</v>
      </c>
      <c r="DN30" s="102">
        <v>0</v>
      </c>
      <c r="DO30" s="102">
        <v>0</v>
      </c>
      <c r="DP30" s="102">
        <v>0</v>
      </c>
      <c r="DQ30" s="102">
        <v>118720</v>
      </c>
      <c r="DR30" s="102">
        <v>0</v>
      </c>
      <c r="DS30" s="102">
        <v>0</v>
      </c>
      <c r="DT30" s="102">
        <v>4431234</v>
      </c>
      <c r="DU30" s="102">
        <v>2020000</v>
      </c>
      <c r="DV30" s="73">
        <f t="shared" si="10"/>
        <v>0</v>
      </c>
      <c r="DW30" s="102">
        <v>0</v>
      </c>
      <c r="DX30" s="102">
        <v>623437</v>
      </c>
      <c r="DY30" s="102">
        <v>175453</v>
      </c>
      <c r="DZ30" s="102">
        <v>946878</v>
      </c>
      <c r="EA30" s="74">
        <v>0</v>
      </c>
      <c r="EB30" s="102">
        <v>595093</v>
      </c>
      <c r="EC30" s="102">
        <v>0</v>
      </c>
      <c r="ED30" s="102">
        <v>33084853</v>
      </c>
      <c r="EE30" s="71"/>
      <c r="EF30" s="102">
        <v>264288</v>
      </c>
      <c r="EG30" s="102">
        <v>82707</v>
      </c>
      <c r="EH30" s="102">
        <v>181581</v>
      </c>
      <c r="EI30" s="102">
        <v>1576</v>
      </c>
      <c r="EJ30" s="102">
        <v>125469</v>
      </c>
      <c r="EK30" s="71"/>
      <c r="EL30" s="102"/>
      <c r="EM30" s="102">
        <v>83253</v>
      </c>
      <c r="EN30" s="102">
        <v>1019170</v>
      </c>
      <c r="EO30" s="102">
        <v>587160</v>
      </c>
      <c r="EP30" s="73">
        <f t="shared" si="11"/>
        <v>633617</v>
      </c>
      <c r="EQ30" s="102">
        <v>20172609</v>
      </c>
      <c r="ER30" s="71">
        <v>-2740752</v>
      </c>
      <c r="ES30" s="102">
        <v>5249034</v>
      </c>
      <c r="ET30" s="102">
        <v>3380270</v>
      </c>
      <c r="EU30" s="102">
        <v>2496904</v>
      </c>
      <c r="EV30" s="102">
        <v>3311096</v>
      </c>
      <c r="EW30" s="73">
        <f t="shared" si="12"/>
        <v>567674</v>
      </c>
      <c r="EX30" s="102">
        <v>567674</v>
      </c>
      <c r="EY30" s="102">
        <v>82534</v>
      </c>
      <c r="EZ30" s="102">
        <v>485140</v>
      </c>
      <c r="FA30" s="102">
        <v>0</v>
      </c>
      <c r="FB30" s="102">
        <v>0</v>
      </c>
      <c r="FC30" s="102">
        <v>3415071</v>
      </c>
      <c r="FD30" s="102">
        <v>1887708</v>
      </c>
      <c r="FE30" s="102">
        <v>14213</v>
      </c>
      <c r="FF30" s="102">
        <v>4035086</v>
      </c>
      <c r="FG30" s="73">
        <f t="shared" si="13"/>
        <v>1686500</v>
      </c>
      <c r="FH30" s="102">
        <v>22649073</v>
      </c>
      <c r="FI30" s="379">
        <f t="shared" si="14"/>
        <v>1</v>
      </c>
      <c r="FJ30" s="102">
        <v>17581584</v>
      </c>
      <c r="FK30" s="102">
        <v>516866</v>
      </c>
      <c r="FL30" s="102">
        <v>13495285</v>
      </c>
      <c r="FM30" s="102">
        <v>13445193</v>
      </c>
      <c r="FN30" s="428">
        <v>1.0629999999999999</v>
      </c>
      <c r="FO30" s="424">
        <v>99.4</v>
      </c>
      <c r="FP30" s="425">
        <v>27.7</v>
      </c>
      <c r="FQ30" s="424">
        <v>13.2</v>
      </c>
      <c r="FR30" s="424">
        <v>17.5</v>
      </c>
      <c r="FS30" s="425">
        <v>17.8</v>
      </c>
      <c r="FT30" s="424">
        <v>4</v>
      </c>
      <c r="FU30" s="425">
        <v>16.100000000000001</v>
      </c>
      <c r="FV30" s="384">
        <f t="shared" si="15"/>
        <v>7.9</v>
      </c>
      <c r="FW30" s="102">
        <v>25039279</v>
      </c>
      <c r="FX30" s="384">
        <f t="shared" si="16"/>
        <v>138.4</v>
      </c>
      <c r="FY30" s="102">
        <v>6716841</v>
      </c>
      <c r="FZ30" s="102">
        <v>4339135</v>
      </c>
      <c r="GA30" s="102">
        <v>10294</v>
      </c>
      <c r="GB30" s="102">
        <v>2367412</v>
      </c>
      <c r="GC30" s="102">
        <v>0</v>
      </c>
      <c r="GD30" s="454">
        <v>2169918</v>
      </c>
      <c r="GE30" s="386">
        <f t="shared" si="21"/>
        <v>12</v>
      </c>
      <c r="GF30" s="424">
        <v>98.497205775971125</v>
      </c>
      <c r="GG30" s="424">
        <v>29.377431166122388</v>
      </c>
      <c r="GH30" s="424">
        <v>94.761198705510537</v>
      </c>
      <c r="GI30" s="102">
        <v>572</v>
      </c>
      <c r="GJ30" s="429" t="s">
        <v>646</v>
      </c>
      <c r="GK30" s="429">
        <v>12.59</v>
      </c>
      <c r="GL30" s="87">
        <v>20</v>
      </c>
      <c r="GM30" s="429" t="s">
        <v>646</v>
      </c>
      <c r="GN30" s="430">
        <v>17.59</v>
      </c>
      <c r="GO30" s="430">
        <v>30</v>
      </c>
      <c r="GP30" s="425">
        <v>7.9</v>
      </c>
      <c r="GQ30" s="425">
        <v>25</v>
      </c>
      <c r="GR30" s="425">
        <v>35</v>
      </c>
      <c r="GS30" s="431" t="s">
        <v>646</v>
      </c>
      <c r="GT30" s="425">
        <v>350</v>
      </c>
      <c r="GU30" s="394"/>
      <c r="GV30" s="100">
        <f t="shared" si="17"/>
        <v>18098</v>
      </c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</row>
    <row r="31" spans="2:230" x14ac:dyDescent="0.15">
      <c r="B31" s="89" t="s">
        <v>51</v>
      </c>
      <c r="C31" s="102">
        <v>11299725</v>
      </c>
      <c r="D31" s="73">
        <f t="shared" si="0"/>
        <v>2976048</v>
      </c>
      <c r="E31" s="102">
        <v>75838</v>
      </c>
      <c r="F31" s="102">
        <v>2900210</v>
      </c>
      <c r="G31" s="73">
        <f t="shared" si="1"/>
        <v>1253083</v>
      </c>
      <c r="H31" s="102">
        <v>170093</v>
      </c>
      <c r="I31" s="102">
        <v>1082990</v>
      </c>
      <c r="J31" s="102">
        <v>5761233</v>
      </c>
      <c r="K31" s="102">
        <v>2363246</v>
      </c>
      <c r="L31" s="102">
        <v>1472317</v>
      </c>
      <c r="M31" s="102">
        <v>1872587</v>
      </c>
      <c r="N31" s="102">
        <v>325032</v>
      </c>
      <c r="O31" s="102">
        <v>933624</v>
      </c>
      <c r="P31" s="102">
        <v>604538</v>
      </c>
      <c r="Q31" s="102">
        <v>329086</v>
      </c>
      <c r="R31" s="102">
        <v>174676</v>
      </c>
      <c r="S31" s="74"/>
      <c r="T31" s="73">
        <f t="shared" si="2"/>
        <v>643238</v>
      </c>
      <c r="U31" s="102">
        <v>37042</v>
      </c>
      <c r="V31" s="102">
        <v>24033</v>
      </c>
      <c r="W31" s="102">
        <v>5357</v>
      </c>
      <c r="X31" s="102">
        <v>536679</v>
      </c>
      <c r="Y31" s="102">
        <v>0</v>
      </c>
      <c r="Z31" s="102">
        <v>0</v>
      </c>
      <c r="AA31" s="102">
        <v>40127</v>
      </c>
      <c r="AB31" s="102">
        <v>97416</v>
      </c>
      <c r="AC31" s="102">
        <v>1300414</v>
      </c>
      <c r="AD31" s="102">
        <v>1202579</v>
      </c>
      <c r="AE31" s="102">
        <v>97832</v>
      </c>
      <c r="AF31" s="102">
        <v>8847</v>
      </c>
      <c r="AG31" s="102">
        <v>122909</v>
      </c>
      <c r="AH31" s="73">
        <f t="shared" si="3"/>
        <v>320277</v>
      </c>
      <c r="AI31" s="102">
        <v>278260</v>
      </c>
      <c r="AJ31" s="102">
        <v>42017</v>
      </c>
      <c r="AK31" s="102">
        <v>3218566</v>
      </c>
      <c r="AL31" s="73">
        <f t="shared" si="4"/>
        <v>1597714</v>
      </c>
      <c r="AM31" s="102">
        <v>1190544</v>
      </c>
      <c r="AN31" s="102">
        <v>177051</v>
      </c>
      <c r="AO31" s="74"/>
      <c r="AP31" s="102">
        <v>230119</v>
      </c>
      <c r="AQ31" s="102">
        <v>68387</v>
      </c>
      <c r="AR31" s="102">
        <v>0</v>
      </c>
      <c r="AS31" s="102">
        <v>0</v>
      </c>
      <c r="AT31" s="102">
        <v>1704402</v>
      </c>
      <c r="AU31" s="102">
        <v>1363563</v>
      </c>
      <c r="AV31" s="102">
        <v>155263</v>
      </c>
      <c r="AW31" s="102">
        <v>42503</v>
      </c>
      <c r="AX31" s="102">
        <v>340839</v>
      </c>
      <c r="AY31" s="102">
        <v>18814</v>
      </c>
      <c r="AZ31" s="102">
        <v>121249</v>
      </c>
      <c r="BA31" s="102">
        <v>46240</v>
      </c>
      <c r="BB31" s="102">
        <v>3579</v>
      </c>
      <c r="BC31" s="102">
        <v>248666</v>
      </c>
      <c r="BD31" s="102">
        <v>0</v>
      </c>
      <c r="BE31" s="102">
        <v>0</v>
      </c>
      <c r="BF31" s="102">
        <v>246846</v>
      </c>
      <c r="BG31" s="102">
        <v>0</v>
      </c>
      <c r="BH31" s="102">
        <v>128794</v>
      </c>
      <c r="BI31" s="102">
        <v>66800</v>
      </c>
      <c r="BJ31" s="102">
        <v>239912</v>
      </c>
      <c r="BK31" s="102">
        <v>71565</v>
      </c>
      <c r="BL31" s="102">
        <v>0</v>
      </c>
      <c r="BM31" s="102">
        <v>0</v>
      </c>
      <c r="BN31" s="102">
        <v>2619300</v>
      </c>
      <c r="BO31" s="73">
        <f t="shared" si="5"/>
        <v>1278100</v>
      </c>
      <c r="BP31" s="73">
        <f t="shared" si="6"/>
        <v>1008200</v>
      </c>
      <c r="BQ31" s="102">
        <v>0</v>
      </c>
      <c r="BR31" s="102">
        <v>0</v>
      </c>
      <c r="BS31" s="102">
        <v>1008200</v>
      </c>
      <c r="BT31" s="102">
        <v>333000</v>
      </c>
      <c r="BU31" s="102">
        <v>22251970</v>
      </c>
      <c r="BV31" s="71"/>
      <c r="BW31" s="102">
        <v>4018017</v>
      </c>
      <c r="BX31" s="102">
        <v>2441908</v>
      </c>
      <c r="BY31" s="102">
        <v>545957</v>
      </c>
      <c r="BZ31" s="102">
        <v>215508</v>
      </c>
      <c r="CA31" s="102">
        <v>4838501</v>
      </c>
      <c r="CB31" s="102">
        <v>720724</v>
      </c>
      <c r="CC31" s="102">
        <v>98916</v>
      </c>
      <c r="CD31" s="102">
        <v>2404931</v>
      </c>
      <c r="CE31" s="102">
        <v>1546247</v>
      </c>
      <c r="CF31" s="102">
        <v>8</v>
      </c>
      <c r="CG31" s="102">
        <v>67509</v>
      </c>
      <c r="CH31" s="102">
        <v>2803063</v>
      </c>
      <c r="CI31" s="102">
        <v>2269493</v>
      </c>
      <c r="CJ31" s="83">
        <f t="shared" si="19"/>
        <v>533570</v>
      </c>
      <c r="CK31" s="102">
        <v>2864636</v>
      </c>
      <c r="CL31" s="102">
        <v>2036783</v>
      </c>
      <c r="CM31" s="102">
        <v>179662</v>
      </c>
      <c r="CN31" s="102">
        <v>369519</v>
      </c>
      <c r="CO31" s="102">
        <v>16018</v>
      </c>
      <c r="CP31" s="102">
        <v>1652775</v>
      </c>
      <c r="CQ31" s="102">
        <v>705151</v>
      </c>
      <c r="CR31" s="102">
        <v>313232</v>
      </c>
      <c r="CS31" s="102">
        <v>244551</v>
      </c>
      <c r="CT31" s="73">
        <f t="shared" si="7"/>
        <v>39438</v>
      </c>
      <c r="CU31" s="102">
        <v>196</v>
      </c>
      <c r="CV31" s="102">
        <v>39242</v>
      </c>
      <c r="CW31" s="73">
        <f t="shared" si="8"/>
        <v>0</v>
      </c>
      <c r="CX31" s="102">
        <v>0</v>
      </c>
      <c r="CY31" s="102">
        <v>0</v>
      </c>
      <c r="CZ31" s="73">
        <f t="shared" si="9"/>
        <v>0</v>
      </c>
      <c r="DA31" s="102">
        <v>0</v>
      </c>
      <c r="DB31" s="102">
        <v>0</v>
      </c>
      <c r="DC31" s="102">
        <v>2255703</v>
      </c>
      <c r="DD31" s="102">
        <v>677313</v>
      </c>
      <c r="DE31" s="102">
        <v>831595</v>
      </c>
      <c r="DF31" s="77">
        <v>475500</v>
      </c>
      <c r="DG31" s="78">
        <v>271295</v>
      </c>
      <c r="DH31" s="102">
        <v>0</v>
      </c>
      <c r="DI31" s="102">
        <v>884352</v>
      </c>
      <c r="DJ31" s="102">
        <v>862545</v>
      </c>
      <c r="DK31" s="102">
        <v>0</v>
      </c>
      <c r="DL31" s="102">
        <v>21807</v>
      </c>
      <c r="DM31" s="102">
        <v>0</v>
      </c>
      <c r="DN31" s="102">
        <v>0</v>
      </c>
      <c r="DO31" s="102">
        <v>0</v>
      </c>
      <c r="DP31" s="102">
        <v>0</v>
      </c>
      <c r="DQ31" s="102">
        <v>63600</v>
      </c>
      <c r="DR31" s="102">
        <v>0</v>
      </c>
      <c r="DS31" s="102">
        <v>0</v>
      </c>
      <c r="DT31" s="102">
        <v>2736152</v>
      </c>
      <c r="DU31" s="102">
        <v>1084627</v>
      </c>
      <c r="DV31" s="73">
        <f t="shared" si="10"/>
        <v>0</v>
      </c>
      <c r="DW31" s="102">
        <v>0</v>
      </c>
      <c r="DX31" s="102">
        <v>616805</v>
      </c>
      <c r="DY31" s="102">
        <v>0</v>
      </c>
      <c r="DZ31" s="102">
        <v>457741</v>
      </c>
      <c r="EA31" s="74">
        <v>0</v>
      </c>
      <c r="EB31" s="102">
        <v>576979</v>
      </c>
      <c r="EC31" s="102">
        <v>0</v>
      </c>
      <c r="ED31" s="102">
        <v>22132817</v>
      </c>
      <c r="EE31" s="71"/>
      <c r="EF31" s="102">
        <v>119153</v>
      </c>
      <c r="EG31" s="102">
        <v>6658</v>
      </c>
      <c r="EH31" s="102">
        <v>112495</v>
      </c>
      <c r="EI31" s="102">
        <v>45695</v>
      </c>
      <c r="EJ31" s="102">
        <v>908240</v>
      </c>
      <c r="EK31" s="71"/>
      <c r="EL31" s="102"/>
      <c r="EM31" s="102">
        <v>58977</v>
      </c>
      <c r="EN31" s="102">
        <v>196969</v>
      </c>
      <c r="EO31" s="102">
        <v>120204</v>
      </c>
      <c r="EP31" s="73">
        <f t="shared" si="11"/>
        <v>337108</v>
      </c>
      <c r="EQ31" s="102">
        <v>13524316</v>
      </c>
      <c r="ER31" s="71">
        <v>-1653634</v>
      </c>
      <c r="ES31" s="102">
        <v>3530691</v>
      </c>
      <c r="ET31" s="102">
        <v>2354335</v>
      </c>
      <c r="EU31" s="102">
        <v>1242350</v>
      </c>
      <c r="EV31" s="102">
        <v>2773905</v>
      </c>
      <c r="EW31" s="73">
        <f t="shared" si="12"/>
        <v>294868</v>
      </c>
      <c r="EX31" s="102">
        <v>294868</v>
      </c>
      <c r="EY31" s="102">
        <v>23438</v>
      </c>
      <c r="EZ31" s="102">
        <v>270679</v>
      </c>
      <c r="FA31" s="102">
        <v>0</v>
      </c>
      <c r="FB31" s="102">
        <v>0</v>
      </c>
      <c r="FC31" s="102">
        <v>2401211</v>
      </c>
      <c r="FD31" s="102">
        <v>1495601</v>
      </c>
      <c r="FE31" s="102">
        <v>705151</v>
      </c>
      <c r="FF31" s="102">
        <v>2438604</v>
      </c>
      <c r="FG31" s="73">
        <f t="shared" si="13"/>
        <v>881567</v>
      </c>
      <c r="FH31" s="102">
        <v>15058797</v>
      </c>
      <c r="FI31" s="379">
        <f t="shared" si="14"/>
        <v>0.9</v>
      </c>
      <c r="FJ31" s="102">
        <v>11879951</v>
      </c>
      <c r="FK31" s="102">
        <v>1008347</v>
      </c>
      <c r="FL31" s="102">
        <v>8193969</v>
      </c>
      <c r="FM31" s="102">
        <v>9391033</v>
      </c>
      <c r="FN31" s="428">
        <v>0.873</v>
      </c>
      <c r="FO31" s="424">
        <v>95.6</v>
      </c>
      <c r="FP31" s="425">
        <v>25.5</v>
      </c>
      <c r="FQ31" s="424">
        <v>9.1</v>
      </c>
      <c r="FR31" s="424">
        <v>20.3</v>
      </c>
      <c r="FS31" s="425">
        <v>16.5</v>
      </c>
      <c r="FT31" s="424">
        <v>7.7</v>
      </c>
      <c r="FU31" s="425">
        <v>16.5</v>
      </c>
      <c r="FV31" s="384">
        <f t="shared" si="15"/>
        <v>14.7</v>
      </c>
      <c r="FW31" s="102">
        <v>32137990</v>
      </c>
      <c r="FX31" s="384">
        <f t="shared" si="16"/>
        <v>249.4</v>
      </c>
      <c r="FY31" s="102">
        <v>5369910</v>
      </c>
      <c r="FZ31" s="102">
        <v>1469773</v>
      </c>
      <c r="GA31" s="102">
        <v>0</v>
      </c>
      <c r="GB31" s="102">
        <v>3900137</v>
      </c>
      <c r="GC31" s="102">
        <v>3510000</v>
      </c>
      <c r="GD31" s="454">
        <v>10255018</v>
      </c>
      <c r="GE31" s="386">
        <f t="shared" si="21"/>
        <v>79.599999999999994</v>
      </c>
      <c r="GF31" s="424">
        <v>98.729694780560706</v>
      </c>
      <c r="GG31" s="424">
        <v>20.2299729727124</v>
      </c>
      <c r="GH31" s="424">
        <v>94.638125570093422</v>
      </c>
      <c r="GI31" s="102">
        <v>362</v>
      </c>
      <c r="GJ31" s="429" t="s">
        <v>646</v>
      </c>
      <c r="GK31" s="429">
        <v>12.96</v>
      </c>
      <c r="GL31" s="87">
        <v>20</v>
      </c>
      <c r="GM31" s="429" t="s">
        <v>646</v>
      </c>
      <c r="GN31" s="430">
        <v>17.96</v>
      </c>
      <c r="GO31" s="430">
        <v>30</v>
      </c>
      <c r="GP31" s="425">
        <v>14.7</v>
      </c>
      <c r="GQ31" s="425">
        <v>25</v>
      </c>
      <c r="GR31" s="425">
        <v>35</v>
      </c>
      <c r="GS31" s="431">
        <v>248.4</v>
      </c>
      <c r="GT31" s="425">
        <v>350</v>
      </c>
      <c r="GU31" s="394"/>
      <c r="GV31" s="100">
        <f t="shared" si="17"/>
        <v>12888</v>
      </c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</row>
    <row r="32" spans="2:230" x14ac:dyDescent="0.15">
      <c r="B32" s="89" t="s">
        <v>53</v>
      </c>
      <c r="C32" s="102">
        <v>7780047</v>
      </c>
      <c r="D32" s="73">
        <f t="shared" si="0"/>
        <v>3128167</v>
      </c>
      <c r="E32" s="102">
        <v>82723</v>
      </c>
      <c r="F32" s="102">
        <v>3045444</v>
      </c>
      <c r="G32" s="73">
        <f t="shared" si="1"/>
        <v>402155</v>
      </c>
      <c r="H32" s="102">
        <v>139239</v>
      </c>
      <c r="I32" s="102">
        <v>262916</v>
      </c>
      <c r="J32" s="102">
        <v>3060104</v>
      </c>
      <c r="K32" s="102">
        <v>1383964</v>
      </c>
      <c r="L32" s="102">
        <v>1377174</v>
      </c>
      <c r="M32" s="102">
        <v>265424</v>
      </c>
      <c r="N32" s="102">
        <v>396585</v>
      </c>
      <c r="O32" s="102">
        <v>729883</v>
      </c>
      <c r="P32" s="102">
        <v>420983</v>
      </c>
      <c r="Q32" s="102">
        <v>308900</v>
      </c>
      <c r="R32" s="102">
        <v>118159</v>
      </c>
      <c r="S32" s="74"/>
      <c r="T32" s="73">
        <f t="shared" si="2"/>
        <v>686016</v>
      </c>
      <c r="U32" s="102">
        <v>39230</v>
      </c>
      <c r="V32" s="102">
        <v>25418</v>
      </c>
      <c r="W32" s="102">
        <v>5635</v>
      </c>
      <c r="X32" s="102">
        <v>569930</v>
      </c>
      <c r="Y32" s="102">
        <v>0</v>
      </c>
      <c r="Z32" s="102">
        <v>0</v>
      </c>
      <c r="AA32" s="102">
        <v>45803</v>
      </c>
      <c r="AB32" s="102">
        <v>130160</v>
      </c>
      <c r="AC32" s="102">
        <v>4353126</v>
      </c>
      <c r="AD32" s="102">
        <v>4137856</v>
      </c>
      <c r="AE32" s="102">
        <v>215266</v>
      </c>
      <c r="AF32" s="102">
        <v>11241</v>
      </c>
      <c r="AG32" s="102">
        <v>111085</v>
      </c>
      <c r="AH32" s="73">
        <f t="shared" si="3"/>
        <v>447247</v>
      </c>
      <c r="AI32" s="102">
        <v>401806</v>
      </c>
      <c r="AJ32" s="102">
        <v>45441</v>
      </c>
      <c r="AK32" s="102">
        <v>4392230</v>
      </c>
      <c r="AL32" s="73">
        <f t="shared" si="4"/>
        <v>2806607</v>
      </c>
      <c r="AM32" s="102">
        <v>2287498</v>
      </c>
      <c r="AN32" s="102">
        <v>124221</v>
      </c>
      <c r="AO32" s="74"/>
      <c r="AP32" s="102">
        <v>394888</v>
      </c>
      <c r="AQ32" s="102">
        <v>181242</v>
      </c>
      <c r="AR32" s="102">
        <v>0</v>
      </c>
      <c r="AS32" s="102">
        <v>0</v>
      </c>
      <c r="AT32" s="102">
        <v>1365934</v>
      </c>
      <c r="AU32" s="102">
        <v>836177</v>
      </c>
      <c r="AV32" s="102">
        <v>89220</v>
      </c>
      <c r="AW32" s="102">
        <v>86101</v>
      </c>
      <c r="AX32" s="102">
        <v>529757</v>
      </c>
      <c r="AY32" s="102">
        <v>0</v>
      </c>
      <c r="AZ32" s="102">
        <v>27639</v>
      </c>
      <c r="BA32" s="102">
        <v>13859</v>
      </c>
      <c r="BB32" s="102">
        <v>5290</v>
      </c>
      <c r="BC32" s="102">
        <v>20741</v>
      </c>
      <c r="BD32" s="102">
        <v>0</v>
      </c>
      <c r="BE32" s="102">
        <v>0</v>
      </c>
      <c r="BF32" s="102">
        <v>20741</v>
      </c>
      <c r="BG32" s="102">
        <v>0</v>
      </c>
      <c r="BH32" s="102">
        <v>80810</v>
      </c>
      <c r="BI32" s="102">
        <v>68339</v>
      </c>
      <c r="BJ32" s="102">
        <v>277753</v>
      </c>
      <c r="BK32" s="102">
        <v>0</v>
      </c>
      <c r="BL32" s="102">
        <v>0</v>
      </c>
      <c r="BM32" s="102">
        <v>0</v>
      </c>
      <c r="BN32" s="102">
        <v>1366700</v>
      </c>
      <c r="BO32" s="73">
        <f t="shared" si="5"/>
        <v>233100</v>
      </c>
      <c r="BP32" s="73">
        <f t="shared" si="6"/>
        <v>1133600</v>
      </c>
      <c r="BQ32" s="102">
        <v>0</v>
      </c>
      <c r="BR32" s="102">
        <v>0</v>
      </c>
      <c r="BS32" s="102">
        <v>1133600</v>
      </c>
      <c r="BT32" s="102">
        <v>0</v>
      </c>
      <c r="BU32" s="102">
        <v>21174178</v>
      </c>
      <c r="BV32" s="71"/>
      <c r="BW32" s="102">
        <v>4241385</v>
      </c>
      <c r="BX32" s="102">
        <v>2663981</v>
      </c>
      <c r="BY32" s="102">
        <v>479734</v>
      </c>
      <c r="BZ32" s="102">
        <v>241815</v>
      </c>
      <c r="CA32" s="102">
        <v>6386680</v>
      </c>
      <c r="CB32" s="102">
        <v>1051046</v>
      </c>
      <c r="CC32" s="102">
        <v>118832</v>
      </c>
      <c r="CD32" s="102">
        <v>2358517</v>
      </c>
      <c r="CE32" s="102">
        <v>2800807</v>
      </c>
      <c r="CF32" s="102">
        <v>771</v>
      </c>
      <c r="CG32" s="102">
        <v>56677</v>
      </c>
      <c r="CH32" s="102">
        <v>1437091</v>
      </c>
      <c r="CI32" s="102">
        <v>1219817</v>
      </c>
      <c r="CJ32" s="83">
        <f t="shared" si="19"/>
        <v>217274</v>
      </c>
      <c r="CK32" s="102">
        <v>2202082</v>
      </c>
      <c r="CL32" s="102">
        <v>1246071</v>
      </c>
      <c r="CM32" s="102">
        <v>241887</v>
      </c>
      <c r="CN32" s="102">
        <v>311098</v>
      </c>
      <c r="CO32" s="102">
        <v>170214</v>
      </c>
      <c r="CP32" s="102">
        <v>2313855</v>
      </c>
      <c r="CQ32" s="102">
        <v>1639189</v>
      </c>
      <c r="CR32" s="102">
        <v>273348</v>
      </c>
      <c r="CS32" s="102">
        <v>217724</v>
      </c>
      <c r="CT32" s="73">
        <f t="shared" si="7"/>
        <v>158386</v>
      </c>
      <c r="CU32" s="102">
        <v>62859</v>
      </c>
      <c r="CV32" s="102">
        <v>95527</v>
      </c>
      <c r="CW32" s="73">
        <f t="shared" si="8"/>
        <v>152411</v>
      </c>
      <c r="CX32" s="102">
        <v>58252</v>
      </c>
      <c r="CY32" s="102">
        <v>94159</v>
      </c>
      <c r="CZ32" s="73">
        <f t="shared" si="9"/>
        <v>0</v>
      </c>
      <c r="DA32" s="102">
        <v>0</v>
      </c>
      <c r="DB32" s="102">
        <v>0</v>
      </c>
      <c r="DC32" s="102">
        <v>727408</v>
      </c>
      <c r="DD32" s="102">
        <v>389402</v>
      </c>
      <c r="DE32" s="102">
        <v>338006</v>
      </c>
      <c r="DF32" s="77">
        <v>0</v>
      </c>
      <c r="DG32" s="78">
        <v>0</v>
      </c>
      <c r="DH32" s="102">
        <v>0</v>
      </c>
      <c r="DI32" s="102">
        <v>461848</v>
      </c>
      <c r="DJ32" s="102">
        <v>455833</v>
      </c>
      <c r="DK32" s="102">
        <v>5</v>
      </c>
      <c r="DL32" s="102">
        <v>6010</v>
      </c>
      <c r="DM32" s="102">
        <v>0</v>
      </c>
      <c r="DN32" s="102">
        <v>0</v>
      </c>
      <c r="DO32" s="102">
        <v>0</v>
      </c>
      <c r="DP32" s="102">
        <v>0</v>
      </c>
      <c r="DQ32" s="102">
        <v>0</v>
      </c>
      <c r="DR32" s="102">
        <v>0</v>
      </c>
      <c r="DS32" s="102">
        <v>0</v>
      </c>
      <c r="DT32" s="102">
        <v>3020009</v>
      </c>
      <c r="DU32" s="102">
        <v>1190000</v>
      </c>
      <c r="DV32" s="73">
        <f t="shared" si="10"/>
        <v>0</v>
      </c>
      <c r="DW32" s="102">
        <v>0</v>
      </c>
      <c r="DX32" s="102">
        <v>592877</v>
      </c>
      <c r="DY32" s="102">
        <v>0</v>
      </c>
      <c r="DZ32" s="102">
        <v>595172</v>
      </c>
      <c r="EA32" s="74">
        <v>0</v>
      </c>
      <c r="EB32" s="102">
        <v>641960</v>
      </c>
      <c r="EC32" s="102">
        <v>0</v>
      </c>
      <c r="ED32" s="102">
        <v>20960572</v>
      </c>
      <c r="EE32" s="71"/>
      <c r="EF32" s="102">
        <v>213606</v>
      </c>
      <c r="EG32" s="102">
        <v>15440</v>
      </c>
      <c r="EH32" s="102">
        <v>198166</v>
      </c>
      <c r="EI32" s="102">
        <v>-70173</v>
      </c>
      <c r="EJ32" s="102">
        <v>385660</v>
      </c>
      <c r="EK32" s="71"/>
      <c r="EL32" s="102"/>
      <c r="EM32" s="102">
        <v>66109</v>
      </c>
      <c r="EN32" s="102">
        <v>0</v>
      </c>
      <c r="EO32" s="102">
        <v>17225</v>
      </c>
      <c r="EP32" s="73">
        <f t="shared" si="11"/>
        <v>337715</v>
      </c>
      <c r="EQ32" s="102">
        <v>13078749</v>
      </c>
      <c r="ER32" s="71">
        <v>-1477299</v>
      </c>
      <c r="ES32" s="102">
        <v>3849294</v>
      </c>
      <c r="ET32" s="102">
        <v>2350308</v>
      </c>
      <c r="EU32" s="102">
        <v>1680678</v>
      </c>
      <c r="EV32" s="102">
        <v>1437091</v>
      </c>
      <c r="EW32" s="73">
        <f t="shared" si="12"/>
        <v>132536</v>
      </c>
      <c r="EX32" s="102">
        <v>132536</v>
      </c>
      <c r="EY32" s="102">
        <v>35227</v>
      </c>
      <c r="EZ32" s="102">
        <v>97309</v>
      </c>
      <c r="FA32" s="102">
        <v>0</v>
      </c>
      <c r="FB32" s="102">
        <v>0</v>
      </c>
      <c r="FC32" s="102">
        <v>1712589</v>
      </c>
      <c r="FD32" s="102">
        <v>2220751</v>
      </c>
      <c r="FE32" s="102">
        <v>1639189</v>
      </c>
      <c r="FF32" s="102">
        <v>2690424</v>
      </c>
      <c r="FG32" s="73">
        <f t="shared" si="13"/>
        <v>619079</v>
      </c>
      <c r="FH32" s="102">
        <v>14342442</v>
      </c>
      <c r="FI32" s="379">
        <f t="shared" si="14"/>
        <v>1.5</v>
      </c>
      <c r="FJ32" s="102">
        <v>11977555</v>
      </c>
      <c r="FK32" s="102">
        <v>1133772</v>
      </c>
      <c r="FL32" s="102">
        <v>6062543</v>
      </c>
      <c r="FM32" s="102">
        <v>10199362</v>
      </c>
      <c r="FN32" s="428">
        <v>0.621</v>
      </c>
      <c r="FO32" s="424">
        <v>97.6</v>
      </c>
      <c r="FP32" s="425">
        <v>28.6</v>
      </c>
      <c r="FQ32" s="424">
        <v>12.5</v>
      </c>
      <c r="FR32" s="424">
        <v>10.8</v>
      </c>
      <c r="FS32" s="425">
        <v>11.4</v>
      </c>
      <c r="FT32" s="424">
        <v>15.4</v>
      </c>
      <c r="FU32" s="425">
        <v>18</v>
      </c>
      <c r="FV32" s="384">
        <f t="shared" si="15"/>
        <v>6.1</v>
      </c>
      <c r="FW32" s="102">
        <v>11992578</v>
      </c>
      <c r="FX32" s="384">
        <f t="shared" si="16"/>
        <v>91.5</v>
      </c>
      <c r="FY32" s="102">
        <v>2173761</v>
      </c>
      <c r="FZ32" s="102">
        <v>1543387</v>
      </c>
      <c r="GA32" s="102">
        <v>2494</v>
      </c>
      <c r="GB32" s="102">
        <v>627880</v>
      </c>
      <c r="GC32" s="102">
        <v>0</v>
      </c>
      <c r="GD32" s="454">
        <v>1114842</v>
      </c>
      <c r="GE32" s="386">
        <f t="shared" si="21"/>
        <v>8.5</v>
      </c>
      <c r="GF32" s="424">
        <v>97.807744762074549</v>
      </c>
      <c r="GG32" s="424">
        <v>25.20780107548082</v>
      </c>
      <c r="GH32" s="424">
        <v>93.59930212396948</v>
      </c>
      <c r="GI32" s="102">
        <v>420</v>
      </c>
      <c r="GJ32" s="429" t="s">
        <v>646</v>
      </c>
      <c r="GK32" s="429">
        <v>12.94</v>
      </c>
      <c r="GL32" s="87">
        <v>20</v>
      </c>
      <c r="GM32" s="429" t="s">
        <v>646</v>
      </c>
      <c r="GN32" s="430">
        <v>17.940000000000001</v>
      </c>
      <c r="GO32" s="430">
        <v>30</v>
      </c>
      <c r="GP32" s="425">
        <v>6.1</v>
      </c>
      <c r="GQ32" s="425">
        <v>25</v>
      </c>
      <c r="GR32" s="425">
        <v>35</v>
      </c>
      <c r="GS32" s="431">
        <v>48.7</v>
      </c>
      <c r="GT32" s="425">
        <v>350</v>
      </c>
      <c r="GU32" s="394"/>
      <c r="GV32" s="100">
        <f t="shared" si="17"/>
        <v>13111</v>
      </c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</row>
    <row r="33" spans="2:230" x14ac:dyDescent="0.15">
      <c r="B33" s="89" t="s">
        <v>55</v>
      </c>
      <c r="C33" s="102">
        <v>74730862</v>
      </c>
      <c r="D33" s="73">
        <f t="shared" si="0"/>
        <v>22069448</v>
      </c>
      <c r="E33" s="102">
        <v>622752</v>
      </c>
      <c r="F33" s="102">
        <v>21446696</v>
      </c>
      <c r="G33" s="73">
        <f t="shared" si="1"/>
        <v>6456931</v>
      </c>
      <c r="H33" s="102">
        <v>1498932</v>
      </c>
      <c r="I33" s="102">
        <v>4957999</v>
      </c>
      <c r="J33" s="102">
        <v>32529660</v>
      </c>
      <c r="K33" s="102">
        <v>15810040</v>
      </c>
      <c r="L33" s="102">
        <v>13102386</v>
      </c>
      <c r="M33" s="102">
        <v>3300225</v>
      </c>
      <c r="N33" s="102">
        <v>4098549</v>
      </c>
      <c r="O33" s="102">
        <v>7044539</v>
      </c>
      <c r="P33" s="102">
        <v>4151592</v>
      </c>
      <c r="Q33" s="102">
        <v>2892947</v>
      </c>
      <c r="R33" s="102">
        <v>871784</v>
      </c>
      <c r="S33" s="74"/>
      <c r="T33" s="73">
        <f t="shared" si="2"/>
        <v>6042699</v>
      </c>
      <c r="U33" s="102">
        <v>278052</v>
      </c>
      <c r="V33" s="102">
        <v>180251</v>
      </c>
      <c r="W33" s="102">
        <v>40040</v>
      </c>
      <c r="X33" s="102">
        <v>5206360</v>
      </c>
      <c r="Y33" s="102">
        <v>0</v>
      </c>
      <c r="Z33" s="102">
        <v>0</v>
      </c>
      <c r="AA33" s="102">
        <v>337996</v>
      </c>
      <c r="AB33" s="102">
        <v>817019</v>
      </c>
      <c r="AC33" s="102">
        <v>22007685</v>
      </c>
      <c r="AD33" s="102">
        <v>21099816</v>
      </c>
      <c r="AE33" s="102">
        <v>907841</v>
      </c>
      <c r="AF33" s="102">
        <v>85767</v>
      </c>
      <c r="AG33" s="102">
        <v>2905145</v>
      </c>
      <c r="AH33" s="73">
        <f t="shared" si="3"/>
        <v>3013797</v>
      </c>
      <c r="AI33" s="102">
        <v>2574463</v>
      </c>
      <c r="AJ33" s="102">
        <v>439334</v>
      </c>
      <c r="AK33" s="102">
        <v>43557403</v>
      </c>
      <c r="AL33" s="73">
        <f t="shared" si="4"/>
        <v>31704334</v>
      </c>
      <c r="AM33" s="102">
        <v>26707931</v>
      </c>
      <c r="AN33" s="102">
        <v>1544751</v>
      </c>
      <c r="AO33" s="74"/>
      <c r="AP33" s="102">
        <v>3451652</v>
      </c>
      <c r="AQ33" s="102">
        <v>606936</v>
      </c>
      <c r="AR33" s="102">
        <v>0</v>
      </c>
      <c r="AS33" s="102">
        <v>0</v>
      </c>
      <c r="AT33" s="102">
        <v>8965873</v>
      </c>
      <c r="AU33" s="102">
        <v>4678495</v>
      </c>
      <c r="AV33" s="102">
        <v>0</v>
      </c>
      <c r="AW33" s="102">
        <v>385564</v>
      </c>
      <c r="AX33" s="102">
        <v>4287378</v>
      </c>
      <c r="AY33" s="102">
        <v>14950</v>
      </c>
      <c r="AZ33" s="102">
        <v>225111</v>
      </c>
      <c r="BA33" s="102">
        <v>117732</v>
      </c>
      <c r="BB33" s="102">
        <v>4737</v>
      </c>
      <c r="BC33" s="102">
        <v>2856331</v>
      </c>
      <c r="BD33" s="102">
        <v>0</v>
      </c>
      <c r="BE33" s="102">
        <v>900996</v>
      </c>
      <c r="BF33" s="102">
        <v>1624701</v>
      </c>
      <c r="BG33" s="102">
        <v>0</v>
      </c>
      <c r="BH33" s="102">
        <v>2482377</v>
      </c>
      <c r="BI33" s="102">
        <v>1951391</v>
      </c>
      <c r="BJ33" s="102">
        <v>3674308</v>
      </c>
      <c r="BK33" s="102">
        <v>2485897</v>
      </c>
      <c r="BL33" s="102">
        <v>0</v>
      </c>
      <c r="BM33" s="102">
        <v>21855</v>
      </c>
      <c r="BN33" s="102">
        <v>15394700</v>
      </c>
      <c r="BO33" s="73">
        <f t="shared" si="5"/>
        <v>3777600</v>
      </c>
      <c r="BP33" s="73">
        <f t="shared" si="6"/>
        <v>9117100</v>
      </c>
      <c r="BQ33" s="102">
        <v>0</v>
      </c>
      <c r="BR33" s="102">
        <v>0</v>
      </c>
      <c r="BS33" s="102">
        <v>9117100</v>
      </c>
      <c r="BT33" s="102">
        <v>2500000</v>
      </c>
      <c r="BU33" s="102">
        <v>187635598</v>
      </c>
      <c r="BV33" s="71"/>
      <c r="BW33" s="102">
        <v>30447772</v>
      </c>
      <c r="BX33" s="102">
        <v>18929721</v>
      </c>
      <c r="BY33" s="102">
        <v>4427864</v>
      </c>
      <c r="BZ33" s="102">
        <v>2346617</v>
      </c>
      <c r="CA33" s="102">
        <v>67039978</v>
      </c>
      <c r="CB33" s="102">
        <v>8925215</v>
      </c>
      <c r="CC33" s="102">
        <v>1010805</v>
      </c>
      <c r="CD33" s="102">
        <v>19587615</v>
      </c>
      <c r="CE33" s="102">
        <v>34914870</v>
      </c>
      <c r="CF33" s="102">
        <v>2026984</v>
      </c>
      <c r="CG33" s="102">
        <v>574489</v>
      </c>
      <c r="CH33" s="102">
        <v>18248236</v>
      </c>
      <c r="CI33" s="102">
        <v>15789617</v>
      </c>
      <c r="CJ33" s="83">
        <f t="shared" si="19"/>
        <v>2458619</v>
      </c>
      <c r="CK33" s="102">
        <v>15569357</v>
      </c>
      <c r="CL33" s="102">
        <v>10192525</v>
      </c>
      <c r="CM33" s="102">
        <v>459759</v>
      </c>
      <c r="CN33" s="102">
        <v>2513108</v>
      </c>
      <c r="CO33" s="102">
        <v>1635089</v>
      </c>
      <c r="CP33" s="102">
        <v>19402729</v>
      </c>
      <c r="CQ33" s="102">
        <v>2673615</v>
      </c>
      <c r="CR33" s="102">
        <v>4694312</v>
      </c>
      <c r="CS33" s="102">
        <v>3524534</v>
      </c>
      <c r="CT33" s="73">
        <f t="shared" si="7"/>
        <v>10824591</v>
      </c>
      <c r="CU33" s="102">
        <v>8881674</v>
      </c>
      <c r="CV33" s="102">
        <v>1942917</v>
      </c>
      <c r="CW33" s="73">
        <f t="shared" si="8"/>
        <v>965856</v>
      </c>
      <c r="CX33" s="102">
        <v>643071</v>
      </c>
      <c r="CY33" s="102">
        <v>322785</v>
      </c>
      <c r="CZ33" s="73">
        <f t="shared" si="9"/>
        <v>9735000</v>
      </c>
      <c r="DA33" s="102">
        <v>8127000</v>
      </c>
      <c r="DB33" s="102">
        <v>1608000</v>
      </c>
      <c r="DC33" s="102">
        <v>9925434</v>
      </c>
      <c r="DD33" s="102">
        <v>2823574</v>
      </c>
      <c r="DE33" s="102">
        <v>6644816</v>
      </c>
      <c r="DF33" s="77">
        <v>456606</v>
      </c>
      <c r="DG33" s="78">
        <v>438</v>
      </c>
      <c r="DH33" s="102">
        <v>0</v>
      </c>
      <c r="DI33" s="102">
        <v>3621708</v>
      </c>
      <c r="DJ33" s="102">
        <v>2021000</v>
      </c>
      <c r="DK33" s="102">
        <v>1255000</v>
      </c>
      <c r="DL33" s="102">
        <v>345708</v>
      </c>
      <c r="DM33" s="102">
        <v>753244</v>
      </c>
      <c r="DN33" s="102">
        <v>734144</v>
      </c>
      <c r="DO33" s="102">
        <v>0</v>
      </c>
      <c r="DP33" s="102">
        <v>734144</v>
      </c>
      <c r="DQ33" s="102">
        <v>2582492</v>
      </c>
      <c r="DR33" s="102">
        <v>0</v>
      </c>
      <c r="DS33" s="102">
        <v>0</v>
      </c>
      <c r="DT33" s="102">
        <v>16526798</v>
      </c>
      <c r="DU33" s="102">
        <v>0</v>
      </c>
      <c r="DV33" s="73">
        <f t="shared" si="10"/>
        <v>0</v>
      </c>
      <c r="DW33" s="102">
        <v>0</v>
      </c>
      <c r="DX33" s="102">
        <v>4400414</v>
      </c>
      <c r="DY33" s="102">
        <v>0</v>
      </c>
      <c r="DZ33" s="102">
        <v>7348595</v>
      </c>
      <c r="EA33" s="74">
        <v>0</v>
      </c>
      <c r="EB33" s="102">
        <v>4624302</v>
      </c>
      <c r="EC33" s="102">
        <v>0</v>
      </c>
      <c r="ED33" s="102">
        <v>185752837</v>
      </c>
      <c r="EE33" s="71"/>
      <c r="EF33" s="102">
        <v>1882761</v>
      </c>
      <c r="EG33" s="102">
        <v>122547</v>
      </c>
      <c r="EH33" s="102">
        <v>1760214</v>
      </c>
      <c r="EI33" s="102">
        <v>-191177</v>
      </c>
      <c r="EJ33" s="102">
        <v>2626701</v>
      </c>
      <c r="EK33" s="71"/>
      <c r="EL33" s="102"/>
      <c r="EM33" s="102">
        <v>486260</v>
      </c>
      <c r="EN33" s="102">
        <v>905700</v>
      </c>
      <c r="EO33" s="102">
        <v>57167</v>
      </c>
      <c r="EP33" s="73">
        <f t="shared" si="11"/>
        <v>3596805</v>
      </c>
      <c r="EQ33" s="102">
        <v>104555816</v>
      </c>
      <c r="ER33" s="71">
        <v>-13591005</v>
      </c>
      <c r="ES33" s="102">
        <v>26150576</v>
      </c>
      <c r="ET33" s="102">
        <v>17459309</v>
      </c>
      <c r="EU33" s="102">
        <v>19010732</v>
      </c>
      <c r="EV33" s="102">
        <v>18196047</v>
      </c>
      <c r="EW33" s="73">
        <f t="shared" si="12"/>
        <v>2764004</v>
      </c>
      <c r="EX33" s="102">
        <v>2764004</v>
      </c>
      <c r="EY33" s="102">
        <v>122217</v>
      </c>
      <c r="EZ33" s="102">
        <v>2593805</v>
      </c>
      <c r="FA33" s="102">
        <v>0</v>
      </c>
      <c r="FB33" s="102">
        <v>0</v>
      </c>
      <c r="FC33" s="102">
        <v>12342918</v>
      </c>
      <c r="FD33" s="102">
        <v>18614850</v>
      </c>
      <c r="FE33" s="102">
        <v>2673615</v>
      </c>
      <c r="FF33" s="102">
        <v>13774403</v>
      </c>
      <c r="FG33" s="73">
        <f t="shared" si="13"/>
        <v>5410530</v>
      </c>
      <c r="FH33" s="102">
        <v>116264060</v>
      </c>
      <c r="FI33" s="379">
        <f t="shared" si="14"/>
        <v>1.7</v>
      </c>
      <c r="FJ33" s="102">
        <v>95288368</v>
      </c>
      <c r="FK33" s="102">
        <v>9117196</v>
      </c>
      <c r="FL33" s="102">
        <v>57123827</v>
      </c>
      <c r="FM33" s="102">
        <v>78218261</v>
      </c>
      <c r="FN33" s="428">
        <v>0.748</v>
      </c>
      <c r="FO33" s="424">
        <v>95.7</v>
      </c>
      <c r="FP33" s="425">
        <v>24.3</v>
      </c>
      <c r="FQ33" s="424">
        <v>17.899999999999999</v>
      </c>
      <c r="FR33" s="424">
        <v>16.399999999999999</v>
      </c>
      <c r="FS33" s="425">
        <v>10.8</v>
      </c>
      <c r="FT33" s="424">
        <v>16</v>
      </c>
      <c r="FU33" s="425">
        <v>9.1</v>
      </c>
      <c r="FV33" s="384">
        <f t="shared" si="15"/>
        <v>7.8</v>
      </c>
      <c r="FW33" s="102">
        <v>164130746</v>
      </c>
      <c r="FX33" s="384">
        <f t="shared" si="16"/>
        <v>157.19999999999999</v>
      </c>
      <c r="FY33" s="102">
        <v>17151285</v>
      </c>
      <c r="FZ33" s="102">
        <v>7865168</v>
      </c>
      <c r="GA33" s="102">
        <v>1797600</v>
      </c>
      <c r="GB33" s="102">
        <v>7488517</v>
      </c>
      <c r="GC33" s="102">
        <v>0</v>
      </c>
      <c r="GD33" s="454">
        <v>10369264</v>
      </c>
      <c r="GE33" s="386">
        <f t="shared" si="21"/>
        <v>9.9</v>
      </c>
      <c r="GF33" s="424">
        <v>97.284060685828692</v>
      </c>
      <c r="GG33" s="424">
        <v>32.878564322463298</v>
      </c>
      <c r="GH33" s="424">
        <v>92.766092208332736</v>
      </c>
      <c r="GI33" s="102">
        <v>2684</v>
      </c>
      <c r="GJ33" s="429" t="s">
        <v>646</v>
      </c>
      <c r="GK33" s="429">
        <v>11.25</v>
      </c>
      <c r="GL33" s="87">
        <v>20</v>
      </c>
      <c r="GM33" s="429" t="s">
        <v>646</v>
      </c>
      <c r="GN33" s="430">
        <v>16.25</v>
      </c>
      <c r="GO33" s="430">
        <v>30</v>
      </c>
      <c r="GP33" s="425">
        <v>7.8</v>
      </c>
      <c r="GQ33" s="425">
        <v>25</v>
      </c>
      <c r="GR33" s="425">
        <v>35</v>
      </c>
      <c r="GS33" s="431">
        <v>43.9</v>
      </c>
      <c r="GT33" s="425">
        <v>350</v>
      </c>
      <c r="GU33" s="394"/>
      <c r="GV33" s="100">
        <f t="shared" si="17"/>
        <v>104406</v>
      </c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</row>
    <row r="34" spans="2:230" x14ac:dyDescent="0.15">
      <c r="B34" s="89" t="s">
        <v>57</v>
      </c>
      <c r="C34" s="102">
        <v>8892650</v>
      </c>
      <c r="D34" s="73">
        <f t="shared" si="0"/>
        <v>2249015</v>
      </c>
      <c r="E34" s="102">
        <v>74923</v>
      </c>
      <c r="F34" s="102">
        <v>2174092</v>
      </c>
      <c r="G34" s="73">
        <f t="shared" si="1"/>
        <v>570129</v>
      </c>
      <c r="H34" s="102">
        <v>187755</v>
      </c>
      <c r="I34" s="102">
        <v>382374</v>
      </c>
      <c r="J34" s="102">
        <v>4794861</v>
      </c>
      <c r="K34" s="102">
        <v>1927793</v>
      </c>
      <c r="L34" s="102">
        <v>1797698</v>
      </c>
      <c r="M34" s="102">
        <v>944063</v>
      </c>
      <c r="N34" s="102">
        <v>431293</v>
      </c>
      <c r="O34" s="102">
        <v>739473</v>
      </c>
      <c r="P34" s="102">
        <v>383946</v>
      </c>
      <c r="Q34" s="102">
        <v>355527</v>
      </c>
      <c r="R34" s="102">
        <v>152259</v>
      </c>
      <c r="S34" s="74"/>
      <c r="T34" s="73">
        <f t="shared" si="2"/>
        <v>751161</v>
      </c>
      <c r="U34" s="102">
        <v>28277</v>
      </c>
      <c r="V34" s="102">
        <v>18323</v>
      </c>
      <c r="W34" s="102">
        <v>4064</v>
      </c>
      <c r="X34" s="102">
        <v>598102</v>
      </c>
      <c r="Y34" s="102">
        <v>51064</v>
      </c>
      <c r="Z34" s="102">
        <v>0</v>
      </c>
      <c r="AA34" s="102">
        <v>51331</v>
      </c>
      <c r="AB34" s="102">
        <v>111404</v>
      </c>
      <c r="AC34" s="102">
        <v>2861202</v>
      </c>
      <c r="AD34" s="102">
        <v>2427074</v>
      </c>
      <c r="AE34" s="102">
        <v>434124</v>
      </c>
      <c r="AF34" s="102">
        <v>12537</v>
      </c>
      <c r="AG34" s="102">
        <v>119688</v>
      </c>
      <c r="AH34" s="73">
        <f t="shared" si="3"/>
        <v>395593</v>
      </c>
      <c r="AI34" s="102">
        <v>250382</v>
      </c>
      <c r="AJ34" s="102">
        <v>145211</v>
      </c>
      <c r="AK34" s="102">
        <v>3600449</v>
      </c>
      <c r="AL34" s="73">
        <f t="shared" si="4"/>
        <v>2130011</v>
      </c>
      <c r="AM34" s="102">
        <v>1585004</v>
      </c>
      <c r="AN34" s="102">
        <v>155640</v>
      </c>
      <c r="AO34" s="74"/>
      <c r="AP34" s="102">
        <v>389367</v>
      </c>
      <c r="AQ34" s="102">
        <v>37938</v>
      </c>
      <c r="AR34" s="102">
        <v>0</v>
      </c>
      <c r="AS34" s="102">
        <v>0</v>
      </c>
      <c r="AT34" s="102">
        <v>1537080</v>
      </c>
      <c r="AU34" s="102">
        <v>864286</v>
      </c>
      <c r="AV34" s="102">
        <v>77820</v>
      </c>
      <c r="AW34" s="102">
        <v>60879</v>
      </c>
      <c r="AX34" s="102">
        <v>672794</v>
      </c>
      <c r="AY34" s="102">
        <v>1299</v>
      </c>
      <c r="AZ34" s="102">
        <v>46816</v>
      </c>
      <c r="BA34" s="102">
        <v>46636</v>
      </c>
      <c r="BB34" s="102">
        <v>6271</v>
      </c>
      <c r="BC34" s="102">
        <v>14572</v>
      </c>
      <c r="BD34" s="102">
        <v>0</v>
      </c>
      <c r="BE34" s="102">
        <v>0</v>
      </c>
      <c r="BF34" s="102">
        <v>12244</v>
      </c>
      <c r="BG34" s="102">
        <v>0</v>
      </c>
      <c r="BH34" s="102">
        <v>526599</v>
      </c>
      <c r="BI34" s="102">
        <v>522145</v>
      </c>
      <c r="BJ34" s="102">
        <v>372568</v>
      </c>
      <c r="BK34" s="102">
        <v>1156</v>
      </c>
      <c r="BL34" s="102">
        <v>0</v>
      </c>
      <c r="BM34" s="102">
        <v>0</v>
      </c>
      <c r="BN34" s="102">
        <v>2388906</v>
      </c>
      <c r="BO34" s="73">
        <f t="shared" si="5"/>
        <v>913600</v>
      </c>
      <c r="BP34" s="73">
        <f t="shared" si="6"/>
        <v>1175306</v>
      </c>
      <c r="BQ34" s="102">
        <v>0</v>
      </c>
      <c r="BR34" s="102">
        <v>0</v>
      </c>
      <c r="BS34" s="102">
        <v>1175306</v>
      </c>
      <c r="BT34" s="102">
        <v>300000</v>
      </c>
      <c r="BU34" s="102">
        <v>21789755</v>
      </c>
      <c r="BV34" s="71"/>
      <c r="BW34" s="102">
        <v>4713671</v>
      </c>
      <c r="BX34" s="102">
        <v>3081399</v>
      </c>
      <c r="BY34" s="102">
        <v>608528</v>
      </c>
      <c r="BZ34" s="102">
        <v>54311</v>
      </c>
      <c r="CA34" s="102">
        <v>5372478</v>
      </c>
      <c r="CB34" s="102">
        <v>918018</v>
      </c>
      <c r="CC34" s="102">
        <v>108345</v>
      </c>
      <c r="CD34" s="102">
        <v>2173766</v>
      </c>
      <c r="CE34" s="102">
        <v>2097355</v>
      </c>
      <c r="CF34" s="102">
        <v>0</v>
      </c>
      <c r="CG34" s="102">
        <v>74934</v>
      </c>
      <c r="CH34" s="102">
        <v>2458147</v>
      </c>
      <c r="CI34" s="102">
        <v>1971968</v>
      </c>
      <c r="CJ34" s="83">
        <f t="shared" si="19"/>
        <v>486179</v>
      </c>
      <c r="CK34" s="102">
        <v>2405129</v>
      </c>
      <c r="CL34" s="102">
        <v>1524437</v>
      </c>
      <c r="CM34" s="102">
        <v>140164</v>
      </c>
      <c r="CN34" s="102">
        <v>395547</v>
      </c>
      <c r="CO34" s="102">
        <v>110857</v>
      </c>
      <c r="CP34" s="102">
        <v>1578463</v>
      </c>
      <c r="CQ34" s="102">
        <v>333832</v>
      </c>
      <c r="CR34" s="102">
        <v>499275</v>
      </c>
      <c r="CS34" s="102">
        <v>275853</v>
      </c>
      <c r="CT34" s="73">
        <f t="shared" si="7"/>
        <v>10144</v>
      </c>
      <c r="CU34" s="102">
        <v>1098</v>
      </c>
      <c r="CV34" s="102">
        <v>9046</v>
      </c>
      <c r="CW34" s="73">
        <f t="shared" si="8"/>
        <v>0</v>
      </c>
      <c r="CX34" s="102">
        <v>0</v>
      </c>
      <c r="CY34" s="102">
        <v>0</v>
      </c>
      <c r="CZ34" s="73">
        <f t="shared" si="9"/>
        <v>0</v>
      </c>
      <c r="DA34" s="102">
        <v>0</v>
      </c>
      <c r="DB34" s="102">
        <v>0</v>
      </c>
      <c r="DC34" s="102">
        <v>1151877</v>
      </c>
      <c r="DD34" s="102">
        <v>172697</v>
      </c>
      <c r="DE34" s="102">
        <v>968892</v>
      </c>
      <c r="DF34" s="77">
        <v>10288</v>
      </c>
      <c r="DG34" s="78">
        <v>0</v>
      </c>
      <c r="DH34" s="102">
        <v>0</v>
      </c>
      <c r="DI34" s="102">
        <v>511821</v>
      </c>
      <c r="DJ34" s="102">
        <v>0</v>
      </c>
      <c r="DK34" s="102">
        <v>367975</v>
      </c>
      <c r="DL34" s="102">
        <v>143846</v>
      </c>
      <c r="DM34" s="102">
        <v>24116</v>
      </c>
      <c r="DN34" s="102">
        <v>24116</v>
      </c>
      <c r="DO34" s="102">
        <v>22700</v>
      </c>
      <c r="DP34" s="102">
        <v>0</v>
      </c>
      <c r="DQ34" s="102">
        <v>0</v>
      </c>
      <c r="DR34" s="102">
        <v>0</v>
      </c>
      <c r="DS34" s="102">
        <v>0</v>
      </c>
      <c r="DT34" s="102">
        <v>2578963</v>
      </c>
      <c r="DU34" s="102">
        <v>724581</v>
      </c>
      <c r="DV34" s="73">
        <f t="shared" si="10"/>
        <v>0</v>
      </c>
      <c r="DW34" s="102">
        <v>0</v>
      </c>
      <c r="DX34" s="102">
        <v>663264</v>
      </c>
      <c r="DY34" s="102">
        <v>0</v>
      </c>
      <c r="DZ34" s="102">
        <v>596477</v>
      </c>
      <c r="EA34" s="74">
        <v>0</v>
      </c>
      <c r="EB34" s="102">
        <v>594641</v>
      </c>
      <c r="EC34" s="102">
        <v>0</v>
      </c>
      <c r="ED34" s="102">
        <v>20905522</v>
      </c>
      <c r="EE34" s="71"/>
      <c r="EF34" s="102">
        <v>884233</v>
      </c>
      <c r="EG34" s="102">
        <v>56268</v>
      </c>
      <c r="EH34" s="102">
        <v>827965</v>
      </c>
      <c r="EI34" s="102">
        <v>305820</v>
      </c>
      <c r="EJ34" s="102">
        <v>305820</v>
      </c>
      <c r="EK34" s="71"/>
      <c r="EL34" s="102"/>
      <c r="EM34" s="102">
        <v>64436</v>
      </c>
      <c r="EN34" s="102">
        <v>0</v>
      </c>
      <c r="EO34" s="102">
        <v>46774</v>
      </c>
      <c r="EP34" s="73">
        <f t="shared" si="11"/>
        <v>797266</v>
      </c>
      <c r="EQ34" s="102">
        <v>12781213</v>
      </c>
      <c r="ER34" s="71">
        <v>-2006809</v>
      </c>
      <c r="ES34" s="102">
        <v>3995764</v>
      </c>
      <c r="ET34" s="102">
        <v>2729524</v>
      </c>
      <c r="EU34" s="102">
        <v>1499873</v>
      </c>
      <c r="EV34" s="102">
        <v>2458147</v>
      </c>
      <c r="EW34" s="73">
        <f t="shared" si="12"/>
        <v>153160</v>
      </c>
      <c r="EX34" s="102">
        <v>153160</v>
      </c>
      <c r="EY34" s="102">
        <v>8491</v>
      </c>
      <c r="EZ34" s="102">
        <v>142706</v>
      </c>
      <c r="FA34" s="102">
        <v>0</v>
      </c>
      <c r="FB34" s="102">
        <v>0</v>
      </c>
      <c r="FC34" s="102">
        <v>1546363</v>
      </c>
      <c r="FD34" s="102">
        <v>1457964</v>
      </c>
      <c r="FE34" s="102">
        <v>333832</v>
      </c>
      <c r="FF34" s="102">
        <v>2186545</v>
      </c>
      <c r="FG34" s="73">
        <f t="shared" si="13"/>
        <v>605973</v>
      </c>
      <c r="FH34" s="102">
        <v>13903789</v>
      </c>
      <c r="FI34" s="379">
        <f t="shared" si="14"/>
        <v>6.6</v>
      </c>
      <c r="FJ34" s="102">
        <v>11372543</v>
      </c>
      <c r="FK34" s="102">
        <v>1175306</v>
      </c>
      <c r="FL34" s="102">
        <v>6908211</v>
      </c>
      <c r="FM34" s="102">
        <v>9336957</v>
      </c>
      <c r="FN34" s="428">
        <v>0.76300000000000001</v>
      </c>
      <c r="FO34" s="424">
        <v>92</v>
      </c>
      <c r="FP34" s="425">
        <v>30.2</v>
      </c>
      <c r="FQ34" s="424">
        <v>11.7</v>
      </c>
      <c r="FR34" s="424">
        <v>19.100000000000001</v>
      </c>
      <c r="FS34" s="425">
        <v>10.3</v>
      </c>
      <c r="FT34" s="424">
        <v>6.3</v>
      </c>
      <c r="FU34" s="425">
        <v>13.7</v>
      </c>
      <c r="FV34" s="384">
        <f t="shared" si="15"/>
        <v>9.9</v>
      </c>
      <c r="FW34" s="102">
        <v>24483622</v>
      </c>
      <c r="FX34" s="384">
        <f t="shared" si="16"/>
        <v>195.1</v>
      </c>
      <c r="FY34" s="102">
        <v>2672134</v>
      </c>
      <c r="FZ34" s="102">
        <v>0</v>
      </c>
      <c r="GA34" s="102">
        <v>766389</v>
      </c>
      <c r="GB34" s="102">
        <v>1905745</v>
      </c>
      <c r="GC34" s="102">
        <v>880000</v>
      </c>
      <c r="GD34" s="454">
        <v>7777796</v>
      </c>
      <c r="GE34" s="386">
        <f t="shared" si="21"/>
        <v>62</v>
      </c>
      <c r="GF34" s="424">
        <v>98.120910281831399</v>
      </c>
      <c r="GG34" s="424">
        <v>22.59756898334075</v>
      </c>
      <c r="GH34" s="424">
        <v>92.261820155721423</v>
      </c>
      <c r="GI34" s="102">
        <v>477</v>
      </c>
      <c r="GJ34" s="429" t="s">
        <v>646</v>
      </c>
      <c r="GK34" s="429">
        <v>12.99</v>
      </c>
      <c r="GL34" s="87">
        <v>20</v>
      </c>
      <c r="GM34" s="429" t="s">
        <v>646</v>
      </c>
      <c r="GN34" s="430">
        <v>17.989999999999998</v>
      </c>
      <c r="GO34" s="430">
        <v>30</v>
      </c>
      <c r="GP34" s="425">
        <v>9.9</v>
      </c>
      <c r="GQ34" s="425">
        <v>25</v>
      </c>
      <c r="GR34" s="425">
        <v>35</v>
      </c>
      <c r="GS34" s="431">
        <v>166.1</v>
      </c>
      <c r="GT34" s="425">
        <v>350</v>
      </c>
      <c r="GU34" s="394"/>
      <c r="GV34" s="100">
        <f t="shared" si="17"/>
        <v>12548</v>
      </c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</row>
    <row r="35" spans="2:230" x14ac:dyDescent="0.15">
      <c r="B35" s="89" t="s">
        <v>59</v>
      </c>
      <c r="C35" s="102">
        <v>6572207</v>
      </c>
      <c r="D35" s="73">
        <f t="shared" si="0"/>
        <v>2592506</v>
      </c>
      <c r="E35" s="102">
        <v>71554</v>
      </c>
      <c r="F35" s="102">
        <v>2520952</v>
      </c>
      <c r="G35" s="73">
        <f t="shared" si="1"/>
        <v>247268</v>
      </c>
      <c r="H35" s="102">
        <v>108489</v>
      </c>
      <c r="I35" s="102">
        <v>138779</v>
      </c>
      <c r="J35" s="102">
        <v>2729895</v>
      </c>
      <c r="K35" s="102">
        <v>1210842</v>
      </c>
      <c r="L35" s="102">
        <v>1291298</v>
      </c>
      <c r="M35" s="102">
        <v>212941</v>
      </c>
      <c r="N35" s="102">
        <v>358119</v>
      </c>
      <c r="O35" s="102">
        <v>587336</v>
      </c>
      <c r="P35" s="102">
        <v>320985</v>
      </c>
      <c r="Q35" s="102">
        <v>266351</v>
      </c>
      <c r="R35" s="102">
        <v>116258</v>
      </c>
      <c r="S35" s="74"/>
      <c r="T35" s="73">
        <f t="shared" si="2"/>
        <v>583129</v>
      </c>
      <c r="U35" s="102">
        <v>32989</v>
      </c>
      <c r="V35" s="102">
        <v>21378</v>
      </c>
      <c r="W35" s="102">
        <v>4742</v>
      </c>
      <c r="X35" s="102">
        <v>448254</v>
      </c>
      <c r="Y35" s="102">
        <v>30698</v>
      </c>
      <c r="Z35" s="102">
        <v>0</v>
      </c>
      <c r="AA35" s="102">
        <v>45068</v>
      </c>
      <c r="AB35" s="102">
        <v>97904</v>
      </c>
      <c r="AC35" s="102">
        <v>4016514</v>
      </c>
      <c r="AD35" s="102">
        <v>3611267</v>
      </c>
      <c r="AE35" s="102">
        <v>405243</v>
      </c>
      <c r="AF35" s="102">
        <v>8596</v>
      </c>
      <c r="AG35" s="102">
        <v>195125</v>
      </c>
      <c r="AH35" s="73">
        <f t="shared" si="3"/>
        <v>274970</v>
      </c>
      <c r="AI35" s="102">
        <v>165512</v>
      </c>
      <c r="AJ35" s="102">
        <v>109458</v>
      </c>
      <c r="AK35" s="102">
        <v>3039577</v>
      </c>
      <c r="AL35" s="73">
        <f t="shared" si="4"/>
        <v>1816825</v>
      </c>
      <c r="AM35" s="102">
        <v>1228319</v>
      </c>
      <c r="AN35" s="102">
        <v>299540</v>
      </c>
      <c r="AO35" s="74"/>
      <c r="AP35" s="102">
        <v>288966</v>
      </c>
      <c r="AQ35" s="102">
        <v>46704</v>
      </c>
      <c r="AR35" s="102">
        <v>0</v>
      </c>
      <c r="AS35" s="102">
        <v>0</v>
      </c>
      <c r="AT35" s="102">
        <v>1163094</v>
      </c>
      <c r="AU35" s="102">
        <v>655772</v>
      </c>
      <c r="AV35" s="102">
        <v>102964</v>
      </c>
      <c r="AW35" s="102">
        <v>25750</v>
      </c>
      <c r="AX35" s="102">
        <v>507322</v>
      </c>
      <c r="AY35" s="102">
        <v>1240</v>
      </c>
      <c r="AZ35" s="102">
        <v>92762</v>
      </c>
      <c r="BA35" s="102">
        <v>72206</v>
      </c>
      <c r="BB35" s="102">
        <v>3125</v>
      </c>
      <c r="BC35" s="102">
        <v>352840</v>
      </c>
      <c r="BD35" s="102">
        <v>250000</v>
      </c>
      <c r="BE35" s="102">
        <v>0</v>
      </c>
      <c r="BF35" s="102">
        <v>102840</v>
      </c>
      <c r="BG35" s="102">
        <v>0</v>
      </c>
      <c r="BH35" s="102">
        <v>489301</v>
      </c>
      <c r="BI35" s="102">
        <v>475196</v>
      </c>
      <c r="BJ35" s="102">
        <v>209260</v>
      </c>
      <c r="BK35" s="102">
        <v>0</v>
      </c>
      <c r="BL35" s="102">
        <v>0</v>
      </c>
      <c r="BM35" s="102">
        <v>0</v>
      </c>
      <c r="BN35" s="102">
        <v>1574700</v>
      </c>
      <c r="BO35" s="73">
        <f t="shared" si="5"/>
        <v>579400</v>
      </c>
      <c r="BP35" s="73">
        <f t="shared" si="6"/>
        <v>995300</v>
      </c>
      <c r="BQ35" s="102">
        <v>0</v>
      </c>
      <c r="BR35" s="102">
        <v>0</v>
      </c>
      <c r="BS35" s="102">
        <v>995300</v>
      </c>
      <c r="BT35" s="102">
        <v>0</v>
      </c>
      <c r="BU35" s="102">
        <v>18789362</v>
      </c>
      <c r="BV35" s="71"/>
      <c r="BW35" s="102">
        <v>3770589</v>
      </c>
      <c r="BX35" s="102">
        <v>2235728</v>
      </c>
      <c r="BY35" s="102">
        <v>599855</v>
      </c>
      <c r="BZ35" s="102">
        <v>228457</v>
      </c>
      <c r="CA35" s="102">
        <v>4878825</v>
      </c>
      <c r="CB35" s="102">
        <v>729652</v>
      </c>
      <c r="CC35" s="102">
        <v>99373</v>
      </c>
      <c r="CD35" s="102">
        <v>2395333</v>
      </c>
      <c r="CE35" s="102">
        <v>1552901</v>
      </c>
      <c r="CF35" s="102">
        <v>10181</v>
      </c>
      <c r="CG35" s="102">
        <v>91360</v>
      </c>
      <c r="CH35" s="102">
        <v>2371180</v>
      </c>
      <c r="CI35" s="102">
        <v>2030106</v>
      </c>
      <c r="CJ35" s="83">
        <f t="shared" si="19"/>
        <v>341074</v>
      </c>
      <c r="CK35" s="102">
        <v>2080211</v>
      </c>
      <c r="CL35" s="102">
        <v>1452785</v>
      </c>
      <c r="CM35" s="102">
        <v>79745</v>
      </c>
      <c r="CN35" s="102">
        <v>259403</v>
      </c>
      <c r="CO35" s="102">
        <v>64645</v>
      </c>
      <c r="CP35" s="102">
        <v>2055498</v>
      </c>
      <c r="CQ35" s="102">
        <v>402544</v>
      </c>
      <c r="CR35" s="102">
        <v>343614</v>
      </c>
      <c r="CS35" s="102">
        <v>237859</v>
      </c>
      <c r="CT35" s="73">
        <f t="shared" si="7"/>
        <v>902531</v>
      </c>
      <c r="CU35" s="102">
        <v>668410</v>
      </c>
      <c r="CV35" s="102">
        <v>234121</v>
      </c>
      <c r="CW35" s="73">
        <f t="shared" si="8"/>
        <v>0</v>
      </c>
      <c r="CX35" s="102">
        <v>0</v>
      </c>
      <c r="CY35" s="102">
        <v>0</v>
      </c>
      <c r="CZ35" s="73">
        <f t="shared" si="9"/>
        <v>870257</v>
      </c>
      <c r="DA35" s="102">
        <v>637868</v>
      </c>
      <c r="DB35" s="102">
        <v>232389</v>
      </c>
      <c r="DC35" s="102">
        <v>1293299</v>
      </c>
      <c r="DD35" s="102">
        <v>113665</v>
      </c>
      <c r="DE35" s="102">
        <v>1179634</v>
      </c>
      <c r="DF35" s="77">
        <v>0</v>
      </c>
      <c r="DG35" s="78">
        <v>0</v>
      </c>
      <c r="DH35" s="102">
        <v>6395</v>
      </c>
      <c r="DI35" s="102">
        <v>311116</v>
      </c>
      <c r="DJ35" s="102">
        <v>238538</v>
      </c>
      <c r="DK35" s="102">
        <v>94</v>
      </c>
      <c r="DL35" s="102">
        <v>72484</v>
      </c>
      <c r="DM35" s="102">
        <v>0</v>
      </c>
      <c r="DN35" s="102">
        <v>0</v>
      </c>
      <c r="DO35" s="102">
        <v>0</v>
      </c>
      <c r="DP35" s="102">
        <v>0</v>
      </c>
      <c r="DQ35" s="102">
        <v>0</v>
      </c>
      <c r="DR35" s="102">
        <v>0</v>
      </c>
      <c r="DS35" s="102">
        <v>0</v>
      </c>
      <c r="DT35" s="102">
        <v>1418617</v>
      </c>
      <c r="DU35" s="102">
        <v>0</v>
      </c>
      <c r="DV35" s="73">
        <f t="shared" si="10"/>
        <v>0</v>
      </c>
      <c r="DW35" s="102">
        <v>0</v>
      </c>
      <c r="DX35" s="102">
        <v>431979</v>
      </c>
      <c r="DY35" s="102">
        <v>0</v>
      </c>
      <c r="DZ35" s="102">
        <v>519539</v>
      </c>
      <c r="EA35" s="74">
        <v>0</v>
      </c>
      <c r="EB35" s="102">
        <v>466854</v>
      </c>
      <c r="EC35" s="102">
        <v>0</v>
      </c>
      <c r="ED35" s="102">
        <v>18250375</v>
      </c>
      <c r="EE35" s="71"/>
      <c r="EF35" s="102">
        <v>538987</v>
      </c>
      <c r="EG35" s="102">
        <v>29990</v>
      </c>
      <c r="EH35" s="102">
        <v>508997</v>
      </c>
      <c r="EI35" s="102">
        <v>33801</v>
      </c>
      <c r="EJ35" s="102">
        <v>22339</v>
      </c>
      <c r="EK35" s="71"/>
      <c r="EL35" s="102"/>
      <c r="EM35" s="102">
        <v>56774</v>
      </c>
      <c r="EN35" s="102">
        <v>350000</v>
      </c>
      <c r="EO35" s="102">
        <v>89918</v>
      </c>
      <c r="EP35" s="73">
        <f t="shared" si="11"/>
        <v>730566</v>
      </c>
      <c r="EQ35" s="102">
        <v>11394608</v>
      </c>
      <c r="ER35" s="71">
        <v>-2157188</v>
      </c>
      <c r="ES35" s="102">
        <v>3448904</v>
      </c>
      <c r="ET35" s="102">
        <v>2009356</v>
      </c>
      <c r="EU35" s="102">
        <v>1323571</v>
      </c>
      <c r="EV35" s="102">
        <v>2371180</v>
      </c>
      <c r="EW35" s="73">
        <f t="shared" si="12"/>
        <v>658611</v>
      </c>
      <c r="EX35" s="102">
        <v>652216</v>
      </c>
      <c r="EY35" s="102">
        <v>34587</v>
      </c>
      <c r="EZ35" s="102">
        <v>617629</v>
      </c>
      <c r="FA35" s="102">
        <v>6395</v>
      </c>
      <c r="FB35" s="102">
        <v>0</v>
      </c>
      <c r="FC35" s="102">
        <v>1766164</v>
      </c>
      <c r="FD35" s="102">
        <v>1899051</v>
      </c>
      <c r="FE35" s="102">
        <v>402544</v>
      </c>
      <c r="FF35" s="102">
        <v>1173169</v>
      </c>
      <c r="FG35" s="73">
        <f t="shared" si="13"/>
        <v>372159</v>
      </c>
      <c r="FH35" s="102">
        <v>13012809</v>
      </c>
      <c r="FI35" s="379">
        <f t="shared" si="14"/>
        <v>4.5</v>
      </c>
      <c r="FJ35" s="102">
        <v>10292502</v>
      </c>
      <c r="FK35" s="102">
        <v>995433</v>
      </c>
      <c r="FL35" s="102">
        <v>5195288</v>
      </c>
      <c r="FM35" s="102">
        <v>8822706</v>
      </c>
      <c r="FN35" s="428">
        <v>0.626</v>
      </c>
      <c r="FO35" s="424">
        <v>97.7</v>
      </c>
      <c r="FP35" s="425">
        <v>28</v>
      </c>
      <c r="FQ35" s="424">
        <v>11.5</v>
      </c>
      <c r="FR35" s="424">
        <v>20.7</v>
      </c>
      <c r="FS35" s="425">
        <v>14.4</v>
      </c>
      <c r="FT35" s="424">
        <v>14.2</v>
      </c>
      <c r="FU35" s="425">
        <v>8.6999999999999993</v>
      </c>
      <c r="FV35" s="384">
        <f t="shared" si="15"/>
        <v>11</v>
      </c>
      <c r="FW35" s="102">
        <v>18994459</v>
      </c>
      <c r="FX35" s="384">
        <f t="shared" si="16"/>
        <v>168.3</v>
      </c>
      <c r="FY35" s="102">
        <v>2041816</v>
      </c>
      <c r="FZ35" s="102">
        <v>378009</v>
      </c>
      <c r="GA35" s="102">
        <v>50999</v>
      </c>
      <c r="GB35" s="102">
        <v>1612808</v>
      </c>
      <c r="GC35" s="102">
        <v>496400</v>
      </c>
      <c r="GD35" s="454">
        <v>1212472</v>
      </c>
      <c r="GE35" s="386">
        <f t="shared" si="21"/>
        <v>10.7</v>
      </c>
      <c r="GF35" s="424">
        <v>98.107565746903603</v>
      </c>
      <c r="GG35" s="424">
        <v>23.309290929269441</v>
      </c>
      <c r="GH35" s="424">
        <v>93.295233774422854</v>
      </c>
      <c r="GI35" s="102">
        <v>365</v>
      </c>
      <c r="GJ35" s="429" t="s">
        <v>646</v>
      </c>
      <c r="GK35" s="429">
        <v>13.14</v>
      </c>
      <c r="GL35" s="87">
        <v>20</v>
      </c>
      <c r="GM35" s="429" t="s">
        <v>646</v>
      </c>
      <c r="GN35" s="430">
        <v>18.14</v>
      </c>
      <c r="GO35" s="430">
        <v>30</v>
      </c>
      <c r="GP35" s="425">
        <v>11</v>
      </c>
      <c r="GQ35" s="425">
        <v>25</v>
      </c>
      <c r="GR35" s="425">
        <v>35</v>
      </c>
      <c r="GS35" s="431">
        <v>67.5</v>
      </c>
      <c r="GT35" s="425">
        <v>350</v>
      </c>
      <c r="GU35" s="394"/>
      <c r="GV35" s="100">
        <f t="shared" si="17"/>
        <v>11288</v>
      </c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</row>
    <row r="36" spans="2:230" x14ac:dyDescent="0.15">
      <c r="B36" s="89" t="s">
        <v>61</v>
      </c>
      <c r="C36" s="102">
        <v>9291183</v>
      </c>
      <c r="D36" s="73">
        <f t="shared" si="0"/>
        <v>4194197</v>
      </c>
      <c r="E36" s="102">
        <v>103838</v>
      </c>
      <c r="F36" s="102">
        <v>4090359</v>
      </c>
      <c r="G36" s="73">
        <f t="shared" si="1"/>
        <v>329054</v>
      </c>
      <c r="H36" s="102">
        <v>124387</v>
      </c>
      <c r="I36" s="102">
        <v>204667</v>
      </c>
      <c r="J36" s="102">
        <v>3528545</v>
      </c>
      <c r="K36" s="102">
        <v>1462989</v>
      </c>
      <c r="L36" s="102">
        <v>1582799</v>
      </c>
      <c r="M36" s="102">
        <v>429188</v>
      </c>
      <c r="N36" s="102">
        <v>382780</v>
      </c>
      <c r="O36" s="102">
        <v>776484</v>
      </c>
      <c r="P36" s="102">
        <v>441226</v>
      </c>
      <c r="Q36" s="102">
        <v>335258</v>
      </c>
      <c r="R36" s="102">
        <v>150526</v>
      </c>
      <c r="S36" s="74"/>
      <c r="T36" s="73">
        <f t="shared" si="2"/>
        <v>848098</v>
      </c>
      <c r="U36" s="102">
        <v>52566</v>
      </c>
      <c r="V36" s="102">
        <v>34052</v>
      </c>
      <c r="W36" s="102">
        <v>7544</v>
      </c>
      <c r="X36" s="102">
        <v>606266</v>
      </c>
      <c r="Y36" s="102">
        <v>89316</v>
      </c>
      <c r="Z36" s="102">
        <v>0</v>
      </c>
      <c r="AA36" s="102">
        <v>58354</v>
      </c>
      <c r="AB36" s="102">
        <v>148364</v>
      </c>
      <c r="AC36" s="102">
        <v>3442069</v>
      </c>
      <c r="AD36" s="102">
        <v>3223423</v>
      </c>
      <c r="AE36" s="102">
        <v>218641</v>
      </c>
      <c r="AF36" s="102">
        <v>12372</v>
      </c>
      <c r="AG36" s="102">
        <v>238782</v>
      </c>
      <c r="AH36" s="73">
        <f t="shared" si="3"/>
        <v>414362</v>
      </c>
      <c r="AI36" s="102">
        <v>326247</v>
      </c>
      <c r="AJ36" s="102">
        <v>88115</v>
      </c>
      <c r="AK36" s="102">
        <v>3281178</v>
      </c>
      <c r="AL36" s="73">
        <f t="shared" si="4"/>
        <v>1537301</v>
      </c>
      <c r="AM36" s="102">
        <v>997898</v>
      </c>
      <c r="AN36" s="102">
        <v>205659</v>
      </c>
      <c r="AO36" s="74"/>
      <c r="AP36" s="102">
        <v>333744</v>
      </c>
      <c r="AQ36" s="102">
        <v>128191</v>
      </c>
      <c r="AR36" s="102">
        <v>0</v>
      </c>
      <c r="AS36" s="102">
        <v>0</v>
      </c>
      <c r="AT36" s="102">
        <v>1390540</v>
      </c>
      <c r="AU36" s="102">
        <v>760006</v>
      </c>
      <c r="AV36" s="102">
        <v>102830</v>
      </c>
      <c r="AW36" s="102">
        <v>13229</v>
      </c>
      <c r="AX36" s="102">
        <v>630534</v>
      </c>
      <c r="AY36" s="102">
        <v>26635</v>
      </c>
      <c r="AZ36" s="102">
        <v>37319</v>
      </c>
      <c r="BA36" s="102">
        <v>24433</v>
      </c>
      <c r="BB36" s="102">
        <v>9647</v>
      </c>
      <c r="BC36" s="102">
        <v>24043</v>
      </c>
      <c r="BD36" s="102">
        <v>0</v>
      </c>
      <c r="BE36" s="102">
        <v>0</v>
      </c>
      <c r="BF36" s="102">
        <v>9407</v>
      </c>
      <c r="BG36" s="102">
        <v>0</v>
      </c>
      <c r="BH36" s="102">
        <v>284186</v>
      </c>
      <c r="BI36" s="102">
        <v>180289</v>
      </c>
      <c r="BJ36" s="102">
        <v>355398</v>
      </c>
      <c r="BK36" s="102">
        <v>100000</v>
      </c>
      <c r="BL36" s="102">
        <v>0</v>
      </c>
      <c r="BM36" s="102">
        <v>0</v>
      </c>
      <c r="BN36" s="102">
        <v>2129159</v>
      </c>
      <c r="BO36" s="73">
        <f t="shared" si="5"/>
        <v>792600</v>
      </c>
      <c r="BP36" s="73">
        <f t="shared" si="6"/>
        <v>1336559</v>
      </c>
      <c r="BQ36" s="102">
        <v>0</v>
      </c>
      <c r="BR36" s="102">
        <v>0</v>
      </c>
      <c r="BS36" s="102">
        <v>1336559</v>
      </c>
      <c r="BT36" s="102">
        <v>0</v>
      </c>
      <c r="BU36" s="102">
        <v>22057226</v>
      </c>
      <c r="BV36" s="71"/>
      <c r="BW36" s="102">
        <v>4747577</v>
      </c>
      <c r="BX36" s="102">
        <v>2794510</v>
      </c>
      <c r="BY36" s="102">
        <v>509594</v>
      </c>
      <c r="BZ36" s="102">
        <v>482290</v>
      </c>
      <c r="CA36" s="102">
        <v>5537024</v>
      </c>
      <c r="CB36" s="102">
        <v>1121979</v>
      </c>
      <c r="CC36" s="102">
        <v>112130</v>
      </c>
      <c r="CD36" s="102">
        <v>2799478</v>
      </c>
      <c r="CE36" s="102">
        <v>1319372</v>
      </c>
      <c r="CF36" s="102">
        <v>0</v>
      </c>
      <c r="CG36" s="102">
        <v>178607</v>
      </c>
      <c r="CH36" s="102">
        <v>3939541</v>
      </c>
      <c r="CI36" s="102">
        <v>3380183</v>
      </c>
      <c r="CJ36" s="83">
        <f t="shared" si="19"/>
        <v>559358</v>
      </c>
      <c r="CK36" s="102">
        <v>2459375</v>
      </c>
      <c r="CL36" s="102">
        <v>1410499</v>
      </c>
      <c r="CM36" s="102">
        <v>167068</v>
      </c>
      <c r="CN36" s="102">
        <v>452732</v>
      </c>
      <c r="CO36" s="102">
        <v>87411</v>
      </c>
      <c r="CP36" s="102">
        <v>951598</v>
      </c>
      <c r="CQ36" s="102">
        <v>466970</v>
      </c>
      <c r="CR36" s="102">
        <v>279740</v>
      </c>
      <c r="CS36" s="102">
        <v>202981</v>
      </c>
      <c r="CT36" s="73">
        <f t="shared" si="7"/>
        <v>7182</v>
      </c>
      <c r="CU36" s="102">
        <v>7182</v>
      </c>
      <c r="CV36" s="102">
        <v>0</v>
      </c>
      <c r="CW36" s="73">
        <f t="shared" si="8"/>
        <v>0</v>
      </c>
      <c r="CX36" s="102">
        <v>0</v>
      </c>
      <c r="CY36" s="102">
        <v>0</v>
      </c>
      <c r="CZ36" s="73">
        <f t="shared" si="9"/>
        <v>0</v>
      </c>
      <c r="DA36" s="102">
        <v>0</v>
      </c>
      <c r="DB36" s="102">
        <v>0</v>
      </c>
      <c r="DC36" s="102">
        <v>1579259</v>
      </c>
      <c r="DD36" s="102">
        <v>262239</v>
      </c>
      <c r="DE36" s="102">
        <v>1307020</v>
      </c>
      <c r="DF36" s="77">
        <v>10000</v>
      </c>
      <c r="DG36" s="78">
        <v>0</v>
      </c>
      <c r="DH36" s="102">
        <v>0</v>
      </c>
      <c r="DI36" s="102">
        <v>96167</v>
      </c>
      <c r="DJ36" s="102">
        <v>92631</v>
      </c>
      <c r="DK36" s="102">
        <v>1199</v>
      </c>
      <c r="DL36" s="102">
        <v>2337</v>
      </c>
      <c r="DM36" s="102">
        <v>0</v>
      </c>
      <c r="DN36" s="102">
        <v>0</v>
      </c>
      <c r="DO36" s="102">
        <v>0</v>
      </c>
      <c r="DP36" s="102">
        <v>0</v>
      </c>
      <c r="DQ36" s="102">
        <v>0</v>
      </c>
      <c r="DR36" s="102">
        <v>0</v>
      </c>
      <c r="DS36" s="102">
        <v>0</v>
      </c>
      <c r="DT36" s="102">
        <v>2270868</v>
      </c>
      <c r="DU36" s="102">
        <v>299517</v>
      </c>
      <c r="DV36" s="73">
        <f t="shared" si="10"/>
        <v>0</v>
      </c>
      <c r="DW36" s="102">
        <v>0</v>
      </c>
      <c r="DX36" s="102">
        <v>595240</v>
      </c>
      <c r="DY36" s="102">
        <v>0</v>
      </c>
      <c r="DZ36" s="102">
        <v>762305</v>
      </c>
      <c r="EA36" s="74">
        <v>0</v>
      </c>
      <c r="EB36" s="102">
        <v>613656</v>
      </c>
      <c r="EC36" s="102">
        <v>0</v>
      </c>
      <c r="ED36" s="102">
        <v>21668820</v>
      </c>
      <c r="EE36" s="71"/>
      <c r="EF36" s="102">
        <v>388406</v>
      </c>
      <c r="EG36" s="102">
        <v>94691</v>
      </c>
      <c r="EH36" s="102">
        <v>293715</v>
      </c>
      <c r="EI36" s="102">
        <v>113426</v>
      </c>
      <c r="EJ36" s="102">
        <v>206057</v>
      </c>
      <c r="EK36" s="71"/>
      <c r="EL36" s="102"/>
      <c r="EM36" s="102">
        <v>78083</v>
      </c>
      <c r="EN36" s="102">
        <v>592</v>
      </c>
      <c r="EO36" s="102">
        <v>32039</v>
      </c>
      <c r="EP36" s="73">
        <f t="shared" si="11"/>
        <v>535315</v>
      </c>
      <c r="EQ36" s="102">
        <v>13892612</v>
      </c>
      <c r="ER36" s="71">
        <v>-1892133</v>
      </c>
      <c r="ES36" s="102">
        <v>4512529</v>
      </c>
      <c r="ET36" s="102">
        <v>2640617</v>
      </c>
      <c r="EU36" s="102">
        <v>1668178</v>
      </c>
      <c r="EV36" s="102">
        <v>3839541</v>
      </c>
      <c r="EW36" s="73">
        <f t="shared" si="12"/>
        <v>545203</v>
      </c>
      <c r="EX36" s="102">
        <v>545203</v>
      </c>
      <c r="EY36" s="102">
        <v>15009</v>
      </c>
      <c r="EZ36" s="102">
        <v>520194</v>
      </c>
      <c r="FA36" s="102">
        <v>0</v>
      </c>
      <c r="FB36" s="102">
        <v>0</v>
      </c>
      <c r="FC36" s="102">
        <v>1861883</v>
      </c>
      <c r="FD36" s="102">
        <v>828239</v>
      </c>
      <c r="FE36" s="102">
        <v>449833</v>
      </c>
      <c r="FF36" s="102">
        <v>1962673</v>
      </c>
      <c r="FG36" s="73">
        <f t="shared" si="13"/>
        <v>178093</v>
      </c>
      <c r="FH36" s="102">
        <v>15396339</v>
      </c>
      <c r="FI36" s="379">
        <f t="shared" si="14"/>
        <v>2.1</v>
      </c>
      <c r="FJ36" s="102">
        <v>12564029</v>
      </c>
      <c r="FK36" s="102">
        <v>1336559</v>
      </c>
      <c r="FL36" s="102">
        <v>7275387</v>
      </c>
      <c r="FM36" s="102">
        <v>10499101</v>
      </c>
      <c r="FN36" s="428">
        <v>0.72499999999999998</v>
      </c>
      <c r="FO36" s="424">
        <v>95.1</v>
      </c>
      <c r="FP36" s="425">
        <v>30.6</v>
      </c>
      <c r="FQ36" s="424">
        <v>11.6</v>
      </c>
      <c r="FR36" s="424">
        <v>26.8</v>
      </c>
      <c r="FS36" s="425">
        <v>10.9</v>
      </c>
      <c r="FT36" s="424">
        <v>4.5999999999999996</v>
      </c>
      <c r="FU36" s="425">
        <v>10.1</v>
      </c>
      <c r="FV36" s="384">
        <f t="shared" si="15"/>
        <v>16.600000000000001</v>
      </c>
      <c r="FW36" s="102">
        <v>30591256</v>
      </c>
      <c r="FX36" s="384">
        <f t="shared" si="16"/>
        <v>220.1</v>
      </c>
      <c r="FY36" s="102">
        <v>3411842</v>
      </c>
      <c r="FZ36" s="102">
        <v>1332028</v>
      </c>
      <c r="GA36" s="102">
        <v>645060</v>
      </c>
      <c r="GB36" s="102">
        <v>1434754</v>
      </c>
      <c r="GC36" s="102">
        <v>0</v>
      </c>
      <c r="GD36" s="454">
        <v>18843930</v>
      </c>
      <c r="GE36" s="386">
        <f t="shared" si="21"/>
        <v>135.6</v>
      </c>
      <c r="GF36" s="424">
        <v>98.847785860271046</v>
      </c>
      <c r="GG36" s="424">
        <v>34.617084704984777</v>
      </c>
      <c r="GH36" s="424">
        <v>95.574290806131813</v>
      </c>
      <c r="GI36" s="102">
        <v>462</v>
      </c>
      <c r="GJ36" s="429" t="s">
        <v>646</v>
      </c>
      <c r="GK36" s="429">
        <v>12.87</v>
      </c>
      <c r="GL36" s="87">
        <v>20</v>
      </c>
      <c r="GM36" s="429" t="s">
        <v>646</v>
      </c>
      <c r="GN36" s="430">
        <v>17.87</v>
      </c>
      <c r="GO36" s="430">
        <v>30</v>
      </c>
      <c r="GP36" s="425">
        <v>16.600000000000001</v>
      </c>
      <c r="GQ36" s="425">
        <v>25</v>
      </c>
      <c r="GR36" s="425">
        <v>35</v>
      </c>
      <c r="GS36" s="431">
        <v>258.39999999999998</v>
      </c>
      <c r="GT36" s="425">
        <v>350</v>
      </c>
      <c r="GU36" s="394"/>
      <c r="GV36" s="100">
        <f t="shared" si="17"/>
        <v>13901</v>
      </c>
      <c r="GW36" s="394"/>
      <c r="GX36" s="394"/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</row>
    <row r="37" spans="2:230" x14ac:dyDescent="0.15">
      <c r="B37" s="89" t="s">
        <v>63</v>
      </c>
      <c r="C37" s="102">
        <v>7412037</v>
      </c>
      <c r="D37" s="73">
        <f t="shared" si="0"/>
        <v>3334834</v>
      </c>
      <c r="E37" s="102">
        <v>76336</v>
      </c>
      <c r="F37" s="102">
        <v>3258498</v>
      </c>
      <c r="G37" s="73">
        <f t="shared" si="1"/>
        <v>478850</v>
      </c>
      <c r="H37" s="102">
        <v>102448</v>
      </c>
      <c r="I37" s="102">
        <v>376402</v>
      </c>
      <c r="J37" s="102">
        <v>2842236</v>
      </c>
      <c r="K37" s="102">
        <v>1144295</v>
      </c>
      <c r="L37" s="102">
        <v>1324319</v>
      </c>
      <c r="M37" s="102">
        <v>339903</v>
      </c>
      <c r="N37" s="102">
        <v>325430</v>
      </c>
      <c r="O37" s="102">
        <v>368464</v>
      </c>
      <c r="P37" s="102">
        <v>202115</v>
      </c>
      <c r="Q37" s="102">
        <v>166349</v>
      </c>
      <c r="R37" s="102">
        <v>118142</v>
      </c>
      <c r="S37" s="74"/>
      <c r="T37" s="73">
        <f t="shared" si="2"/>
        <v>632592</v>
      </c>
      <c r="U37" s="102">
        <v>42035</v>
      </c>
      <c r="V37" s="102">
        <v>27279</v>
      </c>
      <c r="W37" s="102">
        <v>6085</v>
      </c>
      <c r="X37" s="102">
        <v>511389</v>
      </c>
      <c r="Y37" s="102">
        <v>0</v>
      </c>
      <c r="Z37" s="102">
        <v>0</v>
      </c>
      <c r="AA37" s="102">
        <v>45804</v>
      </c>
      <c r="AB37" s="102">
        <v>108761</v>
      </c>
      <c r="AC37" s="102">
        <v>2871093</v>
      </c>
      <c r="AD37" s="102">
        <v>2568023</v>
      </c>
      <c r="AE37" s="102">
        <v>303066</v>
      </c>
      <c r="AF37" s="102">
        <v>11441</v>
      </c>
      <c r="AG37" s="102">
        <v>201324</v>
      </c>
      <c r="AH37" s="73">
        <f t="shared" si="3"/>
        <v>250825</v>
      </c>
      <c r="AI37" s="102">
        <v>208563</v>
      </c>
      <c r="AJ37" s="102">
        <v>42262</v>
      </c>
      <c r="AK37" s="102">
        <v>3015198</v>
      </c>
      <c r="AL37" s="73">
        <f t="shared" si="4"/>
        <v>1368337</v>
      </c>
      <c r="AM37" s="102">
        <v>1017749</v>
      </c>
      <c r="AN37" s="102">
        <v>160345</v>
      </c>
      <c r="AO37" s="74"/>
      <c r="AP37" s="102">
        <v>190243</v>
      </c>
      <c r="AQ37" s="102">
        <v>503708</v>
      </c>
      <c r="AR37" s="102">
        <v>0</v>
      </c>
      <c r="AS37" s="102">
        <v>0</v>
      </c>
      <c r="AT37" s="102">
        <v>1150633</v>
      </c>
      <c r="AU37" s="102">
        <v>634845</v>
      </c>
      <c r="AV37" s="102">
        <v>80173</v>
      </c>
      <c r="AW37" s="102">
        <v>524</v>
      </c>
      <c r="AX37" s="102">
        <v>515788</v>
      </c>
      <c r="AY37" s="102">
        <v>246</v>
      </c>
      <c r="AZ37" s="102">
        <v>17597</v>
      </c>
      <c r="BA37" s="102">
        <v>0</v>
      </c>
      <c r="BB37" s="102">
        <v>215236</v>
      </c>
      <c r="BC37" s="102">
        <v>1155</v>
      </c>
      <c r="BD37" s="102">
        <v>0</v>
      </c>
      <c r="BE37" s="102">
        <v>0</v>
      </c>
      <c r="BF37" s="102">
        <v>188</v>
      </c>
      <c r="BG37" s="102">
        <v>0</v>
      </c>
      <c r="BH37" s="102">
        <v>890357</v>
      </c>
      <c r="BI37" s="102">
        <v>750316</v>
      </c>
      <c r="BJ37" s="102">
        <v>134479</v>
      </c>
      <c r="BK37" s="102">
        <v>164</v>
      </c>
      <c r="BL37" s="102">
        <v>0</v>
      </c>
      <c r="BM37" s="102">
        <v>0</v>
      </c>
      <c r="BN37" s="102">
        <v>1708900</v>
      </c>
      <c r="BO37" s="73">
        <f t="shared" si="5"/>
        <v>626100</v>
      </c>
      <c r="BP37" s="73">
        <f t="shared" si="6"/>
        <v>1082800</v>
      </c>
      <c r="BQ37" s="102">
        <v>0</v>
      </c>
      <c r="BR37" s="102">
        <v>0</v>
      </c>
      <c r="BS37" s="102">
        <v>1082800</v>
      </c>
      <c r="BT37" s="102">
        <v>0</v>
      </c>
      <c r="BU37" s="102">
        <v>18739770</v>
      </c>
      <c r="BV37" s="71"/>
      <c r="BW37" s="102">
        <v>3990537</v>
      </c>
      <c r="BX37" s="102">
        <v>2496436</v>
      </c>
      <c r="BY37" s="102">
        <v>501996</v>
      </c>
      <c r="BZ37" s="102">
        <v>225952</v>
      </c>
      <c r="CA37" s="102">
        <v>4005883</v>
      </c>
      <c r="CB37" s="102">
        <v>555979</v>
      </c>
      <c r="CC37" s="102">
        <v>78609</v>
      </c>
      <c r="CD37" s="102">
        <v>2068560</v>
      </c>
      <c r="CE37" s="102">
        <v>1241800</v>
      </c>
      <c r="CF37" s="102">
        <v>0</v>
      </c>
      <c r="CG37" s="102">
        <v>60865</v>
      </c>
      <c r="CH37" s="102">
        <v>2604571</v>
      </c>
      <c r="CI37" s="102">
        <v>2333462</v>
      </c>
      <c r="CJ37" s="83">
        <f t="shared" si="19"/>
        <v>271109</v>
      </c>
      <c r="CK37" s="102">
        <v>2464118</v>
      </c>
      <c r="CL37" s="102">
        <v>1649101</v>
      </c>
      <c r="CM37" s="102">
        <v>149549</v>
      </c>
      <c r="CN37" s="102">
        <v>290964</v>
      </c>
      <c r="CO37" s="102">
        <v>23581</v>
      </c>
      <c r="CP37" s="102">
        <v>1138608</v>
      </c>
      <c r="CQ37" s="102">
        <v>497741</v>
      </c>
      <c r="CR37" s="102">
        <v>312010</v>
      </c>
      <c r="CS37" s="102">
        <v>175714</v>
      </c>
      <c r="CT37" s="73">
        <f t="shared" si="7"/>
        <v>32380</v>
      </c>
      <c r="CU37" s="102">
        <v>32380</v>
      </c>
      <c r="CV37" s="102">
        <v>0</v>
      </c>
      <c r="CW37" s="73">
        <f t="shared" si="8"/>
        <v>0</v>
      </c>
      <c r="CX37" s="102">
        <v>0</v>
      </c>
      <c r="CY37" s="102">
        <v>0</v>
      </c>
      <c r="CZ37" s="73">
        <f t="shared" si="9"/>
        <v>0</v>
      </c>
      <c r="DA37" s="102">
        <v>0</v>
      </c>
      <c r="DB37" s="102">
        <v>0</v>
      </c>
      <c r="DC37" s="102">
        <v>1506481</v>
      </c>
      <c r="DD37" s="102">
        <v>1199594</v>
      </c>
      <c r="DE37" s="102">
        <v>294209</v>
      </c>
      <c r="DF37" s="77">
        <v>12678</v>
      </c>
      <c r="DG37" s="78">
        <v>0</v>
      </c>
      <c r="DH37" s="102">
        <v>0</v>
      </c>
      <c r="DI37" s="102">
        <v>304836</v>
      </c>
      <c r="DJ37" s="102">
        <v>302970</v>
      </c>
      <c r="DK37" s="102">
        <v>100</v>
      </c>
      <c r="DL37" s="102">
        <v>1766</v>
      </c>
      <c r="DM37" s="102">
        <v>0</v>
      </c>
      <c r="DN37" s="102">
        <v>0</v>
      </c>
      <c r="DO37" s="102">
        <v>0</v>
      </c>
      <c r="DP37" s="102">
        <v>0</v>
      </c>
      <c r="DQ37" s="102">
        <v>432</v>
      </c>
      <c r="DR37" s="102">
        <v>0</v>
      </c>
      <c r="DS37" s="102">
        <v>0</v>
      </c>
      <c r="DT37" s="102">
        <v>1792293</v>
      </c>
      <c r="DU37" s="102">
        <v>372624</v>
      </c>
      <c r="DV37" s="73">
        <f t="shared" si="10"/>
        <v>0</v>
      </c>
      <c r="DW37" s="102">
        <v>0</v>
      </c>
      <c r="DX37" s="102">
        <v>508697</v>
      </c>
      <c r="DY37" s="102">
        <v>0</v>
      </c>
      <c r="DZ37" s="102">
        <v>380214</v>
      </c>
      <c r="EA37" s="74">
        <v>0</v>
      </c>
      <c r="EB37" s="102">
        <v>530758</v>
      </c>
      <c r="EC37" s="102">
        <v>0</v>
      </c>
      <c r="ED37" s="102">
        <v>17831340</v>
      </c>
      <c r="EE37" s="71"/>
      <c r="EF37" s="102">
        <v>908430</v>
      </c>
      <c r="EG37" s="102">
        <v>107932</v>
      </c>
      <c r="EH37" s="102">
        <v>800498</v>
      </c>
      <c r="EI37" s="102">
        <v>50182</v>
      </c>
      <c r="EJ37" s="102">
        <v>505949</v>
      </c>
      <c r="EK37" s="71"/>
      <c r="EL37" s="102"/>
      <c r="EM37" s="102">
        <v>57360</v>
      </c>
      <c r="EN37" s="102">
        <v>967</v>
      </c>
      <c r="EO37" s="102">
        <v>13162</v>
      </c>
      <c r="EP37" s="73">
        <f t="shared" si="11"/>
        <v>1252478</v>
      </c>
      <c r="EQ37" s="102">
        <v>11154066</v>
      </c>
      <c r="ER37" s="71">
        <v>-2337966</v>
      </c>
      <c r="ES37" s="102">
        <v>3693489</v>
      </c>
      <c r="ET37" s="102">
        <v>2234160</v>
      </c>
      <c r="EU37" s="102">
        <v>1004302</v>
      </c>
      <c r="EV37" s="102">
        <v>2604571</v>
      </c>
      <c r="EW37" s="73">
        <f t="shared" si="12"/>
        <v>240378</v>
      </c>
      <c r="EX37" s="102">
        <v>240378</v>
      </c>
      <c r="EY37" s="102">
        <v>2088</v>
      </c>
      <c r="EZ37" s="102">
        <v>233208</v>
      </c>
      <c r="FA37" s="102">
        <v>0</v>
      </c>
      <c r="FB37" s="102">
        <v>0</v>
      </c>
      <c r="FC37" s="102">
        <v>2106647</v>
      </c>
      <c r="FD37" s="102">
        <v>1046301</v>
      </c>
      <c r="FE37" s="102">
        <v>497741</v>
      </c>
      <c r="FF37" s="102">
        <v>1563850</v>
      </c>
      <c r="FG37" s="73">
        <f t="shared" si="13"/>
        <v>324064</v>
      </c>
      <c r="FH37" s="102">
        <v>12583602</v>
      </c>
      <c r="FI37" s="379">
        <f t="shared" si="14"/>
        <v>6.9</v>
      </c>
      <c r="FJ37" s="102">
        <v>10457716</v>
      </c>
      <c r="FK37" s="102">
        <v>1082861</v>
      </c>
      <c r="FL37" s="102">
        <v>6014931</v>
      </c>
      <c r="FM37" s="102">
        <v>8579606</v>
      </c>
      <c r="FN37" s="428">
        <v>0.73299999999999998</v>
      </c>
      <c r="FO37" s="424">
        <v>94.5</v>
      </c>
      <c r="FP37" s="425">
        <v>29.1</v>
      </c>
      <c r="FQ37" s="424">
        <v>8.6</v>
      </c>
      <c r="FR37" s="424">
        <v>20.399999999999999</v>
      </c>
      <c r="FS37" s="425">
        <v>17.3</v>
      </c>
      <c r="FT37" s="424">
        <v>7.9</v>
      </c>
      <c r="FU37" s="425">
        <v>11</v>
      </c>
      <c r="FV37" s="384">
        <f t="shared" si="15"/>
        <v>10</v>
      </c>
      <c r="FW37" s="102">
        <v>16735008</v>
      </c>
      <c r="FX37" s="384">
        <f t="shared" si="16"/>
        <v>145</v>
      </c>
      <c r="FY37" s="102">
        <v>4346608</v>
      </c>
      <c r="FZ37" s="102">
        <v>3009182</v>
      </c>
      <c r="GA37" s="102">
        <v>36728</v>
      </c>
      <c r="GB37" s="102">
        <v>1300698</v>
      </c>
      <c r="GC37" s="102">
        <v>0</v>
      </c>
      <c r="GD37" s="454">
        <v>1051722</v>
      </c>
      <c r="GE37" s="386">
        <f t="shared" si="21"/>
        <v>9.1</v>
      </c>
      <c r="GF37" s="424">
        <v>98.173420975764813</v>
      </c>
      <c r="GG37" s="424">
        <v>14.924239553092949</v>
      </c>
      <c r="GH37" s="424">
        <v>91.401585511169941</v>
      </c>
      <c r="GI37" s="102">
        <v>376</v>
      </c>
      <c r="GJ37" s="429" t="s">
        <v>646</v>
      </c>
      <c r="GK37" s="429">
        <v>13.11</v>
      </c>
      <c r="GL37" s="87">
        <v>20</v>
      </c>
      <c r="GM37" s="429" t="s">
        <v>646</v>
      </c>
      <c r="GN37" s="430">
        <v>18.11</v>
      </c>
      <c r="GO37" s="430">
        <v>30</v>
      </c>
      <c r="GP37" s="425">
        <v>10</v>
      </c>
      <c r="GQ37" s="425">
        <v>25</v>
      </c>
      <c r="GR37" s="425">
        <v>35</v>
      </c>
      <c r="GS37" s="431">
        <v>16.5</v>
      </c>
      <c r="GT37" s="425">
        <v>350</v>
      </c>
      <c r="GU37" s="394"/>
      <c r="GV37" s="100">
        <f t="shared" si="17"/>
        <v>11541</v>
      </c>
      <c r="GW37" s="394"/>
      <c r="GX37" s="394"/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</row>
    <row r="38" spans="2:230" x14ac:dyDescent="0.15">
      <c r="B38" s="89" t="s">
        <v>65</v>
      </c>
      <c r="C38" s="102">
        <v>5495595</v>
      </c>
      <c r="D38" s="73">
        <f t="shared" si="0"/>
        <v>2424829</v>
      </c>
      <c r="E38" s="102">
        <v>63588</v>
      </c>
      <c r="F38" s="102">
        <v>2361241</v>
      </c>
      <c r="G38" s="73">
        <f t="shared" si="1"/>
        <v>161469</v>
      </c>
      <c r="H38" s="102">
        <v>71424</v>
      </c>
      <c r="I38" s="102">
        <v>90045</v>
      </c>
      <c r="J38" s="102">
        <v>2107371</v>
      </c>
      <c r="K38" s="102">
        <v>715046</v>
      </c>
      <c r="L38" s="102">
        <v>1094337</v>
      </c>
      <c r="M38" s="102">
        <v>244493</v>
      </c>
      <c r="N38" s="102">
        <v>281016</v>
      </c>
      <c r="O38" s="102">
        <v>428046</v>
      </c>
      <c r="P38" s="102">
        <v>199441</v>
      </c>
      <c r="Q38" s="102">
        <v>228605</v>
      </c>
      <c r="R38" s="102">
        <v>123031</v>
      </c>
      <c r="S38" s="74"/>
      <c r="T38" s="73">
        <f t="shared" si="2"/>
        <v>536906</v>
      </c>
      <c r="U38" s="102">
        <v>30453</v>
      </c>
      <c r="V38" s="102">
        <v>19734</v>
      </c>
      <c r="W38" s="102">
        <v>4377</v>
      </c>
      <c r="X38" s="102">
        <v>429966</v>
      </c>
      <c r="Y38" s="102">
        <v>4681</v>
      </c>
      <c r="Z38" s="102">
        <v>0</v>
      </c>
      <c r="AA38" s="102">
        <v>47695</v>
      </c>
      <c r="AB38" s="102">
        <v>99474</v>
      </c>
      <c r="AC38" s="102">
        <v>4081034</v>
      </c>
      <c r="AD38" s="102">
        <v>3775966</v>
      </c>
      <c r="AE38" s="102">
        <v>305064</v>
      </c>
      <c r="AF38" s="102">
        <v>10685</v>
      </c>
      <c r="AG38" s="102">
        <v>80037</v>
      </c>
      <c r="AH38" s="73">
        <f t="shared" si="3"/>
        <v>292232</v>
      </c>
      <c r="AI38" s="102">
        <v>199370</v>
      </c>
      <c r="AJ38" s="102">
        <v>92862</v>
      </c>
      <c r="AK38" s="102">
        <v>2354560</v>
      </c>
      <c r="AL38" s="73">
        <f t="shared" si="4"/>
        <v>1200569</v>
      </c>
      <c r="AM38" s="102">
        <v>740611</v>
      </c>
      <c r="AN38" s="102">
        <v>194550</v>
      </c>
      <c r="AO38" s="74"/>
      <c r="AP38" s="102">
        <v>265408</v>
      </c>
      <c r="AQ38" s="102">
        <v>112811</v>
      </c>
      <c r="AR38" s="102">
        <v>0</v>
      </c>
      <c r="AS38" s="102">
        <v>0</v>
      </c>
      <c r="AT38" s="102">
        <v>1306297</v>
      </c>
      <c r="AU38" s="102">
        <v>699037</v>
      </c>
      <c r="AV38" s="102">
        <v>48581</v>
      </c>
      <c r="AW38" s="102">
        <v>7965</v>
      </c>
      <c r="AX38" s="102">
        <v>607260</v>
      </c>
      <c r="AY38" s="102">
        <v>17813</v>
      </c>
      <c r="AZ38" s="102">
        <v>70508</v>
      </c>
      <c r="BA38" s="102">
        <v>65702</v>
      </c>
      <c r="BB38" s="102">
        <v>4332</v>
      </c>
      <c r="BC38" s="102">
        <v>17015</v>
      </c>
      <c r="BD38" s="102">
        <v>0</v>
      </c>
      <c r="BE38" s="102">
        <v>15648</v>
      </c>
      <c r="BF38" s="102">
        <v>295</v>
      </c>
      <c r="BG38" s="102">
        <v>0</v>
      </c>
      <c r="BH38" s="102">
        <v>210518</v>
      </c>
      <c r="BI38" s="102">
        <v>203378</v>
      </c>
      <c r="BJ38" s="102">
        <v>166700</v>
      </c>
      <c r="BK38" s="102">
        <v>0</v>
      </c>
      <c r="BL38" s="102">
        <v>0</v>
      </c>
      <c r="BM38" s="102">
        <v>0</v>
      </c>
      <c r="BN38" s="102">
        <v>1304802</v>
      </c>
      <c r="BO38" s="73">
        <f t="shared" si="5"/>
        <v>267000</v>
      </c>
      <c r="BP38" s="73">
        <f t="shared" si="6"/>
        <v>888402</v>
      </c>
      <c r="BQ38" s="102">
        <v>0</v>
      </c>
      <c r="BR38" s="102">
        <v>0</v>
      </c>
      <c r="BS38" s="102">
        <v>888402</v>
      </c>
      <c r="BT38" s="102">
        <v>149400</v>
      </c>
      <c r="BU38" s="102">
        <v>16153726</v>
      </c>
      <c r="BV38" s="71"/>
      <c r="BW38" s="102">
        <v>3335392</v>
      </c>
      <c r="BX38" s="102">
        <v>2234941</v>
      </c>
      <c r="BY38" s="102">
        <v>366298</v>
      </c>
      <c r="BZ38" s="102">
        <v>16982</v>
      </c>
      <c r="CA38" s="102">
        <v>3687833</v>
      </c>
      <c r="CB38" s="102">
        <v>715466</v>
      </c>
      <c r="CC38" s="102">
        <v>77445</v>
      </c>
      <c r="CD38" s="102">
        <v>1832823</v>
      </c>
      <c r="CE38" s="102">
        <v>919097</v>
      </c>
      <c r="CF38" s="102">
        <v>58146</v>
      </c>
      <c r="CG38" s="102">
        <v>84856</v>
      </c>
      <c r="CH38" s="102">
        <v>1718358</v>
      </c>
      <c r="CI38" s="102">
        <v>1405337</v>
      </c>
      <c r="CJ38" s="83">
        <f t="shared" si="19"/>
        <v>313021</v>
      </c>
      <c r="CK38" s="102">
        <v>2033998</v>
      </c>
      <c r="CL38" s="102">
        <v>1069627</v>
      </c>
      <c r="CM38" s="102">
        <v>333292</v>
      </c>
      <c r="CN38" s="102">
        <v>354690</v>
      </c>
      <c r="CO38" s="102">
        <v>101155</v>
      </c>
      <c r="CP38" s="102">
        <v>1941752</v>
      </c>
      <c r="CQ38" s="102">
        <v>881895</v>
      </c>
      <c r="CR38" s="102">
        <v>363325</v>
      </c>
      <c r="CS38" s="102">
        <v>363325</v>
      </c>
      <c r="CT38" s="73">
        <f t="shared" si="7"/>
        <v>448386</v>
      </c>
      <c r="CU38" s="102">
        <v>143328</v>
      </c>
      <c r="CV38" s="102">
        <v>305058</v>
      </c>
      <c r="CW38" s="73">
        <f t="shared" si="8"/>
        <v>425121</v>
      </c>
      <c r="CX38" s="102">
        <v>138663</v>
      </c>
      <c r="CY38" s="102">
        <v>286458</v>
      </c>
      <c r="CZ38" s="73">
        <f t="shared" si="9"/>
        <v>0</v>
      </c>
      <c r="DA38" s="102">
        <v>0</v>
      </c>
      <c r="DB38" s="102">
        <v>0</v>
      </c>
      <c r="DC38" s="102">
        <v>622875</v>
      </c>
      <c r="DD38" s="102">
        <v>393904</v>
      </c>
      <c r="DE38" s="102">
        <v>216953</v>
      </c>
      <c r="DF38" s="77">
        <v>12018</v>
      </c>
      <c r="DG38" s="78">
        <v>0</v>
      </c>
      <c r="DH38" s="102">
        <v>0</v>
      </c>
      <c r="DI38" s="102">
        <v>502972</v>
      </c>
      <c r="DJ38" s="102">
        <v>347342</v>
      </c>
      <c r="DK38" s="102">
        <v>30286</v>
      </c>
      <c r="DL38" s="102">
        <v>125344</v>
      </c>
      <c r="DM38" s="102">
        <v>0</v>
      </c>
      <c r="DN38" s="102">
        <v>0</v>
      </c>
      <c r="DO38" s="102">
        <v>0</v>
      </c>
      <c r="DP38" s="102">
        <v>0</v>
      </c>
      <c r="DQ38" s="102">
        <v>0</v>
      </c>
      <c r="DR38" s="102">
        <v>0</v>
      </c>
      <c r="DS38" s="102">
        <v>0</v>
      </c>
      <c r="DT38" s="102">
        <v>1955145</v>
      </c>
      <c r="DU38" s="102">
        <v>334896</v>
      </c>
      <c r="DV38" s="73">
        <f t="shared" si="10"/>
        <v>0</v>
      </c>
      <c r="DW38" s="102">
        <v>0</v>
      </c>
      <c r="DX38" s="102">
        <v>635060</v>
      </c>
      <c r="DY38" s="102">
        <v>0</v>
      </c>
      <c r="DZ38" s="102">
        <v>456695</v>
      </c>
      <c r="EA38" s="74">
        <v>0</v>
      </c>
      <c r="EB38" s="102">
        <v>528492</v>
      </c>
      <c r="EC38" s="102">
        <v>0</v>
      </c>
      <c r="ED38" s="102">
        <v>15899480</v>
      </c>
      <c r="EE38" s="71"/>
      <c r="EF38" s="102">
        <v>254246</v>
      </c>
      <c r="EG38" s="102">
        <v>12000</v>
      </c>
      <c r="EH38" s="102">
        <v>242246</v>
      </c>
      <c r="EI38" s="102">
        <v>38868</v>
      </c>
      <c r="EJ38" s="102">
        <v>386210</v>
      </c>
      <c r="EK38" s="71"/>
      <c r="EL38" s="102"/>
      <c r="EM38" s="102">
        <v>57657</v>
      </c>
      <c r="EN38" s="102">
        <v>16720</v>
      </c>
      <c r="EO38" s="102">
        <v>39426</v>
      </c>
      <c r="EP38" s="73">
        <f t="shared" si="11"/>
        <v>346140</v>
      </c>
      <c r="EQ38" s="102">
        <v>10346725</v>
      </c>
      <c r="ER38" s="71">
        <v>-1280003</v>
      </c>
      <c r="ES38" s="102">
        <v>2838380</v>
      </c>
      <c r="ET38" s="102">
        <v>1891158</v>
      </c>
      <c r="EU38" s="102">
        <v>1003536</v>
      </c>
      <c r="EV38" s="102">
        <v>1718358</v>
      </c>
      <c r="EW38" s="73">
        <f t="shared" si="12"/>
        <v>203705</v>
      </c>
      <c r="EX38" s="102">
        <v>203705</v>
      </c>
      <c r="EY38" s="102">
        <v>43284</v>
      </c>
      <c r="EZ38" s="102">
        <v>159812</v>
      </c>
      <c r="FA38" s="102">
        <v>0</v>
      </c>
      <c r="FB38" s="102">
        <v>0</v>
      </c>
      <c r="FC38" s="102">
        <v>1728272</v>
      </c>
      <c r="FD38" s="102">
        <v>1683338</v>
      </c>
      <c r="FE38" s="102">
        <v>881186</v>
      </c>
      <c r="FF38" s="102">
        <v>1676764</v>
      </c>
      <c r="FG38" s="73">
        <f t="shared" si="13"/>
        <v>520129</v>
      </c>
      <c r="FH38" s="102">
        <v>11372482</v>
      </c>
      <c r="FI38" s="379">
        <f t="shared" si="14"/>
        <v>2.2999999999999998</v>
      </c>
      <c r="FJ38" s="102">
        <v>9562566</v>
      </c>
      <c r="FK38" s="102">
        <v>888402</v>
      </c>
      <c r="FL38" s="102">
        <v>4519355</v>
      </c>
      <c r="FM38" s="102">
        <v>8295321</v>
      </c>
      <c r="FN38" s="428">
        <v>0.56499999999999995</v>
      </c>
      <c r="FO38" s="424">
        <v>96.6</v>
      </c>
      <c r="FP38" s="425">
        <v>26.9</v>
      </c>
      <c r="FQ38" s="424">
        <v>9.5</v>
      </c>
      <c r="FR38" s="424">
        <v>16.3</v>
      </c>
      <c r="FS38" s="425">
        <v>15.8</v>
      </c>
      <c r="FT38" s="424">
        <v>12.2</v>
      </c>
      <c r="FU38" s="425">
        <v>15.1</v>
      </c>
      <c r="FV38" s="384">
        <f t="shared" si="15"/>
        <v>8.1</v>
      </c>
      <c r="FW38" s="102">
        <v>16084596</v>
      </c>
      <c r="FX38" s="384">
        <f t="shared" si="16"/>
        <v>153.9</v>
      </c>
      <c r="FY38" s="102">
        <v>4058016</v>
      </c>
      <c r="FZ38" s="102">
        <v>2475045</v>
      </c>
      <c r="GA38" s="102">
        <v>462885</v>
      </c>
      <c r="GB38" s="102">
        <v>1120086</v>
      </c>
      <c r="GC38" s="102">
        <v>270000</v>
      </c>
      <c r="GD38" s="427"/>
      <c r="GE38" s="386"/>
      <c r="GF38" s="424">
        <v>97.90297661775476</v>
      </c>
      <c r="GG38" s="424">
        <v>25.52466292605309</v>
      </c>
      <c r="GH38" s="424">
        <v>92.108751981925508</v>
      </c>
      <c r="GI38" s="102">
        <v>363</v>
      </c>
      <c r="GJ38" s="429" t="s">
        <v>646</v>
      </c>
      <c r="GK38" s="429">
        <v>13.26</v>
      </c>
      <c r="GL38" s="87">
        <v>20</v>
      </c>
      <c r="GM38" s="429" t="s">
        <v>646</v>
      </c>
      <c r="GN38" s="430">
        <v>18.260000000000002</v>
      </c>
      <c r="GO38" s="430">
        <v>30</v>
      </c>
      <c r="GP38" s="425">
        <v>8.1</v>
      </c>
      <c r="GQ38" s="425">
        <v>25</v>
      </c>
      <c r="GR38" s="425">
        <v>35</v>
      </c>
      <c r="GS38" s="431">
        <v>44.1</v>
      </c>
      <c r="GT38" s="425">
        <v>350</v>
      </c>
      <c r="GU38" s="394"/>
      <c r="GV38" s="100">
        <f t="shared" si="17"/>
        <v>10451</v>
      </c>
      <c r="GW38" s="394"/>
      <c r="GX38" s="394"/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</row>
    <row r="39" spans="2:230" x14ac:dyDescent="0.15">
      <c r="B39" s="21" t="s">
        <v>67</v>
      </c>
      <c r="C39" s="102">
        <v>736024076</v>
      </c>
      <c r="D39" s="73">
        <f t="shared" si="0"/>
        <v>263512401</v>
      </c>
      <c r="E39" s="102">
        <v>6665656</v>
      </c>
      <c r="F39" s="102">
        <v>256846745</v>
      </c>
      <c r="G39" s="73">
        <f t="shared" si="1"/>
        <v>52376185</v>
      </c>
      <c r="H39" s="102">
        <v>12824935</v>
      </c>
      <c r="I39" s="102">
        <v>39551250</v>
      </c>
      <c r="J39" s="102">
        <v>308067740</v>
      </c>
      <c r="K39" s="102">
        <v>130553356</v>
      </c>
      <c r="L39" s="102">
        <v>132818265</v>
      </c>
      <c r="M39" s="102">
        <v>38959751</v>
      </c>
      <c r="N39" s="102">
        <v>35632529</v>
      </c>
      <c r="O39" s="102">
        <v>64280305</v>
      </c>
      <c r="P39" s="102">
        <v>35675281</v>
      </c>
      <c r="Q39" s="102">
        <v>28605024</v>
      </c>
      <c r="R39" s="102">
        <v>12025720</v>
      </c>
      <c r="S39" s="74"/>
      <c r="T39" s="73">
        <f t="shared" si="2"/>
        <v>56912123</v>
      </c>
      <c r="U39" s="102">
        <v>3279229</v>
      </c>
      <c r="V39" s="102">
        <v>2126857</v>
      </c>
      <c r="W39" s="102">
        <v>473362</v>
      </c>
      <c r="X39" s="102">
        <v>46651493</v>
      </c>
      <c r="Y39" s="102">
        <v>739729</v>
      </c>
      <c r="Z39" s="102">
        <v>0</v>
      </c>
      <c r="AA39" s="102">
        <v>3641453</v>
      </c>
      <c r="AB39" s="102">
        <v>9351444</v>
      </c>
      <c r="AC39" s="102">
        <v>186374246</v>
      </c>
      <c r="AD39" s="102">
        <v>174237828</v>
      </c>
      <c r="AE39" s="102">
        <v>12135260</v>
      </c>
      <c r="AF39" s="102">
        <v>871130</v>
      </c>
      <c r="AG39" s="102">
        <v>19563528</v>
      </c>
      <c r="AH39" s="73">
        <f t="shared" si="3"/>
        <v>34256900</v>
      </c>
      <c r="AI39" s="102">
        <v>27051766</v>
      </c>
      <c r="AJ39" s="102">
        <v>7205134</v>
      </c>
      <c r="AK39" s="102">
        <v>324666599</v>
      </c>
      <c r="AL39" s="73">
        <f t="shared" si="4"/>
        <v>198150259</v>
      </c>
      <c r="AM39" s="102">
        <v>152917066</v>
      </c>
      <c r="AN39" s="102">
        <v>16397045</v>
      </c>
      <c r="AO39" s="74"/>
      <c r="AP39" s="102">
        <v>28836148</v>
      </c>
      <c r="AQ39" s="102">
        <v>12913448</v>
      </c>
      <c r="AR39" s="102">
        <v>676</v>
      </c>
      <c r="AS39" s="102">
        <v>289996</v>
      </c>
      <c r="AT39" s="102">
        <v>107424901</v>
      </c>
      <c r="AU39" s="102">
        <v>63980443</v>
      </c>
      <c r="AV39" s="102">
        <v>6790450</v>
      </c>
      <c r="AW39" s="102">
        <v>4870619</v>
      </c>
      <c r="AX39" s="102">
        <v>43444458</v>
      </c>
      <c r="AY39" s="102">
        <v>1697160</v>
      </c>
      <c r="AZ39" s="102">
        <v>5159550</v>
      </c>
      <c r="BA39" s="102">
        <v>3645786</v>
      </c>
      <c r="BB39" s="102">
        <v>1525618</v>
      </c>
      <c r="BC39" s="102">
        <v>23145845</v>
      </c>
      <c r="BD39" s="102">
        <v>5100936</v>
      </c>
      <c r="BE39" s="102">
        <v>3341823</v>
      </c>
      <c r="BF39" s="102">
        <v>9496922</v>
      </c>
      <c r="BG39" s="102">
        <v>0</v>
      </c>
      <c r="BH39" s="102">
        <v>22194430</v>
      </c>
      <c r="BI39" s="102">
        <v>13838193</v>
      </c>
      <c r="BJ39" s="102">
        <v>36194060</v>
      </c>
      <c r="BK39" s="102">
        <v>17484828</v>
      </c>
      <c r="BL39" s="102">
        <v>305055</v>
      </c>
      <c r="BM39" s="102">
        <v>1104408</v>
      </c>
      <c r="BN39" s="102">
        <v>123325114</v>
      </c>
      <c r="BO39" s="73">
        <f t="shared" si="5"/>
        <v>42080100</v>
      </c>
      <c r="BP39" s="73">
        <f t="shared" si="6"/>
        <v>73453814</v>
      </c>
      <c r="BQ39" s="102">
        <v>0</v>
      </c>
      <c r="BR39" s="102">
        <v>0</v>
      </c>
      <c r="BS39" s="102">
        <v>73453814</v>
      </c>
      <c r="BT39" s="102">
        <v>7791200</v>
      </c>
      <c r="BU39" s="102">
        <v>1699305280</v>
      </c>
      <c r="BV39" s="71"/>
      <c r="BW39" s="102">
        <v>317172352</v>
      </c>
      <c r="BX39" s="102">
        <v>201496873</v>
      </c>
      <c r="BY39" s="102">
        <v>40314539</v>
      </c>
      <c r="BZ39" s="102">
        <v>18996888</v>
      </c>
      <c r="CA39" s="102">
        <v>496172699</v>
      </c>
      <c r="CB39" s="102">
        <v>76371983</v>
      </c>
      <c r="CC39" s="102">
        <v>9692950</v>
      </c>
      <c r="CD39" s="102">
        <v>199404774</v>
      </c>
      <c r="CE39" s="102">
        <v>199129813</v>
      </c>
      <c r="CF39" s="102">
        <v>5194302</v>
      </c>
      <c r="CG39" s="102">
        <v>6309775</v>
      </c>
      <c r="CH39" s="102">
        <v>167424039</v>
      </c>
      <c r="CI39" s="102">
        <v>142351194</v>
      </c>
      <c r="CJ39" s="83">
        <f t="shared" si="19"/>
        <v>25072845</v>
      </c>
      <c r="CK39" s="102">
        <v>191431231</v>
      </c>
      <c r="CL39" s="102">
        <v>115415599</v>
      </c>
      <c r="CM39" s="102">
        <v>13451321</v>
      </c>
      <c r="CN39" s="102">
        <v>33800260</v>
      </c>
      <c r="CO39" s="102">
        <v>13908111</v>
      </c>
      <c r="CP39" s="102">
        <v>136322023</v>
      </c>
      <c r="CQ39" s="102">
        <v>33968406</v>
      </c>
      <c r="CR39" s="102">
        <v>36253729</v>
      </c>
      <c r="CS39" s="102">
        <v>24920262</v>
      </c>
      <c r="CT39" s="73">
        <f t="shared" si="7"/>
        <v>40397364</v>
      </c>
      <c r="CU39" s="102">
        <v>26235025</v>
      </c>
      <c r="CV39" s="102">
        <v>14162339</v>
      </c>
      <c r="CW39" s="73">
        <f t="shared" si="8"/>
        <v>14160201</v>
      </c>
      <c r="CX39" s="102">
        <v>8760236</v>
      </c>
      <c r="CY39" s="102">
        <v>5399965</v>
      </c>
      <c r="CZ39" s="73">
        <f t="shared" si="9"/>
        <v>23808365</v>
      </c>
      <c r="DA39" s="102">
        <v>16650744</v>
      </c>
      <c r="DB39" s="102">
        <v>7157621</v>
      </c>
      <c r="DC39" s="102">
        <v>115884410</v>
      </c>
      <c r="DD39" s="102">
        <v>49826846</v>
      </c>
      <c r="DE39" s="102">
        <v>63600061</v>
      </c>
      <c r="DF39" s="77">
        <v>1589271</v>
      </c>
      <c r="DG39" s="78">
        <v>860382</v>
      </c>
      <c r="DH39" s="102">
        <v>101318</v>
      </c>
      <c r="DI39" s="102">
        <v>29692892</v>
      </c>
      <c r="DJ39" s="102">
        <v>14414544</v>
      </c>
      <c r="DK39" s="102">
        <v>2355715</v>
      </c>
      <c r="DL39" s="102">
        <v>12922624</v>
      </c>
      <c r="DM39" s="102">
        <v>4515228</v>
      </c>
      <c r="DN39" s="102">
        <v>4483428</v>
      </c>
      <c r="DO39" s="102">
        <v>367564</v>
      </c>
      <c r="DP39" s="102">
        <v>3518829</v>
      </c>
      <c r="DQ39" s="102">
        <v>17099540</v>
      </c>
      <c r="DR39" s="102">
        <v>300000</v>
      </c>
      <c r="DS39" s="102">
        <v>300000</v>
      </c>
      <c r="DT39" s="102">
        <v>187512258</v>
      </c>
      <c r="DU39" s="102">
        <v>41603614</v>
      </c>
      <c r="DV39" s="73">
        <f t="shared" si="10"/>
        <v>22563</v>
      </c>
      <c r="DW39" s="102">
        <v>22563</v>
      </c>
      <c r="DX39" s="102">
        <v>45578813</v>
      </c>
      <c r="DY39" s="102">
        <v>565458</v>
      </c>
      <c r="DZ39" s="102">
        <v>52457525</v>
      </c>
      <c r="EA39" s="74">
        <v>0</v>
      </c>
      <c r="EB39" s="102">
        <v>44258406</v>
      </c>
      <c r="EC39" s="102">
        <v>612769</v>
      </c>
      <c r="ED39" s="102">
        <v>1677848870</v>
      </c>
      <c r="EE39" s="71"/>
      <c r="EF39" s="102">
        <v>21456410</v>
      </c>
      <c r="EG39" s="102">
        <v>5947087</v>
      </c>
      <c r="EH39" s="102">
        <v>15509323</v>
      </c>
      <c r="EI39" s="102">
        <v>-226143</v>
      </c>
      <c r="EJ39" s="102">
        <v>13845854</v>
      </c>
      <c r="EK39" s="71"/>
      <c r="EL39" s="102"/>
      <c r="EM39" s="102">
        <v>5109195</v>
      </c>
      <c r="EN39" s="102">
        <v>13823786</v>
      </c>
      <c r="EO39" s="102">
        <v>4176890</v>
      </c>
      <c r="EP39" s="73">
        <f t="shared" si="11"/>
        <v>41262462</v>
      </c>
      <c r="EQ39" s="102">
        <v>1001848735</v>
      </c>
      <c r="ER39" s="71">
        <v>-131555826</v>
      </c>
      <c r="ES39" s="102">
        <v>286241027</v>
      </c>
      <c r="ET39" s="102">
        <v>183184690</v>
      </c>
      <c r="EU39" s="102">
        <v>139070490</v>
      </c>
      <c r="EV39" s="102">
        <v>166106220</v>
      </c>
      <c r="EW39" s="73">
        <f t="shared" si="12"/>
        <v>37793166</v>
      </c>
      <c r="EX39" s="102">
        <v>37727911</v>
      </c>
      <c r="EY39" s="102">
        <v>3929269</v>
      </c>
      <c r="EZ39" s="102">
        <v>33506519</v>
      </c>
      <c r="FA39" s="102">
        <v>65255</v>
      </c>
      <c r="FB39" s="102">
        <v>0</v>
      </c>
      <c r="FC39" s="102">
        <v>152162764</v>
      </c>
      <c r="FD39" s="102">
        <v>120166708</v>
      </c>
      <c r="FE39" s="102">
        <v>33366298</v>
      </c>
      <c r="FF39" s="102">
        <v>162826633</v>
      </c>
      <c r="FG39" s="73">
        <f t="shared" si="13"/>
        <v>47670160</v>
      </c>
      <c r="FH39" s="102">
        <v>1112037168</v>
      </c>
      <c r="FI39" s="379">
        <f t="shared" si="14"/>
        <v>1.6</v>
      </c>
      <c r="FJ39" s="102">
        <v>906814326</v>
      </c>
      <c r="FK39" s="102">
        <v>81100994</v>
      </c>
      <c r="FL39" s="102">
        <v>564738543</v>
      </c>
      <c r="FM39" s="102">
        <v>738917050</v>
      </c>
      <c r="FN39" s="428">
        <v>0.78700000000000003</v>
      </c>
      <c r="FO39" s="424">
        <v>95.4</v>
      </c>
      <c r="FP39" s="425">
        <v>27.6</v>
      </c>
      <c r="FQ39" s="424">
        <v>13.8</v>
      </c>
      <c r="FR39" s="424">
        <v>16</v>
      </c>
      <c r="FS39" s="425">
        <v>13.8</v>
      </c>
      <c r="FT39" s="424">
        <v>9.8000000000000007</v>
      </c>
      <c r="FU39" s="425">
        <v>13.1</v>
      </c>
      <c r="FV39" s="384">
        <f t="shared" si="15"/>
        <v>6.7</v>
      </c>
      <c r="FW39" s="102">
        <v>1462100971</v>
      </c>
      <c r="FX39" s="384">
        <f t="shared" si="16"/>
        <v>148</v>
      </c>
      <c r="FY39" s="102">
        <v>268046855</v>
      </c>
      <c r="FZ39" s="102">
        <v>101548178</v>
      </c>
      <c r="GA39" s="102">
        <v>21203436</v>
      </c>
      <c r="GB39" s="102">
        <v>145295241</v>
      </c>
      <c r="GC39" s="102">
        <v>21241438</v>
      </c>
      <c r="GD39" s="454">
        <v>128277887</v>
      </c>
      <c r="GE39" s="386">
        <f>IF(GD39=0,"-",ROUND(GD39/1000/GW39*100,1))</f>
        <v>14.9</v>
      </c>
      <c r="GF39" s="424">
        <v>98.342855189019474</v>
      </c>
      <c r="GG39" s="424">
        <v>25.069322206462459</v>
      </c>
      <c r="GH39" s="424">
        <v>93.930054427048887</v>
      </c>
      <c r="GI39" s="102">
        <v>30146</v>
      </c>
      <c r="GJ39" s="429" t="s">
        <v>646</v>
      </c>
      <c r="GK39" s="429" t="s">
        <v>646</v>
      </c>
      <c r="GL39" s="88" t="s">
        <v>646</v>
      </c>
      <c r="GM39" s="429" t="s">
        <v>646</v>
      </c>
      <c r="GN39" s="429" t="s">
        <v>646</v>
      </c>
      <c r="GO39" s="429" t="s">
        <v>646</v>
      </c>
      <c r="GP39" s="425">
        <v>6.7</v>
      </c>
      <c r="GQ39" s="431" t="s">
        <v>646</v>
      </c>
      <c r="GR39" s="431" t="s">
        <v>646</v>
      </c>
      <c r="GS39" s="431">
        <v>42.6</v>
      </c>
      <c r="GT39" s="431" t="s">
        <v>646</v>
      </c>
      <c r="GU39" s="394"/>
      <c r="GV39" s="100">
        <f t="shared" si="17"/>
        <v>987915</v>
      </c>
      <c r="GW39" s="394">
        <f>SUM(GV8:GV13,GV15:GV21,GV26:GV37)</f>
        <v>859327</v>
      </c>
      <c r="GX39" s="394"/>
      <c r="GY39" s="394"/>
      <c r="GZ39" s="394"/>
      <c r="HA39" s="394"/>
      <c r="HB39" s="394"/>
      <c r="HC39" s="394"/>
      <c r="HD39" s="394"/>
      <c r="HE39" s="394"/>
      <c r="HF39" s="394"/>
      <c r="HG39" s="394"/>
      <c r="HH39" s="394"/>
      <c r="HI39" s="394"/>
      <c r="HJ39" s="394"/>
      <c r="HK39" s="394"/>
      <c r="HL39" s="394"/>
      <c r="HM39" s="394"/>
      <c r="HN39" s="394"/>
      <c r="HO39" s="394"/>
      <c r="HP39" s="394"/>
      <c r="HQ39" s="394"/>
      <c r="HR39" s="394"/>
      <c r="HS39" s="394"/>
      <c r="HT39" s="394"/>
      <c r="HU39" s="394"/>
      <c r="HV39" s="394"/>
    </row>
    <row r="40" spans="2:230" x14ac:dyDescent="0.15">
      <c r="B40" s="89" t="s">
        <v>69</v>
      </c>
      <c r="C40" s="102">
        <v>4602759</v>
      </c>
      <c r="D40" s="73">
        <f t="shared" si="0"/>
        <v>1684494</v>
      </c>
      <c r="E40" s="102">
        <v>41702</v>
      </c>
      <c r="F40" s="102">
        <v>1642792</v>
      </c>
      <c r="G40" s="73">
        <f t="shared" si="1"/>
        <v>598506</v>
      </c>
      <c r="H40" s="102">
        <v>58430</v>
      </c>
      <c r="I40" s="102">
        <v>540076</v>
      </c>
      <c r="J40" s="102">
        <v>1837276</v>
      </c>
      <c r="K40" s="102">
        <v>657909</v>
      </c>
      <c r="L40" s="102">
        <v>797330</v>
      </c>
      <c r="M40" s="102">
        <v>355525</v>
      </c>
      <c r="N40" s="102">
        <v>103992</v>
      </c>
      <c r="O40" s="102">
        <v>357720</v>
      </c>
      <c r="P40" s="102">
        <v>179148</v>
      </c>
      <c r="Q40" s="102">
        <v>178572</v>
      </c>
      <c r="R40" s="102">
        <v>58136</v>
      </c>
      <c r="S40" s="74"/>
      <c r="T40" s="73">
        <f t="shared" si="2"/>
        <v>332581</v>
      </c>
      <c r="U40" s="102">
        <v>20066</v>
      </c>
      <c r="V40" s="102">
        <v>13022</v>
      </c>
      <c r="W40" s="102">
        <v>2905</v>
      </c>
      <c r="X40" s="102">
        <v>226433</v>
      </c>
      <c r="Y40" s="102">
        <v>47616</v>
      </c>
      <c r="Z40" s="102">
        <v>0</v>
      </c>
      <c r="AA40" s="102">
        <v>22539</v>
      </c>
      <c r="AB40" s="102">
        <v>52003</v>
      </c>
      <c r="AC40" s="102">
        <v>1299237</v>
      </c>
      <c r="AD40" s="102">
        <v>1068676</v>
      </c>
      <c r="AE40" s="102">
        <v>230559</v>
      </c>
      <c r="AF40" s="102">
        <v>3810</v>
      </c>
      <c r="AG40" s="102">
        <v>65689</v>
      </c>
      <c r="AH40" s="73">
        <f t="shared" si="3"/>
        <v>294008</v>
      </c>
      <c r="AI40" s="102">
        <v>256592</v>
      </c>
      <c r="AJ40" s="102">
        <v>37416</v>
      </c>
      <c r="AK40" s="102">
        <v>959276</v>
      </c>
      <c r="AL40" s="73">
        <f t="shared" si="4"/>
        <v>321681</v>
      </c>
      <c r="AM40" s="102">
        <v>165238</v>
      </c>
      <c r="AN40" s="102">
        <v>36126</v>
      </c>
      <c r="AO40" s="74"/>
      <c r="AP40" s="102">
        <v>120317</v>
      </c>
      <c r="AQ40" s="102">
        <v>19401</v>
      </c>
      <c r="AR40" s="102">
        <v>0</v>
      </c>
      <c r="AS40" s="102">
        <v>0</v>
      </c>
      <c r="AT40" s="102">
        <v>558676</v>
      </c>
      <c r="AU40" s="102">
        <v>385347</v>
      </c>
      <c r="AV40" s="102">
        <v>4967</v>
      </c>
      <c r="AW40" s="102">
        <v>41723</v>
      </c>
      <c r="AX40" s="102">
        <v>173329</v>
      </c>
      <c r="AY40" s="102">
        <v>5790</v>
      </c>
      <c r="AZ40" s="102">
        <v>25457</v>
      </c>
      <c r="BA40" s="102">
        <v>18647</v>
      </c>
      <c r="BB40" s="102">
        <v>10566</v>
      </c>
      <c r="BC40" s="102">
        <v>44437</v>
      </c>
      <c r="BD40" s="102">
        <v>4113</v>
      </c>
      <c r="BE40" s="102">
        <v>0</v>
      </c>
      <c r="BF40" s="102">
        <v>248</v>
      </c>
      <c r="BG40" s="102">
        <v>0</v>
      </c>
      <c r="BH40" s="102">
        <v>80603</v>
      </c>
      <c r="BI40" s="102">
        <v>54734</v>
      </c>
      <c r="BJ40" s="102">
        <v>161827</v>
      </c>
      <c r="BK40" s="102">
        <v>53581</v>
      </c>
      <c r="BL40" s="102">
        <v>0</v>
      </c>
      <c r="BM40" s="102">
        <v>0</v>
      </c>
      <c r="BN40" s="102">
        <v>648264</v>
      </c>
      <c r="BO40" s="73">
        <f t="shared" si="5"/>
        <v>65200</v>
      </c>
      <c r="BP40" s="73">
        <f t="shared" si="6"/>
        <v>583064</v>
      </c>
      <c r="BQ40" s="102">
        <v>0</v>
      </c>
      <c r="BR40" s="102">
        <v>0</v>
      </c>
      <c r="BS40" s="102">
        <v>583064</v>
      </c>
      <c r="BT40" s="102">
        <v>0</v>
      </c>
      <c r="BU40" s="102">
        <v>9197329</v>
      </c>
      <c r="BV40" s="71"/>
      <c r="BW40" s="102">
        <v>2148708</v>
      </c>
      <c r="BX40" s="102">
        <v>1283675</v>
      </c>
      <c r="BY40" s="102">
        <v>355051</v>
      </c>
      <c r="BZ40" s="102">
        <v>92880</v>
      </c>
      <c r="CA40" s="102">
        <v>1848204</v>
      </c>
      <c r="CB40" s="102">
        <v>455303</v>
      </c>
      <c r="CC40" s="102">
        <v>54448</v>
      </c>
      <c r="CD40" s="102">
        <v>1104907</v>
      </c>
      <c r="CE40" s="102">
        <v>203440</v>
      </c>
      <c r="CF40" s="102">
        <v>1524</v>
      </c>
      <c r="CG40" s="102">
        <v>28582</v>
      </c>
      <c r="CH40" s="102">
        <v>1336029</v>
      </c>
      <c r="CI40" s="102">
        <v>1152561</v>
      </c>
      <c r="CJ40" s="83">
        <f t="shared" si="19"/>
        <v>183468</v>
      </c>
      <c r="CK40" s="102">
        <v>1632687</v>
      </c>
      <c r="CL40" s="102">
        <v>879640</v>
      </c>
      <c r="CM40" s="102">
        <v>191994</v>
      </c>
      <c r="CN40" s="102">
        <v>307298</v>
      </c>
      <c r="CO40" s="102">
        <v>78146</v>
      </c>
      <c r="CP40" s="102">
        <v>275811</v>
      </c>
      <c r="CQ40" s="102">
        <v>3933</v>
      </c>
      <c r="CR40" s="102">
        <v>142838</v>
      </c>
      <c r="CS40" s="102">
        <v>131805</v>
      </c>
      <c r="CT40" s="73">
        <f t="shared" si="7"/>
        <v>3118</v>
      </c>
      <c r="CU40" s="102">
        <v>0</v>
      </c>
      <c r="CV40" s="102">
        <v>3118</v>
      </c>
      <c r="CW40" s="73">
        <f t="shared" si="8"/>
        <v>0</v>
      </c>
      <c r="CX40" s="102">
        <v>0</v>
      </c>
      <c r="CY40" s="102">
        <v>0</v>
      </c>
      <c r="CZ40" s="73">
        <f t="shared" si="9"/>
        <v>0</v>
      </c>
      <c r="DA40" s="102">
        <v>0</v>
      </c>
      <c r="DB40" s="102">
        <v>0</v>
      </c>
      <c r="DC40" s="102">
        <v>436065</v>
      </c>
      <c r="DD40" s="102">
        <v>160273</v>
      </c>
      <c r="DE40" s="102">
        <v>275792</v>
      </c>
      <c r="DF40" s="77">
        <v>0</v>
      </c>
      <c r="DG40" s="78">
        <v>0</v>
      </c>
      <c r="DH40" s="102">
        <v>0</v>
      </c>
      <c r="DI40" s="102">
        <v>56139</v>
      </c>
      <c r="DJ40" s="102">
        <v>41042</v>
      </c>
      <c r="DK40" s="102">
        <v>14557</v>
      </c>
      <c r="DL40" s="102">
        <v>540</v>
      </c>
      <c r="DM40" s="102">
        <v>0</v>
      </c>
      <c r="DN40" s="102">
        <v>0</v>
      </c>
      <c r="DO40" s="102">
        <v>0</v>
      </c>
      <c r="DP40" s="102">
        <v>0</v>
      </c>
      <c r="DQ40" s="102">
        <v>53168</v>
      </c>
      <c r="DR40" s="102">
        <v>0</v>
      </c>
      <c r="DS40" s="102">
        <v>0</v>
      </c>
      <c r="DT40" s="102">
        <v>1232661</v>
      </c>
      <c r="DU40" s="102">
        <v>480000</v>
      </c>
      <c r="DV40" s="73">
        <f t="shared" si="10"/>
        <v>0</v>
      </c>
      <c r="DW40" s="102">
        <v>0</v>
      </c>
      <c r="DX40" s="102">
        <v>272541</v>
      </c>
      <c r="DY40" s="102">
        <v>0</v>
      </c>
      <c r="DZ40" s="102">
        <v>182205</v>
      </c>
      <c r="EA40" s="74">
        <v>0</v>
      </c>
      <c r="EB40" s="102">
        <v>297616</v>
      </c>
      <c r="EC40" s="102">
        <v>0</v>
      </c>
      <c r="ED40" s="102">
        <v>9097618</v>
      </c>
      <c r="EE40" s="71"/>
      <c r="EF40" s="102">
        <v>99711</v>
      </c>
      <c r="EG40" s="102">
        <v>42237</v>
      </c>
      <c r="EH40" s="102">
        <v>57474</v>
      </c>
      <c r="EI40" s="102">
        <v>2740</v>
      </c>
      <c r="EJ40" s="102">
        <v>39669</v>
      </c>
      <c r="EK40" s="71"/>
      <c r="EL40" s="102"/>
      <c r="EM40" s="102">
        <v>30414</v>
      </c>
      <c r="EN40" s="102">
        <v>44189</v>
      </c>
      <c r="EO40" s="102">
        <v>23411</v>
      </c>
      <c r="EP40" s="73">
        <f t="shared" si="11"/>
        <v>193782</v>
      </c>
      <c r="EQ40" s="102">
        <v>6348526</v>
      </c>
      <c r="ER40" s="71">
        <v>-840636</v>
      </c>
      <c r="ES40" s="102">
        <v>1996959</v>
      </c>
      <c r="ET40" s="102">
        <v>1157245</v>
      </c>
      <c r="EU40" s="102">
        <v>712219</v>
      </c>
      <c r="EV40" s="102">
        <v>1282727</v>
      </c>
      <c r="EW40" s="73">
        <f t="shared" si="12"/>
        <v>289521</v>
      </c>
      <c r="EX40" s="102">
        <v>289521</v>
      </c>
      <c r="EY40" s="102">
        <v>55774</v>
      </c>
      <c r="EZ40" s="102">
        <v>233747</v>
      </c>
      <c r="FA40" s="102">
        <v>0</v>
      </c>
      <c r="FB40" s="102">
        <v>0</v>
      </c>
      <c r="FC40" s="102">
        <v>1316144</v>
      </c>
      <c r="FD40" s="102">
        <v>247933</v>
      </c>
      <c r="FE40" s="102">
        <v>3933</v>
      </c>
      <c r="FF40" s="102">
        <v>1118076</v>
      </c>
      <c r="FG40" s="73">
        <f t="shared" si="13"/>
        <v>125872</v>
      </c>
      <c r="FH40" s="102">
        <v>7089451</v>
      </c>
      <c r="FI40" s="379">
        <f t="shared" si="14"/>
        <v>0.9</v>
      </c>
      <c r="FJ40" s="102">
        <v>5532745</v>
      </c>
      <c r="FK40" s="102">
        <v>583064</v>
      </c>
      <c r="FL40" s="102">
        <v>3446260</v>
      </c>
      <c r="FM40" s="102">
        <v>4514637</v>
      </c>
      <c r="FN40" s="428">
        <v>0.79500000000000004</v>
      </c>
      <c r="FO40" s="424">
        <v>99.4</v>
      </c>
      <c r="FP40" s="425">
        <v>30.5</v>
      </c>
      <c r="FQ40" s="424">
        <v>11.2</v>
      </c>
      <c r="FR40" s="424">
        <v>20.100000000000001</v>
      </c>
      <c r="FS40" s="425">
        <v>19.2</v>
      </c>
      <c r="FT40" s="424">
        <v>3.7</v>
      </c>
      <c r="FU40" s="425">
        <v>13.5</v>
      </c>
      <c r="FV40" s="384">
        <f t="shared" si="15"/>
        <v>11.4</v>
      </c>
      <c r="FW40" s="102">
        <v>11199039</v>
      </c>
      <c r="FX40" s="384">
        <f t="shared" si="16"/>
        <v>183.1</v>
      </c>
      <c r="FY40" s="102">
        <v>3855126</v>
      </c>
      <c r="FZ40" s="102">
        <v>1229362</v>
      </c>
      <c r="GA40" s="102">
        <v>1293674</v>
      </c>
      <c r="GB40" s="102">
        <v>1332090</v>
      </c>
      <c r="GC40" s="102">
        <v>0</v>
      </c>
      <c r="GD40" s="427"/>
      <c r="GE40" s="386"/>
      <c r="GF40" s="424">
        <v>99.25977393301055</v>
      </c>
      <c r="GG40" s="424">
        <v>8.498782683599428</v>
      </c>
      <c r="GH40" s="424">
        <v>93.120497111049829</v>
      </c>
      <c r="GI40" s="102">
        <v>219</v>
      </c>
      <c r="GJ40" s="429" t="s">
        <v>646</v>
      </c>
      <c r="GK40" s="429">
        <v>14.39</v>
      </c>
      <c r="GL40" s="87">
        <v>20</v>
      </c>
      <c r="GM40" s="429" t="s">
        <v>646</v>
      </c>
      <c r="GN40" s="430">
        <v>19.39</v>
      </c>
      <c r="GO40" s="430">
        <v>30</v>
      </c>
      <c r="GP40" s="425">
        <v>11.4</v>
      </c>
      <c r="GQ40" s="425">
        <v>25</v>
      </c>
      <c r="GR40" s="425">
        <v>35</v>
      </c>
      <c r="GS40" s="431" t="s">
        <v>646</v>
      </c>
      <c r="GT40" s="425">
        <v>350</v>
      </c>
      <c r="GU40" s="394"/>
      <c r="GV40" s="100">
        <f t="shared" si="17"/>
        <v>6116</v>
      </c>
      <c r="GW40" s="394"/>
      <c r="GX40" s="394"/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</row>
    <row r="41" spans="2:230" x14ac:dyDescent="0.15">
      <c r="B41" s="89" t="s">
        <v>71</v>
      </c>
      <c r="C41" s="102">
        <v>2237693</v>
      </c>
      <c r="D41" s="73">
        <f t="shared" si="0"/>
        <v>1381090</v>
      </c>
      <c r="E41" s="102">
        <v>33276</v>
      </c>
      <c r="F41" s="102">
        <v>1347814</v>
      </c>
      <c r="G41" s="73">
        <f t="shared" si="1"/>
        <v>25879</v>
      </c>
      <c r="H41" s="102">
        <v>18153</v>
      </c>
      <c r="I41" s="102">
        <v>7726</v>
      </c>
      <c r="J41" s="102">
        <v>754876</v>
      </c>
      <c r="K41" s="102">
        <v>225388</v>
      </c>
      <c r="L41" s="102">
        <v>397167</v>
      </c>
      <c r="M41" s="102">
        <v>132321</v>
      </c>
      <c r="N41" s="102">
        <v>49255</v>
      </c>
      <c r="O41" s="102">
        <v>0</v>
      </c>
      <c r="P41" s="102">
        <v>0</v>
      </c>
      <c r="Q41" s="102">
        <v>0</v>
      </c>
      <c r="R41" s="102">
        <v>65073</v>
      </c>
      <c r="S41" s="74"/>
      <c r="T41" s="73">
        <f t="shared" si="2"/>
        <v>214834</v>
      </c>
      <c r="U41" s="102">
        <v>18140</v>
      </c>
      <c r="V41" s="102">
        <v>11746</v>
      </c>
      <c r="W41" s="102">
        <v>2597</v>
      </c>
      <c r="X41" s="102">
        <v>148530</v>
      </c>
      <c r="Y41" s="102">
        <v>8593</v>
      </c>
      <c r="Z41" s="102">
        <v>0</v>
      </c>
      <c r="AA41" s="102">
        <v>25228</v>
      </c>
      <c r="AB41" s="102">
        <v>39150</v>
      </c>
      <c r="AC41" s="102">
        <v>1944094</v>
      </c>
      <c r="AD41" s="102">
        <v>1596157</v>
      </c>
      <c r="AE41" s="102">
        <v>347935</v>
      </c>
      <c r="AF41" s="102">
        <v>3860</v>
      </c>
      <c r="AG41" s="102">
        <v>67609</v>
      </c>
      <c r="AH41" s="73">
        <f t="shared" si="3"/>
        <v>81662</v>
      </c>
      <c r="AI41" s="102">
        <v>67623</v>
      </c>
      <c r="AJ41" s="102">
        <v>14039</v>
      </c>
      <c r="AK41" s="102">
        <v>360900</v>
      </c>
      <c r="AL41" s="73">
        <f t="shared" si="4"/>
        <v>63697</v>
      </c>
      <c r="AM41" s="102">
        <v>0</v>
      </c>
      <c r="AN41" s="102">
        <v>0</v>
      </c>
      <c r="AO41" s="74"/>
      <c r="AP41" s="102">
        <v>63697</v>
      </c>
      <c r="AQ41" s="102">
        <v>20318</v>
      </c>
      <c r="AR41" s="102">
        <v>0</v>
      </c>
      <c r="AS41" s="102">
        <v>0</v>
      </c>
      <c r="AT41" s="102">
        <v>382715</v>
      </c>
      <c r="AU41" s="102">
        <v>138726</v>
      </c>
      <c r="AV41" s="102">
        <v>0</v>
      </c>
      <c r="AW41" s="102">
        <v>4483</v>
      </c>
      <c r="AX41" s="102">
        <v>243989</v>
      </c>
      <c r="AY41" s="102">
        <v>10087</v>
      </c>
      <c r="AZ41" s="102">
        <v>23861</v>
      </c>
      <c r="BA41" s="102">
        <v>19417</v>
      </c>
      <c r="BB41" s="102">
        <v>638</v>
      </c>
      <c r="BC41" s="102">
        <v>69</v>
      </c>
      <c r="BD41" s="102">
        <v>0</v>
      </c>
      <c r="BE41" s="102">
        <v>0</v>
      </c>
      <c r="BF41" s="102">
        <v>69</v>
      </c>
      <c r="BG41" s="102">
        <v>0</v>
      </c>
      <c r="BH41" s="102">
        <v>451563</v>
      </c>
      <c r="BI41" s="102">
        <v>269626</v>
      </c>
      <c r="BJ41" s="102">
        <v>108759</v>
      </c>
      <c r="BK41" s="102">
        <v>3900</v>
      </c>
      <c r="BL41" s="102">
        <v>0</v>
      </c>
      <c r="BM41" s="102">
        <v>0</v>
      </c>
      <c r="BN41" s="102">
        <v>485305</v>
      </c>
      <c r="BO41" s="73">
        <f t="shared" si="5"/>
        <v>74800</v>
      </c>
      <c r="BP41" s="73">
        <f t="shared" si="6"/>
        <v>410505</v>
      </c>
      <c r="BQ41" s="102">
        <v>0</v>
      </c>
      <c r="BR41" s="102">
        <v>0</v>
      </c>
      <c r="BS41" s="102">
        <v>410505</v>
      </c>
      <c r="BT41" s="102">
        <v>0</v>
      </c>
      <c r="BU41" s="102">
        <v>6467785</v>
      </c>
      <c r="BV41" s="71"/>
      <c r="BW41" s="102">
        <v>2170467</v>
      </c>
      <c r="BX41" s="102">
        <v>1314711</v>
      </c>
      <c r="BY41" s="102">
        <v>206661</v>
      </c>
      <c r="BZ41" s="102">
        <v>210939</v>
      </c>
      <c r="CA41" s="102">
        <v>498417</v>
      </c>
      <c r="CB41" s="102">
        <v>152934</v>
      </c>
      <c r="CC41" s="102">
        <v>31366</v>
      </c>
      <c r="CD41" s="102">
        <v>307648</v>
      </c>
      <c r="CE41" s="102">
        <v>0</v>
      </c>
      <c r="CF41" s="102">
        <v>0</v>
      </c>
      <c r="CG41" s="102">
        <v>6469</v>
      </c>
      <c r="CH41" s="102">
        <v>546698</v>
      </c>
      <c r="CI41" s="102">
        <v>454425</v>
      </c>
      <c r="CJ41" s="83">
        <f t="shared" si="19"/>
        <v>92273</v>
      </c>
      <c r="CK41" s="102">
        <v>798066</v>
      </c>
      <c r="CL41" s="102">
        <v>416544</v>
      </c>
      <c r="CM41" s="102">
        <v>30814</v>
      </c>
      <c r="CN41" s="102">
        <v>209910</v>
      </c>
      <c r="CO41" s="102">
        <v>104731</v>
      </c>
      <c r="CP41" s="102">
        <v>648030</v>
      </c>
      <c r="CQ41" s="102">
        <v>358558</v>
      </c>
      <c r="CR41" s="102">
        <v>164993</v>
      </c>
      <c r="CS41" s="102">
        <v>120754</v>
      </c>
      <c r="CT41" s="73">
        <f t="shared" si="7"/>
        <v>71625</v>
      </c>
      <c r="CU41" s="102">
        <v>60079</v>
      </c>
      <c r="CV41" s="102">
        <v>11546</v>
      </c>
      <c r="CW41" s="73">
        <f t="shared" si="8"/>
        <v>0</v>
      </c>
      <c r="CX41" s="102">
        <v>0</v>
      </c>
      <c r="CY41" s="102">
        <v>0</v>
      </c>
      <c r="CZ41" s="73">
        <f t="shared" si="9"/>
        <v>0</v>
      </c>
      <c r="DA41" s="102">
        <v>0</v>
      </c>
      <c r="DB41" s="102">
        <v>0</v>
      </c>
      <c r="DC41" s="102">
        <v>211411</v>
      </c>
      <c r="DD41" s="102">
        <v>121350</v>
      </c>
      <c r="DE41" s="102">
        <v>90061</v>
      </c>
      <c r="DF41" s="77">
        <v>0</v>
      </c>
      <c r="DG41" s="78">
        <v>0</v>
      </c>
      <c r="DH41" s="102">
        <v>44468</v>
      </c>
      <c r="DI41" s="102">
        <v>428760</v>
      </c>
      <c r="DJ41" s="102">
        <v>228089</v>
      </c>
      <c r="DK41" s="102">
        <v>0</v>
      </c>
      <c r="DL41" s="102">
        <v>200671</v>
      </c>
      <c r="DM41" s="102">
        <v>0</v>
      </c>
      <c r="DN41" s="102">
        <v>0</v>
      </c>
      <c r="DO41" s="102">
        <v>0</v>
      </c>
      <c r="DP41" s="102">
        <v>0</v>
      </c>
      <c r="DQ41" s="102">
        <v>2376</v>
      </c>
      <c r="DR41" s="102">
        <v>0</v>
      </c>
      <c r="DS41" s="102">
        <v>0</v>
      </c>
      <c r="DT41" s="102">
        <v>654619</v>
      </c>
      <c r="DU41" s="102">
        <v>98292</v>
      </c>
      <c r="DV41" s="73">
        <f t="shared" si="10"/>
        <v>0</v>
      </c>
      <c r="DW41" s="102">
        <v>0</v>
      </c>
      <c r="DX41" s="102">
        <v>222324</v>
      </c>
      <c r="DY41" s="102">
        <v>0</v>
      </c>
      <c r="DZ41" s="102">
        <v>101166</v>
      </c>
      <c r="EA41" s="74">
        <v>0</v>
      </c>
      <c r="EB41" s="102">
        <v>211417</v>
      </c>
      <c r="EC41" s="102">
        <v>0</v>
      </c>
      <c r="ED41" s="102">
        <v>6108043</v>
      </c>
      <c r="EE41" s="71"/>
      <c r="EF41" s="102">
        <v>359742</v>
      </c>
      <c r="EG41" s="102">
        <v>84907</v>
      </c>
      <c r="EH41" s="102">
        <v>274835</v>
      </c>
      <c r="EI41" s="102">
        <v>5209</v>
      </c>
      <c r="EJ41" s="102">
        <v>233298</v>
      </c>
      <c r="EK41" s="71"/>
      <c r="EL41" s="102"/>
      <c r="EM41" s="102">
        <v>22531</v>
      </c>
      <c r="EN41" s="102">
        <v>0</v>
      </c>
      <c r="EO41" s="102">
        <v>22062</v>
      </c>
      <c r="EP41" s="73">
        <f t="shared" si="11"/>
        <v>414047</v>
      </c>
      <c r="EQ41" s="102">
        <v>4504704</v>
      </c>
      <c r="ER41" s="71">
        <v>-842754</v>
      </c>
      <c r="ES41" s="102">
        <v>1965117</v>
      </c>
      <c r="ET41" s="102">
        <v>1164256</v>
      </c>
      <c r="EU41" s="102">
        <v>146827</v>
      </c>
      <c r="EV41" s="102">
        <v>546698</v>
      </c>
      <c r="EW41" s="73">
        <f t="shared" si="12"/>
        <v>55591</v>
      </c>
      <c r="EX41" s="102">
        <v>53986</v>
      </c>
      <c r="EY41" s="102">
        <v>4897</v>
      </c>
      <c r="EZ41" s="102">
        <v>49089</v>
      </c>
      <c r="FA41" s="102">
        <v>1605</v>
      </c>
      <c r="FB41" s="102">
        <v>0</v>
      </c>
      <c r="FC41" s="102">
        <v>668740</v>
      </c>
      <c r="FD41" s="102">
        <v>498080</v>
      </c>
      <c r="FE41" s="102">
        <v>274133</v>
      </c>
      <c r="FF41" s="102">
        <v>587169</v>
      </c>
      <c r="FG41" s="73">
        <f t="shared" si="13"/>
        <v>519494</v>
      </c>
      <c r="FH41" s="102">
        <v>4987716</v>
      </c>
      <c r="FI41" s="379">
        <f t="shared" si="14"/>
        <v>6</v>
      </c>
      <c r="FJ41" s="102">
        <v>4199439</v>
      </c>
      <c r="FK41" s="102">
        <v>410505</v>
      </c>
      <c r="FL41" s="102">
        <v>2038115</v>
      </c>
      <c r="FM41" s="102">
        <v>3634272</v>
      </c>
      <c r="FN41" s="428">
        <v>0.59</v>
      </c>
      <c r="FO41" s="424">
        <v>91.2</v>
      </c>
      <c r="FP41" s="425">
        <v>39.700000000000003</v>
      </c>
      <c r="FQ41" s="424">
        <v>3.2</v>
      </c>
      <c r="FR41" s="424">
        <v>11.9</v>
      </c>
      <c r="FS41" s="425">
        <v>13.9</v>
      </c>
      <c r="FT41" s="424">
        <v>9.1999999999999993</v>
      </c>
      <c r="FU41" s="425">
        <v>11.3</v>
      </c>
      <c r="FV41" s="384">
        <f t="shared" si="15"/>
        <v>5</v>
      </c>
      <c r="FW41" s="102">
        <v>5974876</v>
      </c>
      <c r="FX41" s="384">
        <f t="shared" si="16"/>
        <v>129.6</v>
      </c>
      <c r="FY41" s="102">
        <v>2618128</v>
      </c>
      <c r="FZ41" s="102">
        <v>1752202</v>
      </c>
      <c r="GA41" s="102">
        <v>677</v>
      </c>
      <c r="GB41" s="102">
        <v>865249</v>
      </c>
      <c r="GC41" s="102">
        <v>189000</v>
      </c>
      <c r="GD41" s="427"/>
      <c r="GE41" s="386"/>
      <c r="GF41" s="424">
        <v>99.147882849340036</v>
      </c>
      <c r="GG41" s="424">
        <v>29.500817301647171</v>
      </c>
      <c r="GH41" s="424">
        <v>96.75292752349867</v>
      </c>
      <c r="GI41" s="102">
        <v>213</v>
      </c>
      <c r="GJ41" s="429" t="s">
        <v>646</v>
      </c>
      <c r="GK41" s="429">
        <v>15</v>
      </c>
      <c r="GL41" s="87">
        <v>20</v>
      </c>
      <c r="GM41" s="429" t="s">
        <v>646</v>
      </c>
      <c r="GN41" s="430">
        <v>20</v>
      </c>
      <c r="GO41" s="430">
        <v>30</v>
      </c>
      <c r="GP41" s="425">
        <v>5</v>
      </c>
      <c r="GQ41" s="425">
        <v>25</v>
      </c>
      <c r="GR41" s="425">
        <v>35</v>
      </c>
      <c r="GS41" s="431">
        <v>48.4</v>
      </c>
      <c r="GT41" s="425">
        <v>350</v>
      </c>
      <c r="GU41" s="394"/>
      <c r="GV41" s="100">
        <f t="shared" si="17"/>
        <v>4610</v>
      </c>
      <c r="GW41" s="394"/>
      <c r="GX41" s="394"/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</row>
    <row r="42" spans="2:230" x14ac:dyDescent="0.15">
      <c r="B42" s="89" t="s">
        <v>73</v>
      </c>
      <c r="C42" s="102">
        <v>1306061</v>
      </c>
      <c r="D42" s="73">
        <f t="shared" si="0"/>
        <v>472062</v>
      </c>
      <c r="E42" s="102">
        <v>16446</v>
      </c>
      <c r="F42" s="102">
        <v>455616</v>
      </c>
      <c r="G42" s="73">
        <f t="shared" si="1"/>
        <v>54023</v>
      </c>
      <c r="H42" s="102">
        <v>21285</v>
      </c>
      <c r="I42" s="102">
        <v>32738</v>
      </c>
      <c r="J42" s="102">
        <v>685351</v>
      </c>
      <c r="K42" s="102">
        <v>132970</v>
      </c>
      <c r="L42" s="102">
        <v>283392</v>
      </c>
      <c r="M42" s="102">
        <v>268855</v>
      </c>
      <c r="N42" s="102">
        <v>55297</v>
      </c>
      <c r="O42" s="102">
        <v>0</v>
      </c>
      <c r="P42" s="102">
        <v>0</v>
      </c>
      <c r="Q42" s="102">
        <v>0</v>
      </c>
      <c r="R42" s="102">
        <v>65138</v>
      </c>
      <c r="S42" s="74"/>
      <c r="T42" s="73">
        <f t="shared" si="2"/>
        <v>168227</v>
      </c>
      <c r="U42" s="102">
        <v>5980</v>
      </c>
      <c r="V42" s="102">
        <v>3877</v>
      </c>
      <c r="W42" s="102">
        <v>862</v>
      </c>
      <c r="X42" s="102">
        <v>103777</v>
      </c>
      <c r="Y42" s="102">
        <v>28487</v>
      </c>
      <c r="Z42" s="102">
        <v>0</v>
      </c>
      <c r="AA42" s="102">
        <v>25244</v>
      </c>
      <c r="AB42" s="102">
        <v>21397</v>
      </c>
      <c r="AC42" s="102">
        <v>1883291</v>
      </c>
      <c r="AD42" s="102">
        <v>1563020</v>
      </c>
      <c r="AE42" s="102">
        <v>320269</v>
      </c>
      <c r="AF42" s="102">
        <v>2336</v>
      </c>
      <c r="AG42" s="102">
        <v>21880</v>
      </c>
      <c r="AH42" s="73">
        <f t="shared" si="3"/>
        <v>95842</v>
      </c>
      <c r="AI42" s="102">
        <v>53176</v>
      </c>
      <c r="AJ42" s="102">
        <v>42666</v>
      </c>
      <c r="AK42" s="102">
        <v>259679</v>
      </c>
      <c r="AL42" s="73">
        <f t="shared" si="4"/>
        <v>64616</v>
      </c>
      <c r="AM42" s="102">
        <v>0</v>
      </c>
      <c r="AN42" s="102">
        <v>0</v>
      </c>
      <c r="AO42" s="74"/>
      <c r="AP42" s="102">
        <v>64616</v>
      </c>
      <c r="AQ42" s="102">
        <v>0</v>
      </c>
      <c r="AR42" s="102">
        <v>0</v>
      </c>
      <c r="AS42" s="102">
        <v>0</v>
      </c>
      <c r="AT42" s="102">
        <v>679664</v>
      </c>
      <c r="AU42" s="102">
        <v>93505</v>
      </c>
      <c r="AV42" s="102">
        <v>0</v>
      </c>
      <c r="AW42" s="102">
        <v>0</v>
      </c>
      <c r="AX42" s="102">
        <v>586159</v>
      </c>
      <c r="AY42" s="102">
        <v>0</v>
      </c>
      <c r="AZ42" s="102">
        <v>11208</v>
      </c>
      <c r="BA42" s="102">
        <v>565</v>
      </c>
      <c r="BB42" s="102">
        <v>3510</v>
      </c>
      <c r="BC42" s="102">
        <v>516943</v>
      </c>
      <c r="BD42" s="102">
        <v>446000</v>
      </c>
      <c r="BE42" s="102">
        <v>0</v>
      </c>
      <c r="BF42" s="102">
        <v>49460</v>
      </c>
      <c r="BG42" s="102">
        <v>0</v>
      </c>
      <c r="BH42" s="102">
        <v>210896</v>
      </c>
      <c r="BI42" s="102">
        <v>164169</v>
      </c>
      <c r="BJ42" s="102">
        <v>58053</v>
      </c>
      <c r="BK42" s="102">
        <v>0</v>
      </c>
      <c r="BL42" s="102">
        <v>0</v>
      </c>
      <c r="BM42" s="102">
        <v>0</v>
      </c>
      <c r="BN42" s="102">
        <v>758334</v>
      </c>
      <c r="BO42" s="73">
        <f t="shared" si="5"/>
        <v>498600</v>
      </c>
      <c r="BP42" s="73">
        <f t="shared" si="6"/>
        <v>259734</v>
      </c>
      <c r="BQ42" s="102">
        <v>0</v>
      </c>
      <c r="BR42" s="102">
        <v>0</v>
      </c>
      <c r="BS42" s="102">
        <v>259734</v>
      </c>
      <c r="BT42" s="102">
        <v>0</v>
      </c>
      <c r="BU42" s="102">
        <v>6062459</v>
      </c>
      <c r="BV42" s="71"/>
      <c r="BW42" s="102">
        <v>1126544</v>
      </c>
      <c r="BX42" s="102">
        <v>590112</v>
      </c>
      <c r="BY42" s="102">
        <v>55244</v>
      </c>
      <c r="BZ42" s="102">
        <v>168626</v>
      </c>
      <c r="CA42" s="102">
        <v>414537</v>
      </c>
      <c r="CB42" s="102">
        <v>178336</v>
      </c>
      <c r="CC42" s="102">
        <v>22139</v>
      </c>
      <c r="CD42" s="102">
        <v>189654</v>
      </c>
      <c r="CE42" s="102">
        <v>0</v>
      </c>
      <c r="CF42" s="102">
        <v>5323</v>
      </c>
      <c r="CG42" s="102">
        <v>19085</v>
      </c>
      <c r="CH42" s="102">
        <v>499280</v>
      </c>
      <c r="CI42" s="102">
        <v>439753</v>
      </c>
      <c r="CJ42" s="83">
        <f t="shared" si="19"/>
        <v>59527</v>
      </c>
      <c r="CK42" s="102">
        <v>727120</v>
      </c>
      <c r="CL42" s="102">
        <v>438453</v>
      </c>
      <c r="CM42" s="102">
        <v>16591</v>
      </c>
      <c r="CN42" s="102">
        <v>138478</v>
      </c>
      <c r="CO42" s="102">
        <v>18403</v>
      </c>
      <c r="CP42" s="102">
        <v>644811</v>
      </c>
      <c r="CQ42" s="102">
        <v>199057</v>
      </c>
      <c r="CR42" s="102">
        <v>123186</v>
      </c>
      <c r="CS42" s="102">
        <v>99296</v>
      </c>
      <c r="CT42" s="73">
        <f t="shared" si="7"/>
        <v>203241</v>
      </c>
      <c r="CU42" s="102">
        <v>4131</v>
      </c>
      <c r="CV42" s="102">
        <v>199110</v>
      </c>
      <c r="CW42" s="73">
        <f t="shared" si="8"/>
        <v>0</v>
      </c>
      <c r="CX42" s="102">
        <v>0</v>
      </c>
      <c r="CY42" s="102">
        <v>0</v>
      </c>
      <c r="CZ42" s="73">
        <f t="shared" si="9"/>
        <v>0</v>
      </c>
      <c r="DA42" s="102">
        <v>0</v>
      </c>
      <c r="DB42" s="102">
        <v>0</v>
      </c>
      <c r="DC42" s="102">
        <v>842142</v>
      </c>
      <c r="DD42" s="102">
        <v>0</v>
      </c>
      <c r="DE42" s="102">
        <v>841718</v>
      </c>
      <c r="DF42" s="77">
        <v>424</v>
      </c>
      <c r="DG42" s="78">
        <v>0</v>
      </c>
      <c r="DH42" s="102">
        <v>1048</v>
      </c>
      <c r="DI42" s="102">
        <v>792648</v>
      </c>
      <c r="DJ42" s="102">
        <v>735091</v>
      </c>
      <c r="DK42" s="102">
        <v>0</v>
      </c>
      <c r="DL42" s="102">
        <v>57557</v>
      </c>
      <c r="DM42" s="102">
        <v>0</v>
      </c>
      <c r="DN42" s="102">
        <v>0</v>
      </c>
      <c r="DO42" s="102">
        <v>0</v>
      </c>
      <c r="DP42" s="102">
        <v>0</v>
      </c>
      <c r="DQ42" s="102">
        <v>0</v>
      </c>
      <c r="DR42" s="102">
        <v>0</v>
      </c>
      <c r="DS42" s="102">
        <v>0</v>
      </c>
      <c r="DT42" s="102">
        <v>621847</v>
      </c>
      <c r="DU42" s="102">
        <v>168022</v>
      </c>
      <c r="DV42" s="73">
        <f t="shared" si="10"/>
        <v>0</v>
      </c>
      <c r="DW42" s="102">
        <v>0</v>
      </c>
      <c r="DX42" s="102">
        <v>178474</v>
      </c>
      <c r="DY42" s="102">
        <v>0</v>
      </c>
      <c r="DZ42" s="102">
        <v>97334</v>
      </c>
      <c r="EA42" s="74">
        <v>0</v>
      </c>
      <c r="EB42" s="102">
        <v>157308</v>
      </c>
      <c r="EC42" s="102">
        <v>0</v>
      </c>
      <c r="ED42" s="102">
        <v>5688380</v>
      </c>
      <c r="EE42" s="71"/>
      <c r="EF42" s="102">
        <v>374079</v>
      </c>
      <c r="EG42" s="102">
        <v>200398</v>
      </c>
      <c r="EH42" s="102">
        <v>173681</v>
      </c>
      <c r="EI42" s="102">
        <v>9512</v>
      </c>
      <c r="EJ42" s="102">
        <v>325142</v>
      </c>
      <c r="EK42" s="71"/>
      <c r="EL42" s="102"/>
      <c r="EM42" s="102">
        <v>11897</v>
      </c>
      <c r="EN42" s="102">
        <v>504483</v>
      </c>
      <c r="EO42" s="102">
        <v>1757</v>
      </c>
      <c r="EP42" s="73">
        <f t="shared" si="11"/>
        <v>523069</v>
      </c>
      <c r="EQ42" s="102">
        <v>3446450</v>
      </c>
      <c r="ER42" s="71">
        <v>-1286707</v>
      </c>
      <c r="ES42" s="102">
        <v>1024406</v>
      </c>
      <c r="ET42" s="102">
        <v>519566</v>
      </c>
      <c r="EU42" s="102">
        <v>147403</v>
      </c>
      <c r="EV42" s="102">
        <v>391639</v>
      </c>
      <c r="EW42" s="73">
        <f t="shared" si="12"/>
        <v>337115</v>
      </c>
      <c r="EX42" s="102">
        <v>337115</v>
      </c>
      <c r="EY42" s="102">
        <v>0</v>
      </c>
      <c r="EZ42" s="102">
        <v>336991</v>
      </c>
      <c r="FA42" s="102">
        <v>0</v>
      </c>
      <c r="FB42" s="102">
        <v>0</v>
      </c>
      <c r="FC42" s="102">
        <v>562012</v>
      </c>
      <c r="FD42" s="102">
        <v>550273</v>
      </c>
      <c r="FE42" s="102">
        <v>159544</v>
      </c>
      <c r="FF42" s="102">
        <v>550564</v>
      </c>
      <c r="FG42" s="73">
        <f t="shared" si="13"/>
        <v>795666</v>
      </c>
      <c r="FH42" s="102">
        <v>4359078</v>
      </c>
      <c r="FI42" s="379">
        <f t="shared" si="14"/>
        <v>5.2</v>
      </c>
      <c r="FJ42" s="102">
        <v>3093538</v>
      </c>
      <c r="FK42" s="102">
        <v>259734</v>
      </c>
      <c r="FL42" s="102">
        <v>1197512</v>
      </c>
      <c r="FM42" s="102">
        <v>2756462</v>
      </c>
      <c r="FN42" s="428">
        <v>0.45600000000000002</v>
      </c>
      <c r="FO42" s="424">
        <v>87</v>
      </c>
      <c r="FP42" s="425">
        <v>29.3</v>
      </c>
      <c r="FQ42" s="424">
        <v>4.3</v>
      </c>
      <c r="FR42" s="424">
        <v>10.7</v>
      </c>
      <c r="FS42" s="425">
        <v>13.8</v>
      </c>
      <c r="FT42" s="424">
        <v>13.7</v>
      </c>
      <c r="FU42" s="425">
        <v>14.8</v>
      </c>
      <c r="FV42" s="384">
        <f t="shared" si="15"/>
        <v>9.8000000000000007</v>
      </c>
      <c r="FW42" s="102">
        <v>4411398</v>
      </c>
      <c r="FX42" s="384">
        <f t="shared" si="16"/>
        <v>131.6</v>
      </c>
      <c r="FY42" s="102">
        <v>3932430</v>
      </c>
      <c r="FZ42" s="102">
        <v>3086722</v>
      </c>
      <c r="GA42" s="102">
        <v>0</v>
      </c>
      <c r="GB42" s="102">
        <v>845708</v>
      </c>
      <c r="GC42" s="102">
        <v>0</v>
      </c>
      <c r="GD42" s="427"/>
      <c r="GE42" s="386"/>
      <c r="GF42" s="424">
        <v>98.31825683825825</v>
      </c>
      <c r="GG42" s="424">
        <v>18.93610177726983</v>
      </c>
      <c r="GH42" s="424">
        <v>90.298545127459491</v>
      </c>
      <c r="GI42" s="102">
        <v>105</v>
      </c>
      <c r="GJ42" s="429" t="s">
        <v>646</v>
      </c>
      <c r="GK42" s="429">
        <v>15</v>
      </c>
      <c r="GL42" s="87">
        <v>20</v>
      </c>
      <c r="GM42" s="429" t="s">
        <v>646</v>
      </c>
      <c r="GN42" s="430">
        <v>20</v>
      </c>
      <c r="GO42" s="430">
        <v>30</v>
      </c>
      <c r="GP42" s="425">
        <v>9.8000000000000007</v>
      </c>
      <c r="GQ42" s="425">
        <v>25</v>
      </c>
      <c r="GR42" s="425">
        <v>35</v>
      </c>
      <c r="GS42" s="431">
        <v>68.5</v>
      </c>
      <c r="GT42" s="425">
        <v>350</v>
      </c>
      <c r="GU42" s="394"/>
      <c r="GV42" s="100">
        <f t="shared" si="17"/>
        <v>3353</v>
      </c>
      <c r="GW42" s="394"/>
      <c r="GX42" s="394"/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</row>
    <row r="43" spans="2:230" x14ac:dyDescent="0.15">
      <c r="B43" s="89" t="s">
        <v>75</v>
      </c>
      <c r="C43" s="102">
        <v>2366082</v>
      </c>
      <c r="D43" s="73">
        <f t="shared" si="0"/>
        <v>646241</v>
      </c>
      <c r="E43" s="102">
        <v>21150</v>
      </c>
      <c r="F43" s="102">
        <v>625091</v>
      </c>
      <c r="G43" s="73">
        <f t="shared" si="1"/>
        <v>219071</v>
      </c>
      <c r="H43" s="102">
        <v>49563</v>
      </c>
      <c r="I43" s="102">
        <v>169508</v>
      </c>
      <c r="J43" s="102">
        <v>1121496</v>
      </c>
      <c r="K43" s="102">
        <v>548908</v>
      </c>
      <c r="L43" s="102">
        <v>422849</v>
      </c>
      <c r="M43" s="102">
        <v>139085</v>
      </c>
      <c r="N43" s="102">
        <v>115015</v>
      </c>
      <c r="O43" s="102">
        <v>238517</v>
      </c>
      <c r="P43" s="102">
        <v>145494</v>
      </c>
      <c r="Q43" s="102">
        <v>93023</v>
      </c>
      <c r="R43" s="102">
        <v>37117</v>
      </c>
      <c r="S43" s="74"/>
      <c r="T43" s="73">
        <f t="shared" si="2"/>
        <v>196670</v>
      </c>
      <c r="U43" s="102">
        <v>8132</v>
      </c>
      <c r="V43" s="102">
        <v>5272</v>
      </c>
      <c r="W43" s="102">
        <v>1172</v>
      </c>
      <c r="X43" s="102">
        <v>167705</v>
      </c>
      <c r="Y43" s="102">
        <v>0</v>
      </c>
      <c r="Z43" s="102">
        <v>0</v>
      </c>
      <c r="AA43" s="102">
        <v>14389</v>
      </c>
      <c r="AB43" s="102">
        <v>37578</v>
      </c>
      <c r="AC43" s="102">
        <v>1722996</v>
      </c>
      <c r="AD43" s="102">
        <v>1419387</v>
      </c>
      <c r="AE43" s="102">
        <v>303608</v>
      </c>
      <c r="AF43" s="102">
        <v>3379</v>
      </c>
      <c r="AG43" s="102">
        <v>913</v>
      </c>
      <c r="AH43" s="73">
        <f t="shared" si="3"/>
        <v>197598</v>
      </c>
      <c r="AI43" s="102">
        <v>152421</v>
      </c>
      <c r="AJ43" s="102">
        <v>45177</v>
      </c>
      <c r="AK43" s="102">
        <v>465036</v>
      </c>
      <c r="AL43" s="73">
        <f t="shared" si="4"/>
        <v>106761</v>
      </c>
      <c r="AM43" s="102">
        <v>0</v>
      </c>
      <c r="AN43" s="102">
        <v>23810</v>
      </c>
      <c r="AO43" s="74"/>
      <c r="AP43" s="102">
        <v>82951</v>
      </c>
      <c r="AQ43" s="102">
        <v>0</v>
      </c>
      <c r="AR43" s="102">
        <v>0</v>
      </c>
      <c r="AS43" s="102">
        <v>0</v>
      </c>
      <c r="AT43" s="102">
        <v>445006</v>
      </c>
      <c r="AU43" s="102">
        <v>161512</v>
      </c>
      <c r="AV43" s="102">
        <v>11905</v>
      </c>
      <c r="AW43" s="102">
        <v>0</v>
      </c>
      <c r="AX43" s="102">
        <v>283494</v>
      </c>
      <c r="AY43" s="102">
        <v>6063</v>
      </c>
      <c r="AZ43" s="102">
        <v>10988</v>
      </c>
      <c r="BA43" s="102">
        <v>1158</v>
      </c>
      <c r="BB43" s="102">
        <v>6648</v>
      </c>
      <c r="BC43" s="102">
        <v>12195</v>
      </c>
      <c r="BD43" s="102">
        <v>0</v>
      </c>
      <c r="BE43" s="102">
        <v>0</v>
      </c>
      <c r="BF43" s="102">
        <v>12154</v>
      </c>
      <c r="BG43" s="102">
        <v>0</v>
      </c>
      <c r="BH43" s="102">
        <v>241566</v>
      </c>
      <c r="BI43" s="102">
        <v>241250</v>
      </c>
      <c r="BJ43" s="102">
        <v>72017</v>
      </c>
      <c r="BK43" s="102">
        <v>42</v>
      </c>
      <c r="BL43" s="102">
        <v>0</v>
      </c>
      <c r="BM43" s="102">
        <v>0</v>
      </c>
      <c r="BN43" s="102">
        <v>504800</v>
      </c>
      <c r="BO43" s="73">
        <f t="shared" si="5"/>
        <v>0</v>
      </c>
      <c r="BP43" s="73">
        <f t="shared" si="6"/>
        <v>373200</v>
      </c>
      <c r="BQ43" s="102">
        <v>0</v>
      </c>
      <c r="BR43" s="102">
        <v>0</v>
      </c>
      <c r="BS43" s="102">
        <v>373200</v>
      </c>
      <c r="BT43" s="102">
        <v>131600</v>
      </c>
      <c r="BU43" s="102">
        <v>6320589</v>
      </c>
      <c r="BV43" s="71"/>
      <c r="BW43" s="102">
        <v>1377209</v>
      </c>
      <c r="BX43" s="102">
        <v>852562</v>
      </c>
      <c r="BY43" s="102">
        <v>214048</v>
      </c>
      <c r="BZ43" s="102">
        <v>11724</v>
      </c>
      <c r="CA43" s="102">
        <v>910056</v>
      </c>
      <c r="CB43" s="102">
        <v>216340</v>
      </c>
      <c r="CC43" s="102">
        <v>28345</v>
      </c>
      <c r="CD43" s="102">
        <v>646871</v>
      </c>
      <c r="CE43" s="102">
        <v>0</v>
      </c>
      <c r="CF43" s="102">
        <v>0</v>
      </c>
      <c r="CG43" s="102">
        <v>18500</v>
      </c>
      <c r="CH43" s="102">
        <v>762392</v>
      </c>
      <c r="CI43" s="102">
        <v>627024</v>
      </c>
      <c r="CJ43" s="83">
        <f t="shared" si="19"/>
        <v>135368</v>
      </c>
      <c r="CK43" s="102">
        <v>1236545</v>
      </c>
      <c r="CL43" s="102">
        <v>876450</v>
      </c>
      <c r="CM43" s="102">
        <v>108480</v>
      </c>
      <c r="CN43" s="102">
        <v>130180</v>
      </c>
      <c r="CO43" s="102">
        <v>60560</v>
      </c>
      <c r="CP43" s="102">
        <v>205382</v>
      </c>
      <c r="CQ43" s="102">
        <v>1786</v>
      </c>
      <c r="CR43" s="102">
        <v>35133</v>
      </c>
      <c r="CS43" s="102">
        <v>16507</v>
      </c>
      <c r="CT43" s="73">
        <f t="shared" si="7"/>
        <v>29937</v>
      </c>
      <c r="CU43" s="102">
        <v>29937</v>
      </c>
      <c r="CV43" s="102">
        <v>0</v>
      </c>
      <c r="CW43" s="73">
        <f t="shared" si="8"/>
        <v>29635</v>
      </c>
      <c r="CX43" s="102">
        <v>29635</v>
      </c>
      <c r="CY43" s="102">
        <v>0</v>
      </c>
      <c r="CZ43" s="73">
        <f t="shared" si="9"/>
        <v>0</v>
      </c>
      <c r="DA43" s="102">
        <v>0</v>
      </c>
      <c r="DB43" s="102">
        <v>0</v>
      </c>
      <c r="DC43" s="102">
        <v>48407</v>
      </c>
      <c r="DD43" s="102">
        <v>0</v>
      </c>
      <c r="DE43" s="102">
        <v>48407</v>
      </c>
      <c r="DF43" s="77">
        <v>0</v>
      </c>
      <c r="DG43" s="78">
        <v>0</v>
      </c>
      <c r="DH43" s="102">
        <v>0</v>
      </c>
      <c r="DI43" s="102">
        <v>205705</v>
      </c>
      <c r="DJ43" s="102">
        <v>200000</v>
      </c>
      <c r="DK43" s="102">
        <v>0</v>
      </c>
      <c r="DL43" s="102">
        <v>5705</v>
      </c>
      <c r="DM43" s="102">
        <v>0</v>
      </c>
      <c r="DN43" s="102">
        <v>0</v>
      </c>
      <c r="DO43" s="102">
        <v>0</v>
      </c>
      <c r="DP43" s="102">
        <v>0</v>
      </c>
      <c r="DQ43" s="102">
        <v>0</v>
      </c>
      <c r="DR43" s="102">
        <v>0</v>
      </c>
      <c r="DS43" s="102">
        <v>0</v>
      </c>
      <c r="DT43" s="102">
        <v>1027247</v>
      </c>
      <c r="DU43" s="102">
        <v>464187</v>
      </c>
      <c r="DV43" s="73">
        <f t="shared" si="10"/>
        <v>0</v>
      </c>
      <c r="DW43" s="102">
        <v>0</v>
      </c>
      <c r="DX43" s="102">
        <v>209654</v>
      </c>
      <c r="DY43" s="102">
        <v>0</v>
      </c>
      <c r="DZ43" s="102">
        <v>161252</v>
      </c>
      <c r="EA43" s="74">
        <v>0</v>
      </c>
      <c r="EB43" s="102">
        <v>192154</v>
      </c>
      <c r="EC43" s="102">
        <v>0</v>
      </c>
      <c r="ED43" s="102">
        <v>5833503</v>
      </c>
      <c r="EE43" s="71"/>
      <c r="EF43" s="102">
        <v>487086</v>
      </c>
      <c r="EG43" s="102">
        <v>37500</v>
      </c>
      <c r="EH43" s="102">
        <v>449586</v>
      </c>
      <c r="EI43" s="102">
        <v>208336</v>
      </c>
      <c r="EJ43" s="102">
        <v>408336</v>
      </c>
      <c r="EK43" s="71"/>
      <c r="EL43" s="102"/>
      <c r="EM43" s="102">
        <v>17521</v>
      </c>
      <c r="EN43" s="102">
        <v>41</v>
      </c>
      <c r="EO43" s="102">
        <v>10988</v>
      </c>
      <c r="EP43" s="73">
        <f t="shared" si="11"/>
        <v>396843</v>
      </c>
      <c r="EQ43" s="102">
        <v>4363822</v>
      </c>
      <c r="ER43" s="71">
        <v>-777693</v>
      </c>
      <c r="ES43" s="102">
        <v>1139540</v>
      </c>
      <c r="ET43" s="102">
        <v>764553</v>
      </c>
      <c r="EU43" s="102">
        <v>316201</v>
      </c>
      <c r="EV43" s="102">
        <v>762392</v>
      </c>
      <c r="EW43" s="73">
        <f t="shared" si="12"/>
        <v>42242</v>
      </c>
      <c r="EX43" s="102">
        <v>42242</v>
      </c>
      <c r="EY43" s="102">
        <v>0</v>
      </c>
      <c r="EZ43" s="102">
        <v>42242</v>
      </c>
      <c r="FA43" s="102">
        <v>0</v>
      </c>
      <c r="FB43" s="102">
        <v>0</v>
      </c>
      <c r="FC43" s="102">
        <v>1034248</v>
      </c>
      <c r="FD43" s="102">
        <v>163963</v>
      </c>
      <c r="FE43" s="102">
        <v>1786</v>
      </c>
      <c r="FF43" s="102">
        <v>936988</v>
      </c>
      <c r="FG43" s="73">
        <f t="shared" si="13"/>
        <v>258855</v>
      </c>
      <c r="FH43" s="102">
        <v>4654429</v>
      </c>
      <c r="FI43" s="379">
        <f t="shared" si="14"/>
        <v>11</v>
      </c>
      <c r="FJ43" s="102">
        <v>3709511</v>
      </c>
      <c r="FK43" s="102">
        <v>373241</v>
      </c>
      <c r="FL43" s="102">
        <v>1771416</v>
      </c>
      <c r="FM43" s="102">
        <v>3190803</v>
      </c>
      <c r="FN43" s="428">
        <v>0.58799999999999997</v>
      </c>
      <c r="FO43" s="424">
        <v>100.3</v>
      </c>
      <c r="FP43" s="425">
        <v>26.8</v>
      </c>
      <c r="FQ43" s="424">
        <v>7.5</v>
      </c>
      <c r="FR43" s="424">
        <v>18</v>
      </c>
      <c r="FS43" s="425">
        <v>23.1</v>
      </c>
      <c r="FT43" s="424">
        <v>2.8</v>
      </c>
      <c r="FU43" s="425">
        <v>20.6</v>
      </c>
      <c r="FV43" s="384">
        <f t="shared" si="15"/>
        <v>18.600000000000001</v>
      </c>
      <c r="FW43" s="102">
        <v>7236120</v>
      </c>
      <c r="FX43" s="384">
        <f t="shared" si="16"/>
        <v>177.2</v>
      </c>
      <c r="FY43" s="102">
        <v>421049</v>
      </c>
      <c r="FZ43" s="102">
        <v>200000</v>
      </c>
      <c r="GA43" s="102">
        <v>0</v>
      </c>
      <c r="GB43" s="102">
        <v>221049</v>
      </c>
      <c r="GC43" s="102">
        <v>0</v>
      </c>
      <c r="GD43" s="427"/>
      <c r="GE43" s="386"/>
      <c r="GF43" s="424">
        <v>98.226905774745504</v>
      </c>
      <c r="GG43" s="424">
        <v>26.652732427607791</v>
      </c>
      <c r="GH43" s="424">
        <v>92.623531276974305</v>
      </c>
      <c r="GI43" s="102">
        <v>146</v>
      </c>
      <c r="GJ43" s="429" t="s">
        <v>646</v>
      </c>
      <c r="GK43" s="429">
        <v>15</v>
      </c>
      <c r="GL43" s="87">
        <v>20</v>
      </c>
      <c r="GM43" s="429" t="s">
        <v>646</v>
      </c>
      <c r="GN43" s="430">
        <v>20</v>
      </c>
      <c r="GO43" s="430">
        <v>30</v>
      </c>
      <c r="GP43" s="425">
        <v>18.600000000000001</v>
      </c>
      <c r="GQ43" s="425">
        <v>25</v>
      </c>
      <c r="GR43" s="425">
        <v>35</v>
      </c>
      <c r="GS43" s="431">
        <v>176.2</v>
      </c>
      <c r="GT43" s="425">
        <v>350</v>
      </c>
      <c r="GU43" s="394"/>
      <c r="GV43" s="100">
        <f t="shared" si="17"/>
        <v>4083</v>
      </c>
      <c r="GW43" s="394"/>
      <c r="GX43" s="394"/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</row>
    <row r="44" spans="2:230" x14ac:dyDescent="0.15">
      <c r="B44" s="89" t="s">
        <v>77</v>
      </c>
      <c r="C44" s="102">
        <v>4362067</v>
      </c>
      <c r="D44" s="73">
        <f t="shared" si="0"/>
        <v>2193127</v>
      </c>
      <c r="E44" s="102">
        <v>59476</v>
      </c>
      <c r="F44" s="102">
        <v>2133651</v>
      </c>
      <c r="G44" s="73">
        <f t="shared" si="1"/>
        <v>193163</v>
      </c>
      <c r="H44" s="102">
        <v>45471</v>
      </c>
      <c r="I44" s="102">
        <v>147692</v>
      </c>
      <c r="J44" s="102">
        <v>1725088</v>
      </c>
      <c r="K44" s="102">
        <v>637125</v>
      </c>
      <c r="L44" s="102">
        <v>867063</v>
      </c>
      <c r="M44" s="102">
        <v>208866</v>
      </c>
      <c r="N44" s="102">
        <v>178549</v>
      </c>
      <c r="O44" s="102">
        <v>0</v>
      </c>
      <c r="P44" s="102">
        <v>0</v>
      </c>
      <c r="Q44" s="102">
        <v>0</v>
      </c>
      <c r="R44" s="102">
        <v>95306</v>
      </c>
      <c r="S44" s="74"/>
      <c r="T44" s="73">
        <f t="shared" si="2"/>
        <v>444312</v>
      </c>
      <c r="U44" s="102">
        <v>27122</v>
      </c>
      <c r="V44" s="102">
        <v>17596</v>
      </c>
      <c r="W44" s="102">
        <v>3920</v>
      </c>
      <c r="X44" s="102">
        <v>347187</v>
      </c>
      <c r="Y44" s="102">
        <v>11533</v>
      </c>
      <c r="Z44" s="102">
        <v>0</v>
      </c>
      <c r="AA44" s="102">
        <v>36954</v>
      </c>
      <c r="AB44" s="102">
        <v>91868</v>
      </c>
      <c r="AC44" s="102">
        <v>2283065</v>
      </c>
      <c r="AD44" s="102">
        <v>2067862</v>
      </c>
      <c r="AE44" s="102">
        <v>215200</v>
      </c>
      <c r="AF44" s="102">
        <v>7620</v>
      </c>
      <c r="AG44" s="102">
        <v>15090</v>
      </c>
      <c r="AH44" s="73">
        <f t="shared" si="3"/>
        <v>400839</v>
      </c>
      <c r="AI44" s="102">
        <v>285457</v>
      </c>
      <c r="AJ44" s="102">
        <v>115382</v>
      </c>
      <c r="AK44" s="102">
        <v>1145173</v>
      </c>
      <c r="AL44" s="73">
        <f t="shared" si="4"/>
        <v>239044</v>
      </c>
      <c r="AM44" s="102">
        <v>0</v>
      </c>
      <c r="AN44" s="102">
        <v>69331</v>
      </c>
      <c r="AO44" s="74"/>
      <c r="AP44" s="102">
        <v>169713</v>
      </c>
      <c r="AQ44" s="102">
        <v>54148</v>
      </c>
      <c r="AR44" s="102">
        <v>8867</v>
      </c>
      <c r="AS44" s="102">
        <v>0</v>
      </c>
      <c r="AT44" s="102">
        <v>919035</v>
      </c>
      <c r="AU44" s="102">
        <v>624128</v>
      </c>
      <c r="AV44" s="102">
        <v>34666</v>
      </c>
      <c r="AW44" s="102">
        <v>13638</v>
      </c>
      <c r="AX44" s="102">
        <v>294907</v>
      </c>
      <c r="AY44" s="102">
        <v>2766</v>
      </c>
      <c r="AZ44" s="102">
        <v>19091</v>
      </c>
      <c r="BA44" s="102">
        <v>14409</v>
      </c>
      <c r="BB44" s="102">
        <v>51492</v>
      </c>
      <c r="BC44" s="102">
        <v>81525</v>
      </c>
      <c r="BD44" s="102">
        <v>0</v>
      </c>
      <c r="BE44" s="102">
        <v>0</v>
      </c>
      <c r="BF44" s="102">
        <v>81452</v>
      </c>
      <c r="BG44" s="102">
        <v>0</v>
      </c>
      <c r="BH44" s="102">
        <v>234778</v>
      </c>
      <c r="BI44" s="102">
        <v>202638</v>
      </c>
      <c r="BJ44" s="102">
        <v>201845</v>
      </c>
      <c r="BK44" s="102">
        <v>0</v>
      </c>
      <c r="BL44" s="102">
        <v>0</v>
      </c>
      <c r="BM44" s="102">
        <v>0</v>
      </c>
      <c r="BN44" s="102">
        <v>820400</v>
      </c>
      <c r="BO44" s="73">
        <f t="shared" si="5"/>
        <v>94400</v>
      </c>
      <c r="BP44" s="73">
        <f t="shared" si="6"/>
        <v>726000</v>
      </c>
      <c r="BQ44" s="102">
        <v>0</v>
      </c>
      <c r="BR44" s="102">
        <v>0</v>
      </c>
      <c r="BS44" s="102">
        <v>726000</v>
      </c>
      <c r="BT44" s="102">
        <v>0</v>
      </c>
      <c r="BU44" s="102">
        <v>11173506</v>
      </c>
      <c r="BV44" s="71"/>
      <c r="BW44" s="102">
        <v>3080736</v>
      </c>
      <c r="BX44" s="102">
        <v>2003440</v>
      </c>
      <c r="BY44" s="102">
        <v>325899</v>
      </c>
      <c r="BZ44" s="102">
        <v>168314</v>
      </c>
      <c r="CA44" s="102">
        <v>1925518</v>
      </c>
      <c r="CB44" s="102">
        <v>439753</v>
      </c>
      <c r="CC44" s="102">
        <v>67097</v>
      </c>
      <c r="CD44" s="102">
        <v>1375772</v>
      </c>
      <c r="CE44" s="102">
        <v>0</v>
      </c>
      <c r="CF44" s="102">
        <v>688</v>
      </c>
      <c r="CG44" s="102">
        <v>42208</v>
      </c>
      <c r="CH44" s="102">
        <v>1229426</v>
      </c>
      <c r="CI44" s="102">
        <v>1080244</v>
      </c>
      <c r="CJ44" s="83">
        <f t="shared" si="19"/>
        <v>149182</v>
      </c>
      <c r="CK44" s="102">
        <v>1897514</v>
      </c>
      <c r="CL44" s="102">
        <v>1003757</v>
      </c>
      <c r="CM44" s="102">
        <v>185451</v>
      </c>
      <c r="CN44" s="102">
        <v>389961</v>
      </c>
      <c r="CO44" s="102">
        <v>140930</v>
      </c>
      <c r="CP44" s="102">
        <v>502892</v>
      </c>
      <c r="CQ44" s="102">
        <v>609</v>
      </c>
      <c r="CR44" s="102">
        <v>306445</v>
      </c>
      <c r="CS44" s="102">
        <v>190826</v>
      </c>
      <c r="CT44" s="73">
        <f t="shared" si="7"/>
        <v>6999</v>
      </c>
      <c r="CU44" s="102">
        <v>4696</v>
      </c>
      <c r="CV44" s="102">
        <v>2303</v>
      </c>
      <c r="CW44" s="73">
        <f t="shared" si="8"/>
        <v>0</v>
      </c>
      <c r="CX44" s="102">
        <v>0</v>
      </c>
      <c r="CY44" s="102">
        <v>0</v>
      </c>
      <c r="CZ44" s="73">
        <f t="shared" si="9"/>
        <v>0</v>
      </c>
      <c r="DA44" s="102">
        <v>0</v>
      </c>
      <c r="DB44" s="102">
        <v>0</v>
      </c>
      <c r="DC44" s="102">
        <v>618602</v>
      </c>
      <c r="DD44" s="102">
        <v>320689</v>
      </c>
      <c r="DE44" s="102">
        <v>297516</v>
      </c>
      <c r="DF44" s="77">
        <v>397</v>
      </c>
      <c r="DG44" s="78">
        <v>0</v>
      </c>
      <c r="DH44" s="102">
        <v>48257</v>
      </c>
      <c r="DI44" s="102">
        <v>190736</v>
      </c>
      <c r="DJ44" s="102">
        <v>102000</v>
      </c>
      <c r="DK44" s="102">
        <v>264</v>
      </c>
      <c r="DL44" s="102">
        <v>88472</v>
      </c>
      <c r="DM44" s="102">
        <v>28500</v>
      </c>
      <c r="DN44" s="102">
        <v>28500</v>
      </c>
      <c r="DO44" s="102">
        <v>28500</v>
      </c>
      <c r="DP44" s="102">
        <v>0</v>
      </c>
      <c r="DQ44" s="102">
        <v>0</v>
      </c>
      <c r="DR44" s="102">
        <v>0</v>
      </c>
      <c r="DS44" s="102">
        <v>0</v>
      </c>
      <c r="DT44" s="102">
        <v>1305524</v>
      </c>
      <c r="DU44" s="102">
        <v>275400</v>
      </c>
      <c r="DV44" s="73">
        <f t="shared" si="10"/>
        <v>0</v>
      </c>
      <c r="DW44" s="102">
        <v>0</v>
      </c>
      <c r="DX44" s="102">
        <v>389239</v>
      </c>
      <c r="DY44" s="102">
        <v>0</v>
      </c>
      <c r="DZ44" s="102">
        <v>257730</v>
      </c>
      <c r="EA44" s="74">
        <v>0</v>
      </c>
      <c r="EB44" s="102">
        <v>382020</v>
      </c>
      <c r="EC44" s="102">
        <v>0</v>
      </c>
      <c r="ED44" s="102">
        <v>10968635</v>
      </c>
      <c r="EE44" s="71"/>
      <c r="EF44" s="102">
        <v>204871</v>
      </c>
      <c r="EG44" s="102">
        <v>72990</v>
      </c>
      <c r="EH44" s="102">
        <v>131881</v>
      </c>
      <c r="EI44" s="102">
        <v>-70757</v>
      </c>
      <c r="EJ44" s="102">
        <v>41711</v>
      </c>
      <c r="EK44" s="71"/>
      <c r="EL44" s="102"/>
      <c r="EM44" s="102">
        <v>44373</v>
      </c>
      <c r="EN44" s="102">
        <v>4073</v>
      </c>
      <c r="EO44" s="102">
        <v>15545</v>
      </c>
      <c r="EP44" s="73">
        <f t="shared" si="11"/>
        <v>411190</v>
      </c>
      <c r="EQ44" s="102">
        <v>7284238</v>
      </c>
      <c r="ER44" s="71">
        <v>-1149188</v>
      </c>
      <c r="ES44" s="102">
        <v>2836562</v>
      </c>
      <c r="ET44" s="102">
        <v>1810713</v>
      </c>
      <c r="EU44" s="102">
        <v>680911</v>
      </c>
      <c r="EV44" s="102">
        <v>1210617</v>
      </c>
      <c r="EW44" s="73">
        <f t="shared" si="12"/>
        <v>295131</v>
      </c>
      <c r="EX44" s="102">
        <v>289612</v>
      </c>
      <c r="EY44" s="102">
        <v>7778</v>
      </c>
      <c r="EZ44" s="102">
        <v>281437</v>
      </c>
      <c r="FA44" s="102">
        <v>5519</v>
      </c>
      <c r="FB44" s="102">
        <v>0</v>
      </c>
      <c r="FC44" s="102">
        <v>1481810</v>
      </c>
      <c r="FD44" s="102">
        <v>368627</v>
      </c>
      <c r="FE44" s="102">
        <v>609</v>
      </c>
      <c r="FF44" s="102">
        <v>1143039</v>
      </c>
      <c r="FG44" s="73">
        <f t="shared" si="13"/>
        <v>211858</v>
      </c>
      <c r="FH44" s="102">
        <v>8228555</v>
      </c>
      <c r="FI44" s="379">
        <f t="shared" si="14"/>
        <v>1.7</v>
      </c>
      <c r="FJ44" s="102">
        <v>6996655</v>
      </c>
      <c r="FK44" s="102">
        <v>726638</v>
      </c>
      <c r="FL44" s="102">
        <v>3833752</v>
      </c>
      <c r="FM44" s="102">
        <v>5901632</v>
      </c>
      <c r="FN44" s="428">
        <v>0.67700000000000005</v>
      </c>
      <c r="FO44" s="424">
        <v>93</v>
      </c>
      <c r="FP44" s="425">
        <v>33.1</v>
      </c>
      <c r="FQ44" s="424">
        <v>8.6</v>
      </c>
      <c r="FR44" s="424">
        <v>15.1</v>
      </c>
      <c r="FS44" s="425">
        <v>17.3</v>
      </c>
      <c r="FT44" s="424">
        <v>4.4000000000000004</v>
      </c>
      <c r="FU44" s="425">
        <v>13.2</v>
      </c>
      <c r="FV44" s="384">
        <f t="shared" si="15"/>
        <v>9.4</v>
      </c>
      <c r="FW44" s="102">
        <v>9127797</v>
      </c>
      <c r="FX44" s="384">
        <f t="shared" si="16"/>
        <v>118.2</v>
      </c>
      <c r="FY44" s="102">
        <v>3598157</v>
      </c>
      <c r="FZ44" s="102">
        <v>976158</v>
      </c>
      <c r="GA44" s="102">
        <v>613228</v>
      </c>
      <c r="GB44" s="102">
        <v>2008771</v>
      </c>
      <c r="GC44" s="102">
        <v>777297</v>
      </c>
      <c r="GD44" s="427">
        <v>777995</v>
      </c>
      <c r="GE44" s="386">
        <f>IF(GD44=0,"-",ROUND(GD44/(FJ44+FK44)*100,1))</f>
        <v>10.1</v>
      </c>
      <c r="GF44" s="424">
        <v>98.395262679162641</v>
      </c>
      <c r="GG44" s="424">
        <v>27.864562872983289</v>
      </c>
      <c r="GH44" s="424">
        <v>93.948350307815048</v>
      </c>
      <c r="GI44" s="102">
        <v>341</v>
      </c>
      <c r="GJ44" s="429" t="s">
        <v>646</v>
      </c>
      <c r="GK44" s="429">
        <v>13.82</v>
      </c>
      <c r="GL44" s="87">
        <v>20</v>
      </c>
      <c r="GM44" s="429" t="s">
        <v>646</v>
      </c>
      <c r="GN44" s="430">
        <v>18.82</v>
      </c>
      <c r="GO44" s="430">
        <v>30</v>
      </c>
      <c r="GP44" s="425">
        <v>9.4</v>
      </c>
      <c r="GQ44" s="425">
        <v>25</v>
      </c>
      <c r="GR44" s="425">
        <v>35</v>
      </c>
      <c r="GS44" s="431">
        <v>48</v>
      </c>
      <c r="GT44" s="425">
        <v>350</v>
      </c>
      <c r="GU44" s="394"/>
      <c r="GV44" s="100">
        <f t="shared" si="17"/>
        <v>7723</v>
      </c>
      <c r="GW44" s="394"/>
      <c r="GX44" s="394"/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</row>
    <row r="45" spans="2:230" x14ac:dyDescent="0.15">
      <c r="B45" s="89" t="s">
        <v>79</v>
      </c>
      <c r="C45" s="102">
        <v>3892918</v>
      </c>
      <c r="D45" s="73">
        <f t="shared" si="0"/>
        <v>331415</v>
      </c>
      <c r="E45" s="102">
        <v>10044</v>
      </c>
      <c r="F45" s="102">
        <v>321371</v>
      </c>
      <c r="G45" s="73">
        <f t="shared" si="1"/>
        <v>125369</v>
      </c>
      <c r="H45" s="102">
        <v>40659</v>
      </c>
      <c r="I45" s="102">
        <v>84710</v>
      </c>
      <c r="J45" s="102">
        <v>2650839</v>
      </c>
      <c r="K45" s="102">
        <v>1182814</v>
      </c>
      <c r="L45" s="102">
        <v>756373</v>
      </c>
      <c r="M45" s="102">
        <v>663137</v>
      </c>
      <c r="N45" s="102">
        <v>773958</v>
      </c>
      <c r="O45" s="102">
        <v>0</v>
      </c>
      <c r="P45" s="102">
        <v>0</v>
      </c>
      <c r="Q45" s="102">
        <v>0</v>
      </c>
      <c r="R45" s="102">
        <v>39197</v>
      </c>
      <c r="S45" s="74"/>
      <c r="T45" s="73">
        <f t="shared" si="2"/>
        <v>113001</v>
      </c>
      <c r="U45" s="102">
        <v>3981</v>
      </c>
      <c r="V45" s="102">
        <v>2587</v>
      </c>
      <c r="W45" s="102">
        <v>580</v>
      </c>
      <c r="X45" s="102">
        <v>98932</v>
      </c>
      <c r="Y45" s="102">
        <v>0</v>
      </c>
      <c r="Z45" s="102">
        <v>0</v>
      </c>
      <c r="AA45" s="102">
        <v>6921</v>
      </c>
      <c r="AB45" s="102">
        <v>26027</v>
      </c>
      <c r="AC45" s="102">
        <v>31927</v>
      </c>
      <c r="AD45" s="102">
        <v>0</v>
      </c>
      <c r="AE45" s="102">
        <v>31926</v>
      </c>
      <c r="AF45" s="102">
        <v>1202</v>
      </c>
      <c r="AG45" s="102">
        <v>1411</v>
      </c>
      <c r="AH45" s="73">
        <f t="shared" si="3"/>
        <v>111473</v>
      </c>
      <c r="AI45" s="102">
        <v>96118</v>
      </c>
      <c r="AJ45" s="102">
        <v>15355</v>
      </c>
      <c r="AK45" s="102">
        <v>201758</v>
      </c>
      <c r="AL45" s="73">
        <f t="shared" si="4"/>
        <v>57906</v>
      </c>
      <c r="AM45" s="102">
        <v>0</v>
      </c>
      <c r="AN45" s="102">
        <v>0</v>
      </c>
      <c r="AO45" s="74"/>
      <c r="AP45" s="102">
        <v>57906</v>
      </c>
      <c r="AQ45" s="102">
        <v>0</v>
      </c>
      <c r="AR45" s="102">
        <v>0</v>
      </c>
      <c r="AS45" s="102">
        <v>0</v>
      </c>
      <c r="AT45" s="102">
        <v>213904</v>
      </c>
      <c r="AU45" s="102">
        <v>136098</v>
      </c>
      <c r="AV45" s="102">
        <v>0</v>
      </c>
      <c r="AW45" s="102">
        <v>3408</v>
      </c>
      <c r="AX45" s="102">
        <v>77806</v>
      </c>
      <c r="AY45" s="102">
        <v>1550</v>
      </c>
      <c r="AZ45" s="102">
        <v>78474</v>
      </c>
      <c r="BA45" s="102">
        <v>69868</v>
      </c>
      <c r="BB45" s="102">
        <v>180</v>
      </c>
      <c r="BC45" s="102">
        <v>33433</v>
      </c>
      <c r="BD45" s="102">
        <v>0</v>
      </c>
      <c r="BE45" s="102">
        <v>0</v>
      </c>
      <c r="BF45" s="102">
        <v>33433</v>
      </c>
      <c r="BG45" s="102">
        <v>0</v>
      </c>
      <c r="BH45" s="102">
        <v>218453</v>
      </c>
      <c r="BI45" s="102">
        <v>216003</v>
      </c>
      <c r="BJ45" s="102">
        <v>81155</v>
      </c>
      <c r="BK45" s="102">
        <v>0</v>
      </c>
      <c r="BL45" s="102">
        <v>0</v>
      </c>
      <c r="BM45" s="102">
        <v>0</v>
      </c>
      <c r="BN45" s="102">
        <v>0</v>
      </c>
      <c r="BO45" s="73">
        <f t="shared" si="5"/>
        <v>0</v>
      </c>
      <c r="BP45" s="73">
        <f t="shared" si="6"/>
        <v>0</v>
      </c>
      <c r="BQ45" s="102">
        <v>0</v>
      </c>
      <c r="BR45" s="102">
        <v>0</v>
      </c>
      <c r="BS45" s="102">
        <v>0</v>
      </c>
      <c r="BT45" s="102">
        <v>0</v>
      </c>
      <c r="BU45" s="102">
        <v>5044513</v>
      </c>
      <c r="BV45" s="71"/>
      <c r="BW45" s="102">
        <v>1112598</v>
      </c>
      <c r="BX45" s="102">
        <v>655804</v>
      </c>
      <c r="BY45" s="102">
        <v>60492</v>
      </c>
      <c r="BZ45" s="102">
        <v>138966</v>
      </c>
      <c r="CA45" s="102">
        <v>389400</v>
      </c>
      <c r="CB45" s="102">
        <v>135134</v>
      </c>
      <c r="CC45" s="102">
        <v>16967</v>
      </c>
      <c r="CD45" s="102">
        <v>226364</v>
      </c>
      <c r="CE45" s="102">
        <v>0</v>
      </c>
      <c r="CF45" s="102">
        <v>121</v>
      </c>
      <c r="CG45" s="102">
        <v>10814</v>
      </c>
      <c r="CH45" s="102">
        <v>413372</v>
      </c>
      <c r="CI45" s="102">
        <v>362446</v>
      </c>
      <c r="CJ45" s="83">
        <f t="shared" si="19"/>
        <v>50926</v>
      </c>
      <c r="CK45" s="102">
        <v>477355</v>
      </c>
      <c r="CL45" s="102">
        <v>272185</v>
      </c>
      <c r="CM45" s="102">
        <v>10673</v>
      </c>
      <c r="CN45" s="102">
        <v>149442</v>
      </c>
      <c r="CO45" s="102">
        <v>18619</v>
      </c>
      <c r="CP45" s="102">
        <v>881502</v>
      </c>
      <c r="CQ45" s="102">
        <v>121049</v>
      </c>
      <c r="CR45" s="102">
        <v>27193</v>
      </c>
      <c r="CS45" s="102">
        <v>26089</v>
      </c>
      <c r="CT45" s="73">
        <f t="shared" si="7"/>
        <v>9441</v>
      </c>
      <c r="CU45" s="102">
        <v>0</v>
      </c>
      <c r="CV45" s="102">
        <v>9441</v>
      </c>
      <c r="CW45" s="73">
        <f t="shared" si="8"/>
        <v>0</v>
      </c>
      <c r="CX45" s="102">
        <v>0</v>
      </c>
      <c r="CY45" s="102">
        <v>0</v>
      </c>
      <c r="CZ45" s="73">
        <f t="shared" si="9"/>
        <v>0</v>
      </c>
      <c r="DA45" s="102">
        <v>0</v>
      </c>
      <c r="DB45" s="102">
        <v>0</v>
      </c>
      <c r="DC45" s="102">
        <v>115218</v>
      </c>
      <c r="DD45" s="102">
        <v>3824</v>
      </c>
      <c r="DE45" s="102">
        <v>111394</v>
      </c>
      <c r="DF45" s="77">
        <v>0</v>
      </c>
      <c r="DG45" s="78">
        <v>0</v>
      </c>
      <c r="DH45" s="102">
        <v>0</v>
      </c>
      <c r="DI45" s="102">
        <v>619938</v>
      </c>
      <c r="DJ45" s="102">
        <v>479307</v>
      </c>
      <c r="DK45" s="102">
        <v>100000</v>
      </c>
      <c r="DL45" s="102">
        <v>40631</v>
      </c>
      <c r="DM45" s="102">
        <v>0</v>
      </c>
      <c r="DN45" s="102">
        <v>0</v>
      </c>
      <c r="DO45" s="102">
        <v>0</v>
      </c>
      <c r="DP45" s="102">
        <v>0</v>
      </c>
      <c r="DQ45" s="102">
        <v>0</v>
      </c>
      <c r="DR45" s="102">
        <v>0</v>
      </c>
      <c r="DS45" s="102">
        <v>0</v>
      </c>
      <c r="DT45" s="102">
        <v>772646</v>
      </c>
      <c r="DU45" s="102">
        <v>487600</v>
      </c>
      <c r="DV45" s="73">
        <f t="shared" si="10"/>
        <v>0</v>
      </c>
      <c r="DW45" s="102">
        <v>0</v>
      </c>
      <c r="DX45" s="102">
        <v>99248</v>
      </c>
      <c r="DY45" s="102">
        <v>0</v>
      </c>
      <c r="DZ45" s="102">
        <v>89844</v>
      </c>
      <c r="EA45" s="74">
        <v>0</v>
      </c>
      <c r="EB45" s="102">
        <v>95954</v>
      </c>
      <c r="EC45" s="102">
        <v>0</v>
      </c>
      <c r="ED45" s="102">
        <v>4800648</v>
      </c>
      <c r="EE45" s="71"/>
      <c r="EF45" s="102">
        <v>243865</v>
      </c>
      <c r="EG45" s="102">
        <v>34000</v>
      </c>
      <c r="EH45" s="102">
        <v>209865</v>
      </c>
      <c r="EI45" s="102">
        <v>-6138</v>
      </c>
      <c r="EJ45" s="102">
        <v>473169</v>
      </c>
      <c r="EK45" s="71"/>
      <c r="EL45" s="102"/>
      <c r="EM45" s="102">
        <v>8194</v>
      </c>
      <c r="EN45" s="102">
        <v>2671</v>
      </c>
      <c r="EO45" s="102">
        <v>69870</v>
      </c>
      <c r="EP45" s="73">
        <f t="shared" si="11"/>
        <v>257075</v>
      </c>
      <c r="EQ45" s="102">
        <v>4104272</v>
      </c>
      <c r="ER45" s="71">
        <v>-328414</v>
      </c>
      <c r="ES45" s="102">
        <v>1005453</v>
      </c>
      <c r="ET45" s="102">
        <v>566750</v>
      </c>
      <c r="EU45" s="102">
        <v>134048</v>
      </c>
      <c r="EV45" s="102">
        <v>413372</v>
      </c>
      <c r="EW45" s="73">
        <f t="shared" si="12"/>
        <v>81370</v>
      </c>
      <c r="EX45" s="102">
        <v>81370</v>
      </c>
      <c r="EY45" s="102">
        <v>416</v>
      </c>
      <c r="EZ45" s="102">
        <v>80954</v>
      </c>
      <c r="FA45" s="102">
        <v>0</v>
      </c>
      <c r="FB45" s="102">
        <v>0</v>
      </c>
      <c r="FC45" s="102">
        <v>324400</v>
      </c>
      <c r="FD45" s="102">
        <v>867953</v>
      </c>
      <c r="FE45" s="102">
        <v>121049</v>
      </c>
      <c r="FF45" s="102">
        <v>733698</v>
      </c>
      <c r="FG45" s="73">
        <f t="shared" si="13"/>
        <v>628527</v>
      </c>
      <c r="FH45" s="102">
        <v>4188821</v>
      </c>
      <c r="FI45" s="379">
        <f t="shared" si="14"/>
        <v>6.3</v>
      </c>
      <c r="FJ45" s="102">
        <v>3240779</v>
      </c>
      <c r="FK45" s="102">
        <v>106566</v>
      </c>
      <c r="FL45" s="102">
        <v>2463940</v>
      </c>
      <c r="FM45" s="102">
        <v>1977120</v>
      </c>
      <c r="FN45" s="428">
        <v>1.3939999999999999</v>
      </c>
      <c r="FO45" s="424">
        <v>70.400000000000006</v>
      </c>
      <c r="FP45" s="425">
        <v>24.4</v>
      </c>
      <c r="FQ45" s="424">
        <v>3.3</v>
      </c>
      <c r="FR45" s="424">
        <v>10.1</v>
      </c>
      <c r="FS45" s="425">
        <v>7.2</v>
      </c>
      <c r="FT45" s="424">
        <v>10</v>
      </c>
      <c r="FU45" s="425">
        <v>15</v>
      </c>
      <c r="FV45" s="384">
        <f t="shared" si="15"/>
        <v>15.8</v>
      </c>
      <c r="FW45" s="102">
        <v>2442875</v>
      </c>
      <c r="FX45" s="384">
        <f t="shared" si="16"/>
        <v>73</v>
      </c>
      <c r="FY45" s="102">
        <v>4469245</v>
      </c>
      <c r="FZ45" s="102">
        <v>3889892</v>
      </c>
      <c r="GA45" s="102">
        <v>100000</v>
      </c>
      <c r="GB45" s="102">
        <v>479353</v>
      </c>
      <c r="GC45" s="102">
        <v>0</v>
      </c>
      <c r="GD45" s="427"/>
      <c r="GE45" s="386"/>
      <c r="GF45" s="424">
        <v>99.789218451911225</v>
      </c>
      <c r="GG45" s="424">
        <v>48.734439834024897</v>
      </c>
      <c r="GH45" s="424">
        <v>99.600336596359924</v>
      </c>
      <c r="GI45" s="102">
        <v>111</v>
      </c>
      <c r="GJ45" s="429" t="s">
        <v>646</v>
      </c>
      <c r="GK45" s="429">
        <v>15</v>
      </c>
      <c r="GL45" s="87">
        <v>20</v>
      </c>
      <c r="GM45" s="429" t="s">
        <v>646</v>
      </c>
      <c r="GN45" s="430">
        <v>20</v>
      </c>
      <c r="GO45" s="430">
        <v>30</v>
      </c>
      <c r="GP45" s="425">
        <v>15.8</v>
      </c>
      <c r="GQ45" s="425">
        <v>25</v>
      </c>
      <c r="GR45" s="425">
        <v>35</v>
      </c>
      <c r="GS45" s="431">
        <v>0.1</v>
      </c>
      <c r="GT45" s="425">
        <v>350</v>
      </c>
      <c r="GU45" s="394"/>
      <c r="GV45" s="100">
        <f t="shared" si="17"/>
        <v>3347</v>
      </c>
      <c r="GW45" s="394"/>
      <c r="GX45" s="394"/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</row>
    <row r="46" spans="2:230" x14ac:dyDescent="0.15">
      <c r="B46" s="89" t="s">
        <v>81</v>
      </c>
      <c r="C46" s="102">
        <v>2366799</v>
      </c>
      <c r="D46" s="73">
        <f t="shared" si="0"/>
        <v>699234</v>
      </c>
      <c r="E46" s="102">
        <v>23416</v>
      </c>
      <c r="F46" s="102">
        <v>675818</v>
      </c>
      <c r="G46" s="73">
        <f t="shared" si="1"/>
        <v>88697</v>
      </c>
      <c r="H46" s="102">
        <v>30553</v>
      </c>
      <c r="I46" s="102">
        <v>58144</v>
      </c>
      <c r="J46" s="102">
        <v>1465704</v>
      </c>
      <c r="K46" s="102">
        <v>589193</v>
      </c>
      <c r="L46" s="102">
        <v>538458</v>
      </c>
      <c r="M46" s="102">
        <v>334173</v>
      </c>
      <c r="N46" s="102">
        <v>81932</v>
      </c>
      <c r="O46" s="102">
        <v>0</v>
      </c>
      <c r="P46" s="102">
        <v>0</v>
      </c>
      <c r="Q46" s="102">
        <v>0</v>
      </c>
      <c r="R46" s="102">
        <v>54018</v>
      </c>
      <c r="S46" s="74"/>
      <c r="T46" s="73">
        <f t="shared" si="2"/>
        <v>235634</v>
      </c>
      <c r="U46" s="102">
        <v>8854</v>
      </c>
      <c r="V46" s="102">
        <v>5737</v>
      </c>
      <c r="W46" s="102">
        <v>1272</v>
      </c>
      <c r="X46" s="102">
        <v>138973</v>
      </c>
      <c r="Y46" s="102">
        <v>59858</v>
      </c>
      <c r="Z46" s="102">
        <v>0</v>
      </c>
      <c r="AA46" s="102">
        <v>20940</v>
      </c>
      <c r="AB46" s="102">
        <v>26982</v>
      </c>
      <c r="AC46" s="102">
        <v>1891679</v>
      </c>
      <c r="AD46" s="102">
        <v>1597062</v>
      </c>
      <c r="AE46" s="102">
        <v>294615</v>
      </c>
      <c r="AF46" s="102">
        <v>4026</v>
      </c>
      <c r="AG46" s="102">
        <v>10931</v>
      </c>
      <c r="AH46" s="73">
        <f t="shared" si="3"/>
        <v>106484</v>
      </c>
      <c r="AI46" s="102">
        <v>88242</v>
      </c>
      <c r="AJ46" s="102">
        <v>18242</v>
      </c>
      <c r="AK46" s="102">
        <v>424348</v>
      </c>
      <c r="AL46" s="73">
        <f t="shared" si="4"/>
        <v>118234</v>
      </c>
      <c r="AM46" s="102">
        <v>0</v>
      </c>
      <c r="AN46" s="102">
        <v>0</v>
      </c>
      <c r="AO46" s="74"/>
      <c r="AP46" s="102">
        <v>118234</v>
      </c>
      <c r="AQ46" s="102">
        <v>15687</v>
      </c>
      <c r="AR46" s="102">
        <v>0</v>
      </c>
      <c r="AS46" s="102">
        <v>0</v>
      </c>
      <c r="AT46" s="102">
        <v>742971</v>
      </c>
      <c r="AU46" s="102">
        <v>242873</v>
      </c>
      <c r="AV46" s="102">
        <v>0</v>
      </c>
      <c r="AW46" s="102">
        <v>20716</v>
      </c>
      <c r="AX46" s="102">
        <v>500098</v>
      </c>
      <c r="AY46" s="102">
        <v>271896</v>
      </c>
      <c r="AZ46" s="102">
        <v>10298</v>
      </c>
      <c r="BA46" s="102">
        <v>7547</v>
      </c>
      <c r="BB46" s="102">
        <v>6069</v>
      </c>
      <c r="BC46" s="102">
        <v>56125</v>
      </c>
      <c r="BD46" s="102">
        <v>0</v>
      </c>
      <c r="BE46" s="102">
        <v>0</v>
      </c>
      <c r="BF46" s="102">
        <v>34717</v>
      </c>
      <c r="BG46" s="102">
        <v>0</v>
      </c>
      <c r="BH46" s="102">
        <v>43229</v>
      </c>
      <c r="BI46" s="102">
        <v>26769</v>
      </c>
      <c r="BJ46" s="102">
        <v>224564</v>
      </c>
      <c r="BK46" s="102">
        <v>4159</v>
      </c>
      <c r="BL46" s="102">
        <v>0</v>
      </c>
      <c r="BM46" s="102">
        <v>0</v>
      </c>
      <c r="BN46" s="102">
        <v>471649</v>
      </c>
      <c r="BO46" s="73">
        <f t="shared" si="5"/>
        <v>133800</v>
      </c>
      <c r="BP46" s="73">
        <f t="shared" si="6"/>
        <v>337849</v>
      </c>
      <c r="BQ46" s="102">
        <v>0</v>
      </c>
      <c r="BR46" s="102">
        <v>0</v>
      </c>
      <c r="BS46" s="102">
        <v>337849</v>
      </c>
      <c r="BT46" s="102">
        <v>0</v>
      </c>
      <c r="BU46" s="102">
        <v>6675806</v>
      </c>
      <c r="BV46" s="71"/>
      <c r="BW46" s="102">
        <v>1265283</v>
      </c>
      <c r="BX46" s="102">
        <v>875708</v>
      </c>
      <c r="BY46" s="102">
        <v>70000</v>
      </c>
      <c r="BZ46" s="102">
        <v>19068</v>
      </c>
      <c r="CA46" s="102">
        <v>687032</v>
      </c>
      <c r="CB46" s="102">
        <v>264875</v>
      </c>
      <c r="CC46" s="102">
        <v>32696</v>
      </c>
      <c r="CD46" s="102">
        <v>374703</v>
      </c>
      <c r="CE46" s="102">
        <v>0</v>
      </c>
      <c r="CF46" s="102">
        <v>13</v>
      </c>
      <c r="CG46" s="102">
        <v>14705</v>
      </c>
      <c r="CH46" s="102">
        <v>1139898</v>
      </c>
      <c r="CI46" s="102">
        <v>976962</v>
      </c>
      <c r="CJ46" s="83">
        <f t="shared" si="19"/>
        <v>162936</v>
      </c>
      <c r="CK46" s="102">
        <v>1033056</v>
      </c>
      <c r="CL46" s="102">
        <v>432692</v>
      </c>
      <c r="CM46" s="102">
        <v>206631</v>
      </c>
      <c r="CN46" s="102">
        <v>270034</v>
      </c>
      <c r="CO46" s="102">
        <v>87443</v>
      </c>
      <c r="CP46" s="102">
        <v>513772</v>
      </c>
      <c r="CQ46" s="102">
        <v>302548</v>
      </c>
      <c r="CR46" s="102">
        <v>136602</v>
      </c>
      <c r="CS46" s="102">
        <v>124545</v>
      </c>
      <c r="CT46" s="73">
        <f t="shared" si="7"/>
        <v>2085</v>
      </c>
      <c r="CU46" s="102">
        <v>2085</v>
      </c>
      <c r="CV46" s="102">
        <v>0</v>
      </c>
      <c r="CW46" s="73">
        <f t="shared" si="8"/>
        <v>0</v>
      </c>
      <c r="CX46" s="102">
        <v>0</v>
      </c>
      <c r="CY46" s="102">
        <v>0</v>
      </c>
      <c r="CZ46" s="73">
        <f t="shared" si="9"/>
        <v>0</v>
      </c>
      <c r="DA46" s="102">
        <v>0</v>
      </c>
      <c r="DB46" s="102">
        <v>0</v>
      </c>
      <c r="DC46" s="102">
        <v>632663</v>
      </c>
      <c r="DD46" s="102">
        <v>60383</v>
      </c>
      <c r="DE46" s="102">
        <v>299384</v>
      </c>
      <c r="DF46" s="77">
        <v>1317</v>
      </c>
      <c r="DG46" s="78">
        <v>271579</v>
      </c>
      <c r="DH46" s="102">
        <v>0</v>
      </c>
      <c r="DI46" s="102">
        <v>220726</v>
      </c>
      <c r="DJ46" s="102">
        <v>200780</v>
      </c>
      <c r="DK46" s="102">
        <v>18</v>
      </c>
      <c r="DL46" s="102">
        <v>19928</v>
      </c>
      <c r="DM46" s="102">
        <v>0</v>
      </c>
      <c r="DN46" s="102">
        <v>0</v>
      </c>
      <c r="DO46" s="102">
        <v>0</v>
      </c>
      <c r="DP46" s="102">
        <v>0</v>
      </c>
      <c r="DQ46" s="102">
        <v>0</v>
      </c>
      <c r="DR46" s="102">
        <v>0</v>
      </c>
      <c r="DS46" s="102">
        <v>0</v>
      </c>
      <c r="DT46" s="102">
        <v>956268</v>
      </c>
      <c r="DU46" s="102">
        <v>289487</v>
      </c>
      <c r="DV46" s="73">
        <f t="shared" si="10"/>
        <v>0</v>
      </c>
      <c r="DW46" s="102">
        <v>0</v>
      </c>
      <c r="DX46" s="102">
        <v>292140</v>
      </c>
      <c r="DY46" s="102">
        <v>0</v>
      </c>
      <c r="DZ46" s="102">
        <v>136722</v>
      </c>
      <c r="EA46" s="74">
        <v>0</v>
      </c>
      <c r="EB46" s="102">
        <v>230645</v>
      </c>
      <c r="EC46" s="102">
        <v>0</v>
      </c>
      <c r="ED46" s="102">
        <v>6536141</v>
      </c>
      <c r="EE46" s="71"/>
      <c r="EF46" s="102">
        <v>139665</v>
      </c>
      <c r="EG46" s="102">
        <v>109075</v>
      </c>
      <c r="EH46" s="102">
        <v>30590</v>
      </c>
      <c r="EI46" s="102">
        <v>3821</v>
      </c>
      <c r="EJ46" s="102">
        <v>204601</v>
      </c>
      <c r="EK46" s="71"/>
      <c r="EL46" s="102"/>
      <c r="EM46" s="102">
        <v>17449</v>
      </c>
      <c r="EN46" s="102">
        <v>204</v>
      </c>
      <c r="EO46" s="102">
        <v>7300</v>
      </c>
      <c r="EP46" s="73">
        <f t="shared" si="11"/>
        <v>140595</v>
      </c>
      <c r="EQ46" s="102">
        <v>4579138</v>
      </c>
      <c r="ER46" s="71">
        <v>-481922</v>
      </c>
      <c r="ES46" s="102">
        <v>1090748</v>
      </c>
      <c r="ET46" s="102">
        <v>715625</v>
      </c>
      <c r="EU46" s="102">
        <v>259569</v>
      </c>
      <c r="EV46" s="102">
        <v>1126814</v>
      </c>
      <c r="EW46" s="73">
        <f t="shared" si="12"/>
        <v>101016</v>
      </c>
      <c r="EX46" s="102">
        <v>101016</v>
      </c>
      <c r="EY46" s="102">
        <v>688</v>
      </c>
      <c r="EZ46" s="102">
        <v>100211</v>
      </c>
      <c r="FA46" s="102">
        <v>0</v>
      </c>
      <c r="FB46" s="102">
        <v>0</v>
      </c>
      <c r="FC46" s="102">
        <v>741718</v>
      </c>
      <c r="FD46" s="102">
        <v>483540</v>
      </c>
      <c r="FE46" s="102">
        <v>302548</v>
      </c>
      <c r="FF46" s="102">
        <v>841297</v>
      </c>
      <c r="FG46" s="73">
        <f t="shared" si="13"/>
        <v>281693</v>
      </c>
      <c r="FH46" s="102">
        <v>4926395</v>
      </c>
      <c r="FI46" s="379">
        <f t="shared" si="14"/>
        <v>0.7</v>
      </c>
      <c r="FJ46" s="102">
        <v>3995823</v>
      </c>
      <c r="FK46" s="102">
        <v>337849</v>
      </c>
      <c r="FL46" s="102">
        <v>1857943</v>
      </c>
      <c r="FM46" s="102">
        <v>3456399</v>
      </c>
      <c r="FN46" s="428">
        <v>0.54800000000000004</v>
      </c>
      <c r="FO46" s="424">
        <v>96.1</v>
      </c>
      <c r="FP46" s="425">
        <v>22.5</v>
      </c>
      <c r="FQ46" s="424">
        <v>5.6</v>
      </c>
      <c r="FR46" s="424">
        <v>24.3</v>
      </c>
      <c r="FS46" s="425">
        <v>14.7</v>
      </c>
      <c r="FT46" s="424">
        <v>9.1999999999999993</v>
      </c>
      <c r="FU46" s="425">
        <v>18</v>
      </c>
      <c r="FV46" s="384">
        <f t="shared" si="15"/>
        <v>21</v>
      </c>
      <c r="FW46" s="102">
        <v>8407656</v>
      </c>
      <c r="FX46" s="384">
        <f t="shared" si="16"/>
        <v>194</v>
      </c>
      <c r="FY46" s="102">
        <v>1376190</v>
      </c>
      <c r="FZ46" s="102">
        <v>951122</v>
      </c>
      <c r="GA46" s="102">
        <v>38363</v>
      </c>
      <c r="GB46" s="102">
        <v>386705</v>
      </c>
      <c r="GC46" s="102">
        <v>0</v>
      </c>
      <c r="GD46" s="427"/>
      <c r="GE46" s="386"/>
      <c r="GF46" s="424">
        <v>98.391680153226488</v>
      </c>
      <c r="GG46" s="424">
        <v>20.507412348040571</v>
      </c>
      <c r="GH46" s="424">
        <v>92.354346154131306</v>
      </c>
      <c r="GI46" s="102">
        <v>139</v>
      </c>
      <c r="GJ46" s="429" t="s">
        <v>646</v>
      </c>
      <c r="GK46" s="429">
        <v>15</v>
      </c>
      <c r="GL46" s="87">
        <v>20</v>
      </c>
      <c r="GM46" s="429" t="s">
        <v>646</v>
      </c>
      <c r="GN46" s="430">
        <v>20</v>
      </c>
      <c r="GO46" s="430">
        <v>30</v>
      </c>
      <c r="GP46" s="425">
        <v>21</v>
      </c>
      <c r="GQ46" s="425">
        <v>25</v>
      </c>
      <c r="GR46" s="425">
        <v>35</v>
      </c>
      <c r="GS46" s="431">
        <v>157.4</v>
      </c>
      <c r="GT46" s="425">
        <v>350</v>
      </c>
      <c r="GU46" s="394"/>
      <c r="GV46" s="100">
        <f t="shared" si="17"/>
        <v>4334</v>
      </c>
      <c r="GW46" s="394"/>
      <c r="GX46" s="394"/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</row>
    <row r="47" spans="2:230" x14ac:dyDescent="0.15">
      <c r="B47" s="89" t="s">
        <v>83</v>
      </c>
      <c r="C47" s="102">
        <v>1472538</v>
      </c>
      <c r="D47" s="73">
        <f t="shared" si="0"/>
        <v>625523</v>
      </c>
      <c r="E47" s="102">
        <v>18306</v>
      </c>
      <c r="F47" s="102">
        <v>607217</v>
      </c>
      <c r="G47" s="73">
        <f t="shared" si="1"/>
        <v>27119</v>
      </c>
      <c r="H47" s="102">
        <v>16180</v>
      </c>
      <c r="I47" s="102">
        <v>10939</v>
      </c>
      <c r="J47" s="102">
        <v>578820</v>
      </c>
      <c r="K47" s="102">
        <v>226699</v>
      </c>
      <c r="L47" s="102">
        <v>283246</v>
      </c>
      <c r="M47" s="102">
        <v>68875</v>
      </c>
      <c r="N47" s="102">
        <v>215139</v>
      </c>
      <c r="O47" s="102">
        <v>0</v>
      </c>
      <c r="P47" s="102">
        <v>0</v>
      </c>
      <c r="Q47" s="102">
        <v>0</v>
      </c>
      <c r="R47" s="102">
        <v>38373</v>
      </c>
      <c r="S47" s="74"/>
      <c r="T47" s="73">
        <f t="shared" si="2"/>
        <v>157305</v>
      </c>
      <c r="U47" s="102">
        <v>8284</v>
      </c>
      <c r="V47" s="102">
        <v>5367</v>
      </c>
      <c r="W47" s="102">
        <v>1189</v>
      </c>
      <c r="X47" s="102">
        <v>106618</v>
      </c>
      <c r="Y47" s="102">
        <v>20971</v>
      </c>
      <c r="Z47" s="102">
        <v>0</v>
      </c>
      <c r="AA47" s="102">
        <v>14876</v>
      </c>
      <c r="AB47" s="102">
        <v>28993</v>
      </c>
      <c r="AC47" s="102">
        <v>1419518</v>
      </c>
      <c r="AD47" s="102">
        <v>1184273</v>
      </c>
      <c r="AE47" s="102">
        <v>235244</v>
      </c>
      <c r="AF47" s="102">
        <v>2559</v>
      </c>
      <c r="AG47" s="102">
        <v>56803</v>
      </c>
      <c r="AH47" s="73">
        <f t="shared" si="3"/>
        <v>51359</v>
      </c>
      <c r="AI47" s="102">
        <v>33937</v>
      </c>
      <c r="AJ47" s="102">
        <v>17422</v>
      </c>
      <c r="AK47" s="102">
        <v>436482</v>
      </c>
      <c r="AL47" s="73">
        <f t="shared" si="4"/>
        <v>111413</v>
      </c>
      <c r="AM47" s="102">
        <v>0</v>
      </c>
      <c r="AN47" s="102">
        <v>59750</v>
      </c>
      <c r="AO47" s="74"/>
      <c r="AP47" s="102">
        <v>51663</v>
      </c>
      <c r="AQ47" s="102">
        <v>75470</v>
      </c>
      <c r="AR47" s="102">
        <v>0</v>
      </c>
      <c r="AS47" s="102">
        <v>0</v>
      </c>
      <c r="AT47" s="102">
        <v>387928</v>
      </c>
      <c r="AU47" s="102">
        <v>170661</v>
      </c>
      <c r="AV47" s="102">
        <v>29875</v>
      </c>
      <c r="AW47" s="102">
        <v>1408</v>
      </c>
      <c r="AX47" s="102">
        <v>217267</v>
      </c>
      <c r="AY47" s="102">
        <v>0</v>
      </c>
      <c r="AZ47" s="102">
        <v>835</v>
      </c>
      <c r="BA47" s="102">
        <v>0</v>
      </c>
      <c r="BB47" s="102">
        <v>1250</v>
      </c>
      <c r="BC47" s="102">
        <v>66215</v>
      </c>
      <c r="BD47" s="102">
        <v>4988</v>
      </c>
      <c r="BE47" s="102">
        <v>0</v>
      </c>
      <c r="BF47" s="102">
        <v>30855</v>
      </c>
      <c r="BG47" s="102">
        <v>0</v>
      </c>
      <c r="BH47" s="102">
        <v>78656</v>
      </c>
      <c r="BI47" s="102">
        <v>72970</v>
      </c>
      <c r="BJ47" s="102">
        <v>48137</v>
      </c>
      <c r="BK47" s="102">
        <v>0</v>
      </c>
      <c r="BL47" s="102">
        <v>0</v>
      </c>
      <c r="BM47" s="102">
        <v>0</v>
      </c>
      <c r="BN47" s="102">
        <v>323256</v>
      </c>
      <c r="BO47" s="73">
        <f t="shared" si="5"/>
        <v>23500</v>
      </c>
      <c r="BP47" s="73">
        <f t="shared" si="6"/>
        <v>299756</v>
      </c>
      <c r="BQ47" s="102">
        <v>0</v>
      </c>
      <c r="BR47" s="102">
        <v>0</v>
      </c>
      <c r="BS47" s="102">
        <v>299756</v>
      </c>
      <c r="BT47" s="102">
        <v>0</v>
      </c>
      <c r="BU47" s="102">
        <v>4570207</v>
      </c>
      <c r="BV47" s="71"/>
      <c r="BW47" s="102">
        <v>1095450</v>
      </c>
      <c r="BX47" s="102">
        <v>595243</v>
      </c>
      <c r="BY47" s="102">
        <v>217342</v>
      </c>
      <c r="BZ47" s="102">
        <v>10589</v>
      </c>
      <c r="CA47" s="102">
        <v>674857</v>
      </c>
      <c r="CB47" s="102">
        <v>133725</v>
      </c>
      <c r="CC47" s="102">
        <v>17199</v>
      </c>
      <c r="CD47" s="102">
        <v>502902</v>
      </c>
      <c r="CE47" s="102">
        <v>0</v>
      </c>
      <c r="CF47" s="102">
        <v>0</v>
      </c>
      <c r="CG47" s="102">
        <v>21031</v>
      </c>
      <c r="CH47" s="102">
        <v>539743</v>
      </c>
      <c r="CI47" s="102">
        <v>454042</v>
      </c>
      <c r="CJ47" s="83">
        <f t="shared" si="19"/>
        <v>85701</v>
      </c>
      <c r="CK47" s="102">
        <v>637414</v>
      </c>
      <c r="CL47" s="102">
        <v>314406</v>
      </c>
      <c r="CM47" s="102">
        <v>117900</v>
      </c>
      <c r="CN47" s="102">
        <v>103309</v>
      </c>
      <c r="CO47" s="102">
        <v>20920</v>
      </c>
      <c r="CP47" s="102">
        <v>478435</v>
      </c>
      <c r="CQ47" s="102">
        <v>142102</v>
      </c>
      <c r="CR47" s="102">
        <v>100595</v>
      </c>
      <c r="CS47" s="102">
        <v>54366</v>
      </c>
      <c r="CT47" s="73">
        <f t="shared" si="7"/>
        <v>1202</v>
      </c>
      <c r="CU47" s="102">
        <v>886</v>
      </c>
      <c r="CV47" s="102">
        <v>316</v>
      </c>
      <c r="CW47" s="73">
        <f t="shared" si="8"/>
        <v>0</v>
      </c>
      <c r="CX47" s="102">
        <v>0</v>
      </c>
      <c r="CY47" s="102">
        <v>0</v>
      </c>
      <c r="CZ47" s="73">
        <f t="shared" si="9"/>
        <v>0</v>
      </c>
      <c r="DA47" s="102">
        <v>0</v>
      </c>
      <c r="DB47" s="102">
        <v>0</v>
      </c>
      <c r="DC47" s="102">
        <v>229339</v>
      </c>
      <c r="DD47" s="102">
        <v>105350</v>
      </c>
      <c r="DE47" s="102">
        <v>123989</v>
      </c>
      <c r="DF47" s="77">
        <v>0</v>
      </c>
      <c r="DG47" s="78">
        <v>0</v>
      </c>
      <c r="DH47" s="102">
        <v>0</v>
      </c>
      <c r="DI47" s="102">
        <v>283557</v>
      </c>
      <c r="DJ47" s="102">
        <v>72877</v>
      </c>
      <c r="DK47" s="102">
        <v>0</v>
      </c>
      <c r="DL47" s="102">
        <v>210680</v>
      </c>
      <c r="DM47" s="102">
        <v>0</v>
      </c>
      <c r="DN47" s="102">
        <v>0</v>
      </c>
      <c r="DO47" s="102">
        <v>0</v>
      </c>
      <c r="DP47" s="102">
        <v>0</v>
      </c>
      <c r="DQ47" s="102">
        <v>0</v>
      </c>
      <c r="DR47" s="102">
        <v>0</v>
      </c>
      <c r="DS47" s="102">
        <v>0</v>
      </c>
      <c r="DT47" s="102">
        <v>517696</v>
      </c>
      <c r="DU47" s="102">
        <v>108501</v>
      </c>
      <c r="DV47" s="73">
        <f t="shared" si="10"/>
        <v>0</v>
      </c>
      <c r="DW47" s="102">
        <v>0</v>
      </c>
      <c r="DX47" s="102">
        <v>135060</v>
      </c>
      <c r="DY47" s="102">
        <v>0</v>
      </c>
      <c r="DZ47" s="102">
        <v>110653</v>
      </c>
      <c r="EA47" s="74">
        <v>0</v>
      </c>
      <c r="EB47" s="102">
        <v>157249</v>
      </c>
      <c r="EC47" s="102">
        <v>0</v>
      </c>
      <c r="ED47" s="102">
        <v>4477411</v>
      </c>
      <c r="EE47" s="71"/>
      <c r="EF47" s="102">
        <v>92796</v>
      </c>
      <c r="EG47" s="102">
        <v>0</v>
      </c>
      <c r="EH47" s="102">
        <v>92796</v>
      </c>
      <c r="EI47" s="102">
        <v>19826</v>
      </c>
      <c r="EJ47" s="102">
        <v>87715</v>
      </c>
      <c r="EK47" s="71"/>
      <c r="EL47" s="102"/>
      <c r="EM47" s="102">
        <v>14216</v>
      </c>
      <c r="EN47" s="102">
        <v>38286</v>
      </c>
      <c r="EO47" s="102">
        <v>495</v>
      </c>
      <c r="EP47" s="73">
        <f t="shared" si="11"/>
        <v>142191</v>
      </c>
      <c r="EQ47" s="102">
        <v>3119286</v>
      </c>
      <c r="ER47" s="71">
        <v>-478169</v>
      </c>
      <c r="ES47" s="102">
        <v>1002975</v>
      </c>
      <c r="ET47" s="102">
        <v>511493</v>
      </c>
      <c r="EU47" s="102">
        <v>164818</v>
      </c>
      <c r="EV47" s="102">
        <v>539743</v>
      </c>
      <c r="EW47" s="73">
        <f t="shared" si="12"/>
        <v>96629</v>
      </c>
      <c r="EX47" s="102">
        <v>96629</v>
      </c>
      <c r="EY47" s="102">
        <v>5821</v>
      </c>
      <c r="EZ47" s="102">
        <v>90808</v>
      </c>
      <c r="FA47" s="102">
        <v>0</v>
      </c>
      <c r="FB47" s="102">
        <v>0</v>
      </c>
      <c r="FC47" s="102">
        <v>521710</v>
      </c>
      <c r="FD47" s="102">
        <v>417338</v>
      </c>
      <c r="FE47" s="102">
        <v>142102</v>
      </c>
      <c r="FF47" s="102">
        <v>457702</v>
      </c>
      <c r="FG47" s="73">
        <f t="shared" si="13"/>
        <v>303744</v>
      </c>
      <c r="FH47" s="102">
        <v>3504659</v>
      </c>
      <c r="FI47" s="379">
        <f t="shared" si="14"/>
        <v>3</v>
      </c>
      <c r="FJ47" s="102">
        <v>2839948</v>
      </c>
      <c r="FK47" s="102">
        <v>299756</v>
      </c>
      <c r="FL47" s="102">
        <v>1293841</v>
      </c>
      <c r="FM47" s="102">
        <v>2477113</v>
      </c>
      <c r="FN47" s="428">
        <v>0.56299999999999994</v>
      </c>
      <c r="FO47" s="424">
        <v>92.2</v>
      </c>
      <c r="FP47" s="425">
        <v>28.8</v>
      </c>
      <c r="FQ47" s="424">
        <v>5.2</v>
      </c>
      <c r="FR47" s="424">
        <v>16.899999999999999</v>
      </c>
      <c r="FS47" s="425">
        <v>15</v>
      </c>
      <c r="FT47" s="424">
        <v>12.2</v>
      </c>
      <c r="FU47" s="425">
        <v>13.5</v>
      </c>
      <c r="FV47" s="384">
        <f t="shared" si="15"/>
        <v>13.3</v>
      </c>
      <c r="FW47" s="102">
        <v>4504990</v>
      </c>
      <c r="FX47" s="384">
        <f t="shared" si="16"/>
        <v>143.5</v>
      </c>
      <c r="FY47" s="102">
        <v>1775302</v>
      </c>
      <c r="FZ47" s="102">
        <v>1036594</v>
      </c>
      <c r="GA47" s="102">
        <v>7794</v>
      </c>
      <c r="GB47" s="102">
        <v>730914</v>
      </c>
      <c r="GC47" s="102">
        <v>0</v>
      </c>
      <c r="GD47" s="427">
        <v>454697</v>
      </c>
      <c r="GE47" s="386">
        <f>IF(GD47=0,"-",ROUND(GD47/(FJ47+FK47)*100,1))</f>
        <v>14.5</v>
      </c>
      <c r="GF47" s="424">
        <v>98.103316993596877</v>
      </c>
      <c r="GG47" s="424">
        <v>32.094572357595148</v>
      </c>
      <c r="GH47" s="424">
        <v>94.872751380532037</v>
      </c>
      <c r="GI47" s="102">
        <v>97</v>
      </c>
      <c r="GJ47" s="429" t="s">
        <v>646</v>
      </c>
      <c r="GK47" s="429">
        <v>15</v>
      </c>
      <c r="GL47" s="87">
        <v>20</v>
      </c>
      <c r="GM47" s="429" t="s">
        <v>646</v>
      </c>
      <c r="GN47" s="430">
        <v>20</v>
      </c>
      <c r="GO47" s="430">
        <v>30</v>
      </c>
      <c r="GP47" s="425">
        <v>13.3</v>
      </c>
      <c r="GQ47" s="425">
        <v>25</v>
      </c>
      <c r="GR47" s="425">
        <v>35</v>
      </c>
      <c r="GS47" s="431">
        <v>35.200000000000003</v>
      </c>
      <c r="GT47" s="425">
        <v>350</v>
      </c>
      <c r="GU47" s="394"/>
      <c r="GV47" s="100">
        <f t="shared" si="17"/>
        <v>3140</v>
      </c>
      <c r="GW47" s="394"/>
      <c r="GX47" s="394"/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</row>
    <row r="48" spans="2:230" x14ac:dyDescent="0.15">
      <c r="B48" s="89" t="s">
        <v>85</v>
      </c>
      <c r="C48" s="102">
        <v>1531127</v>
      </c>
      <c r="D48" s="73">
        <f t="shared" si="0"/>
        <v>747737</v>
      </c>
      <c r="E48" s="102">
        <v>21501</v>
      </c>
      <c r="F48" s="102">
        <v>726236</v>
      </c>
      <c r="G48" s="73">
        <f t="shared" si="1"/>
        <v>43328</v>
      </c>
      <c r="H48" s="102">
        <v>20816</v>
      </c>
      <c r="I48" s="102">
        <v>22512</v>
      </c>
      <c r="J48" s="102">
        <v>612373</v>
      </c>
      <c r="K48" s="102">
        <v>225759</v>
      </c>
      <c r="L48" s="102">
        <v>319532</v>
      </c>
      <c r="M48" s="102">
        <v>67082</v>
      </c>
      <c r="N48" s="102">
        <v>94547</v>
      </c>
      <c r="O48" s="102">
        <v>0</v>
      </c>
      <c r="P48" s="102">
        <v>0</v>
      </c>
      <c r="Q48" s="102">
        <v>0</v>
      </c>
      <c r="R48" s="102">
        <v>53818</v>
      </c>
      <c r="S48" s="74"/>
      <c r="T48" s="73">
        <f t="shared" si="2"/>
        <v>232688</v>
      </c>
      <c r="U48" s="102">
        <v>9521</v>
      </c>
      <c r="V48" s="102">
        <v>6181</v>
      </c>
      <c r="W48" s="102">
        <v>1380</v>
      </c>
      <c r="X48" s="102">
        <v>140928</v>
      </c>
      <c r="Y48" s="102">
        <v>53816</v>
      </c>
      <c r="Z48" s="102">
        <v>0</v>
      </c>
      <c r="AA48" s="102">
        <v>20862</v>
      </c>
      <c r="AB48" s="102">
        <v>36866</v>
      </c>
      <c r="AC48" s="102">
        <v>1890936</v>
      </c>
      <c r="AD48" s="102">
        <v>1660888</v>
      </c>
      <c r="AE48" s="102">
        <v>230046</v>
      </c>
      <c r="AF48" s="102">
        <v>2947</v>
      </c>
      <c r="AG48" s="102">
        <v>18523</v>
      </c>
      <c r="AH48" s="73">
        <f t="shared" si="3"/>
        <v>116055</v>
      </c>
      <c r="AI48" s="102">
        <v>63591</v>
      </c>
      <c r="AJ48" s="102">
        <v>52464</v>
      </c>
      <c r="AK48" s="102">
        <v>390739</v>
      </c>
      <c r="AL48" s="73">
        <f t="shared" si="4"/>
        <v>62368</v>
      </c>
      <c r="AM48" s="102">
        <v>0</v>
      </c>
      <c r="AN48" s="102">
        <v>8352</v>
      </c>
      <c r="AO48" s="74"/>
      <c r="AP48" s="102">
        <v>54016</v>
      </c>
      <c r="AQ48" s="102">
        <v>23326</v>
      </c>
      <c r="AR48" s="102">
        <v>0</v>
      </c>
      <c r="AS48" s="102">
        <v>0</v>
      </c>
      <c r="AT48" s="102">
        <v>374535</v>
      </c>
      <c r="AU48" s="102">
        <v>166934</v>
      </c>
      <c r="AV48" s="102">
        <v>4176</v>
      </c>
      <c r="AW48" s="102">
        <v>14677</v>
      </c>
      <c r="AX48" s="102">
        <v>207601</v>
      </c>
      <c r="AY48" s="102">
        <v>22407</v>
      </c>
      <c r="AZ48" s="102">
        <v>6999</v>
      </c>
      <c r="BA48" s="102">
        <v>0</v>
      </c>
      <c r="BB48" s="102">
        <v>167</v>
      </c>
      <c r="BC48" s="102">
        <v>93586</v>
      </c>
      <c r="BD48" s="102">
        <v>5675</v>
      </c>
      <c r="BE48" s="102">
        <v>35966</v>
      </c>
      <c r="BF48" s="102">
        <v>51945</v>
      </c>
      <c r="BG48" s="102">
        <v>0</v>
      </c>
      <c r="BH48" s="102">
        <v>114738</v>
      </c>
      <c r="BI48" s="102">
        <v>67696</v>
      </c>
      <c r="BJ48" s="102">
        <v>72301</v>
      </c>
      <c r="BK48" s="102">
        <v>0</v>
      </c>
      <c r="BL48" s="102">
        <v>0</v>
      </c>
      <c r="BM48" s="102">
        <v>0</v>
      </c>
      <c r="BN48" s="102">
        <v>552000</v>
      </c>
      <c r="BO48" s="73">
        <f t="shared" si="5"/>
        <v>233000</v>
      </c>
      <c r="BP48" s="73">
        <f t="shared" si="6"/>
        <v>319000</v>
      </c>
      <c r="BQ48" s="102">
        <v>0</v>
      </c>
      <c r="BR48" s="102">
        <v>0</v>
      </c>
      <c r="BS48" s="102">
        <v>319000</v>
      </c>
      <c r="BT48" s="102">
        <v>0</v>
      </c>
      <c r="BU48" s="102">
        <v>5488025</v>
      </c>
      <c r="BV48" s="71"/>
      <c r="BW48" s="102">
        <v>1499209</v>
      </c>
      <c r="BX48" s="102">
        <v>871360</v>
      </c>
      <c r="BY48" s="102">
        <v>205498</v>
      </c>
      <c r="BZ48" s="102">
        <v>88761</v>
      </c>
      <c r="CA48" s="102">
        <v>578237</v>
      </c>
      <c r="CB48" s="102">
        <v>143616</v>
      </c>
      <c r="CC48" s="102">
        <v>28971</v>
      </c>
      <c r="CD48" s="102">
        <v>396656</v>
      </c>
      <c r="CE48" s="102">
        <v>0</v>
      </c>
      <c r="CF48" s="102">
        <v>0</v>
      </c>
      <c r="CG48" s="102">
        <v>8994</v>
      </c>
      <c r="CH48" s="102">
        <v>703818</v>
      </c>
      <c r="CI48" s="102">
        <v>597132</v>
      </c>
      <c r="CJ48" s="83">
        <f t="shared" si="19"/>
        <v>106686</v>
      </c>
      <c r="CK48" s="102">
        <v>881571</v>
      </c>
      <c r="CL48" s="102">
        <v>480675</v>
      </c>
      <c r="CM48" s="102">
        <v>71150</v>
      </c>
      <c r="CN48" s="102">
        <v>144983</v>
      </c>
      <c r="CO48" s="102">
        <v>15347</v>
      </c>
      <c r="CP48" s="102">
        <v>393432</v>
      </c>
      <c r="CQ48" s="102">
        <v>183352</v>
      </c>
      <c r="CR48" s="102">
        <v>109891</v>
      </c>
      <c r="CS48" s="102">
        <v>88324</v>
      </c>
      <c r="CT48" s="73">
        <f t="shared" si="7"/>
        <v>17957</v>
      </c>
      <c r="CU48" s="102">
        <v>8999</v>
      </c>
      <c r="CV48" s="102">
        <v>8958</v>
      </c>
      <c r="CW48" s="73">
        <f t="shared" si="8"/>
        <v>0</v>
      </c>
      <c r="CX48" s="102">
        <v>0</v>
      </c>
      <c r="CY48" s="102">
        <v>0</v>
      </c>
      <c r="CZ48" s="73">
        <f t="shared" si="9"/>
        <v>0</v>
      </c>
      <c r="DA48" s="102">
        <v>0</v>
      </c>
      <c r="DB48" s="102">
        <v>0</v>
      </c>
      <c r="DC48" s="102">
        <v>669971</v>
      </c>
      <c r="DD48" s="102">
        <v>68515</v>
      </c>
      <c r="DE48" s="102">
        <v>584148</v>
      </c>
      <c r="DF48" s="77">
        <v>17308</v>
      </c>
      <c r="DG48" s="78">
        <v>0</v>
      </c>
      <c r="DH48" s="102">
        <v>0</v>
      </c>
      <c r="DI48" s="102">
        <v>5554</v>
      </c>
      <c r="DJ48" s="102">
        <v>2634</v>
      </c>
      <c r="DK48" s="102">
        <v>636</v>
      </c>
      <c r="DL48" s="102">
        <v>2284</v>
      </c>
      <c r="DM48" s="102">
        <v>0</v>
      </c>
      <c r="DN48" s="102">
        <v>0</v>
      </c>
      <c r="DO48" s="102">
        <v>0</v>
      </c>
      <c r="DP48" s="102">
        <v>0</v>
      </c>
      <c r="DQ48" s="102">
        <v>6000</v>
      </c>
      <c r="DR48" s="102">
        <v>0</v>
      </c>
      <c r="DS48" s="102">
        <v>0</v>
      </c>
      <c r="DT48" s="102">
        <v>633793</v>
      </c>
      <c r="DU48" s="102">
        <v>157138</v>
      </c>
      <c r="DV48" s="73">
        <f t="shared" si="10"/>
        <v>0</v>
      </c>
      <c r="DW48" s="102">
        <v>0</v>
      </c>
      <c r="DX48" s="102">
        <v>173817</v>
      </c>
      <c r="DY48" s="102">
        <v>0</v>
      </c>
      <c r="DZ48" s="102">
        <v>116463</v>
      </c>
      <c r="EA48" s="74">
        <v>0</v>
      </c>
      <c r="EB48" s="102">
        <v>176969</v>
      </c>
      <c r="EC48" s="102">
        <v>0</v>
      </c>
      <c r="ED48" s="102">
        <v>5386932</v>
      </c>
      <c r="EE48" s="71"/>
      <c r="EF48" s="102">
        <v>101093</v>
      </c>
      <c r="EG48" s="102">
        <v>6386</v>
      </c>
      <c r="EH48" s="102">
        <v>94707</v>
      </c>
      <c r="EI48" s="102">
        <v>-42989</v>
      </c>
      <c r="EJ48" s="102">
        <v>-10064</v>
      </c>
      <c r="EK48" s="71"/>
      <c r="EL48" s="102"/>
      <c r="EM48" s="102">
        <v>16293</v>
      </c>
      <c r="EN48" s="102">
        <v>41641</v>
      </c>
      <c r="EO48" s="102">
        <v>0</v>
      </c>
      <c r="EP48" s="73">
        <f t="shared" si="11"/>
        <v>195446</v>
      </c>
      <c r="EQ48" s="102">
        <v>3748382</v>
      </c>
      <c r="ER48" s="71">
        <v>-553140</v>
      </c>
      <c r="ES48" s="102">
        <v>1393655</v>
      </c>
      <c r="ET48" s="102">
        <v>799075</v>
      </c>
      <c r="EU48" s="102">
        <v>182139</v>
      </c>
      <c r="EV48" s="102">
        <v>703818</v>
      </c>
      <c r="EW48" s="73">
        <f t="shared" si="12"/>
        <v>326012</v>
      </c>
      <c r="EX48" s="102">
        <v>326012</v>
      </c>
      <c r="EY48" s="102">
        <v>5458</v>
      </c>
      <c r="EZ48" s="102">
        <v>319173</v>
      </c>
      <c r="FA48" s="102">
        <v>0</v>
      </c>
      <c r="FB48" s="102">
        <v>0</v>
      </c>
      <c r="FC48" s="102">
        <v>681551</v>
      </c>
      <c r="FD48" s="102">
        <v>334422</v>
      </c>
      <c r="FE48" s="102">
        <v>183352</v>
      </c>
      <c r="FF48" s="102">
        <v>557279</v>
      </c>
      <c r="FG48" s="73">
        <f t="shared" si="13"/>
        <v>21553</v>
      </c>
      <c r="FH48" s="102">
        <v>4200429</v>
      </c>
      <c r="FI48" s="379">
        <f t="shared" si="14"/>
        <v>2.5</v>
      </c>
      <c r="FJ48" s="102">
        <v>3522441</v>
      </c>
      <c r="FK48" s="102">
        <v>319875</v>
      </c>
      <c r="FL48" s="102">
        <v>1453479</v>
      </c>
      <c r="FM48" s="102">
        <v>3114438</v>
      </c>
      <c r="FN48" s="428">
        <v>0.496</v>
      </c>
      <c r="FO48" s="424">
        <v>92.5</v>
      </c>
      <c r="FP48" s="425">
        <v>34.799999999999997</v>
      </c>
      <c r="FQ48" s="424">
        <v>4.7</v>
      </c>
      <c r="FR48" s="424">
        <v>17.3</v>
      </c>
      <c r="FS48" s="425">
        <v>15.4</v>
      </c>
      <c r="FT48" s="424">
        <v>7.7</v>
      </c>
      <c r="FU48" s="425">
        <v>12.1</v>
      </c>
      <c r="FV48" s="384">
        <f t="shared" si="15"/>
        <v>12</v>
      </c>
      <c r="FW48" s="102">
        <v>6345007</v>
      </c>
      <c r="FX48" s="384">
        <f t="shared" si="16"/>
        <v>165.1</v>
      </c>
      <c r="FY48" s="102">
        <v>2799560</v>
      </c>
      <c r="FZ48" s="102">
        <v>1414769</v>
      </c>
      <c r="GA48" s="102">
        <v>181005</v>
      </c>
      <c r="GB48" s="102">
        <v>1203786</v>
      </c>
      <c r="GC48" s="102">
        <v>0</v>
      </c>
      <c r="GD48" s="427">
        <v>50419</v>
      </c>
      <c r="GE48" s="386">
        <f>IF(GD48=0,"-",ROUND(GD48/(FJ48+FK48)*100,1))</f>
        <v>1.3</v>
      </c>
      <c r="GF48" s="424">
        <v>96.068169791254576</v>
      </c>
      <c r="GG48" s="424">
        <v>14.15902890229153</v>
      </c>
      <c r="GH48" s="424">
        <v>84.780715232961512</v>
      </c>
      <c r="GI48" s="102">
        <v>146</v>
      </c>
      <c r="GJ48" s="429" t="s">
        <v>646</v>
      </c>
      <c r="GK48" s="429">
        <v>15</v>
      </c>
      <c r="GL48" s="87">
        <v>20</v>
      </c>
      <c r="GM48" s="429" t="s">
        <v>646</v>
      </c>
      <c r="GN48" s="430">
        <v>20</v>
      </c>
      <c r="GO48" s="430">
        <v>30</v>
      </c>
      <c r="GP48" s="425">
        <v>12</v>
      </c>
      <c r="GQ48" s="425">
        <v>25</v>
      </c>
      <c r="GR48" s="425">
        <v>35</v>
      </c>
      <c r="GS48" s="431">
        <v>31.9</v>
      </c>
      <c r="GT48" s="425">
        <v>350</v>
      </c>
      <c r="GU48" s="394"/>
      <c r="GV48" s="100">
        <f t="shared" si="17"/>
        <v>3842</v>
      </c>
      <c r="GW48" s="394"/>
      <c r="GX48" s="394"/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</row>
    <row r="49" spans="2:230" x14ac:dyDescent="0.15">
      <c r="B49" s="89" t="s">
        <v>87</v>
      </c>
      <c r="C49" s="102">
        <v>585356</v>
      </c>
      <c r="D49" s="73">
        <f t="shared" si="0"/>
        <v>255017</v>
      </c>
      <c r="E49" s="102">
        <v>7421</v>
      </c>
      <c r="F49" s="102">
        <v>247596</v>
      </c>
      <c r="G49" s="73">
        <f t="shared" si="1"/>
        <v>33650</v>
      </c>
      <c r="H49" s="102">
        <v>14034</v>
      </c>
      <c r="I49" s="102">
        <v>19616</v>
      </c>
      <c r="J49" s="102">
        <v>277511</v>
      </c>
      <c r="K49" s="102">
        <v>85931</v>
      </c>
      <c r="L49" s="102">
        <v>140604</v>
      </c>
      <c r="M49" s="102">
        <v>50976</v>
      </c>
      <c r="N49" s="102">
        <v>4818</v>
      </c>
      <c r="O49" s="102">
        <v>0</v>
      </c>
      <c r="P49" s="102">
        <v>0</v>
      </c>
      <c r="Q49" s="102">
        <v>0</v>
      </c>
      <c r="R49" s="102">
        <v>22363</v>
      </c>
      <c r="S49" s="74"/>
      <c r="T49" s="73">
        <f t="shared" si="2"/>
        <v>94393</v>
      </c>
      <c r="U49" s="102">
        <v>3392</v>
      </c>
      <c r="V49" s="102">
        <v>2190</v>
      </c>
      <c r="W49" s="102">
        <v>479</v>
      </c>
      <c r="X49" s="102">
        <v>54694</v>
      </c>
      <c r="Y49" s="102">
        <v>24970</v>
      </c>
      <c r="Z49" s="102">
        <v>0</v>
      </c>
      <c r="AA49" s="102">
        <v>8668</v>
      </c>
      <c r="AB49" s="102">
        <v>12583</v>
      </c>
      <c r="AC49" s="102">
        <v>1291749</v>
      </c>
      <c r="AD49" s="102">
        <v>1064589</v>
      </c>
      <c r="AE49" s="102">
        <v>227159</v>
      </c>
      <c r="AF49" s="102">
        <v>1141</v>
      </c>
      <c r="AG49" s="102">
        <v>21810</v>
      </c>
      <c r="AH49" s="73">
        <f t="shared" si="3"/>
        <v>26270</v>
      </c>
      <c r="AI49" s="102">
        <v>16670</v>
      </c>
      <c r="AJ49" s="102">
        <v>9600</v>
      </c>
      <c r="AK49" s="102">
        <v>161644</v>
      </c>
      <c r="AL49" s="73">
        <f t="shared" si="4"/>
        <v>56074</v>
      </c>
      <c r="AM49" s="102">
        <v>0</v>
      </c>
      <c r="AN49" s="102">
        <v>35126</v>
      </c>
      <c r="AO49" s="74"/>
      <c r="AP49" s="102">
        <v>20948</v>
      </c>
      <c r="AQ49" s="102">
        <v>32638</v>
      </c>
      <c r="AR49" s="102">
        <v>0</v>
      </c>
      <c r="AS49" s="102">
        <v>0</v>
      </c>
      <c r="AT49" s="102">
        <v>226621</v>
      </c>
      <c r="AU49" s="102">
        <v>73704</v>
      </c>
      <c r="AV49" s="102">
        <v>15237</v>
      </c>
      <c r="AW49" s="102">
        <v>11034</v>
      </c>
      <c r="AX49" s="102">
        <v>152917</v>
      </c>
      <c r="AY49" s="102">
        <v>10804</v>
      </c>
      <c r="AZ49" s="102">
        <v>1934</v>
      </c>
      <c r="BA49" s="102">
        <v>501</v>
      </c>
      <c r="BB49" s="102">
        <v>1558</v>
      </c>
      <c r="BC49" s="102">
        <v>0</v>
      </c>
      <c r="BD49" s="102">
        <v>0</v>
      </c>
      <c r="BE49" s="102">
        <v>0</v>
      </c>
      <c r="BF49" s="102">
        <v>0</v>
      </c>
      <c r="BG49" s="102">
        <v>0</v>
      </c>
      <c r="BH49" s="102">
        <v>152377</v>
      </c>
      <c r="BI49" s="102">
        <v>133926</v>
      </c>
      <c r="BJ49" s="102">
        <v>42288</v>
      </c>
      <c r="BK49" s="102">
        <v>0</v>
      </c>
      <c r="BL49" s="102">
        <v>0</v>
      </c>
      <c r="BM49" s="102">
        <v>0</v>
      </c>
      <c r="BN49" s="102">
        <v>152834</v>
      </c>
      <c r="BO49" s="73">
        <f t="shared" si="5"/>
        <v>0</v>
      </c>
      <c r="BP49" s="73">
        <f t="shared" si="6"/>
        <v>152834</v>
      </c>
      <c r="BQ49" s="102">
        <v>0</v>
      </c>
      <c r="BR49" s="102">
        <v>0</v>
      </c>
      <c r="BS49" s="102">
        <v>152834</v>
      </c>
      <c r="BT49" s="102">
        <v>0</v>
      </c>
      <c r="BU49" s="102">
        <v>2794921</v>
      </c>
      <c r="BV49" s="71"/>
      <c r="BW49" s="102">
        <v>750210</v>
      </c>
      <c r="BX49" s="102">
        <v>403711</v>
      </c>
      <c r="BY49" s="102">
        <v>148102</v>
      </c>
      <c r="BZ49" s="102">
        <v>19838</v>
      </c>
      <c r="CA49" s="102">
        <v>250272</v>
      </c>
      <c r="CB49" s="102">
        <v>61975</v>
      </c>
      <c r="CC49" s="102">
        <v>11299</v>
      </c>
      <c r="CD49" s="102">
        <v>168899</v>
      </c>
      <c r="CE49" s="102">
        <v>0</v>
      </c>
      <c r="CF49" s="102">
        <v>5560</v>
      </c>
      <c r="CG49" s="102">
        <v>2539</v>
      </c>
      <c r="CH49" s="102">
        <v>394562</v>
      </c>
      <c r="CI49" s="102">
        <v>342332</v>
      </c>
      <c r="CJ49" s="83">
        <f t="shared" si="19"/>
        <v>52230</v>
      </c>
      <c r="CK49" s="102">
        <v>487508</v>
      </c>
      <c r="CL49" s="102">
        <v>353127</v>
      </c>
      <c r="CM49" s="102">
        <v>18795</v>
      </c>
      <c r="CN49" s="102">
        <v>55637</v>
      </c>
      <c r="CO49" s="102">
        <v>5526</v>
      </c>
      <c r="CP49" s="102">
        <v>200312</v>
      </c>
      <c r="CQ49" s="102">
        <v>89551</v>
      </c>
      <c r="CR49" s="102">
        <v>6901</v>
      </c>
      <c r="CS49" s="102">
        <v>4401</v>
      </c>
      <c r="CT49" s="73">
        <f t="shared" si="7"/>
        <v>2203</v>
      </c>
      <c r="CU49" s="102">
        <v>1231</v>
      </c>
      <c r="CV49" s="102">
        <v>972</v>
      </c>
      <c r="CW49" s="73">
        <f t="shared" si="8"/>
        <v>0</v>
      </c>
      <c r="CX49" s="102">
        <v>0</v>
      </c>
      <c r="CY49" s="102">
        <v>0</v>
      </c>
      <c r="CZ49" s="73">
        <f t="shared" si="9"/>
        <v>0</v>
      </c>
      <c r="DA49" s="102">
        <v>0</v>
      </c>
      <c r="DB49" s="102">
        <v>0</v>
      </c>
      <c r="DC49" s="102">
        <v>113142</v>
      </c>
      <c r="DD49" s="102">
        <v>12151</v>
      </c>
      <c r="DE49" s="102">
        <v>100991</v>
      </c>
      <c r="DF49" s="77">
        <v>0</v>
      </c>
      <c r="DG49" s="78">
        <v>0</v>
      </c>
      <c r="DH49" s="102">
        <v>0</v>
      </c>
      <c r="DI49" s="102">
        <v>136987</v>
      </c>
      <c r="DJ49" s="102">
        <v>136789</v>
      </c>
      <c r="DK49" s="102">
        <v>111</v>
      </c>
      <c r="DL49" s="102">
        <v>87</v>
      </c>
      <c r="DM49" s="102">
        <v>0</v>
      </c>
      <c r="DN49" s="102">
        <v>0</v>
      </c>
      <c r="DO49" s="102">
        <v>0</v>
      </c>
      <c r="DP49" s="102">
        <v>0</v>
      </c>
      <c r="DQ49" s="102">
        <v>0</v>
      </c>
      <c r="DR49" s="102">
        <v>0</v>
      </c>
      <c r="DS49" s="102">
        <v>0</v>
      </c>
      <c r="DT49" s="102">
        <v>343003</v>
      </c>
      <c r="DU49" s="102">
        <v>97679</v>
      </c>
      <c r="DV49" s="73">
        <f t="shared" si="10"/>
        <v>0</v>
      </c>
      <c r="DW49" s="102">
        <v>0</v>
      </c>
      <c r="DX49" s="102">
        <v>89646</v>
      </c>
      <c r="DY49" s="102">
        <v>0</v>
      </c>
      <c r="DZ49" s="102">
        <v>53571</v>
      </c>
      <c r="EA49" s="74">
        <v>0</v>
      </c>
      <c r="EB49" s="102">
        <v>94602</v>
      </c>
      <c r="EC49" s="102">
        <v>0</v>
      </c>
      <c r="ED49" s="102">
        <v>2681522</v>
      </c>
      <c r="EE49" s="71"/>
      <c r="EF49" s="102">
        <v>113399</v>
      </c>
      <c r="EG49" s="102">
        <v>17522</v>
      </c>
      <c r="EH49" s="102">
        <v>95877</v>
      </c>
      <c r="EI49" s="102">
        <v>-38049</v>
      </c>
      <c r="EJ49" s="102">
        <v>98740</v>
      </c>
      <c r="EK49" s="71"/>
      <c r="EL49" s="102"/>
      <c r="EM49" s="102">
        <v>6038</v>
      </c>
      <c r="EN49" s="102">
        <v>0</v>
      </c>
      <c r="EO49" s="102">
        <v>1033</v>
      </c>
      <c r="EP49" s="73">
        <f t="shared" si="11"/>
        <v>188867</v>
      </c>
      <c r="EQ49" s="102">
        <v>2007585</v>
      </c>
      <c r="ER49" s="71">
        <v>-341593</v>
      </c>
      <c r="ES49" s="102">
        <v>702679</v>
      </c>
      <c r="ET49" s="102">
        <v>360254</v>
      </c>
      <c r="EU49" s="102">
        <v>59664</v>
      </c>
      <c r="EV49" s="102">
        <v>394562</v>
      </c>
      <c r="EW49" s="73">
        <f t="shared" si="12"/>
        <v>77843</v>
      </c>
      <c r="EX49" s="102">
        <v>77843</v>
      </c>
      <c r="EY49" s="102">
        <v>482</v>
      </c>
      <c r="EZ49" s="102">
        <v>77361</v>
      </c>
      <c r="FA49" s="102">
        <v>0</v>
      </c>
      <c r="FB49" s="102">
        <v>0</v>
      </c>
      <c r="FC49" s="102">
        <v>393622</v>
      </c>
      <c r="FD49" s="102">
        <v>155601</v>
      </c>
      <c r="FE49" s="102">
        <v>89551</v>
      </c>
      <c r="FF49" s="102">
        <v>310196</v>
      </c>
      <c r="FG49" s="73">
        <f t="shared" si="13"/>
        <v>141612</v>
      </c>
      <c r="FH49" s="102">
        <v>2235779</v>
      </c>
      <c r="FI49" s="379">
        <f t="shared" si="14"/>
        <v>5</v>
      </c>
      <c r="FJ49" s="102">
        <v>1773516</v>
      </c>
      <c r="FK49" s="102">
        <v>152834</v>
      </c>
      <c r="FL49" s="102">
        <v>557595</v>
      </c>
      <c r="FM49" s="102">
        <v>1622203</v>
      </c>
      <c r="FN49" s="428">
        <v>0.36699999999999999</v>
      </c>
      <c r="FO49" s="424">
        <v>91.7</v>
      </c>
      <c r="FP49" s="425">
        <v>31.2</v>
      </c>
      <c r="FQ49" s="424">
        <v>3.1</v>
      </c>
      <c r="FR49" s="424">
        <v>20.3</v>
      </c>
      <c r="FS49" s="425">
        <v>17.5</v>
      </c>
      <c r="FT49" s="424">
        <v>7.4</v>
      </c>
      <c r="FU49" s="425">
        <v>11.9</v>
      </c>
      <c r="FV49" s="384">
        <f t="shared" si="15"/>
        <v>18.3</v>
      </c>
      <c r="FW49" s="102">
        <v>2927588</v>
      </c>
      <c r="FX49" s="384">
        <f t="shared" si="16"/>
        <v>152</v>
      </c>
      <c r="FY49" s="102">
        <v>819990</v>
      </c>
      <c r="FZ49" s="102">
        <v>669275</v>
      </c>
      <c r="GA49" s="102">
        <v>84088</v>
      </c>
      <c r="GB49" s="102">
        <v>66627</v>
      </c>
      <c r="GC49" s="102">
        <v>0</v>
      </c>
      <c r="GD49" s="427"/>
      <c r="GE49" s="386"/>
      <c r="GF49" s="424">
        <v>98.919396469589614</v>
      </c>
      <c r="GG49" s="424">
        <v>29.610335917312661</v>
      </c>
      <c r="GH49" s="424">
        <v>93.560405661357478</v>
      </c>
      <c r="GI49" s="102">
        <v>66</v>
      </c>
      <c r="GJ49" s="429" t="s">
        <v>646</v>
      </c>
      <c r="GK49" s="429">
        <v>15</v>
      </c>
      <c r="GL49" s="87">
        <v>20</v>
      </c>
      <c r="GM49" s="429" t="s">
        <v>646</v>
      </c>
      <c r="GN49" s="429">
        <v>20</v>
      </c>
      <c r="GO49" s="429">
        <v>30</v>
      </c>
      <c r="GP49" s="425">
        <v>18.3</v>
      </c>
      <c r="GQ49" s="425">
        <v>25</v>
      </c>
      <c r="GR49" s="425">
        <v>35</v>
      </c>
      <c r="GS49" s="431">
        <v>77.5</v>
      </c>
      <c r="GT49" s="425">
        <v>350</v>
      </c>
      <c r="GU49" s="394"/>
      <c r="GV49" s="100">
        <f t="shared" si="17"/>
        <v>1926</v>
      </c>
      <c r="GW49" s="394"/>
      <c r="GX49" s="394"/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</row>
    <row r="50" spans="2:230" x14ac:dyDescent="0.15">
      <c r="B50" s="21" t="s">
        <v>89</v>
      </c>
      <c r="C50" s="102">
        <v>24723400</v>
      </c>
      <c r="D50" s="73">
        <f t="shared" si="0"/>
        <v>9035940</v>
      </c>
      <c r="E50" s="102">
        <v>252738</v>
      </c>
      <c r="F50" s="102">
        <v>8783202</v>
      </c>
      <c r="G50" s="73">
        <f t="shared" si="1"/>
        <v>1408805</v>
      </c>
      <c r="H50" s="102">
        <v>315144</v>
      </c>
      <c r="I50" s="102">
        <v>1093661</v>
      </c>
      <c r="J50" s="102">
        <v>11709334</v>
      </c>
      <c r="K50" s="102">
        <v>4512696</v>
      </c>
      <c r="L50" s="102">
        <v>4806014</v>
      </c>
      <c r="M50" s="102">
        <v>2288895</v>
      </c>
      <c r="N50" s="102">
        <v>1672502</v>
      </c>
      <c r="O50" s="102">
        <v>596237</v>
      </c>
      <c r="P50" s="102">
        <v>324642</v>
      </c>
      <c r="Q50" s="102">
        <v>271595</v>
      </c>
      <c r="R50" s="102">
        <v>528539</v>
      </c>
      <c r="S50" s="74"/>
      <c r="T50" s="73">
        <f t="shared" si="2"/>
        <v>2189645</v>
      </c>
      <c r="U50" s="102">
        <v>113472</v>
      </c>
      <c r="V50" s="102">
        <v>73575</v>
      </c>
      <c r="W50" s="102">
        <v>16356</v>
      </c>
      <c r="X50" s="102">
        <v>1533777</v>
      </c>
      <c r="Y50" s="102">
        <v>255844</v>
      </c>
      <c r="Z50" s="102">
        <v>0</v>
      </c>
      <c r="AA50" s="102">
        <v>196621</v>
      </c>
      <c r="AB50" s="102">
        <v>373447</v>
      </c>
      <c r="AC50" s="102">
        <v>15658492</v>
      </c>
      <c r="AD50" s="102">
        <v>13221914</v>
      </c>
      <c r="AE50" s="102">
        <v>2436561</v>
      </c>
      <c r="AF50" s="102">
        <v>32880</v>
      </c>
      <c r="AG50" s="102">
        <v>280659</v>
      </c>
      <c r="AH50" s="73">
        <f t="shared" si="3"/>
        <v>1481590</v>
      </c>
      <c r="AI50" s="102">
        <v>1113827</v>
      </c>
      <c r="AJ50" s="102">
        <v>367763</v>
      </c>
      <c r="AK50" s="102">
        <v>4805035</v>
      </c>
      <c r="AL50" s="73">
        <f t="shared" si="4"/>
        <v>1201794</v>
      </c>
      <c r="AM50" s="102">
        <v>165238</v>
      </c>
      <c r="AN50" s="102">
        <v>232495</v>
      </c>
      <c r="AO50" s="74"/>
      <c r="AP50" s="102">
        <v>804061</v>
      </c>
      <c r="AQ50" s="102">
        <v>240988</v>
      </c>
      <c r="AR50" s="102">
        <v>8867</v>
      </c>
      <c r="AS50" s="102">
        <v>0</v>
      </c>
      <c r="AT50" s="102">
        <v>4931055</v>
      </c>
      <c r="AU50" s="102">
        <v>2193488</v>
      </c>
      <c r="AV50" s="102">
        <v>100826</v>
      </c>
      <c r="AW50" s="102">
        <v>111087</v>
      </c>
      <c r="AX50" s="102">
        <v>2737567</v>
      </c>
      <c r="AY50" s="102">
        <v>331363</v>
      </c>
      <c r="AZ50" s="102">
        <v>189145</v>
      </c>
      <c r="BA50" s="102">
        <v>132112</v>
      </c>
      <c r="BB50" s="102">
        <v>82078</v>
      </c>
      <c r="BC50" s="102">
        <v>904528</v>
      </c>
      <c r="BD50" s="102">
        <v>460776</v>
      </c>
      <c r="BE50" s="102">
        <v>35966</v>
      </c>
      <c r="BF50" s="102">
        <v>294333</v>
      </c>
      <c r="BG50" s="102">
        <v>0</v>
      </c>
      <c r="BH50" s="102">
        <v>1826859</v>
      </c>
      <c r="BI50" s="102">
        <v>1449781</v>
      </c>
      <c r="BJ50" s="102">
        <v>1070946</v>
      </c>
      <c r="BK50" s="102">
        <v>61682</v>
      </c>
      <c r="BL50" s="102">
        <v>0</v>
      </c>
      <c r="BM50" s="102">
        <v>0</v>
      </c>
      <c r="BN50" s="102">
        <v>4716842</v>
      </c>
      <c r="BO50" s="73">
        <f t="shared" si="5"/>
        <v>1123300</v>
      </c>
      <c r="BP50" s="73">
        <f t="shared" si="6"/>
        <v>3461942</v>
      </c>
      <c r="BQ50" s="102">
        <v>0</v>
      </c>
      <c r="BR50" s="102">
        <v>0</v>
      </c>
      <c r="BS50" s="102">
        <v>3461942</v>
      </c>
      <c r="BT50" s="102">
        <v>131600</v>
      </c>
      <c r="BU50" s="102">
        <v>63795140</v>
      </c>
      <c r="BV50" s="71"/>
      <c r="BW50" s="102">
        <v>15626414</v>
      </c>
      <c r="BX50" s="102">
        <v>9446326</v>
      </c>
      <c r="BY50" s="102">
        <v>1858337</v>
      </c>
      <c r="BZ50" s="102">
        <v>929705</v>
      </c>
      <c r="CA50" s="102">
        <v>8176530</v>
      </c>
      <c r="CB50" s="102">
        <v>2181991</v>
      </c>
      <c r="CC50" s="102">
        <v>310527</v>
      </c>
      <c r="CD50" s="102">
        <v>5294376</v>
      </c>
      <c r="CE50" s="102">
        <v>203440</v>
      </c>
      <c r="CF50" s="102">
        <v>13229</v>
      </c>
      <c r="CG50" s="102">
        <v>172927</v>
      </c>
      <c r="CH50" s="102">
        <v>7565218</v>
      </c>
      <c r="CI50" s="102">
        <v>6486921</v>
      </c>
      <c r="CJ50" s="83">
        <f t="shared" si="19"/>
        <v>1078297</v>
      </c>
      <c r="CK50" s="102">
        <v>9808836</v>
      </c>
      <c r="CL50" s="102">
        <v>5467929</v>
      </c>
      <c r="CM50" s="102">
        <v>958479</v>
      </c>
      <c r="CN50" s="102">
        <v>1899232</v>
      </c>
      <c r="CO50" s="102">
        <v>550625</v>
      </c>
      <c r="CP50" s="102">
        <v>4744379</v>
      </c>
      <c r="CQ50" s="102">
        <v>1402545</v>
      </c>
      <c r="CR50" s="102">
        <v>1153777</v>
      </c>
      <c r="CS50" s="102">
        <v>856913</v>
      </c>
      <c r="CT50" s="73">
        <f t="shared" si="7"/>
        <v>347808</v>
      </c>
      <c r="CU50" s="102">
        <v>112044</v>
      </c>
      <c r="CV50" s="102">
        <v>235764</v>
      </c>
      <c r="CW50" s="73">
        <f t="shared" si="8"/>
        <v>29635</v>
      </c>
      <c r="CX50" s="102">
        <v>29635</v>
      </c>
      <c r="CY50" s="102">
        <v>0</v>
      </c>
      <c r="CZ50" s="73">
        <f t="shared" si="9"/>
        <v>0</v>
      </c>
      <c r="DA50" s="102">
        <v>0</v>
      </c>
      <c r="DB50" s="102">
        <v>0</v>
      </c>
      <c r="DC50" s="102">
        <v>3916960</v>
      </c>
      <c r="DD50" s="102">
        <v>852535</v>
      </c>
      <c r="DE50" s="102">
        <v>2773400</v>
      </c>
      <c r="DF50" s="77">
        <v>19446</v>
      </c>
      <c r="DG50" s="78">
        <v>271579</v>
      </c>
      <c r="DH50" s="102">
        <v>93773</v>
      </c>
      <c r="DI50" s="102">
        <v>2940750</v>
      </c>
      <c r="DJ50" s="102">
        <v>2198609</v>
      </c>
      <c r="DK50" s="102">
        <v>115586</v>
      </c>
      <c r="DL50" s="102">
        <v>626555</v>
      </c>
      <c r="DM50" s="102">
        <v>28500</v>
      </c>
      <c r="DN50" s="102">
        <v>28500</v>
      </c>
      <c r="DO50" s="102">
        <v>28500</v>
      </c>
      <c r="DP50" s="102">
        <v>0</v>
      </c>
      <c r="DQ50" s="102">
        <v>61544</v>
      </c>
      <c r="DR50" s="102">
        <v>0</v>
      </c>
      <c r="DS50" s="102">
        <v>0</v>
      </c>
      <c r="DT50" s="102">
        <v>8065304</v>
      </c>
      <c r="DU50" s="102">
        <v>2626306</v>
      </c>
      <c r="DV50" s="73">
        <f t="shared" si="10"/>
        <v>0</v>
      </c>
      <c r="DW50" s="102">
        <v>0</v>
      </c>
      <c r="DX50" s="102">
        <v>2062143</v>
      </c>
      <c r="DY50" s="102">
        <v>0</v>
      </c>
      <c r="DZ50" s="102">
        <v>1306940</v>
      </c>
      <c r="EA50" s="74">
        <v>0</v>
      </c>
      <c r="EB50" s="102">
        <v>1995934</v>
      </c>
      <c r="EC50" s="102">
        <v>0</v>
      </c>
      <c r="ED50" s="102">
        <v>61578833</v>
      </c>
      <c r="EE50" s="71"/>
      <c r="EF50" s="102">
        <v>2216307</v>
      </c>
      <c r="EG50" s="102">
        <v>605015</v>
      </c>
      <c r="EH50" s="102">
        <v>1611292</v>
      </c>
      <c r="EI50" s="102">
        <v>91511</v>
      </c>
      <c r="EJ50" s="102">
        <v>1902317</v>
      </c>
      <c r="EK50" s="71"/>
      <c r="EL50" s="102"/>
      <c r="EM50" s="102">
        <v>188926</v>
      </c>
      <c r="EN50" s="102">
        <v>635588</v>
      </c>
      <c r="EO50" s="102">
        <v>152461</v>
      </c>
      <c r="EP50" s="73">
        <f t="shared" si="11"/>
        <v>2863105</v>
      </c>
      <c r="EQ50" s="102">
        <v>43506403</v>
      </c>
      <c r="ER50" s="71">
        <v>-7080216</v>
      </c>
      <c r="ES50" s="102">
        <v>14158094</v>
      </c>
      <c r="ET50" s="102">
        <v>8369530</v>
      </c>
      <c r="EU50" s="102">
        <v>2803799</v>
      </c>
      <c r="EV50" s="102">
        <v>7372382</v>
      </c>
      <c r="EW50" s="73">
        <f t="shared" si="12"/>
        <v>1702470</v>
      </c>
      <c r="EX50" s="102">
        <v>1695346</v>
      </c>
      <c r="EY50" s="102">
        <v>81314</v>
      </c>
      <c r="EZ50" s="102">
        <v>1612013</v>
      </c>
      <c r="FA50" s="102">
        <v>7124</v>
      </c>
      <c r="FB50" s="102">
        <v>0</v>
      </c>
      <c r="FC50" s="102">
        <v>7725955</v>
      </c>
      <c r="FD50" s="102">
        <v>4087730</v>
      </c>
      <c r="FE50" s="102">
        <v>1278607</v>
      </c>
      <c r="FF50" s="102">
        <v>7236008</v>
      </c>
      <c r="FG50" s="73">
        <f t="shared" si="13"/>
        <v>3288874</v>
      </c>
      <c r="FH50" s="102">
        <v>48375312</v>
      </c>
      <c r="FI50" s="379">
        <f t="shared" si="14"/>
        <v>3.8</v>
      </c>
      <c r="FJ50" s="102">
        <v>38904395</v>
      </c>
      <c r="FK50" s="102">
        <v>3570062</v>
      </c>
      <c r="FL50" s="102">
        <v>19913853</v>
      </c>
      <c r="FM50" s="102">
        <v>32645079</v>
      </c>
      <c r="FN50" s="428">
        <v>0.64300000000000002</v>
      </c>
      <c r="FO50" s="424">
        <v>92</v>
      </c>
      <c r="FP50" s="425">
        <v>30.4</v>
      </c>
      <c r="FQ50" s="424">
        <v>6.3</v>
      </c>
      <c r="FR50" s="424">
        <v>16.5</v>
      </c>
      <c r="FS50" s="425">
        <v>16</v>
      </c>
      <c r="FT50" s="424">
        <v>7.4</v>
      </c>
      <c r="FU50" s="425">
        <v>14.4</v>
      </c>
      <c r="FV50" s="384">
        <f t="shared" si="15"/>
        <v>12.7</v>
      </c>
      <c r="FW50" s="102">
        <v>62577346</v>
      </c>
      <c r="FX50" s="384">
        <f t="shared" si="16"/>
        <v>147.30000000000001</v>
      </c>
      <c r="FY50" s="102">
        <v>25665177</v>
      </c>
      <c r="FZ50" s="102">
        <v>15206096</v>
      </c>
      <c r="GA50" s="102">
        <v>2318829</v>
      </c>
      <c r="GB50" s="102">
        <v>8140252</v>
      </c>
      <c r="GC50" s="102">
        <v>966297</v>
      </c>
      <c r="GD50" s="454">
        <v>1283111</v>
      </c>
      <c r="GE50" s="452">
        <f>IF(GD50=0,"-",ROUND(GD50/1000/GW50*100,1))</f>
        <v>8.6999999999999993</v>
      </c>
      <c r="GF50" s="424">
        <v>98.671854232423286</v>
      </c>
      <c r="GG50" s="424">
        <v>20.50872182588806</v>
      </c>
      <c r="GH50" s="424">
        <v>93.810714115914436</v>
      </c>
      <c r="GI50" s="102">
        <v>1583</v>
      </c>
      <c r="GJ50" s="429" t="s">
        <v>646</v>
      </c>
      <c r="GK50" s="429" t="s">
        <v>646</v>
      </c>
      <c r="GL50" s="88" t="s">
        <v>646</v>
      </c>
      <c r="GM50" s="429" t="s">
        <v>646</v>
      </c>
      <c r="GN50" s="429" t="s">
        <v>646</v>
      </c>
      <c r="GO50" s="429" t="s">
        <v>646</v>
      </c>
      <c r="GP50" s="425">
        <v>12.7</v>
      </c>
      <c r="GQ50" s="431" t="s">
        <v>646</v>
      </c>
      <c r="GR50" s="431" t="s">
        <v>646</v>
      </c>
      <c r="GS50" s="425">
        <v>60.1</v>
      </c>
      <c r="GT50" s="429" t="s">
        <v>646</v>
      </c>
      <c r="GU50" s="394"/>
      <c r="GV50" s="100">
        <f t="shared" si="17"/>
        <v>42474</v>
      </c>
      <c r="GW50" s="394">
        <f>GV44+GV48+GV47</f>
        <v>14705</v>
      </c>
      <c r="GX50" s="394"/>
      <c r="GY50" s="394"/>
      <c r="GZ50" s="394"/>
      <c r="HA50" s="394"/>
      <c r="HB50" s="394"/>
      <c r="HC50" s="394"/>
      <c r="HD50" s="394"/>
      <c r="HE50" s="394"/>
      <c r="HF50" s="394"/>
      <c r="HG50" s="394"/>
      <c r="HH50" s="394"/>
      <c r="HI50" s="394"/>
      <c r="HJ50" s="394"/>
      <c r="HK50" s="394"/>
      <c r="HL50" s="394"/>
      <c r="HM50" s="394"/>
      <c r="HN50" s="394"/>
      <c r="HO50" s="394"/>
      <c r="HP50" s="394"/>
      <c r="HQ50" s="394"/>
      <c r="HR50" s="394"/>
      <c r="HS50" s="394"/>
      <c r="HT50" s="394"/>
      <c r="HU50" s="394"/>
      <c r="HV50" s="394"/>
    </row>
    <row r="51" spans="2:230" x14ac:dyDescent="0.15">
      <c r="B51" s="21" t="s">
        <v>91</v>
      </c>
      <c r="C51" s="102">
        <v>760747476</v>
      </c>
      <c r="D51" s="73">
        <f t="shared" si="0"/>
        <v>272548341</v>
      </c>
      <c r="E51" s="102">
        <v>6918394</v>
      </c>
      <c r="F51" s="102">
        <v>265629947</v>
      </c>
      <c r="G51" s="73">
        <f t="shared" si="1"/>
        <v>53784990</v>
      </c>
      <c r="H51" s="102">
        <v>13140079</v>
      </c>
      <c r="I51" s="102">
        <v>40644911</v>
      </c>
      <c r="J51" s="102">
        <v>319777074</v>
      </c>
      <c r="K51" s="102">
        <v>135066052</v>
      </c>
      <c r="L51" s="102">
        <v>137624279</v>
      </c>
      <c r="M51" s="102">
        <v>41248646</v>
      </c>
      <c r="N51" s="102">
        <v>37305031</v>
      </c>
      <c r="O51" s="102">
        <v>64876542</v>
      </c>
      <c r="P51" s="102">
        <v>35999923</v>
      </c>
      <c r="Q51" s="102">
        <v>28876619</v>
      </c>
      <c r="R51" s="102">
        <v>12554259</v>
      </c>
      <c r="S51" s="74"/>
      <c r="T51" s="73">
        <f t="shared" si="2"/>
        <v>59101768</v>
      </c>
      <c r="U51" s="102">
        <v>3392701</v>
      </c>
      <c r="V51" s="102">
        <v>2200432</v>
      </c>
      <c r="W51" s="102">
        <v>489718</v>
      </c>
      <c r="X51" s="102">
        <v>48185270</v>
      </c>
      <c r="Y51" s="102">
        <v>995573</v>
      </c>
      <c r="Z51" s="102">
        <v>0</v>
      </c>
      <c r="AA51" s="102">
        <v>3838074</v>
      </c>
      <c r="AB51" s="102">
        <v>9724891</v>
      </c>
      <c r="AC51" s="102">
        <v>202032738</v>
      </c>
      <c r="AD51" s="102">
        <v>187459742</v>
      </c>
      <c r="AE51" s="102">
        <v>14571821</v>
      </c>
      <c r="AF51" s="102">
        <v>904010</v>
      </c>
      <c r="AG51" s="102">
        <v>19844187</v>
      </c>
      <c r="AH51" s="73">
        <f t="shared" si="3"/>
        <v>35738490</v>
      </c>
      <c r="AI51" s="102">
        <v>28165593</v>
      </c>
      <c r="AJ51" s="102">
        <v>7572897</v>
      </c>
      <c r="AK51" s="102">
        <v>329471634</v>
      </c>
      <c r="AL51" s="73">
        <f t="shared" si="4"/>
        <v>199352053</v>
      </c>
      <c r="AM51" s="102">
        <v>153082304</v>
      </c>
      <c r="AN51" s="102">
        <v>16629540</v>
      </c>
      <c r="AO51" s="74"/>
      <c r="AP51" s="102">
        <v>29640209</v>
      </c>
      <c r="AQ51" s="102">
        <v>13154436</v>
      </c>
      <c r="AR51" s="102">
        <v>9543</v>
      </c>
      <c r="AS51" s="102">
        <v>289996</v>
      </c>
      <c r="AT51" s="102">
        <v>112355956</v>
      </c>
      <c r="AU51" s="102">
        <v>66173931</v>
      </c>
      <c r="AV51" s="102">
        <v>6891276</v>
      </c>
      <c r="AW51" s="102">
        <v>4981706</v>
      </c>
      <c r="AX51" s="102">
        <v>46182025</v>
      </c>
      <c r="AY51" s="102">
        <v>2028523</v>
      </c>
      <c r="AZ51" s="102">
        <v>5348695</v>
      </c>
      <c r="BA51" s="102">
        <v>3777898</v>
      </c>
      <c r="BB51" s="102">
        <v>1607696</v>
      </c>
      <c r="BC51" s="102">
        <v>24050373</v>
      </c>
      <c r="BD51" s="102">
        <v>5561712</v>
      </c>
      <c r="BE51" s="102">
        <v>3377789</v>
      </c>
      <c r="BF51" s="102">
        <v>9791255</v>
      </c>
      <c r="BG51" s="102">
        <v>0</v>
      </c>
      <c r="BH51" s="102">
        <v>24021289</v>
      </c>
      <c r="BI51" s="102">
        <v>15287974</v>
      </c>
      <c r="BJ51" s="102">
        <v>37265006</v>
      </c>
      <c r="BK51" s="102">
        <v>17546510</v>
      </c>
      <c r="BL51" s="102">
        <v>305055</v>
      </c>
      <c r="BM51" s="102">
        <v>1104408</v>
      </c>
      <c r="BN51" s="102">
        <v>128041956</v>
      </c>
      <c r="BO51" s="73">
        <f t="shared" si="5"/>
        <v>43203400</v>
      </c>
      <c r="BP51" s="73">
        <f t="shared" si="6"/>
        <v>76915756</v>
      </c>
      <c r="BQ51" s="102">
        <v>0</v>
      </c>
      <c r="BR51" s="102">
        <v>0</v>
      </c>
      <c r="BS51" s="102">
        <v>76915756</v>
      </c>
      <c r="BT51" s="102">
        <v>7922800</v>
      </c>
      <c r="BU51" s="102">
        <v>1763100420</v>
      </c>
      <c r="BV51" s="71"/>
      <c r="BW51" s="102">
        <v>332798766</v>
      </c>
      <c r="BX51" s="102">
        <v>210943199</v>
      </c>
      <c r="BY51" s="102">
        <v>42172876</v>
      </c>
      <c r="BZ51" s="102">
        <v>19926593</v>
      </c>
      <c r="CA51" s="102">
        <v>504349229</v>
      </c>
      <c r="CB51" s="102">
        <v>78553974</v>
      </c>
      <c r="CC51" s="102">
        <v>10003477</v>
      </c>
      <c r="CD51" s="102">
        <v>204699150</v>
      </c>
      <c r="CE51" s="102">
        <v>199333253</v>
      </c>
      <c r="CF51" s="102">
        <v>5207531</v>
      </c>
      <c r="CG51" s="102">
        <v>6482702</v>
      </c>
      <c r="CH51" s="102">
        <v>174989257</v>
      </c>
      <c r="CI51" s="102">
        <v>148838115</v>
      </c>
      <c r="CJ51" s="83">
        <f t="shared" si="19"/>
        <v>26151142</v>
      </c>
      <c r="CK51" s="102">
        <v>201240067</v>
      </c>
      <c r="CL51" s="102">
        <v>120883528</v>
      </c>
      <c r="CM51" s="102">
        <v>14409800</v>
      </c>
      <c r="CN51" s="102">
        <v>35699492</v>
      </c>
      <c r="CO51" s="102">
        <v>14458736</v>
      </c>
      <c r="CP51" s="102">
        <v>141066402</v>
      </c>
      <c r="CQ51" s="102">
        <v>35370951</v>
      </c>
      <c r="CR51" s="102">
        <v>37407506</v>
      </c>
      <c r="CS51" s="102">
        <v>25777175</v>
      </c>
      <c r="CT51" s="73">
        <f t="shared" si="7"/>
        <v>40745172</v>
      </c>
      <c r="CU51" s="102">
        <v>26347069</v>
      </c>
      <c r="CV51" s="102">
        <v>14398103</v>
      </c>
      <c r="CW51" s="73">
        <f t="shared" si="8"/>
        <v>14189836</v>
      </c>
      <c r="CX51" s="102">
        <v>8789871</v>
      </c>
      <c r="CY51" s="102">
        <v>5399965</v>
      </c>
      <c r="CZ51" s="73">
        <f t="shared" si="9"/>
        <v>23808365</v>
      </c>
      <c r="DA51" s="102">
        <v>16650744</v>
      </c>
      <c r="DB51" s="102">
        <v>7157621</v>
      </c>
      <c r="DC51" s="102">
        <v>119801370</v>
      </c>
      <c r="DD51" s="102">
        <v>50679381</v>
      </c>
      <c r="DE51" s="102">
        <v>66373461</v>
      </c>
      <c r="DF51" s="77">
        <v>1608717</v>
      </c>
      <c r="DG51" s="78">
        <v>1131961</v>
      </c>
      <c r="DH51" s="102">
        <v>195091</v>
      </c>
      <c r="DI51" s="102">
        <v>32633642</v>
      </c>
      <c r="DJ51" s="102">
        <v>16613153</v>
      </c>
      <c r="DK51" s="102">
        <v>2471301</v>
      </c>
      <c r="DL51" s="102">
        <v>13549179</v>
      </c>
      <c r="DM51" s="102">
        <v>4543728</v>
      </c>
      <c r="DN51" s="102">
        <v>4511928</v>
      </c>
      <c r="DO51" s="102">
        <v>396064</v>
      </c>
      <c r="DP51" s="102">
        <v>3518829</v>
      </c>
      <c r="DQ51" s="102">
        <v>17161084</v>
      </c>
      <c r="DR51" s="102">
        <v>300000</v>
      </c>
      <c r="DS51" s="102">
        <v>300000</v>
      </c>
      <c r="DT51" s="102">
        <v>195577562</v>
      </c>
      <c r="DU51" s="102">
        <v>44229920</v>
      </c>
      <c r="DV51" s="73">
        <f t="shared" si="10"/>
        <v>22563</v>
      </c>
      <c r="DW51" s="102">
        <v>22563</v>
      </c>
      <c r="DX51" s="102">
        <v>47640956</v>
      </c>
      <c r="DY51" s="102">
        <v>565458</v>
      </c>
      <c r="DZ51" s="102">
        <v>53764465</v>
      </c>
      <c r="EA51" s="74">
        <v>0</v>
      </c>
      <c r="EB51" s="102">
        <v>46254340</v>
      </c>
      <c r="EC51" s="102">
        <v>612769</v>
      </c>
      <c r="ED51" s="102">
        <v>1739427703</v>
      </c>
      <c r="EE51" s="71"/>
      <c r="EF51" s="102">
        <v>23672717</v>
      </c>
      <c r="EG51" s="102">
        <v>6552102</v>
      </c>
      <c r="EH51" s="102">
        <v>17120615</v>
      </c>
      <c r="EI51" s="102">
        <v>-134632</v>
      </c>
      <c r="EJ51" s="102">
        <v>15748171</v>
      </c>
      <c r="EK51" s="71"/>
      <c r="EL51" s="102"/>
      <c r="EM51" s="102">
        <v>5298121</v>
      </c>
      <c r="EN51" s="102">
        <v>14459374</v>
      </c>
      <c r="EO51" s="102">
        <v>4329351</v>
      </c>
      <c r="EP51" s="73">
        <f t="shared" si="11"/>
        <v>44125567</v>
      </c>
      <c r="EQ51" s="102">
        <v>1045355138</v>
      </c>
      <c r="ER51" s="71">
        <v>-138636042</v>
      </c>
      <c r="ES51" s="102">
        <v>300399121</v>
      </c>
      <c r="ET51" s="102">
        <v>191554220</v>
      </c>
      <c r="EU51" s="102">
        <v>141874289</v>
      </c>
      <c r="EV51" s="102">
        <v>173478602</v>
      </c>
      <c r="EW51" s="73">
        <f t="shared" si="12"/>
        <v>39495636</v>
      </c>
      <c r="EX51" s="102">
        <v>39423257</v>
      </c>
      <c r="EY51" s="102">
        <v>4010583</v>
      </c>
      <c r="EZ51" s="102">
        <v>35118532</v>
      </c>
      <c r="FA51" s="102">
        <v>72379</v>
      </c>
      <c r="FB51" s="102">
        <v>0</v>
      </c>
      <c r="FC51" s="102">
        <v>159888719</v>
      </c>
      <c r="FD51" s="102">
        <v>124254438</v>
      </c>
      <c r="FE51" s="102">
        <v>34644905</v>
      </c>
      <c r="FF51" s="102">
        <v>170062641</v>
      </c>
      <c r="FG51" s="73">
        <f t="shared" si="13"/>
        <v>50959034</v>
      </c>
      <c r="FH51" s="102">
        <v>1160412480</v>
      </c>
      <c r="FI51" s="379">
        <f t="shared" si="14"/>
        <v>1.7</v>
      </c>
      <c r="FJ51" s="102">
        <v>945718721</v>
      </c>
      <c r="FK51" s="102">
        <v>84671056</v>
      </c>
      <c r="FL51" s="102">
        <v>584652396</v>
      </c>
      <c r="FM51" s="102">
        <v>771562129</v>
      </c>
      <c r="FN51" s="428">
        <v>0.78100000000000003</v>
      </c>
      <c r="FO51" s="424">
        <v>95.3</v>
      </c>
      <c r="FP51" s="425">
        <v>27.7</v>
      </c>
      <c r="FQ51" s="424">
        <v>13.5</v>
      </c>
      <c r="FR51" s="424">
        <v>16</v>
      </c>
      <c r="FS51" s="425">
        <v>13.9</v>
      </c>
      <c r="FT51" s="424">
        <v>9.6999999999999993</v>
      </c>
      <c r="FU51" s="425">
        <v>13.2</v>
      </c>
      <c r="FV51" s="384">
        <f t="shared" si="15"/>
        <v>6.9</v>
      </c>
      <c r="FW51" s="102">
        <v>1524678317</v>
      </c>
      <c r="FX51" s="384">
        <f t="shared" si="16"/>
        <v>148</v>
      </c>
      <c r="FY51" s="102">
        <v>293712032</v>
      </c>
      <c r="FZ51" s="102">
        <v>116754274</v>
      </c>
      <c r="GA51" s="102">
        <v>23522265</v>
      </c>
      <c r="GB51" s="102">
        <v>153435493</v>
      </c>
      <c r="GC51" s="102">
        <v>22207735</v>
      </c>
      <c r="GD51" s="454">
        <v>129560998</v>
      </c>
      <c r="GE51" s="452">
        <f>IF(GD51=0,"-",ROUND(GD51/1000/GW51*100,1))</f>
        <v>14.8</v>
      </c>
      <c r="GF51" s="424">
        <v>98.353538734644388</v>
      </c>
      <c r="GG51" s="424">
        <v>24.916237717095719</v>
      </c>
      <c r="GH51" s="424">
        <v>93.926171233671255</v>
      </c>
      <c r="GI51" s="102">
        <v>31729</v>
      </c>
      <c r="GJ51" s="429" t="s">
        <v>646</v>
      </c>
      <c r="GK51" s="429" t="s">
        <v>646</v>
      </c>
      <c r="GL51" s="88" t="s">
        <v>646</v>
      </c>
      <c r="GM51" s="429" t="s">
        <v>646</v>
      </c>
      <c r="GN51" s="429" t="s">
        <v>646</v>
      </c>
      <c r="GO51" s="429" t="s">
        <v>646</v>
      </c>
      <c r="GP51" s="425">
        <v>6.9</v>
      </c>
      <c r="GQ51" s="431" t="s">
        <v>646</v>
      </c>
      <c r="GR51" s="431" t="s">
        <v>646</v>
      </c>
      <c r="GS51" s="425">
        <v>43.3</v>
      </c>
      <c r="GT51" s="429" t="s">
        <v>646</v>
      </c>
      <c r="GU51" s="394"/>
      <c r="GV51" s="100">
        <f t="shared" si="17"/>
        <v>1030390</v>
      </c>
      <c r="GW51" s="394">
        <f>GW39+GW50</f>
        <v>874032</v>
      </c>
      <c r="GX51" s="394"/>
      <c r="GY51" s="394"/>
      <c r="GZ51" s="394"/>
      <c r="HA51" s="394"/>
      <c r="HB51" s="394"/>
      <c r="HC51" s="394"/>
      <c r="HD51" s="394"/>
      <c r="HE51" s="394"/>
      <c r="HF51" s="394"/>
      <c r="HG51" s="394"/>
      <c r="HH51" s="394"/>
      <c r="HI51" s="394"/>
      <c r="HJ51" s="394"/>
      <c r="HK51" s="394"/>
      <c r="HL51" s="394"/>
      <c r="HM51" s="394"/>
      <c r="HN51" s="394"/>
      <c r="HO51" s="394"/>
      <c r="HP51" s="394"/>
      <c r="HQ51" s="394"/>
      <c r="HR51" s="394"/>
      <c r="HS51" s="394"/>
      <c r="HT51" s="394"/>
      <c r="HU51" s="394"/>
      <c r="HV51" s="394"/>
    </row>
    <row r="52" spans="2:230" x14ac:dyDescent="0.15">
      <c r="B52" s="72" t="s">
        <v>0</v>
      </c>
      <c r="C52" s="102">
        <v>1529430104</v>
      </c>
      <c r="D52" s="73">
        <f t="shared" si="0"/>
        <v>441977915</v>
      </c>
      <c r="E52" s="102">
        <v>11487801</v>
      </c>
      <c r="F52" s="102">
        <v>430490114</v>
      </c>
      <c r="G52" s="73">
        <f t="shared" si="1"/>
        <v>180166619</v>
      </c>
      <c r="H52" s="102">
        <v>32977989</v>
      </c>
      <c r="I52" s="102">
        <v>147188630</v>
      </c>
      <c r="J52" s="102">
        <v>658276592</v>
      </c>
      <c r="K52" s="102">
        <v>266533293</v>
      </c>
      <c r="L52" s="102">
        <v>295459383</v>
      </c>
      <c r="M52" s="102">
        <v>88701987</v>
      </c>
      <c r="N52" s="102">
        <v>72702862</v>
      </c>
      <c r="O52" s="102">
        <v>132595269</v>
      </c>
      <c r="P52" s="102">
        <v>69062865</v>
      </c>
      <c r="Q52" s="102">
        <v>63532404</v>
      </c>
      <c r="R52" s="102">
        <v>22138974</v>
      </c>
      <c r="S52" s="74"/>
      <c r="T52" s="73">
        <f t="shared" si="2"/>
        <v>111367146</v>
      </c>
      <c r="U52" s="102">
        <v>5444915</v>
      </c>
      <c r="V52" s="102">
        <v>3533135</v>
      </c>
      <c r="W52" s="102">
        <v>787753</v>
      </c>
      <c r="X52" s="102">
        <v>92944873</v>
      </c>
      <c r="Y52" s="102">
        <v>1137763</v>
      </c>
      <c r="Z52" s="102">
        <v>137</v>
      </c>
      <c r="AA52" s="102">
        <v>7518570</v>
      </c>
      <c r="AB52" s="102">
        <v>17416590</v>
      </c>
      <c r="AC52" s="102">
        <v>278102725</v>
      </c>
      <c r="AD52" s="102">
        <v>260904468</v>
      </c>
      <c r="AE52" s="102">
        <v>17196776</v>
      </c>
      <c r="AF52" s="102">
        <v>2233014</v>
      </c>
      <c r="AG52" s="102">
        <v>32293778</v>
      </c>
      <c r="AH52" s="73">
        <f t="shared" si="3"/>
        <v>99217565</v>
      </c>
      <c r="AI52" s="102">
        <v>81812666</v>
      </c>
      <c r="AJ52" s="102">
        <v>17404899</v>
      </c>
      <c r="AK52" s="102">
        <v>750862939</v>
      </c>
      <c r="AL52" s="73">
        <f t="shared" si="4"/>
        <v>548754600</v>
      </c>
      <c r="AM52" s="102">
        <v>411893546</v>
      </c>
      <c r="AN52" s="102">
        <v>76533400</v>
      </c>
      <c r="AO52" s="74"/>
      <c r="AP52" s="102">
        <v>60327654</v>
      </c>
      <c r="AQ52" s="102">
        <v>29558014</v>
      </c>
      <c r="AR52" s="102">
        <v>9543</v>
      </c>
      <c r="AS52" s="102">
        <v>301450</v>
      </c>
      <c r="AT52" s="102">
        <v>179136318</v>
      </c>
      <c r="AU52" s="102">
        <v>102417317</v>
      </c>
      <c r="AV52" s="102">
        <v>6891276</v>
      </c>
      <c r="AW52" s="102">
        <v>7342690</v>
      </c>
      <c r="AX52" s="102">
        <v>76719001</v>
      </c>
      <c r="AY52" s="102">
        <v>2059329</v>
      </c>
      <c r="AZ52" s="102">
        <v>45906830</v>
      </c>
      <c r="BA52" s="102">
        <v>30274449</v>
      </c>
      <c r="BB52" s="102">
        <v>5369538</v>
      </c>
      <c r="BC52" s="102">
        <v>42909336</v>
      </c>
      <c r="BD52" s="102">
        <v>5561712</v>
      </c>
      <c r="BE52" s="102">
        <v>10393652</v>
      </c>
      <c r="BF52" s="102">
        <v>17303867</v>
      </c>
      <c r="BG52" s="102">
        <v>0</v>
      </c>
      <c r="BH52" s="102">
        <v>28699359</v>
      </c>
      <c r="BI52" s="102">
        <v>16671485</v>
      </c>
      <c r="BJ52" s="102">
        <v>256215000</v>
      </c>
      <c r="BK52" s="102">
        <v>155528941</v>
      </c>
      <c r="BL52" s="102">
        <v>819403</v>
      </c>
      <c r="BM52" s="102">
        <v>18259173</v>
      </c>
      <c r="BN52" s="102">
        <v>350628876</v>
      </c>
      <c r="BO52" s="73">
        <f t="shared" si="5"/>
        <v>158013920</v>
      </c>
      <c r="BP52" s="73">
        <f t="shared" si="6"/>
        <v>182862156</v>
      </c>
      <c r="BQ52" s="102">
        <v>0</v>
      </c>
      <c r="BR52" s="102">
        <v>0</v>
      </c>
      <c r="BS52" s="102">
        <v>182862156</v>
      </c>
      <c r="BT52" s="102">
        <v>9752800</v>
      </c>
      <c r="BU52" s="102">
        <v>3769245285</v>
      </c>
      <c r="BV52" s="71"/>
      <c r="BW52" s="102">
        <v>626746414</v>
      </c>
      <c r="BX52" s="102">
        <v>410370430</v>
      </c>
      <c r="BY52" s="102">
        <v>78987464</v>
      </c>
      <c r="BZ52" s="102">
        <v>29776795</v>
      </c>
      <c r="CA52" s="102">
        <v>1105949384</v>
      </c>
      <c r="CB52" s="102">
        <v>153560394</v>
      </c>
      <c r="CC52" s="102">
        <v>19131660</v>
      </c>
      <c r="CD52" s="102">
        <v>362360656</v>
      </c>
      <c r="CE52" s="102">
        <v>541426162</v>
      </c>
      <c r="CF52" s="102">
        <v>19428704</v>
      </c>
      <c r="CG52" s="102">
        <v>9915140</v>
      </c>
      <c r="CH52" s="102">
        <v>443380949</v>
      </c>
      <c r="CI52" s="102">
        <v>364682697</v>
      </c>
      <c r="CJ52" s="83">
        <f t="shared" si="19"/>
        <v>78698252</v>
      </c>
      <c r="CK52" s="102">
        <v>348995751</v>
      </c>
      <c r="CL52" s="102">
        <v>217949906</v>
      </c>
      <c r="CM52" s="102">
        <v>17834955</v>
      </c>
      <c r="CN52" s="102">
        <v>62397168</v>
      </c>
      <c r="CO52" s="102">
        <v>32991156</v>
      </c>
      <c r="CP52" s="102">
        <v>303255513</v>
      </c>
      <c r="CQ52" s="102">
        <v>35905402</v>
      </c>
      <c r="CR52" s="102">
        <v>118040565</v>
      </c>
      <c r="CS52" s="102">
        <v>89129785</v>
      </c>
      <c r="CT52" s="73">
        <f t="shared" si="7"/>
        <v>105348499</v>
      </c>
      <c r="CU52" s="102">
        <v>43363587</v>
      </c>
      <c r="CV52" s="102">
        <v>61984912</v>
      </c>
      <c r="CW52" s="73">
        <f t="shared" si="8"/>
        <v>26030054</v>
      </c>
      <c r="CX52" s="102">
        <v>18054252</v>
      </c>
      <c r="CY52" s="102">
        <v>7975802</v>
      </c>
      <c r="CZ52" s="73">
        <f t="shared" si="9"/>
        <v>64266669</v>
      </c>
      <c r="DA52" s="102">
        <v>23666976</v>
      </c>
      <c r="DB52" s="102">
        <v>40599693</v>
      </c>
      <c r="DC52" s="102">
        <v>254389033</v>
      </c>
      <c r="DD52" s="102">
        <v>127077740</v>
      </c>
      <c r="DE52" s="102">
        <v>120440775</v>
      </c>
      <c r="DF52" s="102">
        <v>1686071</v>
      </c>
      <c r="DG52" s="102">
        <v>1639679</v>
      </c>
      <c r="DH52" s="102">
        <v>195091</v>
      </c>
      <c r="DI52" s="102">
        <v>73601509</v>
      </c>
      <c r="DJ52" s="102">
        <v>16616353</v>
      </c>
      <c r="DK52" s="102">
        <v>28639915</v>
      </c>
      <c r="DL52" s="102">
        <v>28345232</v>
      </c>
      <c r="DM52" s="102">
        <v>30356311</v>
      </c>
      <c r="DN52" s="102">
        <v>23282031</v>
      </c>
      <c r="DO52" s="102">
        <v>396064</v>
      </c>
      <c r="DP52" s="102">
        <v>17518829</v>
      </c>
      <c r="DQ52" s="102">
        <v>188651263</v>
      </c>
      <c r="DR52" s="102">
        <v>300000</v>
      </c>
      <c r="DS52" s="102">
        <v>300000</v>
      </c>
      <c r="DT52" s="102">
        <v>332150397</v>
      </c>
      <c r="DU52" s="102">
        <v>44229920</v>
      </c>
      <c r="DV52" s="73">
        <f t="shared" si="10"/>
        <v>9540296</v>
      </c>
      <c r="DW52" s="102">
        <v>9540296</v>
      </c>
      <c r="DX52" s="102">
        <v>84684250</v>
      </c>
      <c r="DY52" s="102">
        <v>565966</v>
      </c>
      <c r="DZ52" s="102">
        <v>104700424</v>
      </c>
      <c r="EA52" s="74">
        <v>0</v>
      </c>
      <c r="EB52" s="102">
        <v>82653897</v>
      </c>
      <c r="EC52" s="102">
        <v>612769</v>
      </c>
      <c r="ED52" s="102">
        <v>3741275540</v>
      </c>
      <c r="EE52" s="71"/>
      <c r="EF52" s="102">
        <v>27969745</v>
      </c>
      <c r="EG52" s="102">
        <v>9404487</v>
      </c>
      <c r="EH52" s="102">
        <v>18565258</v>
      </c>
      <c r="EI52" s="102">
        <v>-73402</v>
      </c>
      <c r="EJ52" s="102">
        <v>16252188</v>
      </c>
      <c r="EK52" s="71"/>
      <c r="EL52" s="102"/>
      <c r="EM52" s="102">
        <v>8679933</v>
      </c>
      <c r="EN52" s="102">
        <v>21477616</v>
      </c>
      <c r="EO52" s="102">
        <v>22888062</v>
      </c>
      <c r="EP52" s="73">
        <f t="shared" si="11"/>
        <v>105642765</v>
      </c>
      <c r="EQ52" s="102">
        <v>1978005746</v>
      </c>
      <c r="ER52" s="71">
        <v>-313320392</v>
      </c>
      <c r="ES52" s="102">
        <v>572407618</v>
      </c>
      <c r="ET52" s="102">
        <v>376589405</v>
      </c>
      <c r="EU52" s="102">
        <v>317438869</v>
      </c>
      <c r="EV52" s="102">
        <v>413246587</v>
      </c>
      <c r="EW52" s="73">
        <f t="shared" si="12"/>
        <v>71748901</v>
      </c>
      <c r="EX52" s="102">
        <v>71676522</v>
      </c>
      <c r="EY52" s="102">
        <v>8425280</v>
      </c>
      <c r="EZ52" s="102">
        <v>62654911</v>
      </c>
      <c r="FA52" s="102">
        <v>72379</v>
      </c>
      <c r="FB52" s="102">
        <v>0</v>
      </c>
      <c r="FC52" s="102">
        <v>261213188</v>
      </c>
      <c r="FD52" s="102">
        <v>256021623</v>
      </c>
      <c r="FE52" s="102">
        <v>35179356</v>
      </c>
      <c r="FF52" s="102">
        <v>285990183</v>
      </c>
      <c r="FG52" s="73">
        <f t="shared" si="13"/>
        <v>85483333</v>
      </c>
      <c r="FH52" s="102">
        <v>2263550302</v>
      </c>
      <c r="FI52" s="379">
        <f t="shared" si="14"/>
        <v>0.9</v>
      </c>
      <c r="FJ52" s="102">
        <v>1774769778</v>
      </c>
      <c r="FK52" s="102">
        <v>190618249</v>
      </c>
      <c r="FL52" s="102">
        <v>1161810193</v>
      </c>
      <c r="FM52" s="102">
        <v>1421926909</v>
      </c>
      <c r="FN52" s="151">
        <v>0.83399999999999996</v>
      </c>
      <c r="FO52" s="424">
        <v>97</v>
      </c>
      <c r="FP52" s="151">
        <v>27.7</v>
      </c>
      <c r="FQ52" s="424">
        <v>15.6</v>
      </c>
      <c r="FR52" s="424">
        <v>20.100000000000001</v>
      </c>
      <c r="FS52" s="151">
        <v>11.7</v>
      </c>
      <c r="FT52" s="424">
        <v>10.1</v>
      </c>
      <c r="FU52" s="151">
        <v>10.9</v>
      </c>
      <c r="FV52" s="384">
        <f t="shared" si="15"/>
        <v>7.9</v>
      </c>
      <c r="FW52" s="102">
        <v>4600049401</v>
      </c>
      <c r="FX52" s="384">
        <f t="shared" si="16"/>
        <v>234.1</v>
      </c>
      <c r="FY52" s="102">
        <v>483213537</v>
      </c>
      <c r="FZ52" s="102">
        <v>118551074</v>
      </c>
      <c r="GA52" s="102">
        <v>80497860</v>
      </c>
      <c r="GB52" s="102">
        <v>284164603</v>
      </c>
      <c r="GC52" s="102">
        <v>22307735</v>
      </c>
      <c r="GD52" s="454">
        <v>148127645</v>
      </c>
      <c r="GE52" s="31">
        <f>IF(GD52=0,"-",ROUND(GD52/1000/GW52*100,1))</f>
        <v>14</v>
      </c>
      <c r="GF52" s="424">
        <v>98.583747722191376</v>
      </c>
      <c r="GG52" s="424">
        <v>24.717392951232679</v>
      </c>
      <c r="GH52" s="424">
        <v>94.806176888521307</v>
      </c>
      <c r="GI52" s="102">
        <v>61666</v>
      </c>
      <c r="GJ52" s="429" t="s">
        <v>646</v>
      </c>
      <c r="GK52" s="429" t="s">
        <v>646</v>
      </c>
      <c r="GL52" s="88" t="s">
        <v>646</v>
      </c>
      <c r="GM52" s="429" t="s">
        <v>646</v>
      </c>
      <c r="GN52" s="429" t="s">
        <v>646</v>
      </c>
      <c r="GO52" s="429" t="s">
        <v>646</v>
      </c>
      <c r="GP52" s="425">
        <v>7.9</v>
      </c>
      <c r="GQ52" s="431" t="s">
        <v>646</v>
      </c>
      <c r="GR52" s="431" t="s">
        <v>646</v>
      </c>
      <c r="GS52" s="151">
        <v>102.9</v>
      </c>
      <c r="GT52" s="429" t="s">
        <v>646</v>
      </c>
      <c r="GV52" s="100">
        <f t="shared" si="17"/>
        <v>1965388</v>
      </c>
      <c r="GW52" s="394">
        <f>GW51+GV7</f>
        <v>1057434</v>
      </c>
    </row>
    <row r="53" spans="2:230" x14ac:dyDescent="0.15">
      <c r="S53" s="75"/>
      <c r="CI53" s="89"/>
      <c r="CJ53" s="84"/>
      <c r="EI53" s="420">
        <f>EI8+EI18+EI22+EI27+EI29+EI31+EI32+EI34+EI37+EI40+EI43+EI44+EI45+EI48</f>
        <v>-799019</v>
      </c>
      <c r="FJ53" s="394">
        <f>FJ44+FJ47+FJ45</f>
        <v>13077382</v>
      </c>
      <c r="FK53" s="394">
        <f>FK44+FK47+FK45</f>
        <v>1132960</v>
      </c>
      <c r="GE53" s="89" t="s">
        <v>647</v>
      </c>
      <c r="GW53" s="101" t="s">
        <v>648</v>
      </c>
    </row>
    <row r="54" spans="2:230" x14ac:dyDescent="0.15">
      <c r="S54" s="75"/>
      <c r="CI54" s="89"/>
      <c r="CJ54" s="84"/>
      <c r="EI54" s="420">
        <f>EI51-EI53</f>
        <v>664387</v>
      </c>
      <c r="EM54" s="423">
        <v>5305726</v>
      </c>
      <c r="FJ54" s="394">
        <f>FJ39+FJ53</f>
        <v>919891708</v>
      </c>
      <c r="FK54" s="394">
        <f>FK39+FK53</f>
        <v>82233954</v>
      </c>
      <c r="GF54" s="388"/>
      <c r="GG54" s="388"/>
      <c r="GH54" s="388"/>
      <c r="GI54" s="272">
        <v>32331</v>
      </c>
    </row>
    <row r="55" spans="2:230" x14ac:dyDescent="0.15">
      <c r="S55" s="75"/>
      <c r="CI55" s="89"/>
      <c r="CJ55" s="84"/>
    </row>
    <row r="56" spans="2:230" x14ac:dyDescent="0.15">
      <c r="B56" s="89" t="s">
        <v>650</v>
      </c>
      <c r="C56" s="89" t="str">
        <f t="shared" ref="C56:AH56" si="22">IF(SUM(C8:C38)=C39,"ok","エラー")</f>
        <v>ok</v>
      </c>
      <c r="D56" s="89" t="str">
        <f t="shared" si="22"/>
        <v>ok</v>
      </c>
      <c r="E56" s="89" t="str">
        <f t="shared" si="22"/>
        <v>ok</v>
      </c>
      <c r="F56" s="89" t="str">
        <f t="shared" si="22"/>
        <v>ok</v>
      </c>
      <c r="G56" s="89" t="str">
        <f t="shared" si="22"/>
        <v>ok</v>
      </c>
      <c r="H56" s="89" t="str">
        <f t="shared" si="22"/>
        <v>ok</v>
      </c>
      <c r="I56" s="89" t="str">
        <f t="shared" si="22"/>
        <v>ok</v>
      </c>
      <c r="J56" s="89" t="str">
        <f t="shared" si="22"/>
        <v>ok</v>
      </c>
      <c r="K56" s="89" t="str">
        <f t="shared" si="22"/>
        <v>ok</v>
      </c>
      <c r="L56" s="89" t="str">
        <f t="shared" si="22"/>
        <v>ok</v>
      </c>
      <c r="M56" s="89" t="str">
        <f t="shared" si="22"/>
        <v>ok</v>
      </c>
      <c r="N56" s="89" t="str">
        <f t="shared" si="22"/>
        <v>ok</v>
      </c>
      <c r="O56" s="89" t="str">
        <f t="shared" si="22"/>
        <v>ok</v>
      </c>
      <c r="P56" s="89" t="str">
        <f t="shared" si="22"/>
        <v>ok</v>
      </c>
      <c r="Q56" s="89" t="str">
        <f t="shared" si="22"/>
        <v>ok</v>
      </c>
      <c r="R56" s="89" t="str">
        <f t="shared" si="22"/>
        <v>ok</v>
      </c>
      <c r="S56" s="75" t="str">
        <f t="shared" si="22"/>
        <v>ok</v>
      </c>
      <c r="T56" s="89" t="str">
        <f t="shared" si="22"/>
        <v>ok</v>
      </c>
      <c r="U56" s="89" t="str">
        <f t="shared" si="22"/>
        <v>ok</v>
      </c>
      <c r="V56" s="89" t="str">
        <f t="shared" si="22"/>
        <v>ok</v>
      </c>
      <c r="W56" s="89" t="str">
        <f t="shared" si="22"/>
        <v>ok</v>
      </c>
      <c r="X56" s="89" t="str">
        <f t="shared" si="22"/>
        <v>ok</v>
      </c>
      <c r="Y56" s="89" t="str">
        <f t="shared" si="22"/>
        <v>ok</v>
      </c>
      <c r="Z56" s="89" t="str">
        <f t="shared" si="22"/>
        <v>ok</v>
      </c>
      <c r="AA56" s="89" t="str">
        <f t="shared" si="22"/>
        <v>ok</v>
      </c>
      <c r="AB56" s="89" t="str">
        <f t="shared" si="22"/>
        <v>ok</v>
      </c>
      <c r="AC56" s="89" t="str">
        <f t="shared" si="22"/>
        <v>ok</v>
      </c>
      <c r="AD56" s="89" t="str">
        <f t="shared" si="22"/>
        <v>ok</v>
      </c>
      <c r="AE56" s="89" t="str">
        <f t="shared" si="22"/>
        <v>ok</v>
      </c>
      <c r="AF56" s="89" t="str">
        <f t="shared" si="22"/>
        <v>ok</v>
      </c>
      <c r="AG56" s="89" t="str">
        <f t="shared" si="22"/>
        <v>ok</v>
      </c>
      <c r="AH56" s="89" t="str">
        <f t="shared" si="22"/>
        <v>ok</v>
      </c>
      <c r="AI56" s="89" t="str">
        <f t="shared" ref="AI56:BN56" si="23">IF(SUM(AI8:AI38)=AI39,"ok","エラー")</f>
        <v>ok</v>
      </c>
      <c r="AJ56" s="89" t="str">
        <f t="shared" si="23"/>
        <v>ok</v>
      </c>
      <c r="AK56" s="89" t="str">
        <f t="shared" si="23"/>
        <v>ok</v>
      </c>
      <c r="AL56" s="89" t="str">
        <f t="shared" si="23"/>
        <v>ok</v>
      </c>
      <c r="AM56" s="89" t="str">
        <f t="shared" si="23"/>
        <v>ok</v>
      </c>
      <c r="AN56" s="89" t="str">
        <f t="shared" si="23"/>
        <v>ok</v>
      </c>
      <c r="AO56" s="89" t="str">
        <f t="shared" si="23"/>
        <v>ok</v>
      </c>
      <c r="AP56" s="89" t="str">
        <f t="shared" si="23"/>
        <v>ok</v>
      </c>
      <c r="AQ56" s="89" t="str">
        <f t="shared" si="23"/>
        <v>ok</v>
      </c>
      <c r="AR56" s="89" t="str">
        <f t="shared" si="23"/>
        <v>ok</v>
      </c>
      <c r="AS56" s="89" t="str">
        <f t="shared" si="23"/>
        <v>ok</v>
      </c>
      <c r="AT56" s="89" t="str">
        <f t="shared" si="23"/>
        <v>ok</v>
      </c>
      <c r="AU56" s="89" t="str">
        <f t="shared" si="23"/>
        <v>ok</v>
      </c>
      <c r="AV56" s="89" t="str">
        <f t="shared" si="23"/>
        <v>ok</v>
      </c>
      <c r="AW56" s="89" t="str">
        <f t="shared" si="23"/>
        <v>ok</v>
      </c>
      <c r="AX56" s="89" t="str">
        <f t="shared" si="23"/>
        <v>ok</v>
      </c>
      <c r="AY56" s="89" t="str">
        <f t="shared" si="23"/>
        <v>ok</v>
      </c>
      <c r="AZ56" s="89" t="str">
        <f t="shared" si="23"/>
        <v>ok</v>
      </c>
      <c r="BA56" s="89" t="str">
        <f t="shared" si="23"/>
        <v>ok</v>
      </c>
      <c r="BB56" s="89" t="str">
        <f t="shared" si="23"/>
        <v>ok</v>
      </c>
      <c r="BC56" s="89" t="str">
        <f t="shared" si="23"/>
        <v>ok</v>
      </c>
      <c r="BD56" s="89" t="str">
        <f t="shared" si="23"/>
        <v>ok</v>
      </c>
      <c r="BE56" s="89" t="str">
        <f t="shared" si="23"/>
        <v>ok</v>
      </c>
      <c r="BF56" s="89" t="str">
        <f t="shared" si="23"/>
        <v>ok</v>
      </c>
      <c r="BG56" s="89" t="str">
        <f t="shared" si="23"/>
        <v>ok</v>
      </c>
      <c r="BH56" s="89" t="str">
        <f t="shared" si="23"/>
        <v>ok</v>
      </c>
      <c r="BI56" s="89" t="str">
        <f t="shared" si="23"/>
        <v>ok</v>
      </c>
      <c r="BJ56" s="89" t="str">
        <f t="shared" si="23"/>
        <v>ok</v>
      </c>
      <c r="BK56" s="89" t="str">
        <f t="shared" si="23"/>
        <v>ok</v>
      </c>
      <c r="BL56" s="89" t="str">
        <f t="shared" si="23"/>
        <v>ok</v>
      </c>
      <c r="BM56" s="89" t="str">
        <f t="shared" si="23"/>
        <v>ok</v>
      </c>
      <c r="BN56" s="89" t="str">
        <f t="shared" si="23"/>
        <v>ok</v>
      </c>
      <c r="BO56" s="89" t="str">
        <f t="shared" ref="BO56:CI56" si="24">IF(SUM(BO8:BO38)=BO39,"ok","エラー")</f>
        <v>ok</v>
      </c>
      <c r="BP56" s="89" t="str">
        <f t="shared" si="24"/>
        <v>ok</v>
      </c>
      <c r="BQ56" s="89" t="str">
        <f t="shared" si="24"/>
        <v>ok</v>
      </c>
      <c r="BR56" s="89" t="str">
        <f t="shared" si="24"/>
        <v>ok</v>
      </c>
      <c r="BS56" s="89" t="str">
        <f t="shared" si="24"/>
        <v>ok</v>
      </c>
      <c r="BT56" s="89" t="str">
        <f t="shared" si="24"/>
        <v>ok</v>
      </c>
      <c r="BU56" s="89" t="str">
        <f t="shared" si="24"/>
        <v>ok</v>
      </c>
      <c r="BV56" s="89" t="str">
        <f t="shared" si="24"/>
        <v>ok</v>
      </c>
      <c r="BW56" s="89" t="str">
        <f t="shared" si="24"/>
        <v>ok</v>
      </c>
      <c r="BX56" s="89" t="str">
        <f t="shared" si="24"/>
        <v>ok</v>
      </c>
      <c r="BY56" s="89" t="str">
        <f t="shared" si="24"/>
        <v>ok</v>
      </c>
      <c r="BZ56" s="89" t="str">
        <f t="shared" si="24"/>
        <v>ok</v>
      </c>
      <c r="CA56" s="89" t="str">
        <f t="shared" si="24"/>
        <v>ok</v>
      </c>
      <c r="CB56" s="89" t="str">
        <f t="shared" si="24"/>
        <v>ok</v>
      </c>
      <c r="CC56" s="89" t="str">
        <f t="shared" si="24"/>
        <v>ok</v>
      </c>
      <c r="CD56" s="89" t="str">
        <f t="shared" si="24"/>
        <v>ok</v>
      </c>
      <c r="CE56" s="89" t="str">
        <f t="shared" si="24"/>
        <v>ok</v>
      </c>
      <c r="CF56" s="89" t="str">
        <f t="shared" si="24"/>
        <v>ok</v>
      </c>
      <c r="CG56" s="89" t="str">
        <f t="shared" si="24"/>
        <v>ok</v>
      </c>
      <c r="CH56" s="89" t="str">
        <f t="shared" si="24"/>
        <v>ok</v>
      </c>
      <c r="CI56" s="89" t="str">
        <f t="shared" si="24"/>
        <v>ok</v>
      </c>
      <c r="CJ56" s="84"/>
      <c r="CK56" s="89" t="str">
        <f t="shared" ref="CK56:DP56" si="25">IF(SUM(CK8:CK38)=CK39,"ok","エラー")</f>
        <v>ok</v>
      </c>
      <c r="CL56" s="89" t="str">
        <f t="shared" si="25"/>
        <v>ok</v>
      </c>
      <c r="CM56" s="89" t="str">
        <f t="shared" si="25"/>
        <v>ok</v>
      </c>
      <c r="CN56" s="89" t="str">
        <f t="shared" si="25"/>
        <v>ok</v>
      </c>
      <c r="CO56" s="89" t="str">
        <f t="shared" si="25"/>
        <v>ok</v>
      </c>
      <c r="CP56" s="89" t="str">
        <f t="shared" si="25"/>
        <v>ok</v>
      </c>
      <c r="CQ56" s="89" t="str">
        <f t="shared" si="25"/>
        <v>ok</v>
      </c>
      <c r="CR56" s="89" t="str">
        <f t="shared" si="25"/>
        <v>ok</v>
      </c>
      <c r="CS56" s="89" t="str">
        <f t="shared" si="25"/>
        <v>ok</v>
      </c>
      <c r="CT56" s="89" t="str">
        <f t="shared" si="25"/>
        <v>ok</v>
      </c>
      <c r="CU56" s="89" t="str">
        <f t="shared" si="25"/>
        <v>ok</v>
      </c>
      <c r="CV56" s="89" t="str">
        <f t="shared" si="25"/>
        <v>ok</v>
      </c>
      <c r="CW56" s="89" t="str">
        <f t="shared" si="25"/>
        <v>ok</v>
      </c>
      <c r="CX56" s="89" t="str">
        <f t="shared" si="25"/>
        <v>ok</v>
      </c>
      <c r="CY56" s="89" t="str">
        <f t="shared" si="25"/>
        <v>ok</v>
      </c>
      <c r="CZ56" s="89" t="str">
        <f t="shared" si="25"/>
        <v>ok</v>
      </c>
      <c r="DA56" s="89" t="str">
        <f t="shared" si="25"/>
        <v>ok</v>
      </c>
      <c r="DB56" s="89" t="str">
        <f t="shared" si="25"/>
        <v>ok</v>
      </c>
      <c r="DC56" s="89" t="str">
        <f t="shared" si="25"/>
        <v>ok</v>
      </c>
      <c r="DD56" s="89" t="str">
        <f t="shared" si="25"/>
        <v>ok</v>
      </c>
      <c r="DE56" s="89" t="str">
        <f t="shared" si="25"/>
        <v>ok</v>
      </c>
      <c r="DF56" s="89" t="str">
        <f t="shared" si="25"/>
        <v>ok</v>
      </c>
      <c r="DG56" s="89" t="str">
        <f t="shared" si="25"/>
        <v>ok</v>
      </c>
      <c r="DH56" s="89" t="str">
        <f t="shared" si="25"/>
        <v>ok</v>
      </c>
      <c r="DI56" s="89" t="str">
        <f t="shared" si="25"/>
        <v>ok</v>
      </c>
      <c r="DJ56" s="89" t="str">
        <f t="shared" si="25"/>
        <v>ok</v>
      </c>
      <c r="DK56" s="89" t="str">
        <f t="shared" si="25"/>
        <v>ok</v>
      </c>
      <c r="DL56" s="89" t="str">
        <f t="shared" si="25"/>
        <v>ok</v>
      </c>
      <c r="DM56" s="89" t="str">
        <f t="shared" si="25"/>
        <v>ok</v>
      </c>
      <c r="DN56" s="89" t="str">
        <f t="shared" si="25"/>
        <v>ok</v>
      </c>
      <c r="DO56" s="89" t="str">
        <f t="shared" si="25"/>
        <v>ok</v>
      </c>
      <c r="DP56" s="89" t="str">
        <f t="shared" si="25"/>
        <v>ok</v>
      </c>
      <c r="DQ56" s="89" t="str">
        <f t="shared" ref="DQ56:EV56" si="26">IF(SUM(DQ8:DQ38)=DQ39,"ok","エラー")</f>
        <v>ok</v>
      </c>
      <c r="DR56" s="89" t="str">
        <f t="shared" si="26"/>
        <v>ok</v>
      </c>
      <c r="DS56" s="89" t="str">
        <f t="shared" si="26"/>
        <v>ok</v>
      </c>
      <c r="DT56" s="89" t="str">
        <f t="shared" si="26"/>
        <v>ok</v>
      </c>
      <c r="DU56" s="89" t="str">
        <f t="shared" si="26"/>
        <v>ok</v>
      </c>
      <c r="DV56" s="89" t="str">
        <f t="shared" si="26"/>
        <v>ok</v>
      </c>
      <c r="DW56" s="89" t="str">
        <f t="shared" si="26"/>
        <v>ok</v>
      </c>
      <c r="DX56" s="89" t="str">
        <f t="shared" si="26"/>
        <v>ok</v>
      </c>
      <c r="DY56" s="89" t="str">
        <f t="shared" si="26"/>
        <v>ok</v>
      </c>
      <c r="DZ56" s="89" t="str">
        <f t="shared" si="26"/>
        <v>ok</v>
      </c>
      <c r="EA56" s="89" t="str">
        <f t="shared" si="26"/>
        <v>ok</v>
      </c>
      <c r="EB56" s="89" t="str">
        <f t="shared" si="26"/>
        <v>ok</v>
      </c>
      <c r="EC56" s="89" t="str">
        <f t="shared" si="26"/>
        <v>ok</v>
      </c>
      <c r="ED56" s="89" t="str">
        <f t="shared" si="26"/>
        <v>ok</v>
      </c>
      <c r="EE56" s="89" t="str">
        <f t="shared" si="26"/>
        <v>ok</v>
      </c>
      <c r="EF56" s="89" t="str">
        <f t="shared" si="26"/>
        <v>ok</v>
      </c>
      <c r="EG56" s="89" t="str">
        <f t="shared" si="26"/>
        <v>ok</v>
      </c>
      <c r="EH56" s="89" t="str">
        <f t="shared" si="26"/>
        <v>ok</v>
      </c>
      <c r="EI56" s="89" t="str">
        <f t="shared" si="26"/>
        <v>ok</v>
      </c>
      <c r="EJ56" s="89" t="str">
        <f t="shared" si="26"/>
        <v>ok</v>
      </c>
      <c r="EK56" s="89" t="str">
        <f t="shared" si="26"/>
        <v>ok</v>
      </c>
      <c r="EL56" s="89" t="str">
        <f t="shared" si="26"/>
        <v>ok</v>
      </c>
      <c r="EM56" s="89" t="str">
        <f t="shared" si="26"/>
        <v>ok</v>
      </c>
      <c r="EN56" s="89" t="str">
        <f t="shared" si="26"/>
        <v>ok</v>
      </c>
      <c r="EO56" s="89" t="str">
        <f t="shared" si="26"/>
        <v>ok</v>
      </c>
      <c r="EP56" s="89" t="str">
        <f t="shared" si="26"/>
        <v>ok</v>
      </c>
      <c r="EQ56" s="89" t="str">
        <f t="shared" si="26"/>
        <v>ok</v>
      </c>
      <c r="ER56" s="89" t="str">
        <f t="shared" si="26"/>
        <v>ok</v>
      </c>
      <c r="ES56" s="89" t="str">
        <f t="shared" si="26"/>
        <v>ok</v>
      </c>
      <c r="ET56" s="89" t="str">
        <f t="shared" si="26"/>
        <v>ok</v>
      </c>
      <c r="EU56" s="89" t="str">
        <f t="shared" si="26"/>
        <v>ok</v>
      </c>
      <c r="EV56" s="89" t="str">
        <f t="shared" si="26"/>
        <v>ok</v>
      </c>
      <c r="EW56" s="89" t="str">
        <f t="shared" ref="EW56:FM56" si="27">IF(SUM(EW8:EW38)=EW39,"ok","エラー")</f>
        <v>ok</v>
      </c>
      <c r="EX56" s="89" t="str">
        <f t="shared" si="27"/>
        <v>ok</v>
      </c>
      <c r="EY56" s="89" t="str">
        <f t="shared" si="27"/>
        <v>ok</v>
      </c>
      <c r="EZ56" s="89" t="str">
        <f t="shared" si="27"/>
        <v>ok</v>
      </c>
      <c r="FA56" s="89" t="str">
        <f t="shared" si="27"/>
        <v>ok</v>
      </c>
      <c r="FB56" s="89" t="str">
        <f t="shared" si="27"/>
        <v>ok</v>
      </c>
      <c r="FC56" s="89" t="str">
        <f t="shared" si="27"/>
        <v>ok</v>
      </c>
      <c r="FD56" s="89" t="str">
        <f t="shared" si="27"/>
        <v>ok</v>
      </c>
      <c r="FE56" s="89" t="str">
        <f t="shared" si="27"/>
        <v>ok</v>
      </c>
      <c r="FF56" s="89" t="str">
        <f t="shared" si="27"/>
        <v>ok</v>
      </c>
      <c r="FG56" s="89" t="str">
        <f t="shared" si="27"/>
        <v>ok</v>
      </c>
      <c r="FH56" s="89" t="str">
        <f t="shared" si="27"/>
        <v>ok</v>
      </c>
      <c r="FI56" s="89" t="str">
        <f t="shared" si="27"/>
        <v>エラー</v>
      </c>
      <c r="FJ56" s="89" t="str">
        <f t="shared" si="27"/>
        <v>ok</v>
      </c>
      <c r="FK56" s="89" t="str">
        <f t="shared" si="27"/>
        <v>ok</v>
      </c>
      <c r="FL56" s="89" t="str">
        <f t="shared" si="27"/>
        <v>ok</v>
      </c>
      <c r="FM56" s="89" t="str">
        <f t="shared" si="27"/>
        <v>ok</v>
      </c>
      <c r="FW56" s="89" t="str">
        <f>IF(SUM(FW8:FW38)=FW39,"ok","エラー")</f>
        <v>ok</v>
      </c>
      <c r="FY56" s="89" t="str">
        <f t="shared" ref="FY56:GD56" si="28">IF(SUM(FY8:FY38)=FY39,"ok","エラー")</f>
        <v>ok</v>
      </c>
      <c r="FZ56" s="89" t="str">
        <f t="shared" si="28"/>
        <v>ok</v>
      </c>
      <c r="GA56" s="89" t="str">
        <f t="shared" si="28"/>
        <v>ok</v>
      </c>
      <c r="GB56" s="89" t="str">
        <f t="shared" si="28"/>
        <v>ok</v>
      </c>
      <c r="GC56" s="89" t="str">
        <f t="shared" si="28"/>
        <v>ok</v>
      </c>
      <c r="GD56" s="89" t="str">
        <f t="shared" si="28"/>
        <v>ok</v>
      </c>
      <c r="GI56" s="62" t="str">
        <f>IF(SUM(GI8:GI38)=GI39,"ok","エラー")</f>
        <v>ok</v>
      </c>
    </row>
    <row r="57" spans="2:230" x14ac:dyDescent="0.15">
      <c r="B57" s="89" t="s">
        <v>650</v>
      </c>
      <c r="C57" s="89" t="str">
        <f t="shared" ref="C57:AH57" si="29">IF(SUM(C40:C49)=C50,"ok","エラー")</f>
        <v>ok</v>
      </c>
      <c r="D57" s="89" t="str">
        <f t="shared" si="29"/>
        <v>ok</v>
      </c>
      <c r="E57" s="89" t="str">
        <f t="shared" si="29"/>
        <v>ok</v>
      </c>
      <c r="F57" s="89" t="str">
        <f t="shared" si="29"/>
        <v>ok</v>
      </c>
      <c r="G57" s="89" t="str">
        <f t="shared" si="29"/>
        <v>ok</v>
      </c>
      <c r="H57" s="89" t="str">
        <f t="shared" si="29"/>
        <v>ok</v>
      </c>
      <c r="I57" s="89" t="str">
        <f t="shared" si="29"/>
        <v>ok</v>
      </c>
      <c r="J57" s="89" t="str">
        <f t="shared" si="29"/>
        <v>ok</v>
      </c>
      <c r="K57" s="89" t="str">
        <f t="shared" si="29"/>
        <v>ok</v>
      </c>
      <c r="L57" s="89" t="str">
        <f t="shared" si="29"/>
        <v>ok</v>
      </c>
      <c r="M57" s="89" t="str">
        <f t="shared" si="29"/>
        <v>ok</v>
      </c>
      <c r="N57" s="89" t="str">
        <f t="shared" si="29"/>
        <v>ok</v>
      </c>
      <c r="O57" s="89" t="str">
        <f t="shared" si="29"/>
        <v>ok</v>
      </c>
      <c r="P57" s="89" t="str">
        <f t="shared" si="29"/>
        <v>ok</v>
      </c>
      <c r="Q57" s="89" t="str">
        <f t="shared" si="29"/>
        <v>ok</v>
      </c>
      <c r="R57" s="89" t="str">
        <f t="shared" si="29"/>
        <v>ok</v>
      </c>
      <c r="S57" s="75" t="str">
        <f t="shared" si="29"/>
        <v>ok</v>
      </c>
      <c r="T57" s="89" t="str">
        <f t="shared" si="29"/>
        <v>ok</v>
      </c>
      <c r="U57" s="89" t="str">
        <f t="shared" si="29"/>
        <v>ok</v>
      </c>
      <c r="V57" s="89" t="str">
        <f t="shared" si="29"/>
        <v>ok</v>
      </c>
      <c r="W57" s="89" t="str">
        <f t="shared" si="29"/>
        <v>ok</v>
      </c>
      <c r="X57" s="89" t="str">
        <f t="shared" si="29"/>
        <v>ok</v>
      </c>
      <c r="Y57" s="89" t="str">
        <f t="shared" si="29"/>
        <v>ok</v>
      </c>
      <c r="Z57" s="89" t="str">
        <f t="shared" si="29"/>
        <v>ok</v>
      </c>
      <c r="AA57" s="89" t="str">
        <f t="shared" si="29"/>
        <v>ok</v>
      </c>
      <c r="AB57" s="89" t="str">
        <f t="shared" si="29"/>
        <v>ok</v>
      </c>
      <c r="AC57" s="89" t="str">
        <f t="shared" si="29"/>
        <v>ok</v>
      </c>
      <c r="AD57" s="89" t="str">
        <f t="shared" si="29"/>
        <v>ok</v>
      </c>
      <c r="AE57" s="89" t="str">
        <f t="shared" si="29"/>
        <v>ok</v>
      </c>
      <c r="AF57" s="89" t="str">
        <f t="shared" si="29"/>
        <v>ok</v>
      </c>
      <c r="AG57" s="89" t="str">
        <f t="shared" si="29"/>
        <v>ok</v>
      </c>
      <c r="AH57" s="89" t="str">
        <f t="shared" si="29"/>
        <v>ok</v>
      </c>
      <c r="AI57" s="89" t="str">
        <f t="shared" ref="AI57:BN57" si="30">IF(SUM(AI40:AI49)=AI50,"ok","エラー")</f>
        <v>ok</v>
      </c>
      <c r="AJ57" s="89" t="str">
        <f t="shared" si="30"/>
        <v>ok</v>
      </c>
      <c r="AK57" s="89" t="str">
        <f t="shared" si="30"/>
        <v>ok</v>
      </c>
      <c r="AL57" s="89" t="str">
        <f t="shared" si="30"/>
        <v>ok</v>
      </c>
      <c r="AM57" s="89" t="str">
        <f t="shared" si="30"/>
        <v>ok</v>
      </c>
      <c r="AN57" s="89" t="str">
        <f t="shared" si="30"/>
        <v>ok</v>
      </c>
      <c r="AO57" s="89" t="str">
        <f t="shared" si="30"/>
        <v>ok</v>
      </c>
      <c r="AP57" s="89" t="str">
        <f t="shared" si="30"/>
        <v>ok</v>
      </c>
      <c r="AQ57" s="89" t="str">
        <f t="shared" si="30"/>
        <v>ok</v>
      </c>
      <c r="AR57" s="89" t="str">
        <f t="shared" si="30"/>
        <v>ok</v>
      </c>
      <c r="AS57" s="89" t="str">
        <f t="shared" si="30"/>
        <v>ok</v>
      </c>
      <c r="AT57" s="89" t="str">
        <f t="shared" si="30"/>
        <v>ok</v>
      </c>
      <c r="AU57" s="89" t="str">
        <f t="shared" si="30"/>
        <v>ok</v>
      </c>
      <c r="AV57" s="89" t="str">
        <f t="shared" si="30"/>
        <v>ok</v>
      </c>
      <c r="AW57" s="89" t="str">
        <f t="shared" si="30"/>
        <v>ok</v>
      </c>
      <c r="AX57" s="89" t="str">
        <f t="shared" si="30"/>
        <v>ok</v>
      </c>
      <c r="AY57" s="89" t="str">
        <f t="shared" si="30"/>
        <v>ok</v>
      </c>
      <c r="AZ57" s="89" t="str">
        <f t="shared" si="30"/>
        <v>ok</v>
      </c>
      <c r="BA57" s="89" t="str">
        <f t="shared" si="30"/>
        <v>ok</v>
      </c>
      <c r="BB57" s="89" t="str">
        <f t="shared" si="30"/>
        <v>ok</v>
      </c>
      <c r="BC57" s="89" t="str">
        <f t="shared" si="30"/>
        <v>ok</v>
      </c>
      <c r="BD57" s="89" t="str">
        <f t="shared" si="30"/>
        <v>ok</v>
      </c>
      <c r="BE57" s="89" t="str">
        <f t="shared" si="30"/>
        <v>ok</v>
      </c>
      <c r="BF57" s="89" t="str">
        <f t="shared" si="30"/>
        <v>ok</v>
      </c>
      <c r="BG57" s="89" t="str">
        <f t="shared" si="30"/>
        <v>ok</v>
      </c>
      <c r="BH57" s="89" t="str">
        <f t="shared" si="30"/>
        <v>ok</v>
      </c>
      <c r="BI57" s="89" t="str">
        <f t="shared" si="30"/>
        <v>ok</v>
      </c>
      <c r="BJ57" s="89" t="str">
        <f t="shared" si="30"/>
        <v>ok</v>
      </c>
      <c r="BK57" s="89" t="str">
        <f t="shared" si="30"/>
        <v>ok</v>
      </c>
      <c r="BL57" s="89" t="str">
        <f t="shared" si="30"/>
        <v>ok</v>
      </c>
      <c r="BM57" s="89" t="str">
        <f t="shared" si="30"/>
        <v>ok</v>
      </c>
      <c r="BN57" s="89" t="str">
        <f t="shared" si="30"/>
        <v>ok</v>
      </c>
      <c r="BO57" s="89" t="str">
        <f t="shared" ref="BO57:CI57" si="31">IF(SUM(BO40:BO49)=BO50,"ok","エラー")</f>
        <v>ok</v>
      </c>
      <c r="BP57" s="89" t="str">
        <f t="shared" si="31"/>
        <v>ok</v>
      </c>
      <c r="BQ57" s="89" t="str">
        <f t="shared" si="31"/>
        <v>ok</v>
      </c>
      <c r="BR57" s="89" t="str">
        <f t="shared" si="31"/>
        <v>ok</v>
      </c>
      <c r="BS57" s="89" t="str">
        <f t="shared" si="31"/>
        <v>ok</v>
      </c>
      <c r="BT57" s="89" t="str">
        <f t="shared" si="31"/>
        <v>ok</v>
      </c>
      <c r="BU57" s="89" t="str">
        <f t="shared" si="31"/>
        <v>ok</v>
      </c>
      <c r="BV57" s="89" t="str">
        <f t="shared" si="31"/>
        <v>ok</v>
      </c>
      <c r="BW57" s="89" t="str">
        <f t="shared" si="31"/>
        <v>ok</v>
      </c>
      <c r="BX57" s="89" t="str">
        <f t="shared" si="31"/>
        <v>ok</v>
      </c>
      <c r="BY57" s="89" t="str">
        <f t="shared" si="31"/>
        <v>ok</v>
      </c>
      <c r="BZ57" s="89" t="str">
        <f t="shared" si="31"/>
        <v>ok</v>
      </c>
      <c r="CA57" s="89" t="str">
        <f t="shared" si="31"/>
        <v>ok</v>
      </c>
      <c r="CB57" s="89" t="str">
        <f t="shared" si="31"/>
        <v>ok</v>
      </c>
      <c r="CC57" s="89" t="str">
        <f t="shared" si="31"/>
        <v>ok</v>
      </c>
      <c r="CD57" s="89" t="str">
        <f t="shared" si="31"/>
        <v>ok</v>
      </c>
      <c r="CE57" s="89" t="str">
        <f t="shared" si="31"/>
        <v>ok</v>
      </c>
      <c r="CF57" s="89" t="str">
        <f t="shared" si="31"/>
        <v>ok</v>
      </c>
      <c r="CG57" s="89" t="str">
        <f t="shared" si="31"/>
        <v>ok</v>
      </c>
      <c r="CH57" s="89" t="str">
        <f t="shared" si="31"/>
        <v>ok</v>
      </c>
      <c r="CI57" s="89" t="str">
        <f t="shared" si="31"/>
        <v>ok</v>
      </c>
      <c r="CJ57" s="84"/>
      <c r="CK57" s="89" t="str">
        <f t="shared" ref="CK57:DP57" si="32">IF(SUM(CK40:CK49)=CK50,"ok","エラー")</f>
        <v>ok</v>
      </c>
      <c r="CL57" s="89" t="str">
        <f t="shared" si="32"/>
        <v>ok</v>
      </c>
      <c r="CM57" s="89" t="str">
        <f t="shared" si="32"/>
        <v>ok</v>
      </c>
      <c r="CN57" s="89" t="str">
        <f t="shared" si="32"/>
        <v>ok</v>
      </c>
      <c r="CO57" s="89" t="str">
        <f t="shared" si="32"/>
        <v>ok</v>
      </c>
      <c r="CP57" s="89" t="str">
        <f t="shared" si="32"/>
        <v>ok</v>
      </c>
      <c r="CQ57" s="89" t="str">
        <f t="shared" si="32"/>
        <v>ok</v>
      </c>
      <c r="CR57" s="89" t="str">
        <f t="shared" si="32"/>
        <v>ok</v>
      </c>
      <c r="CS57" s="89" t="str">
        <f t="shared" si="32"/>
        <v>ok</v>
      </c>
      <c r="CT57" s="89" t="str">
        <f t="shared" si="32"/>
        <v>ok</v>
      </c>
      <c r="CU57" s="89" t="str">
        <f t="shared" si="32"/>
        <v>ok</v>
      </c>
      <c r="CV57" s="89" t="str">
        <f t="shared" si="32"/>
        <v>ok</v>
      </c>
      <c r="CW57" s="89" t="str">
        <f t="shared" si="32"/>
        <v>ok</v>
      </c>
      <c r="CX57" s="89" t="str">
        <f t="shared" si="32"/>
        <v>ok</v>
      </c>
      <c r="CY57" s="89" t="str">
        <f t="shared" si="32"/>
        <v>ok</v>
      </c>
      <c r="CZ57" s="89" t="str">
        <f t="shared" si="32"/>
        <v>ok</v>
      </c>
      <c r="DA57" s="89" t="str">
        <f t="shared" si="32"/>
        <v>ok</v>
      </c>
      <c r="DB57" s="89" t="str">
        <f t="shared" si="32"/>
        <v>ok</v>
      </c>
      <c r="DC57" s="89" t="str">
        <f t="shared" si="32"/>
        <v>ok</v>
      </c>
      <c r="DD57" s="89" t="str">
        <f t="shared" si="32"/>
        <v>ok</v>
      </c>
      <c r="DE57" s="89" t="str">
        <f t="shared" si="32"/>
        <v>ok</v>
      </c>
      <c r="DF57" s="89" t="str">
        <f t="shared" si="32"/>
        <v>ok</v>
      </c>
      <c r="DG57" s="89" t="str">
        <f t="shared" si="32"/>
        <v>ok</v>
      </c>
      <c r="DH57" s="89" t="str">
        <f t="shared" si="32"/>
        <v>ok</v>
      </c>
      <c r="DI57" s="89" t="str">
        <f t="shared" si="32"/>
        <v>ok</v>
      </c>
      <c r="DJ57" s="89" t="str">
        <f t="shared" si="32"/>
        <v>ok</v>
      </c>
      <c r="DK57" s="89" t="str">
        <f t="shared" si="32"/>
        <v>ok</v>
      </c>
      <c r="DL57" s="89" t="str">
        <f t="shared" si="32"/>
        <v>ok</v>
      </c>
      <c r="DM57" s="89" t="str">
        <f t="shared" si="32"/>
        <v>ok</v>
      </c>
      <c r="DN57" s="89" t="str">
        <f t="shared" si="32"/>
        <v>ok</v>
      </c>
      <c r="DO57" s="89" t="str">
        <f t="shared" si="32"/>
        <v>ok</v>
      </c>
      <c r="DP57" s="89" t="str">
        <f t="shared" si="32"/>
        <v>ok</v>
      </c>
      <c r="DQ57" s="89" t="str">
        <f t="shared" ref="DQ57:EV57" si="33">IF(SUM(DQ40:DQ49)=DQ50,"ok","エラー")</f>
        <v>ok</v>
      </c>
      <c r="DR57" s="89" t="str">
        <f t="shared" si="33"/>
        <v>ok</v>
      </c>
      <c r="DS57" s="89" t="str">
        <f t="shared" si="33"/>
        <v>ok</v>
      </c>
      <c r="DT57" s="89" t="str">
        <f t="shared" si="33"/>
        <v>ok</v>
      </c>
      <c r="DU57" s="89" t="str">
        <f t="shared" si="33"/>
        <v>ok</v>
      </c>
      <c r="DV57" s="89" t="str">
        <f t="shared" si="33"/>
        <v>ok</v>
      </c>
      <c r="DW57" s="89" t="str">
        <f t="shared" si="33"/>
        <v>ok</v>
      </c>
      <c r="DX57" s="89" t="str">
        <f t="shared" si="33"/>
        <v>ok</v>
      </c>
      <c r="DY57" s="89" t="str">
        <f t="shared" si="33"/>
        <v>ok</v>
      </c>
      <c r="DZ57" s="89" t="str">
        <f t="shared" si="33"/>
        <v>ok</v>
      </c>
      <c r="EA57" s="89" t="str">
        <f t="shared" si="33"/>
        <v>ok</v>
      </c>
      <c r="EB57" s="89" t="str">
        <f t="shared" si="33"/>
        <v>ok</v>
      </c>
      <c r="EC57" s="89" t="str">
        <f t="shared" si="33"/>
        <v>ok</v>
      </c>
      <c r="ED57" s="89" t="str">
        <f t="shared" si="33"/>
        <v>ok</v>
      </c>
      <c r="EE57" s="89" t="str">
        <f t="shared" si="33"/>
        <v>ok</v>
      </c>
      <c r="EF57" s="89" t="str">
        <f t="shared" si="33"/>
        <v>ok</v>
      </c>
      <c r="EG57" s="89" t="str">
        <f t="shared" si="33"/>
        <v>ok</v>
      </c>
      <c r="EH57" s="89" t="str">
        <f t="shared" si="33"/>
        <v>ok</v>
      </c>
      <c r="EI57" s="89" t="str">
        <f t="shared" si="33"/>
        <v>ok</v>
      </c>
      <c r="EJ57" s="89" t="str">
        <f t="shared" si="33"/>
        <v>ok</v>
      </c>
      <c r="EK57" s="89" t="str">
        <f t="shared" si="33"/>
        <v>ok</v>
      </c>
      <c r="EL57" s="89" t="str">
        <f t="shared" si="33"/>
        <v>ok</v>
      </c>
      <c r="EM57" s="89" t="str">
        <f t="shared" si="33"/>
        <v>ok</v>
      </c>
      <c r="EN57" s="89" t="str">
        <f t="shared" si="33"/>
        <v>ok</v>
      </c>
      <c r="EO57" s="89" t="str">
        <f t="shared" si="33"/>
        <v>ok</v>
      </c>
      <c r="EP57" s="89" t="str">
        <f t="shared" si="33"/>
        <v>ok</v>
      </c>
      <c r="EQ57" s="89" t="str">
        <f t="shared" si="33"/>
        <v>ok</v>
      </c>
      <c r="ER57" s="89" t="str">
        <f t="shared" si="33"/>
        <v>ok</v>
      </c>
      <c r="ES57" s="89" t="str">
        <f t="shared" si="33"/>
        <v>ok</v>
      </c>
      <c r="ET57" s="89" t="str">
        <f t="shared" si="33"/>
        <v>ok</v>
      </c>
      <c r="EU57" s="89" t="str">
        <f t="shared" si="33"/>
        <v>ok</v>
      </c>
      <c r="EV57" s="89" t="str">
        <f t="shared" si="33"/>
        <v>ok</v>
      </c>
      <c r="EW57" s="89" t="str">
        <f t="shared" ref="EW57:FM57" si="34">IF(SUM(EW40:EW49)=EW50,"ok","エラー")</f>
        <v>ok</v>
      </c>
      <c r="EX57" s="89" t="str">
        <f t="shared" si="34"/>
        <v>ok</v>
      </c>
      <c r="EY57" s="89" t="str">
        <f t="shared" si="34"/>
        <v>ok</v>
      </c>
      <c r="EZ57" s="89" t="str">
        <f t="shared" si="34"/>
        <v>ok</v>
      </c>
      <c r="FA57" s="89" t="str">
        <f t="shared" si="34"/>
        <v>ok</v>
      </c>
      <c r="FB57" s="89" t="str">
        <f t="shared" si="34"/>
        <v>ok</v>
      </c>
      <c r="FC57" s="89" t="str">
        <f t="shared" si="34"/>
        <v>ok</v>
      </c>
      <c r="FD57" s="89" t="str">
        <f t="shared" si="34"/>
        <v>ok</v>
      </c>
      <c r="FE57" s="89" t="str">
        <f t="shared" si="34"/>
        <v>ok</v>
      </c>
      <c r="FF57" s="89" t="str">
        <f t="shared" si="34"/>
        <v>ok</v>
      </c>
      <c r="FG57" s="89" t="str">
        <f t="shared" si="34"/>
        <v>ok</v>
      </c>
      <c r="FH57" s="89" t="str">
        <f t="shared" si="34"/>
        <v>ok</v>
      </c>
      <c r="FI57" s="89" t="str">
        <f t="shared" si="34"/>
        <v>エラー</v>
      </c>
      <c r="FJ57" s="89" t="str">
        <f t="shared" si="34"/>
        <v>ok</v>
      </c>
      <c r="FK57" s="89" t="str">
        <f t="shared" si="34"/>
        <v>ok</v>
      </c>
      <c r="FL57" s="89" t="str">
        <f t="shared" si="34"/>
        <v>ok</v>
      </c>
      <c r="FM57" s="89" t="str">
        <f t="shared" si="34"/>
        <v>ok</v>
      </c>
      <c r="FW57" s="89" t="str">
        <f>IF(SUM(FW40:FW49)=FW50,"ok","エラー")</f>
        <v>ok</v>
      </c>
      <c r="FY57" s="89" t="str">
        <f t="shared" ref="FY57:GD57" si="35">IF(SUM(FY40:FY49)=FY50,"ok","エラー")</f>
        <v>ok</v>
      </c>
      <c r="FZ57" s="89" t="str">
        <f t="shared" si="35"/>
        <v>ok</v>
      </c>
      <c r="GA57" s="89" t="str">
        <f t="shared" si="35"/>
        <v>ok</v>
      </c>
      <c r="GB57" s="89" t="str">
        <f t="shared" si="35"/>
        <v>ok</v>
      </c>
      <c r="GC57" s="89" t="str">
        <f t="shared" si="35"/>
        <v>ok</v>
      </c>
      <c r="GD57" s="89" t="str">
        <f t="shared" si="35"/>
        <v>ok</v>
      </c>
      <c r="GI57" s="62" t="str">
        <f>IF(SUM(GI40:GI49)=GI50,"ok","エラー")</f>
        <v>ok</v>
      </c>
    </row>
    <row r="58" spans="2:230" x14ac:dyDescent="0.15">
      <c r="B58" s="89" t="s">
        <v>650</v>
      </c>
      <c r="C58" s="89" t="str">
        <f t="shared" ref="C58:AH58" si="36">IF(C39+C50=C51,"ok","エラー")</f>
        <v>ok</v>
      </c>
      <c r="D58" s="89" t="str">
        <f t="shared" si="36"/>
        <v>ok</v>
      </c>
      <c r="E58" s="89" t="str">
        <f t="shared" si="36"/>
        <v>ok</v>
      </c>
      <c r="F58" s="89" t="str">
        <f t="shared" si="36"/>
        <v>ok</v>
      </c>
      <c r="G58" s="89" t="str">
        <f t="shared" si="36"/>
        <v>ok</v>
      </c>
      <c r="H58" s="89" t="str">
        <f t="shared" si="36"/>
        <v>ok</v>
      </c>
      <c r="I58" s="89" t="str">
        <f t="shared" si="36"/>
        <v>ok</v>
      </c>
      <c r="J58" s="89" t="str">
        <f t="shared" si="36"/>
        <v>ok</v>
      </c>
      <c r="K58" s="89" t="str">
        <f t="shared" si="36"/>
        <v>ok</v>
      </c>
      <c r="L58" s="89" t="str">
        <f t="shared" si="36"/>
        <v>ok</v>
      </c>
      <c r="M58" s="89" t="str">
        <f t="shared" si="36"/>
        <v>ok</v>
      </c>
      <c r="N58" s="89" t="str">
        <f t="shared" si="36"/>
        <v>ok</v>
      </c>
      <c r="O58" s="89" t="str">
        <f t="shared" si="36"/>
        <v>ok</v>
      </c>
      <c r="P58" s="89" t="str">
        <f t="shared" si="36"/>
        <v>ok</v>
      </c>
      <c r="Q58" s="89" t="str">
        <f t="shared" si="36"/>
        <v>ok</v>
      </c>
      <c r="R58" s="89" t="str">
        <f t="shared" si="36"/>
        <v>ok</v>
      </c>
      <c r="S58" s="75" t="str">
        <f t="shared" si="36"/>
        <v>ok</v>
      </c>
      <c r="T58" s="89" t="str">
        <f t="shared" si="36"/>
        <v>ok</v>
      </c>
      <c r="U58" s="89" t="str">
        <f t="shared" si="36"/>
        <v>ok</v>
      </c>
      <c r="V58" s="89" t="str">
        <f t="shared" si="36"/>
        <v>ok</v>
      </c>
      <c r="W58" s="89" t="str">
        <f t="shared" si="36"/>
        <v>ok</v>
      </c>
      <c r="X58" s="89" t="str">
        <f t="shared" si="36"/>
        <v>ok</v>
      </c>
      <c r="Y58" s="89" t="str">
        <f t="shared" si="36"/>
        <v>ok</v>
      </c>
      <c r="Z58" s="89" t="str">
        <f t="shared" si="36"/>
        <v>ok</v>
      </c>
      <c r="AA58" s="89" t="str">
        <f t="shared" si="36"/>
        <v>ok</v>
      </c>
      <c r="AB58" s="89" t="str">
        <f t="shared" si="36"/>
        <v>ok</v>
      </c>
      <c r="AC58" s="89" t="str">
        <f t="shared" si="36"/>
        <v>ok</v>
      </c>
      <c r="AD58" s="89" t="str">
        <f t="shared" si="36"/>
        <v>ok</v>
      </c>
      <c r="AE58" s="89" t="str">
        <f t="shared" si="36"/>
        <v>ok</v>
      </c>
      <c r="AF58" s="89" t="str">
        <f t="shared" si="36"/>
        <v>ok</v>
      </c>
      <c r="AG58" s="89" t="str">
        <f t="shared" si="36"/>
        <v>ok</v>
      </c>
      <c r="AH58" s="89" t="str">
        <f t="shared" si="36"/>
        <v>ok</v>
      </c>
      <c r="AI58" s="89" t="str">
        <f t="shared" ref="AI58:BN58" si="37">IF(AI39+AI50=AI51,"ok","エラー")</f>
        <v>ok</v>
      </c>
      <c r="AJ58" s="89" t="str">
        <f t="shared" si="37"/>
        <v>ok</v>
      </c>
      <c r="AK58" s="89" t="str">
        <f t="shared" si="37"/>
        <v>ok</v>
      </c>
      <c r="AL58" s="89" t="str">
        <f t="shared" si="37"/>
        <v>ok</v>
      </c>
      <c r="AM58" s="89" t="str">
        <f t="shared" si="37"/>
        <v>ok</v>
      </c>
      <c r="AN58" s="89" t="str">
        <f t="shared" si="37"/>
        <v>ok</v>
      </c>
      <c r="AO58" s="89" t="str">
        <f t="shared" si="37"/>
        <v>ok</v>
      </c>
      <c r="AP58" s="89" t="str">
        <f t="shared" si="37"/>
        <v>ok</v>
      </c>
      <c r="AQ58" s="89" t="str">
        <f t="shared" si="37"/>
        <v>ok</v>
      </c>
      <c r="AR58" s="89" t="str">
        <f t="shared" si="37"/>
        <v>ok</v>
      </c>
      <c r="AS58" s="89" t="str">
        <f t="shared" si="37"/>
        <v>ok</v>
      </c>
      <c r="AT58" s="89" t="str">
        <f t="shared" si="37"/>
        <v>ok</v>
      </c>
      <c r="AU58" s="89" t="str">
        <f t="shared" si="37"/>
        <v>ok</v>
      </c>
      <c r="AV58" s="89" t="str">
        <f t="shared" si="37"/>
        <v>ok</v>
      </c>
      <c r="AW58" s="89" t="str">
        <f t="shared" si="37"/>
        <v>ok</v>
      </c>
      <c r="AX58" s="89" t="str">
        <f t="shared" si="37"/>
        <v>ok</v>
      </c>
      <c r="AY58" s="89" t="str">
        <f t="shared" si="37"/>
        <v>ok</v>
      </c>
      <c r="AZ58" s="89" t="str">
        <f t="shared" si="37"/>
        <v>ok</v>
      </c>
      <c r="BA58" s="89" t="str">
        <f t="shared" si="37"/>
        <v>ok</v>
      </c>
      <c r="BB58" s="89" t="str">
        <f t="shared" si="37"/>
        <v>ok</v>
      </c>
      <c r="BC58" s="89" t="str">
        <f t="shared" si="37"/>
        <v>ok</v>
      </c>
      <c r="BD58" s="89" t="str">
        <f t="shared" si="37"/>
        <v>ok</v>
      </c>
      <c r="BE58" s="89" t="str">
        <f t="shared" si="37"/>
        <v>ok</v>
      </c>
      <c r="BF58" s="89" t="str">
        <f t="shared" si="37"/>
        <v>ok</v>
      </c>
      <c r="BG58" s="89" t="str">
        <f t="shared" si="37"/>
        <v>ok</v>
      </c>
      <c r="BH58" s="89" t="str">
        <f t="shared" si="37"/>
        <v>ok</v>
      </c>
      <c r="BI58" s="89" t="str">
        <f t="shared" si="37"/>
        <v>ok</v>
      </c>
      <c r="BJ58" s="89" t="str">
        <f t="shared" si="37"/>
        <v>ok</v>
      </c>
      <c r="BK58" s="89" t="str">
        <f t="shared" si="37"/>
        <v>ok</v>
      </c>
      <c r="BL58" s="89" t="str">
        <f t="shared" si="37"/>
        <v>ok</v>
      </c>
      <c r="BM58" s="89" t="str">
        <f t="shared" si="37"/>
        <v>ok</v>
      </c>
      <c r="BN58" s="89" t="str">
        <f t="shared" si="37"/>
        <v>ok</v>
      </c>
      <c r="BO58" s="89" t="str">
        <f t="shared" ref="BO58:CI58" si="38">IF(BO39+BO50=BO51,"ok","エラー")</f>
        <v>ok</v>
      </c>
      <c r="BP58" s="89" t="str">
        <f t="shared" si="38"/>
        <v>ok</v>
      </c>
      <c r="BQ58" s="89" t="str">
        <f t="shared" si="38"/>
        <v>ok</v>
      </c>
      <c r="BR58" s="89" t="str">
        <f t="shared" si="38"/>
        <v>ok</v>
      </c>
      <c r="BS58" s="89" t="str">
        <f t="shared" si="38"/>
        <v>ok</v>
      </c>
      <c r="BT58" s="89" t="str">
        <f t="shared" si="38"/>
        <v>ok</v>
      </c>
      <c r="BU58" s="89" t="str">
        <f t="shared" si="38"/>
        <v>ok</v>
      </c>
      <c r="BV58" s="89" t="str">
        <f t="shared" si="38"/>
        <v>ok</v>
      </c>
      <c r="BW58" s="89" t="str">
        <f t="shared" si="38"/>
        <v>ok</v>
      </c>
      <c r="BX58" s="89" t="str">
        <f t="shared" si="38"/>
        <v>ok</v>
      </c>
      <c r="BY58" s="89" t="str">
        <f t="shared" si="38"/>
        <v>ok</v>
      </c>
      <c r="BZ58" s="89" t="str">
        <f t="shared" si="38"/>
        <v>ok</v>
      </c>
      <c r="CA58" s="89" t="str">
        <f t="shared" si="38"/>
        <v>ok</v>
      </c>
      <c r="CB58" s="89" t="str">
        <f t="shared" si="38"/>
        <v>ok</v>
      </c>
      <c r="CC58" s="89" t="str">
        <f t="shared" si="38"/>
        <v>ok</v>
      </c>
      <c r="CD58" s="89" t="str">
        <f t="shared" si="38"/>
        <v>ok</v>
      </c>
      <c r="CE58" s="89" t="str">
        <f t="shared" si="38"/>
        <v>ok</v>
      </c>
      <c r="CF58" s="89" t="str">
        <f t="shared" si="38"/>
        <v>ok</v>
      </c>
      <c r="CG58" s="89" t="str">
        <f t="shared" si="38"/>
        <v>ok</v>
      </c>
      <c r="CH58" s="89" t="str">
        <f t="shared" si="38"/>
        <v>ok</v>
      </c>
      <c r="CI58" s="89" t="str">
        <f t="shared" si="38"/>
        <v>ok</v>
      </c>
      <c r="CJ58" s="84"/>
      <c r="CK58" s="89" t="str">
        <f t="shared" ref="CK58:DP58" si="39">IF(CK39+CK50=CK51,"ok","エラー")</f>
        <v>ok</v>
      </c>
      <c r="CL58" s="89" t="str">
        <f t="shared" si="39"/>
        <v>ok</v>
      </c>
      <c r="CM58" s="89" t="str">
        <f t="shared" si="39"/>
        <v>ok</v>
      </c>
      <c r="CN58" s="89" t="str">
        <f t="shared" si="39"/>
        <v>ok</v>
      </c>
      <c r="CO58" s="89" t="str">
        <f t="shared" si="39"/>
        <v>ok</v>
      </c>
      <c r="CP58" s="89" t="str">
        <f t="shared" si="39"/>
        <v>ok</v>
      </c>
      <c r="CQ58" s="89" t="str">
        <f t="shared" si="39"/>
        <v>ok</v>
      </c>
      <c r="CR58" s="89" t="str">
        <f t="shared" si="39"/>
        <v>ok</v>
      </c>
      <c r="CS58" s="89" t="str">
        <f t="shared" si="39"/>
        <v>ok</v>
      </c>
      <c r="CT58" s="89" t="str">
        <f t="shared" si="39"/>
        <v>ok</v>
      </c>
      <c r="CU58" s="89" t="str">
        <f t="shared" si="39"/>
        <v>ok</v>
      </c>
      <c r="CV58" s="89" t="str">
        <f t="shared" si="39"/>
        <v>ok</v>
      </c>
      <c r="CW58" s="89" t="str">
        <f t="shared" si="39"/>
        <v>ok</v>
      </c>
      <c r="CX58" s="89" t="str">
        <f t="shared" si="39"/>
        <v>ok</v>
      </c>
      <c r="CY58" s="89" t="str">
        <f t="shared" si="39"/>
        <v>ok</v>
      </c>
      <c r="CZ58" s="89" t="str">
        <f t="shared" si="39"/>
        <v>ok</v>
      </c>
      <c r="DA58" s="89" t="str">
        <f t="shared" si="39"/>
        <v>ok</v>
      </c>
      <c r="DB58" s="89" t="str">
        <f t="shared" si="39"/>
        <v>ok</v>
      </c>
      <c r="DC58" s="89" t="str">
        <f t="shared" si="39"/>
        <v>ok</v>
      </c>
      <c r="DD58" s="89" t="str">
        <f t="shared" si="39"/>
        <v>ok</v>
      </c>
      <c r="DE58" s="89" t="str">
        <f t="shared" si="39"/>
        <v>ok</v>
      </c>
      <c r="DF58" s="89" t="str">
        <f t="shared" si="39"/>
        <v>ok</v>
      </c>
      <c r="DG58" s="89" t="str">
        <f t="shared" si="39"/>
        <v>ok</v>
      </c>
      <c r="DH58" s="89" t="str">
        <f t="shared" si="39"/>
        <v>ok</v>
      </c>
      <c r="DI58" s="89" t="str">
        <f t="shared" si="39"/>
        <v>ok</v>
      </c>
      <c r="DJ58" s="89" t="str">
        <f t="shared" si="39"/>
        <v>ok</v>
      </c>
      <c r="DK58" s="89" t="str">
        <f t="shared" si="39"/>
        <v>ok</v>
      </c>
      <c r="DL58" s="89" t="str">
        <f t="shared" si="39"/>
        <v>ok</v>
      </c>
      <c r="DM58" s="89" t="str">
        <f t="shared" si="39"/>
        <v>ok</v>
      </c>
      <c r="DN58" s="89" t="str">
        <f t="shared" si="39"/>
        <v>ok</v>
      </c>
      <c r="DO58" s="89" t="str">
        <f t="shared" si="39"/>
        <v>ok</v>
      </c>
      <c r="DP58" s="89" t="str">
        <f t="shared" si="39"/>
        <v>ok</v>
      </c>
      <c r="DQ58" s="89" t="str">
        <f t="shared" ref="DQ58:EV58" si="40">IF(DQ39+DQ50=DQ51,"ok","エラー")</f>
        <v>ok</v>
      </c>
      <c r="DR58" s="89" t="str">
        <f t="shared" si="40"/>
        <v>ok</v>
      </c>
      <c r="DS58" s="89" t="str">
        <f t="shared" si="40"/>
        <v>ok</v>
      </c>
      <c r="DT58" s="89" t="str">
        <f t="shared" si="40"/>
        <v>ok</v>
      </c>
      <c r="DU58" s="89" t="str">
        <f t="shared" si="40"/>
        <v>ok</v>
      </c>
      <c r="DV58" s="89" t="str">
        <f t="shared" si="40"/>
        <v>ok</v>
      </c>
      <c r="DW58" s="89" t="str">
        <f t="shared" si="40"/>
        <v>ok</v>
      </c>
      <c r="DX58" s="89" t="str">
        <f t="shared" si="40"/>
        <v>ok</v>
      </c>
      <c r="DY58" s="89" t="str">
        <f t="shared" si="40"/>
        <v>ok</v>
      </c>
      <c r="DZ58" s="89" t="str">
        <f t="shared" si="40"/>
        <v>ok</v>
      </c>
      <c r="EA58" s="89" t="str">
        <f t="shared" si="40"/>
        <v>ok</v>
      </c>
      <c r="EB58" s="89" t="str">
        <f t="shared" si="40"/>
        <v>ok</v>
      </c>
      <c r="EC58" s="89" t="str">
        <f t="shared" si="40"/>
        <v>ok</v>
      </c>
      <c r="ED58" s="89" t="str">
        <f t="shared" si="40"/>
        <v>ok</v>
      </c>
      <c r="EE58" s="89" t="str">
        <f t="shared" si="40"/>
        <v>ok</v>
      </c>
      <c r="EF58" s="89" t="str">
        <f t="shared" si="40"/>
        <v>ok</v>
      </c>
      <c r="EG58" s="89" t="str">
        <f t="shared" si="40"/>
        <v>ok</v>
      </c>
      <c r="EH58" s="89" t="str">
        <f t="shared" si="40"/>
        <v>ok</v>
      </c>
      <c r="EI58" s="89" t="str">
        <f t="shared" si="40"/>
        <v>ok</v>
      </c>
      <c r="EJ58" s="89" t="str">
        <f t="shared" si="40"/>
        <v>ok</v>
      </c>
      <c r="EK58" s="89" t="str">
        <f t="shared" si="40"/>
        <v>ok</v>
      </c>
      <c r="EL58" s="89" t="str">
        <f t="shared" si="40"/>
        <v>ok</v>
      </c>
      <c r="EM58" s="89" t="str">
        <f t="shared" si="40"/>
        <v>ok</v>
      </c>
      <c r="EN58" s="89" t="str">
        <f t="shared" si="40"/>
        <v>ok</v>
      </c>
      <c r="EO58" s="89" t="str">
        <f t="shared" si="40"/>
        <v>ok</v>
      </c>
      <c r="EP58" s="89" t="str">
        <f t="shared" si="40"/>
        <v>ok</v>
      </c>
      <c r="EQ58" s="89" t="str">
        <f t="shared" si="40"/>
        <v>ok</v>
      </c>
      <c r="ER58" s="89" t="str">
        <f t="shared" si="40"/>
        <v>ok</v>
      </c>
      <c r="ES58" s="89" t="str">
        <f t="shared" si="40"/>
        <v>ok</v>
      </c>
      <c r="ET58" s="89" t="str">
        <f t="shared" si="40"/>
        <v>ok</v>
      </c>
      <c r="EU58" s="89" t="str">
        <f t="shared" si="40"/>
        <v>ok</v>
      </c>
      <c r="EV58" s="89" t="str">
        <f t="shared" si="40"/>
        <v>ok</v>
      </c>
      <c r="EW58" s="89" t="str">
        <f t="shared" ref="EW58:FM58" si="41">IF(EW39+EW50=EW51,"ok","エラー")</f>
        <v>ok</v>
      </c>
      <c r="EX58" s="89" t="str">
        <f t="shared" si="41"/>
        <v>ok</v>
      </c>
      <c r="EY58" s="89" t="str">
        <f t="shared" si="41"/>
        <v>ok</v>
      </c>
      <c r="EZ58" s="89" t="str">
        <f t="shared" si="41"/>
        <v>ok</v>
      </c>
      <c r="FA58" s="89" t="str">
        <f t="shared" si="41"/>
        <v>ok</v>
      </c>
      <c r="FB58" s="89" t="str">
        <f t="shared" si="41"/>
        <v>ok</v>
      </c>
      <c r="FC58" s="89" t="str">
        <f t="shared" si="41"/>
        <v>ok</v>
      </c>
      <c r="FD58" s="89" t="str">
        <f t="shared" si="41"/>
        <v>ok</v>
      </c>
      <c r="FE58" s="89" t="str">
        <f t="shared" si="41"/>
        <v>ok</v>
      </c>
      <c r="FF58" s="89" t="str">
        <f t="shared" si="41"/>
        <v>ok</v>
      </c>
      <c r="FG58" s="89" t="str">
        <f t="shared" si="41"/>
        <v>ok</v>
      </c>
      <c r="FH58" s="89" t="str">
        <f t="shared" si="41"/>
        <v>ok</v>
      </c>
      <c r="FI58" s="89" t="str">
        <f t="shared" si="41"/>
        <v>エラー</v>
      </c>
      <c r="FJ58" s="89" t="str">
        <f t="shared" si="41"/>
        <v>ok</v>
      </c>
      <c r="FK58" s="89" t="str">
        <f t="shared" si="41"/>
        <v>ok</v>
      </c>
      <c r="FL58" s="89" t="str">
        <f t="shared" si="41"/>
        <v>ok</v>
      </c>
      <c r="FM58" s="89" t="str">
        <f t="shared" si="41"/>
        <v>ok</v>
      </c>
      <c r="FW58" s="89" t="str">
        <f>IF(FW39+FW50=FW51,"ok","エラー")</f>
        <v>ok</v>
      </c>
      <c r="FY58" s="89" t="str">
        <f t="shared" ref="FY58:GD58" si="42">IF(FY39+FY50=FY51,"ok","エラー")</f>
        <v>ok</v>
      </c>
      <c r="FZ58" s="89" t="str">
        <f t="shared" si="42"/>
        <v>ok</v>
      </c>
      <c r="GA58" s="89" t="str">
        <f t="shared" si="42"/>
        <v>ok</v>
      </c>
      <c r="GB58" s="89" t="str">
        <f t="shared" si="42"/>
        <v>ok</v>
      </c>
      <c r="GC58" s="89" t="str">
        <f t="shared" si="42"/>
        <v>ok</v>
      </c>
      <c r="GD58" s="89" t="str">
        <f t="shared" si="42"/>
        <v>ok</v>
      </c>
      <c r="GI58" s="62" t="str">
        <f>IF(GI39+GI50=GI51,"ok","エラー")</f>
        <v>ok</v>
      </c>
    </row>
    <row r="59" spans="2:230" x14ac:dyDescent="0.15">
      <c r="B59" s="72" t="s">
        <v>650</v>
      </c>
      <c r="C59" s="89" t="str">
        <f t="shared" ref="C59:AH59" si="43">IF(C6+C7+C51=C52,"ok","エラー")</f>
        <v>ok</v>
      </c>
      <c r="D59" s="89" t="str">
        <f t="shared" si="43"/>
        <v>ok</v>
      </c>
      <c r="E59" s="89" t="str">
        <f t="shared" si="43"/>
        <v>ok</v>
      </c>
      <c r="F59" s="89" t="str">
        <f t="shared" si="43"/>
        <v>ok</v>
      </c>
      <c r="G59" s="89" t="str">
        <f t="shared" si="43"/>
        <v>ok</v>
      </c>
      <c r="H59" s="89" t="str">
        <f t="shared" si="43"/>
        <v>ok</v>
      </c>
      <c r="I59" s="89" t="str">
        <f t="shared" si="43"/>
        <v>ok</v>
      </c>
      <c r="J59" s="89" t="str">
        <f t="shared" si="43"/>
        <v>ok</v>
      </c>
      <c r="K59" s="89" t="str">
        <f t="shared" si="43"/>
        <v>ok</v>
      </c>
      <c r="L59" s="89" t="str">
        <f t="shared" si="43"/>
        <v>ok</v>
      </c>
      <c r="M59" s="89" t="str">
        <f t="shared" si="43"/>
        <v>ok</v>
      </c>
      <c r="N59" s="89" t="str">
        <f t="shared" si="43"/>
        <v>ok</v>
      </c>
      <c r="O59" s="89" t="str">
        <f t="shared" si="43"/>
        <v>ok</v>
      </c>
      <c r="P59" s="89" t="str">
        <f t="shared" si="43"/>
        <v>ok</v>
      </c>
      <c r="Q59" s="89" t="str">
        <f t="shared" si="43"/>
        <v>ok</v>
      </c>
      <c r="R59" s="89" t="str">
        <f t="shared" si="43"/>
        <v>ok</v>
      </c>
      <c r="S59" s="75" t="str">
        <f t="shared" si="43"/>
        <v>ok</v>
      </c>
      <c r="T59" s="89" t="str">
        <f t="shared" si="43"/>
        <v>ok</v>
      </c>
      <c r="U59" s="89" t="str">
        <f t="shared" si="43"/>
        <v>ok</v>
      </c>
      <c r="V59" s="89" t="str">
        <f t="shared" si="43"/>
        <v>ok</v>
      </c>
      <c r="W59" s="89" t="str">
        <f t="shared" si="43"/>
        <v>ok</v>
      </c>
      <c r="X59" s="89" t="str">
        <f t="shared" si="43"/>
        <v>ok</v>
      </c>
      <c r="Y59" s="89" t="str">
        <f t="shared" si="43"/>
        <v>ok</v>
      </c>
      <c r="Z59" s="89" t="str">
        <f t="shared" si="43"/>
        <v>ok</v>
      </c>
      <c r="AA59" s="89" t="str">
        <f t="shared" si="43"/>
        <v>ok</v>
      </c>
      <c r="AB59" s="89" t="str">
        <f t="shared" si="43"/>
        <v>ok</v>
      </c>
      <c r="AC59" s="89" t="str">
        <f t="shared" si="43"/>
        <v>ok</v>
      </c>
      <c r="AD59" s="89" t="str">
        <f t="shared" si="43"/>
        <v>ok</v>
      </c>
      <c r="AE59" s="89" t="str">
        <f t="shared" si="43"/>
        <v>ok</v>
      </c>
      <c r="AF59" s="89" t="str">
        <f t="shared" si="43"/>
        <v>ok</v>
      </c>
      <c r="AG59" s="89" t="str">
        <f t="shared" si="43"/>
        <v>ok</v>
      </c>
      <c r="AH59" s="89" t="str">
        <f t="shared" si="43"/>
        <v>ok</v>
      </c>
      <c r="AI59" s="89" t="str">
        <f t="shared" ref="AI59:BN59" si="44">IF(AI6+AI7+AI51=AI52,"ok","エラー")</f>
        <v>ok</v>
      </c>
      <c r="AJ59" s="89" t="str">
        <f t="shared" si="44"/>
        <v>ok</v>
      </c>
      <c r="AK59" s="89" t="str">
        <f t="shared" si="44"/>
        <v>ok</v>
      </c>
      <c r="AL59" s="89" t="str">
        <f t="shared" si="44"/>
        <v>ok</v>
      </c>
      <c r="AM59" s="89" t="str">
        <f t="shared" si="44"/>
        <v>ok</v>
      </c>
      <c r="AN59" s="89" t="str">
        <f t="shared" si="44"/>
        <v>ok</v>
      </c>
      <c r="AO59" s="89" t="str">
        <f t="shared" si="44"/>
        <v>ok</v>
      </c>
      <c r="AP59" s="89" t="str">
        <f t="shared" si="44"/>
        <v>ok</v>
      </c>
      <c r="AQ59" s="89" t="str">
        <f t="shared" si="44"/>
        <v>ok</v>
      </c>
      <c r="AR59" s="89" t="str">
        <f t="shared" si="44"/>
        <v>ok</v>
      </c>
      <c r="AS59" s="89" t="str">
        <f t="shared" si="44"/>
        <v>ok</v>
      </c>
      <c r="AT59" s="89" t="str">
        <f t="shared" si="44"/>
        <v>ok</v>
      </c>
      <c r="AU59" s="89" t="str">
        <f t="shared" si="44"/>
        <v>ok</v>
      </c>
      <c r="AV59" s="89" t="str">
        <f t="shared" si="44"/>
        <v>ok</v>
      </c>
      <c r="AW59" s="89" t="str">
        <f t="shared" si="44"/>
        <v>ok</v>
      </c>
      <c r="AX59" s="89" t="str">
        <f t="shared" si="44"/>
        <v>ok</v>
      </c>
      <c r="AY59" s="89" t="str">
        <f t="shared" si="44"/>
        <v>ok</v>
      </c>
      <c r="AZ59" s="89" t="str">
        <f t="shared" si="44"/>
        <v>ok</v>
      </c>
      <c r="BA59" s="89" t="str">
        <f t="shared" si="44"/>
        <v>ok</v>
      </c>
      <c r="BB59" s="89" t="str">
        <f t="shared" si="44"/>
        <v>ok</v>
      </c>
      <c r="BC59" s="89" t="str">
        <f t="shared" si="44"/>
        <v>ok</v>
      </c>
      <c r="BD59" s="89" t="str">
        <f t="shared" si="44"/>
        <v>ok</v>
      </c>
      <c r="BE59" s="89" t="str">
        <f t="shared" si="44"/>
        <v>ok</v>
      </c>
      <c r="BF59" s="89" t="str">
        <f t="shared" si="44"/>
        <v>ok</v>
      </c>
      <c r="BG59" s="89" t="str">
        <f t="shared" si="44"/>
        <v>ok</v>
      </c>
      <c r="BH59" s="89" t="str">
        <f t="shared" si="44"/>
        <v>ok</v>
      </c>
      <c r="BI59" s="89" t="str">
        <f t="shared" si="44"/>
        <v>ok</v>
      </c>
      <c r="BJ59" s="89" t="str">
        <f t="shared" si="44"/>
        <v>ok</v>
      </c>
      <c r="BK59" s="89" t="str">
        <f t="shared" si="44"/>
        <v>ok</v>
      </c>
      <c r="BL59" s="89" t="str">
        <f t="shared" si="44"/>
        <v>ok</v>
      </c>
      <c r="BM59" s="89" t="str">
        <f t="shared" si="44"/>
        <v>ok</v>
      </c>
      <c r="BN59" s="89" t="str">
        <f t="shared" si="44"/>
        <v>ok</v>
      </c>
      <c r="BO59" s="89" t="str">
        <f t="shared" ref="BO59:CI59" si="45">IF(BO6+BO7+BO51=BO52,"ok","エラー")</f>
        <v>ok</v>
      </c>
      <c r="BP59" s="89" t="str">
        <f t="shared" si="45"/>
        <v>ok</v>
      </c>
      <c r="BQ59" s="89" t="str">
        <f t="shared" si="45"/>
        <v>ok</v>
      </c>
      <c r="BR59" s="89" t="str">
        <f t="shared" si="45"/>
        <v>ok</v>
      </c>
      <c r="BS59" s="89" t="str">
        <f t="shared" si="45"/>
        <v>ok</v>
      </c>
      <c r="BT59" s="89" t="str">
        <f t="shared" si="45"/>
        <v>ok</v>
      </c>
      <c r="BU59" s="89" t="str">
        <f t="shared" si="45"/>
        <v>ok</v>
      </c>
      <c r="BV59" s="89" t="str">
        <f t="shared" si="45"/>
        <v>ok</v>
      </c>
      <c r="BW59" s="89" t="str">
        <f t="shared" si="45"/>
        <v>ok</v>
      </c>
      <c r="BX59" s="89" t="str">
        <f t="shared" si="45"/>
        <v>ok</v>
      </c>
      <c r="BY59" s="89" t="str">
        <f t="shared" si="45"/>
        <v>ok</v>
      </c>
      <c r="BZ59" s="89" t="str">
        <f t="shared" si="45"/>
        <v>ok</v>
      </c>
      <c r="CA59" s="89" t="str">
        <f t="shared" si="45"/>
        <v>ok</v>
      </c>
      <c r="CB59" s="89" t="str">
        <f t="shared" si="45"/>
        <v>ok</v>
      </c>
      <c r="CC59" s="89" t="str">
        <f t="shared" si="45"/>
        <v>ok</v>
      </c>
      <c r="CD59" s="89" t="str">
        <f t="shared" si="45"/>
        <v>ok</v>
      </c>
      <c r="CE59" s="89" t="str">
        <f t="shared" si="45"/>
        <v>ok</v>
      </c>
      <c r="CF59" s="89" t="str">
        <f t="shared" si="45"/>
        <v>ok</v>
      </c>
      <c r="CG59" s="89" t="str">
        <f t="shared" si="45"/>
        <v>ok</v>
      </c>
      <c r="CH59" s="89" t="str">
        <f t="shared" si="45"/>
        <v>ok</v>
      </c>
      <c r="CI59" s="89" t="str">
        <f t="shared" si="45"/>
        <v>ok</v>
      </c>
      <c r="CJ59" s="84"/>
      <c r="CK59" s="89" t="str">
        <f t="shared" ref="CK59:DP59" si="46">IF(CK6+CK7+CK51=CK52,"ok","エラー")</f>
        <v>ok</v>
      </c>
      <c r="CL59" s="89" t="str">
        <f t="shared" si="46"/>
        <v>ok</v>
      </c>
      <c r="CM59" s="89" t="str">
        <f t="shared" si="46"/>
        <v>ok</v>
      </c>
      <c r="CN59" s="89" t="str">
        <f t="shared" si="46"/>
        <v>ok</v>
      </c>
      <c r="CO59" s="89" t="str">
        <f t="shared" si="46"/>
        <v>ok</v>
      </c>
      <c r="CP59" s="89" t="str">
        <f t="shared" si="46"/>
        <v>ok</v>
      </c>
      <c r="CQ59" s="89" t="str">
        <f t="shared" si="46"/>
        <v>ok</v>
      </c>
      <c r="CR59" s="89" t="str">
        <f t="shared" si="46"/>
        <v>ok</v>
      </c>
      <c r="CS59" s="89" t="str">
        <f t="shared" si="46"/>
        <v>ok</v>
      </c>
      <c r="CT59" s="89" t="str">
        <f t="shared" si="46"/>
        <v>ok</v>
      </c>
      <c r="CU59" s="89" t="str">
        <f t="shared" si="46"/>
        <v>ok</v>
      </c>
      <c r="CV59" s="89" t="str">
        <f t="shared" si="46"/>
        <v>ok</v>
      </c>
      <c r="CW59" s="89" t="str">
        <f t="shared" si="46"/>
        <v>ok</v>
      </c>
      <c r="CX59" s="89" t="str">
        <f t="shared" si="46"/>
        <v>ok</v>
      </c>
      <c r="CY59" s="89" t="str">
        <f t="shared" si="46"/>
        <v>ok</v>
      </c>
      <c r="CZ59" s="89" t="str">
        <f t="shared" si="46"/>
        <v>ok</v>
      </c>
      <c r="DA59" s="89" t="str">
        <f t="shared" si="46"/>
        <v>ok</v>
      </c>
      <c r="DB59" s="89" t="str">
        <f t="shared" si="46"/>
        <v>ok</v>
      </c>
      <c r="DC59" s="89" t="str">
        <f t="shared" si="46"/>
        <v>ok</v>
      </c>
      <c r="DD59" s="89" t="str">
        <f t="shared" si="46"/>
        <v>ok</v>
      </c>
      <c r="DE59" s="89" t="str">
        <f t="shared" si="46"/>
        <v>ok</v>
      </c>
      <c r="DF59" s="89" t="str">
        <f t="shared" si="46"/>
        <v>ok</v>
      </c>
      <c r="DG59" s="89" t="str">
        <f t="shared" si="46"/>
        <v>ok</v>
      </c>
      <c r="DH59" s="89" t="str">
        <f t="shared" si="46"/>
        <v>ok</v>
      </c>
      <c r="DI59" s="89" t="str">
        <f t="shared" si="46"/>
        <v>ok</v>
      </c>
      <c r="DJ59" s="89" t="str">
        <f t="shared" si="46"/>
        <v>ok</v>
      </c>
      <c r="DK59" s="89" t="str">
        <f t="shared" si="46"/>
        <v>ok</v>
      </c>
      <c r="DL59" s="89" t="str">
        <f t="shared" si="46"/>
        <v>ok</v>
      </c>
      <c r="DM59" s="89" t="str">
        <f t="shared" si="46"/>
        <v>ok</v>
      </c>
      <c r="DN59" s="89" t="str">
        <f t="shared" si="46"/>
        <v>ok</v>
      </c>
      <c r="DO59" s="89" t="str">
        <f t="shared" si="46"/>
        <v>ok</v>
      </c>
      <c r="DP59" s="89" t="str">
        <f t="shared" si="46"/>
        <v>ok</v>
      </c>
      <c r="DQ59" s="89" t="str">
        <f t="shared" ref="DQ59:EV59" si="47">IF(DQ6+DQ7+DQ51=DQ52,"ok","エラー")</f>
        <v>ok</v>
      </c>
      <c r="DR59" s="89" t="str">
        <f t="shared" si="47"/>
        <v>ok</v>
      </c>
      <c r="DS59" s="89" t="str">
        <f t="shared" si="47"/>
        <v>ok</v>
      </c>
      <c r="DT59" s="89" t="str">
        <f t="shared" si="47"/>
        <v>ok</v>
      </c>
      <c r="DU59" s="89" t="str">
        <f t="shared" si="47"/>
        <v>ok</v>
      </c>
      <c r="DV59" s="89" t="str">
        <f t="shared" si="47"/>
        <v>ok</v>
      </c>
      <c r="DW59" s="89" t="str">
        <f t="shared" si="47"/>
        <v>ok</v>
      </c>
      <c r="DX59" s="89" t="str">
        <f t="shared" si="47"/>
        <v>ok</v>
      </c>
      <c r="DY59" s="89" t="str">
        <f t="shared" si="47"/>
        <v>ok</v>
      </c>
      <c r="DZ59" s="89" t="str">
        <f t="shared" si="47"/>
        <v>ok</v>
      </c>
      <c r="EA59" s="89" t="str">
        <f t="shared" si="47"/>
        <v>ok</v>
      </c>
      <c r="EB59" s="89" t="str">
        <f t="shared" si="47"/>
        <v>ok</v>
      </c>
      <c r="EC59" s="89" t="str">
        <f t="shared" si="47"/>
        <v>ok</v>
      </c>
      <c r="ED59" s="89" t="str">
        <f t="shared" si="47"/>
        <v>ok</v>
      </c>
      <c r="EE59" s="89" t="str">
        <f t="shared" si="47"/>
        <v>ok</v>
      </c>
      <c r="EF59" s="89" t="str">
        <f t="shared" si="47"/>
        <v>ok</v>
      </c>
      <c r="EG59" s="89" t="str">
        <f t="shared" si="47"/>
        <v>ok</v>
      </c>
      <c r="EH59" s="89" t="str">
        <f t="shared" si="47"/>
        <v>ok</v>
      </c>
      <c r="EI59" s="89" t="str">
        <f t="shared" si="47"/>
        <v>ok</v>
      </c>
      <c r="EJ59" s="89" t="str">
        <f t="shared" si="47"/>
        <v>ok</v>
      </c>
      <c r="EK59" s="89" t="str">
        <f t="shared" si="47"/>
        <v>ok</v>
      </c>
      <c r="EL59" s="89" t="str">
        <f t="shared" si="47"/>
        <v>ok</v>
      </c>
      <c r="EM59" s="89" t="str">
        <f t="shared" si="47"/>
        <v>ok</v>
      </c>
      <c r="EN59" s="89" t="str">
        <f t="shared" si="47"/>
        <v>ok</v>
      </c>
      <c r="EO59" s="89" t="str">
        <f t="shared" si="47"/>
        <v>ok</v>
      </c>
      <c r="EP59" s="89" t="str">
        <f t="shared" si="47"/>
        <v>ok</v>
      </c>
      <c r="EQ59" s="89" t="str">
        <f t="shared" si="47"/>
        <v>ok</v>
      </c>
      <c r="ER59" s="89" t="str">
        <f t="shared" si="47"/>
        <v>ok</v>
      </c>
      <c r="ES59" s="89" t="str">
        <f t="shared" si="47"/>
        <v>ok</v>
      </c>
      <c r="ET59" s="89" t="str">
        <f t="shared" si="47"/>
        <v>ok</v>
      </c>
      <c r="EU59" s="89" t="str">
        <f t="shared" si="47"/>
        <v>ok</v>
      </c>
      <c r="EV59" s="89" t="str">
        <f t="shared" si="47"/>
        <v>ok</v>
      </c>
      <c r="EW59" s="89" t="str">
        <f t="shared" ref="EW59:FM59" si="48">IF(EW6+EW7+EW51=EW52,"ok","エラー")</f>
        <v>ok</v>
      </c>
      <c r="EX59" s="89" t="str">
        <f t="shared" si="48"/>
        <v>ok</v>
      </c>
      <c r="EY59" s="89" t="str">
        <f t="shared" si="48"/>
        <v>ok</v>
      </c>
      <c r="EZ59" s="89" t="str">
        <f t="shared" si="48"/>
        <v>ok</v>
      </c>
      <c r="FA59" s="89" t="str">
        <f t="shared" si="48"/>
        <v>ok</v>
      </c>
      <c r="FB59" s="89" t="str">
        <f t="shared" si="48"/>
        <v>ok</v>
      </c>
      <c r="FC59" s="89" t="str">
        <f t="shared" si="48"/>
        <v>ok</v>
      </c>
      <c r="FD59" s="89" t="str">
        <f t="shared" si="48"/>
        <v>ok</v>
      </c>
      <c r="FE59" s="89" t="str">
        <f t="shared" si="48"/>
        <v>ok</v>
      </c>
      <c r="FF59" s="89" t="str">
        <f t="shared" si="48"/>
        <v>ok</v>
      </c>
      <c r="FG59" s="89" t="str">
        <f t="shared" si="48"/>
        <v>ok</v>
      </c>
      <c r="FH59" s="89" t="str">
        <f t="shared" si="48"/>
        <v>ok</v>
      </c>
      <c r="FI59" s="89" t="str">
        <f t="shared" si="48"/>
        <v>エラー</v>
      </c>
      <c r="FJ59" s="89" t="str">
        <f t="shared" si="48"/>
        <v>ok</v>
      </c>
      <c r="FK59" s="89" t="str">
        <f t="shared" si="48"/>
        <v>ok</v>
      </c>
      <c r="FL59" s="89" t="str">
        <f t="shared" si="48"/>
        <v>ok</v>
      </c>
      <c r="FM59" s="89" t="str">
        <f t="shared" si="48"/>
        <v>ok</v>
      </c>
      <c r="FW59" s="89" t="str">
        <f>IF(FW6+FW7+FW51=FW52,"ok","エラー")</f>
        <v>ok</v>
      </c>
      <c r="FY59" s="89" t="str">
        <f t="shared" ref="FY59:GD59" si="49">IF(FY6+FY7+FY51=FY52,"ok","エラー")</f>
        <v>ok</v>
      </c>
      <c r="FZ59" s="89" t="str">
        <f t="shared" si="49"/>
        <v>ok</v>
      </c>
      <c r="GA59" s="89" t="str">
        <f t="shared" si="49"/>
        <v>ok</v>
      </c>
      <c r="GB59" s="89" t="str">
        <f t="shared" si="49"/>
        <v>ok</v>
      </c>
      <c r="GC59" s="89" t="str">
        <f t="shared" si="49"/>
        <v>ok</v>
      </c>
      <c r="GD59" s="89" t="str">
        <f t="shared" si="49"/>
        <v>ok</v>
      </c>
      <c r="GI59" s="89" t="str">
        <f>IF(GI6+GI7+GI51=GI52,"ok","エラー")</f>
        <v>ok</v>
      </c>
    </row>
    <row r="66" spans="143:144" x14ac:dyDescent="0.15">
      <c r="EM66" s="421"/>
      <c r="EN66" s="422"/>
    </row>
    <row r="67" spans="143:144" x14ac:dyDescent="0.15">
      <c r="EM67" s="421"/>
      <c r="EN67" s="422"/>
    </row>
    <row r="68" spans="143:144" x14ac:dyDescent="0.15">
      <c r="EM68" s="421"/>
      <c r="EN68" s="422"/>
    </row>
    <row r="69" spans="143:144" x14ac:dyDescent="0.15">
      <c r="EM69" s="421"/>
      <c r="EN69" s="422"/>
    </row>
    <row r="70" spans="143:144" x14ac:dyDescent="0.15">
      <c r="EM70" s="421"/>
      <c r="EN70" s="422"/>
    </row>
    <row r="71" spans="143:144" x14ac:dyDescent="0.15">
      <c r="EM71" s="421"/>
      <c r="EN71" s="422"/>
    </row>
    <row r="72" spans="143:144" x14ac:dyDescent="0.15">
      <c r="EM72" s="421"/>
      <c r="EN72" s="422"/>
    </row>
    <row r="73" spans="143:144" x14ac:dyDescent="0.15">
      <c r="EM73" s="421"/>
      <c r="EN73" s="422"/>
    </row>
    <row r="74" spans="143:144" x14ac:dyDescent="0.15">
      <c r="EM74" s="421"/>
      <c r="EN74" s="422"/>
    </row>
    <row r="75" spans="143:144" x14ac:dyDescent="0.15">
      <c r="EM75" s="421"/>
      <c r="EN75" s="422"/>
    </row>
    <row r="76" spans="143:144" x14ac:dyDescent="0.15">
      <c r="EM76" s="421"/>
      <c r="EN76" s="422"/>
    </row>
    <row r="77" spans="143:144" x14ac:dyDescent="0.15">
      <c r="EM77" s="421"/>
      <c r="EN77" s="422"/>
    </row>
    <row r="78" spans="143:144" x14ac:dyDescent="0.15">
      <c r="EM78" s="421"/>
      <c r="EN78" s="422"/>
    </row>
    <row r="79" spans="143:144" x14ac:dyDescent="0.15">
      <c r="EM79" s="421"/>
      <c r="EN79" s="422"/>
    </row>
    <row r="80" spans="143:144" x14ac:dyDescent="0.15">
      <c r="EM80" s="421"/>
      <c r="EN80" s="422"/>
    </row>
    <row r="81" spans="143:144" x14ac:dyDescent="0.15">
      <c r="EM81" s="421"/>
      <c r="EN81" s="422"/>
    </row>
    <row r="82" spans="143:144" x14ac:dyDescent="0.15">
      <c r="EM82" s="421"/>
      <c r="EN82" s="422"/>
    </row>
    <row r="83" spans="143:144" x14ac:dyDescent="0.15">
      <c r="EM83" s="421"/>
      <c r="EN83" s="422"/>
    </row>
    <row r="84" spans="143:144" x14ac:dyDescent="0.15">
      <c r="EM84" s="421"/>
      <c r="EN84" s="422"/>
    </row>
    <row r="85" spans="143:144" x14ac:dyDescent="0.15">
      <c r="EM85" s="421"/>
      <c r="EN85" s="422"/>
    </row>
    <row r="86" spans="143:144" x14ac:dyDescent="0.15">
      <c r="EM86" s="421"/>
      <c r="EN86" s="422"/>
    </row>
    <row r="87" spans="143:144" x14ac:dyDescent="0.15">
      <c r="EM87" s="421"/>
      <c r="EN87" s="422"/>
    </row>
    <row r="88" spans="143:144" x14ac:dyDescent="0.15">
      <c r="EM88" s="421"/>
      <c r="EN88" s="422"/>
    </row>
    <row r="89" spans="143:144" x14ac:dyDescent="0.15">
      <c r="EM89" s="421"/>
      <c r="EN89" s="422"/>
    </row>
    <row r="90" spans="143:144" x14ac:dyDescent="0.15">
      <c r="EM90" s="421"/>
      <c r="EN90" s="422"/>
    </row>
    <row r="91" spans="143:144" x14ac:dyDescent="0.15">
      <c r="EM91" s="421"/>
      <c r="EN91" s="422"/>
    </row>
    <row r="92" spans="143:144" x14ac:dyDescent="0.15">
      <c r="EM92" s="421"/>
      <c r="EN92" s="422"/>
    </row>
    <row r="93" spans="143:144" x14ac:dyDescent="0.15">
      <c r="EM93" s="421"/>
      <c r="EN93" s="422"/>
    </row>
    <row r="94" spans="143:144" x14ac:dyDescent="0.15">
      <c r="EM94" s="421"/>
      <c r="EN94" s="422"/>
    </row>
    <row r="95" spans="143:144" x14ac:dyDescent="0.15">
      <c r="EM95" s="421"/>
      <c r="EN95" s="422"/>
    </row>
    <row r="96" spans="143:144" x14ac:dyDescent="0.15">
      <c r="EM96" s="421"/>
      <c r="EN96" s="422"/>
    </row>
    <row r="97" spans="143:144" x14ac:dyDescent="0.15">
      <c r="EM97" s="421"/>
      <c r="EN97" s="422"/>
    </row>
    <row r="98" spans="143:144" x14ac:dyDescent="0.15">
      <c r="EM98" s="421"/>
      <c r="EN98" s="422"/>
    </row>
    <row r="99" spans="143:144" x14ac:dyDescent="0.15">
      <c r="EM99" s="421"/>
      <c r="EN99" s="422"/>
    </row>
    <row r="100" spans="143:144" x14ac:dyDescent="0.15">
      <c r="EM100" s="421"/>
      <c r="EN100" s="422"/>
    </row>
    <row r="101" spans="143:144" x14ac:dyDescent="0.15">
      <c r="EM101" s="421"/>
      <c r="EN101" s="422"/>
    </row>
    <row r="102" spans="143:144" x14ac:dyDescent="0.15">
      <c r="EM102" s="421"/>
      <c r="EN102" s="422"/>
    </row>
    <row r="103" spans="143:144" x14ac:dyDescent="0.15">
      <c r="EM103" s="421"/>
      <c r="EN103" s="422"/>
    </row>
    <row r="104" spans="143:144" x14ac:dyDescent="0.15">
      <c r="EM104" s="421"/>
      <c r="EN104" s="422"/>
    </row>
    <row r="105" spans="143:144" x14ac:dyDescent="0.15">
      <c r="EM105" s="421"/>
      <c r="EN105" s="422"/>
    </row>
    <row r="106" spans="143:144" x14ac:dyDescent="0.15">
      <c r="EM106" s="421"/>
      <c r="EN106" s="422"/>
    </row>
  </sheetData>
  <mergeCells count="1">
    <mergeCell ref="FO2:FU2"/>
  </mergeCells>
  <phoneticPr fontId="3"/>
  <pageMargins left="0.59055118110236227" right="0.59055118110236227" top="0.98425196850393704" bottom="0.98425196850393704" header="0.51181102362204722" footer="0.51181102362204722"/>
  <pageSetup paperSize="9" fitToWidth="0" orientation="portrait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2">
    <tabColor indexed="15"/>
    <pageSetUpPr fitToPage="1"/>
  </sheetPr>
  <dimension ref="A1:HV56"/>
  <sheetViews>
    <sheetView zoomScaleNormal="100" workbookViewId="0">
      <pane xSplit="2" ySplit="5" topLeftCell="GC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13.10937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12.33203125" style="174" bestFit="1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62" customWidth="1"/>
    <col min="192" max="192" width="8.5546875" style="174" bestFit="1" customWidth="1"/>
    <col min="193" max="193" width="10.33203125" style="174" bestFit="1" customWidth="1"/>
    <col min="194" max="194" width="8.5546875" style="174" bestFit="1" customWidth="1"/>
    <col min="195" max="195" width="9.6640625" style="174" bestFit="1" customWidth="1"/>
    <col min="196" max="196" width="10.33203125" style="174" bestFit="1" customWidth="1"/>
    <col min="197" max="197" width="8.5546875" style="174" bestFit="1" customWidth="1"/>
    <col min="198" max="198" width="11.88671875" style="174" bestFit="1" customWidth="1"/>
    <col min="199" max="199" width="10.33203125" style="174" bestFit="1" customWidth="1"/>
    <col min="200" max="200" width="8.5546875" style="174" bestFit="1" customWidth="1"/>
    <col min="201" max="201" width="9.6640625" style="174" bestFit="1" customWidth="1"/>
    <col min="202" max="202" width="10.33203125" style="174" bestFit="1" customWidth="1"/>
    <col min="203" max="230" width="13.6640625" style="174" customWidth="1"/>
  </cols>
  <sheetData>
    <row r="1" spans="2:230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52">
        <v>190</v>
      </c>
      <c r="GJ1" s="10">
        <v>191</v>
      </c>
      <c r="GK1" s="10">
        <v>192</v>
      </c>
      <c r="GL1" s="10">
        <v>193</v>
      </c>
      <c r="GM1" s="10">
        <v>194</v>
      </c>
      <c r="GN1" s="10">
        <v>195</v>
      </c>
      <c r="GO1" s="10">
        <v>196</v>
      </c>
      <c r="GP1" s="10">
        <v>197</v>
      </c>
      <c r="GQ1" s="10">
        <v>198</v>
      </c>
      <c r="GR1" s="10">
        <v>199</v>
      </c>
      <c r="GS1" s="10">
        <v>200</v>
      </c>
      <c r="GT1" s="10">
        <v>201</v>
      </c>
    </row>
    <row r="2" spans="2:230" x14ac:dyDescent="0.15">
      <c r="C2" s="96" t="s">
        <v>338</v>
      </c>
      <c r="D2" s="29"/>
      <c r="E2" s="96" t="s">
        <v>339</v>
      </c>
      <c r="F2" s="96" t="s">
        <v>340</v>
      </c>
      <c r="G2" s="29"/>
      <c r="H2" s="96" t="s">
        <v>341</v>
      </c>
      <c r="I2" s="96" t="s">
        <v>342</v>
      </c>
      <c r="J2" s="96" t="s">
        <v>343</v>
      </c>
      <c r="K2" s="96" t="s">
        <v>344</v>
      </c>
      <c r="L2" s="96" t="s">
        <v>345</v>
      </c>
      <c r="M2" s="96" t="s">
        <v>346</v>
      </c>
      <c r="N2" s="96" t="s">
        <v>347</v>
      </c>
      <c r="O2" s="96" t="s">
        <v>348</v>
      </c>
      <c r="P2" s="96" t="s">
        <v>349</v>
      </c>
      <c r="Q2" s="96" t="s">
        <v>350</v>
      </c>
      <c r="R2" s="96" t="s">
        <v>351</v>
      </c>
      <c r="S2" s="96"/>
      <c r="T2" s="89"/>
      <c r="U2" s="96" t="s">
        <v>725</v>
      </c>
      <c r="V2" s="96" t="s">
        <v>354</v>
      </c>
      <c r="W2" s="96" t="s">
        <v>355</v>
      </c>
      <c r="X2" s="96" t="s">
        <v>664</v>
      </c>
      <c r="Y2" s="96" t="s">
        <v>356</v>
      </c>
      <c r="Z2" s="96" t="s">
        <v>357</v>
      </c>
      <c r="AA2" s="96" t="s">
        <v>653</v>
      </c>
      <c r="AB2" s="96" t="s">
        <v>359</v>
      </c>
      <c r="AC2" s="96" t="s">
        <v>665</v>
      </c>
      <c r="AD2" s="96" t="s">
        <v>726</v>
      </c>
      <c r="AE2" s="96" t="s">
        <v>362</v>
      </c>
      <c r="AF2" s="96" t="s">
        <v>363</v>
      </c>
      <c r="AG2" s="96" t="s">
        <v>364</v>
      </c>
      <c r="AH2" s="89"/>
      <c r="AI2" s="96" t="s">
        <v>684</v>
      </c>
      <c r="AJ2" s="96" t="s">
        <v>727</v>
      </c>
      <c r="AK2" s="96" t="s">
        <v>368</v>
      </c>
      <c r="AL2" s="29"/>
      <c r="AM2" s="96" t="s">
        <v>728</v>
      </c>
      <c r="AN2" s="96" t="s">
        <v>686</v>
      </c>
      <c r="AO2" s="96"/>
      <c r="AP2" s="96" t="s">
        <v>369</v>
      </c>
      <c r="AQ2" s="96" t="s">
        <v>371</v>
      </c>
      <c r="AR2" s="96" t="s">
        <v>372</v>
      </c>
      <c r="AS2" s="96" t="s">
        <v>783</v>
      </c>
      <c r="AT2" s="96" t="s">
        <v>376</v>
      </c>
      <c r="AU2" s="96" t="s">
        <v>377</v>
      </c>
      <c r="AV2" s="96" t="s">
        <v>378</v>
      </c>
      <c r="AW2" s="96" t="s">
        <v>688</v>
      </c>
      <c r="AX2" s="96" t="s">
        <v>380</v>
      </c>
      <c r="AY2" s="96" t="s">
        <v>381</v>
      </c>
      <c r="AZ2" s="96" t="s">
        <v>710</v>
      </c>
      <c r="BA2" s="96" t="s">
        <v>690</v>
      </c>
      <c r="BB2" s="96" t="s">
        <v>711</v>
      </c>
      <c r="BC2" s="96" t="s">
        <v>384</v>
      </c>
      <c r="BD2" s="96" t="s">
        <v>386</v>
      </c>
      <c r="BE2" s="96" t="s">
        <v>387</v>
      </c>
      <c r="BF2" s="96" t="s">
        <v>388</v>
      </c>
      <c r="BG2" s="96" t="s">
        <v>389</v>
      </c>
      <c r="BH2" s="96" t="s">
        <v>692</v>
      </c>
      <c r="BI2" s="96" t="s">
        <v>739</v>
      </c>
      <c r="BJ2" s="96" t="s">
        <v>385</v>
      </c>
      <c r="BK2" s="96" t="s">
        <v>392</v>
      </c>
      <c r="BL2" s="96" t="s">
        <v>694</v>
      </c>
      <c r="BM2" s="96" t="s">
        <v>393</v>
      </c>
      <c r="BN2" s="96" t="s">
        <v>696</v>
      </c>
      <c r="BO2" s="29"/>
      <c r="BP2" s="29"/>
      <c r="BQ2" s="96"/>
      <c r="BR2" s="173" t="s">
        <v>777</v>
      </c>
      <c r="BS2" s="96" t="s">
        <v>751</v>
      </c>
      <c r="BT2" s="96" t="s">
        <v>784</v>
      </c>
      <c r="BU2" s="96" t="s">
        <v>785</v>
      </c>
      <c r="BV2" s="89"/>
      <c r="BW2" s="96" t="s">
        <v>402</v>
      </c>
      <c r="BX2" s="96" t="s">
        <v>403</v>
      </c>
      <c r="BY2" s="96" t="s">
        <v>786</v>
      </c>
      <c r="BZ2" s="96" t="s">
        <v>405</v>
      </c>
      <c r="CA2" s="96" t="s">
        <v>406</v>
      </c>
      <c r="CB2" s="96" t="s">
        <v>407</v>
      </c>
      <c r="CC2" s="96" t="s">
        <v>408</v>
      </c>
      <c r="CD2" s="96" t="s">
        <v>409</v>
      </c>
      <c r="CE2" s="96" t="s">
        <v>410</v>
      </c>
      <c r="CF2" s="96" t="s">
        <v>411</v>
      </c>
      <c r="CG2" s="96" t="s">
        <v>412</v>
      </c>
      <c r="CH2" s="96" t="s">
        <v>413</v>
      </c>
      <c r="CI2" s="96" t="s">
        <v>787</v>
      </c>
      <c r="CJ2" s="28"/>
      <c r="CK2" s="96" t="s">
        <v>415</v>
      </c>
      <c r="CL2" s="96" t="s">
        <v>720</v>
      </c>
      <c r="CM2" s="96" t="s">
        <v>417</v>
      </c>
      <c r="CN2" s="96" t="s">
        <v>721</v>
      </c>
      <c r="CO2" s="96" t="s">
        <v>419</v>
      </c>
      <c r="CP2" s="96" t="s">
        <v>420</v>
      </c>
      <c r="CQ2" s="96" t="s">
        <v>421</v>
      </c>
      <c r="CR2" s="96" t="s">
        <v>422</v>
      </c>
      <c r="CS2" s="96" t="s">
        <v>423</v>
      </c>
      <c r="CT2" s="28"/>
      <c r="CU2" s="96" t="s">
        <v>424</v>
      </c>
      <c r="CV2" s="96" t="s">
        <v>425</v>
      </c>
      <c r="CW2" s="89"/>
      <c r="CX2" s="96" t="s">
        <v>426</v>
      </c>
      <c r="CY2" s="96" t="s">
        <v>427</v>
      </c>
      <c r="CZ2" s="89"/>
      <c r="DA2" s="96" t="s">
        <v>428</v>
      </c>
      <c r="DB2" s="96" t="s">
        <v>429</v>
      </c>
      <c r="DC2" s="96" t="s">
        <v>430</v>
      </c>
      <c r="DD2" s="96" t="s">
        <v>431</v>
      </c>
      <c r="DE2" s="96" t="s">
        <v>432</v>
      </c>
      <c r="DF2" s="96" t="s">
        <v>433</v>
      </c>
      <c r="DG2" s="96" t="s">
        <v>434</v>
      </c>
      <c r="DH2" s="96" t="s">
        <v>435</v>
      </c>
      <c r="DI2" s="96" t="s">
        <v>436</v>
      </c>
      <c r="DJ2" s="96" t="s">
        <v>437</v>
      </c>
      <c r="DK2" s="96" t="s">
        <v>438</v>
      </c>
      <c r="DL2" s="96" t="s">
        <v>439</v>
      </c>
      <c r="DM2" s="96" t="s">
        <v>440</v>
      </c>
      <c r="DN2" s="96" t="s">
        <v>441</v>
      </c>
      <c r="DO2" s="96" t="s">
        <v>442</v>
      </c>
      <c r="DP2" s="96" t="s">
        <v>443</v>
      </c>
      <c r="DQ2" s="96" t="s">
        <v>444</v>
      </c>
      <c r="DR2" s="96" t="s">
        <v>445</v>
      </c>
      <c r="DS2" s="96" t="s">
        <v>446</v>
      </c>
      <c r="DT2" s="96" t="s">
        <v>447</v>
      </c>
      <c r="DU2" s="96" t="s">
        <v>448</v>
      </c>
      <c r="DV2" s="89"/>
      <c r="DW2" s="96" t="s">
        <v>449</v>
      </c>
      <c r="DX2" s="173" t="s">
        <v>450</v>
      </c>
      <c r="DY2" s="96" t="s">
        <v>451</v>
      </c>
      <c r="DZ2" s="96" t="s">
        <v>452</v>
      </c>
      <c r="EA2" s="96" t="s">
        <v>453</v>
      </c>
      <c r="EB2" s="96" t="s">
        <v>454</v>
      </c>
      <c r="EC2" s="96" t="s">
        <v>455</v>
      </c>
      <c r="ED2" s="96" t="s">
        <v>456</v>
      </c>
      <c r="EE2" s="89"/>
      <c r="EF2" s="96" t="s">
        <v>457</v>
      </c>
      <c r="EG2" s="96" t="s">
        <v>458</v>
      </c>
      <c r="EH2" s="96" t="s">
        <v>459</v>
      </c>
      <c r="EI2" s="96" t="s">
        <v>460</v>
      </c>
      <c r="EJ2" s="96" t="s">
        <v>461</v>
      </c>
      <c r="EK2" s="89"/>
      <c r="EL2" s="89"/>
      <c r="EM2" s="46" t="s">
        <v>781</v>
      </c>
      <c r="EN2" s="96" t="s">
        <v>464</v>
      </c>
      <c r="EO2" s="96" t="s">
        <v>465</v>
      </c>
      <c r="EP2" s="89"/>
      <c r="EQ2" s="96" t="s">
        <v>466</v>
      </c>
      <c r="ER2" s="96" t="s">
        <v>467</v>
      </c>
      <c r="ES2" s="96" t="s">
        <v>468</v>
      </c>
      <c r="ET2" s="96" t="s">
        <v>469</v>
      </c>
      <c r="EU2" s="96" t="s">
        <v>470</v>
      </c>
      <c r="EV2" s="96" t="s">
        <v>471</v>
      </c>
      <c r="EW2" s="28"/>
      <c r="EX2" s="96" t="s">
        <v>472</v>
      </c>
      <c r="EY2" s="96" t="s">
        <v>473</v>
      </c>
      <c r="EZ2" s="96" t="s">
        <v>474</v>
      </c>
      <c r="FA2" s="96" t="s">
        <v>475</v>
      </c>
      <c r="FB2" s="96" t="s">
        <v>476</v>
      </c>
      <c r="FC2" s="96" t="s">
        <v>477</v>
      </c>
      <c r="FD2" s="96" t="s">
        <v>478</v>
      </c>
      <c r="FE2" s="96" t="s">
        <v>479</v>
      </c>
      <c r="FF2" s="96" t="s">
        <v>480</v>
      </c>
      <c r="FG2" s="89"/>
      <c r="FH2" s="96" t="s">
        <v>481</v>
      </c>
      <c r="FI2" s="89"/>
      <c r="FJ2" s="172" t="s">
        <v>788</v>
      </c>
      <c r="FK2" s="172" t="s">
        <v>483</v>
      </c>
      <c r="FL2" s="172" t="s">
        <v>484</v>
      </c>
      <c r="FM2" s="172" t="s">
        <v>485</v>
      </c>
      <c r="FN2" s="172" t="s">
        <v>789</v>
      </c>
      <c r="FO2" s="564" t="s">
        <v>701</v>
      </c>
      <c r="FP2" s="561"/>
      <c r="FQ2" s="561"/>
      <c r="FR2" s="561"/>
      <c r="FS2" s="561"/>
      <c r="FT2" s="561"/>
      <c r="FU2" s="561"/>
      <c r="FV2" s="89"/>
      <c r="FW2" s="96" t="s">
        <v>790</v>
      </c>
      <c r="FX2" s="89"/>
      <c r="FY2" s="96" t="s">
        <v>490</v>
      </c>
      <c r="FZ2" s="96" t="s">
        <v>491</v>
      </c>
      <c r="GA2" s="96" t="s">
        <v>492</v>
      </c>
      <c r="GB2" s="96" t="s">
        <v>493</v>
      </c>
      <c r="GC2" s="46" t="s">
        <v>791</v>
      </c>
      <c r="GD2" s="46" t="s">
        <v>745</v>
      </c>
      <c r="GE2" s="89"/>
      <c r="GF2" s="46"/>
      <c r="GG2" s="46"/>
      <c r="GH2" s="46"/>
      <c r="GI2" s="53"/>
      <c r="GJ2" s="46" t="s">
        <v>329</v>
      </c>
      <c r="GK2" s="46"/>
      <c r="GL2" s="46"/>
      <c r="GM2" s="46"/>
      <c r="GN2" s="46"/>
      <c r="GO2" s="46"/>
      <c r="GP2" s="46"/>
      <c r="GQ2" s="46"/>
      <c r="GR2" s="46"/>
      <c r="GS2" s="46"/>
      <c r="GT2" s="46"/>
    </row>
    <row r="3" spans="2:230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159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V3" s="89"/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E3" s="89"/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K3" s="89"/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48" t="s">
        <v>517</v>
      </c>
      <c r="FJ3" s="48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P3" s="89"/>
      <c r="FQ3" s="89"/>
      <c r="FR3" s="89"/>
      <c r="FS3" s="89"/>
      <c r="FT3" s="89"/>
      <c r="FU3" s="89"/>
      <c r="FV3" s="30" t="s">
        <v>529</v>
      </c>
      <c r="FW3" s="30" t="s">
        <v>308</v>
      </c>
      <c r="FX3" s="48" t="s">
        <v>530</v>
      </c>
      <c r="FY3" s="30" t="s">
        <v>312</v>
      </c>
      <c r="FZ3" s="89"/>
      <c r="GA3" s="89"/>
      <c r="GB3" s="89"/>
      <c r="GC3" s="89"/>
      <c r="GD3" s="30" t="s">
        <v>531</v>
      </c>
      <c r="GE3" s="48" t="s">
        <v>530</v>
      </c>
      <c r="GF3" s="30" t="s">
        <v>532</v>
      </c>
      <c r="GG3" s="89"/>
      <c r="GH3" s="89"/>
      <c r="GI3" s="30" t="s">
        <v>706</v>
      </c>
      <c r="GJ3" s="89" t="s">
        <v>534</v>
      </c>
      <c r="GM3" s="89" t="s">
        <v>535</v>
      </c>
      <c r="GP3" s="89" t="s">
        <v>529</v>
      </c>
      <c r="GS3" s="89" t="s">
        <v>536</v>
      </c>
    </row>
    <row r="4" spans="2:230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 t="s">
        <v>554</v>
      </c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 t="s">
        <v>565</v>
      </c>
      <c r="BS4" s="31"/>
      <c r="BT4" s="30" t="s">
        <v>193</v>
      </c>
      <c r="BU4" s="30"/>
      <c r="BV4" s="89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570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 t="s">
        <v>589</v>
      </c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E4" s="89"/>
      <c r="EF4" s="89"/>
      <c r="EG4" s="89"/>
      <c r="EH4" s="89"/>
      <c r="EI4" s="89"/>
      <c r="EJ4" s="89"/>
      <c r="EK4" s="89"/>
      <c r="EL4" s="29" t="s">
        <v>758</v>
      </c>
      <c r="EM4" s="32" t="s">
        <v>792</v>
      </c>
      <c r="EN4" s="30"/>
      <c r="EO4" s="30"/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48" t="s">
        <v>596</v>
      </c>
      <c r="FJ4" s="48" t="s">
        <v>597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W4" s="89"/>
      <c r="FX4" s="48" t="s">
        <v>601</v>
      </c>
      <c r="FY4" s="89"/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48" t="s">
        <v>601</v>
      </c>
      <c r="GF4" s="30" t="s">
        <v>604</v>
      </c>
      <c r="GG4" s="30" t="s">
        <v>605</v>
      </c>
      <c r="GH4" s="30" t="s">
        <v>606</v>
      </c>
      <c r="GI4" s="30" t="s">
        <v>755</v>
      </c>
      <c r="GJ4" s="30" t="s">
        <v>608</v>
      </c>
      <c r="GK4" s="89" t="s">
        <v>609</v>
      </c>
      <c r="GL4" s="89" t="s">
        <v>610</v>
      </c>
      <c r="GM4" s="89" t="s">
        <v>608</v>
      </c>
      <c r="GN4" s="89" t="s">
        <v>609</v>
      </c>
      <c r="GO4" s="89" t="s">
        <v>610</v>
      </c>
      <c r="GP4" s="89" t="s">
        <v>596</v>
      </c>
      <c r="GQ4" s="89" t="s">
        <v>609</v>
      </c>
      <c r="GR4" s="89" t="s">
        <v>610</v>
      </c>
      <c r="GS4" s="89" t="s">
        <v>611</v>
      </c>
      <c r="GT4" s="89" t="s">
        <v>609</v>
      </c>
    </row>
    <row r="5" spans="2:230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620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47" t="s">
        <v>624</v>
      </c>
      <c r="BS5" s="30" t="s">
        <v>625</v>
      </c>
      <c r="BT5" s="30"/>
      <c r="BU5" s="30"/>
      <c r="BV5" s="89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635</v>
      </c>
      <c r="DX5" s="48"/>
      <c r="DY5" s="30"/>
      <c r="DZ5" s="30"/>
      <c r="EA5" s="30"/>
      <c r="EB5" s="30"/>
      <c r="EC5" s="30"/>
      <c r="ED5" s="30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30" t="s">
        <v>595</v>
      </c>
      <c r="EZ5" s="30" t="s">
        <v>595</v>
      </c>
      <c r="FA5" s="89"/>
      <c r="FB5" s="89"/>
      <c r="FC5" s="89"/>
      <c r="FD5" s="89"/>
      <c r="FE5" s="89"/>
      <c r="FF5" s="89"/>
      <c r="FG5" s="89"/>
      <c r="FH5" s="89"/>
      <c r="FI5" s="51" t="s">
        <v>638</v>
      </c>
      <c r="FJ5" s="51"/>
      <c r="FK5" s="30" t="s">
        <v>639</v>
      </c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30" t="s">
        <v>600</v>
      </c>
      <c r="FW5" s="89"/>
      <c r="FX5" s="51" t="s">
        <v>638</v>
      </c>
      <c r="FY5" s="89"/>
      <c r="FZ5" s="89"/>
      <c r="GA5" s="89"/>
      <c r="GB5" s="89"/>
      <c r="GC5" s="89"/>
      <c r="GD5" s="89"/>
      <c r="GE5" s="51" t="s">
        <v>641</v>
      </c>
      <c r="GF5" s="70"/>
      <c r="GG5" s="89"/>
      <c r="GH5" s="89"/>
      <c r="GJ5" s="89"/>
      <c r="GK5" s="43" t="s">
        <v>643</v>
      </c>
      <c r="GL5" s="30" t="s">
        <v>644</v>
      </c>
      <c r="GM5" s="89"/>
      <c r="GN5" s="43" t="s">
        <v>643</v>
      </c>
      <c r="GO5" s="30" t="s">
        <v>644</v>
      </c>
      <c r="GP5" s="89"/>
      <c r="GQ5" s="43" t="s">
        <v>643</v>
      </c>
      <c r="GR5" s="30" t="s">
        <v>644</v>
      </c>
      <c r="GT5" s="43" t="s">
        <v>643</v>
      </c>
    </row>
    <row r="6" spans="2:230" x14ac:dyDescent="0.15">
      <c r="B6" s="89" t="s">
        <v>5</v>
      </c>
      <c r="C6" s="272">
        <v>23517075</v>
      </c>
      <c r="D6" s="455">
        <f t="shared" ref="D6:D49" si="0">E6+F6</f>
        <v>8382602</v>
      </c>
      <c r="E6" s="272">
        <v>244150</v>
      </c>
      <c r="F6" s="456">
        <v>8138452</v>
      </c>
      <c r="G6" s="455">
        <f t="shared" ref="G6:G49" si="1">H6+I6</f>
        <v>1489187</v>
      </c>
      <c r="H6" s="272">
        <v>431750</v>
      </c>
      <c r="I6" s="272">
        <v>1057437</v>
      </c>
      <c r="J6" s="272">
        <v>10011141</v>
      </c>
      <c r="K6" s="272">
        <v>4273670</v>
      </c>
      <c r="L6" s="272">
        <v>4272087</v>
      </c>
      <c r="M6" s="272">
        <v>1198019</v>
      </c>
      <c r="N6" s="272">
        <v>1354723</v>
      </c>
      <c r="O6" s="272">
        <v>1993498</v>
      </c>
      <c r="P6" s="272">
        <v>1130374</v>
      </c>
      <c r="Q6" s="272">
        <v>863124</v>
      </c>
      <c r="R6" s="272">
        <v>404729</v>
      </c>
      <c r="S6" s="272"/>
      <c r="T6" s="455">
        <f t="shared" ref="T6:T49" si="2">SUM(U6:AA6)</f>
        <v>2215571</v>
      </c>
      <c r="U6" s="272">
        <v>123717</v>
      </c>
      <c r="V6" s="272">
        <v>58760</v>
      </c>
      <c r="W6" s="456">
        <v>19901</v>
      </c>
      <c r="X6" s="272">
        <v>1780070</v>
      </c>
      <c r="Y6" s="272">
        <v>54275</v>
      </c>
      <c r="Z6" s="272">
        <v>0</v>
      </c>
      <c r="AA6" s="272">
        <v>178848</v>
      </c>
      <c r="AB6" s="272">
        <v>411285</v>
      </c>
      <c r="AC6" s="272">
        <v>13985205</v>
      </c>
      <c r="AD6" s="272">
        <v>13757389</v>
      </c>
      <c r="AE6" s="272">
        <v>227816</v>
      </c>
      <c r="AF6" s="272">
        <v>41736</v>
      </c>
      <c r="AG6" s="272">
        <v>634701</v>
      </c>
      <c r="AH6" s="455">
        <f t="shared" ref="AH6:AH49" si="3">AI6+AJ6</f>
        <v>1547573</v>
      </c>
      <c r="AI6" s="272">
        <v>1206773</v>
      </c>
      <c r="AJ6" s="272">
        <v>340800</v>
      </c>
      <c r="AK6" s="272">
        <v>14877173</v>
      </c>
      <c r="AL6" s="455">
        <f t="shared" ref="AL6:AL49" si="4">SUM(AM6:AP6)</f>
        <v>7493360</v>
      </c>
      <c r="AM6" s="272">
        <v>5870945</v>
      </c>
      <c r="AN6" s="272">
        <v>703797</v>
      </c>
      <c r="AO6" s="272"/>
      <c r="AP6" s="272">
        <v>918618</v>
      </c>
      <c r="AQ6" s="272">
        <v>2118506</v>
      </c>
      <c r="AR6" s="272">
        <v>0</v>
      </c>
      <c r="AS6" s="272">
        <v>0</v>
      </c>
      <c r="AT6" s="272">
        <v>4413955</v>
      </c>
      <c r="AU6" s="272">
        <v>2487639</v>
      </c>
      <c r="AV6" s="272">
        <v>351944</v>
      </c>
      <c r="AW6" s="272">
        <v>394014</v>
      </c>
      <c r="AX6" s="272">
        <v>1926316</v>
      </c>
      <c r="AY6" s="272">
        <v>26984</v>
      </c>
      <c r="AZ6" s="272">
        <v>163727</v>
      </c>
      <c r="BA6" s="272">
        <v>34702</v>
      </c>
      <c r="BB6" s="272">
        <v>51573</v>
      </c>
      <c r="BC6" s="272">
        <v>795031</v>
      </c>
      <c r="BD6" s="272">
        <v>0</v>
      </c>
      <c r="BE6" s="272">
        <v>0</v>
      </c>
      <c r="BF6" s="272">
        <v>384318</v>
      </c>
      <c r="BG6" s="272">
        <v>355099</v>
      </c>
      <c r="BH6" s="272">
        <v>544054</v>
      </c>
      <c r="BI6" s="272">
        <v>295904</v>
      </c>
      <c r="BJ6" s="272">
        <v>1110264</v>
      </c>
      <c r="BK6" s="272">
        <v>31500</v>
      </c>
      <c r="BL6" s="272">
        <v>0</v>
      </c>
      <c r="BM6" s="272">
        <v>22493</v>
      </c>
      <c r="BN6" s="272">
        <v>8793700</v>
      </c>
      <c r="BO6" s="455">
        <f t="shared" ref="BO6:BO49" si="5">BN6-BP6-BT6</f>
        <v>4569700</v>
      </c>
      <c r="BP6" s="455">
        <f t="shared" ref="BP6:BP49" si="6">BQ6+BR6+BS6</f>
        <v>3715000</v>
      </c>
      <c r="BQ6" s="272"/>
      <c r="BR6" s="272">
        <v>0</v>
      </c>
      <c r="BS6" s="272">
        <v>3715000</v>
      </c>
      <c r="BT6" s="272">
        <v>509000</v>
      </c>
      <c r="BU6" s="272">
        <v>73507352</v>
      </c>
      <c r="BV6" s="272"/>
      <c r="BW6" s="272">
        <v>12487117</v>
      </c>
      <c r="BX6" s="272">
        <v>8237753</v>
      </c>
      <c r="BY6" s="272">
        <v>1651652</v>
      </c>
      <c r="BZ6" s="272">
        <v>498005</v>
      </c>
      <c r="CA6" s="272">
        <v>19918483</v>
      </c>
      <c r="CB6" s="272">
        <v>2570855</v>
      </c>
      <c r="CC6" s="272">
        <v>367405</v>
      </c>
      <c r="CD6" s="272">
        <v>8556824</v>
      </c>
      <c r="CE6" s="272">
        <v>7977495</v>
      </c>
      <c r="CF6" s="272">
        <v>15292</v>
      </c>
      <c r="CG6" s="272">
        <v>422412</v>
      </c>
      <c r="CH6" s="272">
        <v>9640357</v>
      </c>
      <c r="CI6" s="457" t="s">
        <v>646</v>
      </c>
      <c r="CJ6" s="458" t="s">
        <v>646</v>
      </c>
      <c r="CK6" s="272">
        <v>6649528</v>
      </c>
      <c r="CL6" s="272">
        <v>4036188</v>
      </c>
      <c r="CM6" s="272">
        <v>408752</v>
      </c>
      <c r="CN6" s="272">
        <v>878534</v>
      </c>
      <c r="CO6" s="272">
        <v>266305</v>
      </c>
      <c r="CP6" s="272">
        <v>8429058</v>
      </c>
      <c r="CQ6" s="272">
        <v>2181490</v>
      </c>
      <c r="CR6" s="272">
        <v>765661</v>
      </c>
      <c r="CS6" s="272">
        <v>656907</v>
      </c>
      <c r="CT6" s="455">
        <f t="shared" ref="CT6:CT49" si="7">CU6+CV6</f>
        <v>4379929</v>
      </c>
      <c r="CU6" s="272">
        <v>4341314</v>
      </c>
      <c r="CV6" s="272">
        <v>38615</v>
      </c>
      <c r="CW6" s="455">
        <f t="shared" ref="CW6:CW49" si="8">CX6+CY6</f>
        <v>1600000</v>
      </c>
      <c r="CX6" s="272">
        <v>1600000</v>
      </c>
      <c r="CY6" s="272">
        <v>0</v>
      </c>
      <c r="CZ6" s="455">
        <f t="shared" ref="CZ6:CZ49" si="9">DA6+DB6</f>
        <v>2757460</v>
      </c>
      <c r="DA6" s="272">
        <v>2718845</v>
      </c>
      <c r="DB6" s="272">
        <v>38615</v>
      </c>
      <c r="DC6" s="272">
        <v>8755851</v>
      </c>
      <c r="DD6" s="272">
        <v>3519881</v>
      </c>
      <c r="DE6" s="272">
        <v>5198736</v>
      </c>
      <c r="DF6" s="26">
        <v>15568</v>
      </c>
      <c r="DG6" s="27">
        <v>21666</v>
      </c>
      <c r="DH6" s="272">
        <v>0</v>
      </c>
      <c r="DI6" s="272">
        <v>1314471</v>
      </c>
      <c r="DJ6" s="272">
        <v>772278</v>
      </c>
      <c r="DK6" s="272">
        <v>154401</v>
      </c>
      <c r="DL6" s="272">
        <v>387792</v>
      </c>
      <c r="DM6" s="272">
        <v>14500</v>
      </c>
      <c r="DN6" s="272">
        <v>14500</v>
      </c>
      <c r="DO6" s="272">
        <v>14500</v>
      </c>
      <c r="DP6" s="272">
        <v>0</v>
      </c>
      <c r="DQ6" s="272">
        <v>30000</v>
      </c>
      <c r="DR6" s="272">
        <v>0</v>
      </c>
      <c r="DS6" s="272">
        <v>0</v>
      </c>
      <c r="DT6" s="272">
        <v>5403398</v>
      </c>
      <c r="DU6" s="272">
        <v>0</v>
      </c>
      <c r="DV6" s="455">
        <f t="shared" ref="DV6:DV49" si="10">DW6</f>
        <v>0</v>
      </c>
      <c r="DW6" s="272">
        <v>0</v>
      </c>
      <c r="DX6" s="272">
        <v>1895258</v>
      </c>
      <c r="DY6" s="272">
        <v>0</v>
      </c>
      <c r="DZ6" s="272">
        <v>1484747</v>
      </c>
      <c r="EA6" s="272">
        <v>0</v>
      </c>
      <c r="EB6" s="272">
        <v>1782203</v>
      </c>
      <c r="EC6" s="272">
        <v>0</v>
      </c>
      <c r="ED6" s="272">
        <v>72909068</v>
      </c>
      <c r="EE6" s="89"/>
      <c r="EF6" s="272">
        <v>598284</v>
      </c>
      <c r="EG6" s="272">
        <v>105140</v>
      </c>
      <c r="EH6" s="272">
        <v>493144</v>
      </c>
      <c r="EI6" s="272">
        <v>197240</v>
      </c>
      <c r="EJ6" s="272">
        <v>969518</v>
      </c>
      <c r="EK6" s="89"/>
      <c r="EL6" s="272">
        <v>199234</v>
      </c>
      <c r="EM6" s="272">
        <v>200851</v>
      </c>
      <c r="EN6" s="272">
        <v>441960</v>
      </c>
      <c r="EO6" s="272">
        <v>154605</v>
      </c>
      <c r="EP6" s="455">
        <f t="shared" ref="EP6:EP49" si="11">EQ6-ER6-C6-R6-T6-AB6-AC6-BP6-EN6-EO6</f>
        <v>2599975</v>
      </c>
      <c r="EQ6" s="272">
        <v>40575601</v>
      </c>
      <c r="ER6" s="272">
        <v>-6869804</v>
      </c>
      <c r="ES6" s="272">
        <v>10977171</v>
      </c>
      <c r="ET6" s="272">
        <v>7347518</v>
      </c>
      <c r="EU6" s="272">
        <v>5736761</v>
      </c>
      <c r="EV6" s="272">
        <v>9557675</v>
      </c>
      <c r="EW6" s="455">
        <f t="shared" ref="EW6:EW49" si="12">EX6+FA6+FB6</f>
        <v>1582850</v>
      </c>
      <c r="EX6" s="272">
        <v>1582850</v>
      </c>
      <c r="EY6" s="272">
        <v>111997</v>
      </c>
      <c r="EZ6" s="272">
        <v>1463069</v>
      </c>
      <c r="FA6" s="272">
        <v>0</v>
      </c>
      <c r="FB6" s="272">
        <v>0</v>
      </c>
      <c r="FC6" s="272">
        <v>5349189</v>
      </c>
      <c r="FD6" s="272">
        <v>7826257</v>
      </c>
      <c r="FE6" s="272">
        <v>2181490</v>
      </c>
      <c r="FF6" s="272">
        <v>4371194</v>
      </c>
      <c r="FG6" s="455">
        <f t="shared" ref="FG6:FG49" si="13">FH6-ES6-EU6-EV6-EW6-FC6-FD6-FF6</f>
        <v>1446024</v>
      </c>
      <c r="FH6" s="272">
        <v>46847121</v>
      </c>
      <c r="FI6" s="459">
        <f t="shared" ref="FI6:FI49" si="14">ROUND(EH6/(FJ6+FK6)*100,1)</f>
        <v>1.2</v>
      </c>
      <c r="FJ6" s="272">
        <v>37771601</v>
      </c>
      <c r="FK6" s="272">
        <v>3715140</v>
      </c>
      <c r="FL6" s="272">
        <v>18593716</v>
      </c>
      <c r="FM6" s="272">
        <v>32357348</v>
      </c>
      <c r="FN6" s="460">
        <v>0.60099999999999998</v>
      </c>
      <c r="FO6" s="388">
        <v>97.5</v>
      </c>
      <c r="FP6" s="388">
        <v>25</v>
      </c>
      <c r="FQ6" s="388">
        <v>13.2</v>
      </c>
      <c r="FR6" s="388">
        <v>22.4</v>
      </c>
      <c r="FS6" s="388">
        <v>10.6</v>
      </c>
      <c r="FT6" s="388">
        <v>16.5</v>
      </c>
      <c r="FU6" s="388">
        <v>9.3000000000000007</v>
      </c>
      <c r="FV6" s="384">
        <f t="shared" ref="FV6:FV49" si="15">GP6</f>
        <v>13.9</v>
      </c>
      <c r="FW6" s="272">
        <v>84295369</v>
      </c>
      <c r="FX6" s="384">
        <f t="shared" ref="FX6:FX49" si="16">ROUND(FW6/(FJ6+FK6)*100,1)</f>
        <v>203.2</v>
      </c>
      <c r="FY6" s="272">
        <v>6587335</v>
      </c>
      <c r="FZ6" s="272">
        <v>1749558</v>
      </c>
      <c r="GA6" s="272">
        <v>1210204</v>
      </c>
      <c r="GB6" s="272">
        <v>3627573</v>
      </c>
      <c r="GC6" s="272">
        <v>0</v>
      </c>
      <c r="GD6" s="272">
        <v>5036039</v>
      </c>
      <c r="GE6" s="384">
        <f t="shared" ref="GE6:GE11" si="17">ROUND(GD6/(FJ6+FK6)*100,1)</f>
        <v>12.1</v>
      </c>
      <c r="GF6" s="388">
        <v>98.3</v>
      </c>
      <c r="GG6" s="388">
        <v>24</v>
      </c>
      <c r="GH6" s="388">
        <v>94.2</v>
      </c>
      <c r="GI6" s="272">
        <v>1327</v>
      </c>
      <c r="GJ6" s="461" t="s">
        <v>646</v>
      </c>
      <c r="GK6" s="461">
        <v>11.42</v>
      </c>
      <c r="GL6" s="462">
        <v>20</v>
      </c>
      <c r="GM6" s="461" t="s">
        <v>646</v>
      </c>
      <c r="GN6" s="462">
        <v>16.420000000000002</v>
      </c>
      <c r="GO6" s="462">
        <v>35</v>
      </c>
      <c r="GP6" s="463">
        <v>13.9</v>
      </c>
      <c r="GQ6" s="463">
        <v>25</v>
      </c>
      <c r="GR6" s="463">
        <v>35</v>
      </c>
      <c r="GS6" s="464">
        <v>142.19999999999999</v>
      </c>
      <c r="GT6" s="463">
        <v>350</v>
      </c>
      <c r="GU6" s="394"/>
      <c r="GV6" s="394"/>
      <c r="GW6" s="394"/>
      <c r="GX6" s="394"/>
      <c r="GY6" s="394"/>
      <c r="GZ6" s="394"/>
      <c r="HA6" s="394"/>
      <c r="HB6" s="394"/>
      <c r="HC6" s="394"/>
      <c r="HD6" s="394"/>
      <c r="HE6" s="394"/>
      <c r="HF6" s="394"/>
      <c r="HG6" s="394"/>
      <c r="HH6" s="394"/>
      <c r="HI6" s="394"/>
      <c r="HJ6" s="394"/>
      <c r="HK6" s="394"/>
      <c r="HL6" s="394"/>
      <c r="HM6" s="394"/>
      <c r="HN6" s="394"/>
      <c r="HO6" s="394"/>
      <c r="HP6" s="394"/>
      <c r="HQ6" s="394"/>
      <c r="HR6" s="394"/>
      <c r="HS6" s="394"/>
      <c r="HT6" s="394"/>
      <c r="HU6" s="394"/>
      <c r="HV6" s="394"/>
    </row>
    <row r="7" spans="2:230" x14ac:dyDescent="0.15">
      <c r="B7" s="89" t="s">
        <v>7</v>
      </c>
      <c r="C7" s="272">
        <v>63461339</v>
      </c>
      <c r="D7" s="455">
        <f t="shared" si="0"/>
        <v>26619785</v>
      </c>
      <c r="E7" s="272">
        <v>517507</v>
      </c>
      <c r="F7" s="456">
        <v>26102278</v>
      </c>
      <c r="G7" s="455">
        <f t="shared" si="1"/>
        <v>3993813</v>
      </c>
      <c r="H7" s="272">
        <v>1043941</v>
      </c>
      <c r="I7" s="272">
        <v>2949872</v>
      </c>
      <c r="J7" s="272">
        <v>23944631</v>
      </c>
      <c r="K7" s="272">
        <v>9890754</v>
      </c>
      <c r="L7" s="272">
        <v>11077037</v>
      </c>
      <c r="M7" s="272">
        <v>2645334</v>
      </c>
      <c r="N7" s="272">
        <v>2143571</v>
      </c>
      <c r="O7" s="272">
        <v>5599174</v>
      </c>
      <c r="P7" s="272">
        <v>3083752</v>
      </c>
      <c r="Q7" s="272">
        <v>2515422</v>
      </c>
      <c r="R7" s="272">
        <v>3133417</v>
      </c>
      <c r="S7" s="272"/>
      <c r="T7" s="455">
        <f t="shared" si="2"/>
        <v>4302242</v>
      </c>
      <c r="U7" s="272">
        <v>381531</v>
      </c>
      <c r="V7" s="272">
        <v>181069</v>
      </c>
      <c r="W7" s="456">
        <v>61172</v>
      </c>
      <c r="X7" s="272">
        <v>3372940</v>
      </c>
      <c r="Y7" s="272">
        <v>0</v>
      </c>
      <c r="Z7" s="272">
        <v>0</v>
      </c>
      <c r="AA7" s="272">
        <v>305530</v>
      </c>
      <c r="AB7" s="272">
        <v>687257</v>
      </c>
      <c r="AC7" s="272">
        <v>5169564</v>
      </c>
      <c r="AD7" s="272">
        <v>4579016</v>
      </c>
      <c r="AE7" s="272">
        <v>590548</v>
      </c>
      <c r="AF7" s="272">
        <v>59642</v>
      </c>
      <c r="AG7" s="272">
        <v>1020854</v>
      </c>
      <c r="AH7" s="455">
        <f t="shared" si="3"/>
        <v>2647607</v>
      </c>
      <c r="AI7" s="272">
        <v>2372140</v>
      </c>
      <c r="AJ7" s="272">
        <v>275467</v>
      </c>
      <c r="AK7" s="272">
        <v>23276116</v>
      </c>
      <c r="AL7" s="455">
        <f t="shared" si="4"/>
        <v>14600338</v>
      </c>
      <c r="AM7" s="272">
        <v>11394211</v>
      </c>
      <c r="AN7" s="272">
        <v>1282618</v>
      </c>
      <c r="AO7" s="272"/>
      <c r="AP7" s="272">
        <v>1923509</v>
      </c>
      <c r="AQ7" s="272">
        <v>1022895</v>
      </c>
      <c r="AR7" s="272">
        <v>0</v>
      </c>
      <c r="AS7" s="272">
        <v>0</v>
      </c>
      <c r="AT7" s="272">
        <v>7953578</v>
      </c>
      <c r="AU7" s="272">
        <v>4432890</v>
      </c>
      <c r="AV7" s="272">
        <v>393544</v>
      </c>
      <c r="AW7" s="272">
        <v>5988</v>
      </c>
      <c r="AX7" s="272">
        <v>3520688</v>
      </c>
      <c r="AY7" s="272">
        <v>268331</v>
      </c>
      <c r="AZ7" s="272">
        <v>682926</v>
      </c>
      <c r="BA7" s="272">
        <v>608410</v>
      </c>
      <c r="BB7" s="272">
        <v>27157</v>
      </c>
      <c r="BC7" s="272">
        <v>629409</v>
      </c>
      <c r="BD7" s="272">
        <v>0</v>
      </c>
      <c r="BE7" s="272">
        <v>7942</v>
      </c>
      <c r="BF7" s="272">
        <v>293589</v>
      </c>
      <c r="BG7" s="272">
        <v>0</v>
      </c>
      <c r="BH7" s="272">
        <v>1558558</v>
      </c>
      <c r="BI7" s="272">
        <v>46589</v>
      </c>
      <c r="BJ7" s="272">
        <v>2390837</v>
      </c>
      <c r="BK7" s="272">
        <v>716929</v>
      </c>
      <c r="BL7" s="272">
        <v>0</v>
      </c>
      <c r="BM7" s="272">
        <v>21873</v>
      </c>
      <c r="BN7" s="272">
        <v>7705500</v>
      </c>
      <c r="BO7" s="455">
        <f t="shared" si="5"/>
        <v>260300</v>
      </c>
      <c r="BP7" s="455">
        <f t="shared" si="6"/>
        <v>6445200</v>
      </c>
      <c r="BQ7" s="272"/>
      <c r="BR7" s="272">
        <v>0</v>
      </c>
      <c r="BS7" s="272">
        <v>6445200</v>
      </c>
      <c r="BT7" s="272">
        <v>1000000</v>
      </c>
      <c r="BU7" s="272">
        <v>124706003</v>
      </c>
      <c r="BV7" s="272"/>
      <c r="BW7" s="272">
        <v>28074229</v>
      </c>
      <c r="BX7" s="272">
        <v>18358633</v>
      </c>
      <c r="BY7" s="272">
        <v>4296941</v>
      </c>
      <c r="BZ7" s="272">
        <v>1164320</v>
      </c>
      <c r="CA7" s="272">
        <v>34851714</v>
      </c>
      <c r="CB7" s="272">
        <v>4914665</v>
      </c>
      <c r="CC7" s="272">
        <v>627902</v>
      </c>
      <c r="CD7" s="272">
        <v>13000680</v>
      </c>
      <c r="CE7" s="272">
        <v>15941382</v>
      </c>
      <c r="CF7" s="272">
        <v>10755</v>
      </c>
      <c r="CG7" s="272">
        <v>354427</v>
      </c>
      <c r="CH7" s="272">
        <v>15007254</v>
      </c>
      <c r="CI7" s="457" t="s">
        <v>646</v>
      </c>
      <c r="CJ7" s="458" t="s">
        <v>646</v>
      </c>
      <c r="CK7" s="272">
        <v>11949573</v>
      </c>
      <c r="CL7" s="272">
        <v>5550077</v>
      </c>
      <c r="CM7" s="272">
        <v>1172811</v>
      </c>
      <c r="CN7" s="272">
        <v>2471117</v>
      </c>
      <c r="CO7" s="272">
        <v>618531</v>
      </c>
      <c r="CP7" s="272">
        <v>14839460</v>
      </c>
      <c r="CQ7" s="272">
        <v>2147923</v>
      </c>
      <c r="CR7" s="272">
        <v>2642301</v>
      </c>
      <c r="CS7" s="272">
        <v>1591311</v>
      </c>
      <c r="CT7" s="455">
        <f t="shared" si="7"/>
        <v>4859016</v>
      </c>
      <c r="CU7" s="272">
        <v>4180788</v>
      </c>
      <c r="CV7" s="272">
        <v>678228</v>
      </c>
      <c r="CW7" s="455">
        <f t="shared" si="8"/>
        <v>1400172</v>
      </c>
      <c r="CX7" s="272">
        <v>1143129</v>
      </c>
      <c r="CY7" s="272">
        <v>257043</v>
      </c>
      <c r="CZ7" s="455">
        <f t="shared" si="9"/>
        <v>3344772</v>
      </c>
      <c r="DA7" s="272">
        <v>2995841</v>
      </c>
      <c r="DB7" s="272">
        <v>348931</v>
      </c>
      <c r="DC7" s="272">
        <v>4854199</v>
      </c>
      <c r="DD7" s="272">
        <v>1714317</v>
      </c>
      <c r="DE7" s="272">
        <v>3139882</v>
      </c>
      <c r="DF7" s="26">
        <v>0</v>
      </c>
      <c r="DG7" s="27">
        <v>0</v>
      </c>
      <c r="DH7" s="272">
        <v>0</v>
      </c>
      <c r="DI7" s="272">
        <v>827310</v>
      </c>
      <c r="DJ7" s="272">
        <v>355750</v>
      </c>
      <c r="DK7" s="272">
        <v>2323</v>
      </c>
      <c r="DL7" s="272">
        <v>469237</v>
      </c>
      <c r="DM7" s="272">
        <v>618492</v>
      </c>
      <c r="DN7" s="272">
        <v>615792</v>
      </c>
      <c r="DO7" s="272">
        <v>0</v>
      </c>
      <c r="DP7" s="272">
        <v>481619</v>
      </c>
      <c r="DQ7" s="272">
        <v>806739</v>
      </c>
      <c r="DR7" s="272">
        <v>0</v>
      </c>
      <c r="DS7" s="272">
        <v>0</v>
      </c>
      <c r="DT7" s="272">
        <v>10971021</v>
      </c>
      <c r="DU7" s="272">
        <v>0</v>
      </c>
      <c r="DV7" s="455">
        <f t="shared" si="10"/>
        <v>0</v>
      </c>
      <c r="DW7" s="272">
        <v>0</v>
      </c>
      <c r="DX7" s="272">
        <v>3034017</v>
      </c>
      <c r="DY7" s="272">
        <v>0</v>
      </c>
      <c r="DZ7" s="272">
        <v>4295081</v>
      </c>
      <c r="EA7" s="272">
        <v>0</v>
      </c>
      <c r="EB7" s="272">
        <v>2956062</v>
      </c>
      <c r="EC7" s="272">
        <v>0</v>
      </c>
      <c r="ED7" s="272">
        <v>123418522</v>
      </c>
      <c r="EE7" s="89"/>
      <c r="EF7" s="272">
        <v>1287481</v>
      </c>
      <c r="EG7" s="272">
        <v>471864</v>
      </c>
      <c r="EH7" s="272">
        <v>815617</v>
      </c>
      <c r="EI7" s="272">
        <v>769028</v>
      </c>
      <c r="EJ7" s="272">
        <v>1266857</v>
      </c>
      <c r="EK7" s="89"/>
      <c r="EL7" s="272">
        <v>389341</v>
      </c>
      <c r="EM7" s="272">
        <v>390379</v>
      </c>
      <c r="EN7" s="272">
        <v>288942</v>
      </c>
      <c r="EO7" s="272">
        <v>375927</v>
      </c>
      <c r="EP7" s="455">
        <f t="shared" si="11"/>
        <v>3100017</v>
      </c>
      <c r="EQ7" s="272">
        <v>76813461</v>
      </c>
      <c r="ER7" s="272">
        <v>-10150444</v>
      </c>
      <c r="ES7" s="272">
        <v>25254206</v>
      </c>
      <c r="ET7" s="272">
        <v>16845048</v>
      </c>
      <c r="EU7" s="272">
        <v>9926800</v>
      </c>
      <c r="EV7" s="272">
        <v>14760147</v>
      </c>
      <c r="EW7" s="455">
        <f t="shared" si="12"/>
        <v>2446792</v>
      </c>
      <c r="EX7" s="272">
        <v>2446792</v>
      </c>
      <c r="EY7" s="272">
        <v>378537</v>
      </c>
      <c r="EZ7" s="272">
        <v>2068255</v>
      </c>
      <c r="FA7" s="272">
        <v>0</v>
      </c>
      <c r="FB7" s="272">
        <v>0</v>
      </c>
      <c r="FC7" s="272">
        <v>9106136</v>
      </c>
      <c r="FD7" s="272">
        <v>13259810</v>
      </c>
      <c r="FE7" s="272">
        <v>2147923</v>
      </c>
      <c r="FF7" s="272">
        <v>9025801</v>
      </c>
      <c r="FG7" s="455">
        <f t="shared" si="13"/>
        <v>1898549</v>
      </c>
      <c r="FH7" s="272">
        <v>85678241</v>
      </c>
      <c r="FI7" s="459">
        <f t="shared" si="14"/>
        <v>1.1000000000000001</v>
      </c>
      <c r="FJ7" s="272">
        <v>67106189</v>
      </c>
      <c r="FK7" s="272">
        <v>6445264</v>
      </c>
      <c r="FL7" s="272">
        <v>47971007</v>
      </c>
      <c r="FM7" s="272">
        <v>52550023</v>
      </c>
      <c r="FN7" s="460">
        <v>0.95899999999999996</v>
      </c>
      <c r="FO7" s="388">
        <v>96.6</v>
      </c>
      <c r="FP7" s="388">
        <v>32.1</v>
      </c>
      <c r="FQ7" s="388">
        <v>12.8</v>
      </c>
      <c r="FR7" s="388">
        <v>18.8</v>
      </c>
      <c r="FS7" s="388">
        <v>10.9</v>
      </c>
      <c r="FT7" s="388">
        <v>12.4</v>
      </c>
      <c r="FU7" s="388">
        <v>9.4</v>
      </c>
      <c r="FV7" s="384">
        <f t="shared" si="15"/>
        <v>11.4</v>
      </c>
      <c r="FW7" s="272">
        <v>98567855</v>
      </c>
      <c r="FX7" s="384">
        <f t="shared" si="16"/>
        <v>134</v>
      </c>
      <c r="FY7" s="272">
        <v>12846656</v>
      </c>
      <c r="FZ7" s="272">
        <v>733940</v>
      </c>
      <c r="GA7" s="272">
        <v>3591081</v>
      </c>
      <c r="GB7" s="272">
        <v>8521635</v>
      </c>
      <c r="GC7" s="272">
        <v>3108769</v>
      </c>
      <c r="GD7" s="272">
        <v>12021687</v>
      </c>
      <c r="GE7" s="384">
        <f t="shared" si="17"/>
        <v>16.3</v>
      </c>
      <c r="GF7" s="388">
        <v>98</v>
      </c>
      <c r="GG7" s="388">
        <v>20</v>
      </c>
      <c r="GH7" s="388">
        <v>92.8</v>
      </c>
      <c r="GI7" s="272">
        <v>2541</v>
      </c>
      <c r="GJ7" s="461" t="s">
        <v>646</v>
      </c>
      <c r="GK7" s="461">
        <v>11.25</v>
      </c>
      <c r="GL7" s="462">
        <v>20</v>
      </c>
      <c r="GM7" s="461" t="s">
        <v>646</v>
      </c>
      <c r="GN7" s="462">
        <v>16.25</v>
      </c>
      <c r="GO7" s="462">
        <v>35</v>
      </c>
      <c r="GP7" s="463">
        <v>11.4</v>
      </c>
      <c r="GQ7" s="463">
        <v>25</v>
      </c>
      <c r="GR7" s="463">
        <v>35</v>
      </c>
      <c r="GS7" s="464">
        <v>77.5</v>
      </c>
      <c r="GT7" s="463">
        <v>350</v>
      </c>
      <c r="GU7" s="394"/>
      <c r="GV7" s="394"/>
      <c r="GW7" s="394"/>
      <c r="GX7" s="394"/>
      <c r="GY7" s="394"/>
      <c r="GZ7" s="394"/>
      <c r="HA7" s="394"/>
      <c r="HB7" s="394"/>
      <c r="HC7" s="394"/>
      <c r="HD7" s="394"/>
      <c r="HE7" s="394"/>
      <c r="HF7" s="394"/>
      <c r="HG7" s="394"/>
      <c r="HH7" s="394"/>
      <c r="HI7" s="394"/>
      <c r="HJ7" s="394"/>
      <c r="HK7" s="394"/>
      <c r="HL7" s="394"/>
      <c r="HM7" s="394"/>
      <c r="HN7" s="394"/>
      <c r="HO7" s="394"/>
      <c r="HP7" s="394"/>
      <c r="HQ7" s="394"/>
      <c r="HR7" s="394"/>
      <c r="HS7" s="394"/>
      <c r="HT7" s="394"/>
      <c r="HU7" s="394"/>
      <c r="HV7" s="394"/>
    </row>
    <row r="8" spans="2:230" x14ac:dyDescent="0.15">
      <c r="B8" s="89" t="s">
        <v>9</v>
      </c>
      <c r="C8" s="272">
        <v>16025642</v>
      </c>
      <c r="D8" s="455">
        <f t="shared" si="0"/>
        <v>6644343</v>
      </c>
      <c r="E8" s="272">
        <v>139751</v>
      </c>
      <c r="F8" s="456">
        <v>6504592</v>
      </c>
      <c r="G8" s="455">
        <f t="shared" si="1"/>
        <v>1288983</v>
      </c>
      <c r="H8" s="272">
        <v>268355</v>
      </c>
      <c r="I8" s="272">
        <v>1020628</v>
      </c>
      <c r="J8" s="272">
        <v>6105326</v>
      </c>
      <c r="K8" s="272">
        <v>2679229</v>
      </c>
      <c r="L8" s="272">
        <v>2632496</v>
      </c>
      <c r="M8" s="272">
        <v>737631</v>
      </c>
      <c r="N8" s="272">
        <v>511424</v>
      </c>
      <c r="O8" s="272">
        <v>1394915</v>
      </c>
      <c r="P8" s="272">
        <v>818161</v>
      </c>
      <c r="Q8" s="272">
        <v>576754</v>
      </c>
      <c r="R8" s="272">
        <v>237952</v>
      </c>
      <c r="S8" s="272"/>
      <c r="T8" s="455">
        <f t="shared" si="2"/>
        <v>1288887</v>
      </c>
      <c r="U8" s="272">
        <v>96311</v>
      </c>
      <c r="V8" s="272">
        <v>45729</v>
      </c>
      <c r="W8" s="456">
        <v>15473</v>
      </c>
      <c r="X8" s="272">
        <v>967202</v>
      </c>
      <c r="Y8" s="272">
        <v>77440</v>
      </c>
      <c r="Z8" s="272">
        <v>0</v>
      </c>
      <c r="AA8" s="272">
        <v>86732</v>
      </c>
      <c r="AB8" s="272">
        <v>180463</v>
      </c>
      <c r="AC8" s="272">
        <v>2938643</v>
      </c>
      <c r="AD8" s="272">
        <v>2418267</v>
      </c>
      <c r="AE8" s="272">
        <v>520376</v>
      </c>
      <c r="AF8" s="272">
        <v>17100</v>
      </c>
      <c r="AG8" s="272">
        <v>238040</v>
      </c>
      <c r="AH8" s="455">
        <f t="shared" si="3"/>
        <v>971943</v>
      </c>
      <c r="AI8" s="272">
        <v>789437</v>
      </c>
      <c r="AJ8" s="272">
        <v>182506</v>
      </c>
      <c r="AK8" s="272">
        <v>4525689</v>
      </c>
      <c r="AL8" s="455">
        <f t="shared" si="4"/>
        <v>1969797</v>
      </c>
      <c r="AM8" s="272">
        <v>1252505</v>
      </c>
      <c r="AN8" s="272">
        <v>237509</v>
      </c>
      <c r="AO8" s="272"/>
      <c r="AP8" s="272">
        <v>479783</v>
      </c>
      <c r="AQ8" s="272">
        <v>573806</v>
      </c>
      <c r="AR8" s="272">
        <v>0</v>
      </c>
      <c r="AS8" s="272">
        <v>0</v>
      </c>
      <c r="AT8" s="272">
        <v>2163722</v>
      </c>
      <c r="AU8" s="272">
        <v>1176535</v>
      </c>
      <c r="AV8" s="272">
        <v>177314</v>
      </c>
      <c r="AW8" s="272">
        <v>28162</v>
      </c>
      <c r="AX8" s="272">
        <v>987187</v>
      </c>
      <c r="AY8" s="272">
        <v>9138</v>
      </c>
      <c r="AZ8" s="272">
        <v>41744</v>
      </c>
      <c r="BA8" s="272">
        <v>17020</v>
      </c>
      <c r="BB8" s="272">
        <v>119499</v>
      </c>
      <c r="BC8" s="272">
        <v>67952</v>
      </c>
      <c r="BD8" s="272">
        <v>0</v>
      </c>
      <c r="BE8" s="272">
        <v>0</v>
      </c>
      <c r="BF8" s="272">
        <v>60129</v>
      </c>
      <c r="BG8" s="272">
        <v>0</v>
      </c>
      <c r="BH8" s="272">
        <v>350331</v>
      </c>
      <c r="BI8" s="272">
        <v>318174</v>
      </c>
      <c r="BJ8" s="272">
        <v>4168578</v>
      </c>
      <c r="BK8" s="272">
        <v>3588945</v>
      </c>
      <c r="BL8" s="272">
        <v>272</v>
      </c>
      <c r="BM8" s="272">
        <v>21914</v>
      </c>
      <c r="BN8" s="272">
        <v>2495200</v>
      </c>
      <c r="BO8" s="455">
        <f t="shared" si="5"/>
        <v>260800</v>
      </c>
      <c r="BP8" s="455">
        <f t="shared" si="6"/>
        <v>2234400</v>
      </c>
      <c r="BQ8" s="272"/>
      <c r="BR8" s="272">
        <v>0</v>
      </c>
      <c r="BS8" s="272">
        <v>2234400</v>
      </c>
      <c r="BT8" s="272">
        <v>0</v>
      </c>
      <c r="BU8" s="272">
        <v>35831385</v>
      </c>
      <c r="BV8" s="272"/>
      <c r="BW8" s="272">
        <v>6856085</v>
      </c>
      <c r="BX8" s="272">
        <v>4399468</v>
      </c>
      <c r="BY8" s="272">
        <v>745718</v>
      </c>
      <c r="BZ8" s="272">
        <v>448559</v>
      </c>
      <c r="CA8" s="272">
        <v>6426629</v>
      </c>
      <c r="CB8" s="272">
        <v>1092534</v>
      </c>
      <c r="CC8" s="272">
        <v>122818</v>
      </c>
      <c r="CD8" s="272">
        <v>3422482</v>
      </c>
      <c r="CE8" s="272">
        <v>1712264</v>
      </c>
      <c r="CF8" s="272">
        <v>19305</v>
      </c>
      <c r="CG8" s="272">
        <v>55326</v>
      </c>
      <c r="CH8" s="272">
        <v>3987488</v>
      </c>
      <c r="CI8" s="457" t="s">
        <v>646</v>
      </c>
      <c r="CJ8" s="458" t="s">
        <v>646</v>
      </c>
      <c r="CK8" s="272">
        <v>5112765</v>
      </c>
      <c r="CL8" s="272">
        <v>2914296</v>
      </c>
      <c r="CM8" s="272">
        <v>530525</v>
      </c>
      <c r="CN8" s="272">
        <v>671440</v>
      </c>
      <c r="CO8" s="272">
        <v>450869</v>
      </c>
      <c r="CP8" s="272">
        <v>2574532</v>
      </c>
      <c r="CQ8" s="272">
        <v>2083</v>
      </c>
      <c r="CR8" s="272">
        <v>719130</v>
      </c>
      <c r="CS8" s="272">
        <v>457885</v>
      </c>
      <c r="CT8" s="455">
        <f t="shared" si="7"/>
        <v>1190501</v>
      </c>
      <c r="CU8" s="272">
        <v>1123868</v>
      </c>
      <c r="CV8" s="272">
        <v>66633</v>
      </c>
      <c r="CW8" s="455">
        <f t="shared" si="8"/>
        <v>543606</v>
      </c>
      <c r="CX8" s="272">
        <v>517986</v>
      </c>
      <c r="CY8" s="272">
        <v>25620</v>
      </c>
      <c r="CZ8" s="455">
        <f t="shared" si="9"/>
        <v>642837</v>
      </c>
      <c r="DA8" s="272">
        <v>601824</v>
      </c>
      <c r="DB8" s="272">
        <v>41013</v>
      </c>
      <c r="DC8" s="272">
        <v>1348096</v>
      </c>
      <c r="DD8" s="272">
        <v>894326</v>
      </c>
      <c r="DE8" s="272">
        <v>437739</v>
      </c>
      <c r="DF8" s="26">
        <v>16031</v>
      </c>
      <c r="DG8" s="27">
        <v>0</v>
      </c>
      <c r="DH8" s="272">
        <v>0</v>
      </c>
      <c r="DI8" s="272">
        <v>891306</v>
      </c>
      <c r="DJ8" s="272">
        <v>251459</v>
      </c>
      <c r="DK8" s="272">
        <v>0</v>
      </c>
      <c r="DL8" s="272">
        <v>639847</v>
      </c>
      <c r="DM8" s="272">
        <v>500436</v>
      </c>
      <c r="DN8" s="272">
        <v>500436</v>
      </c>
      <c r="DO8" s="272">
        <v>0</v>
      </c>
      <c r="DP8" s="272">
        <v>458168</v>
      </c>
      <c r="DQ8" s="272">
        <v>3587500</v>
      </c>
      <c r="DR8" s="272">
        <v>0</v>
      </c>
      <c r="DS8" s="272">
        <v>0</v>
      </c>
      <c r="DT8" s="272">
        <v>2626811</v>
      </c>
      <c r="DU8" s="272">
        <v>0</v>
      </c>
      <c r="DV8" s="455">
        <f t="shared" si="10"/>
        <v>0</v>
      </c>
      <c r="DW8" s="272">
        <v>0</v>
      </c>
      <c r="DX8" s="272">
        <v>914866</v>
      </c>
      <c r="DY8" s="272">
        <v>8092</v>
      </c>
      <c r="DZ8" s="272">
        <v>778522</v>
      </c>
      <c r="EA8" s="272">
        <v>0</v>
      </c>
      <c r="EB8" s="272">
        <v>925331</v>
      </c>
      <c r="EC8" s="272">
        <v>0</v>
      </c>
      <c r="ED8" s="272">
        <v>34362517</v>
      </c>
      <c r="EE8" s="89"/>
      <c r="EF8" s="272">
        <v>1468868</v>
      </c>
      <c r="EG8" s="272">
        <v>101889</v>
      </c>
      <c r="EH8" s="272">
        <v>1366979</v>
      </c>
      <c r="EI8" s="272">
        <v>548805</v>
      </c>
      <c r="EJ8" s="272">
        <v>971458</v>
      </c>
      <c r="EK8" s="89"/>
      <c r="EL8" s="272">
        <v>104229</v>
      </c>
      <c r="EM8" s="272">
        <v>102429</v>
      </c>
      <c r="EN8" s="272">
        <v>473</v>
      </c>
      <c r="EO8" s="272">
        <v>38525</v>
      </c>
      <c r="EP8" s="455">
        <f t="shared" si="11"/>
        <v>936657</v>
      </c>
      <c r="EQ8" s="272">
        <v>20688687</v>
      </c>
      <c r="ER8" s="272">
        <v>-3192955</v>
      </c>
      <c r="ES8" s="272">
        <v>6425127</v>
      </c>
      <c r="ET8" s="272">
        <v>4019007</v>
      </c>
      <c r="EU8" s="272">
        <v>1795949</v>
      </c>
      <c r="EV8" s="272">
        <v>3987488</v>
      </c>
      <c r="EW8" s="455">
        <f t="shared" si="12"/>
        <v>365365</v>
      </c>
      <c r="EX8" s="272">
        <v>365365</v>
      </c>
      <c r="EY8" s="272">
        <v>30307</v>
      </c>
      <c r="EZ8" s="272">
        <v>334750</v>
      </c>
      <c r="FA8" s="272">
        <v>0</v>
      </c>
      <c r="FB8" s="272">
        <v>0</v>
      </c>
      <c r="FC8" s="272">
        <v>3927046</v>
      </c>
      <c r="FD8" s="272">
        <v>2025266</v>
      </c>
      <c r="FE8" s="272">
        <v>2083</v>
      </c>
      <c r="FF8" s="272">
        <v>2210060</v>
      </c>
      <c r="FG8" s="455">
        <f t="shared" si="13"/>
        <v>1676473</v>
      </c>
      <c r="FH8" s="272">
        <v>22412774</v>
      </c>
      <c r="FI8" s="459">
        <f t="shared" si="14"/>
        <v>6.9</v>
      </c>
      <c r="FJ8" s="272">
        <v>17639204</v>
      </c>
      <c r="FK8" s="272">
        <v>2234478</v>
      </c>
      <c r="FL8" s="272">
        <v>11676977</v>
      </c>
      <c r="FM8" s="272">
        <v>14104162</v>
      </c>
      <c r="FN8" s="460">
        <v>0.89500000000000002</v>
      </c>
      <c r="FO8" s="388">
        <v>93.1</v>
      </c>
      <c r="FP8" s="388">
        <v>29.7</v>
      </c>
      <c r="FQ8" s="388">
        <v>8.4</v>
      </c>
      <c r="FR8" s="388">
        <v>18</v>
      </c>
      <c r="FS8" s="388">
        <v>17.2</v>
      </c>
      <c r="FT8" s="388">
        <v>8.3000000000000007</v>
      </c>
      <c r="FU8" s="388">
        <v>9.6</v>
      </c>
      <c r="FV8" s="384">
        <f t="shared" si="15"/>
        <v>6.9</v>
      </c>
      <c r="FW8" s="272">
        <v>34791013</v>
      </c>
      <c r="FX8" s="384">
        <f t="shared" si="16"/>
        <v>175.1</v>
      </c>
      <c r="FY8" s="272">
        <v>5270134</v>
      </c>
      <c r="FZ8" s="272">
        <v>3280235</v>
      </c>
      <c r="GA8" s="272">
        <v>0</v>
      </c>
      <c r="GB8" s="272">
        <v>1989899</v>
      </c>
      <c r="GC8" s="272">
        <v>0</v>
      </c>
      <c r="GD8" s="272">
        <v>1028288</v>
      </c>
      <c r="GE8" s="384">
        <f t="shared" si="17"/>
        <v>5.2</v>
      </c>
      <c r="GF8" s="388">
        <v>97.8</v>
      </c>
      <c r="GG8" s="388">
        <v>20</v>
      </c>
      <c r="GH8" s="388">
        <v>91.5</v>
      </c>
      <c r="GI8" s="272">
        <v>667</v>
      </c>
      <c r="GJ8" s="461" t="s">
        <v>646</v>
      </c>
      <c r="GK8" s="461">
        <v>12.51</v>
      </c>
      <c r="GL8" s="462">
        <v>20</v>
      </c>
      <c r="GM8" s="461" t="s">
        <v>646</v>
      </c>
      <c r="GN8" s="462">
        <v>17.510000000000002</v>
      </c>
      <c r="GO8" s="462">
        <v>35</v>
      </c>
      <c r="GP8" s="463">
        <v>6.9</v>
      </c>
      <c r="GQ8" s="463">
        <v>25</v>
      </c>
      <c r="GR8" s="463">
        <v>35</v>
      </c>
      <c r="GS8" s="464">
        <v>93.3</v>
      </c>
      <c r="GT8" s="463">
        <v>350</v>
      </c>
      <c r="GU8" s="394"/>
      <c r="GV8" s="394"/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</row>
    <row r="9" spans="2:230" x14ac:dyDescent="0.15">
      <c r="B9" s="89" t="s">
        <v>11</v>
      </c>
      <c r="C9" s="272">
        <v>62661668</v>
      </c>
      <c r="D9" s="455">
        <f t="shared" si="0"/>
        <v>25240923</v>
      </c>
      <c r="E9" s="272">
        <v>480384</v>
      </c>
      <c r="F9" s="456">
        <v>24760539</v>
      </c>
      <c r="G9" s="455">
        <f t="shared" si="1"/>
        <v>4818061</v>
      </c>
      <c r="H9" s="272">
        <v>1079330</v>
      </c>
      <c r="I9" s="272">
        <v>3738731</v>
      </c>
      <c r="J9" s="272">
        <v>24254920</v>
      </c>
      <c r="K9" s="272">
        <v>9926264</v>
      </c>
      <c r="L9" s="272">
        <v>11195303</v>
      </c>
      <c r="M9" s="272">
        <v>2647847</v>
      </c>
      <c r="N9" s="272">
        <v>1629628</v>
      </c>
      <c r="O9" s="272">
        <v>5474694</v>
      </c>
      <c r="P9" s="272">
        <v>2950342</v>
      </c>
      <c r="Q9" s="272">
        <v>2524352</v>
      </c>
      <c r="R9" s="272">
        <v>627934</v>
      </c>
      <c r="S9" s="272"/>
      <c r="T9" s="455">
        <f t="shared" si="2"/>
        <v>4212783</v>
      </c>
      <c r="U9" s="272">
        <v>360879</v>
      </c>
      <c r="V9" s="272">
        <v>171310</v>
      </c>
      <c r="W9" s="456">
        <v>57920</v>
      </c>
      <c r="X9" s="272">
        <v>3342330</v>
      </c>
      <c r="Y9" s="272">
        <v>0</v>
      </c>
      <c r="Z9" s="272">
        <v>0</v>
      </c>
      <c r="AA9" s="272">
        <v>280344</v>
      </c>
      <c r="AB9" s="272">
        <v>637060</v>
      </c>
      <c r="AC9" s="272">
        <v>867717</v>
      </c>
      <c r="AD9" s="272">
        <v>755193</v>
      </c>
      <c r="AE9" s="272">
        <v>112524</v>
      </c>
      <c r="AF9" s="272">
        <v>52857</v>
      </c>
      <c r="AG9" s="272">
        <v>1317816</v>
      </c>
      <c r="AH9" s="455">
        <f t="shared" si="3"/>
        <v>2751103</v>
      </c>
      <c r="AI9" s="272">
        <v>2304864</v>
      </c>
      <c r="AJ9" s="272">
        <v>446239</v>
      </c>
      <c r="AK9" s="272">
        <v>18276073</v>
      </c>
      <c r="AL9" s="455">
        <f t="shared" si="4"/>
        <v>14655698</v>
      </c>
      <c r="AM9" s="272">
        <v>6914655</v>
      </c>
      <c r="AN9" s="272">
        <v>5765776</v>
      </c>
      <c r="AO9" s="272"/>
      <c r="AP9" s="272">
        <v>1975267</v>
      </c>
      <c r="AQ9" s="272">
        <v>575457</v>
      </c>
      <c r="AR9" s="272">
        <v>0</v>
      </c>
      <c r="AS9" s="272">
        <v>0</v>
      </c>
      <c r="AT9" s="272">
        <v>5947385</v>
      </c>
      <c r="AU9" s="272">
        <v>3362913</v>
      </c>
      <c r="AV9" s="272">
        <v>368374</v>
      </c>
      <c r="AW9" s="272">
        <v>114228</v>
      </c>
      <c r="AX9" s="272">
        <v>2584472</v>
      </c>
      <c r="AY9" s="272">
        <v>17802</v>
      </c>
      <c r="AZ9" s="272">
        <v>64300</v>
      </c>
      <c r="BA9" s="272">
        <v>6358</v>
      </c>
      <c r="BB9" s="272">
        <v>7188</v>
      </c>
      <c r="BC9" s="272">
        <v>1283898</v>
      </c>
      <c r="BD9" s="272">
        <v>0</v>
      </c>
      <c r="BE9" s="272">
        <v>0</v>
      </c>
      <c r="BF9" s="272">
        <v>1283898</v>
      </c>
      <c r="BG9" s="272">
        <v>0</v>
      </c>
      <c r="BH9" s="272">
        <v>883694</v>
      </c>
      <c r="BI9" s="272">
        <v>234355</v>
      </c>
      <c r="BJ9" s="272">
        <v>2063544</v>
      </c>
      <c r="BK9" s="272">
        <v>381252</v>
      </c>
      <c r="BL9" s="272">
        <v>159319</v>
      </c>
      <c r="BM9" s="272">
        <v>47975</v>
      </c>
      <c r="BN9" s="272">
        <v>7643100</v>
      </c>
      <c r="BO9" s="455">
        <f t="shared" si="5"/>
        <v>3643100</v>
      </c>
      <c r="BP9" s="455">
        <f t="shared" si="6"/>
        <v>4000000</v>
      </c>
      <c r="BQ9" s="272"/>
      <c r="BR9" s="272">
        <v>0</v>
      </c>
      <c r="BS9" s="272">
        <v>4000000</v>
      </c>
      <c r="BT9" s="272">
        <v>0</v>
      </c>
      <c r="BU9" s="272">
        <v>109298120</v>
      </c>
      <c r="BV9" s="272"/>
      <c r="BW9" s="272">
        <v>25078498</v>
      </c>
      <c r="BX9" s="272">
        <v>16288270</v>
      </c>
      <c r="BY9" s="272">
        <v>3074148</v>
      </c>
      <c r="BZ9" s="272">
        <v>1841609</v>
      </c>
      <c r="CA9" s="272">
        <v>29320759</v>
      </c>
      <c r="CB9" s="272">
        <v>5124153</v>
      </c>
      <c r="CC9" s="272">
        <v>1110864</v>
      </c>
      <c r="CD9" s="272">
        <v>12551819</v>
      </c>
      <c r="CE9" s="272">
        <v>9605172</v>
      </c>
      <c r="CF9" s="272">
        <v>361770</v>
      </c>
      <c r="CG9" s="272">
        <v>565845</v>
      </c>
      <c r="CH9" s="272">
        <v>7897596</v>
      </c>
      <c r="CI9" s="457" t="s">
        <v>646</v>
      </c>
      <c r="CJ9" s="458" t="s">
        <v>646</v>
      </c>
      <c r="CK9" s="272">
        <v>14369586</v>
      </c>
      <c r="CL9" s="272">
        <v>8944492</v>
      </c>
      <c r="CM9" s="272">
        <v>1029005</v>
      </c>
      <c r="CN9" s="272">
        <v>2493230</v>
      </c>
      <c r="CO9" s="272">
        <v>2092207</v>
      </c>
      <c r="CP9" s="272">
        <v>4569050</v>
      </c>
      <c r="CQ9" s="272">
        <v>7107</v>
      </c>
      <c r="CR9" s="272">
        <v>2184960</v>
      </c>
      <c r="CS9" s="272">
        <v>1552120</v>
      </c>
      <c r="CT9" s="455">
        <f t="shared" si="7"/>
        <v>916371</v>
      </c>
      <c r="CU9" s="272">
        <v>503148</v>
      </c>
      <c r="CV9" s="272">
        <v>413223</v>
      </c>
      <c r="CW9" s="455">
        <f t="shared" si="8"/>
        <v>896771</v>
      </c>
      <c r="CX9" s="272">
        <v>483548</v>
      </c>
      <c r="CY9" s="272">
        <v>413223</v>
      </c>
      <c r="CZ9" s="455">
        <f t="shared" si="9"/>
        <v>0</v>
      </c>
      <c r="DA9" s="272">
        <v>0</v>
      </c>
      <c r="DB9" s="272">
        <v>0</v>
      </c>
      <c r="DC9" s="272">
        <v>11344462</v>
      </c>
      <c r="DD9" s="272">
        <v>5187739</v>
      </c>
      <c r="DE9" s="272">
        <v>6001748</v>
      </c>
      <c r="DF9" s="26">
        <v>3162</v>
      </c>
      <c r="DG9" s="27">
        <v>151813</v>
      </c>
      <c r="DH9" s="272">
        <v>0</v>
      </c>
      <c r="DI9" s="272">
        <v>447837</v>
      </c>
      <c r="DJ9" s="272">
        <v>115547</v>
      </c>
      <c r="DK9" s="272">
        <v>0</v>
      </c>
      <c r="DL9" s="272">
        <v>332290</v>
      </c>
      <c r="DM9" s="272">
        <v>459041</v>
      </c>
      <c r="DN9" s="272">
        <v>445741</v>
      </c>
      <c r="DO9" s="272">
        <v>0</v>
      </c>
      <c r="DP9" s="272">
        <v>445741</v>
      </c>
      <c r="DQ9" s="272">
        <v>400400</v>
      </c>
      <c r="DR9" s="272">
        <v>0</v>
      </c>
      <c r="DS9" s="272">
        <v>0</v>
      </c>
      <c r="DT9" s="272">
        <v>12214935</v>
      </c>
      <c r="DU9" s="272">
        <v>3852102</v>
      </c>
      <c r="DV9" s="455">
        <f t="shared" si="10"/>
        <v>0</v>
      </c>
      <c r="DW9" s="272">
        <v>0</v>
      </c>
      <c r="DX9" s="272">
        <v>2697423</v>
      </c>
      <c r="DY9" s="272">
        <v>102103</v>
      </c>
      <c r="DZ9" s="272">
        <v>2912298</v>
      </c>
      <c r="EA9" s="272">
        <v>9908</v>
      </c>
      <c r="EB9" s="272">
        <v>2552758</v>
      </c>
      <c r="EC9" s="272">
        <v>0</v>
      </c>
      <c r="ED9" s="272">
        <v>108194371</v>
      </c>
      <c r="EE9" s="89"/>
      <c r="EF9" s="272">
        <v>1103749</v>
      </c>
      <c r="EG9" s="272">
        <v>942205</v>
      </c>
      <c r="EH9" s="272">
        <v>161544</v>
      </c>
      <c r="EI9" s="272">
        <v>-72811</v>
      </c>
      <c r="EJ9" s="272">
        <v>42736</v>
      </c>
      <c r="EK9" s="89"/>
      <c r="EL9" s="272">
        <v>355798</v>
      </c>
      <c r="EM9" s="272">
        <v>347930</v>
      </c>
      <c r="EN9" s="272">
        <v>217134</v>
      </c>
      <c r="EO9" s="272">
        <v>26470</v>
      </c>
      <c r="EP9" s="455">
        <f t="shared" si="11"/>
        <v>2256048</v>
      </c>
      <c r="EQ9" s="272">
        <v>69060019</v>
      </c>
      <c r="ER9" s="272">
        <v>-6446795</v>
      </c>
      <c r="ES9" s="272">
        <v>23156903</v>
      </c>
      <c r="ET9" s="272">
        <v>14806957</v>
      </c>
      <c r="EU9" s="272">
        <v>9739744</v>
      </c>
      <c r="EV9" s="272">
        <v>7896689</v>
      </c>
      <c r="EW9" s="455">
        <f t="shared" si="12"/>
        <v>4186420</v>
      </c>
      <c r="EX9" s="272">
        <v>4186420</v>
      </c>
      <c r="EY9" s="272">
        <v>217156</v>
      </c>
      <c r="EZ9" s="272">
        <v>3966102</v>
      </c>
      <c r="FA9" s="272">
        <v>0</v>
      </c>
      <c r="FB9" s="272">
        <v>0</v>
      </c>
      <c r="FC9" s="272">
        <v>11986172</v>
      </c>
      <c r="FD9" s="272">
        <v>3682065</v>
      </c>
      <c r="FE9" s="272">
        <v>7107</v>
      </c>
      <c r="FF9" s="272">
        <v>10891567</v>
      </c>
      <c r="FG9" s="455">
        <f t="shared" si="13"/>
        <v>2863505</v>
      </c>
      <c r="FH9" s="272">
        <v>74403065</v>
      </c>
      <c r="FI9" s="459">
        <f t="shared" si="14"/>
        <v>0.3</v>
      </c>
      <c r="FJ9" s="272">
        <v>59784637</v>
      </c>
      <c r="FK9" s="272">
        <v>4594262</v>
      </c>
      <c r="FL9" s="272">
        <v>44951314</v>
      </c>
      <c r="FM9" s="272">
        <v>45706507</v>
      </c>
      <c r="FN9" s="460">
        <v>1.0640000000000001</v>
      </c>
      <c r="FO9" s="388">
        <v>96.8</v>
      </c>
      <c r="FP9" s="388">
        <v>32.799999999999997</v>
      </c>
      <c r="FQ9" s="388">
        <v>14.3</v>
      </c>
      <c r="FR9" s="388">
        <v>11.2</v>
      </c>
      <c r="FS9" s="388">
        <v>17.100000000000001</v>
      </c>
      <c r="FT9" s="388">
        <v>4.7</v>
      </c>
      <c r="FU9" s="388">
        <v>13.8</v>
      </c>
      <c r="FV9" s="384">
        <f t="shared" si="15"/>
        <v>0.9</v>
      </c>
      <c r="FW9" s="272">
        <v>60750437</v>
      </c>
      <c r="FX9" s="384">
        <f t="shared" si="16"/>
        <v>94.4</v>
      </c>
      <c r="FY9" s="272">
        <v>26167967</v>
      </c>
      <c r="FZ9" s="272">
        <v>9439966</v>
      </c>
      <c r="GA9" s="272">
        <v>0</v>
      </c>
      <c r="GB9" s="272">
        <v>16728001</v>
      </c>
      <c r="GC9" s="272">
        <v>0</v>
      </c>
      <c r="GD9" s="272">
        <v>8896111</v>
      </c>
      <c r="GE9" s="384">
        <f t="shared" si="17"/>
        <v>13.8</v>
      </c>
      <c r="GF9" s="388">
        <v>98.8</v>
      </c>
      <c r="GG9" s="388">
        <v>29.5</v>
      </c>
      <c r="GH9" s="388">
        <v>95.9</v>
      </c>
      <c r="GI9" s="272">
        <v>2356</v>
      </c>
      <c r="GJ9" s="461" t="s">
        <v>646</v>
      </c>
      <c r="GK9" s="461">
        <v>11.25</v>
      </c>
      <c r="GL9" s="462">
        <v>20</v>
      </c>
      <c r="GM9" s="461" t="s">
        <v>646</v>
      </c>
      <c r="GN9" s="462">
        <v>16.25</v>
      </c>
      <c r="GO9" s="462">
        <v>35</v>
      </c>
      <c r="GP9" s="463">
        <v>0.9</v>
      </c>
      <c r="GQ9" s="463">
        <v>25</v>
      </c>
      <c r="GR9" s="463">
        <v>35</v>
      </c>
      <c r="GS9" s="464" t="s">
        <v>646</v>
      </c>
      <c r="GT9" s="463">
        <v>350</v>
      </c>
      <c r="GU9" s="394"/>
      <c r="GV9" s="394"/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</row>
    <row r="10" spans="2:230" x14ac:dyDescent="0.15">
      <c r="B10" s="89" t="s">
        <v>13</v>
      </c>
      <c r="C10" s="272">
        <v>11291617</v>
      </c>
      <c r="D10" s="455">
        <f t="shared" si="0"/>
        <v>3458288</v>
      </c>
      <c r="E10" s="272">
        <v>96114</v>
      </c>
      <c r="F10" s="456">
        <v>3362174</v>
      </c>
      <c r="G10" s="455">
        <f t="shared" si="1"/>
        <v>809062</v>
      </c>
      <c r="H10" s="272">
        <v>261698</v>
      </c>
      <c r="I10" s="272">
        <v>547364</v>
      </c>
      <c r="J10" s="272">
        <v>5390090</v>
      </c>
      <c r="K10" s="272">
        <v>2032692</v>
      </c>
      <c r="L10" s="272">
        <v>2115310</v>
      </c>
      <c r="M10" s="272">
        <v>655302</v>
      </c>
      <c r="N10" s="272">
        <v>542836</v>
      </c>
      <c r="O10" s="272">
        <v>1014373</v>
      </c>
      <c r="P10" s="272">
        <v>549526</v>
      </c>
      <c r="Q10" s="272">
        <v>464847</v>
      </c>
      <c r="R10" s="272">
        <v>192076</v>
      </c>
      <c r="S10" s="272"/>
      <c r="T10" s="455">
        <f t="shared" si="2"/>
        <v>893917</v>
      </c>
      <c r="U10" s="272">
        <v>50093</v>
      </c>
      <c r="V10" s="272">
        <v>23819</v>
      </c>
      <c r="W10" s="456">
        <v>8097</v>
      </c>
      <c r="X10" s="272">
        <v>745264</v>
      </c>
      <c r="Y10" s="272">
        <v>0</v>
      </c>
      <c r="Z10" s="272">
        <v>0</v>
      </c>
      <c r="AA10" s="272">
        <v>66644</v>
      </c>
      <c r="AB10" s="272">
        <v>160716</v>
      </c>
      <c r="AC10" s="272">
        <v>4061957</v>
      </c>
      <c r="AD10" s="272">
        <v>3655764</v>
      </c>
      <c r="AE10" s="272">
        <v>406193</v>
      </c>
      <c r="AF10" s="272">
        <v>15010</v>
      </c>
      <c r="AG10" s="272">
        <v>119137</v>
      </c>
      <c r="AH10" s="455">
        <f t="shared" si="3"/>
        <v>462247</v>
      </c>
      <c r="AI10" s="272">
        <v>370595</v>
      </c>
      <c r="AJ10" s="272">
        <v>91652</v>
      </c>
      <c r="AK10" s="272">
        <v>4978910</v>
      </c>
      <c r="AL10" s="455">
        <f t="shared" si="4"/>
        <v>2475151</v>
      </c>
      <c r="AM10" s="272">
        <v>1895843</v>
      </c>
      <c r="AN10" s="272">
        <v>209341</v>
      </c>
      <c r="AO10" s="272"/>
      <c r="AP10" s="272">
        <v>369967</v>
      </c>
      <c r="AQ10" s="272">
        <v>690124</v>
      </c>
      <c r="AR10" s="272">
        <v>0</v>
      </c>
      <c r="AS10" s="272">
        <v>0</v>
      </c>
      <c r="AT10" s="272">
        <v>1715317</v>
      </c>
      <c r="AU10" s="272">
        <v>921934</v>
      </c>
      <c r="AV10" s="272">
        <v>104670</v>
      </c>
      <c r="AW10" s="272">
        <v>1300</v>
      </c>
      <c r="AX10" s="272">
        <v>793383</v>
      </c>
      <c r="AY10" s="272">
        <v>7637</v>
      </c>
      <c r="AZ10" s="272">
        <v>95743</v>
      </c>
      <c r="BA10" s="272">
        <v>59137</v>
      </c>
      <c r="BB10" s="272">
        <v>4375</v>
      </c>
      <c r="BC10" s="272">
        <v>414347</v>
      </c>
      <c r="BD10" s="272">
        <v>100000</v>
      </c>
      <c r="BE10" s="272">
        <v>0</v>
      </c>
      <c r="BF10" s="272">
        <v>303965</v>
      </c>
      <c r="BG10" s="272">
        <v>0</v>
      </c>
      <c r="BH10" s="272">
        <v>223680</v>
      </c>
      <c r="BI10" s="272">
        <v>196224</v>
      </c>
      <c r="BJ10" s="272">
        <v>676981</v>
      </c>
      <c r="BK10" s="272">
        <v>12819</v>
      </c>
      <c r="BL10" s="272">
        <v>0</v>
      </c>
      <c r="BM10" s="272">
        <v>22406</v>
      </c>
      <c r="BN10" s="272">
        <v>3371121</v>
      </c>
      <c r="BO10" s="455">
        <f t="shared" si="5"/>
        <v>1723300</v>
      </c>
      <c r="BP10" s="455">
        <f t="shared" si="6"/>
        <v>1647821</v>
      </c>
      <c r="BQ10" s="272"/>
      <c r="BR10" s="272">
        <v>0</v>
      </c>
      <c r="BS10" s="272">
        <v>1647821</v>
      </c>
      <c r="BT10" s="272">
        <v>0</v>
      </c>
      <c r="BU10" s="272">
        <v>28677151</v>
      </c>
      <c r="BV10" s="272"/>
      <c r="BW10" s="272">
        <v>4563757</v>
      </c>
      <c r="BX10" s="272">
        <v>2627247</v>
      </c>
      <c r="BY10" s="272">
        <v>525794</v>
      </c>
      <c r="BZ10" s="272">
        <v>554813</v>
      </c>
      <c r="CA10" s="272">
        <v>6856114</v>
      </c>
      <c r="CB10" s="272">
        <v>984657</v>
      </c>
      <c r="CC10" s="272">
        <v>183328</v>
      </c>
      <c r="CD10" s="272">
        <v>3007216</v>
      </c>
      <c r="CE10" s="272">
        <v>2600072</v>
      </c>
      <c r="CF10" s="272">
        <v>0</v>
      </c>
      <c r="CG10" s="272">
        <v>80841</v>
      </c>
      <c r="CH10" s="272">
        <v>3683035</v>
      </c>
      <c r="CI10" s="457" t="s">
        <v>646</v>
      </c>
      <c r="CJ10" s="458" t="s">
        <v>646</v>
      </c>
      <c r="CK10" s="272">
        <v>2560715</v>
      </c>
      <c r="CL10" s="272">
        <v>1360309</v>
      </c>
      <c r="CM10" s="272">
        <v>193097</v>
      </c>
      <c r="CN10" s="272">
        <v>459118</v>
      </c>
      <c r="CO10" s="272">
        <v>114131</v>
      </c>
      <c r="CP10" s="272">
        <v>2891753</v>
      </c>
      <c r="CQ10" s="272">
        <v>888307</v>
      </c>
      <c r="CR10" s="272">
        <v>376753</v>
      </c>
      <c r="CS10" s="272">
        <v>275566</v>
      </c>
      <c r="CT10" s="455">
        <f t="shared" si="7"/>
        <v>1344674</v>
      </c>
      <c r="CU10" s="272">
        <v>1344674</v>
      </c>
      <c r="CV10" s="272">
        <v>0</v>
      </c>
      <c r="CW10" s="455">
        <f t="shared" si="8"/>
        <v>1332005</v>
      </c>
      <c r="CX10" s="272">
        <v>1332005</v>
      </c>
      <c r="CY10" s="272">
        <v>0</v>
      </c>
      <c r="CZ10" s="455">
        <f t="shared" si="9"/>
        <v>0</v>
      </c>
      <c r="DA10" s="272">
        <v>0</v>
      </c>
      <c r="DB10" s="272">
        <v>0</v>
      </c>
      <c r="DC10" s="272">
        <v>3076996</v>
      </c>
      <c r="DD10" s="272">
        <v>836287</v>
      </c>
      <c r="DE10" s="272">
        <v>1810397</v>
      </c>
      <c r="DF10" s="26">
        <v>414075</v>
      </c>
      <c r="DG10" s="27">
        <v>16237</v>
      </c>
      <c r="DH10" s="272">
        <v>0</v>
      </c>
      <c r="DI10" s="272">
        <v>758247</v>
      </c>
      <c r="DJ10" s="272">
        <v>272734</v>
      </c>
      <c r="DK10" s="272">
        <v>0</v>
      </c>
      <c r="DL10" s="272">
        <v>485513</v>
      </c>
      <c r="DM10" s="272">
        <v>0</v>
      </c>
      <c r="DN10" s="272">
        <v>0</v>
      </c>
      <c r="DO10" s="272">
        <v>0</v>
      </c>
      <c r="DP10" s="272">
        <v>0</v>
      </c>
      <c r="DQ10" s="272">
        <v>1000</v>
      </c>
      <c r="DR10" s="272">
        <v>0</v>
      </c>
      <c r="DS10" s="272">
        <v>0</v>
      </c>
      <c r="DT10" s="272">
        <v>4009516</v>
      </c>
      <c r="DU10" s="272">
        <v>1524881</v>
      </c>
      <c r="DV10" s="455">
        <f t="shared" si="10"/>
        <v>39269</v>
      </c>
      <c r="DW10" s="272">
        <v>39269</v>
      </c>
      <c r="DX10" s="272">
        <v>695893</v>
      </c>
      <c r="DY10" s="272">
        <v>300000</v>
      </c>
      <c r="DZ10" s="272">
        <v>901552</v>
      </c>
      <c r="EA10" s="272">
        <v>1447</v>
      </c>
      <c r="EB10" s="272">
        <v>546474</v>
      </c>
      <c r="EC10" s="272">
        <v>0</v>
      </c>
      <c r="ED10" s="272">
        <v>28515264</v>
      </c>
      <c r="EE10" s="89"/>
      <c r="EF10" s="272">
        <v>161887</v>
      </c>
      <c r="EG10" s="272">
        <v>56821</v>
      </c>
      <c r="EH10" s="272">
        <v>105066</v>
      </c>
      <c r="EI10" s="272">
        <v>-91158</v>
      </c>
      <c r="EJ10" s="272">
        <v>81576</v>
      </c>
      <c r="EK10" s="89"/>
      <c r="EL10" s="272">
        <v>77548</v>
      </c>
      <c r="EM10" s="272">
        <v>76251</v>
      </c>
      <c r="EN10" s="272">
        <v>110382</v>
      </c>
      <c r="EO10" s="272">
        <v>94685</v>
      </c>
      <c r="EP10" s="455">
        <f t="shared" si="11"/>
        <v>1112929</v>
      </c>
      <c r="EQ10" s="272">
        <v>16615293</v>
      </c>
      <c r="ER10" s="272">
        <v>-2950807</v>
      </c>
      <c r="ES10" s="272">
        <v>4029281</v>
      </c>
      <c r="ET10" s="272">
        <v>2222973</v>
      </c>
      <c r="EU10" s="272">
        <v>1961081</v>
      </c>
      <c r="EV10" s="272">
        <v>3671217</v>
      </c>
      <c r="EW10" s="455">
        <f t="shared" si="12"/>
        <v>692947</v>
      </c>
      <c r="EX10" s="272">
        <v>692947</v>
      </c>
      <c r="EY10" s="272">
        <v>198987</v>
      </c>
      <c r="EZ10" s="272">
        <v>493185</v>
      </c>
      <c r="FA10" s="272">
        <v>0</v>
      </c>
      <c r="FB10" s="272">
        <v>0</v>
      </c>
      <c r="FC10" s="272">
        <v>2093472</v>
      </c>
      <c r="FD10" s="272">
        <v>2773154</v>
      </c>
      <c r="FE10" s="272">
        <v>888307</v>
      </c>
      <c r="FF10" s="272">
        <v>3328544</v>
      </c>
      <c r="FG10" s="455">
        <f t="shared" si="13"/>
        <v>855893</v>
      </c>
      <c r="FH10" s="272">
        <v>19405589</v>
      </c>
      <c r="FI10" s="459">
        <f t="shared" si="14"/>
        <v>0.7</v>
      </c>
      <c r="FJ10" s="272">
        <v>14453846</v>
      </c>
      <c r="FK10" s="272">
        <v>1647821</v>
      </c>
      <c r="FL10" s="272">
        <v>8330889</v>
      </c>
      <c r="FM10" s="272">
        <v>11986653</v>
      </c>
      <c r="FN10" s="460">
        <v>0.72799999999999998</v>
      </c>
      <c r="FO10" s="388">
        <v>99.2</v>
      </c>
      <c r="FP10" s="388">
        <v>23.5</v>
      </c>
      <c r="FQ10" s="388">
        <v>11.6</v>
      </c>
      <c r="FR10" s="388">
        <v>21.7</v>
      </c>
      <c r="FS10" s="388">
        <v>11.1</v>
      </c>
      <c r="FT10" s="388">
        <v>13.4</v>
      </c>
      <c r="FU10" s="388">
        <v>17.399999999999999</v>
      </c>
      <c r="FV10" s="384">
        <f t="shared" si="15"/>
        <v>18.5</v>
      </c>
      <c r="FW10" s="272">
        <v>32313990</v>
      </c>
      <c r="FX10" s="384">
        <f t="shared" si="16"/>
        <v>200.7</v>
      </c>
      <c r="FY10" s="272">
        <v>1612753</v>
      </c>
      <c r="FZ10" s="272">
        <v>172734</v>
      </c>
      <c r="GA10" s="272">
        <v>0</v>
      </c>
      <c r="GB10" s="272">
        <v>1440019</v>
      </c>
      <c r="GC10" s="272">
        <v>400000</v>
      </c>
      <c r="GD10" s="272">
        <v>3418302</v>
      </c>
      <c r="GE10" s="384">
        <f t="shared" si="17"/>
        <v>21.2</v>
      </c>
      <c r="GF10" s="388">
        <v>98.8</v>
      </c>
      <c r="GG10" s="388">
        <v>31.6</v>
      </c>
      <c r="GH10" s="388">
        <v>96.2</v>
      </c>
      <c r="GI10" s="272">
        <v>432</v>
      </c>
      <c r="GJ10" s="461" t="s">
        <v>646</v>
      </c>
      <c r="GK10" s="461">
        <v>12.7</v>
      </c>
      <c r="GL10" s="462">
        <v>20</v>
      </c>
      <c r="GM10" s="461">
        <v>7.64</v>
      </c>
      <c r="GN10" s="462">
        <v>17.7</v>
      </c>
      <c r="GO10" s="462">
        <v>35</v>
      </c>
      <c r="GP10" s="463">
        <v>18.5</v>
      </c>
      <c r="GQ10" s="463">
        <v>25</v>
      </c>
      <c r="GR10" s="463">
        <v>35</v>
      </c>
      <c r="GS10" s="464">
        <v>216.1</v>
      </c>
      <c r="GT10" s="463">
        <v>350</v>
      </c>
      <c r="GU10" s="394"/>
      <c r="GV10" s="394"/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</row>
    <row r="11" spans="2:230" x14ac:dyDescent="0.15">
      <c r="B11" s="89" t="s">
        <v>15</v>
      </c>
      <c r="C11" s="272">
        <v>48898667</v>
      </c>
      <c r="D11" s="455">
        <f t="shared" si="0"/>
        <v>19853190</v>
      </c>
      <c r="E11" s="272">
        <v>489253</v>
      </c>
      <c r="F11" s="456">
        <v>19363937</v>
      </c>
      <c r="G11" s="455">
        <f t="shared" si="1"/>
        <v>3150357</v>
      </c>
      <c r="H11" s="272">
        <v>747992</v>
      </c>
      <c r="I11" s="272">
        <v>2402365</v>
      </c>
      <c r="J11" s="272">
        <v>19107530</v>
      </c>
      <c r="K11" s="272">
        <v>8251642</v>
      </c>
      <c r="L11" s="272">
        <v>8178952</v>
      </c>
      <c r="M11" s="272">
        <v>2399821</v>
      </c>
      <c r="N11" s="272">
        <v>1543598</v>
      </c>
      <c r="O11" s="272">
        <v>3942613</v>
      </c>
      <c r="P11" s="272">
        <v>2218831</v>
      </c>
      <c r="Q11" s="272">
        <v>1723782</v>
      </c>
      <c r="R11" s="272">
        <v>668317</v>
      </c>
      <c r="S11" s="272"/>
      <c r="T11" s="455">
        <f t="shared" si="2"/>
        <v>3736113</v>
      </c>
      <c r="U11" s="272">
        <v>287701</v>
      </c>
      <c r="V11" s="272">
        <v>136755</v>
      </c>
      <c r="W11" s="456">
        <v>46437</v>
      </c>
      <c r="X11" s="272">
        <v>2907140</v>
      </c>
      <c r="Y11" s="272">
        <v>59730</v>
      </c>
      <c r="Z11" s="272">
        <v>0</v>
      </c>
      <c r="AA11" s="272">
        <v>298350</v>
      </c>
      <c r="AB11" s="272">
        <v>633295</v>
      </c>
      <c r="AC11" s="272">
        <v>11205976</v>
      </c>
      <c r="AD11" s="272">
        <v>10681635</v>
      </c>
      <c r="AE11" s="272">
        <v>524341</v>
      </c>
      <c r="AF11" s="272">
        <v>59266</v>
      </c>
      <c r="AG11" s="272">
        <v>1045745</v>
      </c>
      <c r="AH11" s="455">
        <f t="shared" si="3"/>
        <v>2611624</v>
      </c>
      <c r="AI11" s="272">
        <v>1916781</v>
      </c>
      <c r="AJ11" s="272">
        <v>694843</v>
      </c>
      <c r="AK11" s="272">
        <v>18765515</v>
      </c>
      <c r="AL11" s="455">
        <f t="shared" si="4"/>
        <v>9321877</v>
      </c>
      <c r="AM11" s="272">
        <v>6439265</v>
      </c>
      <c r="AN11" s="272">
        <v>858359</v>
      </c>
      <c r="AO11" s="272"/>
      <c r="AP11" s="272">
        <v>2024253</v>
      </c>
      <c r="AQ11" s="272">
        <v>917073</v>
      </c>
      <c r="AR11" s="272">
        <v>0</v>
      </c>
      <c r="AS11" s="272">
        <v>0</v>
      </c>
      <c r="AT11" s="272">
        <v>5947591</v>
      </c>
      <c r="AU11" s="272">
        <v>3181351</v>
      </c>
      <c r="AV11" s="272">
        <v>0</v>
      </c>
      <c r="AW11" s="272">
        <v>384309</v>
      </c>
      <c r="AX11" s="272">
        <v>2766240</v>
      </c>
      <c r="AY11" s="272">
        <v>36263</v>
      </c>
      <c r="AZ11" s="272">
        <v>313992</v>
      </c>
      <c r="BA11" s="272">
        <v>185483</v>
      </c>
      <c r="BB11" s="272">
        <v>8720</v>
      </c>
      <c r="BC11" s="272">
        <v>3505948</v>
      </c>
      <c r="BD11" s="272">
        <v>0</v>
      </c>
      <c r="BE11" s="272">
        <v>0</v>
      </c>
      <c r="BF11" s="272">
        <v>3161643</v>
      </c>
      <c r="BG11" s="272">
        <v>0</v>
      </c>
      <c r="BH11" s="272">
        <v>1189349</v>
      </c>
      <c r="BI11" s="272">
        <v>722272</v>
      </c>
      <c r="BJ11" s="272">
        <v>1894417</v>
      </c>
      <c r="BK11" s="272">
        <v>857393</v>
      </c>
      <c r="BL11" s="272">
        <v>62263</v>
      </c>
      <c r="BM11" s="272">
        <v>46010</v>
      </c>
      <c r="BN11" s="272">
        <v>5521600</v>
      </c>
      <c r="BO11" s="455">
        <f t="shared" si="5"/>
        <v>1021600</v>
      </c>
      <c r="BP11" s="455">
        <f t="shared" si="6"/>
        <v>4500000</v>
      </c>
      <c r="BQ11" s="272"/>
      <c r="BR11" s="272">
        <v>0</v>
      </c>
      <c r="BS11" s="272">
        <v>4500000</v>
      </c>
      <c r="BT11" s="272">
        <v>0</v>
      </c>
      <c r="BU11" s="272">
        <v>106006135</v>
      </c>
      <c r="BV11" s="272"/>
      <c r="BW11" s="272">
        <v>22799285</v>
      </c>
      <c r="BX11" s="272">
        <v>13371474</v>
      </c>
      <c r="BY11" s="272">
        <v>4035293</v>
      </c>
      <c r="BZ11" s="272">
        <v>2040726</v>
      </c>
      <c r="CA11" s="272">
        <v>27354434</v>
      </c>
      <c r="CB11" s="272">
        <v>5249494</v>
      </c>
      <c r="CC11" s="272">
        <v>653601</v>
      </c>
      <c r="CD11" s="272">
        <v>12013691</v>
      </c>
      <c r="CE11" s="272">
        <v>8889800</v>
      </c>
      <c r="CF11" s="272">
        <v>192553</v>
      </c>
      <c r="CG11" s="272">
        <v>354314</v>
      </c>
      <c r="CH11" s="272">
        <v>6685775</v>
      </c>
      <c r="CI11" s="457" t="s">
        <v>646</v>
      </c>
      <c r="CJ11" s="458" t="s">
        <v>646</v>
      </c>
      <c r="CK11" s="272">
        <v>12831840</v>
      </c>
      <c r="CL11" s="272">
        <v>7324383</v>
      </c>
      <c r="CM11" s="272">
        <v>761942</v>
      </c>
      <c r="CN11" s="272">
        <v>3179622</v>
      </c>
      <c r="CO11" s="272">
        <v>1540212</v>
      </c>
      <c r="CP11" s="272">
        <v>4384879</v>
      </c>
      <c r="CQ11" s="272">
        <v>24125</v>
      </c>
      <c r="CR11" s="272">
        <v>2192054</v>
      </c>
      <c r="CS11" s="272">
        <v>1777333</v>
      </c>
      <c r="CT11" s="455">
        <f t="shared" si="7"/>
        <v>1065823</v>
      </c>
      <c r="CU11" s="272">
        <v>38152</v>
      </c>
      <c r="CV11" s="272">
        <v>1027671</v>
      </c>
      <c r="CW11" s="455">
        <f t="shared" si="8"/>
        <v>0</v>
      </c>
      <c r="CX11" s="272">
        <v>0</v>
      </c>
      <c r="CY11" s="272">
        <v>0</v>
      </c>
      <c r="CZ11" s="455">
        <f t="shared" si="9"/>
        <v>0</v>
      </c>
      <c r="DA11" s="272">
        <v>0</v>
      </c>
      <c r="DB11" s="272">
        <v>0</v>
      </c>
      <c r="DC11" s="272">
        <v>10461730</v>
      </c>
      <c r="DD11" s="272">
        <v>4435887</v>
      </c>
      <c r="DE11" s="272">
        <v>5974237</v>
      </c>
      <c r="DF11" s="26">
        <v>51606</v>
      </c>
      <c r="DG11" s="27">
        <v>0</v>
      </c>
      <c r="DH11" s="272">
        <v>0</v>
      </c>
      <c r="DI11" s="272">
        <v>3578943</v>
      </c>
      <c r="DJ11" s="272">
        <v>1426702</v>
      </c>
      <c r="DK11" s="272">
        <v>6149</v>
      </c>
      <c r="DL11" s="272">
        <v>2146092</v>
      </c>
      <c r="DM11" s="272">
        <v>0</v>
      </c>
      <c r="DN11" s="272">
        <v>0</v>
      </c>
      <c r="DO11" s="272">
        <v>0</v>
      </c>
      <c r="DP11" s="272">
        <v>0</v>
      </c>
      <c r="DQ11" s="272">
        <v>878221</v>
      </c>
      <c r="DR11" s="272">
        <v>0</v>
      </c>
      <c r="DS11" s="272">
        <v>0</v>
      </c>
      <c r="DT11" s="272">
        <v>12683048</v>
      </c>
      <c r="DU11" s="272">
        <v>4200000</v>
      </c>
      <c r="DV11" s="455">
        <f t="shared" si="10"/>
        <v>0</v>
      </c>
      <c r="DW11" s="272">
        <v>0</v>
      </c>
      <c r="DX11" s="272">
        <v>3038341</v>
      </c>
      <c r="DY11" s="272">
        <v>0</v>
      </c>
      <c r="DZ11" s="272">
        <v>2822208</v>
      </c>
      <c r="EA11" s="272">
        <v>0</v>
      </c>
      <c r="EB11" s="272">
        <v>2622034</v>
      </c>
      <c r="EC11" s="272">
        <v>0</v>
      </c>
      <c r="ED11" s="272">
        <v>103198367</v>
      </c>
      <c r="EE11" s="89"/>
      <c r="EF11" s="272">
        <v>2807768</v>
      </c>
      <c r="EG11" s="272">
        <v>2503424</v>
      </c>
      <c r="EH11" s="272">
        <v>304344</v>
      </c>
      <c r="EI11" s="272">
        <v>-417928</v>
      </c>
      <c r="EJ11" s="272">
        <v>1008774</v>
      </c>
      <c r="EK11" s="89"/>
      <c r="EL11" s="272">
        <v>357359</v>
      </c>
      <c r="EM11" s="272">
        <v>355275</v>
      </c>
      <c r="EN11" s="272">
        <v>2807395</v>
      </c>
      <c r="EO11" s="272">
        <v>203690</v>
      </c>
      <c r="EP11" s="455">
        <f t="shared" si="11"/>
        <v>2786721</v>
      </c>
      <c r="EQ11" s="272">
        <v>65201634</v>
      </c>
      <c r="ER11" s="272">
        <v>-10238540</v>
      </c>
      <c r="ES11" s="272">
        <v>21247990</v>
      </c>
      <c r="ET11" s="272">
        <v>11992108</v>
      </c>
      <c r="EU11" s="272">
        <v>8358649</v>
      </c>
      <c r="EV11" s="272">
        <v>6572855</v>
      </c>
      <c r="EW11" s="455">
        <f t="shared" si="12"/>
        <v>6341314</v>
      </c>
      <c r="EX11" s="272">
        <v>6341314</v>
      </c>
      <c r="EY11" s="272">
        <v>1542626</v>
      </c>
      <c r="EZ11" s="272">
        <v>4747082</v>
      </c>
      <c r="FA11" s="272">
        <v>0</v>
      </c>
      <c r="FB11" s="272">
        <v>0</v>
      </c>
      <c r="FC11" s="272">
        <v>9972135</v>
      </c>
      <c r="FD11" s="272">
        <v>3796435</v>
      </c>
      <c r="FE11" s="272">
        <v>24125</v>
      </c>
      <c r="FF11" s="272">
        <v>11396272</v>
      </c>
      <c r="FG11" s="455">
        <f t="shared" si="13"/>
        <v>4958788</v>
      </c>
      <c r="FH11" s="272">
        <v>72644438</v>
      </c>
      <c r="FI11" s="459">
        <f t="shared" si="14"/>
        <v>0.5</v>
      </c>
      <c r="FJ11" s="272">
        <v>57961114</v>
      </c>
      <c r="FK11" s="272">
        <v>6364811</v>
      </c>
      <c r="FL11" s="272">
        <v>36537617</v>
      </c>
      <c r="FM11" s="272">
        <v>47199307</v>
      </c>
      <c r="FN11" s="460">
        <v>0.80600000000000005</v>
      </c>
      <c r="FO11" s="388">
        <v>88.1</v>
      </c>
      <c r="FP11" s="388">
        <v>31.4</v>
      </c>
      <c r="FQ11" s="388">
        <v>12.7</v>
      </c>
      <c r="FR11" s="388">
        <v>10</v>
      </c>
      <c r="FS11" s="388">
        <v>14.4</v>
      </c>
      <c r="FT11" s="388">
        <v>3.9</v>
      </c>
      <c r="FU11" s="388">
        <v>13.5</v>
      </c>
      <c r="FV11" s="384">
        <f t="shared" si="15"/>
        <v>0.4</v>
      </c>
      <c r="FW11" s="272">
        <v>50725231</v>
      </c>
      <c r="FX11" s="384">
        <f t="shared" si="16"/>
        <v>78.900000000000006</v>
      </c>
      <c r="FY11" s="272">
        <v>35761028</v>
      </c>
      <c r="FZ11" s="272">
        <v>12431176</v>
      </c>
      <c r="GA11" s="272">
        <v>2696543</v>
      </c>
      <c r="GB11" s="272">
        <v>20633309</v>
      </c>
      <c r="GC11" s="272">
        <v>0</v>
      </c>
      <c r="GD11" s="272">
        <v>1515736</v>
      </c>
      <c r="GE11" s="384">
        <f t="shared" si="17"/>
        <v>2.4</v>
      </c>
      <c r="GF11" s="388">
        <v>98.7</v>
      </c>
      <c r="GG11" s="388">
        <v>28.4</v>
      </c>
      <c r="GH11" s="388">
        <v>95.5</v>
      </c>
      <c r="GI11" s="272">
        <v>2019</v>
      </c>
      <c r="GJ11" s="461" t="s">
        <v>646</v>
      </c>
      <c r="GK11" s="461">
        <v>11.25</v>
      </c>
      <c r="GL11" s="462">
        <v>20</v>
      </c>
      <c r="GM11" s="461" t="s">
        <v>646</v>
      </c>
      <c r="GN11" s="462">
        <v>16.25</v>
      </c>
      <c r="GO11" s="462">
        <v>35</v>
      </c>
      <c r="GP11" s="463">
        <v>0.4</v>
      </c>
      <c r="GQ11" s="463">
        <v>25</v>
      </c>
      <c r="GR11" s="463">
        <v>35</v>
      </c>
      <c r="GS11" s="464" t="s">
        <v>646</v>
      </c>
      <c r="GT11" s="463">
        <v>350</v>
      </c>
      <c r="GU11" s="394"/>
      <c r="GV11" s="394"/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</row>
    <row r="12" spans="2:230" x14ac:dyDescent="0.15">
      <c r="B12" s="89" t="s">
        <v>17</v>
      </c>
      <c r="C12" s="272">
        <v>11535513</v>
      </c>
      <c r="D12" s="455">
        <f t="shared" si="0"/>
        <v>3777829</v>
      </c>
      <c r="E12" s="272">
        <v>110723</v>
      </c>
      <c r="F12" s="456">
        <v>3667106</v>
      </c>
      <c r="G12" s="455">
        <f t="shared" si="1"/>
        <v>858004</v>
      </c>
      <c r="H12" s="272">
        <v>183538</v>
      </c>
      <c r="I12" s="272">
        <v>674466</v>
      </c>
      <c r="J12" s="272">
        <v>5100367</v>
      </c>
      <c r="K12" s="272">
        <v>1789004</v>
      </c>
      <c r="L12" s="272">
        <v>2178557</v>
      </c>
      <c r="M12" s="272">
        <v>914202</v>
      </c>
      <c r="N12" s="272">
        <v>749289</v>
      </c>
      <c r="O12" s="272">
        <v>906196</v>
      </c>
      <c r="P12" s="272">
        <v>452932</v>
      </c>
      <c r="Q12" s="272">
        <v>453264</v>
      </c>
      <c r="R12" s="272">
        <v>201511</v>
      </c>
      <c r="S12" s="272"/>
      <c r="T12" s="455">
        <f t="shared" si="2"/>
        <v>978685</v>
      </c>
      <c r="U12" s="272">
        <v>54184</v>
      </c>
      <c r="V12" s="272">
        <v>25765</v>
      </c>
      <c r="W12" s="456">
        <v>8760</v>
      </c>
      <c r="X12" s="272">
        <v>800377</v>
      </c>
      <c r="Y12" s="272">
        <v>0</v>
      </c>
      <c r="Z12" s="272">
        <v>0</v>
      </c>
      <c r="AA12" s="272">
        <v>89599</v>
      </c>
      <c r="AB12" s="272">
        <v>196078</v>
      </c>
      <c r="AC12" s="272">
        <v>4470586</v>
      </c>
      <c r="AD12" s="272">
        <v>4055379</v>
      </c>
      <c r="AE12" s="272">
        <v>415207</v>
      </c>
      <c r="AF12" s="272">
        <v>20433</v>
      </c>
      <c r="AG12" s="272">
        <v>394117</v>
      </c>
      <c r="AH12" s="455">
        <f t="shared" si="3"/>
        <v>551138</v>
      </c>
      <c r="AI12" s="272">
        <v>462921</v>
      </c>
      <c r="AJ12" s="272">
        <v>88217</v>
      </c>
      <c r="AK12" s="272">
        <v>5059611</v>
      </c>
      <c r="AL12" s="455">
        <f t="shared" si="4"/>
        <v>2783173</v>
      </c>
      <c r="AM12" s="272">
        <v>1906720</v>
      </c>
      <c r="AN12" s="272">
        <v>451674</v>
      </c>
      <c r="AO12" s="272"/>
      <c r="AP12" s="272">
        <v>424779</v>
      </c>
      <c r="AQ12" s="272">
        <v>244788</v>
      </c>
      <c r="AR12" s="272">
        <v>0</v>
      </c>
      <c r="AS12" s="272">
        <v>0</v>
      </c>
      <c r="AT12" s="272">
        <v>2104699</v>
      </c>
      <c r="AU12" s="272">
        <v>1262101</v>
      </c>
      <c r="AV12" s="272">
        <v>225837</v>
      </c>
      <c r="AW12" s="272">
        <v>90684</v>
      </c>
      <c r="AX12" s="272">
        <v>842598</v>
      </c>
      <c r="AY12" s="272">
        <v>3853</v>
      </c>
      <c r="AZ12" s="272">
        <v>175605</v>
      </c>
      <c r="BA12" s="272">
        <v>164663</v>
      </c>
      <c r="BB12" s="272">
        <v>2783</v>
      </c>
      <c r="BC12" s="272">
        <v>645095</v>
      </c>
      <c r="BD12" s="272">
        <v>275453</v>
      </c>
      <c r="BE12" s="272">
        <v>0</v>
      </c>
      <c r="BF12" s="272">
        <v>362811</v>
      </c>
      <c r="BG12" s="272">
        <v>0</v>
      </c>
      <c r="BH12" s="272">
        <v>155312</v>
      </c>
      <c r="BI12" s="272">
        <v>49901</v>
      </c>
      <c r="BJ12" s="272">
        <v>372732</v>
      </c>
      <c r="BK12" s="272">
        <v>18733</v>
      </c>
      <c r="BL12" s="272">
        <v>0</v>
      </c>
      <c r="BM12" s="272">
        <v>21916</v>
      </c>
      <c r="BN12" s="272">
        <v>4589758</v>
      </c>
      <c r="BO12" s="455">
        <f t="shared" si="5"/>
        <v>2762700</v>
      </c>
      <c r="BP12" s="455">
        <f t="shared" si="6"/>
        <v>1827058</v>
      </c>
      <c r="BQ12" s="272"/>
      <c r="BR12" s="272">
        <v>0</v>
      </c>
      <c r="BS12" s="272">
        <v>1827058</v>
      </c>
      <c r="BT12" s="272">
        <v>0</v>
      </c>
      <c r="BU12" s="272">
        <v>31453656</v>
      </c>
      <c r="BV12" s="272"/>
      <c r="BW12" s="272">
        <v>5837497</v>
      </c>
      <c r="BX12" s="272">
        <v>3464627</v>
      </c>
      <c r="BY12" s="272">
        <v>715418</v>
      </c>
      <c r="BZ12" s="272">
        <v>602939</v>
      </c>
      <c r="CA12" s="272">
        <v>8161779</v>
      </c>
      <c r="CB12" s="272">
        <v>1127775</v>
      </c>
      <c r="CC12" s="272">
        <v>140365</v>
      </c>
      <c r="CD12" s="272">
        <v>4146016</v>
      </c>
      <c r="CE12" s="272">
        <v>2624767</v>
      </c>
      <c r="CF12" s="272">
        <v>0</v>
      </c>
      <c r="CG12" s="272">
        <v>122856</v>
      </c>
      <c r="CH12" s="272">
        <v>2725191</v>
      </c>
      <c r="CI12" s="457" t="s">
        <v>646</v>
      </c>
      <c r="CJ12" s="458" t="s">
        <v>646</v>
      </c>
      <c r="CK12" s="272">
        <v>2951812</v>
      </c>
      <c r="CL12" s="272">
        <v>1488659</v>
      </c>
      <c r="CM12" s="272">
        <v>307080</v>
      </c>
      <c r="CN12" s="272">
        <v>547674</v>
      </c>
      <c r="CO12" s="272">
        <v>125715</v>
      </c>
      <c r="CP12" s="272">
        <v>5697667</v>
      </c>
      <c r="CQ12" s="272">
        <v>1164095</v>
      </c>
      <c r="CR12" s="272">
        <v>755270</v>
      </c>
      <c r="CS12" s="272">
        <v>475807</v>
      </c>
      <c r="CT12" s="455">
        <f t="shared" si="7"/>
        <v>1111161</v>
      </c>
      <c r="CU12" s="272">
        <v>664660</v>
      </c>
      <c r="CV12" s="272">
        <v>446501</v>
      </c>
      <c r="CW12" s="455">
        <f t="shared" si="8"/>
        <v>1098700</v>
      </c>
      <c r="CX12" s="272">
        <v>657897</v>
      </c>
      <c r="CY12" s="272">
        <v>440803</v>
      </c>
      <c r="CZ12" s="455">
        <f t="shared" si="9"/>
        <v>0</v>
      </c>
      <c r="DA12" s="272">
        <v>0</v>
      </c>
      <c r="DB12" s="272">
        <v>0</v>
      </c>
      <c r="DC12" s="272">
        <v>1893907</v>
      </c>
      <c r="DD12" s="272">
        <v>512105</v>
      </c>
      <c r="DE12" s="272">
        <v>1304572</v>
      </c>
      <c r="DF12" s="26">
        <v>77230</v>
      </c>
      <c r="DG12" s="27">
        <v>0</v>
      </c>
      <c r="DH12" s="272">
        <v>0</v>
      </c>
      <c r="DI12" s="272">
        <v>191757</v>
      </c>
      <c r="DJ12" s="272">
        <v>25000</v>
      </c>
      <c r="DK12" s="272">
        <v>0</v>
      </c>
      <c r="DL12" s="272">
        <v>166757</v>
      </c>
      <c r="DM12" s="272">
        <v>0</v>
      </c>
      <c r="DN12" s="272">
        <v>0</v>
      </c>
      <c r="DO12" s="272">
        <v>0</v>
      </c>
      <c r="DP12" s="272">
        <v>0</v>
      </c>
      <c r="DQ12" s="272">
        <v>28540</v>
      </c>
      <c r="DR12" s="272">
        <v>0</v>
      </c>
      <c r="DS12" s="272">
        <v>0</v>
      </c>
      <c r="DT12" s="272">
        <v>3691084</v>
      </c>
      <c r="DU12" s="272">
        <v>1465974</v>
      </c>
      <c r="DV12" s="455">
        <f t="shared" si="10"/>
        <v>0</v>
      </c>
      <c r="DW12" s="272">
        <v>0</v>
      </c>
      <c r="DX12" s="272">
        <v>869252</v>
      </c>
      <c r="DY12" s="272">
        <v>0</v>
      </c>
      <c r="DZ12" s="272">
        <v>599303</v>
      </c>
      <c r="EA12" s="272">
        <v>0</v>
      </c>
      <c r="EB12" s="272">
        <v>754514</v>
      </c>
      <c r="EC12" s="272">
        <v>0</v>
      </c>
      <c r="ED12" s="272">
        <v>31304949</v>
      </c>
      <c r="EE12" s="89"/>
      <c r="EF12" s="272">
        <v>148707</v>
      </c>
      <c r="EG12" s="272">
        <v>48077</v>
      </c>
      <c r="EH12" s="272">
        <v>100630</v>
      </c>
      <c r="EI12" s="272">
        <v>50729</v>
      </c>
      <c r="EJ12" s="272">
        <v>-199724</v>
      </c>
      <c r="EK12" s="89"/>
      <c r="EL12" s="272">
        <v>90519</v>
      </c>
      <c r="EM12" s="272">
        <v>89938</v>
      </c>
      <c r="EN12" s="272">
        <v>276559</v>
      </c>
      <c r="EO12" s="272">
        <v>69393</v>
      </c>
      <c r="EP12" s="455">
        <f t="shared" si="11"/>
        <v>658585</v>
      </c>
      <c r="EQ12" s="272">
        <v>17402806</v>
      </c>
      <c r="ER12" s="272">
        <v>-2811162</v>
      </c>
      <c r="ES12" s="272">
        <v>5404498</v>
      </c>
      <c r="ET12" s="272">
        <v>3158151</v>
      </c>
      <c r="EU12" s="272">
        <v>2328525</v>
      </c>
      <c r="EV12" s="272">
        <v>2725006</v>
      </c>
      <c r="EW12" s="455">
        <f t="shared" si="12"/>
        <v>714671</v>
      </c>
      <c r="EX12" s="272">
        <v>714671</v>
      </c>
      <c r="EY12" s="272">
        <v>82714</v>
      </c>
      <c r="EZ12" s="272">
        <v>554727</v>
      </c>
      <c r="FA12" s="272">
        <v>0</v>
      </c>
      <c r="FB12" s="272">
        <v>0</v>
      </c>
      <c r="FC12" s="272">
        <v>2346178</v>
      </c>
      <c r="FD12" s="272">
        <v>3116708</v>
      </c>
      <c r="FE12" s="272">
        <v>899095</v>
      </c>
      <c r="FF12" s="272">
        <v>3264423</v>
      </c>
      <c r="FG12" s="455">
        <f t="shared" si="13"/>
        <v>165252</v>
      </c>
      <c r="FH12" s="272">
        <v>20065261</v>
      </c>
      <c r="FI12" s="459">
        <f t="shared" si="14"/>
        <v>0.6</v>
      </c>
      <c r="FJ12" s="272">
        <v>15743087</v>
      </c>
      <c r="FK12" s="272">
        <v>1827058</v>
      </c>
      <c r="FL12" s="272">
        <v>9027000</v>
      </c>
      <c r="FM12" s="272">
        <v>13087039</v>
      </c>
      <c r="FN12" s="460">
        <v>0.71799999999999997</v>
      </c>
      <c r="FO12" s="388">
        <v>98.3</v>
      </c>
      <c r="FP12" s="388">
        <v>28.7</v>
      </c>
      <c r="FQ12" s="388">
        <v>12.9</v>
      </c>
      <c r="FR12" s="388">
        <v>15.1</v>
      </c>
      <c r="FS12" s="388">
        <v>11.9</v>
      </c>
      <c r="FT12" s="388">
        <v>13.1</v>
      </c>
      <c r="FU12" s="388">
        <v>16</v>
      </c>
      <c r="FV12" s="384">
        <f t="shared" si="15"/>
        <v>13.4</v>
      </c>
      <c r="FW12" s="272">
        <v>26490293</v>
      </c>
      <c r="FX12" s="384">
        <f t="shared" si="16"/>
        <v>150.80000000000001</v>
      </c>
      <c r="FY12" s="272">
        <v>2530994</v>
      </c>
      <c r="FZ12" s="272">
        <v>617373</v>
      </c>
      <c r="GA12" s="272">
        <v>188585</v>
      </c>
      <c r="GB12" s="272">
        <v>1725036</v>
      </c>
      <c r="GC12" s="272">
        <v>0</v>
      </c>
      <c r="GD12" s="457"/>
      <c r="GE12" s="384"/>
      <c r="GF12" s="388">
        <v>98.3</v>
      </c>
      <c r="GG12" s="388">
        <v>23.4</v>
      </c>
      <c r="GH12" s="388">
        <v>93.3</v>
      </c>
      <c r="GI12" s="272">
        <v>571</v>
      </c>
      <c r="GJ12" s="461" t="s">
        <v>646</v>
      </c>
      <c r="GK12" s="461">
        <v>12.62</v>
      </c>
      <c r="GL12" s="462">
        <v>20</v>
      </c>
      <c r="GM12" s="461" t="s">
        <v>646</v>
      </c>
      <c r="GN12" s="462">
        <v>17.62</v>
      </c>
      <c r="GO12" s="462">
        <v>35</v>
      </c>
      <c r="GP12" s="463">
        <v>13.4</v>
      </c>
      <c r="GQ12" s="463">
        <v>25</v>
      </c>
      <c r="GR12" s="463">
        <v>35</v>
      </c>
      <c r="GS12" s="464">
        <v>118.1</v>
      </c>
      <c r="GT12" s="463">
        <v>350</v>
      </c>
      <c r="GU12" s="394"/>
      <c r="GV12" s="394"/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</row>
    <row r="13" spans="2:230" x14ac:dyDescent="0.15">
      <c r="B13" s="89" t="s">
        <v>19</v>
      </c>
      <c r="C13" s="272">
        <v>22122923</v>
      </c>
      <c r="D13" s="455">
        <f t="shared" si="0"/>
        <v>6366645</v>
      </c>
      <c r="E13" s="272">
        <v>179831</v>
      </c>
      <c r="F13" s="456">
        <v>6186814</v>
      </c>
      <c r="G13" s="455">
        <f t="shared" si="1"/>
        <v>1623288</v>
      </c>
      <c r="H13" s="272">
        <v>488772</v>
      </c>
      <c r="I13" s="272">
        <v>1134516</v>
      </c>
      <c r="J13" s="272">
        <v>10186049</v>
      </c>
      <c r="K13" s="272">
        <v>4106231</v>
      </c>
      <c r="L13" s="272">
        <v>4109859</v>
      </c>
      <c r="M13" s="272">
        <v>1642318</v>
      </c>
      <c r="N13" s="272">
        <v>985582</v>
      </c>
      <c r="O13" s="272">
        <v>2042253</v>
      </c>
      <c r="P13" s="272">
        <v>1113585</v>
      </c>
      <c r="Q13" s="272">
        <v>928668</v>
      </c>
      <c r="R13" s="272">
        <v>249897</v>
      </c>
      <c r="S13" s="272"/>
      <c r="T13" s="455">
        <f t="shared" si="2"/>
        <v>1830173</v>
      </c>
      <c r="U13" s="272">
        <v>93532</v>
      </c>
      <c r="V13" s="272">
        <v>44407</v>
      </c>
      <c r="W13" s="456">
        <v>15023</v>
      </c>
      <c r="X13" s="272">
        <v>1565648</v>
      </c>
      <c r="Y13" s="272">
        <v>0</v>
      </c>
      <c r="Z13" s="272">
        <v>0</v>
      </c>
      <c r="AA13" s="272">
        <v>111563</v>
      </c>
      <c r="AB13" s="272">
        <v>237278</v>
      </c>
      <c r="AC13" s="272">
        <v>5002680</v>
      </c>
      <c r="AD13" s="272">
        <v>4357371</v>
      </c>
      <c r="AE13" s="272">
        <v>645309</v>
      </c>
      <c r="AF13" s="272">
        <v>23565</v>
      </c>
      <c r="AG13" s="272">
        <v>1678978</v>
      </c>
      <c r="AH13" s="455">
        <f t="shared" si="3"/>
        <v>995925</v>
      </c>
      <c r="AI13" s="272">
        <v>786985</v>
      </c>
      <c r="AJ13" s="272">
        <v>208940</v>
      </c>
      <c r="AK13" s="272">
        <v>11124275</v>
      </c>
      <c r="AL13" s="455">
        <f t="shared" si="4"/>
        <v>7927325</v>
      </c>
      <c r="AM13" s="272">
        <v>6652225</v>
      </c>
      <c r="AN13" s="272">
        <v>437334</v>
      </c>
      <c r="AO13" s="272"/>
      <c r="AP13" s="272">
        <v>837766</v>
      </c>
      <c r="AQ13" s="272">
        <v>300537</v>
      </c>
      <c r="AR13" s="272">
        <v>0</v>
      </c>
      <c r="AS13" s="272">
        <v>0</v>
      </c>
      <c r="AT13" s="272">
        <v>3247023</v>
      </c>
      <c r="AU13" s="272">
        <v>1786518</v>
      </c>
      <c r="AV13" s="272">
        <v>251107</v>
      </c>
      <c r="AW13" s="272">
        <v>16444</v>
      </c>
      <c r="AX13" s="272">
        <v>1460505</v>
      </c>
      <c r="AY13" s="272">
        <v>54774</v>
      </c>
      <c r="AZ13" s="272">
        <v>215254</v>
      </c>
      <c r="BA13" s="272">
        <v>133792</v>
      </c>
      <c r="BB13" s="272">
        <v>52949</v>
      </c>
      <c r="BC13" s="272">
        <v>224379</v>
      </c>
      <c r="BD13" s="272">
        <v>0</v>
      </c>
      <c r="BE13" s="272">
        <v>220000</v>
      </c>
      <c r="BF13" s="272">
        <v>4379</v>
      </c>
      <c r="BG13" s="272">
        <v>0</v>
      </c>
      <c r="BH13" s="272">
        <v>292965</v>
      </c>
      <c r="BI13" s="272">
        <v>210047</v>
      </c>
      <c r="BJ13" s="272">
        <v>634031</v>
      </c>
      <c r="BK13" s="272">
        <v>24567</v>
      </c>
      <c r="BL13" s="272">
        <v>0</v>
      </c>
      <c r="BM13" s="272">
        <v>21908</v>
      </c>
      <c r="BN13" s="272">
        <v>5927800</v>
      </c>
      <c r="BO13" s="455">
        <f t="shared" si="5"/>
        <v>2074800</v>
      </c>
      <c r="BP13" s="455">
        <f t="shared" si="6"/>
        <v>2953000</v>
      </c>
      <c r="BQ13" s="272"/>
      <c r="BR13" s="272">
        <v>0</v>
      </c>
      <c r="BS13" s="272">
        <v>2953000</v>
      </c>
      <c r="BT13" s="272">
        <v>900000</v>
      </c>
      <c r="BU13" s="272">
        <v>53860095</v>
      </c>
      <c r="BV13" s="272"/>
      <c r="BW13" s="272">
        <v>11418492</v>
      </c>
      <c r="BX13" s="272">
        <v>7028791</v>
      </c>
      <c r="BY13" s="272">
        <v>2149239</v>
      </c>
      <c r="BZ13" s="272">
        <v>488051</v>
      </c>
      <c r="CA13" s="272">
        <v>18301922</v>
      </c>
      <c r="CB13" s="272">
        <v>2043313</v>
      </c>
      <c r="CC13" s="272">
        <v>248994</v>
      </c>
      <c r="CD13" s="272">
        <v>5321428</v>
      </c>
      <c r="CE13" s="272">
        <v>9114838</v>
      </c>
      <c r="CF13" s="272">
        <v>1394971</v>
      </c>
      <c r="CG13" s="272">
        <v>178347</v>
      </c>
      <c r="CH13" s="272">
        <v>5629539</v>
      </c>
      <c r="CI13" s="457" t="s">
        <v>646</v>
      </c>
      <c r="CJ13" s="458" t="s">
        <v>646</v>
      </c>
      <c r="CK13" s="272">
        <v>4079683</v>
      </c>
      <c r="CL13" s="272">
        <v>2400238</v>
      </c>
      <c r="CM13" s="272">
        <v>226361</v>
      </c>
      <c r="CN13" s="272">
        <v>719058</v>
      </c>
      <c r="CO13" s="272">
        <v>248841</v>
      </c>
      <c r="CP13" s="272">
        <v>3935466</v>
      </c>
      <c r="CQ13" s="272">
        <v>1877646</v>
      </c>
      <c r="CR13" s="272">
        <v>599818</v>
      </c>
      <c r="CS13" s="272">
        <v>354544</v>
      </c>
      <c r="CT13" s="455">
        <f t="shared" si="7"/>
        <v>72855</v>
      </c>
      <c r="CU13" s="272">
        <v>72855</v>
      </c>
      <c r="CV13" s="272">
        <v>0</v>
      </c>
      <c r="CW13" s="455">
        <f t="shared" si="8"/>
        <v>0</v>
      </c>
      <c r="CX13" s="272">
        <v>0</v>
      </c>
      <c r="CY13" s="272">
        <v>0</v>
      </c>
      <c r="CZ13" s="455">
        <f t="shared" si="9"/>
        <v>0</v>
      </c>
      <c r="DA13" s="272">
        <v>0</v>
      </c>
      <c r="DB13" s="272">
        <v>0</v>
      </c>
      <c r="DC13" s="272">
        <v>2873377</v>
      </c>
      <c r="DD13" s="272">
        <v>482055</v>
      </c>
      <c r="DE13" s="272">
        <v>2369110</v>
      </c>
      <c r="DF13" s="26">
        <v>0</v>
      </c>
      <c r="DG13" s="27">
        <v>22212</v>
      </c>
      <c r="DH13" s="272">
        <v>0</v>
      </c>
      <c r="DI13" s="272">
        <v>45330</v>
      </c>
      <c r="DJ13" s="272">
        <v>40028</v>
      </c>
      <c r="DK13" s="272">
        <v>540</v>
      </c>
      <c r="DL13" s="272">
        <v>4762</v>
      </c>
      <c r="DM13" s="272">
        <v>23709</v>
      </c>
      <c r="DN13" s="272">
        <v>23709</v>
      </c>
      <c r="DO13" s="272">
        <v>23709</v>
      </c>
      <c r="DP13" s="272">
        <v>0</v>
      </c>
      <c r="DQ13" s="272">
        <v>1862</v>
      </c>
      <c r="DR13" s="272">
        <v>0</v>
      </c>
      <c r="DS13" s="272">
        <v>0</v>
      </c>
      <c r="DT13" s="272">
        <v>7058915</v>
      </c>
      <c r="DU13" s="272">
        <v>1175000</v>
      </c>
      <c r="DV13" s="455">
        <f t="shared" si="10"/>
        <v>0</v>
      </c>
      <c r="DW13" s="272">
        <v>0</v>
      </c>
      <c r="DX13" s="272">
        <v>1426165</v>
      </c>
      <c r="DY13" s="272">
        <v>0</v>
      </c>
      <c r="DZ13" s="272">
        <v>3167513</v>
      </c>
      <c r="EA13" s="272">
        <v>193</v>
      </c>
      <c r="EB13" s="272">
        <v>1290044</v>
      </c>
      <c r="EC13" s="272">
        <v>0</v>
      </c>
      <c r="ED13" s="272">
        <v>53617136</v>
      </c>
      <c r="EE13" s="89"/>
      <c r="EF13" s="272">
        <v>242959</v>
      </c>
      <c r="EG13" s="272">
        <v>28281</v>
      </c>
      <c r="EH13" s="272">
        <v>214678</v>
      </c>
      <c r="EI13" s="272">
        <v>-215369</v>
      </c>
      <c r="EJ13" s="272">
        <v>44673</v>
      </c>
      <c r="EK13" s="89"/>
      <c r="EL13" s="272">
        <v>146697</v>
      </c>
      <c r="EM13" s="272">
        <v>144813</v>
      </c>
      <c r="EN13" s="272">
        <v>220000</v>
      </c>
      <c r="EO13" s="272">
        <v>211352</v>
      </c>
      <c r="EP13" s="455">
        <f t="shared" si="11"/>
        <v>1028772</v>
      </c>
      <c r="EQ13" s="272">
        <v>29466516</v>
      </c>
      <c r="ER13" s="272">
        <v>-4389559</v>
      </c>
      <c r="ES13" s="272">
        <v>9870721</v>
      </c>
      <c r="ET13" s="272">
        <v>6525160</v>
      </c>
      <c r="EU13" s="272">
        <v>4677312</v>
      </c>
      <c r="EV13" s="272">
        <v>5549733</v>
      </c>
      <c r="EW13" s="455">
        <f t="shared" si="12"/>
        <v>406558</v>
      </c>
      <c r="EX13" s="272">
        <v>406558</v>
      </c>
      <c r="EY13" s="272">
        <v>2250</v>
      </c>
      <c r="EZ13" s="272">
        <v>404308</v>
      </c>
      <c r="FA13" s="272">
        <v>0</v>
      </c>
      <c r="FB13" s="272">
        <v>0</v>
      </c>
      <c r="FC13" s="272">
        <v>3248893</v>
      </c>
      <c r="FD13" s="272">
        <v>3728847</v>
      </c>
      <c r="FE13" s="272">
        <v>1877646</v>
      </c>
      <c r="FF13" s="272">
        <v>6040398</v>
      </c>
      <c r="FG13" s="455">
        <f t="shared" si="13"/>
        <v>90654</v>
      </c>
      <c r="FH13" s="272">
        <v>33613116</v>
      </c>
      <c r="FI13" s="459">
        <f t="shared" si="14"/>
        <v>0.7</v>
      </c>
      <c r="FJ13" s="272">
        <v>25899230</v>
      </c>
      <c r="FK13" s="272">
        <v>2953013</v>
      </c>
      <c r="FL13" s="272">
        <v>16559620</v>
      </c>
      <c r="FM13" s="272">
        <v>21229744</v>
      </c>
      <c r="FN13" s="460">
        <v>0.81</v>
      </c>
      <c r="FO13" s="388">
        <v>99.1</v>
      </c>
      <c r="FP13" s="388">
        <v>32.4</v>
      </c>
      <c r="FQ13" s="388">
        <v>15.6</v>
      </c>
      <c r="FR13" s="388">
        <v>17.899999999999999</v>
      </c>
      <c r="FS13" s="388">
        <v>10.5</v>
      </c>
      <c r="FT13" s="388">
        <v>8.9</v>
      </c>
      <c r="FU13" s="388">
        <v>13.7</v>
      </c>
      <c r="FV13" s="384">
        <f t="shared" si="15"/>
        <v>6.9</v>
      </c>
      <c r="FW13" s="272">
        <v>48618896</v>
      </c>
      <c r="FX13" s="384">
        <f t="shared" si="16"/>
        <v>168.5</v>
      </c>
      <c r="FY13" s="272">
        <v>3431386</v>
      </c>
      <c r="FZ13" s="272">
        <v>41545</v>
      </c>
      <c r="GA13" s="272">
        <v>1685</v>
      </c>
      <c r="GB13" s="272">
        <v>3388156</v>
      </c>
      <c r="GC13" s="272">
        <v>2458800</v>
      </c>
      <c r="GD13" s="272">
        <v>3792353</v>
      </c>
      <c r="GE13" s="384">
        <f t="shared" ref="GE13:GE19" si="18">ROUND(GD13/(FJ13+FK13)*100,1)</f>
        <v>13.1</v>
      </c>
      <c r="GF13" s="388">
        <v>97.7</v>
      </c>
      <c r="GG13" s="388">
        <v>19.2</v>
      </c>
      <c r="GH13" s="388">
        <v>91.1</v>
      </c>
      <c r="GI13" s="272">
        <v>950</v>
      </c>
      <c r="GJ13" s="461" t="s">
        <v>646</v>
      </c>
      <c r="GK13" s="461">
        <v>11.86</v>
      </c>
      <c r="GL13" s="462">
        <v>20</v>
      </c>
      <c r="GM13" s="461">
        <v>2</v>
      </c>
      <c r="GN13" s="462">
        <v>16.86</v>
      </c>
      <c r="GO13" s="462">
        <v>35</v>
      </c>
      <c r="GP13" s="463">
        <v>6.9</v>
      </c>
      <c r="GQ13" s="463">
        <v>25</v>
      </c>
      <c r="GR13" s="463">
        <v>35</v>
      </c>
      <c r="GS13" s="464">
        <v>101.7</v>
      </c>
      <c r="GT13" s="463">
        <v>350</v>
      </c>
      <c r="GU13" s="394"/>
      <c r="GV13" s="394"/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</row>
    <row r="14" spans="2:230" x14ac:dyDescent="0.15">
      <c r="B14" s="89" t="s">
        <v>21</v>
      </c>
      <c r="C14" s="272">
        <v>55934023</v>
      </c>
      <c r="D14" s="455">
        <f t="shared" si="0"/>
        <v>22290766</v>
      </c>
      <c r="E14" s="272">
        <v>544425</v>
      </c>
      <c r="F14" s="456">
        <v>21746341</v>
      </c>
      <c r="G14" s="455">
        <f t="shared" si="1"/>
        <v>3369445</v>
      </c>
      <c r="H14" s="272">
        <v>693291</v>
      </c>
      <c r="I14" s="272">
        <v>2676154</v>
      </c>
      <c r="J14" s="272">
        <v>22126501</v>
      </c>
      <c r="K14" s="272">
        <v>8925658</v>
      </c>
      <c r="L14" s="272">
        <v>10019571</v>
      </c>
      <c r="M14" s="272">
        <v>2601192</v>
      </c>
      <c r="N14" s="272">
        <v>1742708</v>
      </c>
      <c r="O14" s="272">
        <v>4738961</v>
      </c>
      <c r="P14" s="272">
        <v>2558459</v>
      </c>
      <c r="Q14" s="272">
        <v>2180502</v>
      </c>
      <c r="R14" s="272">
        <v>710724</v>
      </c>
      <c r="S14" s="272"/>
      <c r="T14" s="455">
        <f t="shared" si="2"/>
        <v>4337859</v>
      </c>
      <c r="U14" s="272">
        <v>329459</v>
      </c>
      <c r="V14" s="272">
        <v>156536</v>
      </c>
      <c r="W14" s="456">
        <v>53079</v>
      </c>
      <c r="X14" s="272">
        <v>3381365</v>
      </c>
      <c r="Y14" s="272">
        <v>100127</v>
      </c>
      <c r="Z14" s="272">
        <v>0</v>
      </c>
      <c r="AA14" s="272">
        <v>317293</v>
      </c>
      <c r="AB14" s="272">
        <v>834985</v>
      </c>
      <c r="AC14" s="272">
        <v>10476371</v>
      </c>
      <c r="AD14" s="272">
        <v>10221583</v>
      </c>
      <c r="AE14" s="272">
        <v>254788</v>
      </c>
      <c r="AF14" s="272">
        <v>69669</v>
      </c>
      <c r="AG14" s="272">
        <v>1056843</v>
      </c>
      <c r="AH14" s="455">
        <f t="shared" si="3"/>
        <v>2333461</v>
      </c>
      <c r="AI14" s="272">
        <v>1893881</v>
      </c>
      <c r="AJ14" s="272">
        <v>439580</v>
      </c>
      <c r="AK14" s="272">
        <v>21223791</v>
      </c>
      <c r="AL14" s="455">
        <f t="shared" si="4"/>
        <v>11627730</v>
      </c>
      <c r="AM14" s="272">
        <v>8522205</v>
      </c>
      <c r="AN14" s="272">
        <v>1334938</v>
      </c>
      <c r="AO14" s="272"/>
      <c r="AP14" s="272">
        <v>1770587</v>
      </c>
      <c r="AQ14" s="272">
        <v>1099982</v>
      </c>
      <c r="AR14" s="272">
        <v>0</v>
      </c>
      <c r="AS14" s="272">
        <v>0</v>
      </c>
      <c r="AT14" s="272">
        <v>8109905</v>
      </c>
      <c r="AU14" s="272">
        <v>5152626</v>
      </c>
      <c r="AV14" s="272">
        <v>667469</v>
      </c>
      <c r="AW14" s="272">
        <v>565835</v>
      </c>
      <c r="AX14" s="272">
        <v>2957279</v>
      </c>
      <c r="AY14" s="272">
        <v>111131</v>
      </c>
      <c r="AZ14" s="272">
        <v>482295</v>
      </c>
      <c r="BA14" s="272">
        <v>391091</v>
      </c>
      <c r="BB14" s="272">
        <v>45358</v>
      </c>
      <c r="BC14" s="272">
        <v>2277329</v>
      </c>
      <c r="BD14" s="272">
        <v>303187</v>
      </c>
      <c r="BE14" s="272">
        <v>391171</v>
      </c>
      <c r="BF14" s="272">
        <v>1579782</v>
      </c>
      <c r="BG14" s="272">
        <v>0</v>
      </c>
      <c r="BH14" s="272">
        <v>1424468</v>
      </c>
      <c r="BI14" s="272">
        <v>918095</v>
      </c>
      <c r="BJ14" s="272">
        <v>1369718</v>
      </c>
      <c r="BK14" s="272">
        <v>0</v>
      </c>
      <c r="BL14" s="272">
        <v>0</v>
      </c>
      <c r="BM14" s="272">
        <v>21871</v>
      </c>
      <c r="BN14" s="272">
        <v>9214990</v>
      </c>
      <c r="BO14" s="455">
        <f t="shared" si="5"/>
        <v>1743000</v>
      </c>
      <c r="BP14" s="455">
        <f t="shared" si="6"/>
        <v>7471990</v>
      </c>
      <c r="BQ14" s="272"/>
      <c r="BR14" s="272">
        <v>0</v>
      </c>
      <c r="BS14" s="272">
        <v>7471990</v>
      </c>
      <c r="BT14" s="272">
        <v>0</v>
      </c>
      <c r="BU14" s="272">
        <v>119901789</v>
      </c>
      <c r="BV14" s="272"/>
      <c r="BW14" s="272">
        <v>22939779</v>
      </c>
      <c r="BX14" s="272">
        <v>15125831</v>
      </c>
      <c r="BY14" s="272">
        <v>2821371</v>
      </c>
      <c r="BZ14" s="272">
        <v>1402690</v>
      </c>
      <c r="CA14" s="272">
        <v>33180827</v>
      </c>
      <c r="CB14" s="272">
        <v>5013833</v>
      </c>
      <c r="CC14" s="272">
        <v>593283</v>
      </c>
      <c r="CD14" s="272">
        <v>15153201</v>
      </c>
      <c r="CE14" s="272">
        <v>11943741</v>
      </c>
      <c r="CF14" s="272">
        <v>0</v>
      </c>
      <c r="CG14" s="272">
        <v>475744</v>
      </c>
      <c r="CH14" s="272">
        <v>10604507</v>
      </c>
      <c r="CI14" s="457" t="s">
        <v>646</v>
      </c>
      <c r="CJ14" s="458" t="s">
        <v>646</v>
      </c>
      <c r="CK14" s="272">
        <v>10913193</v>
      </c>
      <c r="CL14" s="272">
        <v>5843711</v>
      </c>
      <c r="CM14" s="272">
        <v>688884</v>
      </c>
      <c r="CN14" s="272">
        <v>2377079</v>
      </c>
      <c r="CO14" s="272">
        <v>1322580</v>
      </c>
      <c r="CP14" s="272">
        <v>10892817</v>
      </c>
      <c r="CQ14" s="272">
        <v>4855184</v>
      </c>
      <c r="CR14" s="272">
        <v>2879701</v>
      </c>
      <c r="CS14" s="272">
        <v>1897688</v>
      </c>
      <c r="CT14" s="455">
        <f t="shared" si="7"/>
        <v>1271768</v>
      </c>
      <c r="CU14" s="272">
        <v>1061558</v>
      </c>
      <c r="CV14" s="272">
        <v>210210</v>
      </c>
      <c r="CW14" s="455">
        <f t="shared" si="8"/>
        <v>986586</v>
      </c>
      <c r="CX14" s="272">
        <v>915597</v>
      </c>
      <c r="CY14" s="272">
        <v>70989</v>
      </c>
      <c r="CZ14" s="455">
        <f t="shared" si="9"/>
        <v>0</v>
      </c>
      <c r="DA14" s="272">
        <v>0</v>
      </c>
      <c r="DB14" s="272">
        <v>0</v>
      </c>
      <c r="DC14" s="272">
        <v>7430924</v>
      </c>
      <c r="DD14" s="272">
        <v>2987878</v>
      </c>
      <c r="DE14" s="272">
        <v>4442653</v>
      </c>
      <c r="DF14" s="26">
        <v>393</v>
      </c>
      <c r="DG14" s="27">
        <v>0</v>
      </c>
      <c r="DH14" s="272">
        <v>0</v>
      </c>
      <c r="DI14" s="272">
        <v>6233273</v>
      </c>
      <c r="DJ14" s="272">
        <v>1670142</v>
      </c>
      <c r="DK14" s="272">
        <v>2310942</v>
      </c>
      <c r="DL14" s="272">
        <v>2252189</v>
      </c>
      <c r="DM14" s="272">
        <v>51500</v>
      </c>
      <c r="DN14" s="272">
        <v>51500</v>
      </c>
      <c r="DO14" s="272">
        <v>51500</v>
      </c>
      <c r="DP14" s="272">
        <v>0</v>
      </c>
      <c r="DQ14" s="272">
        <v>0</v>
      </c>
      <c r="DR14" s="272">
        <v>0</v>
      </c>
      <c r="DS14" s="272">
        <v>0</v>
      </c>
      <c r="DT14" s="272">
        <v>14793846</v>
      </c>
      <c r="DU14" s="272">
        <v>5207287</v>
      </c>
      <c r="DV14" s="455">
        <f t="shared" si="10"/>
        <v>23211</v>
      </c>
      <c r="DW14" s="272">
        <v>23211</v>
      </c>
      <c r="DX14" s="272">
        <v>2863569</v>
      </c>
      <c r="DY14" s="272">
        <v>46484</v>
      </c>
      <c r="DZ14" s="272">
        <v>3542598</v>
      </c>
      <c r="EA14" s="272">
        <v>210</v>
      </c>
      <c r="EB14" s="272">
        <v>3090487</v>
      </c>
      <c r="EC14" s="272">
        <v>0</v>
      </c>
      <c r="ED14" s="272">
        <v>118363246</v>
      </c>
      <c r="EE14" s="89"/>
      <c r="EF14" s="272">
        <v>1538543</v>
      </c>
      <c r="EG14" s="272">
        <v>317061</v>
      </c>
      <c r="EH14" s="272">
        <v>1221482</v>
      </c>
      <c r="EI14" s="272">
        <v>303387</v>
      </c>
      <c r="EJ14" s="272">
        <v>2153819</v>
      </c>
      <c r="EK14" s="89"/>
      <c r="EL14" s="272">
        <v>407978</v>
      </c>
      <c r="EM14" s="272">
        <v>406833</v>
      </c>
      <c r="EN14" s="272">
        <v>1928348</v>
      </c>
      <c r="EO14" s="272">
        <v>425639</v>
      </c>
      <c r="EP14" s="455">
        <f t="shared" si="11"/>
        <v>3342156</v>
      </c>
      <c r="EQ14" s="272">
        <v>72363631</v>
      </c>
      <c r="ER14" s="272">
        <v>-13098464</v>
      </c>
      <c r="ES14" s="272">
        <v>21179293</v>
      </c>
      <c r="ET14" s="272">
        <v>13719462</v>
      </c>
      <c r="EU14" s="272">
        <v>9864612</v>
      </c>
      <c r="EV14" s="272">
        <v>10604507</v>
      </c>
      <c r="EW14" s="455">
        <f t="shared" si="12"/>
        <v>2978535</v>
      </c>
      <c r="EX14" s="272">
        <v>2978535</v>
      </c>
      <c r="EY14" s="272">
        <v>280549</v>
      </c>
      <c r="EZ14" s="272">
        <v>2697593</v>
      </c>
      <c r="FA14" s="272">
        <v>0</v>
      </c>
      <c r="FB14" s="272">
        <v>0</v>
      </c>
      <c r="FC14" s="272">
        <v>8681418</v>
      </c>
      <c r="FD14" s="272">
        <v>9823881</v>
      </c>
      <c r="FE14" s="272">
        <v>4855184</v>
      </c>
      <c r="FF14" s="272">
        <v>13304211</v>
      </c>
      <c r="FG14" s="455">
        <f t="shared" si="13"/>
        <v>7487095</v>
      </c>
      <c r="FH14" s="272">
        <v>83923552</v>
      </c>
      <c r="FI14" s="459">
        <f t="shared" si="14"/>
        <v>1.7</v>
      </c>
      <c r="FJ14" s="272">
        <v>63721972</v>
      </c>
      <c r="FK14" s="272">
        <v>7471990</v>
      </c>
      <c r="FL14" s="272">
        <v>41307700</v>
      </c>
      <c r="FM14" s="272">
        <v>51529283</v>
      </c>
      <c r="FN14" s="460">
        <v>0.85799999999999998</v>
      </c>
      <c r="FO14" s="388">
        <v>88.7</v>
      </c>
      <c r="FP14" s="388">
        <v>27.7</v>
      </c>
      <c r="FQ14" s="388">
        <v>13.1</v>
      </c>
      <c r="FR14" s="388">
        <v>13.4</v>
      </c>
      <c r="FS14" s="388">
        <v>10.5</v>
      </c>
      <c r="FT14" s="388">
        <v>10.9</v>
      </c>
      <c r="FU14" s="388">
        <v>11.5</v>
      </c>
      <c r="FV14" s="384">
        <f t="shared" si="15"/>
        <v>0.3</v>
      </c>
      <c r="FW14" s="272">
        <v>99368075</v>
      </c>
      <c r="FX14" s="384">
        <f t="shared" si="16"/>
        <v>139.6</v>
      </c>
      <c r="FY14" s="272">
        <v>22116386</v>
      </c>
      <c r="FZ14" s="272">
        <v>4536769</v>
      </c>
      <c r="GA14" s="272">
        <v>5646264</v>
      </c>
      <c r="GB14" s="272">
        <v>11933353</v>
      </c>
      <c r="GC14" s="272">
        <v>5000000</v>
      </c>
      <c r="GD14" s="272">
        <v>11334940</v>
      </c>
      <c r="GE14" s="384">
        <f t="shared" si="18"/>
        <v>15.9</v>
      </c>
      <c r="GF14" s="388">
        <v>98.9</v>
      </c>
      <c r="GG14" s="388">
        <v>24.3</v>
      </c>
      <c r="GH14" s="388">
        <v>94.8</v>
      </c>
      <c r="GI14" s="272">
        <v>2116</v>
      </c>
      <c r="GJ14" s="461" t="s">
        <v>646</v>
      </c>
      <c r="GK14" s="461">
        <v>11.25</v>
      </c>
      <c r="GL14" s="462">
        <v>20</v>
      </c>
      <c r="GM14" s="461" t="s">
        <v>646</v>
      </c>
      <c r="GN14" s="462">
        <v>16.25</v>
      </c>
      <c r="GO14" s="462">
        <v>35</v>
      </c>
      <c r="GP14" s="463">
        <v>0.3</v>
      </c>
      <c r="GQ14" s="463">
        <v>25</v>
      </c>
      <c r="GR14" s="463">
        <v>35</v>
      </c>
      <c r="GS14" s="464">
        <v>13.5</v>
      </c>
      <c r="GT14" s="463">
        <v>350</v>
      </c>
      <c r="GU14" s="394"/>
      <c r="GV14" s="394"/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</row>
    <row r="15" spans="2:230" x14ac:dyDescent="0.15">
      <c r="B15" s="89" t="s">
        <v>23</v>
      </c>
      <c r="C15" s="272">
        <v>43854414</v>
      </c>
      <c r="D15" s="455">
        <f t="shared" si="0"/>
        <v>16635481</v>
      </c>
      <c r="E15" s="272">
        <v>376823</v>
      </c>
      <c r="F15" s="456">
        <v>16258658</v>
      </c>
      <c r="G15" s="455">
        <f t="shared" si="1"/>
        <v>3376037</v>
      </c>
      <c r="H15" s="272">
        <v>731019</v>
      </c>
      <c r="I15" s="272">
        <v>2645018</v>
      </c>
      <c r="J15" s="272">
        <v>18385446</v>
      </c>
      <c r="K15" s="272">
        <v>7995046</v>
      </c>
      <c r="L15" s="272">
        <v>7747114</v>
      </c>
      <c r="M15" s="272">
        <v>2343326</v>
      </c>
      <c r="N15" s="272">
        <v>1489852</v>
      </c>
      <c r="O15" s="272">
        <v>3773183</v>
      </c>
      <c r="P15" s="272">
        <v>2092961</v>
      </c>
      <c r="Q15" s="272">
        <v>1680222</v>
      </c>
      <c r="R15" s="272">
        <v>518328</v>
      </c>
      <c r="S15" s="272"/>
      <c r="T15" s="455">
        <f t="shared" si="2"/>
        <v>3208116</v>
      </c>
      <c r="U15" s="272">
        <v>237844</v>
      </c>
      <c r="V15" s="272">
        <v>113126</v>
      </c>
      <c r="W15" s="456">
        <v>38490</v>
      </c>
      <c r="X15" s="272">
        <v>2497760</v>
      </c>
      <c r="Y15" s="272">
        <v>89488</v>
      </c>
      <c r="Z15" s="272">
        <v>0</v>
      </c>
      <c r="AA15" s="272">
        <v>231408</v>
      </c>
      <c r="AB15" s="272">
        <v>478071</v>
      </c>
      <c r="AC15" s="272">
        <v>2137035</v>
      </c>
      <c r="AD15" s="272">
        <v>1886050</v>
      </c>
      <c r="AE15" s="272">
        <v>250985</v>
      </c>
      <c r="AF15" s="272">
        <v>51008</v>
      </c>
      <c r="AG15" s="272">
        <v>928497</v>
      </c>
      <c r="AH15" s="455">
        <f t="shared" si="3"/>
        <v>2113451</v>
      </c>
      <c r="AI15" s="272">
        <v>1725838</v>
      </c>
      <c r="AJ15" s="272">
        <v>387613</v>
      </c>
      <c r="AK15" s="272">
        <v>14425541</v>
      </c>
      <c r="AL15" s="455">
        <f t="shared" si="4"/>
        <v>6752928</v>
      </c>
      <c r="AM15" s="272">
        <v>4693894</v>
      </c>
      <c r="AN15" s="272">
        <v>938220</v>
      </c>
      <c r="AO15" s="272"/>
      <c r="AP15" s="272">
        <v>1120814</v>
      </c>
      <c r="AQ15" s="272">
        <v>1554445</v>
      </c>
      <c r="AR15" s="272">
        <v>0</v>
      </c>
      <c r="AS15" s="272">
        <v>0</v>
      </c>
      <c r="AT15" s="272">
        <v>5697775</v>
      </c>
      <c r="AU15" s="272">
        <v>3670141</v>
      </c>
      <c r="AV15" s="272">
        <v>469111</v>
      </c>
      <c r="AW15" s="272">
        <v>219067</v>
      </c>
      <c r="AX15" s="272">
        <v>2027634</v>
      </c>
      <c r="AY15" s="272">
        <v>370200</v>
      </c>
      <c r="AZ15" s="272">
        <v>75994</v>
      </c>
      <c r="BA15" s="272">
        <v>40304</v>
      </c>
      <c r="BB15" s="272">
        <v>20349</v>
      </c>
      <c r="BC15" s="272">
        <v>97364</v>
      </c>
      <c r="BD15" s="272">
        <v>0</v>
      </c>
      <c r="BE15" s="272">
        <v>0</v>
      </c>
      <c r="BF15" s="272">
        <v>16363</v>
      </c>
      <c r="BG15" s="272">
        <v>0</v>
      </c>
      <c r="BH15" s="272">
        <v>810068</v>
      </c>
      <c r="BI15" s="272">
        <v>327227</v>
      </c>
      <c r="BJ15" s="272">
        <v>1867955</v>
      </c>
      <c r="BK15" s="272">
        <v>350000</v>
      </c>
      <c r="BL15" s="272">
        <v>37663</v>
      </c>
      <c r="BM15" s="272">
        <v>41459</v>
      </c>
      <c r="BN15" s="272">
        <v>5196500</v>
      </c>
      <c r="BO15" s="455">
        <f t="shared" si="5"/>
        <v>1211600</v>
      </c>
      <c r="BP15" s="455">
        <f t="shared" si="6"/>
        <v>3984900</v>
      </c>
      <c r="BQ15" s="272"/>
      <c r="BR15" s="272">
        <v>0</v>
      </c>
      <c r="BS15" s="272">
        <v>3984900</v>
      </c>
      <c r="BT15" s="272">
        <v>0</v>
      </c>
      <c r="BU15" s="272">
        <v>81480466</v>
      </c>
      <c r="BV15" s="272"/>
      <c r="BW15" s="272">
        <v>15066055</v>
      </c>
      <c r="BX15" s="272">
        <v>9673908</v>
      </c>
      <c r="BY15" s="272">
        <v>2396343</v>
      </c>
      <c r="BZ15" s="272">
        <v>590971</v>
      </c>
      <c r="CA15" s="272">
        <v>21643239</v>
      </c>
      <c r="CB15" s="272">
        <v>3441320</v>
      </c>
      <c r="CC15" s="272">
        <v>600113</v>
      </c>
      <c r="CD15" s="272">
        <v>10985774</v>
      </c>
      <c r="CE15" s="272">
        <v>6342516</v>
      </c>
      <c r="CF15" s="272">
        <v>0</v>
      </c>
      <c r="CG15" s="272">
        <v>272544</v>
      </c>
      <c r="CH15" s="272">
        <v>5705971</v>
      </c>
      <c r="CI15" s="457" t="s">
        <v>646</v>
      </c>
      <c r="CJ15" s="458" t="s">
        <v>646</v>
      </c>
      <c r="CK15" s="272">
        <v>12236244</v>
      </c>
      <c r="CL15" s="272">
        <v>5992289</v>
      </c>
      <c r="CM15" s="272">
        <v>1024067</v>
      </c>
      <c r="CN15" s="272">
        <v>2801648</v>
      </c>
      <c r="CO15" s="272">
        <v>1093208</v>
      </c>
      <c r="CP15" s="272">
        <v>3431222</v>
      </c>
      <c r="CQ15" s="272">
        <v>5837</v>
      </c>
      <c r="CR15" s="272">
        <v>2386683</v>
      </c>
      <c r="CS15" s="272">
        <v>1727204</v>
      </c>
      <c r="CT15" s="455">
        <f t="shared" si="7"/>
        <v>93016</v>
      </c>
      <c r="CU15" s="272">
        <v>5915</v>
      </c>
      <c r="CV15" s="272">
        <v>87101</v>
      </c>
      <c r="CW15" s="455">
        <f t="shared" si="8"/>
        <v>0</v>
      </c>
      <c r="CX15" s="272">
        <v>0</v>
      </c>
      <c r="CY15" s="272">
        <v>0</v>
      </c>
      <c r="CZ15" s="455">
        <f t="shared" si="9"/>
        <v>0</v>
      </c>
      <c r="DA15" s="272">
        <v>0</v>
      </c>
      <c r="DB15" s="272">
        <v>0</v>
      </c>
      <c r="DC15" s="272">
        <v>9141738</v>
      </c>
      <c r="DD15" s="272">
        <v>2487093</v>
      </c>
      <c r="DE15" s="272">
        <v>6617020</v>
      </c>
      <c r="DF15" s="26">
        <v>0</v>
      </c>
      <c r="DG15" s="27">
        <v>37625</v>
      </c>
      <c r="DH15" s="272">
        <v>59868</v>
      </c>
      <c r="DI15" s="272">
        <v>725873</v>
      </c>
      <c r="DJ15" s="272">
        <v>316404</v>
      </c>
      <c r="DK15" s="272">
        <v>0</v>
      </c>
      <c r="DL15" s="272">
        <v>409469</v>
      </c>
      <c r="DM15" s="272">
        <v>7215</v>
      </c>
      <c r="DN15" s="272">
        <v>7215</v>
      </c>
      <c r="DO15" s="272">
        <v>7215</v>
      </c>
      <c r="DP15" s="272">
        <v>0</v>
      </c>
      <c r="DQ15" s="272">
        <v>350000</v>
      </c>
      <c r="DR15" s="272">
        <v>0</v>
      </c>
      <c r="DS15" s="272">
        <v>0</v>
      </c>
      <c r="DT15" s="272">
        <v>9684056</v>
      </c>
      <c r="DU15" s="272">
        <v>3806000</v>
      </c>
      <c r="DV15" s="455">
        <f t="shared" si="10"/>
        <v>0</v>
      </c>
      <c r="DW15" s="272">
        <v>0</v>
      </c>
      <c r="DX15" s="272">
        <v>2044448</v>
      </c>
      <c r="DY15" s="272">
        <v>378515</v>
      </c>
      <c r="DZ15" s="272">
        <v>1788211</v>
      </c>
      <c r="EA15" s="272">
        <v>1822</v>
      </c>
      <c r="EB15" s="272">
        <v>1663529</v>
      </c>
      <c r="EC15" s="272">
        <v>0</v>
      </c>
      <c r="ED15" s="272">
        <v>79144689</v>
      </c>
      <c r="EE15" s="89"/>
      <c r="EF15" s="272">
        <v>2335777</v>
      </c>
      <c r="EG15" s="272">
        <v>1564964</v>
      </c>
      <c r="EH15" s="272">
        <v>770813</v>
      </c>
      <c r="EI15" s="272">
        <v>115586</v>
      </c>
      <c r="EJ15" s="272">
        <v>431990</v>
      </c>
      <c r="EK15" s="89"/>
      <c r="EL15" s="272">
        <v>274822</v>
      </c>
      <c r="EM15" s="272">
        <v>272023</v>
      </c>
      <c r="EN15" s="272">
        <v>81001</v>
      </c>
      <c r="EO15" s="272">
        <v>49991</v>
      </c>
      <c r="EP15" s="455">
        <f t="shared" si="11"/>
        <v>2572000</v>
      </c>
      <c r="EQ15" s="272">
        <v>50246972</v>
      </c>
      <c r="ER15" s="272">
        <v>-6636884</v>
      </c>
      <c r="ES15" s="272">
        <v>13663727</v>
      </c>
      <c r="ET15" s="272">
        <v>8453934</v>
      </c>
      <c r="EU15" s="272">
        <v>6444950</v>
      </c>
      <c r="EV15" s="272">
        <v>5705971</v>
      </c>
      <c r="EW15" s="455">
        <f t="shared" si="12"/>
        <v>5380614</v>
      </c>
      <c r="EX15" s="272">
        <v>5357998</v>
      </c>
      <c r="EY15" s="272">
        <v>420000</v>
      </c>
      <c r="EZ15" s="272">
        <v>4937998</v>
      </c>
      <c r="FA15" s="272">
        <v>22616</v>
      </c>
      <c r="FB15" s="272">
        <v>0</v>
      </c>
      <c r="FC15" s="272">
        <v>9917517</v>
      </c>
      <c r="FD15" s="272">
        <v>2876701</v>
      </c>
      <c r="FE15" s="272">
        <v>5837</v>
      </c>
      <c r="FF15" s="272">
        <v>8770753</v>
      </c>
      <c r="FG15" s="455">
        <f t="shared" si="13"/>
        <v>1787846</v>
      </c>
      <c r="FH15" s="272">
        <v>54548079</v>
      </c>
      <c r="FI15" s="459">
        <f t="shared" si="14"/>
        <v>1.6</v>
      </c>
      <c r="FJ15" s="272">
        <v>44078294</v>
      </c>
      <c r="FK15" s="272">
        <v>3985075</v>
      </c>
      <c r="FL15" s="272">
        <v>32388845</v>
      </c>
      <c r="FM15" s="272">
        <v>34268316</v>
      </c>
      <c r="FN15" s="460">
        <v>0.99399999999999999</v>
      </c>
      <c r="FO15" s="388">
        <v>87.2</v>
      </c>
      <c r="FP15" s="388">
        <v>26.2</v>
      </c>
      <c r="FQ15" s="388">
        <v>12.7</v>
      </c>
      <c r="FR15" s="388">
        <v>11.3</v>
      </c>
      <c r="FS15" s="388">
        <v>18.600000000000001</v>
      </c>
      <c r="FT15" s="388">
        <v>4.0999999999999996</v>
      </c>
      <c r="FU15" s="388">
        <v>12.5</v>
      </c>
      <c r="FV15" s="384">
        <f t="shared" si="15"/>
        <v>0.3</v>
      </c>
      <c r="FW15" s="272">
        <v>53699760</v>
      </c>
      <c r="FX15" s="384">
        <f t="shared" si="16"/>
        <v>111.7</v>
      </c>
      <c r="FY15" s="272">
        <v>10850979</v>
      </c>
      <c r="FZ15" s="272">
        <v>3929147</v>
      </c>
      <c r="GA15" s="272">
        <v>0</v>
      </c>
      <c r="GB15" s="272">
        <v>6921832</v>
      </c>
      <c r="GC15" s="272">
        <v>0</v>
      </c>
      <c r="GD15" s="272">
        <v>4519200</v>
      </c>
      <c r="GE15" s="384">
        <f t="shared" si="18"/>
        <v>9.4</v>
      </c>
      <c r="GF15" s="388">
        <v>98.7</v>
      </c>
      <c r="GG15" s="388">
        <v>25.8</v>
      </c>
      <c r="GH15" s="388">
        <v>95.6</v>
      </c>
      <c r="GI15" s="272">
        <v>1499</v>
      </c>
      <c r="GJ15" s="461" t="s">
        <v>646</v>
      </c>
      <c r="GK15" s="461">
        <v>11.28</v>
      </c>
      <c r="GL15" s="462">
        <v>20</v>
      </c>
      <c r="GM15" s="461" t="s">
        <v>646</v>
      </c>
      <c r="GN15" s="462">
        <v>16.28</v>
      </c>
      <c r="GO15" s="462">
        <v>35</v>
      </c>
      <c r="GP15" s="463">
        <v>0.3</v>
      </c>
      <c r="GQ15" s="463">
        <v>25</v>
      </c>
      <c r="GR15" s="463">
        <v>35</v>
      </c>
      <c r="GS15" s="464" t="s">
        <v>646</v>
      </c>
      <c r="GT15" s="463">
        <v>350</v>
      </c>
      <c r="GU15" s="394"/>
      <c r="GV15" s="394"/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</row>
    <row r="16" spans="2:230" x14ac:dyDescent="0.15">
      <c r="B16" s="89" t="s">
        <v>25</v>
      </c>
      <c r="C16" s="272">
        <v>38555304</v>
      </c>
      <c r="D16" s="455">
        <f t="shared" si="0"/>
        <v>12964852</v>
      </c>
      <c r="E16" s="272">
        <v>342029</v>
      </c>
      <c r="F16" s="456">
        <v>12622823</v>
      </c>
      <c r="G16" s="455">
        <f t="shared" si="1"/>
        <v>2965700</v>
      </c>
      <c r="H16" s="272">
        <v>684188</v>
      </c>
      <c r="I16" s="272">
        <v>2281512</v>
      </c>
      <c r="J16" s="272">
        <v>17046263</v>
      </c>
      <c r="K16" s="272">
        <v>7944216</v>
      </c>
      <c r="L16" s="272">
        <v>6569051</v>
      </c>
      <c r="M16" s="272">
        <v>2244555</v>
      </c>
      <c r="N16" s="272">
        <v>1839622</v>
      </c>
      <c r="O16" s="272">
        <v>3479422</v>
      </c>
      <c r="P16" s="272">
        <v>2079132</v>
      </c>
      <c r="Q16" s="272">
        <v>1400290</v>
      </c>
      <c r="R16" s="272">
        <v>496463</v>
      </c>
      <c r="S16" s="272"/>
      <c r="T16" s="455">
        <f t="shared" si="2"/>
        <v>3176237</v>
      </c>
      <c r="U16" s="272">
        <v>196553</v>
      </c>
      <c r="V16" s="272">
        <v>93243</v>
      </c>
      <c r="W16" s="456">
        <v>31459</v>
      </c>
      <c r="X16" s="272">
        <v>2633740</v>
      </c>
      <c r="Y16" s="272">
        <v>0</v>
      </c>
      <c r="Z16" s="272">
        <v>0</v>
      </c>
      <c r="AA16" s="272">
        <v>221242</v>
      </c>
      <c r="AB16" s="272">
        <v>506061</v>
      </c>
      <c r="AC16" s="272">
        <v>10520222</v>
      </c>
      <c r="AD16" s="272">
        <v>9854078</v>
      </c>
      <c r="AE16" s="272">
        <v>666144</v>
      </c>
      <c r="AF16" s="272">
        <v>49164</v>
      </c>
      <c r="AG16" s="272">
        <v>1713123</v>
      </c>
      <c r="AH16" s="455">
        <f t="shared" si="3"/>
        <v>1750460</v>
      </c>
      <c r="AI16" s="272">
        <v>1189330</v>
      </c>
      <c r="AJ16" s="272">
        <v>561130</v>
      </c>
      <c r="AK16" s="272">
        <v>17985750</v>
      </c>
      <c r="AL16" s="455">
        <f t="shared" si="4"/>
        <v>11704984</v>
      </c>
      <c r="AM16" s="272">
        <v>9400562</v>
      </c>
      <c r="AN16" s="272">
        <v>865793</v>
      </c>
      <c r="AO16" s="272"/>
      <c r="AP16" s="272">
        <v>1438629</v>
      </c>
      <c r="AQ16" s="272">
        <v>607820</v>
      </c>
      <c r="AR16" s="272">
        <v>0</v>
      </c>
      <c r="AS16" s="272">
        <v>43217</v>
      </c>
      <c r="AT16" s="272">
        <v>5857187</v>
      </c>
      <c r="AU16" s="272">
        <v>3281747</v>
      </c>
      <c r="AV16" s="272">
        <v>444039</v>
      </c>
      <c r="AW16" s="272">
        <v>365681</v>
      </c>
      <c r="AX16" s="272">
        <v>2575440</v>
      </c>
      <c r="AY16" s="272">
        <v>58241</v>
      </c>
      <c r="AZ16" s="272">
        <v>256006</v>
      </c>
      <c r="BA16" s="272">
        <v>178835</v>
      </c>
      <c r="BB16" s="272">
        <v>25923</v>
      </c>
      <c r="BC16" s="272">
        <v>294786</v>
      </c>
      <c r="BD16" s="272">
        <v>0</v>
      </c>
      <c r="BE16" s="272">
        <v>0</v>
      </c>
      <c r="BF16" s="272">
        <v>294767</v>
      </c>
      <c r="BG16" s="272">
        <v>0</v>
      </c>
      <c r="BH16" s="272">
        <v>269292</v>
      </c>
      <c r="BI16" s="272">
        <v>82047</v>
      </c>
      <c r="BJ16" s="272">
        <v>1324922</v>
      </c>
      <c r="BK16" s="272">
        <v>387204</v>
      </c>
      <c r="BL16" s="272">
        <v>3498</v>
      </c>
      <c r="BM16" s="272">
        <v>21890</v>
      </c>
      <c r="BN16" s="272">
        <v>7902681</v>
      </c>
      <c r="BO16" s="455">
        <f t="shared" si="5"/>
        <v>1606400</v>
      </c>
      <c r="BP16" s="455">
        <f t="shared" si="6"/>
        <v>5296281</v>
      </c>
      <c r="BQ16" s="272"/>
      <c r="BR16" s="272">
        <v>0</v>
      </c>
      <c r="BS16" s="272">
        <v>5296281</v>
      </c>
      <c r="BT16" s="272">
        <v>1000000</v>
      </c>
      <c r="BU16" s="272">
        <v>90726798</v>
      </c>
      <c r="BV16" s="272"/>
      <c r="BW16" s="272">
        <v>17550569</v>
      </c>
      <c r="BX16" s="272">
        <v>10549963</v>
      </c>
      <c r="BY16" s="272">
        <v>2719399</v>
      </c>
      <c r="BZ16" s="272">
        <v>1630411</v>
      </c>
      <c r="CA16" s="272">
        <v>29075622</v>
      </c>
      <c r="CB16" s="272">
        <v>4099783</v>
      </c>
      <c r="CC16" s="272">
        <v>513372</v>
      </c>
      <c r="CD16" s="272">
        <v>10242944</v>
      </c>
      <c r="CE16" s="272">
        <v>12723779</v>
      </c>
      <c r="CF16" s="272">
        <v>1047227</v>
      </c>
      <c r="CG16" s="272">
        <v>447502</v>
      </c>
      <c r="CH16" s="272">
        <v>8449944</v>
      </c>
      <c r="CI16" s="457" t="s">
        <v>646</v>
      </c>
      <c r="CJ16" s="458" t="s">
        <v>646</v>
      </c>
      <c r="CK16" s="272">
        <v>9695724</v>
      </c>
      <c r="CL16" s="272">
        <v>6456951</v>
      </c>
      <c r="CM16" s="272">
        <v>421959</v>
      </c>
      <c r="CN16" s="272">
        <v>1800925</v>
      </c>
      <c r="CO16" s="272">
        <v>360764</v>
      </c>
      <c r="CP16" s="272">
        <v>3682847</v>
      </c>
      <c r="CQ16" s="272">
        <v>41125</v>
      </c>
      <c r="CR16" s="272">
        <v>1645251</v>
      </c>
      <c r="CS16" s="272">
        <v>698842</v>
      </c>
      <c r="CT16" s="455">
        <f t="shared" si="7"/>
        <v>1211500</v>
      </c>
      <c r="CU16" s="272">
        <v>1211500</v>
      </c>
      <c r="CV16" s="272">
        <v>0</v>
      </c>
      <c r="CW16" s="455">
        <f t="shared" si="8"/>
        <v>1144108</v>
      </c>
      <c r="CX16" s="272">
        <v>1144108</v>
      </c>
      <c r="CY16" s="272">
        <v>0</v>
      </c>
      <c r="CZ16" s="455">
        <f t="shared" si="9"/>
        <v>0</v>
      </c>
      <c r="DA16" s="272">
        <v>0</v>
      </c>
      <c r="DB16" s="272">
        <v>0</v>
      </c>
      <c r="DC16" s="272">
        <v>6015921</v>
      </c>
      <c r="DD16" s="272">
        <v>1631664</v>
      </c>
      <c r="DE16" s="272">
        <v>4283221</v>
      </c>
      <c r="DF16" s="26">
        <v>25898</v>
      </c>
      <c r="DG16" s="27">
        <v>75138</v>
      </c>
      <c r="DH16" s="272">
        <v>0</v>
      </c>
      <c r="DI16" s="272">
        <v>355788</v>
      </c>
      <c r="DJ16" s="272">
        <v>16004</v>
      </c>
      <c r="DK16" s="272">
        <v>0</v>
      </c>
      <c r="DL16" s="272">
        <v>339784</v>
      </c>
      <c r="DM16" s="272">
        <v>667327</v>
      </c>
      <c r="DN16" s="272">
        <v>654027</v>
      </c>
      <c r="DO16" s="272">
        <v>73000</v>
      </c>
      <c r="DP16" s="272">
        <v>581027</v>
      </c>
      <c r="DQ16" s="272">
        <v>334400</v>
      </c>
      <c r="DR16" s="272">
        <v>0</v>
      </c>
      <c r="DS16" s="272">
        <v>0</v>
      </c>
      <c r="DT16" s="272">
        <v>13383512</v>
      </c>
      <c r="DU16" s="272">
        <v>5601505</v>
      </c>
      <c r="DV16" s="455">
        <f t="shared" si="10"/>
        <v>0</v>
      </c>
      <c r="DW16" s="272">
        <v>0</v>
      </c>
      <c r="DX16" s="272">
        <v>2226465</v>
      </c>
      <c r="DY16" s="272">
        <v>0</v>
      </c>
      <c r="DZ16" s="272">
        <v>2989726</v>
      </c>
      <c r="EA16" s="272">
        <v>25644</v>
      </c>
      <c r="EB16" s="272">
        <v>2462325</v>
      </c>
      <c r="EC16" s="272">
        <v>0</v>
      </c>
      <c r="ED16" s="272">
        <v>89572418</v>
      </c>
      <c r="EE16" s="89"/>
      <c r="EF16" s="272">
        <v>1154380</v>
      </c>
      <c r="EG16" s="272">
        <v>164774</v>
      </c>
      <c r="EH16" s="272">
        <v>989606</v>
      </c>
      <c r="EI16" s="272">
        <v>907559</v>
      </c>
      <c r="EJ16" s="272">
        <v>998841</v>
      </c>
      <c r="EK16" s="89"/>
      <c r="EL16" s="272">
        <v>271460</v>
      </c>
      <c r="EM16" s="272">
        <v>264775</v>
      </c>
      <c r="EN16" s="272">
        <v>19</v>
      </c>
      <c r="EO16" s="272">
        <v>219543</v>
      </c>
      <c r="EP16" s="455">
        <f t="shared" si="11"/>
        <v>1615703</v>
      </c>
      <c r="EQ16" s="272">
        <v>53346668</v>
      </c>
      <c r="ER16" s="272">
        <v>-7039165</v>
      </c>
      <c r="ES16" s="272">
        <v>15258415</v>
      </c>
      <c r="ET16" s="272">
        <v>9730790</v>
      </c>
      <c r="EU16" s="272">
        <v>8247077</v>
      </c>
      <c r="EV16" s="272">
        <v>8360326</v>
      </c>
      <c r="EW16" s="455">
        <f t="shared" si="12"/>
        <v>3128542</v>
      </c>
      <c r="EX16" s="272">
        <v>3128542</v>
      </c>
      <c r="EY16" s="272">
        <v>116188</v>
      </c>
      <c r="EZ16" s="272">
        <v>2991456</v>
      </c>
      <c r="FA16" s="272">
        <v>0</v>
      </c>
      <c r="FB16" s="272">
        <v>0</v>
      </c>
      <c r="FC16" s="272">
        <v>7912992</v>
      </c>
      <c r="FD16" s="272">
        <v>3209878</v>
      </c>
      <c r="FE16" s="272">
        <v>41125</v>
      </c>
      <c r="FF16" s="272">
        <v>12130985</v>
      </c>
      <c r="FG16" s="455">
        <f t="shared" si="13"/>
        <v>983238</v>
      </c>
      <c r="FH16" s="272">
        <v>59231453</v>
      </c>
      <c r="FI16" s="459">
        <f t="shared" si="14"/>
        <v>1.9</v>
      </c>
      <c r="FJ16" s="272">
        <v>47408903</v>
      </c>
      <c r="FK16" s="272">
        <v>5296281</v>
      </c>
      <c r="FL16" s="272">
        <v>28890297</v>
      </c>
      <c r="FM16" s="272">
        <v>38744375</v>
      </c>
      <c r="FN16" s="460">
        <v>0.78700000000000003</v>
      </c>
      <c r="FO16" s="388">
        <v>94.7</v>
      </c>
      <c r="FP16" s="388">
        <v>27.2</v>
      </c>
      <c r="FQ16" s="388">
        <v>15</v>
      </c>
      <c r="FR16" s="388">
        <v>15.1</v>
      </c>
      <c r="FS16" s="388">
        <v>13</v>
      </c>
      <c r="FT16" s="388">
        <v>5</v>
      </c>
      <c r="FU16" s="388">
        <v>18.7</v>
      </c>
      <c r="FV16" s="384">
        <f t="shared" si="15"/>
        <v>6.4</v>
      </c>
      <c r="FW16" s="272">
        <v>77602032</v>
      </c>
      <c r="FX16" s="384">
        <f t="shared" si="16"/>
        <v>147.19999999999999</v>
      </c>
      <c r="FY16" s="272">
        <v>9487582</v>
      </c>
      <c r="FZ16" s="272">
        <v>5037368</v>
      </c>
      <c r="GA16" s="272">
        <v>0</v>
      </c>
      <c r="GB16" s="272">
        <v>4450214</v>
      </c>
      <c r="GC16" s="272">
        <v>0</v>
      </c>
      <c r="GD16" s="272">
        <v>5464214</v>
      </c>
      <c r="GE16" s="384">
        <f t="shared" si="18"/>
        <v>10.4</v>
      </c>
      <c r="GF16" s="388">
        <v>98.6</v>
      </c>
      <c r="GG16" s="388">
        <v>35.9</v>
      </c>
      <c r="GH16" s="388">
        <v>96.1</v>
      </c>
      <c r="GI16" s="272">
        <v>1560</v>
      </c>
      <c r="GJ16" s="461" t="s">
        <v>646</v>
      </c>
      <c r="GK16" s="461">
        <v>11.25</v>
      </c>
      <c r="GL16" s="462">
        <v>20</v>
      </c>
      <c r="GM16" s="461" t="s">
        <v>646</v>
      </c>
      <c r="GN16" s="462">
        <v>16.25</v>
      </c>
      <c r="GO16" s="462">
        <v>35</v>
      </c>
      <c r="GP16" s="463">
        <v>6.4</v>
      </c>
      <c r="GQ16" s="463">
        <v>25</v>
      </c>
      <c r="GR16" s="463">
        <v>35</v>
      </c>
      <c r="GS16" s="464">
        <v>63.3</v>
      </c>
      <c r="GT16" s="463">
        <v>350</v>
      </c>
      <c r="GU16" s="394"/>
      <c r="GV16" s="394"/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</row>
    <row r="17" spans="2:230" x14ac:dyDescent="0.15">
      <c r="B17" s="89" t="s">
        <v>27</v>
      </c>
      <c r="C17" s="272">
        <v>19467979</v>
      </c>
      <c r="D17" s="455">
        <f t="shared" si="0"/>
        <v>4253359</v>
      </c>
      <c r="E17" s="272">
        <v>130411</v>
      </c>
      <c r="F17" s="456">
        <v>4122948</v>
      </c>
      <c r="G17" s="455">
        <f t="shared" si="1"/>
        <v>1402838</v>
      </c>
      <c r="H17" s="272">
        <v>421942</v>
      </c>
      <c r="I17" s="272">
        <v>980896</v>
      </c>
      <c r="J17" s="272">
        <v>9788180</v>
      </c>
      <c r="K17" s="272">
        <v>3062912</v>
      </c>
      <c r="L17" s="272">
        <v>3903007</v>
      </c>
      <c r="M17" s="272">
        <v>2392296</v>
      </c>
      <c r="N17" s="272">
        <v>2363520</v>
      </c>
      <c r="O17" s="272">
        <v>1494027</v>
      </c>
      <c r="P17" s="272">
        <v>678977</v>
      </c>
      <c r="Q17" s="272">
        <v>815050</v>
      </c>
      <c r="R17" s="272">
        <v>218591</v>
      </c>
      <c r="S17" s="272"/>
      <c r="T17" s="455">
        <f t="shared" si="2"/>
        <v>1287785</v>
      </c>
      <c r="U17" s="272">
        <v>60372</v>
      </c>
      <c r="V17" s="272">
        <v>28725</v>
      </c>
      <c r="W17" s="456">
        <v>9786</v>
      </c>
      <c r="X17" s="272">
        <v>1036332</v>
      </c>
      <c r="Y17" s="272">
        <v>66684</v>
      </c>
      <c r="Z17" s="272">
        <v>0</v>
      </c>
      <c r="AA17" s="272">
        <v>85886</v>
      </c>
      <c r="AB17" s="272">
        <v>229509</v>
      </c>
      <c r="AC17" s="272">
        <v>1456765</v>
      </c>
      <c r="AD17" s="272">
        <v>724654</v>
      </c>
      <c r="AE17" s="272">
        <v>732111</v>
      </c>
      <c r="AF17" s="272">
        <v>20167</v>
      </c>
      <c r="AG17" s="272">
        <v>844838</v>
      </c>
      <c r="AH17" s="455">
        <f t="shared" si="3"/>
        <v>952104</v>
      </c>
      <c r="AI17" s="272">
        <v>661759</v>
      </c>
      <c r="AJ17" s="272">
        <v>290345</v>
      </c>
      <c r="AK17" s="272">
        <v>6975245</v>
      </c>
      <c r="AL17" s="455">
        <f t="shared" si="4"/>
        <v>3145933</v>
      </c>
      <c r="AM17" s="272">
        <v>2278278</v>
      </c>
      <c r="AN17" s="272">
        <v>413350</v>
      </c>
      <c r="AO17" s="272"/>
      <c r="AP17" s="272">
        <v>454305</v>
      </c>
      <c r="AQ17" s="272">
        <v>1438741</v>
      </c>
      <c r="AR17" s="272">
        <v>0</v>
      </c>
      <c r="AS17" s="272">
        <v>0</v>
      </c>
      <c r="AT17" s="272">
        <v>2654035</v>
      </c>
      <c r="AU17" s="272">
        <v>1541947</v>
      </c>
      <c r="AV17" s="272">
        <v>206674</v>
      </c>
      <c r="AW17" s="272">
        <v>208591</v>
      </c>
      <c r="AX17" s="272">
        <v>1112088</v>
      </c>
      <c r="AY17" s="272">
        <v>2830</v>
      </c>
      <c r="AZ17" s="272">
        <v>47074</v>
      </c>
      <c r="BA17" s="272">
        <v>31602</v>
      </c>
      <c r="BB17" s="272">
        <v>17720</v>
      </c>
      <c r="BC17" s="272">
        <v>2177360</v>
      </c>
      <c r="BD17" s="272">
        <v>0</v>
      </c>
      <c r="BE17" s="272">
        <v>0</v>
      </c>
      <c r="BF17" s="272">
        <v>2165484</v>
      </c>
      <c r="BG17" s="272">
        <v>0</v>
      </c>
      <c r="BH17" s="272">
        <v>115708</v>
      </c>
      <c r="BI17" s="272">
        <v>15760</v>
      </c>
      <c r="BJ17" s="272">
        <v>3947968</v>
      </c>
      <c r="BK17" s="272">
        <v>27512</v>
      </c>
      <c r="BL17" s="272">
        <v>0</v>
      </c>
      <c r="BM17" s="272">
        <v>21915</v>
      </c>
      <c r="BN17" s="272">
        <v>8210300</v>
      </c>
      <c r="BO17" s="455">
        <f t="shared" si="5"/>
        <v>6124200</v>
      </c>
      <c r="BP17" s="455">
        <f t="shared" si="6"/>
        <v>1587900</v>
      </c>
      <c r="BQ17" s="272"/>
      <c r="BR17" s="272">
        <v>0</v>
      </c>
      <c r="BS17" s="272">
        <v>1587900</v>
      </c>
      <c r="BT17" s="272">
        <v>498200</v>
      </c>
      <c r="BU17" s="272">
        <v>48623148</v>
      </c>
      <c r="BV17" s="272"/>
      <c r="BW17" s="272">
        <v>7267097</v>
      </c>
      <c r="BX17" s="272">
        <v>4528959</v>
      </c>
      <c r="BY17" s="272">
        <v>888230</v>
      </c>
      <c r="BZ17" s="272">
        <v>614716</v>
      </c>
      <c r="CA17" s="272">
        <v>8792179</v>
      </c>
      <c r="CB17" s="272">
        <v>1166126</v>
      </c>
      <c r="CC17" s="272">
        <v>149915</v>
      </c>
      <c r="CD17" s="272">
        <v>4288653</v>
      </c>
      <c r="CE17" s="272">
        <v>3091450</v>
      </c>
      <c r="CF17" s="272">
        <v>7105</v>
      </c>
      <c r="CG17" s="272">
        <v>88930</v>
      </c>
      <c r="CH17" s="272">
        <v>8572704</v>
      </c>
      <c r="CI17" s="457" t="s">
        <v>646</v>
      </c>
      <c r="CJ17" s="458" t="s">
        <v>646</v>
      </c>
      <c r="CK17" s="272">
        <v>3723409</v>
      </c>
      <c r="CL17" s="272">
        <v>2678296</v>
      </c>
      <c r="CM17" s="272">
        <v>156820</v>
      </c>
      <c r="CN17" s="272">
        <v>527512</v>
      </c>
      <c r="CO17" s="272">
        <v>189502</v>
      </c>
      <c r="CP17" s="272">
        <v>3803921</v>
      </c>
      <c r="CQ17" s="272">
        <v>985518</v>
      </c>
      <c r="CR17" s="272">
        <v>713214</v>
      </c>
      <c r="CS17" s="272">
        <v>316669</v>
      </c>
      <c r="CT17" s="455">
        <f t="shared" si="7"/>
        <v>1473174</v>
      </c>
      <c r="CU17" s="272">
        <v>1232204</v>
      </c>
      <c r="CV17" s="272">
        <v>240970</v>
      </c>
      <c r="CW17" s="455">
        <f t="shared" si="8"/>
        <v>1466290</v>
      </c>
      <c r="CX17" s="272">
        <v>1225320</v>
      </c>
      <c r="CY17" s="272">
        <v>240970</v>
      </c>
      <c r="CZ17" s="455">
        <f t="shared" si="9"/>
        <v>0</v>
      </c>
      <c r="DA17" s="272">
        <v>0</v>
      </c>
      <c r="DB17" s="272">
        <v>0</v>
      </c>
      <c r="DC17" s="272">
        <v>3931531</v>
      </c>
      <c r="DD17" s="272">
        <v>2147435</v>
      </c>
      <c r="DE17" s="272">
        <v>1663665</v>
      </c>
      <c r="DF17" s="26">
        <v>31547</v>
      </c>
      <c r="DG17" s="27">
        <v>88884</v>
      </c>
      <c r="DH17" s="272">
        <v>0</v>
      </c>
      <c r="DI17" s="272">
        <v>2831291</v>
      </c>
      <c r="DJ17" s="272">
        <v>757374</v>
      </c>
      <c r="DK17" s="272">
        <v>0</v>
      </c>
      <c r="DL17" s="272">
        <v>2073917</v>
      </c>
      <c r="DM17" s="272">
        <v>4350000</v>
      </c>
      <c r="DN17" s="272">
        <v>4350000</v>
      </c>
      <c r="DO17" s="272">
        <v>0</v>
      </c>
      <c r="DP17" s="272">
        <v>4350000</v>
      </c>
      <c r="DQ17" s="272">
        <v>1520000</v>
      </c>
      <c r="DR17" s="272">
        <v>1500000</v>
      </c>
      <c r="DS17" s="272">
        <v>1500000</v>
      </c>
      <c r="DT17" s="272">
        <v>4254283</v>
      </c>
      <c r="DU17" s="272">
        <v>1494845</v>
      </c>
      <c r="DV17" s="455">
        <f t="shared" si="10"/>
        <v>0</v>
      </c>
      <c r="DW17" s="272">
        <v>0</v>
      </c>
      <c r="DX17" s="272">
        <v>1069236</v>
      </c>
      <c r="DY17" s="272">
        <v>0</v>
      </c>
      <c r="DZ17" s="272">
        <v>775699</v>
      </c>
      <c r="EA17" s="272">
        <v>3</v>
      </c>
      <c r="EB17" s="272">
        <v>914286</v>
      </c>
      <c r="EC17" s="272">
        <v>0</v>
      </c>
      <c r="ED17" s="272">
        <v>49235917</v>
      </c>
      <c r="EE17" s="89"/>
      <c r="EF17" s="272">
        <v>-612769</v>
      </c>
      <c r="EG17" s="272">
        <v>13492</v>
      </c>
      <c r="EH17" s="272">
        <v>-626261</v>
      </c>
      <c r="EI17" s="272">
        <v>-642021</v>
      </c>
      <c r="EJ17" s="272">
        <v>2178824</v>
      </c>
      <c r="EK17" s="89"/>
      <c r="EL17" s="272">
        <v>100801</v>
      </c>
      <c r="EM17" s="272">
        <v>101620</v>
      </c>
      <c r="EN17" s="272">
        <v>2104975</v>
      </c>
      <c r="EO17" s="272">
        <v>44417</v>
      </c>
      <c r="EP17" s="455">
        <f t="shared" si="11"/>
        <v>2714193</v>
      </c>
      <c r="EQ17" s="272">
        <v>22680796</v>
      </c>
      <c r="ER17" s="272">
        <v>-6431318</v>
      </c>
      <c r="ES17" s="272">
        <v>5857631</v>
      </c>
      <c r="ET17" s="272">
        <v>3724625</v>
      </c>
      <c r="EU17" s="272">
        <v>2405832</v>
      </c>
      <c r="EV17" s="272">
        <v>8360776</v>
      </c>
      <c r="EW17" s="455">
        <f t="shared" si="12"/>
        <v>710698</v>
      </c>
      <c r="EX17" s="272">
        <v>710698</v>
      </c>
      <c r="EY17" s="272">
        <v>18804</v>
      </c>
      <c r="EZ17" s="272">
        <v>691262</v>
      </c>
      <c r="FA17" s="272">
        <v>0</v>
      </c>
      <c r="FB17" s="272">
        <v>0</v>
      </c>
      <c r="FC17" s="272">
        <v>2637177</v>
      </c>
      <c r="FD17" s="272">
        <v>3222725</v>
      </c>
      <c r="FE17" s="272">
        <v>645518</v>
      </c>
      <c r="FF17" s="272">
        <v>3701084</v>
      </c>
      <c r="FG17" s="455">
        <f t="shared" si="13"/>
        <v>2828960</v>
      </c>
      <c r="FH17" s="272">
        <v>29724883</v>
      </c>
      <c r="FI17" s="459">
        <f t="shared" si="14"/>
        <v>-2.9</v>
      </c>
      <c r="FJ17" s="272">
        <v>19835711</v>
      </c>
      <c r="FK17" s="272">
        <v>1588013</v>
      </c>
      <c r="FL17" s="272">
        <v>14650536</v>
      </c>
      <c r="FM17" s="272">
        <v>15385198</v>
      </c>
      <c r="FN17" s="460">
        <v>0.97799999999999998</v>
      </c>
      <c r="FO17" s="388">
        <v>105.1</v>
      </c>
      <c r="FP17" s="388">
        <v>25.6</v>
      </c>
      <c r="FQ17" s="388">
        <v>10.8</v>
      </c>
      <c r="FR17" s="388">
        <v>28.4</v>
      </c>
      <c r="FS17" s="388">
        <v>11.1</v>
      </c>
      <c r="FT17" s="388">
        <v>12.3</v>
      </c>
      <c r="FU17" s="388">
        <v>16.2</v>
      </c>
      <c r="FV17" s="384">
        <f t="shared" si="15"/>
        <v>21</v>
      </c>
      <c r="FW17" s="272">
        <v>82692969</v>
      </c>
      <c r="FX17" s="384">
        <f t="shared" si="16"/>
        <v>386</v>
      </c>
      <c r="FY17" s="272">
        <v>3064022</v>
      </c>
      <c r="FZ17" s="272">
        <v>771289</v>
      </c>
      <c r="GA17" s="272">
        <v>501</v>
      </c>
      <c r="GB17" s="272">
        <v>2292232</v>
      </c>
      <c r="GC17" s="272">
        <v>200000</v>
      </c>
      <c r="GD17" s="272">
        <v>6450700</v>
      </c>
      <c r="GE17" s="384">
        <f t="shared" si="18"/>
        <v>30.1</v>
      </c>
      <c r="GF17" s="388">
        <v>99</v>
      </c>
      <c r="GG17" s="388">
        <v>25.9</v>
      </c>
      <c r="GH17" s="388">
        <v>96.3</v>
      </c>
      <c r="GI17" s="272">
        <v>728</v>
      </c>
      <c r="GJ17" s="461">
        <v>2.92</v>
      </c>
      <c r="GK17" s="461">
        <v>12.36</v>
      </c>
      <c r="GL17" s="462">
        <v>20</v>
      </c>
      <c r="GM17" s="461" t="s">
        <v>646</v>
      </c>
      <c r="GN17" s="462">
        <v>17.36</v>
      </c>
      <c r="GO17" s="462">
        <v>35</v>
      </c>
      <c r="GP17" s="463">
        <v>21</v>
      </c>
      <c r="GQ17" s="463">
        <v>25</v>
      </c>
      <c r="GR17" s="463">
        <v>35</v>
      </c>
      <c r="GS17" s="464">
        <v>383</v>
      </c>
      <c r="GT17" s="463">
        <v>350</v>
      </c>
      <c r="GU17" s="394"/>
      <c r="GV17" s="394"/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</row>
    <row r="18" spans="2:230" x14ac:dyDescent="0.15">
      <c r="B18" s="89" t="s">
        <v>29</v>
      </c>
      <c r="C18" s="272">
        <v>13504904</v>
      </c>
      <c r="D18" s="455">
        <f t="shared" si="0"/>
        <v>6023032</v>
      </c>
      <c r="E18" s="272">
        <v>150961</v>
      </c>
      <c r="F18" s="456">
        <v>5872071</v>
      </c>
      <c r="G18" s="455">
        <f t="shared" si="1"/>
        <v>516938</v>
      </c>
      <c r="H18" s="272">
        <v>189938</v>
      </c>
      <c r="I18" s="272">
        <v>327000</v>
      </c>
      <c r="J18" s="272">
        <v>5278748</v>
      </c>
      <c r="K18" s="272">
        <v>2072057</v>
      </c>
      <c r="L18" s="272">
        <v>2530405</v>
      </c>
      <c r="M18" s="272">
        <v>569786</v>
      </c>
      <c r="N18" s="272">
        <v>511396</v>
      </c>
      <c r="O18" s="272">
        <v>1027678</v>
      </c>
      <c r="P18" s="272">
        <v>560944</v>
      </c>
      <c r="Q18" s="272">
        <v>466734</v>
      </c>
      <c r="R18" s="272">
        <v>238217</v>
      </c>
      <c r="S18" s="272"/>
      <c r="T18" s="455">
        <f t="shared" si="2"/>
        <v>1321640</v>
      </c>
      <c r="U18" s="272">
        <v>89361</v>
      </c>
      <c r="V18" s="272">
        <v>42397</v>
      </c>
      <c r="W18" s="456">
        <v>14310</v>
      </c>
      <c r="X18" s="272">
        <v>1027111</v>
      </c>
      <c r="Y18" s="272">
        <v>42115</v>
      </c>
      <c r="Z18" s="272">
        <v>0</v>
      </c>
      <c r="AA18" s="272">
        <v>106346</v>
      </c>
      <c r="AB18" s="272">
        <v>197016</v>
      </c>
      <c r="AC18" s="272">
        <v>6416111</v>
      </c>
      <c r="AD18" s="272">
        <v>6200322</v>
      </c>
      <c r="AE18" s="272">
        <v>215789</v>
      </c>
      <c r="AF18" s="272">
        <v>22677</v>
      </c>
      <c r="AG18" s="272">
        <v>485265</v>
      </c>
      <c r="AH18" s="455">
        <f t="shared" si="3"/>
        <v>946673</v>
      </c>
      <c r="AI18" s="272">
        <v>685973</v>
      </c>
      <c r="AJ18" s="272">
        <v>260700</v>
      </c>
      <c r="AK18" s="272">
        <v>7095355</v>
      </c>
      <c r="AL18" s="455">
        <f t="shared" si="4"/>
        <v>3724753</v>
      </c>
      <c r="AM18" s="272">
        <v>3028396</v>
      </c>
      <c r="AN18" s="272">
        <v>240764</v>
      </c>
      <c r="AO18" s="272"/>
      <c r="AP18" s="272">
        <v>455593</v>
      </c>
      <c r="AQ18" s="272">
        <v>870925</v>
      </c>
      <c r="AR18" s="272">
        <v>0</v>
      </c>
      <c r="AS18" s="272">
        <v>0</v>
      </c>
      <c r="AT18" s="272">
        <v>2361422</v>
      </c>
      <c r="AU18" s="272">
        <v>1144126</v>
      </c>
      <c r="AV18" s="272">
        <v>130223</v>
      </c>
      <c r="AW18" s="272">
        <v>61475</v>
      </c>
      <c r="AX18" s="272">
        <v>1217296</v>
      </c>
      <c r="AY18" s="272">
        <v>98778</v>
      </c>
      <c r="AZ18" s="272">
        <v>27923</v>
      </c>
      <c r="BA18" s="272">
        <v>1333</v>
      </c>
      <c r="BB18" s="272">
        <v>15127</v>
      </c>
      <c r="BC18" s="272">
        <v>207882</v>
      </c>
      <c r="BD18" s="272">
        <v>0</v>
      </c>
      <c r="BE18" s="272">
        <v>0</v>
      </c>
      <c r="BF18" s="272">
        <v>207882</v>
      </c>
      <c r="BG18" s="272">
        <v>0</v>
      </c>
      <c r="BH18" s="272">
        <v>450057</v>
      </c>
      <c r="BI18" s="272">
        <v>365160</v>
      </c>
      <c r="BJ18" s="272">
        <v>1946186</v>
      </c>
      <c r="BK18" s="272">
        <v>1550643</v>
      </c>
      <c r="BL18" s="272">
        <v>0</v>
      </c>
      <c r="BM18" s="272">
        <v>33639</v>
      </c>
      <c r="BN18" s="272">
        <v>3156517</v>
      </c>
      <c r="BO18" s="455">
        <f t="shared" si="5"/>
        <v>797100</v>
      </c>
      <c r="BP18" s="455">
        <f t="shared" si="6"/>
        <v>2359417</v>
      </c>
      <c r="BQ18" s="272"/>
      <c r="BR18" s="272">
        <v>0</v>
      </c>
      <c r="BS18" s="272">
        <v>2359417</v>
      </c>
      <c r="BT18" s="272">
        <v>0</v>
      </c>
      <c r="BU18" s="272">
        <v>38392972</v>
      </c>
      <c r="BV18" s="272"/>
      <c r="BW18" s="272">
        <v>6909835</v>
      </c>
      <c r="BX18" s="272">
        <v>4639801</v>
      </c>
      <c r="BY18" s="272">
        <v>656646</v>
      </c>
      <c r="BZ18" s="272">
        <v>336545</v>
      </c>
      <c r="CA18" s="272">
        <v>10174130</v>
      </c>
      <c r="CB18" s="272">
        <v>1506620</v>
      </c>
      <c r="CC18" s="272">
        <v>192367</v>
      </c>
      <c r="CD18" s="272">
        <v>4186686</v>
      </c>
      <c r="CE18" s="272">
        <v>4124136</v>
      </c>
      <c r="CF18" s="272">
        <v>9267</v>
      </c>
      <c r="CG18" s="272">
        <v>155054</v>
      </c>
      <c r="CH18" s="272">
        <v>2447801</v>
      </c>
      <c r="CI18" s="457" t="s">
        <v>646</v>
      </c>
      <c r="CJ18" s="458" t="s">
        <v>646</v>
      </c>
      <c r="CK18" s="272">
        <v>4691693</v>
      </c>
      <c r="CL18" s="272">
        <v>3103457</v>
      </c>
      <c r="CM18" s="272">
        <v>532241</v>
      </c>
      <c r="CN18" s="272">
        <v>584443</v>
      </c>
      <c r="CO18" s="272">
        <v>297903</v>
      </c>
      <c r="CP18" s="272">
        <v>2519902</v>
      </c>
      <c r="CQ18" s="272">
        <v>1184855</v>
      </c>
      <c r="CR18" s="272">
        <v>990682</v>
      </c>
      <c r="CS18" s="272">
        <v>721983</v>
      </c>
      <c r="CT18" s="455">
        <f t="shared" si="7"/>
        <v>3442</v>
      </c>
      <c r="CU18" s="272">
        <v>588</v>
      </c>
      <c r="CV18" s="272">
        <v>2854</v>
      </c>
      <c r="CW18" s="455">
        <f t="shared" si="8"/>
        <v>0</v>
      </c>
      <c r="CX18" s="272">
        <v>0</v>
      </c>
      <c r="CY18" s="272">
        <v>0</v>
      </c>
      <c r="CZ18" s="455">
        <f t="shared" si="9"/>
        <v>0</v>
      </c>
      <c r="DA18" s="272">
        <v>0</v>
      </c>
      <c r="DB18" s="272">
        <v>0</v>
      </c>
      <c r="DC18" s="272">
        <v>3142209</v>
      </c>
      <c r="DD18" s="272">
        <v>1344563</v>
      </c>
      <c r="DE18" s="272">
        <v>1797646</v>
      </c>
      <c r="DF18" s="26">
        <v>0</v>
      </c>
      <c r="DG18" s="27">
        <v>0</v>
      </c>
      <c r="DH18" s="272">
        <v>3416</v>
      </c>
      <c r="DI18" s="272">
        <v>1481708</v>
      </c>
      <c r="DJ18" s="272">
        <v>0</v>
      </c>
      <c r="DK18" s="272">
        <v>0</v>
      </c>
      <c r="DL18" s="272">
        <v>1481708</v>
      </c>
      <c r="DM18" s="272">
        <v>0</v>
      </c>
      <c r="DN18" s="272">
        <v>0</v>
      </c>
      <c r="DO18" s="272">
        <v>0</v>
      </c>
      <c r="DP18" s="272">
        <v>0</v>
      </c>
      <c r="DQ18" s="272">
        <v>1545240</v>
      </c>
      <c r="DR18" s="272">
        <v>0</v>
      </c>
      <c r="DS18" s="272">
        <v>0</v>
      </c>
      <c r="DT18" s="272">
        <v>4555038</v>
      </c>
      <c r="DU18" s="272">
        <v>1404642</v>
      </c>
      <c r="DV18" s="455">
        <f t="shared" si="10"/>
        <v>0</v>
      </c>
      <c r="DW18" s="272">
        <v>0</v>
      </c>
      <c r="DX18" s="272">
        <v>1111948</v>
      </c>
      <c r="DY18" s="272">
        <v>0</v>
      </c>
      <c r="DZ18" s="272">
        <v>996053</v>
      </c>
      <c r="EA18" s="272">
        <v>656</v>
      </c>
      <c r="EB18" s="272">
        <v>1039926</v>
      </c>
      <c r="EC18" s="272">
        <v>0</v>
      </c>
      <c r="ED18" s="272">
        <v>37768875</v>
      </c>
      <c r="EE18" s="89"/>
      <c r="EF18" s="272">
        <v>624097</v>
      </c>
      <c r="EG18" s="272">
        <v>77255</v>
      </c>
      <c r="EH18" s="272">
        <v>546842</v>
      </c>
      <c r="EI18" s="272">
        <v>181682</v>
      </c>
      <c r="EJ18" s="272">
        <v>298583</v>
      </c>
      <c r="EK18" s="89"/>
      <c r="EL18" s="272">
        <v>119576</v>
      </c>
      <c r="EM18" s="272">
        <v>118702</v>
      </c>
      <c r="EN18" s="272">
        <v>29156</v>
      </c>
      <c r="EO18" s="272">
        <v>8333</v>
      </c>
      <c r="EP18" s="455">
        <f t="shared" si="11"/>
        <v>1177707</v>
      </c>
      <c r="EQ18" s="272">
        <v>21700565</v>
      </c>
      <c r="ER18" s="272">
        <v>-3551936</v>
      </c>
      <c r="ES18" s="272">
        <v>6183133</v>
      </c>
      <c r="ET18" s="272">
        <v>4005489</v>
      </c>
      <c r="EU18" s="272">
        <v>3276683</v>
      </c>
      <c r="EV18" s="272">
        <v>2384895</v>
      </c>
      <c r="EW18" s="455">
        <f t="shared" si="12"/>
        <v>1205817</v>
      </c>
      <c r="EX18" s="272">
        <v>1202401</v>
      </c>
      <c r="EY18" s="272">
        <v>51880</v>
      </c>
      <c r="EZ18" s="272">
        <v>1150521</v>
      </c>
      <c r="FA18" s="272">
        <v>3416</v>
      </c>
      <c r="FB18" s="272">
        <v>0</v>
      </c>
      <c r="FC18" s="272">
        <v>3684919</v>
      </c>
      <c r="FD18" s="272">
        <v>2274417</v>
      </c>
      <c r="FE18" s="272">
        <v>1171026</v>
      </c>
      <c r="FF18" s="272">
        <v>3967984</v>
      </c>
      <c r="FG18" s="455">
        <f t="shared" si="13"/>
        <v>1650556</v>
      </c>
      <c r="FH18" s="272">
        <v>24628404</v>
      </c>
      <c r="FI18" s="459">
        <f t="shared" si="14"/>
        <v>2.4</v>
      </c>
      <c r="FJ18" s="272">
        <v>20050084</v>
      </c>
      <c r="FK18" s="272">
        <v>2359417</v>
      </c>
      <c r="FL18" s="272">
        <v>10727024</v>
      </c>
      <c r="FM18" s="272">
        <v>16927346</v>
      </c>
      <c r="FN18" s="460">
        <v>0.68200000000000005</v>
      </c>
      <c r="FO18" s="388">
        <v>91</v>
      </c>
      <c r="FP18" s="388">
        <v>26.5</v>
      </c>
      <c r="FQ18" s="388">
        <v>14.3</v>
      </c>
      <c r="FR18" s="388">
        <v>9.9</v>
      </c>
      <c r="FS18" s="388">
        <v>15.9</v>
      </c>
      <c r="FT18" s="388">
        <v>9.5</v>
      </c>
      <c r="FU18" s="388">
        <v>13.8</v>
      </c>
      <c r="FV18" s="384">
        <f t="shared" si="15"/>
        <v>2.2999999999999998</v>
      </c>
      <c r="FW18" s="272">
        <v>24465208</v>
      </c>
      <c r="FX18" s="384">
        <f t="shared" si="16"/>
        <v>109.2</v>
      </c>
      <c r="FY18" s="272">
        <v>8451284</v>
      </c>
      <c r="FZ18" s="272">
        <v>3846747</v>
      </c>
      <c r="GA18" s="272">
        <v>0</v>
      </c>
      <c r="GB18" s="272">
        <v>4604537</v>
      </c>
      <c r="GC18" s="272">
        <v>0</v>
      </c>
      <c r="GD18" s="272">
        <v>698160</v>
      </c>
      <c r="GE18" s="384">
        <f t="shared" si="18"/>
        <v>3.1</v>
      </c>
      <c r="GF18" s="388">
        <v>97.7</v>
      </c>
      <c r="GG18" s="388">
        <v>21.8</v>
      </c>
      <c r="GH18" s="388">
        <v>92.4</v>
      </c>
      <c r="GI18" s="272">
        <v>782</v>
      </c>
      <c r="GJ18" s="461" t="s">
        <v>646</v>
      </c>
      <c r="GK18" s="461">
        <v>12.28</v>
      </c>
      <c r="GL18" s="462">
        <v>20</v>
      </c>
      <c r="GM18" s="461" t="s">
        <v>646</v>
      </c>
      <c r="GN18" s="462">
        <v>17.28</v>
      </c>
      <c r="GO18" s="462">
        <v>35</v>
      </c>
      <c r="GP18" s="463">
        <v>2.2999999999999998</v>
      </c>
      <c r="GQ18" s="463">
        <v>25</v>
      </c>
      <c r="GR18" s="463">
        <v>35</v>
      </c>
      <c r="GS18" s="464">
        <v>2.2999999999999998</v>
      </c>
      <c r="GT18" s="463">
        <v>350</v>
      </c>
      <c r="GU18" s="394"/>
      <c r="GV18" s="394"/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</row>
    <row r="19" spans="2:230" x14ac:dyDescent="0.15">
      <c r="B19" s="89" t="s">
        <v>31</v>
      </c>
      <c r="C19" s="272">
        <v>27856740</v>
      </c>
      <c r="D19" s="455">
        <f t="shared" si="0"/>
        <v>10762871</v>
      </c>
      <c r="E19" s="272">
        <v>304924</v>
      </c>
      <c r="F19" s="456">
        <v>10457947</v>
      </c>
      <c r="G19" s="455">
        <f t="shared" si="1"/>
        <v>1595604</v>
      </c>
      <c r="H19" s="272">
        <v>515856</v>
      </c>
      <c r="I19" s="272">
        <v>1079748</v>
      </c>
      <c r="J19" s="272">
        <v>11366451</v>
      </c>
      <c r="K19" s="272">
        <v>5092785</v>
      </c>
      <c r="L19" s="272">
        <v>4920779</v>
      </c>
      <c r="M19" s="272">
        <v>1076498</v>
      </c>
      <c r="N19" s="272">
        <v>1391210</v>
      </c>
      <c r="O19" s="272">
        <v>2545906</v>
      </c>
      <c r="P19" s="272">
        <v>1449731</v>
      </c>
      <c r="Q19" s="272">
        <v>1096175</v>
      </c>
      <c r="R19" s="272">
        <v>396662</v>
      </c>
      <c r="S19" s="272"/>
      <c r="T19" s="455">
        <f t="shared" si="2"/>
        <v>2450413</v>
      </c>
      <c r="U19" s="272">
        <v>161380</v>
      </c>
      <c r="V19" s="272">
        <v>76627</v>
      </c>
      <c r="W19" s="456">
        <v>25930</v>
      </c>
      <c r="X19" s="272">
        <v>2009395</v>
      </c>
      <c r="Y19" s="272">
        <v>0</v>
      </c>
      <c r="Z19" s="272">
        <v>0</v>
      </c>
      <c r="AA19" s="272">
        <v>177081</v>
      </c>
      <c r="AB19" s="272">
        <v>397893</v>
      </c>
      <c r="AC19" s="272">
        <v>11251032</v>
      </c>
      <c r="AD19" s="272">
        <v>10734452</v>
      </c>
      <c r="AE19" s="272">
        <v>516580</v>
      </c>
      <c r="AF19" s="272">
        <v>37840</v>
      </c>
      <c r="AG19" s="272">
        <v>657761</v>
      </c>
      <c r="AH19" s="455">
        <f t="shared" si="3"/>
        <v>1086886</v>
      </c>
      <c r="AI19" s="272">
        <v>803001</v>
      </c>
      <c r="AJ19" s="272">
        <v>283885</v>
      </c>
      <c r="AK19" s="272">
        <v>17598666</v>
      </c>
      <c r="AL19" s="455">
        <f t="shared" si="4"/>
        <v>10206914</v>
      </c>
      <c r="AM19" s="272">
        <v>7862133</v>
      </c>
      <c r="AN19" s="272">
        <v>905957</v>
      </c>
      <c r="AO19" s="272"/>
      <c r="AP19" s="272">
        <v>1438824</v>
      </c>
      <c r="AQ19" s="272">
        <v>689348</v>
      </c>
      <c r="AR19" s="272">
        <v>0</v>
      </c>
      <c r="AS19" s="272">
        <v>0</v>
      </c>
      <c r="AT19" s="272">
        <v>5117056</v>
      </c>
      <c r="AU19" s="272">
        <v>2795166</v>
      </c>
      <c r="AV19" s="272">
        <v>452978</v>
      </c>
      <c r="AW19" s="272">
        <v>26930</v>
      </c>
      <c r="AX19" s="272">
        <v>2321890</v>
      </c>
      <c r="AY19" s="272">
        <v>1180</v>
      </c>
      <c r="AZ19" s="272">
        <v>130732</v>
      </c>
      <c r="BA19" s="272">
        <v>117985</v>
      </c>
      <c r="BB19" s="272">
        <v>28564</v>
      </c>
      <c r="BC19" s="272">
        <v>958988</v>
      </c>
      <c r="BD19" s="272">
        <v>0</v>
      </c>
      <c r="BE19" s="272">
        <v>24</v>
      </c>
      <c r="BF19" s="272">
        <v>958054</v>
      </c>
      <c r="BG19" s="272">
        <v>0</v>
      </c>
      <c r="BH19" s="272">
        <v>291232</v>
      </c>
      <c r="BI19" s="272">
        <v>264161</v>
      </c>
      <c r="BJ19" s="272">
        <v>1918703</v>
      </c>
      <c r="BK19" s="272">
        <v>1062221</v>
      </c>
      <c r="BL19" s="272">
        <v>0</v>
      </c>
      <c r="BM19" s="272">
        <v>21894</v>
      </c>
      <c r="BN19" s="272">
        <v>9642600</v>
      </c>
      <c r="BO19" s="455">
        <f t="shared" si="5"/>
        <v>4488900</v>
      </c>
      <c r="BP19" s="455">
        <f t="shared" si="6"/>
        <v>4343700</v>
      </c>
      <c r="BQ19" s="272"/>
      <c r="BR19" s="272">
        <v>0</v>
      </c>
      <c r="BS19" s="272">
        <v>4343700</v>
      </c>
      <c r="BT19" s="272">
        <v>810000</v>
      </c>
      <c r="BU19" s="272">
        <v>79821768</v>
      </c>
      <c r="BV19" s="272"/>
      <c r="BW19" s="272">
        <v>14170210</v>
      </c>
      <c r="BX19" s="272">
        <v>8805961</v>
      </c>
      <c r="BY19" s="272">
        <v>2824350</v>
      </c>
      <c r="BZ19" s="272">
        <v>328694</v>
      </c>
      <c r="CA19" s="272">
        <v>24030684</v>
      </c>
      <c r="CB19" s="272">
        <v>3633069</v>
      </c>
      <c r="CC19" s="272">
        <v>342561</v>
      </c>
      <c r="CD19" s="272">
        <v>8919871</v>
      </c>
      <c r="CE19" s="272">
        <v>10732592</v>
      </c>
      <c r="CF19" s="272">
        <v>78219</v>
      </c>
      <c r="CG19" s="272">
        <v>322020</v>
      </c>
      <c r="CH19" s="272">
        <v>7089009</v>
      </c>
      <c r="CI19" s="457" t="s">
        <v>646</v>
      </c>
      <c r="CJ19" s="458" t="s">
        <v>646</v>
      </c>
      <c r="CK19" s="272">
        <v>6569874</v>
      </c>
      <c r="CL19" s="272">
        <v>2942022</v>
      </c>
      <c r="CM19" s="272">
        <v>861982</v>
      </c>
      <c r="CN19" s="272">
        <v>1562064</v>
      </c>
      <c r="CO19" s="272">
        <v>320854</v>
      </c>
      <c r="CP19" s="272">
        <v>5667541</v>
      </c>
      <c r="CQ19" s="272">
        <v>3223607</v>
      </c>
      <c r="CR19" s="272">
        <v>1347395</v>
      </c>
      <c r="CS19" s="272">
        <v>1123473</v>
      </c>
      <c r="CT19" s="455">
        <f t="shared" si="7"/>
        <v>13500</v>
      </c>
      <c r="CU19" s="272">
        <v>13500</v>
      </c>
      <c r="CV19" s="272">
        <v>0</v>
      </c>
      <c r="CW19" s="455">
        <f t="shared" si="8"/>
        <v>0</v>
      </c>
      <c r="CX19" s="272">
        <v>0</v>
      </c>
      <c r="CY19" s="272">
        <v>0</v>
      </c>
      <c r="CZ19" s="455">
        <f t="shared" si="9"/>
        <v>0</v>
      </c>
      <c r="DA19" s="272">
        <v>0</v>
      </c>
      <c r="DB19" s="272">
        <v>0</v>
      </c>
      <c r="DC19" s="272">
        <v>11178108</v>
      </c>
      <c r="DD19" s="272">
        <v>4470427</v>
      </c>
      <c r="DE19" s="272">
        <v>6706809</v>
      </c>
      <c r="DF19" s="26">
        <v>0</v>
      </c>
      <c r="DG19" s="27">
        <v>872</v>
      </c>
      <c r="DH19" s="272">
        <v>0</v>
      </c>
      <c r="DI19" s="272">
        <v>941193</v>
      </c>
      <c r="DJ19" s="272">
        <v>340905</v>
      </c>
      <c r="DK19" s="272">
        <v>27</v>
      </c>
      <c r="DL19" s="272">
        <v>600261</v>
      </c>
      <c r="DM19" s="272">
        <v>0</v>
      </c>
      <c r="DN19" s="272">
        <v>0</v>
      </c>
      <c r="DO19" s="272">
        <v>0</v>
      </c>
      <c r="DP19" s="272">
        <v>0</v>
      </c>
      <c r="DQ19" s="272">
        <v>1025876</v>
      </c>
      <c r="DR19" s="272">
        <v>0</v>
      </c>
      <c r="DS19" s="272">
        <v>0</v>
      </c>
      <c r="DT19" s="272">
        <v>8460898</v>
      </c>
      <c r="DU19" s="272">
        <v>1814489</v>
      </c>
      <c r="DV19" s="455">
        <f t="shared" si="10"/>
        <v>0</v>
      </c>
      <c r="DW19" s="272">
        <v>0</v>
      </c>
      <c r="DX19" s="272">
        <v>1943269</v>
      </c>
      <c r="DY19" s="272">
        <v>0</v>
      </c>
      <c r="DZ19" s="272">
        <v>2874183</v>
      </c>
      <c r="EA19" s="272">
        <v>0</v>
      </c>
      <c r="EB19" s="272">
        <v>1828957</v>
      </c>
      <c r="EC19" s="272">
        <v>0</v>
      </c>
      <c r="ED19" s="272">
        <v>79454247</v>
      </c>
      <c r="EE19" s="89"/>
      <c r="EF19" s="272">
        <v>367521</v>
      </c>
      <c r="EG19" s="272">
        <v>16568</v>
      </c>
      <c r="EH19" s="272">
        <v>350953</v>
      </c>
      <c r="EI19" s="272">
        <v>86792</v>
      </c>
      <c r="EJ19" s="272">
        <v>427697</v>
      </c>
      <c r="EK19" s="89"/>
      <c r="EL19" s="272">
        <v>238204</v>
      </c>
      <c r="EM19" s="272">
        <v>239777</v>
      </c>
      <c r="EN19" s="272">
        <v>934</v>
      </c>
      <c r="EO19" s="272">
        <v>103426</v>
      </c>
      <c r="EP19" s="455">
        <f t="shared" si="11"/>
        <v>2203495</v>
      </c>
      <c r="EQ19" s="272">
        <v>42390580</v>
      </c>
      <c r="ER19" s="272">
        <v>-6613715</v>
      </c>
      <c r="ES19" s="272">
        <v>12229699</v>
      </c>
      <c r="ET19" s="272">
        <v>7793842</v>
      </c>
      <c r="EU19" s="272">
        <v>6735464</v>
      </c>
      <c r="EV19" s="272">
        <v>7065545</v>
      </c>
      <c r="EW19" s="455">
        <f t="shared" si="12"/>
        <v>4311837</v>
      </c>
      <c r="EX19" s="272">
        <v>4311837</v>
      </c>
      <c r="EY19" s="272">
        <v>784252</v>
      </c>
      <c r="EZ19" s="272">
        <v>3527585</v>
      </c>
      <c r="FA19" s="272">
        <v>0</v>
      </c>
      <c r="FB19" s="272">
        <v>0</v>
      </c>
      <c r="FC19" s="272">
        <v>5326481</v>
      </c>
      <c r="FD19" s="272">
        <v>4984617</v>
      </c>
      <c r="FE19" s="272">
        <v>3191848</v>
      </c>
      <c r="FF19" s="272">
        <v>7180662</v>
      </c>
      <c r="FG19" s="455">
        <f t="shared" si="13"/>
        <v>802469</v>
      </c>
      <c r="FH19" s="272">
        <v>48636774</v>
      </c>
      <c r="FI19" s="459">
        <f t="shared" si="14"/>
        <v>0.8</v>
      </c>
      <c r="FJ19" s="272">
        <v>38282655</v>
      </c>
      <c r="FK19" s="272">
        <v>4343799</v>
      </c>
      <c r="FL19" s="272">
        <v>21361671</v>
      </c>
      <c r="FM19" s="272">
        <v>32096463</v>
      </c>
      <c r="FN19" s="460">
        <v>0.70499999999999996</v>
      </c>
      <c r="FO19" s="388">
        <v>93.8</v>
      </c>
      <c r="FP19" s="388">
        <v>26.5</v>
      </c>
      <c r="FQ19" s="388">
        <v>15.3</v>
      </c>
      <c r="FR19" s="388">
        <v>16.100000000000001</v>
      </c>
      <c r="FS19" s="388">
        <v>11.3</v>
      </c>
      <c r="FT19" s="388">
        <v>10</v>
      </c>
      <c r="FU19" s="388">
        <v>13.8</v>
      </c>
      <c r="FV19" s="384">
        <f t="shared" si="15"/>
        <v>4.5999999999999996</v>
      </c>
      <c r="FW19" s="272">
        <v>66913687</v>
      </c>
      <c r="FX19" s="384">
        <f t="shared" si="16"/>
        <v>157</v>
      </c>
      <c r="FY19" s="272">
        <v>5685528</v>
      </c>
      <c r="FZ19" s="272">
        <v>609388</v>
      </c>
      <c r="GA19" s="272">
        <v>3274</v>
      </c>
      <c r="GB19" s="272">
        <v>5072866</v>
      </c>
      <c r="GC19" s="272">
        <v>0</v>
      </c>
      <c r="GD19" s="272">
        <v>2773698</v>
      </c>
      <c r="GE19" s="384">
        <f t="shared" si="18"/>
        <v>6.5</v>
      </c>
      <c r="GF19" s="388">
        <v>97.2</v>
      </c>
      <c r="GG19" s="388">
        <v>17.100000000000001</v>
      </c>
      <c r="GH19" s="388">
        <v>88.4</v>
      </c>
      <c r="GI19" s="272">
        <v>1266</v>
      </c>
      <c r="GJ19" s="461" t="s">
        <v>646</v>
      </c>
      <c r="GK19" s="461">
        <v>11.39</v>
      </c>
      <c r="GL19" s="462">
        <v>20</v>
      </c>
      <c r="GM19" s="461" t="s">
        <v>646</v>
      </c>
      <c r="GN19" s="462">
        <v>16.39</v>
      </c>
      <c r="GO19" s="462">
        <v>35</v>
      </c>
      <c r="GP19" s="463">
        <v>4.5999999999999996</v>
      </c>
      <c r="GQ19" s="463">
        <v>25</v>
      </c>
      <c r="GR19" s="463">
        <v>35</v>
      </c>
      <c r="GS19" s="464">
        <v>29.6</v>
      </c>
      <c r="GT19" s="463">
        <v>350</v>
      </c>
      <c r="GU19" s="394"/>
      <c r="GV19" s="394"/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</row>
    <row r="20" spans="2:230" x14ac:dyDescent="0.15">
      <c r="B20" s="89" t="s">
        <v>33</v>
      </c>
      <c r="C20" s="272">
        <v>13071744</v>
      </c>
      <c r="D20" s="455">
        <f t="shared" si="0"/>
        <v>6093290</v>
      </c>
      <c r="E20" s="272">
        <v>150714</v>
      </c>
      <c r="F20" s="456">
        <v>5942576</v>
      </c>
      <c r="G20" s="455">
        <f t="shared" si="1"/>
        <v>516897</v>
      </c>
      <c r="H20" s="272">
        <v>206103</v>
      </c>
      <c r="I20" s="272">
        <v>310794</v>
      </c>
      <c r="J20" s="272">
        <v>4886437</v>
      </c>
      <c r="K20" s="272">
        <v>1901770</v>
      </c>
      <c r="L20" s="272">
        <v>2282496</v>
      </c>
      <c r="M20" s="272">
        <v>630767</v>
      </c>
      <c r="N20" s="272">
        <v>430321</v>
      </c>
      <c r="O20" s="272">
        <v>1013582</v>
      </c>
      <c r="P20" s="272">
        <v>547939</v>
      </c>
      <c r="Q20" s="272">
        <v>465643</v>
      </c>
      <c r="R20" s="272">
        <v>289797</v>
      </c>
      <c r="S20" s="272"/>
      <c r="T20" s="455">
        <f t="shared" si="2"/>
        <v>1203137</v>
      </c>
      <c r="U20" s="272">
        <v>93160</v>
      </c>
      <c r="V20" s="272">
        <v>44150</v>
      </c>
      <c r="W20" s="456">
        <v>14848</v>
      </c>
      <c r="X20" s="272">
        <v>899197</v>
      </c>
      <c r="Y20" s="272">
        <v>22387</v>
      </c>
      <c r="Z20" s="272">
        <v>0</v>
      </c>
      <c r="AA20" s="272">
        <v>129395</v>
      </c>
      <c r="AB20" s="272">
        <v>183772</v>
      </c>
      <c r="AC20" s="272">
        <v>6030088</v>
      </c>
      <c r="AD20" s="272">
        <v>5766473</v>
      </c>
      <c r="AE20" s="272">
        <v>263615</v>
      </c>
      <c r="AF20" s="272">
        <v>19986</v>
      </c>
      <c r="AG20" s="272">
        <v>313938</v>
      </c>
      <c r="AH20" s="455">
        <f t="shared" si="3"/>
        <v>880270</v>
      </c>
      <c r="AI20" s="272">
        <v>573967</v>
      </c>
      <c r="AJ20" s="272">
        <v>306303</v>
      </c>
      <c r="AK20" s="272">
        <v>5167663</v>
      </c>
      <c r="AL20" s="455">
        <f t="shared" si="4"/>
        <v>2866187</v>
      </c>
      <c r="AM20" s="272">
        <v>1997659</v>
      </c>
      <c r="AN20" s="272">
        <v>361322</v>
      </c>
      <c r="AO20" s="272"/>
      <c r="AP20" s="272">
        <v>507206</v>
      </c>
      <c r="AQ20" s="272">
        <v>283872</v>
      </c>
      <c r="AR20" s="272">
        <v>0</v>
      </c>
      <c r="AS20" s="272">
        <v>0</v>
      </c>
      <c r="AT20" s="272">
        <v>2224699</v>
      </c>
      <c r="AU20" s="272">
        <v>1153783</v>
      </c>
      <c r="AV20" s="272">
        <v>180662</v>
      </c>
      <c r="AW20" s="272">
        <v>6341</v>
      </c>
      <c r="AX20" s="272">
        <v>1070916</v>
      </c>
      <c r="AY20" s="272">
        <v>37943</v>
      </c>
      <c r="AZ20" s="272">
        <v>251797</v>
      </c>
      <c r="BA20" s="272">
        <v>177930</v>
      </c>
      <c r="BB20" s="272">
        <v>11118</v>
      </c>
      <c r="BC20" s="272">
        <v>262948</v>
      </c>
      <c r="BD20" s="272">
        <v>12999</v>
      </c>
      <c r="BE20" s="272">
        <v>86888</v>
      </c>
      <c r="BF20" s="272">
        <v>143674</v>
      </c>
      <c r="BG20" s="272">
        <v>0</v>
      </c>
      <c r="BH20" s="272">
        <v>49422</v>
      </c>
      <c r="BI20" s="272">
        <v>16636</v>
      </c>
      <c r="BJ20" s="272">
        <v>421277</v>
      </c>
      <c r="BK20" s="272">
        <v>20696</v>
      </c>
      <c r="BL20" s="272">
        <v>0</v>
      </c>
      <c r="BM20" s="272">
        <v>0</v>
      </c>
      <c r="BN20" s="272">
        <v>5289400</v>
      </c>
      <c r="BO20" s="455">
        <f t="shared" si="5"/>
        <v>3152800</v>
      </c>
      <c r="BP20" s="455">
        <f t="shared" si="6"/>
        <v>2136600</v>
      </c>
      <c r="BQ20" s="272"/>
      <c r="BR20" s="272">
        <v>0</v>
      </c>
      <c r="BS20" s="272">
        <v>2136600</v>
      </c>
      <c r="BT20" s="272">
        <v>0</v>
      </c>
      <c r="BU20" s="272">
        <v>35671056</v>
      </c>
      <c r="BV20" s="272"/>
      <c r="BW20" s="272">
        <v>6572063</v>
      </c>
      <c r="BX20" s="272">
        <v>3864087</v>
      </c>
      <c r="BY20" s="272">
        <v>674720</v>
      </c>
      <c r="BZ20" s="272">
        <v>902919</v>
      </c>
      <c r="CA20" s="272">
        <v>8112133</v>
      </c>
      <c r="CB20" s="272">
        <v>1532318</v>
      </c>
      <c r="CC20" s="272">
        <v>188061</v>
      </c>
      <c r="CD20" s="272">
        <v>3481315</v>
      </c>
      <c r="CE20" s="272">
        <v>2841050</v>
      </c>
      <c r="CF20" s="272">
        <v>4440</v>
      </c>
      <c r="CG20" s="272">
        <v>64929</v>
      </c>
      <c r="CH20" s="272">
        <v>4637498</v>
      </c>
      <c r="CI20" s="457" t="s">
        <v>646</v>
      </c>
      <c r="CJ20" s="458" t="s">
        <v>646</v>
      </c>
      <c r="CK20" s="272">
        <v>4825859</v>
      </c>
      <c r="CL20" s="272">
        <v>3339916</v>
      </c>
      <c r="CM20" s="272">
        <v>177120</v>
      </c>
      <c r="CN20" s="272">
        <v>652219</v>
      </c>
      <c r="CO20" s="272">
        <v>338281</v>
      </c>
      <c r="CP20" s="272">
        <v>2243958</v>
      </c>
      <c r="CQ20" s="272">
        <v>794025</v>
      </c>
      <c r="CR20" s="272">
        <v>825431</v>
      </c>
      <c r="CS20" s="272">
        <v>603535</v>
      </c>
      <c r="CT20" s="455">
        <f t="shared" si="7"/>
        <v>118002</v>
      </c>
      <c r="CU20" s="272">
        <v>3959</v>
      </c>
      <c r="CV20" s="272">
        <v>114043</v>
      </c>
      <c r="CW20" s="455">
        <f t="shared" si="8"/>
        <v>0</v>
      </c>
      <c r="CX20" s="272">
        <v>0</v>
      </c>
      <c r="CY20" s="272">
        <v>0</v>
      </c>
      <c r="CZ20" s="455">
        <f t="shared" si="9"/>
        <v>0</v>
      </c>
      <c r="DA20" s="272">
        <v>0</v>
      </c>
      <c r="DB20" s="272">
        <v>0</v>
      </c>
      <c r="DC20" s="272">
        <v>4209258</v>
      </c>
      <c r="DD20" s="272">
        <v>315545</v>
      </c>
      <c r="DE20" s="272">
        <v>3758921</v>
      </c>
      <c r="DF20" s="26">
        <v>134792</v>
      </c>
      <c r="DG20" s="27">
        <v>0</v>
      </c>
      <c r="DH20" s="272">
        <v>41209</v>
      </c>
      <c r="DI20" s="272">
        <v>354985</v>
      </c>
      <c r="DJ20" s="272">
        <v>126113</v>
      </c>
      <c r="DK20" s="272">
        <v>184640</v>
      </c>
      <c r="DL20" s="272">
        <v>44232</v>
      </c>
      <c r="DM20" s="272">
        <v>0</v>
      </c>
      <c r="DN20" s="272">
        <v>0</v>
      </c>
      <c r="DO20" s="272">
        <v>0</v>
      </c>
      <c r="DP20" s="272">
        <v>0</v>
      </c>
      <c r="DQ20" s="272">
        <v>20686</v>
      </c>
      <c r="DR20" s="272">
        <v>0</v>
      </c>
      <c r="DS20" s="272">
        <v>0</v>
      </c>
      <c r="DT20" s="272">
        <v>4203168</v>
      </c>
      <c r="DU20" s="272">
        <v>1192152</v>
      </c>
      <c r="DV20" s="455">
        <f t="shared" si="10"/>
        <v>0</v>
      </c>
      <c r="DW20" s="272">
        <v>0</v>
      </c>
      <c r="DX20" s="272">
        <v>1126570</v>
      </c>
      <c r="DY20" s="272">
        <v>0</v>
      </c>
      <c r="DZ20" s="272">
        <v>746417</v>
      </c>
      <c r="EA20" s="272">
        <v>720</v>
      </c>
      <c r="EB20" s="272">
        <v>1099444</v>
      </c>
      <c r="EC20" s="272">
        <v>0</v>
      </c>
      <c r="ED20" s="272">
        <v>35559098</v>
      </c>
      <c r="EE20" s="89"/>
      <c r="EF20" s="272">
        <v>111958</v>
      </c>
      <c r="EG20" s="272">
        <v>98859</v>
      </c>
      <c r="EH20" s="272">
        <v>13099</v>
      </c>
      <c r="EI20" s="272">
        <v>-3537</v>
      </c>
      <c r="EJ20" s="272">
        <v>532991</v>
      </c>
      <c r="EK20" s="89"/>
      <c r="EL20" s="272">
        <v>112490</v>
      </c>
      <c r="EM20" s="272">
        <v>114169</v>
      </c>
      <c r="EN20" s="272">
        <v>99923</v>
      </c>
      <c r="EO20" s="272">
        <v>196094</v>
      </c>
      <c r="EP20" s="455">
        <f t="shared" si="11"/>
        <v>660881</v>
      </c>
      <c r="EQ20" s="272">
        <v>20798524</v>
      </c>
      <c r="ER20" s="272">
        <v>-3073512</v>
      </c>
      <c r="ES20" s="272">
        <v>5994058</v>
      </c>
      <c r="ET20" s="272">
        <v>3540632</v>
      </c>
      <c r="EU20" s="272">
        <v>2336302</v>
      </c>
      <c r="EV20" s="272">
        <v>4605806</v>
      </c>
      <c r="EW20" s="455">
        <f t="shared" si="12"/>
        <v>636704</v>
      </c>
      <c r="EX20" s="272">
        <v>623936</v>
      </c>
      <c r="EY20" s="272">
        <v>15954</v>
      </c>
      <c r="EZ20" s="272">
        <v>580107</v>
      </c>
      <c r="FA20" s="272">
        <v>12768</v>
      </c>
      <c r="FB20" s="272">
        <v>0</v>
      </c>
      <c r="FC20" s="272">
        <v>3851391</v>
      </c>
      <c r="FD20" s="272">
        <v>2027207</v>
      </c>
      <c r="FE20" s="272">
        <v>794025</v>
      </c>
      <c r="FF20" s="272">
        <v>3725882</v>
      </c>
      <c r="FG20" s="455">
        <f t="shared" si="13"/>
        <v>593429</v>
      </c>
      <c r="FH20" s="272">
        <v>23770779</v>
      </c>
      <c r="FI20" s="459">
        <f t="shared" si="14"/>
        <v>0.1</v>
      </c>
      <c r="FJ20" s="272">
        <v>19121933</v>
      </c>
      <c r="FK20" s="272">
        <v>2286653</v>
      </c>
      <c r="FL20" s="272">
        <v>10346844</v>
      </c>
      <c r="FM20" s="272">
        <v>16091039</v>
      </c>
      <c r="FN20" s="460">
        <v>0.69199999999999995</v>
      </c>
      <c r="FO20" s="388">
        <v>98.7</v>
      </c>
      <c r="FP20" s="388">
        <v>27.4</v>
      </c>
      <c r="FQ20" s="388">
        <v>10.7</v>
      </c>
      <c r="FR20" s="388">
        <v>19.2</v>
      </c>
      <c r="FS20" s="388">
        <v>17.3</v>
      </c>
      <c r="FT20" s="388">
        <v>8.1999999999999993</v>
      </c>
      <c r="FU20" s="388">
        <v>15.1</v>
      </c>
      <c r="FV20" s="384">
        <f t="shared" si="15"/>
        <v>6.8</v>
      </c>
      <c r="FW20" s="272">
        <v>36525240</v>
      </c>
      <c r="FX20" s="384">
        <f t="shared" si="16"/>
        <v>170.6</v>
      </c>
      <c r="FY20" s="272">
        <v>10490181</v>
      </c>
      <c r="FZ20" s="272">
        <v>4452218</v>
      </c>
      <c r="GA20" s="272">
        <v>2672516</v>
      </c>
      <c r="GB20" s="272">
        <v>3365447</v>
      </c>
      <c r="GC20" s="272">
        <v>0</v>
      </c>
      <c r="GD20" s="457"/>
      <c r="GE20" s="384"/>
      <c r="GF20" s="388">
        <v>98.4</v>
      </c>
      <c r="GG20" s="388">
        <v>24.6</v>
      </c>
      <c r="GH20" s="388">
        <v>93.7</v>
      </c>
      <c r="GI20" s="272">
        <v>568</v>
      </c>
      <c r="GJ20" s="461" t="s">
        <v>646</v>
      </c>
      <c r="GK20" s="461">
        <v>12.36</v>
      </c>
      <c r="GL20" s="462">
        <v>20</v>
      </c>
      <c r="GM20" s="461" t="s">
        <v>646</v>
      </c>
      <c r="GN20" s="462">
        <v>17.36</v>
      </c>
      <c r="GO20" s="462">
        <v>35</v>
      </c>
      <c r="GP20" s="463">
        <v>6.8</v>
      </c>
      <c r="GQ20" s="463">
        <v>25</v>
      </c>
      <c r="GR20" s="463">
        <v>35</v>
      </c>
      <c r="GS20" s="464">
        <v>4.3</v>
      </c>
      <c r="GT20" s="463">
        <v>350</v>
      </c>
      <c r="GU20" s="394"/>
      <c r="GV20" s="394"/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</row>
    <row r="21" spans="2:230" x14ac:dyDescent="0.15">
      <c r="B21" s="89" t="s">
        <v>35</v>
      </c>
      <c r="C21" s="272">
        <v>13666330</v>
      </c>
      <c r="D21" s="455">
        <f t="shared" si="0"/>
        <v>5101335</v>
      </c>
      <c r="E21" s="272">
        <v>150207</v>
      </c>
      <c r="F21" s="456">
        <v>4951128</v>
      </c>
      <c r="G21" s="455">
        <f t="shared" si="1"/>
        <v>778107</v>
      </c>
      <c r="H21" s="272">
        <v>248635</v>
      </c>
      <c r="I21" s="272">
        <v>529472</v>
      </c>
      <c r="J21" s="272">
        <v>5656955</v>
      </c>
      <c r="K21" s="272">
        <v>2803779</v>
      </c>
      <c r="L21" s="272">
        <v>2224436</v>
      </c>
      <c r="M21" s="272">
        <v>586016</v>
      </c>
      <c r="N21" s="272">
        <v>749072</v>
      </c>
      <c r="O21" s="272">
        <v>1260669</v>
      </c>
      <c r="P21" s="272">
        <v>773669</v>
      </c>
      <c r="Q21" s="272">
        <v>487000</v>
      </c>
      <c r="R21" s="272">
        <v>208792</v>
      </c>
      <c r="S21" s="272"/>
      <c r="T21" s="455">
        <f t="shared" si="2"/>
        <v>1330082</v>
      </c>
      <c r="U21" s="272">
        <v>76504</v>
      </c>
      <c r="V21" s="272">
        <v>36313</v>
      </c>
      <c r="W21" s="456">
        <v>12274</v>
      </c>
      <c r="X21" s="272">
        <v>1111791</v>
      </c>
      <c r="Y21" s="272">
        <v>0</v>
      </c>
      <c r="Z21" s="272">
        <v>0</v>
      </c>
      <c r="AA21" s="272">
        <v>93200</v>
      </c>
      <c r="AB21" s="272">
        <v>203882</v>
      </c>
      <c r="AC21" s="272">
        <v>8023678</v>
      </c>
      <c r="AD21" s="272">
        <v>7598663</v>
      </c>
      <c r="AE21" s="272">
        <v>425015</v>
      </c>
      <c r="AF21" s="272">
        <v>21523</v>
      </c>
      <c r="AG21" s="272">
        <v>197959</v>
      </c>
      <c r="AH21" s="455">
        <f t="shared" si="3"/>
        <v>637996</v>
      </c>
      <c r="AI21" s="272">
        <v>493744</v>
      </c>
      <c r="AJ21" s="272">
        <v>144252</v>
      </c>
      <c r="AK21" s="272">
        <v>7891367</v>
      </c>
      <c r="AL21" s="455">
        <f t="shared" si="4"/>
        <v>4473993</v>
      </c>
      <c r="AM21" s="272">
        <v>3511572</v>
      </c>
      <c r="AN21" s="272">
        <v>341693</v>
      </c>
      <c r="AO21" s="272"/>
      <c r="AP21" s="272">
        <v>620728</v>
      </c>
      <c r="AQ21" s="272">
        <v>849224</v>
      </c>
      <c r="AR21" s="272">
        <v>0</v>
      </c>
      <c r="AS21" s="272">
        <v>0</v>
      </c>
      <c r="AT21" s="272">
        <v>2877717</v>
      </c>
      <c r="AU21" s="272">
        <v>1503429</v>
      </c>
      <c r="AV21" s="272">
        <v>170847</v>
      </c>
      <c r="AW21" s="272">
        <v>100272</v>
      </c>
      <c r="AX21" s="272">
        <v>1374288</v>
      </c>
      <c r="AY21" s="272">
        <v>90169</v>
      </c>
      <c r="AZ21" s="272">
        <v>83149</v>
      </c>
      <c r="BA21" s="272">
        <v>20210</v>
      </c>
      <c r="BB21" s="272">
        <v>6787</v>
      </c>
      <c r="BC21" s="272">
        <v>16210</v>
      </c>
      <c r="BD21" s="272">
        <v>0</v>
      </c>
      <c r="BE21" s="272">
        <v>0</v>
      </c>
      <c r="BF21" s="272">
        <v>12190</v>
      </c>
      <c r="BG21" s="272">
        <v>0</v>
      </c>
      <c r="BH21" s="272">
        <v>186099</v>
      </c>
      <c r="BI21" s="272">
        <v>153215</v>
      </c>
      <c r="BJ21" s="272">
        <v>475535</v>
      </c>
      <c r="BK21" s="272">
        <v>20054</v>
      </c>
      <c r="BL21" s="272">
        <v>0</v>
      </c>
      <c r="BM21" s="272">
        <v>0</v>
      </c>
      <c r="BN21" s="272">
        <v>4401800</v>
      </c>
      <c r="BO21" s="455">
        <f t="shared" si="5"/>
        <v>748100</v>
      </c>
      <c r="BP21" s="455">
        <f t="shared" si="6"/>
        <v>2409200</v>
      </c>
      <c r="BQ21" s="272"/>
      <c r="BR21" s="272">
        <v>42000</v>
      </c>
      <c r="BS21" s="272">
        <v>2367200</v>
      </c>
      <c r="BT21" s="272">
        <v>1244500</v>
      </c>
      <c r="BU21" s="272">
        <v>40228906</v>
      </c>
      <c r="BV21" s="272"/>
      <c r="BW21" s="272">
        <v>8816450</v>
      </c>
      <c r="BX21" s="272">
        <v>5343524</v>
      </c>
      <c r="BY21" s="272">
        <v>1678770</v>
      </c>
      <c r="BZ21" s="272">
        <v>393239</v>
      </c>
      <c r="CA21" s="272">
        <v>11401352</v>
      </c>
      <c r="CB21" s="272">
        <v>1654894</v>
      </c>
      <c r="CC21" s="272">
        <v>206558</v>
      </c>
      <c r="CD21" s="272">
        <v>4605218</v>
      </c>
      <c r="CE21" s="272">
        <v>4754635</v>
      </c>
      <c r="CF21" s="272">
        <v>3189</v>
      </c>
      <c r="CG21" s="272">
        <v>176353</v>
      </c>
      <c r="CH21" s="272">
        <v>3895333</v>
      </c>
      <c r="CI21" s="457" t="s">
        <v>646</v>
      </c>
      <c r="CJ21" s="458" t="s">
        <v>646</v>
      </c>
      <c r="CK21" s="272">
        <v>4655420</v>
      </c>
      <c r="CL21" s="272">
        <v>2955934</v>
      </c>
      <c r="CM21" s="272">
        <v>320379</v>
      </c>
      <c r="CN21" s="272">
        <v>806235</v>
      </c>
      <c r="CO21" s="272">
        <v>203769</v>
      </c>
      <c r="CP21" s="272">
        <v>2146705</v>
      </c>
      <c r="CQ21" s="272">
        <v>2569</v>
      </c>
      <c r="CR21" s="272">
        <v>882394</v>
      </c>
      <c r="CS21" s="272">
        <v>517314</v>
      </c>
      <c r="CT21" s="455">
        <f t="shared" si="7"/>
        <v>528043</v>
      </c>
      <c r="CU21" s="272">
        <v>9000</v>
      </c>
      <c r="CV21" s="272">
        <v>519043</v>
      </c>
      <c r="CW21" s="455">
        <f t="shared" si="8"/>
        <v>470566</v>
      </c>
      <c r="CX21" s="272">
        <v>0</v>
      </c>
      <c r="CY21" s="272">
        <v>470566</v>
      </c>
      <c r="CZ21" s="455">
        <f t="shared" si="9"/>
        <v>0</v>
      </c>
      <c r="DA21" s="272">
        <v>0</v>
      </c>
      <c r="DB21" s="272">
        <v>0</v>
      </c>
      <c r="DC21" s="272">
        <v>1978947</v>
      </c>
      <c r="DD21" s="272">
        <v>1301951</v>
      </c>
      <c r="DE21" s="272">
        <v>539203</v>
      </c>
      <c r="DF21" s="26">
        <v>0</v>
      </c>
      <c r="DG21" s="27">
        <v>137793</v>
      </c>
      <c r="DH21" s="272">
        <v>0</v>
      </c>
      <c r="DI21" s="272">
        <v>306860</v>
      </c>
      <c r="DJ21" s="272">
        <v>155897</v>
      </c>
      <c r="DK21" s="272">
        <v>9</v>
      </c>
      <c r="DL21" s="272">
        <v>150954</v>
      </c>
      <c r="DM21" s="272">
        <v>0</v>
      </c>
      <c r="DN21" s="272">
        <v>0</v>
      </c>
      <c r="DO21" s="272">
        <v>0</v>
      </c>
      <c r="DP21" s="272">
        <v>0</v>
      </c>
      <c r="DQ21" s="272">
        <v>20000</v>
      </c>
      <c r="DR21" s="272">
        <v>0</v>
      </c>
      <c r="DS21" s="272">
        <v>0</v>
      </c>
      <c r="DT21" s="272">
        <v>6036785</v>
      </c>
      <c r="DU21" s="272">
        <v>2500000</v>
      </c>
      <c r="DV21" s="455">
        <f t="shared" si="10"/>
        <v>0</v>
      </c>
      <c r="DW21" s="272">
        <v>0</v>
      </c>
      <c r="DX21" s="272">
        <v>1122354</v>
      </c>
      <c r="DY21" s="272">
        <v>0</v>
      </c>
      <c r="DZ21" s="272">
        <v>1269064</v>
      </c>
      <c r="EA21" s="272">
        <v>393</v>
      </c>
      <c r="EB21" s="272">
        <v>1144958</v>
      </c>
      <c r="EC21" s="272">
        <v>0</v>
      </c>
      <c r="ED21" s="272">
        <v>39461621</v>
      </c>
      <c r="EE21" s="89"/>
      <c r="EF21" s="272">
        <v>767285</v>
      </c>
      <c r="EG21" s="272">
        <v>41703</v>
      </c>
      <c r="EH21" s="272">
        <v>725582</v>
      </c>
      <c r="EI21" s="272">
        <v>572367</v>
      </c>
      <c r="EJ21" s="272">
        <v>728264</v>
      </c>
      <c r="EK21" s="89"/>
      <c r="EL21" s="272">
        <v>124594</v>
      </c>
      <c r="EM21" s="272">
        <v>124398</v>
      </c>
      <c r="EN21" s="272">
        <v>4020</v>
      </c>
      <c r="EO21" s="272">
        <v>81992</v>
      </c>
      <c r="EP21" s="455">
        <f t="shared" si="11"/>
        <v>800907</v>
      </c>
      <c r="EQ21" s="272">
        <v>23454287</v>
      </c>
      <c r="ER21" s="272">
        <v>-3274596</v>
      </c>
      <c r="ES21" s="272">
        <v>7029425</v>
      </c>
      <c r="ET21" s="272">
        <v>4973153</v>
      </c>
      <c r="EU21" s="272">
        <v>3410303</v>
      </c>
      <c r="EV21" s="272">
        <v>3895333</v>
      </c>
      <c r="EW21" s="455">
        <f t="shared" si="12"/>
        <v>210466</v>
      </c>
      <c r="EX21" s="272">
        <v>210466</v>
      </c>
      <c r="EY21" s="272">
        <v>53299</v>
      </c>
      <c r="EZ21" s="272">
        <v>157167</v>
      </c>
      <c r="FA21" s="272">
        <v>0</v>
      </c>
      <c r="FB21" s="272">
        <v>0</v>
      </c>
      <c r="FC21" s="272">
        <v>3982767</v>
      </c>
      <c r="FD21" s="272">
        <v>1619923</v>
      </c>
      <c r="FE21" s="272">
        <v>2569</v>
      </c>
      <c r="FF21" s="272">
        <v>5312721</v>
      </c>
      <c r="FG21" s="455">
        <f t="shared" si="13"/>
        <v>500660</v>
      </c>
      <c r="FH21" s="272">
        <v>25961598</v>
      </c>
      <c r="FI21" s="459">
        <f t="shared" si="14"/>
        <v>3</v>
      </c>
      <c r="FJ21" s="272">
        <v>21482637</v>
      </c>
      <c r="FK21" s="272">
        <v>2367312</v>
      </c>
      <c r="FL21" s="272">
        <v>10764104</v>
      </c>
      <c r="FM21" s="272">
        <v>18362767</v>
      </c>
      <c r="FN21" s="460">
        <v>0.61399999999999999</v>
      </c>
      <c r="FO21" s="388">
        <v>97.4</v>
      </c>
      <c r="FP21" s="388">
        <v>28.3</v>
      </c>
      <c r="FQ21" s="388">
        <v>14</v>
      </c>
      <c r="FR21" s="388">
        <v>16</v>
      </c>
      <c r="FS21" s="388">
        <v>15.9</v>
      </c>
      <c r="FT21" s="388">
        <v>4.2</v>
      </c>
      <c r="FU21" s="388">
        <v>18.2</v>
      </c>
      <c r="FV21" s="384">
        <f t="shared" si="15"/>
        <v>7.6</v>
      </c>
      <c r="FW21" s="272">
        <v>38322732</v>
      </c>
      <c r="FX21" s="384">
        <f t="shared" si="16"/>
        <v>160.69999999999999</v>
      </c>
      <c r="FY21" s="272">
        <v>1278595</v>
      </c>
      <c r="FZ21" s="272">
        <v>405447</v>
      </c>
      <c r="GA21" s="272">
        <v>21232</v>
      </c>
      <c r="GB21" s="272">
        <v>851916</v>
      </c>
      <c r="GC21" s="272">
        <v>0</v>
      </c>
      <c r="GD21" s="272">
        <v>1078716</v>
      </c>
      <c r="GE21" s="384">
        <f t="shared" ref="GE21:GE35" si="19">ROUND(GD21/(FJ21+FK21)*100,1)</f>
        <v>4.5</v>
      </c>
      <c r="GF21" s="388">
        <v>97.9</v>
      </c>
      <c r="GG21" s="388">
        <v>28.5</v>
      </c>
      <c r="GH21" s="388">
        <v>93.5</v>
      </c>
      <c r="GI21" s="272">
        <v>776</v>
      </c>
      <c r="GJ21" s="461" t="s">
        <v>646</v>
      </c>
      <c r="GK21" s="461">
        <v>12.16</v>
      </c>
      <c r="GL21" s="462">
        <v>20</v>
      </c>
      <c r="GM21" s="461" t="s">
        <v>646</v>
      </c>
      <c r="GN21" s="462">
        <v>17.16</v>
      </c>
      <c r="GO21" s="462">
        <v>35</v>
      </c>
      <c r="GP21" s="463">
        <v>7.6</v>
      </c>
      <c r="GQ21" s="463">
        <v>25</v>
      </c>
      <c r="GR21" s="463">
        <v>35</v>
      </c>
      <c r="GS21" s="464">
        <v>115.9</v>
      </c>
      <c r="GT21" s="463">
        <v>350</v>
      </c>
      <c r="GU21" s="394"/>
      <c r="GV21" s="394"/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</row>
    <row r="22" spans="2:230" x14ac:dyDescent="0.15">
      <c r="B22" s="89" t="s">
        <v>37</v>
      </c>
      <c r="C22" s="272">
        <v>16844442</v>
      </c>
      <c r="D22" s="455">
        <f t="shared" si="0"/>
        <v>5436841</v>
      </c>
      <c r="E22" s="272">
        <v>162016</v>
      </c>
      <c r="F22" s="456">
        <v>5274825</v>
      </c>
      <c r="G22" s="455">
        <f t="shared" si="1"/>
        <v>1141118</v>
      </c>
      <c r="H22" s="272">
        <v>359453</v>
      </c>
      <c r="I22" s="272">
        <v>781665</v>
      </c>
      <c r="J22" s="272">
        <v>7752683</v>
      </c>
      <c r="K22" s="272">
        <v>3475925</v>
      </c>
      <c r="L22" s="272">
        <v>3202182</v>
      </c>
      <c r="M22" s="272">
        <v>928512</v>
      </c>
      <c r="N22" s="272">
        <v>793036</v>
      </c>
      <c r="O22" s="272">
        <v>1608613</v>
      </c>
      <c r="P22" s="272">
        <v>910153</v>
      </c>
      <c r="Q22" s="272">
        <v>698460</v>
      </c>
      <c r="R22" s="272">
        <v>219584</v>
      </c>
      <c r="S22" s="272"/>
      <c r="T22" s="455">
        <f t="shared" si="2"/>
        <v>1494138</v>
      </c>
      <c r="U22" s="272">
        <v>81151</v>
      </c>
      <c r="V22" s="272">
        <v>38554</v>
      </c>
      <c r="W22" s="456">
        <v>13070</v>
      </c>
      <c r="X22" s="272">
        <v>1232372</v>
      </c>
      <c r="Y22" s="272">
        <v>30971</v>
      </c>
      <c r="Z22" s="272">
        <v>0</v>
      </c>
      <c r="AA22" s="272">
        <v>98020</v>
      </c>
      <c r="AB22" s="272">
        <v>219142</v>
      </c>
      <c r="AC22" s="272">
        <v>3780543</v>
      </c>
      <c r="AD22" s="272">
        <v>3454642</v>
      </c>
      <c r="AE22" s="272">
        <v>325901</v>
      </c>
      <c r="AF22" s="272">
        <v>20508</v>
      </c>
      <c r="AG22" s="272">
        <v>352147</v>
      </c>
      <c r="AH22" s="455">
        <f t="shared" si="3"/>
        <v>812966</v>
      </c>
      <c r="AI22" s="272">
        <v>423388</v>
      </c>
      <c r="AJ22" s="272">
        <v>389578</v>
      </c>
      <c r="AK22" s="272">
        <v>6129184</v>
      </c>
      <c r="AL22" s="455">
        <f t="shared" si="4"/>
        <v>2849090</v>
      </c>
      <c r="AM22" s="272">
        <v>1663908</v>
      </c>
      <c r="AN22" s="272">
        <v>582948</v>
      </c>
      <c r="AO22" s="272"/>
      <c r="AP22" s="272">
        <v>602234</v>
      </c>
      <c r="AQ22" s="272">
        <v>599078</v>
      </c>
      <c r="AR22" s="272">
        <v>0</v>
      </c>
      <c r="AS22" s="272">
        <v>0</v>
      </c>
      <c r="AT22" s="272">
        <v>2775609</v>
      </c>
      <c r="AU22" s="272">
        <v>1609203</v>
      </c>
      <c r="AV22" s="272">
        <v>291474</v>
      </c>
      <c r="AW22" s="272">
        <v>72442</v>
      </c>
      <c r="AX22" s="272">
        <v>1166406</v>
      </c>
      <c r="AY22" s="272">
        <v>61412</v>
      </c>
      <c r="AZ22" s="272">
        <v>97725</v>
      </c>
      <c r="BA22" s="272">
        <v>62080</v>
      </c>
      <c r="BB22" s="272">
        <v>4880</v>
      </c>
      <c r="BC22" s="272">
        <v>58555</v>
      </c>
      <c r="BD22" s="272">
        <v>0</v>
      </c>
      <c r="BE22" s="272">
        <v>0</v>
      </c>
      <c r="BF22" s="272">
        <v>58555</v>
      </c>
      <c r="BG22" s="272">
        <v>0</v>
      </c>
      <c r="BH22" s="272">
        <v>575620</v>
      </c>
      <c r="BI22" s="272">
        <v>387048</v>
      </c>
      <c r="BJ22" s="272">
        <v>3854970</v>
      </c>
      <c r="BK22" s="272">
        <v>3006738</v>
      </c>
      <c r="BL22" s="272">
        <v>0</v>
      </c>
      <c r="BM22" s="272">
        <v>0</v>
      </c>
      <c r="BN22" s="272">
        <v>3817301</v>
      </c>
      <c r="BO22" s="455">
        <f t="shared" si="5"/>
        <v>1240200</v>
      </c>
      <c r="BP22" s="455">
        <f t="shared" si="6"/>
        <v>2577101</v>
      </c>
      <c r="BQ22" s="272"/>
      <c r="BR22" s="272">
        <v>0</v>
      </c>
      <c r="BS22" s="272">
        <v>2577101</v>
      </c>
      <c r="BT22" s="272">
        <v>0</v>
      </c>
      <c r="BU22" s="272">
        <v>41057314</v>
      </c>
      <c r="BV22" s="272"/>
      <c r="BW22" s="272">
        <v>7481340</v>
      </c>
      <c r="BX22" s="272">
        <v>4588990</v>
      </c>
      <c r="BY22" s="272">
        <v>1470922</v>
      </c>
      <c r="BZ22" s="272">
        <v>247679</v>
      </c>
      <c r="CA22" s="272">
        <v>9454523</v>
      </c>
      <c r="CB22" s="272">
        <v>1465624</v>
      </c>
      <c r="CC22" s="272">
        <v>189712</v>
      </c>
      <c r="CD22" s="272">
        <v>5398751</v>
      </c>
      <c r="CE22" s="272">
        <v>2189713</v>
      </c>
      <c r="CF22" s="272">
        <v>0</v>
      </c>
      <c r="CG22" s="272">
        <v>210373</v>
      </c>
      <c r="CH22" s="272">
        <v>3143974</v>
      </c>
      <c r="CI22" s="457" t="s">
        <v>646</v>
      </c>
      <c r="CJ22" s="458" t="s">
        <v>646</v>
      </c>
      <c r="CK22" s="272">
        <v>4892092</v>
      </c>
      <c r="CL22" s="272">
        <v>3255391</v>
      </c>
      <c r="CM22" s="272">
        <v>213356</v>
      </c>
      <c r="CN22" s="272">
        <v>771914</v>
      </c>
      <c r="CO22" s="272">
        <v>169305</v>
      </c>
      <c r="CP22" s="272">
        <v>2061129</v>
      </c>
      <c r="CQ22" s="272">
        <v>697732</v>
      </c>
      <c r="CR22" s="272">
        <v>766700</v>
      </c>
      <c r="CS22" s="272">
        <v>155245</v>
      </c>
      <c r="CT22" s="455">
        <f t="shared" si="7"/>
        <v>15024</v>
      </c>
      <c r="CU22" s="272">
        <v>15024</v>
      </c>
      <c r="CV22" s="272">
        <v>0</v>
      </c>
      <c r="CW22" s="455">
        <f t="shared" si="8"/>
        <v>0</v>
      </c>
      <c r="CX22" s="272">
        <v>0</v>
      </c>
      <c r="CY22" s="272">
        <v>0</v>
      </c>
      <c r="CZ22" s="455">
        <f t="shared" si="9"/>
        <v>0</v>
      </c>
      <c r="DA22" s="272">
        <v>0</v>
      </c>
      <c r="DB22" s="272">
        <v>0</v>
      </c>
      <c r="DC22" s="272">
        <v>2711340</v>
      </c>
      <c r="DD22" s="272">
        <v>1377467</v>
      </c>
      <c r="DE22" s="272">
        <v>1333873</v>
      </c>
      <c r="DF22" s="26">
        <v>0</v>
      </c>
      <c r="DG22" s="27">
        <v>0</v>
      </c>
      <c r="DH22" s="272">
        <v>0</v>
      </c>
      <c r="DI22" s="272">
        <v>2168462</v>
      </c>
      <c r="DJ22" s="272">
        <v>765295</v>
      </c>
      <c r="DK22" s="272">
        <v>869164</v>
      </c>
      <c r="DL22" s="272">
        <v>534003</v>
      </c>
      <c r="DM22" s="272">
        <v>0</v>
      </c>
      <c r="DN22" s="272">
        <v>0</v>
      </c>
      <c r="DO22" s="272">
        <v>0</v>
      </c>
      <c r="DP22" s="272">
        <v>0</v>
      </c>
      <c r="DQ22" s="272">
        <v>3112026</v>
      </c>
      <c r="DR22" s="272">
        <v>0</v>
      </c>
      <c r="DS22" s="272">
        <v>0</v>
      </c>
      <c r="DT22" s="272">
        <v>5162839</v>
      </c>
      <c r="DU22" s="272">
        <v>1926108</v>
      </c>
      <c r="DV22" s="455">
        <f t="shared" si="10"/>
        <v>0</v>
      </c>
      <c r="DW22" s="272">
        <v>0</v>
      </c>
      <c r="DX22" s="272">
        <v>884733</v>
      </c>
      <c r="DY22" s="272">
        <v>0</v>
      </c>
      <c r="DZ22" s="272">
        <v>1407806</v>
      </c>
      <c r="EA22" s="272">
        <v>451</v>
      </c>
      <c r="EB22" s="272">
        <v>923298</v>
      </c>
      <c r="EC22" s="272">
        <v>0</v>
      </c>
      <c r="ED22" s="272">
        <v>40357030</v>
      </c>
      <c r="EE22" s="89"/>
      <c r="EF22" s="272">
        <v>700284</v>
      </c>
      <c r="EG22" s="272">
        <v>296686</v>
      </c>
      <c r="EH22" s="272">
        <v>403598</v>
      </c>
      <c r="EI22" s="272">
        <v>16550</v>
      </c>
      <c r="EJ22" s="272">
        <v>781845</v>
      </c>
      <c r="EK22" s="89"/>
      <c r="EL22" s="272">
        <v>127534</v>
      </c>
      <c r="EM22" s="272">
        <v>124275</v>
      </c>
      <c r="EN22" s="272">
        <v>0</v>
      </c>
      <c r="EO22" s="272">
        <v>79709</v>
      </c>
      <c r="EP22" s="455">
        <f t="shared" si="11"/>
        <v>1557730</v>
      </c>
      <c r="EQ22" s="272">
        <v>22578357</v>
      </c>
      <c r="ER22" s="272">
        <v>-4194032</v>
      </c>
      <c r="ES22" s="272">
        <v>6873298</v>
      </c>
      <c r="ET22" s="272">
        <v>4033877</v>
      </c>
      <c r="EU22" s="272">
        <v>2782294</v>
      </c>
      <c r="EV22" s="272">
        <v>3073336</v>
      </c>
      <c r="EW22" s="455">
        <f t="shared" si="12"/>
        <v>845555</v>
      </c>
      <c r="EX22" s="272">
        <v>845555</v>
      </c>
      <c r="EY22" s="272">
        <v>155215</v>
      </c>
      <c r="EZ22" s="272">
        <v>690340</v>
      </c>
      <c r="FA22" s="272">
        <v>0</v>
      </c>
      <c r="FB22" s="272">
        <v>0</v>
      </c>
      <c r="FC22" s="272">
        <v>3857634</v>
      </c>
      <c r="FD22" s="272">
        <v>1865991</v>
      </c>
      <c r="FE22" s="272">
        <v>697732</v>
      </c>
      <c r="FF22" s="272">
        <v>4470858</v>
      </c>
      <c r="FG22" s="455">
        <f t="shared" si="13"/>
        <v>2303139</v>
      </c>
      <c r="FH22" s="272">
        <v>26072105</v>
      </c>
      <c r="FI22" s="459">
        <f t="shared" si="14"/>
        <v>1.8</v>
      </c>
      <c r="FJ22" s="272">
        <v>20132860</v>
      </c>
      <c r="FK22" s="272">
        <v>2577101</v>
      </c>
      <c r="FL22" s="272">
        <v>12897080</v>
      </c>
      <c r="FM22" s="272">
        <v>16351722</v>
      </c>
      <c r="FN22" s="460">
        <v>0.86099999999999999</v>
      </c>
      <c r="FO22" s="388">
        <v>92.2</v>
      </c>
      <c r="FP22" s="388">
        <v>28</v>
      </c>
      <c r="FQ22" s="388">
        <v>11.8</v>
      </c>
      <c r="FR22" s="388">
        <v>13.1</v>
      </c>
      <c r="FS22" s="388">
        <v>15.3</v>
      </c>
      <c r="FT22" s="388">
        <v>6.1</v>
      </c>
      <c r="FU22" s="388">
        <v>17.3</v>
      </c>
      <c r="FV22" s="384">
        <f t="shared" si="15"/>
        <v>3.5</v>
      </c>
      <c r="FW22" s="272">
        <v>34747872</v>
      </c>
      <c r="FX22" s="384">
        <f t="shared" si="16"/>
        <v>153</v>
      </c>
      <c r="FY22" s="272">
        <v>10182977</v>
      </c>
      <c r="FZ22" s="272">
        <v>5429106</v>
      </c>
      <c r="GA22" s="272">
        <v>1404042</v>
      </c>
      <c r="GB22" s="272">
        <v>3349829</v>
      </c>
      <c r="GC22" s="272">
        <v>5164881</v>
      </c>
      <c r="GD22" s="272">
        <v>5167085</v>
      </c>
      <c r="GE22" s="384">
        <f t="shared" si="19"/>
        <v>22.8</v>
      </c>
      <c r="GF22" s="388">
        <v>97.9</v>
      </c>
      <c r="GG22" s="388">
        <v>23.1</v>
      </c>
      <c r="GH22" s="388">
        <v>93.1</v>
      </c>
      <c r="GI22" s="272">
        <v>695</v>
      </c>
      <c r="GJ22" s="461" t="s">
        <v>646</v>
      </c>
      <c r="GK22" s="461">
        <v>12.25</v>
      </c>
      <c r="GL22" s="462">
        <v>20</v>
      </c>
      <c r="GM22" s="461" t="s">
        <v>646</v>
      </c>
      <c r="GN22" s="462">
        <v>17.25</v>
      </c>
      <c r="GO22" s="462">
        <v>35</v>
      </c>
      <c r="GP22" s="463">
        <v>3.5</v>
      </c>
      <c r="GQ22" s="463">
        <v>25</v>
      </c>
      <c r="GR22" s="463">
        <v>35</v>
      </c>
      <c r="GS22" s="464">
        <v>33.6</v>
      </c>
      <c r="GT22" s="463">
        <v>350</v>
      </c>
      <c r="GU22" s="394"/>
      <c r="GV22" s="394"/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</row>
    <row r="23" spans="2:230" x14ac:dyDescent="0.15">
      <c r="B23" s="89" t="s">
        <v>39</v>
      </c>
      <c r="C23" s="272">
        <v>21750395</v>
      </c>
      <c r="D23" s="455">
        <f t="shared" si="0"/>
        <v>8652194</v>
      </c>
      <c r="E23" s="272">
        <v>225415</v>
      </c>
      <c r="F23" s="456">
        <v>8426779</v>
      </c>
      <c r="G23" s="455">
        <f t="shared" si="1"/>
        <v>1105062</v>
      </c>
      <c r="H23" s="272">
        <v>373509</v>
      </c>
      <c r="I23" s="272">
        <v>731553</v>
      </c>
      <c r="J23" s="272">
        <v>8974645</v>
      </c>
      <c r="K23" s="272">
        <v>3656615</v>
      </c>
      <c r="L23" s="272">
        <v>4323109</v>
      </c>
      <c r="M23" s="272">
        <v>921911</v>
      </c>
      <c r="N23" s="272">
        <v>905406</v>
      </c>
      <c r="O23" s="272">
        <v>1874614</v>
      </c>
      <c r="P23" s="272">
        <v>979570</v>
      </c>
      <c r="Q23" s="272">
        <v>895044</v>
      </c>
      <c r="R23" s="272">
        <v>349680</v>
      </c>
      <c r="S23" s="272"/>
      <c r="T23" s="455">
        <f t="shared" si="2"/>
        <v>1868359</v>
      </c>
      <c r="U23" s="272">
        <v>123302</v>
      </c>
      <c r="V23" s="272">
        <v>58615</v>
      </c>
      <c r="W23" s="456">
        <v>19910</v>
      </c>
      <c r="X23" s="272">
        <v>1473507</v>
      </c>
      <c r="Y23" s="272">
        <v>36897</v>
      </c>
      <c r="Z23" s="272">
        <v>0</v>
      </c>
      <c r="AA23" s="272">
        <v>156128</v>
      </c>
      <c r="AB23" s="272">
        <v>427932</v>
      </c>
      <c r="AC23" s="272">
        <v>8201494</v>
      </c>
      <c r="AD23" s="272">
        <v>7394676</v>
      </c>
      <c r="AE23" s="272">
        <v>806818</v>
      </c>
      <c r="AF23" s="272">
        <v>26744</v>
      </c>
      <c r="AG23" s="272">
        <v>488656</v>
      </c>
      <c r="AH23" s="455">
        <f t="shared" si="3"/>
        <v>1583124</v>
      </c>
      <c r="AI23" s="272">
        <v>1484911</v>
      </c>
      <c r="AJ23" s="272">
        <v>98213</v>
      </c>
      <c r="AK23" s="272">
        <v>12837890</v>
      </c>
      <c r="AL23" s="455">
        <f t="shared" si="4"/>
        <v>6098584</v>
      </c>
      <c r="AM23" s="272">
        <v>4937231</v>
      </c>
      <c r="AN23" s="272">
        <v>408620</v>
      </c>
      <c r="AO23" s="272"/>
      <c r="AP23" s="272">
        <v>752733</v>
      </c>
      <c r="AQ23" s="272">
        <v>1819287</v>
      </c>
      <c r="AR23" s="272">
        <v>0</v>
      </c>
      <c r="AS23" s="272">
        <v>245509</v>
      </c>
      <c r="AT23" s="272">
        <v>3413202</v>
      </c>
      <c r="AU23" s="272">
        <v>1886684</v>
      </c>
      <c r="AV23" s="272">
        <v>204310</v>
      </c>
      <c r="AW23" s="272">
        <v>62270</v>
      </c>
      <c r="AX23" s="272">
        <v>1526518</v>
      </c>
      <c r="AY23" s="272">
        <v>14864</v>
      </c>
      <c r="AZ23" s="272">
        <v>62297</v>
      </c>
      <c r="BA23" s="272">
        <v>22772</v>
      </c>
      <c r="BB23" s="272">
        <v>30592</v>
      </c>
      <c r="BC23" s="272">
        <v>971788</v>
      </c>
      <c r="BD23" s="272">
        <v>150000</v>
      </c>
      <c r="BE23" s="272">
        <v>0</v>
      </c>
      <c r="BF23" s="272">
        <v>216043</v>
      </c>
      <c r="BG23" s="272">
        <v>0</v>
      </c>
      <c r="BH23" s="272">
        <v>220856</v>
      </c>
      <c r="BI23" s="272">
        <v>69996</v>
      </c>
      <c r="BJ23" s="272">
        <v>590176</v>
      </c>
      <c r="BK23" s="272">
        <v>10282</v>
      </c>
      <c r="BL23" s="272">
        <v>0</v>
      </c>
      <c r="BM23" s="272">
        <v>0</v>
      </c>
      <c r="BN23" s="272">
        <v>5349600</v>
      </c>
      <c r="BO23" s="455">
        <f t="shared" si="5"/>
        <v>2150100</v>
      </c>
      <c r="BP23" s="455">
        <f t="shared" si="6"/>
        <v>3199500</v>
      </c>
      <c r="BQ23" s="272"/>
      <c r="BR23" s="272">
        <v>0</v>
      </c>
      <c r="BS23" s="272">
        <v>3199500</v>
      </c>
      <c r="BT23" s="272">
        <v>0</v>
      </c>
      <c r="BU23" s="272">
        <v>58418294</v>
      </c>
      <c r="BV23" s="272"/>
      <c r="BW23" s="272">
        <v>10977915</v>
      </c>
      <c r="BX23" s="272">
        <v>6797390</v>
      </c>
      <c r="BY23" s="272">
        <v>1431263</v>
      </c>
      <c r="BZ23" s="272">
        <v>962353</v>
      </c>
      <c r="CA23" s="272">
        <v>17087915</v>
      </c>
      <c r="CB23" s="272">
        <v>2452310</v>
      </c>
      <c r="CC23" s="272">
        <v>324553</v>
      </c>
      <c r="CD23" s="272">
        <v>7147522</v>
      </c>
      <c r="CE23" s="272">
        <v>6833604</v>
      </c>
      <c r="CF23" s="272">
        <v>16265</v>
      </c>
      <c r="CG23" s="272">
        <v>313141</v>
      </c>
      <c r="CH23" s="272">
        <v>5537548</v>
      </c>
      <c r="CI23" s="457" t="s">
        <v>646</v>
      </c>
      <c r="CJ23" s="458" t="s">
        <v>646</v>
      </c>
      <c r="CK23" s="272">
        <v>6342032</v>
      </c>
      <c r="CL23" s="272">
        <v>4023981</v>
      </c>
      <c r="CM23" s="272">
        <v>405716</v>
      </c>
      <c r="CN23" s="272">
        <v>941809</v>
      </c>
      <c r="CO23" s="272">
        <v>362658</v>
      </c>
      <c r="CP23" s="272">
        <v>4356201</v>
      </c>
      <c r="CQ23" s="272">
        <v>1378572</v>
      </c>
      <c r="CR23" s="272">
        <v>1500155</v>
      </c>
      <c r="CS23" s="272">
        <v>1138484</v>
      </c>
      <c r="CT23" s="455">
        <f t="shared" si="7"/>
        <v>737252</v>
      </c>
      <c r="CU23" s="272">
        <v>20000</v>
      </c>
      <c r="CV23" s="272">
        <v>717252</v>
      </c>
      <c r="CW23" s="455">
        <f t="shared" si="8"/>
        <v>697252</v>
      </c>
      <c r="CX23" s="272">
        <v>0</v>
      </c>
      <c r="CY23" s="272">
        <v>697252</v>
      </c>
      <c r="CZ23" s="455">
        <f t="shared" si="9"/>
        <v>0</v>
      </c>
      <c r="DA23" s="272">
        <v>0</v>
      </c>
      <c r="DB23" s="272">
        <v>0</v>
      </c>
      <c r="DC23" s="272">
        <v>6858022</v>
      </c>
      <c r="DD23" s="272">
        <v>3770897</v>
      </c>
      <c r="DE23" s="272">
        <v>3081860</v>
      </c>
      <c r="DF23" s="26">
        <v>5265</v>
      </c>
      <c r="DG23" s="27">
        <v>0</v>
      </c>
      <c r="DH23" s="272">
        <v>2998</v>
      </c>
      <c r="DI23" s="272">
        <v>56571</v>
      </c>
      <c r="DJ23" s="272">
        <v>43650</v>
      </c>
      <c r="DK23" s="272">
        <v>90</v>
      </c>
      <c r="DL23" s="272">
        <v>12831</v>
      </c>
      <c r="DM23" s="272">
        <v>0</v>
      </c>
      <c r="DN23" s="272">
        <v>0</v>
      </c>
      <c r="DO23" s="272">
        <v>0</v>
      </c>
      <c r="DP23" s="272">
        <v>0</v>
      </c>
      <c r="DQ23" s="272">
        <v>722000</v>
      </c>
      <c r="DR23" s="272">
        <v>600000</v>
      </c>
      <c r="DS23" s="272">
        <v>600000</v>
      </c>
      <c r="DT23" s="272">
        <v>5919555</v>
      </c>
      <c r="DU23" s="272">
        <v>837871</v>
      </c>
      <c r="DV23" s="455">
        <f t="shared" si="10"/>
        <v>967533</v>
      </c>
      <c r="DW23" s="272">
        <v>967533</v>
      </c>
      <c r="DX23" s="272">
        <v>1396122</v>
      </c>
      <c r="DY23" s="272">
        <v>0</v>
      </c>
      <c r="DZ23" s="272">
        <v>1448293</v>
      </c>
      <c r="EA23" s="272">
        <v>8286</v>
      </c>
      <c r="EB23" s="272">
        <v>1261425</v>
      </c>
      <c r="EC23" s="272">
        <v>0</v>
      </c>
      <c r="ED23" s="272">
        <v>58223415</v>
      </c>
      <c r="EE23" s="89"/>
      <c r="EF23" s="272">
        <v>194879</v>
      </c>
      <c r="EG23" s="272">
        <v>111208</v>
      </c>
      <c r="EH23" s="272">
        <v>83671</v>
      </c>
      <c r="EI23" s="272">
        <v>13675</v>
      </c>
      <c r="EJ23" s="272">
        <v>114311</v>
      </c>
      <c r="EK23" s="89"/>
      <c r="EL23" s="272">
        <v>184988</v>
      </c>
      <c r="EM23" s="272">
        <v>185025</v>
      </c>
      <c r="EN23" s="272">
        <v>755745</v>
      </c>
      <c r="EO23" s="272">
        <v>57161</v>
      </c>
      <c r="EP23" s="455">
        <f t="shared" si="11"/>
        <v>1489693</v>
      </c>
      <c r="EQ23" s="272">
        <v>32870113</v>
      </c>
      <c r="ER23" s="272">
        <v>-5229846</v>
      </c>
      <c r="ES23" s="272">
        <v>10063398</v>
      </c>
      <c r="ET23" s="272">
        <v>6097087</v>
      </c>
      <c r="EU23" s="272">
        <v>5277614</v>
      </c>
      <c r="EV23" s="272">
        <v>5299768</v>
      </c>
      <c r="EW23" s="455">
        <f t="shared" si="12"/>
        <v>2410843</v>
      </c>
      <c r="EX23" s="272">
        <v>2410776</v>
      </c>
      <c r="EY23" s="272">
        <v>345501</v>
      </c>
      <c r="EZ23" s="272">
        <v>2064210</v>
      </c>
      <c r="FA23" s="272">
        <v>67</v>
      </c>
      <c r="FB23" s="272">
        <v>0</v>
      </c>
      <c r="FC23" s="272">
        <v>5074553</v>
      </c>
      <c r="FD23" s="272">
        <v>4056393</v>
      </c>
      <c r="FE23" s="272">
        <v>1378572</v>
      </c>
      <c r="FF23" s="272">
        <v>4642782</v>
      </c>
      <c r="FG23" s="455">
        <f t="shared" si="13"/>
        <v>1079729</v>
      </c>
      <c r="FH23" s="272">
        <v>37905080</v>
      </c>
      <c r="FI23" s="459">
        <f t="shared" si="14"/>
        <v>0.3</v>
      </c>
      <c r="FJ23" s="272">
        <v>29087481</v>
      </c>
      <c r="FK23" s="272">
        <v>3199632</v>
      </c>
      <c r="FL23" s="272">
        <v>16771178</v>
      </c>
      <c r="FM23" s="272">
        <v>24172837</v>
      </c>
      <c r="FN23" s="460">
        <v>0.72199999999999998</v>
      </c>
      <c r="FO23" s="388">
        <v>96.1</v>
      </c>
      <c r="FP23" s="388">
        <v>28.1</v>
      </c>
      <c r="FQ23" s="388">
        <v>15.7</v>
      </c>
      <c r="FR23" s="388">
        <v>15.2</v>
      </c>
      <c r="FS23" s="388">
        <v>14.3</v>
      </c>
      <c r="FT23" s="388">
        <v>10.8</v>
      </c>
      <c r="FU23" s="388">
        <v>10.9</v>
      </c>
      <c r="FV23" s="384">
        <f t="shared" si="15"/>
        <v>5.7</v>
      </c>
      <c r="FW23" s="272">
        <v>49777425</v>
      </c>
      <c r="FX23" s="384">
        <f t="shared" si="16"/>
        <v>154.19999999999999</v>
      </c>
      <c r="FY23" s="272">
        <v>5798785</v>
      </c>
      <c r="FZ23" s="272">
        <v>3059500</v>
      </c>
      <c r="GA23" s="272">
        <v>68300</v>
      </c>
      <c r="GB23" s="272">
        <v>2670985</v>
      </c>
      <c r="GC23" s="272">
        <v>0</v>
      </c>
      <c r="GD23" s="272">
        <v>5172834</v>
      </c>
      <c r="GE23" s="384">
        <f t="shared" si="19"/>
        <v>16</v>
      </c>
      <c r="GF23" s="388">
        <v>98.2</v>
      </c>
      <c r="GG23" s="388">
        <v>24.8</v>
      </c>
      <c r="GH23" s="388">
        <v>93.9</v>
      </c>
      <c r="GI23" s="272">
        <v>1071</v>
      </c>
      <c r="GJ23" s="461" t="s">
        <v>646</v>
      </c>
      <c r="GK23" s="461">
        <v>11.71</v>
      </c>
      <c r="GL23" s="462">
        <v>20</v>
      </c>
      <c r="GM23" s="461" t="s">
        <v>646</v>
      </c>
      <c r="GN23" s="462">
        <v>16.71</v>
      </c>
      <c r="GO23" s="462">
        <v>35</v>
      </c>
      <c r="GP23" s="463">
        <v>5.7</v>
      </c>
      <c r="GQ23" s="463">
        <v>25</v>
      </c>
      <c r="GR23" s="463">
        <v>35</v>
      </c>
      <c r="GS23" s="464">
        <v>68.2</v>
      </c>
      <c r="GT23" s="463">
        <v>350</v>
      </c>
      <c r="GU23" s="394"/>
      <c r="GV23" s="394"/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</row>
    <row r="24" spans="2:230" x14ac:dyDescent="0.15">
      <c r="B24" s="89" t="s">
        <v>41</v>
      </c>
      <c r="C24" s="272">
        <v>22262151</v>
      </c>
      <c r="D24" s="455">
        <f t="shared" si="0"/>
        <v>9534389</v>
      </c>
      <c r="E24" s="272">
        <v>174026</v>
      </c>
      <c r="F24" s="456">
        <v>9360363</v>
      </c>
      <c r="G24" s="455">
        <f t="shared" si="1"/>
        <v>1104644</v>
      </c>
      <c r="H24" s="272">
        <v>357907</v>
      </c>
      <c r="I24" s="272">
        <v>746737</v>
      </c>
      <c r="J24" s="272">
        <v>8708303</v>
      </c>
      <c r="K24" s="272">
        <v>4109535</v>
      </c>
      <c r="L24" s="272">
        <v>3774691</v>
      </c>
      <c r="M24" s="272">
        <v>716098</v>
      </c>
      <c r="N24" s="272">
        <v>740485</v>
      </c>
      <c r="O24" s="272">
        <v>2081080</v>
      </c>
      <c r="P24" s="272">
        <v>1252202</v>
      </c>
      <c r="Q24" s="272">
        <v>828878</v>
      </c>
      <c r="R24" s="272">
        <v>271540</v>
      </c>
      <c r="S24" s="272"/>
      <c r="T24" s="455">
        <f t="shared" si="2"/>
        <v>1456826</v>
      </c>
      <c r="U24" s="272">
        <v>140917</v>
      </c>
      <c r="V24" s="272">
        <v>66793</v>
      </c>
      <c r="W24" s="456">
        <v>22475</v>
      </c>
      <c r="X24" s="272">
        <v>1103283</v>
      </c>
      <c r="Y24" s="272">
        <v>1907</v>
      </c>
      <c r="Z24" s="272">
        <v>219</v>
      </c>
      <c r="AA24" s="272">
        <v>121232</v>
      </c>
      <c r="AB24" s="272">
        <v>332167</v>
      </c>
      <c r="AC24" s="272">
        <v>727322</v>
      </c>
      <c r="AD24" s="272">
        <v>580609</v>
      </c>
      <c r="AE24" s="272">
        <v>146713</v>
      </c>
      <c r="AF24" s="272">
        <v>24720</v>
      </c>
      <c r="AG24" s="272">
        <v>269639</v>
      </c>
      <c r="AH24" s="455">
        <f t="shared" si="3"/>
        <v>954386</v>
      </c>
      <c r="AI24" s="272">
        <v>704587</v>
      </c>
      <c r="AJ24" s="272">
        <v>249799</v>
      </c>
      <c r="AK24" s="272">
        <v>8871682</v>
      </c>
      <c r="AL24" s="455">
        <f t="shared" si="4"/>
        <v>2085739</v>
      </c>
      <c r="AM24" s="272">
        <v>1165956</v>
      </c>
      <c r="AN24" s="272">
        <v>352325</v>
      </c>
      <c r="AO24" s="272"/>
      <c r="AP24" s="272">
        <v>567458</v>
      </c>
      <c r="AQ24" s="272">
        <v>3875506</v>
      </c>
      <c r="AR24" s="272">
        <v>0</v>
      </c>
      <c r="AS24" s="272">
        <v>0</v>
      </c>
      <c r="AT24" s="272">
        <v>2620936</v>
      </c>
      <c r="AU24" s="272">
        <v>1517874</v>
      </c>
      <c r="AV24" s="272">
        <v>114016</v>
      </c>
      <c r="AW24" s="272">
        <v>286580</v>
      </c>
      <c r="AX24" s="272">
        <v>1103062</v>
      </c>
      <c r="AY24" s="272">
        <v>26750</v>
      </c>
      <c r="AZ24" s="272">
        <v>171918</v>
      </c>
      <c r="BA24" s="272">
        <v>18906</v>
      </c>
      <c r="BB24" s="272">
        <v>7504</v>
      </c>
      <c r="BC24" s="272">
        <v>1840676</v>
      </c>
      <c r="BD24" s="272">
        <v>0</v>
      </c>
      <c r="BE24" s="272">
        <v>260000</v>
      </c>
      <c r="BF24" s="272">
        <v>698578</v>
      </c>
      <c r="BG24" s="272">
        <v>0</v>
      </c>
      <c r="BH24" s="272">
        <v>991435</v>
      </c>
      <c r="BI24" s="272">
        <v>292142</v>
      </c>
      <c r="BJ24" s="272">
        <v>1757778</v>
      </c>
      <c r="BK24" s="272">
        <v>550934</v>
      </c>
      <c r="BL24" s="272">
        <v>0</v>
      </c>
      <c r="BM24" s="272">
        <v>600000</v>
      </c>
      <c r="BN24" s="272">
        <v>4342200</v>
      </c>
      <c r="BO24" s="455">
        <f t="shared" si="5"/>
        <v>2792200</v>
      </c>
      <c r="BP24" s="455">
        <f t="shared" si="6"/>
        <v>1550000</v>
      </c>
      <c r="BQ24" s="272"/>
      <c r="BR24" s="272">
        <v>0</v>
      </c>
      <c r="BS24" s="272">
        <v>1550000</v>
      </c>
      <c r="BT24" s="272">
        <v>0</v>
      </c>
      <c r="BU24" s="272">
        <v>46902880</v>
      </c>
      <c r="BV24" s="272"/>
      <c r="BW24" s="272">
        <v>9687403</v>
      </c>
      <c r="BX24" s="272">
        <v>6730736</v>
      </c>
      <c r="BY24" s="272">
        <v>1092658</v>
      </c>
      <c r="BZ24" s="272">
        <v>258986</v>
      </c>
      <c r="CA24" s="272">
        <v>7256737</v>
      </c>
      <c r="CB24" s="272">
        <v>1440071</v>
      </c>
      <c r="CC24" s="272">
        <v>232691</v>
      </c>
      <c r="CD24" s="272">
        <v>3877616</v>
      </c>
      <c r="CE24" s="272">
        <v>1614410</v>
      </c>
      <c r="CF24" s="272">
        <v>6200</v>
      </c>
      <c r="CG24" s="272">
        <v>85749</v>
      </c>
      <c r="CH24" s="272">
        <v>3750986</v>
      </c>
      <c r="CI24" s="457" t="s">
        <v>646</v>
      </c>
      <c r="CJ24" s="458" t="s">
        <v>646</v>
      </c>
      <c r="CK24" s="272">
        <v>6253381</v>
      </c>
      <c r="CL24" s="272">
        <v>3946984</v>
      </c>
      <c r="CM24" s="272">
        <v>360272</v>
      </c>
      <c r="CN24" s="272">
        <v>1161222</v>
      </c>
      <c r="CO24" s="272">
        <v>457445</v>
      </c>
      <c r="CP24" s="272">
        <v>2584673</v>
      </c>
      <c r="CQ24" s="272">
        <v>59790</v>
      </c>
      <c r="CR24" s="272">
        <v>1324174</v>
      </c>
      <c r="CS24" s="272">
        <v>1193347</v>
      </c>
      <c r="CT24" s="455">
        <f t="shared" si="7"/>
        <v>683601</v>
      </c>
      <c r="CU24" s="272">
        <v>678143</v>
      </c>
      <c r="CV24" s="272">
        <v>5458</v>
      </c>
      <c r="CW24" s="455">
        <f t="shared" si="8"/>
        <v>258571</v>
      </c>
      <c r="CX24" s="272">
        <v>258071</v>
      </c>
      <c r="CY24" s="272">
        <v>500</v>
      </c>
      <c r="CZ24" s="455">
        <f t="shared" si="9"/>
        <v>417044</v>
      </c>
      <c r="DA24" s="272">
        <v>412086</v>
      </c>
      <c r="DB24" s="272">
        <v>4958</v>
      </c>
      <c r="DC24" s="272">
        <v>9530323</v>
      </c>
      <c r="DD24" s="272">
        <v>5382045</v>
      </c>
      <c r="DE24" s="272">
        <v>4148278</v>
      </c>
      <c r="DF24" s="26">
        <v>0</v>
      </c>
      <c r="DG24" s="27">
        <v>0</v>
      </c>
      <c r="DH24" s="272">
        <v>6033</v>
      </c>
      <c r="DI24" s="272">
        <v>1945657</v>
      </c>
      <c r="DJ24" s="272">
        <v>100447</v>
      </c>
      <c r="DK24" s="272">
        <v>4593</v>
      </c>
      <c r="DL24" s="272">
        <v>1840617</v>
      </c>
      <c r="DM24" s="272">
        <v>904216</v>
      </c>
      <c r="DN24" s="272">
        <v>384216</v>
      </c>
      <c r="DO24" s="272">
        <v>0</v>
      </c>
      <c r="DP24" s="272">
        <v>384216</v>
      </c>
      <c r="DQ24" s="272">
        <v>0</v>
      </c>
      <c r="DR24" s="272">
        <v>0</v>
      </c>
      <c r="DS24" s="272">
        <v>0</v>
      </c>
      <c r="DT24" s="272">
        <v>3371180</v>
      </c>
      <c r="DU24" s="272">
        <v>0</v>
      </c>
      <c r="DV24" s="455">
        <f t="shared" si="10"/>
        <v>0</v>
      </c>
      <c r="DW24" s="272">
        <v>0</v>
      </c>
      <c r="DX24" s="272">
        <v>936026</v>
      </c>
      <c r="DY24" s="272">
        <v>0</v>
      </c>
      <c r="DZ24" s="272">
        <v>1263376</v>
      </c>
      <c r="EA24" s="272">
        <v>0</v>
      </c>
      <c r="EB24" s="272">
        <v>1035150</v>
      </c>
      <c r="EC24" s="272">
        <v>0</v>
      </c>
      <c r="ED24" s="272">
        <v>45748034</v>
      </c>
      <c r="EE24" s="89"/>
      <c r="EF24" s="272">
        <v>1154846</v>
      </c>
      <c r="EG24" s="272">
        <v>133940</v>
      </c>
      <c r="EH24" s="272">
        <v>1020906</v>
      </c>
      <c r="EI24" s="272">
        <v>368764</v>
      </c>
      <c r="EJ24" s="272">
        <v>469211</v>
      </c>
      <c r="EK24" s="89"/>
      <c r="EL24" s="272">
        <v>129895</v>
      </c>
      <c r="EM24" s="272">
        <v>127645</v>
      </c>
      <c r="EN24" s="272">
        <v>1142098</v>
      </c>
      <c r="EO24" s="272">
        <v>119063</v>
      </c>
      <c r="EP24" s="455">
        <f t="shared" si="11"/>
        <v>2759200</v>
      </c>
      <c r="EQ24" s="272">
        <v>25074726</v>
      </c>
      <c r="ER24" s="272">
        <v>-5545641</v>
      </c>
      <c r="ES24" s="272">
        <v>9227269</v>
      </c>
      <c r="ET24" s="272">
        <v>6302331</v>
      </c>
      <c r="EU24" s="272">
        <v>1984081</v>
      </c>
      <c r="EV24" s="272">
        <v>3750203</v>
      </c>
      <c r="EW24" s="455">
        <f t="shared" si="12"/>
        <v>1369807</v>
      </c>
      <c r="EX24" s="272">
        <v>1363774</v>
      </c>
      <c r="EY24" s="272">
        <v>114946</v>
      </c>
      <c r="EZ24" s="272">
        <v>1248828</v>
      </c>
      <c r="FA24" s="272">
        <v>6033</v>
      </c>
      <c r="FB24" s="272">
        <v>0</v>
      </c>
      <c r="FC24" s="272">
        <v>4743281</v>
      </c>
      <c r="FD24" s="272">
        <v>2281093</v>
      </c>
      <c r="FE24" s="272">
        <v>59790</v>
      </c>
      <c r="FF24" s="272">
        <v>2879044</v>
      </c>
      <c r="FG24" s="455">
        <f t="shared" si="13"/>
        <v>3230851</v>
      </c>
      <c r="FH24" s="272">
        <v>29465629</v>
      </c>
      <c r="FI24" s="459">
        <f t="shared" si="14"/>
        <v>4.3</v>
      </c>
      <c r="FJ24" s="272">
        <v>22033959</v>
      </c>
      <c r="FK24" s="272">
        <v>1952813</v>
      </c>
      <c r="FL24" s="272">
        <v>16287258</v>
      </c>
      <c r="FM24" s="272">
        <v>16867867</v>
      </c>
      <c r="FN24" s="460">
        <v>1.0289999999999999</v>
      </c>
      <c r="FO24" s="388">
        <v>95.7</v>
      </c>
      <c r="FP24" s="388">
        <v>36.700000000000003</v>
      </c>
      <c r="FQ24" s="388">
        <v>8</v>
      </c>
      <c r="FR24" s="388">
        <v>15.2</v>
      </c>
      <c r="FS24" s="388">
        <v>17.899999999999999</v>
      </c>
      <c r="FT24" s="388">
        <v>7.1</v>
      </c>
      <c r="FU24" s="388">
        <v>9</v>
      </c>
      <c r="FV24" s="384">
        <f t="shared" si="15"/>
        <v>5.8</v>
      </c>
      <c r="FW24" s="272">
        <v>29171490</v>
      </c>
      <c r="FX24" s="384">
        <f t="shared" si="16"/>
        <v>121.6</v>
      </c>
      <c r="FY24" s="272">
        <v>15870054</v>
      </c>
      <c r="FZ24" s="272">
        <v>6399515</v>
      </c>
      <c r="GA24" s="272">
        <v>1275294</v>
      </c>
      <c r="GB24" s="272">
        <v>8195245</v>
      </c>
      <c r="GC24" s="272">
        <v>0</v>
      </c>
      <c r="GD24" s="272">
        <v>2571726</v>
      </c>
      <c r="GE24" s="384">
        <f t="shared" si="19"/>
        <v>10.7</v>
      </c>
      <c r="GF24" s="388">
        <v>97.7</v>
      </c>
      <c r="GG24" s="388">
        <v>16.8</v>
      </c>
      <c r="GH24" s="388">
        <v>91.6</v>
      </c>
      <c r="GI24" s="272">
        <v>914</v>
      </c>
      <c r="GJ24" s="461" t="s">
        <v>646</v>
      </c>
      <c r="GK24" s="461">
        <v>12.15</v>
      </c>
      <c r="GL24" s="462">
        <v>20</v>
      </c>
      <c r="GM24" s="461" t="s">
        <v>646</v>
      </c>
      <c r="GN24" s="462">
        <v>17.149999999999999</v>
      </c>
      <c r="GO24" s="462">
        <v>35</v>
      </c>
      <c r="GP24" s="463">
        <v>5.8</v>
      </c>
      <c r="GQ24" s="463">
        <v>25</v>
      </c>
      <c r="GR24" s="463">
        <v>35</v>
      </c>
      <c r="GS24" s="464" t="s">
        <v>646</v>
      </c>
      <c r="GT24" s="463">
        <v>350</v>
      </c>
      <c r="GU24" s="394"/>
      <c r="GV24" s="394"/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</row>
    <row r="25" spans="2:230" x14ac:dyDescent="0.15">
      <c r="B25" s="89" t="s">
        <v>43</v>
      </c>
      <c r="C25" s="272">
        <v>9033343</v>
      </c>
      <c r="D25" s="455">
        <f t="shared" si="0"/>
        <v>3415040</v>
      </c>
      <c r="E25" s="272">
        <v>95511</v>
      </c>
      <c r="F25" s="456">
        <v>3319529</v>
      </c>
      <c r="G25" s="455">
        <f t="shared" si="1"/>
        <v>633140</v>
      </c>
      <c r="H25" s="272">
        <v>129536</v>
      </c>
      <c r="I25" s="272">
        <v>503604</v>
      </c>
      <c r="J25" s="272">
        <v>3818950</v>
      </c>
      <c r="K25" s="272">
        <v>1596240</v>
      </c>
      <c r="L25" s="272">
        <v>1479175</v>
      </c>
      <c r="M25" s="272">
        <v>717818</v>
      </c>
      <c r="N25" s="272">
        <v>321554</v>
      </c>
      <c r="O25" s="272">
        <v>771114</v>
      </c>
      <c r="P25" s="272">
        <v>453824</v>
      </c>
      <c r="Q25" s="272">
        <v>317290</v>
      </c>
      <c r="R25" s="272">
        <v>148525</v>
      </c>
      <c r="S25" s="272"/>
      <c r="T25" s="455">
        <f t="shared" si="2"/>
        <v>834607</v>
      </c>
      <c r="U25" s="272">
        <v>51536</v>
      </c>
      <c r="V25" s="272">
        <v>24472</v>
      </c>
      <c r="W25" s="456">
        <v>8283</v>
      </c>
      <c r="X25" s="272">
        <v>684012</v>
      </c>
      <c r="Y25" s="272">
        <v>0</v>
      </c>
      <c r="Z25" s="272">
        <v>0</v>
      </c>
      <c r="AA25" s="272">
        <v>66304</v>
      </c>
      <c r="AB25" s="272">
        <v>147468</v>
      </c>
      <c r="AC25" s="272">
        <v>4070666</v>
      </c>
      <c r="AD25" s="272">
        <v>3803387</v>
      </c>
      <c r="AE25" s="272">
        <v>267279</v>
      </c>
      <c r="AF25" s="272">
        <v>12952</v>
      </c>
      <c r="AG25" s="272">
        <v>370013</v>
      </c>
      <c r="AH25" s="455">
        <f t="shared" si="3"/>
        <v>425768</v>
      </c>
      <c r="AI25" s="272">
        <v>387573</v>
      </c>
      <c r="AJ25" s="272">
        <v>38195</v>
      </c>
      <c r="AK25" s="272">
        <v>3591900</v>
      </c>
      <c r="AL25" s="455">
        <f t="shared" si="4"/>
        <v>2048036</v>
      </c>
      <c r="AM25" s="272">
        <v>1488794</v>
      </c>
      <c r="AN25" s="272">
        <v>324601</v>
      </c>
      <c r="AO25" s="272"/>
      <c r="AP25" s="272">
        <v>234641</v>
      </c>
      <c r="AQ25" s="272">
        <v>177356</v>
      </c>
      <c r="AR25" s="272">
        <v>0</v>
      </c>
      <c r="AS25" s="272">
        <v>0</v>
      </c>
      <c r="AT25" s="272">
        <v>1539424</v>
      </c>
      <c r="AU25" s="272">
        <v>837999</v>
      </c>
      <c r="AV25" s="272">
        <v>102450</v>
      </c>
      <c r="AW25" s="272">
        <v>162695</v>
      </c>
      <c r="AX25" s="272">
        <v>701425</v>
      </c>
      <c r="AY25" s="272">
        <v>22768</v>
      </c>
      <c r="AZ25" s="272">
        <v>29312</v>
      </c>
      <c r="BA25" s="272">
        <v>3356</v>
      </c>
      <c r="BB25" s="272">
        <v>5057</v>
      </c>
      <c r="BC25" s="272">
        <v>3606</v>
      </c>
      <c r="BD25" s="272">
        <v>0</v>
      </c>
      <c r="BE25" s="272">
        <v>0</v>
      </c>
      <c r="BF25" s="272">
        <v>2987</v>
      </c>
      <c r="BG25" s="272">
        <v>0</v>
      </c>
      <c r="BH25" s="272">
        <v>66074</v>
      </c>
      <c r="BI25" s="272">
        <v>5992</v>
      </c>
      <c r="BJ25" s="272">
        <v>870357</v>
      </c>
      <c r="BK25" s="272">
        <v>430927</v>
      </c>
      <c r="BL25" s="272">
        <v>0</v>
      </c>
      <c r="BM25" s="272">
        <v>0</v>
      </c>
      <c r="BN25" s="272">
        <v>1886007</v>
      </c>
      <c r="BO25" s="455">
        <f t="shared" si="5"/>
        <v>136300</v>
      </c>
      <c r="BP25" s="455">
        <f t="shared" si="6"/>
        <v>1570707</v>
      </c>
      <c r="BQ25" s="272"/>
      <c r="BR25" s="272">
        <v>0</v>
      </c>
      <c r="BS25" s="272">
        <v>1570707</v>
      </c>
      <c r="BT25" s="272">
        <v>179000</v>
      </c>
      <c r="BU25" s="272">
        <v>23035079</v>
      </c>
      <c r="BV25" s="272"/>
      <c r="BW25" s="272">
        <v>4103492</v>
      </c>
      <c r="BX25" s="272">
        <v>2416235</v>
      </c>
      <c r="BY25" s="272">
        <v>619804</v>
      </c>
      <c r="BZ25" s="272">
        <v>310250</v>
      </c>
      <c r="CA25" s="272">
        <v>5605715</v>
      </c>
      <c r="CB25" s="272">
        <v>736323</v>
      </c>
      <c r="CC25" s="272">
        <v>122232</v>
      </c>
      <c r="CD25" s="272">
        <v>2687956</v>
      </c>
      <c r="CE25" s="272">
        <v>1960979</v>
      </c>
      <c r="CF25" s="272">
        <v>0</v>
      </c>
      <c r="CG25" s="272">
        <v>98180</v>
      </c>
      <c r="CH25" s="272">
        <v>1961685</v>
      </c>
      <c r="CI25" s="457" t="s">
        <v>646</v>
      </c>
      <c r="CJ25" s="458" t="s">
        <v>646</v>
      </c>
      <c r="CK25" s="272">
        <v>2314925</v>
      </c>
      <c r="CL25" s="272">
        <v>1381673</v>
      </c>
      <c r="CM25" s="272">
        <v>213335</v>
      </c>
      <c r="CN25" s="272">
        <v>302133</v>
      </c>
      <c r="CO25" s="272">
        <v>84740</v>
      </c>
      <c r="CP25" s="272">
        <v>3386929</v>
      </c>
      <c r="CQ25" s="272">
        <v>1844158</v>
      </c>
      <c r="CR25" s="272">
        <v>417740</v>
      </c>
      <c r="CS25" s="272">
        <v>198420</v>
      </c>
      <c r="CT25" s="455">
        <f t="shared" si="7"/>
        <v>875300</v>
      </c>
      <c r="CU25" s="272">
        <v>101305</v>
      </c>
      <c r="CV25" s="272">
        <v>773995</v>
      </c>
      <c r="CW25" s="455">
        <f t="shared" si="8"/>
        <v>873246</v>
      </c>
      <c r="CX25" s="272">
        <v>100707</v>
      </c>
      <c r="CY25" s="272">
        <v>772539</v>
      </c>
      <c r="CZ25" s="455">
        <f t="shared" si="9"/>
        <v>0</v>
      </c>
      <c r="DA25" s="272">
        <v>0</v>
      </c>
      <c r="DB25" s="272">
        <v>0</v>
      </c>
      <c r="DC25" s="272">
        <v>1230336</v>
      </c>
      <c r="DD25" s="272">
        <v>450977</v>
      </c>
      <c r="DE25" s="272">
        <v>779359</v>
      </c>
      <c r="DF25" s="26">
        <v>0</v>
      </c>
      <c r="DG25" s="27">
        <v>0</v>
      </c>
      <c r="DH25" s="272">
        <v>0</v>
      </c>
      <c r="DI25" s="272">
        <v>18473</v>
      </c>
      <c r="DJ25" s="272">
        <v>890</v>
      </c>
      <c r="DK25" s="272">
        <v>0</v>
      </c>
      <c r="DL25" s="272">
        <v>17583</v>
      </c>
      <c r="DM25" s="272">
        <v>184807</v>
      </c>
      <c r="DN25" s="272">
        <v>184807</v>
      </c>
      <c r="DO25" s="272">
        <v>6677</v>
      </c>
      <c r="DP25" s="272">
        <v>178130</v>
      </c>
      <c r="DQ25" s="272">
        <v>429204</v>
      </c>
      <c r="DR25" s="272">
        <v>0</v>
      </c>
      <c r="DS25" s="272">
        <v>0</v>
      </c>
      <c r="DT25" s="272">
        <v>2939524</v>
      </c>
      <c r="DU25" s="272">
        <v>899649</v>
      </c>
      <c r="DV25" s="455">
        <f t="shared" si="10"/>
        <v>0</v>
      </c>
      <c r="DW25" s="272">
        <v>0</v>
      </c>
      <c r="DX25" s="272">
        <v>640837</v>
      </c>
      <c r="DY25" s="272">
        <v>0</v>
      </c>
      <c r="DZ25" s="272">
        <v>706725</v>
      </c>
      <c r="EA25" s="272">
        <v>0</v>
      </c>
      <c r="EB25" s="272">
        <v>689980</v>
      </c>
      <c r="EC25" s="272">
        <v>0</v>
      </c>
      <c r="ED25" s="272">
        <v>22259830</v>
      </c>
      <c r="EE25" s="89"/>
      <c r="EF25" s="272">
        <v>775249</v>
      </c>
      <c r="EG25" s="272">
        <v>52666</v>
      </c>
      <c r="EH25" s="272">
        <v>722583</v>
      </c>
      <c r="EI25" s="272">
        <v>710591</v>
      </c>
      <c r="EJ25" s="272">
        <v>711481</v>
      </c>
      <c r="EK25" s="89"/>
      <c r="EL25" s="272">
        <v>74773</v>
      </c>
      <c r="EM25" s="272">
        <v>72751</v>
      </c>
      <c r="EN25" s="272">
        <v>619</v>
      </c>
      <c r="EO25" s="272">
        <v>18713</v>
      </c>
      <c r="EP25" s="455">
        <f t="shared" si="11"/>
        <v>637658</v>
      </c>
      <c r="EQ25" s="272">
        <v>14247561</v>
      </c>
      <c r="ER25" s="272">
        <v>-2214745</v>
      </c>
      <c r="ES25" s="272">
        <v>3492909</v>
      </c>
      <c r="ET25" s="272">
        <v>2133817</v>
      </c>
      <c r="EU25" s="272">
        <v>1628347</v>
      </c>
      <c r="EV25" s="272">
        <v>1961685</v>
      </c>
      <c r="EW25" s="455">
        <f t="shared" si="12"/>
        <v>552215</v>
      </c>
      <c r="EX25" s="272">
        <v>552215</v>
      </c>
      <c r="EY25" s="272">
        <v>11480</v>
      </c>
      <c r="EZ25" s="272">
        <v>540735</v>
      </c>
      <c r="FA25" s="272">
        <v>0</v>
      </c>
      <c r="FB25" s="272">
        <v>0</v>
      </c>
      <c r="FC25" s="272">
        <v>1900398</v>
      </c>
      <c r="FD25" s="272">
        <v>3286099</v>
      </c>
      <c r="FE25" s="272">
        <v>1844158</v>
      </c>
      <c r="FF25" s="272">
        <v>2598827</v>
      </c>
      <c r="FG25" s="455">
        <f t="shared" si="13"/>
        <v>266577</v>
      </c>
      <c r="FH25" s="272">
        <v>15687057</v>
      </c>
      <c r="FI25" s="459">
        <f t="shared" si="14"/>
        <v>5</v>
      </c>
      <c r="FJ25" s="272">
        <v>12862521</v>
      </c>
      <c r="FK25" s="272">
        <v>1570707</v>
      </c>
      <c r="FL25" s="272">
        <v>7029280</v>
      </c>
      <c r="FM25" s="272">
        <v>10830365</v>
      </c>
      <c r="FN25" s="460">
        <v>0.69199999999999995</v>
      </c>
      <c r="FO25" s="388">
        <v>90.4</v>
      </c>
      <c r="FP25" s="388">
        <v>22.6</v>
      </c>
      <c r="FQ25" s="388">
        <v>10.9</v>
      </c>
      <c r="FR25" s="388">
        <v>13.2</v>
      </c>
      <c r="FS25" s="388">
        <v>12.2</v>
      </c>
      <c r="FT25" s="388">
        <v>15.7</v>
      </c>
      <c r="FU25" s="388">
        <v>14.3</v>
      </c>
      <c r="FV25" s="384">
        <f t="shared" si="15"/>
        <v>8.9</v>
      </c>
      <c r="FW25" s="272">
        <v>20493616</v>
      </c>
      <c r="FX25" s="384">
        <f t="shared" si="16"/>
        <v>142</v>
      </c>
      <c r="FY25" s="272">
        <v>2877288</v>
      </c>
      <c r="FZ25" s="272">
        <v>220292</v>
      </c>
      <c r="GA25" s="272">
        <v>172</v>
      </c>
      <c r="GB25" s="272">
        <v>2656824</v>
      </c>
      <c r="GC25" s="272">
        <v>250000</v>
      </c>
      <c r="GD25" s="272">
        <v>409456</v>
      </c>
      <c r="GE25" s="384">
        <f t="shared" si="19"/>
        <v>2.8</v>
      </c>
      <c r="GF25" s="388">
        <v>97.9</v>
      </c>
      <c r="GG25" s="388">
        <v>28.5</v>
      </c>
      <c r="GH25" s="388">
        <v>93</v>
      </c>
      <c r="GI25" s="272">
        <v>391</v>
      </c>
      <c r="GJ25" s="461" t="s">
        <v>646</v>
      </c>
      <c r="GK25" s="461">
        <v>12.82</v>
      </c>
      <c r="GL25" s="462">
        <v>20</v>
      </c>
      <c r="GM25" s="461" t="s">
        <v>646</v>
      </c>
      <c r="GN25" s="462">
        <v>17.82</v>
      </c>
      <c r="GO25" s="462">
        <v>35</v>
      </c>
      <c r="GP25" s="463">
        <v>8.9</v>
      </c>
      <c r="GQ25" s="463">
        <v>25</v>
      </c>
      <c r="GR25" s="463">
        <v>35</v>
      </c>
      <c r="GS25" s="464">
        <v>71.3</v>
      </c>
      <c r="GT25" s="463">
        <v>350</v>
      </c>
      <c r="GU25" s="394"/>
      <c r="GV25" s="394"/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</row>
    <row r="26" spans="2:230" x14ac:dyDescent="0.15">
      <c r="B26" s="89" t="s">
        <v>45</v>
      </c>
      <c r="C26" s="272">
        <v>12915714</v>
      </c>
      <c r="D26" s="455">
        <f t="shared" si="0"/>
        <v>5226176</v>
      </c>
      <c r="E26" s="272">
        <v>147900</v>
      </c>
      <c r="F26" s="456">
        <v>5078276</v>
      </c>
      <c r="G26" s="455">
        <f t="shared" si="1"/>
        <v>750299</v>
      </c>
      <c r="H26" s="272">
        <v>199355</v>
      </c>
      <c r="I26" s="272">
        <v>550944</v>
      </c>
      <c r="J26" s="272">
        <v>5081835</v>
      </c>
      <c r="K26" s="272">
        <v>2339117</v>
      </c>
      <c r="L26" s="272">
        <v>2199333</v>
      </c>
      <c r="M26" s="272">
        <v>494075</v>
      </c>
      <c r="N26" s="272">
        <v>585264</v>
      </c>
      <c r="O26" s="272">
        <v>1107696</v>
      </c>
      <c r="P26" s="272">
        <v>653984</v>
      </c>
      <c r="Q26" s="272">
        <v>453712</v>
      </c>
      <c r="R26" s="272">
        <v>235887</v>
      </c>
      <c r="S26" s="272"/>
      <c r="T26" s="455">
        <f t="shared" si="2"/>
        <v>1205077</v>
      </c>
      <c r="U26" s="272">
        <v>79477</v>
      </c>
      <c r="V26" s="272">
        <v>37662</v>
      </c>
      <c r="W26" s="456">
        <v>12664</v>
      </c>
      <c r="X26" s="272">
        <v>969972</v>
      </c>
      <c r="Y26" s="272">
        <v>0</v>
      </c>
      <c r="Z26" s="272">
        <v>0</v>
      </c>
      <c r="AA26" s="272">
        <v>105302</v>
      </c>
      <c r="AB26" s="272">
        <v>216058</v>
      </c>
      <c r="AC26" s="272">
        <v>7666086</v>
      </c>
      <c r="AD26" s="272">
        <v>7370343</v>
      </c>
      <c r="AE26" s="272">
        <v>295743</v>
      </c>
      <c r="AF26" s="272">
        <v>21109</v>
      </c>
      <c r="AG26" s="272">
        <v>309732</v>
      </c>
      <c r="AH26" s="455">
        <f t="shared" si="3"/>
        <v>559029</v>
      </c>
      <c r="AI26" s="272">
        <v>503181</v>
      </c>
      <c r="AJ26" s="272">
        <v>55848</v>
      </c>
      <c r="AK26" s="272">
        <v>10181798</v>
      </c>
      <c r="AL26" s="455">
        <f t="shared" si="4"/>
        <v>4002667</v>
      </c>
      <c r="AM26" s="272">
        <v>3054712</v>
      </c>
      <c r="AN26" s="272">
        <v>351892</v>
      </c>
      <c r="AO26" s="272"/>
      <c r="AP26" s="272">
        <v>596063</v>
      </c>
      <c r="AQ26" s="272">
        <v>3564413</v>
      </c>
      <c r="AR26" s="272">
        <v>0</v>
      </c>
      <c r="AS26" s="272">
        <v>0</v>
      </c>
      <c r="AT26" s="272">
        <v>2589722</v>
      </c>
      <c r="AU26" s="272">
        <v>1512820</v>
      </c>
      <c r="AV26" s="272">
        <v>175946</v>
      </c>
      <c r="AW26" s="272">
        <v>297511</v>
      </c>
      <c r="AX26" s="272">
        <v>1076902</v>
      </c>
      <c r="AY26" s="272">
        <v>2923</v>
      </c>
      <c r="AZ26" s="272">
        <v>37400</v>
      </c>
      <c r="BA26" s="272">
        <v>12558</v>
      </c>
      <c r="BB26" s="272">
        <v>6975</v>
      </c>
      <c r="BC26" s="272">
        <v>165398</v>
      </c>
      <c r="BD26" s="272">
        <v>0</v>
      </c>
      <c r="BE26" s="272">
        <v>0</v>
      </c>
      <c r="BF26" s="272">
        <v>86414</v>
      </c>
      <c r="BG26" s="272">
        <v>0</v>
      </c>
      <c r="BH26" s="272">
        <v>445650</v>
      </c>
      <c r="BI26" s="272">
        <v>391561</v>
      </c>
      <c r="BJ26" s="272">
        <v>369241</v>
      </c>
      <c r="BK26" s="272">
        <v>47804</v>
      </c>
      <c r="BL26" s="272">
        <v>0</v>
      </c>
      <c r="BM26" s="272">
        <v>0</v>
      </c>
      <c r="BN26" s="272">
        <v>3471800</v>
      </c>
      <c r="BO26" s="455">
        <f t="shared" si="5"/>
        <v>773700</v>
      </c>
      <c r="BP26" s="455">
        <f t="shared" si="6"/>
        <v>2221800</v>
      </c>
      <c r="BQ26" s="272"/>
      <c r="BR26" s="272">
        <v>0</v>
      </c>
      <c r="BS26" s="272">
        <v>2221800</v>
      </c>
      <c r="BT26" s="272">
        <v>476300</v>
      </c>
      <c r="BU26" s="272">
        <v>40396676</v>
      </c>
      <c r="BV26" s="272"/>
      <c r="BW26" s="272">
        <v>5253927</v>
      </c>
      <c r="BX26" s="272">
        <v>3343950</v>
      </c>
      <c r="BY26" s="272">
        <v>827890</v>
      </c>
      <c r="BZ26" s="272">
        <v>113739</v>
      </c>
      <c r="CA26" s="272">
        <v>10754283</v>
      </c>
      <c r="CB26" s="272">
        <v>1960961</v>
      </c>
      <c r="CC26" s="272">
        <v>237626</v>
      </c>
      <c r="CD26" s="272">
        <v>4250557</v>
      </c>
      <c r="CE26" s="272">
        <v>4184249</v>
      </c>
      <c r="CF26" s="272">
        <v>9715</v>
      </c>
      <c r="CG26" s="272">
        <v>110935</v>
      </c>
      <c r="CH26" s="272">
        <v>4892374</v>
      </c>
      <c r="CI26" s="457" t="s">
        <v>646</v>
      </c>
      <c r="CJ26" s="458" t="s">
        <v>646</v>
      </c>
      <c r="CK26" s="272">
        <v>3994900</v>
      </c>
      <c r="CL26" s="272">
        <v>2280049</v>
      </c>
      <c r="CM26" s="272">
        <v>597188</v>
      </c>
      <c r="CN26" s="272">
        <v>565127</v>
      </c>
      <c r="CO26" s="272">
        <v>92283</v>
      </c>
      <c r="CP26" s="272">
        <v>3403057</v>
      </c>
      <c r="CQ26" s="272">
        <v>2202886</v>
      </c>
      <c r="CR26" s="272">
        <v>826554</v>
      </c>
      <c r="CS26" s="272">
        <v>714394</v>
      </c>
      <c r="CT26" s="455">
        <f t="shared" si="7"/>
        <v>3553</v>
      </c>
      <c r="CU26" s="272">
        <v>980</v>
      </c>
      <c r="CV26" s="272">
        <v>2573</v>
      </c>
      <c r="CW26" s="455">
        <f t="shared" si="8"/>
        <v>0</v>
      </c>
      <c r="CX26" s="272">
        <v>0</v>
      </c>
      <c r="CY26" s="272">
        <v>0</v>
      </c>
      <c r="CZ26" s="455">
        <f t="shared" si="9"/>
        <v>0</v>
      </c>
      <c r="DA26" s="272">
        <v>0</v>
      </c>
      <c r="DB26" s="272">
        <v>0</v>
      </c>
      <c r="DC26" s="272">
        <v>5375895</v>
      </c>
      <c r="DD26" s="272">
        <v>3815355</v>
      </c>
      <c r="DE26" s="272">
        <v>1560147</v>
      </c>
      <c r="DF26" s="26">
        <v>393</v>
      </c>
      <c r="DG26" s="27">
        <v>0</v>
      </c>
      <c r="DH26" s="272">
        <v>0</v>
      </c>
      <c r="DI26" s="272">
        <v>396946</v>
      </c>
      <c r="DJ26" s="272">
        <v>393480</v>
      </c>
      <c r="DK26" s="272">
        <v>12</v>
      </c>
      <c r="DL26" s="272">
        <v>3440</v>
      </c>
      <c r="DM26" s="272">
        <v>0</v>
      </c>
      <c r="DN26" s="272">
        <v>0</v>
      </c>
      <c r="DO26" s="272">
        <v>0</v>
      </c>
      <c r="DP26" s="272">
        <v>0</v>
      </c>
      <c r="DQ26" s="272">
        <v>0</v>
      </c>
      <c r="DR26" s="272">
        <v>0</v>
      </c>
      <c r="DS26" s="272">
        <v>0</v>
      </c>
      <c r="DT26" s="272">
        <v>5512650</v>
      </c>
      <c r="DU26" s="272">
        <v>1524118</v>
      </c>
      <c r="DV26" s="455">
        <f t="shared" si="10"/>
        <v>0</v>
      </c>
      <c r="DW26" s="272">
        <v>0</v>
      </c>
      <c r="DX26" s="272">
        <v>1081450</v>
      </c>
      <c r="DY26" s="272">
        <v>0</v>
      </c>
      <c r="DZ26" s="272">
        <v>1263485</v>
      </c>
      <c r="EA26" s="272">
        <v>2561</v>
      </c>
      <c r="EB26" s="272">
        <v>1082110</v>
      </c>
      <c r="EC26" s="272">
        <v>0</v>
      </c>
      <c r="ED26" s="272">
        <v>39676315</v>
      </c>
      <c r="EE26" s="89"/>
      <c r="EF26" s="272">
        <v>720361</v>
      </c>
      <c r="EG26" s="272">
        <v>70770</v>
      </c>
      <c r="EH26" s="272">
        <v>649591</v>
      </c>
      <c r="EI26" s="272">
        <v>258030</v>
      </c>
      <c r="EJ26" s="272">
        <v>844078</v>
      </c>
      <c r="EK26" s="89"/>
      <c r="EL26" s="272">
        <v>117681</v>
      </c>
      <c r="EM26" s="272">
        <v>117213</v>
      </c>
      <c r="EN26" s="272">
        <v>78984</v>
      </c>
      <c r="EO26" s="272">
        <v>35173</v>
      </c>
      <c r="EP26" s="455">
        <f t="shared" si="11"/>
        <v>1562209</v>
      </c>
      <c r="EQ26" s="272">
        <v>22259931</v>
      </c>
      <c r="ER26" s="272">
        <v>-3877057</v>
      </c>
      <c r="ES26" s="272">
        <v>4323100</v>
      </c>
      <c r="ET26" s="272">
        <v>2969889</v>
      </c>
      <c r="EU26" s="272">
        <v>3200617</v>
      </c>
      <c r="EV26" s="272">
        <v>4787728</v>
      </c>
      <c r="EW26" s="455">
        <f t="shared" si="12"/>
        <v>1056821</v>
      </c>
      <c r="EX26" s="272">
        <v>1056821</v>
      </c>
      <c r="EY26" s="272">
        <v>11705</v>
      </c>
      <c r="EZ26" s="272">
        <v>1044723</v>
      </c>
      <c r="FA26" s="272">
        <v>0</v>
      </c>
      <c r="FB26" s="272">
        <v>0</v>
      </c>
      <c r="FC26" s="272">
        <v>3355368</v>
      </c>
      <c r="FD26" s="272">
        <v>3262249</v>
      </c>
      <c r="FE26" s="272">
        <v>2202886</v>
      </c>
      <c r="FF26" s="272">
        <v>4955733</v>
      </c>
      <c r="FG26" s="455">
        <f t="shared" si="13"/>
        <v>475011</v>
      </c>
      <c r="FH26" s="272">
        <v>25416627</v>
      </c>
      <c r="FI26" s="459">
        <f t="shared" si="14"/>
        <v>2.9</v>
      </c>
      <c r="FJ26" s="272">
        <v>20376057</v>
      </c>
      <c r="FK26" s="272">
        <v>2221865</v>
      </c>
      <c r="FL26" s="272">
        <v>10096650</v>
      </c>
      <c r="FM26" s="272">
        <v>17464580</v>
      </c>
      <c r="FN26" s="460">
        <v>0.60499999999999998</v>
      </c>
      <c r="FO26" s="388">
        <v>93.1</v>
      </c>
      <c r="FP26" s="388">
        <v>18.600000000000001</v>
      </c>
      <c r="FQ26" s="388">
        <v>13.7</v>
      </c>
      <c r="FR26" s="388">
        <v>19.7</v>
      </c>
      <c r="FS26" s="388">
        <v>13.8</v>
      </c>
      <c r="FT26" s="388">
        <v>13.2</v>
      </c>
      <c r="FU26" s="388">
        <v>13.6</v>
      </c>
      <c r="FV26" s="384">
        <f t="shared" si="15"/>
        <v>10.199999999999999</v>
      </c>
      <c r="FW26" s="272">
        <v>45720068</v>
      </c>
      <c r="FX26" s="384">
        <f t="shared" si="16"/>
        <v>202.3</v>
      </c>
      <c r="FY26" s="272">
        <v>2227099</v>
      </c>
      <c r="FZ26" s="272">
        <v>1312957</v>
      </c>
      <c r="GA26" s="272">
        <v>72281</v>
      </c>
      <c r="GB26" s="272">
        <v>841861</v>
      </c>
      <c r="GC26" s="272">
        <v>0</v>
      </c>
      <c r="GD26" s="272">
        <v>4642461</v>
      </c>
      <c r="GE26" s="384">
        <f t="shared" si="19"/>
        <v>20.5</v>
      </c>
      <c r="GF26" s="388">
        <v>97.7</v>
      </c>
      <c r="GG26" s="388">
        <v>21.2</v>
      </c>
      <c r="GH26" s="388">
        <v>90.9</v>
      </c>
      <c r="GI26" s="272">
        <v>549</v>
      </c>
      <c r="GJ26" s="461" t="s">
        <v>646</v>
      </c>
      <c r="GK26" s="461">
        <v>12.26</v>
      </c>
      <c r="GL26" s="462">
        <v>20</v>
      </c>
      <c r="GM26" s="461" t="s">
        <v>646</v>
      </c>
      <c r="GN26" s="462">
        <v>17.260000000000002</v>
      </c>
      <c r="GO26" s="462">
        <v>35</v>
      </c>
      <c r="GP26" s="463">
        <v>10.199999999999999</v>
      </c>
      <c r="GQ26" s="463">
        <v>25</v>
      </c>
      <c r="GR26" s="463">
        <v>35</v>
      </c>
      <c r="GS26" s="464">
        <v>134.9</v>
      </c>
      <c r="GT26" s="463">
        <v>350</v>
      </c>
      <c r="GU26" s="394"/>
      <c r="GV26" s="394"/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</row>
    <row r="27" spans="2:230" x14ac:dyDescent="0.15">
      <c r="B27" s="89" t="s">
        <v>47</v>
      </c>
      <c r="C27" s="272">
        <v>18292828</v>
      </c>
      <c r="D27" s="455">
        <f t="shared" si="0"/>
        <v>5127684</v>
      </c>
      <c r="E27" s="272">
        <v>158004</v>
      </c>
      <c r="F27" s="456">
        <v>4969680</v>
      </c>
      <c r="G27" s="455">
        <f t="shared" si="1"/>
        <v>1453193</v>
      </c>
      <c r="H27" s="272">
        <v>434075</v>
      </c>
      <c r="I27" s="272">
        <v>1019118</v>
      </c>
      <c r="J27" s="272">
        <v>8761993</v>
      </c>
      <c r="K27" s="272">
        <v>4156382</v>
      </c>
      <c r="L27" s="272">
        <v>3281937</v>
      </c>
      <c r="M27" s="272">
        <v>1192264</v>
      </c>
      <c r="N27" s="272">
        <v>1059347</v>
      </c>
      <c r="O27" s="272">
        <v>1779037</v>
      </c>
      <c r="P27" s="272">
        <v>1053745</v>
      </c>
      <c r="Q27" s="272">
        <v>725292</v>
      </c>
      <c r="R27" s="272">
        <v>219741</v>
      </c>
      <c r="S27" s="272"/>
      <c r="T27" s="455">
        <f t="shared" si="2"/>
        <v>1607536</v>
      </c>
      <c r="U27" s="272">
        <v>76847</v>
      </c>
      <c r="V27" s="272">
        <v>36507</v>
      </c>
      <c r="W27" s="456">
        <v>12373</v>
      </c>
      <c r="X27" s="272">
        <v>1383715</v>
      </c>
      <c r="Y27" s="272">
        <v>0</v>
      </c>
      <c r="Z27" s="272">
        <v>0</v>
      </c>
      <c r="AA27" s="272">
        <v>98094</v>
      </c>
      <c r="AB27" s="272">
        <v>215141</v>
      </c>
      <c r="AC27" s="272">
        <v>5550168</v>
      </c>
      <c r="AD27" s="272">
        <v>5363149</v>
      </c>
      <c r="AE27" s="272">
        <v>187019</v>
      </c>
      <c r="AF27" s="272">
        <v>21297</v>
      </c>
      <c r="AG27" s="272">
        <v>292570</v>
      </c>
      <c r="AH27" s="455">
        <f t="shared" si="3"/>
        <v>705814</v>
      </c>
      <c r="AI27" s="272">
        <v>505643</v>
      </c>
      <c r="AJ27" s="272">
        <v>200171</v>
      </c>
      <c r="AK27" s="272">
        <v>12792784</v>
      </c>
      <c r="AL27" s="455">
        <f t="shared" si="4"/>
        <v>9019185</v>
      </c>
      <c r="AM27" s="272">
        <v>7714930</v>
      </c>
      <c r="AN27" s="272">
        <v>486098</v>
      </c>
      <c r="AO27" s="272"/>
      <c r="AP27" s="272">
        <v>818157</v>
      </c>
      <c r="AQ27" s="272">
        <v>711803</v>
      </c>
      <c r="AR27" s="272">
        <v>0</v>
      </c>
      <c r="AS27" s="272">
        <v>0</v>
      </c>
      <c r="AT27" s="272">
        <v>3127280</v>
      </c>
      <c r="AU27" s="272">
        <v>1614140</v>
      </c>
      <c r="AV27" s="272">
        <v>243049</v>
      </c>
      <c r="AW27" s="272">
        <v>62277</v>
      </c>
      <c r="AX27" s="272">
        <v>1513140</v>
      </c>
      <c r="AY27" s="272">
        <v>103367</v>
      </c>
      <c r="AZ27" s="272">
        <v>284066</v>
      </c>
      <c r="BA27" s="272">
        <v>239885</v>
      </c>
      <c r="BB27" s="272">
        <v>8545</v>
      </c>
      <c r="BC27" s="272">
        <v>12993</v>
      </c>
      <c r="BD27" s="272">
        <v>0</v>
      </c>
      <c r="BE27" s="272">
        <v>0</v>
      </c>
      <c r="BF27" s="272">
        <v>12993</v>
      </c>
      <c r="BG27" s="272">
        <v>0</v>
      </c>
      <c r="BH27" s="272">
        <v>93065</v>
      </c>
      <c r="BI27" s="272">
        <v>68296</v>
      </c>
      <c r="BJ27" s="272">
        <v>1247823</v>
      </c>
      <c r="BK27" s="272">
        <v>9500</v>
      </c>
      <c r="BL27" s="272">
        <v>0</v>
      </c>
      <c r="BM27" s="272">
        <v>0</v>
      </c>
      <c r="BN27" s="272">
        <v>4451705</v>
      </c>
      <c r="BO27" s="455">
        <f t="shared" si="5"/>
        <v>1023600</v>
      </c>
      <c r="BP27" s="455">
        <f t="shared" si="6"/>
        <v>2622805</v>
      </c>
      <c r="BQ27" s="272"/>
      <c r="BR27" s="272">
        <v>0</v>
      </c>
      <c r="BS27" s="272">
        <v>2622805</v>
      </c>
      <c r="BT27" s="272">
        <v>805300</v>
      </c>
      <c r="BU27" s="272">
        <v>48923356</v>
      </c>
      <c r="BV27" s="272"/>
      <c r="BW27" s="272">
        <v>7634360</v>
      </c>
      <c r="BX27" s="272">
        <v>4948619</v>
      </c>
      <c r="BY27" s="272">
        <v>1211756</v>
      </c>
      <c r="BZ27" s="272">
        <v>194103</v>
      </c>
      <c r="CA27" s="272">
        <v>17887931</v>
      </c>
      <c r="CB27" s="272">
        <v>2013336</v>
      </c>
      <c r="CC27" s="272">
        <v>251302</v>
      </c>
      <c r="CD27" s="272">
        <v>5146105</v>
      </c>
      <c r="CE27" s="272">
        <v>10248133</v>
      </c>
      <c r="CF27" s="272">
        <v>1750</v>
      </c>
      <c r="CG27" s="272">
        <v>226485</v>
      </c>
      <c r="CH27" s="272">
        <v>5029699</v>
      </c>
      <c r="CI27" s="457" t="s">
        <v>646</v>
      </c>
      <c r="CJ27" s="458" t="s">
        <v>646</v>
      </c>
      <c r="CK27" s="272">
        <v>4622049</v>
      </c>
      <c r="CL27" s="272">
        <v>2960019</v>
      </c>
      <c r="CM27" s="272">
        <v>207302</v>
      </c>
      <c r="CN27" s="272">
        <v>863989</v>
      </c>
      <c r="CO27" s="272">
        <v>134347</v>
      </c>
      <c r="CP27" s="272">
        <v>3671656</v>
      </c>
      <c r="CQ27" s="272">
        <v>1657279</v>
      </c>
      <c r="CR27" s="272">
        <v>608035</v>
      </c>
      <c r="CS27" s="272">
        <v>608035</v>
      </c>
      <c r="CT27" s="455">
        <f t="shared" si="7"/>
        <v>16097</v>
      </c>
      <c r="CU27" s="272">
        <v>13974</v>
      </c>
      <c r="CV27" s="272">
        <v>2123</v>
      </c>
      <c r="CW27" s="455">
        <f t="shared" si="8"/>
        <v>0</v>
      </c>
      <c r="CX27" s="272">
        <v>0</v>
      </c>
      <c r="CY27" s="272">
        <v>0</v>
      </c>
      <c r="CZ27" s="455">
        <f t="shared" si="9"/>
        <v>0</v>
      </c>
      <c r="DA27" s="272">
        <v>0</v>
      </c>
      <c r="DB27" s="272">
        <v>0</v>
      </c>
      <c r="DC27" s="272">
        <v>2575305</v>
      </c>
      <c r="DD27" s="272">
        <v>1366852</v>
      </c>
      <c r="DE27" s="272">
        <v>1208453</v>
      </c>
      <c r="DF27" s="26">
        <v>0</v>
      </c>
      <c r="DG27" s="27">
        <v>0</v>
      </c>
      <c r="DH27" s="272">
        <v>0</v>
      </c>
      <c r="DI27" s="272">
        <v>798116</v>
      </c>
      <c r="DJ27" s="272">
        <v>352054</v>
      </c>
      <c r="DK27" s="272">
        <v>300001</v>
      </c>
      <c r="DL27" s="272">
        <v>146061</v>
      </c>
      <c r="DM27" s="272">
        <v>0</v>
      </c>
      <c r="DN27" s="272">
        <v>0</v>
      </c>
      <c r="DO27" s="272">
        <v>0</v>
      </c>
      <c r="DP27" s="272">
        <v>0</v>
      </c>
      <c r="DQ27" s="272">
        <v>9500</v>
      </c>
      <c r="DR27" s="272">
        <v>0</v>
      </c>
      <c r="DS27" s="272">
        <v>0</v>
      </c>
      <c r="DT27" s="272">
        <v>5825978</v>
      </c>
      <c r="DU27" s="272">
        <v>1663128</v>
      </c>
      <c r="DV27" s="455">
        <f t="shared" si="10"/>
        <v>0</v>
      </c>
      <c r="DW27" s="272">
        <v>0</v>
      </c>
      <c r="DX27" s="272">
        <v>973528</v>
      </c>
      <c r="DY27" s="272">
        <v>0</v>
      </c>
      <c r="DZ27" s="272">
        <v>2122571</v>
      </c>
      <c r="EA27" s="272">
        <v>0</v>
      </c>
      <c r="EB27" s="272">
        <v>1066751</v>
      </c>
      <c r="EC27" s="272">
        <v>0</v>
      </c>
      <c r="ED27" s="272">
        <v>48188941</v>
      </c>
      <c r="EE27" s="89"/>
      <c r="EF27" s="272">
        <v>734415</v>
      </c>
      <c r="EG27" s="272">
        <v>31275</v>
      </c>
      <c r="EH27" s="272">
        <v>703140</v>
      </c>
      <c r="EI27" s="272">
        <v>634844</v>
      </c>
      <c r="EJ27" s="272">
        <v>986898</v>
      </c>
      <c r="EK27" s="89"/>
      <c r="EL27" s="272">
        <v>130282</v>
      </c>
      <c r="EM27" s="272">
        <v>127083</v>
      </c>
      <c r="EN27" s="272">
        <v>0</v>
      </c>
      <c r="EO27" s="272">
        <v>139046</v>
      </c>
      <c r="EP27" s="455">
        <f t="shared" si="11"/>
        <v>1092665</v>
      </c>
      <c r="EQ27" s="272">
        <v>25906711</v>
      </c>
      <c r="ER27" s="272">
        <v>-3833219</v>
      </c>
      <c r="ES27" s="272">
        <v>6423228</v>
      </c>
      <c r="ET27" s="272">
        <v>4549812</v>
      </c>
      <c r="EU27" s="272">
        <v>4888861</v>
      </c>
      <c r="EV27" s="272">
        <v>4934915</v>
      </c>
      <c r="EW27" s="455">
        <f t="shared" si="12"/>
        <v>627361</v>
      </c>
      <c r="EX27" s="272">
        <v>627361</v>
      </c>
      <c r="EY27" s="272">
        <v>54658</v>
      </c>
      <c r="EZ27" s="272">
        <v>572703</v>
      </c>
      <c r="FA27" s="272">
        <v>0</v>
      </c>
      <c r="FB27" s="272">
        <v>0</v>
      </c>
      <c r="FC27" s="272">
        <v>3638316</v>
      </c>
      <c r="FD27" s="272">
        <v>2671891</v>
      </c>
      <c r="FE27" s="272">
        <v>1657279</v>
      </c>
      <c r="FF27" s="272">
        <v>5050327</v>
      </c>
      <c r="FG27" s="455">
        <f t="shared" si="13"/>
        <v>770616</v>
      </c>
      <c r="FH27" s="272">
        <v>29005515</v>
      </c>
      <c r="FI27" s="459">
        <f t="shared" si="14"/>
        <v>2.7</v>
      </c>
      <c r="FJ27" s="272">
        <v>23005676</v>
      </c>
      <c r="FK27" s="272">
        <v>2622805</v>
      </c>
      <c r="FL27" s="272">
        <v>13604084</v>
      </c>
      <c r="FM27" s="272">
        <v>19213754</v>
      </c>
      <c r="FN27" s="460">
        <v>0.74</v>
      </c>
      <c r="FO27" s="388">
        <v>97.1</v>
      </c>
      <c r="FP27" s="388">
        <v>23.8</v>
      </c>
      <c r="FQ27" s="388">
        <v>18.2</v>
      </c>
      <c r="FR27" s="388">
        <v>18.399999999999999</v>
      </c>
      <c r="FS27" s="388">
        <v>12.7</v>
      </c>
      <c r="FT27" s="388">
        <v>8.1999999999999993</v>
      </c>
      <c r="FU27" s="388">
        <v>15.4</v>
      </c>
      <c r="FV27" s="384">
        <f t="shared" si="15"/>
        <v>7</v>
      </c>
      <c r="FW27" s="272">
        <v>42164601</v>
      </c>
      <c r="FX27" s="384">
        <f t="shared" si="16"/>
        <v>164.5</v>
      </c>
      <c r="FY27" s="272">
        <v>6883707</v>
      </c>
      <c r="FZ27" s="272">
        <v>3211486</v>
      </c>
      <c r="GA27" s="272">
        <v>301214</v>
      </c>
      <c r="GB27" s="272">
        <v>3371007</v>
      </c>
      <c r="GC27" s="272">
        <v>0</v>
      </c>
      <c r="GD27" s="272">
        <v>3579680</v>
      </c>
      <c r="GE27" s="384">
        <f t="shared" si="19"/>
        <v>14</v>
      </c>
      <c r="GF27" s="388">
        <v>97.3</v>
      </c>
      <c r="GG27" s="388">
        <v>22.2</v>
      </c>
      <c r="GH27" s="388">
        <v>89.9</v>
      </c>
      <c r="GI27" s="272">
        <v>780</v>
      </c>
      <c r="GJ27" s="461" t="s">
        <v>646</v>
      </c>
      <c r="GK27" s="461">
        <v>12.04</v>
      </c>
      <c r="GL27" s="462">
        <v>20</v>
      </c>
      <c r="GM27" s="461">
        <v>8.5399999999999991</v>
      </c>
      <c r="GN27" s="462">
        <v>17.04</v>
      </c>
      <c r="GO27" s="462">
        <v>35</v>
      </c>
      <c r="GP27" s="463">
        <v>7</v>
      </c>
      <c r="GQ27" s="463">
        <v>25</v>
      </c>
      <c r="GR27" s="463">
        <v>35</v>
      </c>
      <c r="GS27" s="464">
        <v>56.3</v>
      </c>
      <c r="GT27" s="463">
        <v>350</v>
      </c>
      <c r="GU27" s="394"/>
      <c r="GV27" s="394"/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</row>
    <row r="28" spans="2:230" x14ac:dyDescent="0.15">
      <c r="B28" s="89" t="s">
        <v>49</v>
      </c>
      <c r="C28" s="272">
        <v>18814751</v>
      </c>
      <c r="D28" s="455">
        <f t="shared" si="0"/>
        <v>4039057</v>
      </c>
      <c r="E28" s="272">
        <v>115033</v>
      </c>
      <c r="F28" s="456">
        <v>3924024</v>
      </c>
      <c r="G28" s="455">
        <f t="shared" si="1"/>
        <v>1675077</v>
      </c>
      <c r="H28" s="272">
        <v>337752</v>
      </c>
      <c r="I28" s="272">
        <v>1337325</v>
      </c>
      <c r="J28" s="272">
        <v>8865478</v>
      </c>
      <c r="K28" s="272">
        <v>4256267</v>
      </c>
      <c r="L28" s="272">
        <v>2550437</v>
      </c>
      <c r="M28" s="272">
        <v>1951401</v>
      </c>
      <c r="N28" s="272">
        <v>2522715</v>
      </c>
      <c r="O28" s="272">
        <v>1631545</v>
      </c>
      <c r="P28" s="272">
        <v>1074005</v>
      </c>
      <c r="Q28" s="272">
        <v>557540</v>
      </c>
      <c r="R28" s="272">
        <v>171207</v>
      </c>
      <c r="S28" s="272"/>
      <c r="T28" s="455">
        <f t="shared" si="2"/>
        <v>1146122</v>
      </c>
      <c r="U28" s="272">
        <v>60310</v>
      </c>
      <c r="V28" s="272">
        <v>28611</v>
      </c>
      <c r="W28" s="456">
        <v>9654</v>
      </c>
      <c r="X28" s="272">
        <v>969049</v>
      </c>
      <c r="Y28" s="272">
        <v>2065</v>
      </c>
      <c r="Z28" s="272">
        <v>0</v>
      </c>
      <c r="AA28" s="272">
        <v>76433</v>
      </c>
      <c r="AB28" s="272">
        <v>160349</v>
      </c>
      <c r="AC28" s="272">
        <v>242184</v>
      </c>
      <c r="AD28" s="272">
        <v>0</v>
      </c>
      <c r="AE28" s="272">
        <v>242184</v>
      </c>
      <c r="AF28" s="272">
        <v>16801</v>
      </c>
      <c r="AG28" s="272">
        <v>533803</v>
      </c>
      <c r="AH28" s="455">
        <f t="shared" si="3"/>
        <v>664336</v>
      </c>
      <c r="AI28" s="272">
        <v>537248</v>
      </c>
      <c r="AJ28" s="272">
        <v>127088</v>
      </c>
      <c r="AK28" s="272">
        <v>4768740</v>
      </c>
      <c r="AL28" s="455">
        <f t="shared" si="4"/>
        <v>2526579</v>
      </c>
      <c r="AM28" s="272">
        <v>1749748</v>
      </c>
      <c r="AN28" s="272">
        <v>404145</v>
      </c>
      <c r="AO28" s="272"/>
      <c r="AP28" s="272">
        <v>372686</v>
      </c>
      <c r="AQ28" s="272">
        <v>292886</v>
      </c>
      <c r="AR28" s="272">
        <v>0</v>
      </c>
      <c r="AS28" s="272">
        <v>0</v>
      </c>
      <c r="AT28" s="272">
        <v>1771597</v>
      </c>
      <c r="AU28" s="272">
        <v>1035179</v>
      </c>
      <c r="AV28" s="272">
        <v>202073</v>
      </c>
      <c r="AW28" s="272">
        <v>3678</v>
      </c>
      <c r="AX28" s="272">
        <v>736418</v>
      </c>
      <c r="AY28" s="272">
        <v>44514</v>
      </c>
      <c r="AZ28" s="272">
        <v>471556</v>
      </c>
      <c r="BA28" s="272">
        <v>424873</v>
      </c>
      <c r="BB28" s="272">
        <v>11449</v>
      </c>
      <c r="BC28" s="272">
        <v>348545</v>
      </c>
      <c r="BD28" s="272">
        <v>0</v>
      </c>
      <c r="BE28" s="272">
        <v>0</v>
      </c>
      <c r="BF28" s="272">
        <v>299137</v>
      </c>
      <c r="BG28" s="272">
        <v>0</v>
      </c>
      <c r="BH28" s="272">
        <v>839468</v>
      </c>
      <c r="BI28" s="272">
        <v>152988</v>
      </c>
      <c r="BJ28" s="272">
        <v>841535</v>
      </c>
      <c r="BK28" s="272">
        <v>106274</v>
      </c>
      <c r="BL28" s="272">
        <v>0</v>
      </c>
      <c r="BM28" s="272">
        <v>0</v>
      </c>
      <c r="BN28" s="272">
        <v>1962900</v>
      </c>
      <c r="BO28" s="455">
        <f t="shared" si="5"/>
        <v>354600</v>
      </c>
      <c r="BP28" s="455">
        <f t="shared" si="6"/>
        <v>1108300</v>
      </c>
      <c r="BQ28" s="272"/>
      <c r="BR28" s="272">
        <v>0</v>
      </c>
      <c r="BS28" s="272">
        <v>1108300</v>
      </c>
      <c r="BT28" s="272">
        <v>500000</v>
      </c>
      <c r="BU28" s="272">
        <v>32765343</v>
      </c>
      <c r="BV28" s="272"/>
      <c r="BW28" s="272">
        <v>6597861</v>
      </c>
      <c r="BX28" s="272">
        <v>3958023</v>
      </c>
      <c r="BY28" s="272">
        <v>1383717</v>
      </c>
      <c r="BZ28" s="272">
        <v>162701</v>
      </c>
      <c r="CA28" s="272">
        <v>7584471</v>
      </c>
      <c r="CB28" s="272">
        <v>1161697</v>
      </c>
      <c r="CC28" s="272">
        <v>188249</v>
      </c>
      <c r="CD28" s="272">
        <v>3715584</v>
      </c>
      <c r="CE28" s="272">
        <v>2360050</v>
      </c>
      <c r="CF28" s="272">
        <v>0</v>
      </c>
      <c r="CG28" s="272">
        <v>158891</v>
      </c>
      <c r="CH28" s="272">
        <v>3387193</v>
      </c>
      <c r="CI28" s="457" t="s">
        <v>646</v>
      </c>
      <c r="CJ28" s="458" t="s">
        <v>646</v>
      </c>
      <c r="CK28" s="272">
        <v>4714483</v>
      </c>
      <c r="CL28" s="272">
        <v>2546238</v>
      </c>
      <c r="CM28" s="272">
        <v>579308</v>
      </c>
      <c r="CN28" s="272">
        <v>819889</v>
      </c>
      <c r="CO28" s="272">
        <v>549077</v>
      </c>
      <c r="CP28" s="272">
        <v>1172851</v>
      </c>
      <c r="CQ28" s="272">
        <v>7300</v>
      </c>
      <c r="CR28" s="272">
        <v>730021</v>
      </c>
      <c r="CS28" s="272">
        <v>314794</v>
      </c>
      <c r="CT28" s="455">
        <f t="shared" si="7"/>
        <v>30806</v>
      </c>
      <c r="CU28" s="272">
        <v>4152</v>
      </c>
      <c r="CV28" s="272">
        <v>26654</v>
      </c>
      <c r="CW28" s="455">
        <f t="shared" si="8"/>
        <v>0</v>
      </c>
      <c r="CX28" s="272">
        <v>0</v>
      </c>
      <c r="CY28" s="272">
        <v>0</v>
      </c>
      <c r="CZ28" s="455">
        <f t="shared" si="9"/>
        <v>0</v>
      </c>
      <c r="DA28" s="272">
        <v>0</v>
      </c>
      <c r="DB28" s="272">
        <v>0</v>
      </c>
      <c r="DC28" s="272">
        <v>2475658</v>
      </c>
      <c r="DD28" s="272">
        <v>646663</v>
      </c>
      <c r="DE28" s="272">
        <v>1823659</v>
      </c>
      <c r="DF28" s="26">
        <v>0</v>
      </c>
      <c r="DG28" s="27">
        <v>5336</v>
      </c>
      <c r="DH28" s="272">
        <v>0</v>
      </c>
      <c r="DI28" s="272">
        <v>1325796</v>
      </c>
      <c r="DJ28" s="272">
        <v>1316214</v>
      </c>
      <c r="DK28" s="272">
        <v>53</v>
      </c>
      <c r="DL28" s="272">
        <v>9529</v>
      </c>
      <c r="DM28" s="272">
        <v>0</v>
      </c>
      <c r="DN28" s="272">
        <v>0</v>
      </c>
      <c r="DO28" s="272">
        <v>0</v>
      </c>
      <c r="DP28" s="272">
        <v>0</v>
      </c>
      <c r="DQ28" s="272">
        <v>114976</v>
      </c>
      <c r="DR28" s="272">
        <v>0</v>
      </c>
      <c r="DS28" s="272">
        <v>0</v>
      </c>
      <c r="DT28" s="272">
        <v>4417253</v>
      </c>
      <c r="DU28" s="272">
        <v>2121910</v>
      </c>
      <c r="DV28" s="455">
        <f t="shared" si="10"/>
        <v>0</v>
      </c>
      <c r="DW28" s="272">
        <v>0</v>
      </c>
      <c r="DX28" s="272">
        <v>546334</v>
      </c>
      <c r="DY28" s="272">
        <v>182198</v>
      </c>
      <c r="DZ28" s="272">
        <v>924224</v>
      </c>
      <c r="EA28" s="272">
        <v>5200</v>
      </c>
      <c r="EB28" s="272">
        <v>567028</v>
      </c>
      <c r="EC28" s="272">
        <v>0</v>
      </c>
      <c r="ED28" s="272">
        <v>32339619</v>
      </c>
      <c r="EE28" s="89"/>
      <c r="EF28" s="272">
        <v>425724</v>
      </c>
      <c r="EG28" s="272">
        <v>245719</v>
      </c>
      <c r="EH28" s="272">
        <v>180005</v>
      </c>
      <c r="EI28" s="272">
        <v>27017</v>
      </c>
      <c r="EJ28" s="272">
        <v>1343231</v>
      </c>
      <c r="EK28" s="89"/>
      <c r="EL28" s="272">
        <v>83720</v>
      </c>
      <c r="EM28" s="272">
        <v>82844</v>
      </c>
      <c r="EN28" s="272">
        <v>49408</v>
      </c>
      <c r="EO28" s="272">
        <v>313242</v>
      </c>
      <c r="EP28" s="455">
        <f t="shared" si="11"/>
        <v>932633</v>
      </c>
      <c r="EQ28" s="272">
        <v>20551414</v>
      </c>
      <c r="ER28" s="272">
        <v>-2386782</v>
      </c>
      <c r="ES28" s="272">
        <v>5682173</v>
      </c>
      <c r="ET28" s="272">
        <v>3672544</v>
      </c>
      <c r="EU28" s="272">
        <v>2335729</v>
      </c>
      <c r="EV28" s="272">
        <v>3332177</v>
      </c>
      <c r="EW28" s="455">
        <f t="shared" si="12"/>
        <v>856645</v>
      </c>
      <c r="EX28" s="272">
        <v>856645</v>
      </c>
      <c r="EY28" s="272">
        <v>14359</v>
      </c>
      <c r="EZ28" s="272">
        <v>842286</v>
      </c>
      <c r="FA28" s="272">
        <v>0</v>
      </c>
      <c r="FB28" s="272">
        <v>0</v>
      </c>
      <c r="FC28" s="272">
        <v>3404227</v>
      </c>
      <c r="FD28" s="272">
        <v>973074</v>
      </c>
      <c r="FE28" s="272">
        <v>7300</v>
      </c>
      <c r="FF28" s="272">
        <v>4063964</v>
      </c>
      <c r="FG28" s="455">
        <f t="shared" si="13"/>
        <v>1864483</v>
      </c>
      <c r="FH28" s="272">
        <v>22512472</v>
      </c>
      <c r="FI28" s="459">
        <f t="shared" si="14"/>
        <v>1</v>
      </c>
      <c r="FJ28" s="272">
        <v>17469477</v>
      </c>
      <c r="FK28" s="272">
        <v>1108373</v>
      </c>
      <c r="FL28" s="272">
        <v>13388531</v>
      </c>
      <c r="FM28" s="272">
        <v>12838381</v>
      </c>
      <c r="FN28" s="460">
        <v>1.1479999999999999</v>
      </c>
      <c r="FO28" s="388">
        <v>95.2</v>
      </c>
      <c r="FP28" s="388">
        <v>28.3</v>
      </c>
      <c r="FQ28" s="388">
        <v>11.7</v>
      </c>
      <c r="FR28" s="388">
        <v>16.8</v>
      </c>
      <c r="FS28" s="388">
        <v>16.600000000000001</v>
      </c>
      <c r="FT28" s="388">
        <v>4</v>
      </c>
      <c r="FU28" s="388">
        <v>15</v>
      </c>
      <c r="FV28" s="384">
        <f t="shared" si="15"/>
        <v>7.4</v>
      </c>
      <c r="FW28" s="272">
        <v>25846119</v>
      </c>
      <c r="FX28" s="384">
        <f t="shared" si="16"/>
        <v>139.1</v>
      </c>
      <c r="FY28" s="272">
        <v>6763405</v>
      </c>
      <c r="FZ28" s="272">
        <v>4214955</v>
      </c>
      <c r="GA28" s="272">
        <v>10286</v>
      </c>
      <c r="GB28" s="272">
        <v>2538164</v>
      </c>
      <c r="GC28" s="272">
        <v>0</v>
      </c>
      <c r="GD28" s="272">
        <v>2140679</v>
      </c>
      <c r="GE28" s="384">
        <f t="shared" si="19"/>
        <v>11.5</v>
      </c>
      <c r="GF28" s="388">
        <v>98.4</v>
      </c>
      <c r="GG28" s="388">
        <v>23.9</v>
      </c>
      <c r="GH28" s="388">
        <v>94.3</v>
      </c>
      <c r="GI28" s="272">
        <v>606</v>
      </c>
      <c r="GJ28" s="461" t="s">
        <v>646</v>
      </c>
      <c r="GK28" s="461">
        <v>12.56</v>
      </c>
      <c r="GL28" s="462">
        <v>20</v>
      </c>
      <c r="GM28" s="461" t="s">
        <v>646</v>
      </c>
      <c r="GN28" s="462">
        <v>17.559999999999999</v>
      </c>
      <c r="GO28" s="462">
        <v>35</v>
      </c>
      <c r="GP28" s="463">
        <v>7.4</v>
      </c>
      <c r="GQ28" s="463">
        <v>25</v>
      </c>
      <c r="GR28" s="463">
        <v>35</v>
      </c>
      <c r="GS28" s="464" t="s">
        <v>646</v>
      </c>
      <c r="GT28" s="463">
        <v>350</v>
      </c>
      <c r="GU28" s="394"/>
      <c r="GV28" s="394"/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</row>
    <row r="29" spans="2:230" x14ac:dyDescent="0.15">
      <c r="B29" s="89" t="s">
        <v>51</v>
      </c>
      <c r="C29" s="272">
        <v>10901592</v>
      </c>
      <c r="D29" s="455">
        <f t="shared" si="0"/>
        <v>3077017</v>
      </c>
      <c r="E29" s="272">
        <v>88525</v>
      </c>
      <c r="F29" s="456">
        <v>2988492</v>
      </c>
      <c r="G29" s="455">
        <f t="shared" si="1"/>
        <v>698140</v>
      </c>
      <c r="H29" s="272">
        <v>164126</v>
      </c>
      <c r="I29" s="272">
        <v>534014</v>
      </c>
      <c r="J29" s="272">
        <v>5835352</v>
      </c>
      <c r="K29" s="272">
        <v>2439104</v>
      </c>
      <c r="L29" s="272">
        <v>1439598</v>
      </c>
      <c r="M29" s="272">
        <v>1906752</v>
      </c>
      <c r="N29" s="272">
        <v>299782</v>
      </c>
      <c r="O29" s="272">
        <v>940963</v>
      </c>
      <c r="P29" s="272">
        <v>620285</v>
      </c>
      <c r="Q29" s="272">
        <v>320678</v>
      </c>
      <c r="R29" s="272">
        <v>172150</v>
      </c>
      <c r="S29" s="272"/>
      <c r="T29" s="455">
        <f t="shared" si="2"/>
        <v>669855</v>
      </c>
      <c r="U29" s="272">
        <v>44644</v>
      </c>
      <c r="V29" s="272">
        <v>21199</v>
      </c>
      <c r="W29" s="456">
        <v>7175</v>
      </c>
      <c r="X29" s="272">
        <v>546400</v>
      </c>
      <c r="Y29" s="272">
        <v>0</v>
      </c>
      <c r="Z29" s="272">
        <v>0</v>
      </c>
      <c r="AA29" s="272">
        <v>50437</v>
      </c>
      <c r="AB29" s="272">
        <v>108223</v>
      </c>
      <c r="AC29" s="272">
        <v>1372367</v>
      </c>
      <c r="AD29" s="272">
        <v>1296677</v>
      </c>
      <c r="AE29" s="272">
        <v>75690</v>
      </c>
      <c r="AF29" s="272">
        <v>8764</v>
      </c>
      <c r="AG29" s="272">
        <v>122910</v>
      </c>
      <c r="AH29" s="455">
        <f t="shared" si="3"/>
        <v>335476</v>
      </c>
      <c r="AI29" s="272">
        <v>290870</v>
      </c>
      <c r="AJ29" s="272">
        <v>44606</v>
      </c>
      <c r="AK29" s="272">
        <v>6355601</v>
      </c>
      <c r="AL29" s="455">
        <f t="shared" si="4"/>
        <v>1495929</v>
      </c>
      <c r="AM29" s="272">
        <v>1138644</v>
      </c>
      <c r="AN29" s="272">
        <v>148113</v>
      </c>
      <c r="AO29" s="272"/>
      <c r="AP29" s="272">
        <v>209172</v>
      </c>
      <c r="AQ29" s="272">
        <v>3217352</v>
      </c>
      <c r="AR29" s="272">
        <v>0</v>
      </c>
      <c r="AS29" s="272">
        <v>0</v>
      </c>
      <c r="AT29" s="272">
        <v>1821478</v>
      </c>
      <c r="AU29" s="272">
        <v>1452506</v>
      </c>
      <c r="AV29" s="272">
        <v>140810</v>
      </c>
      <c r="AW29" s="272">
        <v>233852</v>
      </c>
      <c r="AX29" s="272">
        <v>368972</v>
      </c>
      <c r="AY29" s="272">
        <v>24201</v>
      </c>
      <c r="AZ29" s="272">
        <v>78955</v>
      </c>
      <c r="BA29" s="272">
        <v>4582</v>
      </c>
      <c r="BB29" s="272">
        <v>7020</v>
      </c>
      <c r="BC29" s="272">
        <v>342551</v>
      </c>
      <c r="BD29" s="272">
        <v>91618</v>
      </c>
      <c r="BE29" s="272">
        <v>0</v>
      </c>
      <c r="BF29" s="272">
        <v>248418</v>
      </c>
      <c r="BG29" s="272">
        <v>0</v>
      </c>
      <c r="BH29" s="272">
        <v>44014</v>
      </c>
      <c r="BI29" s="272">
        <v>23837</v>
      </c>
      <c r="BJ29" s="272">
        <v>357748</v>
      </c>
      <c r="BK29" s="272">
        <v>95503</v>
      </c>
      <c r="BL29" s="272">
        <v>0</v>
      </c>
      <c r="BM29" s="272">
        <v>0</v>
      </c>
      <c r="BN29" s="272">
        <v>3459000</v>
      </c>
      <c r="BO29" s="455">
        <f t="shared" si="5"/>
        <v>1568200</v>
      </c>
      <c r="BP29" s="455">
        <f t="shared" si="6"/>
        <v>1330800</v>
      </c>
      <c r="BQ29" s="272"/>
      <c r="BR29" s="272">
        <v>0</v>
      </c>
      <c r="BS29" s="272">
        <v>1330800</v>
      </c>
      <c r="BT29" s="272">
        <v>560000</v>
      </c>
      <c r="BU29" s="272">
        <v>26157704</v>
      </c>
      <c r="BV29" s="272"/>
      <c r="BW29" s="272">
        <v>4177681</v>
      </c>
      <c r="BX29" s="272">
        <v>2444957</v>
      </c>
      <c r="BY29" s="272">
        <v>764391</v>
      </c>
      <c r="BZ29" s="272">
        <v>235305</v>
      </c>
      <c r="CA29" s="272">
        <v>4711758</v>
      </c>
      <c r="CB29" s="272">
        <v>689274</v>
      </c>
      <c r="CC29" s="272">
        <v>97091</v>
      </c>
      <c r="CD29" s="272">
        <v>2284074</v>
      </c>
      <c r="CE29" s="272">
        <v>1567203</v>
      </c>
      <c r="CF29" s="272">
        <v>8341</v>
      </c>
      <c r="CG29" s="272">
        <v>65775</v>
      </c>
      <c r="CH29" s="272">
        <v>2726651</v>
      </c>
      <c r="CI29" s="457" t="s">
        <v>646</v>
      </c>
      <c r="CJ29" s="458" t="s">
        <v>646</v>
      </c>
      <c r="CK29" s="272">
        <v>2791408</v>
      </c>
      <c r="CL29" s="272">
        <v>1937639</v>
      </c>
      <c r="CM29" s="272">
        <v>210445</v>
      </c>
      <c r="CN29" s="272">
        <v>386704</v>
      </c>
      <c r="CO29" s="272">
        <v>14003</v>
      </c>
      <c r="CP29" s="272">
        <v>1560584</v>
      </c>
      <c r="CQ29" s="272">
        <v>747601</v>
      </c>
      <c r="CR29" s="272">
        <v>269626</v>
      </c>
      <c r="CS29" s="272">
        <v>215735</v>
      </c>
      <c r="CT29" s="455">
        <f t="shared" si="7"/>
        <v>13337</v>
      </c>
      <c r="CU29" s="272">
        <v>0</v>
      </c>
      <c r="CV29" s="272">
        <v>13337</v>
      </c>
      <c r="CW29" s="455">
        <f t="shared" si="8"/>
        <v>0</v>
      </c>
      <c r="CX29" s="272">
        <v>0</v>
      </c>
      <c r="CY29" s="272">
        <v>0</v>
      </c>
      <c r="CZ29" s="455">
        <f t="shared" si="9"/>
        <v>0</v>
      </c>
      <c r="DA29" s="272">
        <v>0</v>
      </c>
      <c r="DB29" s="272">
        <v>0</v>
      </c>
      <c r="DC29" s="272">
        <v>6493641</v>
      </c>
      <c r="DD29" s="272">
        <v>4060541</v>
      </c>
      <c r="DE29" s="272">
        <v>1860798</v>
      </c>
      <c r="DF29" s="26">
        <v>319143</v>
      </c>
      <c r="DG29" s="27">
        <v>253159</v>
      </c>
      <c r="DH29" s="272">
        <v>0</v>
      </c>
      <c r="DI29" s="272">
        <v>596522</v>
      </c>
      <c r="DJ29" s="272">
        <v>567182</v>
      </c>
      <c r="DK29" s="272">
        <v>0</v>
      </c>
      <c r="DL29" s="272">
        <v>29340</v>
      </c>
      <c r="DM29" s="272">
        <v>0</v>
      </c>
      <c r="DN29" s="272">
        <v>0</v>
      </c>
      <c r="DO29" s="272">
        <v>0</v>
      </c>
      <c r="DP29" s="272">
        <v>0</v>
      </c>
      <c r="DQ29" s="272">
        <v>85080</v>
      </c>
      <c r="DR29" s="272">
        <v>0</v>
      </c>
      <c r="DS29" s="272">
        <v>0</v>
      </c>
      <c r="DT29" s="272">
        <v>2871582</v>
      </c>
      <c r="DU29" s="272">
        <v>1237413</v>
      </c>
      <c r="DV29" s="455">
        <f t="shared" si="10"/>
        <v>0</v>
      </c>
      <c r="DW29" s="272">
        <v>0</v>
      </c>
      <c r="DX29" s="272">
        <v>587755</v>
      </c>
      <c r="DY29" s="272">
        <v>0</v>
      </c>
      <c r="DZ29" s="272">
        <v>485885</v>
      </c>
      <c r="EA29" s="272">
        <v>0</v>
      </c>
      <c r="EB29" s="272">
        <v>560529</v>
      </c>
      <c r="EC29" s="272">
        <v>0</v>
      </c>
      <c r="ED29" s="272">
        <v>26028910</v>
      </c>
      <c r="EE29" s="89"/>
      <c r="EF29" s="272">
        <v>128794</v>
      </c>
      <c r="EG29" s="272">
        <v>61994</v>
      </c>
      <c r="EH29" s="272">
        <v>66800</v>
      </c>
      <c r="EI29" s="272">
        <v>42963</v>
      </c>
      <c r="EJ29" s="272">
        <v>518527</v>
      </c>
      <c r="EK29" s="89"/>
      <c r="EL29" s="272">
        <v>59572</v>
      </c>
      <c r="EM29" s="272">
        <v>59585</v>
      </c>
      <c r="EN29" s="272">
        <v>289283</v>
      </c>
      <c r="EO29" s="272">
        <v>77937</v>
      </c>
      <c r="EP29" s="455">
        <f t="shared" si="11"/>
        <v>822374</v>
      </c>
      <c r="EQ29" s="272">
        <v>13232951</v>
      </c>
      <c r="ER29" s="272">
        <v>-2511630</v>
      </c>
      <c r="ES29" s="272">
        <v>3449450</v>
      </c>
      <c r="ET29" s="272">
        <v>2354295</v>
      </c>
      <c r="EU29" s="272">
        <v>1288990</v>
      </c>
      <c r="EV29" s="272">
        <v>2695584</v>
      </c>
      <c r="EW29" s="455">
        <f t="shared" si="12"/>
        <v>1266512</v>
      </c>
      <c r="EX29" s="272">
        <v>1266512</v>
      </c>
      <c r="EY29" s="272">
        <v>118084</v>
      </c>
      <c r="EZ29" s="272">
        <v>1146585</v>
      </c>
      <c r="FA29" s="272">
        <v>0</v>
      </c>
      <c r="FB29" s="272">
        <v>0</v>
      </c>
      <c r="FC29" s="272">
        <v>2310124</v>
      </c>
      <c r="FD29" s="272">
        <v>1426669</v>
      </c>
      <c r="FE29" s="272">
        <v>747601</v>
      </c>
      <c r="FF29" s="272">
        <v>2588737</v>
      </c>
      <c r="FG29" s="455">
        <f t="shared" si="13"/>
        <v>589721</v>
      </c>
      <c r="FH29" s="272">
        <v>15615787</v>
      </c>
      <c r="FI29" s="459">
        <f t="shared" si="14"/>
        <v>0.5</v>
      </c>
      <c r="FJ29" s="272">
        <v>11572333</v>
      </c>
      <c r="FK29" s="272">
        <v>1330833</v>
      </c>
      <c r="FL29" s="272">
        <v>7878140</v>
      </c>
      <c r="FM29" s="272">
        <v>9174817</v>
      </c>
      <c r="FN29" s="460">
        <v>0.90500000000000003</v>
      </c>
      <c r="FO29" s="388">
        <v>94.2</v>
      </c>
      <c r="FP29" s="388">
        <v>24.9</v>
      </c>
      <c r="FQ29" s="388">
        <v>9.4</v>
      </c>
      <c r="FR29" s="388">
        <v>19.600000000000001</v>
      </c>
      <c r="FS29" s="388">
        <v>15.9</v>
      </c>
      <c r="FT29" s="388">
        <v>7.8</v>
      </c>
      <c r="FU29" s="388">
        <v>16.7</v>
      </c>
      <c r="FV29" s="384">
        <f t="shared" si="15"/>
        <v>14.7</v>
      </c>
      <c r="FW29" s="272">
        <v>31788183</v>
      </c>
      <c r="FX29" s="384">
        <f t="shared" si="16"/>
        <v>246.4</v>
      </c>
      <c r="FY29" s="272">
        <v>4721186</v>
      </c>
      <c r="FZ29" s="272">
        <v>607228</v>
      </c>
      <c r="GA29" s="272">
        <v>0</v>
      </c>
      <c r="GB29" s="272">
        <v>4113958</v>
      </c>
      <c r="GC29" s="272">
        <v>3740000</v>
      </c>
      <c r="GD29" s="272">
        <v>10628215</v>
      </c>
      <c r="GE29" s="384">
        <f t="shared" si="19"/>
        <v>82.4</v>
      </c>
      <c r="GF29" s="388">
        <v>98.6</v>
      </c>
      <c r="GG29" s="388">
        <v>19.3</v>
      </c>
      <c r="GH29" s="388">
        <v>94.3</v>
      </c>
      <c r="GI29" s="272">
        <v>384</v>
      </c>
      <c r="GJ29" s="461" t="s">
        <v>646</v>
      </c>
      <c r="GK29" s="461">
        <v>12.96</v>
      </c>
      <c r="GL29" s="462">
        <v>20</v>
      </c>
      <c r="GM29" s="461" t="s">
        <v>646</v>
      </c>
      <c r="GN29" s="462">
        <v>17.96</v>
      </c>
      <c r="GO29" s="462">
        <v>35</v>
      </c>
      <c r="GP29" s="463">
        <v>14.7</v>
      </c>
      <c r="GQ29" s="463">
        <v>25</v>
      </c>
      <c r="GR29" s="463">
        <v>35</v>
      </c>
      <c r="GS29" s="464">
        <v>270.5</v>
      </c>
      <c r="GT29" s="463">
        <v>350</v>
      </c>
      <c r="GU29" s="394"/>
      <c r="GV29" s="394"/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</row>
    <row r="30" spans="2:230" x14ac:dyDescent="0.15">
      <c r="B30" s="89" t="s">
        <v>53</v>
      </c>
      <c r="C30" s="272">
        <v>7828382</v>
      </c>
      <c r="D30" s="455">
        <f t="shared" si="0"/>
        <v>3180553</v>
      </c>
      <c r="E30" s="272">
        <v>82290</v>
      </c>
      <c r="F30" s="456">
        <v>3098263</v>
      </c>
      <c r="G30" s="455">
        <f t="shared" si="1"/>
        <v>423247</v>
      </c>
      <c r="H30" s="272">
        <v>145861</v>
      </c>
      <c r="I30" s="272">
        <v>277386</v>
      </c>
      <c r="J30" s="272">
        <v>3073044</v>
      </c>
      <c r="K30" s="272">
        <v>1441475</v>
      </c>
      <c r="L30" s="272">
        <v>1331801</v>
      </c>
      <c r="M30" s="272">
        <v>264942</v>
      </c>
      <c r="N30" s="272">
        <v>346924</v>
      </c>
      <c r="O30" s="272">
        <v>741762</v>
      </c>
      <c r="P30" s="272">
        <v>439073</v>
      </c>
      <c r="Q30" s="272">
        <v>302689</v>
      </c>
      <c r="R30" s="272">
        <v>120392</v>
      </c>
      <c r="S30" s="272"/>
      <c r="T30" s="455">
        <f t="shared" si="2"/>
        <v>694575</v>
      </c>
      <c r="U30" s="272">
        <v>48562</v>
      </c>
      <c r="V30" s="272">
        <v>22963</v>
      </c>
      <c r="W30" s="456">
        <v>7668</v>
      </c>
      <c r="X30" s="272">
        <v>561641</v>
      </c>
      <c r="Y30" s="272">
        <v>0</v>
      </c>
      <c r="Z30" s="272">
        <v>0</v>
      </c>
      <c r="AA30" s="272">
        <v>53741</v>
      </c>
      <c r="AB30" s="272">
        <v>130477</v>
      </c>
      <c r="AC30" s="272">
        <v>4055995</v>
      </c>
      <c r="AD30" s="272">
        <v>3840503</v>
      </c>
      <c r="AE30" s="272">
        <v>215492</v>
      </c>
      <c r="AF30" s="272">
        <v>11889</v>
      </c>
      <c r="AG30" s="272">
        <v>111447</v>
      </c>
      <c r="AH30" s="455">
        <f t="shared" si="3"/>
        <v>466868</v>
      </c>
      <c r="AI30" s="272">
        <v>418103</v>
      </c>
      <c r="AJ30" s="272">
        <v>48765</v>
      </c>
      <c r="AK30" s="272">
        <v>4121707</v>
      </c>
      <c r="AL30" s="455">
        <f t="shared" si="4"/>
        <v>2457768</v>
      </c>
      <c r="AM30" s="272">
        <v>1969222</v>
      </c>
      <c r="AN30" s="272">
        <v>127947</v>
      </c>
      <c r="AO30" s="272"/>
      <c r="AP30" s="272">
        <v>360599</v>
      </c>
      <c r="AQ30" s="272">
        <v>188272</v>
      </c>
      <c r="AR30" s="272">
        <v>0</v>
      </c>
      <c r="AS30" s="272">
        <v>0</v>
      </c>
      <c r="AT30" s="272">
        <v>1310183</v>
      </c>
      <c r="AU30" s="272">
        <v>765594</v>
      </c>
      <c r="AV30" s="272">
        <v>83745</v>
      </c>
      <c r="AW30" s="272">
        <v>49000</v>
      </c>
      <c r="AX30" s="272">
        <v>544589</v>
      </c>
      <c r="AY30" s="272">
        <v>903</v>
      </c>
      <c r="AZ30" s="272">
        <v>14055</v>
      </c>
      <c r="BA30" s="272">
        <v>902</v>
      </c>
      <c r="BB30" s="272">
        <v>8426</v>
      </c>
      <c r="BC30" s="272">
        <v>122467</v>
      </c>
      <c r="BD30" s="272">
        <v>0</v>
      </c>
      <c r="BE30" s="272">
        <v>0</v>
      </c>
      <c r="BF30" s="272">
        <v>120285</v>
      </c>
      <c r="BG30" s="272">
        <v>0</v>
      </c>
      <c r="BH30" s="272">
        <v>127463</v>
      </c>
      <c r="BI30" s="272">
        <v>81760</v>
      </c>
      <c r="BJ30" s="272">
        <v>279744</v>
      </c>
      <c r="BK30" s="272">
        <v>0</v>
      </c>
      <c r="BL30" s="272">
        <v>0</v>
      </c>
      <c r="BM30" s="272">
        <v>0</v>
      </c>
      <c r="BN30" s="272">
        <v>1502100</v>
      </c>
      <c r="BO30" s="455">
        <f t="shared" si="5"/>
        <v>161500</v>
      </c>
      <c r="BP30" s="455">
        <f t="shared" si="6"/>
        <v>1340600</v>
      </c>
      <c r="BQ30" s="272"/>
      <c r="BR30" s="272">
        <v>0</v>
      </c>
      <c r="BS30" s="272">
        <v>1340600</v>
      </c>
      <c r="BT30" s="272">
        <v>0</v>
      </c>
      <c r="BU30" s="272">
        <v>20906170</v>
      </c>
      <c r="BV30" s="272"/>
      <c r="BW30" s="272">
        <v>4156089</v>
      </c>
      <c r="BX30" s="272">
        <v>2682567</v>
      </c>
      <c r="BY30" s="272">
        <v>437180</v>
      </c>
      <c r="BZ30" s="272">
        <v>257727</v>
      </c>
      <c r="CA30" s="272">
        <v>6161655</v>
      </c>
      <c r="CB30" s="272">
        <v>1028571</v>
      </c>
      <c r="CC30" s="272">
        <v>113319</v>
      </c>
      <c r="CD30" s="272">
        <v>2265368</v>
      </c>
      <c r="CE30" s="272">
        <v>2691962</v>
      </c>
      <c r="CF30" s="272">
        <v>6309</v>
      </c>
      <c r="CG30" s="272">
        <v>56076</v>
      </c>
      <c r="CH30" s="272">
        <v>1450511</v>
      </c>
      <c r="CI30" s="457" t="s">
        <v>646</v>
      </c>
      <c r="CJ30" s="458" t="s">
        <v>646</v>
      </c>
      <c r="CK30" s="272">
        <v>2039768</v>
      </c>
      <c r="CL30" s="272">
        <v>1131903</v>
      </c>
      <c r="CM30" s="272">
        <v>237719</v>
      </c>
      <c r="CN30" s="272">
        <v>301536</v>
      </c>
      <c r="CO30" s="272">
        <v>124885</v>
      </c>
      <c r="CP30" s="272">
        <v>2600213</v>
      </c>
      <c r="CQ30" s="272">
        <v>1704664</v>
      </c>
      <c r="CR30" s="272">
        <v>277918</v>
      </c>
      <c r="CS30" s="272">
        <v>216316</v>
      </c>
      <c r="CT30" s="455">
        <f t="shared" si="7"/>
        <v>338886</v>
      </c>
      <c r="CU30" s="272">
        <v>204301</v>
      </c>
      <c r="CV30" s="272">
        <v>134585</v>
      </c>
      <c r="CW30" s="455">
        <f t="shared" si="8"/>
        <v>332229</v>
      </c>
      <c r="CX30" s="272">
        <v>199174</v>
      </c>
      <c r="CY30" s="272">
        <v>133055</v>
      </c>
      <c r="CZ30" s="455">
        <f t="shared" si="9"/>
        <v>0</v>
      </c>
      <c r="DA30" s="272">
        <v>0</v>
      </c>
      <c r="DB30" s="272">
        <v>0</v>
      </c>
      <c r="DC30" s="272">
        <v>646178</v>
      </c>
      <c r="DD30" s="272">
        <v>331515</v>
      </c>
      <c r="DE30" s="272">
        <v>314663</v>
      </c>
      <c r="DF30" s="26">
        <v>0</v>
      </c>
      <c r="DG30" s="27">
        <v>0</v>
      </c>
      <c r="DH30" s="272">
        <v>0</v>
      </c>
      <c r="DI30" s="272">
        <v>447325</v>
      </c>
      <c r="DJ30" s="272">
        <v>434898</v>
      </c>
      <c r="DK30" s="272">
        <v>17</v>
      </c>
      <c r="DL30" s="272">
        <v>12410</v>
      </c>
      <c r="DM30" s="272">
        <v>0</v>
      </c>
      <c r="DN30" s="272">
        <v>0</v>
      </c>
      <c r="DO30" s="272">
        <v>0</v>
      </c>
      <c r="DP30" s="272">
        <v>0</v>
      </c>
      <c r="DQ30" s="272">
        <v>0</v>
      </c>
      <c r="DR30" s="272">
        <v>0</v>
      </c>
      <c r="DS30" s="272">
        <v>0</v>
      </c>
      <c r="DT30" s="272">
        <v>2998736</v>
      </c>
      <c r="DU30" s="272">
        <v>1190000</v>
      </c>
      <c r="DV30" s="455">
        <f t="shared" si="10"/>
        <v>0</v>
      </c>
      <c r="DW30" s="272">
        <v>0</v>
      </c>
      <c r="DX30" s="272">
        <v>568151</v>
      </c>
      <c r="DY30" s="272">
        <v>0</v>
      </c>
      <c r="DZ30" s="272">
        <v>632989</v>
      </c>
      <c r="EA30" s="272">
        <v>0</v>
      </c>
      <c r="EB30" s="272">
        <v>607595</v>
      </c>
      <c r="EC30" s="272">
        <v>0</v>
      </c>
      <c r="ED30" s="272">
        <v>20625360</v>
      </c>
      <c r="EE30" s="89"/>
      <c r="EF30" s="272">
        <v>280810</v>
      </c>
      <c r="EG30" s="272">
        <v>12471</v>
      </c>
      <c r="EH30" s="272">
        <v>268339</v>
      </c>
      <c r="EI30" s="272">
        <v>-113421</v>
      </c>
      <c r="EJ30" s="272">
        <v>321477</v>
      </c>
      <c r="EK30" s="89"/>
      <c r="EL30" s="272">
        <v>66165</v>
      </c>
      <c r="EM30" s="272">
        <v>66281</v>
      </c>
      <c r="EN30" s="272">
        <v>2182</v>
      </c>
      <c r="EO30" s="272">
        <v>3676</v>
      </c>
      <c r="EP30" s="455">
        <f t="shared" si="11"/>
        <v>574157</v>
      </c>
      <c r="EQ30" s="272">
        <v>12841710</v>
      </c>
      <c r="ER30" s="272">
        <v>-1908726</v>
      </c>
      <c r="ES30" s="272">
        <v>3760075</v>
      </c>
      <c r="ET30" s="272">
        <v>2377315</v>
      </c>
      <c r="EU30" s="272">
        <v>1837233</v>
      </c>
      <c r="EV30" s="272">
        <v>1450511</v>
      </c>
      <c r="EW30" s="455">
        <f t="shared" si="12"/>
        <v>221680</v>
      </c>
      <c r="EX30" s="272">
        <v>221680</v>
      </c>
      <c r="EY30" s="272">
        <v>25342</v>
      </c>
      <c r="EZ30" s="272">
        <v>196338</v>
      </c>
      <c r="FA30" s="272">
        <v>0</v>
      </c>
      <c r="FB30" s="272">
        <v>0</v>
      </c>
      <c r="FC30" s="272">
        <v>1549958</v>
      </c>
      <c r="FD30" s="272">
        <v>2416958</v>
      </c>
      <c r="FE30" s="272">
        <v>1704664</v>
      </c>
      <c r="FF30" s="272">
        <v>2671379</v>
      </c>
      <c r="FG30" s="455">
        <f t="shared" si="13"/>
        <v>561832</v>
      </c>
      <c r="FH30" s="272">
        <v>14469626</v>
      </c>
      <c r="FI30" s="459">
        <f t="shared" si="14"/>
        <v>2.1</v>
      </c>
      <c r="FJ30" s="272">
        <v>11641212</v>
      </c>
      <c r="FK30" s="272">
        <v>1340732</v>
      </c>
      <c r="FL30" s="272">
        <v>6031774</v>
      </c>
      <c r="FM30" s="272">
        <v>9872277</v>
      </c>
      <c r="FN30" s="460">
        <v>0.64900000000000002</v>
      </c>
      <c r="FO30" s="388">
        <v>97.9</v>
      </c>
      <c r="FP30" s="388">
        <v>28.3</v>
      </c>
      <c r="FQ30" s="388">
        <v>13.7</v>
      </c>
      <c r="FR30" s="388">
        <v>10.9</v>
      </c>
      <c r="FS30" s="388">
        <v>10.8</v>
      </c>
      <c r="FT30" s="388">
        <v>16</v>
      </c>
      <c r="FU30" s="388">
        <v>17.8</v>
      </c>
      <c r="FV30" s="384">
        <f t="shared" si="15"/>
        <v>6.3</v>
      </c>
      <c r="FW30" s="272">
        <v>11845695</v>
      </c>
      <c r="FX30" s="384">
        <f t="shared" si="16"/>
        <v>91.2</v>
      </c>
      <c r="FY30" s="272">
        <v>1532654</v>
      </c>
      <c r="FZ30" s="272">
        <v>887554</v>
      </c>
      <c r="GA30" s="272">
        <v>2489</v>
      </c>
      <c r="GB30" s="272">
        <v>642611</v>
      </c>
      <c r="GC30" s="272">
        <v>0</v>
      </c>
      <c r="GD30" s="272">
        <v>1098913</v>
      </c>
      <c r="GE30" s="384">
        <f t="shared" si="19"/>
        <v>8.5</v>
      </c>
      <c r="GF30" s="388">
        <v>97.6</v>
      </c>
      <c r="GG30" s="388">
        <v>30.9</v>
      </c>
      <c r="GH30" s="388">
        <v>93.7</v>
      </c>
      <c r="GI30" s="272">
        <v>420</v>
      </c>
      <c r="GJ30" s="461" t="s">
        <v>646</v>
      </c>
      <c r="GK30" s="461">
        <v>12.95</v>
      </c>
      <c r="GL30" s="462">
        <v>20</v>
      </c>
      <c r="GM30" s="461" t="s">
        <v>646</v>
      </c>
      <c r="GN30" s="462">
        <v>17.95</v>
      </c>
      <c r="GO30" s="462">
        <v>35</v>
      </c>
      <c r="GP30" s="463">
        <v>6.3</v>
      </c>
      <c r="GQ30" s="463">
        <v>25</v>
      </c>
      <c r="GR30" s="463">
        <v>35</v>
      </c>
      <c r="GS30" s="464">
        <v>58.7</v>
      </c>
      <c r="GT30" s="463">
        <v>350</v>
      </c>
      <c r="GU30" s="394"/>
      <c r="GV30" s="394"/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</row>
    <row r="31" spans="2:230" x14ac:dyDescent="0.15">
      <c r="B31" s="89" t="s">
        <v>55</v>
      </c>
      <c r="C31" s="272">
        <v>74634817</v>
      </c>
      <c r="D31" s="455">
        <f t="shared" si="0"/>
        <v>22502076</v>
      </c>
      <c r="E31" s="272">
        <v>617771</v>
      </c>
      <c r="F31" s="456">
        <v>21884305</v>
      </c>
      <c r="G31" s="455">
        <f t="shared" si="1"/>
        <v>6173371</v>
      </c>
      <c r="H31" s="272">
        <v>1509953</v>
      </c>
      <c r="I31" s="272">
        <v>4663418</v>
      </c>
      <c r="J31" s="272">
        <v>32758547</v>
      </c>
      <c r="K31" s="272">
        <v>16016826</v>
      </c>
      <c r="L31" s="272">
        <v>12882071</v>
      </c>
      <c r="M31" s="272">
        <v>3513074</v>
      </c>
      <c r="N31" s="272">
        <v>3604409</v>
      </c>
      <c r="O31" s="272">
        <v>7048608</v>
      </c>
      <c r="P31" s="272">
        <v>4205957</v>
      </c>
      <c r="Q31" s="272">
        <v>2842651</v>
      </c>
      <c r="R31" s="272">
        <v>892433</v>
      </c>
      <c r="S31" s="272"/>
      <c r="T31" s="455">
        <f t="shared" si="2"/>
        <v>6222583</v>
      </c>
      <c r="U31" s="272">
        <v>337720</v>
      </c>
      <c r="V31" s="272">
        <v>160291</v>
      </c>
      <c r="W31" s="456">
        <v>54168</v>
      </c>
      <c r="X31" s="272">
        <v>5271981</v>
      </c>
      <c r="Y31" s="272">
        <v>0</v>
      </c>
      <c r="Z31" s="272">
        <v>0</v>
      </c>
      <c r="AA31" s="272">
        <v>398423</v>
      </c>
      <c r="AB31" s="272">
        <v>856588</v>
      </c>
      <c r="AC31" s="272">
        <v>21171716</v>
      </c>
      <c r="AD31" s="272">
        <v>20225816</v>
      </c>
      <c r="AE31" s="272">
        <v>945900</v>
      </c>
      <c r="AF31" s="272">
        <v>86546</v>
      </c>
      <c r="AG31" s="272">
        <v>2928263</v>
      </c>
      <c r="AH31" s="455">
        <f t="shared" si="3"/>
        <v>3076168</v>
      </c>
      <c r="AI31" s="272">
        <v>2583810</v>
      </c>
      <c r="AJ31" s="272">
        <v>492358</v>
      </c>
      <c r="AK31" s="272">
        <v>39900101</v>
      </c>
      <c r="AL31" s="455">
        <f t="shared" si="4"/>
        <v>28696879</v>
      </c>
      <c r="AM31" s="272">
        <v>24122824</v>
      </c>
      <c r="AN31" s="272">
        <v>1468482</v>
      </c>
      <c r="AO31" s="272"/>
      <c r="AP31" s="272">
        <v>3105573</v>
      </c>
      <c r="AQ31" s="272">
        <v>260564</v>
      </c>
      <c r="AR31" s="272">
        <v>0</v>
      </c>
      <c r="AS31" s="272">
        <v>0</v>
      </c>
      <c r="AT31" s="272">
        <v>8969471</v>
      </c>
      <c r="AU31" s="272">
        <v>4498221</v>
      </c>
      <c r="AV31" s="272">
        <v>0</v>
      </c>
      <c r="AW31" s="272">
        <v>356857</v>
      </c>
      <c r="AX31" s="272">
        <v>4471250</v>
      </c>
      <c r="AY31" s="272">
        <v>574</v>
      </c>
      <c r="AZ31" s="272">
        <v>2713739</v>
      </c>
      <c r="BA31" s="272">
        <v>1701573</v>
      </c>
      <c r="BB31" s="272">
        <v>15980</v>
      </c>
      <c r="BC31" s="272">
        <v>1400568</v>
      </c>
      <c r="BD31" s="272">
        <v>0</v>
      </c>
      <c r="BE31" s="272">
        <v>0</v>
      </c>
      <c r="BF31" s="272">
        <v>696155</v>
      </c>
      <c r="BG31" s="272">
        <v>0</v>
      </c>
      <c r="BH31" s="272">
        <v>1359543</v>
      </c>
      <c r="BI31" s="272">
        <v>1146642</v>
      </c>
      <c r="BJ31" s="272">
        <v>3841820</v>
      </c>
      <c r="BK31" s="272">
        <v>2408412</v>
      </c>
      <c r="BL31" s="272">
        <v>0</v>
      </c>
      <c r="BM31" s="272">
        <v>54800</v>
      </c>
      <c r="BN31" s="272">
        <v>15322600</v>
      </c>
      <c r="BO31" s="455">
        <f t="shared" si="5"/>
        <v>2796200</v>
      </c>
      <c r="BP31" s="455">
        <f t="shared" si="6"/>
        <v>9726400</v>
      </c>
      <c r="BQ31" s="272"/>
      <c r="BR31" s="272">
        <v>0</v>
      </c>
      <c r="BS31" s="272">
        <v>9726400</v>
      </c>
      <c r="BT31" s="272">
        <v>2800000</v>
      </c>
      <c r="BU31" s="272">
        <v>183392936</v>
      </c>
      <c r="BV31" s="272"/>
      <c r="BW31" s="272">
        <v>32014538</v>
      </c>
      <c r="BX31" s="272">
        <v>19582788</v>
      </c>
      <c r="BY31" s="272">
        <v>5540060</v>
      </c>
      <c r="BZ31" s="272">
        <v>2301970</v>
      </c>
      <c r="CA31" s="272">
        <v>63758304</v>
      </c>
      <c r="CB31" s="272">
        <v>8262528</v>
      </c>
      <c r="CC31" s="272">
        <v>950891</v>
      </c>
      <c r="CD31" s="272">
        <v>18705552</v>
      </c>
      <c r="CE31" s="272">
        <v>33216891</v>
      </c>
      <c r="CF31" s="272">
        <v>2039555</v>
      </c>
      <c r="CG31" s="272">
        <v>580312</v>
      </c>
      <c r="CH31" s="272">
        <v>17329142</v>
      </c>
      <c r="CI31" s="457" t="s">
        <v>646</v>
      </c>
      <c r="CJ31" s="458" t="s">
        <v>646</v>
      </c>
      <c r="CK31" s="272">
        <v>14740850</v>
      </c>
      <c r="CL31" s="272">
        <v>9443824</v>
      </c>
      <c r="CM31" s="272">
        <v>460941</v>
      </c>
      <c r="CN31" s="272">
        <v>2436725</v>
      </c>
      <c r="CO31" s="272">
        <v>1561311</v>
      </c>
      <c r="CP31" s="272">
        <v>20846184</v>
      </c>
      <c r="CQ31" s="272">
        <v>2733620</v>
      </c>
      <c r="CR31" s="272">
        <v>4467883</v>
      </c>
      <c r="CS31" s="272">
        <v>3404483</v>
      </c>
      <c r="CT31" s="455">
        <f t="shared" si="7"/>
        <v>11358150</v>
      </c>
      <c r="CU31" s="272">
        <v>9261002</v>
      </c>
      <c r="CV31" s="272">
        <v>2097148</v>
      </c>
      <c r="CW31" s="455">
        <f t="shared" si="8"/>
        <v>1101356</v>
      </c>
      <c r="CX31" s="272">
        <v>635128</v>
      </c>
      <c r="CY31" s="272">
        <v>466228</v>
      </c>
      <c r="CZ31" s="455">
        <f t="shared" si="9"/>
        <v>10150000</v>
      </c>
      <c r="DA31" s="272">
        <v>8521000</v>
      </c>
      <c r="DB31" s="272">
        <v>1629000</v>
      </c>
      <c r="DC31" s="272">
        <v>7849875</v>
      </c>
      <c r="DD31" s="272">
        <v>1101618</v>
      </c>
      <c r="DE31" s="272">
        <v>6318002</v>
      </c>
      <c r="DF31" s="26">
        <v>381741</v>
      </c>
      <c r="DG31" s="27">
        <v>48514</v>
      </c>
      <c r="DH31" s="272">
        <v>0</v>
      </c>
      <c r="DI31" s="272">
        <v>4338666</v>
      </c>
      <c r="DJ31" s="272">
        <v>1473060</v>
      </c>
      <c r="DK31" s="272">
        <v>1339000</v>
      </c>
      <c r="DL31" s="272">
        <v>1526606</v>
      </c>
      <c r="DM31" s="272">
        <v>785043</v>
      </c>
      <c r="DN31" s="272">
        <v>731843</v>
      </c>
      <c r="DO31" s="272">
        <v>0</v>
      </c>
      <c r="DP31" s="272">
        <v>731843</v>
      </c>
      <c r="DQ31" s="272">
        <v>2709204</v>
      </c>
      <c r="DR31" s="272">
        <v>0</v>
      </c>
      <c r="DS31" s="272">
        <v>0</v>
      </c>
      <c r="DT31" s="272">
        <v>14977442</v>
      </c>
      <c r="DU31" s="272">
        <v>0</v>
      </c>
      <c r="DV31" s="455">
        <f t="shared" si="10"/>
        <v>0</v>
      </c>
      <c r="DW31" s="272">
        <v>0</v>
      </c>
      <c r="DX31" s="272">
        <v>3862205</v>
      </c>
      <c r="DY31" s="272">
        <v>0</v>
      </c>
      <c r="DZ31" s="272">
        <v>6402020</v>
      </c>
      <c r="EA31" s="272">
        <v>0</v>
      </c>
      <c r="EB31" s="272">
        <v>4430196</v>
      </c>
      <c r="EC31" s="272">
        <v>0</v>
      </c>
      <c r="ED31" s="272">
        <v>180910559</v>
      </c>
      <c r="EE31" s="89"/>
      <c r="EF31" s="272">
        <v>2482377</v>
      </c>
      <c r="EG31" s="272">
        <v>530986</v>
      </c>
      <c r="EH31" s="272">
        <v>1951391</v>
      </c>
      <c r="EI31" s="272">
        <v>804749</v>
      </c>
      <c r="EJ31" s="272">
        <v>2278588</v>
      </c>
      <c r="EK31" s="89"/>
      <c r="EL31" s="272">
        <v>509533</v>
      </c>
      <c r="EM31" s="272">
        <v>487341</v>
      </c>
      <c r="EN31" s="272">
        <v>197793</v>
      </c>
      <c r="EO31" s="272">
        <v>15297</v>
      </c>
      <c r="EP31" s="455">
        <f t="shared" si="11"/>
        <v>3911332</v>
      </c>
      <c r="EQ31" s="272">
        <v>103864683</v>
      </c>
      <c r="ER31" s="272">
        <v>-13764276</v>
      </c>
      <c r="ES31" s="272">
        <v>27487656</v>
      </c>
      <c r="ET31" s="272">
        <v>18153919</v>
      </c>
      <c r="EU31" s="272">
        <v>19254904</v>
      </c>
      <c r="EV31" s="272">
        <v>17211439</v>
      </c>
      <c r="EW31" s="455">
        <f t="shared" si="12"/>
        <v>3906329</v>
      </c>
      <c r="EX31" s="272">
        <v>3906329</v>
      </c>
      <c r="EY31" s="272">
        <v>132203</v>
      </c>
      <c r="EZ31" s="272">
        <v>3661385</v>
      </c>
      <c r="FA31" s="272">
        <v>0</v>
      </c>
      <c r="FB31" s="272">
        <v>0</v>
      </c>
      <c r="FC31" s="272">
        <v>11394867</v>
      </c>
      <c r="FD31" s="272">
        <v>19974874</v>
      </c>
      <c r="FE31" s="272">
        <v>2733620</v>
      </c>
      <c r="FF31" s="272">
        <v>12199851</v>
      </c>
      <c r="FG31" s="455">
        <f t="shared" si="13"/>
        <v>3716662</v>
      </c>
      <c r="FH31" s="272">
        <v>115146582</v>
      </c>
      <c r="FI31" s="459">
        <f t="shared" si="14"/>
        <v>1.9</v>
      </c>
      <c r="FJ31" s="272">
        <v>94077359</v>
      </c>
      <c r="FK31" s="272">
        <v>9726417</v>
      </c>
      <c r="FL31" s="272">
        <v>56781604</v>
      </c>
      <c r="FM31" s="272">
        <v>77008965</v>
      </c>
      <c r="FN31" s="460">
        <v>0.76900000000000002</v>
      </c>
      <c r="FO31" s="388">
        <v>96.1</v>
      </c>
      <c r="FP31" s="388">
        <v>25.7</v>
      </c>
      <c r="FQ31" s="388">
        <v>18.100000000000001</v>
      </c>
      <c r="FR31" s="388">
        <v>16.2</v>
      </c>
      <c r="FS31" s="388">
        <v>9.8000000000000007</v>
      </c>
      <c r="FT31" s="388">
        <v>16.5</v>
      </c>
      <c r="FU31" s="388">
        <v>8.6</v>
      </c>
      <c r="FV31" s="384">
        <f t="shared" si="15"/>
        <v>8.6</v>
      </c>
      <c r="FW31" s="272">
        <v>164525663</v>
      </c>
      <c r="FX31" s="384">
        <f t="shared" si="16"/>
        <v>158.5</v>
      </c>
      <c r="FY31" s="272">
        <v>16055274</v>
      </c>
      <c r="FZ31" s="272">
        <v>5844168</v>
      </c>
      <c r="GA31" s="272">
        <v>1443596</v>
      </c>
      <c r="GB31" s="272">
        <v>8767510</v>
      </c>
      <c r="GC31" s="272">
        <v>0</v>
      </c>
      <c r="GD31" s="272">
        <v>11815877</v>
      </c>
      <c r="GE31" s="384">
        <f t="shared" si="19"/>
        <v>11.4</v>
      </c>
      <c r="GF31" s="388">
        <v>97.2</v>
      </c>
      <c r="GG31" s="388">
        <v>30.9</v>
      </c>
      <c r="GH31" s="388">
        <v>92.5</v>
      </c>
      <c r="GI31" s="272">
        <v>2727</v>
      </c>
      <c r="GJ31" s="461" t="s">
        <v>646</v>
      </c>
      <c r="GK31" s="461">
        <v>11.25</v>
      </c>
      <c r="GL31" s="462">
        <v>20</v>
      </c>
      <c r="GM31" s="461" t="s">
        <v>646</v>
      </c>
      <c r="GN31" s="462">
        <v>16.25</v>
      </c>
      <c r="GO31" s="462">
        <v>35</v>
      </c>
      <c r="GP31" s="463">
        <v>8.6</v>
      </c>
      <c r="GQ31" s="463">
        <v>25</v>
      </c>
      <c r="GR31" s="463">
        <v>35</v>
      </c>
      <c r="GS31" s="464">
        <v>64.599999999999994</v>
      </c>
      <c r="GT31" s="463">
        <v>350</v>
      </c>
      <c r="GU31" s="394"/>
      <c r="GV31" s="394"/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</row>
    <row r="32" spans="2:230" x14ac:dyDescent="0.15">
      <c r="B32" s="89" t="s">
        <v>57</v>
      </c>
      <c r="C32" s="272">
        <v>8935555</v>
      </c>
      <c r="D32" s="455">
        <f t="shared" si="0"/>
        <v>2310591</v>
      </c>
      <c r="E32" s="272">
        <v>75019</v>
      </c>
      <c r="F32" s="456">
        <v>2235572</v>
      </c>
      <c r="G32" s="455">
        <f t="shared" si="1"/>
        <v>483037</v>
      </c>
      <c r="H32" s="272">
        <v>190039</v>
      </c>
      <c r="I32" s="272">
        <v>292998</v>
      </c>
      <c r="J32" s="272">
        <v>4919938</v>
      </c>
      <c r="K32" s="272">
        <v>1986039</v>
      </c>
      <c r="L32" s="272">
        <v>1758062</v>
      </c>
      <c r="M32" s="272">
        <v>1048943</v>
      </c>
      <c r="N32" s="272">
        <v>389882</v>
      </c>
      <c r="O32" s="272">
        <v>727236</v>
      </c>
      <c r="P32" s="272">
        <v>377717</v>
      </c>
      <c r="Q32" s="272">
        <v>349519</v>
      </c>
      <c r="R32" s="272">
        <v>164306</v>
      </c>
      <c r="S32" s="272"/>
      <c r="T32" s="455">
        <f t="shared" si="2"/>
        <v>784955</v>
      </c>
      <c r="U32" s="272">
        <v>34400</v>
      </c>
      <c r="V32" s="272">
        <v>16331</v>
      </c>
      <c r="W32" s="456">
        <v>5522</v>
      </c>
      <c r="X32" s="272">
        <v>612311</v>
      </c>
      <c r="Y32" s="272">
        <v>53024</v>
      </c>
      <c r="Z32" s="272">
        <v>0</v>
      </c>
      <c r="AA32" s="272">
        <v>63367</v>
      </c>
      <c r="AB32" s="272">
        <v>126702</v>
      </c>
      <c r="AC32" s="272">
        <v>2681579</v>
      </c>
      <c r="AD32" s="272">
        <v>2249432</v>
      </c>
      <c r="AE32" s="272">
        <v>432147</v>
      </c>
      <c r="AF32" s="272">
        <v>12154</v>
      </c>
      <c r="AG32" s="272">
        <v>92893</v>
      </c>
      <c r="AH32" s="455">
        <f t="shared" si="3"/>
        <v>417928</v>
      </c>
      <c r="AI32" s="272">
        <v>265234</v>
      </c>
      <c r="AJ32" s="272">
        <v>152694</v>
      </c>
      <c r="AK32" s="272">
        <v>4181536</v>
      </c>
      <c r="AL32" s="455">
        <f t="shared" si="4"/>
        <v>1958412</v>
      </c>
      <c r="AM32" s="272">
        <v>1502389</v>
      </c>
      <c r="AN32" s="272">
        <v>119623</v>
      </c>
      <c r="AO32" s="272"/>
      <c r="AP32" s="272">
        <v>336400</v>
      </c>
      <c r="AQ32" s="272">
        <v>511110</v>
      </c>
      <c r="AR32" s="272">
        <v>0</v>
      </c>
      <c r="AS32" s="272">
        <v>0</v>
      </c>
      <c r="AT32" s="272">
        <v>1528519</v>
      </c>
      <c r="AU32" s="272">
        <v>838554</v>
      </c>
      <c r="AV32" s="272">
        <v>59811</v>
      </c>
      <c r="AW32" s="272">
        <v>93766</v>
      </c>
      <c r="AX32" s="272">
        <v>689965</v>
      </c>
      <c r="AY32" s="272">
        <v>32917</v>
      </c>
      <c r="AZ32" s="272">
        <v>35200</v>
      </c>
      <c r="BA32" s="272">
        <v>34920</v>
      </c>
      <c r="BB32" s="272">
        <v>8534</v>
      </c>
      <c r="BC32" s="272">
        <v>269134</v>
      </c>
      <c r="BD32" s="272">
        <v>0</v>
      </c>
      <c r="BE32" s="272">
        <v>0</v>
      </c>
      <c r="BF32" s="272">
        <v>4887</v>
      </c>
      <c r="BG32" s="272">
        <v>250000</v>
      </c>
      <c r="BH32" s="272">
        <v>57218</v>
      </c>
      <c r="BI32" s="272">
        <v>0</v>
      </c>
      <c r="BJ32" s="272">
        <v>298837</v>
      </c>
      <c r="BK32" s="272">
        <v>0</v>
      </c>
      <c r="BL32" s="272">
        <v>0</v>
      </c>
      <c r="BM32" s="272">
        <v>0</v>
      </c>
      <c r="BN32" s="272">
        <v>3002028</v>
      </c>
      <c r="BO32" s="455">
        <f t="shared" si="5"/>
        <v>1383600</v>
      </c>
      <c r="BP32" s="455">
        <f t="shared" si="6"/>
        <v>1318428</v>
      </c>
      <c r="BQ32" s="272"/>
      <c r="BR32" s="272">
        <v>0</v>
      </c>
      <c r="BS32" s="272">
        <v>1318428</v>
      </c>
      <c r="BT32" s="272">
        <v>300000</v>
      </c>
      <c r="BU32" s="272">
        <v>22597078</v>
      </c>
      <c r="BV32" s="272"/>
      <c r="BW32" s="272">
        <v>4805034</v>
      </c>
      <c r="BX32" s="272">
        <v>3182873</v>
      </c>
      <c r="BY32" s="272">
        <v>663833</v>
      </c>
      <c r="BZ32" s="272">
        <v>80628</v>
      </c>
      <c r="CA32" s="272">
        <v>5195489</v>
      </c>
      <c r="CB32" s="272">
        <v>839639</v>
      </c>
      <c r="CC32" s="272">
        <v>111418</v>
      </c>
      <c r="CD32" s="272">
        <v>2093094</v>
      </c>
      <c r="CE32" s="272">
        <v>2074857</v>
      </c>
      <c r="CF32" s="272">
        <v>0</v>
      </c>
      <c r="CG32" s="272">
        <v>76291</v>
      </c>
      <c r="CH32" s="272">
        <v>2495773</v>
      </c>
      <c r="CI32" s="457" t="s">
        <v>646</v>
      </c>
      <c r="CJ32" s="458" t="s">
        <v>646</v>
      </c>
      <c r="CK32" s="272">
        <v>2302218</v>
      </c>
      <c r="CL32" s="272">
        <v>1470897</v>
      </c>
      <c r="CM32" s="272">
        <v>134750</v>
      </c>
      <c r="CN32" s="272">
        <v>371975</v>
      </c>
      <c r="CO32" s="272">
        <v>107289</v>
      </c>
      <c r="CP32" s="272">
        <v>1592090</v>
      </c>
      <c r="CQ32" s="272">
        <v>361412</v>
      </c>
      <c r="CR32" s="272">
        <v>484042</v>
      </c>
      <c r="CS32" s="272">
        <v>313894</v>
      </c>
      <c r="CT32" s="455">
        <f t="shared" si="7"/>
        <v>10471</v>
      </c>
      <c r="CU32" s="272">
        <v>900</v>
      </c>
      <c r="CV32" s="272">
        <v>9571</v>
      </c>
      <c r="CW32" s="455">
        <f t="shared" si="8"/>
        <v>0</v>
      </c>
      <c r="CX32" s="272">
        <v>0</v>
      </c>
      <c r="CY32" s="272">
        <v>0</v>
      </c>
      <c r="CZ32" s="455">
        <f t="shared" si="9"/>
        <v>0</v>
      </c>
      <c r="DA32" s="272">
        <v>0</v>
      </c>
      <c r="DB32" s="272">
        <v>0</v>
      </c>
      <c r="DC32" s="272">
        <v>2646284</v>
      </c>
      <c r="DD32" s="272">
        <v>1007572</v>
      </c>
      <c r="DE32" s="272">
        <v>1631054</v>
      </c>
      <c r="DF32" s="26">
        <v>7658</v>
      </c>
      <c r="DG32" s="27">
        <v>0</v>
      </c>
      <c r="DH32" s="272">
        <v>2793</v>
      </c>
      <c r="DI32" s="272">
        <v>440901</v>
      </c>
      <c r="DJ32" s="272">
        <v>0</v>
      </c>
      <c r="DK32" s="272">
        <v>392002</v>
      </c>
      <c r="DL32" s="272">
        <v>48899</v>
      </c>
      <c r="DM32" s="272">
        <v>1369</v>
      </c>
      <c r="DN32" s="272">
        <v>1369</v>
      </c>
      <c r="DO32" s="272">
        <v>0</v>
      </c>
      <c r="DP32" s="272">
        <v>0</v>
      </c>
      <c r="DQ32" s="272">
        <v>0</v>
      </c>
      <c r="DR32" s="272">
        <v>0</v>
      </c>
      <c r="DS32" s="272">
        <v>0</v>
      </c>
      <c r="DT32" s="272">
        <v>2481239</v>
      </c>
      <c r="DU32" s="272">
        <v>731487</v>
      </c>
      <c r="DV32" s="455">
        <f t="shared" si="10"/>
        <v>0</v>
      </c>
      <c r="DW32" s="272">
        <v>0</v>
      </c>
      <c r="DX32" s="272">
        <v>623249</v>
      </c>
      <c r="DY32" s="272">
        <v>0</v>
      </c>
      <c r="DZ32" s="272">
        <v>570639</v>
      </c>
      <c r="EA32" s="272">
        <v>0</v>
      </c>
      <c r="EB32" s="272">
        <v>555864</v>
      </c>
      <c r="EC32" s="272">
        <v>0</v>
      </c>
      <c r="ED32" s="272">
        <v>22070479</v>
      </c>
      <c r="EE32" s="89"/>
      <c r="EF32" s="272">
        <v>526599</v>
      </c>
      <c r="EG32" s="272">
        <v>4454</v>
      </c>
      <c r="EH32" s="272">
        <v>522145</v>
      </c>
      <c r="EI32" s="272">
        <v>534657</v>
      </c>
      <c r="EJ32" s="272">
        <v>534657</v>
      </c>
      <c r="EK32" s="89"/>
      <c r="EL32" s="272">
        <v>64403</v>
      </c>
      <c r="EM32" s="272">
        <v>64795</v>
      </c>
      <c r="EN32" s="272">
        <v>263458</v>
      </c>
      <c r="EO32" s="272">
        <v>35059</v>
      </c>
      <c r="EP32" s="455">
        <f t="shared" si="11"/>
        <v>584681</v>
      </c>
      <c r="EQ32" s="272">
        <v>12705251</v>
      </c>
      <c r="ER32" s="272">
        <v>-2189472</v>
      </c>
      <c r="ES32" s="272">
        <v>4060296</v>
      </c>
      <c r="ET32" s="272">
        <v>2815504</v>
      </c>
      <c r="EU32" s="272">
        <v>1518324</v>
      </c>
      <c r="EV32" s="272">
        <v>2495773</v>
      </c>
      <c r="EW32" s="455">
        <f t="shared" si="12"/>
        <v>594793</v>
      </c>
      <c r="EX32" s="272">
        <v>594647</v>
      </c>
      <c r="EY32" s="272">
        <v>85375</v>
      </c>
      <c r="EZ32" s="272">
        <v>507916</v>
      </c>
      <c r="FA32" s="272">
        <v>146</v>
      </c>
      <c r="FB32" s="272">
        <v>0</v>
      </c>
      <c r="FC32" s="272">
        <v>1566283</v>
      </c>
      <c r="FD32" s="272">
        <v>1501278</v>
      </c>
      <c r="FE32" s="272">
        <v>361412</v>
      </c>
      <c r="FF32" s="272">
        <v>2101816</v>
      </c>
      <c r="FG32" s="455">
        <f t="shared" si="13"/>
        <v>529561</v>
      </c>
      <c r="FH32" s="272">
        <v>14368124</v>
      </c>
      <c r="FI32" s="459">
        <f t="shared" si="14"/>
        <v>4.2</v>
      </c>
      <c r="FJ32" s="272">
        <v>11234943</v>
      </c>
      <c r="FK32" s="272">
        <v>1318428</v>
      </c>
      <c r="FL32" s="272">
        <v>6940716</v>
      </c>
      <c r="FM32" s="272">
        <v>9190148</v>
      </c>
      <c r="FN32" s="460">
        <v>0.79400000000000004</v>
      </c>
      <c r="FO32" s="388">
        <v>91.6</v>
      </c>
      <c r="FP32" s="388">
        <v>29.8</v>
      </c>
      <c r="FQ32" s="388">
        <v>11.7</v>
      </c>
      <c r="FR32" s="388">
        <v>19.3</v>
      </c>
      <c r="FS32" s="388">
        <v>10.5</v>
      </c>
      <c r="FT32" s="388">
        <v>6.6</v>
      </c>
      <c r="FU32" s="388">
        <v>13</v>
      </c>
      <c r="FV32" s="384">
        <f t="shared" si="15"/>
        <v>11.3</v>
      </c>
      <c r="FW32" s="272">
        <v>24066684</v>
      </c>
      <c r="FX32" s="384">
        <f t="shared" si="16"/>
        <v>191.7</v>
      </c>
      <c r="FY32" s="272">
        <v>2172557</v>
      </c>
      <c r="FZ32" s="272">
        <v>0</v>
      </c>
      <c r="GA32" s="272">
        <v>398414</v>
      </c>
      <c r="GB32" s="272">
        <v>1774143</v>
      </c>
      <c r="GC32" s="272">
        <v>1060000</v>
      </c>
      <c r="GD32" s="272">
        <v>8441499</v>
      </c>
      <c r="GE32" s="384">
        <f t="shared" si="19"/>
        <v>67.2</v>
      </c>
      <c r="GF32" s="388">
        <v>97.7</v>
      </c>
      <c r="GG32" s="388">
        <v>20.3</v>
      </c>
      <c r="GH32" s="388">
        <v>90.9</v>
      </c>
      <c r="GI32" s="272">
        <v>487</v>
      </c>
      <c r="GJ32" s="461" t="s">
        <v>646</v>
      </c>
      <c r="GK32" s="461">
        <v>12.99</v>
      </c>
      <c r="GL32" s="462">
        <v>20</v>
      </c>
      <c r="GM32" s="461" t="s">
        <v>646</v>
      </c>
      <c r="GN32" s="462">
        <v>17.989999999999998</v>
      </c>
      <c r="GO32" s="462">
        <v>35</v>
      </c>
      <c r="GP32" s="463">
        <v>11.3</v>
      </c>
      <c r="GQ32" s="463">
        <v>25</v>
      </c>
      <c r="GR32" s="463">
        <v>35</v>
      </c>
      <c r="GS32" s="464">
        <v>177.8</v>
      </c>
      <c r="GT32" s="463">
        <v>350</v>
      </c>
      <c r="GU32" s="394"/>
      <c r="GV32" s="394"/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</row>
    <row r="33" spans="2:230" x14ac:dyDescent="0.15">
      <c r="B33" s="89" t="s">
        <v>59</v>
      </c>
      <c r="C33" s="272">
        <v>6678634</v>
      </c>
      <c r="D33" s="455">
        <f t="shared" si="0"/>
        <v>2665441</v>
      </c>
      <c r="E33" s="272">
        <v>71619</v>
      </c>
      <c r="F33" s="456">
        <v>2593822</v>
      </c>
      <c r="G33" s="455">
        <f t="shared" si="1"/>
        <v>231513</v>
      </c>
      <c r="H33" s="272">
        <v>103404</v>
      </c>
      <c r="I33" s="272">
        <v>128109</v>
      </c>
      <c r="J33" s="272">
        <v>2800961</v>
      </c>
      <c r="K33" s="272">
        <v>1265464</v>
      </c>
      <c r="L33" s="272">
        <v>1296876</v>
      </c>
      <c r="M33" s="272">
        <v>222656</v>
      </c>
      <c r="N33" s="272">
        <v>321204</v>
      </c>
      <c r="O33" s="272">
        <v>603346</v>
      </c>
      <c r="P33" s="272">
        <v>334522</v>
      </c>
      <c r="Q33" s="272">
        <v>268824</v>
      </c>
      <c r="R33" s="272">
        <v>118549</v>
      </c>
      <c r="S33" s="272"/>
      <c r="T33" s="455">
        <f t="shared" si="2"/>
        <v>602129</v>
      </c>
      <c r="U33" s="272">
        <v>40048</v>
      </c>
      <c r="V33" s="272">
        <v>19019</v>
      </c>
      <c r="W33" s="456">
        <v>6441</v>
      </c>
      <c r="X33" s="272">
        <v>454600</v>
      </c>
      <c r="Y33" s="272">
        <v>29103</v>
      </c>
      <c r="Z33" s="272">
        <v>0</v>
      </c>
      <c r="AA33" s="272">
        <v>52918</v>
      </c>
      <c r="AB33" s="272">
        <v>114302</v>
      </c>
      <c r="AC33" s="272">
        <v>3629628</v>
      </c>
      <c r="AD33" s="272">
        <v>3234823</v>
      </c>
      <c r="AE33" s="272">
        <v>394805</v>
      </c>
      <c r="AF33" s="272">
        <v>8973</v>
      </c>
      <c r="AG33" s="272">
        <v>207121</v>
      </c>
      <c r="AH33" s="455">
        <f t="shared" si="3"/>
        <v>280777</v>
      </c>
      <c r="AI33" s="272">
        <v>168382</v>
      </c>
      <c r="AJ33" s="272">
        <v>112395</v>
      </c>
      <c r="AK33" s="272">
        <v>3671347</v>
      </c>
      <c r="AL33" s="455">
        <f t="shared" si="4"/>
        <v>1670810</v>
      </c>
      <c r="AM33" s="272">
        <v>1139134</v>
      </c>
      <c r="AN33" s="272">
        <v>289079</v>
      </c>
      <c r="AO33" s="272"/>
      <c r="AP33" s="272">
        <v>242597</v>
      </c>
      <c r="AQ33" s="272">
        <v>811966</v>
      </c>
      <c r="AR33" s="272">
        <v>0</v>
      </c>
      <c r="AS33" s="272">
        <v>0</v>
      </c>
      <c r="AT33" s="272">
        <v>1184713</v>
      </c>
      <c r="AU33" s="272">
        <v>644040</v>
      </c>
      <c r="AV33" s="272">
        <v>101739</v>
      </c>
      <c r="AW33" s="272">
        <v>18739</v>
      </c>
      <c r="AX33" s="272">
        <v>540673</v>
      </c>
      <c r="AY33" s="272">
        <v>0</v>
      </c>
      <c r="AZ33" s="272">
        <v>49211</v>
      </c>
      <c r="BA33" s="272">
        <v>31762</v>
      </c>
      <c r="BB33" s="272">
        <v>4859</v>
      </c>
      <c r="BC33" s="272">
        <v>182469</v>
      </c>
      <c r="BD33" s="272">
        <v>0</v>
      </c>
      <c r="BE33" s="272">
        <v>0</v>
      </c>
      <c r="BF33" s="272">
        <v>182469</v>
      </c>
      <c r="BG33" s="272">
        <v>0</v>
      </c>
      <c r="BH33" s="272">
        <v>490705</v>
      </c>
      <c r="BI33" s="272">
        <v>473732</v>
      </c>
      <c r="BJ33" s="272">
        <v>271440</v>
      </c>
      <c r="BK33" s="272">
        <v>0</v>
      </c>
      <c r="BL33" s="272">
        <v>0</v>
      </c>
      <c r="BM33" s="272">
        <v>0</v>
      </c>
      <c r="BN33" s="272">
        <v>1448000</v>
      </c>
      <c r="BO33" s="455">
        <f t="shared" si="5"/>
        <v>296400</v>
      </c>
      <c r="BP33" s="455">
        <f t="shared" si="6"/>
        <v>1151600</v>
      </c>
      <c r="BQ33" s="272"/>
      <c r="BR33" s="272">
        <v>0</v>
      </c>
      <c r="BS33" s="272">
        <v>1151600</v>
      </c>
      <c r="BT33" s="272">
        <v>0</v>
      </c>
      <c r="BU33" s="272">
        <v>18942857</v>
      </c>
      <c r="BV33" s="272"/>
      <c r="BW33" s="272">
        <v>3444675</v>
      </c>
      <c r="BX33" s="272">
        <v>2221965</v>
      </c>
      <c r="BY33" s="272">
        <v>394899</v>
      </c>
      <c r="BZ33" s="272">
        <v>219926</v>
      </c>
      <c r="CA33" s="272">
        <v>4656615</v>
      </c>
      <c r="CB33" s="272">
        <v>632684</v>
      </c>
      <c r="CC33" s="272">
        <v>102103</v>
      </c>
      <c r="CD33" s="272">
        <v>2304068</v>
      </c>
      <c r="CE33" s="272">
        <v>1519008</v>
      </c>
      <c r="CF33" s="272">
        <v>10210</v>
      </c>
      <c r="CG33" s="272">
        <v>88391</v>
      </c>
      <c r="CH33" s="272">
        <v>2355531</v>
      </c>
      <c r="CI33" s="457" t="s">
        <v>646</v>
      </c>
      <c r="CJ33" s="458" t="s">
        <v>646</v>
      </c>
      <c r="CK33" s="272">
        <v>2099424</v>
      </c>
      <c r="CL33" s="272">
        <v>1431660</v>
      </c>
      <c r="CM33" s="272">
        <v>79667</v>
      </c>
      <c r="CN33" s="272">
        <v>236948</v>
      </c>
      <c r="CO33" s="272">
        <v>48826</v>
      </c>
      <c r="CP33" s="272">
        <v>2137340</v>
      </c>
      <c r="CQ33" s="272">
        <v>407480</v>
      </c>
      <c r="CR33" s="272">
        <v>333686</v>
      </c>
      <c r="CS33" s="272">
        <v>180615</v>
      </c>
      <c r="CT33" s="455">
        <f t="shared" si="7"/>
        <v>947395</v>
      </c>
      <c r="CU33" s="272">
        <v>670814</v>
      </c>
      <c r="CV33" s="272">
        <v>276581</v>
      </c>
      <c r="CW33" s="455">
        <f t="shared" si="8"/>
        <v>0</v>
      </c>
      <c r="CX33" s="272">
        <v>0</v>
      </c>
      <c r="CY33" s="272">
        <v>0</v>
      </c>
      <c r="CZ33" s="455">
        <f t="shared" si="9"/>
        <v>938133</v>
      </c>
      <c r="DA33" s="272">
        <v>663324</v>
      </c>
      <c r="DB33" s="272">
        <v>274809</v>
      </c>
      <c r="DC33" s="272">
        <v>2108579</v>
      </c>
      <c r="DD33" s="272">
        <v>856793</v>
      </c>
      <c r="DE33" s="272">
        <v>1251786</v>
      </c>
      <c r="DF33" s="26">
        <v>0</v>
      </c>
      <c r="DG33" s="27">
        <v>0</v>
      </c>
      <c r="DH33" s="272">
        <v>2363</v>
      </c>
      <c r="DI33" s="272">
        <v>340223</v>
      </c>
      <c r="DJ33" s="272">
        <v>237667</v>
      </c>
      <c r="DK33" s="272">
        <v>58</v>
      </c>
      <c r="DL33" s="272">
        <v>102498</v>
      </c>
      <c r="DM33" s="272">
        <v>0</v>
      </c>
      <c r="DN33" s="272">
        <v>0</v>
      </c>
      <c r="DO33" s="272">
        <v>0</v>
      </c>
      <c r="DP33" s="272">
        <v>0</v>
      </c>
      <c r="DQ33" s="272">
        <v>0</v>
      </c>
      <c r="DR33" s="272">
        <v>0</v>
      </c>
      <c r="DS33" s="272">
        <v>0</v>
      </c>
      <c r="DT33" s="272">
        <v>1259980</v>
      </c>
      <c r="DU33" s="272">
        <v>0</v>
      </c>
      <c r="DV33" s="455">
        <f t="shared" si="10"/>
        <v>0</v>
      </c>
      <c r="DW33" s="272">
        <v>0</v>
      </c>
      <c r="DX33" s="272">
        <v>381653</v>
      </c>
      <c r="DY33" s="272">
        <v>0</v>
      </c>
      <c r="DZ33" s="272">
        <v>432760</v>
      </c>
      <c r="EA33" s="272">
        <v>9762</v>
      </c>
      <c r="EB33" s="272">
        <v>431280</v>
      </c>
      <c r="EC33" s="272">
        <v>0</v>
      </c>
      <c r="ED33" s="272">
        <v>18453556</v>
      </c>
      <c r="EE33" s="89"/>
      <c r="EF33" s="272">
        <v>489301</v>
      </c>
      <c r="EG33" s="272">
        <v>14105</v>
      </c>
      <c r="EH33" s="272">
        <v>475196</v>
      </c>
      <c r="EI33" s="272">
        <v>1464</v>
      </c>
      <c r="EJ33" s="272">
        <v>239131</v>
      </c>
      <c r="EK33" s="89"/>
      <c r="EL33" s="272">
        <v>57554</v>
      </c>
      <c r="EM33" s="272">
        <v>56938</v>
      </c>
      <c r="EN33" s="272">
        <v>140078</v>
      </c>
      <c r="EO33" s="272">
        <v>46818</v>
      </c>
      <c r="EP33" s="455">
        <f t="shared" si="11"/>
        <v>826203</v>
      </c>
      <c r="EQ33" s="272">
        <v>11152215</v>
      </c>
      <c r="ER33" s="272">
        <v>-2155726</v>
      </c>
      <c r="ES33" s="272">
        <v>3100410</v>
      </c>
      <c r="ET33" s="272">
        <v>1981759</v>
      </c>
      <c r="EU33" s="272">
        <v>1308021</v>
      </c>
      <c r="EV33" s="272">
        <v>2355531</v>
      </c>
      <c r="EW33" s="455">
        <f t="shared" si="12"/>
        <v>925823</v>
      </c>
      <c r="EX33" s="272">
        <v>923460</v>
      </c>
      <c r="EY33" s="272">
        <v>16452</v>
      </c>
      <c r="EZ33" s="272">
        <v>907008</v>
      </c>
      <c r="FA33" s="272">
        <v>2363</v>
      </c>
      <c r="FB33" s="272">
        <v>0</v>
      </c>
      <c r="FC33" s="272">
        <v>1745819</v>
      </c>
      <c r="FD33" s="272">
        <v>1981648</v>
      </c>
      <c r="FE33" s="272">
        <v>407480</v>
      </c>
      <c r="FF33" s="272">
        <v>1015676</v>
      </c>
      <c r="FG33" s="455">
        <f t="shared" si="13"/>
        <v>385712</v>
      </c>
      <c r="FH33" s="272">
        <v>12818640</v>
      </c>
      <c r="FI33" s="459">
        <f t="shared" si="14"/>
        <v>4.2</v>
      </c>
      <c r="FJ33" s="272">
        <v>10141407</v>
      </c>
      <c r="FK33" s="272">
        <v>1151635</v>
      </c>
      <c r="FL33" s="272">
        <v>5348246</v>
      </c>
      <c r="FM33" s="272">
        <v>8583069</v>
      </c>
      <c r="FN33" s="460">
        <v>0.64800000000000002</v>
      </c>
      <c r="FO33" s="388">
        <v>96.3</v>
      </c>
      <c r="FP33" s="388">
        <v>26.7</v>
      </c>
      <c r="FQ33" s="388">
        <v>11.5</v>
      </c>
      <c r="FR33" s="388">
        <v>20.7</v>
      </c>
      <c r="FS33" s="388">
        <v>14.4</v>
      </c>
      <c r="FT33" s="388">
        <v>14.4</v>
      </c>
      <c r="FU33" s="388">
        <v>8.3000000000000007</v>
      </c>
      <c r="FV33" s="384">
        <f t="shared" si="15"/>
        <v>11.3</v>
      </c>
      <c r="FW33" s="272">
        <v>19449865</v>
      </c>
      <c r="FX33" s="384">
        <f t="shared" si="16"/>
        <v>172.2</v>
      </c>
      <c r="FY33" s="272">
        <v>2081165</v>
      </c>
      <c r="FZ33" s="272">
        <v>389471</v>
      </c>
      <c r="GA33" s="272">
        <v>50905</v>
      </c>
      <c r="GB33" s="272">
        <v>1640789</v>
      </c>
      <c r="GC33" s="272">
        <v>658600</v>
      </c>
      <c r="GD33" s="272">
        <v>1644337</v>
      </c>
      <c r="GE33" s="384">
        <f t="shared" si="19"/>
        <v>14.6</v>
      </c>
      <c r="GF33" s="388">
        <v>98.1</v>
      </c>
      <c r="GG33" s="388">
        <v>24.2</v>
      </c>
      <c r="GH33" s="388">
        <v>93.4</v>
      </c>
      <c r="GI33" s="272">
        <v>358</v>
      </c>
      <c r="GJ33" s="461" t="s">
        <v>646</v>
      </c>
      <c r="GK33" s="461">
        <v>13.14</v>
      </c>
      <c r="GL33" s="462">
        <v>20</v>
      </c>
      <c r="GM33" s="461" t="s">
        <v>646</v>
      </c>
      <c r="GN33" s="462">
        <v>18.14</v>
      </c>
      <c r="GO33" s="462">
        <v>35</v>
      </c>
      <c r="GP33" s="463">
        <v>11.3</v>
      </c>
      <c r="GQ33" s="463">
        <v>25</v>
      </c>
      <c r="GR33" s="463">
        <v>35</v>
      </c>
      <c r="GS33" s="464">
        <v>89.3</v>
      </c>
      <c r="GT33" s="463">
        <v>350</v>
      </c>
      <c r="GU33" s="394"/>
      <c r="GV33" s="394"/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</row>
    <row r="34" spans="2:230" x14ac:dyDescent="0.15">
      <c r="B34" s="89" t="s">
        <v>61</v>
      </c>
      <c r="C34" s="272">
        <v>9126482</v>
      </c>
      <c r="D34" s="455">
        <f t="shared" si="0"/>
        <v>4222997</v>
      </c>
      <c r="E34" s="272">
        <v>103899</v>
      </c>
      <c r="F34" s="456">
        <v>4119098</v>
      </c>
      <c r="G34" s="455">
        <f t="shared" si="1"/>
        <v>272670</v>
      </c>
      <c r="H34" s="272">
        <v>127647</v>
      </c>
      <c r="I34" s="272">
        <v>145023</v>
      </c>
      <c r="J34" s="272">
        <v>3445645</v>
      </c>
      <c r="K34" s="272">
        <v>1475371</v>
      </c>
      <c r="L34" s="272">
        <v>1520123</v>
      </c>
      <c r="M34" s="272">
        <v>396087</v>
      </c>
      <c r="N34" s="272">
        <v>340838</v>
      </c>
      <c r="O34" s="272">
        <v>766614</v>
      </c>
      <c r="P34" s="272">
        <v>445345</v>
      </c>
      <c r="Q34" s="272">
        <v>321269</v>
      </c>
      <c r="R34" s="272">
        <v>154670</v>
      </c>
      <c r="S34" s="272"/>
      <c r="T34" s="455">
        <f t="shared" si="2"/>
        <v>867246</v>
      </c>
      <c r="U34" s="272">
        <v>64128</v>
      </c>
      <c r="V34" s="272">
        <v>30437</v>
      </c>
      <c r="W34" s="456">
        <v>10287</v>
      </c>
      <c r="X34" s="272">
        <v>605419</v>
      </c>
      <c r="Y34" s="272">
        <v>87928</v>
      </c>
      <c r="Z34" s="272">
        <v>0</v>
      </c>
      <c r="AA34" s="272">
        <v>69047</v>
      </c>
      <c r="AB34" s="272">
        <v>154061</v>
      </c>
      <c r="AC34" s="272">
        <v>3133395</v>
      </c>
      <c r="AD34" s="272">
        <v>2906038</v>
      </c>
      <c r="AE34" s="272">
        <v>227357</v>
      </c>
      <c r="AF34" s="272">
        <v>12487</v>
      </c>
      <c r="AG34" s="272">
        <v>234163</v>
      </c>
      <c r="AH34" s="455">
        <f t="shared" si="3"/>
        <v>415835</v>
      </c>
      <c r="AI34" s="272">
        <v>331095</v>
      </c>
      <c r="AJ34" s="272">
        <v>84740</v>
      </c>
      <c r="AK34" s="272">
        <v>3889681</v>
      </c>
      <c r="AL34" s="455">
        <f t="shared" si="4"/>
        <v>1430498</v>
      </c>
      <c r="AM34" s="272">
        <v>887562</v>
      </c>
      <c r="AN34" s="272">
        <v>204566</v>
      </c>
      <c r="AO34" s="272"/>
      <c r="AP34" s="272">
        <v>338370</v>
      </c>
      <c r="AQ34" s="272">
        <v>732388</v>
      </c>
      <c r="AR34" s="272">
        <v>0</v>
      </c>
      <c r="AS34" s="272">
        <v>0</v>
      </c>
      <c r="AT34" s="272">
        <v>1390656</v>
      </c>
      <c r="AU34" s="272">
        <v>764823</v>
      </c>
      <c r="AV34" s="272">
        <v>101832</v>
      </c>
      <c r="AW34" s="272">
        <v>13287</v>
      </c>
      <c r="AX34" s="272">
        <v>625833</v>
      </c>
      <c r="AY34" s="272">
        <v>4611</v>
      </c>
      <c r="AZ34" s="272">
        <v>55781</v>
      </c>
      <c r="BA34" s="272">
        <v>41645</v>
      </c>
      <c r="BB34" s="272">
        <v>22703</v>
      </c>
      <c r="BC34" s="272">
        <v>17116</v>
      </c>
      <c r="BD34" s="272">
        <v>0</v>
      </c>
      <c r="BE34" s="272">
        <v>0</v>
      </c>
      <c r="BF34" s="272">
        <v>0</v>
      </c>
      <c r="BG34" s="272">
        <v>0</v>
      </c>
      <c r="BH34" s="272">
        <v>322311</v>
      </c>
      <c r="BI34" s="272">
        <v>270068</v>
      </c>
      <c r="BJ34" s="272">
        <v>318690</v>
      </c>
      <c r="BK34" s="272">
        <v>100000</v>
      </c>
      <c r="BL34" s="272">
        <v>0</v>
      </c>
      <c r="BM34" s="272">
        <v>0</v>
      </c>
      <c r="BN34" s="272">
        <v>3475152</v>
      </c>
      <c r="BO34" s="455">
        <f t="shared" si="5"/>
        <v>1604600</v>
      </c>
      <c r="BP34" s="455">
        <f t="shared" si="6"/>
        <v>1542852</v>
      </c>
      <c r="BQ34" s="272"/>
      <c r="BR34" s="272">
        <v>0</v>
      </c>
      <c r="BS34" s="272">
        <v>1542852</v>
      </c>
      <c r="BT34" s="272">
        <v>327700</v>
      </c>
      <c r="BU34" s="272">
        <v>23590429</v>
      </c>
      <c r="BV34" s="272"/>
      <c r="BW34" s="272">
        <v>4954104</v>
      </c>
      <c r="BX34" s="272">
        <v>2829974</v>
      </c>
      <c r="BY34" s="272">
        <v>748856</v>
      </c>
      <c r="BZ34" s="272">
        <v>491921</v>
      </c>
      <c r="CA34" s="272">
        <v>5256706</v>
      </c>
      <c r="CB34" s="272">
        <v>1038532</v>
      </c>
      <c r="CC34" s="272">
        <v>111615</v>
      </c>
      <c r="CD34" s="272">
        <v>2671741</v>
      </c>
      <c r="CE34" s="272">
        <v>1246921</v>
      </c>
      <c r="CF34" s="272">
        <v>0</v>
      </c>
      <c r="CG34" s="272">
        <v>187897</v>
      </c>
      <c r="CH34" s="272">
        <v>4176995</v>
      </c>
      <c r="CI34" s="457" t="s">
        <v>646</v>
      </c>
      <c r="CJ34" s="458" t="s">
        <v>646</v>
      </c>
      <c r="CK34" s="272">
        <v>2466158</v>
      </c>
      <c r="CL34" s="272">
        <v>1437236</v>
      </c>
      <c r="CM34" s="272">
        <v>188123</v>
      </c>
      <c r="CN34" s="272">
        <v>434187</v>
      </c>
      <c r="CO34" s="272">
        <v>89782</v>
      </c>
      <c r="CP34" s="272">
        <v>940491</v>
      </c>
      <c r="CQ34" s="272">
        <v>471227</v>
      </c>
      <c r="CR34" s="272">
        <v>260478</v>
      </c>
      <c r="CS34" s="272">
        <v>155404</v>
      </c>
      <c r="CT34" s="455">
        <f t="shared" si="7"/>
        <v>5107</v>
      </c>
      <c r="CU34" s="272">
        <v>5107</v>
      </c>
      <c r="CV34" s="272">
        <v>0</v>
      </c>
      <c r="CW34" s="455">
        <f t="shared" si="8"/>
        <v>0</v>
      </c>
      <c r="CX34" s="272">
        <v>0</v>
      </c>
      <c r="CY34" s="272">
        <v>0</v>
      </c>
      <c r="CZ34" s="455">
        <f t="shared" si="9"/>
        <v>0</v>
      </c>
      <c r="DA34" s="272">
        <v>0</v>
      </c>
      <c r="DB34" s="272">
        <v>0</v>
      </c>
      <c r="DC34" s="272">
        <v>2946111</v>
      </c>
      <c r="DD34" s="272">
        <v>778907</v>
      </c>
      <c r="DE34" s="272">
        <v>2159110</v>
      </c>
      <c r="DF34" s="26">
        <v>8094</v>
      </c>
      <c r="DG34" s="27">
        <v>0</v>
      </c>
      <c r="DH34" s="272">
        <v>0</v>
      </c>
      <c r="DI34" s="272">
        <v>352542</v>
      </c>
      <c r="DJ34" s="272">
        <v>348429</v>
      </c>
      <c r="DK34" s="272">
        <v>1624</v>
      </c>
      <c r="DL34" s="272">
        <v>2489</v>
      </c>
      <c r="DM34" s="272">
        <v>0</v>
      </c>
      <c r="DN34" s="272">
        <v>0</v>
      </c>
      <c r="DO34" s="272">
        <v>0</v>
      </c>
      <c r="DP34" s="272">
        <v>0</v>
      </c>
      <c r="DQ34" s="272">
        <v>0</v>
      </c>
      <c r="DR34" s="272">
        <v>0</v>
      </c>
      <c r="DS34" s="272">
        <v>0</v>
      </c>
      <c r="DT34" s="272">
        <v>2123354</v>
      </c>
      <c r="DU34" s="272">
        <v>271120</v>
      </c>
      <c r="DV34" s="455">
        <f t="shared" si="10"/>
        <v>0</v>
      </c>
      <c r="DW34" s="272">
        <v>0</v>
      </c>
      <c r="DX34" s="272">
        <v>581661</v>
      </c>
      <c r="DY34" s="272">
        <v>0</v>
      </c>
      <c r="DZ34" s="272">
        <v>682633</v>
      </c>
      <c r="EA34" s="272">
        <v>4531</v>
      </c>
      <c r="EB34" s="272">
        <v>583369</v>
      </c>
      <c r="EC34" s="272">
        <v>0</v>
      </c>
      <c r="ED34" s="272">
        <v>23306243</v>
      </c>
      <c r="EE34" s="89"/>
      <c r="EF34" s="272">
        <v>284186</v>
      </c>
      <c r="EG34" s="272">
        <v>103897</v>
      </c>
      <c r="EH34" s="272">
        <v>180289</v>
      </c>
      <c r="EI34" s="272">
        <v>-89779</v>
      </c>
      <c r="EJ34" s="272">
        <v>338119</v>
      </c>
      <c r="EK34" s="89"/>
      <c r="EL34" s="272">
        <v>77686</v>
      </c>
      <c r="EM34" s="272">
        <v>78400</v>
      </c>
      <c r="EN34" s="272">
        <v>1785</v>
      </c>
      <c r="EO34" s="272">
        <v>49400</v>
      </c>
      <c r="EP34" s="455">
        <f t="shared" si="11"/>
        <v>741519</v>
      </c>
      <c r="EQ34" s="272">
        <v>13448341</v>
      </c>
      <c r="ER34" s="272">
        <v>-2323069</v>
      </c>
      <c r="ES34" s="272">
        <v>4355824</v>
      </c>
      <c r="ET34" s="272">
        <v>2665033</v>
      </c>
      <c r="EU34" s="272">
        <v>1579855</v>
      </c>
      <c r="EV34" s="272">
        <v>4076995</v>
      </c>
      <c r="EW34" s="455">
        <f t="shared" si="12"/>
        <v>576043</v>
      </c>
      <c r="EX34" s="272">
        <v>576043</v>
      </c>
      <c r="EY34" s="272">
        <v>107</v>
      </c>
      <c r="EZ34" s="272">
        <v>575489</v>
      </c>
      <c r="FA34" s="272">
        <v>0</v>
      </c>
      <c r="FB34" s="272">
        <v>0</v>
      </c>
      <c r="FC34" s="272">
        <v>1794569</v>
      </c>
      <c r="FD34" s="272">
        <v>834643</v>
      </c>
      <c r="FE34" s="272">
        <v>451297</v>
      </c>
      <c r="FF34" s="272">
        <v>1833727</v>
      </c>
      <c r="FG34" s="455">
        <f t="shared" si="13"/>
        <v>435568</v>
      </c>
      <c r="FH34" s="272">
        <v>15487224</v>
      </c>
      <c r="FI34" s="459">
        <f t="shared" si="14"/>
        <v>1.3</v>
      </c>
      <c r="FJ34" s="272">
        <v>12337077</v>
      </c>
      <c r="FK34" s="272">
        <v>1542852</v>
      </c>
      <c r="FL34" s="272">
        <v>7315410</v>
      </c>
      <c r="FM34" s="272">
        <v>10221448</v>
      </c>
      <c r="FN34" s="460">
        <v>0.754</v>
      </c>
      <c r="FO34" s="388">
        <v>96.5</v>
      </c>
      <c r="FP34" s="388">
        <v>30.3</v>
      </c>
      <c r="FQ34" s="388">
        <v>11.2</v>
      </c>
      <c r="FR34" s="388">
        <v>28.3</v>
      </c>
      <c r="FS34" s="388">
        <v>11.4</v>
      </c>
      <c r="FT34" s="388">
        <v>4.5</v>
      </c>
      <c r="FU34" s="388">
        <v>10.199999999999999</v>
      </c>
      <c r="FV34" s="384">
        <f t="shared" si="15"/>
        <v>16.600000000000001</v>
      </c>
      <c r="FW34" s="272">
        <v>31842280</v>
      </c>
      <c r="FX34" s="384">
        <f t="shared" si="16"/>
        <v>229.4</v>
      </c>
      <c r="FY34" s="272">
        <v>3325082</v>
      </c>
      <c r="FZ34" s="272">
        <v>1239397</v>
      </c>
      <c r="GA34" s="272">
        <v>643861</v>
      </c>
      <c r="GB34" s="272">
        <v>1441824</v>
      </c>
      <c r="GC34" s="272">
        <v>0</v>
      </c>
      <c r="GD34" s="272">
        <v>19473189</v>
      </c>
      <c r="GE34" s="384">
        <f t="shared" si="19"/>
        <v>140.30000000000001</v>
      </c>
      <c r="GF34" s="388">
        <v>98.5</v>
      </c>
      <c r="GG34" s="388">
        <v>25.5</v>
      </c>
      <c r="GH34" s="388">
        <v>94.4</v>
      </c>
      <c r="GI34" s="272">
        <v>477</v>
      </c>
      <c r="GJ34" s="461" t="s">
        <v>646</v>
      </c>
      <c r="GK34" s="461">
        <v>12.87</v>
      </c>
      <c r="GL34" s="462">
        <v>20</v>
      </c>
      <c r="GM34" s="461" t="s">
        <v>646</v>
      </c>
      <c r="GN34" s="462">
        <v>17.87</v>
      </c>
      <c r="GO34" s="462">
        <v>35</v>
      </c>
      <c r="GP34" s="463">
        <v>16.600000000000001</v>
      </c>
      <c r="GQ34" s="463">
        <v>25</v>
      </c>
      <c r="GR34" s="463">
        <v>35</v>
      </c>
      <c r="GS34" s="464">
        <v>277</v>
      </c>
      <c r="GT34" s="463">
        <v>350</v>
      </c>
      <c r="GU34" s="394"/>
      <c r="GV34" s="394"/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</row>
    <row r="35" spans="2:230" x14ac:dyDescent="0.15">
      <c r="B35" s="89" t="s">
        <v>63</v>
      </c>
      <c r="C35" s="272">
        <v>7587506</v>
      </c>
      <c r="D35" s="455">
        <f t="shared" si="0"/>
        <v>3541002</v>
      </c>
      <c r="E35" s="272">
        <v>76423</v>
      </c>
      <c r="F35" s="456">
        <v>3464579</v>
      </c>
      <c r="G35" s="455">
        <f t="shared" si="1"/>
        <v>463002</v>
      </c>
      <c r="H35" s="272">
        <v>103519</v>
      </c>
      <c r="I35" s="272">
        <v>359483</v>
      </c>
      <c r="J35" s="272">
        <v>2855936</v>
      </c>
      <c r="K35" s="272">
        <v>1171972</v>
      </c>
      <c r="L35" s="272">
        <v>1296428</v>
      </c>
      <c r="M35" s="272">
        <v>354393</v>
      </c>
      <c r="N35" s="272">
        <v>297784</v>
      </c>
      <c r="O35" s="272">
        <v>368690</v>
      </c>
      <c r="P35" s="272">
        <v>205710</v>
      </c>
      <c r="Q35" s="272">
        <v>162980</v>
      </c>
      <c r="R35" s="272">
        <v>121168</v>
      </c>
      <c r="S35" s="272"/>
      <c r="T35" s="455">
        <f t="shared" si="2"/>
        <v>656613</v>
      </c>
      <c r="U35" s="272">
        <v>50749</v>
      </c>
      <c r="V35" s="272">
        <v>24080</v>
      </c>
      <c r="W35" s="456">
        <v>8130</v>
      </c>
      <c r="X35" s="272">
        <v>519560</v>
      </c>
      <c r="Y35" s="272">
        <v>0</v>
      </c>
      <c r="Z35" s="272">
        <v>0</v>
      </c>
      <c r="AA35" s="272">
        <v>54094</v>
      </c>
      <c r="AB35" s="272">
        <v>116586</v>
      </c>
      <c r="AC35" s="272">
        <v>2675439</v>
      </c>
      <c r="AD35" s="272">
        <v>2367671</v>
      </c>
      <c r="AE35" s="272">
        <v>307768</v>
      </c>
      <c r="AF35" s="272">
        <v>11697</v>
      </c>
      <c r="AG35" s="272">
        <v>180656</v>
      </c>
      <c r="AH35" s="455">
        <f t="shared" si="3"/>
        <v>251008</v>
      </c>
      <c r="AI35" s="272">
        <v>209064</v>
      </c>
      <c r="AJ35" s="272">
        <v>41944</v>
      </c>
      <c r="AK35" s="272">
        <v>3007599</v>
      </c>
      <c r="AL35" s="455">
        <f t="shared" si="4"/>
        <v>1262968</v>
      </c>
      <c r="AM35" s="272">
        <v>939840</v>
      </c>
      <c r="AN35" s="272">
        <v>152109</v>
      </c>
      <c r="AO35" s="272"/>
      <c r="AP35" s="272">
        <v>171019</v>
      </c>
      <c r="AQ35" s="272">
        <v>557825</v>
      </c>
      <c r="AR35" s="272">
        <v>0</v>
      </c>
      <c r="AS35" s="272">
        <v>0</v>
      </c>
      <c r="AT35" s="272">
        <v>1341755</v>
      </c>
      <c r="AU35" s="272">
        <v>842702</v>
      </c>
      <c r="AV35" s="272">
        <v>76055</v>
      </c>
      <c r="AW35" s="272">
        <v>146469</v>
      </c>
      <c r="AX35" s="272">
        <v>499053</v>
      </c>
      <c r="AY35" s="272">
        <v>875</v>
      </c>
      <c r="AZ35" s="272">
        <v>22495</v>
      </c>
      <c r="BA35" s="272">
        <v>4489</v>
      </c>
      <c r="BB35" s="272">
        <v>14221</v>
      </c>
      <c r="BC35" s="272">
        <v>35548</v>
      </c>
      <c r="BD35" s="272">
        <v>0</v>
      </c>
      <c r="BE35" s="272">
        <v>0</v>
      </c>
      <c r="BF35" s="272">
        <v>2703</v>
      </c>
      <c r="BG35" s="272">
        <v>0</v>
      </c>
      <c r="BH35" s="272">
        <v>489506</v>
      </c>
      <c r="BI35" s="272">
        <v>431760</v>
      </c>
      <c r="BJ35" s="272">
        <v>154360</v>
      </c>
      <c r="BK35" s="272">
        <v>150</v>
      </c>
      <c r="BL35" s="272">
        <v>0</v>
      </c>
      <c r="BM35" s="272">
        <v>0</v>
      </c>
      <c r="BN35" s="272">
        <v>1403000</v>
      </c>
      <c r="BO35" s="455">
        <f t="shared" si="5"/>
        <v>150600</v>
      </c>
      <c r="BP35" s="455">
        <f t="shared" si="6"/>
        <v>1252400</v>
      </c>
      <c r="BQ35" s="272"/>
      <c r="BR35" s="272">
        <v>0</v>
      </c>
      <c r="BS35" s="272">
        <v>1252400</v>
      </c>
      <c r="BT35" s="272">
        <v>0</v>
      </c>
      <c r="BU35" s="272">
        <v>18069157</v>
      </c>
      <c r="BV35" s="272"/>
      <c r="BW35" s="272">
        <v>3935847</v>
      </c>
      <c r="BX35" s="272">
        <v>2532972</v>
      </c>
      <c r="BY35" s="272">
        <v>456936</v>
      </c>
      <c r="BZ35" s="272">
        <v>231267</v>
      </c>
      <c r="CA35" s="272">
        <v>3879829</v>
      </c>
      <c r="CB35" s="272">
        <v>513394</v>
      </c>
      <c r="CC35" s="272">
        <v>80175</v>
      </c>
      <c r="CD35" s="272">
        <v>1979709</v>
      </c>
      <c r="CE35" s="272">
        <v>1245130</v>
      </c>
      <c r="CF35" s="272">
        <v>1105</v>
      </c>
      <c r="CG35" s="272">
        <v>60316</v>
      </c>
      <c r="CH35" s="272">
        <v>2432272</v>
      </c>
      <c r="CI35" s="457" t="s">
        <v>646</v>
      </c>
      <c r="CJ35" s="458" t="s">
        <v>646</v>
      </c>
      <c r="CK35" s="272">
        <v>2462936</v>
      </c>
      <c r="CL35" s="272">
        <v>1629383</v>
      </c>
      <c r="CM35" s="272">
        <v>128253</v>
      </c>
      <c r="CN35" s="272">
        <v>302107</v>
      </c>
      <c r="CO35" s="272">
        <v>31621</v>
      </c>
      <c r="CP35" s="272">
        <v>1060461</v>
      </c>
      <c r="CQ35" s="272">
        <v>494804</v>
      </c>
      <c r="CR35" s="272">
        <v>314541</v>
      </c>
      <c r="CS35" s="272">
        <v>102308</v>
      </c>
      <c r="CT35" s="455">
        <f t="shared" si="7"/>
        <v>13546</v>
      </c>
      <c r="CU35" s="272">
        <v>13546</v>
      </c>
      <c r="CV35" s="272">
        <v>0</v>
      </c>
      <c r="CW35" s="455">
        <f t="shared" si="8"/>
        <v>0</v>
      </c>
      <c r="CX35" s="272">
        <v>0</v>
      </c>
      <c r="CY35" s="272">
        <v>0</v>
      </c>
      <c r="CZ35" s="455">
        <f t="shared" si="9"/>
        <v>0</v>
      </c>
      <c r="DA35" s="272">
        <v>0</v>
      </c>
      <c r="DB35" s="272">
        <v>0</v>
      </c>
      <c r="DC35" s="272">
        <v>1290279</v>
      </c>
      <c r="DD35" s="272">
        <v>903847</v>
      </c>
      <c r="DE35" s="272">
        <v>374412</v>
      </c>
      <c r="DF35" s="26">
        <v>12020</v>
      </c>
      <c r="DG35" s="27">
        <v>0</v>
      </c>
      <c r="DH35" s="272">
        <v>0</v>
      </c>
      <c r="DI35" s="272">
        <v>413871</v>
      </c>
      <c r="DJ35" s="272">
        <v>403175</v>
      </c>
      <c r="DK35" s="272">
        <v>100</v>
      </c>
      <c r="DL35" s="272">
        <v>10596</v>
      </c>
      <c r="DM35" s="272">
        <v>0</v>
      </c>
      <c r="DN35" s="272">
        <v>0</v>
      </c>
      <c r="DO35" s="272">
        <v>0</v>
      </c>
      <c r="DP35" s="272">
        <v>0</v>
      </c>
      <c r="DQ35" s="272">
        <v>0</v>
      </c>
      <c r="DR35" s="272">
        <v>0</v>
      </c>
      <c r="DS35" s="272">
        <v>0</v>
      </c>
      <c r="DT35" s="272">
        <v>1671684</v>
      </c>
      <c r="DU35" s="272">
        <v>309519</v>
      </c>
      <c r="DV35" s="455">
        <f t="shared" si="10"/>
        <v>0</v>
      </c>
      <c r="DW35" s="272">
        <v>0</v>
      </c>
      <c r="DX35" s="272">
        <v>490138</v>
      </c>
      <c r="DY35" s="272">
        <v>0</v>
      </c>
      <c r="DZ35" s="272">
        <v>382364</v>
      </c>
      <c r="EA35" s="272">
        <v>0</v>
      </c>
      <c r="EB35" s="272">
        <v>489663</v>
      </c>
      <c r="EC35" s="272">
        <v>0</v>
      </c>
      <c r="ED35" s="272">
        <v>17178800</v>
      </c>
      <c r="EE35" s="89"/>
      <c r="EF35" s="272">
        <v>890357</v>
      </c>
      <c r="EG35" s="272">
        <v>140041</v>
      </c>
      <c r="EH35" s="272">
        <v>750316</v>
      </c>
      <c r="EI35" s="272">
        <v>318556</v>
      </c>
      <c r="EJ35" s="272">
        <v>721731</v>
      </c>
      <c r="EK35" s="89"/>
      <c r="EL35" s="272">
        <v>58227</v>
      </c>
      <c r="EM35" s="272">
        <v>57479</v>
      </c>
      <c r="EN35" s="272">
        <v>4387</v>
      </c>
      <c r="EO35" s="272">
        <v>17345</v>
      </c>
      <c r="EP35" s="455">
        <f t="shared" si="11"/>
        <v>1028002</v>
      </c>
      <c r="EQ35" s="272">
        <v>11169009</v>
      </c>
      <c r="ER35" s="272">
        <v>-2290437</v>
      </c>
      <c r="ES35" s="272">
        <v>3596822</v>
      </c>
      <c r="ET35" s="272">
        <v>2275494</v>
      </c>
      <c r="EU35" s="272">
        <v>1055021</v>
      </c>
      <c r="EV35" s="272">
        <v>2432272</v>
      </c>
      <c r="EW35" s="455">
        <f t="shared" si="12"/>
        <v>516489</v>
      </c>
      <c r="EX35" s="272">
        <v>516489</v>
      </c>
      <c r="EY35" s="272">
        <v>207972</v>
      </c>
      <c r="EZ35" s="272">
        <v>304511</v>
      </c>
      <c r="FA35" s="272">
        <v>0</v>
      </c>
      <c r="FB35" s="272">
        <v>0</v>
      </c>
      <c r="FC35" s="272">
        <v>2095919</v>
      </c>
      <c r="FD35" s="272">
        <v>985898</v>
      </c>
      <c r="FE35" s="272">
        <v>494804</v>
      </c>
      <c r="FF35" s="272">
        <v>1446218</v>
      </c>
      <c r="FG35" s="455">
        <f t="shared" si="13"/>
        <v>440450</v>
      </c>
      <c r="FH35" s="272">
        <v>12569089</v>
      </c>
      <c r="FI35" s="459">
        <f t="shared" si="14"/>
        <v>6.6</v>
      </c>
      <c r="FJ35" s="272">
        <v>10149730</v>
      </c>
      <c r="FK35" s="272">
        <v>1252466</v>
      </c>
      <c r="FL35" s="272">
        <v>5987884</v>
      </c>
      <c r="FM35" s="272">
        <v>8355555</v>
      </c>
      <c r="FN35" s="460">
        <v>0.76100000000000001</v>
      </c>
      <c r="FO35" s="388">
        <v>93.2</v>
      </c>
      <c r="FP35" s="388">
        <v>29.2</v>
      </c>
      <c r="FQ35" s="388">
        <v>8.9</v>
      </c>
      <c r="FR35" s="388">
        <v>20.100000000000001</v>
      </c>
      <c r="FS35" s="388">
        <v>16.5</v>
      </c>
      <c r="FT35" s="388">
        <v>7.7</v>
      </c>
      <c r="FU35" s="388">
        <v>10.5</v>
      </c>
      <c r="FV35" s="384">
        <f t="shared" si="15"/>
        <v>10.1</v>
      </c>
      <c r="FW35" s="272">
        <v>17359570</v>
      </c>
      <c r="FX35" s="384">
        <f t="shared" si="16"/>
        <v>152.19999999999999</v>
      </c>
      <c r="FY35" s="272">
        <v>4041960</v>
      </c>
      <c r="FZ35" s="272">
        <v>2706212</v>
      </c>
      <c r="GA35" s="272">
        <v>36628</v>
      </c>
      <c r="GB35" s="272">
        <v>1299120</v>
      </c>
      <c r="GC35" s="272">
        <v>0</v>
      </c>
      <c r="GD35" s="272">
        <v>1038050</v>
      </c>
      <c r="GE35" s="384">
        <f t="shared" si="19"/>
        <v>9.1</v>
      </c>
      <c r="GF35" s="388">
        <v>98</v>
      </c>
      <c r="GG35" s="388">
        <v>16.5</v>
      </c>
      <c r="GH35" s="388">
        <v>91.7</v>
      </c>
      <c r="GI35" s="272">
        <v>374</v>
      </c>
      <c r="GJ35" s="461" t="s">
        <v>646</v>
      </c>
      <c r="GK35" s="461">
        <v>13.13</v>
      </c>
      <c r="GL35" s="462">
        <v>20</v>
      </c>
      <c r="GM35" s="461" t="s">
        <v>646</v>
      </c>
      <c r="GN35" s="462">
        <v>18.13</v>
      </c>
      <c r="GO35" s="462">
        <v>35</v>
      </c>
      <c r="GP35" s="463">
        <v>10.1</v>
      </c>
      <c r="GQ35" s="463">
        <v>25</v>
      </c>
      <c r="GR35" s="463">
        <v>35</v>
      </c>
      <c r="GS35" s="464">
        <v>30.3</v>
      </c>
      <c r="GT35" s="463">
        <v>350</v>
      </c>
      <c r="GU35" s="394"/>
      <c r="GV35" s="394"/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</row>
    <row r="36" spans="2:230" x14ac:dyDescent="0.15">
      <c r="B36" s="89" t="s">
        <v>65</v>
      </c>
      <c r="C36" s="272">
        <v>5554105</v>
      </c>
      <c r="D36" s="455">
        <f t="shared" si="0"/>
        <v>2515837</v>
      </c>
      <c r="E36" s="272">
        <v>64126</v>
      </c>
      <c r="F36" s="456">
        <v>2451711</v>
      </c>
      <c r="G36" s="455">
        <f t="shared" si="1"/>
        <v>145646</v>
      </c>
      <c r="H36" s="272">
        <v>69984</v>
      </c>
      <c r="I36" s="272">
        <v>75662</v>
      </c>
      <c r="J36" s="272">
        <v>2111963</v>
      </c>
      <c r="K36" s="272">
        <v>753099</v>
      </c>
      <c r="L36" s="272">
        <v>1068622</v>
      </c>
      <c r="M36" s="272">
        <v>235568</v>
      </c>
      <c r="N36" s="272">
        <v>256991</v>
      </c>
      <c r="O36" s="272">
        <v>431564</v>
      </c>
      <c r="P36" s="272">
        <v>208776</v>
      </c>
      <c r="Q36" s="272">
        <v>222788</v>
      </c>
      <c r="R36" s="272">
        <v>133155</v>
      </c>
      <c r="S36" s="272"/>
      <c r="T36" s="455">
        <f t="shared" si="2"/>
        <v>555592</v>
      </c>
      <c r="U36" s="272">
        <v>36943</v>
      </c>
      <c r="V36" s="272">
        <v>17551</v>
      </c>
      <c r="W36" s="456">
        <v>5948</v>
      </c>
      <c r="X36" s="272">
        <v>434494</v>
      </c>
      <c r="Y36" s="272">
        <v>1205</v>
      </c>
      <c r="Z36" s="272">
        <v>0</v>
      </c>
      <c r="AA36" s="272">
        <v>59451</v>
      </c>
      <c r="AB36" s="272">
        <v>111445</v>
      </c>
      <c r="AC36" s="272">
        <v>3914205</v>
      </c>
      <c r="AD36" s="272">
        <v>3603772</v>
      </c>
      <c r="AE36" s="272">
        <v>310433</v>
      </c>
      <c r="AF36" s="272">
        <v>10823</v>
      </c>
      <c r="AG36" s="272">
        <v>74185</v>
      </c>
      <c r="AH36" s="455">
        <f t="shared" si="3"/>
        <v>295647</v>
      </c>
      <c r="AI36" s="272">
        <v>200132</v>
      </c>
      <c r="AJ36" s="272">
        <v>95515</v>
      </c>
      <c r="AK36" s="272">
        <v>3606991</v>
      </c>
      <c r="AL36" s="455">
        <f t="shared" si="4"/>
        <v>1055076</v>
      </c>
      <c r="AM36" s="272">
        <v>650372</v>
      </c>
      <c r="AN36" s="272">
        <v>176974</v>
      </c>
      <c r="AO36" s="272"/>
      <c r="AP36" s="272">
        <v>227730</v>
      </c>
      <c r="AQ36" s="272">
        <v>1392489</v>
      </c>
      <c r="AR36" s="272">
        <v>661</v>
      </c>
      <c r="AS36" s="272">
        <v>0</v>
      </c>
      <c r="AT36" s="272">
        <v>1162155</v>
      </c>
      <c r="AU36" s="272">
        <v>553543</v>
      </c>
      <c r="AV36" s="272">
        <v>42933</v>
      </c>
      <c r="AW36" s="272">
        <v>56330</v>
      </c>
      <c r="AX36" s="272">
        <v>608612</v>
      </c>
      <c r="AY36" s="272">
        <v>8955</v>
      </c>
      <c r="AZ36" s="272">
        <v>7355</v>
      </c>
      <c r="BA36" s="272">
        <v>1796</v>
      </c>
      <c r="BB36" s="272">
        <v>4631</v>
      </c>
      <c r="BC36" s="272">
        <v>55986</v>
      </c>
      <c r="BD36" s="272">
        <v>0</v>
      </c>
      <c r="BE36" s="272">
        <v>13909</v>
      </c>
      <c r="BF36" s="272">
        <v>15499</v>
      </c>
      <c r="BG36" s="272">
        <v>0</v>
      </c>
      <c r="BH36" s="272">
        <v>175780</v>
      </c>
      <c r="BI36" s="272">
        <v>170327</v>
      </c>
      <c r="BJ36" s="272">
        <v>207852</v>
      </c>
      <c r="BK36" s="272">
        <v>0</v>
      </c>
      <c r="BL36" s="272">
        <v>0</v>
      </c>
      <c r="BM36" s="272">
        <v>0</v>
      </c>
      <c r="BN36" s="272">
        <v>3025300</v>
      </c>
      <c r="BO36" s="455">
        <f t="shared" si="5"/>
        <v>1773000</v>
      </c>
      <c r="BP36" s="455">
        <f t="shared" si="6"/>
        <v>1100000</v>
      </c>
      <c r="BQ36" s="272"/>
      <c r="BR36" s="272">
        <v>0</v>
      </c>
      <c r="BS36" s="272">
        <v>1100000</v>
      </c>
      <c r="BT36" s="272">
        <v>152300</v>
      </c>
      <c r="BU36" s="272">
        <v>18895207</v>
      </c>
      <c r="BV36" s="272"/>
      <c r="BW36" s="272">
        <v>3127498</v>
      </c>
      <c r="BX36" s="272">
        <v>2104633</v>
      </c>
      <c r="BY36" s="272">
        <v>374676</v>
      </c>
      <c r="BZ36" s="272">
        <v>31180</v>
      </c>
      <c r="CA36" s="272">
        <v>3402318</v>
      </c>
      <c r="CB36" s="272">
        <v>645384</v>
      </c>
      <c r="CC36" s="272">
        <v>78379</v>
      </c>
      <c r="CD36" s="272">
        <v>1708383</v>
      </c>
      <c r="CE36" s="272">
        <v>881498</v>
      </c>
      <c r="CF36" s="272">
        <v>8955</v>
      </c>
      <c r="CG36" s="272">
        <v>79719</v>
      </c>
      <c r="CH36" s="272">
        <v>1651693</v>
      </c>
      <c r="CI36" s="457" t="s">
        <v>646</v>
      </c>
      <c r="CJ36" s="458" t="s">
        <v>646</v>
      </c>
      <c r="CK36" s="272">
        <v>2012148</v>
      </c>
      <c r="CL36" s="272">
        <v>1027843</v>
      </c>
      <c r="CM36" s="272">
        <v>340882</v>
      </c>
      <c r="CN36" s="272">
        <v>348941</v>
      </c>
      <c r="CO36" s="272">
        <v>109781</v>
      </c>
      <c r="CP36" s="272">
        <v>2729208</v>
      </c>
      <c r="CQ36" s="272">
        <v>895037</v>
      </c>
      <c r="CR36" s="272">
        <v>202244</v>
      </c>
      <c r="CS36" s="272">
        <v>202244</v>
      </c>
      <c r="CT36" s="455">
        <f t="shared" si="7"/>
        <v>488573</v>
      </c>
      <c r="CU36" s="272">
        <v>76203</v>
      </c>
      <c r="CV36" s="272">
        <v>412370</v>
      </c>
      <c r="CW36" s="455">
        <f t="shared" si="8"/>
        <v>464843</v>
      </c>
      <c r="CX36" s="272">
        <v>71073</v>
      </c>
      <c r="CY36" s="272">
        <v>393770</v>
      </c>
      <c r="CZ36" s="455">
        <f t="shared" si="9"/>
        <v>0</v>
      </c>
      <c r="DA36" s="272">
        <v>0</v>
      </c>
      <c r="DB36" s="272">
        <v>0</v>
      </c>
      <c r="DC36" s="272">
        <v>2747375</v>
      </c>
      <c r="DD36" s="272">
        <v>2263877</v>
      </c>
      <c r="DE36" s="272">
        <v>471076</v>
      </c>
      <c r="DF36" s="26">
        <v>12422</v>
      </c>
      <c r="DG36" s="27">
        <v>0</v>
      </c>
      <c r="DH36" s="272">
        <v>1363</v>
      </c>
      <c r="DI36" s="272">
        <v>904344</v>
      </c>
      <c r="DJ36" s="272">
        <v>852588</v>
      </c>
      <c r="DK36" s="272">
        <v>30513</v>
      </c>
      <c r="DL36" s="272">
        <v>21243</v>
      </c>
      <c r="DM36" s="272">
        <v>30000</v>
      </c>
      <c r="DN36" s="272">
        <v>30000</v>
      </c>
      <c r="DO36" s="272">
        <v>30000</v>
      </c>
      <c r="DP36" s="272">
        <v>0</v>
      </c>
      <c r="DQ36" s="272">
        <v>0</v>
      </c>
      <c r="DR36" s="272">
        <v>0</v>
      </c>
      <c r="DS36" s="272">
        <v>0</v>
      </c>
      <c r="DT36" s="272">
        <v>1968961</v>
      </c>
      <c r="DU36" s="272">
        <v>425353</v>
      </c>
      <c r="DV36" s="455">
        <f t="shared" si="10"/>
        <v>0</v>
      </c>
      <c r="DW36" s="272">
        <v>0</v>
      </c>
      <c r="DX36" s="272">
        <v>594526</v>
      </c>
      <c r="DY36" s="272">
        <v>0</v>
      </c>
      <c r="DZ36" s="272">
        <v>475563</v>
      </c>
      <c r="EA36" s="272">
        <v>2137</v>
      </c>
      <c r="EB36" s="272">
        <v>471377</v>
      </c>
      <c r="EC36" s="272">
        <v>0</v>
      </c>
      <c r="ED36" s="272">
        <v>18684689</v>
      </c>
      <c r="EE36" s="89"/>
      <c r="EF36" s="272">
        <v>210518</v>
      </c>
      <c r="EG36" s="272">
        <v>7140</v>
      </c>
      <c r="EH36" s="272">
        <v>203378</v>
      </c>
      <c r="EI36" s="272">
        <v>33051</v>
      </c>
      <c r="EJ36" s="272">
        <v>885639</v>
      </c>
      <c r="EK36" s="89"/>
      <c r="EL36" s="272">
        <v>56646</v>
      </c>
      <c r="EM36" s="272">
        <v>57931</v>
      </c>
      <c r="EN36" s="272">
        <v>26578</v>
      </c>
      <c r="EO36" s="272">
        <v>1580</v>
      </c>
      <c r="EP36" s="455">
        <f t="shared" si="11"/>
        <v>500109</v>
      </c>
      <c r="EQ36" s="272">
        <v>10279325</v>
      </c>
      <c r="ER36" s="272">
        <v>-1617444</v>
      </c>
      <c r="ES36" s="272">
        <v>2629490</v>
      </c>
      <c r="ET36" s="272">
        <v>1777593</v>
      </c>
      <c r="EU36" s="272">
        <v>911325</v>
      </c>
      <c r="EV36" s="272">
        <v>1651693</v>
      </c>
      <c r="EW36" s="455">
        <f t="shared" si="12"/>
        <v>419270</v>
      </c>
      <c r="EX36" s="272">
        <v>419230</v>
      </c>
      <c r="EY36" s="272">
        <v>61293</v>
      </c>
      <c r="EZ36" s="272">
        <v>357226</v>
      </c>
      <c r="FA36" s="272">
        <v>40</v>
      </c>
      <c r="FB36" s="272">
        <v>0</v>
      </c>
      <c r="FC36" s="272">
        <v>1693076</v>
      </c>
      <c r="FD36" s="272">
        <v>1712351</v>
      </c>
      <c r="FE36" s="272">
        <v>895037</v>
      </c>
      <c r="FF36" s="272">
        <v>1700587</v>
      </c>
      <c r="FG36" s="455">
        <f t="shared" si="13"/>
        <v>968459</v>
      </c>
      <c r="FH36" s="272">
        <v>11686251</v>
      </c>
      <c r="FI36" s="459">
        <f t="shared" si="14"/>
        <v>1.9</v>
      </c>
      <c r="FJ36" s="272">
        <v>9369715</v>
      </c>
      <c r="FK36" s="272">
        <v>1100080</v>
      </c>
      <c r="FL36" s="272">
        <v>4502975</v>
      </c>
      <c r="FM36" s="272">
        <v>8104767</v>
      </c>
      <c r="FN36" s="460">
        <v>0.58799999999999997</v>
      </c>
      <c r="FO36" s="388">
        <v>91.7</v>
      </c>
      <c r="FP36" s="388">
        <v>24.6</v>
      </c>
      <c r="FQ36" s="388">
        <v>8.4</v>
      </c>
      <c r="FR36" s="388">
        <v>15.4</v>
      </c>
      <c r="FS36" s="388">
        <v>15.3</v>
      </c>
      <c r="FT36" s="388">
        <v>11.8</v>
      </c>
      <c r="FU36" s="388">
        <v>15.2</v>
      </c>
      <c r="FV36" s="384">
        <f t="shared" si="15"/>
        <v>8.3000000000000007</v>
      </c>
      <c r="FW36" s="272">
        <v>16185131</v>
      </c>
      <c r="FX36" s="384">
        <f t="shared" si="16"/>
        <v>154.6</v>
      </c>
      <c r="FY36" s="272">
        <v>3570987</v>
      </c>
      <c r="FZ36" s="272">
        <v>2127703</v>
      </c>
      <c r="GA36" s="272">
        <v>448247</v>
      </c>
      <c r="GB36" s="272">
        <v>995037</v>
      </c>
      <c r="GC36" s="272">
        <v>300000</v>
      </c>
      <c r="GD36" s="457"/>
      <c r="GE36" s="384"/>
      <c r="GF36" s="388">
        <v>97.8</v>
      </c>
      <c r="GG36" s="388">
        <v>27.4</v>
      </c>
      <c r="GH36" s="388">
        <v>91.5</v>
      </c>
      <c r="GI36" s="272">
        <v>345</v>
      </c>
      <c r="GJ36" s="461" t="s">
        <v>646</v>
      </c>
      <c r="GK36" s="461">
        <v>13.26</v>
      </c>
      <c r="GL36" s="462">
        <v>20</v>
      </c>
      <c r="GM36" s="461" t="s">
        <v>646</v>
      </c>
      <c r="GN36" s="462">
        <v>18.260000000000002</v>
      </c>
      <c r="GO36" s="462">
        <v>35</v>
      </c>
      <c r="GP36" s="463">
        <v>8.3000000000000007</v>
      </c>
      <c r="GQ36" s="463">
        <v>25</v>
      </c>
      <c r="GR36" s="463">
        <v>35</v>
      </c>
      <c r="GS36" s="464">
        <v>62.9</v>
      </c>
      <c r="GT36" s="463">
        <v>350</v>
      </c>
      <c r="GU36" s="394"/>
      <c r="GV36" s="394"/>
      <c r="GW36" s="394"/>
      <c r="GX36" s="394"/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</row>
    <row r="37" spans="2:230" x14ac:dyDescent="0.15">
      <c r="B37" s="21" t="s">
        <v>67</v>
      </c>
      <c r="C37" s="272">
        <v>736586579</v>
      </c>
      <c r="D37" s="455">
        <f t="shared" si="0"/>
        <v>269915486</v>
      </c>
      <c r="E37" s="272">
        <v>6665784</v>
      </c>
      <c r="F37" s="456">
        <v>263249702</v>
      </c>
      <c r="G37" s="455">
        <f t="shared" si="1"/>
        <v>49305480</v>
      </c>
      <c r="H37" s="272">
        <v>12802468</v>
      </c>
      <c r="I37" s="272">
        <v>36503012</v>
      </c>
      <c r="J37" s="272">
        <v>308400308</v>
      </c>
      <c r="K37" s="272">
        <v>132887140</v>
      </c>
      <c r="L37" s="272">
        <v>129360905</v>
      </c>
      <c r="M37" s="272">
        <v>40149404</v>
      </c>
      <c r="N37" s="272">
        <v>32763973</v>
      </c>
      <c r="O37" s="272">
        <v>64183626</v>
      </c>
      <c r="P37" s="272">
        <v>36274183</v>
      </c>
      <c r="Q37" s="272">
        <v>27909443</v>
      </c>
      <c r="R37" s="272">
        <v>12286394</v>
      </c>
      <c r="S37" s="272"/>
      <c r="T37" s="455">
        <f t="shared" si="2"/>
        <v>58439853</v>
      </c>
      <c r="U37" s="272">
        <v>3963315</v>
      </c>
      <c r="V37" s="272">
        <v>1881816</v>
      </c>
      <c r="W37" s="456">
        <v>636727</v>
      </c>
      <c r="X37" s="272">
        <v>46899978</v>
      </c>
      <c r="Y37" s="272">
        <v>755346</v>
      </c>
      <c r="Z37" s="272">
        <v>219</v>
      </c>
      <c r="AA37" s="272">
        <v>4302452</v>
      </c>
      <c r="AB37" s="272">
        <v>9611262</v>
      </c>
      <c r="AC37" s="272">
        <v>176886417</v>
      </c>
      <c r="AD37" s="272">
        <v>164937827</v>
      </c>
      <c r="AE37" s="272">
        <v>11948590</v>
      </c>
      <c r="AF37" s="272">
        <v>889107</v>
      </c>
      <c r="AG37" s="272">
        <v>19215810</v>
      </c>
      <c r="AH37" s="455">
        <f t="shared" si="3"/>
        <v>34485591</v>
      </c>
      <c r="AI37" s="272">
        <v>27251210</v>
      </c>
      <c r="AJ37" s="272">
        <v>7234381</v>
      </c>
      <c r="AK37" s="272">
        <v>327155281</v>
      </c>
      <c r="AL37" s="455">
        <f t="shared" si="4"/>
        <v>184388361</v>
      </c>
      <c r="AM37" s="272">
        <v>137746334</v>
      </c>
      <c r="AN37" s="272">
        <v>20945967</v>
      </c>
      <c r="AO37" s="272"/>
      <c r="AP37" s="272">
        <v>25696060</v>
      </c>
      <c r="AQ37" s="272">
        <v>32549838</v>
      </c>
      <c r="AR37" s="272">
        <v>661</v>
      </c>
      <c r="AS37" s="272">
        <v>288726</v>
      </c>
      <c r="AT37" s="272">
        <v>104939766</v>
      </c>
      <c r="AU37" s="272">
        <v>59228728</v>
      </c>
      <c r="AV37" s="272">
        <v>6535036</v>
      </c>
      <c r="AW37" s="272">
        <v>4505074</v>
      </c>
      <c r="AX37" s="272">
        <v>45711038</v>
      </c>
      <c r="AY37" s="272">
        <v>1544888</v>
      </c>
      <c r="AZ37" s="272">
        <v>7239326</v>
      </c>
      <c r="BA37" s="272">
        <v>4774954</v>
      </c>
      <c r="BB37" s="272">
        <v>606566</v>
      </c>
      <c r="BC37" s="272">
        <v>19686326</v>
      </c>
      <c r="BD37" s="272">
        <v>933257</v>
      </c>
      <c r="BE37" s="272">
        <v>979934</v>
      </c>
      <c r="BF37" s="272">
        <v>13878051</v>
      </c>
      <c r="BG37" s="272">
        <v>605099</v>
      </c>
      <c r="BH37" s="272">
        <v>15092997</v>
      </c>
      <c r="BI37" s="272">
        <v>8181916</v>
      </c>
      <c r="BJ37" s="272">
        <v>41846019</v>
      </c>
      <c r="BK37" s="272">
        <v>15816992</v>
      </c>
      <c r="BL37" s="272">
        <v>263015</v>
      </c>
      <c r="BM37" s="272">
        <v>1043963</v>
      </c>
      <c r="BN37" s="272">
        <v>156981260</v>
      </c>
      <c r="BO37" s="455">
        <f t="shared" si="5"/>
        <v>54393200</v>
      </c>
      <c r="BP37" s="455">
        <f t="shared" si="6"/>
        <v>90525760</v>
      </c>
      <c r="BQ37" s="272"/>
      <c r="BR37" s="272">
        <v>42000</v>
      </c>
      <c r="BS37" s="272">
        <v>90483760</v>
      </c>
      <c r="BT37" s="272">
        <v>12062300</v>
      </c>
      <c r="BU37" s="272">
        <v>1722237280</v>
      </c>
      <c r="BV37" s="272"/>
      <c r="BW37" s="272">
        <v>328758782</v>
      </c>
      <c r="BX37" s="272">
        <v>206674969</v>
      </c>
      <c r="BY37" s="272">
        <v>49272873</v>
      </c>
      <c r="BZ37" s="272">
        <v>19938942</v>
      </c>
      <c r="CA37" s="272">
        <v>470256249</v>
      </c>
      <c r="CB37" s="272">
        <v>70035737</v>
      </c>
      <c r="CC37" s="272">
        <v>9432863</v>
      </c>
      <c r="CD37" s="272">
        <v>190119898</v>
      </c>
      <c r="CE37" s="272">
        <v>188854297</v>
      </c>
      <c r="CF37" s="272">
        <v>5252498</v>
      </c>
      <c r="CG37" s="272">
        <v>6535975</v>
      </c>
      <c r="CH37" s="272">
        <v>168981029</v>
      </c>
      <c r="CI37" s="457" t="s">
        <v>646</v>
      </c>
      <c r="CJ37" s="458" t="s">
        <v>646</v>
      </c>
      <c r="CK37" s="272">
        <v>181865690</v>
      </c>
      <c r="CL37" s="272">
        <v>107235938</v>
      </c>
      <c r="CM37" s="272">
        <v>13170282</v>
      </c>
      <c r="CN37" s="272">
        <v>32777124</v>
      </c>
      <c r="CO37" s="272">
        <v>13521025</v>
      </c>
      <c r="CP37" s="272">
        <v>135813845</v>
      </c>
      <c r="CQ37" s="272">
        <v>35049058</v>
      </c>
      <c r="CR37" s="272">
        <v>34690495</v>
      </c>
      <c r="CS37" s="272">
        <v>23861899</v>
      </c>
      <c r="CT37" s="455">
        <f t="shared" si="7"/>
        <v>35189873</v>
      </c>
      <c r="CU37" s="272">
        <v>26873134</v>
      </c>
      <c r="CV37" s="272">
        <v>8316739</v>
      </c>
      <c r="CW37" s="455">
        <f t="shared" si="8"/>
        <v>14666301</v>
      </c>
      <c r="CX37" s="272">
        <v>10283743</v>
      </c>
      <c r="CY37" s="272">
        <v>4382558</v>
      </c>
      <c r="CZ37" s="455">
        <f t="shared" si="9"/>
        <v>18250246</v>
      </c>
      <c r="DA37" s="272">
        <v>15912920</v>
      </c>
      <c r="DB37" s="272">
        <v>2337326</v>
      </c>
      <c r="DC37" s="272">
        <v>149122455</v>
      </c>
      <c r="DD37" s="272">
        <v>62384079</v>
      </c>
      <c r="DE37" s="272">
        <v>84362089</v>
      </c>
      <c r="DF37" s="26">
        <v>1517038</v>
      </c>
      <c r="DG37" s="27">
        <v>859249</v>
      </c>
      <c r="DH37" s="272">
        <v>120043</v>
      </c>
      <c r="DI37" s="272">
        <v>35830587</v>
      </c>
      <c r="DJ37" s="272">
        <v>13931366</v>
      </c>
      <c r="DK37" s="272">
        <v>5596258</v>
      </c>
      <c r="DL37" s="272">
        <v>16302949</v>
      </c>
      <c r="DM37" s="272">
        <v>8597655</v>
      </c>
      <c r="DN37" s="272">
        <v>7995155</v>
      </c>
      <c r="DO37" s="272">
        <v>206601</v>
      </c>
      <c r="DP37" s="272">
        <v>7610744</v>
      </c>
      <c r="DQ37" s="272">
        <v>17732454</v>
      </c>
      <c r="DR37" s="272">
        <v>2100000</v>
      </c>
      <c r="DS37" s="272">
        <v>2100000</v>
      </c>
      <c r="DT37" s="272">
        <v>187532271</v>
      </c>
      <c r="DU37" s="272">
        <v>48376553</v>
      </c>
      <c r="DV37" s="455">
        <f t="shared" si="10"/>
        <v>1030013</v>
      </c>
      <c r="DW37" s="272">
        <v>1030013</v>
      </c>
      <c r="DX37" s="272">
        <v>42227442</v>
      </c>
      <c r="DY37" s="272">
        <v>1017392</v>
      </c>
      <c r="DZ37" s="272">
        <v>51144508</v>
      </c>
      <c r="EA37" s="272">
        <v>73924</v>
      </c>
      <c r="EB37" s="272">
        <v>41428947</v>
      </c>
      <c r="EC37" s="272">
        <v>0</v>
      </c>
      <c r="ED37" s="272">
        <v>1698132085</v>
      </c>
      <c r="EE37" s="89"/>
      <c r="EF37" s="272">
        <v>24105195</v>
      </c>
      <c r="EG37" s="272">
        <v>8369729</v>
      </c>
      <c r="EH37" s="272">
        <v>15735466</v>
      </c>
      <c r="EI37" s="272">
        <v>5852062</v>
      </c>
      <c r="EJ37" s="272">
        <v>23025801</v>
      </c>
      <c r="EK37" s="89"/>
      <c r="EL37" s="272">
        <v>5169309</v>
      </c>
      <c r="EM37" s="272">
        <v>5115749</v>
      </c>
      <c r="EN37" s="272">
        <v>11563619</v>
      </c>
      <c r="EO37" s="272">
        <v>3313301</v>
      </c>
      <c r="EP37" s="455">
        <f t="shared" si="11"/>
        <v>48586911</v>
      </c>
      <c r="EQ37" s="272">
        <v>994988338</v>
      </c>
      <c r="ER37" s="272">
        <v>-152811758</v>
      </c>
      <c r="ES37" s="272">
        <v>292286676</v>
      </c>
      <c r="ET37" s="272">
        <v>187019118</v>
      </c>
      <c r="EU37" s="272">
        <v>138097260</v>
      </c>
      <c r="EV37" s="272">
        <v>167213579</v>
      </c>
      <c r="EW37" s="455">
        <f t="shared" si="12"/>
        <v>51446316</v>
      </c>
      <c r="EX37" s="272">
        <v>51398867</v>
      </c>
      <c r="EY37" s="272">
        <v>5660192</v>
      </c>
      <c r="EZ37" s="272">
        <v>45425450</v>
      </c>
      <c r="FA37" s="272">
        <v>47449</v>
      </c>
      <c r="FB37" s="272">
        <v>0</v>
      </c>
      <c r="FC37" s="272">
        <v>144148275</v>
      </c>
      <c r="FD37" s="272">
        <v>119479000</v>
      </c>
      <c r="FE37" s="272">
        <v>34378540</v>
      </c>
      <c r="FF37" s="272">
        <v>162842067</v>
      </c>
      <c r="FG37" s="455">
        <f t="shared" si="13"/>
        <v>48207762</v>
      </c>
      <c r="FH37" s="272">
        <v>1123720935</v>
      </c>
      <c r="FI37" s="459">
        <f t="shared" si="14"/>
        <v>1.6</v>
      </c>
      <c r="FJ37" s="272">
        <v>885832904</v>
      </c>
      <c r="FK37" s="272">
        <v>93497126</v>
      </c>
      <c r="FL37" s="272">
        <v>554945971</v>
      </c>
      <c r="FM37" s="272">
        <v>719876122</v>
      </c>
      <c r="FN37" s="460">
        <v>0.81399999999999995</v>
      </c>
      <c r="FO37" s="388">
        <v>94.5</v>
      </c>
      <c r="FP37" s="388">
        <v>28.1</v>
      </c>
      <c r="FQ37" s="388">
        <v>13.5</v>
      </c>
      <c r="FR37" s="388">
        <v>16</v>
      </c>
      <c r="FS37" s="388">
        <v>13.3</v>
      </c>
      <c r="FT37" s="388">
        <v>9.6</v>
      </c>
      <c r="FU37" s="388">
        <v>12.8</v>
      </c>
      <c r="FV37" s="384">
        <f t="shared" si="15"/>
        <v>6.8</v>
      </c>
      <c r="FW37" s="272">
        <v>1481127049</v>
      </c>
      <c r="FX37" s="384">
        <f t="shared" si="16"/>
        <v>151.19999999999999</v>
      </c>
      <c r="FY37" s="272">
        <v>253736990</v>
      </c>
      <c r="FZ37" s="272">
        <v>89704444</v>
      </c>
      <c r="GA37" s="272">
        <v>22187614</v>
      </c>
      <c r="GB37" s="272">
        <v>141844932</v>
      </c>
      <c r="GC37" s="272">
        <v>22341050</v>
      </c>
      <c r="GD37" s="272">
        <v>145852145</v>
      </c>
      <c r="GE37" s="384">
        <f>ROUND(GD37/(FJ37+FK37)*100,1)</f>
        <v>14.9</v>
      </c>
      <c r="GF37" s="388">
        <v>98.2</v>
      </c>
      <c r="GG37" s="388">
        <v>24.3</v>
      </c>
      <c r="GH37" s="388">
        <v>93.6</v>
      </c>
      <c r="GI37" s="272">
        <v>30736</v>
      </c>
      <c r="GJ37" s="461" t="s">
        <v>646</v>
      </c>
      <c r="GK37" s="461" t="s">
        <v>646</v>
      </c>
      <c r="GL37" s="461" t="s">
        <v>646</v>
      </c>
      <c r="GM37" s="461" t="s">
        <v>646</v>
      </c>
      <c r="GN37" s="461" t="s">
        <v>646</v>
      </c>
      <c r="GO37" s="461" t="s">
        <v>646</v>
      </c>
      <c r="GP37" s="463">
        <v>6.8</v>
      </c>
      <c r="GQ37" s="464" t="s">
        <v>646</v>
      </c>
      <c r="GR37" s="464" t="s">
        <v>646</v>
      </c>
      <c r="GS37" s="464">
        <v>56.8</v>
      </c>
      <c r="GT37" s="464" t="s">
        <v>646</v>
      </c>
      <c r="GU37" s="394"/>
      <c r="GV37" s="394"/>
      <c r="GW37" s="394"/>
      <c r="GX37" s="394"/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</row>
    <row r="38" spans="2:230" x14ac:dyDescent="0.15">
      <c r="B38" s="89" t="s">
        <v>69</v>
      </c>
      <c r="C38" s="272">
        <v>4481367</v>
      </c>
      <c r="D38" s="455">
        <f t="shared" si="0"/>
        <v>1676233</v>
      </c>
      <c r="E38" s="272">
        <v>41267</v>
      </c>
      <c r="F38" s="456">
        <v>1634966</v>
      </c>
      <c r="G38" s="455">
        <f t="shared" si="1"/>
        <v>554088</v>
      </c>
      <c r="H38" s="272">
        <v>62321</v>
      </c>
      <c r="I38" s="272">
        <v>491767</v>
      </c>
      <c r="J38" s="272">
        <v>1800827</v>
      </c>
      <c r="K38" s="272">
        <v>674220</v>
      </c>
      <c r="L38" s="272">
        <v>742460</v>
      </c>
      <c r="M38" s="272">
        <v>357635</v>
      </c>
      <c r="N38" s="272">
        <v>86951</v>
      </c>
      <c r="O38" s="272">
        <v>342927</v>
      </c>
      <c r="P38" s="272">
        <v>181511</v>
      </c>
      <c r="Q38" s="272">
        <v>161416</v>
      </c>
      <c r="R38" s="272">
        <v>59480</v>
      </c>
      <c r="S38" s="272"/>
      <c r="T38" s="455">
        <f t="shared" si="2"/>
        <v>348753</v>
      </c>
      <c r="U38" s="272">
        <v>24025</v>
      </c>
      <c r="V38" s="272">
        <v>11421</v>
      </c>
      <c r="W38" s="456">
        <v>3881</v>
      </c>
      <c r="X38" s="272">
        <v>231476</v>
      </c>
      <c r="Y38" s="272">
        <v>51401</v>
      </c>
      <c r="Z38" s="272">
        <v>0</v>
      </c>
      <c r="AA38" s="272">
        <v>26549</v>
      </c>
      <c r="AB38" s="272">
        <v>47827</v>
      </c>
      <c r="AC38" s="272">
        <v>1170258</v>
      </c>
      <c r="AD38" s="272">
        <v>929285</v>
      </c>
      <c r="AE38" s="272">
        <v>240973</v>
      </c>
      <c r="AF38" s="272">
        <v>3932</v>
      </c>
      <c r="AG38" s="272">
        <v>54928</v>
      </c>
      <c r="AH38" s="455">
        <f t="shared" si="3"/>
        <v>269161</v>
      </c>
      <c r="AI38" s="272">
        <v>234443</v>
      </c>
      <c r="AJ38" s="272">
        <v>34718</v>
      </c>
      <c r="AK38" s="272">
        <v>881517</v>
      </c>
      <c r="AL38" s="455">
        <f t="shared" si="4"/>
        <v>278833</v>
      </c>
      <c r="AM38" s="272">
        <v>139644</v>
      </c>
      <c r="AN38" s="272">
        <v>27665</v>
      </c>
      <c r="AO38" s="272"/>
      <c r="AP38" s="272">
        <v>111524</v>
      </c>
      <c r="AQ38" s="272">
        <v>18443</v>
      </c>
      <c r="AR38" s="272">
        <v>0</v>
      </c>
      <c r="AS38" s="272">
        <v>0</v>
      </c>
      <c r="AT38" s="272">
        <v>531652</v>
      </c>
      <c r="AU38" s="272">
        <v>338679</v>
      </c>
      <c r="AV38" s="272">
        <v>4023</v>
      </c>
      <c r="AW38" s="272">
        <v>26275</v>
      </c>
      <c r="AX38" s="272">
        <v>192973</v>
      </c>
      <c r="AY38" s="272">
        <v>8281</v>
      </c>
      <c r="AZ38" s="272">
        <v>11963</v>
      </c>
      <c r="BA38" s="272">
        <v>3974</v>
      </c>
      <c r="BB38" s="272">
        <v>7924</v>
      </c>
      <c r="BC38" s="272">
        <v>39659</v>
      </c>
      <c r="BD38" s="272">
        <v>2588</v>
      </c>
      <c r="BE38" s="272">
        <v>0</v>
      </c>
      <c r="BF38" s="272">
        <v>0</v>
      </c>
      <c r="BG38" s="272">
        <v>0</v>
      </c>
      <c r="BH38" s="272">
        <v>122395</v>
      </c>
      <c r="BI38" s="272">
        <v>26978</v>
      </c>
      <c r="BJ38" s="272">
        <v>203238</v>
      </c>
      <c r="BK38" s="272">
        <v>53486</v>
      </c>
      <c r="BL38" s="272">
        <v>0</v>
      </c>
      <c r="BM38" s="272">
        <v>0</v>
      </c>
      <c r="BN38" s="272">
        <v>810553</v>
      </c>
      <c r="BO38" s="455">
        <f t="shared" si="5"/>
        <v>162500</v>
      </c>
      <c r="BP38" s="455">
        <f t="shared" si="6"/>
        <v>648053</v>
      </c>
      <c r="BQ38" s="272"/>
      <c r="BR38" s="272">
        <v>0</v>
      </c>
      <c r="BS38" s="272">
        <v>648053</v>
      </c>
      <c r="BT38" s="272">
        <v>0</v>
      </c>
      <c r="BU38" s="272">
        <v>9044607</v>
      </c>
      <c r="BV38" s="272"/>
      <c r="BW38" s="272">
        <v>1986095</v>
      </c>
      <c r="BX38" s="272">
        <v>1287842</v>
      </c>
      <c r="BY38" s="272">
        <v>214094</v>
      </c>
      <c r="BZ38" s="272">
        <v>93626</v>
      </c>
      <c r="CA38" s="272">
        <v>1713194</v>
      </c>
      <c r="CB38" s="272">
        <v>442181</v>
      </c>
      <c r="CC38" s="272">
        <v>57222</v>
      </c>
      <c r="CD38" s="272">
        <v>999586</v>
      </c>
      <c r="CE38" s="272">
        <v>184416</v>
      </c>
      <c r="CF38" s="272">
        <v>1162</v>
      </c>
      <c r="CG38" s="272">
        <v>28627</v>
      </c>
      <c r="CH38" s="272">
        <v>1360238</v>
      </c>
      <c r="CI38" s="457" t="s">
        <v>646</v>
      </c>
      <c r="CJ38" s="458" t="s">
        <v>646</v>
      </c>
      <c r="CK38" s="272">
        <v>1559462</v>
      </c>
      <c r="CL38" s="272">
        <v>850584</v>
      </c>
      <c r="CM38" s="272">
        <v>175555</v>
      </c>
      <c r="CN38" s="272">
        <v>302600</v>
      </c>
      <c r="CO38" s="272">
        <v>88444</v>
      </c>
      <c r="CP38" s="272">
        <v>285612</v>
      </c>
      <c r="CQ38" s="272">
        <v>1876</v>
      </c>
      <c r="CR38" s="272">
        <v>143062</v>
      </c>
      <c r="CS38" s="272">
        <v>132962</v>
      </c>
      <c r="CT38" s="455">
        <f t="shared" si="7"/>
        <v>2938</v>
      </c>
      <c r="CU38" s="272">
        <v>0</v>
      </c>
      <c r="CV38" s="272">
        <v>2938</v>
      </c>
      <c r="CW38" s="455">
        <f t="shared" si="8"/>
        <v>0</v>
      </c>
      <c r="CX38" s="272">
        <v>0</v>
      </c>
      <c r="CY38" s="272">
        <v>0</v>
      </c>
      <c r="CZ38" s="455">
        <f t="shared" si="9"/>
        <v>0</v>
      </c>
      <c r="DA38" s="272">
        <v>0</v>
      </c>
      <c r="DB38" s="272">
        <v>0</v>
      </c>
      <c r="DC38" s="272">
        <v>617536</v>
      </c>
      <c r="DD38" s="272">
        <v>25391</v>
      </c>
      <c r="DE38" s="272">
        <v>591871</v>
      </c>
      <c r="DF38" s="26">
        <v>0</v>
      </c>
      <c r="DG38" s="27">
        <v>0</v>
      </c>
      <c r="DH38" s="272">
        <v>0</v>
      </c>
      <c r="DI38" s="272">
        <v>137254</v>
      </c>
      <c r="DJ38" s="272">
        <v>81210</v>
      </c>
      <c r="DK38" s="272">
        <v>2264</v>
      </c>
      <c r="DL38" s="272">
        <v>53780</v>
      </c>
      <c r="DM38" s="272">
        <v>0</v>
      </c>
      <c r="DN38" s="272">
        <v>0</v>
      </c>
      <c r="DO38" s="272">
        <v>0</v>
      </c>
      <c r="DP38" s="272">
        <v>0</v>
      </c>
      <c r="DQ38" s="272">
        <v>53336</v>
      </c>
      <c r="DR38" s="272">
        <v>0</v>
      </c>
      <c r="DS38" s="272">
        <v>0</v>
      </c>
      <c r="DT38" s="272">
        <v>1162833</v>
      </c>
      <c r="DU38" s="272">
        <v>489000</v>
      </c>
      <c r="DV38" s="455">
        <f t="shared" si="10"/>
        <v>0</v>
      </c>
      <c r="DW38" s="272">
        <v>0</v>
      </c>
      <c r="DX38" s="272">
        <v>254651</v>
      </c>
      <c r="DY38" s="272">
        <v>0</v>
      </c>
      <c r="DZ38" s="272">
        <v>160669</v>
      </c>
      <c r="EA38" s="272">
        <v>0</v>
      </c>
      <c r="EB38" s="272">
        <v>258090</v>
      </c>
      <c r="EC38" s="272">
        <v>0</v>
      </c>
      <c r="ED38" s="272">
        <v>8964004</v>
      </c>
      <c r="EE38" s="89"/>
      <c r="EF38" s="272">
        <v>80603</v>
      </c>
      <c r="EG38" s="272">
        <v>25869</v>
      </c>
      <c r="EH38" s="272">
        <v>54734</v>
      </c>
      <c r="EI38" s="272">
        <v>27756</v>
      </c>
      <c r="EJ38" s="272">
        <v>148083</v>
      </c>
      <c r="EK38" s="89"/>
      <c r="EL38" s="272">
        <v>28935</v>
      </c>
      <c r="EM38" s="272">
        <v>29920</v>
      </c>
      <c r="EN38" s="272">
        <v>39659</v>
      </c>
      <c r="EO38" s="272">
        <v>7147</v>
      </c>
      <c r="EP38" s="455">
        <f t="shared" si="11"/>
        <v>253745</v>
      </c>
      <c r="EQ38" s="272">
        <v>6111617</v>
      </c>
      <c r="ER38" s="272">
        <v>-944672</v>
      </c>
      <c r="ES38" s="272">
        <v>1829172</v>
      </c>
      <c r="ET38" s="272">
        <v>1163001</v>
      </c>
      <c r="EU38" s="272">
        <v>686905</v>
      </c>
      <c r="EV38" s="272">
        <v>1307167</v>
      </c>
      <c r="EW38" s="455">
        <f t="shared" si="12"/>
        <v>379292</v>
      </c>
      <c r="EX38" s="272">
        <v>379292</v>
      </c>
      <c r="EY38" s="272">
        <v>16030</v>
      </c>
      <c r="EZ38" s="272">
        <v>362988</v>
      </c>
      <c r="FA38" s="272">
        <v>0</v>
      </c>
      <c r="FB38" s="272">
        <v>0</v>
      </c>
      <c r="FC38" s="272">
        <v>1250445</v>
      </c>
      <c r="FD38" s="272">
        <v>249451</v>
      </c>
      <c r="FE38" s="272">
        <v>1876</v>
      </c>
      <c r="FF38" s="272">
        <v>1058362</v>
      </c>
      <c r="FG38" s="455">
        <f t="shared" si="13"/>
        <v>214892</v>
      </c>
      <c r="FH38" s="272">
        <v>6975686</v>
      </c>
      <c r="FI38" s="459">
        <f t="shared" si="14"/>
        <v>0.9</v>
      </c>
      <c r="FJ38" s="272">
        <v>5346937</v>
      </c>
      <c r="FK38" s="272">
        <v>648053</v>
      </c>
      <c r="FL38" s="272">
        <v>3402078</v>
      </c>
      <c r="FM38" s="272">
        <v>4323210</v>
      </c>
      <c r="FN38" s="460">
        <v>0.82199999999999995</v>
      </c>
      <c r="FO38" s="388">
        <v>98.1</v>
      </c>
      <c r="FP38" s="388">
        <v>29.3</v>
      </c>
      <c r="FQ38" s="388">
        <v>11.1</v>
      </c>
      <c r="FR38" s="388">
        <v>20.399999999999999</v>
      </c>
      <c r="FS38" s="388">
        <v>19</v>
      </c>
      <c r="FT38" s="388">
        <v>3.9</v>
      </c>
      <c r="FU38" s="388">
        <v>13.1</v>
      </c>
      <c r="FV38" s="384">
        <f t="shared" si="15"/>
        <v>12.2</v>
      </c>
      <c r="FW38" s="272">
        <v>11703336</v>
      </c>
      <c r="FX38" s="384">
        <f t="shared" si="16"/>
        <v>195.2</v>
      </c>
      <c r="FY38" s="272">
        <v>3803348</v>
      </c>
      <c r="FZ38" s="272">
        <v>1192433</v>
      </c>
      <c r="GA38" s="272">
        <v>1279117</v>
      </c>
      <c r="GB38" s="272">
        <v>1331798</v>
      </c>
      <c r="GC38" s="272">
        <v>0</v>
      </c>
      <c r="GD38" s="457"/>
      <c r="GE38" s="384"/>
      <c r="GF38" s="388">
        <v>99.2</v>
      </c>
      <c r="GG38" s="388">
        <v>8.1</v>
      </c>
      <c r="GH38" s="388">
        <v>92.9</v>
      </c>
      <c r="GI38" s="272">
        <v>214</v>
      </c>
      <c r="GJ38" s="461" t="s">
        <v>646</v>
      </c>
      <c r="GK38" s="461">
        <v>14.45</v>
      </c>
      <c r="GL38" s="462">
        <v>20</v>
      </c>
      <c r="GM38" s="461" t="s">
        <v>646</v>
      </c>
      <c r="GN38" s="462">
        <v>19.45</v>
      </c>
      <c r="GO38" s="462">
        <v>35</v>
      </c>
      <c r="GP38" s="463">
        <v>12.2</v>
      </c>
      <c r="GQ38" s="463">
        <v>25</v>
      </c>
      <c r="GR38" s="463">
        <v>35</v>
      </c>
      <c r="GS38" s="464">
        <v>13.9</v>
      </c>
      <c r="GT38" s="463">
        <v>350</v>
      </c>
      <c r="GU38" s="394"/>
      <c r="GV38" s="394"/>
      <c r="GW38" s="394"/>
      <c r="GX38" s="394"/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</row>
    <row r="39" spans="2:230" x14ac:dyDescent="0.15">
      <c r="B39" s="89" t="s">
        <v>71</v>
      </c>
      <c r="C39" s="272">
        <v>2314470</v>
      </c>
      <c r="D39" s="455">
        <f t="shared" si="0"/>
        <v>1445399</v>
      </c>
      <c r="E39" s="272">
        <v>33841</v>
      </c>
      <c r="F39" s="456">
        <v>1411558</v>
      </c>
      <c r="G39" s="455">
        <f t="shared" si="1"/>
        <v>27356</v>
      </c>
      <c r="H39" s="272">
        <v>18599</v>
      </c>
      <c r="I39" s="272">
        <v>8757</v>
      </c>
      <c r="J39" s="272">
        <v>770509</v>
      </c>
      <c r="K39" s="272">
        <v>238158</v>
      </c>
      <c r="L39" s="272">
        <v>392134</v>
      </c>
      <c r="M39" s="272">
        <v>140217</v>
      </c>
      <c r="N39" s="272">
        <v>45009</v>
      </c>
      <c r="O39" s="272">
        <v>0</v>
      </c>
      <c r="P39" s="272">
        <v>0</v>
      </c>
      <c r="Q39" s="272">
        <v>0</v>
      </c>
      <c r="R39" s="272">
        <v>71658</v>
      </c>
      <c r="S39" s="272"/>
      <c r="T39" s="455">
        <f t="shared" si="2"/>
        <v>230845</v>
      </c>
      <c r="U39" s="272">
        <v>22336</v>
      </c>
      <c r="V39" s="272">
        <v>10585</v>
      </c>
      <c r="W39" s="456">
        <v>3560</v>
      </c>
      <c r="X39" s="272">
        <v>154147</v>
      </c>
      <c r="Y39" s="272">
        <v>8222</v>
      </c>
      <c r="Z39" s="272">
        <v>0</v>
      </c>
      <c r="AA39" s="272">
        <v>31995</v>
      </c>
      <c r="AB39" s="272">
        <v>41489</v>
      </c>
      <c r="AC39" s="272">
        <v>1881355</v>
      </c>
      <c r="AD39" s="272">
        <v>1516649</v>
      </c>
      <c r="AE39" s="272">
        <v>364706</v>
      </c>
      <c r="AF39" s="272">
        <v>4062</v>
      </c>
      <c r="AG39" s="272">
        <v>51017</v>
      </c>
      <c r="AH39" s="455">
        <f t="shared" si="3"/>
        <v>82963</v>
      </c>
      <c r="AI39" s="272">
        <v>69771</v>
      </c>
      <c r="AJ39" s="272">
        <v>13192</v>
      </c>
      <c r="AK39" s="272">
        <v>643312</v>
      </c>
      <c r="AL39" s="455">
        <f t="shared" si="4"/>
        <v>56349</v>
      </c>
      <c r="AM39" s="272">
        <v>0</v>
      </c>
      <c r="AN39" s="272">
        <v>0</v>
      </c>
      <c r="AO39" s="272"/>
      <c r="AP39" s="272">
        <v>56349</v>
      </c>
      <c r="AQ39" s="272">
        <v>270552</v>
      </c>
      <c r="AR39" s="272">
        <v>1856</v>
      </c>
      <c r="AS39" s="272">
        <v>0</v>
      </c>
      <c r="AT39" s="272">
        <v>507331</v>
      </c>
      <c r="AU39" s="272">
        <v>212234</v>
      </c>
      <c r="AV39" s="272">
        <v>0</v>
      </c>
      <c r="AW39" s="272">
        <v>45726</v>
      </c>
      <c r="AX39" s="272">
        <v>295097</v>
      </c>
      <c r="AY39" s="272">
        <v>45649</v>
      </c>
      <c r="AZ39" s="272">
        <v>5459</v>
      </c>
      <c r="BA39" s="272">
        <v>194</v>
      </c>
      <c r="BB39" s="272">
        <v>547</v>
      </c>
      <c r="BC39" s="272">
        <v>20249</v>
      </c>
      <c r="BD39" s="272">
        <v>0</v>
      </c>
      <c r="BE39" s="272">
        <v>0</v>
      </c>
      <c r="BF39" s="272">
        <v>1388</v>
      </c>
      <c r="BG39" s="272">
        <v>0</v>
      </c>
      <c r="BH39" s="272">
        <v>323282</v>
      </c>
      <c r="BI39" s="272">
        <v>200616</v>
      </c>
      <c r="BJ39" s="272">
        <v>153045</v>
      </c>
      <c r="BK39" s="272">
        <v>4194</v>
      </c>
      <c r="BL39" s="272">
        <v>0</v>
      </c>
      <c r="BM39" s="272">
        <v>0</v>
      </c>
      <c r="BN39" s="272">
        <v>765609</v>
      </c>
      <c r="BO39" s="455">
        <f t="shared" si="5"/>
        <v>221700</v>
      </c>
      <c r="BP39" s="455">
        <f t="shared" si="6"/>
        <v>543909</v>
      </c>
      <c r="BQ39" s="272"/>
      <c r="BR39" s="272">
        <v>0</v>
      </c>
      <c r="BS39" s="272">
        <v>543909</v>
      </c>
      <c r="BT39" s="272">
        <v>0</v>
      </c>
      <c r="BU39" s="272">
        <v>7096693</v>
      </c>
      <c r="BV39" s="272"/>
      <c r="BW39" s="272">
        <v>2081149</v>
      </c>
      <c r="BX39" s="272">
        <v>1328125</v>
      </c>
      <c r="BY39" s="272">
        <v>146124</v>
      </c>
      <c r="BZ39" s="272">
        <v>214599</v>
      </c>
      <c r="CA39" s="272">
        <v>471827</v>
      </c>
      <c r="CB39" s="272">
        <v>139116</v>
      </c>
      <c r="CC39" s="272">
        <v>27235</v>
      </c>
      <c r="CD39" s="272">
        <v>298922</v>
      </c>
      <c r="CE39" s="272">
        <v>0</v>
      </c>
      <c r="CF39" s="272">
        <v>0</v>
      </c>
      <c r="CG39" s="272">
        <v>6554</v>
      </c>
      <c r="CH39" s="272">
        <v>517881</v>
      </c>
      <c r="CI39" s="457" t="s">
        <v>646</v>
      </c>
      <c r="CJ39" s="458" t="s">
        <v>646</v>
      </c>
      <c r="CK39" s="272">
        <v>875607</v>
      </c>
      <c r="CL39" s="272">
        <v>461241</v>
      </c>
      <c r="CM39" s="272">
        <v>50306</v>
      </c>
      <c r="CN39" s="272">
        <v>213547</v>
      </c>
      <c r="CO39" s="272">
        <v>97216</v>
      </c>
      <c r="CP39" s="272">
        <v>597319</v>
      </c>
      <c r="CQ39" s="272">
        <v>323582</v>
      </c>
      <c r="CR39" s="272">
        <v>165680</v>
      </c>
      <c r="CS39" s="272">
        <v>153917</v>
      </c>
      <c r="CT39" s="455">
        <f t="shared" si="7"/>
        <v>62883</v>
      </c>
      <c r="CU39" s="272">
        <v>54519</v>
      </c>
      <c r="CV39" s="272">
        <v>8364</v>
      </c>
      <c r="CW39" s="455">
        <f t="shared" si="8"/>
        <v>0</v>
      </c>
      <c r="CX39" s="272">
        <v>0</v>
      </c>
      <c r="CY39" s="272">
        <v>0</v>
      </c>
      <c r="CZ39" s="455">
        <f t="shared" si="9"/>
        <v>0</v>
      </c>
      <c r="DA39" s="272">
        <v>0</v>
      </c>
      <c r="DB39" s="272">
        <v>0</v>
      </c>
      <c r="DC39" s="272">
        <v>833112</v>
      </c>
      <c r="DD39" s="272">
        <v>601805</v>
      </c>
      <c r="DE39" s="272">
        <v>231307</v>
      </c>
      <c r="DF39" s="26">
        <v>0</v>
      </c>
      <c r="DG39" s="27">
        <v>0</v>
      </c>
      <c r="DH39" s="272">
        <v>28527</v>
      </c>
      <c r="DI39" s="272">
        <v>477314</v>
      </c>
      <c r="DJ39" s="272">
        <v>366688</v>
      </c>
      <c r="DK39" s="272">
        <v>1</v>
      </c>
      <c r="DL39" s="272">
        <v>110625</v>
      </c>
      <c r="DM39" s="272">
        <v>18200</v>
      </c>
      <c r="DN39" s="272">
        <v>18200</v>
      </c>
      <c r="DO39" s="272">
        <v>18200</v>
      </c>
      <c r="DP39" s="272">
        <v>0</v>
      </c>
      <c r="DQ39" s="272">
        <v>2820</v>
      </c>
      <c r="DR39" s="272">
        <v>0</v>
      </c>
      <c r="DS39" s="272">
        <v>0</v>
      </c>
      <c r="DT39" s="272">
        <v>644158</v>
      </c>
      <c r="DU39" s="272">
        <v>106674</v>
      </c>
      <c r="DV39" s="455">
        <f t="shared" si="10"/>
        <v>0</v>
      </c>
      <c r="DW39" s="272">
        <v>0</v>
      </c>
      <c r="DX39" s="272">
        <v>206467</v>
      </c>
      <c r="DY39" s="272">
        <v>0</v>
      </c>
      <c r="DZ39" s="272">
        <v>104745</v>
      </c>
      <c r="EA39" s="272">
        <v>0</v>
      </c>
      <c r="EB39" s="272">
        <v>205865</v>
      </c>
      <c r="EC39" s="272">
        <v>0</v>
      </c>
      <c r="ED39" s="272">
        <v>6645130</v>
      </c>
      <c r="EE39" s="89"/>
      <c r="EF39" s="272">
        <v>451563</v>
      </c>
      <c r="EG39" s="272">
        <v>181937</v>
      </c>
      <c r="EH39" s="272">
        <v>269626</v>
      </c>
      <c r="EI39" s="272">
        <v>69010</v>
      </c>
      <c r="EJ39" s="272">
        <v>435698</v>
      </c>
      <c r="EK39" s="89"/>
      <c r="EL39" s="272">
        <v>21989</v>
      </c>
      <c r="EM39" s="272">
        <v>22948</v>
      </c>
      <c r="EN39" s="272">
        <v>20249</v>
      </c>
      <c r="EO39" s="272">
        <v>2977</v>
      </c>
      <c r="EP39" s="455">
        <f t="shared" si="11"/>
        <v>425231</v>
      </c>
      <c r="EQ39" s="272">
        <v>4543879</v>
      </c>
      <c r="ER39" s="272">
        <v>-988304</v>
      </c>
      <c r="ES39" s="272">
        <v>1839075</v>
      </c>
      <c r="ET39" s="272">
        <v>1155505</v>
      </c>
      <c r="EU39" s="272">
        <v>115712</v>
      </c>
      <c r="EV39" s="272">
        <v>517881</v>
      </c>
      <c r="EW39" s="455">
        <f t="shared" si="12"/>
        <v>173316</v>
      </c>
      <c r="EX39" s="272">
        <v>167731</v>
      </c>
      <c r="EY39" s="272">
        <v>79464</v>
      </c>
      <c r="EZ39" s="272">
        <v>88267</v>
      </c>
      <c r="FA39" s="272">
        <v>5585</v>
      </c>
      <c r="FB39" s="272">
        <v>0</v>
      </c>
      <c r="FC39" s="272">
        <v>737817</v>
      </c>
      <c r="FD39" s="272">
        <v>566588</v>
      </c>
      <c r="FE39" s="272">
        <v>323582</v>
      </c>
      <c r="FF39" s="272">
        <v>574500</v>
      </c>
      <c r="FG39" s="455">
        <f t="shared" si="13"/>
        <v>555731</v>
      </c>
      <c r="FH39" s="272">
        <v>5080620</v>
      </c>
      <c r="FI39" s="459">
        <f t="shared" si="14"/>
        <v>5.8</v>
      </c>
      <c r="FJ39" s="272">
        <v>4135481</v>
      </c>
      <c r="FK39" s="272">
        <v>543909</v>
      </c>
      <c r="FL39" s="272">
        <v>2048399</v>
      </c>
      <c r="FM39" s="272">
        <v>3563330</v>
      </c>
      <c r="FN39" s="460">
        <v>0.62</v>
      </c>
      <c r="FO39" s="388">
        <v>87</v>
      </c>
      <c r="FP39" s="388">
        <v>38.4</v>
      </c>
      <c r="FQ39" s="388">
        <v>2.4</v>
      </c>
      <c r="FR39" s="388">
        <v>10.9</v>
      </c>
      <c r="FS39" s="388">
        <v>14.5</v>
      </c>
      <c r="FT39" s="388">
        <v>8.4</v>
      </c>
      <c r="FU39" s="388">
        <v>10.6</v>
      </c>
      <c r="FV39" s="384">
        <f t="shared" si="15"/>
        <v>4.5999999999999996</v>
      </c>
      <c r="FW39" s="272">
        <v>5943996</v>
      </c>
      <c r="FX39" s="384">
        <f t="shared" si="16"/>
        <v>127</v>
      </c>
      <c r="FY39" s="272">
        <v>2187623</v>
      </c>
      <c r="FZ39" s="272">
        <v>1524113</v>
      </c>
      <c r="GA39" s="272">
        <v>677</v>
      </c>
      <c r="GB39" s="272">
        <v>662833</v>
      </c>
      <c r="GC39" s="272">
        <v>226800</v>
      </c>
      <c r="GD39" s="457"/>
      <c r="GE39" s="384"/>
      <c r="GF39" s="388">
        <v>99.2</v>
      </c>
      <c r="GG39" s="388">
        <v>22.9</v>
      </c>
      <c r="GH39" s="388">
        <v>96.4</v>
      </c>
      <c r="GI39" s="272">
        <v>219</v>
      </c>
      <c r="GJ39" s="461" t="s">
        <v>646</v>
      </c>
      <c r="GK39" s="461">
        <v>15</v>
      </c>
      <c r="GL39" s="462">
        <v>20</v>
      </c>
      <c r="GM39" s="461" t="s">
        <v>646</v>
      </c>
      <c r="GN39" s="462">
        <v>20</v>
      </c>
      <c r="GO39" s="462">
        <v>35</v>
      </c>
      <c r="GP39" s="463">
        <v>4.5999999999999996</v>
      </c>
      <c r="GQ39" s="463">
        <v>25</v>
      </c>
      <c r="GR39" s="463">
        <v>35</v>
      </c>
      <c r="GS39" s="464">
        <v>69.5</v>
      </c>
      <c r="GT39" s="463">
        <v>350</v>
      </c>
      <c r="GU39" s="394"/>
      <c r="GV39" s="394"/>
      <c r="GW39" s="394"/>
      <c r="GX39" s="394"/>
      <c r="GY39" s="394"/>
      <c r="GZ39" s="394"/>
      <c r="HA39" s="394"/>
      <c r="HB39" s="394"/>
      <c r="HC39" s="394"/>
      <c r="HD39" s="394"/>
      <c r="HE39" s="394"/>
      <c r="HF39" s="394"/>
      <c r="HG39" s="394"/>
      <c r="HH39" s="394"/>
      <c r="HI39" s="394"/>
      <c r="HJ39" s="394"/>
      <c r="HK39" s="394"/>
      <c r="HL39" s="394"/>
      <c r="HM39" s="394"/>
      <c r="HN39" s="394"/>
      <c r="HO39" s="394"/>
      <c r="HP39" s="394"/>
      <c r="HQ39" s="394"/>
      <c r="HR39" s="394"/>
      <c r="HS39" s="394"/>
      <c r="HT39" s="394"/>
      <c r="HU39" s="394"/>
      <c r="HV39" s="394"/>
    </row>
    <row r="40" spans="2:230" x14ac:dyDescent="0.15">
      <c r="B40" s="89" t="s">
        <v>73</v>
      </c>
      <c r="C40" s="272">
        <v>1331304</v>
      </c>
      <c r="D40" s="455">
        <f t="shared" si="0"/>
        <v>498043</v>
      </c>
      <c r="E40" s="272">
        <v>16752</v>
      </c>
      <c r="F40" s="456">
        <v>481291</v>
      </c>
      <c r="G40" s="455">
        <f t="shared" si="1"/>
        <v>40981</v>
      </c>
      <c r="H40" s="272">
        <v>20038</v>
      </c>
      <c r="I40" s="272">
        <v>20943</v>
      </c>
      <c r="J40" s="272">
        <v>708829</v>
      </c>
      <c r="K40" s="272">
        <v>136727</v>
      </c>
      <c r="L40" s="272">
        <v>285845</v>
      </c>
      <c r="M40" s="272">
        <v>286123</v>
      </c>
      <c r="N40" s="272">
        <v>43428</v>
      </c>
      <c r="O40" s="272">
        <v>0</v>
      </c>
      <c r="P40" s="272">
        <v>0</v>
      </c>
      <c r="Q40" s="272">
        <v>0</v>
      </c>
      <c r="R40" s="272">
        <v>66953</v>
      </c>
      <c r="S40" s="272"/>
      <c r="T40" s="455">
        <f t="shared" si="2"/>
        <v>176276</v>
      </c>
      <c r="U40" s="272">
        <v>7244</v>
      </c>
      <c r="V40" s="272">
        <v>3437</v>
      </c>
      <c r="W40" s="456">
        <v>1162</v>
      </c>
      <c r="X40" s="272">
        <v>109107</v>
      </c>
      <c r="Y40" s="272">
        <v>25446</v>
      </c>
      <c r="Z40" s="272">
        <v>0</v>
      </c>
      <c r="AA40" s="272">
        <v>29880</v>
      </c>
      <c r="AB40" s="272">
        <v>22705</v>
      </c>
      <c r="AC40" s="272">
        <v>1806315</v>
      </c>
      <c r="AD40" s="272">
        <v>1495269</v>
      </c>
      <c r="AE40" s="272">
        <v>311046</v>
      </c>
      <c r="AF40" s="272">
        <v>2396</v>
      </c>
      <c r="AG40" s="272">
        <v>16985</v>
      </c>
      <c r="AH40" s="455">
        <f t="shared" si="3"/>
        <v>98773</v>
      </c>
      <c r="AI40" s="272">
        <v>54057</v>
      </c>
      <c r="AJ40" s="272">
        <v>44716</v>
      </c>
      <c r="AK40" s="272">
        <v>277017</v>
      </c>
      <c r="AL40" s="455">
        <f t="shared" si="4"/>
        <v>56167</v>
      </c>
      <c r="AM40" s="272">
        <v>0</v>
      </c>
      <c r="AN40" s="272">
        <v>0</v>
      </c>
      <c r="AO40" s="272"/>
      <c r="AP40" s="272">
        <v>56167</v>
      </c>
      <c r="AQ40" s="272">
        <v>0</v>
      </c>
      <c r="AR40" s="272">
        <v>0</v>
      </c>
      <c r="AS40" s="272">
        <v>0</v>
      </c>
      <c r="AT40" s="272">
        <v>427059</v>
      </c>
      <c r="AU40" s="272">
        <v>120639</v>
      </c>
      <c r="AV40" s="272">
        <v>0</v>
      </c>
      <c r="AW40" s="272">
        <v>7909</v>
      </c>
      <c r="AX40" s="272">
        <v>306420</v>
      </c>
      <c r="AY40" s="272">
        <v>0</v>
      </c>
      <c r="AZ40" s="272">
        <v>9142</v>
      </c>
      <c r="BA40" s="272">
        <v>200</v>
      </c>
      <c r="BB40" s="272">
        <v>5918</v>
      </c>
      <c r="BC40" s="272">
        <v>31826</v>
      </c>
      <c r="BD40" s="272">
        <v>0</v>
      </c>
      <c r="BE40" s="272">
        <v>0</v>
      </c>
      <c r="BF40" s="272">
        <v>14637</v>
      </c>
      <c r="BG40" s="272">
        <v>0</v>
      </c>
      <c r="BH40" s="272">
        <v>197735</v>
      </c>
      <c r="BI40" s="272">
        <v>191484</v>
      </c>
      <c r="BJ40" s="272">
        <v>107402</v>
      </c>
      <c r="BK40" s="272">
        <v>0</v>
      </c>
      <c r="BL40" s="272">
        <v>0</v>
      </c>
      <c r="BM40" s="272">
        <v>0</v>
      </c>
      <c r="BN40" s="272">
        <v>614388</v>
      </c>
      <c r="BO40" s="455">
        <f t="shared" si="5"/>
        <v>248000</v>
      </c>
      <c r="BP40" s="455">
        <f t="shared" si="6"/>
        <v>366388</v>
      </c>
      <c r="BQ40" s="272"/>
      <c r="BR40" s="272">
        <v>0</v>
      </c>
      <c r="BS40" s="272">
        <v>366388</v>
      </c>
      <c r="BT40" s="272">
        <v>0</v>
      </c>
      <c r="BU40" s="272">
        <v>5192194</v>
      </c>
      <c r="BV40" s="272"/>
      <c r="BW40" s="272">
        <v>1185026</v>
      </c>
      <c r="BX40" s="272">
        <v>628772</v>
      </c>
      <c r="BY40" s="272">
        <v>122345</v>
      </c>
      <c r="BZ40" s="272">
        <v>163169</v>
      </c>
      <c r="CA40" s="272">
        <v>394477</v>
      </c>
      <c r="CB40" s="272">
        <v>157900</v>
      </c>
      <c r="CC40" s="272">
        <v>20577</v>
      </c>
      <c r="CD40" s="272">
        <v>192079</v>
      </c>
      <c r="CE40" s="272">
        <v>0</v>
      </c>
      <c r="CF40" s="272">
        <v>5339</v>
      </c>
      <c r="CG40" s="272">
        <v>18582</v>
      </c>
      <c r="CH40" s="272">
        <v>395085</v>
      </c>
      <c r="CI40" s="457" t="s">
        <v>646</v>
      </c>
      <c r="CJ40" s="458" t="s">
        <v>646</v>
      </c>
      <c r="CK40" s="272">
        <v>676698</v>
      </c>
      <c r="CL40" s="272">
        <v>398864</v>
      </c>
      <c r="CM40" s="272">
        <v>12329</v>
      </c>
      <c r="CN40" s="272">
        <v>149631</v>
      </c>
      <c r="CO40" s="272">
        <v>33019</v>
      </c>
      <c r="CP40" s="272">
        <v>597460</v>
      </c>
      <c r="CQ40" s="272">
        <v>173840</v>
      </c>
      <c r="CR40" s="272">
        <v>139696</v>
      </c>
      <c r="CS40" s="272">
        <v>115544</v>
      </c>
      <c r="CT40" s="455">
        <f t="shared" si="7"/>
        <v>181338</v>
      </c>
      <c r="CU40" s="272">
        <v>1681</v>
      </c>
      <c r="CV40" s="272">
        <v>179657</v>
      </c>
      <c r="CW40" s="455">
        <f t="shared" si="8"/>
        <v>0</v>
      </c>
      <c r="CX40" s="272">
        <v>0</v>
      </c>
      <c r="CY40" s="272">
        <v>0</v>
      </c>
      <c r="CZ40" s="455">
        <f t="shared" si="9"/>
        <v>0</v>
      </c>
      <c r="DA40" s="272">
        <v>0</v>
      </c>
      <c r="DB40" s="272">
        <v>0</v>
      </c>
      <c r="DC40" s="272">
        <v>532292</v>
      </c>
      <c r="DD40" s="272">
        <v>7909</v>
      </c>
      <c r="DE40" s="272">
        <v>523437</v>
      </c>
      <c r="DF40" s="26">
        <v>946</v>
      </c>
      <c r="DG40" s="27">
        <v>0</v>
      </c>
      <c r="DH40" s="272">
        <v>1039</v>
      </c>
      <c r="DI40" s="272">
        <v>521687</v>
      </c>
      <c r="DJ40" s="272">
        <v>505725</v>
      </c>
      <c r="DK40" s="272">
        <v>0</v>
      </c>
      <c r="DL40" s="272">
        <v>15962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644515</v>
      </c>
      <c r="DU40" s="272">
        <v>195184</v>
      </c>
      <c r="DV40" s="455">
        <f t="shared" si="10"/>
        <v>0</v>
      </c>
      <c r="DW40" s="272">
        <v>0</v>
      </c>
      <c r="DX40" s="272">
        <v>171171</v>
      </c>
      <c r="DY40" s="272">
        <v>0</v>
      </c>
      <c r="DZ40" s="272">
        <v>92432</v>
      </c>
      <c r="EA40" s="272">
        <v>0</v>
      </c>
      <c r="EB40" s="272">
        <v>149956</v>
      </c>
      <c r="EC40" s="272">
        <v>0</v>
      </c>
      <c r="ED40" s="272">
        <v>4981298</v>
      </c>
      <c r="EE40" s="89"/>
      <c r="EF40" s="272">
        <v>210896</v>
      </c>
      <c r="EG40" s="272">
        <v>46727</v>
      </c>
      <c r="EH40" s="272">
        <v>164169</v>
      </c>
      <c r="EI40" s="272">
        <v>-27315</v>
      </c>
      <c r="EJ40" s="272">
        <v>478410</v>
      </c>
      <c r="EK40" s="89"/>
      <c r="EL40" s="272">
        <v>11650</v>
      </c>
      <c r="EM40" s="272">
        <v>12132</v>
      </c>
      <c r="EN40" s="272">
        <v>17189</v>
      </c>
      <c r="EO40" s="272">
        <v>1165</v>
      </c>
      <c r="EP40" s="455">
        <f t="shared" si="11"/>
        <v>404555</v>
      </c>
      <c r="EQ40" s="272">
        <v>3405949</v>
      </c>
      <c r="ER40" s="272">
        <v>-786901</v>
      </c>
      <c r="ES40" s="272">
        <v>1076139</v>
      </c>
      <c r="ET40" s="272">
        <v>545712</v>
      </c>
      <c r="EU40" s="272">
        <v>133692</v>
      </c>
      <c r="EV40" s="272">
        <v>353226</v>
      </c>
      <c r="EW40" s="455">
        <f t="shared" si="12"/>
        <v>275287</v>
      </c>
      <c r="EX40" s="272">
        <v>275287</v>
      </c>
      <c r="EY40" s="272">
        <v>0</v>
      </c>
      <c r="EZ40" s="272">
        <v>274341</v>
      </c>
      <c r="FA40" s="272">
        <v>0</v>
      </c>
      <c r="FB40" s="272">
        <v>0</v>
      </c>
      <c r="FC40" s="272">
        <v>498500</v>
      </c>
      <c r="FD40" s="272">
        <v>525998</v>
      </c>
      <c r="FE40" s="272">
        <v>169940</v>
      </c>
      <c r="FF40" s="272">
        <v>575023</v>
      </c>
      <c r="FG40" s="455">
        <f t="shared" si="13"/>
        <v>544089</v>
      </c>
      <c r="FH40" s="272">
        <v>3981954</v>
      </c>
      <c r="FI40" s="459">
        <f t="shared" si="14"/>
        <v>4.8</v>
      </c>
      <c r="FJ40" s="272">
        <v>3049718</v>
      </c>
      <c r="FK40" s="272">
        <v>366388</v>
      </c>
      <c r="FL40" s="272">
        <v>1215118</v>
      </c>
      <c r="FM40" s="272">
        <v>2710387</v>
      </c>
      <c r="FN40" s="460">
        <v>0.48499999999999999</v>
      </c>
      <c r="FO40" s="388">
        <v>85.5</v>
      </c>
      <c r="FP40" s="388">
        <v>30.8</v>
      </c>
      <c r="FQ40" s="388">
        <v>3.8</v>
      </c>
      <c r="FR40" s="388">
        <v>10.199999999999999</v>
      </c>
      <c r="FS40" s="388">
        <v>13.1</v>
      </c>
      <c r="FT40" s="388">
        <v>12.5</v>
      </c>
      <c r="FU40" s="388">
        <v>14.2</v>
      </c>
      <c r="FV40" s="384">
        <f t="shared" si="15"/>
        <v>8.6999999999999993</v>
      </c>
      <c r="FW40" s="272">
        <v>4092817</v>
      </c>
      <c r="FX40" s="384">
        <f t="shared" si="16"/>
        <v>119.8</v>
      </c>
      <c r="FY40" s="272">
        <v>3635242</v>
      </c>
      <c r="FZ40" s="272">
        <v>2797631</v>
      </c>
      <c r="GA40" s="272">
        <v>0</v>
      </c>
      <c r="GB40" s="272">
        <v>837611</v>
      </c>
      <c r="GC40" s="272">
        <v>0</v>
      </c>
      <c r="GD40" s="457"/>
      <c r="GE40" s="384"/>
      <c r="GF40" s="388">
        <v>97.8</v>
      </c>
      <c r="GG40" s="388">
        <v>23.5</v>
      </c>
      <c r="GH40" s="388">
        <v>89.3</v>
      </c>
      <c r="GI40" s="272">
        <v>111</v>
      </c>
      <c r="GJ40" s="461" t="s">
        <v>646</v>
      </c>
      <c r="GK40" s="461">
        <v>15</v>
      </c>
      <c r="GL40" s="462">
        <v>20</v>
      </c>
      <c r="GM40" s="461" t="s">
        <v>646</v>
      </c>
      <c r="GN40" s="462">
        <v>20</v>
      </c>
      <c r="GO40" s="462">
        <v>35</v>
      </c>
      <c r="GP40" s="463">
        <v>8.6999999999999993</v>
      </c>
      <c r="GQ40" s="463">
        <v>25</v>
      </c>
      <c r="GR40" s="463">
        <v>35</v>
      </c>
      <c r="GS40" s="464">
        <v>53.3</v>
      </c>
      <c r="GT40" s="463">
        <v>350</v>
      </c>
      <c r="GU40" s="394"/>
      <c r="GV40" s="394"/>
      <c r="GW40" s="394"/>
      <c r="GX40" s="394"/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</row>
    <row r="41" spans="2:230" x14ac:dyDescent="0.15">
      <c r="B41" s="89" t="s">
        <v>75</v>
      </c>
      <c r="C41" s="272">
        <v>2306460</v>
      </c>
      <c r="D41" s="455">
        <f t="shared" si="0"/>
        <v>669797</v>
      </c>
      <c r="E41" s="272">
        <v>20835</v>
      </c>
      <c r="F41" s="456">
        <v>648962</v>
      </c>
      <c r="G41" s="455">
        <f t="shared" si="1"/>
        <v>158979</v>
      </c>
      <c r="H41" s="272">
        <v>46724</v>
      </c>
      <c r="I41" s="272">
        <v>112255</v>
      </c>
      <c r="J41" s="272">
        <v>1116229</v>
      </c>
      <c r="K41" s="272">
        <v>550050</v>
      </c>
      <c r="L41" s="272">
        <v>410356</v>
      </c>
      <c r="M41" s="272">
        <v>143206</v>
      </c>
      <c r="N41" s="272">
        <v>100524</v>
      </c>
      <c r="O41" s="272">
        <v>235552</v>
      </c>
      <c r="P41" s="272">
        <v>145310</v>
      </c>
      <c r="Q41" s="272">
        <v>90242</v>
      </c>
      <c r="R41" s="272">
        <v>38123</v>
      </c>
      <c r="S41" s="272"/>
      <c r="T41" s="455">
        <f t="shared" si="2"/>
        <v>205826</v>
      </c>
      <c r="U41" s="272">
        <v>9801</v>
      </c>
      <c r="V41" s="272">
        <v>4658</v>
      </c>
      <c r="W41" s="456">
        <v>1582</v>
      </c>
      <c r="X41" s="272">
        <v>172767</v>
      </c>
      <c r="Y41" s="272">
        <v>0</v>
      </c>
      <c r="Z41" s="272">
        <v>0</v>
      </c>
      <c r="AA41" s="272">
        <v>17018</v>
      </c>
      <c r="AB41" s="272">
        <v>40378</v>
      </c>
      <c r="AC41" s="272">
        <v>1545224</v>
      </c>
      <c r="AD41" s="272">
        <v>1240109</v>
      </c>
      <c r="AE41" s="272">
        <v>305115</v>
      </c>
      <c r="AF41" s="272">
        <v>3477</v>
      </c>
      <c r="AG41" s="272">
        <v>961</v>
      </c>
      <c r="AH41" s="455">
        <f t="shared" si="3"/>
        <v>218811</v>
      </c>
      <c r="AI41" s="272">
        <v>172654</v>
      </c>
      <c r="AJ41" s="272">
        <v>46157</v>
      </c>
      <c r="AK41" s="272">
        <v>500335</v>
      </c>
      <c r="AL41" s="455">
        <f t="shared" si="4"/>
        <v>93314</v>
      </c>
      <c r="AM41" s="272">
        <v>0</v>
      </c>
      <c r="AN41" s="272">
        <v>26493</v>
      </c>
      <c r="AO41" s="272"/>
      <c r="AP41" s="272">
        <v>66821</v>
      </c>
      <c r="AQ41" s="272">
        <v>28843</v>
      </c>
      <c r="AR41" s="272">
        <v>0</v>
      </c>
      <c r="AS41" s="272">
        <v>0</v>
      </c>
      <c r="AT41" s="272">
        <v>385250</v>
      </c>
      <c r="AU41" s="272">
        <v>164038</v>
      </c>
      <c r="AV41" s="272">
        <v>13246</v>
      </c>
      <c r="AW41" s="272">
        <v>11769</v>
      </c>
      <c r="AX41" s="272">
        <v>221212</v>
      </c>
      <c r="AY41" s="272">
        <v>1981</v>
      </c>
      <c r="AZ41" s="272">
        <v>9871</v>
      </c>
      <c r="BA41" s="272">
        <v>0</v>
      </c>
      <c r="BB41" s="272">
        <v>729</v>
      </c>
      <c r="BC41" s="272">
        <v>8765</v>
      </c>
      <c r="BD41" s="272">
        <v>0</v>
      </c>
      <c r="BE41" s="272">
        <v>0</v>
      </c>
      <c r="BF41" s="272">
        <v>7129</v>
      </c>
      <c r="BG41" s="272">
        <v>0</v>
      </c>
      <c r="BH41" s="272">
        <v>0</v>
      </c>
      <c r="BI41" s="272">
        <v>0</v>
      </c>
      <c r="BJ41" s="272">
        <v>94306</v>
      </c>
      <c r="BK41" s="272">
        <v>27</v>
      </c>
      <c r="BL41" s="272">
        <v>0</v>
      </c>
      <c r="BM41" s="272">
        <v>0</v>
      </c>
      <c r="BN41" s="272">
        <v>577600</v>
      </c>
      <c r="BO41" s="455">
        <f t="shared" si="5"/>
        <v>27700</v>
      </c>
      <c r="BP41" s="455">
        <f t="shared" si="6"/>
        <v>438700</v>
      </c>
      <c r="BQ41" s="272"/>
      <c r="BR41" s="272">
        <v>0</v>
      </c>
      <c r="BS41" s="272">
        <v>438700</v>
      </c>
      <c r="BT41" s="272">
        <v>111200</v>
      </c>
      <c r="BU41" s="272">
        <v>5936116</v>
      </c>
      <c r="BV41" s="272"/>
      <c r="BW41" s="272">
        <v>1316533</v>
      </c>
      <c r="BX41" s="272">
        <v>850205</v>
      </c>
      <c r="BY41" s="272">
        <v>177277</v>
      </c>
      <c r="BZ41" s="272">
        <v>18220</v>
      </c>
      <c r="CA41" s="272">
        <v>874979</v>
      </c>
      <c r="CB41" s="272">
        <v>195856</v>
      </c>
      <c r="CC41" s="272">
        <v>24625</v>
      </c>
      <c r="CD41" s="272">
        <v>636387</v>
      </c>
      <c r="CE41" s="272">
        <v>0</v>
      </c>
      <c r="CF41" s="272">
        <v>0</v>
      </c>
      <c r="CG41" s="272">
        <v>18111</v>
      </c>
      <c r="CH41" s="272">
        <v>751190</v>
      </c>
      <c r="CI41" s="457" t="s">
        <v>646</v>
      </c>
      <c r="CJ41" s="458" t="s">
        <v>646</v>
      </c>
      <c r="CK41" s="272">
        <v>1222697</v>
      </c>
      <c r="CL41" s="272">
        <v>878188</v>
      </c>
      <c r="CM41" s="272">
        <v>97907</v>
      </c>
      <c r="CN41" s="272">
        <v>132324</v>
      </c>
      <c r="CO41" s="272">
        <v>60984</v>
      </c>
      <c r="CP41" s="272">
        <v>211776</v>
      </c>
      <c r="CQ41" s="272">
        <v>2227</v>
      </c>
      <c r="CR41" s="272">
        <v>33913</v>
      </c>
      <c r="CS41" s="272">
        <v>16423</v>
      </c>
      <c r="CT41" s="455">
        <f t="shared" si="7"/>
        <v>30545</v>
      </c>
      <c r="CU41" s="272">
        <v>30545</v>
      </c>
      <c r="CV41" s="272">
        <v>0</v>
      </c>
      <c r="CW41" s="455">
        <f t="shared" si="8"/>
        <v>30244</v>
      </c>
      <c r="CX41" s="272">
        <v>30244</v>
      </c>
      <c r="CY41" s="272">
        <v>0</v>
      </c>
      <c r="CZ41" s="455">
        <f t="shared" si="9"/>
        <v>0</v>
      </c>
      <c r="DA41" s="272">
        <v>0</v>
      </c>
      <c r="DB41" s="272">
        <v>0</v>
      </c>
      <c r="DC41" s="272">
        <v>143414</v>
      </c>
      <c r="DD41" s="272">
        <v>57619</v>
      </c>
      <c r="DE41" s="272">
        <v>85795</v>
      </c>
      <c r="DF41" s="26">
        <v>0</v>
      </c>
      <c r="DG41" s="27">
        <v>0</v>
      </c>
      <c r="DH41" s="272">
        <v>0</v>
      </c>
      <c r="DI41" s="272">
        <v>7636</v>
      </c>
      <c r="DJ41" s="272">
        <v>0</v>
      </c>
      <c r="DK41" s="272">
        <v>0</v>
      </c>
      <c r="DL41" s="272">
        <v>7636</v>
      </c>
      <c r="DM41" s="272">
        <v>0</v>
      </c>
      <c r="DN41" s="272">
        <v>0</v>
      </c>
      <c r="DO41" s="272">
        <v>0</v>
      </c>
      <c r="DP41" s="272">
        <v>0</v>
      </c>
      <c r="DQ41" s="272">
        <v>0</v>
      </c>
      <c r="DR41" s="272">
        <v>0</v>
      </c>
      <c r="DS41" s="272">
        <v>0</v>
      </c>
      <c r="DT41" s="272">
        <v>1072952</v>
      </c>
      <c r="DU41" s="272">
        <v>496125</v>
      </c>
      <c r="DV41" s="455">
        <f t="shared" si="10"/>
        <v>0</v>
      </c>
      <c r="DW41" s="272">
        <v>0</v>
      </c>
      <c r="DX41" s="272">
        <v>206990</v>
      </c>
      <c r="DY41" s="272">
        <v>0</v>
      </c>
      <c r="DZ41" s="272">
        <v>182909</v>
      </c>
      <c r="EA41" s="272">
        <v>110</v>
      </c>
      <c r="EB41" s="272">
        <v>186818</v>
      </c>
      <c r="EC41" s="272">
        <v>32389</v>
      </c>
      <c r="ED41" s="272">
        <v>5694550</v>
      </c>
      <c r="EE41" s="89"/>
      <c r="EF41" s="272">
        <v>241566</v>
      </c>
      <c r="EG41" s="272">
        <v>316</v>
      </c>
      <c r="EH41" s="272">
        <v>241250</v>
      </c>
      <c r="EI41" s="272">
        <v>277638</v>
      </c>
      <c r="EJ41" s="272">
        <v>277638</v>
      </c>
      <c r="EK41" s="89"/>
      <c r="EL41" s="272">
        <v>18149</v>
      </c>
      <c r="EM41" s="272">
        <v>17658</v>
      </c>
      <c r="EN41" s="272">
        <v>1636</v>
      </c>
      <c r="EO41" s="272">
        <v>9871</v>
      </c>
      <c r="EP41" s="455">
        <f t="shared" si="11"/>
        <v>145166</v>
      </c>
      <c r="EQ41" s="272">
        <v>4139488</v>
      </c>
      <c r="ER41" s="272">
        <v>-591896</v>
      </c>
      <c r="ES41" s="272">
        <v>1082267</v>
      </c>
      <c r="ET41" s="272">
        <v>746331</v>
      </c>
      <c r="EU41" s="272">
        <v>307523</v>
      </c>
      <c r="EV41" s="272">
        <v>751190</v>
      </c>
      <c r="EW41" s="455">
        <f t="shared" si="12"/>
        <v>73121</v>
      </c>
      <c r="EX41" s="272">
        <v>73121</v>
      </c>
      <c r="EY41" s="272">
        <v>1076</v>
      </c>
      <c r="EZ41" s="272">
        <v>72045</v>
      </c>
      <c r="FA41" s="272">
        <v>0</v>
      </c>
      <c r="FB41" s="272">
        <v>0</v>
      </c>
      <c r="FC41" s="272">
        <v>1007488</v>
      </c>
      <c r="FD41" s="272">
        <v>189726</v>
      </c>
      <c r="FE41" s="272">
        <v>2227</v>
      </c>
      <c r="FF41" s="272">
        <v>978737</v>
      </c>
      <c r="FG41" s="455">
        <f t="shared" si="13"/>
        <v>99766</v>
      </c>
      <c r="FH41" s="272">
        <v>4489818</v>
      </c>
      <c r="FI41" s="459">
        <f t="shared" si="14"/>
        <v>6</v>
      </c>
      <c r="FJ41" s="272">
        <v>3605199</v>
      </c>
      <c r="FK41" s="272">
        <v>438792</v>
      </c>
      <c r="FL41" s="272">
        <v>1829061</v>
      </c>
      <c r="FM41" s="272">
        <v>3070126</v>
      </c>
      <c r="FN41" s="460">
        <v>0.61399999999999999</v>
      </c>
      <c r="FO41" s="388">
        <v>103.4</v>
      </c>
      <c r="FP41" s="388">
        <v>26.5</v>
      </c>
      <c r="FQ41" s="388">
        <v>7.5</v>
      </c>
      <c r="FR41" s="388">
        <v>18.399999999999999</v>
      </c>
      <c r="FS41" s="388">
        <v>24</v>
      </c>
      <c r="FT41" s="388">
        <v>3.1</v>
      </c>
      <c r="FU41" s="388">
        <v>22.3</v>
      </c>
      <c r="FV41" s="384">
        <f t="shared" si="15"/>
        <v>20.100000000000001</v>
      </c>
      <c r="FW41" s="272">
        <v>7358344</v>
      </c>
      <c r="FX41" s="384">
        <f t="shared" si="16"/>
        <v>182</v>
      </c>
      <c r="FY41" s="272">
        <v>227498</v>
      </c>
      <c r="FZ41" s="272">
        <v>0</v>
      </c>
      <c r="GA41" s="272">
        <v>0</v>
      </c>
      <c r="GB41" s="272">
        <v>227498</v>
      </c>
      <c r="GC41" s="272">
        <v>0</v>
      </c>
      <c r="GD41" s="457"/>
      <c r="GE41" s="384"/>
      <c r="GF41" s="388">
        <v>98.1</v>
      </c>
      <c r="GG41" s="388">
        <v>21.5</v>
      </c>
      <c r="GH41" s="388">
        <v>91.5</v>
      </c>
      <c r="GI41" s="272">
        <v>146</v>
      </c>
      <c r="GJ41" s="461" t="s">
        <v>646</v>
      </c>
      <c r="GK41" s="461">
        <v>15</v>
      </c>
      <c r="GL41" s="462">
        <v>20</v>
      </c>
      <c r="GM41" s="461" t="s">
        <v>646</v>
      </c>
      <c r="GN41" s="462">
        <v>20</v>
      </c>
      <c r="GO41" s="462">
        <v>35</v>
      </c>
      <c r="GP41" s="463">
        <v>20.100000000000001</v>
      </c>
      <c r="GQ41" s="463">
        <v>25</v>
      </c>
      <c r="GR41" s="463">
        <v>35</v>
      </c>
      <c r="GS41" s="464">
        <v>207.7</v>
      </c>
      <c r="GT41" s="463">
        <v>350</v>
      </c>
      <c r="GU41" s="394"/>
      <c r="GV41" s="394"/>
      <c r="GW41" s="394"/>
      <c r="GX41" s="394"/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</row>
    <row r="42" spans="2:230" x14ac:dyDescent="0.15">
      <c r="B42" s="89" t="s">
        <v>77</v>
      </c>
      <c r="C42" s="272">
        <v>4366677</v>
      </c>
      <c r="D42" s="455">
        <f t="shared" si="0"/>
        <v>2244670</v>
      </c>
      <c r="E42" s="272">
        <v>55152</v>
      </c>
      <c r="F42" s="456">
        <v>2189518</v>
      </c>
      <c r="G42" s="455">
        <f t="shared" si="1"/>
        <v>162802</v>
      </c>
      <c r="H42" s="272">
        <v>44637</v>
      </c>
      <c r="I42" s="272">
        <v>118165</v>
      </c>
      <c r="J42" s="272">
        <v>1734478</v>
      </c>
      <c r="K42" s="272">
        <v>657015</v>
      </c>
      <c r="L42" s="272">
        <v>846895</v>
      </c>
      <c r="M42" s="272">
        <v>218534</v>
      </c>
      <c r="N42" s="272">
        <v>153741</v>
      </c>
      <c r="O42" s="272">
        <v>0</v>
      </c>
      <c r="P42" s="272">
        <v>0</v>
      </c>
      <c r="Q42" s="272">
        <v>0</v>
      </c>
      <c r="R42" s="272">
        <v>97238</v>
      </c>
      <c r="S42" s="272"/>
      <c r="T42" s="455">
        <f t="shared" si="2"/>
        <v>453212</v>
      </c>
      <c r="U42" s="272">
        <v>32590</v>
      </c>
      <c r="V42" s="272">
        <v>15488</v>
      </c>
      <c r="W42" s="456">
        <v>5257</v>
      </c>
      <c r="X42" s="272">
        <v>347534</v>
      </c>
      <c r="Y42" s="272">
        <v>8930</v>
      </c>
      <c r="Z42" s="272">
        <v>0</v>
      </c>
      <c r="AA42" s="272">
        <v>43413</v>
      </c>
      <c r="AB42" s="272">
        <v>95337</v>
      </c>
      <c r="AC42" s="272">
        <v>2048855</v>
      </c>
      <c r="AD42" s="272">
        <v>1834281</v>
      </c>
      <c r="AE42" s="272">
        <v>214574</v>
      </c>
      <c r="AF42" s="272">
        <v>7834</v>
      </c>
      <c r="AG42" s="272">
        <v>6865</v>
      </c>
      <c r="AH42" s="455">
        <f t="shared" si="3"/>
        <v>372208</v>
      </c>
      <c r="AI42" s="272">
        <v>284750</v>
      </c>
      <c r="AJ42" s="272">
        <v>87458</v>
      </c>
      <c r="AK42" s="272">
        <v>1430141</v>
      </c>
      <c r="AL42" s="455">
        <f t="shared" si="4"/>
        <v>205155</v>
      </c>
      <c r="AM42" s="272">
        <v>0</v>
      </c>
      <c r="AN42" s="272">
        <v>69686</v>
      </c>
      <c r="AO42" s="272"/>
      <c r="AP42" s="272">
        <v>135469</v>
      </c>
      <c r="AQ42" s="272">
        <v>281351</v>
      </c>
      <c r="AR42" s="272">
        <v>0</v>
      </c>
      <c r="AS42" s="272">
        <v>0</v>
      </c>
      <c r="AT42" s="272">
        <v>830505</v>
      </c>
      <c r="AU42" s="272">
        <v>434567</v>
      </c>
      <c r="AV42" s="272">
        <v>34843</v>
      </c>
      <c r="AW42" s="272">
        <v>50287</v>
      </c>
      <c r="AX42" s="272">
        <v>395938</v>
      </c>
      <c r="AY42" s="272">
        <v>3528</v>
      </c>
      <c r="AZ42" s="272">
        <v>6470</v>
      </c>
      <c r="BA42" s="272">
        <v>2327</v>
      </c>
      <c r="BB42" s="272">
        <v>1706</v>
      </c>
      <c r="BC42" s="272">
        <v>8979</v>
      </c>
      <c r="BD42" s="272">
        <v>0</v>
      </c>
      <c r="BE42" s="272">
        <v>0</v>
      </c>
      <c r="BF42" s="272">
        <v>5100</v>
      </c>
      <c r="BG42" s="272">
        <v>0</v>
      </c>
      <c r="BH42" s="272">
        <v>88642</v>
      </c>
      <c r="BI42" s="272">
        <v>50011</v>
      </c>
      <c r="BJ42" s="272">
        <v>258500</v>
      </c>
      <c r="BK42" s="272">
        <v>0</v>
      </c>
      <c r="BL42" s="272">
        <v>0</v>
      </c>
      <c r="BM42" s="272">
        <v>0</v>
      </c>
      <c r="BN42" s="272">
        <v>1120600</v>
      </c>
      <c r="BO42" s="455">
        <f t="shared" si="5"/>
        <v>246600</v>
      </c>
      <c r="BP42" s="455">
        <f t="shared" si="6"/>
        <v>874000</v>
      </c>
      <c r="BQ42" s="272"/>
      <c r="BR42" s="272">
        <v>0</v>
      </c>
      <c r="BS42" s="272">
        <v>874000</v>
      </c>
      <c r="BT42" s="272">
        <v>0</v>
      </c>
      <c r="BU42" s="272">
        <v>11193769</v>
      </c>
      <c r="BV42" s="272"/>
      <c r="BW42" s="272">
        <v>3056550</v>
      </c>
      <c r="BX42" s="272">
        <v>2036609</v>
      </c>
      <c r="BY42" s="272">
        <v>295082</v>
      </c>
      <c r="BZ42" s="272">
        <v>174598</v>
      </c>
      <c r="CA42" s="272">
        <v>1847057</v>
      </c>
      <c r="CB42" s="272">
        <v>363860</v>
      </c>
      <c r="CC42" s="272">
        <v>64809</v>
      </c>
      <c r="CD42" s="272">
        <v>1322836</v>
      </c>
      <c r="CE42" s="272">
        <v>0</v>
      </c>
      <c r="CF42" s="272">
        <v>1984</v>
      </c>
      <c r="CG42" s="272">
        <v>93568</v>
      </c>
      <c r="CH42" s="272">
        <v>1243217</v>
      </c>
      <c r="CI42" s="457" t="s">
        <v>646</v>
      </c>
      <c r="CJ42" s="458" t="s">
        <v>646</v>
      </c>
      <c r="CK42" s="272">
        <v>1871350</v>
      </c>
      <c r="CL42" s="272">
        <v>933539</v>
      </c>
      <c r="CM42" s="272">
        <v>191067</v>
      </c>
      <c r="CN42" s="272">
        <v>383160</v>
      </c>
      <c r="CO42" s="272">
        <v>143412</v>
      </c>
      <c r="CP42" s="272">
        <v>432228</v>
      </c>
      <c r="CQ42" s="272">
        <v>911</v>
      </c>
      <c r="CR42" s="272">
        <v>259629</v>
      </c>
      <c r="CS42" s="272">
        <v>173627</v>
      </c>
      <c r="CT42" s="455">
        <f t="shared" si="7"/>
        <v>5686</v>
      </c>
      <c r="CU42" s="272">
        <v>5296</v>
      </c>
      <c r="CV42" s="272">
        <v>390</v>
      </c>
      <c r="CW42" s="455">
        <f t="shared" si="8"/>
        <v>0</v>
      </c>
      <c r="CX42" s="272">
        <v>0</v>
      </c>
      <c r="CY42" s="272">
        <v>0</v>
      </c>
      <c r="CZ42" s="455">
        <f t="shared" si="9"/>
        <v>0</v>
      </c>
      <c r="DA42" s="272">
        <v>0</v>
      </c>
      <c r="DB42" s="272">
        <v>0</v>
      </c>
      <c r="DC42" s="272">
        <v>1023968</v>
      </c>
      <c r="DD42" s="272">
        <v>679944</v>
      </c>
      <c r="DE42" s="272">
        <v>339311</v>
      </c>
      <c r="DF42" s="26">
        <v>4713</v>
      </c>
      <c r="DG42" s="27">
        <v>0</v>
      </c>
      <c r="DH42" s="272">
        <v>4185</v>
      </c>
      <c r="DI42" s="272">
        <v>35301</v>
      </c>
      <c r="DJ42" s="272">
        <v>25000</v>
      </c>
      <c r="DK42" s="272">
        <v>308</v>
      </c>
      <c r="DL42" s="272">
        <v>9993</v>
      </c>
      <c r="DM42" s="272">
        <v>3000</v>
      </c>
      <c r="DN42" s="456">
        <v>3000</v>
      </c>
      <c r="DO42" s="272">
        <v>3000</v>
      </c>
      <c r="DP42" s="272">
        <v>0</v>
      </c>
      <c r="DQ42" s="272">
        <v>0</v>
      </c>
      <c r="DR42" s="272">
        <v>0</v>
      </c>
      <c r="DS42" s="272">
        <v>0</v>
      </c>
      <c r="DT42" s="272">
        <v>1298351</v>
      </c>
      <c r="DU42" s="272">
        <v>308400</v>
      </c>
      <c r="DV42" s="455">
        <f t="shared" si="10"/>
        <v>0</v>
      </c>
      <c r="DW42" s="272">
        <v>0</v>
      </c>
      <c r="DX42" s="272">
        <v>362211</v>
      </c>
      <c r="DY42" s="272">
        <v>0</v>
      </c>
      <c r="DZ42" s="272">
        <v>257847</v>
      </c>
      <c r="EA42" s="272">
        <v>4299</v>
      </c>
      <c r="EB42" s="272">
        <v>364736</v>
      </c>
      <c r="EC42" s="272">
        <v>0</v>
      </c>
      <c r="ED42" s="272">
        <v>10958619</v>
      </c>
      <c r="EE42" s="89"/>
      <c r="EF42" s="272">
        <v>235150</v>
      </c>
      <c r="EG42" s="272">
        <v>32140</v>
      </c>
      <c r="EH42" s="272">
        <v>203010</v>
      </c>
      <c r="EI42" s="272">
        <v>152999</v>
      </c>
      <c r="EJ42" s="272">
        <v>177999</v>
      </c>
      <c r="EK42" s="89"/>
      <c r="EL42" s="272">
        <v>45069</v>
      </c>
      <c r="EM42" s="272">
        <v>44534</v>
      </c>
      <c r="EN42" s="272">
        <v>8979</v>
      </c>
      <c r="EO42" s="272">
        <v>3862</v>
      </c>
      <c r="EP42" s="455">
        <f t="shared" si="11"/>
        <v>353001</v>
      </c>
      <c r="EQ42" s="272">
        <v>7069153</v>
      </c>
      <c r="ER42" s="272">
        <v>-1232008</v>
      </c>
      <c r="ES42" s="272">
        <v>2785438</v>
      </c>
      <c r="ET42" s="272">
        <v>1827495</v>
      </c>
      <c r="EU42" s="272">
        <v>656632</v>
      </c>
      <c r="EV42" s="272">
        <v>1227164</v>
      </c>
      <c r="EW42" s="455">
        <f t="shared" si="12"/>
        <v>336949</v>
      </c>
      <c r="EX42" s="272">
        <v>334187</v>
      </c>
      <c r="EY42" s="272">
        <v>18999</v>
      </c>
      <c r="EZ42" s="272">
        <v>312575</v>
      </c>
      <c r="FA42" s="272">
        <v>2762</v>
      </c>
      <c r="FB42" s="272">
        <v>0</v>
      </c>
      <c r="FC42" s="272">
        <v>1416128</v>
      </c>
      <c r="FD42" s="272">
        <v>333244</v>
      </c>
      <c r="FE42" s="272">
        <v>911</v>
      </c>
      <c r="FF42" s="272">
        <v>1138210</v>
      </c>
      <c r="FG42" s="455">
        <f t="shared" si="13"/>
        <v>172246</v>
      </c>
      <c r="FH42" s="272">
        <v>8066011</v>
      </c>
      <c r="FI42" s="459">
        <f t="shared" si="14"/>
        <v>2.7</v>
      </c>
      <c r="FJ42" s="272">
        <v>6750412</v>
      </c>
      <c r="FK42" s="272">
        <v>874748</v>
      </c>
      <c r="FL42" s="272">
        <v>3816578</v>
      </c>
      <c r="FM42" s="272">
        <v>5650859</v>
      </c>
      <c r="FN42" s="460">
        <v>0.70399999999999996</v>
      </c>
      <c r="FO42" s="388">
        <v>91.5</v>
      </c>
      <c r="FP42" s="388">
        <v>32.5</v>
      </c>
      <c r="FQ42" s="388">
        <v>8.3000000000000007</v>
      </c>
      <c r="FR42" s="388">
        <v>15.5</v>
      </c>
      <c r="FS42" s="388">
        <v>17</v>
      </c>
      <c r="FT42" s="388">
        <v>3.6</v>
      </c>
      <c r="FU42" s="388">
        <v>13</v>
      </c>
      <c r="FV42" s="384">
        <f t="shared" si="15"/>
        <v>10</v>
      </c>
      <c r="FW42" s="272">
        <v>9387641</v>
      </c>
      <c r="FX42" s="384">
        <f t="shared" si="16"/>
        <v>123.1</v>
      </c>
      <c r="FY42" s="272">
        <v>3488873</v>
      </c>
      <c r="FZ42" s="272">
        <v>874158</v>
      </c>
      <c r="GA42" s="272">
        <v>612964</v>
      </c>
      <c r="GB42" s="272">
        <v>2001751</v>
      </c>
      <c r="GC42" s="272">
        <v>777063</v>
      </c>
      <c r="GD42" s="457">
        <v>777995</v>
      </c>
      <c r="GE42" s="384">
        <f>ROUND(GD42/(FJ42+FK42)*100,1)</f>
        <v>10.199999999999999</v>
      </c>
      <c r="GF42" s="388">
        <v>98.3</v>
      </c>
      <c r="GG42" s="388">
        <v>27.1</v>
      </c>
      <c r="GH42" s="388">
        <v>93.3</v>
      </c>
      <c r="GI42" s="272">
        <v>345</v>
      </c>
      <c r="GJ42" s="461" t="s">
        <v>646</v>
      </c>
      <c r="GK42" s="461">
        <v>13.85</v>
      </c>
      <c r="GL42" s="462">
        <v>20</v>
      </c>
      <c r="GM42" s="461" t="s">
        <v>646</v>
      </c>
      <c r="GN42" s="462">
        <v>18.850000000000001</v>
      </c>
      <c r="GO42" s="462">
        <v>35</v>
      </c>
      <c r="GP42" s="463">
        <v>10</v>
      </c>
      <c r="GQ42" s="463">
        <v>25</v>
      </c>
      <c r="GR42" s="463">
        <v>35</v>
      </c>
      <c r="GS42" s="464">
        <v>64.8</v>
      </c>
      <c r="GT42" s="463">
        <v>350</v>
      </c>
      <c r="GU42" s="394"/>
      <c r="GV42" s="394"/>
      <c r="GW42" s="394"/>
      <c r="GX42" s="394"/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</row>
    <row r="43" spans="2:230" x14ac:dyDescent="0.15">
      <c r="B43" s="89" t="s">
        <v>79</v>
      </c>
      <c r="C43" s="272">
        <v>3730023</v>
      </c>
      <c r="D43" s="455">
        <f t="shared" si="0"/>
        <v>337067</v>
      </c>
      <c r="E43" s="272">
        <v>10024</v>
      </c>
      <c r="F43" s="456">
        <v>327043</v>
      </c>
      <c r="G43" s="455">
        <f t="shared" si="1"/>
        <v>106555</v>
      </c>
      <c r="H43" s="272">
        <v>39578</v>
      </c>
      <c r="I43" s="272">
        <v>66977</v>
      </c>
      <c r="J43" s="272">
        <v>2751906</v>
      </c>
      <c r="K43" s="272">
        <v>1218649</v>
      </c>
      <c r="L43" s="272">
        <v>738148</v>
      </c>
      <c r="M43" s="272">
        <v>745212</v>
      </c>
      <c r="N43" s="272">
        <v>523594</v>
      </c>
      <c r="O43" s="272">
        <v>0</v>
      </c>
      <c r="P43" s="272">
        <v>0</v>
      </c>
      <c r="Q43" s="272">
        <v>0</v>
      </c>
      <c r="R43" s="272">
        <v>42369</v>
      </c>
      <c r="S43" s="272"/>
      <c r="T43" s="455">
        <f t="shared" si="2"/>
        <v>128489</v>
      </c>
      <c r="U43" s="272">
        <v>4638</v>
      </c>
      <c r="V43" s="272">
        <v>2213</v>
      </c>
      <c r="W43" s="456">
        <v>762</v>
      </c>
      <c r="X43" s="272">
        <v>112681</v>
      </c>
      <c r="Y43" s="272">
        <v>0</v>
      </c>
      <c r="Z43" s="272">
        <v>0</v>
      </c>
      <c r="AA43" s="272">
        <v>8195</v>
      </c>
      <c r="AB43" s="272">
        <v>23658</v>
      </c>
      <c r="AC43" s="272">
        <v>17257</v>
      </c>
      <c r="AD43" s="272">
        <v>0</v>
      </c>
      <c r="AE43" s="272">
        <v>17257</v>
      </c>
      <c r="AF43" s="272">
        <v>1227</v>
      </c>
      <c r="AG43" s="272">
        <v>1267</v>
      </c>
      <c r="AH43" s="455">
        <f t="shared" si="3"/>
        <v>108227</v>
      </c>
      <c r="AI43" s="272">
        <v>92124</v>
      </c>
      <c r="AJ43" s="272">
        <v>16103</v>
      </c>
      <c r="AK43" s="272">
        <v>215194</v>
      </c>
      <c r="AL43" s="455">
        <f t="shared" si="4"/>
        <v>56284</v>
      </c>
      <c r="AM43" s="272">
        <v>0</v>
      </c>
      <c r="AN43" s="272">
        <v>0</v>
      </c>
      <c r="AO43" s="272"/>
      <c r="AP43" s="272">
        <v>56284</v>
      </c>
      <c r="AQ43" s="272">
        <v>6021</v>
      </c>
      <c r="AR43" s="272">
        <v>0</v>
      </c>
      <c r="AS43" s="272">
        <v>0</v>
      </c>
      <c r="AT43" s="272">
        <v>217895</v>
      </c>
      <c r="AU43" s="272">
        <v>137865</v>
      </c>
      <c r="AV43" s="272">
        <v>0</v>
      </c>
      <c r="AW43" s="272">
        <v>27921</v>
      </c>
      <c r="AX43" s="272">
        <v>80030</v>
      </c>
      <c r="AY43" s="272">
        <v>2984</v>
      </c>
      <c r="AZ43" s="272">
        <v>18194</v>
      </c>
      <c r="BA43" s="272">
        <v>9810</v>
      </c>
      <c r="BB43" s="272">
        <v>834</v>
      </c>
      <c r="BC43" s="272">
        <v>37</v>
      </c>
      <c r="BD43" s="272">
        <v>0</v>
      </c>
      <c r="BE43" s="272">
        <v>0</v>
      </c>
      <c r="BF43" s="272">
        <v>0</v>
      </c>
      <c r="BG43" s="272">
        <v>0</v>
      </c>
      <c r="BH43" s="272">
        <v>301121</v>
      </c>
      <c r="BI43" s="272">
        <v>292145</v>
      </c>
      <c r="BJ43" s="272">
        <v>115920</v>
      </c>
      <c r="BK43" s="272">
        <v>0</v>
      </c>
      <c r="BL43" s="272">
        <v>0</v>
      </c>
      <c r="BM43" s="272">
        <v>0</v>
      </c>
      <c r="BN43" s="272">
        <v>0</v>
      </c>
      <c r="BO43" s="455">
        <f t="shared" si="5"/>
        <v>0</v>
      </c>
      <c r="BP43" s="455">
        <f t="shared" si="6"/>
        <v>0</v>
      </c>
      <c r="BQ43" s="272"/>
      <c r="BR43" s="272">
        <v>0</v>
      </c>
      <c r="BS43" s="272">
        <v>0</v>
      </c>
      <c r="BT43" s="272">
        <v>0</v>
      </c>
      <c r="BU43" s="272">
        <v>4921712</v>
      </c>
      <c r="BV43" s="272"/>
      <c r="BW43" s="272">
        <v>1078031</v>
      </c>
      <c r="BX43" s="272">
        <v>648128</v>
      </c>
      <c r="BY43" s="272">
        <v>55680</v>
      </c>
      <c r="BZ43" s="272">
        <v>133827</v>
      </c>
      <c r="CA43" s="272">
        <v>361504</v>
      </c>
      <c r="CB43" s="272">
        <v>121642</v>
      </c>
      <c r="CC43" s="272">
        <v>16580</v>
      </c>
      <c r="CD43" s="272">
        <v>211517</v>
      </c>
      <c r="CE43" s="272">
        <v>0</v>
      </c>
      <c r="CF43" s="272">
        <v>479</v>
      </c>
      <c r="CG43" s="272">
        <v>11286</v>
      </c>
      <c r="CH43" s="272">
        <v>428210</v>
      </c>
      <c r="CI43" s="457" t="s">
        <v>646</v>
      </c>
      <c r="CJ43" s="458" t="s">
        <v>646</v>
      </c>
      <c r="CK43" s="272">
        <v>473382</v>
      </c>
      <c r="CL43" s="272">
        <v>259714</v>
      </c>
      <c r="CM43" s="272">
        <v>12295</v>
      </c>
      <c r="CN43" s="272">
        <v>149730</v>
      </c>
      <c r="CO43" s="272">
        <v>19202</v>
      </c>
      <c r="CP43" s="272">
        <v>985151</v>
      </c>
      <c r="CQ43" s="272">
        <v>126971</v>
      </c>
      <c r="CR43" s="272">
        <v>25010</v>
      </c>
      <c r="CS43" s="272">
        <v>25010</v>
      </c>
      <c r="CT43" s="455">
        <f t="shared" si="7"/>
        <v>10402</v>
      </c>
      <c r="CU43" s="272">
        <v>0</v>
      </c>
      <c r="CV43" s="272">
        <v>10402</v>
      </c>
      <c r="CW43" s="455">
        <f t="shared" si="8"/>
        <v>0</v>
      </c>
      <c r="CX43" s="272">
        <v>0</v>
      </c>
      <c r="CY43" s="272">
        <v>0</v>
      </c>
      <c r="CZ43" s="455">
        <f t="shared" si="9"/>
        <v>0</v>
      </c>
      <c r="DA43" s="272">
        <v>0</v>
      </c>
      <c r="DB43" s="272">
        <v>0</v>
      </c>
      <c r="DC43" s="272">
        <v>150179</v>
      </c>
      <c r="DD43" s="272">
        <v>27347</v>
      </c>
      <c r="DE43" s="272">
        <v>122832</v>
      </c>
      <c r="DF43" s="26">
        <v>0</v>
      </c>
      <c r="DG43" s="27">
        <v>0</v>
      </c>
      <c r="DH43" s="272">
        <v>0</v>
      </c>
      <c r="DI43" s="272">
        <v>451857</v>
      </c>
      <c r="DJ43" s="272">
        <v>440172</v>
      </c>
      <c r="DK43" s="272">
        <v>0</v>
      </c>
      <c r="DL43" s="272">
        <v>11685</v>
      </c>
      <c r="DM43" s="272">
        <v>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755743</v>
      </c>
      <c r="DU43" s="272">
        <v>483326</v>
      </c>
      <c r="DV43" s="455">
        <f t="shared" si="10"/>
        <v>0</v>
      </c>
      <c r="DW43" s="272">
        <v>0</v>
      </c>
      <c r="DX43" s="272">
        <v>98034</v>
      </c>
      <c r="DY43" s="272">
        <v>0</v>
      </c>
      <c r="DZ43" s="272">
        <v>85341</v>
      </c>
      <c r="EA43" s="272">
        <v>0</v>
      </c>
      <c r="EB43" s="272">
        <v>89042</v>
      </c>
      <c r="EC43" s="272">
        <v>0</v>
      </c>
      <c r="ED43" s="272">
        <v>4703259</v>
      </c>
      <c r="EE43" s="89"/>
      <c r="EF43" s="272">
        <v>218453</v>
      </c>
      <c r="EG43" s="272">
        <v>2450</v>
      </c>
      <c r="EH43" s="272">
        <v>216003</v>
      </c>
      <c r="EI43" s="272">
        <v>-76142</v>
      </c>
      <c r="EJ43" s="272">
        <v>364030</v>
      </c>
      <c r="EK43" s="89"/>
      <c r="EL43" s="272">
        <v>8085</v>
      </c>
      <c r="EM43" s="272">
        <v>8181</v>
      </c>
      <c r="EN43" s="272">
        <v>37</v>
      </c>
      <c r="EO43" s="272">
        <v>9811</v>
      </c>
      <c r="EP43" s="455">
        <f t="shared" si="11"/>
        <v>384663</v>
      </c>
      <c r="EQ43" s="272">
        <v>3943023</v>
      </c>
      <c r="ER43" s="272">
        <v>-393284</v>
      </c>
      <c r="ES43" s="272">
        <v>971673</v>
      </c>
      <c r="ET43" s="272">
        <v>561025</v>
      </c>
      <c r="EU43" s="272">
        <v>111127</v>
      </c>
      <c r="EV43" s="272">
        <v>428210</v>
      </c>
      <c r="EW43" s="455">
        <f t="shared" si="12"/>
        <v>105681</v>
      </c>
      <c r="EX43" s="272">
        <v>105681</v>
      </c>
      <c r="EY43" s="272">
        <v>1</v>
      </c>
      <c r="EZ43" s="272">
        <v>105680</v>
      </c>
      <c r="FA43" s="272">
        <v>0</v>
      </c>
      <c r="FB43" s="272">
        <v>0</v>
      </c>
      <c r="FC43" s="272">
        <v>347375</v>
      </c>
      <c r="FD43" s="272">
        <v>971695</v>
      </c>
      <c r="FE43" s="272">
        <v>126971</v>
      </c>
      <c r="FF43" s="272">
        <v>719671</v>
      </c>
      <c r="FG43" s="455">
        <f t="shared" si="13"/>
        <v>462422</v>
      </c>
      <c r="FH43" s="272">
        <v>4117854</v>
      </c>
      <c r="FI43" s="459">
        <f t="shared" si="14"/>
        <v>6</v>
      </c>
      <c r="FJ43" s="272">
        <v>3397258</v>
      </c>
      <c r="FK43" s="272">
        <v>201502</v>
      </c>
      <c r="FL43" s="272">
        <v>2578141</v>
      </c>
      <c r="FM43" s="272">
        <v>1846310</v>
      </c>
      <c r="FN43" s="460">
        <v>1.5209999999999999</v>
      </c>
      <c r="FO43" s="388">
        <v>69.599999999999994</v>
      </c>
      <c r="FP43" s="388">
        <v>23.3</v>
      </c>
      <c r="FQ43" s="388">
        <v>2.8</v>
      </c>
      <c r="FR43" s="388">
        <v>10.9</v>
      </c>
      <c r="FS43" s="388">
        <v>7</v>
      </c>
      <c r="FT43" s="388">
        <v>10</v>
      </c>
      <c r="FU43" s="388">
        <v>15.1</v>
      </c>
      <c r="FV43" s="384">
        <f t="shared" si="15"/>
        <v>14.6</v>
      </c>
      <c r="FW43" s="272">
        <v>2805321</v>
      </c>
      <c r="FX43" s="384">
        <f t="shared" si="16"/>
        <v>78</v>
      </c>
      <c r="FY43" s="272">
        <v>3882740</v>
      </c>
      <c r="FZ43" s="272">
        <v>3410585</v>
      </c>
      <c r="GA43" s="272">
        <v>0</v>
      </c>
      <c r="GB43" s="272">
        <v>472155</v>
      </c>
      <c r="GC43" s="272">
        <v>0</v>
      </c>
      <c r="GD43" s="457"/>
      <c r="GE43" s="384"/>
      <c r="GF43" s="388">
        <v>99.8</v>
      </c>
      <c r="GG43" s="388">
        <v>40.5</v>
      </c>
      <c r="GH43" s="388">
        <v>99.5</v>
      </c>
      <c r="GI43" s="272">
        <v>112</v>
      </c>
      <c r="GJ43" s="461" t="s">
        <v>646</v>
      </c>
      <c r="GK43" s="461">
        <v>15</v>
      </c>
      <c r="GL43" s="462">
        <v>20</v>
      </c>
      <c r="GM43" s="461" t="s">
        <v>646</v>
      </c>
      <c r="GN43" s="462">
        <v>20</v>
      </c>
      <c r="GO43" s="462">
        <v>35</v>
      </c>
      <c r="GP43" s="463">
        <v>14.6</v>
      </c>
      <c r="GQ43" s="463">
        <v>25</v>
      </c>
      <c r="GR43" s="463">
        <v>35</v>
      </c>
      <c r="GS43" s="464">
        <v>10.4</v>
      </c>
      <c r="GT43" s="463">
        <v>350</v>
      </c>
      <c r="GU43" s="394"/>
      <c r="GV43" s="394"/>
      <c r="GW43" s="394"/>
      <c r="GX43" s="394"/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</row>
    <row r="44" spans="2:230" x14ac:dyDescent="0.15">
      <c r="B44" s="89" t="s">
        <v>81</v>
      </c>
      <c r="C44" s="272">
        <v>2348417</v>
      </c>
      <c r="D44" s="455">
        <f t="shared" si="0"/>
        <v>718825</v>
      </c>
      <c r="E44" s="272">
        <v>23508</v>
      </c>
      <c r="F44" s="456">
        <v>695317</v>
      </c>
      <c r="G44" s="455">
        <f t="shared" si="1"/>
        <v>61844</v>
      </c>
      <c r="H44" s="272">
        <v>30328</v>
      </c>
      <c r="I44" s="272">
        <v>31516</v>
      </c>
      <c r="J44" s="272">
        <v>1467849</v>
      </c>
      <c r="K44" s="272">
        <v>600240</v>
      </c>
      <c r="L44" s="272">
        <v>516539</v>
      </c>
      <c r="M44" s="272">
        <v>347052</v>
      </c>
      <c r="N44" s="272">
        <v>69263</v>
      </c>
      <c r="O44" s="272">
        <v>0</v>
      </c>
      <c r="P44" s="272">
        <v>0</v>
      </c>
      <c r="Q44" s="272">
        <v>0</v>
      </c>
      <c r="R44" s="272">
        <v>55540</v>
      </c>
      <c r="S44" s="272"/>
      <c r="T44" s="455">
        <f t="shared" si="2"/>
        <v>246804</v>
      </c>
      <c r="U44" s="272">
        <v>10799</v>
      </c>
      <c r="V44" s="272">
        <v>5124</v>
      </c>
      <c r="W44" s="456">
        <v>1729</v>
      </c>
      <c r="X44" s="272">
        <v>145088</v>
      </c>
      <c r="Y44" s="272">
        <v>59272</v>
      </c>
      <c r="Z44" s="272">
        <v>0</v>
      </c>
      <c r="AA44" s="272">
        <v>24792</v>
      </c>
      <c r="AB44" s="272">
        <v>30419</v>
      </c>
      <c r="AC44" s="272">
        <v>1872462</v>
      </c>
      <c r="AD44" s="272">
        <v>1579455</v>
      </c>
      <c r="AE44" s="272">
        <v>293007</v>
      </c>
      <c r="AF44" s="272">
        <v>4257</v>
      </c>
      <c r="AG44" s="272">
        <v>11524</v>
      </c>
      <c r="AH44" s="455">
        <f t="shared" si="3"/>
        <v>120899</v>
      </c>
      <c r="AI44" s="272">
        <v>102696</v>
      </c>
      <c r="AJ44" s="272">
        <v>18203</v>
      </c>
      <c r="AK44" s="272">
        <v>690435</v>
      </c>
      <c r="AL44" s="455">
        <f t="shared" si="4"/>
        <v>115186</v>
      </c>
      <c r="AM44" s="272">
        <v>0</v>
      </c>
      <c r="AN44" s="272">
        <v>0</v>
      </c>
      <c r="AO44" s="272"/>
      <c r="AP44" s="272">
        <v>115186</v>
      </c>
      <c r="AQ44" s="272">
        <v>167393</v>
      </c>
      <c r="AR44" s="272">
        <v>12421</v>
      </c>
      <c r="AS44" s="272">
        <v>0</v>
      </c>
      <c r="AT44" s="272">
        <v>598199</v>
      </c>
      <c r="AU44" s="272">
        <v>232057</v>
      </c>
      <c r="AV44" s="272">
        <v>0</v>
      </c>
      <c r="AW44" s="272">
        <v>11546</v>
      </c>
      <c r="AX44" s="272">
        <v>366142</v>
      </c>
      <c r="AY44" s="272">
        <v>136430</v>
      </c>
      <c r="AZ44" s="272">
        <v>11000</v>
      </c>
      <c r="BA44" s="272">
        <v>8287</v>
      </c>
      <c r="BB44" s="272">
        <v>6918</v>
      </c>
      <c r="BC44" s="272">
        <v>41075</v>
      </c>
      <c r="BD44" s="272">
        <v>0</v>
      </c>
      <c r="BE44" s="272">
        <v>0</v>
      </c>
      <c r="BF44" s="272">
        <v>25307</v>
      </c>
      <c r="BG44" s="272">
        <v>0</v>
      </c>
      <c r="BH44" s="272">
        <v>71538</v>
      </c>
      <c r="BI44" s="272">
        <v>24280</v>
      </c>
      <c r="BJ44" s="272">
        <v>226482</v>
      </c>
      <c r="BK44" s="272">
        <v>6626</v>
      </c>
      <c r="BL44" s="272">
        <v>0</v>
      </c>
      <c r="BM44" s="272">
        <v>0</v>
      </c>
      <c r="BN44" s="272">
        <v>457914</v>
      </c>
      <c r="BO44" s="455">
        <f t="shared" si="5"/>
        <v>9900</v>
      </c>
      <c r="BP44" s="455">
        <f t="shared" si="6"/>
        <v>448014</v>
      </c>
      <c r="BQ44" s="272"/>
      <c r="BR44" s="272">
        <v>0</v>
      </c>
      <c r="BS44" s="272">
        <v>448014</v>
      </c>
      <c r="BT44" s="272">
        <v>0</v>
      </c>
      <c r="BU44" s="272">
        <v>6793883</v>
      </c>
      <c r="BV44" s="272"/>
      <c r="BW44" s="272">
        <v>1288116</v>
      </c>
      <c r="BX44" s="272">
        <v>875709</v>
      </c>
      <c r="BY44" s="272">
        <v>106317</v>
      </c>
      <c r="BZ44" s="272">
        <v>29317</v>
      </c>
      <c r="CA44" s="272">
        <v>670887</v>
      </c>
      <c r="CB44" s="272">
        <v>257209</v>
      </c>
      <c r="CC44" s="272">
        <v>36610</v>
      </c>
      <c r="CD44" s="272">
        <v>360525</v>
      </c>
      <c r="CE44" s="272">
        <v>0</v>
      </c>
      <c r="CF44" s="272">
        <v>1823</v>
      </c>
      <c r="CG44" s="272">
        <v>14650</v>
      </c>
      <c r="CH44" s="272">
        <v>1211240</v>
      </c>
      <c r="CI44" s="457" t="s">
        <v>646</v>
      </c>
      <c r="CJ44" s="458" t="s">
        <v>646</v>
      </c>
      <c r="CK44" s="272">
        <v>1057754</v>
      </c>
      <c r="CL44" s="272">
        <v>464838</v>
      </c>
      <c r="CM44" s="272">
        <v>208440</v>
      </c>
      <c r="CN44" s="272">
        <v>276824</v>
      </c>
      <c r="CO44" s="272">
        <v>77179</v>
      </c>
      <c r="CP44" s="272">
        <v>504460</v>
      </c>
      <c r="CQ44" s="272">
        <v>296916</v>
      </c>
      <c r="CR44" s="272">
        <v>125284</v>
      </c>
      <c r="CS44" s="272">
        <v>105317</v>
      </c>
      <c r="CT44" s="455">
        <f t="shared" si="7"/>
        <v>7437</v>
      </c>
      <c r="CU44" s="272">
        <v>7437</v>
      </c>
      <c r="CV44" s="272">
        <v>0</v>
      </c>
      <c r="CW44" s="455">
        <f t="shared" si="8"/>
        <v>0</v>
      </c>
      <c r="CX44" s="272">
        <v>0</v>
      </c>
      <c r="CY44" s="272">
        <v>0</v>
      </c>
      <c r="CZ44" s="455">
        <f t="shared" si="9"/>
        <v>0</v>
      </c>
      <c r="DA44" s="272">
        <v>0</v>
      </c>
      <c r="DB44" s="272">
        <v>0</v>
      </c>
      <c r="DC44" s="272">
        <v>647485</v>
      </c>
      <c r="DD44" s="272">
        <v>172756</v>
      </c>
      <c r="DE44" s="272">
        <v>330124</v>
      </c>
      <c r="DF44" s="26">
        <v>8285</v>
      </c>
      <c r="DG44" s="27">
        <v>136320</v>
      </c>
      <c r="DH44" s="272">
        <v>56148</v>
      </c>
      <c r="DI44" s="272">
        <v>322434</v>
      </c>
      <c r="DJ44" s="272">
        <v>301499</v>
      </c>
      <c r="DK44" s="272">
        <v>33</v>
      </c>
      <c r="DL44" s="272">
        <v>20902</v>
      </c>
      <c r="DM44" s="272">
        <v>0</v>
      </c>
      <c r="DN44" s="272">
        <v>0</v>
      </c>
      <c r="DO44" s="272">
        <v>0</v>
      </c>
      <c r="DP44" s="272">
        <v>0</v>
      </c>
      <c r="DQ44" s="272">
        <v>0</v>
      </c>
      <c r="DR44" s="272">
        <v>0</v>
      </c>
      <c r="DS44" s="272">
        <v>0</v>
      </c>
      <c r="DT44" s="272">
        <v>914951</v>
      </c>
      <c r="DU44" s="272">
        <v>288881</v>
      </c>
      <c r="DV44" s="455">
        <f t="shared" si="10"/>
        <v>0</v>
      </c>
      <c r="DW44" s="272">
        <v>0</v>
      </c>
      <c r="DX44" s="272">
        <v>260770</v>
      </c>
      <c r="DY44" s="272">
        <v>0</v>
      </c>
      <c r="DZ44" s="272">
        <v>134884</v>
      </c>
      <c r="EA44" s="272">
        <v>96</v>
      </c>
      <c r="EB44" s="272">
        <v>215740</v>
      </c>
      <c r="EC44" s="272">
        <v>0</v>
      </c>
      <c r="ED44" s="272">
        <v>6750654</v>
      </c>
      <c r="EE44" s="89"/>
      <c r="EF44" s="272">
        <v>43229</v>
      </c>
      <c r="EG44" s="272">
        <v>16460</v>
      </c>
      <c r="EH44" s="272">
        <v>26769</v>
      </c>
      <c r="EI44" s="272">
        <v>2489</v>
      </c>
      <c r="EJ44" s="272">
        <v>307688</v>
      </c>
      <c r="EK44" s="89"/>
      <c r="EL44" s="272">
        <v>17504</v>
      </c>
      <c r="EM44" s="272">
        <v>17764</v>
      </c>
      <c r="EN44" s="272">
        <v>1503</v>
      </c>
      <c r="EO44" s="272">
        <v>10129</v>
      </c>
      <c r="EP44" s="455">
        <f t="shared" si="11"/>
        <v>303479</v>
      </c>
      <c r="EQ44" s="272">
        <v>4557899</v>
      </c>
      <c r="ER44" s="272">
        <v>-758868</v>
      </c>
      <c r="ES44" s="272">
        <v>1144606</v>
      </c>
      <c r="ET44" s="272">
        <v>744496</v>
      </c>
      <c r="EU44" s="272">
        <v>230255</v>
      </c>
      <c r="EV44" s="272">
        <v>1190178</v>
      </c>
      <c r="EW44" s="455">
        <f t="shared" si="12"/>
        <v>290229</v>
      </c>
      <c r="EX44" s="272">
        <v>264346</v>
      </c>
      <c r="EY44" s="272">
        <v>5191</v>
      </c>
      <c r="EZ44" s="272">
        <v>254235</v>
      </c>
      <c r="FA44" s="272">
        <v>25883</v>
      </c>
      <c r="FB44" s="272">
        <v>0</v>
      </c>
      <c r="FC44" s="272">
        <v>784320</v>
      </c>
      <c r="FD44" s="272">
        <v>456601</v>
      </c>
      <c r="FE44" s="272">
        <v>296916</v>
      </c>
      <c r="FF44" s="272">
        <v>803374</v>
      </c>
      <c r="FG44" s="455">
        <f t="shared" si="13"/>
        <v>373975</v>
      </c>
      <c r="FH44" s="272">
        <v>5273538</v>
      </c>
      <c r="FI44" s="459">
        <f t="shared" si="14"/>
        <v>0.6</v>
      </c>
      <c r="FJ44" s="272">
        <v>3944887</v>
      </c>
      <c r="FK44" s="272">
        <v>448014</v>
      </c>
      <c r="FL44" s="272">
        <v>1835880</v>
      </c>
      <c r="FM44" s="272">
        <v>3415335</v>
      </c>
      <c r="FN44" s="460">
        <v>0.55900000000000005</v>
      </c>
      <c r="FO44" s="388">
        <v>96.6</v>
      </c>
      <c r="FP44" s="388">
        <v>24.1</v>
      </c>
      <c r="FQ44" s="388">
        <v>4.9000000000000004</v>
      </c>
      <c r="FR44" s="388">
        <v>25.1</v>
      </c>
      <c r="FS44" s="388">
        <v>15.5</v>
      </c>
      <c r="FT44" s="388">
        <v>8.6999999999999993</v>
      </c>
      <c r="FU44" s="388">
        <v>16.8</v>
      </c>
      <c r="FV44" s="384">
        <f t="shared" si="15"/>
        <v>21.6</v>
      </c>
      <c r="FW44" s="272">
        <v>8912969</v>
      </c>
      <c r="FX44" s="384">
        <f t="shared" si="16"/>
        <v>202.9</v>
      </c>
      <c r="FY44" s="272">
        <v>1190181</v>
      </c>
      <c r="FZ44" s="272">
        <v>750342</v>
      </c>
      <c r="GA44" s="272">
        <v>38345</v>
      </c>
      <c r="GB44" s="272">
        <v>401494</v>
      </c>
      <c r="GC44" s="272">
        <v>0</v>
      </c>
      <c r="GD44" s="457"/>
      <c r="GE44" s="384"/>
      <c r="GF44" s="388">
        <v>98.3</v>
      </c>
      <c r="GG44" s="388">
        <v>15</v>
      </c>
      <c r="GH44" s="388">
        <v>92</v>
      </c>
      <c r="GI44" s="272">
        <v>140</v>
      </c>
      <c r="GJ44" s="461" t="s">
        <v>646</v>
      </c>
      <c r="GK44" s="461">
        <v>15</v>
      </c>
      <c r="GL44" s="462">
        <v>20</v>
      </c>
      <c r="GM44" s="461" t="s">
        <v>646</v>
      </c>
      <c r="GN44" s="462">
        <v>20</v>
      </c>
      <c r="GO44" s="462">
        <v>35</v>
      </c>
      <c r="GP44" s="463">
        <v>21.6</v>
      </c>
      <c r="GQ44" s="463">
        <v>25</v>
      </c>
      <c r="GR44" s="463">
        <v>35</v>
      </c>
      <c r="GS44" s="464">
        <v>173.7</v>
      </c>
      <c r="GT44" s="463">
        <v>350</v>
      </c>
      <c r="GU44" s="394"/>
      <c r="GV44" s="394"/>
      <c r="GW44" s="394"/>
      <c r="GX44" s="394"/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</row>
    <row r="45" spans="2:230" x14ac:dyDescent="0.15">
      <c r="B45" s="89" t="s">
        <v>83</v>
      </c>
      <c r="C45" s="272">
        <v>1501659</v>
      </c>
      <c r="D45" s="455">
        <f t="shared" si="0"/>
        <v>658762</v>
      </c>
      <c r="E45" s="272">
        <v>18365</v>
      </c>
      <c r="F45" s="456">
        <v>640397</v>
      </c>
      <c r="G45" s="455">
        <f t="shared" si="1"/>
        <v>38495</v>
      </c>
      <c r="H45" s="272">
        <v>16646</v>
      </c>
      <c r="I45" s="272">
        <v>21849</v>
      </c>
      <c r="J45" s="272">
        <v>594422</v>
      </c>
      <c r="K45" s="272">
        <v>245059</v>
      </c>
      <c r="L45" s="272">
        <v>282099</v>
      </c>
      <c r="M45" s="272">
        <v>67264</v>
      </c>
      <c r="N45" s="272">
        <v>183911</v>
      </c>
      <c r="O45" s="272">
        <v>0</v>
      </c>
      <c r="P45" s="272">
        <v>0</v>
      </c>
      <c r="Q45" s="272">
        <v>0</v>
      </c>
      <c r="R45" s="272">
        <v>39455</v>
      </c>
      <c r="S45" s="272"/>
      <c r="T45" s="455">
        <f t="shared" si="2"/>
        <v>165002</v>
      </c>
      <c r="U45" s="272">
        <v>10083</v>
      </c>
      <c r="V45" s="272">
        <v>4788</v>
      </c>
      <c r="W45" s="456">
        <v>1621</v>
      </c>
      <c r="X45" s="272">
        <v>106894</v>
      </c>
      <c r="Y45" s="272">
        <v>24002</v>
      </c>
      <c r="Z45" s="272">
        <v>0</v>
      </c>
      <c r="AA45" s="272">
        <v>17614</v>
      </c>
      <c r="AB45" s="272">
        <v>30497</v>
      </c>
      <c r="AC45" s="272">
        <v>1306358</v>
      </c>
      <c r="AD45" s="272">
        <v>1073124</v>
      </c>
      <c r="AE45" s="272">
        <v>233234</v>
      </c>
      <c r="AF45" s="272">
        <v>2543</v>
      </c>
      <c r="AG45" s="272">
        <v>55245</v>
      </c>
      <c r="AH45" s="455">
        <f t="shared" si="3"/>
        <v>50458</v>
      </c>
      <c r="AI45" s="272">
        <v>34155</v>
      </c>
      <c r="AJ45" s="272">
        <v>16303</v>
      </c>
      <c r="AK45" s="272">
        <v>409987</v>
      </c>
      <c r="AL45" s="455">
        <f t="shared" si="4"/>
        <v>101860</v>
      </c>
      <c r="AM45" s="272">
        <v>0</v>
      </c>
      <c r="AN45" s="272">
        <v>51006</v>
      </c>
      <c r="AO45" s="272"/>
      <c r="AP45" s="272">
        <v>50854</v>
      </c>
      <c r="AQ45" s="272">
        <v>5775</v>
      </c>
      <c r="AR45" s="272">
        <v>0</v>
      </c>
      <c r="AS45" s="272">
        <v>0</v>
      </c>
      <c r="AT45" s="272">
        <v>392398</v>
      </c>
      <c r="AU45" s="272">
        <v>199754</v>
      </c>
      <c r="AV45" s="272">
        <v>25503</v>
      </c>
      <c r="AW45" s="272">
        <v>49289</v>
      </c>
      <c r="AX45" s="272">
        <v>192644</v>
      </c>
      <c r="AY45" s="272">
        <v>0</v>
      </c>
      <c r="AZ45" s="272">
        <v>3712</v>
      </c>
      <c r="BA45" s="272">
        <v>869</v>
      </c>
      <c r="BB45" s="272">
        <v>450</v>
      </c>
      <c r="BC45" s="272">
        <v>10559</v>
      </c>
      <c r="BD45" s="272">
        <v>2115</v>
      </c>
      <c r="BE45" s="272">
        <v>0</v>
      </c>
      <c r="BF45" s="272">
        <v>0</v>
      </c>
      <c r="BG45" s="272">
        <v>0</v>
      </c>
      <c r="BH45" s="272">
        <v>170591</v>
      </c>
      <c r="BI45" s="272">
        <v>149373</v>
      </c>
      <c r="BJ45" s="272">
        <v>74626</v>
      </c>
      <c r="BK45" s="272">
        <v>0</v>
      </c>
      <c r="BL45" s="272">
        <v>0</v>
      </c>
      <c r="BM45" s="272">
        <v>0</v>
      </c>
      <c r="BN45" s="272">
        <v>396797</v>
      </c>
      <c r="BO45" s="455">
        <f t="shared" si="5"/>
        <v>0</v>
      </c>
      <c r="BP45" s="455">
        <f t="shared" si="6"/>
        <v>396797</v>
      </c>
      <c r="BQ45" s="272"/>
      <c r="BR45" s="272">
        <v>0</v>
      </c>
      <c r="BS45" s="272">
        <v>396797</v>
      </c>
      <c r="BT45" s="272">
        <v>0</v>
      </c>
      <c r="BU45" s="272">
        <v>4610337</v>
      </c>
      <c r="BV45" s="272"/>
      <c r="BW45" s="272">
        <v>990437</v>
      </c>
      <c r="BX45" s="272">
        <v>604364</v>
      </c>
      <c r="BY45" s="272">
        <v>133501</v>
      </c>
      <c r="BZ45" s="272">
        <v>13630</v>
      </c>
      <c r="CA45" s="272">
        <v>642209</v>
      </c>
      <c r="CB45" s="272">
        <v>119218</v>
      </c>
      <c r="CC45" s="272">
        <v>16056</v>
      </c>
      <c r="CD45" s="272">
        <v>485320</v>
      </c>
      <c r="CE45" s="272">
        <v>0</v>
      </c>
      <c r="CF45" s="272">
        <v>0</v>
      </c>
      <c r="CG45" s="272">
        <v>21615</v>
      </c>
      <c r="CH45" s="272">
        <v>570731</v>
      </c>
      <c r="CI45" s="457" t="s">
        <v>646</v>
      </c>
      <c r="CJ45" s="458" t="s">
        <v>646</v>
      </c>
      <c r="CK45" s="272">
        <v>607711</v>
      </c>
      <c r="CL45" s="272">
        <v>305371</v>
      </c>
      <c r="CM45" s="272">
        <v>112265</v>
      </c>
      <c r="CN45" s="272">
        <v>99530</v>
      </c>
      <c r="CO45" s="272">
        <v>21896</v>
      </c>
      <c r="CP45" s="272">
        <v>458212</v>
      </c>
      <c r="CQ45" s="272">
        <v>140321</v>
      </c>
      <c r="CR45" s="272">
        <v>94131</v>
      </c>
      <c r="CS45" s="272">
        <v>33922</v>
      </c>
      <c r="CT45" s="455">
        <f t="shared" si="7"/>
        <v>413</v>
      </c>
      <c r="CU45" s="272">
        <v>413</v>
      </c>
      <c r="CV45" s="272">
        <v>0</v>
      </c>
      <c r="CW45" s="455">
        <f t="shared" si="8"/>
        <v>0</v>
      </c>
      <c r="CX45" s="272">
        <v>0</v>
      </c>
      <c r="CY45" s="272">
        <v>0</v>
      </c>
      <c r="CZ45" s="455">
        <f t="shared" si="9"/>
        <v>0</v>
      </c>
      <c r="DA45" s="272">
        <v>0</v>
      </c>
      <c r="DB45" s="272">
        <v>0</v>
      </c>
      <c r="DC45" s="272">
        <v>195189</v>
      </c>
      <c r="DD45" s="272">
        <v>61402</v>
      </c>
      <c r="DE45" s="272">
        <v>133787</v>
      </c>
      <c r="DF45" s="26">
        <v>0</v>
      </c>
      <c r="DG45" s="27">
        <v>0</v>
      </c>
      <c r="DH45" s="272">
        <v>0</v>
      </c>
      <c r="DI45" s="272">
        <v>312260</v>
      </c>
      <c r="DJ45" s="272">
        <v>167506</v>
      </c>
      <c r="DK45" s="272">
        <v>16</v>
      </c>
      <c r="DL45" s="272">
        <v>144738</v>
      </c>
      <c r="DM45" s="272">
        <v>0</v>
      </c>
      <c r="DN45" s="272">
        <v>0</v>
      </c>
      <c r="DO45" s="272">
        <v>0</v>
      </c>
      <c r="DP45" s="272">
        <v>0</v>
      </c>
      <c r="DQ45" s="272">
        <v>229183</v>
      </c>
      <c r="DR45" s="272">
        <v>0</v>
      </c>
      <c r="DS45" s="272">
        <v>0</v>
      </c>
      <c r="DT45" s="272">
        <v>503853</v>
      </c>
      <c r="DU45" s="272">
        <v>124308</v>
      </c>
      <c r="DV45" s="455">
        <f t="shared" si="10"/>
        <v>0</v>
      </c>
      <c r="DW45" s="272">
        <v>0</v>
      </c>
      <c r="DX45" s="272">
        <v>134474</v>
      </c>
      <c r="DY45" s="272">
        <v>0</v>
      </c>
      <c r="DZ45" s="272">
        <v>96326</v>
      </c>
      <c r="EA45" s="272">
        <v>22</v>
      </c>
      <c r="EB45" s="272">
        <v>142794</v>
      </c>
      <c r="EC45" s="272">
        <v>0</v>
      </c>
      <c r="ED45" s="272">
        <v>4531681</v>
      </c>
      <c r="EE45" s="89"/>
      <c r="EF45" s="272">
        <v>78656</v>
      </c>
      <c r="EG45" s="272">
        <v>5686</v>
      </c>
      <c r="EH45" s="272">
        <v>72970</v>
      </c>
      <c r="EI45" s="272">
        <v>-76403</v>
      </c>
      <c r="EJ45" s="272">
        <v>88988</v>
      </c>
      <c r="EK45" s="89"/>
      <c r="EL45" s="272">
        <v>14220</v>
      </c>
      <c r="EM45" s="272">
        <v>14307</v>
      </c>
      <c r="EN45" s="272">
        <v>10559</v>
      </c>
      <c r="EO45" s="272">
        <v>1364</v>
      </c>
      <c r="EP45" s="455">
        <f t="shared" si="11"/>
        <v>297550</v>
      </c>
      <c r="EQ45" s="272">
        <v>3045514</v>
      </c>
      <c r="ER45" s="272">
        <v>-703727</v>
      </c>
      <c r="ES45" s="272">
        <v>913324</v>
      </c>
      <c r="ET45" s="272">
        <v>533411</v>
      </c>
      <c r="EU45" s="272">
        <v>159439</v>
      </c>
      <c r="EV45" s="272">
        <v>570731</v>
      </c>
      <c r="EW45" s="455">
        <f t="shared" si="12"/>
        <v>112899</v>
      </c>
      <c r="EX45" s="272">
        <v>112899</v>
      </c>
      <c r="EY45" s="272">
        <v>2000</v>
      </c>
      <c r="EZ45" s="272">
        <v>110899</v>
      </c>
      <c r="FA45" s="272">
        <v>0</v>
      </c>
      <c r="FB45" s="272">
        <v>0</v>
      </c>
      <c r="FC45" s="272">
        <v>510083</v>
      </c>
      <c r="FD45" s="272">
        <v>396341</v>
      </c>
      <c r="FE45" s="272">
        <v>140321</v>
      </c>
      <c r="FF45" s="272">
        <v>447884</v>
      </c>
      <c r="FG45" s="455">
        <f t="shared" si="13"/>
        <v>559884</v>
      </c>
      <c r="FH45" s="272">
        <v>3670585</v>
      </c>
      <c r="FI45" s="459">
        <f t="shared" si="14"/>
        <v>2.2999999999999998</v>
      </c>
      <c r="FJ45" s="272">
        <v>2785029</v>
      </c>
      <c r="FK45" s="272">
        <v>396797</v>
      </c>
      <c r="FL45" s="272">
        <v>1330945</v>
      </c>
      <c r="FM45" s="272">
        <v>2404069</v>
      </c>
      <c r="FN45" s="460">
        <v>0.60399999999999998</v>
      </c>
      <c r="FO45" s="388">
        <v>90.7</v>
      </c>
      <c r="FP45" s="388">
        <v>28.4</v>
      </c>
      <c r="FQ45" s="388">
        <v>5</v>
      </c>
      <c r="FR45" s="388">
        <v>17.7</v>
      </c>
      <c r="FS45" s="388">
        <v>14.7</v>
      </c>
      <c r="FT45" s="388">
        <v>11.6</v>
      </c>
      <c r="FU45" s="388">
        <v>12.7</v>
      </c>
      <c r="FV45" s="384">
        <f t="shared" si="15"/>
        <v>15.1</v>
      </c>
      <c r="FW45" s="272">
        <v>4635776</v>
      </c>
      <c r="FX45" s="384">
        <f t="shared" si="16"/>
        <v>145.69999999999999</v>
      </c>
      <c r="FY45" s="272">
        <v>1527588</v>
      </c>
      <c r="FZ45" s="272">
        <v>968705</v>
      </c>
      <c r="GA45" s="272">
        <v>7794</v>
      </c>
      <c r="GB45" s="272">
        <v>551089</v>
      </c>
      <c r="GC45" s="272">
        <v>0</v>
      </c>
      <c r="GD45" s="457">
        <v>454697</v>
      </c>
      <c r="GE45" s="384">
        <f>ROUND(GD45/(FJ45+FK45)*100,1)</f>
        <v>14.3</v>
      </c>
      <c r="GF45" s="388">
        <v>98.1</v>
      </c>
      <c r="GG45" s="388">
        <v>31.8</v>
      </c>
      <c r="GH45" s="388">
        <v>93.9</v>
      </c>
      <c r="GI45" s="272">
        <v>98</v>
      </c>
      <c r="GJ45" s="461" t="s">
        <v>646</v>
      </c>
      <c r="GK45" s="461">
        <v>15</v>
      </c>
      <c r="GL45" s="462">
        <v>20</v>
      </c>
      <c r="GM45" s="461" t="s">
        <v>646</v>
      </c>
      <c r="GN45" s="462">
        <v>20</v>
      </c>
      <c r="GO45" s="462">
        <v>35</v>
      </c>
      <c r="GP45" s="463">
        <v>15.1</v>
      </c>
      <c r="GQ45" s="463">
        <v>25</v>
      </c>
      <c r="GR45" s="463">
        <v>35</v>
      </c>
      <c r="GS45" s="464">
        <v>58.4</v>
      </c>
      <c r="GT45" s="463">
        <v>350</v>
      </c>
      <c r="GU45" s="394"/>
      <c r="GV45" s="394"/>
      <c r="GW45" s="394"/>
      <c r="GX45" s="394"/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</row>
    <row r="46" spans="2:230" x14ac:dyDescent="0.15">
      <c r="B46" s="89" t="s">
        <v>85</v>
      </c>
      <c r="C46" s="272">
        <v>1604747</v>
      </c>
      <c r="D46" s="455">
        <f t="shared" si="0"/>
        <v>815985</v>
      </c>
      <c r="E46" s="272">
        <v>21487</v>
      </c>
      <c r="F46" s="456">
        <v>794498</v>
      </c>
      <c r="G46" s="455">
        <f t="shared" si="1"/>
        <v>47516</v>
      </c>
      <c r="H46" s="272">
        <v>19668</v>
      </c>
      <c r="I46" s="272">
        <v>27848</v>
      </c>
      <c r="J46" s="272">
        <v>622274</v>
      </c>
      <c r="K46" s="272">
        <v>244544</v>
      </c>
      <c r="L46" s="272">
        <v>310637</v>
      </c>
      <c r="M46" s="272">
        <v>67093</v>
      </c>
      <c r="N46" s="272">
        <v>86006</v>
      </c>
      <c r="O46" s="272">
        <v>0</v>
      </c>
      <c r="P46" s="272">
        <v>0</v>
      </c>
      <c r="Q46" s="272">
        <v>0</v>
      </c>
      <c r="R46" s="272">
        <v>54844</v>
      </c>
      <c r="S46" s="272"/>
      <c r="T46" s="455">
        <f t="shared" si="2"/>
        <v>227742</v>
      </c>
      <c r="U46" s="272">
        <v>11421</v>
      </c>
      <c r="V46" s="272">
        <v>5425</v>
      </c>
      <c r="W46" s="456">
        <v>1839</v>
      </c>
      <c r="X46" s="272">
        <v>143958</v>
      </c>
      <c r="Y46" s="272">
        <v>40619</v>
      </c>
      <c r="Z46" s="272">
        <v>0</v>
      </c>
      <c r="AA46" s="272">
        <v>24480</v>
      </c>
      <c r="AB46" s="272">
        <v>36686</v>
      </c>
      <c r="AC46" s="272">
        <v>1753001</v>
      </c>
      <c r="AD46" s="272">
        <v>1523555</v>
      </c>
      <c r="AE46" s="272">
        <v>229446</v>
      </c>
      <c r="AF46" s="272">
        <v>3105</v>
      </c>
      <c r="AG46" s="272">
        <v>12784</v>
      </c>
      <c r="AH46" s="455">
        <f t="shared" si="3"/>
        <v>115975</v>
      </c>
      <c r="AI46" s="272">
        <v>65255</v>
      </c>
      <c r="AJ46" s="272">
        <v>50720</v>
      </c>
      <c r="AK46" s="272">
        <v>363189</v>
      </c>
      <c r="AL46" s="455">
        <f t="shared" si="4"/>
        <v>53707</v>
      </c>
      <c r="AM46" s="272">
        <v>0</v>
      </c>
      <c r="AN46" s="272">
        <v>5763</v>
      </c>
      <c r="AO46" s="272"/>
      <c r="AP46" s="272">
        <v>47944</v>
      </c>
      <c r="AQ46" s="272">
        <v>3830</v>
      </c>
      <c r="AR46" s="272">
        <v>0</v>
      </c>
      <c r="AS46" s="272">
        <v>0</v>
      </c>
      <c r="AT46" s="272">
        <v>351735</v>
      </c>
      <c r="AU46" s="272">
        <v>149606</v>
      </c>
      <c r="AV46" s="272">
        <v>2882</v>
      </c>
      <c r="AW46" s="272">
        <v>7140</v>
      </c>
      <c r="AX46" s="272">
        <v>202129</v>
      </c>
      <c r="AY46" s="272">
        <v>28860</v>
      </c>
      <c r="AZ46" s="272">
        <v>11241</v>
      </c>
      <c r="BA46" s="272">
        <v>1610</v>
      </c>
      <c r="BB46" s="272">
        <v>540</v>
      </c>
      <c r="BC46" s="272">
        <v>305942</v>
      </c>
      <c r="BD46" s="272">
        <v>2393</v>
      </c>
      <c r="BE46" s="272">
        <v>0</v>
      </c>
      <c r="BF46" s="272">
        <v>300549</v>
      </c>
      <c r="BG46" s="272">
        <v>0</v>
      </c>
      <c r="BH46" s="272">
        <v>101333</v>
      </c>
      <c r="BI46" s="272">
        <v>63082</v>
      </c>
      <c r="BJ46" s="272">
        <v>87343</v>
      </c>
      <c r="BK46" s="272">
        <v>0</v>
      </c>
      <c r="BL46" s="272">
        <v>0</v>
      </c>
      <c r="BM46" s="272">
        <v>0</v>
      </c>
      <c r="BN46" s="272">
        <v>562600</v>
      </c>
      <c r="BO46" s="455">
        <f t="shared" si="5"/>
        <v>134600</v>
      </c>
      <c r="BP46" s="455">
        <f t="shared" si="6"/>
        <v>428000</v>
      </c>
      <c r="BQ46" s="272"/>
      <c r="BR46" s="272">
        <v>0</v>
      </c>
      <c r="BS46" s="272">
        <v>428000</v>
      </c>
      <c r="BT46" s="272">
        <v>0</v>
      </c>
      <c r="BU46" s="272">
        <v>5592807</v>
      </c>
      <c r="BV46" s="272"/>
      <c r="BW46" s="272">
        <v>1442768</v>
      </c>
      <c r="BX46" s="272">
        <v>872388</v>
      </c>
      <c r="BY46" s="272">
        <v>178473</v>
      </c>
      <c r="BZ46" s="272">
        <v>90122</v>
      </c>
      <c r="CA46" s="272">
        <v>521946</v>
      </c>
      <c r="CB46" s="272">
        <v>130862</v>
      </c>
      <c r="CC46" s="272">
        <v>27692</v>
      </c>
      <c r="CD46" s="272">
        <v>353945</v>
      </c>
      <c r="CE46" s="272">
        <v>0</v>
      </c>
      <c r="CF46" s="272">
        <v>0</v>
      </c>
      <c r="CG46" s="272">
        <v>8789</v>
      </c>
      <c r="CH46" s="272">
        <v>696455</v>
      </c>
      <c r="CI46" s="457" t="s">
        <v>646</v>
      </c>
      <c r="CJ46" s="458" t="s">
        <v>646</v>
      </c>
      <c r="CK46" s="272">
        <v>847017</v>
      </c>
      <c r="CL46" s="272">
        <v>461835</v>
      </c>
      <c r="CM46" s="272">
        <v>68741</v>
      </c>
      <c r="CN46" s="272">
        <v>147988</v>
      </c>
      <c r="CO46" s="272">
        <v>15328</v>
      </c>
      <c r="CP46" s="272">
        <v>366206</v>
      </c>
      <c r="CQ46" s="272">
        <v>174802</v>
      </c>
      <c r="CR46" s="272">
        <v>109005</v>
      </c>
      <c r="CS46" s="272">
        <v>97965</v>
      </c>
      <c r="CT46" s="455">
        <f t="shared" si="7"/>
        <v>16012</v>
      </c>
      <c r="CU46" s="272">
        <v>6936</v>
      </c>
      <c r="CV46" s="272">
        <v>9076</v>
      </c>
      <c r="CW46" s="455">
        <f t="shared" si="8"/>
        <v>0</v>
      </c>
      <c r="CX46" s="272">
        <v>0</v>
      </c>
      <c r="CY46" s="272">
        <v>0</v>
      </c>
      <c r="CZ46" s="455">
        <f t="shared" si="9"/>
        <v>0</v>
      </c>
      <c r="DA46" s="272">
        <v>0</v>
      </c>
      <c r="DB46" s="272">
        <v>0</v>
      </c>
      <c r="DC46" s="272">
        <v>403502</v>
      </c>
      <c r="DD46" s="272">
        <v>17330</v>
      </c>
      <c r="DE46" s="272">
        <v>375277</v>
      </c>
      <c r="DF46" s="26">
        <v>10895</v>
      </c>
      <c r="DG46" s="27">
        <v>0</v>
      </c>
      <c r="DH46" s="272">
        <v>6950</v>
      </c>
      <c r="DI46" s="272">
        <v>482375</v>
      </c>
      <c r="DJ46" s="272">
        <v>3729</v>
      </c>
      <c r="DK46" s="272">
        <v>481</v>
      </c>
      <c r="DL46" s="272">
        <v>478165</v>
      </c>
      <c r="DM46" s="272">
        <v>0</v>
      </c>
      <c r="DN46" s="272">
        <v>0</v>
      </c>
      <c r="DO46" s="272">
        <v>0</v>
      </c>
      <c r="DP46" s="272">
        <v>0</v>
      </c>
      <c r="DQ46" s="272">
        <v>0</v>
      </c>
      <c r="DR46" s="272">
        <v>0</v>
      </c>
      <c r="DS46" s="272">
        <v>0</v>
      </c>
      <c r="DT46" s="272">
        <v>625522</v>
      </c>
      <c r="DU46" s="272">
        <v>156723</v>
      </c>
      <c r="DV46" s="455">
        <f t="shared" si="10"/>
        <v>0</v>
      </c>
      <c r="DW46" s="272">
        <v>0</v>
      </c>
      <c r="DX46" s="272">
        <v>172986</v>
      </c>
      <c r="DY46" s="272">
        <v>0</v>
      </c>
      <c r="DZ46" s="272">
        <v>128571</v>
      </c>
      <c r="EA46" s="272">
        <v>354</v>
      </c>
      <c r="EB46" s="272">
        <v>164290</v>
      </c>
      <c r="EC46" s="272">
        <v>0</v>
      </c>
      <c r="ED46" s="272">
        <v>5408069</v>
      </c>
      <c r="EE46" s="89"/>
      <c r="EF46" s="272">
        <v>184738</v>
      </c>
      <c r="EG46" s="272">
        <v>47042</v>
      </c>
      <c r="EH46" s="272">
        <v>137696</v>
      </c>
      <c r="EI46" s="272">
        <v>4614</v>
      </c>
      <c r="EJ46" s="272">
        <v>5950</v>
      </c>
      <c r="EK46" s="89"/>
      <c r="EL46" s="272">
        <v>17040</v>
      </c>
      <c r="EM46" s="272">
        <v>16394</v>
      </c>
      <c r="EN46" s="272">
        <v>305031</v>
      </c>
      <c r="EO46" s="272">
        <v>1610</v>
      </c>
      <c r="EP46" s="455">
        <f t="shared" si="11"/>
        <v>229610</v>
      </c>
      <c r="EQ46" s="272">
        <v>3680125</v>
      </c>
      <c r="ER46" s="272">
        <v>-961146</v>
      </c>
      <c r="ES46" s="272">
        <v>1337540</v>
      </c>
      <c r="ET46" s="272">
        <v>803348</v>
      </c>
      <c r="EU46" s="272">
        <v>152133</v>
      </c>
      <c r="EV46" s="272">
        <v>696455</v>
      </c>
      <c r="EW46" s="455">
        <f t="shared" si="12"/>
        <v>210920</v>
      </c>
      <c r="EX46" s="272">
        <v>210840</v>
      </c>
      <c r="EY46" s="272">
        <v>2554</v>
      </c>
      <c r="EZ46" s="272">
        <v>206675</v>
      </c>
      <c r="FA46" s="272">
        <v>80</v>
      </c>
      <c r="FB46" s="272">
        <v>0</v>
      </c>
      <c r="FC46" s="272">
        <v>690986</v>
      </c>
      <c r="FD46" s="272">
        <v>326284</v>
      </c>
      <c r="FE46" s="272">
        <v>174802</v>
      </c>
      <c r="FF46" s="272">
        <v>551999</v>
      </c>
      <c r="FG46" s="455">
        <f t="shared" si="13"/>
        <v>490216</v>
      </c>
      <c r="FH46" s="272">
        <v>4456533</v>
      </c>
      <c r="FI46" s="459">
        <f t="shared" si="14"/>
        <v>3.5</v>
      </c>
      <c r="FJ46" s="272">
        <v>3457138</v>
      </c>
      <c r="FK46" s="272">
        <v>428346</v>
      </c>
      <c r="FL46" s="272">
        <v>1500360</v>
      </c>
      <c r="FM46" s="272">
        <v>3023915</v>
      </c>
      <c r="FN46" s="460">
        <v>0.52300000000000002</v>
      </c>
      <c r="FO46" s="388">
        <v>90.5</v>
      </c>
      <c r="FP46" s="388">
        <v>34.299999999999997</v>
      </c>
      <c r="FQ46" s="388">
        <v>3.9</v>
      </c>
      <c r="FR46" s="388">
        <v>17.899999999999999</v>
      </c>
      <c r="FS46" s="388">
        <v>15.8</v>
      </c>
      <c r="FT46" s="388">
        <v>7.1</v>
      </c>
      <c r="FU46" s="388">
        <v>11.1</v>
      </c>
      <c r="FV46" s="384">
        <f t="shared" si="15"/>
        <v>13.5</v>
      </c>
      <c r="FW46" s="272">
        <v>6390139</v>
      </c>
      <c r="FX46" s="384">
        <f t="shared" si="16"/>
        <v>164.5</v>
      </c>
      <c r="FY46" s="272">
        <v>2817593</v>
      </c>
      <c r="FZ46" s="272">
        <v>1417809</v>
      </c>
      <c r="GA46" s="272">
        <v>146335</v>
      </c>
      <c r="GB46" s="272">
        <v>1253449</v>
      </c>
      <c r="GC46" s="272">
        <v>0</v>
      </c>
      <c r="GD46" s="457">
        <v>50419</v>
      </c>
      <c r="GE46" s="384"/>
      <c r="GF46" s="388">
        <v>95.7</v>
      </c>
      <c r="GG46" s="388">
        <v>19.899999999999999</v>
      </c>
      <c r="GH46" s="388">
        <v>86.5</v>
      </c>
      <c r="GI46" s="272">
        <v>144</v>
      </c>
      <c r="GJ46" s="461" t="s">
        <v>646</v>
      </c>
      <c r="GK46" s="461">
        <v>15</v>
      </c>
      <c r="GL46" s="462">
        <v>20</v>
      </c>
      <c r="GM46" s="461" t="s">
        <v>646</v>
      </c>
      <c r="GN46" s="462">
        <v>20</v>
      </c>
      <c r="GO46" s="462">
        <v>35</v>
      </c>
      <c r="GP46" s="463">
        <v>13.5</v>
      </c>
      <c r="GQ46" s="463">
        <v>25</v>
      </c>
      <c r="GR46" s="463">
        <v>35</v>
      </c>
      <c r="GS46" s="464">
        <v>42</v>
      </c>
      <c r="GT46" s="463">
        <v>350</v>
      </c>
      <c r="GU46" s="394"/>
      <c r="GV46" s="394"/>
      <c r="GW46" s="394"/>
      <c r="GX46" s="394"/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</row>
    <row r="47" spans="2:230" x14ac:dyDescent="0.15">
      <c r="B47" s="89" t="s">
        <v>87</v>
      </c>
      <c r="C47" s="272">
        <v>589014</v>
      </c>
      <c r="D47" s="455">
        <f t="shared" si="0"/>
        <v>265128</v>
      </c>
      <c r="E47" s="272">
        <v>7715</v>
      </c>
      <c r="F47" s="456">
        <v>257413</v>
      </c>
      <c r="G47" s="455">
        <f t="shared" si="1"/>
        <v>31003</v>
      </c>
      <c r="H47" s="272">
        <v>15393</v>
      </c>
      <c r="I47" s="272">
        <v>15610</v>
      </c>
      <c r="J47" s="272">
        <v>273805</v>
      </c>
      <c r="K47" s="272">
        <v>90901</v>
      </c>
      <c r="L47" s="272">
        <v>133347</v>
      </c>
      <c r="M47" s="272">
        <v>49557</v>
      </c>
      <c r="N47" s="272">
        <v>4872</v>
      </c>
      <c r="O47" s="272">
        <v>0</v>
      </c>
      <c r="P47" s="272">
        <v>0</v>
      </c>
      <c r="Q47" s="272">
        <v>0</v>
      </c>
      <c r="R47" s="272">
        <v>22994</v>
      </c>
      <c r="S47" s="272"/>
      <c r="T47" s="455">
        <f t="shared" si="2"/>
        <v>99025</v>
      </c>
      <c r="U47" s="272">
        <v>4267</v>
      </c>
      <c r="V47" s="272">
        <v>2019</v>
      </c>
      <c r="W47" s="456">
        <v>677</v>
      </c>
      <c r="X47" s="272">
        <v>55940</v>
      </c>
      <c r="Y47" s="272">
        <v>25861</v>
      </c>
      <c r="Z47" s="272">
        <v>0</v>
      </c>
      <c r="AA47" s="272">
        <v>10261</v>
      </c>
      <c r="AB47" s="272">
        <v>13074</v>
      </c>
      <c r="AC47" s="272">
        <v>1229018</v>
      </c>
      <c r="AD47" s="272">
        <v>1002209</v>
      </c>
      <c r="AE47" s="272">
        <v>226809</v>
      </c>
      <c r="AF47" s="272">
        <v>1153</v>
      </c>
      <c r="AG47" s="272">
        <v>19408</v>
      </c>
      <c r="AH47" s="455">
        <f t="shared" si="3"/>
        <v>26865</v>
      </c>
      <c r="AI47" s="272">
        <v>17545</v>
      </c>
      <c r="AJ47" s="272">
        <v>9320</v>
      </c>
      <c r="AK47" s="272">
        <v>444863</v>
      </c>
      <c r="AL47" s="455">
        <f t="shared" si="4"/>
        <v>47878</v>
      </c>
      <c r="AM47" s="272">
        <v>0</v>
      </c>
      <c r="AN47" s="272">
        <v>28460</v>
      </c>
      <c r="AO47" s="272"/>
      <c r="AP47" s="272">
        <v>19418</v>
      </c>
      <c r="AQ47" s="272">
        <v>138901</v>
      </c>
      <c r="AR47" s="272">
        <v>784</v>
      </c>
      <c r="AS47" s="272">
        <v>0</v>
      </c>
      <c r="AT47" s="272">
        <v>182349</v>
      </c>
      <c r="AU47" s="272">
        <v>72408</v>
      </c>
      <c r="AV47" s="272">
        <v>13664</v>
      </c>
      <c r="AW47" s="272">
        <v>7416</v>
      </c>
      <c r="AX47" s="272">
        <v>109941</v>
      </c>
      <c r="AY47" s="272">
        <v>2428</v>
      </c>
      <c r="AZ47" s="272">
        <v>1919</v>
      </c>
      <c r="BA47" s="272">
        <v>840</v>
      </c>
      <c r="BB47" s="272">
        <v>1660</v>
      </c>
      <c r="BC47" s="272">
        <v>0</v>
      </c>
      <c r="BD47" s="272">
        <v>0</v>
      </c>
      <c r="BE47" s="272">
        <v>0</v>
      </c>
      <c r="BF47" s="272">
        <v>0</v>
      </c>
      <c r="BG47" s="272">
        <v>0</v>
      </c>
      <c r="BH47" s="272">
        <v>116475</v>
      </c>
      <c r="BI47" s="272">
        <v>72960</v>
      </c>
      <c r="BJ47" s="272">
        <v>65468</v>
      </c>
      <c r="BK47" s="272">
        <v>0</v>
      </c>
      <c r="BL47" s="272">
        <v>0</v>
      </c>
      <c r="BM47" s="272">
        <v>0</v>
      </c>
      <c r="BN47" s="272">
        <v>346984</v>
      </c>
      <c r="BO47" s="455">
        <f t="shared" si="5"/>
        <v>53500</v>
      </c>
      <c r="BP47" s="455">
        <f t="shared" si="6"/>
        <v>231784</v>
      </c>
      <c r="BQ47" s="272"/>
      <c r="BR47" s="272">
        <v>0</v>
      </c>
      <c r="BS47" s="272">
        <v>231784</v>
      </c>
      <c r="BT47" s="272">
        <v>61700</v>
      </c>
      <c r="BU47" s="272">
        <v>3160269</v>
      </c>
      <c r="BV47" s="272"/>
      <c r="BW47" s="272">
        <v>674938</v>
      </c>
      <c r="BX47" s="272">
        <v>399395</v>
      </c>
      <c r="BY47" s="272">
        <v>95696</v>
      </c>
      <c r="BZ47" s="272">
        <v>21523</v>
      </c>
      <c r="CA47" s="272">
        <v>232670</v>
      </c>
      <c r="CB47" s="272">
        <v>56442</v>
      </c>
      <c r="CC47" s="272">
        <v>12356</v>
      </c>
      <c r="CD47" s="272">
        <v>161093</v>
      </c>
      <c r="CE47" s="272">
        <v>0</v>
      </c>
      <c r="CF47" s="272">
        <v>265</v>
      </c>
      <c r="CG47" s="272">
        <v>2514</v>
      </c>
      <c r="CH47" s="272">
        <v>406736</v>
      </c>
      <c r="CI47" s="457" t="s">
        <v>646</v>
      </c>
      <c r="CJ47" s="458" t="s">
        <v>646</v>
      </c>
      <c r="CK47" s="272">
        <v>437236</v>
      </c>
      <c r="CL47" s="272">
        <v>308904</v>
      </c>
      <c r="CM47" s="272">
        <v>16727</v>
      </c>
      <c r="CN47" s="272">
        <v>56594</v>
      </c>
      <c r="CO47" s="272">
        <v>9244</v>
      </c>
      <c r="CP47" s="272">
        <v>183898</v>
      </c>
      <c r="CQ47" s="272">
        <v>90384</v>
      </c>
      <c r="CR47" s="272">
        <v>4780</v>
      </c>
      <c r="CS47" s="272">
        <v>4780</v>
      </c>
      <c r="CT47" s="455">
        <f t="shared" si="7"/>
        <v>2191</v>
      </c>
      <c r="CU47" s="272">
        <v>1220</v>
      </c>
      <c r="CV47" s="272">
        <v>971</v>
      </c>
      <c r="CW47" s="455">
        <f t="shared" si="8"/>
        <v>0</v>
      </c>
      <c r="CX47" s="272">
        <v>0</v>
      </c>
      <c r="CY47" s="272">
        <v>0</v>
      </c>
      <c r="CZ47" s="455">
        <f t="shared" si="9"/>
        <v>0</v>
      </c>
      <c r="DA47" s="272">
        <v>0</v>
      </c>
      <c r="DB47" s="272">
        <v>0</v>
      </c>
      <c r="DC47" s="272">
        <v>422679</v>
      </c>
      <c r="DD47" s="272">
        <v>306470</v>
      </c>
      <c r="DE47" s="272">
        <v>116209</v>
      </c>
      <c r="DF47" s="26">
        <v>0</v>
      </c>
      <c r="DG47" s="27">
        <v>0</v>
      </c>
      <c r="DH47" s="272">
        <v>12327</v>
      </c>
      <c r="DI47" s="272">
        <v>284573</v>
      </c>
      <c r="DJ47" s="272">
        <v>222445</v>
      </c>
      <c r="DK47" s="272">
        <v>62032</v>
      </c>
      <c r="DL47" s="272">
        <v>96</v>
      </c>
      <c r="DM47" s="272">
        <v>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343591</v>
      </c>
      <c r="DU47" s="272">
        <v>104032</v>
      </c>
      <c r="DV47" s="455">
        <f t="shared" si="10"/>
        <v>0</v>
      </c>
      <c r="DW47" s="272">
        <v>0</v>
      </c>
      <c r="DX47" s="272">
        <v>77945</v>
      </c>
      <c r="DY47" s="272">
        <v>0</v>
      </c>
      <c r="DZ47" s="272">
        <v>58775</v>
      </c>
      <c r="EA47" s="272">
        <v>110</v>
      </c>
      <c r="EB47" s="272">
        <v>95098</v>
      </c>
      <c r="EC47" s="272">
        <v>0</v>
      </c>
      <c r="ED47" s="272">
        <v>3007892</v>
      </c>
      <c r="EE47" s="89"/>
      <c r="EF47" s="272">
        <v>152377</v>
      </c>
      <c r="EG47" s="272">
        <v>18451</v>
      </c>
      <c r="EH47" s="272">
        <v>133926</v>
      </c>
      <c r="EI47" s="272">
        <v>60966</v>
      </c>
      <c r="EJ47" s="272">
        <v>283411</v>
      </c>
      <c r="EK47" s="89"/>
      <c r="EL47" s="272">
        <v>6015</v>
      </c>
      <c r="EM47" s="272">
        <v>6139</v>
      </c>
      <c r="EN47" s="272">
        <v>0</v>
      </c>
      <c r="EO47" s="272">
        <v>1346</v>
      </c>
      <c r="EP47" s="455">
        <f t="shared" si="11"/>
        <v>328238</v>
      </c>
      <c r="EQ47" s="272">
        <v>1954278</v>
      </c>
      <c r="ER47" s="272">
        <v>-560215</v>
      </c>
      <c r="ES47" s="272">
        <v>576368</v>
      </c>
      <c r="ET47" s="272">
        <v>370577</v>
      </c>
      <c r="EU47" s="272">
        <v>55356</v>
      </c>
      <c r="EV47" s="272">
        <v>406736</v>
      </c>
      <c r="EW47" s="455">
        <f t="shared" si="12"/>
        <v>212543</v>
      </c>
      <c r="EX47" s="272">
        <v>212543</v>
      </c>
      <c r="EY47" s="272">
        <v>127703</v>
      </c>
      <c r="EZ47" s="272">
        <v>84840</v>
      </c>
      <c r="FA47" s="272">
        <v>0</v>
      </c>
      <c r="FB47" s="272">
        <v>0</v>
      </c>
      <c r="FC47" s="272">
        <v>359255</v>
      </c>
      <c r="FD47" s="272">
        <v>150880</v>
      </c>
      <c r="FE47" s="272">
        <v>90384</v>
      </c>
      <c r="FF47" s="272">
        <v>310383</v>
      </c>
      <c r="FG47" s="455">
        <f t="shared" si="13"/>
        <v>290595</v>
      </c>
      <c r="FH47" s="272">
        <v>2362116</v>
      </c>
      <c r="FI47" s="459">
        <f t="shared" si="14"/>
        <v>6.8</v>
      </c>
      <c r="FJ47" s="272">
        <v>1723498</v>
      </c>
      <c r="FK47" s="272">
        <v>231784</v>
      </c>
      <c r="FL47" s="272">
        <v>566181</v>
      </c>
      <c r="FM47" s="272">
        <v>1568390</v>
      </c>
      <c r="FN47" s="460">
        <v>0.39400000000000002</v>
      </c>
      <c r="FO47" s="388">
        <v>88</v>
      </c>
      <c r="FP47" s="388">
        <v>29</v>
      </c>
      <c r="FQ47" s="388">
        <v>2.8</v>
      </c>
      <c r="FR47" s="388">
        <v>20.7</v>
      </c>
      <c r="FS47" s="388">
        <v>16.7</v>
      </c>
      <c r="FT47" s="388">
        <v>6.9</v>
      </c>
      <c r="FU47" s="388">
        <v>11.5</v>
      </c>
      <c r="FV47" s="384">
        <f t="shared" si="15"/>
        <v>18.600000000000001</v>
      </c>
      <c r="FW47" s="272">
        <v>3117086</v>
      </c>
      <c r="FX47" s="384">
        <f t="shared" si="16"/>
        <v>159.4</v>
      </c>
      <c r="FY47" s="272">
        <v>683003</v>
      </c>
      <c r="FZ47" s="272">
        <v>532486</v>
      </c>
      <c r="GA47" s="272">
        <v>83977</v>
      </c>
      <c r="GB47" s="272">
        <v>66540</v>
      </c>
      <c r="GC47" s="272">
        <v>0</v>
      </c>
      <c r="GD47" s="457"/>
      <c r="GE47" s="384"/>
      <c r="GF47" s="388">
        <v>98</v>
      </c>
      <c r="GG47" s="388">
        <v>24.9</v>
      </c>
      <c r="GH47" s="388">
        <v>92.2</v>
      </c>
      <c r="GI47" s="272">
        <v>66</v>
      </c>
      <c r="GJ47" s="461" t="s">
        <v>646</v>
      </c>
      <c r="GK47" s="461">
        <v>15</v>
      </c>
      <c r="GL47" s="462">
        <v>20</v>
      </c>
      <c r="GM47" s="461" t="s">
        <v>646</v>
      </c>
      <c r="GN47" s="461">
        <v>20</v>
      </c>
      <c r="GO47" s="461">
        <v>35</v>
      </c>
      <c r="GP47" s="463">
        <v>18.600000000000001</v>
      </c>
      <c r="GQ47" s="463">
        <v>25</v>
      </c>
      <c r="GR47" s="463">
        <v>35</v>
      </c>
      <c r="GS47" s="464">
        <v>123.9</v>
      </c>
      <c r="GT47" s="463">
        <v>350</v>
      </c>
      <c r="GU47" s="394"/>
      <c r="GV47" s="394"/>
      <c r="GW47" s="394"/>
      <c r="GX47" s="394"/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</row>
    <row r="48" spans="2:230" x14ac:dyDescent="0.15">
      <c r="B48" s="21" t="s">
        <v>89</v>
      </c>
      <c r="C48" s="272">
        <v>24574138</v>
      </c>
      <c r="D48" s="455">
        <f t="shared" si="0"/>
        <v>9329909</v>
      </c>
      <c r="E48" s="272">
        <v>248946</v>
      </c>
      <c r="F48" s="456">
        <v>9080963</v>
      </c>
      <c r="G48" s="455">
        <f t="shared" si="1"/>
        <v>1229619</v>
      </c>
      <c r="H48" s="272">
        <v>313932</v>
      </c>
      <c r="I48" s="272">
        <v>915687</v>
      </c>
      <c r="J48" s="272">
        <v>11841128</v>
      </c>
      <c r="K48" s="272">
        <v>4655563</v>
      </c>
      <c r="L48" s="272">
        <v>4658460</v>
      </c>
      <c r="M48" s="272">
        <v>2421893</v>
      </c>
      <c r="N48" s="272">
        <v>1297299</v>
      </c>
      <c r="O48" s="272">
        <v>578479</v>
      </c>
      <c r="P48" s="272">
        <v>326821</v>
      </c>
      <c r="Q48" s="272">
        <v>251658</v>
      </c>
      <c r="R48" s="272">
        <v>548654</v>
      </c>
      <c r="S48" s="272"/>
      <c r="T48" s="455">
        <f t="shared" si="2"/>
        <v>2281974</v>
      </c>
      <c r="U48" s="272">
        <v>137204</v>
      </c>
      <c r="V48" s="272">
        <v>65158</v>
      </c>
      <c r="W48" s="456">
        <v>22070</v>
      </c>
      <c r="X48" s="272">
        <v>1579592</v>
      </c>
      <c r="Y48" s="272">
        <v>243753</v>
      </c>
      <c r="Z48" s="272">
        <v>0</v>
      </c>
      <c r="AA48" s="272">
        <v>234197</v>
      </c>
      <c r="AB48" s="272">
        <v>382070</v>
      </c>
      <c r="AC48" s="272">
        <v>14630103</v>
      </c>
      <c r="AD48" s="272">
        <v>12193936</v>
      </c>
      <c r="AE48" s="272">
        <v>2436167</v>
      </c>
      <c r="AF48" s="272">
        <v>33986</v>
      </c>
      <c r="AG48" s="272">
        <v>230984</v>
      </c>
      <c r="AH48" s="455">
        <f t="shared" si="3"/>
        <v>1464340</v>
      </c>
      <c r="AI48" s="272">
        <v>1127450</v>
      </c>
      <c r="AJ48" s="272">
        <v>336890</v>
      </c>
      <c r="AK48" s="272">
        <v>5855990</v>
      </c>
      <c r="AL48" s="455">
        <f t="shared" si="4"/>
        <v>1064733</v>
      </c>
      <c r="AM48" s="272">
        <v>139644</v>
      </c>
      <c r="AN48" s="272">
        <v>209073</v>
      </c>
      <c r="AO48" s="272"/>
      <c r="AP48" s="272">
        <v>716016</v>
      </c>
      <c r="AQ48" s="272">
        <v>921109</v>
      </c>
      <c r="AR48" s="272">
        <v>15061</v>
      </c>
      <c r="AS48" s="272">
        <v>0</v>
      </c>
      <c r="AT48" s="272">
        <v>4424373</v>
      </c>
      <c r="AU48" s="272">
        <v>2061847</v>
      </c>
      <c r="AV48" s="272">
        <v>94161</v>
      </c>
      <c r="AW48" s="272">
        <v>245278</v>
      </c>
      <c r="AX48" s="272">
        <v>2362526</v>
      </c>
      <c r="AY48" s="272">
        <v>230141</v>
      </c>
      <c r="AZ48" s="272">
        <v>88971</v>
      </c>
      <c r="BA48" s="272">
        <v>28111</v>
      </c>
      <c r="BB48" s="272">
        <v>27226</v>
      </c>
      <c r="BC48" s="272">
        <v>467091</v>
      </c>
      <c r="BD48" s="272">
        <v>7096</v>
      </c>
      <c r="BE48" s="272">
        <v>0</v>
      </c>
      <c r="BF48" s="272">
        <v>354110</v>
      </c>
      <c r="BG48" s="272">
        <v>0</v>
      </c>
      <c r="BH48" s="272">
        <v>1493112</v>
      </c>
      <c r="BI48" s="272">
        <v>1070929</v>
      </c>
      <c r="BJ48" s="272">
        <v>1386330</v>
      </c>
      <c r="BK48" s="272">
        <v>64333</v>
      </c>
      <c r="BL48" s="272">
        <v>0</v>
      </c>
      <c r="BM48" s="272">
        <v>0</v>
      </c>
      <c r="BN48" s="272">
        <v>5653045</v>
      </c>
      <c r="BO48" s="455">
        <f t="shared" si="5"/>
        <v>1104500</v>
      </c>
      <c r="BP48" s="455">
        <f t="shared" si="6"/>
        <v>4375645</v>
      </c>
      <c r="BQ48" s="272"/>
      <c r="BR48" s="272">
        <v>0</v>
      </c>
      <c r="BS48" s="272">
        <v>4375645</v>
      </c>
      <c r="BT48" s="272">
        <v>172900</v>
      </c>
      <c r="BU48" s="272">
        <v>63542387</v>
      </c>
      <c r="BV48" s="272"/>
      <c r="BW48" s="272">
        <v>15099643</v>
      </c>
      <c r="BX48" s="272">
        <v>9531537</v>
      </c>
      <c r="BY48" s="272">
        <v>1524589</v>
      </c>
      <c r="BZ48" s="272">
        <v>952631</v>
      </c>
      <c r="CA48" s="272">
        <v>7730750</v>
      </c>
      <c r="CB48" s="272">
        <v>1984286</v>
      </c>
      <c r="CC48" s="272">
        <v>303762</v>
      </c>
      <c r="CD48" s="272">
        <v>5022210</v>
      </c>
      <c r="CE48" s="272">
        <v>184416</v>
      </c>
      <c r="CF48" s="272">
        <v>11052</v>
      </c>
      <c r="CG48" s="272">
        <v>224296</v>
      </c>
      <c r="CH48" s="272">
        <v>7580983</v>
      </c>
      <c r="CI48" s="457" t="s">
        <v>646</v>
      </c>
      <c r="CJ48" s="458" t="s">
        <v>646</v>
      </c>
      <c r="CK48" s="272">
        <v>9628914</v>
      </c>
      <c r="CL48" s="272">
        <v>5323078</v>
      </c>
      <c r="CM48" s="272">
        <v>945632</v>
      </c>
      <c r="CN48" s="272">
        <v>1911928</v>
      </c>
      <c r="CO48" s="272">
        <v>565924</v>
      </c>
      <c r="CP48" s="272">
        <v>4622322</v>
      </c>
      <c r="CQ48" s="272">
        <v>1331830</v>
      </c>
      <c r="CR48" s="272">
        <v>1100190</v>
      </c>
      <c r="CS48" s="272">
        <v>859467</v>
      </c>
      <c r="CT48" s="455">
        <f t="shared" si="7"/>
        <v>319845</v>
      </c>
      <c r="CU48" s="272">
        <v>108047</v>
      </c>
      <c r="CV48" s="272">
        <v>211798</v>
      </c>
      <c r="CW48" s="455">
        <f t="shared" si="8"/>
        <v>30244</v>
      </c>
      <c r="CX48" s="272">
        <v>30244</v>
      </c>
      <c r="CY48" s="272">
        <v>0</v>
      </c>
      <c r="CZ48" s="455">
        <f t="shared" si="9"/>
        <v>0</v>
      </c>
      <c r="DA48" s="272">
        <v>0</v>
      </c>
      <c r="DB48" s="272">
        <v>0</v>
      </c>
      <c r="DC48" s="272">
        <v>4969356</v>
      </c>
      <c r="DD48" s="272">
        <v>1957973</v>
      </c>
      <c r="DE48" s="272">
        <v>2849950</v>
      </c>
      <c r="DF48" s="26">
        <v>24839</v>
      </c>
      <c r="DG48" s="27">
        <v>136320</v>
      </c>
      <c r="DH48" s="272">
        <v>109176</v>
      </c>
      <c r="DI48" s="272">
        <v>3032691</v>
      </c>
      <c r="DJ48" s="272">
        <v>2113974</v>
      </c>
      <c r="DK48" s="272">
        <v>65135</v>
      </c>
      <c r="DL48" s="272">
        <v>853582</v>
      </c>
      <c r="DM48" s="272">
        <v>21200</v>
      </c>
      <c r="DN48" s="272">
        <v>21200</v>
      </c>
      <c r="DO48" s="272">
        <v>21200</v>
      </c>
      <c r="DP48" s="272">
        <v>0</v>
      </c>
      <c r="DQ48" s="272">
        <v>285339</v>
      </c>
      <c r="DR48" s="272">
        <v>0</v>
      </c>
      <c r="DS48" s="272">
        <v>0</v>
      </c>
      <c r="DT48" s="272">
        <v>7966469</v>
      </c>
      <c r="DU48" s="272">
        <v>2752653</v>
      </c>
      <c r="DV48" s="455">
        <f t="shared" si="10"/>
        <v>0</v>
      </c>
      <c r="DW48" s="272">
        <v>0</v>
      </c>
      <c r="DX48" s="272">
        <v>1945699</v>
      </c>
      <c r="DY48" s="272">
        <v>0</v>
      </c>
      <c r="DZ48" s="272">
        <v>1302499</v>
      </c>
      <c r="EA48" s="272">
        <v>4991</v>
      </c>
      <c r="EB48" s="272">
        <v>1872429</v>
      </c>
      <c r="EC48" s="272">
        <v>32389</v>
      </c>
      <c r="ED48" s="272">
        <v>61645156</v>
      </c>
      <c r="EE48" s="89"/>
      <c r="EF48" s="272">
        <v>1897231</v>
      </c>
      <c r="EG48" s="272">
        <v>377078</v>
      </c>
      <c r="EH48" s="272">
        <v>1520153</v>
      </c>
      <c r="EI48" s="272">
        <v>415612</v>
      </c>
      <c r="EJ48" s="272">
        <v>2567895</v>
      </c>
      <c r="EK48" s="89"/>
      <c r="EL48" s="272">
        <v>188656</v>
      </c>
      <c r="EM48" s="272">
        <v>189977</v>
      </c>
      <c r="EN48" s="272">
        <v>404842</v>
      </c>
      <c r="EO48" s="272">
        <v>49282</v>
      </c>
      <c r="EP48" s="455">
        <f t="shared" si="11"/>
        <v>3125238</v>
      </c>
      <c r="EQ48" s="272">
        <v>42450925</v>
      </c>
      <c r="ER48" s="272">
        <v>-7921021</v>
      </c>
      <c r="ES48" s="272">
        <v>13555602</v>
      </c>
      <c r="ET48" s="272">
        <v>8450901</v>
      </c>
      <c r="EU48" s="272">
        <v>2608774</v>
      </c>
      <c r="EV48" s="272">
        <v>7448938</v>
      </c>
      <c r="EW48" s="455">
        <f t="shared" si="12"/>
        <v>2170237</v>
      </c>
      <c r="EX48" s="272">
        <v>2135927</v>
      </c>
      <c r="EY48" s="272">
        <v>253018</v>
      </c>
      <c r="EZ48" s="272">
        <v>1872545</v>
      </c>
      <c r="FA48" s="272">
        <v>34310</v>
      </c>
      <c r="FB48" s="272">
        <v>0</v>
      </c>
      <c r="FC48" s="272">
        <v>7602397</v>
      </c>
      <c r="FD48" s="272">
        <v>4166808</v>
      </c>
      <c r="FE48" s="272">
        <v>1327930</v>
      </c>
      <c r="FF48" s="272">
        <v>7158143</v>
      </c>
      <c r="FG48" s="455">
        <f t="shared" si="13"/>
        <v>3763816</v>
      </c>
      <c r="FH48" s="272">
        <v>48474715</v>
      </c>
      <c r="FI48" s="459">
        <f t="shared" si="14"/>
        <v>3.6</v>
      </c>
      <c r="FJ48" s="272">
        <v>38195557</v>
      </c>
      <c r="FK48" s="272">
        <v>4578333</v>
      </c>
      <c r="FL48" s="272">
        <v>20122741</v>
      </c>
      <c r="FM48" s="272">
        <v>31575931</v>
      </c>
      <c r="FN48" s="460">
        <v>0.67400000000000004</v>
      </c>
      <c r="FO48" s="388">
        <v>90.9</v>
      </c>
      <c r="FP48" s="388">
        <v>30</v>
      </c>
      <c r="FQ48" s="388">
        <v>5.9</v>
      </c>
      <c r="FR48" s="388">
        <v>16.8</v>
      </c>
      <c r="FS48" s="388">
        <v>16</v>
      </c>
      <c r="FT48" s="388">
        <v>7</v>
      </c>
      <c r="FU48" s="388">
        <v>14.1</v>
      </c>
      <c r="FV48" s="384">
        <f t="shared" si="15"/>
        <v>13.5</v>
      </c>
      <c r="FW48" s="272">
        <v>64347425</v>
      </c>
      <c r="FX48" s="384">
        <f t="shared" si="16"/>
        <v>150.4</v>
      </c>
      <c r="FY48" s="272">
        <v>23443689</v>
      </c>
      <c r="FZ48" s="272">
        <v>13468262</v>
      </c>
      <c r="GA48" s="272">
        <v>2169209</v>
      </c>
      <c r="GB48" s="272">
        <v>7806218</v>
      </c>
      <c r="GC48" s="272">
        <v>1003863</v>
      </c>
      <c r="GD48" s="272">
        <v>1283111</v>
      </c>
      <c r="GE48" s="465">
        <f>ROUND(GD48/(FJ51+FK51)*100,1)</f>
        <v>8.9</v>
      </c>
      <c r="GF48" s="388">
        <v>98.5</v>
      </c>
      <c r="GG48" s="388">
        <v>20.2</v>
      </c>
      <c r="GH48" s="388">
        <v>93.4</v>
      </c>
      <c r="GI48" s="272">
        <v>1595</v>
      </c>
      <c r="GJ48" s="461" t="s">
        <v>646</v>
      </c>
      <c r="GK48" s="461" t="s">
        <v>646</v>
      </c>
      <c r="GL48" s="461" t="s">
        <v>646</v>
      </c>
      <c r="GM48" s="461" t="s">
        <v>646</v>
      </c>
      <c r="GN48" s="461" t="s">
        <v>646</v>
      </c>
      <c r="GO48" s="461" t="s">
        <v>646</v>
      </c>
      <c r="GP48" s="463">
        <v>13.5</v>
      </c>
      <c r="GQ48" s="461" t="s">
        <v>646</v>
      </c>
      <c r="GR48" s="461" t="s">
        <v>646</v>
      </c>
      <c r="GS48" s="463">
        <v>77.099999999999994</v>
      </c>
      <c r="GT48" s="461" t="s">
        <v>646</v>
      </c>
      <c r="GU48" s="394"/>
      <c r="GV48" s="394"/>
      <c r="GW48" s="394"/>
      <c r="GX48" s="394"/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</row>
    <row r="49" spans="2:230" x14ac:dyDescent="0.15">
      <c r="B49" s="21" t="s">
        <v>91</v>
      </c>
      <c r="C49" s="272">
        <v>761160717</v>
      </c>
      <c r="D49" s="455">
        <f t="shared" si="0"/>
        <v>279245395</v>
      </c>
      <c r="E49" s="272">
        <v>6914730</v>
      </c>
      <c r="F49" s="456">
        <v>272330665</v>
      </c>
      <c r="G49" s="455">
        <f t="shared" si="1"/>
        <v>50535099</v>
      </c>
      <c r="H49" s="272">
        <v>13116400</v>
      </c>
      <c r="I49" s="272">
        <v>37418699</v>
      </c>
      <c r="J49" s="272">
        <v>320241436</v>
      </c>
      <c r="K49" s="272">
        <v>137542703</v>
      </c>
      <c r="L49" s="272">
        <v>134019365</v>
      </c>
      <c r="M49" s="272">
        <v>42571297</v>
      </c>
      <c r="N49" s="272">
        <v>34061272</v>
      </c>
      <c r="O49" s="272">
        <v>64762105</v>
      </c>
      <c r="P49" s="272">
        <v>36601004</v>
      </c>
      <c r="Q49" s="272">
        <v>28161101</v>
      </c>
      <c r="R49" s="272">
        <v>12835048</v>
      </c>
      <c r="S49" s="272"/>
      <c r="T49" s="455">
        <f t="shared" si="2"/>
        <v>60721827</v>
      </c>
      <c r="U49" s="272">
        <v>4100519</v>
      </c>
      <c r="V49" s="272">
        <v>1946974</v>
      </c>
      <c r="W49" s="456">
        <v>658797</v>
      </c>
      <c r="X49" s="272">
        <v>48479570</v>
      </c>
      <c r="Y49" s="272">
        <v>999099</v>
      </c>
      <c r="Z49" s="272">
        <v>219</v>
      </c>
      <c r="AA49" s="272">
        <v>4536649</v>
      </c>
      <c r="AB49" s="272">
        <v>9993332</v>
      </c>
      <c r="AC49" s="272">
        <v>191516520</v>
      </c>
      <c r="AD49" s="272">
        <v>177131763</v>
      </c>
      <c r="AE49" s="272">
        <v>14384757</v>
      </c>
      <c r="AF49" s="272">
        <v>923093</v>
      </c>
      <c r="AG49" s="272">
        <v>19446794</v>
      </c>
      <c r="AH49" s="455">
        <f t="shared" si="3"/>
        <v>35949931</v>
      </c>
      <c r="AI49" s="272">
        <v>28378660</v>
      </c>
      <c r="AJ49" s="272">
        <v>7571271</v>
      </c>
      <c r="AK49" s="272">
        <v>333011271</v>
      </c>
      <c r="AL49" s="455">
        <f t="shared" si="4"/>
        <v>185453094</v>
      </c>
      <c r="AM49" s="272">
        <v>137885978</v>
      </c>
      <c r="AN49" s="272">
        <v>21155040</v>
      </c>
      <c r="AO49" s="272"/>
      <c r="AP49" s="272">
        <v>26412076</v>
      </c>
      <c r="AQ49" s="272">
        <v>33470947</v>
      </c>
      <c r="AR49" s="272">
        <v>15722</v>
      </c>
      <c r="AS49" s="272">
        <v>288726</v>
      </c>
      <c r="AT49" s="272">
        <v>109364139</v>
      </c>
      <c r="AU49" s="272">
        <v>61290575</v>
      </c>
      <c r="AV49" s="272">
        <v>6629197</v>
      </c>
      <c r="AW49" s="272">
        <v>4750352</v>
      </c>
      <c r="AX49" s="272">
        <v>48073564</v>
      </c>
      <c r="AY49" s="272">
        <v>1775029</v>
      </c>
      <c r="AZ49" s="272">
        <v>7328297</v>
      </c>
      <c r="BA49" s="272">
        <v>4803065</v>
      </c>
      <c r="BB49" s="272">
        <v>633792</v>
      </c>
      <c r="BC49" s="272">
        <v>20153417</v>
      </c>
      <c r="BD49" s="272">
        <v>940353</v>
      </c>
      <c r="BE49" s="272">
        <v>979934</v>
      </c>
      <c r="BF49" s="272">
        <v>14232161</v>
      </c>
      <c r="BG49" s="272">
        <v>605099</v>
      </c>
      <c r="BH49" s="272">
        <v>16586109</v>
      </c>
      <c r="BI49" s="272">
        <v>9252845</v>
      </c>
      <c r="BJ49" s="272">
        <v>43232349</v>
      </c>
      <c r="BK49" s="272">
        <v>15881325</v>
      </c>
      <c r="BL49" s="272">
        <v>263015</v>
      </c>
      <c r="BM49" s="272">
        <v>1043963</v>
      </c>
      <c r="BN49" s="272">
        <v>162634305</v>
      </c>
      <c r="BO49" s="455">
        <f t="shared" si="5"/>
        <v>55497700</v>
      </c>
      <c r="BP49" s="455">
        <f t="shared" si="6"/>
        <v>94901405</v>
      </c>
      <c r="BQ49" s="272"/>
      <c r="BR49" s="272">
        <v>42000</v>
      </c>
      <c r="BS49" s="272">
        <v>94859405</v>
      </c>
      <c r="BT49" s="272">
        <v>12235200</v>
      </c>
      <c r="BU49" s="272">
        <v>1785779667</v>
      </c>
      <c r="BV49" s="272"/>
      <c r="BW49" s="272">
        <v>343858425</v>
      </c>
      <c r="BX49" s="272">
        <v>216206506</v>
      </c>
      <c r="BY49" s="272">
        <v>50797462</v>
      </c>
      <c r="BZ49" s="272">
        <v>20891573</v>
      </c>
      <c r="CA49" s="272">
        <v>477986999</v>
      </c>
      <c r="CB49" s="272">
        <v>72020023</v>
      </c>
      <c r="CC49" s="272">
        <v>9736625</v>
      </c>
      <c r="CD49" s="272">
        <v>195142108</v>
      </c>
      <c r="CE49" s="272">
        <v>189038713</v>
      </c>
      <c r="CF49" s="272">
        <v>5263550</v>
      </c>
      <c r="CG49" s="272">
        <v>6760271</v>
      </c>
      <c r="CH49" s="272">
        <v>176562012</v>
      </c>
      <c r="CI49" s="457" t="s">
        <v>646</v>
      </c>
      <c r="CJ49" s="458" t="s">
        <v>646</v>
      </c>
      <c r="CK49" s="272">
        <v>191494604</v>
      </c>
      <c r="CL49" s="272">
        <v>112559016</v>
      </c>
      <c r="CM49" s="272">
        <v>14115914</v>
      </c>
      <c r="CN49" s="272">
        <v>34689052</v>
      </c>
      <c r="CO49" s="272">
        <v>14086949</v>
      </c>
      <c r="CP49" s="272">
        <v>140436167</v>
      </c>
      <c r="CQ49" s="272">
        <v>36380888</v>
      </c>
      <c r="CR49" s="272">
        <v>35790685</v>
      </c>
      <c r="CS49" s="272">
        <v>24721366</v>
      </c>
      <c r="CT49" s="455">
        <f t="shared" si="7"/>
        <v>35509718</v>
      </c>
      <c r="CU49" s="272">
        <v>26981181</v>
      </c>
      <c r="CV49" s="272">
        <v>8528537</v>
      </c>
      <c r="CW49" s="455">
        <f t="shared" si="8"/>
        <v>14696545</v>
      </c>
      <c r="CX49" s="272">
        <v>10313987</v>
      </c>
      <c r="CY49" s="272">
        <v>4382558</v>
      </c>
      <c r="CZ49" s="455">
        <f t="shared" si="9"/>
        <v>18250246</v>
      </c>
      <c r="DA49" s="272">
        <v>15912920</v>
      </c>
      <c r="DB49" s="272">
        <v>2337326</v>
      </c>
      <c r="DC49" s="272">
        <v>154091811</v>
      </c>
      <c r="DD49" s="272">
        <v>64342052</v>
      </c>
      <c r="DE49" s="272">
        <v>87212039</v>
      </c>
      <c r="DF49" s="26">
        <v>1541877</v>
      </c>
      <c r="DG49" s="27">
        <v>995569</v>
      </c>
      <c r="DH49" s="272">
        <v>229219</v>
      </c>
      <c r="DI49" s="272">
        <v>38863278</v>
      </c>
      <c r="DJ49" s="272">
        <v>16045340</v>
      </c>
      <c r="DK49" s="272">
        <v>5661393</v>
      </c>
      <c r="DL49" s="272">
        <v>17156531</v>
      </c>
      <c r="DM49" s="272">
        <v>8618855</v>
      </c>
      <c r="DN49" s="272">
        <v>8016355</v>
      </c>
      <c r="DO49" s="272">
        <v>227801</v>
      </c>
      <c r="DP49" s="272">
        <v>7610744</v>
      </c>
      <c r="DQ49" s="272">
        <v>18017793</v>
      </c>
      <c r="DR49" s="272">
        <v>2100000</v>
      </c>
      <c r="DS49" s="272">
        <v>2100000</v>
      </c>
      <c r="DT49" s="272">
        <v>195498740</v>
      </c>
      <c r="DU49" s="272">
        <v>51129206</v>
      </c>
      <c r="DV49" s="455">
        <f t="shared" si="10"/>
        <v>1030013</v>
      </c>
      <c r="DW49" s="272">
        <v>1030013</v>
      </c>
      <c r="DX49" s="272">
        <v>44173141</v>
      </c>
      <c r="DY49" s="272">
        <v>1017392</v>
      </c>
      <c r="DZ49" s="272">
        <v>52447007</v>
      </c>
      <c r="EA49" s="272">
        <v>78915</v>
      </c>
      <c r="EB49" s="272">
        <v>43301376</v>
      </c>
      <c r="EC49" s="272">
        <v>32389</v>
      </c>
      <c r="ED49" s="272">
        <v>1759777241</v>
      </c>
      <c r="EE49" s="89"/>
      <c r="EF49" s="272">
        <v>26002426</v>
      </c>
      <c r="EG49" s="272">
        <v>8746807</v>
      </c>
      <c r="EH49" s="272">
        <v>17255619</v>
      </c>
      <c r="EI49" s="272">
        <v>6267674</v>
      </c>
      <c r="EJ49" s="272">
        <v>25593696</v>
      </c>
      <c r="EK49" s="89"/>
      <c r="EL49" s="272">
        <v>5357965</v>
      </c>
      <c r="EM49" s="272">
        <v>5305726</v>
      </c>
      <c r="EN49" s="272">
        <v>11968461</v>
      </c>
      <c r="EO49" s="272">
        <v>3362583</v>
      </c>
      <c r="EP49" s="455">
        <f t="shared" si="11"/>
        <v>51712149</v>
      </c>
      <c r="EQ49" s="272">
        <v>1037439263</v>
      </c>
      <c r="ER49" s="272">
        <v>-160732779</v>
      </c>
      <c r="ES49" s="272">
        <v>305842278</v>
      </c>
      <c r="ET49" s="272">
        <v>195470019</v>
      </c>
      <c r="EU49" s="272">
        <v>140706034</v>
      </c>
      <c r="EV49" s="272">
        <v>174662517</v>
      </c>
      <c r="EW49" s="455">
        <f t="shared" si="12"/>
        <v>53616553</v>
      </c>
      <c r="EX49" s="272">
        <v>53534794</v>
      </c>
      <c r="EY49" s="272">
        <v>5913210</v>
      </c>
      <c r="EZ49" s="272">
        <v>47297995</v>
      </c>
      <c r="FA49" s="272">
        <v>81759</v>
      </c>
      <c r="FB49" s="272">
        <v>0</v>
      </c>
      <c r="FC49" s="272">
        <v>151750672</v>
      </c>
      <c r="FD49" s="272">
        <v>123645808</v>
      </c>
      <c r="FE49" s="272">
        <v>35706470</v>
      </c>
      <c r="FF49" s="272">
        <v>170000210</v>
      </c>
      <c r="FG49" s="455">
        <f t="shared" si="13"/>
        <v>51971578</v>
      </c>
      <c r="FH49" s="272">
        <v>1172195650</v>
      </c>
      <c r="FI49" s="459">
        <f t="shared" si="14"/>
        <v>1.7</v>
      </c>
      <c r="FJ49" s="272">
        <v>924028461</v>
      </c>
      <c r="FK49" s="272">
        <v>98075459</v>
      </c>
      <c r="FL49" s="272">
        <v>575068712</v>
      </c>
      <c r="FM49" s="272">
        <v>751452053</v>
      </c>
      <c r="FN49" s="460">
        <v>0.80300000000000005</v>
      </c>
      <c r="FO49" s="388">
        <v>94.3</v>
      </c>
      <c r="FP49" s="388">
        <v>28.1</v>
      </c>
      <c r="FQ49" s="388">
        <v>13.2</v>
      </c>
      <c r="FR49" s="388">
        <v>16</v>
      </c>
      <c r="FS49" s="388">
        <v>13.4</v>
      </c>
      <c r="FT49" s="388">
        <v>9.5</v>
      </c>
      <c r="FU49" s="388">
        <v>12.9</v>
      </c>
      <c r="FV49" s="384">
        <f t="shared" si="15"/>
        <v>7</v>
      </c>
      <c r="FW49" s="272">
        <v>1545474474</v>
      </c>
      <c r="FX49" s="384">
        <f t="shared" si="16"/>
        <v>151.19999999999999</v>
      </c>
      <c r="FY49" s="272">
        <v>277180679</v>
      </c>
      <c r="FZ49" s="272">
        <v>103172706</v>
      </c>
      <c r="GA49" s="272">
        <v>24356823</v>
      </c>
      <c r="GB49" s="272">
        <v>149651150</v>
      </c>
      <c r="GC49" s="272">
        <v>23344913</v>
      </c>
      <c r="GD49" s="272">
        <v>147135256</v>
      </c>
      <c r="GE49" s="465">
        <f>ROUND(GD49/(FJ52+FK52)*100,1)</f>
        <v>14.8</v>
      </c>
      <c r="GF49" s="388">
        <v>98.2</v>
      </c>
      <c r="GG49" s="388">
        <v>24.1</v>
      </c>
      <c r="GH49" s="388">
        <v>93.6</v>
      </c>
      <c r="GI49" s="272">
        <v>32331</v>
      </c>
      <c r="GJ49" s="461" t="s">
        <v>646</v>
      </c>
      <c r="GK49" s="461" t="s">
        <v>646</v>
      </c>
      <c r="GL49" s="461" t="s">
        <v>646</v>
      </c>
      <c r="GM49" s="461" t="s">
        <v>646</v>
      </c>
      <c r="GN49" s="461" t="s">
        <v>646</v>
      </c>
      <c r="GO49" s="461" t="s">
        <v>646</v>
      </c>
      <c r="GP49" s="463">
        <v>7</v>
      </c>
      <c r="GQ49" s="461" t="s">
        <v>646</v>
      </c>
      <c r="GR49" s="461" t="s">
        <v>646</v>
      </c>
      <c r="GS49" s="463">
        <v>57.7</v>
      </c>
      <c r="GT49" s="461" t="s">
        <v>646</v>
      </c>
      <c r="GU49" s="394"/>
      <c r="GV49" s="394"/>
      <c r="GW49" s="394"/>
      <c r="GX49" s="394"/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</row>
    <row r="50" spans="2:230" x14ac:dyDescent="0.15">
      <c r="EJ50" s="394"/>
      <c r="EW50" s="272"/>
      <c r="GE50" s="31" t="s">
        <v>647</v>
      </c>
    </row>
    <row r="51" spans="2:230" x14ac:dyDescent="0.15">
      <c r="EI51" s="420">
        <f>EI6+EI16+EI20+EI25+EI27+EI29+EI30+EI32+EI35+EI38+EI41+EI42+EI43+EI46</f>
        <v>3616317</v>
      </c>
      <c r="FJ51" s="394">
        <f>FJ42+FJ45+FJ43</f>
        <v>12932699</v>
      </c>
      <c r="FK51" s="394">
        <f>FK42+FK45+FK43</f>
        <v>1473047</v>
      </c>
    </row>
    <row r="52" spans="2:230" x14ac:dyDescent="0.15">
      <c r="EI52" s="420">
        <f>EI49-EI51</f>
        <v>2651357</v>
      </c>
      <c r="EM52" s="272">
        <v>5311179</v>
      </c>
      <c r="FJ52" s="394">
        <f>FJ37+FJ51</f>
        <v>898765603</v>
      </c>
      <c r="FK52" s="394">
        <f>FK37+FK51</f>
        <v>94970173</v>
      </c>
      <c r="GF52" s="388"/>
      <c r="GG52" s="388"/>
      <c r="GH52" s="388"/>
      <c r="GI52" s="272">
        <v>33195</v>
      </c>
    </row>
    <row r="54" spans="2:230" x14ac:dyDescent="0.15">
      <c r="B54" s="89" t="s">
        <v>650</v>
      </c>
      <c r="C54" s="89" t="str">
        <f t="shared" ref="C54:AH54" si="20">IF(SUM(C6:C36)=C37,"ok","エラー")</f>
        <v>ok</v>
      </c>
      <c r="D54" s="89" t="str">
        <f t="shared" si="20"/>
        <v>ok</v>
      </c>
      <c r="E54" s="89" t="str">
        <f t="shared" si="20"/>
        <v>ok</v>
      </c>
      <c r="F54" s="89" t="str">
        <f t="shared" si="20"/>
        <v>ok</v>
      </c>
      <c r="G54" s="89" t="str">
        <f t="shared" si="20"/>
        <v>ok</v>
      </c>
      <c r="H54" s="89" t="str">
        <f t="shared" si="20"/>
        <v>ok</v>
      </c>
      <c r="I54" s="89" t="str">
        <f t="shared" si="20"/>
        <v>ok</v>
      </c>
      <c r="J54" s="89" t="str">
        <f t="shared" si="20"/>
        <v>ok</v>
      </c>
      <c r="K54" s="89" t="str">
        <f t="shared" si="20"/>
        <v>ok</v>
      </c>
      <c r="L54" s="89" t="str">
        <f t="shared" si="20"/>
        <v>ok</v>
      </c>
      <c r="M54" s="89" t="str">
        <f t="shared" si="20"/>
        <v>ok</v>
      </c>
      <c r="N54" s="89" t="str">
        <f t="shared" si="20"/>
        <v>ok</v>
      </c>
      <c r="O54" s="89" t="str">
        <f t="shared" si="20"/>
        <v>ok</v>
      </c>
      <c r="P54" s="89" t="str">
        <f t="shared" si="20"/>
        <v>ok</v>
      </c>
      <c r="Q54" s="89" t="str">
        <f t="shared" si="20"/>
        <v>ok</v>
      </c>
      <c r="R54" s="89" t="str">
        <f t="shared" si="20"/>
        <v>ok</v>
      </c>
      <c r="S54" s="89" t="str">
        <f t="shared" si="20"/>
        <v>ok</v>
      </c>
      <c r="T54" s="89" t="str">
        <f t="shared" si="20"/>
        <v>ok</v>
      </c>
      <c r="U54" s="89" t="str">
        <f t="shared" si="20"/>
        <v>ok</v>
      </c>
      <c r="V54" s="89" t="str">
        <f t="shared" si="20"/>
        <v>ok</v>
      </c>
      <c r="W54" s="89" t="str">
        <f t="shared" si="20"/>
        <v>ok</v>
      </c>
      <c r="X54" s="89" t="str">
        <f t="shared" si="20"/>
        <v>ok</v>
      </c>
      <c r="Y54" s="89" t="str">
        <f t="shared" si="20"/>
        <v>ok</v>
      </c>
      <c r="Z54" s="89" t="str">
        <f t="shared" si="20"/>
        <v>ok</v>
      </c>
      <c r="AA54" s="89" t="str">
        <f t="shared" si="20"/>
        <v>ok</v>
      </c>
      <c r="AB54" s="89" t="str">
        <f t="shared" si="20"/>
        <v>ok</v>
      </c>
      <c r="AC54" s="89" t="str">
        <f t="shared" si="20"/>
        <v>ok</v>
      </c>
      <c r="AD54" s="89" t="str">
        <f t="shared" si="20"/>
        <v>ok</v>
      </c>
      <c r="AE54" s="89" t="str">
        <f t="shared" si="20"/>
        <v>ok</v>
      </c>
      <c r="AF54" s="89" t="str">
        <f t="shared" si="20"/>
        <v>ok</v>
      </c>
      <c r="AG54" s="89" t="str">
        <f t="shared" si="20"/>
        <v>ok</v>
      </c>
      <c r="AH54" s="89" t="str">
        <f t="shared" si="20"/>
        <v>ok</v>
      </c>
      <c r="AI54" s="89" t="str">
        <f t="shared" ref="AI54:BN54" si="21">IF(SUM(AI6:AI36)=AI37,"ok","エラー")</f>
        <v>ok</v>
      </c>
      <c r="AJ54" s="89" t="str">
        <f t="shared" si="21"/>
        <v>ok</v>
      </c>
      <c r="AK54" s="89" t="str">
        <f t="shared" si="21"/>
        <v>ok</v>
      </c>
      <c r="AL54" s="89" t="str">
        <f t="shared" si="21"/>
        <v>ok</v>
      </c>
      <c r="AM54" s="89" t="str">
        <f t="shared" si="21"/>
        <v>ok</v>
      </c>
      <c r="AN54" s="89" t="str">
        <f t="shared" si="21"/>
        <v>ok</v>
      </c>
      <c r="AO54" s="89" t="str">
        <f t="shared" si="21"/>
        <v>ok</v>
      </c>
      <c r="AP54" s="89" t="str">
        <f t="shared" si="21"/>
        <v>ok</v>
      </c>
      <c r="AQ54" s="89" t="str">
        <f t="shared" si="21"/>
        <v>ok</v>
      </c>
      <c r="AR54" s="89" t="str">
        <f t="shared" si="21"/>
        <v>ok</v>
      </c>
      <c r="AS54" s="89" t="str">
        <f t="shared" si="21"/>
        <v>ok</v>
      </c>
      <c r="AT54" s="89" t="str">
        <f t="shared" si="21"/>
        <v>ok</v>
      </c>
      <c r="AU54" s="89" t="str">
        <f t="shared" si="21"/>
        <v>ok</v>
      </c>
      <c r="AV54" s="89" t="str">
        <f t="shared" si="21"/>
        <v>ok</v>
      </c>
      <c r="AW54" s="89" t="str">
        <f t="shared" si="21"/>
        <v>ok</v>
      </c>
      <c r="AX54" s="89" t="str">
        <f t="shared" si="21"/>
        <v>ok</v>
      </c>
      <c r="AY54" s="89" t="str">
        <f t="shared" si="21"/>
        <v>ok</v>
      </c>
      <c r="AZ54" s="89" t="str">
        <f t="shared" si="21"/>
        <v>ok</v>
      </c>
      <c r="BA54" s="89" t="str">
        <f t="shared" si="21"/>
        <v>ok</v>
      </c>
      <c r="BB54" s="89" t="str">
        <f t="shared" si="21"/>
        <v>ok</v>
      </c>
      <c r="BC54" s="89" t="str">
        <f t="shared" si="21"/>
        <v>ok</v>
      </c>
      <c r="BD54" s="89" t="str">
        <f t="shared" si="21"/>
        <v>ok</v>
      </c>
      <c r="BE54" s="89" t="str">
        <f t="shared" si="21"/>
        <v>ok</v>
      </c>
      <c r="BF54" s="89" t="str">
        <f t="shared" si="21"/>
        <v>ok</v>
      </c>
      <c r="BG54" s="89" t="str">
        <f t="shared" si="21"/>
        <v>ok</v>
      </c>
      <c r="BH54" s="89" t="str">
        <f t="shared" si="21"/>
        <v>ok</v>
      </c>
      <c r="BI54" s="89" t="str">
        <f t="shared" si="21"/>
        <v>ok</v>
      </c>
      <c r="BJ54" s="89" t="str">
        <f t="shared" si="21"/>
        <v>ok</v>
      </c>
      <c r="BK54" s="89" t="str">
        <f t="shared" si="21"/>
        <v>ok</v>
      </c>
      <c r="BL54" s="89" t="str">
        <f t="shared" si="21"/>
        <v>ok</v>
      </c>
      <c r="BM54" s="89" t="str">
        <f t="shared" si="21"/>
        <v>ok</v>
      </c>
      <c r="BN54" s="89" t="str">
        <f t="shared" si="21"/>
        <v>ok</v>
      </c>
      <c r="BO54" s="89" t="str">
        <f t="shared" ref="BO54:CT54" si="22">IF(SUM(BO6:BO36)=BO37,"ok","エラー")</f>
        <v>ok</v>
      </c>
      <c r="BP54" s="89" t="str">
        <f t="shared" si="22"/>
        <v>ok</v>
      </c>
      <c r="BQ54" s="89" t="str">
        <f t="shared" si="22"/>
        <v>ok</v>
      </c>
      <c r="BR54" s="89" t="str">
        <f t="shared" si="22"/>
        <v>ok</v>
      </c>
      <c r="BS54" s="89" t="str">
        <f t="shared" si="22"/>
        <v>ok</v>
      </c>
      <c r="BT54" s="89" t="str">
        <f t="shared" si="22"/>
        <v>ok</v>
      </c>
      <c r="BU54" s="89" t="str">
        <f t="shared" si="22"/>
        <v>ok</v>
      </c>
      <c r="BV54" s="89" t="str">
        <f t="shared" si="22"/>
        <v>ok</v>
      </c>
      <c r="BW54" s="89" t="str">
        <f t="shared" si="22"/>
        <v>ok</v>
      </c>
      <c r="BX54" s="89" t="str">
        <f t="shared" si="22"/>
        <v>ok</v>
      </c>
      <c r="BY54" s="89" t="str">
        <f t="shared" si="22"/>
        <v>ok</v>
      </c>
      <c r="BZ54" s="89" t="str">
        <f t="shared" si="22"/>
        <v>ok</v>
      </c>
      <c r="CA54" s="89" t="str">
        <f t="shared" si="22"/>
        <v>ok</v>
      </c>
      <c r="CB54" s="89" t="str">
        <f t="shared" si="22"/>
        <v>ok</v>
      </c>
      <c r="CC54" s="89" t="str">
        <f t="shared" si="22"/>
        <v>ok</v>
      </c>
      <c r="CD54" s="89" t="str">
        <f t="shared" si="22"/>
        <v>ok</v>
      </c>
      <c r="CE54" s="89" t="str">
        <f t="shared" si="22"/>
        <v>ok</v>
      </c>
      <c r="CF54" s="89" t="str">
        <f t="shared" si="22"/>
        <v>ok</v>
      </c>
      <c r="CG54" s="89" t="str">
        <f t="shared" si="22"/>
        <v>ok</v>
      </c>
      <c r="CH54" s="89" t="str">
        <f t="shared" si="22"/>
        <v>ok</v>
      </c>
      <c r="CI54" s="89" t="str">
        <f t="shared" si="22"/>
        <v>エラー</v>
      </c>
      <c r="CJ54" s="89" t="str">
        <f t="shared" si="22"/>
        <v>エラー</v>
      </c>
      <c r="CK54" s="89" t="str">
        <f t="shared" si="22"/>
        <v>ok</v>
      </c>
      <c r="CL54" s="89" t="str">
        <f t="shared" si="22"/>
        <v>ok</v>
      </c>
      <c r="CM54" s="89" t="str">
        <f t="shared" si="22"/>
        <v>ok</v>
      </c>
      <c r="CN54" s="89" t="str">
        <f t="shared" si="22"/>
        <v>ok</v>
      </c>
      <c r="CO54" s="89" t="str">
        <f t="shared" si="22"/>
        <v>ok</v>
      </c>
      <c r="CP54" s="89" t="str">
        <f t="shared" si="22"/>
        <v>ok</v>
      </c>
      <c r="CQ54" s="89" t="str">
        <f t="shared" si="22"/>
        <v>ok</v>
      </c>
      <c r="CR54" s="89" t="str">
        <f t="shared" si="22"/>
        <v>ok</v>
      </c>
      <c r="CS54" s="89" t="str">
        <f t="shared" si="22"/>
        <v>ok</v>
      </c>
      <c r="CT54" s="89" t="str">
        <f t="shared" si="22"/>
        <v>ok</v>
      </c>
      <c r="CU54" s="89" t="str">
        <f t="shared" ref="CU54:DZ54" si="23">IF(SUM(CU6:CU36)=CU37,"ok","エラー")</f>
        <v>ok</v>
      </c>
      <c r="CV54" s="89" t="str">
        <f t="shared" si="23"/>
        <v>ok</v>
      </c>
      <c r="CW54" s="89" t="str">
        <f t="shared" si="23"/>
        <v>ok</v>
      </c>
      <c r="CX54" s="89" t="str">
        <f t="shared" si="23"/>
        <v>ok</v>
      </c>
      <c r="CY54" s="89" t="str">
        <f t="shared" si="23"/>
        <v>ok</v>
      </c>
      <c r="CZ54" s="89" t="str">
        <f t="shared" si="23"/>
        <v>ok</v>
      </c>
      <c r="DA54" s="89" t="str">
        <f t="shared" si="23"/>
        <v>ok</v>
      </c>
      <c r="DB54" s="89" t="str">
        <f t="shared" si="23"/>
        <v>ok</v>
      </c>
      <c r="DC54" s="89" t="str">
        <f t="shared" si="23"/>
        <v>ok</v>
      </c>
      <c r="DD54" s="89" t="str">
        <f t="shared" si="23"/>
        <v>ok</v>
      </c>
      <c r="DE54" s="89" t="str">
        <f t="shared" si="23"/>
        <v>ok</v>
      </c>
      <c r="DF54" s="89" t="str">
        <f t="shared" si="23"/>
        <v>ok</v>
      </c>
      <c r="DG54" s="89" t="str">
        <f t="shared" si="23"/>
        <v>ok</v>
      </c>
      <c r="DH54" s="89" t="str">
        <f t="shared" si="23"/>
        <v>ok</v>
      </c>
      <c r="DI54" s="89" t="str">
        <f t="shared" si="23"/>
        <v>ok</v>
      </c>
      <c r="DJ54" s="89" t="str">
        <f t="shared" si="23"/>
        <v>ok</v>
      </c>
      <c r="DK54" s="89" t="str">
        <f t="shared" si="23"/>
        <v>ok</v>
      </c>
      <c r="DL54" s="89" t="str">
        <f t="shared" si="23"/>
        <v>ok</v>
      </c>
      <c r="DM54" s="89" t="str">
        <f t="shared" si="23"/>
        <v>ok</v>
      </c>
      <c r="DN54" s="89" t="str">
        <f t="shared" si="23"/>
        <v>ok</v>
      </c>
      <c r="DO54" s="89" t="str">
        <f t="shared" si="23"/>
        <v>ok</v>
      </c>
      <c r="DP54" s="89" t="str">
        <f t="shared" si="23"/>
        <v>ok</v>
      </c>
      <c r="DQ54" s="89" t="str">
        <f t="shared" si="23"/>
        <v>ok</v>
      </c>
      <c r="DR54" s="89" t="str">
        <f t="shared" si="23"/>
        <v>ok</v>
      </c>
      <c r="DS54" s="89" t="str">
        <f t="shared" si="23"/>
        <v>ok</v>
      </c>
      <c r="DT54" s="89" t="str">
        <f t="shared" si="23"/>
        <v>ok</v>
      </c>
      <c r="DU54" s="89" t="str">
        <f t="shared" si="23"/>
        <v>ok</v>
      </c>
      <c r="DV54" s="89" t="str">
        <f t="shared" si="23"/>
        <v>ok</v>
      </c>
      <c r="DW54" s="89" t="str">
        <f t="shared" si="23"/>
        <v>ok</v>
      </c>
      <c r="DX54" s="89" t="str">
        <f t="shared" si="23"/>
        <v>ok</v>
      </c>
      <c r="DY54" s="89" t="str">
        <f t="shared" si="23"/>
        <v>ok</v>
      </c>
      <c r="DZ54" s="89" t="str">
        <f t="shared" si="23"/>
        <v>ok</v>
      </c>
      <c r="EA54" s="89" t="str">
        <f t="shared" ref="EA54:FF54" si="24">IF(SUM(EA6:EA36)=EA37,"ok","エラー")</f>
        <v>ok</v>
      </c>
      <c r="EB54" s="89" t="str">
        <f t="shared" si="24"/>
        <v>ok</v>
      </c>
      <c r="EC54" s="89" t="str">
        <f t="shared" si="24"/>
        <v>ok</v>
      </c>
      <c r="ED54" s="89" t="str">
        <f t="shared" si="24"/>
        <v>ok</v>
      </c>
      <c r="EE54" s="89" t="str">
        <f t="shared" si="24"/>
        <v>ok</v>
      </c>
      <c r="EF54" s="89" t="str">
        <f t="shared" si="24"/>
        <v>ok</v>
      </c>
      <c r="EG54" s="89" t="str">
        <f t="shared" si="24"/>
        <v>ok</v>
      </c>
      <c r="EH54" s="89" t="str">
        <f t="shared" si="24"/>
        <v>ok</v>
      </c>
      <c r="EI54" s="89" t="str">
        <f t="shared" si="24"/>
        <v>ok</v>
      </c>
      <c r="EJ54" s="89" t="str">
        <f t="shared" si="24"/>
        <v>ok</v>
      </c>
      <c r="EK54" s="89" t="str">
        <f t="shared" si="24"/>
        <v>ok</v>
      </c>
      <c r="EL54" s="89" t="str">
        <f t="shared" si="24"/>
        <v>ok</v>
      </c>
      <c r="EM54" s="89" t="str">
        <f t="shared" si="24"/>
        <v>ok</v>
      </c>
      <c r="EN54" s="89" t="str">
        <f t="shared" si="24"/>
        <v>ok</v>
      </c>
      <c r="EO54" s="89" t="str">
        <f t="shared" si="24"/>
        <v>ok</v>
      </c>
      <c r="EP54" s="89" t="str">
        <f t="shared" si="24"/>
        <v>ok</v>
      </c>
      <c r="EQ54" s="89" t="str">
        <f t="shared" si="24"/>
        <v>ok</v>
      </c>
      <c r="ER54" s="89" t="str">
        <f t="shared" si="24"/>
        <v>ok</v>
      </c>
      <c r="ES54" s="89" t="str">
        <f t="shared" si="24"/>
        <v>ok</v>
      </c>
      <c r="ET54" s="89" t="str">
        <f t="shared" si="24"/>
        <v>ok</v>
      </c>
      <c r="EU54" s="89" t="str">
        <f t="shared" si="24"/>
        <v>ok</v>
      </c>
      <c r="EV54" s="89" t="str">
        <f t="shared" si="24"/>
        <v>ok</v>
      </c>
      <c r="EW54" s="89" t="str">
        <f t="shared" si="24"/>
        <v>ok</v>
      </c>
      <c r="EX54" s="89" t="str">
        <f t="shared" si="24"/>
        <v>ok</v>
      </c>
      <c r="EY54" s="89" t="str">
        <f t="shared" si="24"/>
        <v>ok</v>
      </c>
      <c r="EZ54" s="89" t="str">
        <f t="shared" si="24"/>
        <v>ok</v>
      </c>
      <c r="FA54" s="89" t="str">
        <f t="shared" si="24"/>
        <v>ok</v>
      </c>
      <c r="FB54" s="89" t="str">
        <f t="shared" si="24"/>
        <v>ok</v>
      </c>
      <c r="FC54" s="89" t="str">
        <f t="shared" si="24"/>
        <v>ok</v>
      </c>
      <c r="FD54" s="89" t="str">
        <f t="shared" si="24"/>
        <v>ok</v>
      </c>
      <c r="FE54" s="89" t="str">
        <f t="shared" si="24"/>
        <v>ok</v>
      </c>
      <c r="FF54" s="89" t="str">
        <f t="shared" si="24"/>
        <v>ok</v>
      </c>
      <c r="FG54" s="89" t="str">
        <f t="shared" ref="FG54:FM54" si="25">IF(SUM(FG6:FG36)=FG37,"ok","エラー")</f>
        <v>ok</v>
      </c>
      <c r="FH54" s="89" t="str">
        <f t="shared" si="25"/>
        <v>ok</v>
      </c>
      <c r="FI54" s="89" t="str">
        <f t="shared" si="25"/>
        <v>エラー</v>
      </c>
      <c r="FJ54" s="89" t="str">
        <f t="shared" si="25"/>
        <v>ok</v>
      </c>
      <c r="FK54" s="89" t="str">
        <f t="shared" si="25"/>
        <v>ok</v>
      </c>
      <c r="FL54" s="89" t="str">
        <f t="shared" si="25"/>
        <v>ok</v>
      </c>
      <c r="FM54" s="89" t="str">
        <f t="shared" si="25"/>
        <v>ok</v>
      </c>
      <c r="FW54" s="89" t="str">
        <f>IF(SUM(FW6:FW36)=FW37,"ok","エラー")</f>
        <v>ok</v>
      </c>
      <c r="FY54" s="89" t="str">
        <f t="shared" ref="FY54:GD54" si="26">IF(SUM(FY6:FY36)=FY37,"ok","エラー")</f>
        <v>ok</v>
      </c>
      <c r="FZ54" s="89" t="str">
        <f t="shared" si="26"/>
        <v>ok</v>
      </c>
      <c r="GA54" s="89" t="str">
        <f t="shared" si="26"/>
        <v>ok</v>
      </c>
      <c r="GB54" s="89" t="str">
        <f t="shared" si="26"/>
        <v>ok</v>
      </c>
      <c r="GC54" s="89" t="str">
        <f t="shared" si="26"/>
        <v>ok</v>
      </c>
      <c r="GD54" s="89" t="str">
        <f t="shared" si="26"/>
        <v>ok</v>
      </c>
      <c r="GI54" s="62" t="str">
        <f>IF(SUM(GI6:GI36)=GI37,"ok","エラー")</f>
        <v>ok</v>
      </c>
    </row>
    <row r="55" spans="2:230" x14ac:dyDescent="0.15">
      <c r="B55" s="89" t="s">
        <v>650</v>
      </c>
      <c r="C55" s="89" t="str">
        <f t="shared" ref="C55:AH55" si="27">IF(SUM(C38:C47)=C48,"ok","エラー")</f>
        <v>ok</v>
      </c>
      <c r="D55" s="89" t="str">
        <f t="shared" si="27"/>
        <v>ok</v>
      </c>
      <c r="E55" s="89" t="str">
        <f t="shared" si="27"/>
        <v>ok</v>
      </c>
      <c r="F55" s="89" t="str">
        <f t="shared" si="27"/>
        <v>ok</v>
      </c>
      <c r="G55" s="89" t="str">
        <f t="shared" si="27"/>
        <v>ok</v>
      </c>
      <c r="H55" s="89" t="str">
        <f t="shared" si="27"/>
        <v>ok</v>
      </c>
      <c r="I55" s="89" t="str">
        <f t="shared" si="27"/>
        <v>ok</v>
      </c>
      <c r="J55" s="89" t="str">
        <f t="shared" si="27"/>
        <v>ok</v>
      </c>
      <c r="K55" s="89" t="str">
        <f t="shared" si="27"/>
        <v>ok</v>
      </c>
      <c r="L55" s="89" t="str">
        <f t="shared" si="27"/>
        <v>ok</v>
      </c>
      <c r="M55" s="89" t="str">
        <f t="shared" si="27"/>
        <v>ok</v>
      </c>
      <c r="N55" s="89" t="str">
        <f t="shared" si="27"/>
        <v>ok</v>
      </c>
      <c r="O55" s="89" t="str">
        <f t="shared" si="27"/>
        <v>ok</v>
      </c>
      <c r="P55" s="89" t="str">
        <f t="shared" si="27"/>
        <v>ok</v>
      </c>
      <c r="Q55" s="89" t="str">
        <f t="shared" si="27"/>
        <v>ok</v>
      </c>
      <c r="R55" s="89" t="str">
        <f t="shared" si="27"/>
        <v>ok</v>
      </c>
      <c r="S55" s="89" t="str">
        <f t="shared" si="27"/>
        <v>ok</v>
      </c>
      <c r="T55" s="89" t="str">
        <f t="shared" si="27"/>
        <v>ok</v>
      </c>
      <c r="U55" s="89" t="str">
        <f t="shared" si="27"/>
        <v>ok</v>
      </c>
      <c r="V55" s="89" t="str">
        <f t="shared" si="27"/>
        <v>ok</v>
      </c>
      <c r="W55" s="89" t="str">
        <f t="shared" si="27"/>
        <v>ok</v>
      </c>
      <c r="X55" s="89" t="str">
        <f t="shared" si="27"/>
        <v>ok</v>
      </c>
      <c r="Y55" s="89" t="str">
        <f t="shared" si="27"/>
        <v>ok</v>
      </c>
      <c r="Z55" s="89" t="str">
        <f t="shared" si="27"/>
        <v>ok</v>
      </c>
      <c r="AA55" s="89" t="str">
        <f t="shared" si="27"/>
        <v>ok</v>
      </c>
      <c r="AB55" s="89" t="str">
        <f t="shared" si="27"/>
        <v>ok</v>
      </c>
      <c r="AC55" s="89" t="str">
        <f t="shared" si="27"/>
        <v>ok</v>
      </c>
      <c r="AD55" s="89" t="str">
        <f t="shared" si="27"/>
        <v>ok</v>
      </c>
      <c r="AE55" s="89" t="str">
        <f t="shared" si="27"/>
        <v>ok</v>
      </c>
      <c r="AF55" s="89" t="str">
        <f t="shared" si="27"/>
        <v>ok</v>
      </c>
      <c r="AG55" s="89" t="str">
        <f t="shared" si="27"/>
        <v>ok</v>
      </c>
      <c r="AH55" s="89" t="str">
        <f t="shared" si="27"/>
        <v>ok</v>
      </c>
      <c r="AI55" s="89" t="str">
        <f t="shared" ref="AI55:BN55" si="28">IF(SUM(AI38:AI47)=AI48,"ok","エラー")</f>
        <v>ok</v>
      </c>
      <c r="AJ55" s="89" t="str">
        <f t="shared" si="28"/>
        <v>ok</v>
      </c>
      <c r="AK55" s="89" t="str">
        <f t="shared" si="28"/>
        <v>ok</v>
      </c>
      <c r="AL55" s="89" t="str">
        <f t="shared" si="28"/>
        <v>ok</v>
      </c>
      <c r="AM55" s="89" t="str">
        <f t="shared" si="28"/>
        <v>ok</v>
      </c>
      <c r="AN55" s="89" t="str">
        <f t="shared" si="28"/>
        <v>ok</v>
      </c>
      <c r="AO55" s="89" t="str">
        <f t="shared" si="28"/>
        <v>ok</v>
      </c>
      <c r="AP55" s="89" t="str">
        <f t="shared" si="28"/>
        <v>ok</v>
      </c>
      <c r="AQ55" s="89" t="str">
        <f t="shared" si="28"/>
        <v>ok</v>
      </c>
      <c r="AR55" s="89" t="str">
        <f t="shared" si="28"/>
        <v>ok</v>
      </c>
      <c r="AS55" s="89" t="str">
        <f t="shared" si="28"/>
        <v>ok</v>
      </c>
      <c r="AT55" s="89" t="str">
        <f t="shared" si="28"/>
        <v>ok</v>
      </c>
      <c r="AU55" s="89" t="str">
        <f t="shared" si="28"/>
        <v>ok</v>
      </c>
      <c r="AV55" s="89" t="str">
        <f t="shared" si="28"/>
        <v>ok</v>
      </c>
      <c r="AW55" s="89" t="str">
        <f t="shared" si="28"/>
        <v>ok</v>
      </c>
      <c r="AX55" s="89" t="str">
        <f t="shared" si="28"/>
        <v>ok</v>
      </c>
      <c r="AY55" s="89" t="str">
        <f t="shared" si="28"/>
        <v>ok</v>
      </c>
      <c r="AZ55" s="89" t="str">
        <f t="shared" si="28"/>
        <v>ok</v>
      </c>
      <c r="BA55" s="89" t="str">
        <f t="shared" si="28"/>
        <v>ok</v>
      </c>
      <c r="BB55" s="89" t="str">
        <f t="shared" si="28"/>
        <v>ok</v>
      </c>
      <c r="BC55" s="89" t="str">
        <f t="shared" si="28"/>
        <v>ok</v>
      </c>
      <c r="BD55" s="89" t="str">
        <f t="shared" si="28"/>
        <v>ok</v>
      </c>
      <c r="BE55" s="89" t="str">
        <f t="shared" si="28"/>
        <v>ok</v>
      </c>
      <c r="BF55" s="89" t="str">
        <f t="shared" si="28"/>
        <v>ok</v>
      </c>
      <c r="BG55" s="89" t="str">
        <f t="shared" si="28"/>
        <v>ok</v>
      </c>
      <c r="BH55" s="89" t="str">
        <f t="shared" si="28"/>
        <v>ok</v>
      </c>
      <c r="BI55" s="89" t="str">
        <f t="shared" si="28"/>
        <v>ok</v>
      </c>
      <c r="BJ55" s="89" t="str">
        <f t="shared" si="28"/>
        <v>ok</v>
      </c>
      <c r="BK55" s="89" t="str">
        <f t="shared" si="28"/>
        <v>ok</v>
      </c>
      <c r="BL55" s="89" t="str">
        <f t="shared" si="28"/>
        <v>ok</v>
      </c>
      <c r="BM55" s="89" t="str">
        <f t="shared" si="28"/>
        <v>ok</v>
      </c>
      <c r="BN55" s="89" t="str">
        <f t="shared" si="28"/>
        <v>ok</v>
      </c>
      <c r="BO55" s="89" t="str">
        <f t="shared" ref="BO55:CT55" si="29">IF(SUM(BO38:BO47)=BO48,"ok","エラー")</f>
        <v>ok</v>
      </c>
      <c r="BP55" s="89" t="str">
        <f t="shared" si="29"/>
        <v>ok</v>
      </c>
      <c r="BQ55" s="89" t="str">
        <f t="shared" si="29"/>
        <v>ok</v>
      </c>
      <c r="BR55" s="89" t="str">
        <f t="shared" si="29"/>
        <v>ok</v>
      </c>
      <c r="BS55" s="89" t="str">
        <f t="shared" si="29"/>
        <v>ok</v>
      </c>
      <c r="BT55" s="89" t="str">
        <f t="shared" si="29"/>
        <v>ok</v>
      </c>
      <c r="BU55" s="89" t="str">
        <f t="shared" si="29"/>
        <v>ok</v>
      </c>
      <c r="BV55" s="89" t="str">
        <f t="shared" si="29"/>
        <v>ok</v>
      </c>
      <c r="BW55" s="89" t="str">
        <f t="shared" si="29"/>
        <v>ok</v>
      </c>
      <c r="BX55" s="89" t="str">
        <f t="shared" si="29"/>
        <v>ok</v>
      </c>
      <c r="BY55" s="89" t="str">
        <f t="shared" si="29"/>
        <v>ok</v>
      </c>
      <c r="BZ55" s="89" t="str">
        <f t="shared" si="29"/>
        <v>ok</v>
      </c>
      <c r="CA55" s="89" t="str">
        <f t="shared" si="29"/>
        <v>ok</v>
      </c>
      <c r="CB55" s="89" t="str">
        <f t="shared" si="29"/>
        <v>ok</v>
      </c>
      <c r="CC55" s="89" t="str">
        <f t="shared" si="29"/>
        <v>ok</v>
      </c>
      <c r="CD55" s="89" t="str">
        <f t="shared" si="29"/>
        <v>ok</v>
      </c>
      <c r="CE55" s="89" t="str">
        <f t="shared" si="29"/>
        <v>ok</v>
      </c>
      <c r="CF55" s="89" t="str">
        <f t="shared" si="29"/>
        <v>ok</v>
      </c>
      <c r="CG55" s="89" t="str">
        <f t="shared" si="29"/>
        <v>ok</v>
      </c>
      <c r="CH55" s="89" t="str">
        <f t="shared" si="29"/>
        <v>ok</v>
      </c>
      <c r="CI55" s="89" t="str">
        <f t="shared" si="29"/>
        <v>エラー</v>
      </c>
      <c r="CJ55" s="89" t="str">
        <f t="shared" si="29"/>
        <v>エラー</v>
      </c>
      <c r="CK55" s="89" t="str">
        <f t="shared" si="29"/>
        <v>ok</v>
      </c>
      <c r="CL55" s="89" t="str">
        <f t="shared" si="29"/>
        <v>ok</v>
      </c>
      <c r="CM55" s="89" t="str">
        <f t="shared" si="29"/>
        <v>ok</v>
      </c>
      <c r="CN55" s="89" t="str">
        <f t="shared" si="29"/>
        <v>ok</v>
      </c>
      <c r="CO55" s="89" t="str">
        <f t="shared" si="29"/>
        <v>ok</v>
      </c>
      <c r="CP55" s="89" t="str">
        <f t="shared" si="29"/>
        <v>ok</v>
      </c>
      <c r="CQ55" s="89" t="str">
        <f t="shared" si="29"/>
        <v>ok</v>
      </c>
      <c r="CR55" s="89" t="str">
        <f t="shared" si="29"/>
        <v>ok</v>
      </c>
      <c r="CS55" s="89" t="str">
        <f t="shared" si="29"/>
        <v>ok</v>
      </c>
      <c r="CT55" s="89" t="str">
        <f t="shared" si="29"/>
        <v>ok</v>
      </c>
      <c r="CU55" s="89" t="str">
        <f t="shared" ref="CU55:DZ55" si="30">IF(SUM(CU38:CU47)=CU48,"ok","エラー")</f>
        <v>ok</v>
      </c>
      <c r="CV55" s="89" t="str">
        <f t="shared" si="30"/>
        <v>ok</v>
      </c>
      <c r="CW55" s="89" t="str">
        <f t="shared" si="30"/>
        <v>ok</v>
      </c>
      <c r="CX55" s="89" t="str">
        <f t="shared" si="30"/>
        <v>ok</v>
      </c>
      <c r="CY55" s="89" t="str">
        <f t="shared" si="30"/>
        <v>ok</v>
      </c>
      <c r="CZ55" s="89" t="str">
        <f t="shared" si="30"/>
        <v>ok</v>
      </c>
      <c r="DA55" s="89" t="str">
        <f t="shared" si="30"/>
        <v>ok</v>
      </c>
      <c r="DB55" s="89" t="str">
        <f t="shared" si="30"/>
        <v>ok</v>
      </c>
      <c r="DC55" s="89" t="str">
        <f t="shared" si="30"/>
        <v>ok</v>
      </c>
      <c r="DD55" s="89" t="str">
        <f t="shared" si="30"/>
        <v>ok</v>
      </c>
      <c r="DE55" s="89" t="str">
        <f t="shared" si="30"/>
        <v>ok</v>
      </c>
      <c r="DF55" s="89" t="str">
        <f t="shared" si="30"/>
        <v>ok</v>
      </c>
      <c r="DG55" s="89" t="str">
        <f t="shared" si="30"/>
        <v>ok</v>
      </c>
      <c r="DH55" s="89" t="str">
        <f t="shared" si="30"/>
        <v>ok</v>
      </c>
      <c r="DI55" s="89" t="str">
        <f t="shared" si="30"/>
        <v>ok</v>
      </c>
      <c r="DJ55" s="89" t="str">
        <f t="shared" si="30"/>
        <v>ok</v>
      </c>
      <c r="DK55" s="89" t="str">
        <f t="shared" si="30"/>
        <v>ok</v>
      </c>
      <c r="DL55" s="89" t="str">
        <f t="shared" si="30"/>
        <v>ok</v>
      </c>
      <c r="DM55" s="89" t="str">
        <f t="shared" si="30"/>
        <v>ok</v>
      </c>
      <c r="DN55" s="89" t="str">
        <f t="shared" si="30"/>
        <v>ok</v>
      </c>
      <c r="DO55" s="89" t="str">
        <f t="shared" si="30"/>
        <v>ok</v>
      </c>
      <c r="DP55" s="89" t="str">
        <f t="shared" si="30"/>
        <v>ok</v>
      </c>
      <c r="DQ55" s="89" t="str">
        <f t="shared" si="30"/>
        <v>ok</v>
      </c>
      <c r="DR55" s="89" t="str">
        <f t="shared" si="30"/>
        <v>ok</v>
      </c>
      <c r="DS55" s="89" t="str">
        <f t="shared" si="30"/>
        <v>ok</v>
      </c>
      <c r="DT55" s="89" t="str">
        <f t="shared" si="30"/>
        <v>ok</v>
      </c>
      <c r="DU55" s="89" t="str">
        <f t="shared" si="30"/>
        <v>ok</v>
      </c>
      <c r="DV55" s="89" t="str">
        <f t="shared" si="30"/>
        <v>ok</v>
      </c>
      <c r="DW55" s="89" t="str">
        <f t="shared" si="30"/>
        <v>ok</v>
      </c>
      <c r="DX55" s="89" t="str">
        <f t="shared" si="30"/>
        <v>ok</v>
      </c>
      <c r="DY55" s="89" t="str">
        <f t="shared" si="30"/>
        <v>ok</v>
      </c>
      <c r="DZ55" s="89" t="str">
        <f t="shared" si="30"/>
        <v>ok</v>
      </c>
      <c r="EA55" s="89" t="str">
        <f t="shared" ref="EA55:FF55" si="31">IF(SUM(EA38:EA47)=EA48,"ok","エラー")</f>
        <v>ok</v>
      </c>
      <c r="EB55" s="89" t="str">
        <f t="shared" si="31"/>
        <v>ok</v>
      </c>
      <c r="EC55" s="89" t="str">
        <f t="shared" si="31"/>
        <v>ok</v>
      </c>
      <c r="ED55" s="89" t="str">
        <f t="shared" si="31"/>
        <v>ok</v>
      </c>
      <c r="EE55" s="89" t="str">
        <f t="shared" si="31"/>
        <v>ok</v>
      </c>
      <c r="EF55" s="89" t="str">
        <f t="shared" si="31"/>
        <v>ok</v>
      </c>
      <c r="EG55" s="89" t="str">
        <f t="shared" si="31"/>
        <v>ok</v>
      </c>
      <c r="EH55" s="89" t="str">
        <f t="shared" si="31"/>
        <v>ok</v>
      </c>
      <c r="EI55" s="89" t="str">
        <f t="shared" si="31"/>
        <v>ok</v>
      </c>
      <c r="EJ55" s="89" t="str">
        <f t="shared" si="31"/>
        <v>ok</v>
      </c>
      <c r="EK55" s="89" t="str">
        <f t="shared" si="31"/>
        <v>ok</v>
      </c>
      <c r="EL55" s="89" t="str">
        <f t="shared" si="31"/>
        <v>ok</v>
      </c>
      <c r="EM55" s="89" t="str">
        <f t="shared" si="31"/>
        <v>ok</v>
      </c>
      <c r="EN55" s="89" t="str">
        <f t="shared" si="31"/>
        <v>ok</v>
      </c>
      <c r="EO55" s="89" t="str">
        <f t="shared" si="31"/>
        <v>ok</v>
      </c>
      <c r="EP55" s="89" t="str">
        <f t="shared" si="31"/>
        <v>ok</v>
      </c>
      <c r="EQ55" s="89" t="str">
        <f t="shared" si="31"/>
        <v>ok</v>
      </c>
      <c r="ER55" s="89" t="str">
        <f t="shared" si="31"/>
        <v>ok</v>
      </c>
      <c r="ES55" s="89" t="str">
        <f t="shared" si="31"/>
        <v>ok</v>
      </c>
      <c r="ET55" s="89" t="str">
        <f t="shared" si="31"/>
        <v>ok</v>
      </c>
      <c r="EU55" s="89" t="str">
        <f t="shared" si="31"/>
        <v>ok</v>
      </c>
      <c r="EV55" s="89" t="str">
        <f t="shared" si="31"/>
        <v>ok</v>
      </c>
      <c r="EW55" s="89" t="str">
        <f t="shared" si="31"/>
        <v>ok</v>
      </c>
      <c r="EX55" s="89" t="str">
        <f t="shared" si="31"/>
        <v>ok</v>
      </c>
      <c r="EY55" s="89" t="str">
        <f t="shared" si="31"/>
        <v>ok</v>
      </c>
      <c r="EZ55" s="89" t="str">
        <f t="shared" si="31"/>
        <v>ok</v>
      </c>
      <c r="FA55" s="89" t="str">
        <f t="shared" si="31"/>
        <v>ok</v>
      </c>
      <c r="FB55" s="89" t="str">
        <f t="shared" si="31"/>
        <v>ok</v>
      </c>
      <c r="FC55" s="89" t="str">
        <f t="shared" si="31"/>
        <v>ok</v>
      </c>
      <c r="FD55" s="89" t="str">
        <f t="shared" si="31"/>
        <v>ok</v>
      </c>
      <c r="FE55" s="89" t="str">
        <f t="shared" si="31"/>
        <v>ok</v>
      </c>
      <c r="FF55" s="89" t="str">
        <f t="shared" si="31"/>
        <v>ok</v>
      </c>
      <c r="FG55" s="89" t="str">
        <f t="shared" ref="FG55:FM55" si="32">IF(SUM(FG38:FG47)=FG48,"ok","エラー")</f>
        <v>ok</v>
      </c>
      <c r="FH55" s="89" t="str">
        <f t="shared" si="32"/>
        <v>ok</v>
      </c>
      <c r="FI55" s="89" t="str">
        <f t="shared" si="32"/>
        <v>エラー</v>
      </c>
      <c r="FJ55" s="89" t="str">
        <f t="shared" si="32"/>
        <v>ok</v>
      </c>
      <c r="FK55" s="89" t="str">
        <f t="shared" si="32"/>
        <v>ok</v>
      </c>
      <c r="FL55" s="89" t="str">
        <f t="shared" si="32"/>
        <v>ok</v>
      </c>
      <c r="FM55" s="89" t="str">
        <f t="shared" si="32"/>
        <v>ok</v>
      </c>
      <c r="FW55" s="89" t="str">
        <f>IF(SUM(FW38:FW47)=FW48,"ok","エラー")</f>
        <v>ok</v>
      </c>
      <c r="FY55" s="89" t="str">
        <f t="shared" ref="FY55:GD55" si="33">IF(SUM(FY38:FY47)=FY48,"ok","エラー")</f>
        <v>ok</v>
      </c>
      <c r="FZ55" s="89" t="str">
        <f t="shared" si="33"/>
        <v>ok</v>
      </c>
      <c r="GA55" s="89" t="str">
        <f t="shared" si="33"/>
        <v>ok</v>
      </c>
      <c r="GB55" s="89" t="str">
        <f t="shared" si="33"/>
        <v>ok</v>
      </c>
      <c r="GC55" s="89" t="str">
        <f t="shared" si="33"/>
        <v>ok</v>
      </c>
      <c r="GD55" s="89" t="str">
        <f t="shared" si="33"/>
        <v>ok</v>
      </c>
      <c r="GI55" s="62" t="str">
        <f>IF(SUM(GI38:GI47)=GI48,"ok","エラー")</f>
        <v>ok</v>
      </c>
    </row>
    <row r="56" spans="2:230" x14ac:dyDescent="0.15">
      <c r="B56" s="89" t="s">
        <v>650</v>
      </c>
      <c r="C56" s="89" t="str">
        <f t="shared" ref="C56:AH56" si="34">IF(C37+C48=C49,"ok","エラー")</f>
        <v>ok</v>
      </c>
      <c r="D56" s="89" t="str">
        <f t="shared" si="34"/>
        <v>ok</v>
      </c>
      <c r="E56" s="89" t="str">
        <f t="shared" si="34"/>
        <v>ok</v>
      </c>
      <c r="F56" s="89" t="str">
        <f t="shared" si="34"/>
        <v>ok</v>
      </c>
      <c r="G56" s="89" t="str">
        <f t="shared" si="34"/>
        <v>ok</v>
      </c>
      <c r="H56" s="89" t="str">
        <f t="shared" si="34"/>
        <v>ok</v>
      </c>
      <c r="I56" s="89" t="str">
        <f t="shared" si="34"/>
        <v>ok</v>
      </c>
      <c r="J56" s="89" t="str">
        <f t="shared" si="34"/>
        <v>ok</v>
      </c>
      <c r="K56" s="89" t="str">
        <f t="shared" si="34"/>
        <v>ok</v>
      </c>
      <c r="L56" s="89" t="str">
        <f t="shared" si="34"/>
        <v>ok</v>
      </c>
      <c r="M56" s="89" t="str">
        <f t="shared" si="34"/>
        <v>ok</v>
      </c>
      <c r="N56" s="89" t="str">
        <f t="shared" si="34"/>
        <v>ok</v>
      </c>
      <c r="O56" s="89" t="str">
        <f t="shared" si="34"/>
        <v>ok</v>
      </c>
      <c r="P56" s="89" t="str">
        <f t="shared" si="34"/>
        <v>ok</v>
      </c>
      <c r="Q56" s="89" t="str">
        <f t="shared" si="34"/>
        <v>ok</v>
      </c>
      <c r="R56" s="89" t="str">
        <f t="shared" si="34"/>
        <v>ok</v>
      </c>
      <c r="S56" s="89" t="str">
        <f t="shared" si="34"/>
        <v>ok</v>
      </c>
      <c r="T56" s="89" t="str">
        <f t="shared" si="34"/>
        <v>ok</v>
      </c>
      <c r="U56" s="89" t="str">
        <f t="shared" si="34"/>
        <v>ok</v>
      </c>
      <c r="V56" s="89" t="str">
        <f t="shared" si="34"/>
        <v>ok</v>
      </c>
      <c r="W56" s="89" t="str">
        <f t="shared" si="34"/>
        <v>ok</v>
      </c>
      <c r="X56" s="89" t="str">
        <f t="shared" si="34"/>
        <v>ok</v>
      </c>
      <c r="Y56" s="89" t="str">
        <f t="shared" si="34"/>
        <v>ok</v>
      </c>
      <c r="Z56" s="89" t="str">
        <f t="shared" si="34"/>
        <v>ok</v>
      </c>
      <c r="AA56" s="89" t="str">
        <f t="shared" si="34"/>
        <v>ok</v>
      </c>
      <c r="AB56" s="89" t="str">
        <f t="shared" si="34"/>
        <v>ok</v>
      </c>
      <c r="AC56" s="89" t="str">
        <f t="shared" si="34"/>
        <v>ok</v>
      </c>
      <c r="AD56" s="89" t="str">
        <f t="shared" si="34"/>
        <v>ok</v>
      </c>
      <c r="AE56" s="89" t="str">
        <f t="shared" si="34"/>
        <v>ok</v>
      </c>
      <c r="AF56" s="89" t="str">
        <f t="shared" si="34"/>
        <v>ok</v>
      </c>
      <c r="AG56" s="89" t="str">
        <f t="shared" si="34"/>
        <v>ok</v>
      </c>
      <c r="AH56" s="89" t="str">
        <f t="shared" si="34"/>
        <v>ok</v>
      </c>
      <c r="AI56" s="89" t="str">
        <f t="shared" ref="AI56:BN56" si="35">IF(AI37+AI48=AI49,"ok","エラー")</f>
        <v>ok</v>
      </c>
      <c r="AJ56" s="89" t="str">
        <f t="shared" si="35"/>
        <v>ok</v>
      </c>
      <c r="AK56" s="89" t="str">
        <f t="shared" si="35"/>
        <v>ok</v>
      </c>
      <c r="AL56" s="89" t="str">
        <f t="shared" si="35"/>
        <v>ok</v>
      </c>
      <c r="AM56" s="89" t="str">
        <f t="shared" si="35"/>
        <v>ok</v>
      </c>
      <c r="AN56" s="89" t="str">
        <f t="shared" si="35"/>
        <v>ok</v>
      </c>
      <c r="AO56" s="89" t="str">
        <f t="shared" si="35"/>
        <v>ok</v>
      </c>
      <c r="AP56" s="89" t="str">
        <f t="shared" si="35"/>
        <v>ok</v>
      </c>
      <c r="AQ56" s="89" t="str">
        <f t="shared" si="35"/>
        <v>ok</v>
      </c>
      <c r="AR56" s="89" t="str">
        <f t="shared" si="35"/>
        <v>ok</v>
      </c>
      <c r="AS56" s="89" t="str">
        <f t="shared" si="35"/>
        <v>ok</v>
      </c>
      <c r="AT56" s="89" t="str">
        <f t="shared" si="35"/>
        <v>ok</v>
      </c>
      <c r="AU56" s="89" t="str">
        <f t="shared" si="35"/>
        <v>ok</v>
      </c>
      <c r="AV56" s="89" t="str">
        <f t="shared" si="35"/>
        <v>ok</v>
      </c>
      <c r="AW56" s="89" t="str">
        <f t="shared" si="35"/>
        <v>ok</v>
      </c>
      <c r="AX56" s="89" t="str">
        <f t="shared" si="35"/>
        <v>ok</v>
      </c>
      <c r="AY56" s="89" t="str">
        <f t="shared" si="35"/>
        <v>ok</v>
      </c>
      <c r="AZ56" s="89" t="str">
        <f t="shared" si="35"/>
        <v>ok</v>
      </c>
      <c r="BA56" s="89" t="str">
        <f t="shared" si="35"/>
        <v>ok</v>
      </c>
      <c r="BB56" s="89" t="str">
        <f t="shared" si="35"/>
        <v>ok</v>
      </c>
      <c r="BC56" s="89" t="str">
        <f t="shared" si="35"/>
        <v>ok</v>
      </c>
      <c r="BD56" s="89" t="str">
        <f t="shared" si="35"/>
        <v>ok</v>
      </c>
      <c r="BE56" s="89" t="str">
        <f t="shared" si="35"/>
        <v>ok</v>
      </c>
      <c r="BF56" s="89" t="str">
        <f t="shared" si="35"/>
        <v>ok</v>
      </c>
      <c r="BG56" s="89" t="str">
        <f t="shared" si="35"/>
        <v>ok</v>
      </c>
      <c r="BH56" s="89" t="str">
        <f t="shared" si="35"/>
        <v>ok</v>
      </c>
      <c r="BI56" s="89" t="str">
        <f t="shared" si="35"/>
        <v>ok</v>
      </c>
      <c r="BJ56" s="89" t="str">
        <f t="shared" si="35"/>
        <v>ok</v>
      </c>
      <c r="BK56" s="89" t="str">
        <f t="shared" si="35"/>
        <v>ok</v>
      </c>
      <c r="BL56" s="89" t="str">
        <f t="shared" si="35"/>
        <v>ok</v>
      </c>
      <c r="BM56" s="89" t="str">
        <f t="shared" si="35"/>
        <v>ok</v>
      </c>
      <c r="BN56" s="89" t="str">
        <f t="shared" si="35"/>
        <v>ok</v>
      </c>
      <c r="BO56" s="89" t="str">
        <f t="shared" ref="BO56:CT56" si="36">IF(BO37+BO48=BO49,"ok","エラー")</f>
        <v>ok</v>
      </c>
      <c r="BP56" s="89" t="str">
        <f t="shared" si="36"/>
        <v>ok</v>
      </c>
      <c r="BQ56" s="89" t="str">
        <f t="shared" si="36"/>
        <v>ok</v>
      </c>
      <c r="BR56" s="89" t="str">
        <f t="shared" si="36"/>
        <v>ok</v>
      </c>
      <c r="BS56" s="89" t="str">
        <f t="shared" si="36"/>
        <v>ok</v>
      </c>
      <c r="BT56" s="89" t="str">
        <f t="shared" si="36"/>
        <v>ok</v>
      </c>
      <c r="BU56" s="89" t="str">
        <f t="shared" si="36"/>
        <v>ok</v>
      </c>
      <c r="BV56" s="89" t="str">
        <f t="shared" si="36"/>
        <v>ok</v>
      </c>
      <c r="BW56" s="89" t="str">
        <f t="shared" si="36"/>
        <v>ok</v>
      </c>
      <c r="BX56" s="89" t="str">
        <f t="shared" si="36"/>
        <v>ok</v>
      </c>
      <c r="BY56" s="89" t="str">
        <f t="shared" si="36"/>
        <v>ok</v>
      </c>
      <c r="BZ56" s="89" t="str">
        <f t="shared" si="36"/>
        <v>ok</v>
      </c>
      <c r="CA56" s="89" t="str">
        <f t="shared" si="36"/>
        <v>ok</v>
      </c>
      <c r="CB56" s="89" t="str">
        <f t="shared" si="36"/>
        <v>ok</v>
      </c>
      <c r="CC56" s="89" t="str">
        <f t="shared" si="36"/>
        <v>ok</v>
      </c>
      <c r="CD56" s="89" t="str">
        <f t="shared" si="36"/>
        <v>ok</v>
      </c>
      <c r="CE56" s="89" t="str">
        <f t="shared" si="36"/>
        <v>ok</v>
      </c>
      <c r="CF56" s="89" t="str">
        <f t="shared" si="36"/>
        <v>ok</v>
      </c>
      <c r="CG56" s="89" t="str">
        <f t="shared" si="36"/>
        <v>ok</v>
      </c>
      <c r="CH56" s="89" t="str">
        <f t="shared" si="36"/>
        <v>ok</v>
      </c>
      <c r="CI56" s="89" t="e">
        <f t="shared" si="36"/>
        <v>#VALUE!</v>
      </c>
      <c r="CJ56" s="89" t="e">
        <f t="shared" si="36"/>
        <v>#VALUE!</v>
      </c>
      <c r="CK56" s="89" t="str">
        <f t="shared" si="36"/>
        <v>ok</v>
      </c>
      <c r="CL56" s="89" t="str">
        <f t="shared" si="36"/>
        <v>ok</v>
      </c>
      <c r="CM56" s="89" t="str">
        <f t="shared" si="36"/>
        <v>ok</v>
      </c>
      <c r="CN56" s="89" t="str">
        <f t="shared" si="36"/>
        <v>ok</v>
      </c>
      <c r="CO56" s="89" t="str">
        <f t="shared" si="36"/>
        <v>ok</v>
      </c>
      <c r="CP56" s="89" t="str">
        <f t="shared" si="36"/>
        <v>ok</v>
      </c>
      <c r="CQ56" s="89" t="str">
        <f t="shared" si="36"/>
        <v>ok</v>
      </c>
      <c r="CR56" s="89" t="str">
        <f t="shared" si="36"/>
        <v>ok</v>
      </c>
      <c r="CS56" s="89" t="str">
        <f t="shared" si="36"/>
        <v>ok</v>
      </c>
      <c r="CT56" s="89" t="str">
        <f t="shared" si="36"/>
        <v>ok</v>
      </c>
      <c r="CU56" s="89" t="str">
        <f t="shared" ref="CU56:DZ56" si="37">IF(CU37+CU48=CU49,"ok","エラー")</f>
        <v>ok</v>
      </c>
      <c r="CV56" s="89" t="str">
        <f t="shared" si="37"/>
        <v>ok</v>
      </c>
      <c r="CW56" s="89" t="str">
        <f t="shared" si="37"/>
        <v>ok</v>
      </c>
      <c r="CX56" s="89" t="str">
        <f t="shared" si="37"/>
        <v>ok</v>
      </c>
      <c r="CY56" s="89" t="str">
        <f t="shared" si="37"/>
        <v>ok</v>
      </c>
      <c r="CZ56" s="89" t="str">
        <f t="shared" si="37"/>
        <v>ok</v>
      </c>
      <c r="DA56" s="89" t="str">
        <f t="shared" si="37"/>
        <v>ok</v>
      </c>
      <c r="DB56" s="89" t="str">
        <f t="shared" si="37"/>
        <v>ok</v>
      </c>
      <c r="DC56" s="89" t="str">
        <f t="shared" si="37"/>
        <v>ok</v>
      </c>
      <c r="DD56" s="89" t="str">
        <f t="shared" si="37"/>
        <v>ok</v>
      </c>
      <c r="DE56" s="89" t="str">
        <f t="shared" si="37"/>
        <v>ok</v>
      </c>
      <c r="DF56" s="89" t="str">
        <f t="shared" si="37"/>
        <v>ok</v>
      </c>
      <c r="DG56" s="89" t="str">
        <f t="shared" si="37"/>
        <v>ok</v>
      </c>
      <c r="DH56" s="89" t="str">
        <f t="shared" si="37"/>
        <v>ok</v>
      </c>
      <c r="DI56" s="89" t="str">
        <f t="shared" si="37"/>
        <v>ok</v>
      </c>
      <c r="DJ56" s="89" t="str">
        <f t="shared" si="37"/>
        <v>ok</v>
      </c>
      <c r="DK56" s="89" t="str">
        <f t="shared" si="37"/>
        <v>ok</v>
      </c>
      <c r="DL56" s="89" t="str">
        <f t="shared" si="37"/>
        <v>ok</v>
      </c>
      <c r="DM56" s="89" t="str">
        <f t="shared" si="37"/>
        <v>ok</v>
      </c>
      <c r="DN56" s="89" t="str">
        <f t="shared" si="37"/>
        <v>ok</v>
      </c>
      <c r="DO56" s="89" t="str">
        <f t="shared" si="37"/>
        <v>ok</v>
      </c>
      <c r="DP56" s="89" t="str">
        <f t="shared" si="37"/>
        <v>ok</v>
      </c>
      <c r="DQ56" s="89" t="str">
        <f t="shared" si="37"/>
        <v>ok</v>
      </c>
      <c r="DR56" s="89" t="str">
        <f t="shared" si="37"/>
        <v>ok</v>
      </c>
      <c r="DS56" s="89" t="str">
        <f t="shared" si="37"/>
        <v>ok</v>
      </c>
      <c r="DT56" s="89" t="str">
        <f t="shared" si="37"/>
        <v>ok</v>
      </c>
      <c r="DU56" s="89" t="str">
        <f t="shared" si="37"/>
        <v>ok</v>
      </c>
      <c r="DV56" s="89" t="str">
        <f t="shared" si="37"/>
        <v>ok</v>
      </c>
      <c r="DW56" s="89" t="str">
        <f t="shared" si="37"/>
        <v>ok</v>
      </c>
      <c r="DX56" s="89" t="str">
        <f t="shared" si="37"/>
        <v>ok</v>
      </c>
      <c r="DY56" s="89" t="str">
        <f t="shared" si="37"/>
        <v>ok</v>
      </c>
      <c r="DZ56" s="89" t="str">
        <f t="shared" si="37"/>
        <v>ok</v>
      </c>
      <c r="EA56" s="89" t="str">
        <f t="shared" ref="EA56:FF56" si="38">IF(EA37+EA48=EA49,"ok","エラー")</f>
        <v>ok</v>
      </c>
      <c r="EB56" s="89" t="str">
        <f t="shared" si="38"/>
        <v>ok</v>
      </c>
      <c r="EC56" s="89" t="str">
        <f t="shared" si="38"/>
        <v>ok</v>
      </c>
      <c r="ED56" s="89" t="str">
        <f t="shared" si="38"/>
        <v>ok</v>
      </c>
      <c r="EE56" s="89" t="str">
        <f t="shared" si="38"/>
        <v>ok</v>
      </c>
      <c r="EF56" s="89" t="str">
        <f t="shared" si="38"/>
        <v>ok</v>
      </c>
      <c r="EG56" s="89" t="str">
        <f t="shared" si="38"/>
        <v>ok</v>
      </c>
      <c r="EH56" s="89" t="str">
        <f t="shared" si="38"/>
        <v>ok</v>
      </c>
      <c r="EI56" s="89" t="str">
        <f t="shared" si="38"/>
        <v>ok</v>
      </c>
      <c r="EJ56" s="89" t="str">
        <f t="shared" si="38"/>
        <v>ok</v>
      </c>
      <c r="EK56" s="89" t="str">
        <f t="shared" si="38"/>
        <v>ok</v>
      </c>
      <c r="EL56" s="89" t="str">
        <f t="shared" si="38"/>
        <v>ok</v>
      </c>
      <c r="EM56" s="89" t="str">
        <f t="shared" si="38"/>
        <v>ok</v>
      </c>
      <c r="EN56" s="89" t="str">
        <f t="shared" si="38"/>
        <v>ok</v>
      </c>
      <c r="EO56" s="89" t="str">
        <f t="shared" si="38"/>
        <v>ok</v>
      </c>
      <c r="EP56" s="89" t="str">
        <f t="shared" si="38"/>
        <v>ok</v>
      </c>
      <c r="EQ56" s="89" t="str">
        <f t="shared" si="38"/>
        <v>ok</v>
      </c>
      <c r="ER56" s="89" t="str">
        <f t="shared" si="38"/>
        <v>ok</v>
      </c>
      <c r="ES56" s="89" t="str">
        <f t="shared" si="38"/>
        <v>ok</v>
      </c>
      <c r="ET56" s="89" t="str">
        <f t="shared" si="38"/>
        <v>ok</v>
      </c>
      <c r="EU56" s="89" t="str">
        <f t="shared" si="38"/>
        <v>ok</v>
      </c>
      <c r="EV56" s="89" t="str">
        <f t="shared" si="38"/>
        <v>ok</v>
      </c>
      <c r="EW56" s="89" t="str">
        <f t="shared" si="38"/>
        <v>ok</v>
      </c>
      <c r="EX56" s="89" t="str">
        <f t="shared" si="38"/>
        <v>ok</v>
      </c>
      <c r="EY56" s="89" t="str">
        <f t="shared" si="38"/>
        <v>ok</v>
      </c>
      <c r="EZ56" s="89" t="str">
        <f t="shared" si="38"/>
        <v>ok</v>
      </c>
      <c r="FA56" s="89" t="str">
        <f t="shared" si="38"/>
        <v>ok</v>
      </c>
      <c r="FB56" s="89" t="str">
        <f t="shared" si="38"/>
        <v>ok</v>
      </c>
      <c r="FC56" s="89" t="str">
        <f t="shared" si="38"/>
        <v>ok</v>
      </c>
      <c r="FD56" s="89" t="str">
        <f t="shared" si="38"/>
        <v>ok</v>
      </c>
      <c r="FE56" s="89" t="str">
        <f t="shared" si="38"/>
        <v>ok</v>
      </c>
      <c r="FF56" s="89" t="str">
        <f t="shared" si="38"/>
        <v>ok</v>
      </c>
      <c r="FG56" s="89" t="str">
        <f t="shared" ref="FG56:FM56" si="39">IF(FG37+FG48=FG49,"ok","エラー")</f>
        <v>ok</v>
      </c>
      <c r="FH56" s="89" t="str">
        <f t="shared" si="39"/>
        <v>ok</v>
      </c>
      <c r="FI56" s="89" t="str">
        <f t="shared" si="39"/>
        <v>エラー</v>
      </c>
      <c r="FJ56" s="89" t="str">
        <f t="shared" si="39"/>
        <v>ok</v>
      </c>
      <c r="FK56" s="89" t="str">
        <f t="shared" si="39"/>
        <v>ok</v>
      </c>
      <c r="FL56" s="89" t="str">
        <f t="shared" si="39"/>
        <v>ok</v>
      </c>
      <c r="FM56" s="89" t="str">
        <f t="shared" si="39"/>
        <v>ok</v>
      </c>
      <c r="FW56" s="89" t="str">
        <f>IF(FW37+FW48=FW49,"ok","エラー")</f>
        <v>ok</v>
      </c>
      <c r="FY56" s="89" t="str">
        <f t="shared" ref="FY56:GD56" si="40">IF(FY37+FY48=FY49,"ok","エラー")</f>
        <v>ok</v>
      </c>
      <c r="FZ56" s="89" t="str">
        <f t="shared" si="40"/>
        <v>ok</v>
      </c>
      <c r="GA56" s="89" t="str">
        <f t="shared" si="40"/>
        <v>ok</v>
      </c>
      <c r="GB56" s="89" t="str">
        <f t="shared" si="40"/>
        <v>ok</v>
      </c>
      <c r="GC56" s="89" t="str">
        <f t="shared" si="40"/>
        <v>ok</v>
      </c>
      <c r="GD56" s="89" t="str">
        <f t="shared" si="40"/>
        <v>ok</v>
      </c>
      <c r="GI56" s="62" t="str">
        <f>IF(GI37+GI48=GI49,"ok","エラー")</f>
        <v>ok</v>
      </c>
    </row>
  </sheetData>
  <mergeCells count="1">
    <mergeCell ref="FO2:FU2"/>
  </mergeCells>
  <phoneticPr fontId="3"/>
  <pageMargins left="0.59055118110236227" right="0.59055118110236227" top="0.98425196850393704" bottom="0.98425196850393704" header="0.51181102362204722" footer="0.51181102362204722"/>
  <pageSetup paperSize="9" fitToWidth="0"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FFC000"/>
    <pageSetUpPr autoPageBreaks="0"/>
  </sheetPr>
  <dimension ref="B1:AN187"/>
  <sheetViews>
    <sheetView showGridLines="0" tabSelected="1" view="pageBreakPreview" zoomScale="80" zoomScaleNormal="100" zoomScaleSheetLayoutView="80" workbookViewId="0">
      <pane xSplit="4" ySplit="5" topLeftCell="E6" activePane="bottomRight" state="frozen"/>
      <selection activeCell="H11" sqref="H11"/>
      <selection pane="topRight" activeCell="H11" sqref="H11"/>
      <selection pane="bottomLeft" activeCell="H11" sqref="H11"/>
      <selection pane="bottomRight"/>
    </sheetView>
  </sheetViews>
  <sheetFormatPr defaultColWidth="9.109375" defaultRowHeight="12" x14ac:dyDescent="0.15"/>
  <cols>
    <col min="1" max="1" width="3.6640625" style="62" customWidth="1"/>
    <col min="2" max="3" width="2.6640625" style="62" customWidth="1"/>
    <col min="4" max="4" width="18" style="62" bestFit="1" customWidth="1"/>
    <col min="5" max="39" width="10.88671875" style="62" customWidth="1"/>
    <col min="40" max="40" width="10.21875" style="62" customWidth="1"/>
    <col min="41" max="41" width="9.109375" style="62" customWidth="1"/>
    <col min="42" max="16384" width="9.109375" style="62"/>
  </cols>
  <sheetData>
    <row r="1" spans="2:40" s="35" customFormat="1" ht="12.6" customHeight="1" thickBot="1" x14ac:dyDescent="0.2"/>
    <row r="2" spans="2:40" ht="15" customHeight="1" thickBot="1" x14ac:dyDescent="0.2">
      <c r="B2" s="9" t="s">
        <v>94</v>
      </c>
      <c r="G2" s="164" t="s">
        <v>95</v>
      </c>
      <c r="H2" s="473" t="s">
        <v>0</v>
      </c>
      <c r="I2" s="474"/>
      <c r="J2" s="482" t="s">
        <v>96</v>
      </c>
      <c r="K2" s="483"/>
      <c r="L2" s="483"/>
      <c r="M2" s="483"/>
      <c r="N2" s="483"/>
      <c r="O2" s="483"/>
    </row>
    <row r="3" spans="2:40" x14ac:dyDescent="0.15">
      <c r="H3" s="31"/>
      <c r="J3" s="89" t="s">
        <v>97</v>
      </c>
      <c r="K3" s="130"/>
      <c r="L3" s="130"/>
      <c r="M3" s="130"/>
      <c r="N3" s="130"/>
      <c r="O3" s="130"/>
    </row>
    <row r="4" spans="2:40" ht="15.9" customHeight="1" x14ac:dyDescent="0.15">
      <c r="B4" s="2" t="s">
        <v>98</v>
      </c>
      <c r="U4" s="1"/>
      <c r="V4" s="1"/>
      <c r="W4" s="1"/>
      <c r="X4" s="1"/>
      <c r="Y4" s="1"/>
      <c r="Z4" s="89"/>
      <c r="AA4" s="58"/>
      <c r="AB4" s="58"/>
      <c r="AC4" s="58"/>
      <c r="AE4" s="58"/>
      <c r="AG4" s="58"/>
      <c r="AH4" s="58"/>
      <c r="AI4" s="58"/>
      <c r="AJ4" s="58"/>
      <c r="AK4" s="58"/>
      <c r="AL4" s="58" t="s">
        <v>99</v>
      </c>
    </row>
    <row r="5" spans="2:40" ht="15.9" customHeight="1" thickBot="1" x14ac:dyDescent="0.2">
      <c r="B5" s="489" t="s">
        <v>100</v>
      </c>
      <c r="C5" s="490"/>
      <c r="D5" s="481"/>
      <c r="E5" s="161" t="s">
        <v>101</v>
      </c>
      <c r="F5" s="161" t="s">
        <v>102</v>
      </c>
      <c r="G5" s="161" t="s">
        <v>103</v>
      </c>
      <c r="H5" s="161" t="s">
        <v>104</v>
      </c>
      <c r="I5" s="161" t="s">
        <v>105</v>
      </c>
      <c r="J5" s="161" t="s">
        <v>106</v>
      </c>
      <c r="K5" s="161" t="s">
        <v>107</v>
      </c>
      <c r="L5" s="161" t="s">
        <v>108</v>
      </c>
      <c r="M5" s="161" t="s">
        <v>109</v>
      </c>
      <c r="N5" s="161" t="s">
        <v>110</v>
      </c>
      <c r="O5" s="161" t="s">
        <v>111</v>
      </c>
      <c r="P5" s="161" t="s">
        <v>112</v>
      </c>
      <c r="Q5" s="161" t="s">
        <v>113</v>
      </c>
      <c r="R5" s="161" t="s">
        <v>114</v>
      </c>
      <c r="S5" s="161" t="s">
        <v>115</v>
      </c>
      <c r="T5" s="161" t="s">
        <v>116</v>
      </c>
      <c r="U5" s="161" t="s">
        <v>117</v>
      </c>
      <c r="V5" s="161" t="s">
        <v>118</v>
      </c>
      <c r="W5" s="161" t="s">
        <v>119</v>
      </c>
      <c r="X5" s="63" t="s">
        <v>120</v>
      </c>
      <c r="Y5" s="64" t="s">
        <v>121</v>
      </c>
      <c r="Z5" s="64" t="s">
        <v>122</v>
      </c>
      <c r="AA5" s="64" t="s">
        <v>123</v>
      </c>
      <c r="AB5" s="64" t="s">
        <v>124</v>
      </c>
      <c r="AC5" s="64" t="s">
        <v>125</v>
      </c>
      <c r="AD5" s="64" t="s">
        <v>126</v>
      </c>
      <c r="AE5" s="64" t="s">
        <v>127</v>
      </c>
      <c r="AF5" s="64" t="s">
        <v>128</v>
      </c>
      <c r="AG5" s="103" t="s">
        <v>129</v>
      </c>
      <c r="AH5" s="103" t="s">
        <v>130</v>
      </c>
      <c r="AI5" s="103" t="s">
        <v>131</v>
      </c>
      <c r="AJ5" s="103" t="s">
        <v>132</v>
      </c>
      <c r="AK5" s="103" t="s">
        <v>133</v>
      </c>
      <c r="AL5" s="154" t="s">
        <v>134</v>
      </c>
      <c r="AM5" s="64" t="s">
        <v>135</v>
      </c>
      <c r="AN5" s="64" t="s">
        <v>136</v>
      </c>
    </row>
    <row r="6" spans="2:40" ht="15.9" customHeight="1" x14ac:dyDescent="0.15">
      <c r="B6" s="475" t="s">
        <v>137</v>
      </c>
      <c r="C6" s="476"/>
      <c r="D6" s="477"/>
      <c r="E6" s="175" t="str">
        <f>IFERROR(ROUND(VLOOKUP($H$2,'1年度'!$B$6:$GI$50,2,0)/1000,0),"-")</f>
        <v>-</v>
      </c>
      <c r="F6" s="175" t="str">
        <f>IFERROR(ROUND(VLOOKUP($H$2,'2年度'!$B$6:$GI$50,2,0)/1000,0),"-")</f>
        <v>-</v>
      </c>
      <c r="G6" s="175" t="str">
        <f>IFERROR(ROUND(VLOOKUP($H$2,'3年度'!$B$6:$GI$50,2,0)/1000,0),"-")</f>
        <v>-</v>
      </c>
      <c r="H6" s="175" t="str">
        <f>IFERROR(ROUND(VLOOKUP($H$2,'4年度'!$B$6:$GI$50,2,0)/1000,0),"-")</f>
        <v>-</v>
      </c>
      <c r="I6" s="175" t="str">
        <f>IFERROR(ROUND(VLOOKUP($H$2,'5年度'!$B$6:$GI$50,2,0)/1000,0),"-")</f>
        <v>-</v>
      </c>
      <c r="J6" s="175" t="str">
        <f>IFERROR(ROUND(VLOOKUP($H$2,'6年度'!$B$6:$GI$50,2,0)/1000,0),"-")</f>
        <v>-</v>
      </c>
      <c r="K6" s="175" t="str">
        <f>IFERROR(ROUND(VLOOKUP($H$2,'7年度'!$B$6:$GI$50,2,0)/1000,0),"-")</f>
        <v>-</v>
      </c>
      <c r="L6" s="175" t="str">
        <f>IFERROR(ROUND(VLOOKUP($H$2,'8年度'!$B$6:$GI$50,2,0)/1000,0),"-")</f>
        <v>-</v>
      </c>
      <c r="M6" s="175" t="str">
        <f>IFERROR(ROUND(VLOOKUP($H$2,'9年度'!$B$6:$GI$50,2,0)/1000,0),"-")</f>
        <v>-</v>
      </c>
      <c r="N6" s="175" t="str">
        <f>IFERROR(ROUND(VLOOKUP($H$2,'10年度'!$B$6:$GI$50,2,0)/1000,0),"-")</f>
        <v>-</v>
      </c>
      <c r="O6" s="175" t="str">
        <f>IFERROR(ROUND(VLOOKUP($H$2,'11年度'!$B$6:$GI$50,2,0)/1000,0),"-")</f>
        <v>-</v>
      </c>
      <c r="P6" s="175" t="str">
        <f>IFERROR(ROUND(VLOOKUP($H$2,'12年度'!$B$6:$GI$50,2,0)/1000,0),"-")</f>
        <v>-</v>
      </c>
      <c r="Q6" s="175" t="str">
        <f>IFERROR(ROUND(VLOOKUP($H$2,'13年度'!$B$6:$GI$50,2,0)/1000,0),"-")</f>
        <v>-</v>
      </c>
      <c r="R6" s="175" t="str">
        <f>IFERROR(ROUND(VLOOKUP($H$2,'14年度'!$B$6:$GI$50,2,0)/1000,0),"-")</f>
        <v>-</v>
      </c>
      <c r="S6" s="175" t="str">
        <f>IFERROR(ROUND(VLOOKUP($H$2,'15年度'!$B$6:$GI$50,2,0)/1000,0),"-")</f>
        <v>-</v>
      </c>
      <c r="T6" s="175" t="str">
        <f>IFERROR(ROUND(VLOOKUP($H$2,'16年度'!$B$6:$GI$50,2,0)/1000,0),"-")</f>
        <v>-</v>
      </c>
      <c r="U6" s="175" t="str">
        <f>IFERROR(ROUND(VLOOKUP($H$2,'17年度'!$B$6:$GI$50,2,0)/1000,0),"-")</f>
        <v>-</v>
      </c>
      <c r="V6" s="175" t="str">
        <f>IFERROR(ROUND(VLOOKUP($H$2,'18年度'!$B$6:$GI$50,2,0)/1000,0),"-")</f>
        <v>-</v>
      </c>
      <c r="W6" s="175" t="str">
        <f>IFERROR(ROUND(VLOOKUP($H$2,'19年度'!$B$6:$GI$50,2,0)/1000,0),"-")</f>
        <v>-</v>
      </c>
      <c r="X6" s="176" t="str">
        <f>IFERROR(ROUND(VLOOKUP($H$2,'20年度'!$B$6:$GI$50,2,0)/1000,0),"-")</f>
        <v>-</v>
      </c>
      <c r="Y6" s="176" t="str">
        <f>IFERROR(ROUND(VLOOKUP($H$2,'21年度'!$B$6:$GI$50,2,0)/1000,0),"-")</f>
        <v>-</v>
      </c>
      <c r="Z6" s="176" t="str">
        <f>IFERROR(ROUND(VLOOKUP($H$2,'22年度'!$B$6:$GI$50,2,0)/1000,0),"-")</f>
        <v>-</v>
      </c>
      <c r="AA6" s="176">
        <f>IFERROR(ROUND(VLOOKUP($H$2,'23年度'!$B$6:$GI$52,2,0)/1000,0),"-")</f>
        <v>1529430</v>
      </c>
      <c r="AB6" s="175">
        <f>IFERROR(ROUND(VLOOKUP($H$2,'24年度'!$B$6:$GI$52,2,0)/1000,0),"-")</f>
        <v>1512537</v>
      </c>
      <c r="AC6" s="177">
        <f>IFERROR(ROUND(VLOOKUP($H$2,'25年度'!$B$6:$GI$52,2,0)/1000,0),"-")</f>
        <v>1535098</v>
      </c>
      <c r="AD6" s="175">
        <f>IFERROR(ROUND(VLOOKUP($H$2,'26年度'!$B$6:$GI$52,2,0)/1000,0),"-")</f>
        <v>1560340</v>
      </c>
      <c r="AE6" s="175">
        <f>IFERROR(ROUND(VLOOKUP($H$2,'27年度'!$B$6:$GI$52,2,0)/1000,0),"-")</f>
        <v>1560426</v>
      </c>
      <c r="AF6" s="175">
        <f>IFERROR(ROUND(VLOOKUP($H$2,'28年度'!$B$6:$GI$52,2,0)/1000,0),"-")</f>
        <v>1567331</v>
      </c>
      <c r="AG6" s="177">
        <f>IFERROR(ROUND(VLOOKUP($H$2,'29年度'!$B$6:$GI$52,2,0)/1000,0),"-")</f>
        <v>1588332</v>
      </c>
      <c r="AH6" s="176">
        <f>IFERROR(ROUND(VLOOKUP($H$2,'30年度'!$B$6:$GI$52,2,0)/1000,0),"-")</f>
        <v>1671039</v>
      </c>
      <c r="AI6" s="175">
        <f>IFERROR(ROUND(VLOOKUP($H$2,'R1年度'!$B$6:$GJ$52,2,0)/1000,0),"-")</f>
        <v>1726833</v>
      </c>
      <c r="AJ6" s="175">
        <f>IFERROR(ROUND(VLOOKUP($H$2,'R2年度'!$B$6:$GJ$52,2,0)/1000,0),"-")</f>
        <v>1683990</v>
      </c>
      <c r="AK6" s="177">
        <f>IFERROR(ROUND(VLOOKUP($H$2,'R3年度'!$B$6:$GJ$52,2,0)/1000,0),"-")</f>
        <v>1689449</v>
      </c>
      <c r="AL6" s="176">
        <f>IFERROR(ROUND(VLOOKUP($H$2,'R4年度'!$B$6:$GJ$52,2,0)/1000,0),"-")</f>
        <v>1748457</v>
      </c>
      <c r="AM6" s="175">
        <f>IFERROR(ROUND(VLOOKUP($H$2,'R5年度'!$B$6:$GJ$52,2,0)/1000,0),"-")</f>
        <v>1778816</v>
      </c>
      <c r="AN6" s="178">
        <f>IFERROR(ROUND(VLOOKUP($H$2,'R6年度'!$B$6:$GK$52,2,0)/1000,0),"-")</f>
        <v>1798787</v>
      </c>
    </row>
    <row r="7" spans="2:40" ht="15.9" customHeight="1" x14ac:dyDescent="0.15">
      <c r="B7" s="55"/>
      <c r="C7" s="495" t="s">
        <v>138</v>
      </c>
      <c r="D7" s="490"/>
      <c r="E7" s="179" t="str">
        <f>IFERROR(ROUND(VLOOKUP($H$2,'1年度'!$B$6:$GI$50,3,0)/1000,0),"-")</f>
        <v>-</v>
      </c>
      <c r="F7" s="179" t="str">
        <f>IFERROR(ROUND(VLOOKUP($H$2,'2年度'!$B$6:$GI$50,3,0)/1000,0),"-")</f>
        <v>-</v>
      </c>
      <c r="G7" s="179" t="str">
        <f>IFERROR(ROUND(VLOOKUP($H$2,'3年度'!$B$6:$GI$50,3,0)/1000,0),"-")</f>
        <v>-</v>
      </c>
      <c r="H7" s="179" t="str">
        <f>IFERROR(ROUND(VLOOKUP($H$2,'4年度'!$B$6:$GI$50,3,0)/1000,0),"-")</f>
        <v>-</v>
      </c>
      <c r="I7" s="179" t="str">
        <f>IFERROR(ROUND(VLOOKUP($H$2,'5年度'!$B$6:$GI$50,3,0)/1000,0),"-")</f>
        <v>-</v>
      </c>
      <c r="J7" s="179" t="str">
        <f>IFERROR(ROUND(VLOOKUP($H$2,'6年度'!$B$6:$GI$50,3,0)/1000,0),"-")</f>
        <v>-</v>
      </c>
      <c r="K7" s="179" t="str">
        <f>IFERROR(ROUND(VLOOKUP($H$2,'7年度'!$B$6:$GI$50,3,0)/1000,0),"-")</f>
        <v>-</v>
      </c>
      <c r="L7" s="179" t="str">
        <f>IFERROR(ROUND(VLOOKUP($H$2,'8年度'!$B$6:$GI$50,3,0)/1000,0),"-")</f>
        <v>-</v>
      </c>
      <c r="M7" s="179" t="str">
        <f>IFERROR(ROUND(VLOOKUP($H$2,'9年度'!$B$6:$GI$50,3,0)/1000,0),"-")</f>
        <v>-</v>
      </c>
      <c r="N7" s="179" t="str">
        <f>IFERROR(ROUND(VLOOKUP($H$2,'10年度'!$B$6:$GI$50,3,0)/1000,0),"-")</f>
        <v>-</v>
      </c>
      <c r="O7" s="179" t="str">
        <f>IFERROR(ROUND(VLOOKUP($H$2,'11年度'!$B$6:$GI$50,3,0)/1000,0),"-")</f>
        <v>-</v>
      </c>
      <c r="P7" s="179" t="str">
        <f>IFERROR(ROUND(VLOOKUP($H$2,'12年度'!$B$6:$GI$50,3,0)/1000,0),"-")</f>
        <v>-</v>
      </c>
      <c r="Q7" s="179" t="str">
        <f>IFERROR(ROUND(VLOOKUP($H$2,'13年度'!$B$6:$GI$50,3,0)/1000,0),"-")</f>
        <v>-</v>
      </c>
      <c r="R7" s="179" t="str">
        <f>IFERROR(ROUND(VLOOKUP($H$2,'14年度'!$B$6:$GI$50,3,0)/1000,0),"-")</f>
        <v>-</v>
      </c>
      <c r="S7" s="179" t="str">
        <f>IFERROR(ROUND(VLOOKUP($H$2,'15年度'!$B$6:$GI$50,3,0)/1000,0),"-")</f>
        <v>-</v>
      </c>
      <c r="T7" s="179" t="str">
        <f>IFERROR(ROUND(VLOOKUP($H$2,'16年度'!$B$6:$GI$50,3,0)/1000,0),"-")</f>
        <v>-</v>
      </c>
      <c r="U7" s="179" t="str">
        <f>IFERROR(ROUND(VLOOKUP($H$2,'17年度'!$B$6:$GI$50,3,0)/1000,0),"-")</f>
        <v>-</v>
      </c>
      <c r="V7" s="179" t="str">
        <f>IFERROR(ROUND(VLOOKUP($H$2,'18年度'!$B$6:$GI$50,3,0)/1000,0),"-")</f>
        <v>-</v>
      </c>
      <c r="W7" s="180" t="str">
        <f>IFERROR(ROUND(VLOOKUP($H$2,'19年度'!$B$6:$GI$50,3,0)/1000,0),"-")</f>
        <v>-</v>
      </c>
      <c r="X7" s="181" t="str">
        <f>IFERROR(ROUND(VLOOKUP($H$2,'20年度'!$B$6:$GI$50,3,0)/1000,0),"-")</f>
        <v>-</v>
      </c>
      <c r="Y7" s="181" t="str">
        <f>IFERROR(ROUND(VLOOKUP($H$2,'21年度'!$B$6:$GI$50,3,0)/1000,0),"-")</f>
        <v>-</v>
      </c>
      <c r="Z7" s="181" t="str">
        <f>IFERROR(ROUND(VLOOKUP($H$2,'22年度'!$B$6:$GI$50,3,0)/1000,0),"-")</f>
        <v>-</v>
      </c>
      <c r="AA7" s="181">
        <f>IFERROR(ROUND(VLOOKUP($H$2,'23年度'!$B$6:$GI$52,3,0)/1000,0),"-")</f>
        <v>441978</v>
      </c>
      <c r="AB7" s="180">
        <f>IFERROR(ROUND(VLOOKUP($H$2,'24年度'!$B$6:$GI$52,3,0)/1000,0),"-")</f>
        <v>458932</v>
      </c>
      <c r="AC7" s="182">
        <f>IFERROR(ROUND(VLOOKUP($H$2,'25年度'!$B$6:$GI$52,3,0)/1000,0),"-")</f>
        <v>461891</v>
      </c>
      <c r="AD7" s="180">
        <f>IFERROR(ROUND(VLOOKUP($H$2,'26年度'!$B$6:$GI$52,3,0)/1000,0),"-")</f>
        <v>465596</v>
      </c>
      <c r="AE7" s="180">
        <f>IFERROR(ROUND(VLOOKUP($H$2,'27年度'!$B$6:$GI$52,3,0)/1000,0),"-")</f>
        <v>475039</v>
      </c>
      <c r="AF7" s="180">
        <f>IFERROR(ROUND(VLOOKUP($H$2,'28年度'!$B$6:$GI$52,3,0)/1000,0),"-")</f>
        <v>483400</v>
      </c>
      <c r="AG7" s="182">
        <f>IFERROR(ROUND(VLOOKUP($H$2,'29年度'!$B$6:$GI$52,3,0)/1000,0),"-")</f>
        <v>489135</v>
      </c>
      <c r="AH7" s="181">
        <f>IFERROR(ROUND(VLOOKUP($H$2,'30年度'!$B$6:$GI$52,3,0)/1000,0),"-")</f>
        <v>555291</v>
      </c>
      <c r="AI7" s="180">
        <f>IFERROR(ROUND(VLOOKUP($H$2,'R1年度'!$B$6:$GJ$52,3,0)/1000,0),"-")</f>
        <v>576978</v>
      </c>
      <c r="AJ7" s="180">
        <f>IFERROR(ROUND(VLOOKUP($H$2,'R2年度'!$B$6:$GJ$52,3,0)/1000,0),"-")</f>
        <v>589758</v>
      </c>
      <c r="AK7" s="182">
        <f>IFERROR(ROUND(VLOOKUP($H$2,'R3年度'!$B$6:$GJ$52,3,0)/1000,0),"-")</f>
        <v>582730</v>
      </c>
      <c r="AL7" s="181">
        <f>IFERROR(ROUND(VLOOKUP($H$2,'R4年度'!$B$6:$GJ$52,3,0)/1000,0),"-")</f>
        <v>604333</v>
      </c>
      <c r="AM7" s="180">
        <f>IFERROR(ROUND(VLOOKUP($H$2,'R5年度'!$B$6:$GJ$52,3,0)/1000,0),"-")</f>
        <v>612991</v>
      </c>
      <c r="AN7" s="183">
        <f>IFERROR(ROUND(VLOOKUP($H$2,'R6年度'!$B$6:$GK$52,3,0)/1000,0),"-")</f>
        <v>589478</v>
      </c>
    </row>
    <row r="8" spans="2:40" ht="15.9" customHeight="1" x14ac:dyDescent="0.15">
      <c r="B8" s="54"/>
      <c r="C8" s="37"/>
      <c r="D8" s="12" t="s">
        <v>139</v>
      </c>
      <c r="E8" s="184" t="str">
        <f>IFERROR(ROUND(VLOOKUP($H$2,'1年度'!$B$6:$GI$50,4,0)/1000,0),"-")</f>
        <v>-</v>
      </c>
      <c r="F8" s="185" t="str">
        <f>IFERROR(ROUND(VLOOKUP($H$2,'2年度'!$B$6:$GI$50,4,0)/1000,0),"-")</f>
        <v>-</v>
      </c>
      <c r="G8" s="185" t="str">
        <f>IFERROR(ROUND(VLOOKUP($H$2,'3年度'!$B$6:$GI$50,4,0)/1000,0),"-")</f>
        <v>-</v>
      </c>
      <c r="H8" s="185" t="str">
        <f>IFERROR(ROUND(VLOOKUP($H$2,'4年度'!$B$6:$GI$50,4,0)/1000,0),"-")</f>
        <v>-</v>
      </c>
      <c r="I8" s="185" t="str">
        <f>IFERROR(ROUND(VLOOKUP($H$2,'5年度'!$B$6:$GI$50,4,0)/1000,0),"-")</f>
        <v>-</v>
      </c>
      <c r="J8" s="185" t="str">
        <f>IFERROR(ROUND(VLOOKUP($H$2,'6年度'!$B$6:$GI$50,4,0)/1000,0),"-")</f>
        <v>-</v>
      </c>
      <c r="K8" s="185" t="str">
        <f>IFERROR(ROUND(VLOOKUP($H$2,'7年度'!$B$6:$GI$50,4,0)/1000,0),"-")</f>
        <v>-</v>
      </c>
      <c r="L8" s="185" t="str">
        <f>IFERROR(ROUND(VLOOKUP($H$2,'8年度'!$B$6:$GI$50,4,0)/1000,0),"-")</f>
        <v>-</v>
      </c>
      <c r="M8" s="185" t="str">
        <f>IFERROR(ROUND(VLOOKUP($H$2,'9年度'!$B$6:$GI$50,4,0)/1000,0),"-")</f>
        <v>-</v>
      </c>
      <c r="N8" s="185" t="str">
        <f>IFERROR(ROUND(VLOOKUP($H$2,'10年度'!$B$6:$GI$50,4,0)/1000,0),"-")</f>
        <v>-</v>
      </c>
      <c r="O8" s="185" t="str">
        <f>IFERROR(ROUND(VLOOKUP($H$2,'11年度'!$B$6:$GI$50,4,0)/1000,0),"-")</f>
        <v>-</v>
      </c>
      <c r="P8" s="185" t="str">
        <f>IFERROR(ROUND(VLOOKUP($H$2,'12年度'!$B$6:$GI$50,4,0)/1000,0),"-")</f>
        <v>-</v>
      </c>
      <c r="Q8" s="185" t="str">
        <f>IFERROR(ROUND(VLOOKUP($H$2,'13年度'!$B$6:$GI$50,4,0)/1000,0),"-")</f>
        <v>-</v>
      </c>
      <c r="R8" s="185" t="str">
        <f>IFERROR(ROUND(VLOOKUP($H$2,'14年度'!$B$6:$GI$50,4,0)/1000,0),"-")</f>
        <v>-</v>
      </c>
      <c r="S8" s="185" t="str">
        <f>IFERROR(ROUND(VLOOKUP($H$2,'15年度'!$B$6:$GI$50,4,0)/1000,0),"-")</f>
        <v>-</v>
      </c>
      <c r="T8" s="185" t="str">
        <f>IFERROR(ROUND(VLOOKUP($H$2,'16年度'!$B$6:$GI$50,4,0)/1000,0),"-")</f>
        <v>-</v>
      </c>
      <c r="U8" s="185" t="str">
        <f>IFERROR(ROUND(VLOOKUP($H$2,'17年度'!$B$6:$GI$50,4,0)/1000,0),"-")</f>
        <v>-</v>
      </c>
      <c r="V8" s="185" t="str">
        <f>IFERROR(ROUND(VLOOKUP($H$2,'18年度'!$B$6:$GI$50,4,0)/1000,0),"-")</f>
        <v>-</v>
      </c>
      <c r="W8" s="185" t="str">
        <f>IFERROR(ROUND(VLOOKUP($H$2,'19年度'!$B$6:$GI$50,4,0)/1000,0),"-")</f>
        <v>-</v>
      </c>
      <c r="X8" s="186" t="str">
        <f>IFERROR(ROUND(VLOOKUP($H$2,'20年度'!$B$6:$GI$50,4,0)/1000,0),"-")</f>
        <v>-</v>
      </c>
      <c r="Y8" s="186" t="str">
        <f>IFERROR(ROUND(VLOOKUP($H$2,'21年度'!$B$6:$GI$50,4,0)/1000,0),"-")</f>
        <v>-</v>
      </c>
      <c r="Z8" s="186" t="str">
        <f>IFERROR(ROUND(VLOOKUP($H$2,'22年度'!$B$6:$GI$50,4,0)/1000,0),"-")</f>
        <v>-</v>
      </c>
      <c r="AA8" s="186">
        <f>IFERROR(ROUND(VLOOKUP($H$2,'23年度'!$B$6:$GI$52,4,0)/1000,0),"-")</f>
        <v>11488</v>
      </c>
      <c r="AB8" s="185">
        <f>IFERROR(ROUND(VLOOKUP($H$2,'24年度'!$B$6:$GI$52,4,0)/1000,0),"-")</f>
        <v>11550</v>
      </c>
      <c r="AC8" s="187">
        <f>IFERROR(ROUND(VLOOKUP($H$2,'25年度'!$B$6:$GI$52,4,0)/1000,0),"-")</f>
        <v>11408</v>
      </c>
      <c r="AD8" s="185">
        <f>IFERROR(ROUND(VLOOKUP($H$2,'26年度'!$B$6:$GI$52,4,0)/1000,0),"-")</f>
        <v>13390</v>
      </c>
      <c r="AE8" s="185">
        <f>IFERROR(ROUND(VLOOKUP($H$2,'27年度'!$B$6:$GI$52,4,0)/1000,0),"-")</f>
        <v>13596</v>
      </c>
      <c r="AF8" s="185">
        <f>IFERROR(ROUND(VLOOKUP($H$2,'28年度'!$B$6:$GI$52,4,0)/1000,0),"-")</f>
        <v>13811</v>
      </c>
      <c r="AG8" s="187">
        <f>IFERROR(ROUND(VLOOKUP($H$2,'29年度'!$B$6:$GI$52,4,0)/1000,0),"-")</f>
        <v>14038</v>
      </c>
      <c r="AH8" s="186">
        <f>IFERROR(ROUND(VLOOKUP($H$2,'30年度'!$B$6:$GI$52,4,0)/1000,0),"-")</f>
        <v>14254</v>
      </c>
      <c r="AI8" s="185">
        <f>IFERROR(ROUND(VLOOKUP($H$2,'R1年度'!$B$6:$GJ$52,4,0)/1000,0),"-")</f>
        <v>14480</v>
      </c>
      <c r="AJ8" s="185">
        <f>IFERROR(ROUND(VLOOKUP($H$2,'R2年度'!$B$6:$GJ$52,4,0)/1000,0),"-")</f>
        <v>14728</v>
      </c>
      <c r="AK8" s="187">
        <f>IFERROR(ROUND(VLOOKUP($H$2,'R3年度'!$B$6:$GJ$52,4,0)/1000,0),"-")</f>
        <v>14771</v>
      </c>
      <c r="AL8" s="186">
        <f>IFERROR(ROUND(VLOOKUP($H$2,'R4年度'!$B$6:$GJ$52,4,0)/1000,0),"-")</f>
        <v>14880</v>
      </c>
      <c r="AM8" s="185">
        <f>IFERROR(ROUND(VLOOKUP($H$2,'R5年度'!$B$6:$GJ$52,4,0)/1000,0),"-")</f>
        <v>14938</v>
      </c>
      <c r="AN8" s="188">
        <f>IFERROR(ROUND(VLOOKUP($H$2,'R6年度'!$B$6:$GK$52,4,0)/1000,0),"-")</f>
        <v>13144</v>
      </c>
    </row>
    <row r="9" spans="2:40" ht="15.9" customHeight="1" x14ac:dyDescent="0.15">
      <c r="B9" s="54"/>
      <c r="C9" s="59"/>
      <c r="D9" s="13" t="s">
        <v>140</v>
      </c>
      <c r="E9" s="189" t="str">
        <f>IFERROR(ROUND(VLOOKUP($H$2,'1年度'!$B$6:$GI$50,5,0)/1000,0),"-")</f>
        <v>-</v>
      </c>
      <c r="F9" s="189" t="str">
        <f>IFERROR(ROUND(VLOOKUP($H$2,'2年度'!$B$6:$GI$50,5,0)/1000,0),"-")</f>
        <v>-</v>
      </c>
      <c r="G9" s="189" t="str">
        <f>IFERROR(ROUND(VLOOKUP($H$2,'3年度'!$B$6:$GI$50,5,0)/1000,0),"-")</f>
        <v>-</v>
      </c>
      <c r="H9" s="189" t="str">
        <f>IFERROR(ROUND(VLOOKUP($H$2,'4年度'!$B$6:$GI$50,5,0)/1000,0),"-")</f>
        <v>-</v>
      </c>
      <c r="I9" s="189" t="str">
        <f>IFERROR(ROUND(VLOOKUP($H$2,'5年度'!$B$6:$GI$50,5,0)/1000,0),"-")</f>
        <v>-</v>
      </c>
      <c r="J9" s="189" t="str">
        <f>IFERROR(ROUND(VLOOKUP($H$2,'6年度'!$B$6:$GI$50,5,0)/1000,0),"-")</f>
        <v>-</v>
      </c>
      <c r="K9" s="189" t="str">
        <f>IFERROR(ROUND(VLOOKUP($H$2,'7年度'!$B$6:$GI$50,5,0)/1000,0),"-")</f>
        <v>-</v>
      </c>
      <c r="L9" s="189" t="str">
        <f>IFERROR(ROUND(VLOOKUP($H$2,'8年度'!$B$6:$GI$50,5,0)/1000,0),"-")</f>
        <v>-</v>
      </c>
      <c r="M9" s="189" t="str">
        <f>IFERROR(ROUND(VLOOKUP($H$2,'9年度'!$B$6:$GI$50,5,0)/1000,0),"-")</f>
        <v>-</v>
      </c>
      <c r="N9" s="189" t="str">
        <f>IFERROR(ROUND(VLOOKUP($H$2,'10年度'!$B$6:$GI$50,5,0)/1000,0),"-")</f>
        <v>-</v>
      </c>
      <c r="O9" s="189" t="str">
        <f>IFERROR(ROUND(VLOOKUP($H$2,'11年度'!$B$6:$GI$50,5,0)/1000,0),"-")</f>
        <v>-</v>
      </c>
      <c r="P9" s="189" t="str">
        <f>IFERROR(ROUND(VLOOKUP($H$2,'12年度'!$B$6:$GI$50,5,0)/1000,0),"-")</f>
        <v>-</v>
      </c>
      <c r="Q9" s="189" t="str">
        <f>IFERROR(ROUND(VLOOKUP($H$2,'13年度'!$B$6:$GI$50,5,0)/1000,0),"-")</f>
        <v>-</v>
      </c>
      <c r="R9" s="189" t="str">
        <f>IFERROR(ROUND(VLOOKUP($H$2,'14年度'!$B$6:$GI$50,5,0)/1000,0),"-")</f>
        <v>-</v>
      </c>
      <c r="S9" s="189" t="str">
        <f>IFERROR(ROUND(VLOOKUP($H$2,'15年度'!$B$6:$GI$50,5,0)/1000,0),"-")</f>
        <v>-</v>
      </c>
      <c r="T9" s="189" t="str">
        <f>IFERROR(ROUND(VLOOKUP($H$2,'16年度'!$B$6:$GI$50,5,0)/1000,0),"-")</f>
        <v>-</v>
      </c>
      <c r="U9" s="189" t="str">
        <f>IFERROR(ROUND(VLOOKUP($H$2,'17年度'!$B$6:$GI$50,5,0)/1000,0),"-")</f>
        <v>-</v>
      </c>
      <c r="V9" s="189" t="str">
        <f>IFERROR(ROUND(VLOOKUP($H$2,'18年度'!$B$6:$GI$50,5,0)/1000,0),"-")</f>
        <v>-</v>
      </c>
      <c r="W9" s="190" t="str">
        <f>IFERROR(ROUND(VLOOKUP($H$2,'19年度'!$B$6:$GI$50,5,0)/1000,0),"-")</f>
        <v>-</v>
      </c>
      <c r="X9" s="191" t="str">
        <f>IFERROR(ROUND(VLOOKUP($H$2,'20年度'!$B$6:$GI$50,5,0)/1000,0),"-")</f>
        <v>-</v>
      </c>
      <c r="Y9" s="191" t="str">
        <f>IFERROR(ROUND(VLOOKUP($H$2,'21年度'!$B$6:$GI$50,5,0)/1000,0),"-")</f>
        <v>-</v>
      </c>
      <c r="Z9" s="191" t="str">
        <f>IFERROR(ROUND(VLOOKUP($H$2,'22年度'!$B$6:$GI$50,5,0)/1000,0),"-")</f>
        <v>-</v>
      </c>
      <c r="AA9" s="191">
        <f>IFERROR(ROUND(VLOOKUP($H$2,'23年度'!$B$6:$GI$52,5,0)/1000,0),"-")</f>
        <v>430490</v>
      </c>
      <c r="AB9" s="190">
        <f>IFERROR(ROUND(VLOOKUP($H$2,'24年度'!$B$6:$GI$52,5,0)/1000,0),"-")</f>
        <v>447382</v>
      </c>
      <c r="AC9" s="192">
        <f>IFERROR(ROUND(VLOOKUP($H$2,'25年度'!$B$6:$GI$52,5,0)/1000,0),"-")</f>
        <v>450483</v>
      </c>
      <c r="AD9" s="190">
        <f>IFERROR(ROUND(VLOOKUP($H$2,'26年度'!$B$6:$GI$52,5,0)/1000,0),"-")</f>
        <v>452206</v>
      </c>
      <c r="AE9" s="190">
        <f>IFERROR(ROUND(VLOOKUP($H$2,'27年度'!$B$6:$GI$52,5,0)/1000,0),"-")</f>
        <v>461443</v>
      </c>
      <c r="AF9" s="190">
        <f>IFERROR(ROUND(VLOOKUP($H$2,'28年度'!$B$6:$GI$52,5,0)/1000,0),"-")</f>
        <v>469589</v>
      </c>
      <c r="AG9" s="192">
        <f>IFERROR(ROUND(VLOOKUP($H$2,'29年度'!$B$6:$GI$52,5,0)/1000,0),"-")</f>
        <v>475097</v>
      </c>
      <c r="AH9" s="191">
        <f>IFERROR(ROUND(VLOOKUP($H$2,'30年度'!$B$6:$GI$52,5,0)/1000,0),"-")</f>
        <v>541037</v>
      </c>
      <c r="AI9" s="190">
        <f>IFERROR(ROUND(VLOOKUP($H$2,'R1年度'!$B$6:$GJ$52,5,0)/1000,0),"-")</f>
        <v>562499</v>
      </c>
      <c r="AJ9" s="190">
        <f>IFERROR(ROUND(VLOOKUP($H$2,'R2年度'!$B$6:$GJ$52,5,0)/1000,0),"-")</f>
        <v>575030</v>
      </c>
      <c r="AK9" s="192">
        <f>IFERROR(ROUND(VLOOKUP($H$2,'R3年度'!$B$6:$GJ$52,5,0)/1000,0),"-")</f>
        <v>567959</v>
      </c>
      <c r="AL9" s="191">
        <f>IFERROR(ROUND(VLOOKUP($H$2,'R4年度'!$B$6:$GJ$52,5,0)/1000,0),"-")</f>
        <v>589453</v>
      </c>
      <c r="AM9" s="190">
        <f>IFERROR(ROUND(VLOOKUP($H$2,'R5年度'!$B$6:$GJ$52,5,0)/1000,0),"-")</f>
        <v>598053</v>
      </c>
      <c r="AN9" s="193">
        <f>IFERROR(ROUND(VLOOKUP($H$2,'R6年度'!$B$6:$GK$52,5,0)/1000,0),"-")</f>
        <v>576334</v>
      </c>
    </row>
    <row r="10" spans="2:40" ht="15.9" customHeight="1" x14ac:dyDescent="0.15">
      <c r="B10" s="54"/>
      <c r="C10" s="495" t="s">
        <v>141</v>
      </c>
      <c r="D10" s="490"/>
      <c r="E10" s="179" t="str">
        <f>IFERROR(ROUND(VLOOKUP($H$2,'1年度'!$B$6:$GI$50,6,0)/1000,0),"-")</f>
        <v>-</v>
      </c>
      <c r="F10" s="179" t="str">
        <f>IFERROR(ROUND(VLOOKUP($H$2,'2年度'!$B$6:$GI$50,6,0)/1000,0),"-")</f>
        <v>-</v>
      </c>
      <c r="G10" s="179" t="str">
        <f>IFERROR(ROUND(VLOOKUP($H$2,'3年度'!$B$6:$GI$50,6,0)/1000,0),"-")</f>
        <v>-</v>
      </c>
      <c r="H10" s="179" t="str">
        <f>IFERROR(ROUND(VLOOKUP($H$2,'4年度'!$B$6:$GI$50,6,0)/1000,0),"-")</f>
        <v>-</v>
      </c>
      <c r="I10" s="179" t="str">
        <f>IFERROR(ROUND(VLOOKUP($H$2,'5年度'!$B$6:$GI$50,6,0)/1000,0),"-")</f>
        <v>-</v>
      </c>
      <c r="J10" s="179" t="str">
        <f>IFERROR(ROUND(VLOOKUP($H$2,'6年度'!$B$6:$GI$50,6,0)/1000,0),"-")</f>
        <v>-</v>
      </c>
      <c r="K10" s="179" t="str">
        <f>IFERROR(ROUND(VLOOKUP($H$2,'7年度'!$B$6:$GI$50,6,0)/1000,0),"-")</f>
        <v>-</v>
      </c>
      <c r="L10" s="179" t="str">
        <f>IFERROR(ROUND(VLOOKUP($H$2,'8年度'!$B$6:$GI$50,6,0)/1000,0),"-")</f>
        <v>-</v>
      </c>
      <c r="M10" s="179" t="str">
        <f>IFERROR(ROUND(VLOOKUP($H$2,'9年度'!$B$6:$GI$50,6,0)/1000,0),"-")</f>
        <v>-</v>
      </c>
      <c r="N10" s="179" t="str">
        <f>IFERROR(ROUND(VLOOKUP($H$2,'10年度'!$B$6:$GI$50,6,0)/1000,0),"-")</f>
        <v>-</v>
      </c>
      <c r="O10" s="179" t="str">
        <f>IFERROR(ROUND(VLOOKUP($H$2,'11年度'!$B$6:$GI$50,6,0)/1000,0),"-")</f>
        <v>-</v>
      </c>
      <c r="P10" s="179" t="str">
        <f>IFERROR(ROUND(VLOOKUP($H$2,'12年度'!$B$6:$GI$50,6,0)/1000,0),"-")</f>
        <v>-</v>
      </c>
      <c r="Q10" s="179" t="str">
        <f>IFERROR(ROUND(VLOOKUP($H$2,'13年度'!$B$6:$GI$50,6,0)/1000,0),"-")</f>
        <v>-</v>
      </c>
      <c r="R10" s="179" t="str">
        <f>IFERROR(ROUND(VLOOKUP($H$2,'14年度'!$B$6:$GI$50,6,0)/1000,0),"-")</f>
        <v>-</v>
      </c>
      <c r="S10" s="179" t="str">
        <f>IFERROR(ROUND(VLOOKUP($H$2,'15年度'!$B$6:$GI$50,6,0)/1000,0),"-")</f>
        <v>-</v>
      </c>
      <c r="T10" s="179" t="str">
        <f>IFERROR(ROUND(VLOOKUP($H$2,'16年度'!$B$6:$GI$50,6,0)/1000,0),"-")</f>
        <v>-</v>
      </c>
      <c r="U10" s="179" t="str">
        <f>IFERROR(ROUND(VLOOKUP($H$2,'17年度'!$B$6:$GI$50,6,0)/1000,0),"-")</f>
        <v>-</v>
      </c>
      <c r="V10" s="179" t="str">
        <f>IFERROR(ROUND(VLOOKUP($H$2,'18年度'!$B$6:$GI$50,6,0)/1000,0),"-")</f>
        <v>-</v>
      </c>
      <c r="W10" s="194" t="str">
        <f>IFERROR(ROUND(VLOOKUP($H$2,'19年度'!$B$6:$GI$50,6,0)/1000,0),"-")</f>
        <v>-</v>
      </c>
      <c r="X10" s="195" t="str">
        <f>IFERROR(ROUND(VLOOKUP($H$2,'20年度'!$B$6:$GI$50,6,0)/1000,0),"-")</f>
        <v>-</v>
      </c>
      <c r="Y10" s="195" t="str">
        <f>IFERROR(ROUND(VLOOKUP($H$2,'21年度'!$B$6:$GI$50,6,0)/1000,0),"-")</f>
        <v>-</v>
      </c>
      <c r="Z10" s="195" t="str">
        <f>IFERROR(ROUND(VLOOKUP($H$2,'22年度'!$B$6:$GI$50,6,0)/1000,0),"-")</f>
        <v>-</v>
      </c>
      <c r="AA10" s="195">
        <f>IFERROR(ROUND(VLOOKUP($H$2,'23年度'!$B$6:$GI$52,6,0)/1000,0),"-")</f>
        <v>180167</v>
      </c>
      <c r="AB10" s="194">
        <f>IFERROR(ROUND(VLOOKUP($H$2,'24年度'!$B$6:$GI$52,6,0)/1000,0),"-")</f>
        <v>183624</v>
      </c>
      <c r="AC10" s="196">
        <f>IFERROR(ROUND(VLOOKUP($H$2,'25年度'!$B$6:$GI$52,6,0)/1000,0),"-")</f>
        <v>189450</v>
      </c>
      <c r="AD10" s="194">
        <f>IFERROR(ROUND(VLOOKUP($H$2,'26年度'!$B$6:$GI$52,6,0)/1000,0),"-")</f>
        <v>205645</v>
      </c>
      <c r="AE10" s="194">
        <f>IFERROR(ROUND(VLOOKUP($H$2,'27年度'!$B$6:$GI$52,6,0)/1000,0),"-")</f>
        <v>198676</v>
      </c>
      <c r="AF10" s="194">
        <f>IFERROR(ROUND(VLOOKUP($H$2,'28年度'!$B$6:$GI$52,6,0)/1000,0),"-")</f>
        <v>186412</v>
      </c>
      <c r="AG10" s="196">
        <f>IFERROR(ROUND(VLOOKUP($H$2,'29年度'!$B$6:$GI$52,6,0)/1000,0),"-")</f>
        <v>197449</v>
      </c>
      <c r="AH10" s="195">
        <f>IFERROR(ROUND(VLOOKUP($H$2,'30年度'!$B$6:$GI$52,6,0)/1000,0),"-")</f>
        <v>209469</v>
      </c>
      <c r="AI10" s="194">
        <f>IFERROR(ROUND(VLOOKUP($H$2,'R1年度'!$B$6:$GJ$52,6,0)/1000,0),"-")</f>
        <v>222272</v>
      </c>
      <c r="AJ10" s="194">
        <f>IFERROR(ROUND(VLOOKUP($H$2,'R2年度'!$B$6:$GJ$52,6,0)/1000,0),"-")</f>
        <v>165596</v>
      </c>
      <c r="AK10" s="196">
        <f>IFERROR(ROUND(VLOOKUP($H$2,'R3年度'!$B$6:$GJ$52,6,0)/1000,0),"-")</f>
        <v>164355</v>
      </c>
      <c r="AL10" s="195">
        <f>IFERROR(ROUND(VLOOKUP($H$2,'R4年度'!$B$6:$GJ$52,6,0)/1000,0),"-")</f>
        <v>175753</v>
      </c>
      <c r="AM10" s="194">
        <f>IFERROR(ROUND(VLOOKUP($H$2,'R5年度'!$B$6:$GJ$52,6,0)/1000,0),"-")</f>
        <v>172869</v>
      </c>
      <c r="AN10" s="197">
        <f>IFERROR(ROUND(VLOOKUP($H$2,'R6年度'!$B$6:$GK$52,6,0)/1000,0),"-")</f>
        <v>198843</v>
      </c>
    </row>
    <row r="11" spans="2:40" ht="15.9" customHeight="1" x14ac:dyDescent="0.15">
      <c r="B11" s="54"/>
      <c r="C11" s="37"/>
      <c r="D11" s="12" t="s">
        <v>139</v>
      </c>
      <c r="E11" s="184" t="str">
        <f>IFERROR(ROUND(VLOOKUP($H$2,'1年度'!$B$6:$GI$50,7,0)/1000,0),"-")</f>
        <v>-</v>
      </c>
      <c r="F11" s="185" t="str">
        <f>IFERROR(ROUND(VLOOKUP($H$2,'2年度'!$B$6:$GI$50,7,0)/1000,0),"-")</f>
        <v>-</v>
      </c>
      <c r="G11" s="185" t="str">
        <f>IFERROR(ROUND(VLOOKUP($H$2,'3年度'!$B$6:$GI$50,7,0)/1000,0),"-")</f>
        <v>-</v>
      </c>
      <c r="H11" s="185" t="str">
        <f>IFERROR(ROUND(VLOOKUP($H$2,'4年度'!$B$6:$GI$50,7,0)/1000,0),"-")</f>
        <v>-</v>
      </c>
      <c r="I11" s="185" t="str">
        <f>IFERROR(ROUND(VLOOKUP($H$2,'5年度'!$B$6:$GI$50,7,0)/1000,0),"-")</f>
        <v>-</v>
      </c>
      <c r="J11" s="185" t="str">
        <f>IFERROR(ROUND(VLOOKUP($H$2,'6年度'!$B$6:$GI$50,7,0)/1000,0),"-")</f>
        <v>-</v>
      </c>
      <c r="K11" s="185" t="str">
        <f>IFERROR(ROUND(VLOOKUP($H$2,'7年度'!$B$6:$GI$50,7,0)/1000,0),"-")</f>
        <v>-</v>
      </c>
      <c r="L11" s="185" t="str">
        <f>IFERROR(ROUND(VLOOKUP($H$2,'8年度'!$B$6:$GI$50,7,0)/1000,0),"-")</f>
        <v>-</v>
      </c>
      <c r="M11" s="185" t="str">
        <f>IFERROR(ROUND(VLOOKUP($H$2,'9年度'!$B$6:$GI$50,7,0)/1000,0),"-")</f>
        <v>-</v>
      </c>
      <c r="N11" s="185" t="str">
        <f>IFERROR(ROUND(VLOOKUP($H$2,'10年度'!$B$6:$GI$50,7,0)/1000,0),"-")</f>
        <v>-</v>
      </c>
      <c r="O11" s="185" t="str">
        <f>IFERROR(ROUND(VLOOKUP($H$2,'11年度'!$B$6:$GI$50,7,0)/1000,0),"-")</f>
        <v>-</v>
      </c>
      <c r="P11" s="185" t="str">
        <f>IFERROR(ROUND(VLOOKUP($H$2,'12年度'!$B$6:$GI$50,7,0)/1000,0),"-")</f>
        <v>-</v>
      </c>
      <c r="Q11" s="185" t="str">
        <f>IFERROR(ROUND(VLOOKUP($H$2,'13年度'!$B$6:$GI$50,7,0)/1000,0),"-")</f>
        <v>-</v>
      </c>
      <c r="R11" s="185" t="str">
        <f>IFERROR(ROUND(VLOOKUP($H$2,'14年度'!$B$6:$GI$50,7,0)/1000,0),"-")</f>
        <v>-</v>
      </c>
      <c r="S11" s="185" t="str">
        <f>IFERROR(ROUND(VLOOKUP($H$2,'15年度'!$B$6:$GI$50,7,0)/1000,0),"-")</f>
        <v>-</v>
      </c>
      <c r="T11" s="185" t="str">
        <f>IFERROR(ROUND(VLOOKUP($H$2,'16年度'!$B$6:$GI$50,7,0)/1000,0),"-")</f>
        <v>-</v>
      </c>
      <c r="U11" s="185" t="str">
        <f>IFERROR(ROUND(VLOOKUP($H$2,'17年度'!$B$6:$GI$50,7,0)/1000,0),"-")</f>
        <v>-</v>
      </c>
      <c r="V11" s="185" t="str">
        <f>IFERROR(ROUND(VLOOKUP($H$2,'18年度'!$B$6:$GI$50,7,0)/1000,0),"-")</f>
        <v>-</v>
      </c>
      <c r="W11" s="185" t="str">
        <f>IFERROR(ROUND(VLOOKUP($H$2,'19年度'!$B$6:$GI$50,7,0)/1000,0),"-")</f>
        <v>-</v>
      </c>
      <c r="X11" s="186" t="str">
        <f>IFERROR(ROUND(VLOOKUP($H$2,'20年度'!$B$6:$GI$50,7,0)/1000,0),"-")</f>
        <v>-</v>
      </c>
      <c r="Y11" s="186" t="str">
        <f>IFERROR(ROUND(VLOOKUP($H$2,'21年度'!$B$6:$GI$50,7,0)/1000,0),"-")</f>
        <v>-</v>
      </c>
      <c r="Z11" s="186" t="str">
        <f>IFERROR(ROUND(VLOOKUP($H$2,'22年度'!$B$6:$GI$50,7,0)/1000,0),"-")</f>
        <v>-</v>
      </c>
      <c r="AA11" s="186">
        <f>IFERROR(ROUND(VLOOKUP($H$2,'23年度'!$B$6:$GI$52,7,0)/1000,0),"-")</f>
        <v>32978</v>
      </c>
      <c r="AB11" s="185">
        <f>IFERROR(ROUND(VLOOKUP($H$2,'24年度'!$B$6:$GI$52,7,0)/1000,0),"-")</f>
        <v>32965</v>
      </c>
      <c r="AC11" s="187">
        <f>IFERROR(ROUND(VLOOKUP($H$2,'25年度'!$B$6:$GI$52,7,0)/1000,0),"-")</f>
        <v>33379</v>
      </c>
      <c r="AD11" s="185">
        <f>IFERROR(ROUND(VLOOKUP($H$2,'26年度'!$B$6:$GI$52,7,0)/1000,0),"-")</f>
        <v>33557</v>
      </c>
      <c r="AE11" s="185">
        <f>IFERROR(ROUND(VLOOKUP($H$2,'27年度'!$B$6:$GI$52,7,0)/1000,0),"-")</f>
        <v>33360</v>
      </c>
      <c r="AF11" s="185">
        <f>IFERROR(ROUND(VLOOKUP($H$2,'28年度'!$B$6:$GI$52,7,0)/1000,0),"-")</f>
        <v>34631</v>
      </c>
      <c r="AG11" s="187">
        <f>IFERROR(ROUND(VLOOKUP($H$2,'29年度'!$B$6:$GI$52,7,0)/1000,0),"-")</f>
        <v>35111</v>
      </c>
      <c r="AH11" s="186">
        <f>IFERROR(ROUND(VLOOKUP($H$2,'30年度'!$B$6:$GI$52,7,0)/1000,0),"-")</f>
        <v>35531</v>
      </c>
      <c r="AI11" s="185">
        <f>IFERROR(ROUND(VLOOKUP($H$2,'R1年度'!$B$6:$GJ$52,7,0)/1000,0),"-")</f>
        <v>35854</v>
      </c>
      <c r="AJ11" s="185">
        <f>IFERROR(ROUND(VLOOKUP($H$2,'R2年度'!$B$6:$GJ$52,7,0)/1000,0),"-")</f>
        <v>34944</v>
      </c>
      <c r="AK11" s="187">
        <f>IFERROR(ROUND(VLOOKUP($H$2,'R3年度'!$B$6:$GJ$52,7,0)/1000,0),"-")</f>
        <v>36342</v>
      </c>
      <c r="AL11" s="186">
        <f>IFERROR(ROUND(VLOOKUP($H$2,'R4年度'!$B$6:$GJ$52,7,0)/1000,0),"-")</f>
        <v>37113</v>
      </c>
      <c r="AM11" s="185">
        <f>IFERROR(ROUND(VLOOKUP($H$2,'R5年度'!$B$6:$GJ$52,7,0)/1000,0),"-")</f>
        <v>36907</v>
      </c>
      <c r="AN11" s="188">
        <f>IFERROR(ROUND(VLOOKUP($H$2,'R6年度'!$B$6:$GK$52,7,0)/1000,0),"-")</f>
        <v>37830</v>
      </c>
    </row>
    <row r="12" spans="2:40" ht="15.9" customHeight="1" x14ac:dyDescent="0.15">
      <c r="B12" s="54"/>
      <c r="C12" s="59"/>
      <c r="D12" s="13" t="s">
        <v>142</v>
      </c>
      <c r="E12" s="189" t="str">
        <f>IFERROR(ROUND(VLOOKUP($H$2,'1年度'!$B$6:$GI$50,8,0)/1000,0),"-")</f>
        <v>-</v>
      </c>
      <c r="F12" s="189" t="str">
        <f>IFERROR(ROUND(VLOOKUP($H$2,'2年度'!$B$6:$GI$50,8,0)/1000,0),"-")</f>
        <v>-</v>
      </c>
      <c r="G12" s="189" t="str">
        <f>IFERROR(ROUND(VLOOKUP($H$2,'3年度'!$B$6:$GI$50,8,0)/1000,0),"-")</f>
        <v>-</v>
      </c>
      <c r="H12" s="189" t="str">
        <f>IFERROR(ROUND(VLOOKUP($H$2,'4年度'!$B$6:$GI$50,8,0)/1000,0),"-")</f>
        <v>-</v>
      </c>
      <c r="I12" s="189" t="str">
        <f>IFERROR(ROUND(VLOOKUP($H$2,'5年度'!$B$6:$GI$50,8,0)/1000,0),"-")</f>
        <v>-</v>
      </c>
      <c r="J12" s="189" t="str">
        <f>IFERROR(ROUND(VLOOKUP($H$2,'6年度'!$B$6:$GI$50,8,0)/1000,0),"-")</f>
        <v>-</v>
      </c>
      <c r="K12" s="189" t="str">
        <f>IFERROR(ROUND(VLOOKUP($H$2,'7年度'!$B$6:$GI$50,8,0)/1000,0),"-")</f>
        <v>-</v>
      </c>
      <c r="L12" s="189" t="str">
        <f>IFERROR(ROUND(VLOOKUP($H$2,'8年度'!$B$6:$GI$50,8,0)/1000,0),"-")</f>
        <v>-</v>
      </c>
      <c r="M12" s="189" t="str">
        <f>IFERROR(ROUND(VLOOKUP($H$2,'9年度'!$B$6:$GI$50,8,0)/1000,0),"-")</f>
        <v>-</v>
      </c>
      <c r="N12" s="189" t="str">
        <f>IFERROR(ROUND(VLOOKUP($H$2,'10年度'!$B$6:$GI$50,8,0)/1000,0),"-")</f>
        <v>-</v>
      </c>
      <c r="O12" s="189" t="str">
        <f>IFERROR(ROUND(VLOOKUP($H$2,'11年度'!$B$6:$GI$50,8,0)/1000,0),"-")</f>
        <v>-</v>
      </c>
      <c r="P12" s="189" t="str">
        <f>IFERROR(ROUND(VLOOKUP($H$2,'12年度'!$B$6:$GI$50,8,0)/1000,0),"-")</f>
        <v>-</v>
      </c>
      <c r="Q12" s="189" t="str">
        <f>IFERROR(ROUND(VLOOKUP($H$2,'13年度'!$B$6:$GI$50,8,0)/1000,0),"-")</f>
        <v>-</v>
      </c>
      <c r="R12" s="189" t="str">
        <f>IFERROR(ROUND(VLOOKUP($H$2,'14年度'!$B$6:$GI$50,8,0)/1000,0),"-")</f>
        <v>-</v>
      </c>
      <c r="S12" s="189" t="str">
        <f>IFERROR(ROUND(VLOOKUP($H$2,'15年度'!$B$6:$GI$50,8,0)/1000,0),"-")</f>
        <v>-</v>
      </c>
      <c r="T12" s="189" t="str">
        <f>IFERROR(ROUND(VLOOKUP($H$2,'16年度'!$B$6:$GI$50,8,0)/1000,0),"-")</f>
        <v>-</v>
      </c>
      <c r="U12" s="189" t="str">
        <f>IFERROR(ROUND(VLOOKUP($H$2,'17年度'!$B$6:$GI$50,8,0)/1000,0),"-")</f>
        <v>-</v>
      </c>
      <c r="V12" s="189" t="str">
        <f>IFERROR(ROUND(VLOOKUP($H$2,'18年度'!$B$6:$GI$50,8,0)/1000,0),"-")</f>
        <v>-</v>
      </c>
      <c r="W12" s="198" t="str">
        <f>IFERROR(ROUND(VLOOKUP($H$2,'19年度'!$B$6:$GI$50,8,0)/1000,0),"-")</f>
        <v>-</v>
      </c>
      <c r="X12" s="199" t="str">
        <f>IFERROR(ROUND(VLOOKUP($H$2,'20年度'!$B$6:$GI$50,8,0)/1000,0),"-")</f>
        <v>-</v>
      </c>
      <c r="Y12" s="199" t="str">
        <f>IFERROR(ROUND(VLOOKUP($H$2,'21年度'!$B$6:$GI$50,8,0)/1000,0),"-")</f>
        <v>-</v>
      </c>
      <c r="Z12" s="199" t="str">
        <f>IFERROR(ROUND(VLOOKUP($H$2,'22年度'!$B$6:$GI$50,8,0)/1000,0),"-")</f>
        <v>-</v>
      </c>
      <c r="AA12" s="199">
        <f>IFERROR(ROUND(VLOOKUP($H$2,'23年度'!$B$6:$GI$52,8,0)/1000,0),"-")</f>
        <v>147189</v>
      </c>
      <c r="AB12" s="198">
        <f>IFERROR(ROUND(VLOOKUP($H$2,'24年度'!$B$6:$GI$52,8,0)/1000,0),"-")</f>
        <v>150658</v>
      </c>
      <c r="AC12" s="200">
        <f>IFERROR(ROUND(VLOOKUP($H$2,'25年度'!$B$6:$GI$52,8,0)/1000,0),"-")</f>
        <v>156071</v>
      </c>
      <c r="AD12" s="198">
        <f>IFERROR(ROUND(VLOOKUP($H$2,'26年度'!$B$6:$GI$52,8,0)/1000,0),"-")</f>
        <v>172088</v>
      </c>
      <c r="AE12" s="198">
        <f>IFERROR(ROUND(VLOOKUP($H$2,'27年度'!$B$6:$GI$52,8,0)/1000,0),"-")</f>
        <v>165316</v>
      </c>
      <c r="AF12" s="198">
        <f>IFERROR(ROUND(VLOOKUP($H$2,'28年度'!$B$6:$GI$52,8,0)/1000,0),"-")</f>
        <v>151780</v>
      </c>
      <c r="AG12" s="200">
        <f>IFERROR(ROUND(VLOOKUP($H$2,'29年度'!$B$6:$GI$52,8,0)/1000,0),"-")</f>
        <v>162338</v>
      </c>
      <c r="AH12" s="199">
        <f>IFERROR(ROUND(VLOOKUP($H$2,'30年度'!$B$6:$GI$52,8,0)/1000,0),"-")</f>
        <v>173938</v>
      </c>
      <c r="AI12" s="198">
        <f>IFERROR(ROUND(VLOOKUP($H$2,'R1年度'!$B$6:$GJ$52,8,0)/1000,0),"-")</f>
        <v>186418</v>
      </c>
      <c r="AJ12" s="198">
        <f>IFERROR(ROUND(VLOOKUP($H$2,'R2年度'!$B$6:$GJ$52,8,0)/1000,0),"-")</f>
        <v>130651</v>
      </c>
      <c r="AK12" s="200">
        <f>IFERROR(ROUND(VLOOKUP($H$2,'R3年度'!$B$6:$GJ$52,8,0)/1000,0),"-")</f>
        <v>128013</v>
      </c>
      <c r="AL12" s="199">
        <f>IFERROR(ROUND(VLOOKUP($H$2,'R4年度'!$B$6:$GJ$52,8,0)/1000,0),"-")</f>
        <v>138640</v>
      </c>
      <c r="AM12" s="198">
        <f>IFERROR(ROUND(VLOOKUP($H$2,'R5年度'!$B$6:$GJ$52,8,0)/1000,0),"-")</f>
        <v>135962</v>
      </c>
      <c r="AN12" s="201">
        <f>IFERROR(ROUND(VLOOKUP($H$2,'R6年度'!$B$6:$GK$52,8,0)/1000,0),"-")</f>
        <v>161013</v>
      </c>
    </row>
    <row r="13" spans="2:40" ht="15.9" customHeight="1" x14ac:dyDescent="0.15">
      <c r="B13" s="54"/>
      <c r="C13" s="495" t="s">
        <v>143</v>
      </c>
      <c r="D13" s="490"/>
      <c r="E13" s="179" t="str">
        <f>IFERROR(ROUND(VLOOKUP($H$2,'1年度'!$B$6:$GI$50,9,0)/1000,0),"-")</f>
        <v>-</v>
      </c>
      <c r="F13" s="179" t="str">
        <f>IFERROR(ROUND(VLOOKUP($H$2,'2年度'!$B$6:$GI$50,9,0)/1000,0),"-")</f>
        <v>-</v>
      </c>
      <c r="G13" s="179" t="str">
        <f>IFERROR(ROUND(VLOOKUP($H$2,'3年度'!$B$6:$GI$50,9,0)/1000,0),"-")</f>
        <v>-</v>
      </c>
      <c r="H13" s="179" t="str">
        <f>IFERROR(ROUND(VLOOKUP($H$2,'4年度'!$B$6:$GI$50,9,0)/1000,0),"-")</f>
        <v>-</v>
      </c>
      <c r="I13" s="179" t="str">
        <f>IFERROR(ROUND(VLOOKUP($H$2,'5年度'!$B$6:$GI$50,9,0)/1000,0),"-")</f>
        <v>-</v>
      </c>
      <c r="J13" s="179" t="str">
        <f>IFERROR(ROUND(VLOOKUP($H$2,'6年度'!$B$6:$GI$50,9,0)/1000,0),"-")</f>
        <v>-</v>
      </c>
      <c r="K13" s="179" t="str">
        <f>IFERROR(ROUND(VLOOKUP($H$2,'7年度'!$B$6:$GI$50,9,0)/1000,0),"-")</f>
        <v>-</v>
      </c>
      <c r="L13" s="179" t="str">
        <f>IFERROR(ROUND(VLOOKUP($H$2,'8年度'!$B$6:$GI$50,9,0)/1000,0),"-")</f>
        <v>-</v>
      </c>
      <c r="M13" s="179" t="str">
        <f>IFERROR(ROUND(VLOOKUP($H$2,'9年度'!$B$6:$GI$50,9,0)/1000,0),"-")</f>
        <v>-</v>
      </c>
      <c r="N13" s="179" t="str">
        <f>IFERROR(ROUND(VLOOKUP($H$2,'10年度'!$B$6:$GI$50,9,0)/1000,0),"-")</f>
        <v>-</v>
      </c>
      <c r="O13" s="179" t="str">
        <f>IFERROR(ROUND(VLOOKUP($H$2,'11年度'!$B$6:$GI$50,9,0)/1000,0),"-")</f>
        <v>-</v>
      </c>
      <c r="P13" s="179" t="str">
        <f>IFERROR(ROUND(VLOOKUP($H$2,'12年度'!$B$6:$GI$50,9,0)/1000,0),"-")</f>
        <v>-</v>
      </c>
      <c r="Q13" s="179" t="str">
        <f>IFERROR(ROUND(VLOOKUP($H$2,'13年度'!$B$6:$GI$50,9,0)/1000,0),"-")</f>
        <v>-</v>
      </c>
      <c r="R13" s="179" t="str">
        <f>IFERROR(ROUND(VLOOKUP($H$2,'14年度'!$B$6:$GI$50,9,0)/1000,0),"-")</f>
        <v>-</v>
      </c>
      <c r="S13" s="179" t="str">
        <f>IFERROR(ROUND(VLOOKUP($H$2,'15年度'!$B$6:$GI$50,9,0)/1000,0),"-")</f>
        <v>-</v>
      </c>
      <c r="T13" s="179" t="str">
        <f>IFERROR(ROUND(VLOOKUP($H$2,'16年度'!$B$6:$GI$50,9,0)/1000,0),"-")</f>
        <v>-</v>
      </c>
      <c r="U13" s="179" t="str">
        <f>IFERROR(ROUND(VLOOKUP($H$2,'17年度'!$B$6:$GI$50,9,0)/1000,0),"-")</f>
        <v>-</v>
      </c>
      <c r="V13" s="179" t="str">
        <f>IFERROR(ROUND(VLOOKUP($H$2,'18年度'!$B$6:$GI$50,9,0)/1000,0),"-")</f>
        <v>-</v>
      </c>
      <c r="W13" s="180" t="str">
        <f>IFERROR(ROUND(VLOOKUP($H$2,'19年度'!$B$6:$GI$50,9,0)/1000,0),"-")</f>
        <v>-</v>
      </c>
      <c r="X13" s="181" t="str">
        <f>IFERROR(ROUND(VLOOKUP($H$2,'20年度'!$B$6:$GI$50,9,0)/1000,0),"-")</f>
        <v>-</v>
      </c>
      <c r="Y13" s="181" t="str">
        <f>IFERROR(ROUND(VLOOKUP($H$2,'21年度'!$B$6:$GI$50,9,0)/1000,0),"-")</f>
        <v>-</v>
      </c>
      <c r="Z13" s="181" t="str">
        <f>IFERROR(ROUND(VLOOKUP($H$2,'22年度'!$B$6:$GI$50,9,0)/1000,0),"-")</f>
        <v>-</v>
      </c>
      <c r="AA13" s="181">
        <f>IFERROR(ROUND(VLOOKUP($H$2,'23年度'!$B$6:$GI$52,9,0)/1000,0),"-")</f>
        <v>658277</v>
      </c>
      <c r="AB13" s="180">
        <f>IFERROR(ROUND(VLOOKUP($H$2,'24年度'!$B$6:$GI$52,9,0)/1000,0),"-")</f>
        <v>628026</v>
      </c>
      <c r="AC13" s="182">
        <f>IFERROR(ROUND(VLOOKUP($H$2,'25年度'!$B$6:$GI$52,9,0)/1000,0),"-")</f>
        <v>633230</v>
      </c>
      <c r="AD13" s="180">
        <f>IFERROR(ROUND(VLOOKUP($H$2,'26年度'!$B$6:$GI$52,9,0)/1000,0),"-")</f>
        <v>638823</v>
      </c>
      <c r="AE13" s="180">
        <f>IFERROR(ROUND(VLOOKUP($H$2,'27年度'!$B$6:$GI$52,9,0)/1000,0),"-")</f>
        <v>636528</v>
      </c>
      <c r="AF13" s="180">
        <f>IFERROR(ROUND(VLOOKUP($H$2,'28年度'!$B$6:$GI$52,9,0)/1000,0),"-")</f>
        <v>644968</v>
      </c>
      <c r="AG13" s="182">
        <f>IFERROR(ROUND(VLOOKUP($H$2,'29年度'!$B$6:$GI$52,9,0)/1000,0),"-")</f>
        <v>650929</v>
      </c>
      <c r="AH13" s="181">
        <f>IFERROR(ROUND(VLOOKUP($H$2,'30年度'!$B$6:$GI$52,9,0)/1000,0),"-")</f>
        <v>655201</v>
      </c>
      <c r="AI13" s="180">
        <f>IFERROR(ROUND(VLOOKUP($H$2,'R1年度'!$B$6:$GJ$52,9,0)/1000,0),"-")</f>
        <v>672438</v>
      </c>
      <c r="AJ13" s="180">
        <f>IFERROR(ROUND(VLOOKUP($H$2,'R2年度'!$B$6:$GJ$52,9,0)/1000,0),"-")</f>
        <v>676641</v>
      </c>
      <c r="AK13" s="182">
        <f>IFERROR(ROUND(VLOOKUP($H$2,'R3年度'!$B$6:$GJ$52,9,0)/1000,0),"-")</f>
        <v>684262</v>
      </c>
      <c r="AL13" s="181">
        <f>IFERROR(ROUND(VLOOKUP($H$2,'R4年度'!$B$6:$GJ$52,9,0)/1000,0),"-")</f>
        <v>701932</v>
      </c>
      <c r="AM13" s="180">
        <f>IFERROR(ROUND(VLOOKUP($H$2,'R5年度'!$B$6:$GJ$52,9,0)/1000,0),"-")</f>
        <v>720079</v>
      </c>
      <c r="AN13" s="183">
        <f>IFERROR(ROUND(VLOOKUP($H$2,'R6年度'!$B$6:$GK$52,9,0)/1000,0),"-")</f>
        <v>733774</v>
      </c>
    </row>
    <row r="14" spans="2:40" ht="15.9" customHeight="1" x14ac:dyDescent="0.15">
      <c r="B14" s="54"/>
      <c r="C14" s="37"/>
      <c r="D14" s="14" t="s">
        <v>144</v>
      </c>
      <c r="E14" s="185" t="str">
        <f>IFERROR(ROUND(VLOOKUP($H$2,'1年度'!$B$6:$GI$50,10,0)/1000,0),"-")</f>
        <v>-</v>
      </c>
      <c r="F14" s="185" t="str">
        <f>IFERROR(ROUND(VLOOKUP($H$2,'2年度'!$B$6:$GI$50,10,0)/1000,0),"-")</f>
        <v>-</v>
      </c>
      <c r="G14" s="185" t="str">
        <f>IFERROR(ROUND(VLOOKUP($H$2,'3年度'!$B$6:$GI$50,10,0)/1000,0),"-")</f>
        <v>-</v>
      </c>
      <c r="H14" s="185" t="str">
        <f>IFERROR(ROUND(VLOOKUP($H$2,'4年度'!$B$6:$GI$50,10,0)/1000,0),"-")</f>
        <v>-</v>
      </c>
      <c r="I14" s="185" t="str">
        <f>IFERROR(ROUND(VLOOKUP($H$2,'5年度'!$B$6:$GI$50,10,0)/1000,0),"-")</f>
        <v>-</v>
      </c>
      <c r="J14" s="185" t="str">
        <f>IFERROR(ROUND(VLOOKUP($H$2,'6年度'!$B$6:$GI$50,10,0)/1000,0),"-")</f>
        <v>-</v>
      </c>
      <c r="K14" s="185" t="str">
        <f>IFERROR(ROUND(VLOOKUP($H$2,'7年度'!$B$6:$GI$50,10,0)/1000,0),"-")</f>
        <v>-</v>
      </c>
      <c r="L14" s="185" t="str">
        <f>IFERROR(ROUND(VLOOKUP($H$2,'8年度'!$B$6:$GI$50,10,0)/1000,0),"-")</f>
        <v>-</v>
      </c>
      <c r="M14" s="185" t="str">
        <f>IFERROR(ROUND(VLOOKUP($H$2,'9年度'!$B$6:$GI$50,10,0)/1000,0),"-")</f>
        <v>-</v>
      </c>
      <c r="N14" s="185" t="str">
        <f>IFERROR(ROUND(VLOOKUP($H$2,'10年度'!$B$6:$GI$50,10,0)/1000,0),"-")</f>
        <v>-</v>
      </c>
      <c r="O14" s="185" t="str">
        <f>IFERROR(ROUND(VLOOKUP($H$2,'11年度'!$B$6:$GI$50,10,0)/1000,0),"-")</f>
        <v>-</v>
      </c>
      <c r="P14" s="185" t="str">
        <f>IFERROR(ROUND(VLOOKUP($H$2,'12年度'!$B$6:$GI$50,10,0)/1000,0),"-")</f>
        <v>-</v>
      </c>
      <c r="Q14" s="185" t="str">
        <f>IFERROR(ROUND(VLOOKUP($H$2,'13年度'!$B$6:$GI$50,10,0)/1000,0),"-")</f>
        <v>-</v>
      </c>
      <c r="R14" s="185" t="str">
        <f>IFERROR(ROUND(VLOOKUP($H$2,'14年度'!$B$6:$GI$50,10,0)/1000,0),"-")</f>
        <v>-</v>
      </c>
      <c r="S14" s="185" t="str">
        <f>IFERROR(ROUND(VLOOKUP($H$2,'15年度'!$B$6:$GI$50,10,0)/1000,0),"-")</f>
        <v>-</v>
      </c>
      <c r="T14" s="185" t="str">
        <f>IFERROR(ROUND(VLOOKUP($H$2,'16年度'!$B$6:$GI$50,10,0)/1000,0),"-")</f>
        <v>-</v>
      </c>
      <c r="U14" s="185" t="str">
        <f>IFERROR(ROUND(VLOOKUP($H$2,'17年度'!$B$6:$GI$50,10,0)/1000,0),"-")</f>
        <v>-</v>
      </c>
      <c r="V14" s="185" t="str">
        <f>IFERROR(ROUND(VLOOKUP($H$2,'18年度'!$B$6:$GI$50,10,0)/1000,0),"-")</f>
        <v>-</v>
      </c>
      <c r="W14" s="185" t="str">
        <f>IFERROR(ROUND(VLOOKUP($H$2,'19年度'!$B$6:$GI$50,10,0)/1000,0),"-")</f>
        <v>-</v>
      </c>
      <c r="X14" s="186" t="str">
        <f>IFERROR(ROUND(VLOOKUP($H$2,'20年度'!$B$6:$GI$50,10,0)/1000,0),"-")</f>
        <v>-</v>
      </c>
      <c r="Y14" s="186" t="str">
        <f>IFERROR(ROUND(VLOOKUP($H$2,'21年度'!$B$6:$GI$50,10,0)/1000,0),"-")</f>
        <v>-</v>
      </c>
      <c r="Z14" s="186" t="str">
        <f>IFERROR(ROUND(VLOOKUP($H$2,'22年度'!$B$6:$GI$50,10,0)/1000,0),"-")</f>
        <v>-</v>
      </c>
      <c r="AA14" s="186">
        <f>IFERROR(ROUND(VLOOKUP($H$2,'23年度'!$B$6:$GI$52,10,0)/1000,0),"-")</f>
        <v>266533</v>
      </c>
      <c r="AB14" s="185">
        <f>IFERROR(ROUND(VLOOKUP($H$2,'24年度'!$B$6:$GI$52,10,0)/1000,0),"-")</f>
        <v>261319</v>
      </c>
      <c r="AC14" s="187">
        <f>IFERROR(ROUND(VLOOKUP($H$2,'25年度'!$B$6:$GI$52,10,0)/1000,0),"-")</f>
        <v>259591</v>
      </c>
      <c r="AD14" s="185">
        <f>IFERROR(ROUND(VLOOKUP($H$2,'26年度'!$B$6:$GI$52,10,0)/1000,0),"-")</f>
        <v>258519</v>
      </c>
      <c r="AE14" s="185">
        <f>IFERROR(ROUND(VLOOKUP($H$2,'27年度'!$B$6:$GI$52,10,0)/1000,0),"-")</f>
        <v>258174</v>
      </c>
      <c r="AF14" s="185">
        <f>IFERROR(ROUND(VLOOKUP($H$2,'28年度'!$B$6:$GI$52,10,0)/1000,0),"-")</f>
        <v>258390</v>
      </c>
      <c r="AG14" s="187">
        <f>IFERROR(ROUND(VLOOKUP($H$2,'29年度'!$B$6:$GI$52,10,0)/1000,0),"-")</f>
        <v>258172</v>
      </c>
      <c r="AH14" s="186">
        <f>IFERROR(ROUND(VLOOKUP($H$2,'30年度'!$B$6:$GI$52,10,0)/1000,0),"-")</f>
        <v>263236</v>
      </c>
      <c r="AI14" s="185">
        <f>IFERROR(ROUND(VLOOKUP($H$2,'R1年度'!$B$6:$GJ$52,10,0)/1000,0),"-")</f>
        <v>267483</v>
      </c>
      <c r="AJ14" s="185">
        <f>IFERROR(ROUND(VLOOKUP($H$2,'R2年度'!$B$6:$GJ$52,10,0)/1000,0),"-")</f>
        <v>267081</v>
      </c>
      <c r="AK14" s="187">
        <f>IFERROR(ROUND(VLOOKUP($H$2,'R3年度'!$B$6:$GJ$52,10,0)/1000,0),"-")</f>
        <v>274035</v>
      </c>
      <c r="AL14" s="186">
        <f>IFERROR(ROUND(VLOOKUP($H$2,'R4年度'!$B$6:$GJ$52,10,0)/1000,0),"-")</f>
        <v>275366</v>
      </c>
      <c r="AM14" s="185">
        <f>IFERROR(ROUND(VLOOKUP($H$2,'R5年度'!$B$6:$GJ$52,10,0)/1000,0),"-")</f>
        <v>284050</v>
      </c>
      <c r="AN14" s="188">
        <f>IFERROR(ROUND(VLOOKUP($H$2,'R6年度'!$B$6:$GK$52,10,0)/1000,0),"-")</f>
        <v>294682</v>
      </c>
    </row>
    <row r="15" spans="2:40" ht="15.9" customHeight="1" x14ac:dyDescent="0.15">
      <c r="B15" s="54"/>
      <c r="C15" s="37"/>
      <c r="D15" s="14" t="s">
        <v>145</v>
      </c>
      <c r="E15" s="185" t="str">
        <f>IFERROR(ROUND(VLOOKUP($H$2,'1年度'!$B$6:$GI$50,11,0)/1000,0),"-")</f>
        <v>-</v>
      </c>
      <c r="F15" s="185" t="str">
        <f>IFERROR(ROUND(VLOOKUP($H$2,'2年度'!$B$6:$GI$50,11,0)/1000,0),"-")</f>
        <v>-</v>
      </c>
      <c r="G15" s="185" t="str">
        <f>IFERROR(ROUND(VLOOKUP($H$2,'3年度'!$B$6:$GI$50,11,0)/1000,0),"-")</f>
        <v>-</v>
      </c>
      <c r="H15" s="185" t="str">
        <f>IFERROR(ROUND(VLOOKUP($H$2,'4年度'!$B$6:$GI$50,11,0)/1000,0),"-")</f>
        <v>-</v>
      </c>
      <c r="I15" s="185" t="str">
        <f>IFERROR(ROUND(VLOOKUP($H$2,'5年度'!$B$6:$GI$50,11,0)/1000,0),"-")</f>
        <v>-</v>
      </c>
      <c r="J15" s="185" t="str">
        <f>IFERROR(ROUND(VLOOKUP($H$2,'6年度'!$B$6:$GI$50,11,0)/1000,0),"-")</f>
        <v>-</v>
      </c>
      <c r="K15" s="185" t="str">
        <f>IFERROR(ROUND(VLOOKUP($H$2,'7年度'!$B$6:$GI$50,11,0)/1000,0),"-")</f>
        <v>-</v>
      </c>
      <c r="L15" s="185" t="str">
        <f>IFERROR(ROUND(VLOOKUP($H$2,'8年度'!$B$6:$GI$50,11,0)/1000,0),"-")</f>
        <v>-</v>
      </c>
      <c r="M15" s="185" t="str">
        <f>IFERROR(ROUND(VLOOKUP($H$2,'9年度'!$B$6:$GI$50,11,0)/1000,0),"-")</f>
        <v>-</v>
      </c>
      <c r="N15" s="185" t="str">
        <f>IFERROR(ROUND(VLOOKUP($H$2,'10年度'!$B$6:$GI$50,11,0)/1000,0),"-")</f>
        <v>-</v>
      </c>
      <c r="O15" s="185" t="str">
        <f>IFERROR(ROUND(VLOOKUP($H$2,'11年度'!$B$6:$GI$50,11,0)/1000,0),"-")</f>
        <v>-</v>
      </c>
      <c r="P15" s="185" t="str">
        <f>IFERROR(ROUND(VLOOKUP($H$2,'12年度'!$B$6:$GI$50,11,0)/1000,0),"-")</f>
        <v>-</v>
      </c>
      <c r="Q15" s="185" t="str">
        <f>IFERROR(ROUND(VLOOKUP($H$2,'13年度'!$B$6:$GI$50,11,0)/1000,0),"-")</f>
        <v>-</v>
      </c>
      <c r="R15" s="185" t="str">
        <f>IFERROR(ROUND(VLOOKUP($H$2,'14年度'!$B$6:$GI$50,11,0)/1000,0),"-")</f>
        <v>-</v>
      </c>
      <c r="S15" s="185" t="str">
        <f>IFERROR(ROUND(VLOOKUP($H$2,'15年度'!$B$6:$GI$50,11,0)/1000,0),"-")</f>
        <v>-</v>
      </c>
      <c r="T15" s="185" t="str">
        <f>IFERROR(ROUND(VLOOKUP($H$2,'16年度'!$B$6:$GI$50,11,0)/1000,0),"-")</f>
        <v>-</v>
      </c>
      <c r="U15" s="185" t="str">
        <f>IFERROR(ROUND(VLOOKUP($H$2,'17年度'!$B$6:$GI$50,11,0)/1000,0),"-")</f>
        <v>-</v>
      </c>
      <c r="V15" s="185" t="str">
        <f>IFERROR(ROUND(VLOOKUP($H$2,'18年度'!$B$6:$GI$50,11,0)/1000,0),"-")</f>
        <v>-</v>
      </c>
      <c r="W15" s="185" t="str">
        <f>IFERROR(ROUND(VLOOKUP($H$2,'19年度'!$B$6:$GI$50,11,0)/1000,0),"-")</f>
        <v>-</v>
      </c>
      <c r="X15" s="186" t="str">
        <f>IFERROR(ROUND(VLOOKUP($H$2,'20年度'!$B$6:$GI$50,11,0)/1000,0),"-")</f>
        <v>-</v>
      </c>
      <c r="Y15" s="186" t="str">
        <f>IFERROR(ROUND(VLOOKUP($H$2,'21年度'!$B$6:$GI$50,11,0)/1000,0),"-")</f>
        <v>-</v>
      </c>
      <c r="Z15" s="186" t="str">
        <f>IFERROR(ROUND(VLOOKUP($H$2,'22年度'!$B$6:$GI$50,11,0)/1000,0),"-")</f>
        <v>-</v>
      </c>
      <c r="AA15" s="186">
        <f>IFERROR(ROUND(VLOOKUP($H$2,'23年度'!$B$6:$GI$52,11,0)/1000,0),"-")</f>
        <v>295459</v>
      </c>
      <c r="AB15" s="185">
        <f>IFERROR(ROUND(VLOOKUP($H$2,'24年度'!$B$6:$GI$52,11,0)/1000,0),"-")</f>
        <v>272239</v>
      </c>
      <c r="AC15" s="187">
        <f>IFERROR(ROUND(VLOOKUP($H$2,'25年度'!$B$6:$GI$52,11,0)/1000,0),"-")</f>
        <v>279463</v>
      </c>
      <c r="AD15" s="185">
        <f>IFERROR(ROUND(VLOOKUP($H$2,'26年度'!$B$6:$GI$52,11,0)/1000,0),"-")</f>
        <v>286837</v>
      </c>
      <c r="AE15" s="185">
        <f>IFERROR(ROUND(VLOOKUP($H$2,'27年度'!$B$6:$GI$52,11,0)/1000,0),"-")</f>
        <v>284494</v>
      </c>
      <c r="AF15" s="185">
        <f>IFERROR(ROUND(VLOOKUP($H$2,'28年度'!$B$6:$GI$52,11,0)/1000,0),"-")</f>
        <v>291594</v>
      </c>
      <c r="AG15" s="187">
        <f>IFERROR(ROUND(VLOOKUP($H$2,'29年度'!$B$6:$GI$52,11,0)/1000,0),"-")</f>
        <v>297960</v>
      </c>
      <c r="AH15" s="186">
        <f>IFERROR(ROUND(VLOOKUP($H$2,'30年度'!$B$6:$GI$52,11,0)/1000,0),"-")</f>
        <v>296705</v>
      </c>
      <c r="AI15" s="185">
        <f>IFERROR(ROUND(VLOOKUP($H$2,'R1年度'!$B$6:$GJ$52,11,0)/1000,0),"-")</f>
        <v>306168</v>
      </c>
      <c r="AJ15" s="185">
        <f>IFERROR(ROUND(VLOOKUP($H$2,'R2年度'!$B$6:$GJ$52,11,0)/1000,0),"-")</f>
        <v>310413</v>
      </c>
      <c r="AK15" s="187">
        <f>IFERROR(ROUND(VLOOKUP($H$2,'R3年度'!$B$6:$GJ$52,11,0)/1000,0),"-")</f>
        <v>307296</v>
      </c>
      <c r="AL15" s="186">
        <f>IFERROR(ROUND(VLOOKUP($H$2,'R4年度'!$B$6:$GJ$52,11,0)/1000,0),"-")</f>
        <v>321967</v>
      </c>
      <c r="AM15" s="185">
        <f>IFERROR(ROUND(VLOOKUP($H$2,'R5年度'!$B$6:$GJ$52,11,0)/1000,0),"-")</f>
        <v>329632</v>
      </c>
      <c r="AN15" s="188">
        <f>IFERROR(ROUND(VLOOKUP($H$2,'R6年度'!$B$6:$GK$52,11,0)/1000,0),"-")</f>
        <v>331139</v>
      </c>
    </row>
    <row r="16" spans="2:40" ht="15.9" customHeight="1" x14ac:dyDescent="0.15">
      <c r="B16" s="54"/>
      <c r="C16" s="59"/>
      <c r="D16" s="15" t="s">
        <v>146</v>
      </c>
      <c r="E16" s="189" t="str">
        <f>IFERROR(ROUND(VLOOKUP($H$2,'1年度'!$B$6:$GI$50,12,0)/1000,0),"-")</f>
        <v>-</v>
      </c>
      <c r="F16" s="189" t="str">
        <f>IFERROR(ROUND(VLOOKUP($H$2,'2年度'!$B$6:$GI$50,12,0)/1000,0),"-")</f>
        <v>-</v>
      </c>
      <c r="G16" s="189" t="str">
        <f>IFERROR(ROUND(VLOOKUP($H$2,'3年度'!$B$6:$GI$50,12,0)/1000,0),"-")</f>
        <v>-</v>
      </c>
      <c r="H16" s="189" t="str">
        <f>IFERROR(ROUND(VLOOKUP($H$2,'4年度'!$B$6:$GI$50,12,0)/1000,0),"-")</f>
        <v>-</v>
      </c>
      <c r="I16" s="189" t="str">
        <f>IFERROR(ROUND(VLOOKUP($H$2,'5年度'!$B$6:$GI$50,12,0)/1000,0),"-")</f>
        <v>-</v>
      </c>
      <c r="J16" s="189" t="str">
        <f>IFERROR(ROUND(VLOOKUP($H$2,'6年度'!$B$6:$GI$50,12,0)/1000,0),"-")</f>
        <v>-</v>
      </c>
      <c r="K16" s="189" t="str">
        <f>IFERROR(ROUND(VLOOKUP($H$2,'7年度'!$B$6:$GI$50,12,0)/1000,0),"-")</f>
        <v>-</v>
      </c>
      <c r="L16" s="189" t="str">
        <f>IFERROR(ROUND(VLOOKUP($H$2,'8年度'!$B$6:$GI$50,12,0)/1000,0),"-")</f>
        <v>-</v>
      </c>
      <c r="M16" s="189" t="str">
        <f>IFERROR(ROUND(VLOOKUP($H$2,'9年度'!$B$6:$GI$50,12,0)/1000,0),"-")</f>
        <v>-</v>
      </c>
      <c r="N16" s="189" t="str">
        <f>IFERROR(ROUND(VLOOKUP($H$2,'10年度'!$B$6:$GI$50,12,0)/1000,0),"-")</f>
        <v>-</v>
      </c>
      <c r="O16" s="189" t="str">
        <f>IFERROR(ROUND(VLOOKUP($H$2,'11年度'!$B$6:$GI$50,12,0)/1000,0),"-")</f>
        <v>-</v>
      </c>
      <c r="P16" s="189" t="str">
        <f>IFERROR(ROUND(VLOOKUP($H$2,'12年度'!$B$6:$GI$50,12,0)/1000,0),"-")</f>
        <v>-</v>
      </c>
      <c r="Q16" s="189" t="str">
        <f>IFERROR(ROUND(VLOOKUP($H$2,'13年度'!$B$6:$GI$50,12,0)/1000,0),"-")</f>
        <v>-</v>
      </c>
      <c r="R16" s="189" t="str">
        <f>IFERROR(ROUND(VLOOKUP($H$2,'14年度'!$B$6:$GI$50,12,0)/1000,0),"-")</f>
        <v>-</v>
      </c>
      <c r="S16" s="189" t="str">
        <f>IFERROR(ROUND(VLOOKUP($H$2,'15年度'!$B$6:$GI$50,12,0)/1000,0),"-")</f>
        <v>-</v>
      </c>
      <c r="T16" s="189" t="str">
        <f>IFERROR(ROUND(VLOOKUP($H$2,'16年度'!$B$6:$GI$50,12,0)/1000,0),"-")</f>
        <v>-</v>
      </c>
      <c r="U16" s="189" t="str">
        <f>IFERROR(ROUND(VLOOKUP($H$2,'17年度'!$B$6:$GI$50,12,0)/1000,0),"-")</f>
        <v>-</v>
      </c>
      <c r="V16" s="189" t="str">
        <f>IFERROR(ROUND(VLOOKUP($H$2,'18年度'!$B$6:$GI$50,12,0)/1000,0),"-")</f>
        <v>-</v>
      </c>
      <c r="W16" s="190" t="str">
        <f>IFERROR(ROUND(VLOOKUP($H$2,'19年度'!$B$6:$GI$50,12,0)/1000,0),"-")</f>
        <v>-</v>
      </c>
      <c r="X16" s="191" t="str">
        <f>IFERROR(ROUND(VLOOKUP($H$2,'20年度'!$B$6:$GI$50,12,0)/1000,0),"-")</f>
        <v>-</v>
      </c>
      <c r="Y16" s="191" t="str">
        <f>IFERROR(ROUND(VLOOKUP($H$2,'21年度'!$B$6:$GI$50,12,0)/1000,0),"-")</f>
        <v>-</v>
      </c>
      <c r="Z16" s="191" t="str">
        <f>IFERROR(ROUND(VLOOKUP($H$2,'22年度'!$B$6:$GI$50,12,0)/1000,0),"-")</f>
        <v>-</v>
      </c>
      <c r="AA16" s="191">
        <f>IFERROR(ROUND(VLOOKUP($H$2,'23年度'!$B$6:$GI$52,12,0)/1000,0),"-")</f>
        <v>88702</v>
      </c>
      <c r="AB16" s="190">
        <f>IFERROR(ROUND(VLOOKUP($H$2,'24年度'!$B$6:$GI$52,12,0)/1000,0),"-")</f>
        <v>87033</v>
      </c>
      <c r="AC16" s="192">
        <f>IFERROR(ROUND(VLOOKUP($H$2,'25年度'!$B$6:$GI$52,12,0)/1000,0),"-")</f>
        <v>87295</v>
      </c>
      <c r="AD16" s="190">
        <f>IFERROR(ROUND(VLOOKUP($H$2,'26年度'!$B$6:$GI$52,12,0)/1000,0),"-")</f>
        <v>86385</v>
      </c>
      <c r="AE16" s="190">
        <f>IFERROR(ROUND(VLOOKUP($H$2,'27年度'!$B$6:$GI$52,12,0)/1000,0),"-")</f>
        <v>86826</v>
      </c>
      <c r="AF16" s="190">
        <f>IFERROR(ROUND(VLOOKUP($H$2,'28年度'!$B$6:$GI$52,12,0)/1000,0),"-")</f>
        <v>87879</v>
      </c>
      <c r="AG16" s="192">
        <f>IFERROR(ROUND(VLOOKUP($H$2,'29年度'!$B$6:$GI$52,12,0)/1000,0),"-")</f>
        <v>88095</v>
      </c>
      <c r="AH16" s="191">
        <f>IFERROR(ROUND(VLOOKUP($H$2,'30年度'!$B$6:$GI$52,12,0)/1000,0),"-")</f>
        <v>88710</v>
      </c>
      <c r="AI16" s="190">
        <f>IFERROR(ROUND(VLOOKUP($H$2,'R1年度'!$B$6:$GJ$52,12,0)/1000,0),"-")</f>
        <v>92244</v>
      </c>
      <c r="AJ16" s="190">
        <f>IFERROR(ROUND(VLOOKUP($H$2,'R2年度'!$B$6:$GJ$52,12,0)/1000,0),"-")</f>
        <v>92645</v>
      </c>
      <c r="AK16" s="192">
        <f>IFERROR(ROUND(VLOOKUP($H$2,'R3年度'!$B$6:$GJ$52,12,0)/1000,0),"-")</f>
        <v>96447</v>
      </c>
      <c r="AL16" s="191">
        <f>IFERROR(ROUND(VLOOKUP($H$2,'R4年度'!$B$6:$GJ$52,12,0)/1000,0),"-")</f>
        <v>98185</v>
      </c>
      <c r="AM16" s="190">
        <f>IFERROR(ROUND(VLOOKUP($H$2,'R5年度'!$B$6:$GJ$52,12,0)/1000,0),"-")</f>
        <v>99978</v>
      </c>
      <c r="AN16" s="193">
        <f>IFERROR(ROUND(VLOOKUP($H$2,'R6年度'!$B$6:$GK$52,12,0)/1000,0),"-")</f>
        <v>101674</v>
      </c>
    </row>
    <row r="17" spans="2:40" ht="15.9" customHeight="1" x14ac:dyDescent="0.15">
      <c r="B17" s="54"/>
      <c r="C17" s="478" t="s">
        <v>147</v>
      </c>
      <c r="D17" s="479"/>
      <c r="E17" s="202" t="str">
        <f>IFERROR(ROUND(VLOOKUP($H$2,'1年度'!$B$6:$GI$50,13,0)/1000,0),"-")</f>
        <v>-</v>
      </c>
      <c r="F17" s="202" t="str">
        <f>IFERROR(ROUND(VLOOKUP($H$2,'2年度'!$B$6:$GI$50,13,0)/1000,0),"-")</f>
        <v>-</v>
      </c>
      <c r="G17" s="202" t="str">
        <f>IFERROR(ROUND(VLOOKUP($H$2,'3年度'!$B$6:$GI$50,13,0)/1000,0),"-")</f>
        <v>-</v>
      </c>
      <c r="H17" s="202" t="str">
        <f>IFERROR(ROUND(VLOOKUP($H$2,'4年度'!$B$6:$GI$50,13,0)/1000,0),"-")</f>
        <v>-</v>
      </c>
      <c r="I17" s="202" t="str">
        <f>IFERROR(ROUND(VLOOKUP($H$2,'5年度'!$B$6:$GI$50,13,0)/1000,0),"-")</f>
        <v>-</v>
      </c>
      <c r="J17" s="202" t="str">
        <f>IFERROR(ROUND(VLOOKUP($H$2,'6年度'!$B$6:$GI$50,13,0)/1000,0),"-")</f>
        <v>-</v>
      </c>
      <c r="K17" s="202" t="str">
        <f>IFERROR(ROUND(VLOOKUP($H$2,'7年度'!$B$6:$GI$50,13,0)/1000,0),"-")</f>
        <v>-</v>
      </c>
      <c r="L17" s="202" t="str">
        <f>IFERROR(ROUND(VLOOKUP($H$2,'8年度'!$B$6:$GI$50,13,0)/1000,0),"-")</f>
        <v>-</v>
      </c>
      <c r="M17" s="202" t="str">
        <f>IFERROR(ROUND(VLOOKUP($H$2,'9年度'!$B$6:$GI$50,13,0)/1000,0),"-")</f>
        <v>-</v>
      </c>
      <c r="N17" s="202" t="str">
        <f>IFERROR(ROUND(VLOOKUP($H$2,'10年度'!$B$6:$GI$50,13,0)/1000,0),"-")</f>
        <v>-</v>
      </c>
      <c r="O17" s="202" t="str">
        <f>IFERROR(ROUND(VLOOKUP($H$2,'11年度'!$B$6:$GI$50,13,0)/1000,0),"-")</f>
        <v>-</v>
      </c>
      <c r="P17" s="202" t="str">
        <f>IFERROR(ROUND(VLOOKUP($H$2,'12年度'!$B$6:$GI$50,13,0)/1000,0),"-")</f>
        <v>-</v>
      </c>
      <c r="Q17" s="202" t="str">
        <f>IFERROR(ROUND(VLOOKUP($H$2,'13年度'!$B$6:$GI$50,13,0)/1000,0),"-")</f>
        <v>-</v>
      </c>
      <c r="R17" s="202" t="str">
        <f>IFERROR(ROUND(VLOOKUP($H$2,'14年度'!$B$6:$GI$50,13,0)/1000,0),"-")</f>
        <v>-</v>
      </c>
      <c r="S17" s="202" t="str">
        <f>IFERROR(ROUND(VLOOKUP($H$2,'15年度'!$B$6:$GI$50,13,0)/1000,0),"-")</f>
        <v>-</v>
      </c>
      <c r="T17" s="202" t="str">
        <f>IFERROR(ROUND(VLOOKUP($H$2,'16年度'!$B$6:$GI$50,13,0)/1000,0),"-")</f>
        <v>-</v>
      </c>
      <c r="U17" s="202" t="str">
        <f>IFERROR(ROUND(VLOOKUP($H$2,'17年度'!$B$6:$GI$50,13,0)/1000,0),"-")</f>
        <v>-</v>
      </c>
      <c r="V17" s="202" t="str">
        <f>IFERROR(ROUND(VLOOKUP($H$2,'18年度'!$B$6:$GI$50,13,0)/1000,0),"-")</f>
        <v>-</v>
      </c>
      <c r="W17" s="202" t="str">
        <f>IFERROR(ROUND(VLOOKUP($H$2,'19年度'!$B$6:$GI$50,13,0)/1000,0),"-")</f>
        <v>-</v>
      </c>
      <c r="X17" s="203" t="str">
        <f>IFERROR(ROUND(VLOOKUP($H$2,'20年度'!$B$6:$GI$50,13,0)/1000,0),"-")</f>
        <v>-</v>
      </c>
      <c r="Y17" s="203" t="str">
        <f>IFERROR(ROUND(VLOOKUP($H$2,'21年度'!$B$6:$GI$50,13,0)/1000,0),"-")</f>
        <v>-</v>
      </c>
      <c r="Z17" s="203" t="str">
        <f>IFERROR(ROUND(VLOOKUP($H$2,'22年度'!$B$6:$GI$50,13,0)/1000,0),"-")</f>
        <v>-</v>
      </c>
      <c r="AA17" s="203">
        <f>IFERROR(ROUND(VLOOKUP($H$2,'23年度'!$B$6:$GI$52,13,0)/1000,0),"-")</f>
        <v>72703</v>
      </c>
      <c r="AB17" s="202">
        <f>IFERROR(ROUND(VLOOKUP($H$2,'24年度'!$B$6:$GI$52,13,0)/1000,0),"-")</f>
        <v>71402</v>
      </c>
      <c r="AC17" s="204">
        <f>IFERROR(ROUND(VLOOKUP($H$2,'25年度'!$B$6:$GI$52,13,0)/1000,0),"-")</f>
        <v>78738</v>
      </c>
      <c r="AD17" s="202">
        <f>IFERROR(ROUND(VLOOKUP($H$2,'26年度'!$B$6:$GI$52,13,0)/1000,0),"-")</f>
        <v>75786</v>
      </c>
      <c r="AE17" s="202">
        <f>IFERROR(ROUND(VLOOKUP($H$2,'27年度'!$B$6:$GI$52,13,0)/1000,0),"-")</f>
        <v>74636</v>
      </c>
      <c r="AF17" s="202">
        <f>IFERROR(ROUND(VLOOKUP($H$2,'28年度'!$B$6:$GI$52,13,0)/1000,0),"-")</f>
        <v>73190</v>
      </c>
      <c r="AG17" s="204">
        <f>IFERROR(ROUND(VLOOKUP($H$2,'29年度'!$B$6:$GI$52,13,0)/1000,0),"-")</f>
        <v>69533</v>
      </c>
      <c r="AH17" s="203">
        <f>IFERROR(ROUND(VLOOKUP($H$2,'30年度'!$B$6:$GI$52,13,0)/1000,0),"-")</f>
        <v>67874</v>
      </c>
      <c r="AI17" s="202">
        <f>IFERROR(ROUND(VLOOKUP($H$2,'R1年度'!$B$6:$GJ$52,13,0)/1000,0),"-")</f>
        <v>67715</v>
      </c>
      <c r="AJ17" s="202">
        <f>IFERROR(ROUND(VLOOKUP($H$2,'R2年度'!$B$6:$GJ$52,13,0)/1000,0),"-")</f>
        <v>63861</v>
      </c>
      <c r="AK17" s="204">
        <f>IFERROR(ROUND(VLOOKUP($H$2,'R3年度'!$B$6:$GJ$52,13,0)/1000,0),"-")</f>
        <v>67510</v>
      </c>
      <c r="AL17" s="203">
        <f>IFERROR(ROUND(VLOOKUP($H$2,'R4年度'!$B$6:$GJ$52,13,0)/1000,0),"-")</f>
        <v>71789</v>
      </c>
      <c r="AM17" s="202">
        <f>IFERROR(ROUND(VLOOKUP($H$2,'R5年度'!$B$6:$GJ$52,13,0)/1000,0),"-")</f>
        <v>73024</v>
      </c>
      <c r="AN17" s="205">
        <f>IFERROR(ROUND(VLOOKUP($H$2,'R6年度'!$B$6:$GK$52,13,0)/1000,0),"-")</f>
        <v>73484</v>
      </c>
    </row>
    <row r="18" spans="2:40" ht="15.9" customHeight="1" x14ac:dyDescent="0.15">
      <c r="B18" s="54"/>
      <c r="C18" s="495" t="s">
        <v>148</v>
      </c>
      <c r="D18" s="490"/>
      <c r="E18" s="179" t="str">
        <f>IFERROR(ROUND(VLOOKUP($H$2,'1年度'!$B$6:$GI$50,14,0)/1000,0),"-")</f>
        <v>-</v>
      </c>
      <c r="F18" s="179" t="str">
        <f>IFERROR(ROUND(VLOOKUP($H$2,'2年度'!$B$6:$GI$50,14,0)/1000,0),"-")</f>
        <v>-</v>
      </c>
      <c r="G18" s="179" t="str">
        <f>IFERROR(ROUND(VLOOKUP($H$2,'3年度'!$B$6:$GI$50,14,0)/1000,0),"-")</f>
        <v>-</v>
      </c>
      <c r="H18" s="179" t="str">
        <f>IFERROR(ROUND(VLOOKUP($H$2,'4年度'!$B$6:$GI$50,14,0)/1000,0),"-")</f>
        <v>-</v>
      </c>
      <c r="I18" s="179" t="str">
        <f>IFERROR(ROUND(VLOOKUP($H$2,'5年度'!$B$6:$GI$50,14,0)/1000,0),"-")</f>
        <v>-</v>
      </c>
      <c r="J18" s="179" t="str">
        <f>IFERROR(ROUND(VLOOKUP($H$2,'6年度'!$B$6:$GI$50,14,0)/1000,0),"-")</f>
        <v>-</v>
      </c>
      <c r="K18" s="179" t="str">
        <f>IFERROR(ROUND(VLOOKUP($H$2,'7年度'!$B$6:$GI$50,14,0)/1000,0),"-")</f>
        <v>-</v>
      </c>
      <c r="L18" s="179" t="str">
        <f>IFERROR(ROUND(VLOOKUP($H$2,'8年度'!$B$6:$GI$50,14,0)/1000,0),"-")</f>
        <v>-</v>
      </c>
      <c r="M18" s="179" t="str">
        <f>IFERROR(ROUND(VLOOKUP($H$2,'9年度'!$B$6:$GI$50,14,0)/1000,0),"-")</f>
        <v>-</v>
      </c>
      <c r="N18" s="179" t="str">
        <f>IFERROR(ROUND(VLOOKUP($H$2,'10年度'!$B$6:$GI$50,14,0)/1000,0),"-")</f>
        <v>-</v>
      </c>
      <c r="O18" s="179" t="str">
        <f>IFERROR(ROUND(VLOOKUP($H$2,'11年度'!$B$6:$GI$50,14,0)/1000,0),"-")</f>
        <v>-</v>
      </c>
      <c r="P18" s="179" t="str">
        <f>IFERROR(ROUND(VLOOKUP($H$2,'12年度'!$B$6:$GI$50,14,0)/1000,0),"-")</f>
        <v>-</v>
      </c>
      <c r="Q18" s="179" t="str">
        <f>IFERROR(ROUND(VLOOKUP($H$2,'13年度'!$B$6:$GI$50,14,0)/1000,0),"-")</f>
        <v>-</v>
      </c>
      <c r="R18" s="179" t="str">
        <f>IFERROR(ROUND(VLOOKUP($H$2,'14年度'!$B$6:$GI$50,14,0)/1000,0),"-")</f>
        <v>-</v>
      </c>
      <c r="S18" s="179" t="str">
        <f>IFERROR(ROUND(VLOOKUP($H$2,'15年度'!$B$6:$GI$50,14,0)/1000,0),"-")</f>
        <v>-</v>
      </c>
      <c r="T18" s="179" t="str">
        <f>IFERROR(ROUND(VLOOKUP($H$2,'16年度'!$B$6:$GI$50,14,0)/1000,0),"-")</f>
        <v>-</v>
      </c>
      <c r="U18" s="179" t="str">
        <f>IFERROR(ROUND(VLOOKUP($H$2,'17年度'!$B$6:$GI$50,14,0)/1000,0),"-")</f>
        <v>-</v>
      </c>
      <c r="V18" s="179" t="str">
        <f>IFERROR(ROUND(VLOOKUP($H$2,'18年度'!$B$6:$GI$50,14,0)/1000,0),"-")</f>
        <v>-</v>
      </c>
      <c r="W18" s="180" t="str">
        <f>IFERROR(ROUND(VLOOKUP($H$2,'19年度'!$B$6:$GI$50,14,0)/1000,0),"-")</f>
        <v>-</v>
      </c>
      <c r="X18" s="181" t="str">
        <f>IFERROR(ROUND(VLOOKUP($H$2,'20年度'!$B$6:$GI$50,14,0)/1000,0),"-")</f>
        <v>-</v>
      </c>
      <c r="Y18" s="181" t="str">
        <f>IFERROR(ROUND(VLOOKUP($H$2,'21年度'!$B$6:$GI$50,14,0)/1000,0),"-")</f>
        <v>-</v>
      </c>
      <c r="Z18" s="181" t="str">
        <f>IFERROR(ROUND(VLOOKUP($H$2,'22年度'!$B$6:$GI$50,14,0)/1000,0),"-")</f>
        <v>-</v>
      </c>
      <c r="AA18" s="181">
        <f>IFERROR(ROUND(VLOOKUP($H$2,'23年度'!$B$6:$GI$52,14,0)/1000,0),"-")</f>
        <v>132595</v>
      </c>
      <c r="AB18" s="180">
        <f>IFERROR(ROUND(VLOOKUP($H$2,'24年度'!$B$6:$GI$52,14,0)/1000,0),"-")</f>
        <v>126213</v>
      </c>
      <c r="AC18" s="182">
        <f>IFERROR(ROUND(VLOOKUP($H$2,'25年度'!$B$6:$GI$52,14,0)/1000,0),"-")</f>
        <v>127066</v>
      </c>
      <c r="AD18" s="180">
        <f>IFERROR(ROUND(VLOOKUP($H$2,'26年度'!$B$6:$GI$52,14,0)/1000,0),"-")</f>
        <v>128405</v>
      </c>
      <c r="AE18" s="180">
        <f>IFERROR(ROUND(VLOOKUP($H$2,'27年度'!$B$6:$GI$52,14,0)/1000,0),"-")</f>
        <v>127947</v>
      </c>
      <c r="AF18" s="180">
        <f>IFERROR(ROUND(VLOOKUP($H$2,'28年度'!$B$6:$GI$52,14,0)/1000,0),"-")</f>
        <v>129544</v>
      </c>
      <c r="AG18" s="182">
        <f>IFERROR(ROUND(VLOOKUP($H$2,'29年度'!$B$6:$GI$52,14,0)/1000,0),"-")</f>
        <v>131013</v>
      </c>
      <c r="AH18" s="181">
        <f>IFERROR(ROUND(VLOOKUP($H$2,'30年度'!$B$6:$GI$52,14,0)/1000,0),"-")</f>
        <v>131923</v>
      </c>
      <c r="AI18" s="180">
        <f>IFERROR(ROUND(VLOOKUP($H$2,'R1年度'!$B$6:$GJ$52,14,0)/1000,0),"-")</f>
        <v>134874</v>
      </c>
      <c r="AJ18" s="180">
        <f>IFERROR(ROUND(VLOOKUP($H$2,'R2年度'!$B$6:$GJ$52,14,0)/1000,0),"-")</f>
        <v>135609</v>
      </c>
      <c r="AK18" s="182">
        <f>IFERROR(ROUND(VLOOKUP($H$2,'R3年度'!$B$6:$GJ$52,14,0)/1000,0),"-")</f>
        <v>136634</v>
      </c>
      <c r="AL18" s="181">
        <f>IFERROR(ROUND(VLOOKUP($H$2,'R4年度'!$B$6:$GJ$52,14,0)/1000,0),"-")</f>
        <v>140206</v>
      </c>
      <c r="AM18" s="180">
        <f>IFERROR(ROUND(VLOOKUP($H$2,'R5年度'!$B$6:$GJ$52,14,0)/1000,0),"-")</f>
        <v>143872</v>
      </c>
      <c r="AN18" s="183">
        <f>IFERROR(ROUND(VLOOKUP($H$2,'R6年度'!$B$6:$GK$52,14,0)/1000,0),"-")</f>
        <v>146745</v>
      </c>
    </row>
    <row r="19" spans="2:40" ht="15.9" customHeight="1" x14ac:dyDescent="0.15">
      <c r="B19" s="54"/>
      <c r="C19" s="37"/>
      <c r="D19" s="12" t="s">
        <v>149</v>
      </c>
      <c r="E19" s="185" t="str">
        <f>IFERROR(ROUND(VLOOKUP($H$2,'1年度'!$B$6:$GI$50,15,0)/1000,0),"-")</f>
        <v>-</v>
      </c>
      <c r="F19" s="185" t="str">
        <f>IFERROR(ROUND(VLOOKUP($H$2,'2年度'!$B$6:$GI$50,15,0)/1000,0),"-")</f>
        <v>-</v>
      </c>
      <c r="G19" s="185" t="str">
        <f>IFERROR(ROUND(VLOOKUP($H$2,'3年度'!$B$6:$GI$50,15,0)/1000,0),"-")</f>
        <v>-</v>
      </c>
      <c r="H19" s="185" t="str">
        <f>IFERROR(ROUND(VLOOKUP($H$2,'4年度'!$B$6:$GI$50,15,0)/1000,0),"-")</f>
        <v>-</v>
      </c>
      <c r="I19" s="185" t="str">
        <f>IFERROR(ROUND(VLOOKUP($H$2,'5年度'!$B$6:$GI$50,15,0)/1000,0),"-")</f>
        <v>-</v>
      </c>
      <c r="J19" s="185" t="str">
        <f>IFERROR(ROUND(VLOOKUP($H$2,'6年度'!$B$6:$GI$50,15,0)/1000,0),"-")</f>
        <v>-</v>
      </c>
      <c r="K19" s="185" t="str">
        <f>IFERROR(ROUND(VLOOKUP($H$2,'7年度'!$B$6:$GI$50,15,0)/1000,0),"-")</f>
        <v>-</v>
      </c>
      <c r="L19" s="185" t="str">
        <f>IFERROR(ROUND(VLOOKUP($H$2,'8年度'!$B$6:$GI$50,15,0)/1000,0),"-")</f>
        <v>-</v>
      </c>
      <c r="M19" s="185" t="str">
        <f>IFERROR(ROUND(VLOOKUP($H$2,'9年度'!$B$6:$GI$50,15,0)/1000,0),"-")</f>
        <v>-</v>
      </c>
      <c r="N19" s="185" t="str">
        <f>IFERROR(ROUND(VLOOKUP($H$2,'10年度'!$B$6:$GI$50,15,0)/1000,0),"-")</f>
        <v>-</v>
      </c>
      <c r="O19" s="185" t="str">
        <f>IFERROR(ROUND(VLOOKUP($H$2,'11年度'!$B$6:$GI$50,15,0)/1000,0),"-")</f>
        <v>-</v>
      </c>
      <c r="P19" s="185" t="str">
        <f>IFERROR(ROUND(VLOOKUP($H$2,'12年度'!$B$6:$GI$50,15,0)/1000,0),"-")</f>
        <v>-</v>
      </c>
      <c r="Q19" s="185" t="str">
        <f>IFERROR(ROUND(VLOOKUP($H$2,'13年度'!$B$6:$GI$50,15,0)/1000,0),"-")</f>
        <v>-</v>
      </c>
      <c r="R19" s="185" t="str">
        <f>IFERROR(ROUND(VLOOKUP($H$2,'14年度'!$B$6:$GI$50,15,0)/1000,0),"-")</f>
        <v>-</v>
      </c>
      <c r="S19" s="185" t="str">
        <f>IFERROR(ROUND(VLOOKUP($H$2,'15年度'!$B$6:$GI$50,15,0)/1000,0),"-")</f>
        <v>-</v>
      </c>
      <c r="T19" s="185" t="str">
        <f>IFERROR(ROUND(VLOOKUP($H$2,'16年度'!$B$6:$GI$50,15,0)/1000,0),"-")</f>
        <v>-</v>
      </c>
      <c r="U19" s="185" t="str">
        <f>IFERROR(ROUND(VLOOKUP($H$2,'17年度'!$B$6:$GI$50,15,0)/1000,0),"-")</f>
        <v>-</v>
      </c>
      <c r="V19" s="185" t="str">
        <f>IFERROR(ROUND(VLOOKUP($H$2,'18年度'!$B$6:$GI$50,15,0)/1000,0),"-")</f>
        <v>-</v>
      </c>
      <c r="W19" s="185" t="str">
        <f>IFERROR(ROUND(VLOOKUP($H$2,'19年度'!$B$6:$GI$50,15,0)/1000,0),"-")</f>
        <v>-</v>
      </c>
      <c r="X19" s="186" t="str">
        <f>IFERROR(ROUND(VLOOKUP($H$2,'20年度'!$B$6:$GI$50,15,0)/1000,0),"-")</f>
        <v>-</v>
      </c>
      <c r="Y19" s="186" t="str">
        <f>IFERROR(ROUND(VLOOKUP($H$2,'21年度'!$B$6:$GI$50,15,0)/1000,0),"-")</f>
        <v>-</v>
      </c>
      <c r="Z19" s="186" t="str">
        <f>IFERROR(ROUND(VLOOKUP($H$2,'22年度'!$B$6:$GI$50,15,0)/1000,0),"-")</f>
        <v>-</v>
      </c>
      <c r="AA19" s="186">
        <f>IFERROR(ROUND(VLOOKUP($H$2,'23年度'!$B$6:$GI$52,15,0)/1000,0),"-")</f>
        <v>69063</v>
      </c>
      <c r="AB19" s="185">
        <f>IFERROR(ROUND(VLOOKUP($H$2,'24年度'!$B$6:$GI$52,15,0)/1000,0),"-")</f>
        <v>67801</v>
      </c>
      <c r="AC19" s="187">
        <f>IFERROR(ROUND(VLOOKUP($H$2,'25年度'!$B$6:$GI$52,15,0)/1000,0),"-")</f>
        <v>67213</v>
      </c>
      <c r="AD19" s="185">
        <f>IFERROR(ROUND(VLOOKUP($H$2,'26年度'!$B$6:$GI$52,15,0)/1000,0),"-")</f>
        <v>66997</v>
      </c>
      <c r="AE19" s="185">
        <f>IFERROR(ROUND(VLOOKUP($H$2,'27年度'!$B$6:$GI$52,15,0)/1000,0),"-")</f>
        <v>67013</v>
      </c>
      <c r="AF19" s="185">
        <f>IFERROR(ROUND(VLOOKUP($H$2,'28年度'!$B$6:$GI$52,15,0)/1000,0),"-")</f>
        <v>67077</v>
      </c>
      <c r="AG19" s="187">
        <f>IFERROR(ROUND(VLOOKUP($H$2,'29年度'!$B$6:$GI$52,15,0)/1000,0),"-")</f>
        <v>67098</v>
      </c>
      <c r="AH19" s="186">
        <f>IFERROR(ROUND(VLOOKUP($H$2,'30年度'!$B$6:$GI$52,15,0)/1000,0),"-")</f>
        <v>68315</v>
      </c>
      <c r="AI19" s="185">
        <f>IFERROR(ROUND(VLOOKUP($H$2,'R1年度'!$B$6:$GJ$52,15,0)/1000,0),"-")</f>
        <v>69264</v>
      </c>
      <c r="AJ19" s="185">
        <f>IFERROR(ROUND(VLOOKUP($H$2,'R2年度'!$B$6:$GJ$52,15,0)/1000,0),"-")</f>
        <v>69073</v>
      </c>
      <c r="AK19" s="187">
        <f>IFERROR(ROUND(VLOOKUP($H$2,'R3年度'!$B$6:$GJ$52,15,0)/1000,0),"-")</f>
        <v>70777</v>
      </c>
      <c r="AL19" s="186">
        <f>IFERROR(ROUND(VLOOKUP($H$2,'R4年度'!$B$6:$GJ$52,15,0)/1000,0),"-")</f>
        <v>71182</v>
      </c>
      <c r="AM19" s="185">
        <f>IFERROR(ROUND(VLOOKUP($H$2,'R5年度'!$B$6:$GJ$52,15,0)/1000,0),"-")</f>
        <v>73196</v>
      </c>
      <c r="AN19" s="188">
        <f>IFERROR(ROUND(VLOOKUP($H$2,'R6年度'!$B$6:$GK$52,15,0)/1000,0),"-")</f>
        <v>75729</v>
      </c>
    </row>
    <row r="20" spans="2:40" ht="15.9" customHeight="1" thickBot="1" x14ac:dyDescent="0.2">
      <c r="B20" s="56"/>
      <c r="C20" s="61"/>
      <c r="D20" s="16" t="s">
        <v>150</v>
      </c>
      <c r="E20" s="206" t="str">
        <f>IFERROR(ROUND(VLOOKUP($H$2,'1年度'!$B$6:$GI$50,16,0)/1000,0),"-")</f>
        <v>-</v>
      </c>
      <c r="F20" s="206" t="str">
        <f>IFERROR(ROUND(VLOOKUP($H$2,'2年度'!$B$6:$GI$50,16,0)/1000,0),"-")</f>
        <v>-</v>
      </c>
      <c r="G20" s="206" t="str">
        <f>IFERROR(ROUND(VLOOKUP($H$2,'3年度'!$B$6:$GI$50,16,0)/1000,0),"-")</f>
        <v>-</v>
      </c>
      <c r="H20" s="206" t="str">
        <f>IFERROR(ROUND(VLOOKUP($H$2,'4年度'!$B$6:$GI$50,16,0)/1000,0),"-")</f>
        <v>-</v>
      </c>
      <c r="I20" s="206" t="str">
        <f>IFERROR(ROUND(VLOOKUP($H$2,'5年度'!$B$6:$GI$50,16,0)/1000,0),"-")</f>
        <v>-</v>
      </c>
      <c r="J20" s="206" t="str">
        <f>IFERROR(ROUND(VLOOKUP($H$2,'6年度'!$B$6:$GI$50,16,0)/1000,0),"-")</f>
        <v>-</v>
      </c>
      <c r="K20" s="206" t="str">
        <f>IFERROR(ROUND(VLOOKUP($H$2,'7年度'!$B$6:$GI$50,16,0)/1000,0),"-")</f>
        <v>-</v>
      </c>
      <c r="L20" s="206" t="str">
        <f>IFERROR(ROUND(VLOOKUP($H$2,'8年度'!$B$6:$GI$50,16,0)/1000,0),"-")</f>
        <v>-</v>
      </c>
      <c r="M20" s="206" t="str">
        <f>IFERROR(ROUND(VLOOKUP($H$2,'9年度'!$B$6:$GI$50,16,0)/1000,0),"-")</f>
        <v>-</v>
      </c>
      <c r="N20" s="206" t="str">
        <f>IFERROR(ROUND(VLOOKUP($H$2,'10年度'!$B$6:$GI$50,16,0)/1000,0),"-")</f>
        <v>-</v>
      </c>
      <c r="O20" s="206" t="str">
        <f>IFERROR(ROUND(VLOOKUP($H$2,'11年度'!$B$6:$GI$50,16,0)/1000,0),"-")</f>
        <v>-</v>
      </c>
      <c r="P20" s="206" t="str">
        <f>IFERROR(ROUND(VLOOKUP($H$2,'12年度'!$B$6:$GI$50,16,0)/1000,0),"-")</f>
        <v>-</v>
      </c>
      <c r="Q20" s="206" t="str">
        <f>IFERROR(ROUND(VLOOKUP($H$2,'13年度'!$B$6:$GI$50,16,0)/1000,0),"-")</f>
        <v>-</v>
      </c>
      <c r="R20" s="206" t="str">
        <f>IFERROR(ROUND(VLOOKUP($H$2,'14年度'!$B$6:$GI$50,16,0)/1000,0),"-")</f>
        <v>-</v>
      </c>
      <c r="S20" s="206" t="str">
        <f>IFERROR(ROUND(VLOOKUP($H$2,'15年度'!$B$6:$GI$50,16,0)/1000,0),"-")</f>
        <v>-</v>
      </c>
      <c r="T20" s="206" t="str">
        <f>IFERROR(ROUND(VLOOKUP($H$2,'16年度'!$B$6:$GI$50,16,0)/1000,0),"-")</f>
        <v>-</v>
      </c>
      <c r="U20" s="206" t="str">
        <f>IFERROR(ROUND(VLOOKUP($H$2,'17年度'!$B$6:$GI$50,16,0)/1000,0),"-")</f>
        <v>-</v>
      </c>
      <c r="V20" s="206" t="str">
        <f>IFERROR(ROUND(VLOOKUP($H$2,'18年度'!$B$6:$GI$50,16,0)/1000,0),"-")</f>
        <v>-</v>
      </c>
      <c r="W20" s="190" t="str">
        <f>IFERROR(ROUND(VLOOKUP($H$2,'19年度'!$B$6:$GI$50,16,0)/1000,0),"-")</f>
        <v>-</v>
      </c>
      <c r="X20" s="191" t="str">
        <f>IFERROR(ROUND(VLOOKUP($H$2,'20年度'!$B$6:$GI$50,16,0)/1000,0),"-")</f>
        <v>-</v>
      </c>
      <c r="Y20" s="191" t="str">
        <f>IFERROR(ROUND(VLOOKUP($H$2,'21年度'!$B$6:$GI$50,16,0)/1000,0),"-")</f>
        <v>-</v>
      </c>
      <c r="Z20" s="191" t="str">
        <f>IFERROR(ROUND(VLOOKUP($H$2,'22年度'!$B$6:$GI$50,16,0)/1000,0),"-")</f>
        <v>-</v>
      </c>
      <c r="AA20" s="191">
        <f>IFERROR(ROUND(VLOOKUP($H$2,'23年度'!$B$6:$GI$52,16,0)/1000,0),"-")</f>
        <v>63532</v>
      </c>
      <c r="AB20" s="190">
        <f>IFERROR(ROUND(VLOOKUP($H$2,'24年度'!$B$6:$GI$52,16,0)/1000,0),"-")</f>
        <v>58412</v>
      </c>
      <c r="AC20" s="192">
        <f>IFERROR(ROUND(VLOOKUP($H$2,'25年度'!$B$6:$GI$52,16,0)/1000,0),"-")</f>
        <v>59853</v>
      </c>
      <c r="AD20" s="190">
        <f>IFERROR(ROUND(VLOOKUP($H$2,'26年度'!$B$6:$GI$52,16,0)/1000,0),"-")</f>
        <v>61408</v>
      </c>
      <c r="AE20" s="190">
        <f>IFERROR(ROUND(VLOOKUP($H$2,'27年度'!$B$6:$GI$52,16,0)/1000,0),"-")</f>
        <v>60934</v>
      </c>
      <c r="AF20" s="190">
        <f>IFERROR(ROUND(VLOOKUP($H$2,'28年度'!$B$6:$GI$52,16,0)/1000,0),"-")</f>
        <v>62467</v>
      </c>
      <c r="AG20" s="192">
        <f>IFERROR(ROUND(VLOOKUP($H$2,'29年度'!$B$6:$GI$52,16,0)/1000,0),"-")</f>
        <v>63916</v>
      </c>
      <c r="AH20" s="191">
        <f>IFERROR(ROUND(VLOOKUP($H$2,'30年度'!$B$6:$GI$52,16,0)/1000,0),"-")</f>
        <v>63607</v>
      </c>
      <c r="AI20" s="190">
        <f>IFERROR(ROUND(VLOOKUP($H$2,'R1年度'!$B$6:$GJ$52,16,0)/1000,0),"-")</f>
        <v>65609</v>
      </c>
      <c r="AJ20" s="190">
        <f>IFERROR(ROUND(VLOOKUP($H$2,'R2年度'!$B$6:$GJ$52,16,0)/1000,0),"-")</f>
        <v>66536</v>
      </c>
      <c r="AK20" s="192">
        <f>IFERROR(ROUND(VLOOKUP($H$2,'R3年度'!$B$6:$GJ$52,16,0)/1000,0),"-")</f>
        <v>65857</v>
      </c>
      <c r="AL20" s="191">
        <f>IFERROR(ROUND(VLOOKUP($H$2,'R4年度'!$B$6:$GJ$52,16,0)/1000,0),"-")</f>
        <v>69024</v>
      </c>
      <c r="AM20" s="190">
        <f>IFERROR(ROUND(VLOOKUP($H$2,'R5年度'!$B$6:$GJ$52,16,0)/1000,0),"-")</f>
        <v>70676</v>
      </c>
      <c r="AN20" s="193">
        <f>IFERROR(ROUND(VLOOKUP($H$2,'R6年度'!$B$6:$GK$52,16,0)/1000,0),"-")</f>
        <v>71015</v>
      </c>
    </row>
    <row r="21" spans="2:40" ht="15.9" customHeight="1" x14ac:dyDescent="0.15">
      <c r="B21" s="484" t="s">
        <v>151</v>
      </c>
      <c r="C21" s="485"/>
      <c r="D21" s="486"/>
      <c r="E21" s="189" t="str">
        <f>IFERROR(ROUND(VLOOKUP($H$2,'1年度'!$B$6:$GI$50,17,0)/1000,0),"-")</f>
        <v>-</v>
      </c>
      <c r="F21" s="189" t="str">
        <f>IFERROR(ROUND(VLOOKUP($H$2,'2年度'!$B$6:$GI$50,17,0)/1000,0),"-")</f>
        <v>-</v>
      </c>
      <c r="G21" s="189" t="str">
        <f>IFERROR(ROUND(VLOOKUP($H$2,'3年度'!$B$6:$GI$50,17,0)/1000,0),"-")</f>
        <v>-</v>
      </c>
      <c r="H21" s="189" t="str">
        <f>IFERROR(ROUND(VLOOKUP($H$2,'4年度'!$B$6:$GI$50,17,0)/1000,0),"-")</f>
        <v>-</v>
      </c>
      <c r="I21" s="189" t="str">
        <f>IFERROR(ROUND(VLOOKUP($H$2,'5年度'!$B$6:$GI$50,17,0)/1000,0),"-")</f>
        <v>-</v>
      </c>
      <c r="J21" s="189" t="str">
        <f>IFERROR(ROUND(VLOOKUP($H$2,'6年度'!$B$6:$GI$50,17,0)/1000,0),"-")</f>
        <v>-</v>
      </c>
      <c r="K21" s="189" t="str">
        <f>IFERROR(ROUND(VLOOKUP($H$2,'7年度'!$B$6:$GI$50,17,0)/1000,0),"-")</f>
        <v>-</v>
      </c>
      <c r="L21" s="189" t="str">
        <f>IFERROR(ROUND(VLOOKUP($H$2,'8年度'!$B$6:$GI$50,17,0)/1000,0),"-")</f>
        <v>-</v>
      </c>
      <c r="M21" s="189" t="str">
        <f>IFERROR(ROUND(VLOOKUP($H$2,'9年度'!$B$6:$GI$50,17,0)/1000,0),"-")</f>
        <v>-</v>
      </c>
      <c r="N21" s="189" t="str">
        <f>IFERROR(ROUND(VLOOKUP($H$2,'10年度'!$B$6:$GI$50,17,0)/1000,0),"-")</f>
        <v>-</v>
      </c>
      <c r="O21" s="189" t="str">
        <f>IFERROR(ROUND(VLOOKUP($H$2,'11年度'!$B$6:$GI$50,17,0)/1000,0),"-")</f>
        <v>-</v>
      </c>
      <c r="P21" s="189" t="str">
        <f>IFERROR(ROUND(VLOOKUP($H$2,'12年度'!$B$6:$GI$50,17,0)/1000,0),"-")</f>
        <v>-</v>
      </c>
      <c r="Q21" s="189" t="str">
        <f>IFERROR(ROUND(VLOOKUP($H$2,'13年度'!$B$6:$GI$50,17,0)/1000,0),"-")</f>
        <v>-</v>
      </c>
      <c r="R21" s="189" t="str">
        <f>IFERROR(ROUND(VLOOKUP($H$2,'14年度'!$B$6:$GI$50,17,0)/1000,0),"-")</f>
        <v>-</v>
      </c>
      <c r="S21" s="189" t="str">
        <f>IFERROR(ROUND(VLOOKUP($H$2,'15年度'!$B$6:$GI$50,17,0)/1000,0),"-")</f>
        <v>-</v>
      </c>
      <c r="T21" s="189" t="str">
        <f>IFERROR(ROUND(VLOOKUP($H$2,'16年度'!$B$6:$GI$50,17,0)/1000,0),"-")</f>
        <v>-</v>
      </c>
      <c r="U21" s="189" t="str">
        <f>IFERROR(ROUND(VLOOKUP($H$2,'17年度'!$B$6:$GI$50,17,0)/1000,0),"-")</f>
        <v>-</v>
      </c>
      <c r="V21" s="189" t="str">
        <f>IFERROR(ROUND(VLOOKUP($H$2,'18年度'!$B$6:$GI$50,17,0)/1000,0),"-")</f>
        <v>-</v>
      </c>
      <c r="W21" s="175" t="str">
        <f>IFERROR(ROUND(VLOOKUP($H$2,'19年度'!$B$6:$GI$50,17,0)/1000,0),"-")</f>
        <v>-</v>
      </c>
      <c r="X21" s="176" t="str">
        <f>IFERROR(ROUND(VLOOKUP($H$2,'20年度'!$B$6:$GI$50,17,0)/1000,0),"-")</f>
        <v>-</v>
      </c>
      <c r="Y21" s="176" t="str">
        <f>IFERROR(ROUND(VLOOKUP($H$2,'21年度'!$B$6:$GI$50,17,0)/1000,0),"-")</f>
        <v>-</v>
      </c>
      <c r="Z21" s="176" t="str">
        <f>IFERROR(ROUND(VLOOKUP($H$2,'22年度'!$B$6:$GI$50,17,0)/1000,0),"-")</f>
        <v>-</v>
      </c>
      <c r="AA21" s="176">
        <f>IFERROR(ROUND(VLOOKUP($H$2,'23年度'!$B$6:$GI$52,17,0)/1000,0),"-")</f>
        <v>22139</v>
      </c>
      <c r="AB21" s="175">
        <f>IFERROR(ROUND(VLOOKUP($H$2,'24年度'!$B$6:$GI$52,17,0)/1000,0),"-")</f>
        <v>21009</v>
      </c>
      <c r="AC21" s="177">
        <f>IFERROR(ROUND(VLOOKUP($H$2,'25年度'!$B$6:$GI$52,17,0)/1000,0),"-")</f>
        <v>20116</v>
      </c>
      <c r="AD21" s="175">
        <f>IFERROR(ROUND(VLOOKUP($H$2,'26年度'!$B$6:$GI$52,17,0)/1000,0),"-")</f>
        <v>18944</v>
      </c>
      <c r="AE21" s="175">
        <f>IFERROR(ROUND(VLOOKUP($H$2,'27年度'!$B$6:$GI$52,17,0)/1000,0),"-")</f>
        <v>19621</v>
      </c>
      <c r="AF21" s="175">
        <f>IFERROR(ROUND(VLOOKUP($H$2,'28年度'!$B$6:$GI$52,17,0)/1000,0),"-")</f>
        <v>19021</v>
      </c>
      <c r="AG21" s="177">
        <f>IFERROR(ROUND(VLOOKUP($H$2,'29年度'!$B$6:$GI$52,17,0)/1000,0),"-")</f>
        <v>18904</v>
      </c>
      <c r="AH21" s="176">
        <f>IFERROR(ROUND(VLOOKUP($H$2,'30年度'!$B$6:$GI$52,17,0)/1000,0),"-")</f>
        <v>18969</v>
      </c>
      <c r="AI21" s="175">
        <f>IFERROR(ROUND(VLOOKUP($H$2,'R1年度'!$B$6:$GJ$52,17,0)/1000,0),"-")</f>
        <v>18873</v>
      </c>
      <c r="AJ21" s="175">
        <f>IFERROR(ROUND(VLOOKUP($H$2,'R2年度'!$B$6:$GJ$52,17,0)/1000,0),"-")</f>
        <v>17540</v>
      </c>
      <c r="AK21" s="177">
        <f>IFERROR(ROUND(VLOOKUP($H$2,'R3年度'!$B$6:$GJ$52,17,0)/1000,0),"-")</f>
        <v>19123</v>
      </c>
      <c r="AL21" s="176">
        <f>IFERROR(ROUND(VLOOKUP($H$2,'R4年度'!$B$6:$GJ$52,17,0)/1000,0),"-")</f>
        <v>19148</v>
      </c>
      <c r="AM21" s="175">
        <f>IFERROR(ROUND(VLOOKUP($H$2,'R5年度'!$B$6:$GJ$52,17,0)/1000,0),"-")</f>
        <v>19250</v>
      </c>
      <c r="AN21" s="178">
        <f>IFERROR(ROUND(VLOOKUP($H$2,'R6年度'!$B$6:$GK$52,17,0)/1000,0),"-")</f>
        <v>19128</v>
      </c>
    </row>
    <row r="22" spans="2:40" ht="15.9" customHeight="1" x14ac:dyDescent="0.15">
      <c r="B22" s="54"/>
      <c r="C22" s="478" t="s">
        <v>152</v>
      </c>
      <c r="D22" s="479"/>
      <c r="E22" s="202" t="str">
        <f>IFERROR(ROUND(VLOOKUP($H$2,'1年度'!$B$6:$GI$50,18,0)/1000,0),"-")</f>
        <v>-</v>
      </c>
      <c r="F22" s="202" t="str">
        <f>IFERROR(ROUND(VLOOKUP($H$2,'2年度'!$B$6:$GI$50,18,0)/1000,0),"-")</f>
        <v>-</v>
      </c>
      <c r="G22" s="202" t="str">
        <f>IFERROR(ROUND(VLOOKUP($H$2,'3年度'!$B$6:$GI$50,18,0)/1000,0),"-")</f>
        <v>-</v>
      </c>
      <c r="H22" s="202" t="str">
        <f>IFERROR(ROUND(VLOOKUP($H$2,'4年度'!$B$6:$GI$50,18,0)/1000,0),"-")</f>
        <v>-</v>
      </c>
      <c r="I22" s="202" t="str">
        <f>IFERROR(ROUND(VLOOKUP($H$2,'5年度'!$B$6:$GI$50,18,0)/1000,0),"-")</f>
        <v>-</v>
      </c>
      <c r="J22" s="202" t="str">
        <f>IFERROR(ROUND(VLOOKUP($H$2,'6年度'!$B$6:$GI$50,18,0)/1000,0),"-")</f>
        <v>-</v>
      </c>
      <c r="K22" s="202" t="str">
        <f>IFERROR(ROUND(VLOOKUP($H$2,'7年度'!$B$6:$GI$50,18,0)/1000,0),"-")</f>
        <v>-</v>
      </c>
      <c r="L22" s="202" t="str">
        <f>IFERROR(ROUND(VLOOKUP($H$2,'8年度'!$B$6:$GI$50,18,0)/1000,0),"-")</f>
        <v>-</v>
      </c>
      <c r="M22" s="202" t="str">
        <f>IFERROR(ROUND(VLOOKUP($H$2,'9年度'!$B$6:$GI$50,18,0)/1000,0),"-")</f>
        <v>-</v>
      </c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8"/>
      <c r="Y22" s="208"/>
      <c r="Z22" s="208"/>
      <c r="AA22" s="208"/>
      <c r="AB22" s="207"/>
      <c r="AC22" s="209"/>
      <c r="AD22" s="207"/>
      <c r="AE22" s="207"/>
      <c r="AF22" s="207"/>
      <c r="AG22" s="209"/>
      <c r="AH22" s="208"/>
      <c r="AI22" s="207"/>
      <c r="AJ22" s="207"/>
      <c r="AK22" s="209"/>
      <c r="AL22" s="208"/>
      <c r="AM22" s="207"/>
      <c r="AN22" s="210"/>
    </row>
    <row r="23" spans="2:40" ht="15.9" customHeight="1" thickBot="1" x14ac:dyDescent="0.2">
      <c r="B23" s="56"/>
      <c r="C23" s="487" t="s">
        <v>153</v>
      </c>
      <c r="D23" s="488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179" t="str">
        <f>IFERROR(ROUND(VLOOKUP($H$2,'16年度'!$B$6:$GI$50,18,0)/1000,0),"-")</f>
        <v>-</v>
      </c>
      <c r="U23" s="179" t="str">
        <f>IFERROR(ROUND(VLOOKUP($H$2,'17年度'!$B$6:$GI$50,18,0)/1000,0),"-")</f>
        <v>-</v>
      </c>
      <c r="V23" s="179" t="str">
        <f>IFERROR(ROUND(VLOOKUP($H$2,'18年度'!$B$6:$GI$50,18,0)/1000,0),"-")</f>
        <v>-</v>
      </c>
      <c r="W23" s="211"/>
      <c r="X23" s="212"/>
      <c r="Y23" s="212"/>
      <c r="Z23" s="212"/>
      <c r="AA23" s="212"/>
      <c r="AB23" s="211"/>
      <c r="AC23" s="213"/>
      <c r="AD23" s="211"/>
      <c r="AE23" s="211"/>
      <c r="AF23" s="211"/>
      <c r="AG23" s="213"/>
      <c r="AH23" s="212"/>
      <c r="AI23" s="211"/>
      <c r="AJ23" s="211"/>
      <c r="AK23" s="213"/>
      <c r="AL23" s="212"/>
      <c r="AM23" s="211"/>
      <c r="AN23" s="214"/>
    </row>
    <row r="24" spans="2:40" ht="15.9" customHeight="1" x14ac:dyDescent="0.15">
      <c r="B24" s="484" t="s">
        <v>154</v>
      </c>
      <c r="C24" s="485"/>
      <c r="D24" s="486"/>
      <c r="E24" s="175" t="str">
        <f>IFERROR(ROUND(VLOOKUP($H$2,'1年度'!$B$6:$GI$50,19,0)/1000,0),"-")</f>
        <v>-</v>
      </c>
      <c r="F24" s="175" t="str">
        <f>IFERROR(ROUND(VLOOKUP($H$2,'2年度'!$B$6:$GI$50,19,0)/1000,0),"-")</f>
        <v>-</v>
      </c>
      <c r="G24" s="175" t="str">
        <f>IFERROR(ROUND(VLOOKUP($H$2,'3年度'!$B$6:$GI$50,19,0)/1000,0),"-")</f>
        <v>-</v>
      </c>
      <c r="H24" s="175" t="str">
        <f>IFERROR(ROUND(VLOOKUP($H$2,'4年度'!$B$6:$GI$50,19,0)/1000,0),"-")</f>
        <v>-</v>
      </c>
      <c r="I24" s="175" t="str">
        <f>IFERROR(ROUND(VLOOKUP($H$2,'5年度'!$B$6:$GI$50,19,0)/1000,0),"-")</f>
        <v>-</v>
      </c>
      <c r="J24" s="175" t="str">
        <f>IFERROR(ROUND(VLOOKUP($H$2,'6年度'!$B$6:$GI$50,19,0)/1000,0),"-")</f>
        <v>-</v>
      </c>
      <c r="K24" s="175" t="str">
        <f>IFERROR(ROUND(VLOOKUP($H$2,'7年度'!$B$6:$GI$50,19,0)/1000,0),"-")</f>
        <v>-</v>
      </c>
      <c r="L24" s="175" t="str">
        <f>IFERROR(ROUND(VLOOKUP($H$2,'8年度'!$B$6:$GI$50,19,0)/1000,0),"-")</f>
        <v>-</v>
      </c>
      <c r="M24" s="175" t="str">
        <f>IFERROR(ROUND(VLOOKUP($H$2,'9年度'!$B$6:$GI$50,19,0)/1000,0),"-")</f>
        <v>-</v>
      </c>
      <c r="N24" s="175" t="str">
        <f>IFERROR(ROUND(VLOOKUP($H$2,'10年度'!$B$6:$GI$50,19,0)/1000,0),"-")</f>
        <v>-</v>
      </c>
      <c r="O24" s="175" t="str">
        <f>IFERROR(ROUND(VLOOKUP($H$2,'11年度'!$B$6:$GI$50,19,0)/1000,0),"-")</f>
        <v>-</v>
      </c>
      <c r="P24" s="175" t="str">
        <f>IFERROR(ROUND(VLOOKUP($H$2,'12年度'!$B$6:$GI$50,19,0)/1000,0),"-")</f>
        <v>-</v>
      </c>
      <c r="Q24" s="175" t="str">
        <f>IFERROR(ROUND(VLOOKUP($H$2,'13年度'!$B$6:$GI$50,19,0)/1000,0),"-")</f>
        <v>-</v>
      </c>
      <c r="R24" s="175" t="str">
        <f>IFERROR(ROUND(VLOOKUP($H$2,'14年度'!$B$6:$GI$50,19,0)/1000,0),"-")</f>
        <v>-</v>
      </c>
      <c r="S24" s="175" t="str">
        <f>IFERROR(ROUND(VLOOKUP($H$2,'15年度'!$B$6:$GI$50,19,0)/1000,0),"-")</f>
        <v>-</v>
      </c>
      <c r="T24" s="175" t="str">
        <f>IFERROR(ROUND(VLOOKUP($H$2,'16年度'!$B$6:$GI$50,19,0)/1000,0),"-")</f>
        <v>-</v>
      </c>
      <c r="U24" s="175" t="str">
        <f>IFERROR(ROUND(VLOOKUP($H$2,'17年度'!$B$6:$GI$50,19,0)/1000,0),"-")</f>
        <v>-</v>
      </c>
      <c r="V24" s="175" t="str">
        <f>IFERROR(ROUND(VLOOKUP($H$2,'18年度'!$B$6:$GI$50,19,0)/1000,0),"-")</f>
        <v>-</v>
      </c>
      <c r="W24" s="175" t="str">
        <f>IFERROR(ROUND(VLOOKUP($H$2,'19年度'!$B$6:$GI$50,19,0)/1000,0),"-")</f>
        <v>-</v>
      </c>
      <c r="X24" s="176" t="str">
        <f>IFERROR(ROUND(VLOOKUP($H$2,'20年度'!$B$6:$GI$50,19,0)/1000,0),"-")</f>
        <v>-</v>
      </c>
      <c r="Y24" s="176" t="str">
        <f>IFERROR(ROUND(VLOOKUP($H$2,'21年度'!$B$6:$GI$50,19,0)/1000,0),"-")</f>
        <v>-</v>
      </c>
      <c r="Z24" s="176" t="str">
        <f>IFERROR(ROUND(VLOOKUP($H$2,'22年度'!$B$6:$GI$50,19,0)/1000,0),"-")</f>
        <v>-</v>
      </c>
      <c r="AA24" s="176">
        <f>IFERROR(ROUND(VLOOKUP($H$2,'23年度'!$B$6:$GI$52,19,0)/1000,0),"-")</f>
        <v>111367</v>
      </c>
      <c r="AB24" s="175">
        <f>IFERROR(ROUND(VLOOKUP($H$2,'24年度'!$B$6:$GI$52,19,0)/1000,0),"-")</f>
        <v>113414</v>
      </c>
      <c r="AC24" s="177">
        <f>IFERROR(ROUND(VLOOKUP($H$2,'25年度'!$B$6:$GI$52,19,0)/1000,0),"-")</f>
        <v>124933</v>
      </c>
      <c r="AD24" s="175">
        <f>IFERROR(ROUND(VLOOKUP($H$2,'26年度'!$B$6:$GI$52,19,0)/1000,0),"-")</f>
        <v>141674</v>
      </c>
      <c r="AE24" s="175">
        <f>IFERROR(ROUND(VLOOKUP($H$2,'27年度'!$B$6:$GI$52,19,0)/1000,0),"-")</f>
        <v>215765</v>
      </c>
      <c r="AF24" s="175">
        <f>IFERROR(ROUND(VLOOKUP($H$2,'28年度'!$B$6:$GI$52,19,0)/1000,0),"-")</f>
        <v>185359</v>
      </c>
      <c r="AG24" s="177">
        <f>IFERROR(ROUND(VLOOKUP($H$2,'29年度'!$B$6:$GI$52,19,0)/1000,0),"-")</f>
        <v>197890</v>
      </c>
      <c r="AH24" s="176">
        <f>IFERROR(ROUND(VLOOKUP($H$2,'30年度'!$B$6:$GI$52,19,0)/1000,0),"-")</f>
        <v>189720</v>
      </c>
      <c r="AI24" s="175">
        <f>IFERROR(ROUND(VLOOKUP($H$2,'R1年度'!$B$6:$GJ$52,19,0)/1000,0),"-")</f>
        <v>178614</v>
      </c>
      <c r="AJ24" s="175">
        <f>IFERROR(ROUND(VLOOKUP($H$2,'R2年度'!$B$6:$GJ$52,19,0)/1000,0),"-")</f>
        <v>228241</v>
      </c>
      <c r="AK24" s="177">
        <f>IFERROR(ROUND(VLOOKUP($H$2,'R3年度'!$B$6:$GJ$52,19,0)/1000,0),"-")</f>
        <v>266242</v>
      </c>
      <c r="AL24" s="176">
        <f>IFERROR(ROUND(VLOOKUP($H$2,'R4年度'!$B$6:$GJ$52,19,0)/1000,0),"-")</f>
        <v>273869</v>
      </c>
      <c r="AM24" s="175">
        <f>IFERROR(ROUND(VLOOKUP($H$2,'R5年度'!$B$6:$GJ$52,19,0)/1000,0),"-")</f>
        <v>280234</v>
      </c>
      <c r="AN24" s="178">
        <f>IFERROR(ROUND(VLOOKUP($H$2,'R6年度'!$B$6:$GK$52,19,0)/1000,0),"-")</f>
        <v>326272</v>
      </c>
    </row>
    <row r="25" spans="2:40" ht="15.9" customHeight="1" x14ac:dyDescent="0.15">
      <c r="B25" s="54"/>
      <c r="C25" s="478" t="s">
        <v>155</v>
      </c>
      <c r="D25" s="479"/>
      <c r="E25" s="202" t="str">
        <f>IFERROR(ROUND(VLOOKUP($H$2,'1年度'!$B$6:$GI$50,20,0)/1000,0),"-")</f>
        <v>-</v>
      </c>
      <c r="F25" s="202" t="str">
        <f>IFERROR(ROUND(VLOOKUP($H$2,'2年度'!$B$6:$GI$50,20,0)/1000,0),"-")</f>
        <v>-</v>
      </c>
      <c r="G25" s="202" t="str">
        <f>IFERROR(ROUND(VLOOKUP($H$2,'3年度'!$B$6:$GI$50,20,0)/1000,0),"-")</f>
        <v>-</v>
      </c>
      <c r="H25" s="202" t="str">
        <f>IFERROR(ROUND(VLOOKUP($H$2,'4年度'!$B$6:$GI$50,20,0)/1000,0),"-")</f>
        <v>-</v>
      </c>
      <c r="I25" s="202" t="str">
        <f>IFERROR(ROUND(VLOOKUP($H$2,'5年度'!$B$6:$GI$50,20,0)/1000,0),"-")</f>
        <v>-</v>
      </c>
      <c r="J25" s="202" t="str">
        <f>IFERROR(ROUND(VLOOKUP($H$2,'6年度'!$B$6:$GI$50,20,0)/1000,0),"-")</f>
        <v>-</v>
      </c>
      <c r="K25" s="202" t="str">
        <f>IFERROR(ROUND(VLOOKUP($H$2,'7年度'!$B$6:$GI$50,20,0)/1000,0),"-")</f>
        <v>-</v>
      </c>
      <c r="L25" s="202" t="str">
        <f>IFERROR(ROUND(VLOOKUP($H$2,'8年度'!$B$6:$GI$50,20,0)/1000,0),"-")</f>
        <v>-</v>
      </c>
      <c r="M25" s="202" t="str">
        <f>IFERROR(ROUND(VLOOKUP($H$2,'9年度'!$B$6:$GI$50,20,0)/1000,0),"-")</f>
        <v>-</v>
      </c>
      <c r="N25" s="202" t="str">
        <f>IFERROR(ROUND(VLOOKUP($H$2,'10年度'!$B$6:$GI$50,20,0)/1000,0),"-")</f>
        <v>-</v>
      </c>
      <c r="O25" s="202" t="str">
        <f>IFERROR(ROUND(VLOOKUP($H$2,'11年度'!$B$6:$GI$50,20,0)/1000,0),"-")</f>
        <v>-</v>
      </c>
      <c r="P25" s="202" t="str">
        <f>IFERROR(ROUND(VLOOKUP($H$2,'12年度'!$B$6:$GI$50,20,0)/1000,0),"-")</f>
        <v>-</v>
      </c>
      <c r="Q25" s="202" t="str">
        <f>IFERROR(ROUND(VLOOKUP($H$2,'13年度'!$B$6:$GI$50,20,0)/1000,0),"-")</f>
        <v>-</v>
      </c>
      <c r="R25" s="202" t="str">
        <f>IFERROR(ROUND(VLOOKUP($H$2,'14年度'!$B$6:$GI$50,20,0)/1000,0),"-")</f>
        <v>-</v>
      </c>
      <c r="S25" s="202" t="str">
        <f>IFERROR(ROUND(VLOOKUP($H$2,'15年度'!$B$6:$GI$50,20,0)/1000,0),"-")</f>
        <v>-</v>
      </c>
      <c r="T25" s="202" t="str">
        <f>IFERROR(ROUND(VLOOKUP($H$2,'16年度'!$B$6:$GI$50,20,0)/1000,0),"-")</f>
        <v>-</v>
      </c>
      <c r="U25" s="202" t="str">
        <f>IFERROR(ROUND(VLOOKUP($H$2,'17年度'!$B$6:$GI$50,20,0)/1000,0),"-")</f>
        <v>-</v>
      </c>
      <c r="V25" s="202" t="str">
        <f>IFERROR(ROUND(VLOOKUP($H$2,'18年度'!$B$6:$GI$50,20,0)/1000,0),"-")</f>
        <v>-</v>
      </c>
      <c r="W25" s="202" t="str">
        <f>IFERROR(ROUND(VLOOKUP($H$2,'19年度'!$B$6:$GI$50,20,0)/1000,0),"-")</f>
        <v>-</v>
      </c>
      <c r="X25" s="203" t="str">
        <f>IFERROR(ROUND(VLOOKUP($H$2,'20年度'!$B$6:$GI$50,20,0)/1000,0),"-")</f>
        <v>-</v>
      </c>
      <c r="Y25" s="203" t="str">
        <f>IFERROR(ROUND(VLOOKUP($H$2,'21年度'!$B$6:$GI$50,20,0)/1000,0),"-")</f>
        <v>-</v>
      </c>
      <c r="Z25" s="203" t="str">
        <f>IFERROR(ROUND(VLOOKUP($H$2,'22年度'!$B$6:$GI$50,20,0)/1000,0),"-")</f>
        <v>-</v>
      </c>
      <c r="AA25" s="203">
        <f>IFERROR(ROUND(VLOOKUP($H$2,'23年度'!$B$6:$GI$52,20,0)/1000,0),"-")</f>
        <v>5445</v>
      </c>
      <c r="AB25" s="202">
        <f>IFERROR(ROUND(VLOOKUP($H$2,'24年度'!$B$6:$GI$52,20,0)/1000,0),"-")</f>
        <v>5075</v>
      </c>
      <c r="AC25" s="204">
        <f>IFERROR(ROUND(VLOOKUP($H$2,'25年度'!$B$6:$GI$52,20,0)/1000,0),"-")</f>
        <v>4967</v>
      </c>
      <c r="AD25" s="202">
        <f>IFERROR(ROUND(VLOOKUP($H$2,'26年度'!$B$6:$GI$52,20,0)/1000,0),"-")</f>
        <v>4847</v>
      </c>
      <c r="AE25" s="202">
        <f>IFERROR(ROUND(VLOOKUP($H$2,'27年度'!$B$6:$GI$52,20,0)/1000,0),"-")</f>
        <v>4065</v>
      </c>
      <c r="AF25" s="202">
        <f>IFERROR(ROUND(VLOOKUP($H$2,'28年度'!$B$6:$GI$52,20,0)/1000,0),"-")</f>
        <v>1750</v>
      </c>
      <c r="AG25" s="204">
        <f>IFERROR(ROUND(VLOOKUP($H$2,'29年度'!$B$6:$GI$52,20,0)/1000,0),"-")</f>
        <v>3128</v>
      </c>
      <c r="AH25" s="203">
        <f>IFERROR(ROUND(VLOOKUP($H$2,'30年度'!$B$6:$GI$52,20,0)/1000,0),"-")</f>
        <v>2969</v>
      </c>
      <c r="AI25" s="202">
        <f>IFERROR(ROUND(VLOOKUP($H$2,'R1年度'!$B$6:$GJ$52,20,0)/1000,0),"-")</f>
        <v>1821</v>
      </c>
      <c r="AJ25" s="202">
        <f>IFERROR(ROUND(VLOOKUP($H$2,'R2年度'!$B$6:$GJ$52,20,0)/1000,0),"-")</f>
        <v>1779</v>
      </c>
      <c r="AK25" s="204">
        <f>IFERROR(ROUND(VLOOKUP($H$2,'R3年度'!$B$6:$GJ$52,20,0)/1000,0),"-")</f>
        <v>1443</v>
      </c>
      <c r="AL25" s="203">
        <f>IFERROR(ROUND(VLOOKUP($H$2,'R4年度'!$B$6:$GJ$52,20,0)/1000,0),"-")</f>
        <v>1273</v>
      </c>
      <c r="AM25" s="202">
        <f>IFERROR(ROUND(VLOOKUP($H$2,'R5年度'!$B$6:$GJ$52,20,0)/1000,0),"-")</f>
        <v>1198</v>
      </c>
      <c r="AN25" s="205">
        <f>IFERROR(ROUND(VLOOKUP($H$2,'R6年度'!$B$6:$GK$52,20,0)/1000,0),"-")</f>
        <v>1505</v>
      </c>
    </row>
    <row r="26" spans="2:40" ht="15.9" customHeight="1" x14ac:dyDescent="0.15">
      <c r="B26" s="54"/>
      <c r="C26" s="478" t="s">
        <v>156</v>
      </c>
      <c r="D26" s="479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2" t="str">
        <f>IFERROR(ROUND(VLOOKUP($H$2,'16年度'!$B$6:$GI$50,21,0)/1000,0),"-")</f>
        <v>-</v>
      </c>
      <c r="U26" s="202" t="str">
        <f>IFERROR(ROUND(VLOOKUP($H$2,'17年度'!$B$6:$GI$50,21,0)/1000,0),"-")</f>
        <v>-</v>
      </c>
      <c r="V26" s="202" t="str">
        <f>IFERROR(ROUND(VLOOKUP($H$2,'18年度'!$B$6:$GI$50,21,0)/1000,0),"-")</f>
        <v>-</v>
      </c>
      <c r="W26" s="202" t="str">
        <f>IFERROR(ROUND(VLOOKUP($H$2,'19年度'!$B$6:$GI$50,21,0)/1000,0),"-")</f>
        <v>-</v>
      </c>
      <c r="X26" s="203" t="str">
        <f>IFERROR(ROUND(VLOOKUP($H$2,'20年度'!$B$6:$GI$50,21,0)/1000,0),"-")</f>
        <v>-</v>
      </c>
      <c r="Y26" s="203" t="str">
        <f>IFERROR(ROUND(VLOOKUP($H$2,'21年度'!$B$6:$GI$50,21,0)/1000,0),"-")</f>
        <v>-</v>
      </c>
      <c r="Z26" s="203" t="str">
        <f>IFERROR(ROUND(VLOOKUP($H$2,'22年度'!$B$6:$GI$50,21,0)/1000,0),"-")</f>
        <v>-</v>
      </c>
      <c r="AA26" s="203">
        <f>IFERROR(ROUND(VLOOKUP($H$2,'23年度'!$B$6:$GI$52,21,0)/1000,0),"-")</f>
        <v>3533</v>
      </c>
      <c r="AB26" s="202">
        <f>IFERROR(ROUND(VLOOKUP($H$2,'24年度'!$B$6:$GI$52,21,0)/1000,0),"-")</f>
        <v>3929</v>
      </c>
      <c r="AC26" s="204">
        <f>IFERROR(ROUND(VLOOKUP($H$2,'25年度'!$B$6:$GI$52,21,0)/1000,0),"-")</f>
        <v>7220</v>
      </c>
      <c r="AD26" s="202">
        <f>IFERROR(ROUND(VLOOKUP($H$2,'26年度'!$B$6:$GI$52,21,0)/1000,0),"-")</f>
        <v>13087</v>
      </c>
      <c r="AE26" s="202">
        <f>IFERROR(ROUND(VLOOKUP($H$2,'27年度'!$B$6:$GI$52,21,0)/1000,0),"-")</f>
        <v>9553</v>
      </c>
      <c r="AF26" s="202">
        <f>IFERROR(ROUND(VLOOKUP($H$2,'28年度'!$B$6:$GI$52,21,0)/1000,0),"-")</f>
        <v>6382</v>
      </c>
      <c r="AG26" s="204">
        <f>IFERROR(ROUND(VLOOKUP($H$2,'29年度'!$B$6:$GI$52,21,0)/1000,0),"-")</f>
        <v>8876</v>
      </c>
      <c r="AH26" s="203">
        <f>IFERROR(ROUND(VLOOKUP($H$2,'30年度'!$B$6:$GI$52,21,0)/1000,0),"-")</f>
        <v>7072</v>
      </c>
      <c r="AI26" s="202">
        <f>IFERROR(ROUND(VLOOKUP($H$2,'R1年度'!$B$6:$GJ$52,21,0)/1000,0),"-")</f>
        <v>8413</v>
      </c>
      <c r="AJ26" s="202">
        <f>IFERROR(ROUND(VLOOKUP($H$2,'R2年度'!$B$6:$GJ$52,21,0)/1000,0),"-")</f>
        <v>7544</v>
      </c>
      <c r="AK26" s="204">
        <f>IFERROR(ROUND(VLOOKUP($H$2,'R3年度'!$B$6:$GJ$52,21,0)/1000,0),"-")</f>
        <v>11422</v>
      </c>
      <c r="AL26" s="203">
        <f>IFERROR(ROUND(VLOOKUP($H$2,'R4年度'!$B$6:$GJ$52,21,0)/1000,0),"-")</f>
        <v>10638</v>
      </c>
      <c r="AM26" s="202">
        <f>IFERROR(ROUND(VLOOKUP($H$2,'R5年度'!$B$6:$GJ$52,21,0)/1000,0),"-")</f>
        <v>11984</v>
      </c>
      <c r="AN26" s="205">
        <f>IFERROR(ROUND(VLOOKUP($H$2,'R6年度'!$B$6:$GK$52,21,0)/1000,0),"-")</f>
        <v>16701</v>
      </c>
    </row>
    <row r="27" spans="2:40" ht="15.9" customHeight="1" x14ac:dyDescent="0.15">
      <c r="B27" s="54"/>
      <c r="C27" s="478" t="s">
        <v>157</v>
      </c>
      <c r="D27" s="479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2" t="str">
        <f>IFERROR(ROUND(VLOOKUP($H$2,'16年度'!$B$6:$GI$50,22,0)/1000,0),"-")</f>
        <v>-</v>
      </c>
      <c r="U27" s="202" t="str">
        <f>IFERROR(ROUND(VLOOKUP($H$2,'17年度'!$B$6:$GI$50,22,0)/1000,0),"-")</f>
        <v>-</v>
      </c>
      <c r="V27" s="202" t="str">
        <f>IFERROR(ROUND(VLOOKUP($H$2,'18年度'!$B$6:$GI$50,22,0)/1000,0),"-")</f>
        <v>-</v>
      </c>
      <c r="W27" s="202" t="str">
        <f>IFERROR(ROUND(VLOOKUP($H$2,'19年度'!$B$6:$GI$50,22,0)/1000,0),"-")</f>
        <v>-</v>
      </c>
      <c r="X27" s="203" t="str">
        <f>IFERROR(ROUND(VLOOKUP($H$2,'20年度'!$B$6:$GI$50,22,0)/1000,0),"-")</f>
        <v>-</v>
      </c>
      <c r="Y27" s="203" t="str">
        <f>IFERROR(ROUND(VLOOKUP($H$2,'21年度'!$B$6:$GI$50,22,0)/1000,0),"-")</f>
        <v>-</v>
      </c>
      <c r="Z27" s="203" t="str">
        <f>IFERROR(ROUND(VLOOKUP($H$2,'22年度'!$B$6:$GI$50,22,0)/1000,0),"-")</f>
        <v>-</v>
      </c>
      <c r="AA27" s="203">
        <f>IFERROR(ROUND(VLOOKUP($H$2,'23年度'!$B$6:$GI$52,22,0)/1000,0),"-")</f>
        <v>788</v>
      </c>
      <c r="AB27" s="202">
        <f>IFERROR(ROUND(VLOOKUP($H$2,'24年度'!$B$6:$GI$52,22,0)/1000,0),"-")</f>
        <v>905</v>
      </c>
      <c r="AC27" s="204">
        <f>IFERROR(ROUND(VLOOKUP($H$2,'25年度'!$B$6:$GI$52,22,0)/1000,0),"-")</f>
        <v>11086</v>
      </c>
      <c r="AD27" s="202">
        <f>IFERROR(ROUND(VLOOKUP($H$2,'26年度'!$B$6:$GI$52,22,0)/1000,0),"-")</f>
        <v>6896</v>
      </c>
      <c r="AE27" s="202">
        <f>IFERROR(ROUND(VLOOKUP($H$2,'27年度'!$B$6:$GI$52,22,0)/1000,0),"-")</f>
        <v>10492</v>
      </c>
      <c r="AF27" s="202">
        <f>IFERROR(ROUND(VLOOKUP($H$2,'28年度'!$B$6:$GI$52,22,0)/1000,0),"-")</f>
        <v>3768</v>
      </c>
      <c r="AG27" s="204">
        <f>IFERROR(ROUND(VLOOKUP($H$2,'29年度'!$B$6:$GI$52,22,0)/1000,0),"-")</f>
        <v>8998</v>
      </c>
      <c r="AH27" s="203">
        <f>IFERROR(ROUND(VLOOKUP($H$2,'30年度'!$B$6:$GI$52,22,0)/1000,0),"-")</f>
        <v>6003</v>
      </c>
      <c r="AI27" s="202">
        <f>IFERROR(ROUND(VLOOKUP($H$2,'R1年度'!$B$6:$GJ$52,22,0)/1000,0),"-")</f>
        <v>4851</v>
      </c>
      <c r="AJ27" s="202">
        <f>IFERROR(ROUND(VLOOKUP($H$2,'R2年度'!$B$6:$GJ$52,22,0)/1000,0),"-")</f>
        <v>8556</v>
      </c>
      <c r="AK27" s="204">
        <f>IFERROR(ROUND(VLOOKUP($H$2,'R3年度'!$B$6:$GJ$52,22,0)/1000,0),"-")</f>
        <v>12850</v>
      </c>
      <c r="AL27" s="203">
        <f>IFERROR(ROUND(VLOOKUP($H$2,'R4年度'!$B$6:$GJ$52,22,0)/1000,0),"-")</f>
        <v>7619</v>
      </c>
      <c r="AM27" s="202">
        <f>IFERROR(ROUND(VLOOKUP($H$2,'R5年度'!$B$6:$GJ$52,22,0)/1000,0),"-")</f>
        <v>12901</v>
      </c>
      <c r="AN27" s="205">
        <f>IFERROR(ROUND(VLOOKUP($H$2,'R6年度'!$B$6:$GK$52,22,0)/1000,0),"-")</f>
        <v>21983</v>
      </c>
    </row>
    <row r="28" spans="2:40" ht="15.9" customHeight="1" thickBot="1" x14ac:dyDescent="0.2">
      <c r="B28" s="56"/>
      <c r="C28" s="487" t="s">
        <v>158</v>
      </c>
      <c r="D28" s="488"/>
      <c r="E28" s="211"/>
      <c r="F28" s="211"/>
      <c r="G28" s="211"/>
      <c r="H28" s="211"/>
      <c r="I28" s="211"/>
      <c r="J28" s="211"/>
      <c r="K28" s="211"/>
      <c r="L28" s="211"/>
      <c r="M28" s="215" t="str">
        <f>IFERROR(ROUND(VLOOKUP($H$2,'9年度'!$B$6:$GI$50,23,0)/1000,0),"-")</f>
        <v>-</v>
      </c>
      <c r="N28" s="215" t="str">
        <f>IFERROR(ROUND(VLOOKUP($H$2,'10年度'!$B$6:$GI$50,23,0)/1000,0),"-")</f>
        <v>-</v>
      </c>
      <c r="O28" s="215" t="str">
        <f>IFERROR(ROUND(VLOOKUP($H$2,'11年度'!$B$6:$GI$50,23,0)/1000,0),"-")</f>
        <v>-</v>
      </c>
      <c r="P28" s="215" t="str">
        <f>IFERROR(ROUND(VLOOKUP($H$2,'12年度'!$B$6:$GI$50,23,0)/1000,0),"-")</f>
        <v>-</v>
      </c>
      <c r="Q28" s="215" t="str">
        <f>IFERROR(ROUND(VLOOKUP($H$2,'13年度'!$B$6:$GI$50,23,0)/1000,0),"-")</f>
        <v>-</v>
      </c>
      <c r="R28" s="215" t="str">
        <f>IFERROR(ROUND(VLOOKUP($H$2,'14年度'!$B$6:$GI$50,23,0)/1000,0),"-")</f>
        <v>-</v>
      </c>
      <c r="S28" s="215" t="str">
        <f>IFERROR(ROUND(VLOOKUP($H$2,'15年度'!$B$6:$GI$50,23,0)/1000,0),"-")</f>
        <v>-</v>
      </c>
      <c r="T28" s="215" t="str">
        <f>IFERROR(ROUND(VLOOKUP($H$2,'16年度'!$B$6:$GI$50,23,0)/1000,0),"-")</f>
        <v>-</v>
      </c>
      <c r="U28" s="215" t="str">
        <f>IFERROR(ROUND(VLOOKUP($H$2,'17年度'!$B$6:$GI$50,23,0)/1000,0),"-")</f>
        <v>-</v>
      </c>
      <c r="V28" s="215" t="str">
        <f>IFERROR(ROUND(VLOOKUP($H$2,'18年度'!$B$6:$GI$50,23,0)/1000,0),"-")</f>
        <v>-</v>
      </c>
      <c r="W28" s="215" t="str">
        <f>IFERROR(ROUND(VLOOKUP($H$2,'19年度'!$B$6:$GI$50,23,0)/1000,0),"-")</f>
        <v>-</v>
      </c>
      <c r="X28" s="216" t="str">
        <f>IFERROR(ROUND(VLOOKUP($H$2,'20年度'!$B$6:$GI$50,23,0)/1000,0),"-")</f>
        <v>-</v>
      </c>
      <c r="Y28" s="216" t="str">
        <f>IFERROR(ROUND(VLOOKUP($H$2,'21年度'!$B$6:$GI$50,23,0)/1000,0),"-")</f>
        <v>-</v>
      </c>
      <c r="Z28" s="216" t="str">
        <f>IFERROR(ROUND(VLOOKUP($H$2,'22年度'!$B$6:$GI$50,23,0)/1000,0),"-")</f>
        <v>-</v>
      </c>
      <c r="AA28" s="216">
        <f>IFERROR(ROUND(VLOOKUP($H$2,'23年度'!$B$6:$GI$52,23,0)/1000,0),"-")</f>
        <v>92945</v>
      </c>
      <c r="AB28" s="215">
        <f>IFERROR(ROUND(VLOOKUP($H$2,'24年度'!$B$6:$GI$52,23,0)/1000,0),"-")</f>
        <v>93083</v>
      </c>
      <c r="AC28" s="217">
        <f>IFERROR(ROUND(VLOOKUP($H$2,'25年度'!$B$6:$GI$52,23,0)/1000,0),"-")</f>
        <v>92290</v>
      </c>
      <c r="AD28" s="215">
        <f>IFERROR(ROUND(VLOOKUP($H$2,'26年度'!$B$6:$GI$52,23,0)/1000,0),"-")</f>
        <v>111800</v>
      </c>
      <c r="AE28" s="215">
        <f>IFERROR(ROUND(VLOOKUP($H$2,'27年度'!$B$6:$GI$52,23,0)/1000,0),"-")</f>
        <v>184426</v>
      </c>
      <c r="AF28" s="215">
        <f>IFERROR(ROUND(VLOOKUP($H$2,'28年度'!$B$6:$GI$52,23,0)/1000,0),"-")</f>
        <v>165687</v>
      </c>
      <c r="AG28" s="217">
        <f>IFERROR(ROUND(VLOOKUP($H$2,'29年度'!$B$6:$GI$52,23,0)/1000,0),"-")</f>
        <v>167383</v>
      </c>
      <c r="AH28" s="216">
        <f>IFERROR(ROUND(VLOOKUP($H$2,'30年度'!$B$6:$GI$52,23,0)/1000,0),"-")</f>
        <v>163627</v>
      </c>
      <c r="AI28" s="215">
        <f>IFERROR(ROUND(VLOOKUP($H$2,'R1年度'!$B$6:$GJ$52,23,0)/1000,0),"-")</f>
        <v>156066</v>
      </c>
      <c r="AJ28" s="215">
        <f>IFERROR(ROUND(VLOOKUP($H$2,'R2年度'!$B$6:$GJ$52,23,0)/1000,0),"-")</f>
        <v>190278</v>
      </c>
      <c r="AK28" s="217">
        <f>IFERROR(ROUND(VLOOKUP($H$2,'R3年度'!$B$6:$GJ$52,23,0)/1000,0),"-")</f>
        <v>207455</v>
      </c>
      <c r="AL28" s="216">
        <f>IFERROR(ROUND(VLOOKUP($H$2,'R4年度'!$B$6:$GJ$52,23,0)/1000,0),"-")</f>
        <v>217060</v>
      </c>
      <c r="AM28" s="215">
        <f>IFERROR(ROUND(VLOOKUP($H$2,'R5年度'!$B$6:$GJ$52,23,0)/1000,0),"-")</f>
        <v>215667</v>
      </c>
      <c r="AN28" s="218">
        <f>IFERROR(ROUND(VLOOKUP($H$2,'R6年度'!$B$6:$GK$52,23,0)/1000,0),"-")</f>
        <v>226756</v>
      </c>
    </row>
    <row r="29" spans="2:40" ht="15.9" customHeight="1" thickBot="1" x14ac:dyDescent="0.2">
      <c r="B29" s="493" t="s">
        <v>159</v>
      </c>
      <c r="C29" s="494"/>
      <c r="D29" s="474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20" t="str">
        <f>IFERROR(ROUND(VLOOKUP($H$2,'11年度'!$B$6:$GI$50,27,0)/1000,0),"-")</f>
        <v>-</v>
      </c>
      <c r="P29" s="220" t="str">
        <f>IFERROR(ROUND(VLOOKUP($H$2,'12年度'!$B$6:$GI$50,27,0)/1000,0),"-")</f>
        <v>-</v>
      </c>
      <c r="Q29" s="220" t="str">
        <f>IFERROR(ROUND(VLOOKUP($H$2,'13年度'!$B$6:$GI$50,27,0)/1000,0),"-")</f>
        <v>-</v>
      </c>
      <c r="R29" s="220" t="str">
        <f>IFERROR(ROUND(VLOOKUP($H$2,'14年度'!$B$6:$GI$50,27,0)/1000,0),"-")</f>
        <v>-</v>
      </c>
      <c r="S29" s="220" t="str">
        <f>IFERROR(ROUND(VLOOKUP($H$2,'15年度'!$B$6:$GI$50,27,0)/1000,0),"-")</f>
        <v>-</v>
      </c>
      <c r="T29" s="220" t="str">
        <f>IFERROR(ROUND(VLOOKUP($H$2,'16年度'!$B$6:$GI$50,27,0)/1000,0),"-")</f>
        <v>-</v>
      </c>
      <c r="U29" s="220" t="str">
        <f>IFERROR(ROUND(VLOOKUP($H$2,'17年度'!$B$6:$GI$50,27,0)/1000,0),"-")</f>
        <v>-</v>
      </c>
      <c r="V29" s="220" t="str">
        <f>IFERROR(ROUND(VLOOKUP($H$2,'18年度'!$B$6:$GI$50,27,0)/1000,0),"-")</f>
        <v>-</v>
      </c>
      <c r="W29" s="221" t="str">
        <f>IFERROR(ROUND(VLOOKUP($H$2,'19年度'!$B$6:$GI$50,27,0)/1000,0),"-")</f>
        <v>-</v>
      </c>
      <c r="X29" s="222" t="str">
        <f>IFERROR(ROUND(VLOOKUP($H$2,'20年度'!$B$6:$GI$50,27,0)/1000,0),"-")</f>
        <v>-</v>
      </c>
      <c r="Y29" s="222" t="str">
        <f>IFERROR(ROUND(VLOOKUP($H$2,'21年度'!$B$6:$GI$50,27,0)/1000,0),"-")</f>
        <v>-</v>
      </c>
      <c r="Z29" s="222" t="str">
        <f>IFERROR(ROUND(VLOOKUP($H$2,'22年度'!$B$6:$GI$50,27,0)/1000,0),"-")</f>
        <v>-</v>
      </c>
      <c r="AA29" s="222">
        <f>IFERROR(ROUND(VLOOKUP($H$2,'23年度'!$B$6:$GI$52,27,0)/1000,0),"-")</f>
        <v>17417</v>
      </c>
      <c r="AB29" s="221">
        <f>IFERROR(ROUND(VLOOKUP($H$2,'24年度'!$B$6:$GI$52,27,0)/1000,0),"-")</f>
        <v>7286</v>
      </c>
      <c r="AC29" s="223">
        <f>IFERROR(ROUND(VLOOKUP($H$2,'25年度'!$B$6:$GI$52,27,0)/1000,0),"-")</f>
        <v>6923</v>
      </c>
      <c r="AD29" s="221">
        <f>IFERROR(ROUND(VLOOKUP($H$2,'26年度'!$B$6:$GI$52,27,0)/1000,0),"-")</f>
        <v>6319</v>
      </c>
      <c r="AE29" s="221">
        <f>IFERROR(ROUND(VLOOKUP($H$2,'27年度'!$B$6:$GI$52,27,0)/1000,0),"-")</f>
        <v>5798</v>
      </c>
      <c r="AF29" s="221">
        <f>IFERROR(ROUND(VLOOKUP($H$2,'28年度'!$B$6:$GI$52,27,0)/1000,0),"-")</f>
        <v>5778</v>
      </c>
      <c r="AG29" s="223">
        <f>IFERROR(ROUND(VLOOKUP($H$2,'29年度'!$B$6:$GI$52,27,0)/1000,0),"-")</f>
        <v>6810</v>
      </c>
      <c r="AH29" s="222">
        <f>IFERROR(ROUND(VLOOKUP($H$2,'30年度'!$B$6:$GI$52,27,0)/1000,0),"-")</f>
        <v>7719</v>
      </c>
      <c r="AI29" s="221">
        <f>IFERROR(ROUND(VLOOKUP($H$2,'R1年度'!$B$6:$GJ$52,28,0)/1000,0),"-")</f>
        <v>19897</v>
      </c>
      <c r="AJ29" s="221">
        <f>IFERROR(ROUND(VLOOKUP($H$2,'R2年度'!$B$6:$GJ$52,29,0)/1000,0),"-")</f>
        <v>10074</v>
      </c>
      <c r="AK29" s="223">
        <f>IFERROR(ROUND(VLOOKUP($H$2,'R3年度'!$B$6:$GJ$52,29,0)/1000,0),"-")</f>
        <v>27488</v>
      </c>
      <c r="AL29" s="222">
        <f>IFERROR(ROUND(VLOOKUP($H$2,'R4年度'!$B$6:$GJ$52,29,0)/1000,0),"-")</f>
        <v>10059</v>
      </c>
      <c r="AM29" s="221">
        <f>IFERROR(ROUND(VLOOKUP($H$2,'R5年度'!$B$6:$GJ$52,29,0)/1000,0),"-")</f>
        <v>9616</v>
      </c>
      <c r="AN29" s="224">
        <f>IFERROR(ROUND(VLOOKUP($H$2,'R6年度'!$B$6:$GK$52,29,0)/1000,0),"-")</f>
        <v>51653</v>
      </c>
    </row>
    <row r="30" spans="2:40" ht="15.9" customHeight="1" x14ac:dyDescent="0.15">
      <c r="B30" s="484" t="s">
        <v>160</v>
      </c>
      <c r="C30" s="485"/>
      <c r="D30" s="486"/>
      <c r="E30" s="175" t="str">
        <f>IFERROR(ROUND(VLOOKUP($H$2,'1年度'!$B$6:$GI$50,28,0)/1000,0),"-")</f>
        <v>-</v>
      </c>
      <c r="F30" s="175" t="str">
        <f>IFERROR(ROUND(VLOOKUP($H$2,'2年度'!$B$6:$GI$50,28,0)/1000,0),"-")</f>
        <v>-</v>
      </c>
      <c r="G30" s="175" t="str">
        <f>IFERROR(ROUND(VLOOKUP($H$2,'3年度'!$B$6:$GI$50,28,0)/1000,0),"-")</f>
        <v>-</v>
      </c>
      <c r="H30" s="175" t="str">
        <f>IFERROR(ROUND(VLOOKUP($H$2,'4年度'!$B$6:$GI$50,28,0)/1000,0),"-")</f>
        <v>-</v>
      </c>
      <c r="I30" s="175" t="str">
        <f>IFERROR(ROUND(VLOOKUP($H$2,'5年度'!$B$6:$GI$50,28,0)/1000,0),"-")</f>
        <v>-</v>
      </c>
      <c r="J30" s="175" t="str">
        <f>IFERROR(ROUND(VLOOKUP($H$2,'6年度'!$B$6:$GI$50,28,0)/1000,0),"-")</f>
        <v>-</v>
      </c>
      <c r="K30" s="175" t="str">
        <f>IFERROR(ROUND(VLOOKUP($H$2,'7年度'!$B$6:$GI$50,28,0)/1000,0),"-")</f>
        <v>-</v>
      </c>
      <c r="L30" s="175" t="str">
        <f>IFERROR(ROUND(VLOOKUP($H$2,'8年度'!$B$6:$GI$50,28,0)/1000,0),"-")</f>
        <v>-</v>
      </c>
      <c r="M30" s="175" t="str">
        <f>IFERROR(ROUND(VLOOKUP($H$2,'9年度'!$B$6:$GI$50,28,0)/1000,0),"-")</f>
        <v>-</v>
      </c>
      <c r="N30" s="175" t="str">
        <f>IFERROR(ROUND(VLOOKUP($H$2,'10年度'!$B$6:$GI$50,28,0)/1000,0),"-")</f>
        <v>-</v>
      </c>
      <c r="O30" s="175" t="str">
        <f>IFERROR(ROUND(VLOOKUP($H$2,'11年度'!$B$6:$GI$50,28,0)/1000,0),"-")</f>
        <v>-</v>
      </c>
      <c r="P30" s="175" t="str">
        <f>IFERROR(ROUND(VLOOKUP($H$2,'12年度'!$B$6:$GI$50,28,0)/1000,0),"-")</f>
        <v>-</v>
      </c>
      <c r="Q30" s="175" t="str">
        <f>IFERROR(ROUND(VLOOKUP($H$2,'13年度'!$B$6:$GI$50,28,0)/1000,0),"-")</f>
        <v>-</v>
      </c>
      <c r="R30" s="175" t="str">
        <f>IFERROR(ROUND(VLOOKUP($H$2,'14年度'!$B$6:$GI$50,28,0)/1000,0),"-")</f>
        <v>-</v>
      </c>
      <c r="S30" s="175" t="str">
        <f>IFERROR(ROUND(VLOOKUP($H$2,'15年度'!$B$6:$GI$50,28,0)/1000,0),"-")</f>
        <v>-</v>
      </c>
      <c r="T30" s="175" t="str">
        <f>IFERROR(ROUND(VLOOKUP($H$2,'16年度'!$B$6:$GI$50,28,0)/1000,0),"-")</f>
        <v>-</v>
      </c>
      <c r="U30" s="175" t="str">
        <f>IFERROR(ROUND(VLOOKUP($H$2,'17年度'!$B$6:$GI$50,28,0)/1000,0),"-")</f>
        <v>-</v>
      </c>
      <c r="V30" s="175" t="str">
        <f>IFERROR(ROUND(VLOOKUP($H$2,'18年度'!$B$6:$GI$50,28,0)/1000,0),"-")</f>
        <v>-</v>
      </c>
      <c r="W30" s="175" t="str">
        <f>IFERROR(ROUND(VLOOKUP($H$2,'19年度'!$B$6:$GI$50,28,0)/1000,0),"-")</f>
        <v>-</v>
      </c>
      <c r="X30" s="176" t="str">
        <f>IFERROR(ROUND(VLOOKUP($H$2,'20年度'!$B$6:$GI$50,28,0)/1000,0),"-")</f>
        <v>-</v>
      </c>
      <c r="Y30" s="176" t="str">
        <f>IFERROR(ROUND(VLOOKUP($H$2,'21年度'!$B$6:$GI$50,28,0)/1000,0),"-")</f>
        <v>-</v>
      </c>
      <c r="Z30" s="176" t="str">
        <f>IFERROR(ROUND(VLOOKUP($H$2,'22年度'!$B$6:$GI$50,28,0)/1000,0),"-")</f>
        <v>-</v>
      </c>
      <c r="AA30" s="176">
        <f>IFERROR(ROUND(VLOOKUP($H$2,'23年度'!$B$6:$GI$52,28,0)/1000,0),"-")</f>
        <v>278103</v>
      </c>
      <c r="AB30" s="175">
        <f>IFERROR(ROUND(VLOOKUP($H$2,'24年度'!$B$6:$GI$52,28,0)/1000,0),"-")</f>
        <v>289918</v>
      </c>
      <c r="AC30" s="177">
        <f>IFERROR(ROUND(VLOOKUP($H$2,'25年度'!$B$6:$GI$52,28,0)/1000,0),"-")</f>
        <v>276869</v>
      </c>
      <c r="AD30" s="175">
        <f>IFERROR(ROUND(VLOOKUP($H$2,'26年度'!$B$6:$GI$52,28,0)/1000,0),"-")</f>
        <v>266788</v>
      </c>
      <c r="AE30" s="175">
        <f>IFERROR(ROUND(VLOOKUP($H$2,'27年度'!$B$6:$GI$52,28,0)/1000,0),"-")</f>
        <v>265551</v>
      </c>
      <c r="AF30" s="175">
        <f>IFERROR(ROUND(VLOOKUP($H$2,'28年度'!$B$6:$GI$52,28,0)/1000,0),"-")</f>
        <v>247075</v>
      </c>
      <c r="AG30" s="177">
        <f>IFERROR(ROUND(VLOOKUP($H$2,'29年度'!$B$6:$GI$52,28,0)/1000,0),"-")</f>
        <v>276326</v>
      </c>
      <c r="AH30" s="176">
        <f>IFERROR(ROUND(VLOOKUP($H$2,'30年度'!$B$6:$GI$52,28,0)/1000,0),"-")</f>
        <v>273690</v>
      </c>
      <c r="AI30" s="175">
        <f>IFERROR(ROUND(VLOOKUP($H$2,'R1年度'!$B$6:$GJ$52,29,0)/1000,0),"-")</f>
        <v>287171</v>
      </c>
      <c r="AJ30" s="175">
        <f>IFERROR(ROUND(VLOOKUP($H$2,'R2年度'!$B$6:$GJ$52,30,0)/1000,0),"-")</f>
        <v>277852</v>
      </c>
      <c r="AK30" s="177">
        <f>IFERROR(ROUND(VLOOKUP($H$2,'R3年度'!$B$6:$GJ$52,30,0)/1000,0),"-")</f>
        <v>377006</v>
      </c>
      <c r="AL30" s="176">
        <f>IFERROR(ROUND(VLOOKUP($H$2,'R4年度'!$B$6:$GJ$52,30,0)/1000,0),"-")</f>
        <v>353693</v>
      </c>
      <c r="AM30" s="175">
        <f>IFERROR(ROUND(VLOOKUP($H$2,'R5年度'!$B$6:$GJ$52,30,0)/1000,0),"-")</f>
        <v>370664</v>
      </c>
      <c r="AN30" s="178">
        <f>IFERROR(ROUND(VLOOKUP($H$2,'R6年度'!$B$6:$GK$52,30,0)/1000,0),"-")</f>
        <v>403376</v>
      </c>
    </row>
    <row r="31" spans="2:40" ht="15.9" customHeight="1" x14ac:dyDescent="0.15">
      <c r="B31" s="54"/>
      <c r="C31" s="491" t="s">
        <v>161</v>
      </c>
      <c r="D31" s="479"/>
      <c r="E31" s="202" t="str">
        <f>IFERROR(ROUND(VLOOKUP($H$2,'1年度'!$B$6:$GI$50,29,0)/1000,0),"-")</f>
        <v>-</v>
      </c>
      <c r="F31" s="202" t="str">
        <f>IFERROR(ROUND(VLOOKUP($H$2,'2年度'!$B$6:$GI$50,29,0)/1000,0),"-")</f>
        <v>-</v>
      </c>
      <c r="G31" s="202" t="str">
        <f>IFERROR(ROUND(VLOOKUP($H$2,'3年度'!$B$6:$GI$50,29,0)/1000,0),"-")</f>
        <v>-</v>
      </c>
      <c r="H31" s="202" t="str">
        <f>IFERROR(ROUND(VLOOKUP($H$2,'4年度'!$B$6:$GI$50,29,0)/1000,0),"-")</f>
        <v>-</v>
      </c>
      <c r="I31" s="202" t="str">
        <f>IFERROR(ROUND(VLOOKUP($H$2,'5年度'!$B$6:$GI$50,29,0)/1000,0),"-")</f>
        <v>-</v>
      </c>
      <c r="J31" s="202" t="str">
        <f>IFERROR(ROUND(VLOOKUP($H$2,'6年度'!$B$6:$GI$50,29,0)/1000,0),"-")</f>
        <v>-</v>
      </c>
      <c r="K31" s="202" t="str">
        <f>IFERROR(ROUND(VLOOKUP($H$2,'7年度'!$B$6:$GI$50,29,0)/1000,0),"-")</f>
        <v>-</v>
      </c>
      <c r="L31" s="202" t="str">
        <f>IFERROR(ROUND(VLOOKUP($H$2,'8年度'!$B$6:$GI$50,29,0)/1000,0),"-")</f>
        <v>-</v>
      </c>
      <c r="M31" s="202" t="str">
        <f>IFERROR(ROUND(VLOOKUP($H$2,'9年度'!$B$6:$GI$50,29,0)/1000,0),"-")</f>
        <v>-</v>
      </c>
      <c r="N31" s="202" t="str">
        <f>IFERROR(ROUND(VLOOKUP($H$2,'10年度'!$B$6:$GI$50,29,0)/1000,0),"-")</f>
        <v>-</v>
      </c>
      <c r="O31" s="202" t="str">
        <f>IFERROR(ROUND(VLOOKUP($H$2,'11年度'!$B$6:$GI$50,29,0)/1000,0),"-")</f>
        <v>-</v>
      </c>
      <c r="P31" s="202" t="str">
        <f>IFERROR(ROUND(VLOOKUP($H$2,'12年度'!$B$6:$GI$50,29,0)/1000,0),"-")</f>
        <v>-</v>
      </c>
      <c r="Q31" s="202" t="str">
        <f>IFERROR(ROUND(VLOOKUP($H$2,'13年度'!$B$6:$GI$50,29,0)/1000,0),"-")</f>
        <v>-</v>
      </c>
      <c r="R31" s="202" t="str">
        <f>IFERROR(ROUND(VLOOKUP($H$2,'14年度'!$B$6:$GI$50,29,0)/1000,0),"-")</f>
        <v>-</v>
      </c>
      <c r="S31" s="202" t="str">
        <f>IFERROR(ROUND(VLOOKUP($H$2,'15年度'!$B$6:$GI$50,29,0)/1000,0),"-")</f>
        <v>-</v>
      </c>
      <c r="T31" s="202" t="str">
        <f>IFERROR(ROUND(VLOOKUP($H$2,'16年度'!$B$6:$GI$50,29,0)/1000,0),"-")</f>
        <v>-</v>
      </c>
      <c r="U31" s="202" t="str">
        <f>IFERROR(ROUND(VLOOKUP($H$2,'17年度'!$B$6:$GI$50,29,0)/1000,0),"-")</f>
        <v>-</v>
      </c>
      <c r="V31" s="202" t="str">
        <f>IFERROR(ROUND(VLOOKUP($H$2,'18年度'!$B$6:$GI$50,29,0)/1000,0),"-")</f>
        <v>-</v>
      </c>
      <c r="W31" s="202" t="str">
        <f>IFERROR(ROUND(VLOOKUP($H$2,'19年度'!$B$6:$GI$50,29,0)/1000,0),"-")</f>
        <v>-</v>
      </c>
      <c r="X31" s="203" t="str">
        <f>IFERROR(ROUND(VLOOKUP($H$2,'20年度'!$B$6:$GI$50,29,0)/1000,0),"-")</f>
        <v>-</v>
      </c>
      <c r="Y31" s="203" t="str">
        <f>IFERROR(ROUND(VLOOKUP($H$2,'21年度'!$B$6:$GI$50,29,0)/1000,0),"-")</f>
        <v>-</v>
      </c>
      <c r="Z31" s="203" t="str">
        <f>IFERROR(ROUND(VLOOKUP($H$2,'22年度'!$B$6:$GI$50,29,0)/1000,0),"-")</f>
        <v>-</v>
      </c>
      <c r="AA31" s="203">
        <f>IFERROR(ROUND(VLOOKUP($H$2,'23年度'!$B$6:$GI$52,29,0)/1000,0),"-")</f>
        <v>260904</v>
      </c>
      <c r="AB31" s="202">
        <f>IFERROR(ROUND(VLOOKUP($H$2,'24年度'!$B$6:$GI$52,29,0)/1000,0),"-")</f>
        <v>267997</v>
      </c>
      <c r="AC31" s="204">
        <f>IFERROR(ROUND(VLOOKUP($H$2,'25年度'!$B$6:$GI$52,29,0)/1000,0),"-")</f>
        <v>260405</v>
      </c>
      <c r="AD31" s="202">
        <f>IFERROR(ROUND(VLOOKUP($H$2,'26年度'!$B$6:$GI$52,29,0)/1000,0),"-")</f>
        <v>251193</v>
      </c>
      <c r="AE31" s="202">
        <f>IFERROR(ROUND(VLOOKUP($H$2,'27年度'!$B$6:$GI$52,29,0)/1000,0),"-")</f>
        <v>249946</v>
      </c>
      <c r="AF31" s="202">
        <f>IFERROR(ROUND(VLOOKUP($H$2,'28年度'!$B$6:$GI$52,29,0)/1000,0),"-")</f>
        <v>232494</v>
      </c>
      <c r="AG31" s="204">
        <f>IFERROR(ROUND(VLOOKUP($H$2,'29年度'!$B$6:$GI$52,29,0)/1000,0),"-")</f>
        <v>262620</v>
      </c>
      <c r="AH31" s="203">
        <f>IFERROR(ROUND(VLOOKUP($H$2,'30年度'!$B$6:$GI$52,29,0)/1000,0),"-")</f>
        <v>256867</v>
      </c>
      <c r="AI31" s="202">
        <f>IFERROR(ROUND(VLOOKUP($H$2,'R1年度'!$B$6:$GJ$52,30,0)/1000,0),"-")</f>
        <v>272507</v>
      </c>
      <c r="AJ31" s="202">
        <f>IFERROR(ROUND(VLOOKUP($H$2,'R2年度'!$B$6:$GJ$52,31,0)/1000,0),"-")</f>
        <v>263465</v>
      </c>
      <c r="AK31" s="204">
        <f>IFERROR(ROUND(VLOOKUP($H$2,'R3年度'!$B$6:$GJ$52,31,0)/1000,0),"-")</f>
        <v>361459</v>
      </c>
      <c r="AL31" s="203">
        <f>IFERROR(ROUND(VLOOKUP($H$2,'R4年度'!$B$6:$GJ$52,31,0)/1000,0),"-")</f>
        <v>337696</v>
      </c>
      <c r="AM31" s="202">
        <f>IFERROR(ROUND(VLOOKUP($H$2,'R5年度'!$B$6:$GJ$52,31,0)/1000,0),"-")</f>
        <v>354584</v>
      </c>
      <c r="AN31" s="205">
        <f>IFERROR(ROUND(VLOOKUP($H$2,'R6年度'!$B$6:$GK$52,31,0)/1000,0),"-")</f>
        <v>387202</v>
      </c>
    </row>
    <row r="32" spans="2:40" ht="15.9" customHeight="1" thickBot="1" x14ac:dyDescent="0.2">
      <c r="B32" s="56"/>
      <c r="C32" s="496" t="s">
        <v>162</v>
      </c>
      <c r="D32" s="488"/>
      <c r="E32" s="215" t="str">
        <f>IFERROR(ROUND(VLOOKUP($H$2,'1年度'!$B$6:$GI$50,30,0)/1000,0),"-")</f>
        <v>-</v>
      </c>
      <c r="F32" s="215" t="str">
        <f>IFERROR(ROUND(VLOOKUP($H$2,'2年度'!$B$6:$GI$50,30,0)/1000,0),"-")</f>
        <v>-</v>
      </c>
      <c r="G32" s="215" t="str">
        <f>IFERROR(ROUND(VLOOKUP($H$2,'3年度'!$B$6:$GI$50,30,0)/1000,0),"-")</f>
        <v>-</v>
      </c>
      <c r="H32" s="215" t="str">
        <f>IFERROR(ROUND(VLOOKUP($H$2,'4年度'!$B$6:$GI$50,30,0)/1000,0),"-")</f>
        <v>-</v>
      </c>
      <c r="I32" s="215" t="str">
        <f>IFERROR(ROUND(VLOOKUP($H$2,'5年度'!$B$6:$GI$50,30,0)/1000,0),"-")</f>
        <v>-</v>
      </c>
      <c r="J32" s="215" t="str">
        <f>IFERROR(ROUND(VLOOKUP($H$2,'6年度'!$B$6:$GI$50,30,0)/1000,0),"-")</f>
        <v>-</v>
      </c>
      <c r="K32" s="215" t="str">
        <f>IFERROR(ROUND(VLOOKUP($H$2,'7年度'!$B$6:$GI$50,30,0)/1000,0),"-")</f>
        <v>-</v>
      </c>
      <c r="L32" s="215" t="str">
        <f>IFERROR(ROUND(VLOOKUP($H$2,'8年度'!$B$6:$GI$50,30,0)/1000,0),"-")</f>
        <v>-</v>
      </c>
      <c r="M32" s="215" t="str">
        <f>IFERROR(ROUND(VLOOKUP($H$2,'9年度'!$B$6:$GI$50,30,0)/1000,0),"-")</f>
        <v>-</v>
      </c>
      <c r="N32" s="215" t="str">
        <f>IFERROR(ROUND(VLOOKUP($H$2,'10年度'!$B$6:$GI$50,30,0)/1000,0),"-")</f>
        <v>-</v>
      </c>
      <c r="O32" s="215" t="str">
        <f>IFERROR(ROUND(VLOOKUP($H$2,'11年度'!$B$6:$GI$50,30,0)/1000,0),"-")</f>
        <v>-</v>
      </c>
      <c r="P32" s="215" t="str">
        <f>IFERROR(ROUND(VLOOKUP($H$2,'12年度'!$B$6:$GI$50,30,0)/1000,0),"-")</f>
        <v>-</v>
      </c>
      <c r="Q32" s="215" t="str">
        <f>IFERROR(ROUND(VLOOKUP($H$2,'13年度'!$B$6:$GI$50,30,0)/1000,0),"-")</f>
        <v>-</v>
      </c>
      <c r="R32" s="215" t="str">
        <f>IFERROR(ROUND(VLOOKUP($H$2,'14年度'!$B$6:$GI$50,30,0)/1000,0),"-")</f>
        <v>-</v>
      </c>
      <c r="S32" s="215" t="str">
        <f>IFERROR(ROUND(VLOOKUP($H$2,'15年度'!$B$6:$GI$50,30,0)/1000,0),"-")</f>
        <v>-</v>
      </c>
      <c r="T32" s="215" t="str">
        <f>IFERROR(ROUND(VLOOKUP($H$2,'16年度'!$B$6:$GI$50,30,0)/1000,0),"-")</f>
        <v>-</v>
      </c>
      <c r="U32" s="215" t="str">
        <f>IFERROR(ROUND(VLOOKUP($H$2,'17年度'!$B$6:$GI$50,30,0)/1000,0),"-")</f>
        <v>-</v>
      </c>
      <c r="V32" s="215" t="str">
        <f>IFERROR(ROUND(VLOOKUP($H$2,'18年度'!$B$6:$GI$50,30,0)/1000,0),"-")</f>
        <v>-</v>
      </c>
      <c r="W32" s="179" t="str">
        <f>IFERROR(ROUND(VLOOKUP($H$2,'19年度'!$B$6:$GI$50,30,0)/1000,0),"-")</f>
        <v>-</v>
      </c>
      <c r="X32" s="225" t="str">
        <f>IFERROR(ROUND(VLOOKUP($H$2,'20年度'!$B$6:$GI$50,30,0)/1000,0),"-")</f>
        <v>-</v>
      </c>
      <c r="Y32" s="225" t="str">
        <f>IFERROR(ROUND(VLOOKUP($H$2,'21年度'!$B$6:$GI$50,30,0)/1000,0),"-")</f>
        <v>-</v>
      </c>
      <c r="Z32" s="225" t="str">
        <f>IFERROR(ROUND(VLOOKUP($H$2,'22年度'!$B$6:$GI$50,30,0)/1000,0),"-")</f>
        <v>-</v>
      </c>
      <c r="AA32" s="225">
        <f>IFERROR(ROUND(VLOOKUP($H$2,'23年度'!$B$6:$GI$52,30,0)/1000,0),"-")</f>
        <v>17197</v>
      </c>
      <c r="AB32" s="179">
        <f>IFERROR(ROUND(VLOOKUP($H$2,'24年度'!$B$6:$GI$52,30,0)/1000,0),"-")</f>
        <v>17325</v>
      </c>
      <c r="AC32" s="226">
        <f>IFERROR(ROUND(VLOOKUP($H$2,'25年度'!$B$6:$GI$52,30,0)/1000,0),"-")</f>
        <v>16463</v>
      </c>
      <c r="AD32" s="179">
        <f>IFERROR(ROUND(VLOOKUP($H$2,'26年度'!$B$6:$GI$52,30,0)/1000,0),"-")</f>
        <v>15594</v>
      </c>
      <c r="AE32" s="179">
        <f>IFERROR(ROUND(VLOOKUP($H$2,'27年度'!$B$6:$GI$52,30,0)/1000,0),"-")</f>
        <v>15605</v>
      </c>
      <c r="AF32" s="179">
        <f>IFERROR(ROUND(VLOOKUP($H$2,'28年度'!$B$6:$GI$52,30,0)/1000,0),"-")</f>
        <v>14580</v>
      </c>
      <c r="AG32" s="226">
        <f>IFERROR(ROUND(VLOOKUP($H$2,'29年度'!$B$6:$GI$52,30,0)/1000,0),"-")</f>
        <v>13706</v>
      </c>
      <c r="AH32" s="225">
        <f>IFERROR(ROUND(VLOOKUP($H$2,'30年度'!$B$6:$GI$52,30,0)/1000,0),"-")</f>
        <v>16823</v>
      </c>
      <c r="AI32" s="179">
        <f>IFERROR(ROUND(VLOOKUP($H$2,'R1年度'!$B$6:$GJ$52,31,0)/1000,0),"-")</f>
        <v>14663</v>
      </c>
      <c r="AJ32" s="179">
        <f>IFERROR(ROUND(VLOOKUP($H$2,'R2年度'!$B$6:$GJ$52,32,0)/1000,0),"-")</f>
        <v>14387</v>
      </c>
      <c r="AK32" s="226">
        <f>IFERROR(ROUND(VLOOKUP($H$2,'R3年度'!$B$6:$GJ$52,32,0)/1000,0),"-")</f>
        <v>15547</v>
      </c>
      <c r="AL32" s="225">
        <f>IFERROR(ROUND(VLOOKUP($H$2,'R4年度'!$B$6:$GJ$52,32,0)/1000,0),"-")</f>
        <v>15997</v>
      </c>
      <c r="AM32" s="179">
        <f>IFERROR(ROUND(VLOOKUP($H$2,'R5年度'!$B$6:$GJ$52,32,0)/1000,0),"-")</f>
        <v>16080</v>
      </c>
      <c r="AN32" s="227">
        <f>IFERROR(ROUND(VLOOKUP($H$2,'R6年度'!$B$6:$GK$52,32,0)/1000,0),"-")</f>
        <v>16173</v>
      </c>
    </row>
    <row r="33" spans="2:40" ht="15.9" customHeight="1" thickBot="1" x14ac:dyDescent="0.2">
      <c r="B33" s="493" t="s">
        <v>163</v>
      </c>
      <c r="C33" s="494"/>
      <c r="D33" s="474"/>
      <c r="E33" s="220" t="str">
        <f>IFERROR(ROUND(VLOOKUP($H$2,'1年度'!$B$6:$GI$50,31,0)/1000,0),"-")</f>
        <v>-</v>
      </c>
      <c r="F33" s="220" t="str">
        <f>IFERROR(ROUND(VLOOKUP($H$2,'2年度'!$B$6:$GI$50,31,0)/1000,0),"-")</f>
        <v>-</v>
      </c>
      <c r="G33" s="220" t="str">
        <f>IFERROR(ROUND(VLOOKUP($H$2,'3年度'!$B$6:$GI$50,31,0)/1000,0),"-")</f>
        <v>-</v>
      </c>
      <c r="H33" s="220" t="str">
        <f>IFERROR(ROUND(VLOOKUP($H$2,'4年度'!$B$6:$GI$50,31,0)/1000,0),"-")</f>
        <v>-</v>
      </c>
      <c r="I33" s="220" t="str">
        <f>IFERROR(ROUND(VLOOKUP($H$2,'5年度'!$B$6:$GI$50,31,0)/1000,0),"-")</f>
        <v>-</v>
      </c>
      <c r="J33" s="220" t="str">
        <f>IFERROR(ROUND(VLOOKUP($H$2,'6年度'!$B$6:$GI$50,31,0)/1000,0),"-")</f>
        <v>-</v>
      </c>
      <c r="K33" s="220" t="str">
        <f>IFERROR(ROUND(VLOOKUP($H$2,'7年度'!$B$6:$GI$50,31,0)/1000,0),"-")</f>
        <v>-</v>
      </c>
      <c r="L33" s="220" t="str">
        <f>IFERROR(ROUND(VLOOKUP($H$2,'8年度'!$B$6:$GI$50,31,0)/1000,0),"-")</f>
        <v>-</v>
      </c>
      <c r="M33" s="220" t="str">
        <f>IFERROR(ROUND(VLOOKUP($H$2,'9年度'!$B$6:$GI$50,31,0)/1000,0),"-")</f>
        <v>-</v>
      </c>
      <c r="N33" s="220" t="str">
        <f>IFERROR(ROUND(VLOOKUP($H$2,'10年度'!$B$6:$GI$50,31,0)/1000,0),"-")</f>
        <v>-</v>
      </c>
      <c r="O33" s="220" t="str">
        <f>IFERROR(ROUND(VLOOKUP($H$2,'11年度'!$B$6:$GI$50,31,0)/1000,0),"-")</f>
        <v>-</v>
      </c>
      <c r="P33" s="220" t="str">
        <f>IFERROR(ROUND(VLOOKUP($H$2,'12年度'!$B$6:$GI$50,31,0)/1000,0),"-")</f>
        <v>-</v>
      </c>
      <c r="Q33" s="220" t="str">
        <f>IFERROR(ROUND(VLOOKUP($H$2,'13年度'!$B$6:$GI$50,31,0)/1000,0),"-")</f>
        <v>-</v>
      </c>
      <c r="R33" s="220" t="str">
        <f>IFERROR(ROUND(VLOOKUP($H$2,'14年度'!$B$6:$GI$50,31,0)/1000,0),"-")</f>
        <v>-</v>
      </c>
      <c r="S33" s="220" t="str">
        <f>IFERROR(ROUND(VLOOKUP($H$2,'15年度'!$B$6:$GI$50,31,0)/1000,0),"-")</f>
        <v>-</v>
      </c>
      <c r="T33" s="220" t="str">
        <f>IFERROR(ROUND(VLOOKUP($H$2,'16年度'!$B$6:$GI$50,31,0)/1000,0),"-")</f>
        <v>-</v>
      </c>
      <c r="U33" s="220" t="str">
        <f>IFERROR(ROUND(VLOOKUP($H$2,'17年度'!$B$6:$GI$50,31,0)/1000,0),"-")</f>
        <v>-</v>
      </c>
      <c r="V33" s="220" t="str">
        <f>IFERROR(ROUND(VLOOKUP($H$2,'18年度'!$B$6:$GI$50,31,0)/1000,0),"-")</f>
        <v>-</v>
      </c>
      <c r="W33" s="221" t="str">
        <f>IFERROR(ROUND(VLOOKUP($H$2,'19年度'!$B$6:$GI$50,31,0)/1000,0),"-")</f>
        <v>-</v>
      </c>
      <c r="X33" s="222" t="str">
        <f>IFERROR(ROUND(VLOOKUP($H$2,'20年度'!$B$6:$GI$50,31,0)/1000,0),"-")</f>
        <v>-</v>
      </c>
      <c r="Y33" s="222" t="str">
        <f>IFERROR(ROUND(VLOOKUP($H$2,'21年度'!$B$6:$GI$50,31,0)/1000,0),"-")</f>
        <v>-</v>
      </c>
      <c r="Z33" s="222" t="str">
        <f>IFERROR(ROUND(VLOOKUP($H$2,'22年度'!$B$6:$GI$50,31,0)/1000,0),"-")</f>
        <v>-</v>
      </c>
      <c r="AA33" s="222">
        <f>IFERROR(ROUND(VLOOKUP($H$2,'23年度'!$B$6:$GI$52,31,0)/1000,0),"-")</f>
        <v>2233</v>
      </c>
      <c r="AB33" s="221">
        <f>IFERROR(ROUND(VLOOKUP($H$2,'24年度'!$B$6:$GI$52,31,0)/1000,0),"-")</f>
        <v>2205</v>
      </c>
      <c r="AC33" s="223">
        <f>IFERROR(ROUND(VLOOKUP($H$2,'25年度'!$B$6:$GI$52,31,0)/1000,0),"-")</f>
        <v>2121</v>
      </c>
      <c r="AD33" s="221">
        <f>IFERROR(ROUND(VLOOKUP($H$2,'26年度'!$B$6:$GI$52,31,0)/1000,0),"-")</f>
        <v>1875</v>
      </c>
      <c r="AE33" s="221">
        <f>IFERROR(ROUND(VLOOKUP($H$2,'27年度'!$B$6:$GI$52,31,0)/1000,0),"-")</f>
        <v>2018</v>
      </c>
      <c r="AF33" s="221">
        <f>IFERROR(ROUND(VLOOKUP($H$2,'28年度'!$B$6:$GI$52,31,0)/1000,0),"-")</f>
        <v>1939</v>
      </c>
      <c r="AG33" s="223">
        <f>IFERROR(ROUND(VLOOKUP($H$2,'29年度'!$B$6:$GI$52,31,0)/1000,0),"-")</f>
        <v>1865</v>
      </c>
      <c r="AH33" s="222">
        <f>IFERROR(ROUND(VLOOKUP($H$2,'30年度'!$B$6:$GI$52,31,0)/1000,0),"-")</f>
        <v>1726</v>
      </c>
      <c r="AI33" s="221">
        <f>IFERROR(ROUND(VLOOKUP($H$2,'R1年度'!$B$6:$GJ$52,32,0)/1000,0),"-")</f>
        <v>1676</v>
      </c>
      <c r="AJ33" s="221">
        <f>IFERROR(ROUND(VLOOKUP($H$2,'R2年度'!$B$6:$GJ$52,33,0)/1000,0),"-")</f>
        <v>1859</v>
      </c>
      <c r="AK33" s="223">
        <f>IFERROR(ROUND(VLOOKUP($H$2,'R3年度'!$B$6:$GJ$52,33,0)/1000,0),"-")</f>
        <v>1788</v>
      </c>
      <c r="AL33" s="222">
        <f>IFERROR(ROUND(VLOOKUP($H$2,'R4年度'!$B$6:$GJ$52,33,0)/1000,0),"-")</f>
        <v>1617</v>
      </c>
      <c r="AM33" s="221">
        <f>IFERROR(ROUND(VLOOKUP($H$2,'R5年度'!$B$6:$GJ$52,33,0)/1000,0),"-")</f>
        <v>1463</v>
      </c>
      <c r="AN33" s="221">
        <f>IFERROR(ROUND(VLOOKUP($H$2,'R6年度'!$B$6:$GJ$52,33,0)/1000,0),"-")</f>
        <v>1398</v>
      </c>
    </row>
    <row r="34" spans="2:40" ht="15.9" customHeight="1" thickBot="1" x14ac:dyDescent="0.2">
      <c r="B34" s="493" t="s">
        <v>164</v>
      </c>
      <c r="C34" s="494"/>
      <c r="D34" s="474"/>
      <c r="E34" s="221" t="str">
        <f>IFERROR(ROUND(VLOOKUP($H$2,'1年度'!$B$6:$GI$50,32,0)/1000,0),"-")</f>
        <v>-</v>
      </c>
      <c r="F34" s="221" t="str">
        <f>IFERROR(ROUND(VLOOKUP($H$2,'2年度'!$B$6:$GI$50,32,0)/1000,0),"-")</f>
        <v>-</v>
      </c>
      <c r="G34" s="221" t="str">
        <f>IFERROR(ROUND(VLOOKUP($H$2,'3年度'!$B$6:$GI$50,32,0)/1000,0),"-")</f>
        <v>-</v>
      </c>
      <c r="H34" s="221" t="str">
        <f>IFERROR(ROUND(VLOOKUP($H$2,'4年度'!$B$6:$GI$50,32,0)/1000,0),"-")</f>
        <v>-</v>
      </c>
      <c r="I34" s="221" t="str">
        <f>IFERROR(ROUND(VLOOKUP($H$2,'5年度'!$B$6:$GI$50,32,0)/1000,0),"-")</f>
        <v>-</v>
      </c>
      <c r="J34" s="221" t="str">
        <f>IFERROR(ROUND(VLOOKUP($H$2,'6年度'!$B$6:$GI$50,32,0)/1000,0),"-")</f>
        <v>-</v>
      </c>
      <c r="K34" s="221" t="str">
        <f>IFERROR(ROUND(VLOOKUP($H$2,'7年度'!$B$6:$GI$50,32,0)/1000,0),"-")</f>
        <v>-</v>
      </c>
      <c r="L34" s="221" t="str">
        <f>IFERROR(ROUND(VLOOKUP($H$2,'8年度'!$B$6:$GI$50,32,0)/1000,0),"-")</f>
        <v>-</v>
      </c>
      <c r="M34" s="221" t="str">
        <f>IFERROR(ROUND(VLOOKUP($H$2,'9年度'!$B$6:$GI$50,32,0)/1000,0),"-")</f>
        <v>-</v>
      </c>
      <c r="N34" s="221" t="str">
        <f>IFERROR(ROUND(VLOOKUP($H$2,'10年度'!$B$6:$GI$50,32,0)/1000,0),"-")</f>
        <v>-</v>
      </c>
      <c r="O34" s="221" t="str">
        <f>IFERROR(ROUND(VLOOKUP($H$2,'11年度'!$B$6:$GI$50,32,0)/1000,0),"-")</f>
        <v>-</v>
      </c>
      <c r="P34" s="221" t="str">
        <f>IFERROR(ROUND(VLOOKUP($H$2,'12年度'!$B$6:$GI$50,32,0)/1000,0),"-")</f>
        <v>-</v>
      </c>
      <c r="Q34" s="221" t="str">
        <f>IFERROR(ROUND(VLOOKUP($H$2,'13年度'!$B$6:$GI$50,32,0)/1000,0),"-")</f>
        <v>-</v>
      </c>
      <c r="R34" s="221" t="str">
        <f>IFERROR(ROUND(VLOOKUP($H$2,'14年度'!$B$6:$GI$50,32,0)/1000,0),"-")</f>
        <v>-</v>
      </c>
      <c r="S34" s="221" t="str">
        <f>IFERROR(ROUND(VLOOKUP($H$2,'15年度'!$B$6:$GI$50,32,0)/1000,0),"-")</f>
        <v>-</v>
      </c>
      <c r="T34" s="221" t="str">
        <f>IFERROR(ROUND(VLOOKUP($H$2,'16年度'!$B$6:$GI$50,32,0)/1000,0),"-")</f>
        <v>-</v>
      </c>
      <c r="U34" s="221" t="str">
        <f>IFERROR(ROUND(VLOOKUP($H$2,'17年度'!$B$6:$GI$50,32,0)/1000,0),"-")</f>
        <v>-</v>
      </c>
      <c r="V34" s="221" t="str">
        <f>IFERROR(ROUND(VLOOKUP($H$2,'18年度'!$B$6:$GI$50,32,0)/1000,0),"-")</f>
        <v>-</v>
      </c>
      <c r="W34" s="221" t="str">
        <f>IFERROR(ROUND(VLOOKUP($H$2,'19年度'!$B$6:$GI$50,32,0)/1000,0),"-")</f>
        <v>-</v>
      </c>
      <c r="X34" s="222" t="str">
        <f>IFERROR(ROUND(VLOOKUP($H$2,'20年度'!$B$6:$GI$50,32,0)/1000,0),"-")</f>
        <v>-</v>
      </c>
      <c r="Y34" s="222" t="str">
        <f>IFERROR(ROUND(VLOOKUP($H$2,'21年度'!$B$6:$GI$50,32,0)/1000,0),"-")</f>
        <v>-</v>
      </c>
      <c r="Z34" s="222" t="str">
        <f>IFERROR(ROUND(VLOOKUP($H$2,'22年度'!$B$6:$GI$50,32,0)/1000,0),"-")</f>
        <v>-</v>
      </c>
      <c r="AA34" s="222">
        <f>IFERROR(ROUND(VLOOKUP($H$2,'23年度'!$B$6:$GI$52,32,0)/1000,0),"-")</f>
        <v>32294</v>
      </c>
      <c r="AB34" s="221">
        <f>IFERROR(ROUND(VLOOKUP($H$2,'24年度'!$B$6:$GI$52,32,0)/1000,0),"-")</f>
        <v>33467</v>
      </c>
      <c r="AC34" s="223">
        <f>IFERROR(ROUND(VLOOKUP($H$2,'25年度'!$B$6:$GI$52,32,0)/1000,0),"-")</f>
        <v>34571</v>
      </c>
      <c r="AD34" s="221">
        <f>IFERROR(ROUND(VLOOKUP($H$2,'26年度'!$B$6:$GI$52,32,0)/1000,0),"-")</f>
        <v>35911</v>
      </c>
      <c r="AE34" s="221">
        <f>IFERROR(ROUND(VLOOKUP($H$2,'27年度'!$B$6:$GI$52,32,0)/1000,0),"-")</f>
        <v>31954</v>
      </c>
      <c r="AF34" s="221">
        <f>IFERROR(ROUND(VLOOKUP($H$2,'28年度'!$B$6:$GI$52,32,0)/1000,0),"-")</f>
        <v>30155</v>
      </c>
      <c r="AG34" s="223">
        <f>IFERROR(ROUND(VLOOKUP($H$2,'29年度'!$B$6:$GI$52,32,0)/1000,0),"-")</f>
        <v>28813</v>
      </c>
      <c r="AH34" s="222">
        <f>IFERROR(ROUND(VLOOKUP($H$2,'30年度'!$B$6:$GI$52,32,0)/1000,0),"-")</f>
        <v>29773</v>
      </c>
      <c r="AI34" s="221">
        <f>IFERROR(ROUND(VLOOKUP($H$2,'R1年度'!$B$6:$GJ$52,33,0)/1000,0),"-")</f>
        <v>24060</v>
      </c>
      <c r="AJ34" s="221">
        <f>IFERROR(ROUND(VLOOKUP($H$2,'R2年度'!$B$6:$GJ$52,34,0)/1000,0),"-")</f>
        <v>19133</v>
      </c>
      <c r="AK34" s="223">
        <f>IFERROR(ROUND(VLOOKUP($H$2,'R3年度'!$B$6:$GJ$52,34,0)/1000,0),"-")</f>
        <v>19550</v>
      </c>
      <c r="AL34" s="222">
        <f>IFERROR(ROUND(VLOOKUP($H$2,'R4年度'!$B$6:$GJ$52,34,0)/1000,0),"-")</f>
        <v>21173</v>
      </c>
      <c r="AM34" s="221">
        <f>IFERROR(ROUND(VLOOKUP($H$2,'R5年度'!$B$6:$GJ$52,34,0)/1000,0),"-")</f>
        <v>21330</v>
      </c>
      <c r="AN34" s="221">
        <f>IFERROR(ROUND(VLOOKUP($H$2,'R6年度'!$B$6:$GJ$52,34,0)/1000,0),"-")</f>
        <v>19119</v>
      </c>
    </row>
    <row r="35" spans="2:40" ht="15.9" customHeight="1" thickBot="1" x14ac:dyDescent="0.2">
      <c r="B35" s="493" t="s">
        <v>165</v>
      </c>
      <c r="C35" s="494"/>
      <c r="D35" s="474"/>
      <c r="E35" s="220" t="str">
        <f>IFERROR(ROUND(VLOOKUP($H$2,'1年度'!$B$6:$GI$50,33,0)/1000,0),"-")</f>
        <v>-</v>
      </c>
      <c r="F35" s="220" t="str">
        <f>IFERROR(ROUND(VLOOKUP($H$2,'2年度'!$B$6:$GI$50,33,0)/1000,0),"-")</f>
        <v>-</v>
      </c>
      <c r="G35" s="220" t="str">
        <f>IFERROR(ROUND(VLOOKUP($H$2,'3年度'!$B$6:$GI$50,33,0)/1000,0),"-")</f>
        <v>-</v>
      </c>
      <c r="H35" s="220" t="str">
        <f>IFERROR(ROUND(VLOOKUP($H$2,'4年度'!$B$6:$GI$50,33,0)/1000,0),"-")</f>
        <v>-</v>
      </c>
      <c r="I35" s="220" t="str">
        <f>IFERROR(ROUND(VLOOKUP($H$2,'5年度'!$B$6:$GI$50,33,0)/1000,0),"-")</f>
        <v>-</v>
      </c>
      <c r="J35" s="220" t="str">
        <f>IFERROR(ROUND(VLOOKUP($H$2,'6年度'!$B$6:$GI$50,33,0)/1000,0),"-")</f>
        <v>-</v>
      </c>
      <c r="K35" s="220" t="str">
        <f>IFERROR(ROUND(VLOOKUP($H$2,'7年度'!$B$6:$GI$50,33,0)/1000,0),"-")</f>
        <v>-</v>
      </c>
      <c r="L35" s="220" t="str">
        <f>IFERROR(ROUND(VLOOKUP($H$2,'8年度'!$B$6:$GI$50,33,0)/1000,0),"-")</f>
        <v>-</v>
      </c>
      <c r="M35" s="220" t="str">
        <f>IFERROR(ROUND(VLOOKUP($H$2,'9年度'!$B$6:$GI$50,33,0)/1000,0),"-")</f>
        <v>-</v>
      </c>
      <c r="N35" s="220" t="str">
        <f>IFERROR(ROUND(VLOOKUP($H$2,'10年度'!$B$6:$GI$50,33,0)/1000,0),"-")</f>
        <v>-</v>
      </c>
      <c r="O35" s="220" t="str">
        <f>IFERROR(ROUND(VLOOKUP($H$2,'11年度'!$B$6:$GI$50,33,0)/1000,0),"-")</f>
        <v>-</v>
      </c>
      <c r="P35" s="220" t="str">
        <f>IFERROR(ROUND(VLOOKUP($H$2,'12年度'!$B$6:$GI$50,33,0)/1000,0),"-")</f>
        <v>-</v>
      </c>
      <c r="Q35" s="220" t="str">
        <f>IFERROR(ROUND(VLOOKUP($H$2,'13年度'!$B$6:$GI$50,33,0)/1000,0),"-")</f>
        <v>-</v>
      </c>
      <c r="R35" s="220" t="str">
        <f>IFERROR(ROUND(VLOOKUP($H$2,'14年度'!$B$6:$GI$50,33,0)/1000,0),"-")</f>
        <v>-</v>
      </c>
      <c r="S35" s="220" t="str">
        <f>IFERROR(ROUND(VLOOKUP($H$2,'15年度'!$B$6:$GI$50,33,0)/1000,0),"-")</f>
        <v>-</v>
      </c>
      <c r="T35" s="220" t="str">
        <f>IFERROR(ROUND(VLOOKUP($H$2,'16年度'!$B$6:$GI$50,33,0)/1000,0),"-")</f>
        <v>-</v>
      </c>
      <c r="U35" s="220" t="str">
        <f>IFERROR(ROUND(VLOOKUP($H$2,'17年度'!$B$6:$GI$50,33,0)/1000,0),"-")</f>
        <v>-</v>
      </c>
      <c r="V35" s="220" t="str">
        <f>IFERROR(ROUND(VLOOKUP($H$2,'18年度'!$B$6:$GI$50,33,0)/1000,0),"-")</f>
        <v>-</v>
      </c>
      <c r="W35" s="221" t="str">
        <f>IFERROR(ROUND(VLOOKUP($H$2,'19年度'!$B$6:$GI$50,33,0)/1000,0),"-")</f>
        <v>-</v>
      </c>
      <c r="X35" s="222" t="str">
        <f>IFERROR(ROUND(VLOOKUP($H$2,'20年度'!$B$6:$GI$50,33,0)/1000,0),"-")</f>
        <v>-</v>
      </c>
      <c r="Y35" s="222" t="str">
        <f>IFERROR(ROUND(VLOOKUP($H$2,'21年度'!$B$6:$GI$50,33,0)/1000,0),"-")</f>
        <v>-</v>
      </c>
      <c r="Z35" s="222" t="str">
        <f>IFERROR(ROUND(VLOOKUP($H$2,'22年度'!$B$6:$GI$50,33,0)/1000,0),"-")</f>
        <v>-</v>
      </c>
      <c r="AA35" s="222">
        <f>IFERROR(ROUND(VLOOKUP($H$2,'23年度'!$B$6:$GI$52,33,0)/1000,0),"-")</f>
        <v>99218</v>
      </c>
      <c r="AB35" s="221">
        <f>IFERROR(ROUND(VLOOKUP($H$2,'24年度'!$B$6:$GI$52,33,0)/1000,0),"-")</f>
        <v>102950</v>
      </c>
      <c r="AC35" s="223">
        <f>IFERROR(ROUND(VLOOKUP($H$2,'25年度'!$B$6:$GI$52,33,0)/1000,0),"-")</f>
        <v>104052</v>
      </c>
      <c r="AD35" s="221">
        <f>IFERROR(ROUND(VLOOKUP($H$2,'26年度'!$B$6:$GI$52,33,0)/1000,0),"-")</f>
        <v>103207</v>
      </c>
      <c r="AE35" s="221">
        <f>IFERROR(ROUND(VLOOKUP($H$2,'27年度'!$B$6:$GI$52,33,0)/1000,0),"-")</f>
        <v>105801</v>
      </c>
      <c r="AF35" s="221">
        <f>IFERROR(ROUND(VLOOKUP($H$2,'28年度'!$B$6:$GI$52,33,0)/1000,0),"-")</f>
        <v>107774</v>
      </c>
      <c r="AG35" s="223">
        <f>IFERROR(ROUND(VLOOKUP($H$2,'29年度'!$B$6:$GI$52,33,0)/1000,0),"-")</f>
        <v>107886</v>
      </c>
      <c r="AH35" s="222">
        <f>IFERROR(ROUND(VLOOKUP($H$2,'30年度'!$B$6:$GI$52,33,0)/1000,0),"-")</f>
        <v>110365</v>
      </c>
      <c r="AI35" s="221">
        <f>IFERROR(ROUND(VLOOKUP($H$2,'R1年度'!$B$6:$GJ$52,34,0)/1000,0),"-")</f>
        <v>108750</v>
      </c>
      <c r="AJ35" s="221">
        <f>IFERROR(ROUND(VLOOKUP($H$2,'R2年度'!$B$6:$GJ$52,35,0)/1000,0),"-")</f>
        <v>101592</v>
      </c>
      <c r="AK35" s="223">
        <f>IFERROR(ROUND(VLOOKUP($H$2,'R3年度'!$B$6:$GJ$52,35,0)/1000,0),"-")</f>
        <v>102656</v>
      </c>
      <c r="AL35" s="222">
        <f>IFERROR(ROUND(VLOOKUP($H$2,'R4年度'!$B$6:$GJ$52,35,0)/1000,0),"-")</f>
        <v>103512</v>
      </c>
      <c r="AM35" s="221">
        <f>IFERROR(ROUND(VLOOKUP($H$2,'R5年度'!$B$6:$GJ$52,35,0)/1000,0),"-")</f>
        <v>104848</v>
      </c>
      <c r="AN35" s="221">
        <f>IFERROR(ROUND(VLOOKUP($H$2,'R6年度'!$B$6:$GJ$52,35,0)/1000,0),"-")</f>
        <v>107292</v>
      </c>
    </row>
    <row r="36" spans="2:40" ht="15.9" customHeight="1" x14ac:dyDescent="0.15">
      <c r="B36" s="484" t="s">
        <v>166</v>
      </c>
      <c r="C36" s="485"/>
      <c r="D36" s="486"/>
      <c r="E36" s="175" t="str">
        <f>IFERROR(ROUND(VLOOKUP($H$2,'1年度'!$B$6:$GI$50,36,0)/1000,0),"-")</f>
        <v>-</v>
      </c>
      <c r="F36" s="175" t="str">
        <f>IFERROR(ROUND(VLOOKUP($H$2,'2年度'!$B$6:$GI$50,36,0)/1000,0),"-")</f>
        <v>-</v>
      </c>
      <c r="G36" s="175" t="str">
        <f>IFERROR(ROUND(VLOOKUP($H$2,'3年度'!$B$6:$GI$50,36,0)/1000,0),"-")</f>
        <v>-</v>
      </c>
      <c r="H36" s="175" t="str">
        <f>IFERROR(ROUND(VLOOKUP($H$2,'4年度'!$B$6:$GI$50,36,0)/1000,0),"-")</f>
        <v>-</v>
      </c>
      <c r="I36" s="175" t="str">
        <f>IFERROR(ROUND(VLOOKUP($H$2,'5年度'!$B$6:$GI$50,36,0)/1000,0),"-")</f>
        <v>-</v>
      </c>
      <c r="J36" s="175" t="str">
        <f>IFERROR(ROUND(VLOOKUP($H$2,'6年度'!$B$6:$GI$50,36,0)/1000,0),"-")</f>
        <v>-</v>
      </c>
      <c r="K36" s="175" t="str">
        <f>IFERROR(ROUND(VLOOKUP($H$2,'7年度'!$B$6:$GI$50,36,0)/1000,0),"-")</f>
        <v>-</v>
      </c>
      <c r="L36" s="175" t="str">
        <f>IFERROR(ROUND(VLOOKUP($H$2,'8年度'!$B$6:$GI$50,36,0)/1000,0),"-")</f>
        <v>-</v>
      </c>
      <c r="M36" s="175" t="str">
        <f>IFERROR(ROUND(VLOOKUP($H$2,'9年度'!$B$6:$GI$50,36,0)/1000,0),"-")</f>
        <v>-</v>
      </c>
      <c r="N36" s="175" t="str">
        <f>IFERROR(ROUND(VLOOKUP($H$2,'10年度'!$B$6:$GI$50,36,0)/1000,0),"-")</f>
        <v>-</v>
      </c>
      <c r="O36" s="175" t="str">
        <f>IFERROR(ROUND(VLOOKUP($H$2,'11年度'!$B$6:$GI$50,36,0)/1000,0),"-")</f>
        <v>-</v>
      </c>
      <c r="P36" s="175" t="str">
        <f>IFERROR(ROUND(VLOOKUP($H$2,'12年度'!$B$6:$GI$50,36,0)/1000,0),"-")</f>
        <v>-</v>
      </c>
      <c r="Q36" s="175" t="str">
        <f>IFERROR(ROUND(VLOOKUP($H$2,'13年度'!$B$6:$GI$50,36,0)/1000,0),"-")</f>
        <v>-</v>
      </c>
      <c r="R36" s="175" t="str">
        <f>IFERROR(ROUND(VLOOKUP($H$2,'14年度'!$B$6:$GI$50,36,0)/1000,0),"-")</f>
        <v>-</v>
      </c>
      <c r="S36" s="175" t="str">
        <f>IFERROR(ROUND(VLOOKUP($H$2,'15年度'!$B$6:$GI$50,36,0)/1000,0),"-")</f>
        <v>-</v>
      </c>
      <c r="T36" s="175" t="str">
        <f>IFERROR(ROUND(VLOOKUP($H$2,'16年度'!$B$6:$GI$50,36,0)/1000,0),"-")</f>
        <v>-</v>
      </c>
      <c r="U36" s="175" t="str">
        <f>IFERROR(ROUND(VLOOKUP($H$2,'17年度'!$B$6:$GI$50,36,0)/1000,0),"-")</f>
        <v>-</v>
      </c>
      <c r="V36" s="175" t="str">
        <f>IFERROR(ROUND(VLOOKUP($H$2,'18年度'!$B$6:$GI$50,36,0)/1000,0),"-")</f>
        <v>-</v>
      </c>
      <c r="W36" s="220" t="str">
        <f>IFERROR(ROUND(VLOOKUP($H$2,'19年度'!$B$6:$GI$50,36,0)/1000,0),"-")</f>
        <v>-</v>
      </c>
      <c r="X36" s="228" t="str">
        <f>IFERROR(ROUND(VLOOKUP($H$2,'20年度'!$B$6:$GI$50,36,0)/1000,0),"-")</f>
        <v>-</v>
      </c>
      <c r="Y36" s="228" t="str">
        <f>IFERROR(ROUND(VLOOKUP($H$2,'21年度'!$B$6:$GI$50,36,0)/1000,0),"-")</f>
        <v>-</v>
      </c>
      <c r="Z36" s="228" t="str">
        <f>IFERROR(ROUND(VLOOKUP($H$2,'22年度'!$B$6:$GI$50,36,0)/1000,0),"-")</f>
        <v>-</v>
      </c>
      <c r="AA36" s="228">
        <f>IFERROR(ROUND(VLOOKUP($H$2,'23年度'!$B$6:$GI$52,36,0)/1000,0),"-")</f>
        <v>750863</v>
      </c>
      <c r="AB36" s="220">
        <f>IFERROR(ROUND(VLOOKUP($H$2,'24年度'!$B$6:$GI$52,36,0)/1000,0),"-")</f>
        <v>736622</v>
      </c>
      <c r="AC36" s="229">
        <f>IFERROR(ROUND(VLOOKUP($H$2,'25年度'!$B$6:$GI$52,36,0)/1000,0),"-")</f>
        <v>789069</v>
      </c>
      <c r="AD36" s="220">
        <f>IFERROR(ROUND(VLOOKUP($H$2,'26年度'!$B$6:$GI$52,36,0)/1000,0),"-")</f>
        <v>798735</v>
      </c>
      <c r="AE36" s="220">
        <f>IFERROR(ROUND(VLOOKUP($H$2,'27年度'!$B$6:$GI$52,36,0)/1000,0),"-")</f>
        <v>822160</v>
      </c>
      <c r="AF36" s="220">
        <f>IFERROR(ROUND(VLOOKUP($H$2,'28年度'!$B$6:$GI$52,36,0)/1000,0),"-")</f>
        <v>843332</v>
      </c>
      <c r="AG36" s="229">
        <f>IFERROR(ROUND(VLOOKUP($H$2,'29年度'!$B$6:$GI$52,36,0)/1000,0),"-")</f>
        <v>904527</v>
      </c>
      <c r="AH36" s="228">
        <f>IFERROR(ROUND(VLOOKUP($H$2,'30年度'!$B$6:$GI$52,36,0)/1000,0),"-")</f>
        <v>878622</v>
      </c>
      <c r="AI36" s="220">
        <f>IFERROR(ROUND(VLOOKUP($H$2,'R1年度'!$B$6:$GJ$52,37,0)/1000,0),"-")</f>
        <v>939138</v>
      </c>
      <c r="AJ36" s="220">
        <f>IFERROR(ROUND(VLOOKUP($H$2,'R2年度'!$B$6:$GJ$52,38,0)/1000,0),"-")</f>
        <v>2020111</v>
      </c>
      <c r="AK36" s="229">
        <f>IFERROR(ROUND(VLOOKUP($H$2,'R3年度'!$B$6:$GJ$52,38,0)/1000,0),"-")</f>
        <v>1410537</v>
      </c>
      <c r="AL36" s="228">
        <f>IFERROR(ROUND(VLOOKUP($H$2,'R4年度'!$B$6:$GJ$52,38,0)/1000,0),"-")</f>
        <v>1300570</v>
      </c>
      <c r="AM36" s="220">
        <f>IFERROR(ROUND(VLOOKUP($H$2,'R5年度'!$B$6:$GJ$52,38,0)/1000,0),"-")</f>
        <v>1266258</v>
      </c>
      <c r="AN36" s="220">
        <f>IFERROR(ROUND(VLOOKUP($H$2,'R6年度'!$B$6:$GJ$52,38,0)/1000,0),"-")</f>
        <v>1274884</v>
      </c>
    </row>
    <row r="37" spans="2:40" ht="15.9" customHeight="1" x14ac:dyDescent="0.15">
      <c r="B37" s="54"/>
      <c r="C37" s="478" t="s">
        <v>167</v>
      </c>
      <c r="D37" s="479"/>
      <c r="E37" s="202" t="str">
        <f>IFERROR(ROUND(VLOOKUP($H$2,'1年度'!$B$6:$GI$50,38,0)/1000,0),"-")</f>
        <v>-</v>
      </c>
      <c r="F37" s="202" t="str">
        <f>IFERROR(ROUND(VLOOKUP($H$2,'2年度'!$B$6:$GI$50,38,0)/1000,0),"-")</f>
        <v>-</v>
      </c>
      <c r="G37" s="202" t="str">
        <f>IFERROR(ROUND(VLOOKUP($H$2,'3年度'!$B$6:$GI$50,38,0)/1000,0),"-")</f>
        <v>-</v>
      </c>
      <c r="H37" s="202" t="str">
        <f>IFERROR(ROUND(VLOOKUP($H$2,'4年度'!$B$6:$GI$50,38,0)/1000,0),"-")</f>
        <v>-</v>
      </c>
      <c r="I37" s="202" t="str">
        <f>IFERROR(ROUND(VLOOKUP($H$2,'5年度'!$B$6:$GI$50,38,0)/1000,0),"-")</f>
        <v>-</v>
      </c>
      <c r="J37" s="202" t="str">
        <f>IFERROR(ROUND(VLOOKUP($H$2,'6年度'!$B$6:$GI$50,38,0)/1000,0),"-")</f>
        <v>-</v>
      </c>
      <c r="K37" s="202" t="str">
        <f>IFERROR(ROUND(VLOOKUP($H$2,'7年度'!$B$6:$GI$50,38,0)/1000,0),"-")</f>
        <v>-</v>
      </c>
      <c r="L37" s="202" t="str">
        <f>IFERROR(ROUND(VLOOKUP($H$2,'8年度'!$B$6:$GI$50,38,0)/1000,0),"-")</f>
        <v>-</v>
      </c>
      <c r="M37" s="202" t="str">
        <f>IFERROR(ROUND(VLOOKUP($H$2,'9年度'!$B$6:$GI$50,38,0)/1000,0),"-")</f>
        <v>-</v>
      </c>
      <c r="N37" s="202" t="str">
        <f>IFERROR(ROUND(VLOOKUP($H$2,'10年度'!$B$6:$GI$50,38,0)/1000,0),"-")</f>
        <v>-</v>
      </c>
      <c r="O37" s="202" t="str">
        <f>IFERROR(ROUND(VLOOKUP($H$2,'11年度'!$B$6:$GI$50,38,0)/1000,0),"-")</f>
        <v>-</v>
      </c>
      <c r="P37" s="202" t="str">
        <f>IFERROR(ROUND(VLOOKUP($H$2,'12年度'!$B$6:$GI$50,38,0)/1000,0),"-")</f>
        <v>-</v>
      </c>
      <c r="Q37" s="202" t="str">
        <f>IFERROR(ROUND(VLOOKUP($H$2,'13年度'!$B$6:$GI$50,38,0)/1000,0),"-")</f>
        <v>-</v>
      </c>
      <c r="R37" s="202" t="str">
        <f>IFERROR(ROUND(VLOOKUP($H$2,'14年度'!$B$6:$GI$50,38,0)/1000,0),"-")</f>
        <v>-</v>
      </c>
      <c r="S37" s="202" t="str">
        <f>IFERROR(ROUND(VLOOKUP($H$2,'15年度'!$B$6:$GI$50,38,0)/1000,0),"-")</f>
        <v>-</v>
      </c>
      <c r="T37" s="202" t="str">
        <f>IFERROR(ROUND(VLOOKUP($H$2,'16年度'!$B$6:$GI$50,38,0)/1000,0),"-")</f>
        <v>-</v>
      </c>
      <c r="U37" s="202" t="str">
        <f>IFERROR(ROUND(VLOOKUP($H$2,'17年度'!$B$6:$GI$50,38,0)/1000,0),"-")</f>
        <v>-</v>
      </c>
      <c r="V37" s="202" t="str">
        <f>IFERROR(ROUND(VLOOKUP($H$2,'18年度'!$B$6:$GI$50,38,0)/1000,0),"-")</f>
        <v>-</v>
      </c>
      <c r="W37" s="202" t="str">
        <f>IFERROR(ROUND(VLOOKUP($H$2,'19年度'!$B$6:$GI$50,38,0)/1000,0),"-")</f>
        <v>-</v>
      </c>
      <c r="X37" s="203" t="str">
        <f>IFERROR(ROUND(VLOOKUP($H$2,'20年度'!$B$6:$GI$50,38,0)/1000,0),"-")</f>
        <v>-</v>
      </c>
      <c r="Y37" s="203" t="str">
        <f>IFERROR(ROUND(VLOOKUP($H$2,'21年度'!$B$6:$GI$50,38,0)/1000,0),"-")</f>
        <v>-</v>
      </c>
      <c r="Z37" s="203" t="str">
        <f>IFERROR(ROUND(VLOOKUP($H$2,'22年度'!$B$6:$GI$50,38,0)/1000,0),"-")</f>
        <v>-</v>
      </c>
      <c r="AA37" s="203">
        <f>IFERROR(ROUND(VLOOKUP($H$2,'23年度'!$B$6:$GI$52,38,0)/1000,0),"-")</f>
        <v>411894</v>
      </c>
      <c r="AB37" s="202">
        <f>IFERROR(ROUND(VLOOKUP($H$2,'24年度'!$B$6:$GI$52,38,0)/1000,0),"-")</f>
        <v>411555</v>
      </c>
      <c r="AC37" s="204">
        <f>IFERROR(ROUND(VLOOKUP($H$2,'25年度'!$B$6:$GI$52,38,0)/1000,0),"-")</f>
        <v>412166</v>
      </c>
      <c r="AD37" s="202">
        <f>IFERROR(ROUND(VLOOKUP($H$2,'26年度'!$B$6:$GI$52,38,0)/1000,0),"-")</f>
        <v>411203</v>
      </c>
      <c r="AE37" s="202">
        <f>IFERROR(ROUND(VLOOKUP($H$2,'27年度'!$B$6:$GI$52,38,0)/1000,0),"-")</f>
        <v>413388</v>
      </c>
      <c r="AF37" s="202">
        <f>IFERROR(ROUND(VLOOKUP($H$2,'28年度'!$B$6:$GI$52,38,0)/1000,0),"-")</f>
        <v>408950</v>
      </c>
      <c r="AG37" s="204">
        <f>IFERROR(ROUND(VLOOKUP($H$2,'29年度'!$B$6:$GI$52,38,0)/1000,0),"-")</f>
        <v>404626</v>
      </c>
      <c r="AH37" s="203">
        <f>IFERROR(ROUND(VLOOKUP($H$2,'30年度'!$B$6:$GI$52,38,0)/1000,0),"-")</f>
        <v>396630</v>
      </c>
      <c r="AI37" s="202">
        <f>IFERROR(ROUND(VLOOKUP($H$2,'R1年度'!$B$6:$GJ$52,39,0)/1000,0),"-")</f>
        <v>390156</v>
      </c>
      <c r="AJ37" s="202">
        <f>IFERROR(ROUND(VLOOKUP($H$2,'R2年度'!$B$6:$GJ$52,40,0)/1000,0),"-")</f>
        <v>384347</v>
      </c>
      <c r="AK37" s="204">
        <f>IFERROR(ROUND(VLOOKUP($H$2,'R3年度'!$B$6:$GJ$52,40,0)/1000,0),"-")</f>
        <v>378023</v>
      </c>
      <c r="AL37" s="203">
        <f>IFERROR(ROUND(VLOOKUP($H$2,'R4年度'!$B$6:$GJ$52,40,0)/1000,0),"-")</f>
        <v>374758</v>
      </c>
      <c r="AM37" s="202">
        <f>IFERROR(ROUND(VLOOKUP($H$2,'R5年度'!$B$6:$GJ$52,40,0)/1000,0),"-")</f>
        <v>383906</v>
      </c>
      <c r="AN37" s="202">
        <f>IFERROR(ROUND(VLOOKUP($H$2,'R6年度'!$B$6:$GJ$52,40,0)/1000,0),"-")</f>
        <v>388783</v>
      </c>
    </row>
    <row r="38" spans="2:40" ht="15.9" customHeight="1" x14ac:dyDescent="0.15">
      <c r="B38" s="54"/>
      <c r="C38" s="478" t="s">
        <v>168</v>
      </c>
      <c r="D38" s="479"/>
      <c r="E38" s="202" t="str">
        <f>IFERROR(ROUND(VLOOKUP($H$2,'1年度'!$B$6:$GI$50,39,0)/1000,0),"-")</f>
        <v>-</v>
      </c>
      <c r="F38" s="202" t="str">
        <f>IFERROR(ROUND(VLOOKUP($H$2,'2年度'!$B$6:$GI$50,39,0)/1000,0),"-")</f>
        <v>-</v>
      </c>
      <c r="G38" s="202" t="str">
        <f>IFERROR(ROUND(VLOOKUP($H$2,'3年度'!$B$6:$GI$50,39,0)/1000,0),"-")</f>
        <v>-</v>
      </c>
      <c r="H38" s="202" t="str">
        <f>IFERROR(ROUND(VLOOKUP($H$2,'4年度'!$B$6:$GI$50,39,0)/1000,0),"-")</f>
        <v>-</v>
      </c>
      <c r="I38" s="202" t="str">
        <f>IFERROR(ROUND(VLOOKUP($H$2,'5年度'!$B$6:$GI$50,39,0)/1000,0),"-")</f>
        <v>-</v>
      </c>
      <c r="J38" s="202" t="str">
        <f>IFERROR(ROUND(VLOOKUP($H$2,'6年度'!$B$6:$GI$50,39,0)/1000,0),"-")</f>
        <v>-</v>
      </c>
      <c r="K38" s="202" t="str">
        <f>IFERROR(ROUND(VLOOKUP($H$2,'7年度'!$B$6:$GI$50,39,0)/1000,0),"-")</f>
        <v>-</v>
      </c>
      <c r="L38" s="202" t="str">
        <f>IFERROR(ROUND(VLOOKUP($H$2,'8年度'!$B$6:$GI$50,39,0)/1000,0),"-")</f>
        <v>-</v>
      </c>
      <c r="M38" s="202" t="str">
        <f>IFERROR(ROUND(VLOOKUP($H$2,'9年度'!$B$6:$GI$50,39,0)/1000,0),"-")</f>
        <v>-</v>
      </c>
      <c r="N38" s="202" t="str">
        <f>IFERROR(ROUND(VLOOKUP($H$2,'10年度'!$B$6:$GI$50,39,0)/1000,0),"-")</f>
        <v>-</v>
      </c>
      <c r="O38" s="202" t="str">
        <f>IFERROR(ROUND(VLOOKUP($H$2,'11年度'!$B$6:$GI$50,39,0)/1000,0),"-")</f>
        <v>-</v>
      </c>
      <c r="P38" s="202" t="str">
        <f>IFERROR(ROUND(VLOOKUP($H$2,'12年度'!$B$6:$GI$50,39,0)/1000,0),"-")</f>
        <v>-</v>
      </c>
      <c r="Q38" s="202" t="str">
        <f>IFERROR(ROUND(VLOOKUP($H$2,'13年度'!$B$6:$GI$50,39,0)/1000,0),"-")</f>
        <v>-</v>
      </c>
      <c r="R38" s="202" t="str">
        <f>IFERROR(ROUND(VLOOKUP($H$2,'14年度'!$B$6:$GI$50,39,0)/1000,0),"-")</f>
        <v>-</v>
      </c>
      <c r="S38" s="202" t="str">
        <f>IFERROR(ROUND(VLOOKUP($H$2,'15年度'!$B$6:$GI$50,39,0)/1000,0),"-")</f>
        <v>-</v>
      </c>
      <c r="T38" s="202" t="str">
        <f>IFERROR(ROUND(VLOOKUP($H$2,'16年度'!$B$6:$GI$50,39,0)/1000,0),"-")</f>
        <v>-</v>
      </c>
      <c r="U38" s="202" t="str">
        <f>IFERROR(ROUND(VLOOKUP($H$2,'17年度'!$B$6:$GI$50,39,0)/1000,0),"-")</f>
        <v>-</v>
      </c>
      <c r="V38" s="202" t="str">
        <f>IFERROR(ROUND(VLOOKUP($H$2,'18年度'!$B$6:$GI$50,39,0)/1000,0),"-")</f>
        <v>-</v>
      </c>
      <c r="W38" s="202" t="str">
        <f>IFERROR(ROUND(VLOOKUP($H$2,'19年度'!$B$6:$GI$50,39,0)/1000,0),"-")</f>
        <v>-</v>
      </c>
      <c r="X38" s="203" t="str">
        <f>IFERROR(ROUND(VLOOKUP($H$2,'20年度'!$B$6:$GI$50,39,0)/1000,0),"-")</f>
        <v>-</v>
      </c>
      <c r="Y38" s="203" t="str">
        <f>IFERROR(ROUND(VLOOKUP($H$2,'21年度'!$B$6:$GI$50,39,0)/1000,0),"-")</f>
        <v>-</v>
      </c>
      <c r="Z38" s="203" t="str">
        <f>IFERROR(ROUND(VLOOKUP($H$2,'22年度'!$B$6:$GI$50,39,0)/1000,0),"-")</f>
        <v>-</v>
      </c>
      <c r="AA38" s="203">
        <f>IFERROR(ROUND(VLOOKUP($H$2,'23年度'!$B$6:$GI$52,39,0)/1000,0),"-")</f>
        <v>76533</v>
      </c>
      <c r="AB38" s="202">
        <f>IFERROR(ROUND(VLOOKUP($H$2,'24年度'!$B$6:$GI$52,39,0)/1000,0),"-")</f>
        <v>72798</v>
      </c>
      <c r="AC38" s="204">
        <f>IFERROR(ROUND(VLOOKUP($H$2,'25年度'!$B$6:$GI$52,39,0)/1000,0),"-")</f>
        <v>45408</v>
      </c>
      <c r="AD38" s="202">
        <f>IFERROR(ROUND(VLOOKUP($H$2,'26年度'!$B$6:$GI$52,39,0)/1000,0),"-")</f>
        <v>49146</v>
      </c>
      <c r="AE38" s="202">
        <f>IFERROR(ROUND(VLOOKUP($H$2,'27年度'!$B$6:$GI$52,39,0)/1000,0),"-")</f>
        <v>60060</v>
      </c>
      <c r="AF38" s="202">
        <f>IFERROR(ROUND(VLOOKUP($H$2,'28年度'!$B$6:$GI$52,39,0)/1000,0),"-")</f>
        <v>67583</v>
      </c>
      <c r="AG38" s="204">
        <f>IFERROR(ROUND(VLOOKUP($H$2,'29年度'!$B$6:$GI$52,39,0)/1000,0),"-")</f>
        <v>78956</v>
      </c>
      <c r="AH38" s="203">
        <f>IFERROR(ROUND(VLOOKUP($H$2,'30年度'!$B$6:$GI$52,39,0)/1000,0),"-")</f>
        <v>86627</v>
      </c>
      <c r="AI38" s="202">
        <f>IFERROR(ROUND(VLOOKUP($H$2,'R1年度'!$B$6:$GJ$52,40,0)/1000,0),"-")</f>
        <v>104951</v>
      </c>
      <c r="AJ38" s="202">
        <f>IFERROR(ROUND(VLOOKUP($H$2,'R2年度'!$B$6:$GJ$52,41,0)/1000,0),"-")</f>
        <v>121881</v>
      </c>
      <c r="AK38" s="204">
        <f>IFERROR(ROUND(VLOOKUP($H$2,'R3年度'!$B$6:$GJ$52,41,0)/1000,0),"-")</f>
        <v>126644</v>
      </c>
      <c r="AL38" s="203">
        <f>IFERROR(ROUND(VLOOKUP($H$2,'R4年度'!$B$6:$GJ$52,41,0)/1000,0),"-")</f>
        <v>141167</v>
      </c>
      <c r="AM38" s="202">
        <f>IFERROR(ROUND(VLOOKUP($H$2,'R5年度'!$B$6:$GJ$52,41,0)/1000,0),"-")</f>
        <v>148699</v>
      </c>
      <c r="AN38" s="202">
        <f>IFERROR(ROUND(VLOOKUP($H$2,'R6年度'!$B$6:$GJ$52,41,0)/1000,0),"-")</f>
        <v>177425</v>
      </c>
    </row>
    <row r="39" spans="2:40" ht="15.9" customHeight="1" x14ac:dyDescent="0.15">
      <c r="B39" s="54"/>
      <c r="C39" s="478" t="s">
        <v>169</v>
      </c>
      <c r="D39" s="479"/>
      <c r="E39" s="202" t="str">
        <f>IFERROR(ROUND(VLOOKUP($H$2,'1年度'!$B$6:$GI$50,42,0)/1000,0),"-")</f>
        <v>-</v>
      </c>
      <c r="F39" s="202" t="str">
        <f>IFERROR(ROUND(VLOOKUP($H$2,'2年度'!$B$6:$GI$50,42,0)/1000,0),"-")</f>
        <v>-</v>
      </c>
      <c r="G39" s="202" t="str">
        <f>IFERROR(ROUND(VLOOKUP($H$2,'3年度'!$B$6:$GI$50,42,0)/1000,0),"-")</f>
        <v>-</v>
      </c>
      <c r="H39" s="202" t="str">
        <f>IFERROR(ROUND(VLOOKUP($H$2,'4年度'!$B$6:$GI$50,42,0)/1000,0),"-")</f>
        <v>-</v>
      </c>
      <c r="I39" s="202" t="str">
        <f>IFERROR(ROUND(VLOOKUP($H$2,'5年度'!$B$6:$GI$50,42,0)/1000,0),"-")</f>
        <v>-</v>
      </c>
      <c r="J39" s="202" t="str">
        <f>IFERROR(ROUND(VLOOKUP($H$2,'6年度'!$B$6:$GI$50,42,0)/1000,0),"-")</f>
        <v>-</v>
      </c>
      <c r="K39" s="202" t="str">
        <f>IFERROR(ROUND(VLOOKUP($H$2,'7年度'!$B$6:$GI$50,42,0)/1000,0),"-")</f>
        <v>-</v>
      </c>
      <c r="L39" s="202" t="str">
        <f>IFERROR(ROUND(VLOOKUP($H$2,'8年度'!$B$6:$GI$50,42,0)/1000,0),"-")</f>
        <v>-</v>
      </c>
      <c r="M39" s="202" t="str">
        <f>IFERROR(ROUND(VLOOKUP($H$2,'9年度'!$B$6:$GI$50,42,0)/1000,0),"-")</f>
        <v>-</v>
      </c>
      <c r="N39" s="202" t="str">
        <f>IFERROR(ROUND(VLOOKUP($H$2,'10年度'!$B$6:$GI$50,42,0)/1000,0),"-")</f>
        <v>-</v>
      </c>
      <c r="O39" s="202" t="str">
        <f>IFERROR(ROUND(VLOOKUP($H$2,'11年度'!$B$6:$GI$50,42,0)/1000,0),"-")</f>
        <v>-</v>
      </c>
      <c r="P39" s="202" t="str">
        <f>IFERROR(ROUND(VLOOKUP($H$2,'12年度'!$B$6:$GI$50,42,0)/1000,0),"-")</f>
        <v>-</v>
      </c>
      <c r="Q39" s="202" t="str">
        <f>IFERROR(ROUND(VLOOKUP($H$2,'13年度'!$B$6:$GI$50,42,0)/1000,0),"-")</f>
        <v>-</v>
      </c>
      <c r="R39" s="202" t="str">
        <f>IFERROR(ROUND(VLOOKUP($H$2,'14年度'!$B$6:$GI$50,42,0)/1000,0),"-")</f>
        <v>-</v>
      </c>
      <c r="S39" s="202" t="str">
        <f>IFERROR(ROUND(VLOOKUP($H$2,'15年度'!$B$6:$GI$50,42,0)/1000,0),"-")</f>
        <v>-</v>
      </c>
      <c r="T39" s="202" t="str">
        <f>IFERROR(ROUND(VLOOKUP($H$2,'16年度'!$B$6:$GI$50,42,0)/1000,0),"-")</f>
        <v>-</v>
      </c>
      <c r="U39" s="202" t="str">
        <f>IFERROR(ROUND(VLOOKUP($H$2,'17年度'!$B$6:$GI$50,42,0)/1000,0),"-")</f>
        <v>-</v>
      </c>
      <c r="V39" s="202" t="str">
        <f>IFERROR(ROUND(VLOOKUP($H$2,'18年度'!$B$6:$GI$50,42,0)/1000,0),"-")</f>
        <v>-</v>
      </c>
      <c r="W39" s="220" t="str">
        <f>IFERROR(ROUND(VLOOKUP($H$2,'19年度'!$B$6:$GI$50,42,0)/1000,0),"-")</f>
        <v>-</v>
      </c>
      <c r="X39" s="228" t="str">
        <f>IFERROR(ROUND(VLOOKUP($H$2,'20年度'!$B$6:$GI$50,42,0)/1000,0),"-")</f>
        <v>-</v>
      </c>
      <c r="Y39" s="228" t="str">
        <f>IFERROR(ROUND(VLOOKUP($H$2,'21年度'!$B$6:$GI$50,42,0)/1000,0),"-")</f>
        <v>-</v>
      </c>
      <c r="Z39" s="228" t="str">
        <f>IFERROR(ROUND(VLOOKUP($H$2,'22年度'!$B$6:$GI$50,42,0)/1000,0),"-")</f>
        <v>-</v>
      </c>
      <c r="AA39" s="228">
        <f>IFERROR(ROUND(VLOOKUP($H$2,'23年度'!$B$6:$GI$52,42,0)/1000,0),"-")</f>
        <v>29558</v>
      </c>
      <c r="AB39" s="220">
        <f>IFERROR(ROUND(VLOOKUP($H$2,'24年度'!$B$6:$GI$52,42,0)/1000,0),"-")</f>
        <v>27508</v>
      </c>
      <c r="AC39" s="229">
        <f>IFERROR(ROUND(VLOOKUP($H$2,'25年度'!$B$6:$GI$52,42,0)/1000,0),"-")</f>
        <v>36136</v>
      </c>
      <c r="AD39" s="220">
        <f>IFERROR(ROUND(VLOOKUP($H$2,'26年度'!$B$6:$GI$52,42,0)/1000,0),"-")</f>
        <v>35595</v>
      </c>
      <c r="AE39" s="220">
        <f>IFERROR(ROUND(VLOOKUP($H$2,'27年度'!$B$6:$GI$52,42,0)/1000,0),"-")</f>
        <v>35124</v>
      </c>
      <c r="AF39" s="220">
        <f>IFERROR(ROUND(VLOOKUP($H$2,'28年度'!$B$6:$GI$52,42,0)/1000,0),"-")</f>
        <v>32673</v>
      </c>
      <c r="AG39" s="229">
        <f>IFERROR(ROUND(VLOOKUP($H$2,'29年度'!$B$6:$GI$52,42,0)/1000,0),"-")</f>
        <v>45057</v>
      </c>
      <c r="AH39" s="228">
        <f>IFERROR(ROUND(VLOOKUP($H$2,'30年度'!$B$6:$GI$52,42,0)/1000,0),"-")</f>
        <v>36379</v>
      </c>
      <c r="AI39" s="220">
        <f>IFERROR(ROUND(VLOOKUP($H$2,'R1年度'!$B$6:$GJ$52,43,0)/1000,0),"-")</f>
        <v>42741</v>
      </c>
      <c r="AJ39" s="220">
        <f>IFERROR(ROUND(VLOOKUP($H$2,'R2年度'!$B$6:$GJ$52,44,0)/1000,0),"-")</f>
        <v>49859</v>
      </c>
      <c r="AK39" s="229">
        <f>IFERROR(ROUND(VLOOKUP($H$2,'R3年度'!$B$6:$GJ$52,44,0)/1000,0),"-")</f>
        <v>47141</v>
      </c>
      <c r="AL39" s="228">
        <f>IFERROR(ROUND(VLOOKUP($H$2,'R4年度'!$B$6:$GJ$52,44,0)/1000,0),"-")</f>
        <v>46997</v>
      </c>
      <c r="AM39" s="220">
        <f>IFERROR(ROUND(VLOOKUP($H$2,'R5年度'!$B$6:$GJ$52,44,0)/1000,0),"-")</f>
        <v>48090</v>
      </c>
      <c r="AN39" s="220">
        <f>IFERROR(ROUND(VLOOKUP($H$2,'R6年度'!$B$6:$GJ$52,44,0)/1000,0),"-")</f>
        <v>55622</v>
      </c>
    </row>
    <row r="40" spans="2:40" ht="15.9" customHeight="1" thickBot="1" x14ac:dyDescent="0.2">
      <c r="B40" s="56"/>
      <c r="C40" s="487" t="s">
        <v>170</v>
      </c>
      <c r="D40" s="488"/>
      <c r="E40" s="215" t="str">
        <f>IFERROR(ROUND(VLOOKUP($H$2,'1年度'!$B$6:$GI$50,43,0)/1000,0),"-")</f>
        <v>-</v>
      </c>
      <c r="F40" s="215" t="str">
        <f>IFERROR(ROUND(VLOOKUP($H$2,'2年度'!$B$6:$GI$50,43,0)/1000,0),"-")</f>
        <v>-</v>
      </c>
      <c r="G40" s="215" t="str">
        <f>IFERROR(ROUND(VLOOKUP($H$2,'3年度'!$B$6:$GI$50,43,0)/1000,0),"-")</f>
        <v>-</v>
      </c>
      <c r="H40" s="215" t="str">
        <f>IFERROR(ROUND(VLOOKUP($H$2,'4年度'!$B$6:$GI$50,43,0)/1000,0),"-")</f>
        <v>-</v>
      </c>
      <c r="I40" s="215" t="str">
        <f>IFERROR(ROUND(VLOOKUP($H$2,'5年度'!$B$6:$GI$50,43,0)/1000,0),"-")</f>
        <v>-</v>
      </c>
      <c r="J40" s="215" t="str">
        <f>IFERROR(ROUND(VLOOKUP($H$2,'6年度'!$B$6:$GI$50,43,0)/1000,0),"-")</f>
        <v>-</v>
      </c>
      <c r="K40" s="215" t="str">
        <f>IFERROR(ROUND(VLOOKUP($H$2,'7年度'!$B$6:$GI$50,43,0)/1000,0),"-")</f>
        <v>-</v>
      </c>
      <c r="L40" s="215" t="str">
        <f>IFERROR(ROUND(VLOOKUP($H$2,'8年度'!$B$6:$GI$50,43,0)/1000,0),"-")</f>
        <v>-</v>
      </c>
      <c r="M40" s="215" t="str">
        <f>IFERROR(ROUND(VLOOKUP($H$2,'9年度'!$B$6:$GI$50,43,0)/1000,0),"-")</f>
        <v>-</v>
      </c>
      <c r="N40" s="215" t="str">
        <f>IFERROR(ROUND(VLOOKUP($H$2,'10年度'!$B$6:$GI$50,43,0)/1000,0),"-")</f>
        <v>-</v>
      </c>
      <c r="O40" s="215" t="str">
        <f>IFERROR(ROUND(VLOOKUP($H$2,'11年度'!$B$6:$GI$50,43,0)/1000,0),"-")</f>
        <v>-</v>
      </c>
      <c r="P40" s="215" t="str">
        <f>IFERROR(ROUND(VLOOKUP($H$2,'12年度'!$B$6:$GI$50,43,0)/1000,0),"-")</f>
        <v>-</v>
      </c>
      <c r="Q40" s="215" t="str">
        <f>IFERROR(ROUND(VLOOKUP($H$2,'13年度'!$B$6:$GI$50,43,0)/1000,0),"-")</f>
        <v>-</v>
      </c>
      <c r="R40" s="215" t="str">
        <f>IFERROR(ROUND(VLOOKUP($H$2,'14年度'!$B$6:$GI$50,43,0)/1000,0),"-")</f>
        <v>-</v>
      </c>
      <c r="S40" s="215" t="str">
        <f>IFERROR(ROUND(VLOOKUP($H$2,'15年度'!$B$6:$GI$50,43,0)/1000,0),"-")</f>
        <v>-</v>
      </c>
      <c r="T40" s="215" t="str">
        <f>IFERROR(ROUND(VLOOKUP($H$2,'16年度'!$B$6:$GI$50,43,0)/1000,0),"-")</f>
        <v>-</v>
      </c>
      <c r="U40" s="215" t="str">
        <f>IFERROR(ROUND(VLOOKUP($H$2,'17年度'!$B$6:$GI$50,43,0)/1000,0),"-")</f>
        <v>-</v>
      </c>
      <c r="V40" s="215" t="str">
        <f>IFERROR(ROUND(VLOOKUP($H$2,'18年度'!$B$6:$GI$50,43,0)/1000,0),"-")</f>
        <v>-</v>
      </c>
      <c r="W40" s="215" t="str">
        <f>IFERROR(ROUND(VLOOKUP($H$2,'19年度'!$B$6:$GI$50,43,0)/1000,0),"-")</f>
        <v>-</v>
      </c>
      <c r="X40" s="216" t="str">
        <f>IFERROR(ROUND(VLOOKUP($H$2,'20年度'!$B$6:$GI$50,43,0)/1000,0),"-")</f>
        <v>-</v>
      </c>
      <c r="Y40" s="216" t="str">
        <f>IFERROR(ROUND(VLOOKUP($H$2,'21年度'!$B$6:$GI$50,43,0)/1000,0),"-")</f>
        <v>-</v>
      </c>
      <c r="Z40" s="216" t="str">
        <f>IFERROR(ROUND(VLOOKUP($H$2,'22年度'!$B$6:$GI$50,43,0)/1000,0),"-")</f>
        <v>-</v>
      </c>
      <c r="AA40" s="216">
        <f>IFERROR(ROUND(VLOOKUP($H$2,'23年度'!$B$6:$GI$52,43,0)/1000,0),"-")</f>
        <v>10</v>
      </c>
      <c r="AB40" s="215">
        <f>IFERROR(ROUND(VLOOKUP($H$2,'24年度'!$B$6:$GI$52,43,0)/1000,0),"-")</f>
        <v>63</v>
      </c>
      <c r="AC40" s="217">
        <f>IFERROR(ROUND(VLOOKUP($H$2,'25年度'!$B$6:$GI$52,43,0)/1000,0),"-")</f>
        <v>62</v>
      </c>
      <c r="AD40" s="215">
        <f>IFERROR(ROUND(VLOOKUP($H$2,'26年度'!$B$6:$GI$52,43,0)/1000,0),"-")</f>
        <v>248</v>
      </c>
      <c r="AE40" s="215">
        <f>IFERROR(ROUND(VLOOKUP($H$2,'27年度'!$B$6:$GI$52,43,0)/1000,0),"-")</f>
        <v>173</v>
      </c>
      <c r="AF40" s="215">
        <f>IFERROR(ROUND(VLOOKUP($H$2,'28年度'!$B$6:$GI$52,43,0)/1000,0),"-")</f>
        <v>112</v>
      </c>
      <c r="AG40" s="217">
        <f>IFERROR(ROUND(VLOOKUP($H$2,'29年度'!$B$6:$GI$52,43,0)/1000,0),"-")</f>
        <v>75</v>
      </c>
      <c r="AH40" s="216">
        <f>IFERROR(ROUND(VLOOKUP($H$2,'30年度'!$B$6:$GI$52,43,0)/1000,0),"-")</f>
        <v>2447</v>
      </c>
      <c r="AI40" s="215">
        <f>IFERROR(ROUND(VLOOKUP($H$2,'R1年度'!$B$6:$GJ$52,44,0)/1000,0),"-")</f>
        <v>1464</v>
      </c>
      <c r="AJ40" s="215">
        <f>IFERROR(ROUND(VLOOKUP($H$2,'R2年度'!$B$6:$GJ$52,45,0)/1000,0),"-")</f>
        <v>136</v>
      </c>
      <c r="AK40" s="217">
        <f>IFERROR(ROUND(VLOOKUP($H$2,'R3年度'!$B$6:$GJ$52,45,0)/1000,0),"-")</f>
        <v>19</v>
      </c>
      <c r="AL40" s="216">
        <f>IFERROR(ROUND(VLOOKUP($H$2,'R4年度'!$B$6:$GJ$52,45,0)/1000,0),"-")</f>
        <v>189</v>
      </c>
      <c r="AM40" s="215">
        <f>IFERROR(ROUND(VLOOKUP($H$2,'R5年度'!$B$6:$GJ$52,45,0)/1000,0),"-")</f>
        <v>151</v>
      </c>
      <c r="AN40" s="215">
        <f>IFERROR(ROUND(VLOOKUP($H$2,'R6年度'!$B$6:$GJ$52,45,0)/1000,0),"-")</f>
        <v>314</v>
      </c>
    </row>
    <row r="41" spans="2:40" ht="15.9" customHeight="1" thickBot="1" x14ac:dyDescent="0.2">
      <c r="B41" s="499" t="s">
        <v>171</v>
      </c>
      <c r="C41" s="494"/>
      <c r="D41" s="474"/>
      <c r="E41" s="220" t="str">
        <f>IFERROR(ROUND(VLOOKUP($H$2,'1年度'!$B$6:$GI$50,44,0)/1000,0),"-")</f>
        <v>-</v>
      </c>
      <c r="F41" s="220" t="str">
        <f>IFERROR(ROUND(VLOOKUP($H$2,'2年度'!$B$6:$GI$50,44,0)/1000,0),"-")</f>
        <v>-</v>
      </c>
      <c r="G41" s="220" t="str">
        <f>IFERROR(ROUND(VLOOKUP($H$2,'3年度'!$B$6:$GI$50,44,0)/1000,0),"-")</f>
        <v>-</v>
      </c>
      <c r="H41" s="220" t="str">
        <f>IFERROR(ROUND(VLOOKUP($H$2,'4年度'!$B$6:$GI$50,44,0)/1000,0),"-")</f>
        <v>-</v>
      </c>
      <c r="I41" s="220" t="str">
        <f>IFERROR(ROUND(VLOOKUP($H$2,'5年度'!$B$6:$GI$50,44,0)/1000,0),"-")</f>
        <v>-</v>
      </c>
      <c r="J41" s="220" t="str">
        <f>IFERROR(ROUND(VLOOKUP($H$2,'6年度'!$B$6:$GI$50,44,0)/1000,0),"-")</f>
        <v>-</v>
      </c>
      <c r="K41" s="220" t="str">
        <f>IFERROR(ROUND(VLOOKUP($H$2,'7年度'!$B$6:$GI$50,44,0)/1000,0),"-")</f>
        <v>-</v>
      </c>
      <c r="L41" s="220" t="str">
        <f>IFERROR(ROUND(VLOOKUP($H$2,'8年度'!$B$6:$GI$50,44,0)/1000,0),"-")</f>
        <v>-</v>
      </c>
      <c r="M41" s="220" t="str">
        <f>IFERROR(ROUND(VLOOKUP($H$2,'9年度'!$B$6:$GI$50,44,0)/1000,0),"-")</f>
        <v>-</v>
      </c>
      <c r="N41" s="220" t="str">
        <f>IFERROR(ROUND(VLOOKUP($H$2,'10年度'!$B$6:$GI$50,44,0)/1000,0),"-")</f>
        <v>-</v>
      </c>
      <c r="O41" s="220" t="str">
        <f>IFERROR(ROUND(VLOOKUP($H$2,'11年度'!$B$6:$GI$50,44,0)/1000,0),"-")</f>
        <v>-</v>
      </c>
      <c r="P41" s="220" t="str">
        <f>IFERROR(ROUND(VLOOKUP($H$2,'12年度'!$B$6:$GI$50,44,0)/1000,0),"-")</f>
        <v>-</v>
      </c>
      <c r="Q41" s="220" t="str">
        <f>IFERROR(ROUND(VLOOKUP($H$2,'13年度'!$B$6:$GI$50,44,0)/1000,0),"-")</f>
        <v>-</v>
      </c>
      <c r="R41" s="220" t="str">
        <f>IFERROR(ROUND(VLOOKUP($H$2,'14年度'!$B$6:$GI$50,44,0)/1000,0),"-")</f>
        <v>-</v>
      </c>
      <c r="S41" s="220" t="str">
        <f>IFERROR(ROUND(VLOOKUP($H$2,'15年度'!$B$6:$GI$50,44,0)/1000,0),"-")</f>
        <v>-</v>
      </c>
      <c r="T41" s="220" t="str">
        <f>IFERROR(ROUND(VLOOKUP($H$2,'16年度'!$B$6:$GI$50,44,0)/1000,0),"-")</f>
        <v>-</v>
      </c>
      <c r="U41" s="220" t="str">
        <f>IFERROR(ROUND(VLOOKUP($H$2,'17年度'!$B$6:$GI$50,44,0)/1000,0),"-")</f>
        <v>-</v>
      </c>
      <c r="V41" s="220" t="str">
        <f>IFERROR(ROUND(VLOOKUP($H$2,'18年度'!$B$6:$GI$50,44,0)/1000,0),"-")</f>
        <v>-</v>
      </c>
      <c r="W41" s="221" t="str">
        <f>IFERROR(ROUND(VLOOKUP($H$2,'19年度'!$B$6:$GI$50,44,0)/1000,0),"-")</f>
        <v>-</v>
      </c>
      <c r="X41" s="222" t="str">
        <f>IFERROR(ROUND(VLOOKUP($H$2,'20年度'!$B$6:$GI$50,44,0)/1000,0),"-")</f>
        <v>-</v>
      </c>
      <c r="Y41" s="222" t="str">
        <f>IFERROR(ROUND(VLOOKUP($H$2,'21年度'!$B$6:$GI$50,44,0)/1000,0),"-")</f>
        <v>-</v>
      </c>
      <c r="Z41" s="222" t="str">
        <f>IFERROR(ROUND(VLOOKUP($H$2,'22年度'!$B$6:$GI$50,44,0)/1000,0),"-")</f>
        <v>-</v>
      </c>
      <c r="AA41" s="222">
        <f>IFERROR(ROUND(VLOOKUP($H$2,'23年度'!$B$6:$GI$52,44,0)/1000,0),"-")</f>
        <v>301</v>
      </c>
      <c r="AB41" s="221">
        <f>IFERROR(ROUND(VLOOKUP($H$2,'24年度'!$B$6:$GI$52,44,0)/1000,0),"-")</f>
        <v>283</v>
      </c>
      <c r="AC41" s="223">
        <f>IFERROR(ROUND(VLOOKUP($H$2,'25年度'!$B$6:$GI$52,44,0)/1000,0),"-")</f>
        <v>272</v>
      </c>
      <c r="AD41" s="221">
        <f>IFERROR(ROUND(VLOOKUP($H$2,'26年度'!$B$6:$GI$52,44,0)/1000,0),"-")</f>
        <v>269</v>
      </c>
      <c r="AE41" s="221">
        <f>IFERROR(ROUND(VLOOKUP($H$2,'27年度'!$B$6:$GI$52,44,0)/1000,0),"-")</f>
        <v>268</v>
      </c>
      <c r="AF41" s="221">
        <f>IFERROR(ROUND(VLOOKUP($H$2,'28年度'!$B$6:$GI$52,44,0)/1000,0),"-")</f>
        <v>274</v>
      </c>
      <c r="AG41" s="223">
        <f>IFERROR(ROUND(VLOOKUP($H$2,'29年度'!$B$6:$GI$52,44,0)/1000,0),"-")</f>
        <v>275</v>
      </c>
      <c r="AH41" s="222">
        <f>IFERROR(ROUND(VLOOKUP($H$2,'30年度'!$B$6:$GI$52,44,0)/1000,0),"-")</f>
        <v>274</v>
      </c>
      <c r="AI41" s="221">
        <f>IFERROR(ROUND(VLOOKUP($H$2,'R1年度'!$B$6:$GJ$52,45,0)/1000,0),"-")</f>
        <v>281</v>
      </c>
      <c r="AJ41" s="221">
        <f>IFERROR(ROUND(VLOOKUP($H$2,'R2年度'!$B$6:$GJ$52,46,0)/1000,0),"-")</f>
        <v>281</v>
      </c>
      <c r="AK41" s="223">
        <f>IFERROR(ROUND(VLOOKUP($H$2,'R3年度'!$B$6:$GJ$52,46,0)/1000,0),"-")</f>
        <v>278</v>
      </c>
      <c r="AL41" s="222">
        <f>IFERROR(ROUND(VLOOKUP($H$2,'R4年度'!$B$6:$GJ$52,46,0)/1000,0),"-")</f>
        <v>284</v>
      </c>
      <c r="AM41" s="221">
        <f>IFERROR(ROUND(VLOOKUP($H$2,'R5年度'!$B$6:$GJ$52,46,0)/1000,0),"-")</f>
        <v>284</v>
      </c>
      <c r="AN41" s="221">
        <f>IFERROR(ROUND(VLOOKUP($H$2,'R6年度'!$B$6:$GJ$52,46,0)/1000,0),"-")</f>
        <v>286</v>
      </c>
    </row>
    <row r="42" spans="2:40" ht="15.9" customHeight="1" x14ac:dyDescent="0.15">
      <c r="B42" s="484" t="s">
        <v>172</v>
      </c>
      <c r="C42" s="485"/>
      <c r="D42" s="486"/>
      <c r="E42" s="175" t="str">
        <f>IFERROR(ROUND(VLOOKUP($H$2,'1年度'!$B$6:$GI$50,45,0)/1000,0),"-")</f>
        <v>-</v>
      </c>
      <c r="F42" s="175" t="str">
        <f>IFERROR(ROUND(VLOOKUP($H$2,'2年度'!$B$6:$GI$50,45,0)/1000,0),"-")</f>
        <v>-</v>
      </c>
      <c r="G42" s="175" t="str">
        <f>IFERROR(ROUND(VLOOKUP($H$2,'3年度'!$B$6:$GI$50,45,0)/1000,0),"-")</f>
        <v>-</v>
      </c>
      <c r="H42" s="175" t="str">
        <f>IFERROR(ROUND(VLOOKUP($H$2,'4年度'!$B$6:$GI$50,45,0)/1000,0),"-")</f>
        <v>-</v>
      </c>
      <c r="I42" s="175" t="str">
        <f>IFERROR(ROUND(VLOOKUP($H$2,'5年度'!$B$6:$GI$50,45,0)/1000,0),"-")</f>
        <v>-</v>
      </c>
      <c r="J42" s="175" t="str">
        <f>IFERROR(ROUND(VLOOKUP($H$2,'6年度'!$B$6:$GI$50,45,0)/1000,0),"-")</f>
        <v>-</v>
      </c>
      <c r="K42" s="175" t="str">
        <f>IFERROR(ROUND(VLOOKUP($H$2,'7年度'!$B$6:$GI$50,45,0)/1000,0),"-")</f>
        <v>-</v>
      </c>
      <c r="L42" s="175" t="str">
        <f>IFERROR(ROUND(VLOOKUP($H$2,'8年度'!$B$6:$GI$50,45,0)/1000,0),"-")</f>
        <v>-</v>
      </c>
      <c r="M42" s="175" t="str">
        <f>IFERROR(ROUND(VLOOKUP($H$2,'9年度'!$B$6:$GI$50,45,0)/1000,0),"-")</f>
        <v>-</v>
      </c>
      <c r="N42" s="175" t="str">
        <f>IFERROR(ROUND(VLOOKUP($H$2,'10年度'!$B$6:$GI$50,45,0)/1000,0),"-")</f>
        <v>-</v>
      </c>
      <c r="O42" s="175" t="str">
        <f>IFERROR(ROUND(VLOOKUP($H$2,'11年度'!$B$6:$GI$50,45,0)/1000,0),"-")</f>
        <v>-</v>
      </c>
      <c r="P42" s="175" t="str">
        <f>IFERROR(ROUND(VLOOKUP($H$2,'12年度'!$B$6:$GI$50,45,0)/1000,0),"-")</f>
        <v>-</v>
      </c>
      <c r="Q42" s="175" t="str">
        <f>IFERROR(ROUND(VLOOKUP($H$2,'13年度'!$B$6:$GI$50,45,0)/1000,0),"-")</f>
        <v>-</v>
      </c>
      <c r="R42" s="175" t="str">
        <f>IFERROR(ROUND(VLOOKUP($H$2,'14年度'!$B$6:$GI$50,45,0)/1000,0),"-")</f>
        <v>-</v>
      </c>
      <c r="S42" s="175" t="str">
        <f>IFERROR(ROUND(VLOOKUP($H$2,'15年度'!$B$6:$GI$50,45,0)/1000,0),"-")</f>
        <v>-</v>
      </c>
      <c r="T42" s="175" t="str">
        <f>IFERROR(ROUND(VLOOKUP($H$2,'16年度'!$B$6:$GI$50,45,0)/1000,0),"-")</f>
        <v>-</v>
      </c>
      <c r="U42" s="175" t="str">
        <f>IFERROR(ROUND(VLOOKUP($H$2,'17年度'!$B$6:$GI$50,45,0)/1000,0),"-")</f>
        <v>-</v>
      </c>
      <c r="V42" s="175" t="str">
        <f>IFERROR(ROUND(VLOOKUP($H$2,'18年度'!$B$6:$GI$50,45,0)/1000,0),"-")</f>
        <v>-</v>
      </c>
      <c r="W42" s="220" t="str">
        <f>IFERROR(ROUND(VLOOKUP($H$2,'19年度'!$B$6:$GI$50,45,0)/1000,0),"-")</f>
        <v>-</v>
      </c>
      <c r="X42" s="228" t="str">
        <f>IFERROR(ROUND(VLOOKUP($H$2,'20年度'!$B$6:$GI$50,45,0)/1000,0),"-")</f>
        <v>-</v>
      </c>
      <c r="Y42" s="228" t="str">
        <f>IFERROR(ROUND(VLOOKUP($H$2,'21年度'!$B$6:$GI$50,45,0)/1000,0),"-")</f>
        <v>-</v>
      </c>
      <c r="Z42" s="228" t="str">
        <f>IFERROR(ROUND(VLOOKUP($H$2,'22年度'!$B$6:$GI$50,45,0)/1000,0),"-")</f>
        <v>-</v>
      </c>
      <c r="AA42" s="228">
        <f>IFERROR(ROUND(VLOOKUP($H$2,'23年度'!$B$6:$GI$52,45,0)/1000,0),"-")</f>
        <v>179136</v>
      </c>
      <c r="AB42" s="220">
        <f>IFERROR(ROUND(VLOOKUP($H$2,'24年度'!$B$6:$GI$52,45,0)/1000,0),"-")</f>
        <v>181395</v>
      </c>
      <c r="AC42" s="229">
        <f>IFERROR(ROUND(VLOOKUP($H$2,'25年度'!$B$6:$GI$52,45,0)/1000,0),"-")</f>
        <v>184394</v>
      </c>
      <c r="AD42" s="220">
        <f>IFERROR(ROUND(VLOOKUP($H$2,'26年度'!$B$6:$GI$52,45,0)/1000,0),"-")</f>
        <v>193262</v>
      </c>
      <c r="AE42" s="220">
        <f>IFERROR(ROUND(VLOOKUP($H$2,'27年度'!$B$6:$GI$52,45,0)/1000,0),"-")</f>
        <v>218605</v>
      </c>
      <c r="AF42" s="220">
        <f>IFERROR(ROUND(VLOOKUP($H$2,'28年度'!$B$6:$GI$52,45,0)/1000,0),"-")</f>
        <v>218756</v>
      </c>
      <c r="AG42" s="229">
        <f>IFERROR(ROUND(VLOOKUP($H$2,'29年度'!$B$6:$GI$52,45,0)/1000,0),"-")</f>
        <v>231406</v>
      </c>
      <c r="AH42" s="228">
        <f>IFERROR(ROUND(VLOOKUP($H$2,'30年度'!$B$6:$GI$52,45,0)/1000,0),"-")</f>
        <v>240763</v>
      </c>
      <c r="AI42" s="220">
        <f>IFERROR(ROUND(VLOOKUP($H$2,'R1年度'!$B$6:$GJ$52,46,0)/1000,0),"-")</f>
        <v>260570</v>
      </c>
      <c r="AJ42" s="220">
        <f>IFERROR(ROUND(VLOOKUP($H$2,'R2年度'!$B$6:$GJ$52,47,0)/1000,0),"-")</f>
        <v>301279</v>
      </c>
      <c r="AK42" s="229">
        <f>IFERROR(ROUND(VLOOKUP($H$2,'R3年度'!$B$6:$GJ$52,47,0)/1000,0),"-")</f>
        <v>295230</v>
      </c>
      <c r="AL42" s="228">
        <f>IFERROR(ROUND(VLOOKUP($H$2,'R4年度'!$B$6:$GJ$52,47,0)/1000,0),"-")</f>
        <v>314814</v>
      </c>
      <c r="AM42" s="220">
        <f>IFERROR(ROUND(VLOOKUP($H$2,'R5年度'!$B$6:$GJ$52,47,0)/1000,0),"-")</f>
        <v>311492</v>
      </c>
      <c r="AN42" s="220">
        <f>IFERROR(ROUND(VLOOKUP($H$2,'R6年度'!$B$6:$GJ$52,47,0)/1000,0),"-")</f>
        <v>335983</v>
      </c>
    </row>
    <row r="43" spans="2:40" ht="15.9" customHeight="1" x14ac:dyDescent="0.15">
      <c r="B43" s="54"/>
      <c r="C43" s="480" t="s">
        <v>173</v>
      </c>
      <c r="D43" s="481"/>
      <c r="E43" s="179" t="str">
        <f>IFERROR(ROUND(VLOOKUP($H$2,'1年度'!$B$6:$GI$50,46,0)/1000,0),"-")</f>
        <v>-</v>
      </c>
      <c r="F43" s="179" t="str">
        <f>IFERROR(ROUND(VLOOKUP($H$2,'2年度'!$B$6:$GI$50,46,0)/1000,0),"-")</f>
        <v>-</v>
      </c>
      <c r="G43" s="179" t="str">
        <f>IFERROR(ROUND(VLOOKUP($H$2,'3年度'!$B$6:$GI$50,46,0)/1000,0),"-")</f>
        <v>-</v>
      </c>
      <c r="H43" s="179" t="str">
        <f>IFERROR(ROUND(VLOOKUP($H$2,'4年度'!$B$6:$GI$50,46,0)/1000,0),"-")</f>
        <v>-</v>
      </c>
      <c r="I43" s="179" t="str">
        <f>IFERROR(ROUND(VLOOKUP($H$2,'5年度'!$B$6:$GI$50,46,0)/1000,0),"-")</f>
        <v>-</v>
      </c>
      <c r="J43" s="179" t="str">
        <f>IFERROR(ROUND(VLOOKUP($H$2,'6年度'!$B$6:$GI$50,46,0)/1000,0),"-")</f>
        <v>-</v>
      </c>
      <c r="K43" s="179" t="str">
        <f>IFERROR(ROUND(VLOOKUP($H$2,'7年度'!$B$6:$GI$50,46,0)/1000,0),"-")</f>
        <v>-</v>
      </c>
      <c r="L43" s="179" t="str">
        <f>IFERROR(ROUND(VLOOKUP($H$2,'8年度'!$B$6:$GI$50,46,0)/1000,0),"-")</f>
        <v>-</v>
      </c>
      <c r="M43" s="179" t="str">
        <f>IFERROR(ROUND(VLOOKUP($H$2,'9年度'!$B$6:$GI$50,46,0)/1000,0),"-")</f>
        <v>-</v>
      </c>
      <c r="N43" s="179" t="str">
        <f>IFERROR(ROUND(VLOOKUP($H$2,'10年度'!$B$6:$GI$50,46,0)/1000,0),"-")</f>
        <v>-</v>
      </c>
      <c r="O43" s="179" t="str">
        <f>IFERROR(ROUND(VLOOKUP($H$2,'11年度'!$B$6:$GI$50,46,0)/1000,0),"-")</f>
        <v>-</v>
      </c>
      <c r="P43" s="179" t="str">
        <f>IFERROR(ROUND(VLOOKUP($H$2,'12年度'!$B$6:$GI$50,46,0)/1000,0),"-")</f>
        <v>-</v>
      </c>
      <c r="Q43" s="179" t="str">
        <f>IFERROR(ROUND(VLOOKUP($H$2,'13年度'!$B$6:$GI$50,46,0)/1000,0),"-")</f>
        <v>-</v>
      </c>
      <c r="R43" s="179" t="str">
        <f>IFERROR(ROUND(VLOOKUP($H$2,'14年度'!$B$6:$GI$50,46,0)/1000,0),"-")</f>
        <v>-</v>
      </c>
      <c r="S43" s="179" t="str">
        <f>IFERROR(ROUND(VLOOKUP($H$2,'15年度'!$B$6:$GI$50,46,0)/1000,0),"-")</f>
        <v>-</v>
      </c>
      <c r="T43" s="179" t="str">
        <f>IFERROR(ROUND(VLOOKUP($H$2,'16年度'!$B$6:$GI$50,46,0)/1000,0),"-")</f>
        <v>-</v>
      </c>
      <c r="U43" s="179" t="str">
        <f>IFERROR(ROUND(VLOOKUP($H$2,'17年度'!$B$6:$GI$50,46,0)/1000,0),"-")</f>
        <v>-</v>
      </c>
      <c r="V43" s="179" t="str">
        <f>IFERROR(ROUND(VLOOKUP($H$2,'18年度'!$B$6:$GI$50,46,0)/1000,0),"-")</f>
        <v>-</v>
      </c>
      <c r="W43" s="194" t="str">
        <f>IFERROR(ROUND(VLOOKUP($H$2,'19年度'!$B$6:$GI$50,46,0)/1000,0),"-")</f>
        <v>-</v>
      </c>
      <c r="X43" s="195" t="str">
        <f>IFERROR(ROUND(VLOOKUP($H$2,'20年度'!$B$6:$GI$50,46,0)/1000,0),"-")</f>
        <v>-</v>
      </c>
      <c r="Y43" s="195" t="str">
        <f>IFERROR(ROUND(VLOOKUP($H$2,'21年度'!$B$6:$GI$50,46,0)/1000,0),"-")</f>
        <v>-</v>
      </c>
      <c r="Z43" s="195" t="str">
        <f>IFERROR(ROUND(VLOOKUP($H$2,'22年度'!$B$6:$GI$50,46,0)/1000,0),"-")</f>
        <v>-</v>
      </c>
      <c r="AA43" s="195">
        <f>IFERROR(ROUND(VLOOKUP($H$2,'23年度'!$B$6:$GI$52,46,0)/1000,0),"-")</f>
        <v>102417</v>
      </c>
      <c r="AB43" s="194">
        <f>IFERROR(ROUND(VLOOKUP($H$2,'24年度'!$B$6:$GI$52,46,0)/1000,0),"-")</f>
        <v>102188</v>
      </c>
      <c r="AC43" s="196">
        <f>IFERROR(ROUND(VLOOKUP($H$2,'25年度'!$B$6:$GI$52,46,0)/1000,0),"-")</f>
        <v>108211</v>
      </c>
      <c r="AD43" s="194">
        <f>IFERROR(ROUND(VLOOKUP($H$2,'26年度'!$B$6:$GI$52,46,0)/1000,0),"-")</f>
        <v>111678</v>
      </c>
      <c r="AE43" s="194">
        <f>IFERROR(ROUND(VLOOKUP($H$2,'27年度'!$B$6:$GI$52,46,0)/1000,0),"-")</f>
        <v>125700</v>
      </c>
      <c r="AF43" s="194">
        <f>IFERROR(ROUND(VLOOKUP($H$2,'28年度'!$B$6:$GI$52,46,0)/1000,0),"-")</f>
        <v>129393</v>
      </c>
      <c r="AG43" s="196">
        <f>IFERROR(ROUND(VLOOKUP($H$2,'29年度'!$B$6:$GI$52,46,0)/1000,0),"-")</f>
        <v>140894</v>
      </c>
      <c r="AH43" s="195">
        <f>IFERROR(ROUND(VLOOKUP($H$2,'30年度'!$B$6:$GI$52,46,0)/1000,0),"-")</f>
        <v>147590</v>
      </c>
      <c r="AI43" s="194">
        <f>IFERROR(ROUND(VLOOKUP($H$2,'R1年度'!$B$6:$GJ$52,47,0)/1000,0),"-")</f>
        <v>166866</v>
      </c>
      <c r="AJ43" s="194">
        <f>IFERROR(ROUND(VLOOKUP($H$2,'R2年度'!$B$6:$GJ$52,48,0)/1000,0),"-")</f>
        <v>208896</v>
      </c>
      <c r="AK43" s="196">
        <f>IFERROR(ROUND(VLOOKUP($H$2,'R3年度'!$B$6:$GJ$52,48,0)/1000,0),"-")</f>
        <v>203662</v>
      </c>
      <c r="AL43" s="195">
        <f>IFERROR(ROUND(VLOOKUP($H$2,'R4年度'!$B$6:$GJ$52,48,0)/1000,0),"-")</f>
        <v>221270</v>
      </c>
      <c r="AM43" s="194">
        <f>IFERROR(ROUND(VLOOKUP($H$2,'R5年度'!$B$6:$GJ$52,48,0)/1000,0),"-")</f>
        <v>211704</v>
      </c>
      <c r="AN43" s="194">
        <f>IFERROR(ROUND(VLOOKUP($H$2,'R6年度'!$B$6:$GJ$52,48,0)/1000,0),"-")</f>
        <v>233870</v>
      </c>
    </row>
    <row r="44" spans="2:40" ht="15.9" customHeight="1" x14ac:dyDescent="0.15">
      <c r="B44" s="54"/>
      <c r="C44" s="4"/>
      <c r="D44" s="6" t="s">
        <v>168</v>
      </c>
      <c r="E44" s="185" t="str">
        <f>IFERROR(ROUND(VLOOKUP($H$2,'1年度'!$B$6:$GI$50,47,0)/1000,0),"-")</f>
        <v>-</v>
      </c>
      <c r="F44" s="185" t="str">
        <f>IFERROR(ROUND(VLOOKUP($H$2,'2年度'!$B$6:$GI$50,47,0)/1000,0),"-")</f>
        <v>-</v>
      </c>
      <c r="G44" s="185" t="str">
        <f>IFERROR(ROUND(VLOOKUP($H$2,'3年度'!$B$6:$GI$50,47,0)/1000,0),"-")</f>
        <v>-</v>
      </c>
      <c r="H44" s="185" t="str">
        <f>IFERROR(ROUND(VLOOKUP($H$2,'4年度'!$B$6:$GI$50,47,0)/1000,0),"-")</f>
        <v>-</v>
      </c>
      <c r="I44" s="185" t="str">
        <f>IFERROR(ROUND(VLOOKUP($H$2,'5年度'!$B$6:$GI$50,47,0)/1000,0),"-")</f>
        <v>-</v>
      </c>
      <c r="J44" s="185" t="str">
        <f>IFERROR(ROUND(VLOOKUP($H$2,'6年度'!$B$6:$GI$50,47,0)/1000,0),"-")</f>
        <v>-</v>
      </c>
      <c r="K44" s="185" t="str">
        <f>IFERROR(ROUND(VLOOKUP($H$2,'7年度'!$B$6:$GI$50,47,0)/1000,0),"-")</f>
        <v>-</v>
      </c>
      <c r="L44" s="185" t="str">
        <f>IFERROR(ROUND(VLOOKUP($H$2,'8年度'!$B$6:$GI$50,47,0)/1000,0),"-")</f>
        <v>-</v>
      </c>
      <c r="M44" s="185" t="str">
        <f>IFERROR(ROUND(VLOOKUP($H$2,'9年度'!$B$6:$GI$50,47,0)/1000,0),"-")</f>
        <v>-</v>
      </c>
      <c r="N44" s="185" t="str">
        <f>IFERROR(ROUND(VLOOKUP($H$2,'10年度'!$B$6:$GI$50,47,0)/1000,0),"-")</f>
        <v>-</v>
      </c>
      <c r="O44" s="185" t="str">
        <f>IFERROR(ROUND(VLOOKUP($H$2,'11年度'!$B$6:$GI$50,47,0)/1000,0),"-")</f>
        <v>-</v>
      </c>
      <c r="P44" s="185" t="str">
        <f>IFERROR(ROUND(VLOOKUP($H$2,'12年度'!$B$6:$GI$50,47,0)/1000,0),"-")</f>
        <v>-</v>
      </c>
      <c r="Q44" s="185" t="str">
        <f>IFERROR(ROUND(VLOOKUP($H$2,'13年度'!$B$6:$GI$50,47,0)/1000,0),"-")</f>
        <v>-</v>
      </c>
      <c r="R44" s="185" t="str">
        <f>IFERROR(ROUND(VLOOKUP($H$2,'14年度'!$B$6:$GI$50,47,0)/1000,0),"-")</f>
        <v>-</v>
      </c>
      <c r="S44" s="185" t="str">
        <f>IFERROR(ROUND(VLOOKUP($H$2,'15年度'!$B$6:$GI$50,47,0)/1000,0),"-")</f>
        <v>-</v>
      </c>
      <c r="T44" s="185" t="str">
        <f>IFERROR(ROUND(VLOOKUP($H$2,'16年度'!$B$6:$GI$50,47,0)/1000,0),"-")</f>
        <v>-</v>
      </c>
      <c r="U44" s="185" t="str">
        <f>IFERROR(ROUND(VLOOKUP($H$2,'17年度'!$B$6:$GI$50,47,0)/1000,0),"-")</f>
        <v>-</v>
      </c>
      <c r="V44" s="185" t="str">
        <f>IFERROR(ROUND(VLOOKUP($H$2,'18年度'!$B$6:$GI$50,47,0)/1000,0),"-")</f>
        <v>-</v>
      </c>
      <c r="W44" s="185" t="str">
        <f>IFERROR(ROUND(VLOOKUP($H$2,'19年度'!$B$6:$GI$50,47,0)/1000,0),"-")</f>
        <v>-</v>
      </c>
      <c r="X44" s="186" t="str">
        <f>IFERROR(ROUND(VLOOKUP($H$2,'20年度'!$B$6:$GI$50,47,0)/1000,0),"-")</f>
        <v>-</v>
      </c>
      <c r="Y44" s="186" t="str">
        <f>IFERROR(ROUND(VLOOKUP($H$2,'21年度'!$B$6:$GI$50,47,0)/1000,0),"-")</f>
        <v>-</v>
      </c>
      <c r="Z44" s="186" t="str">
        <f>IFERROR(ROUND(VLOOKUP($H$2,'22年度'!$B$6:$GI$50,47,0)/1000,0),"-")</f>
        <v>-</v>
      </c>
      <c r="AA44" s="186">
        <f>IFERROR(ROUND(VLOOKUP($H$2,'23年度'!$B$6:$GI$52,47,0)/1000,0),"-")</f>
        <v>6891</v>
      </c>
      <c r="AB44" s="185">
        <f>IFERROR(ROUND(VLOOKUP($H$2,'24年度'!$B$6:$GI$52,47,0)/1000,0),"-")</f>
        <v>6837</v>
      </c>
      <c r="AC44" s="187">
        <f>IFERROR(ROUND(VLOOKUP($H$2,'25年度'!$B$6:$GI$52,47,0)/1000,0),"-")</f>
        <v>7204</v>
      </c>
      <c r="AD44" s="185">
        <f>IFERROR(ROUND(VLOOKUP($H$2,'26年度'!$B$6:$GI$52,47,0)/1000,0),"-")</f>
        <v>7034</v>
      </c>
      <c r="AE44" s="185">
        <f>IFERROR(ROUND(VLOOKUP($H$2,'27年度'!$B$6:$GI$52,47,0)/1000,0),"-")</f>
        <v>10719</v>
      </c>
      <c r="AF44" s="185">
        <f>IFERROR(ROUND(VLOOKUP($H$2,'28年度'!$B$6:$GI$52,47,0)/1000,0),"-")</f>
        <v>16145</v>
      </c>
      <c r="AG44" s="187">
        <f>IFERROR(ROUND(VLOOKUP($H$2,'29年度'!$B$6:$GI$52,47,0)/1000,0),"-")</f>
        <v>19055</v>
      </c>
      <c r="AH44" s="186">
        <f>IFERROR(ROUND(VLOOKUP($H$2,'30年度'!$B$6:$GI$52,47,0)/1000,0),"-")</f>
        <v>19916</v>
      </c>
      <c r="AI44" s="185">
        <f>IFERROR(ROUND(VLOOKUP($H$2,'R1年度'!$B$6:$GJ$52,48,0)/1000,0),"-")</f>
        <v>22922</v>
      </c>
      <c r="AJ44" s="185">
        <f>IFERROR(ROUND(VLOOKUP($H$2,'R2年度'!$B$6:$GJ$52,49,0)/1000,0),"-")</f>
        <v>27100</v>
      </c>
      <c r="AK44" s="187">
        <f>IFERROR(ROUND(VLOOKUP($H$2,'R3年度'!$B$6:$GJ$52,49,0)/1000,0),"-")</f>
        <v>30306</v>
      </c>
      <c r="AL44" s="186">
        <f>IFERROR(ROUND(VLOOKUP($H$2,'R4年度'!$B$6:$GJ$52,49,0)/1000,0),"-")</f>
        <v>35194</v>
      </c>
      <c r="AM44" s="185">
        <f>IFERROR(ROUND(VLOOKUP($H$2,'R5年度'!$B$6:$GJ$52,49,0)/1000,0),"-")</f>
        <v>37345</v>
      </c>
      <c r="AN44" s="185">
        <f>IFERROR(ROUND(VLOOKUP($H$2,'R6年度'!$B$6:$GJ$52,49,0)/1000,0),"-")</f>
        <v>43629</v>
      </c>
    </row>
    <row r="45" spans="2:40" ht="15.9" customHeight="1" x14ac:dyDescent="0.15">
      <c r="B45" s="54"/>
      <c r="C45" s="3"/>
      <c r="D45" s="5" t="s">
        <v>174</v>
      </c>
      <c r="E45" s="189" t="str">
        <f>IFERROR(ROUND(VLOOKUP($H$2,'1年度'!$B$6:$GI$50,48,0)/1000,0),"-")</f>
        <v>-</v>
      </c>
      <c r="F45" s="189" t="str">
        <f>IFERROR(ROUND(VLOOKUP($H$2,'2年度'!$B$6:$GI$50,48,0)/1000,0),"-")</f>
        <v>-</v>
      </c>
      <c r="G45" s="189" t="str">
        <f>IFERROR(ROUND(VLOOKUP($H$2,'3年度'!$B$6:$GI$50,48,0)/1000,0),"-")</f>
        <v>-</v>
      </c>
      <c r="H45" s="189" t="str">
        <f>IFERROR(ROUND(VLOOKUP($H$2,'4年度'!$B$6:$GI$50,48,0)/1000,0),"-")</f>
        <v>-</v>
      </c>
      <c r="I45" s="189" t="str">
        <f>IFERROR(ROUND(VLOOKUP($H$2,'5年度'!$B$6:$GI$50,48,0)/1000,0),"-")</f>
        <v>-</v>
      </c>
      <c r="J45" s="189" t="str">
        <f>IFERROR(ROUND(VLOOKUP($H$2,'6年度'!$B$6:$GI$50,48,0)/1000,0),"-")</f>
        <v>-</v>
      </c>
      <c r="K45" s="189" t="str">
        <f>IFERROR(ROUND(VLOOKUP($H$2,'7年度'!$B$6:$GI$50,48,0)/1000,0),"-")</f>
        <v>-</v>
      </c>
      <c r="L45" s="189" t="str">
        <f>IFERROR(ROUND(VLOOKUP($H$2,'8年度'!$B$6:$GI$50,48,0)/1000,0),"-")</f>
        <v>-</v>
      </c>
      <c r="M45" s="189" t="str">
        <f>IFERROR(ROUND(VLOOKUP($H$2,'9年度'!$B$6:$GI$50,48,0)/1000,0),"-")</f>
        <v>-</v>
      </c>
      <c r="N45" s="189" t="str">
        <f>IFERROR(ROUND(VLOOKUP($H$2,'10年度'!$B$6:$GI$50,48,0)/1000,0),"-")</f>
        <v>-</v>
      </c>
      <c r="O45" s="189" t="str">
        <f>IFERROR(ROUND(VLOOKUP($H$2,'11年度'!$B$6:$GI$50,48,0)/1000,0),"-")</f>
        <v>-</v>
      </c>
      <c r="P45" s="189" t="str">
        <f>IFERROR(ROUND(VLOOKUP($H$2,'12年度'!$B$6:$GI$50,48,0)/1000,0),"-")</f>
        <v>-</v>
      </c>
      <c r="Q45" s="189" t="str">
        <f>IFERROR(ROUND(VLOOKUP($H$2,'13年度'!$B$6:$GI$50,48,0)/1000,0),"-")</f>
        <v>-</v>
      </c>
      <c r="R45" s="189" t="str">
        <f>IFERROR(ROUND(VLOOKUP($H$2,'14年度'!$B$6:$GI$50,48,0)/1000,0),"-")</f>
        <v>-</v>
      </c>
      <c r="S45" s="189" t="str">
        <f>IFERROR(ROUND(VLOOKUP($H$2,'15年度'!$B$6:$GI$50,48,0)/1000,0),"-")</f>
        <v>-</v>
      </c>
      <c r="T45" s="189" t="str">
        <f>IFERROR(ROUND(VLOOKUP($H$2,'16年度'!$B$6:$GI$50,48,0)/1000,0),"-")</f>
        <v>-</v>
      </c>
      <c r="U45" s="189" t="str">
        <f>IFERROR(ROUND(VLOOKUP($H$2,'17年度'!$B$6:$GI$50,48,0)/1000,0),"-")</f>
        <v>-</v>
      </c>
      <c r="V45" s="189" t="str">
        <f>IFERROR(ROUND(VLOOKUP($H$2,'18年度'!$B$6:$GI$50,48,0)/1000,0),"-")</f>
        <v>-</v>
      </c>
      <c r="W45" s="198" t="str">
        <f>IFERROR(ROUND(VLOOKUP($H$2,'19年度'!$B$6:$GI$50,48,0)/1000,0),"-")</f>
        <v>-</v>
      </c>
      <c r="X45" s="199" t="str">
        <f>IFERROR(ROUND(VLOOKUP($H$2,'20年度'!$B$6:$GI$50,48,0)/1000,0),"-")</f>
        <v>-</v>
      </c>
      <c r="Y45" s="199" t="str">
        <f>IFERROR(ROUND(VLOOKUP($H$2,'21年度'!$B$6:$GI$50,48,0)/1000,0),"-")</f>
        <v>-</v>
      </c>
      <c r="Z45" s="199" t="str">
        <f>IFERROR(ROUND(VLOOKUP($H$2,'22年度'!$B$6:$GI$50,48,0)/1000,0),"-")</f>
        <v>-</v>
      </c>
      <c r="AA45" s="199">
        <f>IFERROR(ROUND(VLOOKUP($H$2,'23年度'!$B$6:$GI$52,48,0)/1000,0),"-")</f>
        <v>7343</v>
      </c>
      <c r="AB45" s="198">
        <f>IFERROR(ROUND(VLOOKUP($H$2,'24年度'!$B$6:$GI$52,48,0)/1000,0),"-")</f>
        <v>7468</v>
      </c>
      <c r="AC45" s="200">
        <f>IFERROR(ROUND(VLOOKUP($H$2,'25年度'!$B$6:$GI$52,48,0)/1000,0),"-")</f>
        <v>8700</v>
      </c>
      <c r="AD45" s="198">
        <f>IFERROR(ROUND(VLOOKUP($H$2,'26年度'!$B$6:$GI$52,48,0)/1000,0),"-")</f>
        <v>10633</v>
      </c>
      <c r="AE45" s="198">
        <f>IFERROR(ROUND(VLOOKUP($H$2,'27年度'!$B$6:$GI$52,48,0)/1000,0),"-")</f>
        <v>8699</v>
      </c>
      <c r="AF45" s="198">
        <f>IFERROR(ROUND(VLOOKUP($H$2,'28年度'!$B$6:$GI$52,48,0)/1000,0),"-")</f>
        <v>5338</v>
      </c>
      <c r="AG45" s="200">
        <f>IFERROR(ROUND(VLOOKUP($H$2,'29年度'!$B$6:$GI$52,48,0)/1000,0),"-")</f>
        <v>7207</v>
      </c>
      <c r="AH45" s="199">
        <f>IFERROR(ROUND(VLOOKUP($H$2,'30年度'!$B$6:$GI$52,48,0)/1000,0),"-")</f>
        <v>8096</v>
      </c>
      <c r="AI45" s="198">
        <f>IFERROR(ROUND(VLOOKUP($H$2,'R1年度'!$B$6:$GJ$52,49,0)/1000,0),"-")</f>
        <v>7241</v>
      </c>
      <c r="AJ45" s="198">
        <f>IFERROR(ROUND(VLOOKUP($H$2,'R2年度'!$B$6:$GJ$52,50,0)/1000,0),"-")</f>
        <v>3913</v>
      </c>
      <c r="AK45" s="200">
        <f>IFERROR(ROUND(VLOOKUP($H$2,'R3年度'!$B$6:$GJ$52,50,0)/1000,0),"-")</f>
        <v>2657</v>
      </c>
      <c r="AL45" s="199">
        <f>IFERROR(ROUND(VLOOKUP($H$2,'R4年度'!$B$6:$GJ$52,50,0)/1000,0),"-")</f>
        <v>5188</v>
      </c>
      <c r="AM45" s="198">
        <f>IFERROR(ROUND(VLOOKUP($H$2,'R5年度'!$B$6:$GJ$52,50,0)/1000,0),"-")</f>
        <v>4490</v>
      </c>
      <c r="AN45" s="198">
        <f>IFERROR(ROUND(VLOOKUP($H$2,'R6年度'!$B$6:$GJ$52,50,0)/1000,0),"-")</f>
        <v>5193</v>
      </c>
    </row>
    <row r="46" spans="2:40" ht="15.9" customHeight="1" x14ac:dyDescent="0.15">
      <c r="B46" s="54"/>
      <c r="C46" s="480" t="s">
        <v>175</v>
      </c>
      <c r="D46" s="481"/>
      <c r="E46" s="179" t="str">
        <f>IFERROR(ROUND(VLOOKUP($H$2,'1年度'!$B$6:$GI$50,49,0)/1000,0),"-")</f>
        <v>-</v>
      </c>
      <c r="F46" s="179" t="str">
        <f>IFERROR(ROUND(VLOOKUP($H$2,'2年度'!$B$6:$GI$50,49,0)/1000,0),"-")</f>
        <v>-</v>
      </c>
      <c r="G46" s="179" t="str">
        <f>IFERROR(ROUND(VLOOKUP($H$2,'3年度'!$B$6:$GI$50,49,0)/1000,0),"-")</f>
        <v>-</v>
      </c>
      <c r="H46" s="179" t="str">
        <f>IFERROR(ROUND(VLOOKUP($H$2,'4年度'!$B$6:$GI$50,49,0)/1000,0),"-")</f>
        <v>-</v>
      </c>
      <c r="I46" s="179" t="str">
        <f>IFERROR(ROUND(VLOOKUP($H$2,'5年度'!$B$6:$GI$50,49,0)/1000,0),"-")</f>
        <v>-</v>
      </c>
      <c r="J46" s="179" t="str">
        <f>IFERROR(ROUND(VLOOKUP($H$2,'6年度'!$B$6:$GI$50,49,0)/1000,0),"-")</f>
        <v>-</v>
      </c>
      <c r="K46" s="179" t="str">
        <f>IFERROR(ROUND(VLOOKUP($H$2,'7年度'!$B$6:$GI$50,49,0)/1000,0),"-")</f>
        <v>-</v>
      </c>
      <c r="L46" s="179" t="str">
        <f>IFERROR(ROUND(VLOOKUP($H$2,'8年度'!$B$6:$GI$50,49,0)/1000,0),"-")</f>
        <v>-</v>
      </c>
      <c r="M46" s="179" t="str">
        <f>IFERROR(ROUND(VLOOKUP($H$2,'9年度'!$B$6:$GI$50,49,0)/1000,0),"-")</f>
        <v>-</v>
      </c>
      <c r="N46" s="179" t="str">
        <f>IFERROR(ROUND(VLOOKUP($H$2,'10年度'!$B$6:$GI$50,49,0)/1000,0),"-")</f>
        <v>-</v>
      </c>
      <c r="O46" s="179" t="str">
        <f>IFERROR(ROUND(VLOOKUP($H$2,'11年度'!$B$6:$GI$50,49,0)/1000,0),"-")</f>
        <v>-</v>
      </c>
      <c r="P46" s="179" t="str">
        <f>IFERROR(ROUND(VLOOKUP($H$2,'12年度'!$B$6:$GI$50,49,0)/1000,0),"-")</f>
        <v>-</v>
      </c>
      <c r="Q46" s="179" t="str">
        <f>IFERROR(ROUND(VLOOKUP($H$2,'13年度'!$B$6:$GI$50,49,0)/1000,0),"-")</f>
        <v>-</v>
      </c>
      <c r="R46" s="179" t="str">
        <f>IFERROR(ROUND(VLOOKUP($H$2,'14年度'!$B$6:$GI$50,49,0)/1000,0),"-")</f>
        <v>-</v>
      </c>
      <c r="S46" s="179" t="str">
        <f>IFERROR(ROUND(VLOOKUP($H$2,'15年度'!$B$6:$GI$50,49,0)/1000,0),"-")</f>
        <v>-</v>
      </c>
      <c r="T46" s="179" t="str">
        <f>IFERROR(ROUND(VLOOKUP($H$2,'16年度'!$B$6:$GI$50,49,0)/1000,0),"-")</f>
        <v>-</v>
      </c>
      <c r="U46" s="179" t="str">
        <f>IFERROR(ROUND(VLOOKUP($H$2,'17年度'!$B$6:$GI$50,49,0)/1000,0),"-")</f>
        <v>-</v>
      </c>
      <c r="V46" s="179" t="str">
        <f>IFERROR(ROUND(VLOOKUP($H$2,'18年度'!$B$6:$GI$50,49,0)/1000,0),"-")</f>
        <v>-</v>
      </c>
      <c r="W46" s="180" t="str">
        <f>IFERROR(ROUND(VLOOKUP($H$2,'19年度'!$B$6:$GI$50,49,0)/1000,0),"-")</f>
        <v>-</v>
      </c>
      <c r="X46" s="181" t="str">
        <f>IFERROR(ROUND(VLOOKUP($H$2,'20年度'!$B$6:$GI$50,49,0)/1000,0),"-")</f>
        <v>-</v>
      </c>
      <c r="Y46" s="181" t="str">
        <f>IFERROR(ROUND(VLOOKUP($H$2,'21年度'!$B$6:$GI$50,49,0)/1000,0),"-")</f>
        <v>-</v>
      </c>
      <c r="Z46" s="181" t="str">
        <f>IFERROR(ROUND(VLOOKUP($H$2,'22年度'!$B$6:$GI$50,49,0)/1000,0),"-")</f>
        <v>-</v>
      </c>
      <c r="AA46" s="181">
        <f>IFERROR(ROUND(VLOOKUP($H$2,'23年度'!$B$6:$GI$52,49,0)/1000,0),"-")</f>
        <v>76719</v>
      </c>
      <c r="AB46" s="180">
        <f>IFERROR(ROUND(VLOOKUP($H$2,'24年度'!$B$6:$GI$52,49,0)/1000,0),"-")</f>
        <v>79207</v>
      </c>
      <c r="AC46" s="182">
        <f>IFERROR(ROUND(VLOOKUP($H$2,'25年度'!$B$6:$GI$52,49,0)/1000,0),"-")</f>
        <v>76183</v>
      </c>
      <c r="AD46" s="180">
        <f>IFERROR(ROUND(VLOOKUP($H$2,'26年度'!$B$6:$GI$52,49,0)/1000,0),"-")</f>
        <v>81583</v>
      </c>
      <c r="AE46" s="180">
        <f>IFERROR(ROUND(VLOOKUP($H$2,'27年度'!$B$6:$GI$52,49,0)/1000,0),"-")</f>
        <v>92905</v>
      </c>
      <c r="AF46" s="180">
        <f>IFERROR(ROUND(VLOOKUP($H$2,'28年度'!$B$6:$GI$52,49,0)/1000,0),"-")</f>
        <v>89364</v>
      </c>
      <c r="AG46" s="182">
        <f>IFERROR(ROUND(VLOOKUP($H$2,'29年度'!$B$6:$GI$52,49,0)/1000,0),"-")</f>
        <v>90512</v>
      </c>
      <c r="AH46" s="181">
        <f>IFERROR(ROUND(VLOOKUP($H$2,'30年度'!$B$6:$GI$52,49,0)/1000,0),"-")</f>
        <v>93174</v>
      </c>
      <c r="AI46" s="180">
        <f>IFERROR(ROUND(VLOOKUP($H$2,'R1年度'!$B$6:$GJ$52,50,0)/1000,0),"-")</f>
        <v>93705</v>
      </c>
      <c r="AJ46" s="180">
        <f>IFERROR(ROUND(VLOOKUP($H$2,'R2年度'!$B$6:$GJ$52,51,0)/1000,0),"-")</f>
        <v>92383</v>
      </c>
      <c r="AK46" s="182">
        <f>IFERROR(ROUND(VLOOKUP($H$2,'R3年度'!$B$6:$GJ$52,51,0)/1000,0),"-")</f>
        <v>91568</v>
      </c>
      <c r="AL46" s="181">
        <f>IFERROR(ROUND(VLOOKUP($H$2,'R4年度'!$B$6:$GJ$52,51,0)/1000,0),"-")</f>
        <v>93544</v>
      </c>
      <c r="AM46" s="180">
        <f>IFERROR(ROUND(VLOOKUP($H$2,'R5年度'!$B$6:$GJ$52,51,0)/1000,0),"-")</f>
        <v>99788</v>
      </c>
      <c r="AN46" s="180">
        <f>IFERROR(ROUND(VLOOKUP($H$2,'R6年度'!$B$6:$GJ$52,51,0)/1000,0),"-")</f>
        <v>102114</v>
      </c>
    </row>
    <row r="47" spans="2:40" ht="15.9" customHeight="1" thickBot="1" x14ac:dyDescent="0.2">
      <c r="B47" s="56"/>
      <c r="C47" s="7"/>
      <c r="D47" s="8" t="s">
        <v>174</v>
      </c>
      <c r="E47" s="230" t="str">
        <f>IFERROR(ROUND(VLOOKUP($H$2,'1年度'!$B$6:$GI$50,50,0)/1000,0),"-")</f>
        <v>-</v>
      </c>
      <c r="F47" s="230" t="str">
        <f>IFERROR(ROUND(VLOOKUP($H$2,'2年度'!$B$6:$GI$50,50,0)/1000,0),"-")</f>
        <v>-</v>
      </c>
      <c r="G47" s="230" t="str">
        <f>IFERROR(ROUND(VLOOKUP($H$2,'3年度'!$B$6:$GI$50,50,0)/1000,0),"-")</f>
        <v>-</v>
      </c>
      <c r="H47" s="230" t="str">
        <f>IFERROR(ROUND(VLOOKUP($H$2,'4年度'!$B$6:$GI$50,50,0)/1000,0),"-")</f>
        <v>-</v>
      </c>
      <c r="I47" s="230" t="str">
        <f>IFERROR(ROUND(VLOOKUP($H$2,'5年度'!$B$6:$GI$50,50,0)/1000,0),"-")</f>
        <v>-</v>
      </c>
      <c r="J47" s="230" t="str">
        <f>IFERROR(ROUND(VLOOKUP($H$2,'6年度'!$B$6:$GI$50,50,0)/1000,0),"-")</f>
        <v>-</v>
      </c>
      <c r="K47" s="230" t="str">
        <f>IFERROR(ROUND(VLOOKUP($H$2,'7年度'!$B$6:$GI$50,50,0)/1000,0),"-")</f>
        <v>-</v>
      </c>
      <c r="L47" s="230" t="str">
        <f>IFERROR(ROUND(VLOOKUP($H$2,'8年度'!$B$6:$GI$50,50,0)/1000,0),"-")</f>
        <v>-</v>
      </c>
      <c r="M47" s="230" t="str">
        <f>IFERROR(ROUND(VLOOKUP($H$2,'9年度'!$B$6:$GI$50,50,0)/1000,0),"-")</f>
        <v>-</v>
      </c>
      <c r="N47" s="230" t="str">
        <f>IFERROR(ROUND(VLOOKUP($H$2,'10年度'!$B$6:$GI$50,50,0)/1000,0),"-")</f>
        <v>-</v>
      </c>
      <c r="O47" s="230" t="str">
        <f>IFERROR(ROUND(VLOOKUP($H$2,'11年度'!$B$6:$GI$50,50,0)/1000,0),"-")</f>
        <v>-</v>
      </c>
      <c r="P47" s="230" t="str">
        <f>IFERROR(ROUND(VLOOKUP($H$2,'12年度'!$B$6:$GI$50,50,0)/1000,0),"-")</f>
        <v>-</v>
      </c>
      <c r="Q47" s="230" t="str">
        <f>IFERROR(ROUND(VLOOKUP($H$2,'13年度'!$B$6:$GI$50,50,0)/1000,0),"-")</f>
        <v>-</v>
      </c>
      <c r="R47" s="230" t="str">
        <f>IFERROR(ROUND(VLOOKUP($H$2,'14年度'!$B$6:$GI$50,50,0)/1000,0),"-")</f>
        <v>-</v>
      </c>
      <c r="S47" s="230" t="str">
        <f>IFERROR(ROUND(VLOOKUP($H$2,'15年度'!$B$6:$GI$50,50,0)/1000,0),"-")</f>
        <v>-</v>
      </c>
      <c r="T47" s="230" t="str">
        <f>IFERROR(ROUND(VLOOKUP($H$2,'16年度'!$B$6:$GI$50,50,0)/1000,0),"-")</f>
        <v>-</v>
      </c>
      <c r="U47" s="230" t="str">
        <f>IFERROR(ROUND(VLOOKUP($H$2,'17年度'!$B$6:$GI$50,50,0)/1000,0),"-")</f>
        <v>-</v>
      </c>
      <c r="V47" s="230" t="str">
        <f>IFERROR(ROUND(VLOOKUP($H$2,'18年度'!$B$6:$GI$50,50,0)/1000,0),"-")</f>
        <v>-</v>
      </c>
      <c r="W47" s="190" t="str">
        <f>IFERROR(ROUND(VLOOKUP($H$2,'19年度'!$B$6:$GI$50,50,0)/1000,0),"-")</f>
        <v>-</v>
      </c>
      <c r="X47" s="191" t="str">
        <f>IFERROR(ROUND(VLOOKUP($H$2,'20年度'!$B$6:$GI$50,50,0)/1000,0),"-")</f>
        <v>-</v>
      </c>
      <c r="Y47" s="191" t="str">
        <f>IFERROR(ROUND(VLOOKUP($H$2,'21年度'!$B$6:$GI$50,50,0)/1000,0),"-")</f>
        <v>-</v>
      </c>
      <c r="Z47" s="191" t="str">
        <f>IFERROR(ROUND(VLOOKUP($H$2,'22年度'!$B$6:$GI$50,50,0)/1000,0),"-")</f>
        <v>-</v>
      </c>
      <c r="AA47" s="191">
        <f>IFERROR(ROUND(VLOOKUP($H$2,'23年度'!$B$6:$GI$52,50,0)/1000,0),"-")</f>
        <v>2059</v>
      </c>
      <c r="AB47" s="190">
        <f>IFERROR(ROUND(VLOOKUP($H$2,'24年度'!$B$6:$GI$52,50,0)/1000,0),"-")</f>
        <v>1823</v>
      </c>
      <c r="AC47" s="192">
        <f>IFERROR(ROUND(VLOOKUP($H$2,'25年度'!$B$6:$GI$52,50,0)/1000,0),"-")</f>
        <v>2423</v>
      </c>
      <c r="AD47" s="190">
        <f>IFERROR(ROUND(VLOOKUP($H$2,'26年度'!$B$6:$GI$52,50,0)/1000,0),"-")</f>
        <v>2468</v>
      </c>
      <c r="AE47" s="190">
        <f>IFERROR(ROUND(VLOOKUP($H$2,'27年度'!$B$6:$GI$52,50,0)/1000,0),"-")</f>
        <v>3823</v>
      </c>
      <c r="AF47" s="190">
        <f>IFERROR(ROUND(VLOOKUP($H$2,'28年度'!$B$6:$GI$52,50,0)/1000,0),"-")</f>
        <v>1985</v>
      </c>
      <c r="AG47" s="192">
        <f>IFERROR(ROUND(VLOOKUP($H$2,'29年度'!$B$6:$GI$52,50,0)/1000,0),"-")</f>
        <v>1697</v>
      </c>
      <c r="AH47" s="191">
        <f>IFERROR(ROUND(VLOOKUP($H$2,'30年度'!$B$6:$GI$52,50,0)/1000,0),"-")</f>
        <v>3289</v>
      </c>
      <c r="AI47" s="190">
        <f>IFERROR(ROUND(VLOOKUP($H$2,'R1年度'!$B$6:$GJ$52,51,0)/1000,0),"-")</f>
        <v>4189</v>
      </c>
      <c r="AJ47" s="190">
        <f>IFERROR(ROUND(VLOOKUP($H$2,'R2年度'!$B$6:$GJ$52,52,0)/1000,0),"-")</f>
        <v>3041</v>
      </c>
      <c r="AK47" s="192">
        <f>IFERROR(ROUND(VLOOKUP($H$2,'R3年度'!$B$6:$GJ$52,52,0)/1000,0),"-")</f>
        <v>3219</v>
      </c>
      <c r="AL47" s="191">
        <f>IFERROR(ROUND(VLOOKUP($H$2,'R4年度'!$B$6:$GJ$52,52,0)/1000,0),"-")</f>
        <v>3715</v>
      </c>
      <c r="AM47" s="190">
        <f>IFERROR(ROUND(VLOOKUP($H$2,'R5年度'!$B$6:$GJ$52,52,0)/1000,0),"-")</f>
        <v>3056</v>
      </c>
      <c r="AN47" s="190">
        <f>IFERROR(ROUND(VLOOKUP($H$2,'R6年度'!$B$6:$GJ$52,52,0)/1000,0),"-")</f>
        <v>3606</v>
      </c>
    </row>
    <row r="48" spans="2:40" ht="15.9" customHeight="1" x14ac:dyDescent="0.15">
      <c r="B48" s="484" t="s">
        <v>176</v>
      </c>
      <c r="C48" s="485"/>
      <c r="D48" s="486"/>
      <c r="E48" s="189" t="str">
        <f>IFERROR(ROUND(VLOOKUP($H$2,'1年度'!$B$6:$GI$50,51,0)/1000,0),"-")</f>
        <v>-</v>
      </c>
      <c r="F48" s="189" t="str">
        <f>IFERROR(ROUND(VLOOKUP($H$2,'2年度'!$B$6:$GI$50,51,0)/1000,0),"-")</f>
        <v>-</v>
      </c>
      <c r="G48" s="189" t="str">
        <f>IFERROR(ROUND(VLOOKUP($H$2,'3年度'!$B$6:$GI$50,51,0)/1000,0),"-")</f>
        <v>-</v>
      </c>
      <c r="H48" s="189" t="str">
        <f>IFERROR(ROUND(VLOOKUP($H$2,'4年度'!$B$6:$GI$50,51,0)/1000,0),"-")</f>
        <v>-</v>
      </c>
      <c r="I48" s="189" t="str">
        <f>IFERROR(ROUND(VLOOKUP($H$2,'5年度'!$B$6:$GI$50,51,0)/1000,0),"-")</f>
        <v>-</v>
      </c>
      <c r="J48" s="189" t="str">
        <f>IFERROR(ROUND(VLOOKUP($H$2,'6年度'!$B$6:$GI$50,51,0)/1000,0),"-")</f>
        <v>-</v>
      </c>
      <c r="K48" s="189" t="str">
        <f>IFERROR(ROUND(VLOOKUP($H$2,'7年度'!$B$6:$GI$50,51,0)/1000,0),"-")</f>
        <v>-</v>
      </c>
      <c r="L48" s="189" t="str">
        <f>IFERROR(ROUND(VLOOKUP($H$2,'8年度'!$B$6:$GI$50,51,0)/1000,0),"-")</f>
        <v>-</v>
      </c>
      <c r="M48" s="189" t="str">
        <f>IFERROR(ROUND(VLOOKUP($H$2,'9年度'!$B$6:$GI$50,51,0)/1000,0),"-")</f>
        <v>-</v>
      </c>
      <c r="N48" s="189" t="str">
        <f>IFERROR(ROUND(VLOOKUP($H$2,'10年度'!$B$6:$GI$50,51,0)/1000,0),"-")</f>
        <v>-</v>
      </c>
      <c r="O48" s="189" t="str">
        <f>IFERROR(ROUND(VLOOKUP($H$2,'11年度'!$B$6:$GI$50,51,0)/1000,0),"-")</f>
        <v>-</v>
      </c>
      <c r="P48" s="189" t="str">
        <f>IFERROR(ROUND(VLOOKUP($H$2,'12年度'!$B$6:$GI$50,51,0)/1000,0),"-")</f>
        <v>-</v>
      </c>
      <c r="Q48" s="189" t="str">
        <f>IFERROR(ROUND(VLOOKUP($H$2,'13年度'!$B$6:$GI$50,51,0)/1000,0),"-")</f>
        <v>-</v>
      </c>
      <c r="R48" s="189" t="str">
        <f>IFERROR(ROUND(VLOOKUP($H$2,'14年度'!$B$6:$GI$50,51,0)/1000,0),"-")</f>
        <v>-</v>
      </c>
      <c r="S48" s="189" t="str">
        <f>IFERROR(ROUND(VLOOKUP($H$2,'15年度'!$B$6:$GI$50,51,0)/1000,0),"-")</f>
        <v>-</v>
      </c>
      <c r="T48" s="189" t="str">
        <f>IFERROR(ROUND(VLOOKUP($H$2,'16年度'!$B$6:$GI$50,51,0)/1000,0),"-")</f>
        <v>-</v>
      </c>
      <c r="U48" s="189" t="str">
        <f>IFERROR(ROUND(VLOOKUP($H$2,'17年度'!$B$6:$GI$50,51,0)/1000,0),"-")</f>
        <v>-</v>
      </c>
      <c r="V48" s="189" t="str">
        <f>IFERROR(ROUND(VLOOKUP($H$2,'18年度'!$B$6:$GI$50,51,0)/1000,0),"-")</f>
        <v>-</v>
      </c>
      <c r="W48" s="175" t="str">
        <f>IFERROR(ROUND(VLOOKUP($H$2,'19年度'!$B$6:$GI$50,51,0)/1000,0),"-")</f>
        <v>-</v>
      </c>
      <c r="X48" s="176" t="str">
        <f>IFERROR(ROUND(VLOOKUP($H$2,'20年度'!$B$6:$GI$50,51,0)/1000,0),"-")</f>
        <v>-</v>
      </c>
      <c r="Y48" s="176" t="str">
        <f>IFERROR(ROUND(VLOOKUP($H$2,'21年度'!$B$6:$GI$50,51,0)/1000,0),"-")</f>
        <v>-</v>
      </c>
      <c r="Z48" s="176" t="str">
        <f>IFERROR(ROUND(VLOOKUP($H$2,'22年度'!$B$6:$GI$50,51,0)/1000,0),"-")</f>
        <v>-</v>
      </c>
      <c r="AA48" s="176">
        <f>IFERROR(ROUND(VLOOKUP($H$2,'23年度'!$B$6:$GI$52,51,0)/1000,0),"-")</f>
        <v>45907</v>
      </c>
      <c r="AB48" s="175">
        <f>IFERROR(ROUND(VLOOKUP($H$2,'24年度'!$B$6:$GI$52,51,0)/1000,0),"-")</f>
        <v>40862</v>
      </c>
      <c r="AC48" s="177">
        <f>IFERROR(ROUND(VLOOKUP($H$2,'25年度'!$B$6:$GI$52,51,0)/1000,0),"-")</f>
        <v>58574</v>
      </c>
      <c r="AD48" s="175">
        <f>IFERROR(ROUND(VLOOKUP($H$2,'26年度'!$B$6:$GI$52,51,0)/1000,0),"-")</f>
        <v>30910</v>
      </c>
      <c r="AE48" s="175">
        <f>IFERROR(ROUND(VLOOKUP($H$2,'27年度'!$B$6:$GI$52,51,0)/1000,0),"-")</f>
        <v>80127</v>
      </c>
      <c r="AF48" s="175">
        <f>IFERROR(ROUND(VLOOKUP($H$2,'28年度'!$B$6:$GI$52,51,0)/1000,0),"-")</f>
        <v>41260</v>
      </c>
      <c r="AG48" s="177">
        <f>IFERROR(ROUND(VLOOKUP($H$2,'29年度'!$B$6:$GI$52,51,0)/1000,0),"-")</f>
        <v>41719</v>
      </c>
      <c r="AH48" s="176">
        <f>IFERROR(ROUND(VLOOKUP($H$2,'30年度'!$B$6:$GI$52,51,0)/1000,0),"-")</f>
        <v>41102</v>
      </c>
      <c r="AI48" s="175">
        <f>IFERROR(ROUND(VLOOKUP($H$2,'R1年度'!$B$6:$GJ$52,52,0)/1000,0),"-")</f>
        <v>52504</v>
      </c>
      <c r="AJ48" s="175">
        <f>IFERROR(ROUND(VLOOKUP($H$2,'R2年度'!$B$6:$GJ$52,53,0)/1000,0),"-")</f>
        <v>42683</v>
      </c>
      <c r="AK48" s="177">
        <f>IFERROR(ROUND(VLOOKUP($H$2,'R3年度'!$B$6:$GJ$52,53,0)/1000,0),"-")</f>
        <v>42331</v>
      </c>
      <c r="AL48" s="176">
        <f>IFERROR(ROUND(VLOOKUP($H$2,'R4年度'!$B$6:$GJ$52,53,0)/1000,0),"-")</f>
        <v>50475</v>
      </c>
      <c r="AM48" s="175">
        <f>IFERROR(ROUND(VLOOKUP($H$2,'R5年度'!$B$6:$GJ$52,53,0)/1000,0),"-")</f>
        <v>66966</v>
      </c>
      <c r="AN48" s="175">
        <f>IFERROR(ROUND(VLOOKUP($H$2,'R6年度'!$B$6:$GJ$52,53,0)/1000,0),"-")</f>
        <v>76016</v>
      </c>
    </row>
    <row r="49" spans="2:40" ht="15.9" customHeight="1" thickBot="1" x14ac:dyDescent="0.2">
      <c r="B49" s="56"/>
      <c r="C49" s="487" t="s">
        <v>177</v>
      </c>
      <c r="D49" s="488"/>
      <c r="E49" s="179" t="str">
        <f>IFERROR(ROUND(VLOOKUP($H$2,'1年度'!$B$6:$GI$50,52,0)/1000,0),"-")</f>
        <v>-</v>
      </c>
      <c r="F49" s="179" t="str">
        <f>IFERROR(ROUND(VLOOKUP($H$2,'2年度'!$B$6:$GI$50,52,0)/1000,0),"-")</f>
        <v>-</v>
      </c>
      <c r="G49" s="179" t="str">
        <f>IFERROR(ROUND(VLOOKUP($H$2,'3年度'!$B$6:$GI$50,52,0)/1000,0),"-")</f>
        <v>-</v>
      </c>
      <c r="H49" s="179" t="str">
        <f>IFERROR(ROUND(VLOOKUP($H$2,'4年度'!$B$6:$GI$50,52,0)/1000,0),"-")</f>
        <v>-</v>
      </c>
      <c r="I49" s="179" t="str">
        <f>IFERROR(ROUND(VLOOKUP($H$2,'5年度'!$B$6:$GI$50,52,0)/1000,0),"-")</f>
        <v>-</v>
      </c>
      <c r="J49" s="179" t="str">
        <f>IFERROR(ROUND(VLOOKUP($H$2,'6年度'!$B$6:$GI$50,52,0)/1000,0),"-")</f>
        <v>-</v>
      </c>
      <c r="K49" s="179" t="str">
        <f>IFERROR(ROUND(VLOOKUP($H$2,'7年度'!$B$6:$GI$50,52,0)/1000,0),"-")</f>
        <v>-</v>
      </c>
      <c r="L49" s="179" t="str">
        <f>IFERROR(ROUND(VLOOKUP($H$2,'8年度'!$B$6:$GI$50,52,0)/1000,0),"-")</f>
        <v>-</v>
      </c>
      <c r="M49" s="179" t="str">
        <f>IFERROR(ROUND(VLOOKUP($H$2,'9年度'!$B$6:$GI$50,52,0)/1000,0),"-")</f>
        <v>-</v>
      </c>
      <c r="N49" s="179" t="str">
        <f>IFERROR(ROUND(VLOOKUP($H$2,'10年度'!$B$6:$GI$50,52,0)/1000,0),"-")</f>
        <v>-</v>
      </c>
      <c r="O49" s="179" t="str">
        <f>IFERROR(ROUND(VLOOKUP($H$2,'11年度'!$B$6:$GI$50,52,0)/1000,0),"-")</f>
        <v>-</v>
      </c>
      <c r="P49" s="179" t="str">
        <f>IFERROR(ROUND(VLOOKUP($H$2,'12年度'!$B$6:$GI$50,52,0)/1000,0),"-")</f>
        <v>-</v>
      </c>
      <c r="Q49" s="179" t="str">
        <f>IFERROR(ROUND(VLOOKUP($H$2,'13年度'!$B$6:$GI$50,52,0)/1000,0),"-")</f>
        <v>-</v>
      </c>
      <c r="R49" s="179" t="str">
        <f>IFERROR(ROUND(VLOOKUP($H$2,'14年度'!$B$6:$GI$50,52,0)/1000,0),"-")</f>
        <v>-</v>
      </c>
      <c r="S49" s="179" t="str">
        <f>IFERROR(ROUND(VLOOKUP($H$2,'15年度'!$B$6:$GI$50,52,0)/1000,0),"-")</f>
        <v>-</v>
      </c>
      <c r="T49" s="179" t="str">
        <f>IFERROR(ROUND(VLOOKUP($H$2,'16年度'!$B$6:$GI$50,52,0)/1000,0),"-")</f>
        <v>-</v>
      </c>
      <c r="U49" s="179" t="str">
        <f>IFERROR(ROUND(VLOOKUP($H$2,'17年度'!$B$6:$GI$50,52,0)/1000,0),"-")</f>
        <v>-</v>
      </c>
      <c r="V49" s="179" t="str">
        <f>IFERROR(ROUND(VLOOKUP($H$2,'18年度'!$B$6:$GI$50,52,0)/1000,0),"-")</f>
        <v>-</v>
      </c>
      <c r="W49" s="215" t="str">
        <f>IFERROR(ROUND(VLOOKUP($H$2,'19年度'!$B$6:$GI$50,52,0)/1000,0),"-")</f>
        <v>-</v>
      </c>
      <c r="X49" s="216" t="str">
        <f>IFERROR(ROUND(VLOOKUP($H$2,'20年度'!$B$6:$GI$50,52,0)/1000,0),"-")</f>
        <v>-</v>
      </c>
      <c r="Y49" s="216" t="str">
        <f>IFERROR(ROUND(VLOOKUP($H$2,'21年度'!$B$6:$GI$50,52,0)/1000,0),"-")</f>
        <v>-</v>
      </c>
      <c r="Z49" s="216" t="str">
        <f>IFERROR(ROUND(VLOOKUP($H$2,'22年度'!$B$6:$GI$50,52,0)/1000,0),"-")</f>
        <v>-</v>
      </c>
      <c r="AA49" s="216">
        <f>IFERROR(ROUND(VLOOKUP($H$2,'23年度'!$B$6:$GI$52,52,0)/1000,0),"-")</f>
        <v>30274</v>
      </c>
      <c r="AB49" s="215">
        <f>IFERROR(ROUND(VLOOKUP($H$2,'24年度'!$B$6:$GI$52,52,0)/1000,0),"-")</f>
        <v>25349</v>
      </c>
      <c r="AC49" s="217">
        <f>IFERROR(ROUND(VLOOKUP($H$2,'25年度'!$B$6:$GI$52,52,0)/1000,0),"-")</f>
        <v>44307</v>
      </c>
      <c r="AD49" s="215">
        <f>IFERROR(ROUND(VLOOKUP($H$2,'26年度'!$B$6:$GI$52,52,0)/1000,0),"-")</f>
        <v>16818</v>
      </c>
      <c r="AE49" s="215">
        <f>IFERROR(ROUND(VLOOKUP($H$2,'27年度'!$B$6:$GI$52,52,0)/1000,0),"-")</f>
        <v>64701</v>
      </c>
      <c r="AF49" s="215">
        <f>IFERROR(ROUND(VLOOKUP($H$2,'28年度'!$B$6:$GI$52,52,0)/1000,0),"-")</f>
        <v>26635</v>
      </c>
      <c r="AG49" s="217">
        <f>IFERROR(ROUND(VLOOKUP($H$2,'29年度'!$B$6:$GI$52,52,0)/1000,0),"-")</f>
        <v>24402</v>
      </c>
      <c r="AH49" s="216">
        <f>IFERROR(ROUND(VLOOKUP($H$2,'30年度'!$B$6:$GI$52,52,0)/1000,0),"-")</f>
        <v>22734</v>
      </c>
      <c r="AI49" s="215">
        <f>IFERROR(ROUND(VLOOKUP($H$2,'R1年度'!$B$6:$GJ$52,53,0)/1000,0),"-")</f>
        <v>25704</v>
      </c>
      <c r="AJ49" s="215">
        <f>IFERROR(ROUND(VLOOKUP($H$2,'R2年度'!$B$6:$GJ$52,54,0)/1000,0),"-")</f>
        <v>19276</v>
      </c>
      <c r="AK49" s="217">
        <f>IFERROR(ROUND(VLOOKUP($H$2,'R3年度'!$B$6:$GJ$52,54,0)/1000,0),"-")</f>
        <v>24080</v>
      </c>
      <c r="AL49" s="216">
        <f>IFERROR(ROUND(VLOOKUP($H$2,'R4年度'!$B$6:$GJ$52,54,0)/1000,0),"-")</f>
        <v>30585</v>
      </c>
      <c r="AM49" s="215">
        <f>IFERROR(ROUND(VLOOKUP($H$2,'R5年度'!$B$6:$GJ$52,54,0)/1000,0),"-")</f>
        <v>44518</v>
      </c>
      <c r="AN49" s="215">
        <f>IFERROR(ROUND(VLOOKUP($H$2,'R6年度'!$B$6:$GJ$52,54,0)/1000,0),"-")</f>
        <v>46984</v>
      </c>
    </row>
    <row r="50" spans="2:40" ht="15.9" customHeight="1" thickBot="1" x14ac:dyDescent="0.2">
      <c r="B50" s="493" t="s">
        <v>178</v>
      </c>
      <c r="C50" s="494"/>
      <c r="D50" s="474"/>
      <c r="E50" s="221" t="str">
        <f>IFERROR(ROUND(VLOOKUP($H$2,'1年度'!$B$6:$GI$50,53,0)/1000,0),"-")</f>
        <v>-</v>
      </c>
      <c r="F50" s="221" t="str">
        <f>IFERROR(ROUND(VLOOKUP($H$2,'2年度'!$B$6:$GI$50,53,0)/1000,0),"-")</f>
        <v>-</v>
      </c>
      <c r="G50" s="221" t="str">
        <f>IFERROR(ROUND(VLOOKUP($H$2,'3年度'!$B$6:$GI$50,53,0)/1000,0),"-")</f>
        <v>-</v>
      </c>
      <c r="H50" s="221" t="str">
        <f>IFERROR(ROUND(VLOOKUP($H$2,'4年度'!$B$6:$GI$50,53,0)/1000,0),"-")</f>
        <v>-</v>
      </c>
      <c r="I50" s="221" t="str">
        <f>IFERROR(ROUND(VLOOKUP($H$2,'5年度'!$B$6:$GI$50,53,0)/1000,0),"-")</f>
        <v>-</v>
      </c>
      <c r="J50" s="221" t="str">
        <f>IFERROR(ROUND(VLOOKUP($H$2,'6年度'!$B$6:$GI$50,53,0)/1000,0),"-")</f>
        <v>-</v>
      </c>
      <c r="K50" s="221" t="str">
        <f>IFERROR(ROUND(VLOOKUP($H$2,'7年度'!$B$6:$GI$50,53,0)/1000,0),"-")</f>
        <v>-</v>
      </c>
      <c r="L50" s="221" t="str">
        <f>IFERROR(ROUND(VLOOKUP($H$2,'8年度'!$B$6:$GI$50,53,0)/1000,0),"-")</f>
        <v>-</v>
      </c>
      <c r="M50" s="221" t="str">
        <f>IFERROR(ROUND(VLOOKUP($H$2,'9年度'!$B$6:$GI$50,53,0)/1000,0),"-")</f>
        <v>-</v>
      </c>
      <c r="N50" s="221" t="str">
        <f>IFERROR(ROUND(VLOOKUP($H$2,'10年度'!$B$6:$GI$50,53,0)/1000,0),"-")</f>
        <v>-</v>
      </c>
      <c r="O50" s="221" t="str">
        <f>IFERROR(ROUND(VLOOKUP($H$2,'11年度'!$B$6:$GI$50,53,0)/1000,0),"-")</f>
        <v>-</v>
      </c>
      <c r="P50" s="221" t="str">
        <f>IFERROR(ROUND(VLOOKUP($H$2,'12年度'!$B$6:$GI$50,53,0)/1000,0),"-")</f>
        <v>-</v>
      </c>
      <c r="Q50" s="221" t="str">
        <f>IFERROR(ROUND(VLOOKUP($H$2,'13年度'!$B$6:$GI$50,53,0)/1000,0),"-")</f>
        <v>-</v>
      </c>
      <c r="R50" s="221" t="str">
        <f>IFERROR(ROUND(VLOOKUP($H$2,'14年度'!$B$6:$GI$50,53,0)/1000,0),"-")</f>
        <v>-</v>
      </c>
      <c r="S50" s="221" t="str">
        <f>IFERROR(ROUND(VLOOKUP($H$2,'15年度'!$B$6:$GI$50,53,0)/1000,0),"-")</f>
        <v>-</v>
      </c>
      <c r="T50" s="221" t="str">
        <f>IFERROR(ROUND(VLOOKUP($H$2,'16年度'!$B$6:$GI$50,53,0)/1000,0),"-")</f>
        <v>-</v>
      </c>
      <c r="U50" s="221" t="str">
        <f>IFERROR(ROUND(VLOOKUP($H$2,'17年度'!$B$6:$GI$50,53,0)/1000,0),"-")</f>
        <v>-</v>
      </c>
      <c r="V50" s="221" t="str">
        <f>IFERROR(ROUND(VLOOKUP($H$2,'18年度'!$B$6:$GI$50,53,0)/1000,0),"-")</f>
        <v>-</v>
      </c>
      <c r="W50" s="220" t="str">
        <f>IFERROR(ROUND(VLOOKUP($H$2,'19年度'!$B$6:$GI$50,53,0)/1000,0),"-")</f>
        <v>-</v>
      </c>
      <c r="X50" s="228" t="str">
        <f>IFERROR(ROUND(VLOOKUP($H$2,'20年度'!$B$6:$GI$50,53,0)/1000,0),"-")</f>
        <v>-</v>
      </c>
      <c r="Y50" s="228" t="str">
        <f>IFERROR(ROUND(VLOOKUP($H$2,'21年度'!$B$6:$GI$50,53,0)/1000,0),"-")</f>
        <v>-</v>
      </c>
      <c r="Z50" s="228" t="str">
        <f>IFERROR(ROUND(VLOOKUP($H$2,'22年度'!$B$6:$GI$50,53,0)/1000,0),"-")</f>
        <v>-</v>
      </c>
      <c r="AA50" s="228">
        <f>IFERROR(ROUND(VLOOKUP($H$2,'23年度'!$B$6:$GI$52,53,0)/1000,0),"-")</f>
        <v>5370</v>
      </c>
      <c r="AB50" s="220">
        <f>IFERROR(ROUND(VLOOKUP($H$2,'24年度'!$B$6:$GI$52,53,0)/1000,0),"-")</f>
        <v>3003</v>
      </c>
      <c r="AC50" s="229">
        <f>IFERROR(ROUND(VLOOKUP($H$2,'25年度'!$B$6:$GI$52,53,0)/1000,0),"-")</f>
        <v>1827</v>
      </c>
      <c r="AD50" s="220">
        <f>IFERROR(ROUND(VLOOKUP($H$2,'26年度'!$B$6:$GI$52,53,0)/1000,0),"-")</f>
        <v>2884</v>
      </c>
      <c r="AE50" s="220">
        <f>IFERROR(ROUND(VLOOKUP($H$2,'27年度'!$B$6:$GI$52,53,0)/1000,0),"-")</f>
        <v>5633</v>
      </c>
      <c r="AF50" s="220">
        <f>IFERROR(ROUND(VLOOKUP($H$2,'28年度'!$B$6:$GI$52,53,0)/1000,0),"-")</f>
        <v>8762</v>
      </c>
      <c r="AG50" s="229">
        <f>IFERROR(ROUND(VLOOKUP($H$2,'29年度'!$B$6:$GI$52,53,0)/1000,0),"-")</f>
        <v>21645</v>
      </c>
      <c r="AH50" s="228">
        <f>IFERROR(ROUND(VLOOKUP($H$2,'30年度'!$B$6:$GI$52,53,0)/1000,0),"-")</f>
        <v>67067</v>
      </c>
      <c r="AI50" s="220">
        <f>IFERROR(ROUND(VLOOKUP($H$2,'R1年度'!$B$6:$GJ$52,54,0)/1000,0),"-")</f>
        <v>27244</v>
      </c>
      <c r="AJ50" s="220">
        <f>IFERROR(ROUND(VLOOKUP($H$2,'R2年度'!$B$6:$GJ$52,55,0)/1000,0),"-")</f>
        <v>16042</v>
      </c>
      <c r="AK50" s="229">
        <f>IFERROR(ROUND(VLOOKUP($H$2,'R3年度'!$B$6:$GJ$52,55,0)/1000,0),"-")</f>
        <v>27935</v>
      </c>
      <c r="AL50" s="228">
        <f>IFERROR(ROUND(VLOOKUP($H$2,'R4年度'!$B$6:$GJ$52,55,0)/1000,0),"-")</f>
        <v>33801</v>
      </c>
      <c r="AM50" s="220">
        <f>IFERROR(ROUND(VLOOKUP($H$2,'R5年度'!$B$6:$GJ$52,55,0)/1000,0),"-")</f>
        <v>38522</v>
      </c>
      <c r="AN50" s="220">
        <f>IFERROR(ROUND(VLOOKUP($H$2,'R6年度'!$B$6:$GJ$52,55,0)/1000,0),"-")</f>
        <v>41275</v>
      </c>
    </row>
    <row r="51" spans="2:40" ht="15.9" customHeight="1" x14ac:dyDescent="0.15">
      <c r="B51" s="484" t="s">
        <v>179</v>
      </c>
      <c r="C51" s="485"/>
      <c r="D51" s="486"/>
      <c r="E51" s="189" t="str">
        <f>IFERROR(ROUND(VLOOKUP($H$2,'1年度'!$B$6:$GI$50,54,0)/1000,0),"-")</f>
        <v>-</v>
      </c>
      <c r="F51" s="189" t="str">
        <f>IFERROR(ROUND(VLOOKUP($H$2,'2年度'!$B$6:$GI$50,54,0)/1000,0),"-")</f>
        <v>-</v>
      </c>
      <c r="G51" s="189" t="str">
        <f>IFERROR(ROUND(VLOOKUP($H$2,'3年度'!$B$6:$GI$50,54,0)/1000,0),"-")</f>
        <v>-</v>
      </c>
      <c r="H51" s="189" t="str">
        <f>IFERROR(ROUND(VLOOKUP($H$2,'4年度'!$B$6:$GI$50,54,0)/1000,0),"-")</f>
        <v>-</v>
      </c>
      <c r="I51" s="189" t="str">
        <f>IFERROR(ROUND(VLOOKUP($H$2,'5年度'!$B$6:$GI$50,54,0)/1000,0),"-")</f>
        <v>-</v>
      </c>
      <c r="J51" s="189" t="str">
        <f>IFERROR(ROUND(VLOOKUP($H$2,'6年度'!$B$6:$GI$50,54,0)/1000,0),"-")</f>
        <v>-</v>
      </c>
      <c r="K51" s="189" t="str">
        <f>IFERROR(ROUND(VLOOKUP($H$2,'7年度'!$B$6:$GI$50,54,0)/1000,0),"-")</f>
        <v>-</v>
      </c>
      <c r="L51" s="189" t="str">
        <f>IFERROR(ROUND(VLOOKUP($H$2,'8年度'!$B$6:$GI$50,54,0)/1000,0),"-")</f>
        <v>-</v>
      </c>
      <c r="M51" s="189" t="str">
        <f>IFERROR(ROUND(VLOOKUP($H$2,'9年度'!$B$6:$GI$50,54,0)/1000,0),"-")</f>
        <v>-</v>
      </c>
      <c r="N51" s="189" t="str">
        <f>IFERROR(ROUND(VLOOKUP($H$2,'10年度'!$B$6:$GI$50,54,0)/1000,0),"-")</f>
        <v>-</v>
      </c>
      <c r="O51" s="189" t="str">
        <f>IFERROR(ROUND(VLOOKUP($H$2,'11年度'!$B$6:$GI$50,54,0)/1000,0),"-")</f>
        <v>-</v>
      </c>
      <c r="P51" s="189" t="str">
        <f>IFERROR(ROUND(VLOOKUP($H$2,'12年度'!$B$6:$GI$50,54,0)/1000,0),"-")</f>
        <v>-</v>
      </c>
      <c r="Q51" s="189" t="str">
        <f>IFERROR(ROUND(VLOOKUP($H$2,'13年度'!$B$6:$GI$50,54,0)/1000,0),"-")</f>
        <v>-</v>
      </c>
      <c r="R51" s="189" t="str">
        <f>IFERROR(ROUND(VLOOKUP($H$2,'14年度'!$B$6:$GI$50,54,0)/1000,0),"-")</f>
        <v>-</v>
      </c>
      <c r="S51" s="189" t="str">
        <f>IFERROR(ROUND(VLOOKUP($H$2,'15年度'!$B$6:$GI$50,54,0)/1000,0),"-")</f>
        <v>-</v>
      </c>
      <c r="T51" s="189" t="str">
        <f>IFERROR(ROUND(VLOOKUP($H$2,'16年度'!$B$6:$GI$50,54,0)/1000,0),"-")</f>
        <v>-</v>
      </c>
      <c r="U51" s="189" t="str">
        <f>IFERROR(ROUND(VLOOKUP($H$2,'17年度'!$B$6:$GI$50,54,0)/1000,0),"-")</f>
        <v>-</v>
      </c>
      <c r="V51" s="189" t="str">
        <f>IFERROR(ROUND(VLOOKUP($H$2,'18年度'!$B$6:$GI$50,54,0)/1000,0),"-")</f>
        <v>-</v>
      </c>
      <c r="W51" s="175" t="str">
        <f>IFERROR(ROUND(VLOOKUP($H$2,'19年度'!$B$6:$GI$50,54,0)/1000,0),"-")</f>
        <v>-</v>
      </c>
      <c r="X51" s="176" t="str">
        <f>IFERROR(ROUND(VLOOKUP($H$2,'20年度'!$B$6:$GI$50,54,0)/1000,0),"-")</f>
        <v>-</v>
      </c>
      <c r="Y51" s="176" t="str">
        <f>IFERROR(ROUND(VLOOKUP($H$2,'21年度'!$B$6:$GI$50,54,0)/1000,0),"-")</f>
        <v>-</v>
      </c>
      <c r="Z51" s="176" t="str">
        <f>IFERROR(ROUND(VLOOKUP($H$2,'22年度'!$B$6:$GI$50,54,0)/1000,0),"-")</f>
        <v>-</v>
      </c>
      <c r="AA51" s="176">
        <f>IFERROR(ROUND(VLOOKUP($H$2,'23年度'!$B$6:$GI$52,54,0)/1000,0),"-")</f>
        <v>42909</v>
      </c>
      <c r="AB51" s="175">
        <f>IFERROR(ROUND(VLOOKUP($H$2,'24年度'!$B$6:$GI$52,54,0)/1000,0),"-")</f>
        <v>174681</v>
      </c>
      <c r="AC51" s="177">
        <f>IFERROR(ROUND(VLOOKUP($H$2,'25年度'!$B$6:$GI$52,54,0)/1000,0),"-")</f>
        <v>72742</v>
      </c>
      <c r="AD51" s="175">
        <f>IFERROR(ROUND(VLOOKUP($H$2,'26年度'!$B$6:$GI$52,54,0)/1000,0),"-")</f>
        <v>89957</v>
      </c>
      <c r="AE51" s="175">
        <f>IFERROR(ROUND(VLOOKUP($H$2,'27年度'!$B$6:$GI$52,54,0)/1000,0),"-")</f>
        <v>49986</v>
      </c>
      <c r="AF51" s="175">
        <f>IFERROR(ROUND(VLOOKUP($H$2,'28年度'!$B$6:$GI$52,54,0)/1000,0),"-")</f>
        <v>74340</v>
      </c>
      <c r="AG51" s="177">
        <f>IFERROR(ROUND(VLOOKUP($H$2,'29年度'!$B$6:$GI$52,54,0)/1000,0),"-")</f>
        <v>96152</v>
      </c>
      <c r="AH51" s="176">
        <f>IFERROR(ROUND(VLOOKUP($H$2,'30年度'!$B$6:$GI$52,54,0)/1000,0),"-")</f>
        <v>139935</v>
      </c>
      <c r="AI51" s="175">
        <f>IFERROR(ROUND(VLOOKUP($H$2,'R1年度'!$B$6:$GJ$52,55,0)/1000,0),"-")</f>
        <v>72413</v>
      </c>
      <c r="AJ51" s="175">
        <f>IFERROR(ROUND(VLOOKUP($H$2,'R2年度'!$B$6:$GJ$52,56,0)/1000,0),"-")</f>
        <v>57907</v>
      </c>
      <c r="AK51" s="177">
        <f>IFERROR(ROUND(VLOOKUP($H$2,'R3年度'!$B$6:$GJ$52,56,0)/1000,0),"-")</f>
        <v>45149</v>
      </c>
      <c r="AL51" s="176">
        <f>IFERROR(ROUND(VLOOKUP($H$2,'R4年度'!$B$6:$GJ$52,56,0)/1000,0),"-")</f>
        <v>72927</v>
      </c>
      <c r="AM51" s="175">
        <f>IFERROR(ROUND(VLOOKUP($H$2,'R5年度'!$B$6:$GJ$52,56,0)/1000,0),"-")</f>
        <v>84923</v>
      </c>
      <c r="AN51" s="175">
        <f>IFERROR(ROUND(VLOOKUP($H$2,'R6年度'!$B$6:$GJ$52,56,0)/1000,0),"-")</f>
        <v>88995</v>
      </c>
    </row>
    <row r="52" spans="2:40" ht="15.9" customHeight="1" x14ac:dyDescent="0.15">
      <c r="B52" s="54"/>
      <c r="C52" s="478" t="s">
        <v>180</v>
      </c>
      <c r="D52" s="479"/>
      <c r="E52" s="202" t="str">
        <f>IFERROR(ROUND(VLOOKUP($H$2,'1年度'!$B$6:$GI$50,55,0)/1000,0),"-")</f>
        <v>-</v>
      </c>
      <c r="F52" s="202" t="str">
        <f>IFERROR(ROUND(VLOOKUP($H$2,'2年度'!$B$6:$GI$50,55,0)/1000,0),"-")</f>
        <v>-</v>
      </c>
      <c r="G52" s="202" t="str">
        <f>IFERROR(ROUND(VLOOKUP($H$2,'3年度'!$B$6:$GI$50,55,0)/1000,0),"-")</f>
        <v>-</v>
      </c>
      <c r="H52" s="202" t="str">
        <f>IFERROR(ROUND(VLOOKUP($H$2,'4年度'!$B$6:$GI$50,55,0)/1000,0),"-")</f>
        <v>-</v>
      </c>
      <c r="I52" s="202" t="str">
        <f>IFERROR(ROUND(VLOOKUP($H$2,'5年度'!$B$6:$GI$50,55,0)/1000,0),"-")</f>
        <v>-</v>
      </c>
      <c r="J52" s="202" t="str">
        <f>IFERROR(ROUND(VLOOKUP($H$2,'6年度'!$B$6:$GI$50,55,0)/1000,0),"-")</f>
        <v>-</v>
      </c>
      <c r="K52" s="202" t="str">
        <f>IFERROR(ROUND(VLOOKUP($H$2,'7年度'!$B$6:$GI$50,55,0)/1000,0),"-")</f>
        <v>-</v>
      </c>
      <c r="L52" s="202" t="str">
        <f>IFERROR(ROUND(VLOOKUP($H$2,'8年度'!$B$6:$GI$50,55,0)/1000,0),"-")</f>
        <v>-</v>
      </c>
      <c r="M52" s="202" t="str">
        <f>IFERROR(ROUND(VLOOKUP($H$2,'9年度'!$B$6:$GI$50,55,0)/1000,0),"-")</f>
        <v>-</v>
      </c>
      <c r="N52" s="202" t="str">
        <f>IFERROR(ROUND(VLOOKUP($H$2,'10年度'!$B$6:$GI$50,55,0)/1000,0),"-")</f>
        <v>-</v>
      </c>
      <c r="O52" s="202" t="str">
        <f>IFERROR(ROUND(VLOOKUP($H$2,'11年度'!$B$6:$GI$50,55,0)/1000,0),"-")</f>
        <v>-</v>
      </c>
      <c r="P52" s="202" t="str">
        <f>IFERROR(ROUND(VLOOKUP($H$2,'12年度'!$B$6:$GI$50,55,0)/1000,0),"-")</f>
        <v>-</v>
      </c>
      <c r="Q52" s="202" t="str">
        <f>IFERROR(ROUND(VLOOKUP($H$2,'13年度'!$B$6:$GI$50,55,0)/1000,0),"-")</f>
        <v>-</v>
      </c>
      <c r="R52" s="202" t="str">
        <f>IFERROR(ROUND(VLOOKUP($H$2,'14年度'!$B$6:$GI$50,55,0)/1000,0),"-")</f>
        <v>-</v>
      </c>
      <c r="S52" s="202" t="str">
        <f>IFERROR(ROUND(VLOOKUP($H$2,'15年度'!$B$6:$GI$50,55,0)/1000,0),"-")</f>
        <v>-</v>
      </c>
      <c r="T52" s="202" t="str">
        <f>IFERROR(ROUND(VLOOKUP($H$2,'16年度'!$B$6:$GI$50,55,0)/1000,0),"-")</f>
        <v>-</v>
      </c>
      <c r="U52" s="202" t="str">
        <f>IFERROR(ROUND(VLOOKUP($H$2,'17年度'!$B$6:$GI$50,55,0)/1000,0),"-")</f>
        <v>-</v>
      </c>
      <c r="V52" s="202" t="str">
        <f>IFERROR(ROUND(VLOOKUP($H$2,'18年度'!$B$6:$GI$50,55,0)/1000,0),"-")</f>
        <v>-</v>
      </c>
      <c r="W52" s="202" t="str">
        <f>IFERROR(ROUND(VLOOKUP($H$2,'19年度'!$B$6:$GI$50,55,0)/1000,0),"-")</f>
        <v>-</v>
      </c>
      <c r="X52" s="203" t="str">
        <f>IFERROR(ROUND(VLOOKUP($H$2,'20年度'!$B$6:$GI$50,55,0)/1000,0),"-")</f>
        <v>-</v>
      </c>
      <c r="Y52" s="203" t="str">
        <f>IFERROR(ROUND(VLOOKUP($H$2,'21年度'!$B$6:$GI$50,55,0)/1000,0),"-")</f>
        <v>-</v>
      </c>
      <c r="Z52" s="203" t="str">
        <f>IFERROR(ROUND(VLOOKUP($H$2,'22年度'!$B$6:$GI$50,55,0)/1000,0),"-")</f>
        <v>-</v>
      </c>
      <c r="AA52" s="203">
        <f>IFERROR(ROUND(VLOOKUP($H$2,'23年度'!$B$6:$GI$52,55,0)/1000,0),"-")</f>
        <v>5562</v>
      </c>
      <c r="AB52" s="202">
        <f>IFERROR(ROUND(VLOOKUP($H$2,'24年度'!$B$6:$GI$52,55,0)/1000,0),"-")</f>
        <v>2183</v>
      </c>
      <c r="AC52" s="204">
        <f>IFERROR(ROUND(VLOOKUP($H$2,'25年度'!$B$6:$GI$52,55,0)/1000,0),"-")</f>
        <v>4174</v>
      </c>
      <c r="AD52" s="202">
        <f>IFERROR(ROUND(VLOOKUP($H$2,'26年度'!$B$6:$GI$52,55,0)/1000,0),"-")</f>
        <v>40855</v>
      </c>
      <c r="AE52" s="202">
        <f>IFERROR(ROUND(VLOOKUP($H$2,'27年度'!$B$6:$GI$52,55,0)/1000,0),"-")</f>
        <v>7307</v>
      </c>
      <c r="AF52" s="202">
        <f>IFERROR(ROUND(VLOOKUP($H$2,'28年度'!$B$6:$GI$52,55,0)/1000,0),"-")</f>
        <v>21492</v>
      </c>
      <c r="AG52" s="204">
        <f>IFERROR(ROUND(VLOOKUP($H$2,'29年度'!$B$6:$GI$52,55,0)/1000,0),"-")</f>
        <v>27678</v>
      </c>
      <c r="AH52" s="203">
        <f>IFERROR(ROUND(VLOOKUP($H$2,'30年度'!$B$6:$GI$52,55,0)/1000,0),"-")</f>
        <v>17744</v>
      </c>
      <c r="AI52" s="202">
        <f>IFERROR(ROUND(VLOOKUP($H$2,'R1年度'!$B$6:$GJ$52,56,0)/1000,0),"-")</f>
        <v>8785</v>
      </c>
      <c r="AJ52" s="202">
        <f>IFERROR(ROUND(VLOOKUP($H$2,'R2年度'!$B$6:$GJ$52,57,0)/1000,0),"-")</f>
        <v>14851</v>
      </c>
      <c r="AK52" s="204">
        <f>IFERROR(ROUND(VLOOKUP($H$2,'R3年度'!$B$6:$GJ$52,57,0)/1000,0),"-")</f>
        <v>8329</v>
      </c>
      <c r="AL52" s="203">
        <f>IFERROR(ROUND(VLOOKUP($H$2,'R4年度'!$B$6:$GJ$52,57,0)/1000,0),"-")</f>
        <v>22197</v>
      </c>
      <c r="AM52" s="202">
        <f>IFERROR(ROUND(VLOOKUP($H$2,'R5年度'!$B$6:$GJ$52,57,0)/1000,0),"-")</f>
        <v>23488</v>
      </c>
      <c r="AN52" s="202">
        <f>IFERROR(ROUND(VLOOKUP($H$2,'R6年度'!$B$6:$GJ$52,57,0)/1000,0),"-")</f>
        <v>15920</v>
      </c>
    </row>
    <row r="53" spans="2:40" ht="15.9" customHeight="1" x14ac:dyDescent="0.15">
      <c r="B53" s="54"/>
      <c r="C53" s="478" t="s">
        <v>181</v>
      </c>
      <c r="D53" s="479"/>
      <c r="E53" s="202" t="str">
        <f>IFERROR(ROUND(VLOOKUP($H$2,'1年度'!$B$6:$GI$50,56,0)/1000,0),"-")</f>
        <v>-</v>
      </c>
      <c r="F53" s="202" t="str">
        <f>IFERROR(ROUND(VLOOKUP($H$2,'2年度'!$B$6:$GI$50,56,0)/1000,0),"-")</f>
        <v>-</v>
      </c>
      <c r="G53" s="202" t="str">
        <f>IFERROR(ROUND(VLOOKUP($H$2,'3年度'!$B$6:$GI$50,56,0)/1000,0),"-")</f>
        <v>-</v>
      </c>
      <c r="H53" s="202" t="str">
        <f>IFERROR(ROUND(VLOOKUP($H$2,'4年度'!$B$6:$GI$50,56,0)/1000,0),"-")</f>
        <v>-</v>
      </c>
      <c r="I53" s="202" t="str">
        <f>IFERROR(ROUND(VLOOKUP($H$2,'5年度'!$B$6:$GI$50,56,0)/1000,0),"-")</f>
        <v>-</v>
      </c>
      <c r="J53" s="202" t="str">
        <f>IFERROR(ROUND(VLOOKUP($H$2,'6年度'!$B$6:$GI$50,56,0)/1000,0),"-")</f>
        <v>-</v>
      </c>
      <c r="K53" s="202" t="str">
        <f>IFERROR(ROUND(VLOOKUP($H$2,'7年度'!$B$6:$GI$50,56,0)/1000,0),"-")</f>
        <v>-</v>
      </c>
      <c r="L53" s="202" t="str">
        <f>IFERROR(ROUND(VLOOKUP($H$2,'8年度'!$B$6:$GI$50,56,0)/1000,0),"-")</f>
        <v>-</v>
      </c>
      <c r="M53" s="202" t="str">
        <f>IFERROR(ROUND(VLOOKUP($H$2,'9年度'!$B$6:$GI$50,56,0)/1000,0),"-")</f>
        <v>-</v>
      </c>
      <c r="N53" s="202" t="str">
        <f>IFERROR(ROUND(VLOOKUP($H$2,'10年度'!$B$6:$GI$50,56,0)/1000,0),"-")</f>
        <v>-</v>
      </c>
      <c r="O53" s="202" t="str">
        <f>IFERROR(ROUND(VLOOKUP($H$2,'11年度'!$B$6:$GI$50,56,0)/1000,0),"-")</f>
        <v>-</v>
      </c>
      <c r="P53" s="202" t="str">
        <f>IFERROR(ROUND(VLOOKUP($H$2,'12年度'!$B$6:$GI$50,56,0)/1000,0),"-")</f>
        <v>-</v>
      </c>
      <c r="Q53" s="202" t="str">
        <f>IFERROR(ROUND(VLOOKUP($H$2,'13年度'!$B$6:$GI$50,56,0)/1000,0),"-")</f>
        <v>-</v>
      </c>
      <c r="R53" s="202" t="str">
        <f>IFERROR(ROUND(VLOOKUP($H$2,'14年度'!$B$6:$GI$50,56,0)/1000,0),"-")</f>
        <v>-</v>
      </c>
      <c r="S53" s="202" t="str">
        <f>IFERROR(ROUND(VLOOKUP($H$2,'15年度'!$B$6:$GI$50,56,0)/1000,0),"-")</f>
        <v>-</v>
      </c>
      <c r="T53" s="202" t="str">
        <f>IFERROR(ROUND(VLOOKUP($H$2,'16年度'!$B$6:$GI$50,56,0)/1000,0),"-")</f>
        <v>-</v>
      </c>
      <c r="U53" s="202" t="str">
        <f>IFERROR(ROUND(VLOOKUP($H$2,'17年度'!$B$6:$GI$50,56,0)/1000,0),"-")</f>
        <v>-</v>
      </c>
      <c r="V53" s="202" t="str">
        <f>IFERROR(ROUND(VLOOKUP($H$2,'18年度'!$B$6:$GI$50,56,0)/1000,0),"-")</f>
        <v>-</v>
      </c>
      <c r="W53" s="202" t="str">
        <f>IFERROR(ROUND(VLOOKUP($H$2,'19年度'!$B$6:$GI$50,56,0)/1000,0),"-")</f>
        <v>-</v>
      </c>
      <c r="X53" s="203" t="str">
        <f>IFERROR(ROUND(VLOOKUP($H$2,'20年度'!$B$6:$GI$50,56,0)/1000,0),"-")</f>
        <v>-</v>
      </c>
      <c r="Y53" s="203" t="str">
        <f>IFERROR(ROUND(VLOOKUP($H$2,'21年度'!$B$6:$GI$50,56,0)/1000,0),"-")</f>
        <v>-</v>
      </c>
      <c r="Z53" s="203" t="str">
        <f>IFERROR(ROUND(VLOOKUP($H$2,'22年度'!$B$6:$GI$50,56,0)/1000,0),"-")</f>
        <v>-</v>
      </c>
      <c r="AA53" s="203">
        <f>IFERROR(ROUND(VLOOKUP($H$2,'23年度'!$B$6:$GI$52,56,0)/1000,0),"-")</f>
        <v>10394</v>
      </c>
      <c r="AB53" s="202">
        <f>IFERROR(ROUND(VLOOKUP($H$2,'24年度'!$B$6:$GI$52,56,0)/1000,0),"-")</f>
        <v>19912</v>
      </c>
      <c r="AC53" s="204">
        <f>IFERROR(ROUND(VLOOKUP($H$2,'25年度'!$B$6:$GI$52,56,0)/1000,0),"-")</f>
        <v>37941</v>
      </c>
      <c r="AD53" s="202">
        <f>IFERROR(ROUND(VLOOKUP($H$2,'26年度'!$B$6:$GI$52,56,0)/1000,0),"-")</f>
        <v>8558</v>
      </c>
      <c r="AE53" s="202">
        <f>IFERROR(ROUND(VLOOKUP($H$2,'27年度'!$B$6:$GI$52,56,0)/1000,0),"-")</f>
        <v>11786</v>
      </c>
      <c r="AF53" s="202">
        <f>IFERROR(ROUND(VLOOKUP($H$2,'28年度'!$B$6:$GI$52,56,0)/1000,0),"-")</f>
        <v>15192</v>
      </c>
      <c r="AG53" s="204">
        <f>IFERROR(ROUND(VLOOKUP($H$2,'29年度'!$B$6:$GI$52,56,0)/1000,0),"-")</f>
        <v>4650</v>
      </c>
      <c r="AH53" s="203">
        <f>IFERROR(ROUND(VLOOKUP($H$2,'30年度'!$B$6:$GI$52,56,0)/1000,0),"-")</f>
        <v>15795</v>
      </c>
      <c r="AI53" s="202">
        <f>IFERROR(ROUND(VLOOKUP($H$2,'R1年度'!$B$6:$GJ$52,57,0)/1000,0),"-")</f>
        <v>4506</v>
      </c>
      <c r="AJ53" s="202">
        <f>IFERROR(ROUND(VLOOKUP($H$2,'R2年度'!$B$6:$GJ$52,58,0)/1000,0),"-")</f>
        <v>3795</v>
      </c>
      <c r="AK53" s="204">
        <f>IFERROR(ROUND(VLOOKUP($H$2,'R3年度'!$B$6:$GJ$52,58,0)/1000,0),"-")</f>
        <v>4725</v>
      </c>
      <c r="AL53" s="203">
        <f>IFERROR(ROUND(VLOOKUP($H$2,'R4年度'!$B$6:$GJ$52,58,0)/1000,0),"-")</f>
        <v>11159</v>
      </c>
      <c r="AM53" s="202">
        <f>IFERROR(ROUND(VLOOKUP($H$2,'R5年度'!$B$6:$GJ$52,58,0)/1000,0),"-")</f>
        <v>4723</v>
      </c>
      <c r="AN53" s="202">
        <f>IFERROR(ROUND(VLOOKUP($H$2,'R6年度'!$B$6:$GJ$52,58,0)/1000,0),"-")</f>
        <v>9301</v>
      </c>
    </row>
    <row r="54" spans="2:40" ht="15.9" customHeight="1" x14ac:dyDescent="0.15">
      <c r="B54" s="54"/>
      <c r="C54" s="478" t="s">
        <v>182</v>
      </c>
      <c r="D54" s="479"/>
      <c r="E54" s="202" t="str">
        <f>IFERROR(ROUND(VLOOKUP($H$2,'1年度'!$B$6:$GI$50,57,0)/1000,0),"-")</f>
        <v>-</v>
      </c>
      <c r="F54" s="202" t="str">
        <f>IFERROR(ROUND(VLOOKUP($H$2,'2年度'!$B$6:$GI$50,57,0)/1000,0),"-")</f>
        <v>-</v>
      </c>
      <c r="G54" s="202" t="str">
        <f>IFERROR(ROUND(VLOOKUP($H$2,'3年度'!$B$6:$GI$50,57,0)/1000,0),"-")</f>
        <v>-</v>
      </c>
      <c r="H54" s="202" t="str">
        <f>IFERROR(ROUND(VLOOKUP($H$2,'4年度'!$B$6:$GI$50,57,0)/1000,0),"-")</f>
        <v>-</v>
      </c>
      <c r="I54" s="202" t="str">
        <f>IFERROR(ROUND(VLOOKUP($H$2,'5年度'!$B$6:$GI$50,57,0)/1000,0),"-")</f>
        <v>-</v>
      </c>
      <c r="J54" s="202" t="str">
        <f>IFERROR(ROUND(VLOOKUP($H$2,'6年度'!$B$6:$GI$50,57,0)/1000,0),"-")</f>
        <v>-</v>
      </c>
      <c r="K54" s="202" t="str">
        <f>IFERROR(ROUND(VLOOKUP($H$2,'7年度'!$B$6:$GI$50,57,0)/1000,0),"-")</f>
        <v>-</v>
      </c>
      <c r="L54" s="202" t="str">
        <f>IFERROR(ROUND(VLOOKUP($H$2,'8年度'!$B$6:$GI$50,57,0)/1000,0),"-")</f>
        <v>-</v>
      </c>
      <c r="M54" s="202" t="str">
        <f>IFERROR(ROUND(VLOOKUP($H$2,'9年度'!$B$6:$GI$50,57,0)/1000,0),"-")</f>
        <v>-</v>
      </c>
      <c r="N54" s="202" t="str">
        <f>IFERROR(ROUND(VLOOKUP($H$2,'10年度'!$B$6:$GI$50,57,0)/1000,0),"-")</f>
        <v>-</v>
      </c>
      <c r="O54" s="202" t="str">
        <f>IFERROR(ROUND(VLOOKUP($H$2,'11年度'!$B$6:$GI$50,57,0)/1000,0),"-")</f>
        <v>-</v>
      </c>
      <c r="P54" s="202" t="str">
        <f>IFERROR(ROUND(VLOOKUP($H$2,'12年度'!$B$6:$GI$50,57,0)/1000,0),"-")</f>
        <v>-</v>
      </c>
      <c r="Q54" s="202" t="str">
        <f>IFERROR(ROUND(VLOOKUP($H$2,'13年度'!$B$6:$GI$50,57,0)/1000,0),"-")</f>
        <v>-</v>
      </c>
      <c r="R54" s="202" t="str">
        <f>IFERROR(ROUND(VLOOKUP($H$2,'14年度'!$B$6:$GI$50,57,0)/1000,0),"-")</f>
        <v>-</v>
      </c>
      <c r="S54" s="202" t="str">
        <f>IFERROR(ROUND(VLOOKUP($H$2,'15年度'!$B$6:$GI$50,57,0)/1000,0),"-")</f>
        <v>-</v>
      </c>
      <c r="T54" s="202" t="str">
        <f>IFERROR(ROUND(VLOOKUP($H$2,'16年度'!$B$6:$GI$50,57,0)/1000,0),"-")</f>
        <v>-</v>
      </c>
      <c r="U54" s="202" t="str">
        <f>IFERROR(ROUND(VLOOKUP($H$2,'17年度'!$B$6:$GI$50,57,0)/1000,0),"-")</f>
        <v>-</v>
      </c>
      <c r="V54" s="202" t="str">
        <f>IFERROR(ROUND(VLOOKUP($H$2,'18年度'!$B$6:$GI$50,57,0)/1000,0),"-")</f>
        <v>-</v>
      </c>
      <c r="W54" s="202" t="str">
        <f>IFERROR(ROUND(VLOOKUP($H$2,'19年度'!$B$6:$GI$50,57,0)/1000,0),"-")</f>
        <v>-</v>
      </c>
      <c r="X54" s="203" t="str">
        <f>IFERROR(ROUND(VLOOKUP($H$2,'20年度'!$B$6:$GI$50,57,0)/1000,0),"-")</f>
        <v>-</v>
      </c>
      <c r="Y54" s="203" t="str">
        <f>IFERROR(ROUND(VLOOKUP($H$2,'21年度'!$B$6:$GI$50,57,0)/1000,0),"-")</f>
        <v>-</v>
      </c>
      <c r="Z54" s="203" t="str">
        <f>IFERROR(ROUND(VLOOKUP($H$2,'22年度'!$B$6:$GI$50,57,0)/1000,0),"-")</f>
        <v>-</v>
      </c>
      <c r="AA54" s="203">
        <f>IFERROR(ROUND(VLOOKUP($H$2,'23年度'!$B$6:$GI$52,57,0)/1000,0),"-")</f>
        <v>17304</v>
      </c>
      <c r="AB54" s="202">
        <f>IFERROR(ROUND(VLOOKUP($H$2,'24年度'!$B$6:$GI$52,57,0)/1000,0),"-")</f>
        <v>135566</v>
      </c>
      <c r="AC54" s="204">
        <f>IFERROR(ROUND(VLOOKUP($H$2,'25年度'!$B$6:$GI$52,57,0)/1000,0),"-")</f>
        <v>20141</v>
      </c>
      <c r="AD54" s="202">
        <f>IFERROR(ROUND(VLOOKUP($H$2,'26年度'!$B$6:$GI$52,57,0)/1000,0),"-")</f>
        <v>30522</v>
      </c>
      <c r="AE54" s="202">
        <f>IFERROR(ROUND(VLOOKUP($H$2,'27年度'!$B$6:$GI$52,57,0)/1000,0),"-")</f>
        <v>22077</v>
      </c>
      <c r="AF54" s="202">
        <f>IFERROR(ROUND(VLOOKUP($H$2,'28年度'!$B$6:$GI$52,57,0)/1000,0),"-")</f>
        <v>28182</v>
      </c>
      <c r="AG54" s="204">
        <f>IFERROR(ROUND(VLOOKUP($H$2,'29年度'!$B$6:$GI$52,57,0)/1000,0),"-")</f>
        <v>34154</v>
      </c>
      <c r="AH54" s="203">
        <f>IFERROR(ROUND(VLOOKUP($H$2,'30年度'!$B$6:$GI$52,57,0)/1000,0),"-")</f>
        <v>63520</v>
      </c>
      <c r="AI54" s="202">
        <f>IFERROR(ROUND(VLOOKUP($H$2,'R1年度'!$B$6:$GJ$52,58,0)/1000,0),"-")</f>
        <v>52301</v>
      </c>
      <c r="AJ54" s="202">
        <f>IFERROR(ROUND(VLOOKUP($H$2,'R2年度'!$B$6:$GJ$52,59,0)/1000,0),"-")</f>
        <v>33257</v>
      </c>
      <c r="AK54" s="204">
        <f>IFERROR(ROUND(VLOOKUP($H$2,'R3年度'!$B$6:$GJ$52,59,0)/1000,0),"-")</f>
        <v>27845</v>
      </c>
      <c r="AL54" s="203">
        <f>IFERROR(ROUND(VLOOKUP($H$2,'R4年度'!$B$6:$GJ$52,59,0)/1000,0),"-")</f>
        <v>36086</v>
      </c>
      <c r="AM54" s="202">
        <f>IFERROR(ROUND(VLOOKUP($H$2,'R5年度'!$B$6:$GJ$52,59,0)/1000,0),"-")</f>
        <v>51506</v>
      </c>
      <c r="AN54" s="202">
        <f>IFERROR(ROUND(VLOOKUP($H$2,'R6年度'!$B$6:$GJ$52,59,0)/1000,0),"-")</f>
        <v>55792</v>
      </c>
    </row>
    <row r="55" spans="2:40" ht="15.9" customHeight="1" thickBot="1" x14ac:dyDescent="0.2">
      <c r="B55" s="54"/>
      <c r="C55" s="478" t="s">
        <v>183</v>
      </c>
      <c r="D55" s="479"/>
      <c r="E55" s="179" t="str">
        <f>IFERROR(ROUND(VLOOKUP($H$2,'1年度'!$B$6:$GI$50,58,0)/1000,0),"-")</f>
        <v>-</v>
      </c>
      <c r="F55" s="179" t="str">
        <f>IFERROR(ROUND(VLOOKUP($H$2,'2年度'!$B$6:$GI$50,58,0)/1000,0),"-")</f>
        <v>-</v>
      </c>
      <c r="G55" s="179" t="str">
        <f>IFERROR(ROUND(VLOOKUP($H$2,'3年度'!$B$6:$GI$50,58,0)/1000,0),"-")</f>
        <v>-</v>
      </c>
      <c r="H55" s="179" t="str">
        <f>IFERROR(ROUND(VLOOKUP($H$2,'4年度'!$B$6:$GI$50,58,0)/1000,0),"-")</f>
        <v>-</v>
      </c>
      <c r="I55" s="179" t="str">
        <f>IFERROR(ROUND(VLOOKUP($H$2,'5年度'!$B$6:$GI$50,58,0)/1000,0),"-")</f>
        <v>-</v>
      </c>
      <c r="J55" s="179" t="str">
        <f>IFERROR(ROUND(VLOOKUP($H$2,'6年度'!$B$6:$GI$50,58,0)/1000,0),"-")</f>
        <v>-</v>
      </c>
      <c r="K55" s="179" t="str">
        <f>IFERROR(ROUND(VLOOKUP($H$2,'7年度'!$B$6:$GI$50,58,0)/1000,0),"-")</f>
        <v>-</v>
      </c>
      <c r="L55" s="179" t="str">
        <f>IFERROR(ROUND(VLOOKUP($H$2,'8年度'!$B$6:$GI$50,58,0)/1000,0),"-")</f>
        <v>-</v>
      </c>
      <c r="M55" s="179" t="str">
        <f>IFERROR(ROUND(VLOOKUP($H$2,'9年度'!$B$6:$GI$50,58,0)/1000,0),"-")</f>
        <v>-</v>
      </c>
      <c r="N55" s="179" t="str">
        <f>IFERROR(ROUND(VLOOKUP($H$2,'10年度'!$B$6:$GI$50,58,0)/1000,0),"-")</f>
        <v>-</v>
      </c>
      <c r="O55" s="179" t="str">
        <f>IFERROR(ROUND(VLOOKUP($H$2,'11年度'!$B$6:$GI$50,58,0)/1000,0),"-")</f>
        <v>-</v>
      </c>
      <c r="P55" s="179" t="str">
        <f>IFERROR(ROUND(VLOOKUP($H$2,'12年度'!$B$6:$GI$50,58,0)/1000,0),"-")</f>
        <v>-</v>
      </c>
      <c r="Q55" s="179" t="str">
        <f>IFERROR(ROUND(VLOOKUP($H$2,'13年度'!$B$6:$GI$50,58,0)/1000,0),"-")</f>
        <v>-</v>
      </c>
      <c r="R55" s="179" t="str">
        <f>IFERROR(ROUND(VLOOKUP($H$2,'14年度'!$B$6:$GI$50,58,0)/1000,0),"-")</f>
        <v>-</v>
      </c>
      <c r="S55" s="179" t="str">
        <f>IFERROR(ROUND(VLOOKUP($H$2,'15年度'!$B$6:$GI$50,58,0)/1000,0),"-")</f>
        <v>-</v>
      </c>
      <c r="T55" s="179" t="str">
        <f>IFERROR(ROUND(VLOOKUP($H$2,'16年度'!$B$6:$GI$50,58,0)/1000,0),"-")</f>
        <v>-</v>
      </c>
      <c r="U55" s="179" t="str">
        <f>IFERROR(ROUND(VLOOKUP($H$2,'17年度'!$B$6:$GI$50,58,0)/1000,0),"-")</f>
        <v>-</v>
      </c>
      <c r="V55" s="179" t="str">
        <f>IFERROR(ROUND(VLOOKUP($H$2,'18年度'!$B$6:$GI$50,58,0)/1000,0),"-")</f>
        <v>-</v>
      </c>
      <c r="W55" s="215" t="str">
        <f>IFERROR(ROUND(VLOOKUP($H$2,'19年度'!$B$6:$GI$50,58,0)/1000,0),"-")</f>
        <v>-</v>
      </c>
      <c r="X55" s="216" t="str">
        <f>IFERROR(ROUND(VLOOKUP($H$2,'20年度'!$B$6:$GI$50,58,0)/1000,0),"-")</f>
        <v>-</v>
      </c>
      <c r="Y55" s="216" t="str">
        <f>IFERROR(ROUND(VLOOKUP($H$2,'21年度'!$B$6:$GI$50,58,0)/1000,0),"-")</f>
        <v>-</v>
      </c>
      <c r="Z55" s="216" t="str">
        <f>IFERROR(ROUND(VLOOKUP($H$2,'22年度'!$B$6:$GI$50,58,0)/1000,0),"-")</f>
        <v>-</v>
      </c>
      <c r="AA55" s="216">
        <f>IFERROR(ROUND(VLOOKUP($H$2,'23年度'!$B$6:$GI$52,58,0)/1000,0),"-")</f>
        <v>0</v>
      </c>
      <c r="AB55" s="215">
        <f>IFERROR(ROUND(VLOOKUP($H$2,'24年度'!$B$6:$GI$52,58,0)/1000,0),"-")</f>
        <v>2427</v>
      </c>
      <c r="AC55" s="217">
        <f>IFERROR(ROUND(VLOOKUP($H$2,'25年度'!$B$6:$GI$52,58,0)/1000,0),"-")</f>
        <v>731</v>
      </c>
      <c r="AD55" s="215">
        <f>IFERROR(ROUND(VLOOKUP($H$2,'26年度'!$B$6:$GI$52,58,0)/1000,0),"-")</f>
        <v>1756</v>
      </c>
      <c r="AE55" s="215">
        <f>IFERROR(ROUND(VLOOKUP($H$2,'27年度'!$B$6:$GI$52,58,0)/1000,0),"-")</f>
        <v>505</v>
      </c>
      <c r="AF55" s="215">
        <f>IFERROR(ROUND(VLOOKUP($H$2,'28年度'!$B$6:$GI$52,58,0)/1000,0),"-")</f>
        <v>878</v>
      </c>
      <c r="AG55" s="217">
        <f>IFERROR(ROUND(VLOOKUP($H$2,'29年度'!$B$6:$GI$52,58,0)/1000,0),"-")</f>
        <v>498</v>
      </c>
      <c r="AH55" s="216">
        <f>IFERROR(ROUND(VLOOKUP($H$2,'30年度'!$B$6:$GI$52,58,0)/1000,0),"-")</f>
        <v>100</v>
      </c>
      <c r="AI55" s="215">
        <f>IFERROR(ROUND(VLOOKUP($H$2,'R1年度'!$B$6:$GJ$52,59,0)/1000,0),"-")</f>
        <v>1253</v>
      </c>
      <c r="AJ55" s="215">
        <f>IFERROR(ROUND(VLOOKUP($H$2,'R2年度'!$B$6:$GJ$52,60,0)/1000,0),"-")</f>
        <v>120</v>
      </c>
      <c r="AK55" s="217">
        <f>IFERROR(ROUND(VLOOKUP($H$2,'R3年度'!$B$6:$GJ$52,60,0)/1000,0),"-")</f>
        <v>73</v>
      </c>
      <c r="AL55" s="216">
        <f>IFERROR(ROUND(VLOOKUP($H$2,'R4年度'!$B$6:$GJ$52,60,0)/1000,0),"-")</f>
        <v>205</v>
      </c>
      <c r="AM55" s="215">
        <f>IFERROR(ROUND(VLOOKUP($H$2,'R5年度'!$B$6:$GJ$52,60,0)/1000,0),"-")</f>
        <v>299</v>
      </c>
      <c r="AN55" s="215">
        <f>IFERROR(ROUND(VLOOKUP($H$2,'R6年度'!$B$6:$GJ$52,60,0)/1000,0),"-")</f>
        <v>304</v>
      </c>
    </row>
    <row r="56" spans="2:40" ht="15.9" customHeight="1" x14ac:dyDescent="0.15">
      <c r="B56" s="484" t="s">
        <v>184</v>
      </c>
      <c r="C56" s="485"/>
      <c r="D56" s="486"/>
      <c r="E56" s="175" t="str">
        <f>IFERROR(ROUND(VLOOKUP($H$2,'1年度'!$B$6:$GI$50,59,0)/1000,0),"-")</f>
        <v>-</v>
      </c>
      <c r="F56" s="175" t="str">
        <f>IFERROR(ROUND(VLOOKUP($H$2,'2年度'!$B$6:$GI$50,59,0)/1000,0),"-")</f>
        <v>-</v>
      </c>
      <c r="G56" s="175" t="str">
        <f>IFERROR(ROUND(VLOOKUP($H$2,'3年度'!$B$6:$GI$50,59,0)/1000,0),"-")</f>
        <v>-</v>
      </c>
      <c r="H56" s="175" t="str">
        <f>IFERROR(ROUND(VLOOKUP($H$2,'4年度'!$B$6:$GI$50,59,0)/1000,0),"-")</f>
        <v>-</v>
      </c>
      <c r="I56" s="175" t="str">
        <f>IFERROR(ROUND(VLOOKUP($H$2,'5年度'!$B$6:$GI$50,59,0)/1000,0),"-")</f>
        <v>-</v>
      </c>
      <c r="J56" s="175" t="str">
        <f>IFERROR(ROUND(VLOOKUP($H$2,'6年度'!$B$6:$GI$50,59,0)/1000,0),"-")</f>
        <v>-</v>
      </c>
      <c r="K56" s="175" t="str">
        <f>IFERROR(ROUND(VLOOKUP($H$2,'7年度'!$B$6:$GI$50,59,0)/1000,0),"-")</f>
        <v>-</v>
      </c>
      <c r="L56" s="175" t="str">
        <f>IFERROR(ROUND(VLOOKUP($H$2,'8年度'!$B$6:$GI$50,59,0)/1000,0),"-")</f>
        <v>-</v>
      </c>
      <c r="M56" s="175" t="str">
        <f>IFERROR(ROUND(VLOOKUP($H$2,'9年度'!$B$6:$GI$50,59,0)/1000,0),"-")</f>
        <v>-</v>
      </c>
      <c r="N56" s="175" t="str">
        <f>IFERROR(ROUND(VLOOKUP($H$2,'10年度'!$B$6:$GI$50,59,0)/1000,0),"-")</f>
        <v>-</v>
      </c>
      <c r="O56" s="175" t="str">
        <f>IFERROR(ROUND(VLOOKUP($H$2,'11年度'!$B$6:$GI$50,59,0)/1000,0),"-")</f>
        <v>-</v>
      </c>
      <c r="P56" s="175" t="str">
        <f>IFERROR(ROUND(VLOOKUP($H$2,'12年度'!$B$6:$GI$50,59,0)/1000,0),"-")</f>
        <v>-</v>
      </c>
      <c r="Q56" s="175" t="str">
        <f>IFERROR(ROUND(VLOOKUP($H$2,'13年度'!$B$6:$GI$50,59,0)/1000,0),"-")</f>
        <v>-</v>
      </c>
      <c r="R56" s="175" t="str">
        <f>IFERROR(ROUND(VLOOKUP($H$2,'14年度'!$B$6:$GI$50,59,0)/1000,0),"-")</f>
        <v>-</v>
      </c>
      <c r="S56" s="175" t="str">
        <f>IFERROR(ROUND(VLOOKUP($H$2,'15年度'!$B$6:$GI$50,59,0)/1000,0),"-")</f>
        <v>-</v>
      </c>
      <c r="T56" s="175" t="str">
        <f>IFERROR(ROUND(VLOOKUP($H$2,'16年度'!$B$6:$GI$50,59,0)/1000,0),"-")</f>
        <v>-</v>
      </c>
      <c r="U56" s="175" t="str">
        <f>IFERROR(ROUND(VLOOKUP($H$2,'17年度'!$B$6:$GI$50,59,0)/1000,0),"-")</f>
        <v>-</v>
      </c>
      <c r="V56" s="175" t="str">
        <f>IFERROR(ROUND(VLOOKUP($H$2,'18年度'!$B$6:$GI$50,59,0)/1000,0),"-")</f>
        <v>-</v>
      </c>
      <c r="W56" s="220" t="str">
        <f>IFERROR(ROUND(VLOOKUP($H$2,'19年度'!$B$6:$GI$50,59,0)/1000,0),"-")</f>
        <v>-</v>
      </c>
      <c r="X56" s="228" t="str">
        <f>IFERROR(ROUND(VLOOKUP($H$2,'20年度'!$B$6:$GI$50,59,0)/1000,0),"-")</f>
        <v>-</v>
      </c>
      <c r="Y56" s="228" t="str">
        <f>IFERROR(ROUND(VLOOKUP($H$2,'21年度'!$B$6:$GI$50,59,0)/1000,0),"-")</f>
        <v>-</v>
      </c>
      <c r="Z56" s="228" t="str">
        <f>IFERROR(ROUND(VLOOKUP($H$2,'22年度'!$B$6:$GI$50,59,0)/1000,0),"-")</f>
        <v>-</v>
      </c>
      <c r="AA56" s="228">
        <f>IFERROR(ROUND(VLOOKUP($H$2,'23年度'!$B$6:$GI$52,59,0)/1000,0),"-")</f>
        <v>28699</v>
      </c>
      <c r="AB56" s="220">
        <f>IFERROR(ROUND(VLOOKUP($H$2,'24年度'!$B$6:$GI$52,59,0)/1000,0),"-")</f>
        <v>26585</v>
      </c>
      <c r="AC56" s="229">
        <f>IFERROR(ROUND(VLOOKUP($H$2,'25年度'!$B$6:$GI$52,59,0)/1000,0),"-")</f>
        <v>29399</v>
      </c>
      <c r="AD56" s="220">
        <f>IFERROR(ROUND(VLOOKUP($H$2,'26年度'!$B$6:$GI$52,59,0)/1000,0),"-")</f>
        <v>60638</v>
      </c>
      <c r="AE56" s="220">
        <f>IFERROR(ROUND(VLOOKUP($H$2,'27年度'!$B$6:$GI$52,59,0)/1000,0),"-")</f>
        <v>33133</v>
      </c>
      <c r="AF56" s="220">
        <f>IFERROR(ROUND(VLOOKUP($H$2,'28年度'!$B$6:$GI$52,59,0)/1000,0),"-")</f>
        <v>30438</v>
      </c>
      <c r="AG56" s="229">
        <f>IFERROR(ROUND(VLOOKUP($H$2,'29年度'!$B$6:$GI$52,59,0)/1000,0),"-")</f>
        <v>28109</v>
      </c>
      <c r="AH56" s="228">
        <f>IFERROR(ROUND(VLOOKUP($H$2,'30年度'!$B$6:$GI$52,59,0)/1000,0),"-")</f>
        <v>30424</v>
      </c>
      <c r="AI56" s="220">
        <f>IFERROR(ROUND(VLOOKUP($H$2,'R1年度'!$B$6:$GJ$52,60,0)/1000,0),"-")</f>
        <v>37875</v>
      </c>
      <c r="AJ56" s="220">
        <f>IFERROR(ROUND(VLOOKUP($H$2,'R2年度'!$B$6:$GJ$52,61,0)/1000,0),"-")</f>
        <v>47233</v>
      </c>
      <c r="AK56" s="229">
        <f>IFERROR(ROUND(VLOOKUP($H$2,'R3年度'!$B$6:$GJ$52,61,0)/1000,0),"-")</f>
        <v>71810</v>
      </c>
      <c r="AL56" s="228">
        <f>IFERROR(ROUND(VLOOKUP($H$2,'R4年度'!$B$6:$GJ$52,61,0)/1000,0),"-")</f>
        <v>99908</v>
      </c>
      <c r="AM56" s="220">
        <f>IFERROR(ROUND(VLOOKUP($H$2,'R5年度'!$B$6:$GJ$52,61,0)/1000,0),"-")</f>
        <v>84787</v>
      </c>
      <c r="AN56" s="220">
        <f>IFERROR(ROUND(VLOOKUP($H$2,'R6年度'!$B$6:$GJ$52,61,0)/1000,0),"-")</f>
        <v>69880</v>
      </c>
    </row>
    <row r="57" spans="2:40" ht="15.9" customHeight="1" thickBot="1" x14ac:dyDescent="0.2">
      <c r="B57" s="56"/>
      <c r="C57" s="487" t="s">
        <v>185</v>
      </c>
      <c r="D57" s="488"/>
      <c r="E57" s="215" t="str">
        <f>IFERROR(ROUND(VLOOKUP($H$2,'1年度'!$B$6:$GI$50,60,0)/1000,0),"-")</f>
        <v>-</v>
      </c>
      <c r="F57" s="215" t="str">
        <f>IFERROR(ROUND(VLOOKUP($H$2,'2年度'!$B$6:$GI$50,60,0)/1000,0),"-")</f>
        <v>-</v>
      </c>
      <c r="G57" s="215" t="str">
        <f>IFERROR(ROUND(VLOOKUP($H$2,'3年度'!$B$6:$GI$50,60,0)/1000,0),"-")</f>
        <v>-</v>
      </c>
      <c r="H57" s="215" t="str">
        <f>IFERROR(ROUND(VLOOKUP($H$2,'4年度'!$B$6:$GI$50,60,0)/1000,0),"-")</f>
        <v>-</v>
      </c>
      <c r="I57" s="215" t="str">
        <f>IFERROR(ROUND(VLOOKUP($H$2,'5年度'!$B$6:$GI$50,60,0)/1000,0),"-")</f>
        <v>-</v>
      </c>
      <c r="J57" s="215" t="str">
        <f>IFERROR(ROUND(VLOOKUP($H$2,'6年度'!$B$6:$GI$50,60,0)/1000,0),"-")</f>
        <v>-</v>
      </c>
      <c r="K57" s="215" t="str">
        <f>IFERROR(ROUND(VLOOKUP($H$2,'7年度'!$B$6:$GI$50,60,0)/1000,0),"-")</f>
        <v>-</v>
      </c>
      <c r="L57" s="215" t="str">
        <f>IFERROR(ROUND(VLOOKUP($H$2,'8年度'!$B$6:$GI$50,60,0)/1000,0),"-")</f>
        <v>-</v>
      </c>
      <c r="M57" s="215" t="str">
        <f>IFERROR(ROUND(VLOOKUP($H$2,'9年度'!$B$6:$GI$50,60,0)/1000,0),"-")</f>
        <v>-</v>
      </c>
      <c r="N57" s="215" t="str">
        <f>IFERROR(ROUND(VLOOKUP($H$2,'10年度'!$B$6:$GI$50,60,0)/1000,0),"-")</f>
        <v>-</v>
      </c>
      <c r="O57" s="215" t="str">
        <f>IFERROR(ROUND(VLOOKUP($H$2,'11年度'!$B$6:$GI$50,60,0)/1000,0),"-")</f>
        <v>-</v>
      </c>
      <c r="P57" s="215" t="str">
        <f>IFERROR(ROUND(VLOOKUP($H$2,'12年度'!$B$6:$GI$50,60,0)/1000,0),"-")</f>
        <v>-</v>
      </c>
      <c r="Q57" s="215" t="str">
        <f>IFERROR(ROUND(VLOOKUP($H$2,'13年度'!$B$6:$GI$50,60,0)/1000,0),"-")</f>
        <v>-</v>
      </c>
      <c r="R57" s="215" t="str">
        <f>IFERROR(ROUND(VLOOKUP($H$2,'14年度'!$B$6:$GI$50,60,0)/1000,0),"-")</f>
        <v>-</v>
      </c>
      <c r="S57" s="215" t="str">
        <f>IFERROR(ROUND(VLOOKUP($H$2,'15年度'!$B$6:$GI$50,60,0)/1000,0),"-")</f>
        <v>-</v>
      </c>
      <c r="T57" s="215" t="str">
        <f>IFERROR(ROUND(VLOOKUP($H$2,'16年度'!$B$6:$GI$50,60,0)/1000,0),"-")</f>
        <v>-</v>
      </c>
      <c r="U57" s="215" t="str">
        <f>IFERROR(ROUND(VLOOKUP($H$2,'17年度'!$B$6:$GI$50,60,0)/1000,0),"-")</f>
        <v>-</v>
      </c>
      <c r="V57" s="215" t="str">
        <f>IFERROR(ROUND(VLOOKUP($H$2,'18年度'!$B$6:$GI$50,60,0)/1000,0),"-")</f>
        <v>-</v>
      </c>
      <c r="W57" s="215" t="str">
        <f>IFERROR(ROUND(VLOOKUP($H$2,'19年度'!$B$6:$GI$50,60,0)/1000,0),"-")</f>
        <v>-</v>
      </c>
      <c r="X57" s="216" t="str">
        <f>IFERROR(ROUND(VLOOKUP($H$2,'20年度'!$B$6:$GI$50,60,0)/1000,0),"-")</f>
        <v>-</v>
      </c>
      <c r="Y57" s="216" t="str">
        <f>IFERROR(ROUND(VLOOKUP($H$2,'21年度'!$B$6:$GI$50,60,0)/1000,0),"-")</f>
        <v>-</v>
      </c>
      <c r="Z57" s="216" t="str">
        <f>IFERROR(ROUND(VLOOKUP($H$2,'22年度'!$B$6:$GI$50,60,0)/1000,0),"-")</f>
        <v>-</v>
      </c>
      <c r="AA57" s="216">
        <f>IFERROR(ROUND(VLOOKUP($H$2,'23年度'!$B$6:$GI$52,60,0)/1000,0),"-")</f>
        <v>16671</v>
      </c>
      <c r="AB57" s="215">
        <f>IFERROR(ROUND(VLOOKUP($H$2,'24年度'!$B$6:$GI$52,60,0)/1000,0),"-")</f>
        <v>17182</v>
      </c>
      <c r="AC57" s="217">
        <f>IFERROR(ROUND(VLOOKUP($H$2,'25年度'!$B$6:$GI$52,60,0)/1000,0),"-")</f>
        <v>17578</v>
      </c>
      <c r="AD57" s="215">
        <f>IFERROR(ROUND(VLOOKUP($H$2,'26年度'!$B$6:$GI$52,60,0)/1000,0),"-")</f>
        <v>49618</v>
      </c>
      <c r="AE57" s="215">
        <f>IFERROR(ROUND(VLOOKUP($H$2,'27年度'!$B$6:$GI$52,60,0)/1000,0),"-")</f>
        <v>17380</v>
      </c>
      <c r="AF57" s="215">
        <f>IFERROR(ROUND(VLOOKUP($H$2,'28年度'!$B$6:$GI$52,60,0)/1000,0),"-")</f>
        <v>19525</v>
      </c>
      <c r="AG57" s="217">
        <f>IFERROR(ROUND(VLOOKUP($H$2,'29年度'!$B$6:$GI$52,60,0)/1000,0),"-")</f>
        <v>16492</v>
      </c>
      <c r="AH57" s="216">
        <f>IFERROR(ROUND(VLOOKUP($H$2,'30年度'!$B$6:$GI$52,60,0)/1000,0),"-")</f>
        <v>20645</v>
      </c>
      <c r="AI57" s="215">
        <f>IFERROR(ROUND(VLOOKUP($H$2,'R1年度'!$B$6:$GJ$52,61,0)/1000,0),"-")</f>
        <v>22430</v>
      </c>
      <c r="AJ57" s="215">
        <f>IFERROR(ROUND(VLOOKUP($H$2,'R2年度'!$B$6:$GJ$52,62,0)/1000,0),"-")</f>
        <v>25301</v>
      </c>
      <c r="AK57" s="217">
        <f>IFERROR(ROUND(VLOOKUP($H$2,'R3年度'!$B$6:$GJ$52,62,0)/1000,0),"-")</f>
        <v>36055</v>
      </c>
      <c r="AL57" s="216">
        <f>IFERROR(ROUND(VLOOKUP($H$2,'R4年度'!$B$6:$GJ$52,62,0)/1000,0),"-")</f>
        <v>74194</v>
      </c>
      <c r="AM57" s="215">
        <f>IFERROR(ROUND(VLOOKUP($H$2,'R5年度'!$B$6:$GJ$52,62,0)/1000,0),"-")</f>
        <v>63548</v>
      </c>
      <c r="AN57" s="215">
        <f>IFERROR(ROUND(VLOOKUP($H$2,'R6年度'!$B$6:$GJ$52,62,0)/1000,0),"-")</f>
        <v>50158</v>
      </c>
    </row>
    <row r="58" spans="2:40" ht="15.9" customHeight="1" x14ac:dyDescent="0.15">
      <c r="B58" s="484" t="s">
        <v>186</v>
      </c>
      <c r="C58" s="485"/>
      <c r="D58" s="486"/>
      <c r="E58" s="189" t="str">
        <f>IFERROR(ROUND(VLOOKUP($H$2,'1年度'!$B$6:$GI$50,61,0)/1000,0),"-")</f>
        <v>-</v>
      </c>
      <c r="F58" s="189" t="str">
        <f>IFERROR(ROUND(VLOOKUP($H$2,'2年度'!$B$6:$GI$50,61,0)/1000,0),"-")</f>
        <v>-</v>
      </c>
      <c r="G58" s="189" t="str">
        <f>IFERROR(ROUND(VLOOKUP($H$2,'3年度'!$B$6:$GI$50,61,0)/1000,0),"-")</f>
        <v>-</v>
      </c>
      <c r="H58" s="189" t="str">
        <f>IFERROR(ROUND(VLOOKUP($H$2,'4年度'!$B$6:$GI$50,61,0)/1000,0),"-")</f>
        <v>-</v>
      </c>
      <c r="I58" s="189" t="str">
        <f>IFERROR(ROUND(VLOOKUP($H$2,'5年度'!$B$6:$GI$50,61,0)/1000,0),"-")</f>
        <v>-</v>
      </c>
      <c r="J58" s="189" t="str">
        <f>IFERROR(ROUND(VLOOKUP($H$2,'6年度'!$B$6:$GI$50,61,0)/1000,0),"-")</f>
        <v>-</v>
      </c>
      <c r="K58" s="189" t="str">
        <f>IFERROR(ROUND(VLOOKUP($H$2,'7年度'!$B$6:$GI$50,61,0)/1000,0),"-")</f>
        <v>-</v>
      </c>
      <c r="L58" s="189" t="str">
        <f>IFERROR(ROUND(VLOOKUP($H$2,'8年度'!$B$6:$GI$50,61,0)/1000,0),"-")</f>
        <v>-</v>
      </c>
      <c r="M58" s="189" t="str">
        <f>IFERROR(ROUND(VLOOKUP($H$2,'9年度'!$B$6:$GI$50,61,0)/1000,0),"-")</f>
        <v>-</v>
      </c>
      <c r="N58" s="189" t="str">
        <f>IFERROR(ROUND(VLOOKUP($H$2,'10年度'!$B$6:$GI$50,61,0)/1000,0),"-")</f>
        <v>-</v>
      </c>
      <c r="O58" s="189" t="str">
        <f>IFERROR(ROUND(VLOOKUP($H$2,'11年度'!$B$6:$GI$50,61,0)/1000,0),"-")</f>
        <v>-</v>
      </c>
      <c r="P58" s="189" t="str">
        <f>IFERROR(ROUND(VLOOKUP($H$2,'12年度'!$B$6:$GI$50,61,0)/1000,0),"-")</f>
        <v>-</v>
      </c>
      <c r="Q58" s="189" t="str">
        <f>IFERROR(ROUND(VLOOKUP($H$2,'13年度'!$B$6:$GI$50,61,0)/1000,0),"-")</f>
        <v>-</v>
      </c>
      <c r="R58" s="189" t="str">
        <f>IFERROR(ROUND(VLOOKUP($H$2,'14年度'!$B$6:$GI$50,61,0)/1000,0),"-")</f>
        <v>-</v>
      </c>
      <c r="S58" s="189" t="str">
        <f>IFERROR(ROUND(VLOOKUP($H$2,'15年度'!$B$6:$GI$50,61,0)/1000,0),"-")</f>
        <v>-</v>
      </c>
      <c r="T58" s="189" t="str">
        <f>IFERROR(ROUND(VLOOKUP($H$2,'16年度'!$B$6:$GI$50,61,0)/1000,0),"-")</f>
        <v>-</v>
      </c>
      <c r="U58" s="189" t="str">
        <f>IFERROR(ROUND(VLOOKUP($H$2,'17年度'!$B$6:$GI$50,61,0)/1000,0),"-")</f>
        <v>-</v>
      </c>
      <c r="V58" s="189" t="str">
        <f>IFERROR(ROUND(VLOOKUP($H$2,'18年度'!$B$6:$GI$50,61,0)/1000,0),"-")</f>
        <v>-</v>
      </c>
      <c r="W58" s="175" t="str">
        <f>IFERROR(ROUND(VLOOKUP($H$2,'19年度'!$B$6:$GI$50,61,0)/1000,0),"-")</f>
        <v>-</v>
      </c>
      <c r="X58" s="176" t="str">
        <f>IFERROR(ROUND(VLOOKUP($H$2,'20年度'!$B$6:$GI$50,61,0)/1000,0),"-")</f>
        <v>-</v>
      </c>
      <c r="Y58" s="176" t="str">
        <f>IFERROR(ROUND(VLOOKUP($H$2,'21年度'!$B$6:$GI$50,61,0)/1000,0),"-")</f>
        <v>-</v>
      </c>
      <c r="Z58" s="176" t="str">
        <f>IFERROR(ROUND(VLOOKUP($H$2,'22年度'!$B$6:$GI$50,61,0)/1000,0),"-")</f>
        <v>-</v>
      </c>
      <c r="AA58" s="176">
        <f>IFERROR(ROUND(VLOOKUP($H$2,'23年度'!$B$6:$GI$52,61,0)/1000,0),"-")</f>
        <v>256215</v>
      </c>
      <c r="AB58" s="175">
        <f>IFERROR(ROUND(VLOOKUP($H$2,'24年度'!$B$6:$GI$52,61,0)/1000,0),"-")</f>
        <v>248855</v>
      </c>
      <c r="AC58" s="177">
        <f>IFERROR(ROUND(VLOOKUP($H$2,'25年度'!$B$6:$GI$52,61,0)/1000,0),"-")</f>
        <v>242204</v>
      </c>
      <c r="AD58" s="175">
        <f>IFERROR(ROUND(VLOOKUP($H$2,'26年度'!$B$6:$GI$52,61,0)/1000,0),"-")</f>
        <v>219891</v>
      </c>
      <c r="AE58" s="175">
        <f>IFERROR(ROUND(VLOOKUP($H$2,'27年度'!$B$6:$GI$52,61,0)/1000,0),"-")</f>
        <v>213559</v>
      </c>
      <c r="AF58" s="175">
        <f>IFERROR(ROUND(VLOOKUP($H$2,'28年度'!$B$6:$GI$52,61,0)/1000,0),"-")</f>
        <v>183507</v>
      </c>
      <c r="AG58" s="177">
        <f>IFERROR(ROUND(VLOOKUP($H$2,'29年度'!$B$6:$GI$52,61,0)/1000,0),"-")</f>
        <v>184288</v>
      </c>
      <c r="AH58" s="176">
        <f>IFERROR(ROUND(VLOOKUP($H$2,'30年度'!$B$6:$GI$52,61,0)/1000,0),"-")</f>
        <v>182120</v>
      </c>
      <c r="AI58" s="175">
        <f>IFERROR(ROUND(VLOOKUP($H$2,'R1年度'!$B$6:$GJ$52,62,0)/1000,0),"-")</f>
        <v>185736</v>
      </c>
      <c r="AJ58" s="175">
        <f>IFERROR(ROUND(VLOOKUP($H$2,'R2年度'!$B$6:$GJ$52,63,0)/1000,0),"-")</f>
        <v>104281</v>
      </c>
      <c r="AK58" s="177">
        <f>IFERROR(ROUND(VLOOKUP($H$2,'R3年度'!$B$6:$GJ$52,63,0)/1000,0),"-")</f>
        <v>115280</v>
      </c>
      <c r="AL58" s="176">
        <f>IFERROR(ROUND(VLOOKUP($H$2,'R4年度'!$B$6:$GJ$52,63,0)/1000,0),"-")</f>
        <v>120136</v>
      </c>
      <c r="AM58" s="175">
        <f>IFERROR(ROUND(VLOOKUP($H$2,'R5年度'!$B$6:$GJ$52,63,0)/1000,0),"-")</f>
        <v>118260</v>
      </c>
      <c r="AN58" s="175">
        <f>IFERROR(ROUND(VLOOKUP($H$2,'R6年度'!$B$6:$GJ$52,63,0)/1000,0),"-")</f>
        <v>165528</v>
      </c>
    </row>
    <row r="59" spans="2:40" ht="15.9" customHeight="1" x14ac:dyDescent="0.15">
      <c r="B59" s="54"/>
      <c r="C59" s="478" t="s">
        <v>187</v>
      </c>
      <c r="D59" s="479"/>
      <c r="E59" s="202" t="str">
        <f>IFERROR(ROUND(VLOOKUP($H$2,'1年度'!$B$6:$GI$50,62,0)/1000,0),"-")</f>
        <v>-</v>
      </c>
      <c r="F59" s="202" t="str">
        <f>IFERROR(ROUND(VLOOKUP($H$2,'2年度'!$B$6:$GI$50,62,0)/1000,0),"-")</f>
        <v>-</v>
      </c>
      <c r="G59" s="202" t="str">
        <f>IFERROR(ROUND(VLOOKUP($H$2,'3年度'!$B$6:$GI$50,62,0)/1000,0),"-")</f>
        <v>-</v>
      </c>
      <c r="H59" s="202" t="str">
        <f>IFERROR(ROUND(VLOOKUP($H$2,'4年度'!$B$6:$GI$50,62,0)/1000,0),"-")</f>
        <v>-</v>
      </c>
      <c r="I59" s="202" t="str">
        <f>IFERROR(ROUND(VLOOKUP($H$2,'5年度'!$B$6:$GI$50,62,0)/1000,0),"-")</f>
        <v>-</v>
      </c>
      <c r="J59" s="202" t="str">
        <f>IFERROR(ROUND(VLOOKUP($H$2,'6年度'!$B$6:$GI$50,62,0)/1000,0),"-")</f>
        <v>-</v>
      </c>
      <c r="K59" s="202" t="str">
        <f>IFERROR(ROUND(VLOOKUP($H$2,'7年度'!$B$6:$GI$50,62,0)/1000,0),"-")</f>
        <v>-</v>
      </c>
      <c r="L59" s="202" t="str">
        <f>IFERROR(ROUND(VLOOKUP($H$2,'8年度'!$B$6:$GI$50,62,0)/1000,0),"-")</f>
        <v>-</v>
      </c>
      <c r="M59" s="202" t="str">
        <f>IFERROR(ROUND(VLOOKUP($H$2,'9年度'!$B$6:$GI$50,62,0)/1000,0),"-")</f>
        <v>-</v>
      </c>
      <c r="N59" s="202" t="str">
        <f>IFERROR(ROUND(VLOOKUP($H$2,'10年度'!$B$6:$GI$50,62,0)/1000,0),"-")</f>
        <v>-</v>
      </c>
      <c r="O59" s="202" t="str">
        <f>IFERROR(ROUND(VLOOKUP($H$2,'11年度'!$B$6:$GI$50,62,0)/1000,0),"-")</f>
        <v>-</v>
      </c>
      <c r="P59" s="202" t="str">
        <f>IFERROR(ROUND(VLOOKUP($H$2,'12年度'!$B$6:$GI$50,62,0)/1000,0),"-")</f>
        <v>-</v>
      </c>
      <c r="Q59" s="202" t="str">
        <f>IFERROR(ROUND(VLOOKUP($H$2,'13年度'!$B$6:$GI$50,62,0)/1000,0),"-")</f>
        <v>-</v>
      </c>
      <c r="R59" s="202" t="str">
        <f>IFERROR(ROUND(VLOOKUP($H$2,'14年度'!$B$6:$GI$50,62,0)/1000,0),"-")</f>
        <v>-</v>
      </c>
      <c r="S59" s="202" t="str">
        <f>IFERROR(ROUND(VLOOKUP($H$2,'15年度'!$B$6:$GI$50,62,0)/1000,0),"-")</f>
        <v>-</v>
      </c>
      <c r="T59" s="202" t="str">
        <f>IFERROR(ROUND(VLOOKUP($H$2,'16年度'!$B$6:$GI$50,62,0)/1000,0),"-")</f>
        <v>-</v>
      </c>
      <c r="U59" s="202" t="str">
        <f>IFERROR(ROUND(VLOOKUP($H$2,'17年度'!$B$6:$GI$50,62,0)/1000,0),"-")</f>
        <v>-</v>
      </c>
      <c r="V59" s="202" t="str">
        <f>IFERROR(ROUND(VLOOKUP($H$2,'18年度'!$B$6:$GI$50,62,0)/1000,0),"-")</f>
        <v>-</v>
      </c>
      <c r="W59" s="202" t="str">
        <f>IFERROR(ROUND(VLOOKUP($H$2,'19年度'!$B$6:$GI$50,62,0)/1000,0),"-")</f>
        <v>-</v>
      </c>
      <c r="X59" s="203" t="str">
        <f>IFERROR(ROUND(VLOOKUP($H$2,'20年度'!$B$6:$GI$50,62,0)/1000,0),"-")</f>
        <v>-</v>
      </c>
      <c r="Y59" s="203" t="str">
        <f>IFERROR(ROUND(VLOOKUP($H$2,'21年度'!$B$6:$GI$50,62,0)/1000,0),"-")</f>
        <v>-</v>
      </c>
      <c r="Z59" s="203" t="str">
        <f>IFERROR(ROUND(VLOOKUP($H$2,'22年度'!$B$6:$GI$50,62,0)/1000,0),"-")</f>
        <v>-</v>
      </c>
      <c r="AA59" s="203">
        <f>IFERROR(ROUND(VLOOKUP($H$2,'23年度'!$B$6:$GI$52,62,0)/1000,0),"-")</f>
        <v>155529</v>
      </c>
      <c r="AB59" s="202">
        <f>IFERROR(ROUND(VLOOKUP($H$2,'24年度'!$B$6:$GI$52,62,0)/1000,0),"-")</f>
        <v>147795</v>
      </c>
      <c r="AC59" s="204">
        <f>IFERROR(ROUND(VLOOKUP($H$2,'25年度'!$B$6:$GI$52,62,0)/1000,0),"-")</f>
        <v>131211</v>
      </c>
      <c r="AD59" s="202">
        <f>IFERROR(ROUND(VLOOKUP($H$2,'26年度'!$B$6:$GI$52,62,0)/1000,0),"-")</f>
        <v>117945</v>
      </c>
      <c r="AE59" s="202">
        <f>IFERROR(ROUND(VLOOKUP($H$2,'27年度'!$B$6:$GI$52,62,0)/1000,0),"-")</f>
        <v>104855</v>
      </c>
      <c r="AF59" s="202">
        <f>IFERROR(ROUND(VLOOKUP($H$2,'28年度'!$B$6:$GI$52,62,0)/1000,0),"-")</f>
        <v>94646</v>
      </c>
      <c r="AG59" s="204">
        <f>IFERROR(ROUND(VLOOKUP($H$2,'29年度'!$B$6:$GI$52,62,0)/1000,0),"-")</f>
        <v>92881</v>
      </c>
      <c r="AH59" s="203">
        <f>IFERROR(ROUND(VLOOKUP($H$2,'30年度'!$B$6:$GI$52,62,0)/1000,0),"-")</f>
        <v>91496</v>
      </c>
      <c r="AI59" s="202">
        <f>IFERROR(ROUND(VLOOKUP($H$2,'R1年度'!$B$6:$GJ$52,63,0)/1000,0),"-")</f>
        <v>94500</v>
      </c>
      <c r="AJ59" s="202">
        <f>IFERROR(ROUND(VLOOKUP($H$2,'R2年度'!$B$6:$GJ$52,64,0)/1000,0),"-")</f>
        <v>21787</v>
      </c>
      <c r="AK59" s="204">
        <f>IFERROR(ROUND(VLOOKUP($H$2,'R3年度'!$B$6:$GJ$52,64,0)/1000,0),"-")</f>
        <v>16486</v>
      </c>
      <c r="AL59" s="203">
        <f>IFERROR(ROUND(VLOOKUP($H$2,'R4年度'!$B$6:$GJ$52,64,0)/1000,0),"-")</f>
        <v>15715</v>
      </c>
      <c r="AM59" s="202">
        <f>IFERROR(ROUND(VLOOKUP($H$2,'R5年度'!$B$6:$GJ$52,64,0)/1000,0),"-")</f>
        <v>13625</v>
      </c>
      <c r="AN59" s="202">
        <f>IFERROR(ROUND(VLOOKUP($H$2,'R6年度'!$B$6:$GJ$52,64,0)/1000,0),"-")</f>
        <v>25367</v>
      </c>
    </row>
    <row r="60" spans="2:40" ht="15.9" customHeight="1" x14ac:dyDescent="0.15">
      <c r="B60" s="54"/>
      <c r="C60" s="478" t="s">
        <v>188</v>
      </c>
      <c r="D60" s="479"/>
      <c r="E60" s="202" t="str">
        <f>IFERROR(ROUND(VLOOKUP($H$2,'1年度'!$B$6:$GI$50,63,0)/1000,0),"-")</f>
        <v>-</v>
      </c>
      <c r="F60" s="202" t="str">
        <f>IFERROR(ROUND(VLOOKUP($H$2,'2年度'!$B$6:$GI$50,63,0)/1000,0),"-")</f>
        <v>-</v>
      </c>
      <c r="G60" s="202" t="str">
        <f>IFERROR(ROUND(VLOOKUP($H$2,'3年度'!$B$6:$GI$50,63,0)/1000,0),"-")</f>
        <v>-</v>
      </c>
      <c r="H60" s="202" t="str">
        <f>IFERROR(ROUND(VLOOKUP($H$2,'4年度'!$B$6:$GI$50,63,0)/1000,0),"-")</f>
        <v>-</v>
      </c>
      <c r="I60" s="202" t="str">
        <f>IFERROR(ROUND(VLOOKUP($H$2,'5年度'!$B$6:$GI$50,63,0)/1000,0),"-")</f>
        <v>-</v>
      </c>
      <c r="J60" s="202" t="str">
        <f>IFERROR(ROUND(VLOOKUP($H$2,'6年度'!$B$6:$GI$50,63,0)/1000,0),"-")</f>
        <v>-</v>
      </c>
      <c r="K60" s="202" t="str">
        <f>IFERROR(ROUND(VLOOKUP($H$2,'7年度'!$B$6:$GI$50,63,0)/1000,0),"-")</f>
        <v>-</v>
      </c>
      <c r="L60" s="202" t="str">
        <f>IFERROR(ROUND(VLOOKUP($H$2,'8年度'!$B$6:$GI$50,63,0)/1000,0),"-")</f>
        <v>-</v>
      </c>
      <c r="M60" s="202" t="str">
        <f>IFERROR(ROUND(VLOOKUP($H$2,'9年度'!$B$6:$GI$50,63,0)/1000,0),"-")</f>
        <v>-</v>
      </c>
      <c r="N60" s="202" t="str">
        <f>IFERROR(ROUND(VLOOKUP($H$2,'10年度'!$B$6:$GI$50,63,0)/1000,0),"-")</f>
        <v>-</v>
      </c>
      <c r="O60" s="202" t="str">
        <f>IFERROR(ROUND(VLOOKUP($H$2,'11年度'!$B$6:$GI$50,63,0)/1000,0),"-")</f>
        <v>-</v>
      </c>
      <c r="P60" s="202" t="str">
        <f>IFERROR(ROUND(VLOOKUP($H$2,'12年度'!$B$6:$GI$50,63,0)/1000,0),"-")</f>
        <v>-</v>
      </c>
      <c r="Q60" s="202" t="str">
        <f>IFERROR(ROUND(VLOOKUP($H$2,'13年度'!$B$6:$GI$50,63,0)/1000,0),"-")</f>
        <v>-</v>
      </c>
      <c r="R60" s="202" t="str">
        <f>IFERROR(ROUND(VLOOKUP($H$2,'14年度'!$B$6:$GI$50,63,0)/1000,0),"-")</f>
        <v>-</v>
      </c>
      <c r="S60" s="202" t="str">
        <f>IFERROR(ROUND(VLOOKUP($H$2,'15年度'!$B$6:$GI$50,63,0)/1000,0),"-")</f>
        <v>-</v>
      </c>
      <c r="T60" s="202" t="str">
        <f>IFERROR(ROUND(VLOOKUP($H$2,'16年度'!$B$6:$GI$50,63,0)/1000,0),"-")</f>
        <v>-</v>
      </c>
      <c r="U60" s="202" t="str">
        <f>IFERROR(ROUND(VLOOKUP($H$2,'17年度'!$B$6:$GI$50,63,0)/1000,0),"-")</f>
        <v>-</v>
      </c>
      <c r="V60" s="202" t="str">
        <f>IFERROR(ROUND(VLOOKUP($H$2,'18年度'!$B$6:$GI$50,63,0)/1000,0),"-")</f>
        <v>-</v>
      </c>
      <c r="W60" s="202" t="str">
        <f>IFERROR(ROUND(VLOOKUP($H$2,'19年度'!$B$6:$GI$50,63,0)/1000,0),"-")</f>
        <v>-</v>
      </c>
      <c r="X60" s="203" t="str">
        <f>IFERROR(ROUND(VLOOKUP($H$2,'20年度'!$B$6:$GI$50,63,0)/1000,0),"-")</f>
        <v>-</v>
      </c>
      <c r="Y60" s="203" t="str">
        <f>IFERROR(ROUND(VLOOKUP($H$2,'21年度'!$B$6:$GI$50,63,0)/1000,0),"-")</f>
        <v>-</v>
      </c>
      <c r="Z60" s="203" t="str">
        <f>IFERROR(ROUND(VLOOKUP($H$2,'22年度'!$B$6:$GI$50,63,0)/1000,0),"-")</f>
        <v>-</v>
      </c>
      <c r="AA60" s="203">
        <f>IFERROR(ROUND(VLOOKUP($H$2,'23年度'!$B$6:$GI$52,63,0)/1000,0),"-")</f>
        <v>819</v>
      </c>
      <c r="AB60" s="202">
        <f>IFERROR(ROUND(VLOOKUP($H$2,'24年度'!$B$6:$GI$52,63,0)/1000,0),"-")</f>
        <v>1003</v>
      </c>
      <c r="AC60" s="204">
        <f>IFERROR(ROUND(VLOOKUP($H$2,'25年度'!$B$6:$GI$52,63,0)/1000,0),"-")</f>
        <v>690</v>
      </c>
      <c r="AD60" s="202">
        <f>IFERROR(ROUND(VLOOKUP($H$2,'26年度'!$B$6:$GI$52,63,0)/1000,0),"-")</f>
        <v>594</v>
      </c>
      <c r="AE60" s="202">
        <f>IFERROR(ROUND(VLOOKUP($H$2,'27年度'!$B$6:$GI$52,63,0)/1000,0),"-")</f>
        <v>687</v>
      </c>
      <c r="AF60" s="202">
        <f>IFERROR(ROUND(VLOOKUP($H$2,'28年度'!$B$6:$GI$52,63,0)/1000,0),"-")</f>
        <v>735</v>
      </c>
      <c r="AG60" s="204">
        <f>IFERROR(ROUND(VLOOKUP($H$2,'29年度'!$B$6:$GI$52,63,0)/1000,0),"-")</f>
        <v>879</v>
      </c>
      <c r="AH60" s="203">
        <f>IFERROR(ROUND(VLOOKUP($H$2,'30年度'!$B$6:$GI$52,63,0)/1000,0),"-")</f>
        <v>742</v>
      </c>
      <c r="AI60" s="202">
        <f>IFERROR(ROUND(VLOOKUP($H$2,'R1年度'!$B$6:$GJ$52,64,0)/1000,0),"-")</f>
        <v>639</v>
      </c>
      <c r="AJ60" s="202">
        <f>IFERROR(ROUND(VLOOKUP($H$2,'R2年度'!$B$6:$GJ$52,65,0)/1000,0),"-")</f>
        <v>568</v>
      </c>
      <c r="AK60" s="204">
        <f>IFERROR(ROUND(VLOOKUP($H$2,'R3年度'!$B$6:$GJ$52,65,0)/1000,0),"-")</f>
        <v>593</v>
      </c>
      <c r="AL60" s="203">
        <f>IFERROR(ROUND(VLOOKUP($H$2,'R4年度'!$B$6:$GJ$52,65,0)/1000,0),"-")</f>
        <v>927</v>
      </c>
      <c r="AM60" s="202">
        <f>IFERROR(ROUND(VLOOKUP($H$2,'R5年度'!$B$6:$GJ$52,65,0)/1000,0),"-")</f>
        <v>1165</v>
      </c>
      <c r="AN60" s="202">
        <f>IFERROR(ROUND(VLOOKUP($H$2,'R6年度'!$B$6:$GJ$52,65,0)/1000,0),"-")</f>
        <v>1088</v>
      </c>
    </row>
    <row r="61" spans="2:40" ht="15.9" customHeight="1" thickBot="1" x14ac:dyDescent="0.2">
      <c r="B61" s="56"/>
      <c r="C61" s="487" t="s">
        <v>189</v>
      </c>
      <c r="D61" s="488"/>
      <c r="E61" s="179" t="str">
        <f>IFERROR(ROUND(VLOOKUP($H$2,'1年度'!$B$6:$GI$50,64,0)/1000,0),"-")</f>
        <v>-</v>
      </c>
      <c r="F61" s="179" t="str">
        <f>IFERROR(ROUND(VLOOKUP($H$2,'2年度'!$B$6:$GI$50,64,0)/1000,0),"-")</f>
        <v>-</v>
      </c>
      <c r="G61" s="179" t="str">
        <f>IFERROR(ROUND(VLOOKUP($H$2,'3年度'!$B$6:$GI$50,64,0)/1000,0),"-")</f>
        <v>-</v>
      </c>
      <c r="H61" s="179" t="str">
        <f>IFERROR(ROUND(VLOOKUP($H$2,'4年度'!$B$6:$GI$50,64,0)/1000,0),"-")</f>
        <v>-</v>
      </c>
      <c r="I61" s="179" t="str">
        <f>IFERROR(ROUND(VLOOKUP($H$2,'5年度'!$B$6:$GI$50,64,0)/1000,0),"-")</f>
        <v>-</v>
      </c>
      <c r="J61" s="179" t="str">
        <f>IFERROR(ROUND(VLOOKUP($H$2,'6年度'!$B$6:$GI$50,64,0)/1000,0),"-")</f>
        <v>-</v>
      </c>
      <c r="K61" s="179" t="str">
        <f>IFERROR(ROUND(VLOOKUP($H$2,'7年度'!$B$6:$GI$50,64,0)/1000,0),"-")</f>
        <v>-</v>
      </c>
      <c r="L61" s="179" t="str">
        <f>IFERROR(ROUND(VLOOKUP($H$2,'8年度'!$B$6:$GI$50,64,0)/1000,0),"-")</f>
        <v>-</v>
      </c>
      <c r="M61" s="179" t="str">
        <f>IFERROR(ROUND(VLOOKUP($H$2,'9年度'!$B$6:$GI$50,64,0)/1000,0),"-")</f>
        <v>-</v>
      </c>
      <c r="N61" s="179" t="str">
        <f>IFERROR(ROUND(VLOOKUP($H$2,'10年度'!$B$6:$GI$50,64,0)/1000,0),"-")</f>
        <v>-</v>
      </c>
      <c r="O61" s="179" t="str">
        <f>IFERROR(ROUND(VLOOKUP($H$2,'11年度'!$B$6:$GI$50,64,0)/1000,0),"-")</f>
        <v>-</v>
      </c>
      <c r="P61" s="179" t="str">
        <f>IFERROR(ROUND(VLOOKUP($H$2,'12年度'!$B$6:$GI$50,64,0)/1000,0),"-")</f>
        <v>-</v>
      </c>
      <c r="Q61" s="179" t="str">
        <f>IFERROR(ROUND(VLOOKUP($H$2,'13年度'!$B$6:$GI$50,64,0)/1000,0),"-")</f>
        <v>-</v>
      </c>
      <c r="R61" s="179" t="str">
        <f>IFERROR(ROUND(VLOOKUP($H$2,'14年度'!$B$6:$GI$50,64,0)/1000,0),"-")</f>
        <v>-</v>
      </c>
      <c r="S61" s="179" t="str">
        <f>IFERROR(ROUND(VLOOKUP($H$2,'15年度'!$B$6:$GI$50,64,0)/1000,0),"-")</f>
        <v>-</v>
      </c>
      <c r="T61" s="179" t="str">
        <f>IFERROR(ROUND(VLOOKUP($H$2,'16年度'!$B$6:$GI$50,64,0)/1000,0),"-")</f>
        <v>-</v>
      </c>
      <c r="U61" s="179" t="str">
        <f>IFERROR(ROUND(VLOOKUP($H$2,'17年度'!$B$6:$GI$50,64,0)/1000,0),"-")</f>
        <v>-</v>
      </c>
      <c r="V61" s="179" t="str">
        <f>IFERROR(ROUND(VLOOKUP($H$2,'18年度'!$B$6:$GI$50,64,0)/1000,0),"-")</f>
        <v>-</v>
      </c>
      <c r="W61" s="215" t="str">
        <f>IFERROR(ROUND(VLOOKUP($H$2,'19年度'!$B$6:$GI$50,64,0)/1000,0),"-")</f>
        <v>-</v>
      </c>
      <c r="X61" s="216" t="str">
        <f>IFERROR(ROUND(VLOOKUP($H$2,'20年度'!$B$6:$GI$50,64,0)/1000,0),"-")</f>
        <v>-</v>
      </c>
      <c r="Y61" s="216" t="str">
        <f>IFERROR(ROUND(VLOOKUP($H$2,'21年度'!$B$6:$GI$50,64,0)/1000,0),"-")</f>
        <v>-</v>
      </c>
      <c r="Z61" s="216" t="str">
        <f>IFERROR(ROUND(VLOOKUP($H$2,'22年度'!$B$6:$GI$50,64,0)/1000,0),"-")</f>
        <v>-</v>
      </c>
      <c r="AA61" s="216">
        <f>IFERROR(ROUND(VLOOKUP($H$2,'23年度'!$B$6:$GI$52,64,0)/1000,0),"-")</f>
        <v>18259</v>
      </c>
      <c r="AB61" s="215">
        <f>IFERROR(ROUND(VLOOKUP($H$2,'24年度'!$B$6:$GI$52,64,0)/1000,0),"-")</f>
        <v>17624</v>
      </c>
      <c r="AC61" s="217">
        <f>IFERROR(ROUND(VLOOKUP($H$2,'25年度'!$B$6:$GI$52,64,0)/1000,0),"-")</f>
        <v>20649</v>
      </c>
      <c r="AD61" s="215">
        <f>IFERROR(ROUND(VLOOKUP($H$2,'26年度'!$B$6:$GI$52,64,0)/1000,0),"-")</f>
        <v>17834</v>
      </c>
      <c r="AE61" s="215">
        <f>IFERROR(ROUND(VLOOKUP($H$2,'27年度'!$B$6:$GI$52,64,0)/1000,0),"-")</f>
        <v>15891</v>
      </c>
      <c r="AF61" s="215">
        <f>IFERROR(ROUND(VLOOKUP($H$2,'28年度'!$B$6:$GI$52,64,0)/1000,0),"-")</f>
        <v>14138</v>
      </c>
      <c r="AG61" s="217">
        <f>IFERROR(ROUND(VLOOKUP($H$2,'29年度'!$B$6:$GI$52,64,0)/1000,0),"-")</f>
        <v>13305</v>
      </c>
      <c r="AH61" s="216">
        <f>IFERROR(ROUND(VLOOKUP($H$2,'30年度'!$B$6:$GI$52,64,0)/1000,0),"-")</f>
        <v>13483</v>
      </c>
      <c r="AI61" s="215">
        <f>IFERROR(ROUND(VLOOKUP($H$2,'R1年度'!$B$6:$GJ$52,65,0)/1000,0),"-")</f>
        <v>16016</v>
      </c>
      <c r="AJ61" s="215">
        <f>IFERROR(ROUND(VLOOKUP($H$2,'R2年度'!$B$6:$GJ$52,66,0)/1000,0),"-")</f>
        <v>16869</v>
      </c>
      <c r="AK61" s="217">
        <f>IFERROR(ROUND(VLOOKUP($H$2,'R3年度'!$B$6:$GJ$52,66,0)/1000,0),"-")</f>
        <v>22353</v>
      </c>
      <c r="AL61" s="216">
        <f>IFERROR(ROUND(VLOOKUP($H$2,'R4年度'!$B$6:$GJ$52,66,0)/1000,0),"-")</f>
        <v>22280</v>
      </c>
      <c r="AM61" s="215">
        <f>IFERROR(ROUND(VLOOKUP($H$2,'R5年度'!$B$6:$GJ$52,66,0)/1000,0),"-")</f>
        <v>25039</v>
      </c>
      <c r="AN61" s="215">
        <f>IFERROR(ROUND(VLOOKUP($H$2,'R6年度'!$B$6:$GJ$52,66,0)/1000,0),"-")</f>
        <v>22434</v>
      </c>
    </row>
    <row r="62" spans="2:40" ht="15.9" customHeight="1" x14ac:dyDescent="0.15">
      <c r="B62" s="484" t="s">
        <v>190</v>
      </c>
      <c r="C62" s="485"/>
      <c r="D62" s="486"/>
      <c r="E62" s="175" t="str">
        <f>IFERROR(ROUND(VLOOKUP($H$2,'1年度'!$B$6:$GI$50,65,0)/1000,0),"-")</f>
        <v>-</v>
      </c>
      <c r="F62" s="175" t="str">
        <f>IFERROR(ROUND(VLOOKUP($H$2,'2年度'!$B$6:$GI$50,65,0)/1000,0),"-")</f>
        <v>-</v>
      </c>
      <c r="G62" s="175" t="str">
        <f>IFERROR(ROUND(VLOOKUP($H$2,'3年度'!$B$6:$GI$50,65,0)/1000,0),"-")</f>
        <v>-</v>
      </c>
      <c r="H62" s="175" t="str">
        <f>IFERROR(ROUND(VLOOKUP($H$2,'4年度'!$B$6:$GI$50,65,0)/1000,0),"-")</f>
        <v>-</v>
      </c>
      <c r="I62" s="175" t="str">
        <f>IFERROR(ROUND(VLOOKUP($H$2,'5年度'!$B$6:$GI$50,65,0)/1000,0),"-")</f>
        <v>-</v>
      </c>
      <c r="J62" s="175" t="str">
        <f>IFERROR(ROUND(VLOOKUP($H$2,'6年度'!$B$6:$GI$50,65,0)/1000,0),"-")</f>
        <v>-</v>
      </c>
      <c r="K62" s="175" t="str">
        <f>IFERROR(ROUND(VLOOKUP($H$2,'7年度'!$B$6:$GI$50,65,0)/1000,0),"-")</f>
        <v>-</v>
      </c>
      <c r="L62" s="175" t="str">
        <f>IFERROR(ROUND(VLOOKUP($H$2,'8年度'!$B$6:$GI$50,65,0)/1000,0),"-")</f>
        <v>-</v>
      </c>
      <c r="M62" s="175" t="str">
        <f>IFERROR(ROUND(VLOOKUP($H$2,'9年度'!$B$6:$GI$50,65,0)/1000,0),"-")</f>
        <v>-</v>
      </c>
      <c r="N62" s="175" t="str">
        <f>IFERROR(ROUND(VLOOKUP($H$2,'10年度'!$B$6:$GI$50,65,0)/1000,0),"-")</f>
        <v>-</v>
      </c>
      <c r="O62" s="175" t="str">
        <f>IFERROR(ROUND(VLOOKUP($H$2,'11年度'!$B$6:$GI$50,65,0)/1000,0),"-")</f>
        <v>-</v>
      </c>
      <c r="P62" s="175" t="str">
        <f>IFERROR(ROUND(VLOOKUP($H$2,'12年度'!$B$6:$GI$50,65,0)/1000,0),"-")</f>
        <v>-</v>
      </c>
      <c r="Q62" s="175" t="str">
        <f>IFERROR(ROUND(VLOOKUP($H$2,'13年度'!$B$6:$GI$50,65,0)/1000,0),"-")</f>
        <v>-</v>
      </c>
      <c r="R62" s="175" t="str">
        <f>IFERROR(ROUND(VLOOKUP($H$2,'14年度'!$B$6:$GI$50,65,0)/1000,0),"-")</f>
        <v>-</v>
      </c>
      <c r="S62" s="175" t="str">
        <f>IFERROR(ROUND(VLOOKUP($H$2,'15年度'!$B$6:$GI$50,65,0)/1000,0),"-")</f>
        <v>-</v>
      </c>
      <c r="T62" s="175" t="str">
        <f>IFERROR(ROUND(VLOOKUP($H$2,'16年度'!$B$6:$GI$50,65,0)/1000,0),"-")</f>
        <v>-</v>
      </c>
      <c r="U62" s="175" t="str">
        <f>IFERROR(ROUND(VLOOKUP($H$2,'17年度'!$B$6:$GI$50,65,0)/1000,0),"-")</f>
        <v>-</v>
      </c>
      <c r="V62" s="175" t="str">
        <f>IFERROR(ROUND(VLOOKUP($H$2,'18年度'!$B$6:$GI$50,65,0)/1000,0),"-")</f>
        <v>-</v>
      </c>
      <c r="W62" s="175" t="str">
        <f>IFERROR(ROUND(VLOOKUP($H$2,'19年度'!$B$6:$GI$50,65,0)/1000,0),"-")</f>
        <v>-</v>
      </c>
      <c r="X62" s="176" t="str">
        <f>IFERROR(ROUND(VLOOKUP($H$2,'20年度'!$B$6:$GI$50,65,0)/1000,0),"-")</f>
        <v>-</v>
      </c>
      <c r="Y62" s="176" t="str">
        <f>IFERROR(ROUND(VLOOKUP($H$2,'21年度'!$B$6:$GI$50,65,0)/1000,0),"-")</f>
        <v>-</v>
      </c>
      <c r="Z62" s="176" t="str">
        <f>IFERROR(ROUND(VLOOKUP($H$2,'22年度'!$B$6:$GI$50,65,0)/1000,0),"-")</f>
        <v>-</v>
      </c>
      <c r="AA62" s="176">
        <f>IFERROR(ROUND(VLOOKUP($H$2,'23年度'!$B$6:$GI$52,65,0)/1000,0),"-")</f>
        <v>350629</v>
      </c>
      <c r="AB62" s="175">
        <f>IFERROR(ROUND(VLOOKUP($H$2,'24年度'!$B$6:$GI$52,65,0)/1000,0),"-")</f>
        <v>336437</v>
      </c>
      <c r="AC62" s="177">
        <f>IFERROR(ROUND(VLOOKUP($H$2,'25年度'!$B$6:$GI$52,65,0)/1000,0),"-")</f>
        <v>382063</v>
      </c>
      <c r="AD62" s="176">
        <f>IFERROR(ROUND(VLOOKUP($H$2,'26年度'!$B$6:$GI$52,65,0)/1000,0),"-")</f>
        <v>326591</v>
      </c>
      <c r="AE62" s="175">
        <f>IFERROR(ROUND(VLOOKUP($H$2,'27年度'!$B$6:$GI$52,65,0)/1000,0),"-")</f>
        <v>296681</v>
      </c>
      <c r="AF62" s="175">
        <f>IFERROR(ROUND(VLOOKUP($H$2,'28年度'!$B$6:$GI$52,65,0)/1000,0),"-")</f>
        <v>267761</v>
      </c>
      <c r="AG62" s="177">
        <f>IFERROR(ROUND(VLOOKUP($H$2,'29年度'!$B$6:$GI$52,65,0)/1000,0),"-")</f>
        <v>317241</v>
      </c>
      <c r="AH62" s="176">
        <f>IFERROR(ROUND(VLOOKUP($H$2,'30年度'!$B$6:$GI$52,65,0)/1000,0),"-")</f>
        <v>314377</v>
      </c>
      <c r="AI62" s="175">
        <f>IFERROR(ROUND(VLOOKUP($H$2,'R1年度'!$B$6:$GJ$52,66,0)/1000,0),"-")</f>
        <v>288242</v>
      </c>
      <c r="AJ62" s="175">
        <f>IFERROR(ROUND(VLOOKUP($H$2,'R2年度'!$B$6:$GJ$52,67,0)/1000,0),"-")</f>
        <v>301518</v>
      </c>
      <c r="AK62" s="177">
        <f>IFERROR(ROUND(VLOOKUP($H$2,'R3年度'!$B$6:$GJ$52,67,0)/1000,0),"-")</f>
        <v>332009</v>
      </c>
      <c r="AL62" s="176">
        <f>IFERROR(ROUND(VLOOKUP($H$2,'R4年度'!$B$6:$GJ$52,67,0)/1000,0),"-")</f>
        <v>234940</v>
      </c>
      <c r="AM62" s="175">
        <f>IFERROR(ROUND(VLOOKUP($H$2,'R5年度'!$B$6:$GJ$52,67,0)/1000,0),"-")</f>
        <v>250178</v>
      </c>
      <c r="AN62" s="175">
        <f>IFERROR(ROUND(VLOOKUP($H$2,'R6年度'!$B$6:$GJ$52,67,0)/1000,0),"-")</f>
        <v>287178</v>
      </c>
    </row>
    <row r="63" spans="2:40" ht="15.9" customHeight="1" x14ac:dyDescent="0.15">
      <c r="B63" s="54"/>
      <c r="C63" s="491" t="s">
        <v>191</v>
      </c>
      <c r="D63" s="479"/>
      <c r="E63" s="202" t="str">
        <f>IFERROR(ROUND(VLOOKUP($H$2,'1年度'!$B$6:$GI$50,66,0)/1000,0),"-")</f>
        <v>-</v>
      </c>
      <c r="F63" s="202" t="str">
        <f>IFERROR(ROUND(VLOOKUP($H$2,'2年度'!$B$6:$GI$50,66,0)/1000,0),"-")</f>
        <v>-</v>
      </c>
      <c r="G63" s="202" t="str">
        <f>IFERROR(ROUND(VLOOKUP($H$2,'3年度'!$B$6:$GI$50,66,0)/1000,0),"-")</f>
        <v>-</v>
      </c>
      <c r="H63" s="202" t="str">
        <f>IFERROR(ROUND(VLOOKUP($H$2,'4年度'!$B$6:$GI$50,66,0)/1000,0),"-")</f>
        <v>-</v>
      </c>
      <c r="I63" s="202" t="str">
        <f>IFERROR(ROUND(VLOOKUP($H$2,'5年度'!$B$6:$GI$50,66,0)/1000,0),"-")</f>
        <v>-</v>
      </c>
      <c r="J63" s="202" t="str">
        <f>IFERROR(ROUND(VLOOKUP($H$2,'6年度'!$B$6:$GI$50,66,0)/1000,0),"-")</f>
        <v>-</v>
      </c>
      <c r="K63" s="202" t="str">
        <f>IFERROR(ROUND(VLOOKUP($H$2,'7年度'!$B$6:$GI$50,66,0)/1000,0),"-")</f>
        <v>-</v>
      </c>
      <c r="L63" s="202" t="str">
        <f>IFERROR(ROUND(VLOOKUP($H$2,'8年度'!$B$6:$GI$50,66,0)/1000,0),"-")</f>
        <v>-</v>
      </c>
      <c r="M63" s="202" t="str">
        <f>IFERROR(ROUND(VLOOKUP($H$2,'9年度'!$B$6:$GI$50,66,0)/1000,0),"-")</f>
        <v>-</v>
      </c>
      <c r="N63" s="202" t="str">
        <f>IFERROR(ROUND(VLOOKUP($H$2,'10年度'!$B$6:$GI$50,66,0)/1000,0),"-")</f>
        <v>-</v>
      </c>
      <c r="O63" s="202" t="str">
        <f>IFERROR(ROUND(VLOOKUP($H$2,'11年度'!$B$6:$GI$50,66,0)/1000,0),"-")</f>
        <v>-</v>
      </c>
      <c r="P63" s="202" t="str">
        <f>IFERROR(ROUND(VLOOKUP($H$2,'12年度'!$B$6:$GI$50,66,0)/1000,0),"-")</f>
        <v>-</v>
      </c>
      <c r="Q63" s="202" t="str">
        <f>IFERROR(ROUND(VLOOKUP($H$2,'13年度'!$B$6:$GI$50,66,0)/1000,0),"-")</f>
        <v>-</v>
      </c>
      <c r="R63" s="202" t="str">
        <f>IFERROR(ROUND(VLOOKUP($H$2,'14年度'!$B$6:$GI$50,66,0)/1000,0),"-")</f>
        <v>-</v>
      </c>
      <c r="S63" s="202" t="str">
        <f>IFERROR(ROUND(VLOOKUP($H$2,'15年度'!$B$6:$GI$50,66,0)/1000,0),"-")</f>
        <v>-</v>
      </c>
      <c r="T63" s="202" t="str">
        <f>IFERROR(ROUND(VLOOKUP($H$2,'16年度'!$B$6:$GI$50,66,0)/1000,0),"-")</f>
        <v>-</v>
      </c>
      <c r="U63" s="202" t="str">
        <f>IFERROR(ROUND(VLOOKUP($H$2,'17年度'!$B$6:$GI$50,66,0)/1000,0),"-")</f>
        <v>-</v>
      </c>
      <c r="V63" s="202" t="str">
        <f>IFERROR(ROUND(VLOOKUP($H$2,'18年度'!$B$6:$GI$50,66,0)/1000,0),"-")</f>
        <v>-</v>
      </c>
      <c r="W63" s="202" t="str">
        <f>IFERROR(ROUND(VLOOKUP($H$2,'19年度'!$B$6:$GI$50,66,0)/1000,0),"-")</f>
        <v>-</v>
      </c>
      <c r="X63" s="203" t="str">
        <f>IFERROR(ROUND(VLOOKUP($H$2,'20年度'!$B$6:$GI$50,66,0)/1000,0),"-")</f>
        <v>-</v>
      </c>
      <c r="Y63" s="203" t="str">
        <f>IFERROR(ROUND(VLOOKUP($H$2,'21年度'!$B$6:$GI$50,66,0)/1000,0),"-")</f>
        <v>-</v>
      </c>
      <c r="Z63" s="203" t="str">
        <f>IFERROR(ROUND(VLOOKUP($H$2,'22年度'!$B$6:$GI$50,66,0)/1000,0),"-")</f>
        <v>-</v>
      </c>
      <c r="AA63" s="203">
        <f>IFERROR(ROUND(VLOOKUP($H$2,'23年度'!$B$6:$GI$52,66,0)/1000,0),"-")</f>
        <v>158014</v>
      </c>
      <c r="AB63" s="202">
        <f>IFERROR(ROUND(VLOOKUP($H$2,'24年度'!$B$6:$GI$52,66,0)/1000,0),"-")</f>
        <v>135745</v>
      </c>
      <c r="AC63" s="204">
        <f>IFERROR(ROUND(VLOOKUP($H$2,'25年度'!$B$6:$GI$52,66,0)/1000,0),"-")</f>
        <v>172904</v>
      </c>
      <c r="AD63" s="203">
        <f>IFERROR(ROUND(VLOOKUP($H$2,'26年度'!$B$6:$GI$52,66,0)/1000,0),"-")</f>
        <v>141732</v>
      </c>
      <c r="AE63" s="202">
        <f>IFERROR(ROUND(VLOOKUP($H$2,'27年度'!$B$6:$GI$52,66,0)/1000,0),"-")</f>
        <v>133436</v>
      </c>
      <c r="AF63" s="202">
        <f>IFERROR(ROUND(VLOOKUP($H$2,'28年度'!$B$6:$GI$52,66,0)/1000,0),"-")</f>
        <v>133397</v>
      </c>
      <c r="AG63" s="204">
        <f>IFERROR(ROUND(VLOOKUP($H$2,'29年度'!$B$6:$GI$52,66,0)/1000,0),"-")</f>
        <v>152333</v>
      </c>
      <c r="AH63" s="203">
        <f>IFERROR(ROUND(VLOOKUP($H$2,'30年度'!$B$6:$GI$52,66,0)/1000,0),"-")</f>
        <v>157857</v>
      </c>
      <c r="AI63" s="202">
        <f>IFERROR(ROUND(VLOOKUP($H$2,'R1年度'!$B$6:$GJ$52,67,0)/1000,0),"-")</f>
        <v>155289</v>
      </c>
      <c r="AJ63" s="202">
        <f>IFERROR(ROUND(VLOOKUP($H$2,'R2年度'!$B$6:$GJ$52,68,0)/1000,0),"-")</f>
        <v>182558</v>
      </c>
      <c r="AK63" s="204">
        <f>IFERROR(ROUND(VLOOKUP($H$2,'R3年度'!$B$6:$GJ$52,68,0)/1000,0),"-")</f>
        <v>175094</v>
      </c>
      <c r="AL63" s="203">
        <f>IFERROR(ROUND(VLOOKUP($H$2,'R4年度'!$B$6:$GJ$52,68,0)/1000,0),"-")</f>
        <v>182783</v>
      </c>
      <c r="AM63" s="202">
        <f>IFERROR(ROUND(VLOOKUP($H$2,'R5年度'!$B$6:$GJ$52,68,0)/1000,0),"-")</f>
        <v>216768</v>
      </c>
      <c r="AN63" s="202">
        <f>IFERROR(ROUND(VLOOKUP($H$2,'R6年度'!$B$6:$GJ$52,68,0)/1000,0),"-")</f>
        <v>269150</v>
      </c>
    </row>
    <row r="64" spans="2:40" ht="15.9" customHeight="1" x14ac:dyDescent="0.15">
      <c r="B64" s="54"/>
      <c r="C64" s="491" t="s">
        <v>192</v>
      </c>
      <c r="D64" s="479"/>
      <c r="E64" s="207"/>
      <c r="F64" s="207"/>
      <c r="G64" s="207"/>
      <c r="H64" s="207"/>
      <c r="I64" s="207"/>
      <c r="J64" s="202" t="str">
        <f>IFERROR(ROUND(VLOOKUP($H$2,'6年度'!$B$6:$GI$50,67,0)/1000,0),"-")</f>
        <v>-</v>
      </c>
      <c r="K64" s="202" t="str">
        <f>IFERROR(ROUND(VLOOKUP($H$2,'7年度'!$B$6:$GI$50,67,0)/1000,0),"-")</f>
        <v>-</v>
      </c>
      <c r="L64" s="202" t="str">
        <f>IFERROR(ROUND(VLOOKUP($H$2,'8年度'!$B$6:$GI$50,67,0)/1000,0),"-")</f>
        <v>-</v>
      </c>
      <c r="M64" s="202" t="str">
        <f>IFERROR(ROUND(VLOOKUP($H$2,'9年度'!$B$6:$GI$50,67,0)/1000,0),"-")</f>
        <v>-</v>
      </c>
      <c r="N64" s="202" t="str">
        <f>IFERROR(ROUND(VLOOKUP($H$2,'10年度'!$B$6:$GI$50,67,0)/1000,0),"-")</f>
        <v>-</v>
      </c>
      <c r="O64" s="202" t="str">
        <f>IFERROR(ROUND(VLOOKUP($H$2,'11年度'!$B$6:$GI$50,67,0)/1000,0),"-")</f>
        <v>-</v>
      </c>
      <c r="P64" s="202" t="str">
        <f>IFERROR(ROUND(VLOOKUP($H$2,'12年度'!$B$6:$GI$50,67,0)/1000,0),"-")</f>
        <v>-</v>
      </c>
      <c r="Q64" s="202" t="str">
        <f>IFERROR(ROUND(VLOOKUP($H$2,'13年度'!$B$6:$GI$50,67,0)/1000,0),"-")</f>
        <v>-</v>
      </c>
      <c r="R64" s="202" t="str">
        <f>IFERROR(ROUND(VLOOKUP($H$2,'14年度'!$B$6:$GI$50,67,0)/1000,0),"-")</f>
        <v>-</v>
      </c>
      <c r="S64" s="202" t="str">
        <f>IFERROR(ROUND(VLOOKUP($H$2,'15年度'!$B$6:$GI$50,67,0)/1000,0),"-")</f>
        <v>-</v>
      </c>
      <c r="T64" s="202" t="str">
        <f>IFERROR(ROUND(VLOOKUP($H$2,'16年度'!$B$6:$GI$50,67,0)/1000,0),"-")</f>
        <v>-</v>
      </c>
      <c r="U64" s="202" t="str">
        <f>IFERROR(ROUND(VLOOKUP($H$2,'17年度'!$B$6:$GI$50,67,0)/1000,0),"-")</f>
        <v>-</v>
      </c>
      <c r="V64" s="202" t="str">
        <f>IFERROR(ROUND(VLOOKUP($H$2,'18年度'!$B$6:$GI$50,67,0)/1000,0),"-")</f>
        <v>-</v>
      </c>
      <c r="W64" s="202" t="str">
        <f>IFERROR(ROUND(VLOOKUP($H$2,'19年度'!$B$6:$GI$50,67,0)/1000,0),"-")</f>
        <v>-</v>
      </c>
      <c r="X64" s="203" t="str">
        <f>IFERROR(ROUND(VLOOKUP($H$2,'20年度'!$B$6:$GI$50,67,0)/1000,0),"-")</f>
        <v>-</v>
      </c>
      <c r="Y64" s="203" t="str">
        <f>IFERROR(ROUND(VLOOKUP($H$2,'21年度'!$B$6:$GI$50,67,0)/1000,0),"-")</f>
        <v>-</v>
      </c>
      <c r="Z64" s="203" t="str">
        <f>IFERROR(ROUND(VLOOKUP($H$2,'22年度'!$B$6:$GI$50,67,0)/1000,0),"-")</f>
        <v>-</v>
      </c>
      <c r="AA64" s="203">
        <f>IFERROR(ROUND(VLOOKUP($H$2,'23年度'!$B$6:$GI$52,67,0)/1000,0),"-")</f>
        <v>182862</v>
      </c>
      <c r="AB64" s="202">
        <f>IFERROR(ROUND(VLOOKUP($H$2,'24年度'!$B$6:$GI$52,67,0)/1000,0),"-")</f>
        <v>194087</v>
      </c>
      <c r="AC64" s="204">
        <f>IFERROR(ROUND(VLOOKUP($H$2,'25年度'!$B$6:$GI$52,67,0)/1000,0),"-")</f>
        <v>205947</v>
      </c>
      <c r="AD64" s="203">
        <f>IFERROR(ROUND(VLOOKUP($H$2,'26年度'!$B$6:$GI$52,67,0)/1000,0),"-")</f>
        <v>184618</v>
      </c>
      <c r="AE64" s="202">
        <f>IFERROR(ROUND(VLOOKUP($H$2,'27年度'!$B$6:$GI$52,67,0)/1000,0),"-")</f>
        <v>163244</v>
      </c>
      <c r="AF64" s="202">
        <f>IFERROR(ROUND(VLOOKUP($H$2,'28年度'!$B$6:$GI$52,67,0)/1000,0),"-")</f>
        <v>134363</v>
      </c>
      <c r="AG64" s="204">
        <f>IFERROR(ROUND(VLOOKUP($H$2,'29年度'!$B$6:$GI$52,67,0)/1000,0),"-")</f>
        <v>164819</v>
      </c>
      <c r="AH64" s="203">
        <f>IFERROR(ROUND(VLOOKUP($H$2,'30年度'!$B$6:$GI$52,67,0)/1000,0),"-")</f>
        <v>156520</v>
      </c>
      <c r="AI64" s="202">
        <f>IFERROR(ROUND(VLOOKUP($H$2,'R1年度'!$B$6:$GJ$52,68,0)/1000,0),"-")</f>
        <v>132953</v>
      </c>
      <c r="AJ64" s="202">
        <f>IFERROR(ROUND(VLOOKUP($H$2,'R2年度'!$B$6:$GJ$52,69,0)/1000,0),"-")</f>
        <v>118961</v>
      </c>
      <c r="AK64" s="204">
        <f>IFERROR(ROUND(VLOOKUP($H$2,'R3年度'!$B$6:$GJ$52,69,0)/1000,0),"-")</f>
        <v>156916</v>
      </c>
      <c r="AL64" s="203">
        <f>IFERROR(ROUND(VLOOKUP($H$2,'R4年度'!$B$6:$GJ$52,69,0)/1000,0),"-")</f>
        <v>52157</v>
      </c>
      <c r="AM64" s="202">
        <f>IFERROR(ROUND(VLOOKUP($H$2,'R5年度'!$B$6:$GJ$52,69,0)/1000,0),"-")</f>
        <v>33410</v>
      </c>
      <c r="AN64" s="202">
        <f>IFERROR(ROUND(VLOOKUP($H$2,'R6年度'!$B$6:$GJ$52,69,0)/1000,0),"-")</f>
        <v>17770</v>
      </c>
    </row>
    <row r="65" spans="2:40" ht="15.9" customHeight="1" thickBot="1" x14ac:dyDescent="0.2">
      <c r="B65" s="56"/>
      <c r="C65" s="496" t="s">
        <v>193</v>
      </c>
      <c r="D65" s="488"/>
      <c r="E65" s="215" t="str">
        <f>IFERROR(ROUND(VLOOKUP($H$2,'1年度'!$B$6:$GI$50,71,0)/1000,0),"-")</f>
        <v>-</v>
      </c>
      <c r="F65" s="215" t="str">
        <f>IFERROR(ROUND(VLOOKUP($H$2,'2年度'!$B$6:$GI$50,71,0)/1000,0),"-")</f>
        <v>-</v>
      </c>
      <c r="G65" s="215" t="str">
        <f>IFERROR(ROUND(VLOOKUP($H$2,'3年度'!$B$6:$GI$50,71,0)/1000,0),"-")</f>
        <v>-</v>
      </c>
      <c r="H65" s="215" t="str">
        <f>IFERROR(ROUND(VLOOKUP($H$2,'4年度'!$B$6:$GI$50,71,0)/1000,0),"-")</f>
        <v>-</v>
      </c>
      <c r="I65" s="215" t="str">
        <f>IFERROR(ROUND(VLOOKUP($H$2,'5年度'!$B$6:$GI$50,71,0)/1000,0),"-")</f>
        <v>-</v>
      </c>
      <c r="J65" s="215" t="str">
        <f>IFERROR(ROUND(VLOOKUP($H$2,'6年度'!$B$6:$GI$50,71,0)/1000,0),"-")</f>
        <v>-</v>
      </c>
      <c r="K65" s="215" t="str">
        <f>IFERROR(ROUND(VLOOKUP($H$2,'7年度'!$B$6:$GI$50,71,0)/1000,0),"-")</f>
        <v>-</v>
      </c>
      <c r="L65" s="215" t="str">
        <f>IFERROR(ROUND(VLOOKUP($H$2,'8年度'!$B$6:$GI$50,71,0)/1000,0),"-")</f>
        <v>-</v>
      </c>
      <c r="M65" s="215" t="str">
        <f>IFERROR(ROUND(VLOOKUP($H$2,'9年度'!$B$6:$GI$50,71,0)/1000,0),"-")</f>
        <v>-</v>
      </c>
      <c r="N65" s="215" t="str">
        <f>IFERROR(ROUND(VLOOKUP($H$2,'10年度'!$B$6:$GI$50,71,0)/1000,0),"-")</f>
        <v>-</v>
      </c>
      <c r="O65" s="215" t="str">
        <f>IFERROR(ROUND(VLOOKUP($H$2,'11年度'!$B$6:$GI$50,71,0)/1000,0),"-")</f>
        <v>-</v>
      </c>
      <c r="P65" s="215" t="str">
        <f>IFERROR(ROUND(VLOOKUP($H$2,'12年度'!$B$6:$GI$50,71,0)/1000,0),"-")</f>
        <v>-</v>
      </c>
      <c r="Q65" s="215" t="str">
        <f>IFERROR(ROUND(VLOOKUP($H$2,'13年度'!$B$6:$GI$50,71,0)/1000,0),"-")</f>
        <v>-</v>
      </c>
      <c r="R65" s="215" t="str">
        <f>IFERROR(ROUND(VLOOKUP($H$2,'14年度'!$B$6:$GI$50,71,0)/1000,0),"-")</f>
        <v>-</v>
      </c>
      <c r="S65" s="215" t="str">
        <f>IFERROR(ROUND(VLOOKUP($H$2,'15年度'!$B$6:$GI$50,71,0)/1000,0),"-")</f>
        <v>-</v>
      </c>
      <c r="T65" s="215" t="str">
        <f>IFERROR(ROUND(VLOOKUP($H$2,'16年度'!$B$6:$GI$50,71,0)/1000,0),"-")</f>
        <v>-</v>
      </c>
      <c r="U65" s="215" t="str">
        <f>IFERROR(ROUND(VLOOKUP($H$2,'17年度'!$B$6:$GI$50,71,0)/1000,0),"-")</f>
        <v>-</v>
      </c>
      <c r="V65" s="215" t="str">
        <f>IFERROR(ROUND(VLOOKUP($H$2,'18年度'!$B$6:$GI$50,71,0)/1000,0),"-")</f>
        <v>-</v>
      </c>
      <c r="W65" s="215" t="str">
        <f>IFERROR(ROUND(VLOOKUP($H$2,'19年度'!$B$6:$GI$50,71,0)/1000,0),"-")</f>
        <v>-</v>
      </c>
      <c r="X65" s="216" t="str">
        <f>IFERROR(ROUND(VLOOKUP($H$2,'20年度'!$B$6:$GI$50,71,0)/1000,0),"-")</f>
        <v>-</v>
      </c>
      <c r="Y65" s="216" t="str">
        <f>IFERROR(ROUND(VLOOKUP($H$2,'21年度'!$B$6:$GI$50,71,0)/1000,0),"-")</f>
        <v>-</v>
      </c>
      <c r="Z65" s="216" t="str">
        <f>IFERROR(ROUND(VLOOKUP($H$2,'22年度'!$B$6:$GI$50,71,0)/1000,0),"-")</f>
        <v>-</v>
      </c>
      <c r="AA65" s="216">
        <f>IFERROR(ROUND(VLOOKUP($H$2,'23年度'!$B$6:$GI$52,71,0)/1000,0),"-")</f>
        <v>9753</v>
      </c>
      <c r="AB65" s="215">
        <f>IFERROR(ROUND(VLOOKUP($H$2,'24年度'!$B$6:$GI$52,71,0)/1000,0),"-")</f>
        <v>6605</v>
      </c>
      <c r="AC65" s="217">
        <f>IFERROR(ROUND(VLOOKUP($H$2,'25年度'!$B$6:$GI$52,71,0)/1000,0),"-")</f>
        <v>3212</v>
      </c>
      <c r="AD65" s="216">
        <f>IFERROR(ROUND(VLOOKUP($H$2,'26年度'!$B$6:$GI$52,71,0)/1000,0),"-")</f>
        <v>240</v>
      </c>
      <c r="AE65" s="215">
        <f>IFERROR(ROUND(VLOOKUP($H$2,'27年度'!$B$6:$GI$52,71,0)/1000,0),"-")</f>
        <v>0</v>
      </c>
      <c r="AF65" s="215">
        <f>IFERROR(ROUND(VLOOKUP($H$2,'28年度'!$B$6:$GI$52,71,0)/1000,0),"-")</f>
        <v>0</v>
      </c>
      <c r="AG65" s="217">
        <f>IFERROR(ROUND(VLOOKUP($H$2,'29年度'!$B$6:$GI$52,71,0)/1000,0),"-")</f>
        <v>88</v>
      </c>
      <c r="AH65" s="216">
        <f>IFERROR(ROUND(VLOOKUP($H$2,'30年度'!$B$6:$GI$52,71,0)/1000,0),"-")</f>
        <v>0</v>
      </c>
      <c r="AI65" s="215">
        <f>IFERROR(ROUND(VLOOKUP($H$2,'R1年度'!$B$6:$GJ$52,72,0)/1000,0),"-")</f>
        <v>0</v>
      </c>
      <c r="AJ65" s="215">
        <f>IFERROR(ROUND(VLOOKUP($H$2,'R2年度'!$B$6:$GJ$52,73,0)/1000,0),"-")</f>
        <v>0</v>
      </c>
      <c r="AK65" s="217">
        <f>IFERROR(ROUND(VLOOKUP($H$2,'R3年度'!$B$6:$GJ$52,73,0)/1000,0),"-")</f>
        <v>0</v>
      </c>
      <c r="AL65" s="216">
        <f>IFERROR(ROUND(VLOOKUP($H$2,'R4年度'!$B$6:$GJ$52,73,0)/1000,0),"-")</f>
        <v>0</v>
      </c>
      <c r="AM65" s="215">
        <f>IFERROR(ROUND(VLOOKUP($H$2,'R5年度'!$B$6:$GJ$52,73,0)/1000,0),"-")</f>
        <v>0</v>
      </c>
      <c r="AN65" s="215">
        <f>IFERROR(ROUND(VLOOKUP($H$2,'R6年度'!$B$6:$GJ$52,73,0)/1000,0),"-")</f>
        <v>258</v>
      </c>
    </row>
    <row r="66" spans="2:40" ht="15.9" customHeight="1" thickBot="1" x14ac:dyDescent="0.2">
      <c r="B66" s="498" t="s">
        <v>194</v>
      </c>
      <c r="C66" s="494"/>
      <c r="D66" s="474"/>
      <c r="E66" s="231" t="str">
        <f>IFERROR(ROUND(VLOOKUP($H$2,'1年度'!$B$6:$GI$50,72,0)/1000,0),"-")</f>
        <v>-</v>
      </c>
      <c r="F66" s="231" t="str">
        <f>IFERROR(ROUND(VLOOKUP($H$2,'2年度'!$B$6:$GI$50,72,0)/1000,0),"-")</f>
        <v>-</v>
      </c>
      <c r="G66" s="231" t="str">
        <f>IFERROR(ROUND(VLOOKUP($H$2,'3年度'!$B$6:$GI$50,72,0)/1000,0),"-")</f>
        <v>-</v>
      </c>
      <c r="H66" s="231" t="str">
        <f>IFERROR(ROUND(VLOOKUP($H$2,'4年度'!$B$6:$GI$50,72,0)/1000,0),"-")</f>
        <v>-</v>
      </c>
      <c r="I66" s="231" t="str">
        <f>IFERROR(ROUND(VLOOKUP($H$2,'5年度'!$B$6:$GI$50,72,0)/1000,0),"-")</f>
        <v>-</v>
      </c>
      <c r="J66" s="231" t="str">
        <f>IFERROR(ROUND(VLOOKUP($H$2,'6年度'!$B$6:$GI$50,72,0)/1000,0),"-")</f>
        <v>-</v>
      </c>
      <c r="K66" s="231" t="str">
        <f>IFERROR(ROUND(VLOOKUP($H$2,'7年度'!$B$6:$GI$50,72,0)/1000,0),"-")</f>
        <v>-</v>
      </c>
      <c r="L66" s="231" t="str">
        <f>IFERROR(ROUND(VLOOKUP($H$2,'8年度'!$B$6:$GI$50,72,0)/1000,0),"-")</f>
        <v>-</v>
      </c>
      <c r="M66" s="231" t="str">
        <f>IFERROR(ROUND(VLOOKUP($H$2,'9年度'!$B$6:$GI$50,72,0)/1000,0),"-")</f>
        <v>-</v>
      </c>
      <c r="N66" s="231" t="str">
        <f>IFERROR(ROUND(VLOOKUP($H$2,'10年度'!$B$6:$GI$50,72,0)/1000,0),"-")</f>
        <v>-</v>
      </c>
      <c r="O66" s="231" t="str">
        <f>IFERROR(ROUND(VLOOKUP($H$2,'11年度'!$B$6:$GI$50,72,0)/1000,0),"-")</f>
        <v>-</v>
      </c>
      <c r="P66" s="231" t="str">
        <f>IFERROR(ROUND(VLOOKUP($H$2,'12年度'!$B$6:$GI$50,72,0)/1000,0),"-")</f>
        <v>-</v>
      </c>
      <c r="Q66" s="231" t="str">
        <f>IFERROR(ROUND(VLOOKUP($H$2,'13年度'!$B$6:$GI$50,72,0)/1000,0),"-")</f>
        <v>-</v>
      </c>
      <c r="R66" s="231" t="str">
        <f>IFERROR(ROUND(VLOOKUP($H$2,'14年度'!$B$6:$GI$50,72,0)/1000,0),"-")</f>
        <v>-</v>
      </c>
      <c r="S66" s="231" t="str">
        <f>IFERROR(ROUND(VLOOKUP($H$2,'15年度'!$B$6:$GI$50,72,0)/1000,0),"-")</f>
        <v>-</v>
      </c>
      <c r="T66" s="231" t="str">
        <f>IFERROR(ROUND(VLOOKUP($H$2,'16年度'!$B$6:$GI$50,72,0)/1000,0),"-")</f>
        <v>-</v>
      </c>
      <c r="U66" s="231" t="str">
        <f>IFERROR(ROUND(VLOOKUP($H$2,'17年度'!$B$6:$GI$50,72,0)/1000,0),"-")</f>
        <v>-</v>
      </c>
      <c r="V66" s="231" t="str">
        <f>IFERROR(ROUND(VLOOKUP($H$2,'18年度'!$B$6:$GI$50,72,0)/1000,0),"-")</f>
        <v>-</v>
      </c>
      <c r="W66" s="231" t="str">
        <f>IFERROR(ROUND(VLOOKUP($H$2,'19年度'!$B$6:$GI$50,72,0)/1000,0),"-")</f>
        <v>-</v>
      </c>
      <c r="X66" s="232" t="str">
        <f>IFERROR(ROUND(VLOOKUP($H$2,'20年度'!$B$6:$GI$50,72,0)/1000,0),"-")</f>
        <v>-</v>
      </c>
      <c r="Y66" s="232" t="str">
        <f>IFERROR(ROUND(VLOOKUP($H$2,'21年度'!$B$6:$GI$50,72,0)/1000,0),"-")</f>
        <v>-</v>
      </c>
      <c r="Z66" s="232" t="str">
        <f>IFERROR(ROUND(VLOOKUP($H$2,'22年度'!$B$6:$GI$50,72,0)/1000,0),"-")</f>
        <v>-</v>
      </c>
      <c r="AA66" s="232">
        <f>IFERROR(ROUND(VLOOKUP($H$2,'23年度'!$B$6:$GI$52,72,0)/1000,0),"-")</f>
        <v>3769245</v>
      </c>
      <c r="AB66" s="231">
        <f>IFERROR(ROUND(VLOOKUP($H$2,'24年度'!$B$6:$GI$52,72,0)/1000,0),"-")</f>
        <v>3848793</v>
      </c>
      <c r="AC66" s="233">
        <f>IFERROR(ROUND(VLOOKUP($H$2,'25年度'!$B$6:$GI$52,72,0)/1000,0),"-")</f>
        <v>3882235</v>
      </c>
      <c r="AD66" s="232">
        <f>IFERROR(ROUND(VLOOKUP($H$2,'26年度'!$B$6:$GI$52,72,0)/1000,0),"-")</f>
        <v>3875419</v>
      </c>
      <c r="AE66" s="231">
        <f>IFERROR(ROUND(VLOOKUP($H$2,'27年度'!$B$6:$GI$52,72,0)/1000,0),"-")</f>
        <v>3944717</v>
      </c>
      <c r="AF66" s="231">
        <f>IFERROR(ROUND(VLOOKUP($H$2,'28年度'!$B$6:$GI$52,72,0)/1000,0),"-")</f>
        <v>3850888</v>
      </c>
      <c r="AG66" s="233">
        <f>IFERROR(ROUND(VLOOKUP($H$2,'29年度'!$B$6:$GI$52,72,0)/1000,0),"-")</f>
        <v>4131494</v>
      </c>
      <c r="AH66" s="232">
        <f>IFERROR(ROUND(VLOOKUP($H$2,'30年度'!$B$6:$GI$52,72,0)/1000,0),"-")</f>
        <v>4224619</v>
      </c>
      <c r="AI66" s="231">
        <f>IFERROR(ROUND(VLOOKUP($H$2,'R1年度'!$B$6:$GJ$52,73,0)/1000,0),"-")</f>
        <v>4248481</v>
      </c>
      <c r="AJ66" s="231">
        <f>IFERROR(ROUND(VLOOKUP($H$2,'R2年度'!$B$6:$GJ$52,74,0)/1000,0),"-")</f>
        <v>5249103</v>
      </c>
      <c r="AK66" s="233">
        <f>IFERROR(ROUND(VLOOKUP($H$2,'R3年度'!$B$6:$GJ$52,74,0)/1000,0),"-")</f>
        <v>4861702</v>
      </c>
      <c r="AL66" s="232">
        <f>IFERROR(ROUND(VLOOKUP($H$2,'R4年度'!$B$6:$GJ$52,74,0)/1000,0),"-")</f>
        <v>4776751</v>
      </c>
      <c r="AM66" s="231">
        <f>IFERROR(ROUND(VLOOKUP($H$2,'R5年度'!$B$6:$GJ$52,74,0)/1000,0),"-")</f>
        <v>4826659</v>
      </c>
      <c r="AN66" s="231">
        <f>IFERROR(ROUND(VLOOKUP($H$2,'R6年度'!$B$6:$GJ$52,74,0)/1000,0),"-")</f>
        <v>5067800</v>
      </c>
    </row>
    <row r="67" spans="2:40" ht="15.9" customHeight="1" thickBot="1" x14ac:dyDescent="0.2">
      <c r="AA67" s="163"/>
      <c r="AB67" s="163"/>
      <c r="AC67" s="163"/>
      <c r="AD67" s="163"/>
    </row>
    <row r="68" spans="2:40" ht="15.9" customHeight="1" thickBot="1" x14ac:dyDescent="0.2">
      <c r="G68" s="164" t="s">
        <v>95</v>
      </c>
      <c r="H68" s="473" t="str">
        <f>IFERROR(H2,"-")</f>
        <v>府計</v>
      </c>
      <c r="I68" s="474"/>
    </row>
    <row r="69" spans="2:40" ht="15.9" customHeight="1" x14ac:dyDescent="0.15">
      <c r="B69" s="2" t="s">
        <v>195</v>
      </c>
      <c r="U69" s="1"/>
      <c r="V69" s="1"/>
      <c r="W69" s="1"/>
      <c r="X69" s="1"/>
      <c r="Y69" s="1"/>
      <c r="AA69" s="69"/>
      <c r="AB69" s="69"/>
      <c r="AC69" s="90"/>
      <c r="AD69" s="90"/>
      <c r="AG69" s="90"/>
      <c r="AH69" s="90"/>
      <c r="AI69" s="90"/>
      <c r="AJ69" s="90"/>
      <c r="AK69" s="90"/>
      <c r="AL69" s="90" t="s">
        <v>99</v>
      </c>
    </row>
    <row r="70" spans="2:40" ht="15.9" customHeight="1" thickBot="1" x14ac:dyDescent="0.2">
      <c r="B70" s="489" t="s">
        <v>100</v>
      </c>
      <c r="C70" s="490"/>
      <c r="D70" s="481"/>
      <c r="E70" s="161" t="s">
        <v>101</v>
      </c>
      <c r="F70" s="161" t="s">
        <v>102</v>
      </c>
      <c r="G70" s="161" t="s">
        <v>103</v>
      </c>
      <c r="H70" s="161" t="s">
        <v>104</v>
      </c>
      <c r="I70" s="161" t="s">
        <v>105</v>
      </c>
      <c r="J70" s="161" t="s">
        <v>106</v>
      </c>
      <c r="K70" s="161" t="s">
        <v>107</v>
      </c>
      <c r="L70" s="161" t="s">
        <v>108</v>
      </c>
      <c r="M70" s="161" t="s">
        <v>109</v>
      </c>
      <c r="N70" s="161" t="s">
        <v>110</v>
      </c>
      <c r="O70" s="161" t="s">
        <v>111</v>
      </c>
      <c r="P70" s="161" t="s">
        <v>112</v>
      </c>
      <c r="Q70" s="161" t="s">
        <v>113</v>
      </c>
      <c r="R70" s="161" t="s">
        <v>114</v>
      </c>
      <c r="S70" s="161" t="s">
        <v>115</v>
      </c>
      <c r="T70" s="161" t="s">
        <v>116</v>
      </c>
      <c r="U70" s="161" t="s">
        <v>117</v>
      </c>
      <c r="V70" s="161" t="s">
        <v>118</v>
      </c>
      <c r="W70" s="161" t="s">
        <v>119</v>
      </c>
      <c r="X70" s="161" t="s">
        <v>120</v>
      </c>
      <c r="Y70" s="64" t="s">
        <v>121</v>
      </c>
      <c r="Z70" s="68" t="s">
        <v>122</v>
      </c>
      <c r="AA70" s="64" t="s">
        <v>123</v>
      </c>
      <c r="AB70" s="64" t="s">
        <v>124</v>
      </c>
      <c r="AC70" s="64" t="s">
        <v>125</v>
      </c>
      <c r="AD70" s="64" t="s">
        <v>126</v>
      </c>
      <c r="AE70" s="64" t="s">
        <v>127</v>
      </c>
      <c r="AF70" s="64" t="s">
        <v>128</v>
      </c>
      <c r="AG70" s="64" t="s">
        <v>129</v>
      </c>
      <c r="AH70" s="64" t="s">
        <v>130</v>
      </c>
      <c r="AI70" s="64" t="s">
        <v>131</v>
      </c>
      <c r="AJ70" s="64" t="s">
        <v>132</v>
      </c>
      <c r="AK70" s="154" t="s">
        <v>133</v>
      </c>
      <c r="AL70" s="68" t="s">
        <v>134</v>
      </c>
      <c r="AM70" s="64" t="s">
        <v>135</v>
      </c>
      <c r="AN70" s="64" t="s">
        <v>136</v>
      </c>
    </row>
    <row r="71" spans="2:40" ht="15.9" customHeight="1" x14ac:dyDescent="0.15">
      <c r="B71" s="484" t="s">
        <v>196</v>
      </c>
      <c r="C71" s="485"/>
      <c r="D71" s="486"/>
      <c r="E71" s="175" t="str">
        <f>IFERROR(ROUND(VLOOKUP($H$2,'1年度'!$B$6:$GI$50,74,0)/1000,0),"-")</f>
        <v>-</v>
      </c>
      <c r="F71" s="175" t="str">
        <f>IFERROR(ROUND(VLOOKUP($H$2,'2年度'!$B$6:$GI$50,74,0)/1000,0),"-")</f>
        <v>-</v>
      </c>
      <c r="G71" s="175" t="str">
        <f>IFERROR(ROUND(VLOOKUP($H$2,'3年度'!$B$6:$GI$50,74,0)/1000,0),"-")</f>
        <v>-</v>
      </c>
      <c r="H71" s="175" t="str">
        <f>IFERROR(ROUND(VLOOKUP($H$2,'4年度'!$B$6:$GI$50,74,0)/1000,0),"-")</f>
        <v>-</v>
      </c>
      <c r="I71" s="175" t="str">
        <f>IFERROR(ROUND(VLOOKUP($H$2,'5年度'!$B$6:$GI$50,74,0)/1000,0),"-")</f>
        <v>-</v>
      </c>
      <c r="J71" s="175" t="str">
        <f>IFERROR(ROUND(VLOOKUP($H$2,'6年度'!$B$6:$GI$50,74,0)/1000,0),"-")</f>
        <v>-</v>
      </c>
      <c r="K71" s="175" t="str">
        <f>IFERROR(ROUND(VLOOKUP($H$2,'7年度'!$B$6:$GI$50,74,0)/1000,0),"-")</f>
        <v>-</v>
      </c>
      <c r="L71" s="175" t="str">
        <f>IFERROR(ROUND(VLOOKUP($H$2,'8年度'!$B$6:$GI$50,74,0)/1000,0),"-")</f>
        <v>-</v>
      </c>
      <c r="M71" s="175" t="str">
        <f>IFERROR(ROUND(VLOOKUP($H$2,'9年度'!$B$6:$GI$50,74,0)/1000,0),"-")</f>
        <v>-</v>
      </c>
      <c r="N71" s="175" t="str">
        <f>IFERROR(ROUND(VLOOKUP($H$2,'10年度'!$B$6:$GI$50,74,0)/1000,0),"-")</f>
        <v>-</v>
      </c>
      <c r="O71" s="175" t="str">
        <f>IFERROR(ROUND(VLOOKUP($H$2,'11年度'!$B$6:$GI$50,74,0)/1000,0),"-")</f>
        <v>-</v>
      </c>
      <c r="P71" s="175" t="str">
        <f>IFERROR(ROUND(VLOOKUP($H$2,'12年度'!$B$6:$GI$50,74,0)/1000,0),"-")</f>
        <v>-</v>
      </c>
      <c r="Q71" s="175" t="str">
        <f>IFERROR(ROUND(VLOOKUP($H$2,'13年度'!$B$6:$GI$50,74,0)/1000,0),"-")</f>
        <v>-</v>
      </c>
      <c r="R71" s="175" t="str">
        <f>IFERROR(ROUND(VLOOKUP($H$2,'14年度'!$B$6:$GI$50,74,0)/1000,0),"-")</f>
        <v>-</v>
      </c>
      <c r="S71" s="175" t="str">
        <f>IFERROR(ROUND(VLOOKUP($H$2,'15年度'!$B$6:$GI$50,74,0)/1000,0),"-")</f>
        <v>-</v>
      </c>
      <c r="T71" s="175" t="str">
        <f>IFERROR(ROUND(VLOOKUP($H$2,'16年度'!$B$6:$GI$50,74,0)/1000,0),"-")</f>
        <v>-</v>
      </c>
      <c r="U71" s="175" t="str">
        <f>IFERROR(ROUND(VLOOKUP($H$2,'17年度'!$B$6:$GI$50,74,0)/1000,0),"-")</f>
        <v>-</v>
      </c>
      <c r="V71" s="175" t="str">
        <f>IFERROR(ROUND(VLOOKUP($H$2,'18年度'!$B$6:$GI$50,74,0)/1000,0),"-")</f>
        <v>-</v>
      </c>
      <c r="W71" s="175" t="str">
        <f>IFERROR(ROUND(VLOOKUP($H$2,'19年度'!$B$6:$GI$50,74,0)/1000,0),"-")</f>
        <v>-</v>
      </c>
      <c r="X71" s="176" t="str">
        <f>IFERROR(ROUND(VLOOKUP($H$2,'20年度'!$B$6:$GI$50,74,0)/1000,0),"-")</f>
        <v>-</v>
      </c>
      <c r="Y71" s="176" t="str">
        <f>IFERROR(ROUND(VLOOKUP($H$2,'21年度'!$B$6:$GI$50,74,0)/1000,0),"-")</f>
        <v>-</v>
      </c>
      <c r="Z71" s="176" t="str">
        <f>IFERROR(ROUND(VLOOKUP($H$2,'22年度'!$B$6:$GI$50,74,0)/1000,0),"-")</f>
        <v>-</v>
      </c>
      <c r="AA71" s="176">
        <f>IFERROR(ROUND(VLOOKUP($H$2,'23年度'!$B$6:$GI$52,74,0)/1000,0),"-")</f>
        <v>626746</v>
      </c>
      <c r="AB71" s="175">
        <f>IFERROR(ROUND(VLOOKUP($H$2,'24年度'!$B$6:$GI$52,74,0)/1000,0),"-")</f>
        <v>599403</v>
      </c>
      <c r="AC71" s="177">
        <f>IFERROR(ROUND(VLOOKUP($H$2,'25年度'!$B$6:$GI$52,74,0)/1000,0),"-")</f>
        <v>561526</v>
      </c>
      <c r="AD71" s="176">
        <f>IFERROR(ROUND(VLOOKUP($H$2,'26年度'!$B$6:$GI$52,74,0)/1000,0),"-")</f>
        <v>561108</v>
      </c>
      <c r="AE71" s="175">
        <f>IFERROR(ROUND(VLOOKUP($H$2,'27年度'!$B$6:$GI$52,74,0)/1000,0),"-")</f>
        <v>563523</v>
      </c>
      <c r="AF71" s="175">
        <f>IFERROR(ROUND(VLOOKUP($H$2,'28年度'!$B$6:$GI$52,74,0)/1000,0),"-")</f>
        <v>546357</v>
      </c>
      <c r="AG71" s="177">
        <f>IFERROR(ROUND(VLOOKUP($H$2,'29年度'!$B$6:$GI$52,74,0)/1000,0),"-")</f>
        <v>688574</v>
      </c>
      <c r="AH71" s="176">
        <f>IFERROR(ROUND(VLOOKUP($H$2,'30年度'!$B$6:$GI$52,74,0)/1000,0),"-")</f>
        <v>691452</v>
      </c>
      <c r="AI71" s="175">
        <f>IFERROR(ROUND(VLOOKUP($H$2,'R1年度'!$B$6:$GJ$52,75,0)/1000,0),"-")</f>
        <v>691451</v>
      </c>
      <c r="AJ71" s="175">
        <f>IFERROR(ROUND(VLOOKUP($H$2,'R2年度'!$B$6:$GJ$52,76,0)/1000,0),"-")</f>
        <v>716956</v>
      </c>
      <c r="AK71" s="177">
        <f>IFERROR(ROUND(VLOOKUP($H$2,'R3年度'!$B$6:$GJ$52,76,0)/1000,0),"-")</f>
        <v>722855</v>
      </c>
      <c r="AL71" s="176">
        <f>IFERROR(ROUND(VLOOKUP($H$2,'R4年度'!$B$6:$GJ$52,76,0)/1000,0),"-")</f>
        <v>720815</v>
      </c>
      <c r="AM71" s="234">
        <f>IFERROR(ROUND(VLOOKUP($H$2,'R5年度'!$B$6:$GJ$52,76,0)/1000,0),"-")</f>
        <v>712494</v>
      </c>
      <c r="AN71" s="234">
        <f>IFERROR(ROUND(VLOOKUP($H$2,'R6年度'!$B$6:$GJ$52,76,0)/1000,0),"-")</f>
        <v>775684</v>
      </c>
    </row>
    <row r="72" spans="2:40" ht="15.9" customHeight="1" x14ac:dyDescent="0.15">
      <c r="B72" s="54"/>
      <c r="C72" s="478" t="s">
        <v>197</v>
      </c>
      <c r="D72" s="479"/>
      <c r="E72" s="202" t="str">
        <f>IFERROR(ROUND(VLOOKUP($H$2,'1年度'!$B$6:$GI$50,75,0)/1000,0),"-")</f>
        <v>-</v>
      </c>
      <c r="F72" s="202" t="str">
        <f>IFERROR(ROUND(VLOOKUP($H$2,'2年度'!$B$6:$GI$50,75,0)/1000,0),"-")</f>
        <v>-</v>
      </c>
      <c r="G72" s="202" t="str">
        <f>IFERROR(ROUND(VLOOKUP($H$2,'3年度'!$B$6:$GI$50,75,0)/1000,0),"-")</f>
        <v>-</v>
      </c>
      <c r="H72" s="202" t="str">
        <f>IFERROR(ROUND(VLOOKUP($H$2,'4年度'!$B$6:$GI$50,75,0)/1000,0),"-")</f>
        <v>-</v>
      </c>
      <c r="I72" s="202" t="str">
        <f>IFERROR(ROUND(VLOOKUP($H$2,'5年度'!$B$6:$GI$50,75,0)/1000,0),"-")</f>
        <v>-</v>
      </c>
      <c r="J72" s="202" t="str">
        <f>IFERROR(ROUND(VLOOKUP($H$2,'6年度'!$B$6:$GI$50,75,0)/1000,0),"-")</f>
        <v>-</v>
      </c>
      <c r="K72" s="202" t="str">
        <f>IFERROR(ROUND(VLOOKUP($H$2,'7年度'!$B$6:$GI$50,75,0)/1000,0),"-")</f>
        <v>-</v>
      </c>
      <c r="L72" s="202" t="str">
        <f>IFERROR(ROUND(VLOOKUP($H$2,'8年度'!$B$6:$GI$50,75,0)/1000,0),"-")</f>
        <v>-</v>
      </c>
      <c r="M72" s="202" t="str">
        <f>IFERROR(ROUND(VLOOKUP($H$2,'9年度'!$B$6:$GI$50,75,0)/1000,0),"-")</f>
        <v>-</v>
      </c>
      <c r="N72" s="202" t="str">
        <f>IFERROR(ROUND(VLOOKUP($H$2,'10年度'!$B$6:$GI$50,75,0)/1000,0),"-")</f>
        <v>-</v>
      </c>
      <c r="O72" s="202" t="str">
        <f>IFERROR(ROUND(VLOOKUP($H$2,'11年度'!$B$6:$GI$50,75,0)/1000,0),"-")</f>
        <v>-</v>
      </c>
      <c r="P72" s="202" t="str">
        <f>IFERROR(ROUND(VLOOKUP($H$2,'12年度'!$B$6:$GI$50,75,0)/1000,0),"-")</f>
        <v>-</v>
      </c>
      <c r="Q72" s="202" t="str">
        <f>IFERROR(ROUND(VLOOKUP($H$2,'13年度'!$B$6:$GI$50,75,0)/1000,0),"-")</f>
        <v>-</v>
      </c>
      <c r="R72" s="202" t="str">
        <f>IFERROR(ROUND(VLOOKUP($H$2,'14年度'!$B$6:$GI$50,75,0)/1000,0),"-")</f>
        <v>-</v>
      </c>
      <c r="S72" s="202" t="str">
        <f>IFERROR(ROUND(VLOOKUP($H$2,'15年度'!$B$6:$GI$50,75,0)/1000,0),"-")</f>
        <v>-</v>
      </c>
      <c r="T72" s="202" t="str">
        <f>IFERROR(ROUND(VLOOKUP($H$2,'16年度'!$B$6:$GI$50,75,0)/1000,0),"-")</f>
        <v>-</v>
      </c>
      <c r="U72" s="202" t="str">
        <f>IFERROR(ROUND(VLOOKUP($H$2,'17年度'!$B$6:$GI$50,75,0)/1000,0),"-")</f>
        <v>-</v>
      </c>
      <c r="V72" s="202" t="str">
        <f>IFERROR(ROUND(VLOOKUP($H$2,'18年度'!$B$6:$GI$50,75,0)/1000,0),"-")</f>
        <v>-</v>
      </c>
      <c r="W72" s="202" t="str">
        <f>IFERROR(ROUND(VLOOKUP($H$2,'19年度'!$B$6:$GI$50,75,0)/1000,0),"-")</f>
        <v>-</v>
      </c>
      <c r="X72" s="203" t="str">
        <f>IFERROR(ROUND(VLOOKUP($H$2,'20年度'!$B$6:$GI$50,75,0)/1000,0),"-")</f>
        <v>-</v>
      </c>
      <c r="Y72" s="203" t="str">
        <f>IFERROR(ROUND(VLOOKUP($H$2,'21年度'!$B$6:$GI$50,75,0)/1000,0),"-")</f>
        <v>-</v>
      </c>
      <c r="Z72" s="203" t="str">
        <f>IFERROR(ROUND(VLOOKUP($H$2,'22年度'!$B$6:$GI$50,75,0)/1000,0),"-")</f>
        <v>-</v>
      </c>
      <c r="AA72" s="203">
        <f>IFERROR(ROUND(VLOOKUP($H$2,'23年度'!$B$6:$GI$52,75,0)/1000,0),"-")</f>
        <v>410370</v>
      </c>
      <c r="AB72" s="202">
        <f>IFERROR(ROUND(VLOOKUP($H$2,'24年度'!$B$6:$GI$52,75,0)/1000,0),"-")</f>
        <v>394186</v>
      </c>
      <c r="AC72" s="204">
        <f>IFERROR(ROUND(VLOOKUP($H$2,'25年度'!$B$6:$GI$52,75,0)/1000,0),"-")</f>
        <v>379217</v>
      </c>
      <c r="AD72" s="203">
        <f>IFERROR(ROUND(VLOOKUP($H$2,'26年度'!$B$6:$GI$52,75,0)/1000,0),"-")</f>
        <v>384036</v>
      </c>
      <c r="AE72" s="202">
        <f>IFERROR(ROUND(VLOOKUP($H$2,'27年度'!$B$6:$GI$52,75,0)/1000,0),"-")</f>
        <v>382994</v>
      </c>
      <c r="AF72" s="202">
        <f>IFERROR(ROUND(VLOOKUP($H$2,'28年度'!$B$6:$GI$52,75,0)/1000,0),"-")</f>
        <v>376712</v>
      </c>
      <c r="AG72" s="204">
        <f>IFERROR(ROUND(VLOOKUP($H$2,'29年度'!$B$6:$GI$52,75,0)/1000,0),"-")</f>
        <v>480461</v>
      </c>
      <c r="AH72" s="203">
        <f>IFERROR(ROUND(VLOOKUP($H$2,'30年度'!$B$6:$GI$52,75,0)/1000,0),"-")</f>
        <v>485313</v>
      </c>
      <c r="AI72" s="202">
        <f>IFERROR(ROUND(VLOOKUP($H$2,'R1年度'!$B$6:$GJ$52,76,0)/1000,0),"-")</f>
        <v>486504</v>
      </c>
      <c r="AJ72" s="202">
        <f>IFERROR(ROUND(VLOOKUP($H$2,'R2年度'!$B$6:$GJ$52,77,0)/1000,0),"-")</f>
        <v>490809</v>
      </c>
      <c r="AK72" s="204">
        <f>IFERROR(ROUND(VLOOKUP($H$2,'R3年度'!$B$6:$GJ$52,77,0)/1000,0),"-")</f>
        <v>491371</v>
      </c>
      <c r="AL72" s="203">
        <f>IFERROR(ROUND(VLOOKUP($H$2,'R4年度'!$B$6:$GJ$52,77,0)/1000,0),"-")</f>
        <v>489935</v>
      </c>
      <c r="AM72" s="235">
        <f>IFERROR(ROUND(VLOOKUP($H$2,'R5年度'!$B$6:$GJ$52,77,0)/1000,0),"-")</f>
        <v>499623</v>
      </c>
      <c r="AN72" s="235">
        <f>IFERROR(ROUND(VLOOKUP($H$2,'R6年度'!$B$6:$GJ$52,77,0)/1000,0),"-")</f>
        <v>519569</v>
      </c>
    </row>
    <row r="73" spans="2:40" ht="15.9" customHeight="1" x14ac:dyDescent="0.15">
      <c r="B73" s="54"/>
      <c r="C73" s="478" t="s">
        <v>198</v>
      </c>
      <c r="D73" s="479"/>
      <c r="E73" s="202" t="str">
        <f>IFERROR(ROUND(VLOOKUP($H$2,'1年度'!$B$6:$GI$50,76,0)/1000,0),"-")</f>
        <v>-</v>
      </c>
      <c r="F73" s="202" t="str">
        <f>IFERROR(ROUND(VLOOKUP($H$2,'2年度'!$B$6:$GI$50,76,0)/1000,0),"-")</f>
        <v>-</v>
      </c>
      <c r="G73" s="202" t="str">
        <f>IFERROR(ROUND(VLOOKUP($H$2,'3年度'!$B$6:$GI$50,76,0)/1000,0),"-")</f>
        <v>-</v>
      </c>
      <c r="H73" s="202" t="str">
        <f>IFERROR(ROUND(VLOOKUP($H$2,'4年度'!$B$6:$GI$50,76,0)/1000,0),"-")</f>
        <v>-</v>
      </c>
      <c r="I73" s="202" t="str">
        <f>IFERROR(ROUND(VLOOKUP($H$2,'5年度'!$B$6:$GI$50,76,0)/1000,0),"-")</f>
        <v>-</v>
      </c>
      <c r="J73" s="202" t="str">
        <f>IFERROR(ROUND(VLOOKUP($H$2,'6年度'!$B$6:$GI$50,76,0)/1000,0),"-")</f>
        <v>-</v>
      </c>
      <c r="K73" s="202" t="str">
        <f>IFERROR(ROUND(VLOOKUP($H$2,'7年度'!$B$6:$GI$50,76,0)/1000,0),"-")</f>
        <v>-</v>
      </c>
      <c r="L73" s="202" t="str">
        <f>IFERROR(ROUND(VLOOKUP($H$2,'8年度'!$B$6:$GI$50,76,0)/1000,0),"-")</f>
        <v>-</v>
      </c>
      <c r="M73" s="202" t="str">
        <f>IFERROR(ROUND(VLOOKUP($H$2,'9年度'!$B$6:$GI$50,76,0)/1000,0),"-")</f>
        <v>-</v>
      </c>
      <c r="N73" s="202" t="str">
        <f>IFERROR(ROUND(VLOOKUP($H$2,'10年度'!$B$6:$GI$50,76,0)/1000,0),"-")</f>
        <v>-</v>
      </c>
      <c r="O73" s="202" t="str">
        <f>IFERROR(ROUND(VLOOKUP($H$2,'11年度'!$B$6:$GI$50,76,0)/1000,0),"-")</f>
        <v>-</v>
      </c>
      <c r="P73" s="202" t="str">
        <f>IFERROR(ROUND(VLOOKUP($H$2,'12年度'!$B$6:$GI$50,76,0)/1000,0),"-")</f>
        <v>-</v>
      </c>
      <c r="Q73" s="202" t="str">
        <f>IFERROR(ROUND(VLOOKUP($H$2,'13年度'!$B$6:$GI$50,76,0)/1000,0),"-")</f>
        <v>-</v>
      </c>
      <c r="R73" s="202" t="str">
        <f>IFERROR(ROUND(VLOOKUP($H$2,'14年度'!$B$6:$GI$50,76,0)/1000,0),"-")</f>
        <v>-</v>
      </c>
      <c r="S73" s="202" t="str">
        <f>IFERROR(ROUND(VLOOKUP($H$2,'15年度'!$B$6:$GI$50,76,0)/1000,0),"-")</f>
        <v>-</v>
      </c>
      <c r="T73" s="202" t="str">
        <f>IFERROR(ROUND(VLOOKUP($H$2,'16年度'!$B$6:$GI$50,76,0)/1000,0),"-")</f>
        <v>-</v>
      </c>
      <c r="U73" s="202" t="str">
        <f>IFERROR(ROUND(VLOOKUP($H$2,'17年度'!$B$6:$GI$50,76,0)/1000,0),"-")</f>
        <v>-</v>
      </c>
      <c r="V73" s="202" t="str">
        <f>IFERROR(ROUND(VLOOKUP($H$2,'18年度'!$B$6:$GI$50,76,0)/1000,0),"-")</f>
        <v>-</v>
      </c>
      <c r="W73" s="202" t="str">
        <f>IFERROR(ROUND(VLOOKUP($H$2,'19年度'!$B$6:$GI$50,76,0)/1000,0),"-")</f>
        <v>-</v>
      </c>
      <c r="X73" s="203" t="str">
        <f>IFERROR(ROUND(VLOOKUP($H$2,'20年度'!$B$6:$GI$50,76,0)/1000,0),"-")</f>
        <v>-</v>
      </c>
      <c r="Y73" s="203" t="str">
        <f>IFERROR(ROUND(VLOOKUP($H$2,'21年度'!$B$6:$GI$50,76,0)/1000,0),"-")</f>
        <v>-</v>
      </c>
      <c r="Z73" s="203" t="str">
        <f>IFERROR(ROUND(VLOOKUP($H$2,'22年度'!$B$6:$GI$50,76,0)/1000,0),"-")</f>
        <v>-</v>
      </c>
      <c r="AA73" s="203">
        <f>IFERROR(ROUND(VLOOKUP($H$2,'23年度'!$B$6:$GI$52,76,0)/1000,0),"-")</f>
        <v>78987</v>
      </c>
      <c r="AB73" s="202">
        <f>IFERROR(ROUND(VLOOKUP($H$2,'24年度'!$B$6:$GI$52,76,0)/1000,0),"-")</f>
        <v>74018</v>
      </c>
      <c r="AC73" s="204">
        <f>IFERROR(ROUND(VLOOKUP($H$2,'25年度'!$B$6:$GI$52,76,0)/1000,0),"-")</f>
        <v>52932</v>
      </c>
      <c r="AD73" s="203">
        <f>IFERROR(ROUND(VLOOKUP($H$2,'26年度'!$B$6:$GI$52,76,0)/1000,0),"-")</f>
        <v>46191</v>
      </c>
      <c r="AE73" s="202">
        <f>IFERROR(ROUND(VLOOKUP($H$2,'27年度'!$B$6:$GI$52,76,0)/1000,0),"-")</f>
        <v>47204</v>
      </c>
      <c r="AF73" s="202">
        <f>IFERROR(ROUND(VLOOKUP($H$2,'28年度'!$B$6:$GI$52,76,0)/1000,0),"-")</f>
        <v>38064</v>
      </c>
      <c r="AG73" s="204">
        <f>IFERROR(ROUND(VLOOKUP($H$2,'29年度'!$B$6:$GI$52,76,0)/1000,0),"-")</f>
        <v>49200</v>
      </c>
      <c r="AH73" s="203">
        <f>IFERROR(ROUND(VLOOKUP($H$2,'30年度'!$B$6:$GI$52,76,0)/1000,0),"-")</f>
        <v>46550</v>
      </c>
      <c r="AI73" s="202">
        <f>IFERROR(ROUND(VLOOKUP($H$2,'R1年度'!$B$6:$GJ$52,77,0)/1000,0),"-")</f>
        <v>46095</v>
      </c>
      <c r="AJ73" s="202">
        <f>IFERROR(ROUND(VLOOKUP($H$2,'R2年度'!$B$6:$GJ$52,78,0)/1000,0),"-")</f>
        <v>42286</v>
      </c>
      <c r="AK73" s="204">
        <f>IFERROR(ROUND(VLOOKUP($H$2,'R3年度'!$B$6:$GJ$52,78,0)/1000,0),"-")</f>
        <v>43510</v>
      </c>
      <c r="AL73" s="203">
        <f>IFERROR(ROUND(VLOOKUP($H$2,'R4年度'!$B$6:$GJ$52,78,0)/1000,0),"-")</f>
        <v>40584</v>
      </c>
      <c r="AM73" s="235">
        <f>IFERROR(ROUND(VLOOKUP($H$2,'R5年度'!$B$6:$GJ$52,78,0)/1000,0),"-")</f>
        <v>19870</v>
      </c>
      <c r="AN73" s="235">
        <f>IFERROR(ROUND(VLOOKUP($H$2,'R6年度'!$B$6:$GJ$52,78,0)/1000,0),"-")</f>
        <v>42901</v>
      </c>
    </row>
    <row r="74" spans="2:40" ht="15.9" customHeight="1" thickBot="1" x14ac:dyDescent="0.2">
      <c r="B74" s="56"/>
      <c r="C74" s="487" t="s">
        <v>199</v>
      </c>
      <c r="D74" s="488"/>
      <c r="E74" s="215" t="str">
        <f>IFERROR(ROUND(VLOOKUP($H$2,'1年度'!$B$6:$GI$50,77,0)/1000,0),"-")</f>
        <v>-</v>
      </c>
      <c r="F74" s="215" t="str">
        <f>IFERROR(ROUND(VLOOKUP($H$2,'2年度'!$B$6:$GI$50,77,0)/1000,0),"-")</f>
        <v>-</v>
      </c>
      <c r="G74" s="215" t="str">
        <f>IFERROR(ROUND(VLOOKUP($H$2,'3年度'!$B$6:$GI$50,77,0)/1000,0),"-")</f>
        <v>-</v>
      </c>
      <c r="H74" s="215" t="str">
        <f>IFERROR(ROUND(VLOOKUP($H$2,'4年度'!$B$6:$GI$50,77,0)/1000,0),"-")</f>
        <v>-</v>
      </c>
      <c r="I74" s="215" t="str">
        <f>IFERROR(ROUND(VLOOKUP($H$2,'5年度'!$B$6:$GI$50,77,0)/1000,0),"-")</f>
        <v>-</v>
      </c>
      <c r="J74" s="215" t="str">
        <f>IFERROR(ROUND(VLOOKUP($H$2,'6年度'!$B$6:$GI$50,77,0)/1000,0),"-")</f>
        <v>-</v>
      </c>
      <c r="K74" s="215" t="str">
        <f>IFERROR(ROUND(VLOOKUP($H$2,'7年度'!$B$6:$GI$50,77,0)/1000,0),"-")</f>
        <v>-</v>
      </c>
      <c r="L74" s="215" t="str">
        <f>IFERROR(ROUND(VLOOKUP($H$2,'8年度'!$B$6:$GI$50,77,0)/1000,0),"-")</f>
        <v>-</v>
      </c>
      <c r="M74" s="215" t="str">
        <f>IFERROR(ROUND(VLOOKUP($H$2,'9年度'!$B$6:$GI$50,77,0)/1000,0),"-")</f>
        <v>-</v>
      </c>
      <c r="N74" s="215" t="str">
        <f>IFERROR(ROUND(VLOOKUP($H$2,'10年度'!$B$6:$GI$50,77,0)/1000,0),"-")</f>
        <v>-</v>
      </c>
      <c r="O74" s="215" t="str">
        <f>IFERROR(ROUND(VLOOKUP($H$2,'11年度'!$B$6:$GI$50,77,0)/1000,0),"-")</f>
        <v>-</v>
      </c>
      <c r="P74" s="215" t="str">
        <f>IFERROR(ROUND(VLOOKUP($H$2,'12年度'!$B$6:$GI$50,77,0)/1000,0),"-")</f>
        <v>-</v>
      </c>
      <c r="Q74" s="215" t="str">
        <f>IFERROR(ROUND(VLOOKUP($H$2,'13年度'!$B$6:$GI$50,77,0)/1000,0),"-")</f>
        <v>-</v>
      </c>
      <c r="R74" s="215" t="str">
        <f>IFERROR(ROUND(VLOOKUP($H$2,'14年度'!$B$6:$GI$50,77,0)/1000,0),"-")</f>
        <v>-</v>
      </c>
      <c r="S74" s="215" t="str">
        <f>IFERROR(ROUND(VLOOKUP($H$2,'15年度'!$B$6:$GI$50,77,0)/1000,0),"-")</f>
        <v>-</v>
      </c>
      <c r="T74" s="215" t="str">
        <f>IFERROR(ROUND(VLOOKUP($H$2,'16年度'!$B$6:$GI$50,77,0)/1000,0),"-")</f>
        <v>-</v>
      </c>
      <c r="U74" s="215" t="str">
        <f>IFERROR(ROUND(VLOOKUP($H$2,'17年度'!$B$6:$GI$50,77,0)/1000,0),"-")</f>
        <v>-</v>
      </c>
      <c r="V74" s="215" t="str">
        <f>IFERROR(ROUND(VLOOKUP($H$2,'18年度'!$B$6:$GI$50,77,0)/1000,0),"-")</f>
        <v>-</v>
      </c>
      <c r="W74" s="215" t="str">
        <f>IFERROR(ROUND(VLOOKUP($H$2,'19年度'!$B$6:$GI$50,77,0)/1000,0),"-")</f>
        <v>-</v>
      </c>
      <c r="X74" s="216" t="str">
        <f>IFERROR(ROUND(VLOOKUP($H$2,'20年度'!$B$6:$GI$50,77,0)/1000,0),"-")</f>
        <v>-</v>
      </c>
      <c r="Y74" s="216" t="str">
        <f>IFERROR(ROUND(VLOOKUP($H$2,'21年度'!$B$6:$GI$50,77,0)/1000,0),"-")</f>
        <v>-</v>
      </c>
      <c r="Z74" s="216" t="str">
        <f>IFERROR(ROUND(VLOOKUP($H$2,'22年度'!$B$6:$GI$50,77,0)/1000,0),"-")</f>
        <v>-</v>
      </c>
      <c r="AA74" s="216">
        <f>IFERROR(ROUND(VLOOKUP($H$2,'23年度'!$B$6:$GI$52,77,0)/1000,0),"-")</f>
        <v>29777</v>
      </c>
      <c r="AB74" s="215">
        <f>IFERROR(ROUND(VLOOKUP($H$2,'24年度'!$B$6:$GI$52,77,0)/1000,0),"-")</f>
        <v>31207</v>
      </c>
      <c r="AC74" s="217">
        <f>IFERROR(ROUND(VLOOKUP($H$2,'25年度'!$B$6:$GI$52,77,0)/1000,0),"-")</f>
        <v>33328</v>
      </c>
      <c r="AD74" s="216">
        <f>IFERROR(ROUND(VLOOKUP($H$2,'26年度'!$B$6:$GI$52,77,0)/1000,0),"-")</f>
        <v>33239</v>
      </c>
      <c r="AE74" s="215">
        <f>IFERROR(ROUND(VLOOKUP($H$2,'27年度'!$B$6:$GI$52,77,0)/1000,0),"-")</f>
        <v>35726</v>
      </c>
      <c r="AF74" s="215">
        <f>IFERROR(ROUND(VLOOKUP($H$2,'28年度'!$B$6:$GI$52,77,0)/1000,0),"-")</f>
        <v>34683</v>
      </c>
      <c r="AG74" s="217">
        <f>IFERROR(ROUND(VLOOKUP($H$2,'29年度'!$B$6:$GI$52,77,0)/1000,0),"-")</f>
        <v>35754</v>
      </c>
      <c r="AH74" s="216">
        <f>IFERROR(ROUND(VLOOKUP($H$2,'30年度'!$B$6:$GI$52,77,0)/1000,0),"-")</f>
        <v>36052</v>
      </c>
      <c r="AI74" s="215">
        <f>IFERROR(ROUND(VLOOKUP($H$2,'R1年度'!$B$6:$GJ$52,78,0)/1000,0),"-")</f>
        <v>36750</v>
      </c>
      <c r="AJ74" s="215">
        <f>IFERROR(ROUND(VLOOKUP($H$2,'R2年度'!$B$6:$GJ$52,79,0)/1000,0),"-")</f>
        <v>59493</v>
      </c>
      <c r="AK74" s="217">
        <f>IFERROR(ROUND(VLOOKUP($H$2,'R3年度'!$B$6:$GJ$52,79,0)/1000,0),"-")</f>
        <v>63610</v>
      </c>
      <c r="AL74" s="216">
        <f>IFERROR(ROUND(VLOOKUP($H$2,'R4年度'!$B$6:$GJ$52,79,0)/1000,0),"-")</f>
        <v>66165</v>
      </c>
      <c r="AM74" s="236">
        <f>IFERROR(ROUND(VLOOKUP($H$2,'R5年度'!$B$6:$GJ$52,79,0)/1000,0),"-")</f>
        <v>69281</v>
      </c>
      <c r="AN74" s="236">
        <f>IFERROR(ROUND(VLOOKUP($H$2,'R6年度'!$B$6:$GJ$52,79,0)/1000,0),"-")</f>
        <v>85880</v>
      </c>
    </row>
    <row r="75" spans="2:40" ht="15.9" customHeight="1" x14ac:dyDescent="0.15">
      <c r="B75" s="484" t="s">
        <v>200</v>
      </c>
      <c r="C75" s="485"/>
      <c r="D75" s="486"/>
      <c r="E75" s="189" t="str">
        <f>IFERROR(ROUND(VLOOKUP($H$2,'1年度'!$B$6:$GI$50,78,0)/1000,0),"-")</f>
        <v>-</v>
      </c>
      <c r="F75" s="189" t="str">
        <f>IFERROR(ROUND(VLOOKUP($H$2,'2年度'!$B$6:$GI$50,78,0)/1000,0),"-")</f>
        <v>-</v>
      </c>
      <c r="G75" s="189" t="str">
        <f>IFERROR(ROUND(VLOOKUP($H$2,'3年度'!$B$6:$GI$50,78,0)/1000,0),"-")</f>
        <v>-</v>
      </c>
      <c r="H75" s="189" t="str">
        <f>IFERROR(ROUND(VLOOKUP($H$2,'4年度'!$B$6:$GI$50,78,0)/1000,0),"-")</f>
        <v>-</v>
      </c>
      <c r="I75" s="189" t="str">
        <f>IFERROR(ROUND(VLOOKUP($H$2,'5年度'!$B$6:$GI$50,78,0)/1000,0),"-")</f>
        <v>-</v>
      </c>
      <c r="J75" s="189" t="str">
        <f>IFERROR(ROUND(VLOOKUP($H$2,'6年度'!$B$6:$GI$50,78,0)/1000,0),"-")</f>
        <v>-</v>
      </c>
      <c r="K75" s="189" t="str">
        <f>IFERROR(ROUND(VLOOKUP($H$2,'7年度'!$B$6:$GI$50,78,0)/1000,0),"-")</f>
        <v>-</v>
      </c>
      <c r="L75" s="189" t="str">
        <f>IFERROR(ROUND(VLOOKUP($H$2,'8年度'!$B$6:$GI$50,78,0)/1000,0),"-")</f>
        <v>-</v>
      </c>
      <c r="M75" s="189" t="str">
        <f>IFERROR(ROUND(VLOOKUP($H$2,'9年度'!$B$6:$GI$50,78,0)/1000,0),"-")</f>
        <v>-</v>
      </c>
      <c r="N75" s="189" t="str">
        <f>IFERROR(ROUND(VLOOKUP($H$2,'10年度'!$B$6:$GI$50,78,0)/1000,0),"-")</f>
        <v>-</v>
      </c>
      <c r="O75" s="189" t="str">
        <f>IFERROR(ROUND(VLOOKUP($H$2,'11年度'!$B$6:$GI$50,78,0)/1000,0),"-")</f>
        <v>-</v>
      </c>
      <c r="P75" s="189" t="str">
        <f>IFERROR(ROUND(VLOOKUP($H$2,'12年度'!$B$6:$GI$50,78,0)/1000,0),"-")</f>
        <v>-</v>
      </c>
      <c r="Q75" s="189" t="str">
        <f>IFERROR(ROUND(VLOOKUP($H$2,'13年度'!$B$6:$GI$50,78,0)/1000,0),"-")</f>
        <v>-</v>
      </c>
      <c r="R75" s="189" t="str">
        <f>IFERROR(ROUND(VLOOKUP($H$2,'14年度'!$B$6:$GI$50,78,0)/1000,0),"-")</f>
        <v>-</v>
      </c>
      <c r="S75" s="189" t="str">
        <f>IFERROR(ROUND(VLOOKUP($H$2,'15年度'!$B$6:$GI$50,78,0)/1000,0),"-")</f>
        <v>-</v>
      </c>
      <c r="T75" s="189" t="str">
        <f>IFERROR(ROUND(VLOOKUP($H$2,'16年度'!$B$6:$GI$50,78,0)/1000,0),"-")</f>
        <v>-</v>
      </c>
      <c r="U75" s="189" t="str">
        <f>IFERROR(ROUND(VLOOKUP($H$2,'17年度'!$B$6:$GI$50,78,0)/1000,0),"-")</f>
        <v>-</v>
      </c>
      <c r="V75" s="189" t="str">
        <f>IFERROR(ROUND(VLOOKUP($H$2,'18年度'!$B$6:$GI$50,78,0)/1000,0),"-")</f>
        <v>-</v>
      </c>
      <c r="W75" s="189" t="str">
        <f>IFERROR(ROUND(VLOOKUP($H$2,'19年度'!$B$6:$GI$50,78,0)/1000,0),"-")</f>
        <v>-</v>
      </c>
      <c r="X75" s="237" t="str">
        <f>IFERROR(ROUND(VLOOKUP($H$2,'20年度'!$B$6:$GI$50,78,0)/1000,0),"-")</f>
        <v>-</v>
      </c>
      <c r="Y75" s="237" t="str">
        <f>IFERROR(ROUND(VLOOKUP($H$2,'21年度'!$B$6:$GI$50,78,0)/1000,0),"-")</f>
        <v>-</v>
      </c>
      <c r="Z75" s="237" t="str">
        <f>IFERROR(ROUND(VLOOKUP($H$2,'22年度'!$B$6:$GI$50,78,0)/1000,0),"-")</f>
        <v>-</v>
      </c>
      <c r="AA75" s="237">
        <f>IFERROR(ROUND(VLOOKUP($H$2,'23年度'!$B$6:$GI$52,78,0)/1000,0),"-")</f>
        <v>1105949</v>
      </c>
      <c r="AB75" s="189">
        <f>IFERROR(ROUND(VLOOKUP($H$2,'24年度'!$B$6:$GI$52,78,0)/1000,0),"-")</f>
        <v>1119250</v>
      </c>
      <c r="AC75" s="238">
        <f>IFERROR(ROUND(VLOOKUP($H$2,'25年度'!$B$6:$GI$52,78,0)/1000,0),"-")</f>
        <v>1131324</v>
      </c>
      <c r="AD75" s="176">
        <f>IFERROR(ROUND(VLOOKUP($H$2,'26年度'!$B$6:$GI$52,78,0)/1000,0),"-")</f>
        <v>1185078</v>
      </c>
      <c r="AE75" s="175">
        <f>IFERROR(ROUND(VLOOKUP($H$2,'27年度'!$B$6:$GI$52,78,0)/1000,0),"-")</f>
        <v>1214950</v>
      </c>
      <c r="AF75" s="175">
        <f>IFERROR(ROUND(VLOOKUP($H$2,'28年度'!$B$6:$GI$52,78,0)/1000,0),"-")</f>
        <v>1256494</v>
      </c>
      <c r="AG75" s="177">
        <f>IFERROR(ROUND(VLOOKUP($H$2,'29年度'!$B$6:$GI$52,78,0)/1000,0),"-")</f>
        <v>1288238</v>
      </c>
      <c r="AH75" s="176">
        <f>IFERROR(ROUND(VLOOKUP($H$2,'30年度'!$B$6:$GI$52,78,0)/1000,0),"-")</f>
        <v>1283944</v>
      </c>
      <c r="AI75" s="175">
        <f>IFERROR(ROUND(VLOOKUP($H$2,'R1年度'!$B$6:$GJ$52,79,0)/1000,0),"-")</f>
        <v>1334174</v>
      </c>
      <c r="AJ75" s="175">
        <f>IFERROR(ROUND(VLOOKUP($H$2,'R2年度'!$B$6:$GJ$52,80,0)/1000,0),"-")</f>
        <v>1375012</v>
      </c>
      <c r="AK75" s="177">
        <f>IFERROR(ROUND(VLOOKUP($H$2,'R3年度'!$B$6:$GJ$52,80,0)/1000,0),"-")</f>
        <v>1624533</v>
      </c>
      <c r="AL75" s="176">
        <f>IFERROR(ROUND(VLOOKUP($H$2,'R4年度'!$B$6:$GJ$52,80,0)/1000,0),"-")</f>
        <v>1544235</v>
      </c>
      <c r="AM75" s="234">
        <f>IFERROR(ROUND(VLOOKUP($H$2,'R5年度'!$B$6:$GJ$52,80,0)/1000,0),"-")</f>
        <v>1644258</v>
      </c>
      <c r="AN75" s="234">
        <f>IFERROR(ROUND(VLOOKUP($H$2,'R6年度'!$B$6:$GJ$52,80,0)/1000,0),"-")</f>
        <v>1730687</v>
      </c>
    </row>
    <row r="76" spans="2:40" ht="15.9" customHeight="1" x14ac:dyDescent="0.15">
      <c r="B76" s="54"/>
      <c r="C76" s="478" t="s">
        <v>201</v>
      </c>
      <c r="D76" s="479"/>
      <c r="E76" s="202" t="str">
        <f>IFERROR(ROUND(VLOOKUP($H$2,'1年度'!$B$6:$GI$50,79,0)/1000,0),"-")</f>
        <v>-</v>
      </c>
      <c r="F76" s="202" t="str">
        <f>IFERROR(ROUND(VLOOKUP($H$2,'2年度'!$B$6:$GI$50,79,0)/1000,0),"-")</f>
        <v>-</v>
      </c>
      <c r="G76" s="202" t="str">
        <f>IFERROR(ROUND(VLOOKUP($H$2,'3年度'!$B$6:$GI$50,79,0)/1000,0),"-")</f>
        <v>-</v>
      </c>
      <c r="H76" s="202" t="str">
        <f>IFERROR(ROUND(VLOOKUP($H$2,'4年度'!$B$6:$GI$50,79,0)/1000,0),"-")</f>
        <v>-</v>
      </c>
      <c r="I76" s="202" t="str">
        <f>IFERROR(ROUND(VLOOKUP($H$2,'5年度'!$B$6:$GI$50,79,0)/1000,0),"-")</f>
        <v>-</v>
      </c>
      <c r="J76" s="202" t="str">
        <f>IFERROR(ROUND(VLOOKUP($H$2,'6年度'!$B$6:$GI$50,79,0)/1000,0),"-")</f>
        <v>-</v>
      </c>
      <c r="K76" s="202" t="str">
        <f>IFERROR(ROUND(VLOOKUP($H$2,'7年度'!$B$6:$GI$50,79,0)/1000,0),"-")</f>
        <v>-</v>
      </c>
      <c r="L76" s="202" t="str">
        <f>IFERROR(ROUND(VLOOKUP($H$2,'8年度'!$B$6:$GI$50,79,0)/1000,0),"-")</f>
        <v>-</v>
      </c>
      <c r="M76" s="202" t="str">
        <f>IFERROR(ROUND(VLOOKUP($H$2,'9年度'!$B$6:$GI$50,79,0)/1000,0),"-")</f>
        <v>-</v>
      </c>
      <c r="N76" s="202" t="str">
        <f>IFERROR(ROUND(VLOOKUP($H$2,'10年度'!$B$6:$GI$50,79,0)/1000,0),"-")</f>
        <v>-</v>
      </c>
      <c r="O76" s="202" t="str">
        <f>IFERROR(ROUND(VLOOKUP($H$2,'11年度'!$B$6:$GI$50,79,0)/1000,0),"-")</f>
        <v>-</v>
      </c>
      <c r="P76" s="202" t="str">
        <f>IFERROR(ROUND(VLOOKUP($H$2,'12年度'!$B$6:$GI$50,79,0)/1000,0),"-")</f>
        <v>-</v>
      </c>
      <c r="Q76" s="202" t="str">
        <f>IFERROR(ROUND(VLOOKUP($H$2,'13年度'!$B$6:$GI$50,79,0)/1000,0),"-")</f>
        <v>-</v>
      </c>
      <c r="R76" s="202" t="str">
        <f>IFERROR(ROUND(VLOOKUP($H$2,'14年度'!$B$6:$GI$50,79,0)/1000,0),"-")</f>
        <v>-</v>
      </c>
      <c r="S76" s="202" t="str">
        <f>IFERROR(ROUND(VLOOKUP($H$2,'15年度'!$B$6:$GI$50,79,0)/1000,0),"-")</f>
        <v>-</v>
      </c>
      <c r="T76" s="202" t="str">
        <f>IFERROR(ROUND(VLOOKUP($H$2,'16年度'!$B$6:$GI$50,79,0)/1000,0),"-")</f>
        <v>-</v>
      </c>
      <c r="U76" s="202" t="str">
        <f>IFERROR(ROUND(VLOOKUP($H$2,'17年度'!$B$6:$GI$50,79,0)/1000,0),"-")</f>
        <v>-</v>
      </c>
      <c r="V76" s="202" t="str">
        <f>IFERROR(ROUND(VLOOKUP($H$2,'18年度'!$B$6:$GI$50,79,0)/1000,0),"-")</f>
        <v>-</v>
      </c>
      <c r="W76" s="202" t="str">
        <f>IFERROR(ROUND(VLOOKUP($H$2,'19年度'!$B$6:$GI$50,79,0)/1000,0),"-")</f>
        <v>-</v>
      </c>
      <c r="X76" s="203" t="str">
        <f>IFERROR(ROUND(VLOOKUP($H$2,'20年度'!$B$6:$GI$50,79,0)/1000,0),"-")</f>
        <v>-</v>
      </c>
      <c r="Y76" s="203" t="str">
        <f>IFERROR(ROUND(VLOOKUP($H$2,'21年度'!$B$6:$GI$50,79,0)/1000,0),"-")</f>
        <v>-</v>
      </c>
      <c r="Z76" s="203" t="str">
        <f>IFERROR(ROUND(VLOOKUP($H$2,'22年度'!$B$6:$GI$50,79,0)/1000,0),"-")</f>
        <v>-</v>
      </c>
      <c r="AA76" s="203">
        <f>IFERROR(ROUND(VLOOKUP($H$2,'23年度'!$B$6:$GI$52,79,0)/1000,0),"-")</f>
        <v>153560</v>
      </c>
      <c r="AB76" s="202">
        <f>IFERROR(ROUND(VLOOKUP($H$2,'24年度'!$B$6:$GI$52,79,0)/1000,0),"-")</f>
        <v>172991</v>
      </c>
      <c r="AC76" s="204">
        <f>IFERROR(ROUND(VLOOKUP($H$2,'25年度'!$B$6:$GI$52,79,0)/1000,0),"-")</f>
        <v>183475</v>
      </c>
      <c r="AD76" s="203">
        <f>IFERROR(ROUND(VLOOKUP($H$2,'26年度'!$B$6:$GI$52,79,0)/1000,0),"-")</f>
        <v>216507</v>
      </c>
      <c r="AE76" s="202">
        <f>IFERROR(ROUND(VLOOKUP($H$2,'27年度'!$B$6:$GI$52,79,0)/1000,0),"-")</f>
        <v>221826</v>
      </c>
      <c r="AF76" s="202">
        <f>IFERROR(ROUND(VLOOKUP($H$2,'28年度'!$B$6:$GI$52,79,0)/1000,0),"-")</f>
        <v>257095</v>
      </c>
      <c r="AG76" s="204">
        <f>IFERROR(ROUND(VLOOKUP($H$2,'29年度'!$B$6:$GI$52,79,0)/1000,0),"-")</f>
        <v>267600</v>
      </c>
      <c r="AH76" s="203">
        <f>IFERROR(ROUND(VLOOKUP($H$2,'30年度'!$B$6:$GI$52,79,0)/1000,0),"-")</f>
        <v>263250</v>
      </c>
      <c r="AI76" s="202">
        <f>IFERROR(ROUND(VLOOKUP($H$2,'R1年度'!$B$6:$GJ$52,80,0)/1000,0),"-")</f>
        <v>284747</v>
      </c>
      <c r="AJ76" s="202">
        <f>IFERROR(ROUND(VLOOKUP($H$2,'R2年度'!$B$6:$GJ$52,81,0)/1000,0),"-")</f>
        <v>302207</v>
      </c>
      <c r="AK76" s="204">
        <f>IFERROR(ROUND(VLOOKUP($H$2,'R3年度'!$B$6:$GJ$52,81,0)/1000,0),"-")</f>
        <v>430699</v>
      </c>
      <c r="AL76" s="203">
        <f>IFERROR(ROUND(VLOOKUP($H$2,'R4年度'!$B$6:$GJ$52,81,0)/1000,0),"-")</f>
        <v>450880</v>
      </c>
      <c r="AM76" s="235">
        <f>IFERROR(ROUND(VLOOKUP($H$2,'R5年度'!$B$6:$GJ$52,81,0)/1000,0),"-")</f>
        <v>516367</v>
      </c>
      <c r="AN76" s="235">
        <f>IFERROR(ROUND(VLOOKUP($H$2,'R6年度'!$B$6:$GJ$52,81,0)/1000,0),"-")</f>
        <v>554453</v>
      </c>
    </row>
    <row r="77" spans="2:40" ht="15.9" customHeight="1" x14ac:dyDescent="0.15">
      <c r="B77" s="54"/>
      <c r="C77" s="478" t="s">
        <v>202</v>
      </c>
      <c r="D77" s="479"/>
      <c r="E77" s="202" t="str">
        <f>IFERROR(ROUND(VLOOKUP($H$2,'1年度'!$B$6:$GI$50,80,0)/1000,0),"-")</f>
        <v>-</v>
      </c>
      <c r="F77" s="202" t="str">
        <f>IFERROR(ROUND(VLOOKUP($H$2,'2年度'!$B$6:$GI$50,80,0)/1000,0),"-")</f>
        <v>-</v>
      </c>
      <c r="G77" s="202" t="str">
        <f>IFERROR(ROUND(VLOOKUP($H$2,'3年度'!$B$6:$GI$50,80,0)/1000,0),"-")</f>
        <v>-</v>
      </c>
      <c r="H77" s="202" t="str">
        <f>IFERROR(ROUND(VLOOKUP($H$2,'4年度'!$B$6:$GI$50,80,0)/1000,0),"-")</f>
        <v>-</v>
      </c>
      <c r="I77" s="202" t="str">
        <f>IFERROR(ROUND(VLOOKUP($H$2,'5年度'!$B$6:$GI$50,80,0)/1000,0),"-")</f>
        <v>-</v>
      </c>
      <c r="J77" s="202" t="str">
        <f>IFERROR(ROUND(VLOOKUP($H$2,'6年度'!$B$6:$GI$50,80,0)/1000,0),"-")</f>
        <v>-</v>
      </c>
      <c r="K77" s="202" t="str">
        <f>IFERROR(ROUND(VLOOKUP($H$2,'7年度'!$B$6:$GI$50,80,0)/1000,0),"-")</f>
        <v>-</v>
      </c>
      <c r="L77" s="202" t="str">
        <f>IFERROR(ROUND(VLOOKUP($H$2,'8年度'!$B$6:$GI$50,80,0)/1000,0),"-")</f>
        <v>-</v>
      </c>
      <c r="M77" s="202" t="str">
        <f>IFERROR(ROUND(VLOOKUP($H$2,'9年度'!$B$6:$GI$50,80,0)/1000,0),"-")</f>
        <v>-</v>
      </c>
      <c r="N77" s="202" t="str">
        <f>IFERROR(ROUND(VLOOKUP($H$2,'10年度'!$B$6:$GI$50,80,0)/1000,0),"-")</f>
        <v>-</v>
      </c>
      <c r="O77" s="202" t="str">
        <f>IFERROR(ROUND(VLOOKUP($H$2,'11年度'!$B$6:$GI$50,80,0)/1000,0),"-")</f>
        <v>-</v>
      </c>
      <c r="P77" s="202" t="str">
        <f>IFERROR(ROUND(VLOOKUP($H$2,'12年度'!$B$6:$GI$50,80,0)/1000,0),"-")</f>
        <v>-</v>
      </c>
      <c r="Q77" s="202" t="str">
        <f>IFERROR(ROUND(VLOOKUP($H$2,'13年度'!$B$6:$GI$50,80,0)/1000,0),"-")</f>
        <v>-</v>
      </c>
      <c r="R77" s="202" t="str">
        <f>IFERROR(ROUND(VLOOKUP($H$2,'14年度'!$B$6:$GI$50,80,0)/1000,0),"-")</f>
        <v>-</v>
      </c>
      <c r="S77" s="202" t="str">
        <f>IFERROR(ROUND(VLOOKUP($H$2,'15年度'!$B$6:$GI$50,80,0)/1000,0),"-")</f>
        <v>-</v>
      </c>
      <c r="T77" s="202" t="str">
        <f>IFERROR(ROUND(VLOOKUP($H$2,'16年度'!$B$6:$GI$50,80,0)/1000,0),"-")</f>
        <v>-</v>
      </c>
      <c r="U77" s="202" t="str">
        <f>IFERROR(ROUND(VLOOKUP($H$2,'17年度'!$B$6:$GI$50,80,0)/1000,0),"-")</f>
        <v>-</v>
      </c>
      <c r="V77" s="202" t="str">
        <f>IFERROR(ROUND(VLOOKUP($H$2,'18年度'!$B$6:$GI$50,80,0)/1000,0),"-")</f>
        <v>-</v>
      </c>
      <c r="W77" s="202" t="str">
        <f>IFERROR(ROUND(VLOOKUP($H$2,'19年度'!$B$6:$GI$50,80,0)/1000,0),"-")</f>
        <v>-</v>
      </c>
      <c r="X77" s="203" t="str">
        <f>IFERROR(ROUND(VLOOKUP($H$2,'20年度'!$B$6:$GI$50,80,0)/1000,0),"-")</f>
        <v>-</v>
      </c>
      <c r="Y77" s="203" t="str">
        <f>IFERROR(ROUND(VLOOKUP($H$2,'21年度'!$B$6:$GI$50,80,0)/1000,0),"-")</f>
        <v>-</v>
      </c>
      <c r="Z77" s="203" t="str">
        <f>IFERROR(ROUND(VLOOKUP($H$2,'22年度'!$B$6:$GI$50,80,0)/1000,0),"-")</f>
        <v>-</v>
      </c>
      <c r="AA77" s="203">
        <f>IFERROR(ROUND(VLOOKUP($H$2,'23年度'!$B$6:$GI$52,80,0)/1000,0),"-")</f>
        <v>19132</v>
      </c>
      <c r="AB77" s="202">
        <f>IFERROR(ROUND(VLOOKUP($H$2,'24年度'!$B$6:$GI$52,80,0)/1000,0),"-")</f>
        <v>19226</v>
      </c>
      <c r="AC77" s="204">
        <f>IFERROR(ROUND(VLOOKUP($H$2,'25年度'!$B$6:$GI$52,80,0)/1000,0),"-")</f>
        <v>19424</v>
      </c>
      <c r="AD77" s="203">
        <f>IFERROR(ROUND(VLOOKUP($H$2,'26年度'!$B$6:$GI$52,80,0)/1000,0),"-")</f>
        <v>19772</v>
      </c>
      <c r="AE77" s="202">
        <f>IFERROR(ROUND(VLOOKUP($H$2,'27年度'!$B$6:$GI$52,80,0)/1000,0),"-")</f>
        <v>20333</v>
      </c>
      <c r="AF77" s="202">
        <f>IFERROR(ROUND(VLOOKUP($H$2,'28年度'!$B$6:$GI$52,80,0)/1000,0),"-")</f>
        <v>20327</v>
      </c>
      <c r="AG77" s="204">
        <f>IFERROR(ROUND(VLOOKUP($H$2,'29年度'!$B$6:$GI$52,80,0)/1000,0),"-")</f>
        <v>20651</v>
      </c>
      <c r="AH77" s="203">
        <f>IFERROR(ROUND(VLOOKUP($H$2,'30年度'!$B$6:$GI$52,80,0)/1000,0),"-")</f>
        <v>12098</v>
      </c>
      <c r="AI77" s="202">
        <f>IFERROR(ROUND(VLOOKUP($H$2,'R1年度'!$B$6:$GJ$52,81,0)/1000,0),"-")</f>
        <v>7209</v>
      </c>
      <c r="AJ77" s="202">
        <f>IFERROR(ROUND(VLOOKUP($H$2,'R2年度'!$B$6:$GJ$52,82,0)/1000,0),"-")</f>
        <v>6686</v>
      </c>
      <c r="AK77" s="204">
        <f>IFERROR(ROUND(VLOOKUP($H$2,'R3年度'!$B$6:$GJ$52,82,0)/1000,0),"-")</f>
        <v>4639</v>
      </c>
      <c r="AL77" s="203">
        <f>IFERROR(ROUND(VLOOKUP($H$2,'R4年度'!$B$6:$GJ$52,82,0)/1000,0),"-")</f>
        <v>4713</v>
      </c>
      <c r="AM77" s="235">
        <f>IFERROR(ROUND(VLOOKUP($H$2,'R5年度'!$B$6:$GJ$52,82,0)/1000,0),"-")</f>
        <v>4497</v>
      </c>
      <c r="AN77" s="235">
        <f>IFERROR(ROUND(VLOOKUP($H$2,'R6年度'!$B$6:$GJ$52,82,0)/1000,0),"-")</f>
        <v>4503</v>
      </c>
    </row>
    <row r="78" spans="2:40" ht="15.9" customHeight="1" x14ac:dyDescent="0.15">
      <c r="B78" s="54"/>
      <c r="C78" s="478" t="s">
        <v>203</v>
      </c>
      <c r="D78" s="479"/>
      <c r="E78" s="202" t="str">
        <f>IFERROR(ROUND(VLOOKUP($H$2,'1年度'!$B$6:$GI$50,81,0)/1000,0),"-")</f>
        <v>-</v>
      </c>
      <c r="F78" s="202" t="str">
        <f>IFERROR(ROUND(VLOOKUP($H$2,'2年度'!$B$6:$GI$50,81,0)/1000,0),"-")</f>
        <v>-</v>
      </c>
      <c r="G78" s="202" t="str">
        <f>IFERROR(ROUND(VLOOKUP($H$2,'3年度'!$B$6:$GI$50,81,0)/1000,0),"-")</f>
        <v>-</v>
      </c>
      <c r="H78" s="202" t="str">
        <f>IFERROR(ROUND(VLOOKUP($H$2,'4年度'!$B$6:$GI$50,81,0)/1000,0),"-")</f>
        <v>-</v>
      </c>
      <c r="I78" s="202" t="str">
        <f>IFERROR(ROUND(VLOOKUP($H$2,'5年度'!$B$6:$GI$50,81,0)/1000,0),"-")</f>
        <v>-</v>
      </c>
      <c r="J78" s="202" t="str">
        <f>IFERROR(ROUND(VLOOKUP($H$2,'6年度'!$B$6:$GI$50,81,0)/1000,0),"-")</f>
        <v>-</v>
      </c>
      <c r="K78" s="202" t="str">
        <f>IFERROR(ROUND(VLOOKUP($H$2,'7年度'!$B$6:$GI$50,81,0)/1000,0),"-")</f>
        <v>-</v>
      </c>
      <c r="L78" s="202" t="str">
        <f>IFERROR(ROUND(VLOOKUP($H$2,'8年度'!$B$6:$GI$50,81,0)/1000,0),"-")</f>
        <v>-</v>
      </c>
      <c r="M78" s="202" t="str">
        <f>IFERROR(ROUND(VLOOKUP($H$2,'9年度'!$B$6:$GI$50,81,0)/1000,0),"-")</f>
        <v>-</v>
      </c>
      <c r="N78" s="202" t="str">
        <f>IFERROR(ROUND(VLOOKUP($H$2,'10年度'!$B$6:$GI$50,81,0)/1000,0),"-")</f>
        <v>-</v>
      </c>
      <c r="O78" s="202" t="str">
        <f>IFERROR(ROUND(VLOOKUP($H$2,'11年度'!$B$6:$GI$50,81,0)/1000,0),"-")</f>
        <v>-</v>
      </c>
      <c r="P78" s="202" t="str">
        <f>IFERROR(ROUND(VLOOKUP($H$2,'12年度'!$B$6:$GI$50,81,0)/1000,0),"-")</f>
        <v>-</v>
      </c>
      <c r="Q78" s="202" t="str">
        <f>IFERROR(ROUND(VLOOKUP($H$2,'13年度'!$B$6:$GI$50,81,0)/1000,0),"-")</f>
        <v>-</v>
      </c>
      <c r="R78" s="202" t="str">
        <f>IFERROR(ROUND(VLOOKUP($H$2,'14年度'!$B$6:$GI$50,81,0)/1000,0),"-")</f>
        <v>-</v>
      </c>
      <c r="S78" s="202" t="str">
        <f>IFERROR(ROUND(VLOOKUP($H$2,'15年度'!$B$6:$GI$50,81,0)/1000,0),"-")</f>
        <v>-</v>
      </c>
      <c r="T78" s="202" t="str">
        <f>IFERROR(ROUND(VLOOKUP($H$2,'16年度'!$B$6:$GI$50,81,0)/1000,0),"-")</f>
        <v>-</v>
      </c>
      <c r="U78" s="202" t="str">
        <f>IFERROR(ROUND(VLOOKUP($H$2,'17年度'!$B$6:$GI$50,81,0)/1000,0),"-")</f>
        <v>-</v>
      </c>
      <c r="V78" s="202" t="str">
        <f>IFERROR(ROUND(VLOOKUP($H$2,'18年度'!$B$6:$GI$50,81,0)/1000,0),"-")</f>
        <v>-</v>
      </c>
      <c r="W78" s="202" t="str">
        <f>IFERROR(ROUND(VLOOKUP($H$2,'19年度'!$B$6:$GI$50,81,0)/1000,0),"-")</f>
        <v>-</v>
      </c>
      <c r="X78" s="203" t="str">
        <f>IFERROR(ROUND(VLOOKUP($H$2,'20年度'!$B$6:$GI$50,81,0)/1000,0),"-")</f>
        <v>-</v>
      </c>
      <c r="Y78" s="203" t="str">
        <f>IFERROR(ROUND(VLOOKUP($H$2,'21年度'!$B$6:$GI$50,81,0)/1000,0),"-")</f>
        <v>-</v>
      </c>
      <c r="Z78" s="203" t="str">
        <f>IFERROR(ROUND(VLOOKUP($H$2,'22年度'!$B$6:$GI$50,81,0)/1000,0),"-")</f>
        <v>-</v>
      </c>
      <c r="AA78" s="203">
        <f>IFERROR(ROUND(VLOOKUP($H$2,'23年度'!$B$6:$GI$52,81,0)/1000,0),"-")</f>
        <v>362361</v>
      </c>
      <c r="AB78" s="202">
        <f>IFERROR(ROUND(VLOOKUP($H$2,'24年度'!$B$6:$GI$52,81,0)/1000,0),"-")</f>
        <v>350897</v>
      </c>
      <c r="AC78" s="204">
        <f>IFERROR(ROUND(VLOOKUP($H$2,'25年度'!$B$6:$GI$52,81,0)/1000,0),"-")</f>
        <v>354353</v>
      </c>
      <c r="AD78" s="203">
        <f>IFERROR(ROUND(VLOOKUP($H$2,'26年度'!$B$6:$GI$52,81,0)/1000,0),"-")</f>
        <v>370958</v>
      </c>
      <c r="AE78" s="202">
        <f>IFERROR(ROUND(VLOOKUP($H$2,'27年度'!$B$6:$GI$52,81,0)/1000,0),"-")</f>
        <v>390403</v>
      </c>
      <c r="AF78" s="202">
        <f>IFERROR(ROUND(VLOOKUP($H$2,'28年度'!$B$6:$GI$52,81,0)/1000,0),"-")</f>
        <v>401169</v>
      </c>
      <c r="AG78" s="204">
        <f>IFERROR(ROUND(VLOOKUP($H$2,'29年度'!$B$6:$GI$52,81,0)/1000,0),"-")</f>
        <v>423120</v>
      </c>
      <c r="AH78" s="203">
        <f>IFERROR(ROUND(VLOOKUP($H$2,'30年度'!$B$6:$GI$52,81,0)/1000,0),"-")</f>
        <v>436888</v>
      </c>
      <c r="AI78" s="202">
        <f>IFERROR(ROUND(VLOOKUP($H$2,'R1年度'!$B$6:$GJ$52,82,0)/1000,0),"-")</f>
        <v>466029</v>
      </c>
      <c r="AJ78" s="202">
        <f>IFERROR(ROUND(VLOOKUP($H$2,'R2年度'!$B$6:$GJ$52,83,0)/1000,0),"-")</f>
        <v>495886</v>
      </c>
      <c r="AK78" s="204">
        <f>IFERROR(ROUND(VLOOKUP($H$2,'R3年度'!$B$6:$GJ$52,83,0)/1000,0),"-")</f>
        <v>614033</v>
      </c>
      <c r="AL78" s="203">
        <f>IFERROR(ROUND(VLOOKUP($H$2,'R4年度'!$B$6:$GJ$52,83,0)/1000,0),"-")</f>
        <v>507799</v>
      </c>
      <c r="AM78" s="235">
        <f>IFERROR(ROUND(VLOOKUP($H$2,'R5年度'!$B$6:$GJ$52,83,0)/1000,0),"-")</f>
        <v>538568</v>
      </c>
      <c r="AN78" s="235">
        <f>IFERROR(ROUND(VLOOKUP($H$2,'R6年度'!$B$6:$GJ$52,83,0)/1000,0),"-")</f>
        <v>583203</v>
      </c>
    </row>
    <row r="79" spans="2:40" ht="15.9" customHeight="1" x14ac:dyDescent="0.15">
      <c r="B79" s="54"/>
      <c r="C79" s="478" t="s">
        <v>204</v>
      </c>
      <c r="D79" s="479"/>
      <c r="E79" s="202" t="str">
        <f>IFERROR(ROUND(VLOOKUP($H$2,'1年度'!$B$6:$GI$50,82,0)/1000,0),"-")</f>
        <v>-</v>
      </c>
      <c r="F79" s="202" t="str">
        <f>IFERROR(ROUND(VLOOKUP($H$2,'2年度'!$B$6:$GI$50,82,0)/1000,0),"-")</f>
        <v>-</v>
      </c>
      <c r="G79" s="202" t="str">
        <f>IFERROR(ROUND(VLOOKUP($H$2,'3年度'!$B$6:$GI$50,82,0)/1000,0),"-")</f>
        <v>-</v>
      </c>
      <c r="H79" s="202" t="str">
        <f>IFERROR(ROUND(VLOOKUP($H$2,'4年度'!$B$6:$GI$50,82,0)/1000,0),"-")</f>
        <v>-</v>
      </c>
      <c r="I79" s="202" t="str">
        <f>IFERROR(ROUND(VLOOKUP($H$2,'5年度'!$B$6:$GI$50,82,0)/1000,0),"-")</f>
        <v>-</v>
      </c>
      <c r="J79" s="202" t="str">
        <f>IFERROR(ROUND(VLOOKUP($H$2,'6年度'!$B$6:$GI$50,82,0)/1000,0),"-")</f>
        <v>-</v>
      </c>
      <c r="K79" s="202" t="str">
        <f>IFERROR(ROUND(VLOOKUP($H$2,'7年度'!$B$6:$GI$50,82,0)/1000,0),"-")</f>
        <v>-</v>
      </c>
      <c r="L79" s="202" t="str">
        <f>IFERROR(ROUND(VLOOKUP($H$2,'8年度'!$B$6:$GI$50,82,0)/1000,0),"-")</f>
        <v>-</v>
      </c>
      <c r="M79" s="202" t="str">
        <f>IFERROR(ROUND(VLOOKUP($H$2,'9年度'!$B$6:$GI$50,82,0)/1000,0),"-")</f>
        <v>-</v>
      </c>
      <c r="N79" s="202" t="str">
        <f>IFERROR(ROUND(VLOOKUP($H$2,'10年度'!$B$6:$GI$50,82,0)/1000,0),"-")</f>
        <v>-</v>
      </c>
      <c r="O79" s="202" t="str">
        <f>IFERROR(ROUND(VLOOKUP($H$2,'11年度'!$B$6:$GI$50,82,0)/1000,0),"-")</f>
        <v>-</v>
      </c>
      <c r="P79" s="202" t="str">
        <f>IFERROR(ROUND(VLOOKUP($H$2,'12年度'!$B$6:$GI$50,82,0)/1000,0),"-")</f>
        <v>-</v>
      </c>
      <c r="Q79" s="202" t="str">
        <f>IFERROR(ROUND(VLOOKUP($H$2,'13年度'!$B$6:$GI$50,82,0)/1000,0),"-")</f>
        <v>-</v>
      </c>
      <c r="R79" s="202" t="str">
        <f>IFERROR(ROUND(VLOOKUP($H$2,'14年度'!$B$6:$GI$50,82,0)/1000,0),"-")</f>
        <v>-</v>
      </c>
      <c r="S79" s="202" t="str">
        <f>IFERROR(ROUND(VLOOKUP($H$2,'15年度'!$B$6:$GI$50,82,0)/1000,0),"-")</f>
        <v>-</v>
      </c>
      <c r="T79" s="202" t="str">
        <f>IFERROR(ROUND(VLOOKUP($H$2,'16年度'!$B$6:$GI$50,82,0)/1000,0),"-")</f>
        <v>-</v>
      </c>
      <c r="U79" s="202" t="str">
        <f>IFERROR(ROUND(VLOOKUP($H$2,'17年度'!$B$6:$GI$50,82,0)/1000,0),"-")</f>
        <v>-</v>
      </c>
      <c r="V79" s="202" t="str">
        <f>IFERROR(ROUND(VLOOKUP($H$2,'18年度'!$B$6:$GI$50,82,0)/1000,0),"-")</f>
        <v>-</v>
      </c>
      <c r="W79" s="202" t="str">
        <f>IFERROR(ROUND(VLOOKUP($H$2,'19年度'!$B$6:$GI$50,82,0)/1000,0),"-")</f>
        <v>-</v>
      </c>
      <c r="X79" s="203" t="str">
        <f>IFERROR(ROUND(VLOOKUP($H$2,'20年度'!$B$6:$GI$50,82,0)/1000,0),"-")</f>
        <v>-</v>
      </c>
      <c r="Y79" s="203" t="str">
        <f>IFERROR(ROUND(VLOOKUP($H$2,'21年度'!$B$6:$GI$50,82,0)/1000,0),"-")</f>
        <v>-</v>
      </c>
      <c r="Z79" s="203" t="str">
        <f>IFERROR(ROUND(VLOOKUP($H$2,'22年度'!$B$6:$GI$50,82,0)/1000,0),"-")</f>
        <v>-</v>
      </c>
      <c r="AA79" s="203">
        <f>IFERROR(ROUND(VLOOKUP($H$2,'23年度'!$B$6:$GI$52,82,0)/1000,0),"-")</f>
        <v>541426</v>
      </c>
      <c r="AB79" s="202">
        <f>IFERROR(ROUND(VLOOKUP($H$2,'24年度'!$B$6:$GI$52,82,0)/1000,0),"-")</f>
        <v>547613</v>
      </c>
      <c r="AC79" s="204">
        <f>IFERROR(ROUND(VLOOKUP($H$2,'25年度'!$B$6:$GI$52,82,0)/1000,0),"-")</f>
        <v>546420</v>
      </c>
      <c r="AD79" s="203">
        <f>IFERROR(ROUND(VLOOKUP($H$2,'26年度'!$B$6:$GI$52,82,0)/1000,0),"-")</f>
        <v>550757</v>
      </c>
      <c r="AE79" s="202">
        <f>IFERROR(ROUND(VLOOKUP($H$2,'27年度'!$B$6:$GI$52,82,0)/1000,0),"-")</f>
        <v>550205</v>
      </c>
      <c r="AF79" s="202">
        <f>IFERROR(ROUND(VLOOKUP($H$2,'28年度'!$B$6:$GI$52,82,0)/1000,0),"-")</f>
        <v>543434</v>
      </c>
      <c r="AG79" s="204">
        <f>IFERROR(ROUND(VLOOKUP($H$2,'29年度'!$B$6:$GI$52,82,0)/1000,0),"-")</f>
        <v>538375</v>
      </c>
      <c r="AH79" s="203">
        <f>IFERROR(ROUND(VLOOKUP($H$2,'30年度'!$B$6:$GI$52,82,0)/1000,0),"-")</f>
        <v>526585</v>
      </c>
      <c r="AI79" s="202">
        <f>IFERROR(ROUND(VLOOKUP($H$2,'R1年度'!$B$6:$GJ$52,83,0)/1000,0),"-")</f>
        <v>520253</v>
      </c>
      <c r="AJ79" s="202">
        <f>IFERROR(ROUND(VLOOKUP($H$2,'R2年度'!$B$6:$GJ$52,84,0)/1000,0),"-")</f>
        <v>507263</v>
      </c>
      <c r="AK79" s="204">
        <f>IFERROR(ROUND(VLOOKUP($H$2,'R3年度'!$B$6:$GJ$52,84,0)/1000,0),"-")</f>
        <v>500863</v>
      </c>
      <c r="AL79" s="203">
        <f>IFERROR(ROUND(VLOOKUP($H$2,'R4年度'!$B$6:$GJ$52,84,0)/1000,0),"-")</f>
        <v>499353</v>
      </c>
      <c r="AM79" s="235">
        <f>IFERROR(ROUND(VLOOKUP($H$2,'R5年度'!$B$6:$GJ$52,84,0)/1000,0),"-")</f>
        <v>513233</v>
      </c>
      <c r="AN79" s="235">
        <f>IFERROR(ROUND(VLOOKUP($H$2,'R6年度'!$B$6:$GJ$52,84,0)/1000,0),"-")</f>
        <v>517485</v>
      </c>
    </row>
    <row r="80" spans="2:40" ht="15.9" customHeight="1" x14ac:dyDescent="0.15">
      <c r="B80" s="54"/>
      <c r="C80" s="478" t="s">
        <v>205</v>
      </c>
      <c r="D80" s="479"/>
      <c r="E80" s="202" t="str">
        <f>IFERROR(ROUND(VLOOKUP($H$2,'1年度'!$B$6:$GI$50,83,0)/1000,0),"-")</f>
        <v>-</v>
      </c>
      <c r="F80" s="202" t="str">
        <f>IFERROR(ROUND(VLOOKUP($H$2,'2年度'!$B$6:$GI$50,83,0)/1000,0),"-")</f>
        <v>-</v>
      </c>
      <c r="G80" s="202" t="str">
        <f>IFERROR(ROUND(VLOOKUP($H$2,'3年度'!$B$6:$GI$50,83,0)/1000,0),"-")</f>
        <v>-</v>
      </c>
      <c r="H80" s="202" t="str">
        <f>IFERROR(ROUND(VLOOKUP($H$2,'4年度'!$B$6:$GI$50,83,0)/1000,0),"-")</f>
        <v>-</v>
      </c>
      <c r="I80" s="202" t="str">
        <f>IFERROR(ROUND(VLOOKUP($H$2,'5年度'!$B$6:$GI$50,83,0)/1000,0),"-")</f>
        <v>-</v>
      </c>
      <c r="J80" s="202" t="str">
        <f>IFERROR(ROUND(VLOOKUP($H$2,'6年度'!$B$6:$GI$50,83,0)/1000,0),"-")</f>
        <v>-</v>
      </c>
      <c r="K80" s="202" t="str">
        <f>IFERROR(ROUND(VLOOKUP($H$2,'7年度'!$B$6:$GI$50,83,0)/1000,0),"-")</f>
        <v>-</v>
      </c>
      <c r="L80" s="202" t="str">
        <f>IFERROR(ROUND(VLOOKUP($H$2,'8年度'!$B$6:$GI$50,83,0)/1000,0),"-")</f>
        <v>-</v>
      </c>
      <c r="M80" s="202" t="str">
        <f>IFERROR(ROUND(VLOOKUP($H$2,'9年度'!$B$6:$GI$50,83,0)/1000,0),"-")</f>
        <v>-</v>
      </c>
      <c r="N80" s="202" t="str">
        <f>IFERROR(ROUND(VLOOKUP($H$2,'10年度'!$B$6:$GI$50,83,0)/1000,0),"-")</f>
        <v>-</v>
      </c>
      <c r="O80" s="202" t="str">
        <f>IFERROR(ROUND(VLOOKUP($H$2,'11年度'!$B$6:$GI$50,83,0)/1000,0),"-")</f>
        <v>-</v>
      </c>
      <c r="P80" s="202" t="str">
        <f>IFERROR(ROUND(VLOOKUP($H$2,'12年度'!$B$6:$GI$50,83,0)/1000,0),"-")</f>
        <v>-</v>
      </c>
      <c r="Q80" s="202" t="str">
        <f>IFERROR(ROUND(VLOOKUP($H$2,'13年度'!$B$6:$GI$50,83,0)/1000,0),"-")</f>
        <v>-</v>
      </c>
      <c r="R80" s="202" t="str">
        <f>IFERROR(ROUND(VLOOKUP($H$2,'14年度'!$B$6:$GI$50,83,0)/1000,0),"-")</f>
        <v>-</v>
      </c>
      <c r="S80" s="202" t="str">
        <f>IFERROR(ROUND(VLOOKUP($H$2,'15年度'!$B$6:$GI$50,83,0)/1000,0),"-")</f>
        <v>-</v>
      </c>
      <c r="T80" s="202" t="str">
        <f>IFERROR(ROUND(VLOOKUP($H$2,'16年度'!$B$6:$GI$50,83,0)/1000,0),"-")</f>
        <v>-</v>
      </c>
      <c r="U80" s="202" t="str">
        <f>IFERROR(ROUND(VLOOKUP($H$2,'17年度'!$B$6:$GI$50,83,0)/1000,0),"-")</f>
        <v>-</v>
      </c>
      <c r="V80" s="202" t="str">
        <f>IFERROR(ROUND(VLOOKUP($H$2,'18年度'!$B$6:$GI$50,83,0)/1000,0),"-")</f>
        <v>-</v>
      </c>
      <c r="W80" s="202" t="str">
        <f>IFERROR(ROUND(VLOOKUP($H$2,'19年度'!$B$6:$GI$50,83,0)/1000,0),"-")</f>
        <v>-</v>
      </c>
      <c r="X80" s="203" t="str">
        <f>IFERROR(ROUND(VLOOKUP($H$2,'20年度'!$B$6:$GI$50,83,0)/1000,0),"-")</f>
        <v>-</v>
      </c>
      <c r="Y80" s="203" t="str">
        <f>IFERROR(ROUND(VLOOKUP($H$2,'21年度'!$B$6:$GI$50,83,0)/1000,0),"-")</f>
        <v>-</v>
      </c>
      <c r="Z80" s="203" t="str">
        <f>IFERROR(ROUND(VLOOKUP($H$2,'22年度'!$B$6:$GI$50,83,0)/1000,0),"-")</f>
        <v>-</v>
      </c>
      <c r="AA80" s="203">
        <f>IFERROR(ROUND(VLOOKUP($H$2,'23年度'!$B$6:$GI$52,83,0)/1000,0),"-")</f>
        <v>19429</v>
      </c>
      <c r="AB80" s="202">
        <f>IFERROR(ROUND(VLOOKUP($H$2,'24年度'!$B$6:$GI$52,83,0)/1000,0),"-")</f>
        <v>18709</v>
      </c>
      <c r="AC80" s="204">
        <f>IFERROR(ROUND(VLOOKUP($H$2,'25年度'!$B$6:$GI$52,83,0)/1000,0),"-")</f>
        <v>18422</v>
      </c>
      <c r="AD80" s="203">
        <f>IFERROR(ROUND(VLOOKUP($H$2,'26年度'!$B$6:$GI$52,83,0)/1000,0),"-")</f>
        <v>17672</v>
      </c>
      <c r="AE80" s="202">
        <f>IFERROR(ROUND(VLOOKUP($H$2,'27年度'!$B$6:$GI$52,83,0)/1000,0),"-")</f>
        <v>17074</v>
      </c>
      <c r="AF80" s="202">
        <f>IFERROR(ROUND(VLOOKUP($H$2,'28年度'!$B$6:$GI$52,83,0)/1000,0),"-")</f>
        <v>17002</v>
      </c>
      <c r="AG80" s="204">
        <f>IFERROR(ROUND(VLOOKUP($H$2,'29年度'!$B$6:$GI$52,83,0)/1000,0),"-")</f>
        <v>16573</v>
      </c>
      <c r="AH80" s="203">
        <f>IFERROR(ROUND(VLOOKUP($H$2,'30年度'!$B$6:$GI$52,83,0)/1000,0),"-")</f>
        <v>21276</v>
      </c>
      <c r="AI80" s="202">
        <f>IFERROR(ROUND(VLOOKUP($H$2,'R1年度'!$B$6:$GJ$52,84,0)/1000,0),"-")</f>
        <v>22124</v>
      </c>
      <c r="AJ80" s="202">
        <f>IFERROR(ROUND(VLOOKUP($H$2,'R2年度'!$B$6:$GJ$52,85,0)/1000,0),"-")</f>
        <v>24877</v>
      </c>
      <c r="AK80" s="204">
        <f>IFERROR(ROUND(VLOOKUP($H$2,'R3年度'!$B$6:$GJ$52,85,0)/1000,0),"-")</f>
        <v>33379</v>
      </c>
      <c r="AL80" s="203">
        <f>IFERROR(ROUND(VLOOKUP($H$2,'R4年度'!$B$6:$GJ$52,85,0)/1000,0),"-")</f>
        <v>41229</v>
      </c>
      <c r="AM80" s="235">
        <f>IFERROR(ROUND(VLOOKUP($H$2,'R5年度'!$B$6:$GJ$52,85,0)/1000,0),"-")</f>
        <v>29103</v>
      </c>
      <c r="AN80" s="235">
        <f>IFERROR(ROUND(VLOOKUP($H$2,'R6年度'!$B$6:$GJ$52,85,0)/1000,0),"-")</f>
        <v>26469</v>
      </c>
    </row>
    <row r="81" spans="2:40" ht="15.9" customHeight="1" thickBot="1" x14ac:dyDescent="0.2">
      <c r="B81" s="56"/>
      <c r="C81" s="487" t="s">
        <v>206</v>
      </c>
      <c r="D81" s="488"/>
      <c r="E81" s="179" t="str">
        <f>IFERROR(ROUND(VLOOKUP($H$2,'1年度'!$B$6:$GI$50,84,0)/1000,0),"-")</f>
        <v>-</v>
      </c>
      <c r="F81" s="179" t="str">
        <f>IFERROR(ROUND(VLOOKUP($H$2,'2年度'!$B$6:$GI$50,84,0)/1000,0),"-")</f>
        <v>-</v>
      </c>
      <c r="G81" s="179" t="str">
        <f>IFERROR(ROUND(VLOOKUP($H$2,'3年度'!$B$6:$GI$50,84,0)/1000,0),"-")</f>
        <v>-</v>
      </c>
      <c r="H81" s="179" t="str">
        <f>IFERROR(ROUND(VLOOKUP($H$2,'4年度'!$B$6:$GI$50,84,0)/1000,0),"-")</f>
        <v>-</v>
      </c>
      <c r="I81" s="179" t="str">
        <f>IFERROR(ROUND(VLOOKUP($H$2,'5年度'!$B$6:$GI$50,84,0)/1000,0),"-")</f>
        <v>-</v>
      </c>
      <c r="J81" s="179" t="str">
        <f>IFERROR(ROUND(VLOOKUP($H$2,'6年度'!$B$6:$GI$50,84,0)/1000,0),"-")</f>
        <v>-</v>
      </c>
      <c r="K81" s="179" t="str">
        <f>IFERROR(ROUND(VLOOKUP($H$2,'7年度'!$B$6:$GI$50,84,0)/1000,0),"-")</f>
        <v>-</v>
      </c>
      <c r="L81" s="179" t="str">
        <f>IFERROR(ROUND(VLOOKUP($H$2,'8年度'!$B$6:$GI$50,84,0)/1000,0),"-")</f>
        <v>-</v>
      </c>
      <c r="M81" s="179" t="str">
        <f>IFERROR(ROUND(VLOOKUP($H$2,'9年度'!$B$6:$GI$50,84,0)/1000,0),"-")</f>
        <v>-</v>
      </c>
      <c r="N81" s="179" t="str">
        <f>IFERROR(ROUND(VLOOKUP($H$2,'10年度'!$B$6:$GI$50,84,0)/1000,0),"-")</f>
        <v>-</v>
      </c>
      <c r="O81" s="179" t="str">
        <f>IFERROR(ROUND(VLOOKUP($H$2,'11年度'!$B$6:$GI$50,84,0)/1000,0),"-")</f>
        <v>-</v>
      </c>
      <c r="P81" s="179" t="str">
        <f>IFERROR(ROUND(VLOOKUP($H$2,'12年度'!$B$6:$GI$50,84,0)/1000,0),"-")</f>
        <v>-</v>
      </c>
      <c r="Q81" s="179" t="str">
        <f>IFERROR(ROUND(VLOOKUP($H$2,'13年度'!$B$6:$GI$50,84,0)/1000,0),"-")</f>
        <v>-</v>
      </c>
      <c r="R81" s="179" t="str">
        <f>IFERROR(ROUND(VLOOKUP($H$2,'14年度'!$B$6:$GI$50,84,0)/1000,0),"-")</f>
        <v>-</v>
      </c>
      <c r="S81" s="179" t="str">
        <f>IFERROR(ROUND(VLOOKUP($H$2,'15年度'!$B$6:$GI$50,84,0)/1000,0),"-")</f>
        <v>-</v>
      </c>
      <c r="T81" s="179" t="str">
        <f>IFERROR(ROUND(VLOOKUP($H$2,'16年度'!$B$6:$GI$50,84,0)/1000,0),"-")</f>
        <v>-</v>
      </c>
      <c r="U81" s="179" t="str">
        <f>IFERROR(ROUND(VLOOKUP($H$2,'17年度'!$B$6:$GI$50,84,0)/1000,0),"-")</f>
        <v>-</v>
      </c>
      <c r="V81" s="179" t="str">
        <f>IFERROR(ROUND(VLOOKUP($H$2,'18年度'!$B$6:$GI$50,84,0)/1000,0),"-")</f>
        <v>-</v>
      </c>
      <c r="W81" s="179" t="str">
        <f>IFERROR(ROUND(VLOOKUP($H$2,'19年度'!$B$6:$GI$50,84,0)/1000,0),"-")</f>
        <v>-</v>
      </c>
      <c r="X81" s="225" t="str">
        <f>IFERROR(ROUND(VLOOKUP($H$2,'20年度'!$B$6:$GI$50,84,0)/1000,0),"-")</f>
        <v>-</v>
      </c>
      <c r="Y81" s="225" t="str">
        <f>IFERROR(ROUND(VLOOKUP($H$2,'21年度'!$B$6:$GI$50,84,0)/1000,0),"-")</f>
        <v>-</v>
      </c>
      <c r="Z81" s="225" t="str">
        <f>IFERROR(ROUND(VLOOKUP($H$2,'22年度'!$B$6:$GI$50,84,0)/1000,0),"-")</f>
        <v>-</v>
      </c>
      <c r="AA81" s="225">
        <f>IFERROR(ROUND(VLOOKUP($H$2,'23年度'!$B$6:$GI$52,84,0)/1000,0),"-")</f>
        <v>9915</v>
      </c>
      <c r="AB81" s="179">
        <f>IFERROR(ROUND(VLOOKUP($H$2,'24年度'!$B$6:$GI$52,84,0)/1000,0),"-")</f>
        <v>9700</v>
      </c>
      <c r="AC81" s="226">
        <f>IFERROR(ROUND(VLOOKUP($H$2,'25年度'!$B$6:$GI$52,84,0)/1000,0),"-")</f>
        <v>9206</v>
      </c>
      <c r="AD81" s="225">
        <f>IFERROR(ROUND(VLOOKUP($H$2,'26年度'!$B$6:$GI$52,84,0)/1000,0),"-")</f>
        <v>9399</v>
      </c>
      <c r="AE81" s="179">
        <f>IFERROR(ROUND(VLOOKUP($H$2,'27年度'!$B$6:$GI$52,84,0)/1000,0),"-")</f>
        <v>15099</v>
      </c>
      <c r="AF81" s="179">
        <f>IFERROR(ROUND(VLOOKUP($H$2,'28年度'!$B$6:$GI$52,84,0)/1000,0),"-")</f>
        <v>17459</v>
      </c>
      <c r="AG81" s="226">
        <f>IFERROR(ROUND(VLOOKUP($H$2,'29年度'!$B$6:$GI$52,84,0)/1000,0),"-")</f>
        <v>21905</v>
      </c>
      <c r="AH81" s="225">
        <f>IFERROR(ROUND(VLOOKUP($H$2,'30年度'!$B$6:$GI$52,84,0)/1000,0),"-")</f>
        <v>23802</v>
      </c>
      <c r="AI81" s="179">
        <f>IFERROR(ROUND(VLOOKUP($H$2,'R1年度'!$B$6:$GJ$52,85,0)/1000,0),"-")</f>
        <v>33730</v>
      </c>
      <c r="AJ81" s="179">
        <f>IFERROR(ROUND(VLOOKUP($H$2,'R2年度'!$B$6:$GJ$52,86,0)/1000,0),"-")</f>
        <v>38079</v>
      </c>
      <c r="AK81" s="226">
        <f>IFERROR(ROUND(VLOOKUP($H$2,'R3年度'!$B$6:$GJ$52,86,0)/1000,0),"-")</f>
        <v>40902</v>
      </c>
      <c r="AL81" s="225">
        <f>IFERROR(ROUND(VLOOKUP($H$2,'R4年度'!$B$6:$GJ$52,86,0)/1000,0),"-")</f>
        <v>40238</v>
      </c>
      <c r="AM81" s="239">
        <f>IFERROR(ROUND(VLOOKUP($H$2,'R5年度'!$B$6:$GJ$52,86,0)/1000,0),"-")</f>
        <v>42481</v>
      </c>
      <c r="AN81" s="239">
        <f>IFERROR(ROUND(VLOOKUP($H$2,'R6年度'!$B$6:$GJ$52,86,0)/1000,0),"-")</f>
        <v>44568</v>
      </c>
    </row>
    <row r="82" spans="2:40" ht="15.9" customHeight="1" x14ac:dyDescent="0.15">
      <c r="B82" s="484" t="s">
        <v>207</v>
      </c>
      <c r="C82" s="485"/>
      <c r="D82" s="486"/>
      <c r="E82" s="240" t="str">
        <f>IFERROR(ROUND(VLOOKUP($H$2,'1年度'!$B$6:$GI$50,85,0)/1000,0),"-")</f>
        <v>-</v>
      </c>
      <c r="F82" s="240" t="str">
        <f>IFERROR(ROUND(VLOOKUP($H$2,'2年度'!$B$6:$GI$50,85,0)/1000,0),"-")</f>
        <v>-</v>
      </c>
      <c r="G82" s="240" t="str">
        <f>IFERROR(ROUND(VLOOKUP($H$2,'3年度'!$B$6:$GI$50,85,0)/1000,0),"-")</f>
        <v>-</v>
      </c>
      <c r="H82" s="240" t="str">
        <f>IFERROR(ROUND(VLOOKUP($H$2,'4年度'!$B$6:$GI$50,85,0)/1000,0),"-")</f>
        <v>-</v>
      </c>
      <c r="I82" s="240" t="str">
        <f>IFERROR(ROUND(VLOOKUP($H$2,'5年度'!$B$6:$GI$50,85,0)/1000,0),"-")</f>
        <v>-</v>
      </c>
      <c r="J82" s="240" t="str">
        <f>IFERROR(ROUND(VLOOKUP($H$2,'6年度'!$B$6:$GI$50,85,0)/1000,0),"-")</f>
        <v>-</v>
      </c>
      <c r="K82" s="240" t="str">
        <f>IFERROR(ROUND(VLOOKUP($H$2,'7年度'!$B$6:$GI$50,85,0)/1000,0),"-")</f>
        <v>-</v>
      </c>
      <c r="L82" s="240" t="str">
        <f>IFERROR(ROUND(VLOOKUP($H$2,'8年度'!$B$6:$GI$50,85,0)/1000,0),"-")</f>
        <v>-</v>
      </c>
      <c r="M82" s="240" t="str">
        <f>IFERROR(ROUND(VLOOKUP($H$2,'9年度'!$B$6:$GI$50,85,0)/1000,0),"-")</f>
        <v>-</v>
      </c>
      <c r="N82" s="240" t="str">
        <f>IFERROR(ROUND(VLOOKUP($H$2,'10年度'!$B$6:$GI$50,85,0)/1000,0),"-")</f>
        <v>-</v>
      </c>
      <c r="O82" s="240" t="str">
        <f>IFERROR(ROUND(VLOOKUP($H$2,'11年度'!$B$6:$GI$50,85,0)/1000,0),"-")</f>
        <v>-</v>
      </c>
      <c r="P82" s="240" t="str">
        <f>IFERROR(ROUND(VLOOKUP($H$2,'12年度'!$B$6:$GI$50,85,0)/1000,0),"-")</f>
        <v>-</v>
      </c>
      <c r="Q82" s="240" t="str">
        <f>IFERROR(ROUND(VLOOKUP($H$2,'13年度'!$B$6:$GI$50,85,0)/1000,0),"-")</f>
        <v>-</v>
      </c>
      <c r="R82" s="240" t="str">
        <f>IFERROR(ROUND(VLOOKUP($H$2,'14年度'!$B$6:$GI$50,85,0)/1000,0),"-")</f>
        <v>-</v>
      </c>
      <c r="S82" s="240" t="str">
        <f>IFERROR(ROUND(VLOOKUP($H$2,'15年度'!$B$6:$GI$50,85,0)/1000,0),"-")</f>
        <v>-</v>
      </c>
      <c r="T82" s="240" t="str">
        <f>IFERROR(ROUND(VLOOKUP($H$2,'16年度'!$B$6:$GI$50,85,0)/1000,0),"-")</f>
        <v>-</v>
      </c>
      <c r="U82" s="240" t="str">
        <f>IFERROR(ROUND(VLOOKUP($H$2,'17年度'!$B$6:$GI$50,85,0)/1000,0),"-")</f>
        <v>-</v>
      </c>
      <c r="V82" s="240" t="str">
        <f>IFERROR(ROUND(VLOOKUP($H$2,'18年度'!$B$6:$GI$50,85,0)/1000,0),"-")</f>
        <v>-</v>
      </c>
      <c r="W82" s="240" t="str">
        <f>IFERROR(ROUND(VLOOKUP($H$2,'19年度'!$B$6:$GI$50,85,0)/1000,0),"-")</f>
        <v>-</v>
      </c>
      <c r="X82" s="241" t="str">
        <f>IFERROR(ROUND(VLOOKUP($H$2,'20年度'!$B$6:$GI$50,85,0)/1000,0),"-")</f>
        <v>-</v>
      </c>
      <c r="Y82" s="241" t="str">
        <f>IFERROR(ROUND(VLOOKUP($H$2,'21年度'!$B$6:$GI$50,85,0)/1000,0),"-")</f>
        <v>-</v>
      </c>
      <c r="Z82" s="241" t="str">
        <f>IFERROR(ROUND(VLOOKUP($H$2,'22年度'!$B$6:$GI$50,85,0)/1000,0),"-")</f>
        <v>-</v>
      </c>
      <c r="AA82" s="241">
        <f>IFERROR(ROUND(VLOOKUP($H$2,'23年度'!$B$6:$GI$52,85,0)/1000,0),"-")</f>
        <v>443381</v>
      </c>
      <c r="AB82" s="240">
        <f>IFERROR(ROUND(VLOOKUP($H$2,'24年度'!$B$6:$GI$52,85,0)/1000,0),"-")</f>
        <v>466426</v>
      </c>
      <c r="AC82" s="242">
        <f>IFERROR(ROUND(VLOOKUP($H$2,'25年度'!$B$6:$GI$52,85,0)/1000,0),"-")</f>
        <v>491324</v>
      </c>
      <c r="AD82" s="241">
        <f>IFERROR(ROUND(VLOOKUP($H$2,'26年度'!$B$6:$GI$52,85,0)/1000,0),"-")</f>
        <v>474548</v>
      </c>
      <c r="AE82" s="240">
        <f>IFERROR(ROUND(VLOOKUP($H$2,'27年度'!$B$6:$GI$52,85,0)/1000,0),"-")</f>
        <v>479562</v>
      </c>
      <c r="AF82" s="240">
        <f>IFERROR(ROUND(VLOOKUP($H$2,'28年度'!$B$6:$GI$52,85,0)/1000,0),"-")</f>
        <v>473263</v>
      </c>
      <c r="AG82" s="242">
        <f>IFERROR(ROUND(VLOOKUP($H$2,'29年度'!$B$6:$GI$52,85,0)/1000,0),"-")</f>
        <v>455559</v>
      </c>
      <c r="AH82" s="241">
        <f>IFERROR(ROUND(VLOOKUP($H$2,'30年度'!$B$6:$GI$52,85,0)/1000,0),"-")</f>
        <v>485993</v>
      </c>
      <c r="AI82" s="240">
        <f>IFERROR(ROUND(VLOOKUP($H$2,'R1年度'!$B$6:$GJ$52,86,0)/1000,0),"-")</f>
        <v>416482</v>
      </c>
      <c r="AJ82" s="240">
        <f>IFERROR(ROUND(VLOOKUP($H$2,'R2年度'!$B$6:$GJ$52,87,0)/1000,0),"-")</f>
        <v>391443</v>
      </c>
      <c r="AK82" s="242">
        <f>IFERROR(ROUND(VLOOKUP($H$2,'R3年度'!$B$6:$GJ$52,87,0)/1000,0),"-")</f>
        <v>405562</v>
      </c>
      <c r="AL82" s="241">
        <f>IFERROR(ROUND(VLOOKUP($H$2,'R4年度'!$B$6:$GJ$52,87,0)/1000,0),"-")</f>
        <v>398538</v>
      </c>
      <c r="AM82" s="243">
        <f>IFERROR(ROUND(VLOOKUP($H$2,'R5年度'!$B$6:$GJ$52,87,0)/1000,0),"-")</f>
        <v>424861</v>
      </c>
      <c r="AN82" s="243">
        <f>IFERROR(ROUND(VLOOKUP($H$2,'R6年度'!$B$6:$GJ$52,87,0)/1000,0),"-")</f>
        <v>399032</v>
      </c>
    </row>
    <row r="83" spans="2:40" ht="15.9" customHeight="1" x14ac:dyDescent="0.15">
      <c r="B83" s="55"/>
      <c r="C83" s="491" t="s">
        <v>208</v>
      </c>
      <c r="D83" s="479"/>
      <c r="E83" s="202" t="str">
        <f>IFERROR(ROUND(VLOOKUP($H$2,'1年度'!$B$6:$GI$50,86,0)/1000,0),"-")</f>
        <v>-</v>
      </c>
      <c r="F83" s="202" t="str">
        <f>IFERROR(ROUND(VLOOKUP($H$2,'2年度'!$B$6:$GI$50,86,0)/1000,0),"-")</f>
        <v>-</v>
      </c>
      <c r="G83" s="202" t="str">
        <f>IFERROR(ROUND(VLOOKUP($H$2,'3年度'!$B$6:$GI$50,86,0)/1000,0),"-")</f>
        <v>-</v>
      </c>
      <c r="H83" s="202" t="str">
        <f>IFERROR(ROUND(VLOOKUP($H$2,'4年度'!$B$6:$GI$50,86,0)/1000,0),"-")</f>
        <v>-</v>
      </c>
      <c r="I83" s="202" t="str">
        <f>IFERROR(ROUND(VLOOKUP($H$2,'5年度'!$B$6:$GI$50,86,0)/1000,0),"-")</f>
        <v>-</v>
      </c>
      <c r="J83" s="202" t="str">
        <f>IFERROR(ROUND(VLOOKUP($H$2,'6年度'!$B$6:$GI$50,86,0)/1000,0),"-")</f>
        <v>-</v>
      </c>
      <c r="K83" s="202" t="str">
        <f>IFERROR(ROUND(VLOOKUP($H$2,'7年度'!$B$6:$GI$50,86,0)/1000,0),"-")</f>
        <v>-</v>
      </c>
      <c r="L83" s="202" t="str">
        <f>IFERROR(ROUND(VLOOKUP($H$2,'8年度'!$B$6:$GI$50,86,0)/1000,0),"-")</f>
        <v>-</v>
      </c>
      <c r="M83" s="202" t="str">
        <f>IFERROR(ROUND(VLOOKUP($H$2,'9年度'!$B$6:$GI$50,86,0)/1000,0),"-")</f>
        <v>-</v>
      </c>
      <c r="N83" s="202" t="str">
        <f>IFERROR(ROUND(VLOOKUP($H$2,'10年度'!$B$6:$GI$50,86,0)/1000,0),"-")</f>
        <v>-</v>
      </c>
      <c r="O83" s="202" t="str">
        <f>IFERROR(ROUND(VLOOKUP($H$2,'11年度'!$B$6:$GI$50,86,0)/1000,0),"-")</f>
        <v>-</v>
      </c>
      <c r="P83" s="202" t="str">
        <f>IFERROR(ROUND(VLOOKUP($H$2,'12年度'!$B$6:$GI$50,86,0)/1000,0),"-")</f>
        <v>-</v>
      </c>
      <c r="Q83" s="202" t="str">
        <f>IFERROR(ROUND(VLOOKUP($H$2,'13年度'!$B$6:$GI$50,86,0)/1000,0),"-")</f>
        <v>-</v>
      </c>
      <c r="R83" s="202" t="str">
        <f>IFERROR(ROUND(VLOOKUP($H$2,'14年度'!$B$6:$GI$50,86,0)/1000,0),"-")</f>
        <v>-</v>
      </c>
      <c r="S83" s="202" t="str">
        <f>IFERROR(ROUND(VLOOKUP($H$2,'15年度'!$B$6:$GI$50,86,0)/1000,0),"-")</f>
        <v>-</v>
      </c>
      <c r="T83" s="202" t="str">
        <f>IFERROR(ROUND(VLOOKUP($H$2,'16年度'!$B$6:$GI$50,86,0)/1000,0),"-")</f>
        <v>-</v>
      </c>
      <c r="U83" s="202" t="str">
        <f>IFERROR(ROUND(VLOOKUP($H$2,'17年度'!$B$6:$GI$50,86,0)/1000,0),"-")</f>
        <v>-</v>
      </c>
      <c r="V83" s="202" t="str">
        <f>IFERROR(ROUND(VLOOKUP($H$2,'18年度'!$B$6:$GI$50,86,0)/1000,0),"-")</f>
        <v>-</v>
      </c>
      <c r="W83" s="202" t="str">
        <f>IFERROR(ROUND(VLOOKUP($H$2,'19年度'!$B$6:$GI$50,86,0)/1000,0),"-")</f>
        <v>-</v>
      </c>
      <c r="X83" s="203" t="str">
        <f>IFERROR(ROUND(VLOOKUP($H$2,'20年度'!$B$6:$GI$50,86,0)/1000,0),"-")</f>
        <v>-</v>
      </c>
      <c r="Y83" s="203" t="str">
        <f>IFERROR(ROUND(VLOOKUP($H$2,'21年度'!$B$6:$GI$50,86,0)/1000,0),"-")</f>
        <v>-</v>
      </c>
      <c r="Z83" s="471" t="str">
        <f>IFERROR(VLOOKUP($H$2,'22年度'!$B$6:$GI$50,86,0),"-")</f>
        <v>-</v>
      </c>
      <c r="AA83" s="203">
        <f>IFERROR(ROUND(VLOOKUP($H$2,'23年度'!$B$6:$GI$52,86,0)/1000,0),"-")</f>
        <v>364683</v>
      </c>
      <c r="AB83" s="202">
        <f>IFERROR(ROUND(VLOOKUP($H$2,'24年度'!$B$6:$GI$52,86,0)/1000,0),"-")</f>
        <v>391508</v>
      </c>
      <c r="AC83" s="204">
        <f>IFERROR(ROUND(VLOOKUP($H$2,'25年度'!$B$6:$GI$52,86,0)/1000,0),"-")</f>
        <v>420515</v>
      </c>
      <c r="AD83" s="203">
        <f>IFERROR(ROUND(VLOOKUP($H$2,'26年度'!$B$6:$GI$52,86,0)/1000,0),"-")</f>
        <v>409499</v>
      </c>
      <c r="AE83" s="202">
        <f>IFERROR(ROUND(VLOOKUP($H$2,'27年度'!$B$6:$GI$52,86,0)/1000,0),"-")</f>
        <v>419395</v>
      </c>
      <c r="AF83" s="202">
        <f>IFERROR(ROUND(VLOOKUP($H$2,'28年度'!$B$6:$GI$52,86,0)/1000,0),"-")</f>
        <v>419461</v>
      </c>
      <c r="AG83" s="204">
        <f>IFERROR(ROUND(VLOOKUP($H$2,'29年度'!$B$6:$GI$52,86,0)/1000,0),"-")</f>
        <v>408741</v>
      </c>
      <c r="AH83" s="203">
        <f>IFERROR(ROUND(VLOOKUP($H$2,'30年度'!$B$6:$GI$52,86,0)/1000,0),"-")</f>
        <v>444919</v>
      </c>
      <c r="AI83" s="202">
        <f>IFERROR(ROUND(VLOOKUP($H$2,'R1年度'!$B$6:$GJ$52,87,0)/1000,0),"-")</f>
        <v>380965</v>
      </c>
      <c r="AJ83" s="202">
        <f>IFERROR(ROUND(VLOOKUP($H$2,'R2年度'!$B$6:$GJ$52,88,0)/1000,0),"-")</f>
        <v>360637</v>
      </c>
      <c r="AK83" s="204">
        <f>IFERROR(ROUND(VLOOKUP($H$2,'R3年度'!$B$6:$GJ$52,88,0)/1000,0),"-")</f>
        <v>378592</v>
      </c>
      <c r="AL83" s="203">
        <f>IFERROR(ROUND(VLOOKUP($H$2,'R4年度'!$B$6:$GJ$52,88,0)/1000,0),"-")</f>
        <v>374041</v>
      </c>
      <c r="AM83" s="235">
        <f>IFERROR(ROUND(VLOOKUP($H$2,'R5年度'!$B$6:$GJ$52,88,0)/1000,0),"-")</f>
        <v>401812</v>
      </c>
      <c r="AN83" s="235">
        <f>IFERROR(ROUND(VLOOKUP($H$2,'R6年度'!$B$6:$GJ$52,88,0)/1000,0),"-")</f>
        <v>376231</v>
      </c>
    </row>
    <row r="84" spans="2:40" ht="15.9" customHeight="1" thickBot="1" x14ac:dyDescent="0.2">
      <c r="B84" s="56"/>
      <c r="C84" s="496" t="s">
        <v>209</v>
      </c>
      <c r="D84" s="488"/>
      <c r="E84" s="220" t="str">
        <f>IFERROR(ROUND(VLOOKUP($H$2,'1年度'!$B$6:$GI$50,87,0)/1000,0),"-")</f>
        <v>-</v>
      </c>
      <c r="F84" s="220" t="str">
        <f>IFERROR(ROUND(VLOOKUP($H$2,'2年度'!$B$6:$GI$50,87,0)/1000,0),"-")</f>
        <v>-</v>
      </c>
      <c r="G84" s="220" t="str">
        <f>IFERROR(ROUND(VLOOKUP($H$2,'3年度'!$B$6:$GI$50,87,0)/1000,0),"-")</f>
        <v>-</v>
      </c>
      <c r="H84" s="220" t="str">
        <f>IFERROR(ROUND(VLOOKUP($H$2,'4年度'!$B$6:$GI$50,87,0)/1000,0),"-")</f>
        <v>-</v>
      </c>
      <c r="I84" s="220" t="str">
        <f>IFERROR(ROUND(VLOOKUP($H$2,'5年度'!$B$6:$GI$50,87,0)/1000,0),"-")</f>
        <v>-</v>
      </c>
      <c r="J84" s="220" t="str">
        <f>IFERROR(ROUND(VLOOKUP($H$2,'6年度'!$B$6:$GI$50,87,0)/1000,0),"-")</f>
        <v>-</v>
      </c>
      <c r="K84" s="220" t="str">
        <f>IFERROR(ROUND(VLOOKUP($H$2,'7年度'!$B$6:$GI$50,87,0)/1000,0),"-")</f>
        <v>-</v>
      </c>
      <c r="L84" s="220" t="str">
        <f>IFERROR(ROUND(VLOOKUP($H$2,'8年度'!$B$6:$GI$50,87,0)/1000,0),"-")</f>
        <v>-</v>
      </c>
      <c r="M84" s="220" t="str">
        <f>IFERROR(ROUND(VLOOKUP($H$2,'9年度'!$B$6:$GI$50,87,0)/1000,0),"-")</f>
        <v>-</v>
      </c>
      <c r="N84" s="220" t="str">
        <f>IFERROR(ROUND(VLOOKUP($H$2,'10年度'!$B$6:$GI$50,87,0)/1000,0),"-")</f>
        <v>-</v>
      </c>
      <c r="O84" s="220" t="str">
        <f>IFERROR(ROUND(VLOOKUP($H$2,'11年度'!$B$6:$GI$50,87,0)/1000,0),"-")</f>
        <v>-</v>
      </c>
      <c r="P84" s="220" t="str">
        <f>IFERROR(ROUND(VLOOKUP($H$2,'12年度'!$B$6:$GI$50,87,0)/1000,0),"-")</f>
        <v>-</v>
      </c>
      <c r="Q84" s="220" t="str">
        <f>IFERROR(ROUND(VLOOKUP($H$2,'13年度'!$B$6:$GI$50,87,0)/1000,0),"-")</f>
        <v>-</v>
      </c>
      <c r="R84" s="220" t="str">
        <f>IFERROR(ROUND(VLOOKUP($H$2,'14年度'!$B$6:$GI$50,87,0)/1000,0),"-")</f>
        <v>-</v>
      </c>
      <c r="S84" s="220" t="str">
        <f>IFERROR(ROUND(VLOOKUP($H$2,'15年度'!$B$6:$GI$50,87,0)/1000,0),"-")</f>
        <v>-</v>
      </c>
      <c r="T84" s="220" t="str">
        <f>IFERROR(ROUND(VLOOKUP($H$2,'16年度'!$B$6:$GI$50,87,0)/1000,0),"-")</f>
        <v>-</v>
      </c>
      <c r="U84" s="220" t="str">
        <f>IFERROR(ROUND(VLOOKUP($H$2,'17年度'!$B$6:$GI$50,87,0)/1000,0),"-")</f>
        <v>-</v>
      </c>
      <c r="V84" s="220" t="str">
        <f>IFERROR(ROUND(VLOOKUP($H$2,'18年度'!$B$6:$GI$50,87,0)/1000,0),"-")</f>
        <v>-</v>
      </c>
      <c r="W84" s="220" t="str">
        <f>IFERROR(ROUND(VLOOKUP($H$2,'19年度'!$B$6:$GI$50,87,0)/1000,0),"-")</f>
        <v>-</v>
      </c>
      <c r="X84" s="228" t="str">
        <f>IFERROR(ROUND(VLOOKUP($H$2,'20年度'!$B$6:$GI$50,87,0)/1000,0),"-")</f>
        <v>-</v>
      </c>
      <c r="Y84" s="228" t="str">
        <f>IFERROR(ROUND(VLOOKUP($H$2,'21年度'!$B$6:$GI$50,87,0)/1000,0),"-")</f>
        <v>-</v>
      </c>
      <c r="Z84" s="472" t="str">
        <f>IFERROR(VLOOKUP($H$2,'22年度'!$B$6:$GI$50,87,0),"-")</f>
        <v>-</v>
      </c>
      <c r="AA84" s="244">
        <f>IFERROR(ROUND(VLOOKUP($H$2,'23年度'!$B$6:$GI$52,87,0)/1000,0),"-")</f>
        <v>78698</v>
      </c>
      <c r="AB84" s="206">
        <f>IFERROR(ROUND(VLOOKUP($H$2,'24年度'!$B$6:$GI$52,87,0)/1000,0),"-")</f>
        <v>74919</v>
      </c>
      <c r="AC84" s="245">
        <f>IFERROR(ROUND(VLOOKUP($H$2,'25年度'!$B$6:$GI$52,87,0)/1000,0),"-")</f>
        <v>70809</v>
      </c>
      <c r="AD84" s="244">
        <f>IFERROR(ROUND(VLOOKUP($H$2,'26年度'!$B$6:$GI$52,87,0)/1000,0),"-")</f>
        <v>65049</v>
      </c>
      <c r="AE84" s="206">
        <f>IFERROR(ROUND(VLOOKUP($H$2,'27年度'!$B$6:$GI$52,87,0)/1000,0),"-")</f>
        <v>60167</v>
      </c>
      <c r="AF84" s="206">
        <f>IFERROR(ROUND(VLOOKUP($H$2,'28年度'!$B$6:$GI$52,87,0)/1000,0),"-")</f>
        <v>53802</v>
      </c>
      <c r="AG84" s="245">
        <f>IFERROR(ROUND(VLOOKUP($H$2,'29年度'!$B$6:$GI$52,87,0)/1000,0),"-")</f>
        <v>46818</v>
      </c>
      <c r="AH84" s="244">
        <f>IFERROR(ROUND(VLOOKUP($H$2,'30年度'!$B$6:$GI$52,87,0)/1000,0),"-")</f>
        <v>41073</v>
      </c>
      <c r="AI84" s="206">
        <f>IFERROR(ROUND(VLOOKUP($H$2,'R1年度'!$B$6:$GJ$52,88,0)/1000,0),"-")</f>
        <v>35516</v>
      </c>
      <c r="AJ84" s="206">
        <f>IFERROR(ROUND(VLOOKUP($H$2,'R2年度'!$B$6:$GJ$52,89,0)/1000,0),"-")</f>
        <v>30806</v>
      </c>
      <c r="AK84" s="245">
        <f>IFERROR(ROUND(VLOOKUP($H$2,'R3年度'!$B$6:$GJ$52,89,0)/1000,0),"-")</f>
        <v>26970</v>
      </c>
      <c r="AL84" s="244">
        <f>IFERROR(ROUND(VLOOKUP($H$2,'R4年度'!$B$6:$GJ$52,89,0)/1000,0),"-")</f>
        <v>24496</v>
      </c>
      <c r="AM84" s="246">
        <f>IFERROR(ROUND(VLOOKUP($H$2,'R5年度'!$B$6:$GJ$52,89,0)/1000,0),"-")</f>
        <v>23049</v>
      </c>
      <c r="AN84" s="246">
        <f>IFERROR(ROUND(VLOOKUP($H$2,'R6年度'!$B$6:$GJ$52,89,0)/1000,0),"-")</f>
        <v>22802</v>
      </c>
    </row>
    <row r="85" spans="2:40" ht="15.9" customHeight="1" x14ac:dyDescent="0.15">
      <c r="B85" s="484" t="s">
        <v>210</v>
      </c>
      <c r="C85" s="485"/>
      <c r="D85" s="486"/>
      <c r="E85" s="175" t="str">
        <f>IFERROR(ROUND(VLOOKUP($H$2,'1年度'!$B$6:$GI$50,88,0)/1000,0),"-")</f>
        <v>-</v>
      </c>
      <c r="F85" s="175" t="str">
        <f>IFERROR(ROUND(VLOOKUP($H$2,'2年度'!$B$6:$GI$50,88,0)/1000,0),"-")</f>
        <v>-</v>
      </c>
      <c r="G85" s="175" t="str">
        <f>IFERROR(ROUND(VLOOKUP($H$2,'3年度'!$B$6:$GI$50,88,0)/1000,0),"-")</f>
        <v>-</v>
      </c>
      <c r="H85" s="175" t="str">
        <f>IFERROR(ROUND(VLOOKUP($H$2,'4年度'!$B$6:$GI$50,88,0)/1000,0),"-")</f>
        <v>-</v>
      </c>
      <c r="I85" s="175" t="str">
        <f>IFERROR(ROUND(VLOOKUP($H$2,'5年度'!$B$6:$GI$50,88,0)/1000,0),"-")</f>
        <v>-</v>
      </c>
      <c r="J85" s="175" t="str">
        <f>IFERROR(ROUND(VLOOKUP($H$2,'6年度'!$B$6:$GI$50,88,0)/1000,0),"-")</f>
        <v>-</v>
      </c>
      <c r="K85" s="175" t="str">
        <f>IFERROR(ROUND(VLOOKUP($H$2,'7年度'!$B$6:$GI$50,88,0)/1000,0),"-")</f>
        <v>-</v>
      </c>
      <c r="L85" s="175" t="str">
        <f>IFERROR(ROUND(VLOOKUP($H$2,'8年度'!$B$6:$GI$50,88,0)/1000,0),"-")</f>
        <v>-</v>
      </c>
      <c r="M85" s="175" t="str">
        <f>IFERROR(ROUND(VLOOKUP($H$2,'9年度'!$B$6:$GI$50,88,0)/1000,0),"-")</f>
        <v>-</v>
      </c>
      <c r="N85" s="175" t="str">
        <f>IFERROR(ROUND(VLOOKUP($H$2,'10年度'!$B$6:$GI$50,88,0)/1000,0),"-")</f>
        <v>-</v>
      </c>
      <c r="O85" s="175" t="str">
        <f>IFERROR(ROUND(VLOOKUP($H$2,'11年度'!$B$6:$GI$50,88,0)/1000,0),"-")</f>
        <v>-</v>
      </c>
      <c r="P85" s="175" t="str">
        <f>IFERROR(ROUND(VLOOKUP($H$2,'12年度'!$B$6:$GI$50,88,0)/1000,0),"-")</f>
        <v>-</v>
      </c>
      <c r="Q85" s="175" t="str">
        <f>IFERROR(ROUND(VLOOKUP($H$2,'13年度'!$B$6:$GI$50,88,0)/1000,0),"-")</f>
        <v>-</v>
      </c>
      <c r="R85" s="175" t="str">
        <f>IFERROR(ROUND(VLOOKUP($H$2,'14年度'!$B$6:$GI$50,88,0)/1000,0),"-")</f>
        <v>-</v>
      </c>
      <c r="S85" s="175" t="str">
        <f>IFERROR(ROUND(VLOOKUP($H$2,'15年度'!$B$6:$GI$50,88,0)/1000,0),"-")</f>
        <v>-</v>
      </c>
      <c r="T85" s="175" t="str">
        <f>IFERROR(ROUND(VLOOKUP($H$2,'16年度'!$B$6:$GI$50,88,0)/1000,0),"-")</f>
        <v>-</v>
      </c>
      <c r="U85" s="175" t="str">
        <f>IFERROR(ROUND(VLOOKUP($H$2,'17年度'!$B$6:$GI$50,88,0)/1000,0),"-")</f>
        <v>-</v>
      </c>
      <c r="V85" s="175" t="str">
        <f>IFERROR(ROUND(VLOOKUP($H$2,'18年度'!$B$6:$GI$50,88,0)/1000,0),"-")</f>
        <v>-</v>
      </c>
      <c r="W85" s="175" t="str">
        <f>IFERROR(ROUND(VLOOKUP($H$2,'19年度'!$B$6:$GI$50,88,0)/1000,0),"-")</f>
        <v>-</v>
      </c>
      <c r="X85" s="176" t="str">
        <f>IFERROR(ROUND(VLOOKUP($H$2,'20年度'!$B$6:$GI$50,88,0)/1000,0),"-")</f>
        <v>-</v>
      </c>
      <c r="Y85" s="176" t="str">
        <f>IFERROR(ROUND(VLOOKUP($H$2,'21年度'!$B$6:$GI$50,88,0)/1000,0),"-")</f>
        <v>-</v>
      </c>
      <c r="Z85" s="176" t="str">
        <f>IFERROR(ROUND(VLOOKUP($H$2,'22年度'!$B$6:$GI$50,88,0)/1000,0),"-")</f>
        <v>-</v>
      </c>
      <c r="AA85" s="176">
        <f>IFERROR(ROUND(VLOOKUP($H$2,'23年度'!$B$6:$GI$52,88,0)/1000,0),"-")</f>
        <v>348996</v>
      </c>
      <c r="AB85" s="175">
        <f>IFERROR(ROUND(VLOOKUP($H$2,'24年度'!$B$6:$GI$52,88,0)/1000,0),"-")</f>
        <v>344574</v>
      </c>
      <c r="AC85" s="177">
        <f>IFERROR(ROUND(VLOOKUP($H$2,'25年度'!$B$6:$GI$52,88,0)/1000,0),"-")</f>
        <v>347709</v>
      </c>
      <c r="AD85" s="176">
        <f>IFERROR(ROUND(VLOOKUP($H$2,'26年度'!$B$6:$GI$52,88,0)/1000,0),"-")</f>
        <v>374040</v>
      </c>
      <c r="AE85" s="175">
        <f>IFERROR(ROUND(VLOOKUP($H$2,'27年度'!$B$6:$GI$52,88,0)/1000,0),"-")</f>
        <v>381094</v>
      </c>
      <c r="AF85" s="175">
        <f>IFERROR(ROUND(VLOOKUP($H$2,'28年度'!$B$6:$GI$52,88,0)/1000,0),"-")</f>
        <v>384586</v>
      </c>
      <c r="AG85" s="177">
        <f>IFERROR(ROUND(VLOOKUP($H$2,'29年度'!$B$6:$GI$52,88,0)/1000,0),"-")</f>
        <v>386310</v>
      </c>
      <c r="AH85" s="176">
        <f>IFERROR(ROUND(VLOOKUP($H$2,'30年度'!$B$6:$GI$52,88,0)/1000,0),"-")</f>
        <v>398418</v>
      </c>
      <c r="AI85" s="175">
        <f>IFERROR(ROUND(VLOOKUP($H$2,'R1年度'!$B$6:$GJ$52,89,0)/1000,0),"-")</f>
        <v>415915</v>
      </c>
      <c r="AJ85" s="175">
        <f>IFERROR(ROUND(VLOOKUP($H$2,'R2年度'!$B$6:$GJ$52,90,0)/1000,0),"-")</f>
        <v>457501</v>
      </c>
      <c r="AK85" s="177">
        <f>IFERROR(ROUND(VLOOKUP($H$2,'R3年度'!$B$6:$GJ$52,90,0)/1000,0),"-")</f>
        <v>525063</v>
      </c>
      <c r="AL85" s="176">
        <f>IFERROR(ROUND(VLOOKUP($H$2,'R4年度'!$B$6:$GJ$52,90,0)/1000,0),"-")</f>
        <v>564482</v>
      </c>
      <c r="AM85" s="234">
        <f>IFERROR(ROUND(VLOOKUP($H$2,'R5年度'!$B$6:$GJ$52,90,0)/1000,0),"-")</f>
        <v>515041</v>
      </c>
      <c r="AN85" s="234">
        <f>IFERROR(ROUND(VLOOKUP($H$2,'R6年度'!$B$6:$GJ$52,90,0)/1000,0),"-")</f>
        <v>530854</v>
      </c>
    </row>
    <row r="86" spans="2:40" ht="15.9" customHeight="1" x14ac:dyDescent="0.15">
      <c r="B86" s="54"/>
      <c r="C86" s="478" t="s">
        <v>211</v>
      </c>
      <c r="D86" s="479"/>
      <c r="E86" s="202" t="str">
        <f>IFERROR(ROUND(VLOOKUP($H$2,'1年度'!$B$6:$GI$50,89,0)/1000,0),"-")</f>
        <v>-</v>
      </c>
      <c r="F86" s="202" t="str">
        <f>IFERROR(ROUND(VLOOKUP($H$2,'2年度'!$B$6:$GI$50,89,0)/1000,0),"-")</f>
        <v>-</v>
      </c>
      <c r="G86" s="202" t="str">
        <f>IFERROR(ROUND(VLOOKUP($H$2,'3年度'!$B$6:$GI$50,89,0)/1000,0),"-")</f>
        <v>-</v>
      </c>
      <c r="H86" s="202" t="str">
        <f>IFERROR(ROUND(VLOOKUP($H$2,'4年度'!$B$6:$GI$50,89,0)/1000,0),"-")</f>
        <v>-</v>
      </c>
      <c r="I86" s="202" t="str">
        <f>IFERROR(ROUND(VLOOKUP($H$2,'5年度'!$B$6:$GI$50,89,0)/1000,0),"-")</f>
        <v>-</v>
      </c>
      <c r="J86" s="202" t="str">
        <f>IFERROR(ROUND(VLOOKUP($H$2,'6年度'!$B$6:$GI$50,89,0)/1000,0),"-")</f>
        <v>-</v>
      </c>
      <c r="K86" s="202" t="str">
        <f>IFERROR(ROUND(VLOOKUP($H$2,'7年度'!$B$6:$GI$50,89,0)/1000,0),"-")</f>
        <v>-</v>
      </c>
      <c r="L86" s="202" t="str">
        <f>IFERROR(ROUND(VLOOKUP($H$2,'8年度'!$B$6:$GI$50,89,0)/1000,0),"-")</f>
        <v>-</v>
      </c>
      <c r="M86" s="202" t="str">
        <f>IFERROR(ROUND(VLOOKUP($H$2,'9年度'!$B$6:$GI$50,89,0)/1000,0),"-")</f>
        <v>-</v>
      </c>
      <c r="N86" s="202" t="str">
        <f>IFERROR(ROUND(VLOOKUP($H$2,'10年度'!$B$6:$GI$50,89,0)/1000,0),"-")</f>
        <v>-</v>
      </c>
      <c r="O86" s="202" t="str">
        <f>IFERROR(ROUND(VLOOKUP($H$2,'11年度'!$B$6:$GI$50,89,0)/1000,0),"-")</f>
        <v>-</v>
      </c>
      <c r="P86" s="202" t="str">
        <f>IFERROR(ROUND(VLOOKUP($H$2,'12年度'!$B$6:$GI$50,89,0)/1000,0),"-")</f>
        <v>-</v>
      </c>
      <c r="Q86" s="202" t="str">
        <f>IFERROR(ROUND(VLOOKUP($H$2,'13年度'!$B$6:$GI$50,89,0)/1000,0),"-")</f>
        <v>-</v>
      </c>
      <c r="R86" s="202" t="str">
        <f>IFERROR(ROUND(VLOOKUP($H$2,'14年度'!$B$6:$GI$50,89,0)/1000,0),"-")</f>
        <v>-</v>
      </c>
      <c r="S86" s="202" t="str">
        <f>IFERROR(ROUND(VLOOKUP($H$2,'15年度'!$B$6:$GI$50,89,0)/1000,0),"-")</f>
        <v>-</v>
      </c>
      <c r="T86" s="202" t="str">
        <f>IFERROR(ROUND(VLOOKUP($H$2,'16年度'!$B$6:$GI$50,89,0)/1000,0),"-")</f>
        <v>-</v>
      </c>
      <c r="U86" s="202" t="str">
        <f>IFERROR(ROUND(VLOOKUP($H$2,'17年度'!$B$6:$GI$50,89,0)/1000,0),"-")</f>
        <v>-</v>
      </c>
      <c r="V86" s="202" t="str">
        <f>IFERROR(ROUND(VLOOKUP($H$2,'18年度'!$B$6:$GI$50,89,0)/1000,0),"-")</f>
        <v>-</v>
      </c>
      <c r="W86" s="202" t="str">
        <f>IFERROR(ROUND(VLOOKUP($H$2,'19年度'!$B$6:$GI$50,89,0)/1000,0),"-")</f>
        <v>-</v>
      </c>
      <c r="X86" s="203" t="str">
        <f>IFERROR(ROUND(VLOOKUP($H$2,'20年度'!$B$6:$GI$50,89,0)/1000,0),"-")</f>
        <v>-</v>
      </c>
      <c r="Y86" s="203" t="str">
        <f>IFERROR(ROUND(VLOOKUP($H$2,'21年度'!$B$6:$GI$50,89,0)/1000,0),"-")</f>
        <v>-</v>
      </c>
      <c r="Z86" s="203" t="str">
        <f>IFERROR(ROUND(VLOOKUP($H$2,'22年度'!$B$6:$GI$50,89,0)/1000,0),"-")</f>
        <v>-</v>
      </c>
      <c r="AA86" s="203">
        <f>IFERROR(ROUND(VLOOKUP($H$2,'23年度'!$B$6:$GI$52,89,0)/1000,0),"-")</f>
        <v>217950</v>
      </c>
      <c r="AB86" s="202">
        <f>IFERROR(ROUND(VLOOKUP($H$2,'24年度'!$B$6:$GI$52,89,0)/1000,0),"-")</f>
        <v>213428</v>
      </c>
      <c r="AC86" s="204">
        <f>IFERROR(ROUND(VLOOKUP($H$2,'25年度'!$B$6:$GI$52,89,0)/1000,0),"-")</f>
        <v>215450</v>
      </c>
      <c r="AD86" s="203">
        <f>IFERROR(ROUND(VLOOKUP($H$2,'26年度'!$B$6:$GI$52,89,0)/1000,0),"-")</f>
        <v>231897</v>
      </c>
      <c r="AE86" s="202">
        <f>IFERROR(ROUND(VLOOKUP($H$2,'27年度'!$B$6:$GI$52,89,0)/1000,0),"-")</f>
        <v>237168</v>
      </c>
      <c r="AF86" s="202">
        <f>IFERROR(ROUND(VLOOKUP($H$2,'28年度'!$B$6:$GI$52,89,0)/1000,0),"-")</f>
        <v>241574</v>
      </c>
      <c r="AG86" s="204">
        <f>IFERROR(ROUND(VLOOKUP($H$2,'29年度'!$B$6:$GI$52,89,0)/1000,0),"-")</f>
        <v>245092</v>
      </c>
      <c r="AH86" s="203">
        <f>IFERROR(ROUND(VLOOKUP($H$2,'30年度'!$B$6:$GI$52,89,0)/1000,0),"-")</f>
        <v>250199</v>
      </c>
      <c r="AI86" s="202">
        <f>IFERROR(ROUND(VLOOKUP($H$2,'R1年度'!$B$6:$GJ$52,90,0)/1000,0),"-")</f>
        <v>263922</v>
      </c>
      <c r="AJ86" s="202">
        <f>IFERROR(ROUND(VLOOKUP($H$2,'R2年度'!$B$6:$GJ$52,91,0)/1000,0),"-")</f>
        <v>293341</v>
      </c>
      <c r="AK86" s="204">
        <f>IFERROR(ROUND(VLOOKUP($H$2,'R3年度'!$B$6:$GJ$52,91,0)/1000,0),"-")</f>
        <v>381495</v>
      </c>
      <c r="AL86" s="203">
        <f>IFERROR(ROUND(VLOOKUP($H$2,'R4年度'!$B$6:$GJ$52,91,0)/1000,0),"-")</f>
        <v>410708</v>
      </c>
      <c r="AM86" s="235">
        <f>IFERROR(ROUND(VLOOKUP($H$2,'R5年度'!$B$6:$GJ$52,91,0)/1000,0),"-")</f>
        <v>358633</v>
      </c>
      <c r="AN86" s="235">
        <f>IFERROR(ROUND(VLOOKUP($H$2,'R6年度'!$B$6:$GJ$52,91,0)/1000,0),"-")</f>
        <v>364229</v>
      </c>
    </row>
    <row r="87" spans="2:40" ht="15.9" customHeight="1" x14ac:dyDescent="0.15">
      <c r="B87" s="54"/>
      <c r="C87" s="478" t="s">
        <v>212</v>
      </c>
      <c r="D87" s="479"/>
      <c r="E87" s="202" t="str">
        <f>IFERROR(ROUND(VLOOKUP($H$2,'1年度'!$B$6:$GI$50,90,0)/1000,0),"-")</f>
        <v>-</v>
      </c>
      <c r="F87" s="202" t="str">
        <f>IFERROR(ROUND(VLOOKUP($H$2,'2年度'!$B$6:$GI$50,90,0)/1000,0),"-")</f>
        <v>-</v>
      </c>
      <c r="G87" s="202" t="str">
        <f>IFERROR(ROUND(VLOOKUP($H$2,'3年度'!$B$6:$GI$50,90,0)/1000,0),"-")</f>
        <v>-</v>
      </c>
      <c r="H87" s="202" t="str">
        <f>IFERROR(ROUND(VLOOKUP($H$2,'4年度'!$B$6:$GI$50,90,0)/1000,0),"-")</f>
        <v>-</v>
      </c>
      <c r="I87" s="202" t="str">
        <f>IFERROR(ROUND(VLOOKUP($H$2,'5年度'!$B$6:$GI$50,90,0)/1000,0),"-")</f>
        <v>-</v>
      </c>
      <c r="J87" s="202" t="str">
        <f>IFERROR(ROUND(VLOOKUP($H$2,'6年度'!$B$6:$GI$50,90,0)/1000,0),"-")</f>
        <v>-</v>
      </c>
      <c r="K87" s="202" t="str">
        <f>IFERROR(ROUND(VLOOKUP($H$2,'7年度'!$B$6:$GI$50,90,0)/1000,0),"-")</f>
        <v>-</v>
      </c>
      <c r="L87" s="202" t="str">
        <f>IFERROR(ROUND(VLOOKUP($H$2,'8年度'!$B$6:$GI$50,90,0)/1000,0),"-")</f>
        <v>-</v>
      </c>
      <c r="M87" s="202" t="str">
        <f>IFERROR(ROUND(VLOOKUP($H$2,'9年度'!$B$6:$GI$50,90,0)/1000,0),"-")</f>
        <v>-</v>
      </c>
      <c r="N87" s="202" t="str">
        <f>IFERROR(ROUND(VLOOKUP($H$2,'10年度'!$B$6:$GI$50,90,0)/1000,0),"-")</f>
        <v>-</v>
      </c>
      <c r="O87" s="202" t="str">
        <f>IFERROR(ROUND(VLOOKUP($H$2,'11年度'!$B$6:$GI$50,90,0)/1000,0),"-")</f>
        <v>-</v>
      </c>
      <c r="P87" s="202" t="str">
        <f>IFERROR(ROUND(VLOOKUP($H$2,'12年度'!$B$6:$GI$50,90,0)/1000,0),"-")</f>
        <v>-</v>
      </c>
      <c r="Q87" s="202" t="str">
        <f>IFERROR(ROUND(VLOOKUP($H$2,'13年度'!$B$6:$GI$50,90,0)/1000,0),"-")</f>
        <v>-</v>
      </c>
      <c r="R87" s="202" t="str">
        <f>IFERROR(ROUND(VLOOKUP($H$2,'14年度'!$B$6:$GI$50,90,0)/1000,0),"-")</f>
        <v>-</v>
      </c>
      <c r="S87" s="202" t="str">
        <f>IFERROR(ROUND(VLOOKUP($H$2,'15年度'!$B$6:$GI$50,90,0)/1000,0),"-")</f>
        <v>-</v>
      </c>
      <c r="T87" s="202" t="str">
        <f>IFERROR(ROUND(VLOOKUP($H$2,'16年度'!$B$6:$GI$50,90,0)/1000,0),"-")</f>
        <v>-</v>
      </c>
      <c r="U87" s="202" t="str">
        <f>IFERROR(ROUND(VLOOKUP($H$2,'17年度'!$B$6:$GI$50,90,0)/1000,0),"-")</f>
        <v>-</v>
      </c>
      <c r="V87" s="202" t="str">
        <f>IFERROR(ROUND(VLOOKUP($H$2,'18年度'!$B$6:$GI$50,90,0)/1000,0),"-")</f>
        <v>-</v>
      </c>
      <c r="W87" s="202" t="str">
        <f>IFERROR(ROUND(VLOOKUP($H$2,'19年度'!$B$6:$GI$50,90,0)/1000,0),"-")</f>
        <v>-</v>
      </c>
      <c r="X87" s="203" t="str">
        <f>IFERROR(ROUND(VLOOKUP($H$2,'20年度'!$B$6:$GI$50,90,0)/1000,0),"-")</f>
        <v>-</v>
      </c>
      <c r="Y87" s="203" t="str">
        <f>IFERROR(ROUND(VLOOKUP($H$2,'21年度'!$B$6:$GI$50,90,0)/1000,0),"-")</f>
        <v>-</v>
      </c>
      <c r="Z87" s="203" t="str">
        <f>IFERROR(ROUND(VLOOKUP($H$2,'22年度'!$B$6:$GI$50,90,0)/1000,0),"-")</f>
        <v>-</v>
      </c>
      <c r="AA87" s="203">
        <f>IFERROR(ROUND(VLOOKUP($H$2,'23年度'!$B$6:$GI$52,90,0)/1000,0),"-")</f>
        <v>17835</v>
      </c>
      <c r="AB87" s="202">
        <f>IFERROR(ROUND(VLOOKUP($H$2,'24年度'!$B$6:$GI$52,90,0)/1000,0),"-")</f>
        <v>20024</v>
      </c>
      <c r="AC87" s="204">
        <f>IFERROR(ROUND(VLOOKUP($H$2,'25年度'!$B$6:$GI$52,90,0)/1000,0),"-")</f>
        <v>18988</v>
      </c>
      <c r="AD87" s="203">
        <f>IFERROR(ROUND(VLOOKUP($H$2,'26年度'!$B$6:$GI$52,90,0)/1000,0),"-")</f>
        <v>18144</v>
      </c>
      <c r="AE87" s="202">
        <f>IFERROR(ROUND(VLOOKUP($H$2,'27年度'!$B$6:$GI$52,90,0)/1000,0),"-")</f>
        <v>19610</v>
      </c>
      <c r="AF87" s="202">
        <f>IFERROR(ROUND(VLOOKUP($H$2,'28年度'!$B$6:$GI$52,90,0)/1000,0),"-")</f>
        <v>20210</v>
      </c>
      <c r="AG87" s="204">
        <f>IFERROR(ROUND(VLOOKUP($H$2,'29年度'!$B$6:$GI$52,90,0)/1000,0),"-")</f>
        <v>20016</v>
      </c>
      <c r="AH87" s="203">
        <f>IFERROR(ROUND(VLOOKUP($H$2,'30年度'!$B$6:$GI$52,90,0)/1000,0),"-")</f>
        <v>20145</v>
      </c>
      <c r="AI87" s="202">
        <f>IFERROR(ROUND(VLOOKUP($H$2,'R1年度'!$B$6:$GJ$52,91,0)/1000,0),"-")</f>
        <v>20787</v>
      </c>
      <c r="AJ87" s="247"/>
      <c r="AK87" s="248"/>
      <c r="AL87" s="249"/>
      <c r="AM87" s="250"/>
      <c r="AN87" s="250"/>
    </row>
    <row r="88" spans="2:40" ht="15.9" customHeight="1" thickBot="1" x14ac:dyDescent="0.2">
      <c r="B88" s="56"/>
      <c r="C88" s="487" t="s">
        <v>213</v>
      </c>
      <c r="D88" s="488"/>
      <c r="E88" s="179" t="str">
        <f>IFERROR(ROUND(VLOOKUP($H$2,'1年度'!$B$6:$GI$50,91,0)/1000,0),"-")</f>
        <v>-</v>
      </c>
      <c r="F88" s="179" t="str">
        <f>IFERROR(ROUND(VLOOKUP($H$2,'2年度'!$B$6:$GI$50,91,0)/1000,0),"-")</f>
        <v>-</v>
      </c>
      <c r="G88" s="179" t="str">
        <f>IFERROR(ROUND(VLOOKUP($H$2,'3年度'!$B$6:$GI$50,91,0)/1000,0),"-")</f>
        <v>-</v>
      </c>
      <c r="H88" s="179" t="str">
        <f>IFERROR(ROUND(VLOOKUP($H$2,'4年度'!$B$6:$GI$50,91,0)/1000,0),"-")</f>
        <v>-</v>
      </c>
      <c r="I88" s="179" t="str">
        <f>IFERROR(ROUND(VLOOKUP($H$2,'5年度'!$B$6:$GI$50,91,0)/1000,0),"-")</f>
        <v>-</v>
      </c>
      <c r="J88" s="179" t="str">
        <f>IFERROR(ROUND(VLOOKUP($H$2,'6年度'!$B$6:$GI$50,91,0)/1000,0),"-")</f>
        <v>-</v>
      </c>
      <c r="K88" s="179" t="str">
        <f>IFERROR(ROUND(VLOOKUP($H$2,'7年度'!$B$6:$GI$50,91,0)/1000,0),"-")</f>
        <v>-</v>
      </c>
      <c r="L88" s="179" t="str">
        <f>IFERROR(ROUND(VLOOKUP($H$2,'8年度'!$B$6:$GI$50,91,0)/1000,0),"-")</f>
        <v>-</v>
      </c>
      <c r="M88" s="179" t="str">
        <f>IFERROR(ROUND(VLOOKUP($H$2,'9年度'!$B$6:$GI$50,91,0)/1000,0),"-")</f>
        <v>-</v>
      </c>
      <c r="N88" s="179" t="str">
        <f>IFERROR(ROUND(VLOOKUP($H$2,'10年度'!$B$6:$GI$50,91,0)/1000,0),"-")</f>
        <v>-</v>
      </c>
      <c r="O88" s="179" t="str">
        <f>IFERROR(ROUND(VLOOKUP($H$2,'11年度'!$B$6:$GI$50,91,0)/1000,0),"-")</f>
        <v>-</v>
      </c>
      <c r="P88" s="179" t="str">
        <f>IFERROR(ROUND(VLOOKUP($H$2,'12年度'!$B$6:$GI$50,91,0)/1000,0),"-")</f>
        <v>-</v>
      </c>
      <c r="Q88" s="179" t="str">
        <f>IFERROR(ROUND(VLOOKUP($H$2,'13年度'!$B$6:$GI$50,91,0)/1000,0),"-")</f>
        <v>-</v>
      </c>
      <c r="R88" s="179" t="str">
        <f>IFERROR(ROUND(VLOOKUP($H$2,'14年度'!$B$6:$GI$50,91,0)/1000,0),"-")</f>
        <v>-</v>
      </c>
      <c r="S88" s="179" t="str">
        <f>IFERROR(ROUND(VLOOKUP($H$2,'15年度'!$B$6:$GI$50,91,0)/1000,0),"-")</f>
        <v>-</v>
      </c>
      <c r="T88" s="179" t="str">
        <f>IFERROR(ROUND(VLOOKUP($H$2,'16年度'!$B$6:$GI$50,91,0)/1000,0),"-")</f>
        <v>-</v>
      </c>
      <c r="U88" s="179" t="str">
        <f>IFERROR(ROUND(VLOOKUP($H$2,'17年度'!$B$6:$GI$50,91,0)/1000,0),"-")</f>
        <v>-</v>
      </c>
      <c r="V88" s="179" t="str">
        <f>IFERROR(ROUND(VLOOKUP($H$2,'18年度'!$B$6:$GI$50,91,0)/1000,0),"-")</f>
        <v>-</v>
      </c>
      <c r="W88" s="179" t="str">
        <f>IFERROR(ROUND(VLOOKUP($H$2,'19年度'!$B$6:$GI$50,91,0)/1000,0),"-")</f>
        <v>-</v>
      </c>
      <c r="X88" s="225" t="str">
        <f>IFERROR(ROUND(VLOOKUP($H$2,'20年度'!$B$6:$GI$50,91,0)/1000,0),"-")</f>
        <v>-</v>
      </c>
      <c r="Y88" s="225" t="str">
        <f>IFERROR(ROUND(VLOOKUP($H$2,'21年度'!$B$6:$GI$50,91,0)/1000,0),"-")</f>
        <v>-</v>
      </c>
      <c r="Z88" s="225" t="str">
        <f>IFERROR(ROUND(VLOOKUP($H$2,'22年度'!$B$6:$GI$50,91,0)/1000,0),"-")</f>
        <v>-</v>
      </c>
      <c r="AA88" s="225">
        <f>IFERROR(ROUND(VLOOKUP($H$2,'23年度'!$B$6:$GI$52,91,0)/1000,0),"-")</f>
        <v>62397</v>
      </c>
      <c r="AB88" s="179">
        <f>IFERROR(ROUND(VLOOKUP($H$2,'24年度'!$B$6:$GI$52,91,0)/1000,0),"-")</f>
        <v>61813</v>
      </c>
      <c r="AC88" s="226">
        <f>IFERROR(ROUND(VLOOKUP($H$2,'25年度'!$B$6:$GI$52,91,0)/1000,0),"-")</f>
        <v>64343</v>
      </c>
      <c r="AD88" s="225">
        <f>IFERROR(ROUND(VLOOKUP($H$2,'26年度'!$B$6:$GI$52,91,0)/1000,0),"-")</f>
        <v>71872</v>
      </c>
      <c r="AE88" s="179">
        <f>IFERROR(ROUND(VLOOKUP($H$2,'27年度'!$B$6:$GI$52,91,0)/1000,0),"-")</f>
        <v>71356</v>
      </c>
      <c r="AF88" s="179">
        <f>IFERROR(ROUND(VLOOKUP($H$2,'28年度'!$B$6:$GI$52,91,0)/1000,0),"-")</f>
        <v>68151</v>
      </c>
      <c r="AG88" s="226">
        <f>IFERROR(ROUND(VLOOKUP($H$2,'29年度'!$B$6:$GI$52,91,0)/1000,0),"-")</f>
        <v>65941</v>
      </c>
      <c r="AH88" s="225">
        <f>IFERROR(ROUND(VLOOKUP($H$2,'30年度'!$B$6:$GI$52,91,0)/1000,0),"-")</f>
        <v>65906</v>
      </c>
      <c r="AI88" s="179">
        <f>IFERROR(ROUND(VLOOKUP($H$2,'R1年度'!$B$6:$GJ$52,92,0)/1000,0),"-")</f>
        <v>66033</v>
      </c>
      <c r="AJ88" s="179">
        <f>IFERROR(ROUND(VLOOKUP($H$2,'R2年度'!$B$6:$GJ$52,93,0)/1000,0),"-")</f>
        <v>72158</v>
      </c>
      <c r="AK88" s="226">
        <f>IFERROR(ROUND(VLOOKUP($H$2,'R3年度'!$B$6:$GJ$52,93,0)/1000,0),"-")</f>
        <v>70327</v>
      </c>
      <c r="AL88" s="225">
        <f>IFERROR(ROUND(VLOOKUP($H$2,'R4年度'!$B$6:$GJ$52,93,0)/1000,0),"-")</f>
        <v>79778</v>
      </c>
      <c r="AM88" s="236">
        <f>IFERROR(ROUND(VLOOKUP($H$2,'R5年度'!$B$6:$GJ$52,93,0)/1000,0),"-")</f>
        <v>82052</v>
      </c>
      <c r="AN88" s="236">
        <f>IFERROR(ROUND(VLOOKUP($H$2,'R6年度'!$B$6:$GJ$52,93,0)/1000,0),"-")</f>
        <v>87158</v>
      </c>
    </row>
    <row r="89" spans="2:40" ht="15.9" customHeight="1" thickBot="1" x14ac:dyDescent="0.2">
      <c r="B89" s="493" t="s">
        <v>214</v>
      </c>
      <c r="C89" s="494"/>
      <c r="D89" s="474"/>
      <c r="E89" s="221" t="str">
        <f>IFERROR(ROUND(VLOOKUP($H$2,'1年度'!$B$6:$GI$50,92,0)/1000,0),"-")</f>
        <v>-</v>
      </c>
      <c r="F89" s="221" t="str">
        <f>IFERROR(ROUND(VLOOKUP($H$2,'2年度'!$B$6:$GI$50,92,0)/1000,0),"-")</f>
        <v>-</v>
      </c>
      <c r="G89" s="221" t="str">
        <f>IFERROR(ROUND(VLOOKUP($H$2,'3年度'!$B$6:$GI$50,92,0)/1000,0),"-")</f>
        <v>-</v>
      </c>
      <c r="H89" s="221" t="str">
        <f>IFERROR(ROUND(VLOOKUP($H$2,'4年度'!$B$6:$GI$50,92,0)/1000,0),"-")</f>
        <v>-</v>
      </c>
      <c r="I89" s="221" t="str">
        <f>IFERROR(ROUND(VLOOKUP($H$2,'5年度'!$B$6:$GI$50,92,0)/1000,0),"-")</f>
        <v>-</v>
      </c>
      <c r="J89" s="221" t="str">
        <f>IFERROR(ROUND(VLOOKUP($H$2,'6年度'!$B$6:$GI$50,92,0)/1000,0),"-")</f>
        <v>-</v>
      </c>
      <c r="K89" s="221" t="str">
        <f>IFERROR(ROUND(VLOOKUP($H$2,'7年度'!$B$6:$GI$50,92,0)/1000,0),"-")</f>
        <v>-</v>
      </c>
      <c r="L89" s="221" t="str">
        <f>IFERROR(ROUND(VLOOKUP($H$2,'8年度'!$B$6:$GI$50,92,0)/1000,0),"-")</f>
        <v>-</v>
      </c>
      <c r="M89" s="221" t="str">
        <f>IFERROR(ROUND(VLOOKUP($H$2,'9年度'!$B$6:$GI$50,92,0)/1000,0),"-")</f>
        <v>-</v>
      </c>
      <c r="N89" s="221" t="str">
        <f>IFERROR(ROUND(VLOOKUP($H$2,'10年度'!$B$6:$GI$50,92,0)/1000,0),"-")</f>
        <v>-</v>
      </c>
      <c r="O89" s="221" t="str">
        <f>IFERROR(ROUND(VLOOKUP($H$2,'11年度'!$B$6:$GI$50,92,0)/1000,0),"-")</f>
        <v>-</v>
      </c>
      <c r="P89" s="221" t="str">
        <f>IFERROR(ROUND(VLOOKUP($H$2,'12年度'!$B$6:$GI$50,92,0)/1000,0),"-")</f>
        <v>-</v>
      </c>
      <c r="Q89" s="221" t="str">
        <f>IFERROR(ROUND(VLOOKUP($H$2,'13年度'!$B$6:$GI$50,92,0)/1000,0),"-")</f>
        <v>-</v>
      </c>
      <c r="R89" s="221" t="str">
        <f>IFERROR(ROUND(VLOOKUP($H$2,'14年度'!$B$6:$GI$50,92,0)/1000,0),"-")</f>
        <v>-</v>
      </c>
      <c r="S89" s="221" t="str">
        <f>IFERROR(ROUND(VLOOKUP($H$2,'15年度'!$B$6:$GI$50,92,0)/1000,0),"-")</f>
        <v>-</v>
      </c>
      <c r="T89" s="221" t="str">
        <f>IFERROR(ROUND(VLOOKUP($H$2,'16年度'!$B$6:$GI$50,92,0)/1000,0),"-")</f>
        <v>-</v>
      </c>
      <c r="U89" s="221" t="str">
        <f>IFERROR(ROUND(VLOOKUP($H$2,'17年度'!$B$6:$GI$50,92,0)/1000,0),"-")</f>
        <v>-</v>
      </c>
      <c r="V89" s="221" t="str">
        <f>IFERROR(ROUND(VLOOKUP($H$2,'18年度'!$B$6:$GI$50,92,0)/1000,0),"-")</f>
        <v>-</v>
      </c>
      <c r="W89" s="221" t="str">
        <f>IFERROR(ROUND(VLOOKUP($H$2,'19年度'!$B$6:$GI$50,92,0)/1000,0),"-")</f>
        <v>-</v>
      </c>
      <c r="X89" s="222" t="str">
        <f>IFERROR(ROUND(VLOOKUP($H$2,'20年度'!$B$6:$GI$50,92,0)/1000,0),"-")</f>
        <v>-</v>
      </c>
      <c r="Y89" s="222" t="str">
        <f>IFERROR(ROUND(VLOOKUP($H$2,'21年度'!$B$6:$GI$50,92,0)/1000,0),"-")</f>
        <v>-</v>
      </c>
      <c r="Z89" s="222" t="str">
        <f>IFERROR(ROUND(VLOOKUP($H$2,'22年度'!$B$6:$GI$50,92,0)/1000,0),"-")</f>
        <v>-</v>
      </c>
      <c r="AA89" s="222">
        <f>IFERROR(ROUND(VLOOKUP($H$2,'23年度'!$B$6:$GI$52,92,0)/1000,0),"-")</f>
        <v>32991</v>
      </c>
      <c r="AB89" s="221">
        <f>IFERROR(ROUND(VLOOKUP($H$2,'24年度'!$B$6:$GI$52,92,0)/1000,0),"-")</f>
        <v>33203</v>
      </c>
      <c r="AC89" s="223">
        <f>IFERROR(ROUND(VLOOKUP($H$2,'25年度'!$B$6:$GI$52,92,0)/1000,0),"-")</f>
        <v>33050</v>
      </c>
      <c r="AD89" s="222">
        <f>IFERROR(ROUND(VLOOKUP($H$2,'26年度'!$B$6:$GI$52,92,0)/1000,0),"-")</f>
        <v>34046</v>
      </c>
      <c r="AE89" s="221">
        <f>IFERROR(ROUND(VLOOKUP($H$2,'27年度'!$B$6:$GI$52,92,0)/1000,0),"-")</f>
        <v>32847</v>
      </c>
      <c r="AF89" s="221">
        <f>IFERROR(ROUND(VLOOKUP($H$2,'28年度'!$B$6:$GI$52,92,0)/1000,0),"-")</f>
        <v>32584</v>
      </c>
      <c r="AG89" s="223">
        <f>IFERROR(ROUND(VLOOKUP($H$2,'29年度'!$B$6:$GI$52,92,0)/1000,0),"-")</f>
        <v>33830</v>
      </c>
      <c r="AH89" s="222">
        <f>IFERROR(ROUND(VLOOKUP($H$2,'30年度'!$B$6:$GI$52,92,0)/1000,0),"-")</f>
        <v>38638</v>
      </c>
      <c r="AI89" s="221">
        <f>IFERROR(ROUND(VLOOKUP($H$2,'R1年度'!$B$6:$GJ$52,93,0)/1000,0),"-")</f>
        <v>40937</v>
      </c>
      <c r="AJ89" s="221">
        <f>IFERROR(ROUND(VLOOKUP($H$2,'R2年度'!$B$6:$GJ$52,94,0)/1000,0),"-")</f>
        <v>42559</v>
      </c>
      <c r="AK89" s="223">
        <f>IFERROR(ROUND(VLOOKUP($H$2,'R3年度'!$B$6:$GJ$52,94,0)/1000,0),"-")</f>
        <v>42139</v>
      </c>
      <c r="AL89" s="222">
        <f>IFERROR(ROUND(VLOOKUP($H$2,'R4年度'!$B$6:$GJ$52,94,0)/1000,0),"-")</f>
        <v>43200</v>
      </c>
      <c r="AM89" s="251">
        <f>IFERROR(ROUND(VLOOKUP($H$2,'R5年度'!$B$6:$GJ$52,94,0)/1000,0),"-")</f>
        <v>49443</v>
      </c>
      <c r="AN89" s="251">
        <f>IFERROR(ROUND(VLOOKUP($H$2,'R6年度'!$B$6:$GJ$52,94,0)/1000,0),"-")</f>
        <v>54076</v>
      </c>
    </row>
    <row r="90" spans="2:40" ht="15.9" customHeight="1" x14ac:dyDescent="0.15">
      <c r="B90" s="484" t="s">
        <v>215</v>
      </c>
      <c r="C90" s="485"/>
      <c r="D90" s="486"/>
      <c r="E90" s="189" t="str">
        <f>IFERROR(ROUND(VLOOKUP($H$2,'1年度'!$B$6:$GI$50,93,0)/1000,0),"-")</f>
        <v>-</v>
      </c>
      <c r="F90" s="189" t="str">
        <f>IFERROR(ROUND(VLOOKUP($H$2,'2年度'!$B$6:$GI$50,93,0)/1000,0),"-")</f>
        <v>-</v>
      </c>
      <c r="G90" s="189" t="str">
        <f>IFERROR(ROUND(VLOOKUP($H$2,'3年度'!$B$6:$GI$50,93,0)/1000,0),"-")</f>
        <v>-</v>
      </c>
      <c r="H90" s="189" t="str">
        <f>IFERROR(ROUND(VLOOKUP($H$2,'4年度'!$B$6:$GI$50,93,0)/1000,0),"-")</f>
        <v>-</v>
      </c>
      <c r="I90" s="189" t="str">
        <f>IFERROR(ROUND(VLOOKUP($H$2,'5年度'!$B$6:$GI$50,93,0)/1000,0),"-")</f>
        <v>-</v>
      </c>
      <c r="J90" s="189" t="str">
        <f>IFERROR(ROUND(VLOOKUP($H$2,'6年度'!$B$6:$GI$50,93,0)/1000,0),"-")</f>
        <v>-</v>
      </c>
      <c r="K90" s="189" t="str">
        <f>IFERROR(ROUND(VLOOKUP($H$2,'7年度'!$B$6:$GI$50,93,0)/1000,0),"-")</f>
        <v>-</v>
      </c>
      <c r="L90" s="189" t="str">
        <f>IFERROR(ROUND(VLOOKUP($H$2,'8年度'!$B$6:$GI$50,93,0)/1000,0),"-")</f>
        <v>-</v>
      </c>
      <c r="M90" s="189" t="str">
        <f>IFERROR(ROUND(VLOOKUP($H$2,'9年度'!$B$6:$GI$50,93,0)/1000,0),"-")</f>
        <v>-</v>
      </c>
      <c r="N90" s="189" t="str">
        <f>IFERROR(ROUND(VLOOKUP($H$2,'10年度'!$B$6:$GI$50,93,0)/1000,0),"-")</f>
        <v>-</v>
      </c>
      <c r="O90" s="189" t="str">
        <f>IFERROR(ROUND(VLOOKUP($H$2,'11年度'!$B$6:$GI$50,93,0)/1000,0),"-")</f>
        <v>-</v>
      </c>
      <c r="P90" s="189" t="str">
        <f>IFERROR(ROUND(VLOOKUP($H$2,'12年度'!$B$6:$GI$50,93,0)/1000,0),"-")</f>
        <v>-</v>
      </c>
      <c r="Q90" s="189" t="str">
        <f>IFERROR(ROUND(VLOOKUP($H$2,'13年度'!$B$6:$GI$50,93,0)/1000,0),"-")</f>
        <v>-</v>
      </c>
      <c r="R90" s="189" t="str">
        <f>IFERROR(ROUND(VLOOKUP($H$2,'14年度'!$B$6:$GI$50,93,0)/1000,0),"-")</f>
        <v>-</v>
      </c>
      <c r="S90" s="189" t="str">
        <f>IFERROR(ROUND(VLOOKUP($H$2,'15年度'!$B$6:$GI$50,93,0)/1000,0),"-")</f>
        <v>-</v>
      </c>
      <c r="T90" s="189" t="str">
        <f>IFERROR(ROUND(VLOOKUP($H$2,'16年度'!$B$6:$GI$50,93,0)/1000,0),"-")</f>
        <v>-</v>
      </c>
      <c r="U90" s="189" t="str">
        <f>IFERROR(ROUND(VLOOKUP($H$2,'17年度'!$B$6:$GI$50,93,0)/1000,0),"-")</f>
        <v>-</v>
      </c>
      <c r="V90" s="189" t="str">
        <f>IFERROR(ROUND(VLOOKUP($H$2,'18年度'!$B$6:$GI$50,93,0)/1000,0),"-")</f>
        <v>-</v>
      </c>
      <c r="W90" s="189" t="str">
        <f>IFERROR(ROUND(VLOOKUP($H$2,'19年度'!$B$6:$GI$50,93,0)/1000,0),"-")</f>
        <v>-</v>
      </c>
      <c r="X90" s="237" t="str">
        <f>IFERROR(ROUND(VLOOKUP($H$2,'20年度'!$B$6:$GI$50,93,0)/1000,0),"-")</f>
        <v>-</v>
      </c>
      <c r="Y90" s="237" t="str">
        <f>IFERROR(ROUND(VLOOKUP($H$2,'21年度'!$B$6:$GI$50,93,0)/1000,0),"-")</f>
        <v>-</v>
      </c>
      <c r="Z90" s="237" t="str">
        <f>IFERROR(ROUND(VLOOKUP($H$2,'22年度'!$B$6:$GI$50,93,0)/1000,0),"-")</f>
        <v>-</v>
      </c>
      <c r="AA90" s="237">
        <f>IFERROR(ROUND(VLOOKUP($H$2,'23年度'!$B$6:$GI$52,93,0)/1000,0),"-")</f>
        <v>303256</v>
      </c>
      <c r="AB90" s="189">
        <f>IFERROR(ROUND(VLOOKUP($H$2,'24年度'!$B$6:$GI$52,93,0)/1000,0),"-")</f>
        <v>317121</v>
      </c>
      <c r="AC90" s="238">
        <f>IFERROR(ROUND(VLOOKUP($H$2,'25年度'!$B$6:$GI$52,93,0)/1000,0),"-")</f>
        <v>353022</v>
      </c>
      <c r="AD90" s="237">
        <f>IFERROR(ROUND(VLOOKUP($H$2,'26年度'!$B$6:$GI$52,93,0)/1000,0),"-")</f>
        <v>293380</v>
      </c>
      <c r="AE90" s="189">
        <f>IFERROR(ROUND(VLOOKUP($H$2,'27年度'!$B$6:$GI$52,93,0)/1000,0),"-")</f>
        <v>318412</v>
      </c>
      <c r="AF90" s="189">
        <f>IFERROR(ROUND(VLOOKUP($H$2,'28年度'!$B$6:$GI$52,93,0)/1000,0),"-")</f>
        <v>309290</v>
      </c>
      <c r="AG90" s="238">
        <f>IFERROR(ROUND(VLOOKUP($H$2,'29年度'!$B$6:$GI$52,93,0)/1000,0),"-")</f>
        <v>313541</v>
      </c>
      <c r="AH90" s="237">
        <f>IFERROR(ROUND(VLOOKUP($H$2,'30年度'!$B$6:$GI$52,93,0)/1000,0),"-")</f>
        <v>339317</v>
      </c>
      <c r="AI90" s="189">
        <f>IFERROR(ROUND(VLOOKUP($H$2,'R1年度'!$B$6:$GJ$52,94,0)/1000,0),"-")</f>
        <v>341132</v>
      </c>
      <c r="AJ90" s="189">
        <f>IFERROR(ROUND(VLOOKUP($H$2,'R2年度'!$B$6:$GJ$52,95,0)/1000,0),"-")</f>
        <v>1293579</v>
      </c>
      <c r="AK90" s="238">
        <f>IFERROR(ROUND(VLOOKUP($H$2,'R3年度'!$B$6:$GJ$52,95,0)/1000,0),"-")</f>
        <v>430406</v>
      </c>
      <c r="AL90" s="237">
        <f>IFERROR(ROUND(VLOOKUP($H$2,'R4年度'!$B$6:$GJ$52,95,0)/1000,0),"-")</f>
        <v>421004</v>
      </c>
      <c r="AM90" s="252">
        <f>IFERROR(ROUND(VLOOKUP($H$2,'R5年度'!$B$6:$GJ$52,95,0)/1000,0),"-")</f>
        <v>402384</v>
      </c>
      <c r="AN90" s="252">
        <f>IFERROR(ROUND(VLOOKUP($H$2,'R6年度'!$B$6:$GJ$52,95,0)/1000,0),"-")</f>
        <v>429899</v>
      </c>
    </row>
    <row r="91" spans="2:40" ht="15.9" customHeight="1" x14ac:dyDescent="0.15">
      <c r="B91" s="54"/>
      <c r="C91" s="478" t="s">
        <v>216</v>
      </c>
      <c r="D91" s="479"/>
      <c r="E91" s="202" t="str">
        <f>IFERROR(ROUND(VLOOKUP($H$2,'1年度'!$B$6:$GI$50,94,0)/1000,0),"-")</f>
        <v>-</v>
      </c>
      <c r="F91" s="202" t="str">
        <f>IFERROR(ROUND(VLOOKUP($H$2,'2年度'!$B$6:$GI$50,94,0)/1000,0),"-")</f>
        <v>-</v>
      </c>
      <c r="G91" s="202" t="str">
        <f>IFERROR(ROUND(VLOOKUP($H$2,'3年度'!$B$6:$GI$50,94,0)/1000,0),"-")</f>
        <v>-</v>
      </c>
      <c r="H91" s="202" t="str">
        <f>IFERROR(ROUND(VLOOKUP($H$2,'4年度'!$B$6:$GI$50,94,0)/1000,0),"-")</f>
        <v>-</v>
      </c>
      <c r="I91" s="202" t="str">
        <f>IFERROR(ROUND(VLOOKUP($H$2,'5年度'!$B$6:$GI$50,94,0)/1000,0),"-")</f>
        <v>-</v>
      </c>
      <c r="J91" s="202" t="str">
        <f>IFERROR(ROUND(VLOOKUP($H$2,'6年度'!$B$6:$GI$50,94,0)/1000,0),"-")</f>
        <v>-</v>
      </c>
      <c r="K91" s="202" t="str">
        <f>IFERROR(ROUND(VLOOKUP($H$2,'7年度'!$B$6:$GI$50,94,0)/1000,0),"-")</f>
        <v>-</v>
      </c>
      <c r="L91" s="202" t="str">
        <f>IFERROR(ROUND(VLOOKUP($H$2,'8年度'!$B$6:$GI$50,94,0)/1000,0),"-")</f>
        <v>-</v>
      </c>
      <c r="M91" s="202" t="str">
        <f>IFERROR(ROUND(VLOOKUP($H$2,'9年度'!$B$6:$GI$50,94,0)/1000,0),"-")</f>
        <v>-</v>
      </c>
      <c r="N91" s="202" t="str">
        <f>IFERROR(ROUND(VLOOKUP($H$2,'10年度'!$B$6:$GI$50,94,0)/1000,0),"-")</f>
        <v>-</v>
      </c>
      <c r="O91" s="202" t="str">
        <f>IFERROR(ROUND(VLOOKUP($H$2,'11年度'!$B$6:$GI$50,94,0)/1000,0),"-")</f>
        <v>-</v>
      </c>
      <c r="P91" s="202" t="str">
        <f>IFERROR(ROUND(VLOOKUP($H$2,'12年度'!$B$6:$GI$50,94,0)/1000,0),"-")</f>
        <v>-</v>
      </c>
      <c r="Q91" s="202" t="str">
        <f>IFERROR(ROUND(VLOOKUP($H$2,'13年度'!$B$6:$GI$50,94,0)/1000,0),"-")</f>
        <v>-</v>
      </c>
      <c r="R91" s="202" t="str">
        <f>IFERROR(ROUND(VLOOKUP($H$2,'14年度'!$B$6:$GI$50,94,0)/1000,0),"-")</f>
        <v>-</v>
      </c>
      <c r="S91" s="202" t="str">
        <f>IFERROR(ROUND(VLOOKUP($H$2,'15年度'!$B$6:$GI$50,94,0)/1000,0),"-")</f>
        <v>-</v>
      </c>
      <c r="T91" s="202" t="str">
        <f>IFERROR(ROUND(VLOOKUP($H$2,'16年度'!$B$6:$GI$50,94,0)/1000,0),"-")</f>
        <v>-</v>
      </c>
      <c r="U91" s="202" t="str">
        <f>IFERROR(ROUND(VLOOKUP($H$2,'17年度'!$B$6:$GI$50,94,0)/1000,0),"-")</f>
        <v>-</v>
      </c>
      <c r="V91" s="202" t="str">
        <f>IFERROR(ROUND(VLOOKUP($H$2,'18年度'!$B$6:$GI$50,94,0)/1000,0),"-")</f>
        <v>-</v>
      </c>
      <c r="W91" s="202" t="str">
        <f>IFERROR(ROUND(VLOOKUP($H$2,'19年度'!$B$6:$GI$50,94,0)/1000,0),"-")</f>
        <v>-</v>
      </c>
      <c r="X91" s="203" t="str">
        <f>IFERROR(ROUND(VLOOKUP($H$2,'20年度'!$B$6:$GI$50,94,0)/1000,0),"-")</f>
        <v>-</v>
      </c>
      <c r="Y91" s="203" t="str">
        <f>IFERROR(ROUND(VLOOKUP($H$2,'21年度'!$B$6:$GI$50,94,0)/1000,0),"-")</f>
        <v>-</v>
      </c>
      <c r="Z91" s="203" t="str">
        <f>IFERROR(ROUND(VLOOKUP($H$2,'22年度'!$B$6:$GI$50,94,0)/1000,0),"-")</f>
        <v>-</v>
      </c>
      <c r="AA91" s="203">
        <f>IFERROR(ROUND(VLOOKUP($H$2,'23年度'!$B$6:$GI$52,94,0)/1000,0),"-")</f>
        <v>35905</v>
      </c>
      <c r="AB91" s="202">
        <f>IFERROR(ROUND(VLOOKUP($H$2,'24年度'!$B$6:$GI$52,94,0)/1000,0),"-")</f>
        <v>35361</v>
      </c>
      <c r="AC91" s="204">
        <f>IFERROR(ROUND(VLOOKUP($H$2,'25年度'!$B$6:$GI$52,94,0)/1000,0),"-")</f>
        <v>37152</v>
      </c>
      <c r="AD91" s="203">
        <f>IFERROR(ROUND(VLOOKUP($H$2,'26年度'!$B$6:$GI$52,94,0)/1000,0),"-")</f>
        <v>38624</v>
      </c>
      <c r="AE91" s="202">
        <f>IFERROR(ROUND(VLOOKUP($H$2,'27年度'!$B$6:$GI$52,94,0)/1000,0),"-")</f>
        <v>48370</v>
      </c>
      <c r="AF91" s="202">
        <f>IFERROR(ROUND(VLOOKUP($H$2,'28年度'!$B$6:$GI$52,94,0)/1000,0),"-")</f>
        <v>46970</v>
      </c>
      <c r="AG91" s="204">
        <f>IFERROR(ROUND(VLOOKUP($H$2,'29年度'!$B$6:$GI$52,94,0)/1000,0),"-")</f>
        <v>46084</v>
      </c>
      <c r="AH91" s="203">
        <f>IFERROR(ROUND(VLOOKUP($H$2,'30年度'!$B$6:$GI$52,94,0)/1000,0),"-")</f>
        <v>45296</v>
      </c>
      <c r="AI91" s="202">
        <f>IFERROR(ROUND(VLOOKUP($H$2,'R1年度'!$B$6:$GJ$52,95,0)/1000,0),"-")</f>
        <v>44956</v>
      </c>
      <c r="AJ91" s="202">
        <f>IFERROR(ROUND(VLOOKUP($H$2,'R2年度'!$B$6:$GJ$52,96,0)/1000,0),"-")</f>
        <v>45477</v>
      </c>
      <c r="AK91" s="204">
        <f>IFERROR(ROUND(VLOOKUP($H$2,'R3年度'!$B$6:$GJ$52,96,0)/1000,0),"-")</f>
        <v>47564</v>
      </c>
      <c r="AL91" s="203">
        <f>IFERROR(ROUND(VLOOKUP($H$2,'R4年度'!$B$6:$GJ$52,96,0)/1000,0),"-")</f>
        <v>46711</v>
      </c>
      <c r="AM91" s="235">
        <f>IFERROR(ROUND(VLOOKUP($H$2,'R5年度'!$B$6:$GJ$52,96,0)/1000,0),"-")</f>
        <v>46642</v>
      </c>
      <c r="AN91" s="235">
        <f>IFERROR(ROUND(VLOOKUP($H$2,'R6年度'!$B$6:$GJ$52,96,0)/1000,0),"-")</f>
        <v>55080</v>
      </c>
    </row>
    <row r="92" spans="2:40" ht="15.9" customHeight="1" x14ac:dyDescent="0.15">
      <c r="B92" s="54"/>
      <c r="C92" s="492" t="s">
        <v>217</v>
      </c>
      <c r="D92" s="481"/>
      <c r="E92" s="179" t="str">
        <f>IFERROR(ROUND(VLOOKUP($H$2,'1年度'!$B$6:$GI$50,95,0)/1000,0),"-")</f>
        <v>-</v>
      </c>
      <c r="F92" s="179" t="str">
        <f>IFERROR(ROUND(VLOOKUP($H$2,'2年度'!$B$6:$GI$50,95,0)/1000,0),"-")</f>
        <v>-</v>
      </c>
      <c r="G92" s="179" t="str">
        <f>IFERROR(ROUND(VLOOKUP($H$2,'3年度'!$B$6:$GI$50,95,0)/1000,0),"-")</f>
        <v>-</v>
      </c>
      <c r="H92" s="179" t="str">
        <f>IFERROR(ROUND(VLOOKUP($H$2,'4年度'!$B$6:$GI$50,95,0)/1000,0),"-")</f>
        <v>-</v>
      </c>
      <c r="I92" s="179" t="str">
        <f>IFERROR(ROUND(VLOOKUP($H$2,'5年度'!$B$6:$GI$50,95,0)/1000,0),"-")</f>
        <v>-</v>
      </c>
      <c r="J92" s="179" t="str">
        <f>IFERROR(ROUND(VLOOKUP($H$2,'6年度'!$B$6:$GI$50,95,0)/1000,0),"-")</f>
        <v>-</v>
      </c>
      <c r="K92" s="179" t="str">
        <f>IFERROR(ROUND(VLOOKUP($H$2,'7年度'!$B$6:$GI$50,95,0)/1000,0),"-")</f>
        <v>-</v>
      </c>
      <c r="L92" s="179" t="str">
        <f>IFERROR(ROUND(VLOOKUP($H$2,'8年度'!$B$6:$GI$50,95,0)/1000,0),"-")</f>
        <v>-</v>
      </c>
      <c r="M92" s="179" t="str">
        <f>IFERROR(ROUND(VLOOKUP($H$2,'9年度'!$B$6:$GI$50,95,0)/1000,0),"-")</f>
        <v>-</v>
      </c>
      <c r="N92" s="179" t="str">
        <f>IFERROR(ROUND(VLOOKUP($H$2,'10年度'!$B$6:$GI$50,95,0)/1000,0),"-")</f>
        <v>-</v>
      </c>
      <c r="O92" s="179" t="str">
        <f>IFERROR(ROUND(VLOOKUP($H$2,'11年度'!$B$6:$GI$50,95,0)/1000,0),"-")</f>
        <v>-</v>
      </c>
      <c r="P92" s="179" t="str">
        <f>IFERROR(ROUND(VLOOKUP($H$2,'12年度'!$B$6:$GI$50,95,0)/1000,0),"-")</f>
        <v>-</v>
      </c>
      <c r="Q92" s="179" t="str">
        <f>IFERROR(ROUND(VLOOKUP($H$2,'13年度'!$B$6:$GI$50,95,0)/1000,0),"-")</f>
        <v>-</v>
      </c>
      <c r="R92" s="179" t="str">
        <f>IFERROR(ROUND(VLOOKUP($H$2,'14年度'!$B$6:$GI$50,95,0)/1000,0),"-")</f>
        <v>-</v>
      </c>
      <c r="S92" s="179" t="str">
        <f>IFERROR(ROUND(VLOOKUP($H$2,'15年度'!$B$6:$GI$50,95,0)/1000,0),"-")</f>
        <v>-</v>
      </c>
      <c r="T92" s="179" t="str">
        <f>IFERROR(ROUND(VLOOKUP($H$2,'16年度'!$B$6:$GI$50,95,0)/1000,0),"-")</f>
        <v>-</v>
      </c>
      <c r="U92" s="179" t="str">
        <f>IFERROR(ROUND(VLOOKUP($H$2,'17年度'!$B$6:$GI$50,95,0)/1000,0),"-")</f>
        <v>-</v>
      </c>
      <c r="V92" s="179" t="str">
        <f>IFERROR(ROUND(VLOOKUP($H$2,'18年度'!$B$6:$GI$50,95,0)/1000,0),"-")</f>
        <v>-</v>
      </c>
      <c r="W92" s="179" t="str">
        <f>IFERROR(ROUND(VLOOKUP($H$2,'19年度'!$B$6:$GI$50,95,0)/1000,0),"-")</f>
        <v>-</v>
      </c>
      <c r="X92" s="225" t="str">
        <f>IFERROR(ROUND(VLOOKUP($H$2,'20年度'!$B$6:$GI$50,95,0)/1000,0),"-")</f>
        <v>-</v>
      </c>
      <c r="Y92" s="225" t="str">
        <f>IFERROR(ROUND(VLOOKUP($H$2,'21年度'!$B$6:$GI$50,95,0)/1000,0),"-")</f>
        <v>-</v>
      </c>
      <c r="Z92" s="225" t="str">
        <f>IFERROR(ROUND(VLOOKUP($H$2,'22年度'!$B$6:$GI$50,95,0)/1000,0),"-")</f>
        <v>-</v>
      </c>
      <c r="AA92" s="225">
        <f>IFERROR(ROUND(VLOOKUP($H$2,'23年度'!$B$6:$GI$52,95,0)/1000,0),"-")</f>
        <v>118041</v>
      </c>
      <c r="AB92" s="179">
        <f>IFERROR(ROUND(VLOOKUP($H$2,'24年度'!$B$6:$GI$52,95,0)/1000,0),"-")</f>
        <v>108808</v>
      </c>
      <c r="AC92" s="226">
        <f>IFERROR(ROUND(VLOOKUP($H$2,'25年度'!$B$6:$GI$52,95,0)/1000,0),"-")</f>
        <v>103236</v>
      </c>
      <c r="AD92" s="225">
        <f>IFERROR(ROUND(VLOOKUP($H$2,'26年度'!$B$6:$GI$52,95,0)/1000,0),"-")</f>
        <v>95961</v>
      </c>
      <c r="AE92" s="179">
        <f>IFERROR(ROUND(VLOOKUP($H$2,'27年度'!$B$6:$GI$52,95,0)/1000,0),"-")</f>
        <v>91618</v>
      </c>
      <c r="AF92" s="179">
        <f>IFERROR(ROUND(VLOOKUP($H$2,'28年度'!$B$6:$GI$52,95,0)/1000,0),"-")</f>
        <v>92542</v>
      </c>
      <c r="AG92" s="226">
        <f>IFERROR(ROUND(VLOOKUP($H$2,'29年度'!$B$6:$GI$52,95,0)/1000,0),"-")</f>
        <v>93831</v>
      </c>
      <c r="AH92" s="225">
        <f>IFERROR(ROUND(VLOOKUP($H$2,'30年度'!$B$6:$GI$52,95,0)/1000,0),"-")</f>
        <v>95041</v>
      </c>
      <c r="AI92" s="179">
        <f>IFERROR(ROUND(VLOOKUP($H$2,'R1年度'!$B$6:$GJ$52,96,0)/1000,0),"-")</f>
        <v>98417</v>
      </c>
      <c r="AJ92" s="179">
        <f>IFERROR(ROUND(VLOOKUP($H$2,'R2年度'!$B$6:$GJ$52,97,0)/1000,0),"-")</f>
        <v>1031086</v>
      </c>
      <c r="AK92" s="226">
        <f>IFERROR(ROUND(VLOOKUP($H$2,'R3年度'!$B$6:$GJ$52,97,0)/1000,0),"-")</f>
        <v>170571</v>
      </c>
      <c r="AL92" s="225">
        <f>IFERROR(ROUND(VLOOKUP($H$2,'R4年度'!$B$6:$GJ$52,97,0)/1000,0),"-")</f>
        <v>144149</v>
      </c>
      <c r="AM92" s="239">
        <f>IFERROR(ROUND(VLOOKUP($H$2,'R5年度'!$B$6:$GJ$52,97,0)/1000,0),"-")</f>
        <v>135236</v>
      </c>
      <c r="AN92" s="239">
        <f>IFERROR(ROUND(VLOOKUP($H$2,'R6年度'!$B$6:$GJ$52,97,0)/1000,0),"-")</f>
        <v>173328</v>
      </c>
    </row>
    <row r="93" spans="2:40" ht="15.9" customHeight="1" x14ac:dyDescent="0.15">
      <c r="B93" s="54"/>
      <c r="C93" s="59"/>
      <c r="D93" s="169" t="s">
        <v>218</v>
      </c>
      <c r="E93" s="198" t="str">
        <f>IFERROR(ROUND(VLOOKUP($H$2,'1年度'!$B$6:$GI$50,96,0)/1000,0),"-")</f>
        <v>-</v>
      </c>
      <c r="F93" s="198" t="str">
        <f>IFERROR(ROUND(VLOOKUP($H$2,'2年度'!$B$6:$GI$50,96,0)/1000,0),"-")</f>
        <v>-</v>
      </c>
      <c r="G93" s="198" t="str">
        <f>IFERROR(ROUND(VLOOKUP($H$2,'3年度'!$B$6:$GI$50,96,0)/1000,0),"-")</f>
        <v>-</v>
      </c>
      <c r="H93" s="198" t="str">
        <f>IFERROR(ROUND(VLOOKUP($H$2,'4年度'!$B$6:$GI$50,96,0)/1000,0),"-")</f>
        <v>-</v>
      </c>
      <c r="I93" s="198" t="str">
        <f>IFERROR(ROUND(VLOOKUP($H$2,'5年度'!$B$6:$GI$50,96,0)/1000,0),"-")</f>
        <v>-</v>
      </c>
      <c r="J93" s="198" t="str">
        <f>IFERROR(ROUND(VLOOKUP($H$2,'6年度'!$B$6:$GI$50,96,0)/1000,0),"-")</f>
        <v>-</v>
      </c>
      <c r="K93" s="198" t="str">
        <f>IFERROR(ROUND(VLOOKUP($H$2,'7年度'!$B$6:$GI$50,96,0)/1000,0),"-")</f>
        <v>-</v>
      </c>
      <c r="L93" s="198" t="str">
        <f>IFERROR(ROUND(VLOOKUP($H$2,'8年度'!$B$6:$GI$50,96,0)/1000,0),"-")</f>
        <v>-</v>
      </c>
      <c r="M93" s="198" t="str">
        <f>IFERROR(ROUND(VLOOKUP($H$2,'9年度'!$B$6:$GI$50,96,0)/1000,0),"-")</f>
        <v>-</v>
      </c>
      <c r="N93" s="198" t="str">
        <f>IFERROR(ROUND(VLOOKUP($H$2,'10年度'!$B$6:$GI$50,96,0)/1000,0),"-")</f>
        <v>-</v>
      </c>
      <c r="O93" s="198" t="str">
        <f>IFERROR(ROUND(VLOOKUP($H$2,'11年度'!$B$6:$GI$50,96,0)/1000,0),"-")</f>
        <v>-</v>
      </c>
      <c r="P93" s="198" t="str">
        <f>IFERROR(ROUND(VLOOKUP($H$2,'12年度'!$B$6:$GI$50,96,0)/1000,0),"-")</f>
        <v>-</v>
      </c>
      <c r="Q93" s="198" t="str">
        <f>IFERROR(ROUND(VLOOKUP($H$2,'13年度'!$B$6:$GI$50,96,0)/1000,0),"-")</f>
        <v>-</v>
      </c>
      <c r="R93" s="198" t="str">
        <f>IFERROR(ROUND(VLOOKUP($H$2,'14年度'!$B$6:$GI$50,96,0)/1000,0),"-")</f>
        <v>-</v>
      </c>
      <c r="S93" s="198" t="str">
        <f>IFERROR(ROUND(VLOOKUP($H$2,'15年度'!$B$6:$GI$50,96,0)/1000,0),"-")</f>
        <v>-</v>
      </c>
      <c r="T93" s="198" t="str">
        <f>IFERROR(ROUND(VLOOKUP($H$2,'16年度'!$B$6:$GI$50,96,0)/1000,0),"-")</f>
        <v>-</v>
      </c>
      <c r="U93" s="198" t="str">
        <f>IFERROR(ROUND(VLOOKUP($H$2,'17年度'!$B$6:$GI$50,96,0)/1000,0),"-")</f>
        <v>-</v>
      </c>
      <c r="V93" s="198" t="str">
        <f>IFERROR(ROUND(VLOOKUP($H$2,'18年度'!$B$6:$GI$50,96,0)/1000,0),"-")</f>
        <v>-</v>
      </c>
      <c r="W93" s="198" t="str">
        <f>IFERROR(ROUND(VLOOKUP($H$2,'19年度'!$B$6:$GI$50,96,0)/1000,0),"-")</f>
        <v>-</v>
      </c>
      <c r="X93" s="199" t="str">
        <f>IFERROR(ROUND(VLOOKUP($H$2,'20年度'!$B$6:$GI$50,96,0)/1000,0),"-")</f>
        <v>-</v>
      </c>
      <c r="Y93" s="199" t="str">
        <f>IFERROR(ROUND(VLOOKUP($H$2,'21年度'!$B$6:$GI$50,96,0)/1000,0),"-")</f>
        <v>-</v>
      </c>
      <c r="Z93" s="199" t="str">
        <f>IFERROR(ROUND(VLOOKUP($H$2,'22年度'!$B$6:$GI$50,96,0)/1000,0),"-")</f>
        <v>-</v>
      </c>
      <c r="AA93" s="199">
        <f>IFERROR(ROUND(VLOOKUP($H$2,'23年度'!$B$6:$GI$52,96,0)/1000,0),"-")</f>
        <v>89130</v>
      </c>
      <c r="AB93" s="198">
        <f>IFERROR(ROUND(VLOOKUP($H$2,'24年度'!$B$6:$GI$52,96,0)/1000,0),"-")</f>
        <v>85576</v>
      </c>
      <c r="AC93" s="200">
        <f>IFERROR(ROUND(VLOOKUP($H$2,'25年度'!$B$6:$GI$52,96,0)/1000,0),"-")</f>
        <v>79370</v>
      </c>
      <c r="AD93" s="199">
        <f>IFERROR(ROUND(VLOOKUP($H$2,'26年度'!$B$6:$GI$52,96,0)/1000,0),"-")</f>
        <v>67713</v>
      </c>
      <c r="AE93" s="198">
        <f>IFERROR(ROUND(VLOOKUP($H$2,'27年度'!$B$6:$GI$52,96,0)/1000,0),"-")</f>
        <v>68785</v>
      </c>
      <c r="AF93" s="198">
        <f>IFERROR(ROUND(VLOOKUP($H$2,'28年度'!$B$6:$GI$52,96,0)/1000,0),"-")</f>
        <v>67294</v>
      </c>
      <c r="AG93" s="200">
        <f>IFERROR(ROUND(VLOOKUP($H$2,'29年度'!$B$6:$GI$52,96,0)/1000,0),"-")</f>
        <v>67979</v>
      </c>
      <c r="AH93" s="199">
        <f>IFERROR(ROUND(VLOOKUP($H$2,'30年度'!$B$6:$GI$52,96,0)/1000,0),"-")</f>
        <v>73167</v>
      </c>
      <c r="AI93" s="198">
        <f>IFERROR(ROUND(VLOOKUP($H$2,'R1年度'!$B$6:$GJ$52,97,0)/1000,0),"-")</f>
        <v>76089</v>
      </c>
      <c r="AJ93" s="198">
        <f>IFERROR(ROUND(VLOOKUP($H$2,'R2年度'!$B$6:$GJ$52,98,0)/1000,0),"-")</f>
        <v>243473</v>
      </c>
      <c r="AK93" s="200">
        <f>IFERROR(ROUND(VLOOKUP($H$2,'R3年度'!$B$6:$GJ$52,98,0)/1000,0),"-")</f>
        <v>142782</v>
      </c>
      <c r="AL93" s="199">
        <f>IFERROR(ROUND(VLOOKUP($H$2,'R4年度'!$B$6:$GJ$52,98,0)/1000,0),"-")</f>
        <v>109232</v>
      </c>
      <c r="AM93" s="253">
        <f>IFERROR(ROUND(VLOOKUP($H$2,'R5年度'!$B$6:$GJ$52,98,0)/1000,0),"-")</f>
        <v>104602</v>
      </c>
      <c r="AN93" s="253">
        <f>IFERROR(ROUND(VLOOKUP($H$2,'R6年度'!$B$6:$GJ$52,98,0)/1000,0),"-")</f>
        <v>144616</v>
      </c>
    </row>
    <row r="94" spans="2:40" ht="15.9" customHeight="1" x14ac:dyDescent="0.15">
      <c r="B94" s="54"/>
      <c r="C94" s="492" t="s">
        <v>219</v>
      </c>
      <c r="D94" s="481"/>
      <c r="E94" s="179" t="str">
        <f>IFERROR(ROUND(VLOOKUP($H$2,'1年度'!$B$6:$GI$50,97,0)/1000,0),"-")</f>
        <v>-</v>
      </c>
      <c r="F94" s="179" t="str">
        <f>IFERROR(ROUND(VLOOKUP($H$2,'2年度'!$B$6:$GI$50,97,0)/1000,0),"-")</f>
        <v>-</v>
      </c>
      <c r="G94" s="179" t="str">
        <f>IFERROR(ROUND(VLOOKUP($H$2,'3年度'!$B$6:$GI$50,97,0)/1000,0),"-")</f>
        <v>-</v>
      </c>
      <c r="H94" s="179" t="str">
        <f>IFERROR(ROUND(VLOOKUP($H$2,'4年度'!$B$6:$GI$50,97,0)/1000,0),"-")</f>
        <v>-</v>
      </c>
      <c r="I94" s="179" t="str">
        <f>IFERROR(ROUND(VLOOKUP($H$2,'5年度'!$B$6:$GI$50,97,0)/1000,0),"-")</f>
        <v>-</v>
      </c>
      <c r="J94" s="179" t="str">
        <f>IFERROR(ROUND(VLOOKUP($H$2,'6年度'!$B$6:$GI$50,97,0)/1000,0),"-")</f>
        <v>-</v>
      </c>
      <c r="K94" s="179" t="str">
        <f>IFERROR(ROUND(VLOOKUP($H$2,'7年度'!$B$6:$GI$50,97,0)/1000,0),"-")</f>
        <v>-</v>
      </c>
      <c r="L94" s="179" t="str">
        <f>IFERROR(ROUND(VLOOKUP($H$2,'8年度'!$B$6:$GI$50,97,0)/1000,0),"-")</f>
        <v>-</v>
      </c>
      <c r="M94" s="179" t="str">
        <f>IFERROR(ROUND(VLOOKUP($H$2,'9年度'!$B$6:$GI$50,97,0)/1000,0),"-")</f>
        <v>-</v>
      </c>
      <c r="N94" s="179" t="str">
        <f>IFERROR(ROUND(VLOOKUP($H$2,'10年度'!$B$6:$GI$50,97,0)/1000,0),"-")</f>
        <v>-</v>
      </c>
      <c r="O94" s="179" t="str">
        <f>IFERROR(ROUND(VLOOKUP($H$2,'11年度'!$B$6:$GI$50,97,0)/1000,0),"-")</f>
        <v>-</v>
      </c>
      <c r="P94" s="179" t="str">
        <f>IFERROR(ROUND(VLOOKUP($H$2,'12年度'!$B$6:$GI$50,97,0)/1000,0),"-")</f>
        <v>-</v>
      </c>
      <c r="Q94" s="179" t="str">
        <f>IFERROR(ROUND(VLOOKUP($H$2,'13年度'!$B$6:$GI$50,97,0)/1000,0),"-")</f>
        <v>-</v>
      </c>
      <c r="R94" s="179" t="str">
        <f>IFERROR(ROUND(VLOOKUP($H$2,'14年度'!$B$6:$GI$50,97,0)/1000,0),"-")</f>
        <v>-</v>
      </c>
      <c r="S94" s="179" t="str">
        <f>IFERROR(ROUND(VLOOKUP($H$2,'15年度'!$B$6:$GI$50,97,0)/1000,0),"-")</f>
        <v>-</v>
      </c>
      <c r="T94" s="179" t="str">
        <f>IFERROR(ROUND(VLOOKUP($H$2,'16年度'!$B$6:$GI$50,97,0)/1000,0),"-")</f>
        <v>-</v>
      </c>
      <c r="U94" s="179" t="str">
        <f>IFERROR(ROUND(VLOOKUP($H$2,'17年度'!$B$6:$GI$50,97,0)/1000,0),"-")</f>
        <v>-</v>
      </c>
      <c r="V94" s="179" t="str">
        <f>IFERROR(ROUND(VLOOKUP($H$2,'18年度'!$B$6:$GI$50,97,0)/1000,0),"-")</f>
        <v>-</v>
      </c>
      <c r="W94" s="179" t="str">
        <f>IFERROR(ROUND(VLOOKUP($H$2,'19年度'!$B$6:$GI$50,97,0)/1000,0),"-")</f>
        <v>-</v>
      </c>
      <c r="X94" s="225" t="str">
        <f>IFERROR(ROUND(VLOOKUP($H$2,'20年度'!$B$6:$GI$50,97,0)/1000,0),"-")</f>
        <v>-</v>
      </c>
      <c r="Y94" s="225" t="str">
        <f>IFERROR(ROUND(VLOOKUP($H$2,'21年度'!$B$6:$GI$50,97,0)/1000,0),"-")</f>
        <v>-</v>
      </c>
      <c r="Z94" s="225" t="str">
        <f>IFERROR(ROUND(VLOOKUP($H$2,'22年度'!$B$6:$GI$50,97,0)/1000,0),"-")</f>
        <v>-</v>
      </c>
      <c r="AA94" s="225">
        <f>IFERROR(ROUND(VLOOKUP($H$2,'23年度'!$B$6:$GI$52,97,0)/1000,0),"-")</f>
        <v>105348</v>
      </c>
      <c r="AB94" s="179">
        <f>IFERROR(ROUND(VLOOKUP($H$2,'24年度'!$B$6:$GI$52,97,0)/1000,0),"-")</f>
        <v>97401</v>
      </c>
      <c r="AC94" s="226">
        <f>IFERROR(ROUND(VLOOKUP($H$2,'25年度'!$B$6:$GI$52,97,0)/1000,0),"-")</f>
        <v>97574</v>
      </c>
      <c r="AD94" s="225">
        <f>IFERROR(ROUND(VLOOKUP($H$2,'26年度'!$B$6:$GI$52,97,0)/1000,0),"-")</f>
        <v>100628</v>
      </c>
      <c r="AE94" s="179">
        <f>IFERROR(ROUND(VLOOKUP($H$2,'27年度'!$B$6:$GI$52,97,0)/1000,0),"-")</f>
        <v>103929</v>
      </c>
      <c r="AF94" s="179">
        <f>IFERROR(ROUND(VLOOKUP($H$2,'28年度'!$B$6:$GI$52,97,0)/1000,0),"-")</f>
        <v>99360</v>
      </c>
      <c r="AG94" s="226">
        <f>IFERROR(ROUND(VLOOKUP($H$2,'29年度'!$B$6:$GI$52,97,0)/1000,0),"-")</f>
        <v>102268</v>
      </c>
      <c r="AH94" s="225">
        <f>IFERROR(ROUND(VLOOKUP($H$2,'30年度'!$B$6:$GI$52,97,0)/1000,0),"-")</f>
        <v>106747</v>
      </c>
      <c r="AI94" s="179">
        <f>IFERROR(ROUND(VLOOKUP($H$2,'R1年度'!$B$6:$GJ$52,98,0)/1000,0),"-")</f>
        <v>103065</v>
      </c>
      <c r="AJ94" s="179">
        <f>IFERROR(ROUND(VLOOKUP($H$2,'R2年度'!$B$6:$GJ$52,99,0)/1000,0),"-")</f>
        <v>110025</v>
      </c>
      <c r="AK94" s="226">
        <f>IFERROR(ROUND(VLOOKUP($H$2,'R3年度'!$B$6:$GJ$52,99,0)/1000,0),"-")</f>
        <v>101751</v>
      </c>
      <c r="AL94" s="225">
        <f>IFERROR(ROUND(VLOOKUP($H$2,'R4年度'!$B$6:$GJ$52,99,0)/1000,0),"-")</f>
        <v>107468</v>
      </c>
      <c r="AM94" s="239">
        <f>IFERROR(ROUND(VLOOKUP($H$2,'R5年度'!$B$6:$GJ$52,99,0)/1000,0),"-")</f>
        <v>104219</v>
      </c>
      <c r="AN94" s="239">
        <f>IFERROR(ROUND(VLOOKUP($H$2,'R6年度'!$B$6:$GJ$52,99,0)/1000,0),"-")</f>
        <v>104036</v>
      </c>
    </row>
    <row r="95" spans="2:40" ht="15.9" customHeight="1" x14ac:dyDescent="0.15">
      <c r="B95" s="54"/>
      <c r="C95" s="37"/>
      <c r="D95" s="6" t="s">
        <v>220</v>
      </c>
      <c r="E95" s="185" t="str">
        <f>IFERROR(ROUND(VLOOKUP($H$2,'1年度'!$B$6:$GI$50,100,0)/1000,0),"-")</f>
        <v>-</v>
      </c>
      <c r="F95" s="185" t="str">
        <f>IFERROR(ROUND(VLOOKUP($H$2,'2年度'!$B$6:$GI$50,100,0)/1000,0),"-")</f>
        <v>-</v>
      </c>
      <c r="G95" s="185" t="str">
        <f>IFERROR(ROUND(VLOOKUP($H$2,'3年度'!$B$6:$GI$50,100,0)/1000,0),"-")</f>
        <v>-</v>
      </c>
      <c r="H95" s="185" t="str">
        <f>IFERROR(ROUND(VLOOKUP($H$2,'4年度'!$B$6:$GI$50,100,0)/1000,0),"-")</f>
        <v>-</v>
      </c>
      <c r="I95" s="185" t="str">
        <f>IFERROR(ROUND(VLOOKUP($H$2,'5年度'!$B$6:$GI$50,100,0)/1000,0),"-")</f>
        <v>-</v>
      </c>
      <c r="J95" s="185" t="str">
        <f>IFERROR(ROUND(VLOOKUP($H$2,'6年度'!$B$6:$GI$50,100,0)/1000,0),"-")</f>
        <v>-</v>
      </c>
      <c r="K95" s="185" t="str">
        <f>IFERROR(ROUND(VLOOKUP($H$2,'7年度'!$B$6:$GI$50,100,0)/1000,0),"-")</f>
        <v>-</v>
      </c>
      <c r="L95" s="185" t="str">
        <f>IFERROR(ROUND(VLOOKUP($H$2,'8年度'!$B$6:$GI$50,100,0)/1000,0),"-")</f>
        <v>-</v>
      </c>
      <c r="M95" s="185" t="str">
        <f>IFERROR(ROUND(VLOOKUP($H$2,'9年度'!$B$6:$GI$50,100,0)/1000,0),"-")</f>
        <v>-</v>
      </c>
      <c r="N95" s="185" t="str">
        <f>IFERROR(ROUND(VLOOKUP($H$2,'10年度'!$B$6:$GI$50,100,0)/1000,0),"-")</f>
        <v>-</v>
      </c>
      <c r="O95" s="185" t="str">
        <f>IFERROR(ROUND(VLOOKUP($H$2,'11年度'!$B$6:$GI$50,100,0)/1000,0),"-")</f>
        <v>-</v>
      </c>
      <c r="P95" s="185" t="str">
        <f>IFERROR(ROUND(VLOOKUP($H$2,'12年度'!$B$6:$GI$50,100,0)/1000,0),"-")</f>
        <v>-</v>
      </c>
      <c r="Q95" s="185" t="str">
        <f>IFERROR(ROUND(VLOOKUP($H$2,'13年度'!$B$6:$GI$50,100,0)/1000,0),"-")</f>
        <v>-</v>
      </c>
      <c r="R95" s="185" t="str">
        <f>IFERROR(ROUND(VLOOKUP($H$2,'14年度'!$B$6:$GI$50,100,0)/1000,0),"-")</f>
        <v>-</v>
      </c>
      <c r="S95" s="185" t="str">
        <f>IFERROR(ROUND(VLOOKUP($H$2,'15年度'!$B$6:$GI$50,100,0)/1000,0),"-")</f>
        <v>-</v>
      </c>
      <c r="T95" s="185" t="str">
        <f>IFERROR(ROUND(VLOOKUP($H$2,'16年度'!$B$6:$GI$50,100,0)/1000,0),"-")</f>
        <v>-</v>
      </c>
      <c r="U95" s="185" t="str">
        <f>IFERROR(ROUND(VLOOKUP($H$2,'17年度'!$B$6:$GI$50,100,0)/1000,0),"-")</f>
        <v>-</v>
      </c>
      <c r="V95" s="185" t="str">
        <f>IFERROR(ROUND(VLOOKUP($H$2,'18年度'!$B$6:$GI$50,100,0)/1000,0),"-")</f>
        <v>-</v>
      </c>
      <c r="W95" s="185" t="str">
        <f>IFERROR(ROUND(VLOOKUP($H$2,'19年度'!$B$6:$GI$50,100,0)/1000,0),"-")</f>
        <v>-</v>
      </c>
      <c r="X95" s="186" t="str">
        <f>IFERROR(ROUND(VLOOKUP($H$2,'20年度'!$B$6:$GI$50,100,0)/1000,0),"-")</f>
        <v>-</v>
      </c>
      <c r="Y95" s="186" t="str">
        <f>IFERROR(ROUND(VLOOKUP($H$2,'21年度'!$B$6:$GI$50,100,0)/1000,0),"-")</f>
        <v>-</v>
      </c>
      <c r="Z95" s="186" t="str">
        <f>IFERROR(ROUND(VLOOKUP($H$2,'22年度'!$B$6:$GI$50,100,0)/1000,0),"-")</f>
        <v>-</v>
      </c>
      <c r="AA95" s="186">
        <f>IFERROR(ROUND(VLOOKUP($H$2,'23年度'!$B$6:$GI$52,100,0)/1000,0),"-")</f>
        <v>26030</v>
      </c>
      <c r="AB95" s="185">
        <f>IFERROR(ROUND(VLOOKUP($H$2,'24年度'!$B$6:$GI$52,100,0)/1000,0),"-")</f>
        <v>22746</v>
      </c>
      <c r="AC95" s="187">
        <f>IFERROR(ROUND(VLOOKUP($H$2,'25年度'!$B$6:$GI$52,100,0)/1000,0),"-")</f>
        <v>23853</v>
      </c>
      <c r="AD95" s="186">
        <f>IFERROR(ROUND(VLOOKUP($H$2,'26年度'!$B$6:$GI$52,100,0)/1000,0),"-")</f>
        <v>17301</v>
      </c>
      <c r="AE95" s="185">
        <f>IFERROR(ROUND(VLOOKUP($H$2,'27年度'!$B$6:$GI$52,100,0)/1000,0),"-")</f>
        <v>13365</v>
      </c>
      <c r="AF95" s="185">
        <f>IFERROR(ROUND(VLOOKUP($H$2,'28年度'!$B$6:$GI$52,100,0)/1000,0),"-")</f>
        <v>11185</v>
      </c>
      <c r="AG95" s="187">
        <f>IFERROR(ROUND(VLOOKUP($H$2,'29年度'!$B$6:$GI$52,100,0)/1000,0),"-")</f>
        <v>10686</v>
      </c>
      <c r="AH95" s="186">
        <f>IFERROR(ROUND(VLOOKUP($H$2,'30年度'!$B$6:$GI$52,100,0)/1000,0),"-")</f>
        <v>10729</v>
      </c>
      <c r="AI95" s="185">
        <f>IFERROR(ROUND(VLOOKUP($H$2,'R1年度'!$B$6:$GJ$52,101,0)/1000,0),"-")</f>
        <v>10305</v>
      </c>
      <c r="AJ95" s="185">
        <f>IFERROR(ROUND(VLOOKUP($H$2,'R2年度'!$B$6:$GJ$52,102,0)/1000,0),"-")</f>
        <v>12343</v>
      </c>
      <c r="AK95" s="187">
        <f>IFERROR(ROUND(VLOOKUP($H$2,'R3年度'!$B$6:$GJ$52,102,0)/1000,0),"-")</f>
        <v>11137</v>
      </c>
      <c r="AL95" s="186">
        <f>IFERROR(ROUND(VLOOKUP($H$2,'R4年度'!$B$6:$GJ$52,102,0)/1000,0),"-")</f>
        <v>11763</v>
      </c>
      <c r="AM95" s="254">
        <f>IFERROR(ROUND(VLOOKUP($H$2,'R5年度'!$B$6:$GJ$52,102,0)/1000,0),"-")</f>
        <v>12198</v>
      </c>
      <c r="AN95" s="254">
        <f>IFERROR(ROUND(VLOOKUP($H$2,'R6年度'!$B$6:$GJ$52,102,0)/1000,0),"-")</f>
        <v>14780</v>
      </c>
    </row>
    <row r="96" spans="2:40" ht="15.9" customHeight="1" thickBot="1" x14ac:dyDescent="0.2">
      <c r="B96" s="54"/>
      <c r="C96" s="59"/>
      <c r="D96" s="5" t="s">
        <v>221</v>
      </c>
      <c r="E96" s="220" t="str">
        <f>IFERROR(ROUND(VLOOKUP($H$2,'1年度'!$B$6:$GI$50,103,0)/1000,0),"-")</f>
        <v>-</v>
      </c>
      <c r="F96" s="220" t="str">
        <f>IFERROR(ROUND(VLOOKUP($H$2,'2年度'!$B$6:$GI$50,103,0)/1000,0),"-")</f>
        <v>-</v>
      </c>
      <c r="G96" s="220" t="str">
        <f>IFERROR(ROUND(VLOOKUP($H$2,'3年度'!$B$6:$GI$50,103,0)/1000,0),"-")</f>
        <v>-</v>
      </c>
      <c r="H96" s="220" t="str">
        <f>IFERROR(ROUND(VLOOKUP($H$2,'4年度'!$B$6:$GI$50,103,0)/1000,0),"-")</f>
        <v>-</v>
      </c>
      <c r="I96" s="220" t="str">
        <f>IFERROR(ROUND(VLOOKUP($H$2,'5年度'!$B$6:$GI$50,103,0)/1000,0),"-")</f>
        <v>-</v>
      </c>
      <c r="J96" s="220" t="str">
        <f>IFERROR(ROUND(VLOOKUP($H$2,'6年度'!$B$6:$GI$50,103,0)/1000,0),"-")</f>
        <v>-</v>
      </c>
      <c r="K96" s="220" t="str">
        <f>IFERROR(ROUND(VLOOKUP($H$2,'7年度'!$B$6:$GI$50,103,0)/1000,0),"-")</f>
        <v>-</v>
      </c>
      <c r="L96" s="220" t="str">
        <f>IFERROR(ROUND(VLOOKUP($H$2,'8年度'!$B$6:$GI$50,103,0)/1000,0),"-")</f>
        <v>-</v>
      </c>
      <c r="M96" s="220" t="str">
        <f>IFERROR(ROUND(VLOOKUP($H$2,'9年度'!$B$6:$GI$50,103,0)/1000,0),"-")</f>
        <v>-</v>
      </c>
      <c r="N96" s="220" t="str">
        <f>IFERROR(ROUND(VLOOKUP($H$2,'10年度'!$B$6:$GI$50,103,0)/1000,0),"-")</f>
        <v>-</v>
      </c>
      <c r="O96" s="220" t="str">
        <f>IFERROR(ROUND(VLOOKUP($H$2,'11年度'!$B$6:$GI$50,103,0)/1000,0),"-")</f>
        <v>-</v>
      </c>
      <c r="P96" s="220" t="str">
        <f>IFERROR(ROUND(VLOOKUP($H$2,'12年度'!$B$6:$GI$50,103,0)/1000,0),"-")</f>
        <v>-</v>
      </c>
      <c r="Q96" s="220" t="str">
        <f>IFERROR(ROUND(VLOOKUP($H$2,'13年度'!$B$6:$GI$50,103,0)/1000,0),"-")</f>
        <v>-</v>
      </c>
      <c r="R96" s="220" t="str">
        <f>IFERROR(ROUND(VLOOKUP($H$2,'14年度'!$B$6:$GI$50,103,0)/1000,0),"-")</f>
        <v>-</v>
      </c>
      <c r="S96" s="220" t="str">
        <f>IFERROR(ROUND(VLOOKUP($H$2,'15年度'!$B$6:$GI$50,103,0)/1000,0),"-")</f>
        <v>-</v>
      </c>
      <c r="T96" s="220" t="str">
        <f>IFERROR(ROUND(VLOOKUP($H$2,'16年度'!$B$6:$GI$50,103,0)/1000,0),"-")</f>
        <v>-</v>
      </c>
      <c r="U96" s="220" t="str">
        <f>IFERROR(ROUND(VLOOKUP($H$2,'17年度'!$B$6:$GI$50,103,0)/1000,0),"-")</f>
        <v>-</v>
      </c>
      <c r="V96" s="220" t="str">
        <f>IFERROR(ROUND(VLOOKUP($H$2,'18年度'!$B$6:$GI$50,103,0)/1000,0),"-")</f>
        <v>-</v>
      </c>
      <c r="W96" s="220" t="str">
        <f>IFERROR(ROUND(VLOOKUP($H$2,'19年度'!$B$6:$GI$50,103,0)/1000,0),"-")</f>
        <v>-</v>
      </c>
      <c r="X96" s="228" t="str">
        <f>IFERROR(ROUND(VLOOKUP($H$2,'20年度'!$B$6:$GI$50,103,0)/1000,0),"-")</f>
        <v>-</v>
      </c>
      <c r="Y96" s="228" t="str">
        <f>IFERROR(ROUND(VLOOKUP($H$2,'21年度'!$B$6:$GI$50,103,0)/1000,0),"-")</f>
        <v>-</v>
      </c>
      <c r="Z96" s="228" t="str">
        <f>IFERROR(ROUND(VLOOKUP($H$2,'22年度'!$B$6:$GI$50,103,0)/1000,0),"-")</f>
        <v>-</v>
      </c>
      <c r="AA96" s="228">
        <f>IFERROR(ROUND(VLOOKUP($H$2,'23年度'!$B$6:$GI$52,103,0)/1000,0),"-")</f>
        <v>64267</v>
      </c>
      <c r="AB96" s="220">
        <f>IFERROR(ROUND(VLOOKUP($H$2,'24年度'!$B$6:$GI$52,103,0)/1000,0),"-")</f>
        <v>63620</v>
      </c>
      <c r="AC96" s="229">
        <f>IFERROR(ROUND(VLOOKUP($H$2,'25年度'!$B$6:$GI$52,103,0)/1000,0),"-")</f>
        <v>63599</v>
      </c>
      <c r="AD96" s="228">
        <f>IFERROR(ROUND(VLOOKUP($H$2,'26年度'!$B$6:$GI$52,103,0)/1000,0),"-")</f>
        <v>63776</v>
      </c>
      <c r="AE96" s="220">
        <f>IFERROR(ROUND(VLOOKUP($H$2,'27年度'!$B$6:$GI$52,103,0)/1000,0),"-")</f>
        <v>73548</v>
      </c>
      <c r="AF96" s="220">
        <f>IFERROR(ROUND(VLOOKUP($H$2,'28年度'!$B$6:$GI$52,103,0)/1000,0),"-")</f>
        <v>79642</v>
      </c>
      <c r="AG96" s="229">
        <f>IFERROR(ROUND(VLOOKUP($H$2,'29年度'!$B$6:$GI$52,103,0)/1000,0),"-")</f>
        <v>83161</v>
      </c>
      <c r="AH96" s="228">
        <f>IFERROR(ROUND(VLOOKUP($H$2,'30年度'!$B$6:$GI$52,103,0)/1000,0),"-")</f>
        <v>82896</v>
      </c>
      <c r="AI96" s="220">
        <f>IFERROR(ROUND(VLOOKUP($H$2,'R1年度'!$B$6:$GJ$52,104,0)/1000,0),"-")</f>
        <v>83072</v>
      </c>
      <c r="AJ96" s="220">
        <f>IFERROR(ROUND(VLOOKUP($H$2,'R2年度'!$B$6:$GJ$52,105,0)/1000,0),"-")</f>
        <v>85664</v>
      </c>
      <c r="AK96" s="229">
        <f>IFERROR(ROUND(VLOOKUP($H$2,'R3年度'!$B$6:$GJ$52,105,0)/1000,0),"-")</f>
        <v>82550</v>
      </c>
      <c r="AL96" s="228">
        <f>IFERROR(ROUND(VLOOKUP($H$2,'R4年度'!$B$6:$GJ$52,105,0)/1000,0),"-")</f>
        <v>82305</v>
      </c>
      <c r="AM96" s="255">
        <f>IFERROR(ROUND(VLOOKUP($H$2,'R5年度'!$B$6:$GJ$52,105,0)/1000,0),"-")</f>
        <v>82637</v>
      </c>
      <c r="AN96" s="255">
        <f>IFERROR(ROUND(VLOOKUP($H$2,'R6年度'!$B$6:$GJ$52,105,0)/1000,0),"-")</f>
        <v>81230</v>
      </c>
    </row>
    <row r="97" spans="2:40" ht="15.9" customHeight="1" x14ac:dyDescent="0.15">
      <c r="B97" s="484" t="s">
        <v>222</v>
      </c>
      <c r="C97" s="485"/>
      <c r="D97" s="486"/>
      <c r="E97" s="175" t="str">
        <f>IFERROR(ROUND(VLOOKUP($H$2,'1年度'!$B$6:$GI$50,106,0)/1000,0),"-")</f>
        <v>-</v>
      </c>
      <c r="F97" s="175" t="str">
        <f>IFERROR(ROUND(VLOOKUP($H$2,'2年度'!$B$6:$GI$50,106,0)/1000,0),"-")</f>
        <v>-</v>
      </c>
      <c r="G97" s="175" t="str">
        <f>IFERROR(ROUND(VLOOKUP($H$2,'3年度'!$B$6:$GI$50,106,0)/1000,0),"-")</f>
        <v>-</v>
      </c>
      <c r="H97" s="175" t="str">
        <f>IFERROR(ROUND(VLOOKUP($H$2,'4年度'!$B$6:$GI$50,106,0)/1000,0),"-")</f>
        <v>-</v>
      </c>
      <c r="I97" s="175" t="str">
        <f>IFERROR(ROUND(VLOOKUP($H$2,'5年度'!$B$6:$GI$50,106,0)/1000,0),"-")</f>
        <v>-</v>
      </c>
      <c r="J97" s="175" t="str">
        <f>IFERROR(ROUND(VLOOKUP($H$2,'6年度'!$B$6:$GI$50,106,0)/1000,0),"-")</f>
        <v>-</v>
      </c>
      <c r="K97" s="175" t="str">
        <f>IFERROR(ROUND(VLOOKUP($H$2,'7年度'!$B$6:$GI$50,106,0)/1000,0),"-")</f>
        <v>-</v>
      </c>
      <c r="L97" s="175" t="str">
        <f>IFERROR(ROUND(VLOOKUP($H$2,'8年度'!$B$6:$GI$50,106,0)/1000,0),"-")</f>
        <v>-</v>
      </c>
      <c r="M97" s="175" t="str">
        <f>IFERROR(ROUND(VLOOKUP($H$2,'9年度'!$B$6:$GI$50,106,0)/1000,0),"-")</f>
        <v>-</v>
      </c>
      <c r="N97" s="175" t="str">
        <f>IFERROR(ROUND(VLOOKUP($H$2,'10年度'!$B$6:$GI$50,106,0)/1000,0),"-")</f>
        <v>-</v>
      </c>
      <c r="O97" s="175" t="str">
        <f>IFERROR(ROUND(VLOOKUP($H$2,'11年度'!$B$6:$GI$50,106,0)/1000,0),"-")</f>
        <v>-</v>
      </c>
      <c r="P97" s="175" t="str">
        <f>IFERROR(ROUND(VLOOKUP($H$2,'12年度'!$B$6:$GI$50,106,0)/1000,0),"-")</f>
        <v>-</v>
      </c>
      <c r="Q97" s="175" t="str">
        <f>IFERROR(ROUND(VLOOKUP($H$2,'13年度'!$B$6:$GI$50,106,0)/1000,0),"-")</f>
        <v>-</v>
      </c>
      <c r="R97" s="175" t="str">
        <f>IFERROR(ROUND(VLOOKUP($H$2,'14年度'!$B$6:$GI$50,106,0)/1000,0),"-")</f>
        <v>-</v>
      </c>
      <c r="S97" s="175" t="str">
        <f>IFERROR(ROUND(VLOOKUP($H$2,'15年度'!$B$6:$GI$50,106,0)/1000,0),"-")</f>
        <v>-</v>
      </c>
      <c r="T97" s="175" t="str">
        <f>IFERROR(ROUND(VLOOKUP($H$2,'16年度'!$B$6:$GI$50,106,0)/1000,0),"-")</f>
        <v>-</v>
      </c>
      <c r="U97" s="175" t="str">
        <f>IFERROR(ROUND(VLOOKUP($H$2,'17年度'!$B$6:$GI$50,106,0)/1000,0),"-")</f>
        <v>-</v>
      </c>
      <c r="V97" s="175" t="str">
        <f>IFERROR(ROUND(VLOOKUP($H$2,'18年度'!$B$6:$GI$50,106,0)/1000,0),"-")</f>
        <v>-</v>
      </c>
      <c r="W97" s="175" t="str">
        <f>IFERROR(ROUND(VLOOKUP($H$2,'19年度'!$B$6:$GI$50,106,0)/1000,0),"-")</f>
        <v>-</v>
      </c>
      <c r="X97" s="176" t="str">
        <f>IFERROR(ROUND(VLOOKUP($H$2,'20年度'!$B$6:$GI$50,106,0)/1000,0),"-")</f>
        <v>-</v>
      </c>
      <c r="Y97" s="176" t="str">
        <f>IFERROR(ROUND(VLOOKUP($H$2,'21年度'!$B$6:$GI$50,106,0)/1000,0),"-")</f>
        <v>-</v>
      </c>
      <c r="Z97" s="176" t="str">
        <f>IFERROR(ROUND(VLOOKUP($H$2,'22年度'!$B$6:$GI$50,106,0)/1000,0),"-")</f>
        <v>-</v>
      </c>
      <c r="AA97" s="176">
        <f>IFERROR(ROUND(VLOOKUP($H$2,'23年度'!$B$6:$GI$52,106,0)/1000,0),"-")</f>
        <v>254389</v>
      </c>
      <c r="AB97" s="175">
        <f>IFERROR(ROUND(VLOOKUP($H$2,'24年度'!$B$6:$GI$52,106,0)/1000,0),"-")</f>
        <v>263605</v>
      </c>
      <c r="AC97" s="177">
        <f>IFERROR(ROUND(VLOOKUP($H$2,'25年度'!$B$6:$GI$52,106,0)/1000,0),"-")</f>
        <v>290417</v>
      </c>
      <c r="AD97" s="176">
        <f>IFERROR(ROUND(VLOOKUP($H$2,'26年度'!$B$6:$GI$52,106,0)/1000,0),"-")</f>
        <v>324779</v>
      </c>
      <c r="AE97" s="175">
        <f>IFERROR(ROUND(VLOOKUP($H$2,'27年度'!$B$6:$GI$52,106,0)/1000,0),"-")</f>
        <v>326777</v>
      </c>
      <c r="AF97" s="175">
        <f>IFERROR(ROUND(VLOOKUP($H$2,'28年度'!$B$6:$GI$52,106,0)/1000,0),"-")</f>
        <v>305653</v>
      </c>
      <c r="AG97" s="177">
        <f>IFERROR(ROUND(VLOOKUP($H$2,'29年度'!$B$6:$GI$52,106,0)/1000,0),"-")</f>
        <v>352731</v>
      </c>
      <c r="AH97" s="176">
        <f>IFERROR(ROUND(VLOOKUP($H$2,'30年度'!$B$6:$GI$52,106,0)/1000,0),"-")</f>
        <v>352279</v>
      </c>
      <c r="AI97" s="175">
        <f>IFERROR(ROUND(VLOOKUP($H$2,'R1年度'!$B$6:$GJ$52,107,0)/1000,0),"-")</f>
        <v>387113</v>
      </c>
      <c r="AJ97" s="175">
        <f>IFERROR(ROUND(VLOOKUP($H$2,'R2年度'!$B$6:$GJ$52,108,0)/1000,0),"-")</f>
        <v>420257</v>
      </c>
      <c r="AK97" s="177">
        <f>IFERROR(ROUND(VLOOKUP($H$2,'R3年度'!$B$6:$GJ$52,108,0)/1000,0),"-")</f>
        <v>442682</v>
      </c>
      <c r="AL97" s="176">
        <f>IFERROR(ROUND(VLOOKUP($H$2,'R4年度'!$B$6:$GJ$52,108,0)/1000,0),"-")</f>
        <v>445325</v>
      </c>
      <c r="AM97" s="234">
        <f>IFERROR(ROUND(VLOOKUP($H$2,'R5年度'!$B$6:$GJ$52,108,0)/1000,0),"-")</f>
        <v>468952</v>
      </c>
      <c r="AN97" s="234">
        <f>IFERROR(ROUND(VLOOKUP($H$2,'R6年度'!$B$6:$GJ$52,108,0)/1000,0),"-")</f>
        <v>510501</v>
      </c>
    </row>
    <row r="98" spans="2:40" ht="15.9" customHeight="1" x14ac:dyDescent="0.15">
      <c r="B98" s="54"/>
      <c r="C98" s="478" t="s">
        <v>223</v>
      </c>
      <c r="D98" s="479"/>
      <c r="E98" s="202" t="str">
        <f>IFERROR(ROUND(VLOOKUP($H$2,'1年度'!$B$6:$GI$50,107,0)/1000,0),"-")</f>
        <v>-</v>
      </c>
      <c r="F98" s="202" t="str">
        <f>IFERROR(ROUND(VLOOKUP($H$2,'2年度'!$B$6:$GI$50,107,0)/1000,0),"-")</f>
        <v>-</v>
      </c>
      <c r="G98" s="202" t="str">
        <f>IFERROR(ROUND(VLOOKUP($H$2,'3年度'!$B$6:$GI$50,107,0)/1000,0),"-")</f>
        <v>-</v>
      </c>
      <c r="H98" s="202" t="str">
        <f>IFERROR(ROUND(VLOOKUP($H$2,'4年度'!$B$6:$GI$50,107,0)/1000,0),"-")</f>
        <v>-</v>
      </c>
      <c r="I98" s="202" t="str">
        <f>IFERROR(ROUND(VLOOKUP($H$2,'5年度'!$B$6:$GI$50,107,0)/1000,0),"-")</f>
        <v>-</v>
      </c>
      <c r="J98" s="202" t="str">
        <f>IFERROR(ROUND(VLOOKUP($H$2,'6年度'!$B$6:$GI$50,107,0)/1000,0),"-")</f>
        <v>-</v>
      </c>
      <c r="K98" s="202" t="str">
        <f>IFERROR(ROUND(VLOOKUP($H$2,'7年度'!$B$6:$GI$50,107,0)/1000,0),"-")</f>
        <v>-</v>
      </c>
      <c r="L98" s="202" t="str">
        <f>IFERROR(ROUND(VLOOKUP($H$2,'8年度'!$B$6:$GI$50,107,0)/1000,0),"-")</f>
        <v>-</v>
      </c>
      <c r="M98" s="202" t="str">
        <f>IFERROR(ROUND(VLOOKUP($H$2,'9年度'!$B$6:$GI$50,107,0)/1000,0),"-")</f>
        <v>-</v>
      </c>
      <c r="N98" s="202" t="str">
        <f>IFERROR(ROUND(VLOOKUP($H$2,'10年度'!$B$6:$GI$50,107,0)/1000,0),"-")</f>
        <v>-</v>
      </c>
      <c r="O98" s="202" t="str">
        <f>IFERROR(ROUND(VLOOKUP($H$2,'11年度'!$B$6:$GI$50,107,0)/1000,0),"-")</f>
        <v>-</v>
      </c>
      <c r="P98" s="202" t="str">
        <f>IFERROR(ROUND(VLOOKUP($H$2,'12年度'!$B$6:$GI$50,107,0)/1000,0),"-")</f>
        <v>-</v>
      </c>
      <c r="Q98" s="202" t="str">
        <f>IFERROR(ROUND(VLOOKUP($H$2,'13年度'!$B$6:$GI$50,107,0)/1000,0),"-")</f>
        <v>-</v>
      </c>
      <c r="R98" s="202" t="str">
        <f>IFERROR(ROUND(VLOOKUP($H$2,'14年度'!$B$6:$GI$50,107,0)/1000,0),"-")</f>
        <v>-</v>
      </c>
      <c r="S98" s="202" t="str">
        <f>IFERROR(ROUND(VLOOKUP($H$2,'15年度'!$B$6:$GI$50,107,0)/1000,0),"-")</f>
        <v>-</v>
      </c>
      <c r="T98" s="202" t="str">
        <f>IFERROR(ROUND(VLOOKUP($H$2,'16年度'!$B$6:$GI$50,107,0)/1000,0),"-")</f>
        <v>-</v>
      </c>
      <c r="U98" s="202" t="str">
        <f>IFERROR(ROUND(VLOOKUP($H$2,'17年度'!$B$6:$GI$50,107,0)/1000,0),"-")</f>
        <v>-</v>
      </c>
      <c r="V98" s="202" t="str">
        <f>IFERROR(ROUND(VLOOKUP($H$2,'18年度'!$B$6:$GI$50,107,0)/1000,0),"-")</f>
        <v>-</v>
      </c>
      <c r="W98" s="202" t="str">
        <f>IFERROR(ROUND(VLOOKUP($H$2,'19年度'!$B$6:$GI$50,107,0)/1000,0),"-")</f>
        <v>-</v>
      </c>
      <c r="X98" s="203" t="str">
        <f>IFERROR(ROUND(VLOOKUP($H$2,'20年度'!$B$6:$GI$50,107,0)/1000,0),"-")</f>
        <v>-</v>
      </c>
      <c r="Y98" s="203" t="str">
        <f>IFERROR(ROUND(VLOOKUP($H$2,'21年度'!$B$6:$GI$50,107,0)/1000,0),"-")</f>
        <v>-</v>
      </c>
      <c r="Z98" s="203" t="str">
        <f>IFERROR(ROUND(VLOOKUP($H$2,'22年度'!$B$6:$GI$50,107,0)/1000,0),"-")</f>
        <v>-</v>
      </c>
      <c r="AA98" s="203">
        <f>IFERROR(ROUND(VLOOKUP($H$2,'23年度'!$B$6:$GI$52,107,0)/1000,0),"-")</f>
        <v>127078</v>
      </c>
      <c r="AB98" s="202">
        <f>IFERROR(ROUND(VLOOKUP($H$2,'24年度'!$B$6:$GI$52,107,0)/1000,0),"-")</f>
        <v>127208</v>
      </c>
      <c r="AC98" s="204">
        <f>IFERROR(ROUND(VLOOKUP($H$2,'25年度'!$B$6:$GI$52,107,0)/1000,0),"-")</f>
        <v>155904</v>
      </c>
      <c r="AD98" s="203">
        <f>IFERROR(ROUND(VLOOKUP($H$2,'26年度'!$B$6:$GI$52,107,0)/1000,0),"-")</f>
        <v>155989</v>
      </c>
      <c r="AE98" s="202">
        <f>IFERROR(ROUND(VLOOKUP($H$2,'27年度'!$B$6:$GI$52,107,0)/1000,0),"-")</f>
        <v>147163</v>
      </c>
      <c r="AF98" s="202">
        <f>IFERROR(ROUND(VLOOKUP($H$2,'28年度'!$B$6:$GI$52,107,0)/1000,0),"-")</f>
        <v>138038</v>
      </c>
      <c r="AG98" s="204">
        <f>IFERROR(ROUND(VLOOKUP($H$2,'29年度'!$B$6:$GI$52,107,0)/1000,0),"-")</f>
        <v>182255</v>
      </c>
      <c r="AH98" s="203">
        <f>IFERROR(ROUND(VLOOKUP($H$2,'30年度'!$B$6:$GI$52,107,0)/1000,0),"-")</f>
        <v>173809</v>
      </c>
      <c r="AI98" s="202">
        <f>IFERROR(ROUND(VLOOKUP($H$2,'R1年度'!$B$6:$GJ$52,108,0)/1000,0),"-")</f>
        <v>195942</v>
      </c>
      <c r="AJ98" s="202">
        <f>IFERROR(ROUND(VLOOKUP($H$2,'R2年度'!$B$6:$GJ$52,109,0)/1000,0),"-")</f>
        <v>210709</v>
      </c>
      <c r="AK98" s="204">
        <f>IFERROR(ROUND(VLOOKUP($H$2,'R3年度'!$B$6:$GJ$52,109,0)/1000,0),"-")</f>
        <v>222486</v>
      </c>
      <c r="AL98" s="203">
        <f>IFERROR(ROUND(VLOOKUP($H$2,'R4年度'!$B$6:$GJ$52,109,0)/1000,0),"-")</f>
        <v>226734</v>
      </c>
      <c r="AM98" s="235">
        <f>IFERROR(ROUND(VLOOKUP($H$2,'R5年度'!$B$6:$GJ$52,109,0)/1000,0),"-")</f>
        <v>221646</v>
      </c>
      <c r="AN98" s="235">
        <f>IFERROR(ROUND(VLOOKUP($H$2,'R6年度'!$B$6:$GJ$52,109,0)/1000,0),"-")</f>
        <v>214919</v>
      </c>
    </row>
    <row r="99" spans="2:40" ht="15.9" customHeight="1" x14ac:dyDescent="0.15">
      <c r="B99" s="54"/>
      <c r="C99" s="478" t="s">
        <v>224</v>
      </c>
      <c r="D99" s="479"/>
      <c r="E99" s="202" t="str">
        <f>IFERROR(ROUND(VLOOKUP($H$2,'1年度'!$B$6:$GI$50,108,0)/1000,0),"-")</f>
        <v>-</v>
      </c>
      <c r="F99" s="202" t="str">
        <f>IFERROR(ROUND(VLOOKUP($H$2,'2年度'!$B$6:$GI$50,108,0)/1000,0),"-")</f>
        <v>-</v>
      </c>
      <c r="G99" s="202" t="str">
        <f>IFERROR(ROUND(VLOOKUP($H$2,'3年度'!$B$6:$GI$50,108,0)/1000,0),"-")</f>
        <v>-</v>
      </c>
      <c r="H99" s="202" t="str">
        <f>IFERROR(ROUND(VLOOKUP($H$2,'4年度'!$B$6:$GI$50,108,0)/1000,0),"-")</f>
        <v>-</v>
      </c>
      <c r="I99" s="202" t="str">
        <f>IFERROR(ROUND(VLOOKUP($H$2,'5年度'!$B$6:$GI$50,108,0)/1000,0),"-")</f>
        <v>-</v>
      </c>
      <c r="J99" s="202" t="str">
        <f>IFERROR(ROUND(VLOOKUP($H$2,'6年度'!$B$6:$GI$50,108,0)/1000,0),"-")</f>
        <v>-</v>
      </c>
      <c r="K99" s="202" t="str">
        <f>IFERROR(ROUND(VLOOKUP($H$2,'7年度'!$B$6:$GI$50,108,0)/1000,0),"-")</f>
        <v>-</v>
      </c>
      <c r="L99" s="202" t="str">
        <f>IFERROR(ROUND(VLOOKUP($H$2,'8年度'!$B$6:$GI$50,108,0)/1000,0),"-")</f>
        <v>-</v>
      </c>
      <c r="M99" s="202" t="str">
        <f>IFERROR(ROUND(VLOOKUP($H$2,'9年度'!$B$6:$GI$50,108,0)/1000,0),"-")</f>
        <v>-</v>
      </c>
      <c r="N99" s="202" t="str">
        <f>IFERROR(ROUND(VLOOKUP($H$2,'10年度'!$B$6:$GI$50,108,0)/1000,0),"-")</f>
        <v>-</v>
      </c>
      <c r="O99" s="202" t="str">
        <f>IFERROR(ROUND(VLOOKUP($H$2,'11年度'!$B$6:$GI$50,108,0)/1000,0),"-")</f>
        <v>-</v>
      </c>
      <c r="P99" s="202" t="str">
        <f>IFERROR(ROUND(VLOOKUP($H$2,'12年度'!$B$6:$GI$50,108,0)/1000,0),"-")</f>
        <v>-</v>
      </c>
      <c r="Q99" s="202" t="str">
        <f>IFERROR(ROUND(VLOOKUP($H$2,'13年度'!$B$6:$GI$50,108,0)/1000,0),"-")</f>
        <v>-</v>
      </c>
      <c r="R99" s="202" t="str">
        <f>IFERROR(ROUND(VLOOKUP($H$2,'14年度'!$B$6:$GI$50,108,0)/1000,0),"-")</f>
        <v>-</v>
      </c>
      <c r="S99" s="202" t="str">
        <f>IFERROR(ROUND(VLOOKUP($H$2,'15年度'!$B$6:$GI$50,108,0)/1000,0),"-")</f>
        <v>-</v>
      </c>
      <c r="T99" s="202" t="str">
        <f>IFERROR(ROUND(VLOOKUP($H$2,'16年度'!$B$6:$GI$50,108,0)/1000,0),"-")</f>
        <v>-</v>
      </c>
      <c r="U99" s="202" t="str">
        <f>IFERROR(ROUND(VLOOKUP($H$2,'17年度'!$B$6:$GI$50,108,0)/1000,0),"-")</f>
        <v>-</v>
      </c>
      <c r="V99" s="202" t="str">
        <f>IFERROR(ROUND(VLOOKUP($H$2,'18年度'!$B$6:$GI$50,108,0)/1000,0),"-")</f>
        <v>-</v>
      </c>
      <c r="W99" s="202" t="str">
        <f>IFERROR(ROUND(VLOOKUP($H$2,'19年度'!$B$6:$GI$50,108,0)/1000,0),"-")</f>
        <v>-</v>
      </c>
      <c r="X99" s="203" t="str">
        <f>IFERROR(ROUND(VLOOKUP($H$2,'20年度'!$B$6:$GI$50,108,0)/1000,0),"-")</f>
        <v>-</v>
      </c>
      <c r="Y99" s="203" t="str">
        <f>IFERROR(ROUND(VLOOKUP($H$2,'21年度'!$B$6:$GI$50,108,0)/1000,0),"-")</f>
        <v>-</v>
      </c>
      <c r="Z99" s="203" t="str">
        <f>IFERROR(ROUND(VLOOKUP($H$2,'22年度'!$B$6:$GI$50,108,0)/1000,0),"-")</f>
        <v>-</v>
      </c>
      <c r="AA99" s="203">
        <f>IFERROR(ROUND(VLOOKUP($H$2,'23年度'!$B$6:$GI$52,108,0)/1000,0),"-")</f>
        <v>120441</v>
      </c>
      <c r="AB99" s="202">
        <f>IFERROR(ROUND(VLOOKUP($H$2,'24年度'!$B$6:$GI$52,108,0)/1000,0),"-")</f>
        <v>130070</v>
      </c>
      <c r="AC99" s="204">
        <f>IFERROR(ROUND(VLOOKUP($H$2,'25年度'!$B$6:$GI$52,108,0)/1000,0),"-")</f>
        <v>127064</v>
      </c>
      <c r="AD99" s="203">
        <f>IFERROR(ROUND(VLOOKUP($H$2,'26年度'!$B$6:$GI$52,108,0)/1000,0),"-")</f>
        <v>160194</v>
      </c>
      <c r="AE99" s="202">
        <f>IFERROR(ROUND(VLOOKUP($H$2,'27年度'!$B$6:$GI$52,108,0)/1000,0),"-")</f>
        <v>171908</v>
      </c>
      <c r="AF99" s="202">
        <f>IFERROR(ROUND(VLOOKUP($H$2,'28年度'!$B$6:$GI$52,108,0)/1000,0),"-")</f>
        <v>158239</v>
      </c>
      <c r="AG99" s="204">
        <f>IFERROR(ROUND(VLOOKUP($H$2,'29年度'!$B$6:$GI$52,108,0)/1000,0),"-")</f>
        <v>160884</v>
      </c>
      <c r="AH99" s="203">
        <f>IFERROR(ROUND(VLOOKUP($H$2,'30年度'!$B$6:$GI$52,108,0)/1000,0),"-")</f>
        <v>168295</v>
      </c>
      <c r="AI99" s="202">
        <f>IFERROR(ROUND(VLOOKUP($H$2,'R1年度'!$B$6:$GJ$52,109,0)/1000,0),"-")</f>
        <v>178016</v>
      </c>
      <c r="AJ99" s="202">
        <f>IFERROR(ROUND(VLOOKUP($H$2,'R2年度'!$B$6:$GJ$52,110,0)/1000,0),"-")</f>
        <v>196348</v>
      </c>
      <c r="AK99" s="204">
        <f>IFERROR(ROUND(VLOOKUP($H$2,'R3年度'!$B$6:$GJ$52,110,0)/1000,0),"-")</f>
        <v>207643</v>
      </c>
      <c r="AL99" s="203">
        <f>IFERROR(ROUND(VLOOKUP($H$2,'R4年度'!$B$6:$GJ$52,110,0)/1000,0),"-")</f>
        <v>208614</v>
      </c>
      <c r="AM99" s="235">
        <f>IFERROR(ROUND(VLOOKUP($H$2,'R5年度'!$B$6:$GJ$52,110,0)/1000,0),"-")</f>
        <v>238142</v>
      </c>
      <c r="AN99" s="235">
        <f>IFERROR(ROUND(VLOOKUP($H$2,'R6年度'!$B$6:$GJ$52,110,0)/1000,0),"-")</f>
        <v>287327</v>
      </c>
    </row>
    <row r="100" spans="2:40" ht="15.9" customHeight="1" x14ac:dyDescent="0.15">
      <c r="B100" s="54"/>
      <c r="C100" s="478" t="s">
        <v>225</v>
      </c>
      <c r="D100" s="479"/>
      <c r="E100" s="202" t="str">
        <f>IFERROR(ROUND(VLOOKUP($H$2,'1年度'!$B$6:$GI$50,109,0)/1000,0),"-")</f>
        <v>-</v>
      </c>
      <c r="F100" s="202" t="str">
        <f>IFERROR(ROUND(VLOOKUP($H$2,'2年度'!$B$6:$GI$50,109,0)/1000,0),"-")</f>
        <v>-</v>
      </c>
      <c r="G100" s="202" t="str">
        <f>IFERROR(ROUND(VLOOKUP($H$2,'3年度'!$B$6:$GI$50,109,0)/1000,0),"-")</f>
        <v>-</v>
      </c>
      <c r="H100" s="202" t="str">
        <f>IFERROR(ROUND(VLOOKUP($H$2,'4年度'!$B$6:$GI$50,109,0)/1000,0),"-")</f>
        <v>-</v>
      </c>
      <c r="I100" s="202" t="str">
        <f>IFERROR(ROUND(VLOOKUP($H$2,'5年度'!$B$6:$GI$50,109,0)/1000,0),"-")</f>
        <v>-</v>
      </c>
      <c r="J100" s="202" t="str">
        <f>IFERROR(ROUND(VLOOKUP($H$2,'6年度'!$B$6:$GI$50,109,0)/1000,0),"-")</f>
        <v>-</v>
      </c>
      <c r="K100" s="202" t="str">
        <f>IFERROR(ROUND(VLOOKUP($H$2,'7年度'!$B$6:$GI$50,109,0)/1000,0),"-")</f>
        <v>-</v>
      </c>
      <c r="L100" s="202" t="str">
        <f>IFERROR(ROUND(VLOOKUP($H$2,'8年度'!$B$6:$GI$50,109,0)/1000,0),"-")</f>
        <v>-</v>
      </c>
      <c r="M100" s="202" t="str">
        <f>IFERROR(ROUND(VLOOKUP($H$2,'9年度'!$B$6:$GI$50,109,0)/1000,0),"-")</f>
        <v>-</v>
      </c>
      <c r="N100" s="202" t="str">
        <f>IFERROR(ROUND(VLOOKUP($H$2,'10年度'!$B$6:$GI$50,109,0)/1000,0),"-")</f>
        <v>-</v>
      </c>
      <c r="O100" s="202" t="str">
        <f>IFERROR(ROUND(VLOOKUP($H$2,'11年度'!$B$6:$GI$50,109,0)/1000,0),"-")</f>
        <v>-</v>
      </c>
      <c r="P100" s="202" t="str">
        <f>IFERROR(ROUND(VLOOKUP($H$2,'12年度'!$B$6:$GI$50,109,0)/1000,0),"-")</f>
        <v>-</v>
      </c>
      <c r="Q100" s="202" t="str">
        <f>IFERROR(ROUND(VLOOKUP($H$2,'13年度'!$B$6:$GI$50,109,0)/1000,0),"-")</f>
        <v>-</v>
      </c>
      <c r="R100" s="202" t="str">
        <f>IFERROR(ROUND(VLOOKUP($H$2,'14年度'!$B$6:$GI$50,109,0)/1000,0),"-")</f>
        <v>-</v>
      </c>
      <c r="S100" s="202" t="str">
        <f>IFERROR(ROUND(VLOOKUP($H$2,'15年度'!$B$6:$GI$50,109,0)/1000,0),"-")</f>
        <v>-</v>
      </c>
      <c r="T100" s="202" t="str">
        <f>IFERROR(ROUND(VLOOKUP($H$2,'16年度'!$B$6:$GI$50,109,0)/1000,0),"-")</f>
        <v>-</v>
      </c>
      <c r="U100" s="202" t="str">
        <f>IFERROR(ROUND(VLOOKUP($H$2,'17年度'!$B$6:$GI$50,109,0)/1000,0),"-")</f>
        <v>-</v>
      </c>
      <c r="V100" s="202" t="str">
        <f>IFERROR(ROUND(VLOOKUP($H$2,'18年度'!$B$6:$GI$50,109,0)/1000,0),"-")</f>
        <v>-</v>
      </c>
      <c r="W100" s="202" t="str">
        <f>IFERROR(ROUND(VLOOKUP($H$2,'19年度'!$B$6:$GI$50,109,0)/1000,0),"-")</f>
        <v>-</v>
      </c>
      <c r="X100" s="203" t="str">
        <f>IFERROR(ROUND(VLOOKUP($H$2,'20年度'!$B$6:$GI$50,109,0)/1000,0),"-")</f>
        <v>-</v>
      </c>
      <c r="Y100" s="203" t="str">
        <f>IFERROR(ROUND(VLOOKUP($H$2,'21年度'!$B$6:$GI$50,109,0)/1000,0),"-")</f>
        <v>-</v>
      </c>
      <c r="Z100" s="203" t="str">
        <f>IFERROR(ROUND(VLOOKUP($H$2,'22年度'!$B$6:$GI$50,109,0)/1000,0),"-")</f>
        <v>-</v>
      </c>
      <c r="AA100" s="203">
        <f>IFERROR(ROUND(VLOOKUP($H$2,'23年度'!$B$6:$GI$52,109,0)/1000,0),"-")</f>
        <v>1686</v>
      </c>
      <c r="AB100" s="202">
        <f>IFERROR(ROUND(VLOOKUP($H$2,'24年度'!$B$6:$GI$52,109,0)/1000,0),"-")</f>
        <v>1761</v>
      </c>
      <c r="AC100" s="204">
        <f>IFERROR(ROUND(VLOOKUP($H$2,'25年度'!$B$6:$GI$52,109,0)/1000,0),"-")</f>
        <v>1985</v>
      </c>
      <c r="AD100" s="203">
        <f>IFERROR(ROUND(VLOOKUP($H$2,'26年度'!$B$6:$GI$52,109,0)/1000,0),"-")</f>
        <v>2967</v>
      </c>
      <c r="AE100" s="202">
        <f>IFERROR(ROUND(VLOOKUP($H$2,'27年度'!$B$6:$GI$52,109,0)/1000,0),"-")</f>
        <v>1217</v>
      </c>
      <c r="AF100" s="202">
        <f>IFERROR(ROUND(VLOOKUP($H$2,'28年度'!$B$6:$GI$52,109,0)/1000,0),"-")</f>
        <v>1750</v>
      </c>
      <c r="AG100" s="204">
        <f>IFERROR(ROUND(VLOOKUP($H$2,'29年度'!$B$6:$GI$52,109,0)/1000,0),"-")</f>
        <v>1996</v>
      </c>
      <c r="AH100" s="203">
        <f>IFERROR(ROUND(VLOOKUP($H$2,'30年度'!$B$6:$GI$52,109,0)/1000,0),"-")</f>
        <v>1901</v>
      </c>
      <c r="AI100" s="202">
        <f>IFERROR(ROUND(VLOOKUP($H$2,'R1年度'!$B$6:$GJ$52,110,0)/1000,0),"-")</f>
        <v>2292</v>
      </c>
      <c r="AJ100" s="202">
        <f>IFERROR(ROUND(VLOOKUP($H$2,'R2年度'!$B$6:$GJ$52,111,0)/1000,0),"-")</f>
        <v>2051</v>
      </c>
      <c r="AK100" s="204">
        <f>IFERROR(ROUND(VLOOKUP($H$2,'R3年度'!$B$6:$GJ$52,111,0)/1000,0),"-")</f>
        <v>1642</v>
      </c>
      <c r="AL100" s="203">
        <f>IFERROR(ROUND(VLOOKUP($H$2,'R4年度'!$B$6:$GJ$52,111,0)/1000,0),"-")</f>
        <v>2147</v>
      </c>
      <c r="AM100" s="235">
        <f>IFERROR(ROUND(VLOOKUP($H$2,'R5年度'!$B$6:$GJ$52,111,0)/1000,0),"-")</f>
        <v>2040</v>
      </c>
      <c r="AN100" s="235">
        <f>IFERROR(ROUND(VLOOKUP($H$2,'R6年度'!$B$6:$GJ$52,111,0)/1000,0),"-")</f>
        <v>1397</v>
      </c>
    </row>
    <row r="101" spans="2:40" ht="15.9" customHeight="1" thickBot="1" x14ac:dyDescent="0.2">
      <c r="B101" s="56"/>
      <c r="C101" s="487" t="s">
        <v>226</v>
      </c>
      <c r="D101" s="488"/>
      <c r="E101" s="215" t="str">
        <f>IFERROR(ROUND(VLOOKUP($H$2,'1年度'!$B$6:$GI$50,110,0)/1000,0),"-")</f>
        <v>-</v>
      </c>
      <c r="F101" s="215" t="str">
        <f>IFERROR(ROUND(VLOOKUP($H$2,'2年度'!$B$6:$GI$50,110,0)/1000,0),"-")</f>
        <v>-</v>
      </c>
      <c r="G101" s="215" t="str">
        <f>IFERROR(ROUND(VLOOKUP($H$2,'3年度'!$B$6:$GI$50,110,0)/1000,0),"-")</f>
        <v>-</v>
      </c>
      <c r="H101" s="215" t="str">
        <f>IFERROR(ROUND(VLOOKUP($H$2,'4年度'!$B$6:$GI$50,110,0)/1000,0),"-")</f>
        <v>-</v>
      </c>
      <c r="I101" s="215" t="str">
        <f>IFERROR(ROUND(VLOOKUP($H$2,'5年度'!$B$6:$GI$50,110,0)/1000,0),"-")</f>
        <v>-</v>
      </c>
      <c r="J101" s="215" t="str">
        <f>IFERROR(ROUND(VLOOKUP($H$2,'6年度'!$B$6:$GI$50,110,0)/1000,0),"-")</f>
        <v>-</v>
      </c>
      <c r="K101" s="215" t="str">
        <f>IFERROR(ROUND(VLOOKUP($H$2,'7年度'!$B$6:$GI$50,110,0)/1000,0),"-")</f>
        <v>-</v>
      </c>
      <c r="L101" s="215" t="str">
        <f>IFERROR(ROUND(VLOOKUP($H$2,'8年度'!$B$6:$GI$50,110,0)/1000,0),"-")</f>
        <v>-</v>
      </c>
      <c r="M101" s="215" t="str">
        <f>IFERROR(ROUND(VLOOKUP($H$2,'9年度'!$B$6:$GI$50,110,0)/1000,0),"-")</f>
        <v>-</v>
      </c>
      <c r="N101" s="215" t="str">
        <f>IFERROR(ROUND(VLOOKUP($H$2,'10年度'!$B$6:$GI$50,110,0)/1000,0),"-")</f>
        <v>-</v>
      </c>
      <c r="O101" s="215" t="str">
        <f>IFERROR(ROUND(VLOOKUP($H$2,'11年度'!$B$6:$GI$50,110,0)/1000,0),"-")</f>
        <v>-</v>
      </c>
      <c r="P101" s="215" t="str">
        <f>IFERROR(ROUND(VLOOKUP($H$2,'12年度'!$B$6:$GI$50,110,0)/1000,0),"-")</f>
        <v>-</v>
      </c>
      <c r="Q101" s="215" t="str">
        <f>IFERROR(ROUND(VLOOKUP($H$2,'13年度'!$B$6:$GI$50,110,0)/1000,0),"-")</f>
        <v>-</v>
      </c>
      <c r="R101" s="215" t="str">
        <f>IFERROR(ROUND(VLOOKUP($H$2,'14年度'!$B$6:$GI$50,110,0)/1000,0),"-")</f>
        <v>-</v>
      </c>
      <c r="S101" s="215" t="str">
        <f>IFERROR(ROUND(VLOOKUP($H$2,'15年度'!$B$6:$GI$50,110,0)/1000,0),"-")</f>
        <v>-</v>
      </c>
      <c r="T101" s="215" t="str">
        <f>IFERROR(ROUND(VLOOKUP($H$2,'16年度'!$B$6:$GI$50,110,0)/1000,0),"-")</f>
        <v>-</v>
      </c>
      <c r="U101" s="215" t="str">
        <f>IFERROR(ROUND(VLOOKUP($H$2,'17年度'!$B$6:$GI$50,110,0)/1000,0),"-")</f>
        <v>-</v>
      </c>
      <c r="V101" s="215" t="str">
        <f>IFERROR(ROUND(VLOOKUP($H$2,'18年度'!$B$6:$GI$50,110,0)/1000,0),"-")</f>
        <v>-</v>
      </c>
      <c r="W101" s="215" t="str">
        <f>IFERROR(ROUND(VLOOKUP($H$2,'19年度'!$B$6:$GI$50,110,0)/1000,0),"-")</f>
        <v>-</v>
      </c>
      <c r="X101" s="216" t="str">
        <f>IFERROR(ROUND(VLOOKUP($H$2,'20年度'!$B$6:$GI$50,110,0)/1000,0),"-")</f>
        <v>-</v>
      </c>
      <c r="Y101" s="216" t="str">
        <f>IFERROR(ROUND(VLOOKUP($H$2,'21年度'!$B$6:$GI$50,110,0)/1000,0),"-")</f>
        <v>-</v>
      </c>
      <c r="Z101" s="216" t="str">
        <f>IFERROR(ROUND(VLOOKUP($H$2,'22年度'!$B$6:$GI$50,110,0)/1000,0),"-")</f>
        <v>-</v>
      </c>
      <c r="AA101" s="216">
        <f>IFERROR(ROUND(VLOOKUP($H$2,'23年度'!$B$6:$GI$52,110,0)/1000,0),"-")</f>
        <v>1640</v>
      </c>
      <c r="AB101" s="215">
        <f>IFERROR(ROUND(VLOOKUP($H$2,'24年度'!$B$6:$GI$52,110,0)/1000,0),"-")</f>
        <v>1430</v>
      </c>
      <c r="AC101" s="217">
        <f>IFERROR(ROUND(VLOOKUP($H$2,'25年度'!$B$6:$GI$52,110,0)/1000,0),"-")</f>
        <v>1465</v>
      </c>
      <c r="AD101" s="216">
        <f>IFERROR(ROUND(VLOOKUP($H$2,'26年度'!$B$6:$GI$52,110,0)/1000,0),"-")</f>
        <v>1377</v>
      </c>
      <c r="AE101" s="215">
        <f>IFERROR(ROUND(VLOOKUP($H$2,'27年度'!$B$6:$GI$52,110,0)/1000,0),"-")</f>
        <v>2814</v>
      </c>
      <c r="AF101" s="215">
        <f>IFERROR(ROUND(VLOOKUP($H$2,'28年度'!$B$6:$GI$52,110,0)/1000,0),"-")</f>
        <v>4090</v>
      </c>
      <c r="AG101" s="217">
        <f>IFERROR(ROUND(VLOOKUP($H$2,'29年度'!$B$6:$GI$52,110,0)/1000,0),"-")</f>
        <v>4505</v>
      </c>
      <c r="AH101" s="216">
        <f>IFERROR(ROUND(VLOOKUP($H$2,'30年度'!$B$6:$GI$52,110,0)/1000,0),"-")</f>
        <v>5275</v>
      </c>
      <c r="AI101" s="215">
        <f>IFERROR(ROUND(VLOOKUP($H$2,'R1年度'!$B$6:$GJ$52,111,0)/1000,0),"-")</f>
        <v>6847</v>
      </c>
      <c r="AJ101" s="215">
        <f>IFERROR(ROUND(VLOOKUP($H$2,'R2年度'!$B$6:$GJ$52,112,0)/1000,0),"-")</f>
        <v>7606</v>
      </c>
      <c r="AK101" s="217">
        <f>IFERROR(ROUND(VLOOKUP($H$2,'R3年度'!$B$6:$GJ$52,112,0)/1000,0),"-")</f>
        <v>5919</v>
      </c>
      <c r="AL101" s="216">
        <f>IFERROR(ROUND(VLOOKUP($H$2,'R4年度'!$B$6:$GJ$52,112,0)/1000,0),"-")</f>
        <v>4150</v>
      </c>
      <c r="AM101" s="236">
        <f>IFERROR(ROUND(VLOOKUP($H$2,'R5年度'!$B$6:$GJ$52,112,0)/1000,0),"-")</f>
        <v>3868</v>
      </c>
      <c r="AN101" s="236">
        <f>IFERROR(ROUND(VLOOKUP($H$2,'R6年度'!$B$6:$GJ$52,112,0)/1000,0),"-")</f>
        <v>4113</v>
      </c>
    </row>
    <row r="102" spans="2:40" ht="15.9" customHeight="1" thickBot="1" x14ac:dyDescent="0.2">
      <c r="B102" s="493" t="s">
        <v>227</v>
      </c>
      <c r="C102" s="494"/>
      <c r="D102" s="474"/>
      <c r="E102" s="220" t="str">
        <f>IFERROR(ROUND(VLOOKUP($H$2,'1年度'!$B$6:$GI$50,111,0)/1000,0),"-")</f>
        <v>-</v>
      </c>
      <c r="F102" s="220" t="str">
        <f>IFERROR(ROUND(VLOOKUP($H$2,'2年度'!$B$6:$GI$50,111,0)/1000,0),"-")</f>
        <v>-</v>
      </c>
      <c r="G102" s="220" t="str">
        <f>IFERROR(ROUND(VLOOKUP($H$2,'3年度'!$B$6:$GI$50,111,0)/1000,0),"-")</f>
        <v>-</v>
      </c>
      <c r="H102" s="220" t="str">
        <f>IFERROR(ROUND(VLOOKUP($H$2,'4年度'!$B$6:$GI$50,111,0)/1000,0),"-")</f>
        <v>-</v>
      </c>
      <c r="I102" s="220" t="str">
        <f>IFERROR(ROUND(VLOOKUP($H$2,'5年度'!$B$6:$GI$50,111,0)/1000,0),"-")</f>
        <v>-</v>
      </c>
      <c r="J102" s="220" t="str">
        <f>IFERROR(ROUND(VLOOKUP($H$2,'6年度'!$B$6:$GI$50,111,0)/1000,0),"-")</f>
        <v>-</v>
      </c>
      <c r="K102" s="220" t="str">
        <f>IFERROR(ROUND(VLOOKUP($H$2,'7年度'!$B$6:$GI$50,111,0)/1000,0),"-")</f>
        <v>-</v>
      </c>
      <c r="L102" s="220" t="str">
        <f>IFERROR(ROUND(VLOOKUP($H$2,'8年度'!$B$6:$GI$50,111,0)/1000,0),"-")</f>
        <v>-</v>
      </c>
      <c r="M102" s="220" t="str">
        <f>IFERROR(ROUND(VLOOKUP($H$2,'9年度'!$B$6:$GI$50,111,0)/1000,0),"-")</f>
        <v>-</v>
      </c>
      <c r="N102" s="220" t="str">
        <f>IFERROR(ROUND(VLOOKUP($H$2,'10年度'!$B$6:$GI$50,111,0)/1000,0),"-")</f>
        <v>-</v>
      </c>
      <c r="O102" s="220" t="str">
        <f>IFERROR(ROUND(VLOOKUP($H$2,'11年度'!$B$6:$GI$50,111,0)/1000,0),"-")</f>
        <v>-</v>
      </c>
      <c r="P102" s="220" t="str">
        <f>IFERROR(ROUND(VLOOKUP($H$2,'12年度'!$B$6:$GI$50,111,0)/1000,0),"-")</f>
        <v>-</v>
      </c>
      <c r="Q102" s="220" t="str">
        <f>IFERROR(ROUND(VLOOKUP($H$2,'13年度'!$B$6:$GI$50,111,0)/1000,0),"-")</f>
        <v>-</v>
      </c>
      <c r="R102" s="220" t="str">
        <f>IFERROR(ROUND(VLOOKUP($H$2,'14年度'!$B$6:$GI$50,111,0)/1000,0),"-")</f>
        <v>-</v>
      </c>
      <c r="S102" s="220" t="str">
        <f>IFERROR(ROUND(VLOOKUP($H$2,'15年度'!$B$6:$GI$50,111,0)/1000,0),"-")</f>
        <v>-</v>
      </c>
      <c r="T102" s="220" t="str">
        <f>IFERROR(ROUND(VLOOKUP($H$2,'16年度'!$B$6:$GI$50,111,0)/1000,0),"-")</f>
        <v>-</v>
      </c>
      <c r="U102" s="220" t="str">
        <f>IFERROR(ROUND(VLOOKUP($H$2,'17年度'!$B$6:$GI$50,111,0)/1000,0),"-")</f>
        <v>-</v>
      </c>
      <c r="V102" s="220" t="str">
        <f>IFERROR(ROUND(VLOOKUP($H$2,'18年度'!$B$6:$GI$50,111,0)/1000,0),"-")</f>
        <v>-</v>
      </c>
      <c r="W102" s="220" t="str">
        <f>IFERROR(ROUND(VLOOKUP($H$2,'19年度'!$B$6:$GI$50,111,0)/1000,0),"-")</f>
        <v>-</v>
      </c>
      <c r="X102" s="228" t="str">
        <f>IFERROR(ROUND(VLOOKUP($H$2,'20年度'!$B$6:$GI$50,111,0)/1000,0),"-")</f>
        <v>-</v>
      </c>
      <c r="Y102" s="228" t="str">
        <f>IFERROR(ROUND(VLOOKUP($H$2,'21年度'!$B$6:$GI$50,111,0)/1000,0),"-")</f>
        <v>-</v>
      </c>
      <c r="Z102" s="228" t="str">
        <f>IFERROR(ROUND(VLOOKUP($H$2,'22年度'!$B$6:$GI$50,111,0)/1000,0),"-")</f>
        <v>-</v>
      </c>
      <c r="AA102" s="228">
        <f>IFERROR(ROUND(VLOOKUP($H$2,'23年度'!$B$6:$GI$52,111,0)/1000,0),"-")</f>
        <v>195</v>
      </c>
      <c r="AB102" s="220">
        <f>IFERROR(ROUND(VLOOKUP($H$2,'24年度'!$B$6:$GI$52,111,0)/1000,0),"-")</f>
        <v>582</v>
      </c>
      <c r="AC102" s="229">
        <f>IFERROR(ROUND(VLOOKUP($H$2,'25年度'!$B$6:$GI$52,111,0)/1000,0),"-")</f>
        <v>679</v>
      </c>
      <c r="AD102" s="228">
        <f>IFERROR(ROUND(VLOOKUP($H$2,'26年度'!$B$6:$GI$52,111,0)/1000,0),"-")</f>
        <v>999</v>
      </c>
      <c r="AE102" s="220">
        <f>IFERROR(ROUND(VLOOKUP($H$2,'27年度'!$B$6:$GI$52,111,0)/1000,0),"-")</f>
        <v>680</v>
      </c>
      <c r="AF102" s="220">
        <f>IFERROR(ROUND(VLOOKUP($H$2,'28年度'!$B$6:$GI$52,111,0)/1000,0),"-")</f>
        <v>387</v>
      </c>
      <c r="AG102" s="229">
        <f>IFERROR(ROUND(VLOOKUP($H$2,'29年度'!$B$6:$GI$52,111,0)/1000,0),"-")</f>
        <v>1101</v>
      </c>
      <c r="AH102" s="228">
        <f>IFERROR(ROUND(VLOOKUP($H$2,'30年度'!$B$6:$GI$52,111,0)/1000,0),"-")</f>
        <v>15611</v>
      </c>
      <c r="AI102" s="220">
        <f>IFERROR(ROUND(VLOOKUP($H$2,'R1年度'!$B$6:$GJ$52,112,0)/1000,0),"-")</f>
        <v>6282</v>
      </c>
      <c r="AJ102" s="220">
        <f>IFERROR(ROUND(VLOOKUP($H$2,'R2年度'!$B$6:$GJ$52,113,0)/1000,0),"-")</f>
        <v>1616</v>
      </c>
      <c r="AK102" s="229">
        <f>IFERROR(ROUND(VLOOKUP($H$2,'R3年度'!$B$6:$GJ$52,113,0)/1000,0),"-")</f>
        <v>673</v>
      </c>
      <c r="AL102" s="228">
        <f>IFERROR(ROUND(VLOOKUP($H$2,'R4年度'!$B$6:$GJ$52,113,0)/1000,0),"-")</f>
        <v>547</v>
      </c>
      <c r="AM102" s="255">
        <f>IFERROR(ROUND(VLOOKUP($H$2,'R5年度'!$B$6:$GJ$52,113,0)/1000,0),"-")</f>
        <v>884</v>
      </c>
      <c r="AN102" s="255">
        <f>IFERROR(ROUND(VLOOKUP($H$2,'R6年度'!$B$6:$GJ$52,113,0)/1000,0),"-")</f>
        <v>830</v>
      </c>
    </row>
    <row r="103" spans="2:40" ht="15.9" customHeight="1" x14ac:dyDescent="0.15">
      <c r="B103" s="484" t="s">
        <v>228</v>
      </c>
      <c r="C103" s="485"/>
      <c r="D103" s="486"/>
      <c r="E103" s="175" t="str">
        <f>IFERROR(ROUND(VLOOKUP($H$2,'1年度'!$B$6:$GI$50,112,0)/1000,0),"-")</f>
        <v>-</v>
      </c>
      <c r="F103" s="175" t="str">
        <f>IFERROR(ROUND(VLOOKUP($H$2,'2年度'!$B$6:$GI$50,112,0)/1000,0),"-")</f>
        <v>-</v>
      </c>
      <c r="G103" s="175" t="str">
        <f>IFERROR(ROUND(VLOOKUP($H$2,'3年度'!$B$6:$GI$50,112,0)/1000,0),"-")</f>
        <v>-</v>
      </c>
      <c r="H103" s="175" t="str">
        <f>IFERROR(ROUND(VLOOKUP($H$2,'4年度'!$B$6:$GI$50,112,0)/1000,0),"-")</f>
        <v>-</v>
      </c>
      <c r="I103" s="175" t="str">
        <f>IFERROR(ROUND(VLOOKUP($H$2,'5年度'!$B$6:$GI$50,112,0)/1000,0),"-")</f>
        <v>-</v>
      </c>
      <c r="J103" s="175" t="str">
        <f>IFERROR(ROUND(VLOOKUP($H$2,'6年度'!$B$6:$GI$50,112,0)/1000,0),"-")</f>
        <v>-</v>
      </c>
      <c r="K103" s="175" t="str">
        <f>IFERROR(ROUND(VLOOKUP($H$2,'7年度'!$B$6:$GI$50,112,0)/1000,0),"-")</f>
        <v>-</v>
      </c>
      <c r="L103" s="175" t="str">
        <f>IFERROR(ROUND(VLOOKUP($H$2,'8年度'!$B$6:$GI$50,112,0)/1000,0),"-")</f>
        <v>-</v>
      </c>
      <c r="M103" s="175" t="str">
        <f>IFERROR(ROUND(VLOOKUP($H$2,'9年度'!$B$6:$GI$50,112,0)/1000,0),"-")</f>
        <v>-</v>
      </c>
      <c r="N103" s="175" t="str">
        <f>IFERROR(ROUND(VLOOKUP($H$2,'10年度'!$B$6:$GI$50,112,0)/1000,0),"-")</f>
        <v>-</v>
      </c>
      <c r="O103" s="175" t="str">
        <f>IFERROR(ROUND(VLOOKUP($H$2,'11年度'!$B$6:$GI$50,112,0)/1000,0),"-")</f>
        <v>-</v>
      </c>
      <c r="P103" s="175" t="str">
        <f>IFERROR(ROUND(VLOOKUP($H$2,'12年度'!$B$6:$GI$50,112,0)/1000,0),"-")</f>
        <v>-</v>
      </c>
      <c r="Q103" s="175" t="str">
        <f>IFERROR(ROUND(VLOOKUP($H$2,'13年度'!$B$6:$GI$50,112,0)/1000,0),"-")</f>
        <v>-</v>
      </c>
      <c r="R103" s="175" t="str">
        <f>IFERROR(ROUND(VLOOKUP($H$2,'14年度'!$B$6:$GI$50,112,0)/1000,0),"-")</f>
        <v>-</v>
      </c>
      <c r="S103" s="175" t="str">
        <f>IFERROR(ROUND(VLOOKUP($H$2,'15年度'!$B$6:$GI$50,112,0)/1000,0),"-")</f>
        <v>-</v>
      </c>
      <c r="T103" s="175" t="str">
        <f>IFERROR(ROUND(VLOOKUP($H$2,'16年度'!$B$6:$GI$50,112,0)/1000,0),"-")</f>
        <v>-</v>
      </c>
      <c r="U103" s="175" t="str">
        <f>IFERROR(ROUND(VLOOKUP($H$2,'17年度'!$B$6:$GI$50,112,0)/1000,0),"-")</f>
        <v>-</v>
      </c>
      <c r="V103" s="175" t="str">
        <f>IFERROR(ROUND(VLOOKUP($H$2,'18年度'!$B$6:$GI$50,112,0)/1000,0),"-")</f>
        <v>-</v>
      </c>
      <c r="W103" s="175" t="str">
        <f>IFERROR(ROUND(VLOOKUP($H$2,'19年度'!$B$6:$GI$50,112,0)/1000,0),"-")</f>
        <v>-</v>
      </c>
      <c r="X103" s="176" t="str">
        <f>IFERROR(ROUND(VLOOKUP($H$2,'20年度'!$B$6:$GI$50,112,0)/1000,0),"-")</f>
        <v>-</v>
      </c>
      <c r="Y103" s="176" t="str">
        <f>IFERROR(ROUND(VLOOKUP($H$2,'21年度'!$B$6:$GI$50,112,0)/1000,0),"-")</f>
        <v>-</v>
      </c>
      <c r="Z103" s="176" t="str">
        <f>IFERROR(ROUND(VLOOKUP($H$2,'22年度'!$B$6:$GI$50,112,0)/1000,0),"-")</f>
        <v>-</v>
      </c>
      <c r="AA103" s="176">
        <f>IFERROR(ROUND(VLOOKUP($H$2,'23年度'!$B$6:$GI$52,112,0)/1000,0),"-")</f>
        <v>73602</v>
      </c>
      <c r="AB103" s="175">
        <f>IFERROR(ROUND(VLOOKUP($H$2,'24年度'!$B$6:$GI$52,112,0)/1000,0),"-")</f>
        <v>162641</v>
      </c>
      <c r="AC103" s="177">
        <f>IFERROR(ROUND(VLOOKUP($H$2,'25年度'!$B$6:$GI$52,112,0)/1000,0),"-")</f>
        <v>112534</v>
      </c>
      <c r="AD103" s="176">
        <f>IFERROR(ROUND(VLOOKUP($H$2,'26年度'!$B$6:$GI$52,112,0)/1000,0),"-")</f>
        <v>71503</v>
      </c>
      <c r="AE103" s="175">
        <f>IFERROR(ROUND(VLOOKUP($H$2,'27年度'!$B$6:$GI$52,112,0)/1000,0),"-")</f>
        <v>76152</v>
      </c>
      <c r="AF103" s="175">
        <f>IFERROR(ROUND(VLOOKUP($H$2,'28年度'!$B$6:$GI$52,112,0)/1000,0),"-")</f>
        <v>40715</v>
      </c>
      <c r="AG103" s="177">
        <f>IFERROR(ROUND(VLOOKUP($H$2,'29年度'!$B$6:$GI$52,112,0)/1000,0),"-")</f>
        <v>106419</v>
      </c>
      <c r="AH103" s="176">
        <f>IFERROR(ROUND(VLOOKUP($H$2,'30年度'!$B$6:$GI$52,112,0)/1000,0),"-")</f>
        <v>104760</v>
      </c>
      <c r="AI103" s="175">
        <f>IFERROR(ROUND(VLOOKUP($H$2,'R1年度'!$B$6:$GJ$52,113,0)/1000,0),"-")</f>
        <v>74787</v>
      </c>
      <c r="AJ103" s="175">
        <f>IFERROR(ROUND(VLOOKUP($H$2,'R2年度'!$B$6:$GJ$52,114,0)/1000,0),"-")</f>
        <v>76151</v>
      </c>
      <c r="AK103" s="177">
        <f>IFERROR(ROUND(VLOOKUP($H$2,'R3年度'!$B$6:$GJ$52,114,0)/1000,0),"-")</f>
        <v>166126</v>
      </c>
      <c r="AL103" s="176">
        <f>IFERROR(ROUND(VLOOKUP($H$2,'R4年度'!$B$6:$GJ$52,114,0)/1000,0),"-")</f>
        <v>134042</v>
      </c>
      <c r="AM103" s="234">
        <f>IFERROR(ROUND(VLOOKUP($H$2,'R5年度'!$B$6:$GJ$52,114,0)/1000,0),"-")</f>
        <v>124842</v>
      </c>
      <c r="AN103" s="234">
        <f>IFERROR(ROUND(VLOOKUP($H$2,'R6年度'!$B$6:$GJ$52,114,0)/1000,0),"-")</f>
        <v>136196</v>
      </c>
    </row>
    <row r="104" spans="2:40" ht="15.9" customHeight="1" x14ac:dyDescent="0.15">
      <c r="B104" s="54"/>
      <c r="C104" s="478" t="s">
        <v>229</v>
      </c>
      <c r="D104" s="479"/>
      <c r="E104" s="202" t="str">
        <f>IFERROR(ROUND(VLOOKUP($H$2,'1年度'!$B$6:$GI$50,113,0)/1000,0),"-")</f>
        <v>-</v>
      </c>
      <c r="F104" s="202" t="str">
        <f>IFERROR(ROUND(VLOOKUP($H$2,'2年度'!$B$6:$GI$50,113,0)/1000,0),"-")</f>
        <v>-</v>
      </c>
      <c r="G104" s="202" t="str">
        <f>IFERROR(ROUND(VLOOKUP($H$2,'3年度'!$B$6:$GI$50,113,0)/1000,0),"-")</f>
        <v>-</v>
      </c>
      <c r="H104" s="202" t="str">
        <f>IFERROR(ROUND(VLOOKUP($H$2,'4年度'!$B$6:$GI$50,113,0)/1000,0),"-")</f>
        <v>-</v>
      </c>
      <c r="I104" s="202" t="str">
        <f>IFERROR(ROUND(VLOOKUP($H$2,'5年度'!$B$6:$GI$50,113,0)/1000,0),"-")</f>
        <v>-</v>
      </c>
      <c r="J104" s="202" t="str">
        <f>IFERROR(ROUND(VLOOKUP($H$2,'6年度'!$B$6:$GI$50,113,0)/1000,0),"-")</f>
        <v>-</v>
      </c>
      <c r="K104" s="202" t="str">
        <f>IFERROR(ROUND(VLOOKUP($H$2,'7年度'!$B$6:$GI$50,113,0)/1000,0),"-")</f>
        <v>-</v>
      </c>
      <c r="L104" s="202" t="str">
        <f>IFERROR(ROUND(VLOOKUP($H$2,'8年度'!$B$6:$GI$50,113,0)/1000,0),"-")</f>
        <v>-</v>
      </c>
      <c r="M104" s="202" t="str">
        <f>IFERROR(ROUND(VLOOKUP($H$2,'9年度'!$B$6:$GI$50,113,0)/1000,0),"-")</f>
        <v>-</v>
      </c>
      <c r="N104" s="202" t="str">
        <f>IFERROR(ROUND(VLOOKUP($H$2,'10年度'!$B$6:$GI$50,113,0)/1000,0),"-")</f>
        <v>-</v>
      </c>
      <c r="O104" s="202" t="str">
        <f>IFERROR(ROUND(VLOOKUP($H$2,'11年度'!$B$6:$GI$50,113,0)/1000,0),"-")</f>
        <v>-</v>
      </c>
      <c r="P104" s="202" t="str">
        <f>IFERROR(ROUND(VLOOKUP($H$2,'12年度'!$B$6:$GI$50,113,0)/1000,0),"-")</f>
        <v>-</v>
      </c>
      <c r="Q104" s="202" t="str">
        <f>IFERROR(ROUND(VLOOKUP($H$2,'13年度'!$B$6:$GI$50,113,0)/1000,0),"-")</f>
        <v>-</v>
      </c>
      <c r="R104" s="202" t="str">
        <f>IFERROR(ROUND(VLOOKUP($H$2,'14年度'!$B$6:$GI$50,113,0)/1000,0),"-")</f>
        <v>-</v>
      </c>
      <c r="S104" s="202" t="str">
        <f>IFERROR(ROUND(VLOOKUP($H$2,'15年度'!$B$6:$GI$50,113,0)/1000,0),"-")</f>
        <v>-</v>
      </c>
      <c r="T104" s="202" t="str">
        <f>IFERROR(ROUND(VLOOKUP($H$2,'16年度'!$B$6:$GI$50,113,0)/1000,0),"-")</f>
        <v>-</v>
      </c>
      <c r="U104" s="202" t="str">
        <f>IFERROR(ROUND(VLOOKUP($H$2,'17年度'!$B$6:$GI$50,113,0)/1000,0),"-")</f>
        <v>-</v>
      </c>
      <c r="V104" s="202" t="str">
        <f>IFERROR(ROUND(VLOOKUP($H$2,'18年度'!$B$6:$GI$50,113,0)/1000,0),"-")</f>
        <v>-</v>
      </c>
      <c r="W104" s="202" t="str">
        <f>IFERROR(ROUND(VLOOKUP($H$2,'19年度'!$B$6:$GI$50,113,0)/1000,0),"-")</f>
        <v>-</v>
      </c>
      <c r="X104" s="203" t="str">
        <f>IFERROR(ROUND(VLOOKUP($H$2,'20年度'!$B$6:$GI$50,113,0)/1000,0),"-")</f>
        <v>-</v>
      </c>
      <c r="Y104" s="203" t="str">
        <f>IFERROR(ROUND(VLOOKUP($H$2,'21年度'!$B$6:$GI$50,113,0)/1000,0),"-")</f>
        <v>-</v>
      </c>
      <c r="Z104" s="203" t="str">
        <f>IFERROR(ROUND(VLOOKUP($H$2,'22年度'!$B$6:$GI$50,113,0)/1000,0),"-")</f>
        <v>-</v>
      </c>
      <c r="AA104" s="203">
        <f>IFERROR(ROUND(VLOOKUP($H$2,'23年度'!$B$6:$GI$52,113,0)/1000,0),"-")</f>
        <v>16616</v>
      </c>
      <c r="AB104" s="202">
        <f>IFERROR(ROUND(VLOOKUP($H$2,'24年度'!$B$6:$GI$52,113,0)/1000,0),"-")</f>
        <v>133483</v>
      </c>
      <c r="AC104" s="204">
        <f>IFERROR(ROUND(VLOOKUP($H$2,'25年度'!$B$6:$GI$52,113,0)/1000,0),"-")</f>
        <v>55687</v>
      </c>
      <c r="AD104" s="203">
        <f>IFERROR(ROUND(VLOOKUP($H$2,'26年度'!$B$6:$GI$52,113,0)/1000,0),"-")</f>
        <v>48206</v>
      </c>
      <c r="AE104" s="202">
        <f>IFERROR(ROUND(VLOOKUP($H$2,'27年度'!$B$6:$GI$52,113,0)/1000,0),"-")</f>
        <v>21508</v>
      </c>
      <c r="AF104" s="202">
        <f>IFERROR(ROUND(VLOOKUP($H$2,'28年度'!$B$6:$GI$52,113,0)/1000,0),"-")</f>
        <v>15826</v>
      </c>
      <c r="AG104" s="204">
        <f>IFERROR(ROUND(VLOOKUP($H$2,'29年度'!$B$6:$GI$52,113,0)/1000,0),"-")</f>
        <v>11883</v>
      </c>
      <c r="AH104" s="203">
        <f>IFERROR(ROUND(VLOOKUP($H$2,'30年度'!$B$6:$GI$52,113,0)/1000,0),"-")</f>
        <v>18092</v>
      </c>
      <c r="AI104" s="202">
        <f>IFERROR(ROUND(VLOOKUP($H$2,'R1年度'!$B$6:$GJ$52,114,0)/1000,0),"-")</f>
        <v>17843</v>
      </c>
      <c r="AJ104" s="202">
        <f>IFERROR(ROUND(VLOOKUP($H$2,'R2年度'!$B$6:$GJ$52,115,0)/1000,0),"-")</f>
        <v>31358</v>
      </c>
      <c r="AK104" s="204">
        <f>IFERROR(ROUND(VLOOKUP($H$2,'R3年度'!$B$6:$GJ$52,115,0)/1000,0),"-")</f>
        <v>85622</v>
      </c>
      <c r="AL104" s="203">
        <f>IFERROR(ROUND(VLOOKUP($H$2,'R4年度'!$B$6:$GJ$52,115,0)/1000,0),"-")</f>
        <v>70958</v>
      </c>
      <c r="AM104" s="235">
        <f>IFERROR(ROUND(VLOOKUP($H$2,'R5年度'!$B$6:$GJ$52,115,0)/1000,0),"-")</f>
        <v>55936</v>
      </c>
      <c r="AN104" s="235">
        <f>IFERROR(ROUND(VLOOKUP($H$2,'R6年度'!$B$6:$GJ$52,115,0)/1000,0),"-")</f>
        <v>43220</v>
      </c>
    </row>
    <row r="105" spans="2:40" ht="15.9" customHeight="1" x14ac:dyDescent="0.15">
      <c r="B105" s="54"/>
      <c r="C105" s="478" t="s">
        <v>230</v>
      </c>
      <c r="D105" s="479"/>
      <c r="E105" s="202" t="str">
        <f>IFERROR(ROUND(VLOOKUP($H$2,'1年度'!$B$6:$GI$50,114,0)/1000,0),"-")</f>
        <v>-</v>
      </c>
      <c r="F105" s="202" t="str">
        <f>IFERROR(ROUND(VLOOKUP($H$2,'2年度'!$B$6:$GI$50,114,0)/1000,0),"-")</f>
        <v>-</v>
      </c>
      <c r="G105" s="202" t="str">
        <f>IFERROR(ROUND(VLOOKUP($H$2,'3年度'!$B$6:$GI$50,114,0)/1000,0),"-")</f>
        <v>-</v>
      </c>
      <c r="H105" s="202" t="str">
        <f>IFERROR(ROUND(VLOOKUP($H$2,'4年度'!$B$6:$GI$50,114,0)/1000,0),"-")</f>
        <v>-</v>
      </c>
      <c r="I105" s="202" t="str">
        <f>IFERROR(ROUND(VLOOKUP($H$2,'5年度'!$B$6:$GI$50,114,0)/1000,0),"-")</f>
        <v>-</v>
      </c>
      <c r="J105" s="202" t="str">
        <f>IFERROR(ROUND(VLOOKUP($H$2,'6年度'!$B$6:$GI$50,114,0)/1000,0),"-")</f>
        <v>-</v>
      </c>
      <c r="K105" s="202" t="str">
        <f>IFERROR(ROUND(VLOOKUP($H$2,'7年度'!$B$6:$GI$50,114,0)/1000,0),"-")</f>
        <v>-</v>
      </c>
      <c r="L105" s="202" t="str">
        <f>IFERROR(ROUND(VLOOKUP($H$2,'8年度'!$B$6:$GI$50,114,0)/1000,0),"-")</f>
        <v>-</v>
      </c>
      <c r="M105" s="202" t="str">
        <f>IFERROR(ROUND(VLOOKUP($H$2,'9年度'!$B$6:$GI$50,114,0)/1000,0),"-")</f>
        <v>-</v>
      </c>
      <c r="N105" s="202" t="str">
        <f>IFERROR(ROUND(VLOOKUP($H$2,'10年度'!$B$6:$GI$50,114,0)/1000,0),"-")</f>
        <v>-</v>
      </c>
      <c r="O105" s="202" t="str">
        <f>IFERROR(ROUND(VLOOKUP($H$2,'11年度'!$B$6:$GI$50,114,0)/1000,0),"-")</f>
        <v>-</v>
      </c>
      <c r="P105" s="202" t="str">
        <f>IFERROR(ROUND(VLOOKUP($H$2,'12年度'!$B$6:$GI$50,114,0)/1000,0),"-")</f>
        <v>-</v>
      </c>
      <c r="Q105" s="202" t="str">
        <f>IFERROR(ROUND(VLOOKUP($H$2,'13年度'!$B$6:$GI$50,114,0)/1000,0),"-")</f>
        <v>-</v>
      </c>
      <c r="R105" s="202" t="str">
        <f>IFERROR(ROUND(VLOOKUP($H$2,'14年度'!$B$6:$GI$50,114,0)/1000,0),"-")</f>
        <v>-</v>
      </c>
      <c r="S105" s="202" t="str">
        <f>IFERROR(ROUND(VLOOKUP($H$2,'15年度'!$B$6:$GI$50,114,0)/1000,0),"-")</f>
        <v>-</v>
      </c>
      <c r="T105" s="202" t="str">
        <f>IFERROR(ROUND(VLOOKUP($H$2,'16年度'!$B$6:$GI$50,114,0)/1000,0),"-")</f>
        <v>-</v>
      </c>
      <c r="U105" s="202" t="str">
        <f>IFERROR(ROUND(VLOOKUP($H$2,'17年度'!$B$6:$GI$50,114,0)/1000,0),"-")</f>
        <v>-</v>
      </c>
      <c r="V105" s="202" t="str">
        <f>IFERROR(ROUND(VLOOKUP($H$2,'18年度'!$B$6:$GI$50,114,0)/1000,0),"-")</f>
        <v>-</v>
      </c>
      <c r="W105" s="202" t="str">
        <f>IFERROR(ROUND(VLOOKUP($H$2,'19年度'!$B$6:$GI$50,114,0)/1000,0),"-")</f>
        <v>-</v>
      </c>
      <c r="X105" s="203" t="str">
        <f>IFERROR(ROUND(VLOOKUP($H$2,'20年度'!$B$6:$GI$50,114,0)/1000,0),"-")</f>
        <v>-</v>
      </c>
      <c r="Y105" s="203" t="str">
        <f>IFERROR(ROUND(VLOOKUP($H$2,'21年度'!$B$6:$GI$50,114,0)/1000,0),"-")</f>
        <v>-</v>
      </c>
      <c r="Z105" s="203" t="str">
        <f>IFERROR(ROUND(VLOOKUP($H$2,'22年度'!$B$6:$GI$50,114,0)/1000,0),"-")</f>
        <v>-</v>
      </c>
      <c r="AA105" s="203">
        <f>IFERROR(ROUND(VLOOKUP($H$2,'23年度'!$B$6:$GI$52,114,0)/1000,0),"-")</f>
        <v>28640</v>
      </c>
      <c r="AB105" s="202">
        <f>IFERROR(ROUND(VLOOKUP($H$2,'24年度'!$B$6:$GI$52,114,0)/1000,0),"-")</f>
        <v>10396</v>
      </c>
      <c r="AC105" s="204">
        <f>IFERROR(ROUND(VLOOKUP($H$2,'25年度'!$B$6:$GI$52,114,0)/1000,0),"-")</f>
        <v>5192</v>
      </c>
      <c r="AD105" s="203">
        <f>IFERROR(ROUND(VLOOKUP($H$2,'26年度'!$B$6:$GI$52,114,0)/1000,0),"-")</f>
        <v>4635</v>
      </c>
      <c r="AE105" s="202">
        <f>IFERROR(ROUND(VLOOKUP($H$2,'27年度'!$B$6:$GI$52,114,0)/1000,0),"-")</f>
        <v>24994</v>
      </c>
      <c r="AF105" s="202">
        <f>IFERROR(ROUND(VLOOKUP($H$2,'28年度'!$B$6:$GI$52,114,0)/1000,0),"-")</f>
        <v>2105</v>
      </c>
      <c r="AG105" s="204">
        <f>IFERROR(ROUND(VLOOKUP($H$2,'29年度'!$B$6:$GI$52,114,0)/1000,0),"-")</f>
        <v>12909</v>
      </c>
      <c r="AH105" s="203">
        <f>IFERROR(ROUND(VLOOKUP($H$2,'30年度'!$B$6:$GI$52,114,0)/1000,0),"-")</f>
        <v>2312</v>
      </c>
      <c r="AI105" s="202">
        <f>IFERROR(ROUND(VLOOKUP($H$2,'R1年度'!$B$6:$GJ$52,115,0)/1000,0),"-")</f>
        <v>1405</v>
      </c>
      <c r="AJ105" s="202">
        <f>IFERROR(ROUND(VLOOKUP($H$2,'R2年度'!$B$6:$GJ$52,116,0)/1000,0),"-")</f>
        <v>4530</v>
      </c>
      <c r="AK105" s="204">
        <f>IFERROR(ROUND(VLOOKUP($H$2,'R3年度'!$B$6:$GJ$52,116,0)/1000,0),"-")</f>
        <v>22492</v>
      </c>
      <c r="AL105" s="203">
        <f>IFERROR(ROUND(VLOOKUP($H$2,'R4年度'!$B$6:$GJ$52,116,0)/1000,0),"-")</f>
        <v>3496</v>
      </c>
      <c r="AM105" s="235">
        <f>IFERROR(ROUND(VLOOKUP($H$2,'R5年度'!$B$6:$GJ$52,116,0)/1000,0),"-")</f>
        <v>7717</v>
      </c>
      <c r="AN105" s="235">
        <f>IFERROR(ROUND(VLOOKUP($H$2,'R6年度'!$B$6:$GJ$52,116,0)/1000,0),"-")</f>
        <v>11301</v>
      </c>
    </row>
    <row r="106" spans="2:40" ht="15.9" customHeight="1" thickBot="1" x14ac:dyDescent="0.2">
      <c r="B106" s="56"/>
      <c r="C106" s="487" t="s">
        <v>231</v>
      </c>
      <c r="D106" s="488"/>
      <c r="E106" s="215" t="str">
        <f>IFERROR(ROUND(VLOOKUP($H$2,'1年度'!$B$6:$GI$50,115,0)/1000,0),"-")</f>
        <v>-</v>
      </c>
      <c r="F106" s="215" t="str">
        <f>IFERROR(ROUND(VLOOKUP($H$2,'2年度'!$B$6:$GI$50,115,0)/1000,0),"-")</f>
        <v>-</v>
      </c>
      <c r="G106" s="215" t="str">
        <f>IFERROR(ROUND(VLOOKUP($H$2,'3年度'!$B$6:$GI$50,115,0)/1000,0),"-")</f>
        <v>-</v>
      </c>
      <c r="H106" s="215" t="str">
        <f>IFERROR(ROUND(VLOOKUP($H$2,'4年度'!$B$6:$GI$50,115,0)/1000,0),"-")</f>
        <v>-</v>
      </c>
      <c r="I106" s="215" t="str">
        <f>IFERROR(ROUND(VLOOKUP($H$2,'5年度'!$B$6:$GI$50,115,0)/1000,0),"-")</f>
        <v>-</v>
      </c>
      <c r="J106" s="215" t="str">
        <f>IFERROR(ROUND(VLOOKUP($H$2,'6年度'!$B$6:$GI$50,115,0)/1000,0),"-")</f>
        <v>-</v>
      </c>
      <c r="K106" s="215" t="str">
        <f>IFERROR(ROUND(VLOOKUP($H$2,'7年度'!$B$6:$GI$50,115,0)/1000,0),"-")</f>
        <v>-</v>
      </c>
      <c r="L106" s="215" t="str">
        <f>IFERROR(ROUND(VLOOKUP($H$2,'8年度'!$B$6:$GI$50,115,0)/1000,0),"-")</f>
        <v>-</v>
      </c>
      <c r="M106" s="215" t="str">
        <f>IFERROR(ROUND(VLOOKUP($H$2,'9年度'!$B$6:$GI$50,115,0)/1000,0),"-")</f>
        <v>-</v>
      </c>
      <c r="N106" s="215" t="str">
        <f>IFERROR(ROUND(VLOOKUP($H$2,'10年度'!$B$6:$GI$50,115,0)/1000,0),"-")</f>
        <v>-</v>
      </c>
      <c r="O106" s="215" t="str">
        <f>IFERROR(ROUND(VLOOKUP($H$2,'11年度'!$B$6:$GI$50,115,0)/1000,0),"-")</f>
        <v>-</v>
      </c>
      <c r="P106" s="215" t="str">
        <f>IFERROR(ROUND(VLOOKUP($H$2,'12年度'!$B$6:$GI$50,115,0)/1000,0),"-")</f>
        <v>-</v>
      </c>
      <c r="Q106" s="215" t="str">
        <f>IFERROR(ROUND(VLOOKUP($H$2,'13年度'!$B$6:$GI$50,115,0)/1000,0),"-")</f>
        <v>-</v>
      </c>
      <c r="R106" s="215" t="str">
        <f>IFERROR(ROUND(VLOOKUP($H$2,'14年度'!$B$6:$GI$50,115,0)/1000,0),"-")</f>
        <v>-</v>
      </c>
      <c r="S106" s="215" t="str">
        <f>IFERROR(ROUND(VLOOKUP($H$2,'15年度'!$B$6:$GI$50,115,0)/1000,0),"-")</f>
        <v>-</v>
      </c>
      <c r="T106" s="215" t="str">
        <f>IFERROR(ROUND(VLOOKUP($H$2,'16年度'!$B$6:$GI$50,115,0)/1000,0),"-")</f>
        <v>-</v>
      </c>
      <c r="U106" s="215" t="str">
        <f>IFERROR(ROUND(VLOOKUP($H$2,'17年度'!$B$6:$GI$50,115,0)/1000,0),"-")</f>
        <v>-</v>
      </c>
      <c r="V106" s="215" t="str">
        <f>IFERROR(ROUND(VLOOKUP($H$2,'18年度'!$B$6:$GI$50,115,0)/1000,0),"-")</f>
        <v>-</v>
      </c>
      <c r="W106" s="215" t="str">
        <f>IFERROR(ROUND(VLOOKUP($H$2,'19年度'!$B$6:$GI$50,115,0)/1000,0),"-")</f>
        <v>-</v>
      </c>
      <c r="X106" s="216" t="str">
        <f>IFERROR(ROUND(VLOOKUP($H$2,'20年度'!$B$6:$GI$50,115,0)/1000,0),"-")</f>
        <v>-</v>
      </c>
      <c r="Y106" s="216" t="str">
        <f>IFERROR(ROUND(VLOOKUP($H$2,'21年度'!$B$6:$GI$50,115,0)/1000,0),"-")</f>
        <v>-</v>
      </c>
      <c r="Z106" s="216" t="str">
        <f>IFERROR(ROUND(VLOOKUP($H$2,'22年度'!$B$6:$GI$50,115,0)/1000,0),"-")</f>
        <v>-</v>
      </c>
      <c r="AA106" s="216">
        <f>IFERROR(ROUND(VLOOKUP($H$2,'23年度'!$B$6:$GI$52,115,0)/1000,0),"-")</f>
        <v>28345</v>
      </c>
      <c r="AB106" s="215">
        <f>IFERROR(ROUND(VLOOKUP($H$2,'24年度'!$B$6:$GI$52,115,0)/1000,0),"-")</f>
        <v>18762</v>
      </c>
      <c r="AC106" s="217">
        <f>IFERROR(ROUND(VLOOKUP($H$2,'25年度'!$B$6:$GI$52,115,0)/1000,0),"-")</f>
        <v>51655</v>
      </c>
      <c r="AD106" s="216">
        <f>IFERROR(ROUND(VLOOKUP($H$2,'26年度'!$B$6:$GI$52,115,0)/1000,0),"-")</f>
        <v>18663</v>
      </c>
      <c r="AE106" s="215">
        <f>IFERROR(ROUND(VLOOKUP($H$2,'27年度'!$B$6:$GI$52,115,0)/1000,0),"-")</f>
        <v>29650</v>
      </c>
      <c r="AF106" s="215">
        <f>IFERROR(ROUND(VLOOKUP($H$2,'28年度'!$B$6:$GI$52,115,0)/1000,0),"-")</f>
        <v>22784</v>
      </c>
      <c r="AG106" s="217">
        <f>IFERROR(ROUND(VLOOKUP($H$2,'29年度'!$B$6:$GI$52,115,0)/1000,0),"-")</f>
        <v>81627</v>
      </c>
      <c r="AH106" s="216">
        <f>IFERROR(ROUND(VLOOKUP($H$2,'30年度'!$B$6:$GI$52,115,0)/1000,0),"-")</f>
        <v>84356</v>
      </c>
      <c r="AI106" s="215">
        <f>IFERROR(ROUND(VLOOKUP($H$2,'R1年度'!$B$6:$GJ$52,116,0)/1000,0),"-")</f>
        <v>55539</v>
      </c>
      <c r="AJ106" s="215">
        <f>IFERROR(ROUND(VLOOKUP($H$2,'R2年度'!$B$6:$GJ$52,117,0)/1000,0),"-")</f>
        <v>40262</v>
      </c>
      <c r="AK106" s="217">
        <f>IFERROR(ROUND(VLOOKUP($H$2,'R3年度'!$B$6:$GJ$52,117,0)/1000,0),"-")</f>
        <v>58012</v>
      </c>
      <c r="AL106" s="216">
        <f>IFERROR(ROUND(VLOOKUP($H$2,'R4年度'!$B$6:$GJ$52,117,0)/1000,0),"-")</f>
        <v>59588</v>
      </c>
      <c r="AM106" s="236">
        <f>IFERROR(ROUND(VLOOKUP($H$2,'R5年度'!$B$6:$GJ$52,117,0)/1000,0),"-")</f>
        <v>61189</v>
      </c>
      <c r="AN106" s="236">
        <f>IFERROR(ROUND(VLOOKUP($H$2,'R6年度'!$B$6:$GJ$52,117,0)/1000,0),"-")</f>
        <v>81675</v>
      </c>
    </row>
    <row r="107" spans="2:40" ht="15.9" customHeight="1" x14ac:dyDescent="0.15">
      <c r="B107" s="484" t="s">
        <v>232</v>
      </c>
      <c r="C107" s="485"/>
      <c r="D107" s="486"/>
      <c r="E107" s="189" t="str">
        <f>IFERROR(ROUND(VLOOKUP($H$2,'1年度'!$B$6:$GI$50,116,0)/1000,0),"-")</f>
        <v>-</v>
      </c>
      <c r="F107" s="189" t="str">
        <f>IFERROR(ROUND(VLOOKUP($H$2,'2年度'!$B$6:$GI$50,116,0)/1000,0),"-")</f>
        <v>-</v>
      </c>
      <c r="G107" s="189" t="str">
        <f>IFERROR(ROUND(VLOOKUP($H$2,'3年度'!$B$6:$GI$50,116,0)/1000,0),"-")</f>
        <v>-</v>
      </c>
      <c r="H107" s="189" t="str">
        <f>IFERROR(ROUND(VLOOKUP($H$2,'4年度'!$B$6:$GI$50,116,0)/1000,0),"-")</f>
        <v>-</v>
      </c>
      <c r="I107" s="189" t="str">
        <f>IFERROR(ROUND(VLOOKUP($H$2,'5年度'!$B$6:$GI$50,116,0)/1000,0),"-")</f>
        <v>-</v>
      </c>
      <c r="J107" s="189" t="str">
        <f>IFERROR(ROUND(VLOOKUP($H$2,'6年度'!$B$6:$GI$50,116,0)/1000,0),"-")</f>
        <v>-</v>
      </c>
      <c r="K107" s="189" t="str">
        <f>IFERROR(ROUND(VLOOKUP($H$2,'7年度'!$B$6:$GI$50,116,0)/1000,0),"-")</f>
        <v>-</v>
      </c>
      <c r="L107" s="189" t="str">
        <f>IFERROR(ROUND(VLOOKUP($H$2,'8年度'!$B$6:$GI$50,116,0)/1000,0),"-")</f>
        <v>-</v>
      </c>
      <c r="M107" s="189" t="str">
        <f>IFERROR(ROUND(VLOOKUP($H$2,'9年度'!$B$6:$GI$50,116,0)/1000,0),"-")</f>
        <v>-</v>
      </c>
      <c r="N107" s="189" t="str">
        <f>IFERROR(ROUND(VLOOKUP($H$2,'10年度'!$B$6:$GI$50,116,0)/1000,0),"-")</f>
        <v>-</v>
      </c>
      <c r="O107" s="189" t="str">
        <f>IFERROR(ROUND(VLOOKUP($H$2,'11年度'!$B$6:$GI$50,116,0)/1000,0),"-")</f>
        <v>-</v>
      </c>
      <c r="P107" s="189" t="str">
        <f>IFERROR(ROUND(VLOOKUP($H$2,'12年度'!$B$6:$GI$50,116,0)/1000,0),"-")</f>
        <v>-</v>
      </c>
      <c r="Q107" s="189" t="str">
        <f>IFERROR(ROUND(VLOOKUP($H$2,'13年度'!$B$6:$GI$50,116,0)/1000,0),"-")</f>
        <v>-</v>
      </c>
      <c r="R107" s="189" t="str">
        <f>IFERROR(ROUND(VLOOKUP($H$2,'14年度'!$B$6:$GI$50,116,0)/1000,0),"-")</f>
        <v>-</v>
      </c>
      <c r="S107" s="189" t="str">
        <f>IFERROR(ROUND(VLOOKUP($H$2,'15年度'!$B$6:$GI$50,116,0)/1000,0),"-")</f>
        <v>-</v>
      </c>
      <c r="T107" s="189" t="str">
        <f>IFERROR(ROUND(VLOOKUP($H$2,'16年度'!$B$6:$GI$50,116,0)/1000,0),"-")</f>
        <v>-</v>
      </c>
      <c r="U107" s="189" t="str">
        <f>IFERROR(ROUND(VLOOKUP($H$2,'17年度'!$B$6:$GI$50,116,0)/1000,0),"-")</f>
        <v>-</v>
      </c>
      <c r="V107" s="189" t="str">
        <f>IFERROR(ROUND(VLOOKUP($H$2,'18年度'!$B$6:$GI$50,116,0)/1000,0),"-")</f>
        <v>-</v>
      </c>
      <c r="W107" s="189" t="str">
        <f>IFERROR(ROUND(VLOOKUP($H$2,'19年度'!$B$6:$GI$50,116,0)/1000,0),"-")</f>
        <v>-</v>
      </c>
      <c r="X107" s="237" t="str">
        <f>IFERROR(ROUND(VLOOKUP($H$2,'20年度'!$B$6:$GI$50,116,0)/1000,0),"-")</f>
        <v>-</v>
      </c>
      <c r="Y107" s="237" t="str">
        <f>IFERROR(ROUND(VLOOKUP($H$2,'21年度'!$B$6:$GI$50,116,0)/1000,0),"-")</f>
        <v>-</v>
      </c>
      <c r="Z107" s="237" t="str">
        <f>IFERROR(ROUND(VLOOKUP($H$2,'22年度'!$B$6:$GI$50,116,0)/1000,0),"-")</f>
        <v>-</v>
      </c>
      <c r="AA107" s="237">
        <f>IFERROR(ROUND(VLOOKUP($H$2,'23年度'!$B$6:$GI$52,116,0)/1000,0),"-")</f>
        <v>30356</v>
      </c>
      <c r="AB107" s="189">
        <f>IFERROR(ROUND(VLOOKUP($H$2,'24年度'!$B$6:$GI$52,116,0)/1000,0),"-")</f>
        <v>16970</v>
      </c>
      <c r="AC107" s="238">
        <f>IFERROR(ROUND(VLOOKUP($H$2,'25年度'!$B$6:$GI$52,116,0)/1000,0),"-")</f>
        <v>15956</v>
      </c>
      <c r="AD107" s="237">
        <f>IFERROR(ROUND(VLOOKUP($H$2,'26年度'!$B$6:$GI$52,116,0)/1000,0),"-")</f>
        <v>38630</v>
      </c>
      <c r="AE107" s="189">
        <f>IFERROR(ROUND(VLOOKUP($H$2,'27年度'!$B$6:$GI$52,116,0)/1000,0),"-")</f>
        <v>14003</v>
      </c>
      <c r="AF107" s="189">
        <f>IFERROR(ROUND(VLOOKUP($H$2,'28年度'!$B$6:$GI$52,116,0)/1000,0),"-")</f>
        <v>10393</v>
      </c>
      <c r="AG107" s="238">
        <f>IFERROR(ROUND(VLOOKUP($H$2,'29年度'!$B$6:$GI$52,116,0)/1000,0),"-")</f>
        <v>9780</v>
      </c>
      <c r="AH107" s="237">
        <f>IFERROR(ROUND(VLOOKUP($H$2,'30年度'!$B$6:$GI$52,116,0)/1000,0),"-")</f>
        <v>9796</v>
      </c>
      <c r="AI107" s="189">
        <f>IFERROR(ROUND(VLOOKUP($H$2,'R1年度'!$B$6:$GJ$52,117,0)/1000,0),"-")</f>
        <v>9466</v>
      </c>
      <c r="AJ107" s="189">
        <f>IFERROR(ROUND(VLOOKUP($H$2,'R2年度'!$B$6:$GJ$52,118,0)/1000,0),"-")</f>
        <v>8237</v>
      </c>
      <c r="AK107" s="238">
        <f>IFERROR(ROUND(VLOOKUP($H$2,'R3年度'!$B$6:$GJ$52,118,0)/1000,0),"-")</f>
        <v>9065</v>
      </c>
      <c r="AL107" s="237">
        <f>IFERROR(ROUND(VLOOKUP($H$2,'R4年度'!$B$6:$GJ$52,118,0)/1000,0),"-")</f>
        <v>7924</v>
      </c>
      <c r="AM107" s="252">
        <f>IFERROR(ROUND(VLOOKUP($H$2,'R5年度'!$B$6:$GJ$52,118,0)/1000,0),"-")</f>
        <v>9544</v>
      </c>
      <c r="AN107" s="252">
        <f>IFERROR(ROUND(VLOOKUP($H$2,'R6年度'!$B$6:$GJ$52,118,0)/1000,0),"-")</f>
        <v>7894</v>
      </c>
    </row>
    <row r="108" spans="2:40" ht="15.9" customHeight="1" x14ac:dyDescent="0.15">
      <c r="B108" s="54"/>
      <c r="C108" s="492" t="s">
        <v>233</v>
      </c>
      <c r="D108" s="481"/>
      <c r="E108" s="179" t="str">
        <f>IFERROR(ROUND(VLOOKUP($H$2,'1年度'!$B$6:$GI$50,117,0)/1000,0),"-")</f>
        <v>-</v>
      </c>
      <c r="F108" s="179" t="str">
        <f>IFERROR(ROUND(VLOOKUP($H$2,'2年度'!$B$6:$GI$50,117,0)/1000,0),"-")</f>
        <v>-</v>
      </c>
      <c r="G108" s="179" t="str">
        <f>IFERROR(ROUND(VLOOKUP($H$2,'3年度'!$B$6:$GI$50,117,0)/1000,0),"-")</f>
        <v>-</v>
      </c>
      <c r="H108" s="179" t="str">
        <f>IFERROR(ROUND(VLOOKUP($H$2,'4年度'!$B$6:$GI$50,117,0)/1000,0),"-")</f>
        <v>-</v>
      </c>
      <c r="I108" s="179" t="str">
        <f>IFERROR(ROUND(VLOOKUP($H$2,'5年度'!$B$6:$GI$50,117,0)/1000,0),"-")</f>
        <v>-</v>
      </c>
      <c r="J108" s="179" t="str">
        <f>IFERROR(ROUND(VLOOKUP($H$2,'6年度'!$B$6:$GI$50,117,0)/1000,0),"-")</f>
        <v>-</v>
      </c>
      <c r="K108" s="179" t="str">
        <f>IFERROR(ROUND(VLOOKUP($H$2,'7年度'!$B$6:$GI$50,117,0)/1000,0),"-")</f>
        <v>-</v>
      </c>
      <c r="L108" s="179" t="str">
        <f>IFERROR(ROUND(VLOOKUP($H$2,'8年度'!$B$6:$GI$50,117,0)/1000,0),"-")</f>
        <v>-</v>
      </c>
      <c r="M108" s="179" t="str">
        <f>IFERROR(ROUND(VLOOKUP($H$2,'9年度'!$B$6:$GI$50,117,0)/1000,0),"-")</f>
        <v>-</v>
      </c>
      <c r="N108" s="179" t="str">
        <f>IFERROR(ROUND(VLOOKUP($H$2,'10年度'!$B$6:$GI$50,117,0)/1000,0),"-")</f>
        <v>-</v>
      </c>
      <c r="O108" s="179" t="str">
        <f>IFERROR(ROUND(VLOOKUP($H$2,'11年度'!$B$6:$GI$50,117,0)/1000,0),"-")</f>
        <v>-</v>
      </c>
      <c r="P108" s="179" t="str">
        <f>IFERROR(ROUND(VLOOKUP($H$2,'12年度'!$B$6:$GI$50,117,0)/1000,0),"-")</f>
        <v>-</v>
      </c>
      <c r="Q108" s="179" t="str">
        <f>IFERROR(ROUND(VLOOKUP($H$2,'13年度'!$B$6:$GI$50,117,0)/1000,0),"-")</f>
        <v>-</v>
      </c>
      <c r="R108" s="179" t="str">
        <f>IFERROR(ROUND(VLOOKUP($H$2,'14年度'!$B$6:$GI$50,117,0)/1000,0),"-")</f>
        <v>-</v>
      </c>
      <c r="S108" s="179" t="str">
        <f>IFERROR(ROUND(VLOOKUP($H$2,'15年度'!$B$6:$GI$50,117,0)/1000,0),"-")</f>
        <v>-</v>
      </c>
      <c r="T108" s="179" t="str">
        <f>IFERROR(ROUND(VLOOKUP($H$2,'16年度'!$B$6:$GI$50,117,0)/1000,0),"-")</f>
        <v>-</v>
      </c>
      <c r="U108" s="179" t="str">
        <f>IFERROR(ROUND(VLOOKUP($H$2,'17年度'!$B$6:$GI$50,117,0)/1000,0),"-")</f>
        <v>-</v>
      </c>
      <c r="V108" s="179" t="str">
        <f>IFERROR(ROUND(VLOOKUP($H$2,'18年度'!$B$6:$GI$50,117,0)/1000,0),"-")</f>
        <v>-</v>
      </c>
      <c r="W108" s="179" t="str">
        <f>IFERROR(ROUND(VLOOKUP($H$2,'19年度'!$B$6:$GI$50,117,0)/1000,0),"-")</f>
        <v>-</v>
      </c>
      <c r="X108" s="225" t="str">
        <f>IFERROR(ROUND(VLOOKUP($H$2,'20年度'!$B$6:$GI$50,117,0)/1000,0),"-")</f>
        <v>-</v>
      </c>
      <c r="Y108" s="225" t="str">
        <f>IFERROR(ROUND(VLOOKUP($H$2,'21年度'!$B$6:$GI$50,117,0)/1000,0),"-")</f>
        <v>-</v>
      </c>
      <c r="Z108" s="225" t="str">
        <f>IFERROR(ROUND(VLOOKUP($H$2,'22年度'!$B$6:$GI$50,117,0)/1000,0),"-")</f>
        <v>-</v>
      </c>
      <c r="AA108" s="225">
        <f>IFERROR(ROUND(VLOOKUP($H$2,'23年度'!$B$6:$GI$52,117,0)/1000,0),"-")</f>
        <v>23282</v>
      </c>
      <c r="AB108" s="179">
        <f>IFERROR(ROUND(VLOOKUP($H$2,'24年度'!$B$6:$GI$52,117,0)/1000,0),"-")</f>
        <v>9208</v>
      </c>
      <c r="AC108" s="226">
        <f>IFERROR(ROUND(VLOOKUP($H$2,'25年度'!$B$6:$GI$52,117,0)/1000,0),"-")</f>
        <v>9759</v>
      </c>
      <c r="AD108" s="225">
        <f>IFERROR(ROUND(VLOOKUP($H$2,'26年度'!$B$6:$GI$52,117,0)/1000,0),"-")</f>
        <v>8259</v>
      </c>
      <c r="AE108" s="179">
        <f>IFERROR(ROUND(VLOOKUP($H$2,'27年度'!$B$6:$GI$52,117,0)/1000,0),"-")</f>
        <v>9841</v>
      </c>
      <c r="AF108" s="179">
        <f>IFERROR(ROUND(VLOOKUP($H$2,'28年度'!$B$6:$GI$52,117,0)/1000,0),"-")</f>
        <v>8384</v>
      </c>
      <c r="AG108" s="226">
        <f>IFERROR(ROUND(VLOOKUP($H$2,'29年度'!$B$6:$GI$52,117,0)/1000,0),"-")</f>
        <v>8017</v>
      </c>
      <c r="AH108" s="225">
        <f>IFERROR(ROUND(VLOOKUP($H$2,'30年度'!$B$6:$GI$52,117,0)/1000,0),"-")</f>
        <v>8228</v>
      </c>
      <c r="AI108" s="179">
        <f>IFERROR(ROUND(VLOOKUP($H$2,'R1年度'!$B$6:$GJ$52,118,0)/1000,0),"-")</f>
        <v>7961</v>
      </c>
      <c r="AJ108" s="179">
        <f>IFERROR(ROUND(VLOOKUP($H$2,'R2年度'!$B$6:$GJ$52,119,0)/1000,0),"-")</f>
        <v>7359</v>
      </c>
      <c r="AK108" s="226">
        <f>IFERROR(ROUND(VLOOKUP($H$2,'R3年度'!$B$6:$GJ$52,119,0)/1000,0),"-")</f>
        <v>8273</v>
      </c>
      <c r="AL108" s="225">
        <f>IFERROR(ROUND(VLOOKUP($H$2,'R4年度'!$B$6:$GJ$52,119,0)/1000,0),"-")</f>
        <v>7633</v>
      </c>
      <c r="AM108" s="239">
        <f>IFERROR(ROUND(VLOOKUP($H$2,'R5年度'!$B$6:$GJ$52,119,0)/1000,0),"-")</f>
        <v>8111</v>
      </c>
      <c r="AN108" s="239">
        <f>IFERROR(ROUND(VLOOKUP($H$2,'R6年度'!$B$6:$GJ$52,119,0)/1000,0),"-")</f>
        <v>6100</v>
      </c>
    </row>
    <row r="109" spans="2:40" ht="15.9" customHeight="1" x14ac:dyDescent="0.15">
      <c r="B109" s="54"/>
      <c r="C109" s="37"/>
      <c r="D109" s="6" t="s">
        <v>234</v>
      </c>
      <c r="E109" s="185" t="str">
        <f>IFERROR(ROUND(VLOOKUP($H$2,'1年度'!$B$6:$GI$50,118,0)/1000,0),"-")</f>
        <v>-</v>
      </c>
      <c r="F109" s="185" t="str">
        <f>IFERROR(ROUND(VLOOKUP($H$2,'2年度'!$B$6:$GI$50,118,0)/1000,0),"-")</f>
        <v>-</v>
      </c>
      <c r="G109" s="185" t="str">
        <f>IFERROR(ROUND(VLOOKUP($H$2,'3年度'!$B$6:$GI$50,118,0)/1000,0),"-")</f>
        <v>-</v>
      </c>
      <c r="H109" s="185" t="str">
        <f>IFERROR(ROUND(VLOOKUP($H$2,'4年度'!$B$6:$GI$50,118,0)/1000,0),"-")</f>
        <v>-</v>
      </c>
      <c r="I109" s="185" t="str">
        <f>IFERROR(ROUND(VLOOKUP($H$2,'5年度'!$B$6:$GI$50,118,0)/1000,0),"-")</f>
        <v>-</v>
      </c>
      <c r="J109" s="185" t="str">
        <f>IFERROR(ROUND(VLOOKUP($H$2,'6年度'!$B$6:$GI$50,118,0)/1000,0),"-")</f>
        <v>-</v>
      </c>
      <c r="K109" s="185" t="str">
        <f>IFERROR(ROUND(VLOOKUP($H$2,'7年度'!$B$6:$GI$50,118,0)/1000,0),"-")</f>
        <v>-</v>
      </c>
      <c r="L109" s="185" t="str">
        <f>IFERROR(ROUND(VLOOKUP($H$2,'8年度'!$B$6:$GI$50,118,0)/1000,0),"-")</f>
        <v>-</v>
      </c>
      <c r="M109" s="185" t="str">
        <f>IFERROR(ROUND(VLOOKUP($H$2,'9年度'!$B$6:$GI$50,118,0)/1000,0),"-")</f>
        <v>-</v>
      </c>
      <c r="N109" s="185" t="str">
        <f>IFERROR(ROUND(VLOOKUP($H$2,'10年度'!$B$6:$GI$50,118,0)/1000,0),"-")</f>
        <v>-</v>
      </c>
      <c r="O109" s="185" t="str">
        <f>IFERROR(ROUND(VLOOKUP($H$2,'11年度'!$B$6:$GI$50,118,0)/1000,0),"-")</f>
        <v>-</v>
      </c>
      <c r="P109" s="185" t="str">
        <f>IFERROR(ROUND(VLOOKUP($H$2,'12年度'!$B$6:$GI$50,118,0)/1000,0),"-")</f>
        <v>-</v>
      </c>
      <c r="Q109" s="185" t="str">
        <f>IFERROR(ROUND(VLOOKUP($H$2,'13年度'!$B$6:$GI$50,118,0)/1000,0),"-")</f>
        <v>-</v>
      </c>
      <c r="R109" s="185" t="str">
        <f>IFERROR(ROUND(VLOOKUP($H$2,'14年度'!$B$6:$GI$50,118,0)/1000,0),"-")</f>
        <v>-</v>
      </c>
      <c r="S109" s="185" t="str">
        <f>IFERROR(ROUND(VLOOKUP($H$2,'15年度'!$B$6:$GI$50,118,0)/1000,0),"-")</f>
        <v>-</v>
      </c>
      <c r="T109" s="185" t="str">
        <f>IFERROR(ROUND(VLOOKUP($H$2,'16年度'!$B$6:$GI$50,118,0)/1000,0),"-")</f>
        <v>-</v>
      </c>
      <c r="U109" s="185" t="str">
        <f>IFERROR(ROUND(VLOOKUP($H$2,'17年度'!$B$6:$GI$50,118,0)/1000,0),"-")</f>
        <v>-</v>
      </c>
      <c r="V109" s="185" t="str">
        <f>IFERROR(ROUND(VLOOKUP($H$2,'18年度'!$B$6:$GI$50,118,0)/1000,0),"-")</f>
        <v>-</v>
      </c>
      <c r="W109" s="185" t="str">
        <f>IFERROR(ROUND(VLOOKUP($H$2,'19年度'!$B$6:$GI$50,118,0)/1000,0),"-")</f>
        <v>-</v>
      </c>
      <c r="X109" s="186" t="str">
        <f>IFERROR(ROUND(VLOOKUP($H$2,'20年度'!$B$6:$GI$50,118,0)/1000,0),"-")</f>
        <v>-</v>
      </c>
      <c r="Y109" s="186" t="str">
        <f>IFERROR(ROUND(VLOOKUP($H$2,'21年度'!$B$6:$GI$50,118,0)/1000,0),"-")</f>
        <v>-</v>
      </c>
      <c r="Z109" s="186" t="str">
        <f>IFERROR(ROUND(VLOOKUP($H$2,'22年度'!$B$6:$GI$50,118,0)/1000,0),"-")</f>
        <v>-</v>
      </c>
      <c r="AA109" s="186">
        <f>IFERROR(ROUND(VLOOKUP($H$2,'23年度'!$B$6:$GI$52,118,0)/1000,0),"-")</f>
        <v>396</v>
      </c>
      <c r="AB109" s="185">
        <f>IFERROR(ROUND(VLOOKUP($H$2,'24年度'!$B$6:$GI$52,118,0)/1000,0),"-")</f>
        <v>448</v>
      </c>
      <c r="AC109" s="187">
        <f>IFERROR(ROUND(VLOOKUP($H$2,'25年度'!$B$6:$GI$52,118,0)/1000,0),"-")</f>
        <v>667</v>
      </c>
      <c r="AD109" s="186">
        <f>IFERROR(ROUND(VLOOKUP($H$2,'26年度'!$B$6:$GI$52,118,0)/1000,0),"-")</f>
        <v>634</v>
      </c>
      <c r="AE109" s="185">
        <f>IFERROR(ROUND(VLOOKUP($H$2,'27年度'!$B$6:$GI$52,118,0)/1000,0),"-")</f>
        <v>530</v>
      </c>
      <c r="AF109" s="185">
        <f>IFERROR(ROUND(VLOOKUP($H$2,'28年度'!$B$6:$GI$52,118,0)/1000,0),"-")</f>
        <v>307</v>
      </c>
      <c r="AG109" s="187">
        <f>IFERROR(ROUND(VLOOKUP($H$2,'29年度'!$B$6:$GI$52,118,0)/1000,0),"-")</f>
        <v>366</v>
      </c>
      <c r="AH109" s="186">
        <f>IFERROR(ROUND(VLOOKUP($H$2,'30年度'!$B$6:$GI$52,118,0)/1000,0),"-")</f>
        <v>502</v>
      </c>
      <c r="AI109" s="185">
        <f>IFERROR(ROUND(VLOOKUP($H$2,'R1年度'!$B$6:$GJ$52,119,0)/1000,0),"-")</f>
        <v>359</v>
      </c>
      <c r="AJ109" s="185">
        <f>IFERROR(ROUND(VLOOKUP($H$2,'R2年度'!$B$6:$GJ$52,120,0)/1000,0),"-")</f>
        <v>444</v>
      </c>
      <c r="AK109" s="187">
        <f>IFERROR(ROUND(VLOOKUP($H$2,'R3年度'!$B$6:$GJ$52,120,0)/1000,0),"-")</f>
        <v>776</v>
      </c>
      <c r="AL109" s="186">
        <f>IFERROR(ROUND(VLOOKUP($H$2,'R4年度'!$B$6:$GJ$52,120,0)/1000,0),"-")</f>
        <v>696</v>
      </c>
      <c r="AM109" s="254">
        <f>IFERROR(ROUND(VLOOKUP($H$2,'R5年度'!$B$6:$GJ$52,120,0)/1000,0),"-")</f>
        <v>2132</v>
      </c>
      <c r="AN109" s="254">
        <f>IFERROR(ROUND(VLOOKUP($H$2,'R6年度'!$B$6:$GJ$52,120,0)/1000,0),"-")</f>
        <v>446</v>
      </c>
    </row>
    <row r="110" spans="2:40" ht="15.9" customHeight="1" thickBot="1" x14ac:dyDescent="0.2">
      <c r="B110" s="56"/>
      <c r="C110" s="61"/>
      <c r="D110" s="8" t="s">
        <v>220</v>
      </c>
      <c r="E110" s="220" t="str">
        <f>IFERROR(ROUND(VLOOKUP($H$2,'1年度'!$B$6:$GI$50,119,0)/1000,0),"-")</f>
        <v>-</v>
      </c>
      <c r="F110" s="220" t="str">
        <f>IFERROR(ROUND(VLOOKUP($H$2,'2年度'!$B$6:$GI$50,119,0)/1000,0),"-")</f>
        <v>-</v>
      </c>
      <c r="G110" s="220" t="str">
        <f>IFERROR(ROUND(VLOOKUP($H$2,'3年度'!$B$6:$GI$50,119,0)/1000,0),"-")</f>
        <v>-</v>
      </c>
      <c r="H110" s="220" t="str">
        <f>IFERROR(ROUND(VLOOKUP($H$2,'4年度'!$B$6:$GI$50,119,0)/1000,0),"-")</f>
        <v>-</v>
      </c>
      <c r="I110" s="220" t="str">
        <f>IFERROR(ROUND(VLOOKUP($H$2,'5年度'!$B$6:$GI$50,119,0)/1000,0),"-")</f>
        <v>-</v>
      </c>
      <c r="J110" s="220" t="str">
        <f>IFERROR(ROUND(VLOOKUP($H$2,'6年度'!$B$6:$GI$50,119,0)/1000,0),"-")</f>
        <v>-</v>
      </c>
      <c r="K110" s="220" t="str">
        <f>IFERROR(ROUND(VLOOKUP($H$2,'7年度'!$B$6:$GI$50,119,0)/1000,0),"-")</f>
        <v>-</v>
      </c>
      <c r="L110" s="220" t="str">
        <f>IFERROR(ROUND(VLOOKUP($H$2,'8年度'!$B$6:$GI$50,119,0)/1000,0),"-")</f>
        <v>-</v>
      </c>
      <c r="M110" s="220" t="str">
        <f>IFERROR(ROUND(VLOOKUP($H$2,'9年度'!$B$6:$GI$50,119,0)/1000,0),"-")</f>
        <v>-</v>
      </c>
      <c r="N110" s="220" t="str">
        <f>IFERROR(ROUND(VLOOKUP($H$2,'10年度'!$B$6:$GI$50,119,0)/1000,0),"-")</f>
        <v>-</v>
      </c>
      <c r="O110" s="220" t="str">
        <f>IFERROR(ROUND(VLOOKUP($H$2,'11年度'!$B$6:$GI$50,119,0)/1000,0),"-")</f>
        <v>-</v>
      </c>
      <c r="P110" s="220" t="str">
        <f>IFERROR(ROUND(VLOOKUP($H$2,'12年度'!$B$6:$GI$50,119,0)/1000,0),"-")</f>
        <v>-</v>
      </c>
      <c r="Q110" s="220" t="str">
        <f>IFERROR(ROUND(VLOOKUP($H$2,'13年度'!$B$6:$GI$50,119,0)/1000,0),"-")</f>
        <v>-</v>
      </c>
      <c r="R110" s="220" t="str">
        <f>IFERROR(ROUND(VLOOKUP($H$2,'14年度'!$B$6:$GI$50,119,0)/1000,0),"-")</f>
        <v>-</v>
      </c>
      <c r="S110" s="220" t="str">
        <f>IFERROR(ROUND(VLOOKUP($H$2,'15年度'!$B$6:$GI$50,119,0)/1000,0),"-")</f>
        <v>-</v>
      </c>
      <c r="T110" s="220" t="str">
        <f>IFERROR(ROUND(VLOOKUP($H$2,'16年度'!$B$6:$GI$50,119,0)/1000,0),"-")</f>
        <v>-</v>
      </c>
      <c r="U110" s="220" t="str">
        <f>IFERROR(ROUND(VLOOKUP($H$2,'17年度'!$B$6:$GI$50,119,0)/1000,0),"-")</f>
        <v>-</v>
      </c>
      <c r="V110" s="220" t="str">
        <f>IFERROR(ROUND(VLOOKUP($H$2,'18年度'!$B$6:$GI$50,119,0)/1000,0),"-")</f>
        <v>-</v>
      </c>
      <c r="W110" s="220" t="str">
        <f>IFERROR(ROUND(VLOOKUP($H$2,'19年度'!$B$6:$GI$50,119,0)/1000,0),"-")</f>
        <v>-</v>
      </c>
      <c r="X110" s="228" t="str">
        <f>IFERROR(ROUND(VLOOKUP($H$2,'20年度'!$B$6:$GI$50,119,0)/1000,0),"-")</f>
        <v>-</v>
      </c>
      <c r="Y110" s="228" t="str">
        <f>IFERROR(ROUND(VLOOKUP($H$2,'21年度'!$B$6:$GI$50,119,0)/1000,0),"-")</f>
        <v>-</v>
      </c>
      <c r="Z110" s="228" t="str">
        <f>IFERROR(ROUND(VLOOKUP($H$2,'22年度'!$B$6:$GI$50,119,0)/1000,0),"-")</f>
        <v>-</v>
      </c>
      <c r="AA110" s="228">
        <f>IFERROR(ROUND(VLOOKUP($H$2,'23年度'!$B$6:$GI$52,119,0)/1000,0),"-")</f>
        <v>17519</v>
      </c>
      <c r="AB110" s="220">
        <f>IFERROR(ROUND(VLOOKUP($H$2,'24年度'!$B$6:$GI$52,119,0)/1000,0),"-")</f>
        <v>3554</v>
      </c>
      <c r="AC110" s="229">
        <f>IFERROR(ROUND(VLOOKUP($H$2,'25年度'!$B$6:$GI$52,119,0)/1000,0),"-")</f>
        <v>3510</v>
      </c>
      <c r="AD110" s="228">
        <f>IFERROR(ROUND(VLOOKUP($H$2,'26年度'!$B$6:$GI$52,119,0)/1000,0),"-")</f>
        <v>2359</v>
      </c>
      <c r="AE110" s="220">
        <f>IFERROR(ROUND(VLOOKUP($H$2,'27年度'!$B$6:$GI$52,119,0)/1000,0),"-")</f>
        <v>2608</v>
      </c>
      <c r="AF110" s="220">
        <f>IFERROR(ROUND(VLOOKUP($H$2,'28年度'!$B$6:$GI$52,119,0)/1000,0),"-")</f>
        <v>1118</v>
      </c>
      <c r="AG110" s="229">
        <f>IFERROR(ROUND(VLOOKUP($H$2,'29年度'!$B$6:$GI$52,119,0)/1000,0),"-")</f>
        <v>724</v>
      </c>
      <c r="AH110" s="228">
        <f>IFERROR(ROUND(VLOOKUP($H$2,'30年度'!$B$6:$GI$52,119,0)/1000,0),"-")</f>
        <v>1052</v>
      </c>
      <c r="AI110" s="220">
        <f>IFERROR(ROUND(VLOOKUP($H$2,'R1年度'!$B$6:$GJ$52,120,0)/1000,0),"-")</f>
        <v>1386</v>
      </c>
      <c r="AJ110" s="220">
        <f>IFERROR(ROUND(VLOOKUP($H$2,'R2年度'!$B$6:$GJ$52,121,0)/1000,0),"-")</f>
        <v>1244</v>
      </c>
      <c r="AK110" s="229">
        <f>IFERROR(ROUND(VLOOKUP($H$2,'R3年度'!$B$6:$GJ$52,121,0)/1000,0),"-")</f>
        <v>1347</v>
      </c>
      <c r="AL110" s="228">
        <f>IFERROR(ROUND(VLOOKUP($H$2,'R4年度'!$B$6:$GJ$52,121,0)/1000,0),"-")</f>
        <v>1297</v>
      </c>
      <c r="AM110" s="255">
        <f>IFERROR(ROUND(VLOOKUP($H$2,'R5年度'!$B$6:$GJ$52,121,0)/1000,0),"-")</f>
        <v>1083</v>
      </c>
      <c r="AN110" s="255">
        <f>IFERROR(ROUND(VLOOKUP($H$2,'R6年度'!$B$6:$GJ$52,121,0)/1000,0),"-")</f>
        <v>1091</v>
      </c>
    </row>
    <row r="111" spans="2:40" ht="15.9" customHeight="1" x14ac:dyDescent="0.15">
      <c r="B111" s="484" t="s">
        <v>235</v>
      </c>
      <c r="C111" s="485"/>
      <c r="D111" s="486"/>
      <c r="E111" s="175" t="str">
        <f>IFERROR(ROUND(VLOOKUP($H$2,'1年度'!$B$6:$GI$50,120,0)/1000,0),"-")</f>
        <v>-</v>
      </c>
      <c r="F111" s="175" t="str">
        <f>IFERROR(ROUND(VLOOKUP($H$2,'2年度'!$B$6:$GI$50,120,0)/1000,0),"-")</f>
        <v>-</v>
      </c>
      <c r="G111" s="175" t="str">
        <f>IFERROR(ROUND(VLOOKUP($H$2,'3年度'!$B$6:$GI$50,120,0)/1000,0),"-")</f>
        <v>-</v>
      </c>
      <c r="H111" s="175" t="str">
        <f>IFERROR(ROUND(VLOOKUP($H$2,'4年度'!$B$6:$GI$50,120,0)/1000,0),"-")</f>
        <v>-</v>
      </c>
      <c r="I111" s="175" t="str">
        <f>IFERROR(ROUND(VLOOKUP($H$2,'5年度'!$B$6:$GI$50,120,0)/1000,0),"-")</f>
        <v>-</v>
      </c>
      <c r="J111" s="175" t="str">
        <f>IFERROR(ROUND(VLOOKUP($H$2,'6年度'!$B$6:$GI$50,120,0)/1000,0),"-")</f>
        <v>-</v>
      </c>
      <c r="K111" s="175" t="str">
        <f>IFERROR(ROUND(VLOOKUP($H$2,'7年度'!$B$6:$GI$50,120,0)/1000,0),"-")</f>
        <v>-</v>
      </c>
      <c r="L111" s="175" t="str">
        <f>IFERROR(ROUND(VLOOKUP($H$2,'8年度'!$B$6:$GI$50,120,0)/1000,0),"-")</f>
        <v>-</v>
      </c>
      <c r="M111" s="175" t="str">
        <f>IFERROR(ROUND(VLOOKUP($H$2,'9年度'!$B$6:$GI$50,120,0)/1000,0),"-")</f>
        <v>-</v>
      </c>
      <c r="N111" s="175" t="str">
        <f>IFERROR(ROUND(VLOOKUP($H$2,'10年度'!$B$6:$GI$50,120,0)/1000,0),"-")</f>
        <v>-</v>
      </c>
      <c r="O111" s="175" t="str">
        <f>IFERROR(ROUND(VLOOKUP($H$2,'11年度'!$B$6:$GI$50,120,0)/1000,0),"-")</f>
        <v>-</v>
      </c>
      <c r="P111" s="175" t="str">
        <f>IFERROR(ROUND(VLOOKUP($H$2,'12年度'!$B$6:$GI$50,120,0)/1000,0),"-")</f>
        <v>-</v>
      </c>
      <c r="Q111" s="175" t="str">
        <f>IFERROR(ROUND(VLOOKUP($H$2,'13年度'!$B$6:$GI$50,120,0)/1000,0),"-")</f>
        <v>-</v>
      </c>
      <c r="R111" s="175" t="str">
        <f>IFERROR(ROUND(VLOOKUP($H$2,'14年度'!$B$6:$GI$50,120,0)/1000,0),"-")</f>
        <v>-</v>
      </c>
      <c r="S111" s="175" t="str">
        <f>IFERROR(ROUND(VLOOKUP($H$2,'15年度'!$B$6:$GI$50,120,0)/1000,0),"-")</f>
        <v>-</v>
      </c>
      <c r="T111" s="175" t="str">
        <f>IFERROR(ROUND(VLOOKUP($H$2,'16年度'!$B$6:$GI$50,120,0)/1000,0),"-")</f>
        <v>-</v>
      </c>
      <c r="U111" s="175" t="str">
        <f>IFERROR(ROUND(VLOOKUP($H$2,'17年度'!$B$6:$GI$50,120,0)/1000,0),"-")</f>
        <v>-</v>
      </c>
      <c r="V111" s="175" t="str">
        <f>IFERROR(ROUND(VLOOKUP($H$2,'18年度'!$B$6:$GI$50,120,0)/1000,0),"-")</f>
        <v>-</v>
      </c>
      <c r="W111" s="175" t="str">
        <f>IFERROR(ROUND(VLOOKUP($H$2,'19年度'!$B$6:$GI$50,120,0)/1000,0),"-")</f>
        <v>-</v>
      </c>
      <c r="X111" s="176" t="str">
        <f>IFERROR(ROUND(VLOOKUP($H$2,'20年度'!$B$6:$GI$50,120,0)/1000,0),"-")</f>
        <v>-</v>
      </c>
      <c r="Y111" s="176" t="str">
        <f>IFERROR(ROUND(VLOOKUP($H$2,'21年度'!$B$6:$GI$50,120,0)/1000,0),"-")</f>
        <v>-</v>
      </c>
      <c r="Z111" s="176" t="str">
        <f>IFERROR(ROUND(VLOOKUP($H$2,'22年度'!$B$6:$GI$50,120,0)/1000,0),"-")</f>
        <v>-</v>
      </c>
      <c r="AA111" s="176">
        <f>IFERROR(ROUND(VLOOKUP($H$2,'23年度'!$B$6:$GI$52,120,0)/1000,0),"-")</f>
        <v>188651</v>
      </c>
      <c r="AB111" s="175">
        <f>IFERROR(ROUND(VLOOKUP($H$2,'24年度'!$B$6:$GI$52,120,0)/1000,0),"-")</f>
        <v>141112</v>
      </c>
      <c r="AC111" s="177">
        <f>IFERROR(ROUND(VLOOKUP($H$2,'25年度'!$B$6:$GI$52,120,0)/1000,0),"-")</f>
        <v>127377</v>
      </c>
      <c r="AD111" s="176">
        <f>IFERROR(ROUND(VLOOKUP($H$2,'26年度'!$B$6:$GI$52,120,0)/1000,0),"-")</f>
        <v>111732</v>
      </c>
      <c r="AE111" s="175">
        <f>IFERROR(ROUND(VLOOKUP($H$2,'27年度'!$B$6:$GI$52,120,0)/1000,0),"-")</f>
        <v>104109</v>
      </c>
      <c r="AF111" s="175">
        <f>IFERROR(ROUND(VLOOKUP($H$2,'28年度'!$B$6:$GI$52,120,0)/1000,0),"-")</f>
        <v>98887</v>
      </c>
      <c r="AG111" s="177">
        <f>IFERROR(ROUND(VLOOKUP($H$2,'29年度'!$B$6:$GI$52,120,0)/1000,0),"-")</f>
        <v>100387</v>
      </c>
      <c r="AH111" s="176">
        <f>IFERROR(ROUND(VLOOKUP($H$2,'30年度'!$B$6:$GI$52,120,0)/1000,0),"-")</f>
        <v>94059</v>
      </c>
      <c r="AI111" s="175">
        <f>IFERROR(ROUND(VLOOKUP($H$2,'R1年度'!$B$6:$GJ$52,121,0)/1000,0),"-")</f>
        <v>95937</v>
      </c>
      <c r="AJ111" s="175">
        <f>IFERROR(ROUND(VLOOKUP($H$2,'R2年度'!$B$6:$GJ$52,122,0)/1000,0),"-")</f>
        <v>22051</v>
      </c>
      <c r="AK111" s="177">
        <f>IFERROR(ROUND(VLOOKUP($H$2,'R3年度'!$B$6:$GJ$52,122,0)/1000,0),"-")</f>
        <v>14268</v>
      </c>
      <c r="AL111" s="176">
        <f>IFERROR(ROUND(VLOOKUP($H$2,'R4年度'!$B$6:$GJ$52,122,0)/1000,0),"-")</f>
        <v>10877</v>
      </c>
      <c r="AM111" s="234">
        <f>IFERROR(ROUND(VLOOKUP($H$2,'R5年度'!$B$6:$GJ$52,122,0)/1000,0),"-")</f>
        <v>11270</v>
      </c>
      <c r="AN111" s="234">
        <f>IFERROR(ROUND(VLOOKUP($H$2,'R6年度'!$B$6:$GJ$52,122,0)/1000,0),"-")</f>
        <v>17633</v>
      </c>
    </row>
    <row r="112" spans="2:40" ht="15.9" customHeight="1" x14ac:dyDescent="0.15">
      <c r="B112" s="54"/>
      <c r="C112" s="492" t="s">
        <v>233</v>
      </c>
      <c r="D112" s="481"/>
      <c r="E112" s="179" t="str">
        <f>IFERROR(ROUND(VLOOKUP($H$2,'1年度'!$B$6:$GI$50,121,0)/1000,0),"-")</f>
        <v>-</v>
      </c>
      <c r="F112" s="179" t="str">
        <f>IFERROR(ROUND(VLOOKUP($H$2,'2年度'!$B$6:$GI$50,121,0)/1000,0),"-")</f>
        <v>-</v>
      </c>
      <c r="G112" s="179" t="str">
        <f>IFERROR(ROUND(VLOOKUP($H$2,'3年度'!$B$6:$GI$50,121,0)/1000,0),"-")</f>
        <v>-</v>
      </c>
      <c r="H112" s="179" t="str">
        <f>IFERROR(ROUND(VLOOKUP($H$2,'4年度'!$B$6:$GI$50,121,0)/1000,0),"-")</f>
        <v>-</v>
      </c>
      <c r="I112" s="179" t="str">
        <f>IFERROR(ROUND(VLOOKUP($H$2,'5年度'!$B$6:$GI$50,121,0)/1000,0),"-")</f>
        <v>-</v>
      </c>
      <c r="J112" s="179" t="str">
        <f>IFERROR(ROUND(VLOOKUP($H$2,'6年度'!$B$6:$GI$50,121,0)/1000,0),"-")</f>
        <v>-</v>
      </c>
      <c r="K112" s="179" t="str">
        <f>IFERROR(ROUND(VLOOKUP($H$2,'7年度'!$B$6:$GI$50,121,0)/1000,0),"-")</f>
        <v>-</v>
      </c>
      <c r="L112" s="179" t="str">
        <f>IFERROR(ROUND(VLOOKUP($H$2,'8年度'!$B$6:$GI$50,121,0)/1000,0),"-")</f>
        <v>-</v>
      </c>
      <c r="M112" s="179" t="str">
        <f>IFERROR(ROUND(VLOOKUP($H$2,'9年度'!$B$6:$GI$50,121,0)/1000,0),"-")</f>
        <v>-</v>
      </c>
      <c r="N112" s="179" t="str">
        <f>IFERROR(ROUND(VLOOKUP($H$2,'10年度'!$B$6:$GI$50,121,0)/1000,0),"-")</f>
        <v>-</v>
      </c>
      <c r="O112" s="179" t="str">
        <f>IFERROR(ROUND(VLOOKUP($H$2,'11年度'!$B$6:$GI$50,121,0)/1000,0),"-")</f>
        <v>-</v>
      </c>
      <c r="P112" s="179" t="str">
        <f>IFERROR(ROUND(VLOOKUP($H$2,'12年度'!$B$6:$GI$50,121,0)/1000,0),"-")</f>
        <v>-</v>
      </c>
      <c r="Q112" s="179" t="str">
        <f>IFERROR(ROUND(VLOOKUP($H$2,'13年度'!$B$6:$GI$50,121,0)/1000,0),"-")</f>
        <v>-</v>
      </c>
      <c r="R112" s="179" t="str">
        <f>IFERROR(ROUND(VLOOKUP($H$2,'14年度'!$B$6:$GI$50,121,0)/1000,0),"-")</f>
        <v>-</v>
      </c>
      <c r="S112" s="179" t="str">
        <f>IFERROR(ROUND(VLOOKUP($H$2,'15年度'!$B$6:$GI$50,121,0)/1000,0),"-")</f>
        <v>-</v>
      </c>
      <c r="T112" s="179" t="str">
        <f>IFERROR(ROUND(VLOOKUP($H$2,'16年度'!$B$6:$GI$50,121,0)/1000,0),"-")</f>
        <v>-</v>
      </c>
      <c r="U112" s="179" t="str">
        <f>IFERROR(ROUND(VLOOKUP($H$2,'17年度'!$B$6:$GI$50,121,0)/1000,0),"-")</f>
        <v>-</v>
      </c>
      <c r="V112" s="179" t="str">
        <f>IFERROR(ROUND(VLOOKUP($H$2,'18年度'!$B$6:$GI$50,121,0)/1000,0),"-")</f>
        <v>-</v>
      </c>
      <c r="W112" s="179" t="str">
        <f>IFERROR(ROUND(VLOOKUP($H$2,'19年度'!$B$6:$GI$50,121,0)/1000,0),"-")</f>
        <v>-</v>
      </c>
      <c r="X112" s="225" t="str">
        <f>IFERROR(ROUND(VLOOKUP($H$2,'20年度'!$B$6:$GI$50,121,0)/1000,0),"-")</f>
        <v>-</v>
      </c>
      <c r="Y112" s="225" t="str">
        <f>IFERROR(ROUND(VLOOKUP($H$2,'21年度'!$B$6:$GI$50,121,0)/1000,0),"-")</f>
        <v>-</v>
      </c>
      <c r="Z112" s="225" t="str">
        <f>IFERROR(ROUND(VLOOKUP($H$2,'22年度'!$B$6:$GI$50,121,0)/1000,0),"-")</f>
        <v>-</v>
      </c>
      <c r="AA112" s="225">
        <f>IFERROR(ROUND(VLOOKUP($H$2,'23年度'!$B$6:$GI$52,121,0)/1000,0),"-")</f>
        <v>300</v>
      </c>
      <c r="AB112" s="179">
        <f>IFERROR(ROUND(VLOOKUP($H$2,'24年度'!$B$6:$GI$52,121,0)/1000,0),"-")</f>
        <v>0</v>
      </c>
      <c r="AC112" s="226">
        <f>IFERROR(ROUND(VLOOKUP($H$2,'25年度'!$B$6:$GI$52,121,0)/1000,0),"-")</f>
        <v>0</v>
      </c>
      <c r="AD112" s="225">
        <f>IFERROR(ROUND(VLOOKUP($H$2,'26年度'!$B$6:$GI$52,121,0)/1000,0),"-")</f>
        <v>0</v>
      </c>
      <c r="AE112" s="179">
        <f>IFERROR(ROUND(VLOOKUP($H$2,'26年度'!$B$6:$GI$52,121,0)/1000,0),"-")</f>
        <v>0</v>
      </c>
      <c r="AF112" s="179">
        <f>IFERROR(ROUND(VLOOKUP($H$2,'28年度'!$B$6:$GI$52,121,0)/1000,0),"-")</f>
        <v>0</v>
      </c>
      <c r="AG112" s="226">
        <f>IFERROR(ROUND(VLOOKUP($H$2,'29年度'!$B$6:$GI$52,121,0)/1000,0),"-")</f>
        <v>0</v>
      </c>
      <c r="AH112" s="225">
        <f>IFERROR(ROUND(VLOOKUP($H$2,'30年度'!$B$6:$GI$52,121,0)/1000,0),"-")</f>
        <v>200</v>
      </c>
      <c r="AI112" s="179">
        <f>IFERROR(ROUND(VLOOKUP($H$2,'R1年度'!$B$6:$GJ$52,122,0)/1000,0),"-")</f>
        <v>0</v>
      </c>
      <c r="AJ112" s="179">
        <f>IFERROR(ROUND(VLOOKUP($H$2,'R2年度'!$B$6:$GJ$52,123,0)/1000,0),"-")</f>
        <v>0</v>
      </c>
      <c r="AK112" s="226">
        <f>IFERROR(ROUND(VLOOKUP($H$2,'R3年度'!$B$6:$GJ$52,123,0)/1000,0),"-")</f>
        <v>0</v>
      </c>
      <c r="AL112" s="225">
        <f>IFERROR(ROUND(VLOOKUP($H$2,'R4年度'!$B$6:$GJ$52,123,0)/1000,0),"-")</f>
        <v>0</v>
      </c>
      <c r="AM112" s="239">
        <f>IFERROR(ROUND(VLOOKUP($H$2,'R5年度'!$B$6:$GJ$52,123,0)/1000,0),"-")</f>
        <v>1650</v>
      </c>
      <c r="AN112" s="239">
        <f>IFERROR(ROUND(VLOOKUP($H$2,'R6年度'!$B$6:$GJ$52,123,0)/1000,0),"-")</f>
        <v>1500</v>
      </c>
    </row>
    <row r="113" spans="2:40" ht="15.9" customHeight="1" thickBot="1" x14ac:dyDescent="0.2">
      <c r="B113" s="56"/>
      <c r="C113" s="61"/>
      <c r="D113" s="8" t="s">
        <v>220</v>
      </c>
      <c r="E113" s="230" t="str">
        <f>IFERROR(ROUND(VLOOKUP($H$2,'1年度'!$B$6:$GI$50,122,0)/1000,0),"-")</f>
        <v>-</v>
      </c>
      <c r="F113" s="230" t="str">
        <f>IFERROR(ROUND(VLOOKUP($H$2,'2年度'!$B$6:$GI$50,122,0)/1000,0),"-")</f>
        <v>-</v>
      </c>
      <c r="G113" s="230" t="str">
        <f>IFERROR(ROUND(VLOOKUP($H$2,'3年度'!$B$6:$GI$50,122,0)/1000,0),"-")</f>
        <v>-</v>
      </c>
      <c r="H113" s="230" t="str">
        <f>IFERROR(ROUND(VLOOKUP($H$2,'4年度'!$B$6:$GI$50,122,0)/1000,0),"-")</f>
        <v>-</v>
      </c>
      <c r="I113" s="230" t="str">
        <f>IFERROR(ROUND(VLOOKUP($H$2,'5年度'!$B$6:$GI$50,122,0)/1000,0),"-")</f>
        <v>-</v>
      </c>
      <c r="J113" s="230" t="str">
        <f>IFERROR(ROUND(VLOOKUP($H$2,'6年度'!$B$6:$GI$50,122,0)/1000,0),"-")</f>
        <v>-</v>
      </c>
      <c r="K113" s="230" t="str">
        <f>IFERROR(ROUND(VLOOKUP($H$2,'7年度'!$B$6:$GI$50,122,0)/1000,0),"-")</f>
        <v>-</v>
      </c>
      <c r="L113" s="230" t="str">
        <f>IFERROR(ROUND(VLOOKUP($H$2,'8年度'!$B$6:$GI$50,122,0)/1000,0),"-")</f>
        <v>-</v>
      </c>
      <c r="M113" s="230" t="str">
        <f>IFERROR(ROUND(VLOOKUP($H$2,'9年度'!$B$6:$GI$50,122,0)/1000,0),"-")</f>
        <v>-</v>
      </c>
      <c r="N113" s="230" t="str">
        <f>IFERROR(ROUND(VLOOKUP($H$2,'10年度'!$B$6:$GI$50,122,0)/1000,0),"-")</f>
        <v>-</v>
      </c>
      <c r="O113" s="230" t="str">
        <f>IFERROR(ROUND(VLOOKUP($H$2,'11年度'!$B$6:$GI$50,122,0)/1000,0),"-")</f>
        <v>-</v>
      </c>
      <c r="P113" s="230" t="str">
        <f>IFERROR(ROUND(VLOOKUP($H$2,'12年度'!$B$6:$GI$50,122,0)/1000,0),"-")</f>
        <v>-</v>
      </c>
      <c r="Q113" s="230" t="str">
        <f>IFERROR(ROUND(VLOOKUP($H$2,'13年度'!$B$6:$GI$50,122,0)/1000,0),"-")</f>
        <v>-</v>
      </c>
      <c r="R113" s="230" t="str">
        <f>IFERROR(ROUND(VLOOKUP($H$2,'14年度'!$B$6:$GI$50,122,0)/1000,0),"-")</f>
        <v>-</v>
      </c>
      <c r="S113" s="230" t="str">
        <f>IFERROR(ROUND(VLOOKUP($H$2,'15年度'!$B$6:$GI$50,122,0)/1000,0),"-")</f>
        <v>-</v>
      </c>
      <c r="T113" s="230" t="str">
        <f>IFERROR(ROUND(VLOOKUP($H$2,'16年度'!$B$6:$GI$50,122,0)/1000,0),"-")</f>
        <v>-</v>
      </c>
      <c r="U113" s="230" t="str">
        <f>IFERROR(ROUND(VLOOKUP($H$2,'17年度'!$B$6:$GI$50,122,0)/1000,0),"-")</f>
        <v>-</v>
      </c>
      <c r="V113" s="230" t="str">
        <f>IFERROR(ROUND(VLOOKUP($H$2,'18年度'!$B$6:$GI$50,122,0)/1000,0),"-")</f>
        <v>-</v>
      </c>
      <c r="W113" s="230" t="str">
        <f>IFERROR(ROUND(VLOOKUP($H$2,'19年度'!$B$6:$GI$50,122,0)/1000,0),"-")</f>
        <v>-</v>
      </c>
      <c r="X113" s="256" t="str">
        <f>IFERROR(ROUND(VLOOKUP($H$2,'20年度'!$B$6:$GI$50,122,0)/1000,0),"-")</f>
        <v>-</v>
      </c>
      <c r="Y113" s="256" t="str">
        <f>IFERROR(ROUND(VLOOKUP($H$2,'21年度'!$B$6:$GI$50,122,0)/1000,0),"-")</f>
        <v>-</v>
      </c>
      <c r="Z113" s="256" t="str">
        <f>IFERROR(ROUND(VLOOKUP($H$2,'22年度'!$B$6:$GI$50,122,0)/1000,0),"-")</f>
        <v>-</v>
      </c>
      <c r="AA113" s="256">
        <f>IFERROR(ROUND(VLOOKUP($H$2,'23年度'!$B$6:$GI$52,122,0)/1000,0),"-")</f>
        <v>300</v>
      </c>
      <c r="AB113" s="230">
        <f>IFERROR(ROUND(VLOOKUP($H$2,'24年度'!$B$6:$GI$52,122,0)/1000,0),"-")</f>
        <v>0</v>
      </c>
      <c r="AC113" s="257">
        <f>IFERROR(ROUND(VLOOKUP($H$2,'25年度'!$B$6:$GI$52,122,0)/1000,0),"-")</f>
        <v>0</v>
      </c>
      <c r="AD113" s="256">
        <f>IFERROR(ROUND(VLOOKUP($H$2,'26年度'!$B$6:$GI$52,122,0)/1000,0),"-")</f>
        <v>0</v>
      </c>
      <c r="AE113" s="230">
        <f>IFERROR(ROUND(VLOOKUP($H$2,'26年度'!$B$6:$GI$52,122,0)/1000,0),"-")</f>
        <v>0</v>
      </c>
      <c r="AF113" s="230">
        <f>IFERROR(ROUND(VLOOKUP($H$2,'28年度'!$B$6:$GI$52,122,0)/1000,0),"-")</f>
        <v>0</v>
      </c>
      <c r="AG113" s="257">
        <f>IFERROR(ROUND(VLOOKUP($H$2,'29年度'!$B$6:$GI$52,122,0)/1000,0),"-")</f>
        <v>0</v>
      </c>
      <c r="AH113" s="256">
        <f>IFERROR(ROUND(VLOOKUP($H$2,'30年度'!$B$6:$GI$52,122,0)/1000,0),"-")</f>
        <v>0</v>
      </c>
      <c r="AI113" s="230">
        <f>IFERROR(ROUND(VLOOKUP($H$2,'R1年度'!$B$6:$GJ$52,123,0)/1000,0),"-")</f>
        <v>0</v>
      </c>
      <c r="AJ113" s="230">
        <f>IFERROR(ROUND(VLOOKUP($H$2,'R2年度'!$B$6:$GJ$52,124,0)/1000,0),"-")</f>
        <v>0</v>
      </c>
      <c r="AK113" s="257">
        <f>IFERROR(ROUND(VLOOKUP($H$2,'R3年度'!$B$6:$GJ$52,124,0)/1000,0),"-")</f>
        <v>0</v>
      </c>
      <c r="AL113" s="256">
        <f>IFERROR(ROUND(VLOOKUP($H$2,'R4年度'!$B$6:$GJ$52,124,0)/1000,0),"-")</f>
        <v>0</v>
      </c>
      <c r="AM113" s="258">
        <f>IFERROR(ROUND(VLOOKUP($H$2,'R5年度'!$B$6:$GJ$52,124,0)/1000,0),"-")</f>
        <v>0</v>
      </c>
      <c r="AN113" s="258">
        <f>IFERROR(ROUND(VLOOKUP($H$2,'R6年度'!$B$6:$GJ$52,124,0)/1000,0),"-")</f>
        <v>0</v>
      </c>
    </row>
    <row r="114" spans="2:40" ht="15.9" customHeight="1" x14ac:dyDescent="0.15">
      <c r="B114" s="484" t="s">
        <v>236</v>
      </c>
      <c r="C114" s="485"/>
      <c r="D114" s="486"/>
      <c r="E114" s="189" t="str">
        <f>IFERROR(ROUND(VLOOKUP($H$2,'1年度'!$B$6:$GI$50,123,0)/1000,0),"-")</f>
        <v>-</v>
      </c>
      <c r="F114" s="189" t="str">
        <f>IFERROR(ROUND(VLOOKUP($H$2,'2年度'!$B$6:$GI$50,123,0)/1000,0),"-")</f>
        <v>-</v>
      </c>
      <c r="G114" s="189" t="str">
        <f>IFERROR(ROUND(VLOOKUP($H$2,'3年度'!$B$6:$GI$50,123,0)/1000,0),"-")</f>
        <v>-</v>
      </c>
      <c r="H114" s="189" t="str">
        <f>IFERROR(ROUND(VLOOKUP($H$2,'4年度'!$B$6:$GI$50,123,0)/1000,0),"-")</f>
        <v>-</v>
      </c>
      <c r="I114" s="189" t="str">
        <f>IFERROR(ROUND(VLOOKUP($H$2,'5年度'!$B$6:$GI$50,123,0)/1000,0),"-")</f>
        <v>-</v>
      </c>
      <c r="J114" s="189" t="str">
        <f>IFERROR(ROUND(VLOOKUP($H$2,'6年度'!$B$6:$GI$50,123,0)/1000,0),"-")</f>
        <v>-</v>
      </c>
      <c r="K114" s="189" t="str">
        <f>IFERROR(ROUND(VLOOKUP($H$2,'7年度'!$B$6:$GI$50,123,0)/1000,0),"-")</f>
        <v>-</v>
      </c>
      <c r="L114" s="189" t="str">
        <f>IFERROR(ROUND(VLOOKUP($H$2,'8年度'!$B$6:$GI$50,123,0)/1000,0),"-")</f>
        <v>-</v>
      </c>
      <c r="M114" s="189" t="str">
        <f>IFERROR(ROUND(VLOOKUP($H$2,'9年度'!$B$6:$GI$50,123,0)/1000,0),"-")</f>
        <v>-</v>
      </c>
      <c r="N114" s="189" t="str">
        <f>IFERROR(ROUND(VLOOKUP($H$2,'10年度'!$B$6:$GI$50,123,0)/1000,0),"-")</f>
        <v>-</v>
      </c>
      <c r="O114" s="189" t="str">
        <f>IFERROR(ROUND(VLOOKUP($H$2,'11年度'!$B$6:$GI$50,123,0)/1000,0),"-")</f>
        <v>-</v>
      </c>
      <c r="P114" s="189" t="str">
        <f>IFERROR(ROUND(VLOOKUP($H$2,'12年度'!$B$6:$GI$50,123,0)/1000,0),"-")</f>
        <v>-</v>
      </c>
      <c r="Q114" s="189" t="str">
        <f>IFERROR(ROUND(VLOOKUP($H$2,'13年度'!$B$6:$GI$50,123,0)/1000,0),"-")</f>
        <v>-</v>
      </c>
      <c r="R114" s="189" t="str">
        <f>IFERROR(ROUND(VLOOKUP($H$2,'14年度'!$B$6:$GI$50,123,0)/1000,0),"-")</f>
        <v>-</v>
      </c>
      <c r="S114" s="189" t="str">
        <f>IFERROR(ROUND(VLOOKUP($H$2,'15年度'!$B$6:$GI$50,123,0)/1000,0),"-")</f>
        <v>-</v>
      </c>
      <c r="T114" s="189" t="str">
        <f>IFERROR(ROUND(VLOOKUP($H$2,'16年度'!$B$6:$GI$50,123,0)/1000,0),"-")</f>
        <v>-</v>
      </c>
      <c r="U114" s="189" t="str">
        <f>IFERROR(ROUND(VLOOKUP($H$2,'17年度'!$B$6:$GI$50,123,0)/1000,0),"-")</f>
        <v>-</v>
      </c>
      <c r="V114" s="189" t="str">
        <f>IFERROR(ROUND(VLOOKUP($H$2,'18年度'!$B$6:$GI$50,123,0)/1000,0),"-")</f>
        <v>-</v>
      </c>
      <c r="W114" s="189" t="str">
        <f>IFERROR(ROUND(VLOOKUP($H$2,'19年度'!$B$6:$GI$50,123,0)/1000,0),"-")</f>
        <v>-</v>
      </c>
      <c r="X114" s="237" t="str">
        <f>IFERROR(ROUND(VLOOKUP($H$2,'20年度'!$B$6:$GI$50,123,0)/1000,0),"-")</f>
        <v>-</v>
      </c>
      <c r="Y114" s="237" t="str">
        <f>IFERROR(ROUND(VLOOKUP($H$2,'21年度'!$B$6:$GI$50,123,0)/1000,0),"-")</f>
        <v>-</v>
      </c>
      <c r="Z114" s="237" t="str">
        <f>IFERROR(ROUND(VLOOKUP($H$2,'22年度'!$B$6:$GI$50,123,0)/1000,0),"-")</f>
        <v>-</v>
      </c>
      <c r="AA114" s="237">
        <f>IFERROR(ROUND(VLOOKUP($H$2,'23年度'!$B$6:$GI$52,123,0)/1000,0),"-")</f>
        <v>332150</v>
      </c>
      <c r="AB114" s="189">
        <f>IFERROR(ROUND(VLOOKUP($H$2,'24年度'!$B$6:$GI$52,123,0)/1000,0),"-")</f>
        <v>351568</v>
      </c>
      <c r="AC114" s="238">
        <f>IFERROR(ROUND(VLOOKUP($H$2,'25年度'!$B$6:$GI$52,123,0)/1000,0),"-")</f>
        <v>354100</v>
      </c>
      <c r="AD114" s="237">
        <f>IFERROR(ROUND(VLOOKUP($H$2,'26年度'!$B$6:$GI$52,123,0)/1000,0),"-")</f>
        <v>370157</v>
      </c>
      <c r="AE114" s="189">
        <f>IFERROR(ROUND(VLOOKUP($H$2,'27年度'!$B$6:$GI$52,123,0)/1000,0),"-")</f>
        <v>397854</v>
      </c>
      <c r="AF114" s="189">
        <f>IFERROR(ROUND(VLOOKUP($H$2,'28年度'!$B$6:$GI$52,123,0)/1000,0),"-")</f>
        <v>361302</v>
      </c>
      <c r="AG114" s="238">
        <f>IFERROR(ROUND(VLOOKUP($H$2,'29年度'!$B$6:$GI$52,123,0)/1000,0),"-")</f>
        <v>361576</v>
      </c>
      <c r="AH114" s="237">
        <f>IFERROR(ROUND(VLOOKUP($H$2,'30年度'!$B$6:$GI$52,123,0)/1000,0),"-")</f>
        <v>369802</v>
      </c>
      <c r="AI114" s="189">
        <f>IFERROR(ROUND(VLOOKUP($H$2,'R1年度'!$B$6:$GJ$52,124,0)/1000,0),"-")</f>
        <v>384571</v>
      </c>
      <c r="AJ114" s="189">
        <f>IFERROR(ROUND(VLOOKUP($H$2,'R2年度'!$B$6:$GJ$52,125,0)/1000,0),"-")</f>
        <v>367799</v>
      </c>
      <c r="AK114" s="238">
        <f>IFERROR(ROUND(VLOOKUP($H$2,'R3年度'!$B$6:$GJ$52,125,0)/1000,0),"-")</f>
        <v>373911</v>
      </c>
      <c r="AL114" s="237">
        <f>IFERROR(ROUND(VLOOKUP($H$2,'R4年度'!$B$6:$GJ$52,125,0)/1000,0),"-")</f>
        <v>396654</v>
      </c>
      <c r="AM114" s="252">
        <f>IFERROR(ROUND(VLOOKUP($H$2,'R5年度'!$B$6:$GJ$52,125,0)/1000,0),"-")</f>
        <v>389905</v>
      </c>
      <c r="AN114" s="252">
        <f>IFERROR(ROUND(VLOOKUP($H$2,'R6年度'!$B$6:$GJ$52,125,0)/1000,0),"-")</f>
        <v>399818</v>
      </c>
    </row>
    <row r="115" spans="2:40" ht="15.9" customHeight="1" x14ac:dyDescent="0.15">
      <c r="B115" s="54"/>
      <c r="C115" s="478" t="s">
        <v>221</v>
      </c>
      <c r="D115" s="479"/>
      <c r="E115" s="202" t="str">
        <f>IFERROR(ROUND(VLOOKUP($H$2,'1年度'!$B$6:$GI$50,124,0)/1000,0),"-")</f>
        <v>-</v>
      </c>
      <c r="F115" s="202" t="str">
        <f>IFERROR(ROUND(VLOOKUP($H$2,'2年度'!$B$6:$GI$50,124,0)/1000,0),"-")</f>
        <v>-</v>
      </c>
      <c r="G115" s="202" t="str">
        <f>IFERROR(ROUND(VLOOKUP($H$2,'3年度'!$B$6:$GI$50,124,0)/1000,0),"-")</f>
        <v>-</v>
      </c>
      <c r="H115" s="202" t="str">
        <f>IFERROR(ROUND(VLOOKUP($H$2,'4年度'!$B$6:$GI$50,124,0)/1000,0),"-")</f>
        <v>-</v>
      </c>
      <c r="I115" s="202" t="str">
        <f>IFERROR(ROUND(VLOOKUP($H$2,'5年度'!$B$6:$GI$50,124,0)/1000,0),"-")</f>
        <v>-</v>
      </c>
      <c r="J115" s="202" t="str">
        <f>IFERROR(ROUND(VLOOKUP($H$2,'6年度'!$B$6:$GI$50,124,0)/1000,0),"-")</f>
        <v>-</v>
      </c>
      <c r="K115" s="202" t="str">
        <f>IFERROR(ROUND(VLOOKUP($H$2,'7年度'!$B$6:$GI$50,124,0)/1000,0),"-")</f>
        <v>-</v>
      </c>
      <c r="L115" s="202" t="str">
        <f>IFERROR(ROUND(VLOOKUP($H$2,'8年度'!$B$6:$GI$50,124,0)/1000,0),"-")</f>
        <v>-</v>
      </c>
      <c r="M115" s="202" t="str">
        <f>IFERROR(ROUND(VLOOKUP($H$2,'9年度'!$B$6:$GI$50,124,0)/1000,0),"-")</f>
        <v>-</v>
      </c>
      <c r="N115" s="202" t="str">
        <f>IFERROR(ROUND(VLOOKUP($H$2,'10年度'!$B$6:$GI$50,124,0)/1000,0),"-")</f>
        <v>-</v>
      </c>
      <c r="O115" s="202" t="str">
        <f>IFERROR(ROUND(VLOOKUP($H$2,'11年度'!$B$6:$GI$50,124,0)/1000,0),"-")</f>
        <v>-</v>
      </c>
      <c r="P115" s="202" t="str">
        <f>IFERROR(ROUND(VLOOKUP($H$2,'12年度'!$B$6:$GI$50,124,0)/1000,0),"-")</f>
        <v>-</v>
      </c>
      <c r="Q115" s="202" t="str">
        <f>IFERROR(ROUND(VLOOKUP($H$2,'13年度'!$B$6:$GI$50,124,0)/1000,0),"-")</f>
        <v>-</v>
      </c>
      <c r="R115" s="202" t="str">
        <f>IFERROR(ROUND(VLOOKUP($H$2,'14年度'!$B$6:$GI$50,124,0)/1000,0),"-")</f>
        <v>-</v>
      </c>
      <c r="S115" s="202" t="str">
        <f>IFERROR(ROUND(VLOOKUP($H$2,'15年度'!$B$6:$GI$50,124,0)/1000,0),"-")</f>
        <v>-</v>
      </c>
      <c r="T115" s="202" t="str">
        <f>IFERROR(ROUND(VLOOKUP($H$2,'16年度'!$B$6:$GI$50,124,0)/1000,0),"-")</f>
        <v>-</v>
      </c>
      <c r="U115" s="202" t="str">
        <f>IFERROR(ROUND(VLOOKUP($H$2,'17年度'!$B$6:$GI$50,124,0)/1000,0),"-")</f>
        <v>-</v>
      </c>
      <c r="V115" s="202" t="str">
        <f>IFERROR(ROUND(VLOOKUP($H$2,'18年度'!$B$6:$GI$50,124,0)/1000,0),"-")</f>
        <v>-</v>
      </c>
      <c r="W115" s="202" t="str">
        <f>IFERROR(ROUND(VLOOKUP($H$2,'19年度'!$B$6:$GI$50,124,0)/1000,0),"-")</f>
        <v>-</v>
      </c>
      <c r="X115" s="203" t="str">
        <f>IFERROR(ROUND(VLOOKUP($H$2,'20年度'!$B$6:$GI$50,124,0)/1000,0),"-")</f>
        <v>-</v>
      </c>
      <c r="Y115" s="203" t="str">
        <f>IFERROR(ROUND(VLOOKUP($H$2,'21年度'!$B$6:$GI$50,124,0)/1000,0),"-")</f>
        <v>-</v>
      </c>
      <c r="Z115" s="203" t="str">
        <f>IFERROR(ROUND(VLOOKUP($H$2,'22年度'!$B$6:$GI$50,124,0)/1000,0),"-")</f>
        <v>-</v>
      </c>
      <c r="AA115" s="203">
        <f>IFERROR(ROUND(VLOOKUP($H$2,'23年度'!$B$6:$GI$52,124,0)/1000,0),"-")</f>
        <v>44230</v>
      </c>
      <c r="AB115" s="202">
        <f>IFERROR(ROUND(VLOOKUP($H$2,'24年度'!$B$6:$GI$52,124,0)/1000,0),"-")</f>
        <v>44158</v>
      </c>
      <c r="AC115" s="204">
        <f>IFERROR(ROUND(VLOOKUP($H$2,'25年度'!$B$6:$GI$52,124,0)/1000,0),"-")</f>
        <v>42462</v>
      </c>
      <c r="AD115" s="203">
        <f>IFERROR(ROUND(VLOOKUP($H$2,'26年度'!$B$6:$GI$52,124,0)/1000,0),"-")</f>
        <v>42363</v>
      </c>
      <c r="AE115" s="202">
        <f>IFERROR(ROUND(VLOOKUP($H$2,'27年度'!$B$6:$GI$52,124,0)/1000,0),"-")</f>
        <v>29137</v>
      </c>
      <c r="AF115" s="202">
        <f>IFERROR(ROUND(VLOOKUP($H$2,'28年度'!$B$6:$GI$52,124,0)/1000,0),"-")</f>
        <v>22406</v>
      </c>
      <c r="AG115" s="204">
        <f>IFERROR(ROUND(VLOOKUP($H$2,'29年度'!$B$6:$GI$52,124,0)/1000,0),"-")</f>
        <v>14591</v>
      </c>
      <c r="AH115" s="203">
        <f>IFERROR(ROUND(VLOOKUP($H$2,'30年度'!$B$6:$GI$52,124,0)/1000,0),"-")</f>
        <v>12152</v>
      </c>
      <c r="AI115" s="202">
        <f>IFERROR(ROUND(VLOOKUP($H$2,'R1年度'!$B$6:$GJ$52,125,0)/1000,0),"-")</f>
        <v>6814</v>
      </c>
      <c r="AJ115" s="202">
        <f>IFERROR(ROUND(VLOOKUP($H$2,'R2年度'!$B$6:$GJ$52,126,0)/1000,0),"-")</f>
        <v>1320</v>
      </c>
      <c r="AK115" s="204">
        <f>IFERROR(ROUND(VLOOKUP($H$2,'R3年度'!$B$6:$GJ$52,126,0)/1000,0),"-")</f>
        <v>1222</v>
      </c>
      <c r="AL115" s="203">
        <f>IFERROR(ROUND(VLOOKUP($H$2,'R4年度'!$B$6:$GJ$52,126,0)/1000,0),"-")</f>
        <v>1263</v>
      </c>
      <c r="AM115" s="235">
        <f>IFERROR(ROUND(VLOOKUP($H$2,'R5年度'!$B$6:$GJ$52,126,0)/1000,0),"-")</f>
        <v>1140</v>
      </c>
      <c r="AN115" s="235">
        <f>IFERROR(ROUND(VLOOKUP($H$2,'R6年度'!$B$6:$GJ$52,126,0)/1000,0),"-")</f>
        <v>58</v>
      </c>
    </row>
    <row r="116" spans="2:40" ht="15.9" customHeight="1" x14ac:dyDescent="0.15">
      <c r="B116" s="54"/>
      <c r="C116" s="478" t="s">
        <v>237</v>
      </c>
      <c r="D116" s="479"/>
      <c r="E116" s="202" t="str">
        <f>IFERROR(ROUND(VLOOKUP($H$2,'1年度'!$B$6:$GI$50,125,0)/1000,0),"-")</f>
        <v>-</v>
      </c>
      <c r="F116" s="202" t="str">
        <f>IFERROR(ROUND(VLOOKUP($H$2,'2年度'!$B$6:$GI$50,125,0)/1000,0),"-")</f>
        <v>-</v>
      </c>
      <c r="G116" s="202" t="str">
        <f>IFERROR(ROUND(VLOOKUP($H$2,'3年度'!$B$6:$GI$50,125,0)/1000,0),"-")</f>
        <v>-</v>
      </c>
      <c r="H116" s="202" t="str">
        <f>IFERROR(ROUND(VLOOKUP($H$2,'4年度'!$B$6:$GI$50,125,0)/1000,0),"-")</f>
        <v>-</v>
      </c>
      <c r="I116" s="202" t="str">
        <f>IFERROR(ROUND(VLOOKUP($H$2,'5年度'!$B$6:$GI$50,125,0)/1000,0),"-")</f>
        <v>-</v>
      </c>
      <c r="J116" s="202" t="str">
        <f>IFERROR(ROUND(VLOOKUP($H$2,'6年度'!$B$6:$GI$50,125,0)/1000,0),"-")</f>
        <v>-</v>
      </c>
      <c r="K116" s="202" t="str">
        <f>IFERROR(ROUND(VLOOKUP($H$2,'7年度'!$B$6:$GI$50,125,0)/1000,0),"-")</f>
        <v>-</v>
      </c>
      <c r="L116" s="202" t="str">
        <f>IFERROR(ROUND(VLOOKUP($H$2,'8年度'!$B$6:$GI$50,125,0)/1000,0),"-")</f>
        <v>-</v>
      </c>
      <c r="M116" s="202" t="str">
        <f>IFERROR(ROUND(VLOOKUP($H$2,'9年度'!$B$6:$GI$50,125,0)/1000,0),"-")</f>
        <v>-</v>
      </c>
      <c r="N116" s="202" t="str">
        <f>IFERROR(ROUND(VLOOKUP($H$2,'10年度'!$B$6:$GI$50,125,0)/1000,0),"-")</f>
        <v>-</v>
      </c>
      <c r="O116" s="202" t="str">
        <f>IFERROR(ROUND(VLOOKUP($H$2,'11年度'!$B$6:$GI$50,125,0)/1000,0),"-")</f>
        <v>-</v>
      </c>
      <c r="P116" s="202" t="str">
        <f>IFERROR(ROUND(VLOOKUP($H$2,'12年度'!$B$6:$GI$50,125,0)/1000,0),"-")</f>
        <v>-</v>
      </c>
      <c r="Q116" s="202" t="str">
        <f>IFERROR(ROUND(VLOOKUP($H$2,'13年度'!$B$6:$GI$50,125,0)/1000,0),"-")</f>
        <v>-</v>
      </c>
      <c r="R116" s="202" t="str">
        <f>IFERROR(ROUND(VLOOKUP($H$2,'14年度'!$B$6:$GI$50,125,0)/1000,0),"-")</f>
        <v>-</v>
      </c>
      <c r="S116" s="202" t="str">
        <f>IFERROR(ROUND(VLOOKUP($H$2,'15年度'!$B$6:$GI$50,125,0)/1000,0),"-")</f>
        <v>-</v>
      </c>
      <c r="T116" s="202" t="str">
        <f>IFERROR(ROUND(VLOOKUP($H$2,'16年度'!$B$6:$GI$50,125,0)/1000,0),"-")</f>
        <v>-</v>
      </c>
      <c r="U116" s="202" t="str">
        <f>IFERROR(ROUND(VLOOKUP($H$2,'17年度'!$B$6:$GI$50,125,0)/1000,0),"-")</f>
        <v>-</v>
      </c>
      <c r="V116" s="202" t="str">
        <f>IFERROR(ROUND(VLOOKUP($H$2,'18年度'!$B$6:$GI$50,125,0)/1000,0),"-")</f>
        <v>-</v>
      </c>
      <c r="W116" s="202" t="str">
        <f>IFERROR(ROUND(VLOOKUP($H$2,'19年度'!$B$6:$GI$50,125,0)/1000,0),"-")</f>
        <v>-</v>
      </c>
      <c r="X116" s="203" t="str">
        <f>IFERROR(ROUND(VLOOKUP($H$2,'20年度'!$B$6:$GI$50,125,0)/1000,0),"-")</f>
        <v>-</v>
      </c>
      <c r="Y116" s="203" t="str">
        <f>IFERROR(ROUND(VLOOKUP($H$2,'21年度'!$B$6:$GI$50,125,0)/1000,0),"-")</f>
        <v>-</v>
      </c>
      <c r="Z116" s="203" t="str">
        <f>IFERROR(ROUND(VLOOKUP($H$2,'22年度'!$B$6:$GI$50,125,0)/1000,0),"-")</f>
        <v>-</v>
      </c>
      <c r="AA116" s="203">
        <f>IFERROR(ROUND(VLOOKUP($H$2,'23年度'!$B$6:$GI$52,125,0)/1000,0),"-")</f>
        <v>9540</v>
      </c>
      <c r="AB116" s="202">
        <f>IFERROR(ROUND(VLOOKUP($H$2,'24年度'!$B$6:$GI$52,125,0)/1000,0),"-")</f>
        <v>17234</v>
      </c>
      <c r="AC116" s="204">
        <f>IFERROR(ROUND(VLOOKUP($H$2,'25年度'!$B$6:$GI$52,125,0)/1000,0),"-")</f>
        <v>16728</v>
      </c>
      <c r="AD116" s="203">
        <f>IFERROR(ROUND(VLOOKUP($H$2,'26年度'!$B$6:$GI$52,125,0)/1000,0),"-")</f>
        <v>18992</v>
      </c>
      <c r="AE116" s="202">
        <f>IFERROR(ROUND(VLOOKUP($H$2,'27年度'!$B$6:$GI$52,125,0)/1000,0),"-")</f>
        <v>17529</v>
      </c>
      <c r="AF116" s="202">
        <f>IFERROR(ROUND(VLOOKUP($H$2,'28年度'!$B$6:$GI$52,125,0)/1000,0),"-")</f>
        <v>11622</v>
      </c>
      <c r="AG116" s="204">
        <f>IFERROR(ROUND(VLOOKUP($H$2,'29年度'!$B$6:$GI$52,125,0)/1000,0),"-")</f>
        <v>11556</v>
      </c>
      <c r="AH116" s="203">
        <f>IFERROR(ROUND(VLOOKUP($H$2,'30年度'!$B$6:$GI$52,125,0)/1000,0),"-")</f>
        <v>28383</v>
      </c>
      <c r="AI116" s="202">
        <f>IFERROR(ROUND(VLOOKUP($H$2,'R1年度'!$B$6:$GJ$52,126,0)/1000,0),"-")</f>
        <v>25623</v>
      </c>
      <c r="AJ116" s="202">
        <f>IFERROR(ROUND(VLOOKUP($H$2,'R2年度'!$B$6:$GJ$52,127,0)/1000,0),"-")</f>
        <v>12549</v>
      </c>
      <c r="AK116" s="204">
        <f>IFERROR(ROUND(VLOOKUP($H$2,'R3年度'!$B$6:$GJ$52,127,0)/1000,0),"-")</f>
        <v>10915</v>
      </c>
      <c r="AL116" s="203">
        <f>IFERROR(ROUND(VLOOKUP($H$2,'R4年度'!$B$6:$GJ$52,127,0)/1000,0),"-")</f>
        <v>28047</v>
      </c>
      <c r="AM116" s="235">
        <f>IFERROR(ROUND(VLOOKUP($H$2,'R5年度'!$B$6:$GJ$52,127,0)/1000,0),"-")</f>
        <v>2552</v>
      </c>
      <c r="AN116" s="235">
        <f>IFERROR(ROUND(VLOOKUP($H$2,'R6年度'!$B$6:$GJ$52,127,0)/1000,0),"-")</f>
        <v>0</v>
      </c>
    </row>
    <row r="117" spans="2:40" ht="15.9" customHeight="1" x14ac:dyDescent="0.15">
      <c r="B117" s="54"/>
      <c r="C117" s="478" t="s">
        <v>238</v>
      </c>
      <c r="D117" s="479"/>
      <c r="E117" s="259" t="str">
        <f>IFERROR(VLOOKUP($H$2,'1年度'!$B$6:$GI$50,128,0),"-")</f>
        <v>-</v>
      </c>
      <c r="F117" s="259" t="str">
        <f>IFERROR(VLOOKUP($H$2,'2年度'!$B$6:$GI$50,128,0),"-")</f>
        <v>-</v>
      </c>
      <c r="G117" s="259" t="str">
        <f>IFERROR(VLOOKUP($H$2,'3年度'!$B$6:$GI$50,128,0),"-")</f>
        <v>-</v>
      </c>
      <c r="H117" s="259" t="str">
        <f>IFERROR(VLOOKUP($H$2,'4年度'!$B$6:$GI$50,128,0),"-")</f>
        <v>-</v>
      </c>
      <c r="I117" s="202" t="str">
        <f>IFERROR(ROUND(VLOOKUP($H$2,'5年度'!$B$6:$GI$50,128,0)/1000,0),"-")</f>
        <v>-</v>
      </c>
      <c r="J117" s="202" t="str">
        <f>IFERROR(ROUND(VLOOKUP($H$2,'6年度'!$B$6:$GI$50,128,0)/1000,0),"-")</f>
        <v>-</v>
      </c>
      <c r="K117" s="202" t="str">
        <f>IFERROR(ROUND(VLOOKUP($H$2,'7年度'!$B$6:$GI$50,128,0)/1000,0),"-")</f>
        <v>-</v>
      </c>
      <c r="L117" s="202" t="str">
        <f>IFERROR(ROUND(VLOOKUP($H$2,'8年度'!$B$6:$GI$50,128,0)/1000,0),"-")</f>
        <v>-</v>
      </c>
      <c r="M117" s="202" t="str">
        <f>IFERROR(ROUND(VLOOKUP($H$2,'9年度'!$B$6:$GI$50,128,0)/1000,0),"-")</f>
        <v>-</v>
      </c>
      <c r="N117" s="202" t="str">
        <f>IFERROR(ROUND(VLOOKUP($H$2,'10年度'!$B$6:$GI$50,128,0)/1000,0),"-")</f>
        <v>-</v>
      </c>
      <c r="O117" s="202" t="str">
        <f>IFERROR(ROUND(VLOOKUP($H$2,'11年度'!$B$6:$GI$50,128,0)/1000,0),"-")</f>
        <v>-</v>
      </c>
      <c r="P117" s="202" t="str">
        <f>IFERROR(ROUND(VLOOKUP($H$2,'12年度'!$B$6:$GI$50,128,0)/1000,0),"-")</f>
        <v>-</v>
      </c>
      <c r="Q117" s="202" t="str">
        <f>IFERROR(ROUND(VLOOKUP($H$2,'13年度'!$B$6:$GI$50,128,0)/1000,0),"-")</f>
        <v>-</v>
      </c>
      <c r="R117" s="202" t="str">
        <f>IFERROR(ROUND(VLOOKUP($H$2,'14年度'!$B$6:$GI$50,128,0)/1000,0),"-")</f>
        <v>-</v>
      </c>
      <c r="S117" s="202" t="str">
        <f>IFERROR(ROUND(VLOOKUP($H$2,'15年度'!$B$6:$GI$50,128,0)/1000,0),"-")</f>
        <v>-</v>
      </c>
      <c r="T117" s="202" t="str">
        <f>IFERROR(ROUND(VLOOKUP($H$2,'16年度'!$B$6:$GI$50,128,0)/1000,0),"-")</f>
        <v>-</v>
      </c>
      <c r="U117" s="202" t="str">
        <f>IFERROR(ROUND(VLOOKUP($H$2,'17年度'!$B$6:$GI$50,128,0)/1000,0),"-")</f>
        <v>-</v>
      </c>
      <c r="V117" s="202" t="str">
        <f>IFERROR(ROUND(VLOOKUP($H$2,'18年度'!$B$6:$GI$50,128,0)/1000,0),"-")</f>
        <v>-</v>
      </c>
      <c r="W117" s="202" t="str">
        <f>IFERROR(ROUND(VLOOKUP($H$2,'19年度'!$B$6:$GI$50,128,0)/1000,0),"-")</f>
        <v>-</v>
      </c>
      <c r="X117" s="203" t="str">
        <f>IFERROR(ROUND(VLOOKUP($H$2,'20年度'!$B$6:$GI$50,128,0)/1000,0),"-")</f>
        <v>-</v>
      </c>
      <c r="Y117" s="203" t="str">
        <f>IFERROR(ROUND(VLOOKUP($H$2,'21年度'!$B$6:$GI$50,128,0)/1000,0),"-")</f>
        <v>-</v>
      </c>
      <c r="Z117" s="203" t="str">
        <f>IFERROR(ROUND(VLOOKUP($H$2,'22年度'!$B$6:$GI$50,128,0)/1000,0),"-")</f>
        <v>-</v>
      </c>
      <c r="AA117" s="203">
        <f>IFERROR(ROUND(VLOOKUP($H$2,'23年度'!$B$6:$GI$52,128,0)/1000,0),"-")</f>
        <v>566</v>
      </c>
      <c r="AB117" s="202">
        <f>IFERROR(ROUND(VLOOKUP($H$2,'24年度'!$B$6:$GI$52,128,0)/1000,0),"-")</f>
        <v>1530</v>
      </c>
      <c r="AC117" s="204">
        <f>IFERROR(ROUND(VLOOKUP($H$2,'25年度'!$B$6:$GI$52,128,0)/1000,0),"-")</f>
        <v>492</v>
      </c>
      <c r="AD117" s="203">
        <f>IFERROR(ROUND(VLOOKUP($H$2,'26年度'!$B$6:$GI$52,128,0)/1000,0),"-")</f>
        <v>492</v>
      </c>
      <c r="AE117" s="202">
        <f>IFERROR(ROUND(VLOOKUP($H$2,'27年度'!$B$6:$GI$52,128,0)/1000,0),"-")</f>
        <v>234</v>
      </c>
      <c r="AF117" s="202">
        <f>IFERROR(ROUND(VLOOKUP($H$2,'28年度'!$B$6:$GI$52,128,0)/1000,0),"-")</f>
        <v>227</v>
      </c>
      <c r="AG117" s="204">
        <f>IFERROR(ROUND(VLOOKUP($H$2,'29年度'!$B$6:$GI$52,128,0)/1000,0),"-")</f>
        <v>242</v>
      </c>
      <c r="AH117" s="203">
        <f>IFERROR(ROUND(VLOOKUP($H$2,'30年度'!$B$6:$GI$52,128,0)/1000,0),"-")</f>
        <v>249</v>
      </c>
      <c r="AI117" s="202">
        <f>IFERROR(ROUND(VLOOKUP($H$2,'R1年度'!$B$6:$GJ$52,129,0)/1000,0),"-")</f>
        <v>40</v>
      </c>
      <c r="AJ117" s="202">
        <f>IFERROR(ROUND(VLOOKUP($H$2,'R2年度'!$B$6:$GJ$52,130,0)/1000,0),"-")</f>
        <v>40</v>
      </c>
      <c r="AK117" s="204">
        <f>IFERROR(ROUND(VLOOKUP($H$2,'R3年度'!$B$6:$GJ$52,130,0)/1000,0),"-")</f>
        <v>44</v>
      </c>
      <c r="AL117" s="203">
        <f>IFERROR(ROUND(VLOOKUP($H$2,'R4年度'!$B$6:$GJ$52,130,0)/1000,0),"-")</f>
        <v>41</v>
      </c>
      <c r="AM117" s="235">
        <f>IFERROR(ROUND(VLOOKUP($H$2,'R5年度'!$B$6:$GJ$52,130,0)/1000,0),"-")</f>
        <v>32</v>
      </c>
      <c r="AN117" s="235">
        <f>IFERROR(ROUND(VLOOKUP($H$2,'R6年度'!$B$6:$GJ$52,130,0)/1000,0),"-")</f>
        <v>20</v>
      </c>
    </row>
    <row r="118" spans="2:40" ht="15.9" customHeight="1" x14ac:dyDescent="0.15">
      <c r="B118" s="54"/>
      <c r="C118" s="478" t="s">
        <v>239</v>
      </c>
      <c r="D118" s="479"/>
      <c r="E118" s="202" t="str">
        <f>IFERROR(ROUND(VLOOKUP($H$2,'1年度'!$B$6:$GI$50,129,0)/1000,0),"-")</f>
        <v>-</v>
      </c>
      <c r="F118" s="202" t="str">
        <f>IFERROR(ROUND(VLOOKUP($H$2,'2年度'!$B$6:$GI$50,129,0)/1000,0),"-")</f>
        <v>-</v>
      </c>
      <c r="G118" s="202" t="str">
        <f>IFERROR(ROUND(VLOOKUP($H$2,'3年度'!$B$6:$GI$50,129,0)/1000,0),"-")</f>
        <v>-</v>
      </c>
      <c r="H118" s="202" t="str">
        <f>IFERROR(ROUND(VLOOKUP($H$2,'4年度'!$B$6:$GI$50,129,0)/1000,0),"-")</f>
        <v>-</v>
      </c>
      <c r="I118" s="202" t="str">
        <f>IFERROR(ROUND(VLOOKUP($H$2,'5年度'!$B$6:$GI$50,129,0)/1000,0),"-")</f>
        <v>-</v>
      </c>
      <c r="J118" s="202" t="str">
        <f>IFERROR(ROUND(VLOOKUP($H$2,'6年度'!$B$6:$GI$50,129,0)/1000,0),"-")</f>
        <v>-</v>
      </c>
      <c r="K118" s="202" t="str">
        <f>IFERROR(ROUND(VLOOKUP($H$2,'7年度'!$B$6:$GI$50,129,0)/1000,0),"-")</f>
        <v>-</v>
      </c>
      <c r="L118" s="202" t="str">
        <f>IFERROR(ROUND(VLOOKUP($H$2,'8年度'!$B$6:$GI$50,129,0)/1000,0),"-")</f>
        <v>-</v>
      </c>
      <c r="M118" s="202" t="str">
        <f>IFERROR(ROUND(VLOOKUP($H$2,'9年度'!$B$6:$GI$50,129,0)/1000,0),"-")</f>
        <v>-</v>
      </c>
      <c r="N118" s="202" t="str">
        <f>IFERROR(ROUND(VLOOKUP($H$2,'10年度'!$B$6:$GI$50,129,0)/1000,0),"-")</f>
        <v>-</v>
      </c>
      <c r="O118" s="202" t="str">
        <f>IFERROR(ROUND(VLOOKUP($H$2,'11年度'!$B$6:$GI$50,129,0)/1000,0),"-")</f>
        <v>-</v>
      </c>
      <c r="P118" s="202" t="str">
        <f>IFERROR(ROUND(VLOOKUP($H$2,'12年度'!$B$6:$GI$50,129,0)/1000,0),"-")</f>
        <v>-</v>
      </c>
      <c r="Q118" s="202" t="str">
        <f>IFERROR(ROUND(VLOOKUP($H$2,'13年度'!$B$6:$GI$50,129,0)/1000,0),"-")</f>
        <v>-</v>
      </c>
      <c r="R118" s="202" t="str">
        <f>IFERROR(ROUND(VLOOKUP($H$2,'14年度'!$B$6:$GI$50,129,0)/1000,0),"-")</f>
        <v>-</v>
      </c>
      <c r="S118" s="202" t="str">
        <f>IFERROR(ROUND(VLOOKUP($H$2,'15年度'!$B$6:$GI$50,129,0)/1000,0),"-")</f>
        <v>-</v>
      </c>
      <c r="T118" s="202" t="str">
        <f>IFERROR(ROUND(VLOOKUP($H$2,'16年度'!$B$6:$GI$50,129,0)/1000,0),"-")</f>
        <v>-</v>
      </c>
      <c r="U118" s="202" t="str">
        <f>IFERROR(ROUND(VLOOKUP($H$2,'17年度'!$B$6:$GI$50,129,0)/1000,0),"-")</f>
        <v>-</v>
      </c>
      <c r="V118" s="202" t="str">
        <f>IFERROR(ROUND(VLOOKUP($H$2,'18年度'!$B$6:$GI$50,129,0)/1000,0),"-")</f>
        <v>-</v>
      </c>
      <c r="W118" s="202" t="str">
        <f>IFERROR(ROUND(VLOOKUP($H$2,'19年度'!$B$6:$GI$50,129,0)/1000,0),"-")</f>
        <v>-</v>
      </c>
      <c r="X118" s="203" t="str">
        <f>IFERROR(ROUND(VLOOKUP($H$2,'20年度'!$B$6:$GI$50,129,0)/1000,0),"-")</f>
        <v>-</v>
      </c>
      <c r="Y118" s="203" t="str">
        <f>IFERROR(ROUND(VLOOKUP($H$2,'21年度'!$B$6:$GI$50,129,0)/1000,0),"-")</f>
        <v>-</v>
      </c>
      <c r="Z118" s="203" t="str">
        <f>IFERROR(ROUND(VLOOKUP($H$2,'22年度'!$B$6:$GI$50,129,0)/1000,0),"-")</f>
        <v>-</v>
      </c>
      <c r="AA118" s="203">
        <f>IFERROR(ROUND(VLOOKUP($H$2,'23年度'!$B$6:$GI$52,129,0)/1000,0),"-")</f>
        <v>104700</v>
      </c>
      <c r="AB118" s="202">
        <f>IFERROR(ROUND(VLOOKUP($H$2,'24年度'!$B$6:$GI$52,129,0)/1000,0),"-")</f>
        <v>102955</v>
      </c>
      <c r="AC118" s="204">
        <f>IFERROR(ROUND(VLOOKUP($H$2,'25年度'!$B$6:$GI$52,129,0)/1000,0),"-")</f>
        <v>102249</v>
      </c>
      <c r="AD118" s="203">
        <f>IFERROR(ROUND(VLOOKUP($H$2,'26年度'!$B$6:$GI$52,129,0)/1000,0),"-")</f>
        <v>109115</v>
      </c>
      <c r="AE118" s="202">
        <f>IFERROR(ROUND(VLOOKUP($H$2,'27年度'!$B$6:$GI$52,129,0)/1000,0),"-")</f>
        <v>119987</v>
      </c>
      <c r="AF118" s="202">
        <f>IFERROR(ROUND(VLOOKUP($H$2,'28年度'!$B$6:$GI$52,129,0)/1000,0),"-")</f>
        <v>113083</v>
      </c>
      <c r="AG118" s="204">
        <f>IFERROR(ROUND(VLOOKUP($H$2,'29年度'!$B$6:$GI$52,129,0)/1000,0),"-")</f>
        <v>108573</v>
      </c>
      <c r="AH118" s="203">
        <f>IFERROR(ROUND(VLOOKUP($H$2,'30年度'!$B$6:$GI$52,129,0)/1000,0),"-")</f>
        <v>96715</v>
      </c>
      <c r="AI118" s="202">
        <f>IFERROR(ROUND(VLOOKUP($H$2,'R1年度'!$B$6:$GJ$52,130,0)/1000,0),"-")</f>
        <v>97538</v>
      </c>
      <c r="AJ118" s="202">
        <f>IFERROR(ROUND(VLOOKUP($H$2,'R2年度'!$B$6:$GJ$52,131,0)/1000,0),"-")</f>
        <v>96693</v>
      </c>
      <c r="AK118" s="204">
        <f>IFERROR(ROUND(VLOOKUP($H$2,'R3年度'!$B$6:$GJ$52,131,0)/1000,0),"-")</f>
        <v>95799</v>
      </c>
      <c r="AL118" s="203">
        <f>IFERROR(ROUND(VLOOKUP($H$2,'R4年度'!$B$6:$GJ$52,131,0)/1000,0),"-")</f>
        <v>97152</v>
      </c>
      <c r="AM118" s="235">
        <f>IFERROR(ROUND(VLOOKUP($H$2,'R5年度'!$B$6:$GJ$52,131,0)/1000,0),"-")</f>
        <v>100867</v>
      </c>
      <c r="AN118" s="235">
        <f>IFERROR(ROUND(VLOOKUP($H$2,'R6年度'!$B$6:$GJ$52,131,0)/1000,0),"-")</f>
        <v>104186</v>
      </c>
    </row>
    <row r="119" spans="2:40" ht="15.9" customHeight="1" x14ac:dyDescent="0.15">
      <c r="B119" s="54"/>
      <c r="C119" s="478" t="s">
        <v>240</v>
      </c>
      <c r="D119" s="479"/>
      <c r="E119" s="202" t="str">
        <f>IFERROR(ROUND(VLOOKUP($H$2,'1年度'!$B$6:$GI$50,130,0)/1000,0),"-")</f>
        <v>-</v>
      </c>
      <c r="F119" s="202" t="str">
        <f>IFERROR(ROUND(VLOOKUP($H$2,'2年度'!$B$6:$GI$50,130,0)/1000,0),"-")</f>
        <v>-</v>
      </c>
      <c r="G119" s="202" t="str">
        <f>IFERROR(ROUND(VLOOKUP($H$2,'3年度'!$B$6:$GI$50,130,0)/1000,0),"-")</f>
        <v>-</v>
      </c>
      <c r="H119" s="202" t="str">
        <f>IFERROR(ROUND(VLOOKUP($H$2,'4年度'!$B$6:$GI$50,130,0)/1000,0),"-")</f>
        <v>-</v>
      </c>
      <c r="I119" s="202" t="str">
        <f>IFERROR(ROUND(VLOOKUP($H$2,'5年度'!$B$6:$GI$50,130,0)/1000,0),"-")</f>
        <v>-</v>
      </c>
      <c r="J119" s="202" t="str">
        <f>IFERROR(ROUND(VLOOKUP($H$2,'6年度'!$B$6:$GI$50,130,0)/1000,0),"-")</f>
        <v>-</v>
      </c>
      <c r="K119" s="202" t="str">
        <f>IFERROR(ROUND(VLOOKUP($H$2,'7年度'!$B$6:$GI$50,130,0)/1000,0),"-")</f>
        <v>-</v>
      </c>
      <c r="L119" s="202" t="str">
        <f>IFERROR(ROUND(VLOOKUP($H$2,'8年度'!$B$6:$GI$50,130,0)/1000,0),"-")</f>
        <v>-</v>
      </c>
      <c r="M119" s="202" t="str">
        <f>IFERROR(ROUND(VLOOKUP($H$2,'9年度'!$B$6:$GI$50,130,0)/1000,0),"-")</f>
        <v>-</v>
      </c>
      <c r="N119" s="202" t="str">
        <f>IFERROR(ROUND(VLOOKUP($H$2,'10年度'!$B$6:$GI$50,130,0)/1000,0),"-")</f>
        <v>-</v>
      </c>
      <c r="O119" s="202" t="str">
        <f>IFERROR(ROUND(VLOOKUP($H$2,'11年度'!$B$6:$GI$50,130,0)/1000,0),"-")</f>
        <v>-</v>
      </c>
      <c r="P119" s="202" t="str">
        <f>IFERROR(ROUND(VLOOKUP($H$2,'12年度'!$B$6:$GI$50,130,0)/1000,0),"-")</f>
        <v>-</v>
      </c>
      <c r="Q119" s="202" t="str">
        <f>IFERROR(ROUND(VLOOKUP($H$2,'13年度'!$B$6:$GI$50,130,0)/1000,0),"-")</f>
        <v>-</v>
      </c>
      <c r="R119" s="202" t="str">
        <f>IFERROR(ROUND(VLOOKUP($H$2,'14年度'!$B$6:$GI$50,130,0)/1000,0),"-")</f>
        <v>-</v>
      </c>
      <c r="S119" s="202" t="str">
        <f>IFERROR(ROUND(VLOOKUP($H$2,'15年度'!$B$6:$GI$50,130,0)/1000,0),"-")</f>
        <v>-</v>
      </c>
      <c r="T119" s="202" t="str">
        <f>IFERROR(ROUND(VLOOKUP($H$2,'16年度'!$B$6:$GI$50,130,0)/1000,0),"-")</f>
        <v>-</v>
      </c>
      <c r="U119" s="202" t="str">
        <f>IFERROR(ROUND(VLOOKUP($H$2,'17年度'!$B$6:$GI$50,130,0)/1000,0),"-")</f>
        <v>-</v>
      </c>
      <c r="V119" s="202" t="str">
        <f>IFERROR(ROUND(VLOOKUP($H$2,'18年度'!$B$6:$GI$50,130,0)/1000,0),"-")</f>
        <v>-</v>
      </c>
      <c r="W119" s="202" t="str">
        <f>IFERROR(ROUND(VLOOKUP($H$2,'19年度'!$B$6:$GI$50,130,0)/1000,0),"-")</f>
        <v>-</v>
      </c>
      <c r="X119" s="203" t="str">
        <f>IFERROR(ROUND(VLOOKUP($H$2,'20年度'!$B$6:$GI$50,130,0)/1000,0),"-")</f>
        <v>-</v>
      </c>
      <c r="Y119" s="203" t="str">
        <f>IFERROR(ROUND(VLOOKUP($H$2,'21年度'!$B$6:$GI$50,130,0)/1000,0),"-")</f>
        <v>-</v>
      </c>
      <c r="Z119" s="203" t="str">
        <f>IFERROR(ROUND(VLOOKUP($H$2,'22年度'!$B$6:$GI$50,130,0)/1000,0),"-")</f>
        <v>-</v>
      </c>
      <c r="AA119" s="249"/>
      <c r="AB119" s="247"/>
      <c r="AC119" s="248"/>
      <c r="AD119" s="249"/>
      <c r="AE119" s="247"/>
      <c r="AF119" s="247"/>
      <c r="AG119" s="248"/>
      <c r="AH119" s="249"/>
      <c r="AI119" s="247"/>
      <c r="AJ119" s="247"/>
      <c r="AK119" s="248"/>
      <c r="AL119" s="249"/>
      <c r="AM119" s="250"/>
      <c r="AN119" s="250"/>
    </row>
    <row r="120" spans="2:40" ht="15.9" customHeight="1" x14ac:dyDescent="0.15">
      <c r="B120" s="54"/>
      <c r="C120" s="478" t="s">
        <v>241</v>
      </c>
      <c r="D120" s="479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3" t="str">
        <f>IFERROR(ROUND(VLOOKUP($H$2,'20年度'!$B$6:$GI$50,127,0)/1000,0),"-")</f>
        <v>-</v>
      </c>
      <c r="Y120" s="203" t="str">
        <f>IFERROR(ROUND(VLOOKUP($H$2,'21年度'!$B$6:$GI$50,127,0)/1000,0),"-")</f>
        <v>-</v>
      </c>
      <c r="Z120" s="203" t="str">
        <f>IFERROR(ROUND(VLOOKUP($H$2,'22年度'!$B$6:$GI$50,127,0)/1000,0),"-")</f>
        <v>-</v>
      </c>
      <c r="AA120" s="203">
        <f>IFERROR(ROUND(VLOOKUP($H$2,'23年度'!$B$6:$GI$52,127,0)/1000,0),"-")</f>
        <v>84684</v>
      </c>
      <c r="AB120" s="202">
        <f>IFERROR(ROUND(VLOOKUP($H$2,'24年度'!$B$6:$GI$52,127,0)/1000,0),"-")</f>
        <v>91514</v>
      </c>
      <c r="AC120" s="204">
        <f>IFERROR(ROUND(VLOOKUP($H$2,'25年度'!$B$6:$GI$52,127,0)/1000,0),"-")</f>
        <v>96299</v>
      </c>
      <c r="AD120" s="203">
        <f>IFERROR(ROUND(VLOOKUP($H$2,'26年度'!$B$6:$GI$52,127,0)/1000,0),"-")</f>
        <v>98594</v>
      </c>
      <c r="AE120" s="202">
        <f>IFERROR(ROUND(VLOOKUP($H$2,'27年度'!$B$6:$GI$52,127,0)/1000,0),"-")</f>
        <v>104862</v>
      </c>
      <c r="AF120" s="202">
        <f>IFERROR(ROUND(VLOOKUP($H$2,'28年度'!$B$6:$GI$52,127,0)/1000,0),"-")</f>
        <v>105024</v>
      </c>
      <c r="AG120" s="204">
        <f>IFERROR(ROUND(VLOOKUP($H$2,'29年度'!$B$6:$GI$52,127,0)/1000,0),"-")</f>
        <v>113735</v>
      </c>
      <c r="AH120" s="203">
        <f>IFERROR(ROUND(VLOOKUP($H$2,'30年度'!$B$6:$GI$52,127,0)/1000,0),"-")</f>
        <v>115471</v>
      </c>
      <c r="AI120" s="202">
        <f>IFERROR(ROUND(VLOOKUP($H$2,'R1年度'!$B$6:$GJ$52,128,0)/1000,0),"-")</f>
        <v>120858</v>
      </c>
      <c r="AJ120" s="202">
        <f>IFERROR(ROUND(VLOOKUP($H$2,'R2年度'!$B$6:$GJ$52,129,0)/1000,0),"-")</f>
        <v>124052</v>
      </c>
      <c r="AK120" s="204">
        <f>IFERROR(ROUND(VLOOKUP($H$2,'R3年度'!$B$6:$GJ$52,129,0)/1000,0),"-")</f>
        <v>126252</v>
      </c>
      <c r="AL120" s="203">
        <f>IFERROR(ROUND(VLOOKUP($H$2,'R4年度'!$B$6:$GJ$52,129,0)/1000,0),"-")</f>
        <v>129058</v>
      </c>
      <c r="AM120" s="235">
        <f>IFERROR(ROUND(VLOOKUP($H$2,'R5年度'!$B$6:$GJ$52,129,0)/1000,0),"-")</f>
        <v>138507</v>
      </c>
      <c r="AN120" s="235">
        <f>IFERROR(ROUND(VLOOKUP($H$2,'R6年度'!$B$6:$GJ$52,129,0)/1000,0),"-")</f>
        <v>145239</v>
      </c>
    </row>
    <row r="121" spans="2:40" ht="15.9" customHeight="1" thickBot="1" x14ac:dyDescent="0.2">
      <c r="B121" s="56"/>
      <c r="C121" s="487" t="s">
        <v>242</v>
      </c>
      <c r="D121" s="488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179" t="str">
        <f>IFERROR(ROUND(VLOOKUP($H$2,'12年度'!$B$6:$GI$50,131,0)/1000,0),"-")</f>
        <v>-</v>
      </c>
      <c r="Q121" s="179" t="str">
        <f>IFERROR(ROUND(VLOOKUP($H$2,'13年度'!$B$6:$GI$50,131,0)/1000,0),"-")</f>
        <v>-</v>
      </c>
      <c r="R121" s="179" t="str">
        <f>IFERROR(ROUND(VLOOKUP($H$2,'14年度'!$B$6:$GI$50,131,0)/1000,0),"-")</f>
        <v>-</v>
      </c>
      <c r="S121" s="179" t="str">
        <f>IFERROR(ROUND(VLOOKUP($H$2,'15年度'!$B$6:$GI$50,131,0)/1000,0),"-")</f>
        <v>-</v>
      </c>
      <c r="T121" s="179" t="str">
        <f>IFERROR(ROUND(VLOOKUP($H$2,'16年度'!$B$6:$GI$50,131,0)/1000,0),"-")</f>
        <v>-</v>
      </c>
      <c r="U121" s="179" t="str">
        <f>IFERROR(ROUND(VLOOKUP($H$2,'17年度'!$B$6:$GI$50,131,0)/1000,0),"-")</f>
        <v>-</v>
      </c>
      <c r="V121" s="179" t="str">
        <f>IFERROR(ROUND(VLOOKUP($H$2,'18年度'!$B$6:$GI$50,131,0)/1000,0),"-")</f>
        <v>-</v>
      </c>
      <c r="W121" s="179" t="str">
        <f>IFERROR(ROUND(VLOOKUP($H$2,'19年度'!$B$6:$GI$50,131,0)/1000,0),"-")</f>
        <v>-</v>
      </c>
      <c r="X121" s="225" t="str">
        <f>IFERROR(ROUND(VLOOKUP($H$2,'20年度'!$B$6:$GI$50,131,0)/1000,0),"-")</f>
        <v>-</v>
      </c>
      <c r="Y121" s="225" t="str">
        <f>IFERROR(ROUND(VLOOKUP($H$2,'21年度'!$B$6:$GI$50,131,0)/1000,0),"-")</f>
        <v>-</v>
      </c>
      <c r="Z121" s="225" t="str">
        <f>IFERROR(ROUND(VLOOKUP($H$2,'22年度'!$B$6:$GI$50,131,0)/1000,0),"-")</f>
        <v>-</v>
      </c>
      <c r="AA121" s="225">
        <f>IFERROR(ROUND(VLOOKUP($H$2,'23年度'!$B$6:$GI$52,131,0)/1000,0),"-")</f>
        <v>82654</v>
      </c>
      <c r="AB121" s="179">
        <f>IFERROR(ROUND(VLOOKUP($H$2,'24年度'!$B$6:$GI$52,131,0)/1000,0),"-")</f>
        <v>86571</v>
      </c>
      <c r="AC121" s="226">
        <f>IFERROR(ROUND(VLOOKUP($H$2,'25年度'!$B$6:$GI$52,131,0)/1000,0),"-")</f>
        <v>90126</v>
      </c>
      <c r="AD121" s="225">
        <f>IFERROR(ROUND(VLOOKUP($H$2,'26年度'!$B$6:$GI$52,131,0)/1000,0),"-")</f>
        <v>95238</v>
      </c>
      <c r="AE121" s="179">
        <f>IFERROR(ROUND(VLOOKUP($H$2,'27年度'!$B$6:$GI$52,131,0)/1000,0),"-")</f>
        <v>102302</v>
      </c>
      <c r="AF121" s="179">
        <f>IFERROR(ROUND(VLOOKUP($H$2,'28年度'!$B$6:$GI$52,131,0)/1000,0),"-")</f>
        <v>104372</v>
      </c>
      <c r="AG121" s="226">
        <f>IFERROR(ROUND(VLOOKUP($H$2,'29年度'!$B$6:$GI$52,131,0)/1000,0),"-")</f>
        <v>109139</v>
      </c>
      <c r="AH121" s="225">
        <f>IFERROR(ROUND(VLOOKUP($H$2,'30年度'!$B$6:$GI$52,131,0)/1000,0),"-")</f>
        <v>112031</v>
      </c>
      <c r="AI121" s="179">
        <f>IFERROR(ROUND(VLOOKUP($H$2,'R1年度'!$B$6:$GJ$52,132,0)/1000,0),"-")</f>
        <v>122241</v>
      </c>
      <c r="AJ121" s="179">
        <f>IFERROR(ROUND(VLOOKUP($H$2,'R2年度'!$B$6:$GJ$52,133,0)/1000,0),"-")</f>
        <v>130010</v>
      </c>
      <c r="AK121" s="226">
        <f>IFERROR(ROUND(VLOOKUP($H$2,'R3年度'!$B$6:$GJ$52,133,0)/1000,0),"-")</f>
        <v>135578</v>
      </c>
      <c r="AL121" s="225">
        <f>IFERROR(ROUND(VLOOKUP($H$2,'R4年度'!$B$6:$GJ$52,133,0)/1000,0),"-")</f>
        <v>138994</v>
      </c>
      <c r="AM121" s="239">
        <f>IFERROR(ROUND(VLOOKUP($H$2,'R5年度'!$B$6:$GJ$52,133,0)/1000,0),"-")</f>
        <v>144837</v>
      </c>
      <c r="AN121" s="239">
        <f>IFERROR(ROUND(VLOOKUP($H$2,'R6年度'!$B$6:$GJ$52,133,0)/1000,0),"-")</f>
        <v>147770</v>
      </c>
    </row>
    <row r="122" spans="2:40" ht="15.9" customHeight="1" thickBot="1" x14ac:dyDescent="0.2">
      <c r="B122" s="493" t="s">
        <v>243</v>
      </c>
      <c r="C122" s="494"/>
      <c r="D122" s="474"/>
      <c r="E122" s="221" t="str">
        <f>IFERROR(ROUND(VLOOKUP($H$2,'1年度'!$B$6:$GI$50,132,0)/1000,0),"-")</f>
        <v>-</v>
      </c>
      <c r="F122" s="221" t="str">
        <f>IFERROR(ROUND(VLOOKUP($H$2,'2年度'!$B$6:$GI$50,132,0)/1000,0),"-")</f>
        <v>-</v>
      </c>
      <c r="G122" s="221" t="str">
        <f>IFERROR(ROUND(VLOOKUP($H$2,'3年度'!$B$6:$GI$50,132,0)/1000,0),"-")</f>
        <v>-</v>
      </c>
      <c r="H122" s="221" t="str">
        <f>IFERROR(ROUND(VLOOKUP($H$2,'4年度'!$B$6:$GI$50,132,0)/1000,0),"-")</f>
        <v>-</v>
      </c>
      <c r="I122" s="221" t="str">
        <f>IFERROR(ROUND(VLOOKUP($H$2,'5年度'!$B$6:$GI$50,132,0)/1000,0),"-")</f>
        <v>-</v>
      </c>
      <c r="J122" s="221" t="str">
        <f>IFERROR(ROUND(VLOOKUP($H$2,'6年度'!$B$6:$GI$50,132,0)/1000,0),"-")</f>
        <v>-</v>
      </c>
      <c r="K122" s="221" t="str">
        <f>IFERROR(ROUND(VLOOKUP($H$2,'7年度'!$B$6:$GI$50,132,0)/1000,0),"-")</f>
        <v>-</v>
      </c>
      <c r="L122" s="221" t="str">
        <f>IFERROR(ROUND(VLOOKUP($H$2,'8年度'!$B$6:$GI$50,132,0)/1000,0),"-")</f>
        <v>-</v>
      </c>
      <c r="M122" s="221" t="str">
        <f>IFERROR(ROUND(VLOOKUP($H$2,'9年度'!$B$6:$GI$50,132,0)/1000,0),"-")</f>
        <v>-</v>
      </c>
      <c r="N122" s="221" t="str">
        <f>IFERROR(ROUND(VLOOKUP($H$2,'10年度'!$B$6:$GI$50,132,0)/1000,0),"-")</f>
        <v>-</v>
      </c>
      <c r="O122" s="221" t="str">
        <f>IFERROR(ROUND(VLOOKUP($H$2,'11年度'!$B$6:$GI$50,132,0)/1000,0),"-")</f>
        <v>-</v>
      </c>
      <c r="P122" s="221" t="str">
        <f>IFERROR(ROUND(VLOOKUP($H$2,'12年度'!$B$6:$GI$50,132,0)/1000,0),"-")</f>
        <v>-</v>
      </c>
      <c r="Q122" s="221" t="str">
        <f>IFERROR(ROUND(VLOOKUP($H$2,'13年度'!$B$6:$GI$50,132,0)/1000,0),"-")</f>
        <v>-</v>
      </c>
      <c r="R122" s="221" t="str">
        <f>IFERROR(ROUND(VLOOKUP($H$2,'14年度'!$B$6:$GI$50,132,0)/1000,0),"-")</f>
        <v>-</v>
      </c>
      <c r="S122" s="221" t="str">
        <f>IFERROR(ROUND(VLOOKUP($H$2,'15年度'!$B$6:$GI$50,132,0)/1000,0),"-")</f>
        <v>-</v>
      </c>
      <c r="T122" s="221" t="str">
        <f>IFERROR(ROUND(VLOOKUP($H$2,'16年度'!$B$6:$GI$50,132,0)/1000,0),"-")</f>
        <v>-</v>
      </c>
      <c r="U122" s="221" t="str">
        <f>IFERROR(ROUND(VLOOKUP($H$2,'17年度'!$B$6:$GI$50,132,0)/1000,0),"-")</f>
        <v>-</v>
      </c>
      <c r="V122" s="221" t="str">
        <f>IFERROR(ROUND(VLOOKUP($H$2,'18年度'!$B$6:$GI$50,132,0)/1000,0),"-")</f>
        <v>-</v>
      </c>
      <c r="W122" s="221" t="str">
        <f>IFERROR(ROUND(VLOOKUP($H$2,'19年度'!$B$6:$GI$50,132,0)/1000,0),"-")</f>
        <v>-</v>
      </c>
      <c r="X122" s="222" t="str">
        <f>IFERROR(ROUND(VLOOKUP($H$2,'20年度'!$B$6:$GI$50,132,0)/1000,0),"-")</f>
        <v>-</v>
      </c>
      <c r="Y122" s="222" t="str">
        <f>IFERROR(ROUND(VLOOKUP($H$2,'21年度'!$B$6:$GI$50,132,0)/1000,0),"-")</f>
        <v>-</v>
      </c>
      <c r="Z122" s="222" t="str">
        <f>IFERROR(ROUND(VLOOKUP($H$2,'22年度'!$B$6:$GI$50,132,0)/1000,0),"-")</f>
        <v>-</v>
      </c>
      <c r="AA122" s="222">
        <f>IFERROR(ROUND(VLOOKUP($H$2,'23年度'!$B$6:$GI$52,132,0)/1000,0),"-")</f>
        <v>613</v>
      </c>
      <c r="AB122" s="221">
        <f>IFERROR(ROUND(VLOOKUP($H$2,'24年度'!$B$6:$GI$52,132,0)/1000,0),"-")</f>
        <v>406</v>
      </c>
      <c r="AC122" s="223">
        <f>IFERROR(ROUND(VLOOKUP($H$2,'25年度'!$B$6:$GI$52,132,0)/1000,0),"-")</f>
        <v>0</v>
      </c>
      <c r="AD122" s="222">
        <f>IFERROR(ROUND(VLOOKUP($H$2,'26年度'!$B$6:$GI$52,132,0)/1000,0),"-")</f>
        <v>0</v>
      </c>
      <c r="AE122" s="221">
        <f>IFERROR(ROUND(VLOOKUP($H$2,'27年度'!$B$6:$GI$52,132,0)/1000,0),"-")</f>
        <v>0</v>
      </c>
      <c r="AF122" s="221">
        <f>IFERROR(ROUND(VLOOKUP($H$2,'28年度'!$B$6:$GI$52,132,0)/1000,0),"-")</f>
        <v>0</v>
      </c>
      <c r="AG122" s="223">
        <f>IFERROR(ROUND(VLOOKUP($H$2,'29年度'!$B$6:$GI$52,132,0)/1000,0),"-")</f>
        <v>0</v>
      </c>
      <c r="AH122" s="222">
        <f>IFERROR(ROUND(VLOOKUP($H$2,'30年度'!$B$6:$GI$52,132,0)/1000,0),"-")</f>
        <v>0</v>
      </c>
      <c r="AI122" s="221">
        <f>IFERROR(ROUND(VLOOKUP($H$2,'R1年度'!$B$6:$GJ$52,133,0)/1000,0),"-")</f>
        <v>0</v>
      </c>
      <c r="AJ122" s="221">
        <f>IFERROR(ROUND(VLOOKUP($H$2,'R2年度'!$B$6:$GJ$52,134,0)/1000,0),"-")</f>
        <v>0</v>
      </c>
      <c r="AK122" s="223">
        <f>IFERROR(ROUND(VLOOKUP($H$2,'R3年度'!$B$6:$GJ$52,134,0)/1000,0),"-")</f>
        <v>0</v>
      </c>
      <c r="AL122" s="222">
        <f>IFERROR(ROUND(VLOOKUP($H$2,'R4年度'!$B$6:$GJ$52,134,0)/1000,0),"-")</f>
        <v>0</v>
      </c>
      <c r="AM122" s="251">
        <f>IFERROR(ROUND(VLOOKUP($H$2,'R5年度'!$B$6:$GJ$52,134,0)/1000,0),"-")</f>
        <v>0</v>
      </c>
      <c r="AN122" s="251">
        <f>IFERROR(ROUND(VLOOKUP($H$2,'R6年度'!$B$6:$GJ$52,134,0)/1000,0),"-")</f>
        <v>0</v>
      </c>
    </row>
    <row r="123" spans="2:40" ht="15.9" customHeight="1" thickBot="1" x14ac:dyDescent="0.2">
      <c r="B123" s="498" t="s">
        <v>244</v>
      </c>
      <c r="C123" s="494"/>
      <c r="D123" s="474"/>
      <c r="E123" s="231" t="str">
        <f>IFERROR(ROUND(VLOOKUP($H$2,'1年度'!$B$6:$GI$50,133,0)/1000,0),"-")</f>
        <v>-</v>
      </c>
      <c r="F123" s="231" t="str">
        <f>IFERROR(ROUND(VLOOKUP($H$2,'2年度'!$B$6:$GI$50,133,0)/1000,0),"-")</f>
        <v>-</v>
      </c>
      <c r="G123" s="231" t="str">
        <f>IFERROR(ROUND(VLOOKUP($H$2,'3年度'!$B$6:$GI$50,133,0)/1000,0),"-")</f>
        <v>-</v>
      </c>
      <c r="H123" s="231" t="str">
        <f>IFERROR(ROUND(VLOOKUP($H$2,'4年度'!$B$6:$GI$50,133,0)/1000,0),"-")</f>
        <v>-</v>
      </c>
      <c r="I123" s="231" t="str">
        <f>IFERROR(ROUND(VLOOKUP($H$2,'5年度'!$B$6:$GI$50,133,0)/1000,0),"-")</f>
        <v>-</v>
      </c>
      <c r="J123" s="231" t="str">
        <f>IFERROR(ROUND(VLOOKUP($H$2,'6年度'!$B$6:$GI$50,133,0)/1000,0),"-")</f>
        <v>-</v>
      </c>
      <c r="K123" s="231" t="str">
        <f>IFERROR(ROUND(VLOOKUP($H$2,'7年度'!$B$6:$GI$50,133,0)/1000,0),"-")</f>
        <v>-</v>
      </c>
      <c r="L123" s="231" t="str">
        <f>IFERROR(ROUND(VLOOKUP($H$2,'8年度'!$B$6:$GI$50,133,0)/1000,0),"-")</f>
        <v>-</v>
      </c>
      <c r="M123" s="231" t="str">
        <f>IFERROR(ROUND(VLOOKUP($H$2,'9年度'!$B$6:$GI$50,133,0)/1000,0),"-")</f>
        <v>-</v>
      </c>
      <c r="N123" s="231" t="str">
        <f>IFERROR(ROUND(VLOOKUP($H$2,'10年度'!$B$6:$GI$50,133,0)/1000,0),"-")</f>
        <v>-</v>
      </c>
      <c r="O123" s="231" t="str">
        <f>IFERROR(ROUND(VLOOKUP($H$2,'11年度'!$B$6:$GI$50,133,0)/1000,0),"-")</f>
        <v>-</v>
      </c>
      <c r="P123" s="231" t="str">
        <f>IFERROR(ROUND(VLOOKUP($H$2,'12年度'!$B$6:$GI$50,133,0)/1000,0),"-")</f>
        <v>-</v>
      </c>
      <c r="Q123" s="231" t="str">
        <f>IFERROR(ROUND(VLOOKUP($H$2,'13年度'!$B$6:$GI$50,133,0)/1000,0),"-")</f>
        <v>-</v>
      </c>
      <c r="R123" s="231" t="str">
        <f>IFERROR(ROUND(VLOOKUP($H$2,'14年度'!$B$6:$GI$50,133,0)/1000,0),"-")</f>
        <v>-</v>
      </c>
      <c r="S123" s="231" t="str">
        <f>IFERROR(ROUND(VLOOKUP($H$2,'15年度'!$B$6:$GI$50,133,0)/1000,0),"-")</f>
        <v>-</v>
      </c>
      <c r="T123" s="231" t="str">
        <f>IFERROR(ROUND(VLOOKUP($H$2,'16年度'!$B$6:$GI$50,133,0)/1000,0),"-")</f>
        <v>-</v>
      </c>
      <c r="U123" s="231" t="str">
        <f>IFERROR(ROUND(VLOOKUP($H$2,'17年度'!$B$6:$GI$50,133,0)/1000,0),"-")</f>
        <v>-</v>
      </c>
      <c r="V123" s="231" t="str">
        <f>IFERROR(ROUND(VLOOKUP($H$2,'18年度'!$B$6:$GI$50,133,0)/1000,0),"-")</f>
        <v>-</v>
      </c>
      <c r="W123" s="231" t="str">
        <f>IFERROR(ROUND(VLOOKUP($H$2,'19年度'!$B$6:$GI$50,133,0)/1000,0),"-")</f>
        <v>-</v>
      </c>
      <c r="X123" s="232" t="str">
        <f>IFERROR(ROUND(VLOOKUP($H$2,'20年度'!$B$6:$GI$50,133,0)/1000,0),"-")</f>
        <v>-</v>
      </c>
      <c r="Y123" s="232" t="str">
        <f>IFERROR(ROUND(VLOOKUP($H$2,'21年度'!$B$6:$GI$50,133,0)/1000,0),"-")</f>
        <v>-</v>
      </c>
      <c r="Z123" s="232" t="str">
        <f>IFERROR(ROUND(VLOOKUP($H$2,'22年度'!$B$6:$GI$50,133,0)/1000,0),"-")</f>
        <v>-</v>
      </c>
      <c r="AA123" s="232">
        <f>IFERROR(ROUND(VLOOKUP($H$2,'23年度'!$B$6:$GI$52,133,0)/1000,0),"-")</f>
        <v>3741276</v>
      </c>
      <c r="AB123" s="231">
        <f>IFERROR(ROUND(VLOOKUP($H$2,'24年度'!$B$6:$GI$52,133,0)/1000,0),"-")</f>
        <v>3816862</v>
      </c>
      <c r="AC123" s="233">
        <f>IFERROR(ROUND(VLOOKUP($H$2,'25年度'!$B$6:$GI$52,133,0)/1000,0),"-")</f>
        <v>3819017</v>
      </c>
      <c r="AD123" s="232">
        <f>IFERROR(ROUND(VLOOKUP($H$2,'26年度'!$B$6:$GI$52,133,0)/1000,0),"-")</f>
        <v>3840001</v>
      </c>
      <c r="AE123" s="231">
        <f>IFERROR(ROUND(VLOOKUP($H$2,'27年度'!$B$6:$GI$52,133,0)/1000,0),"-")</f>
        <v>3909962</v>
      </c>
      <c r="AF123" s="231">
        <f>IFERROR(ROUND(VLOOKUP($H$2,'28年度'!$B$6:$GI$52,133,0)/1000,0),"-")</f>
        <v>3819910</v>
      </c>
      <c r="AG123" s="233">
        <f>IFERROR(ROUND(VLOOKUP($H$2,'29年度'!$B$6:$GI$52,133,0)/1000,0),"-")</f>
        <v>4098045</v>
      </c>
      <c r="AH123" s="232">
        <f>IFERROR(ROUND(VLOOKUP($H$2,'30年度'!$B$6:$GI$52,133,0)/1000,0),"-")</f>
        <v>4184069</v>
      </c>
      <c r="AI123" s="231">
        <f>IFERROR(ROUND(VLOOKUP($H$2,'R1年度'!$B$6:$GJ$52,134,0)/1000,0),"-")</f>
        <v>4198246</v>
      </c>
      <c r="AJ123" s="231">
        <f>IFERROR(ROUND(VLOOKUP($H$2,'R2年度'!$B$6:$GJ$52,135,0)/1000,0),"-")</f>
        <v>5173160</v>
      </c>
      <c r="AK123" s="233">
        <f>IFERROR(ROUND(VLOOKUP($H$2,'R3年度'!$B$6:$GJ$52,135,0)/1000,0),"-")</f>
        <v>4757281</v>
      </c>
      <c r="AL123" s="232">
        <f>IFERROR(ROUND(VLOOKUP($H$2,'R4年度'!$B$6:$GJ$52,135,0)/1000,0),"-")</f>
        <v>4687643</v>
      </c>
      <c r="AM123" s="260">
        <f>IFERROR(ROUND(VLOOKUP($H$2,'R5年度'!$B$6:$GJ$52,135,0)/1000,0),"-")</f>
        <v>4753878</v>
      </c>
      <c r="AN123" s="260">
        <f>IFERROR(ROUND(VLOOKUP($H$2,'R6年度'!$B$6:$GJ$52,135,0)/1000,0),"-")</f>
        <v>4993105</v>
      </c>
    </row>
    <row r="124" spans="2:40" ht="15.9" customHeight="1" x14ac:dyDescent="0.15">
      <c r="B124" s="57"/>
      <c r="C124" s="57"/>
      <c r="D124" s="57"/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42"/>
      <c r="AE124" s="163"/>
    </row>
    <row r="125" spans="2:40" ht="15.9" customHeight="1" x14ac:dyDescent="0.15">
      <c r="B125" s="2" t="s">
        <v>245</v>
      </c>
      <c r="U125" s="1"/>
      <c r="V125" s="1"/>
      <c r="W125" s="1"/>
      <c r="X125" s="1"/>
      <c r="Y125" s="66"/>
      <c r="Z125" s="89"/>
      <c r="AA125" s="70"/>
      <c r="AB125" s="70"/>
      <c r="AC125" s="91"/>
      <c r="AD125" s="91"/>
      <c r="AE125" s="69"/>
      <c r="AG125" s="91"/>
      <c r="AH125" s="91"/>
      <c r="AI125" s="91"/>
      <c r="AJ125" s="91"/>
      <c r="AL125" s="91" t="s">
        <v>99</v>
      </c>
    </row>
    <row r="126" spans="2:40" ht="15.9" customHeight="1" thickBot="1" x14ac:dyDescent="0.2">
      <c r="B126" s="489" t="s">
        <v>100</v>
      </c>
      <c r="C126" s="490"/>
      <c r="D126" s="481"/>
      <c r="E126" s="161" t="s">
        <v>101</v>
      </c>
      <c r="F126" s="161" t="s">
        <v>102</v>
      </c>
      <c r="G126" s="161" t="s">
        <v>103</v>
      </c>
      <c r="H126" s="161" t="s">
        <v>104</v>
      </c>
      <c r="I126" s="161" t="s">
        <v>105</v>
      </c>
      <c r="J126" s="161" t="s">
        <v>106</v>
      </c>
      <c r="K126" s="161" t="s">
        <v>107</v>
      </c>
      <c r="L126" s="161" t="s">
        <v>108</v>
      </c>
      <c r="M126" s="161" t="s">
        <v>109</v>
      </c>
      <c r="N126" s="161" t="s">
        <v>110</v>
      </c>
      <c r="O126" s="161" t="s">
        <v>111</v>
      </c>
      <c r="P126" s="161" t="s">
        <v>112</v>
      </c>
      <c r="Q126" s="161" t="s">
        <v>113</v>
      </c>
      <c r="R126" s="161" t="s">
        <v>114</v>
      </c>
      <c r="S126" s="161" t="s">
        <v>115</v>
      </c>
      <c r="T126" s="161" t="s">
        <v>116</v>
      </c>
      <c r="U126" s="161" t="s">
        <v>117</v>
      </c>
      <c r="V126" s="161" t="s">
        <v>118</v>
      </c>
      <c r="W126" s="161" t="s">
        <v>119</v>
      </c>
      <c r="X126" s="63" t="s">
        <v>120</v>
      </c>
      <c r="Y126" s="64" t="s">
        <v>121</v>
      </c>
      <c r="Z126" s="68" t="s">
        <v>122</v>
      </c>
      <c r="AA126" s="64" t="s">
        <v>123</v>
      </c>
      <c r="AB126" s="64" t="s">
        <v>124</v>
      </c>
      <c r="AC126" s="68" t="s">
        <v>125</v>
      </c>
      <c r="AD126" s="64" t="s">
        <v>126</v>
      </c>
      <c r="AE126" s="64" t="s">
        <v>127</v>
      </c>
      <c r="AF126" s="64" t="s">
        <v>128</v>
      </c>
      <c r="AG126" s="103" t="s">
        <v>129</v>
      </c>
      <c r="AH126" s="103" t="s">
        <v>130</v>
      </c>
      <c r="AI126" s="103" t="s">
        <v>131</v>
      </c>
      <c r="AJ126" s="103" t="s">
        <v>132</v>
      </c>
      <c r="AK126" s="154" t="s">
        <v>133</v>
      </c>
      <c r="AL126" s="68" t="s">
        <v>134</v>
      </c>
      <c r="AM126" s="64" t="s">
        <v>135</v>
      </c>
      <c r="AN126" s="64" t="s">
        <v>136</v>
      </c>
    </row>
    <row r="127" spans="2:40" ht="15.9" customHeight="1" thickBot="1" x14ac:dyDescent="0.2">
      <c r="B127" s="497" t="s">
        <v>246</v>
      </c>
      <c r="C127" s="494"/>
      <c r="D127" s="474"/>
      <c r="E127" s="221" t="str">
        <f>IFERROR(ROUND(VLOOKUP($H$2,'1年度'!$B$6:$GI$50,135,0)/1000,0),"-")</f>
        <v>-</v>
      </c>
      <c r="F127" s="221" t="str">
        <f>IFERROR(ROUND(VLOOKUP($H$2,'2年度'!$B$6:$GI$50,135,0)/1000,0),"-")</f>
        <v>-</v>
      </c>
      <c r="G127" s="221" t="str">
        <f>IFERROR(ROUND(VLOOKUP($H$2,'3年度'!$B$6:$GI$50,135,0)/1000,0),"-")</f>
        <v>-</v>
      </c>
      <c r="H127" s="221" t="str">
        <f>IFERROR(ROUND(VLOOKUP($H$2,'4年度'!$B$6:$GI$50,135,0)/1000,0),"-")</f>
        <v>-</v>
      </c>
      <c r="I127" s="221" t="str">
        <f>IFERROR(ROUND(VLOOKUP($H$2,'5年度'!$B$6:$GI$50,135,0)/1000,0),"-")</f>
        <v>-</v>
      </c>
      <c r="J127" s="221" t="str">
        <f>IFERROR(ROUND(VLOOKUP($H$2,'6年度'!$B$6:$GI$50,135,0)/1000,0),"-")</f>
        <v>-</v>
      </c>
      <c r="K127" s="221" t="str">
        <f>IFERROR(ROUND(VLOOKUP($H$2,'7年度'!$B$6:$GI$50,135,0)/1000,0),"-")</f>
        <v>-</v>
      </c>
      <c r="L127" s="221" t="str">
        <f>IFERROR(ROUND(VLOOKUP($H$2,'8年度'!$B$6:$GI$50,135,0)/1000,0),"-")</f>
        <v>-</v>
      </c>
      <c r="M127" s="221" t="str">
        <f>IFERROR(ROUND(VLOOKUP($H$2,'9年度'!$B$6:$GI$50,135,0)/1000,0),"-")</f>
        <v>-</v>
      </c>
      <c r="N127" s="221" t="str">
        <f>IFERROR(ROUND(VLOOKUP($H$2,'10年度'!$B$6:$GI$50,135,0)/1000,0),"-")</f>
        <v>-</v>
      </c>
      <c r="O127" s="221" t="str">
        <f>IFERROR(ROUND(VLOOKUP($H$2,'11年度'!$B$6:$GI$50,135,0)/1000,0),"-")</f>
        <v>-</v>
      </c>
      <c r="P127" s="221" t="str">
        <f>IFERROR(ROUND(VLOOKUP($H$2,'12年度'!$B$6:$GI$50,135,0)/1000,0),"-")</f>
        <v>-</v>
      </c>
      <c r="Q127" s="221" t="str">
        <f>IFERROR(ROUND(VLOOKUP($H$2,'13年度'!$B$6:$GI$50,135,0)/1000,0),"-")</f>
        <v>-</v>
      </c>
      <c r="R127" s="221" t="str">
        <f>IFERROR(ROUND(VLOOKUP($H$2,'14年度'!$B$6:$GI$50,135,0)/1000,0),"-")</f>
        <v>-</v>
      </c>
      <c r="S127" s="221" t="str">
        <f>IFERROR(ROUND(VLOOKUP($H$2,'15年度'!$B$6:$GI$50,135,0)/1000,0),"-")</f>
        <v>-</v>
      </c>
      <c r="T127" s="221" t="str">
        <f>IFERROR(ROUND(VLOOKUP($H$2,'16年度'!$B$6:$GI$50,135,0)/1000,0),"-")</f>
        <v>-</v>
      </c>
      <c r="U127" s="221" t="str">
        <f>IFERROR(ROUND(VLOOKUP($H$2,'17年度'!$B$6:$GI$50,135,0)/1000,0),"-")</f>
        <v>-</v>
      </c>
      <c r="V127" s="221" t="str">
        <f>IFERROR(ROUND(VLOOKUP($H$2,'18年度'!$B$6:$GI$50,135,0)/1000,0),"-")</f>
        <v>-</v>
      </c>
      <c r="W127" s="221" t="str">
        <f>IFERROR(ROUND(VLOOKUP($H$2,'19年度'!$B$6:$GI$50,135,0)/1000,0),"-")</f>
        <v>-</v>
      </c>
      <c r="X127" s="222" t="str">
        <f>IFERROR(ROUND(VLOOKUP($H$2,'20年度'!$B$6:$GI$50,135,0)/1000,0),"-")</f>
        <v>-</v>
      </c>
      <c r="Y127" s="222" t="str">
        <f>IFERROR(ROUND(VLOOKUP($H$2,'21年度'!$B$6:$GI$50,135,0)/1000,0),"-")</f>
        <v>-</v>
      </c>
      <c r="Z127" s="222" t="str">
        <f>IFERROR(ROUND(VLOOKUP($H$2,'22年度'!$B$6:$GI$50,135,0)/1000,0),"-")</f>
        <v>-</v>
      </c>
      <c r="AA127" s="222">
        <f>IFERROR(ROUND(VLOOKUP($H$2,'23年度'!$B$6:$GI$52,135,0)/1000,0),"-")</f>
        <v>27970</v>
      </c>
      <c r="AB127" s="221">
        <f>IFERROR(ROUND(VLOOKUP($H$2,'24年度'!$B$6:$GI$52,135,0)/1000,0),"-")</f>
        <v>31931</v>
      </c>
      <c r="AC127" s="223">
        <f>IFERROR(ROUND(VLOOKUP($H$2,'25年度'!$B$6:$GI$52,135,0)/1000,0),"-")</f>
        <v>63218</v>
      </c>
      <c r="AD127" s="222">
        <f>IFERROR(ROUND(VLOOKUP($H$2,'26年度'!$B$6:$GI$52,135,0)/1000,0),"-")</f>
        <v>35417</v>
      </c>
      <c r="AE127" s="221">
        <f>IFERROR(ROUND(VLOOKUP($H$2,'27年度'!$B$6:$GI$52,135,0)/1000,0),"-")</f>
        <v>34755</v>
      </c>
      <c r="AF127" s="221">
        <f>IFERROR(ROUND(VLOOKUP($H$2,'28年度'!$B$6:$GI$52,135,0)/1000,0),"-")</f>
        <v>30978</v>
      </c>
      <c r="AG127" s="223">
        <f>IFERROR(ROUND(VLOOKUP($H$2,'29年度'!$B$6:$GI$52,135,0)/1000,0),"-")</f>
        <v>33449</v>
      </c>
      <c r="AH127" s="222">
        <f>IFERROR(ROUND(VLOOKUP($H$2,'30年度'!$B$6:$GI$52,135,0)/1000,0),"-")</f>
        <v>40550</v>
      </c>
      <c r="AI127" s="221">
        <f>IFERROR(ROUND(VLOOKUP($H$2,'R1年度'!$B$6:$GJ$52,136,0)/1000,0),"-")</f>
        <v>50235</v>
      </c>
      <c r="AJ127" s="221">
        <f>IFERROR(ROUND(VLOOKUP($H$2,'R2年度'!$B$6:$GJ$52,137,0)/1000,0),"-")</f>
        <v>75943</v>
      </c>
      <c r="AK127" s="223">
        <f>IFERROR(ROUND(VLOOKUP($H$2,'R3年度'!$B$6:$GJ$52,137,0)/1000,0),"-")</f>
        <v>104421</v>
      </c>
      <c r="AL127" s="222">
        <f>IFERROR(ROUND(VLOOKUP($H$2,'R4年度'!$B$6:$GJ$52,137,0)/1000,0),"-")</f>
        <v>89109</v>
      </c>
      <c r="AM127" s="251">
        <f>IFERROR(ROUND(VLOOKUP($H$2,'R5年度'!$B$6:$GJ$52,137,0)/1000,0),"-")</f>
        <v>72781</v>
      </c>
      <c r="AN127" s="251">
        <f>IFERROR(ROUND(VLOOKUP($H$2,'R6年度'!$B$6:$GJ$52,137,0)/1000,0),"-")</f>
        <v>74695</v>
      </c>
    </row>
    <row r="128" spans="2:40" ht="15.9" customHeight="1" thickBot="1" x14ac:dyDescent="0.2">
      <c r="B128" s="497" t="s">
        <v>247</v>
      </c>
      <c r="C128" s="494"/>
      <c r="D128" s="474"/>
      <c r="E128" s="221" t="str">
        <f>IFERROR(ROUND(VLOOKUP($H$2,'1年度'!$B$6:$GI$50,136,0)/1000,0),"-")</f>
        <v>-</v>
      </c>
      <c r="F128" s="221" t="str">
        <f>IFERROR(ROUND(VLOOKUP($H$2,'2年度'!$B$6:$GI$50,136,0)/1000,0),"-")</f>
        <v>-</v>
      </c>
      <c r="G128" s="221" t="str">
        <f>IFERROR(ROUND(VLOOKUP($H$2,'3年度'!$B$6:$GI$50,136,0)/1000,0),"-")</f>
        <v>-</v>
      </c>
      <c r="H128" s="221" t="str">
        <f>IFERROR(ROUND(VLOOKUP($H$2,'4年度'!$B$6:$GI$50,136,0)/1000,0),"-")</f>
        <v>-</v>
      </c>
      <c r="I128" s="221" t="str">
        <f>IFERROR(ROUND(VLOOKUP($H$2,'5年度'!$B$6:$GI$50,136,0)/1000,0),"-")</f>
        <v>-</v>
      </c>
      <c r="J128" s="221" t="str">
        <f>IFERROR(ROUND(VLOOKUP($H$2,'6年度'!$B$6:$GI$50,136,0)/1000,0),"-")</f>
        <v>-</v>
      </c>
      <c r="K128" s="221" t="str">
        <f>IFERROR(ROUND(VLOOKUP($H$2,'7年度'!$B$6:$GI$50,136,0)/1000,0),"-")</f>
        <v>-</v>
      </c>
      <c r="L128" s="221" t="str">
        <f>IFERROR(ROUND(VLOOKUP($H$2,'8年度'!$B$6:$GI$50,136,0)/1000,0),"-")</f>
        <v>-</v>
      </c>
      <c r="M128" s="221" t="str">
        <f>IFERROR(ROUND(VLOOKUP($H$2,'9年度'!$B$6:$GI$50,136,0)/1000,0),"-")</f>
        <v>-</v>
      </c>
      <c r="N128" s="221" t="str">
        <f>IFERROR(ROUND(VLOOKUP($H$2,'10年度'!$B$6:$GI$50,136,0)/1000,0),"-")</f>
        <v>-</v>
      </c>
      <c r="O128" s="221" t="str">
        <f>IFERROR(ROUND(VLOOKUP($H$2,'11年度'!$B$6:$GI$50,136,0)/1000,0),"-")</f>
        <v>-</v>
      </c>
      <c r="P128" s="221" t="str">
        <f>IFERROR(ROUND(VLOOKUP($H$2,'12年度'!$B$6:$GI$50,136,0)/1000,0),"-")</f>
        <v>-</v>
      </c>
      <c r="Q128" s="221" t="str">
        <f>IFERROR(ROUND(VLOOKUP($H$2,'13年度'!$B$6:$GI$50,136,0)/1000,0),"-")</f>
        <v>-</v>
      </c>
      <c r="R128" s="221" t="str">
        <f>IFERROR(ROUND(VLOOKUP($H$2,'14年度'!$B$6:$GI$50,136,0)/1000,0),"-")</f>
        <v>-</v>
      </c>
      <c r="S128" s="221" t="str">
        <f>IFERROR(ROUND(VLOOKUP($H$2,'15年度'!$B$6:$GI$50,136,0)/1000,0),"-")</f>
        <v>-</v>
      </c>
      <c r="T128" s="221" t="str">
        <f>IFERROR(ROUND(VLOOKUP($H$2,'16年度'!$B$6:$GI$50,136,0)/1000,0),"-")</f>
        <v>-</v>
      </c>
      <c r="U128" s="221" t="str">
        <f>IFERROR(ROUND(VLOOKUP($H$2,'17年度'!$B$6:$GI$50,136,0)/1000,0),"-")</f>
        <v>-</v>
      </c>
      <c r="V128" s="221" t="str">
        <f>IFERROR(ROUND(VLOOKUP($H$2,'18年度'!$B$6:$GI$50,136,0)/1000,0),"-")</f>
        <v>-</v>
      </c>
      <c r="W128" s="221" t="str">
        <f>IFERROR(ROUND(VLOOKUP($H$2,'19年度'!$B$6:$GI$50,136,0)/1000,0),"-")</f>
        <v>-</v>
      </c>
      <c r="X128" s="222" t="str">
        <f>IFERROR(ROUND(VLOOKUP($H$2,'20年度'!$B$6:$GI$50,136,0)/1000,0),"-")</f>
        <v>-</v>
      </c>
      <c r="Y128" s="222" t="str">
        <f>IFERROR(ROUND(VLOOKUP($H$2,'21年度'!$B$6:$GI$50,136,0)/1000,0),"-")</f>
        <v>-</v>
      </c>
      <c r="Z128" s="222" t="str">
        <f>IFERROR(ROUND(VLOOKUP($H$2,'22年度'!$B$6:$GI$50,136,0)/1000,0),"-")</f>
        <v>-</v>
      </c>
      <c r="AA128" s="222">
        <f>IFERROR(ROUND(VLOOKUP($H$2,'23年度'!$B$6:$GI$52,136,0)/1000,0),"-")</f>
        <v>9404</v>
      </c>
      <c r="AB128" s="221">
        <f>IFERROR(ROUND(VLOOKUP($H$2,'24年度'!$B$6:$GI$52,136,0)/1000,0),"-")</f>
        <v>11821</v>
      </c>
      <c r="AC128" s="223">
        <f>IFERROR(ROUND(VLOOKUP($H$2,'25年度'!$B$6:$GI$52,136,0)/1000,0),"-")</f>
        <v>11020</v>
      </c>
      <c r="AD128" s="222">
        <f>IFERROR(ROUND(VLOOKUP($H$2,'26年度'!$B$6:$GI$52,136,0)/1000,0),"-")</f>
        <v>15753</v>
      </c>
      <c r="AE128" s="221">
        <f>IFERROR(ROUND(VLOOKUP($H$2,'27年度'!$B$6:$GI$52,136,0)/1000,0),"-")</f>
        <v>10913</v>
      </c>
      <c r="AF128" s="221">
        <f>IFERROR(ROUND(VLOOKUP($H$2,'28年度'!$B$6:$GI$52,136,0)/1000,0),"-")</f>
        <v>11598</v>
      </c>
      <c r="AG128" s="223">
        <f>IFERROR(ROUND(VLOOKUP($H$2,'29年度'!$B$6:$GI$52,136,0)/1000,0),"-")</f>
        <v>9778</v>
      </c>
      <c r="AH128" s="222">
        <f>IFERROR(ROUND(VLOOKUP($H$2,'30年度'!$B$6:$GI$52,136,0)/1000,0),"-")</f>
        <v>15444</v>
      </c>
      <c r="AI128" s="221">
        <f>IFERROR(ROUND(VLOOKUP($H$2,'R1年度'!$B$6:$GJ$52,137,0)/1000,0),"-")</f>
        <v>21932</v>
      </c>
      <c r="AJ128" s="221">
        <f>IFERROR(ROUND(VLOOKUP($H$2,'R2年度'!$B$6:$GJ$52,138,0)/1000,0),"-")</f>
        <v>35607</v>
      </c>
      <c r="AK128" s="223">
        <f>IFERROR(ROUND(VLOOKUP($H$2,'R3年度'!$B$6:$GJ$52,138,0)/1000,0),"-")</f>
        <v>25714</v>
      </c>
      <c r="AL128" s="222">
        <f>IFERROR(ROUND(VLOOKUP($H$2,'R4年度'!$B$6:$GJ$52,138,0)/1000,0),"-")</f>
        <v>21286</v>
      </c>
      <c r="AM128" s="251">
        <f>IFERROR(ROUND(VLOOKUP($H$2,'R5年度'!$B$6:$GJ$52,138,0)/1000,0),"-")</f>
        <v>19720</v>
      </c>
      <c r="AN128" s="251">
        <f>IFERROR(ROUND(VLOOKUP($H$2,'R6年度'!$B$6:$GJ$52,138,0)/1000,0),"-")</f>
        <v>15401</v>
      </c>
    </row>
    <row r="129" spans="2:40" ht="15.9" customHeight="1" thickBot="1" x14ac:dyDescent="0.2">
      <c r="B129" s="497" t="s">
        <v>248</v>
      </c>
      <c r="C129" s="494"/>
      <c r="D129" s="474"/>
      <c r="E129" s="221" t="str">
        <f>IFERROR(ROUND(VLOOKUP($H$2,'1年度'!$B$6:$GI$50,137,0)/1000,0),"-")</f>
        <v>-</v>
      </c>
      <c r="F129" s="221" t="str">
        <f>IFERROR(ROUND(VLOOKUP($H$2,'2年度'!$B$6:$GI$50,137,0)/1000,0),"-")</f>
        <v>-</v>
      </c>
      <c r="G129" s="221" t="str">
        <f>IFERROR(ROUND(VLOOKUP($H$2,'3年度'!$B$6:$GI$50,137,0)/1000,0),"-")</f>
        <v>-</v>
      </c>
      <c r="H129" s="221" t="str">
        <f>IFERROR(ROUND(VLOOKUP($H$2,'4年度'!$B$6:$GI$50,137,0)/1000,0),"-")</f>
        <v>-</v>
      </c>
      <c r="I129" s="221" t="str">
        <f>IFERROR(ROUND(VLOOKUP($H$2,'5年度'!$B$6:$GI$50,137,0)/1000,0),"-")</f>
        <v>-</v>
      </c>
      <c r="J129" s="221" t="str">
        <f>IFERROR(ROUND(VLOOKUP($H$2,'6年度'!$B$6:$GI$50,137,0)/1000,0),"-")</f>
        <v>-</v>
      </c>
      <c r="K129" s="221" t="str">
        <f>IFERROR(ROUND(VLOOKUP($H$2,'7年度'!$B$6:$GI$50,137,0)/1000,0),"-")</f>
        <v>-</v>
      </c>
      <c r="L129" s="221" t="str">
        <f>IFERROR(ROUND(VLOOKUP($H$2,'8年度'!$B$6:$GI$50,137,0)/1000,0),"-")</f>
        <v>-</v>
      </c>
      <c r="M129" s="221" t="str">
        <f>IFERROR(ROUND(VLOOKUP($H$2,'9年度'!$B$6:$GI$50,137,0)/1000,0),"-")</f>
        <v>-</v>
      </c>
      <c r="N129" s="221" t="str">
        <f>IFERROR(ROUND(VLOOKUP($H$2,'10年度'!$B$6:$GI$50,137,0)/1000,0),"-")</f>
        <v>-</v>
      </c>
      <c r="O129" s="221" t="str">
        <f>IFERROR(ROUND(VLOOKUP($H$2,'11年度'!$B$6:$GI$50,137,0)/1000,0),"-")</f>
        <v>-</v>
      </c>
      <c r="P129" s="221" t="str">
        <f>IFERROR(ROUND(VLOOKUP($H$2,'12年度'!$B$6:$GI$50,137,0)/1000,0),"-")</f>
        <v>-</v>
      </c>
      <c r="Q129" s="221" t="str">
        <f>IFERROR(ROUND(VLOOKUP($H$2,'13年度'!$B$6:$GI$50,137,0)/1000,0),"-")</f>
        <v>-</v>
      </c>
      <c r="R129" s="221" t="str">
        <f>IFERROR(ROUND(VLOOKUP($H$2,'14年度'!$B$6:$GI$50,137,0)/1000,0),"-")</f>
        <v>-</v>
      </c>
      <c r="S129" s="221" t="str">
        <f>IFERROR(ROUND(VLOOKUP($H$2,'15年度'!$B$6:$GI$50,137,0)/1000,0),"-")</f>
        <v>-</v>
      </c>
      <c r="T129" s="221" t="str">
        <f>IFERROR(ROUND(VLOOKUP($H$2,'16年度'!$B$6:$GI$50,137,0)/1000,0),"-")</f>
        <v>-</v>
      </c>
      <c r="U129" s="221" t="str">
        <f>IFERROR(ROUND(VLOOKUP($H$2,'17年度'!$B$6:$GI$50,137,0)/1000,0),"-")</f>
        <v>-</v>
      </c>
      <c r="V129" s="221" t="str">
        <f>IFERROR(ROUND(VLOOKUP($H$2,'18年度'!$B$6:$GI$50,137,0)/1000,0),"-")</f>
        <v>-</v>
      </c>
      <c r="W129" s="221" t="str">
        <f>IFERROR(ROUND(VLOOKUP($H$2,'19年度'!$B$6:$GI$50,137,0)/1000,0),"-")</f>
        <v>-</v>
      </c>
      <c r="X129" s="222" t="str">
        <f>IFERROR(ROUND(VLOOKUP($H$2,'20年度'!$B$6:$GI$50,137,0)/1000,0),"-")</f>
        <v>-</v>
      </c>
      <c r="Y129" s="222" t="str">
        <f>IFERROR(ROUND(VLOOKUP($H$2,'21年度'!$B$6:$GI$50,137,0)/1000,0),"-")</f>
        <v>-</v>
      </c>
      <c r="Z129" s="222" t="str">
        <f>IFERROR(ROUND(VLOOKUP($H$2,'22年度'!$B$6:$GI$50,137,0)/1000,0),"-")</f>
        <v>-</v>
      </c>
      <c r="AA129" s="222">
        <f>IFERROR(ROUND(VLOOKUP($H$2,'23年度'!$B$6:$GI$52,137,0)/1000,0),"-")</f>
        <v>18565</v>
      </c>
      <c r="AB129" s="221">
        <f>IFERROR(ROUND(VLOOKUP($H$2,'24年度'!$B$6:$GI$52,137,0)/1000,0),"-")</f>
        <v>20110</v>
      </c>
      <c r="AC129" s="223">
        <f>IFERROR(ROUND(VLOOKUP($H$2,'25年度'!$B$6:$GI$52,137,0)/1000,0),"-")</f>
        <v>52198</v>
      </c>
      <c r="AD129" s="222">
        <f>IFERROR(ROUND(VLOOKUP($H$2,'26年度'!$B$6:$GI$52,137,0)/1000,0),"-")</f>
        <v>19664</v>
      </c>
      <c r="AE129" s="221">
        <f>IFERROR(ROUND(VLOOKUP($H$2,'27年度'!$B$6:$GI$52,137,0)/1000,0),"-")</f>
        <v>23842</v>
      </c>
      <c r="AF129" s="221">
        <f>IFERROR(ROUND(VLOOKUP($H$2,'28年度'!$B$6:$GI$52,137,0)/1000,0),"-")</f>
        <v>19380</v>
      </c>
      <c r="AG129" s="223">
        <f>IFERROR(ROUND(VLOOKUP($H$2,'29年度'!$B$6:$GI$52,137,0)/1000,0),"-")</f>
        <v>23672</v>
      </c>
      <c r="AH129" s="222">
        <f>IFERROR(ROUND(VLOOKUP($H$2,'30年度'!$B$6:$GI$52,137,0)/1000,0),"-")</f>
        <v>25105</v>
      </c>
      <c r="AI129" s="221">
        <f>IFERROR(ROUND(VLOOKUP($H$2,'R1年度'!$B$6:$GJ$52,138,0)/1000,0),"-")</f>
        <v>28304</v>
      </c>
      <c r="AJ129" s="221">
        <f>IFERROR(ROUND(VLOOKUP($H$2,'R2年度'!$B$6:$GJ$52,139,0)/1000,0),"-")</f>
        <v>40335</v>
      </c>
      <c r="AK129" s="223">
        <f>IFERROR(ROUND(VLOOKUP($H$2,'R3年度'!$B$6:$GJ$52,139,0)/1000,0),"-")</f>
        <v>78707</v>
      </c>
      <c r="AL129" s="222">
        <f>IFERROR(ROUND(VLOOKUP($H$2,'R4年度'!$B$6:$GJ$52,139,0)/1000,0),"-")</f>
        <v>67823</v>
      </c>
      <c r="AM129" s="251">
        <f>IFERROR(ROUND(VLOOKUP($H$2,'R5年度'!$B$6:$GJ$52,139,0)/1000,0),"-")</f>
        <v>53061</v>
      </c>
      <c r="AN129" s="251">
        <f>IFERROR(ROUND(VLOOKUP($H$2,'R6年度'!$B$6:$GJ$52,139,0)/1000,0),"-")</f>
        <v>59294</v>
      </c>
    </row>
    <row r="130" spans="2:40" ht="15.9" customHeight="1" thickBot="1" x14ac:dyDescent="0.2">
      <c r="B130" s="497" t="s">
        <v>249</v>
      </c>
      <c r="C130" s="494"/>
      <c r="D130" s="474"/>
      <c r="E130" s="221" t="str">
        <f>IFERROR(ROUND(VLOOKUP($H$2,'1年度'!$B$6:$GI$50,138,0)/1000,0),"-")</f>
        <v>-</v>
      </c>
      <c r="F130" s="221" t="str">
        <f>IFERROR(ROUND(VLOOKUP($H$2,'2年度'!$B$6:$GI$50,138,0)/1000,0),"-")</f>
        <v>-</v>
      </c>
      <c r="G130" s="221" t="str">
        <f>IFERROR(ROUND(VLOOKUP($H$2,'3年度'!$B$6:$GI$50,138,0)/1000,0),"-")</f>
        <v>-</v>
      </c>
      <c r="H130" s="221" t="str">
        <f>IFERROR(ROUND(VLOOKUP($H$2,'4年度'!$B$6:$GI$50,138,0)/1000,0),"-")</f>
        <v>-</v>
      </c>
      <c r="I130" s="221" t="str">
        <f>IFERROR(ROUND(VLOOKUP($H$2,'5年度'!$B$6:$GI$50,138,0)/1000,0),"-")</f>
        <v>-</v>
      </c>
      <c r="J130" s="221" t="str">
        <f>IFERROR(ROUND(VLOOKUP($H$2,'6年度'!$B$6:$GI$50,138,0)/1000,0),"-")</f>
        <v>-</v>
      </c>
      <c r="K130" s="221" t="str">
        <f>IFERROR(ROUND(VLOOKUP($H$2,'7年度'!$B$6:$GI$50,138,0)/1000,0),"-")</f>
        <v>-</v>
      </c>
      <c r="L130" s="221" t="str">
        <f>IFERROR(ROUND(VLOOKUP($H$2,'8年度'!$B$6:$GI$50,138,0)/1000,0),"-")</f>
        <v>-</v>
      </c>
      <c r="M130" s="221" t="str">
        <f>IFERROR(ROUND(VLOOKUP($H$2,'9年度'!$B$6:$GI$50,138,0)/1000,0),"-")</f>
        <v>-</v>
      </c>
      <c r="N130" s="221" t="str">
        <f>IFERROR(ROUND(VLOOKUP($H$2,'10年度'!$B$6:$GI$50,138,0)/1000,0),"-")</f>
        <v>-</v>
      </c>
      <c r="O130" s="221" t="str">
        <f>IFERROR(ROUND(VLOOKUP($H$2,'11年度'!$B$6:$GI$50,138,0)/1000,0),"-")</f>
        <v>-</v>
      </c>
      <c r="P130" s="221" t="str">
        <f>IFERROR(ROUND(VLOOKUP($H$2,'12年度'!$B$6:$GI$50,138,0)/1000,0),"-")</f>
        <v>-</v>
      </c>
      <c r="Q130" s="221" t="str">
        <f>IFERROR(ROUND(VLOOKUP($H$2,'13年度'!$B$6:$GI$50,138,0)/1000,0),"-")</f>
        <v>-</v>
      </c>
      <c r="R130" s="221" t="str">
        <f>IFERROR(ROUND(VLOOKUP($H$2,'14年度'!$B$6:$GI$50,138,0)/1000,0),"-")</f>
        <v>-</v>
      </c>
      <c r="S130" s="221" t="str">
        <f>IFERROR(ROUND(VLOOKUP($H$2,'15年度'!$B$6:$GI$50,138,0)/1000,0),"-")</f>
        <v>-</v>
      </c>
      <c r="T130" s="221" t="str">
        <f>IFERROR(ROUND(VLOOKUP($H$2,'16年度'!$B$6:$GI$50,138,0)/1000,0),"-")</f>
        <v>-</v>
      </c>
      <c r="U130" s="221" t="str">
        <f>IFERROR(ROUND(VLOOKUP($H$2,'17年度'!$B$6:$GI$50,138,0)/1000,0),"-")</f>
        <v>-</v>
      </c>
      <c r="V130" s="221" t="str">
        <f>IFERROR(ROUND(VLOOKUP($H$2,'18年度'!$B$6:$GI$50,138,0)/1000,0),"-")</f>
        <v>-</v>
      </c>
      <c r="W130" s="221" t="str">
        <f>IFERROR(ROUND(VLOOKUP($H$2,'19年度'!$B$6:$GI$50,138,0)/1000,0),"-")</f>
        <v>-</v>
      </c>
      <c r="X130" s="222" t="str">
        <f>IFERROR(ROUND(VLOOKUP($H$2,'20年度'!$B$6:$GI$50,138,0)/1000,0),"-")</f>
        <v>-</v>
      </c>
      <c r="Y130" s="222" t="str">
        <f>IFERROR(ROUND(VLOOKUP($H$2,'21年度'!$B$6:$GI$50,138,0)/1000,0),"-")</f>
        <v>-</v>
      </c>
      <c r="Z130" s="222" t="str">
        <f>IFERROR(ROUND(VLOOKUP($H$2,'22年度'!$B$6:$GI$50,138,0)/1000,0),"-")</f>
        <v>-</v>
      </c>
      <c r="AA130" s="222">
        <f>IFERROR(ROUND(VLOOKUP($H$2,'23年度'!$B$6:$GI$52,138,0)/1000,0),"-")</f>
        <v>-73</v>
      </c>
      <c r="AB130" s="221">
        <f>IFERROR(ROUND(VLOOKUP($H$2,'24年度'!$B$6:$GI$52,138,0)/1000,0),"-")</f>
        <v>1545</v>
      </c>
      <c r="AC130" s="223">
        <f>IFERROR(ROUND(VLOOKUP($H$2,'25年度'!$B$6:$GI$52,138,0)/1000,0),"-")</f>
        <v>32088</v>
      </c>
      <c r="AD130" s="222">
        <f>IFERROR(ROUND(VLOOKUP($H$2,'26年度'!$B$6:$GI$52,138,0)/1000,0),"-")</f>
        <v>-32534</v>
      </c>
      <c r="AE130" s="221">
        <f>IFERROR(ROUND(VLOOKUP($H$2,'27年度'!$B$6:$GI$52,138,0)/1000,0),"-")</f>
        <v>4178</v>
      </c>
      <c r="AF130" s="221">
        <f>IFERROR(ROUND(VLOOKUP($H$2,'28年度'!$B$6:$GI$52,138,0)/1000,0),"-")</f>
        <v>-4462</v>
      </c>
      <c r="AG130" s="223">
        <f>IFERROR(ROUND(VLOOKUP($H$2,'29年度'!$B$6:$GI$52,138,0)/1000,0),"-")</f>
        <v>4292</v>
      </c>
      <c r="AH130" s="222">
        <f>IFERROR(ROUND(VLOOKUP($H$2,'30年度'!$B$6:$GI$52,138,0)/1000,0),"-")</f>
        <v>1434</v>
      </c>
      <c r="AI130" s="221">
        <f>IFERROR(ROUND(VLOOKUP($H$2,'R1年度'!$B$6:$GJ$52,139,0)/1000,0),"-")</f>
        <v>3198</v>
      </c>
      <c r="AJ130" s="221">
        <f>IFERROR(ROUND(VLOOKUP($H$2,'R2年度'!$B$6:$GJ$52,140,0)/1000,0),"-")</f>
        <v>12032</v>
      </c>
      <c r="AK130" s="223">
        <f>IFERROR(ROUND(VLOOKUP($H$2,'R3年度'!$B$6:$GJ$52,140,0)/1000,0),"-")</f>
        <v>38371</v>
      </c>
      <c r="AL130" s="222">
        <f>IFERROR(ROUND(VLOOKUP($H$2,'R4年度'!$B$6:$GJ$52,140,0)/1000,0),"-")</f>
        <v>-10884</v>
      </c>
      <c r="AM130" s="251">
        <f>IFERROR(ROUND(VLOOKUP($H$2,'R5年度'!$B$6:$GJ$52,140,0)/1000,0),"-")</f>
        <v>-14813</v>
      </c>
      <c r="AN130" s="251">
        <f>IFERROR(ROUND(VLOOKUP($H$2,'R6年度'!$B$6:$GJ$52,140,0)/1000,0),"-")</f>
        <v>6233</v>
      </c>
    </row>
    <row r="131" spans="2:40" ht="15.9" customHeight="1" thickBot="1" x14ac:dyDescent="0.2">
      <c r="B131" s="497" t="s">
        <v>250</v>
      </c>
      <c r="C131" s="494"/>
      <c r="D131" s="474"/>
      <c r="E131" s="221" t="str">
        <f>IFERROR(ROUND(VLOOKUP($H$2,'1年度'!$B$6:$GI$50,139,0)/1000,0),"-")</f>
        <v>-</v>
      </c>
      <c r="F131" s="221" t="str">
        <f>IFERROR(ROUND(VLOOKUP($H$2,'2年度'!$B$6:$GI$50,139,0)/1000,0),"-")</f>
        <v>-</v>
      </c>
      <c r="G131" s="221" t="str">
        <f>IFERROR(ROUND(VLOOKUP($H$2,'3年度'!$B$6:$GI$50,139,0)/1000,0),"-")</f>
        <v>-</v>
      </c>
      <c r="H131" s="221" t="str">
        <f>IFERROR(ROUND(VLOOKUP($H$2,'4年度'!$B$6:$GI$50,139,0)/1000,0),"-")</f>
        <v>-</v>
      </c>
      <c r="I131" s="221" t="str">
        <f>IFERROR(ROUND(VLOOKUP($H$2,'5年度'!$B$6:$GI$50,139,0)/1000,0),"-")</f>
        <v>-</v>
      </c>
      <c r="J131" s="221" t="str">
        <f>IFERROR(ROUND(VLOOKUP($H$2,'6年度'!$B$6:$GI$50,139,0)/1000,0),"-")</f>
        <v>-</v>
      </c>
      <c r="K131" s="221" t="str">
        <f>IFERROR(ROUND(VLOOKUP($H$2,'7年度'!$B$6:$GI$50,139,0)/1000,0),"-")</f>
        <v>-</v>
      </c>
      <c r="L131" s="221" t="str">
        <f>IFERROR(ROUND(VLOOKUP($H$2,'8年度'!$B$6:$GI$50,139,0)/1000,0),"-")</f>
        <v>-</v>
      </c>
      <c r="M131" s="221" t="str">
        <f>IFERROR(ROUND(VLOOKUP($H$2,'9年度'!$B$6:$GI$50,139,0)/1000,0),"-")</f>
        <v>-</v>
      </c>
      <c r="N131" s="221" t="str">
        <f>IFERROR(ROUND(VLOOKUP($H$2,'10年度'!$B$6:$GI$50,139,0)/1000,0),"-")</f>
        <v>-</v>
      </c>
      <c r="O131" s="221" t="str">
        <f>IFERROR(ROUND(VLOOKUP($H$2,'11年度'!$B$6:$GI$50,139,0)/1000,0),"-")</f>
        <v>-</v>
      </c>
      <c r="P131" s="221" t="str">
        <f>IFERROR(ROUND(VLOOKUP($H$2,'12年度'!$B$6:$GI$50,139,0)/1000,0),"-")</f>
        <v>-</v>
      </c>
      <c r="Q131" s="221" t="str">
        <f>IFERROR(ROUND(VLOOKUP($H$2,'13年度'!$B$6:$GI$50,139,0)/1000,0),"-")</f>
        <v>-</v>
      </c>
      <c r="R131" s="221" t="str">
        <f>IFERROR(ROUND(VLOOKUP($H$2,'14年度'!$B$6:$GI$50,139,0)/1000,0),"-")</f>
        <v>-</v>
      </c>
      <c r="S131" s="221" t="str">
        <f>IFERROR(ROUND(VLOOKUP($H$2,'15年度'!$B$6:$GI$50,139,0)/1000,0),"-")</f>
        <v>-</v>
      </c>
      <c r="T131" s="221" t="str">
        <f>IFERROR(ROUND(VLOOKUP($H$2,'16年度'!$B$6:$GI$50,139,0)/1000,0),"-")</f>
        <v>-</v>
      </c>
      <c r="U131" s="221" t="str">
        <f>IFERROR(ROUND(VLOOKUP($H$2,'17年度'!$B$6:$GI$50,139,0)/1000,0),"-")</f>
        <v>-</v>
      </c>
      <c r="V131" s="221" t="str">
        <f>IFERROR(ROUND(VLOOKUP($H$2,'18年度'!$B$6:$GI$50,139,0)/1000,0),"-")</f>
        <v>-</v>
      </c>
      <c r="W131" s="221" t="str">
        <f>IFERROR(ROUND(VLOOKUP($H$2,'19年度'!$B$6:$GI$50,139,0)/1000,0),"-")</f>
        <v>-</v>
      </c>
      <c r="X131" s="222" t="str">
        <f>IFERROR(ROUND(VLOOKUP($H$2,'20年度'!$B$6:$GI$50,139,0)/1000,0),"-")</f>
        <v>-</v>
      </c>
      <c r="Y131" s="222" t="str">
        <f>IFERROR(ROUND(VLOOKUP($H$2,'21年度'!$B$6:$GI$50,139,0)/1000,0),"-")</f>
        <v>-</v>
      </c>
      <c r="Z131" s="222" t="str">
        <f>IFERROR(ROUND(VLOOKUP($H$2,'22年度'!$B$6:$GI$50,139,0)/1000,0),"-")</f>
        <v>-</v>
      </c>
      <c r="AA131" s="222">
        <f>IFERROR(ROUND(VLOOKUP($H$2,'23年度'!$B$6:$GI$52,139,0)/1000,0),"-")</f>
        <v>16252</v>
      </c>
      <c r="AB131" s="221">
        <f>IFERROR(ROUND(VLOOKUP($H$2,'24年度'!$B$6:$GI$52,139,0)/1000,0),"-")</f>
        <v>135721</v>
      </c>
      <c r="AC131" s="223">
        <f>IFERROR(ROUND(VLOOKUP($H$2,'25年度'!$B$6:$GI$52,139,0)/1000,0),"-")</f>
        <v>87960</v>
      </c>
      <c r="AD131" s="222">
        <f>IFERROR(ROUND(VLOOKUP($H$2,'26年度'!$B$6:$GI$52,139,0)/1000,0),"-")</f>
        <v>-20730</v>
      </c>
      <c r="AE131" s="221">
        <f>IFERROR(ROUND(VLOOKUP($H$2,'27年度'!$B$6:$GI$52,139,0)/1000,0),"-")</f>
        <v>25571</v>
      </c>
      <c r="AF131" s="221">
        <f>IFERROR(ROUND(VLOOKUP($H$2,'28年度'!$B$6:$GI$52,139,0)/1000,0),"-")</f>
        <v>4412</v>
      </c>
      <c r="AG131" s="223">
        <f>IFERROR(ROUND(VLOOKUP($H$2,'29年度'!$B$6:$GI$52,139,0)/1000,0),"-")</f>
        <v>-8464</v>
      </c>
      <c r="AH131" s="222">
        <f>IFERROR(ROUND(VLOOKUP($H$2,'30年度'!$B$6:$GI$52,139,0)/1000,0),"-")</f>
        <v>5782</v>
      </c>
      <c r="AI131" s="221">
        <f>IFERROR(ROUND(VLOOKUP($H$2,'R1年度'!$B$6:$GJ$52,140,0)/1000,0),"-")</f>
        <v>13841</v>
      </c>
      <c r="AJ131" s="221">
        <f>IFERROR(ROUND(VLOOKUP($H$2,'R2年度'!$B$6:$GJ$52,141,0)/1000,0),"-")</f>
        <v>30552</v>
      </c>
      <c r="AK131" s="223">
        <f>IFERROR(ROUND(VLOOKUP($H$2,'R3年度'!$B$6:$GJ$52,141,0)/1000,0),"-")</f>
        <v>119238</v>
      </c>
      <c r="AL131" s="222">
        <f>IFERROR(ROUND(VLOOKUP($H$2,'R4年度'!$B$6:$GJ$52,141,0)/1000,0),"-")</f>
        <v>46233</v>
      </c>
      <c r="AM131" s="251">
        <f>IFERROR(ROUND(VLOOKUP($H$2,'R5年度'!$B$6:$GJ$52,141,0)/1000,0),"-")</f>
        <v>24756</v>
      </c>
      <c r="AN131" s="251">
        <f>IFERROR(ROUND(VLOOKUP($H$2,'R6年度'!$B$6:$GJ$52,141,0)/1000,0),"-")</f>
        <v>36473</v>
      </c>
    </row>
    <row r="132" spans="2:40" ht="15.9" customHeight="1" x14ac:dyDescent="0.15">
      <c r="B132" s="31" t="s">
        <v>251</v>
      </c>
    </row>
    <row r="133" spans="2:40" ht="15.9" customHeight="1" x14ac:dyDescent="0.15">
      <c r="B133" s="31" t="s">
        <v>252</v>
      </c>
    </row>
    <row r="134" spans="2:40" ht="15.9" customHeight="1" x14ac:dyDescent="0.15">
      <c r="B134" s="31" t="s">
        <v>253</v>
      </c>
    </row>
    <row r="137" spans="2:40" hidden="1" x14ac:dyDescent="0.15">
      <c r="D137" s="89" t="s">
        <v>1</v>
      </c>
    </row>
    <row r="138" spans="2:40" hidden="1" x14ac:dyDescent="0.15">
      <c r="D138" s="89" t="s">
        <v>3</v>
      </c>
    </row>
    <row r="139" spans="2:40" hidden="1" x14ac:dyDescent="0.15">
      <c r="D139" s="62" t="s">
        <v>5</v>
      </c>
    </row>
    <row r="140" spans="2:40" hidden="1" x14ac:dyDescent="0.15">
      <c r="D140" s="62" t="s">
        <v>7</v>
      </c>
    </row>
    <row r="141" spans="2:40" hidden="1" x14ac:dyDescent="0.15">
      <c r="D141" s="62" t="s">
        <v>9</v>
      </c>
    </row>
    <row r="142" spans="2:40" hidden="1" x14ac:dyDescent="0.15">
      <c r="D142" s="62" t="s">
        <v>11</v>
      </c>
    </row>
    <row r="143" spans="2:40" hidden="1" x14ac:dyDescent="0.15">
      <c r="D143" s="62" t="s">
        <v>13</v>
      </c>
    </row>
    <row r="144" spans="2:40" hidden="1" x14ac:dyDescent="0.15">
      <c r="D144" s="62" t="s">
        <v>15</v>
      </c>
    </row>
    <row r="145" spans="4:4" hidden="1" x14ac:dyDescent="0.15">
      <c r="D145" s="62" t="s">
        <v>17</v>
      </c>
    </row>
    <row r="146" spans="4:4" hidden="1" x14ac:dyDescent="0.15">
      <c r="D146" s="62" t="s">
        <v>19</v>
      </c>
    </row>
    <row r="147" spans="4:4" hidden="1" x14ac:dyDescent="0.15">
      <c r="D147" s="62" t="s">
        <v>21</v>
      </c>
    </row>
    <row r="148" spans="4:4" hidden="1" x14ac:dyDescent="0.15">
      <c r="D148" s="62" t="s">
        <v>23</v>
      </c>
    </row>
    <row r="149" spans="4:4" hidden="1" x14ac:dyDescent="0.15">
      <c r="D149" s="62" t="s">
        <v>25</v>
      </c>
    </row>
    <row r="150" spans="4:4" hidden="1" x14ac:dyDescent="0.15">
      <c r="D150" s="62" t="s">
        <v>27</v>
      </c>
    </row>
    <row r="151" spans="4:4" hidden="1" x14ac:dyDescent="0.15">
      <c r="D151" s="62" t="s">
        <v>29</v>
      </c>
    </row>
    <row r="152" spans="4:4" hidden="1" x14ac:dyDescent="0.15">
      <c r="D152" s="62" t="s">
        <v>31</v>
      </c>
    </row>
    <row r="153" spans="4:4" hidden="1" x14ac:dyDescent="0.15">
      <c r="D153" s="62" t="s">
        <v>33</v>
      </c>
    </row>
    <row r="154" spans="4:4" hidden="1" x14ac:dyDescent="0.15">
      <c r="D154" s="62" t="s">
        <v>35</v>
      </c>
    </row>
    <row r="155" spans="4:4" hidden="1" x14ac:dyDescent="0.15">
      <c r="D155" s="62" t="s">
        <v>37</v>
      </c>
    </row>
    <row r="156" spans="4:4" hidden="1" x14ac:dyDescent="0.15">
      <c r="D156" s="62" t="s">
        <v>39</v>
      </c>
    </row>
    <row r="157" spans="4:4" hidden="1" x14ac:dyDescent="0.15">
      <c r="D157" s="62" t="s">
        <v>41</v>
      </c>
    </row>
    <row r="158" spans="4:4" hidden="1" x14ac:dyDescent="0.15">
      <c r="D158" s="62" t="s">
        <v>43</v>
      </c>
    </row>
    <row r="159" spans="4:4" hidden="1" x14ac:dyDescent="0.15">
      <c r="D159" s="62" t="s">
        <v>45</v>
      </c>
    </row>
    <row r="160" spans="4:4" hidden="1" x14ac:dyDescent="0.15">
      <c r="D160" s="62" t="s">
        <v>47</v>
      </c>
    </row>
    <row r="161" spans="4:4" hidden="1" x14ac:dyDescent="0.15">
      <c r="D161" s="62" t="s">
        <v>49</v>
      </c>
    </row>
    <row r="162" spans="4:4" hidden="1" x14ac:dyDescent="0.15">
      <c r="D162" s="62" t="s">
        <v>51</v>
      </c>
    </row>
    <row r="163" spans="4:4" hidden="1" x14ac:dyDescent="0.15">
      <c r="D163" s="62" t="s">
        <v>53</v>
      </c>
    </row>
    <row r="164" spans="4:4" hidden="1" x14ac:dyDescent="0.15">
      <c r="D164" s="62" t="s">
        <v>55</v>
      </c>
    </row>
    <row r="165" spans="4:4" hidden="1" x14ac:dyDescent="0.15">
      <c r="D165" s="62" t="s">
        <v>57</v>
      </c>
    </row>
    <row r="166" spans="4:4" hidden="1" x14ac:dyDescent="0.15">
      <c r="D166" s="62" t="s">
        <v>59</v>
      </c>
    </row>
    <row r="167" spans="4:4" hidden="1" x14ac:dyDescent="0.15">
      <c r="D167" s="62" t="s">
        <v>61</v>
      </c>
    </row>
    <row r="168" spans="4:4" hidden="1" x14ac:dyDescent="0.15">
      <c r="D168" s="62" t="s">
        <v>63</v>
      </c>
    </row>
    <row r="169" spans="4:4" hidden="1" x14ac:dyDescent="0.15">
      <c r="D169" s="62" t="s">
        <v>65</v>
      </c>
    </row>
    <row r="170" spans="4:4" hidden="1" x14ac:dyDescent="0.15">
      <c r="D170" s="62" t="s">
        <v>67</v>
      </c>
    </row>
    <row r="171" spans="4:4" hidden="1" x14ac:dyDescent="0.15">
      <c r="D171" s="62" t="s">
        <v>69</v>
      </c>
    </row>
    <row r="172" spans="4:4" hidden="1" x14ac:dyDescent="0.15">
      <c r="D172" s="62" t="s">
        <v>71</v>
      </c>
    </row>
    <row r="173" spans="4:4" hidden="1" x14ac:dyDescent="0.15">
      <c r="D173" s="62" t="s">
        <v>73</v>
      </c>
    </row>
    <row r="174" spans="4:4" hidden="1" x14ac:dyDescent="0.15">
      <c r="D174" s="62" t="s">
        <v>75</v>
      </c>
    </row>
    <row r="175" spans="4:4" hidden="1" x14ac:dyDescent="0.15">
      <c r="D175" s="62" t="s">
        <v>77</v>
      </c>
    </row>
    <row r="176" spans="4:4" hidden="1" x14ac:dyDescent="0.15">
      <c r="D176" s="62" t="s">
        <v>79</v>
      </c>
    </row>
    <row r="177" spans="4:4" hidden="1" x14ac:dyDescent="0.15">
      <c r="D177" s="62" t="s">
        <v>81</v>
      </c>
    </row>
    <row r="178" spans="4:4" hidden="1" x14ac:dyDescent="0.15">
      <c r="D178" s="62" t="s">
        <v>83</v>
      </c>
    </row>
    <row r="179" spans="4:4" hidden="1" x14ac:dyDescent="0.15">
      <c r="D179" s="62" t="s">
        <v>85</v>
      </c>
    </row>
    <row r="180" spans="4:4" hidden="1" x14ac:dyDescent="0.15">
      <c r="D180" s="62" t="s">
        <v>87</v>
      </c>
    </row>
    <row r="181" spans="4:4" hidden="1" x14ac:dyDescent="0.15">
      <c r="D181" s="62" t="s">
        <v>89</v>
      </c>
    </row>
    <row r="182" spans="4:4" hidden="1" x14ac:dyDescent="0.15">
      <c r="D182" s="62" t="s">
        <v>91</v>
      </c>
    </row>
    <row r="183" spans="4:4" hidden="1" x14ac:dyDescent="0.15">
      <c r="D183" s="89" t="s">
        <v>0</v>
      </c>
    </row>
    <row r="184" spans="4:4" hidden="1" x14ac:dyDescent="0.15"/>
    <row r="185" spans="4:4" hidden="1" x14ac:dyDescent="0.15"/>
    <row r="186" spans="4:4" hidden="1" x14ac:dyDescent="0.15"/>
    <row r="187" spans="4:4" hidden="1" x14ac:dyDescent="0.15"/>
  </sheetData>
  <mergeCells count="107">
    <mergeCell ref="B131:D131"/>
    <mergeCell ref="C37:D37"/>
    <mergeCell ref="B58:D58"/>
    <mergeCell ref="C13:D13"/>
    <mergeCell ref="C78:D78"/>
    <mergeCell ref="C87:D87"/>
    <mergeCell ref="B130:D130"/>
    <mergeCell ref="C49:D49"/>
    <mergeCell ref="C101:D101"/>
    <mergeCell ref="C104:D104"/>
    <mergeCell ref="C74:D74"/>
    <mergeCell ref="C88:D88"/>
    <mergeCell ref="B29:D29"/>
    <mergeCell ref="C26:D26"/>
    <mergeCell ref="B103:D103"/>
    <mergeCell ref="C117:D117"/>
    <mergeCell ref="B127:D127"/>
    <mergeCell ref="C99:D99"/>
    <mergeCell ref="C55:D55"/>
    <mergeCell ref="C118:D118"/>
    <mergeCell ref="B33:D33"/>
    <mergeCell ref="B89:D89"/>
    <mergeCell ref="C115:D115"/>
    <mergeCell ref="B97:D97"/>
    <mergeCell ref="B129:D129"/>
    <mergeCell ref="C39:D39"/>
    <mergeCell ref="B90:D90"/>
    <mergeCell ref="C72:D72"/>
    <mergeCell ref="B122:D122"/>
    <mergeCell ref="H2:I2"/>
    <mergeCell ref="B123:D123"/>
    <mergeCell ref="B41:D41"/>
    <mergeCell ref="B35:D35"/>
    <mergeCell ref="B50:D50"/>
    <mergeCell ref="C61:D61"/>
    <mergeCell ref="C23:D23"/>
    <mergeCell ref="C106:D106"/>
    <mergeCell ref="B66:D66"/>
    <mergeCell ref="C38:D38"/>
    <mergeCell ref="C32:D32"/>
    <mergeCell ref="C7:D7"/>
    <mergeCell ref="C10:D10"/>
    <mergeCell ref="C25:D25"/>
    <mergeCell ref="B24:D24"/>
    <mergeCell ref="B71:D71"/>
    <mergeCell ref="C81:D81"/>
    <mergeCell ref="B128:D128"/>
    <mergeCell ref="C100:D100"/>
    <mergeCell ref="C112:D112"/>
    <mergeCell ref="C94:D94"/>
    <mergeCell ref="C65:D65"/>
    <mergeCell ref="C84:D84"/>
    <mergeCell ref="C22:D22"/>
    <mergeCell ref="C80:D80"/>
    <mergeCell ref="C31:D31"/>
    <mergeCell ref="B51:D51"/>
    <mergeCell ref="C59:D59"/>
    <mergeCell ref="C46:D46"/>
    <mergeCell ref="C52:D52"/>
    <mergeCell ref="B114:D114"/>
    <mergeCell ref="B126:D126"/>
    <mergeCell ref="B75:D75"/>
    <mergeCell ref="C91:D91"/>
    <mergeCell ref="B102:D102"/>
    <mergeCell ref="C57:D57"/>
    <mergeCell ref="B21:D21"/>
    <mergeCell ref="C18:D18"/>
    <mergeCell ref="C53:D53"/>
    <mergeCell ref="B48:D48"/>
    <mergeCell ref="C77:D77"/>
    <mergeCell ref="C86:D86"/>
    <mergeCell ref="C108:D108"/>
    <mergeCell ref="B30:D30"/>
    <mergeCell ref="C98:D98"/>
    <mergeCell ref="C116:D116"/>
    <mergeCell ref="C64:D64"/>
    <mergeCell ref="C79:D79"/>
    <mergeCell ref="B34:D34"/>
    <mergeCell ref="C73:D73"/>
    <mergeCell ref="C54:D54"/>
    <mergeCell ref="C121:D121"/>
    <mergeCell ref="C63:D63"/>
    <mergeCell ref="B85:D85"/>
    <mergeCell ref="B6:D6"/>
    <mergeCell ref="C105:D105"/>
    <mergeCell ref="C43:D43"/>
    <mergeCell ref="J2:O2"/>
    <mergeCell ref="C120:D120"/>
    <mergeCell ref="C76:D76"/>
    <mergeCell ref="C27:D27"/>
    <mergeCell ref="C119:D119"/>
    <mergeCell ref="B62:D62"/>
    <mergeCell ref="C17:D17"/>
    <mergeCell ref="B56:D56"/>
    <mergeCell ref="C28:D28"/>
    <mergeCell ref="B70:D70"/>
    <mergeCell ref="B111:D111"/>
    <mergeCell ref="C83:D83"/>
    <mergeCell ref="C92:D92"/>
    <mergeCell ref="B107:D107"/>
    <mergeCell ref="B82:D82"/>
    <mergeCell ref="H68:I68"/>
    <mergeCell ref="C40:D40"/>
    <mergeCell ref="B36:D36"/>
    <mergeCell ref="B5:D5"/>
    <mergeCell ref="C60:D60"/>
    <mergeCell ref="B42:D42"/>
  </mergeCells>
  <phoneticPr fontId="3"/>
  <dataValidations count="1">
    <dataValidation type="list" allowBlank="1" showInputMessage="1" showErrorMessage="1" sqref="H2:I2" xr:uid="{00000000-0002-0000-0100-000000000000}">
      <formula1>$D$137:$D$183</formula1>
    </dataValidation>
  </dataValidations>
  <pageMargins left="0.35" right="0.16" top="0.83" bottom="0.15748031496062989" header="0.51181102362204722" footer="0.23622047244094491"/>
  <pageSetup paperSize="8" scale="52" fitToHeight="0" orientation="landscape" r:id="rId1"/>
  <rowBreaks count="1" manualBreakCount="1">
    <brk id="67" max="16383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indexed="15"/>
    <pageSetUpPr fitToPage="1"/>
  </sheetPr>
  <dimension ref="A1:HV56"/>
  <sheetViews>
    <sheetView zoomScaleNormal="100" workbookViewId="0">
      <pane xSplit="2" ySplit="5" topLeftCell="GA30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13.10937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12.33203125" style="174" bestFit="1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62" customWidth="1"/>
    <col min="192" max="192" width="8.5546875" style="174" bestFit="1" customWidth="1"/>
    <col min="193" max="193" width="10.33203125" style="174" bestFit="1" customWidth="1"/>
    <col min="194" max="194" width="8.5546875" style="174" bestFit="1" customWidth="1"/>
    <col min="195" max="195" width="9.6640625" style="174" bestFit="1" customWidth="1"/>
    <col min="196" max="196" width="10.33203125" style="174" bestFit="1" customWidth="1"/>
    <col min="197" max="197" width="8.5546875" style="174" bestFit="1" customWidth="1"/>
    <col min="198" max="198" width="11.88671875" style="174" bestFit="1" customWidth="1"/>
    <col min="199" max="199" width="10.33203125" style="174" bestFit="1" customWidth="1"/>
    <col min="200" max="200" width="8.5546875" style="174" bestFit="1" customWidth="1"/>
    <col min="201" max="201" width="9.6640625" style="174" bestFit="1" customWidth="1"/>
    <col min="202" max="202" width="10.33203125" style="174" bestFit="1" customWidth="1"/>
    <col min="203" max="230" width="13.6640625" style="174" customWidth="1"/>
  </cols>
  <sheetData>
    <row r="1" spans="2:230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52">
        <v>190</v>
      </c>
      <c r="GJ1" s="10">
        <v>191</v>
      </c>
      <c r="GK1" s="10">
        <v>192</v>
      </c>
      <c r="GL1" s="10">
        <v>193</v>
      </c>
      <c r="GM1" s="10">
        <v>194</v>
      </c>
      <c r="GN1" s="10">
        <v>195</v>
      </c>
      <c r="GO1" s="10">
        <v>196</v>
      </c>
      <c r="GP1" s="10">
        <v>197</v>
      </c>
      <c r="GQ1" s="10">
        <v>198</v>
      </c>
      <c r="GR1" s="10">
        <v>199</v>
      </c>
      <c r="GS1" s="10">
        <v>200</v>
      </c>
      <c r="GT1" s="10">
        <v>201</v>
      </c>
    </row>
    <row r="2" spans="2:230" x14ac:dyDescent="0.15">
      <c r="C2" s="96" t="s">
        <v>338</v>
      </c>
      <c r="D2" s="29"/>
      <c r="E2" s="96" t="s">
        <v>339</v>
      </c>
      <c r="F2" s="96" t="s">
        <v>340</v>
      </c>
      <c r="G2" s="29"/>
      <c r="H2" s="96" t="s">
        <v>341</v>
      </c>
      <c r="I2" s="96" t="s">
        <v>342</v>
      </c>
      <c r="J2" s="96" t="s">
        <v>343</v>
      </c>
      <c r="K2" s="96" t="s">
        <v>344</v>
      </c>
      <c r="L2" s="96" t="s">
        <v>345</v>
      </c>
      <c r="M2" s="96" t="s">
        <v>346</v>
      </c>
      <c r="N2" s="96" t="s">
        <v>347</v>
      </c>
      <c r="O2" s="96" t="s">
        <v>348</v>
      </c>
      <c r="P2" s="96" t="s">
        <v>349</v>
      </c>
      <c r="Q2" s="96" t="s">
        <v>350</v>
      </c>
      <c r="R2" s="96" t="s">
        <v>351</v>
      </c>
      <c r="S2" s="96"/>
      <c r="T2" s="89"/>
      <c r="U2" s="96" t="s">
        <v>725</v>
      </c>
      <c r="V2" s="96" t="s">
        <v>354</v>
      </c>
      <c r="W2" s="96" t="s">
        <v>355</v>
      </c>
      <c r="X2" s="96" t="s">
        <v>664</v>
      </c>
      <c r="Y2" s="96" t="s">
        <v>356</v>
      </c>
      <c r="Z2" s="96" t="s">
        <v>357</v>
      </c>
      <c r="AA2" s="96" t="s">
        <v>653</v>
      </c>
      <c r="AB2" s="96" t="s">
        <v>359</v>
      </c>
      <c r="AC2" s="96" t="s">
        <v>665</v>
      </c>
      <c r="AD2" s="96" t="s">
        <v>726</v>
      </c>
      <c r="AE2" s="96" t="s">
        <v>362</v>
      </c>
      <c r="AF2" s="96" t="s">
        <v>363</v>
      </c>
      <c r="AG2" s="96" t="s">
        <v>364</v>
      </c>
      <c r="AH2" s="89"/>
      <c r="AI2" s="96" t="s">
        <v>684</v>
      </c>
      <c r="AJ2" s="96" t="s">
        <v>727</v>
      </c>
      <c r="AK2" s="96" t="s">
        <v>368</v>
      </c>
      <c r="AL2" s="29"/>
      <c r="AM2" s="96" t="s">
        <v>728</v>
      </c>
      <c r="AN2" s="96" t="s">
        <v>686</v>
      </c>
      <c r="AO2" s="96"/>
      <c r="AP2" s="96" t="s">
        <v>369</v>
      </c>
      <c r="AQ2" s="96" t="s">
        <v>371</v>
      </c>
      <c r="AR2" s="96" t="s">
        <v>372</v>
      </c>
      <c r="AS2" s="96" t="s">
        <v>783</v>
      </c>
      <c r="AT2" s="96" t="s">
        <v>376</v>
      </c>
      <c r="AU2" s="96" t="s">
        <v>377</v>
      </c>
      <c r="AV2" s="96" t="s">
        <v>378</v>
      </c>
      <c r="AW2" s="96" t="s">
        <v>688</v>
      </c>
      <c r="AX2" s="96" t="s">
        <v>380</v>
      </c>
      <c r="AY2" s="96" t="s">
        <v>381</v>
      </c>
      <c r="AZ2" s="96" t="s">
        <v>710</v>
      </c>
      <c r="BA2" s="96" t="s">
        <v>690</v>
      </c>
      <c r="BB2" s="96" t="s">
        <v>711</v>
      </c>
      <c r="BC2" s="96" t="s">
        <v>384</v>
      </c>
      <c r="BD2" s="96" t="s">
        <v>386</v>
      </c>
      <c r="BE2" s="96" t="s">
        <v>387</v>
      </c>
      <c r="BF2" s="96" t="s">
        <v>388</v>
      </c>
      <c r="BG2" s="96" t="s">
        <v>389</v>
      </c>
      <c r="BH2" s="96" t="s">
        <v>692</v>
      </c>
      <c r="BI2" s="96" t="s">
        <v>739</v>
      </c>
      <c r="BJ2" s="96" t="s">
        <v>385</v>
      </c>
      <c r="BK2" s="96" t="s">
        <v>392</v>
      </c>
      <c r="BL2" s="96" t="s">
        <v>694</v>
      </c>
      <c r="BM2" s="96" t="s">
        <v>393</v>
      </c>
      <c r="BN2" s="96" t="s">
        <v>696</v>
      </c>
      <c r="BO2" s="29"/>
      <c r="BP2" s="29"/>
      <c r="BQ2" s="96"/>
      <c r="BR2" s="173" t="s">
        <v>777</v>
      </c>
      <c r="BS2" s="96" t="s">
        <v>751</v>
      </c>
      <c r="BT2" s="96" t="s">
        <v>784</v>
      </c>
      <c r="BU2" s="96" t="s">
        <v>785</v>
      </c>
      <c r="BV2" s="89"/>
      <c r="BW2" s="96" t="s">
        <v>402</v>
      </c>
      <c r="BX2" s="96" t="s">
        <v>403</v>
      </c>
      <c r="BY2" s="96" t="s">
        <v>786</v>
      </c>
      <c r="BZ2" s="96" t="s">
        <v>405</v>
      </c>
      <c r="CA2" s="96" t="s">
        <v>406</v>
      </c>
      <c r="CB2" s="96" t="s">
        <v>407</v>
      </c>
      <c r="CC2" s="96" t="s">
        <v>408</v>
      </c>
      <c r="CD2" s="96" t="s">
        <v>409</v>
      </c>
      <c r="CE2" s="96" t="s">
        <v>410</v>
      </c>
      <c r="CF2" s="96" t="s">
        <v>411</v>
      </c>
      <c r="CG2" s="96" t="s">
        <v>412</v>
      </c>
      <c r="CH2" s="96" t="s">
        <v>413</v>
      </c>
      <c r="CI2" s="96" t="s">
        <v>787</v>
      </c>
      <c r="CJ2" s="28"/>
      <c r="CK2" s="96" t="s">
        <v>415</v>
      </c>
      <c r="CL2" s="96" t="s">
        <v>720</v>
      </c>
      <c r="CM2" s="96" t="s">
        <v>417</v>
      </c>
      <c r="CN2" s="96" t="s">
        <v>721</v>
      </c>
      <c r="CO2" s="96" t="s">
        <v>419</v>
      </c>
      <c r="CP2" s="96" t="s">
        <v>420</v>
      </c>
      <c r="CQ2" s="96" t="s">
        <v>421</v>
      </c>
      <c r="CR2" s="96" t="s">
        <v>422</v>
      </c>
      <c r="CS2" s="96" t="s">
        <v>423</v>
      </c>
      <c r="CT2" s="28"/>
      <c r="CU2" s="96" t="s">
        <v>424</v>
      </c>
      <c r="CV2" s="96" t="s">
        <v>425</v>
      </c>
      <c r="CW2" s="89"/>
      <c r="CX2" s="96" t="s">
        <v>426</v>
      </c>
      <c r="CY2" s="96" t="s">
        <v>427</v>
      </c>
      <c r="CZ2" s="89"/>
      <c r="DA2" s="96" t="s">
        <v>428</v>
      </c>
      <c r="DB2" s="96" t="s">
        <v>429</v>
      </c>
      <c r="DC2" s="96" t="s">
        <v>430</v>
      </c>
      <c r="DD2" s="96" t="s">
        <v>431</v>
      </c>
      <c r="DE2" s="96" t="s">
        <v>432</v>
      </c>
      <c r="DF2" s="96" t="s">
        <v>433</v>
      </c>
      <c r="DG2" s="96" t="s">
        <v>434</v>
      </c>
      <c r="DH2" s="96" t="s">
        <v>435</v>
      </c>
      <c r="DI2" s="96" t="s">
        <v>436</v>
      </c>
      <c r="DJ2" s="96" t="s">
        <v>437</v>
      </c>
      <c r="DK2" s="96" t="s">
        <v>438</v>
      </c>
      <c r="DL2" s="96" t="s">
        <v>439</v>
      </c>
      <c r="DM2" s="96" t="s">
        <v>440</v>
      </c>
      <c r="DN2" s="96" t="s">
        <v>441</v>
      </c>
      <c r="DO2" s="96" t="s">
        <v>442</v>
      </c>
      <c r="DP2" s="96" t="s">
        <v>443</v>
      </c>
      <c r="DQ2" s="96" t="s">
        <v>444</v>
      </c>
      <c r="DR2" s="96" t="s">
        <v>445</v>
      </c>
      <c r="DS2" s="96" t="s">
        <v>446</v>
      </c>
      <c r="DT2" s="96" t="s">
        <v>447</v>
      </c>
      <c r="DU2" s="96" t="s">
        <v>448</v>
      </c>
      <c r="DV2" s="89"/>
      <c r="DW2" s="96" t="s">
        <v>449</v>
      </c>
      <c r="DX2" s="173" t="s">
        <v>450</v>
      </c>
      <c r="DY2" s="96" t="s">
        <v>451</v>
      </c>
      <c r="DZ2" s="96" t="s">
        <v>452</v>
      </c>
      <c r="EA2" s="96" t="s">
        <v>453</v>
      </c>
      <c r="EB2" s="96" t="s">
        <v>454</v>
      </c>
      <c r="EC2" s="96" t="s">
        <v>455</v>
      </c>
      <c r="ED2" s="96" t="s">
        <v>456</v>
      </c>
      <c r="EE2" s="89"/>
      <c r="EF2" s="96" t="s">
        <v>457</v>
      </c>
      <c r="EG2" s="96" t="s">
        <v>458</v>
      </c>
      <c r="EH2" s="96" t="s">
        <v>459</v>
      </c>
      <c r="EI2" s="96" t="s">
        <v>460</v>
      </c>
      <c r="EJ2" s="96" t="s">
        <v>461</v>
      </c>
      <c r="EK2" s="89"/>
      <c r="EL2" s="89"/>
      <c r="EM2" s="46" t="s">
        <v>781</v>
      </c>
      <c r="EN2" s="96" t="s">
        <v>464</v>
      </c>
      <c r="EO2" s="96" t="s">
        <v>465</v>
      </c>
      <c r="EP2" s="89"/>
      <c r="EQ2" s="96" t="s">
        <v>466</v>
      </c>
      <c r="ER2" s="96" t="s">
        <v>467</v>
      </c>
      <c r="ES2" s="96" t="s">
        <v>468</v>
      </c>
      <c r="ET2" s="96" t="s">
        <v>469</v>
      </c>
      <c r="EU2" s="96" t="s">
        <v>470</v>
      </c>
      <c r="EV2" s="96" t="s">
        <v>471</v>
      </c>
      <c r="EW2" s="28"/>
      <c r="EX2" s="96" t="s">
        <v>472</v>
      </c>
      <c r="EY2" s="96" t="s">
        <v>473</v>
      </c>
      <c r="EZ2" s="96" t="s">
        <v>474</v>
      </c>
      <c r="FA2" s="96" t="s">
        <v>475</v>
      </c>
      <c r="FB2" s="96" t="s">
        <v>476</v>
      </c>
      <c r="FC2" s="96" t="s">
        <v>477</v>
      </c>
      <c r="FD2" s="96" t="s">
        <v>478</v>
      </c>
      <c r="FE2" s="96" t="s">
        <v>479</v>
      </c>
      <c r="FF2" s="96" t="s">
        <v>480</v>
      </c>
      <c r="FG2" s="89"/>
      <c r="FH2" s="96" t="s">
        <v>481</v>
      </c>
      <c r="FI2" s="89"/>
      <c r="FJ2" s="172" t="s">
        <v>788</v>
      </c>
      <c r="FK2" s="172" t="s">
        <v>483</v>
      </c>
      <c r="FL2" s="172" t="s">
        <v>484</v>
      </c>
      <c r="FM2" s="172" t="s">
        <v>485</v>
      </c>
      <c r="FN2" s="172" t="s">
        <v>789</v>
      </c>
      <c r="FO2" s="564" t="s">
        <v>701</v>
      </c>
      <c r="FP2" s="561"/>
      <c r="FQ2" s="561"/>
      <c r="FR2" s="561"/>
      <c r="FS2" s="561"/>
      <c r="FT2" s="561"/>
      <c r="FU2" s="561"/>
      <c r="FV2" s="89"/>
      <c r="FW2" s="96" t="s">
        <v>790</v>
      </c>
      <c r="FX2" s="89"/>
      <c r="FY2" s="96" t="s">
        <v>490</v>
      </c>
      <c r="FZ2" s="96" t="s">
        <v>491</v>
      </c>
      <c r="GA2" s="96" t="s">
        <v>492</v>
      </c>
      <c r="GB2" s="96" t="s">
        <v>493</v>
      </c>
      <c r="GC2" s="46" t="s">
        <v>791</v>
      </c>
      <c r="GD2" s="46" t="s">
        <v>745</v>
      </c>
      <c r="GE2" s="89"/>
      <c r="GF2" s="46"/>
      <c r="GG2" s="46"/>
      <c r="GH2" s="46"/>
      <c r="GI2" s="53"/>
      <c r="GJ2" s="46" t="s">
        <v>329</v>
      </c>
      <c r="GK2" s="46"/>
      <c r="GL2" s="46"/>
      <c r="GM2" s="46"/>
      <c r="GN2" s="46"/>
      <c r="GO2" s="46"/>
      <c r="GP2" s="46"/>
      <c r="GQ2" s="46"/>
      <c r="GR2" s="46"/>
      <c r="GS2" s="46"/>
      <c r="GT2" s="46"/>
    </row>
    <row r="3" spans="2:230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159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V3" s="89"/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E3" s="89"/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K3" s="89"/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48" t="s">
        <v>517</v>
      </c>
      <c r="FJ3" s="48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P3" s="89"/>
      <c r="FQ3" s="89"/>
      <c r="FR3" s="89"/>
      <c r="FS3" s="89"/>
      <c r="FT3" s="89"/>
      <c r="FU3" s="89"/>
      <c r="FV3" s="30" t="s">
        <v>529</v>
      </c>
      <c r="FW3" s="30" t="s">
        <v>308</v>
      </c>
      <c r="FX3" s="48" t="s">
        <v>530</v>
      </c>
      <c r="FY3" s="30" t="s">
        <v>312</v>
      </c>
      <c r="FZ3" s="89"/>
      <c r="GA3" s="89"/>
      <c r="GB3" s="89"/>
      <c r="GC3" s="89"/>
      <c r="GD3" s="30" t="s">
        <v>531</v>
      </c>
      <c r="GE3" s="48" t="s">
        <v>530</v>
      </c>
      <c r="GF3" s="30" t="s">
        <v>532</v>
      </c>
      <c r="GG3" s="89"/>
      <c r="GH3" s="89"/>
      <c r="GI3" s="30" t="s">
        <v>706</v>
      </c>
      <c r="GJ3" s="89" t="s">
        <v>534</v>
      </c>
      <c r="GM3" s="89" t="s">
        <v>535</v>
      </c>
      <c r="GP3" s="89" t="s">
        <v>529</v>
      </c>
      <c r="GS3" s="89" t="s">
        <v>536</v>
      </c>
    </row>
    <row r="4" spans="2:230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 t="s">
        <v>565</v>
      </c>
      <c r="BS4" s="31"/>
      <c r="BT4" s="30" t="s">
        <v>193</v>
      </c>
      <c r="BU4" s="30"/>
      <c r="BV4" s="89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570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 t="s">
        <v>589</v>
      </c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E4" s="89"/>
      <c r="EF4" s="89"/>
      <c r="EG4" s="89"/>
      <c r="EH4" s="89"/>
      <c r="EI4" s="89"/>
      <c r="EJ4" s="89"/>
      <c r="EK4" s="89"/>
      <c r="EL4" s="29" t="s">
        <v>758</v>
      </c>
      <c r="EM4" s="32" t="s">
        <v>792</v>
      </c>
      <c r="EN4" s="30"/>
      <c r="EO4" s="30"/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48" t="s">
        <v>596</v>
      </c>
      <c r="FJ4" s="48" t="s">
        <v>597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W4" s="89"/>
      <c r="FX4" s="48" t="s">
        <v>601</v>
      </c>
      <c r="FY4" s="89"/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48" t="s">
        <v>601</v>
      </c>
      <c r="GF4" s="30" t="s">
        <v>604</v>
      </c>
      <c r="GG4" s="30" t="s">
        <v>605</v>
      </c>
      <c r="GH4" s="30" t="s">
        <v>606</v>
      </c>
      <c r="GI4" s="30" t="s">
        <v>755</v>
      </c>
      <c r="GJ4" s="30" t="s">
        <v>608</v>
      </c>
      <c r="GK4" s="89" t="s">
        <v>609</v>
      </c>
      <c r="GL4" s="89" t="s">
        <v>610</v>
      </c>
      <c r="GM4" s="89" t="s">
        <v>608</v>
      </c>
      <c r="GN4" s="89" t="s">
        <v>609</v>
      </c>
      <c r="GO4" s="89" t="s">
        <v>610</v>
      </c>
      <c r="GP4" s="89" t="s">
        <v>596</v>
      </c>
      <c r="GQ4" s="89" t="s">
        <v>609</v>
      </c>
      <c r="GR4" s="89" t="s">
        <v>610</v>
      </c>
      <c r="GS4" s="89" t="s">
        <v>611</v>
      </c>
      <c r="GT4" s="89" t="s">
        <v>609</v>
      </c>
    </row>
    <row r="5" spans="2:230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47" t="s">
        <v>624</v>
      </c>
      <c r="BS5" s="30" t="s">
        <v>625</v>
      </c>
      <c r="BT5" s="30"/>
      <c r="BU5" s="30"/>
      <c r="BV5" s="89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635</v>
      </c>
      <c r="DX5" s="48"/>
      <c r="DY5" s="30"/>
      <c r="DZ5" s="30"/>
      <c r="EA5" s="30"/>
      <c r="EB5" s="30"/>
      <c r="EC5" s="30"/>
      <c r="ED5" s="30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30" t="s">
        <v>595</v>
      </c>
      <c r="EZ5" s="30" t="s">
        <v>595</v>
      </c>
      <c r="FA5" s="89"/>
      <c r="FB5" s="89"/>
      <c r="FC5" s="89"/>
      <c r="FD5" s="89"/>
      <c r="FE5" s="89"/>
      <c r="FF5" s="89"/>
      <c r="FG5" s="89"/>
      <c r="FH5" s="89"/>
      <c r="FI5" s="51" t="s">
        <v>638</v>
      </c>
      <c r="FJ5" s="51"/>
      <c r="FK5" s="30" t="s">
        <v>639</v>
      </c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30" t="s">
        <v>600</v>
      </c>
      <c r="FW5" s="89"/>
      <c r="FX5" s="51" t="s">
        <v>638</v>
      </c>
      <c r="FY5" s="89"/>
      <c r="FZ5" s="89"/>
      <c r="GA5" s="89"/>
      <c r="GB5" s="89"/>
      <c r="GC5" s="89"/>
      <c r="GD5" s="89"/>
      <c r="GE5" s="51" t="s">
        <v>641</v>
      </c>
      <c r="GF5" s="70"/>
      <c r="GG5" s="89"/>
      <c r="GH5" s="89"/>
      <c r="GJ5" s="89"/>
      <c r="GK5" s="43" t="s">
        <v>643</v>
      </c>
      <c r="GL5" s="30" t="s">
        <v>644</v>
      </c>
      <c r="GM5" s="89"/>
      <c r="GN5" s="43" t="s">
        <v>643</v>
      </c>
      <c r="GO5" s="30" t="s">
        <v>644</v>
      </c>
      <c r="GP5" s="89"/>
      <c r="GQ5" s="43" t="s">
        <v>643</v>
      </c>
      <c r="GR5" s="30" t="s">
        <v>644</v>
      </c>
      <c r="GT5" s="43" t="s">
        <v>643</v>
      </c>
    </row>
    <row r="6" spans="2:230" x14ac:dyDescent="0.15">
      <c r="B6" s="89" t="s">
        <v>5</v>
      </c>
      <c r="C6" s="272">
        <v>24086060</v>
      </c>
      <c r="D6" s="455">
        <f t="shared" ref="D6:D49" si="0">E6+F6</f>
        <v>9124012</v>
      </c>
      <c r="E6" s="272">
        <v>250344</v>
      </c>
      <c r="F6" s="456">
        <v>8873668</v>
      </c>
      <c r="G6" s="455">
        <f t="shared" ref="G6:G49" si="1">H6+I6</f>
        <v>1520739</v>
      </c>
      <c r="H6" s="272">
        <v>427602</v>
      </c>
      <c r="I6" s="272">
        <v>1093137</v>
      </c>
      <c r="J6" s="272">
        <v>9864324</v>
      </c>
      <c r="K6" s="272">
        <v>4295001</v>
      </c>
      <c r="L6" s="272">
        <v>4157656</v>
      </c>
      <c r="M6" s="272">
        <v>1121678</v>
      </c>
      <c r="N6" s="272">
        <v>1319702</v>
      </c>
      <c r="O6" s="272">
        <v>1972759</v>
      </c>
      <c r="P6" s="272">
        <v>1131819</v>
      </c>
      <c r="Q6" s="272">
        <v>840940</v>
      </c>
      <c r="R6" s="272">
        <v>416040</v>
      </c>
      <c r="S6" s="272"/>
      <c r="T6" s="455">
        <f t="shared" ref="T6:T49" si="2">SUM(U6:AA6)</f>
        <v>2252076</v>
      </c>
      <c r="U6" s="272">
        <v>129743</v>
      </c>
      <c r="V6" s="272">
        <v>48665</v>
      </c>
      <c r="W6" s="456">
        <v>22681</v>
      </c>
      <c r="X6" s="272">
        <v>1784791</v>
      </c>
      <c r="Y6" s="272">
        <v>57350</v>
      </c>
      <c r="Z6" s="272">
        <v>0</v>
      </c>
      <c r="AA6" s="272">
        <v>208846</v>
      </c>
      <c r="AB6" s="272">
        <v>439939</v>
      </c>
      <c r="AC6" s="272">
        <v>12947758</v>
      </c>
      <c r="AD6" s="272">
        <v>12738074</v>
      </c>
      <c r="AE6" s="272">
        <v>209684</v>
      </c>
      <c r="AF6" s="272">
        <v>42962</v>
      </c>
      <c r="AG6" s="272">
        <v>592953</v>
      </c>
      <c r="AH6" s="455">
        <f t="shared" ref="AH6:AH49" si="3">AI6+AJ6</f>
        <v>1561730</v>
      </c>
      <c r="AI6" s="272">
        <v>1393995</v>
      </c>
      <c r="AJ6" s="272">
        <v>167735</v>
      </c>
      <c r="AK6" s="272">
        <v>11139738</v>
      </c>
      <c r="AL6" s="455">
        <f t="shared" ref="AL6:AL49" si="4">SUM(AM6:AP6)</f>
        <v>5674488</v>
      </c>
      <c r="AM6" s="272">
        <v>5002421</v>
      </c>
      <c r="AN6" s="272">
        <v>672067</v>
      </c>
      <c r="AO6" s="272"/>
      <c r="AP6" s="272">
        <v>0</v>
      </c>
      <c r="AQ6" s="272">
        <v>1031156</v>
      </c>
      <c r="AR6" s="272">
        <v>0</v>
      </c>
      <c r="AS6" s="272">
        <v>0</v>
      </c>
      <c r="AT6" s="272">
        <v>3845424</v>
      </c>
      <c r="AU6" s="272">
        <v>1909688</v>
      </c>
      <c r="AV6" s="272">
        <v>337653</v>
      </c>
      <c r="AW6" s="272">
        <v>57106</v>
      </c>
      <c r="AX6" s="272">
        <v>1935736</v>
      </c>
      <c r="AY6" s="272">
        <v>148788</v>
      </c>
      <c r="AZ6" s="272">
        <v>233685</v>
      </c>
      <c r="BA6" s="272">
        <v>119179</v>
      </c>
      <c r="BB6" s="272">
        <v>39920</v>
      </c>
      <c r="BC6" s="272">
        <v>885224</v>
      </c>
      <c r="BD6" s="272">
        <v>0</v>
      </c>
      <c r="BE6" s="272">
        <v>0</v>
      </c>
      <c r="BF6" s="272">
        <v>299202</v>
      </c>
      <c r="BG6" s="272">
        <v>563228</v>
      </c>
      <c r="BH6" s="272">
        <v>3447798</v>
      </c>
      <c r="BI6" s="272">
        <v>482522</v>
      </c>
      <c r="BJ6" s="272">
        <v>1320264</v>
      </c>
      <c r="BK6" s="272">
        <v>31000</v>
      </c>
      <c r="BL6" s="272">
        <v>0</v>
      </c>
      <c r="BM6" s="272">
        <v>171826</v>
      </c>
      <c r="BN6" s="272">
        <v>7115500</v>
      </c>
      <c r="BO6" s="455">
        <f t="shared" ref="BO6:BO49" si="5">BN6-BP6-BT6</f>
        <v>4825000</v>
      </c>
      <c r="BP6" s="455">
        <f t="shared" ref="BP6:BP49" si="6">BQ6+BR6+BS6</f>
        <v>2290500</v>
      </c>
      <c r="BQ6" s="272"/>
      <c r="BR6" s="272">
        <v>0</v>
      </c>
      <c r="BS6" s="272">
        <v>2290500</v>
      </c>
      <c r="BT6" s="272">
        <v>0</v>
      </c>
      <c r="BU6" s="272">
        <v>70367071</v>
      </c>
      <c r="BV6" s="272"/>
      <c r="BW6" s="272">
        <v>12415365</v>
      </c>
      <c r="BX6" s="272">
        <v>8495119</v>
      </c>
      <c r="BY6" s="272">
        <v>1381368</v>
      </c>
      <c r="BZ6" s="272">
        <v>511882</v>
      </c>
      <c r="CA6" s="272">
        <v>16202069</v>
      </c>
      <c r="CB6" s="272">
        <v>2340731</v>
      </c>
      <c r="CC6" s="272">
        <v>372415</v>
      </c>
      <c r="CD6" s="272">
        <v>6204833</v>
      </c>
      <c r="CE6" s="272">
        <v>6864373</v>
      </c>
      <c r="CF6" s="272">
        <v>11326</v>
      </c>
      <c r="CG6" s="272">
        <v>402041</v>
      </c>
      <c r="CH6" s="272">
        <v>9109865</v>
      </c>
      <c r="CI6" s="272">
        <v>7416125</v>
      </c>
      <c r="CJ6" s="455">
        <f t="shared" ref="CJ6:CJ49" si="7">CH6-CI6</f>
        <v>1693740</v>
      </c>
      <c r="CK6" s="272">
        <v>6808035</v>
      </c>
      <c r="CL6" s="272">
        <v>3940507</v>
      </c>
      <c r="CM6" s="272">
        <v>394220</v>
      </c>
      <c r="CN6" s="272">
        <v>921029</v>
      </c>
      <c r="CO6" s="272">
        <v>198316</v>
      </c>
      <c r="CP6" s="272">
        <v>11295038</v>
      </c>
      <c r="CQ6" s="272">
        <v>2029484</v>
      </c>
      <c r="CR6" s="272">
        <v>3780644</v>
      </c>
      <c r="CS6" s="272">
        <v>588451</v>
      </c>
      <c r="CT6" s="455">
        <f t="shared" ref="CT6:CT49" si="8">CU6+CV6</f>
        <v>4265213</v>
      </c>
      <c r="CU6" s="272">
        <v>2964883</v>
      </c>
      <c r="CV6" s="272">
        <v>1300330</v>
      </c>
      <c r="CW6" s="455">
        <f t="shared" ref="CW6:CW49" si="9">CX6+CY6</f>
        <v>1600000</v>
      </c>
      <c r="CX6" s="272">
        <v>1580259</v>
      </c>
      <c r="CY6" s="272">
        <v>19741</v>
      </c>
      <c r="CZ6" s="455">
        <f t="shared" ref="CZ6:CZ49" si="10">DA6+DB6</f>
        <v>2637527</v>
      </c>
      <c r="DA6" s="272">
        <v>1356938</v>
      </c>
      <c r="DB6" s="272">
        <v>1280589</v>
      </c>
      <c r="DC6" s="272">
        <v>7351362</v>
      </c>
      <c r="DD6" s="272">
        <v>1858497</v>
      </c>
      <c r="DE6" s="272">
        <v>5325073</v>
      </c>
      <c r="DF6" s="26">
        <v>15766</v>
      </c>
      <c r="DG6" s="27">
        <v>152026</v>
      </c>
      <c r="DH6" s="272">
        <v>0</v>
      </c>
      <c r="DI6" s="272">
        <v>958247</v>
      </c>
      <c r="DJ6" s="272">
        <v>628295</v>
      </c>
      <c r="DK6" s="272">
        <v>67471</v>
      </c>
      <c r="DL6" s="272">
        <v>262481</v>
      </c>
      <c r="DM6" s="272">
        <v>18800</v>
      </c>
      <c r="DN6" s="272">
        <v>18800</v>
      </c>
      <c r="DO6" s="272">
        <v>18800</v>
      </c>
      <c r="DP6" s="272">
        <v>0</v>
      </c>
      <c r="DQ6" s="272">
        <v>31000</v>
      </c>
      <c r="DR6" s="272">
        <v>0</v>
      </c>
      <c r="DS6" s="272">
        <v>0</v>
      </c>
      <c r="DT6" s="272">
        <v>5434920</v>
      </c>
      <c r="DU6" s="272">
        <v>0</v>
      </c>
      <c r="DV6" s="455">
        <f t="shared" ref="DV6:DV49" si="11">DW6</f>
        <v>0</v>
      </c>
      <c r="DW6" s="272">
        <v>0</v>
      </c>
      <c r="DX6" s="272">
        <v>1838150</v>
      </c>
      <c r="DY6" s="272">
        <v>0</v>
      </c>
      <c r="DZ6" s="272">
        <v>1417433</v>
      </c>
      <c r="EA6" s="272">
        <v>0</v>
      </c>
      <c r="EB6" s="272">
        <v>1688559</v>
      </c>
      <c r="EC6" s="272">
        <v>0</v>
      </c>
      <c r="ED6" s="272">
        <v>69823017</v>
      </c>
      <c r="EE6" s="89"/>
      <c r="EF6" s="272">
        <v>544054</v>
      </c>
      <c r="EG6" s="272">
        <v>248150</v>
      </c>
      <c r="EH6" s="272">
        <v>295904</v>
      </c>
      <c r="EI6" s="272">
        <v>-186618</v>
      </c>
      <c r="EJ6" s="272">
        <v>442157</v>
      </c>
      <c r="EK6" s="89"/>
      <c r="EL6" s="272"/>
      <c r="EM6" s="272">
        <v>201167</v>
      </c>
      <c r="EN6" s="272">
        <v>586022</v>
      </c>
      <c r="EO6" s="272">
        <v>212730</v>
      </c>
      <c r="EP6" s="455">
        <f t="shared" ref="EP6:EP49" si="12">EQ6-ER6-C6-R6-T6-AB6-AC6-BP6-EN6-EO6</f>
        <v>3118667</v>
      </c>
      <c r="EQ6" s="272">
        <v>40184835</v>
      </c>
      <c r="ER6" s="272">
        <v>-6164957</v>
      </c>
      <c r="ES6" s="272">
        <v>11484724</v>
      </c>
      <c r="ET6" s="272">
        <v>7712691</v>
      </c>
      <c r="EU6" s="272">
        <v>5477938</v>
      </c>
      <c r="EV6" s="272">
        <v>9025743</v>
      </c>
      <c r="EW6" s="455">
        <f t="shared" ref="EW6:EW49" si="13">EX6+FA6+FB6</f>
        <v>1291294</v>
      </c>
      <c r="EX6" s="272">
        <v>1291294</v>
      </c>
      <c r="EY6" s="272">
        <v>45755</v>
      </c>
      <c r="EZ6" s="272">
        <v>1237056</v>
      </c>
      <c r="FA6" s="272">
        <v>0</v>
      </c>
      <c r="FB6" s="272">
        <v>0</v>
      </c>
      <c r="FC6" s="272">
        <v>5455375</v>
      </c>
      <c r="FD6" s="272">
        <v>7735430</v>
      </c>
      <c r="FE6" s="272">
        <v>2029484</v>
      </c>
      <c r="FF6" s="272">
        <v>4422809</v>
      </c>
      <c r="FG6" s="455">
        <f t="shared" ref="FG6:FG49" si="14">FH6-ES6-EU6-EV6-EW6-FC6-FD6-FF6</f>
        <v>912425</v>
      </c>
      <c r="FH6" s="272">
        <v>45805738</v>
      </c>
      <c r="FI6" s="459">
        <f t="shared" ref="FI6:FI49" si="15">ROUND(EH6/(FJ6+FK6)*100,1)</f>
        <v>0.7</v>
      </c>
      <c r="FJ6" s="272">
        <v>38041754</v>
      </c>
      <c r="FK6" s="272">
        <v>2290523</v>
      </c>
      <c r="FL6" s="272">
        <v>19531834</v>
      </c>
      <c r="FM6" s="272">
        <v>32299120</v>
      </c>
      <c r="FN6" s="460">
        <v>0.61699999999999999</v>
      </c>
      <c r="FO6" s="388">
        <v>97.5</v>
      </c>
      <c r="FP6" s="388">
        <v>27</v>
      </c>
      <c r="FQ6" s="388">
        <v>12.1</v>
      </c>
      <c r="FR6" s="388">
        <v>22.1</v>
      </c>
      <c r="FS6" s="388">
        <v>10.7</v>
      </c>
      <c r="FT6" s="388">
        <v>16.600000000000001</v>
      </c>
      <c r="FU6" s="388">
        <v>8.5</v>
      </c>
      <c r="FV6" s="384">
        <f t="shared" ref="FV6:FV49" si="16">GP6</f>
        <v>12.8</v>
      </c>
      <c r="FW6" s="272">
        <v>83539037</v>
      </c>
      <c r="FX6" s="384">
        <f t="shared" ref="FX6:FX49" si="17">ROUND(FW6/(FJ6+FK6)*100,1)</f>
        <v>207.1</v>
      </c>
      <c r="FY6" s="272">
        <v>5657182</v>
      </c>
      <c r="FZ6" s="272">
        <v>977280</v>
      </c>
      <c r="GA6" s="272">
        <v>1055803</v>
      </c>
      <c r="GB6" s="272">
        <v>3624099</v>
      </c>
      <c r="GC6" s="272">
        <v>0</v>
      </c>
      <c r="GD6" s="272">
        <v>7760000</v>
      </c>
      <c r="GE6" s="384">
        <f t="shared" ref="GE6:GE37" si="18">ROUND(GD6/(FJ6+FK6)*100,1)</f>
        <v>19.2</v>
      </c>
      <c r="GF6" s="388">
        <v>98.2</v>
      </c>
      <c r="GG6" s="388">
        <v>29.8</v>
      </c>
      <c r="GH6" s="388">
        <v>94.8</v>
      </c>
      <c r="GI6" s="272">
        <v>1343</v>
      </c>
      <c r="GJ6" s="461" t="s">
        <v>646</v>
      </c>
      <c r="GK6" s="461">
        <v>11.45</v>
      </c>
      <c r="GL6" s="462">
        <v>20</v>
      </c>
      <c r="GM6" s="461" t="s">
        <v>646</v>
      </c>
      <c r="GN6" s="462">
        <v>16.45</v>
      </c>
      <c r="GO6" s="462">
        <v>40</v>
      </c>
      <c r="GP6" s="463">
        <v>12.8</v>
      </c>
      <c r="GQ6" s="463">
        <v>25</v>
      </c>
      <c r="GR6" s="463">
        <v>35</v>
      </c>
      <c r="GS6" s="464">
        <v>167.4</v>
      </c>
      <c r="GT6" s="463">
        <v>350</v>
      </c>
      <c r="GU6" s="394"/>
      <c r="GV6" s="394"/>
      <c r="GW6" s="394"/>
      <c r="GX6" s="394"/>
      <c r="GY6" s="394"/>
      <c r="GZ6" s="394"/>
      <c r="HA6" s="394"/>
      <c r="HB6" s="394"/>
      <c r="HC6" s="394"/>
      <c r="HD6" s="394"/>
      <c r="HE6" s="394"/>
      <c r="HF6" s="394"/>
      <c r="HG6" s="394"/>
      <c r="HH6" s="394"/>
      <c r="HI6" s="394"/>
      <c r="HJ6" s="394"/>
      <c r="HK6" s="394"/>
      <c r="HL6" s="394"/>
      <c r="HM6" s="394"/>
      <c r="HN6" s="394"/>
      <c r="HO6" s="394"/>
      <c r="HP6" s="394"/>
      <c r="HQ6" s="394"/>
      <c r="HR6" s="394"/>
      <c r="HS6" s="394"/>
      <c r="HT6" s="394"/>
      <c r="HU6" s="394"/>
      <c r="HV6" s="394"/>
    </row>
    <row r="7" spans="2:230" x14ac:dyDescent="0.15">
      <c r="B7" s="89" t="s">
        <v>7</v>
      </c>
      <c r="C7" s="272">
        <v>64219895</v>
      </c>
      <c r="D7" s="455">
        <f t="shared" si="0"/>
        <v>28255955</v>
      </c>
      <c r="E7" s="272">
        <v>522145</v>
      </c>
      <c r="F7" s="456">
        <v>27733810</v>
      </c>
      <c r="G7" s="455">
        <f t="shared" si="1"/>
        <v>3457650</v>
      </c>
      <c r="H7" s="272">
        <v>1024410</v>
      </c>
      <c r="I7" s="272">
        <v>2433240</v>
      </c>
      <c r="J7" s="272">
        <v>23707499</v>
      </c>
      <c r="K7" s="272">
        <v>9894277</v>
      </c>
      <c r="L7" s="272">
        <v>10733928</v>
      </c>
      <c r="M7" s="272">
        <v>2734399</v>
      </c>
      <c r="N7" s="272">
        <v>2086831</v>
      </c>
      <c r="O7" s="272">
        <v>5529218</v>
      </c>
      <c r="P7" s="272">
        <v>3087320</v>
      </c>
      <c r="Q7" s="272">
        <v>2441898</v>
      </c>
      <c r="R7" s="272">
        <v>2772596</v>
      </c>
      <c r="S7" s="272"/>
      <c r="T7" s="455">
        <f t="shared" si="2"/>
        <v>4361393</v>
      </c>
      <c r="U7" s="272">
        <v>403897</v>
      </c>
      <c r="V7" s="272">
        <v>151528</v>
      </c>
      <c r="W7" s="456">
        <v>70225</v>
      </c>
      <c r="X7" s="272">
        <v>3378744</v>
      </c>
      <c r="Y7" s="272">
        <v>0</v>
      </c>
      <c r="Z7" s="272">
        <v>0</v>
      </c>
      <c r="AA7" s="272">
        <v>356999</v>
      </c>
      <c r="AB7" s="272">
        <v>835354</v>
      </c>
      <c r="AC7" s="272">
        <v>1496533</v>
      </c>
      <c r="AD7" s="272">
        <v>971295</v>
      </c>
      <c r="AE7" s="272">
        <v>525238</v>
      </c>
      <c r="AF7" s="272">
        <v>63252</v>
      </c>
      <c r="AG7" s="272">
        <v>1031361</v>
      </c>
      <c r="AH7" s="455">
        <f t="shared" si="3"/>
        <v>2649585</v>
      </c>
      <c r="AI7" s="272">
        <v>2369368</v>
      </c>
      <c r="AJ7" s="272">
        <v>280217</v>
      </c>
      <c r="AK7" s="272">
        <v>25517167</v>
      </c>
      <c r="AL7" s="455">
        <f t="shared" si="4"/>
        <v>11763955</v>
      </c>
      <c r="AM7" s="272">
        <v>10493862</v>
      </c>
      <c r="AN7" s="272">
        <v>1270093</v>
      </c>
      <c r="AO7" s="272"/>
      <c r="AP7" s="272">
        <v>0</v>
      </c>
      <c r="AQ7" s="272">
        <v>2427431</v>
      </c>
      <c r="AR7" s="272">
        <v>0</v>
      </c>
      <c r="AS7" s="272">
        <v>0</v>
      </c>
      <c r="AT7" s="272">
        <v>6595942</v>
      </c>
      <c r="AU7" s="272">
        <v>3270781</v>
      </c>
      <c r="AV7" s="272">
        <v>399717</v>
      </c>
      <c r="AW7" s="272">
        <v>18166</v>
      </c>
      <c r="AX7" s="272">
        <v>3325161</v>
      </c>
      <c r="AY7" s="272">
        <v>16709</v>
      </c>
      <c r="AZ7" s="272">
        <v>494184</v>
      </c>
      <c r="BA7" s="272">
        <v>391698</v>
      </c>
      <c r="BB7" s="272">
        <v>32466</v>
      </c>
      <c r="BC7" s="272">
        <v>3716578</v>
      </c>
      <c r="BD7" s="272">
        <v>4358</v>
      </c>
      <c r="BE7" s="272">
        <v>134094</v>
      </c>
      <c r="BF7" s="272">
        <v>219178</v>
      </c>
      <c r="BG7" s="272">
        <v>3108769</v>
      </c>
      <c r="BH7" s="272">
        <v>648552</v>
      </c>
      <c r="BI7" s="272">
        <v>157588</v>
      </c>
      <c r="BJ7" s="272">
        <v>3626549</v>
      </c>
      <c r="BK7" s="272">
        <v>1780269</v>
      </c>
      <c r="BL7" s="272">
        <v>0</v>
      </c>
      <c r="BM7" s="272">
        <v>47898</v>
      </c>
      <c r="BN7" s="272">
        <v>7082900</v>
      </c>
      <c r="BO7" s="455">
        <f t="shared" si="5"/>
        <v>685300</v>
      </c>
      <c r="BP7" s="455">
        <f t="shared" si="6"/>
        <v>4397600</v>
      </c>
      <c r="BQ7" s="272"/>
      <c r="BR7" s="272">
        <v>0</v>
      </c>
      <c r="BS7" s="272">
        <v>4397600</v>
      </c>
      <c r="BT7" s="272">
        <v>2000000</v>
      </c>
      <c r="BU7" s="272">
        <v>125144307</v>
      </c>
      <c r="BV7" s="272"/>
      <c r="BW7" s="272">
        <v>28826824</v>
      </c>
      <c r="BX7" s="272">
        <v>19394357</v>
      </c>
      <c r="BY7" s="272">
        <v>4129347</v>
      </c>
      <c r="BZ7" s="272">
        <v>1068146</v>
      </c>
      <c r="CA7" s="272">
        <v>27080914</v>
      </c>
      <c r="CB7" s="272">
        <v>4348995</v>
      </c>
      <c r="CC7" s="272">
        <v>615742</v>
      </c>
      <c r="CD7" s="272">
        <v>7515411</v>
      </c>
      <c r="CE7" s="272">
        <v>14257300</v>
      </c>
      <c r="CF7" s="272">
        <v>10565</v>
      </c>
      <c r="CG7" s="272">
        <v>332206</v>
      </c>
      <c r="CH7" s="272">
        <v>14215384</v>
      </c>
      <c r="CI7" s="272">
        <v>12188919</v>
      </c>
      <c r="CJ7" s="455">
        <f t="shared" si="7"/>
        <v>2026465</v>
      </c>
      <c r="CK7" s="272">
        <v>11792288</v>
      </c>
      <c r="CL7" s="272">
        <v>5209080</v>
      </c>
      <c r="CM7" s="272">
        <v>1022243</v>
      </c>
      <c r="CN7" s="272">
        <v>2507163</v>
      </c>
      <c r="CO7" s="272">
        <v>623550</v>
      </c>
      <c r="CP7" s="272">
        <v>21230002</v>
      </c>
      <c r="CQ7" s="272">
        <v>2148960</v>
      </c>
      <c r="CR7" s="272">
        <v>9136378</v>
      </c>
      <c r="CS7" s="272">
        <v>2205576</v>
      </c>
      <c r="CT7" s="455">
        <f t="shared" si="8"/>
        <v>4475972</v>
      </c>
      <c r="CU7" s="272">
        <v>3940194</v>
      </c>
      <c r="CV7" s="272">
        <v>535778</v>
      </c>
      <c r="CW7" s="455">
        <f t="shared" si="9"/>
        <v>1149321</v>
      </c>
      <c r="CX7" s="272">
        <v>977551</v>
      </c>
      <c r="CY7" s="272">
        <v>171770</v>
      </c>
      <c r="CZ7" s="455">
        <f t="shared" si="10"/>
        <v>3222259</v>
      </c>
      <c r="DA7" s="272">
        <v>2920825</v>
      </c>
      <c r="DB7" s="272">
        <v>301434</v>
      </c>
      <c r="DC7" s="272">
        <v>6362173</v>
      </c>
      <c r="DD7" s="272">
        <v>3254821</v>
      </c>
      <c r="DE7" s="272">
        <v>3107352</v>
      </c>
      <c r="DF7" s="26">
        <v>0</v>
      </c>
      <c r="DG7" s="27">
        <v>0</v>
      </c>
      <c r="DH7" s="272">
        <v>0</v>
      </c>
      <c r="DI7" s="272">
        <v>632829</v>
      </c>
      <c r="DJ7" s="272">
        <v>310848</v>
      </c>
      <c r="DK7" s="272">
        <v>13658</v>
      </c>
      <c r="DL7" s="272">
        <v>308323</v>
      </c>
      <c r="DM7" s="272">
        <v>602218</v>
      </c>
      <c r="DN7" s="272">
        <v>602218</v>
      </c>
      <c r="DO7" s="272">
        <v>0</v>
      </c>
      <c r="DP7" s="272">
        <v>437145</v>
      </c>
      <c r="DQ7" s="272">
        <v>1608350</v>
      </c>
      <c r="DR7" s="272">
        <v>0</v>
      </c>
      <c r="DS7" s="272">
        <v>0</v>
      </c>
      <c r="DT7" s="272">
        <v>10611217</v>
      </c>
      <c r="DU7" s="272">
        <v>0</v>
      </c>
      <c r="DV7" s="455">
        <f t="shared" si="11"/>
        <v>0</v>
      </c>
      <c r="DW7" s="272">
        <v>0</v>
      </c>
      <c r="DX7" s="272">
        <v>2963061</v>
      </c>
      <c r="DY7" s="272">
        <v>0</v>
      </c>
      <c r="DZ7" s="272">
        <v>4335876</v>
      </c>
      <c r="EA7" s="272">
        <v>0</v>
      </c>
      <c r="EB7" s="272">
        <v>2531463</v>
      </c>
      <c r="EC7" s="272">
        <v>0</v>
      </c>
      <c r="ED7" s="272">
        <v>123585749</v>
      </c>
      <c r="EE7" s="89"/>
      <c r="EF7" s="272">
        <v>1558558</v>
      </c>
      <c r="EG7" s="272">
        <v>1511969</v>
      </c>
      <c r="EH7" s="272">
        <v>46589</v>
      </c>
      <c r="EI7" s="272">
        <v>-110999</v>
      </c>
      <c r="EJ7" s="272">
        <v>442376</v>
      </c>
      <c r="EK7" s="89"/>
      <c r="EL7" s="272"/>
      <c r="EM7" s="272">
        <v>389842</v>
      </c>
      <c r="EN7" s="272">
        <v>3382220</v>
      </c>
      <c r="EO7" s="272">
        <v>454732</v>
      </c>
      <c r="EP7" s="455">
        <f t="shared" si="12"/>
        <v>2876751</v>
      </c>
      <c r="EQ7" s="272">
        <v>73749023</v>
      </c>
      <c r="ER7" s="272">
        <v>-11048051</v>
      </c>
      <c r="ES7" s="272">
        <v>25317786</v>
      </c>
      <c r="ET7" s="272">
        <v>18063325</v>
      </c>
      <c r="EU7" s="272">
        <v>8164021</v>
      </c>
      <c r="EV7" s="272">
        <v>14147070</v>
      </c>
      <c r="EW7" s="455">
        <f t="shared" si="13"/>
        <v>2771792</v>
      </c>
      <c r="EX7" s="272">
        <v>2771792</v>
      </c>
      <c r="EY7" s="272">
        <v>628932</v>
      </c>
      <c r="EZ7" s="272">
        <v>2142860</v>
      </c>
      <c r="FA7" s="272">
        <v>0</v>
      </c>
      <c r="FB7" s="272">
        <v>0</v>
      </c>
      <c r="FC7" s="272">
        <v>8798072</v>
      </c>
      <c r="FD7" s="272">
        <v>13709618</v>
      </c>
      <c r="FE7" s="272">
        <v>2148960</v>
      </c>
      <c r="FF7" s="272">
        <v>8786337</v>
      </c>
      <c r="FG7" s="455">
        <f t="shared" si="14"/>
        <v>1552614</v>
      </c>
      <c r="FH7" s="272">
        <v>83247310</v>
      </c>
      <c r="FI7" s="459">
        <f t="shared" si="15"/>
        <v>0.1</v>
      </c>
      <c r="FJ7" s="272">
        <v>67791967</v>
      </c>
      <c r="FK7" s="272">
        <v>4397725</v>
      </c>
      <c r="FL7" s="272">
        <v>51137036</v>
      </c>
      <c r="FM7" s="272">
        <v>52150478</v>
      </c>
      <c r="FN7" s="460">
        <v>0.98099999999999998</v>
      </c>
      <c r="FO7" s="388">
        <v>100.1</v>
      </c>
      <c r="FP7" s="388">
        <v>34.5</v>
      </c>
      <c r="FQ7" s="388">
        <v>11.2</v>
      </c>
      <c r="FR7" s="388">
        <v>19.100000000000001</v>
      </c>
      <c r="FS7" s="388">
        <v>11.4</v>
      </c>
      <c r="FT7" s="388">
        <v>13.7</v>
      </c>
      <c r="FU7" s="388">
        <v>9.6999999999999993</v>
      </c>
      <c r="FV7" s="384">
        <f t="shared" si="16"/>
        <v>11.8</v>
      </c>
      <c r="FW7" s="272">
        <v>104070353</v>
      </c>
      <c r="FX7" s="384">
        <f t="shared" si="17"/>
        <v>144.19999999999999</v>
      </c>
      <c r="FY7" s="272">
        <v>12306565</v>
      </c>
      <c r="FZ7" s="272">
        <v>378189</v>
      </c>
      <c r="GA7" s="272">
        <v>3593488</v>
      </c>
      <c r="GB7" s="272">
        <v>8334888</v>
      </c>
      <c r="GC7" s="272">
        <v>5217821</v>
      </c>
      <c r="GD7" s="272">
        <v>12414000</v>
      </c>
      <c r="GE7" s="384">
        <f t="shared" si="18"/>
        <v>17.2</v>
      </c>
      <c r="GF7" s="388">
        <v>98</v>
      </c>
      <c r="GG7" s="388">
        <v>20.2</v>
      </c>
      <c r="GH7" s="388">
        <v>92.8</v>
      </c>
      <c r="GI7" s="272">
        <v>2592</v>
      </c>
      <c r="GJ7" s="461" t="s">
        <v>646</v>
      </c>
      <c r="GK7" s="461">
        <v>11.25</v>
      </c>
      <c r="GL7" s="462">
        <v>20</v>
      </c>
      <c r="GM7" s="461" t="s">
        <v>646</v>
      </c>
      <c r="GN7" s="462">
        <v>16.25</v>
      </c>
      <c r="GO7" s="462">
        <v>40</v>
      </c>
      <c r="GP7" s="463">
        <v>11.8</v>
      </c>
      <c r="GQ7" s="463">
        <v>25</v>
      </c>
      <c r="GR7" s="463">
        <v>35</v>
      </c>
      <c r="GS7" s="464">
        <v>102.8</v>
      </c>
      <c r="GT7" s="463">
        <v>350</v>
      </c>
      <c r="GU7" s="394"/>
      <c r="GV7" s="394"/>
      <c r="GW7" s="394"/>
      <c r="GX7" s="394"/>
      <c r="GY7" s="394"/>
      <c r="GZ7" s="394"/>
      <c r="HA7" s="394"/>
      <c r="HB7" s="394"/>
      <c r="HC7" s="394"/>
      <c r="HD7" s="394"/>
      <c r="HE7" s="394"/>
      <c r="HF7" s="394"/>
      <c r="HG7" s="394"/>
      <c r="HH7" s="394"/>
      <c r="HI7" s="394"/>
      <c r="HJ7" s="394"/>
      <c r="HK7" s="394"/>
      <c r="HL7" s="394"/>
      <c r="HM7" s="394"/>
      <c r="HN7" s="394"/>
      <c r="HO7" s="394"/>
      <c r="HP7" s="394"/>
      <c r="HQ7" s="394"/>
      <c r="HR7" s="394"/>
      <c r="HS7" s="394"/>
      <c r="HT7" s="394"/>
      <c r="HU7" s="394"/>
      <c r="HV7" s="394"/>
    </row>
    <row r="8" spans="2:230" x14ac:dyDescent="0.15">
      <c r="B8" s="89" t="s">
        <v>9</v>
      </c>
      <c r="C8" s="272">
        <v>16020622</v>
      </c>
      <c r="D8" s="455">
        <f t="shared" si="0"/>
        <v>7074042</v>
      </c>
      <c r="E8" s="272">
        <v>141200</v>
      </c>
      <c r="F8" s="456">
        <v>6932842</v>
      </c>
      <c r="G8" s="455">
        <f t="shared" si="1"/>
        <v>897173</v>
      </c>
      <c r="H8" s="272">
        <v>267936</v>
      </c>
      <c r="I8" s="272">
        <v>629237</v>
      </c>
      <c r="J8" s="272">
        <v>6091709</v>
      </c>
      <c r="K8" s="272">
        <v>2692467</v>
      </c>
      <c r="L8" s="272">
        <v>2572145</v>
      </c>
      <c r="M8" s="272">
        <v>771660</v>
      </c>
      <c r="N8" s="272">
        <v>489358</v>
      </c>
      <c r="O8" s="272">
        <v>1388583</v>
      </c>
      <c r="P8" s="272">
        <v>819844</v>
      </c>
      <c r="Q8" s="272">
        <v>568739</v>
      </c>
      <c r="R8" s="272">
        <v>238012</v>
      </c>
      <c r="S8" s="272"/>
      <c r="T8" s="455">
        <f t="shared" si="2"/>
        <v>1300401</v>
      </c>
      <c r="U8" s="272">
        <v>101358</v>
      </c>
      <c r="V8" s="272">
        <v>38022</v>
      </c>
      <c r="W8" s="456">
        <v>17683</v>
      </c>
      <c r="X8" s="272">
        <v>968867</v>
      </c>
      <c r="Y8" s="272">
        <v>74138</v>
      </c>
      <c r="Z8" s="272">
        <v>0</v>
      </c>
      <c r="AA8" s="272">
        <v>100333</v>
      </c>
      <c r="AB8" s="272">
        <v>223570</v>
      </c>
      <c r="AC8" s="272">
        <v>1571877</v>
      </c>
      <c r="AD8" s="272">
        <v>1095512</v>
      </c>
      <c r="AE8" s="272">
        <v>476365</v>
      </c>
      <c r="AF8" s="272">
        <v>17505</v>
      </c>
      <c r="AG8" s="272">
        <v>232355</v>
      </c>
      <c r="AH8" s="455">
        <f t="shared" si="3"/>
        <v>979730</v>
      </c>
      <c r="AI8" s="272">
        <v>796534</v>
      </c>
      <c r="AJ8" s="272">
        <v>183196</v>
      </c>
      <c r="AK8" s="272">
        <v>4755191</v>
      </c>
      <c r="AL8" s="455">
        <f t="shared" si="4"/>
        <v>1395317</v>
      </c>
      <c r="AM8" s="272">
        <v>1163718</v>
      </c>
      <c r="AN8" s="272">
        <v>231599</v>
      </c>
      <c r="AO8" s="272"/>
      <c r="AP8" s="272">
        <v>0</v>
      </c>
      <c r="AQ8" s="272">
        <v>340619</v>
      </c>
      <c r="AR8" s="272">
        <v>0</v>
      </c>
      <c r="AS8" s="272">
        <v>0</v>
      </c>
      <c r="AT8" s="272">
        <v>1804245</v>
      </c>
      <c r="AU8" s="272">
        <v>919267</v>
      </c>
      <c r="AV8" s="272">
        <v>174398</v>
      </c>
      <c r="AW8" s="272">
        <v>8863</v>
      </c>
      <c r="AX8" s="272">
        <v>884978</v>
      </c>
      <c r="AY8" s="272">
        <v>32759</v>
      </c>
      <c r="AZ8" s="272">
        <v>689672</v>
      </c>
      <c r="BA8" s="272">
        <v>665317</v>
      </c>
      <c r="BB8" s="272">
        <v>73794</v>
      </c>
      <c r="BC8" s="272">
        <v>559452</v>
      </c>
      <c r="BD8" s="272">
        <v>422824</v>
      </c>
      <c r="BE8" s="272">
        <v>0</v>
      </c>
      <c r="BF8" s="272">
        <v>132840</v>
      </c>
      <c r="BG8" s="272">
        <v>0</v>
      </c>
      <c r="BH8" s="272">
        <v>212950</v>
      </c>
      <c r="BI8" s="272">
        <v>159223</v>
      </c>
      <c r="BJ8" s="272">
        <v>4271711</v>
      </c>
      <c r="BK8" s="272">
        <v>3642804</v>
      </c>
      <c r="BL8" s="272">
        <v>0</v>
      </c>
      <c r="BM8" s="272">
        <v>32434</v>
      </c>
      <c r="BN8" s="272">
        <v>3129900</v>
      </c>
      <c r="BO8" s="455">
        <f t="shared" si="5"/>
        <v>508500</v>
      </c>
      <c r="BP8" s="455">
        <f t="shared" si="6"/>
        <v>2621400</v>
      </c>
      <c r="BQ8" s="272"/>
      <c r="BR8" s="272">
        <v>1281600</v>
      </c>
      <c r="BS8" s="272">
        <v>1339800</v>
      </c>
      <c r="BT8" s="272">
        <v>0</v>
      </c>
      <c r="BU8" s="272">
        <v>36080987</v>
      </c>
      <c r="BV8" s="272"/>
      <c r="BW8" s="272">
        <v>7234088</v>
      </c>
      <c r="BX8" s="272">
        <v>4675981</v>
      </c>
      <c r="BY8" s="272">
        <v>850520</v>
      </c>
      <c r="BZ8" s="272">
        <v>449729</v>
      </c>
      <c r="CA8" s="272">
        <v>4933245</v>
      </c>
      <c r="CB8" s="272">
        <v>1001737</v>
      </c>
      <c r="CC8" s="272">
        <v>120191</v>
      </c>
      <c r="CD8" s="272">
        <v>2184810</v>
      </c>
      <c r="CE8" s="272">
        <v>1557071</v>
      </c>
      <c r="CF8" s="272">
        <v>8552</v>
      </c>
      <c r="CG8" s="272">
        <v>58534</v>
      </c>
      <c r="CH8" s="272">
        <v>3946977</v>
      </c>
      <c r="CI8" s="272">
        <v>3214669</v>
      </c>
      <c r="CJ8" s="455">
        <f t="shared" si="7"/>
        <v>732308</v>
      </c>
      <c r="CK8" s="272">
        <v>5135460</v>
      </c>
      <c r="CL8" s="272">
        <v>2964393</v>
      </c>
      <c r="CM8" s="272">
        <v>482277</v>
      </c>
      <c r="CN8" s="272">
        <v>686240</v>
      </c>
      <c r="CO8" s="272">
        <v>441272</v>
      </c>
      <c r="CP8" s="272">
        <v>4873792</v>
      </c>
      <c r="CQ8" s="272">
        <v>2123</v>
      </c>
      <c r="CR8" s="272">
        <v>2325296</v>
      </c>
      <c r="CS8" s="272">
        <v>479284</v>
      </c>
      <c r="CT8" s="455">
        <f t="shared" si="8"/>
        <v>1354887</v>
      </c>
      <c r="CU8" s="272">
        <v>1247438</v>
      </c>
      <c r="CV8" s="272">
        <v>107449</v>
      </c>
      <c r="CW8" s="455">
        <f t="shared" si="9"/>
        <v>616693</v>
      </c>
      <c r="CX8" s="272">
        <v>552910</v>
      </c>
      <c r="CY8" s="272">
        <v>63783</v>
      </c>
      <c r="CZ8" s="455">
        <f t="shared" si="10"/>
        <v>733602</v>
      </c>
      <c r="DA8" s="272">
        <v>689936</v>
      </c>
      <c r="DB8" s="272">
        <v>43666</v>
      </c>
      <c r="DC8" s="272">
        <v>1550592</v>
      </c>
      <c r="DD8" s="272">
        <v>642527</v>
      </c>
      <c r="DE8" s="272">
        <v>898090</v>
      </c>
      <c r="DF8" s="26">
        <v>9975</v>
      </c>
      <c r="DG8" s="27">
        <v>0</v>
      </c>
      <c r="DH8" s="272">
        <v>0</v>
      </c>
      <c r="DI8" s="272">
        <v>501237</v>
      </c>
      <c r="DJ8" s="272">
        <v>2725</v>
      </c>
      <c r="DK8" s="272">
        <v>0</v>
      </c>
      <c r="DL8" s="272">
        <v>498512</v>
      </c>
      <c r="DM8" s="272">
        <v>429723</v>
      </c>
      <c r="DN8" s="272">
        <v>429723</v>
      </c>
      <c r="DO8" s="272">
        <v>0</v>
      </c>
      <c r="DP8" s="272">
        <v>429723</v>
      </c>
      <c r="DQ8" s="272">
        <v>3643120</v>
      </c>
      <c r="DR8" s="272">
        <v>0</v>
      </c>
      <c r="DS8" s="272">
        <v>0</v>
      </c>
      <c r="DT8" s="272">
        <v>2541150</v>
      </c>
      <c r="DU8" s="272">
        <v>0</v>
      </c>
      <c r="DV8" s="455">
        <f t="shared" si="11"/>
        <v>0</v>
      </c>
      <c r="DW8" s="272">
        <v>0</v>
      </c>
      <c r="DX8" s="272">
        <v>873027</v>
      </c>
      <c r="DY8" s="272">
        <v>6472</v>
      </c>
      <c r="DZ8" s="272">
        <v>780559</v>
      </c>
      <c r="EA8" s="272">
        <v>394</v>
      </c>
      <c r="EB8" s="272">
        <v>880698</v>
      </c>
      <c r="EC8" s="272">
        <v>0</v>
      </c>
      <c r="ED8" s="272">
        <v>35230656</v>
      </c>
      <c r="EE8" s="89"/>
      <c r="EF8" s="272">
        <v>850331</v>
      </c>
      <c r="EG8" s="272">
        <v>32157</v>
      </c>
      <c r="EH8" s="272">
        <v>818174</v>
      </c>
      <c r="EI8" s="272">
        <v>58951</v>
      </c>
      <c r="EJ8" s="272">
        <v>-157551</v>
      </c>
      <c r="EK8" s="89"/>
      <c r="EL8" s="272"/>
      <c r="EM8" s="272">
        <v>102545</v>
      </c>
      <c r="EN8" s="272">
        <v>422824</v>
      </c>
      <c r="EO8" s="272">
        <v>685213</v>
      </c>
      <c r="EP8" s="455">
        <f t="shared" si="12"/>
        <v>798404</v>
      </c>
      <c r="EQ8" s="272">
        <v>19371987</v>
      </c>
      <c r="ER8" s="272">
        <v>-4510336</v>
      </c>
      <c r="ES8" s="272">
        <v>6869742</v>
      </c>
      <c r="ET8" s="272">
        <v>4353400</v>
      </c>
      <c r="EU8" s="272">
        <v>1644878</v>
      </c>
      <c r="EV8" s="272">
        <v>3946977</v>
      </c>
      <c r="EW8" s="455">
        <f t="shared" si="13"/>
        <v>572553</v>
      </c>
      <c r="EX8" s="272">
        <v>572553</v>
      </c>
      <c r="EY8" s="272">
        <v>62834</v>
      </c>
      <c r="EZ8" s="272">
        <v>507724</v>
      </c>
      <c r="FA8" s="272">
        <v>0</v>
      </c>
      <c r="FB8" s="272">
        <v>0</v>
      </c>
      <c r="FC8" s="272">
        <v>3966653</v>
      </c>
      <c r="FD8" s="272">
        <v>2645624</v>
      </c>
      <c r="FE8" s="272">
        <v>2123</v>
      </c>
      <c r="FF8" s="272">
        <v>2164058</v>
      </c>
      <c r="FG8" s="455">
        <f t="shared" si="14"/>
        <v>1221507</v>
      </c>
      <c r="FH8" s="272">
        <v>23031992</v>
      </c>
      <c r="FI8" s="459">
        <f t="shared" si="15"/>
        <v>4.0999999999999996</v>
      </c>
      <c r="FJ8" s="272">
        <v>18621826</v>
      </c>
      <c r="FK8" s="272">
        <v>1339876</v>
      </c>
      <c r="FL8" s="272">
        <v>13339184</v>
      </c>
      <c r="FM8" s="272">
        <v>14447689</v>
      </c>
      <c r="FN8" s="460">
        <v>0.93300000000000005</v>
      </c>
      <c r="FO8" s="388">
        <v>98.5</v>
      </c>
      <c r="FP8" s="388">
        <v>33.1</v>
      </c>
      <c r="FQ8" s="388">
        <v>8</v>
      </c>
      <c r="FR8" s="388">
        <v>18.399999999999999</v>
      </c>
      <c r="FS8" s="388">
        <v>17.899999999999999</v>
      </c>
      <c r="FT8" s="388">
        <v>9.5</v>
      </c>
      <c r="FU8" s="388">
        <v>9.6</v>
      </c>
      <c r="FV8" s="384">
        <f t="shared" si="16"/>
        <v>7.5</v>
      </c>
      <c r="FW8" s="272">
        <v>35634867</v>
      </c>
      <c r="FX8" s="384">
        <f t="shared" si="17"/>
        <v>178.5</v>
      </c>
      <c r="FY8" s="272">
        <v>3938957</v>
      </c>
      <c r="FZ8" s="272">
        <v>2528776</v>
      </c>
      <c r="GA8" s="272">
        <v>0</v>
      </c>
      <c r="GB8" s="272">
        <v>1410181</v>
      </c>
      <c r="GC8" s="272">
        <v>0</v>
      </c>
      <c r="GD8" s="272">
        <v>1023000</v>
      </c>
      <c r="GE8" s="384">
        <f t="shared" si="18"/>
        <v>5.0999999999999996</v>
      </c>
      <c r="GF8" s="388">
        <v>97.4</v>
      </c>
      <c r="GG8" s="388">
        <v>19.899999999999999</v>
      </c>
      <c r="GH8" s="388">
        <v>91.6</v>
      </c>
      <c r="GI8" s="272">
        <v>686</v>
      </c>
      <c r="GJ8" s="461" t="s">
        <v>646</v>
      </c>
      <c r="GK8" s="461">
        <v>12.5</v>
      </c>
      <c r="GL8" s="462">
        <v>20</v>
      </c>
      <c r="GM8" s="461" t="s">
        <v>646</v>
      </c>
      <c r="GN8" s="462">
        <v>17.5</v>
      </c>
      <c r="GO8" s="462">
        <v>40</v>
      </c>
      <c r="GP8" s="463">
        <v>7.5</v>
      </c>
      <c r="GQ8" s="463">
        <v>25</v>
      </c>
      <c r="GR8" s="463">
        <v>35</v>
      </c>
      <c r="GS8" s="464">
        <v>116.4</v>
      </c>
      <c r="GT8" s="463">
        <v>350</v>
      </c>
      <c r="GU8" s="394"/>
      <c r="GV8" s="394"/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</row>
    <row r="9" spans="2:230" x14ac:dyDescent="0.15">
      <c r="B9" s="89" t="s">
        <v>11</v>
      </c>
      <c r="C9" s="272">
        <v>62657680</v>
      </c>
      <c r="D9" s="455">
        <f t="shared" si="0"/>
        <v>26422211</v>
      </c>
      <c r="E9" s="272">
        <v>479845</v>
      </c>
      <c r="F9" s="456">
        <v>25942366</v>
      </c>
      <c r="G9" s="455">
        <f t="shared" si="1"/>
        <v>4137854</v>
      </c>
      <c r="H9" s="272">
        <v>1061859</v>
      </c>
      <c r="I9" s="272">
        <v>3075995</v>
      </c>
      <c r="J9" s="272">
        <v>23888294</v>
      </c>
      <c r="K9" s="272">
        <v>9756892</v>
      </c>
      <c r="L9" s="272">
        <v>10824824</v>
      </c>
      <c r="M9" s="272">
        <v>2817169</v>
      </c>
      <c r="N9" s="272">
        <v>1591907</v>
      </c>
      <c r="O9" s="272">
        <v>5375296</v>
      </c>
      <c r="P9" s="272">
        <v>2916574</v>
      </c>
      <c r="Q9" s="272">
        <v>2458722</v>
      </c>
      <c r="R9" s="272">
        <v>644109</v>
      </c>
      <c r="S9" s="272"/>
      <c r="T9" s="455">
        <f t="shared" si="2"/>
        <v>4263690</v>
      </c>
      <c r="U9" s="272">
        <v>380178</v>
      </c>
      <c r="V9" s="272">
        <v>142612</v>
      </c>
      <c r="W9" s="456">
        <v>66341</v>
      </c>
      <c r="X9" s="272">
        <v>3348082</v>
      </c>
      <c r="Y9" s="272">
        <v>0</v>
      </c>
      <c r="Z9" s="272">
        <v>0</v>
      </c>
      <c r="AA9" s="272">
        <v>326477</v>
      </c>
      <c r="AB9" s="272">
        <v>837763</v>
      </c>
      <c r="AC9" s="272">
        <v>100197</v>
      </c>
      <c r="AD9" s="272">
        <v>0</v>
      </c>
      <c r="AE9" s="272">
        <v>100197</v>
      </c>
      <c r="AF9" s="272">
        <v>55983</v>
      </c>
      <c r="AG9" s="272">
        <v>1282569</v>
      </c>
      <c r="AH9" s="455">
        <f t="shared" si="3"/>
        <v>2779277</v>
      </c>
      <c r="AI9" s="272">
        <v>2328402</v>
      </c>
      <c r="AJ9" s="272">
        <v>450875</v>
      </c>
      <c r="AK9" s="272">
        <v>21957470</v>
      </c>
      <c r="AL9" s="455">
        <f t="shared" si="4"/>
        <v>7242699</v>
      </c>
      <c r="AM9" s="272">
        <v>6521086</v>
      </c>
      <c r="AN9" s="272">
        <v>721613</v>
      </c>
      <c r="AO9" s="272"/>
      <c r="AP9" s="272">
        <v>0</v>
      </c>
      <c r="AQ9" s="272">
        <v>4392813</v>
      </c>
      <c r="AR9" s="272">
        <v>0</v>
      </c>
      <c r="AS9" s="272">
        <v>0</v>
      </c>
      <c r="AT9" s="272">
        <v>5372972</v>
      </c>
      <c r="AU9" s="272">
        <v>3473145</v>
      </c>
      <c r="AV9" s="272">
        <v>360807</v>
      </c>
      <c r="AW9" s="272">
        <v>201183</v>
      </c>
      <c r="AX9" s="272">
        <v>1899827</v>
      </c>
      <c r="AY9" s="272">
        <v>16300</v>
      </c>
      <c r="AZ9" s="272">
        <v>618210</v>
      </c>
      <c r="BA9" s="272">
        <v>554288</v>
      </c>
      <c r="BB9" s="272">
        <v>7742</v>
      </c>
      <c r="BC9" s="272">
        <v>8234136</v>
      </c>
      <c r="BD9" s="272">
        <v>2100000</v>
      </c>
      <c r="BE9" s="272">
        <v>0</v>
      </c>
      <c r="BF9" s="272">
        <v>6134136</v>
      </c>
      <c r="BG9" s="272">
        <v>0</v>
      </c>
      <c r="BH9" s="272">
        <v>828560</v>
      </c>
      <c r="BI9" s="272">
        <v>279651</v>
      </c>
      <c r="BJ9" s="272">
        <v>1392048</v>
      </c>
      <c r="BK9" s="272">
        <v>374028</v>
      </c>
      <c r="BL9" s="272">
        <v>155287</v>
      </c>
      <c r="BM9" s="272">
        <v>69990</v>
      </c>
      <c r="BN9" s="272">
        <v>4736200</v>
      </c>
      <c r="BO9" s="455">
        <f t="shared" si="5"/>
        <v>2236200</v>
      </c>
      <c r="BP9" s="455">
        <f t="shared" si="6"/>
        <v>2500000</v>
      </c>
      <c r="BQ9" s="272"/>
      <c r="BR9" s="272">
        <v>0</v>
      </c>
      <c r="BS9" s="272">
        <v>2500000</v>
      </c>
      <c r="BT9" s="272">
        <v>0</v>
      </c>
      <c r="BU9" s="272">
        <v>115768606</v>
      </c>
      <c r="BV9" s="272"/>
      <c r="BW9" s="272">
        <v>26489078</v>
      </c>
      <c r="BX9" s="272">
        <v>17146157</v>
      </c>
      <c r="BY9" s="272">
        <v>3839967</v>
      </c>
      <c r="BZ9" s="272">
        <v>1690459</v>
      </c>
      <c r="CA9" s="272">
        <v>23218171</v>
      </c>
      <c r="CB9" s="272">
        <v>4696300</v>
      </c>
      <c r="CC9" s="272">
        <v>1080038</v>
      </c>
      <c r="CD9" s="272">
        <v>7810094</v>
      </c>
      <c r="CE9" s="272">
        <v>8727087</v>
      </c>
      <c r="CF9" s="272">
        <v>371218</v>
      </c>
      <c r="CG9" s="272">
        <v>532384</v>
      </c>
      <c r="CH9" s="272">
        <v>7851410</v>
      </c>
      <c r="CI9" s="272">
        <v>6622367</v>
      </c>
      <c r="CJ9" s="455">
        <f t="shared" si="7"/>
        <v>1229043</v>
      </c>
      <c r="CK9" s="272">
        <v>14667895</v>
      </c>
      <c r="CL9" s="272">
        <v>9003635</v>
      </c>
      <c r="CM9" s="272">
        <v>954757</v>
      </c>
      <c r="CN9" s="272">
        <v>2471309</v>
      </c>
      <c r="CO9" s="272">
        <v>2295722</v>
      </c>
      <c r="CP9" s="272">
        <v>10238517</v>
      </c>
      <c r="CQ9" s="272">
        <v>7217</v>
      </c>
      <c r="CR9" s="272">
        <v>7645367</v>
      </c>
      <c r="CS9" s="272">
        <v>1921068</v>
      </c>
      <c r="CT9" s="455">
        <f t="shared" si="8"/>
        <v>901534</v>
      </c>
      <c r="CU9" s="272">
        <v>594347</v>
      </c>
      <c r="CV9" s="272">
        <v>307187</v>
      </c>
      <c r="CW9" s="455">
        <f t="shared" si="9"/>
        <v>880469</v>
      </c>
      <c r="CX9" s="272">
        <v>573282</v>
      </c>
      <c r="CY9" s="272">
        <v>307187</v>
      </c>
      <c r="CZ9" s="455">
        <f t="shared" si="10"/>
        <v>0</v>
      </c>
      <c r="DA9" s="272">
        <v>0</v>
      </c>
      <c r="DB9" s="272">
        <v>0</v>
      </c>
      <c r="DC9" s="272">
        <v>15895622</v>
      </c>
      <c r="DD9" s="272">
        <v>8374541</v>
      </c>
      <c r="DE9" s="272">
        <v>7356016</v>
      </c>
      <c r="DF9" s="26">
        <v>3162</v>
      </c>
      <c r="DG9" s="27">
        <v>161903</v>
      </c>
      <c r="DH9" s="272">
        <v>0</v>
      </c>
      <c r="DI9" s="272">
        <v>1283787</v>
      </c>
      <c r="DJ9" s="272">
        <v>139053</v>
      </c>
      <c r="DK9" s="272">
        <v>0</v>
      </c>
      <c r="DL9" s="272">
        <v>1144734</v>
      </c>
      <c r="DM9" s="272">
        <v>551998</v>
      </c>
      <c r="DN9" s="272">
        <v>533998</v>
      </c>
      <c r="DO9" s="272">
        <v>0</v>
      </c>
      <c r="DP9" s="272">
        <v>533998</v>
      </c>
      <c r="DQ9" s="272">
        <v>375200</v>
      </c>
      <c r="DR9" s="272">
        <v>0</v>
      </c>
      <c r="DS9" s="272">
        <v>0</v>
      </c>
      <c r="DT9" s="272">
        <v>12017512</v>
      </c>
      <c r="DU9" s="272">
        <v>3917256</v>
      </c>
      <c r="DV9" s="455">
        <f t="shared" si="11"/>
        <v>0</v>
      </c>
      <c r="DW9" s="272">
        <v>0</v>
      </c>
      <c r="DX9" s="272">
        <v>2588490</v>
      </c>
      <c r="DY9" s="272">
        <v>101247</v>
      </c>
      <c r="DZ9" s="272">
        <v>2788299</v>
      </c>
      <c r="EA9" s="272">
        <v>4529</v>
      </c>
      <c r="EB9" s="272">
        <v>2523964</v>
      </c>
      <c r="EC9" s="272">
        <v>0</v>
      </c>
      <c r="ED9" s="272">
        <v>114884912</v>
      </c>
      <c r="EE9" s="89"/>
      <c r="EF9" s="272">
        <v>883694</v>
      </c>
      <c r="EG9" s="272">
        <v>649339</v>
      </c>
      <c r="EH9" s="272">
        <v>234355</v>
      </c>
      <c r="EI9" s="272">
        <v>-45296</v>
      </c>
      <c r="EJ9" s="272">
        <v>-2006243</v>
      </c>
      <c r="EK9" s="89"/>
      <c r="EL9" s="272"/>
      <c r="EM9" s="272">
        <v>347279</v>
      </c>
      <c r="EN9" s="272">
        <v>2130045</v>
      </c>
      <c r="EO9" s="272">
        <v>567689</v>
      </c>
      <c r="EP9" s="455">
        <f t="shared" si="12"/>
        <v>2028539</v>
      </c>
      <c r="EQ9" s="272">
        <v>68559422</v>
      </c>
      <c r="ER9" s="272">
        <v>-7170290</v>
      </c>
      <c r="ES9" s="272">
        <v>24759158</v>
      </c>
      <c r="ET9" s="272">
        <v>15726690</v>
      </c>
      <c r="EU9" s="272">
        <v>8478447</v>
      </c>
      <c r="EV9" s="272">
        <v>7847382</v>
      </c>
      <c r="EW9" s="455">
        <f t="shared" si="13"/>
        <v>2540364</v>
      </c>
      <c r="EX9" s="272">
        <v>2540364</v>
      </c>
      <c r="EY9" s="272">
        <v>261589</v>
      </c>
      <c r="EZ9" s="272">
        <v>2268997</v>
      </c>
      <c r="FA9" s="272">
        <v>0</v>
      </c>
      <c r="FB9" s="272">
        <v>0</v>
      </c>
      <c r="FC9" s="272">
        <v>12240413</v>
      </c>
      <c r="FD9" s="272">
        <v>4316424</v>
      </c>
      <c r="FE9" s="272">
        <v>7217</v>
      </c>
      <c r="FF9" s="272">
        <v>10763923</v>
      </c>
      <c r="FG9" s="455">
        <f t="shared" si="14"/>
        <v>3899907</v>
      </c>
      <c r="FH9" s="272">
        <v>74846018</v>
      </c>
      <c r="FI9" s="459">
        <f t="shared" si="15"/>
        <v>0.3</v>
      </c>
      <c r="FJ9" s="272">
        <v>63659369</v>
      </c>
      <c r="FK9" s="272">
        <v>4113303</v>
      </c>
      <c r="FL9" s="272">
        <v>48296193</v>
      </c>
      <c r="FM9" s="272">
        <v>44232033</v>
      </c>
      <c r="FN9" s="460">
        <v>1.1080000000000001</v>
      </c>
      <c r="FO9" s="388">
        <v>100.9</v>
      </c>
      <c r="FP9" s="388">
        <v>36.200000000000003</v>
      </c>
      <c r="FQ9" s="388">
        <v>12.8</v>
      </c>
      <c r="FR9" s="388">
        <v>11.9</v>
      </c>
      <c r="FS9" s="388">
        <v>17.5</v>
      </c>
      <c r="FT9" s="388">
        <v>5.0999999999999996</v>
      </c>
      <c r="FU9" s="388">
        <v>14.2</v>
      </c>
      <c r="FV9" s="384">
        <f t="shared" si="16"/>
        <v>3.2</v>
      </c>
      <c r="FW9" s="272">
        <v>59884000</v>
      </c>
      <c r="FX9" s="384">
        <f t="shared" si="17"/>
        <v>88.4</v>
      </c>
      <c r="FY9" s="272">
        <v>27004028</v>
      </c>
      <c r="FZ9" s="272">
        <v>9324419</v>
      </c>
      <c r="GA9" s="272">
        <v>0</v>
      </c>
      <c r="GB9" s="272">
        <v>17679609</v>
      </c>
      <c r="GC9" s="272">
        <v>0</v>
      </c>
      <c r="GD9" s="272">
        <v>9122000</v>
      </c>
      <c r="GE9" s="384">
        <f t="shared" si="18"/>
        <v>13.5</v>
      </c>
      <c r="GF9" s="388">
        <v>98.3</v>
      </c>
      <c r="GG9" s="388">
        <v>25.7</v>
      </c>
      <c r="GH9" s="388">
        <v>95.7</v>
      </c>
      <c r="GI9" s="272">
        <v>2422</v>
      </c>
      <c r="GJ9" s="461" t="s">
        <v>646</v>
      </c>
      <c r="GK9" s="461">
        <v>11.25</v>
      </c>
      <c r="GL9" s="462">
        <v>20</v>
      </c>
      <c r="GM9" s="461" t="s">
        <v>646</v>
      </c>
      <c r="GN9" s="462">
        <v>16.25</v>
      </c>
      <c r="GO9" s="462">
        <v>40</v>
      </c>
      <c r="GP9" s="463">
        <v>3.2</v>
      </c>
      <c r="GQ9" s="463">
        <v>25</v>
      </c>
      <c r="GR9" s="463">
        <v>35</v>
      </c>
      <c r="GS9" s="464" t="s">
        <v>646</v>
      </c>
      <c r="GT9" s="463">
        <v>350</v>
      </c>
      <c r="GU9" s="394"/>
      <c r="GV9" s="394"/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</row>
    <row r="10" spans="2:230" x14ac:dyDescent="0.15">
      <c r="B10" s="89" t="s">
        <v>13</v>
      </c>
      <c r="C10" s="272">
        <v>11290004</v>
      </c>
      <c r="D10" s="455">
        <f t="shared" si="0"/>
        <v>3767339</v>
      </c>
      <c r="E10" s="272">
        <v>97844</v>
      </c>
      <c r="F10" s="456">
        <v>3669495</v>
      </c>
      <c r="G10" s="455">
        <f t="shared" si="1"/>
        <v>662397</v>
      </c>
      <c r="H10" s="272">
        <v>262458</v>
      </c>
      <c r="I10" s="272">
        <v>399939</v>
      </c>
      <c r="J10" s="272">
        <v>5250889</v>
      </c>
      <c r="K10" s="272">
        <v>2033936</v>
      </c>
      <c r="L10" s="272">
        <v>2070391</v>
      </c>
      <c r="M10" s="272">
        <v>699801</v>
      </c>
      <c r="N10" s="272">
        <v>527600</v>
      </c>
      <c r="O10" s="272">
        <v>1006847</v>
      </c>
      <c r="P10" s="272">
        <v>549808</v>
      </c>
      <c r="Q10" s="272">
        <v>457039</v>
      </c>
      <c r="R10" s="272">
        <v>202944</v>
      </c>
      <c r="S10" s="272"/>
      <c r="T10" s="455">
        <f t="shared" si="2"/>
        <v>904973</v>
      </c>
      <c r="U10" s="272">
        <v>52069</v>
      </c>
      <c r="V10" s="272">
        <v>19527</v>
      </c>
      <c r="W10" s="456">
        <v>9129</v>
      </c>
      <c r="X10" s="272">
        <v>746546</v>
      </c>
      <c r="Y10" s="272">
        <v>0</v>
      </c>
      <c r="Z10" s="272">
        <v>0</v>
      </c>
      <c r="AA10" s="272">
        <v>77702</v>
      </c>
      <c r="AB10" s="272">
        <v>169937</v>
      </c>
      <c r="AC10" s="272">
        <v>3463123</v>
      </c>
      <c r="AD10" s="272">
        <v>3114480</v>
      </c>
      <c r="AE10" s="272">
        <v>348643</v>
      </c>
      <c r="AF10" s="272">
        <v>15379</v>
      </c>
      <c r="AG10" s="272">
        <v>182932</v>
      </c>
      <c r="AH10" s="455">
        <f t="shared" si="3"/>
        <v>440117</v>
      </c>
      <c r="AI10" s="272">
        <v>392948</v>
      </c>
      <c r="AJ10" s="272">
        <v>47169</v>
      </c>
      <c r="AK10" s="272">
        <v>4451880</v>
      </c>
      <c r="AL10" s="455">
        <f t="shared" si="4"/>
        <v>1851916</v>
      </c>
      <c r="AM10" s="272">
        <v>1677617</v>
      </c>
      <c r="AN10" s="272">
        <v>174299</v>
      </c>
      <c r="AO10" s="272"/>
      <c r="AP10" s="272">
        <v>0</v>
      </c>
      <c r="AQ10" s="272">
        <v>199828</v>
      </c>
      <c r="AR10" s="272">
        <v>0</v>
      </c>
      <c r="AS10" s="272">
        <v>0</v>
      </c>
      <c r="AT10" s="272">
        <v>1686695</v>
      </c>
      <c r="AU10" s="272">
        <v>894880</v>
      </c>
      <c r="AV10" s="272">
        <v>87150</v>
      </c>
      <c r="AW10" s="272">
        <v>146810</v>
      </c>
      <c r="AX10" s="272">
        <v>791815</v>
      </c>
      <c r="AY10" s="272">
        <v>549</v>
      </c>
      <c r="AZ10" s="272">
        <v>128082</v>
      </c>
      <c r="BA10" s="272">
        <v>90270</v>
      </c>
      <c r="BB10" s="272">
        <v>2719</v>
      </c>
      <c r="BC10" s="272">
        <v>648581</v>
      </c>
      <c r="BD10" s="272">
        <v>130000</v>
      </c>
      <c r="BE10" s="272">
        <v>0</v>
      </c>
      <c r="BF10" s="272">
        <v>71039</v>
      </c>
      <c r="BG10" s="272">
        <v>400000</v>
      </c>
      <c r="BH10" s="272">
        <v>293977</v>
      </c>
      <c r="BI10" s="272">
        <v>245339</v>
      </c>
      <c r="BJ10" s="272">
        <v>656876</v>
      </c>
      <c r="BK10" s="272">
        <v>13821</v>
      </c>
      <c r="BL10" s="272">
        <v>0</v>
      </c>
      <c r="BM10" s="272">
        <v>32386</v>
      </c>
      <c r="BN10" s="272">
        <v>2368300</v>
      </c>
      <c r="BO10" s="455">
        <f t="shared" si="5"/>
        <v>1195900</v>
      </c>
      <c r="BP10" s="455">
        <f t="shared" si="6"/>
        <v>1032400</v>
      </c>
      <c r="BQ10" s="272"/>
      <c r="BR10" s="272">
        <v>0</v>
      </c>
      <c r="BS10" s="272">
        <v>1032400</v>
      </c>
      <c r="BT10" s="272">
        <v>140000</v>
      </c>
      <c r="BU10" s="272">
        <v>26906519</v>
      </c>
      <c r="BV10" s="272"/>
      <c r="BW10" s="272">
        <v>4550279</v>
      </c>
      <c r="BX10" s="272">
        <v>2735634</v>
      </c>
      <c r="BY10" s="272">
        <v>435875</v>
      </c>
      <c r="BZ10" s="272">
        <v>532851</v>
      </c>
      <c r="CA10" s="272">
        <v>5394392</v>
      </c>
      <c r="CB10" s="272">
        <v>875459</v>
      </c>
      <c r="CC10" s="272">
        <v>178959</v>
      </c>
      <c r="CD10" s="272">
        <v>2009872</v>
      </c>
      <c r="CE10" s="272">
        <v>2249074</v>
      </c>
      <c r="CF10" s="272">
        <v>0</v>
      </c>
      <c r="CG10" s="272">
        <v>80978</v>
      </c>
      <c r="CH10" s="272">
        <v>3595004</v>
      </c>
      <c r="CI10" s="272">
        <v>2901414</v>
      </c>
      <c r="CJ10" s="455">
        <f t="shared" si="7"/>
        <v>693590</v>
      </c>
      <c r="CK10" s="272">
        <v>2524153</v>
      </c>
      <c r="CL10" s="272">
        <v>1322463</v>
      </c>
      <c r="CM10" s="272">
        <v>198903</v>
      </c>
      <c r="CN10" s="272">
        <v>455248</v>
      </c>
      <c r="CO10" s="272">
        <v>121082</v>
      </c>
      <c r="CP10" s="272">
        <v>3704446</v>
      </c>
      <c r="CQ10" s="272">
        <v>939215</v>
      </c>
      <c r="CR10" s="272">
        <v>374145</v>
      </c>
      <c r="CS10" s="272">
        <v>372759</v>
      </c>
      <c r="CT10" s="455">
        <f t="shared" si="8"/>
        <v>816336</v>
      </c>
      <c r="CU10" s="272">
        <v>816336</v>
      </c>
      <c r="CV10" s="272">
        <v>0</v>
      </c>
      <c r="CW10" s="455">
        <f t="shared" si="9"/>
        <v>805360</v>
      </c>
      <c r="CX10" s="272">
        <v>805360</v>
      </c>
      <c r="CY10" s="272">
        <v>0</v>
      </c>
      <c r="CZ10" s="455">
        <f t="shared" si="10"/>
        <v>0</v>
      </c>
      <c r="DA10" s="272">
        <v>0</v>
      </c>
      <c r="DB10" s="272">
        <v>0</v>
      </c>
      <c r="DC10" s="272">
        <v>2109083</v>
      </c>
      <c r="DD10" s="272">
        <v>316373</v>
      </c>
      <c r="DE10" s="272">
        <v>1324245</v>
      </c>
      <c r="DF10" s="26">
        <v>383729</v>
      </c>
      <c r="DG10" s="27">
        <v>84736</v>
      </c>
      <c r="DH10" s="272">
        <v>0</v>
      </c>
      <c r="DI10" s="272">
        <v>383422</v>
      </c>
      <c r="DJ10" s="272">
        <v>130000</v>
      </c>
      <c r="DK10" s="272">
        <v>0</v>
      </c>
      <c r="DL10" s="272">
        <v>253422</v>
      </c>
      <c r="DM10" s="272">
        <v>0</v>
      </c>
      <c r="DN10" s="272">
        <v>0</v>
      </c>
      <c r="DO10" s="272">
        <v>0</v>
      </c>
      <c r="DP10" s="272">
        <v>0</v>
      </c>
      <c r="DQ10" s="272">
        <v>402000</v>
      </c>
      <c r="DR10" s="272">
        <v>400000</v>
      </c>
      <c r="DS10" s="272">
        <v>400000</v>
      </c>
      <c r="DT10" s="272">
        <v>3898978</v>
      </c>
      <c r="DU10" s="272">
        <v>1513037</v>
      </c>
      <c r="DV10" s="455">
        <f t="shared" si="11"/>
        <v>89493</v>
      </c>
      <c r="DW10" s="272">
        <v>89493</v>
      </c>
      <c r="DX10" s="272">
        <v>141351</v>
      </c>
      <c r="DY10" s="272">
        <v>290000</v>
      </c>
      <c r="DZ10" s="272">
        <v>819140</v>
      </c>
      <c r="EA10" s="272">
        <v>2870</v>
      </c>
      <c r="EB10" s="272">
        <v>524930</v>
      </c>
      <c r="EC10" s="272">
        <v>0</v>
      </c>
      <c r="ED10" s="272">
        <v>26682839</v>
      </c>
      <c r="EE10" s="89"/>
      <c r="EF10" s="272">
        <v>223680</v>
      </c>
      <c r="EG10" s="272">
        <v>27456</v>
      </c>
      <c r="EH10" s="272">
        <v>196224</v>
      </c>
      <c r="EI10" s="272">
        <v>-49115</v>
      </c>
      <c r="EJ10" s="272">
        <v>-45414</v>
      </c>
      <c r="EK10" s="89"/>
      <c r="EL10" s="272"/>
      <c r="EM10" s="272">
        <v>76385</v>
      </c>
      <c r="EN10" s="272">
        <v>598836</v>
      </c>
      <c r="EO10" s="272">
        <v>37415</v>
      </c>
      <c r="EP10" s="455">
        <f t="shared" si="12"/>
        <v>969391</v>
      </c>
      <c r="EQ10" s="272">
        <v>16046360</v>
      </c>
      <c r="ER10" s="272">
        <v>-2622663</v>
      </c>
      <c r="ES10" s="272">
        <v>3843115</v>
      </c>
      <c r="ET10" s="272">
        <v>2260506</v>
      </c>
      <c r="EU10" s="272">
        <v>1777222</v>
      </c>
      <c r="EV10" s="272">
        <v>3583186</v>
      </c>
      <c r="EW10" s="455">
        <f t="shared" si="13"/>
        <v>446648</v>
      </c>
      <c r="EX10" s="272">
        <v>446648</v>
      </c>
      <c r="EY10" s="272">
        <v>55430</v>
      </c>
      <c r="EZ10" s="272">
        <v>389889</v>
      </c>
      <c r="FA10" s="272">
        <v>0</v>
      </c>
      <c r="FB10" s="272">
        <v>0</v>
      </c>
      <c r="FC10" s="272">
        <v>2075640</v>
      </c>
      <c r="FD10" s="272">
        <v>2322951</v>
      </c>
      <c r="FE10" s="272">
        <v>939215</v>
      </c>
      <c r="FF10" s="272">
        <v>3505196</v>
      </c>
      <c r="FG10" s="455">
        <f t="shared" si="14"/>
        <v>891385</v>
      </c>
      <c r="FH10" s="272">
        <v>18445343</v>
      </c>
      <c r="FI10" s="459">
        <f t="shared" si="15"/>
        <v>1.2</v>
      </c>
      <c r="FJ10" s="272">
        <v>14710881</v>
      </c>
      <c r="FK10" s="272">
        <v>1032453</v>
      </c>
      <c r="FL10" s="272">
        <v>8930162</v>
      </c>
      <c r="FM10" s="272">
        <v>12057529</v>
      </c>
      <c r="FN10" s="460">
        <v>0.748</v>
      </c>
      <c r="FO10" s="388">
        <v>100.8</v>
      </c>
      <c r="FP10" s="388">
        <v>24</v>
      </c>
      <c r="FQ10" s="388">
        <v>11.2</v>
      </c>
      <c r="FR10" s="388">
        <v>22.6</v>
      </c>
      <c r="FS10" s="388">
        <v>11.7</v>
      </c>
      <c r="FT10" s="388">
        <v>12.5</v>
      </c>
      <c r="FU10" s="388">
        <v>18.100000000000001</v>
      </c>
      <c r="FV10" s="384">
        <f t="shared" si="16"/>
        <v>18.399999999999999</v>
      </c>
      <c r="FW10" s="272">
        <v>31962541</v>
      </c>
      <c r="FX10" s="384">
        <f t="shared" si="17"/>
        <v>203</v>
      </c>
      <c r="FY10" s="272">
        <v>1258471</v>
      </c>
      <c r="FZ10" s="272">
        <v>0</v>
      </c>
      <c r="GA10" s="272">
        <v>0</v>
      </c>
      <c r="GB10" s="272">
        <v>1258471</v>
      </c>
      <c r="GC10" s="272">
        <v>0</v>
      </c>
      <c r="GD10" s="272">
        <v>4079000</v>
      </c>
      <c r="GE10" s="384">
        <f t="shared" si="18"/>
        <v>25.9</v>
      </c>
      <c r="GF10" s="388">
        <v>98.6</v>
      </c>
      <c r="GG10" s="388">
        <v>27.5</v>
      </c>
      <c r="GH10" s="388">
        <v>95.7</v>
      </c>
      <c r="GI10" s="272">
        <v>436</v>
      </c>
      <c r="GJ10" s="461" t="s">
        <v>646</v>
      </c>
      <c r="GK10" s="461">
        <v>12.73</v>
      </c>
      <c r="GL10" s="462">
        <v>20</v>
      </c>
      <c r="GM10" s="461">
        <v>13.79</v>
      </c>
      <c r="GN10" s="462">
        <v>17.73</v>
      </c>
      <c r="GO10" s="462">
        <v>40</v>
      </c>
      <c r="GP10" s="463">
        <v>18.399999999999999</v>
      </c>
      <c r="GQ10" s="463">
        <v>25</v>
      </c>
      <c r="GR10" s="463">
        <v>35</v>
      </c>
      <c r="GS10" s="464">
        <v>246.9</v>
      </c>
      <c r="GT10" s="463">
        <v>350</v>
      </c>
      <c r="GU10" s="394"/>
      <c r="GV10" s="394"/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</row>
    <row r="11" spans="2:230" x14ac:dyDescent="0.15">
      <c r="B11" s="89" t="s">
        <v>15</v>
      </c>
      <c r="C11" s="272">
        <v>49740620</v>
      </c>
      <c r="D11" s="455">
        <f t="shared" si="0"/>
        <v>21313344</v>
      </c>
      <c r="E11" s="272">
        <v>493728</v>
      </c>
      <c r="F11" s="456">
        <v>20819616</v>
      </c>
      <c r="G11" s="455">
        <f t="shared" si="1"/>
        <v>2644889</v>
      </c>
      <c r="H11" s="272">
        <v>750091</v>
      </c>
      <c r="I11" s="272">
        <v>1894798</v>
      </c>
      <c r="J11" s="272">
        <v>19020900</v>
      </c>
      <c r="K11" s="272">
        <v>8327419</v>
      </c>
      <c r="L11" s="272">
        <v>7926465</v>
      </c>
      <c r="M11" s="272">
        <v>2518948</v>
      </c>
      <c r="N11" s="272">
        <v>1545861</v>
      </c>
      <c r="O11" s="272">
        <v>3910266</v>
      </c>
      <c r="P11" s="272">
        <v>2228089</v>
      </c>
      <c r="Q11" s="272">
        <v>1682177</v>
      </c>
      <c r="R11" s="272">
        <v>686604</v>
      </c>
      <c r="S11" s="272"/>
      <c r="T11" s="455">
        <f t="shared" si="2"/>
        <v>3793078</v>
      </c>
      <c r="U11" s="272">
        <v>299215</v>
      </c>
      <c r="V11" s="272">
        <v>112218</v>
      </c>
      <c r="W11" s="456">
        <v>52526</v>
      </c>
      <c r="X11" s="272">
        <v>2912143</v>
      </c>
      <c r="Y11" s="272">
        <v>68981</v>
      </c>
      <c r="Z11" s="272">
        <v>0</v>
      </c>
      <c r="AA11" s="272">
        <v>347995</v>
      </c>
      <c r="AB11" s="272">
        <v>693391</v>
      </c>
      <c r="AC11" s="272">
        <v>9527338</v>
      </c>
      <c r="AD11" s="272">
        <v>9041972</v>
      </c>
      <c r="AE11" s="272">
        <v>485366</v>
      </c>
      <c r="AF11" s="272">
        <v>62251</v>
      </c>
      <c r="AG11" s="272">
        <v>977878</v>
      </c>
      <c r="AH11" s="455">
        <f t="shared" si="3"/>
        <v>2676197</v>
      </c>
      <c r="AI11" s="272">
        <v>1871190</v>
      </c>
      <c r="AJ11" s="272">
        <v>805007</v>
      </c>
      <c r="AK11" s="272">
        <v>16795379</v>
      </c>
      <c r="AL11" s="455">
        <f t="shared" si="4"/>
        <v>6615029</v>
      </c>
      <c r="AM11" s="272">
        <v>5760741</v>
      </c>
      <c r="AN11" s="272">
        <v>854288</v>
      </c>
      <c r="AO11" s="272"/>
      <c r="AP11" s="272">
        <v>0</v>
      </c>
      <c r="AQ11" s="272">
        <v>3417077</v>
      </c>
      <c r="AR11" s="272">
        <v>0</v>
      </c>
      <c r="AS11" s="272">
        <v>0</v>
      </c>
      <c r="AT11" s="272">
        <v>4686296</v>
      </c>
      <c r="AU11" s="272">
        <v>2048526</v>
      </c>
      <c r="AV11" s="272">
        <v>0</v>
      </c>
      <c r="AW11" s="272">
        <v>13369</v>
      </c>
      <c r="AX11" s="272">
        <v>2637770</v>
      </c>
      <c r="AY11" s="272">
        <v>44362</v>
      </c>
      <c r="AZ11" s="272">
        <v>173793</v>
      </c>
      <c r="BA11" s="272">
        <v>55294</v>
      </c>
      <c r="BB11" s="272">
        <v>11699</v>
      </c>
      <c r="BC11" s="272">
        <v>1977514</v>
      </c>
      <c r="BD11" s="272">
        <v>0</v>
      </c>
      <c r="BE11" s="272">
        <v>0</v>
      </c>
      <c r="BF11" s="272">
        <v>1745220</v>
      </c>
      <c r="BG11" s="272">
        <v>0</v>
      </c>
      <c r="BH11" s="272">
        <v>3838509</v>
      </c>
      <c r="BI11" s="272">
        <v>611470</v>
      </c>
      <c r="BJ11" s="272">
        <v>1829897</v>
      </c>
      <c r="BK11" s="272">
        <v>920892</v>
      </c>
      <c r="BL11" s="272">
        <v>0</v>
      </c>
      <c r="BM11" s="272">
        <v>66301</v>
      </c>
      <c r="BN11" s="272">
        <v>5491200</v>
      </c>
      <c r="BO11" s="455">
        <f t="shared" si="5"/>
        <v>2191200</v>
      </c>
      <c r="BP11" s="455">
        <f t="shared" si="6"/>
        <v>3300000</v>
      </c>
      <c r="BQ11" s="272"/>
      <c r="BR11" s="272">
        <v>0</v>
      </c>
      <c r="BS11" s="272">
        <v>3300000</v>
      </c>
      <c r="BT11" s="272">
        <v>0</v>
      </c>
      <c r="BU11" s="272">
        <v>102961644</v>
      </c>
      <c r="BV11" s="272"/>
      <c r="BW11" s="272">
        <v>24437252</v>
      </c>
      <c r="BX11" s="272">
        <v>14281892</v>
      </c>
      <c r="BY11" s="272">
        <v>4854646</v>
      </c>
      <c r="BZ11" s="272">
        <v>1944011</v>
      </c>
      <c r="CA11" s="272">
        <v>21147612</v>
      </c>
      <c r="CB11" s="272">
        <v>4658732</v>
      </c>
      <c r="CC11" s="272">
        <v>613950</v>
      </c>
      <c r="CD11" s="272">
        <v>7717848</v>
      </c>
      <c r="CE11" s="272">
        <v>7624888</v>
      </c>
      <c r="CF11" s="272">
        <v>194513</v>
      </c>
      <c r="CG11" s="272">
        <v>336791</v>
      </c>
      <c r="CH11" s="272">
        <v>7454683</v>
      </c>
      <c r="CI11" s="272">
        <v>6469920</v>
      </c>
      <c r="CJ11" s="455">
        <f t="shared" si="7"/>
        <v>984763</v>
      </c>
      <c r="CK11" s="272">
        <v>12313794</v>
      </c>
      <c r="CL11" s="272">
        <v>7015039</v>
      </c>
      <c r="CM11" s="272">
        <v>707017</v>
      </c>
      <c r="CN11" s="272">
        <v>3037056</v>
      </c>
      <c r="CO11" s="272">
        <v>1448305</v>
      </c>
      <c r="CP11" s="272">
        <v>7087518</v>
      </c>
      <c r="CQ11" s="272">
        <v>25300</v>
      </c>
      <c r="CR11" s="272">
        <v>4991871</v>
      </c>
      <c r="CS11" s="272">
        <v>1604801</v>
      </c>
      <c r="CT11" s="455">
        <f t="shared" si="8"/>
        <v>966708</v>
      </c>
      <c r="CU11" s="272">
        <v>37031</v>
      </c>
      <c r="CV11" s="272">
        <v>929677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12586996</v>
      </c>
      <c r="DD11" s="272">
        <v>7405058</v>
      </c>
      <c r="DE11" s="272">
        <v>5137112</v>
      </c>
      <c r="DF11" s="26">
        <v>44826</v>
      </c>
      <c r="DG11" s="27">
        <v>0</v>
      </c>
      <c r="DH11" s="272">
        <v>0</v>
      </c>
      <c r="DI11" s="272">
        <v>1603451</v>
      </c>
      <c r="DJ11" s="272">
        <v>237833</v>
      </c>
      <c r="DK11" s="272">
        <v>10638</v>
      </c>
      <c r="DL11" s="272">
        <v>1354980</v>
      </c>
      <c r="DM11" s="272">
        <v>0</v>
      </c>
      <c r="DN11" s="272">
        <v>0</v>
      </c>
      <c r="DO11" s="272">
        <v>0</v>
      </c>
      <c r="DP11" s="272">
        <v>0</v>
      </c>
      <c r="DQ11" s="272">
        <v>927035</v>
      </c>
      <c r="DR11" s="272">
        <v>0</v>
      </c>
      <c r="DS11" s="272">
        <v>0</v>
      </c>
      <c r="DT11" s="272">
        <v>12765649</v>
      </c>
      <c r="DU11" s="272">
        <v>4410000</v>
      </c>
      <c r="DV11" s="455">
        <f t="shared" si="11"/>
        <v>0</v>
      </c>
      <c r="DW11" s="272">
        <v>0</v>
      </c>
      <c r="DX11" s="272">
        <v>2896806</v>
      </c>
      <c r="DY11" s="272">
        <v>0</v>
      </c>
      <c r="DZ11" s="272">
        <v>2902127</v>
      </c>
      <c r="EA11" s="272">
        <v>918</v>
      </c>
      <c r="EB11" s="272">
        <v>2555397</v>
      </c>
      <c r="EC11" s="272">
        <v>0</v>
      </c>
      <c r="ED11" s="272">
        <v>101772295</v>
      </c>
      <c r="EE11" s="89"/>
      <c r="EF11" s="272">
        <v>1189349</v>
      </c>
      <c r="EG11" s="272">
        <v>467077</v>
      </c>
      <c r="EH11" s="272">
        <v>722272</v>
      </c>
      <c r="EI11" s="272">
        <v>110802</v>
      </c>
      <c r="EJ11" s="272">
        <v>348635</v>
      </c>
      <c r="EK11" s="89"/>
      <c r="EL11" s="272"/>
      <c r="EM11" s="272">
        <v>355636</v>
      </c>
      <c r="EN11" s="272">
        <v>1700000</v>
      </c>
      <c r="EO11" s="272">
        <v>68704</v>
      </c>
      <c r="EP11" s="455">
        <f t="shared" si="12"/>
        <v>2619512</v>
      </c>
      <c r="EQ11" s="272">
        <v>64503282</v>
      </c>
      <c r="ER11" s="272">
        <v>-7625965</v>
      </c>
      <c r="ES11" s="272">
        <v>22909678</v>
      </c>
      <c r="ET11" s="272">
        <v>12922328</v>
      </c>
      <c r="EU11" s="272">
        <v>7404525</v>
      </c>
      <c r="EV11" s="272">
        <v>7339433</v>
      </c>
      <c r="EW11" s="455">
        <f t="shared" si="13"/>
        <v>5447742</v>
      </c>
      <c r="EX11" s="272">
        <v>5447742</v>
      </c>
      <c r="EY11" s="272">
        <v>1440882</v>
      </c>
      <c r="EZ11" s="272">
        <v>3962034</v>
      </c>
      <c r="FA11" s="272">
        <v>0</v>
      </c>
      <c r="FB11" s="272">
        <v>0</v>
      </c>
      <c r="FC11" s="272">
        <v>9669173</v>
      </c>
      <c r="FD11" s="272">
        <v>3841518</v>
      </c>
      <c r="FE11" s="272">
        <v>25300</v>
      </c>
      <c r="FF11" s="272">
        <v>11512678</v>
      </c>
      <c r="FG11" s="455">
        <f t="shared" si="14"/>
        <v>2829123</v>
      </c>
      <c r="FH11" s="272">
        <v>70953870</v>
      </c>
      <c r="FI11" s="459">
        <f t="shared" si="15"/>
        <v>1.1000000000000001</v>
      </c>
      <c r="FJ11" s="272">
        <v>60092662</v>
      </c>
      <c r="FK11" s="272">
        <v>3810369</v>
      </c>
      <c r="FL11" s="272">
        <v>39389819</v>
      </c>
      <c r="FM11" s="272">
        <v>48475385</v>
      </c>
      <c r="FN11" s="460">
        <v>0.83299999999999996</v>
      </c>
      <c r="FO11" s="388">
        <v>92.6</v>
      </c>
      <c r="FP11" s="388">
        <v>35</v>
      </c>
      <c r="FQ11" s="388">
        <v>11.6</v>
      </c>
      <c r="FR11" s="388">
        <v>11.5</v>
      </c>
      <c r="FS11" s="388">
        <v>14.5</v>
      </c>
      <c r="FT11" s="388">
        <v>3.9</v>
      </c>
      <c r="FU11" s="388">
        <v>13.9</v>
      </c>
      <c r="FV11" s="384">
        <f t="shared" si="16"/>
        <v>0.7</v>
      </c>
      <c r="FW11" s="272">
        <v>50997020</v>
      </c>
      <c r="FX11" s="384">
        <f t="shared" si="17"/>
        <v>79.8</v>
      </c>
      <c r="FY11" s="272">
        <v>35343728</v>
      </c>
      <c r="FZ11" s="272">
        <v>11004474</v>
      </c>
      <c r="GA11" s="272">
        <v>2690394</v>
      </c>
      <c r="GB11" s="272">
        <v>21648860</v>
      </c>
      <c r="GC11" s="272">
        <v>0</v>
      </c>
      <c r="GD11" s="272">
        <v>1494000</v>
      </c>
      <c r="GE11" s="384">
        <f t="shared" si="18"/>
        <v>2.2999999999999998</v>
      </c>
      <c r="GF11" s="388">
        <v>98.5</v>
      </c>
      <c r="GG11" s="388">
        <v>26.1</v>
      </c>
      <c r="GH11" s="388">
        <v>95.2</v>
      </c>
      <c r="GI11" s="272">
        <v>2041</v>
      </c>
      <c r="GJ11" s="461" t="s">
        <v>646</v>
      </c>
      <c r="GK11" s="461">
        <v>11.25</v>
      </c>
      <c r="GL11" s="462">
        <v>20</v>
      </c>
      <c r="GM11" s="461" t="s">
        <v>646</v>
      </c>
      <c r="GN11" s="462">
        <v>16.25</v>
      </c>
      <c r="GO11" s="462">
        <v>40</v>
      </c>
      <c r="GP11" s="463">
        <v>0.7</v>
      </c>
      <c r="GQ11" s="463">
        <v>25</v>
      </c>
      <c r="GR11" s="463">
        <v>35</v>
      </c>
      <c r="GS11" s="464" t="s">
        <v>646</v>
      </c>
      <c r="GT11" s="463">
        <v>350</v>
      </c>
      <c r="GU11" s="394"/>
      <c r="GV11" s="394"/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</row>
    <row r="12" spans="2:230" x14ac:dyDescent="0.15">
      <c r="B12" s="89" t="s">
        <v>17</v>
      </c>
      <c r="C12" s="272">
        <v>11716108</v>
      </c>
      <c r="D12" s="455">
        <f t="shared" si="0"/>
        <v>4074049</v>
      </c>
      <c r="E12" s="272">
        <v>112108</v>
      </c>
      <c r="F12" s="456">
        <v>3961941</v>
      </c>
      <c r="G12" s="455">
        <f t="shared" si="1"/>
        <v>883704</v>
      </c>
      <c r="H12" s="272">
        <v>186022</v>
      </c>
      <c r="I12" s="272">
        <v>697682</v>
      </c>
      <c r="J12" s="272">
        <v>4979967</v>
      </c>
      <c r="K12" s="272">
        <v>1799122</v>
      </c>
      <c r="L12" s="272">
        <v>2131138</v>
      </c>
      <c r="M12" s="272">
        <v>831819</v>
      </c>
      <c r="N12" s="272">
        <v>730955</v>
      </c>
      <c r="O12" s="272">
        <v>902056</v>
      </c>
      <c r="P12" s="272">
        <v>455867</v>
      </c>
      <c r="Q12" s="272">
        <v>446189</v>
      </c>
      <c r="R12" s="272">
        <v>195184</v>
      </c>
      <c r="S12" s="272"/>
      <c r="T12" s="455">
        <f t="shared" si="2"/>
        <v>985676</v>
      </c>
      <c r="U12" s="272">
        <v>56335</v>
      </c>
      <c r="V12" s="272">
        <v>21129</v>
      </c>
      <c r="W12" s="456">
        <v>9872</v>
      </c>
      <c r="X12" s="272">
        <v>800095</v>
      </c>
      <c r="Y12" s="272">
        <v>0</v>
      </c>
      <c r="Z12" s="272">
        <v>0</v>
      </c>
      <c r="AA12" s="272">
        <v>98245</v>
      </c>
      <c r="AB12" s="272">
        <v>178146</v>
      </c>
      <c r="AC12" s="272">
        <v>4063763</v>
      </c>
      <c r="AD12" s="272">
        <v>3679294</v>
      </c>
      <c r="AE12" s="272">
        <v>384469</v>
      </c>
      <c r="AF12" s="272">
        <v>20238</v>
      </c>
      <c r="AG12" s="272">
        <v>393877</v>
      </c>
      <c r="AH12" s="455">
        <f t="shared" si="3"/>
        <v>533281</v>
      </c>
      <c r="AI12" s="272">
        <v>446167</v>
      </c>
      <c r="AJ12" s="272">
        <v>87114</v>
      </c>
      <c r="AK12" s="272">
        <v>5440394</v>
      </c>
      <c r="AL12" s="455">
        <f t="shared" si="4"/>
        <v>2020840</v>
      </c>
      <c r="AM12" s="272">
        <v>1595245</v>
      </c>
      <c r="AN12" s="272">
        <v>425595</v>
      </c>
      <c r="AO12" s="272"/>
      <c r="AP12" s="272">
        <v>0</v>
      </c>
      <c r="AQ12" s="272">
        <v>490349</v>
      </c>
      <c r="AR12" s="272">
        <v>0</v>
      </c>
      <c r="AS12" s="272">
        <v>0</v>
      </c>
      <c r="AT12" s="272">
        <v>1820161</v>
      </c>
      <c r="AU12" s="272">
        <v>1023147</v>
      </c>
      <c r="AV12" s="272">
        <v>212797</v>
      </c>
      <c r="AW12" s="272">
        <v>29781</v>
      </c>
      <c r="AX12" s="272">
        <v>797014</v>
      </c>
      <c r="AY12" s="272">
        <v>3708</v>
      </c>
      <c r="AZ12" s="272">
        <v>25728</v>
      </c>
      <c r="BA12" s="272">
        <v>7181</v>
      </c>
      <c r="BB12" s="272">
        <v>3393</v>
      </c>
      <c r="BC12" s="272">
        <v>623479</v>
      </c>
      <c r="BD12" s="272">
        <v>180000</v>
      </c>
      <c r="BE12" s="272">
        <v>0</v>
      </c>
      <c r="BF12" s="272">
        <v>437144</v>
      </c>
      <c r="BG12" s="272">
        <v>0</v>
      </c>
      <c r="BH12" s="272">
        <v>141811</v>
      </c>
      <c r="BI12" s="272">
        <v>81323</v>
      </c>
      <c r="BJ12" s="272">
        <v>354703</v>
      </c>
      <c r="BK12" s="272">
        <v>24406</v>
      </c>
      <c r="BL12" s="272">
        <v>0</v>
      </c>
      <c r="BM12" s="272">
        <v>31820</v>
      </c>
      <c r="BN12" s="272">
        <v>3863900</v>
      </c>
      <c r="BO12" s="455">
        <f t="shared" si="5"/>
        <v>2690100</v>
      </c>
      <c r="BP12" s="455">
        <f t="shared" si="6"/>
        <v>1173800</v>
      </c>
      <c r="BQ12" s="272"/>
      <c r="BR12" s="272">
        <v>0</v>
      </c>
      <c r="BS12" s="272">
        <v>1173800</v>
      </c>
      <c r="BT12" s="272">
        <v>0</v>
      </c>
      <c r="BU12" s="272">
        <v>30359842</v>
      </c>
      <c r="BV12" s="272"/>
      <c r="BW12" s="272">
        <v>5701483</v>
      </c>
      <c r="BX12" s="272">
        <v>3550427</v>
      </c>
      <c r="BY12" s="272">
        <v>546789</v>
      </c>
      <c r="BZ12" s="272">
        <v>582052</v>
      </c>
      <c r="CA12" s="272">
        <v>6311340</v>
      </c>
      <c r="CB12" s="272">
        <v>977136</v>
      </c>
      <c r="CC12" s="272">
        <v>146432</v>
      </c>
      <c r="CD12" s="272">
        <v>2931336</v>
      </c>
      <c r="CE12" s="272">
        <v>2137762</v>
      </c>
      <c r="CF12" s="272">
        <v>0</v>
      </c>
      <c r="CG12" s="272">
        <v>118674</v>
      </c>
      <c r="CH12" s="272">
        <v>2631673</v>
      </c>
      <c r="CI12" s="272">
        <v>2142452</v>
      </c>
      <c r="CJ12" s="455">
        <f t="shared" si="7"/>
        <v>489221</v>
      </c>
      <c r="CK12" s="272">
        <v>2860552</v>
      </c>
      <c r="CL12" s="272">
        <v>1413164</v>
      </c>
      <c r="CM12" s="272">
        <v>287358</v>
      </c>
      <c r="CN12" s="272">
        <v>492180</v>
      </c>
      <c r="CO12" s="272">
        <v>141119</v>
      </c>
      <c r="CP12" s="272">
        <v>4498099</v>
      </c>
      <c r="CQ12" s="272">
        <v>1082945</v>
      </c>
      <c r="CR12" s="272">
        <v>2160938</v>
      </c>
      <c r="CS12" s="272">
        <v>478940</v>
      </c>
      <c r="CT12" s="455">
        <f t="shared" si="8"/>
        <v>662193</v>
      </c>
      <c r="CU12" s="272">
        <v>583816</v>
      </c>
      <c r="CV12" s="272">
        <v>78377</v>
      </c>
      <c r="CW12" s="455">
        <f t="shared" si="9"/>
        <v>627000</v>
      </c>
      <c r="CX12" s="272">
        <v>580199</v>
      </c>
      <c r="CY12" s="272">
        <v>46801</v>
      </c>
      <c r="CZ12" s="455">
        <f t="shared" si="10"/>
        <v>0</v>
      </c>
      <c r="DA12" s="272">
        <v>0</v>
      </c>
      <c r="DB12" s="272">
        <v>0</v>
      </c>
      <c r="DC12" s="272">
        <v>4414854</v>
      </c>
      <c r="DD12" s="272">
        <v>918405</v>
      </c>
      <c r="DE12" s="272">
        <v>3419219</v>
      </c>
      <c r="DF12" s="26">
        <v>77230</v>
      </c>
      <c r="DG12" s="27">
        <v>0</v>
      </c>
      <c r="DH12" s="272">
        <v>0</v>
      </c>
      <c r="DI12" s="272">
        <v>83077</v>
      </c>
      <c r="DJ12" s="272">
        <v>31100</v>
      </c>
      <c r="DK12" s="272">
        <v>0</v>
      </c>
      <c r="DL12" s="272">
        <v>51977</v>
      </c>
      <c r="DM12" s="272">
        <v>0</v>
      </c>
      <c r="DN12" s="272">
        <v>0</v>
      </c>
      <c r="DO12" s="272">
        <v>0</v>
      </c>
      <c r="DP12" s="272">
        <v>0</v>
      </c>
      <c r="DQ12" s="272">
        <v>33088</v>
      </c>
      <c r="DR12" s="272">
        <v>0</v>
      </c>
      <c r="DS12" s="272">
        <v>0</v>
      </c>
      <c r="DT12" s="272">
        <v>3529245</v>
      </c>
      <c r="DU12" s="272">
        <v>1415369</v>
      </c>
      <c r="DV12" s="455">
        <f t="shared" si="11"/>
        <v>0</v>
      </c>
      <c r="DW12" s="272">
        <v>0</v>
      </c>
      <c r="DX12" s="272">
        <v>813476</v>
      </c>
      <c r="DY12" s="272">
        <v>0</v>
      </c>
      <c r="DZ12" s="272">
        <v>581667</v>
      </c>
      <c r="EA12" s="272">
        <v>478</v>
      </c>
      <c r="EB12" s="272">
        <v>716022</v>
      </c>
      <c r="EC12" s="272">
        <v>0</v>
      </c>
      <c r="ED12" s="272">
        <v>30204530</v>
      </c>
      <c r="EE12" s="89"/>
      <c r="EF12" s="272">
        <v>155312</v>
      </c>
      <c r="EG12" s="272">
        <v>105411</v>
      </c>
      <c r="EH12" s="272">
        <v>49901</v>
      </c>
      <c r="EI12" s="272">
        <v>-31422</v>
      </c>
      <c r="EJ12" s="272">
        <v>-170364</v>
      </c>
      <c r="EK12" s="89"/>
      <c r="EL12" s="272"/>
      <c r="EM12" s="272">
        <v>90065</v>
      </c>
      <c r="EN12" s="272">
        <v>216274</v>
      </c>
      <c r="EO12" s="272">
        <v>14837</v>
      </c>
      <c r="EP12" s="455">
        <f t="shared" si="12"/>
        <v>540997</v>
      </c>
      <c r="EQ12" s="272">
        <v>17159115</v>
      </c>
      <c r="ER12" s="272">
        <v>-1925670</v>
      </c>
      <c r="ES12" s="272">
        <v>5303005</v>
      </c>
      <c r="ET12" s="272">
        <v>3267929</v>
      </c>
      <c r="EU12" s="272">
        <v>1985397</v>
      </c>
      <c r="EV12" s="272">
        <v>2612461</v>
      </c>
      <c r="EW12" s="455">
        <f t="shared" si="13"/>
        <v>1226147</v>
      </c>
      <c r="EX12" s="272">
        <v>1226147</v>
      </c>
      <c r="EY12" s="272">
        <v>61880</v>
      </c>
      <c r="EZ12" s="272">
        <v>1087037</v>
      </c>
      <c r="FA12" s="272">
        <v>0</v>
      </c>
      <c r="FB12" s="272">
        <v>0</v>
      </c>
      <c r="FC12" s="272">
        <v>2032395</v>
      </c>
      <c r="FD12" s="272">
        <v>2475428</v>
      </c>
      <c r="FE12" s="272">
        <v>729945</v>
      </c>
      <c r="FF12" s="272">
        <v>3109569</v>
      </c>
      <c r="FG12" s="455">
        <f t="shared" si="14"/>
        <v>185071</v>
      </c>
      <c r="FH12" s="272">
        <v>18929473</v>
      </c>
      <c r="FI12" s="459">
        <f t="shared" si="15"/>
        <v>0.3</v>
      </c>
      <c r="FJ12" s="272">
        <v>15657420</v>
      </c>
      <c r="FK12" s="272">
        <v>1173800</v>
      </c>
      <c r="FL12" s="272">
        <v>9250227</v>
      </c>
      <c r="FM12" s="272">
        <v>12941406</v>
      </c>
      <c r="FN12" s="460">
        <v>0.73799999999999999</v>
      </c>
      <c r="FO12" s="388">
        <v>97.3</v>
      </c>
      <c r="FP12" s="388">
        <v>29.8</v>
      </c>
      <c r="FQ12" s="388">
        <v>11.6</v>
      </c>
      <c r="FR12" s="388">
        <v>15.2</v>
      </c>
      <c r="FS12" s="388">
        <v>10.7</v>
      </c>
      <c r="FT12" s="388">
        <v>13.3</v>
      </c>
      <c r="FU12" s="388">
        <v>16.100000000000001</v>
      </c>
      <c r="FV12" s="384">
        <f t="shared" si="16"/>
        <v>12.9</v>
      </c>
      <c r="FW12" s="272">
        <v>24155450</v>
      </c>
      <c r="FX12" s="384">
        <f t="shared" si="17"/>
        <v>143.5</v>
      </c>
      <c r="FY12" s="272">
        <v>2977504</v>
      </c>
      <c r="FZ12" s="272">
        <v>867827</v>
      </c>
      <c r="GA12" s="272">
        <v>188585</v>
      </c>
      <c r="GB12" s="272">
        <v>1921092</v>
      </c>
      <c r="GC12" s="272">
        <v>0</v>
      </c>
      <c r="GD12" s="272">
        <v>2838000</v>
      </c>
      <c r="GE12" s="384">
        <f t="shared" si="18"/>
        <v>16.899999999999999</v>
      </c>
      <c r="GF12" s="388">
        <v>98.2</v>
      </c>
      <c r="GG12" s="388">
        <v>23.1</v>
      </c>
      <c r="GH12" s="388">
        <v>93</v>
      </c>
      <c r="GI12" s="272">
        <v>576</v>
      </c>
      <c r="GJ12" s="461" t="s">
        <v>646</v>
      </c>
      <c r="GK12" s="461">
        <v>12.66</v>
      </c>
      <c r="GL12" s="462">
        <v>20</v>
      </c>
      <c r="GM12" s="461" t="s">
        <v>646</v>
      </c>
      <c r="GN12" s="462">
        <v>17.66</v>
      </c>
      <c r="GO12" s="462">
        <v>40</v>
      </c>
      <c r="GP12" s="463">
        <v>12.9</v>
      </c>
      <c r="GQ12" s="463">
        <v>25</v>
      </c>
      <c r="GR12" s="463">
        <v>35</v>
      </c>
      <c r="GS12" s="464">
        <v>135.9</v>
      </c>
      <c r="GT12" s="463">
        <v>350</v>
      </c>
      <c r="GU12" s="394"/>
      <c r="GV12" s="394"/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</row>
    <row r="13" spans="2:230" x14ac:dyDescent="0.15">
      <c r="B13" s="89" t="s">
        <v>19</v>
      </c>
      <c r="C13" s="272">
        <v>22432168</v>
      </c>
      <c r="D13" s="455">
        <f t="shared" si="0"/>
        <v>6914980</v>
      </c>
      <c r="E13" s="272">
        <v>182878</v>
      </c>
      <c r="F13" s="456">
        <v>6732102</v>
      </c>
      <c r="G13" s="455">
        <f t="shared" si="1"/>
        <v>1356433</v>
      </c>
      <c r="H13" s="272">
        <v>469606</v>
      </c>
      <c r="I13" s="272">
        <v>886827</v>
      </c>
      <c r="J13" s="272">
        <v>10273742</v>
      </c>
      <c r="K13" s="272">
        <v>4168542</v>
      </c>
      <c r="L13" s="272">
        <v>4007977</v>
      </c>
      <c r="M13" s="272">
        <v>1771928</v>
      </c>
      <c r="N13" s="272">
        <v>972089</v>
      </c>
      <c r="O13" s="272">
        <v>2037591</v>
      </c>
      <c r="P13" s="272">
        <v>1131228</v>
      </c>
      <c r="Q13" s="272">
        <v>906363</v>
      </c>
      <c r="R13" s="272">
        <v>257843</v>
      </c>
      <c r="S13" s="272"/>
      <c r="T13" s="455">
        <f t="shared" si="2"/>
        <v>1851796</v>
      </c>
      <c r="U13" s="272">
        <v>98598</v>
      </c>
      <c r="V13" s="272">
        <v>36988</v>
      </c>
      <c r="W13" s="456">
        <v>17178</v>
      </c>
      <c r="X13" s="272">
        <v>1568343</v>
      </c>
      <c r="Y13" s="272">
        <v>0</v>
      </c>
      <c r="Z13" s="272">
        <v>0</v>
      </c>
      <c r="AA13" s="272">
        <v>130689</v>
      </c>
      <c r="AB13" s="272">
        <v>272927</v>
      </c>
      <c r="AC13" s="272">
        <v>4662019</v>
      </c>
      <c r="AD13" s="272">
        <v>4047771</v>
      </c>
      <c r="AE13" s="272">
        <v>614248</v>
      </c>
      <c r="AF13" s="272">
        <v>24869</v>
      </c>
      <c r="AG13" s="272">
        <v>1732799</v>
      </c>
      <c r="AH13" s="455">
        <f t="shared" si="3"/>
        <v>1003940</v>
      </c>
      <c r="AI13" s="272">
        <v>794227</v>
      </c>
      <c r="AJ13" s="272">
        <v>209713</v>
      </c>
      <c r="AK13" s="272">
        <v>9955036</v>
      </c>
      <c r="AL13" s="455">
        <f t="shared" si="4"/>
        <v>6848017</v>
      </c>
      <c r="AM13" s="272">
        <v>6443200</v>
      </c>
      <c r="AN13" s="272">
        <v>404817</v>
      </c>
      <c r="AO13" s="272"/>
      <c r="AP13" s="272">
        <v>0</v>
      </c>
      <c r="AQ13" s="272">
        <v>557147</v>
      </c>
      <c r="AR13" s="272">
        <v>0</v>
      </c>
      <c r="AS13" s="272">
        <v>0</v>
      </c>
      <c r="AT13" s="272">
        <v>2916528</v>
      </c>
      <c r="AU13" s="272">
        <v>1577466</v>
      </c>
      <c r="AV13" s="272">
        <v>218723</v>
      </c>
      <c r="AW13" s="272">
        <v>6071</v>
      </c>
      <c r="AX13" s="272">
        <v>1339062</v>
      </c>
      <c r="AY13" s="272">
        <v>19280</v>
      </c>
      <c r="AZ13" s="272">
        <v>194851</v>
      </c>
      <c r="BA13" s="272">
        <v>120648</v>
      </c>
      <c r="BB13" s="272">
        <v>4082</v>
      </c>
      <c r="BC13" s="272">
        <v>41383</v>
      </c>
      <c r="BD13" s="272">
        <v>0</v>
      </c>
      <c r="BE13" s="272">
        <v>0</v>
      </c>
      <c r="BF13" s="272">
        <v>41383</v>
      </c>
      <c r="BG13" s="272">
        <v>0</v>
      </c>
      <c r="BH13" s="272">
        <v>1525330</v>
      </c>
      <c r="BI13" s="272">
        <v>0</v>
      </c>
      <c r="BJ13" s="272">
        <v>518652</v>
      </c>
      <c r="BK13" s="272">
        <v>24625</v>
      </c>
      <c r="BL13" s="272">
        <v>0</v>
      </c>
      <c r="BM13" s="272">
        <v>34921</v>
      </c>
      <c r="BN13" s="272">
        <v>4944600</v>
      </c>
      <c r="BO13" s="455">
        <f t="shared" si="5"/>
        <v>212400</v>
      </c>
      <c r="BP13" s="455">
        <f t="shared" si="6"/>
        <v>2415800</v>
      </c>
      <c r="BQ13" s="272"/>
      <c r="BR13" s="272">
        <v>578000</v>
      </c>
      <c r="BS13" s="272">
        <v>1837800</v>
      </c>
      <c r="BT13" s="272">
        <v>2316400</v>
      </c>
      <c r="BU13" s="272">
        <v>52338823</v>
      </c>
      <c r="BV13" s="272"/>
      <c r="BW13" s="272">
        <v>12870288</v>
      </c>
      <c r="BX13" s="272">
        <v>7707518</v>
      </c>
      <c r="BY13" s="272">
        <v>2945626</v>
      </c>
      <c r="BZ13" s="272">
        <v>416526</v>
      </c>
      <c r="CA13" s="272">
        <v>15889096</v>
      </c>
      <c r="CB13" s="272">
        <v>1740332</v>
      </c>
      <c r="CC13" s="272">
        <v>246126</v>
      </c>
      <c r="CD13" s="272">
        <v>3684377</v>
      </c>
      <c r="CE13" s="272">
        <v>8602541</v>
      </c>
      <c r="CF13" s="272">
        <v>1448732</v>
      </c>
      <c r="CG13" s="272">
        <v>166748</v>
      </c>
      <c r="CH13" s="272">
        <v>5260619</v>
      </c>
      <c r="CI13" s="272">
        <v>4306728</v>
      </c>
      <c r="CJ13" s="455">
        <f t="shared" si="7"/>
        <v>953891</v>
      </c>
      <c r="CK13" s="272">
        <v>4114408</v>
      </c>
      <c r="CL13" s="272">
        <v>2356832</v>
      </c>
      <c r="CM13" s="272">
        <v>184919</v>
      </c>
      <c r="CN13" s="272">
        <v>695061</v>
      </c>
      <c r="CO13" s="272">
        <v>233761</v>
      </c>
      <c r="CP13" s="272">
        <v>5980449</v>
      </c>
      <c r="CQ13" s="272">
        <v>2066429</v>
      </c>
      <c r="CR13" s="272">
        <v>2868137</v>
      </c>
      <c r="CS13" s="272">
        <v>2654867</v>
      </c>
      <c r="CT13" s="455">
        <f t="shared" si="8"/>
        <v>88957</v>
      </c>
      <c r="CU13" s="272">
        <v>88957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1307249</v>
      </c>
      <c r="DD13" s="272">
        <v>800774</v>
      </c>
      <c r="DE13" s="272">
        <v>447655</v>
      </c>
      <c r="DF13" s="26">
        <v>0</v>
      </c>
      <c r="DG13" s="27">
        <v>58820</v>
      </c>
      <c r="DH13" s="272">
        <v>0</v>
      </c>
      <c r="DI13" s="272">
        <v>4100</v>
      </c>
      <c r="DJ13" s="272">
        <v>10</v>
      </c>
      <c r="DK13" s="272">
        <v>8</v>
      </c>
      <c r="DL13" s="272">
        <v>4082</v>
      </c>
      <c r="DM13" s="272">
        <v>0</v>
      </c>
      <c r="DN13" s="272">
        <v>0</v>
      </c>
      <c r="DO13" s="272">
        <v>0</v>
      </c>
      <c r="DP13" s="272">
        <v>0</v>
      </c>
      <c r="DQ13" s="272">
        <v>4070</v>
      </c>
      <c r="DR13" s="272">
        <v>0</v>
      </c>
      <c r="DS13" s="272">
        <v>0</v>
      </c>
      <c r="DT13" s="272">
        <v>6161818</v>
      </c>
      <c r="DU13" s="272">
        <v>1790000</v>
      </c>
      <c r="DV13" s="455">
        <f t="shared" si="11"/>
        <v>0</v>
      </c>
      <c r="DW13" s="272">
        <v>0</v>
      </c>
      <c r="DX13" s="272">
        <v>1299061</v>
      </c>
      <c r="DY13" s="272">
        <v>0</v>
      </c>
      <c r="DZ13" s="272">
        <v>1837959</v>
      </c>
      <c r="EA13" s="272">
        <v>125</v>
      </c>
      <c r="EB13" s="272">
        <v>1234673</v>
      </c>
      <c r="EC13" s="272">
        <v>0</v>
      </c>
      <c r="ED13" s="272">
        <v>51825858</v>
      </c>
      <c r="EE13" s="89"/>
      <c r="EF13" s="272">
        <v>512965</v>
      </c>
      <c r="EG13" s="272">
        <v>82918</v>
      </c>
      <c r="EH13" s="272">
        <v>430047</v>
      </c>
      <c r="EI13" s="272">
        <v>1288860</v>
      </c>
      <c r="EJ13" s="272">
        <v>1288870</v>
      </c>
      <c r="EK13" s="89"/>
      <c r="EL13" s="272"/>
      <c r="EM13" s="272">
        <v>145158</v>
      </c>
      <c r="EN13" s="272">
        <v>36949</v>
      </c>
      <c r="EO13" s="272">
        <v>192352</v>
      </c>
      <c r="EP13" s="455">
        <f t="shared" si="12"/>
        <v>1037272</v>
      </c>
      <c r="EQ13" s="272">
        <v>29501622</v>
      </c>
      <c r="ER13" s="272">
        <v>-3657504</v>
      </c>
      <c r="ES13" s="272">
        <v>9926798</v>
      </c>
      <c r="ET13" s="272">
        <v>7186221</v>
      </c>
      <c r="EU13" s="272">
        <v>4146810</v>
      </c>
      <c r="EV13" s="272">
        <v>5218988</v>
      </c>
      <c r="EW13" s="455">
        <f t="shared" si="13"/>
        <v>436415</v>
      </c>
      <c r="EX13" s="272">
        <v>436415</v>
      </c>
      <c r="EY13" s="272">
        <v>91991</v>
      </c>
      <c r="EZ13" s="272">
        <v>344424</v>
      </c>
      <c r="FA13" s="272">
        <v>0</v>
      </c>
      <c r="FB13" s="272">
        <v>0</v>
      </c>
      <c r="FC13" s="272">
        <v>3192515</v>
      </c>
      <c r="FD13" s="272">
        <v>4213501</v>
      </c>
      <c r="FE13" s="272">
        <v>2066429</v>
      </c>
      <c r="FF13" s="272">
        <v>5331969</v>
      </c>
      <c r="FG13" s="455">
        <f t="shared" si="14"/>
        <v>179165</v>
      </c>
      <c r="FH13" s="272">
        <v>32646161</v>
      </c>
      <c r="FI13" s="459">
        <f t="shared" si="15"/>
        <v>1.5</v>
      </c>
      <c r="FJ13" s="272">
        <v>27296298</v>
      </c>
      <c r="FK13" s="272">
        <v>1837952</v>
      </c>
      <c r="FL13" s="272">
        <v>17828887</v>
      </c>
      <c r="FM13" s="272">
        <v>21896349</v>
      </c>
      <c r="FN13" s="460">
        <v>0.82899999999999996</v>
      </c>
      <c r="FO13" s="388">
        <v>100.9</v>
      </c>
      <c r="FP13" s="388">
        <v>33.299999999999997</v>
      </c>
      <c r="FQ13" s="388">
        <v>14</v>
      </c>
      <c r="FR13" s="388">
        <v>17.7</v>
      </c>
      <c r="FS13" s="388">
        <v>9.8000000000000007</v>
      </c>
      <c r="FT13" s="388">
        <v>9.8000000000000007</v>
      </c>
      <c r="FU13" s="388">
        <v>15.7</v>
      </c>
      <c r="FV13" s="384">
        <f t="shared" si="16"/>
        <v>6.2</v>
      </c>
      <c r="FW13" s="272">
        <v>47397888</v>
      </c>
      <c r="FX13" s="384">
        <f t="shared" si="17"/>
        <v>162.69999999999999</v>
      </c>
      <c r="FY13" s="272">
        <v>3382767</v>
      </c>
      <c r="FZ13" s="272">
        <v>1517</v>
      </c>
      <c r="GA13" s="272">
        <v>1145</v>
      </c>
      <c r="GB13" s="272">
        <v>3380105</v>
      </c>
      <c r="GC13" s="272">
        <v>3058800</v>
      </c>
      <c r="GD13" s="272">
        <v>5606000</v>
      </c>
      <c r="GE13" s="384">
        <f t="shared" si="18"/>
        <v>19.2</v>
      </c>
      <c r="GF13" s="388">
        <v>97.4</v>
      </c>
      <c r="GG13" s="388">
        <v>19</v>
      </c>
      <c r="GH13" s="388">
        <v>91.2</v>
      </c>
      <c r="GI13" s="272">
        <v>1013</v>
      </c>
      <c r="GJ13" s="461" t="s">
        <v>646</v>
      </c>
      <c r="GK13" s="461">
        <v>11.85</v>
      </c>
      <c r="GL13" s="462">
        <v>20</v>
      </c>
      <c r="GM13" s="461">
        <v>8.65</v>
      </c>
      <c r="GN13" s="462">
        <v>16.850000000000001</v>
      </c>
      <c r="GO13" s="462">
        <v>40</v>
      </c>
      <c r="GP13" s="463">
        <v>6.2</v>
      </c>
      <c r="GQ13" s="463">
        <v>25</v>
      </c>
      <c r="GR13" s="463">
        <v>35</v>
      </c>
      <c r="GS13" s="464">
        <v>130.80000000000001</v>
      </c>
      <c r="GT13" s="463">
        <v>350</v>
      </c>
      <c r="GU13" s="394"/>
      <c r="GV13" s="394"/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</row>
    <row r="14" spans="2:230" x14ac:dyDescent="0.15">
      <c r="B14" s="89" t="s">
        <v>21</v>
      </c>
      <c r="C14" s="272">
        <v>56991357</v>
      </c>
      <c r="D14" s="455">
        <f t="shared" si="0"/>
        <v>24287090</v>
      </c>
      <c r="E14" s="272">
        <v>549116</v>
      </c>
      <c r="F14" s="456">
        <v>23737974</v>
      </c>
      <c r="G14" s="455">
        <f t="shared" si="1"/>
        <v>2517895</v>
      </c>
      <c r="H14" s="272">
        <v>675762</v>
      </c>
      <c r="I14" s="272">
        <v>1842133</v>
      </c>
      <c r="J14" s="272">
        <v>22071705</v>
      </c>
      <c r="K14" s="272">
        <v>9157601</v>
      </c>
      <c r="L14" s="272">
        <v>9675969</v>
      </c>
      <c r="M14" s="272">
        <v>2630577</v>
      </c>
      <c r="N14" s="272">
        <v>1720773</v>
      </c>
      <c r="O14" s="272">
        <v>4743448</v>
      </c>
      <c r="P14" s="272">
        <v>2626072</v>
      </c>
      <c r="Q14" s="272">
        <v>2117376</v>
      </c>
      <c r="R14" s="272">
        <v>725683</v>
      </c>
      <c r="S14" s="272"/>
      <c r="T14" s="455">
        <f t="shared" si="2"/>
        <v>4393913</v>
      </c>
      <c r="U14" s="272">
        <v>344455</v>
      </c>
      <c r="V14" s="272">
        <v>129198</v>
      </c>
      <c r="W14" s="456">
        <v>60285</v>
      </c>
      <c r="X14" s="272">
        <v>3387183</v>
      </c>
      <c r="Y14" s="272">
        <v>104977</v>
      </c>
      <c r="Z14" s="272">
        <v>0</v>
      </c>
      <c r="AA14" s="272">
        <v>367815</v>
      </c>
      <c r="AB14" s="272">
        <v>814866</v>
      </c>
      <c r="AC14" s="272">
        <v>6986129</v>
      </c>
      <c r="AD14" s="272">
        <v>6758758</v>
      </c>
      <c r="AE14" s="272">
        <v>227371</v>
      </c>
      <c r="AF14" s="272">
        <v>72379</v>
      </c>
      <c r="AG14" s="272">
        <v>1150713</v>
      </c>
      <c r="AH14" s="455">
        <f t="shared" si="3"/>
        <v>2337363</v>
      </c>
      <c r="AI14" s="272">
        <v>1889163</v>
      </c>
      <c r="AJ14" s="272">
        <v>448200</v>
      </c>
      <c r="AK14" s="272">
        <v>23672600</v>
      </c>
      <c r="AL14" s="455">
        <f t="shared" si="4"/>
        <v>9416669</v>
      </c>
      <c r="AM14" s="272">
        <v>8144708</v>
      </c>
      <c r="AN14" s="272">
        <v>1271961</v>
      </c>
      <c r="AO14" s="272"/>
      <c r="AP14" s="272">
        <v>0</v>
      </c>
      <c r="AQ14" s="272">
        <v>1586802</v>
      </c>
      <c r="AR14" s="272">
        <v>0</v>
      </c>
      <c r="AS14" s="272">
        <v>0</v>
      </c>
      <c r="AT14" s="272">
        <v>6589361</v>
      </c>
      <c r="AU14" s="272">
        <v>3913253</v>
      </c>
      <c r="AV14" s="272">
        <v>635980</v>
      </c>
      <c r="AW14" s="272">
        <v>4666</v>
      </c>
      <c r="AX14" s="272">
        <v>2676108</v>
      </c>
      <c r="AY14" s="272">
        <v>11588</v>
      </c>
      <c r="AZ14" s="272">
        <v>211852</v>
      </c>
      <c r="BA14" s="272">
        <v>100293</v>
      </c>
      <c r="BB14" s="272">
        <v>57745</v>
      </c>
      <c r="BC14" s="272">
        <v>75850</v>
      </c>
      <c r="BD14" s="272">
        <v>0</v>
      </c>
      <c r="BE14" s="272">
        <v>0</v>
      </c>
      <c r="BF14" s="272">
        <v>73766</v>
      </c>
      <c r="BG14" s="272">
        <v>0</v>
      </c>
      <c r="BH14" s="272">
        <v>1083482</v>
      </c>
      <c r="BI14" s="272">
        <v>703319</v>
      </c>
      <c r="BJ14" s="272">
        <v>1231506</v>
      </c>
      <c r="BK14" s="272">
        <v>0</v>
      </c>
      <c r="BL14" s="272">
        <v>0</v>
      </c>
      <c r="BM14" s="272">
        <v>48843</v>
      </c>
      <c r="BN14" s="272">
        <v>7087000</v>
      </c>
      <c r="BO14" s="455">
        <f t="shared" si="5"/>
        <v>2096900</v>
      </c>
      <c r="BP14" s="455">
        <f t="shared" si="6"/>
        <v>4990100</v>
      </c>
      <c r="BQ14" s="272"/>
      <c r="BR14" s="272">
        <v>724300</v>
      </c>
      <c r="BS14" s="272">
        <v>4265800</v>
      </c>
      <c r="BT14" s="272">
        <v>0</v>
      </c>
      <c r="BU14" s="272">
        <v>113481799</v>
      </c>
      <c r="BV14" s="272"/>
      <c r="BW14" s="272">
        <v>23242341</v>
      </c>
      <c r="BX14" s="272">
        <v>15893983</v>
      </c>
      <c r="BY14" s="272">
        <v>2625341</v>
      </c>
      <c r="BZ14" s="272">
        <v>1202806</v>
      </c>
      <c r="CA14" s="272">
        <v>26482932</v>
      </c>
      <c r="CB14" s="272">
        <v>4670934</v>
      </c>
      <c r="CC14" s="272">
        <v>569287</v>
      </c>
      <c r="CD14" s="272">
        <v>10022945</v>
      </c>
      <c r="CE14" s="272">
        <v>10761159</v>
      </c>
      <c r="CF14" s="272">
        <v>0</v>
      </c>
      <c r="CG14" s="272">
        <v>458177</v>
      </c>
      <c r="CH14" s="272">
        <v>10137664</v>
      </c>
      <c r="CI14" s="272">
        <v>8308300</v>
      </c>
      <c r="CJ14" s="455">
        <f t="shared" si="7"/>
        <v>1829364</v>
      </c>
      <c r="CK14" s="272">
        <v>10855752</v>
      </c>
      <c r="CL14" s="272">
        <v>5332580</v>
      </c>
      <c r="CM14" s="272">
        <v>666318</v>
      </c>
      <c r="CN14" s="272">
        <v>2466187</v>
      </c>
      <c r="CO14" s="272">
        <v>1297822</v>
      </c>
      <c r="CP14" s="272">
        <v>17093506</v>
      </c>
      <c r="CQ14" s="272">
        <v>4518472</v>
      </c>
      <c r="CR14" s="272">
        <v>9094669</v>
      </c>
      <c r="CS14" s="272">
        <v>2095350</v>
      </c>
      <c r="CT14" s="455">
        <f t="shared" si="8"/>
        <v>1343677</v>
      </c>
      <c r="CU14" s="272">
        <v>1150680</v>
      </c>
      <c r="CV14" s="272">
        <v>192997</v>
      </c>
      <c r="CW14" s="455">
        <f t="shared" si="9"/>
        <v>1033138</v>
      </c>
      <c r="CX14" s="272">
        <v>997160</v>
      </c>
      <c r="CY14" s="272">
        <v>35978</v>
      </c>
      <c r="CZ14" s="455">
        <f t="shared" si="10"/>
        <v>0</v>
      </c>
      <c r="DA14" s="272">
        <v>0</v>
      </c>
      <c r="DB14" s="272">
        <v>0</v>
      </c>
      <c r="DC14" s="272">
        <v>5832067</v>
      </c>
      <c r="DD14" s="272">
        <v>3350466</v>
      </c>
      <c r="DE14" s="272">
        <v>2326281</v>
      </c>
      <c r="DF14" s="26">
        <v>395</v>
      </c>
      <c r="DG14" s="27">
        <v>154925</v>
      </c>
      <c r="DH14" s="272">
        <v>0</v>
      </c>
      <c r="DI14" s="272">
        <v>2636273</v>
      </c>
      <c r="DJ14" s="272">
        <v>1167778</v>
      </c>
      <c r="DK14" s="272">
        <v>621744</v>
      </c>
      <c r="DL14" s="272">
        <v>846751</v>
      </c>
      <c r="DM14" s="272">
        <v>4900</v>
      </c>
      <c r="DN14" s="272">
        <v>4900</v>
      </c>
      <c r="DO14" s="272">
        <v>4900</v>
      </c>
      <c r="DP14" s="272">
        <v>0</v>
      </c>
      <c r="DQ14" s="272">
        <v>0</v>
      </c>
      <c r="DR14" s="272">
        <v>0</v>
      </c>
      <c r="DS14" s="272">
        <v>0</v>
      </c>
      <c r="DT14" s="272">
        <v>14474074</v>
      </c>
      <c r="DU14" s="272">
        <v>5516128</v>
      </c>
      <c r="DV14" s="455">
        <f t="shared" si="11"/>
        <v>156174</v>
      </c>
      <c r="DW14" s="272">
        <v>156174</v>
      </c>
      <c r="DX14" s="272">
        <v>2702442</v>
      </c>
      <c r="DY14" s="272">
        <v>50574</v>
      </c>
      <c r="DZ14" s="272">
        <v>3100883</v>
      </c>
      <c r="EA14" s="272">
        <v>15225</v>
      </c>
      <c r="EB14" s="272">
        <v>2932648</v>
      </c>
      <c r="EC14" s="272">
        <v>0</v>
      </c>
      <c r="ED14" s="272">
        <v>112057331</v>
      </c>
      <c r="EE14" s="89"/>
      <c r="EF14" s="272">
        <v>1424468</v>
      </c>
      <c r="EG14" s="272">
        <v>506373</v>
      </c>
      <c r="EH14" s="272">
        <v>918095</v>
      </c>
      <c r="EI14" s="272">
        <v>214776</v>
      </c>
      <c r="EJ14" s="272">
        <v>1382554</v>
      </c>
      <c r="EK14" s="89"/>
      <c r="EL14" s="272"/>
      <c r="EM14" s="272">
        <v>406827</v>
      </c>
      <c r="EN14" s="272">
        <v>2084</v>
      </c>
      <c r="EO14" s="272">
        <v>135783</v>
      </c>
      <c r="EP14" s="455">
        <f t="shared" si="12"/>
        <v>3422631</v>
      </c>
      <c r="EQ14" s="272">
        <v>69984327</v>
      </c>
      <c r="ER14" s="272">
        <v>-8478219</v>
      </c>
      <c r="ES14" s="272">
        <v>21684694</v>
      </c>
      <c r="ET14" s="272">
        <v>14511753</v>
      </c>
      <c r="EU14" s="272">
        <v>8424316</v>
      </c>
      <c r="EV14" s="272">
        <v>10137664</v>
      </c>
      <c r="EW14" s="455">
        <f t="shared" si="13"/>
        <v>1868692</v>
      </c>
      <c r="EX14" s="272">
        <v>1868692</v>
      </c>
      <c r="EY14" s="272">
        <v>753814</v>
      </c>
      <c r="EZ14" s="272">
        <v>1114483</v>
      </c>
      <c r="FA14" s="272">
        <v>0</v>
      </c>
      <c r="FB14" s="272">
        <v>0</v>
      </c>
      <c r="FC14" s="272">
        <v>8471947</v>
      </c>
      <c r="FD14" s="272">
        <v>9863625</v>
      </c>
      <c r="FE14" s="272">
        <v>4518472</v>
      </c>
      <c r="FF14" s="272">
        <v>13120027</v>
      </c>
      <c r="FG14" s="455">
        <f t="shared" si="14"/>
        <v>3467113</v>
      </c>
      <c r="FH14" s="272">
        <v>77038078</v>
      </c>
      <c r="FI14" s="459">
        <f t="shared" si="15"/>
        <v>1.3</v>
      </c>
      <c r="FJ14" s="272">
        <v>66397850</v>
      </c>
      <c r="FK14" s="272">
        <v>4265901</v>
      </c>
      <c r="FL14" s="272">
        <v>45889089</v>
      </c>
      <c r="FM14" s="272">
        <v>52693991</v>
      </c>
      <c r="FN14" s="460">
        <v>0.88600000000000001</v>
      </c>
      <c r="FO14" s="388">
        <v>92.8</v>
      </c>
      <c r="FP14" s="388">
        <v>30.4</v>
      </c>
      <c r="FQ14" s="388">
        <v>12</v>
      </c>
      <c r="FR14" s="388">
        <v>14.4</v>
      </c>
      <c r="FS14" s="388">
        <v>10.8</v>
      </c>
      <c r="FT14" s="388">
        <v>11.4</v>
      </c>
      <c r="FU14" s="388">
        <v>12.2</v>
      </c>
      <c r="FV14" s="384">
        <f t="shared" si="16"/>
        <v>1</v>
      </c>
      <c r="FW14" s="272">
        <v>99012655</v>
      </c>
      <c r="FX14" s="384">
        <f t="shared" si="17"/>
        <v>140.1</v>
      </c>
      <c r="FY14" s="272">
        <v>18157253</v>
      </c>
      <c r="FZ14" s="272">
        <v>3169814</v>
      </c>
      <c r="GA14" s="272">
        <v>3726493</v>
      </c>
      <c r="GB14" s="272">
        <v>11260946</v>
      </c>
      <c r="GC14" s="272">
        <v>0</v>
      </c>
      <c r="GD14" s="272">
        <v>12102000</v>
      </c>
      <c r="GE14" s="384">
        <f t="shared" si="18"/>
        <v>17.100000000000001</v>
      </c>
      <c r="GF14" s="388">
        <v>98.4</v>
      </c>
      <c r="GG14" s="388">
        <v>22.7</v>
      </c>
      <c r="GH14" s="388">
        <v>94.3</v>
      </c>
      <c r="GI14" s="272">
        <v>2189</v>
      </c>
      <c r="GJ14" s="461" t="s">
        <v>646</v>
      </c>
      <c r="GK14" s="461">
        <v>11.25</v>
      </c>
      <c r="GL14" s="462">
        <v>20</v>
      </c>
      <c r="GM14" s="461" t="s">
        <v>646</v>
      </c>
      <c r="GN14" s="462">
        <v>16.25</v>
      </c>
      <c r="GO14" s="462">
        <v>40</v>
      </c>
      <c r="GP14" s="463">
        <v>1</v>
      </c>
      <c r="GQ14" s="463">
        <v>25</v>
      </c>
      <c r="GR14" s="463">
        <v>35</v>
      </c>
      <c r="GS14" s="464">
        <v>32.5</v>
      </c>
      <c r="GT14" s="463">
        <v>350</v>
      </c>
      <c r="GU14" s="394"/>
      <c r="GV14" s="394"/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</row>
    <row r="15" spans="2:230" x14ac:dyDescent="0.15">
      <c r="B15" s="89" t="s">
        <v>23</v>
      </c>
      <c r="C15" s="272">
        <v>44362613</v>
      </c>
      <c r="D15" s="455">
        <f t="shared" si="0"/>
        <v>17768758</v>
      </c>
      <c r="E15" s="272">
        <v>380293</v>
      </c>
      <c r="F15" s="456">
        <v>17388465</v>
      </c>
      <c r="G15" s="455">
        <f t="shared" si="1"/>
        <v>2916403</v>
      </c>
      <c r="H15" s="272">
        <v>703759</v>
      </c>
      <c r="I15" s="272">
        <v>2212644</v>
      </c>
      <c r="J15" s="272">
        <v>18310249</v>
      </c>
      <c r="K15" s="272">
        <v>8015614</v>
      </c>
      <c r="L15" s="272">
        <v>7517538</v>
      </c>
      <c r="M15" s="272">
        <v>2483871</v>
      </c>
      <c r="N15" s="272">
        <v>1445806</v>
      </c>
      <c r="O15" s="272">
        <v>3730034</v>
      </c>
      <c r="P15" s="272">
        <v>2092210</v>
      </c>
      <c r="Q15" s="272">
        <v>1637824</v>
      </c>
      <c r="R15" s="272">
        <v>526940</v>
      </c>
      <c r="S15" s="272"/>
      <c r="T15" s="455">
        <f t="shared" si="2"/>
        <v>3248406</v>
      </c>
      <c r="U15" s="272">
        <v>246523</v>
      </c>
      <c r="V15" s="272">
        <v>92455</v>
      </c>
      <c r="W15" s="456">
        <v>43284</v>
      </c>
      <c r="X15" s="272">
        <v>2502059</v>
      </c>
      <c r="Y15" s="272">
        <v>97000</v>
      </c>
      <c r="Z15" s="272">
        <v>0</v>
      </c>
      <c r="AA15" s="272">
        <v>267085</v>
      </c>
      <c r="AB15" s="272">
        <v>552341</v>
      </c>
      <c r="AC15" s="272">
        <v>228629</v>
      </c>
      <c r="AD15" s="272">
        <v>0</v>
      </c>
      <c r="AE15" s="272">
        <v>228629</v>
      </c>
      <c r="AF15" s="272">
        <v>53229</v>
      </c>
      <c r="AG15" s="272">
        <v>834024</v>
      </c>
      <c r="AH15" s="455">
        <f t="shared" si="3"/>
        <v>2038997</v>
      </c>
      <c r="AI15" s="272">
        <v>1653902</v>
      </c>
      <c r="AJ15" s="272">
        <v>385095</v>
      </c>
      <c r="AK15" s="272">
        <v>14070449</v>
      </c>
      <c r="AL15" s="455">
        <f t="shared" si="4"/>
        <v>4923375</v>
      </c>
      <c r="AM15" s="272">
        <v>4122943</v>
      </c>
      <c r="AN15" s="272">
        <v>800432</v>
      </c>
      <c r="AO15" s="272"/>
      <c r="AP15" s="272">
        <v>0</v>
      </c>
      <c r="AQ15" s="272">
        <v>916586</v>
      </c>
      <c r="AR15" s="272">
        <v>0</v>
      </c>
      <c r="AS15" s="272">
        <v>0</v>
      </c>
      <c r="AT15" s="272">
        <v>4749701</v>
      </c>
      <c r="AU15" s="272">
        <v>3231526</v>
      </c>
      <c r="AV15" s="272">
        <v>400216</v>
      </c>
      <c r="AW15" s="272">
        <v>280892</v>
      </c>
      <c r="AX15" s="272">
        <v>1518175</v>
      </c>
      <c r="AY15" s="272">
        <v>5765</v>
      </c>
      <c r="AZ15" s="272">
        <v>106847</v>
      </c>
      <c r="BA15" s="272">
        <v>71237</v>
      </c>
      <c r="BB15" s="272">
        <v>21642</v>
      </c>
      <c r="BC15" s="272">
        <v>606859</v>
      </c>
      <c r="BD15" s="272">
        <v>0</v>
      </c>
      <c r="BE15" s="272">
        <v>0</v>
      </c>
      <c r="BF15" s="272">
        <v>532310</v>
      </c>
      <c r="BG15" s="272">
        <v>0</v>
      </c>
      <c r="BH15" s="272">
        <v>717821</v>
      </c>
      <c r="BI15" s="272">
        <v>428307</v>
      </c>
      <c r="BJ15" s="272">
        <v>1602491</v>
      </c>
      <c r="BK15" s="272">
        <v>350000</v>
      </c>
      <c r="BL15" s="272">
        <v>13272</v>
      </c>
      <c r="BM15" s="272">
        <v>61919</v>
      </c>
      <c r="BN15" s="272">
        <v>6614500</v>
      </c>
      <c r="BO15" s="455">
        <f t="shared" si="5"/>
        <v>3576100</v>
      </c>
      <c r="BP15" s="455">
        <f t="shared" si="6"/>
        <v>3038400</v>
      </c>
      <c r="BQ15" s="272"/>
      <c r="BR15" s="272">
        <v>0</v>
      </c>
      <c r="BS15" s="272">
        <v>3038400</v>
      </c>
      <c r="BT15" s="272">
        <v>0</v>
      </c>
      <c r="BU15" s="272">
        <v>80335489</v>
      </c>
      <c r="BV15" s="272"/>
      <c r="BW15" s="272">
        <v>15392999</v>
      </c>
      <c r="BX15" s="272">
        <v>10028831</v>
      </c>
      <c r="BY15" s="272">
        <v>2300464</v>
      </c>
      <c r="BZ15" s="272">
        <v>661047</v>
      </c>
      <c r="CA15" s="272">
        <v>16559400</v>
      </c>
      <c r="CB15" s="272">
        <v>3143494</v>
      </c>
      <c r="CC15" s="272">
        <v>594347</v>
      </c>
      <c r="CD15" s="272">
        <v>7095667</v>
      </c>
      <c r="CE15" s="272">
        <v>5451455</v>
      </c>
      <c r="CF15" s="272">
        <v>0</v>
      </c>
      <c r="CG15" s="272">
        <v>273297</v>
      </c>
      <c r="CH15" s="272">
        <v>6261650</v>
      </c>
      <c r="CI15" s="272">
        <v>5327189</v>
      </c>
      <c r="CJ15" s="455">
        <f t="shared" si="7"/>
        <v>934461</v>
      </c>
      <c r="CK15" s="272">
        <v>12306651</v>
      </c>
      <c r="CL15" s="272">
        <v>5727773</v>
      </c>
      <c r="CM15" s="272">
        <v>943963</v>
      </c>
      <c r="CN15" s="272">
        <v>2815608</v>
      </c>
      <c r="CO15" s="272">
        <v>917620</v>
      </c>
      <c r="CP15" s="272">
        <v>7684941</v>
      </c>
      <c r="CQ15" s="272">
        <v>5952</v>
      </c>
      <c r="CR15" s="272">
        <v>6460786</v>
      </c>
      <c r="CS15" s="272">
        <v>5940093</v>
      </c>
      <c r="CT15" s="455">
        <f t="shared" si="8"/>
        <v>61107</v>
      </c>
      <c r="CU15" s="272">
        <v>6190</v>
      </c>
      <c r="CV15" s="272">
        <v>54917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9571150</v>
      </c>
      <c r="DD15" s="272">
        <v>1837736</v>
      </c>
      <c r="DE15" s="272">
        <v>7720104</v>
      </c>
      <c r="DF15" s="26">
        <v>0</v>
      </c>
      <c r="DG15" s="27">
        <v>13310</v>
      </c>
      <c r="DH15" s="272">
        <v>14099</v>
      </c>
      <c r="DI15" s="272">
        <v>382790</v>
      </c>
      <c r="DJ15" s="272">
        <v>7630</v>
      </c>
      <c r="DK15" s="272">
        <v>0</v>
      </c>
      <c r="DL15" s="272">
        <v>375160</v>
      </c>
      <c r="DM15" s="272">
        <v>9781</v>
      </c>
      <c r="DN15" s="272">
        <v>9781</v>
      </c>
      <c r="DO15" s="272">
        <v>9781</v>
      </c>
      <c r="DP15" s="272">
        <v>0</v>
      </c>
      <c r="DQ15" s="272">
        <v>350000</v>
      </c>
      <c r="DR15" s="272">
        <v>0</v>
      </c>
      <c r="DS15" s="272">
        <v>0</v>
      </c>
      <c r="DT15" s="272">
        <v>9746340</v>
      </c>
      <c r="DU15" s="272">
        <v>4317000</v>
      </c>
      <c r="DV15" s="455">
        <f t="shared" si="11"/>
        <v>0</v>
      </c>
      <c r="DW15" s="272">
        <v>0</v>
      </c>
      <c r="DX15" s="272">
        <v>1871387</v>
      </c>
      <c r="DY15" s="272">
        <v>0</v>
      </c>
      <c r="DZ15" s="272">
        <v>1975582</v>
      </c>
      <c r="EA15" s="272">
        <v>1876</v>
      </c>
      <c r="EB15" s="272">
        <v>1578964</v>
      </c>
      <c r="EC15" s="272">
        <v>0</v>
      </c>
      <c r="ED15" s="272">
        <v>79197421</v>
      </c>
      <c r="EE15" s="89"/>
      <c r="EF15" s="272">
        <v>1138068</v>
      </c>
      <c r="EG15" s="272">
        <v>482841</v>
      </c>
      <c r="EH15" s="272">
        <v>655227</v>
      </c>
      <c r="EI15" s="272">
        <v>-233950</v>
      </c>
      <c r="EJ15" s="272">
        <v>-226320</v>
      </c>
      <c r="EK15" s="89"/>
      <c r="EL15" s="272"/>
      <c r="EM15" s="272">
        <v>270965</v>
      </c>
      <c r="EN15" s="272">
        <v>73096</v>
      </c>
      <c r="EO15" s="272">
        <v>80893</v>
      </c>
      <c r="EP15" s="455">
        <f t="shared" si="12"/>
        <v>2470569</v>
      </c>
      <c r="EQ15" s="272">
        <v>48972158</v>
      </c>
      <c r="ER15" s="272">
        <v>-5609729</v>
      </c>
      <c r="ES15" s="272">
        <v>14076688</v>
      </c>
      <c r="ET15" s="272">
        <v>8827459</v>
      </c>
      <c r="EU15" s="272">
        <v>5838539</v>
      </c>
      <c r="EV15" s="272">
        <v>6261650</v>
      </c>
      <c r="EW15" s="455">
        <f t="shared" si="13"/>
        <v>4268214</v>
      </c>
      <c r="EX15" s="272">
        <v>4260411</v>
      </c>
      <c r="EY15" s="272">
        <v>416976</v>
      </c>
      <c r="EZ15" s="272">
        <v>3843397</v>
      </c>
      <c r="FA15" s="272">
        <v>7803</v>
      </c>
      <c r="FB15" s="272">
        <v>0</v>
      </c>
      <c r="FC15" s="272">
        <v>9945763</v>
      </c>
      <c r="FD15" s="272">
        <v>2952869</v>
      </c>
      <c r="FE15" s="272">
        <v>5952</v>
      </c>
      <c r="FF15" s="272">
        <v>8891232</v>
      </c>
      <c r="FG15" s="455">
        <f t="shared" si="14"/>
        <v>1208864</v>
      </c>
      <c r="FH15" s="272">
        <v>53443819</v>
      </c>
      <c r="FI15" s="459">
        <f t="shared" si="15"/>
        <v>1.4</v>
      </c>
      <c r="FJ15" s="272">
        <v>44601846</v>
      </c>
      <c r="FK15" s="272">
        <v>3038472</v>
      </c>
      <c r="FL15" s="272">
        <v>34101524</v>
      </c>
      <c r="FM15" s="272">
        <v>34128010</v>
      </c>
      <c r="FN15" s="460">
        <v>1.0189999999999999</v>
      </c>
      <c r="FO15" s="388">
        <v>91.4</v>
      </c>
      <c r="FP15" s="388">
        <v>28.1</v>
      </c>
      <c r="FQ15" s="388">
        <v>12</v>
      </c>
      <c r="FR15" s="388">
        <v>13</v>
      </c>
      <c r="FS15" s="388">
        <v>19.5</v>
      </c>
      <c r="FT15" s="388">
        <v>4.3</v>
      </c>
      <c r="FU15" s="388">
        <v>12.7</v>
      </c>
      <c r="FV15" s="384">
        <f t="shared" si="16"/>
        <v>0.5</v>
      </c>
      <c r="FW15" s="272">
        <v>53312395</v>
      </c>
      <c r="FX15" s="384">
        <f t="shared" si="17"/>
        <v>111.9</v>
      </c>
      <c r="FY15" s="272">
        <v>9813469</v>
      </c>
      <c r="FZ15" s="272">
        <v>3284743</v>
      </c>
      <c r="GA15" s="272">
        <v>0</v>
      </c>
      <c r="GB15" s="272">
        <v>6528726</v>
      </c>
      <c r="GC15" s="272">
        <v>0</v>
      </c>
      <c r="GD15" s="272">
        <v>6503000</v>
      </c>
      <c r="GE15" s="384">
        <f t="shared" si="18"/>
        <v>13.7</v>
      </c>
      <c r="GF15" s="388">
        <v>98.6</v>
      </c>
      <c r="GG15" s="388">
        <v>23</v>
      </c>
      <c r="GH15" s="388">
        <v>95.5</v>
      </c>
      <c r="GI15" s="272">
        <v>1543</v>
      </c>
      <c r="GJ15" s="461" t="s">
        <v>646</v>
      </c>
      <c r="GK15" s="461">
        <v>11.29</v>
      </c>
      <c r="GL15" s="462">
        <v>20</v>
      </c>
      <c r="GM15" s="461" t="s">
        <v>646</v>
      </c>
      <c r="GN15" s="462">
        <v>16.29</v>
      </c>
      <c r="GO15" s="462">
        <v>40</v>
      </c>
      <c r="GP15" s="463">
        <v>0.5</v>
      </c>
      <c r="GQ15" s="463">
        <v>25</v>
      </c>
      <c r="GR15" s="463">
        <v>35</v>
      </c>
      <c r="GS15" s="464">
        <v>8.9</v>
      </c>
      <c r="GT15" s="463">
        <v>350</v>
      </c>
      <c r="GU15" s="394"/>
      <c r="GV15" s="394"/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</row>
    <row r="16" spans="2:230" x14ac:dyDescent="0.15">
      <c r="B16" s="89" t="s">
        <v>25</v>
      </c>
      <c r="C16" s="272">
        <v>39748628</v>
      </c>
      <c r="D16" s="455">
        <f t="shared" si="0"/>
        <v>14338831</v>
      </c>
      <c r="E16" s="272">
        <v>350190</v>
      </c>
      <c r="F16" s="456">
        <v>13988641</v>
      </c>
      <c r="G16" s="455">
        <f t="shared" si="1"/>
        <v>3143910</v>
      </c>
      <c r="H16" s="272">
        <v>676247</v>
      </c>
      <c r="I16" s="272">
        <v>2467663</v>
      </c>
      <c r="J16" s="272">
        <v>16844543</v>
      </c>
      <c r="K16" s="272">
        <v>7926032</v>
      </c>
      <c r="L16" s="272">
        <v>6220367</v>
      </c>
      <c r="M16" s="272">
        <v>2379563</v>
      </c>
      <c r="N16" s="272">
        <v>1730415</v>
      </c>
      <c r="O16" s="272">
        <v>3436040</v>
      </c>
      <c r="P16" s="272">
        <v>2092557</v>
      </c>
      <c r="Q16" s="272">
        <v>1343483</v>
      </c>
      <c r="R16" s="272">
        <v>527573</v>
      </c>
      <c r="S16" s="272"/>
      <c r="T16" s="455">
        <f t="shared" si="2"/>
        <v>3227036</v>
      </c>
      <c r="U16" s="272">
        <v>207649</v>
      </c>
      <c r="V16" s="272">
        <v>77891</v>
      </c>
      <c r="W16" s="456">
        <v>36254</v>
      </c>
      <c r="X16" s="272">
        <v>2638273</v>
      </c>
      <c r="Y16" s="272">
        <v>0</v>
      </c>
      <c r="Z16" s="272">
        <v>0</v>
      </c>
      <c r="AA16" s="272">
        <v>266969</v>
      </c>
      <c r="AB16" s="272">
        <v>603320</v>
      </c>
      <c r="AC16" s="272">
        <v>8675733</v>
      </c>
      <c r="AD16" s="272">
        <v>8042032</v>
      </c>
      <c r="AE16" s="272">
        <v>633701</v>
      </c>
      <c r="AF16" s="272">
        <v>51631</v>
      </c>
      <c r="AG16" s="272">
        <v>1678730</v>
      </c>
      <c r="AH16" s="455">
        <f t="shared" si="3"/>
        <v>1821554</v>
      </c>
      <c r="AI16" s="272">
        <v>1233304</v>
      </c>
      <c r="AJ16" s="272">
        <v>588250</v>
      </c>
      <c r="AK16" s="272">
        <v>19004026</v>
      </c>
      <c r="AL16" s="455">
        <f t="shared" si="4"/>
        <v>9338667</v>
      </c>
      <c r="AM16" s="272">
        <v>8545685</v>
      </c>
      <c r="AN16" s="272">
        <v>792982</v>
      </c>
      <c r="AO16" s="272"/>
      <c r="AP16" s="272">
        <v>0</v>
      </c>
      <c r="AQ16" s="272">
        <v>944354</v>
      </c>
      <c r="AR16" s="272">
        <v>0</v>
      </c>
      <c r="AS16" s="272">
        <v>43183</v>
      </c>
      <c r="AT16" s="272">
        <v>5436789</v>
      </c>
      <c r="AU16" s="272">
        <v>2986585</v>
      </c>
      <c r="AV16" s="272">
        <v>393670</v>
      </c>
      <c r="AW16" s="272">
        <v>336557</v>
      </c>
      <c r="AX16" s="272">
        <v>2450204</v>
      </c>
      <c r="AY16" s="272">
        <v>102363</v>
      </c>
      <c r="AZ16" s="272">
        <v>263173</v>
      </c>
      <c r="BA16" s="272">
        <v>167141</v>
      </c>
      <c r="BB16" s="272">
        <v>63627</v>
      </c>
      <c r="BC16" s="272">
        <v>1148528</v>
      </c>
      <c r="BD16" s="272">
        <v>0</v>
      </c>
      <c r="BE16" s="272">
        <v>0</v>
      </c>
      <c r="BF16" s="272">
        <v>1148500</v>
      </c>
      <c r="BG16" s="272">
        <v>0</v>
      </c>
      <c r="BH16" s="272">
        <v>216394</v>
      </c>
      <c r="BI16" s="272">
        <v>63087</v>
      </c>
      <c r="BJ16" s="272">
        <v>1008416</v>
      </c>
      <c r="BK16" s="272">
        <v>312216</v>
      </c>
      <c r="BL16" s="272">
        <v>0</v>
      </c>
      <c r="BM16" s="272">
        <v>41759</v>
      </c>
      <c r="BN16" s="272">
        <v>6310432</v>
      </c>
      <c r="BO16" s="455">
        <f t="shared" si="5"/>
        <v>1947800</v>
      </c>
      <c r="BP16" s="455">
        <f t="shared" si="6"/>
        <v>3162632</v>
      </c>
      <c r="BQ16" s="272"/>
      <c r="BR16" s="272">
        <v>0</v>
      </c>
      <c r="BS16" s="272">
        <v>3162632</v>
      </c>
      <c r="BT16" s="272">
        <v>1200000</v>
      </c>
      <c r="BU16" s="272">
        <v>89828773</v>
      </c>
      <c r="BV16" s="272"/>
      <c r="BW16" s="272">
        <v>17794765</v>
      </c>
      <c r="BX16" s="272">
        <v>10881796</v>
      </c>
      <c r="BY16" s="272">
        <v>2693746</v>
      </c>
      <c r="BZ16" s="272">
        <v>1579159</v>
      </c>
      <c r="CA16" s="272">
        <v>24074279</v>
      </c>
      <c r="CB16" s="272">
        <v>3729059</v>
      </c>
      <c r="CC16" s="272">
        <v>512189</v>
      </c>
      <c r="CD16" s="272">
        <v>6839768</v>
      </c>
      <c r="CE16" s="272">
        <v>11500413</v>
      </c>
      <c r="CF16" s="272">
        <v>1070820</v>
      </c>
      <c r="CG16" s="272">
        <v>421760</v>
      </c>
      <c r="CH16" s="272">
        <v>8378389</v>
      </c>
      <c r="CI16" s="272">
        <v>7072857</v>
      </c>
      <c r="CJ16" s="455">
        <f t="shared" si="7"/>
        <v>1305532</v>
      </c>
      <c r="CK16" s="272">
        <v>9893957</v>
      </c>
      <c r="CL16" s="272">
        <v>6474434</v>
      </c>
      <c r="CM16" s="272">
        <v>362037</v>
      </c>
      <c r="CN16" s="272">
        <v>1895691</v>
      </c>
      <c r="CO16" s="272">
        <v>377882</v>
      </c>
      <c r="CP16" s="272">
        <v>8029932</v>
      </c>
      <c r="CQ16" s="272">
        <v>40270</v>
      </c>
      <c r="CR16" s="272">
        <v>5802100</v>
      </c>
      <c r="CS16" s="272">
        <v>4963950</v>
      </c>
      <c r="CT16" s="455">
        <f t="shared" si="8"/>
        <v>1188302</v>
      </c>
      <c r="CU16" s="272">
        <v>1188302</v>
      </c>
      <c r="CV16" s="272">
        <v>0</v>
      </c>
      <c r="CW16" s="455">
        <f t="shared" si="9"/>
        <v>1083632</v>
      </c>
      <c r="CX16" s="272">
        <v>1083632</v>
      </c>
      <c r="CY16" s="272">
        <v>0</v>
      </c>
      <c r="CZ16" s="455">
        <f t="shared" si="10"/>
        <v>0</v>
      </c>
      <c r="DA16" s="272">
        <v>0</v>
      </c>
      <c r="DB16" s="272">
        <v>0</v>
      </c>
      <c r="DC16" s="272">
        <v>6825674</v>
      </c>
      <c r="DD16" s="272">
        <v>2286382</v>
      </c>
      <c r="DE16" s="272">
        <v>4344625</v>
      </c>
      <c r="DF16" s="26">
        <v>63117</v>
      </c>
      <c r="DG16" s="27">
        <v>131550</v>
      </c>
      <c r="DH16" s="272">
        <v>0</v>
      </c>
      <c r="DI16" s="272">
        <v>149679</v>
      </c>
      <c r="DJ16" s="272">
        <v>55840</v>
      </c>
      <c r="DK16" s="272">
        <v>0</v>
      </c>
      <c r="DL16" s="272">
        <v>93839</v>
      </c>
      <c r="DM16" s="272">
        <v>768232</v>
      </c>
      <c r="DN16" s="272">
        <v>750232</v>
      </c>
      <c r="DO16" s="272">
        <v>44000</v>
      </c>
      <c r="DP16" s="272">
        <v>706232</v>
      </c>
      <c r="DQ16" s="272">
        <v>330200</v>
      </c>
      <c r="DR16" s="272">
        <v>0</v>
      </c>
      <c r="DS16" s="272">
        <v>0</v>
      </c>
      <c r="DT16" s="272">
        <v>12936492</v>
      </c>
      <c r="DU16" s="272">
        <v>5800132</v>
      </c>
      <c r="DV16" s="455">
        <f t="shared" si="11"/>
        <v>0</v>
      </c>
      <c r="DW16" s="272">
        <v>0</v>
      </c>
      <c r="DX16" s="272">
        <v>2057308</v>
      </c>
      <c r="DY16" s="272">
        <v>0</v>
      </c>
      <c r="DZ16" s="272">
        <v>2654688</v>
      </c>
      <c r="EA16" s="272">
        <v>7025</v>
      </c>
      <c r="EB16" s="272">
        <v>2341924</v>
      </c>
      <c r="EC16" s="272">
        <v>0</v>
      </c>
      <c r="ED16" s="272">
        <v>89559481</v>
      </c>
      <c r="EE16" s="89"/>
      <c r="EF16" s="272">
        <v>269292</v>
      </c>
      <c r="EG16" s="272">
        <v>187245</v>
      </c>
      <c r="EH16" s="272">
        <v>82047</v>
      </c>
      <c r="EI16" s="272">
        <v>18960</v>
      </c>
      <c r="EJ16" s="272">
        <v>118369</v>
      </c>
      <c r="EK16" s="89"/>
      <c r="EL16" s="272"/>
      <c r="EM16" s="272">
        <v>265220</v>
      </c>
      <c r="EN16" s="272">
        <v>800028</v>
      </c>
      <c r="EO16" s="272">
        <v>123083</v>
      </c>
      <c r="EP16" s="455">
        <f t="shared" si="12"/>
        <v>1773465</v>
      </c>
      <c r="EQ16" s="272">
        <v>52877104</v>
      </c>
      <c r="ER16" s="272">
        <v>-5764394</v>
      </c>
      <c r="ES16" s="272">
        <v>15329238</v>
      </c>
      <c r="ET16" s="272">
        <v>9997457</v>
      </c>
      <c r="EU16" s="272">
        <v>7487829</v>
      </c>
      <c r="EV16" s="272">
        <v>8287133</v>
      </c>
      <c r="EW16" s="455">
        <f t="shared" si="13"/>
        <v>3129228</v>
      </c>
      <c r="EX16" s="272">
        <v>3129228</v>
      </c>
      <c r="EY16" s="272">
        <v>45574</v>
      </c>
      <c r="EZ16" s="272">
        <v>3070962</v>
      </c>
      <c r="FA16" s="272">
        <v>0</v>
      </c>
      <c r="FB16" s="272">
        <v>0</v>
      </c>
      <c r="FC16" s="272">
        <v>7862368</v>
      </c>
      <c r="FD16" s="272">
        <v>3362537</v>
      </c>
      <c r="FE16" s="272">
        <v>40270</v>
      </c>
      <c r="FF16" s="272">
        <v>11776091</v>
      </c>
      <c r="FG16" s="455">
        <f t="shared" si="14"/>
        <v>1137782</v>
      </c>
      <c r="FH16" s="272">
        <v>58372206</v>
      </c>
      <c r="FI16" s="459">
        <f t="shared" si="15"/>
        <v>0.2</v>
      </c>
      <c r="FJ16" s="272">
        <v>48531400</v>
      </c>
      <c r="FK16" s="272">
        <v>3162632</v>
      </c>
      <c r="FL16" s="272">
        <v>31098876</v>
      </c>
      <c r="FM16" s="272">
        <v>39193588</v>
      </c>
      <c r="FN16" s="460">
        <v>0.81200000000000006</v>
      </c>
      <c r="FO16" s="388">
        <v>97.6</v>
      </c>
      <c r="FP16" s="388">
        <v>28.8</v>
      </c>
      <c r="FQ16" s="388">
        <v>14.3</v>
      </c>
      <c r="FR16" s="388">
        <v>15.7</v>
      </c>
      <c r="FS16" s="388">
        <v>13.4</v>
      </c>
      <c r="FT16" s="388">
        <v>5</v>
      </c>
      <c r="FU16" s="388">
        <v>19.600000000000001</v>
      </c>
      <c r="FV16" s="384">
        <f t="shared" si="16"/>
        <v>6.7</v>
      </c>
      <c r="FW16" s="272">
        <v>76896184</v>
      </c>
      <c r="FX16" s="384">
        <f t="shared" si="17"/>
        <v>148.80000000000001</v>
      </c>
      <c r="FY16" s="272">
        <v>9426561</v>
      </c>
      <c r="FZ16" s="272">
        <v>5021364</v>
      </c>
      <c r="GA16" s="272">
        <v>0</v>
      </c>
      <c r="GB16" s="272">
        <v>4405197</v>
      </c>
      <c r="GC16" s="272">
        <v>0</v>
      </c>
      <c r="GD16" s="272">
        <v>5377000</v>
      </c>
      <c r="GE16" s="384">
        <f t="shared" si="18"/>
        <v>10.4</v>
      </c>
      <c r="GF16" s="388">
        <v>98.4</v>
      </c>
      <c r="GG16" s="388">
        <v>29.1</v>
      </c>
      <c r="GH16" s="388">
        <v>95.8</v>
      </c>
      <c r="GI16" s="272">
        <v>1617</v>
      </c>
      <c r="GJ16" s="461" t="s">
        <v>646</v>
      </c>
      <c r="GK16" s="461">
        <v>11.25</v>
      </c>
      <c r="GL16" s="462">
        <v>20</v>
      </c>
      <c r="GM16" s="461" t="s">
        <v>646</v>
      </c>
      <c r="GN16" s="462">
        <v>16.25</v>
      </c>
      <c r="GO16" s="462">
        <v>40</v>
      </c>
      <c r="GP16" s="463">
        <v>6.7</v>
      </c>
      <c r="GQ16" s="463">
        <v>25</v>
      </c>
      <c r="GR16" s="463">
        <v>35</v>
      </c>
      <c r="GS16" s="464">
        <v>79.599999999999994</v>
      </c>
      <c r="GT16" s="463">
        <v>350</v>
      </c>
      <c r="GU16" s="394"/>
      <c r="GV16" s="394"/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</row>
    <row r="17" spans="2:230" x14ac:dyDescent="0.15">
      <c r="B17" s="89" t="s">
        <v>27</v>
      </c>
      <c r="C17" s="272">
        <v>20461380</v>
      </c>
      <c r="D17" s="455">
        <f t="shared" si="0"/>
        <v>4570904</v>
      </c>
      <c r="E17" s="272">
        <v>132136</v>
      </c>
      <c r="F17" s="456">
        <v>4438768</v>
      </c>
      <c r="G17" s="455">
        <f t="shared" si="1"/>
        <v>1345859</v>
      </c>
      <c r="H17" s="272">
        <v>420854</v>
      </c>
      <c r="I17" s="272">
        <v>925005</v>
      </c>
      <c r="J17" s="272">
        <v>10696175</v>
      </c>
      <c r="K17" s="272">
        <v>3139169</v>
      </c>
      <c r="L17" s="272">
        <v>3828956</v>
      </c>
      <c r="M17" s="272">
        <v>3241975</v>
      </c>
      <c r="N17" s="272">
        <v>2185048</v>
      </c>
      <c r="O17" s="272">
        <v>1497584</v>
      </c>
      <c r="P17" s="272">
        <v>694242</v>
      </c>
      <c r="Q17" s="272">
        <v>803342</v>
      </c>
      <c r="R17" s="272">
        <v>233999</v>
      </c>
      <c r="S17" s="272"/>
      <c r="T17" s="455">
        <f t="shared" si="2"/>
        <v>1307540</v>
      </c>
      <c r="U17" s="272">
        <v>62373</v>
      </c>
      <c r="V17" s="272">
        <v>23391</v>
      </c>
      <c r="W17" s="456">
        <v>10965</v>
      </c>
      <c r="X17" s="272">
        <v>1038116</v>
      </c>
      <c r="Y17" s="272">
        <v>68087</v>
      </c>
      <c r="Z17" s="272">
        <v>0</v>
      </c>
      <c r="AA17" s="272">
        <v>104608</v>
      </c>
      <c r="AB17" s="272">
        <v>180581</v>
      </c>
      <c r="AC17" s="272">
        <v>657165</v>
      </c>
      <c r="AD17" s="272">
        <v>0</v>
      </c>
      <c r="AE17" s="272">
        <v>657165</v>
      </c>
      <c r="AF17" s="272">
        <v>20957</v>
      </c>
      <c r="AG17" s="272">
        <v>829480</v>
      </c>
      <c r="AH17" s="455">
        <f t="shared" si="3"/>
        <v>1050699</v>
      </c>
      <c r="AI17" s="272">
        <v>761108</v>
      </c>
      <c r="AJ17" s="272">
        <v>289591</v>
      </c>
      <c r="AK17" s="272">
        <v>7339920</v>
      </c>
      <c r="AL17" s="455">
        <f t="shared" si="4"/>
        <v>2694248</v>
      </c>
      <c r="AM17" s="272">
        <v>2321598</v>
      </c>
      <c r="AN17" s="272">
        <v>372650</v>
      </c>
      <c r="AO17" s="272"/>
      <c r="AP17" s="272">
        <v>0</v>
      </c>
      <c r="AQ17" s="272">
        <v>1565577</v>
      </c>
      <c r="AR17" s="272">
        <v>0</v>
      </c>
      <c r="AS17" s="272">
        <v>0</v>
      </c>
      <c r="AT17" s="272">
        <v>2285128</v>
      </c>
      <c r="AU17" s="272">
        <v>1221170</v>
      </c>
      <c r="AV17" s="272">
        <v>186325</v>
      </c>
      <c r="AW17" s="272">
        <v>117476</v>
      </c>
      <c r="AX17" s="272">
        <v>1063958</v>
      </c>
      <c r="AY17" s="272">
        <v>10937</v>
      </c>
      <c r="AZ17" s="272">
        <v>160374</v>
      </c>
      <c r="BA17" s="272">
        <v>154190</v>
      </c>
      <c r="BB17" s="272">
        <v>12576</v>
      </c>
      <c r="BC17" s="272">
        <v>520146</v>
      </c>
      <c r="BD17" s="272">
        <v>0</v>
      </c>
      <c r="BE17" s="272">
        <v>0</v>
      </c>
      <c r="BF17" s="272">
        <v>520146</v>
      </c>
      <c r="BG17" s="272">
        <v>0</v>
      </c>
      <c r="BH17" s="272">
        <v>35532</v>
      </c>
      <c r="BI17" s="272">
        <v>24203</v>
      </c>
      <c r="BJ17" s="272">
        <v>1891483</v>
      </c>
      <c r="BK17" s="272">
        <v>28866</v>
      </c>
      <c r="BL17" s="272">
        <v>0</v>
      </c>
      <c r="BM17" s="272">
        <v>32285</v>
      </c>
      <c r="BN17" s="272">
        <v>10584800</v>
      </c>
      <c r="BO17" s="455">
        <f t="shared" si="5"/>
        <v>9002400</v>
      </c>
      <c r="BP17" s="455">
        <f t="shared" si="6"/>
        <v>1266400</v>
      </c>
      <c r="BQ17" s="272"/>
      <c r="BR17" s="272">
        <v>0</v>
      </c>
      <c r="BS17" s="272">
        <v>1266400</v>
      </c>
      <c r="BT17" s="272">
        <v>316000</v>
      </c>
      <c r="BU17" s="272">
        <v>47571760</v>
      </c>
      <c r="BV17" s="272"/>
      <c r="BW17" s="272">
        <v>7250659</v>
      </c>
      <c r="BX17" s="272">
        <v>4755291</v>
      </c>
      <c r="BY17" s="272">
        <v>675670</v>
      </c>
      <c r="BZ17" s="272">
        <v>579579</v>
      </c>
      <c r="CA17" s="272">
        <v>7201493</v>
      </c>
      <c r="CB17" s="272">
        <v>1043674</v>
      </c>
      <c r="CC17" s="272">
        <v>154689</v>
      </c>
      <c r="CD17" s="272">
        <v>2938405</v>
      </c>
      <c r="CE17" s="272">
        <v>2970748</v>
      </c>
      <c r="CF17" s="272">
        <v>7929</v>
      </c>
      <c r="CG17" s="272">
        <v>86048</v>
      </c>
      <c r="CH17" s="272">
        <v>5981583</v>
      </c>
      <c r="CI17" s="272">
        <v>4325641</v>
      </c>
      <c r="CJ17" s="455">
        <f t="shared" si="7"/>
        <v>1655942</v>
      </c>
      <c r="CK17" s="272">
        <v>3642392</v>
      </c>
      <c r="CL17" s="272">
        <v>2559714</v>
      </c>
      <c r="CM17" s="272">
        <v>149889</v>
      </c>
      <c r="CN17" s="272">
        <v>554705</v>
      </c>
      <c r="CO17" s="272">
        <v>236093</v>
      </c>
      <c r="CP17" s="272">
        <v>12215570</v>
      </c>
      <c r="CQ17" s="272">
        <v>1046751</v>
      </c>
      <c r="CR17" s="272">
        <v>837884</v>
      </c>
      <c r="CS17" s="272">
        <v>425895</v>
      </c>
      <c r="CT17" s="455">
        <f t="shared" si="8"/>
        <v>8152856</v>
      </c>
      <c r="CU17" s="272">
        <v>1371423</v>
      </c>
      <c r="CV17" s="272">
        <v>6781433</v>
      </c>
      <c r="CW17" s="455">
        <f t="shared" si="9"/>
        <v>1570780</v>
      </c>
      <c r="CX17" s="272">
        <v>1364744</v>
      </c>
      <c r="CY17" s="272">
        <v>206036</v>
      </c>
      <c r="CZ17" s="455">
        <f t="shared" si="10"/>
        <v>0</v>
      </c>
      <c r="DA17" s="272">
        <v>0</v>
      </c>
      <c r="DB17" s="272">
        <v>0</v>
      </c>
      <c r="DC17" s="272">
        <v>4539945</v>
      </c>
      <c r="DD17" s="272">
        <v>2599539</v>
      </c>
      <c r="DE17" s="272">
        <v>1738854</v>
      </c>
      <c r="DF17" s="26">
        <v>37492</v>
      </c>
      <c r="DG17" s="27">
        <v>164060</v>
      </c>
      <c r="DH17" s="272">
        <v>0</v>
      </c>
      <c r="DI17" s="272">
        <v>207571</v>
      </c>
      <c r="DJ17" s="272">
        <v>13011</v>
      </c>
      <c r="DK17" s="272">
        <v>2</v>
      </c>
      <c r="DL17" s="272">
        <v>194558</v>
      </c>
      <c r="DM17" s="272">
        <v>0</v>
      </c>
      <c r="DN17" s="272">
        <v>0</v>
      </c>
      <c r="DO17" s="272">
        <v>0</v>
      </c>
      <c r="DP17" s="272">
        <v>0</v>
      </c>
      <c r="DQ17" s="272">
        <v>2150000</v>
      </c>
      <c r="DR17" s="272">
        <v>2130000</v>
      </c>
      <c r="DS17" s="272">
        <v>2130000</v>
      </c>
      <c r="DT17" s="272">
        <v>4030746</v>
      </c>
      <c r="DU17" s="272">
        <v>1457849</v>
      </c>
      <c r="DV17" s="455">
        <f t="shared" si="11"/>
        <v>0</v>
      </c>
      <c r="DW17" s="272">
        <v>0</v>
      </c>
      <c r="DX17" s="272">
        <v>963649</v>
      </c>
      <c r="DY17" s="272">
        <v>0</v>
      </c>
      <c r="DZ17" s="272">
        <v>722551</v>
      </c>
      <c r="EA17" s="272">
        <v>81</v>
      </c>
      <c r="EB17" s="272">
        <v>885912</v>
      </c>
      <c r="EC17" s="272">
        <v>0</v>
      </c>
      <c r="ED17" s="272">
        <v>47456052</v>
      </c>
      <c r="EE17" s="89"/>
      <c r="EF17" s="272">
        <v>115708</v>
      </c>
      <c r="EG17" s="272">
        <v>99948</v>
      </c>
      <c r="EH17" s="272">
        <v>15760</v>
      </c>
      <c r="EI17" s="272">
        <v>-8443</v>
      </c>
      <c r="EJ17" s="272">
        <v>33926</v>
      </c>
      <c r="EK17" s="89"/>
      <c r="EL17" s="272"/>
      <c r="EM17" s="272">
        <v>101904</v>
      </c>
      <c r="EN17" s="272">
        <v>450000</v>
      </c>
      <c r="EO17" s="272">
        <v>134486</v>
      </c>
      <c r="EP17" s="455">
        <f t="shared" si="12"/>
        <v>799962</v>
      </c>
      <c r="EQ17" s="272">
        <v>22861622</v>
      </c>
      <c r="ER17" s="272">
        <v>-2629891</v>
      </c>
      <c r="ES17" s="272">
        <v>6061031</v>
      </c>
      <c r="ET17" s="272">
        <v>3953635</v>
      </c>
      <c r="EU17" s="272">
        <v>2150870</v>
      </c>
      <c r="EV17" s="272">
        <v>5782592</v>
      </c>
      <c r="EW17" s="455">
        <f t="shared" si="13"/>
        <v>822106</v>
      </c>
      <c r="EX17" s="272">
        <v>822106</v>
      </c>
      <c r="EY17" s="272">
        <v>103485</v>
      </c>
      <c r="EZ17" s="272">
        <v>718225</v>
      </c>
      <c r="FA17" s="272">
        <v>0</v>
      </c>
      <c r="FB17" s="272">
        <v>0</v>
      </c>
      <c r="FC17" s="272">
        <v>2614223</v>
      </c>
      <c r="FD17" s="272">
        <v>3416569</v>
      </c>
      <c r="FE17" s="272">
        <v>686751</v>
      </c>
      <c r="FF17" s="272">
        <v>3530595</v>
      </c>
      <c r="FG17" s="455">
        <f t="shared" si="14"/>
        <v>997819</v>
      </c>
      <c r="FH17" s="272">
        <v>25375805</v>
      </c>
      <c r="FI17" s="459">
        <f t="shared" si="15"/>
        <v>0.1</v>
      </c>
      <c r="FJ17" s="272">
        <v>20140273</v>
      </c>
      <c r="FK17" s="272">
        <v>1266467</v>
      </c>
      <c r="FL17" s="272">
        <v>15413900</v>
      </c>
      <c r="FM17" s="272">
        <v>15172612</v>
      </c>
      <c r="FN17" s="460">
        <v>0.98599999999999999</v>
      </c>
      <c r="FO17" s="388">
        <v>102.3</v>
      </c>
      <c r="FP17" s="388">
        <v>26.7</v>
      </c>
      <c r="FQ17" s="388">
        <v>9.6999999999999993</v>
      </c>
      <c r="FR17" s="388">
        <v>26</v>
      </c>
      <c r="FS17" s="388">
        <v>11.1</v>
      </c>
      <c r="FT17" s="388">
        <v>12.4</v>
      </c>
      <c r="FU17" s="388">
        <v>15.4</v>
      </c>
      <c r="FV17" s="384">
        <f t="shared" si="16"/>
        <v>19.600000000000001</v>
      </c>
      <c r="FW17" s="272">
        <v>81352715</v>
      </c>
      <c r="FX17" s="384">
        <f t="shared" si="17"/>
        <v>380</v>
      </c>
      <c r="FY17" s="272">
        <v>2398215</v>
      </c>
      <c r="FZ17" s="272">
        <v>13915</v>
      </c>
      <c r="GA17" s="272">
        <v>501</v>
      </c>
      <c r="GB17" s="272">
        <v>2383799</v>
      </c>
      <c r="GC17" s="272">
        <v>490000</v>
      </c>
      <c r="GD17" s="272">
        <v>6828000</v>
      </c>
      <c r="GE17" s="384">
        <f t="shared" si="18"/>
        <v>31.9</v>
      </c>
      <c r="GF17" s="388">
        <v>99</v>
      </c>
      <c r="GG17" s="388">
        <v>24.8</v>
      </c>
      <c r="GH17" s="388">
        <v>95.7</v>
      </c>
      <c r="GI17" s="272">
        <v>751</v>
      </c>
      <c r="GJ17" s="461" t="s">
        <v>646</v>
      </c>
      <c r="GK17" s="461">
        <v>12.36</v>
      </c>
      <c r="GL17" s="462">
        <v>20</v>
      </c>
      <c r="GM17" s="461" t="s">
        <v>646</v>
      </c>
      <c r="GN17" s="462">
        <v>17.36</v>
      </c>
      <c r="GO17" s="462">
        <v>40</v>
      </c>
      <c r="GP17" s="463">
        <v>19.600000000000001</v>
      </c>
      <c r="GQ17" s="463">
        <v>25</v>
      </c>
      <c r="GR17" s="463">
        <v>35</v>
      </c>
      <c r="GS17" s="464">
        <v>372.5</v>
      </c>
      <c r="GT17" s="463">
        <v>350</v>
      </c>
      <c r="GU17" s="394"/>
      <c r="GV17" s="394"/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</row>
    <row r="18" spans="2:230" x14ac:dyDescent="0.15">
      <c r="B18" s="89" t="s">
        <v>29</v>
      </c>
      <c r="C18" s="272">
        <v>13886085</v>
      </c>
      <c r="D18" s="455">
        <f t="shared" si="0"/>
        <v>6470734</v>
      </c>
      <c r="E18" s="272">
        <v>153628</v>
      </c>
      <c r="F18" s="456">
        <v>6317106</v>
      </c>
      <c r="G18" s="455">
        <f t="shared" si="1"/>
        <v>449627</v>
      </c>
      <c r="H18" s="272">
        <v>190283</v>
      </c>
      <c r="I18" s="272">
        <v>259344</v>
      </c>
      <c r="J18" s="272">
        <v>5289170</v>
      </c>
      <c r="K18" s="272">
        <v>2169534</v>
      </c>
      <c r="L18" s="272">
        <v>2421050</v>
      </c>
      <c r="M18" s="272">
        <v>600389</v>
      </c>
      <c r="N18" s="272">
        <v>502634</v>
      </c>
      <c r="O18" s="272">
        <v>1029620</v>
      </c>
      <c r="P18" s="272">
        <v>568137</v>
      </c>
      <c r="Q18" s="272">
        <v>461483</v>
      </c>
      <c r="R18" s="272">
        <v>255035</v>
      </c>
      <c r="S18" s="272"/>
      <c r="T18" s="455">
        <f t="shared" si="2"/>
        <v>1352631</v>
      </c>
      <c r="U18" s="272">
        <v>94862</v>
      </c>
      <c r="V18" s="272">
        <v>35590</v>
      </c>
      <c r="W18" s="456">
        <v>16472</v>
      </c>
      <c r="X18" s="272">
        <v>1028878</v>
      </c>
      <c r="Y18" s="272">
        <v>47557</v>
      </c>
      <c r="Z18" s="272">
        <v>0</v>
      </c>
      <c r="AA18" s="272">
        <v>129272</v>
      </c>
      <c r="AB18" s="272">
        <v>219459</v>
      </c>
      <c r="AC18" s="272">
        <v>5299994</v>
      </c>
      <c r="AD18" s="272">
        <v>5103619</v>
      </c>
      <c r="AE18" s="272">
        <v>196375</v>
      </c>
      <c r="AF18" s="272">
        <v>23426</v>
      </c>
      <c r="AG18" s="272">
        <v>496718</v>
      </c>
      <c r="AH18" s="455">
        <f t="shared" si="3"/>
        <v>961406</v>
      </c>
      <c r="AI18" s="272">
        <v>700458</v>
      </c>
      <c r="AJ18" s="272">
        <v>260948</v>
      </c>
      <c r="AK18" s="272">
        <v>5519889</v>
      </c>
      <c r="AL18" s="455">
        <f t="shared" si="4"/>
        <v>3018528</v>
      </c>
      <c r="AM18" s="272">
        <v>2760909</v>
      </c>
      <c r="AN18" s="272">
        <v>257619</v>
      </c>
      <c r="AO18" s="272"/>
      <c r="AP18" s="272">
        <v>0</v>
      </c>
      <c r="AQ18" s="272">
        <v>602329</v>
      </c>
      <c r="AR18" s="272">
        <v>0</v>
      </c>
      <c r="AS18" s="272">
        <v>0</v>
      </c>
      <c r="AT18" s="272">
        <v>2069849</v>
      </c>
      <c r="AU18" s="272">
        <v>950012</v>
      </c>
      <c r="AV18" s="272">
        <v>144883</v>
      </c>
      <c r="AW18" s="272">
        <v>35558</v>
      </c>
      <c r="AX18" s="272">
        <v>1119837</v>
      </c>
      <c r="AY18" s="272">
        <v>39303</v>
      </c>
      <c r="AZ18" s="272">
        <v>88884</v>
      </c>
      <c r="BA18" s="272">
        <v>20570</v>
      </c>
      <c r="BB18" s="272">
        <v>21543</v>
      </c>
      <c r="BC18" s="272">
        <v>894858</v>
      </c>
      <c r="BD18" s="272">
        <v>0</v>
      </c>
      <c r="BE18" s="272">
        <v>0</v>
      </c>
      <c r="BF18" s="272">
        <v>879052</v>
      </c>
      <c r="BG18" s="272">
        <v>0</v>
      </c>
      <c r="BH18" s="272">
        <v>2204104</v>
      </c>
      <c r="BI18" s="272">
        <v>360160</v>
      </c>
      <c r="BJ18" s="272">
        <v>2187339</v>
      </c>
      <c r="BK18" s="272">
        <v>1576473</v>
      </c>
      <c r="BL18" s="272">
        <v>0</v>
      </c>
      <c r="BM18" s="272">
        <v>54390</v>
      </c>
      <c r="BN18" s="272">
        <v>2421906</v>
      </c>
      <c r="BO18" s="455">
        <f t="shared" si="5"/>
        <v>888700</v>
      </c>
      <c r="BP18" s="455">
        <f t="shared" si="6"/>
        <v>1533206</v>
      </c>
      <c r="BQ18" s="272"/>
      <c r="BR18" s="272">
        <v>0</v>
      </c>
      <c r="BS18" s="272">
        <v>1533206</v>
      </c>
      <c r="BT18" s="272">
        <v>0</v>
      </c>
      <c r="BU18" s="272">
        <v>37903126</v>
      </c>
      <c r="BV18" s="272"/>
      <c r="BW18" s="272">
        <v>7432838</v>
      </c>
      <c r="BX18" s="272">
        <v>5030318</v>
      </c>
      <c r="BY18" s="272">
        <v>954585</v>
      </c>
      <c r="BZ18" s="272">
        <v>167523</v>
      </c>
      <c r="CA18" s="272">
        <v>8279629</v>
      </c>
      <c r="CB18" s="272">
        <v>1373469</v>
      </c>
      <c r="CC18" s="272">
        <v>201639</v>
      </c>
      <c r="CD18" s="272">
        <v>2839652</v>
      </c>
      <c r="CE18" s="272">
        <v>3703821</v>
      </c>
      <c r="CF18" s="272">
        <v>11929</v>
      </c>
      <c r="CG18" s="272">
        <v>149119</v>
      </c>
      <c r="CH18" s="272">
        <v>2297950</v>
      </c>
      <c r="CI18" s="272">
        <v>1909189</v>
      </c>
      <c r="CJ18" s="455">
        <f t="shared" si="7"/>
        <v>388761</v>
      </c>
      <c r="CK18" s="272">
        <v>4825574</v>
      </c>
      <c r="CL18" s="272">
        <v>3024618</v>
      </c>
      <c r="CM18" s="272">
        <v>683277</v>
      </c>
      <c r="CN18" s="272">
        <v>586714</v>
      </c>
      <c r="CO18" s="272">
        <v>315253</v>
      </c>
      <c r="CP18" s="272">
        <v>4391548</v>
      </c>
      <c r="CQ18" s="272">
        <v>1139806</v>
      </c>
      <c r="CR18" s="272">
        <v>2834372</v>
      </c>
      <c r="CS18" s="272">
        <v>719475</v>
      </c>
      <c r="CT18" s="455">
        <f t="shared" si="8"/>
        <v>2473</v>
      </c>
      <c r="CU18" s="272">
        <v>1373</v>
      </c>
      <c r="CV18" s="272">
        <v>1100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3427241</v>
      </c>
      <c r="DD18" s="272">
        <v>1422423</v>
      </c>
      <c r="DE18" s="272">
        <v>2004818</v>
      </c>
      <c r="DF18" s="26">
        <v>0</v>
      </c>
      <c r="DG18" s="27">
        <v>0</v>
      </c>
      <c r="DH18" s="272">
        <v>12800</v>
      </c>
      <c r="DI18" s="272">
        <v>484553</v>
      </c>
      <c r="DJ18" s="272">
        <v>10060</v>
      </c>
      <c r="DK18" s="272">
        <v>0</v>
      </c>
      <c r="DL18" s="272">
        <v>474493</v>
      </c>
      <c r="DM18" s="272">
        <v>0</v>
      </c>
      <c r="DN18" s="272">
        <v>0</v>
      </c>
      <c r="DO18" s="272">
        <v>0</v>
      </c>
      <c r="DP18" s="272">
        <v>0</v>
      </c>
      <c r="DQ18" s="272">
        <v>1567605</v>
      </c>
      <c r="DR18" s="272">
        <v>0</v>
      </c>
      <c r="DS18" s="272">
        <v>0</v>
      </c>
      <c r="DT18" s="272">
        <v>4418078</v>
      </c>
      <c r="DU18" s="272">
        <v>1461073</v>
      </c>
      <c r="DV18" s="455">
        <f t="shared" si="11"/>
        <v>0</v>
      </c>
      <c r="DW18" s="272">
        <v>0</v>
      </c>
      <c r="DX18" s="272">
        <v>994974</v>
      </c>
      <c r="DY18" s="272">
        <v>0</v>
      </c>
      <c r="DZ18" s="272">
        <v>942669</v>
      </c>
      <c r="EA18" s="272">
        <v>9353</v>
      </c>
      <c r="EB18" s="272">
        <v>1008316</v>
      </c>
      <c r="EC18" s="272">
        <v>0</v>
      </c>
      <c r="ED18" s="272">
        <v>37453069</v>
      </c>
      <c r="EE18" s="89"/>
      <c r="EF18" s="272">
        <v>450057</v>
      </c>
      <c r="EG18" s="272">
        <v>84897</v>
      </c>
      <c r="EH18" s="272">
        <v>365160</v>
      </c>
      <c r="EI18" s="272">
        <v>5000</v>
      </c>
      <c r="EJ18" s="272">
        <v>15060</v>
      </c>
      <c r="EK18" s="89"/>
      <c r="EL18" s="272"/>
      <c r="EM18" s="272">
        <v>119771</v>
      </c>
      <c r="EN18" s="272">
        <v>353389</v>
      </c>
      <c r="EO18" s="272">
        <v>27579</v>
      </c>
      <c r="EP18" s="455">
        <f t="shared" si="12"/>
        <v>1062477</v>
      </c>
      <c r="EQ18" s="272">
        <v>21036630</v>
      </c>
      <c r="ER18" s="272">
        <v>-2953225</v>
      </c>
      <c r="ES18" s="272">
        <v>6722009</v>
      </c>
      <c r="ET18" s="272">
        <v>4354914</v>
      </c>
      <c r="EU18" s="272">
        <v>2998577</v>
      </c>
      <c r="EV18" s="272">
        <v>2239276</v>
      </c>
      <c r="EW18" s="455">
        <f t="shared" si="13"/>
        <v>1222012</v>
      </c>
      <c r="EX18" s="272">
        <v>1209212</v>
      </c>
      <c r="EY18" s="272">
        <v>141412</v>
      </c>
      <c r="EZ18" s="272">
        <v>1067800</v>
      </c>
      <c r="FA18" s="272">
        <v>12800</v>
      </c>
      <c r="FB18" s="272">
        <v>0</v>
      </c>
      <c r="FC18" s="272">
        <v>3807086</v>
      </c>
      <c r="FD18" s="272">
        <v>2324052</v>
      </c>
      <c r="FE18" s="272">
        <v>1139806</v>
      </c>
      <c r="FF18" s="272">
        <v>3867388</v>
      </c>
      <c r="FG18" s="455">
        <f t="shared" si="14"/>
        <v>359398</v>
      </c>
      <c r="FH18" s="272">
        <v>23539798</v>
      </c>
      <c r="FI18" s="459">
        <f t="shared" si="15"/>
        <v>1.7</v>
      </c>
      <c r="FJ18" s="272">
        <v>20257835</v>
      </c>
      <c r="FK18" s="272">
        <v>1533206</v>
      </c>
      <c r="FL18" s="272">
        <v>11670635</v>
      </c>
      <c r="FM18" s="272">
        <v>16822518</v>
      </c>
      <c r="FN18" s="460">
        <v>0.70699999999999996</v>
      </c>
      <c r="FO18" s="388">
        <v>98.4</v>
      </c>
      <c r="FP18" s="388">
        <v>30.6</v>
      </c>
      <c r="FQ18" s="388">
        <v>14</v>
      </c>
      <c r="FR18" s="388">
        <v>10.4</v>
      </c>
      <c r="FS18" s="388">
        <v>17.5</v>
      </c>
      <c r="FT18" s="388">
        <v>10.1</v>
      </c>
      <c r="FU18" s="388">
        <v>14.4</v>
      </c>
      <c r="FV18" s="384">
        <f t="shared" si="16"/>
        <v>2.7</v>
      </c>
      <c r="FW18" s="272">
        <v>23373309</v>
      </c>
      <c r="FX18" s="384">
        <f t="shared" si="17"/>
        <v>107.3</v>
      </c>
      <c r="FY18" s="272">
        <v>7177458</v>
      </c>
      <c r="FZ18" s="272">
        <v>3846747</v>
      </c>
      <c r="GA18" s="272">
        <v>0</v>
      </c>
      <c r="GB18" s="272">
        <v>3330711</v>
      </c>
      <c r="GC18" s="272">
        <v>0</v>
      </c>
      <c r="GD18" s="272">
        <v>645000</v>
      </c>
      <c r="GE18" s="384">
        <f t="shared" si="18"/>
        <v>3</v>
      </c>
      <c r="GF18" s="388">
        <v>97.5</v>
      </c>
      <c r="GG18" s="388">
        <v>24.2</v>
      </c>
      <c r="GH18" s="388">
        <v>92.8</v>
      </c>
      <c r="GI18" s="272">
        <v>797</v>
      </c>
      <c r="GJ18" s="461" t="s">
        <v>646</v>
      </c>
      <c r="GK18" s="461">
        <v>12.33</v>
      </c>
      <c r="GL18" s="462">
        <v>20</v>
      </c>
      <c r="GM18" s="461" t="s">
        <v>646</v>
      </c>
      <c r="GN18" s="462">
        <v>17.329999999999998</v>
      </c>
      <c r="GO18" s="462">
        <v>40</v>
      </c>
      <c r="GP18" s="463">
        <v>2.7</v>
      </c>
      <c r="GQ18" s="463">
        <v>25</v>
      </c>
      <c r="GR18" s="463">
        <v>35</v>
      </c>
      <c r="GS18" s="464">
        <v>4.3</v>
      </c>
      <c r="GT18" s="463">
        <v>350</v>
      </c>
      <c r="GU18" s="394"/>
      <c r="GV18" s="394"/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</row>
    <row r="19" spans="2:230" x14ac:dyDescent="0.15">
      <c r="B19" s="89" t="s">
        <v>31</v>
      </c>
      <c r="C19" s="272">
        <v>28705758</v>
      </c>
      <c r="D19" s="455">
        <f t="shared" si="0"/>
        <v>11876678</v>
      </c>
      <c r="E19" s="272">
        <v>310025</v>
      </c>
      <c r="F19" s="456">
        <v>11566653</v>
      </c>
      <c r="G19" s="455">
        <f t="shared" si="1"/>
        <v>1279087</v>
      </c>
      <c r="H19" s="272">
        <v>490935</v>
      </c>
      <c r="I19" s="272">
        <v>788152</v>
      </c>
      <c r="J19" s="272">
        <v>11392975</v>
      </c>
      <c r="K19" s="272">
        <v>5221579</v>
      </c>
      <c r="L19" s="272">
        <v>4773234</v>
      </c>
      <c r="M19" s="272">
        <v>1105144</v>
      </c>
      <c r="N19" s="272">
        <v>1396635</v>
      </c>
      <c r="O19" s="272">
        <v>2567232</v>
      </c>
      <c r="P19" s="272">
        <v>1507164</v>
      </c>
      <c r="Q19" s="272">
        <v>1060068</v>
      </c>
      <c r="R19" s="272">
        <v>406511</v>
      </c>
      <c r="S19" s="272"/>
      <c r="T19" s="455">
        <f t="shared" si="2"/>
        <v>2482514</v>
      </c>
      <c r="U19" s="272">
        <v>170163</v>
      </c>
      <c r="V19" s="272">
        <v>63835</v>
      </c>
      <c r="W19" s="456">
        <v>29627</v>
      </c>
      <c r="X19" s="272">
        <v>2012852</v>
      </c>
      <c r="Y19" s="272">
        <v>0</v>
      </c>
      <c r="Z19" s="272">
        <v>0</v>
      </c>
      <c r="AA19" s="272">
        <v>206037</v>
      </c>
      <c r="AB19" s="272">
        <v>404094</v>
      </c>
      <c r="AC19" s="272">
        <v>9580160</v>
      </c>
      <c r="AD19" s="272">
        <v>9097621</v>
      </c>
      <c r="AE19" s="272">
        <v>482539</v>
      </c>
      <c r="AF19" s="272">
        <v>39610</v>
      </c>
      <c r="AG19" s="272">
        <v>624399</v>
      </c>
      <c r="AH19" s="455">
        <f t="shared" si="3"/>
        <v>1158928</v>
      </c>
      <c r="AI19" s="272">
        <v>878050</v>
      </c>
      <c r="AJ19" s="272">
        <v>280878</v>
      </c>
      <c r="AK19" s="272">
        <v>16722969</v>
      </c>
      <c r="AL19" s="455">
        <f t="shared" si="4"/>
        <v>7957570</v>
      </c>
      <c r="AM19" s="272">
        <v>7144646</v>
      </c>
      <c r="AN19" s="272">
        <v>812924</v>
      </c>
      <c r="AO19" s="272"/>
      <c r="AP19" s="272">
        <v>0</v>
      </c>
      <c r="AQ19" s="272">
        <v>1758129</v>
      </c>
      <c r="AR19" s="272">
        <v>0</v>
      </c>
      <c r="AS19" s="272">
        <v>0</v>
      </c>
      <c r="AT19" s="272">
        <v>4585711</v>
      </c>
      <c r="AU19" s="272">
        <v>2267804</v>
      </c>
      <c r="AV19" s="272">
        <v>406462</v>
      </c>
      <c r="AW19" s="272">
        <v>23725</v>
      </c>
      <c r="AX19" s="272">
        <v>2317907</v>
      </c>
      <c r="AY19" s="272">
        <v>13462</v>
      </c>
      <c r="AZ19" s="272">
        <v>147165</v>
      </c>
      <c r="BA19" s="272">
        <v>128756</v>
      </c>
      <c r="BB19" s="272">
        <v>16110</v>
      </c>
      <c r="BC19" s="272">
        <v>190284</v>
      </c>
      <c r="BD19" s="272">
        <v>0</v>
      </c>
      <c r="BE19" s="272">
        <v>197</v>
      </c>
      <c r="BF19" s="272">
        <v>159677</v>
      </c>
      <c r="BG19" s="272">
        <v>0</v>
      </c>
      <c r="BH19" s="272">
        <v>355638</v>
      </c>
      <c r="BI19" s="272">
        <v>186437</v>
      </c>
      <c r="BJ19" s="272">
        <v>3042880</v>
      </c>
      <c r="BK19" s="272">
        <v>2059944</v>
      </c>
      <c r="BL19" s="272">
        <v>49891</v>
      </c>
      <c r="BM19" s="272">
        <v>40041</v>
      </c>
      <c r="BN19" s="272">
        <v>5452000</v>
      </c>
      <c r="BO19" s="455">
        <f t="shared" si="5"/>
        <v>1427200</v>
      </c>
      <c r="BP19" s="455">
        <f t="shared" si="6"/>
        <v>2764800</v>
      </c>
      <c r="BQ19" s="272"/>
      <c r="BR19" s="272">
        <v>0</v>
      </c>
      <c r="BS19" s="272">
        <v>2764800</v>
      </c>
      <c r="BT19" s="272">
        <v>1260000</v>
      </c>
      <c r="BU19" s="272">
        <v>73914731</v>
      </c>
      <c r="BV19" s="272"/>
      <c r="BW19" s="272">
        <v>14894221</v>
      </c>
      <c r="BX19" s="272">
        <v>9464680</v>
      </c>
      <c r="BY19" s="272">
        <v>2950899</v>
      </c>
      <c r="BZ19" s="272">
        <v>235536</v>
      </c>
      <c r="CA19" s="272">
        <v>19319509</v>
      </c>
      <c r="CB19" s="272">
        <v>3208056</v>
      </c>
      <c r="CC19" s="272">
        <v>335738</v>
      </c>
      <c r="CD19" s="272">
        <v>5939116</v>
      </c>
      <c r="CE19" s="272">
        <v>9506778</v>
      </c>
      <c r="CF19" s="272">
        <v>12254</v>
      </c>
      <c r="CG19" s="272">
        <v>316187</v>
      </c>
      <c r="CH19" s="272">
        <v>7098179</v>
      </c>
      <c r="CI19" s="272">
        <v>5916697</v>
      </c>
      <c r="CJ19" s="455">
        <f t="shared" si="7"/>
        <v>1181482</v>
      </c>
      <c r="CK19" s="272">
        <v>6836860</v>
      </c>
      <c r="CL19" s="272">
        <v>2742418</v>
      </c>
      <c r="CM19" s="272">
        <v>1029663</v>
      </c>
      <c r="CN19" s="272">
        <v>1577589</v>
      </c>
      <c r="CO19" s="272">
        <v>363834</v>
      </c>
      <c r="CP19" s="272">
        <v>7774763</v>
      </c>
      <c r="CQ19" s="272">
        <v>3012187</v>
      </c>
      <c r="CR19" s="272">
        <v>3613504</v>
      </c>
      <c r="CS19" s="272">
        <v>1019942</v>
      </c>
      <c r="CT19" s="455">
        <f t="shared" si="8"/>
        <v>11509</v>
      </c>
      <c r="CU19" s="272">
        <v>11509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6015821</v>
      </c>
      <c r="DD19" s="272">
        <v>2416176</v>
      </c>
      <c r="DE19" s="272">
        <v>3546141</v>
      </c>
      <c r="DF19" s="26">
        <v>0</v>
      </c>
      <c r="DG19" s="27">
        <v>53504</v>
      </c>
      <c r="DH19" s="272">
        <v>0</v>
      </c>
      <c r="DI19" s="272">
        <v>911573</v>
      </c>
      <c r="DJ19" s="272">
        <v>100833</v>
      </c>
      <c r="DK19" s="272">
        <v>37</v>
      </c>
      <c r="DL19" s="272">
        <v>810703</v>
      </c>
      <c r="DM19" s="272">
        <v>0</v>
      </c>
      <c r="DN19" s="272">
        <v>0</v>
      </c>
      <c r="DO19" s="272">
        <v>0</v>
      </c>
      <c r="DP19" s="272">
        <v>0</v>
      </c>
      <c r="DQ19" s="272">
        <v>2035504</v>
      </c>
      <c r="DR19" s="272">
        <v>0</v>
      </c>
      <c r="DS19" s="272">
        <v>0</v>
      </c>
      <c r="DT19" s="272">
        <v>8373235</v>
      </c>
      <c r="DU19" s="272">
        <v>1782705</v>
      </c>
      <c r="DV19" s="455">
        <f t="shared" si="11"/>
        <v>0</v>
      </c>
      <c r="DW19" s="272">
        <v>0</v>
      </c>
      <c r="DX19" s="272">
        <v>1748220</v>
      </c>
      <c r="DY19" s="272">
        <v>0</v>
      </c>
      <c r="DZ19" s="272">
        <v>3093085</v>
      </c>
      <c r="EA19" s="272">
        <v>0</v>
      </c>
      <c r="EB19" s="272">
        <v>1749213</v>
      </c>
      <c r="EC19" s="272">
        <v>0</v>
      </c>
      <c r="ED19" s="272">
        <v>73623499</v>
      </c>
      <c r="EE19" s="89"/>
      <c r="EF19" s="272">
        <v>291232</v>
      </c>
      <c r="EG19" s="272">
        <v>27071</v>
      </c>
      <c r="EH19" s="272">
        <v>264161</v>
      </c>
      <c r="EI19" s="272">
        <v>77724</v>
      </c>
      <c r="EJ19" s="272">
        <v>178557</v>
      </c>
      <c r="EK19" s="89"/>
      <c r="EL19" s="272"/>
      <c r="EM19" s="272">
        <v>239942</v>
      </c>
      <c r="EN19" s="272">
        <v>97689</v>
      </c>
      <c r="EO19" s="272">
        <v>128756</v>
      </c>
      <c r="EP19" s="455">
        <f t="shared" si="12"/>
        <v>2091988</v>
      </c>
      <c r="EQ19" s="272">
        <v>41618647</v>
      </c>
      <c r="ER19" s="272">
        <v>-5043623</v>
      </c>
      <c r="ES19" s="272">
        <v>12608054</v>
      </c>
      <c r="ET19" s="272">
        <v>8464418</v>
      </c>
      <c r="EU19" s="272">
        <v>5882549</v>
      </c>
      <c r="EV19" s="272">
        <v>7074690</v>
      </c>
      <c r="EW19" s="455">
        <f t="shared" si="13"/>
        <v>2505106</v>
      </c>
      <c r="EX19" s="272">
        <v>2505106</v>
      </c>
      <c r="EY19" s="272">
        <v>364440</v>
      </c>
      <c r="EZ19" s="272">
        <v>2140666</v>
      </c>
      <c r="FA19" s="272">
        <v>0</v>
      </c>
      <c r="FB19" s="272">
        <v>0</v>
      </c>
      <c r="FC19" s="272">
        <v>5474188</v>
      </c>
      <c r="FD19" s="272">
        <v>4725788</v>
      </c>
      <c r="FE19" s="272">
        <v>2945799</v>
      </c>
      <c r="FF19" s="272">
        <v>7190124</v>
      </c>
      <c r="FG19" s="455">
        <f t="shared" si="14"/>
        <v>910539</v>
      </c>
      <c r="FH19" s="272">
        <v>46371038</v>
      </c>
      <c r="FI19" s="459">
        <f t="shared" si="15"/>
        <v>0.6</v>
      </c>
      <c r="FJ19" s="272">
        <v>39115945</v>
      </c>
      <c r="FK19" s="272">
        <v>2764899</v>
      </c>
      <c r="FL19" s="272">
        <v>23209731</v>
      </c>
      <c r="FM19" s="272">
        <v>32336432</v>
      </c>
      <c r="FN19" s="460">
        <v>0.72299999999999998</v>
      </c>
      <c r="FO19" s="388">
        <v>97.2</v>
      </c>
      <c r="FP19" s="388">
        <v>28.9</v>
      </c>
      <c r="FQ19" s="388">
        <v>14.1</v>
      </c>
      <c r="FR19" s="388">
        <v>17</v>
      </c>
      <c r="FS19" s="388">
        <v>11.9</v>
      </c>
      <c r="FT19" s="388">
        <v>10.199999999999999</v>
      </c>
      <c r="FU19" s="388">
        <v>14.2</v>
      </c>
      <c r="FV19" s="384">
        <f t="shared" si="16"/>
        <v>4</v>
      </c>
      <c r="FW19" s="272">
        <v>63222360</v>
      </c>
      <c r="FX19" s="384">
        <f t="shared" si="17"/>
        <v>151</v>
      </c>
      <c r="FY19" s="272">
        <v>5702413</v>
      </c>
      <c r="FZ19" s="272">
        <v>268483</v>
      </c>
      <c r="GA19" s="272">
        <v>3271</v>
      </c>
      <c r="GB19" s="272">
        <v>5430659</v>
      </c>
      <c r="GC19" s="272">
        <v>0</v>
      </c>
      <c r="GD19" s="272">
        <v>3394000</v>
      </c>
      <c r="GE19" s="384">
        <f t="shared" si="18"/>
        <v>8.1</v>
      </c>
      <c r="GF19" s="388">
        <v>97</v>
      </c>
      <c r="GG19" s="388">
        <v>15.6</v>
      </c>
      <c r="GH19" s="388">
        <v>88</v>
      </c>
      <c r="GI19" s="272">
        <v>1346</v>
      </c>
      <c r="GJ19" s="461" t="s">
        <v>646</v>
      </c>
      <c r="GK19" s="461">
        <v>11.41</v>
      </c>
      <c r="GL19" s="462">
        <v>20</v>
      </c>
      <c r="GM19" s="461" t="s">
        <v>646</v>
      </c>
      <c r="GN19" s="462">
        <v>16.41</v>
      </c>
      <c r="GO19" s="462">
        <v>40</v>
      </c>
      <c r="GP19" s="463">
        <v>4</v>
      </c>
      <c r="GQ19" s="463">
        <v>25</v>
      </c>
      <c r="GR19" s="463">
        <v>35</v>
      </c>
      <c r="GS19" s="464">
        <v>30.6</v>
      </c>
      <c r="GT19" s="463">
        <v>350</v>
      </c>
      <c r="GU19" s="394"/>
      <c r="GV19" s="394"/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</row>
    <row r="20" spans="2:230" x14ac:dyDescent="0.15">
      <c r="B20" s="89" t="s">
        <v>33</v>
      </c>
      <c r="C20" s="272">
        <v>13587874</v>
      </c>
      <c r="D20" s="455">
        <f t="shared" si="0"/>
        <v>6711800</v>
      </c>
      <c r="E20" s="272">
        <v>153858</v>
      </c>
      <c r="F20" s="456">
        <v>6557942</v>
      </c>
      <c r="G20" s="455">
        <f t="shared" si="1"/>
        <v>442354</v>
      </c>
      <c r="H20" s="272">
        <v>188007</v>
      </c>
      <c r="I20" s="272">
        <v>254347</v>
      </c>
      <c r="J20" s="272">
        <v>4871586</v>
      </c>
      <c r="K20" s="272">
        <v>1936014</v>
      </c>
      <c r="L20" s="272">
        <v>2227138</v>
      </c>
      <c r="M20" s="272">
        <v>639694</v>
      </c>
      <c r="N20" s="272">
        <v>421673</v>
      </c>
      <c r="O20" s="272">
        <v>1011273</v>
      </c>
      <c r="P20" s="272">
        <v>556748</v>
      </c>
      <c r="Q20" s="272">
        <v>454525</v>
      </c>
      <c r="R20" s="272">
        <v>298830</v>
      </c>
      <c r="S20" s="272"/>
      <c r="T20" s="455">
        <f t="shared" si="2"/>
        <v>1229998</v>
      </c>
      <c r="U20" s="272">
        <v>99422</v>
      </c>
      <c r="V20" s="272">
        <v>37300</v>
      </c>
      <c r="W20" s="456">
        <v>17270</v>
      </c>
      <c r="X20" s="272">
        <v>900743</v>
      </c>
      <c r="Y20" s="272">
        <v>23787</v>
      </c>
      <c r="Z20" s="272">
        <v>0</v>
      </c>
      <c r="AA20" s="272">
        <v>151476</v>
      </c>
      <c r="AB20" s="272">
        <v>217746</v>
      </c>
      <c r="AC20" s="272">
        <v>5076646</v>
      </c>
      <c r="AD20" s="272">
        <v>4845181</v>
      </c>
      <c r="AE20" s="272">
        <v>231465</v>
      </c>
      <c r="AF20" s="272">
        <v>21154</v>
      </c>
      <c r="AG20" s="272">
        <v>306465</v>
      </c>
      <c r="AH20" s="455">
        <f t="shared" si="3"/>
        <v>913916</v>
      </c>
      <c r="AI20" s="272">
        <v>609221</v>
      </c>
      <c r="AJ20" s="272">
        <v>304695</v>
      </c>
      <c r="AK20" s="272">
        <v>6034105</v>
      </c>
      <c r="AL20" s="455">
        <f t="shared" si="4"/>
        <v>2187017</v>
      </c>
      <c r="AM20" s="272">
        <v>1835944</v>
      </c>
      <c r="AN20" s="272">
        <v>351073</v>
      </c>
      <c r="AO20" s="272"/>
      <c r="AP20" s="272">
        <v>0</v>
      </c>
      <c r="AQ20" s="272">
        <v>207318</v>
      </c>
      <c r="AR20" s="272">
        <v>0</v>
      </c>
      <c r="AS20" s="272">
        <v>0</v>
      </c>
      <c r="AT20" s="272">
        <v>1914775</v>
      </c>
      <c r="AU20" s="272">
        <v>947836</v>
      </c>
      <c r="AV20" s="272">
        <v>175537</v>
      </c>
      <c r="AW20" s="272">
        <v>1408</v>
      </c>
      <c r="AX20" s="272">
        <v>966939</v>
      </c>
      <c r="AY20" s="272">
        <v>3958</v>
      </c>
      <c r="AZ20" s="272">
        <v>91750</v>
      </c>
      <c r="BA20" s="272">
        <v>7764</v>
      </c>
      <c r="BB20" s="272">
        <v>8884</v>
      </c>
      <c r="BC20" s="272">
        <v>353063</v>
      </c>
      <c r="BD20" s="272">
        <v>200000</v>
      </c>
      <c r="BE20" s="272">
        <v>23767</v>
      </c>
      <c r="BF20" s="272">
        <v>111056</v>
      </c>
      <c r="BG20" s="272">
        <v>0</v>
      </c>
      <c r="BH20" s="272">
        <v>158762</v>
      </c>
      <c r="BI20" s="272">
        <v>18551</v>
      </c>
      <c r="BJ20" s="272">
        <v>676931</v>
      </c>
      <c r="BK20" s="272">
        <v>67710</v>
      </c>
      <c r="BL20" s="272">
        <v>0</v>
      </c>
      <c r="BM20" s="272">
        <v>0</v>
      </c>
      <c r="BN20" s="272">
        <v>1793700</v>
      </c>
      <c r="BO20" s="455">
        <f t="shared" si="5"/>
        <v>393700</v>
      </c>
      <c r="BP20" s="455">
        <f t="shared" si="6"/>
        <v>1400000</v>
      </c>
      <c r="BQ20" s="272"/>
      <c r="BR20" s="272">
        <v>0</v>
      </c>
      <c r="BS20" s="272">
        <v>1400000</v>
      </c>
      <c r="BT20" s="272">
        <v>0</v>
      </c>
      <c r="BU20" s="272">
        <v>32684599</v>
      </c>
      <c r="BV20" s="272"/>
      <c r="BW20" s="272">
        <v>6525403</v>
      </c>
      <c r="BX20" s="272">
        <v>3960174</v>
      </c>
      <c r="BY20" s="272">
        <v>603537</v>
      </c>
      <c r="BZ20" s="272">
        <v>843033</v>
      </c>
      <c r="CA20" s="272">
        <v>6402976</v>
      </c>
      <c r="CB20" s="272">
        <v>1414495</v>
      </c>
      <c r="CC20" s="272">
        <v>194498</v>
      </c>
      <c r="CD20" s="272">
        <v>2279530</v>
      </c>
      <c r="CE20" s="272">
        <v>2449233</v>
      </c>
      <c r="CF20" s="272">
        <v>4952</v>
      </c>
      <c r="CG20" s="272">
        <v>60268</v>
      </c>
      <c r="CH20" s="272">
        <v>4030495</v>
      </c>
      <c r="CI20" s="272">
        <v>3437476</v>
      </c>
      <c r="CJ20" s="455">
        <f t="shared" si="7"/>
        <v>593019</v>
      </c>
      <c r="CK20" s="272">
        <v>5114683</v>
      </c>
      <c r="CL20" s="272">
        <v>3364213</v>
      </c>
      <c r="CM20" s="272">
        <v>176909</v>
      </c>
      <c r="CN20" s="272">
        <v>673596</v>
      </c>
      <c r="CO20" s="272">
        <v>449366</v>
      </c>
      <c r="CP20" s="272">
        <v>4238394</v>
      </c>
      <c r="CQ20" s="272">
        <v>749856</v>
      </c>
      <c r="CR20" s="272">
        <v>2780112</v>
      </c>
      <c r="CS20" s="272">
        <v>732387</v>
      </c>
      <c r="CT20" s="455">
        <f t="shared" si="8"/>
        <v>149730</v>
      </c>
      <c r="CU20" s="272">
        <v>9342</v>
      </c>
      <c r="CV20" s="272">
        <v>140388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1311548</v>
      </c>
      <c r="DD20" s="272">
        <v>334945</v>
      </c>
      <c r="DE20" s="272">
        <v>842186</v>
      </c>
      <c r="DF20" s="26">
        <v>134417</v>
      </c>
      <c r="DG20" s="27">
        <v>0</v>
      </c>
      <c r="DH20" s="272">
        <v>28500</v>
      </c>
      <c r="DI20" s="272">
        <v>396817</v>
      </c>
      <c r="DJ20" s="272">
        <v>359650</v>
      </c>
      <c r="DK20" s="272">
        <v>14000</v>
      </c>
      <c r="DL20" s="272">
        <v>23167</v>
      </c>
      <c r="DM20" s="272">
        <v>0</v>
      </c>
      <c r="DN20" s="272">
        <v>0</v>
      </c>
      <c r="DO20" s="272">
        <v>0</v>
      </c>
      <c r="DP20" s="272">
        <v>0</v>
      </c>
      <c r="DQ20" s="272">
        <v>67577</v>
      </c>
      <c r="DR20" s="272">
        <v>0</v>
      </c>
      <c r="DS20" s="272">
        <v>0</v>
      </c>
      <c r="DT20" s="272">
        <v>4069418</v>
      </c>
      <c r="DU20" s="272">
        <v>1259372</v>
      </c>
      <c r="DV20" s="455">
        <f t="shared" si="11"/>
        <v>0</v>
      </c>
      <c r="DW20" s="272">
        <v>0</v>
      </c>
      <c r="DX20" s="272">
        <v>1052969</v>
      </c>
      <c r="DY20" s="272">
        <v>0</v>
      </c>
      <c r="DZ20" s="272">
        <v>702127</v>
      </c>
      <c r="EA20" s="272">
        <v>627</v>
      </c>
      <c r="EB20" s="272">
        <v>1045629</v>
      </c>
      <c r="EC20" s="272">
        <v>0</v>
      </c>
      <c r="ED20" s="272">
        <v>32635177</v>
      </c>
      <c r="EE20" s="89"/>
      <c r="EF20" s="272">
        <v>49422</v>
      </c>
      <c r="EG20" s="272">
        <v>32786</v>
      </c>
      <c r="EH20" s="272">
        <v>16636</v>
      </c>
      <c r="EI20" s="272">
        <v>-1915</v>
      </c>
      <c r="EJ20" s="272">
        <v>380298</v>
      </c>
      <c r="EK20" s="89"/>
      <c r="EL20" s="272"/>
      <c r="EM20" s="272">
        <v>114778</v>
      </c>
      <c r="EN20" s="272">
        <v>223767</v>
      </c>
      <c r="EO20" s="272">
        <v>25161</v>
      </c>
      <c r="EP20" s="455">
        <f t="shared" si="12"/>
        <v>1138115</v>
      </c>
      <c r="EQ20" s="272">
        <v>20432248</v>
      </c>
      <c r="ER20" s="272">
        <v>-2765889</v>
      </c>
      <c r="ES20" s="272">
        <v>6075700</v>
      </c>
      <c r="ET20" s="272">
        <v>3670350</v>
      </c>
      <c r="EU20" s="272">
        <v>1984951</v>
      </c>
      <c r="EV20" s="272">
        <v>4004762</v>
      </c>
      <c r="EW20" s="455">
        <f t="shared" si="13"/>
        <v>648951</v>
      </c>
      <c r="EX20" s="272">
        <v>630925</v>
      </c>
      <c r="EY20" s="272">
        <v>50108</v>
      </c>
      <c r="EZ20" s="272">
        <v>550000</v>
      </c>
      <c r="FA20" s="272">
        <v>18026</v>
      </c>
      <c r="FB20" s="272">
        <v>0</v>
      </c>
      <c r="FC20" s="272">
        <v>3947292</v>
      </c>
      <c r="FD20" s="272">
        <v>2140046</v>
      </c>
      <c r="FE20" s="272">
        <v>749856</v>
      </c>
      <c r="FF20" s="272">
        <v>3636800</v>
      </c>
      <c r="FG20" s="455">
        <f t="shared" si="14"/>
        <v>710773</v>
      </c>
      <c r="FH20" s="272">
        <v>23149275</v>
      </c>
      <c r="FI20" s="459">
        <f t="shared" si="15"/>
        <v>0.1</v>
      </c>
      <c r="FJ20" s="272">
        <v>19515598</v>
      </c>
      <c r="FK20" s="272">
        <v>1441794</v>
      </c>
      <c r="FL20" s="272">
        <v>11332033</v>
      </c>
      <c r="FM20" s="272">
        <v>16191775</v>
      </c>
      <c r="FN20" s="460">
        <v>0.72099999999999997</v>
      </c>
      <c r="FO20" s="388">
        <v>99.8</v>
      </c>
      <c r="FP20" s="388">
        <v>28.5</v>
      </c>
      <c r="FQ20" s="388">
        <v>9.5</v>
      </c>
      <c r="FR20" s="388">
        <v>18.2</v>
      </c>
      <c r="FS20" s="388">
        <v>18.100000000000001</v>
      </c>
      <c r="FT20" s="388">
        <v>8.6999999999999993</v>
      </c>
      <c r="FU20" s="388">
        <v>15.5</v>
      </c>
      <c r="FV20" s="384">
        <f t="shared" si="16"/>
        <v>6.7</v>
      </c>
      <c r="FW20" s="272">
        <v>35311022</v>
      </c>
      <c r="FX20" s="384">
        <f t="shared" si="17"/>
        <v>168.5</v>
      </c>
      <c r="FY20" s="272">
        <v>10378758</v>
      </c>
      <c r="FZ20" s="272">
        <v>4339104</v>
      </c>
      <c r="GA20" s="272">
        <v>2574764</v>
      </c>
      <c r="GB20" s="272">
        <v>3464890</v>
      </c>
      <c r="GC20" s="272">
        <v>0</v>
      </c>
      <c r="GD20" s="272">
        <v>2993000</v>
      </c>
      <c r="GE20" s="384">
        <f t="shared" si="18"/>
        <v>14.3</v>
      </c>
      <c r="GF20" s="388">
        <v>98.3</v>
      </c>
      <c r="GG20" s="388">
        <v>17.8</v>
      </c>
      <c r="GH20" s="388">
        <v>93.6</v>
      </c>
      <c r="GI20" s="272">
        <v>570</v>
      </c>
      <c r="GJ20" s="461" t="s">
        <v>646</v>
      </c>
      <c r="GK20" s="461">
        <v>12.4</v>
      </c>
      <c r="GL20" s="462">
        <v>20</v>
      </c>
      <c r="GM20" s="461" t="s">
        <v>646</v>
      </c>
      <c r="GN20" s="462">
        <v>17.399999999999999</v>
      </c>
      <c r="GO20" s="462">
        <v>40</v>
      </c>
      <c r="GP20" s="463">
        <v>6.7</v>
      </c>
      <c r="GQ20" s="463">
        <v>25</v>
      </c>
      <c r="GR20" s="463">
        <v>35</v>
      </c>
      <c r="GS20" s="464">
        <v>19.5</v>
      </c>
      <c r="GT20" s="463">
        <v>350</v>
      </c>
      <c r="GU20" s="394"/>
      <c r="GV20" s="394"/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</row>
    <row r="21" spans="2:230" x14ac:dyDescent="0.15">
      <c r="B21" s="89" t="s">
        <v>35</v>
      </c>
      <c r="C21" s="272">
        <v>14218855</v>
      </c>
      <c r="D21" s="455">
        <f t="shared" si="0"/>
        <v>5612649</v>
      </c>
      <c r="E21" s="272">
        <v>153156</v>
      </c>
      <c r="F21" s="456">
        <v>5459493</v>
      </c>
      <c r="G21" s="455">
        <f t="shared" si="1"/>
        <v>770193</v>
      </c>
      <c r="H21" s="272">
        <v>246507</v>
      </c>
      <c r="I21" s="272">
        <v>523686</v>
      </c>
      <c r="J21" s="272">
        <v>5710082</v>
      </c>
      <c r="K21" s="272">
        <v>2854812</v>
      </c>
      <c r="L21" s="272">
        <v>2198305</v>
      </c>
      <c r="M21" s="272">
        <v>616493</v>
      </c>
      <c r="N21" s="272">
        <v>739881</v>
      </c>
      <c r="O21" s="272">
        <v>1267010</v>
      </c>
      <c r="P21" s="272">
        <v>785906</v>
      </c>
      <c r="Q21" s="272">
        <v>481104</v>
      </c>
      <c r="R21" s="272">
        <v>214031</v>
      </c>
      <c r="S21" s="272"/>
      <c r="T21" s="455">
        <f t="shared" si="2"/>
        <v>1347519</v>
      </c>
      <c r="U21" s="272">
        <v>80916</v>
      </c>
      <c r="V21" s="272">
        <v>30356</v>
      </c>
      <c r="W21" s="456">
        <v>14070</v>
      </c>
      <c r="X21" s="272">
        <v>1113703</v>
      </c>
      <c r="Y21" s="272">
        <v>0</v>
      </c>
      <c r="Z21" s="272">
        <v>0</v>
      </c>
      <c r="AA21" s="272">
        <v>108474</v>
      </c>
      <c r="AB21" s="272">
        <v>216365</v>
      </c>
      <c r="AC21" s="272">
        <v>7331664</v>
      </c>
      <c r="AD21" s="272">
        <v>6923741</v>
      </c>
      <c r="AE21" s="272">
        <v>407923</v>
      </c>
      <c r="AF21" s="272">
        <v>22070</v>
      </c>
      <c r="AG21" s="272">
        <v>205671</v>
      </c>
      <c r="AH21" s="455">
        <f t="shared" si="3"/>
        <v>556805</v>
      </c>
      <c r="AI21" s="272">
        <v>513997</v>
      </c>
      <c r="AJ21" s="272">
        <v>42808</v>
      </c>
      <c r="AK21" s="272">
        <v>8181822</v>
      </c>
      <c r="AL21" s="455">
        <f t="shared" si="4"/>
        <v>3627027</v>
      </c>
      <c r="AM21" s="272">
        <v>3314483</v>
      </c>
      <c r="AN21" s="272">
        <v>312544</v>
      </c>
      <c r="AO21" s="272"/>
      <c r="AP21" s="272">
        <v>0</v>
      </c>
      <c r="AQ21" s="272">
        <v>506660</v>
      </c>
      <c r="AR21" s="272">
        <v>0</v>
      </c>
      <c r="AS21" s="272">
        <v>0</v>
      </c>
      <c r="AT21" s="272">
        <v>2685231</v>
      </c>
      <c r="AU21" s="272">
        <v>1441189</v>
      </c>
      <c r="AV21" s="272">
        <v>156272</v>
      </c>
      <c r="AW21" s="272">
        <v>152078</v>
      </c>
      <c r="AX21" s="272">
        <v>1244042</v>
      </c>
      <c r="AY21" s="272">
        <v>45736</v>
      </c>
      <c r="AZ21" s="272">
        <v>88646</v>
      </c>
      <c r="BA21" s="272">
        <v>24891</v>
      </c>
      <c r="BB21" s="272">
        <v>6547</v>
      </c>
      <c r="BC21" s="272">
        <v>171158</v>
      </c>
      <c r="BD21" s="272">
        <v>60000</v>
      </c>
      <c r="BE21" s="272">
        <v>0</v>
      </c>
      <c r="BF21" s="272">
        <v>100877</v>
      </c>
      <c r="BG21" s="272">
        <v>0</v>
      </c>
      <c r="BH21" s="272">
        <v>204128</v>
      </c>
      <c r="BI21" s="272">
        <v>127068</v>
      </c>
      <c r="BJ21" s="272">
        <v>299703</v>
      </c>
      <c r="BK21" s="272">
        <v>20170</v>
      </c>
      <c r="BL21" s="272">
        <v>0</v>
      </c>
      <c r="BM21" s="272">
        <v>0</v>
      </c>
      <c r="BN21" s="272">
        <v>6228400</v>
      </c>
      <c r="BO21" s="455">
        <f t="shared" si="5"/>
        <v>3570300</v>
      </c>
      <c r="BP21" s="455">
        <f t="shared" si="6"/>
        <v>1615700</v>
      </c>
      <c r="BQ21" s="272"/>
      <c r="BR21" s="272">
        <v>62600</v>
      </c>
      <c r="BS21" s="272">
        <v>1553100</v>
      </c>
      <c r="BT21" s="272">
        <v>1042400</v>
      </c>
      <c r="BU21" s="272">
        <v>41978615</v>
      </c>
      <c r="BV21" s="272"/>
      <c r="BW21" s="272">
        <v>9189109</v>
      </c>
      <c r="BX21" s="272">
        <v>5843021</v>
      </c>
      <c r="BY21" s="272">
        <v>1538218</v>
      </c>
      <c r="BZ21" s="272">
        <v>366973</v>
      </c>
      <c r="CA21" s="272">
        <v>9357608</v>
      </c>
      <c r="CB21" s="272">
        <v>1486491</v>
      </c>
      <c r="CC21" s="272">
        <v>197990</v>
      </c>
      <c r="CD21" s="272">
        <v>3089280</v>
      </c>
      <c r="CE21" s="272">
        <v>4406260</v>
      </c>
      <c r="CF21" s="272">
        <v>1078</v>
      </c>
      <c r="CG21" s="272">
        <v>176059</v>
      </c>
      <c r="CH21" s="272">
        <v>3455690</v>
      </c>
      <c r="CI21" s="272">
        <v>2814885</v>
      </c>
      <c r="CJ21" s="455">
        <f t="shared" si="7"/>
        <v>640805</v>
      </c>
      <c r="CK21" s="272">
        <v>4446601</v>
      </c>
      <c r="CL21" s="272">
        <v>2805703</v>
      </c>
      <c r="CM21" s="272">
        <v>277418</v>
      </c>
      <c r="CN21" s="272">
        <v>792288</v>
      </c>
      <c r="CO21" s="272">
        <v>205981</v>
      </c>
      <c r="CP21" s="272">
        <v>6817807</v>
      </c>
      <c r="CQ21" s="272">
        <v>2606</v>
      </c>
      <c r="CR21" s="272">
        <v>856354</v>
      </c>
      <c r="CS21" s="272">
        <v>527249</v>
      </c>
      <c r="CT21" s="455">
        <f t="shared" si="8"/>
        <v>3268492</v>
      </c>
      <c r="CU21" s="272">
        <v>9000</v>
      </c>
      <c r="CV21" s="272">
        <v>3259492</v>
      </c>
      <c r="CW21" s="455">
        <f t="shared" si="9"/>
        <v>3233550</v>
      </c>
      <c r="CX21" s="272">
        <v>0</v>
      </c>
      <c r="CY21" s="272">
        <v>3233550</v>
      </c>
      <c r="CZ21" s="455">
        <f t="shared" si="10"/>
        <v>0</v>
      </c>
      <c r="DA21" s="272">
        <v>0</v>
      </c>
      <c r="DB21" s="272">
        <v>0</v>
      </c>
      <c r="DC21" s="272">
        <v>2264596</v>
      </c>
      <c r="DD21" s="272">
        <v>1125477</v>
      </c>
      <c r="DE21" s="272">
        <v>897805</v>
      </c>
      <c r="DF21" s="26">
        <v>0</v>
      </c>
      <c r="DG21" s="27">
        <v>241314</v>
      </c>
      <c r="DH21" s="272">
        <v>0</v>
      </c>
      <c r="DI21" s="272">
        <v>145808</v>
      </c>
      <c r="DJ21" s="272">
        <v>74802</v>
      </c>
      <c r="DK21" s="272">
        <v>26</v>
      </c>
      <c r="DL21" s="272">
        <v>70980</v>
      </c>
      <c r="DM21" s="272">
        <v>0</v>
      </c>
      <c r="DN21" s="272">
        <v>0</v>
      </c>
      <c r="DO21" s="272">
        <v>0</v>
      </c>
      <c r="DP21" s="272">
        <v>0</v>
      </c>
      <c r="DQ21" s="272">
        <v>20000</v>
      </c>
      <c r="DR21" s="272">
        <v>0</v>
      </c>
      <c r="DS21" s="272">
        <v>0</v>
      </c>
      <c r="DT21" s="272">
        <v>5889316</v>
      </c>
      <c r="DU21" s="272">
        <v>2500000</v>
      </c>
      <c r="DV21" s="455">
        <f t="shared" si="11"/>
        <v>0</v>
      </c>
      <c r="DW21" s="272">
        <v>0</v>
      </c>
      <c r="DX21" s="272">
        <v>1058180</v>
      </c>
      <c r="DY21" s="272">
        <v>0</v>
      </c>
      <c r="DZ21" s="272">
        <v>1225378</v>
      </c>
      <c r="EA21" s="272">
        <v>1261</v>
      </c>
      <c r="EB21" s="272">
        <v>1101471</v>
      </c>
      <c r="EC21" s="272">
        <v>0</v>
      </c>
      <c r="ED21" s="272">
        <v>41792516</v>
      </c>
      <c r="EE21" s="89"/>
      <c r="EF21" s="272">
        <v>186099</v>
      </c>
      <c r="EG21" s="272">
        <v>32884</v>
      </c>
      <c r="EH21" s="272">
        <v>153215</v>
      </c>
      <c r="EI21" s="272">
        <v>26147</v>
      </c>
      <c r="EJ21" s="272">
        <v>40949</v>
      </c>
      <c r="EK21" s="89"/>
      <c r="EL21" s="272"/>
      <c r="EM21" s="272">
        <v>125029</v>
      </c>
      <c r="EN21" s="272">
        <v>123641</v>
      </c>
      <c r="EO21" s="272">
        <v>87423</v>
      </c>
      <c r="EP21" s="455">
        <f t="shared" si="12"/>
        <v>873634</v>
      </c>
      <c r="EQ21" s="272">
        <v>23350504</v>
      </c>
      <c r="ER21" s="272">
        <v>-2678328</v>
      </c>
      <c r="ES21" s="272">
        <v>7645641</v>
      </c>
      <c r="ET21" s="272">
        <v>5449214</v>
      </c>
      <c r="EU21" s="272">
        <v>3057310</v>
      </c>
      <c r="EV21" s="272">
        <v>3455690</v>
      </c>
      <c r="EW21" s="455">
        <f t="shared" si="13"/>
        <v>584999</v>
      </c>
      <c r="EX21" s="272">
        <v>584999</v>
      </c>
      <c r="EY21" s="272">
        <v>61548</v>
      </c>
      <c r="EZ21" s="272">
        <v>523451</v>
      </c>
      <c r="FA21" s="272">
        <v>0</v>
      </c>
      <c r="FB21" s="272">
        <v>0</v>
      </c>
      <c r="FC21" s="272">
        <v>3943658</v>
      </c>
      <c r="FD21" s="272">
        <v>1593634</v>
      </c>
      <c r="FE21" s="272">
        <v>2606</v>
      </c>
      <c r="FF21" s="272">
        <v>5218800</v>
      </c>
      <c r="FG21" s="455">
        <f t="shared" si="14"/>
        <v>343001</v>
      </c>
      <c r="FH21" s="272">
        <v>25842733</v>
      </c>
      <c r="FI21" s="459">
        <f t="shared" si="15"/>
        <v>0.7</v>
      </c>
      <c r="FJ21" s="272">
        <v>21752683</v>
      </c>
      <c r="FK21" s="272">
        <v>1553187</v>
      </c>
      <c r="FL21" s="272">
        <v>11467628</v>
      </c>
      <c r="FM21" s="272">
        <v>18399521</v>
      </c>
      <c r="FN21" s="460">
        <v>0.627</v>
      </c>
      <c r="FO21" s="388">
        <v>100.4</v>
      </c>
      <c r="FP21" s="388">
        <v>32.4</v>
      </c>
      <c r="FQ21" s="388">
        <v>13</v>
      </c>
      <c r="FR21" s="388">
        <v>14.7</v>
      </c>
      <c r="FS21" s="388">
        <v>16.5</v>
      </c>
      <c r="FT21" s="388">
        <v>4.4000000000000004</v>
      </c>
      <c r="FU21" s="388">
        <v>18.5</v>
      </c>
      <c r="FV21" s="384">
        <f t="shared" si="16"/>
        <v>6.9</v>
      </c>
      <c r="FW21" s="272">
        <v>37128600</v>
      </c>
      <c r="FX21" s="384">
        <f t="shared" si="17"/>
        <v>159.30000000000001</v>
      </c>
      <c r="FY21" s="272">
        <v>983924</v>
      </c>
      <c r="FZ21" s="272">
        <v>249550</v>
      </c>
      <c r="GA21" s="272">
        <v>21222</v>
      </c>
      <c r="GB21" s="272">
        <v>713152</v>
      </c>
      <c r="GC21" s="272">
        <v>0</v>
      </c>
      <c r="GD21" s="272">
        <v>966000</v>
      </c>
      <c r="GE21" s="384">
        <f t="shared" si="18"/>
        <v>4.0999999999999996</v>
      </c>
      <c r="GF21" s="388">
        <v>97.8</v>
      </c>
      <c r="GG21" s="388">
        <v>26.9</v>
      </c>
      <c r="GH21" s="388">
        <v>93.6</v>
      </c>
      <c r="GI21" s="272">
        <v>837</v>
      </c>
      <c r="GJ21" s="461" t="s">
        <v>646</v>
      </c>
      <c r="GK21" s="461">
        <v>12.2</v>
      </c>
      <c r="GL21" s="462">
        <v>20</v>
      </c>
      <c r="GM21" s="461" t="s">
        <v>646</v>
      </c>
      <c r="GN21" s="462">
        <v>17.2</v>
      </c>
      <c r="GO21" s="462">
        <v>40</v>
      </c>
      <c r="GP21" s="463">
        <v>6.9</v>
      </c>
      <c r="GQ21" s="463">
        <v>25</v>
      </c>
      <c r="GR21" s="463">
        <v>35</v>
      </c>
      <c r="GS21" s="464">
        <v>124.6</v>
      </c>
      <c r="GT21" s="463">
        <v>350</v>
      </c>
      <c r="GU21" s="394"/>
      <c r="GV21" s="394"/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</row>
    <row r="22" spans="2:230" x14ac:dyDescent="0.15">
      <c r="B22" s="89" t="s">
        <v>37</v>
      </c>
      <c r="C22" s="272">
        <v>17447169</v>
      </c>
      <c r="D22" s="455">
        <f t="shared" si="0"/>
        <v>6030789</v>
      </c>
      <c r="E22" s="272">
        <v>165846</v>
      </c>
      <c r="F22" s="456">
        <v>5864943</v>
      </c>
      <c r="G22" s="455">
        <f t="shared" si="1"/>
        <v>1180844</v>
      </c>
      <c r="H22" s="272">
        <v>360393</v>
      </c>
      <c r="I22" s="272">
        <v>820451</v>
      </c>
      <c r="J22" s="272">
        <v>7760569</v>
      </c>
      <c r="K22" s="272">
        <v>3476804</v>
      </c>
      <c r="L22" s="272">
        <v>3126098</v>
      </c>
      <c r="M22" s="272">
        <v>1018530</v>
      </c>
      <c r="N22" s="272">
        <v>770047</v>
      </c>
      <c r="O22" s="272">
        <v>1593351</v>
      </c>
      <c r="P22" s="272">
        <v>909644</v>
      </c>
      <c r="Q22" s="272">
        <v>683707</v>
      </c>
      <c r="R22" s="272">
        <v>223737</v>
      </c>
      <c r="S22" s="272"/>
      <c r="T22" s="455">
        <f t="shared" si="2"/>
        <v>1512377</v>
      </c>
      <c r="U22" s="272">
        <v>84773</v>
      </c>
      <c r="V22" s="272">
        <v>31795</v>
      </c>
      <c r="W22" s="456">
        <v>14855</v>
      </c>
      <c r="X22" s="272">
        <v>1234491</v>
      </c>
      <c r="Y22" s="272">
        <v>33065</v>
      </c>
      <c r="Z22" s="272">
        <v>0</v>
      </c>
      <c r="AA22" s="272">
        <v>113398</v>
      </c>
      <c r="AB22" s="272">
        <v>304376</v>
      </c>
      <c r="AC22" s="272">
        <v>1811851</v>
      </c>
      <c r="AD22" s="272">
        <v>1502516</v>
      </c>
      <c r="AE22" s="272">
        <v>309335</v>
      </c>
      <c r="AF22" s="272">
        <v>24067</v>
      </c>
      <c r="AG22" s="272">
        <v>356738</v>
      </c>
      <c r="AH22" s="455">
        <f t="shared" si="3"/>
        <v>859369</v>
      </c>
      <c r="AI22" s="272">
        <v>479839</v>
      </c>
      <c r="AJ22" s="272">
        <v>379530</v>
      </c>
      <c r="AK22" s="272">
        <v>7283020</v>
      </c>
      <c r="AL22" s="455">
        <f t="shared" si="4"/>
        <v>2098915</v>
      </c>
      <c r="AM22" s="272">
        <v>1563120</v>
      </c>
      <c r="AN22" s="272">
        <v>535795</v>
      </c>
      <c r="AO22" s="272"/>
      <c r="AP22" s="272">
        <v>0</v>
      </c>
      <c r="AQ22" s="272">
        <v>1211723</v>
      </c>
      <c r="AR22" s="272">
        <v>0</v>
      </c>
      <c r="AS22" s="272">
        <v>0</v>
      </c>
      <c r="AT22" s="272">
        <v>2332734</v>
      </c>
      <c r="AU22" s="272">
        <v>1270032</v>
      </c>
      <c r="AV22" s="272">
        <v>267897</v>
      </c>
      <c r="AW22" s="272">
        <v>0</v>
      </c>
      <c r="AX22" s="272">
        <v>1062702</v>
      </c>
      <c r="AY22" s="272">
        <v>3549</v>
      </c>
      <c r="AZ22" s="272">
        <v>169150</v>
      </c>
      <c r="BA22" s="272">
        <v>112909</v>
      </c>
      <c r="BB22" s="272">
        <v>9888</v>
      </c>
      <c r="BC22" s="272">
        <v>954552</v>
      </c>
      <c r="BD22" s="272">
        <v>580000</v>
      </c>
      <c r="BE22" s="272">
        <v>28206</v>
      </c>
      <c r="BF22" s="272">
        <v>335096</v>
      </c>
      <c r="BG22" s="272">
        <v>0</v>
      </c>
      <c r="BH22" s="272">
        <v>794972</v>
      </c>
      <c r="BI22" s="272">
        <v>358642</v>
      </c>
      <c r="BJ22" s="272">
        <v>3748429</v>
      </c>
      <c r="BK22" s="272">
        <v>3011894</v>
      </c>
      <c r="BL22" s="272">
        <v>0</v>
      </c>
      <c r="BM22" s="272">
        <v>0</v>
      </c>
      <c r="BN22" s="272">
        <v>4434400</v>
      </c>
      <c r="BO22" s="455">
        <f t="shared" si="5"/>
        <v>2892200</v>
      </c>
      <c r="BP22" s="455">
        <f t="shared" si="6"/>
        <v>1542200</v>
      </c>
      <c r="BQ22" s="272"/>
      <c r="BR22" s="272">
        <v>0</v>
      </c>
      <c r="BS22" s="272">
        <v>1542200</v>
      </c>
      <c r="BT22" s="272">
        <v>0</v>
      </c>
      <c r="BU22" s="272">
        <v>42266829</v>
      </c>
      <c r="BV22" s="272"/>
      <c r="BW22" s="272">
        <v>7830678</v>
      </c>
      <c r="BX22" s="272">
        <v>4946130</v>
      </c>
      <c r="BY22" s="272">
        <v>1489659</v>
      </c>
      <c r="BZ22" s="272">
        <v>203180</v>
      </c>
      <c r="CA22" s="272">
        <v>7505768</v>
      </c>
      <c r="CB22" s="272">
        <v>1242131</v>
      </c>
      <c r="CC22" s="272">
        <v>194980</v>
      </c>
      <c r="CD22" s="272">
        <v>3770114</v>
      </c>
      <c r="CE22" s="272">
        <v>2090478</v>
      </c>
      <c r="CF22" s="272">
        <v>0</v>
      </c>
      <c r="CG22" s="272">
        <v>207885</v>
      </c>
      <c r="CH22" s="272">
        <v>4925390</v>
      </c>
      <c r="CI22" s="272">
        <v>4364641</v>
      </c>
      <c r="CJ22" s="455">
        <f t="shared" si="7"/>
        <v>560749</v>
      </c>
      <c r="CK22" s="272">
        <v>4835141</v>
      </c>
      <c r="CL22" s="272">
        <v>3149005</v>
      </c>
      <c r="CM22" s="272">
        <v>233854</v>
      </c>
      <c r="CN22" s="272">
        <v>783943</v>
      </c>
      <c r="CO22" s="272">
        <v>149200</v>
      </c>
      <c r="CP22" s="272">
        <v>4558476</v>
      </c>
      <c r="CQ22" s="272">
        <v>1185126</v>
      </c>
      <c r="CR22" s="272">
        <v>2737848</v>
      </c>
      <c r="CS22" s="272">
        <v>146661</v>
      </c>
      <c r="CT22" s="455">
        <f t="shared" si="8"/>
        <v>44747</v>
      </c>
      <c r="CU22" s="272">
        <v>44747</v>
      </c>
      <c r="CV22" s="272">
        <v>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3381820</v>
      </c>
      <c r="DD22" s="272">
        <v>1837530</v>
      </c>
      <c r="DE22" s="272">
        <v>1540854</v>
      </c>
      <c r="DF22" s="26">
        <v>3436</v>
      </c>
      <c r="DG22" s="27">
        <v>0</v>
      </c>
      <c r="DH22" s="272">
        <v>0</v>
      </c>
      <c r="DI22" s="272">
        <v>282255</v>
      </c>
      <c r="DJ22" s="272">
        <v>197717</v>
      </c>
      <c r="DK22" s="272">
        <v>5100</v>
      </c>
      <c r="DL22" s="272">
        <v>79438</v>
      </c>
      <c r="DM22" s="272">
        <v>0</v>
      </c>
      <c r="DN22" s="272">
        <v>0</v>
      </c>
      <c r="DO22" s="272">
        <v>0</v>
      </c>
      <c r="DP22" s="272">
        <v>0</v>
      </c>
      <c r="DQ22" s="272">
        <v>3000000</v>
      </c>
      <c r="DR22" s="272">
        <v>0</v>
      </c>
      <c r="DS22" s="272">
        <v>0</v>
      </c>
      <c r="DT22" s="272">
        <v>5222481</v>
      </c>
      <c r="DU22" s="272">
        <v>1899639</v>
      </c>
      <c r="DV22" s="455">
        <f t="shared" si="11"/>
        <v>0</v>
      </c>
      <c r="DW22" s="272">
        <v>0</v>
      </c>
      <c r="DX22" s="272">
        <v>856993</v>
      </c>
      <c r="DY22" s="272">
        <v>0</v>
      </c>
      <c r="DZ22" s="272">
        <v>1516604</v>
      </c>
      <c r="EA22" s="272">
        <v>13978</v>
      </c>
      <c r="EB22" s="272">
        <v>900325</v>
      </c>
      <c r="EC22" s="272">
        <v>0</v>
      </c>
      <c r="ED22" s="272">
        <v>41691209</v>
      </c>
      <c r="EE22" s="89"/>
      <c r="EF22" s="272">
        <v>575620</v>
      </c>
      <c r="EG22" s="272">
        <v>188572</v>
      </c>
      <c r="EH22" s="272">
        <v>387048</v>
      </c>
      <c r="EI22" s="272">
        <v>28406</v>
      </c>
      <c r="EJ22" s="272">
        <v>-353877</v>
      </c>
      <c r="EK22" s="89"/>
      <c r="EL22" s="272"/>
      <c r="EM22" s="272">
        <v>124791</v>
      </c>
      <c r="EN22" s="272">
        <v>847406</v>
      </c>
      <c r="EO22" s="272">
        <v>130790</v>
      </c>
      <c r="EP22" s="455">
        <f t="shared" si="12"/>
        <v>3360395</v>
      </c>
      <c r="EQ22" s="272">
        <v>21323577</v>
      </c>
      <c r="ER22" s="272">
        <v>-5856724</v>
      </c>
      <c r="ES22" s="272">
        <v>7266156</v>
      </c>
      <c r="ET22" s="272">
        <v>4412067</v>
      </c>
      <c r="EU22" s="272">
        <v>2636902</v>
      </c>
      <c r="EV22" s="272">
        <v>4852300</v>
      </c>
      <c r="EW22" s="455">
        <f t="shared" si="13"/>
        <v>858731</v>
      </c>
      <c r="EX22" s="272">
        <v>858731</v>
      </c>
      <c r="EY22" s="272">
        <v>76035</v>
      </c>
      <c r="EZ22" s="272">
        <v>779260</v>
      </c>
      <c r="FA22" s="272">
        <v>0</v>
      </c>
      <c r="FB22" s="272">
        <v>0</v>
      </c>
      <c r="FC22" s="272">
        <v>3756072</v>
      </c>
      <c r="FD22" s="272">
        <v>2308009</v>
      </c>
      <c r="FE22" s="272">
        <v>1177426</v>
      </c>
      <c r="FF22" s="272">
        <v>4568352</v>
      </c>
      <c r="FG22" s="455">
        <f t="shared" si="14"/>
        <v>358159</v>
      </c>
      <c r="FH22" s="272">
        <v>26604681</v>
      </c>
      <c r="FI22" s="459">
        <f t="shared" si="15"/>
        <v>1.7</v>
      </c>
      <c r="FJ22" s="272">
        <v>20994479</v>
      </c>
      <c r="FK22" s="272">
        <v>1542266</v>
      </c>
      <c r="FL22" s="272">
        <v>15016198</v>
      </c>
      <c r="FM22" s="272">
        <v>16509678</v>
      </c>
      <c r="FN22" s="460">
        <v>0.88300000000000001</v>
      </c>
      <c r="FO22" s="388">
        <v>105.6</v>
      </c>
      <c r="FP22" s="388">
        <v>32.799999999999997</v>
      </c>
      <c r="FQ22" s="388">
        <v>12.4</v>
      </c>
      <c r="FR22" s="388">
        <v>16.100000000000001</v>
      </c>
      <c r="FS22" s="388">
        <v>16.600000000000001</v>
      </c>
      <c r="FT22" s="388">
        <v>8.4</v>
      </c>
      <c r="FU22" s="388">
        <v>18.899999999999999</v>
      </c>
      <c r="FV22" s="384">
        <f t="shared" si="16"/>
        <v>4.2</v>
      </c>
      <c r="FW22" s="272">
        <v>33078558</v>
      </c>
      <c r="FX22" s="384">
        <f t="shared" si="17"/>
        <v>146.80000000000001</v>
      </c>
      <c r="FY22" s="272">
        <v>8064181</v>
      </c>
      <c r="FZ22" s="272">
        <v>4660207</v>
      </c>
      <c r="GA22" s="272">
        <v>533408</v>
      </c>
      <c r="GB22" s="272">
        <v>2870566</v>
      </c>
      <c r="GC22" s="272">
        <v>3828007</v>
      </c>
      <c r="GD22" s="272">
        <v>5593000</v>
      </c>
      <c r="GE22" s="384">
        <f t="shared" si="18"/>
        <v>24.8</v>
      </c>
      <c r="GF22" s="388">
        <v>97.7</v>
      </c>
      <c r="GG22" s="388">
        <v>21.8</v>
      </c>
      <c r="GH22" s="388">
        <v>93.4</v>
      </c>
      <c r="GI22" s="272">
        <v>728</v>
      </c>
      <c r="GJ22" s="461" t="s">
        <v>646</v>
      </c>
      <c r="GK22" s="461">
        <v>12.27</v>
      </c>
      <c r="GL22" s="462">
        <v>20</v>
      </c>
      <c r="GM22" s="461" t="s">
        <v>646</v>
      </c>
      <c r="GN22" s="462">
        <v>17.27</v>
      </c>
      <c r="GO22" s="462">
        <v>40</v>
      </c>
      <c r="GP22" s="463">
        <v>4.2</v>
      </c>
      <c r="GQ22" s="463">
        <v>25</v>
      </c>
      <c r="GR22" s="463">
        <v>35</v>
      </c>
      <c r="GS22" s="464">
        <v>43.3</v>
      </c>
      <c r="GT22" s="463">
        <v>350</v>
      </c>
      <c r="GU22" s="394"/>
      <c r="GV22" s="394"/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</row>
    <row r="23" spans="2:230" x14ac:dyDescent="0.15">
      <c r="B23" s="89" t="s">
        <v>39</v>
      </c>
      <c r="C23" s="272">
        <v>21992198</v>
      </c>
      <c r="D23" s="455">
        <f t="shared" si="0"/>
        <v>9219633</v>
      </c>
      <c r="E23" s="272">
        <v>222623</v>
      </c>
      <c r="F23" s="456">
        <v>8997010</v>
      </c>
      <c r="G23" s="455">
        <f t="shared" si="1"/>
        <v>977249</v>
      </c>
      <c r="H23" s="272">
        <v>353151</v>
      </c>
      <c r="I23" s="272">
        <v>624098</v>
      </c>
      <c r="J23" s="272">
        <v>8829404</v>
      </c>
      <c r="K23" s="272">
        <v>3791393</v>
      </c>
      <c r="L23" s="272">
        <v>4054079</v>
      </c>
      <c r="M23" s="272">
        <v>917586</v>
      </c>
      <c r="N23" s="272">
        <v>889684</v>
      </c>
      <c r="O23" s="272">
        <v>1843764</v>
      </c>
      <c r="P23" s="272">
        <v>989404</v>
      </c>
      <c r="Q23" s="272">
        <v>854360</v>
      </c>
      <c r="R23" s="272">
        <v>355713</v>
      </c>
      <c r="S23" s="272"/>
      <c r="T23" s="455">
        <f t="shared" si="2"/>
        <v>1893953</v>
      </c>
      <c r="U23" s="272">
        <v>128536</v>
      </c>
      <c r="V23" s="272">
        <v>48211</v>
      </c>
      <c r="W23" s="456">
        <v>22500</v>
      </c>
      <c r="X23" s="272">
        <v>1476043</v>
      </c>
      <c r="Y23" s="272">
        <v>38358</v>
      </c>
      <c r="Z23" s="272">
        <v>0</v>
      </c>
      <c r="AA23" s="272">
        <v>180305</v>
      </c>
      <c r="AB23" s="272">
        <v>379431</v>
      </c>
      <c r="AC23" s="272">
        <v>7229014</v>
      </c>
      <c r="AD23" s="272">
        <v>6457951</v>
      </c>
      <c r="AE23" s="272">
        <v>771063</v>
      </c>
      <c r="AF23" s="272">
        <v>27694</v>
      </c>
      <c r="AG23" s="272">
        <v>467927</v>
      </c>
      <c r="AH23" s="455">
        <f t="shared" si="3"/>
        <v>1581395</v>
      </c>
      <c r="AI23" s="272">
        <v>1483344</v>
      </c>
      <c r="AJ23" s="272">
        <v>98051</v>
      </c>
      <c r="AK23" s="272">
        <v>12322221</v>
      </c>
      <c r="AL23" s="455">
        <f t="shared" si="4"/>
        <v>5008964</v>
      </c>
      <c r="AM23" s="272">
        <v>4608520</v>
      </c>
      <c r="AN23" s="272">
        <v>400444</v>
      </c>
      <c r="AO23" s="272"/>
      <c r="AP23" s="272">
        <v>0</v>
      </c>
      <c r="AQ23" s="272">
        <v>1181851</v>
      </c>
      <c r="AR23" s="272">
        <v>0</v>
      </c>
      <c r="AS23" s="272">
        <v>245351</v>
      </c>
      <c r="AT23" s="272">
        <v>3055105</v>
      </c>
      <c r="AU23" s="272">
        <v>1660001</v>
      </c>
      <c r="AV23" s="272">
        <v>200222</v>
      </c>
      <c r="AW23" s="272">
        <v>70353</v>
      </c>
      <c r="AX23" s="272">
        <v>1395104</v>
      </c>
      <c r="AY23" s="272">
        <v>7978</v>
      </c>
      <c r="AZ23" s="272">
        <v>628292</v>
      </c>
      <c r="BA23" s="272">
        <v>583396</v>
      </c>
      <c r="BB23" s="272">
        <v>40914</v>
      </c>
      <c r="BC23" s="272">
        <v>753004</v>
      </c>
      <c r="BD23" s="272">
        <v>0</v>
      </c>
      <c r="BE23" s="272">
        <v>0</v>
      </c>
      <c r="BF23" s="272">
        <v>153004</v>
      </c>
      <c r="BG23" s="272">
        <v>0</v>
      </c>
      <c r="BH23" s="272">
        <v>399315</v>
      </c>
      <c r="BI23" s="272">
        <v>45127</v>
      </c>
      <c r="BJ23" s="272">
        <v>656342</v>
      </c>
      <c r="BK23" s="272">
        <v>70741</v>
      </c>
      <c r="BL23" s="272">
        <v>0</v>
      </c>
      <c r="BM23" s="272">
        <v>0</v>
      </c>
      <c r="BN23" s="272">
        <v>4910100</v>
      </c>
      <c r="BO23" s="455">
        <f t="shared" si="5"/>
        <v>2849200</v>
      </c>
      <c r="BP23" s="455">
        <f t="shared" si="6"/>
        <v>2060900</v>
      </c>
      <c r="BQ23" s="272"/>
      <c r="BR23" s="272">
        <v>0</v>
      </c>
      <c r="BS23" s="272">
        <v>2060900</v>
      </c>
      <c r="BT23" s="272">
        <v>0</v>
      </c>
      <c r="BU23" s="272">
        <v>56937969</v>
      </c>
      <c r="BV23" s="272"/>
      <c r="BW23" s="272">
        <v>10739256</v>
      </c>
      <c r="BX23" s="272">
        <v>6975662</v>
      </c>
      <c r="BY23" s="272">
        <v>1071245</v>
      </c>
      <c r="BZ23" s="272">
        <v>948698</v>
      </c>
      <c r="CA23" s="272">
        <v>13610848</v>
      </c>
      <c r="CB23" s="272">
        <v>2224953</v>
      </c>
      <c r="CC23" s="272">
        <v>320247</v>
      </c>
      <c r="CD23" s="272">
        <v>4613995</v>
      </c>
      <c r="CE23" s="272">
        <v>6154613</v>
      </c>
      <c r="CF23" s="272">
        <v>5879</v>
      </c>
      <c r="CG23" s="272">
        <v>290621</v>
      </c>
      <c r="CH23" s="272">
        <v>5423650</v>
      </c>
      <c r="CI23" s="272">
        <v>4533356</v>
      </c>
      <c r="CJ23" s="455">
        <f t="shared" si="7"/>
        <v>890294</v>
      </c>
      <c r="CK23" s="272">
        <v>6679200</v>
      </c>
      <c r="CL23" s="272">
        <v>4044714</v>
      </c>
      <c r="CM23" s="272">
        <v>397957</v>
      </c>
      <c r="CN23" s="272">
        <v>901108</v>
      </c>
      <c r="CO23" s="272">
        <v>372849</v>
      </c>
      <c r="CP23" s="272">
        <v>7189356</v>
      </c>
      <c r="CQ23" s="272">
        <v>1399871</v>
      </c>
      <c r="CR23" s="272">
        <v>4389955</v>
      </c>
      <c r="CS23" s="272">
        <v>881476</v>
      </c>
      <c r="CT23" s="455">
        <f t="shared" si="8"/>
        <v>787984</v>
      </c>
      <c r="CU23" s="272">
        <v>15000</v>
      </c>
      <c r="CV23" s="272">
        <v>772984</v>
      </c>
      <c r="CW23" s="455">
        <f t="shared" si="9"/>
        <v>761644</v>
      </c>
      <c r="CX23" s="272">
        <v>0</v>
      </c>
      <c r="CY23" s="272">
        <v>761644</v>
      </c>
      <c r="CZ23" s="455">
        <f t="shared" si="10"/>
        <v>0</v>
      </c>
      <c r="DA23" s="272">
        <v>0</v>
      </c>
      <c r="DB23" s="272">
        <v>0</v>
      </c>
      <c r="DC23" s="272">
        <v>6329939</v>
      </c>
      <c r="DD23" s="272">
        <v>2192527</v>
      </c>
      <c r="DE23" s="272">
        <v>4134262</v>
      </c>
      <c r="DF23" s="26">
        <v>3150</v>
      </c>
      <c r="DG23" s="27">
        <v>0</v>
      </c>
      <c r="DH23" s="272">
        <v>0</v>
      </c>
      <c r="DI23" s="272">
        <v>549392</v>
      </c>
      <c r="DJ23" s="272">
        <v>535070</v>
      </c>
      <c r="DK23" s="272">
        <v>260</v>
      </c>
      <c r="DL23" s="272">
        <v>14062</v>
      </c>
      <c r="DM23" s="272">
        <v>0</v>
      </c>
      <c r="DN23" s="272">
        <v>0</v>
      </c>
      <c r="DO23" s="272">
        <v>0</v>
      </c>
      <c r="DP23" s="272">
        <v>0</v>
      </c>
      <c r="DQ23" s="272">
        <v>682800</v>
      </c>
      <c r="DR23" s="272">
        <v>600000</v>
      </c>
      <c r="DS23" s="272">
        <v>600000</v>
      </c>
      <c r="DT23" s="272">
        <v>5139823</v>
      </c>
      <c r="DU23" s="272">
        <v>750122</v>
      </c>
      <c r="DV23" s="455">
        <f t="shared" si="11"/>
        <v>524011</v>
      </c>
      <c r="DW23" s="272">
        <v>524011</v>
      </c>
      <c r="DX23" s="272">
        <v>1291182</v>
      </c>
      <c r="DY23" s="272">
        <v>0</v>
      </c>
      <c r="DZ23" s="272">
        <v>1319235</v>
      </c>
      <c r="EA23" s="272">
        <v>10257</v>
      </c>
      <c r="EB23" s="272">
        <v>1245016</v>
      </c>
      <c r="EC23" s="272">
        <v>0</v>
      </c>
      <c r="ED23" s="272">
        <v>56717113</v>
      </c>
      <c r="EE23" s="89"/>
      <c r="EF23" s="272">
        <v>220856</v>
      </c>
      <c r="EG23" s="272">
        <v>150860</v>
      </c>
      <c r="EH23" s="272">
        <v>69996</v>
      </c>
      <c r="EI23" s="272">
        <v>24869</v>
      </c>
      <c r="EJ23" s="272">
        <v>559939</v>
      </c>
      <c r="EK23" s="89"/>
      <c r="EL23" s="272"/>
      <c r="EM23" s="272">
        <v>184174</v>
      </c>
      <c r="EN23" s="272">
        <v>650084</v>
      </c>
      <c r="EO23" s="272">
        <v>619923</v>
      </c>
      <c r="EP23" s="455">
        <f t="shared" si="12"/>
        <v>1229146</v>
      </c>
      <c r="EQ23" s="272">
        <v>32123354</v>
      </c>
      <c r="ER23" s="272">
        <v>-4287008</v>
      </c>
      <c r="ES23" s="272">
        <v>9872736</v>
      </c>
      <c r="ET23" s="272">
        <v>6369629</v>
      </c>
      <c r="EU23" s="272">
        <v>4475251</v>
      </c>
      <c r="EV23" s="272">
        <v>5195486</v>
      </c>
      <c r="EW23" s="455">
        <f t="shared" si="13"/>
        <v>1560535</v>
      </c>
      <c r="EX23" s="272">
        <v>1560535</v>
      </c>
      <c r="EY23" s="272">
        <v>91624</v>
      </c>
      <c r="EZ23" s="272">
        <v>1468561</v>
      </c>
      <c r="FA23" s="272">
        <v>0</v>
      </c>
      <c r="FB23" s="272">
        <v>0</v>
      </c>
      <c r="FC23" s="272">
        <v>5062954</v>
      </c>
      <c r="FD23" s="272">
        <v>4041837</v>
      </c>
      <c r="FE23" s="272">
        <v>1399871</v>
      </c>
      <c r="FF23" s="272">
        <v>4501367</v>
      </c>
      <c r="FG23" s="455">
        <f t="shared" si="14"/>
        <v>1479340</v>
      </c>
      <c r="FH23" s="272">
        <v>36189506</v>
      </c>
      <c r="FI23" s="459">
        <f t="shared" si="15"/>
        <v>0.2</v>
      </c>
      <c r="FJ23" s="272">
        <v>29363187</v>
      </c>
      <c r="FK23" s="272">
        <v>2060951</v>
      </c>
      <c r="FL23" s="272">
        <v>17621214</v>
      </c>
      <c r="FM23" s="272">
        <v>24100756</v>
      </c>
      <c r="FN23" s="460">
        <v>0.73199999999999998</v>
      </c>
      <c r="FO23" s="388">
        <v>98.1</v>
      </c>
      <c r="FP23" s="388">
        <v>29.7</v>
      </c>
      <c r="FQ23" s="388">
        <v>14.1</v>
      </c>
      <c r="FR23" s="388">
        <v>16.399999999999999</v>
      </c>
      <c r="FS23" s="388">
        <v>14.4</v>
      </c>
      <c r="FT23" s="388">
        <v>11.6</v>
      </c>
      <c r="FU23" s="388">
        <v>10.8</v>
      </c>
      <c r="FV23" s="384">
        <f t="shared" si="16"/>
        <v>6.4</v>
      </c>
      <c r="FW23" s="272">
        <v>49084123</v>
      </c>
      <c r="FX23" s="384">
        <f t="shared" si="17"/>
        <v>156.19999999999999</v>
      </c>
      <c r="FY23" s="272">
        <v>6108257</v>
      </c>
      <c r="FZ23" s="272">
        <v>3165850</v>
      </c>
      <c r="GA23" s="272">
        <v>68210</v>
      </c>
      <c r="GB23" s="272">
        <v>2874197</v>
      </c>
      <c r="GC23" s="272">
        <v>0</v>
      </c>
      <c r="GD23" s="272">
        <v>5119000</v>
      </c>
      <c r="GE23" s="384">
        <f t="shared" si="18"/>
        <v>16.3</v>
      </c>
      <c r="GF23" s="388">
        <v>97.9</v>
      </c>
      <c r="GG23" s="388">
        <v>24.4</v>
      </c>
      <c r="GH23" s="388">
        <v>93.8</v>
      </c>
      <c r="GI23" s="272">
        <v>1071</v>
      </c>
      <c r="GJ23" s="461" t="s">
        <v>646</v>
      </c>
      <c r="GK23" s="461">
        <v>11.74</v>
      </c>
      <c r="GL23" s="462">
        <v>20</v>
      </c>
      <c r="GM23" s="461" t="s">
        <v>646</v>
      </c>
      <c r="GN23" s="462">
        <v>16.739999999999998</v>
      </c>
      <c r="GO23" s="462">
        <v>40</v>
      </c>
      <c r="GP23" s="463">
        <v>6.4</v>
      </c>
      <c r="GQ23" s="463">
        <v>25</v>
      </c>
      <c r="GR23" s="463">
        <v>35</v>
      </c>
      <c r="GS23" s="464">
        <v>70.900000000000006</v>
      </c>
      <c r="GT23" s="463">
        <v>350</v>
      </c>
      <c r="GU23" s="394"/>
      <c r="GV23" s="394"/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</row>
    <row r="24" spans="2:230" x14ac:dyDescent="0.15">
      <c r="B24" s="89" t="s">
        <v>41</v>
      </c>
      <c r="C24" s="272">
        <v>22457827</v>
      </c>
      <c r="D24" s="455">
        <f t="shared" si="0"/>
        <v>10303505</v>
      </c>
      <c r="E24" s="272">
        <v>175500</v>
      </c>
      <c r="F24" s="456">
        <v>10128005</v>
      </c>
      <c r="G24" s="455">
        <f t="shared" si="1"/>
        <v>950969</v>
      </c>
      <c r="H24" s="272">
        <v>346643</v>
      </c>
      <c r="I24" s="272">
        <v>604326</v>
      </c>
      <c r="J24" s="272">
        <v>8488720</v>
      </c>
      <c r="K24" s="272">
        <v>4093054</v>
      </c>
      <c r="L24" s="272">
        <v>3648217</v>
      </c>
      <c r="M24" s="272">
        <v>727574</v>
      </c>
      <c r="N24" s="272">
        <v>573976</v>
      </c>
      <c r="O24" s="272">
        <v>2049007</v>
      </c>
      <c r="P24" s="272">
        <v>1245037</v>
      </c>
      <c r="Q24" s="272">
        <v>803970</v>
      </c>
      <c r="R24" s="272">
        <v>278190</v>
      </c>
      <c r="S24" s="272"/>
      <c r="T24" s="455">
        <f t="shared" si="2"/>
        <v>1481161</v>
      </c>
      <c r="U24" s="272">
        <v>150454</v>
      </c>
      <c r="V24" s="272">
        <v>56449</v>
      </c>
      <c r="W24" s="456">
        <v>26101</v>
      </c>
      <c r="X24" s="272">
        <v>1105182</v>
      </c>
      <c r="Y24" s="272">
        <v>1968</v>
      </c>
      <c r="Z24" s="272">
        <v>0</v>
      </c>
      <c r="AA24" s="272">
        <v>141007</v>
      </c>
      <c r="AB24" s="272">
        <v>289200</v>
      </c>
      <c r="AC24" s="272">
        <v>130983</v>
      </c>
      <c r="AD24" s="272">
        <v>0</v>
      </c>
      <c r="AE24" s="272">
        <v>130983</v>
      </c>
      <c r="AF24" s="272">
        <v>25678</v>
      </c>
      <c r="AG24" s="272">
        <v>229216</v>
      </c>
      <c r="AH24" s="455">
        <f t="shared" si="3"/>
        <v>926057</v>
      </c>
      <c r="AI24" s="272">
        <v>694183</v>
      </c>
      <c r="AJ24" s="272">
        <v>231874</v>
      </c>
      <c r="AK24" s="272">
        <v>5681887</v>
      </c>
      <c r="AL24" s="455">
        <f t="shared" si="4"/>
        <v>1401072</v>
      </c>
      <c r="AM24" s="272">
        <v>1060167</v>
      </c>
      <c r="AN24" s="272">
        <v>340905</v>
      </c>
      <c r="AO24" s="272"/>
      <c r="AP24" s="272">
        <v>0</v>
      </c>
      <c r="AQ24" s="272">
        <v>783107</v>
      </c>
      <c r="AR24" s="272">
        <v>0</v>
      </c>
      <c r="AS24" s="272">
        <v>0</v>
      </c>
      <c r="AT24" s="272">
        <v>1924662</v>
      </c>
      <c r="AU24" s="272">
        <v>963478</v>
      </c>
      <c r="AV24" s="272">
        <v>107106</v>
      </c>
      <c r="AW24" s="272">
        <v>52107</v>
      </c>
      <c r="AX24" s="272">
        <v>961184</v>
      </c>
      <c r="AY24" s="272">
        <v>20915</v>
      </c>
      <c r="AZ24" s="272">
        <v>535708</v>
      </c>
      <c r="BA24" s="272">
        <v>343169</v>
      </c>
      <c r="BB24" s="272">
        <v>13933</v>
      </c>
      <c r="BC24" s="272">
        <v>1971589</v>
      </c>
      <c r="BD24" s="272">
        <v>530000</v>
      </c>
      <c r="BE24" s="272">
        <v>300000</v>
      </c>
      <c r="BF24" s="272">
        <v>1069411</v>
      </c>
      <c r="BG24" s="272">
        <v>0</v>
      </c>
      <c r="BH24" s="272">
        <v>881102</v>
      </c>
      <c r="BI24" s="272">
        <v>508199</v>
      </c>
      <c r="BJ24" s="272">
        <v>1051185</v>
      </c>
      <c r="BK24" s="272">
        <v>28609</v>
      </c>
      <c r="BL24" s="272">
        <v>0</v>
      </c>
      <c r="BM24" s="272">
        <v>600000</v>
      </c>
      <c r="BN24" s="272">
        <v>1892300</v>
      </c>
      <c r="BO24" s="455">
        <f t="shared" si="5"/>
        <v>253600</v>
      </c>
      <c r="BP24" s="455">
        <f t="shared" si="6"/>
        <v>1638700</v>
      </c>
      <c r="BQ24" s="272"/>
      <c r="BR24" s="272">
        <v>0</v>
      </c>
      <c r="BS24" s="272">
        <v>1638700</v>
      </c>
      <c r="BT24" s="272">
        <v>0</v>
      </c>
      <c r="BU24" s="272">
        <v>39770678</v>
      </c>
      <c r="BV24" s="272"/>
      <c r="BW24" s="272">
        <v>10041929</v>
      </c>
      <c r="BX24" s="272">
        <v>7025401</v>
      </c>
      <c r="BY24" s="272">
        <v>1203635</v>
      </c>
      <c r="BZ24" s="272">
        <v>240982</v>
      </c>
      <c r="CA24" s="272">
        <v>5081459</v>
      </c>
      <c r="CB24" s="272">
        <v>1157059</v>
      </c>
      <c r="CC24" s="272">
        <v>241833</v>
      </c>
      <c r="CD24" s="272">
        <v>2120966</v>
      </c>
      <c r="CE24" s="272">
        <v>1467920</v>
      </c>
      <c r="CF24" s="272">
        <v>6325</v>
      </c>
      <c r="CG24" s="272">
        <v>87356</v>
      </c>
      <c r="CH24" s="272">
        <v>3646601</v>
      </c>
      <c r="CI24" s="272">
        <v>3147559</v>
      </c>
      <c r="CJ24" s="455">
        <f t="shared" si="7"/>
        <v>499042</v>
      </c>
      <c r="CK24" s="272">
        <v>6208603</v>
      </c>
      <c r="CL24" s="272">
        <v>3765640</v>
      </c>
      <c r="CM24" s="272">
        <v>328070</v>
      </c>
      <c r="CN24" s="272">
        <v>1152426</v>
      </c>
      <c r="CO24" s="272">
        <v>405995</v>
      </c>
      <c r="CP24" s="272">
        <v>4693461</v>
      </c>
      <c r="CQ24" s="272">
        <v>35676</v>
      </c>
      <c r="CR24" s="272">
        <v>3368387</v>
      </c>
      <c r="CS24" s="272">
        <v>1172965</v>
      </c>
      <c r="CT24" s="455">
        <f t="shared" si="8"/>
        <v>816446</v>
      </c>
      <c r="CU24" s="272">
        <v>691619</v>
      </c>
      <c r="CV24" s="272">
        <v>124827</v>
      </c>
      <c r="CW24" s="455">
        <f t="shared" si="9"/>
        <v>313437</v>
      </c>
      <c r="CX24" s="272">
        <v>313437</v>
      </c>
      <c r="CY24" s="272">
        <v>0</v>
      </c>
      <c r="CZ24" s="455">
        <f t="shared" si="10"/>
        <v>386671</v>
      </c>
      <c r="DA24" s="272">
        <v>372157</v>
      </c>
      <c r="DB24" s="272">
        <v>14514</v>
      </c>
      <c r="DC24" s="272">
        <v>2902852</v>
      </c>
      <c r="DD24" s="272">
        <v>1471561</v>
      </c>
      <c r="DE24" s="272">
        <v>1431291</v>
      </c>
      <c r="DF24" s="26">
        <v>0</v>
      </c>
      <c r="DG24" s="27">
        <v>0</v>
      </c>
      <c r="DH24" s="272">
        <v>15910</v>
      </c>
      <c r="DI24" s="272">
        <v>1225845</v>
      </c>
      <c r="DJ24" s="272">
        <v>39659</v>
      </c>
      <c r="DK24" s="272">
        <v>9394</v>
      </c>
      <c r="DL24" s="272">
        <v>1176792</v>
      </c>
      <c r="DM24" s="272">
        <v>349827</v>
      </c>
      <c r="DN24" s="272">
        <v>349827</v>
      </c>
      <c r="DO24" s="272">
        <v>0</v>
      </c>
      <c r="DP24" s="272">
        <v>349827</v>
      </c>
      <c r="DQ24" s="272">
        <v>550000</v>
      </c>
      <c r="DR24" s="272">
        <v>0</v>
      </c>
      <c r="DS24" s="272">
        <v>0</v>
      </c>
      <c r="DT24" s="272">
        <v>3296761</v>
      </c>
      <c r="DU24" s="272">
        <v>0</v>
      </c>
      <c r="DV24" s="455">
        <f t="shared" si="11"/>
        <v>96985</v>
      </c>
      <c r="DW24" s="272">
        <v>96985</v>
      </c>
      <c r="DX24" s="272">
        <v>875994</v>
      </c>
      <c r="DY24" s="272">
        <v>0</v>
      </c>
      <c r="DZ24" s="272">
        <v>1195045</v>
      </c>
      <c r="EA24" s="272">
        <v>5000</v>
      </c>
      <c r="EB24" s="272">
        <v>942423</v>
      </c>
      <c r="EC24" s="272">
        <v>0</v>
      </c>
      <c r="ED24" s="272">
        <v>38419243</v>
      </c>
      <c r="EE24" s="89"/>
      <c r="EF24" s="272">
        <v>1351435</v>
      </c>
      <c r="EG24" s="272">
        <v>699293</v>
      </c>
      <c r="EH24" s="272">
        <v>652142</v>
      </c>
      <c r="EI24" s="272">
        <v>-366057</v>
      </c>
      <c r="EJ24" s="272">
        <v>-856398</v>
      </c>
      <c r="EK24" s="89"/>
      <c r="EL24" s="272"/>
      <c r="EM24" s="272">
        <v>126886</v>
      </c>
      <c r="EN24" s="272">
        <v>1365110</v>
      </c>
      <c r="EO24" s="272">
        <v>440572</v>
      </c>
      <c r="EP24" s="455">
        <f t="shared" si="12"/>
        <v>1717646</v>
      </c>
      <c r="EQ24" s="272">
        <v>24663039</v>
      </c>
      <c r="ER24" s="272">
        <v>-5136350</v>
      </c>
      <c r="ES24" s="272">
        <v>9663068</v>
      </c>
      <c r="ET24" s="272">
        <v>6677775</v>
      </c>
      <c r="EU24" s="272">
        <v>1718327</v>
      </c>
      <c r="EV24" s="272">
        <v>3645818</v>
      </c>
      <c r="EW24" s="455">
        <f t="shared" si="13"/>
        <v>1137988</v>
      </c>
      <c r="EX24" s="272">
        <v>1122847</v>
      </c>
      <c r="EY24" s="272">
        <v>101508</v>
      </c>
      <c r="EZ24" s="272">
        <v>1021339</v>
      </c>
      <c r="FA24" s="272">
        <v>15141</v>
      </c>
      <c r="FB24" s="272">
        <v>0</v>
      </c>
      <c r="FC24" s="272">
        <v>4767396</v>
      </c>
      <c r="FD24" s="272">
        <v>2354843</v>
      </c>
      <c r="FE24" s="272">
        <v>35676</v>
      </c>
      <c r="FF24" s="272">
        <v>2759219</v>
      </c>
      <c r="FG24" s="455">
        <f t="shared" si="14"/>
        <v>2401295</v>
      </c>
      <c r="FH24" s="272">
        <v>28447954</v>
      </c>
      <c r="FI24" s="459">
        <f t="shared" si="15"/>
        <v>2.7</v>
      </c>
      <c r="FJ24" s="272">
        <v>22483553</v>
      </c>
      <c r="FK24" s="272">
        <v>1638736</v>
      </c>
      <c r="FL24" s="272">
        <v>17038004</v>
      </c>
      <c r="FM24" s="272">
        <v>16243165</v>
      </c>
      <c r="FN24" s="460">
        <v>1.0509999999999999</v>
      </c>
      <c r="FO24" s="388">
        <v>96.5</v>
      </c>
      <c r="FP24" s="388">
        <v>38.6</v>
      </c>
      <c r="FQ24" s="388">
        <v>7</v>
      </c>
      <c r="FR24" s="388">
        <v>15</v>
      </c>
      <c r="FS24" s="388">
        <v>18.100000000000001</v>
      </c>
      <c r="FT24" s="388">
        <v>7.7</v>
      </c>
      <c r="FU24" s="388">
        <v>8.6</v>
      </c>
      <c r="FV24" s="384">
        <f t="shared" si="16"/>
        <v>6</v>
      </c>
      <c r="FW24" s="272">
        <v>28115141</v>
      </c>
      <c r="FX24" s="384">
        <f t="shared" si="17"/>
        <v>116.6</v>
      </c>
      <c r="FY24" s="272">
        <v>14522975</v>
      </c>
      <c r="FZ24" s="272">
        <v>5939068</v>
      </c>
      <c r="GA24" s="272">
        <v>1530701</v>
      </c>
      <c r="GB24" s="272">
        <v>7053206</v>
      </c>
      <c r="GC24" s="272">
        <v>0</v>
      </c>
      <c r="GD24" s="272">
        <v>2549000</v>
      </c>
      <c r="GE24" s="384">
        <f t="shared" si="18"/>
        <v>10.6</v>
      </c>
      <c r="GF24" s="388">
        <v>97.5</v>
      </c>
      <c r="GG24" s="388">
        <v>23.5</v>
      </c>
      <c r="GH24" s="388">
        <v>92.3</v>
      </c>
      <c r="GI24" s="272">
        <v>948</v>
      </c>
      <c r="GJ24" s="461" t="s">
        <v>646</v>
      </c>
      <c r="GK24" s="461">
        <v>12.14</v>
      </c>
      <c r="GL24" s="462">
        <v>20</v>
      </c>
      <c r="GM24" s="461" t="s">
        <v>646</v>
      </c>
      <c r="GN24" s="462">
        <v>17.14</v>
      </c>
      <c r="GO24" s="462">
        <v>40</v>
      </c>
      <c r="GP24" s="463">
        <v>6</v>
      </c>
      <c r="GQ24" s="463">
        <v>25</v>
      </c>
      <c r="GR24" s="463">
        <v>35</v>
      </c>
      <c r="GS24" s="464" t="s">
        <v>646</v>
      </c>
      <c r="GT24" s="463">
        <v>350</v>
      </c>
      <c r="GU24" s="394"/>
      <c r="GV24" s="394"/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</row>
    <row r="25" spans="2:230" x14ac:dyDescent="0.15">
      <c r="B25" s="89" t="s">
        <v>43</v>
      </c>
      <c r="C25" s="272">
        <v>9319617</v>
      </c>
      <c r="D25" s="455">
        <f t="shared" si="0"/>
        <v>3792163</v>
      </c>
      <c r="E25" s="272">
        <v>164994</v>
      </c>
      <c r="F25" s="456">
        <v>3627169</v>
      </c>
      <c r="G25" s="455">
        <f t="shared" si="1"/>
        <v>561779</v>
      </c>
      <c r="H25" s="272">
        <v>135375</v>
      </c>
      <c r="I25" s="272">
        <v>426404</v>
      </c>
      <c r="J25" s="272">
        <v>3793550</v>
      </c>
      <c r="K25" s="272">
        <v>1612413</v>
      </c>
      <c r="L25" s="272">
        <v>1416275</v>
      </c>
      <c r="M25" s="272">
        <v>739277</v>
      </c>
      <c r="N25" s="272">
        <v>332391</v>
      </c>
      <c r="O25" s="272">
        <v>766803</v>
      </c>
      <c r="P25" s="272">
        <v>459468</v>
      </c>
      <c r="Q25" s="272">
        <v>307335</v>
      </c>
      <c r="R25" s="272">
        <v>151922</v>
      </c>
      <c r="S25" s="272"/>
      <c r="T25" s="455">
        <f t="shared" si="2"/>
        <v>846379</v>
      </c>
      <c r="U25" s="272">
        <v>54348</v>
      </c>
      <c r="V25" s="272">
        <v>20388</v>
      </c>
      <c r="W25" s="456">
        <v>9457</v>
      </c>
      <c r="X25" s="272">
        <v>685189</v>
      </c>
      <c r="Y25" s="272">
        <v>0</v>
      </c>
      <c r="Z25" s="272">
        <v>0</v>
      </c>
      <c r="AA25" s="272">
        <v>76997</v>
      </c>
      <c r="AB25" s="272">
        <v>153029</v>
      </c>
      <c r="AC25" s="272">
        <v>3548614</v>
      </c>
      <c r="AD25" s="272">
        <v>3296157</v>
      </c>
      <c r="AE25" s="272">
        <v>252457</v>
      </c>
      <c r="AF25" s="272">
        <v>13157</v>
      </c>
      <c r="AG25" s="272">
        <v>288298</v>
      </c>
      <c r="AH25" s="455">
        <f t="shared" si="3"/>
        <v>415285</v>
      </c>
      <c r="AI25" s="272">
        <v>376379</v>
      </c>
      <c r="AJ25" s="272">
        <v>38906</v>
      </c>
      <c r="AK25" s="272">
        <v>3046337</v>
      </c>
      <c r="AL25" s="455">
        <f t="shared" si="4"/>
        <v>1748204</v>
      </c>
      <c r="AM25" s="272">
        <v>1428677</v>
      </c>
      <c r="AN25" s="272">
        <v>319527</v>
      </c>
      <c r="AO25" s="272"/>
      <c r="AP25" s="272">
        <v>0</v>
      </c>
      <c r="AQ25" s="272">
        <v>342967</v>
      </c>
      <c r="AR25" s="272">
        <v>0</v>
      </c>
      <c r="AS25" s="272">
        <v>0</v>
      </c>
      <c r="AT25" s="272">
        <v>1259703</v>
      </c>
      <c r="AU25" s="272">
        <v>670460</v>
      </c>
      <c r="AV25" s="272">
        <v>101099</v>
      </c>
      <c r="AW25" s="272">
        <v>29766</v>
      </c>
      <c r="AX25" s="272">
        <v>589243</v>
      </c>
      <c r="AY25" s="272">
        <v>4433</v>
      </c>
      <c r="AZ25" s="272">
        <v>34255</v>
      </c>
      <c r="BA25" s="272">
        <v>11784</v>
      </c>
      <c r="BB25" s="272">
        <v>241438</v>
      </c>
      <c r="BC25" s="272">
        <v>86821</v>
      </c>
      <c r="BD25" s="272">
        <v>82000</v>
      </c>
      <c r="BE25" s="272">
        <v>0</v>
      </c>
      <c r="BF25" s="272">
        <v>4821</v>
      </c>
      <c r="BG25" s="272">
        <v>0</v>
      </c>
      <c r="BH25" s="272">
        <v>368177</v>
      </c>
      <c r="BI25" s="272">
        <v>2816</v>
      </c>
      <c r="BJ25" s="272">
        <v>787148</v>
      </c>
      <c r="BK25" s="272">
        <v>571580</v>
      </c>
      <c r="BL25" s="272">
        <v>0</v>
      </c>
      <c r="BM25" s="272">
        <v>0</v>
      </c>
      <c r="BN25" s="272">
        <v>2088425</v>
      </c>
      <c r="BO25" s="455">
        <f t="shared" si="5"/>
        <v>243720</v>
      </c>
      <c r="BP25" s="455">
        <f t="shared" si="6"/>
        <v>1335705</v>
      </c>
      <c r="BQ25" s="272"/>
      <c r="BR25" s="272">
        <v>323600</v>
      </c>
      <c r="BS25" s="272">
        <v>1012105</v>
      </c>
      <c r="BT25" s="272">
        <v>509000</v>
      </c>
      <c r="BU25" s="272">
        <v>22648605</v>
      </c>
      <c r="BV25" s="272"/>
      <c r="BW25" s="272">
        <v>4382363</v>
      </c>
      <c r="BX25" s="272">
        <v>2651465</v>
      </c>
      <c r="BY25" s="272">
        <v>724471</v>
      </c>
      <c r="BZ25" s="272">
        <v>253654</v>
      </c>
      <c r="CA25" s="272">
        <v>4657729</v>
      </c>
      <c r="CB25" s="272">
        <v>697689</v>
      </c>
      <c r="CC25" s="272">
        <v>122865</v>
      </c>
      <c r="CD25" s="272">
        <v>1862496</v>
      </c>
      <c r="CE25" s="272">
        <v>1878783</v>
      </c>
      <c r="CF25" s="272">
        <v>0</v>
      </c>
      <c r="CG25" s="272">
        <v>95866</v>
      </c>
      <c r="CH25" s="272">
        <v>1900476</v>
      </c>
      <c r="CI25" s="272">
        <v>1566042</v>
      </c>
      <c r="CJ25" s="455">
        <f t="shared" si="7"/>
        <v>334434</v>
      </c>
      <c r="CK25" s="272">
        <v>2416877</v>
      </c>
      <c r="CL25" s="272">
        <v>1369943</v>
      </c>
      <c r="CM25" s="272">
        <v>195913</v>
      </c>
      <c r="CN25" s="272">
        <v>314039</v>
      </c>
      <c r="CO25" s="272">
        <v>74263</v>
      </c>
      <c r="CP25" s="272">
        <v>3731463</v>
      </c>
      <c r="CQ25" s="272">
        <v>1873020</v>
      </c>
      <c r="CR25" s="272">
        <v>378357</v>
      </c>
      <c r="CS25" s="272">
        <v>204810</v>
      </c>
      <c r="CT25" s="455">
        <f t="shared" si="8"/>
        <v>742039</v>
      </c>
      <c r="CU25" s="272">
        <v>112249</v>
      </c>
      <c r="CV25" s="272">
        <v>629790</v>
      </c>
      <c r="CW25" s="455">
        <f t="shared" si="9"/>
        <v>738833</v>
      </c>
      <c r="CX25" s="272">
        <v>109765</v>
      </c>
      <c r="CY25" s="272">
        <v>629068</v>
      </c>
      <c r="CZ25" s="455">
        <f t="shared" si="10"/>
        <v>0</v>
      </c>
      <c r="DA25" s="272">
        <v>0</v>
      </c>
      <c r="DB25" s="272">
        <v>0</v>
      </c>
      <c r="DC25" s="272">
        <v>1386207</v>
      </c>
      <c r="DD25" s="272">
        <v>411507</v>
      </c>
      <c r="DE25" s="272">
        <v>974700</v>
      </c>
      <c r="DF25" s="26">
        <v>0</v>
      </c>
      <c r="DG25" s="27">
        <v>0</v>
      </c>
      <c r="DH25" s="272">
        <v>0</v>
      </c>
      <c r="DI25" s="272">
        <v>22319</v>
      </c>
      <c r="DJ25" s="272">
        <v>1184</v>
      </c>
      <c r="DK25" s="272">
        <v>1</v>
      </c>
      <c r="DL25" s="272">
        <v>21134</v>
      </c>
      <c r="DM25" s="272">
        <v>326561</v>
      </c>
      <c r="DN25" s="272">
        <v>323561</v>
      </c>
      <c r="DO25" s="272">
        <v>68909</v>
      </c>
      <c r="DP25" s="272">
        <v>254652</v>
      </c>
      <c r="DQ25" s="272">
        <v>622211</v>
      </c>
      <c r="DR25" s="272">
        <v>0</v>
      </c>
      <c r="DS25" s="272">
        <v>0</v>
      </c>
      <c r="DT25" s="272">
        <v>3056062</v>
      </c>
      <c r="DU25" s="272">
        <v>1031285</v>
      </c>
      <c r="DV25" s="455">
        <f t="shared" si="11"/>
        <v>0</v>
      </c>
      <c r="DW25" s="272">
        <v>0</v>
      </c>
      <c r="DX25" s="272">
        <v>617145</v>
      </c>
      <c r="DY25" s="272">
        <v>0</v>
      </c>
      <c r="DZ25" s="272">
        <v>737753</v>
      </c>
      <c r="EA25" s="272">
        <v>1353</v>
      </c>
      <c r="EB25" s="272">
        <v>666060</v>
      </c>
      <c r="EC25" s="272">
        <v>0</v>
      </c>
      <c r="ED25" s="272">
        <v>22576531</v>
      </c>
      <c r="EE25" s="89"/>
      <c r="EF25" s="272">
        <v>72074</v>
      </c>
      <c r="EG25" s="272">
        <v>60082</v>
      </c>
      <c r="EH25" s="272">
        <v>11992</v>
      </c>
      <c r="EI25" s="272">
        <v>6176</v>
      </c>
      <c r="EJ25" s="272">
        <v>-74585</v>
      </c>
      <c r="EK25" s="89"/>
      <c r="EL25" s="272"/>
      <c r="EM25" s="272">
        <v>73349</v>
      </c>
      <c r="EN25" s="272">
        <v>82000</v>
      </c>
      <c r="EO25" s="272">
        <v>21509</v>
      </c>
      <c r="EP25" s="455">
        <f t="shared" si="12"/>
        <v>465528</v>
      </c>
      <c r="EQ25" s="272">
        <v>14032718</v>
      </c>
      <c r="ER25" s="272">
        <v>-1891585</v>
      </c>
      <c r="ES25" s="272">
        <v>3541589</v>
      </c>
      <c r="ET25" s="272">
        <v>2395626</v>
      </c>
      <c r="EU25" s="272">
        <v>1595125</v>
      </c>
      <c r="EV25" s="272">
        <v>1900476</v>
      </c>
      <c r="EW25" s="455">
        <f t="shared" si="13"/>
        <v>503210</v>
      </c>
      <c r="EX25" s="272">
        <v>503210</v>
      </c>
      <c r="EY25" s="272">
        <v>6428</v>
      </c>
      <c r="EZ25" s="272">
        <v>496782</v>
      </c>
      <c r="FA25" s="272">
        <v>0</v>
      </c>
      <c r="FB25" s="272">
        <v>0</v>
      </c>
      <c r="FC25" s="272">
        <v>1929487</v>
      </c>
      <c r="FD25" s="272">
        <v>3249466</v>
      </c>
      <c r="FE25" s="272">
        <v>1873020</v>
      </c>
      <c r="FF25" s="272">
        <v>2724264</v>
      </c>
      <c r="FG25" s="455">
        <f t="shared" si="14"/>
        <v>408612</v>
      </c>
      <c r="FH25" s="272">
        <v>15852229</v>
      </c>
      <c r="FI25" s="459">
        <f t="shared" si="15"/>
        <v>0.1</v>
      </c>
      <c r="FJ25" s="272">
        <v>13182496</v>
      </c>
      <c r="FK25" s="272">
        <v>1012105</v>
      </c>
      <c r="FL25" s="272">
        <v>7644212</v>
      </c>
      <c r="FM25" s="272">
        <v>10950217</v>
      </c>
      <c r="FN25" s="460">
        <v>0.71399999999999997</v>
      </c>
      <c r="FO25" s="388">
        <v>93.6</v>
      </c>
      <c r="FP25" s="388">
        <v>23.9</v>
      </c>
      <c r="FQ25" s="388">
        <v>11</v>
      </c>
      <c r="FR25" s="388">
        <v>13.2</v>
      </c>
      <c r="FS25" s="388">
        <v>12.4</v>
      </c>
      <c r="FT25" s="388">
        <v>16.5</v>
      </c>
      <c r="FU25" s="388">
        <v>14.7</v>
      </c>
      <c r="FV25" s="384">
        <f t="shared" si="16"/>
        <v>8.4</v>
      </c>
      <c r="FW25" s="272">
        <v>20240095</v>
      </c>
      <c r="FX25" s="384">
        <f t="shared" si="17"/>
        <v>142.6</v>
      </c>
      <c r="FY25" s="272">
        <v>2855800</v>
      </c>
      <c r="FZ25" s="272">
        <v>213402</v>
      </c>
      <c r="GA25" s="272">
        <v>172</v>
      </c>
      <c r="GB25" s="272">
        <v>2642226</v>
      </c>
      <c r="GC25" s="272">
        <v>250000</v>
      </c>
      <c r="GD25" s="272">
        <v>314000</v>
      </c>
      <c r="GE25" s="384">
        <f t="shared" si="18"/>
        <v>2.2000000000000002</v>
      </c>
      <c r="GF25" s="388">
        <v>97.7</v>
      </c>
      <c r="GG25" s="388">
        <v>23.7</v>
      </c>
      <c r="GH25" s="388">
        <v>92.3</v>
      </c>
      <c r="GI25" s="272">
        <v>401</v>
      </c>
      <c r="GJ25" s="461" t="s">
        <v>646</v>
      </c>
      <c r="GK25" s="461">
        <v>12.84</v>
      </c>
      <c r="GL25" s="462">
        <v>20</v>
      </c>
      <c r="GM25" s="461">
        <v>4.4000000000000004</v>
      </c>
      <c r="GN25" s="462">
        <v>17.84</v>
      </c>
      <c r="GO25" s="462">
        <v>40</v>
      </c>
      <c r="GP25" s="463">
        <v>8.4</v>
      </c>
      <c r="GQ25" s="463">
        <v>25</v>
      </c>
      <c r="GR25" s="463">
        <v>35</v>
      </c>
      <c r="GS25" s="464">
        <v>63.8</v>
      </c>
      <c r="GT25" s="463">
        <v>350</v>
      </c>
      <c r="GU25" s="394"/>
      <c r="GV25" s="394"/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</row>
    <row r="26" spans="2:230" x14ac:dyDescent="0.15">
      <c r="B26" s="89" t="s">
        <v>45</v>
      </c>
      <c r="C26" s="272">
        <v>13247979</v>
      </c>
      <c r="D26" s="455">
        <f t="shared" si="0"/>
        <v>5758503</v>
      </c>
      <c r="E26" s="272">
        <v>150550</v>
      </c>
      <c r="F26" s="456">
        <v>5607953</v>
      </c>
      <c r="G26" s="455">
        <f t="shared" si="1"/>
        <v>606765</v>
      </c>
      <c r="H26" s="272">
        <v>190489</v>
      </c>
      <c r="I26" s="272">
        <v>416276</v>
      </c>
      <c r="J26" s="272">
        <v>5043874</v>
      </c>
      <c r="K26" s="272">
        <v>2358106</v>
      </c>
      <c r="L26" s="272">
        <v>2118136</v>
      </c>
      <c r="M26" s="272">
        <v>486277</v>
      </c>
      <c r="N26" s="272">
        <v>577092</v>
      </c>
      <c r="O26" s="272">
        <v>1102199</v>
      </c>
      <c r="P26" s="272">
        <v>661976</v>
      </c>
      <c r="Q26" s="272">
        <v>440223</v>
      </c>
      <c r="R26" s="272">
        <v>239985</v>
      </c>
      <c r="S26" s="272"/>
      <c r="T26" s="455">
        <f t="shared" si="2"/>
        <v>1224467</v>
      </c>
      <c r="U26" s="272">
        <v>84687</v>
      </c>
      <c r="V26" s="272">
        <v>31770</v>
      </c>
      <c r="W26" s="456">
        <v>14738</v>
      </c>
      <c r="X26" s="272">
        <v>971640</v>
      </c>
      <c r="Y26" s="272">
        <v>0</v>
      </c>
      <c r="Z26" s="272">
        <v>0</v>
      </c>
      <c r="AA26" s="272">
        <v>121632</v>
      </c>
      <c r="AB26" s="272">
        <v>242397</v>
      </c>
      <c r="AC26" s="272">
        <v>7014389</v>
      </c>
      <c r="AD26" s="272">
        <v>6737180</v>
      </c>
      <c r="AE26" s="272">
        <v>277209</v>
      </c>
      <c r="AF26" s="272">
        <v>22408</v>
      </c>
      <c r="AG26" s="272">
        <v>318386</v>
      </c>
      <c r="AH26" s="455">
        <f t="shared" si="3"/>
        <v>581640</v>
      </c>
      <c r="AI26" s="272">
        <v>528378</v>
      </c>
      <c r="AJ26" s="272">
        <v>53262</v>
      </c>
      <c r="AK26" s="272">
        <v>7222945</v>
      </c>
      <c r="AL26" s="455">
        <f t="shared" si="4"/>
        <v>3106159</v>
      </c>
      <c r="AM26" s="272">
        <v>2789502</v>
      </c>
      <c r="AN26" s="272">
        <v>316657</v>
      </c>
      <c r="AO26" s="272"/>
      <c r="AP26" s="272">
        <v>0</v>
      </c>
      <c r="AQ26" s="272">
        <v>179950</v>
      </c>
      <c r="AR26" s="272">
        <v>0</v>
      </c>
      <c r="AS26" s="272">
        <v>0</v>
      </c>
      <c r="AT26" s="272">
        <v>2078153</v>
      </c>
      <c r="AU26" s="272">
        <v>1029566</v>
      </c>
      <c r="AV26" s="272">
        <v>158328</v>
      </c>
      <c r="AW26" s="272">
        <v>1897</v>
      </c>
      <c r="AX26" s="272">
        <v>1048587</v>
      </c>
      <c r="AY26" s="272">
        <v>9093</v>
      </c>
      <c r="AZ26" s="272">
        <v>143035</v>
      </c>
      <c r="BA26" s="272">
        <v>114649</v>
      </c>
      <c r="BB26" s="272">
        <v>17722</v>
      </c>
      <c r="BC26" s="272">
        <v>99780</v>
      </c>
      <c r="BD26" s="272">
        <v>0</v>
      </c>
      <c r="BE26" s="272">
        <v>0</v>
      </c>
      <c r="BF26" s="272">
        <v>67424</v>
      </c>
      <c r="BG26" s="272">
        <v>0</v>
      </c>
      <c r="BH26" s="272">
        <v>130555</v>
      </c>
      <c r="BI26" s="272">
        <v>62981</v>
      </c>
      <c r="BJ26" s="272">
        <v>570289</v>
      </c>
      <c r="BK26" s="272">
        <v>274956</v>
      </c>
      <c r="BL26" s="272">
        <v>0</v>
      </c>
      <c r="BM26" s="272">
        <v>0</v>
      </c>
      <c r="BN26" s="272">
        <v>3253900</v>
      </c>
      <c r="BO26" s="455">
        <f t="shared" si="5"/>
        <v>1156700</v>
      </c>
      <c r="BP26" s="455">
        <f t="shared" si="6"/>
        <v>1486300</v>
      </c>
      <c r="BQ26" s="272"/>
      <c r="BR26" s="272">
        <v>0</v>
      </c>
      <c r="BS26" s="272">
        <v>1486300</v>
      </c>
      <c r="BT26" s="272">
        <v>610900</v>
      </c>
      <c r="BU26" s="272">
        <v>36408030</v>
      </c>
      <c r="BV26" s="272"/>
      <c r="BW26" s="272">
        <v>5617699</v>
      </c>
      <c r="BX26" s="272">
        <v>3604436</v>
      </c>
      <c r="BY26" s="272">
        <v>959776</v>
      </c>
      <c r="BZ26" s="272">
        <v>80909</v>
      </c>
      <c r="CA26" s="272">
        <v>8815697</v>
      </c>
      <c r="CB26" s="272">
        <v>1790496</v>
      </c>
      <c r="CC26" s="272">
        <v>230513</v>
      </c>
      <c r="CD26" s="272">
        <v>2905865</v>
      </c>
      <c r="CE26" s="272">
        <v>3777950</v>
      </c>
      <c r="CF26" s="272">
        <v>5260</v>
      </c>
      <c r="CG26" s="272">
        <v>105493</v>
      </c>
      <c r="CH26" s="272">
        <v>4525281</v>
      </c>
      <c r="CI26" s="272">
        <v>3682736</v>
      </c>
      <c r="CJ26" s="455">
        <f t="shared" si="7"/>
        <v>842545</v>
      </c>
      <c r="CK26" s="272">
        <v>4270374</v>
      </c>
      <c r="CL26" s="272">
        <v>2358505</v>
      </c>
      <c r="CM26" s="272">
        <v>579103</v>
      </c>
      <c r="CN26" s="272">
        <v>553419</v>
      </c>
      <c r="CO26" s="272">
        <v>95082</v>
      </c>
      <c r="CP26" s="272">
        <v>5483093</v>
      </c>
      <c r="CQ26" s="272">
        <v>2261228</v>
      </c>
      <c r="CR26" s="272">
        <v>2803145</v>
      </c>
      <c r="CS26" s="272">
        <v>836257</v>
      </c>
      <c r="CT26" s="455">
        <f t="shared" si="8"/>
        <v>3145</v>
      </c>
      <c r="CU26" s="272">
        <v>2379</v>
      </c>
      <c r="CV26" s="272">
        <v>766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1914357</v>
      </c>
      <c r="DD26" s="272">
        <v>306294</v>
      </c>
      <c r="DE26" s="272">
        <v>1603794</v>
      </c>
      <c r="DF26" s="26">
        <v>395</v>
      </c>
      <c r="DG26" s="27">
        <v>3874</v>
      </c>
      <c r="DH26" s="272">
        <v>0</v>
      </c>
      <c r="DI26" s="272">
        <v>331901</v>
      </c>
      <c r="DJ26" s="272">
        <v>318168</v>
      </c>
      <c r="DK26" s="272">
        <v>17</v>
      </c>
      <c r="DL26" s="272">
        <v>13697</v>
      </c>
      <c r="DM26" s="272">
        <v>0</v>
      </c>
      <c r="DN26" s="272">
        <v>0</v>
      </c>
      <c r="DO26" s="272">
        <v>0</v>
      </c>
      <c r="DP26" s="272">
        <v>0</v>
      </c>
      <c r="DQ26" s="272">
        <v>40577</v>
      </c>
      <c r="DR26" s="272">
        <v>0</v>
      </c>
      <c r="DS26" s="272">
        <v>0</v>
      </c>
      <c r="DT26" s="272">
        <v>4868319</v>
      </c>
      <c r="DU26" s="272">
        <v>1541975</v>
      </c>
      <c r="DV26" s="455">
        <f t="shared" si="11"/>
        <v>0</v>
      </c>
      <c r="DW26" s="272">
        <v>0</v>
      </c>
      <c r="DX26" s="272">
        <v>986534</v>
      </c>
      <c r="DY26" s="272">
        <v>0</v>
      </c>
      <c r="DZ26" s="272">
        <v>1177526</v>
      </c>
      <c r="EA26" s="272">
        <v>2295</v>
      </c>
      <c r="EB26" s="272">
        <v>1037015</v>
      </c>
      <c r="EC26" s="272">
        <v>0</v>
      </c>
      <c r="ED26" s="272">
        <v>35962380</v>
      </c>
      <c r="EE26" s="89"/>
      <c r="EF26" s="272">
        <v>445650</v>
      </c>
      <c r="EG26" s="272">
        <v>54089</v>
      </c>
      <c r="EH26" s="272">
        <v>391561</v>
      </c>
      <c r="EI26" s="272">
        <v>328580</v>
      </c>
      <c r="EJ26" s="272">
        <v>646748</v>
      </c>
      <c r="EK26" s="89"/>
      <c r="EL26" s="272"/>
      <c r="EM26" s="272">
        <v>118046</v>
      </c>
      <c r="EN26" s="272">
        <v>32356</v>
      </c>
      <c r="EO26" s="272">
        <v>133058</v>
      </c>
      <c r="EP26" s="455">
        <f t="shared" si="12"/>
        <v>1170735</v>
      </c>
      <c r="EQ26" s="272">
        <v>21991625</v>
      </c>
      <c r="ER26" s="272">
        <v>-2800041</v>
      </c>
      <c r="ES26" s="272">
        <v>4588664</v>
      </c>
      <c r="ET26" s="272">
        <v>3226893</v>
      </c>
      <c r="EU26" s="272">
        <v>2991212</v>
      </c>
      <c r="EV26" s="272">
        <v>4451875</v>
      </c>
      <c r="EW26" s="455">
        <f t="shared" si="13"/>
        <v>508080</v>
      </c>
      <c r="EX26" s="272">
        <v>508080</v>
      </c>
      <c r="EY26" s="272">
        <v>35279</v>
      </c>
      <c r="EZ26" s="272">
        <v>472406</v>
      </c>
      <c r="FA26" s="272">
        <v>0</v>
      </c>
      <c r="FB26" s="272">
        <v>0</v>
      </c>
      <c r="FC26" s="272">
        <v>3540142</v>
      </c>
      <c r="FD26" s="272">
        <v>3485343</v>
      </c>
      <c r="FE26" s="272">
        <v>2261228</v>
      </c>
      <c r="FF26" s="272">
        <v>4335494</v>
      </c>
      <c r="FG26" s="455">
        <f t="shared" si="14"/>
        <v>445206</v>
      </c>
      <c r="FH26" s="272">
        <v>24346016</v>
      </c>
      <c r="FI26" s="459">
        <f t="shared" si="15"/>
        <v>1.8</v>
      </c>
      <c r="FJ26" s="272">
        <v>20688494</v>
      </c>
      <c r="FK26" s="272">
        <v>1486398</v>
      </c>
      <c r="FL26" s="272">
        <v>10772059</v>
      </c>
      <c r="FM26" s="272">
        <v>17524999</v>
      </c>
      <c r="FN26" s="460">
        <v>0.61499999999999999</v>
      </c>
      <c r="FO26" s="388">
        <v>97.2</v>
      </c>
      <c r="FP26" s="388">
        <v>20.5</v>
      </c>
      <c r="FQ26" s="388">
        <v>13.4</v>
      </c>
      <c r="FR26" s="388">
        <v>20</v>
      </c>
      <c r="FS26" s="388">
        <v>13.9</v>
      </c>
      <c r="FT26" s="388">
        <v>15.2</v>
      </c>
      <c r="FU26" s="388">
        <v>13.8</v>
      </c>
      <c r="FV26" s="384">
        <f t="shared" si="16"/>
        <v>9.1999999999999993</v>
      </c>
      <c r="FW26" s="272">
        <v>46333002</v>
      </c>
      <c r="FX26" s="384">
        <f t="shared" si="17"/>
        <v>208.9</v>
      </c>
      <c r="FY26" s="272">
        <v>1915830</v>
      </c>
      <c r="FZ26" s="272">
        <v>919323</v>
      </c>
      <c r="GA26" s="272">
        <v>72258</v>
      </c>
      <c r="GB26" s="272">
        <v>924249</v>
      </c>
      <c r="GC26" s="272">
        <v>450000</v>
      </c>
      <c r="GD26" s="272">
        <v>4599000</v>
      </c>
      <c r="GE26" s="384">
        <f t="shared" si="18"/>
        <v>20.7</v>
      </c>
      <c r="GF26" s="388">
        <v>97.1</v>
      </c>
      <c r="GG26" s="388">
        <v>22.7</v>
      </c>
      <c r="GH26" s="388">
        <v>91.2</v>
      </c>
      <c r="GI26" s="272">
        <v>557</v>
      </c>
      <c r="GJ26" s="461" t="s">
        <v>646</v>
      </c>
      <c r="GK26" s="461">
        <v>12.3</v>
      </c>
      <c r="GL26" s="462">
        <v>20</v>
      </c>
      <c r="GM26" s="461" t="s">
        <v>646</v>
      </c>
      <c r="GN26" s="462">
        <v>17.3</v>
      </c>
      <c r="GO26" s="462">
        <v>40</v>
      </c>
      <c r="GP26" s="463">
        <v>9.1999999999999993</v>
      </c>
      <c r="GQ26" s="463">
        <v>25</v>
      </c>
      <c r="GR26" s="463">
        <v>35</v>
      </c>
      <c r="GS26" s="464">
        <v>150.30000000000001</v>
      </c>
      <c r="GT26" s="463">
        <v>350</v>
      </c>
      <c r="GU26" s="394"/>
      <c r="GV26" s="394"/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</row>
    <row r="27" spans="2:230" x14ac:dyDescent="0.15">
      <c r="B27" s="89" t="s">
        <v>47</v>
      </c>
      <c r="C27" s="272">
        <v>18809098</v>
      </c>
      <c r="D27" s="455">
        <f t="shared" si="0"/>
        <v>5656437</v>
      </c>
      <c r="E27" s="272">
        <v>161070</v>
      </c>
      <c r="F27" s="456">
        <v>5495367</v>
      </c>
      <c r="G27" s="455">
        <f t="shared" si="1"/>
        <v>1311525</v>
      </c>
      <c r="H27" s="272">
        <v>424069</v>
      </c>
      <c r="I27" s="272">
        <v>887456</v>
      </c>
      <c r="J27" s="272">
        <v>8895599</v>
      </c>
      <c r="K27" s="272">
        <v>4279177</v>
      </c>
      <c r="L27" s="272">
        <v>3212069</v>
      </c>
      <c r="M27" s="272">
        <v>1270114</v>
      </c>
      <c r="N27" s="272">
        <v>1037982</v>
      </c>
      <c r="O27" s="272">
        <v>1797501</v>
      </c>
      <c r="P27" s="272">
        <v>1087656</v>
      </c>
      <c r="Q27" s="272">
        <v>709845</v>
      </c>
      <c r="R27" s="272">
        <v>225528</v>
      </c>
      <c r="S27" s="272"/>
      <c r="T27" s="455">
        <f t="shared" si="2"/>
        <v>1626181</v>
      </c>
      <c r="U27" s="272">
        <v>81229</v>
      </c>
      <c r="V27" s="272">
        <v>30478</v>
      </c>
      <c r="W27" s="456">
        <v>14072</v>
      </c>
      <c r="X27" s="272">
        <v>1386096</v>
      </c>
      <c r="Y27" s="272">
        <v>0</v>
      </c>
      <c r="Z27" s="272">
        <v>0</v>
      </c>
      <c r="AA27" s="272">
        <v>114306</v>
      </c>
      <c r="AB27" s="272">
        <v>254087</v>
      </c>
      <c r="AC27" s="272">
        <v>5084075</v>
      </c>
      <c r="AD27" s="272">
        <v>4906281</v>
      </c>
      <c r="AE27" s="272">
        <v>177794</v>
      </c>
      <c r="AF27" s="272">
        <v>22839</v>
      </c>
      <c r="AG27" s="272">
        <v>269547</v>
      </c>
      <c r="AH27" s="455">
        <f t="shared" si="3"/>
        <v>781702</v>
      </c>
      <c r="AI27" s="272">
        <v>575774</v>
      </c>
      <c r="AJ27" s="272">
        <v>205928</v>
      </c>
      <c r="AK27" s="272">
        <v>12992206</v>
      </c>
      <c r="AL27" s="455">
        <f t="shared" si="4"/>
        <v>7418356</v>
      </c>
      <c r="AM27" s="272">
        <v>6944160</v>
      </c>
      <c r="AN27" s="272">
        <v>474196</v>
      </c>
      <c r="AO27" s="272"/>
      <c r="AP27" s="272">
        <v>0</v>
      </c>
      <c r="AQ27" s="272">
        <v>1235825</v>
      </c>
      <c r="AR27" s="272">
        <v>0</v>
      </c>
      <c r="AS27" s="272">
        <v>0</v>
      </c>
      <c r="AT27" s="272">
        <v>2816422</v>
      </c>
      <c r="AU27" s="272">
        <v>1097057</v>
      </c>
      <c r="AV27" s="272">
        <v>0</v>
      </c>
      <c r="AW27" s="272">
        <v>137417</v>
      </c>
      <c r="AX27" s="272">
        <v>1719365</v>
      </c>
      <c r="AY27" s="272">
        <v>1092</v>
      </c>
      <c r="AZ27" s="272">
        <v>1895936</v>
      </c>
      <c r="BA27" s="272">
        <v>1848631</v>
      </c>
      <c r="BB27" s="272">
        <v>31509</v>
      </c>
      <c r="BC27" s="272">
        <v>566508</v>
      </c>
      <c r="BD27" s="272">
        <v>530000</v>
      </c>
      <c r="BE27" s="272">
        <v>0</v>
      </c>
      <c r="BF27" s="272">
        <v>36508</v>
      </c>
      <c r="BG27" s="272">
        <v>0</v>
      </c>
      <c r="BH27" s="272">
        <v>146626</v>
      </c>
      <c r="BI27" s="272">
        <v>47424</v>
      </c>
      <c r="BJ27" s="272">
        <v>676429</v>
      </c>
      <c r="BK27" s="272">
        <v>9000</v>
      </c>
      <c r="BL27" s="272">
        <v>0</v>
      </c>
      <c r="BM27" s="272">
        <v>0</v>
      </c>
      <c r="BN27" s="272">
        <v>3322516</v>
      </c>
      <c r="BO27" s="455">
        <f t="shared" si="5"/>
        <v>759100</v>
      </c>
      <c r="BP27" s="455">
        <f t="shared" si="6"/>
        <v>1638416</v>
      </c>
      <c r="BQ27" s="272"/>
      <c r="BR27" s="272">
        <v>0</v>
      </c>
      <c r="BS27" s="272">
        <v>1638416</v>
      </c>
      <c r="BT27" s="272">
        <v>925000</v>
      </c>
      <c r="BU27" s="272">
        <v>49521209</v>
      </c>
      <c r="BV27" s="272"/>
      <c r="BW27" s="272">
        <v>8066601</v>
      </c>
      <c r="BX27" s="272">
        <v>5215326</v>
      </c>
      <c r="BY27" s="272">
        <v>1469290</v>
      </c>
      <c r="BZ27" s="272">
        <v>96154</v>
      </c>
      <c r="CA27" s="272">
        <v>15271005</v>
      </c>
      <c r="CB27" s="272">
        <v>1782455</v>
      </c>
      <c r="CC27" s="272">
        <v>239170</v>
      </c>
      <c r="CD27" s="272">
        <v>3657156</v>
      </c>
      <c r="CE27" s="272">
        <v>9372659</v>
      </c>
      <c r="CF27" s="272">
        <v>3783</v>
      </c>
      <c r="CG27" s="272">
        <v>215352</v>
      </c>
      <c r="CH27" s="272">
        <v>5196718</v>
      </c>
      <c r="CI27" s="272">
        <v>4450639</v>
      </c>
      <c r="CJ27" s="455">
        <f t="shared" si="7"/>
        <v>746079</v>
      </c>
      <c r="CK27" s="272">
        <v>4688677</v>
      </c>
      <c r="CL27" s="272">
        <v>2841894</v>
      </c>
      <c r="CM27" s="272">
        <v>157585</v>
      </c>
      <c r="CN27" s="272">
        <v>880034</v>
      </c>
      <c r="CO27" s="272">
        <v>154352</v>
      </c>
      <c r="CP27" s="272">
        <v>5363435</v>
      </c>
      <c r="CQ27" s="272">
        <v>1839502</v>
      </c>
      <c r="CR27" s="272">
        <v>643757</v>
      </c>
      <c r="CS27" s="272">
        <v>643757</v>
      </c>
      <c r="CT27" s="455">
        <f t="shared" si="8"/>
        <v>34688</v>
      </c>
      <c r="CU27" s="272">
        <v>34194</v>
      </c>
      <c r="CV27" s="272">
        <v>494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1938421</v>
      </c>
      <c r="DD27" s="272">
        <v>880105</v>
      </c>
      <c r="DE27" s="272">
        <v>1058316</v>
      </c>
      <c r="DF27" s="26">
        <v>0</v>
      </c>
      <c r="DG27" s="27">
        <v>0</v>
      </c>
      <c r="DH27" s="272">
        <v>0</v>
      </c>
      <c r="DI27" s="272">
        <v>3011762</v>
      </c>
      <c r="DJ27" s="272">
        <v>1926330</v>
      </c>
      <c r="DK27" s="272">
        <v>1</v>
      </c>
      <c r="DL27" s="272">
        <v>1085431</v>
      </c>
      <c r="DM27" s="272">
        <v>0</v>
      </c>
      <c r="DN27" s="272">
        <v>0</v>
      </c>
      <c r="DO27" s="272">
        <v>0</v>
      </c>
      <c r="DP27" s="272">
        <v>0</v>
      </c>
      <c r="DQ27" s="272">
        <v>9000</v>
      </c>
      <c r="DR27" s="272">
        <v>0</v>
      </c>
      <c r="DS27" s="272">
        <v>0</v>
      </c>
      <c r="DT27" s="272">
        <v>5728173</v>
      </c>
      <c r="DU27" s="272">
        <v>1621000</v>
      </c>
      <c r="DV27" s="455">
        <f t="shared" si="11"/>
        <v>0</v>
      </c>
      <c r="DW27" s="272">
        <v>0</v>
      </c>
      <c r="DX27" s="272">
        <v>851281</v>
      </c>
      <c r="DY27" s="272">
        <v>0</v>
      </c>
      <c r="DZ27" s="272">
        <v>2243121</v>
      </c>
      <c r="EA27" s="272">
        <v>2021</v>
      </c>
      <c r="EB27" s="272">
        <v>1010750</v>
      </c>
      <c r="EC27" s="272">
        <v>0</v>
      </c>
      <c r="ED27" s="272">
        <v>49428144</v>
      </c>
      <c r="EE27" s="89"/>
      <c r="EF27" s="272">
        <v>93065</v>
      </c>
      <c r="EG27" s="272">
        <v>24769</v>
      </c>
      <c r="EH27" s="272">
        <v>68296</v>
      </c>
      <c r="EI27" s="272">
        <v>20872</v>
      </c>
      <c r="EJ27" s="272">
        <v>1417202</v>
      </c>
      <c r="EK27" s="89"/>
      <c r="EL27" s="272"/>
      <c r="EM27" s="272">
        <v>128100</v>
      </c>
      <c r="EN27" s="272">
        <v>530000</v>
      </c>
      <c r="EO27" s="272">
        <v>90477</v>
      </c>
      <c r="EP27" s="455">
        <f t="shared" si="12"/>
        <v>1752351</v>
      </c>
      <c r="EQ27" s="272">
        <v>26021808</v>
      </c>
      <c r="ER27" s="272">
        <v>-3988405</v>
      </c>
      <c r="ES27" s="272">
        <v>6693306</v>
      </c>
      <c r="ET27" s="272">
        <v>4786227</v>
      </c>
      <c r="EU27" s="272">
        <v>4690647</v>
      </c>
      <c r="EV27" s="272">
        <v>5091213</v>
      </c>
      <c r="EW27" s="455">
        <f t="shared" si="13"/>
        <v>682969</v>
      </c>
      <c r="EX27" s="272">
        <v>682969</v>
      </c>
      <c r="EY27" s="272">
        <v>103221</v>
      </c>
      <c r="EZ27" s="272">
        <v>579748</v>
      </c>
      <c r="FA27" s="272">
        <v>0</v>
      </c>
      <c r="FB27" s="272">
        <v>0</v>
      </c>
      <c r="FC27" s="272">
        <v>3693524</v>
      </c>
      <c r="FD27" s="272">
        <v>2994067</v>
      </c>
      <c r="FE27" s="272">
        <v>1839502</v>
      </c>
      <c r="FF27" s="272">
        <v>5002272</v>
      </c>
      <c r="FG27" s="455">
        <f t="shared" si="14"/>
        <v>1074730</v>
      </c>
      <c r="FH27" s="272">
        <v>29922728</v>
      </c>
      <c r="FI27" s="459">
        <f t="shared" si="15"/>
        <v>0.3</v>
      </c>
      <c r="FJ27" s="272">
        <v>24261053</v>
      </c>
      <c r="FK27" s="272">
        <v>1638416</v>
      </c>
      <c r="FL27" s="272">
        <v>14877898</v>
      </c>
      <c r="FM27" s="272">
        <v>19801987</v>
      </c>
      <c r="FN27" s="460">
        <v>0.755</v>
      </c>
      <c r="FO27" s="388">
        <v>101.4</v>
      </c>
      <c r="FP27" s="388">
        <v>25.5</v>
      </c>
      <c r="FQ27" s="388">
        <v>17.899999999999999</v>
      </c>
      <c r="FR27" s="388">
        <v>19.600000000000001</v>
      </c>
      <c r="FS27" s="388">
        <v>13.2</v>
      </c>
      <c r="FT27" s="388">
        <v>9.5</v>
      </c>
      <c r="FU27" s="388">
        <v>15</v>
      </c>
      <c r="FV27" s="384">
        <f t="shared" si="16"/>
        <v>7.1</v>
      </c>
      <c r="FW27" s="272">
        <v>42026322</v>
      </c>
      <c r="FX27" s="384">
        <f t="shared" si="17"/>
        <v>162.30000000000001</v>
      </c>
      <c r="FY27" s="272">
        <v>6098584</v>
      </c>
      <c r="FZ27" s="272">
        <v>2859432</v>
      </c>
      <c r="GA27" s="272">
        <v>1213</v>
      </c>
      <c r="GB27" s="272">
        <v>3237939</v>
      </c>
      <c r="GC27" s="272">
        <v>0</v>
      </c>
      <c r="GD27" s="272">
        <v>3993000</v>
      </c>
      <c r="GE27" s="384">
        <f t="shared" si="18"/>
        <v>15.4</v>
      </c>
      <c r="GF27" s="388">
        <v>96.9</v>
      </c>
      <c r="GG27" s="388">
        <v>18.2</v>
      </c>
      <c r="GH27" s="388">
        <v>89</v>
      </c>
      <c r="GI27" s="272">
        <v>801</v>
      </c>
      <c r="GJ27" s="461" t="s">
        <v>646</v>
      </c>
      <c r="GK27" s="461">
        <v>12.03</v>
      </c>
      <c r="GL27" s="462">
        <v>20</v>
      </c>
      <c r="GM27" s="461">
        <v>13.79</v>
      </c>
      <c r="GN27" s="462">
        <v>17.03</v>
      </c>
      <c r="GO27" s="462">
        <v>40</v>
      </c>
      <c r="GP27" s="463">
        <v>7.1</v>
      </c>
      <c r="GQ27" s="463">
        <v>25</v>
      </c>
      <c r="GR27" s="463">
        <v>35</v>
      </c>
      <c r="GS27" s="464">
        <v>76.2</v>
      </c>
      <c r="GT27" s="463">
        <v>350</v>
      </c>
      <c r="GU27" s="394"/>
      <c r="GV27" s="394"/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</row>
    <row r="28" spans="2:230" x14ac:dyDescent="0.15">
      <c r="B28" s="89" t="s">
        <v>49</v>
      </c>
      <c r="C28" s="272">
        <v>18373668</v>
      </c>
      <c r="D28" s="455">
        <f t="shared" si="0"/>
        <v>4381709</v>
      </c>
      <c r="E28" s="272">
        <v>117296</v>
      </c>
      <c r="F28" s="456">
        <v>4264413</v>
      </c>
      <c r="G28" s="455">
        <f t="shared" si="1"/>
        <v>1497106</v>
      </c>
      <c r="H28" s="272">
        <v>331457</v>
      </c>
      <c r="I28" s="272">
        <v>1165649</v>
      </c>
      <c r="J28" s="272">
        <v>8769664</v>
      </c>
      <c r="K28" s="272">
        <v>4258919</v>
      </c>
      <c r="L28" s="272">
        <v>2439820</v>
      </c>
      <c r="M28" s="272">
        <v>1970554</v>
      </c>
      <c r="N28" s="272">
        <v>2029921</v>
      </c>
      <c r="O28" s="272">
        <v>1616013</v>
      </c>
      <c r="P28" s="272">
        <v>1076754</v>
      </c>
      <c r="Q28" s="272">
        <v>539259</v>
      </c>
      <c r="R28" s="272">
        <v>176501</v>
      </c>
      <c r="S28" s="272"/>
      <c r="T28" s="455">
        <f t="shared" si="2"/>
        <v>1161712</v>
      </c>
      <c r="U28" s="272">
        <v>63813</v>
      </c>
      <c r="V28" s="272">
        <v>23938</v>
      </c>
      <c r="W28" s="456">
        <v>11123</v>
      </c>
      <c r="X28" s="272">
        <v>970717</v>
      </c>
      <c r="Y28" s="272">
        <v>2664</v>
      </c>
      <c r="Z28" s="272">
        <v>0</v>
      </c>
      <c r="AA28" s="272">
        <v>89457</v>
      </c>
      <c r="AB28" s="272">
        <v>212610</v>
      </c>
      <c r="AC28" s="272">
        <v>226479</v>
      </c>
      <c r="AD28" s="272">
        <v>0</v>
      </c>
      <c r="AE28" s="272">
        <v>226479</v>
      </c>
      <c r="AF28" s="272">
        <v>18635</v>
      </c>
      <c r="AG28" s="272">
        <v>515638</v>
      </c>
      <c r="AH28" s="455">
        <f t="shared" si="3"/>
        <v>667590</v>
      </c>
      <c r="AI28" s="272">
        <v>541545</v>
      </c>
      <c r="AJ28" s="272">
        <v>126045</v>
      </c>
      <c r="AK28" s="272">
        <v>4736961</v>
      </c>
      <c r="AL28" s="455">
        <f t="shared" si="4"/>
        <v>1956383</v>
      </c>
      <c r="AM28" s="272">
        <v>1601753</v>
      </c>
      <c r="AN28" s="272">
        <v>354630</v>
      </c>
      <c r="AO28" s="272"/>
      <c r="AP28" s="272">
        <v>0</v>
      </c>
      <c r="AQ28" s="272">
        <v>243567</v>
      </c>
      <c r="AR28" s="272">
        <v>0</v>
      </c>
      <c r="AS28" s="272">
        <v>0</v>
      </c>
      <c r="AT28" s="272">
        <v>1701519</v>
      </c>
      <c r="AU28" s="272">
        <v>1000967</v>
      </c>
      <c r="AV28" s="272">
        <v>177316</v>
      </c>
      <c r="AW28" s="272">
        <v>181853</v>
      </c>
      <c r="AX28" s="272">
        <v>700552</v>
      </c>
      <c r="AY28" s="272">
        <v>11264</v>
      </c>
      <c r="AZ28" s="272">
        <v>73793</v>
      </c>
      <c r="BA28" s="272">
        <v>27571</v>
      </c>
      <c r="BB28" s="272">
        <v>11769</v>
      </c>
      <c r="BC28" s="272">
        <v>1165351</v>
      </c>
      <c r="BD28" s="272">
        <v>0</v>
      </c>
      <c r="BE28" s="272">
        <v>1090000</v>
      </c>
      <c r="BF28" s="272">
        <v>35948</v>
      </c>
      <c r="BG28" s="272">
        <v>0</v>
      </c>
      <c r="BH28" s="272">
        <v>1296013</v>
      </c>
      <c r="BI28" s="272">
        <v>366006</v>
      </c>
      <c r="BJ28" s="272">
        <v>708493</v>
      </c>
      <c r="BK28" s="272">
        <v>103977</v>
      </c>
      <c r="BL28" s="272">
        <v>0</v>
      </c>
      <c r="BM28" s="272">
        <v>0</v>
      </c>
      <c r="BN28" s="272">
        <v>2988600</v>
      </c>
      <c r="BO28" s="455">
        <f t="shared" si="5"/>
        <v>604600</v>
      </c>
      <c r="BP28" s="455">
        <f t="shared" si="6"/>
        <v>1884000</v>
      </c>
      <c r="BQ28" s="272"/>
      <c r="BR28" s="272">
        <v>778300</v>
      </c>
      <c r="BS28" s="272">
        <v>1105700</v>
      </c>
      <c r="BT28" s="272">
        <v>500000</v>
      </c>
      <c r="BU28" s="272">
        <v>34035332</v>
      </c>
      <c r="BV28" s="272"/>
      <c r="BW28" s="272">
        <v>6845995</v>
      </c>
      <c r="BX28" s="272">
        <v>4284521</v>
      </c>
      <c r="BY28" s="272">
        <v>1314270</v>
      </c>
      <c r="BZ28" s="272">
        <v>137194</v>
      </c>
      <c r="CA28" s="272">
        <v>6118945</v>
      </c>
      <c r="CB28" s="272">
        <v>1011303</v>
      </c>
      <c r="CC28" s="272">
        <v>193092</v>
      </c>
      <c r="CD28" s="272">
        <v>2580672</v>
      </c>
      <c r="CE28" s="272">
        <v>2193240</v>
      </c>
      <c r="CF28" s="272">
        <v>0</v>
      </c>
      <c r="CG28" s="272">
        <v>140638</v>
      </c>
      <c r="CH28" s="272">
        <v>3502853</v>
      </c>
      <c r="CI28" s="272">
        <v>2928924</v>
      </c>
      <c r="CJ28" s="455">
        <f t="shared" si="7"/>
        <v>573929</v>
      </c>
      <c r="CK28" s="272">
        <v>4466287</v>
      </c>
      <c r="CL28" s="272">
        <v>2497963</v>
      </c>
      <c r="CM28" s="272">
        <v>535001</v>
      </c>
      <c r="CN28" s="272">
        <v>835453</v>
      </c>
      <c r="CO28" s="272">
        <v>415003</v>
      </c>
      <c r="CP28" s="272">
        <v>3081631</v>
      </c>
      <c r="CQ28" s="272">
        <v>7671</v>
      </c>
      <c r="CR28" s="272">
        <v>2308211</v>
      </c>
      <c r="CS28" s="272">
        <v>649774</v>
      </c>
      <c r="CT28" s="455">
        <f t="shared" si="8"/>
        <v>25118</v>
      </c>
      <c r="CU28" s="272">
        <v>2727</v>
      </c>
      <c r="CV28" s="272">
        <v>22391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3028395</v>
      </c>
      <c r="DD28" s="272">
        <v>633042</v>
      </c>
      <c r="DE28" s="272">
        <v>2175349</v>
      </c>
      <c r="DF28" s="26">
        <v>217360</v>
      </c>
      <c r="DG28" s="27">
        <v>2644</v>
      </c>
      <c r="DH28" s="272">
        <v>0</v>
      </c>
      <c r="DI28" s="272">
        <v>1472444</v>
      </c>
      <c r="DJ28" s="272">
        <v>1457911</v>
      </c>
      <c r="DK28" s="272">
        <v>3096</v>
      </c>
      <c r="DL28" s="272">
        <v>11437</v>
      </c>
      <c r="DM28" s="272">
        <v>0</v>
      </c>
      <c r="DN28" s="272">
        <v>0</v>
      </c>
      <c r="DO28" s="272">
        <v>0</v>
      </c>
      <c r="DP28" s="272">
        <v>0</v>
      </c>
      <c r="DQ28" s="272">
        <v>114256</v>
      </c>
      <c r="DR28" s="272">
        <v>0</v>
      </c>
      <c r="DS28" s="272">
        <v>0</v>
      </c>
      <c r="DT28" s="272">
        <v>4150055</v>
      </c>
      <c r="DU28" s="272">
        <v>1978574</v>
      </c>
      <c r="DV28" s="455">
        <f t="shared" si="11"/>
        <v>0</v>
      </c>
      <c r="DW28" s="272">
        <v>0</v>
      </c>
      <c r="DX28" s="272">
        <v>511273</v>
      </c>
      <c r="DY28" s="272">
        <v>182968</v>
      </c>
      <c r="DZ28" s="272">
        <v>848267</v>
      </c>
      <c r="EA28" s="272">
        <v>5457</v>
      </c>
      <c r="EB28" s="272">
        <v>553152</v>
      </c>
      <c r="EC28" s="272">
        <v>0</v>
      </c>
      <c r="ED28" s="272">
        <v>33195864</v>
      </c>
      <c r="EE28" s="89"/>
      <c r="EF28" s="272">
        <v>839468</v>
      </c>
      <c r="EG28" s="272">
        <v>686480</v>
      </c>
      <c r="EH28" s="272">
        <v>152988</v>
      </c>
      <c r="EI28" s="272">
        <v>-213018</v>
      </c>
      <c r="EJ28" s="272">
        <v>1244893</v>
      </c>
      <c r="EK28" s="89"/>
      <c r="EL28" s="272"/>
      <c r="EM28" s="272">
        <v>82470</v>
      </c>
      <c r="EN28" s="272">
        <v>1129403</v>
      </c>
      <c r="EO28" s="272">
        <v>60502</v>
      </c>
      <c r="EP28" s="455">
        <f t="shared" si="12"/>
        <v>802041</v>
      </c>
      <c r="EQ28" s="272">
        <v>20169605</v>
      </c>
      <c r="ER28" s="272">
        <v>-3857311</v>
      </c>
      <c r="ES28" s="272">
        <v>5992867</v>
      </c>
      <c r="ET28" s="272">
        <v>3973676</v>
      </c>
      <c r="EU28" s="272">
        <v>2125547</v>
      </c>
      <c r="EV28" s="272">
        <v>3452368</v>
      </c>
      <c r="EW28" s="455">
        <f t="shared" si="13"/>
        <v>1050635</v>
      </c>
      <c r="EX28" s="272">
        <v>1050635</v>
      </c>
      <c r="EY28" s="272">
        <v>56360</v>
      </c>
      <c r="EZ28" s="272">
        <v>994275</v>
      </c>
      <c r="FA28" s="272">
        <v>0</v>
      </c>
      <c r="FB28" s="272">
        <v>0</v>
      </c>
      <c r="FC28" s="272">
        <v>3250099</v>
      </c>
      <c r="FD28" s="272">
        <v>1617952</v>
      </c>
      <c r="FE28" s="272">
        <v>7671</v>
      </c>
      <c r="FF28" s="272">
        <v>3825383</v>
      </c>
      <c r="FG28" s="455">
        <f t="shared" si="14"/>
        <v>1872597</v>
      </c>
      <c r="FH28" s="272">
        <v>23187448</v>
      </c>
      <c r="FI28" s="459">
        <f t="shared" si="15"/>
        <v>0.8</v>
      </c>
      <c r="FJ28" s="272">
        <v>18762279</v>
      </c>
      <c r="FK28" s="272">
        <v>1105815</v>
      </c>
      <c r="FL28" s="272">
        <v>14379368</v>
      </c>
      <c r="FM28" s="272">
        <v>12578754</v>
      </c>
      <c r="FN28" s="460">
        <v>1.2210000000000001</v>
      </c>
      <c r="FO28" s="388">
        <v>92.8</v>
      </c>
      <c r="FP28" s="388">
        <v>29.1</v>
      </c>
      <c r="FQ28" s="388">
        <v>10.5</v>
      </c>
      <c r="FR28" s="388">
        <v>17</v>
      </c>
      <c r="FS28" s="388">
        <v>15.6</v>
      </c>
      <c r="FT28" s="388">
        <v>3.7</v>
      </c>
      <c r="FU28" s="388">
        <v>14.8</v>
      </c>
      <c r="FV28" s="384">
        <f t="shared" si="16"/>
        <v>7</v>
      </c>
      <c r="FW28" s="272">
        <v>26721658</v>
      </c>
      <c r="FX28" s="384">
        <f t="shared" si="17"/>
        <v>134.5</v>
      </c>
      <c r="FY28" s="272">
        <v>5736184</v>
      </c>
      <c r="FZ28" s="272">
        <v>2898536</v>
      </c>
      <c r="GA28" s="272">
        <v>10233</v>
      </c>
      <c r="GB28" s="272">
        <v>2827415</v>
      </c>
      <c r="GC28" s="272">
        <v>0</v>
      </c>
      <c r="GD28" s="272">
        <v>2060000</v>
      </c>
      <c r="GE28" s="384">
        <f t="shared" si="18"/>
        <v>10.4</v>
      </c>
      <c r="GF28" s="388">
        <v>98.1</v>
      </c>
      <c r="GG28" s="388">
        <v>21.9</v>
      </c>
      <c r="GH28" s="388">
        <v>94</v>
      </c>
      <c r="GI28" s="272">
        <v>628</v>
      </c>
      <c r="GJ28" s="461" t="s">
        <v>646</v>
      </c>
      <c r="GK28" s="461">
        <v>12.51</v>
      </c>
      <c r="GL28" s="462">
        <v>20</v>
      </c>
      <c r="GM28" s="461" t="s">
        <v>646</v>
      </c>
      <c r="GN28" s="462">
        <v>17.510000000000002</v>
      </c>
      <c r="GO28" s="462">
        <v>40</v>
      </c>
      <c r="GP28" s="463">
        <v>7</v>
      </c>
      <c r="GQ28" s="463">
        <v>25</v>
      </c>
      <c r="GR28" s="463">
        <v>35</v>
      </c>
      <c r="GS28" s="464">
        <v>4.8</v>
      </c>
      <c r="GT28" s="463">
        <v>350</v>
      </c>
      <c r="GU28" s="394"/>
      <c r="GV28" s="394"/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</row>
    <row r="29" spans="2:230" x14ac:dyDescent="0.15">
      <c r="B29" s="89" t="s">
        <v>51</v>
      </c>
      <c r="C29" s="272">
        <v>10584875</v>
      </c>
      <c r="D29" s="455">
        <f t="shared" si="0"/>
        <v>3316803</v>
      </c>
      <c r="E29" s="272">
        <v>78882</v>
      </c>
      <c r="F29" s="456">
        <v>3237921</v>
      </c>
      <c r="G29" s="455">
        <f t="shared" si="1"/>
        <v>507929</v>
      </c>
      <c r="H29" s="272">
        <v>160233</v>
      </c>
      <c r="I29" s="272">
        <v>347696</v>
      </c>
      <c r="J29" s="272">
        <v>5466853</v>
      </c>
      <c r="K29" s="272">
        <v>2450620</v>
      </c>
      <c r="L29" s="272">
        <v>1402091</v>
      </c>
      <c r="M29" s="272">
        <v>1573455</v>
      </c>
      <c r="N29" s="272">
        <v>304979</v>
      </c>
      <c r="O29" s="272">
        <v>938620</v>
      </c>
      <c r="P29" s="272">
        <v>624083</v>
      </c>
      <c r="Q29" s="272">
        <v>314537</v>
      </c>
      <c r="R29" s="272">
        <v>170819</v>
      </c>
      <c r="S29" s="272"/>
      <c r="T29" s="455">
        <f t="shared" si="2"/>
        <v>678762</v>
      </c>
      <c r="U29" s="272">
        <v>46942</v>
      </c>
      <c r="V29" s="272">
        <v>17608</v>
      </c>
      <c r="W29" s="456">
        <v>8193</v>
      </c>
      <c r="X29" s="272">
        <v>547342</v>
      </c>
      <c r="Y29" s="272">
        <v>0</v>
      </c>
      <c r="Z29" s="272">
        <v>0</v>
      </c>
      <c r="AA29" s="272">
        <v>58677</v>
      </c>
      <c r="AB29" s="272">
        <v>146513</v>
      </c>
      <c r="AC29" s="272">
        <v>1100994</v>
      </c>
      <c r="AD29" s="272">
        <v>1031698</v>
      </c>
      <c r="AE29" s="272">
        <v>69296</v>
      </c>
      <c r="AF29" s="272">
        <v>8946</v>
      </c>
      <c r="AG29" s="272">
        <v>122046</v>
      </c>
      <c r="AH29" s="455">
        <f t="shared" si="3"/>
        <v>360948</v>
      </c>
      <c r="AI29" s="272">
        <v>309507</v>
      </c>
      <c r="AJ29" s="272">
        <v>51441</v>
      </c>
      <c r="AK29" s="272">
        <v>4388211</v>
      </c>
      <c r="AL29" s="455">
        <f t="shared" si="4"/>
        <v>1227331</v>
      </c>
      <c r="AM29" s="272">
        <v>1082625</v>
      </c>
      <c r="AN29" s="272">
        <v>144706</v>
      </c>
      <c r="AO29" s="272"/>
      <c r="AP29" s="272">
        <v>0</v>
      </c>
      <c r="AQ29" s="272">
        <v>931745</v>
      </c>
      <c r="AR29" s="272">
        <v>0</v>
      </c>
      <c r="AS29" s="272">
        <v>0</v>
      </c>
      <c r="AT29" s="272">
        <v>1470921</v>
      </c>
      <c r="AU29" s="272">
        <v>1164875</v>
      </c>
      <c r="AV29" s="272">
        <v>137864</v>
      </c>
      <c r="AW29" s="272">
        <v>12512</v>
      </c>
      <c r="AX29" s="272">
        <v>306046</v>
      </c>
      <c r="AY29" s="272">
        <v>13768</v>
      </c>
      <c r="AZ29" s="272">
        <v>237508</v>
      </c>
      <c r="BA29" s="272">
        <v>179457</v>
      </c>
      <c r="BB29" s="272">
        <v>6788</v>
      </c>
      <c r="BC29" s="272">
        <v>383429</v>
      </c>
      <c r="BD29" s="272">
        <v>135000</v>
      </c>
      <c r="BE29" s="272">
        <v>0</v>
      </c>
      <c r="BF29" s="272">
        <v>245560</v>
      </c>
      <c r="BG29" s="272">
        <v>0</v>
      </c>
      <c r="BH29" s="272">
        <v>47678</v>
      </c>
      <c r="BI29" s="272">
        <v>2465</v>
      </c>
      <c r="BJ29" s="272">
        <v>335429</v>
      </c>
      <c r="BK29" s="272">
        <v>103505</v>
      </c>
      <c r="BL29" s="272">
        <v>0</v>
      </c>
      <c r="BM29" s="272">
        <v>0</v>
      </c>
      <c r="BN29" s="272">
        <v>4042900</v>
      </c>
      <c r="BO29" s="455">
        <f t="shared" si="5"/>
        <v>2352500</v>
      </c>
      <c r="BP29" s="455">
        <f t="shared" si="6"/>
        <v>1219400</v>
      </c>
      <c r="BQ29" s="272"/>
      <c r="BR29" s="272">
        <v>385200</v>
      </c>
      <c r="BS29" s="272">
        <v>834200</v>
      </c>
      <c r="BT29" s="272">
        <v>471000</v>
      </c>
      <c r="BU29" s="272">
        <v>24086767</v>
      </c>
      <c r="BV29" s="272"/>
      <c r="BW29" s="272">
        <v>4226957</v>
      </c>
      <c r="BX29" s="272">
        <v>2585076</v>
      </c>
      <c r="BY29" s="272">
        <v>689401</v>
      </c>
      <c r="BZ29" s="272">
        <v>206952</v>
      </c>
      <c r="CA29" s="272">
        <v>3749478</v>
      </c>
      <c r="CB29" s="272">
        <v>636850</v>
      </c>
      <c r="CC29" s="272">
        <v>87432</v>
      </c>
      <c r="CD29" s="272">
        <v>1500400</v>
      </c>
      <c r="CE29" s="272">
        <v>1460215</v>
      </c>
      <c r="CF29" s="272">
        <v>2748</v>
      </c>
      <c r="CG29" s="272">
        <v>61833</v>
      </c>
      <c r="CH29" s="272">
        <v>2581195</v>
      </c>
      <c r="CI29" s="272">
        <v>2077204</v>
      </c>
      <c r="CJ29" s="455">
        <f t="shared" si="7"/>
        <v>503991</v>
      </c>
      <c r="CK29" s="272">
        <v>2790142</v>
      </c>
      <c r="CL29" s="272">
        <v>1951479</v>
      </c>
      <c r="CM29" s="272">
        <v>167979</v>
      </c>
      <c r="CN29" s="272">
        <v>399546</v>
      </c>
      <c r="CO29" s="272">
        <v>16602</v>
      </c>
      <c r="CP29" s="272">
        <v>2800986</v>
      </c>
      <c r="CQ29" s="272">
        <v>809509</v>
      </c>
      <c r="CR29" s="272">
        <v>268237</v>
      </c>
      <c r="CS29" s="272">
        <v>205612</v>
      </c>
      <c r="CT29" s="455">
        <f t="shared" si="8"/>
        <v>25871</v>
      </c>
      <c r="CU29" s="272">
        <v>191</v>
      </c>
      <c r="CV29" s="272">
        <v>25680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3356135</v>
      </c>
      <c r="DD29" s="272">
        <v>1110383</v>
      </c>
      <c r="DE29" s="272">
        <v>1741195</v>
      </c>
      <c r="DF29" s="26">
        <v>237030</v>
      </c>
      <c r="DG29" s="27">
        <v>267527</v>
      </c>
      <c r="DH29" s="272">
        <v>0</v>
      </c>
      <c r="DI29" s="272">
        <v>277211</v>
      </c>
      <c r="DJ29" s="272">
        <v>256209</v>
      </c>
      <c r="DK29" s="272">
        <v>0</v>
      </c>
      <c r="DL29" s="272">
        <v>21002</v>
      </c>
      <c r="DM29" s="272">
        <v>0</v>
      </c>
      <c r="DN29" s="272">
        <v>0</v>
      </c>
      <c r="DO29" s="272">
        <v>0</v>
      </c>
      <c r="DP29" s="272">
        <v>0</v>
      </c>
      <c r="DQ29" s="272">
        <v>1378390</v>
      </c>
      <c r="DR29" s="272">
        <v>0</v>
      </c>
      <c r="DS29" s="272">
        <v>0</v>
      </c>
      <c r="DT29" s="272">
        <v>2865657</v>
      </c>
      <c r="DU29" s="272">
        <v>1314602</v>
      </c>
      <c r="DV29" s="455">
        <f t="shared" si="11"/>
        <v>0</v>
      </c>
      <c r="DW29" s="272">
        <v>0</v>
      </c>
      <c r="DX29" s="272">
        <v>566242</v>
      </c>
      <c r="DY29" s="272">
        <v>0</v>
      </c>
      <c r="DZ29" s="272">
        <v>433964</v>
      </c>
      <c r="EA29" s="272">
        <v>1863</v>
      </c>
      <c r="EB29" s="272">
        <v>548986</v>
      </c>
      <c r="EC29" s="272">
        <v>0</v>
      </c>
      <c r="ED29" s="272">
        <v>24042753</v>
      </c>
      <c r="EE29" s="89"/>
      <c r="EF29" s="272">
        <v>44014</v>
      </c>
      <c r="EG29" s="272">
        <v>20177</v>
      </c>
      <c r="EH29" s="272">
        <v>23837</v>
      </c>
      <c r="EI29" s="272">
        <v>21372</v>
      </c>
      <c r="EJ29" s="272">
        <v>142581</v>
      </c>
      <c r="EK29" s="89"/>
      <c r="EL29" s="272"/>
      <c r="EM29" s="272">
        <v>59809</v>
      </c>
      <c r="EN29" s="272">
        <v>332961</v>
      </c>
      <c r="EO29" s="272">
        <v>237188</v>
      </c>
      <c r="EP29" s="455">
        <f t="shared" si="12"/>
        <v>1096412</v>
      </c>
      <c r="EQ29" s="272">
        <v>12690909</v>
      </c>
      <c r="ER29" s="272">
        <v>-2877015</v>
      </c>
      <c r="ES29" s="272">
        <v>3586389</v>
      </c>
      <c r="ET29" s="272">
        <v>2462412</v>
      </c>
      <c r="EU29" s="272">
        <v>1190987</v>
      </c>
      <c r="EV29" s="272">
        <v>2555014</v>
      </c>
      <c r="EW29" s="455">
        <f t="shared" si="13"/>
        <v>1282721</v>
      </c>
      <c r="EX29" s="272">
        <v>1282721</v>
      </c>
      <c r="EY29" s="272">
        <v>220226</v>
      </c>
      <c r="EZ29" s="272">
        <v>1057865</v>
      </c>
      <c r="FA29" s="272">
        <v>0</v>
      </c>
      <c r="FB29" s="272">
        <v>0</v>
      </c>
      <c r="FC29" s="272">
        <v>2323788</v>
      </c>
      <c r="FD29" s="272">
        <v>1702098</v>
      </c>
      <c r="FE29" s="272">
        <v>809509</v>
      </c>
      <c r="FF29" s="272">
        <v>2611137</v>
      </c>
      <c r="FG29" s="455">
        <f t="shared" si="14"/>
        <v>271776</v>
      </c>
      <c r="FH29" s="272">
        <v>15523910</v>
      </c>
      <c r="FI29" s="459">
        <f t="shared" si="15"/>
        <v>0.2</v>
      </c>
      <c r="FJ29" s="272">
        <v>11697722</v>
      </c>
      <c r="FK29" s="272">
        <v>834208</v>
      </c>
      <c r="FL29" s="272">
        <v>8190699</v>
      </c>
      <c r="FM29" s="272">
        <v>9231285</v>
      </c>
      <c r="FN29" s="460">
        <v>0.93300000000000005</v>
      </c>
      <c r="FO29" s="388">
        <v>98.2</v>
      </c>
      <c r="FP29" s="388">
        <v>26.8</v>
      </c>
      <c r="FQ29" s="388">
        <v>9.1</v>
      </c>
      <c r="FR29" s="388">
        <v>19.5</v>
      </c>
      <c r="FS29" s="388">
        <v>17</v>
      </c>
      <c r="FT29" s="388">
        <v>9</v>
      </c>
      <c r="FU29" s="388">
        <v>16.600000000000001</v>
      </c>
      <c r="FV29" s="384">
        <f t="shared" si="16"/>
        <v>14.8</v>
      </c>
      <c r="FW29" s="272">
        <v>30524046</v>
      </c>
      <c r="FX29" s="384">
        <f t="shared" si="17"/>
        <v>243.6</v>
      </c>
      <c r="FY29" s="272">
        <v>4452790</v>
      </c>
      <c r="FZ29" s="272">
        <v>131664</v>
      </c>
      <c r="GA29" s="272">
        <v>0</v>
      </c>
      <c r="GB29" s="272">
        <v>4321126</v>
      </c>
      <c r="GC29" s="272">
        <v>3970000</v>
      </c>
      <c r="GD29" s="272">
        <v>11462000</v>
      </c>
      <c r="GE29" s="384">
        <f t="shared" si="18"/>
        <v>91.5</v>
      </c>
      <c r="GF29" s="388">
        <v>98.4</v>
      </c>
      <c r="GG29" s="388">
        <v>20.3</v>
      </c>
      <c r="GH29" s="388">
        <v>94.1</v>
      </c>
      <c r="GI29" s="272">
        <v>391</v>
      </c>
      <c r="GJ29" s="461" t="s">
        <v>646</v>
      </c>
      <c r="GK29" s="461">
        <v>13</v>
      </c>
      <c r="GL29" s="462">
        <v>20</v>
      </c>
      <c r="GM29" s="461" t="s">
        <v>646</v>
      </c>
      <c r="GN29" s="462">
        <v>18</v>
      </c>
      <c r="GO29" s="462">
        <v>40</v>
      </c>
      <c r="GP29" s="463">
        <v>14.8</v>
      </c>
      <c r="GQ29" s="463">
        <v>25</v>
      </c>
      <c r="GR29" s="463">
        <v>35</v>
      </c>
      <c r="GS29" s="464">
        <v>290.60000000000002</v>
      </c>
      <c r="GT29" s="463">
        <v>350</v>
      </c>
      <c r="GU29" s="394"/>
      <c r="GV29" s="394"/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</row>
    <row r="30" spans="2:230" x14ac:dyDescent="0.15">
      <c r="B30" s="89" t="s">
        <v>53</v>
      </c>
      <c r="C30" s="272">
        <v>8070609</v>
      </c>
      <c r="D30" s="455">
        <f t="shared" si="0"/>
        <v>3474045</v>
      </c>
      <c r="E30" s="272">
        <v>84174</v>
      </c>
      <c r="F30" s="456">
        <v>3389871</v>
      </c>
      <c r="G30" s="455">
        <f t="shared" si="1"/>
        <v>408802</v>
      </c>
      <c r="H30" s="272">
        <v>137168</v>
      </c>
      <c r="I30" s="272">
        <v>271634</v>
      </c>
      <c r="J30" s="272">
        <v>3051966</v>
      </c>
      <c r="K30" s="272">
        <v>1475285</v>
      </c>
      <c r="L30" s="272">
        <v>1278649</v>
      </c>
      <c r="M30" s="272">
        <v>267257</v>
      </c>
      <c r="N30" s="272">
        <v>335003</v>
      </c>
      <c r="O30" s="272">
        <v>739206</v>
      </c>
      <c r="P30" s="272">
        <v>450892</v>
      </c>
      <c r="Q30" s="272">
        <v>288314</v>
      </c>
      <c r="R30" s="272">
        <v>122919</v>
      </c>
      <c r="S30" s="272"/>
      <c r="T30" s="455">
        <f t="shared" si="2"/>
        <v>706338</v>
      </c>
      <c r="U30" s="272">
        <v>52602</v>
      </c>
      <c r="V30" s="272">
        <v>19736</v>
      </c>
      <c r="W30" s="456">
        <v>9101</v>
      </c>
      <c r="X30" s="272">
        <v>562606</v>
      </c>
      <c r="Y30" s="272">
        <v>0</v>
      </c>
      <c r="Z30" s="272">
        <v>0</v>
      </c>
      <c r="AA30" s="272">
        <v>62293</v>
      </c>
      <c r="AB30" s="272">
        <v>134777</v>
      </c>
      <c r="AC30" s="272">
        <v>3579556</v>
      </c>
      <c r="AD30" s="272">
        <v>3375499</v>
      </c>
      <c r="AE30" s="272">
        <v>204057</v>
      </c>
      <c r="AF30" s="272">
        <v>12467</v>
      </c>
      <c r="AG30" s="272">
        <v>92849</v>
      </c>
      <c r="AH30" s="455">
        <f t="shared" si="3"/>
        <v>472198</v>
      </c>
      <c r="AI30" s="272">
        <v>423766</v>
      </c>
      <c r="AJ30" s="272">
        <v>48432</v>
      </c>
      <c r="AK30" s="272">
        <v>4098683</v>
      </c>
      <c r="AL30" s="455">
        <f t="shared" si="4"/>
        <v>1887299</v>
      </c>
      <c r="AM30" s="272">
        <v>1790893</v>
      </c>
      <c r="AN30" s="272">
        <v>96406</v>
      </c>
      <c r="AO30" s="272"/>
      <c r="AP30" s="272">
        <v>0</v>
      </c>
      <c r="AQ30" s="272">
        <v>16876</v>
      </c>
      <c r="AR30" s="272">
        <v>0</v>
      </c>
      <c r="AS30" s="272">
        <v>0</v>
      </c>
      <c r="AT30" s="272">
        <v>1125357</v>
      </c>
      <c r="AU30" s="272">
        <v>549880</v>
      </c>
      <c r="AV30" s="272">
        <v>65076</v>
      </c>
      <c r="AW30" s="272">
        <v>0</v>
      </c>
      <c r="AX30" s="272">
        <v>575477</v>
      </c>
      <c r="AY30" s="272">
        <v>8050</v>
      </c>
      <c r="AZ30" s="272">
        <v>26409</v>
      </c>
      <c r="BA30" s="272">
        <v>15285</v>
      </c>
      <c r="BB30" s="272">
        <v>7813</v>
      </c>
      <c r="BC30" s="272">
        <v>53711</v>
      </c>
      <c r="BD30" s="272">
        <v>0</v>
      </c>
      <c r="BE30" s="272">
        <v>0</v>
      </c>
      <c r="BF30" s="272">
        <v>53710</v>
      </c>
      <c r="BG30" s="272">
        <v>0</v>
      </c>
      <c r="BH30" s="272">
        <v>180</v>
      </c>
      <c r="BI30" s="272">
        <v>0</v>
      </c>
      <c r="BJ30" s="272">
        <v>260542</v>
      </c>
      <c r="BK30" s="272">
        <v>0</v>
      </c>
      <c r="BL30" s="272">
        <v>0</v>
      </c>
      <c r="BM30" s="272">
        <v>0</v>
      </c>
      <c r="BN30" s="272">
        <v>998900</v>
      </c>
      <c r="BO30" s="455">
        <f t="shared" si="5"/>
        <v>57000</v>
      </c>
      <c r="BP30" s="455">
        <f t="shared" si="6"/>
        <v>871900</v>
      </c>
      <c r="BQ30" s="272"/>
      <c r="BR30" s="272">
        <v>0</v>
      </c>
      <c r="BS30" s="272">
        <v>871900</v>
      </c>
      <c r="BT30" s="272">
        <v>70000</v>
      </c>
      <c r="BU30" s="272">
        <v>19763308</v>
      </c>
      <c r="BV30" s="272"/>
      <c r="BW30" s="272">
        <v>4105286</v>
      </c>
      <c r="BX30" s="272">
        <v>2729456</v>
      </c>
      <c r="BY30" s="272">
        <v>351422</v>
      </c>
      <c r="BZ30" s="272">
        <v>264929</v>
      </c>
      <c r="CA30" s="272">
        <v>4941618</v>
      </c>
      <c r="CB30" s="272">
        <v>939382</v>
      </c>
      <c r="CC30" s="272">
        <v>111317</v>
      </c>
      <c r="CD30" s="272">
        <v>1441574</v>
      </c>
      <c r="CE30" s="272">
        <v>2387891</v>
      </c>
      <c r="CF30" s="272">
        <v>2419</v>
      </c>
      <c r="CG30" s="272">
        <v>58705</v>
      </c>
      <c r="CH30" s="272">
        <v>1418438</v>
      </c>
      <c r="CI30" s="272">
        <v>1183894</v>
      </c>
      <c r="CJ30" s="455">
        <f t="shared" si="7"/>
        <v>234544</v>
      </c>
      <c r="CK30" s="272">
        <v>1896431</v>
      </c>
      <c r="CL30" s="272">
        <v>902173</v>
      </c>
      <c r="CM30" s="272">
        <v>259285</v>
      </c>
      <c r="CN30" s="272">
        <v>294875</v>
      </c>
      <c r="CO30" s="272">
        <v>83265</v>
      </c>
      <c r="CP30" s="272">
        <v>3468207</v>
      </c>
      <c r="CQ30" s="272">
        <v>1727569</v>
      </c>
      <c r="CR30" s="272">
        <v>275649</v>
      </c>
      <c r="CS30" s="272">
        <v>222530</v>
      </c>
      <c r="CT30" s="455">
        <f t="shared" si="8"/>
        <v>161480</v>
      </c>
      <c r="CU30" s="272">
        <v>104727</v>
      </c>
      <c r="CV30" s="272">
        <v>56753</v>
      </c>
      <c r="CW30" s="455">
        <f t="shared" si="9"/>
        <v>155081</v>
      </c>
      <c r="CX30" s="272">
        <v>98998</v>
      </c>
      <c r="CY30" s="272">
        <v>56083</v>
      </c>
      <c r="CZ30" s="455">
        <f t="shared" si="10"/>
        <v>0</v>
      </c>
      <c r="DA30" s="272">
        <v>0</v>
      </c>
      <c r="DB30" s="272">
        <v>0</v>
      </c>
      <c r="DC30" s="272">
        <v>320234</v>
      </c>
      <c r="DD30" s="272">
        <v>44901</v>
      </c>
      <c r="DE30" s="272">
        <v>275333</v>
      </c>
      <c r="DF30" s="26">
        <v>0</v>
      </c>
      <c r="DG30" s="27">
        <v>0</v>
      </c>
      <c r="DH30" s="272">
        <v>0</v>
      </c>
      <c r="DI30" s="272">
        <v>9090</v>
      </c>
      <c r="DJ30" s="272">
        <v>1349</v>
      </c>
      <c r="DK30" s="272">
        <v>6</v>
      </c>
      <c r="DL30" s="272">
        <v>7735</v>
      </c>
      <c r="DM30" s="272">
        <v>0</v>
      </c>
      <c r="DN30" s="272">
        <v>0</v>
      </c>
      <c r="DO30" s="272">
        <v>0</v>
      </c>
      <c r="DP30" s="272">
        <v>0</v>
      </c>
      <c r="DQ30" s="272">
        <v>0</v>
      </c>
      <c r="DR30" s="272">
        <v>0</v>
      </c>
      <c r="DS30" s="272">
        <v>0</v>
      </c>
      <c r="DT30" s="272">
        <v>2938147</v>
      </c>
      <c r="DU30" s="272">
        <v>1228911</v>
      </c>
      <c r="DV30" s="455">
        <f t="shared" si="11"/>
        <v>0</v>
      </c>
      <c r="DW30" s="272">
        <v>0</v>
      </c>
      <c r="DX30" s="272">
        <v>527318</v>
      </c>
      <c r="DY30" s="272">
        <v>0</v>
      </c>
      <c r="DZ30" s="272">
        <v>584713</v>
      </c>
      <c r="EA30" s="272">
        <v>15228</v>
      </c>
      <c r="EB30" s="272">
        <v>581976</v>
      </c>
      <c r="EC30" s="272">
        <v>155129</v>
      </c>
      <c r="ED30" s="272">
        <v>19335845</v>
      </c>
      <c r="EE30" s="89"/>
      <c r="EF30" s="272">
        <v>427463</v>
      </c>
      <c r="EG30" s="272">
        <v>45703</v>
      </c>
      <c r="EH30" s="272">
        <v>381760</v>
      </c>
      <c r="EI30" s="272">
        <v>564853</v>
      </c>
      <c r="EJ30" s="272">
        <v>566202</v>
      </c>
      <c r="EK30" s="89"/>
      <c r="EL30" s="272"/>
      <c r="EM30" s="272">
        <v>66150</v>
      </c>
      <c r="EN30" s="272">
        <v>23001</v>
      </c>
      <c r="EO30" s="272">
        <v>17324</v>
      </c>
      <c r="EP30" s="455">
        <f t="shared" si="12"/>
        <v>360619</v>
      </c>
      <c r="EQ30" s="272">
        <v>12626666</v>
      </c>
      <c r="ER30" s="272">
        <v>-1260377</v>
      </c>
      <c r="ES30" s="272">
        <v>3633167</v>
      </c>
      <c r="ET30" s="272">
        <v>2427879</v>
      </c>
      <c r="EU30" s="272">
        <v>1680876</v>
      </c>
      <c r="EV30" s="272">
        <v>1418438</v>
      </c>
      <c r="EW30" s="455">
        <f t="shared" si="13"/>
        <v>190169</v>
      </c>
      <c r="EX30" s="272">
        <v>190169</v>
      </c>
      <c r="EY30" s="272">
        <v>14525</v>
      </c>
      <c r="EZ30" s="272">
        <v>175644</v>
      </c>
      <c r="FA30" s="272">
        <v>0</v>
      </c>
      <c r="FB30" s="272">
        <v>0</v>
      </c>
      <c r="FC30" s="272">
        <v>1346551</v>
      </c>
      <c r="FD30" s="272">
        <v>2330993</v>
      </c>
      <c r="FE30" s="272">
        <v>1727569</v>
      </c>
      <c r="FF30" s="272">
        <v>2626123</v>
      </c>
      <c r="FG30" s="455">
        <f t="shared" si="14"/>
        <v>233263</v>
      </c>
      <c r="FH30" s="272">
        <v>13459580</v>
      </c>
      <c r="FI30" s="459">
        <f t="shared" si="15"/>
        <v>3</v>
      </c>
      <c r="FJ30" s="272">
        <v>11764204</v>
      </c>
      <c r="FK30" s="272">
        <v>872026</v>
      </c>
      <c r="FL30" s="272">
        <v>6463463</v>
      </c>
      <c r="FM30" s="272">
        <v>9843630</v>
      </c>
      <c r="FN30" s="460">
        <v>0.67300000000000004</v>
      </c>
      <c r="FO30" s="388">
        <v>96.2</v>
      </c>
      <c r="FP30" s="388">
        <v>28.6</v>
      </c>
      <c r="FQ30" s="388">
        <v>13.2</v>
      </c>
      <c r="FR30" s="388">
        <v>11.2</v>
      </c>
      <c r="FS30" s="388">
        <v>8.5</v>
      </c>
      <c r="FT30" s="388">
        <v>16.600000000000001</v>
      </c>
      <c r="FU30" s="388">
        <v>17.399999999999999</v>
      </c>
      <c r="FV30" s="384">
        <f t="shared" si="16"/>
        <v>6.5</v>
      </c>
      <c r="FW30" s="272">
        <v>11568350</v>
      </c>
      <c r="FX30" s="384">
        <f t="shared" si="17"/>
        <v>91.5</v>
      </c>
      <c r="FY30" s="272">
        <v>905614</v>
      </c>
      <c r="FZ30" s="272">
        <v>152656</v>
      </c>
      <c r="GA30" s="272">
        <v>2472</v>
      </c>
      <c r="GB30" s="272">
        <v>750486</v>
      </c>
      <c r="GC30" s="272">
        <v>0</v>
      </c>
      <c r="GD30" s="272">
        <v>624000</v>
      </c>
      <c r="GE30" s="384">
        <f t="shared" si="18"/>
        <v>4.9000000000000004</v>
      </c>
      <c r="GF30" s="388">
        <v>97.7</v>
      </c>
      <c r="GG30" s="388">
        <v>28.7</v>
      </c>
      <c r="GH30" s="388">
        <v>93.9</v>
      </c>
      <c r="GI30" s="272">
        <v>420</v>
      </c>
      <c r="GJ30" s="461" t="s">
        <v>646</v>
      </c>
      <c r="GK30" s="461">
        <v>12.99</v>
      </c>
      <c r="GL30" s="462">
        <v>20</v>
      </c>
      <c r="GM30" s="461" t="s">
        <v>646</v>
      </c>
      <c r="GN30" s="462">
        <v>17.989999999999998</v>
      </c>
      <c r="GO30" s="462">
        <v>40</v>
      </c>
      <c r="GP30" s="463">
        <v>6.5</v>
      </c>
      <c r="GQ30" s="463">
        <v>25</v>
      </c>
      <c r="GR30" s="463">
        <v>35</v>
      </c>
      <c r="GS30" s="464">
        <v>66</v>
      </c>
      <c r="GT30" s="463">
        <v>350</v>
      </c>
      <c r="GU30" s="394"/>
      <c r="GV30" s="394"/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</row>
    <row r="31" spans="2:230" x14ac:dyDescent="0.15">
      <c r="B31" s="89" t="s">
        <v>55</v>
      </c>
      <c r="C31" s="272">
        <v>76073334</v>
      </c>
      <c r="D31" s="455">
        <f t="shared" si="0"/>
        <v>24798024</v>
      </c>
      <c r="E31" s="272">
        <v>633684</v>
      </c>
      <c r="F31" s="456">
        <v>24164340</v>
      </c>
      <c r="G31" s="455">
        <f t="shared" si="1"/>
        <v>5512613</v>
      </c>
      <c r="H31" s="272">
        <v>1491082</v>
      </c>
      <c r="I31" s="272">
        <v>4021531</v>
      </c>
      <c r="J31" s="272">
        <v>32642765</v>
      </c>
      <c r="K31" s="272">
        <v>16024724</v>
      </c>
      <c r="L31" s="272">
        <v>12562348</v>
      </c>
      <c r="M31" s="272">
        <v>3752312</v>
      </c>
      <c r="N31" s="272">
        <v>3544903</v>
      </c>
      <c r="O31" s="272">
        <v>6981068</v>
      </c>
      <c r="P31" s="272">
        <v>4206871</v>
      </c>
      <c r="Q31" s="272">
        <v>2774197</v>
      </c>
      <c r="R31" s="272">
        <v>940364</v>
      </c>
      <c r="S31" s="272"/>
      <c r="T31" s="455">
        <f t="shared" si="2"/>
        <v>6308258</v>
      </c>
      <c r="U31" s="272">
        <v>355217</v>
      </c>
      <c r="V31" s="272">
        <v>133239</v>
      </c>
      <c r="W31" s="456">
        <v>62133</v>
      </c>
      <c r="X31" s="272">
        <v>5281052</v>
      </c>
      <c r="Y31" s="272">
        <v>0</v>
      </c>
      <c r="Z31" s="272">
        <v>0</v>
      </c>
      <c r="AA31" s="272">
        <v>476617</v>
      </c>
      <c r="AB31" s="272">
        <v>959545</v>
      </c>
      <c r="AC31" s="272">
        <v>18075486</v>
      </c>
      <c r="AD31" s="272">
        <v>17210592</v>
      </c>
      <c r="AE31" s="272">
        <v>864894</v>
      </c>
      <c r="AF31" s="272">
        <v>93337</v>
      </c>
      <c r="AG31" s="272">
        <v>2941556</v>
      </c>
      <c r="AH31" s="455">
        <f t="shared" si="3"/>
        <v>3242109</v>
      </c>
      <c r="AI31" s="272">
        <v>2716318</v>
      </c>
      <c r="AJ31" s="272">
        <v>525791</v>
      </c>
      <c r="AK31" s="272">
        <v>40612672</v>
      </c>
      <c r="AL31" s="455">
        <f t="shared" si="4"/>
        <v>23680317</v>
      </c>
      <c r="AM31" s="272">
        <v>22253097</v>
      </c>
      <c r="AN31" s="272">
        <v>1427220</v>
      </c>
      <c r="AO31" s="272"/>
      <c r="AP31" s="272">
        <v>0</v>
      </c>
      <c r="AQ31" s="272">
        <v>785824</v>
      </c>
      <c r="AR31" s="272">
        <v>0</v>
      </c>
      <c r="AS31" s="272">
        <v>0</v>
      </c>
      <c r="AT31" s="272">
        <v>8079330</v>
      </c>
      <c r="AU31" s="272">
        <v>3502132</v>
      </c>
      <c r="AV31" s="272">
        <v>0</v>
      </c>
      <c r="AW31" s="272">
        <v>114270</v>
      </c>
      <c r="AX31" s="272">
        <v>4577198</v>
      </c>
      <c r="AY31" s="272">
        <v>1099</v>
      </c>
      <c r="AZ31" s="272">
        <v>1906025</v>
      </c>
      <c r="BA31" s="272">
        <v>894732</v>
      </c>
      <c r="BB31" s="272">
        <v>11265</v>
      </c>
      <c r="BC31" s="272">
        <v>3723975</v>
      </c>
      <c r="BD31" s="272">
        <v>2435522</v>
      </c>
      <c r="BE31" s="272">
        <v>0</v>
      </c>
      <c r="BF31" s="272">
        <v>809541</v>
      </c>
      <c r="BG31" s="272">
        <v>0</v>
      </c>
      <c r="BH31" s="272">
        <v>1540672</v>
      </c>
      <c r="BI31" s="272">
        <v>1328189</v>
      </c>
      <c r="BJ31" s="272">
        <v>4137446</v>
      </c>
      <c r="BK31" s="272">
        <v>2310042</v>
      </c>
      <c r="BL31" s="272">
        <v>0</v>
      </c>
      <c r="BM31" s="272">
        <v>74764</v>
      </c>
      <c r="BN31" s="272">
        <v>14164500</v>
      </c>
      <c r="BO31" s="455">
        <f t="shared" si="5"/>
        <v>4250400</v>
      </c>
      <c r="BP31" s="455">
        <f t="shared" si="6"/>
        <v>7114100</v>
      </c>
      <c r="BQ31" s="272"/>
      <c r="BR31" s="272">
        <v>1414100</v>
      </c>
      <c r="BS31" s="272">
        <v>5700000</v>
      </c>
      <c r="BT31" s="272">
        <v>2800000</v>
      </c>
      <c r="BU31" s="272">
        <v>182809874</v>
      </c>
      <c r="BV31" s="272"/>
      <c r="BW31" s="272">
        <v>33308406</v>
      </c>
      <c r="BX31" s="272">
        <v>20904849</v>
      </c>
      <c r="BY31" s="272">
        <v>5676030</v>
      </c>
      <c r="BZ31" s="272">
        <v>2167928</v>
      </c>
      <c r="CA31" s="272">
        <v>53841699</v>
      </c>
      <c r="CB31" s="272">
        <v>7255572</v>
      </c>
      <c r="CC31" s="272">
        <v>938582</v>
      </c>
      <c r="CD31" s="272">
        <v>12912163</v>
      </c>
      <c r="CE31" s="272">
        <v>30124855</v>
      </c>
      <c r="CF31" s="272">
        <v>2068627</v>
      </c>
      <c r="CG31" s="272">
        <v>541900</v>
      </c>
      <c r="CH31" s="272">
        <v>17300868</v>
      </c>
      <c r="CI31" s="272">
        <v>14490744</v>
      </c>
      <c r="CJ31" s="455">
        <f t="shared" si="7"/>
        <v>2810124</v>
      </c>
      <c r="CK31" s="272">
        <v>14352526</v>
      </c>
      <c r="CL31" s="272">
        <v>8883530</v>
      </c>
      <c r="CM31" s="272">
        <v>430961</v>
      </c>
      <c r="CN31" s="272">
        <v>2516596</v>
      </c>
      <c r="CO31" s="272">
        <v>1572641</v>
      </c>
      <c r="CP31" s="272">
        <v>30280683</v>
      </c>
      <c r="CQ31" s="272">
        <v>3741742</v>
      </c>
      <c r="CR31" s="272">
        <v>12226025</v>
      </c>
      <c r="CS31" s="272">
        <v>3428272</v>
      </c>
      <c r="CT31" s="455">
        <f t="shared" si="8"/>
        <v>12066215</v>
      </c>
      <c r="CU31" s="272">
        <v>10042179</v>
      </c>
      <c r="CV31" s="272">
        <v>2024036</v>
      </c>
      <c r="CW31" s="455">
        <f t="shared" si="9"/>
        <v>1177035</v>
      </c>
      <c r="CX31" s="272">
        <v>832933</v>
      </c>
      <c r="CY31" s="272">
        <v>344102</v>
      </c>
      <c r="CZ31" s="455">
        <f t="shared" si="10"/>
        <v>10771000</v>
      </c>
      <c r="DA31" s="272">
        <v>9099000</v>
      </c>
      <c r="DB31" s="272">
        <v>1672000</v>
      </c>
      <c r="DC31" s="272">
        <v>8485328</v>
      </c>
      <c r="DD31" s="272">
        <v>1110964</v>
      </c>
      <c r="DE31" s="272">
        <v>6476697</v>
      </c>
      <c r="DF31" s="26">
        <v>607973</v>
      </c>
      <c r="DG31" s="27">
        <v>289694</v>
      </c>
      <c r="DH31" s="272">
        <v>0</v>
      </c>
      <c r="DI31" s="272">
        <v>3423006</v>
      </c>
      <c r="DJ31" s="272">
        <v>1562000</v>
      </c>
      <c r="DK31" s="272">
        <v>500</v>
      </c>
      <c r="DL31" s="272">
        <v>1860506</v>
      </c>
      <c r="DM31" s="272">
        <v>798975</v>
      </c>
      <c r="DN31" s="272">
        <v>726775</v>
      </c>
      <c r="DO31" s="272">
        <v>0</v>
      </c>
      <c r="DP31" s="272">
        <v>726775</v>
      </c>
      <c r="DQ31" s="272">
        <v>2993706</v>
      </c>
      <c r="DR31" s="272">
        <v>0</v>
      </c>
      <c r="DS31" s="272">
        <v>0</v>
      </c>
      <c r="DT31" s="272">
        <v>15092493</v>
      </c>
      <c r="DU31" s="272">
        <v>0</v>
      </c>
      <c r="DV31" s="455">
        <f t="shared" si="11"/>
        <v>0</v>
      </c>
      <c r="DW31" s="272">
        <v>0</v>
      </c>
      <c r="DX31" s="272">
        <v>3762109</v>
      </c>
      <c r="DY31" s="272">
        <v>0</v>
      </c>
      <c r="DZ31" s="272">
        <v>6744727</v>
      </c>
      <c r="EA31" s="272">
        <v>4007</v>
      </c>
      <c r="EB31" s="272">
        <v>4160446</v>
      </c>
      <c r="EC31" s="272">
        <v>0</v>
      </c>
      <c r="ED31" s="272">
        <v>181450331</v>
      </c>
      <c r="EE31" s="89"/>
      <c r="EF31" s="272">
        <v>1359543</v>
      </c>
      <c r="EG31" s="272">
        <v>212901</v>
      </c>
      <c r="EH31" s="272">
        <v>1146642</v>
      </c>
      <c r="EI31" s="272">
        <v>-181547</v>
      </c>
      <c r="EJ31" s="272">
        <v>-1054870</v>
      </c>
      <c r="EK31" s="89"/>
      <c r="EL31" s="272"/>
      <c r="EM31" s="272">
        <v>487869</v>
      </c>
      <c r="EN31" s="272">
        <v>2438822</v>
      </c>
      <c r="EO31" s="272">
        <v>4594</v>
      </c>
      <c r="EP31" s="455">
        <f t="shared" si="12"/>
        <v>4541469</v>
      </c>
      <c r="EQ31" s="272">
        <v>102450324</v>
      </c>
      <c r="ER31" s="272">
        <v>-14005648</v>
      </c>
      <c r="ES31" s="272">
        <v>28737970</v>
      </c>
      <c r="ET31" s="272">
        <v>19385409</v>
      </c>
      <c r="EU31" s="272">
        <v>17198678</v>
      </c>
      <c r="EV31" s="272">
        <v>17216084</v>
      </c>
      <c r="EW31" s="455">
        <f t="shared" si="13"/>
        <v>3146445</v>
      </c>
      <c r="EX31" s="272">
        <v>3146445</v>
      </c>
      <c r="EY31" s="272">
        <v>12786</v>
      </c>
      <c r="EZ31" s="272">
        <v>3127586</v>
      </c>
      <c r="FA31" s="272">
        <v>0</v>
      </c>
      <c r="FB31" s="272">
        <v>0</v>
      </c>
      <c r="FC31" s="272">
        <v>11164300</v>
      </c>
      <c r="FD31" s="272">
        <v>21808933</v>
      </c>
      <c r="FE31" s="272">
        <v>3741742</v>
      </c>
      <c r="FF31" s="272">
        <v>12356189</v>
      </c>
      <c r="FG31" s="455">
        <f t="shared" si="14"/>
        <v>3467830</v>
      </c>
      <c r="FH31" s="272">
        <v>115096429</v>
      </c>
      <c r="FI31" s="459">
        <f t="shared" si="15"/>
        <v>1.1000000000000001</v>
      </c>
      <c r="FJ31" s="272">
        <v>96364827</v>
      </c>
      <c r="FK31" s="272">
        <v>5704686</v>
      </c>
      <c r="FL31" s="272">
        <v>60579143</v>
      </c>
      <c r="FM31" s="272">
        <v>77859754</v>
      </c>
      <c r="FN31" s="460">
        <v>0.79100000000000004</v>
      </c>
      <c r="FO31" s="388">
        <v>99.9</v>
      </c>
      <c r="FP31" s="388">
        <v>27.9</v>
      </c>
      <c r="FQ31" s="388">
        <v>16.8</v>
      </c>
      <c r="FR31" s="388">
        <v>16.8</v>
      </c>
      <c r="FS31" s="388">
        <v>9.6999999999999993</v>
      </c>
      <c r="FT31" s="388">
        <v>18.899999999999999</v>
      </c>
      <c r="FU31" s="388">
        <v>8.6</v>
      </c>
      <c r="FV31" s="384">
        <f t="shared" si="16"/>
        <v>8.6</v>
      </c>
      <c r="FW31" s="272">
        <v>163380203</v>
      </c>
      <c r="FX31" s="384">
        <f t="shared" si="17"/>
        <v>160.1</v>
      </c>
      <c r="FY31" s="272">
        <v>12412763</v>
      </c>
      <c r="FZ31" s="272">
        <v>4371108</v>
      </c>
      <c r="GA31" s="272">
        <v>104596</v>
      </c>
      <c r="GB31" s="272">
        <v>7937059</v>
      </c>
      <c r="GC31" s="272">
        <v>0</v>
      </c>
      <c r="GD31" s="272">
        <v>13066000</v>
      </c>
      <c r="GE31" s="384">
        <f t="shared" si="18"/>
        <v>12.8</v>
      </c>
      <c r="GF31" s="388">
        <v>97</v>
      </c>
      <c r="GG31" s="388">
        <v>31.7</v>
      </c>
      <c r="GH31" s="388">
        <v>92.7</v>
      </c>
      <c r="GI31" s="272">
        <v>2809</v>
      </c>
      <c r="GJ31" s="461" t="s">
        <v>646</v>
      </c>
      <c r="GK31" s="461">
        <v>11.25</v>
      </c>
      <c r="GL31" s="462">
        <v>20</v>
      </c>
      <c r="GM31" s="461" t="s">
        <v>646</v>
      </c>
      <c r="GN31" s="462">
        <v>16.25</v>
      </c>
      <c r="GO31" s="462">
        <v>40</v>
      </c>
      <c r="GP31" s="463">
        <v>8.6</v>
      </c>
      <c r="GQ31" s="463">
        <v>25</v>
      </c>
      <c r="GR31" s="463">
        <v>35</v>
      </c>
      <c r="GS31" s="464">
        <v>82.7</v>
      </c>
      <c r="GT31" s="463">
        <v>350</v>
      </c>
      <c r="GU31" s="394"/>
      <c r="GV31" s="394"/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</row>
    <row r="32" spans="2:230" x14ac:dyDescent="0.15">
      <c r="B32" s="89" t="s">
        <v>57</v>
      </c>
      <c r="C32" s="272">
        <v>9065358</v>
      </c>
      <c r="D32" s="455">
        <f t="shared" si="0"/>
        <v>2514972</v>
      </c>
      <c r="E32" s="272">
        <v>76036</v>
      </c>
      <c r="F32" s="456">
        <v>2438936</v>
      </c>
      <c r="G32" s="455">
        <f t="shared" si="1"/>
        <v>413634</v>
      </c>
      <c r="H32" s="272">
        <v>179226</v>
      </c>
      <c r="I32" s="272">
        <v>234408</v>
      </c>
      <c r="J32" s="272">
        <v>4939629</v>
      </c>
      <c r="K32" s="272">
        <v>2020228</v>
      </c>
      <c r="L32" s="272">
        <v>1705417</v>
      </c>
      <c r="M32" s="272">
        <v>1081878</v>
      </c>
      <c r="N32" s="272">
        <v>371901</v>
      </c>
      <c r="O32" s="272">
        <v>722848</v>
      </c>
      <c r="P32" s="272">
        <v>383538</v>
      </c>
      <c r="Q32" s="272">
        <v>339310</v>
      </c>
      <c r="R32" s="272">
        <v>168750</v>
      </c>
      <c r="S32" s="272"/>
      <c r="T32" s="455">
        <f t="shared" si="2"/>
        <v>797766</v>
      </c>
      <c r="U32" s="272">
        <v>36462</v>
      </c>
      <c r="V32" s="272">
        <v>13680</v>
      </c>
      <c r="W32" s="456">
        <v>6323</v>
      </c>
      <c r="X32" s="272">
        <v>613366</v>
      </c>
      <c r="Y32" s="272">
        <v>54482</v>
      </c>
      <c r="Z32" s="272">
        <v>0</v>
      </c>
      <c r="AA32" s="272">
        <v>73453</v>
      </c>
      <c r="AB32" s="272">
        <v>117652</v>
      </c>
      <c r="AC32" s="272">
        <v>2302104</v>
      </c>
      <c r="AD32" s="272">
        <v>1893663</v>
      </c>
      <c r="AE32" s="272">
        <v>408441</v>
      </c>
      <c r="AF32" s="272">
        <v>11854</v>
      </c>
      <c r="AG32" s="272">
        <v>57466</v>
      </c>
      <c r="AH32" s="455">
        <f t="shared" si="3"/>
        <v>465336</v>
      </c>
      <c r="AI32" s="272">
        <v>306654</v>
      </c>
      <c r="AJ32" s="272">
        <v>158682</v>
      </c>
      <c r="AK32" s="272">
        <v>4253063</v>
      </c>
      <c r="AL32" s="455">
        <f t="shared" si="4"/>
        <v>1475377</v>
      </c>
      <c r="AM32" s="272">
        <v>1413709</v>
      </c>
      <c r="AN32" s="272">
        <v>61668</v>
      </c>
      <c r="AO32" s="272"/>
      <c r="AP32" s="272">
        <v>0</v>
      </c>
      <c r="AQ32" s="272">
        <v>447312</v>
      </c>
      <c r="AR32" s="272">
        <v>0</v>
      </c>
      <c r="AS32" s="272">
        <v>0</v>
      </c>
      <c r="AT32" s="272">
        <v>1238612</v>
      </c>
      <c r="AU32" s="272">
        <v>740706</v>
      </c>
      <c r="AV32" s="272">
        <v>30834</v>
      </c>
      <c r="AW32" s="272">
        <v>22853</v>
      </c>
      <c r="AX32" s="272">
        <v>497906</v>
      </c>
      <c r="AY32" s="272">
        <v>11200</v>
      </c>
      <c r="AZ32" s="272">
        <v>31581</v>
      </c>
      <c r="BA32" s="272">
        <v>30107</v>
      </c>
      <c r="BB32" s="272">
        <v>7713</v>
      </c>
      <c r="BC32" s="272">
        <v>496675</v>
      </c>
      <c r="BD32" s="272">
        <v>0</v>
      </c>
      <c r="BE32" s="272">
        <v>44000</v>
      </c>
      <c r="BF32" s="272">
        <v>161566</v>
      </c>
      <c r="BG32" s="272">
        <v>250000</v>
      </c>
      <c r="BH32" s="272">
        <v>11850</v>
      </c>
      <c r="BI32" s="272">
        <v>3962</v>
      </c>
      <c r="BJ32" s="272">
        <v>335562</v>
      </c>
      <c r="BK32" s="272">
        <v>0</v>
      </c>
      <c r="BL32" s="272">
        <v>0</v>
      </c>
      <c r="BM32" s="272">
        <v>0</v>
      </c>
      <c r="BN32" s="272">
        <v>2037605</v>
      </c>
      <c r="BO32" s="455">
        <f t="shared" si="5"/>
        <v>903100</v>
      </c>
      <c r="BP32" s="455">
        <f t="shared" si="6"/>
        <v>834505</v>
      </c>
      <c r="BQ32" s="272"/>
      <c r="BR32" s="272">
        <v>0</v>
      </c>
      <c r="BS32" s="272">
        <v>834505</v>
      </c>
      <c r="BT32" s="272">
        <v>300000</v>
      </c>
      <c r="BU32" s="272">
        <v>21398947</v>
      </c>
      <c r="BV32" s="272"/>
      <c r="BW32" s="272">
        <v>5008576</v>
      </c>
      <c r="BX32" s="272">
        <v>3421662</v>
      </c>
      <c r="BY32" s="272">
        <v>629618</v>
      </c>
      <c r="BZ32" s="272">
        <v>64834</v>
      </c>
      <c r="CA32" s="272">
        <v>4111030</v>
      </c>
      <c r="CB32" s="272">
        <v>760882</v>
      </c>
      <c r="CC32" s="272">
        <v>110208</v>
      </c>
      <c r="CD32" s="272">
        <v>1236356</v>
      </c>
      <c r="CE32" s="272">
        <v>1929363</v>
      </c>
      <c r="CF32" s="272">
        <v>523</v>
      </c>
      <c r="CG32" s="272">
        <v>73698</v>
      </c>
      <c r="CH32" s="272">
        <v>2496242</v>
      </c>
      <c r="CI32" s="272">
        <v>1999788</v>
      </c>
      <c r="CJ32" s="455">
        <f t="shared" si="7"/>
        <v>496454</v>
      </c>
      <c r="CK32" s="272">
        <v>2235416</v>
      </c>
      <c r="CL32" s="272">
        <v>1423476</v>
      </c>
      <c r="CM32" s="272">
        <v>117658</v>
      </c>
      <c r="CN32" s="272">
        <v>385054</v>
      </c>
      <c r="CO32" s="272">
        <v>101511</v>
      </c>
      <c r="CP32" s="272">
        <v>2787549</v>
      </c>
      <c r="CQ32" s="272">
        <v>456328</v>
      </c>
      <c r="CR32" s="272">
        <v>1497667</v>
      </c>
      <c r="CS32" s="272">
        <v>332107</v>
      </c>
      <c r="CT32" s="455">
        <f t="shared" si="8"/>
        <v>31310</v>
      </c>
      <c r="CU32" s="272">
        <v>24525</v>
      </c>
      <c r="CV32" s="272">
        <v>6785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2103572</v>
      </c>
      <c r="DD32" s="272">
        <v>468478</v>
      </c>
      <c r="DE32" s="272">
        <v>1632455</v>
      </c>
      <c r="DF32" s="26">
        <v>2639</v>
      </c>
      <c r="DG32" s="27">
        <v>0</v>
      </c>
      <c r="DH32" s="272">
        <v>2806</v>
      </c>
      <c r="DI32" s="272">
        <v>126656</v>
      </c>
      <c r="DJ32" s="272">
        <v>0</v>
      </c>
      <c r="DK32" s="272">
        <v>6308</v>
      </c>
      <c r="DL32" s="272">
        <v>120348</v>
      </c>
      <c r="DM32" s="272">
        <v>1324</v>
      </c>
      <c r="DN32" s="272">
        <v>1324</v>
      </c>
      <c r="DO32" s="272">
        <v>0</v>
      </c>
      <c r="DP32" s="272">
        <v>0</v>
      </c>
      <c r="DQ32" s="272">
        <v>0</v>
      </c>
      <c r="DR32" s="272">
        <v>0</v>
      </c>
      <c r="DS32" s="272">
        <v>0</v>
      </c>
      <c r="DT32" s="272">
        <v>2367047</v>
      </c>
      <c r="DU32" s="272">
        <v>741422</v>
      </c>
      <c r="DV32" s="455">
        <f t="shared" si="11"/>
        <v>0</v>
      </c>
      <c r="DW32" s="272">
        <v>0</v>
      </c>
      <c r="DX32" s="272">
        <v>584184</v>
      </c>
      <c r="DY32" s="272">
        <v>0</v>
      </c>
      <c r="DZ32" s="272">
        <v>492713</v>
      </c>
      <c r="EA32" s="272">
        <v>0</v>
      </c>
      <c r="EB32" s="272">
        <v>548728</v>
      </c>
      <c r="EC32" s="272">
        <v>0</v>
      </c>
      <c r="ED32" s="272">
        <v>21341729</v>
      </c>
      <c r="EE32" s="89"/>
      <c r="EF32" s="272">
        <v>57218</v>
      </c>
      <c r="EG32" s="272">
        <v>69730</v>
      </c>
      <c r="EH32" s="272">
        <v>-12512</v>
      </c>
      <c r="EI32" s="272">
        <v>-16474</v>
      </c>
      <c r="EJ32" s="272">
        <v>-16375</v>
      </c>
      <c r="EK32" s="89"/>
      <c r="EL32" s="272"/>
      <c r="EM32" s="272">
        <v>65112</v>
      </c>
      <c r="EN32" s="272">
        <v>296600</v>
      </c>
      <c r="EO32" s="272">
        <v>30249</v>
      </c>
      <c r="EP32" s="455">
        <f t="shared" si="12"/>
        <v>694485</v>
      </c>
      <c r="EQ32" s="272">
        <v>12463484</v>
      </c>
      <c r="ER32" s="272">
        <v>-1843985</v>
      </c>
      <c r="ES32" s="272">
        <v>4333587</v>
      </c>
      <c r="ET32" s="272">
        <v>3071766</v>
      </c>
      <c r="EU32" s="272">
        <v>1356109</v>
      </c>
      <c r="EV32" s="272">
        <v>2496242</v>
      </c>
      <c r="EW32" s="455">
        <f t="shared" si="13"/>
        <v>567804</v>
      </c>
      <c r="EX32" s="272">
        <v>567227</v>
      </c>
      <c r="EY32" s="272">
        <v>2732</v>
      </c>
      <c r="EZ32" s="272">
        <v>563894</v>
      </c>
      <c r="FA32" s="272">
        <v>577</v>
      </c>
      <c r="FB32" s="272">
        <v>0</v>
      </c>
      <c r="FC32" s="272">
        <v>1623112</v>
      </c>
      <c r="FD32" s="272">
        <v>1657905</v>
      </c>
      <c r="FE32" s="272">
        <v>456328</v>
      </c>
      <c r="FF32" s="272">
        <v>2068435</v>
      </c>
      <c r="FG32" s="455">
        <f t="shared" si="14"/>
        <v>213706</v>
      </c>
      <c r="FH32" s="272">
        <v>14316900</v>
      </c>
      <c r="FI32" s="459">
        <f t="shared" si="15"/>
        <v>-0.1</v>
      </c>
      <c r="FJ32" s="272">
        <v>11449379</v>
      </c>
      <c r="FK32" s="272">
        <v>834505</v>
      </c>
      <c r="FL32" s="272">
        <v>7367176</v>
      </c>
      <c r="FM32" s="272">
        <v>9275550</v>
      </c>
      <c r="FN32" s="460">
        <v>0.81499999999999995</v>
      </c>
      <c r="FO32" s="388">
        <v>98.2</v>
      </c>
      <c r="FP32" s="388">
        <v>34.299999999999997</v>
      </c>
      <c r="FQ32" s="388">
        <v>11.1</v>
      </c>
      <c r="FR32" s="388">
        <v>20.399999999999999</v>
      </c>
      <c r="FS32" s="388">
        <v>11.5</v>
      </c>
      <c r="FT32" s="388">
        <v>7.1</v>
      </c>
      <c r="FU32" s="388">
        <v>13.1</v>
      </c>
      <c r="FV32" s="384">
        <f t="shared" si="16"/>
        <v>12</v>
      </c>
      <c r="FW32" s="272">
        <v>23071574</v>
      </c>
      <c r="FX32" s="384">
        <f t="shared" si="17"/>
        <v>187.8</v>
      </c>
      <c r="FY32" s="272">
        <v>1736543</v>
      </c>
      <c r="FZ32" s="272">
        <v>0</v>
      </c>
      <c r="GA32" s="272">
        <v>6412</v>
      </c>
      <c r="GB32" s="272">
        <v>1730131</v>
      </c>
      <c r="GC32" s="272">
        <v>1060000</v>
      </c>
      <c r="GD32" s="272">
        <v>9055000</v>
      </c>
      <c r="GE32" s="384">
        <f t="shared" si="18"/>
        <v>73.7</v>
      </c>
      <c r="GF32" s="388">
        <v>96.6</v>
      </c>
      <c r="GG32" s="388">
        <v>20</v>
      </c>
      <c r="GH32" s="388">
        <v>89.1</v>
      </c>
      <c r="GI32" s="272">
        <v>509</v>
      </c>
      <c r="GJ32" s="461">
        <v>0.1</v>
      </c>
      <c r="GK32" s="461">
        <v>13.02</v>
      </c>
      <c r="GL32" s="462">
        <v>20</v>
      </c>
      <c r="GM32" s="461">
        <v>0.82</v>
      </c>
      <c r="GN32" s="462">
        <v>18.02</v>
      </c>
      <c r="GO32" s="462">
        <v>40</v>
      </c>
      <c r="GP32" s="463">
        <v>12</v>
      </c>
      <c r="GQ32" s="463">
        <v>25</v>
      </c>
      <c r="GR32" s="463">
        <v>35</v>
      </c>
      <c r="GS32" s="464">
        <v>192.9</v>
      </c>
      <c r="GT32" s="463">
        <v>350</v>
      </c>
      <c r="GU32" s="394"/>
      <c r="GV32" s="394"/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</row>
    <row r="33" spans="2:230" x14ac:dyDescent="0.15">
      <c r="B33" s="89" t="s">
        <v>59</v>
      </c>
      <c r="C33" s="272">
        <v>6992761</v>
      </c>
      <c r="D33" s="455">
        <f t="shared" si="0"/>
        <v>2940109</v>
      </c>
      <c r="E33" s="272">
        <v>73519</v>
      </c>
      <c r="F33" s="456">
        <v>2866590</v>
      </c>
      <c r="G33" s="455">
        <f t="shared" si="1"/>
        <v>206375</v>
      </c>
      <c r="H33" s="272">
        <v>104654</v>
      </c>
      <c r="I33" s="272">
        <v>101721</v>
      </c>
      <c r="J33" s="272">
        <v>2798769</v>
      </c>
      <c r="K33" s="272">
        <v>1285069</v>
      </c>
      <c r="L33" s="272">
        <v>1261009</v>
      </c>
      <c r="M33" s="272">
        <v>239707</v>
      </c>
      <c r="N33" s="272">
        <v>388012</v>
      </c>
      <c r="O33" s="272">
        <v>603702</v>
      </c>
      <c r="P33" s="272">
        <v>338594</v>
      </c>
      <c r="Q33" s="272">
        <v>265108</v>
      </c>
      <c r="R33" s="272">
        <v>121282</v>
      </c>
      <c r="S33" s="272"/>
      <c r="T33" s="455">
        <f t="shared" si="2"/>
        <v>611923</v>
      </c>
      <c r="U33" s="272">
        <v>42115</v>
      </c>
      <c r="V33" s="272">
        <v>15798</v>
      </c>
      <c r="W33" s="456">
        <v>7343</v>
      </c>
      <c r="X33" s="272">
        <v>455381</v>
      </c>
      <c r="Y33" s="272">
        <v>29821</v>
      </c>
      <c r="Z33" s="272">
        <v>0</v>
      </c>
      <c r="AA33" s="272">
        <v>61465</v>
      </c>
      <c r="AB33" s="272">
        <v>125923</v>
      </c>
      <c r="AC33" s="272">
        <v>3228651</v>
      </c>
      <c r="AD33" s="272">
        <v>2856046</v>
      </c>
      <c r="AE33" s="272">
        <v>372605</v>
      </c>
      <c r="AF33" s="272">
        <v>9871</v>
      </c>
      <c r="AG33" s="272">
        <v>195724</v>
      </c>
      <c r="AH33" s="455">
        <f t="shared" si="3"/>
        <v>286467</v>
      </c>
      <c r="AI33" s="272">
        <v>171874</v>
      </c>
      <c r="AJ33" s="272">
        <v>114593</v>
      </c>
      <c r="AK33" s="272">
        <v>3444421</v>
      </c>
      <c r="AL33" s="455">
        <f t="shared" si="4"/>
        <v>1351216</v>
      </c>
      <c r="AM33" s="272">
        <v>1065472</v>
      </c>
      <c r="AN33" s="272">
        <v>285744</v>
      </c>
      <c r="AO33" s="272"/>
      <c r="AP33" s="272">
        <v>0</v>
      </c>
      <c r="AQ33" s="272">
        <v>376678</v>
      </c>
      <c r="AR33" s="272">
        <v>0</v>
      </c>
      <c r="AS33" s="272">
        <v>0</v>
      </c>
      <c r="AT33" s="272">
        <v>1086137</v>
      </c>
      <c r="AU33" s="272">
        <v>566295</v>
      </c>
      <c r="AV33" s="272">
        <v>100155</v>
      </c>
      <c r="AW33" s="272">
        <v>43129</v>
      </c>
      <c r="AX33" s="272">
        <v>519842</v>
      </c>
      <c r="AY33" s="272">
        <v>35216</v>
      </c>
      <c r="AZ33" s="272">
        <v>22447</v>
      </c>
      <c r="BA33" s="272">
        <v>1182</v>
      </c>
      <c r="BB33" s="272">
        <v>8997</v>
      </c>
      <c r="BC33" s="272">
        <v>1739553</v>
      </c>
      <c r="BD33" s="272">
        <v>1608000</v>
      </c>
      <c r="BE33" s="272">
        <v>0</v>
      </c>
      <c r="BF33" s="272">
        <v>131553</v>
      </c>
      <c r="BG33" s="272">
        <v>0</v>
      </c>
      <c r="BH33" s="272">
        <v>219002</v>
      </c>
      <c r="BI33" s="272">
        <v>184863</v>
      </c>
      <c r="BJ33" s="272">
        <v>439615</v>
      </c>
      <c r="BK33" s="272">
        <v>0</v>
      </c>
      <c r="BL33" s="272">
        <v>0</v>
      </c>
      <c r="BM33" s="272">
        <v>0</v>
      </c>
      <c r="BN33" s="272">
        <v>1043100</v>
      </c>
      <c r="BO33" s="455">
        <f t="shared" si="5"/>
        <v>274200</v>
      </c>
      <c r="BP33" s="455">
        <f t="shared" si="6"/>
        <v>768900</v>
      </c>
      <c r="BQ33" s="272"/>
      <c r="BR33" s="272">
        <v>0</v>
      </c>
      <c r="BS33" s="272">
        <v>768900</v>
      </c>
      <c r="BT33" s="272">
        <v>0</v>
      </c>
      <c r="BU33" s="272">
        <v>19575874</v>
      </c>
      <c r="BV33" s="272"/>
      <c r="BW33" s="272">
        <v>3774969</v>
      </c>
      <c r="BX33" s="272">
        <v>2376522</v>
      </c>
      <c r="BY33" s="272">
        <v>561017</v>
      </c>
      <c r="BZ33" s="272">
        <v>206209</v>
      </c>
      <c r="CA33" s="272">
        <v>3642677</v>
      </c>
      <c r="CB33" s="272">
        <v>535369</v>
      </c>
      <c r="CC33" s="272">
        <v>106806</v>
      </c>
      <c r="CD33" s="272">
        <v>1529053</v>
      </c>
      <c r="CE33" s="272">
        <v>1383944</v>
      </c>
      <c r="CF33" s="272">
        <v>10212</v>
      </c>
      <c r="CG33" s="272">
        <v>77261</v>
      </c>
      <c r="CH33" s="272">
        <v>2263000</v>
      </c>
      <c r="CI33" s="272">
        <v>1887176</v>
      </c>
      <c r="CJ33" s="455">
        <f t="shared" si="7"/>
        <v>375824</v>
      </c>
      <c r="CK33" s="272">
        <v>1981234</v>
      </c>
      <c r="CL33" s="272">
        <v>1297978</v>
      </c>
      <c r="CM33" s="272">
        <v>74588</v>
      </c>
      <c r="CN33" s="272">
        <v>264067</v>
      </c>
      <c r="CO33" s="272">
        <v>63582</v>
      </c>
      <c r="CP33" s="272">
        <v>3143729</v>
      </c>
      <c r="CQ33" s="272">
        <v>450731</v>
      </c>
      <c r="CR33" s="272">
        <v>1224910</v>
      </c>
      <c r="CS33" s="272">
        <v>158935</v>
      </c>
      <c r="CT33" s="455">
        <f t="shared" si="8"/>
        <v>960880</v>
      </c>
      <c r="CU33" s="272">
        <v>685561</v>
      </c>
      <c r="CV33" s="272">
        <v>275319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944945</v>
      </c>
      <c r="DA33" s="272">
        <v>671440</v>
      </c>
      <c r="DB33" s="272">
        <v>273505</v>
      </c>
      <c r="DC33" s="272">
        <v>2749550</v>
      </c>
      <c r="DD33" s="272">
        <v>671740</v>
      </c>
      <c r="DE33" s="272">
        <v>2077810</v>
      </c>
      <c r="DF33" s="26">
        <v>0</v>
      </c>
      <c r="DG33" s="27">
        <v>0</v>
      </c>
      <c r="DH33" s="272">
        <v>0</v>
      </c>
      <c r="DI33" s="272">
        <v>214507</v>
      </c>
      <c r="DJ33" s="272">
        <v>95331</v>
      </c>
      <c r="DK33" s="272">
        <v>119</v>
      </c>
      <c r="DL33" s="272">
        <v>119057</v>
      </c>
      <c r="DM33" s="272">
        <v>0</v>
      </c>
      <c r="DN33" s="272">
        <v>0</v>
      </c>
      <c r="DO33" s="272">
        <v>0</v>
      </c>
      <c r="DP33" s="272">
        <v>0</v>
      </c>
      <c r="DQ33" s="272">
        <v>0</v>
      </c>
      <c r="DR33" s="272">
        <v>0</v>
      </c>
      <c r="DS33" s="272">
        <v>0</v>
      </c>
      <c r="DT33" s="272">
        <v>1251921</v>
      </c>
      <c r="DU33" s="272">
        <v>0</v>
      </c>
      <c r="DV33" s="455">
        <f t="shared" si="11"/>
        <v>0</v>
      </c>
      <c r="DW33" s="272">
        <v>0</v>
      </c>
      <c r="DX33" s="272">
        <v>378668</v>
      </c>
      <c r="DY33" s="272">
        <v>0</v>
      </c>
      <c r="DZ33" s="272">
        <v>455775</v>
      </c>
      <c r="EA33" s="272">
        <v>9185</v>
      </c>
      <c r="EB33" s="272">
        <v>408098</v>
      </c>
      <c r="EC33" s="272">
        <v>0</v>
      </c>
      <c r="ED33" s="272">
        <v>19085169</v>
      </c>
      <c r="EE33" s="89"/>
      <c r="EF33" s="272">
        <v>490705</v>
      </c>
      <c r="EG33" s="272">
        <v>16973</v>
      </c>
      <c r="EH33" s="272">
        <v>473732</v>
      </c>
      <c r="EI33" s="272">
        <v>288869</v>
      </c>
      <c r="EJ33" s="272">
        <v>-1223800</v>
      </c>
      <c r="EK33" s="89"/>
      <c r="EL33" s="272"/>
      <c r="EM33" s="272">
        <v>57134</v>
      </c>
      <c r="EN33" s="272">
        <v>1708000</v>
      </c>
      <c r="EO33" s="272">
        <v>16850</v>
      </c>
      <c r="EP33" s="455">
        <f t="shared" si="12"/>
        <v>796371</v>
      </c>
      <c r="EQ33" s="272">
        <v>11090411</v>
      </c>
      <c r="ER33" s="272">
        <v>-3280250</v>
      </c>
      <c r="ES33" s="272">
        <v>3428812</v>
      </c>
      <c r="ET33" s="272">
        <v>2159725</v>
      </c>
      <c r="EU33" s="272">
        <v>1149976</v>
      </c>
      <c r="EV33" s="272">
        <v>2260826</v>
      </c>
      <c r="EW33" s="455">
        <f t="shared" si="13"/>
        <v>1945243</v>
      </c>
      <c r="EX33" s="272">
        <v>1945243</v>
      </c>
      <c r="EY33" s="272">
        <v>12018</v>
      </c>
      <c r="EZ33" s="272">
        <v>1933225</v>
      </c>
      <c r="FA33" s="272">
        <v>0</v>
      </c>
      <c r="FB33" s="272">
        <v>0</v>
      </c>
      <c r="FC33" s="272">
        <v>1703092</v>
      </c>
      <c r="FD33" s="272">
        <v>2097688</v>
      </c>
      <c r="FE33" s="272">
        <v>448031</v>
      </c>
      <c r="FF33" s="272">
        <v>1023978</v>
      </c>
      <c r="FG33" s="455">
        <f t="shared" si="14"/>
        <v>270341</v>
      </c>
      <c r="FH33" s="272">
        <v>13879956</v>
      </c>
      <c r="FI33" s="459">
        <f t="shared" si="15"/>
        <v>4.3</v>
      </c>
      <c r="FJ33" s="272">
        <v>10206803</v>
      </c>
      <c r="FK33" s="272">
        <v>768984</v>
      </c>
      <c r="FL33" s="272">
        <v>5654727</v>
      </c>
      <c r="FM33" s="272">
        <v>8505801</v>
      </c>
      <c r="FN33" s="460">
        <v>0.66100000000000003</v>
      </c>
      <c r="FO33" s="388">
        <v>100.9</v>
      </c>
      <c r="FP33" s="388">
        <v>30.2</v>
      </c>
      <c r="FQ33" s="388">
        <v>10.5</v>
      </c>
      <c r="FR33" s="388">
        <v>20.7</v>
      </c>
      <c r="FS33" s="388">
        <v>14.6</v>
      </c>
      <c r="FT33" s="388">
        <v>16.100000000000001</v>
      </c>
      <c r="FU33" s="388">
        <v>8.4</v>
      </c>
      <c r="FV33" s="384">
        <f t="shared" si="16"/>
        <v>11</v>
      </c>
      <c r="FW33" s="272">
        <v>19995379</v>
      </c>
      <c r="FX33" s="384">
        <f t="shared" si="17"/>
        <v>182.2</v>
      </c>
      <c r="FY33" s="272">
        <v>1920464</v>
      </c>
      <c r="FZ33" s="272">
        <v>151804</v>
      </c>
      <c r="GA33" s="272">
        <v>50847</v>
      </c>
      <c r="GB33" s="272">
        <v>1717813</v>
      </c>
      <c r="GC33" s="272">
        <v>820800</v>
      </c>
      <c r="GD33" s="272">
        <v>2270000</v>
      </c>
      <c r="GE33" s="384">
        <f t="shared" si="18"/>
        <v>20.7</v>
      </c>
      <c r="GF33" s="388">
        <v>97.9</v>
      </c>
      <c r="GG33" s="388">
        <v>28.6</v>
      </c>
      <c r="GH33" s="388">
        <v>93.6</v>
      </c>
      <c r="GI33" s="272">
        <v>370</v>
      </c>
      <c r="GJ33" s="461" t="s">
        <v>646</v>
      </c>
      <c r="GK33" s="461">
        <v>13.19</v>
      </c>
      <c r="GL33" s="462">
        <v>20</v>
      </c>
      <c r="GM33" s="461" t="s">
        <v>646</v>
      </c>
      <c r="GN33" s="462">
        <v>18.190000000000001</v>
      </c>
      <c r="GO33" s="462">
        <v>40</v>
      </c>
      <c r="GP33" s="463">
        <v>11</v>
      </c>
      <c r="GQ33" s="463">
        <v>25</v>
      </c>
      <c r="GR33" s="463">
        <v>35</v>
      </c>
      <c r="GS33" s="464">
        <v>116.9</v>
      </c>
      <c r="GT33" s="463">
        <v>350</v>
      </c>
      <c r="GU33" s="394"/>
      <c r="GV33" s="394"/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</row>
    <row r="34" spans="2:230" x14ac:dyDescent="0.15">
      <c r="B34" s="89" t="s">
        <v>61</v>
      </c>
      <c r="C34" s="272">
        <v>9619156</v>
      </c>
      <c r="D34" s="455">
        <f t="shared" si="0"/>
        <v>4656298</v>
      </c>
      <c r="E34" s="272">
        <v>104313</v>
      </c>
      <c r="F34" s="456">
        <v>4551985</v>
      </c>
      <c r="G34" s="455">
        <f t="shared" si="1"/>
        <v>352965</v>
      </c>
      <c r="H34" s="272">
        <v>129432</v>
      </c>
      <c r="I34" s="272">
        <v>223533</v>
      </c>
      <c r="J34" s="272">
        <v>3428806</v>
      </c>
      <c r="K34" s="272">
        <v>1506241</v>
      </c>
      <c r="L34" s="272">
        <v>1473100</v>
      </c>
      <c r="M34" s="272">
        <v>402431</v>
      </c>
      <c r="N34" s="272">
        <v>334144</v>
      </c>
      <c r="O34" s="272">
        <v>769799</v>
      </c>
      <c r="P34" s="272">
        <v>456029</v>
      </c>
      <c r="Q34" s="272">
        <v>313770</v>
      </c>
      <c r="R34" s="272">
        <v>155668</v>
      </c>
      <c r="S34" s="272"/>
      <c r="T34" s="455">
        <f t="shared" si="2"/>
        <v>879224</v>
      </c>
      <c r="U34" s="272">
        <v>67672</v>
      </c>
      <c r="V34" s="272">
        <v>25385</v>
      </c>
      <c r="W34" s="456">
        <v>11796</v>
      </c>
      <c r="X34" s="272">
        <v>606461</v>
      </c>
      <c r="Y34" s="272">
        <v>89014</v>
      </c>
      <c r="Z34" s="272">
        <v>0</v>
      </c>
      <c r="AA34" s="272">
        <v>78896</v>
      </c>
      <c r="AB34" s="272">
        <v>158550</v>
      </c>
      <c r="AC34" s="272">
        <v>2612479</v>
      </c>
      <c r="AD34" s="272">
        <v>2397985</v>
      </c>
      <c r="AE34" s="272">
        <v>214494</v>
      </c>
      <c r="AF34" s="272">
        <v>13089</v>
      </c>
      <c r="AG34" s="272">
        <v>239262</v>
      </c>
      <c r="AH34" s="455">
        <f t="shared" si="3"/>
        <v>423166</v>
      </c>
      <c r="AI34" s="272">
        <v>333801</v>
      </c>
      <c r="AJ34" s="272">
        <v>89365</v>
      </c>
      <c r="AK34" s="272">
        <v>3558713</v>
      </c>
      <c r="AL34" s="455">
        <f t="shared" si="4"/>
        <v>998325</v>
      </c>
      <c r="AM34" s="272">
        <v>804934</v>
      </c>
      <c r="AN34" s="272">
        <v>193391</v>
      </c>
      <c r="AO34" s="272"/>
      <c r="AP34" s="272">
        <v>0</v>
      </c>
      <c r="AQ34" s="272">
        <v>81425</v>
      </c>
      <c r="AR34" s="272">
        <v>0</v>
      </c>
      <c r="AS34" s="272">
        <v>0</v>
      </c>
      <c r="AT34" s="272">
        <v>1182781</v>
      </c>
      <c r="AU34" s="272">
        <v>585655</v>
      </c>
      <c r="AV34" s="272">
        <v>96696</v>
      </c>
      <c r="AW34" s="272">
        <v>798</v>
      </c>
      <c r="AX34" s="272">
        <v>597126</v>
      </c>
      <c r="AY34" s="272">
        <v>17522</v>
      </c>
      <c r="AZ34" s="272">
        <v>53139</v>
      </c>
      <c r="BA34" s="272">
        <v>34322</v>
      </c>
      <c r="BB34" s="272">
        <v>7077</v>
      </c>
      <c r="BC34" s="272">
        <v>17133</v>
      </c>
      <c r="BD34" s="272">
        <v>0</v>
      </c>
      <c r="BE34" s="272">
        <v>0</v>
      </c>
      <c r="BF34" s="272">
        <v>0</v>
      </c>
      <c r="BG34" s="272">
        <v>0</v>
      </c>
      <c r="BH34" s="272">
        <v>155035</v>
      </c>
      <c r="BI34" s="272">
        <v>122802</v>
      </c>
      <c r="BJ34" s="272">
        <v>539048</v>
      </c>
      <c r="BK34" s="272">
        <v>100000</v>
      </c>
      <c r="BL34" s="272">
        <v>0</v>
      </c>
      <c r="BM34" s="272">
        <v>0</v>
      </c>
      <c r="BN34" s="272">
        <v>2461669</v>
      </c>
      <c r="BO34" s="455">
        <f t="shared" si="5"/>
        <v>1221200</v>
      </c>
      <c r="BP34" s="455">
        <f t="shared" si="6"/>
        <v>1012769</v>
      </c>
      <c r="BQ34" s="272"/>
      <c r="BR34" s="272">
        <v>0</v>
      </c>
      <c r="BS34" s="272">
        <v>1012769</v>
      </c>
      <c r="BT34" s="272">
        <v>227700</v>
      </c>
      <c r="BU34" s="272">
        <v>22075189</v>
      </c>
      <c r="BV34" s="272"/>
      <c r="BW34" s="272">
        <v>4803817</v>
      </c>
      <c r="BX34" s="272">
        <v>3041024</v>
      </c>
      <c r="BY34" s="272">
        <v>459334</v>
      </c>
      <c r="BZ34" s="272">
        <v>431953</v>
      </c>
      <c r="CA34" s="272">
        <v>3939800</v>
      </c>
      <c r="CB34" s="272">
        <v>923453</v>
      </c>
      <c r="CC34" s="272">
        <v>114778</v>
      </c>
      <c r="CD34" s="272">
        <v>1652013</v>
      </c>
      <c r="CE34" s="272">
        <v>1071284</v>
      </c>
      <c r="CF34" s="272">
        <v>0</v>
      </c>
      <c r="CG34" s="272">
        <v>178272</v>
      </c>
      <c r="CH34" s="272">
        <v>3989180</v>
      </c>
      <c r="CI34" s="272">
        <v>3354331</v>
      </c>
      <c r="CJ34" s="455">
        <f t="shared" si="7"/>
        <v>634849</v>
      </c>
      <c r="CK34" s="272">
        <v>2545455</v>
      </c>
      <c r="CL34" s="272">
        <v>1390695</v>
      </c>
      <c r="CM34" s="272">
        <v>183868</v>
      </c>
      <c r="CN34" s="272">
        <v>447314</v>
      </c>
      <c r="CO34" s="272">
        <v>90230</v>
      </c>
      <c r="CP34" s="272">
        <v>2165952</v>
      </c>
      <c r="CQ34" s="272">
        <v>518203</v>
      </c>
      <c r="CR34" s="272">
        <v>1469448</v>
      </c>
      <c r="CS34" s="272">
        <v>158445</v>
      </c>
      <c r="CT34" s="455">
        <f t="shared" si="8"/>
        <v>7925</v>
      </c>
      <c r="CU34" s="272">
        <v>7925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1788564</v>
      </c>
      <c r="DD34" s="272">
        <v>109112</v>
      </c>
      <c r="DE34" s="272">
        <v>1666328</v>
      </c>
      <c r="DF34" s="26">
        <v>13124</v>
      </c>
      <c r="DG34" s="27">
        <v>0</v>
      </c>
      <c r="DH34" s="272">
        <v>0</v>
      </c>
      <c r="DI34" s="272">
        <v>445200</v>
      </c>
      <c r="DJ34" s="272">
        <v>164581</v>
      </c>
      <c r="DK34" s="272">
        <v>2206</v>
      </c>
      <c r="DL34" s="272">
        <v>278413</v>
      </c>
      <c r="DM34" s="272">
        <v>0</v>
      </c>
      <c r="DN34" s="272">
        <v>0</v>
      </c>
      <c r="DO34" s="272">
        <v>0</v>
      </c>
      <c r="DP34" s="272">
        <v>0</v>
      </c>
      <c r="DQ34" s="272">
        <v>0</v>
      </c>
      <c r="DR34" s="272">
        <v>0</v>
      </c>
      <c r="DS34" s="272">
        <v>0</v>
      </c>
      <c r="DT34" s="272">
        <v>1984680</v>
      </c>
      <c r="DU34" s="272">
        <v>342000</v>
      </c>
      <c r="DV34" s="455">
        <f t="shared" si="11"/>
        <v>0</v>
      </c>
      <c r="DW34" s="272">
        <v>0</v>
      </c>
      <c r="DX34" s="272">
        <v>527249</v>
      </c>
      <c r="DY34" s="272">
        <v>0</v>
      </c>
      <c r="DZ34" s="272">
        <v>536356</v>
      </c>
      <c r="EA34" s="272">
        <v>9699</v>
      </c>
      <c r="EB34" s="272">
        <v>569376</v>
      </c>
      <c r="EC34" s="272">
        <v>0</v>
      </c>
      <c r="ED34" s="272">
        <v>21752878</v>
      </c>
      <c r="EE34" s="89"/>
      <c r="EF34" s="272">
        <v>322311</v>
      </c>
      <c r="EG34" s="272">
        <v>52243</v>
      </c>
      <c r="EH34" s="272">
        <v>270068</v>
      </c>
      <c r="EI34" s="272">
        <v>147266</v>
      </c>
      <c r="EJ34" s="272">
        <v>316841</v>
      </c>
      <c r="EK34" s="89"/>
      <c r="EL34" s="272"/>
      <c r="EM34" s="272">
        <v>78492</v>
      </c>
      <c r="EN34" s="272">
        <v>940</v>
      </c>
      <c r="EO34" s="272">
        <v>45405</v>
      </c>
      <c r="EP34" s="455">
        <f t="shared" si="12"/>
        <v>675738</v>
      </c>
      <c r="EQ34" s="272">
        <v>13438166</v>
      </c>
      <c r="ER34" s="272">
        <v>-1721763</v>
      </c>
      <c r="ES34" s="272">
        <v>4330560</v>
      </c>
      <c r="ET34" s="272">
        <v>2872005</v>
      </c>
      <c r="EU34" s="272">
        <v>1411477</v>
      </c>
      <c r="EV34" s="272">
        <v>3889180</v>
      </c>
      <c r="EW34" s="455">
        <f t="shared" si="13"/>
        <v>460274</v>
      </c>
      <c r="EX34" s="272">
        <v>460274</v>
      </c>
      <c r="EY34" s="272">
        <v>9547</v>
      </c>
      <c r="EZ34" s="272">
        <v>450065</v>
      </c>
      <c r="FA34" s="272">
        <v>0</v>
      </c>
      <c r="FB34" s="272">
        <v>0</v>
      </c>
      <c r="FC34" s="272">
        <v>1930659</v>
      </c>
      <c r="FD34" s="272">
        <v>847384</v>
      </c>
      <c r="FE34" s="272">
        <v>490626</v>
      </c>
      <c r="FF34" s="272">
        <v>1716044</v>
      </c>
      <c r="FG34" s="455">
        <f t="shared" si="14"/>
        <v>252040</v>
      </c>
      <c r="FH34" s="272">
        <v>14837618</v>
      </c>
      <c r="FI34" s="459">
        <f t="shared" si="15"/>
        <v>2</v>
      </c>
      <c r="FJ34" s="272">
        <v>12508814</v>
      </c>
      <c r="FK34" s="272">
        <v>1012769</v>
      </c>
      <c r="FL34" s="272">
        <v>7828475</v>
      </c>
      <c r="FM34" s="272">
        <v>10232153</v>
      </c>
      <c r="FN34" s="460">
        <v>0.77</v>
      </c>
      <c r="FO34" s="388">
        <v>98.8</v>
      </c>
      <c r="FP34" s="388">
        <v>31.3</v>
      </c>
      <c r="FQ34" s="388">
        <v>10.4</v>
      </c>
      <c r="FR34" s="388">
        <v>28.6</v>
      </c>
      <c r="FS34" s="388">
        <v>12.2</v>
      </c>
      <c r="FT34" s="388">
        <v>5.6</v>
      </c>
      <c r="FU34" s="388">
        <v>10.1</v>
      </c>
      <c r="FV34" s="384">
        <f t="shared" si="16"/>
        <v>16.2</v>
      </c>
      <c r="FW34" s="272">
        <v>31950678</v>
      </c>
      <c r="FX34" s="384">
        <f t="shared" si="17"/>
        <v>236.3</v>
      </c>
      <c r="FY34" s="272">
        <v>2972540</v>
      </c>
      <c r="FZ34" s="272">
        <v>890968</v>
      </c>
      <c r="GA34" s="272">
        <v>642237</v>
      </c>
      <c r="GB34" s="272">
        <v>1439335</v>
      </c>
      <c r="GC34" s="272">
        <v>0</v>
      </c>
      <c r="GD34" s="272">
        <v>20803000</v>
      </c>
      <c r="GE34" s="384">
        <f t="shared" si="18"/>
        <v>153.9</v>
      </c>
      <c r="GF34" s="388">
        <v>98.2</v>
      </c>
      <c r="GG34" s="388">
        <v>26.2</v>
      </c>
      <c r="GH34" s="388">
        <v>94.4</v>
      </c>
      <c r="GI34" s="272">
        <v>481</v>
      </c>
      <c r="GJ34" s="461" t="s">
        <v>646</v>
      </c>
      <c r="GK34" s="461">
        <v>12.9</v>
      </c>
      <c r="GL34" s="462">
        <v>20</v>
      </c>
      <c r="GM34" s="461" t="s">
        <v>646</v>
      </c>
      <c r="GN34" s="462">
        <v>17.899999999999999</v>
      </c>
      <c r="GO34" s="462">
        <v>40</v>
      </c>
      <c r="GP34" s="463">
        <v>16.2</v>
      </c>
      <c r="GQ34" s="463">
        <v>25</v>
      </c>
      <c r="GR34" s="463">
        <v>35</v>
      </c>
      <c r="GS34" s="464">
        <v>304.5</v>
      </c>
      <c r="GT34" s="463">
        <v>350</v>
      </c>
      <c r="GU34" s="394"/>
      <c r="GV34" s="394"/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</row>
    <row r="35" spans="2:230" x14ac:dyDescent="0.15">
      <c r="B35" s="89" t="s">
        <v>63</v>
      </c>
      <c r="C35" s="272">
        <v>7732076</v>
      </c>
      <c r="D35" s="455">
        <f t="shared" si="0"/>
        <v>3698221</v>
      </c>
      <c r="E35" s="272">
        <v>78139</v>
      </c>
      <c r="F35" s="456">
        <v>3620082</v>
      </c>
      <c r="G35" s="455">
        <f t="shared" si="1"/>
        <v>447912</v>
      </c>
      <c r="H35" s="272">
        <v>100131</v>
      </c>
      <c r="I35" s="272">
        <v>347781</v>
      </c>
      <c r="J35" s="272">
        <v>2861546</v>
      </c>
      <c r="K35" s="272">
        <v>1173623</v>
      </c>
      <c r="L35" s="272">
        <v>1255079</v>
      </c>
      <c r="M35" s="272">
        <v>401502</v>
      </c>
      <c r="N35" s="272">
        <v>297572</v>
      </c>
      <c r="O35" s="272">
        <v>365578</v>
      </c>
      <c r="P35" s="272">
        <v>206122</v>
      </c>
      <c r="Q35" s="272">
        <v>159456</v>
      </c>
      <c r="R35" s="272">
        <v>124452</v>
      </c>
      <c r="S35" s="272"/>
      <c r="T35" s="455">
        <f t="shared" si="2"/>
        <v>666869</v>
      </c>
      <c r="U35" s="272">
        <v>53804</v>
      </c>
      <c r="V35" s="272">
        <v>20185</v>
      </c>
      <c r="W35" s="456">
        <v>9349</v>
      </c>
      <c r="X35" s="272">
        <v>520455</v>
      </c>
      <c r="Y35" s="272">
        <v>0</v>
      </c>
      <c r="Z35" s="272">
        <v>0</v>
      </c>
      <c r="AA35" s="272">
        <v>63076</v>
      </c>
      <c r="AB35" s="272">
        <v>133182</v>
      </c>
      <c r="AC35" s="272">
        <v>2098102</v>
      </c>
      <c r="AD35" s="272">
        <v>1806123</v>
      </c>
      <c r="AE35" s="272">
        <v>291979</v>
      </c>
      <c r="AF35" s="272">
        <v>12374</v>
      </c>
      <c r="AG35" s="272">
        <v>172248</v>
      </c>
      <c r="AH35" s="455">
        <f t="shared" si="3"/>
        <v>251360</v>
      </c>
      <c r="AI35" s="272">
        <v>209083</v>
      </c>
      <c r="AJ35" s="272">
        <v>42277</v>
      </c>
      <c r="AK35" s="272">
        <v>3324135</v>
      </c>
      <c r="AL35" s="455">
        <f t="shared" si="4"/>
        <v>1006765</v>
      </c>
      <c r="AM35" s="272">
        <v>851868</v>
      </c>
      <c r="AN35" s="272">
        <v>154897</v>
      </c>
      <c r="AO35" s="272"/>
      <c r="AP35" s="272">
        <v>0</v>
      </c>
      <c r="AQ35" s="272">
        <v>532119</v>
      </c>
      <c r="AR35" s="272">
        <v>0</v>
      </c>
      <c r="AS35" s="272">
        <v>0</v>
      </c>
      <c r="AT35" s="272">
        <v>983938</v>
      </c>
      <c r="AU35" s="272">
        <v>486030</v>
      </c>
      <c r="AV35" s="272">
        <v>77458</v>
      </c>
      <c r="AW35" s="272">
        <v>0</v>
      </c>
      <c r="AX35" s="272">
        <v>497908</v>
      </c>
      <c r="AY35" s="272">
        <v>10487</v>
      </c>
      <c r="AZ35" s="272">
        <v>17648</v>
      </c>
      <c r="BA35" s="272">
        <v>884</v>
      </c>
      <c r="BB35" s="272">
        <v>10467</v>
      </c>
      <c r="BC35" s="272">
        <v>1433</v>
      </c>
      <c r="BD35" s="272">
        <v>0</v>
      </c>
      <c r="BE35" s="272">
        <v>0</v>
      </c>
      <c r="BF35" s="272">
        <v>287</v>
      </c>
      <c r="BG35" s="272">
        <v>0</v>
      </c>
      <c r="BH35" s="272">
        <v>616796</v>
      </c>
      <c r="BI35" s="272">
        <v>615154</v>
      </c>
      <c r="BJ35" s="272">
        <v>257878</v>
      </c>
      <c r="BK35" s="272">
        <v>98</v>
      </c>
      <c r="BL35" s="272">
        <v>0</v>
      </c>
      <c r="BM35" s="272">
        <v>0</v>
      </c>
      <c r="BN35" s="272">
        <v>1115400</v>
      </c>
      <c r="BO35" s="455">
        <f t="shared" si="5"/>
        <v>330700</v>
      </c>
      <c r="BP35" s="455">
        <f t="shared" si="6"/>
        <v>784700</v>
      </c>
      <c r="BQ35" s="272"/>
      <c r="BR35" s="272">
        <v>0</v>
      </c>
      <c r="BS35" s="272">
        <v>784700</v>
      </c>
      <c r="BT35" s="272">
        <v>0</v>
      </c>
      <c r="BU35" s="272">
        <v>17518358</v>
      </c>
      <c r="BV35" s="272"/>
      <c r="BW35" s="272">
        <v>3711840</v>
      </c>
      <c r="BX35" s="272">
        <v>2568906</v>
      </c>
      <c r="BY35" s="272">
        <v>268072</v>
      </c>
      <c r="BZ35" s="272">
        <v>195668</v>
      </c>
      <c r="CA35" s="272">
        <v>2984195</v>
      </c>
      <c r="CB35" s="272">
        <v>459962</v>
      </c>
      <c r="CC35" s="272">
        <v>80237</v>
      </c>
      <c r="CD35" s="272">
        <v>1255869</v>
      </c>
      <c r="CE35" s="272">
        <v>1130837</v>
      </c>
      <c r="CF35" s="272">
        <v>1122</v>
      </c>
      <c r="CG35" s="272">
        <v>56168</v>
      </c>
      <c r="CH35" s="272">
        <v>2336989</v>
      </c>
      <c r="CI35" s="272">
        <v>1969648</v>
      </c>
      <c r="CJ35" s="455">
        <f t="shared" si="7"/>
        <v>367341</v>
      </c>
      <c r="CK35" s="272">
        <v>2542704</v>
      </c>
      <c r="CL35" s="272">
        <v>1627799</v>
      </c>
      <c r="CM35" s="272">
        <v>129242</v>
      </c>
      <c r="CN35" s="272">
        <v>291194</v>
      </c>
      <c r="CO35" s="272">
        <v>22537</v>
      </c>
      <c r="CP35" s="272">
        <v>1959612</v>
      </c>
      <c r="CQ35" s="272">
        <v>474763</v>
      </c>
      <c r="CR35" s="272">
        <v>1223576</v>
      </c>
      <c r="CS35" s="272">
        <v>181398</v>
      </c>
      <c r="CT35" s="455">
        <f t="shared" si="8"/>
        <v>4840</v>
      </c>
      <c r="CU35" s="272">
        <v>4840</v>
      </c>
      <c r="CV35" s="272">
        <v>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1356439</v>
      </c>
      <c r="DD35" s="272">
        <v>582762</v>
      </c>
      <c r="DE35" s="272">
        <v>766171</v>
      </c>
      <c r="DF35" s="26">
        <v>7506</v>
      </c>
      <c r="DG35" s="27">
        <v>0</v>
      </c>
      <c r="DH35" s="272">
        <v>0</v>
      </c>
      <c r="DI35" s="272">
        <v>459692</v>
      </c>
      <c r="DJ35" s="272">
        <v>256976</v>
      </c>
      <c r="DK35" s="272">
        <v>100</v>
      </c>
      <c r="DL35" s="272">
        <v>202616</v>
      </c>
      <c r="DM35" s="272">
        <v>0</v>
      </c>
      <c r="DN35" s="272">
        <v>0</v>
      </c>
      <c r="DO35" s="272">
        <v>0</v>
      </c>
      <c r="DP35" s="272">
        <v>0</v>
      </c>
      <c r="DQ35" s="272">
        <v>0</v>
      </c>
      <c r="DR35" s="272">
        <v>0</v>
      </c>
      <c r="DS35" s="272">
        <v>0</v>
      </c>
      <c r="DT35" s="272">
        <v>1654844</v>
      </c>
      <c r="DU35" s="272">
        <v>363306</v>
      </c>
      <c r="DV35" s="455">
        <f t="shared" si="11"/>
        <v>0</v>
      </c>
      <c r="DW35" s="272">
        <v>0</v>
      </c>
      <c r="DX35" s="272">
        <v>428872</v>
      </c>
      <c r="DY35" s="272">
        <v>0</v>
      </c>
      <c r="DZ35" s="272">
        <v>377992</v>
      </c>
      <c r="EA35" s="272">
        <v>3</v>
      </c>
      <c r="EB35" s="272">
        <v>484671</v>
      </c>
      <c r="EC35" s="272">
        <v>0</v>
      </c>
      <c r="ED35" s="272">
        <v>17028852</v>
      </c>
      <c r="EE35" s="89"/>
      <c r="EF35" s="272">
        <v>489506</v>
      </c>
      <c r="EG35" s="272">
        <v>57746</v>
      </c>
      <c r="EH35" s="272">
        <v>431760</v>
      </c>
      <c r="EI35" s="272">
        <v>-183394</v>
      </c>
      <c r="EJ35" s="272">
        <v>73675</v>
      </c>
      <c r="EK35" s="89"/>
      <c r="EL35" s="272"/>
      <c r="EM35" s="272">
        <v>57478</v>
      </c>
      <c r="EN35" s="272">
        <v>1146</v>
      </c>
      <c r="EO35" s="272">
        <v>8682</v>
      </c>
      <c r="EP35" s="455">
        <f t="shared" si="12"/>
        <v>1194904</v>
      </c>
      <c r="EQ35" s="272">
        <v>10767055</v>
      </c>
      <c r="ER35" s="272">
        <v>-1977058</v>
      </c>
      <c r="ES35" s="272">
        <v>3440695</v>
      </c>
      <c r="ET35" s="272">
        <v>2323210</v>
      </c>
      <c r="EU35" s="272">
        <v>941582</v>
      </c>
      <c r="EV35" s="272">
        <v>2336989</v>
      </c>
      <c r="EW35" s="455">
        <f t="shared" si="13"/>
        <v>667912</v>
      </c>
      <c r="EX35" s="272">
        <v>667912</v>
      </c>
      <c r="EY35" s="272">
        <v>209142</v>
      </c>
      <c r="EZ35" s="272">
        <v>455053</v>
      </c>
      <c r="FA35" s="272">
        <v>0</v>
      </c>
      <c r="FB35" s="272">
        <v>0</v>
      </c>
      <c r="FC35" s="272">
        <v>2142515</v>
      </c>
      <c r="FD35" s="272">
        <v>959955</v>
      </c>
      <c r="FE35" s="272">
        <v>474763</v>
      </c>
      <c r="FF35" s="272">
        <v>1442170</v>
      </c>
      <c r="FG35" s="455">
        <f t="shared" si="14"/>
        <v>322789</v>
      </c>
      <c r="FH35" s="272">
        <v>12254607</v>
      </c>
      <c r="FI35" s="459">
        <f t="shared" si="15"/>
        <v>3.9</v>
      </c>
      <c r="FJ35" s="272">
        <v>10427986</v>
      </c>
      <c r="FK35" s="272">
        <v>784736</v>
      </c>
      <c r="FL35" s="272">
        <v>6563212</v>
      </c>
      <c r="FM35" s="272">
        <v>8394248</v>
      </c>
      <c r="FN35" s="460">
        <v>0.78700000000000003</v>
      </c>
      <c r="FO35" s="388">
        <v>97.8</v>
      </c>
      <c r="FP35" s="388">
        <v>30.9</v>
      </c>
      <c r="FQ35" s="388">
        <v>8.6</v>
      </c>
      <c r="FR35" s="388">
        <v>21.3</v>
      </c>
      <c r="FS35" s="388">
        <v>17.5</v>
      </c>
      <c r="FT35" s="388">
        <v>8.1999999999999993</v>
      </c>
      <c r="FU35" s="388">
        <v>11.2</v>
      </c>
      <c r="FV35" s="384">
        <f t="shared" si="16"/>
        <v>10.3</v>
      </c>
      <c r="FW35" s="272">
        <v>18097695</v>
      </c>
      <c r="FX35" s="384">
        <f t="shared" si="17"/>
        <v>161.4</v>
      </c>
      <c r="FY35" s="272">
        <v>3630792</v>
      </c>
      <c r="FZ35" s="272">
        <v>2303037</v>
      </c>
      <c r="GA35" s="272">
        <v>36528</v>
      </c>
      <c r="GB35" s="272">
        <v>1291227</v>
      </c>
      <c r="GC35" s="272">
        <v>0</v>
      </c>
      <c r="GD35" s="272">
        <v>1025000</v>
      </c>
      <c r="GE35" s="384">
        <f t="shared" si="18"/>
        <v>9.1</v>
      </c>
      <c r="GF35" s="388">
        <v>97.8</v>
      </c>
      <c r="GG35" s="388">
        <v>17.7</v>
      </c>
      <c r="GH35" s="388">
        <v>92.1</v>
      </c>
      <c r="GI35" s="272">
        <v>373</v>
      </c>
      <c r="GJ35" s="461" t="s">
        <v>646</v>
      </c>
      <c r="GK35" s="461">
        <v>13.15</v>
      </c>
      <c r="GL35" s="462">
        <v>20</v>
      </c>
      <c r="GM35" s="461" t="s">
        <v>646</v>
      </c>
      <c r="GN35" s="462">
        <v>18.149999999999999</v>
      </c>
      <c r="GO35" s="462">
        <v>40</v>
      </c>
      <c r="GP35" s="463">
        <v>10.3</v>
      </c>
      <c r="GQ35" s="463">
        <v>25</v>
      </c>
      <c r="GR35" s="463">
        <v>35</v>
      </c>
      <c r="GS35" s="464">
        <v>49.8</v>
      </c>
      <c r="GT35" s="463">
        <v>350</v>
      </c>
      <c r="GU35" s="394"/>
      <c r="GV35" s="394"/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</row>
    <row r="36" spans="2:230" x14ac:dyDescent="0.15">
      <c r="B36" s="89" t="s">
        <v>65</v>
      </c>
      <c r="C36" s="272">
        <v>5666549</v>
      </c>
      <c r="D36" s="455">
        <f t="shared" si="0"/>
        <v>2688796</v>
      </c>
      <c r="E36" s="272">
        <v>75434</v>
      </c>
      <c r="F36" s="456">
        <v>2613362</v>
      </c>
      <c r="G36" s="455">
        <f t="shared" si="1"/>
        <v>137744</v>
      </c>
      <c r="H36" s="272">
        <v>69253</v>
      </c>
      <c r="I36" s="272">
        <v>68491</v>
      </c>
      <c r="J36" s="272">
        <v>2069256</v>
      </c>
      <c r="K36" s="272">
        <v>763856</v>
      </c>
      <c r="L36" s="272">
        <v>1021265</v>
      </c>
      <c r="M36" s="272">
        <v>237081</v>
      </c>
      <c r="N36" s="272">
        <v>256133</v>
      </c>
      <c r="O36" s="272">
        <v>424037</v>
      </c>
      <c r="P36" s="272">
        <v>211191</v>
      </c>
      <c r="Q36" s="272">
        <v>212846</v>
      </c>
      <c r="R36" s="272">
        <v>142232</v>
      </c>
      <c r="S36" s="272"/>
      <c r="T36" s="455">
        <f t="shared" si="2"/>
        <v>569597</v>
      </c>
      <c r="U36" s="272">
        <v>38742</v>
      </c>
      <c r="V36" s="272">
        <v>14531</v>
      </c>
      <c r="W36" s="456">
        <v>6765</v>
      </c>
      <c r="X36" s="272">
        <v>435242</v>
      </c>
      <c r="Y36" s="272">
        <v>2229</v>
      </c>
      <c r="Z36" s="272">
        <v>0</v>
      </c>
      <c r="AA36" s="272">
        <v>72088</v>
      </c>
      <c r="AB36" s="272">
        <v>92377</v>
      </c>
      <c r="AC36" s="272">
        <v>3557731</v>
      </c>
      <c r="AD36" s="272">
        <v>3263127</v>
      </c>
      <c r="AE36" s="272">
        <v>294604</v>
      </c>
      <c r="AF36" s="272">
        <v>10798</v>
      </c>
      <c r="AG36" s="272">
        <v>99640</v>
      </c>
      <c r="AH36" s="455">
        <f t="shared" si="3"/>
        <v>329073</v>
      </c>
      <c r="AI36" s="272">
        <v>228250</v>
      </c>
      <c r="AJ36" s="272">
        <v>100823</v>
      </c>
      <c r="AK36" s="272">
        <v>2509395</v>
      </c>
      <c r="AL36" s="455">
        <f t="shared" si="4"/>
        <v>861660</v>
      </c>
      <c r="AM36" s="272">
        <v>682096</v>
      </c>
      <c r="AN36" s="272">
        <v>179564</v>
      </c>
      <c r="AO36" s="272"/>
      <c r="AP36" s="272">
        <v>0</v>
      </c>
      <c r="AQ36" s="272">
        <v>56609</v>
      </c>
      <c r="AR36" s="272">
        <v>0</v>
      </c>
      <c r="AS36" s="272">
        <v>0</v>
      </c>
      <c r="AT36" s="272">
        <v>1037008</v>
      </c>
      <c r="AU36" s="272">
        <v>528963</v>
      </c>
      <c r="AV36" s="272">
        <v>63576</v>
      </c>
      <c r="AW36" s="272">
        <v>0</v>
      </c>
      <c r="AX36" s="272">
        <v>508045</v>
      </c>
      <c r="AY36" s="272">
        <v>39464</v>
      </c>
      <c r="AZ36" s="272">
        <v>14755</v>
      </c>
      <c r="BA36" s="272">
        <v>8713</v>
      </c>
      <c r="BB36" s="272">
        <v>4905</v>
      </c>
      <c r="BC36" s="272">
        <v>1300</v>
      </c>
      <c r="BD36" s="272">
        <v>0</v>
      </c>
      <c r="BE36" s="272">
        <v>0</v>
      </c>
      <c r="BF36" s="272">
        <v>177</v>
      </c>
      <c r="BG36" s="272">
        <v>0</v>
      </c>
      <c r="BH36" s="272">
        <v>181614</v>
      </c>
      <c r="BI36" s="272">
        <v>153992</v>
      </c>
      <c r="BJ36" s="272">
        <v>144836</v>
      </c>
      <c r="BK36" s="272">
        <v>0</v>
      </c>
      <c r="BL36" s="272">
        <v>0</v>
      </c>
      <c r="BM36" s="272">
        <v>0</v>
      </c>
      <c r="BN36" s="272">
        <v>1003775</v>
      </c>
      <c r="BO36" s="455">
        <f t="shared" si="5"/>
        <v>148900</v>
      </c>
      <c r="BP36" s="455">
        <f t="shared" si="6"/>
        <v>753575</v>
      </c>
      <c r="BQ36" s="272"/>
      <c r="BR36" s="272">
        <v>0</v>
      </c>
      <c r="BS36" s="272">
        <v>753575</v>
      </c>
      <c r="BT36" s="272">
        <v>101300</v>
      </c>
      <c r="BU36" s="272">
        <v>15365585</v>
      </c>
      <c r="BV36" s="272"/>
      <c r="BW36" s="272">
        <v>3090946</v>
      </c>
      <c r="BX36" s="272">
        <v>2152922</v>
      </c>
      <c r="BY36" s="272">
        <v>301073</v>
      </c>
      <c r="BZ36" s="272">
        <v>18834</v>
      </c>
      <c r="CA36" s="272">
        <v>2655068</v>
      </c>
      <c r="CB36" s="272">
        <v>535784</v>
      </c>
      <c r="CC36" s="272">
        <v>79914</v>
      </c>
      <c r="CD36" s="272">
        <v>1093645</v>
      </c>
      <c r="CE36" s="272">
        <v>864549</v>
      </c>
      <c r="CF36" s="272">
        <v>3343</v>
      </c>
      <c r="CG36" s="272">
        <v>77833</v>
      </c>
      <c r="CH36" s="272">
        <v>1617307</v>
      </c>
      <c r="CI36" s="272">
        <v>1294314</v>
      </c>
      <c r="CJ36" s="455">
        <f t="shared" si="7"/>
        <v>322993</v>
      </c>
      <c r="CK36" s="272">
        <v>2068990</v>
      </c>
      <c r="CL36" s="272">
        <v>1052897</v>
      </c>
      <c r="CM36" s="272">
        <v>333483</v>
      </c>
      <c r="CN36" s="272">
        <v>343711</v>
      </c>
      <c r="CO36" s="272">
        <v>106668</v>
      </c>
      <c r="CP36" s="272">
        <v>2804535</v>
      </c>
      <c r="CQ36" s="272">
        <v>943435</v>
      </c>
      <c r="CR36" s="272">
        <v>228080</v>
      </c>
      <c r="CS36" s="272">
        <v>228080</v>
      </c>
      <c r="CT36" s="455">
        <f t="shared" si="8"/>
        <v>510948</v>
      </c>
      <c r="CU36" s="272">
        <v>77290</v>
      </c>
      <c r="CV36" s="272">
        <v>433658</v>
      </c>
      <c r="CW36" s="455">
        <f t="shared" si="9"/>
        <v>482476</v>
      </c>
      <c r="CX36" s="272">
        <v>71518</v>
      </c>
      <c r="CY36" s="272">
        <v>410958</v>
      </c>
      <c r="CZ36" s="455">
        <f t="shared" si="10"/>
        <v>0</v>
      </c>
      <c r="DA36" s="272">
        <v>0</v>
      </c>
      <c r="DB36" s="272">
        <v>0</v>
      </c>
      <c r="DC36" s="272">
        <v>534246</v>
      </c>
      <c r="DD36" s="272">
        <v>168191</v>
      </c>
      <c r="DE36" s="272">
        <v>354715</v>
      </c>
      <c r="DF36" s="26">
        <v>11340</v>
      </c>
      <c r="DG36" s="27">
        <v>0</v>
      </c>
      <c r="DH36" s="272">
        <v>0</v>
      </c>
      <c r="DI36" s="272">
        <v>381530</v>
      </c>
      <c r="DJ36" s="272">
        <v>340891</v>
      </c>
      <c r="DK36" s="272">
        <v>737</v>
      </c>
      <c r="DL36" s="272">
        <v>39902</v>
      </c>
      <c r="DM36" s="272">
        <v>0</v>
      </c>
      <c r="DN36" s="272">
        <v>0</v>
      </c>
      <c r="DO36" s="272">
        <v>0</v>
      </c>
      <c r="DP36" s="272">
        <v>0</v>
      </c>
      <c r="DQ36" s="272">
        <v>0</v>
      </c>
      <c r="DR36" s="272">
        <v>0</v>
      </c>
      <c r="DS36" s="272">
        <v>0</v>
      </c>
      <c r="DT36" s="272">
        <v>1930515</v>
      </c>
      <c r="DU36" s="272">
        <v>486713</v>
      </c>
      <c r="DV36" s="455">
        <f t="shared" si="11"/>
        <v>0</v>
      </c>
      <c r="DW36" s="272">
        <v>0</v>
      </c>
      <c r="DX36" s="272">
        <v>523940</v>
      </c>
      <c r="DY36" s="272">
        <v>0</v>
      </c>
      <c r="DZ36" s="272">
        <v>465516</v>
      </c>
      <c r="EA36" s="272">
        <v>2921</v>
      </c>
      <c r="EB36" s="272">
        <v>451415</v>
      </c>
      <c r="EC36" s="272">
        <v>0</v>
      </c>
      <c r="ED36" s="272">
        <v>15189805</v>
      </c>
      <c r="EE36" s="89"/>
      <c r="EF36" s="272">
        <v>175780</v>
      </c>
      <c r="EG36" s="272">
        <v>5453</v>
      </c>
      <c r="EH36" s="272">
        <v>170327</v>
      </c>
      <c r="EI36" s="272">
        <v>16335</v>
      </c>
      <c r="EJ36" s="272">
        <v>357226</v>
      </c>
      <c r="EK36" s="89"/>
      <c r="EL36" s="272"/>
      <c r="EM36" s="272">
        <v>58194</v>
      </c>
      <c r="EN36" s="272">
        <v>1123</v>
      </c>
      <c r="EO36" s="272">
        <v>6678</v>
      </c>
      <c r="EP36" s="455">
        <f t="shared" si="12"/>
        <v>306381</v>
      </c>
      <c r="EQ36" s="272">
        <v>10039284</v>
      </c>
      <c r="ER36" s="272">
        <v>-1056959</v>
      </c>
      <c r="ES36" s="272">
        <v>2620827</v>
      </c>
      <c r="ET36" s="272">
        <v>1789129</v>
      </c>
      <c r="EU36" s="272">
        <v>859258</v>
      </c>
      <c r="EV36" s="272">
        <v>1617307</v>
      </c>
      <c r="EW36" s="455">
        <f t="shared" si="13"/>
        <v>271733</v>
      </c>
      <c r="EX36" s="272">
        <v>271733</v>
      </c>
      <c r="EY36" s="272">
        <v>58109</v>
      </c>
      <c r="EZ36" s="272">
        <v>213554</v>
      </c>
      <c r="FA36" s="272">
        <v>0</v>
      </c>
      <c r="FB36" s="272">
        <v>0</v>
      </c>
      <c r="FC36" s="272">
        <v>1646568</v>
      </c>
      <c r="FD36" s="272">
        <v>1780460</v>
      </c>
      <c r="FE36" s="272">
        <v>943435</v>
      </c>
      <c r="FF36" s="272">
        <v>1666356</v>
      </c>
      <c r="FG36" s="455">
        <f t="shared" si="14"/>
        <v>457954</v>
      </c>
      <c r="FH36" s="272">
        <v>10920463</v>
      </c>
      <c r="FI36" s="459">
        <f t="shared" si="15"/>
        <v>1.7</v>
      </c>
      <c r="FJ36" s="272">
        <v>9415627</v>
      </c>
      <c r="FK36" s="272">
        <v>753575</v>
      </c>
      <c r="FL36" s="272">
        <v>4791407</v>
      </c>
      <c r="FM36" s="272">
        <v>8061784</v>
      </c>
      <c r="FN36" s="460">
        <v>0.60499999999999998</v>
      </c>
      <c r="FO36" s="388">
        <v>93.3</v>
      </c>
      <c r="FP36" s="388">
        <v>24.9</v>
      </c>
      <c r="FQ36" s="388">
        <v>8.5</v>
      </c>
      <c r="FR36" s="388">
        <v>16</v>
      </c>
      <c r="FS36" s="388">
        <v>15.5</v>
      </c>
      <c r="FT36" s="388">
        <v>12.7</v>
      </c>
      <c r="FU36" s="388">
        <v>14.7</v>
      </c>
      <c r="FV36" s="384">
        <f t="shared" si="16"/>
        <v>8.6</v>
      </c>
      <c r="FW36" s="272">
        <v>14506496</v>
      </c>
      <c r="FX36" s="384">
        <f t="shared" si="17"/>
        <v>142.69999999999999</v>
      </c>
      <c r="FY36" s="272">
        <v>2696052</v>
      </c>
      <c r="FZ36" s="272">
        <v>1275115</v>
      </c>
      <c r="GA36" s="272">
        <v>431644</v>
      </c>
      <c r="GB36" s="272">
        <v>989293</v>
      </c>
      <c r="GC36" s="272">
        <v>300000</v>
      </c>
      <c r="GD36" s="272">
        <v>907000</v>
      </c>
      <c r="GE36" s="384">
        <f t="shared" si="18"/>
        <v>8.9</v>
      </c>
      <c r="GF36" s="388">
        <v>97.5</v>
      </c>
      <c r="GG36" s="388">
        <v>21.9</v>
      </c>
      <c r="GH36" s="388">
        <v>90.5</v>
      </c>
      <c r="GI36" s="272">
        <v>345</v>
      </c>
      <c r="GJ36" s="461" t="s">
        <v>646</v>
      </c>
      <c r="GK36" s="461">
        <v>13.31</v>
      </c>
      <c r="GL36" s="462">
        <v>20</v>
      </c>
      <c r="GM36" s="461" t="s">
        <v>646</v>
      </c>
      <c r="GN36" s="462">
        <v>18.309999999999999</v>
      </c>
      <c r="GO36" s="462">
        <v>40</v>
      </c>
      <c r="GP36" s="463">
        <v>8.6</v>
      </c>
      <c r="GQ36" s="463">
        <v>25</v>
      </c>
      <c r="GR36" s="463">
        <v>35</v>
      </c>
      <c r="GS36" s="464">
        <v>73</v>
      </c>
      <c r="GT36" s="463">
        <v>350</v>
      </c>
      <c r="GU36" s="394"/>
      <c r="GV36" s="394"/>
      <c r="GW36" s="394"/>
      <c r="GX36" s="394"/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</row>
    <row r="37" spans="2:230" x14ac:dyDescent="0.15">
      <c r="B37" s="21" t="s">
        <v>67</v>
      </c>
      <c r="C37" s="272">
        <v>749577981</v>
      </c>
      <c r="D37" s="455">
        <f t="shared" si="0"/>
        <v>291813383</v>
      </c>
      <c r="E37" s="272">
        <v>6824554</v>
      </c>
      <c r="F37" s="456">
        <v>284988829</v>
      </c>
      <c r="G37" s="455">
        <f t="shared" si="1"/>
        <v>43500378</v>
      </c>
      <c r="H37" s="272">
        <v>12555094</v>
      </c>
      <c r="I37" s="272">
        <v>30945284</v>
      </c>
      <c r="J37" s="272">
        <v>307104779</v>
      </c>
      <c r="K37" s="272">
        <v>133957523</v>
      </c>
      <c r="L37" s="272">
        <v>125260733</v>
      </c>
      <c r="M37" s="272">
        <v>42050643</v>
      </c>
      <c r="N37" s="272">
        <v>31450908</v>
      </c>
      <c r="O37" s="272">
        <v>63718353</v>
      </c>
      <c r="P37" s="272">
        <v>36550844</v>
      </c>
      <c r="Q37" s="272">
        <v>27167509</v>
      </c>
      <c r="R37" s="272">
        <v>12199996</v>
      </c>
      <c r="S37" s="272"/>
      <c r="T37" s="455">
        <f t="shared" si="2"/>
        <v>59267607</v>
      </c>
      <c r="U37" s="272">
        <v>4169152</v>
      </c>
      <c r="V37" s="272">
        <v>1563896</v>
      </c>
      <c r="W37" s="456">
        <v>727711</v>
      </c>
      <c r="X37" s="272">
        <v>46980681</v>
      </c>
      <c r="Y37" s="272">
        <v>793478</v>
      </c>
      <c r="Z37" s="272">
        <v>0</v>
      </c>
      <c r="AA37" s="272">
        <v>5032689</v>
      </c>
      <c r="AB37" s="272">
        <v>10563448</v>
      </c>
      <c r="AC37" s="272">
        <v>143269236</v>
      </c>
      <c r="AD37" s="272">
        <v>132194168</v>
      </c>
      <c r="AE37" s="272">
        <v>11075068</v>
      </c>
      <c r="AF37" s="272">
        <v>934109</v>
      </c>
      <c r="AG37" s="272">
        <v>18919465</v>
      </c>
      <c r="AH37" s="455">
        <f t="shared" si="3"/>
        <v>35107220</v>
      </c>
      <c r="AI37" s="272">
        <v>28010729</v>
      </c>
      <c r="AJ37" s="272">
        <v>7096491</v>
      </c>
      <c r="AK37" s="272">
        <v>320032905</v>
      </c>
      <c r="AL37" s="455">
        <f t="shared" si="4"/>
        <v>141801705</v>
      </c>
      <c r="AM37" s="272">
        <v>126789399</v>
      </c>
      <c r="AN37" s="272">
        <v>15012306</v>
      </c>
      <c r="AO37" s="272"/>
      <c r="AP37" s="272">
        <v>0</v>
      </c>
      <c r="AQ37" s="272">
        <v>29351753</v>
      </c>
      <c r="AR37" s="272">
        <v>0</v>
      </c>
      <c r="AS37" s="272">
        <v>288534</v>
      </c>
      <c r="AT37" s="272">
        <v>90417190</v>
      </c>
      <c r="AU37" s="272">
        <v>47892372</v>
      </c>
      <c r="AV37" s="272">
        <v>5874217</v>
      </c>
      <c r="AW37" s="272">
        <v>2100664</v>
      </c>
      <c r="AX37" s="272">
        <v>42524818</v>
      </c>
      <c r="AY37" s="272">
        <v>710697</v>
      </c>
      <c r="AZ37" s="272">
        <v>9506577</v>
      </c>
      <c r="BA37" s="272">
        <v>6885508</v>
      </c>
      <c r="BB37" s="272">
        <v>816687</v>
      </c>
      <c r="BC37" s="272">
        <v>32661907</v>
      </c>
      <c r="BD37" s="272">
        <v>8997704</v>
      </c>
      <c r="BE37" s="272">
        <v>1620264</v>
      </c>
      <c r="BF37" s="272">
        <v>15710132</v>
      </c>
      <c r="BG37" s="272">
        <v>4321997</v>
      </c>
      <c r="BH37" s="272">
        <v>22702935</v>
      </c>
      <c r="BI37" s="272">
        <v>7730870</v>
      </c>
      <c r="BJ37" s="272">
        <v>40560120</v>
      </c>
      <c r="BK37" s="272">
        <v>17811626</v>
      </c>
      <c r="BL37" s="272">
        <v>218450</v>
      </c>
      <c r="BM37" s="272">
        <v>1441577</v>
      </c>
      <c r="BN37" s="272">
        <v>134983328</v>
      </c>
      <c r="BO37" s="455">
        <f t="shared" si="5"/>
        <v>55744820</v>
      </c>
      <c r="BP37" s="455">
        <f t="shared" si="6"/>
        <v>64448808</v>
      </c>
      <c r="BQ37" s="272"/>
      <c r="BR37" s="272">
        <v>5547700</v>
      </c>
      <c r="BS37" s="272">
        <v>58901108</v>
      </c>
      <c r="BT37" s="272">
        <v>14789700</v>
      </c>
      <c r="BU37" s="272">
        <v>1681809245</v>
      </c>
      <c r="BV37" s="272"/>
      <c r="BW37" s="272">
        <v>339802310</v>
      </c>
      <c r="BX37" s="272">
        <v>218328537</v>
      </c>
      <c r="BY37" s="272">
        <v>50494911</v>
      </c>
      <c r="BZ37" s="272">
        <v>18349390</v>
      </c>
      <c r="CA37" s="272">
        <v>378781681</v>
      </c>
      <c r="CB37" s="272">
        <v>62662434</v>
      </c>
      <c r="CC37" s="272">
        <v>9306204</v>
      </c>
      <c r="CD37" s="272">
        <v>125235281</v>
      </c>
      <c r="CE37" s="272">
        <v>170058544</v>
      </c>
      <c r="CF37" s="272">
        <v>5264109</v>
      </c>
      <c r="CG37" s="272">
        <v>6238152</v>
      </c>
      <c r="CH37" s="272">
        <v>164831403</v>
      </c>
      <c r="CI37" s="272">
        <v>137305824</v>
      </c>
      <c r="CJ37" s="455">
        <f t="shared" si="7"/>
        <v>27525579</v>
      </c>
      <c r="CK37" s="272">
        <v>182117112</v>
      </c>
      <c r="CL37" s="272">
        <v>103814257</v>
      </c>
      <c r="CM37" s="272">
        <v>12645715</v>
      </c>
      <c r="CN37" s="272">
        <v>32990443</v>
      </c>
      <c r="CO37" s="272">
        <v>13390758</v>
      </c>
      <c r="CP37" s="272">
        <v>220666490</v>
      </c>
      <c r="CQ37" s="272">
        <v>36541947</v>
      </c>
      <c r="CR37" s="272">
        <v>100605809</v>
      </c>
      <c r="CS37" s="272">
        <v>36181166</v>
      </c>
      <c r="CT37" s="455">
        <f t="shared" si="8"/>
        <v>43933582</v>
      </c>
      <c r="CU37" s="272">
        <v>25870974</v>
      </c>
      <c r="CV37" s="272">
        <v>18062608</v>
      </c>
      <c r="CW37" s="455">
        <f t="shared" si="9"/>
        <v>16228449</v>
      </c>
      <c r="CX37" s="272">
        <v>9941748</v>
      </c>
      <c r="CY37" s="272">
        <v>6286701</v>
      </c>
      <c r="CZ37" s="455">
        <f t="shared" si="10"/>
        <v>18696004</v>
      </c>
      <c r="DA37" s="272">
        <v>15110296</v>
      </c>
      <c r="DB37" s="272">
        <v>3585708</v>
      </c>
      <c r="DC37" s="272">
        <v>132942032</v>
      </c>
      <c r="DD37" s="272">
        <v>50943237</v>
      </c>
      <c r="DE37" s="272">
        <v>78344846</v>
      </c>
      <c r="DF37" s="26">
        <v>1874062</v>
      </c>
      <c r="DG37" s="27">
        <v>1779887</v>
      </c>
      <c r="DH37" s="272">
        <v>74115</v>
      </c>
      <c r="DI37" s="272">
        <v>22998024</v>
      </c>
      <c r="DJ37" s="272">
        <v>10422844</v>
      </c>
      <c r="DK37" s="272">
        <v>755429</v>
      </c>
      <c r="DL37" s="272">
        <v>11819732</v>
      </c>
      <c r="DM37" s="272">
        <v>3862339</v>
      </c>
      <c r="DN37" s="272">
        <v>3751139</v>
      </c>
      <c r="DO37" s="272">
        <v>146390</v>
      </c>
      <c r="DP37" s="272">
        <v>3438352</v>
      </c>
      <c r="DQ37" s="272">
        <v>22935689</v>
      </c>
      <c r="DR37" s="272">
        <v>3130000</v>
      </c>
      <c r="DS37" s="272">
        <v>3130000</v>
      </c>
      <c r="DT37" s="272">
        <v>182445166</v>
      </c>
      <c r="DU37" s="272">
        <v>50439470</v>
      </c>
      <c r="DV37" s="455">
        <f t="shared" si="11"/>
        <v>866663</v>
      </c>
      <c r="DW37" s="272">
        <v>866663</v>
      </c>
      <c r="DX37" s="272">
        <v>39151535</v>
      </c>
      <c r="DY37" s="272">
        <v>631261</v>
      </c>
      <c r="DZ37" s="272">
        <v>49009330</v>
      </c>
      <c r="EA37" s="272">
        <v>128029</v>
      </c>
      <c r="EB37" s="272">
        <v>39408220</v>
      </c>
      <c r="EC37" s="272">
        <v>155129</v>
      </c>
      <c r="ED37" s="272">
        <v>1665002248</v>
      </c>
      <c r="EE37" s="89"/>
      <c r="EF37" s="272">
        <v>16806997</v>
      </c>
      <c r="EG37" s="272">
        <v>6923593</v>
      </c>
      <c r="EH37" s="272">
        <v>9883404</v>
      </c>
      <c r="EI37" s="272">
        <v>1620570</v>
      </c>
      <c r="EJ37" s="272">
        <v>3811261</v>
      </c>
      <c r="EK37" s="89"/>
      <c r="EL37" s="272"/>
      <c r="EM37" s="272">
        <v>5120567</v>
      </c>
      <c r="EN37" s="272">
        <v>20635816</v>
      </c>
      <c r="EO37" s="272">
        <v>4840637</v>
      </c>
      <c r="EP37" s="455">
        <f t="shared" si="12"/>
        <v>47786595</v>
      </c>
      <c r="EQ37" s="272">
        <v>976100911</v>
      </c>
      <c r="ER37" s="272">
        <v>-136489213</v>
      </c>
      <c r="ES37" s="272">
        <v>302347454</v>
      </c>
      <c r="ET37" s="272">
        <v>199055718</v>
      </c>
      <c r="EU37" s="272">
        <v>122926133</v>
      </c>
      <c r="EV37" s="272">
        <v>163344313</v>
      </c>
      <c r="EW37" s="455">
        <f t="shared" si="13"/>
        <v>44616712</v>
      </c>
      <c r="EX37" s="272">
        <v>44562365</v>
      </c>
      <c r="EY37" s="272">
        <v>5596190</v>
      </c>
      <c r="EZ37" s="272">
        <v>38758262</v>
      </c>
      <c r="FA37" s="272">
        <v>54347</v>
      </c>
      <c r="FB37" s="272">
        <v>0</v>
      </c>
      <c r="FC37" s="272">
        <v>143377020</v>
      </c>
      <c r="FD37" s="272">
        <v>124876547</v>
      </c>
      <c r="FE37" s="272">
        <v>35724582</v>
      </c>
      <c r="FF37" s="272">
        <v>160054379</v>
      </c>
      <c r="FG37" s="455">
        <f t="shared" si="14"/>
        <v>34336124</v>
      </c>
      <c r="FH37" s="272">
        <v>1095878682</v>
      </c>
      <c r="FI37" s="459">
        <f t="shared" si="15"/>
        <v>1</v>
      </c>
      <c r="FJ37" s="272">
        <v>909756510</v>
      </c>
      <c r="FK37" s="272">
        <v>61072735</v>
      </c>
      <c r="FL37" s="272">
        <v>596674013</v>
      </c>
      <c r="FM37" s="272">
        <v>722552197</v>
      </c>
      <c r="FN37" s="460">
        <v>0.83799999999999997</v>
      </c>
      <c r="FO37" s="388">
        <v>97.7</v>
      </c>
      <c r="FP37" s="388">
        <v>30.4</v>
      </c>
      <c r="FQ37" s="388">
        <v>12.6</v>
      </c>
      <c r="FR37" s="388">
        <v>16.600000000000001</v>
      </c>
      <c r="FS37" s="388">
        <v>13.5</v>
      </c>
      <c r="FT37" s="388">
        <v>10.4</v>
      </c>
      <c r="FU37" s="388">
        <v>13.1</v>
      </c>
      <c r="FV37" s="384">
        <f t="shared" si="16"/>
        <v>6.9</v>
      </c>
      <c r="FW37" s="272">
        <v>1465943716</v>
      </c>
      <c r="FX37" s="384">
        <f t="shared" si="17"/>
        <v>151</v>
      </c>
      <c r="FY37" s="272">
        <v>231936622</v>
      </c>
      <c r="FZ37" s="272">
        <v>75208372</v>
      </c>
      <c r="GA37" s="272">
        <v>17346597</v>
      </c>
      <c r="GB37" s="272">
        <v>139381653</v>
      </c>
      <c r="GC37" s="272">
        <v>19445428</v>
      </c>
      <c r="GD37" s="272">
        <v>166583000</v>
      </c>
      <c r="GE37" s="384">
        <f t="shared" si="18"/>
        <v>17.2</v>
      </c>
      <c r="GF37" s="388">
        <v>97.9</v>
      </c>
      <c r="GG37" s="388">
        <v>23.4</v>
      </c>
      <c r="GH37" s="388">
        <v>93.5</v>
      </c>
      <c r="GI37" s="272">
        <v>31591</v>
      </c>
      <c r="GJ37" s="461" t="s">
        <v>646</v>
      </c>
      <c r="GK37" s="461" t="s">
        <v>646</v>
      </c>
      <c r="GL37" s="461" t="s">
        <v>646</v>
      </c>
      <c r="GM37" s="461" t="s">
        <v>646</v>
      </c>
      <c r="GN37" s="461" t="s">
        <v>646</v>
      </c>
      <c r="GO37" s="461" t="s">
        <v>646</v>
      </c>
      <c r="GP37" s="463">
        <v>6.9</v>
      </c>
      <c r="GQ37" s="464" t="s">
        <v>646</v>
      </c>
      <c r="GR37" s="464" t="s">
        <v>646</v>
      </c>
      <c r="GS37" s="464">
        <v>71.900000000000006</v>
      </c>
      <c r="GT37" s="464" t="s">
        <v>646</v>
      </c>
      <c r="GU37" s="394"/>
      <c r="GV37" s="394"/>
      <c r="GW37" s="394"/>
      <c r="GX37" s="394"/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</row>
    <row r="38" spans="2:230" x14ac:dyDescent="0.15">
      <c r="B38" s="89" t="s">
        <v>69</v>
      </c>
      <c r="C38" s="272">
        <v>4587850</v>
      </c>
      <c r="D38" s="455">
        <f t="shared" si="0"/>
        <v>1785857</v>
      </c>
      <c r="E38" s="272">
        <v>41650</v>
      </c>
      <c r="F38" s="456">
        <v>1744207</v>
      </c>
      <c r="G38" s="455">
        <f t="shared" si="1"/>
        <v>576335</v>
      </c>
      <c r="H38" s="272">
        <v>59388</v>
      </c>
      <c r="I38" s="272">
        <v>516947</v>
      </c>
      <c r="J38" s="272">
        <v>1794582</v>
      </c>
      <c r="K38" s="272">
        <v>673540</v>
      </c>
      <c r="L38" s="272">
        <v>733043</v>
      </c>
      <c r="M38" s="272">
        <v>362423</v>
      </c>
      <c r="N38" s="272">
        <v>71966</v>
      </c>
      <c r="O38" s="272">
        <v>339102</v>
      </c>
      <c r="P38" s="272">
        <v>180724</v>
      </c>
      <c r="Q38" s="272">
        <v>158378</v>
      </c>
      <c r="R38" s="272">
        <v>61136</v>
      </c>
      <c r="S38" s="272"/>
      <c r="T38" s="455">
        <f t="shared" si="2"/>
        <v>357039</v>
      </c>
      <c r="U38" s="272">
        <v>24980</v>
      </c>
      <c r="V38" s="272">
        <v>9367</v>
      </c>
      <c r="W38" s="456">
        <v>4381</v>
      </c>
      <c r="X38" s="272">
        <v>231875</v>
      </c>
      <c r="Y38" s="272">
        <v>55451</v>
      </c>
      <c r="Z38" s="272">
        <v>0</v>
      </c>
      <c r="AA38" s="272">
        <v>30985</v>
      </c>
      <c r="AB38" s="272">
        <v>63629</v>
      </c>
      <c r="AC38" s="272">
        <v>998545</v>
      </c>
      <c r="AD38" s="272">
        <v>716814</v>
      </c>
      <c r="AE38" s="272">
        <v>281731</v>
      </c>
      <c r="AF38" s="272">
        <v>3903</v>
      </c>
      <c r="AG38" s="272">
        <v>49191</v>
      </c>
      <c r="AH38" s="455">
        <f t="shared" si="3"/>
        <v>259589</v>
      </c>
      <c r="AI38" s="272">
        <v>224888</v>
      </c>
      <c r="AJ38" s="272">
        <v>34701</v>
      </c>
      <c r="AK38" s="272">
        <v>1114613</v>
      </c>
      <c r="AL38" s="455">
        <f t="shared" si="4"/>
        <v>176214</v>
      </c>
      <c r="AM38" s="272">
        <v>147643</v>
      </c>
      <c r="AN38" s="272">
        <v>28571</v>
      </c>
      <c r="AO38" s="272"/>
      <c r="AP38" s="272">
        <v>0</v>
      </c>
      <c r="AQ38" s="272">
        <v>5765</v>
      </c>
      <c r="AR38" s="272">
        <v>0</v>
      </c>
      <c r="AS38" s="272">
        <v>0</v>
      </c>
      <c r="AT38" s="272">
        <v>426817</v>
      </c>
      <c r="AU38" s="272">
        <v>250890</v>
      </c>
      <c r="AV38" s="272">
        <v>25243</v>
      </c>
      <c r="AW38" s="272">
        <v>350</v>
      </c>
      <c r="AX38" s="272">
        <v>175927</v>
      </c>
      <c r="AY38" s="272">
        <v>12501</v>
      </c>
      <c r="AZ38" s="272">
        <v>21194</v>
      </c>
      <c r="BA38" s="272">
        <v>4179</v>
      </c>
      <c r="BB38" s="272">
        <v>8929</v>
      </c>
      <c r="BC38" s="272">
        <v>447221</v>
      </c>
      <c r="BD38" s="272">
        <v>288800</v>
      </c>
      <c r="BE38" s="272">
        <v>50000</v>
      </c>
      <c r="BF38" s="272">
        <v>49700</v>
      </c>
      <c r="BG38" s="272">
        <v>0</v>
      </c>
      <c r="BH38" s="272">
        <v>37517</v>
      </c>
      <c r="BI38" s="272">
        <v>24788</v>
      </c>
      <c r="BJ38" s="272">
        <v>192721</v>
      </c>
      <c r="BK38" s="272">
        <v>53864</v>
      </c>
      <c r="BL38" s="272">
        <v>0</v>
      </c>
      <c r="BM38" s="272">
        <v>0</v>
      </c>
      <c r="BN38" s="272">
        <v>428000</v>
      </c>
      <c r="BO38" s="455">
        <f t="shared" si="5"/>
        <v>0</v>
      </c>
      <c r="BP38" s="455">
        <f t="shared" si="6"/>
        <v>428000</v>
      </c>
      <c r="BQ38" s="272"/>
      <c r="BR38" s="272">
        <v>0</v>
      </c>
      <c r="BS38" s="272">
        <v>428000</v>
      </c>
      <c r="BT38" s="272">
        <v>0</v>
      </c>
      <c r="BU38" s="272">
        <v>9057894</v>
      </c>
      <c r="BV38" s="272"/>
      <c r="BW38" s="272">
        <v>2354829</v>
      </c>
      <c r="BX38" s="272">
        <v>1350196</v>
      </c>
      <c r="BY38" s="272">
        <v>527137</v>
      </c>
      <c r="BZ38" s="272">
        <v>94625</v>
      </c>
      <c r="CA38" s="272">
        <v>1295088</v>
      </c>
      <c r="CB38" s="272">
        <v>404619</v>
      </c>
      <c r="CC38" s="272">
        <v>55697</v>
      </c>
      <c r="CD38" s="272">
        <v>604313</v>
      </c>
      <c r="CE38" s="272">
        <v>201064</v>
      </c>
      <c r="CF38" s="272">
        <v>1518</v>
      </c>
      <c r="CG38" s="272">
        <v>27877</v>
      </c>
      <c r="CH38" s="272">
        <v>1304995</v>
      </c>
      <c r="CI38" s="272">
        <v>1097640</v>
      </c>
      <c r="CJ38" s="455">
        <f t="shared" si="7"/>
        <v>207355</v>
      </c>
      <c r="CK38" s="272">
        <v>1489796</v>
      </c>
      <c r="CL38" s="272">
        <v>815656</v>
      </c>
      <c r="CM38" s="272">
        <v>162693</v>
      </c>
      <c r="CN38" s="272">
        <v>284591</v>
      </c>
      <c r="CO38" s="272">
        <v>73701</v>
      </c>
      <c r="CP38" s="272">
        <v>842254</v>
      </c>
      <c r="CQ38" s="272">
        <v>1964</v>
      </c>
      <c r="CR38" s="272">
        <v>600030</v>
      </c>
      <c r="CS38" s="272">
        <v>133863</v>
      </c>
      <c r="CT38" s="455">
        <f t="shared" si="8"/>
        <v>28169</v>
      </c>
      <c r="CU38" s="272">
        <v>0</v>
      </c>
      <c r="CV38" s="272">
        <v>28169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353601</v>
      </c>
      <c r="DD38" s="272">
        <v>10892</v>
      </c>
      <c r="DE38" s="272">
        <v>342709</v>
      </c>
      <c r="DF38" s="26">
        <v>0</v>
      </c>
      <c r="DG38" s="27">
        <v>0</v>
      </c>
      <c r="DH38" s="272">
        <v>0</v>
      </c>
      <c r="DI38" s="272">
        <v>24674</v>
      </c>
      <c r="DJ38" s="272">
        <v>18291</v>
      </c>
      <c r="DK38" s="272">
        <v>4417</v>
      </c>
      <c r="DL38" s="272">
        <v>1966</v>
      </c>
      <c r="DM38" s="272">
        <v>0</v>
      </c>
      <c r="DN38" s="272">
        <v>0</v>
      </c>
      <c r="DO38" s="272">
        <v>0</v>
      </c>
      <c r="DP38" s="272">
        <v>0</v>
      </c>
      <c r="DQ38" s="272">
        <v>53336</v>
      </c>
      <c r="DR38" s="272">
        <v>0</v>
      </c>
      <c r="DS38" s="272">
        <v>0</v>
      </c>
      <c r="DT38" s="272">
        <v>1143225</v>
      </c>
      <c r="DU38" s="272">
        <v>500000</v>
      </c>
      <c r="DV38" s="455">
        <f t="shared" si="11"/>
        <v>0</v>
      </c>
      <c r="DW38" s="272">
        <v>0</v>
      </c>
      <c r="DX38" s="272">
        <v>240998</v>
      </c>
      <c r="DY38" s="272">
        <v>0</v>
      </c>
      <c r="DZ38" s="272">
        <v>150233</v>
      </c>
      <c r="EA38" s="272">
        <v>5785</v>
      </c>
      <c r="EB38" s="272">
        <v>245657</v>
      </c>
      <c r="EC38" s="272">
        <v>0</v>
      </c>
      <c r="ED38" s="272">
        <v>8935499</v>
      </c>
      <c r="EE38" s="89"/>
      <c r="EF38" s="272">
        <v>122395</v>
      </c>
      <c r="EG38" s="272">
        <v>95417</v>
      </c>
      <c r="EH38" s="272">
        <v>26978</v>
      </c>
      <c r="EI38" s="272">
        <v>2190</v>
      </c>
      <c r="EJ38" s="272">
        <v>-268319</v>
      </c>
      <c r="EK38" s="89"/>
      <c r="EL38" s="272"/>
      <c r="EM38" s="272">
        <v>29283</v>
      </c>
      <c r="EN38" s="272">
        <v>400321</v>
      </c>
      <c r="EO38" s="272">
        <v>9237</v>
      </c>
      <c r="EP38" s="455">
        <f t="shared" si="12"/>
        <v>275832</v>
      </c>
      <c r="EQ38" s="272">
        <v>6072102</v>
      </c>
      <c r="ER38" s="272">
        <v>-1109487</v>
      </c>
      <c r="ES38" s="272">
        <v>2194815</v>
      </c>
      <c r="ET38" s="272">
        <v>1249114</v>
      </c>
      <c r="EU38" s="272">
        <v>619517</v>
      </c>
      <c r="EV38" s="272">
        <v>1250678</v>
      </c>
      <c r="EW38" s="455">
        <f t="shared" si="13"/>
        <v>283991</v>
      </c>
      <c r="EX38" s="272">
        <v>283991</v>
      </c>
      <c r="EY38" s="272">
        <v>3766</v>
      </c>
      <c r="EZ38" s="272">
        <v>280225</v>
      </c>
      <c r="FA38" s="272">
        <v>0</v>
      </c>
      <c r="FB38" s="272">
        <v>0</v>
      </c>
      <c r="FC38" s="272">
        <v>1222748</v>
      </c>
      <c r="FD38" s="272">
        <v>357536</v>
      </c>
      <c r="FE38" s="272">
        <v>1964</v>
      </c>
      <c r="FF38" s="272">
        <v>1047490</v>
      </c>
      <c r="FG38" s="455">
        <f t="shared" si="14"/>
        <v>82419</v>
      </c>
      <c r="FH38" s="272">
        <v>7059194</v>
      </c>
      <c r="FI38" s="459">
        <f t="shared" si="15"/>
        <v>0.5</v>
      </c>
      <c r="FJ38" s="272">
        <v>5422365</v>
      </c>
      <c r="FK38" s="272">
        <v>428469</v>
      </c>
      <c r="FL38" s="272">
        <v>3626155</v>
      </c>
      <c r="FM38" s="272">
        <v>4346878</v>
      </c>
      <c r="FN38" s="460">
        <v>0.83299999999999996</v>
      </c>
      <c r="FO38" s="388">
        <v>103.6</v>
      </c>
      <c r="FP38" s="388">
        <v>34</v>
      </c>
      <c r="FQ38" s="388">
        <v>10.5</v>
      </c>
      <c r="FR38" s="388">
        <v>21.2</v>
      </c>
      <c r="FS38" s="388">
        <v>19.600000000000001</v>
      </c>
      <c r="FT38" s="388">
        <v>3.8</v>
      </c>
      <c r="FU38" s="388">
        <v>13.5</v>
      </c>
      <c r="FV38" s="384">
        <f t="shared" si="16"/>
        <v>14</v>
      </c>
      <c r="FW38" s="272">
        <v>12057851</v>
      </c>
      <c r="FX38" s="384">
        <f t="shared" si="17"/>
        <v>206.1</v>
      </c>
      <c r="FY38" s="272">
        <v>3668682</v>
      </c>
      <c r="FZ38" s="272">
        <v>1113811</v>
      </c>
      <c r="GA38" s="272">
        <v>1276853</v>
      </c>
      <c r="GB38" s="272">
        <v>1278018</v>
      </c>
      <c r="GC38" s="272">
        <v>0</v>
      </c>
      <c r="GD38" s="457"/>
      <c r="GE38" s="384"/>
      <c r="GF38" s="388">
        <v>99.1</v>
      </c>
      <c r="GG38" s="388">
        <v>8.6</v>
      </c>
      <c r="GH38" s="388">
        <v>93.1</v>
      </c>
      <c r="GI38" s="272">
        <v>213</v>
      </c>
      <c r="GJ38" s="461" t="s">
        <v>646</v>
      </c>
      <c r="GK38" s="461">
        <v>14.52</v>
      </c>
      <c r="GL38" s="462">
        <v>20</v>
      </c>
      <c r="GM38" s="461" t="s">
        <v>646</v>
      </c>
      <c r="GN38" s="462">
        <v>19.52</v>
      </c>
      <c r="GO38" s="462">
        <v>40</v>
      </c>
      <c r="GP38" s="463">
        <v>14</v>
      </c>
      <c r="GQ38" s="463">
        <v>25</v>
      </c>
      <c r="GR38" s="463">
        <v>35</v>
      </c>
      <c r="GS38" s="464">
        <v>35</v>
      </c>
      <c r="GT38" s="463">
        <v>350</v>
      </c>
      <c r="GU38" s="394"/>
      <c r="GV38" s="394"/>
      <c r="GW38" s="394"/>
      <c r="GX38" s="394"/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</row>
    <row r="39" spans="2:230" x14ac:dyDescent="0.15">
      <c r="B39" s="89" t="s">
        <v>71</v>
      </c>
      <c r="C39" s="272">
        <v>2459993</v>
      </c>
      <c r="D39" s="455">
        <f t="shared" si="0"/>
        <v>1577212</v>
      </c>
      <c r="E39" s="272">
        <v>34294</v>
      </c>
      <c r="F39" s="456">
        <v>1542918</v>
      </c>
      <c r="G39" s="455">
        <f t="shared" si="1"/>
        <v>25406</v>
      </c>
      <c r="H39" s="272">
        <v>18430</v>
      </c>
      <c r="I39" s="272">
        <v>6976</v>
      </c>
      <c r="J39" s="272">
        <v>784175</v>
      </c>
      <c r="K39" s="272">
        <v>255996</v>
      </c>
      <c r="L39" s="272">
        <v>387649</v>
      </c>
      <c r="M39" s="272">
        <v>140530</v>
      </c>
      <c r="N39" s="272">
        <v>47532</v>
      </c>
      <c r="O39" s="272">
        <v>0</v>
      </c>
      <c r="P39" s="272">
        <v>0</v>
      </c>
      <c r="Q39" s="272">
        <v>0</v>
      </c>
      <c r="R39" s="272">
        <v>73741</v>
      </c>
      <c r="S39" s="272"/>
      <c r="T39" s="455">
        <f t="shared" si="2"/>
        <v>238084</v>
      </c>
      <c r="U39" s="272">
        <v>23849</v>
      </c>
      <c r="V39" s="272">
        <v>8947</v>
      </c>
      <c r="W39" s="456">
        <v>4140</v>
      </c>
      <c r="X39" s="272">
        <v>154413</v>
      </c>
      <c r="Y39" s="272">
        <v>9357</v>
      </c>
      <c r="Z39" s="272">
        <v>0</v>
      </c>
      <c r="AA39" s="272">
        <v>37378</v>
      </c>
      <c r="AB39" s="272">
        <v>34020</v>
      </c>
      <c r="AC39" s="272">
        <v>1617231</v>
      </c>
      <c r="AD39" s="272">
        <v>1298548</v>
      </c>
      <c r="AE39" s="272">
        <v>318683</v>
      </c>
      <c r="AF39" s="272">
        <v>4279</v>
      </c>
      <c r="AG39" s="272">
        <v>44169</v>
      </c>
      <c r="AH39" s="455">
        <f t="shared" si="3"/>
        <v>82732</v>
      </c>
      <c r="AI39" s="272">
        <v>69257</v>
      </c>
      <c r="AJ39" s="272">
        <v>13475</v>
      </c>
      <c r="AK39" s="272">
        <v>684465</v>
      </c>
      <c r="AL39" s="455">
        <f t="shared" si="4"/>
        <v>0</v>
      </c>
      <c r="AM39" s="272">
        <v>0</v>
      </c>
      <c r="AN39" s="272">
        <v>0</v>
      </c>
      <c r="AO39" s="272"/>
      <c r="AP39" s="272">
        <v>0</v>
      </c>
      <c r="AQ39" s="272">
        <v>43848</v>
      </c>
      <c r="AR39" s="272">
        <v>0</v>
      </c>
      <c r="AS39" s="272">
        <v>0</v>
      </c>
      <c r="AT39" s="272">
        <v>312040</v>
      </c>
      <c r="AU39" s="272">
        <v>107964</v>
      </c>
      <c r="AV39" s="272">
        <v>4994</v>
      </c>
      <c r="AW39" s="272">
        <v>1495</v>
      </c>
      <c r="AX39" s="272">
        <v>204076</v>
      </c>
      <c r="AY39" s="272">
        <v>23538</v>
      </c>
      <c r="AZ39" s="272">
        <v>5360</v>
      </c>
      <c r="BA39" s="272">
        <v>80</v>
      </c>
      <c r="BB39" s="272">
        <v>1005</v>
      </c>
      <c r="BC39" s="272">
        <v>45460</v>
      </c>
      <c r="BD39" s="272">
        <v>0</v>
      </c>
      <c r="BE39" s="272">
        <v>0</v>
      </c>
      <c r="BF39" s="272">
        <v>38490</v>
      </c>
      <c r="BG39" s="272">
        <v>0</v>
      </c>
      <c r="BH39" s="272">
        <v>232558</v>
      </c>
      <c r="BI39" s="272">
        <v>198311</v>
      </c>
      <c r="BJ39" s="272">
        <v>122226</v>
      </c>
      <c r="BK39" s="272">
        <v>4986</v>
      </c>
      <c r="BL39" s="272">
        <v>0</v>
      </c>
      <c r="BM39" s="272">
        <v>0</v>
      </c>
      <c r="BN39" s="272">
        <v>466906</v>
      </c>
      <c r="BO39" s="455">
        <f t="shared" si="5"/>
        <v>90800</v>
      </c>
      <c r="BP39" s="455">
        <f t="shared" si="6"/>
        <v>376106</v>
      </c>
      <c r="BQ39" s="272"/>
      <c r="BR39" s="272">
        <v>0</v>
      </c>
      <c r="BS39" s="272">
        <v>376106</v>
      </c>
      <c r="BT39" s="272">
        <v>0</v>
      </c>
      <c r="BU39" s="272">
        <v>6424269</v>
      </c>
      <c r="BV39" s="272"/>
      <c r="BW39" s="272">
        <v>2197705</v>
      </c>
      <c r="BX39" s="272">
        <v>1485697</v>
      </c>
      <c r="BY39" s="272">
        <v>103888</v>
      </c>
      <c r="BZ39" s="272">
        <v>200806</v>
      </c>
      <c r="CA39" s="272">
        <v>271375</v>
      </c>
      <c r="CB39" s="272">
        <v>129872</v>
      </c>
      <c r="CC39" s="272">
        <v>28128</v>
      </c>
      <c r="CD39" s="272">
        <v>107263</v>
      </c>
      <c r="CE39" s="272">
        <v>0</v>
      </c>
      <c r="CF39" s="272">
        <v>0</v>
      </c>
      <c r="CG39" s="272">
        <v>6112</v>
      </c>
      <c r="CH39" s="272">
        <v>521178</v>
      </c>
      <c r="CI39" s="272">
        <v>430708</v>
      </c>
      <c r="CJ39" s="455">
        <f t="shared" si="7"/>
        <v>90470</v>
      </c>
      <c r="CK39" s="272">
        <v>968958</v>
      </c>
      <c r="CL39" s="272">
        <v>492022</v>
      </c>
      <c r="CM39" s="272">
        <v>55485</v>
      </c>
      <c r="CN39" s="272">
        <v>219721</v>
      </c>
      <c r="CO39" s="272">
        <v>102090</v>
      </c>
      <c r="CP39" s="272">
        <v>904914</v>
      </c>
      <c r="CQ39" s="272">
        <v>238171</v>
      </c>
      <c r="CR39" s="272">
        <v>548411</v>
      </c>
      <c r="CS39" s="272">
        <v>179437</v>
      </c>
      <c r="CT39" s="455">
        <f t="shared" si="8"/>
        <v>79360</v>
      </c>
      <c r="CU39" s="272">
        <v>52257</v>
      </c>
      <c r="CV39" s="272">
        <v>27103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344121</v>
      </c>
      <c r="DD39" s="272">
        <v>113969</v>
      </c>
      <c r="DE39" s="272">
        <v>230152</v>
      </c>
      <c r="DF39" s="26">
        <v>0</v>
      </c>
      <c r="DG39" s="27">
        <v>0</v>
      </c>
      <c r="DH39" s="272">
        <v>11470</v>
      </c>
      <c r="DI39" s="272">
        <v>112176</v>
      </c>
      <c r="DJ39" s="272">
        <v>110897</v>
      </c>
      <c r="DK39" s="272">
        <v>1</v>
      </c>
      <c r="DL39" s="272">
        <v>1278</v>
      </c>
      <c r="DM39" s="272">
        <v>17700</v>
      </c>
      <c r="DN39" s="272">
        <v>17700</v>
      </c>
      <c r="DO39" s="272">
        <v>17700</v>
      </c>
      <c r="DP39" s="272">
        <v>0</v>
      </c>
      <c r="DQ39" s="272">
        <v>3604</v>
      </c>
      <c r="DR39" s="272">
        <v>0</v>
      </c>
      <c r="DS39" s="272">
        <v>0</v>
      </c>
      <c r="DT39" s="272">
        <v>645696</v>
      </c>
      <c r="DU39" s="272">
        <v>114653</v>
      </c>
      <c r="DV39" s="455">
        <f t="shared" si="11"/>
        <v>0</v>
      </c>
      <c r="DW39" s="272">
        <v>0</v>
      </c>
      <c r="DX39" s="272">
        <v>205966</v>
      </c>
      <c r="DY39" s="272">
        <v>0</v>
      </c>
      <c r="DZ39" s="272">
        <v>100538</v>
      </c>
      <c r="EA39" s="272">
        <v>255</v>
      </c>
      <c r="EB39" s="272">
        <v>198571</v>
      </c>
      <c r="EC39" s="272">
        <v>0</v>
      </c>
      <c r="ED39" s="272">
        <v>6100987</v>
      </c>
      <c r="EE39" s="89"/>
      <c r="EF39" s="272">
        <v>323282</v>
      </c>
      <c r="EG39" s="272">
        <v>122666</v>
      </c>
      <c r="EH39" s="272">
        <v>200616</v>
      </c>
      <c r="EI39" s="272">
        <v>2305</v>
      </c>
      <c r="EJ39" s="272">
        <v>113202</v>
      </c>
      <c r="EK39" s="89"/>
      <c r="EL39" s="272"/>
      <c r="EM39" s="272">
        <v>23365</v>
      </c>
      <c r="EN39" s="272">
        <v>12996</v>
      </c>
      <c r="EO39" s="272">
        <v>1950</v>
      </c>
      <c r="EP39" s="455">
        <f t="shared" si="12"/>
        <v>432658</v>
      </c>
      <c r="EQ39" s="272">
        <v>4427348</v>
      </c>
      <c r="ER39" s="272">
        <v>-819431</v>
      </c>
      <c r="ES39" s="272">
        <v>2025712</v>
      </c>
      <c r="ET39" s="272">
        <v>1376130</v>
      </c>
      <c r="EU39" s="272">
        <v>91876</v>
      </c>
      <c r="EV39" s="272">
        <v>521178</v>
      </c>
      <c r="EW39" s="455">
        <f t="shared" si="13"/>
        <v>178701</v>
      </c>
      <c r="EX39" s="272">
        <v>178555</v>
      </c>
      <c r="EY39" s="272">
        <v>14726</v>
      </c>
      <c r="EZ39" s="272">
        <v>163829</v>
      </c>
      <c r="FA39" s="272">
        <v>146</v>
      </c>
      <c r="FB39" s="272">
        <v>0</v>
      </c>
      <c r="FC39" s="272">
        <v>815399</v>
      </c>
      <c r="FD39" s="272">
        <v>509359</v>
      </c>
      <c r="FE39" s="272">
        <v>238171</v>
      </c>
      <c r="FF39" s="272">
        <v>583440</v>
      </c>
      <c r="FG39" s="455">
        <f t="shared" si="14"/>
        <v>197832</v>
      </c>
      <c r="FH39" s="272">
        <v>4923497</v>
      </c>
      <c r="FI39" s="459">
        <f t="shared" si="15"/>
        <v>4.4000000000000004</v>
      </c>
      <c r="FJ39" s="272">
        <v>4216200</v>
      </c>
      <c r="FK39" s="272">
        <v>376106</v>
      </c>
      <c r="FL39" s="272">
        <v>2264044</v>
      </c>
      <c r="FM39" s="272">
        <v>3565799</v>
      </c>
      <c r="FN39" s="460">
        <v>0.64200000000000002</v>
      </c>
      <c r="FO39" s="388">
        <v>95.4</v>
      </c>
      <c r="FP39" s="388">
        <v>43.7</v>
      </c>
      <c r="FQ39" s="388">
        <v>2</v>
      </c>
      <c r="FR39" s="388">
        <v>11.6</v>
      </c>
      <c r="FS39" s="388">
        <v>15.9</v>
      </c>
      <c r="FT39" s="388">
        <v>9.1</v>
      </c>
      <c r="FU39" s="388">
        <v>11.1</v>
      </c>
      <c r="FV39" s="384">
        <f t="shared" si="16"/>
        <v>4.7</v>
      </c>
      <c r="FW39" s="272">
        <v>5606687</v>
      </c>
      <c r="FX39" s="384">
        <f t="shared" si="17"/>
        <v>122.1</v>
      </c>
      <c r="FY39" s="272">
        <v>1709581</v>
      </c>
      <c r="FZ39" s="272">
        <v>1157425</v>
      </c>
      <c r="GA39" s="272">
        <v>676</v>
      </c>
      <c r="GB39" s="272">
        <v>551480</v>
      </c>
      <c r="GC39" s="272">
        <v>264600</v>
      </c>
      <c r="GD39" s="457"/>
      <c r="GE39" s="384"/>
      <c r="GF39" s="388">
        <v>99.1</v>
      </c>
      <c r="GG39" s="388">
        <v>17.5</v>
      </c>
      <c r="GH39" s="388">
        <v>95.9</v>
      </c>
      <c r="GI39" s="272">
        <v>229</v>
      </c>
      <c r="GJ39" s="461" t="s">
        <v>646</v>
      </c>
      <c r="GK39" s="461">
        <v>15</v>
      </c>
      <c r="GL39" s="462">
        <v>20</v>
      </c>
      <c r="GM39" s="461" t="s">
        <v>646</v>
      </c>
      <c r="GN39" s="462">
        <v>20</v>
      </c>
      <c r="GO39" s="462">
        <v>40</v>
      </c>
      <c r="GP39" s="463">
        <v>4.7</v>
      </c>
      <c r="GQ39" s="463">
        <v>25</v>
      </c>
      <c r="GR39" s="463">
        <v>35</v>
      </c>
      <c r="GS39" s="464">
        <v>87.6</v>
      </c>
      <c r="GT39" s="463">
        <v>350</v>
      </c>
      <c r="GU39" s="394"/>
      <c r="GV39" s="394"/>
      <c r="GW39" s="394"/>
      <c r="GX39" s="394"/>
      <c r="GY39" s="394"/>
      <c r="GZ39" s="394"/>
      <c r="HA39" s="394"/>
      <c r="HB39" s="394"/>
      <c r="HC39" s="394"/>
      <c r="HD39" s="394"/>
      <c r="HE39" s="394"/>
      <c r="HF39" s="394"/>
      <c r="HG39" s="394"/>
      <c r="HH39" s="394"/>
      <c r="HI39" s="394"/>
      <c r="HJ39" s="394"/>
      <c r="HK39" s="394"/>
      <c r="HL39" s="394"/>
      <c r="HM39" s="394"/>
      <c r="HN39" s="394"/>
      <c r="HO39" s="394"/>
      <c r="HP39" s="394"/>
      <c r="HQ39" s="394"/>
      <c r="HR39" s="394"/>
      <c r="HS39" s="394"/>
      <c r="HT39" s="394"/>
      <c r="HU39" s="394"/>
      <c r="HV39" s="394"/>
    </row>
    <row r="40" spans="2:230" x14ac:dyDescent="0.15">
      <c r="B40" s="89" t="s">
        <v>73</v>
      </c>
      <c r="C40" s="272">
        <v>1376668</v>
      </c>
      <c r="D40" s="455">
        <f t="shared" si="0"/>
        <v>530604</v>
      </c>
      <c r="E40" s="272">
        <v>16962</v>
      </c>
      <c r="F40" s="456">
        <v>513642</v>
      </c>
      <c r="G40" s="455">
        <f t="shared" si="1"/>
        <v>44960</v>
      </c>
      <c r="H40" s="272">
        <v>19921</v>
      </c>
      <c r="I40" s="272">
        <v>25039</v>
      </c>
      <c r="J40" s="272">
        <v>717419</v>
      </c>
      <c r="K40" s="272">
        <v>138510</v>
      </c>
      <c r="L40" s="272">
        <v>274287</v>
      </c>
      <c r="M40" s="272">
        <v>304488</v>
      </c>
      <c r="N40" s="272">
        <v>43270</v>
      </c>
      <c r="O40" s="272">
        <v>0</v>
      </c>
      <c r="P40" s="272">
        <v>0</v>
      </c>
      <c r="Q40" s="272">
        <v>0</v>
      </c>
      <c r="R40" s="272">
        <v>69146</v>
      </c>
      <c r="S40" s="272"/>
      <c r="T40" s="455">
        <f t="shared" si="2"/>
        <v>184160</v>
      </c>
      <c r="U40" s="272">
        <v>7695</v>
      </c>
      <c r="V40" s="272">
        <v>2887</v>
      </c>
      <c r="W40" s="456">
        <v>1332</v>
      </c>
      <c r="X40" s="272">
        <v>109294</v>
      </c>
      <c r="Y40" s="272">
        <v>27914</v>
      </c>
      <c r="Z40" s="272">
        <v>0</v>
      </c>
      <c r="AA40" s="272">
        <v>35038</v>
      </c>
      <c r="AB40" s="272">
        <v>20092</v>
      </c>
      <c r="AC40" s="272">
        <v>1652594</v>
      </c>
      <c r="AD40" s="272">
        <v>1368477</v>
      </c>
      <c r="AE40" s="272">
        <v>284117</v>
      </c>
      <c r="AF40" s="272">
        <v>2434</v>
      </c>
      <c r="AG40" s="272">
        <v>19653</v>
      </c>
      <c r="AH40" s="455">
        <f t="shared" si="3"/>
        <v>96217</v>
      </c>
      <c r="AI40" s="272">
        <v>50985</v>
      </c>
      <c r="AJ40" s="272">
        <v>45232</v>
      </c>
      <c r="AK40" s="272">
        <v>528911</v>
      </c>
      <c r="AL40" s="455">
        <f t="shared" si="4"/>
        <v>0</v>
      </c>
      <c r="AM40" s="272">
        <v>0</v>
      </c>
      <c r="AN40" s="272">
        <v>0</v>
      </c>
      <c r="AO40" s="272"/>
      <c r="AP40" s="272">
        <v>0</v>
      </c>
      <c r="AQ40" s="272">
        <v>0</v>
      </c>
      <c r="AR40" s="272">
        <v>0</v>
      </c>
      <c r="AS40" s="272">
        <v>0</v>
      </c>
      <c r="AT40" s="272">
        <v>346497</v>
      </c>
      <c r="AU40" s="272">
        <v>102037</v>
      </c>
      <c r="AV40" s="272">
        <v>0</v>
      </c>
      <c r="AW40" s="272">
        <v>0</v>
      </c>
      <c r="AX40" s="272">
        <v>244460</v>
      </c>
      <c r="AY40" s="272">
        <v>15781</v>
      </c>
      <c r="AZ40" s="272">
        <v>10111</v>
      </c>
      <c r="BA40" s="272">
        <v>752</v>
      </c>
      <c r="BB40" s="272">
        <v>13975</v>
      </c>
      <c r="BC40" s="272">
        <v>56193</v>
      </c>
      <c r="BD40" s="272">
        <v>0</v>
      </c>
      <c r="BE40" s="272">
        <v>0</v>
      </c>
      <c r="BF40" s="272">
        <v>28132</v>
      </c>
      <c r="BG40" s="272">
        <v>0</v>
      </c>
      <c r="BH40" s="272">
        <v>219198</v>
      </c>
      <c r="BI40" s="272">
        <v>184724</v>
      </c>
      <c r="BJ40" s="272">
        <v>78153</v>
      </c>
      <c r="BK40" s="272">
        <v>2000</v>
      </c>
      <c r="BL40" s="272">
        <v>0</v>
      </c>
      <c r="BM40" s="272">
        <v>0</v>
      </c>
      <c r="BN40" s="272">
        <v>296702</v>
      </c>
      <c r="BO40" s="455">
        <f t="shared" si="5"/>
        <v>38100</v>
      </c>
      <c r="BP40" s="455">
        <f t="shared" si="6"/>
        <v>258602</v>
      </c>
      <c r="BQ40" s="272"/>
      <c r="BR40" s="272">
        <v>0</v>
      </c>
      <c r="BS40" s="272">
        <v>258602</v>
      </c>
      <c r="BT40" s="272">
        <v>0</v>
      </c>
      <c r="BU40" s="272">
        <v>4970704</v>
      </c>
      <c r="BV40" s="272"/>
      <c r="BW40" s="272">
        <v>1064435</v>
      </c>
      <c r="BX40" s="272">
        <v>628437</v>
      </c>
      <c r="BY40" s="272">
        <v>22902</v>
      </c>
      <c r="BZ40" s="272">
        <v>156637</v>
      </c>
      <c r="CA40" s="272">
        <v>260276</v>
      </c>
      <c r="CB40" s="272">
        <v>131392</v>
      </c>
      <c r="CC40" s="272">
        <v>20824</v>
      </c>
      <c r="CD40" s="272">
        <v>87724</v>
      </c>
      <c r="CE40" s="272">
        <v>0</v>
      </c>
      <c r="CF40" s="272">
        <v>5341</v>
      </c>
      <c r="CG40" s="272">
        <v>14995</v>
      </c>
      <c r="CH40" s="272">
        <v>403292</v>
      </c>
      <c r="CI40" s="272">
        <v>342705</v>
      </c>
      <c r="CJ40" s="455">
        <f t="shared" si="7"/>
        <v>60587</v>
      </c>
      <c r="CK40" s="272">
        <v>742473</v>
      </c>
      <c r="CL40" s="272">
        <v>390014</v>
      </c>
      <c r="CM40" s="272">
        <v>11542</v>
      </c>
      <c r="CN40" s="272">
        <v>153142</v>
      </c>
      <c r="CO40" s="272">
        <v>34761</v>
      </c>
      <c r="CP40" s="272">
        <v>761822</v>
      </c>
      <c r="CQ40" s="272">
        <v>130944</v>
      </c>
      <c r="CR40" s="272">
        <v>173540</v>
      </c>
      <c r="CS40" s="272">
        <v>142006</v>
      </c>
      <c r="CT40" s="455">
        <f t="shared" si="8"/>
        <v>152649</v>
      </c>
      <c r="CU40" s="272">
        <v>1402</v>
      </c>
      <c r="CV40" s="272">
        <v>151247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354160</v>
      </c>
      <c r="DD40" s="272">
        <v>0</v>
      </c>
      <c r="DE40" s="272">
        <v>351106</v>
      </c>
      <c r="DF40" s="26">
        <v>3054</v>
      </c>
      <c r="DG40" s="27">
        <v>0</v>
      </c>
      <c r="DH40" s="272">
        <v>1029</v>
      </c>
      <c r="DI40" s="272">
        <v>539945</v>
      </c>
      <c r="DJ40" s="272">
        <v>425302</v>
      </c>
      <c r="DK40" s="272">
        <v>0</v>
      </c>
      <c r="DL40" s="272">
        <v>114643</v>
      </c>
      <c r="DM40" s="272">
        <v>0</v>
      </c>
      <c r="DN40" s="272">
        <v>0</v>
      </c>
      <c r="DO40" s="272">
        <v>0</v>
      </c>
      <c r="DP40" s="272">
        <v>0</v>
      </c>
      <c r="DQ40" s="272">
        <v>2000</v>
      </c>
      <c r="DR40" s="272">
        <v>0</v>
      </c>
      <c r="DS40" s="272">
        <v>0</v>
      </c>
      <c r="DT40" s="272">
        <v>608776</v>
      </c>
      <c r="DU40" s="272">
        <v>168360</v>
      </c>
      <c r="DV40" s="455">
        <f t="shared" si="11"/>
        <v>0</v>
      </c>
      <c r="DW40" s="272">
        <v>0</v>
      </c>
      <c r="DX40" s="272">
        <v>165030</v>
      </c>
      <c r="DY40" s="272">
        <v>0</v>
      </c>
      <c r="DZ40" s="272">
        <v>94624</v>
      </c>
      <c r="EA40" s="272">
        <v>5690</v>
      </c>
      <c r="EB40" s="272">
        <v>142467</v>
      </c>
      <c r="EC40" s="272">
        <v>0</v>
      </c>
      <c r="ED40" s="272">
        <v>4772969</v>
      </c>
      <c r="EE40" s="89"/>
      <c r="EF40" s="272">
        <v>197735</v>
      </c>
      <c r="EG40" s="272">
        <v>6251</v>
      </c>
      <c r="EH40" s="272">
        <v>191484</v>
      </c>
      <c r="EI40" s="272">
        <v>6760</v>
      </c>
      <c r="EJ40" s="272">
        <v>432062</v>
      </c>
      <c r="EK40" s="89"/>
      <c r="EL40" s="272"/>
      <c r="EM40" s="272">
        <v>12404</v>
      </c>
      <c r="EN40" s="272">
        <v>28061</v>
      </c>
      <c r="EO40" s="272">
        <v>3122</v>
      </c>
      <c r="EP40" s="455">
        <f t="shared" si="12"/>
        <v>457771</v>
      </c>
      <c r="EQ40" s="272">
        <v>3305094</v>
      </c>
      <c r="ER40" s="272">
        <v>-745122</v>
      </c>
      <c r="ES40" s="272">
        <v>984626</v>
      </c>
      <c r="ET40" s="272">
        <v>573453</v>
      </c>
      <c r="EU40" s="272">
        <v>107341</v>
      </c>
      <c r="EV40" s="272">
        <v>361433</v>
      </c>
      <c r="EW40" s="455">
        <f t="shared" si="13"/>
        <v>282046</v>
      </c>
      <c r="EX40" s="272">
        <v>282037</v>
      </c>
      <c r="EY40" s="272">
        <v>0</v>
      </c>
      <c r="EZ40" s="272">
        <v>278983</v>
      </c>
      <c r="FA40" s="272">
        <v>9</v>
      </c>
      <c r="FB40" s="272">
        <v>0</v>
      </c>
      <c r="FC40" s="272">
        <v>512506</v>
      </c>
      <c r="FD40" s="272">
        <v>495153</v>
      </c>
      <c r="FE40" s="272">
        <v>130944</v>
      </c>
      <c r="FF40" s="272">
        <v>541960</v>
      </c>
      <c r="FG40" s="455">
        <f t="shared" si="14"/>
        <v>567416</v>
      </c>
      <c r="FH40" s="272">
        <v>3852481</v>
      </c>
      <c r="FI40" s="459">
        <f t="shared" si="15"/>
        <v>5.8</v>
      </c>
      <c r="FJ40" s="272">
        <v>3036881</v>
      </c>
      <c r="FK40" s="272">
        <v>258602</v>
      </c>
      <c r="FL40" s="272">
        <v>1303655</v>
      </c>
      <c r="FM40" s="272">
        <v>2674479</v>
      </c>
      <c r="FN40" s="460">
        <v>0.52200000000000002</v>
      </c>
      <c r="FO40" s="388">
        <v>85.6</v>
      </c>
      <c r="FP40" s="388">
        <v>29.6</v>
      </c>
      <c r="FQ40" s="388">
        <v>3.3</v>
      </c>
      <c r="FR40" s="388">
        <v>11</v>
      </c>
      <c r="FS40" s="388">
        <v>13.6</v>
      </c>
      <c r="FT40" s="388">
        <v>12.3</v>
      </c>
      <c r="FU40" s="388">
        <v>15</v>
      </c>
      <c r="FV40" s="384">
        <f t="shared" si="16"/>
        <v>8.3000000000000007</v>
      </c>
      <c r="FW40" s="272">
        <v>3814651</v>
      </c>
      <c r="FX40" s="384">
        <f t="shared" si="17"/>
        <v>115.8</v>
      </c>
      <c r="FY40" s="272">
        <v>3128192</v>
      </c>
      <c r="FZ40" s="272">
        <v>2291906</v>
      </c>
      <c r="GA40" s="272">
        <v>0</v>
      </c>
      <c r="GB40" s="272">
        <v>836286</v>
      </c>
      <c r="GC40" s="272">
        <v>0</v>
      </c>
      <c r="GD40" s="457"/>
      <c r="GE40" s="384"/>
      <c r="GF40" s="388">
        <v>97.4</v>
      </c>
      <c r="GG40" s="388">
        <v>18.8</v>
      </c>
      <c r="GH40" s="388">
        <v>88.2</v>
      </c>
      <c r="GI40" s="272">
        <v>106</v>
      </c>
      <c r="GJ40" s="461" t="s">
        <v>646</v>
      </c>
      <c r="GK40" s="461">
        <v>15</v>
      </c>
      <c r="GL40" s="462">
        <v>20</v>
      </c>
      <c r="GM40" s="461" t="s">
        <v>646</v>
      </c>
      <c r="GN40" s="462">
        <v>20</v>
      </c>
      <c r="GO40" s="462">
        <v>40</v>
      </c>
      <c r="GP40" s="463">
        <v>8.3000000000000007</v>
      </c>
      <c r="GQ40" s="463">
        <v>25</v>
      </c>
      <c r="GR40" s="463">
        <v>35</v>
      </c>
      <c r="GS40" s="464">
        <v>49.1</v>
      </c>
      <c r="GT40" s="463">
        <v>350</v>
      </c>
      <c r="GU40" s="394"/>
      <c r="GV40" s="394"/>
      <c r="GW40" s="394"/>
      <c r="GX40" s="394"/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</row>
    <row r="41" spans="2:230" x14ac:dyDescent="0.15">
      <c r="B41" s="89" t="s">
        <v>75</v>
      </c>
      <c r="C41" s="272">
        <v>2379852</v>
      </c>
      <c r="D41" s="455">
        <f t="shared" si="0"/>
        <v>731424</v>
      </c>
      <c r="E41" s="272">
        <v>21862</v>
      </c>
      <c r="F41" s="456">
        <v>709562</v>
      </c>
      <c r="G41" s="455">
        <f t="shared" si="1"/>
        <v>180782</v>
      </c>
      <c r="H41" s="272">
        <v>45614</v>
      </c>
      <c r="I41" s="272">
        <v>135168</v>
      </c>
      <c r="J41" s="272">
        <v>1117804</v>
      </c>
      <c r="K41" s="272">
        <v>554434</v>
      </c>
      <c r="L41" s="272">
        <v>398994</v>
      </c>
      <c r="M41" s="272">
        <v>151793</v>
      </c>
      <c r="N41" s="272">
        <v>90923</v>
      </c>
      <c r="O41" s="272">
        <v>234007</v>
      </c>
      <c r="P41" s="272">
        <v>146092</v>
      </c>
      <c r="Q41" s="272">
        <v>87915</v>
      </c>
      <c r="R41" s="272">
        <v>39190</v>
      </c>
      <c r="S41" s="272"/>
      <c r="T41" s="455">
        <f t="shared" si="2"/>
        <v>208767</v>
      </c>
      <c r="U41" s="272">
        <v>10220</v>
      </c>
      <c r="V41" s="272">
        <v>3833</v>
      </c>
      <c r="W41" s="456">
        <v>1788</v>
      </c>
      <c r="X41" s="272">
        <v>173065</v>
      </c>
      <c r="Y41" s="272">
        <v>0</v>
      </c>
      <c r="Z41" s="272">
        <v>0</v>
      </c>
      <c r="AA41" s="272">
        <v>19861</v>
      </c>
      <c r="AB41" s="272">
        <v>40344</v>
      </c>
      <c r="AC41" s="272">
        <v>1466816</v>
      </c>
      <c r="AD41" s="272">
        <v>1186637</v>
      </c>
      <c r="AE41" s="272">
        <v>280179</v>
      </c>
      <c r="AF41" s="272">
        <v>3860</v>
      </c>
      <c r="AG41" s="272">
        <v>1018</v>
      </c>
      <c r="AH41" s="455">
        <f t="shared" si="3"/>
        <v>238957</v>
      </c>
      <c r="AI41" s="272">
        <v>190230</v>
      </c>
      <c r="AJ41" s="272">
        <v>48727</v>
      </c>
      <c r="AK41" s="272">
        <v>641817</v>
      </c>
      <c r="AL41" s="455">
        <f t="shared" si="4"/>
        <v>25430</v>
      </c>
      <c r="AM41" s="272">
        <v>0</v>
      </c>
      <c r="AN41" s="272">
        <v>25430</v>
      </c>
      <c r="AO41" s="272"/>
      <c r="AP41" s="272">
        <v>0</v>
      </c>
      <c r="AQ41" s="272">
        <v>4515</v>
      </c>
      <c r="AR41" s="272">
        <v>0</v>
      </c>
      <c r="AS41" s="272">
        <v>0</v>
      </c>
      <c r="AT41" s="272">
        <v>356211</v>
      </c>
      <c r="AU41" s="272">
        <v>135933</v>
      </c>
      <c r="AV41" s="272">
        <v>12715</v>
      </c>
      <c r="AW41" s="272">
        <v>0</v>
      </c>
      <c r="AX41" s="272">
        <v>220278</v>
      </c>
      <c r="AY41" s="272">
        <v>23977</v>
      </c>
      <c r="AZ41" s="272">
        <v>147129</v>
      </c>
      <c r="BA41" s="272">
        <v>144495</v>
      </c>
      <c r="BB41" s="272">
        <v>1402</v>
      </c>
      <c r="BC41" s="272">
        <v>35805</v>
      </c>
      <c r="BD41" s="272">
        <v>0</v>
      </c>
      <c r="BE41" s="272">
        <v>0</v>
      </c>
      <c r="BF41" s="272">
        <v>35800</v>
      </c>
      <c r="BG41" s="272">
        <v>0</v>
      </c>
      <c r="BH41" s="272">
        <v>0</v>
      </c>
      <c r="BI41" s="272">
        <v>0</v>
      </c>
      <c r="BJ41" s="272">
        <v>77312</v>
      </c>
      <c r="BK41" s="272">
        <v>40</v>
      </c>
      <c r="BL41" s="272">
        <v>0</v>
      </c>
      <c r="BM41" s="272">
        <v>0</v>
      </c>
      <c r="BN41" s="272">
        <v>389500</v>
      </c>
      <c r="BO41" s="455">
        <f t="shared" si="5"/>
        <v>15300</v>
      </c>
      <c r="BP41" s="455">
        <f t="shared" si="6"/>
        <v>314900</v>
      </c>
      <c r="BQ41" s="272"/>
      <c r="BR41" s="272">
        <v>0</v>
      </c>
      <c r="BS41" s="272">
        <v>314900</v>
      </c>
      <c r="BT41" s="272">
        <v>59300</v>
      </c>
      <c r="BU41" s="272">
        <v>6027980</v>
      </c>
      <c r="BV41" s="272"/>
      <c r="BW41" s="272">
        <v>1284300</v>
      </c>
      <c r="BX41" s="272">
        <v>883718</v>
      </c>
      <c r="BY41" s="272">
        <v>125075</v>
      </c>
      <c r="BZ41" s="272">
        <v>12984</v>
      </c>
      <c r="CA41" s="272">
        <v>625273</v>
      </c>
      <c r="CB41" s="272">
        <v>191605</v>
      </c>
      <c r="CC41" s="272">
        <v>23817</v>
      </c>
      <c r="CD41" s="272">
        <v>393158</v>
      </c>
      <c r="CE41" s="272">
        <v>0</v>
      </c>
      <c r="CF41" s="272">
        <v>0</v>
      </c>
      <c r="CG41" s="272">
        <v>16693</v>
      </c>
      <c r="CH41" s="272">
        <v>836523</v>
      </c>
      <c r="CI41" s="272">
        <v>687063</v>
      </c>
      <c r="CJ41" s="455">
        <f t="shared" si="7"/>
        <v>149460</v>
      </c>
      <c r="CK41" s="272">
        <v>1251963</v>
      </c>
      <c r="CL41" s="272">
        <v>889246</v>
      </c>
      <c r="CM41" s="272">
        <v>97601</v>
      </c>
      <c r="CN41" s="272">
        <v>142876</v>
      </c>
      <c r="CO41" s="272">
        <v>25582</v>
      </c>
      <c r="CP41" s="272">
        <v>483764</v>
      </c>
      <c r="CQ41" s="272">
        <v>2111</v>
      </c>
      <c r="CR41" s="272">
        <v>325078</v>
      </c>
      <c r="CS41" s="272">
        <v>16565</v>
      </c>
      <c r="CT41" s="455">
        <f t="shared" si="8"/>
        <v>31168</v>
      </c>
      <c r="CU41" s="272">
        <v>31168</v>
      </c>
      <c r="CV41" s="272">
        <v>0</v>
      </c>
      <c r="CW41" s="455">
        <f t="shared" si="9"/>
        <v>30869</v>
      </c>
      <c r="CX41" s="272">
        <v>30869</v>
      </c>
      <c r="CY41" s="272">
        <v>0</v>
      </c>
      <c r="CZ41" s="455">
        <f t="shared" si="10"/>
        <v>0</v>
      </c>
      <c r="DA41" s="272">
        <v>0</v>
      </c>
      <c r="DB41" s="272">
        <v>0</v>
      </c>
      <c r="DC41" s="272">
        <v>214452</v>
      </c>
      <c r="DD41" s="272">
        <v>9030</v>
      </c>
      <c r="DE41" s="272">
        <v>205422</v>
      </c>
      <c r="DF41" s="26">
        <v>0</v>
      </c>
      <c r="DG41" s="27">
        <v>0</v>
      </c>
      <c r="DH41" s="272">
        <v>0</v>
      </c>
      <c r="DI41" s="272">
        <v>17296</v>
      </c>
      <c r="DJ41" s="272">
        <v>0</v>
      </c>
      <c r="DK41" s="272">
        <v>0</v>
      </c>
      <c r="DL41" s="272">
        <v>17296</v>
      </c>
      <c r="DM41" s="272">
        <v>0</v>
      </c>
      <c r="DN41" s="272">
        <v>0</v>
      </c>
      <c r="DO41" s="272">
        <v>0</v>
      </c>
      <c r="DP41" s="272">
        <v>0</v>
      </c>
      <c r="DQ41" s="272">
        <v>0</v>
      </c>
      <c r="DR41" s="272">
        <v>0</v>
      </c>
      <c r="DS41" s="272">
        <v>0</v>
      </c>
      <c r="DT41" s="272">
        <v>1052200</v>
      </c>
      <c r="DU41" s="272">
        <v>521953</v>
      </c>
      <c r="DV41" s="455">
        <f t="shared" si="11"/>
        <v>0</v>
      </c>
      <c r="DW41" s="272">
        <v>0</v>
      </c>
      <c r="DX41" s="272">
        <v>180841</v>
      </c>
      <c r="DY41" s="272">
        <v>0</v>
      </c>
      <c r="DZ41" s="272">
        <v>172824</v>
      </c>
      <c r="EA41" s="272">
        <v>0</v>
      </c>
      <c r="EB41" s="272">
        <v>176582</v>
      </c>
      <c r="EC41" s="272">
        <v>269016</v>
      </c>
      <c r="ED41" s="272">
        <v>6060369</v>
      </c>
      <c r="EE41" s="89"/>
      <c r="EF41" s="272">
        <v>-32389</v>
      </c>
      <c r="EG41" s="272">
        <v>3999</v>
      </c>
      <c r="EH41" s="272">
        <v>-36388</v>
      </c>
      <c r="EI41" s="272">
        <v>236285</v>
      </c>
      <c r="EJ41" s="272">
        <v>236285</v>
      </c>
      <c r="EK41" s="89"/>
      <c r="EL41" s="272"/>
      <c r="EM41" s="272">
        <v>17663</v>
      </c>
      <c r="EN41" s="272">
        <v>5</v>
      </c>
      <c r="EO41" s="272">
        <v>130328</v>
      </c>
      <c r="EP41" s="455">
        <f t="shared" si="12"/>
        <v>190710</v>
      </c>
      <c r="EQ41" s="272">
        <v>4138829</v>
      </c>
      <c r="ER41" s="272">
        <v>-632083</v>
      </c>
      <c r="ES41" s="272">
        <v>1107942</v>
      </c>
      <c r="ET41" s="272">
        <v>785680</v>
      </c>
      <c r="EU41" s="272">
        <v>231800</v>
      </c>
      <c r="EV41" s="272">
        <v>836523</v>
      </c>
      <c r="EW41" s="455">
        <f t="shared" si="13"/>
        <v>153459</v>
      </c>
      <c r="EX41" s="272">
        <v>153459</v>
      </c>
      <c r="EY41" s="272">
        <v>4515</v>
      </c>
      <c r="EZ41" s="272">
        <v>148944</v>
      </c>
      <c r="FA41" s="272">
        <v>0</v>
      </c>
      <c r="FB41" s="272">
        <v>0</v>
      </c>
      <c r="FC41" s="272">
        <v>1041044</v>
      </c>
      <c r="FD41" s="272">
        <v>172045</v>
      </c>
      <c r="FE41" s="272">
        <v>2111</v>
      </c>
      <c r="FF41" s="272">
        <v>966682</v>
      </c>
      <c r="FG41" s="455">
        <f t="shared" si="14"/>
        <v>293806</v>
      </c>
      <c r="FH41" s="272">
        <v>4803301</v>
      </c>
      <c r="FI41" s="459">
        <f t="shared" si="15"/>
        <v>-0.9</v>
      </c>
      <c r="FJ41" s="272">
        <v>3624356</v>
      </c>
      <c r="FK41" s="272">
        <v>314944</v>
      </c>
      <c r="FL41" s="272">
        <v>1879147</v>
      </c>
      <c r="FM41" s="272">
        <v>3068544</v>
      </c>
      <c r="FN41" s="460">
        <v>0.61199999999999999</v>
      </c>
      <c r="FO41" s="388">
        <v>106.6</v>
      </c>
      <c r="FP41" s="388">
        <v>27.9</v>
      </c>
      <c r="FQ41" s="388">
        <v>5.8</v>
      </c>
      <c r="FR41" s="388">
        <v>21.1</v>
      </c>
      <c r="FS41" s="388">
        <v>25.4</v>
      </c>
      <c r="FT41" s="388">
        <v>3.2</v>
      </c>
      <c r="FU41" s="388">
        <v>22.5</v>
      </c>
      <c r="FV41" s="384">
        <f t="shared" si="16"/>
        <v>17.2</v>
      </c>
      <c r="FW41" s="272">
        <v>7389688</v>
      </c>
      <c r="FX41" s="384">
        <f t="shared" si="17"/>
        <v>187.6</v>
      </c>
      <c r="FY41" s="272">
        <v>226991</v>
      </c>
      <c r="FZ41" s="272">
        <v>0</v>
      </c>
      <c r="GA41" s="272">
        <v>0</v>
      </c>
      <c r="GB41" s="272">
        <v>226991</v>
      </c>
      <c r="GC41" s="272">
        <v>0</v>
      </c>
      <c r="GD41" s="457"/>
      <c r="GE41" s="384"/>
      <c r="GF41" s="388">
        <v>97.7</v>
      </c>
      <c r="GG41" s="388">
        <v>19.8</v>
      </c>
      <c r="GH41" s="388">
        <v>90.3</v>
      </c>
      <c r="GI41" s="272">
        <v>150</v>
      </c>
      <c r="GJ41" s="461">
        <v>0.92</v>
      </c>
      <c r="GK41" s="461">
        <v>15</v>
      </c>
      <c r="GL41" s="462">
        <v>20</v>
      </c>
      <c r="GM41" s="461">
        <v>1.41</v>
      </c>
      <c r="GN41" s="462">
        <v>20</v>
      </c>
      <c r="GO41" s="462">
        <v>40</v>
      </c>
      <c r="GP41" s="463">
        <v>17.2</v>
      </c>
      <c r="GQ41" s="463">
        <v>25</v>
      </c>
      <c r="GR41" s="463">
        <v>35</v>
      </c>
      <c r="GS41" s="464">
        <v>237.8</v>
      </c>
      <c r="GT41" s="463">
        <v>350</v>
      </c>
      <c r="GU41" s="394"/>
      <c r="GV41" s="394"/>
      <c r="GW41" s="394"/>
      <c r="GX41" s="394"/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</row>
    <row r="42" spans="2:230" x14ac:dyDescent="0.15">
      <c r="B42" s="89" t="s">
        <v>77</v>
      </c>
      <c r="C42" s="272">
        <v>4543077</v>
      </c>
      <c r="D42" s="455">
        <f t="shared" si="0"/>
        <v>2419324</v>
      </c>
      <c r="E42" s="272">
        <v>59530</v>
      </c>
      <c r="F42" s="456">
        <v>2359794</v>
      </c>
      <c r="G42" s="455">
        <f t="shared" si="1"/>
        <v>153793</v>
      </c>
      <c r="H42" s="272">
        <v>45301</v>
      </c>
      <c r="I42" s="272">
        <v>108492</v>
      </c>
      <c r="J42" s="272">
        <v>1740190</v>
      </c>
      <c r="K42" s="272">
        <v>673338</v>
      </c>
      <c r="L42" s="272">
        <v>812420</v>
      </c>
      <c r="M42" s="272">
        <v>242467</v>
      </c>
      <c r="N42" s="272">
        <v>159973</v>
      </c>
      <c r="O42" s="272">
        <v>0</v>
      </c>
      <c r="P42" s="272">
        <v>0</v>
      </c>
      <c r="Q42" s="272">
        <v>0</v>
      </c>
      <c r="R42" s="272">
        <v>98918</v>
      </c>
      <c r="S42" s="272"/>
      <c r="T42" s="455">
        <f t="shared" si="2"/>
        <v>465436</v>
      </c>
      <c r="U42" s="272">
        <v>33989</v>
      </c>
      <c r="V42" s="272">
        <v>12747</v>
      </c>
      <c r="W42" s="456">
        <v>5954</v>
      </c>
      <c r="X42" s="272">
        <v>348131</v>
      </c>
      <c r="Y42" s="272">
        <v>14478</v>
      </c>
      <c r="Z42" s="272">
        <v>0</v>
      </c>
      <c r="AA42" s="272">
        <v>50137</v>
      </c>
      <c r="AB42" s="272">
        <v>92339</v>
      </c>
      <c r="AC42" s="272">
        <v>1869104</v>
      </c>
      <c r="AD42" s="272">
        <v>1671704</v>
      </c>
      <c r="AE42" s="272">
        <v>197400</v>
      </c>
      <c r="AF42" s="272">
        <v>8258</v>
      </c>
      <c r="AG42" s="272">
        <v>6395</v>
      </c>
      <c r="AH42" s="455">
        <f t="shared" si="3"/>
        <v>357419</v>
      </c>
      <c r="AI42" s="272">
        <v>272585</v>
      </c>
      <c r="AJ42" s="272">
        <v>84834</v>
      </c>
      <c r="AK42" s="272">
        <v>1569281</v>
      </c>
      <c r="AL42" s="455">
        <f t="shared" si="4"/>
        <v>63190</v>
      </c>
      <c r="AM42" s="272">
        <v>0</v>
      </c>
      <c r="AN42" s="272">
        <v>63190</v>
      </c>
      <c r="AO42" s="272"/>
      <c r="AP42" s="272">
        <v>0</v>
      </c>
      <c r="AQ42" s="272">
        <v>180197</v>
      </c>
      <c r="AR42" s="272">
        <v>0</v>
      </c>
      <c r="AS42" s="272">
        <v>0</v>
      </c>
      <c r="AT42" s="272">
        <v>666050</v>
      </c>
      <c r="AU42" s="272">
        <v>303642</v>
      </c>
      <c r="AV42" s="272">
        <v>31595</v>
      </c>
      <c r="AW42" s="272">
        <v>28179</v>
      </c>
      <c r="AX42" s="272">
        <v>362408</v>
      </c>
      <c r="AY42" s="272">
        <v>4293</v>
      </c>
      <c r="AZ42" s="272">
        <v>6908</v>
      </c>
      <c r="BA42" s="272">
        <v>1681</v>
      </c>
      <c r="BB42" s="272">
        <v>5259</v>
      </c>
      <c r="BC42" s="272">
        <v>60691</v>
      </c>
      <c r="BD42" s="272">
        <v>0</v>
      </c>
      <c r="BE42" s="272">
        <v>0</v>
      </c>
      <c r="BF42" s="272">
        <v>60521</v>
      </c>
      <c r="BG42" s="272">
        <v>0</v>
      </c>
      <c r="BH42" s="272">
        <v>92234</v>
      </c>
      <c r="BI42" s="272">
        <v>47027</v>
      </c>
      <c r="BJ42" s="272">
        <v>223758</v>
      </c>
      <c r="BK42" s="272">
        <v>0</v>
      </c>
      <c r="BL42" s="272">
        <v>0</v>
      </c>
      <c r="BM42" s="272">
        <v>0</v>
      </c>
      <c r="BN42" s="272">
        <v>979500</v>
      </c>
      <c r="BO42" s="455">
        <f t="shared" si="5"/>
        <v>374500</v>
      </c>
      <c r="BP42" s="455">
        <f t="shared" si="6"/>
        <v>605000</v>
      </c>
      <c r="BQ42" s="272"/>
      <c r="BR42" s="272">
        <v>0</v>
      </c>
      <c r="BS42" s="272">
        <v>605000</v>
      </c>
      <c r="BT42" s="272">
        <v>0</v>
      </c>
      <c r="BU42" s="272">
        <v>11044627</v>
      </c>
      <c r="BV42" s="272"/>
      <c r="BW42" s="272">
        <v>3084295</v>
      </c>
      <c r="BX42" s="272">
        <v>2097250</v>
      </c>
      <c r="BY42" s="272">
        <v>289867</v>
      </c>
      <c r="BZ42" s="272">
        <v>158436</v>
      </c>
      <c r="CA42" s="272">
        <v>1221504</v>
      </c>
      <c r="CB42" s="272">
        <v>333481</v>
      </c>
      <c r="CC42" s="272">
        <v>57776</v>
      </c>
      <c r="CD42" s="272">
        <v>748023</v>
      </c>
      <c r="CE42" s="272">
        <v>0</v>
      </c>
      <c r="CF42" s="272">
        <v>2201</v>
      </c>
      <c r="CG42" s="272">
        <v>80023</v>
      </c>
      <c r="CH42" s="272">
        <v>1229169</v>
      </c>
      <c r="CI42" s="272">
        <v>1067281</v>
      </c>
      <c r="CJ42" s="455">
        <f t="shared" si="7"/>
        <v>161888</v>
      </c>
      <c r="CK42" s="272">
        <v>1768995</v>
      </c>
      <c r="CL42" s="272">
        <v>884121</v>
      </c>
      <c r="CM42" s="272">
        <v>177313</v>
      </c>
      <c r="CN42" s="272">
        <v>366965</v>
      </c>
      <c r="CO42" s="272">
        <v>130839</v>
      </c>
      <c r="CP42" s="272">
        <v>1100283</v>
      </c>
      <c r="CQ42" s="272">
        <v>925</v>
      </c>
      <c r="CR42" s="272">
        <v>931403</v>
      </c>
      <c r="CS42" s="272">
        <v>107976</v>
      </c>
      <c r="CT42" s="455">
        <f t="shared" si="8"/>
        <v>6950</v>
      </c>
      <c r="CU42" s="272">
        <v>6098</v>
      </c>
      <c r="CV42" s="272">
        <v>852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1074456</v>
      </c>
      <c r="DD42" s="272">
        <v>710762</v>
      </c>
      <c r="DE42" s="272">
        <v>346901</v>
      </c>
      <c r="DF42" s="26">
        <v>6049</v>
      </c>
      <c r="DG42" s="27">
        <v>10744</v>
      </c>
      <c r="DH42" s="272">
        <v>132</v>
      </c>
      <c r="DI42" s="272">
        <v>38885</v>
      </c>
      <c r="DJ42" s="272">
        <v>35000</v>
      </c>
      <c r="DK42" s="272">
        <v>198</v>
      </c>
      <c r="DL42" s="272">
        <v>3687</v>
      </c>
      <c r="DM42" s="272">
        <v>36400</v>
      </c>
      <c r="DN42" s="456">
        <v>36400</v>
      </c>
      <c r="DO42" s="272">
        <v>36400</v>
      </c>
      <c r="DP42" s="272">
        <v>0</v>
      </c>
      <c r="DQ42" s="272">
        <v>0</v>
      </c>
      <c r="DR42" s="272">
        <v>0</v>
      </c>
      <c r="DS42" s="272">
        <v>0</v>
      </c>
      <c r="DT42" s="272">
        <v>1271027</v>
      </c>
      <c r="DU42" s="272">
        <v>317200</v>
      </c>
      <c r="DV42" s="455">
        <f t="shared" si="11"/>
        <v>0</v>
      </c>
      <c r="DW42" s="272">
        <v>0</v>
      </c>
      <c r="DX42" s="272">
        <v>345032</v>
      </c>
      <c r="DY42" s="272">
        <v>0</v>
      </c>
      <c r="DZ42" s="272">
        <v>246447</v>
      </c>
      <c r="EA42" s="272">
        <v>8141</v>
      </c>
      <c r="EB42" s="272">
        <v>352940</v>
      </c>
      <c r="EC42" s="272">
        <v>0</v>
      </c>
      <c r="ED42" s="272">
        <v>10955985</v>
      </c>
      <c r="EE42" s="89"/>
      <c r="EF42" s="272">
        <v>88642</v>
      </c>
      <c r="EG42" s="272">
        <v>38631</v>
      </c>
      <c r="EH42" s="272">
        <v>50011</v>
      </c>
      <c r="EI42" s="272">
        <v>2984</v>
      </c>
      <c r="EJ42" s="272">
        <v>37984</v>
      </c>
      <c r="EK42" s="89"/>
      <c r="EL42" s="272"/>
      <c r="EM42" s="272">
        <v>44566</v>
      </c>
      <c r="EN42" s="272">
        <v>5691</v>
      </c>
      <c r="EO42" s="272">
        <v>3216</v>
      </c>
      <c r="EP42" s="455">
        <f t="shared" si="12"/>
        <v>348627</v>
      </c>
      <c r="EQ42" s="272">
        <v>7077132</v>
      </c>
      <c r="ER42" s="272">
        <v>-954276</v>
      </c>
      <c r="ES42" s="272">
        <v>2843441</v>
      </c>
      <c r="ET42" s="272">
        <v>1895872</v>
      </c>
      <c r="EU42" s="272">
        <v>579162</v>
      </c>
      <c r="EV42" s="272">
        <v>1229169</v>
      </c>
      <c r="EW42" s="455">
        <f t="shared" si="13"/>
        <v>279769</v>
      </c>
      <c r="EX42" s="272">
        <v>279637</v>
      </c>
      <c r="EY42" s="272">
        <v>9411</v>
      </c>
      <c r="EZ42" s="272">
        <v>269677</v>
      </c>
      <c r="FA42" s="272">
        <v>132</v>
      </c>
      <c r="FB42" s="272">
        <v>0</v>
      </c>
      <c r="FC42" s="272">
        <v>1414906</v>
      </c>
      <c r="FD42" s="272">
        <v>304832</v>
      </c>
      <c r="FE42" s="272">
        <v>925</v>
      </c>
      <c r="FF42" s="272">
        <v>1125016</v>
      </c>
      <c r="FG42" s="455">
        <f t="shared" si="14"/>
        <v>166471</v>
      </c>
      <c r="FH42" s="272">
        <v>7942766</v>
      </c>
      <c r="FI42" s="459">
        <f t="shared" si="15"/>
        <v>0.7</v>
      </c>
      <c r="FJ42" s="272">
        <v>6860061</v>
      </c>
      <c r="FK42" s="272">
        <v>605797</v>
      </c>
      <c r="FL42" s="272">
        <v>4019375</v>
      </c>
      <c r="FM42" s="272">
        <v>5697816</v>
      </c>
      <c r="FN42" s="460">
        <v>0.71599999999999997</v>
      </c>
      <c r="FO42" s="388">
        <v>94.3</v>
      </c>
      <c r="FP42" s="388">
        <v>34.9</v>
      </c>
      <c r="FQ42" s="388">
        <v>7.5</v>
      </c>
      <c r="FR42" s="388">
        <v>16.2</v>
      </c>
      <c r="FS42" s="388">
        <v>17.2</v>
      </c>
      <c r="FT42" s="388">
        <v>3.5</v>
      </c>
      <c r="FU42" s="388">
        <v>13.3</v>
      </c>
      <c r="FV42" s="384">
        <f t="shared" si="16"/>
        <v>10.5</v>
      </c>
      <c r="FW42" s="272">
        <v>9355949</v>
      </c>
      <c r="FX42" s="384">
        <f t="shared" si="17"/>
        <v>125.3</v>
      </c>
      <c r="FY42" s="272">
        <v>3458672</v>
      </c>
      <c r="FZ42" s="272">
        <v>849158</v>
      </c>
      <c r="GA42" s="272">
        <v>612656</v>
      </c>
      <c r="GB42" s="272">
        <v>1996858</v>
      </c>
      <c r="GC42" s="272">
        <v>0</v>
      </c>
      <c r="GD42" s="457">
        <v>778000</v>
      </c>
      <c r="GE42" s="384">
        <f>ROUND(GD42/(FJ42+FK42)*100,1)</f>
        <v>10.4</v>
      </c>
      <c r="GF42" s="388">
        <v>97.8</v>
      </c>
      <c r="GG42" s="388">
        <v>25.2</v>
      </c>
      <c r="GH42" s="388">
        <v>93</v>
      </c>
      <c r="GI42" s="272">
        <v>349</v>
      </c>
      <c r="GJ42" s="461" t="s">
        <v>646</v>
      </c>
      <c r="GK42" s="461">
        <v>13.9</v>
      </c>
      <c r="GL42" s="462">
        <v>20</v>
      </c>
      <c r="GM42" s="461" t="s">
        <v>646</v>
      </c>
      <c r="GN42" s="462">
        <v>18.899999999999999</v>
      </c>
      <c r="GO42" s="462">
        <v>40</v>
      </c>
      <c r="GP42" s="463">
        <v>10.5</v>
      </c>
      <c r="GQ42" s="463">
        <v>25</v>
      </c>
      <c r="GR42" s="463">
        <v>35</v>
      </c>
      <c r="GS42" s="464">
        <v>78.5</v>
      </c>
      <c r="GT42" s="463">
        <v>350</v>
      </c>
      <c r="GU42" s="394"/>
      <c r="GV42" s="394"/>
      <c r="GW42" s="394"/>
      <c r="GX42" s="394"/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</row>
    <row r="43" spans="2:230" x14ac:dyDescent="0.15">
      <c r="B43" s="89" t="s">
        <v>79</v>
      </c>
      <c r="C43" s="272">
        <v>4018937</v>
      </c>
      <c r="D43" s="455">
        <f t="shared" si="0"/>
        <v>369348</v>
      </c>
      <c r="E43" s="272">
        <v>10153</v>
      </c>
      <c r="F43" s="456">
        <v>359195</v>
      </c>
      <c r="G43" s="455">
        <f t="shared" si="1"/>
        <v>136390</v>
      </c>
      <c r="H43" s="272">
        <v>39485</v>
      </c>
      <c r="I43" s="272">
        <v>96905</v>
      </c>
      <c r="J43" s="272">
        <v>2841522</v>
      </c>
      <c r="K43" s="272">
        <v>1254268</v>
      </c>
      <c r="L43" s="272">
        <v>731261</v>
      </c>
      <c r="M43" s="272">
        <v>806198</v>
      </c>
      <c r="N43" s="272">
        <v>660934</v>
      </c>
      <c r="O43" s="272">
        <v>0</v>
      </c>
      <c r="P43" s="272">
        <v>0</v>
      </c>
      <c r="Q43" s="272">
        <v>0</v>
      </c>
      <c r="R43" s="272">
        <v>43916</v>
      </c>
      <c r="S43" s="272"/>
      <c r="T43" s="455">
        <f t="shared" si="2"/>
        <v>129745</v>
      </c>
      <c r="U43" s="272">
        <v>4681</v>
      </c>
      <c r="V43" s="272">
        <v>1754</v>
      </c>
      <c r="W43" s="456">
        <v>827</v>
      </c>
      <c r="X43" s="272">
        <v>112874</v>
      </c>
      <c r="Y43" s="272">
        <v>0</v>
      </c>
      <c r="Z43" s="272">
        <v>0</v>
      </c>
      <c r="AA43" s="272">
        <v>9609</v>
      </c>
      <c r="AB43" s="272">
        <v>14070</v>
      </c>
      <c r="AC43" s="272">
        <v>21131</v>
      </c>
      <c r="AD43" s="272">
        <v>0</v>
      </c>
      <c r="AE43" s="272">
        <v>21131</v>
      </c>
      <c r="AF43" s="272">
        <v>1270</v>
      </c>
      <c r="AG43" s="272">
        <v>1486</v>
      </c>
      <c r="AH43" s="455">
        <f t="shared" si="3"/>
        <v>98883</v>
      </c>
      <c r="AI43" s="272">
        <v>90398</v>
      </c>
      <c r="AJ43" s="272">
        <v>8485</v>
      </c>
      <c r="AK43" s="272">
        <v>280386</v>
      </c>
      <c r="AL43" s="455">
        <f t="shared" si="4"/>
        <v>0</v>
      </c>
      <c r="AM43" s="272">
        <v>0</v>
      </c>
      <c r="AN43" s="272">
        <v>0</v>
      </c>
      <c r="AO43" s="272"/>
      <c r="AP43" s="272">
        <v>0</v>
      </c>
      <c r="AQ43" s="272">
        <v>0</v>
      </c>
      <c r="AR43" s="272">
        <v>0</v>
      </c>
      <c r="AS43" s="272">
        <v>0</v>
      </c>
      <c r="AT43" s="272">
        <v>166542</v>
      </c>
      <c r="AU43" s="272">
        <v>90036</v>
      </c>
      <c r="AV43" s="272">
        <v>0</v>
      </c>
      <c r="AW43" s="272">
        <v>1680</v>
      </c>
      <c r="AX43" s="272">
        <v>76506</v>
      </c>
      <c r="AY43" s="272">
        <v>0</v>
      </c>
      <c r="AZ43" s="272">
        <v>44325</v>
      </c>
      <c r="BA43" s="272">
        <v>36830</v>
      </c>
      <c r="BB43" s="272">
        <v>280</v>
      </c>
      <c r="BC43" s="272">
        <v>30198</v>
      </c>
      <c r="BD43" s="272">
        <v>0</v>
      </c>
      <c r="BE43" s="272">
        <v>0</v>
      </c>
      <c r="BF43" s="272">
        <v>30198</v>
      </c>
      <c r="BG43" s="272">
        <v>0</v>
      </c>
      <c r="BH43" s="272">
        <v>143798</v>
      </c>
      <c r="BI43" s="272">
        <v>139047</v>
      </c>
      <c r="BJ43" s="272">
        <v>807094</v>
      </c>
      <c r="BK43" s="272">
        <v>730000</v>
      </c>
      <c r="BL43" s="272">
        <v>0</v>
      </c>
      <c r="BM43" s="272">
        <v>0</v>
      </c>
      <c r="BN43" s="272">
        <v>0</v>
      </c>
      <c r="BO43" s="455">
        <f t="shared" si="5"/>
        <v>0</v>
      </c>
      <c r="BP43" s="455">
        <f t="shared" si="6"/>
        <v>0</v>
      </c>
      <c r="BQ43" s="272"/>
      <c r="BR43" s="272">
        <v>0</v>
      </c>
      <c r="BS43" s="272">
        <v>0</v>
      </c>
      <c r="BT43" s="272">
        <v>0</v>
      </c>
      <c r="BU43" s="272">
        <v>5802061</v>
      </c>
      <c r="BV43" s="272"/>
      <c r="BW43" s="272">
        <v>1039474</v>
      </c>
      <c r="BX43" s="272">
        <v>653539</v>
      </c>
      <c r="BY43" s="272">
        <v>29754</v>
      </c>
      <c r="BZ43" s="272">
        <v>125709</v>
      </c>
      <c r="CA43" s="272">
        <v>264072</v>
      </c>
      <c r="CB43" s="272">
        <v>124226</v>
      </c>
      <c r="CC43" s="272">
        <v>17727</v>
      </c>
      <c r="CD43" s="272">
        <v>114374</v>
      </c>
      <c r="CE43" s="272">
        <v>0</v>
      </c>
      <c r="CF43" s="272">
        <v>814</v>
      </c>
      <c r="CG43" s="272">
        <v>6931</v>
      </c>
      <c r="CH43" s="272">
        <v>445167</v>
      </c>
      <c r="CI43" s="272">
        <v>378994</v>
      </c>
      <c r="CJ43" s="455">
        <f t="shared" si="7"/>
        <v>66173</v>
      </c>
      <c r="CK43" s="272">
        <v>475962</v>
      </c>
      <c r="CL43" s="272">
        <v>247158</v>
      </c>
      <c r="CM43" s="272">
        <v>10681</v>
      </c>
      <c r="CN43" s="272">
        <v>139621</v>
      </c>
      <c r="CO43" s="272">
        <v>21690</v>
      </c>
      <c r="CP43" s="272">
        <v>1642863</v>
      </c>
      <c r="CQ43" s="272">
        <v>133721</v>
      </c>
      <c r="CR43" s="272">
        <v>175196</v>
      </c>
      <c r="CS43" s="272">
        <v>50348</v>
      </c>
      <c r="CT43" s="455">
        <f t="shared" si="8"/>
        <v>11256</v>
      </c>
      <c r="CU43" s="272">
        <v>0</v>
      </c>
      <c r="CV43" s="272">
        <v>11256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809505</v>
      </c>
      <c r="DD43" s="272">
        <v>4789</v>
      </c>
      <c r="DE43" s="272">
        <v>804716</v>
      </c>
      <c r="DF43" s="26">
        <v>0</v>
      </c>
      <c r="DG43" s="27">
        <v>0</v>
      </c>
      <c r="DH43" s="272">
        <v>0</v>
      </c>
      <c r="DI43" s="272">
        <v>82943</v>
      </c>
      <c r="DJ43" s="272">
        <v>78249</v>
      </c>
      <c r="DK43" s="272">
        <v>0</v>
      </c>
      <c r="DL43" s="272">
        <v>4694</v>
      </c>
      <c r="DM43" s="272">
        <v>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719264</v>
      </c>
      <c r="DU43" s="272">
        <v>466754</v>
      </c>
      <c r="DV43" s="455">
        <f t="shared" si="11"/>
        <v>0</v>
      </c>
      <c r="DW43" s="272">
        <v>0</v>
      </c>
      <c r="DX43" s="272">
        <v>91794</v>
      </c>
      <c r="DY43" s="272">
        <v>0</v>
      </c>
      <c r="DZ43" s="272">
        <v>79391</v>
      </c>
      <c r="EA43" s="272">
        <v>0</v>
      </c>
      <c r="EB43" s="272">
        <v>81325</v>
      </c>
      <c r="EC43" s="272">
        <v>0</v>
      </c>
      <c r="ED43" s="272">
        <v>5500940</v>
      </c>
      <c r="EE43" s="89"/>
      <c r="EF43" s="272">
        <v>301121</v>
      </c>
      <c r="EG43" s="272">
        <v>8976</v>
      </c>
      <c r="EH43" s="272">
        <v>292145</v>
      </c>
      <c r="EI43" s="272">
        <v>153098</v>
      </c>
      <c r="EJ43" s="272">
        <v>231347</v>
      </c>
      <c r="EK43" s="89"/>
      <c r="EL43" s="272"/>
      <c r="EM43" s="272">
        <v>8125</v>
      </c>
      <c r="EN43" s="272">
        <v>29024</v>
      </c>
      <c r="EO43" s="272">
        <v>37407</v>
      </c>
      <c r="EP43" s="455">
        <f t="shared" si="12"/>
        <v>924234</v>
      </c>
      <c r="EQ43" s="272">
        <v>4229069</v>
      </c>
      <c r="ER43" s="272">
        <v>-989395</v>
      </c>
      <c r="ES43" s="272">
        <v>955451</v>
      </c>
      <c r="ET43" s="272">
        <v>595759</v>
      </c>
      <c r="EU43" s="272">
        <v>92114</v>
      </c>
      <c r="EV43" s="272">
        <v>445167</v>
      </c>
      <c r="EW43" s="455">
        <f t="shared" si="13"/>
        <v>804981</v>
      </c>
      <c r="EX43" s="272">
        <v>804981</v>
      </c>
      <c r="EY43" s="272">
        <v>2395</v>
      </c>
      <c r="EZ43" s="272">
        <v>802586</v>
      </c>
      <c r="FA43" s="272">
        <v>0</v>
      </c>
      <c r="FB43" s="272">
        <v>0</v>
      </c>
      <c r="FC43" s="272">
        <v>342801</v>
      </c>
      <c r="FD43" s="272">
        <v>1496670</v>
      </c>
      <c r="FE43" s="272">
        <v>133721</v>
      </c>
      <c r="FF43" s="272">
        <v>683391</v>
      </c>
      <c r="FG43" s="455">
        <f t="shared" si="14"/>
        <v>96768</v>
      </c>
      <c r="FH43" s="272">
        <v>4917343</v>
      </c>
      <c r="FI43" s="459">
        <f t="shared" si="15"/>
        <v>7.7</v>
      </c>
      <c r="FJ43" s="272">
        <v>3611483</v>
      </c>
      <c r="FK43" s="272">
        <v>201040</v>
      </c>
      <c r="FL43" s="272">
        <v>2740934</v>
      </c>
      <c r="FM43" s="272">
        <v>1778389</v>
      </c>
      <c r="FN43" s="460">
        <v>1.552</v>
      </c>
      <c r="FO43" s="388">
        <v>65</v>
      </c>
      <c r="FP43" s="388">
        <v>22</v>
      </c>
      <c r="FQ43" s="388">
        <v>2.2000000000000002</v>
      </c>
      <c r="FR43" s="388">
        <v>10.6</v>
      </c>
      <c r="FS43" s="388">
        <v>6.6</v>
      </c>
      <c r="FT43" s="388">
        <v>9.8000000000000007</v>
      </c>
      <c r="FU43" s="388">
        <v>13.5</v>
      </c>
      <c r="FV43" s="384">
        <f t="shared" si="16"/>
        <v>14.5</v>
      </c>
      <c r="FW43" s="272">
        <v>3175176</v>
      </c>
      <c r="FX43" s="384">
        <f t="shared" si="17"/>
        <v>83.3</v>
      </c>
      <c r="FY43" s="272">
        <v>3430884</v>
      </c>
      <c r="FZ43" s="272">
        <v>2970414</v>
      </c>
      <c r="GA43" s="272">
        <v>0</v>
      </c>
      <c r="GB43" s="272">
        <v>460470</v>
      </c>
      <c r="GC43" s="272">
        <v>0</v>
      </c>
      <c r="GD43" s="457"/>
      <c r="GE43" s="384"/>
      <c r="GF43" s="388">
        <v>99.8</v>
      </c>
      <c r="GG43" s="388">
        <v>34.5</v>
      </c>
      <c r="GH43" s="388">
        <v>99.5</v>
      </c>
      <c r="GI43" s="272">
        <v>110</v>
      </c>
      <c r="GJ43" s="461" t="s">
        <v>646</v>
      </c>
      <c r="GK43" s="461">
        <v>15</v>
      </c>
      <c r="GL43" s="462">
        <v>20</v>
      </c>
      <c r="GM43" s="461" t="s">
        <v>646</v>
      </c>
      <c r="GN43" s="462">
        <v>20</v>
      </c>
      <c r="GO43" s="462">
        <v>40</v>
      </c>
      <c r="GP43" s="463">
        <v>14.5</v>
      </c>
      <c r="GQ43" s="463">
        <v>25</v>
      </c>
      <c r="GR43" s="463">
        <v>35</v>
      </c>
      <c r="GS43" s="464">
        <v>44.9</v>
      </c>
      <c r="GT43" s="463">
        <v>350</v>
      </c>
      <c r="GU43" s="394"/>
      <c r="GV43" s="394"/>
      <c r="GW43" s="394"/>
      <c r="GX43" s="394"/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</row>
    <row r="44" spans="2:230" x14ac:dyDescent="0.15">
      <c r="B44" s="89" t="s">
        <v>81</v>
      </c>
      <c r="C44" s="272">
        <v>2396303</v>
      </c>
      <c r="D44" s="455">
        <f t="shared" si="0"/>
        <v>778910</v>
      </c>
      <c r="E44" s="272">
        <v>24079</v>
      </c>
      <c r="F44" s="456">
        <v>754831</v>
      </c>
      <c r="G44" s="455">
        <f t="shared" si="1"/>
        <v>47218</v>
      </c>
      <c r="H44" s="272">
        <v>30003</v>
      </c>
      <c r="I44" s="272">
        <v>17215</v>
      </c>
      <c r="J44" s="272">
        <v>1473061</v>
      </c>
      <c r="K44" s="272">
        <v>617188</v>
      </c>
      <c r="L44" s="272">
        <v>509567</v>
      </c>
      <c r="M44" s="272">
        <v>342323</v>
      </c>
      <c r="N44" s="272">
        <v>66965</v>
      </c>
      <c r="O44" s="272">
        <v>0</v>
      </c>
      <c r="P44" s="272">
        <v>0</v>
      </c>
      <c r="Q44" s="272">
        <v>0</v>
      </c>
      <c r="R44" s="272">
        <v>57364</v>
      </c>
      <c r="S44" s="272"/>
      <c r="T44" s="455">
        <f t="shared" si="2"/>
        <v>249637</v>
      </c>
      <c r="U44" s="272">
        <v>11352</v>
      </c>
      <c r="V44" s="272">
        <v>4257</v>
      </c>
      <c r="W44" s="456">
        <v>1990</v>
      </c>
      <c r="X44" s="272">
        <v>145338</v>
      </c>
      <c r="Y44" s="272">
        <v>57628</v>
      </c>
      <c r="Z44" s="272">
        <v>0</v>
      </c>
      <c r="AA44" s="272">
        <v>29072</v>
      </c>
      <c r="AB44" s="272">
        <v>29588</v>
      </c>
      <c r="AC44" s="272">
        <v>1737774</v>
      </c>
      <c r="AD44" s="272">
        <v>1469433</v>
      </c>
      <c r="AE44" s="272">
        <v>268341</v>
      </c>
      <c r="AF44" s="272">
        <v>4483</v>
      </c>
      <c r="AG44" s="272">
        <v>7406</v>
      </c>
      <c r="AH44" s="455">
        <f t="shared" si="3"/>
        <v>110323</v>
      </c>
      <c r="AI44" s="272">
        <v>91311</v>
      </c>
      <c r="AJ44" s="272">
        <v>19012</v>
      </c>
      <c r="AK44" s="272">
        <v>564157</v>
      </c>
      <c r="AL44" s="455">
        <f t="shared" si="4"/>
        <v>0</v>
      </c>
      <c r="AM44" s="272">
        <v>0</v>
      </c>
      <c r="AN44" s="272">
        <v>0</v>
      </c>
      <c r="AO44" s="272"/>
      <c r="AP44" s="272">
        <v>0</v>
      </c>
      <c r="AQ44" s="272">
        <v>75056</v>
      </c>
      <c r="AR44" s="272">
        <v>3509</v>
      </c>
      <c r="AS44" s="272">
        <v>0</v>
      </c>
      <c r="AT44" s="272">
        <v>589298</v>
      </c>
      <c r="AU44" s="272">
        <v>140478</v>
      </c>
      <c r="AV44" s="272">
        <v>0</v>
      </c>
      <c r="AW44" s="272">
        <v>0</v>
      </c>
      <c r="AX44" s="272">
        <v>448820</v>
      </c>
      <c r="AY44" s="272">
        <v>199306</v>
      </c>
      <c r="AZ44" s="272">
        <v>4995</v>
      </c>
      <c r="BA44" s="272">
        <v>2588</v>
      </c>
      <c r="BB44" s="272">
        <v>18341</v>
      </c>
      <c r="BC44" s="272">
        <v>76810</v>
      </c>
      <c r="BD44" s="272">
        <v>0</v>
      </c>
      <c r="BE44" s="272">
        <v>0</v>
      </c>
      <c r="BF44" s="272">
        <v>66463</v>
      </c>
      <c r="BG44" s="272">
        <v>0</v>
      </c>
      <c r="BH44" s="272">
        <v>37419</v>
      </c>
      <c r="BI44" s="272">
        <v>21332</v>
      </c>
      <c r="BJ44" s="272">
        <v>324389</v>
      </c>
      <c r="BK44" s="272">
        <v>5395</v>
      </c>
      <c r="BL44" s="272">
        <v>0</v>
      </c>
      <c r="BM44" s="272">
        <v>0</v>
      </c>
      <c r="BN44" s="272">
        <v>376848</v>
      </c>
      <c r="BO44" s="455">
        <f t="shared" si="5"/>
        <v>66500</v>
      </c>
      <c r="BP44" s="455">
        <f t="shared" si="6"/>
        <v>310348</v>
      </c>
      <c r="BQ44" s="272"/>
      <c r="BR44" s="272">
        <v>0</v>
      </c>
      <c r="BS44" s="272">
        <v>310348</v>
      </c>
      <c r="BT44" s="272">
        <v>0</v>
      </c>
      <c r="BU44" s="272">
        <v>6585135</v>
      </c>
      <c r="BV44" s="272"/>
      <c r="BW44" s="272">
        <v>1179009</v>
      </c>
      <c r="BX44" s="272">
        <v>854616</v>
      </c>
      <c r="BY44" s="272">
        <v>44040</v>
      </c>
      <c r="BZ44" s="272">
        <v>17404</v>
      </c>
      <c r="CA44" s="272">
        <v>475341</v>
      </c>
      <c r="CB44" s="272">
        <v>228215</v>
      </c>
      <c r="CC44" s="272">
        <v>36863</v>
      </c>
      <c r="CD44" s="272">
        <v>195408</v>
      </c>
      <c r="CE44" s="272">
        <v>0</v>
      </c>
      <c r="CF44" s="272">
        <v>1222</v>
      </c>
      <c r="CG44" s="272">
        <v>13633</v>
      </c>
      <c r="CH44" s="272">
        <v>1280379</v>
      </c>
      <c r="CI44" s="272">
        <v>1087447</v>
      </c>
      <c r="CJ44" s="455">
        <f t="shared" si="7"/>
        <v>192932</v>
      </c>
      <c r="CK44" s="272">
        <v>997080</v>
      </c>
      <c r="CL44" s="272">
        <v>410428</v>
      </c>
      <c r="CM44" s="272">
        <v>201573</v>
      </c>
      <c r="CN44" s="272">
        <v>274073</v>
      </c>
      <c r="CO44" s="272">
        <v>80841</v>
      </c>
      <c r="CP44" s="272">
        <v>773370</v>
      </c>
      <c r="CQ44" s="272">
        <v>283851</v>
      </c>
      <c r="CR44" s="272">
        <v>391203</v>
      </c>
      <c r="CS44" s="272">
        <v>79487</v>
      </c>
      <c r="CT44" s="455">
        <f t="shared" si="8"/>
        <v>5423</v>
      </c>
      <c r="CU44" s="272">
        <v>5423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498061</v>
      </c>
      <c r="DD44" s="272">
        <v>26531</v>
      </c>
      <c r="DE44" s="272">
        <v>274536</v>
      </c>
      <c r="DF44" s="26">
        <v>4492</v>
      </c>
      <c r="DG44" s="27">
        <v>192502</v>
      </c>
      <c r="DH44" s="272">
        <v>16112</v>
      </c>
      <c r="DI44" s="272">
        <v>281628</v>
      </c>
      <c r="DJ44" s="272">
        <v>96497</v>
      </c>
      <c r="DK44" s="272">
        <v>49</v>
      </c>
      <c r="DL44" s="272">
        <v>185082</v>
      </c>
      <c r="DM44" s="272">
        <v>0</v>
      </c>
      <c r="DN44" s="272">
        <v>0</v>
      </c>
      <c r="DO44" s="272">
        <v>0</v>
      </c>
      <c r="DP44" s="272">
        <v>0</v>
      </c>
      <c r="DQ44" s="272">
        <v>0</v>
      </c>
      <c r="DR44" s="272">
        <v>0</v>
      </c>
      <c r="DS44" s="272">
        <v>0</v>
      </c>
      <c r="DT44" s="272">
        <v>931776</v>
      </c>
      <c r="DU44" s="272">
        <v>298615</v>
      </c>
      <c r="DV44" s="455">
        <f t="shared" si="11"/>
        <v>0</v>
      </c>
      <c r="DW44" s="272">
        <v>0</v>
      </c>
      <c r="DX44" s="272">
        <v>251152</v>
      </c>
      <c r="DY44" s="272">
        <v>0</v>
      </c>
      <c r="DZ44" s="272">
        <v>134780</v>
      </c>
      <c r="EA44" s="272">
        <v>120</v>
      </c>
      <c r="EB44" s="272">
        <v>238242</v>
      </c>
      <c r="EC44" s="272">
        <v>0</v>
      </c>
      <c r="ED44" s="272">
        <v>6513597</v>
      </c>
      <c r="EE44" s="89"/>
      <c r="EF44" s="272">
        <v>71538</v>
      </c>
      <c r="EG44" s="272">
        <v>47258</v>
      </c>
      <c r="EH44" s="272">
        <v>24280</v>
      </c>
      <c r="EI44" s="272">
        <v>2948</v>
      </c>
      <c r="EJ44" s="272">
        <v>136221</v>
      </c>
      <c r="EK44" s="89"/>
      <c r="EL44" s="272"/>
      <c r="EM44" s="272">
        <v>18106</v>
      </c>
      <c r="EN44" s="272">
        <v>392</v>
      </c>
      <c r="EO44" s="272">
        <v>4092</v>
      </c>
      <c r="EP44" s="455">
        <f t="shared" si="12"/>
        <v>142192</v>
      </c>
      <c r="EQ44" s="272">
        <v>4475149</v>
      </c>
      <c r="ER44" s="272">
        <v>-452541</v>
      </c>
      <c r="ES44" s="272">
        <v>1067641</v>
      </c>
      <c r="ET44" s="272">
        <v>745214</v>
      </c>
      <c r="EU44" s="272">
        <v>201371</v>
      </c>
      <c r="EV44" s="272">
        <v>1260226</v>
      </c>
      <c r="EW44" s="455">
        <f t="shared" si="13"/>
        <v>140587</v>
      </c>
      <c r="EX44" s="272">
        <v>129584</v>
      </c>
      <c r="EY44" s="272">
        <v>5028</v>
      </c>
      <c r="EZ44" s="272">
        <v>124424</v>
      </c>
      <c r="FA44" s="272">
        <v>11003</v>
      </c>
      <c r="FB44" s="272">
        <v>0</v>
      </c>
      <c r="FC44" s="272">
        <v>716306</v>
      </c>
      <c r="FD44" s="272">
        <v>460459</v>
      </c>
      <c r="FE44" s="272">
        <v>283851</v>
      </c>
      <c r="FF44" s="272">
        <v>837154</v>
      </c>
      <c r="FG44" s="455">
        <f t="shared" si="14"/>
        <v>172448</v>
      </c>
      <c r="FH44" s="272">
        <v>4856192</v>
      </c>
      <c r="FI44" s="459">
        <f t="shared" si="15"/>
        <v>0.6</v>
      </c>
      <c r="FJ44" s="272">
        <v>3980625</v>
      </c>
      <c r="FK44" s="272">
        <v>310348</v>
      </c>
      <c r="FL44" s="272">
        <v>1940740</v>
      </c>
      <c r="FM44" s="272">
        <v>3411938</v>
      </c>
      <c r="FN44" s="460">
        <v>0.56899999999999995</v>
      </c>
      <c r="FO44" s="388">
        <v>98.6</v>
      </c>
      <c r="FP44" s="388">
        <v>23.1</v>
      </c>
      <c r="FQ44" s="388">
        <v>4.4000000000000004</v>
      </c>
      <c r="FR44" s="388">
        <v>27</v>
      </c>
      <c r="FS44" s="388">
        <v>15</v>
      </c>
      <c r="FT44" s="388">
        <v>9</v>
      </c>
      <c r="FU44" s="388">
        <v>18.399999999999999</v>
      </c>
      <c r="FV44" s="384">
        <f t="shared" si="16"/>
        <v>21.3</v>
      </c>
      <c r="FW44" s="272">
        <v>9486742</v>
      </c>
      <c r="FX44" s="384">
        <f t="shared" si="17"/>
        <v>221.1</v>
      </c>
      <c r="FY44" s="272">
        <v>893054</v>
      </c>
      <c r="FZ44" s="272">
        <v>448843</v>
      </c>
      <c r="GA44" s="272">
        <v>38312</v>
      </c>
      <c r="GB44" s="272">
        <v>405899</v>
      </c>
      <c r="GC44" s="272">
        <v>0</v>
      </c>
      <c r="GD44" s="457"/>
      <c r="GE44" s="384"/>
      <c r="GF44" s="388">
        <v>98.1</v>
      </c>
      <c r="GG44" s="388">
        <v>18.3</v>
      </c>
      <c r="GH44" s="388">
        <v>92.8</v>
      </c>
      <c r="GI44" s="272">
        <v>136</v>
      </c>
      <c r="GJ44" s="461" t="s">
        <v>646</v>
      </c>
      <c r="GK44" s="461">
        <v>15</v>
      </c>
      <c r="GL44" s="462">
        <v>20</v>
      </c>
      <c r="GM44" s="461" t="s">
        <v>646</v>
      </c>
      <c r="GN44" s="462">
        <v>20</v>
      </c>
      <c r="GO44" s="462">
        <v>40</v>
      </c>
      <c r="GP44" s="463">
        <v>21.3</v>
      </c>
      <c r="GQ44" s="463">
        <v>25</v>
      </c>
      <c r="GR44" s="463">
        <v>35</v>
      </c>
      <c r="GS44" s="464">
        <v>195.4</v>
      </c>
      <c r="GT44" s="463">
        <v>350</v>
      </c>
      <c r="GU44" s="394"/>
      <c r="GV44" s="394"/>
      <c r="GW44" s="394"/>
      <c r="GX44" s="394"/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</row>
    <row r="45" spans="2:230" x14ac:dyDescent="0.15">
      <c r="B45" s="89" t="s">
        <v>83</v>
      </c>
      <c r="C45" s="272">
        <v>1616859</v>
      </c>
      <c r="D45" s="455">
        <f t="shared" si="0"/>
        <v>743989</v>
      </c>
      <c r="E45" s="272">
        <v>18740</v>
      </c>
      <c r="F45" s="456">
        <v>725249</v>
      </c>
      <c r="G45" s="455">
        <f t="shared" si="1"/>
        <v>28644</v>
      </c>
      <c r="H45" s="272">
        <v>16539</v>
      </c>
      <c r="I45" s="272">
        <v>12105</v>
      </c>
      <c r="J45" s="272">
        <v>590273</v>
      </c>
      <c r="K45" s="272">
        <v>250859</v>
      </c>
      <c r="L45" s="272">
        <v>271654</v>
      </c>
      <c r="M45" s="272">
        <v>67760</v>
      </c>
      <c r="N45" s="272">
        <v>228015</v>
      </c>
      <c r="O45" s="272">
        <v>0</v>
      </c>
      <c r="P45" s="272">
        <v>0</v>
      </c>
      <c r="Q45" s="272">
        <v>0</v>
      </c>
      <c r="R45" s="272">
        <v>40753</v>
      </c>
      <c r="S45" s="272"/>
      <c r="T45" s="455">
        <f t="shared" si="2"/>
        <v>168939</v>
      </c>
      <c r="U45" s="272">
        <v>10609</v>
      </c>
      <c r="V45" s="272">
        <v>3979</v>
      </c>
      <c r="W45" s="456">
        <v>1849</v>
      </c>
      <c r="X45" s="272">
        <v>107078</v>
      </c>
      <c r="Y45" s="272">
        <v>24771</v>
      </c>
      <c r="Z45" s="272">
        <v>0</v>
      </c>
      <c r="AA45" s="272">
        <v>20653</v>
      </c>
      <c r="AB45" s="272">
        <v>24938</v>
      </c>
      <c r="AC45" s="272">
        <v>1137752</v>
      </c>
      <c r="AD45" s="272">
        <v>923952</v>
      </c>
      <c r="AE45" s="272">
        <v>213800</v>
      </c>
      <c r="AF45" s="272">
        <v>2535</v>
      </c>
      <c r="AG45" s="272">
        <v>54198</v>
      </c>
      <c r="AH45" s="455">
        <f t="shared" si="3"/>
        <v>55561</v>
      </c>
      <c r="AI45" s="272">
        <v>38316</v>
      </c>
      <c r="AJ45" s="272">
        <v>17245</v>
      </c>
      <c r="AK45" s="272">
        <v>543532</v>
      </c>
      <c r="AL45" s="455">
        <f t="shared" si="4"/>
        <v>56524</v>
      </c>
      <c r="AM45" s="272">
        <v>0</v>
      </c>
      <c r="AN45" s="272">
        <v>56524</v>
      </c>
      <c r="AO45" s="272"/>
      <c r="AP45" s="272">
        <v>0</v>
      </c>
      <c r="AQ45" s="272">
        <v>8539</v>
      </c>
      <c r="AR45" s="272">
        <v>0</v>
      </c>
      <c r="AS45" s="272">
        <v>0</v>
      </c>
      <c r="AT45" s="272">
        <v>307458</v>
      </c>
      <c r="AU45" s="272">
        <v>125217</v>
      </c>
      <c r="AV45" s="272">
        <v>28262</v>
      </c>
      <c r="AW45" s="272">
        <v>2408</v>
      </c>
      <c r="AX45" s="272">
        <v>182241</v>
      </c>
      <c r="AY45" s="272">
        <v>8211</v>
      </c>
      <c r="AZ45" s="272">
        <v>5379</v>
      </c>
      <c r="BA45" s="272">
        <v>1755</v>
      </c>
      <c r="BB45" s="272">
        <v>1322</v>
      </c>
      <c r="BC45" s="272">
        <v>22735</v>
      </c>
      <c r="BD45" s="272">
        <v>0</v>
      </c>
      <c r="BE45" s="272">
        <v>0</v>
      </c>
      <c r="BF45" s="272">
        <v>10568</v>
      </c>
      <c r="BG45" s="272">
        <v>0</v>
      </c>
      <c r="BH45" s="272">
        <v>170907</v>
      </c>
      <c r="BI45" s="272">
        <v>155827</v>
      </c>
      <c r="BJ45" s="272">
        <v>220858</v>
      </c>
      <c r="BK45" s="272">
        <v>121000</v>
      </c>
      <c r="BL45" s="272">
        <v>0</v>
      </c>
      <c r="BM45" s="272">
        <v>0</v>
      </c>
      <c r="BN45" s="272">
        <v>337149</v>
      </c>
      <c r="BO45" s="455">
        <f t="shared" si="5"/>
        <v>14000</v>
      </c>
      <c r="BP45" s="455">
        <f t="shared" si="6"/>
        <v>282349</v>
      </c>
      <c r="BQ45" s="272"/>
      <c r="BR45" s="272">
        <v>0</v>
      </c>
      <c r="BS45" s="272">
        <v>282349</v>
      </c>
      <c r="BT45" s="272">
        <v>40800</v>
      </c>
      <c r="BU45" s="272">
        <v>4710875</v>
      </c>
      <c r="BV45" s="272"/>
      <c r="BW45" s="272">
        <v>952483</v>
      </c>
      <c r="BX45" s="272">
        <v>610947</v>
      </c>
      <c r="BY45" s="272">
        <v>96158</v>
      </c>
      <c r="BZ45" s="272">
        <v>11955</v>
      </c>
      <c r="CA45" s="272">
        <v>460442</v>
      </c>
      <c r="CB45" s="272">
        <v>111808</v>
      </c>
      <c r="CC45" s="272">
        <v>16132</v>
      </c>
      <c r="CD45" s="272">
        <v>313401</v>
      </c>
      <c r="CE45" s="272">
        <v>0</v>
      </c>
      <c r="CF45" s="272">
        <v>0</v>
      </c>
      <c r="CG45" s="272">
        <v>19101</v>
      </c>
      <c r="CH45" s="272">
        <v>611468</v>
      </c>
      <c r="CI45" s="272">
        <v>510885</v>
      </c>
      <c r="CJ45" s="455">
        <f t="shared" si="7"/>
        <v>100583</v>
      </c>
      <c r="CK45" s="272">
        <v>610179</v>
      </c>
      <c r="CL45" s="272">
        <v>317211</v>
      </c>
      <c r="CM45" s="272">
        <v>105716</v>
      </c>
      <c r="CN45" s="272">
        <v>98502</v>
      </c>
      <c r="CO45" s="272">
        <v>23732</v>
      </c>
      <c r="CP45" s="272">
        <v>697458</v>
      </c>
      <c r="CQ45" s="272">
        <v>135846</v>
      </c>
      <c r="CR45" s="272">
        <v>327658</v>
      </c>
      <c r="CS45" s="272">
        <v>61016</v>
      </c>
      <c r="CT45" s="455">
        <f t="shared" si="8"/>
        <v>52</v>
      </c>
      <c r="CU45" s="272">
        <v>52</v>
      </c>
      <c r="CV45" s="272">
        <v>0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187350</v>
      </c>
      <c r="DD45" s="272">
        <v>22138</v>
      </c>
      <c r="DE45" s="272">
        <v>165212</v>
      </c>
      <c r="DF45" s="26">
        <v>0</v>
      </c>
      <c r="DG45" s="27">
        <v>0</v>
      </c>
      <c r="DH45" s="272">
        <v>0</v>
      </c>
      <c r="DI45" s="272">
        <v>331860</v>
      </c>
      <c r="DJ45" s="272">
        <v>127365</v>
      </c>
      <c r="DK45" s="272">
        <v>33</v>
      </c>
      <c r="DL45" s="272">
        <v>204462</v>
      </c>
      <c r="DM45" s="272">
        <v>0</v>
      </c>
      <c r="DN45" s="272">
        <v>0</v>
      </c>
      <c r="DO45" s="272">
        <v>0</v>
      </c>
      <c r="DP45" s="272">
        <v>0</v>
      </c>
      <c r="DQ45" s="272">
        <v>135080</v>
      </c>
      <c r="DR45" s="272">
        <v>0</v>
      </c>
      <c r="DS45" s="272">
        <v>0</v>
      </c>
      <c r="DT45" s="272">
        <v>530232</v>
      </c>
      <c r="DU45" s="272">
        <v>167374</v>
      </c>
      <c r="DV45" s="455">
        <f t="shared" si="11"/>
        <v>0</v>
      </c>
      <c r="DW45" s="272">
        <v>0</v>
      </c>
      <c r="DX45" s="272">
        <v>116315</v>
      </c>
      <c r="DY45" s="272">
        <v>0</v>
      </c>
      <c r="DZ45" s="272">
        <v>96279</v>
      </c>
      <c r="EA45" s="272">
        <v>0</v>
      </c>
      <c r="EB45" s="272">
        <v>144358</v>
      </c>
      <c r="EC45" s="272">
        <v>0</v>
      </c>
      <c r="ED45" s="272">
        <v>4540284</v>
      </c>
      <c r="EE45" s="89"/>
      <c r="EF45" s="272">
        <v>170591</v>
      </c>
      <c r="EG45" s="272">
        <v>21218</v>
      </c>
      <c r="EH45" s="272">
        <v>149373</v>
      </c>
      <c r="EI45" s="272">
        <v>-6454</v>
      </c>
      <c r="EJ45" s="272">
        <v>146798</v>
      </c>
      <c r="EK45" s="89"/>
      <c r="EL45" s="272"/>
      <c r="EM45" s="272">
        <v>14278</v>
      </c>
      <c r="EN45" s="272">
        <v>22735</v>
      </c>
      <c r="EO45" s="272">
        <v>2250</v>
      </c>
      <c r="EP45" s="455">
        <f t="shared" si="12"/>
        <v>501146</v>
      </c>
      <c r="EQ45" s="272">
        <v>2991776</v>
      </c>
      <c r="ER45" s="272">
        <v>-805945</v>
      </c>
      <c r="ES45" s="272">
        <v>854063</v>
      </c>
      <c r="ET45" s="272">
        <v>578617</v>
      </c>
      <c r="EU45" s="272">
        <v>142340</v>
      </c>
      <c r="EV45" s="272">
        <v>611468</v>
      </c>
      <c r="EW45" s="455">
        <f t="shared" si="13"/>
        <v>156333</v>
      </c>
      <c r="EX45" s="272">
        <v>156333</v>
      </c>
      <c r="EY45" s="272">
        <v>9223</v>
      </c>
      <c r="EZ45" s="272">
        <v>147110</v>
      </c>
      <c r="FA45" s="272">
        <v>0</v>
      </c>
      <c r="FB45" s="272">
        <v>0</v>
      </c>
      <c r="FC45" s="272">
        <v>507322</v>
      </c>
      <c r="FD45" s="272">
        <v>406795</v>
      </c>
      <c r="FE45" s="272">
        <v>135846</v>
      </c>
      <c r="FF45" s="272">
        <v>477467</v>
      </c>
      <c r="FG45" s="455">
        <f t="shared" si="14"/>
        <v>471342</v>
      </c>
      <c r="FH45" s="272">
        <v>3627130</v>
      </c>
      <c r="FI45" s="459">
        <f t="shared" si="15"/>
        <v>4.8</v>
      </c>
      <c r="FJ45" s="272">
        <v>2822787</v>
      </c>
      <c r="FK45" s="272">
        <v>282349</v>
      </c>
      <c r="FL45" s="272">
        <v>1470989</v>
      </c>
      <c r="FM45" s="272">
        <v>2395963</v>
      </c>
      <c r="FN45" s="460">
        <v>0.628</v>
      </c>
      <c r="FO45" s="388">
        <v>91.7</v>
      </c>
      <c r="FP45" s="388">
        <v>27.3</v>
      </c>
      <c r="FQ45" s="388">
        <v>4.5999999999999996</v>
      </c>
      <c r="FR45" s="388">
        <v>19.100000000000001</v>
      </c>
      <c r="FS45" s="388">
        <v>14.3</v>
      </c>
      <c r="FT45" s="388">
        <v>12.7</v>
      </c>
      <c r="FU45" s="388">
        <v>12.9</v>
      </c>
      <c r="FV45" s="384">
        <f t="shared" si="16"/>
        <v>16.899999999999999</v>
      </c>
      <c r="FW45" s="272">
        <v>4717739</v>
      </c>
      <c r="FX45" s="384">
        <f t="shared" si="17"/>
        <v>151.9</v>
      </c>
      <c r="FY45" s="272">
        <v>1217443</v>
      </c>
      <c r="FZ45" s="272">
        <v>803314</v>
      </c>
      <c r="GA45" s="272">
        <v>7778</v>
      </c>
      <c r="GB45" s="272">
        <v>406351</v>
      </c>
      <c r="GC45" s="272">
        <v>0</v>
      </c>
      <c r="GD45" s="457">
        <v>454000</v>
      </c>
      <c r="GE45" s="384">
        <f>ROUND(GD45/(FJ45+FK45)*100,1)</f>
        <v>14.6</v>
      </c>
      <c r="GF45" s="388">
        <v>98.2</v>
      </c>
      <c r="GG45" s="388">
        <v>31.8</v>
      </c>
      <c r="GH45" s="388">
        <v>93.6</v>
      </c>
      <c r="GI45" s="272">
        <v>99</v>
      </c>
      <c r="GJ45" s="461" t="s">
        <v>646</v>
      </c>
      <c r="GK45" s="461">
        <v>15</v>
      </c>
      <c r="GL45" s="462">
        <v>20</v>
      </c>
      <c r="GM45" s="461" t="s">
        <v>646</v>
      </c>
      <c r="GN45" s="462">
        <v>20</v>
      </c>
      <c r="GO45" s="462">
        <v>40</v>
      </c>
      <c r="GP45" s="463">
        <v>16.899999999999999</v>
      </c>
      <c r="GQ45" s="463">
        <v>25</v>
      </c>
      <c r="GR45" s="463">
        <v>35</v>
      </c>
      <c r="GS45" s="464">
        <v>88</v>
      </c>
      <c r="GT45" s="463">
        <v>350</v>
      </c>
      <c r="GU45" s="394"/>
      <c r="GV45" s="394"/>
      <c r="GW45" s="394"/>
      <c r="GX45" s="394"/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</row>
    <row r="46" spans="2:230" x14ac:dyDescent="0.15">
      <c r="B46" s="89" t="s">
        <v>85</v>
      </c>
      <c r="C46" s="272">
        <v>1635369</v>
      </c>
      <c r="D46" s="455">
        <f t="shared" si="0"/>
        <v>835709</v>
      </c>
      <c r="E46" s="272">
        <v>21728</v>
      </c>
      <c r="F46" s="456">
        <v>813981</v>
      </c>
      <c r="G46" s="455">
        <f t="shared" si="1"/>
        <v>50700</v>
      </c>
      <c r="H46" s="272">
        <v>19922</v>
      </c>
      <c r="I46" s="272">
        <v>30778</v>
      </c>
      <c r="J46" s="272">
        <v>629921</v>
      </c>
      <c r="K46" s="272">
        <v>240636</v>
      </c>
      <c r="L46" s="272">
        <v>318395</v>
      </c>
      <c r="M46" s="272">
        <v>70890</v>
      </c>
      <c r="N46" s="272">
        <v>86313</v>
      </c>
      <c r="O46" s="272">
        <v>0</v>
      </c>
      <c r="P46" s="272">
        <v>0</v>
      </c>
      <c r="Q46" s="272">
        <v>0</v>
      </c>
      <c r="R46" s="272">
        <v>56644</v>
      </c>
      <c r="S46" s="272"/>
      <c r="T46" s="455">
        <f t="shared" si="2"/>
        <v>244538</v>
      </c>
      <c r="U46" s="272">
        <v>12103</v>
      </c>
      <c r="V46" s="272">
        <v>4541</v>
      </c>
      <c r="W46" s="456">
        <v>2091</v>
      </c>
      <c r="X46" s="272">
        <v>144204</v>
      </c>
      <c r="Y46" s="272">
        <v>52893</v>
      </c>
      <c r="Z46" s="272">
        <v>0</v>
      </c>
      <c r="AA46" s="272">
        <v>28706</v>
      </c>
      <c r="AB46" s="272">
        <v>36651</v>
      </c>
      <c r="AC46" s="272">
        <v>1630225</v>
      </c>
      <c r="AD46" s="272">
        <v>1419501</v>
      </c>
      <c r="AE46" s="272">
        <v>210724</v>
      </c>
      <c r="AF46" s="272">
        <v>3143</v>
      </c>
      <c r="AG46" s="272">
        <v>18985</v>
      </c>
      <c r="AH46" s="455">
        <f t="shared" si="3"/>
        <v>115693</v>
      </c>
      <c r="AI46" s="272">
        <v>62833</v>
      </c>
      <c r="AJ46" s="272">
        <v>52860</v>
      </c>
      <c r="AK46" s="272">
        <v>434992</v>
      </c>
      <c r="AL46" s="455">
        <f t="shared" si="4"/>
        <v>3904</v>
      </c>
      <c r="AM46" s="272">
        <v>0</v>
      </c>
      <c r="AN46" s="272">
        <v>3904</v>
      </c>
      <c r="AO46" s="272"/>
      <c r="AP46" s="272">
        <v>0</v>
      </c>
      <c r="AQ46" s="272">
        <v>22766</v>
      </c>
      <c r="AR46" s="272">
        <v>0</v>
      </c>
      <c r="AS46" s="272">
        <v>0</v>
      </c>
      <c r="AT46" s="272">
        <v>305904</v>
      </c>
      <c r="AU46" s="272">
        <v>129874</v>
      </c>
      <c r="AV46" s="272">
        <v>1952</v>
      </c>
      <c r="AW46" s="272">
        <v>0</v>
      </c>
      <c r="AX46" s="272">
        <v>176030</v>
      </c>
      <c r="AY46" s="272">
        <v>34367</v>
      </c>
      <c r="AZ46" s="272">
        <v>13345</v>
      </c>
      <c r="BA46" s="272">
        <v>529</v>
      </c>
      <c r="BB46" s="272">
        <v>19</v>
      </c>
      <c r="BC46" s="272">
        <v>50000</v>
      </c>
      <c r="BD46" s="272">
        <v>50000</v>
      </c>
      <c r="BE46" s="272">
        <v>0</v>
      </c>
      <c r="BF46" s="272">
        <v>0</v>
      </c>
      <c r="BG46" s="272">
        <v>0</v>
      </c>
      <c r="BH46" s="272">
        <v>69525</v>
      </c>
      <c r="BI46" s="272">
        <v>53333</v>
      </c>
      <c r="BJ46" s="272">
        <v>106168</v>
      </c>
      <c r="BK46" s="272">
        <v>0</v>
      </c>
      <c r="BL46" s="272">
        <v>0</v>
      </c>
      <c r="BM46" s="272">
        <v>0</v>
      </c>
      <c r="BN46" s="272">
        <v>386700</v>
      </c>
      <c r="BO46" s="455">
        <f t="shared" si="5"/>
        <v>77700</v>
      </c>
      <c r="BP46" s="455">
        <f t="shared" si="6"/>
        <v>309000</v>
      </c>
      <c r="BQ46" s="272"/>
      <c r="BR46" s="272">
        <v>0</v>
      </c>
      <c r="BS46" s="272">
        <v>309000</v>
      </c>
      <c r="BT46" s="272">
        <v>0</v>
      </c>
      <c r="BU46" s="272">
        <v>5107901</v>
      </c>
      <c r="BV46" s="272"/>
      <c r="BW46" s="272">
        <v>1431993</v>
      </c>
      <c r="BX46" s="272">
        <v>900768</v>
      </c>
      <c r="BY46" s="272">
        <v>149484</v>
      </c>
      <c r="BZ46" s="272">
        <v>85597</v>
      </c>
      <c r="CA46" s="272">
        <v>324319</v>
      </c>
      <c r="CB46" s="272">
        <v>119379</v>
      </c>
      <c r="CC46" s="272">
        <v>22896</v>
      </c>
      <c r="CD46" s="272">
        <v>174333</v>
      </c>
      <c r="CE46" s="272">
        <v>0</v>
      </c>
      <c r="CF46" s="272">
        <v>0</v>
      </c>
      <c r="CG46" s="272">
        <v>7611</v>
      </c>
      <c r="CH46" s="272">
        <v>735704</v>
      </c>
      <c r="CI46" s="272">
        <v>618723</v>
      </c>
      <c r="CJ46" s="455">
        <f t="shared" si="7"/>
        <v>116981</v>
      </c>
      <c r="CK46" s="272">
        <v>992173</v>
      </c>
      <c r="CL46" s="272">
        <v>496797</v>
      </c>
      <c r="CM46" s="272">
        <v>65991</v>
      </c>
      <c r="CN46" s="272">
        <v>143786</v>
      </c>
      <c r="CO46" s="272">
        <v>15533</v>
      </c>
      <c r="CP46" s="272">
        <v>416077</v>
      </c>
      <c r="CQ46" s="272">
        <v>167899</v>
      </c>
      <c r="CR46" s="272">
        <v>161840</v>
      </c>
      <c r="CS46" s="272">
        <v>103587</v>
      </c>
      <c r="CT46" s="455">
        <f t="shared" si="8"/>
        <v>13123</v>
      </c>
      <c r="CU46" s="272">
        <v>4142</v>
      </c>
      <c r="CV46" s="272">
        <v>8981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335133</v>
      </c>
      <c r="DD46" s="272">
        <v>26079</v>
      </c>
      <c r="DE46" s="272">
        <v>281186</v>
      </c>
      <c r="DF46" s="26">
        <v>27868</v>
      </c>
      <c r="DG46" s="27">
        <v>0</v>
      </c>
      <c r="DH46" s="272">
        <v>8720</v>
      </c>
      <c r="DI46" s="272">
        <v>64220</v>
      </c>
      <c r="DJ46" s="272">
        <v>58797</v>
      </c>
      <c r="DK46" s="272">
        <v>994</v>
      </c>
      <c r="DL46" s="272">
        <v>4429</v>
      </c>
      <c r="DM46" s="272">
        <v>0</v>
      </c>
      <c r="DN46" s="272">
        <v>0</v>
      </c>
      <c r="DO46" s="272">
        <v>0</v>
      </c>
      <c r="DP46" s="272">
        <v>0</v>
      </c>
      <c r="DQ46" s="272">
        <v>0</v>
      </c>
      <c r="DR46" s="272">
        <v>0</v>
      </c>
      <c r="DS46" s="272">
        <v>0</v>
      </c>
      <c r="DT46" s="272">
        <v>612696</v>
      </c>
      <c r="DU46" s="272">
        <v>175894</v>
      </c>
      <c r="DV46" s="455">
        <f t="shared" si="11"/>
        <v>0</v>
      </c>
      <c r="DW46" s="272">
        <v>0</v>
      </c>
      <c r="DX46" s="272">
        <v>156828</v>
      </c>
      <c r="DY46" s="272">
        <v>0</v>
      </c>
      <c r="DZ46" s="272">
        <v>111610</v>
      </c>
      <c r="EA46" s="272">
        <v>121</v>
      </c>
      <c r="EB46" s="272">
        <v>162690</v>
      </c>
      <c r="EC46" s="272">
        <v>0</v>
      </c>
      <c r="ED46" s="272">
        <v>4936568</v>
      </c>
      <c r="EE46" s="89"/>
      <c r="EF46" s="272">
        <v>171333</v>
      </c>
      <c r="EG46" s="272">
        <v>38251</v>
      </c>
      <c r="EH46" s="272">
        <v>133082</v>
      </c>
      <c r="EI46" s="272">
        <v>19749</v>
      </c>
      <c r="EJ46" s="272">
        <v>28546</v>
      </c>
      <c r="EK46" s="89"/>
      <c r="EL46" s="272"/>
      <c r="EM46" s="272">
        <v>16509</v>
      </c>
      <c r="EN46" s="272">
        <v>50000</v>
      </c>
      <c r="EO46" s="272">
        <v>529</v>
      </c>
      <c r="EP46" s="455">
        <f t="shared" si="12"/>
        <v>300799</v>
      </c>
      <c r="EQ46" s="272">
        <v>3606570</v>
      </c>
      <c r="ER46" s="272">
        <v>-657185</v>
      </c>
      <c r="ES46" s="272">
        <v>1351070</v>
      </c>
      <c r="ET46" s="272">
        <v>852014</v>
      </c>
      <c r="EU46" s="272">
        <v>132679</v>
      </c>
      <c r="EV46" s="272">
        <v>735704</v>
      </c>
      <c r="EW46" s="455">
        <f t="shared" si="13"/>
        <v>194568</v>
      </c>
      <c r="EX46" s="272">
        <v>190873</v>
      </c>
      <c r="EY46" s="272">
        <v>1432</v>
      </c>
      <c r="EZ46" s="272">
        <v>184528</v>
      </c>
      <c r="FA46" s="272">
        <v>3695</v>
      </c>
      <c r="FB46" s="272">
        <v>0</v>
      </c>
      <c r="FC46" s="272">
        <v>738355</v>
      </c>
      <c r="FD46" s="272">
        <v>324638</v>
      </c>
      <c r="FE46" s="272">
        <v>167899</v>
      </c>
      <c r="FF46" s="272">
        <v>546024</v>
      </c>
      <c r="FG46" s="455">
        <f t="shared" si="14"/>
        <v>69384</v>
      </c>
      <c r="FH46" s="272">
        <v>4092422</v>
      </c>
      <c r="FI46" s="459">
        <f t="shared" si="15"/>
        <v>3.6</v>
      </c>
      <c r="FJ46" s="272">
        <v>3430569</v>
      </c>
      <c r="FK46" s="272">
        <v>309425</v>
      </c>
      <c r="FL46" s="272">
        <v>1563609</v>
      </c>
      <c r="FM46" s="272">
        <v>2985876</v>
      </c>
      <c r="FN46" s="460">
        <v>0.54600000000000004</v>
      </c>
      <c r="FO46" s="388">
        <v>92.9</v>
      </c>
      <c r="FP46" s="388">
        <v>35.1</v>
      </c>
      <c r="FQ46" s="388">
        <v>3.6</v>
      </c>
      <c r="FR46" s="388">
        <v>19.8</v>
      </c>
      <c r="FS46" s="388">
        <v>16.600000000000001</v>
      </c>
      <c r="FT46" s="388">
        <v>7.5</v>
      </c>
      <c r="FU46" s="388">
        <v>10</v>
      </c>
      <c r="FV46" s="384">
        <f t="shared" si="16"/>
        <v>15.2</v>
      </c>
      <c r="FW46" s="272">
        <v>6413131</v>
      </c>
      <c r="FX46" s="384">
        <f t="shared" si="17"/>
        <v>171.5</v>
      </c>
      <c r="FY46" s="272">
        <v>2568160</v>
      </c>
      <c r="FZ46" s="272">
        <v>1346473</v>
      </c>
      <c r="GA46" s="272">
        <v>145854</v>
      </c>
      <c r="GB46" s="272">
        <v>1075833</v>
      </c>
      <c r="GC46" s="272">
        <v>0</v>
      </c>
      <c r="GD46" s="457"/>
      <c r="GE46" s="384"/>
      <c r="GF46" s="388">
        <v>95.7</v>
      </c>
      <c r="GG46" s="388">
        <v>16.2</v>
      </c>
      <c r="GH46" s="388">
        <v>87.7</v>
      </c>
      <c r="GI46" s="272">
        <v>142</v>
      </c>
      <c r="GJ46" s="461" t="s">
        <v>646</v>
      </c>
      <c r="GK46" s="461">
        <v>15</v>
      </c>
      <c r="GL46" s="462">
        <v>20</v>
      </c>
      <c r="GM46" s="461" t="s">
        <v>646</v>
      </c>
      <c r="GN46" s="462">
        <v>20</v>
      </c>
      <c r="GO46" s="462">
        <v>40</v>
      </c>
      <c r="GP46" s="463">
        <v>15.2</v>
      </c>
      <c r="GQ46" s="463">
        <v>25</v>
      </c>
      <c r="GR46" s="463">
        <v>35</v>
      </c>
      <c r="GS46" s="464">
        <v>62.3</v>
      </c>
      <c r="GT46" s="463">
        <v>350</v>
      </c>
      <c r="GU46" s="394"/>
      <c r="GV46" s="394"/>
      <c r="GW46" s="394"/>
      <c r="GX46" s="394"/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</row>
    <row r="47" spans="2:230" x14ac:dyDescent="0.15">
      <c r="B47" s="89" t="s">
        <v>87</v>
      </c>
      <c r="C47" s="272">
        <v>612948</v>
      </c>
      <c r="D47" s="455">
        <f t="shared" si="0"/>
        <v>294310</v>
      </c>
      <c r="E47" s="272">
        <v>8580</v>
      </c>
      <c r="F47" s="456">
        <v>285730</v>
      </c>
      <c r="G47" s="455">
        <f t="shared" si="1"/>
        <v>25870</v>
      </c>
      <c r="H47" s="272">
        <v>11113</v>
      </c>
      <c r="I47" s="272">
        <v>14757</v>
      </c>
      <c r="J47" s="272">
        <v>273294</v>
      </c>
      <c r="K47" s="272">
        <v>93472</v>
      </c>
      <c r="L47" s="272">
        <v>130586</v>
      </c>
      <c r="M47" s="272">
        <v>49236</v>
      </c>
      <c r="N47" s="272">
        <v>5714</v>
      </c>
      <c r="O47" s="272">
        <v>0</v>
      </c>
      <c r="P47" s="272">
        <v>0</v>
      </c>
      <c r="Q47" s="272">
        <v>0</v>
      </c>
      <c r="R47" s="272">
        <v>23747</v>
      </c>
      <c r="S47" s="272"/>
      <c r="T47" s="455">
        <f t="shared" si="2"/>
        <v>100959</v>
      </c>
      <c r="U47" s="272">
        <v>4605</v>
      </c>
      <c r="V47" s="272">
        <v>1728</v>
      </c>
      <c r="W47" s="456">
        <v>795</v>
      </c>
      <c r="X47" s="272">
        <v>56037</v>
      </c>
      <c r="Y47" s="272">
        <v>25763</v>
      </c>
      <c r="Z47" s="272">
        <v>0</v>
      </c>
      <c r="AA47" s="272">
        <v>12031</v>
      </c>
      <c r="AB47" s="272">
        <v>9468</v>
      </c>
      <c r="AC47" s="272">
        <v>1127722</v>
      </c>
      <c r="AD47" s="272">
        <v>919637</v>
      </c>
      <c r="AE47" s="272">
        <v>208085</v>
      </c>
      <c r="AF47" s="272">
        <v>1179</v>
      </c>
      <c r="AG47" s="272">
        <v>16874</v>
      </c>
      <c r="AH47" s="455">
        <f t="shared" si="3"/>
        <v>27734</v>
      </c>
      <c r="AI47" s="272">
        <v>18069</v>
      </c>
      <c r="AJ47" s="272">
        <v>9665</v>
      </c>
      <c r="AK47" s="272">
        <v>759457</v>
      </c>
      <c r="AL47" s="455">
        <f t="shared" si="4"/>
        <v>33326</v>
      </c>
      <c r="AM47" s="272">
        <v>0</v>
      </c>
      <c r="AN47" s="272">
        <v>33326</v>
      </c>
      <c r="AO47" s="272"/>
      <c r="AP47" s="272">
        <v>0</v>
      </c>
      <c r="AQ47" s="272">
        <v>547441</v>
      </c>
      <c r="AR47" s="272">
        <v>376</v>
      </c>
      <c r="AS47" s="272">
        <v>0</v>
      </c>
      <c r="AT47" s="272">
        <v>172928</v>
      </c>
      <c r="AU47" s="272">
        <v>51722</v>
      </c>
      <c r="AV47" s="272">
        <v>14704</v>
      </c>
      <c r="AW47" s="272">
        <v>829</v>
      </c>
      <c r="AX47" s="272">
        <v>121206</v>
      </c>
      <c r="AY47" s="272">
        <v>21166</v>
      </c>
      <c r="AZ47" s="272">
        <v>1400</v>
      </c>
      <c r="BA47" s="272">
        <v>77</v>
      </c>
      <c r="BB47" s="272">
        <v>551</v>
      </c>
      <c r="BC47" s="272">
        <v>55720</v>
      </c>
      <c r="BD47" s="272">
        <v>40720</v>
      </c>
      <c r="BE47" s="272">
        <v>0</v>
      </c>
      <c r="BF47" s="272">
        <v>15000</v>
      </c>
      <c r="BG47" s="272">
        <v>0</v>
      </c>
      <c r="BH47" s="272">
        <v>61446</v>
      </c>
      <c r="BI47" s="272">
        <v>60527</v>
      </c>
      <c r="BJ47" s="272">
        <v>88351</v>
      </c>
      <c r="BK47" s="272">
        <v>0</v>
      </c>
      <c r="BL47" s="272">
        <v>0</v>
      </c>
      <c r="BM47" s="272">
        <v>0</v>
      </c>
      <c r="BN47" s="272">
        <v>317766</v>
      </c>
      <c r="BO47" s="455">
        <f t="shared" si="5"/>
        <v>133900</v>
      </c>
      <c r="BP47" s="455">
        <f t="shared" si="6"/>
        <v>183866</v>
      </c>
      <c r="BQ47" s="272"/>
      <c r="BR47" s="272">
        <v>0</v>
      </c>
      <c r="BS47" s="272">
        <v>183866</v>
      </c>
      <c r="BT47" s="272">
        <v>0</v>
      </c>
      <c r="BU47" s="272">
        <v>3378250</v>
      </c>
      <c r="BV47" s="272"/>
      <c r="BW47" s="272">
        <v>717847</v>
      </c>
      <c r="BX47" s="272">
        <v>443899</v>
      </c>
      <c r="BY47" s="272">
        <v>78211</v>
      </c>
      <c r="BZ47" s="272">
        <v>24245</v>
      </c>
      <c r="CA47" s="272">
        <v>181887</v>
      </c>
      <c r="CB47" s="272">
        <v>51104</v>
      </c>
      <c r="CC47" s="272">
        <v>10991</v>
      </c>
      <c r="CD47" s="272">
        <v>117501</v>
      </c>
      <c r="CE47" s="272">
        <v>0</v>
      </c>
      <c r="CF47" s="272">
        <v>169</v>
      </c>
      <c r="CG47" s="272">
        <v>2117</v>
      </c>
      <c r="CH47" s="272">
        <v>389706</v>
      </c>
      <c r="CI47" s="272">
        <v>335276</v>
      </c>
      <c r="CJ47" s="455">
        <f t="shared" si="7"/>
        <v>54430</v>
      </c>
      <c r="CK47" s="272">
        <v>467549</v>
      </c>
      <c r="CL47" s="272">
        <v>316911</v>
      </c>
      <c r="CM47" s="272">
        <v>15659</v>
      </c>
      <c r="CN47" s="272">
        <v>60301</v>
      </c>
      <c r="CO47" s="272">
        <v>6142</v>
      </c>
      <c r="CP47" s="272">
        <v>289807</v>
      </c>
      <c r="CQ47" s="272">
        <v>84396</v>
      </c>
      <c r="CR47" s="272">
        <v>113653</v>
      </c>
      <c r="CS47" s="272">
        <v>12445</v>
      </c>
      <c r="CT47" s="455">
        <f t="shared" si="8"/>
        <v>2192</v>
      </c>
      <c r="CU47" s="272">
        <v>1220</v>
      </c>
      <c r="CV47" s="272">
        <v>972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778533</v>
      </c>
      <c r="DD47" s="272">
        <v>639686</v>
      </c>
      <c r="DE47" s="272">
        <v>138847</v>
      </c>
      <c r="DF47" s="26">
        <v>0</v>
      </c>
      <c r="DG47" s="27">
        <v>0</v>
      </c>
      <c r="DH47" s="272">
        <v>3580</v>
      </c>
      <c r="DI47" s="272">
        <v>65122</v>
      </c>
      <c r="DJ47" s="272">
        <v>64931</v>
      </c>
      <c r="DK47" s="272">
        <v>47</v>
      </c>
      <c r="DL47" s="272">
        <v>144</v>
      </c>
      <c r="DM47" s="272">
        <v>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361602</v>
      </c>
      <c r="DU47" s="272">
        <v>106467</v>
      </c>
      <c r="DV47" s="455">
        <f t="shared" si="11"/>
        <v>0</v>
      </c>
      <c r="DW47" s="272">
        <v>0</v>
      </c>
      <c r="DX47" s="272">
        <v>86870</v>
      </c>
      <c r="DY47" s="272">
        <v>0</v>
      </c>
      <c r="DZ47" s="272">
        <v>67125</v>
      </c>
      <c r="EA47" s="272">
        <v>77</v>
      </c>
      <c r="EB47" s="272">
        <v>93275</v>
      </c>
      <c r="EC47" s="272">
        <v>0</v>
      </c>
      <c r="ED47" s="272">
        <v>3261775</v>
      </c>
      <c r="EE47" s="89"/>
      <c r="EF47" s="272">
        <v>116475</v>
      </c>
      <c r="EG47" s="272">
        <v>43515</v>
      </c>
      <c r="EH47" s="272">
        <v>72960</v>
      </c>
      <c r="EI47" s="272">
        <v>12433</v>
      </c>
      <c r="EJ47" s="272">
        <v>36644</v>
      </c>
      <c r="EK47" s="89"/>
      <c r="EL47" s="272"/>
      <c r="EM47" s="272">
        <v>6313</v>
      </c>
      <c r="EN47" s="272">
        <v>40720</v>
      </c>
      <c r="EO47" s="272">
        <v>557</v>
      </c>
      <c r="EP47" s="455">
        <f t="shared" si="12"/>
        <v>347116</v>
      </c>
      <c r="EQ47" s="272">
        <v>1876023</v>
      </c>
      <c r="ER47" s="272">
        <v>-571080</v>
      </c>
      <c r="ES47" s="272">
        <v>680324</v>
      </c>
      <c r="ET47" s="272">
        <v>413221</v>
      </c>
      <c r="EU47" s="272">
        <v>50771</v>
      </c>
      <c r="EV47" s="272">
        <v>389706</v>
      </c>
      <c r="EW47" s="455">
        <f t="shared" si="13"/>
        <v>292560</v>
      </c>
      <c r="EX47" s="272">
        <v>290798</v>
      </c>
      <c r="EY47" s="272">
        <v>175493</v>
      </c>
      <c r="EZ47" s="272">
        <v>115305</v>
      </c>
      <c r="FA47" s="272">
        <v>1762</v>
      </c>
      <c r="FB47" s="272">
        <v>0</v>
      </c>
      <c r="FC47" s="272">
        <v>394159</v>
      </c>
      <c r="FD47" s="272">
        <v>155296</v>
      </c>
      <c r="FE47" s="272">
        <v>84396</v>
      </c>
      <c r="FF47" s="272">
        <v>329910</v>
      </c>
      <c r="FG47" s="455">
        <f t="shared" si="14"/>
        <v>37902</v>
      </c>
      <c r="FH47" s="272">
        <v>2330628</v>
      </c>
      <c r="FI47" s="459">
        <f t="shared" si="15"/>
        <v>3.9</v>
      </c>
      <c r="FJ47" s="272">
        <v>1690322</v>
      </c>
      <c r="FK47" s="272">
        <v>183866</v>
      </c>
      <c r="FL47" s="272">
        <v>604119</v>
      </c>
      <c r="FM47" s="272">
        <v>1523365</v>
      </c>
      <c r="FN47" s="460">
        <v>0.42099999999999999</v>
      </c>
      <c r="FO47" s="388">
        <v>98.4</v>
      </c>
      <c r="FP47" s="388">
        <v>34.799999999999997</v>
      </c>
      <c r="FQ47" s="388">
        <v>2.7</v>
      </c>
      <c r="FR47" s="388">
        <v>21</v>
      </c>
      <c r="FS47" s="388">
        <v>19</v>
      </c>
      <c r="FT47" s="388">
        <v>7.3</v>
      </c>
      <c r="FU47" s="388">
        <v>13.3</v>
      </c>
      <c r="FV47" s="384">
        <f t="shared" si="16"/>
        <v>18.2</v>
      </c>
      <c r="FW47" s="272">
        <v>3123181</v>
      </c>
      <c r="FX47" s="384">
        <f t="shared" si="17"/>
        <v>166.6</v>
      </c>
      <c r="FY47" s="272">
        <v>398430</v>
      </c>
      <c r="FZ47" s="272">
        <v>310041</v>
      </c>
      <c r="GA47" s="272">
        <v>21945</v>
      </c>
      <c r="GB47" s="272">
        <v>66444</v>
      </c>
      <c r="GC47" s="272">
        <v>0</v>
      </c>
      <c r="GD47" s="457"/>
      <c r="GE47" s="384"/>
      <c r="GF47" s="388">
        <v>97.2</v>
      </c>
      <c r="GG47" s="388">
        <v>20.3</v>
      </c>
      <c r="GH47" s="388">
        <v>92.1</v>
      </c>
      <c r="GI47" s="272">
        <v>70</v>
      </c>
      <c r="GJ47" s="461" t="s">
        <v>646</v>
      </c>
      <c r="GK47" s="461">
        <v>15</v>
      </c>
      <c r="GL47" s="462">
        <v>20</v>
      </c>
      <c r="GM47" s="461" t="s">
        <v>646</v>
      </c>
      <c r="GN47" s="461">
        <v>20</v>
      </c>
      <c r="GO47" s="461">
        <v>40</v>
      </c>
      <c r="GP47" s="463">
        <v>18.2</v>
      </c>
      <c r="GQ47" s="463">
        <v>25</v>
      </c>
      <c r="GR47" s="463">
        <v>35</v>
      </c>
      <c r="GS47" s="464">
        <v>139.30000000000001</v>
      </c>
      <c r="GT47" s="463">
        <v>350</v>
      </c>
      <c r="GU47" s="394"/>
      <c r="GV47" s="394"/>
      <c r="GW47" s="394"/>
      <c r="GX47" s="394"/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</row>
    <row r="48" spans="2:230" x14ac:dyDescent="0.15">
      <c r="B48" s="21" t="s">
        <v>89</v>
      </c>
      <c r="C48" s="272">
        <v>25627856</v>
      </c>
      <c r="D48" s="455">
        <f t="shared" si="0"/>
        <v>10066687</v>
      </c>
      <c r="E48" s="272">
        <v>257578</v>
      </c>
      <c r="F48" s="456">
        <v>9809109</v>
      </c>
      <c r="G48" s="455">
        <f t="shared" si="1"/>
        <v>1270098</v>
      </c>
      <c r="H48" s="272">
        <v>305716</v>
      </c>
      <c r="I48" s="272">
        <v>964382</v>
      </c>
      <c r="J48" s="272">
        <v>11962241</v>
      </c>
      <c r="K48" s="272">
        <v>4752241</v>
      </c>
      <c r="L48" s="272">
        <v>4567856</v>
      </c>
      <c r="M48" s="272">
        <v>2538108</v>
      </c>
      <c r="N48" s="272">
        <v>1461605</v>
      </c>
      <c r="O48" s="272">
        <v>573109</v>
      </c>
      <c r="P48" s="272">
        <v>326816</v>
      </c>
      <c r="Q48" s="272">
        <v>246293</v>
      </c>
      <c r="R48" s="272">
        <v>564555</v>
      </c>
      <c r="S48" s="272"/>
      <c r="T48" s="455">
        <f t="shared" si="2"/>
        <v>2347304</v>
      </c>
      <c r="U48" s="272">
        <v>144083</v>
      </c>
      <c r="V48" s="272">
        <v>54040</v>
      </c>
      <c r="W48" s="456">
        <v>25147</v>
      </c>
      <c r="X48" s="272">
        <v>1582309</v>
      </c>
      <c r="Y48" s="272">
        <v>268255</v>
      </c>
      <c r="Z48" s="272">
        <v>0</v>
      </c>
      <c r="AA48" s="272">
        <v>273470</v>
      </c>
      <c r="AB48" s="272">
        <v>365139</v>
      </c>
      <c r="AC48" s="272">
        <v>13258894</v>
      </c>
      <c r="AD48" s="272">
        <v>10974703</v>
      </c>
      <c r="AE48" s="272">
        <v>2284191</v>
      </c>
      <c r="AF48" s="272">
        <v>35344</v>
      </c>
      <c r="AG48" s="272">
        <v>219375</v>
      </c>
      <c r="AH48" s="455">
        <f t="shared" si="3"/>
        <v>1443108</v>
      </c>
      <c r="AI48" s="272">
        <v>1108872</v>
      </c>
      <c r="AJ48" s="272">
        <v>334236</v>
      </c>
      <c r="AK48" s="272">
        <v>7121611</v>
      </c>
      <c r="AL48" s="455">
        <f t="shared" si="4"/>
        <v>358588</v>
      </c>
      <c r="AM48" s="272">
        <v>147643</v>
      </c>
      <c r="AN48" s="272">
        <v>210945</v>
      </c>
      <c r="AO48" s="272"/>
      <c r="AP48" s="272">
        <v>0</v>
      </c>
      <c r="AQ48" s="272">
        <v>888127</v>
      </c>
      <c r="AR48" s="272">
        <v>3885</v>
      </c>
      <c r="AS48" s="272">
        <v>0</v>
      </c>
      <c r="AT48" s="272">
        <v>3649745</v>
      </c>
      <c r="AU48" s="272">
        <v>1437793</v>
      </c>
      <c r="AV48" s="272">
        <v>119465</v>
      </c>
      <c r="AW48" s="272">
        <v>34941</v>
      </c>
      <c r="AX48" s="272">
        <v>2211952</v>
      </c>
      <c r="AY48" s="272">
        <v>343140</v>
      </c>
      <c r="AZ48" s="272">
        <v>260146</v>
      </c>
      <c r="BA48" s="272">
        <v>192966</v>
      </c>
      <c r="BB48" s="272">
        <v>51083</v>
      </c>
      <c r="BC48" s="272">
        <v>880833</v>
      </c>
      <c r="BD48" s="272">
        <v>379520</v>
      </c>
      <c r="BE48" s="272">
        <v>50000</v>
      </c>
      <c r="BF48" s="272">
        <v>334872</v>
      </c>
      <c r="BG48" s="272">
        <v>0</v>
      </c>
      <c r="BH48" s="272">
        <v>1064602</v>
      </c>
      <c r="BI48" s="272">
        <v>884916</v>
      </c>
      <c r="BJ48" s="272">
        <v>2241030</v>
      </c>
      <c r="BK48" s="272">
        <v>917285</v>
      </c>
      <c r="BL48" s="272">
        <v>0</v>
      </c>
      <c r="BM48" s="272">
        <v>0</v>
      </c>
      <c r="BN48" s="272">
        <v>3979071</v>
      </c>
      <c r="BO48" s="455">
        <f t="shared" si="5"/>
        <v>810800</v>
      </c>
      <c r="BP48" s="455">
        <f t="shared" si="6"/>
        <v>3068171</v>
      </c>
      <c r="BQ48" s="272"/>
      <c r="BR48" s="272">
        <v>0</v>
      </c>
      <c r="BS48" s="272">
        <v>3068171</v>
      </c>
      <c r="BT48" s="272">
        <v>100100</v>
      </c>
      <c r="BU48" s="272">
        <v>63109696</v>
      </c>
      <c r="BV48" s="272"/>
      <c r="BW48" s="272">
        <v>15306370</v>
      </c>
      <c r="BX48" s="272">
        <v>9909067</v>
      </c>
      <c r="BY48" s="272">
        <v>1466516</v>
      </c>
      <c r="BZ48" s="272">
        <v>888398</v>
      </c>
      <c r="CA48" s="272">
        <v>5379577</v>
      </c>
      <c r="CB48" s="272">
        <v>1825701</v>
      </c>
      <c r="CC48" s="272">
        <v>290851</v>
      </c>
      <c r="CD48" s="272">
        <v>2855498</v>
      </c>
      <c r="CE48" s="272">
        <v>201064</v>
      </c>
      <c r="CF48" s="272">
        <v>11265</v>
      </c>
      <c r="CG48" s="272">
        <v>195093</v>
      </c>
      <c r="CH48" s="272">
        <v>7757581</v>
      </c>
      <c r="CI48" s="272">
        <v>6556722</v>
      </c>
      <c r="CJ48" s="455">
        <f t="shared" si="7"/>
        <v>1200859</v>
      </c>
      <c r="CK48" s="272">
        <v>9765128</v>
      </c>
      <c r="CL48" s="272">
        <v>5259564</v>
      </c>
      <c r="CM48" s="272">
        <v>904254</v>
      </c>
      <c r="CN48" s="272">
        <v>1883578</v>
      </c>
      <c r="CO48" s="272">
        <v>514911</v>
      </c>
      <c r="CP48" s="272">
        <v>7912612</v>
      </c>
      <c r="CQ48" s="272">
        <v>1179828</v>
      </c>
      <c r="CR48" s="272">
        <v>3748012</v>
      </c>
      <c r="CS48" s="272">
        <v>886730</v>
      </c>
      <c r="CT48" s="455">
        <f t="shared" si="8"/>
        <v>330342</v>
      </c>
      <c r="CU48" s="272">
        <v>101762</v>
      </c>
      <c r="CV48" s="272">
        <v>228580</v>
      </c>
      <c r="CW48" s="455">
        <f t="shared" si="9"/>
        <v>30869</v>
      </c>
      <c r="CX48" s="272">
        <v>30869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4949372</v>
      </c>
      <c r="DD48" s="272">
        <v>1563876</v>
      </c>
      <c r="DE48" s="272">
        <v>3140787</v>
      </c>
      <c r="DF48" s="26">
        <v>41463</v>
      </c>
      <c r="DG48" s="27">
        <v>203246</v>
      </c>
      <c r="DH48" s="272">
        <v>41043</v>
      </c>
      <c r="DI48" s="272">
        <v>1558749</v>
      </c>
      <c r="DJ48" s="272">
        <v>1015329</v>
      </c>
      <c r="DK48" s="272">
        <v>5739</v>
      </c>
      <c r="DL48" s="272">
        <v>537681</v>
      </c>
      <c r="DM48" s="272">
        <v>54100</v>
      </c>
      <c r="DN48" s="272">
        <v>54100</v>
      </c>
      <c r="DO48" s="272">
        <v>54100</v>
      </c>
      <c r="DP48" s="272">
        <v>0</v>
      </c>
      <c r="DQ48" s="272">
        <v>194020</v>
      </c>
      <c r="DR48" s="272">
        <v>0</v>
      </c>
      <c r="DS48" s="272">
        <v>0</v>
      </c>
      <c r="DT48" s="272">
        <v>7876494</v>
      </c>
      <c r="DU48" s="272">
        <v>2837270</v>
      </c>
      <c r="DV48" s="455">
        <f t="shared" si="11"/>
        <v>0</v>
      </c>
      <c r="DW48" s="272">
        <v>0</v>
      </c>
      <c r="DX48" s="272">
        <v>1840826</v>
      </c>
      <c r="DY48" s="272">
        <v>0</v>
      </c>
      <c r="DZ48" s="272">
        <v>1253851</v>
      </c>
      <c r="EA48" s="272">
        <v>20189</v>
      </c>
      <c r="EB48" s="272">
        <v>1836107</v>
      </c>
      <c r="EC48" s="272">
        <v>269016</v>
      </c>
      <c r="ED48" s="272">
        <v>61578973</v>
      </c>
      <c r="EE48" s="89"/>
      <c r="EF48" s="272">
        <v>1530723</v>
      </c>
      <c r="EG48" s="272">
        <v>426182</v>
      </c>
      <c r="EH48" s="272">
        <v>1104541</v>
      </c>
      <c r="EI48" s="272">
        <v>432298</v>
      </c>
      <c r="EJ48" s="272">
        <v>1130770</v>
      </c>
      <c r="EK48" s="89"/>
      <c r="EL48" s="272"/>
      <c r="EM48" s="272">
        <v>190612</v>
      </c>
      <c r="EN48" s="272">
        <v>589945</v>
      </c>
      <c r="EO48" s="272">
        <v>192688</v>
      </c>
      <c r="EP48" s="455">
        <f t="shared" si="12"/>
        <v>3921085</v>
      </c>
      <c r="EQ48" s="272">
        <v>42199092</v>
      </c>
      <c r="ER48" s="272">
        <v>-7736545</v>
      </c>
      <c r="ES48" s="272">
        <v>14065085</v>
      </c>
      <c r="ET48" s="272">
        <v>9065074</v>
      </c>
      <c r="EU48" s="272">
        <v>2248971</v>
      </c>
      <c r="EV48" s="272">
        <v>7641252</v>
      </c>
      <c r="EW48" s="455">
        <f t="shared" si="13"/>
        <v>2766995</v>
      </c>
      <c r="EX48" s="272">
        <v>2750248</v>
      </c>
      <c r="EY48" s="272">
        <v>225989</v>
      </c>
      <c r="EZ48" s="272">
        <v>2515611</v>
      </c>
      <c r="FA48" s="272">
        <v>16747</v>
      </c>
      <c r="FB48" s="272">
        <v>0</v>
      </c>
      <c r="FC48" s="272">
        <v>7705546</v>
      </c>
      <c r="FD48" s="272">
        <v>4682783</v>
      </c>
      <c r="FE48" s="272">
        <v>1179828</v>
      </c>
      <c r="FF48" s="272">
        <v>7138534</v>
      </c>
      <c r="FG48" s="455">
        <f t="shared" si="14"/>
        <v>2155788</v>
      </c>
      <c r="FH48" s="272">
        <v>48404954</v>
      </c>
      <c r="FI48" s="459">
        <f t="shared" si="15"/>
        <v>2.6</v>
      </c>
      <c r="FJ48" s="272">
        <v>38695649</v>
      </c>
      <c r="FK48" s="272">
        <v>3270946</v>
      </c>
      <c r="FL48" s="272">
        <v>21412767</v>
      </c>
      <c r="FM48" s="272">
        <v>31449047</v>
      </c>
      <c r="FN48" s="460">
        <v>0.69099999999999995</v>
      </c>
      <c r="FO48" s="388">
        <v>93.6</v>
      </c>
      <c r="FP48" s="388">
        <v>31.6</v>
      </c>
      <c r="FQ48" s="388">
        <v>5.3</v>
      </c>
      <c r="FR48" s="388">
        <v>17.8</v>
      </c>
      <c r="FS48" s="388">
        <v>16.399999999999999</v>
      </c>
      <c r="FT48" s="388">
        <v>7.2</v>
      </c>
      <c r="FU48" s="388">
        <v>14.3</v>
      </c>
      <c r="FV48" s="384">
        <f t="shared" si="16"/>
        <v>13.5</v>
      </c>
      <c r="FW48" s="272">
        <v>65140795</v>
      </c>
      <c r="FX48" s="384">
        <f t="shared" si="17"/>
        <v>155.19999999999999</v>
      </c>
      <c r="FY48" s="272">
        <v>20700089</v>
      </c>
      <c r="FZ48" s="272">
        <v>11291385</v>
      </c>
      <c r="GA48" s="272">
        <v>2104074</v>
      </c>
      <c r="GB48" s="272">
        <v>7304630</v>
      </c>
      <c r="GC48" s="272">
        <v>264600</v>
      </c>
      <c r="GD48" s="272">
        <v>1232000</v>
      </c>
      <c r="GE48" s="465">
        <f>ROUND(GD48/(FJ51+FK51)*100,1)</f>
        <v>8.6</v>
      </c>
      <c r="GF48" s="388">
        <v>98.3</v>
      </c>
      <c r="GG48" s="388">
        <v>18.899999999999999</v>
      </c>
      <c r="GH48" s="388">
        <v>93.3</v>
      </c>
      <c r="GI48" s="272">
        <v>1604</v>
      </c>
      <c r="GJ48" s="461" t="s">
        <v>646</v>
      </c>
      <c r="GK48" s="461" t="s">
        <v>646</v>
      </c>
      <c r="GL48" s="461" t="s">
        <v>646</v>
      </c>
      <c r="GM48" s="461" t="s">
        <v>646</v>
      </c>
      <c r="GN48" s="461" t="s">
        <v>646</v>
      </c>
      <c r="GO48" s="461" t="s">
        <v>646</v>
      </c>
      <c r="GP48" s="463">
        <v>13.5</v>
      </c>
      <c r="GQ48" s="461" t="s">
        <v>646</v>
      </c>
      <c r="GR48" s="461" t="s">
        <v>646</v>
      </c>
      <c r="GS48" s="463">
        <v>96.3</v>
      </c>
      <c r="GT48" s="461" t="s">
        <v>646</v>
      </c>
      <c r="GU48" s="394"/>
      <c r="GV48" s="394"/>
      <c r="GW48" s="394"/>
      <c r="GX48" s="394"/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</row>
    <row r="49" spans="2:230" x14ac:dyDescent="0.15">
      <c r="B49" s="21" t="s">
        <v>91</v>
      </c>
      <c r="C49" s="272">
        <v>775205837</v>
      </c>
      <c r="D49" s="455">
        <f t="shared" si="0"/>
        <v>301880070</v>
      </c>
      <c r="E49" s="272">
        <v>7082132</v>
      </c>
      <c r="F49" s="456">
        <v>294797938</v>
      </c>
      <c r="G49" s="455">
        <f t="shared" si="1"/>
        <v>44770476</v>
      </c>
      <c r="H49" s="272">
        <v>12860810</v>
      </c>
      <c r="I49" s="272">
        <v>31909666</v>
      </c>
      <c r="J49" s="272">
        <v>319067020</v>
      </c>
      <c r="K49" s="272">
        <v>138709764</v>
      </c>
      <c r="L49" s="272">
        <v>129828589</v>
      </c>
      <c r="M49" s="272">
        <v>44588751</v>
      </c>
      <c r="N49" s="272">
        <v>32912513</v>
      </c>
      <c r="O49" s="272">
        <v>64291462</v>
      </c>
      <c r="P49" s="272">
        <v>36877660</v>
      </c>
      <c r="Q49" s="272">
        <v>27413802</v>
      </c>
      <c r="R49" s="272">
        <v>12764551</v>
      </c>
      <c r="S49" s="272"/>
      <c r="T49" s="455">
        <f t="shared" si="2"/>
        <v>61614911</v>
      </c>
      <c r="U49" s="272">
        <v>4313235</v>
      </c>
      <c r="V49" s="272">
        <v>1617936</v>
      </c>
      <c r="W49" s="456">
        <v>752858</v>
      </c>
      <c r="X49" s="272">
        <v>48562990</v>
      </c>
      <c r="Y49" s="272">
        <v>1061733</v>
      </c>
      <c r="Z49" s="272">
        <v>0</v>
      </c>
      <c r="AA49" s="272">
        <v>5306159</v>
      </c>
      <c r="AB49" s="272">
        <v>10928587</v>
      </c>
      <c r="AC49" s="272">
        <v>156528130</v>
      </c>
      <c r="AD49" s="272">
        <v>143168871</v>
      </c>
      <c r="AE49" s="272">
        <v>13359259</v>
      </c>
      <c r="AF49" s="272">
        <v>969453</v>
      </c>
      <c r="AG49" s="272">
        <v>19138840</v>
      </c>
      <c r="AH49" s="455">
        <f t="shared" si="3"/>
        <v>36550328</v>
      </c>
      <c r="AI49" s="272">
        <v>29119601</v>
      </c>
      <c r="AJ49" s="272">
        <v>7430727</v>
      </c>
      <c r="AK49" s="272">
        <v>327154516</v>
      </c>
      <c r="AL49" s="455">
        <f t="shared" si="4"/>
        <v>142160293</v>
      </c>
      <c r="AM49" s="272">
        <v>126937042</v>
      </c>
      <c r="AN49" s="272">
        <v>15223251</v>
      </c>
      <c r="AO49" s="272"/>
      <c r="AP49" s="272">
        <v>0</v>
      </c>
      <c r="AQ49" s="272">
        <v>30239880</v>
      </c>
      <c r="AR49" s="272">
        <v>3885</v>
      </c>
      <c r="AS49" s="272">
        <v>288534</v>
      </c>
      <c r="AT49" s="272">
        <v>94066935</v>
      </c>
      <c r="AU49" s="272">
        <v>49330165</v>
      </c>
      <c r="AV49" s="272">
        <v>5993682</v>
      </c>
      <c r="AW49" s="272">
        <v>2135605</v>
      </c>
      <c r="AX49" s="272">
        <v>44736770</v>
      </c>
      <c r="AY49" s="272">
        <v>1053837</v>
      </c>
      <c r="AZ49" s="272">
        <v>9766723</v>
      </c>
      <c r="BA49" s="272">
        <v>7078474</v>
      </c>
      <c r="BB49" s="272">
        <v>867770</v>
      </c>
      <c r="BC49" s="272">
        <v>33542740</v>
      </c>
      <c r="BD49" s="272">
        <v>9377224</v>
      </c>
      <c r="BE49" s="272">
        <v>1670264</v>
      </c>
      <c r="BF49" s="272">
        <v>16045004</v>
      </c>
      <c r="BG49" s="272">
        <v>4321997</v>
      </c>
      <c r="BH49" s="272">
        <v>23767537</v>
      </c>
      <c r="BI49" s="272">
        <v>8615786</v>
      </c>
      <c r="BJ49" s="272">
        <v>42801150</v>
      </c>
      <c r="BK49" s="272">
        <v>18728911</v>
      </c>
      <c r="BL49" s="272">
        <v>218450</v>
      </c>
      <c r="BM49" s="272">
        <v>1441577</v>
      </c>
      <c r="BN49" s="272">
        <v>138962399</v>
      </c>
      <c r="BO49" s="455">
        <f t="shared" si="5"/>
        <v>56555620</v>
      </c>
      <c r="BP49" s="455">
        <f t="shared" si="6"/>
        <v>67516979</v>
      </c>
      <c r="BQ49" s="272"/>
      <c r="BR49" s="272">
        <v>5547700</v>
      </c>
      <c r="BS49" s="272">
        <v>61969279</v>
      </c>
      <c r="BT49" s="272">
        <v>14889800</v>
      </c>
      <c r="BU49" s="272">
        <v>1744918941</v>
      </c>
      <c r="BV49" s="272"/>
      <c r="BW49" s="272">
        <v>355108680</v>
      </c>
      <c r="BX49" s="272">
        <v>228237604</v>
      </c>
      <c r="BY49" s="272">
        <v>51961427</v>
      </c>
      <c r="BZ49" s="272">
        <v>19237788</v>
      </c>
      <c r="CA49" s="272">
        <v>384161258</v>
      </c>
      <c r="CB49" s="272">
        <v>64488135</v>
      </c>
      <c r="CC49" s="272">
        <v>9597055</v>
      </c>
      <c r="CD49" s="272">
        <v>128090779</v>
      </c>
      <c r="CE49" s="272">
        <v>170259608</v>
      </c>
      <c r="CF49" s="272">
        <v>5275374</v>
      </c>
      <c r="CG49" s="272">
        <v>6433245</v>
      </c>
      <c r="CH49" s="272">
        <v>172588984</v>
      </c>
      <c r="CI49" s="272">
        <v>143862546</v>
      </c>
      <c r="CJ49" s="455">
        <f t="shared" si="7"/>
        <v>28726438</v>
      </c>
      <c r="CK49" s="272">
        <v>191882240</v>
      </c>
      <c r="CL49" s="272">
        <v>109073821</v>
      </c>
      <c r="CM49" s="272">
        <v>13549969</v>
      </c>
      <c r="CN49" s="272">
        <v>34874021</v>
      </c>
      <c r="CO49" s="272">
        <v>13905669</v>
      </c>
      <c r="CP49" s="272">
        <v>228579102</v>
      </c>
      <c r="CQ49" s="272">
        <v>37721775</v>
      </c>
      <c r="CR49" s="272">
        <v>104353821</v>
      </c>
      <c r="CS49" s="272">
        <v>37067896</v>
      </c>
      <c r="CT49" s="455">
        <f t="shared" si="8"/>
        <v>44263924</v>
      </c>
      <c r="CU49" s="272">
        <v>25972736</v>
      </c>
      <c r="CV49" s="272">
        <v>18291188</v>
      </c>
      <c r="CW49" s="455">
        <f t="shared" si="9"/>
        <v>16259318</v>
      </c>
      <c r="CX49" s="272">
        <v>9972617</v>
      </c>
      <c r="CY49" s="272">
        <v>6286701</v>
      </c>
      <c r="CZ49" s="455">
        <f t="shared" si="10"/>
        <v>18696004</v>
      </c>
      <c r="DA49" s="272">
        <v>15110296</v>
      </c>
      <c r="DB49" s="272">
        <v>3585708</v>
      </c>
      <c r="DC49" s="272">
        <v>137891404</v>
      </c>
      <c r="DD49" s="272">
        <v>52507113</v>
      </c>
      <c r="DE49" s="272">
        <v>81485633</v>
      </c>
      <c r="DF49" s="26">
        <v>1915525</v>
      </c>
      <c r="DG49" s="27">
        <v>1983133</v>
      </c>
      <c r="DH49" s="272">
        <v>115158</v>
      </c>
      <c r="DI49" s="272">
        <v>24556773</v>
      </c>
      <c r="DJ49" s="272">
        <v>11438173</v>
      </c>
      <c r="DK49" s="272">
        <v>761168</v>
      </c>
      <c r="DL49" s="272">
        <v>12357413</v>
      </c>
      <c r="DM49" s="272">
        <v>3916439</v>
      </c>
      <c r="DN49" s="272">
        <v>3805239</v>
      </c>
      <c r="DO49" s="272">
        <v>200490</v>
      </c>
      <c r="DP49" s="272">
        <v>3438352</v>
      </c>
      <c r="DQ49" s="272">
        <v>23129709</v>
      </c>
      <c r="DR49" s="272">
        <v>3130000</v>
      </c>
      <c r="DS49" s="272">
        <v>3130000</v>
      </c>
      <c r="DT49" s="272">
        <v>190321660</v>
      </c>
      <c r="DU49" s="272">
        <v>53276740</v>
      </c>
      <c r="DV49" s="455">
        <f t="shared" si="11"/>
        <v>866663</v>
      </c>
      <c r="DW49" s="272">
        <v>866663</v>
      </c>
      <c r="DX49" s="272">
        <v>40992361</v>
      </c>
      <c r="DY49" s="272">
        <v>631261</v>
      </c>
      <c r="DZ49" s="272">
        <v>50263181</v>
      </c>
      <c r="EA49" s="272">
        <v>148218</v>
      </c>
      <c r="EB49" s="272">
        <v>41244327</v>
      </c>
      <c r="EC49" s="272">
        <v>424145</v>
      </c>
      <c r="ED49" s="272">
        <v>1726581221</v>
      </c>
      <c r="EE49" s="89"/>
      <c r="EF49" s="272">
        <v>18337720</v>
      </c>
      <c r="EG49" s="272">
        <v>7349775</v>
      </c>
      <c r="EH49" s="272">
        <v>10987945</v>
      </c>
      <c r="EI49" s="272">
        <v>2052868</v>
      </c>
      <c r="EJ49" s="272">
        <v>4942031</v>
      </c>
      <c r="EK49" s="89"/>
      <c r="EL49" s="272"/>
      <c r="EM49" s="272">
        <v>5311179</v>
      </c>
      <c r="EN49" s="272">
        <v>21225761</v>
      </c>
      <c r="EO49" s="272">
        <v>5033325</v>
      </c>
      <c r="EP49" s="455">
        <f t="shared" si="12"/>
        <v>51707680</v>
      </c>
      <c r="EQ49" s="272">
        <v>1018300003</v>
      </c>
      <c r="ER49" s="272">
        <v>-144225758</v>
      </c>
      <c r="ES49" s="272">
        <v>316412539</v>
      </c>
      <c r="ET49" s="272">
        <v>208120792</v>
      </c>
      <c r="EU49" s="272">
        <v>125175104</v>
      </c>
      <c r="EV49" s="272">
        <v>170985565</v>
      </c>
      <c r="EW49" s="455">
        <f t="shared" si="13"/>
        <v>47383707</v>
      </c>
      <c r="EX49" s="272">
        <v>47312613</v>
      </c>
      <c r="EY49" s="272">
        <v>5822179</v>
      </c>
      <c r="EZ49" s="272">
        <v>41273873</v>
      </c>
      <c r="FA49" s="272">
        <v>71094</v>
      </c>
      <c r="FB49" s="272">
        <v>0</v>
      </c>
      <c r="FC49" s="272">
        <v>151082566</v>
      </c>
      <c r="FD49" s="272">
        <v>129559330</v>
      </c>
      <c r="FE49" s="272">
        <v>36904410</v>
      </c>
      <c r="FF49" s="272">
        <v>167192913</v>
      </c>
      <c r="FG49" s="455">
        <f t="shared" si="14"/>
        <v>36491912</v>
      </c>
      <c r="FH49" s="272">
        <v>1144283636</v>
      </c>
      <c r="FI49" s="459">
        <f t="shared" si="15"/>
        <v>1.1000000000000001</v>
      </c>
      <c r="FJ49" s="272">
        <v>948452159</v>
      </c>
      <c r="FK49" s="272">
        <v>64343681</v>
      </c>
      <c r="FL49" s="272">
        <v>618086780</v>
      </c>
      <c r="FM49" s="272">
        <v>754001244</v>
      </c>
      <c r="FN49" s="460">
        <v>0.83199999999999996</v>
      </c>
      <c r="FO49" s="388">
        <v>97.6</v>
      </c>
      <c r="FP49" s="388">
        <v>30.4</v>
      </c>
      <c r="FQ49" s="388">
        <v>12.3</v>
      </c>
      <c r="FR49" s="388">
        <v>16.600000000000001</v>
      </c>
      <c r="FS49" s="388">
        <v>13.7</v>
      </c>
      <c r="FT49" s="388">
        <v>10.199999999999999</v>
      </c>
      <c r="FU49" s="388">
        <v>13.1</v>
      </c>
      <c r="FV49" s="384">
        <f t="shared" si="16"/>
        <v>7.2</v>
      </c>
      <c r="FW49" s="272">
        <v>1531084511</v>
      </c>
      <c r="FX49" s="384">
        <f t="shared" si="17"/>
        <v>151.19999999999999</v>
      </c>
      <c r="FY49" s="272">
        <v>252636711</v>
      </c>
      <c r="FZ49" s="272">
        <v>86499757</v>
      </c>
      <c r="GA49" s="272">
        <v>19450671</v>
      </c>
      <c r="GB49" s="272">
        <v>146686283</v>
      </c>
      <c r="GC49" s="272">
        <v>19710028</v>
      </c>
      <c r="GD49" s="272">
        <v>167815000</v>
      </c>
      <c r="GE49" s="465">
        <f>ROUND(GD49/(FJ52+FK52)*100,1)</f>
        <v>17</v>
      </c>
      <c r="GF49" s="388">
        <v>97.9</v>
      </c>
      <c r="GG49" s="388">
        <v>23.3</v>
      </c>
      <c r="GH49" s="388">
        <v>93.5</v>
      </c>
      <c r="GI49" s="272">
        <v>33195</v>
      </c>
      <c r="GJ49" s="461" t="s">
        <v>646</v>
      </c>
      <c r="GK49" s="461" t="s">
        <v>646</v>
      </c>
      <c r="GL49" s="461" t="s">
        <v>646</v>
      </c>
      <c r="GM49" s="461" t="s">
        <v>646</v>
      </c>
      <c r="GN49" s="461" t="s">
        <v>646</v>
      </c>
      <c r="GO49" s="461" t="s">
        <v>646</v>
      </c>
      <c r="GP49" s="463">
        <v>7.2</v>
      </c>
      <c r="GQ49" s="461" t="s">
        <v>646</v>
      </c>
      <c r="GR49" s="461" t="s">
        <v>646</v>
      </c>
      <c r="GS49" s="463">
        <v>72.900000000000006</v>
      </c>
      <c r="GT49" s="461" t="s">
        <v>646</v>
      </c>
      <c r="GU49" s="394"/>
      <c r="GV49" s="394"/>
      <c r="GW49" s="394"/>
      <c r="GX49" s="394"/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</row>
    <row r="50" spans="2:230" x14ac:dyDescent="0.15">
      <c r="EJ50" s="394"/>
      <c r="EW50" s="272"/>
      <c r="GE50" s="31" t="s">
        <v>647</v>
      </c>
    </row>
    <row r="51" spans="2:230" x14ac:dyDescent="0.15">
      <c r="EI51" s="420">
        <f>EI6+EI16+EI20+EI25+EI27+EI29+EI30+EI32+EI35+EI38+EI41+EI42+EI43+EI46</f>
        <v>658138</v>
      </c>
      <c r="FJ51" s="394">
        <f>FJ42+FJ45+FJ43</f>
        <v>13294331</v>
      </c>
      <c r="FK51" s="394">
        <f>FK42+FK45+FK43</f>
        <v>1089186</v>
      </c>
    </row>
    <row r="52" spans="2:230" x14ac:dyDescent="0.15">
      <c r="EI52" s="420">
        <f>EI49-EI51</f>
        <v>1394730</v>
      </c>
      <c r="EM52" s="272">
        <v>5315977</v>
      </c>
      <c r="FJ52" s="394">
        <f>FJ37+FJ51</f>
        <v>923050841</v>
      </c>
      <c r="FK52" s="394">
        <f>FK37+FK51</f>
        <v>62161921</v>
      </c>
      <c r="GF52" s="388"/>
      <c r="GG52" s="388"/>
      <c r="GH52" s="388"/>
      <c r="GI52" s="272">
        <v>34243</v>
      </c>
    </row>
    <row r="54" spans="2:230" x14ac:dyDescent="0.15">
      <c r="B54" s="89" t="s">
        <v>650</v>
      </c>
      <c r="C54" s="89" t="str">
        <f t="shared" ref="C54:AH54" si="19">IF(SUM(C6:C36)=C37,"ok","エラー")</f>
        <v>ok</v>
      </c>
      <c r="D54" s="89" t="str">
        <f t="shared" si="19"/>
        <v>ok</v>
      </c>
      <c r="E54" s="89" t="str">
        <f t="shared" si="19"/>
        <v>ok</v>
      </c>
      <c r="F54" s="89" t="str">
        <f t="shared" si="19"/>
        <v>ok</v>
      </c>
      <c r="G54" s="89" t="str">
        <f t="shared" si="19"/>
        <v>ok</v>
      </c>
      <c r="H54" s="89" t="str">
        <f t="shared" si="19"/>
        <v>ok</v>
      </c>
      <c r="I54" s="89" t="str">
        <f t="shared" si="19"/>
        <v>ok</v>
      </c>
      <c r="J54" s="89" t="str">
        <f t="shared" si="19"/>
        <v>ok</v>
      </c>
      <c r="K54" s="89" t="str">
        <f t="shared" si="19"/>
        <v>ok</v>
      </c>
      <c r="L54" s="89" t="str">
        <f t="shared" si="19"/>
        <v>ok</v>
      </c>
      <c r="M54" s="89" t="str">
        <f t="shared" si="19"/>
        <v>ok</v>
      </c>
      <c r="N54" s="89" t="str">
        <f t="shared" si="19"/>
        <v>ok</v>
      </c>
      <c r="O54" s="89" t="str">
        <f t="shared" si="19"/>
        <v>ok</v>
      </c>
      <c r="P54" s="89" t="str">
        <f t="shared" si="19"/>
        <v>ok</v>
      </c>
      <c r="Q54" s="89" t="str">
        <f t="shared" si="19"/>
        <v>ok</v>
      </c>
      <c r="R54" s="89" t="str">
        <f t="shared" si="19"/>
        <v>ok</v>
      </c>
      <c r="S54" s="89" t="str">
        <f t="shared" si="19"/>
        <v>ok</v>
      </c>
      <c r="T54" s="89" t="str">
        <f t="shared" si="19"/>
        <v>ok</v>
      </c>
      <c r="U54" s="89" t="str">
        <f t="shared" si="19"/>
        <v>ok</v>
      </c>
      <c r="V54" s="89" t="str">
        <f t="shared" si="19"/>
        <v>ok</v>
      </c>
      <c r="W54" s="89" t="str">
        <f t="shared" si="19"/>
        <v>ok</v>
      </c>
      <c r="X54" s="89" t="str">
        <f t="shared" si="19"/>
        <v>ok</v>
      </c>
      <c r="Y54" s="89" t="str">
        <f t="shared" si="19"/>
        <v>ok</v>
      </c>
      <c r="Z54" s="89" t="str">
        <f t="shared" si="19"/>
        <v>ok</v>
      </c>
      <c r="AA54" s="89" t="str">
        <f t="shared" si="19"/>
        <v>ok</v>
      </c>
      <c r="AB54" s="89" t="str">
        <f t="shared" si="19"/>
        <v>ok</v>
      </c>
      <c r="AC54" s="89" t="str">
        <f t="shared" si="19"/>
        <v>ok</v>
      </c>
      <c r="AD54" s="89" t="str">
        <f t="shared" si="19"/>
        <v>ok</v>
      </c>
      <c r="AE54" s="89" t="str">
        <f t="shared" si="19"/>
        <v>ok</v>
      </c>
      <c r="AF54" s="89" t="str">
        <f t="shared" si="19"/>
        <v>ok</v>
      </c>
      <c r="AG54" s="89" t="str">
        <f t="shared" si="19"/>
        <v>ok</v>
      </c>
      <c r="AH54" s="89" t="str">
        <f t="shared" si="19"/>
        <v>ok</v>
      </c>
      <c r="AI54" s="89" t="str">
        <f t="shared" ref="AI54:BN54" si="20">IF(SUM(AI6:AI36)=AI37,"ok","エラー")</f>
        <v>ok</v>
      </c>
      <c r="AJ54" s="89" t="str">
        <f t="shared" si="20"/>
        <v>ok</v>
      </c>
      <c r="AK54" s="89" t="str">
        <f t="shared" si="20"/>
        <v>ok</v>
      </c>
      <c r="AL54" s="89" t="str">
        <f t="shared" si="20"/>
        <v>ok</v>
      </c>
      <c r="AM54" s="89" t="str">
        <f t="shared" si="20"/>
        <v>ok</v>
      </c>
      <c r="AN54" s="89" t="str">
        <f t="shared" si="20"/>
        <v>ok</v>
      </c>
      <c r="AO54" s="89" t="str">
        <f t="shared" si="20"/>
        <v>ok</v>
      </c>
      <c r="AP54" s="89" t="str">
        <f t="shared" si="20"/>
        <v>ok</v>
      </c>
      <c r="AQ54" s="89" t="str">
        <f t="shared" si="20"/>
        <v>ok</v>
      </c>
      <c r="AR54" s="89" t="str">
        <f t="shared" si="20"/>
        <v>ok</v>
      </c>
      <c r="AS54" s="89" t="str">
        <f t="shared" si="20"/>
        <v>ok</v>
      </c>
      <c r="AT54" s="89" t="str">
        <f t="shared" si="20"/>
        <v>ok</v>
      </c>
      <c r="AU54" s="89" t="str">
        <f t="shared" si="20"/>
        <v>ok</v>
      </c>
      <c r="AV54" s="89" t="str">
        <f t="shared" si="20"/>
        <v>ok</v>
      </c>
      <c r="AW54" s="89" t="str">
        <f t="shared" si="20"/>
        <v>ok</v>
      </c>
      <c r="AX54" s="89" t="str">
        <f t="shared" si="20"/>
        <v>ok</v>
      </c>
      <c r="AY54" s="89" t="str">
        <f t="shared" si="20"/>
        <v>ok</v>
      </c>
      <c r="AZ54" s="89" t="str">
        <f t="shared" si="20"/>
        <v>ok</v>
      </c>
      <c r="BA54" s="89" t="str">
        <f t="shared" si="20"/>
        <v>ok</v>
      </c>
      <c r="BB54" s="89" t="str">
        <f t="shared" si="20"/>
        <v>ok</v>
      </c>
      <c r="BC54" s="89" t="str">
        <f t="shared" si="20"/>
        <v>ok</v>
      </c>
      <c r="BD54" s="89" t="str">
        <f t="shared" si="20"/>
        <v>ok</v>
      </c>
      <c r="BE54" s="89" t="str">
        <f t="shared" si="20"/>
        <v>ok</v>
      </c>
      <c r="BF54" s="89" t="str">
        <f t="shared" si="20"/>
        <v>ok</v>
      </c>
      <c r="BG54" s="89" t="str">
        <f t="shared" si="20"/>
        <v>ok</v>
      </c>
      <c r="BH54" s="89" t="str">
        <f t="shared" si="20"/>
        <v>ok</v>
      </c>
      <c r="BI54" s="89" t="str">
        <f t="shared" si="20"/>
        <v>ok</v>
      </c>
      <c r="BJ54" s="89" t="str">
        <f t="shared" si="20"/>
        <v>ok</v>
      </c>
      <c r="BK54" s="89" t="str">
        <f t="shared" si="20"/>
        <v>ok</v>
      </c>
      <c r="BL54" s="89" t="str">
        <f t="shared" si="20"/>
        <v>ok</v>
      </c>
      <c r="BM54" s="89" t="str">
        <f t="shared" si="20"/>
        <v>ok</v>
      </c>
      <c r="BN54" s="89" t="str">
        <f t="shared" si="20"/>
        <v>ok</v>
      </c>
      <c r="BO54" s="89" t="str">
        <f t="shared" ref="BO54:CT54" si="21">IF(SUM(BO6:BO36)=BO37,"ok","エラー")</f>
        <v>ok</v>
      </c>
      <c r="BP54" s="89" t="str">
        <f t="shared" si="21"/>
        <v>ok</v>
      </c>
      <c r="BQ54" s="89" t="str">
        <f t="shared" si="21"/>
        <v>ok</v>
      </c>
      <c r="BR54" s="89" t="str">
        <f t="shared" si="21"/>
        <v>ok</v>
      </c>
      <c r="BS54" s="89" t="str">
        <f t="shared" si="21"/>
        <v>ok</v>
      </c>
      <c r="BT54" s="89" t="str">
        <f t="shared" si="21"/>
        <v>ok</v>
      </c>
      <c r="BU54" s="89" t="str">
        <f t="shared" si="21"/>
        <v>ok</v>
      </c>
      <c r="BV54" s="89" t="str">
        <f t="shared" si="21"/>
        <v>ok</v>
      </c>
      <c r="BW54" s="89" t="str">
        <f t="shared" si="21"/>
        <v>ok</v>
      </c>
      <c r="BX54" s="89" t="str">
        <f t="shared" si="21"/>
        <v>ok</v>
      </c>
      <c r="BY54" s="89" t="str">
        <f t="shared" si="21"/>
        <v>ok</v>
      </c>
      <c r="BZ54" s="89" t="str">
        <f t="shared" si="21"/>
        <v>ok</v>
      </c>
      <c r="CA54" s="89" t="str">
        <f t="shared" si="21"/>
        <v>ok</v>
      </c>
      <c r="CB54" s="89" t="str">
        <f t="shared" si="21"/>
        <v>ok</v>
      </c>
      <c r="CC54" s="89" t="str">
        <f t="shared" si="21"/>
        <v>ok</v>
      </c>
      <c r="CD54" s="89" t="str">
        <f t="shared" si="21"/>
        <v>ok</v>
      </c>
      <c r="CE54" s="89" t="str">
        <f t="shared" si="21"/>
        <v>ok</v>
      </c>
      <c r="CF54" s="89" t="str">
        <f t="shared" si="21"/>
        <v>ok</v>
      </c>
      <c r="CG54" s="89" t="str">
        <f t="shared" si="21"/>
        <v>ok</v>
      </c>
      <c r="CH54" s="89" t="str">
        <f t="shared" si="21"/>
        <v>ok</v>
      </c>
      <c r="CI54" s="89" t="str">
        <f t="shared" si="21"/>
        <v>ok</v>
      </c>
      <c r="CJ54" s="89" t="str">
        <f t="shared" si="21"/>
        <v>ok</v>
      </c>
      <c r="CK54" s="89" t="str">
        <f t="shared" si="21"/>
        <v>ok</v>
      </c>
      <c r="CL54" s="89" t="str">
        <f t="shared" si="21"/>
        <v>ok</v>
      </c>
      <c r="CM54" s="89" t="str">
        <f t="shared" si="21"/>
        <v>ok</v>
      </c>
      <c r="CN54" s="89" t="str">
        <f t="shared" si="21"/>
        <v>ok</v>
      </c>
      <c r="CO54" s="89" t="str">
        <f t="shared" si="21"/>
        <v>ok</v>
      </c>
      <c r="CP54" s="89" t="str">
        <f t="shared" si="21"/>
        <v>ok</v>
      </c>
      <c r="CQ54" s="89" t="str">
        <f t="shared" si="21"/>
        <v>ok</v>
      </c>
      <c r="CR54" s="89" t="str">
        <f t="shared" si="21"/>
        <v>ok</v>
      </c>
      <c r="CS54" s="89" t="str">
        <f t="shared" si="21"/>
        <v>ok</v>
      </c>
      <c r="CT54" s="89" t="str">
        <f t="shared" si="21"/>
        <v>ok</v>
      </c>
      <c r="CU54" s="89" t="str">
        <f t="shared" ref="CU54:DZ54" si="22">IF(SUM(CU6:CU36)=CU37,"ok","エラー")</f>
        <v>ok</v>
      </c>
      <c r="CV54" s="89" t="str">
        <f t="shared" si="22"/>
        <v>ok</v>
      </c>
      <c r="CW54" s="89" t="str">
        <f t="shared" si="22"/>
        <v>ok</v>
      </c>
      <c r="CX54" s="89" t="str">
        <f t="shared" si="22"/>
        <v>ok</v>
      </c>
      <c r="CY54" s="89" t="str">
        <f t="shared" si="22"/>
        <v>ok</v>
      </c>
      <c r="CZ54" s="89" t="str">
        <f t="shared" si="22"/>
        <v>ok</v>
      </c>
      <c r="DA54" s="89" t="str">
        <f t="shared" si="22"/>
        <v>ok</v>
      </c>
      <c r="DB54" s="89" t="str">
        <f t="shared" si="22"/>
        <v>ok</v>
      </c>
      <c r="DC54" s="89" t="str">
        <f t="shared" si="22"/>
        <v>ok</v>
      </c>
      <c r="DD54" s="89" t="str">
        <f t="shared" si="22"/>
        <v>ok</v>
      </c>
      <c r="DE54" s="89" t="str">
        <f t="shared" si="22"/>
        <v>ok</v>
      </c>
      <c r="DF54" s="89" t="str">
        <f t="shared" si="22"/>
        <v>ok</v>
      </c>
      <c r="DG54" s="89" t="str">
        <f t="shared" si="22"/>
        <v>ok</v>
      </c>
      <c r="DH54" s="89" t="str">
        <f t="shared" si="22"/>
        <v>ok</v>
      </c>
      <c r="DI54" s="89" t="str">
        <f t="shared" si="22"/>
        <v>ok</v>
      </c>
      <c r="DJ54" s="89" t="str">
        <f t="shared" si="22"/>
        <v>ok</v>
      </c>
      <c r="DK54" s="89" t="str">
        <f t="shared" si="22"/>
        <v>ok</v>
      </c>
      <c r="DL54" s="89" t="str">
        <f t="shared" si="22"/>
        <v>ok</v>
      </c>
      <c r="DM54" s="89" t="str">
        <f t="shared" si="22"/>
        <v>ok</v>
      </c>
      <c r="DN54" s="89" t="str">
        <f t="shared" si="22"/>
        <v>ok</v>
      </c>
      <c r="DO54" s="89" t="str">
        <f t="shared" si="22"/>
        <v>ok</v>
      </c>
      <c r="DP54" s="89" t="str">
        <f t="shared" si="22"/>
        <v>ok</v>
      </c>
      <c r="DQ54" s="89" t="str">
        <f t="shared" si="22"/>
        <v>ok</v>
      </c>
      <c r="DR54" s="89" t="str">
        <f t="shared" si="22"/>
        <v>ok</v>
      </c>
      <c r="DS54" s="89" t="str">
        <f t="shared" si="22"/>
        <v>ok</v>
      </c>
      <c r="DT54" s="89" t="str">
        <f t="shared" si="22"/>
        <v>ok</v>
      </c>
      <c r="DU54" s="89" t="str">
        <f t="shared" si="22"/>
        <v>ok</v>
      </c>
      <c r="DV54" s="89" t="str">
        <f t="shared" si="22"/>
        <v>ok</v>
      </c>
      <c r="DW54" s="89" t="str">
        <f t="shared" si="22"/>
        <v>ok</v>
      </c>
      <c r="DX54" s="89" t="str">
        <f t="shared" si="22"/>
        <v>ok</v>
      </c>
      <c r="DY54" s="89" t="str">
        <f t="shared" si="22"/>
        <v>ok</v>
      </c>
      <c r="DZ54" s="89" t="str">
        <f t="shared" si="22"/>
        <v>ok</v>
      </c>
      <c r="EA54" s="89" t="str">
        <f t="shared" ref="EA54:FF54" si="23">IF(SUM(EA6:EA36)=EA37,"ok","エラー")</f>
        <v>ok</v>
      </c>
      <c r="EB54" s="89" t="str">
        <f t="shared" si="23"/>
        <v>ok</v>
      </c>
      <c r="EC54" s="89" t="str">
        <f t="shared" si="23"/>
        <v>ok</v>
      </c>
      <c r="ED54" s="89" t="str">
        <f t="shared" si="23"/>
        <v>ok</v>
      </c>
      <c r="EE54" s="89" t="str">
        <f t="shared" si="23"/>
        <v>ok</v>
      </c>
      <c r="EF54" s="89" t="str">
        <f t="shared" si="23"/>
        <v>ok</v>
      </c>
      <c r="EG54" s="89" t="str">
        <f t="shared" si="23"/>
        <v>ok</v>
      </c>
      <c r="EH54" s="89" t="str">
        <f t="shared" si="23"/>
        <v>ok</v>
      </c>
      <c r="EI54" s="89" t="str">
        <f t="shared" si="23"/>
        <v>ok</v>
      </c>
      <c r="EJ54" s="89" t="str">
        <f t="shared" si="23"/>
        <v>ok</v>
      </c>
      <c r="EK54" s="89" t="str">
        <f t="shared" si="23"/>
        <v>ok</v>
      </c>
      <c r="EL54" s="89" t="str">
        <f t="shared" si="23"/>
        <v>ok</v>
      </c>
      <c r="EM54" s="89" t="str">
        <f t="shared" si="23"/>
        <v>ok</v>
      </c>
      <c r="EN54" s="89" t="str">
        <f t="shared" si="23"/>
        <v>ok</v>
      </c>
      <c r="EO54" s="89" t="str">
        <f t="shared" si="23"/>
        <v>ok</v>
      </c>
      <c r="EP54" s="89" t="str">
        <f t="shared" si="23"/>
        <v>ok</v>
      </c>
      <c r="EQ54" s="89" t="str">
        <f t="shared" si="23"/>
        <v>ok</v>
      </c>
      <c r="ER54" s="89" t="str">
        <f t="shared" si="23"/>
        <v>ok</v>
      </c>
      <c r="ES54" s="89" t="str">
        <f t="shared" si="23"/>
        <v>ok</v>
      </c>
      <c r="ET54" s="89" t="str">
        <f t="shared" si="23"/>
        <v>ok</v>
      </c>
      <c r="EU54" s="89" t="str">
        <f t="shared" si="23"/>
        <v>ok</v>
      </c>
      <c r="EV54" s="89" t="str">
        <f t="shared" si="23"/>
        <v>ok</v>
      </c>
      <c r="EW54" s="89" t="str">
        <f t="shared" si="23"/>
        <v>ok</v>
      </c>
      <c r="EX54" s="89" t="str">
        <f t="shared" si="23"/>
        <v>ok</v>
      </c>
      <c r="EY54" s="89" t="str">
        <f t="shared" si="23"/>
        <v>ok</v>
      </c>
      <c r="EZ54" s="89" t="str">
        <f t="shared" si="23"/>
        <v>ok</v>
      </c>
      <c r="FA54" s="89" t="str">
        <f t="shared" si="23"/>
        <v>ok</v>
      </c>
      <c r="FB54" s="89" t="str">
        <f t="shared" si="23"/>
        <v>ok</v>
      </c>
      <c r="FC54" s="89" t="str">
        <f t="shared" si="23"/>
        <v>ok</v>
      </c>
      <c r="FD54" s="89" t="str">
        <f t="shared" si="23"/>
        <v>ok</v>
      </c>
      <c r="FE54" s="89" t="str">
        <f t="shared" si="23"/>
        <v>ok</v>
      </c>
      <c r="FF54" s="89" t="str">
        <f t="shared" si="23"/>
        <v>ok</v>
      </c>
      <c r="FG54" s="89" t="str">
        <f t="shared" ref="FG54:FM54" si="24">IF(SUM(FG6:FG36)=FG37,"ok","エラー")</f>
        <v>ok</v>
      </c>
      <c r="FH54" s="89" t="str">
        <f t="shared" si="24"/>
        <v>ok</v>
      </c>
      <c r="FI54" s="89" t="str">
        <f t="shared" si="24"/>
        <v>エラー</v>
      </c>
      <c r="FJ54" s="89" t="str">
        <f t="shared" si="24"/>
        <v>ok</v>
      </c>
      <c r="FK54" s="89" t="str">
        <f t="shared" si="24"/>
        <v>ok</v>
      </c>
      <c r="FL54" s="89" t="str">
        <f t="shared" si="24"/>
        <v>ok</v>
      </c>
      <c r="FM54" s="89" t="str">
        <f t="shared" si="24"/>
        <v>ok</v>
      </c>
      <c r="FW54" s="89" t="str">
        <f>IF(SUM(FW6:FW36)=FW37,"ok","エラー")</f>
        <v>ok</v>
      </c>
      <c r="FY54" s="89" t="str">
        <f t="shared" ref="FY54:GD54" si="25">IF(SUM(FY6:FY36)=FY37,"ok","エラー")</f>
        <v>ok</v>
      </c>
      <c r="FZ54" s="89" t="str">
        <f t="shared" si="25"/>
        <v>ok</v>
      </c>
      <c r="GA54" s="89" t="str">
        <f t="shared" si="25"/>
        <v>ok</v>
      </c>
      <c r="GB54" s="89" t="str">
        <f t="shared" si="25"/>
        <v>ok</v>
      </c>
      <c r="GC54" s="89" t="str">
        <f t="shared" si="25"/>
        <v>ok</v>
      </c>
      <c r="GD54" s="89" t="str">
        <f t="shared" si="25"/>
        <v>ok</v>
      </c>
      <c r="GI54" s="62" t="str">
        <f>IF(SUM(GI6:GI36)=GI37,"ok","エラー")</f>
        <v>ok</v>
      </c>
    </row>
    <row r="55" spans="2:230" x14ac:dyDescent="0.15">
      <c r="B55" s="89" t="s">
        <v>650</v>
      </c>
      <c r="C55" s="89" t="str">
        <f t="shared" ref="C55:AH55" si="26">IF(SUM(C38:C47)=C48,"ok","エラー")</f>
        <v>ok</v>
      </c>
      <c r="D55" s="89" t="str">
        <f t="shared" si="26"/>
        <v>ok</v>
      </c>
      <c r="E55" s="89" t="str">
        <f t="shared" si="26"/>
        <v>ok</v>
      </c>
      <c r="F55" s="89" t="str">
        <f t="shared" si="26"/>
        <v>ok</v>
      </c>
      <c r="G55" s="89" t="str">
        <f t="shared" si="26"/>
        <v>ok</v>
      </c>
      <c r="H55" s="89" t="str">
        <f t="shared" si="26"/>
        <v>ok</v>
      </c>
      <c r="I55" s="89" t="str">
        <f t="shared" si="26"/>
        <v>ok</v>
      </c>
      <c r="J55" s="89" t="str">
        <f t="shared" si="26"/>
        <v>ok</v>
      </c>
      <c r="K55" s="89" t="str">
        <f t="shared" si="26"/>
        <v>ok</v>
      </c>
      <c r="L55" s="89" t="str">
        <f t="shared" si="26"/>
        <v>ok</v>
      </c>
      <c r="M55" s="89" t="str">
        <f t="shared" si="26"/>
        <v>ok</v>
      </c>
      <c r="N55" s="89" t="str">
        <f t="shared" si="26"/>
        <v>ok</v>
      </c>
      <c r="O55" s="89" t="str">
        <f t="shared" si="26"/>
        <v>ok</v>
      </c>
      <c r="P55" s="89" t="str">
        <f t="shared" si="26"/>
        <v>ok</v>
      </c>
      <c r="Q55" s="89" t="str">
        <f t="shared" si="26"/>
        <v>ok</v>
      </c>
      <c r="R55" s="89" t="str">
        <f t="shared" si="26"/>
        <v>ok</v>
      </c>
      <c r="S55" s="89" t="str">
        <f t="shared" si="26"/>
        <v>ok</v>
      </c>
      <c r="T55" s="89" t="str">
        <f t="shared" si="26"/>
        <v>ok</v>
      </c>
      <c r="U55" s="89" t="str">
        <f t="shared" si="26"/>
        <v>ok</v>
      </c>
      <c r="V55" s="89" t="str">
        <f t="shared" si="26"/>
        <v>ok</v>
      </c>
      <c r="W55" s="89" t="str">
        <f t="shared" si="26"/>
        <v>ok</v>
      </c>
      <c r="X55" s="89" t="str">
        <f t="shared" si="26"/>
        <v>ok</v>
      </c>
      <c r="Y55" s="89" t="str">
        <f t="shared" si="26"/>
        <v>ok</v>
      </c>
      <c r="Z55" s="89" t="str">
        <f t="shared" si="26"/>
        <v>ok</v>
      </c>
      <c r="AA55" s="89" t="str">
        <f t="shared" si="26"/>
        <v>ok</v>
      </c>
      <c r="AB55" s="89" t="str">
        <f t="shared" si="26"/>
        <v>ok</v>
      </c>
      <c r="AC55" s="89" t="str">
        <f t="shared" si="26"/>
        <v>ok</v>
      </c>
      <c r="AD55" s="89" t="str">
        <f t="shared" si="26"/>
        <v>ok</v>
      </c>
      <c r="AE55" s="89" t="str">
        <f t="shared" si="26"/>
        <v>ok</v>
      </c>
      <c r="AF55" s="89" t="str">
        <f t="shared" si="26"/>
        <v>ok</v>
      </c>
      <c r="AG55" s="89" t="str">
        <f t="shared" si="26"/>
        <v>ok</v>
      </c>
      <c r="AH55" s="89" t="str">
        <f t="shared" si="26"/>
        <v>ok</v>
      </c>
      <c r="AI55" s="89" t="str">
        <f t="shared" ref="AI55:BN55" si="27">IF(SUM(AI38:AI47)=AI48,"ok","エラー")</f>
        <v>ok</v>
      </c>
      <c r="AJ55" s="89" t="str">
        <f t="shared" si="27"/>
        <v>ok</v>
      </c>
      <c r="AK55" s="89" t="str">
        <f t="shared" si="27"/>
        <v>ok</v>
      </c>
      <c r="AL55" s="89" t="str">
        <f t="shared" si="27"/>
        <v>ok</v>
      </c>
      <c r="AM55" s="89" t="str">
        <f t="shared" si="27"/>
        <v>ok</v>
      </c>
      <c r="AN55" s="89" t="str">
        <f t="shared" si="27"/>
        <v>ok</v>
      </c>
      <c r="AO55" s="89" t="str">
        <f t="shared" si="27"/>
        <v>ok</v>
      </c>
      <c r="AP55" s="89" t="str">
        <f t="shared" si="27"/>
        <v>ok</v>
      </c>
      <c r="AQ55" s="89" t="str">
        <f t="shared" si="27"/>
        <v>ok</v>
      </c>
      <c r="AR55" s="89" t="str">
        <f t="shared" si="27"/>
        <v>ok</v>
      </c>
      <c r="AS55" s="89" t="str">
        <f t="shared" si="27"/>
        <v>ok</v>
      </c>
      <c r="AT55" s="89" t="str">
        <f t="shared" si="27"/>
        <v>ok</v>
      </c>
      <c r="AU55" s="89" t="str">
        <f t="shared" si="27"/>
        <v>ok</v>
      </c>
      <c r="AV55" s="89" t="str">
        <f t="shared" si="27"/>
        <v>ok</v>
      </c>
      <c r="AW55" s="89" t="str">
        <f t="shared" si="27"/>
        <v>ok</v>
      </c>
      <c r="AX55" s="89" t="str">
        <f t="shared" si="27"/>
        <v>ok</v>
      </c>
      <c r="AY55" s="89" t="str">
        <f t="shared" si="27"/>
        <v>ok</v>
      </c>
      <c r="AZ55" s="89" t="str">
        <f t="shared" si="27"/>
        <v>ok</v>
      </c>
      <c r="BA55" s="89" t="str">
        <f t="shared" si="27"/>
        <v>ok</v>
      </c>
      <c r="BB55" s="89" t="str">
        <f t="shared" si="27"/>
        <v>ok</v>
      </c>
      <c r="BC55" s="89" t="str">
        <f t="shared" si="27"/>
        <v>ok</v>
      </c>
      <c r="BD55" s="89" t="str">
        <f t="shared" si="27"/>
        <v>ok</v>
      </c>
      <c r="BE55" s="89" t="str">
        <f t="shared" si="27"/>
        <v>ok</v>
      </c>
      <c r="BF55" s="89" t="str">
        <f t="shared" si="27"/>
        <v>ok</v>
      </c>
      <c r="BG55" s="89" t="str">
        <f t="shared" si="27"/>
        <v>ok</v>
      </c>
      <c r="BH55" s="89" t="str">
        <f t="shared" si="27"/>
        <v>ok</v>
      </c>
      <c r="BI55" s="89" t="str">
        <f t="shared" si="27"/>
        <v>ok</v>
      </c>
      <c r="BJ55" s="89" t="str">
        <f t="shared" si="27"/>
        <v>ok</v>
      </c>
      <c r="BK55" s="89" t="str">
        <f t="shared" si="27"/>
        <v>ok</v>
      </c>
      <c r="BL55" s="89" t="str">
        <f t="shared" si="27"/>
        <v>ok</v>
      </c>
      <c r="BM55" s="89" t="str">
        <f t="shared" si="27"/>
        <v>ok</v>
      </c>
      <c r="BN55" s="89" t="str">
        <f t="shared" si="27"/>
        <v>ok</v>
      </c>
      <c r="BO55" s="89" t="str">
        <f t="shared" ref="BO55:CT55" si="28">IF(SUM(BO38:BO47)=BO48,"ok","エラー")</f>
        <v>ok</v>
      </c>
      <c r="BP55" s="89" t="str">
        <f t="shared" si="28"/>
        <v>ok</v>
      </c>
      <c r="BQ55" s="89" t="str">
        <f t="shared" si="28"/>
        <v>ok</v>
      </c>
      <c r="BR55" s="89" t="str">
        <f t="shared" si="28"/>
        <v>ok</v>
      </c>
      <c r="BS55" s="89" t="str">
        <f t="shared" si="28"/>
        <v>ok</v>
      </c>
      <c r="BT55" s="89" t="str">
        <f t="shared" si="28"/>
        <v>ok</v>
      </c>
      <c r="BU55" s="89" t="str">
        <f t="shared" si="28"/>
        <v>ok</v>
      </c>
      <c r="BV55" s="89" t="str">
        <f t="shared" si="28"/>
        <v>ok</v>
      </c>
      <c r="BW55" s="89" t="str">
        <f t="shared" si="28"/>
        <v>ok</v>
      </c>
      <c r="BX55" s="89" t="str">
        <f t="shared" si="28"/>
        <v>ok</v>
      </c>
      <c r="BY55" s="89" t="str">
        <f t="shared" si="28"/>
        <v>ok</v>
      </c>
      <c r="BZ55" s="89" t="str">
        <f t="shared" si="28"/>
        <v>ok</v>
      </c>
      <c r="CA55" s="89" t="str">
        <f t="shared" si="28"/>
        <v>ok</v>
      </c>
      <c r="CB55" s="89" t="str">
        <f t="shared" si="28"/>
        <v>ok</v>
      </c>
      <c r="CC55" s="89" t="str">
        <f t="shared" si="28"/>
        <v>ok</v>
      </c>
      <c r="CD55" s="89" t="str">
        <f t="shared" si="28"/>
        <v>ok</v>
      </c>
      <c r="CE55" s="89" t="str">
        <f t="shared" si="28"/>
        <v>ok</v>
      </c>
      <c r="CF55" s="89" t="str">
        <f t="shared" si="28"/>
        <v>ok</v>
      </c>
      <c r="CG55" s="89" t="str">
        <f t="shared" si="28"/>
        <v>ok</v>
      </c>
      <c r="CH55" s="89" t="str">
        <f t="shared" si="28"/>
        <v>ok</v>
      </c>
      <c r="CI55" s="89" t="str">
        <f t="shared" si="28"/>
        <v>ok</v>
      </c>
      <c r="CJ55" s="89" t="str">
        <f t="shared" si="28"/>
        <v>ok</v>
      </c>
      <c r="CK55" s="89" t="str">
        <f t="shared" si="28"/>
        <v>ok</v>
      </c>
      <c r="CL55" s="89" t="str">
        <f t="shared" si="28"/>
        <v>ok</v>
      </c>
      <c r="CM55" s="89" t="str">
        <f t="shared" si="28"/>
        <v>ok</v>
      </c>
      <c r="CN55" s="89" t="str">
        <f t="shared" si="28"/>
        <v>ok</v>
      </c>
      <c r="CO55" s="89" t="str">
        <f t="shared" si="28"/>
        <v>ok</v>
      </c>
      <c r="CP55" s="89" t="str">
        <f t="shared" si="28"/>
        <v>ok</v>
      </c>
      <c r="CQ55" s="89" t="str">
        <f t="shared" si="28"/>
        <v>ok</v>
      </c>
      <c r="CR55" s="89" t="str">
        <f t="shared" si="28"/>
        <v>ok</v>
      </c>
      <c r="CS55" s="89" t="str">
        <f t="shared" si="28"/>
        <v>ok</v>
      </c>
      <c r="CT55" s="89" t="str">
        <f t="shared" si="28"/>
        <v>ok</v>
      </c>
      <c r="CU55" s="89" t="str">
        <f t="shared" ref="CU55:DZ55" si="29">IF(SUM(CU38:CU47)=CU48,"ok","エラー")</f>
        <v>ok</v>
      </c>
      <c r="CV55" s="89" t="str">
        <f t="shared" si="29"/>
        <v>ok</v>
      </c>
      <c r="CW55" s="89" t="str">
        <f t="shared" si="29"/>
        <v>ok</v>
      </c>
      <c r="CX55" s="89" t="str">
        <f t="shared" si="29"/>
        <v>ok</v>
      </c>
      <c r="CY55" s="89" t="str">
        <f t="shared" si="29"/>
        <v>ok</v>
      </c>
      <c r="CZ55" s="89" t="str">
        <f t="shared" si="29"/>
        <v>ok</v>
      </c>
      <c r="DA55" s="89" t="str">
        <f t="shared" si="29"/>
        <v>ok</v>
      </c>
      <c r="DB55" s="89" t="str">
        <f t="shared" si="29"/>
        <v>ok</v>
      </c>
      <c r="DC55" s="89" t="str">
        <f t="shared" si="29"/>
        <v>ok</v>
      </c>
      <c r="DD55" s="89" t="str">
        <f t="shared" si="29"/>
        <v>ok</v>
      </c>
      <c r="DE55" s="89" t="str">
        <f t="shared" si="29"/>
        <v>ok</v>
      </c>
      <c r="DF55" s="89" t="str">
        <f t="shared" si="29"/>
        <v>ok</v>
      </c>
      <c r="DG55" s="89" t="str">
        <f t="shared" si="29"/>
        <v>ok</v>
      </c>
      <c r="DH55" s="89" t="str">
        <f t="shared" si="29"/>
        <v>ok</v>
      </c>
      <c r="DI55" s="89" t="str">
        <f t="shared" si="29"/>
        <v>ok</v>
      </c>
      <c r="DJ55" s="89" t="str">
        <f t="shared" si="29"/>
        <v>ok</v>
      </c>
      <c r="DK55" s="89" t="str">
        <f t="shared" si="29"/>
        <v>ok</v>
      </c>
      <c r="DL55" s="89" t="str">
        <f t="shared" si="29"/>
        <v>ok</v>
      </c>
      <c r="DM55" s="89" t="str">
        <f t="shared" si="29"/>
        <v>ok</v>
      </c>
      <c r="DN55" s="89" t="str">
        <f t="shared" si="29"/>
        <v>ok</v>
      </c>
      <c r="DO55" s="89" t="str">
        <f t="shared" si="29"/>
        <v>ok</v>
      </c>
      <c r="DP55" s="89" t="str">
        <f t="shared" si="29"/>
        <v>ok</v>
      </c>
      <c r="DQ55" s="89" t="str">
        <f t="shared" si="29"/>
        <v>ok</v>
      </c>
      <c r="DR55" s="89" t="str">
        <f t="shared" si="29"/>
        <v>ok</v>
      </c>
      <c r="DS55" s="89" t="str">
        <f t="shared" si="29"/>
        <v>ok</v>
      </c>
      <c r="DT55" s="89" t="str">
        <f t="shared" si="29"/>
        <v>ok</v>
      </c>
      <c r="DU55" s="89" t="str">
        <f t="shared" si="29"/>
        <v>ok</v>
      </c>
      <c r="DV55" s="89" t="str">
        <f t="shared" si="29"/>
        <v>ok</v>
      </c>
      <c r="DW55" s="89" t="str">
        <f t="shared" si="29"/>
        <v>ok</v>
      </c>
      <c r="DX55" s="89" t="str">
        <f t="shared" si="29"/>
        <v>ok</v>
      </c>
      <c r="DY55" s="89" t="str">
        <f t="shared" si="29"/>
        <v>ok</v>
      </c>
      <c r="DZ55" s="89" t="str">
        <f t="shared" si="29"/>
        <v>ok</v>
      </c>
      <c r="EA55" s="89" t="str">
        <f t="shared" ref="EA55:FF55" si="30">IF(SUM(EA38:EA47)=EA48,"ok","エラー")</f>
        <v>ok</v>
      </c>
      <c r="EB55" s="89" t="str">
        <f t="shared" si="30"/>
        <v>ok</v>
      </c>
      <c r="EC55" s="89" t="str">
        <f t="shared" si="30"/>
        <v>ok</v>
      </c>
      <c r="ED55" s="89" t="str">
        <f t="shared" si="30"/>
        <v>ok</v>
      </c>
      <c r="EE55" s="89" t="str">
        <f t="shared" si="30"/>
        <v>ok</v>
      </c>
      <c r="EF55" s="89" t="str">
        <f t="shared" si="30"/>
        <v>ok</v>
      </c>
      <c r="EG55" s="89" t="str">
        <f t="shared" si="30"/>
        <v>ok</v>
      </c>
      <c r="EH55" s="89" t="str">
        <f t="shared" si="30"/>
        <v>ok</v>
      </c>
      <c r="EI55" s="89" t="str">
        <f t="shared" si="30"/>
        <v>ok</v>
      </c>
      <c r="EJ55" s="89" t="str">
        <f t="shared" si="30"/>
        <v>ok</v>
      </c>
      <c r="EK55" s="89" t="str">
        <f t="shared" si="30"/>
        <v>ok</v>
      </c>
      <c r="EL55" s="89" t="str">
        <f t="shared" si="30"/>
        <v>ok</v>
      </c>
      <c r="EM55" s="89" t="str">
        <f t="shared" si="30"/>
        <v>ok</v>
      </c>
      <c r="EN55" s="89" t="str">
        <f t="shared" si="30"/>
        <v>ok</v>
      </c>
      <c r="EO55" s="89" t="str">
        <f t="shared" si="30"/>
        <v>ok</v>
      </c>
      <c r="EP55" s="89" t="str">
        <f t="shared" si="30"/>
        <v>ok</v>
      </c>
      <c r="EQ55" s="89" t="str">
        <f t="shared" si="30"/>
        <v>ok</v>
      </c>
      <c r="ER55" s="89" t="str">
        <f t="shared" si="30"/>
        <v>ok</v>
      </c>
      <c r="ES55" s="89" t="str">
        <f t="shared" si="30"/>
        <v>ok</v>
      </c>
      <c r="ET55" s="89" t="str">
        <f t="shared" si="30"/>
        <v>ok</v>
      </c>
      <c r="EU55" s="89" t="str">
        <f t="shared" si="30"/>
        <v>ok</v>
      </c>
      <c r="EV55" s="89" t="str">
        <f t="shared" si="30"/>
        <v>ok</v>
      </c>
      <c r="EW55" s="89" t="str">
        <f t="shared" si="30"/>
        <v>ok</v>
      </c>
      <c r="EX55" s="89" t="str">
        <f t="shared" si="30"/>
        <v>ok</v>
      </c>
      <c r="EY55" s="89" t="str">
        <f t="shared" si="30"/>
        <v>ok</v>
      </c>
      <c r="EZ55" s="89" t="str">
        <f t="shared" si="30"/>
        <v>ok</v>
      </c>
      <c r="FA55" s="89" t="str">
        <f t="shared" si="30"/>
        <v>ok</v>
      </c>
      <c r="FB55" s="89" t="str">
        <f t="shared" si="30"/>
        <v>ok</v>
      </c>
      <c r="FC55" s="89" t="str">
        <f t="shared" si="30"/>
        <v>ok</v>
      </c>
      <c r="FD55" s="89" t="str">
        <f t="shared" si="30"/>
        <v>ok</v>
      </c>
      <c r="FE55" s="89" t="str">
        <f t="shared" si="30"/>
        <v>ok</v>
      </c>
      <c r="FF55" s="89" t="str">
        <f t="shared" si="30"/>
        <v>ok</v>
      </c>
      <c r="FG55" s="89" t="str">
        <f t="shared" ref="FG55:FM55" si="31">IF(SUM(FG38:FG47)=FG48,"ok","エラー")</f>
        <v>ok</v>
      </c>
      <c r="FH55" s="89" t="str">
        <f t="shared" si="31"/>
        <v>ok</v>
      </c>
      <c r="FI55" s="89" t="str">
        <f t="shared" si="31"/>
        <v>エラー</v>
      </c>
      <c r="FJ55" s="89" t="str">
        <f t="shared" si="31"/>
        <v>ok</v>
      </c>
      <c r="FK55" s="89" t="str">
        <f t="shared" si="31"/>
        <v>ok</v>
      </c>
      <c r="FL55" s="89" t="str">
        <f t="shared" si="31"/>
        <v>ok</v>
      </c>
      <c r="FM55" s="89" t="str">
        <f t="shared" si="31"/>
        <v>ok</v>
      </c>
      <c r="FW55" s="89" t="str">
        <f>IF(SUM(FW38:FW47)=FW48,"ok","エラー")</f>
        <v>ok</v>
      </c>
      <c r="FY55" s="89" t="str">
        <f t="shared" ref="FY55:GD55" si="32">IF(SUM(FY38:FY47)=FY48,"ok","エラー")</f>
        <v>ok</v>
      </c>
      <c r="FZ55" s="89" t="str">
        <f t="shared" si="32"/>
        <v>ok</v>
      </c>
      <c r="GA55" s="89" t="str">
        <f t="shared" si="32"/>
        <v>ok</v>
      </c>
      <c r="GB55" s="89" t="str">
        <f t="shared" si="32"/>
        <v>ok</v>
      </c>
      <c r="GC55" s="89" t="str">
        <f t="shared" si="32"/>
        <v>ok</v>
      </c>
      <c r="GD55" s="89" t="str">
        <f t="shared" si="32"/>
        <v>ok</v>
      </c>
      <c r="GI55" s="62" t="str">
        <f>IF(SUM(GI38:GI47)=GI48,"ok","エラー")</f>
        <v>ok</v>
      </c>
    </row>
    <row r="56" spans="2:230" x14ac:dyDescent="0.15">
      <c r="B56" s="89" t="s">
        <v>650</v>
      </c>
      <c r="C56" s="89" t="str">
        <f t="shared" ref="C56:AH56" si="33">IF(C37+C48=C49,"ok","エラー")</f>
        <v>ok</v>
      </c>
      <c r="D56" s="89" t="str">
        <f t="shared" si="33"/>
        <v>ok</v>
      </c>
      <c r="E56" s="89" t="str">
        <f t="shared" si="33"/>
        <v>ok</v>
      </c>
      <c r="F56" s="89" t="str">
        <f t="shared" si="33"/>
        <v>ok</v>
      </c>
      <c r="G56" s="89" t="str">
        <f t="shared" si="33"/>
        <v>ok</v>
      </c>
      <c r="H56" s="89" t="str">
        <f t="shared" si="33"/>
        <v>ok</v>
      </c>
      <c r="I56" s="89" t="str">
        <f t="shared" si="33"/>
        <v>ok</v>
      </c>
      <c r="J56" s="89" t="str">
        <f t="shared" si="33"/>
        <v>ok</v>
      </c>
      <c r="K56" s="89" t="str">
        <f t="shared" si="33"/>
        <v>ok</v>
      </c>
      <c r="L56" s="89" t="str">
        <f t="shared" si="33"/>
        <v>ok</v>
      </c>
      <c r="M56" s="89" t="str">
        <f t="shared" si="33"/>
        <v>ok</v>
      </c>
      <c r="N56" s="89" t="str">
        <f t="shared" si="33"/>
        <v>ok</v>
      </c>
      <c r="O56" s="89" t="str">
        <f t="shared" si="33"/>
        <v>ok</v>
      </c>
      <c r="P56" s="89" t="str">
        <f t="shared" si="33"/>
        <v>ok</v>
      </c>
      <c r="Q56" s="89" t="str">
        <f t="shared" si="33"/>
        <v>ok</v>
      </c>
      <c r="R56" s="89" t="str">
        <f t="shared" si="33"/>
        <v>ok</v>
      </c>
      <c r="S56" s="89" t="str">
        <f t="shared" si="33"/>
        <v>ok</v>
      </c>
      <c r="T56" s="89" t="str">
        <f t="shared" si="33"/>
        <v>ok</v>
      </c>
      <c r="U56" s="89" t="str">
        <f t="shared" si="33"/>
        <v>ok</v>
      </c>
      <c r="V56" s="89" t="str">
        <f t="shared" si="33"/>
        <v>ok</v>
      </c>
      <c r="W56" s="89" t="str">
        <f t="shared" si="33"/>
        <v>ok</v>
      </c>
      <c r="X56" s="89" t="str">
        <f t="shared" si="33"/>
        <v>ok</v>
      </c>
      <c r="Y56" s="89" t="str">
        <f t="shared" si="33"/>
        <v>ok</v>
      </c>
      <c r="Z56" s="89" t="str">
        <f t="shared" si="33"/>
        <v>ok</v>
      </c>
      <c r="AA56" s="89" t="str">
        <f t="shared" si="33"/>
        <v>ok</v>
      </c>
      <c r="AB56" s="89" t="str">
        <f t="shared" si="33"/>
        <v>ok</v>
      </c>
      <c r="AC56" s="89" t="str">
        <f t="shared" si="33"/>
        <v>ok</v>
      </c>
      <c r="AD56" s="89" t="str">
        <f t="shared" si="33"/>
        <v>ok</v>
      </c>
      <c r="AE56" s="89" t="str">
        <f t="shared" si="33"/>
        <v>ok</v>
      </c>
      <c r="AF56" s="89" t="str">
        <f t="shared" si="33"/>
        <v>ok</v>
      </c>
      <c r="AG56" s="89" t="str">
        <f t="shared" si="33"/>
        <v>ok</v>
      </c>
      <c r="AH56" s="89" t="str">
        <f t="shared" si="33"/>
        <v>ok</v>
      </c>
      <c r="AI56" s="89" t="str">
        <f t="shared" ref="AI56:BN56" si="34">IF(AI37+AI48=AI49,"ok","エラー")</f>
        <v>ok</v>
      </c>
      <c r="AJ56" s="89" t="str">
        <f t="shared" si="34"/>
        <v>ok</v>
      </c>
      <c r="AK56" s="89" t="str">
        <f t="shared" si="34"/>
        <v>ok</v>
      </c>
      <c r="AL56" s="89" t="str">
        <f t="shared" si="34"/>
        <v>ok</v>
      </c>
      <c r="AM56" s="89" t="str">
        <f t="shared" si="34"/>
        <v>ok</v>
      </c>
      <c r="AN56" s="89" t="str">
        <f t="shared" si="34"/>
        <v>ok</v>
      </c>
      <c r="AO56" s="89" t="str">
        <f t="shared" si="34"/>
        <v>ok</v>
      </c>
      <c r="AP56" s="89" t="str">
        <f t="shared" si="34"/>
        <v>ok</v>
      </c>
      <c r="AQ56" s="89" t="str">
        <f t="shared" si="34"/>
        <v>ok</v>
      </c>
      <c r="AR56" s="89" t="str">
        <f t="shared" si="34"/>
        <v>ok</v>
      </c>
      <c r="AS56" s="89" t="str">
        <f t="shared" si="34"/>
        <v>ok</v>
      </c>
      <c r="AT56" s="89" t="str">
        <f t="shared" si="34"/>
        <v>ok</v>
      </c>
      <c r="AU56" s="89" t="str">
        <f t="shared" si="34"/>
        <v>ok</v>
      </c>
      <c r="AV56" s="89" t="str">
        <f t="shared" si="34"/>
        <v>ok</v>
      </c>
      <c r="AW56" s="89" t="str">
        <f t="shared" si="34"/>
        <v>ok</v>
      </c>
      <c r="AX56" s="89" t="str">
        <f t="shared" si="34"/>
        <v>ok</v>
      </c>
      <c r="AY56" s="89" t="str">
        <f t="shared" si="34"/>
        <v>ok</v>
      </c>
      <c r="AZ56" s="89" t="str">
        <f t="shared" si="34"/>
        <v>ok</v>
      </c>
      <c r="BA56" s="89" t="str">
        <f t="shared" si="34"/>
        <v>ok</v>
      </c>
      <c r="BB56" s="89" t="str">
        <f t="shared" si="34"/>
        <v>ok</v>
      </c>
      <c r="BC56" s="89" t="str">
        <f t="shared" si="34"/>
        <v>ok</v>
      </c>
      <c r="BD56" s="89" t="str">
        <f t="shared" si="34"/>
        <v>ok</v>
      </c>
      <c r="BE56" s="89" t="str">
        <f t="shared" si="34"/>
        <v>ok</v>
      </c>
      <c r="BF56" s="89" t="str">
        <f t="shared" si="34"/>
        <v>ok</v>
      </c>
      <c r="BG56" s="89" t="str">
        <f t="shared" si="34"/>
        <v>ok</v>
      </c>
      <c r="BH56" s="89" t="str">
        <f t="shared" si="34"/>
        <v>ok</v>
      </c>
      <c r="BI56" s="89" t="str">
        <f t="shared" si="34"/>
        <v>ok</v>
      </c>
      <c r="BJ56" s="89" t="str">
        <f t="shared" si="34"/>
        <v>ok</v>
      </c>
      <c r="BK56" s="89" t="str">
        <f t="shared" si="34"/>
        <v>ok</v>
      </c>
      <c r="BL56" s="89" t="str">
        <f t="shared" si="34"/>
        <v>ok</v>
      </c>
      <c r="BM56" s="89" t="str">
        <f t="shared" si="34"/>
        <v>ok</v>
      </c>
      <c r="BN56" s="89" t="str">
        <f t="shared" si="34"/>
        <v>ok</v>
      </c>
      <c r="BO56" s="89" t="str">
        <f t="shared" ref="BO56:CT56" si="35">IF(BO37+BO48=BO49,"ok","エラー")</f>
        <v>ok</v>
      </c>
      <c r="BP56" s="89" t="str">
        <f t="shared" si="35"/>
        <v>ok</v>
      </c>
      <c r="BQ56" s="89" t="str">
        <f t="shared" si="35"/>
        <v>ok</v>
      </c>
      <c r="BR56" s="89" t="str">
        <f t="shared" si="35"/>
        <v>ok</v>
      </c>
      <c r="BS56" s="89" t="str">
        <f t="shared" si="35"/>
        <v>ok</v>
      </c>
      <c r="BT56" s="89" t="str">
        <f t="shared" si="35"/>
        <v>ok</v>
      </c>
      <c r="BU56" s="89" t="str">
        <f t="shared" si="35"/>
        <v>ok</v>
      </c>
      <c r="BV56" s="89" t="str">
        <f t="shared" si="35"/>
        <v>ok</v>
      </c>
      <c r="BW56" s="89" t="str">
        <f t="shared" si="35"/>
        <v>ok</v>
      </c>
      <c r="BX56" s="89" t="str">
        <f t="shared" si="35"/>
        <v>ok</v>
      </c>
      <c r="BY56" s="89" t="str">
        <f t="shared" si="35"/>
        <v>ok</v>
      </c>
      <c r="BZ56" s="89" t="str">
        <f t="shared" si="35"/>
        <v>ok</v>
      </c>
      <c r="CA56" s="89" t="str">
        <f t="shared" si="35"/>
        <v>ok</v>
      </c>
      <c r="CB56" s="89" t="str">
        <f t="shared" si="35"/>
        <v>ok</v>
      </c>
      <c r="CC56" s="89" t="str">
        <f t="shared" si="35"/>
        <v>ok</v>
      </c>
      <c r="CD56" s="89" t="str">
        <f t="shared" si="35"/>
        <v>ok</v>
      </c>
      <c r="CE56" s="89" t="str">
        <f t="shared" si="35"/>
        <v>ok</v>
      </c>
      <c r="CF56" s="89" t="str">
        <f t="shared" si="35"/>
        <v>ok</v>
      </c>
      <c r="CG56" s="89" t="str">
        <f t="shared" si="35"/>
        <v>ok</v>
      </c>
      <c r="CH56" s="89" t="str">
        <f t="shared" si="35"/>
        <v>ok</v>
      </c>
      <c r="CI56" s="89" t="str">
        <f t="shared" si="35"/>
        <v>ok</v>
      </c>
      <c r="CJ56" s="89" t="str">
        <f t="shared" si="35"/>
        <v>ok</v>
      </c>
      <c r="CK56" s="89" t="str">
        <f t="shared" si="35"/>
        <v>ok</v>
      </c>
      <c r="CL56" s="89" t="str">
        <f t="shared" si="35"/>
        <v>ok</v>
      </c>
      <c r="CM56" s="89" t="str">
        <f t="shared" si="35"/>
        <v>ok</v>
      </c>
      <c r="CN56" s="89" t="str">
        <f t="shared" si="35"/>
        <v>ok</v>
      </c>
      <c r="CO56" s="89" t="str">
        <f t="shared" si="35"/>
        <v>ok</v>
      </c>
      <c r="CP56" s="89" t="str">
        <f t="shared" si="35"/>
        <v>ok</v>
      </c>
      <c r="CQ56" s="89" t="str">
        <f t="shared" si="35"/>
        <v>ok</v>
      </c>
      <c r="CR56" s="89" t="str">
        <f t="shared" si="35"/>
        <v>ok</v>
      </c>
      <c r="CS56" s="89" t="str">
        <f t="shared" si="35"/>
        <v>ok</v>
      </c>
      <c r="CT56" s="89" t="str">
        <f t="shared" si="35"/>
        <v>ok</v>
      </c>
      <c r="CU56" s="89" t="str">
        <f t="shared" ref="CU56:DZ56" si="36">IF(CU37+CU48=CU49,"ok","エラー")</f>
        <v>ok</v>
      </c>
      <c r="CV56" s="89" t="str">
        <f t="shared" si="36"/>
        <v>ok</v>
      </c>
      <c r="CW56" s="89" t="str">
        <f t="shared" si="36"/>
        <v>ok</v>
      </c>
      <c r="CX56" s="89" t="str">
        <f t="shared" si="36"/>
        <v>ok</v>
      </c>
      <c r="CY56" s="89" t="str">
        <f t="shared" si="36"/>
        <v>ok</v>
      </c>
      <c r="CZ56" s="89" t="str">
        <f t="shared" si="36"/>
        <v>ok</v>
      </c>
      <c r="DA56" s="89" t="str">
        <f t="shared" si="36"/>
        <v>ok</v>
      </c>
      <c r="DB56" s="89" t="str">
        <f t="shared" si="36"/>
        <v>ok</v>
      </c>
      <c r="DC56" s="89" t="str">
        <f t="shared" si="36"/>
        <v>ok</v>
      </c>
      <c r="DD56" s="89" t="str">
        <f t="shared" si="36"/>
        <v>ok</v>
      </c>
      <c r="DE56" s="89" t="str">
        <f t="shared" si="36"/>
        <v>ok</v>
      </c>
      <c r="DF56" s="89" t="str">
        <f t="shared" si="36"/>
        <v>ok</v>
      </c>
      <c r="DG56" s="89" t="str">
        <f t="shared" si="36"/>
        <v>ok</v>
      </c>
      <c r="DH56" s="89" t="str">
        <f t="shared" si="36"/>
        <v>ok</v>
      </c>
      <c r="DI56" s="89" t="str">
        <f t="shared" si="36"/>
        <v>ok</v>
      </c>
      <c r="DJ56" s="89" t="str">
        <f t="shared" si="36"/>
        <v>ok</v>
      </c>
      <c r="DK56" s="89" t="str">
        <f t="shared" si="36"/>
        <v>ok</v>
      </c>
      <c r="DL56" s="89" t="str">
        <f t="shared" si="36"/>
        <v>ok</v>
      </c>
      <c r="DM56" s="89" t="str">
        <f t="shared" si="36"/>
        <v>ok</v>
      </c>
      <c r="DN56" s="89" t="str">
        <f t="shared" si="36"/>
        <v>ok</v>
      </c>
      <c r="DO56" s="89" t="str">
        <f t="shared" si="36"/>
        <v>ok</v>
      </c>
      <c r="DP56" s="89" t="str">
        <f t="shared" si="36"/>
        <v>ok</v>
      </c>
      <c r="DQ56" s="89" t="str">
        <f t="shared" si="36"/>
        <v>ok</v>
      </c>
      <c r="DR56" s="89" t="str">
        <f t="shared" si="36"/>
        <v>ok</v>
      </c>
      <c r="DS56" s="89" t="str">
        <f t="shared" si="36"/>
        <v>ok</v>
      </c>
      <c r="DT56" s="89" t="str">
        <f t="shared" si="36"/>
        <v>ok</v>
      </c>
      <c r="DU56" s="89" t="str">
        <f t="shared" si="36"/>
        <v>ok</v>
      </c>
      <c r="DV56" s="89" t="str">
        <f t="shared" si="36"/>
        <v>ok</v>
      </c>
      <c r="DW56" s="89" t="str">
        <f t="shared" si="36"/>
        <v>ok</v>
      </c>
      <c r="DX56" s="89" t="str">
        <f t="shared" si="36"/>
        <v>ok</v>
      </c>
      <c r="DY56" s="89" t="str">
        <f t="shared" si="36"/>
        <v>ok</v>
      </c>
      <c r="DZ56" s="89" t="str">
        <f t="shared" si="36"/>
        <v>ok</v>
      </c>
      <c r="EA56" s="89" t="str">
        <f t="shared" ref="EA56:FF56" si="37">IF(EA37+EA48=EA49,"ok","エラー")</f>
        <v>ok</v>
      </c>
      <c r="EB56" s="89" t="str">
        <f t="shared" si="37"/>
        <v>ok</v>
      </c>
      <c r="EC56" s="89" t="str">
        <f t="shared" si="37"/>
        <v>ok</v>
      </c>
      <c r="ED56" s="89" t="str">
        <f t="shared" si="37"/>
        <v>ok</v>
      </c>
      <c r="EE56" s="89" t="str">
        <f t="shared" si="37"/>
        <v>ok</v>
      </c>
      <c r="EF56" s="89" t="str">
        <f t="shared" si="37"/>
        <v>ok</v>
      </c>
      <c r="EG56" s="89" t="str">
        <f t="shared" si="37"/>
        <v>ok</v>
      </c>
      <c r="EH56" s="89" t="str">
        <f t="shared" si="37"/>
        <v>ok</v>
      </c>
      <c r="EI56" s="89" t="str">
        <f t="shared" si="37"/>
        <v>ok</v>
      </c>
      <c r="EJ56" s="89" t="str">
        <f t="shared" si="37"/>
        <v>ok</v>
      </c>
      <c r="EK56" s="89" t="str">
        <f t="shared" si="37"/>
        <v>ok</v>
      </c>
      <c r="EL56" s="89" t="str">
        <f t="shared" si="37"/>
        <v>ok</v>
      </c>
      <c r="EM56" s="89" t="str">
        <f t="shared" si="37"/>
        <v>ok</v>
      </c>
      <c r="EN56" s="89" t="str">
        <f t="shared" si="37"/>
        <v>ok</v>
      </c>
      <c r="EO56" s="89" t="str">
        <f t="shared" si="37"/>
        <v>ok</v>
      </c>
      <c r="EP56" s="89" t="str">
        <f t="shared" si="37"/>
        <v>ok</v>
      </c>
      <c r="EQ56" s="89" t="str">
        <f t="shared" si="37"/>
        <v>ok</v>
      </c>
      <c r="ER56" s="89" t="str">
        <f t="shared" si="37"/>
        <v>ok</v>
      </c>
      <c r="ES56" s="89" t="str">
        <f t="shared" si="37"/>
        <v>ok</v>
      </c>
      <c r="ET56" s="89" t="str">
        <f t="shared" si="37"/>
        <v>ok</v>
      </c>
      <c r="EU56" s="89" t="str">
        <f t="shared" si="37"/>
        <v>ok</v>
      </c>
      <c r="EV56" s="89" t="str">
        <f t="shared" si="37"/>
        <v>ok</v>
      </c>
      <c r="EW56" s="89" t="str">
        <f t="shared" si="37"/>
        <v>ok</v>
      </c>
      <c r="EX56" s="89" t="str">
        <f t="shared" si="37"/>
        <v>ok</v>
      </c>
      <c r="EY56" s="89" t="str">
        <f t="shared" si="37"/>
        <v>ok</v>
      </c>
      <c r="EZ56" s="89" t="str">
        <f t="shared" si="37"/>
        <v>ok</v>
      </c>
      <c r="FA56" s="89" t="str">
        <f t="shared" si="37"/>
        <v>ok</v>
      </c>
      <c r="FB56" s="89" t="str">
        <f t="shared" si="37"/>
        <v>ok</v>
      </c>
      <c r="FC56" s="89" t="str">
        <f t="shared" si="37"/>
        <v>ok</v>
      </c>
      <c r="FD56" s="89" t="str">
        <f t="shared" si="37"/>
        <v>ok</v>
      </c>
      <c r="FE56" s="89" t="str">
        <f t="shared" si="37"/>
        <v>ok</v>
      </c>
      <c r="FF56" s="89" t="str">
        <f t="shared" si="37"/>
        <v>ok</v>
      </c>
      <c r="FG56" s="89" t="str">
        <f t="shared" ref="FG56:FM56" si="38">IF(FG37+FG48=FG49,"ok","エラー")</f>
        <v>ok</v>
      </c>
      <c r="FH56" s="89" t="str">
        <f t="shared" si="38"/>
        <v>ok</v>
      </c>
      <c r="FI56" s="89" t="str">
        <f t="shared" si="38"/>
        <v>エラー</v>
      </c>
      <c r="FJ56" s="89" t="str">
        <f t="shared" si="38"/>
        <v>ok</v>
      </c>
      <c r="FK56" s="89" t="str">
        <f t="shared" si="38"/>
        <v>ok</v>
      </c>
      <c r="FL56" s="89" t="str">
        <f t="shared" si="38"/>
        <v>ok</v>
      </c>
      <c r="FM56" s="89" t="str">
        <f t="shared" si="38"/>
        <v>ok</v>
      </c>
      <c r="FW56" s="89" t="str">
        <f>IF(FW37+FW48=FW49,"ok","エラー")</f>
        <v>ok</v>
      </c>
      <c r="FY56" s="89" t="str">
        <f t="shared" ref="FY56:GD56" si="39">IF(FY37+FY48=FY49,"ok","エラー")</f>
        <v>ok</v>
      </c>
      <c r="FZ56" s="89" t="str">
        <f t="shared" si="39"/>
        <v>ok</v>
      </c>
      <c r="GA56" s="89" t="str">
        <f t="shared" si="39"/>
        <v>ok</v>
      </c>
      <c r="GB56" s="89" t="str">
        <f t="shared" si="39"/>
        <v>ok</v>
      </c>
      <c r="GC56" s="89" t="str">
        <f t="shared" si="39"/>
        <v>ok</v>
      </c>
      <c r="GD56" s="89" t="str">
        <f t="shared" si="39"/>
        <v>ok</v>
      </c>
      <c r="GI56" s="62" t="str">
        <f>IF(GI37+GI48=GI49,"ok","エラー")</f>
        <v>ok</v>
      </c>
    </row>
  </sheetData>
  <mergeCells count="1">
    <mergeCell ref="FO2:FU2"/>
  </mergeCells>
  <phoneticPr fontId="3"/>
  <pageMargins left="0.59055118110236227" right="0.59055118110236227" top="0.98425196850393704" bottom="0.98425196850393704" header="0.51181102362204722" footer="0.51181102362204722"/>
  <pageSetup paperSize="9" fitToWidth="0" orientation="portrait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4">
    <tabColor indexed="15"/>
    <pageSetUpPr fitToPage="1"/>
  </sheetPr>
  <dimension ref="A1:HV56"/>
  <sheetViews>
    <sheetView zoomScale="85" zoomScaleNormal="85" workbookViewId="0">
      <pane xSplit="2" ySplit="5" topLeftCell="FR27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13.10937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12.33203125" style="174" bestFit="1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62" customWidth="1"/>
    <col min="192" max="192" width="8.5546875" style="174" bestFit="1" customWidth="1"/>
    <col min="193" max="193" width="10.33203125" style="174" bestFit="1" customWidth="1"/>
    <col min="194" max="194" width="8.5546875" style="174" bestFit="1" customWidth="1"/>
    <col min="195" max="195" width="9.6640625" style="174" bestFit="1" customWidth="1"/>
    <col min="196" max="196" width="10.33203125" style="174" bestFit="1" customWidth="1"/>
    <col min="197" max="197" width="8.5546875" style="174" bestFit="1" customWidth="1"/>
    <col min="198" max="198" width="11.88671875" style="174" bestFit="1" customWidth="1"/>
    <col min="199" max="199" width="10.33203125" style="174" bestFit="1" customWidth="1"/>
    <col min="200" max="200" width="8.5546875" style="174" bestFit="1" customWidth="1"/>
    <col min="201" max="201" width="9.6640625" style="174" bestFit="1" customWidth="1"/>
    <col min="202" max="202" width="10.33203125" style="174" bestFit="1" customWidth="1"/>
    <col min="203" max="230" width="13.6640625" style="174" customWidth="1"/>
  </cols>
  <sheetData>
    <row r="1" spans="2:230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52">
        <v>190</v>
      </c>
      <c r="GJ1" s="10">
        <v>191</v>
      </c>
      <c r="GK1" s="10">
        <v>192</v>
      </c>
      <c r="GL1" s="10">
        <v>193</v>
      </c>
      <c r="GM1" s="10">
        <v>194</v>
      </c>
      <c r="GN1" s="10">
        <v>195</v>
      </c>
      <c r="GO1" s="10">
        <v>196</v>
      </c>
      <c r="GP1" s="10">
        <v>197</v>
      </c>
      <c r="GQ1" s="10">
        <v>198</v>
      </c>
      <c r="GR1" s="10">
        <v>199</v>
      </c>
      <c r="GS1" s="10">
        <v>200</v>
      </c>
      <c r="GT1" s="10">
        <v>201</v>
      </c>
    </row>
    <row r="2" spans="2:230" x14ac:dyDescent="0.15">
      <c r="C2" s="96" t="s">
        <v>338</v>
      </c>
      <c r="D2" s="29"/>
      <c r="E2" s="96" t="s">
        <v>339</v>
      </c>
      <c r="F2" s="96" t="s">
        <v>340</v>
      </c>
      <c r="G2" s="29"/>
      <c r="H2" s="96" t="s">
        <v>341</v>
      </c>
      <c r="I2" s="96" t="s">
        <v>342</v>
      </c>
      <c r="J2" s="96" t="s">
        <v>343</v>
      </c>
      <c r="K2" s="96" t="s">
        <v>344</v>
      </c>
      <c r="L2" s="96" t="s">
        <v>345</v>
      </c>
      <c r="M2" s="96" t="s">
        <v>346</v>
      </c>
      <c r="N2" s="96" t="s">
        <v>347</v>
      </c>
      <c r="O2" s="96" t="s">
        <v>348</v>
      </c>
      <c r="P2" s="96" t="s">
        <v>349</v>
      </c>
      <c r="Q2" s="96" t="s">
        <v>350</v>
      </c>
      <c r="R2" s="96" t="s">
        <v>351</v>
      </c>
      <c r="S2" s="96"/>
      <c r="T2" s="89"/>
      <c r="U2" s="96" t="s">
        <v>794</v>
      </c>
      <c r="V2" s="96" t="s">
        <v>725</v>
      </c>
      <c r="W2" s="96" t="s">
        <v>354</v>
      </c>
      <c r="X2" s="96" t="s">
        <v>355</v>
      </c>
      <c r="Y2" s="96" t="s">
        <v>664</v>
      </c>
      <c r="Z2" s="96" t="s">
        <v>356</v>
      </c>
      <c r="AA2" s="96" t="s">
        <v>357</v>
      </c>
      <c r="AB2" s="96" t="s">
        <v>358</v>
      </c>
      <c r="AC2" s="96" t="s">
        <v>665</v>
      </c>
      <c r="AD2" s="96" t="s">
        <v>726</v>
      </c>
      <c r="AE2" s="96" t="s">
        <v>362</v>
      </c>
      <c r="AF2" s="96" t="s">
        <v>363</v>
      </c>
      <c r="AG2" s="96" t="s">
        <v>364</v>
      </c>
      <c r="AH2" s="89"/>
      <c r="AI2" s="96" t="s">
        <v>684</v>
      </c>
      <c r="AJ2" s="96" t="s">
        <v>727</v>
      </c>
      <c r="AK2" s="96" t="s">
        <v>368</v>
      </c>
      <c r="AL2" s="29"/>
      <c r="AM2" s="96" t="s">
        <v>728</v>
      </c>
      <c r="AN2" s="96" t="s">
        <v>686</v>
      </c>
      <c r="AO2" s="96"/>
      <c r="AP2" s="96" t="s">
        <v>369</v>
      </c>
      <c r="AQ2" s="96" t="s">
        <v>371</v>
      </c>
      <c r="AR2" s="96" t="s">
        <v>372</v>
      </c>
      <c r="AS2" s="96" t="s">
        <v>783</v>
      </c>
      <c r="AT2" s="96" t="s">
        <v>376</v>
      </c>
      <c r="AU2" s="96" t="s">
        <v>377</v>
      </c>
      <c r="AV2" s="96" t="s">
        <v>378</v>
      </c>
      <c r="AW2" s="96" t="s">
        <v>688</v>
      </c>
      <c r="AX2" s="96" t="s">
        <v>380</v>
      </c>
      <c r="AY2" s="96" t="s">
        <v>381</v>
      </c>
      <c r="AZ2" s="96" t="s">
        <v>710</v>
      </c>
      <c r="BA2" s="96" t="s">
        <v>690</v>
      </c>
      <c r="BB2" s="96" t="s">
        <v>711</v>
      </c>
      <c r="BC2" s="96" t="s">
        <v>384</v>
      </c>
      <c r="BD2" s="96" t="s">
        <v>386</v>
      </c>
      <c r="BE2" s="96" t="s">
        <v>387</v>
      </c>
      <c r="BF2" s="96" t="s">
        <v>388</v>
      </c>
      <c r="BG2" s="96" t="s">
        <v>389</v>
      </c>
      <c r="BH2" s="96" t="s">
        <v>692</v>
      </c>
      <c r="BI2" s="96" t="s">
        <v>739</v>
      </c>
      <c r="BJ2" s="96" t="s">
        <v>385</v>
      </c>
      <c r="BK2" s="96" t="s">
        <v>392</v>
      </c>
      <c r="BL2" s="96" t="s">
        <v>694</v>
      </c>
      <c r="BM2" s="96" t="s">
        <v>393</v>
      </c>
      <c r="BN2" s="96" t="s">
        <v>696</v>
      </c>
      <c r="BO2" s="29"/>
      <c r="BP2" s="29"/>
      <c r="BQ2" s="96"/>
      <c r="BR2" s="173" t="s">
        <v>777</v>
      </c>
      <c r="BS2" s="96" t="s">
        <v>751</v>
      </c>
      <c r="BT2" s="96" t="s">
        <v>784</v>
      </c>
      <c r="BU2" s="96" t="s">
        <v>785</v>
      </c>
      <c r="BV2" s="89"/>
      <c r="BW2" s="96" t="s">
        <v>402</v>
      </c>
      <c r="BX2" s="96" t="s">
        <v>403</v>
      </c>
      <c r="BY2" s="96" t="s">
        <v>786</v>
      </c>
      <c r="BZ2" s="96" t="s">
        <v>405</v>
      </c>
      <c r="CA2" s="96" t="s">
        <v>406</v>
      </c>
      <c r="CB2" s="96" t="s">
        <v>407</v>
      </c>
      <c r="CC2" s="96" t="s">
        <v>408</v>
      </c>
      <c r="CD2" s="96" t="s">
        <v>409</v>
      </c>
      <c r="CE2" s="96" t="s">
        <v>410</v>
      </c>
      <c r="CF2" s="96" t="s">
        <v>411</v>
      </c>
      <c r="CG2" s="96" t="s">
        <v>412</v>
      </c>
      <c r="CH2" s="96" t="s">
        <v>413</v>
      </c>
      <c r="CI2" s="96" t="s">
        <v>787</v>
      </c>
      <c r="CJ2" s="28"/>
      <c r="CK2" s="96" t="s">
        <v>415</v>
      </c>
      <c r="CL2" s="96" t="s">
        <v>720</v>
      </c>
      <c r="CM2" s="96" t="s">
        <v>417</v>
      </c>
      <c r="CN2" s="96" t="s">
        <v>721</v>
      </c>
      <c r="CO2" s="96" t="s">
        <v>419</v>
      </c>
      <c r="CP2" s="96" t="s">
        <v>420</v>
      </c>
      <c r="CQ2" s="96" t="s">
        <v>421</v>
      </c>
      <c r="CR2" s="96" t="s">
        <v>422</v>
      </c>
      <c r="CS2" s="96" t="s">
        <v>423</v>
      </c>
      <c r="CT2" s="28"/>
      <c r="CU2" s="96" t="s">
        <v>424</v>
      </c>
      <c r="CV2" s="96" t="s">
        <v>425</v>
      </c>
      <c r="CW2" s="89"/>
      <c r="CX2" s="96" t="s">
        <v>426</v>
      </c>
      <c r="CY2" s="96" t="s">
        <v>427</v>
      </c>
      <c r="CZ2" s="89"/>
      <c r="DA2" s="96" t="s">
        <v>428</v>
      </c>
      <c r="DB2" s="96" t="s">
        <v>429</v>
      </c>
      <c r="DC2" s="96" t="s">
        <v>430</v>
      </c>
      <c r="DD2" s="96" t="s">
        <v>431</v>
      </c>
      <c r="DE2" s="96" t="s">
        <v>432</v>
      </c>
      <c r="DF2" s="96" t="s">
        <v>433</v>
      </c>
      <c r="DG2" s="96" t="s">
        <v>434</v>
      </c>
      <c r="DH2" s="96" t="s">
        <v>435</v>
      </c>
      <c r="DI2" s="96" t="s">
        <v>436</v>
      </c>
      <c r="DJ2" s="96" t="s">
        <v>437</v>
      </c>
      <c r="DK2" s="96" t="s">
        <v>438</v>
      </c>
      <c r="DL2" s="96" t="s">
        <v>439</v>
      </c>
      <c r="DM2" s="96" t="s">
        <v>440</v>
      </c>
      <c r="DN2" s="96" t="s">
        <v>441</v>
      </c>
      <c r="DO2" s="96" t="s">
        <v>442</v>
      </c>
      <c r="DP2" s="96" t="s">
        <v>443</v>
      </c>
      <c r="DQ2" s="96" t="s">
        <v>444</v>
      </c>
      <c r="DR2" s="96" t="s">
        <v>445</v>
      </c>
      <c r="DS2" s="96" t="s">
        <v>446</v>
      </c>
      <c r="DT2" s="96" t="s">
        <v>447</v>
      </c>
      <c r="DU2" s="96" t="s">
        <v>448</v>
      </c>
      <c r="DV2" s="89"/>
      <c r="DW2" s="96" t="s">
        <v>449</v>
      </c>
      <c r="DX2" s="49" t="s">
        <v>450</v>
      </c>
      <c r="DY2" s="96" t="s">
        <v>451</v>
      </c>
      <c r="DZ2" s="96" t="s">
        <v>452</v>
      </c>
      <c r="EA2" s="96" t="s">
        <v>453</v>
      </c>
      <c r="EB2" s="96" t="s">
        <v>454</v>
      </c>
      <c r="EC2" s="96" t="s">
        <v>455</v>
      </c>
      <c r="ED2" s="96" t="s">
        <v>456</v>
      </c>
      <c r="EE2" s="89"/>
      <c r="EF2" s="96" t="s">
        <v>457</v>
      </c>
      <c r="EG2" s="96" t="s">
        <v>458</v>
      </c>
      <c r="EH2" s="96" t="s">
        <v>459</v>
      </c>
      <c r="EI2" s="96" t="s">
        <v>460</v>
      </c>
      <c r="EJ2" s="96" t="s">
        <v>461</v>
      </c>
      <c r="EK2" s="89"/>
      <c r="EL2" s="89"/>
      <c r="EM2" s="46"/>
      <c r="EN2" s="96" t="s">
        <v>464</v>
      </c>
      <c r="EO2" s="96" t="s">
        <v>465</v>
      </c>
      <c r="EP2" s="89"/>
      <c r="EQ2" s="96" t="s">
        <v>466</v>
      </c>
      <c r="ER2" s="96" t="s">
        <v>467</v>
      </c>
      <c r="ES2" s="96" t="s">
        <v>468</v>
      </c>
      <c r="ET2" s="96" t="s">
        <v>469</v>
      </c>
      <c r="EU2" s="96" t="s">
        <v>470</v>
      </c>
      <c r="EV2" s="96" t="s">
        <v>471</v>
      </c>
      <c r="EW2" s="28"/>
      <c r="EX2" s="96" t="s">
        <v>472</v>
      </c>
      <c r="EY2" s="96" t="s">
        <v>473</v>
      </c>
      <c r="EZ2" s="96" t="s">
        <v>474</v>
      </c>
      <c r="FA2" s="96" t="s">
        <v>475</v>
      </c>
      <c r="FB2" s="96" t="s">
        <v>476</v>
      </c>
      <c r="FC2" s="96" t="s">
        <v>477</v>
      </c>
      <c r="FD2" s="96" t="s">
        <v>478</v>
      </c>
      <c r="FE2" s="96" t="s">
        <v>479</v>
      </c>
      <c r="FF2" s="96" t="s">
        <v>480</v>
      </c>
      <c r="FG2" s="89"/>
      <c r="FH2" s="96" t="s">
        <v>481</v>
      </c>
      <c r="FI2" s="89"/>
      <c r="FJ2" s="50"/>
      <c r="FK2" s="172" t="s">
        <v>483</v>
      </c>
      <c r="FL2" s="172"/>
      <c r="FM2" s="172"/>
      <c r="FN2" s="172" t="s">
        <v>789</v>
      </c>
      <c r="FO2" s="172"/>
      <c r="FP2" s="172"/>
      <c r="FQ2" s="172"/>
      <c r="FR2" s="172"/>
      <c r="FS2" s="172"/>
      <c r="FT2" s="172"/>
      <c r="FU2" s="172"/>
      <c r="FV2" s="89"/>
      <c r="FW2" s="96" t="s">
        <v>790</v>
      </c>
      <c r="FX2" s="89"/>
      <c r="FY2" s="96" t="s">
        <v>490</v>
      </c>
      <c r="FZ2" s="96" t="s">
        <v>491</v>
      </c>
      <c r="GA2" s="96" t="s">
        <v>492</v>
      </c>
      <c r="GB2" s="96" t="s">
        <v>493</v>
      </c>
      <c r="GC2" s="46"/>
      <c r="GD2" s="46"/>
      <c r="GE2" s="89"/>
      <c r="GF2" s="46"/>
      <c r="GG2" s="46"/>
      <c r="GH2" s="46"/>
      <c r="GI2" s="53"/>
      <c r="GJ2" s="46" t="s">
        <v>329</v>
      </c>
      <c r="GK2" s="46"/>
      <c r="GL2" s="46"/>
      <c r="GM2" s="46"/>
      <c r="GN2" s="46"/>
      <c r="GO2" s="46"/>
      <c r="GP2" s="46"/>
      <c r="GQ2" s="46"/>
      <c r="GR2" s="46"/>
      <c r="GS2" s="46"/>
      <c r="GT2" s="46"/>
    </row>
    <row r="3" spans="2:230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159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V3" s="89"/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48"/>
      <c r="DY3" s="30"/>
      <c r="DZ3" s="30"/>
      <c r="EA3" s="30"/>
      <c r="EB3" s="30"/>
      <c r="EC3" s="30" t="s">
        <v>513</v>
      </c>
      <c r="ED3" s="30" t="s">
        <v>514</v>
      </c>
      <c r="EE3" s="89"/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K3" s="89"/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48" t="s">
        <v>517</v>
      </c>
      <c r="FJ3" s="48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P3" s="89"/>
      <c r="FQ3" s="89"/>
      <c r="FR3" s="89"/>
      <c r="FS3" s="89"/>
      <c r="FT3" s="89"/>
      <c r="FU3" s="89"/>
      <c r="FV3" s="30" t="s">
        <v>529</v>
      </c>
      <c r="FW3" s="30" t="s">
        <v>308</v>
      </c>
      <c r="FX3" s="48" t="s">
        <v>530</v>
      </c>
      <c r="FY3" s="30" t="s">
        <v>312</v>
      </c>
      <c r="FZ3" s="89"/>
      <c r="GA3" s="89"/>
      <c r="GB3" s="89"/>
      <c r="GC3" s="89"/>
      <c r="GD3" s="30" t="s">
        <v>531</v>
      </c>
      <c r="GE3" s="48" t="s">
        <v>530</v>
      </c>
      <c r="GF3" s="30" t="s">
        <v>532</v>
      </c>
      <c r="GG3" s="89"/>
      <c r="GH3" s="89"/>
      <c r="GI3" s="30" t="s">
        <v>706</v>
      </c>
      <c r="GJ3" s="89" t="s">
        <v>534</v>
      </c>
      <c r="GM3" s="89" t="s">
        <v>535</v>
      </c>
      <c r="GP3" s="89" t="s">
        <v>529</v>
      </c>
      <c r="GS3" s="89" t="s">
        <v>536</v>
      </c>
    </row>
    <row r="4" spans="2:230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 t="s">
        <v>565</v>
      </c>
      <c r="BS4" s="31"/>
      <c r="BT4" s="30" t="s">
        <v>193</v>
      </c>
      <c r="BU4" s="30"/>
      <c r="BV4" s="89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570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48" t="s">
        <v>589</v>
      </c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E4" s="89"/>
      <c r="EF4" s="89"/>
      <c r="EG4" s="89"/>
      <c r="EH4" s="89"/>
      <c r="EI4" s="89"/>
      <c r="EJ4" s="89"/>
      <c r="EK4" s="89"/>
      <c r="EL4" s="29" t="s">
        <v>758</v>
      </c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48" t="s">
        <v>596</v>
      </c>
      <c r="FJ4" s="48" t="s">
        <v>597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W4" s="89"/>
      <c r="FX4" s="48" t="s">
        <v>601</v>
      </c>
      <c r="FY4" s="89"/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48" t="s">
        <v>601</v>
      </c>
      <c r="GF4" s="30" t="s">
        <v>604</v>
      </c>
      <c r="GG4" s="30" t="s">
        <v>605</v>
      </c>
      <c r="GH4" s="30" t="s">
        <v>606</v>
      </c>
      <c r="GI4" s="30" t="s">
        <v>755</v>
      </c>
      <c r="GJ4" s="30" t="s">
        <v>608</v>
      </c>
      <c r="GK4" s="89" t="s">
        <v>609</v>
      </c>
      <c r="GL4" s="89" t="s">
        <v>610</v>
      </c>
      <c r="GM4" s="89" t="s">
        <v>608</v>
      </c>
      <c r="GN4" s="89" t="s">
        <v>609</v>
      </c>
      <c r="GO4" s="89" t="s">
        <v>610</v>
      </c>
      <c r="GP4" s="89" t="s">
        <v>596</v>
      </c>
      <c r="GQ4" s="89" t="s">
        <v>609</v>
      </c>
      <c r="GR4" s="89" t="s">
        <v>610</v>
      </c>
      <c r="GS4" s="89" t="s">
        <v>611</v>
      </c>
      <c r="GT4" s="89" t="s">
        <v>609</v>
      </c>
    </row>
    <row r="5" spans="2:230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47" t="s">
        <v>624</v>
      </c>
      <c r="BS5" s="30" t="s">
        <v>625</v>
      </c>
      <c r="BT5" s="30"/>
      <c r="BU5" s="30"/>
      <c r="BV5" s="89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635</v>
      </c>
      <c r="DX5" s="48"/>
      <c r="DY5" s="30"/>
      <c r="DZ5" s="30"/>
      <c r="EA5" s="30"/>
      <c r="EB5" s="30"/>
      <c r="EC5" s="30"/>
      <c r="ED5" s="30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30" t="s">
        <v>595</v>
      </c>
      <c r="EZ5" s="30" t="s">
        <v>595</v>
      </c>
      <c r="FA5" s="89"/>
      <c r="FB5" s="89"/>
      <c r="FC5" s="89"/>
      <c r="FD5" s="89"/>
      <c r="FE5" s="89"/>
      <c r="FF5" s="89"/>
      <c r="FG5" s="89"/>
      <c r="FH5" s="89"/>
      <c r="FI5" s="51" t="s">
        <v>638</v>
      </c>
      <c r="FJ5" s="51"/>
      <c r="FK5" s="30" t="s">
        <v>639</v>
      </c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30" t="s">
        <v>600</v>
      </c>
      <c r="FW5" s="89"/>
      <c r="FX5" s="51" t="s">
        <v>638</v>
      </c>
      <c r="FY5" s="89"/>
      <c r="FZ5" s="89"/>
      <c r="GA5" s="89"/>
      <c r="GB5" s="89"/>
      <c r="GC5" s="89"/>
      <c r="GD5" s="89"/>
      <c r="GE5" s="51" t="s">
        <v>641</v>
      </c>
      <c r="GF5" s="89"/>
      <c r="GG5" s="89"/>
      <c r="GH5" s="89"/>
      <c r="GJ5" s="89"/>
      <c r="GK5" s="43" t="s">
        <v>643</v>
      </c>
      <c r="GL5" s="30" t="s">
        <v>644</v>
      </c>
      <c r="GM5" s="89"/>
      <c r="GN5" s="43" t="s">
        <v>643</v>
      </c>
      <c r="GO5" s="30" t="s">
        <v>644</v>
      </c>
      <c r="GP5" s="89"/>
      <c r="GQ5" s="43" t="s">
        <v>643</v>
      </c>
      <c r="GR5" s="30" t="s">
        <v>644</v>
      </c>
      <c r="GT5" s="43" t="s">
        <v>643</v>
      </c>
    </row>
    <row r="6" spans="2:230" x14ac:dyDescent="0.15">
      <c r="B6" s="89" t="s">
        <v>5</v>
      </c>
      <c r="C6" s="272">
        <v>24766545</v>
      </c>
      <c r="D6" s="455">
        <f t="shared" ref="D6:D49" si="0">E6+F6</f>
        <v>9280912</v>
      </c>
      <c r="E6" s="272">
        <v>248372</v>
      </c>
      <c r="F6" s="456">
        <v>9032540</v>
      </c>
      <c r="G6" s="455">
        <f t="shared" ref="G6:G49" si="1">H6+I6</f>
        <v>1850270</v>
      </c>
      <c r="H6" s="272">
        <v>439260</v>
      </c>
      <c r="I6" s="272">
        <v>1411010</v>
      </c>
      <c r="J6" s="272">
        <v>9976045</v>
      </c>
      <c r="K6" s="272">
        <v>4276801</v>
      </c>
      <c r="L6" s="272">
        <v>4319543</v>
      </c>
      <c r="M6" s="272">
        <v>1132118</v>
      </c>
      <c r="N6" s="272">
        <v>1384711</v>
      </c>
      <c r="O6" s="272">
        <v>1999902</v>
      </c>
      <c r="P6" s="272">
        <v>1126457</v>
      </c>
      <c r="Q6" s="272">
        <v>873445</v>
      </c>
      <c r="R6" s="272">
        <v>437499</v>
      </c>
      <c r="S6" s="272">
        <v>0</v>
      </c>
      <c r="T6" s="455">
        <f t="shared" ref="T6:T49" si="2">SUM(U6:AA6)</f>
        <v>2337713</v>
      </c>
      <c r="U6" s="272">
        <v>151092</v>
      </c>
      <c r="V6" s="272">
        <v>59400</v>
      </c>
      <c r="W6" s="456">
        <v>21170</v>
      </c>
      <c r="X6" s="272">
        <v>1688292</v>
      </c>
      <c r="Y6" s="272">
        <v>58215</v>
      </c>
      <c r="Z6" s="272">
        <v>0</v>
      </c>
      <c r="AA6" s="272">
        <v>359544</v>
      </c>
      <c r="AB6" s="272">
        <v>463933</v>
      </c>
      <c r="AC6" s="272">
        <v>12558455</v>
      </c>
      <c r="AD6" s="272">
        <v>12368207</v>
      </c>
      <c r="AE6" s="272">
        <v>190248</v>
      </c>
      <c r="AF6" s="272">
        <v>41267</v>
      </c>
      <c r="AG6" s="272">
        <v>605431</v>
      </c>
      <c r="AH6" s="455">
        <f t="shared" ref="AH6:AH49" si="3">AI6+AJ6</f>
        <v>1538255</v>
      </c>
      <c r="AI6" s="272">
        <v>1371130</v>
      </c>
      <c r="AJ6" s="272">
        <v>167125</v>
      </c>
      <c r="AK6" s="272">
        <v>12262160</v>
      </c>
      <c r="AL6" s="455">
        <f t="shared" ref="AL6:AL49" si="4">SUM(AM6:AP6)</f>
        <v>5294306</v>
      </c>
      <c r="AM6" s="272">
        <v>4648826</v>
      </c>
      <c r="AN6" s="272">
        <v>645480</v>
      </c>
      <c r="AO6" s="272">
        <v>0</v>
      </c>
      <c r="AP6" s="272">
        <v>0</v>
      </c>
      <c r="AQ6" s="272">
        <v>749771</v>
      </c>
      <c r="AR6" s="272">
        <v>0</v>
      </c>
      <c r="AS6" s="272">
        <v>0</v>
      </c>
      <c r="AT6" s="272">
        <v>3969097</v>
      </c>
      <c r="AU6" s="272">
        <v>2153447</v>
      </c>
      <c r="AV6" s="272">
        <v>322741</v>
      </c>
      <c r="AW6" s="272">
        <v>419563</v>
      </c>
      <c r="AX6" s="272">
        <v>1815650</v>
      </c>
      <c r="AY6" s="272">
        <v>18225</v>
      </c>
      <c r="AZ6" s="272">
        <v>614744</v>
      </c>
      <c r="BA6" s="272">
        <v>515196</v>
      </c>
      <c r="BB6" s="272">
        <v>16475</v>
      </c>
      <c r="BC6" s="272">
        <v>500348</v>
      </c>
      <c r="BD6" s="272">
        <v>0</v>
      </c>
      <c r="BE6" s="272">
        <v>0</v>
      </c>
      <c r="BF6" s="272">
        <v>105922</v>
      </c>
      <c r="BG6" s="272">
        <v>359179</v>
      </c>
      <c r="BH6" s="272">
        <v>171461</v>
      </c>
      <c r="BI6" s="272">
        <v>79173</v>
      </c>
      <c r="BJ6" s="272">
        <v>1211545</v>
      </c>
      <c r="BK6" s="272">
        <v>31000</v>
      </c>
      <c r="BL6" s="272">
        <v>0</v>
      </c>
      <c r="BM6" s="272">
        <v>368421</v>
      </c>
      <c r="BN6" s="272">
        <v>5668800</v>
      </c>
      <c r="BO6" s="455">
        <f t="shared" ref="BO6:BO49" si="5">BN6-BP6-BT6</f>
        <v>3753100</v>
      </c>
      <c r="BP6" s="455">
        <f t="shared" ref="BP6:BP49" si="6">BQ6+BR6+BS6</f>
        <v>1475700</v>
      </c>
      <c r="BQ6" s="272">
        <v>0</v>
      </c>
      <c r="BR6" s="272">
        <v>0</v>
      </c>
      <c r="BS6" s="272">
        <v>1475700</v>
      </c>
      <c r="BT6" s="272">
        <v>440000</v>
      </c>
      <c r="BU6" s="272">
        <v>67163728</v>
      </c>
      <c r="BV6" s="272"/>
      <c r="BW6" s="272">
        <v>13009780</v>
      </c>
      <c r="BX6" s="272">
        <v>8813260</v>
      </c>
      <c r="BY6" s="272">
        <v>1781279</v>
      </c>
      <c r="BZ6" s="272">
        <v>493316</v>
      </c>
      <c r="CA6" s="272">
        <v>14908230</v>
      </c>
      <c r="CB6" s="272">
        <v>2109430</v>
      </c>
      <c r="CC6" s="272">
        <v>392795</v>
      </c>
      <c r="CD6" s="272">
        <v>5800532</v>
      </c>
      <c r="CE6" s="272">
        <v>6218474</v>
      </c>
      <c r="CF6" s="272">
        <v>0</v>
      </c>
      <c r="CG6" s="272">
        <v>383534</v>
      </c>
      <c r="CH6" s="272">
        <v>9469418</v>
      </c>
      <c r="CI6" s="272">
        <v>7688672</v>
      </c>
      <c r="CJ6" s="455">
        <f t="shared" ref="CJ6:CJ49" si="7">CH6-CI6</f>
        <v>1780746</v>
      </c>
      <c r="CK6" s="272">
        <v>5850315</v>
      </c>
      <c r="CL6" s="272">
        <v>3405379</v>
      </c>
      <c r="CM6" s="272">
        <v>362023</v>
      </c>
      <c r="CN6" s="272">
        <v>824468</v>
      </c>
      <c r="CO6" s="272">
        <v>200162</v>
      </c>
      <c r="CP6" s="272">
        <v>8132641</v>
      </c>
      <c r="CQ6" s="272">
        <v>1674258</v>
      </c>
      <c r="CR6" s="272">
        <v>889675</v>
      </c>
      <c r="CS6" s="272">
        <v>769792</v>
      </c>
      <c r="CT6" s="455">
        <f t="shared" ref="CT6:CT49" si="8">CU6+CV6</f>
        <v>4514476</v>
      </c>
      <c r="CU6" s="272">
        <v>3177325</v>
      </c>
      <c r="CV6" s="272">
        <v>1337151</v>
      </c>
      <c r="CW6" s="455">
        <f t="shared" ref="CW6:CW49" si="9">CX6+CY6</f>
        <v>1700000</v>
      </c>
      <c r="CX6" s="272">
        <v>1678183</v>
      </c>
      <c r="CY6" s="272">
        <v>21817</v>
      </c>
      <c r="CZ6" s="455">
        <f t="shared" ref="CZ6:CZ49" si="10">DA6+DB6</f>
        <v>2786801</v>
      </c>
      <c r="DA6" s="272">
        <v>1471467</v>
      </c>
      <c r="DB6" s="272">
        <v>1315334</v>
      </c>
      <c r="DC6" s="272">
        <v>6269148</v>
      </c>
      <c r="DD6" s="272">
        <v>2190886</v>
      </c>
      <c r="DE6" s="272">
        <v>3924527</v>
      </c>
      <c r="DF6" s="26">
        <v>16274</v>
      </c>
      <c r="DG6" s="27">
        <v>137461</v>
      </c>
      <c r="DH6" s="272">
        <v>1200</v>
      </c>
      <c r="DI6" s="272">
        <v>448862</v>
      </c>
      <c r="DJ6" s="272">
        <v>1716</v>
      </c>
      <c r="DK6" s="272">
        <v>163141</v>
      </c>
      <c r="DL6" s="272">
        <v>284005</v>
      </c>
      <c r="DM6" s="272">
        <v>17000</v>
      </c>
      <c r="DN6" s="272">
        <v>0</v>
      </c>
      <c r="DO6" s="272">
        <v>0</v>
      </c>
      <c r="DP6" s="272">
        <v>0</v>
      </c>
      <c r="DQ6" s="272">
        <v>31000</v>
      </c>
      <c r="DR6" s="272">
        <v>0</v>
      </c>
      <c r="DS6" s="272">
        <v>0</v>
      </c>
      <c r="DT6" s="272">
        <v>5378174</v>
      </c>
      <c r="DU6" s="272">
        <v>0</v>
      </c>
      <c r="DV6" s="455">
        <f t="shared" ref="DV6:DV49" si="11">DW6</f>
        <v>0</v>
      </c>
      <c r="DW6" s="272">
        <v>0</v>
      </c>
      <c r="DX6" s="272">
        <v>1635128</v>
      </c>
      <c r="DY6" s="272">
        <v>0</v>
      </c>
      <c r="DZ6" s="272">
        <v>1513971</v>
      </c>
      <c r="EA6" s="272">
        <v>119769</v>
      </c>
      <c r="EB6" s="272">
        <v>1616786</v>
      </c>
      <c r="EC6" s="272">
        <v>0</v>
      </c>
      <c r="ED6" s="272">
        <v>63715930</v>
      </c>
      <c r="EE6" s="89"/>
      <c r="EF6" s="272">
        <v>3447798</v>
      </c>
      <c r="EG6" s="272">
        <v>2965276</v>
      </c>
      <c r="EH6" s="272">
        <v>482522</v>
      </c>
      <c r="EI6" s="272">
        <v>403349</v>
      </c>
      <c r="EJ6" s="272">
        <v>849918</v>
      </c>
      <c r="EK6" s="89"/>
      <c r="EL6" s="272"/>
      <c r="EM6" s="272">
        <v>201701</v>
      </c>
      <c r="EN6" s="272">
        <v>394426</v>
      </c>
      <c r="EO6" s="272">
        <v>601150</v>
      </c>
      <c r="EP6" s="455">
        <f t="shared" ref="EP6:EP49" si="12">EQ6-ER6-C6-R6-T6-AB6-AC6-BP6-EN6-EO6</f>
        <v>5261739</v>
      </c>
      <c r="EQ6" s="272">
        <v>40605412</v>
      </c>
      <c r="ER6" s="272">
        <v>-7691748</v>
      </c>
      <c r="ES6" s="272">
        <v>11463267</v>
      </c>
      <c r="ET6" s="272">
        <v>7876792</v>
      </c>
      <c r="EU6" s="272">
        <v>5024711</v>
      </c>
      <c r="EV6" s="272">
        <v>9373843</v>
      </c>
      <c r="EW6" s="455">
        <f t="shared" ref="EW6:EW49" si="13">EX6+FA6+FB6</f>
        <v>1322243</v>
      </c>
      <c r="EX6" s="272">
        <v>1321643</v>
      </c>
      <c r="EY6" s="272">
        <v>41618</v>
      </c>
      <c r="EZ6" s="272">
        <v>1271888</v>
      </c>
      <c r="FA6" s="272">
        <v>600</v>
      </c>
      <c r="FB6" s="272">
        <v>0</v>
      </c>
      <c r="FC6" s="272">
        <v>4978199</v>
      </c>
      <c r="FD6" s="272">
        <v>7624669</v>
      </c>
      <c r="FE6" s="272">
        <v>1674258</v>
      </c>
      <c r="FF6" s="272">
        <v>4513880</v>
      </c>
      <c r="FG6" s="455">
        <f t="shared" ref="FG6:FG49" si="14">FH6-ES6-EU6-EV6-EW6-FC6-FD6-FF6</f>
        <v>548550</v>
      </c>
      <c r="FH6" s="272">
        <v>44849362</v>
      </c>
      <c r="FI6" s="459">
        <f t="shared" ref="FI6:FI49" si="15">ROUND(EH6/(FJ6+FK6)*100,1)</f>
        <v>1.2</v>
      </c>
      <c r="FJ6" s="272">
        <v>38548999</v>
      </c>
      <c r="FK6" s="272">
        <v>1475823</v>
      </c>
      <c r="FL6" s="272">
        <v>20183181</v>
      </c>
      <c r="FM6" s="272">
        <v>32568635</v>
      </c>
      <c r="FN6" s="460">
        <v>0.61799999999999999</v>
      </c>
      <c r="FO6" s="388">
        <v>97.2</v>
      </c>
      <c r="FP6" s="388">
        <v>27.2</v>
      </c>
      <c r="FQ6" s="388">
        <v>11.6</v>
      </c>
      <c r="FR6" s="388">
        <v>22.1</v>
      </c>
      <c r="FS6" s="388">
        <v>10.6</v>
      </c>
      <c r="FT6" s="388">
        <v>16.7</v>
      </c>
      <c r="FU6" s="388">
        <v>8.5</v>
      </c>
      <c r="FV6" s="384">
        <f t="shared" ref="FV6:FV49" si="16">GP6</f>
        <v>13.4</v>
      </c>
      <c r="FW6" s="272">
        <v>83839662</v>
      </c>
      <c r="FX6" s="384">
        <f t="shared" ref="FX6:FX49" si="17">ROUND(FW6/(FJ6+FK6)*100,1)</f>
        <v>209.5</v>
      </c>
      <c r="FY6" s="272">
        <v>4998137</v>
      </c>
      <c r="FZ6" s="272">
        <v>348985</v>
      </c>
      <c r="GA6" s="272">
        <v>988332</v>
      </c>
      <c r="GB6" s="272">
        <v>3660820</v>
      </c>
      <c r="GC6" s="272">
        <v>0</v>
      </c>
      <c r="GD6" s="272">
        <v>9921012</v>
      </c>
      <c r="GE6" s="384">
        <f t="shared" ref="GE6:GE37" si="18">ROUND(GD6/(FJ6+FK6)*100,1)</f>
        <v>24.8</v>
      </c>
      <c r="GF6" s="388">
        <v>98</v>
      </c>
      <c r="GG6" s="388">
        <v>33.200000000000003</v>
      </c>
      <c r="GH6" s="388">
        <v>94.9</v>
      </c>
      <c r="GI6" s="272">
        <v>1391</v>
      </c>
      <c r="GJ6" s="461" t="s">
        <v>646</v>
      </c>
      <c r="GK6" s="461">
        <v>11.46</v>
      </c>
      <c r="GL6" s="462">
        <v>20</v>
      </c>
      <c r="GM6" s="461" t="s">
        <v>646</v>
      </c>
      <c r="GN6" s="462">
        <v>16.46</v>
      </c>
      <c r="GO6" s="462">
        <v>40</v>
      </c>
      <c r="GP6" s="463">
        <v>13.4</v>
      </c>
      <c r="GQ6" s="463">
        <v>25</v>
      </c>
      <c r="GR6" s="463">
        <v>35</v>
      </c>
      <c r="GS6" s="464">
        <v>183.4</v>
      </c>
      <c r="GT6" s="463">
        <v>350</v>
      </c>
      <c r="GU6" s="394"/>
      <c r="GV6" s="394"/>
      <c r="GW6" s="394"/>
      <c r="GX6" s="394"/>
      <c r="GY6" s="394"/>
      <c r="GZ6" s="394"/>
      <c r="HA6" s="394"/>
      <c r="HB6" s="394"/>
      <c r="HC6" s="394"/>
      <c r="HD6" s="394"/>
      <c r="HE6" s="394"/>
      <c r="HF6" s="394"/>
      <c r="HG6" s="394"/>
      <c r="HH6" s="394"/>
      <c r="HI6" s="394"/>
      <c r="HJ6" s="394"/>
      <c r="HK6" s="394"/>
      <c r="HL6" s="394"/>
      <c r="HM6" s="394"/>
      <c r="HN6" s="394"/>
      <c r="HO6" s="394"/>
      <c r="HP6" s="394"/>
      <c r="HQ6" s="394"/>
      <c r="HR6" s="394"/>
      <c r="HS6" s="394"/>
      <c r="HT6" s="394"/>
      <c r="HU6" s="394"/>
      <c r="HV6" s="394"/>
    </row>
    <row r="7" spans="2:230" x14ac:dyDescent="0.15">
      <c r="B7" s="89" t="s">
        <v>7</v>
      </c>
      <c r="C7" s="272">
        <v>65641181</v>
      </c>
      <c r="D7" s="455">
        <f t="shared" si="0"/>
        <v>28534898</v>
      </c>
      <c r="E7" s="272">
        <v>516904</v>
      </c>
      <c r="F7" s="456">
        <v>28017994</v>
      </c>
      <c r="G7" s="455">
        <f t="shared" si="1"/>
        <v>4719279</v>
      </c>
      <c r="H7" s="272">
        <v>1028311</v>
      </c>
      <c r="I7" s="272">
        <v>3690968</v>
      </c>
      <c r="J7" s="272">
        <v>23480513</v>
      </c>
      <c r="K7" s="272">
        <v>9813152</v>
      </c>
      <c r="L7" s="272">
        <v>10599148</v>
      </c>
      <c r="M7" s="272">
        <v>2740474</v>
      </c>
      <c r="N7" s="272">
        <v>2234103</v>
      </c>
      <c r="O7" s="272">
        <v>5476518</v>
      </c>
      <c r="P7" s="272">
        <v>3064248</v>
      </c>
      <c r="Q7" s="272">
        <v>2412270</v>
      </c>
      <c r="R7" s="272">
        <v>2576988</v>
      </c>
      <c r="S7" s="272">
        <v>0</v>
      </c>
      <c r="T7" s="455">
        <f t="shared" si="2"/>
        <v>4552138</v>
      </c>
      <c r="U7" s="272">
        <v>477120</v>
      </c>
      <c r="V7" s="272">
        <v>187830</v>
      </c>
      <c r="W7" s="456">
        <v>66325</v>
      </c>
      <c r="X7" s="272">
        <v>3200555</v>
      </c>
      <c r="Y7" s="272">
        <v>0</v>
      </c>
      <c r="Z7" s="272">
        <v>0</v>
      </c>
      <c r="AA7" s="272">
        <v>620308</v>
      </c>
      <c r="AB7" s="272">
        <v>855196</v>
      </c>
      <c r="AC7" s="272">
        <v>1391462</v>
      </c>
      <c r="AD7" s="272">
        <v>914457</v>
      </c>
      <c r="AE7" s="272">
        <v>477005</v>
      </c>
      <c r="AF7" s="272">
        <v>63139</v>
      </c>
      <c r="AG7" s="272">
        <v>1044662</v>
      </c>
      <c r="AH7" s="455">
        <f t="shared" si="3"/>
        <v>2699745</v>
      </c>
      <c r="AI7" s="272">
        <v>2405382</v>
      </c>
      <c r="AJ7" s="272">
        <v>294363</v>
      </c>
      <c r="AK7" s="272">
        <v>15814286</v>
      </c>
      <c r="AL7" s="455">
        <f t="shared" si="4"/>
        <v>10689433</v>
      </c>
      <c r="AM7" s="272">
        <v>9449509</v>
      </c>
      <c r="AN7" s="272">
        <v>1239924</v>
      </c>
      <c r="AO7" s="272">
        <v>0</v>
      </c>
      <c r="AP7" s="272">
        <v>0</v>
      </c>
      <c r="AQ7" s="272">
        <v>937629</v>
      </c>
      <c r="AR7" s="272">
        <v>0</v>
      </c>
      <c r="AS7" s="272">
        <v>0</v>
      </c>
      <c r="AT7" s="272">
        <v>6237846</v>
      </c>
      <c r="AU7" s="272">
        <v>2778073</v>
      </c>
      <c r="AV7" s="272">
        <v>380056</v>
      </c>
      <c r="AW7" s="272">
        <v>0</v>
      </c>
      <c r="AX7" s="272">
        <v>3459773</v>
      </c>
      <c r="AY7" s="272">
        <v>64032</v>
      </c>
      <c r="AZ7" s="272">
        <v>1975556</v>
      </c>
      <c r="BA7" s="272">
        <v>1861369</v>
      </c>
      <c r="BB7" s="272">
        <v>26845</v>
      </c>
      <c r="BC7" s="272">
        <v>1748067</v>
      </c>
      <c r="BD7" s="272">
        <v>310000</v>
      </c>
      <c r="BE7" s="272">
        <v>219259</v>
      </c>
      <c r="BF7" s="272">
        <v>271705</v>
      </c>
      <c r="BG7" s="272">
        <v>740000</v>
      </c>
      <c r="BH7" s="272">
        <v>341789</v>
      </c>
      <c r="BI7" s="272">
        <v>39742</v>
      </c>
      <c r="BJ7" s="272">
        <v>3981226</v>
      </c>
      <c r="BK7" s="272">
        <v>2544866</v>
      </c>
      <c r="BL7" s="272">
        <v>0</v>
      </c>
      <c r="BM7" s="272">
        <v>68119</v>
      </c>
      <c r="BN7" s="272">
        <v>7419200</v>
      </c>
      <c r="BO7" s="455">
        <f t="shared" si="5"/>
        <v>2585700</v>
      </c>
      <c r="BP7" s="455">
        <f t="shared" si="6"/>
        <v>2833500</v>
      </c>
      <c r="BQ7" s="272">
        <v>0</v>
      </c>
      <c r="BR7" s="272">
        <v>0</v>
      </c>
      <c r="BS7" s="272">
        <v>2833500</v>
      </c>
      <c r="BT7" s="272">
        <v>2000000</v>
      </c>
      <c r="BU7" s="272">
        <v>116369326</v>
      </c>
      <c r="BV7" s="272"/>
      <c r="BW7" s="272">
        <v>29981468</v>
      </c>
      <c r="BX7" s="272">
        <v>20401658</v>
      </c>
      <c r="BY7" s="272">
        <v>4516538</v>
      </c>
      <c r="BZ7" s="272">
        <v>1011670</v>
      </c>
      <c r="CA7" s="272">
        <v>24912875</v>
      </c>
      <c r="CB7" s="272">
        <v>3666968</v>
      </c>
      <c r="CC7" s="272">
        <v>689119</v>
      </c>
      <c r="CD7" s="272">
        <v>7455544</v>
      </c>
      <c r="CE7" s="272">
        <v>12747123</v>
      </c>
      <c r="CF7" s="272">
        <v>2</v>
      </c>
      <c r="CG7" s="272">
        <v>351236</v>
      </c>
      <c r="CH7" s="272">
        <v>13646000</v>
      </c>
      <c r="CI7" s="272">
        <v>11422462</v>
      </c>
      <c r="CJ7" s="455">
        <f t="shared" si="7"/>
        <v>2223538</v>
      </c>
      <c r="CK7" s="272">
        <v>11190088</v>
      </c>
      <c r="CL7" s="272">
        <v>5108369</v>
      </c>
      <c r="CM7" s="272">
        <v>849525</v>
      </c>
      <c r="CN7" s="272">
        <v>2472498</v>
      </c>
      <c r="CO7" s="272">
        <v>453120</v>
      </c>
      <c r="CP7" s="272">
        <v>13917196</v>
      </c>
      <c r="CQ7" s="272">
        <v>2421434</v>
      </c>
      <c r="CR7" s="272">
        <v>3143091</v>
      </c>
      <c r="CS7" s="272">
        <v>2540063</v>
      </c>
      <c r="CT7" s="455">
        <f t="shared" si="8"/>
        <v>4832335</v>
      </c>
      <c r="CU7" s="272">
        <v>4231363</v>
      </c>
      <c r="CV7" s="272">
        <v>600972</v>
      </c>
      <c r="CW7" s="455">
        <f t="shared" si="9"/>
        <v>1397163</v>
      </c>
      <c r="CX7" s="272">
        <v>1226324</v>
      </c>
      <c r="CY7" s="272">
        <v>170839</v>
      </c>
      <c r="CZ7" s="455">
        <f t="shared" si="10"/>
        <v>3323765</v>
      </c>
      <c r="DA7" s="272">
        <v>2971512</v>
      </c>
      <c r="DB7" s="272">
        <v>352253</v>
      </c>
      <c r="DC7" s="272">
        <v>6261261</v>
      </c>
      <c r="DD7" s="272">
        <v>1733918</v>
      </c>
      <c r="DE7" s="272">
        <v>4527343</v>
      </c>
      <c r="DF7" s="26">
        <v>0</v>
      </c>
      <c r="DG7" s="27">
        <v>0</v>
      </c>
      <c r="DH7" s="272">
        <v>0</v>
      </c>
      <c r="DI7" s="272">
        <v>1038106</v>
      </c>
      <c r="DJ7" s="272">
        <v>62400</v>
      </c>
      <c r="DK7" s="272">
        <v>208027</v>
      </c>
      <c r="DL7" s="272">
        <v>767679</v>
      </c>
      <c r="DM7" s="272">
        <v>600803</v>
      </c>
      <c r="DN7" s="272">
        <v>580803</v>
      </c>
      <c r="DO7" s="272">
        <v>0</v>
      </c>
      <c r="DP7" s="272">
        <v>424247</v>
      </c>
      <c r="DQ7" s="272">
        <v>2968010</v>
      </c>
      <c r="DR7" s="272">
        <v>0</v>
      </c>
      <c r="DS7" s="272">
        <v>0</v>
      </c>
      <c r="DT7" s="272">
        <v>10751847</v>
      </c>
      <c r="DU7" s="272">
        <v>0</v>
      </c>
      <c r="DV7" s="455">
        <f t="shared" si="11"/>
        <v>0</v>
      </c>
      <c r="DW7" s="272">
        <v>0</v>
      </c>
      <c r="DX7" s="272">
        <v>2614935</v>
      </c>
      <c r="DY7" s="272">
        <v>0</v>
      </c>
      <c r="DZ7" s="272">
        <v>4572687</v>
      </c>
      <c r="EA7" s="272">
        <v>0</v>
      </c>
      <c r="EB7" s="272">
        <v>2824019</v>
      </c>
      <c r="EC7" s="272">
        <v>0</v>
      </c>
      <c r="ED7" s="272">
        <v>115720774</v>
      </c>
      <c r="EE7" s="89"/>
      <c r="EF7" s="272">
        <v>648552</v>
      </c>
      <c r="EG7" s="272">
        <v>490964</v>
      </c>
      <c r="EH7" s="272">
        <v>157588</v>
      </c>
      <c r="EI7" s="272">
        <v>117846</v>
      </c>
      <c r="EJ7" s="272">
        <v>89645</v>
      </c>
      <c r="EK7" s="89"/>
      <c r="EL7" s="272"/>
      <c r="EM7" s="272">
        <v>389570</v>
      </c>
      <c r="EN7" s="272">
        <v>1450072</v>
      </c>
      <c r="EO7" s="272">
        <v>1924779</v>
      </c>
      <c r="EP7" s="455">
        <f t="shared" si="12"/>
        <v>2215386</v>
      </c>
      <c r="EQ7" s="272">
        <v>75080104</v>
      </c>
      <c r="ER7" s="272">
        <v>-8360598</v>
      </c>
      <c r="ES7" s="272">
        <v>26376836</v>
      </c>
      <c r="ET7" s="272">
        <v>18970331</v>
      </c>
      <c r="EU7" s="272">
        <v>7623754</v>
      </c>
      <c r="EV7" s="272">
        <v>13624713</v>
      </c>
      <c r="EW7" s="455">
        <f t="shared" si="13"/>
        <v>3050953</v>
      </c>
      <c r="EX7" s="272">
        <v>3050953</v>
      </c>
      <c r="EY7" s="272">
        <v>509460</v>
      </c>
      <c r="EZ7" s="272">
        <v>2541493</v>
      </c>
      <c r="FA7" s="272">
        <v>0</v>
      </c>
      <c r="FB7" s="272">
        <v>0</v>
      </c>
      <c r="FC7" s="272">
        <v>8788636</v>
      </c>
      <c r="FD7" s="272">
        <v>12384610</v>
      </c>
      <c r="FE7" s="272">
        <v>2421434</v>
      </c>
      <c r="FF7" s="272">
        <v>9004690</v>
      </c>
      <c r="FG7" s="455">
        <f t="shared" si="14"/>
        <v>1948288</v>
      </c>
      <c r="FH7" s="272">
        <v>82802480</v>
      </c>
      <c r="FI7" s="459">
        <f t="shared" si="15"/>
        <v>0.2</v>
      </c>
      <c r="FJ7" s="272">
        <v>69668343</v>
      </c>
      <c r="FK7" s="272">
        <v>2833536</v>
      </c>
      <c r="FL7" s="272">
        <v>52480695</v>
      </c>
      <c r="FM7" s="272">
        <v>53418576</v>
      </c>
      <c r="FN7" s="460">
        <v>0.98099999999999998</v>
      </c>
      <c r="FO7" s="388">
        <v>101.4</v>
      </c>
      <c r="FP7" s="388">
        <v>35.9</v>
      </c>
      <c r="FQ7" s="388">
        <v>10.5</v>
      </c>
      <c r="FR7" s="388">
        <v>18.5</v>
      </c>
      <c r="FS7" s="388">
        <v>11.4</v>
      </c>
      <c r="FT7" s="388">
        <v>14.8</v>
      </c>
      <c r="FU7" s="388">
        <v>9.8000000000000007</v>
      </c>
      <c r="FV7" s="384">
        <f t="shared" si="16"/>
        <v>11.5</v>
      </c>
      <c r="FW7" s="272">
        <v>109176372</v>
      </c>
      <c r="FX7" s="384">
        <f t="shared" si="17"/>
        <v>150.6</v>
      </c>
      <c r="FY7" s="272">
        <v>12010963</v>
      </c>
      <c r="FZ7" s="272">
        <v>71699</v>
      </c>
      <c r="GA7" s="272">
        <v>3710924</v>
      </c>
      <c r="GB7" s="272">
        <v>8228340</v>
      </c>
      <c r="GC7" s="272">
        <v>4819052</v>
      </c>
      <c r="GD7" s="272">
        <v>12526865</v>
      </c>
      <c r="GE7" s="384">
        <f t="shared" si="18"/>
        <v>17.3</v>
      </c>
      <c r="GF7" s="388">
        <v>97.9</v>
      </c>
      <c r="GG7" s="388">
        <v>18.3</v>
      </c>
      <c r="GH7" s="388">
        <v>92.9</v>
      </c>
      <c r="GI7" s="272">
        <v>2690</v>
      </c>
      <c r="GJ7" s="461" t="s">
        <v>646</v>
      </c>
      <c r="GK7" s="461">
        <v>11.25</v>
      </c>
      <c r="GL7" s="462">
        <v>20</v>
      </c>
      <c r="GM7" s="461" t="s">
        <v>646</v>
      </c>
      <c r="GN7" s="462">
        <v>16.25</v>
      </c>
      <c r="GO7" s="462">
        <v>40</v>
      </c>
      <c r="GP7" s="463">
        <v>11.5</v>
      </c>
      <c r="GQ7" s="463">
        <v>25</v>
      </c>
      <c r="GR7" s="463">
        <v>35</v>
      </c>
      <c r="GS7" s="464">
        <v>115.7</v>
      </c>
      <c r="GT7" s="463">
        <v>350</v>
      </c>
      <c r="GU7" s="394"/>
      <c r="GV7" s="394"/>
      <c r="GW7" s="394"/>
      <c r="GX7" s="394"/>
      <c r="GY7" s="394"/>
      <c r="GZ7" s="394"/>
      <c r="HA7" s="394"/>
      <c r="HB7" s="394"/>
      <c r="HC7" s="394"/>
      <c r="HD7" s="394"/>
      <c r="HE7" s="394"/>
      <c r="HF7" s="394"/>
      <c r="HG7" s="394"/>
      <c r="HH7" s="394"/>
      <c r="HI7" s="394"/>
      <c r="HJ7" s="394"/>
      <c r="HK7" s="394"/>
      <c r="HL7" s="394"/>
      <c r="HM7" s="394"/>
      <c r="HN7" s="394"/>
      <c r="HO7" s="394"/>
      <c r="HP7" s="394"/>
      <c r="HQ7" s="394"/>
      <c r="HR7" s="394"/>
      <c r="HS7" s="394"/>
      <c r="HT7" s="394"/>
      <c r="HU7" s="394"/>
      <c r="HV7" s="394"/>
    </row>
    <row r="8" spans="2:230" x14ac:dyDescent="0.15">
      <c r="B8" s="89" t="s">
        <v>9</v>
      </c>
      <c r="C8" s="272">
        <v>17830921</v>
      </c>
      <c r="D8" s="455">
        <f t="shared" si="0"/>
        <v>7290914</v>
      </c>
      <c r="E8" s="272">
        <v>139641</v>
      </c>
      <c r="F8" s="456">
        <v>7151273</v>
      </c>
      <c r="G8" s="455">
        <f t="shared" si="1"/>
        <v>2464612</v>
      </c>
      <c r="H8" s="272">
        <v>273014</v>
      </c>
      <c r="I8" s="272">
        <v>2191598</v>
      </c>
      <c r="J8" s="272">
        <v>6103474</v>
      </c>
      <c r="K8" s="272">
        <v>2684857</v>
      </c>
      <c r="L8" s="272">
        <v>2576019</v>
      </c>
      <c r="M8" s="272">
        <v>786793</v>
      </c>
      <c r="N8" s="272">
        <v>504221</v>
      </c>
      <c r="O8" s="272">
        <v>1388069</v>
      </c>
      <c r="P8" s="272">
        <v>815724</v>
      </c>
      <c r="Q8" s="272">
        <v>572345</v>
      </c>
      <c r="R8" s="272">
        <v>247231</v>
      </c>
      <c r="S8" s="272">
        <v>0</v>
      </c>
      <c r="T8" s="455">
        <f t="shared" si="2"/>
        <v>1346509</v>
      </c>
      <c r="U8" s="272">
        <v>118685</v>
      </c>
      <c r="V8" s="272">
        <v>46683</v>
      </c>
      <c r="W8" s="456">
        <v>16578</v>
      </c>
      <c r="X8" s="272">
        <v>917771</v>
      </c>
      <c r="Y8" s="272">
        <v>72637</v>
      </c>
      <c r="Z8" s="272">
        <v>0</v>
      </c>
      <c r="AA8" s="272">
        <v>174155</v>
      </c>
      <c r="AB8" s="272">
        <v>251436</v>
      </c>
      <c r="AC8" s="272">
        <v>1461113</v>
      </c>
      <c r="AD8" s="272">
        <v>1008156</v>
      </c>
      <c r="AE8" s="272">
        <v>452957</v>
      </c>
      <c r="AF8" s="272">
        <v>18023</v>
      </c>
      <c r="AG8" s="272">
        <v>221963</v>
      </c>
      <c r="AH8" s="455">
        <f t="shared" si="3"/>
        <v>1050031</v>
      </c>
      <c r="AI8" s="272">
        <v>832609</v>
      </c>
      <c r="AJ8" s="272">
        <v>217422</v>
      </c>
      <c r="AK8" s="272">
        <v>2908676</v>
      </c>
      <c r="AL8" s="455">
        <f t="shared" si="4"/>
        <v>1267093</v>
      </c>
      <c r="AM8" s="272">
        <v>1040796</v>
      </c>
      <c r="AN8" s="272">
        <v>226297</v>
      </c>
      <c r="AO8" s="272">
        <v>0</v>
      </c>
      <c r="AP8" s="272">
        <v>0</v>
      </c>
      <c r="AQ8" s="272">
        <v>588915</v>
      </c>
      <c r="AR8" s="272">
        <v>0</v>
      </c>
      <c r="AS8" s="272">
        <v>0</v>
      </c>
      <c r="AT8" s="272">
        <v>1666448</v>
      </c>
      <c r="AU8" s="272">
        <v>792981</v>
      </c>
      <c r="AV8" s="272">
        <v>165303</v>
      </c>
      <c r="AW8" s="272">
        <v>9847</v>
      </c>
      <c r="AX8" s="272">
        <v>873467</v>
      </c>
      <c r="AY8" s="272">
        <v>42495</v>
      </c>
      <c r="AZ8" s="272">
        <v>466225</v>
      </c>
      <c r="BA8" s="272">
        <v>436102</v>
      </c>
      <c r="BB8" s="272">
        <v>289881</v>
      </c>
      <c r="BC8" s="272">
        <v>210766</v>
      </c>
      <c r="BD8" s="272">
        <v>0</v>
      </c>
      <c r="BE8" s="272">
        <v>0</v>
      </c>
      <c r="BF8" s="272">
        <v>210366</v>
      </c>
      <c r="BG8" s="272">
        <v>0</v>
      </c>
      <c r="BH8" s="272">
        <v>280371</v>
      </c>
      <c r="BI8" s="272">
        <v>103446</v>
      </c>
      <c r="BJ8" s="272">
        <v>4235127</v>
      </c>
      <c r="BK8" s="272">
        <v>3776298</v>
      </c>
      <c r="BL8" s="272">
        <v>16628</v>
      </c>
      <c r="BM8" s="272">
        <v>53229</v>
      </c>
      <c r="BN8" s="272">
        <v>3246600</v>
      </c>
      <c r="BO8" s="455">
        <f t="shared" si="5"/>
        <v>1183300</v>
      </c>
      <c r="BP8" s="455">
        <f t="shared" si="6"/>
        <v>863300</v>
      </c>
      <c r="BQ8" s="272">
        <v>0</v>
      </c>
      <c r="BR8" s="272">
        <v>0</v>
      </c>
      <c r="BS8" s="272">
        <v>863300</v>
      </c>
      <c r="BT8" s="272">
        <v>1200000</v>
      </c>
      <c r="BU8" s="272">
        <v>35731321</v>
      </c>
      <c r="BV8" s="272"/>
      <c r="BW8" s="272">
        <v>8615005</v>
      </c>
      <c r="BX8" s="272">
        <v>5222763</v>
      </c>
      <c r="BY8" s="272">
        <v>1735239</v>
      </c>
      <c r="BZ8" s="272">
        <v>384161</v>
      </c>
      <c r="CA8" s="272">
        <v>4675031</v>
      </c>
      <c r="CB8" s="272">
        <v>970978</v>
      </c>
      <c r="CC8" s="272">
        <v>119180</v>
      </c>
      <c r="CD8" s="272">
        <v>2172828</v>
      </c>
      <c r="CE8" s="272">
        <v>1343794</v>
      </c>
      <c r="CF8" s="272">
        <v>4539</v>
      </c>
      <c r="CG8" s="272">
        <v>63312</v>
      </c>
      <c r="CH8" s="272">
        <v>3777765</v>
      </c>
      <c r="CI8" s="272">
        <v>3014301</v>
      </c>
      <c r="CJ8" s="455">
        <f t="shared" si="7"/>
        <v>763464</v>
      </c>
      <c r="CK8" s="272">
        <v>4986157</v>
      </c>
      <c r="CL8" s="272">
        <v>2883063</v>
      </c>
      <c r="CM8" s="272">
        <v>506280</v>
      </c>
      <c r="CN8" s="272">
        <v>705676</v>
      </c>
      <c r="CO8" s="272">
        <v>341893</v>
      </c>
      <c r="CP8" s="272">
        <v>2063572</v>
      </c>
      <c r="CQ8" s="272">
        <v>2309</v>
      </c>
      <c r="CR8" s="272">
        <v>786199</v>
      </c>
      <c r="CS8" s="272">
        <v>528536</v>
      </c>
      <c r="CT8" s="455">
        <f t="shared" si="8"/>
        <v>697568</v>
      </c>
      <c r="CU8" s="272">
        <v>602717</v>
      </c>
      <c r="CV8" s="272">
        <v>94851</v>
      </c>
      <c r="CW8" s="455">
        <f t="shared" si="9"/>
        <v>693947</v>
      </c>
      <c r="CX8" s="272">
        <v>599096</v>
      </c>
      <c r="CY8" s="272">
        <v>94851</v>
      </c>
      <c r="CZ8" s="455">
        <f t="shared" si="10"/>
        <v>0</v>
      </c>
      <c r="DA8" s="272">
        <v>0</v>
      </c>
      <c r="DB8" s="272">
        <v>0</v>
      </c>
      <c r="DC8" s="272">
        <v>2978449</v>
      </c>
      <c r="DD8" s="272">
        <v>1888347</v>
      </c>
      <c r="DE8" s="272">
        <v>1070474</v>
      </c>
      <c r="DF8" s="26">
        <v>3000</v>
      </c>
      <c r="DG8" s="27">
        <v>16628</v>
      </c>
      <c r="DH8" s="272">
        <v>0</v>
      </c>
      <c r="DI8" s="272">
        <v>90331</v>
      </c>
      <c r="DJ8" s="272">
        <v>5366</v>
      </c>
      <c r="DK8" s="272">
        <v>0</v>
      </c>
      <c r="DL8" s="272">
        <v>84965</v>
      </c>
      <c r="DM8" s="272">
        <v>364388</v>
      </c>
      <c r="DN8" s="272">
        <v>359688</v>
      </c>
      <c r="DO8" s="272">
        <v>0</v>
      </c>
      <c r="DP8" s="272">
        <v>359688</v>
      </c>
      <c r="DQ8" s="272">
        <v>3777060</v>
      </c>
      <c r="DR8" s="272">
        <v>0</v>
      </c>
      <c r="DS8" s="272">
        <v>0</v>
      </c>
      <c r="DT8" s="272">
        <v>3248720</v>
      </c>
      <c r="DU8" s="272">
        <v>852622</v>
      </c>
      <c r="DV8" s="455">
        <f t="shared" si="11"/>
        <v>0</v>
      </c>
      <c r="DW8" s="272">
        <v>0</v>
      </c>
      <c r="DX8" s="272">
        <v>764469</v>
      </c>
      <c r="DY8" s="272">
        <v>6424</v>
      </c>
      <c r="DZ8" s="272">
        <v>717361</v>
      </c>
      <c r="EA8" s="272">
        <v>65670</v>
      </c>
      <c r="EB8" s="272">
        <v>842174</v>
      </c>
      <c r="EC8" s="272">
        <v>0</v>
      </c>
      <c r="ED8" s="272">
        <v>34918371</v>
      </c>
      <c r="EE8" s="89"/>
      <c r="EF8" s="272">
        <v>812950</v>
      </c>
      <c r="EG8" s="272">
        <v>53727</v>
      </c>
      <c r="EH8" s="272">
        <v>759223</v>
      </c>
      <c r="EI8" s="272">
        <v>515777</v>
      </c>
      <c r="EJ8" s="272">
        <v>666013</v>
      </c>
      <c r="EK8" s="89"/>
      <c r="EL8" s="272"/>
      <c r="EM8" s="272">
        <v>102320</v>
      </c>
      <c r="EN8" s="272">
        <v>0</v>
      </c>
      <c r="EO8" s="272">
        <v>455838</v>
      </c>
      <c r="EP8" s="455">
        <f t="shared" si="12"/>
        <v>470859</v>
      </c>
      <c r="EQ8" s="272">
        <v>21155233</v>
      </c>
      <c r="ER8" s="272">
        <v>-1771974</v>
      </c>
      <c r="ES8" s="272">
        <v>7038919</v>
      </c>
      <c r="ET8" s="272">
        <v>4904770</v>
      </c>
      <c r="EU8" s="272">
        <v>1564740</v>
      </c>
      <c r="EV8" s="272">
        <v>3777765</v>
      </c>
      <c r="EW8" s="455">
        <f t="shared" si="13"/>
        <v>588541</v>
      </c>
      <c r="EX8" s="272">
        <v>588541</v>
      </c>
      <c r="EY8" s="272">
        <v>22377</v>
      </c>
      <c r="EZ8" s="272">
        <v>565717</v>
      </c>
      <c r="FA8" s="272">
        <v>0</v>
      </c>
      <c r="FB8" s="272">
        <v>0</v>
      </c>
      <c r="FC8" s="272">
        <v>3850746</v>
      </c>
      <c r="FD8" s="272">
        <v>1698836</v>
      </c>
      <c r="FE8" s="272">
        <v>2309</v>
      </c>
      <c r="FF8" s="272">
        <v>2898715</v>
      </c>
      <c r="FG8" s="455">
        <f t="shared" si="14"/>
        <v>695995</v>
      </c>
      <c r="FH8" s="272">
        <v>22114257</v>
      </c>
      <c r="FI8" s="459">
        <f t="shared" si="15"/>
        <v>3.9</v>
      </c>
      <c r="FJ8" s="272">
        <v>18700419</v>
      </c>
      <c r="FK8" s="272">
        <v>863304</v>
      </c>
      <c r="FL8" s="272">
        <v>13540480</v>
      </c>
      <c r="FM8" s="272">
        <v>14559144</v>
      </c>
      <c r="FN8" s="460">
        <v>0.94499999999999995</v>
      </c>
      <c r="FO8" s="388">
        <v>97.9</v>
      </c>
      <c r="FP8" s="388">
        <v>34.1</v>
      </c>
      <c r="FQ8" s="388">
        <v>7.6</v>
      </c>
      <c r="FR8" s="388">
        <v>17.8</v>
      </c>
      <c r="FS8" s="388">
        <v>17.399999999999999</v>
      </c>
      <c r="FT8" s="388">
        <v>6.7</v>
      </c>
      <c r="FU8" s="388">
        <v>12.7</v>
      </c>
      <c r="FV8" s="384">
        <f t="shared" si="16"/>
        <v>8</v>
      </c>
      <c r="FW8" s="272">
        <v>35719636</v>
      </c>
      <c r="FX8" s="384">
        <f t="shared" si="17"/>
        <v>182.6</v>
      </c>
      <c r="FY8" s="272">
        <v>3393384</v>
      </c>
      <c r="FZ8" s="272">
        <v>2348875</v>
      </c>
      <c r="GA8" s="272">
        <v>0</v>
      </c>
      <c r="GB8" s="272">
        <v>1044509</v>
      </c>
      <c r="GC8" s="272">
        <v>0</v>
      </c>
      <c r="GD8" s="272">
        <v>1166079</v>
      </c>
      <c r="GE8" s="384">
        <f t="shared" si="18"/>
        <v>6</v>
      </c>
      <c r="GF8" s="388">
        <v>97.9</v>
      </c>
      <c r="GG8" s="388">
        <v>15.8</v>
      </c>
      <c r="GH8" s="388">
        <v>92.9</v>
      </c>
      <c r="GI8" s="272">
        <v>735</v>
      </c>
      <c r="GJ8" s="461" t="s">
        <v>646</v>
      </c>
      <c r="GK8" s="461">
        <v>12.52</v>
      </c>
      <c r="GL8" s="462">
        <v>20</v>
      </c>
      <c r="GM8" s="461" t="s">
        <v>646</v>
      </c>
      <c r="GN8" s="462">
        <v>17.52</v>
      </c>
      <c r="GO8" s="462">
        <v>40</v>
      </c>
      <c r="GP8" s="463">
        <v>8</v>
      </c>
      <c r="GQ8" s="463">
        <v>25</v>
      </c>
      <c r="GR8" s="463">
        <v>35</v>
      </c>
      <c r="GS8" s="464">
        <v>139.9</v>
      </c>
      <c r="GT8" s="463">
        <v>350</v>
      </c>
      <c r="GU8" s="394"/>
      <c r="GV8" s="394"/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</row>
    <row r="9" spans="2:230" x14ac:dyDescent="0.15">
      <c r="B9" s="89" t="s">
        <v>11</v>
      </c>
      <c r="C9" s="272">
        <v>65257249</v>
      </c>
      <c r="D9" s="455">
        <f t="shared" si="0"/>
        <v>27097233</v>
      </c>
      <c r="E9" s="272">
        <v>481248</v>
      </c>
      <c r="F9" s="456">
        <v>26615985</v>
      </c>
      <c r="G9" s="455">
        <f t="shared" si="1"/>
        <v>6007532</v>
      </c>
      <c r="H9" s="272">
        <v>1073552</v>
      </c>
      <c r="I9" s="272">
        <v>4933980</v>
      </c>
      <c r="J9" s="272">
        <v>23868034</v>
      </c>
      <c r="K9" s="272">
        <v>9698351</v>
      </c>
      <c r="L9" s="272">
        <v>10713336</v>
      </c>
      <c r="M9" s="272">
        <v>2981287</v>
      </c>
      <c r="N9" s="272">
        <v>1686606</v>
      </c>
      <c r="O9" s="272">
        <v>5350567</v>
      </c>
      <c r="P9" s="272">
        <v>2902901</v>
      </c>
      <c r="Q9" s="272">
        <v>2447666</v>
      </c>
      <c r="R9" s="272">
        <v>688232</v>
      </c>
      <c r="S9" s="272">
        <v>0</v>
      </c>
      <c r="T9" s="455">
        <f t="shared" si="2"/>
        <v>4425092</v>
      </c>
      <c r="U9" s="272">
        <v>444813</v>
      </c>
      <c r="V9" s="272">
        <v>174950</v>
      </c>
      <c r="W9" s="456">
        <v>62165</v>
      </c>
      <c r="X9" s="272">
        <v>3171510</v>
      </c>
      <c r="Y9" s="272">
        <v>0</v>
      </c>
      <c r="Z9" s="272">
        <v>0</v>
      </c>
      <c r="AA9" s="272">
        <v>571654</v>
      </c>
      <c r="AB9" s="272">
        <v>870327</v>
      </c>
      <c r="AC9" s="272">
        <v>65908</v>
      </c>
      <c r="AD9" s="272">
        <v>0</v>
      </c>
      <c r="AE9" s="272">
        <v>65908</v>
      </c>
      <c r="AF9" s="272">
        <v>57009</v>
      </c>
      <c r="AG9" s="272">
        <v>1266513</v>
      </c>
      <c r="AH9" s="455">
        <f t="shared" si="3"/>
        <v>2778017</v>
      </c>
      <c r="AI9" s="272">
        <v>2312213</v>
      </c>
      <c r="AJ9" s="272">
        <v>465804</v>
      </c>
      <c r="AK9" s="272">
        <v>13176764</v>
      </c>
      <c r="AL9" s="455">
        <f t="shared" si="4"/>
        <v>6530511</v>
      </c>
      <c r="AM9" s="272">
        <v>5840118</v>
      </c>
      <c r="AN9" s="272">
        <v>690393</v>
      </c>
      <c r="AO9" s="272">
        <v>0</v>
      </c>
      <c r="AP9" s="272">
        <v>0</v>
      </c>
      <c r="AQ9" s="272">
        <v>2950558</v>
      </c>
      <c r="AR9" s="272">
        <v>0</v>
      </c>
      <c r="AS9" s="272">
        <v>0</v>
      </c>
      <c r="AT9" s="272">
        <v>5114265</v>
      </c>
      <c r="AU9" s="272">
        <v>2912253</v>
      </c>
      <c r="AV9" s="272">
        <v>345197</v>
      </c>
      <c r="AW9" s="272">
        <v>1973</v>
      </c>
      <c r="AX9" s="272">
        <v>2202012</v>
      </c>
      <c r="AY9" s="272">
        <v>59354</v>
      </c>
      <c r="AZ9" s="272">
        <v>193346</v>
      </c>
      <c r="BA9" s="272">
        <v>116806</v>
      </c>
      <c r="BB9" s="272">
        <v>11400</v>
      </c>
      <c r="BC9" s="272">
        <v>6206943</v>
      </c>
      <c r="BD9" s="272">
        <v>400000</v>
      </c>
      <c r="BE9" s="272">
        <v>120008</v>
      </c>
      <c r="BF9" s="272">
        <v>5686935</v>
      </c>
      <c r="BG9" s="272">
        <v>0</v>
      </c>
      <c r="BH9" s="272">
        <v>1245918</v>
      </c>
      <c r="BI9" s="272">
        <v>251889</v>
      </c>
      <c r="BJ9" s="272">
        <v>1295939</v>
      </c>
      <c r="BK9" s="272">
        <v>371348</v>
      </c>
      <c r="BL9" s="272">
        <v>120134</v>
      </c>
      <c r="BM9" s="272">
        <v>83634</v>
      </c>
      <c r="BN9" s="272">
        <v>2485900</v>
      </c>
      <c r="BO9" s="455">
        <f t="shared" si="5"/>
        <v>1485900</v>
      </c>
      <c r="BP9" s="455">
        <f t="shared" si="6"/>
        <v>1000000</v>
      </c>
      <c r="BQ9" s="272">
        <v>0</v>
      </c>
      <c r="BR9" s="272">
        <v>0</v>
      </c>
      <c r="BS9" s="272">
        <v>1000000</v>
      </c>
      <c r="BT9" s="272">
        <v>0</v>
      </c>
      <c r="BU9" s="272">
        <v>105138822</v>
      </c>
      <c r="BV9" s="272"/>
      <c r="BW9" s="272">
        <v>26899628</v>
      </c>
      <c r="BX9" s="272">
        <v>18165472</v>
      </c>
      <c r="BY9" s="272">
        <v>3358370</v>
      </c>
      <c r="BZ9" s="272">
        <v>1628300</v>
      </c>
      <c r="CA9" s="272">
        <v>21703517</v>
      </c>
      <c r="CB9" s="272">
        <v>4195318</v>
      </c>
      <c r="CC9" s="272">
        <v>1047987</v>
      </c>
      <c r="CD9" s="272">
        <v>7626739</v>
      </c>
      <c r="CE9" s="272">
        <v>7934839</v>
      </c>
      <c r="CF9" s="272">
        <v>373923</v>
      </c>
      <c r="CG9" s="272">
        <v>524021</v>
      </c>
      <c r="CH9" s="272">
        <v>8052398</v>
      </c>
      <c r="CI9" s="272">
        <v>6682563</v>
      </c>
      <c r="CJ9" s="455">
        <f t="shared" si="7"/>
        <v>1369835</v>
      </c>
      <c r="CK9" s="272">
        <v>14045408</v>
      </c>
      <c r="CL9" s="272">
        <v>8754190</v>
      </c>
      <c r="CM9" s="272">
        <v>766127</v>
      </c>
      <c r="CN9" s="272">
        <v>2691505</v>
      </c>
      <c r="CO9" s="272">
        <v>2552105</v>
      </c>
      <c r="CP9" s="272">
        <v>4657545</v>
      </c>
      <c r="CQ9" s="272">
        <v>7797</v>
      </c>
      <c r="CR9" s="272">
        <v>2297476</v>
      </c>
      <c r="CS9" s="272">
        <v>1737678</v>
      </c>
      <c r="CT9" s="455">
        <f t="shared" si="8"/>
        <v>984079</v>
      </c>
      <c r="CU9" s="272">
        <v>565689</v>
      </c>
      <c r="CV9" s="272">
        <v>418390</v>
      </c>
      <c r="CW9" s="455">
        <f t="shared" si="9"/>
        <v>957499</v>
      </c>
      <c r="CX9" s="272">
        <v>539109</v>
      </c>
      <c r="CY9" s="272">
        <v>418390</v>
      </c>
      <c r="CZ9" s="455">
        <f t="shared" si="10"/>
        <v>0</v>
      </c>
      <c r="DA9" s="272">
        <v>0</v>
      </c>
      <c r="DB9" s="272">
        <v>0</v>
      </c>
      <c r="DC9" s="272">
        <v>12679158</v>
      </c>
      <c r="DD9" s="272">
        <v>7468354</v>
      </c>
      <c r="DE9" s="272">
        <v>5061070</v>
      </c>
      <c r="DF9" s="26">
        <v>5270</v>
      </c>
      <c r="DG9" s="27">
        <v>144464</v>
      </c>
      <c r="DH9" s="272">
        <v>0</v>
      </c>
      <c r="DI9" s="272">
        <v>1113065</v>
      </c>
      <c r="DJ9" s="272">
        <v>765057</v>
      </c>
      <c r="DK9" s="272">
        <v>0</v>
      </c>
      <c r="DL9" s="272">
        <v>348008</v>
      </c>
      <c r="DM9" s="272">
        <v>482501</v>
      </c>
      <c r="DN9" s="272">
        <v>441501</v>
      </c>
      <c r="DO9" s="272">
        <v>0</v>
      </c>
      <c r="DP9" s="272">
        <v>441501</v>
      </c>
      <c r="DQ9" s="272">
        <v>405800</v>
      </c>
      <c r="DR9" s="272">
        <v>0</v>
      </c>
      <c r="DS9" s="272">
        <v>0</v>
      </c>
      <c r="DT9" s="272">
        <v>11719137</v>
      </c>
      <c r="DU9" s="272">
        <v>4082728</v>
      </c>
      <c r="DV9" s="455">
        <f t="shared" si="11"/>
        <v>0</v>
      </c>
      <c r="DW9" s="272">
        <v>0</v>
      </c>
      <c r="DX9" s="272">
        <v>2269556</v>
      </c>
      <c r="DY9" s="272">
        <v>105666</v>
      </c>
      <c r="DZ9" s="272">
        <v>2585423</v>
      </c>
      <c r="EA9" s="272">
        <v>185503</v>
      </c>
      <c r="EB9" s="272">
        <v>2389572</v>
      </c>
      <c r="EC9" s="272">
        <v>0</v>
      </c>
      <c r="ED9" s="272">
        <v>104310262</v>
      </c>
      <c r="EE9" s="89"/>
      <c r="EF9" s="272">
        <v>828560</v>
      </c>
      <c r="EG9" s="272">
        <v>548909</v>
      </c>
      <c r="EH9" s="272">
        <v>279651</v>
      </c>
      <c r="EI9" s="272">
        <v>27762</v>
      </c>
      <c r="EJ9" s="272">
        <v>392819</v>
      </c>
      <c r="EK9" s="89"/>
      <c r="EL9" s="272"/>
      <c r="EM9" s="272">
        <v>347896</v>
      </c>
      <c r="EN9" s="272">
        <v>520008</v>
      </c>
      <c r="EO9" s="272">
        <v>129188</v>
      </c>
      <c r="EP9" s="455">
        <f t="shared" si="12"/>
        <v>1293485</v>
      </c>
      <c r="EQ9" s="272">
        <v>71363817</v>
      </c>
      <c r="ER9" s="272">
        <v>-2885672</v>
      </c>
      <c r="ES9" s="272">
        <v>25103446</v>
      </c>
      <c r="ET9" s="272">
        <v>16611868</v>
      </c>
      <c r="EU9" s="272">
        <v>8061125</v>
      </c>
      <c r="EV9" s="272">
        <v>7876209</v>
      </c>
      <c r="EW9" s="455">
        <f t="shared" si="13"/>
        <v>2350165</v>
      </c>
      <c r="EX9" s="272">
        <v>2350165</v>
      </c>
      <c r="EY9" s="272">
        <v>192635</v>
      </c>
      <c r="EZ9" s="272">
        <v>2127930</v>
      </c>
      <c r="FA9" s="272">
        <v>0</v>
      </c>
      <c r="FB9" s="272">
        <v>0</v>
      </c>
      <c r="FC9" s="272">
        <v>12178213</v>
      </c>
      <c r="FD9" s="272">
        <v>4097058</v>
      </c>
      <c r="FE9" s="272">
        <v>7797</v>
      </c>
      <c r="FF9" s="272">
        <v>9805592</v>
      </c>
      <c r="FG9" s="455">
        <f t="shared" si="14"/>
        <v>3949498</v>
      </c>
      <c r="FH9" s="272">
        <v>73421306</v>
      </c>
      <c r="FI9" s="459">
        <f t="shared" si="15"/>
        <v>0.4</v>
      </c>
      <c r="FJ9" s="272">
        <v>66478291</v>
      </c>
      <c r="FK9" s="272">
        <v>2650278</v>
      </c>
      <c r="FL9" s="272">
        <v>50279827</v>
      </c>
      <c r="FM9" s="272">
        <v>45097339</v>
      </c>
      <c r="FN9" s="460">
        <v>1.1200000000000001</v>
      </c>
      <c r="FO9" s="388">
        <v>97.5</v>
      </c>
      <c r="FP9" s="388">
        <v>36.299999999999997</v>
      </c>
      <c r="FQ9" s="388">
        <v>12</v>
      </c>
      <c r="FR9" s="388">
        <v>11.7</v>
      </c>
      <c r="FS9" s="388">
        <v>16.3</v>
      </c>
      <c r="FT9" s="388">
        <v>5</v>
      </c>
      <c r="FU9" s="388">
        <v>12.7</v>
      </c>
      <c r="FV9" s="384">
        <f t="shared" si="16"/>
        <v>2.1</v>
      </c>
      <c r="FW9" s="272">
        <v>61772943</v>
      </c>
      <c r="FX9" s="384">
        <f t="shared" si="17"/>
        <v>89.4</v>
      </c>
      <c r="FY9" s="272">
        <v>33954377</v>
      </c>
      <c r="FZ9" s="272">
        <v>11285366</v>
      </c>
      <c r="GA9" s="272">
        <v>0</v>
      </c>
      <c r="GB9" s="272">
        <v>22669011</v>
      </c>
      <c r="GC9" s="272">
        <v>0</v>
      </c>
      <c r="GD9" s="272">
        <v>9397731</v>
      </c>
      <c r="GE9" s="384">
        <f t="shared" si="18"/>
        <v>13.6</v>
      </c>
      <c r="GF9" s="388">
        <v>98.5</v>
      </c>
      <c r="GG9" s="388">
        <v>26.6</v>
      </c>
      <c r="GH9" s="388">
        <v>96.2</v>
      </c>
      <c r="GI9" s="272">
        <v>2539</v>
      </c>
      <c r="GJ9" s="461" t="s">
        <v>646</v>
      </c>
      <c r="GK9" s="461">
        <v>11.25</v>
      </c>
      <c r="GL9" s="462">
        <v>20</v>
      </c>
      <c r="GM9" s="461" t="s">
        <v>646</v>
      </c>
      <c r="GN9" s="462">
        <v>16.25</v>
      </c>
      <c r="GO9" s="462">
        <v>40</v>
      </c>
      <c r="GP9" s="463">
        <v>2.1</v>
      </c>
      <c r="GQ9" s="463">
        <v>25</v>
      </c>
      <c r="GR9" s="463">
        <v>35</v>
      </c>
      <c r="GS9" s="464" t="s">
        <v>646</v>
      </c>
      <c r="GT9" s="463">
        <v>350</v>
      </c>
      <c r="GU9" s="394"/>
      <c r="GV9" s="394"/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</row>
    <row r="10" spans="2:230" x14ac:dyDescent="0.15">
      <c r="B10" s="89" t="s">
        <v>13</v>
      </c>
      <c r="C10" s="272">
        <v>11777049</v>
      </c>
      <c r="D10" s="455">
        <f t="shared" si="0"/>
        <v>3768356</v>
      </c>
      <c r="E10" s="272">
        <v>97152</v>
      </c>
      <c r="F10" s="456">
        <v>3671204</v>
      </c>
      <c r="G10" s="455">
        <f t="shared" si="1"/>
        <v>997613</v>
      </c>
      <c r="H10" s="272">
        <v>261141</v>
      </c>
      <c r="I10" s="272">
        <v>736472</v>
      </c>
      <c r="J10" s="272">
        <v>5358525</v>
      </c>
      <c r="K10" s="272">
        <v>2037970</v>
      </c>
      <c r="L10" s="272">
        <v>2128370</v>
      </c>
      <c r="M10" s="272">
        <v>737990</v>
      </c>
      <c r="N10" s="272">
        <v>557595</v>
      </c>
      <c r="O10" s="272">
        <v>1021603</v>
      </c>
      <c r="P10" s="272">
        <v>550732</v>
      </c>
      <c r="Q10" s="272">
        <v>470871</v>
      </c>
      <c r="R10" s="272">
        <v>220219</v>
      </c>
      <c r="S10" s="272">
        <v>0</v>
      </c>
      <c r="T10" s="455">
        <f t="shared" si="2"/>
        <v>935258</v>
      </c>
      <c r="U10" s="272">
        <v>60398</v>
      </c>
      <c r="V10" s="272">
        <v>23742</v>
      </c>
      <c r="W10" s="456">
        <v>8466</v>
      </c>
      <c r="X10" s="272">
        <v>707175</v>
      </c>
      <c r="Y10" s="272">
        <v>0</v>
      </c>
      <c r="Z10" s="272">
        <v>0</v>
      </c>
      <c r="AA10" s="272">
        <v>135477</v>
      </c>
      <c r="AB10" s="272">
        <v>192567</v>
      </c>
      <c r="AC10" s="272">
        <v>3446888</v>
      </c>
      <c r="AD10" s="272">
        <v>3115809</v>
      </c>
      <c r="AE10" s="272">
        <v>331079</v>
      </c>
      <c r="AF10" s="272">
        <v>14932</v>
      </c>
      <c r="AG10" s="272">
        <v>191141</v>
      </c>
      <c r="AH10" s="455">
        <f t="shared" si="3"/>
        <v>463584</v>
      </c>
      <c r="AI10" s="272">
        <v>412459</v>
      </c>
      <c r="AJ10" s="272">
        <v>51125</v>
      </c>
      <c r="AK10" s="272">
        <v>2883958</v>
      </c>
      <c r="AL10" s="455">
        <f t="shared" si="4"/>
        <v>1734157</v>
      </c>
      <c r="AM10" s="272">
        <v>1569807</v>
      </c>
      <c r="AN10" s="272">
        <v>164350</v>
      </c>
      <c r="AO10" s="272">
        <v>0</v>
      </c>
      <c r="AP10" s="272">
        <v>0</v>
      </c>
      <c r="AQ10" s="272">
        <v>117557</v>
      </c>
      <c r="AR10" s="272">
        <v>0</v>
      </c>
      <c r="AS10" s="272">
        <v>0</v>
      </c>
      <c r="AT10" s="272">
        <v>1373091</v>
      </c>
      <c r="AU10" s="272">
        <v>581203</v>
      </c>
      <c r="AV10" s="272">
        <v>82174</v>
      </c>
      <c r="AW10" s="272">
        <v>0</v>
      </c>
      <c r="AX10" s="272">
        <v>791888</v>
      </c>
      <c r="AY10" s="272">
        <v>4298</v>
      </c>
      <c r="AZ10" s="272">
        <v>85232</v>
      </c>
      <c r="BA10" s="272">
        <v>48726</v>
      </c>
      <c r="BB10" s="272">
        <v>14365</v>
      </c>
      <c r="BC10" s="272">
        <v>378900</v>
      </c>
      <c r="BD10" s="272">
        <v>60332</v>
      </c>
      <c r="BE10" s="272">
        <v>0</v>
      </c>
      <c r="BF10" s="272">
        <v>189153</v>
      </c>
      <c r="BG10" s="272">
        <v>50000</v>
      </c>
      <c r="BH10" s="272">
        <v>102467</v>
      </c>
      <c r="BI10" s="272">
        <v>96464</v>
      </c>
      <c r="BJ10" s="272">
        <v>630774</v>
      </c>
      <c r="BK10" s="272">
        <v>14826</v>
      </c>
      <c r="BL10" s="272">
        <v>0</v>
      </c>
      <c r="BM10" s="272">
        <v>54396</v>
      </c>
      <c r="BN10" s="272">
        <v>2722400</v>
      </c>
      <c r="BO10" s="455">
        <f t="shared" si="5"/>
        <v>663100</v>
      </c>
      <c r="BP10" s="455">
        <f t="shared" si="6"/>
        <v>665200</v>
      </c>
      <c r="BQ10" s="272">
        <v>0</v>
      </c>
      <c r="BR10" s="272">
        <v>0</v>
      </c>
      <c r="BS10" s="272">
        <v>665200</v>
      </c>
      <c r="BT10" s="272">
        <v>1394100</v>
      </c>
      <c r="BU10" s="272">
        <v>25432825</v>
      </c>
      <c r="BV10" s="272"/>
      <c r="BW10" s="272">
        <v>6025746</v>
      </c>
      <c r="BX10" s="272">
        <v>3090309</v>
      </c>
      <c r="BY10" s="272">
        <v>1675494</v>
      </c>
      <c r="BZ10" s="272">
        <v>432501</v>
      </c>
      <c r="CA10" s="272">
        <v>5264486</v>
      </c>
      <c r="CB10" s="272">
        <v>795164</v>
      </c>
      <c r="CC10" s="272">
        <v>219079</v>
      </c>
      <c r="CD10" s="272">
        <v>2092576</v>
      </c>
      <c r="CE10" s="272">
        <v>2076552</v>
      </c>
      <c r="CF10" s="272">
        <v>0</v>
      </c>
      <c r="CG10" s="272">
        <v>81115</v>
      </c>
      <c r="CH10" s="272">
        <v>3374851</v>
      </c>
      <c r="CI10" s="272">
        <v>2626641</v>
      </c>
      <c r="CJ10" s="455">
        <f t="shared" si="7"/>
        <v>748210</v>
      </c>
      <c r="CK10" s="272">
        <v>2422352</v>
      </c>
      <c r="CL10" s="272">
        <v>1260308</v>
      </c>
      <c r="CM10" s="272">
        <v>224458</v>
      </c>
      <c r="CN10" s="272">
        <v>387381</v>
      </c>
      <c r="CO10" s="272">
        <v>121085</v>
      </c>
      <c r="CP10" s="272">
        <v>2552298</v>
      </c>
      <c r="CQ10" s="272">
        <v>1000996</v>
      </c>
      <c r="CR10" s="272">
        <v>392734</v>
      </c>
      <c r="CS10" s="272">
        <v>390067</v>
      </c>
      <c r="CT10" s="455">
        <f t="shared" si="8"/>
        <v>757935</v>
      </c>
      <c r="CU10" s="272">
        <v>757935</v>
      </c>
      <c r="CV10" s="272">
        <v>0</v>
      </c>
      <c r="CW10" s="455">
        <f t="shared" si="9"/>
        <v>746275</v>
      </c>
      <c r="CX10" s="272">
        <v>746275</v>
      </c>
      <c r="CY10" s="272">
        <v>0</v>
      </c>
      <c r="CZ10" s="455">
        <f t="shared" si="10"/>
        <v>0</v>
      </c>
      <c r="DA10" s="272">
        <v>0</v>
      </c>
      <c r="DB10" s="272">
        <v>0</v>
      </c>
      <c r="DC10" s="272">
        <v>1177422</v>
      </c>
      <c r="DD10" s="272">
        <v>244341</v>
      </c>
      <c r="DE10" s="272">
        <v>897191</v>
      </c>
      <c r="DF10" s="26">
        <v>20115</v>
      </c>
      <c r="DG10" s="27">
        <v>15775</v>
      </c>
      <c r="DH10" s="272">
        <v>0</v>
      </c>
      <c r="DI10" s="272">
        <v>318664</v>
      </c>
      <c r="DJ10" s="272">
        <v>60332</v>
      </c>
      <c r="DK10" s="272">
        <v>0</v>
      </c>
      <c r="DL10" s="272">
        <v>258332</v>
      </c>
      <c r="DM10" s="272">
        <v>4500</v>
      </c>
      <c r="DN10" s="272">
        <v>0</v>
      </c>
      <c r="DO10" s="272">
        <v>0</v>
      </c>
      <c r="DP10" s="272">
        <v>0</v>
      </c>
      <c r="DQ10" s="272">
        <v>53000</v>
      </c>
      <c r="DR10" s="272">
        <v>50000</v>
      </c>
      <c r="DS10" s="272">
        <v>50000</v>
      </c>
      <c r="DT10" s="272">
        <v>3824444</v>
      </c>
      <c r="DU10" s="272">
        <v>1645631</v>
      </c>
      <c r="DV10" s="455">
        <f t="shared" si="11"/>
        <v>164772</v>
      </c>
      <c r="DW10" s="272">
        <v>164772</v>
      </c>
      <c r="DX10" s="272">
        <v>128475</v>
      </c>
      <c r="DY10" s="272">
        <v>50000</v>
      </c>
      <c r="DZ10" s="272">
        <v>768810</v>
      </c>
      <c r="EA10" s="272">
        <v>58934</v>
      </c>
      <c r="EB10" s="272">
        <v>537765</v>
      </c>
      <c r="EC10" s="272">
        <v>0</v>
      </c>
      <c r="ED10" s="272">
        <v>25138848</v>
      </c>
      <c r="EE10" s="89"/>
      <c r="EF10" s="272">
        <v>293977</v>
      </c>
      <c r="EG10" s="272">
        <v>48638</v>
      </c>
      <c r="EH10" s="272">
        <v>245339</v>
      </c>
      <c r="EI10" s="272">
        <v>148875</v>
      </c>
      <c r="EJ10" s="272">
        <v>163831</v>
      </c>
      <c r="EK10" s="89"/>
      <c r="EL10" s="272"/>
      <c r="EM10" s="272">
        <v>76813</v>
      </c>
      <c r="EN10" s="272">
        <v>189747</v>
      </c>
      <c r="EO10" s="272">
        <v>40565</v>
      </c>
      <c r="EP10" s="455">
        <f t="shared" si="12"/>
        <v>686318</v>
      </c>
      <c r="EQ10" s="272">
        <v>16586913</v>
      </c>
      <c r="ER10" s="272">
        <v>-1566898</v>
      </c>
      <c r="ES10" s="272">
        <v>4082046</v>
      </c>
      <c r="ET10" s="272">
        <v>2631446</v>
      </c>
      <c r="EU10" s="272">
        <v>1799444</v>
      </c>
      <c r="EV10" s="272">
        <v>3363033</v>
      </c>
      <c r="EW10" s="455">
        <f t="shared" si="13"/>
        <v>324637</v>
      </c>
      <c r="EX10" s="272">
        <v>324637</v>
      </c>
      <c r="EY10" s="272">
        <v>24630</v>
      </c>
      <c r="EZ10" s="272">
        <v>296492</v>
      </c>
      <c r="FA10" s="272">
        <v>0</v>
      </c>
      <c r="FB10" s="272">
        <v>0</v>
      </c>
      <c r="FC10" s="272">
        <v>2151032</v>
      </c>
      <c r="FD10" s="272">
        <v>2454135</v>
      </c>
      <c r="FE10" s="272">
        <v>1000996</v>
      </c>
      <c r="FF10" s="272">
        <v>3266674</v>
      </c>
      <c r="FG10" s="455">
        <f t="shared" si="14"/>
        <v>432957</v>
      </c>
      <c r="FH10" s="272">
        <v>17873958</v>
      </c>
      <c r="FI10" s="459">
        <f t="shared" si="15"/>
        <v>1.6</v>
      </c>
      <c r="FJ10" s="272">
        <v>15024388</v>
      </c>
      <c r="FK10" s="272">
        <v>665224</v>
      </c>
      <c r="FL10" s="272">
        <v>9163752</v>
      </c>
      <c r="FM10" s="272">
        <v>12284954</v>
      </c>
      <c r="FN10" s="460">
        <v>0.745</v>
      </c>
      <c r="FO10" s="388">
        <v>99.4</v>
      </c>
      <c r="FP10" s="388">
        <v>24</v>
      </c>
      <c r="FQ10" s="388">
        <v>11.2</v>
      </c>
      <c r="FR10" s="388">
        <v>20.9</v>
      </c>
      <c r="FS10" s="388">
        <v>11.7</v>
      </c>
      <c r="FT10" s="388">
        <v>13.1</v>
      </c>
      <c r="FU10" s="388">
        <v>17.8</v>
      </c>
      <c r="FV10" s="384">
        <f t="shared" si="16"/>
        <v>17.3</v>
      </c>
      <c r="FW10" s="272">
        <v>32495655</v>
      </c>
      <c r="FX10" s="384">
        <f t="shared" si="17"/>
        <v>207.1</v>
      </c>
      <c r="FY10" s="272">
        <v>1076088</v>
      </c>
      <c r="FZ10" s="272">
        <v>0</v>
      </c>
      <c r="GA10" s="272">
        <v>0</v>
      </c>
      <c r="GB10" s="272">
        <v>1076088</v>
      </c>
      <c r="GC10" s="272">
        <v>0</v>
      </c>
      <c r="GD10" s="272">
        <v>4531874</v>
      </c>
      <c r="GE10" s="384">
        <f t="shared" si="18"/>
        <v>28.9</v>
      </c>
      <c r="GF10" s="388">
        <v>98.7</v>
      </c>
      <c r="GG10" s="388">
        <v>24.2</v>
      </c>
      <c r="GH10" s="388">
        <v>95.7</v>
      </c>
      <c r="GI10" s="272">
        <v>462</v>
      </c>
      <c r="GJ10" s="461" t="s">
        <v>646</v>
      </c>
      <c r="GK10" s="461">
        <v>12.73</v>
      </c>
      <c r="GL10" s="462">
        <v>20</v>
      </c>
      <c r="GM10" s="461">
        <v>12.1</v>
      </c>
      <c r="GN10" s="462">
        <v>17.73</v>
      </c>
      <c r="GO10" s="462">
        <v>40</v>
      </c>
      <c r="GP10" s="463">
        <v>17.3</v>
      </c>
      <c r="GQ10" s="463">
        <v>25</v>
      </c>
      <c r="GR10" s="463">
        <v>35</v>
      </c>
      <c r="GS10" s="464">
        <v>245.4</v>
      </c>
      <c r="GT10" s="463">
        <v>350</v>
      </c>
      <c r="GU10" s="394"/>
      <c r="GV10" s="394"/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</row>
    <row r="11" spans="2:230" x14ac:dyDescent="0.15">
      <c r="B11" s="89" t="s">
        <v>15</v>
      </c>
      <c r="C11" s="272">
        <v>50782920</v>
      </c>
      <c r="D11" s="455">
        <f t="shared" si="0"/>
        <v>21656010</v>
      </c>
      <c r="E11" s="272">
        <v>492000</v>
      </c>
      <c r="F11" s="456">
        <v>21164010</v>
      </c>
      <c r="G11" s="455">
        <f t="shared" si="1"/>
        <v>3247296</v>
      </c>
      <c r="H11" s="272">
        <v>757450</v>
      </c>
      <c r="I11" s="272">
        <v>2489846</v>
      </c>
      <c r="J11" s="272">
        <v>19075793</v>
      </c>
      <c r="K11" s="272">
        <v>8323465</v>
      </c>
      <c r="L11" s="272">
        <v>8005874</v>
      </c>
      <c r="M11" s="272">
        <v>2505909</v>
      </c>
      <c r="N11" s="272">
        <v>1612257</v>
      </c>
      <c r="O11" s="272">
        <v>3915764</v>
      </c>
      <c r="P11" s="272">
        <v>2210138</v>
      </c>
      <c r="Q11" s="272">
        <v>1705626</v>
      </c>
      <c r="R11" s="272">
        <v>753462</v>
      </c>
      <c r="S11" s="272">
        <v>0</v>
      </c>
      <c r="T11" s="455">
        <f t="shared" si="2"/>
        <v>3984782</v>
      </c>
      <c r="U11" s="272">
        <v>345412</v>
      </c>
      <c r="V11" s="272">
        <v>135704</v>
      </c>
      <c r="W11" s="456">
        <v>48581</v>
      </c>
      <c r="X11" s="272">
        <v>2758562</v>
      </c>
      <c r="Y11" s="272">
        <v>70687</v>
      </c>
      <c r="Z11" s="272">
        <v>0</v>
      </c>
      <c r="AA11" s="272">
        <v>625836</v>
      </c>
      <c r="AB11" s="272">
        <v>757093</v>
      </c>
      <c r="AC11" s="272">
        <v>8981452</v>
      </c>
      <c r="AD11" s="272">
        <v>8540798</v>
      </c>
      <c r="AE11" s="272">
        <v>440654</v>
      </c>
      <c r="AF11" s="272">
        <v>61626</v>
      </c>
      <c r="AG11" s="272">
        <v>972027</v>
      </c>
      <c r="AH11" s="455">
        <f t="shared" si="3"/>
        <v>2769697</v>
      </c>
      <c r="AI11" s="272">
        <v>1856475</v>
      </c>
      <c r="AJ11" s="272">
        <v>913222</v>
      </c>
      <c r="AK11" s="272">
        <v>16929395</v>
      </c>
      <c r="AL11" s="455">
        <f t="shared" si="4"/>
        <v>6153228</v>
      </c>
      <c r="AM11" s="272">
        <v>5367740</v>
      </c>
      <c r="AN11" s="272">
        <v>785488</v>
      </c>
      <c r="AO11" s="272">
        <v>0</v>
      </c>
      <c r="AP11" s="272">
        <v>0</v>
      </c>
      <c r="AQ11" s="272">
        <v>1754202</v>
      </c>
      <c r="AR11" s="272">
        <v>0</v>
      </c>
      <c r="AS11" s="272">
        <v>0</v>
      </c>
      <c r="AT11" s="272">
        <v>4416109</v>
      </c>
      <c r="AU11" s="272">
        <v>1666123</v>
      </c>
      <c r="AV11" s="272">
        <v>0</v>
      </c>
      <c r="AW11" s="272">
        <v>14000</v>
      </c>
      <c r="AX11" s="272">
        <v>2749986</v>
      </c>
      <c r="AY11" s="272">
        <v>7675</v>
      </c>
      <c r="AZ11" s="272">
        <v>208614</v>
      </c>
      <c r="BA11" s="272">
        <v>101110</v>
      </c>
      <c r="BB11" s="272">
        <v>17320</v>
      </c>
      <c r="BC11" s="272">
        <v>1584625</v>
      </c>
      <c r="BD11" s="272">
        <v>0</v>
      </c>
      <c r="BE11" s="272">
        <v>0</v>
      </c>
      <c r="BF11" s="272">
        <v>1441676</v>
      </c>
      <c r="BG11" s="272">
        <v>0</v>
      </c>
      <c r="BH11" s="272">
        <v>1050118</v>
      </c>
      <c r="BI11" s="272">
        <v>525227</v>
      </c>
      <c r="BJ11" s="272">
        <v>1612501</v>
      </c>
      <c r="BK11" s="272">
        <v>994218</v>
      </c>
      <c r="BL11" s="272">
        <v>0</v>
      </c>
      <c r="BM11" s="272">
        <v>83484</v>
      </c>
      <c r="BN11" s="272">
        <v>5463000</v>
      </c>
      <c r="BO11" s="455">
        <f t="shared" si="5"/>
        <v>3063000</v>
      </c>
      <c r="BP11" s="455">
        <f t="shared" si="6"/>
        <v>2400000</v>
      </c>
      <c r="BQ11" s="272">
        <v>0</v>
      </c>
      <c r="BR11" s="272">
        <v>0</v>
      </c>
      <c r="BS11" s="272">
        <v>2400000</v>
      </c>
      <c r="BT11" s="272">
        <v>0</v>
      </c>
      <c r="BU11" s="272">
        <v>100344741</v>
      </c>
      <c r="BV11" s="272"/>
      <c r="BW11" s="272">
        <v>24551126</v>
      </c>
      <c r="BX11" s="272">
        <v>15093566</v>
      </c>
      <c r="BY11" s="272">
        <v>4393226</v>
      </c>
      <c r="BZ11" s="272">
        <v>1839510</v>
      </c>
      <c r="CA11" s="272">
        <v>19747584</v>
      </c>
      <c r="CB11" s="272">
        <v>3975393</v>
      </c>
      <c r="CC11" s="272">
        <v>683841</v>
      </c>
      <c r="CD11" s="272">
        <v>7477210</v>
      </c>
      <c r="CE11" s="272">
        <v>7094770</v>
      </c>
      <c r="CF11" s="272">
        <v>173891</v>
      </c>
      <c r="CG11" s="272">
        <v>341289</v>
      </c>
      <c r="CH11" s="272">
        <v>8112209</v>
      </c>
      <c r="CI11" s="272">
        <v>7014605</v>
      </c>
      <c r="CJ11" s="455">
        <f t="shared" si="7"/>
        <v>1097604</v>
      </c>
      <c r="CK11" s="272">
        <v>11897371</v>
      </c>
      <c r="CL11" s="272">
        <v>6540599</v>
      </c>
      <c r="CM11" s="272">
        <v>666355</v>
      </c>
      <c r="CN11" s="272">
        <v>3102649</v>
      </c>
      <c r="CO11" s="272">
        <v>1434960</v>
      </c>
      <c r="CP11" s="272">
        <v>6980125</v>
      </c>
      <c r="CQ11" s="272">
        <v>25904</v>
      </c>
      <c r="CR11" s="272">
        <v>4546603</v>
      </c>
      <c r="CS11" s="272">
        <v>1558731</v>
      </c>
      <c r="CT11" s="455">
        <f t="shared" si="8"/>
        <v>980214</v>
      </c>
      <c r="CU11" s="272">
        <v>48600</v>
      </c>
      <c r="CV11" s="272">
        <v>931614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9176364</v>
      </c>
      <c r="DD11" s="272">
        <v>3369254</v>
      </c>
      <c r="DE11" s="272">
        <v>5714388</v>
      </c>
      <c r="DF11" s="26">
        <v>92722</v>
      </c>
      <c r="DG11" s="27">
        <v>0</v>
      </c>
      <c r="DH11" s="272">
        <v>0</v>
      </c>
      <c r="DI11" s="272">
        <v>1341314</v>
      </c>
      <c r="DJ11" s="272">
        <v>188255</v>
      </c>
      <c r="DK11" s="272">
        <v>4849</v>
      </c>
      <c r="DL11" s="272">
        <v>1148210</v>
      </c>
      <c r="DM11" s="272">
        <v>21000</v>
      </c>
      <c r="DN11" s="272">
        <v>0</v>
      </c>
      <c r="DO11" s="272">
        <v>0</v>
      </c>
      <c r="DP11" s="272">
        <v>0</v>
      </c>
      <c r="DQ11" s="272">
        <v>980574</v>
      </c>
      <c r="DR11" s="272">
        <v>0</v>
      </c>
      <c r="DS11" s="272">
        <v>0</v>
      </c>
      <c r="DT11" s="272">
        <v>12263605</v>
      </c>
      <c r="DU11" s="272">
        <v>4360000</v>
      </c>
      <c r="DV11" s="455">
        <f t="shared" si="11"/>
        <v>0</v>
      </c>
      <c r="DW11" s="272">
        <v>0</v>
      </c>
      <c r="DX11" s="272">
        <v>2564027</v>
      </c>
      <c r="DY11" s="272">
        <v>0</v>
      </c>
      <c r="DZ11" s="272">
        <v>2689788</v>
      </c>
      <c r="EA11" s="272">
        <v>222441</v>
      </c>
      <c r="EB11" s="272">
        <v>2425284</v>
      </c>
      <c r="EC11" s="272">
        <v>0</v>
      </c>
      <c r="ED11" s="272">
        <v>96506232</v>
      </c>
      <c r="EE11" s="89"/>
      <c r="EF11" s="272">
        <v>3838509</v>
      </c>
      <c r="EG11" s="272">
        <v>3227039</v>
      </c>
      <c r="EH11" s="272">
        <v>611470</v>
      </c>
      <c r="EI11" s="272">
        <v>86243</v>
      </c>
      <c r="EJ11" s="272">
        <v>590571</v>
      </c>
      <c r="EK11" s="89"/>
      <c r="EL11" s="272"/>
      <c r="EM11" s="272">
        <v>355483</v>
      </c>
      <c r="EN11" s="272">
        <v>1474269</v>
      </c>
      <c r="EO11" s="272">
        <v>84027</v>
      </c>
      <c r="EP11" s="455">
        <f t="shared" si="12"/>
        <v>1728674</v>
      </c>
      <c r="EQ11" s="272">
        <v>65321335</v>
      </c>
      <c r="ER11" s="272">
        <v>-5625344</v>
      </c>
      <c r="ES11" s="272">
        <v>22985971</v>
      </c>
      <c r="ET11" s="272">
        <v>13667898</v>
      </c>
      <c r="EU11" s="272">
        <v>6919155</v>
      </c>
      <c r="EV11" s="272">
        <v>8031977</v>
      </c>
      <c r="EW11" s="455">
        <f t="shared" si="13"/>
        <v>3977069</v>
      </c>
      <c r="EX11" s="272">
        <v>3977069</v>
      </c>
      <c r="EY11" s="272">
        <v>647675</v>
      </c>
      <c r="EZ11" s="272">
        <v>3236672</v>
      </c>
      <c r="FA11" s="272">
        <v>0</v>
      </c>
      <c r="FB11" s="272">
        <v>0</v>
      </c>
      <c r="FC11" s="272">
        <v>9523807</v>
      </c>
      <c r="FD11" s="272">
        <v>3776976</v>
      </c>
      <c r="FE11" s="272">
        <v>25904</v>
      </c>
      <c r="FF11" s="272">
        <v>11198282</v>
      </c>
      <c r="FG11" s="455">
        <f t="shared" si="14"/>
        <v>2636830</v>
      </c>
      <c r="FH11" s="272">
        <v>69050067</v>
      </c>
      <c r="FI11" s="459">
        <f t="shared" si="15"/>
        <v>1</v>
      </c>
      <c r="FJ11" s="272">
        <v>61597581</v>
      </c>
      <c r="FK11" s="272">
        <v>2455088</v>
      </c>
      <c r="FL11" s="272">
        <v>40863439</v>
      </c>
      <c r="FM11" s="272">
        <v>49403941</v>
      </c>
      <c r="FN11" s="460">
        <v>0.82599999999999996</v>
      </c>
      <c r="FO11" s="388">
        <v>92.9</v>
      </c>
      <c r="FP11" s="388">
        <v>35.4</v>
      </c>
      <c r="FQ11" s="388">
        <v>10.9</v>
      </c>
      <c r="FR11" s="388">
        <v>12.1</v>
      </c>
      <c r="FS11" s="388">
        <v>14.4</v>
      </c>
      <c r="FT11" s="388">
        <v>4.0999999999999996</v>
      </c>
      <c r="FU11" s="388">
        <v>13.8</v>
      </c>
      <c r="FV11" s="384">
        <f t="shared" si="16"/>
        <v>0.9</v>
      </c>
      <c r="FW11" s="272">
        <v>51975740</v>
      </c>
      <c r="FX11" s="384">
        <f t="shared" si="17"/>
        <v>81.099999999999994</v>
      </c>
      <c r="FY11" s="272">
        <v>35485497</v>
      </c>
      <c r="FZ11" s="272">
        <v>10766641</v>
      </c>
      <c r="GA11" s="272">
        <v>2679756</v>
      </c>
      <c r="GB11" s="272">
        <v>22039100</v>
      </c>
      <c r="GC11" s="272">
        <v>0</v>
      </c>
      <c r="GD11" s="272">
        <v>1524821</v>
      </c>
      <c r="GE11" s="384">
        <f t="shared" si="18"/>
        <v>2.4</v>
      </c>
      <c r="GF11" s="388">
        <v>98.4</v>
      </c>
      <c r="GG11" s="388">
        <v>21</v>
      </c>
      <c r="GH11" s="388">
        <v>95.1</v>
      </c>
      <c r="GI11" s="272">
        <v>2069</v>
      </c>
      <c r="GJ11" s="461" t="s">
        <v>646</v>
      </c>
      <c r="GK11" s="461">
        <v>11.25</v>
      </c>
      <c r="GL11" s="462">
        <v>20</v>
      </c>
      <c r="GM11" s="461" t="s">
        <v>646</v>
      </c>
      <c r="GN11" s="462">
        <v>16.25</v>
      </c>
      <c r="GO11" s="462">
        <v>40</v>
      </c>
      <c r="GP11" s="463">
        <v>0.9</v>
      </c>
      <c r="GQ11" s="463">
        <v>25</v>
      </c>
      <c r="GR11" s="463">
        <v>35</v>
      </c>
      <c r="GS11" s="464" t="s">
        <v>646</v>
      </c>
      <c r="GT11" s="463">
        <v>350</v>
      </c>
      <c r="GU11" s="394"/>
      <c r="GV11" s="394"/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</row>
    <row r="12" spans="2:230" x14ac:dyDescent="0.15">
      <c r="B12" s="89" t="s">
        <v>17</v>
      </c>
      <c r="C12" s="272">
        <v>11739088</v>
      </c>
      <c r="D12" s="455">
        <f t="shared" si="0"/>
        <v>4070347</v>
      </c>
      <c r="E12" s="272">
        <v>111145</v>
      </c>
      <c r="F12" s="456">
        <v>3959202</v>
      </c>
      <c r="G12" s="455">
        <f t="shared" si="1"/>
        <v>876864</v>
      </c>
      <c r="H12" s="272">
        <v>189803</v>
      </c>
      <c r="I12" s="272">
        <v>687061</v>
      </c>
      <c r="J12" s="272">
        <v>4984347</v>
      </c>
      <c r="K12" s="272">
        <v>1782956</v>
      </c>
      <c r="L12" s="272">
        <v>2181331</v>
      </c>
      <c r="M12" s="272">
        <v>803905</v>
      </c>
      <c r="N12" s="272">
        <v>760549</v>
      </c>
      <c r="O12" s="272">
        <v>910327</v>
      </c>
      <c r="P12" s="272">
        <v>409424</v>
      </c>
      <c r="Q12" s="272">
        <v>500903</v>
      </c>
      <c r="R12" s="272">
        <v>207578</v>
      </c>
      <c r="S12" s="272">
        <v>0</v>
      </c>
      <c r="T12" s="455">
        <f t="shared" si="2"/>
        <v>1031216</v>
      </c>
      <c r="U12" s="272">
        <v>65173</v>
      </c>
      <c r="V12" s="272">
        <v>25604</v>
      </c>
      <c r="W12" s="456">
        <v>9166</v>
      </c>
      <c r="X12" s="272">
        <v>760274</v>
      </c>
      <c r="Y12" s="272">
        <v>0</v>
      </c>
      <c r="Z12" s="272">
        <v>0</v>
      </c>
      <c r="AA12" s="272">
        <v>170999</v>
      </c>
      <c r="AB12" s="272">
        <v>198163</v>
      </c>
      <c r="AC12" s="272">
        <v>3629249</v>
      </c>
      <c r="AD12" s="272">
        <v>3253641</v>
      </c>
      <c r="AE12" s="272">
        <v>375608</v>
      </c>
      <c r="AF12" s="272">
        <v>20080</v>
      </c>
      <c r="AG12" s="272">
        <v>407687</v>
      </c>
      <c r="AH12" s="455">
        <f t="shared" si="3"/>
        <v>561506</v>
      </c>
      <c r="AI12" s="272">
        <v>466715</v>
      </c>
      <c r="AJ12" s="272">
        <v>94791</v>
      </c>
      <c r="AK12" s="272">
        <v>3322400</v>
      </c>
      <c r="AL12" s="455">
        <f t="shared" si="4"/>
        <v>1840444</v>
      </c>
      <c r="AM12" s="272">
        <v>1435434</v>
      </c>
      <c r="AN12" s="272">
        <v>405010</v>
      </c>
      <c r="AO12" s="272">
        <v>0</v>
      </c>
      <c r="AP12" s="272">
        <v>0</v>
      </c>
      <c r="AQ12" s="272">
        <v>346639</v>
      </c>
      <c r="AR12" s="272">
        <v>10251</v>
      </c>
      <c r="AS12" s="272">
        <v>0</v>
      </c>
      <c r="AT12" s="272">
        <v>1710023</v>
      </c>
      <c r="AU12" s="272">
        <v>834913</v>
      </c>
      <c r="AV12" s="272">
        <v>202505</v>
      </c>
      <c r="AW12" s="272">
        <v>21754</v>
      </c>
      <c r="AX12" s="272">
        <v>875110</v>
      </c>
      <c r="AY12" s="272">
        <v>30564</v>
      </c>
      <c r="AZ12" s="272">
        <v>55009</v>
      </c>
      <c r="BA12" s="272">
        <v>51404</v>
      </c>
      <c r="BB12" s="272">
        <v>4341</v>
      </c>
      <c r="BC12" s="272">
        <v>542637</v>
      </c>
      <c r="BD12" s="272">
        <v>50000</v>
      </c>
      <c r="BE12" s="272">
        <v>0</v>
      </c>
      <c r="BF12" s="272">
        <v>485404</v>
      </c>
      <c r="BG12" s="272">
        <v>0</v>
      </c>
      <c r="BH12" s="272">
        <v>138407</v>
      </c>
      <c r="BI12" s="272">
        <v>50967</v>
      </c>
      <c r="BJ12" s="272">
        <v>3336010</v>
      </c>
      <c r="BK12" s="272">
        <v>3001540</v>
      </c>
      <c r="BL12" s="272">
        <v>0</v>
      </c>
      <c r="BM12" s="272">
        <v>52638</v>
      </c>
      <c r="BN12" s="272">
        <v>1796700</v>
      </c>
      <c r="BO12" s="455">
        <f t="shared" si="5"/>
        <v>1040400</v>
      </c>
      <c r="BP12" s="455">
        <f t="shared" si="6"/>
        <v>756300</v>
      </c>
      <c r="BQ12" s="272">
        <v>0</v>
      </c>
      <c r="BR12" s="272">
        <v>0</v>
      </c>
      <c r="BS12" s="272">
        <v>756300</v>
      </c>
      <c r="BT12" s="272">
        <v>0</v>
      </c>
      <c r="BU12" s="272">
        <v>28700094</v>
      </c>
      <c r="BV12" s="272"/>
      <c r="BW12" s="272">
        <v>5770462</v>
      </c>
      <c r="BX12" s="272">
        <v>3686525</v>
      </c>
      <c r="BY12" s="272">
        <v>543865</v>
      </c>
      <c r="BZ12" s="272">
        <v>552999</v>
      </c>
      <c r="CA12" s="272">
        <v>5892869</v>
      </c>
      <c r="CB12" s="272">
        <v>850910</v>
      </c>
      <c r="CC12" s="272">
        <v>167696</v>
      </c>
      <c r="CD12" s="272">
        <v>2863197</v>
      </c>
      <c r="CE12" s="272">
        <v>1899492</v>
      </c>
      <c r="CF12" s="272">
        <v>0</v>
      </c>
      <c r="CG12" s="272">
        <v>111574</v>
      </c>
      <c r="CH12" s="272">
        <v>2574496</v>
      </c>
      <c r="CI12" s="272">
        <v>2008256</v>
      </c>
      <c r="CJ12" s="455">
        <f t="shared" si="7"/>
        <v>566240</v>
      </c>
      <c r="CK12" s="272">
        <v>2627079</v>
      </c>
      <c r="CL12" s="272">
        <v>1321082</v>
      </c>
      <c r="CM12" s="272">
        <v>264270</v>
      </c>
      <c r="CN12" s="272">
        <v>528703</v>
      </c>
      <c r="CO12" s="272">
        <v>141788</v>
      </c>
      <c r="CP12" s="272">
        <v>2776040</v>
      </c>
      <c r="CQ12" s="272">
        <v>893314</v>
      </c>
      <c r="CR12" s="272">
        <v>774321</v>
      </c>
      <c r="CS12" s="272">
        <v>693268</v>
      </c>
      <c r="CT12" s="455">
        <f t="shared" si="8"/>
        <v>717617</v>
      </c>
      <c r="CU12" s="272">
        <v>596967</v>
      </c>
      <c r="CV12" s="272">
        <v>120650</v>
      </c>
      <c r="CW12" s="455">
        <f t="shared" si="9"/>
        <v>707000</v>
      </c>
      <c r="CX12" s="272">
        <v>591330</v>
      </c>
      <c r="CY12" s="272">
        <v>115670</v>
      </c>
      <c r="CZ12" s="455">
        <f t="shared" si="10"/>
        <v>0</v>
      </c>
      <c r="DA12" s="272">
        <v>0</v>
      </c>
      <c r="DB12" s="272">
        <v>0</v>
      </c>
      <c r="DC12" s="272">
        <v>2253030</v>
      </c>
      <c r="DD12" s="272">
        <v>702651</v>
      </c>
      <c r="DE12" s="272">
        <v>1409405</v>
      </c>
      <c r="DF12" s="26">
        <v>140974</v>
      </c>
      <c r="DG12" s="27">
        <v>0</v>
      </c>
      <c r="DH12" s="272">
        <v>22709</v>
      </c>
      <c r="DI12" s="272">
        <v>84624</v>
      </c>
      <c r="DJ12" s="272">
        <v>30</v>
      </c>
      <c r="DK12" s="272">
        <v>0</v>
      </c>
      <c r="DL12" s="272">
        <v>84594</v>
      </c>
      <c r="DM12" s="272">
        <v>6300</v>
      </c>
      <c r="DN12" s="272">
        <v>0</v>
      </c>
      <c r="DO12" s="272">
        <v>0</v>
      </c>
      <c r="DP12" s="272">
        <v>0</v>
      </c>
      <c r="DQ12" s="272">
        <v>3002216</v>
      </c>
      <c r="DR12" s="272">
        <v>0</v>
      </c>
      <c r="DS12" s="272">
        <v>0</v>
      </c>
      <c r="DT12" s="272">
        <v>3406670</v>
      </c>
      <c r="DU12" s="272">
        <v>1369952</v>
      </c>
      <c r="DV12" s="455">
        <f t="shared" si="11"/>
        <v>0</v>
      </c>
      <c r="DW12" s="272">
        <v>0</v>
      </c>
      <c r="DX12" s="272">
        <v>718683</v>
      </c>
      <c r="DY12" s="272">
        <v>0</v>
      </c>
      <c r="DZ12" s="272">
        <v>579537</v>
      </c>
      <c r="EA12" s="272">
        <v>54754</v>
      </c>
      <c r="EB12" s="272">
        <v>678674</v>
      </c>
      <c r="EC12" s="272">
        <v>0</v>
      </c>
      <c r="ED12" s="272">
        <v>28558283</v>
      </c>
      <c r="EE12" s="89"/>
      <c r="EF12" s="272">
        <v>141811</v>
      </c>
      <c r="EG12" s="272">
        <v>60488</v>
      </c>
      <c r="EH12" s="272">
        <v>81323</v>
      </c>
      <c r="EI12" s="272">
        <v>30356</v>
      </c>
      <c r="EJ12" s="272">
        <v>8284</v>
      </c>
      <c r="EK12" s="89"/>
      <c r="EL12" s="272"/>
      <c r="EM12" s="272">
        <v>90150</v>
      </c>
      <c r="EN12" s="272">
        <v>51500</v>
      </c>
      <c r="EO12" s="272">
        <v>39288</v>
      </c>
      <c r="EP12" s="455">
        <f t="shared" si="12"/>
        <v>346993</v>
      </c>
      <c r="EQ12" s="272">
        <v>16825374</v>
      </c>
      <c r="ER12" s="272">
        <v>-1174001</v>
      </c>
      <c r="ES12" s="272">
        <v>5300914</v>
      </c>
      <c r="ET12" s="272">
        <v>3374260</v>
      </c>
      <c r="EU12" s="272">
        <v>1850388</v>
      </c>
      <c r="EV12" s="272">
        <v>2553128</v>
      </c>
      <c r="EW12" s="455">
        <f t="shared" si="13"/>
        <v>517467</v>
      </c>
      <c r="EX12" s="272">
        <v>501058</v>
      </c>
      <c r="EY12" s="272">
        <v>55525</v>
      </c>
      <c r="EZ12" s="272">
        <v>365401</v>
      </c>
      <c r="FA12" s="272">
        <v>16409</v>
      </c>
      <c r="FB12" s="272">
        <v>0</v>
      </c>
      <c r="FC12" s="272">
        <v>2099774</v>
      </c>
      <c r="FD12" s="272">
        <v>2345356</v>
      </c>
      <c r="FE12" s="272">
        <v>601314</v>
      </c>
      <c r="FF12" s="272">
        <v>3032522</v>
      </c>
      <c r="FG12" s="455">
        <f t="shared" si="14"/>
        <v>158015</v>
      </c>
      <c r="FH12" s="272">
        <v>17857564</v>
      </c>
      <c r="FI12" s="459">
        <f t="shared" si="15"/>
        <v>0.5</v>
      </c>
      <c r="FJ12" s="272">
        <v>15755738</v>
      </c>
      <c r="FK12" s="272">
        <v>756301</v>
      </c>
      <c r="FL12" s="272">
        <v>9636925</v>
      </c>
      <c r="FM12" s="272">
        <v>12892692</v>
      </c>
      <c r="FN12" s="460">
        <v>0.746</v>
      </c>
      <c r="FO12" s="388">
        <v>98.5</v>
      </c>
      <c r="FP12" s="388">
        <v>31.1</v>
      </c>
      <c r="FQ12" s="388">
        <v>11.2</v>
      </c>
      <c r="FR12" s="388">
        <v>15.4</v>
      </c>
      <c r="FS12" s="388">
        <v>11.5</v>
      </c>
      <c r="FT12" s="388">
        <v>12</v>
      </c>
      <c r="FU12" s="388">
        <v>16.600000000000001</v>
      </c>
      <c r="FV12" s="384">
        <f t="shared" si="16"/>
        <v>12.4</v>
      </c>
      <c r="FW12" s="272">
        <v>22434002</v>
      </c>
      <c r="FX12" s="384">
        <f t="shared" si="17"/>
        <v>135.9</v>
      </c>
      <c r="FY12" s="272">
        <v>3511569</v>
      </c>
      <c r="FZ12" s="272">
        <v>1016727</v>
      </c>
      <c r="GA12" s="272">
        <v>188585</v>
      </c>
      <c r="GB12" s="272">
        <v>2306257</v>
      </c>
      <c r="GC12" s="272">
        <v>0</v>
      </c>
      <c r="GD12" s="272">
        <v>4377335</v>
      </c>
      <c r="GE12" s="384">
        <f t="shared" si="18"/>
        <v>26.5</v>
      </c>
      <c r="GF12" s="388">
        <v>98.1</v>
      </c>
      <c r="GG12" s="388">
        <v>20.3</v>
      </c>
      <c r="GH12" s="388">
        <v>92.7</v>
      </c>
      <c r="GI12" s="272">
        <v>578</v>
      </c>
      <c r="GJ12" s="461" t="s">
        <v>646</v>
      </c>
      <c r="GK12" s="461">
        <v>12.68</v>
      </c>
      <c r="GL12" s="462">
        <v>20</v>
      </c>
      <c r="GM12" s="461" t="s">
        <v>646</v>
      </c>
      <c r="GN12" s="462">
        <v>17.68</v>
      </c>
      <c r="GO12" s="462">
        <v>40</v>
      </c>
      <c r="GP12" s="463">
        <v>12.4</v>
      </c>
      <c r="GQ12" s="463">
        <v>25</v>
      </c>
      <c r="GR12" s="463">
        <v>35</v>
      </c>
      <c r="GS12" s="464">
        <v>150.1</v>
      </c>
      <c r="GT12" s="463">
        <v>350</v>
      </c>
      <c r="GU12" s="394"/>
      <c r="GV12" s="394"/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</row>
    <row r="13" spans="2:230" x14ac:dyDescent="0.15">
      <c r="B13" s="89" t="s">
        <v>19</v>
      </c>
      <c r="C13" s="272">
        <v>23556072</v>
      </c>
      <c r="D13" s="455">
        <f t="shared" si="0"/>
        <v>7029125</v>
      </c>
      <c r="E13" s="272">
        <v>182885</v>
      </c>
      <c r="F13" s="456">
        <v>6846240</v>
      </c>
      <c r="G13" s="455">
        <f t="shared" si="1"/>
        <v>2106803</v>
      </c>
      <c r="H13" s="272">
        <v>503308</v>
      </c>
      <c r="I13" s="272">
        <v>1603495</v>
      </c>
      <c r="J13" s="272">
        <v>10370619</v>
      </c>
      <c r="K13" s="272">
        <v>4149105</v>
      </c>
      <c r="L13" s="272">
        <v>4055622</v>
      </c>
      <c r="M13" s="272">
        <v>1839842</v>
      </c>
      <c r="N13" s="272">
        <v>1027395</v>
      </c>
      <c r="O13" s="272">
        <v>2037122</v>
      </c>
      <c r="P13" s="272">
        <v>1126838</v>
      </c>
      <c r="Q13" s="272">
        <v>910284</v>
      </c>
      <c r="R13" s="272">
        <v>275062</v>
      </c>
      <c r="S13" s="272">
        <v>0</v>
      </c>
      <c r="T13" s="455">
        <f t="shared" si="2"/>
        <v>1891208</v>
      </c>
      <c r="U13" s="272">
        <v>115523</v>
      </c>
      <c r="V13" s="272">
        <v>45433</v>
      </c>
      <c r="W13" s="456">
        <v>16152</v>
      </c>
      <c r="X13" s="272">
        <v>1485631</v>
      </c>
      <c r="Y13" s="272">
        <v>0</v>
      </c>
      <c r="Z13" s="272">
        <v>0</v>
      </c>
      <c r="AA13" s="272">
        <v>228469</v>
      </c>
      <c r="AB13" s="272">
        <v>294550</v>
      </c>
      <c r="AC13" s="272">
        <v>4284147</v>
      </c>
      <c r="AD13" s="272">
        <v>3692088</v>
      </c>
      <c r="AE13" s="272">
        <v>592059</v>
      </c>
      <c r="AF13" s="272">
        <v>25201</v>
      </c>
      <c r="AG13" s="272">
        <v>1781025</v>
      </c>
      <c r="AH13" s="455">
        <f t="shared" si="3"/>
        <v>907358</v>
      </c>
      <c r="AI13" s="272">
        <v>574352</v>
      </c>
      <c r="AJ13" s="272">
        <v>333006</v>
      </c>
      <c r="AK13" s="272">
        <v>10854422</v>
      </c>
      <c r="AL13" s="455">
        <f t="shared" si="4"/>
        <v>6432284</v>
      </c>
      <c r="AM13" s="272">
        <v>6035112</v>
      </c>
      <c r="AN13" s="272">
        <v>397172</v>
      </c>
      <c r="AO13" s="272">
        <v>0</v>
      </c>
      <c r="AP13" s="272">
        <v>0</v>
      </c>
      <c r="AQ13" s="272">
        <v>126118</v>
      </c>
      <c r="AR13" s="272">
        <v>0</v>
      </c>
      <c r="AS13" s="272">
        <v>0</v>
      </c>
      <c r="AT13" s="272">
        <v>2808557</v>
      </c>
      <c r="AU13" s="272">
        <v>1220210</v>
      </c>
      <c r="AV13" s="272">
        <v>212952</v>
      </c>
      <c r="AW13" s="272">
        <v>500</v>
      </c>
      <c r="AX13" s="272">
        <v>1588347</v>
      </c>
      <c r="AY13" s="272">
        <v>105033</v>
      </c>
      <c r="AZ13" s="272">
        <v>175600</v>
      </c>
      <c r="BA13" s="272">
        <v>90260</v>
      </c>
      <c r="BB13" s="272">
        <v>23016</v>
      </c>
      <c r="BC13" s="272">
        <v>1474008</v>
      </c>
      <c r="BD13" s="272">
        <v>78000</v>
      </c>
      <c r="BE13" s="272">
        <v>92000</v>
      </c>
      <c r="BF13" s="272">
        <v>4008</v>
      </c>
      <c r="BG13" s="272">
        <v>1300000</v>
      </c>
      <c r="BH13" s="272">
        <v>0</v>
      </c>
      <c r="BI13" s="272">
        <v>0</v>
      </c>
      <c r="BJ13" s="272">
        <v>555567</v>
      </c>
      <c r="BK13" s="272">
        <v>28681</v>
      </c>
      <c r="BL13" s="272">
        <v>0</v>
      </c>
      <c r="BM13" s="272">
        <v>55624</v>
      </c>
      <c r="BN13" s="272">
        <v>3588300</v>
      </c>
      <c r="BO13" s="455">
        <f t="shared" si="5"/>
        <v>247800</v>
      </c>
      <c r="BP13" s="455">
        <f t="shared" si="6"/>
        <v>1671300</v>
      </c>
      <c r="BQ13" s="272">
        <v>0</v>
      </c>
      <c r="BR13" s="272">
        <v>487100</v>
      </c>
      <c r="BS13" s="272">
        <v>1184200</v>
      </c>
      <c r="BT13" s="272">
        <v>1669200</v>
      </c>
      <c r="BU13" s="272">
        <v>52494093</v>
      </c>
      <c r="BV13" s="272"/>
      <c r="BW13" s="272">
        <v>12980854</v>
      </c>
      <c r="BX13" s="272">
        <v>8384519</v>
      </c>
      <c r="BY13" s="272">
        <v>2324902</v>
      </c>
      <c r="BZ13" s="272">
        <v>472216</v>
      </c>
      <c r="CA13" s="272">
        <v>15358184</v>
      </c>
      <c r="CB13" s="272">
        <v>1657322</v>
      </c>
      <c r="CC13" s="272">
        <v>258878</v>
      </c>
      <c r="CD13" s="272">
        <v>3667913</v>
      </c>
      <c r="CE13" s="272">
        <v>8096551</v>
      </c>
      <c r="CF13" s="272">
        <v>1505522</v>
      </c>
      <c r="CG13" s="272">
        <v>171459</v>
      </c>
      <c r="CH13" s="272">
        <v>5053601</v>
      </c>
      <c r="CI13" s="272">
        <v>4049744</v>
      </c>
      <c r="CJ13" s="455">
        <f t="shared" si="7"/>
        <v>1003857</v>
      </c>
      <c r="CK13" s="272">
        <v>3715378</v>
      </c>
      <c r="CL13" s="272">
        <v>2235241</v>
      </c>
      <c r="CM13" s="272">
        <v>152026</v>
      </c>
      <c r="CN13" s="272">
        <v>713766</v>
      </c>
      <c r="CO13" s="272">
        <v>218285</v>
      </c>
      <c r="CP13" s="272">
        <v>3531344</v>
      </c>
      <c r="CQ13" s="272">
        <v>2148887</v>
      </c>
      <c r="CR13" s="272">
        <v>517403</v>
      </c>
      <c r="CS13" s="272">
        <v>416952</v>
      </c>
      <c r="CT13" s="455">
        <f t="shared" si="8"/>
        <v>77871</v>
      </c>
      <c r="CU13" s="272">
        <v>77871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723067</v>
      </c>
      <c r="DD13" s="272">
        <v>263627</v>
      </c>
      <c r="DE13" s="272">
        <v>379158</v>
      </c>
      <c r="DF13" s="26">
        <v>0</v>
      </c>
      <c r="DG13" s="27">
        <v>80282</v>
      </c>
      <c r="DH13" s="272">
        <v>0</v>
      </c>
      <c r="DI13" s="272">
        <v>55218</v>
      </c>
      <c r="DJ13" s="272">
        <v>733</v>
      </c>
      <c r="DK13" s="272">
        <v>857</v>
      </c>
      <c r="DL13" s="272">
        <v>53628</v>
      </c>
      <c r="DM13" s="272">
        <v>15288</v>
      </c>
      <c r="DN13" s="272">
        <v>12688</v>
      </c>
      <c r="DO13" s="272">
        <v>12688</v>
      </c>
      <c r="DP13" s="272">
        <v>0</v>
      </c>
      <c r="DQ13" s="272">
        <v>3824</v>
      </c>
      <c r="DR13" s="272">
        <v>0</v>
      </c>
      <c r="DS13" s="272">
        <v>0</v>
      </c>
      <c r="DT13" s="272">
        <v>5352649</v>
      </c>
      <c r="DU13" s="272">
        <v>1156800</v>
      </c>
      <c r="DV13" s="455">
        <f t="shared" si="11"/>
        <v>0</v>
      </c>
      <c r="DW13" s="272">
        <v>0</v>
      </c>
      <c r="DX13" s="272">
        <v>1111718</v>
      </c>
      <c r="DY13" s="272">
        <v>0</v>
      </c>
      <c r="DZ13" s="272">
        <v>1808163</v>
      </c>
      <c r="EA13" s="272">
        <v>100628</v>
      </c>
      <c r="EB13" s="272">
        <v>1175340</v>
      </c>
      <c r="EC13" s="272">
        <v>3961071</v>
      </c>
      <c r="ED13" s="272">
        <v>50968763</v>
      </c>
      <c r="EE13" s="89"/>
      <c r="EF13" s="272">
        <v>1525330</v>
      </c>
      <c r="EG13" s="272">
        <v>2384143</v>
      </c>
      <c r="EH13" s="272">
        <v>-858813</v>
      </c>
      <c r="EI13" s="272">
        <v>3102258</v>
      </c>
      <c r="EJ13" s="272">
        <v>3026855</v>
      </c>
      <c r="EK13" s="89"/>
      <c r="EL13" s="272"/>
      <c r="EM13" s="272">
        <v>145471</v>
      </c>
      <c r="EN13" s="272">
        <v>1470000</v>
      </c>
      <c r="EO13" s="272">
        <v>159046</v>
      </c>
      <c r="EP13" s="455">
        <f t="shared" si="12"/>
        <v>618420</v>
      </c>
      <c r="EQ13" s="272">
        <v>30326240</v>
      </c>
      <c r="ER13" s="272">
        <v>-3893565</v>
      </c>
      <c r="ES13" s="272">
        <v>10664052</v>
      </c>
      <c r="ET13" s="272">
        <v>7820618</v>
      </c>
      <c r="EU13" s="272">
        <v>4039788</v>
      </c>
      <c r="EV13" s="272">
        <v>5000829</v>
      </c>
      <c r="EW13" s="455">
        <f t="shared" si="13"/>
        <v>246286</v>
      </c>
      <c r="EX13" s="272">
        <v>246286</v>
      </c>
      <c r="EY13" s="272">
        <v>1892</v>
      </c>
      <c r="EZ13" s="272">
        <v>242642</v>
      </c>
      <c r="FA13" s="272">
        <v>0</v>
      </c>
      <c r="FB13" s="272">
        <v>0</v>
      </c>
      <c r="FC13" s="272">
        <v>3100389</v>
      </c>
      <c r="FD13" s="272">
        <v>3293193</v>
      </c>
      <c r="FE13" s="272">
        <v>2148887</v>
      </c>
      <c r="FF13" s="272">
        <v>4546260</v>
      </c>
      <c r="FG13" s="455">
        <f t="shared" si="14"/>
        <v>4179593</v>
      </c>
      <c r="FH13" s="272">
        <v>35070390</v>
      </c>
      <c r="FI13" s="459">
        <f t="shared" si="15"/>
        <v>-3</v>
      </c>
      <c r="FJ13" s="272">
        <v>27756640</v>
      </c>
      <c r="FK13" s="272">
        <v>1184228</v>
      </c>
      <c r="FL13" s="272">
        <v>18453558</v>
      </c>
      <c r="FM13" s="272">
        <v>22155669</v>
      </c>
      <c r="FN13" s="460">
        <v>0.82699999999999996</v>
      </c>
      <c r="FO13" s="388">
        <v>99.7</v>
      </c>
      <c r="FP13" s="388">
        <v>35.6</v>
      </c>
      <c r="FQ13" s="388">
        <v>13.6</v>
      </c>
      <c r="FR13" s="388">
        <v>16.899999999999999</v>
      </c>
      <c r="FS13" s="388">
        <v>9.8000000000000007</v>
      </c>
      <c r="FT13" s="388">
        <v>10.1</v>
      </c>
      <c r="FU13" s="388">
        <v>13.1</v>
      </c>
      <c r="FV13" s="384">
        <f t="shared" si="16"/>
        <v>6.4</v>
      </c>
      <c r="FW13" s="272">
        <v>46760016</v>
      </c>
      <c r="FX13" s="384">
        <f t="shared" si="17"/>
        <v>161.6</v>
      </c>
      <c r="FY13" s="272">
        <v>3420048</v>
      </c>
      <c r="FZ13" s="272">
        <v>1507</v>
      </c>
      <c r="GA13" s="272">
        <v>1137</v>
      </c>
      <c r="GB13" s="272">
        <v>3417404</v>
      </c>
      <c r="GC13" s="272">
        <v>3058800</v>
      </c>
      <c r="GD13" s="272">
        <v>5605671</v>
      </c>
      <c r="GE13" s="384">
        <f t="shared" si="18"/>
        <v>19.399999999999999</v>
      </c>
      <c r="GF13" s="388">
        <v>97.6</v>
      </c>
      <c r="GG13" s="388">
        <v>17.5</v>
      </c>
      <c r="GH13" s="388">
        <v>91.8</v>
      </c>
      <c r="GI13" s="272">
        <v>1068</v>
      </c>
      <c r="GJ13" s="461">
        <v>2.96</v>
      </c>
      <c r="GK13" s="461">
        <v>11.86</v>
      </c>
      <c r="GL13" s="462">
        <v>20</v>
      </c>
      <c r="GM13" s="461">
        <v>11.71</v>
      </c>
      <c r="GN13" s="462">
        <v>16.86</v>
      </c>
      <c r="GO13" s="462">
        <v>40</v>
      </c>
      <c r="GP13" s="463">
        <v>6.4</v>
      </c>
      <c r="GQ13" s="463">
        <v>25</v>
      </c>
      <c r="GR13" s="463">
        <v>35</v>
      </c>
      <c r="GS13" s="464">
        <v>144</v>
      </c>
      <c r="GT13" s="463">
        <v>350</v>
      </c>
      <c r="GU13" s="394"/>
      <c r="GV13" s="394"/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</row>
    <row r="14" spans="2:230" x14ac:dyDescent="0.15">
      <c r="B14" s="89" t="s">
        <v>21</v>
      </c>
      <c r="C14" s="272">
        <v>60018669</v>
      </c>
      <c r="D14" s="455">
        <f t="shared" si="0"/>
        <v>24815625</v>
      </c>
      <c r="E14" s="272">
        <v>549133</v>
      </c>
      <c r="F14" s="456">
        <v>24266492</v>
      </c>
      <c r="G14" s="455">
        <f t="shared" si="1"/>
        <v>4740401</v>
      </c>
      <c r="H14" s="272">
        <v>701132</v>
      </c>
      <c r="I14" s="272">
        <v>4039269</v>
      </c>
      <c r="J14" s="272">
        <v>22217169</v>
      </c>
      <c r="K14" s="272">
        <v>9221714</v>
      </c>
      <c r="L14" s="272">
        <v>9772590</v>
      </c>
      <c r="M14" s="272">
        <v>2664091</v>
      </c>
      <c r="N14" s="272">
        <v>1828293</v>
      </c>
      <c r="O14" s="272">
        <v>4794767</v>
      </c>
      <c r="P14" s="272">
        <v>2640667</v>
      </c>
      <c r="Q14" s="272">
        <v>2154100</v>
      </c>
      <c r="R14" s="272">
        <v>769608</v>
      </c>
      <c r="S14" s="272">
        <v>0</v>
      </c>
      <c r="T14" s="455">
        <f t="shared" si="2"/>
        <v>4572781</v>
      </c>
      <c r="U14" s="272">
        <v>401644</v>
      </c>
      <c r="V14" s="272">
        <v>157973</v>
      </c>
      <c r="W14" s="456">
        <v>56128</v>
      </c>
      <c r="X14" s="272">
        <v>3208550</v>
      </c>
      <c r="Y14" s="272">
        <v>109238</v>
      </c>
      <c r="Z14" s="272">
        <v>0</v>
      </c>
      <c r="AA14" s="272">
        <v>639248</v>
      </c>
      <c r="AB14" s="272">
        <v>888930</v>
      </c>
      <c r="AC14" s="272">
        <v>5527877</v>
      </c>
      <c r="AD14" s="272">
        <v>5321624</v>
      </c>
      <c r="AE14" s="272">
        <v>206253</v>
      </c>
      <c r="AF14" s="272">
        <v>73703</v>
      </c>
      <c r="AG14" s="272">
        <v>976310</v>
      </c>
      <c r="AH14" s="455">
        <f t="shared" si="3"/>
        <v>2304215</v>
      </c>
      <c r="AI14" s="272">
        <v>1840475</v>
      </c>
      <c r="AJ14" s="272">
        <v>463740</v>
      </c>
      <c r="AK14" s="272">
        <v>14622327</v>
      </c>
      <c r="AL14" s="455">
        <f t="shared" si="4"/>
        <v>8185231</v>
      </c>
      <c r="AM14" s="272">
        <v>6941534</v>
      </c>
      <c r="AN14" s="272">
        <v>1243697</v>
      </c>
      <c r="AO14" s="272">
        <v>0</v>
      </c>
      <c r="AP14" s="272">
        <v>0</v>
      </c>
      <c r="AQ14" s="272">
        <v>1989052</v>
      </c>
      <c r="AR14" s="272">
        <v>0</v>
      </c>
      <c r="AS14" s="272">
        <v>0</v>
      </c>
      <c r="AT14" s="272">
        <v>6119930</v>
      </c>
      <c r="AU14" s="272">
        <v>3318867</v>
      </c>
      <c r="AV14" s="272">
        <v>621849</v>
      </c>
      <c r="AW14" s="272">
        <v>18669</v>
      </c>
      <c r="AX14" s="272">
        <v>2801063</v>
      </c>
      <c r="AY14" s="272">
        <v>4534</v>
      </c>
      <c r="AZ14" s="272">
        <v>167126</v>
      </c>
      <c r="BA14" s="272">
        <v>48142</v>
      </c>
      <c r="BB14" s="272">
        <v>58856</v>
      </c>
      <c r="BC14" s="272">
        <v>1536863</v>
      </c>
      <c r="BD14" s="272">
        <v>99079</v>
      </c>
      <c r="BE14" s="272">
        <v>378601</v>
      </c>
      <c r="BF14" s="272">
        <v>941183</v>
      </c>
      <c r="BG14" s="272">
        <v>0</v>
      </c>
      <c r="BH14" s="272">
        <v>1147860</v>
      </c>
      <c r="BI14" s="272">
        <v>867572</v>
      </c>
      <c r="BJ14" s="272">
        <v>794544</v>
      </c>
      <c r="BK14" s="272">
        <v>0</v>
      </c>
      <c r="BL14" s="272">
        <v>0</v>
      </c>
      <c r="BM14" s="272">
        <v>69029</v>
      </c>
      <c r="BN14" s="272">
        <v>8490500</v>
      </c>
      <c r="BO14" s="455">
        <f t="shared" si="5"/>
        <v>5742000</v>
      </c>
      <c r="BP14" s="455">
        <f t="shared" si="6"/>
        <v>2748500</v>
      </c>
      <c r="BQ14" s="272">
        <v>0</v>
      </c>
      <c r="BR14" s="272">
        <v>0</v>
      </c>
      <c r="BS14" s="272">
        <v>2748500</v>
      </c>
      <c r="BT14" s="272">
        <v>0</v>
      </c>
      <c r="BU14" s="272">
        <v>108070099</v>
      </c>
      <c r="BV14" s="272"/>
      <c r="BW14" s="272">
        <v>24567028</v>
      </c>
      <c r="BX14" s="272">
        <v>16556901</v>
      </c>
      <c r="BY14" s="272">
        <v>3582491</v>
      </c>
      <c r="BZ14" s="272">
        <v>1084249</v>
      </c>
      <c r="CA14" s="272">
        <v>24502533</v>
      </c>
      <c r="CB14" s="272">
        <v>4142896</v>
      </c>
      <c r="CC14" s="272">
        <v>588050</v>
      </c>
      <c r="CD14" s="272">
        <v>9907278</v>
      </c>
      <c r="CE14" s="272">
        <v>9430446</v>
      </c>
      <c r="CF14" s="272">
        <v>0</v>
      </c>
      <c r="CG14" s="272">
        <v>427930</v>
      </c>
      <c r="CH14" s="272">
        <v>10340695</v>
      </c>
      <c r="CI14" s="272">
        <v>8396069</v>
      </c>
      <c r="CJ14" s="455">
        <f t="shared" si="7"/>
        <v>1944626</v>
      </c>
      <c r="CK14" s="272">
        <v>10359439</v>
      </c>
      <c r="CL14" s="272">
        <v>5249812</v>
      </c>
      <c r="CM14" s="272">
        <v>764266</v>
      </c>
      <c r="CN14" s="272">
        <v>2355227</v>
      </c>
      <c r="CO14" s="272">
        <v>1219499</v>
      </c>
      <c r="CP14" s="272">
        <v>10422870</v>
      </c>
      <c r="CQ14" s="272">
        <v>4801725</v>
      </c>
      <c r="CR14" s="272">
        <v>2631006</v>
      </c>
      <c r="CS14" s="272">
        <v>1990443</v>
      </c>
      <c r="CT14" s="455">
        <f t="shared" si="8"/>
        <v>1296150</v>
      </c>
      <c r="CU14" s="272">
        <v>1075258</v>
      </c>
      <c r="CV14" s="272">
        <v>220892</v>
      </c>
      <c r="CW14" s="455">
        <f t="shared" si="9"/>
        <v>1027925</v>
      </c>
      <c r="CX14" s="272">
        <v>935162</v>
      </c>
      <c r="CY14" s="272">
        <v>92763</v>
      </c>
      <c r="CZ14" s="455">
        <f t="shared" si="10"/>
        <v>0</v>
      </c>
      <c r="DA14" s="272">
        <v>0</v>
      </c>
      <c r="DB14" s="272">
        <v>0</v>
      </c>
      <c r="DC14" s="272">
        <v>10299504</v>
      </c>
      <c r="DD14" s="272">
        <v>4939233</v>
      </c>
      <c r="DE14" s="272">
        <v>5274949</v>
      </c>
      <c r="DF14" s="26">
        <v>408</v>
      </c>
      <c r="DG14" s="27">
        <v>84914</v>
      </c>
      <c r="DH14" s="272">
        <v>0</v>
      </c>
      <c r="DI14" s="272">
        <v>642918</v>
      </c>
      <c r="DJ14" s="272">
        <v>436422</v>
      </c>
      <c r="DK14" s="272">
        <v>19865</v>
      </c>
      <c r="DL14" s="272">
        <v>186631</v>
      </c>
      <c r="DM14" s="272">
        <v>9000</v>
      </c>
      <c r="DN14" s="272">
        <v>0</v>
      </c>
      <c r="DO14" s="272">
        <v>0</v>
      </c>
      <c r="DP14" s="272">
        <v>0</v>
      </c>
      <c r="DQ14" s="272">
        <v>0</v>
      </c>
      <c r="DR14" s="272">
        <v>0</v>
      </c>
      <c r="DS14" s="272">
        <v>0</v>
      </c>
      <c r="DT14" s="272">
        <v>14623131</v>
      </c>
      <c r="DU14" s="272">
        <v>5630476</v>
      </c>
      <c r="DV14" s="455">
        <f t="shared" si="11"/>
        <v>39550</v>
      </c>
      <c r="DW14" s="272">
        <v>39550</v>
      </c>
      <c r="DX14" s="272">
        <v>2414862</v>
      </c>
      <c r="DY14" s="272">
        <v>54546</v>
      </c>
      <c r="DZ14" s="272">
        <v>3479702</v>
      </c>
      <c r="EA14" s="272">
        <v>206533</v>
      </c>
      <c r="EB14" s="272">
        <v>2777462</v>
      </c>
      <c r="EC14" s="272">
        <v>0</v>
      </c>
      <c r="ED14" s="272">
        <v>106986617</v>
      </c>
      <c r="EE14" s="89"/>
      <c r="EF14" s="272">
        <v>1083482</v>
      </c>
      <c r="EG14" s="272">
        <v>380163</v>
      </c>
      <c r="EH14" s="272">
        <v>703319</v>
      </c>
      <c r="EI14" s="272">
        <v>-164253</v>
      </c>
      <c r="EJ14" s="272">
        <v>610894</v>
      </c>
      <c r="EK14" s="89"/>
      <c r="EL14" s="272"/>
      <c r="EM14" s="272">
        <v>406253</v>
      </c>
      <c r="EN14" s="272">
        <v>1045680</v>
      </c>
      <c r="EO14" s="272">
        <v>92457</v>
      </c>
      <c r="EP14" s="455">
        <f t="shared" si="12"/>
        <v>1989759</v>
      </c>
      <c r="EQ14" s="272">
        <v>71851568</v>
      </c>
      <c r="ER14" s="272">
        <v>-5802693</v>
      </c>
      <c r="ES14" s="272">
        <v>22911467</v>
      </c>
      <c r="ET14" s="272">
        <v>15068980</v>
      </c>
      <c r="EU14" s="272">
        <v>8213860</v>
      </c>
      <c r="EV14" s="272">
        <v>10340695</v>
      </c>
      <c r="EW14" s="455">
        <f t="shared" si="13"/>
        <v>1843361</v>
      </c>
      <c r="EX14" s="272">
        <v>1843361</v>
      </c>
      <c r="EY14" s="272">
        <v>295866</v>
      </c>
      <c r="EZ14" s="272">
        <v>1547087</v>
      </c>
      <c r="FA14" s="272">
        <v>0</v>
      </c>
      <c r="FB14" s="272">
        <v>0</v>
      </c>
      <c r="FC14" s="272">
        <v>8592916</v>
      </c>
      <c r="FD14" s="272">
        <v>9584180</v>
      </c>
      <c r="FE14" s="272">
        <v>4801725</v>
      </c>
      <c r="FF14" s="272">
        <v>13345912</v>
      </c>
      <c r="FG14" s="455">
        <f t="shared" si="14"/>
        <v>1772600</v>
      </c>
      <c r="FH14" s="272">
        <v>76604991</v>
      </c>
      <c r="FI14" s="459">
        <f t="shared" si="15"/>
        <v>1</v>
      </c>
      <c r="FJ14" s="272">
        <v>68016738</v>
      </c>
      <c r="FK14" s="272">
        <v>2748597</v>
      </c>
      <c r="FL14" s="272">
        <v>48054865</v>
      </c>
      <c r="FM14" s="272">
        <v>53399905</v>
      </c>
      <c r="FN14" s="460">
        <v>0.88200000000000001</v>
      </c>
      <c r="FO14" s="388">
        <v>94.3</v>
      </c>
      <c r="FP14" s="388">
        <v>31.5</v>
      </c>
      <c r="FQ14" s="388">
        <v>11.7</v>
      </c>
      <c r="FR14" s="388">
        <v>14.1</v>
      </c>
      <c r="FS14" s="388">
        <v>11</v>
      </c>
      <c r="FT14" s="388">
        <v>11.9</v>
      </c>
      <c r="FU14" s="388">
        <v>12.4</v>
      </c>
      <c r="FV14" s="384">
        <f t="shared" si="16"/>
        <v>2</v>
      </c>
      <c r="FW14" s="272">
        <v>100233955</v>
      </c>
      <c r="FX14" s="384">
        <f t="shared" si="17"/>
        <v>141.6</v>
      </c>
      <c r="FY14" s="272">
        <v>15594744</v>
      </c>
      <c r="FZ14" s="272">
        <v>2002036</v>
      </c>
      <c r="GA14" s="272">
        <v>3104749</v>
      </c>
      <c r="GB14" s="272">
        <v>10487959</v>
      </c>
      <c r="GC14" s="272">
        <v>0</v>
      </c>
      <c r="GD14" s="272">
        <v>12783055</v>
      </c>
      <c r="GE14" s="384">
        <f t="shared" si="18"/>
        <v>18.100000000000001</v>
      </c>
      <c r="GF14" s="388">
        <v>98.6</v>
      </c>
      <c r="GG14" s="388">
        <v>21.8</v>
      </c>
      <c r="GH14" s="388">
        <v>94.4</v>
      </c>
      <c r="GI14" s="272">
        <v>2183</v>
      </c>
      <c r="GJ14" s="461" t="s">
        <v>646</v>
      </c>
      <c r="GK14" s="461">
        <v>11.25</v>
      </c>
      <c r="GL14" s="462">
        <v>20</v>
      </c>
      <c r="GM14" s="461" t="s">
        <v>646</v>
      </c>
      <c r="GN14" s="462">
        <v>16.25</v>
      </c>
      <c r="GO14" s="462">
        <v>40</v>
      </c>
      <c r="GP14" s="463">
        <v>2</v>
      </c>
      <c r="GQ14" s="463">
        <v>25</v>
      </c>
      <c r="GR14" s="463">
        <v>35</v>
      </c>
      <c r="GS14" s="464">
        <v>41.8</v>
      </c>
      <c r="GT14" s="463">
        <v>350</v>
      </c>
      <c r="GU14" s="394"/>
      <c r="GV14" s="394"/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</row>
    <row r="15" spans="2:230" x14ac:dyDescent="0.15">
      <c r="B15" s="89" t="s">
        <v>23</v>
      </c>
      <c r="C15" s="272">
        <v>45663737</v>
      </c>
      <c r="D15" s="455">
        <f t="shared" si="0"/>
        <v>17977501</v>
      </c>
      <c r="E15" s="272">
        <v>378954</v>
      </c>
      <c r="F15" s="456">
        <v>17598547</v>
      </c>
      <c r="G15" s="455">
        <f t="shared" si="1"/>
        <v>3676750</v>
      </c>
      <c r="H15" s="272">
        <v>720212</v>
      </c>
      <c r="I15" s="272">
        <v>2956538</v>
      </c>
      <c r="J15" s="272">
        <v>18533682</v>
      </c>
      <c r="K15" s="272">
        <v>7944683</v>
      </c>
      <c r="L15" s="272">
        <v>7586870</v>
      </c>
      <c r="M15" s="272">
        <v>2718802</v>
      </c>
      <c r="N15" s="272">
        <v>1537359</v>
      </c>
      <c r="O15" s="272">
        <v>3751947</v>
      </c>
      <c r="P15" s="272">
        <v>2076098</v>
      </c>
      <c r="Q15" s="272">
        <v>1675849</v>
      </c>
      <c r="R15" s="272">
        <v>560518</v>
      </c>
      <c r="S15" s="272">
        <v>0</v>
      </c>
      <c r="T15" s="455">
        <f t="shared" si="2"/>
        <v>3375564</v>
      </c>
      <c r="U15" s="272">
        <v>285202</v>
      </c>
      <c r="V15" s="272">
        <v>112096</v>
      </c>
      <c r="W15" s="456">
        <v>40016</v>
      </c>
      <c r="X15" s="272">
        <v>2370105</v>
      </c>
      <c r="Y15" s="272">
        <v>102571</v>
      </c>
      <c r="Z15" s="272">
        <v>0</v>
      </c>
      <c r="AA15" s="272">
        <v>465574</v>
      </c>
      <c r="AB15" s="272">
        <v>666282</v>
      </c>
      <c r="AC15" s="272">
        <v>226623</v>
      </c>
      <c r="AD15" s="272">
        <v>0</v>
      </c>
      <c r="AE15" s="272">
        <v>226623</v>
      </c>
      <c r="AF15" s="272">
        <v>52840</v>
      </c>
      <c r="AG15" s="272">
        <v>725173</v>
      </c>
      <c r="AH15" s="455">
        <f t="shared" si="3"/>
        <v>1997672</v>
      </c>
      <c r="AI15" s="272">
        <v>1669213</v>
      </c>
      <c r="AJ15" s="272">
        <v>328459</v>
      </c>
      <c r="AK15" s="272">
        <v>8418527</v>
      </c>
      <c r="AL15" s="455">
        <f t="shared" si="4"/>
        <v>4325371</v>
      </c>
      <c r="AM15" s="272">
        <v>3641471</v>
      </c>
      <c r="AN15" s="272">
        <v>683900</v>
      </c>
      <c r="AO15" s="272">
        <v>0</v>
      </c>
      <c r="AP15" s="272">
        <v>0</v>
      </c>
      <c r="AQ15" s="272">
        <v>1062752</v>
      </c>
      <c r="AR15" s="272">
        <v>0</v>
      </c>
      <c r="AS15" s="272">
        <v>0</v>
      </c>
      <c r="AT15" s="272">
        <v>4401902</v>
      </c>
      <c r="AU15" s="272">
        <v>2031956</v>
      </c>
      <c r="AV15" s="272">
        <v>341949</v>
      </c>
      <c r="AW15" s="272">
        <v>91769</v>
      </c>
      <c r="AX15" s="272">
        <v>2369946</v>
      </c>
      <c r="AY15" s="272">
        <v>28731</v>
      </c>
      <c r="AZ15" s="272">
        <v>94131</v>
      </c>
      <c r="BA15" s="272">
        <v>41393</v>
      </c>
      <c r="BB15" s="272">
        <v>54718</v>
      </c>
      <c r="BC15" s="272">
        <v>1282471</v>
      </c>
      <c r="BD15" s="272">
        <v>1200000</v>
      </c>
      <c r="BE15" s="272">
        <v>0</v>
      </c>
      <c r="BF15" s="272">
        <v>14950</v>
      </c>
      <c r="BG15" s="272">
        <v>0</v>
      </c>
      <c r="BH15" s="272">
        <v>596494</v>
      </c>
      <c r="BI15" s="272">
        <v>416471</v>
      </c>
      <c r="BJ15" s="272">
        <v>1733096</v>
      </c>
      <c r="BK15" s="272">
        <v>350000</v>
      </c>
      <c r="BL15" s="272">
        <v>10009</v>
      </c>
      <c r="BM15" s="272">
        <v>77404</v>
      </c>
      <c r="BN15" s="272">
        <v>4001700</v>
      </c>
      <c r="BO15" s="455">
        <f t="shared" si="5"/>
        <v>2044000</v>
      </c>
      <c r="BP15" s="455">
        <f t="shared" si="6"/>
        <v>1957700</v>
      </c>
      <c r="BQ15" s="272">
        <v>0</v>
      </c>
      <c r="BR15" s="272">
        <v>0</v>
      </c>
      <c r="BS15" s="272">
        <v>1957700</v>
      </c>
      <c r="BT15" s="272">
        <v>0</v>
      </c>
      <c r="BU15" s="272">
        <v>73851448</v>
      </c>
      <c r="BV15" s="272"/>
      <c r="BW15" s="272">
        <v>16317674</v>
      </c>
      <c r="BX15" s="272">
        <v>10926431</v>
      </c>
      <c r="BY15" s="272">
        <v>2317464</v>
      </c>
      <c r="BZ15" s="272">
        <v>698078</v>
      </c>
      <c r="CA15" s="272">
        <v>15391478</v>
      </c>
      <c r="CB15" s="272">
        <v>2875859</v>
      </c>
      <c r="CC15" s="272">
        <v>648944</v>
      </c>
      <c r="CD15" s="272">
        <v>6711110</v>
      </c>
      <c r="CE15" s="272">
        <v>4886660</v>
      </c>
      <c r="CF15" s="272">
        <v>0</v>
      </c>
      <c r="CG15" s="272">
        <v>268165</v>
      </c>
      <c r="CH15" s="272">
        <v>6335137</v>
      </c>
      <c r="CI15" s="272">
        <v>5328186</v>
      </c>
      <c r="CJ15" s="455">
        <f t="shared" si="7"/>
        <v>1006951</v>
      </c>
      <c r="CK15" s="272">
        <v>12526077</v>
      </c>
      <c r="CL15" s="272">
        <v>5764675</v>
      </c>
      <c r="CM15" s="272">
        <v>1025262</v>
      </c>
      <c r="CN15" s="272">
        <v>3316832</v>
      </c>
      <c r="CO15" s="272">
        <v>941355</v>
      </c>
      <c r="CP15" s="272">
        <v>3892087</v>
      </c>
      <c r="CQ15" s="272">
        <v>6371</v>
      </c>
      <c r="CR15" s="272">
        <v>2273608</v>
      </c>
      <c r="CS15" s="272">
        <v>1613376</v>
      </c>
      <c r="CT15" s="455">
        <f t="shared" si="8"/>
        <v>112592</v>
      </c>
      <c r="CU15" s="272">
        <v>4795</v>
      </c>
      <c r="CV15" s="272">
        <v>107797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6759987</v>
      </c>
      <c r="DD15" s="272">
        <v>2405352</v>
      </c>
      <c r="DE15" s="272">
        <v>4344741</v>
      </c>
      <c r="DF15" s="26">
        <v>0</v>
      </c>
      <c r="DG15" s="27">
        <v>9894</v>
      </c>
      <c r="DH15" s="272">
        <v>5424</v>
      </c>
      <c r="DI15" s="272">
        <v>538842</v>
      </c>
      <c r="DJ15" s="272">
        <v>15050</v>
      </c>
      <c r="DK15" s="272">
        <v>0</v>
      </c>
      <c r="DL15" s="272">
        <v>523792</v>
      </c>
      <c r="DM15" s="272">
        <v>21660</v>
      </c>
      <c r="DN15" s="272">
        <v>6660</v>
      </c>
      <c r="DO15" s="272">
        <v>6660</v>
      </c>
      <c r="DP15" s="272">
        <v>0</v>
      </c>
      <c r="DQ15" s="272">
        <v>350000</v>
      </c>
      <c r="DR15" s="272">
        <v>0</v>
      </c>
      <c r="DS15" s="272">
        <v>0</v>
      </c>
      <c r="DT15" s="272">
        <v>9593036</v>
      </c>
      <c r="DU15" s="272">
        <v>4300000</v>
      </c>
      <c r="DV15" s="455">
        <f t="shared" si="11"/>
        <v>0</v>
      </c>
      <c r="DW15" s="272">
        <v>0</v>
      </c>
      <c r="DX15" s="272">
        <v>1621331</v>
      </c>
      <c r="DY15" s="272">
        <v>0</v>
      </c>
      <c r="DZ15" s="272">
        <v>2177079</v>
      </c>
      <c r="EA15" s="272">
        <v>2018</v>
      </c>
      <c r="EB15" s="272">
        <v>1491077</v>
      </c>
      <c r="EC15" s="272">
        <v>0</v>
      </c>
      <c r="ED15" s="272">
        <v>72672757</v>
      </c>
      <c r="EE15" s="89"/>
      <c r="EF15" s="272">
        <v>1178691</v>
      </c>
      <c r="EG15" s="272">
        <v>289514</v>
      </c>
      <c r="EH15" s="272">
        <v>889177</v>
      </c>
      <c r="EI15" s="272">
        <v>472706</v>
      </c>
      <c r="EJ15" s="272">
        <v>-712244</v>
      </c>
      <c r="EK15" s="89"/>
      <c r="EL15" s="272"/>
      <c r="EM15" s="272">
        <v>269573</v>
      </c>
      <c r="EN15" s="272">
        <v>1266252</v>
      </c>
      <c r="EO15" s="272">
        <v>51222</v>
      </c>
      <c r="EP15" s="455">
        <f t="shared" si="12"/>
        <v>1489086</v>
      </c>
      <c r="EQ15" s="272">
        <v>50545564</v>
      </c>
      <c r="ER15" s="272">
        <v>-4711420</v>
      </c>
      <c r="ES15" s="272">
        <v>15083504</v>
      </c>
      <c r="ET15" s="272">
        <v>9806671</v>
      </c>
      <c r="EU15" s="272">
        <v>5645210</v>
      </c>
      <c r="EV15" s="272">
        <v>6335137</v>
      </c>
      <c r="EW15" s="455">
        <f t="shared" si="13"/>
        <v>3247738</v>
      </c>
      <c r="EX15" s="272">
        <v>3247289</v>
      </c>
      <c r="EY15" s="272">
        <v>547469</v>
      </c>
      <c r="EZ15" s="272">
        <v>2699732</v>
      </c>
      <c r="FA15" s="272">
        <v>449</v>
      </c>
      <c r="FB15" s="272">
        <v>0</v>
      </c>
      <c r="FC15" s="272">
        <v>10286385</v>
      </c>
      <c r="FD15" s="272">
        <v>3395790</v>
      </c>
      <c r="FE15" s="272">
        <v>6371</v>
      </c>
      <c r="FF15" s="272">
        <v>8749856</v>
      </c>
      <c r="FG15" s="455">
        <f t="shared" si="14"/>
        <v>1460147</v>
      </c>
      <c r="FH15" s="272">
        <v>54203767</v>
      </c>
      <c r="FI15" s="459">
        <f t="shared" si="15"/>
        <v>1.8</v>
      </c>
      <c r="FJ15" s="272">
        <v>47055060</v>
      </c>
      <c r="FK15" s="272">
        <v>1957744</v>
      </c>
      <c r="FL15" s="272">
        <v>35970440</v>
      </c>
      <c r="FM15" s="272">
        <v>34825257</v>
      </c>
      <c r="FN15" s="460">
        <v>1.02</v>
      </c>
      <c r="FO15" s="388">
        <v>92.1</v>
      </c>
      <c r="FP15" s="388">
        <v>29.7</v>
      </c>
      <c r="FQ15" s="388">
        <v>11.5</v>
      </c>
      <c r="FR15" s="388">
        <v>13</v>
      </c>
      <c r="FS15" s="388">
        <v>19.399999999999999</v>
      </c>
      <c r="FT15" s="388">
        <v>4.5</v>
      </c>
      <c r="FU15" s="388">
        <v>12</v>
      </c>
      <c r="FV15" s="384">
        <f t="shared" si="16"/>
        <v>0.8</v>
      </c>
      <c r="FW15" s="272">
        <v>52025084</v>
      </c>
      <c r="FX15" s="384">
        <f t="shared" si="17"/>
        <v>106.1</v>
      </c>
      <c r="FY15" s="272">
        <v>9502119</v>
      </c>
      <c r="FZ15" s="272">
        <v>2816243</v>
      </c>
      <c r="GA15" s="272">
        <v>0</v>
      </c>
      <c r="GB15" s="272">
        <v>6685876</v>
      </c>
      <c r="GC15" s="272">
        <v>0</v>
      </c>
      <c r="GD15" s="272">
        <v>6018814</v>
      </c>
      <c r="GE15" s="384">
        <f t="shared" si="18"/>
        <v>12.3</v>
      </c>
      <c r="GF15" s="388">
        <v>98.7</v>
      </c>
      <c r="GG15" s="388">
        <v>21.8</v>
      </c>
      <c r="GH15" s="388">
        <v>95.6</v>
      </c>
      <c r="GI15" s="272">
        <v>1600</v>
      </c>
      <c r="GJ15" s="461" t="s">
        <v>646</v>
      </c>
      <c r="GK15" s="461">
        <v>11.27</v>
      </c>
      <c r="GL15" s="462">
        <v>20</v>
      </c>
      <c r="GM15" s="461" t="s">
        <v>646</v>
      </c>
      <c r="GN15" s="462">
        <v>16.27</v>
      </c>
      <c r="GO15" s="462">
        <v>40</v>
      </c>
      <c r="GP15" s="463">
        <v>0.8</v>
      </c>
      <c r="GQ15" s="463">
        <v>25</v>
      </c>
      <c r="GR15" s="463">
        <v>35</v>
      </c>
      <c r="GS15" s="464">
        <v>16.3</v>
      </c>
      <c r="GT15" s="463">
        <v>350</v>
      </c>
      <c r="GU15" s="394"/>
      <c r="GV15" s="394"/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</row>
    <row r="16" spans="2:230" x14ac:dyDescent="0.15">
      <c r="B16" s="89" t="s">
        <v>25</v>
      </c>
      <c r="C16" s="272">
        <v>41055363</v>
      </c>
      <c r="D16" s="455">
        <f t="shared" si="0"/>
        <v>14681903</v>
      </c>
      <c r="E16" s="272">
        <v>351509</v>
      </c>
      <c r="F16" s="456">
        <v>14330394</v>
      </c>
      <c r="G16" s="455">
        <f t="shared" si="1"/>
        <v>3912633</v>
      </c>
      <c r="H16" s="272">
        <v>678454</v>
      </c>
      <c r="I16" s="272">
        <v>3234179</v>
      </c>
      <c r="J16" s="272">
        <v>16889267</v>
      </c>
      <c r="K16" s="272">
        <v>7912049</v>
      </c>
      <c r="L16" s="272">
        <v>6393403</v>
      </c>
      <c r="M16" s="272">
        <v>2305748</v>
      </c>
      <c r="N16" s="272">
        <v>1845498</v>
      </c>
      <c r="O16" s="272">
        <v>3482589</v>
      </c>
      <c r="P16" s="272">
        <v>2095122</v>
      </c>
      <c r="Q16" s="272">
        <v>1387467</v>
      </c>
      <c r="R16" s="272">
        <v>560803</v>
      </c>
      <c r="S16" s="272">
        <v>0</v>
      </c>
      <c r="T16" s="455">
        <f t="shared" si="2"/>
        <v>3335808</v>
      </c>
      <c r="U16" s="272">
        <v>242312</v>
      </c>
      <c r="V16" s="272">
        <v>95269</v>
      </c>
      <c r="W16" s="456">
        <v>33933</v>
      </c>
      <c r="X16" s="272">
        <v>2499135</v>
      </c>
      <c r="Y16" s="272">
        <v>0</v>
      </c>
      <c r="Z16" s="272">
        <v>0</v>
      </c>
      <c r="AA16" s="272">
        <v>465159</v>
      </c>
      <c r="AB16" s="272">
        <v>654729</v>
      </c>
      <c r="AC16" s="272">
        <v>7670409</v>
      </c>
      <c r="AD16" s="272">
        <v>7061158</v>
      </c>
      <c r="AE16" s="272">
        <v>609251</v>
      </c>
      <c r="AF16" s="272">
        <v>51505</v>
      </c>
      <c r="AG16" s="272">
        <v>1739966</v>
      </c>
      <c r="AH16" s="455">
        <f t="shared" si="3"/>
        <v>1879619</v>
      </c>
      <c r="AI16" s="272">
        <v>1249017</v>
      </c>
      <c r="AJ16" s="272">
        <v>630602</v>
      </c>
      <c r="AK16" s="272">
        <v>12931803</v>
      </c>
      <c r="AL16" s="455">
        <f t="shared" si="4"/>
        <v>8549247</v>
      </c>
      <c r="AM16" s="272">
        <v>7803278</v>
      </c>
      <c r="AN16" s="272">
        <v>745969</v>
      </c>
      <c r="AO16" s="272">
        <v>0</v>
      </c>
      <c r="AP16" s="272">
        <v>0</v>
      </c>
      <c r="AQ16" s="272">
        <v>1144926</v>
      </c>
      <c r="AR16" s="272">
        <v>0</v>
      </c>
      <c r="AS16" s="272">
        <v>46843</v>
      </c>
      <c r="AT16" s="272">
        <v>4801896</v>
      </c>
      <c r="AU16" s="272">
        <v>2335993</v>
      </c>
      <c r="AV16" s="272">
        <v>372985</v>
      </c>
      <c r="AW16" s="272">
        <v>12113</v>
      </c>
      <c r="AX16" s="272">
        <v>2465903</v>
      </c>
      <c r="AY16" s="272">
        <v>19730</v>
      </c>
      <c r="AZ16" s="272">
        <v>424520</v>
      </c>
      <c r="BA16" s="272">
        <v>300777</v>
      </c>
      <c r="BB16" s="272">
        <v>29120</v>
      </c>
      <c r="BC16" s="272">
        <v>1330071</v>
      </c>
      <c r="BD16" s="272">
        <v>0</v>
      </c>
      <c r="BE16" s="272">
        <v>0</v>
      </c>
      <c r="BF16" s="272">
        <v>1330008</v>
      </c>
      <c r="BG16" s="272">
        <v>0</v>
      </c>
      <c r="BH16" s="272">
        <v>482212</v>
      </c>
      <c r="BI16" s="272">
        <v>43442</v>
      </c>
      <c r="BJ16" s="272">
        <v>1073626</v>
      </c>
      <c r="BK16" s="272">
        <v>324283</v>
      </c>
      <c r="BL16" s="272">
        <v>0</v>
      </c>
      <c r="BM16" s="272">
        <v>62208</v>
      </c>
      <c r="BN16" s="272">
        <v>5544400</v>
      </c>
      <c r="BO16" s="455">
        <f t="shared" si="5"/>
        <v>2106700</v>
      </c>
      <c r="BP16" s="455">
        <f t="shared" si="6"/>
        <v>2037700</v>
      </c>
      <c r="BQ16" s="272">
        <v>0</v>
      </c>
      <c r="BR16" s="272">
        <v>0</v>
      </c>
      <c r="BS16" s="272">
        <v>2037700</v>
      </c>
      <c r="BT16" s="272">
        <v>1400000</v>
      </c>
      <c r="BU16" s="272">
        <v>83612693</v>
      </c>
      <c r="BV16" s="272"/>
      <c r="BW16" s="272">
        <v>18449818</v>
      </c>
      <c r="BX16" s="272">
        <v>11652688</v>
      </c>
      <c r="BY16" s="272">
        <v>2632792</v>
      </c>
      <c r="BZ16" s="272">
        <v>1587963</v>
      </c>
      <c r="CA16" s="272">
        <v>22508049</v>
      </c>
      <c r="CB16" s="272">
        <v>3308523</v>
      </c>
      <c r="CC16" s="272">
        <v>559701</v>
      </c>
      <c r="CD16" s="272">
        <v>6735262</v>
      </c>
      <c r="CE16" s="272">
        <v>10365825</v>
      </c>
      <c r="CF16" s="272">
        <v>1121288</v>
      </c>
      <c r="CG16" s="272">
        <v>416500</v>
      </c>
      <c r="CH16" s="272">
        <v>8448420</v>
      </c>
      <c r="CI16" s="272">
        <v>7059852</v>
      </c>
      <c r="CJ16" s="455">
        <f t="shared" si="7"/>
        <v>1388568</v>
      </c>
      <c r="CK16" s="272">
        <v>9147695</v>
      </c>
      <c r="CL16" s="272">
        <v>5820824</v>
      </c>
      <c r="CM16" s="272">
        <v>326390</v>
      </c>
      <c r="CN16" s="272">
        <v>1892376</v>
      </c>
      <c r="CO16" s="272">
        <v>380596</v>
      </c>
      <c r="CP16" s="272">
        <v>4222099</v>
      </c>
      <c r="CQ16" s="272">
        <v>41221</v>
      </c>
      <c r="CR16" s="272">
        <v>1565213</v>
      </c>
      <c r="CS16" s="272">
        <v>786378</v>
      </c>
      <c r="CT16" s="455">
        <f t="shared" si="8"/>
        <v>1694957</v>
      </c>
      <c r="CU16" s="272">
        <v>1694957</v>
      </c>
      <c r="CV16" s="272">
        <v>0</v>
      </c>
      <c r="CW16" s="455">
        <f t="shared" si="9"/>
        <v>1631082</v>
      </c>
      <c r="CX16" s="272">
        <v>1631082</v>
      </c>
      <c r="CY16" s="272">
        <v>0</v>
      </c>
      <c r="CZ16" s="455">
        <f t="shared" si="10"/>
        <v>0</v>
      </c>
      <c r="DA16" s="272">
        <v>0</v>
      </c>
      <c r="DB16" s="272">
        <v>0</v>
      </c>
      <c r="DC16" s="272">
        <v>6981683</v>
      </c>
      <c r="DD16" s="272">
        <v>2349114</v>
      </c>
      <c r="DE16" s="272">
        <v>4386127</v>
      </c>
      <c r="DF16" s="26">
        <v>75372</v>
      </c>
      <c r="DG16" s="27">
        <v>171070</v>
      </c>
      <c r="DH16" s="272">
        <v>0</v>
      </c>
      <c r="DI16" s="272">
        <v>100182</v>
      </c>
      <c r="DJ16" s="272">
        <v>34606</v>
      </c>
      <c r="DK16" s="272">
        <v>0</v>
      </c>
      <c r="DL16" s="272">
        <v>65576</v>
      </c>
      <c r="DM16" s="272">
        <v>57000</v>
      </c>
      <c r="DN16" s="272">
        <v>0</v>
      </c>
      <c r="DO16" s="272">
        <v>0</v>
      </c>
      <c r="DP16" s="272">
        <v>0</v>
      </c>
      <c r="DQ16" s="272">
        <v>353026</v>
      </c>
      <c r="DR16" s="272">
        <v>0</v>
      </c>
      <c r="DS16" s="272">
        <v>0</v>
      </c>
      <c r="DT16" s="272">
        <v>12747731</v>
      </c>
      <c r="DU16" s="272">
        <v>5862803</v>
      </c>
      <c r="DV16" s="455">
        <f t="shared" si="11"/>
        <v>0</v>
      </c>
      <c r="DW16" s="272">
        <v>0</v>
      </c>
      <c r="DX16" s="272">
        <v>1888244</v>
      </c>
      <c r="DY16" s="272">
        <v>0</v>
      </c>
      <c r="DZ16" s="272">
        <v>2539930</v>
      </c>
      <c r="EA16" s="272">
        <v>144078</v>
      </c>
      <c r="EB16" s="272">
        <v>2231083</v>
      </c>
      <c r="EC16" s="272">
        <v>0</v>
      </c>
      <c r="ED16" s="272">
        <v>83396299</v>
      </c>
      <c r="EE16" s="89"/>
      <c r="EF16" s="272">
        <v>216394</v>
      </c>
      <c r="EG16" s="272">
        <v>153307</v>
      </c>
      <c r="EH16" s="272">
        <v>63087</v>
      </c>
      <c r="EI16" s="272">
        <v>19645</v>
      </c>
      <c r="EJ16" s="272">
        <v>354888</v>
      </c>
      <c r="EK16" s="89"/>
      <c r="EL16" s="272"/>
      <c r="EM16" s="272">
        <v>265518</v>
      </c>
      <c r="EN16" s="272">
        <v>1000063</v>
      </c>
      <c r="EO16" s="272">
        <v>226095</v>
      </c>
      <c r="EP16" s="455">
        <f t="shared" si="12"/>
        <v>1282803</v>
      </c>
      <c r="EQ16" s="272">
        <v>53375460</v>
      </c>
      <c r="ER16" s="272">
        <v>-4448313</v>
      </c>
      <c r="ES16" s="272">
        <v>15617437</v>
      </c>
      <c r="ET16" s="272">
        <v>10587186</v>
      </c>
      <c r="EU16" s="272">
        <v>7016682</v>
      </c>
      <c r="EV16" s="272">
        <v>8354971</v>
      </c>
      <c r="EW16" s="455">
        <f t="shared" si="13"/>
        <v>3097929</v>
      </c>
      <c r="EX16" s="272">
        <v>3097929</v>
      </c>
      <c r="EY16" s="272">
        <v>34522</v>
      </c>
      <c r="EZ16" s="272">
        <v>3003843</v>
      </c>
      <c r="FA16" s="272">
        <v>0</v>
      </c>
      <c r="FB16" s="272">
        <v>0</v>
      </c>
      <c r="FC16" s="272">
        <v>7632609</v>
      </c>
      <c r="FD16" s="272">
        <v>3838151</v>
      </c>
      <c r="FE16" s="272">
        <v>41221</v>
      </c>
      <c r="FF16" s="272">
        <v>11652891</v>
      </c>
      <c r="FG16" s="455">
        <f t="shared" si="14"/>
        <v>396709</v>
      </c>
      <c r="FH16" s="272">
        <v>57607379</v>
      </c>
      <c r="FI16" s="459">
        <f t="shared" si="15"/>
        <v>0.1</v>
      </c>
      <c r="FJ16" s="272">
        <v>49490915</v>
      </c>
      <c r="FK16" s="272">
        <v>2037743</v>
      </c>
      <c r="FL16" s="272">
        <v>32539380</v>
      </c>
      <c r="FM16" s="272">
        <v>39617910</v>
      </c>
      <c r="FN16" s="460">
        <v>0.81599999999999995</v>
      </c>
      <c r="FO16" s="388">
        <v>98.3</v>
      </c>
      <c r="FP16" s="388">
        <v>29.5</v>
      </c>
      <c r="FQ16" s="388">
        <v>13.5</v>
      </c>
      <c r="FR16" s="388">
        <v>15.5</v>
      </c>
      <c r="FS16" s="388">
        <v>13.7</v>
      </c>
      <c r="FT16" s="388">
        <v>5.8</v>
      </c>
      <c r="FU16" s="388">
        <v>19.399999999999999</v>
      </c>
      <c r="FV16" s="384">
        <f t="shared" si="16"/>
        <v>6.8</v>
      </c>
      <c r="FW16" s="272">
        <v>77658609</v>
      </c>
      <c r="FX16" s="384">
        <f t="shared" si="17"/>
        <v>150.69999999999999</v>
      </c>
      <c r="FY16" s="272">
        <v>10424425</v>
      </c>
      <c r="FZ16" s="272">
        <v>4964564</v>
      </c>
      <c r="GA16" s="272">
        <v>0</v>
      </c>
      <c r="GB16" s="272">
        <v>5459861</v>
      </c>
      <c r="GC16" s="272">
        <v>0</v>
      </c>
      <c r="GD16" s="272">
        <v>5613704</v>
      </c>
      <c r="GE16" s="384">
        <f t="shared" si="18"/>
        <v>10.9</v>
      </c>
      <c r="GF16" s="388">
        <v>98.3</v>
      </c>
      <c r="GG16" s="388">
        <v>32.4</v>
      </c>
      <c r="GH16" s="388">
        <v>96</v>
      </c>
      <c r="GI16" s="272">
        <v>1670</v>
      </c>
      <c r="GJ16" s="461" t="s">
        <v>646</v>
      </c>
      <c r="GK16" s="461">
        <v>11.25</v>
      </c>
      <c r="GL16" s="462">
        <v>20</v>
      </c>
      <c r="GM16" s="461" t="s">
        <v>646</v>
      </c>
      <c r="GN16" s="462">
        <v>16.25</v>
      </c>
      <c r="GO16" s="462">
        <v>40</v>
      </c>
      <c r="GP16" s="463">
        <v>6.8</v>
      </c>
      <c r="GQ16" s="463">
        <v>25</v>
      </c>
      <c r="GR16" s="463">
        <v>35</v>
      </c>
      <c r="GS16" s="464">
        <v>82.6</v>
      </c>
      <c r="GT16" s="463">
        <v>350</v>
      </c>
      <c r="GU16" s="394"/>
      <c r="GV16" s="394"/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</row>
    <row r="17" spans="2:230" x14ac:dyDescent="0.15">
      <c r="B17" s="89" t="s">
        <v>27</v>
      </c>
      <c r="C17" s="272">
        <v>19963948</v>
      </c>
      <c r="D17" s="455">
        <f t="shared" si="0"/>
        <v>4591915</v>
      </c>
      <c r="E17" s="272">
        <v>129901</v>
      </c>
      <c r="F17" s="456">
        <v>4462014</v>
      </c>
      <c r="G17" s="455">
        <f t="shared" si="1"/>
        <v>1498424</v>
      </c>
      <c r="H17" s="272">
        <v>428244</v>
      </c>
      <c r="I17" s="272">
        <v>1070180</v>
      </c>
      <c r="J17" s="272">
        <v>10733451</v>
      </c>
      <c r="K17" s="272">
        <v>3120242</v>
      </c>
      <c r="L17" s="272">
        <v>3934370</v>
      </c>
      <c r="M17" s="272">
        <v>3371760</v>
      </c>
      <c r="N17" s="272">
        <v>1464342</v>
      </c>
      <c r="O17" s="272">
        <v>1513049</v>
      </c>
      <c r="P17" s="272">
        <v>687900</v>
      </c>
      <c r="Q17" s="272">
        <v>825149</v>
      </c>
      <c r="R17" s="272">
        <v>251437</v>
      </c>
      <c r="S17" s="272">
        <v>0</v>
      </c>
      <c r="T17" s="455">
        <f t="shared" si="2"/>
        <v>1342116</v>
      </c>
      <c r="U17" s="272">
        <v>71822</v>
      </c>
      <c r="V17" s="272">
        <v>28212</v>
      </c>
      <c r="W17" s="456">
        <v>10109</v>
      </c>
      <c r="X17" s="272">
        <v>983367</v>
      </c>
      <c r="Y17" s="272">
        <v>67485</v>
      </c>
      <c r="Z17" s="272">
        <v>0</v>
      </c>
      <c r="AA17" s="272">
        <v>181121</v>
      </c>
      <c r="AB17" s="272">
        <v>224310</v>
      </c>
      <c r="AC17" s="272">
        <v>1198885</v>
      </c>
      <c r="AD17" s="272">
        <v>561208</v>
      </c>
      <c r="AE17" s="272">
        <v>637677</v>
      </c>
      <c r="AF17" s="272">
        <v>20886</v>
      </c>
      <c r="AG17" s="272">
        <v>769815</v>
      </c>
      <c r="AH17" s="455">
        <f t="shared" si="3"/>
        <v>1004231</v>
      </c>
      <c r="AI17" s="272">
        <v>710510</v>
      </c>
      <c r="AJ17" s="272">
        <v>293721</v>
      </c>
      <c r="AK17" s="272">
        <v>4695937</v>
      </c>
      <c r="AL17" s="455">
        <f t="shared" si="4"/>
        <v>2452473</v>
      </c>
      <c r="AM17" s="272">
        <v>2077076</v>
      </c>
      <c r="AN17" s="272">
        <v>375397</v>
      </c>
      <c r="AO17" s="272">
        <v>0</v>
      </c>
      <c r="AP17" s="272">
        <v>0</v>
      </c>
      <c r="AQ17" s="272">
        <v>909140</v>
      </c>
      <c r="AR17" s="272">
        <v>0</v>
      </c>
      <c r="AS17" s="272">
        <v>0</v>
      </c>
      <c r="AT17" s="272">
        <v>1984996</v>
      </c>
      <c r="AU17" s="272">
        <v>925403</v>
      </c>
      <c r="AV17" s="272">
        <v>187698</v>
      </c>
      <c r="AW17" s="272">
        <v>16015</v>
      </c>
      <c r="AX17" s="272">
        <v>1059593</v>
      </c>
      <c r="AY17" s="272">
        <v>2534</v>
      </c>
      <c r="AZ17" s="272">
        <v>64472</v>
      </c>
      <c r="BA17" s="272">
        <v>51447</v>
      </c>
      <c r="BB17" s="272">
        <v>11568</v>
      </c>
      <c r="BC17" s="272">
        <v>2055390</v>
      </c>
      <c r="BD17" s="272">
        <v>228000</v>
      </c>
      <c r="BE17" s="272">
        <v>0</v>
      </c>
      <c r="BF17" s="272">
        <v>1827390</v>
      </c>
      <c r="BG17" s="272">
        <v>0</v>
      </c>
      <c r="BH17" s="272">
        <v>406876</v>
      </c>
      <c r="BI17" s="272">
        <v>405224</v>
      </c>
      <c r="BJ17" s="272">
        <v>4617032</v>
      </c>
      <c r="BK17" s="272">
        <v>28676</v>
      </c>
      <c r="BL17" s="272">
        <v>0</v>
      </c>
      <c r="BM17" s="272">
        <v>53086</v>
      </c>
      <c r="BN17" s="272">
        <v>4416500</v>
      </c>
      <c r="BO17" s="455">
        <f t="shared" si="5"/>
        <v>3242100</v>
      </c>
      <c r="BP17" s="455">
        <f t="shared" si="6"/>
        <v>816000</v>
      </c>
      <c r="BQ17" s="272">
        <v>0</v>
      </c>
      <c r="BR17" s="272">
        <v>0</v>
      </c>
      <c r="BS17" s="272">
        <v>816000</v>
      </c>
      <c r="BT17" s="272">
        <v>358400</v>
      </c>
      <c r="BU17" s="272">
        <v>43028399</v>
      </c>
      <c r="BV17" s="272"/>
      <c r="BW17" s="272">
        <v>7421021</v>
      </c>
      <c r="BX17" s="272">
        <v>4930982</v>
      </c>
      <c r="BY17" s="272">
        <v>745633</v>
      </c>
      <c r="BZ17" s="272">
        <v>568051</v>
      </c>
      <c r="CA17" s="272">
        <v>6846974</v>
      </c>
      <c r="CB17" s="272">
        <v>909739</v>
      </c>
      <c r="CC17" s="272">
        <v>194269</v>
      </c>
      <c r="CD17" s="272">
        <v>2898763</v>
      </c>
      <c r="CE17" s="272">
        <v>2757069</v>
      </c>
      <c r="CF17" s="272">
        <v>2938</v>
      </c>
      <c r="CG17" s="272">
        <v>84196</v>
      </c>
      <c r="CH17" s="272">
        <v>6052336</v>
      </c>
      <c r="CI17" s="272">
        <v>4321201</v>
      </c>
      <c r="CJ17" s="455">
        <f t="shared" si="7"/>
        <v>1731135</v>
      </c>
      <c r="CK17" s="272">
        <v>3559065</v>
      </c>
      <c r="CL17" s="272">
        <v>2489075</v>
      </c>
      <c r="CM17" s="272">
        <v>128326</v>
      </c>
      <c r="CN17" s="272">
        <v>578491</v>
      </c>
      <c r="CO17" s="272">
        <v>246395</v>
      </c>
      <c r="CP17" s="272">
        <v>4567748</v>
      </c>
      <c r="CQ17" s="272">
        <v>1131691</v>
      </c>
      <c r="CR17" s="272">
        <v>749746</v>
      </c>
      <c r="CS17" s="272">
        <v>283319</v>
      </c>
      <c r="CT17" s="455">
        <f t="shared" si="8"/>
        <v>1999532</v>
      </c>
      <c r="CU17" s="272">
        <v>1215636</v>
      </c>
      <c r="CV17" s="272">
        <v>783896</v>
      </c>
      <c r="CW17" s="455">
        <f t="shared" si="9"/>
        <v>1372797</v>
      </c>
      <c r="CX17" s="272">
        <v>1208901</v>
      </c>
      <c r="CY17" s="272">
        <v>163896</v>
      </c>
      <c r="CZ17" s="455">
        <f t="shared" si="10"/>
        <v>0</v>
      </c>
      <c r="DA17" s="272">
        <v>0</v>
      </c>
      <c r="DB17" s="272">
        <v>0</v>
      </c>
      <c r="DC17" s="272">
        <v>4654526</v>
      </c>
      <c r="DD17" s="272">
        <v>1173370</v>
      </c>
      <c r="DE17" s="272">
        <v>3293445</v>
      </c>
      <c r="DF17" s="26">
        <v>99811</v>
      </c>
      <c r="DG17" s="27">
        <v>87900</v>
      </c>
      <c r="DH17" s="272">
        <v>0</v>
      </c>
      <c r="DI17" s="272">
        <v>299335</v>
      </c>
      <c r="DJ17" s="272">
        <v>203059</v>
      </c>
      <c r="DK17" s="272">
        <v>21</v>
      </c>
      <c r="DL17" s="272">
        <v>96255</v>
      </c>
      <c r="DM17" s="272">
        <v>8500</v>
      </c>
      <c r="DN17" s="272">
        <v>0</v>
      </c>
      <c r="DO17" s="272">
        <v>0</v>
      </c>
      <c r="DP17" s="272">
        <v>0</v>
      </c>
      <c r="DQ17" s="272">
        <v>5270000</v>
      </c>
      <c r="DR17" s="272">
        <v>5250000</v>
      </c>
      <c r="DS17" s="272">
        <v>5250000</v>
      </c>
      <c r="DT17" s="272">
        <v>4066967</v>
      </c>
      <c r="DU17" s="272">
        <v>1556496</v>
      </c>
      <c r="DV17" s="455">
        <f t="shared" si="11"/>
        <v>0</v>
      </c>
      <c r="DW17" s="272">
        <v>0</v>
      </c>
      <c r="DX17" s="272">
        <v>840736</v>
      </c>
      <c r="DY17" s="272">
        <v>0</v>
      </c>
      <c r="DZ17" s="272">
        <v>715681</v>
      </c>
      <c r="EA17" s="272">
        <v>83639</v>
      </c>
      <c r="EB17" s="272">
        <v>854816</v>
      </c>
      <c r="EC17" s="272">
        <v>0</v>
      </c>
      <c r="ED17" s="272">
        <v>42992867</v>
      </c>
      <c r="EE17" s="89"/>
      <c r="EF17" s="272">
        <v>35532</v>
      </c>
      <c r="EG17" s="272">
        <v>11329</v>
      </c>
      <c r="EH17" s="272">
        <v>24203</v>
      </c>
      <c r="EI17" s="272">
        <v>-381021</v>
      </c>
      <c r="EJ17" s="272">
        <v>-283090</v>
      </c>
      <c r="EK17" s="89"/>
      <c r="EL17" s="272"/>
      <c r="EM17" s="272">
        <v>102103</v>
      </c>
      <c r="EN17" s="272">
        <v>1314009</v>
      </c>
      <c r="EO17" s="272">
        <v>52112</v>
      </c>
      <c r="EP17" s="455">
        <f t="shared" si="12"/>
        <v>1657483</v>
      </c>
      <c r="EQ17" s="272">
        <v>23001582</v>
      </c>
      <c r="ER17" s="272">
        <v>-3818718</v>
      </c>
      <c r="ES17" s="272">
        <v>6174606</v>
      </c>
      <c r="ET17" s="272">
        <v>4130865</v>
      </c>
      <c r="EU17" s="272">
        <v>2159272</v>
      </c>
      <c r="EV17" s="272">
        <v>5841660</v>
      </c>
      <c r="EW17" s="455">
        <f t="shared" si="13"/>
        <v>985393</v>
      </c>
      <c r="EX17" s="272">
        <v>985393</v>
      </c>
      <c r="EY17" s="272">
        <v>17222</v>
      </c>
      <c r="EZ17" s="272">
        <v>968079</v>
      </c>
      <c r="FA17" s="272">
        <v>0</v>
      </c>
      <c r="FB17" s="272">
        <v>0</v>
      </c>
      <c r="FC17" s="272">
        <v>2703073</v>
      </c>
      <c r="FD17" s="272">
        <v>4188148</v>
      </c>
      <c r="FE17" s="272">
        <v>1011691</v>
      </c>
      <c r="FF17" s="272">
        <v>2993682</v>
      </c>
      <c r="FG17" s="455">
        <f t="shared" si="14"/>
        <v>1744366</v>
      </c>
      <c r="FH17" s="272">
        <v>26790200</v>
      </c>
      <c r="FI17" s="459">
        <f t="shared" si="15"/>
        <v>0.1</v>
      </c>
      <c r="FJ17" s="272">
        <v>19757618</v>
      </c>
      <c r="FK17" s="272">
        <v>816004</v>
      </c>
      <c r="FL17" s="272">
        <v>14722789</v>
      </c>
      <c r="FM17" s="272">
        <v>15306924</v>
      </c>
      <c r="FN17" s="460">
        <v>0.96699999999999997</v>
      </c>
      <c r="FO17" s="388">
        <v>101.2</v>
      </c>
      <c r="FP17" s="388">
        <v>27.8</v>
      </c>
      <c r="FQ17" s="388">
        <v>9.9</v>
      </c>
      <c r="FR17" s="388">
        <v>26.3</v>
      </c>
      <c r="FS17" s="388">
        <v>11.4</v>
      </c>
      <c r="FT17" s="388">
        <v>12.2</v>
      </c>
      <c r="FU17" s="388">
        <v>12.5</v>
      </c>
      <c r="FV17" s="384">
        <f t="shared" si="16"/>
        <v>18.399999999999999</v>
      </c>
      <c r="FW17" s="272">
        <v>75093556</v>
      </c>
      <c r="FX17" s="384">
        <f t="shared" si="17"/>
        <v>365</v>
      </c>
      <c r="FY17" s="272">
        <v>2710790</v>
      </c>
      <c r="FZ17" s="272">
        <v>904</v>
      </c>
      <c r="GA17" s="272">
        <v>499</v>
      </c>
      <c r="GB17" s="272">
        <v>2709387</v>
      </c>
      <c r="GC17" s="272">
        <v>590000</v>
      </c>
      <c r="GD17" s="272">
        <v>6851576</v>
      </c>
      <c r="GE17" s="384">
        <f t="shared" si="18"/>
        <v>33.299999999999997</v>
      </c>
      <c r="GF17" s="388">
        <v>98.7</v>
      </c>
      <c r="GG17" s="388">
        <v>20.9</v>
      </c>
      <c r="GH17" s="388">
        <v>94.8</v>
      </c>
      <c r="GI17" s="272">
        <v>769</v>
      </c>
      <c r="GJ17" s="461" t="s">
        <v>646</v>
      </c>
      <c r="GK17" s="461">
        <v>12.44</v>
      </c>
      <c r="GL17" s="462">
        <v>20</v>
      </c>
      <c r="GM17" s="461">
        <v>26.42</v>
      </c>
      <c r="GN17" s="462">
        <v>17.440000000000001</v>
      </c>
      <c r="GO17" s="462">
        <v>40</v>
      </c>
      <c r="GP17" s="463">
        <v>18.399999999999999</v>
      </c>
      <c r="GQ17" s="463">
        <v>25</v>
      </c>
      <c r="GR17" s="463">
        <v>35</v>
      </c>
      <c r="GS17" s="464">
        <v>393.5</v>
      </c>
      <c r="GT17" s="463">
        <v>350</v>
      </c>
      <c r="GU17" s="394"/>
      <c r="GV17" s="394"/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</row>
    <row r="18" spans="2:230" x14ac:dyDescent="0.15">
      <c r="B18" s="89" t="s">
        <v>29</v>
      </c>
      <c r="C18" s="272">
        <v>14507050</v>
      </c>
      <c r="D18" s="455">
        <f t="shared" si="0"/>
        <v>6686889</v>
      </c>
      <c r="E18" s="272">
        <v>162213</v>
      </c>
      <c r="F18" s="456">
        <v>6524676</v>
      </c>
      <c r="G18" s="455">
        <f t="shared" si="1"/>
        <v>630562</v>
      </c>
      <c r="H18" s="272">
        <v>189620</v>
      </c>
      <c r="I18" s="272">
        <v>440942</v>
      </c>
      <c r="J18" s="272">
        <v>5450886</v>
      </c>
      <c r="K18" s="272">
        <v>2214178</v>
      </c>
      <c r="L18" s="272">
        <v>2530899</v>
      </c>
      <c r="M18" s="272">
        <v>607555</v>
      </c>
      <c r="N18" s="272">
        <v>537447</v>
      </c>
      <c r="O18" s="272">
        <v>1060192</v>
      </c>
      <c r="P18" s="272">
        <v>577092</v>
      </c>
      <c r="Q18" s="272">
        <v>483100</v>
      </c>
      <c r="R18" s="272">
        <v>280333</v>
      </c>
      <c r="S18" s="272">
        <v>0</v>
      </c>
      <c r="T18" s="455">
        <f t="shared" si="2"/>
        <v>1428261</v>
      </c>
      <c r="U18" s="272">
        <v>112071</v>
      </c>
      <c r="V18" s="272">
        <v>44108</v>
      </c>
      <c r="W18" s="456">
        <v>15600</v>
      </c>
      <c r="X18" s="272">
        <v>974617</v>
      </c>
      <c r="Y18" s="272">
        <v>49019</v>
      </c>
      <c r="Z18" s="272">
        <v>0</v>
      </c>
      <c r="AA18" s="272">
        <v>232846</v>
      </c>
      <c r="AB18" s="272">
        <v>219682</v>
      </c>
      <c r="AC18" s="272">
        <v>5036334</v>
      </c>
      <c r="AD18" s="272">
        <v>4847112</v>
      </c>
      <c r="AE18" s="272">
        <v>189222</v>
      </c>
      <c r="AF18" s="272">
        <v>22995</v>
      </c>
      <c r="AG18" s="272">
        <v>475479</v>
      </c>
      <c r="AH18" s="455">
        <f t="shared" si="3"/>
        <v>948972</v>
      </c>
      <c r="AI18" s="272">
        <v>698213</v>
      </c>
      <c r="AJ18" s="272">
        <v>250759</v>
      </c>
      <c r="AK18" s="272">
        <v>6375677</v>
      </c>
      <c r="AL18" s="455">
        <f t="shared" si="4"/>
        <v>2690962</v>
      </c>
      <c r="AM18" s="272">
        <v>2440055</v>
      </c>
      <c r="AN18" s="272">
        <v>250907</v>
      </c>
      <c r="AO18" s="272">
        <v>0</v>
      </c>
      <c r="AP18" s="272">
        <v>0</v>
      </c>
      <c r="AQ18" s="272">
        <v>660525</v>
      </c>
      <c r="AR18" s="272">
        <v>11286</v>
      </c>
      <c r="AS18" s="272">
        <v>0</v>
      </c>
      <c r="AT18" s="272">
        <v>1958240</v>
      </c>
      <c r="AU18" s="272">
        <v>853740</v>
      </c>
      <c r="AV18" s="272">
        <v>137223</v>
      </c>
      <c r="AW18" s="272">
        <v>29876</v>
      </c>
      <c r="AX18" s="272">
        <v>1104500</v>
      </c>
      <c r="AY18" s="272">
        <v>11154</v>
      </c>
      <c r="AZ18" s="272">
        <v>46509</v>
      </c>
      <c r="BA18" s="272">
        <v>4577</v>
      </c>
      <c r="BB18" s="272">
        <v>7284</v>
      </c>
      <c r="BC18" s="272">
        <v>1138748</v>
      </c>
      <c r="BD18" s="272">
        <v>62877</v>
      </c>
      <c r="BE18" s="272">
        <v>0</v>
      </c>
      <c r="BF18" s="272">
        <v>1046595</v>
      </c>
      <c r="BG18" s="272">
        <v>0</v>
      </c>
      <c r="BH18" s="272">
        <v>499548</v>
      </c>
      <c r="BI18" s="272">
        <v>442422</v>
      </c>
      <c r="BJ18" s="272">
        <v>1501364</v>
      </c>
      <c r="BK18" s="272">
        <v>1166146</v>
      </c>
      <c r="BL18" s="272">
        <v>0</v>
      </c>
      <c r="BM18" s="272">
        <v>66953</v>
      </c>
      <c r="BN18" s="272">
        <v>1279072</v>
      </c>
      <c r="BO18" s="455">
        <f t="shared" si="5"/>
        <v>291200</v>
      </c>
      <c r="BP18" s="455">
        <f t="shared" si="6"/>
        <v>987872</v>
      </c>
      <c r="BQ18" s="272">
        <v>0</v>
      </c>
      <c r="BR18" s="272">
        <v>0</v>
      </c>
      <c r="BS18" s="272">
        <v>987872</v>
      </c>
      <c r="BT18" s="272">
        <v>0</v>
      </c>
      <c r="BU18" s="272">
        <v>35725548</v>
      </c>
      <c r="BV18" s="272"/>
      <c r="BW18" s="272">
        <v>7650418</v>
      </c>
      <c r="BX18" s="272">
        <v>5298527</v>
      </c>
      <c r="BY18" s="272">
        <v>942707</v>
      </c>
      <c r="BZ18" s="272">
        <v>169676</v>
      </c>
      <c r="CA18" s="272">
        <v>7781341</v>
      </c>
      <c r="CB18" s="272">
        <v>1266087</v>
      </c>
      <c r="CC18" s="272">
        <v>190424</v>
      </c>
      <c r="CD18" s="272">
        <v>2828072</v>
      </c>
      <c r="CE18" s="272">
        <v>3345971</v>
      </c>
      <c r="CF18" s="272">
        <v>6348</v>
      </c>
      <c r="CG18" s="272">
        <v>144439</v>
      </c>
      <c r="CH18" s="272">
        <v>2304668</v>
      </c>
      <c r="CI18" s="272">
        <v>1894423</v>
      </c>
      <c r="CJ18" s="455">
        <f t="shared" si="7"/>
        <v>410245</v>
      </c>
      <c r="CK18" s="272">
        <v>4770973</v>
      </c>
      <c r="CL18" s="272">
        <v>2977432</v>
      </c>
      <c r="CM18" s="272">
        <v>683142</v>
      </c>
      <c r="CN18" s="272">
        <v>574329</v>
      </c>
      <c r="CO18" s="272">
        <v>308256</v>
      </c>
      <c r="CP18" s="272">
        <v>3215322</v>
      </c>
      <c r="CQ18" s="272">
        <v>1758194</v>
      </c>
      <c r="CR18" s="272">
        <v>993143</v>
      </c>
      <c r="CS18" s="272">
        <v>754615</v>
      </c>
      <c r="CT18" s="455">
        <f t="shared" si="8"/>
        <v>1653</v>
      </c>
      <c r="CU18" s="272">
        <v>624</v>
      </c>
      <c r="CV18" s="272">
        <v>1029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2378213</v>
      </c>
      <c r="DD18" s="272">
        <v>1083580</v>
      </c>
      <c r="DE18" s="272">
        <v>1294633</v>
      </c>
      <c r="DF18" s="26">
        <v>0</v>
      </c>
      <c r="DG18" s="27">
        <v>0</v>
      </c>
      <c r="DH18" s="272">
        <v>22413</v>
      </c>
      <c r="DI18" s="272">
        <v>263841</v>
      </c>
      <c r="DJ18" s="272">
        <v>15447</v>
      </c>
      <c r="DK18" s="272">
        <v>0</v>
      </c>
      <c r="DL18" s="272">
        <v>248394</v>
      </c>
      <c r="DM18" s="272">
        <v>41</v>
      </c>
      <c r="DN18" s="272">
        <v>0</v>
      </c>
      <c r="DO18" s="272">
        <v>0</v>
      </c>
      <c r="DP18" s="272">
        <v>0</v>
      </c>
      <c r="DQ18" s="272">
        <v>1153750</v>
      </c>
      <c r="DR18" s="272">
        <v>0</v>
      </c>
      <c r="DS18" s="272">
        <v>0</v>
      </c>
      <c r="DT18" s="272">
        <v>3672208</v>
      </c>
      <c r="DU18" s="272">
        <v>1508007</v>
      </c>
      <c r="DV18" s="455">
        <f t="shared" si="11"/>
        <v>0</v>
      </c>
      <c r="DW18" s="272">
        <v>0</v>
      </c>
      <c r="DX18" s="272">
        <v>230641</v>
      </c>
      <c r="DY18" s="272">
        <v>0</v>
      </c>
      <c r="DZ18" s="272">
        <v>965246</v>
      </c>
      <c r="EA18" s="272">
        <v>9469</v>
      </c>
      <c r="EB18" s="272">
        <v>956604</v>
      </c>
      <c r="EC18" s="272">
        <v>0</v>
      </c>
      <c r="ED18" s="272">
        <v>33521444</v>
      </c>
      <c r="EE18" s="89"/>
      <c r="EF18" s="272">
        <v>2204104</v>
      </c>
      <c r="EG18" s="272">
        <v>1843944</v>
      </c>
      <c r="EH18" s="272">
        <v>360160</v>
      </c>
      <c r="EI18" s="272">
        <v>-82262</v>
      </c>
      <c r="EJ18" s="272">
        <v>-129692</v>
      </c>
      <c r="EK18" s="89"/>
      <c r="EL18" s="272"/>
      <c r="EM18" s="272">
        <v>120547</v>
      </c>
      <c r="EN18" s="272">
        <v>429166</v>
      </c>
      <c r="EO18" s="272">
        <v>12437</v>
      </c>
      <c r="EP18" s="455">
        <f t="shared" si="12"/>
        <v>820698</v>
      </c>
      <c r="EQ18" s="272">
        <v>21494655</v>
      </c>
      <c r="ER18" s="272">
        <v>-2227178</v>
      </c>
      <c r="ES18" s="272">
        <v>6907571</v>
      </c>
      <c r="ET18" s="272">
        <v>4570307</v>
      </c>
      <c r="EU18" s="272">
        <v>2870890</v>
      </c>
      <c r="EV18" s="272">
        <v>2230660</v>
      </c>
      <c r="EW18" s="455">
        <f t="shared" si="13"/>
        <v>696443</v>
      </c>
      <c r="EX18" s="272">
        <v>685316</v>
      </c>
      <c r="EY18" s="272">
        <v>101545</v>
      </c>
      <c r="EZ18" s="272">
        <v>583771</v>
      </c>
      <c r="FA18" s="272">
        <v>11127</v>
      </c>
      <c r="FB18" s="272">
        <v>0</v>
      </c>
      <c r="FC18" s="272">
        <v>3906033</v>
      </c>
      <c r="FD18" s="272">
        <v>3001271</v>
      </c>
      <c r="FE18" s="272">
        <v>1758194</v>
      </c>
      <c r="FF18" s="272">
        <v>3149480</v>
      </c>
      <c r="FG18" s="455">
        <f t="shared" si="14"/>
        <v>447209</v>
      </c>
      <c r="FH18" s="272">
        <v>23209557</v>
      </c>
      <c r="FI18" s="459">
        <f t="shared" si="15"/>
        <v>1.7</v>
      </c>
      <c r="FJ18" s="272">
        <v>20599562</v>
      </c>
      <c r="FK18" s="272">
        <v>987872</v>
      </c>
      <c r="FL18" s="272">
        <v>12097748</v>
      </c>
      <c r="FM18" s="272">
        <v>16952294</v>
      </c>
      <c r="FN18" s="460">
        <v>0.71499999999999997</v>
      </c>
      <c r="FO18" s="388">
        <v>98.7</v>
      </c>
      <c r="FP18" s="388">
        <v>31.2</v>
      </c>
      <c r="FQ18" s="388">
        <v>13.4</v>
      </c>
      <c r="FR18" s="388">
        <v>10.4</v>
      </c>
      <c r="FS18" s="388">
        <v>18.3</v>
      </c>
      <c r="FT18" s="388">
        <v>13.8</v>
      </c>
      <c r="FU18" s="388">
        <v>10.1</v>
      </c>
      <c r="FV18" s="384">
        <f t="shared" si="16"/>
        <v>2.9</v>
      </c>
      <c r="FW18" s="272">
        <v>22860592</v>
      </c>
      <c r="FX18" s="384">
        <f t="shared" si="17"/>
        <v>105.9</v>
      </c>
      <c r="FY18" s="272">
        <v>7571957</v>
      </c>
      <c r="FZ18" s="272">
        <v>3836687</v>
      </c>
      <c r="GA18" s="272">
        <v>0</v>
      </c>
      <c r="GB18" s="272">
        <v>3735270</v>
      </c>
      <c r="GC18" s="272">
        <v>0</v>
      </c>
      <c r="GD18" s="272">
        <v>661681</v>
      </c>
      <c r="GE18" s="384">
        <f t="shared" si="18"/>
        <v>3.1</v>
      </c>
      <c r="GF18" s="388">
        <v>97.7</v>
      </c>
      <c r="GG18" s="388">
        <v>23.5</v>
      </c>
      <c r="GH18" s="388">
        <v>93.2</v>
      </c>
      <c r="GI18" s="272">
        <v>829</v>
      </c>
      <c r="GJ18" s="461" t="s">
        <v>646</v>
      </c>
      <c r="GK18" s="461">
        <v>12.35</v>
      </c>
      <c r="GL18" s="462">
        <v>20</v>
      </c>
      <c r="GM18" s="461" t="s">
        <v>646</v>
      </c>
      <c r="GN18" s="462">
        <v>17.350000000000001</v>
      </c>
      <c r="GO18" s="462">
        <v>40</v>
      </c>
      <c r="GP18" s="463">
        <v>2.9</v>
      </c>
      <c r="GQ18" s="463">
        <v>25</v>
      </c>
      <c r="GR18" s="463">
        <v>35</v>
      </c>
      <c r="GS18" s="464">
        <v>5.0999999999999996</v>
      </c>
      <c r="GT18" s="463">
        <v>350</v>
      </c>
      <c r="GU18" s="394"/>
      <c r="GV18" s="394"/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</row>
    <row r="19" spans="2:230" x14ac:dyDescent="0.15">
      <c r="B19" s="89" t="s">
        <v>31</v>
      </c>
      <c r="C19" s="272">
        <v>29886868</v>
      </c>
      <c r="D19" s="455">
        <f t="shared" si="0"/>
        <v>12099144</v>
      </c>
      <c r="E19" s="272">
        <v>305062</v>
      </c>
      <c r="F19" s="456">
        <v>11794082</v>
      </c>
      <c r="G19" s="455">
        <f t="shared" si="1"/>
        <v>2038234</v>
      </c>
      <c r="H19" s="272">
        <v>505094</v>
      </c>
      <c r="I19" s="272">
        <v>1533140</v>
      </c>
      <c r="J19" s="272">
        <v>11494112</v>
      </c>
      <c r="K19" s="272">
        <v>5253068</v>
      </c>
      <c r="L19" s="272">
        <v>4842742</v>
      </c>
      <c r="M19" s="272">
        <v>1140487</v>
      </c>
      <c r="N19" s="272">
        <v>1475887</v>
      </c>
      <c r="O19" s="272">
        <v>2592741</v>
      </c>
      <c r="P19" s="272">
        <v>1514194</v>
      </c>
      <c r="Q19" s="272">
        <v>1078547</v>
      </c>
      <c r="R19" s="272">
        <v>437002</v>
      </c>
      <c r="S19" s="272">
        <v>0</v>
      </c>
      <c r="T19" s="455">
        <f t="shared" si="2"/>
        <v>2576484</v>
      </c>
      <c r="U19" s="272">
        <v>200148</v>
      </c>
      <c r="V19" s="272">
        <v>78756</v>
      </c>
      <c r="W19" s="456">
        <v>27897</v>
      </c>
      <c r="X19" s="272">
        <v>1906699</v>
      </c>
      <c r="Y19" s="272">
        <v>0</v>
      </c>
      <c r="Z19" s="272">
        <v>0</v>
      </c>
      <c r="AA19" s="272">
        <v>362984</v>
      </c>
      <c r="AB19" s="272">
        <v>462928</v>
      </c>
      <c r="AC19" s="272">
        <v>9383644</v>
      </c>
      <c r="AD19" s="272">
        <v>8905996</v>
      </c>
      <c r="AE19" s="272">
        <v>477648</v>
      </c>
      <c r="AF19" s="272">
        <v>39831</v>
      </c>
      <c r="AG19" s="272">
        <v>618939</v>
      </c>
      <c r="AH19" s="455">
        <f t="shared" si="3"/>
        <v>1185024</v>
      </c>
      <c r="AI19" s="272">
        <v>895300</v>
      </c>
      <c r="AJ19" s="272">
        <v>289724</v>
      </c>
      <c r="AK19" s="272">
        <v>13059976</v>
      </c>
      <c r="AL19" s="455">
        <f t="shared" si="4"/>
        <v>7028713</v>
      </c>
      <c r="AM19" s="272">
        <v>6183349</v>
      </c>
      <c r="AN19" s="272">
        <v>845364</v>
      </c>
      <c r="AO19" s="272">
        <v>0</v>
      </c>
      <c r="AP19" s="272">
        <v>0</v>
      </c>
      <c r="AQ19" s="272">
        <v>1041502</v>
      </c>
      <c r="AR19" s="272">
        <v>0</v>
      </c>
      <c r="AS19" s="272">
        <v>0</v>
      </c>
      <c r="AT19" s="272">
        <v>4389924</v>
      </c>
      <c r="AU19" s="272">
        <v>1941824</v>
      </c>
      <c r="AV19" s="272">
        <v>422682</v>
      </c>
      <c r="AW19" s="272">
        <v>1500</v>
      </c>
      <c r="AX19" s="272">
        <v>2448100</v>
      </c>
      <c r="AY19" s="272">
        <v>70003</v>
      </c>
      <c r="AZ19" s="272">
        <v>481343</v>
      </c>
      <c r="BA19" s="272">
        <v>464750</v>
      </c>
      <c r="BB19" s="272">
        <v>4586</v>
      </c>
      <c r="BC19" s="272">
        <v>534090</v>
      </c>
      <c r="BD19" s="272">
        <v>0</v>
      </c>
      <c r="BE19" s="272">
        <v>50</v>
      </c>
      <c r="BF19" s="272">
        <v>460948</v>
      </c>
      <c r="BG19" s="272">
        <v>0</v>
      </c>
      <c r="BH19" s="272">
        <v>299087</v>
      </c>
      <c r="BI19" s="272">
        <v>122833</v>
      </c>
      <c r="BJ19" s="272">
        <v>3100461</v>
      </c>
      <c r="BK19" s="272">
        <v>2483725</v>
      </c>
      <c r="BL19" s="272">
        <v>63849</v>
      </c>
      <c r="BM19" s="272">
        <v>60554</v>
      </c>
      <c r="BN19" s="272">
        <v>4710000</v>
      </c>
      <c r="BO19" s="455">
        <f t="shared" si="5"/>
        <v>628600</v>
      </c>
      <c r="BP19" s="455">
        <f t="shared" si="6"/>
        <v>1781400</v>
      </c>
      <c r="BQ19" s="272">
        <v>0</v>
      </c>
      <c r="BR19" s="272">
        <v>0</v>
      </c>
      <c r="BS19" s="272">
        <v>1781400</v>
      </c>
      <c r="BT19" s="272">
        <v>2300000</v>
      </c>
      <c r="BU19" s="272">
        <v>71170187</v>
      </c>
      <c r="BV19" s="272"/>
      <c r="BW19" s="272">
        <v>15926644</v>
      </c>
      <c r="BX19" s="272">
        <v>10256504</v>
      </c>
      <c r="BY19" s="272">
        <v>3109340</v>
      </c>
      <c r="BZ19" s="272">
        <v>363147</v>
      </c>
      <c r="CA19" s="272">
        <v>17769859</v>
      </c>
      <c r="CB19" s="272">
        <v>2817953</v>
      </c>
      <c r="CC19" s="272">
        <v>349966</v>
      </c>
      <c r="CD19" s="272">
        <v>5990059</v>
      </c>
      <c r="CE19" s="272">
        <v>8304824</v>
      </c>
      <c r="CF19" s="272">
        <v>5619</v>
      </c>
      <c r="CG19" s="272">
        <v>297968</v>
      </c>
      <c r="CH19" s="272">
        <v>6790540</v>
      </c>
      <c r="CI19" s="272">
        <v>5539468</v>
      </c>
      <c r="CJ19" s="455">
        <f t="shared" si="7"/>
        <v>1251072</v>
      </c>
      <c r="CK19" s="272">
        <v>6620824</v>
      </c>
      <c r="CL19" s="272">
        <v>2624279</v>
      </c>
      <c r="CM19" s="272">
        <v>1096144</v>
      </c>
      <c r="CN19" s="272">
        <v>1635465</v>
      </c>
      <c r="CO19" s="272">
        <v>341718</v>
      </c>
      <c r="CP19" s="272">
        <v>6794062</v>
      </c>
      <c r="CQ19" s="272">
        <v>3204191</v>
      </c>
      <c r="CR19" s="272">
        <v>2617497</v>
      </c>
      <c r="CS19" s="272">
        <v>928146</v>
      </c>
      <c r="CT19" s="455">
        <f t="shared" si="8"/>
        <v>15637</v>
      </c>
      <c r="CU19" s="272">
        <v>15637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3966389</v>
      </c>
      <c r="DD19" s="272">
        <v>1428760</v>
      </c>
      <c r="DE19" s="272">
        <v>2473188</v>
      </c>
      <c r="DF19" s="26">
        <v>0</v>
      </c>
      <c r="DG19" s="27">
        <v>64441</v>
      </c>
      <c r="DH19" s="272">
        <v>0</v>
      </c>
      <c r="DI19" s="272">
        <v>1411079</v>
      </c>
      <c r="DJ19" s="272">
        <v>70491</v>
      </c>
      <c r="DK19" s="272">
        <v>208</v>
      </c>
      <c r="DL19" s="272">
        <v>1340380</v>
      </c>
      <c r="DM19" s="272">
        <v>15000</v>
      </c>
      <c r="DN19" s="272">
        <v>0</v>
      </c>
      <c r="DO19" s="272">
        <v>0</v>
      </c>
      <c r="DP19" s="272">
        <v>0</v>
      </c>
      <c r="DQ19" s="272">
        <v>2452922</v>
      </c>
      <c r="DR19" s="272">
        <v>0</v>
      </c>
      <c r="DS19" s="272">
        <v>0</v>
      </c>
      <c r="DT19" s="272">
        <v>8725512</v>
      </c>
      <c r="DU19" s="272">
        <v>2676002</v>
      </c>
      <c r="DV19" s="455">
        <f t="shared" si="11"/>
        <v>0</v>
      </c>
      <c r="DW19" s="272">
        <v>0</v>
      </c>
      <c r="DX19" s="272">
        <v>1557417</v>
      </c>
      <c r="DY19" s="272">
        <v>0</v>
      </c>
      <c r="DZ19" s="272">
        <v>2708703</v>
      </c>
      <c r="EA19" s="272">
        <v>157739</v>
      </c>
      <c r="EB19" s="272">
        <v>1625651</v>
      </c>
      <c r="EC19" s="272">
        <v>0</v>
      </c>
      <c r="ED19" s="272">
        <v>70814549</v>
      </c>
      <c r="EE19" s="89"/>
      <c r="EF19" s="272">
        <v>355638</v>
      </c>
      <c r="EG19" s="272">
        <v>169201</v>
      </c>
      <c r="EH19" s="272">
        <v>186437</v>
      </c>
      <c r="EI19" s="272">
        <v>63604</v>
      </c>
      <c r="EJ19" s="272">
        <v>135239</v>
      </c>
      <c r="EK19" s="89"/>
      <c r="EL19" s="272"/>
      <c r="EM19" s="272">
        <v>240424</v>
      </c>
      <c r="EN19" s="272">
        <v>59167</v>
      </c>
      <c r="EO19" s="272">
        <v>403089</v>
      </c>
      <c r="EP19" s="455">
        <f t="shared" si="12"/>
        <v>1199244</v>
      </c>
      <c r="EQ19" s="272">
        <v>42786757</v>
      </c>
      <c r="ER19" s="272">
        <v>-3403069</v>
      </c>
      <c r="ES19" s="272">
        <v>12529659</v>
      </c>
      <c r="ET19" s="272">
        <v>9249692</v>
      </c>
      <c r="EU19" s="272">
        <v>5518223</v>
      </c>
      <c r="EV19" s="272">
        <v>6755131</v>
      </c>
      <c r="EW19" s="455">
        <f t="shared" si="13"/>
        <v>1900627</v>
      </c>
      <c r="EX19" s="272">
        <v>1900627</v>
      </c>
      <c r="EY19" s="272">
        <v>116265</v>
      </c>
      <c r="EZ19" s="272">
        <v>1784362</v>
      </c>
      <c r="FA19" s="272">
        <v>0</v>
      </c>
      <c r="FB19" s="272">
        <v>0</v>
      </c>
      <c r="FC19" s="272">
        <v>5354305</v>
      </c>
      <c r="FD19" s="272">
        <v>4817796</v>
      </c>
      <c r="FE19" s="272">
        <v>3204191</v>
      </c>
      <c r="FF19" s="272">
        <v>7544253</v>
      </c>
      <c r="FG19" s="455">
        <f t="shared" si="14"/>
        <v>1416182</v>
      </c>
      <c r="FH19" s="272">
        <v>45836176</v>
      </c>
      <c r="FI19" s="459">
        <f t="shared" si="15"/>
        <v>0.4</v>
      </c>
      <c r="FJ19" s="272">
        <v>40001539</v>
      </c>
      <c r="FK19" s="272">
        <v>1781477</v>
      </c>
      <c r="FL19" s="272">
        <v>23890923</v>
      </c>
      <c r="FM19" s="272">
        <v>32776842</v>
      </c>
      <c r="FN19" s="460">
        <v>0.72399999999999998</v>
      </c>
      <c r="FO19" s="388">
        <v>96.3</v>
      </c>
      <c r="FP19" s="388">
        <v>29.4</v>
      </c>
      <c r="FQ19" s="388">
        <v>13.2</v>
      </c>
      <c r="FR19" s="388">
        <v>16.2</v>
      </c>
      <c r="FS19" s="388">
        <v>12.1</v>
      </c>
      <c r="FT19" s="388">
        <v>10.3</v>
      </c>
      <c r="FU19" s="388">
        <v>14.3</v>
      </c>
      <c r="FV19" s="384">
        <f t="shared" si="16"/>
        <v>4.5999999999999996</v>
      </c>
      <c r="FW19" s="272">
        <v>63687057</v>
      </c>
      <c r="FX19" s="384">
        <f t="shared" si="17"/>
        <v>152.4</v>
      </c>
      <c r="FY19" s="272">
        <v>4950714</v>
      </c>
      <c r="FZ19" s="272">
        <v>167650</v>
      </c>
      <c r="GA19" s="272">
        <v>3431</v>
      </c>
      <c r="GB19" s="272">
        <v>4779633</v>
      </c>
      <c r="GC19" s="272">
        <v>0</v>
      </c>
      <c r="GD19" s="272">
        <v>3686628</v>
      </c>
      <c r="GE19" s="384">
        <f t="shared" si="18"/>
        <v>8.8000000000000007</v>
      </c>
      <c r="GF19" s="388">
        <v>97.2</v>
      </c>
      <c r="GG19" s="388">
        <v>13.4</v>
      </c>
      <c r="GH19" s="388">
        <v>88.4</v>
      </c>
      <c r="GI19" s="272">
        <v>1445</v>
      </c>
      <c r="GJ19" s="461" t="s">
        <v>646</v>
      </c>
      <c r="GK19" s="461">
        <v>11.41</v>
      </c>
      <c r="GL19" s="462">
        <v>20</v>
      </c>
      <c r="GM19" s="461" t="s">
        <v>646</v>
      </c>
      <c r="GN19" s="462">
        <v>16.41</v>
      </c>
      <c r="GO19" s="462">
        <v>40</v>
      </c>
      <c r="GP19" s="463">
        <v>4.5999999999999996</v>
      </c>
      <c r="GQ19" s="463">
        <v>25</v>
      </c>
      <c r="GR19" s="463">
        <v>35</v>
      </c>
      <c r="GS19" s="464">
        <v>53.6</v>
      </c>
      <c r="GT19" s="463">
        <v>350</v>
      </c>
      <c r="GU19" s="394"/>
      <c r="GV19" s="394"/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</row>
    <row r="20" spans="2:230" x14ac:dyDescent="0.15">
      <c r="B20" s="89" t="s">
        <v>33</v>
      </c>
      <c r="C20" s="272">
        <v>14371692</v>
      </c>
      <c r="D20" s="455">
        <f t="shared" si="0"/>
        <v>6916936</v>
      </c>
      <c r="E20" s="272">
        <v>154035</v>
      </c>
      <c r="F20" s="456">
        <v>6762901</v>
      </c>
      <c r="G20" s="455">
        <f t="shared" si="1"/>
        <v>760555</v>
      </c>
      <c r="H20" s="272">
        <v>203241</v>
      </c>
      <c r="I20" s="272">
        <v>557314</v>
      </c>
      <c r="J20" s="272">
        <v>5061391</v>
      </c>
      <c r="K20" s="272">
        <v>1978278</v>
      </c>
      <c r="L20" s="272">
        <v>2369364</v>
      </c>
      <c r="M20" s="272">
        <v>641815</v>
      </c>
      <c r="N20" s="272">
        <v>454062</v>
      </c>
      <c r="O20" s="272">
        <v>1050593</v>
      </c>
      <c r="P20" s="272">
        <v>567930</v>
      </c>
      <c r="Q20" s="272">
        <v>482663</v>
      </c>
      <c r="R20" s="272">
        <v>319260</v>
      </c>
      <c r="S20" s="272">
        <v>0</v>
      </c>
      <c r="T20" s="455">
        <f t="shared" si="2"/>
        <v>1319179</v>
      </c>
      <c r="U20" s="272">
        <v>117667</v>
      </c>
      <c r="V20" s="272">
        <v>46328</v>
      </c>
      <c r="W20" s="456">
        <v>16344</v>
      </c>
      <c r="X20" s="272">
        <v>853240</v>
      </c>
      <c r="Y20" s="272">
        <v>20423</v>
      </c>
      <c r="Z20" s="272">
        <v>0</v>
      </c>
      <c r="AA20" s="272">
        <v>265177</v>
      </c>
      <c r="AB20" s="272">
        <v>212169</v>
      </c>
      <c r="AC20" s="272">
        <v>4647592</v>
      </c>
      <c r="AD20" s="272">
        <v>4421193</v>
      </c>
      <c r="AE20" s="272">
        <v>226399</v>
      </c>
      <c r="AF20" s="272">
        <v>21376</v>
      </c>
      <c r="AG20" s="272">
        <v>297860</v>
      </c>
      <c r="AH20" s="455">
        <f t="shared" si="3"/>
        <v>946914</v>
      </c>
      <c r="AI20" s="272">
        <v>630187</v>
      </c>
      <c r="AJ20" s="272">
        <v>316727</v>
      </c>
      <c r="AK20" s="272">
        <v>3257696</v>
      </c>
      <c r="AL20" s="455">
        <f t="shared" si="4"/>
        <v>2003518</v>
      </c>
      <c r="AM20" s="272">
        <v>1664950</v>
      </c>
      <c r="AN20" s="272">
        <v>338568</v>
      </c>
      <c r="AO20" s="272">
        <v>0</v>
      </c>
      <c r="AP20" s="272">
        <v>0</v>
      </c>
      <c r="AQ20" s="272">
        <v>75259</v>
      </c>
      <c r="AR20" s="272">
        <v>0</v>
      </c>
      <c r="AS20" s="272">
        <v>0</v>
      </c>
      <c r="AT20" s="272">
        <v>1773390</v>
      </c>
      <c r="AU20" s="272">
        <v>809749</v>
      </c>
      <c r="AV20" s="272">
        <v>169284</v>
      </c>
      <c r="AW20" s="272">
        <v>7256</v>
      </c>
      <c r="AX20" s="272">
        <v>963641</v>
      </c>
      <c r="AY20" s="272">
        <v>0</v>
      </c>
      <c r="AZ20" s="272">
        <v>140470</v>
      </c>
      <c r="BA20" s="272">
        <v>47943</v>
      </c>
      <c r="BB20" s="272">
        <v>7795</v>
      </c>
      <c r="BC20" s="272">
        <v>629891</v>
      </c>
      <c r="BD20" s="272">
        <v>415500</v>
      </c>
      <c r="BE20" s="272">
        <v>52500</v>
      </c>
      <c r="BF20" s="272">
        <v>142445</v>
      </c>
      <c r="BG20" s="272">
        <v>0</v>
      </c>
      <c r="BH20" s="272">
        <v>87393</v>
      </c>
      <c r="BI20" s="272">
        <v>16519</v>
      </c>
      <c r="BJ20" s="272">
        <v>393302</v>
      </c>
      <c r="BK20" s="272">
        <v>63499</v>
      </c>
      <c r="BL20" s="272">
        <v>0</v>
      </c>
      <c r="BM20" s="272">
        <v>0</v>
      </c>
      <c r="BN20" s="272">
        <v>1207900</v>
      </c>
      <c r="BO20" s="455">
        <f t="shared" si="5"/>
        <v>279000</v>
      </c>
      <c r="BP20" s="455">
        <f t="shared" si="6"/>
        <v>928900</v>
      </c>
      <c r="BQ20" s="272">
        <v>0</v>
      </c>
      <c r="BR20" s="272">
        <v>0</v>
      </c>
      <c r="BS20" s="272">
        <v>928900</v>
      </c>
      <c r="BT20" s="272">
        <v>0</v>
      </c>
      <c r="BU20" s="272">
        <v>29633879</v>
      </c>
      <c r="BV20" s="272"/>
      <c r="BW20" s="272">
        <v>6667417</v>
      </c>
      <c r="BX20" s="272">
        <v>4127133</v>
      </c>
      <c r="BY20" s="272">
        <v>653348</v>
      </c>
      <c r="BZ20" s="272">
        <v>818231</v>
      </c>
      <c r="CA20" s="272">
        <v>6111426</v>
      </c>
      <c r="CB20" s="272">
        <v>1331416</v>
      </c>
      <c r="CC20" s="272">
        <v>256222</v>
      </c>
      <c r="CD20" s="272">
        <v>2244253</v>
      </c>
      <c r="CE20" s="272">
        <v>2221361</v>
      </c>
      <c r="CF20" s="272">
        <v>0</v>
      </c>
      <c r="CG20" s="272">
        <v>58174</v>
      </c>
      <c r="CH20" s="272">
        <v>3888015</v>
      </c>
      <c r="CI20" s="272">
        <v>3252728</v>
      </c>
      <c r="CJ20" s="455">
        <f t="shared" si="7"/>
        <v>635287</v>
      </c>
      <c r="CK20" s="272">
        <v>4712931</v>
      </c>
      <c r="CL20" s="272">
        <v>3218089</v>
      </c>
      <c r="CM20" s="272">
        <v>156519</v>
      </c>
      <c r="CN20" s="272">
        <v>694990</v>
      </c>
      <c r="CO20" s="272">
        <v>277290</v>
      </c>
      <c r="CP20" s="272">
        <v>2378865</v>
      </c>
      <c r="CQ20" s="272">
        <v>732653</v>
      </c>
      <c r="CR20" s="272">
        <v>875903</v>
      </c>
      <c r="CS20" s="272">
        <v>716233</v>
      </c>
      <c r="CT20" s="455">
        <f t="shared" si="8"/>
        <v>126603</v>
      </c>
      <c r="CU20" s="272">
        <v>6691</v>
      </c>
      <c r="CV20" s="272">
        <v>119912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1265283</v>
      </c>
      <c r="DD20" s="272">
        <v>263261</v>
      </c>
      <c r="DE20" s="272">
        <v>859934</v>
      </c>
      <c r="DF20" s="26">
        <v>142088</v>
      </c>
      <c r="DG20" s="27">
        <v>0</v>
      </c>
      <c r="DH20" s="272">
        <v>12396</v>
      </c>
      <c r="DI20" s="272">
        <v>133812</v>
      </c>
      <c r="DJ20" s="272">
        <v>96757</v>
      </c>
      <c r="DK20" s="272">
        <v>14000</v>
      </c>
      <c r="DL20" s="272">
        <v>23055</v>
      </c>
      <c r="DM20" s="272">
        <v>1477</v>
      </c>
      <c r="DN20" s="272">
        <v>0</v>
      </c>
      <c r="DO20" s="272">
        <v>0</v>
      </c>
      <c r="DP20" s="272">
        <v>0</v>
      </c>
      <c r="DQ20" s="272">
        <v>63301</v>
      </c>
      <c r="DR20" s="272">
        <v>0</v>
      </c>
      <c r="DS20" s="272">
        <v>0</v>
      </c>
      <c r="DT20" s="272">
        <v>3962904</v>
      </c>
      <c r="DU20" s="272">
        <v>1290325</v>
      </c>
      <c r="DV20" s="455">
        <f t="shared" si="11"/>
        <v>0</v>
      </c>
      <c r="DW20" s="272">
        <v>0</v>
      </c>
      <c r="DX20" s="272">
        <v>933280</v>
      </c>
      <c r="DY20" s="272">
        <v>0</v>
      </c>
      <c r="DZ20" s="272">
        <v>651103</v>
      </c>
      <c r="EA20" s="272">
        <v>74011</v>
      </c>
      <c r="EB20" s="272">
        <v>1001289</v>
      </c>
      <c r="EC20" s="272">
        <v>0</v>
      </c>
      <c r="ED20" s="272">
        <v>29475117</v>
      </c>
      <c r="EE20" s="89"/>
      <c r="EF20" s="272">
        <v>158762</v>
      </c>
      <c r="EG20" s="272">
        <v>140211</v>
      </c>
      <c r="EH20" s="272">
        <v>18551</v>
      </c>
      <c r="EI20" s="272">
        <v>2032</v>
      </c>
      <c r="EJ20" s="272">
        <v>-298169</v>
      </c>
      <c r="EK20" s="89"/>
      <c r="EL20" s="272"/>
      <c r="EM20" s="272">
        <v>115570</v>
      </c>
      <c r="EN20" s="272">
        <v>468000</v>
      </c>
      <c r="EO20" s="272">
        <v>64431</v>
      </c>
      <c r="EP20" s="455">
        <f t="shared" si="12"/>
        <v>383791</v>
      </c>
      <c r="EQ20" s="272">
        <v>20891268</v>
      </c>
      <c r="ER20" s="272">
        <v>-1823746</v>
      </c>
      <c r="ES20" s="272">
        <v>6156367</v>
      </c>
      <c r="ET20" s="272">
        <v>3800439</v>
      </c>
      <c r="EU20" s="272">
        <v>1976014</v>
      </c>
      <c r="EV20" s="272">
        <v>3851220</v>
      </c>
      <c r="EW20" s="455">
        <f t="shared" si="13"/>
        <v>811035</v>
      </c>
      <c r="EX20" s="272">
        <v>803698</v>
      </c>
      <c r="EY20" s="272">
        <v>83550</v>
      </c>
      <c r="EZ20" s="272">
        <v>689178</v>
      </c>
      <c r="FA20" s="272">
        <v>7337</v>
      </c>
      <c r="FB20" s="272">
        <v>0</v>
      </c>
      <c r="FC20" s="272">
        <v>3786199</v>
      </c>
      <c r="FD20" s="272">
        <v>2124093</v>
      </c>
      <c r="FE20" s="272">
        <v>732653</v>
      </c>
      <c r="FF20" s="272">
        <v>3574294</v>
      </c>
      <c r="FG20" s="455">
        <f t="shared" si="14"/>
        <v>328372</v>
      </c>
      <c r="FH20" s="272">
        <v>22607594</v>
      </c>
      <c r="FI20" s="459">
        <f t="shared" si="15"/>
        <v>0.1</v>
      </c>
      <c r="FJ20" s="272">
        <v>19901140</v>
      </c>
      <c r="FK20" s="272">
        <v>928977</v>
      </c>
      <c r="FL20" s="272">
        <v>11917530</v>
      </c>
      <c r="FM20" s="272">
        <v>16337909</v>
      </c>
      <c r="FN20" s="460">
        <v>0.73899999999999999</v>
      </c>
      <c r="FO20" s="388">
        <v>99.6</v>
      </c>
      <c r="FP20" s="388">
        <v>28.2</v>
      </c>
      <c r="FQ20" s="388">
        <v>9.5</v>
      </c>
      <c r="FR20" s="388">
        <v>18.5</v>
      </c>
      <c r="FS20" s="388">
        <v>18.100000000000001</v>
      </c>
      <c r="FT20" s="388">
        <v>8.6</v>
      </c>
      <c r="FU20" s="388">
        <v>15.4</v>
      </c>
      <c r="FV20" s="384">
        <f t="shared" si="16"/>
        <v>7.2</v>
      </c>
      <c r="FW20" s="272">
        <v>36954798</v>
      </c>
      <c r="FX20" s="384">
        <f t="shared" si="17"/>
        <v>177.4</v>
      </c>
      <c r="FY20" s="272">
        <v>10316765</v>
      </c>
      <c r="FZ20" s="272">
        <v>4179455</v>
      </c>
      <c r="GA20" s="272">
        <v>2584531</v>
      </c>
      <c r="GB20" s="272">
        <v>3552779</v>
      </c>
      <c r="GC20" s="272">
        <v>0</v>
      </c>
      <c r="GD20" s="272">
        <v>2894559</v>
      </c>
      <c r="GE20" s="384">
        <f t="shared" si="18"/>
        <v>13.9</v>
      </c>
      <c r="GF20" s="388">
        <v>98.4</v>
      </c>
      <c r="GG20" s="388">
        <v>20.9</v>
      </c>
      <c r="GH20" s="388">
        <v>94.2</v>
      </c>
      <c r="GI20" s="272">
        <v>574</v>
      </c>
      <c r="GJ20" s="461" t="s">
        <v>646</v>
      </c>
      <c r="GK20" s="461">
        <v>12.42</v>
      </c>
      <c r="GL20" s="462">
        <v>20</v>
      </c>
      <c r="GM20" s="461" t="s">
        <v>646</v>
      </c>
      <c r="GN20" s="462">
        <v>17.420000000000002</v>
      </c>
      <c r="GO20" s="462">
        <v>40</v>
      </c>
      <c r="GP20" s="463">
        <v>7.2</v>
      </c>
      <c r="GQ20" s="463">
        <v>25</v>
      </c>
      <c r="GR20" s="463">
        <v>35</v>
      </c>
      <c r="GS20" s="464">
        <v>32.200000000000003</v>
      </c>
      <c r="GT20" s="463">
        <v>350</v>
      </c>
      <c r="GU20" s="394"/>
      <c r="GV20" s="394"/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</row>
    <row r="21" spans="2:230" x14ac:dyDescent="0.15">
      <c r="B21" s="89" t="s">
        <v>35</v>
      </c>
      <c r="C21" s="272">
        <v>14609502</v>
      </c>
      <c r="D21" s="455">
        <f t="shared" si="0"/>
        <v>5758730</v>
      </c>
      <c r="E21" s="272">
        <v>153993</v>
      </c>
      <c r="F21" s="456">
        <v>5604737</v>
      </c>
      <c r="G21" s="455">
        <f t="shared" si="1"/>
        <v>884133</v>
      </c>
      <c r="H21" s="272">
        <v>243005</v>
      </c>
      <c r="I21" s="272">
        <v>641128</v>
      </c>
      <c r="J21" s="272">
        <v>5786117</v>
      </c>
      <c r="K21" s="272">
        <v>2873854</v>
      </c>
      <c r="L21" s="272">
        <v>2273919</v>
      </c>
      <c r="M21" s="272">
        <v>597902</v>
      </c>
      <c r="N21" s="272">
        <v>773607</v>
      </c>
      <c r="O21" s="272">
        <v>1289309</v>
      </c>
      <c r="P21" s="272">
        <v>792917</v>
      </c>
      <c r="Q21" s="272">
        <v>496392</v>
      </c>
      <c r="R21" s="272">
        <v>234344</v>
      </c>
      <c r="S21" s="272">
        <v>0</v>
      </c>
      <c r="T21" s="455">
        <f t="shared" si="2"/>
        <v>1396447</v>
      </c>
      <c r="U21" s="272">
        <v>95809</v>
      </c>
      <c r="V21" s="272">
        <v>37733</v>
      </c>
      <c r="W21" s="456">
        <v>13286</v>
      </c>
      <c r="X21" s="272">
        <v>1054969</v>
      </c>
      <c r="Y21" s="272">
        <v>0</v>
      </c>
      <c r="Z21" s="272">
        <v>0</v>
      </c>
      <c r="AA21" s="272">
        <v>194650</v>
      </c>
      <c r="AB21" s="272">
        <v>239677</v>
      </c>
      <c r="AC21" s="272">
        <v>7307506</v>
      </c>
      <c r="AD21" s="272">
        <v>6910031</v>
      </c>
      <c r="AE21" s="272">
        <v>397475</v>
      </c>
      <c r="AF21" s="272">
        <v>22106</v>
      </c>
      <c r="AG21" s="272">
        <v>194488</v>
      </c>
      <c r="AH21" s="455">
        <f t="shared" si="3"/>
        <v>569258</v>
      </c>
      <c r="AI21" s="272">
        <v>525358</v>
      </c>
      <c r="AJ21" s="272">
        <v>43900</v>
      </c>
      <c r="AK21" s="272">
        <v>5464606</v>
      </c>
      <c r="AL21" s="455">
        <f t="shared" si="4"/>
        <v>3426325</v>
      </c>
      <c r="AM21" s="272">
        <v>3160154</v>
      </c>
      <c r="AN21" s="272">
        <v>266171</v>
      </c>
      <c r="AO21" s="272">
        <v>0</v>
      </c>
      <c r="AP21" s="272">
        <v>0</v>
      </c>
      <c r="AQ21" s="272">
        <v>570231</v>
      </c>
      <c r="AR21" s="272">
        <v>0</v>
      </c>
      <c r="AS21" s="272">
        <v>0</v>
      </c>
      <c r="AT21" s="272">
        <v>2684774</v>
      </c>
      <c r="AU21" s="272">
        <v>1439670</v>
      </c>
      <c r="AV21" s="272">
        <v>133086</v>
      </c>
      <c r="AW21" s="272">
        <v>0</v>
      </c>
      <c r="AX21" s="272">
        <v>1245104</v>
      </c>
      <c r="AY21" s="272">
        <v>60604</v>
      </c>
      <c r="AZ21" s="272">
        <v>154353</v>
      </c>
      <c r="BA21" s="272">
        <v>31406</v>
      </c>
      <c r="BB21" s="272">
        <v>25946</v>
      </c>
      <c r="BC21" s="272">
        <v>172459</v>
      </c>
      <c r="BD21" s="272">
        <v>0</v>
      </c>
      <c r="BE21" s="272">
        <v>0</v>
      </c>
      <c r="BF21" s="272">
        <v>172459</v>
      </c>
      <c r="BG21" s="272">
        <v>0</v>
      </c>
      <c r="BH21" s="272">
        <v>231549</v>
      </c>
      <c r="BI21" s="272">
        <v>123071</v>
      </c>
      <c r="BJ21" s="272">
        <v>285427</v>
      </c>
      <c r="BK21" s="272">
        <v>20198</v>
      </c>
      <c r="BL21" s="272">
        <v>0</v>
      </c>
      <c r="BM21" s="272">
        <v>0</v>
      </c>
      <c r="BN21" s="272">
        <v>2793700</v>
      </c>
      <c r="BO21" s="455">
        <f t="shared" si="5"/>
        <v>733000</v>
      </c>
      <c r="BP21" s="455">
        <f t="shared" si="6"/>
        <v>1085800</v>
      </c>
      <c r="BQ21" s="272">
        <v>0</v>
      </c>
      <c r="BR21" s="272">
        <v>85100</v>
      </c>
      <c r="BS21" s="272">
        <v>1000700</v>
      </c>
      <c r="BT21" s="272">
        <v>974900</v>
      </c>
      <c r="BU21" s="272">
        <v>36386142</v>
      </c>
      <c r="BV21" s="272"/>
      <c r="BW21" s="272">
        <v>8850941</v>
      </c>
      <c r="BX21" s="272">
        <v>5721352</v>
      </c>
      <c r="BY21" s="272">
        <v>1468167</v>
      </c>
      <c r="BZ21" s="272">
        <v>343958</v>
      </c>
      <c r="CA21" s="272">
        <v>8891321</v>
      </c>
      <c r="CB21" s="272">
        <v>1330461</v>
      </c>
      <c r="CC21" s="272">
        <v>206464</v>
      </c>
      <c r="CD21" s="272">
        <v>3022314</v>
      </c>
      <c r="CE21" s="272">
        <v>4155596</v>
      </c>
      <c r="CF21" s="272">
        <v>0</v>
      </c>
      <c r="CG21" s="272">
        <v>175521</v>
      </c>
      <c r="CH21" s="272">
        <v>3300313</v>
      </c>
      <c r="CI21" s="272">
        <v>2636834</v>
      </c>
      <c r="CJ21" s="455">
        <f t="shared" si="7"/>
        <v>663479</v>
      </c>
      <c r="CK21" s="272">
        <v>4434288</v>
      </c>
      <c r="CL21" s="272">
        <v>2724472</v>
      </c>
      <c r="CM21" s="272">
        <v>260249</v>
      </c>
      <c r="CN21" s="272">
        <v>819059</v>
      </c>
      <c r="CO21" s="272">
        <v>215527</v>
      </c>
      <c r="CP21" s="272">
        <v>2106761</v>
      </c>
      <c r="CQ21" s="272">
        <v>2835</v>
      </c>
      <c r="CR21" s="272">
        <v>877293</v>
      </c>
      <c r="CS21" s="272">
        <v>545035</v>
      </c>
      <c r="CT21" s="455">
        <f t="shared" si="8"/>
        <v>489228</v>
      </c>
      <c r="CU21" s="272">
        <v>9000</v>
      </c>
      <c r="CV21" s="272">
        <v>480228</v>
      </c>
      <c r="CW21" s="455">
        <f t="shared" si="9"/>
        <v>426363</v>
      </c>
      <c r="CX21" s="272">
        <v>0</v>
      </c>
      <c r="CY21" s="272">
        <v>426363</v>
      </c>
      <c r="CZ21" s="455">
        <f t="shared" si="10"/>
        <v>0</v>
      </c>
      <c r="DA21" s="272">
        <v>0</v>
      </c>
      <c r="DB21" s="272">
        <v>0</v>
      </c>
      <c r="DC21" s="272">
        <v>2278730</v>
      </c>
      <c r="DD21" s="272">
        <v>1033335</v>
      </c>
      <c r="DE21" s="272">
        <v>730009</v>
      </c>
      <c r="DF21" s="26">
        <v>0</v>
      </c>
      <c r="DG21" s="27">
        <v>515386</v>
      </c>
      <c r="DH21" s="272">
        <v>0</v>
      </c>
      <c r="DI21" s="272">
        <v>224289</v>
      </c>
      <c r="DJ21" s="272">
        <v>76242</v>
      </c>
      <c r="DK21" s="272">
        <v>51</v>
      </c>
      <c r="DL21" s="272">
        <v>147996</v>
      </c>
      <c r="DM21" s="272">
        <v>9200</v>
      </c>
      <c r="DN21" s="272">
        <v>0</v>
      </c>
      <c r="DO21" s="272">
        <v>0</v>
      </c>
      <c r="DP21" s="272">
        <v>0</v>
      </c>
      <c r="DQ21" s="272">
        <v>20000</v>
      </c>
      <c r="DR21" s="272">
        <v>0</v>
      </c>
      <c r="DS21" s="272">
        <v>0</v>
      </c>
      <c r="DT21" s="272">
        <v>5850644</v>
      </c>
      <c r="DU21" s="272">
        <v>2500000</v>
      </c>
      <c r="DV21" s="455">
        <f t="shared" si="11"/>
        <v>0</v>
      </c>
      <c r="DW21" s="272">
        <v>0</v>
      </c>
      <c r="DX21" s="272">
        <v>915497</v>
      </c>
      <c r="DY21" s="272">
        <v>0</v>
      </c>
      <c r="DZ21" s="272">
        <v>1234039</v>
      </c>
      <c r="EA21" s="272">
        <v>101586</v>
      </c>
      <c r="EB21" s="272">
        <v>1099450</v>
      </c>
      <c r="EC21" s="272">
        <v>0</v>
      </c>
      <c r="ED21" s="272">
        <v>36182014</v>
      </c>
      <c r="EE21" s="89"/>
      <c r="EF21" s="272">
        <v>204128</v>
      </c>
      <c r="EG21" s="272">
        <v>77060</v>
      </c>
      <c r="EH21" s="272">
        <v>127068</v>
      </c>
      <c r="EI21" s="272">
        <v>3997</v>
      </c>
      <c r="EJ21" s="272">
        <v>80696</v>
      </c>
      <c r="EK21" s="89"/>
      <c r="EL21" s="272"/>
      <c r="EM21" s="272">
        <v>125670</v>
      </c>
      <c r="EN21" s="272">
        <v>86952</v>
      </c>
      <c r="EO21" s="272">
        <v>151807</v>
      </c>
      <c r="EP21" s="455">
        <f t="shared" si="12"/>
        <v>463270</v>
      </c>
      <c r="EQ21" s="272">
        <v>23809582</v>
      </c>
      <c r="ER21" s="272">
        <v>-1765723</v>
      </c>
      <c r="ES21" s="272">
        <v>7320790</v>
      </c>
      <c r="ET21" s="272">
        <v>5299506</v>
      </c>
      <c r="EU21" s="272">
        <v>2929173</v>
      </c>
      <c r="EV21" s="272">
        <v>3300313</v>
      </c>
      <c r="EW21" s="455">
        <f t="shared" si="13"/>
        <v>286511</v>
      </c>
      <c r="EX21" s="272">
        <v>286511</v>
      </c>
      <c r="EY21" s="272">
        <v>31454</v>
      </c>
      <c r="EZ21" s="272">
        <v>255057</v>
      </c>
      <c r="FA21" s="272">
        <v>0</v>
      </c>
      <c r="FB21" s="272">
        <v>0</v>
      </c>
      <c r="FC21" s="272">
        <v>4014806</v>
      </c>
      <c r="FD21" s="272">
        <v>1877220</v>
      </c>
      <c r="FE21" s="272">
        <v>2835</v>
      </c>
      <c r="FF21" s="272">
        <v>5207399</v>
      </c>
      <c r="FG21" s="455">
        <f t="shared" si="14"/>
        <v>434965</v>
      </c>
      <c r="FH21" s="272">
        <v>25371177</v>
      </c>
      <c r="FI21" s="459">
        <f t="shared" si="15"/>
        <v>0.6</v>
      </c>
      <c r="FJ21" s="272">
        <v>22091456</v>
      </c>
      <c r="FK21" s="272">
        <v>1000749</v>
      </c>
      <c r="FL21" s="272">
        <v>11746980</v>
      </c>
      <c r="FM21" s="272">
        <v>18665196</v>
      </c>
      <c r="FN21" s="460">
        <v>0.627</v>
      </c>
      <c r="FO21" s="388">
        <v>100.1</v>
      </c>
      <c r="FP21" s="388">
        <v>31.2</v>
      </c>
      <c r="FQ21" s="388">
        <v>12.5</v>
      </c>
      <c r="FR21" s="388">
        <v>14.1</v>
      </c>
      <c r="FS21" s="388">
        <v>16.8</v>
      </c>
      <c r="FT21" s="388">
        <v>5.7</v>
      </c>
      <c r="FU21" s="388">
        <v>18.8</v>
      </c>
      <c r="FV21" s="384">
        <f t="shared" si="16"/>
        <v>6.9</v>
      </c>
      <c r="FW21" s="272">
        <v>33715085</v>
      </c>
      <c r="FX21" s="384">
        <f t="shared" si="17"/>
        <v>146</v>
      </c>
      <c r="FY21" s="272">
        <v>998993</v>
      </c>
      <c r="FZ21" s="272">
        <v>234748</v>
      </c>
      <c r="GA21" s="272">
        <v>21196</v>
      </c>
      <c r="GB21" s="272">
        <v>743049</v>
      </c>
      <c r="GC21" s="272">
        <v>0</v>
      </c>
      <c r="GD21" s="272">
        <v>960091</v>
      </c>
      <c r="GE21" s="384">
        <f t="shared" si="18"/>
        <v>4.2</v>
      </c>
      <c r="GF21" s="388">
        <v>97.7</v>
      </c>
      <c r="GG21" s="388">
        <v>30.9</v>
      </c>
      <c r="GH21" s="388">
        <v>93.9</v>
      </c>
      <c r="GI21" s="272">
        <v>778</v>
      </c>
      <c r="GJ21" s="461" t="s">
        <v>646</v>
      </c>
      <c r="GK21" s="461">
        <v>12.22</v>
      </c>
      <c r="GL21" s="462">
        <v>20</v>
      </c>
      <c r="GM21" s="461">
        <v>8.09</v>
      </c>
      <c r="GN21" s="462">
        <v>17.22</v>
      </c>
      <c r="GO21" s="462">
        <v>40</v>
      </c>
      <c r="GP21" s="463">
        <v>6.9</v>
      </c>
      <c r="GQ21" s="463">
        <v>25</v>
      </c>
      <c r="GR21" s="463">
        <v>35</v>
      </c>
      <c r="GS21" s="464">
        <v>125.8</v>
      </c>
      <c r="GT21" s="463">
        <v>350</v>
      </c>
      <c r="GU21" s="394"/>
      <c r="GV21" s="394"/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</row>
    <row r="22" spans="2:230" x14ac:dyDescent="0.15">
      <c r="B22" s="89" t="s">
        <v>37</v>
      </c>
      <c r="C22" s="272">
        <v>20246083</v>
      </c>
      <c r="D22" s="455">
        <f t="shared" si="0"/>
        <v>6131823</v>
      </c>
      <c r="E22" s="272">
        <v>166172</v>
      </c>
      <c r="F22" s="456">
        <v>5965651</v>
      </c>
      <c r="G22" s="455">
        <f t="shared" si="1"/>
        <v>3638239</v>
      </c>
      <c r="H22" s="272">
        <v>369645</v>
      </c>
      <c r="I22" s="272">
        <v>3268594</v>
      </c>
      <c r="J22" s="272">
        <v>7937187</v>
      </c>
      <c r="K22" s="272">
        <v>3507307</v>
      </c>
      <c r="L22" s="272">
        <v>3231455</v>
      </c>
      <c r="M22" s="272">
        <v>1059418</v>
      </c>
      <c r="N22" s="272">
        <v>804752</v>
      </c>
      <c r="O22" s="272">
        <v>1624835</v>
      </c>
      <c r="P22" s="272">
        <v>913823</v>
      </c>
      <c r="Q22" s="272">
        <v>711012</v>
      </c>
      <c r="R22" s="272">
        <v>241384</v>
      </c>
      <c r="S22" s="272">
        <v>0</v>
      </c>
      <c r="T22" s="455">
        <f t="shared" si="2"/>
        <v>1554604</v>
      </c>
      <c r="U22" s="272">
        <v>98443</v>
      </c>
      <c r="V22" s="272">
        <v>38700</v>
      </c>
      <c r="W22" s="456">
        <v>13793</v>
      </c>
      <c r="X22" s="272">
        <v>1169387</v>
      </c>
      <c r="Y22" s="272">
        <v>33784</v>
      </c>
      <c r="Z22" s="272">
        <v>0</v>
      </c>
      <c r="AA22" s="272">
        <v>200497</v>
      </c>
      <c r="AB22" s="272">
        <v>333695</v>
      </c>
      <c r="AC22" s="272">
        <v>2316207</v>
      </c>
      <c r="AD22" s="272">
        <v>2014343</v>
      </c>
      <c r="AE22" s="272">
        <v>301864</v>
      </c>
      <c r="AF22" s="272">
        <v>22426</v>
      </c>
      <c r="AG22" s="272">
        <v>328629</v>
      </c>
      <c r="AH22" s="455">
        <f t="shared" si="3"/>
        <v>1031503</v>
      </c>
      <c r="AI22" s="272">
        <v>638594</v>
      </c>
      <c r="AJ22" s="272">
        <v>392909</v>
      </c>
      <c r="AK22" s="272">
        <v>3938140</v>
      </c>
      <c r="AL22" s="455">
        <f t="shared" si="4"/>
        <v>1868771</v>
      </c>
      <c r="AM22" s="272">
        <v>1438195</v>
      </c>
      <c r="AN22" s="272">
        <v>430576</v>
      </c>
      <c r="AO22" s="272">
        <v>0</v>
      </c>
      <c r="AP22" s="272">
        <v>0</v>
      </c>
      <c r="AQ22" s="272">
        <v>620977</v>
      </c>
      <c r="AR22" s="272">
        <v>0</v>
      </c>
      <c r="AS22" s="272">
        <v>0</v>
      </c>
      <c r="AT22" s="272">
        <v>2205065</v>
      </c>
      <c r="AU22" s="272">
        <v>1043400</v>
      </c>
      <c r="AV22" s="272">
        <v>215287</v>
      </c>
      <c r="AW22" s="272">
        <v>10868</v>
      </c>
      <c r="AX22" s="272">
        <v>1161665</v>
      </c>
      <c r="AY22" s="272">
        <v>31696</v>
      </c>
      <c r="AZ22" s="272">
        <v>150510</v>
      </c>
      <c r="BA22" s="272">
        <v>85443</v>
      </c>
      <c r="BB22" s="272">
        <v>7130</v>
      </c>
      <c r="BC22" s="272">
        <v>525484</v>
      </c>
      <c r="BD22" s="272">
        <v>160000</v>
      </c>
      <c r="BE22" s="272">
        <v>0</v>
      </c>
      <c r="BF22" s="272">
        <v>345823</v>
      </c>
      <c r="BG22" s="456">
        <v>0</v>
      </c>
      <c r="BH22" s="272">
        <v>433756</v>
      </c>
      <c r="BI22" s="272">
        <v>318849</v>
      </c>
      <c r="BJ22" s="272">
        <v>3726191</v>
      </c>
      <c r="BK22" s="272">
        <v>3014246</v>
      </c>
      <c r="BL22" s="272">
        <v>0</v>
      </c>
      <c r="BM22" s="272">
        <v>0</v>
      </c>
      <c r="BN22" s="272">
        <v>2180400</v>
      </c>
      <c r="BO22" s="455">
        <f t="shared" si="5"/>
        <v>1186700</v>
      </c>
      <c r="BP22" s="455">
        <f t="shared" si="6"/>
        <v>993700</v>
      </c>
      <c r="BQ22" s="272">
        <v>0</v>
      </c>
      <c r="BR22" s="272">
        <v>0</v>
      </c>
      <c r="BS22" s="272">
        <v>993700</v>
      </c>
      <c r="BT22" s="272">
        <v>0</v>
      </c>
      <c r="BU22" s="272">
        <v>39241207</v>
      </c>
      <c r="BV22" s="272"/>
      <c r="BW22" s="272">
        <v>8202237</v>
      </c>
      <c r="BX22" s="272">
        <v>5392352</v>
      </c>
      <c r="BY22" s="272">
        <v>1435131</v>
      </c>
      <c r="BZ22" s="272">
        <v>187338</v>
      </c>
      <c r="CA22" s="272">
        <v>7046058</v>
      </c>
      <c r="CB22" s="272">
        <v>1080279</v>
      </c>
      <c r="CC22" s="272">
        <v>228766</v>
      </c>
      <c r="CD22" s="272">
        <v>3578540</v>
      </c>
      <c r="CE22" s="272">
        <v>1957912</v>
      </c>
      <c r="CF22" s="272">
        <v>0</v>
      </c>
      <c r="CG22" s="272">
        <v>200511</v>
      </c>
      <c r="CH22" s="272">
        <v>3529008</v>
      </c>
      <c r="CI22" s="272">
        <v>2952983</v>
      </c>
      <c r="CJ22" s="455">
        <f t="shared" si="7"/>
        <v>576025</v>
      </c>
      <c r="CK22" s="272">
        <v>4805848</v>
      </c>
      <c r="CL22" s="272">
        <v>3180849</v>
      </c>
      <c r="CM22" s="272">
        <v>219125</v>
      </c>
      <c r="CN22" s="272">
        <v>792326</v>
      </c>
      <c r="CO22" s="272">
        <v>118832</v>
      </c>
      <c r="CP22" s="272">
        <v>2302840</v>
      </c>
      <c r="CQ22" s="272">
        <v>1056333</v>
      </c>
      <c r="CR22" s="272">
        <v>626460</v>
      </c>
      <c r="CS22" s="272">
        <v>143691</v>
      </c>
      <c r="CT22" s="455">
        <f t="shared" si="8"/>
        <v>16989</v>
      </c>
      <c r="CU22" s="272">
        <v>16989</v>
      </c>
      <c r="CV22" s="272">
        <v>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2429767</v>
      </c>
      <c r="DD22" s="272">
        <v>1021531</v>
      </c>
      <c r="DE22" s="272">
        <v>1391174</v>
      </c>
      <c r="DF22" s="26">
        <v>17062</v>
      </c>
      <c r="DG22" s="27">
        <v>0</v>
      </c>
      <c r="DH22" s="272">
        <v>0</v>
      </c>
      <c r="DI22" s="272">
        <v>1478508</v>
      </c>
      <c r="DJ22" s="272">
        <v>1387817</v>
      </c>
      <c r="DK22" s="272">
        <v>6294</v>
      </c>
      <c r="DL22" s="272">
        <v>84397</v>
      </c>
      <c r="DM22" s="272">
        <v>5451</v>
      </c>
      <c r="DN22" s="272">
        <v>0</v>
      </c>
      <c r="DO22" s="272">
        <v>0</v>
      </c>
      <c r="DP22" s="272">
        <v>0</v>
      </c>
      <c r="DQ22" s="272">
        <v>3000000</v>
      </c>
      <c r="DR22" s="272">
        <v>0</v>
      </c>
      <c r="DS22" s="272">
        <v>0</v>
      </c>
      <c r="DT22" s="272">
        <v>5527686</v>
      </c>
      <c r="DU22" s="272">
        <v>1968332</v>
      </c>
      <c r="DV22" s="455">
        <f t="shared" si="11"/>
        <v>0</v>
      </c>
      <c r="DW22" s="272">
        <v>0</v>
      </c>
      <c r="DX22" s="272">
        <v>758102</v>
      </c>
      <c r="DY22" s="272">
        <v>0</v>
      </c>
      <c r="DZ22" s="272">
        <v>1840626</v>
      </c>
      <c r="EA22" s="272">
        <v>86651</v>
      </c>
      <c r="EB22" s="272">
        <v>814287</v>
      </c>
      <c r="EC22" s="272">
        <v>0</v>
      </c>
      <c r="ED22" s="272">
        <v>38446235</v>
      </c>
      <c r="EE22" s="89"/>
      <c r="EF22" s="272">
        <v>794972</v>
      </c>
      <c r="EG22" s="272">
        <v>436330</v>
      </c>
      <c r="EH22" s="272">
        <v>358642</v>
      </c>
      <c r="EI22" s="272">
        <v>39793</v>
      </c>
      <c r="EJ22" s="272">
        <v>1426638</v>
      </c>
      <c r="EK22" s="89"/>
      <c r="EL22" s="272"/>
      <c r="EM22" s="272">
        <v>125384</v>
      </c>
      <c r="EN22" s="272">
        <v>416300</v>
      </c>
      <c r="EO22" s="272">
        <v>101017</v>
      </c>
      <c r="EP22" s="455">
        <f t="shared" si="12"/>
        <v>1251283</v>
      </c>
      <c r="EQ22" s="272">
        <v>24714399</v>
      </c>
      <c r="ER22" s="272">
        <v>-2739874</v>
      </c>
      <c r="ES22" s="272">
        <v>7590518</v>
      </c>
      <c r="ET22" s="272">
        <v>4811757</v>
      </c>
      <c r="EU22" s="272">
        <v>2467317</v>
      </c>
      <c r="EV22" s="272">
        <v>3431615</v>
      </c>
      <c r="EW22" s="455">
        <f t="shared" si="13"/>
        <v>832798</v>
      </c>
      <c r="EX22" s="272">
        <v>832798</v>
      </c>
      <c r="EY22" s="272">
        <v>89828</v>
      </c>
      <c r="EZ22" s="272">
        <v>734408</v>
      </c>
      <c r="FA22" s="272">
        <v>0</v>
      </c>
      <c r="FB22" s="272">
        <v>0</v>
      </c>
      <c r="FC22" s="272">
        <v>3740209</v>
      </c>
      <c r="FD22" s="272">
        <v>2092883</v>
      </c>
      <c r="FE22" s="272">
        <v>1056333</v>
      </c>
      <c r="FF22" s="272">
        <v>4971409</v>
      </c>
      <c r="FG22" s="455">
        <f t="shared" si="14"/>
        <v>1534942</v>
      </c>
      <c r="FH22" s="272">
        <v>26661691</v>
      </c>
      <c r="FI22" s="459">
        <f t="shared" si="15"/>
        <v>1.6</v>
      </c>
      <c r="FJ22" s="272">
        <v>21273545</v>
      </c>
      <c r="FK22" s="272">
        <v>993705</v>
      </c>
      <c r="FL22" s="272">
        <v>14843357</v>
      </c>
      <c r="FM22" s="272">
        <v>16865095</v>
      </c>
      <c r="FN22" s="460">
        <v>0.89900000000000002</v>
      </c>
      <c r="FO22" s="388">
        <v>93.1</v>
      </c>
      <c r="FP22" s="388">
        <v>30.6</v>
      </c>
      <c r="FQ22" s="388">
        <v>10.1</v>
      </c>
      <c r="FR22" s="388">
        <v>13.6</v>
      </c>
      <c r="FS22" s="388">
        <v>14.8</v>
      </c>
      <c r="FT22" s="388">
        <v>7</v>
      </c>
      <c r="FU22" s="388">
        <v>16.5</v>
      </c>
      <c r="FV22" s="384">
        <f t="shared" si="16"/>
        <v>4.4000000000000004</v>
      </c>
      <c r="FW22" s="272">
        <v>32972888</v>
      </c>
      <c r="FX22" s="384">
        <f t="shared" si="17"/>
        <v>148.1</v>
      </c>
      <c r="FY22" s="272">
        <v>8713140</v>
      </c>
      <c r="FZ22" s="272">
        <v>5036709</v>
      </c>
      <c r="GA22" s="272">
        <v>556209</v>
      </c>
      <c r="GB22" s="272">
        <v>3120222</v>
      </c>
      <c r="GC22" s="272">
        <v>0</v>
      </c>
      <c r="GD22" s="272">
        <v>5722251</v>
      </c>
      <c r="GE22" s="384">
        <f t="shared" si="18"/>
        <v>25.7</v>
      </c>
      <c r="GF22" s="388">
        <v>98.2</v>
      </c>
      <c r="GG22" s="388">
        <v>26</v>
      </c>
      <c r="GH22" s="388">
        <v>94.8</v>
      </c>
      <c r="GI22" s="272">
        <v>763</v>
      </c>
      <c r="GJ22" s="461" t="s">
        <v>646</v>
      </c>
      <c r="GK22" s="461">
        <v>12.29</v>
      </c>
      <c r="GL22" s="462">
        <v>20</v>
      </c>
      <c r="GM22" s="461" t="s">
        <v>646</v>
      </c>
      <c r="GN22" s="462">
        <v>17.29</v>
      </c>
      <c r="GO22" s="462">
        <v>40</v>
      </c>
      <c r="GP22" s="463">
        <v>4.4000000000000004</v>
      </c>
      <c r="GQ22" s="463">
        <v>25</v>
      </c>
      <c r="GR22" s="463">
        <v>35</v>
      </c>
      <c r="GS22" s="464">
        <v>48</v>
      </c>
      <c r="GT22" s="463">
        <v>350</v>
      </c>
      <c r="GU22" s="394"/>
      <c r="GV22" s="394"/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</row>
    <row r="23" spans="2:230" x14ac:dyDescent="0.15">
      <c r="B23" s="89" t="s">
        <v>39</v>
      </c>
      <c r="C23" s="272">
        <v>22391468</v>
      </c>
      <c r="D23" s="455">
        <f t="shared" si="0"/>
        <v>9267181</v>
      </c>
      <c r="E23" s="272">
        <v>221124</v>
      </c>
      <c r="F23" s="456">
        <v>9046057</v>
      </c>
      <c r="G23" s="455">
        <f t="shared" si="1"/>
        <v>1215206</v>
      </c>
      <c r="H23" s="272">
        <v>353844</v>
      </c>
      <c r="I23" s="272">
        <v>861362</v>
      </c>
      <c r="J23" s="272">
        <v>8860370</v>
      </c>
      <c r="K23" s="272">
        <v>3742864</v>
      </c>
      <c r="L23" s="272">
        <v>4126375</v>
      </c>
      <c r="M23" s="272">
        <v>925792</v>
      </c>
      <c r="N23" s="272">
        <v>972491</v>
      </c>
      <c r="O23" s="272">
        <v>1849727</v>
      </c>
      <c r="P23" s="272">
        <v>990866</v>
      </c>
      <c r="Q23" s="272">
        <v>858861</v>
      </c>
      <c r="R23" s="272">
        <v>377363</v>
      </c>
      <c r="S23" s="272">
        <v>0</v>
      </c>
      <c r="T23" s="455">
        <f t="shared" si="2"/>
        <v>1977615</v>
      </c>
      <c r="U23" s="272">
        <v>149138</v>
      </c>
      <c r="V23" s="272">
        <v>58610</v>
      </c>
      <c r="W23" s="456">
        <v>20940</v>
      </c>
      <c r="X23" s="272">
        <v>1398199</v>
      </c>
      <c r="Y23" s="272">
        <v>37288</v>
      </c>
      <c r="Z23" s="272">
        <v>0</v>
      </c>
      <c r="AA23" s="272">
        <v>313440</v>
      </c>
      <c r="AB23" s="272">
        <v>432330</v>
      </c>
      <c r="AC23" s="272">
        <v>7136979</v>
      </c>
      <c r="AD23" s="272">
        <v>6382133</v>
      </c>
      <c r="AE23" s="272">
        <v>754846</v>
      </c>
      <c r="AF23" s="272">
        <v>27780</v>
      </c>
      <c r="AG23" s="272">
        <v>685259</v>
      </c>
      <c r="AH23" s="455">
        <f t="shared" si="3"/>
        <v>1596606</v>
      </c>
      <c r="AI23" s="272">
        <v>1487892</v>
      </c>
      <c r="AJ23" s="272">
        <v>108714</v>
      </c>
      <c r="AK23" s="272">
        <v>7973419</v>
      </c>
      <c r="AL23" s="455">
        <f t="shared" si="4"/>
        <v>4606134</v>
      </c>
      <c r="AM23" s="272">
        <v>4220909</v>
      </c>
      <c r="AN23" s="272">
        <v>385225</v>
      </c>
      <c r="AO23" s="272">
        <v>0</v>
      </c>
      <c r="AP23" s="272">
        <v>0</v>
      </c>
      <c r="AQ23" s="272">
        <v>1060463</v>
      </c>
      <c r="AR23" s="272">
        <v>0</v>
      </c>
      <c r="AS23" s="272">
        <v>260023</v>
      </c>
      <c r="AT23" s="272">
        <v>2976306</v>
      </c>
      <c r="AU23" s="272">
        <v>1488805</v>
      </c>
      <c r="AV23" s="272">
        <v>192613</v>
      </c>
      <c r="AW23" s="272">
        <v>116831</v>
      </c>
      <c r="AX23" s="272">
        <v>1487501</v>
      </c>
      <c r="AY23" s="272">
        <v>43789</v>
      </c>
      <c r="AZ23" s="272">
        <v>1160948</v>
      </c>
      <c r="BA23" s="272">
        <v>1111272</v>
      </c>
      <c r="BB23" s="272">
        <v>37689</v>
      </c>
      <c r="BC23" s="272">
        <v>2582779</v>
      </c>
      <c r="BD23" s="272">
        <v>300000</v>
      </c>
      <c r="BE23" s="272">
        <v>350000</v>
      </c>
      <c r="BF23" s="272">
        <v>1032779</v>
      </c>
      <c r="BG23" s="272">
        <v>0</v>
      </c>
      <c r="BH23" s="272">
        <v>152571</v>
      </c>
      <c r="BI23" s="272">
        <v>99625</v>
      </c>
      <c r="BJ23" s="272">
        <v>1154421</v>
      </c>
      <c r="BK23" s="272">
        <v>90176</v>
      </c>
      <c r="BL23" s="272">
        <v>0</v>
      </c>
      <c r="BM23" s="272">
        <v>0</v>
      </c>
      <c r="BN23" s="272">
        <v>3104300</v>
      </c>
      <c r="BO23" s="455">
        <f t="shared" si="5"/>
        <v>1776400</v>
      </c>
      <c r="BP23" s="455">
        <f t="shared" si="6"/>
        <v>1327900</v>
      </c>
      <c r="BQ23" s="272">
        <v>0</v>
      </c>
      <c r="BR23" s="272">
        <v>0</v>
      </c>
      <c r="BS23" s="272">
        <v>1327900</v>
      </c>
      <c r="BT23" s="272">
        <v>0</v>
      </c>
      <c r="BU23" s="272">
        <v>54027856</v>
      </c>
      <c r="BV23" s="272"/>
      <c r="BW23" s="272">
        <v>10729433</v>
      </c>
      <c r="BX23" s="272">
        <v>7253890</v>
      </c>
      <c r="BY23" s="272">
        <v>954665</v>
      </c>
      <c r="BZ23" s="272">
        <v>853283</v>
      </c>
      <c r="CA23" s="272">
        <v>12986647</v>
      </c>
      <c r="CB23" s="272">
        <v>2016554</v>
      </c>
      <c r="CC23" s="272">
        <v>285267</v>
      </c>
      <c r="CD23" s="272">
        <v>4722988</v>
      </c>
      <c r="CE23" s="272">
        <v>5689440</v>
      </c>
      <c r="CF23" s="272">
        <v>5309</v>
      </c>
      <c r="CG23" s="272">
        <v>266679</v>
      </c>
      <c r="CH23" s="272">
        <v>5830637</v>
      </c>
      <c r="CI23" s="272">
        <v>4842197</v>
      </c>
      <c r="CJ23" s="455">
        <f t="shared" si="7"/>
        <v>988440</v>
      </c>
      <c r="CK23" s="272">
        <v>6072159</v>
      </c>
      <c r="CL23" s="272">
        <v>3911588</v>
      </c>
      <c r="CM23" s="272">
        <v>401706</v>
      </c>
      <c r="CN23" s="272">
        <v>873485</v>
      </c>
      <c r="CO23" s="272">
        <v>383377</v>
      </c>
      <c r="CP23" s="272">
        <v>4548067</v>
      </c>
      <c r="CQ23" s="272">
        <v>1481023</v>
      </c>
      <c r="CR23" s="272">
        <v>1537376</v>
      </c>
      <c r="CS23" s="272">
        <v>1353283</v>
      </c>
      <c r="CT23" s="455">
        <f t="shared" si="8"/>
        <v>735000</v>
      </c>
      <c r="CU23" s="272">
        <v>15000</v>
      </c>
      <c r="CV23" s="272">
        <v>720000</v>
      </c>
      <c r="CW23" s="455">
        <f t="shared" si="9"/>
        <v>720000</v>
      </c>
      <c r="CX23" s="272">
        <v>0</v>
      </c>
      <c r="CY23" s="272">
        <v>720000</v>
      </c>
      <c r="CZ23" s="455">
        <f t="shared" si="10"/>
        <v>0</v>
      </c>
      <c r="DA23" s="272">
        <v>0</v>
      </c>
      <c r="DB23" s="272">
        <v>0</v>
      </c>
      <c r="DC23" s="272">
        <v>4960268</v>
      </c>
      <c r="DD23" s="272">
        <v>2550349</v>
      </c>
      <c r="DE23" s="272">
        <v>2406133</v>
      </c>
      <c r="DF23" s="26">
        <v>3786</v>
      </c>
      <c r="DG23" s="27">
        <v>0</v>
      </c>
      <c r="DH23" s="272">
        <v>0</v>
      </c>
      <c r="DI23" s="272">
        <v>2384895</v>
      </c>
      <c r="DJ23" s="272">
        <v>758910</v>
      </c>
      <c r="DK23" s="272">
        <v>1320</v>
      </c>
      <c r="DL23" s="272">
        <v>1624665</v>
      </c>
      <c r="DM23" s="272">
        <v>9000</v>
      </c>
      <c r="DN23" s="272">
        <v>0</v>
      </c>
      <c r="DO23" s="272">
        <v>0</v>
      </c>
      <c r="DP23" s="272">
        <v>0</v>
      </c>
      <c r="DQ23" s="272">
        <v>982150</v>
      </c>
      <c r="DR23" s="272">
        <v>900000</v>
      </c>
      <c r="DS23" s="272">
        <v>900000</v>
      </c>
      <c r="DT23" s="272">
        <v>4741908</v>
      </c>
      <c r="DU23" s="272">
        <v>755690</v>
      </c>
      <c r="DV23" s="455">
        <f t="shared" si="11"/>
        <v>283657</v>
      </c>
      <c r="DW23" s="272">
        <v>283657</v>
      </c>
      <c r="DX23" s="272">
        <v>1150935</v>
      </c>
      <c r="DY23" s="272">
        <v>0</v>
      </c>
      <c r="DZ23" s="272">
        <v>1255522</v>
      </c>
      <c r="EA23" s="272">
        <v>104718</v>
      </c>
      <c r="EB23" s="272">
        <v>1191386</v>
      </c>
      <c r="EC23" s="272">
        <v>0</v>
      </c>
      <c r="ED23" s="272">
        <v>53628541</v>
      </c>
      <c r="EE23" s="89"/>
      <c r="EF23" s="272">
        <v>399315</v>
      </c>
      <c r="EG23" s="272">
        <v>354188</v>
      </c>
      <c r="EH23" s="272">
        <v>45127</v>
      </c>
      <c r="EI23" s="272">
        <v>-54498</v>
      </c>
      <c r="EJ23" s="272">
        <v>434901</v>
      </c>
      <c r="EK23" s="89"/>
      <c r="EL23" s="272"/>
      <c r="EM23" s="272">
        <v>182678</v>
      </c>
      <c r="EN23" s="272">
        <v>2011573</v>
      </c>
      <c r="EO23" s="272">
        <v>1149523</v>
      </c>
      <c r="EP23" s="455">
        <f t="shared" si="12"/>
        <v>1493371</v>
      </c>
      <c r="EQ23" s="272">
        <v>32603558</v>
      </c>
      <c r="ER23" s="272">
        <v>-5694564</v>
      </c>
      <c r="ES23" s="272">
        <v>9830852</v>
      </c>
      <c r="ET23" s="272">
        <v>6616732</v>
      </c>
      <c r="EU23" s="272">
        <v>4669339</v>
      </c>
      <c r="EV23" s="272">
        <v>5578805</v>
      </c>
      <c r="EW23" s="455">
        <f t="shared" si="13"/>
        <v>962310</v>
      </c>
      <c r="EX23" s="272">
        <v>962310</v>
      </c>
      <c r="EY23" s="272">
        <v>50914</v>
      </c>
      <c r="EZ23" s="272">
        <v>909910</v>
      </c>
      <c r="FA23" s="272">
        <v>0</v>
      </c>
      <c r="FB23" s="272">
        <v>0</v>
      </c>
      <c r="FC23" s="272">
        <v>4934673</v>
      </c>
      <c r="FD23" s="272">
        <v>4177040</v>
      </c>
      <c r="FE23" s="272">
        <v>1481023</v>
      </c>
      <c r="FF23" s="272">
        <v>4130554</v>
      </c>
      <c r="FG23" s="455">
        <f t="shared" si="14"/>
        <v>3619104</v>
      </c>
      <c r="FH23" s="272">
        <v>37902677</v>
      </c>
      <c r="FI23" s="459">
        <f t="shared" si="15"/>
        <v>0.1</v>
      </c>
      <c r="FJ23" s="272">
        <v>29812439</v>
      </c>
      <c r="FK23" s="272">
        <v>1327910</v>
      </c>
      <c r="FL23" s="272">
        <v>17995376</v>
      </c>
      <c r="FM23" s="272">
        <v>24397246</v>
      </c>
      <c r="FN23" s="460">
        <v>0.72499999999999998</v>
      </c>
      <c r="FO23" s="388">
        <v>100.1</v>
      </c>
      <c r="FP23" s="388">
        <v>29.8</v>
      </c>
      <c r="FQ23" s="388">
        <v>14.8</v>
      </c>
      <c r="FR23" s="388">
        <v>17.600000000000001</v>
      </c>
      <c r="FS23" s="388">
        <v>14.5</v>
      </c>
      <c r="FT23" s="388">
        <v>11.7</v>
      </c>
      <c r="FU23" s="388">
        <v>10.6</v>
      </c>
      <c r="FV23" s="384">
        <f t="shared" si="16"/>
        <v>7.1</v>
      </c>
      <c r="FW23" s="272">
        <v>48707379</v>
      </c>
      <c r="FX23" s="384">
        <f t="shared" si="17"/>
        <v>156.4</v>
      </c>
      <c r="FY23" s="272">
        <v>5711869</v>
      </c>
      <c r="FZ23" s="272">
        <v>2630780</v>
      </c>
      <c r="GA23" s="272">
        <v>67950</v>
      </c>
      <c r="GB23" s="272">
        <v>3013139</v>
      </c>
      <c r="GC23" s="272">
        <v>0</v>
      </c>
      <c r="GD23" s="272">
        <v>7003291</v>
      </c>
      <c r="GE23" s="384">
        <f t="shared" si="18"/>
        <v>22.5</v>
      </c>
      <c r="GF23" s="388">
        <v>97.8</v>
      </c>
      <c r="GG23" s="388">
        <v>21.1</v>
      </c>
      <c r="GH23" s="388">
        <v>94.1</v>
      </c>
      <c r="GI23" s="272">
        <v>1071</v>
      </c>
      <c r="GJ23" s="461" t="s">
        <v>646</v>
      </c>
      <c r="GK23" s="461">
        <v>11.75</v>
      </c>
      <c r="GL23" s="462">
        <v>20</v>
      </c>
      <c r="GM23" s="461" t="s">
        <v>646</v>
      </c>
      <c r="GN23" s="462">
        <v>16.75</v>
      </c>
      <c r="GO23" s="462">
        <v>40</v>
      </c>
      <c r="GP23" s="463">
        <v>7.1</v>
      </c>
      <c r="GQ23" s="463">
        <v>25</v>
      </c>
      <c r="GR23" s="463">
        <v>35</v>
      </c>
      <c r="GS23" s="464">
        <v>79.5</v>
      </c>
      <c r="GT23" s="463">
        <v>350</v>
      </c>
      <c r="GU23" s="394"/>
      <c r="GV23" s="394"/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</row>
    <row r="24" spans="2:230" x14ac:dyDescent="0.15">
      <c r="B24" s="89" t="s">
        <v>41</v>
      </c>
      <c r="C24" s="272">
        <v>22565657</v>
      </c>
      <c r="D24" s="455">
        <f t="shared" si="0"/>
        <v>10388217</v>
      </c>
      <c r="E24" s="272">
        <v>173510</v>
      </c>
      <c r="F24" s="456">
        <v>10214707</v>
      </c>
      <c r="G24" s="455">
        <f t="shared" si="1"/>
        <v>958762</v>
      </c>
      <c r="H24" s="272">
        <v>335789</v>
      </c>
      <c r="I24" s="272">
        <v>622973</v>
      </c>
      <c r="J24" s="272">
        <v>8491815</v>
      </c>
      <c r="K24" s="272">
        <v>4001031</v>
      </c>
      <c r="L24" s="272">
        <v>3687859</v>
      </c>
      <c r="M24" s="272">
        <v>781863</v>
      </c>
      <c r="N24" s="272">
        <v>594221</v>
      </c>
      <c r="O24" s="272">
        <v>2043280</v>
      </c>
      <c r="P24" s="272">
        <v>1224060</v>
      </c>
      <c r="Q24" s="272">
        <v>819220</v>
      </c>
      <c r="R24" s="272">
        <v>285745</v>
      </c>
      <c r="S24" s="272">
        <v>0</v>
      </c>
      <c r="T24" s="455">
        <f t="shared" si="2"/>
        <v>1558335</v>
      </c>
      <c r="U24" s="272">
        <v>177425</v>
      </c>
      <c r="V24" s="272">
        <v>69795</v>
      </c>
      <c r="W24" s="456">
        <v>24770</v>
      </c>
      <c r="X24" s="272">
        <v>1046897</v>
      </c>
      <c r="Y24" s="272">
        <v>1956</v>
      </c>
      <c r="Z24" s="272">
        <v>147</v>
      </c>
      <c r="AA24" s="272">
        <v>237345</v>
      </c>
      <c r="AB24" s="272">
        <v>319845</v>
      </c>
      <c r="AC24" s="272">
        <v>107545</v>
      </c>
      <c r="AD24" s="272">
        <v>0</v>
      </c>
      <c r="AE24" s="272">
        <v>107545</v>
      </c>
      <c r="AF24" s="272">
        <v>25419</v>
      </c>
      <c r="AG24" s="272">
        <v>294222</v>
      </c>
      <c r="AH24" s="455">
        <f t="shared" si="3"/>
        <v>934130</v>
      </c>
      <c r="AI24" s="272">
        <v>689912</v>
      </c>
      <c r="AJ24" s="272">
        <v>244218</v>
      </c>
      <c r="AK24" s="272">
        <v>3045533</v>
      </c>
      <c r="AL24" s="455">
        <f t="shared" si="4"/>
        <v>1708037</v>
      </c>
      <c r="AM24" s="272">
        <v>1017817</v>
      </c>
      <c r="AN24" s="272">
        <v>690220</v>
      </c>
      <c r="AO24" s="272">
        <v>0</v>
      </c>
      <c r="AP24" s="272">
        <v>0</v>
      </c>
      <c r="AQ24" s="272">
        <v>707965</v>
      </c>
      <c r="AR24" s="272">
        <v>0</v>
      </c>
      <c r="AS24" s="272">
        <v>0</v>
      </c>
      <c r="AT24" s="272">
        <v>1743850</v>
      </c>
      <c r="AU24" s="272">
        <v>755387</v>
      </c>
      <c r="AV24" s="272">
        <v>95347</v>
      </c>
      <c r="AW24" s="272">
        <v>4666</v>
      </c>
      <c r="AX24" s="272">
        <v>988463</v>
      </c>
      <c r="AY24" s="272">
        <v>2355</v>
      </c>
      <c r="AZ24" s="272">
        <v>338375</v>
      </c>
      <c r="BA24" s="272">
        <v>79029</v>
      </c>
      <c r="BB24" s="272">
        <v>1306</v>
      </c>
      <c r="BC24" s="272">
        <v>2934020</v>
      </c>
      <c r="BD24" s="272">
        <v>1547333</v>
      </c>
      <c r="BE24" s="272">
        <v>350000</v>
      </c>
      <c r="BF24" s="272">
        <v>986768</v>
      </c>
      <c r="BG24" s="272">
        <v>0</v>
      </c>
      <c r="BH24" s="272">
        <v>724456</v>
      </c>
      <c r="BI24" s="272">
        <v>463067</v>
      </c>
      <c r="BJ24" s="272">
        <v>1358480</v>
      </c>
      <c r="BK24" s="272">
        <v>507453</v>
      </c>
      <c r="BL24" s="272">
        <v>0</v>
      </c>
      <c r="BM24" s="272">
        <v>500000</v>
      </c>
      <c r="BN24" s="272">
        <v>2121300</v>
      </c>
      <c r="BO24" s="455">
        <f t="shared" si="5"/>
        <v>1071300</v>
      </c>
      <c r="BP24" s="455">
        <f t="shared" si="6"/>
        <v>1050000</v>
      </c>
      <c r="BQ24" s="272">
        <v>0</v>
      </c>
      <c r="BR24" s="272">
        <v>0</v>
      </c>
      <c r="BS24" s="272">
        <v>1050000</v>
      </c>
      <c r="BT24" s="272">
        <v>0</v>
      </c>
      <c r="BU24" s="272">
        <v>38358218</v>
      </c>
      <c r="BV24" s="272"/>
      <c r="BW24" s="272">
        <v>10189736</v>
      </c>
      <c r="BX24" s="272">
        <v>7224379</v>
      </c>
      <c r="BY24" s="272">
        <v>1284352</v>
      </c>
      <c r="BZ24" s="272">
        <v>213079</v>
      </c>
      <c r="CA24" s="272">
        <v>4657361</v>
      </c>
      <c r="CB24" s="272">
        <v>1033875</v>
      </c>
      <c r="CC24" s="272">
        <v>238847</v>
      </c>
      <c r="CD24" s="272">
        <v>1982481</v>
      </c>
      <c r="CE24" s="272">
        <v>1320587</v>
      </c>
      <c r="CF24" s="272">
        <v>269</v>
      </c>
      <c r="CG24" s="272">
        <v>81302</v>
      </c>
      <c r="CH24" s="272">
        <v>3850760</v>
      </c>
      <c r="CI24" s="272">
        <v>3314129</v>
      </c>
      <c r="CJ24" s="455">
        <f t="shared" si="7"/>
        <v>536631</v>
      </c>
      <c r="CK24" s="272">
        <v>6029082</v>
      </c>
      <c r="CL24" s="272">
        <v>3439437</v>
      </c>
      <c r="CM24" s="272">
        <v>287475</v>
      </c>
      <c r="CN24" s="272">
        <v>1203735</v>
      </c>
      <c r="CO24" s="272">
        <v>505374</v>
      </c>
      <c r="CP24" s="272">
        <v>3514094</v>
      </c>
      <c r="CQ24" s="272">
        <v>61121</v>
      </c>
      <c r="CR24" s="272">
        <v>1552582</v>
      </c>
      <c r="CS24" s="272">
        <v>1313224</v>
      </c>
      <c r="CT24" s="455">
        <f t="shared" si="8"/>
        <v>1326162</v>
      </c>
      <c r="CU24" s="272">
        <v>1212655</v>
      </c>
      <c r="CV24" s="272">
        <v>113507</v>
      </c>
      <c r="CW24" s="455">
        <f t="shared" si="9"/>
        <v>848743</v>
      </c>
      <c r="CX24" s="272">
        <v>848743</v>
      </c>
      <c r="CY24" s="272">
        <v>0</v>
      </c>
      <c r="CZ24" s="455">
        <f t="shared" si="10"/>
        <v>404800</v>
      </c>
      <c r="DA24" s="272">
        <v>356685</v>
      </c>
      <c r="DB24" s="272">
        <v>48115</v>
      </c>
      <c r="DC24" s="272">
        <v>3484552</v>
      </c>
      <c r="DD24" s="272">
        <v>1880524</v>
      </c>
      <c r="DE24" s="272">
        <v>1604028</v>
      </c>
      <c r="DF24" s="26">
        <v>0</v>
      </c>
      <c r="DG24" s="27">
        <v>0</v>
      </c>
      <c r="DH24" s="272">
        <v>66</v>
      </c>
      <c r="DI24" s="272">
        <v>273865</v>
      </c>
      <c r="DJ24" s="272">
        <v>63308</v>
      </c>
      <c r="DK24" s="272">
        <v>13185</v>
      </c>
      <c r="DL24" s="272">
        <v>197372</v>
      </c>
      <c r="DM24" s="272">
        <v>330154</v>
      </c>
      <c r="DN24" s="272">
        <v>324754</v>
      </c>
      <c r="DO24" s="272">
        <v>0</v>
      </c>
      <c r="DP24" s="272">
        <v>324754</v>
      </c>
      <c r="DQ24" s="272">
        <v>526328</v>
      </c>
      <c r="DR24" s="272">
        <v>0</v>
      </c>
      <c r="DS24" s="272">
        <v>0</v>
      </c>
      <c r="DT24" s="272">
        <v>3605744</v>
      </c>
      <c r="DU24" s="272">
        <v>0</v>
      </c>
      <c r="DV24" s="455">
        <f t="shared" si="11"/>
        <v>392038</v>
      </c>
      <c r="DW24" s="272">
        <v>392038</v>
      </c>
      <c r="DX24" s="272">
        <v>784786</v>
      </c>
      <c r="DY24" s="272">
        <v>0</v>
      </c>
      <c r="DZ24" s="272">
        <v>1203468</v>
      </c>
      <c r="EA24" s="272">
        <v>129228</v>
      </c>
      <c r="EB24" s="272">
        <v>896420</v>
      </c>
      <c r="EC24" s="272">
        <v>0</v>
      </c>
      <c r="ED24" s="272">
        <v>36967116</v>
      </c>
      <c r="EE24" s="89"/>
      <c r="EF24" s="272">
        <v>1391102</v>
      </c>
      <c r="EG24" s="272">
        <v>372903</v>
      </c>
      <c r="EH24" s="272">
        <v>1018199</v>
      </c>
      <c r="EI24" s="272">
        <v>-244868</v>
      </c>
      <c r="EJ24" s="272">
        <v>-1728893</v>
      </c>
      <c r="EK24" s="89"/>
      <c r="EL24" s="272"/>
      <c r="EM24" s="272">
        <v>125515</v>
      </c>
      <c r="EN24" s="272">
        <v>1966642</v>
      </c>
      <c r="EO24" s="272">
        <v>177916</v>
      </c>
      <c r="EP24" s="455">
        <f t="shared" si="12"/>
        <v>1394120</v>
      </c>
      <c r="EQ24" s="272">
        <v>24862546</v>
      </c>
      <c r="ER24" s="272">
        <v>-4563259</v>
      </c>
      <c r="ES24" s="272">
        <v>9727583</v>
      </c>
      <c r="ET24" s="272">
        <v>6820130</v>
      </c>
      <c r="EU24" s="272">
        <v>1475931</v>
      </c>
      <c r="EV24" s="272">
        <v>3849977</v>
      </c>
      <c r="EW24" s="455">
        <f t="shared" si="13"/>
        <v>994760</v>
      </c>
      <c r="EX24" s="272">
        <v>994694</v>
      </c>
      <c r="EY24" s="272">
        <v>78135</v>
      </c>
      <c r="EZ24" s="272">
        <v>916559</v>
      </c>
      <c r="FA24" s="272">
        <v>66</v>
      </c>
      <c r="FB24" s="272">
        <v>0</v>
      </c>
      <c r="FC24" s="272">
        <v>4730171</v>
      </c>
      <c r="FD24" s="272">
        <v>3150470</v>
      </c>
      <c r="FE24" s="272">
        <v>61121</v>
      </c>
      <c r="FF24" s="272">
        <v>3132558</v>
      </c>
      <c r="FG24" s="455">
        <f t="shared" si="14"/>
        <v>973328</v>
      </c>
      <c r="FH24" s="272">
        <v>28034778</v>
      </c>
      <c r="FI24" s="459">
        <f t="shared" si="15"/>
        <v>4.2</v>
      </c>
      <c r="FJ24" s="272">
        <v>23307518</v>
      </c>
      <c r="FK24" s="272">
        <v>1055871</v>
      </c>
      <c r="FL24" s="272">
        <v>17546008</v>
      </c>
      <c r="FM24" s="272">
        <v>16422847</v>
      </c>
      <c r="FN24" s="460">
        <v>1.0469999999999999</v>
      </c>
      <c r="FO24" s="388">
        <v>100.9</v>
      </c>
      <c r="FP24" s="388">
        <v>39.299999999999997</v>
      </c>
      <c r="FQ24" s="388">
        <v>6.1</v>
      </c>
      <c r="FR24" s="388">
        <v>16</v>
      </c>
      <c r="FS24" s="388">
        <v>18.100000000000001</v>
      </c>
      <c r="FT24" s="388">
        <v>10.6</v>
      </c>
      <c r="FU24" s="388">
        <v>8.8000000000000007</v>
      </c>
      <c r="FV24" s="384">
        <f t="shared" si="16"/>
        <v>7.1</v>
      </c>
      <c r="FW24" s="272">
        <v>29370400</v>
      </c>
      <c r="FX24" s="384">
        <f t="shared" si="17"/>
        <v>120.6</v>
      </c>
      <c r="FY24" s="272">
        <v>14686541</v>
      </c>
      <c r="FZ24" s="272">
        <v>6429409</v>
      </c>
      <c r="GA24" s="272">
        <v>1311307</v>
      </c>
      <c r="GB24" s="272">
        <v>6945825</v>
      </c>
      <c r="GC24" s="272">
        <v>0</v>
      </c>
      <c r="GD24" s="272">
        <v>2012811</v>
      </c>
      <c r="GE24" s="384">
        <f t="shared" si="18"/>
        <v>8.3000000000000007</v>
      </c>
      <c r="GF24" s="388">
        <v>97.6</v>
      </c>
      <c r="GG24" s="388">
        <v>22.6</v>
      </c>
      <c r="GH24" s="388">
        <v>92.7</v>
      </c>
      <c r="GI24" s="272">
        <v>966</v>
      </c>
      <c r="GJ24" s="461" t="s">
        <v>646</v>
      </c>
      <c r="GK24" s="461">
        <v>12.13</v>
      </c>
      <c r="GL24" s="462">
        <v>20</v>
      </c>
      <c r="GM24" s="461" t="s">
        <v>646</v>
      </c>
      <c r="GN24" s="462">
        <v>17.13</v>
      </c>
      <c r="GO24" s="462">
        <v>40</v>
      </c>
      <c r="GP24" s="463">
        <v>7.1</v>
      </c>
      <c r="GQ24" s="463">
        <v>25</v>
      </c>
      <c r="GR24" s="463">
        <v>35</v>
      </c>
      <c r="GS24" s="464" t="s">
        <v>646</v>
      </c>
      <c r="GT24" s="463">
        <v>350</v>
      </c>
      <c r="GU24" s="394"/>
      <c r="GV24" s="394"/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</row>
    <row r="25" spans="2:230" x14ac:dyDescent="0.15">
      <c r="B25" s="89" t="s">
        <v>43</v>
      </c>
      <c r="C25" s="272">
        <v>9852927</v>
      </c>
      <c r="D25" s="455">
        <f t="shared" si="0"/>
        <v>3879916</v>
      </c>
      <c r="E25" s="272">
        <v>97263</v>
      </c>
      <c r="F25" s="456">
        <v>3782653</v>
      </c>
      <c r="G25" s="455">
        <f t="shared" si="1"/>
        <v>916723</v>
      </c>
      <c r="H25" s="272">
        <v>138243</v>
      </c>
      <c r="I25" s="272">
        <v>778480</v>
      </c>
      <c r="J25" s="272">
        <v>3855348</v>
      </c>
      <c r="K25" s="272">
        <v>1636210</v>
      </c>
      <c r="L25" s="272">
        <v>1493256</v>
      </c>
      <c r="M25" s="272">
        <v>700239</v>
      </c>
      <c r="N25" s="272">
        <v>338826</v>
      </c>
      <c r="O25" s="272">
        <v>790697</v>
      </c>
      <c r="P25" s="272">
        <v>465839</v>
      </c>
      <c r="Q25" s="272">
        <v>324858</v>
      </c>
      <c r="R25" s="272">
        <v>166278</v>
      </c>
      <c r="S25" s="272">
        <v>0</v>
      </c>
      <c r="T25" s="455">
        <f t="shared" si="2"/>
        <v>885063</v>
      </c>
      <c r="U25" s="272">
        <v>63860</v>
      </c>
      <c r="V25" s="272">
        <v>25121</v>
      </c>
      <c r="W25" s="456">
        <v>8915</v>
      </c>
      <c r="X25" s="272">
        <v>649054</v>
      </c>
      <c r="Y25" s="272">
        <v>0</v>
      </c>
      <c r="Z25" s="272">
        <v>0</v>
      </c>
      <c r="AA25" s="272">
        <v>138113</v>
      </c>
      <c r="AB25" s="272">
        <v>165486</v>
      </c>
      <c r="AC25" s="272">
        <v>3310615</v>
      </c>
      <c r="AD25" s="272">
        <v>3062326</v>
      </c>
      <c r="AE25" s="272">
        <v>248289</v>
      </c>
      <c r="AF25" s="272">
        <v>12840</v>
      </c>
      <c r="AG25" s="272">
        <v>203169</v>
      </c>
      <c r="AH25" s="455">
        <f t="shared" si="3"/>
        <v>422049</v>
      </c>
      <c r="AI25" s="272">
        <v>361862</v>
      </c>
      <c r="AJ25" s="272">
        <v>60187</v>
      </c>
      <c r="AK25" s="272">
        <v>3529639</v>
      </c>
      <c r="AL25" s="455">
        <f t="shared" si="4"/>
        <v>1890201</v>
      </c>
      <c r="AM25" s="272">
        <v>1333450</v>
      </c>
      <c r="AN25" s="272">
        <v>556751</v>
      </c>
      <c r="AO25" s="272">
        <v>0</v>
      </c>
      <c r="AP25" s="272">
        <v>0</v>
      </c>
      <c r="AQ25" s="272">
        <v>154073</v>
      </c>
      <c r="AR25" s="272">
        <v>0</v>
      </c>
      <c r="AS25" s="272">
        <v>0</v>
      </c>
      <c r="AT25" s="272">
        <v>1153646</v>
      </c>
      <c r="AU25" s="272">
        <v>461169</v>
      </c>
      <c r="AV25" s="272">
        <v>246302</v>
      </c>
      <c r="AW25" s="272">
        <v>7378</v>
      </c>
      <c r="AX25" s="272">
        <v>692477</v>
      </c>
      <c r="AY25" s="272">
        <v>689</v>
      </c>
      <c r="AZ25" s="272">
        <v>31171</v>
      </c>
      <c r="BA25" s="272">
        <v>12390</v>
      </c>
      <c r="BB25" s="272">
        <v>22093</v>
      </c>
      <c r="BC25" s="272">
        <v>255601</v>
      </c>
      <c r="BD25" s="272">
        <v>0</v>
      </c>
      <c r="BE25" s="272">
        <v>0</v>
      </c>
      <c r="BF25" s="272">
        <v>5601</v>
      </c>
      <c r="BG25" s="272">
        <v>250000</v>
      </c>
      <c r="BH25" s="272">
        <v>87796</v>
      </c>
      <c r="BI25" s="272">
        <v>27464</v>
      </c>
      <c r="BJ25" s="272">
        <v>785629</v>
      </c>
      <c r="BK25" s="272">
        <v>547806</v>
      </c>
      <c r="BL25" s="272">
        <v>0</v>
      </c>
      <c r="BM25" s="272">
        <v>0</v>
      </c>
      <c r="BN25" s="272">
        <v>1583780</v>
      </c>
      <c r="BO25" s="455">
        <f t="shared" si="5"/>
        <v>223280</v>
      </c>
      <c r="BP25" s="455">
        <f t="shared" si="6"/>
        <v>902100</v>
      </c>
      <c r="BQ25" s="272">
        <v>0</v>
      </c>
      <c r="BR25" s="272">
        <v>250000</v>
      </c>
      <c r="BS25" s="272">
        <v>652100</v>
      </c>
      <c r="BT25" s="272">
        <v>458400</v>
      </c>
      <c r="BU25" s="272">
        <v>22467782</v>
      </c>
      <c r="BV25" s="272"/>
      <c r="BW25" s="272">
        <v>4531349</v>
      </c>
      <c r="BX25" s="272">
        <v>2874167</v>
      </c>
      <c r="BY25" s="272">
        <v>690323</v>
      </c>
      <c r="BZ25" s="272">
        <v>222342</v>
      </c>
      <c r="CA25" s="272">
        <v>4424044</v>
      </c>
      <c r="CB25" s="272">
        <v>616928</v>
      </c>
      <c r="CC25" s="272">
        <v>133328</v>
      </c>
      <c r="CD25" s="272">
        <v>1817002</v>
      </c>
      <c r="CE25" s="272">
        <v>1759320</v>
      </c>
      <c r="CF25" s="272">
        <v>0</v>
      </c>
      <c r="CG25" s="272">
        <v>97416</v>
      </c>
      <c r="CH25" s="272">
        <v>2046448</v>
      </c>
      <c r="CI25" s="272">
        <v>1678888</v>
      </c>
      <c r="CJ25" s="455">
        <f t="shared" si="7"/>
        <v>367560</v>
      </c>
      <c r="CK25" s="272">
        <v>2333542</v>
      </c>
      <c r="CL25" s="272">
        <v>1372687</v>
      </c>
      <c r="CM25" s="272">
        <v>194372</v>
      </c>
      <c r="CN25" s="272">
        <v>319786</v>
      </c>
      <c r="CO25" s="272">
        <v>75298</v>
      </c>
      <c r="CP25" s="272">
        <v>3989885</v>
      </c>
      <c r="CQ25" s="272">
        <v>1853507</v>
      </c>
      <c r="CR25" s="272">
        <v>407606</v>
      </c>
      <c r="CS25" s="272">
        <v>240751</v>
      </c>
      <c r="CT25" s="455">
        <f t="shared" si="8"/>
        <v>678839</v>
      </c>
      <c r="CU25" s="272">
        <v>115339</v>
      </c>
      <c r="CV25" s="272">
        <v>563500</v>
      </c>
      <c r="CW25" s="455">
        <f t="shared" si="9"/>
        <v>677589</v>
      </c>
      <c r="CX25" s="272">
        <v>114709</v>
      </c>
      <c r="CY25" s="272">
        <v>562880</v>
      </c>
      <c r="CZ25" s="455">
        <f t="shared" si="10"/>
        <v>0</v>
      </c>
      <c r="DA25" s="272">
        <v>0</v>
      </c>
      <c r="DB25" s="272">
        <v>0</v>
      </c>
      <c r="DC25" s="272">
        <v>760834</v>
      </c>
      <c r="DD25" s="272">
        <v>244468</v>
      </c>
      <c r="DE25" s="272">
        <v>516366</v>
      </c>
      <c r="DF25" s="26">
        <v>0</v>
      </c>
      <c r="DG25" s="27">
        <v>0</v>
      </c>
      <c r="DH25" s="272">
        <v>0</v>
      </c>
      <c r="DI25" s="272">
        <v>27125</v>
      </c>
      <c r="DJ25" s="272">
        <v>1695</v>
      </c>
      <c r="DK25" s="272">
        <v>1</v>
      </c>
      <c r="DL25" s="272">
        <v>25429</v>
      </c>
      <c r="DM25" s="272">
        <v>323708</v>
      </c>
      <c r="DN25" s="272">
        <v>318608</v>
      </c>
      <c r="DO25" s="272">
        <v>98500</v>
      </c>
      <c r="DP25" s="272">
        <v>220108</v>
      </c>
      <c r="DQ25" s="272">
        <v>548835</v>
      </c>
      <c r="DR25" s="272">
        <v>0</v>
      </c>
      <c r="DS25" s="272">
        <v>0</v>
      </c>
      <c r="DT25" s="272">
        <v>3035537</v>
      </c>
      <c r="DU25" s="272">
        <v>1002334</v>
      </c>
      <c r="DV25" s="455">
        <f t="shared" si="11"/>
        <v>0</v>
      </c>
      <c r="DW25" s="272">
        <v>0</v>
      </c>
      <c r="DX25" s="272">
        <v>550181</v>
      </c>
      <c r="DY25" s="272">
        <v>0</v>
      </c>
      <c r="DZ25" s="272">
        <v>799446</v>
      </c>
      <c r="EA25" s="272">
        <v>44395</v>
      </c>
      <c r="EB25" s="272">
        <v>635782</v>
      </c>
      <c r="EC25" s="272">
        <v>0</v>
      </c>
      <c r="ED25" s="272">
        <v>22096605</v>
      </c>
      <c r="EE25" s="89"/>
      <c r="EF25" s="272">
        <v>371177</v>
      </c>
      <c r="EG25" s="272">
        <v>365361</v>
      </c>
      <c r="EH25" s="272">
        <v>5816</v>
      </c>
      <c r="EI25" s="272">
        <v>-29748</v>
      </c>
      <c r="EJ25" s="272">
        <v>-18889</v>
      </c>
      <c r="EK25" s="89"/>
      <c r="EL25" s="272"/>
      <c r="EM25" s="272">
        <v>73892</v>
      </c>
      <c r="EN25" s="272">
        <v>250000</v>
      </c>
      <c r="EO25" s="272">
        <v>17174</v>
      </c>
      <c r="EP25" s="455">
        <f t="shared" si="12"/>
        <v>330601</v>
      </c>
      <c r="EQ25" s="272">
        <v>14393209</v>
      </c>
      <c r="ER25" s="272">
        <v>-1487035</v>
      </c>
      <c r="ES25" s="272">
        <v>3676461</v>
      </c>
      <c r="ET25" s="272">
        <v>2581442</v>
      </c>
      <c r="EU25" s="272">
        <v>1545417</v>
      </c>
      <c r="EV25" s="272">
        <v>2046448</v>
      </c>
      <c r="EW25" s="455">
        <f t="shared" si="13"/>
        <v>412517</v>
      </c>
      <c r="EX25" s="272">
        <v>412517</v>
      </c>
      <c r="EY25" s="272">
        <v>19895</v>
      </c>
      <c r="EZ25" s="272">
        <v>392622</v>
      </c>
      <c r="FA25" s="272">
        <v>0</v>
      </c>
      <c r="FB25" s="272">
        <v>0</v>
      </c>
      <c r="FC25" s="272">
        <v>1980857</v>
      </c>
      <c r="FD25" s="272">
        <v>3147637</v>
      </c>
      <c r="FE25" s="272">
        <v>1853507</v>
      </c>
      <c r="FF25" s="272">
        <v>2709101</v>
      </c>
      <c r="FG25" s="455">
        <f t="shared" si="14"/>
        <v>300406</v>
      </c>
      <c r="FH25" s="272">
        <v>15818844</v>
      </c>
      <c r="FI25" s="459">
        <f t="shared" si="15"/>
        <v>0</v>
      </c>
      <c r="FJ25" s="272">
        <v>13573763</v>
      </c>
      <c r="FK25" s="272">
        <v>652119</v>
      </c>
      <c r="FL25" s="272">
        <v>8115703</v>
      </c>
      <c r="FM25" s="272">
        <v>11181239</v>
      </c>
      <c r="FN25" s="460">
        <v>0.71599999999999997</v>
      </c>
      <c r="FO25" s="388">
        <v>96.3</v>
      </c>
      <c r="FP25" s="388">
        <v>25</v>
      </c>
      <c r="FQ25" s="388">
        <v>10.7</v>
      </c>
      <c r="FR25" s="388">
        <v>14.2</v>
      </c>
      <c r="FS25" s="388">
        <v>12.9</v>
      </c>
      <c r="FT25" s="388">
        <v>16.7</v>
      </c>
      <c r="FU25" s="388">
        <v>14.8</v>
      </c>
      <c r="FV25" s="384">
        <f t="shared" si="16"/>
        <v>7</v>
      </c>
      <c r="FW25" s="272">
        <v>19717712</v>
      </c>
      <c r="FX25" s="384">
        <f t="shared" si="17"/>
        <v>138.6</v>
      </c>
      <c r="FY25" s="272">
        <v>2917303</v>
      </c>
      <c r="FZ25" s="272">
        <v>291218</v>
      </c>
      <c r="GA25" s="272">
        <v>171</v>
      </c>
      <c r="GB25" s="272">
        <v>2625914</v>
      </c>
      <c r="GC25" s="272">
        <v>250000</v>
      </c>
      <c r="GD25" s="272">
        <v>521512</v>
      </c>
      <c r="GE25" s="384">
        <f t="shared" si="18"/>
        <v>3.7</v>
      </c>
      <c r="GF25" s="388">
        <v>97.7</v>
      </c>
      <c r="GG25" s="388">
        <v>26.3</v>
      </c>
      <c r="GH25" s="388">
        <v>92.4</v>
      </c>
      <c r="GI25" s="272">
        <v>417</v>
      </c>
      <c r="GJ25" s="461" t="s">
        <v>646</v>
      </c>
      <c r="GK25" s="461">
        <v>12.84</v>
      </c>
      <c r="GL25" s="462">
        <v>20</v>
      </c>
      <c r="GM25" s="461">
        <v>1.78</v>
      </c>
      <c r="GN25" s="462">
        <v>17.84</v>
      </c>
      <c r="GO25" s="462">
        <v>40</v>
      </c>
      <c r="GP25" s="463">
        <v>7</v>
      </c>
      <c r="GQ25" s="463">
        <v>25</v>
      </c>
      <c r="GR25" s="463">
        <v>35</v>
      </c>
      <c r="GS25" s="464">
        <v>117.6</v>
      </c>
      <c r="GT25" s="463">
        <v>350</v>
      </c>
      <c r="GU25" s="394"/>
      <c r="GV25" s="394"/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</row>
    <row r="26" spans="2:230" x14ac:dyDescent="0.15">
      <c r="B26" s="89" t="s">
        <v>45</v>
      </c>
      <c r="C26" s="272">
        <v>13652003</v>
      </c>
      <c r="D26" s="455">
        <f t="shared" si="0"/>
        <v>5947333</v>
      </c>
      <c r="E26" s="272">
        <v>150026</v>
      </c>
      <c r="F26" s="456">
        <v>5797307</v>
      </c>
      <c r="G26" s="455">
        <f t="shared" si="1"/>
        <v>746582</v>
      </c>
      <c r="H26" s="272">
        <v>195685</v>
      </c>
      <c r="I26" s="272">
        <v>550897</v>
      </c>
      <c r="J26" s="272">
        <v>5065427</v>
      </c>
      <c r="K26" s="272">
        <v>2355203</v>
      </c>
      <c r="L26" s="272">
        <v>2166772</v>
      </c>
      <c r="M26" s="272">
        <v>502083</v>
      </c>
      <c r="N26" s="272">
        <v>614422</v>
      </c>
      <c r="O26" s="272">
        <v>1119442</v>
      </c>
      <c r="P26" s="272">
        <v>665442</v>
      </c>
      <c r="Q26" s="272">
        <v>454000</v>
      </c>
      <c r="R26" s="272">
        <v>254862</v>
      </c>
      <c r="S26" s="272">
        <v>0</v>
      </c>
      <c r="T26" s="455">
        <f t="shared" si="2"/>
        <v>1284996</v>
      </c>
      <c r="U26" s="272">
        <v>99753</v>
      </c>
      <c r="V26" s="272">
        <v>39258</v>
      </c>
      <c r="W26" s="456">
        <v>13892</v>
      </c>
      <c r="X26" s="272">
        <v>920399</v>
      </c>
      <c r="Y26" s="272">
        <v>0</v>
      </c>
      <c r="Z26" s="272">
        <v>0</v>
      </c>
      <c r="AA26" s="272">
        <v>211694</v>
      </c>
      <c r="AB26" s="272">
        <v>249553</v>
      </c>
      <c r="AC26" s="272">
        <v>7118559</v>
      </c>
      <c r="AD26" s="272">
        <v>6845700</v>
      </c>
      <c r="AE26" s="272">
        <v>272859</v>
      </c>
      <c r="AF26" s="272">
        <v>21902</v>
      </c>
      <c r="AG26" s="272">
        <v>308102</v>
      </c>
      <c r="AH26" s="455">
        <f t="shared" si="3"/>
        <v>540612</v>
      </c>
      <c r="AI26" s="272">
        <v>484361</v>
      </c>
      <c r="AJ26" s="272">
        <v>56251</v>
      </c>
      <c r="AK26" s="272">
        <v>4828084</v>
      </c>
      <c r="AL26" s="455">
        <f t="shared" si="4"/>
        <v>2912580</v>
      </c>
      <c r="AM26" s="272">
        <v>2587794</v>
      </c>
      <c r="AN26" s="272">
        <v>324786</v>
      </c>
      <c r="AO26" s="272">
        <v>0</v>
      </c>
      <c r="AP26" s="272">
        <v>0</v>
      </c>
      <c r="AQ26" s="272">
        <v>354768</v>
      </c>
      <c r="AR26" s="272">
        <v>0</v>
      </c>
      <c r="AS26" s="272">
        <v>0</v>
      </c>
      <c r="AT26" s="272">
        <v>1992505</v>
      </c>
      <c r="AU26" s="272">
        <v>908347</v>
      </c>
      <c r="AV26" s="272">
        <v>161600</v>
      </c>
      <c r="AW26" s="272">
        <v>0</v>
      </c>
      <c r="AX26" s="272">
        <v>1084158</v>
      </c>
      <c r="AY26" s="272">
        <v>8126</v>
      </c>
      <c r="AZ26" s="272">
        <v>258756</v>
      </c>
      <c r="BA26" s="272">
        <v>233576</v>
      </c>
      <c r="BB26" s="272">
        <v>21013</v>
      </c>
      <c r="BC26" s="272">
        <v>377562</v>
      </c>
      <c r="BD26" s="272">
        <v>253000</v>
      </c>
      <c r="BE26" s="272">
        <v>0</v>
      </c>
      <c r="BF26" s="272">
        <v>24625</v>
      </c>
      <c r="BG26" s="272">
        <v>0</v>
      </c>
      <c r="BH26" s="272">
        <v>333594</v>
      </c>
      <c r="BI26" s="272">
        <v>255516</v>
      </c>
      <c r="BJ26" s="272">
        <v>349175</v>
      </c>
      <c r="BK26" s="272">
        <v>43937</v>
      </c>
      <c r="BL26" s="272">
        <v>0</v>
      </c>
      <c r="BM26" s="272">
        <v>0</v>
      </c>
      <c r="BN26" s="272">
        <v>2651800</v>
      </c>
      <c r="BO26" s="455">
        <f t="shared" si="5"/>
        <v>1336800</v>
      </c>
      <c r="BP26" s="455">
        <f t="shared" si="6"/>
        <v>957700</v>
      </c>
      <c r="BQ26" s="272">
        <v>0</v>
      </c>
      <c r="BR26" s="272">
        <v>0</v>
      </c>
      <c r="BS26" s="272">
        <v>957700</v>
      </c>
      <c r="BT26" s="272">
        <v>357300</v>
      </c>
      <c r="BU26" s="272">
        <v>34243078</v>
      </c>
      <c r="BV26" s="272"/>
      <c r="BW26" s="272">
        <v>5664960</v>
      </c>
      <c r="BX26" s="272">
        <v>3878778</v>
      </c>
      <c r="BY26" s="272">
        <v>771626</v>
      </c>
      <c r="BZ26" s="272">
        <v>80106</v>
      </c>
      <c r="CA26" s="272">
        <v>8292880</v>
      </c>
      <c r="CB26" s="272">
        <v>1627201</v>
      </c>
      <c r="CC26" s="272">
        <v>269736</v>
      </c>
      <c r="CD26" s="272">
        <v>2914209</v>
      </c>
      <c r="CE26" s="272">
        <v>3374515</v>
      </c>
      <c r="CF26" s="272">
        <v>68</v>
      </c>
      <c r="CG26" s="272">
        <v>107016</v>
      </c>
      <c r="CH26" s="272">
        <v>4523330</v>
      </c>
      <c r="CI26" s="272">
        <v>3651202</v>
      </c>
      <c r="CJ26" s="455">
        <f t="shared" si="7"/>
        <v>872128</v>
      </c>
      <c r="CK26" s="272">
        <v>3838312</v>
      </c>
      <c r="CL26" s="272">
        <v>2188995</v>
      </c>
      <c r="CM26" s="272">
        <v>555859</v>
      </c>
      <c r="CN26" s="272">
        <v>559976</v>
      </c>
      <c r="CO26" s="272">
        <v>103361</v>
      </c>
      <c r="CP26" s="272">
        <v>3508874</v>
      </c>
      <c r="CQ26" s="272">
        <v>2210689</v>
      </c>
      <c r="CR26" s="272">
        <v>912292</v>
      </c>
      <c r="CS26" s="272">
        <v>821885</v>
      </c>
      <c r="CT26" s="455">
        <f t="shared" si="8"/>
        <v>1364</v>
      </c>
      <c r="CU26" s="272">
        <v>429</v>
      </c>
      <c r="CV26" s="272">
        <v>935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2435523</v>
      </c>
      <c r="DD26" s="272">
        <v>750541</v>
      </c>
      <c r="DE26" s="272">
        <v>1671323</v>
      </c>
      <c r="DF26" s="26">
        <v>408</v>
      </c>
      <c r="DG26" s="27">
        <v>13251</v>
      </c>
      <c r="DH26" s="272">
        <v>0</v>
      </c>
      <c r="DI26" s="272">
        <v>318078</v>
      </c>
      <c r="DJ26" s="272">
        <v>256177</v>
      </c>
      <c r="DK26" s="272">
        <v>77</v>
      </c>
      <c r="DL26" s="272">
        <v>61824</v>
      </c>
      <c r="DM26" s="272">
        <v>8300</v>
      </c>
      <c r="DN26" s="272">
        <v>0</v>
      </c>
      <c r="DO26" s="272">
        <v>0</v>
      </c>
      <c r="DP26" s="272">
        <v>0</v>
      </c>
      <c r="DQ26" s="272">
        <v>278000</v>
      </c>
      <c r="DR26" s="272">
        <v>0</v>
      </c>
      <c r="DS26" s="272">
        <v>0</v>
      </c>
      <c r="DT26" s="272">
        <v>5140905</v>
      </c>
      <c r="DU26" s="272">
        <v>1588381</v>
      </c>
      <c r="DV26" s="455">
        <f t="shared" si="11"/>
        <v>0</v>
      </c>
      <c r="DW26" s="272">
        <v>0</v>
      </c>
      <c r="DX26" s="272">
        <v>879689</v>
      </c>
      <c r="DY26" s="272">
        <v>0</v>
      </c>
      <c r="DZ26" s="272">
        <v>1455599</v>
      </c>
      <c r="EA26" s="272">
        <v>91669</v>
      </c>
      <c r="EB26" s="272">
        <v>1004603</v>
      </c>
      <c r="EC26" s="272">
        <v>0</v>
      </c>
      <c r="ED26" s="272">
        <v>34112523</v>
      </c>
      <c r="EE26" s="89"/>
      <c r="EF26" s="272">
        <v>130555</v>
      </c>
      <c r="EG26" s="272">
        <v>67574</v>
      </c>
      <c r="EH26" s="272">
        <v>62981</v>
      </c>
      <c r="EI26" s="272">
        <v>-192535</v>
      </c>
      <c r="EJ26" s="272">
        <v>-189358</v>
      </c>
      <c r="EK26" s="89"/>
      <c r="EL26" s="272"/>
      <c r="EM26" s="272">
        <v>118780</v>
      </c>
      <c r="EN26" s="272">
        <v>352938</v>
      </c>
      <c r="EO26" s="272">
        <v>248098</v>
      </c>
      <c r="EP26" s="455">
        <f t="shared" si="12"/>
        <v>779826</v>
      </c>
      <c r="EQ26" s="272">
        <v>22581875</v>
      </c>
      <c r="ER26" s="272">
        <v>-2316660</v>
      </c>
      <c r="ES26" s="272">
        <v>4816670</v>
      </c>
      <c r="ET26" s="272">
        <v>3465939</v>
      </c>
      <c r="EU26" s="272">
        <v>2739701</v>
      </c>
      <c r="EV26" s="272">
        <v>4401111</v>
      </c>
      <c r="EW26" s="455">
        <f t="shared" si="13"/>
        <v>721111</v>
      </c>
      <c r="EX26" s="272">
        <v>721111</v>
      </c>
      <c r="EY26" s="272">
        <v>101843</v>
      </c>
      <c r="EZ26" s="272">
        <v>618860</v>
      </c>
      <c r="FA26" s="272">
        <v>0</v>
      </c>
      <c r="FB26" s="272">
        <v>0</v>
      </c>
      <c r="FC26" s="272">
        <v>3378681</v>
      </c>
      <c r="FD26" s="272">
        <v>3403174</v>
      </c>
      <c r="FE26" s="272">
        <v>2210689</v>
      </c>
      <c r="FF26" s="272">
        <v>4633068</v>
      </c>
      <c r="FG26" s="455">
        <f t="shared" si="14"/>
        <v>678671</v>
      </c>
      <c r="FH26" s="272">
        <v>24772187</v>
      </c>
      <c r="FI26" s="459">
        <f t="shared" si="15"/>
        <v>0.3</v>
      </c>
      <c r="FJ26" s="272">
        <v>21280016</v>
      </c>
      <c r="FK26" s="272">
        <v>957712</v>
      </c>
      <c r="FL26" s="272">
        <v>11112314</v>
      </c>
      <c r="FM26" s="272">
        <v>17959497</v>
      </c>
      <c r="FN26" s="460">
        <v>0.61499999999999999</v>
      </c>
      <c r="FO26" s="388">
        <v>96.7</v>
      </c>
      <c r="FP26" s="388">
        <v>21.3</v>
      </c>
      <c r="FQ26" s="388">
        <v>12.3</v>
      </c>
      <c r="FR26" s="388">
        <v>19.7</v>
      </c>
      <c r="FS26" s="388">
        <v>14.5</v>
      </c>
      <c r="FT26" s="388">
        <v>14.5</v>
      </c>
      <c r="FU26" s="388">
        <v>14</v>
      </c>
      <c r="FV26" s="384">
        <f t="shared" si="16"/>
        <v>8.5</v>
      </c>
      <c r="FW26" s="272">
        <v>46761838</v>
      </c>
      <c r="FX26" s="384">
        <f t="shared" si="17"/>
        <v>210.3</v>
      </c>
      <c r="FY26" s="272">
        <v>1648814</v>
      </c>
      <c r="FZ26" s="272">
        <v>600495</v>
      </c>
      <c r="GA26" s="272">
        <v>72169</v>
      </c>
      <c r="GB26" s="272">
        <v>976150</v>
      </c>
      <c r="GC26" s="272">
        <v>450000</v>
      </c>
      <c r="GD26" s="272">
        <v>5417717</v>
      </c>
      <c r="GE26" s="384">
        <f t="shared" si="18"/>
        <v>24.4</v>
      </c>
      <c r="GF26" s="388">
        <v>97.2</v>
      </c>
      <c r="GG26" s="388">
        <v>21.6</v>
      </c>
      <c r="GH26" s="388">
        <v>92</v>
      </c>
      <c r="GI26" s="272">
        <v>579</v>
      </c>
      <c r="GJ26" s="461" t="s">
        <v>646</v>
      </c>
      <c r="GK26" s="461">
        <v>12.29</v>
      </c>
      <c r="GL26" s="462">
        <v>20</v>
      </c>
      <c r="GM26" s="461" t="s">
        <v>646</v>
      </c>
      <c r="GN26" s="462">
        <v>17.29</v>
      </c>
      <c r="GO26" s="462">
        <v>40</v>
      </c>
      <c r="GP26" s="463">
        <v>8.5</v>
      </c>
      <c r="GQ26" s="463">
        <v>25</v>
      </c>
      <c r="GR26" s="463">
        <v>35</v>
      </c>
      <c r="GS26" s="464">
        <v>163.4</v>
      </c>
      <c r="GT26" s="463">
        <v>350</v>
      </c>
      <c r="GU26" s="394"/>
      <c r="GV26" s="394"/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</row>
    <row r="27" spans="2:230" x14ac:dyDescent="0.15">
      <c r="B27" s="89" t="s">
        <v>47</v>
      </c>
      <c r="C27" s="272">
        <v>19887428</v>
      </c>
      <c r="D27" s="455">
        <f t="shared" si="0"/>
        <v>5851358</v>
      </c>
      <c r="E27" s="272">
        <v>162909</v>
      </c>
      <c r="F27" s="456">
        <v>5688449</v>
      </c>
      <c r="G27" s="455">
        <f t="shared" si="1"/>
        <v>1946882</v>
      </c>
      <c r="H27" s="272">
        <v>428725</v>
      </c>
      <c r="I27" s="272">
        <v>1518157</v>
      </c>
      <c r="J27" s="272">
        <v>9054318</v>
      </c>
      <c r="K27" s="272">
        <v>4283558</v>
      </c>
      <c r="L27" s="272">
        <v>3320311</v>
      </c>
      <c r="M27" s="272">
        <v>1332942</v>
      </c>
      <c r="N27" s="272">
        <v>1099519</v>
      </c>
      <c r="O27" s="272">
        <v>1826025</v>
      </c>
      <c r="P27" s="272">
        <v>1088868</v>
      </c>
      <c r="Q27" s="272">
        <v>737157</v>
      </c>
      <c r="R27" s="272">
        <v>239096</v>
      </c>
      <c r="S27" s="272">
        <v>0</v>
      </c>
      <c r="T27" s="455">
        <f t="shared" si="2"/>
        <v>1658232</v>
      </c>
      <c r="U27" s="272">
        <v>95640</v>
      </c>
      <c r="V27" s="272">
        <v>37602</v>
      </c>
      <c r="W27" s="456">
        <v>13395</v>
      </c>
      <c r="X27" s="272">
        <v>1312997</v>
      </c>
      <c r="Y27" s="272">
        <v>0</v>
      </c>
      <c r="Z27" s="272">
        <v>0</v>
      </c>
      <c r="AA27" s="272">
        <v>198598</v>
      </c>
      <c r="AB27" s="272">
        <v>280744</v>
      </c>
      <c r="AC27" s="272">
        <v>5121148</v>
      </c>
      <c r="AD27" s="272">
        <v>4954491</v>
      </c>
      <c r="AE27" s="272">
        <v>166657</v>
      </c>
      <c r="AF27" s="272">
        <v>22696</v>
      </c>
      <c r="AG27" s="272">
        <v>242905</v>
      </c>
      <c r="AH27" s="455">
        <f t="shared" si="3"/>
        <v>745981</v>
      </c>
      <c r="AI27" s="272">
        <v>539611</v>
      </c>
      <c r="AJ27" s="272">
        <v>206370</v>
      </c>
      <c r="AK27" s="272">
        <v>8952714</v>
      </c>
      <c r="AL27" s="455">
        <f t="shared" si="4"/>
        <v>6845295</v>
      </c>
      <c r="AM27" s="272">
        <v>6499430</v>
      </c>
      <c r="AN27" s="272">
        <v>345865</v>
      </c>
      <c r="AO27" s="272">
        <v>0</v>
      </c>
      <c r="AP27" s="272">
        <v>0</v>
      </c>
      <c r="AQ27" s="272">
        <v>244981</v>
      </c>
      <c r="AR27" s="272">
        <v>0</v>
      </c>
      <c r="AS27" s="272">
        <v>0</v>
      </c>
      <c r="AT27" s="272">
        <v>2537990</v>
      </c>
      <c r="AU27" s="272">
        <v>1069718</v>
      </c>
      <c r="AV27" s="272">
        <v>172932</v>
      </c>
      <c r="AW27" s="272">
        <v>11705</v>
      </c>
      <c r="AX27" s="272">
        <v>1468272</v>
      </c>
      <c r="AY27" s="272">
        <v>122498</v>
      </c>
      <c r="AZ27" s="272">
        <v>838843</v>
      </c>
      <c r="BA27" s="272">
        <v>795568</v>
      </c>
      <c r="BB27" s="272">
        <v>9360</v>
      </c>
      <c r="BC27" s="272">
        <v>784897</v>
      </c>
      <c r="BD27" s="272">
        <v>780000</v>
      </c>
      <c r="BE27" s="272">
        <v>0</v>
      </c>
      <c r="BF27" s="272">
        <v>4897</v>
      </c>
      <c r="BG27" s="272">
        <v>0</v>
      </c>
      <c r="BH27" s="272">
        <v>49508</v>
      </c>
      <c r="BI27" s="272">
        <v>25132</v>
      </c>
      <c r="BJ27" s="272">
        <v>357568</v>
      </c>
      <c r="BK27" s="272">
        <v>14000</v>
      </c>
      <c r="BL27" s="272">
        <v>0</v>
      </c>
      <c r="BM27" s="272">
        <v>0</v>
      </c>
      <c r="BN27" s="272">
        <v>3244165</v>
      </c>
      <c r="BO27" s="455">
        <f t="shared" si="5"/>
        <v>522400</v>
      </c>
      <c r="BP27" s="455">
        <f t="shared" si="6"/>
        <v>1055665</v>
      </c>
      <c r="BQ27" s="272">
        <v>0</v>
      </c>
      <c r="BR27" s="272">
        <v>0</v>
      </c>
      <c r="BS27" s="272">
        <v>1055665</v>
      </c>
      <c r="BT27" s="272">
        <v>1666100</v>
      </c>
      <c r="BU27" s="272">
        <v>44973275</v>
      </c>
      <c r="BV27" s="272"/>
      <c r="BW27" s="272">
        <v>9727588</v>
      </c>
      <c r="BX27" s="272">
        <v>5929227</v>
      </c>
      <c r="BY27" s="272">
        <v>2366170</v>
      </c>
      <c r="BZ27" s="272">
        <v>103666</v>
      </c>
      <c r="CA27" s="272">
        <v>14228609</v>
      </c>
      <c r="CB27" s="272">
        <v>1570339</v>
      </c>
      <c r="CC27" s="272">
        <v>243531</v>
      </c>
      <c r="CD27" s="272">
        <v>3627245</v>
      </c>
      <c r="CE27" s="272">
        <v>8577787</v>
      </c>
      <c r="CF27" s="272">
        <v>192</v>
      </c>
      <c r="CG27" s="272">
        <v>209285</v>
      </c>
      <c r="CH27" s="272">
        <v>5126380</v>
      </c>
      <c r="CI27" s="272">
        <v>4349951</v>
      </c>
      <c r="CJ27" s="455">
        <f t="shared" si="7"/>
        <v>776429</v>
      </c>
      <c r="CK27" s="272">
        <v>4318708</v>
      </c>
      <c r="CL27" s="272">
        <v>2554392</v>
      </c>
      <c r="CM27" s="272">
        <v>160700</v>
      </c>
      <c r="CN27" s="272">
        <v>974593</v>
      </c>
      <c r="CO27" s="272">
        <v>289917</v>
      </c>
      <c r="CP27" s="272">
        <v>3216903</v>
      </c>
      <c r="CQ27" s="272">
        <v>1896835</v>
      </c>
      <c r="CR27" s="272">
        <v>391481</v>
      </c>
      <c r="CS27" s="272">
        <v>391481</v>
      </c>
      <c r="CT27" s="455">
        <f t="shared" si="8"/>
        <v>20613</v>
      </c>
      <c r="CU27" s="272">
        <v>20135</v>
      </c>
      <c r="CV27" s="272">
        <v>478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1409519</v>
      </c>
      <c r="DD27" s="272">
        <v>526652</v>
      </c>
      <c r="DE27" s="272">
        <v>882867</v>
      </c>
      <c r="DF27" s="26">
        <v>0</v>
      </c>
      <c r="DG27" s="27">
        <v>0</v>
      </c>
      <c r="DH27" s="272">
        <v>0</v>
      </c>
      <c r="DI27" s="272">
        <v>787358</v>
      </c>
      <c r="DJ27" s="272">
        <v>20805</v>
      </c>
      <c r="DK27" s="272">
        <v>2</v>
      </c>
      <c r="DL27" s="272">
        <v>766551</v>
      </c>
      <c r="DM27" s="272">
        <v>8500</v>
      </c>
      <c r="DN27" s="272">
        <v>0</v>
      </c>
      <c r="DO27" s="272">
        <v>0</v>
      </c>
      <c r="DP27" s="272">
        <v>0</v>
      </c>
      <c r="DQ27" s="272">
        <v>9000</v>
      </c>
      <c r="DR27" s="272">
        <v>0</v>
      </c>
      <c r="DS27" s="272">
        <v>0</v>
      </c>
      <c r="DT27" s="272">
        <v>5702024</v>
      </c>
      <c r="DU27" s="272">
        <v>1678000</v>
      </c>
      <c r="DV27" s="455">
        <f t="shared" si="11"/>
        <v>0</v>
      </c>
      <c r="DW27" s="272">
        <v>0</v>
      </c>
      <c r="DX27" s="272">
        <v>752897</v>
      </c>
      <c r="DY27" s="272">
        <v>0</v>
      </c>
      <c r="DZ27" s="272">
        <v>2248595</v>
      </c>
      <c r="EA27" s="272">
        <v>65464</v>
      </c>
      <c r="EB27" s="272">
        <v>957068</v>
      </c>
      <c r="EC27" s="272">
        <v>0</v>
      </c>
      <c r="ED27" s="272">
        <v>44824506</v>
      </c>
      <c r="EE27" s="89"/>
      <c r="EF27" s="272">
        <v>148769</v>
      </c>
      <c r="EG27" s="272">
        <v>101345</v>
      </c>
      <c r="EH27" s="272">
        <v>47424</v>
      </c>
      <c r="EI27" s="272">
        <v>22292</v>
      </c>
      <c r="EJ27" s="272">
        <v>-736903</v>
      </c>
      <c r="EK27" s="89"/>
      <c r="EL27" s="272"/>
      <c r="EM27" s="272">
        <v>128908</v>
      </c>
      <c r="EN27" s="272">
        <v>780000</v>
      </c>
      <c r="EO27" s="272">
        <v>34392</v>
      </c>
      <c r="EP27" s="455">
        <f t="shared" si="12"/>
        <v>385029</v>
      </c>
      <c r="EQ27" s="272">
        <v>27209344</v>
      </c>
      <c r="ER27" s="272">
        <v>-2232390</v>
      </c>
      <c r="ES27" s="272">
        <v>7590995</v>
      </c>
      <c r="ET27" s="272">
        <v>5929227</v>
      </c>
      <c r="EU27" s="272">
        <v>4377810</v>
      </c>
      <c r="EV27" s="272">
        <v>5021356</v>
      </c>
      <c r="EW27" s="455">
        <f t="shared" si="13"/>
        <v>519929</v>
      </c>
      <c r="EX27" s="272">
        <v>519929</v>
      </c>
      <c r="EY27" s="272">
        <v>32790</v>
      </c>
      <c r="EZ27" s="272">
        <v>487139</v>
      </c>
      <c r="FA27" s="272">
        <v>0</v>
      </c>
      <c r="FB27" s="272">
        <v>0</v>
      </c>
      <c r="FC27" s="272">
        <v>3630029</v>
      </c>
      <c r="FD27" s="272">
        <v>2970710</v>
      </c>
      <c r="FE27" s="272">
        <v>1896835</v>
      </c>
      <c r="FF27" s="272">
        <v>5018288</v>
      </c>
      <c r="FG27" s="455">
        <f t="shared" si="14"/>
        <v>231828</v>
      </c>
      <c r="FH27" s="272">
        <v>29360945</v>
      </c>
      <c r="FI27" s="459">
        <f t="shared" si="15"/>
        <v>0.2</v>
      </c>
      <c r="FJ27" s="272">
        <v>25231747</v>
      </c>
      <c r="FK27" s="272">
        <v>1055665</v>
      </c>
      <c r="FL27" s="272">
        <v>15520502</v>
      </c>
      <c r="FM27" s="272">
        <v>20471735</v>
      </c>
      <c r="FN27" s="460">
        <v>0.75600000000000001</v>
      </c>
      <c r="FO27" s="388">
        <v>100.8</v>
      </c>
      <c r="FP27" s="388">
        <v>28</v>
      </c>
      <c r="FQ27" s="388">
        <v>15.6</v>
      </c>
      <c r="FR27" s="388">
        <v>18.8</v>
      </c>
      <c r="FS27" s="388">
        <v>13</v>
      </c>
      <c r="FT27" s="388">
        <v>9.9</v>
      </c>
      <c r="FU27" s="388">
        <v>14.7</v>
      </c>
      <c r="FV27" s="384">
        <f t="shared" si="16"/>
        <v>7</v>
      </c>
      <c r="FW27" s="272">
        <v>43154445</v>
      </c>
      <c r="FX27" s="384">
        <f t="shared" si="17"/>
        <v>164.2</v>
      </c>
      <c r="FY27" s="272">
        <v>3653330</v>
      </c>
      <c r="FZ27" s="272">
        <v>1463102</v>
      </c>
      <c r="GA27" s="272">
        <v>1212</v>
      </c>
      <c r="GB27" s="272">
        <v>2189016</v>
      </c>
      <c r="GC27" s="272">
        <v>0</v>
      </c>
      <c r="GD27" s="272">
        <v>4226326</v>
      </c>
      <c r="GE27" s="384">
        <f t="shared" si="18"/>
        <v>16.100000000000001</v>
      </c>
      <c r="GF27" s="388">
        <v>97.1</v>
      </c>
      <c r="GG27" s="388">
        <v>17.399999999999999</v>
      </c>
      <c r="GH27" s="388">
        <v>88.9</v>
      </c>
      <c r="GI27" s="272">
        <v>854</v>
      </c>
      <c r="GJ27" s="461" t="s">
        <v>646</v>
      </c>
      <c r="GK27" s="461">
        <v>12</v>
      </c>
      <c r="GL27" s="462">
        <v>20</v>
      </c>
      <c r="GM27" s="461">
        <v>14.78</v>
      </c>
      <c r="GN27" s="462">
        <v>17</v>
      </c>
      <c r="GO27" s="462">
        <v>40</v>
      </c>
      <c r="GP27" s="463">
        <v>7</v>
      </c>
      <c r="GQ27" s="463">
        <v>25</v>
      </c>
      <c r="GR27" s="463">
        <v>35</v>
      </c>
      <c r="GS27" s="464">
        <v>91.4</v>
      </c>
      <c r="GT27" s="463">
        <v>350</v>
      </c>
      <c r="GU27" s="394"/>
      <c r="GV27" s="394"/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</row>
    <row r="28" spans="2:230" x14ac:dyDescent="0.15">
      <c r="B28" s="89" t="s">
        <v>49</v>
      </c>
      <c r="C28" s="272">
        <v>19731737</v>
      </c>
      <c r="D28" s="455">
        <f t="shared" si="0"/>
        <v>4524350</v>
      </c>
      <c r="E28" s="272">
        <v>117608</v>
      </c>
      <c r="F28" s="456">
        <v>4406742</v>
      </c>
      <c r="G28" s="455">
        <f t="shared" si="1"/>
        <v>2818988</v>
      </c>
      <c r="H28" s="272">
        <v>353875</v>
      </c>
      <c r="I28" s="272">
        <v>2465113</v>
      </c>
      <c r="J28" s="272">
        <v>8783078</v>
      </c>
      <c r="K28" s="272">
        <v>4234572</v>
      </c>
      <c r="L28" s="272">
        <v>2462849</v>
      </c>
      <c r="M28" s="272">
        <v>1985321</v>
      </c>
      <c r="N28" s="272">
        <v>1909569</v>
      </c>
      <c r="O28" s="272">
        <v>1618445</v>
      </c>
      <c r="P28" s="272">
        <v>1071308</v>
      </c>
      <c r="Q28" s="272">
        <v>547137</v>
      </c>
      <c r="R28" s="272">
        <v>188050</v>
      </c>
      <c r="S28" s="272">
        <v>0</v>
      </c>
      <c r="T28" s="455">
        <f t="shared" si="2"/>
        <v>1193075</v>
      </c>
      <c r="U28" s="272">
        <v>74709</v>
      </c>
      <c r="V28" s="272">
        <v>29379</v>
      </c>
      <c r="W28" s="456">
        <v>10448</v>
      </c>
      <c r="X28" s="272">
        <v>919524</v>
      </c>
      <c r="Y28" s="272">
        <v>2819</v>
      </c>
      <c r="Z28" s="272">
        <v>0</v>
      </c>
      <c r="AA28" s="272">
        <v>156196</v>
      </c>
      <c r="AB28" s="272">
        <v>230246</v>
      </c>
      <c r="AC28" s="272">
        <v>226469</v>
      </c>
      <c r="AD28" s="272">
        <v>0</v>
      </c>
      <c r="AE28" s="272">
        <v>226469</v>
      </c>
      <c r="AF28" s="272">
        <v>19208</v>
      </c>
      <c r="AG28" s="272">
        <v>456607</v>
      </c>
      <c r="AH28" s="455">
        <f t="shared" si="3"/>
        <v>698890</v>
      </c>
      <c r="AI28" s="272">
        <v>557586</v>
      </c>
      <c r="AJ28" s="272">
        <v>141304</v>
      </c>
      <c r="AK28" s="272">
        <v>3077802</v>
      </c>
      <c r="AL28" s="455">
        <f t="shared" si="4"/>
        <v>1822351</v>
      </c>
      <c r="AM28" s="272">
        <v>1455367</v>
      </c>
      <c r="AN28" s="272">
        <v>366984</v>
      </c>
      <c r="AO28" s="272">
        <v>0</v>
      </c>
      <c r="AP28" s="272">
        <v>0</v>
      </c>
      <c r="AQ28" s="272">
        <v>286374</v>
      </c>
      <c r="AR28" s="272">
        <v>0</v>
      </c>
      <c r="AS28" s="272">
        <v>0</v>
      </c>
      <c r="AT28" s="272">
        <v>1474254</v>
      </c>
      <c r="AU28" s="272">
        <v>782893</v>
      </c>
      <c r="AV28" s="272">
        <v>183492</v>
      </c>
      <c r="AW28" s="272">
        <v>8333</v>
      </c>
      <c r="AX28" s="272">
        <v>691361</v>
      </c>
      <c r="AY28" s="272">
        <v>3295</v>
      </c>
      <c r="AZ28" s="272">
        <v>65302</v>
      </c>
      <c r="BA28" s="272">
        <v>17852</v>
      </c>
      <c r="BB28" s="272">
        <v>15764</v>
      </c>
      <c r="BC28" s="272">
        <v>794692</v>
      </c>
      <c r="BD28" s="272">
        <v>0</v>
      </c>
      <c r="BE28" s="272">
        <v>0</v>
      </c>
      <c r="BF28" s="272">
        <v>753656</v>
      </c>
      <c r="BG28" s="272">
        <v>0</v>
      </c>
      <c r="BH28" s="272">
        <v>401217</v>
      </c>
      <c r="BI28" s="272">
        <v>172026</v>
      </c>
      <c r="BJ28" s="272">
        <v>649631</v>
      </c>
      <c r="BK28" s="272">
        <v>103229</v>
      </c>
      <c r="BL28" s="272">
        <v>0</v>
      </c>
      <c r="BM28" s="272">
        <v>0</v>
      </c>
      <c r="BN28" s="272">
        <v>1863000</v>
      </c>
      <c r="BO28" s="455">
        <f t="shared" si="5"/>
        <v>1012800</v>
      </c>
      <c r="BP28" s="455">
        <f t="shared" si="6"/>
        <v>850200</v>
      </c>
      <c r="BQ28" s="272">
        <v>0</v>
      </c>
      <c r="BR28" s="272">
        <v>137800</v>
      </c>
      <c r="BS28" s="272">
        <v>712400</v>
      </c>
      <c r="BT28" s="272">
        <v>0</v>
      </c>
      <c r="BU28" s="272">
        <v>31085944</v>
      </c>
      <c r="BV28" s="272"/>
      <c r="BW28" s="272">
        <v>6660531</v>
      </c>
      <c r="BX28" s="272">
        <v>4535954</v>
      </c>
      <c r="BY28" s="272">
        <v>921879</v>
      </c>
      <c r="BZ28" s="272">
        <v>141530</v>
      </c>
      <c r="CA28" s="272">
        <v>5592520</v>
      </c>
      <c r="CB28" s="272">
        <v>753983</v>
      </c>
      <c r="CC28" s="272">
        <v>194765</v>
      </c>
      <c r="CD28" s="272">
        <v>2558646</v>
      </c>
      <c r="CE28" s="272">
        <v>1951750</v>
      </c>
      <c r="CF28" s="272">
        <v>0</v>
      </c>
      <c r="CG28" s="272">
        <v>133376</v>
      </c>
      <c r="CH28" s="272">
        <v>3722713</v>
      </c>
      <c r="CI28" s="272">
        <v>3110581</v>
      </c>
      <c r="CJ28" s="455">
        <f t="shared" si="7"/>
        <v>612132</v>
      </c>
      <c r="CK28" s="272">
        <v>4390051</v>
      </c>
      <c r="CL28" s="272">
        <v>2498728</v>
      </c>
      <c r="CM28" s="272">
        <v>488494</v>
      </c>
      <c r="CN28" s="272">
        <v>857197</v>
      </c>
      <c r="CO28" s="272">
        <v>466158</v>
      </c>
      <c r="CP28" s="272">
        <v>1773763</v>
      </c>
      <c r="CQ28" s="272">
        <v>7822</v>
      </c>
      <c r="CR28" s="272">
        <v>1080308</v>
      </c>
      <c r="CS28" s="272">
        <v>673991</v>
      </c>
      <c r="CT28" s="455">
        <f t="shared" si="8"/>
        <v>25796</v>
      </c>
      <c r="CU28" s="272">
        <v>4367</v>
      </c>
      <c r="CV28" s="272">
        <v>21429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2867035</v>
      </c>
      <c r="DD28" s="272">
        <v>400124</v>
      </c>
      <c r="DE28" s="272">
        <v>2402911</v>
      </c>
      <c r="DF28" s="26">
        <v>64000</v>
      </c>
      <c r="DG28" s="27">
        <v>0</v>
      </c>
      <c r="DH28" s="272">
        <v>0</v>
      </c>
      <c r="DI28" s="272">
        <v>121748</v>
      </c>
      <c r="DJ28" s="272">
        <v>98831</v>
      </c>
      <c r="DK28" s="272">
        <v>5018</v>
      </c>
      <c r="DL28" s="272">
        <v>17899</v>
      </c>
      <c r="DM28" s="272">
        <v>7700</v>
      </c>
      <c r="DN28" s="272">
        <v>0</v>
      </c>
      <c r="DO28" s="272">
        <v>0</v>
      </c>
      <c r="DP28" s="272">
        <v>0</v>
      </c>
      <c r="DQ28" s="272">
        <v>111916</v>
      </c>
      <c r="DR28" s="272">
        <v>0</v>
      </c>
      <c r="DS28" s="272">
        <v>0</v>
      </c>
      <c r="DT28" s="272">
        <v>4075796</v>
      </c>
      <c r="DU28" s="272">
        <v>2032882</v>
      </c>
      <c r="DV28" s="455">
        <f t="shared" si="11"/>
        <v>0</v>
      </c>
      <c r="DW28" s="272">
        <v>0</v>
      </c>
      <c r="DX28" s="272">
        <v>452739</v>
      </c>
      <c r="DY28" s="272">
        <v>181978</v>
      </c>
      <c r="DZ28" s="272">
        <v>804797</v>
      </c>
      <c r="EA28" s="272">
        <v>5761</v>
      </c>
      <c r="EB28" s="272">
        <v>527265</v>
      </c>
      <c r="EC28" s="272">
        <v>0</v>
      </c>
      <c r="ED28" s="272">
        <v>29789931</v>
      </c>
      <c r="EE28" s="89"/>
      <c r="EF28" s="272">
        <v>1296013</v>
      </c>
      <c r="EG28" s="272">
        <v>930007</v>
      </c>
      <c r="EH28" s="272">
        <v>366006</v>
      </c>
      <c r="EI28" s="272">
        <v>193980</v>
      </c>
      <c r="EJ28" s="272">
        <v>292811</v>
      </c>
      <c r="EK28" s="89"/>
      <c r="EL28" s="272"/>
      <c r="EM28" s="272">
        <v>82758</v>
      </c>
      <c r="EN28" s="272">
        <v>41036</v>
      </c>
      <c r="EO28" s="272">
        <v>40847</v>
      </c>
      <c r="EP28" s="455">
        <f t="shared" si="12"/>
        <v>502799</v>
      </c>
      <c r="EQ28" s="272">
        <v>21588785</v>
      </c>
      <c r="ER28" s="272">
        <v>-1415674</v>
      </c>
      <c r="ES28" s="272">
        <v>6219616</v>
      </c>
      <c r="ET28" s="272">
        <v>4170210</v>
      </c>
      <c r="EU28" s="272">
        <v>1805792</v>
      </c>
      <c r="EV28" s="272">
        <v>3669974</v>
      </c>
      <c r="EW28" s="455">
        <f t="shared" si="13"/>
        <v>619858</v>
      </c>
      <c r="EX28" s="272">
        <v>619858</v>
      </c>
      <c r="EY28" s="272">
        <v>24346</v>
      </c>
      <c r="EZ28" s="272">
        <v>595512</v>
      </c>
      <c r="FA28" s="272">
        <v>0</v>
      </c>
      <c r="FB28" s="272">
        <v>0</v>
      </c>
      <c r="FC28" s="272">
        <v>3456267</v>
      </c>
      <c r="FD28" s="272">
        <v>1620206</v>
      </c>
      <c r="FE28" s="272">
        <v>7822</v>
      </c>
      <c r="FF28" s="272">
        <v>3762999</v>
      </c>
      <c r="FG28" s="455">
        <f t="shared" si="14"/>
        <v>553734</v>
      </c>
      <c r="FH28" s="272">
        <v>21708446</v>
      </c>
      <c r="FI28" s="459">
        <f t="shared" si="15"/>
        <v>1.7</v>
      </c>
      <c r="FJ28" s="272">
        <v>21119381</v>
      </c>
      <c r="FK28" s="272">
        <v>712493</v>
      </c>
      <c r="FL28" s="272">
        <v>16123061</v>
      </c>
      <c r="FM28" s="272">
        <v>12842738</v>
      </c>
      <c r="FN28" s="460">
        <v>1.1859999999999999</v>
      </c>
      <c r="FO28" s="388">
        <v>94</v>
      </c>
      <c r="FP28" s="388">
        <v>29.7</v>
      </c>
      <c r="FQ28" s="388">
        <v>8.6999999999999993</v>
      </c>
      <c r="FR28" s="388">
        <v>17.7</v>
      </c>
      <c r="FS28" s="388">
        <v>16.2</v>
      </c>
      <c r="FT28" s="388">
        <v>4.9000000000000004</v>
      </c>
      <c r="FU28" s="388">
        <v>14.4</v>
      </c>
      <c r="FV28" s="384">
        <f t="shared" si="16"/>
        <v>8.9</v>
      </c>
      <c r="FW28" s="272">
        <v>26661982</v>
      </c>
      <c r="FX28" s="384">
        <f t="shared" si="17"/>
        <v>122.1</v>
      </c>
      <c r="FY28" s="272">
        <v>5388421</v>
      </c>
      <c r="FZ28" s="272">
        <v>1440257</v>
      </c>
      <c r="GA28" s="272">
        <v>1096876</v>
      </c>
      <c r="GB28" s="272">
        <v>2851288</v>
      </c>
      <c r="GC28" s="272">
        <v>0</v>
      </c>
      <c r="GD28" s="272">
        <v>2073329</v>
      </c>
      <c r="GE28" s="384">
        <f t="shared" si="18"/>
        <v>9.5</v>
      </c>
      <c r="GF28" s="388">
        <v>98.2</v>
      </c>
      <c r="GG28" s="388">
        <v>19.899999999999999</v>
      </c>
      <c r="GH28" s="388">
        <v>94.6</v>
      </c>
      <c r="GI28" s="272">
        <v>635</v>
      </c>
      <c r="GJ28" s="461" t="s">
        <v>646</v>
      </c>
      <c r="GK28" s="461">
        <v>12.33</v>
      </c>
      <c r="GL28" s="462">
        <v>20</v>
      </c>
      <c r="GM28" s="461" t="s">
        <v>646</v>
      </c>
      <c r="GN28" s="462">
        <v>17.329999999999998</v>
      </c>
      <c r="GO28" s="462">
        <v>40</v>
      </c>
      <c r="GP28" s="463">
        <v>8.9</v>
      </c>
      <c r="GQ28" s="463">
        <v>25</v>
      </c>
      <c r="GR28" s="463">
        <v>35</v>
      </c>
      <c r="GS28" s="464">
        <v>15.4</v>
      </c>
      <c r="GT28" s="463">
        <v>350</v>
      </c>
      <c r="GU28" s="394"/>
      <c r="GV28" s="394"/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</row>
    <row r="29" spans="2:230" x14ac:dyDescent="0.15">
      <c r="B29" s="89" t="s">
        <v>51</v>
      </c>
      <c r="C29" s="272">
        <v>10974763</v>
      </c>
      <c r="D29" s="455">
        <f t="shared" si="0"/>
        <v>3326907</v>
      </c>
      <c r="E29" s="272">
        <v>77487</v>
      </c>
      <c r="F29" s="456">
        <v>3249420</v>
      </c>
      <c r="G29" s="455">
        <f t="shared" si="1"/>
        <v>882078</v>
      </c>
      <c r="H29" s="272">
        <v>156660</v>
      </c>
      <c r="I29" s="272">
        <v>725418</v>
      </c>
      <c r="J29" s="272">
        <v>5439495</v>
      </c>
      <c r="K29" s="272">
        <v>2462859</v>
      </c>
      <c r="L29" s="272">
        <v>1412280</v>
      </c>
      <c r="M29" s="272">
        <v>1524566</v>
      </c>
      <c r="N29" s="272">
        <v>333860</v>
      </c>
      <c r="O29" s="272">
        <v>944367</v>
      </c>
      <c r="P29" s="272">
        <v>625510</v>
      </c>
      <c r="Q29" s="272">
        <v>318857</v>
      </c>
      <c r="R29" s="272">
        <v>183700</v>
      </c>
      <c r="S29" s="272">
        <v>0</v>
      </c>
      <c r="T29" s="455">
        <f t="shared" si="2"/>
        <v>705449</v>
      </c>
      <c r="U29" s="272">
        <v>54875</v>
      </c>
      <c r="V29" s="272">
        <v>21580</v>
      </c>
      <c r="W29" s="456">
        <v>7674</v>
      </c>
      <c r="X29" s="272">
        <v>518475</v>
      </c>
      <c r="Y29" s="272">
        <v>0</v>
      </c>
      <c r="Z29" s="272">
        <v>0</v>
      </c>
      <c r="AA29" s="272">
        <v>102845</v>
      </c>
      <c r="AB29" s="272">
        <v>156534</v>
      </c>
      <c r="AC29" s="272">
        <v>387685</v>
      </c>
      <c r="AD29" s="272">
        <v>322264</v>
      </c>
      <c r="AE29" s="272">
        <v>65421</v>
      </c>
      <c r="AF29" s="272">
        <v>9251</v>
      </c>
      <c r="AG29" s="272">
        <v>98134</v>
      </c>
      <c r="AH29" s="455">
        <f t="shared" si="3"/>
        <v>380111</v>
      </c>
      <c r="AI29" s="272">
        <v>332825</v>
      </c>
      <c r="AJ29" s="272">
        <v>47286</v>
      </c>
      <c r="AK29" s="272">
        <v>2151490</v>
      </c>
      <c r="AL29" s="455">
        <f t="shared" si="4"/>
        <v>1122693</v>
      </c>
      <c r="AM29" s="272">
        <v>1015634</v>
      </c>
      <c r="AN29" s="272">
        <v>107059</v>
      </c>
      <c r="AO29" s="272">
        <v>0</v>
      </c>
      <c r="AP29" s="272">
        <v>0</v>
      </c>
      <c r="AQ29" s="272">
        <v>168317</v>
      </c>
      <c r="AR29" s="272">
        <v>0</v>
      </c>
      <c r="AS29" s="272">
        <v>0</v>
      </c>
      <c r="AT29" s="272">
        <v>1420897</v>
      </c>
      <c r="AU29" s="272">
        <v>1061128</v>
      </c>
      <c r="AV29" s="272">
        <v>114347</v>
      </c>
      <c r="AW29" s="272">
        <v>0</v>
      </c>
      <c r="AX29" s="272">
        <v>359769</v>
      </c>
      <c r="AY29" s="272">
        <v>57012</v>
      </c>
      <c r="AZ29" s="272">
        <v>828172</v>
      </c>
      <c r="BA29" s="272">
        <v>768304</v>
      </c>
      <c r="BB29" s="272">
        <v>5920</v>
      </c>
      <c r="BC29" s="272">
        <v>771049</v>
      </c>
      <c r="BD29" s="272">
        <v>436386</v>
      </c>
      <c r="BE29" s="272">
        <v>0</v>
      </c>
      <c r="BF29" s="272">
        <v>300047</v>
      </c>
      <c r="BG29" s="456">
        <v>0</v>
      </c>
      <c r="BH29" s="272">
        <v>62607</v>
      </c>
      <c r="BI29" s="272">
        <v>36460</v>
      </c>
      <c r="BJ29" s="272">
        <v>319376</v>
      </c>
      <c r="BK29" s="272">
        <v>102715</v>
      </c>
      <c r="BL29" s="272">
        <v>0</v>
      </c>
      <c r="BM29" s="272">
        <v>0</v>
      </c>
      <c r="BN29" s="272">
        <v>2117600</v>
      </c>
      <c r="BO29" s="455">
        <f t="shared" si="5"/>
        <v>841100</v>
      </c>
      <c r="BP29" s="455">
        <f t="shared" si="6"/>
        <v>537500</v>
      </c>
      <c r="BQ29" s="272">
        <v>0</v>
      </c>
      <c r="BR29" s="272">
        <v>0</v>
      </c>
      <c r="BS29" s="272">
        <v>537500</v>
      </c>
      <c r="BT29" s="272">
        <v>739000</v>
      </c>
      <c r="BU29" s="272">
        <v>20572738</v>
      </c>
      <c r="BV29" s="272"/>
      <c r="BW29" s="272">
        <v>4735417</v>
      </c>
      <c r="BX29" s="272">
        <v>2821052</v>
      </c>
      <c r="BY29" s="272">
        <v>965673</v>
      </c>
      <c r="BZ29" s="272">
        <v>208237</v>
      </c>
      <c r="CA29" s="272">
        <v>3494067</v>
      </c>
      <c r="CB29" s="272">
        <v>584323</v>
      </c>
      <c r="CC29" s="272">
        <v>88992</v>
      </c>
      <c r="CD29" s="272">
        <v>1426052</v>
      </c>
      <c r="CE29" s="272">
        <v>1333235</v>
      </c>
      <c r="CF29" s="272">
        <v>0</v>
      </c>
      <c r="CG29" s="272">
        <v>61465</v>
      </c>
      <c r="CH29" s="272">
        <v>2666846</v>
      </c>
      <c r="CI29" s="272">
        <v>2152916</v>
      </c>
      <c r="CJ29" s="455">
        <f t="shared" si="7"/>
        <v>513930</v>
      </c>
      <c r="CK29" s="272">
        <v>2346781</v>
      </c>
      <c r="CL29" s="272">
        <v>1561521</v>
      </c>
      <c r="CM29" s="272">
        <v>150070</v>
      </c>
      <c r="CN29" s="272">
        <v>392816</v>
      </c>
      <c r="CO29" s="272">
        <v>15081</v>
      </c>
      <c r="CP29" s="272">
        <v>2184128</v>
      </c>
      <c r="CQ29" s="272">
        <v>1254348</v>
      </c>
      <c r="CR29" s="272">
        <v>251852</v>
      </c>
      <c r="CS29" s="272">
        <v>208342</v>
      </c>
      <c r="CT29" s="455">
        <f t="shared" si="8"/>
        <v>1965</v>
      </c>
      <c r="CU29" s="272">
        <v>331</v>
      </c>
      <c r="CV29" s="272">
        <v>1634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2211820</v>
      </c>
      <c r="DD29" s="272">
        <v>332903</v>
      </c>
      <c r="DE29" s="272">
        <v>1315343</v>
      </c>
      <c r="DF29" s="26">
        <v>214151</v>
      </c>
      <c r="DG29" s="27">
        <v>349423</v>
      </c>
      <c r="DH29" s="272">
        <v>0</v>
      </c>
      <c r="DI29" s="272">
        <v>17272</v>
      </c>
      <c r="DJ29" s="272">
        <v>2</v>
      </c>
      <c r="DK29" s="272">
        <v>0</v>
      </c>
      <c r="DL29" s="272">
        <v>17270</v>
      </c>
      <c r="DM29" s="272">
        <v>4100</v>
      </c>
      <c r="DN29" s="272">
        <v>0</v>
      </c>
      <c r="DO29" s="272">
        <v>0</v>
      </c>
      <c r="DP29" s="272">
        <v>0</v>
      </c>
      <c r="DQ29" s="272">
        <v>95750</v>
      </c>
      <c r="DR29" s="272">
        <v>0</v>
      </c>
      <c r="DS29" s="272">
        <v>0</v>
      </c>
      <c r="DT29" s="272">
        <v>2753798</v>
      </c>
      <c r="DU29" s="272">
        <v>1202115</v>
      </c>
      <c r="DV29" s="455">
        <f t="shared" si="11"/>
        <v>0</v>
      </c>
      <c r="DW29" s="272">
        <v>0</v>
      </c>
      <c r="DX29" s="272">
        <v>499025</v>
      </c>
      <c r="DY29" s="272">
        <v>0</v>
      </c>
      <c r="DZ29" s="272">
        <v>495482</v>
      </c>
      <c r="EA29" s="272">
        <v>43126</v>
      </c>
      <c r="EB29" s="272">
        <v>514050</v>
      </c>
      <c r="EC29" s="272">
        <v>0</v>
      </c>
      <c r="ED29" s="272">
        <v>20525060</v>
      </c>
      <c r="EE29" s="89"/>
      <c r="EF29" s="272">
        <v>47678</v>
      </c>
      <c r="EG29" s="272">
        <v>45213</v>
      </c>
      <c r="EH29" s="272">
        <v>2465</v>
      </c>
      <c r="EI29" s="272">
        <v>-33995</v>
      </c>
      <c r="EJ29" s="272">
        <v>-470379</v>
      </c>
      <c r="EK29" s="89"/>
      <c r="EL29" s="272"/>
      <c r="EM29" s="272">
        <v>60014</v>
      </c>
      <c r="EN29" s="272">
        <v>662396</v>
      </c>
      <c r="EO29" s="272">
        <v>827773</v>
      </c>
      <c r="EP29" s="455">
        <f t="shared" si="12"/>
        <v>387756</v>
      </c>
      <c r="EQ29" s="272">
        <v>12417382</v>
      </c>
      <c r="ER29" s="272">
        <v>-2406174</v>
      </c>
      <c r="ES29" s="272">
        <v>3844053</v>
      </c>
      <c r="ET29" s="272">
        <v>2714344</v>
      </c>
      <c r="EU29" s="272">
        <v>1027124</v>
      </c>
      <c r="EV29" s="272">
        <v>2637252</v>
      </c>
      <c r="EW29" s="455">
        <f t="shared" si="13"/>
        <v>794419</v>
      </c>
      <c r="EX29" s="272">
        <v>794419</v>
      </c>
      <c r="EY29" s="272">
        <v>44734</v>
      </c>
      <c r="EZ29" s="272">
        <v>726494</v>
      </c>
      <c r="FA29" s="272">
        <v>0</v>
      </c>
      <c r="FB29" s="272">
        <v>0</v>
      </c>
      <c r="FC29" s="272">
        <v>1892796</v>
      </c>
      <c r="FD29" s="272">
        <v>2049811</v>
      </c>
      <c r="FE29" s="272">
        <v>1254348</v>
      </c>
      <c r="FF29" s="272">
        <v>2513211</v>
      </c>
      <c r="FG29" s="455">
        <f t="shared" si="14"/>
        <v>17212</v>
      </c>
      <c r="FH29" s="272">
        <v>14775878</v>
      </c>
      <c r="FI29" s="459">
        <f t="shared" si="15"/>
        <v>0</v>
      </c>
      <c r="FJ29" s="272">
        <v>12151651</v>
      </c>
      <c r="FK29" s="272">
        <v>537500</v>
      </c>
      <c r="FL29" s="272">
        <v>9061077</v>
      </c>
      <c r="FM29" s="272">
        <v>9387457</v>
      </c>
      <c r="FN29" s="460">
        <v>0.97199999999999998</v>
      </c>
      <c r="FO29" s="388">
        <v>108.2</v>
      </c>
      <c r="FP29" s="388">
        <v>31.2</v>
      </c>
      <c r="FQ29" s="388">
        <v>8.5</v>
      </c>
      <c r="FR29" s="388">
        <v>21.8</v>
      </c>
      <c r="FS29" s="388">
        <v>15</v>
      </c>
      <c r="FT29" s="388">
        <v>13.7</v>
      </c>
      <c r="FU29" s="388">
        <v>18</v>
      </c>
      <c r="FV29" s="384">
        <f t="shared" si="16"/>
        <v>14.8</v>
      </c>
      <c r="FW29" s="272">
        <v>28558350</v>
      </c>
      <c r="FX29" s="384">
        <f t="shared" si="17"/>
        <v>225.1</v>
      </c>
      <c r="FY29" s="272">
        <v>4543539</v>
      </c>
      <c r="FZ29" s="272">
        <v>10455</v>
      </c>
      <c r="GA29" s="272">
        <v>0</v>
      </c>
      <c r="GB29" s="272">
        <v>4533084</v>
      </c>
      <c r="GC29" s="272">
        <v>4200000</v>
      </c>
      <c r="GD29" s="272">
        <v>11942415</v>
      </c>
      <c r="GE29" s="384">
        <f t="shared" si="18"/>
        <v>94.1</v>
      </c>
      <c r="GF29" s="388">
        <v>98.4</v>
      </c>
      <c r="GG29" s="388">
        <v>20.7</v>
      </c>
      <c r="GH29" s="388">
        <v>94.2</v>
      </c>
      <c r="GI29" s="272">
        <v>407</v>
      </c>
      <c r="GJ29" s="461" t="s">
        <v>646</v>
      </c>
      <c r="GK29" s="461">
        <v>12.98</v>
      </c>
      <c r="GL29" s="462">
        <v>20</v>
      </c>
      <c r="GM29" s="461" t="s">
        <v>646</v>
      </c>
      <c r="GN29" s="462">
        <v>17.98</v>
      </c>
      <c r="GO29" s="462">
        <v>40</v>
      </c>
      <c r="GP29" s="463">
        <v>14.8</v>
      </c>
      <c r="GQ29" s="463">
        <v>25</v>
      </c>
      <c r="GR29" s="463">
        <v>35</v>
      </c>
      <c r="GS29" s="464">
        <v>300.39999999999998</v>
      </c>
      <c r="GT29" s="463">
        <v>350</v>
      </c>
      <c r="GU29" s="394"/>
      <c r="GV29" s="394"/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</row>
    <row r="30" spans="2:230" x14ac:dyDescent="0.15">
      <c r="B30" s="89" t="s">
        <v>53</v>
      </c>
      <c r="C30" s="272">
        <v>8342829</v>
      </c>
      <c r="D30" s="455">
        <f t="shared" si="0"/>
        <v>3577086</v>
      </c>
      <c r="E30" s="272">
        <v>83819</v>
      </c>
      <c r="F30" s="456">
        <v>3493267</v>
      </c>
      <c r="G30" s="455">
        <f t="shared" si="1"/>
        <v>493603</v>
      </c>
      <c r="H30" s="272">
        <v>140900</v>
      </c>
      <c r="I30" s="272">
        <v>352703</v>
      </c>
      <c r="J30" s="272">
        <v>3112090</v>
      </c>
      <c r="K30" s="272">
        <v>1501541</v>
      </c>
      <c r="L30" s="272">
        <v>1308520</v>
      </c>
      <c r="M30" s="272">
        <v>271260</v>
      </c>
      <c r="N30" s="272">
        <v>347553</v>
      </c>
      <c r="O30" s="272">
        <v>753046</v>
      </c>
      <c r="P30" s="272">
        <v>456797</v>
      </c>
      <c r="Q30" s="272">
        <v>296249</v>
      </c>
      <c r="R30" s="272">
        <v>129991</v>
      </c>
      <c r="S30" s="272">
        <v>0</v>
      </c>
      <c r="T30" s="455">
        <f t="shared" si="2"/>
        <v>736365</v>
      </c>
      <c r="U30" s="272">
        <v>62270</v>
      </c>
      <c r="V30" s="272">
        <v>24499</v>
      </c>
      <c r="W30" s="456">
        <v>8687</v>
      </c>
      <c r="X30" s="272">
        <v>532936</v>
      </c>
      <c r="Y30" s="272">
        <v>0</v>
      </c>
      <c r="Z30" s="272">
        <v>0</v>
      </c>
      <c r="AA30" s="272">
        <v>107973</v>
      </c>
      <c r="AB30" s="272">
        <v>148910</v>
      </c>
      <c r="AC30" s="272">
        <v>3418274</v>
      </c>
      <c r="AD30" s="272">
        <v>3217273</v>
      </c>
      <c r="AE30" s="272">
        <v>201001</v>
      </c>
      <c r="AF30" s="272">
        <v>12094</v>
      </c>
      <c r="AG30" s="272">
        <v>93430</v>
      </c>
      <c r="AH30" s="455">
        <f t="shared" si="3"/>
        <v>460414</v>
      </c>
      <c r="AI30" s="272">
        <v>409102</v>
      </c>
      <c r="AJ30" s="272">
        <v>51312</v>
      </c>
      <c r="AK30" s="272">
        <v>2565495</v>
      </c>
      <c r="AL30" s="455">
        <f t="shared" si="4"/>
        <v>1672472</v>
      </c>
      <c r="AM30" s="272">
        <v>1574319</v>
      </c>
      <c r="AN30" s="272">
        <v>98153</v>
      </c>
      <c r="AO30" s="272">
        <v>0</v>
      </c>
      <c r="AP30" s="272">
        <v>0</v>
      </c>
      <c r="AQ30" s="272">
        <v>30304</v>
      </c>
      <c r="AR30" s="272">
        <v>0</v>
      </c>
      <c r="AS30" s="272">
        <v>0</v>
      </c>
      <c r="AT30" s="272">
        <v>1001192</v>
      </c>
      <c r="AU30" s="272">
        <v>493704</v>
      </c>
      <c r="AV30" s="272">
        <v>65459</v>
      </c>
      <c r="AW30" s="272">
        <v>0</v>
      </c>
      <c r="AX30" s="272">
        <v>507488</v>
      </c>
      <c r="AY30" s="272">
        <v>3306</v>
      </c>
      <c r="AZ30" s="272">
        <v>19302</v>
      </c>
      <c r="BA30" s="272">
        <v>8114</v>
      </c>
      <c r="BB30" s="272">
        <v>9788</v>
      </c>
      <c r="BC30" s="272">
        <v>34906</v>
      </c>
      <c r="BD30" s="272">
        <v>0</v>
      </c>
      <c r="BE30" s="272">
        <v>0</v>
      </c>
      <c r="BF30" s="272">
        <v>34800</v>
      </c>
      <c r="BG30" s="272">
        <v>0</v>
      </c>
      <c r="BH30" s="272">
        <v>0</v>
      </c>
      <c r="BI30" s="272">
        <v>0</v>
      </c>
      <c r="BJ30" s="272">
        <v>227225</v>
      </c>
      <c r="BK30" s="272">
        <v>0</v>
      </c>
      <c r="BL30" s="272">
        <v>0</v>
      </c>
      <c r="BM30" s="272">
        <v>0</v>
      </c>
      <c r="BN30" s="272">
        <v>1027900</v>
      </c>
      <c r="BO30" s="455">
        <f t="shared" si="5"/>
        <v>96100</v>
      </c>
      <c r="BP30" s="455">
        <f t="shared" si="6"/>
        <v>561800</v>
      </c>
      <c r="BQ30" s="272">
        <v>0</v>
      </c>
      <c r="BR30" s="272">
        <v>0</v>
      </c>
      <c r="BS30" s="272">
        <v>561800</v>
      </c>
      <c r="BT30" s="272">
        <v>370000</v>
      </c>
      <c r="BU30" s="272">
        <v>18228115</v>
      </c>
      <c r="BV30" s="272"/>
      <c r="BW30" s="272">
        <v>4497302</v>
      </c>
      <c r="BX30" s="272">
        <v>2835292</v>
      </c>
      <c r="BY30" s="272">
        <v>620924</v>
      </c>
      <c r="BZ30" s="272">
        <v>296735</v>
      </c>
      <c r="CA30" s="272">
        <v>4533181</v>
      </c>
      <c r="CB30" s="272">
        <v>837142</v>
      </c>
      <c r="CC30" s="272">
        <v>115528</v>
      </c>
      <c r="CD30" s="272">
        <v>1420884</v>
      </c>
      <c r="CE30" s="272">
        <v>2103103</v>
      </c>
      <c r="CF30" s="272">
        <v>0</v>
      </c>
      <c r="CG30" s="272">
        <v>56524</v>
      </c>
      <c r="CH30" s="272">
        <v>1410159</v>
      </c>
      <c r="CI30" s="272">
        <v>1167325</v>
      </c>
      <c r="CJ30" s="455">
        <f t="shared" si="7"/>
        <v>242834</v>
      </c>
      <c r="CK30" s="272">
        <v>1684105</v>
      </c>
      <c r="CL30" s="272">
        <v>822549</v>
      </c>
      <c r="CM30" s="272">
        <v>248148</v>
      </c>
      <c r="CN30" s="272">
        <v>297128</v>
      </c>
      <c r="CO30" s="272">
        <v>65910</v>
      </c>
      <c r="CP30" s="272">
        <v>2477052</v>
      </c>
      <c r="CQ30" s="272">
        <v>1720480</v>
      </c>
      <c r="CR30" s="272">
        <v>227008</v>
      </c>
      <c r="CS30" s="272">
        <v>227008</v>
      </c>
      <c r="CT30" s="455">
        <f t="shared" si="8"/>
        <v>186258</v>
      </c>
      <c r="CU30" s="272">
        <v>154566</v>
      </c>
      <c r="CV30" s="272">
        <v>31692</v>
      </c>
      <c r="CW30" s="455">
        <f t="shared" si="9"/>
        <v>175994</v>
      </c>
      <c r="CX30" s="272">
        <v>149159</v>
      </c>
      <c r="CY30" s="272">
        <v>26835</v>
      </c>
      <c r="CZ30" s="455">
        <f t="shared" si="10"/>
        <v>0</v>
      </c>
      <c r="DA30" s="272">
        <v>0</v>
      </c>
      <c r="DB30" s="272">
        <v>0</v>
      </c>
      <c r="DC30" s="272">
        <v>329714</v>
      </c>
      <c r="DD30" s="272">
        <v>53216</v>
      </c>
      <c r="DE30" s="272">
        <v>276498</v>
      </c>
      <c r="DF30" s="26">
        <v>0</v>
      </c>
      <c r="DG30" s="27">
        <v>0</v>
      </c>
      <c r="DH30" s="272">
        <v>0</v>
      </c>
      <c r="DI30" s="272">
        <v>32307</v>
      </c>
      <c r="DJ30" s="272">
        <v>1477</v>
      </c>
      <c r="DK30" s="272">
        <v>10</v>
      </c>
      <c r="DL30" s="272">
        <v>30820</v>
      </c>
      <c r="DM30" s="272">
        <v>4200</v>
      </c>
      <c r="DN30" s="272">
        <v>0</v>
      </c>
      <c r="DO30" s="272">
        <v>0</v>
      </c>
      <c r="DP30" s="272">
        <v>0</v>
      </c>
      <c r="DQ30" s="272">
        <v>0</v>
      </c>
      <c r="DR30" s="272">
        <v>0</v>
      </c>
      <c r="DS30" s="272">
        <v>0</v>
      </c>
      <c r="DT30" s="272">
        <v>2810054</v>
      </c>
      <c r="DU30" s="272">
        <v>1190000</v>
      </c>
      <c r="DV30" s="455">
        <f t="shared" si="11"/>
        <v>0</v>
      </c>
      <c r="DW30" s="272">
        <v>0</v>
      </c>
      <c r="DX30" s="272">
        <v>467596</v>
      </c>
      <c r="DY30" s="272">
        <v>0</v>
      </c>
      <c r="DZ30" s="272">
        <v>507574</v>
      </c>
      <c r="EA30" s="272">
        <v>54634</v>
      </c>
      <c r="EB30" s="272">
        <v>590247</v>
      </c>
      <c r="EC30" s="272">
        <v>539080</v>
      </c>
      <c r="ED30" s="272">
        <v>18383064</v>
      </c>
      <c r="EE30" s="89"/>
      <c r="EF30" s="272">
        <v>-154949</v>
      </c>
      <c r="EG30" s="272">
        <v>28144</v>
      </c>
      <c r="EH30" s="272">
        <v>-183093</v>
      </c>
      <c r="EI30" s="272">
        <v>373172</v>
      </c>
      <c r="EJ30" s="272">
        <v>374983</v>
      </c>
      <c r="EK30" s="89"/>
      <c r="EL30" s="272"/>
      <c r="EM30" s="272">
        <v>66052</v>
      </c>
      <c r="EN30" s="272">
        <v>106</v>
      </c>
      <c r="EO30" s="272">
        <v>9992</v>
      </c>
      <c r="EP30" s="455">
        <f t="shared" si="12"/>
        <v>176665</v>
      </c>
      <c r="EQ30" s="272">
        <v>12788463</v>
      </c>
      <c r="ER30" s="272">
        <v>-736469</v>
      </c>
      <c r="ES30" s="272">
        <v>3702354</v>
      </c>
      <c r="ET30" s="272">
        <v>2519898</v>
      </c>
      <c r="EU30" s="272">
        <v>1566439</v>
      </c>
      <c r="EV30" s="272">
        <v>1387400</v>
      </c>
      <c r="EW30" s="455">
        <f t="shared" si="13"/>
        <v>132745</v>
      </c>
      <c r="EX30" s="272">
        <v>132745</v>
      </c>
      <c r="EY30" s="272">
        <v>1712</v>
      </c>
      <c r="EZ30" s="272">
        <v>131033</v>
      </c>
      <c r="FA30" s="272">
        <v>0</v>
      </c>
      <c r="FB30" s="272">
        <v>0</v>
      </c>
      <c r="FC30" s="272">
        <v>1381467</v>
      </c>
      <c r="FD30" s="272">
        <v>2389113</v>
      </c>
      <c r="FE30" s="272">
        <v>1720480</v>
      </c>
      <c r="FF30" s="272">
        <v>2514873</v>
      </c>
      <c r="FG30" s="455">
        <f t="shared" si="14"/>
        <v>605490</v>
      </c>
      <c r="FH30" s="272">
        <v>13679881</v>
      </c>
      <c r="FI30" s="459">
        <f t="shared" si="15"/>
        <v>-1.5</v>
      </c>
      <c r="FJ30" s="272">
        <v>11901906</v>
      </c>
      <c r="FK30" s="272">
        <v>561866</v>
      </c>
      <c r="FL30" s="272">
        <v>6684696</v>
      </c>
      <c r="FM30" s="272">
        <v>9906313</v>
      </c>
      <c r="FN30" s="460">
        <v>0.68899999999999995</v>
      </c>
      <c r="FO30" s="388">
        <v>97.1</v>
      </c>
      <c r="FP30" s="388">
        <v>29.4</v>
      </c>
      <c r="FQ30" s="388">
        <v>12.5</v>
      </c>
      <c r="FR30" s="388">
        <v>11.1</v>
      </c>
      <c r="FS30" s="388">
        <v>9.1999999999999993</v>
      </c>
      <c r="FT30" s="388">
        <v>17.100000000000001</v>
      </c>
      <c r="FU30" s="388">
        <v>17.2</v>
      </c>
      <c r="FV30" s="384">
        <f t="shared" si="16"/>
        <v>7</v>
      </c>
      <c r="FW30" s="272">
        <v>11753344</v>
      </c>
      <c r="FX30" s="384">
        <f t="shared" si="17"/>
        <v>94.3</v>
      </c>
      <c r="FY30" s="272">
        <v>950234</v>
      </c>
      <c r="FZ30" s="272">
        <v>151307</v>
      </c>
      <c r="GA30" s="272">
        <v>2466</v>
      </c>
      <c r="GB30" s="272">
        <v>796461</v>
      </c>
      <c r="GC30" s="272">
        <v>0</v>
      </c>
      <c r="GD30" s="272">
        <v>592965</v>
      </c>
      <c r="GE30" s="384">
        <f t="shared" si="18"/>
        <v>4.8</v>
      </c>
      <c r="GF30" s="388">
        <v>98</v>
      </c>
      <c r="GG30" s="388">
        <v>25.8</v>
      </c>
      <c r="GH30" s="388">
        <v>94</v>
      </c>
      <c r="GI30" s="272">
        <v>425</v>
      </c>
      <c r="GJ30" s="461">
        <v>1.46</v>
      </c>
      <c r="GK30" s="461">
        <v>13</v>
      </c>
      <c r="GL30" s="462">
        <v>20</v>
      </c>
      <c r="GM30" s="461" t="s">
        <v>646</v>
      </c>
      <c r="GN30" s="462">
        <v>18</v>
      </c>
      <c r="GO30" s="462">
        <v>40</v>
      </c>
      <c r="GP30" s="463">
        <v>7</v>
      </c>
      <c r="GQ30" s="463">
        <v>25</v>
      </c>
      <c r="GR30" s="463">
        <v>35</v>
      </c>
      <c r="GS30" s="464">
        <v>71</v>
      </c>
      <c r="GT30" s="463">
        <v>350</v>
      </c>
      <c r="GU30" s="394"/>
      <c r="GV30" s="394"/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</row>
    <row r="31" spans="2:230" x14ac:dyDescent="0.15">
      <c r="B31" s="89" t="s">
        <v>55</v>
      </c>
      <c r="C31" s="272">
        <v>79765759</v>
      </c>
      <c r="D31" s="455">
        <f t="shared" si="0"/>
        <v>25374004</v>
      </c>
      <c r="E31" s="272">
        <v>636702</v>
      </c>
      <c r="F31" s="456">
        <v>24737302</v>
      </c>
      <c r="G31" s="455">
        <f t="shared" si="1"/>
        <v>8098052</v>
      </c>
      <c r="H31" s="272">
        <v>1551983</v>
      </c>
      <c r="I31" s="272">
        <v>6546069</v>
      </c>
      <c r="J31" s="272">
        <v>32936228</v>
      </c>
      <c r="K31" s="272">
        <v>16022430</v>
      </c>
      <c r="L31" s="272">
        <v>12767777</v>
      </c>
      <c r="M31" s="272">
        <v>3709794</v>
      </c>
      <c r="N31" s="272">
        <v>3724234</v>
      </c>
      <c r="O31" s="272">
        <v>7039659</v>
      </c>
      <c r="P31" s="272">
        <v>4206892</v>
      </c>
      <c r="Q31" s="272">
        <v>2832767</v>
      </c>
      <c r="R31" s="272">
        <v>1004147</v>
      </c>
      <c r="S31" s="272">
        <v>0</v>
      </c>
      <c r="T31" s="455">
        <f t="shared" si="2"/>
        <v>6471617</v>
      </c>
      <c r="U31" s="272">
        <v>414198</v>
      </c>
      <c r="V31" s="272">
        <v>162892</v>
      </c>
      <c r="W31" s="456">
        <v>57921</v>
      </c>
      <c r="X31" s="272">
        <v>5002541</v>
      </c>
      <c r="Y31" s="272">
        <v>0</v>
      </c>
      <c r="Z31" s="272">
        <v>0</v>
      </c>
      <c r="AA31" s="272">
        <v>834065</v>
      </c>
      <c r="AB31" s="272">
        <v>1156622</v>
      </c>
      <c r="AC31" s="272">
        <v>17496784</v>
      </c>
      <c r="AD31" s="272">
        <v>16682029</v>
      </c>
      <c r="AE31" s="272">
        <v>814755</v>
      </c>
      <c r="AF31" s="272">
        <v>95488</v>
      </c>
      <c r="AG31" s="272">
        <v>2954282</v>
      </c>
      <c r="AH31" s="455">
        <f t="shared" si="3"/>
        <v>3262495</v>
      </c>
      <c r="AI31" s="272">
        <v>2714148</v>
      </c>
      <c r="AJ31" s="272">
        <v>548347</v>
      </c>
      <c r="AK31" s="272">
        <v>29633434</v>
      </c>
      <c r="AL31" s="455">
        <f t="shared" si="4"/>
        <v>21707800</v>
      </c>
      <c r="AM31" s="272">
        <v>20288430</v>
      </c>
      <c r="AN31" s="272">
        <v>1419370</v>
      </c>
      <c r="AO31" s="272">
        <v>0</v>
      </c>
      <c r="AP31" s="272">
        <v>0</v>
      </c>
      <c r="AQ31" s="272">
        <v>689350</v>
      </c>
      <c r="AR31" s="272">
        <v>0</v>
      </c>
      <c r="AS31" s="272">
        <v>0</v>
      </c>
      <c r="AT31" s="272">
        <v>7596020</v>
      </c>
      <c r="AU31" s="272">
        <v>2692546</v>
      </c>
      <c r="AV31" s="272">
        <v>0</v>
      </c>
      <c r="AW31" s="272">
        <v>15433</v>
      </c>
      <c r="AX31" s="272">
        <v>4903474</v>
      </c>
      <c r="AY31" s="272">
        <v>26238</v>
      </c>
      <c r="AZ31" s="272">
        <v>1399606</v>
      </c>
      <c r="BA31" s="272">
        <v>374328</v>
      </c>
      <c r="BB31" s="272">
        <v>10509</v>
      </c>
      <c r="BC31" s="272">
        <v>2633751</v>
      </c>
      <c r="BD31" s="272">
        <v>0</v>
      </c>
      <c r="BE31" s="272">
        <v>432704</v>
      </c>
      <c r="BF31" s="272">
        <v>1394615</v>
      </c>
      <c r="BG31" s="272">
        <v>0</v>
      </c>
      <c r="BH31" s="272">
        <v>1048018</v>
      </c>
      <c r="BI31" s="272">
        <v>981355</v>
      </c>
      <c r="BJ31" s="272">
        <v>7082137</v>
      </c>
      <c r="BK31" s="272">
        <v>2116527</v>
      </c>
      <c r="BL31" s="272">
        <v>0</v>
      </c>
      <c r="BM31" s="272">
        <v>95231</v>
      </c>
      <c r="BN31" s="272">
        <v>12430300</v>
      </c>
      <c r="BO31" s="455">
        <f t="shared" si="5"/>
        <v>5029100</v>
      </c>
      <c r="BP31" s="455">
        <f t="shared" si="6"/>
        <v>4901200</v>
      </c>
      <c r="BQ31" s="272">
        <v>0</v>
      </c>
      <c r="BR31" s="272">
        <v>1225600</v>
      </c>
      <c r="BS31" s="272">
        <v>3675600</v>
      </c>
      <c r="BT31" s="272">
        <v>2500000</v>
      </c>
      <c r="BU31" s="272">
        <v>174040969</v>
      </c>
      <c r="BV31" s="272"/>
      <c r="BW31" s="272">
        <v>35096578</v>
      </c>
      <c r="BX31" s="272">
        <v>22547653</v>
      </c>
      <c r="BY31" s="272">
        <v>6096283</v>
      </c>
      <c r="BZ31" s="272">
        <v>2021333</v>
      </c>
      <c r="CA31" s="272">
        <v>49770612</v>
      </c>
      <c r="CB31" s="272">
        <v>6097871</v>
      </c>
      <c r="CC31" s="272">
        <v>997252</v>
      </c>
      <c r="CD31" s="272">
        <v>12931821</v>
      </c>
      <c r="CE31" s="272">
        <v>27095385</v>
      </c>
      <c r="CF31" s="272">
        <v>2126987</v>
      </c>
      <c r="CG31" s="272">
        <v>521296</v>
      </c>
      <c r="CH31" s="272">
        <v>17674878</v>
      </c>
      <c r="CI31" s="272">
        <v>14712151</v>
      </c>
      <c r="CJ31" s="455">
        <f t="shared" si="7"/>
        <v>2962727</v>
      </c>
      <c r="CK31" s="272">
        <v>13654046</v>
      </c>
      <c r="CL31" s="272">
        <v>8498564</v>
      </c>
      <c r="CM31" s="272">
        <v>451906</v>
      </c>
      <c r="CN31" s="272">
        <v>2652280</v>
      </c>
      <c r="CO31" s="272">
        <v>1383125</v>
      </c>
      <c r="CP31" s="272">
        <v>21907071</v>
      </c>
      <c r="CQ31" s="272">
        <v>3750078</v>
      </c>
      <c r="CR31" s="272">
        <v>4250546</v>
      </c>
      <c r="CS31" s="272">
        <v>3327296</v>
      </c>
      <c r="CT31" s="455">
        <f t="shared" si="8"/>
        <v>12008193</v>
      </c>
      <c r="CU31" s="272">
        <v>10003808</v>
      </c>
      <c r="CV31" s="272">
        <v>2004385</v>
      </c>
      <c r="CW31" s="455">
        <f t="shared" si="9"/>
        <v>1128953</v>
      </c>
      <c r="CX31" s="272">
        <v>916568</v>
      </c>
      <c r="CY31" s="272">
        <v>212385</v>
      </c>
      <c r="CZ31" s="455">
        <f t="shared" si="10"/>
        <v>10771000</v>
      </c>
      <c r="DA31" s="272">
        <v>8979000</v>
      </c>
      <c r="DB31" s="272">
        <v>1792000</v>
      </c>
      <c r="DC31" s="272">
        <v>9214832</v>
      </c>
      <c r="DD31" s="272">
        <v>1215730</v>
      </c>
      <c r="DE31" s="272">
        <v>6994433</v>
      </c>
      <c r="DF31" s="26">
        <v>786983</v>
      </c>
      <c r="DG31" s="27">
        <v>217686</v>
      </c>
      <c r="DH31" s="272">
        <v>0</v>
      </c>
      <c r="DI31" s="272">
        <v>5904672</v>
      </c>
      <c r="DJ31" s="272">
        <v>1089330</v>
      </c>
      <c r="DK31" s="272">
        <v>5000</v>
      </c>
      <c r="DL31" s="272">
        <v>4810342</v>
      </c>
      <c r="DM31" s="272">
        <v>763347</v>
      </c>
      <c r="DN31" s="272">
        <v>671047</v>
      </c>
      <c r="DO31" s="272">
        <v>0</v>
      </c>
      <c r="DP31" s="272">
        <v>671047</v>
      </c>
      <c r="DQ31" s="272">
        <v>3089402</v>
      </c>
      <c r="DR31" s="272">
        <v>0</v>
      </c>
      <c r="DS31" s="272">
        <v>0</v>
      </c>
      <c r="DT31" s="272">
        <v>14041734</v>
      </c>
      <c r="DU31" s="272">
        <v>0</v>
      </c>
      <c r="DV31" s="455">
        <f t="shared" si="11"/>
        <v>0</v>
      </c>
      <c r="DW31" s="272">
        <v>0</v>
      </c>
      <c r="DX31" s="272">
        <v>3497036</v>
      </c>
      <c r="DY31" s="272">
        <v>0</v>
      </c>
      <c r="DZ31" s="272">
        <v>5834000</v>
      </c>
      <c r="EA31" s="272">
        <v>329685</v>
      </c>
      <c r="EB31" s="272">
        <v>3956085</v>
      </c>
      <c r="EC31" s="272">
        <v>0</v>
      </c>
      <c r="ED31" s="272">
        <v>172500297</v>
      </c>
      <c r="EE31" s="89"/>
      <c r="EF31" s="272">
        <v>1540672</v>
      </c>
      <c r="EG31" s="272">
        <v>212483</v>
      </c>
      <c r="EH31" s="272">
        <v>1328189</v>
      </c>
      <c r="EI31" s="272">
        <v>346834</v>
      </c>
      <c r="EJ31" s="272">
        <v>1993808</v>
      </c>
      <c r="EK31" s="89"/>
      <c r="EL31" s="272"/>
      <c r="EM31" s="272">
        <v>488613</v>
      </c>
      <c r="EN31" s="272">
        <v>886314</v>
      </c>
      <c r="EO31" s="272">
        <v>29362</v>
      </c>
      <c r="EP31" s="455">
        <f t="shared" si="12"/>
        <v>7049180</v>
      </c>
      <c r="EQ31" s="272">
        <v>105990417</v>
      </c>
      <c r="ER31" s="272">
        <v>-12770568</v>
      </c>
      <c r="ES31" s="272">
        <v>30585294</v>
      </c>
      <c r="ET31" s="272">
        <v>20678949</v>
      </c>
      <c r="EU31" s="272">
        <v>15772899</v>
      </c>
      <c r="EV31" s="272">
        <v>17595546</v>
      </c>
      <c r="EW31" s="455">
        <f t="shared" si="13"/>
        <v>3029474</v>
      </c>
      <c r="EX31" s="272">
        <v>3029474</v>
      </c>
      <c r="EY31" s="272">
        <v>106334</v>
      </c>
      <c r="EZ31" s="272">
        <v>2922663</v>
      </c>
      <c r="FA31" s="272">
        <v>0</v>
      </c>
      <c r="FB31" s="272">
        <v>0</v>
      </c>
      <c r="FC31" s="272">
        <v>11011825</v>
      </c>
      <c r="FD31" s="272">
        <v>21272264</v>
      </c>
      <c r="FE31" s="272">
        <v>3750078</v>
      </c>
      <c r="FF31" s="272">
        <v>11483355</v>
      </c>
      <c r="FG31" s="455">
        <f t="shared" si="14"/>
        <v>6469656</v>
      </c>
      <c r="FH31" s="272">
        <v>117220313</v>
      </c>
      <c r="FI31" s="459">
        <f t="shared" si="15"/>
        <v>1.3</v>
      </c>
      <c r="FJ31" s="272">
        <v>98491446</v>
      </c>
      <c r="FK31" s="272">
        <v>3675637</v>
      </c>
      <c r="FL31" s="272">
        <v>62669814</v>
      </c>
      <c r="FM31" s="272">
        <v>79198936</v>
      </c>
      <c r="FN31" s="460">
        <v>0.79400000000000004</v>
      </c>
      <c r="FO31" s="388">
        <v>98.6</v>
      </c>
      <c r="FP31" s="388">
        <v>29.5</v>
      </c>
      <c r="FQ31" s="388">
        <v>15.2</v>
      </c>
      <c r="FR31" s="388">
        <v>16.3</v>
      </c>
      <c r="FS31" s="388">
        <v>9.6999999999999993</v>
      </c>
      <c r="FT31" s="388">
        <v>18.8</v>
      </c>
      <c r="FU31" s="388">
        <v>8</v>
      </c>
      <c r="FV31" s="384">
        <f t="shared" si="16"/>
        <v>8</v>
      </c>
      <c r="FW31" s="272">
        <v>163706447</v>
      </c>
      <c r="FX31" s="384">
        <f t="shared" si="17"/>
        <v>160.19999999999999</v>
      </c>
      <c r="FY31" s="272">
        <v>12234820</v>
      </c>
      <c r="FZ31" s="272">
        <v>5244630</v>
      </c>
      <c r="GA31" s="272">
        <v>104096</v>
      </c>
      <c r="GB31" s="272">
        <v>6886094</v>
      </c>
      <c r="GC31" s="272">
        <v>0</v>
      </c>
      <c r="GD31" s="272">
        <v>13465274</v>
      </c>
      <c r="GE31" s="384">
        <f t="shared" si="18"/>
        <v>13.2</v>
      </c>
      <c r="GF31" s="388">
        <v>97.1</v>
      </c>
      <c r="GG31" s="388">
        <v>32.6</v>
      </c>
      <c r="GH31" s="388">
        <v>93.1</v>
      </c>
      <c r="GI31" s="272">
        <v>2929</v>
      </c>
      <c r="GJ31" s="461" t="s">
        <v>646</v>
      </c>
      <c r="GK31" s="461">
        <v>11.25</v>
      </c>
      <c r="GL31" s="462">
        <v>20</v>
      </c>
      <c r="GM31" s="461" t="s">
        <v>646</v>
      </c>
      <c r="GN31" s="462">
        <v>16.25</v>
      </c>
      <c r="GO31" s="462">
        <v>40</v>
      </c>
      <c r="GP31" s="463">
        <v>8</v>
      </c>
      <c r="GQ31" s="463">
        <v>25</v>
      </c>
      <c r="GR31" s="463">
        <v>35</v>
      </c>
      <c r="GS31" s="464">
        <v>93.7</v>
      </c>
      <c r="GT31" s="463">
        <v>350</v>
      </c>
      <c r="GU31" s="394"/>
      <c r="GV31" s="394"/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</row>
    <row r="32" spans="2:230" x14ac:dyDescent="0.15">
      <c r="B32" s="89" t="s">
        <v>57</v>
      </c>
      <c r="C32" s="272">
        <v>9527618</v>
      </c>
      <c r="D32" s="455">
        <f t="shared" si="0"/>
        <v>2591435</v>
      </c>
      <c r="E32" s="272">
        <v>76066</v>
      </c>
      <c r="F32" s="456">
        <v>2515369</v>
      </c>
      <c r="G32" s="455">
        <f t="shared" si="1"/>
        <v>551237</v>
      </c>
      <c r="H32" s="272">
        <v>180517</v>
      </c>
      <c r="I32" s="272">
        <v>370720</v>
      </c>
      <c r="J32" s="272">
        <v>5139120</v>
      </c>
      <c r="K32" s="272">
        <v>2077332</v>
      </c>
      <c r="L32" s="272">
        <v>1786541</v>
      </c>
      <c r="M32" s="272">
        <v>1150827</v>
      </c>
      <c r="N32" s="272">
        <v>395900</v>
      </c>
      <c r="O32" s="272">
        <v>749839</v>
      </c>
      <c r="P32" s="272">
        <v>393623</v>
      </c>
      <c r="Q32" s="272">
        <v>356216</v>
      </c>
      <c r="R32" s="272">
        <v>182833</v>
      </c>
      <c r="S32" s="272">
        <v>0</v>
      </c>
      <c r="T32" s="455">
        <f t="shared" si="2"/>
        <v>831452</v>
      </c>
      <c r="U32" s="272">
        <v>42861</v>
      </c>
      <c r="V32" s="272">
        <v>16849</v>
      </c>
      <c r="W32" s="456">
        <v>6006</v>
      </c>
      <c r="X32" s="272">
        <v>581018</v>
      </c>
      <c r="Y32" s="272">
        <v>57926</v>
      </c>
      <c r="Z32" s="272">
        <v>0</v>
      </c>
      <c r="AA32" s="272">
        <v>126792</v>
      </c>
      <c r="AB32" s="272">
        <v>131327</v>
      </c>
      <c r="AC32" s="272">
        <v>2001908</v>
      </c>
      <c r="AD32" s="272">
        <v>1601936</v>
      </c>
      <c r="AE32" s="272">
        <v>399972</v>
      </c>
      <c r="AF32" s="272">
        <v>12090</v>
      </c>
      <c r="AG32" s="272">
        <v>69647</v>
      </c>
      <c r="AH32" s="455">
        <f t="shared" si="3"/>
        <v>489353</v>
      </c>
      <c r="AI32" s="272">
        <v>323830</v>
      </c>
      <c r="AJ32" s="272">
        <v>165523</v>
      </c>
      <c r="AK32" s="272">
        <v>2739077</v>
      </c>
      <c r="AL32" s="455">
        <f t="shared" si="4"/>
        <v>1491001</v>
      </c>
      <c r="AM32" s="272">
        <v>1429293</v>
      </c>
      <c r="AN32" s="272">
        <v>61708</v>
      </c>
      <c r="AO32" s="272">
        <v>0</v>
      </c>
      <c r="AP32" s="272">
        <v>0</v>
      </c>
      <c r="AQ32" s="272">
        <v>115464</v>
      </c>
      <c r="AR32" s="272">
        <v>0</v>
      </c>
      <c r="AS32" s="272">
        <v>0</v>
      </c>
      <c r="AT32" s="272">
        <v>1178385</v>
      </c>
      <c r="AU32" s="272">
        <v>617221</v>
      </c>
      <c r="AV32" s="272">
        <v>30854</v>
      </c>
      <c r="AW32" s="272">
        <v>17849</v>
      </c>
      <c r="AX32" s="272">
        <v>561164</v>
      </c>
      <c r="AY32" s="272">
        <v>16724</v>
      </c>
      <c r="AZ32" s="272">
        <v>51558</v>
      </c>
      <c r="BA32" s="272">
        <v>49944</v>
      </c>
      <c r="BB32" s="272">
        <v>7499</v>
      </c>
      <c r="BC32" s="272">
        <v>838549</v>
      </c>
      <c r="BD32" s="272">
        <v>0</v>
      </c>
      <c r="BE32" s="272">
        <v>65241</v>
      </c>
      <c r="BF32" s="272">
        <v>111403</v>
      </c>
      <c r="BG32" s="272">
        <v>650000</v>
      </c>
      <c r="BH32" s="272">
        <v>85221</v>
      </c>
      <c r="BI32" s="272">
        <v>63181</v>
      </c>
      <c r="BJ32" s="272">
        <v>315081</v>
      </c>
      <c r="BK32" s="272">
        <v>0</v>
      </c>
      <c r="BL32" s="272">
        <v>0</v>
      </c>
      <c r="BM32" s="272">
        <v>0</v>
      </c>
      <c r="BN32" s="272">
        <v>1651100</v>
      </c>
      <c r="BO32" s="455">
        <f t="shared" si="5"/>
        <v>813500</v>
      </c>
      <c r="BP32" s="455">
        <f t="shared" si="6"/>
        <v>537600</v>
      </c>
      <c r="BQ32" s="272">
        <v>0</v>
      </c>
      <c r="BR32" s="272">
        <v>0</v>
      </c>
      <c r="BS32" s="272">
        <v>537600</v>
      </c>
      <c r="BT32" s="272">
        <v>300000</v>
      </c>
      <c r="BU32" s="272">
        <v>20112698</v>
      </c>
      <c r="BV32" s="272"/>
      <c r="BW32" s="272">
        <v>5519031</v>
      </c>
      <c r="BX32" s="272">
        <v>3720067</v>
      </c>
      <c r="BY32" s="272">
        <v>859521</v>
      </c>
      <c r="BZ32" s="272">
        <v>66155</v>
      </c>
      <c r="CA32" s="272">
        <v>4003354</v>
      </c>
      <c r="CB32" s="272">
        <v>700091</v>
      </c>
      <c r="CC32" s="272">
        <v>120552</v>
      </c>
      <c r="CD32" s="272">
        <v>1206352</v>
      </c>
      <c r="CE32" s="272">
        <v>1907834</v>
      </c>
      <c r="CF32" s="272">
        <v>0</v>
      </c>
      <c r="CG32" s="272">
        <v>68525</v>
      </c>
      <c r="CH32" s="272">
        <v>2585987</v>
      </c>
      <c r="CI32" s="272">
        <v>2016182</v>
      </c>
      <c r="CJ32" s="455">
        <f t="shared" si="7"/>
        <v>569805</v>
      </c>
      <c r="CK32" s="272">
        <v>2199220</v>
      </c>
      <c r="CL32" s="272">
        <v>1332595</v>
      </c>
      <c r="CM32" s="272">
        <v>108790</v>
      </c>
      <c r="CN32" s="272">
        <v>472017</v>
      </c>
      <c r="CO32" s="272">
        <v>102737</v>
      </c>
      <c r="CP32" s="272">
        <v>1693447</v>
      </c>
      <c r="CQ32" s="272">
        <v>483260</v>
      </c>
      <c r="CR32" s="272">
        <v>485133</v>
      </c>
      <c r="CS32" s="272">
        <v>372094</v>
      </c>
      <c r="CT32" s="455">
        <f t="shared" si="8"/>
        <v>7882</v>
      </c>
      <c r="CU32" s="272">
        <v>922</v>
      </c>
      <c r="CV32" s="272">
        <v>6960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1559102</v>
      </c>
      <c r="DD32" s="272">
        <v>161246</v>
      </c>
      <c r="DE32" s="272">
        <v>1388214</v>
      </c>
      <c r="DF32" s="26">
        <v>9642</v>
      </c>
      <c r="DG32" s="27">
        <v>0</v>
      </c>
      <c r="DH32" s="272">
        <v>0</v>
      </c>
      <c r="DI32" s="272">
        <v>125988</v>
      </c>
      <c r="DJ32" s="272">
        <v>0</v>
      </c>
      <c r="DK32" s="272">
        <v>37052</v>
      </c>
      <c r="DL32" s="272">
        <v>88936</v>
      </c>
      <c r="DM32" s="272">
        <v>5781</v>
      </c>
      <c r="DN32" s="272">
        <v>1281</v>
      </c>
      <c r="DO32" s="272">
        <v>0</v>
      </c>
      <c r="DP32" s="272">
        <v>0</v>
      </c>
      <c r="DQ32" s="272">
        <v>0</v>
      </c>
      <c r="DR32" s="272">
        <v>0</v>
      </c>
      <c r="DS32" s="272">
        <v>0</v>
      </c>
      <c r="DT32" s="272">
        <v>2306201</v>
      </c>
      <c r="DU32" s="272">
        <v>773967</v>
      </c>
      <c r="DV32" s="455">
        <f t="shared" si="11"/>
        <v>0</v>
      </c>
      <c r="DW32" s="272">
        <v>0</v>
      </c>
      <c r="DX32" s="272">
        <v>509399</v>
      </c>
      <c r="DY32" s="272">
        <v>0</v>
      </c>
      <c r="DZ32" s="272">
        <v>481248</v>
      </c>
      <c r="EA32" s="272">
        <v>38819</v>
      </c>
      <c r="EB32" s="272">
        <v>502768</v>
      </c>
      <c r="EC32" s="272">
        <v>0</v>
      </c>
      <c r="ED32" s="272">
        <v>20100848</v>
      </c>
      <c r="EE32" s="89"/>
      <c r="EF32" s="272">
        <v>11850</v>
      </c>
      <c r="EG32" s="272">
        <v>7888</v>
      </c>
      <c r="EH32" s="272">
        <v>3962</v>
      </c>
      <c r="EI32" s="272">
        <v>-59219</v>
      </c>
      <c r="EJ32" s="272">
        <v>-57419</v>
      </c>
      <c r="EK32" s="89"/>
      <c r="EL32" s="272"/>
      <c r="EM32" s="272">
        <v>65278</v>
      </c>
      <c r="EN32" s="272">
        <v>715241</v>
      </c>
      <c r="EO32" s="272">
        <v>50150</v>
      </c>
      <c r="EP32" s="455">
        <f t="shared" si="12"/>
        <v>507082</v>
      </c>
      <c r="EQ32" s="272">
        <v>12687228</v>
      </c>
      <c r="ER32" s="272">
        <v>-1797983</v>
      </c>
      <c r="ES32" s="272">
        <v>4758919</v>
      </c>
      <c r="ET32" s="272">
        <v>3321199</v>
      </c>
      <c r="EU32" s="272">
        <v>1273804</v>
      </c>
      <c r="EV32" s="272">
        <v>2547810</v>
      </c>
      <c r="EW32" s="455">
        <f t="shared" si="13"/>
        <v>420838</v>
      </c>
      <c r="EX32" s="272">
        <v>420838</v>
      </c>
      <c r="EY32" s="272">
        <v>8558</v>
      </c>
      <c r="EZ32" s="272">
        <v>411708</v>
      </c>
      <c r="FA32" s="272">
        <v>0</v>
      </c>
      <c r="FB32" s="272">
        <v>0</v>
      </c>
      <c r="FC32" s="272">
        <v>1623646</v>
      </c>
      <c r="FD32" s="272">
        <v>1617801</v>
      </c>
      <c r="FE32" s="272">
        <v>483260</v>
      </c>
      <c r="FF32" s="272">
        <v>2038546</v>
      </c>
      <c r="FG32" s="455">
        <f t="shared" si="14"/>
        <v>191997</v>
      </c>
      <c r="FH32" s="272">
        <v>14473361</v>
      </c>
      <c r="FI32" s="459">
        <f t="shared" si="15"/>
        <v>0</v>
      </c>
      <c r="FJ32" s="272">
        <v>11647103</v>
      </c>
      <c r="FK32" s="272">
        <v>537690</v>
      </c>
      <c r="FL32" s="272">
        <v>7741111</v>
      </c>
      <c r="FM32" s="272">
        <v>9347154</v>
      </c>
      <c r="FN32" s="460">
        <v>0.82299999999999995</v>
      </c>
      <c r="FO32" s="388">
        <v>100.6</v>
      </c>
      <c r="FP32" s="388">
        <v>37.299999999999997</v>
      </c>
      <c r="FQ32" s="388">
        <v>10.5</v>
      </c>
      <c r="FR32" s="388">
        <v>21</v>
      </c>
      <c r="FS32" s="388">
        <v>11.1</v>
      </c>
      <c r="FT32" s="388">
        <v>7.2</v>
      </c>
      <c r="FU32" s="388">
        <v>12.8</v>
      </c>
      <c r="FV32" s="384">
        <f t="shared" si="16"/>
        <v>11.6</v>
      </c>
      <c r="FW32" s="272">
        <v>23033757</v>
      </c>
      <c r="FX32" s="384">
        <f t="shared" si="17"/>
        <v>189</v>
      </c>
      <c r="FY32" s="272">
        <v>1815453</v>
      </c>
      <c r="FZ32" s="272">
        <v>0</v>
      </c>
      <c r="GA32" s="272">
        <v>44104</v>
      </c>
      <c r="GB32" s="272">
        <v>1771349</v>
      </c>
      <c r="GC32" s="272">
        <v>1060000</v>
      </c>
      <c r="GD32" s="272">
        <v>9835818</v>
      </c>
      <c r="GE32" s="384">
        <f t="shared" si="18"/>
        <v>80.7</v>
      </c>
      <c r="GF32" s="388">
        <v>97.3</v>
      </c>
      <c r="GG32" s="388">
        <v>13.8</v>
      </c>
      <c r="GH32" s="388">
        <v>86.9</v>
      </c>
      <c r="GI32" s="272">
        <v>536</v>
      </c>
      <c r="GJ32" s="461" t="s">
        <v>646</v>
      </c>
      <c r="GK32" s="461">
        <v>13.03</v>
      </c>
      <c r="GL32" s="462">
        <v>20</v>
      </c>
      <c r="GM32" s="461" t="s">
        <v>646</v>
      </c>
      <c r="GN32" s="462">
        <v>18.03</v>
      </c>
      <c r="GO32" s="462">
        <v>40</v>
      </c>
      <c r="GP32" s="463">
        <v>11.6</v>
      </c>
      <c r="GQ32" s="463">
        <v>25</v>
      </c>
      <c r="GR32" s="463">
        <v>35</v>
      </c>
      <c r="GS32" s="464">
        <v>205.5</v>
      </c>
      <c r="GT32" s="463">
        <v>350</v>
      </c>
      <c r="GU32" s="394"/>
      <c r="GV32" s="394"/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</row>
    <row r="33" spans="2:230" x14ac:dyDescent="0.15">
      <c r="B33" s="89" t="s">
        <v>59</v>
      </c>
      <c r="C33" s="272">
        <v>9727863</v>
      </c>
      <c r="D33" s="455">
        <f t="shared" si="0"/>
        <v>3018912</v>
      </c>
      <c r="E33" s="272">
        <v>73118</v>
      </c>
      <c r="F33" s="456">
        <v>2945794</v>
      </c>
      <c r="G33" s="455">
        <f t="shared" si="1"/>
        <v>293927</v>
      </c>
      <c r="H33" s="272">
        <v>109643</v>
      </c>
      <c r="I33" s="272">
        <v>184284</v>
      </c>
      <c r="J33" s="272">
        <v>2876570</v>
      </c>
      <c r="K33" s="272">
        <v>1325337</v>
      </c>
      <c r="L33" s="272">
        <v>1297571</v>
      </c>
      <c r="M33" s="272">
        <v>240668</v>
      </c>
      <c r="N33" s="272">
        <v>337501</v>
      </c>
      <c r="O33" s="272">
        <v>614392</v>
      </c>
      <c r="P33" s="272">
        <v>343685</v>
      </c>
      <c r="Q33" s="272">
        <v>270707</v>
      </c>
      <c r="R33" s="272">
        <v>129184</v>
      </c>
      <c r="S33" s="272">
        <v>0</v>
      </c>
      <c r="T33" s="455">
        <f t="shared" si="2"/>
        <v>646135</v>
      </c>
      <c r="U33" s="272">
        <v>49171</v>
      </c>
      <c r="V33" s="272">
        <v>19329</v>
      </c>
      <c r="W33" s="456">
        <v>6892</v>
      </c>
      <c r="X33" s="272">
        <v>431366</v>
      </c>
      <c r="Y33" s="272">
        <v>32074</v>
      </c>
      <c r="Z33" s="272">
        <v>0</v>
      </c>
      <c r="AA33" s="272">
        <v>107303</v>
      </c>
      <c r="AB33" s="272">
        <v>138948</v>
      </c>
      <c r="AC33" s="272">
        <v>3333282</v>
      </c>
      <c r="AD33" s="272">
        <v>2973875</v>
      </c>
      <c r="AE33" s="272">
        <v>359407</v>
      </c>
      <c r="AF33" s="272">
        <v>10063</v>
      </c>
      <c r="AG33" s="272">
        <v>199190</v>
      </c>
      <c r="AH33" s="455">
        <f t="shared" si="3"/>
        <v>282781</v>
      </c>
      <c r="AI33" s="272">
        <v>167938</v>
      </c>
      <c r="AJ33" s="272">
        <v>114843</v>
      </c>
      <c r="AK33" s="272">
        <v>1704172</v>
      </c>
      <c r="AL33" s="455">
        <f t="shared" si="4"/>
        <v>1125356</v>
      </c>
      <c r="AM33" s="272">
        <v>833496</v>
      </c>
      <c r="AN33" s="272">
        <v>291860</v>
      </c>
      <c r="AO33" s="272">
        <v>0</v>
      </c>
      <c r="AP33" s="272">
        <v>0</v>
      </c>
      <c r="AQ33" s="272">
        <v>46083</v>
      </c>
      <c r="AR33" s="272">
        <v>0</v>
      </c>
      <c r="AS33" s="272">
        <v>0</v>
      </c>
      <c r="AT33" s="272">
        <v>1077496</v>
      </c>
      <c r="AU33" s="272">
        <v>579229</v>
      </c>
      <c r="AV33" s="272">
        <v>104257</v>
      </c>
      <c r="AW33" s="272">
        <v>99134</v>
      </c>
      <c r="AX33" s="272">
        <v>498267</v>
      </c>
      <c r="AY33" s="272">
        <v>6805</v>
      </c>
      <c r="AZ33" s="272">
        <v>54164</v>
      </c>
      <c r="BA33" s="272">
        <v>39076</v>
      </c>
      <c r="BB33" s="272">
        <v>7274</v>
      </c>
      <c r="BC33" s="272">
        <v>6000</v>
      </c>
      <c r="BD33" s="272">
        <v>0</v>
      </c>
      <c r="BE33" s="272">
        <v>0</v>
      </c>
      <c r="BF33" s="272">
        <v>2404</v>
      </c>
      <c r="BG33" s="456">
        <v>0</v>
      </c>
      <c r="BH33" s="272">
        <v>0</v>
      </c>
      <c r="BI33" s="272">
        <v>0</v>
      </c>
      <c r="BJ33" s="272">
        <v>611295</v>
      </c>
      <c r="BK33" s="272">
        <v>0</v>
      </c>
      <c r="BL33" s="272">
        <v>0</v>
      </c>
      <c r="BM33" s="272">
        <v>0</v>
      </c>
      <c r="BN33" s="272">
        <v>1848100</v>
      </c>
      <c r="BO33" s="455">
        <f t="shared" si="5"/>
        <v>742700</v>
      </c>
      <c r="BP33" s="455">
        <f t="shared" si="6"/>
        <v>495400</v>
      </c>
      <c r="BQ33" s="272">
        <v>0</v>
      </c>
      <c r="BR33" s="272">
        <v>0</v>
      </c>
      <c r="BS33" s="272">
        <v>495400</v>
      </c>
      <c r="BT33" s="272">
        <v>610000</v>
      </c>
      <c r="BU33" s="272">
        <v>19775947</v>
      </c>
      <c r="BV33" s="272"/>
      <c r="BW33" s="272">
        <v>4412355</v>
      </c>
      <c r="BX33" s="272">
        <v>2601969</v>
      </c>
      <c r="BY33" s="272">
        <v>986842</v>
      </c>
      <c r="BZ33" s="272">
        <v>198633</v>
      </c>
      <c r="CA33" s="272">
        <v>3330168</v>
      </c>
      <c r="CB33" s="272">
        <v>436840</v>
      </c>
      <c r="CC33" s="272">
        <v>113111</v>
      </c>
      <c r="CD33" s="272">
        <v>1549363</v>
      </c>
      <c r="CE33" s="272">
        <v>1145132</v>
      </c>
      <c r="CF33" s="272">
        <v>10211</v>
      </c>
      <c r="CG33" s="272">
        <v>75296</v>
      </c>
      <c r="CH33" s="272">
        <v>2268543</v>
      </c>
      <c r="CI33" s="272">
        <v>1887129</v>
      </c>
      <c r="CJ33" s="455">
        <f t="shared" si="7"/>
        <v>381414</v>
      </c>
      <c r="CK33" s="272">
        <v>1842719</v>
      </c>
      <c r="CL33" s="272">
        <v>1205795</v>
      </c>
      <c r="CM33" s="272">
        <v>52697</v>
      </c>
      <c r="CN33" s="272">
        <v>252358</v>
      </c>
      <c r="CO33" s="272">
        <v>43190</v>
      </c>
      <c r="CP33" s="272">
        <v>1394523</v>
      </c>
      <c r="CQ33" s="272">
        <v>419458</v>
      </c>
      <c r="CR33" s="272">
        <v>349406</v>
      </c>
      <c r="CS33" s="272">
        <v>180649</v>
      </c>
      <c r="CT33" s="455">
        <f t="shared" si="8"/>
        <v>30501</v>
      </c>
      <c r="CU33" s="272">
        <v>28647</v>
      </c>
      <c r="CV33" s="272">
        <v>1854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1928818</v>
      </c>
      <c r="DD33" s="272">
        <v>187299</v>
      </c>
      <c r="DE33" s="272">
        <v>1741519</v>
      </c>
      <c r="DF33" s="26">
        <v>0</v>
      </c>
      <c r="DG33" s="27">
        <v>0</v>
      </c>
      <c r="DH33" s="272">
        <v>0</v>
      </c>
      <c r="DI33" s="272">
        <v>1732897</v>
      </c>
      <c r="DJ33" s="272">
        <v>1660118</v>
      </c>
      <c r="DK33" s="272">
        <v>176</v>
      </c>
      <c r="DL33" s="272">
        <v>72603</v>
      </c>
      <c r="DM33" s="272">
        <v>3800</v>
      </c>
      <c r="DN33" s="272">
        <v>0</v>
      </c>
      <c r="DO33" s="272">
        <v>0</v>
      </c>
      <c r="DP33" s="272">
        <v>0</v>
      </c>
      <c r="DQ33" s="272">
        <v>0</v>
      </c>
      <c r="DR33" s="272">
        <v>0</v>
      </c>
      <c r="DS33" s="272">
        <v>0</v>
      </c>
      <c r="DT33" s="272">
        <v>2235559</v>
      </c>
      <c r="DU33" s="272">
        <v>1043589</v>
      </c>
      <c r="DV33" s="455">
        <f t="shared" si="11"/>
        <v>0</v>
      </c>
      <c r="DW33" s="272">
        <v>0</v>
      </c>
      <c r="DX33" s="272">
        <v>333711</v>
      </c>
      <c r="DY33" s="272">
        <v>0</v>
      </c>
      <c r="DZ33" s="272">
        <v>437941</v>
      </c>
      <c r="EA33" s="272">
        <v>32067</v>
      </c>
      <c r="EB33" s="272">
        <v>384696</v>
      </c>
      <c r="EC33" s="272">
        <v>364373</v>
      </c>
      <c r="ED33" s="272">
        <v>19556945</v>
      </c>
      <c r="EE33" s="89"/>
      <c r="EF33" s="272">
        <v>219002</v>
      </c>
      <c r="EG33" s="272">
        <v>34139</v>
      </c>
      <c r="EH33" s="272">
        <v>184863</v>
      </c>
      <c r="EI33" s="272">
        <v>549774</v>
      </c>
      <c r="EJ33" s="272">
        <v>2336689</v>
      </c>
      <c r="EK33" s="89"/>
      <c r="EL33" s="272"/>
      <c r="EM33" s="272">
        <v>57095</v>
      </c>
      <c r="EN33" s="272">
        <v>0</v>
      </c>
      <c r="EO33" s="272">
        <v>51975</v>
      </c>
      <c r="EP33" s="455">
        <f t="shared" si="12"/>
        <v>501069</v>
      </c>
      <c r="EQ33" s="272">
        <v>13985475</v>
      </c>
      <c r="ER33" s="272">
        <v>-1038381</v>
      </c>
      <c r="ES33" s="272">
        <v>3401679</v>
      </c>
      <c r="ET33" s="272">
        <v>2352243</v>
      </c>
      <c r="EU33" s="272">
        <v>1120511</v>
      </c>
      <c r="EV33" s="272">
        <v>2266369</v>
      </c>
      <c r="EW33" s="455">
        <f t="shared" si="13"/>
        <v>1025099</v>
      </c>
      <c r="EX33" s="272">
        <v>1025099</v>
      </c>
      <c r="EY33" s="272">
        <v>23882</v>
      </c>
      <c r="EZ33" s="272">
        <v>1001217</v>
      </c>
      <c r="FA33" s="272">
        <v>0</v>
      </c>
      <c r="FB33" s="272">
        <v>0</v>
      </c>
      <c r="FC33" s="272">
        <v>1622474</v>
      </c>
      <c r="FD33" s="272">
        <v>1208589</v>
      </c>
      <c r="FE33" s="272">
        <v>419458</v>
      </c>
      <c r="FF33" s="272">
        <v>2022800</v>
      </c>
      <c r="FG33" s="455">
        <f t="shared" si="14"/>
        <v>2137439</v>
      </c>
      <c r="FH33" s="272">
        <v>14804960</v>
      </c>
      <c r="FI33" s="459">
        <f t="shared" si="15"/>
        <v>1.7</v>
      </c>
      <c r="FJ33" s="272">
        <v>10317824</v>
      </c>
      <c r="FK33" s="272">
        <v>495469</v>
      </c>
      <c r="FL33" s="272">
        <v>5634472</v>
      </c>
      <c r="FM33" s="272">
        <v>8612123</v>
      </c>
      <c r="FN33" s="460">
        <v>0.66</v>
      </c>
      <c r="FO33" s="388">
        <v>81.099999999999994</v>
      </c>
      <c r="FP33" s="388">
        <v>24.1</v>
      </c>
      <c r="FQ33" s="388">
        <v>8.3000000000000007</v>
      </c>
      <c r="FR33" s="388">
        <v>15.8</v>
      </c>
      <c r="FS33" s="388">
        <v>11.6</v>
      </c>
      <c r="FT33" s="388">
        <v>7.1</v>
      </c>
      <c r="FU33" s="388">
        <v>13.9</v>
      </c>
      <c r="FV33" s="384">
        <f t="shared" si="16"/>
        <v>10.8</v>
      </c>
      <c r="FW33" s="272">
        <v>20839455</v>
      </c>
      <c r="FX33" s="384">
        <f t="shared" si="17"/>
        <v>192.7</v>
      </c>
      <c r="FY33" s="272">
        <v>3441989</v>
      </c>
      <c r="FZ33" s="272">
        <v>1664474</v>
      </c>
      <c r="GA33" s="272">
        <v>50727</v>
      </c>
      <c r="GB33" s="272">
        <v>1726788</v>
      </c>
      <c r="GC33" s="272">
        <v>983000</v>
      </c>
      <c r="GD33" s="272">
        <v>3948456</v>
      </c>
      <c r="GE33" s="384">
        <f t="shared" si="18"/>
        <v>36.5</v>
      </c>
      <c r="GF33" s="388">
        <v>98.4</v>
      </c>
      <c r="GG33" s="388">
        <v>30.1</v>
      </c>
      <c r="GH33" s="388">
        <v>95.3</v>
      </c>
      <c r="GI33" s="272">
        <v>396</v>
      </c>
      <c r="GJ33" s="461" t="s">
        <v>646</v>
      </c>
      <c r="GK33" s="461">
        <v>13.21</v>
      </c>
      <c r="GL33" s="462">
        <v>20</v>
      </c>
      <c r="GM33" s="461" t="s">
        <v>646</v>
      </c>
      <c r="GN33" s="462">
        <v>18.21</v>
      </c>
      <c r="GO33" s="462">
        <v>40</v>
      </c>
      <c r="GP33" s="463">
        <v>10.8</v>
      </c>
      <c r="GQ33" s="463">
        <v>25</v>
      </c>
      <c r="GR33" s="463">
        <v>35</v>
      </c>
      <c r="GS33" s="464">
        <v>137.4</v>
      </c>
      <c r="GT33" s="463">
        <v>350</v>
      </c>
      <c r="GU33" s="394"/>
      <c r="GV33" s="394"/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</row>
    <row r="34" spans="2:230" x14ac:dyDescent="0.15">
      <c r="B34" s="89" t="s">
        <v>61</v>
      </c>
      <c r="C34" s="272">
        <v>9841494</v>
      </c>
      <c r="D34" s="455">
        <f t="shared" si="0"/>
        <v>4812989</v>
      </c>
      <c r="E34" s="272">
        <v>104939</v>
      </c>
      <c r="F34" s="456">
        <v>4708050</v>
      </c>
      <c r="G34" s="455">
        <f t="shared" si="1"/>
        <v>346668</v>
      </c>
      <c r="H34" s="272">
        <v>128544</v>
      </c>
      <c r="I34" s="272">
        <v>218124</v>
      </c>
      <c r="J34" s="272">
        <v>3477129</v>
      </c>
      <c r="K34" s="272">
        <v>1494804</v>
      </c>
      <c r="L34" s="272">
        <v>1526017</v>
      </c>
      <c r="M34" s="272">
        <v>409201</v>
      </c>
      <c r="N34" s="272">
        <v>346100</v>
      </c>
      <c r="O34" s="272">
        <v>784535</v>
      </c>
      <c r="P34" s="272">
        <v>456128</v>
      </c>
      <c r="Q34" s="272">
        <v>328407</v>
      </c>
      <c r="R34" s="272">
        <v>164101</v>
      </c>
      <c r="S34" s="272">
        <v>0</v>
      </c>
      <c r="T34" s="455">
        <f t="shared" si="2"/>
        <v>921071</v>
      </c>
      <c r="U34" s="272">
        <v>79156</v>
      </c>
      <c r="V34" s="272">
        <v>31123</v>
      </c>
      <c r="W34" s="456">
        <v>11079</v>
      </c>
      <c r="X34" s="272">
        <v>574477</v>
      </c>
      <c r="Y34" s="272">
        <v>88933</v>
      </c>
      <c r="Z34" s="272">
        <v>0</v>
      </c>
      <c r="AA34" s="272">
        <v>136303</v>
      </c>
      <c r="AB34" s="272">
        <v>178666</v>
      </c>
      <c r="AC34" s="272">
        <v>2507613</v>
      </c>
      <c r="AD34" s="272">
        <v>2298377</v>
      </c>
      <c r="AE34" s="272">
        <v>209236</v>
      </c>
      <c r="AF34" s="272">
        <v>13089</v>
      </c>
      <c r="AG34" s="272">
        <v>232258</v>
      </c>
      <c r="AH34" s="455">
        <f t="shared" si="3"/>
        <v>393491</v>
      </c>
      <c r="AI34" s="272">
        <v>309297</v>
      </c>
      <c r="AJ34" s="272">
        <v>84194</v>
      </c>
      <c r="AK34" s="272">
        <v>1826757</v>
      </c>
      <c r="AL34" s="455">
        <f t="shared" si="4"/>
        <v>928722</v>
      </c>
      <c r="AM34" s="272">
        <v>740874</v>
      </c>
      <c r="AN34" s="272">
        <v>187848</v>
      </c>
      <c r="AO34" s="272">
        <v>0</v>
      </c>
      <c r="AP34" s="272">
        <v>0</v>
      </c>
      <c r="AQ34" s="272">
        <v>103364</v>
      </c>
      <c r="AR34" s="272">
        <v>0</v>
      </c>
      <c r="AS34" s="272">
        <v>0</v>
      </c>
      <c r="AT34" s="272">
        <v>1114720</v>
      </c>
      <c r="AU34" s="272">
        <v>499792</v>
      </c>
      <c r="AV34" s="272">
        <v>93924</v>
      </c>
      <c r="AW34" s="272">
        <v>498</v>
      </c>
      <c r="AX34" s="272">
        <v>614928</v>
      </c>
      <c r="AY34" s="272">
        <v>33642</v>
      </c>
      <c r="AZ34" s="272">
        <v>126016</v>
      </c>
      <c r="BA34" s="272">
        <v>108577</v>
      </c>
      <c r="BB34" s="272">
        <v>15350</v>
      </c>
      <c r="BC34" s="272">
        <v>220109</v>
      </c>
      <c r="BD34" s="272">
        <v>0</v>
      </c>
      <c r="BE34" s="272">
        <v>0</v>
      </c>
      <c r="BF34" s="272">
        <v>200000</v>
      </c>
      <c r="BG34" s="272">
        <v>0</v>
      </c>
      <c r="BH34" s="272">
        <v>70716</v>
      </c>
      <c r="BI34" s="272">
        <v>53053</v>
      </c>
      <c r="BJ34" s="272">
        <v>304828</v>
      </c>
      <c r="BK34" s="272">
        <v>100000</v>
      </c>
      <c r="BL34" s="272">
        <v>0</v>
      </c>
      <c r="BM34" s="272">
        <v>0</v>
      </c>
      <c r="BN34" s="272">
        <v>1838046</v>
      </c>
      <c r="BO34" s="455">
        <f t="shared" si="5"/>
        <v>848500</v>
      </c>
      <c r="BP34" s="455">
        <f t="shared" si="6"/>
        <v>652546</v>
      </c>
      <c r="BQ34" s="272">
        <v>0</v>
      </c>
      <c r="BR34" s="272">
        <v>0</v>
      </c>
      <c r="BS34" s="272">
        <v>652546</v>
      </c>
      <c r="BT34" s="272">
        <v>337000</v>
      </c>
      <c r="BU34" s="272">
        <v>19768325</v>
      </c>
      <c r="BV34" s="272"/>
      <c r="BW34" s="272">
        <v>5034726</v>
      </c>
      <c r="BX34" s="272">
        <v>3139442</v>
      </c>
      <c r="BY34" s="272">
        <v>641563</v>
      </c>
      <c r="BZ34" s="272">
        <v>427352</v>
      </c>
      <c r="CA34" s="272">
        <v>3676920</v>
      </c>
      <c r="CB34" s="272">
        <v>779296</v>
      </c>
      <c r="CC34" s="272">
        <v>119146</v>
      </c>
      <c r="CD34" s="272">
        <v>1641988</v>
      </c>
      <c r="CE34" s="272">
        <v>975145</v>
      </c>
      <c r="CF34" s="272">
        <v>0</v>
      </c>
      <c r="CG34" s="272">
        <v>161345</v>
      </c>
      <c r="CH34" s="272">
        <v>3895435</v>
      </c>
      <c r="CI34" s="272">
        <v>3209461</v>
      </c>
      <c r="CJ34" s="455">
        <f t="shared" si="7"/>
        <v>685974</v>
      </c>
      <c r="CK34" s="272">
        <v>2311069</v>
      </c>
      <c r="CL34" s="272">
        <v>1290717</v>
      </c>
      <c r="CM34" s="272">
        <v>181697</v>
      </c>
      <c r="CN34" s="272">
        <v>436818</v>
      </c>
      <c r="CO34" s="272">
        <v>80779</v>
      </c>
      <c r="CP34" s="272">
        <v>999744</v>
      </c>
      <c r="CQ34" s="272">
        <v>478475</v>
      </c>
      <c r="CR34" s="272">
        <v>301666</v>
      </c>
      <c r="CS34" s="272">
        <v>171678</v>
      </c>
      <c r="CT34" s="455">
        <f t="shared" si="8"/>
        <v>5735</v>
      </c>
      <c r="CU34" s="272">
        <v>5735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1534172</v>
      </c>
      <c r="DD34" s="272">
        <v>163635</v>
      </c>
      <c r="DE34" s="272">
        <v>1352687</v>
      </c>
      <c r="DF34" s="26">
        <v>17850</v>
      </c>
      <c r="DG34" s="27">
        <v>0</v>
      </c>
      <c r="DH34" s="272">
        <v>1144</v>
      </c>
      <c r="DI34" s="272">
        <v>87539</v>
      </c>
      <c r="DJ34" s="272">
        <v>37187</v>
      </c>
      <c r="DK34" s="272">
        <v>1488</v>
      </c>
      <c r="DL34" s="272">
        <v>48864</v>
      </c>
      <c r="DM34" s="272">
        <v>4000</v>
      </c>
      <c r="DN34" s="272">
        <v>0</v>
      </c>
      <c r="DO34" s="272">
        <v>0</v>
      </c>
      <c r="DP34" s="272">
        <v>0</v>
      </c>
      <c r="DQ34" s="272">
        <v>0</v>
      </c>
      <c r="DR34" s="272">
        <v>0</v>
      </c>
      <c r="DS34" s="272">
        <v>0</v>
      </c>
      <c r="DT34" s="272">
        <v>1987762</v>
      </c>
      <c r="DU34" s="272">
        <v>410000</v>
      </c>
      <c r="DV34" s="455">
        <f t="shared" si="11"/>
        <v>0</v>
      </c>
      <c r="DW34" s="272">
        <v>0</v>
      </c>
      <c r="DX34" s="272">
        <v>477266</v>
      </c>
      <c r="DY34" s="272">
        <v>0</v>
      </c>
      <c r="DZ34" s="272">
        <v>493196</v>
      </c>
      <c r="EA34" s="272">
        <v>53519</v>
      </c>
      <c r="EB34" s="272">
        <v>553776</v>
      </c>
      <c r="EC34" s="272">
        <v>0</v>
      </c>
      <c r="ED34" s="272">
        <v>19613290</v>
      </c>
      <c r="EE34" s="89"/>
      <c r="EF34" s="272">
        <v>155035</v>
      </c>
      <c r="EG34" s="272">
        <v>32233</v>
      </c>
      <c r="EH34" s="272">
        <v>122802</v>
      </c>
      <c r="EI34" s="272">
        <v>69749</v>
      </c>
      <c r="EJ34" s="272">
        <v>107331</v>
      </c>
      <c r="EK34" s="89"/>
      <c r="EL34" s="272"/>
      <c r="EM34" s="272">
        <v>78470</v>
      </c>
      <c r="EN34" s="272">
        <v>2744</v>
      </c>
      <c r="EO34" s="272">
        <v>116826</v>
      </c>
      <c r="EP34" s="455">
        <f t="shared" si="12"/>
        <v>335686</v>
      </c>
      <c r="EQ34" s="272">
        <v>13626034</v>
      </c>
      <c r="ER34" s="272">
        <v>-1094713</v>
      </c>
      <c r="ES34" s="272">
        <v>4391269</v>
      </c>
      <c r="ET34" s="272">
        <v>2901784</v>
      </c>
      <c r="EU34" s="272">
        <v>1322784</v>
      </c>
      <c r="EV34" s="272">
        <v>3795435</v>
      </c>
      <c r="EW34" s="455">
        <f t="shared" si="13"/>
        <v>512510</v>
      </c>
      <c r="EX34" s="272">
        <v>511366</v>
      </c>
      <c r="EY34" s="272">
        <v>1</v>
      </c>
      <c r="EZ34" s="272">
        <v>510440</v>
      </c>
      <c r="FA34" s="272">
        <v>1144</v>
      </c>
      <c r="FB34" s="272">
        <v>0</v>
      </c>
      <c r="FC34" s="272">
        <v>1830498</v>
      </c>
      <c r="FD34" s="272">
        <v>912564</v>
      </c>
      <c r="FE34" s="272">
        <v>478475</v>
      </c>
      <c r="FF34" s="272">
        <v>1637684</v>
      </c>
      <c r="FG34" s="455">
        <f t="shared" si="14"/>
        <v>162968</v>
      </c>
      <c r="FH34" s="272">
        <v>14565712</v>
      </c>
      <c r="FI34" s="459">
        <f t="shared" si="15"/>
        <v>0.9</v>
      </c>
      <c r="FJ34" s="272">
        <v>12775724</v>
      </c>
      <c r="FK34" s="272">
        <v>652546</v>
      </c>
      <c r="FL34" s="272">
        <v>8070959</v>
      </c>
      <c r="FM34" s="272">
        <v>10373885</v>
      </c>
      <c r="FN34" s="460">
        <v>0.76400000000000001</v>
      </c>
      <c r="FO34" s="388">
        <v>99.2</v>
      </c>
      <c r="FP34" s="388">
        <v>31.9</v>
      </c>
      <c r="FQ34" s="388">
        <v>9.9</v>
      </c>
      <c r="FR34" s="388">
        <v>28.4</v>
      </c>
      <c r="FS34" s="388">
        <v>12.4</v>
      </c>
      <c r="FT34" s="388">
        <v>5.8</v>
      </c>
      <c r="FU34" s="388">
        <v>10.3</v>
      </c>
      <c r="FV34" s="384">
        <f t="shared" si="16"/>
        <v>15.5</v>
      </c>
      <c r="FW34" s="272">
        <v>32843340</v>
      </c>
      <c r="FX34" s="384">
        <f t="shared" si="17"/>
        <v>244.6</v>
      </c>
      <c r="FY34" s="272">
        <v>2527340</v>
      </c>
      <c r="FZ34" s="272">
        <v>726387</v>
      </c>
      <c r="GA34" s="272">
        <v>640031</v>
      </c>
      <c r="GB34" s="272">
        <v>1160922</v>
      </c>
      <c r="GC34" s="272">
        <v>0</v>
      </c>
      <c r="GD34" s="272">
        <v>21736583</v>
      </c>
      <c r="GE34" s="384">
        <f t="shared" si="18"/>
        <v>161.9</v>
      </c>
      <c r="GF34" s="388">
        <v>98.3</v>
      </c>
      <c r="GG34" s="388">
        <v>26.6</v>
      </c>
      <c r="GH34" s="388">
        <v>94.4</v>
      </c>
      <c r="GI34" s="272">
        <v>484</v>
      </c>
      <c r="GJ34" s="461" t="s">
        <v>646</v>
      </c>
      <c r="GK34" s="461">
        <v>12.91</v>
      </c>
      <c r="GL34" s="462">
        <v>20</v>
      </c>
      <c r="GM34" s="461" t="s">
        <v>646</v>
      </c>
      <c r="GN34" s="462">
        <v>17.91</v>
      </c>
      <c r="GO34" s="462">
        <v>40</v>
      </c>
      <c r="GP34" s="463">
        <v>15.5</v>
      </c>
      <c r="GQ34" s="463">
        <v>25</v>
      </c>
      <c r="GR34" s="463">
        <v>35</v>
      </c>
      <c r="GS34" s="464">
        <v>323.60000000000002</v>
      </c>
      <c r="GT34" s="463">
        <v>350</v>
      </c>
      <c r="GU34" s="394"/>
      <c r="GV34" s="394"/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</row>
    <row r="35" spans="2:230" x14ac:dyDescent="0.15">
      <c r="B35" s="89" t="s">
        <v>63</v>
      </c>
      <c r="C35" s="272">
        <v>8125977</v>
      </c>
      <c r="D35" s="455">
        <f t="shared" si="0"/>
        <v>3790940</v>
      </c>
      <c r="E35" s="272">
        <v>78836</v>
      </c>
      <c r="F35" s="456">
        <v>3712104</v>
      </c>
      <c r="G35" s="455">
        <f t="shared" si="1"/>
        <v>716946</v>
      </c>
      <c r="H35" s="272">
        <v>106547</v>
      </c>
      <c r="I35" s="272">
        <v>610399</v>
      </c>
      <c r="J35" s="272">
        <v>2849918</v>
      </c>
      <c r="K35" s="272">
        <v>1178928</v>
      </c>
      <c r="L35" s="272">
        <v>1271233</v>
      </c>
      <c r="M35" s="272">
        <v>368414</v>
      </c>
      <c r="N35" s="272">
        <v>332800</v>
      </c>
      <c r="O35" s="272">
        <v>371918</v>
      </c>
      <c r="P35" s="272">
        <v>207612</v>
      </c>
      <c r="Q35" s="272">
        <v>164306</v>
      </c>
      <c r="R35" s="272">
        <v>137724</v>
      </c>
      <c r="S35" s="272">
        <v>0</v>
      </c>
      <c r="T35" s="455">
        <f t="shared" si="2"/>
        <v>704781</v>
      </c>
      <c r="U35" s="272">
        <v>63533</v>
      </c>
      <c r="V35" s="272">
        <v>25006</v>
      </c>
      <c r="W35" s="456">
        <v>8841</v>
      </c>
      <c r="X35" s="272">
        <v>493007</v>
      </c>
      <c r="Y35" s="272">
        <v>0</v>
      </c>
      <c r="Z35" s="272">
        <v>0</v>
      </c>
      <c r="AA35" s="272">
        <v>114394</v>
      </c>
      <c r="AB35" s="272">
        <v>140336</v>
      </c>
      <c r="AC35" s="272">
        <v>2104394</v>
      </c>
      <c r="AD35" s="272">
        <v>1829322</v>
      </c>
      <c r="AE35" s="272">
        <v>275072</v>
      </c>
      <c r="AF35" s="272">
        <v>12366</v>
      </c>
      <c r="AG35" s="272">
        <v>170266</v>
      </c>
      <c r="AH35" s="455">
        <f t="shared" si="3"/>
        <v>259132</v>
      </c>
      <c r="AI35" s="272">
        <v>216673</v>
      </c>
      <c r="AJ35" s="272">
        <v>42459</v>
      </c>
      <c r="AK35" s="272">
        <v>1506943</v>
      </c>
      <c r="AL35" s="455">
        <f t="shared" si="4"/>
        <v>865756</v>
      </c>
      <c r="AM35" s="272">
        <v>718237</v>
      </c>
      <c r="AN35" s="272">
        <v>147519</v>
      </c>
      <c r="AO35" s="272">
        <v>0</v>
      </c>
      <c r="AP35" s="272">
        <v>0</v>
      </c>
      <c r="AQ35" s="272">
        <v>147981</v>
      </c>
      <c r="AR35" s="272">
        <v>0</v>
      </c>
      <c r="AS35" s="272">
        <v>0</v>
      </c>
      <c r="AT35" s="272">
        <v>879813</v>
      </c>
      <c r="AU35" s="272">
        <v>415750</v>
      </c>
      <c r="AV35" s="272">
        <v>73759</v>
      </c>
      <c r="AW35" s="272">
        <v>0</v>
      </c>
      <c r="AX35" s="272">
        <v>464063</v>
      </c>
      <c r="AY35" s="272">
        <v>21066</v>
      </c>
      <c r="AZ35" s="272">
        <v>22396</v>
      </c>
      <c r="BA35" s="272">
        <v>3089</v>
      </c>
      <c r="BB35" s="272">
        <v>15505</v>
      </c>
      <c r="BC35" s="272">
        <v>1199</v>
      </c>
      <c r="BD35" s="272">
        <v>0</v>
      </c>
      <c r="BE35" s="272">
        <v>0</v>
      </c>
      <c r="BF35" s="272">
        <v>210</v>
      </c>
      <c r="BG35" s="272">
        <v>0</v>
      </c>
      <c r="BH35" s="272">
        <v>358048</v>
      </c>
      <c r="BI35" s="272">
        <v>332689</v>
      </c>
      <c r="BJ35" s="272">
        <v>116680</v>
      </c>
      <c r="BK35" s="272">
        <v>537</v>
      </c>
      <c r="BL35" s="272">
        <v>0</v>
      </c>
      <c r="BM35" s="272">
        <v>0</v>
      </c>
      <c r="BN35" s="272">
        <v>818900</v>
      </c>
      <c r="BO35" s="455">
        <f t="shared" si="5"/>
        <v>313300</v>
      </c>
      <c r="BP35" s="455">
        <f t="shared" si="6"/>
        <v>505600</v>
      </c>
      <c r="BQ35" s="272">
        <v>0</v>
      </c>
      <c r="BR35" s="272">
        <v>0</v>
      </c>
      <c r="BS35" s="272">
        <v>505600</v>
      </c>
      <c r="BT35" s="272">
        <v>0</v>
      </c>
      <c r="BU35" s="272">
        <v>15374460</v>
      </c>
      <c r="BV35" s="272"/>
      <c r="BW35" s="272">
        <v>3856810</v>
      </c>
      <c r="BX35" s="272">
        <v>2691191</v>
      </c>
      <c r="BY35" s="272">
        <v>328978</v>
      </c>
      <c r="BZ35" s="272">
        <v>183940</v>
      </c>
      <c r="CA35" s="272">
        <v>2736945</v>
      </c>
      <c r="CB35" s="272">
        <v>383039</v>
      </c>
      <c r="CC35" s="272">
        <v>77971</v>
      </c>
      <c r="CD35" s="272">
        <v>1243241</v>
      </c>
      <c r="CE35" s="272">
        <v>981709</v>
      </c>
      <c r="CF35" s="272">
        <v>0</v>
      </c>
      <c r="CG35" s="272">
        <v>50985</v>
      </c>
      <c r="CH35" s="272">
        <v>2313306</v>
      </c>
      <c r="CI35" s="272">
        <v>1918599</v>
      </c>
      <c r="CJ35" s="455">
        <f t="shared" si="7"/>
        <v>394707</v>
      </c>
      <c r="CK35" s="272">
        <v>2068791</v>
      </c>
      <c r="CL35" s="272">
        <v>1369453</v>
      </c>
      <c r="CM35" s="272">
        <v>118711</v>
      </c>
      <c r="CN35" s="272">
        <v>266380</v>
      </c>
      <c r="CO35" s="272">
        <v>24993</v>
      </c>
      <c r="CP35" s="272">
        <v>1060374</v>
      </c>
      <c r="CQ35" s="272">
        <v>466543</v>
      </c>
      <c r="CR35" s="272">
        <v>296644</v>
      </c>
      <c r="CS35" s="272">
        <v>205250</v>
      </c>
      <c r="CT35" s="455">
        <f t="shared" si="8"/>
        <v>2945</v>
      </c>
      <c r="CU35" s="272">
        <v>2945</v>
      </c>
      <c r="CV35" s="272">
        <v>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826259</v>
      </c>
      <c r="DD35" s="272">
        <v>254801</v>
      </c>
      <c r="DE35" s="272">
        <v>567940</v>
      </c>
      <c r="DF35" s="26">
        <v>3518</v>
      </c>
      <c r="DG35" s="27">
        <v>0</v>
      </c>
      <c r="DH35" s="272">
        <v>2747</v>
      </c>
      <c r="DI35" s="272">
        <v>310693</v>
      </c>
      <c r="DJ35" s="272">
        <v>108061</v>
      </c>
      <c r="DK35" s="272">
        <v>100</v>
      </c>
      <c r="DL35" s="272">
        <v>202532</v>
      </c>
      <c r="DM35" s="272">
        <v>3200</v>
      </c>
      <c r="DN35" s="272">
        <v>0</v>
      </c>
      <c r="DO35" s="272">
        <v>0</v>
      </c>
      <c r="DP35" s="272">
        <v>0</v>
      </c>
      <c r="DQ35" s="272">
        <v>144</v>
      </c>
      <c r="DR35" s="272">
        <v>0</v>
      </c>
      <c r="DS35" s="272">
        <v>0</v>
      </c>
      <c r="DT35" s="272">
        <v>1553402</v>
      </c>
      <c r="DU35" s="272">
        <v>346132</v>
      </c>
      <c r="DV35" s="455">
        <f t="shared" si="11"/>
        <v>0</v>
      </c>
      <c r="DW35" s="272">
        <v>0</v>
      </c>
      <c r="DX35" s="272">
        <v>377993</v>
      </c>
      <c r="DY35" s="272">
        <v>0</v>
      </c>
      <c r="DZ35" s="272">
        <v>340377</v>
      </c>
      <c r="EA35" s="272">
        <v>28188</v>
      </c>
      <c r="EB35" s="272">
        <v>460712</v>
      </c>
      <c r="EC35" s="272">
        <v>0</v>
      </c>
      <c r="ED35" s="272">
        <v>14757664</v>
      </c>
      <c r="EE35" s="89"/>
      <c r="EF35" s="272">
        <v>616796</v>
      </c>
      <c r="EG35" s="272">
        <v>1642</v>
      </c>
      <c r="EH35" s="272">
        <v>615154</v>
      </c>
      <c r="EI35" s="272">
        <v>282465</v>
      </c>
      <c r="EJ35" s="272">
        <v>390526</v>
      </c>
      <c r="EK35" s="89"/>
      <c r="EL35" s="272"/>
      <c r="EM35" s="272">
        <v>57600</v>
      </c>
      <c r="EN35" s="272">
        <v>989</v>
      </c>
      <c r="EO35" s="272">
        <v>10801</v>
      </c>
      <c r="EP35" s="455">
        <f t="shared" si="12"/>
        <v>512091</v>
      </c>
      <c r="EQ35" s="272">
        <v>11225578</v>
      </c>
      <c r="ER35" s="272">
        <v>-1017115</v>
      </c>
      <c r="ES35" s="272">
        <v>3601705</v>
      </c>
      <c r="ET35" s="272">
        <v>2457620</v>
      </c>
      <c r="EU35" s="272">
        <v>915900</v>
      </c>
      <c r="EV35" s="272">
        <v>2313306</v>
      </c>
      <c r="EW35" s="455">
        <f t="shared" si="13"/>
        <v>314698</v>
      </c>
      <c r="EX35" s="272">
        <v>314026</v>
      </c>
      <c r="EY35" s="272">
        <v>29220</v>
      </c>
      <c r="EZ35" s="272">
        <v>282986</v>
      </c>
      <c r="FA35" s="272">
        <v>672</v>
      </c>
      <c r="FB35" s="272">
        <v>0</v>
      </c>
      <c r="FC35" s="272">
        <v>1825955</v>
      </c>
      <c r="FD35" s="272">
        <v>982395</v>
      </c>
      <c r="FE35" s="272">
        <v>466543</v>
      </c>
      <c r="FF35" s="272">
        <v>1345206</v>
      </c>
      <c r="FG35" s="455">
        <f t="shared" si="14"/>
        <v>328344</v>
      </c>
      <c r="FH35" s="272">
        <v>11627509</v>
      </c>
      <c r="FI35" s="459">
        <f t="shared" si="15"/>
        <v>5.6</v>
      </c>
      <c r="FJ35" s="272">
        <v>10394870</v>
      </c>
      <c r="FK35" s="272">
        <v>505624</v>
      </c>
      <c r="FL35" s="272">
        <v>6538045</v>
      </c>
      <c r="FM35" s="272">
        <v>8371038</v>
      </c>
      <c r="FN35" s="460">
        <v>0.79600000000000004</v>
      </c>
      <c r="FO35" s="388">
        <v>94.8</v>
      </c>
      <c r="FP35" s="388">
        <v>30.9</v>
      </c>
      <c r="FQ35" s="388">
        <v>8.1999999999999993</v>
      </c>
      <c r="FR35" s="388">
        <v>20.7</v>
      </c>
      <c r="FS35" s="388">
        <v>16</v>
      </c>
      <c r="FT35" s="388">
        <v>8.1</v>
      </c>
      <c r="FU35" s="388">
        <v>10.6</v>
      </c>
      <c r="FV35" s="384">
        <f t="shared" si="16"/>
        <v>11.3</v>
      </c>
      <c r="FW35" s="272">
        <v>18951943</v>
      </c>
      <c r="FX35" s="384">
        <f t="shared" si="17"/>
        <v>173.9</v>
      </c>
      <c r="FY35" s="272">
        <v>3171387</v>
      </c>
      <c r="FZ35" s="272">
        <v>2046061</v>
      </c>
      <c r="GA35" s="272">
        <v>36428</v>
      </c>
      <c r="GB35" s="272">
        <v>1088898</v>
      </c>
      <c r="GC35" s="272">
        <v>0</v>
      </c>
      <c r="GD35" s="272">
        <v>1010706</v>
      </c>
      <c r="GE35" s="384">
        <f t="shared" si="18"/>
        <v>9.3000000000000007</v>
      </c>
      <c r="GF35" s="388">
        <v>98.1</v>
      </c>
      <c r="GG35" s="388">
        <v>18.399999999999999</v>
      </c>
      <c r="GH35" s="388">
        <v>92.6</v>
      </c>
      <c r="GI35" s="272">
        <v>383</v>
      </c>
      <c r="GJ35" s="461" t="s">
        <v>646</v>
      </c>
      <c r="GK35" s="461">
        <v>13.2</v>
      </c>
      <c r="GL35" s="462">
        <v>20</v>
      </c>
      <c r="GM35" s="461" t="s">
        <v>646</v>
      </c>
      <c r="GN35" s="462">
        <v>18.2</v>
      </c>
      <c r="GO35" s="462">
        <v>40</v>
      </c>
      <c r="GP35" s="463">
        <v>11.3</v>
      </c>
      <c r="GQ35" s="463">
        <v>25</v>
      </c>
      <c r="GR35" s="463">
        <v>35</v>
      </c>
      <c r="GS35" s="464">
        <v>60.7</v>
      </c>
      <c r="GT35" s="463">
        <v>350</v>
      </c>
      <c r="GU35" s="394"/>
      <c r="GV35" s="394"/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</row>
    <row r="36" spans="2:230" x14ac:dyDescent="0.15">
      <c r="B36" s="89" t="s">
        <v>65</v>
      </c>
      <c r="C36" s="272">
        <v>5770438</v>
      </c>
      <c r="D36" s="455">
        <f t="shared" si="0"/>
        <v>2754179</v>
      </c>
      <c r="E36" s="272">
        <v>75311</v>
      </c>
      <c r="F36" s="456">
        <v>2678868</v>
      </c>
      <c r="G36" s="455">
        <f t="shared" si="1"/>
        <v>161800</v>
      </c>
      <c r="H36" s="272">
        <v>71361</v>
      </c>
      <c r="I36" s="272">
        <v>90439</v>
      </c>
      <c r="J36" s="272">
        <v>2071678</v>
      </c>
      <c r="K36" s="272">
        <v>762862</v>
      </c>
      <c r="L36" s="272">
        <v>1038176</v>
      </c>
      <c r="M36" s="272">
        <v>224390</v>
      </c>
      <c r="N36" s="272">
        <v>267877</v>
      </c>
      <c r="O36" s="272">
        <v>427230</v>
      </c>
      <c r="P36" s="272">
        <v>210933</v>
      </c>
      <c r="Q36" s="272">
        <v>216297</v>
      </c>
      <c r="R36" s="272">
        <v>149619</v>
      </c>
      <c r="S36" s="272">
        <v>0</v>
      </c>
      <c r="T36" s="455">
        <f t="shared" si="2"/>
        <v>607600</v>
      </c>
      <c r="U36" s="272">
        <v>45092</v>
      </c>
      <c r="V36" s="272">
        <v>17721</v>
      </c>
      <c r="W36" s="456">
        <v>6329</v>
      </c>
      <c r="X36" s="272">
        <v>412288</v>
      </c>
      <c r="Y36" s="272">
        <v>1894</v>
      </c>
      <c r="Z36" s="272">
        <v>0</v>
      </c>
      <c r="AA36" s="272">
        <v>124276</v>
      </c>
      <c r="AB36" s="272">
        <v>94245</v>
      </c>
      <c r="AC36" s="272">
        <v>3411173</v>
      </c>
      <c r="AD36" s="272">
        <v>3125871</v>
      </c>
      <c r="AE36" s="272">
        <v>285302</v>
      </c>
      <c r="AF36" s="272">
        <v>10650</v>
      </c>
      <c r="AG36" s="272">
        <v>109713</v>
      </c>
      <c r="AH36" s="455">
        <f t="shared" si="3"/>
        <v>348043</v>
      </c>
      <c r="AI36" s="272">
        <v>239797</v>
      </c>
      <c r="AJ36" s="272">
        <v>108246</v>
      </c>
      <c r="AK36" s="272">
        <v>1409427</v>
      </c>
      <c r="AL36" s="455">
        <f t="shared" si="4"/>
        <v>783758</v>
      </c>
      <c r="AM36" s="272">
        <v>611314</v>
      </c>
      <c r="AN36" s="272">
        <v>172444</v>
      </c>
      <c r="AO36" s="272">
        <v>0</v>
      </c>
      <c r="AP36" s="272">
        <v>0</v>
      </c>
      <c r="AQ36" s="272">
        <v>84498</v>
      </c>
      <c r="AR36" s="272">
        <v>0</v>
      </c>
      <c r="AS36" s="272">
        <v>0</v>
      </c>
      <c r="AT36" s="272">
        <v>922245</v>
      </c>
      <c r="AU36" s="272">
        <v>399834</v>
      </c>
      <c r="AV36" s="272">
        <v>39948</v>
      </c>
      <c r="AW36" s="272">
        <v>1336</v>
      </c>
      <c r="AX36" s="272">
        <v>522411</v>
      </c>
      <c r="AY36" s="272">
        <v>21800</v>
      </c>
      <c r="AZ36" s="272">
        <v>143501</v>
      </c>
      <c r="BA36" s="272">
        <v>134354</v>
      </c>
      <c r="BB36" s="272">
        <v>6707</v>
      </c>
      <c r="BC36" s="272">
        <v>234445</v>
      </c>
      <c r="BD36" s="272">
        <v>228147</v>
      </c>
      <c r="BE36" s="272">
        <v>0</v>
      </c>
      <c r="BF36" s="272">
        <v>5113</v>
      </c>
      <c r="BG36" s="272">
        <v>0</v>
      </c>
      <c r="BH36" s="272">
        <v>155164</v>
      </c>
      <c r="BI36" s="272">
        <v>155164</v>
      </c>
      <c r="BJ36" s="272">
        <v>167863</v>
      </c>
      <c r="BK36" s="272">
        <v>0</v>
      </c>
      <c r="BL36" s="272">
        <v>0</v>
      </c>
      <c r="BM36" s="272">
        <v>0</v>
      </c>
      <c r="BN36" s="272">
        <v>755042</v>
      </c>
      <c r="BO36" s="455">
        <f t="shared" si="5"/>
        <v>90300</v>
      </c>
      <c r="BP36" s="455">
        <f t="shared" si="6"/>
        <v>485542</v>
      </c>
      <c r="BQ36" s="272">
        <v>0</v>
      </c>
      <c r="BR36" s="272">
        <v>0</v>
      </c>
      <c r="BS36" s="272">
        <v>485542</v>
      </c>
      <c r="BT36" s="272">
        <v>179200</v>
      </c>
      <c r="BU36" s="272">
        <v>14295875</v>
      </c>
      <c r="BV36" s="272"/>
      <c r="BW36" s="272">
        <v>3338964</v>
      </c>
      <c r="BX36" s="272">
        <v>2301402</v>
      </c>
      <c r="BY36" s="272">
        <v>416983</v>
      </c>
      <c r="BZ36" s="272">
        <v>18755</v>
      </c>
      <c r="CA36" s="272">
        <v>2560922</v>
      </c>
      <c r="CB36" s="272">
        <v>470929</v>
      </c>
      <c r="CC36" s="272">
        <v>85019</v>
      </c>
      <c r="CD36" s="272">
        <v>1087272</v>
      </c>
      <c r="CE36" s="272">
        <v>842426</v>
      </c>
      <c r="CF36" s="272">
        <v>3343</v>
      </c>
      <c r="CG36" s="272">
        <v>71933</v>
      </c>
      <c r="CH36" s="272">
        <v>1546777</v>
      </c>
      <c r="CI36" s="272">
        <v>1190322</v>
      </c>
      <c r="CJ36" s="455">
        <f t="shared" si="7"/>
        <v>356455</v>
      </c>
      <c r="CK36" s="272">
        <v>1932979</v>
      </c>
      <c r="CL36" s="272">
        <v>969913</v>
      </c>
      <c r="CM36" s="272">
        <v>330482</v>
      </c>
      <c r="CN36" s="272">
        <v>400164</v>
      </c>
      <c r="CO36" s="272">
        <v>105252</v>
      </c>
      <c r="CP36" s="272">
        <v>2135488</v>
      </c>
      <c r="CQ36" s="272">
        <v>1010024</v>
      </c>
      <c r="CR36" s="272">
        <v>226860</v>
      </c>
      <c r="CS36" s="272">
        <v>226860</v>
      </c>
      <c r="CT36" s="455">
        <f t="shared" si="8"/>
        <v>659693</v>
      </c>
      <c r="CU36" s="272">
        <v>95899</v>
      </c>
      <c r="CV36" s="272">
        <v>563794</v>
      </c>
      <c r="CW36" s="455">
        <f t="shared" si="9"/>
        <v>631000</v>
      </c>
      <c r="CX36" s="272">
        <v>89906</v>
      </c>
      <c r="CY36" s="272">
        <v>541094</v>
      </c>
      <c r="CZ36" s="455">
        <f t="shared" si="10"/>
        <v>0</v>
      </c>
      <c r="DA36" s="272">
        <v>0</v>
      </c>
      <c r="DB36" s="272">
        <v>0</v>
      </c>
      <c r="DC36" s="272">
        <v>462252</v>
      </c>
      <c r="DD36" s="272">
        <v>143046</v>
      </c>
      <c r="DE36" s="272">
        <v>306472</v>
      </c>
      <c r="DF36" s="26">
        <v>12734</v>
      </c>
      <c r="DG36" s="27">
        <v>0</v>
      </c>
      <c r="DH36" s="272">
        <v>0</v>
      </c>
      <c r="DI36" s="272">
        <v>163022</v>
      </c>
      <c r="DJ36" s="272">
        <v>3108</v>
      </c>
      <c r="DK36" s="272">
        <v>1397</v>
      </c>
      <c r="DL36" s="272">
        <v>158517</v>
      </c>
      <c r="DM36" s="272">
        <v>7000</v>
      </c>
      <c r="DN36" s="272">
        <v>4300</v>
      </c>
      <c r="DO36" s="272">
        <v>4300</v>
      </c>
      <c r="DP36" s="272">
        <v>0</v>
      </c>
      <c r="DQ36" s="272">
        <v>0</v>
      </c>
      <c r="DR36" s="272">
        <v>0</v>
      </c>
      <c r="DS36" s="272">
        <v>0</v>
      </c>
      <c r="DT36" s="272">
        <v>1861605</v>
      </c>
      <c r="DU36" s="272">
        <v>518035</v>
      </c>
      <c r="DV36" s="455">
        <f t="shared" si="11"/>
        <v>0</v>
      </c>
      <c r="DW36" s="272">
        <v>0</v>
      </c>
      <c r="DX36" s="272">
        <v>453349</v>
      </c>
      <c r="DY36" s="272">
        <v>0</v>
      </c>
      <c r="DZ36" s="272">
        <v>425656</v>
      </c>
      <c r="EA36" s="272">
        <v>22904</v>
      </c>
      <c r="EB36" s="272">
        <v>441642</v>
      </c>
      <c r="EC36" s="272">
        <v>0</v>
      </c>
      <c r="ED36" s="272">
        <v>14114261</v>
      </c>
      <c r="EE36" s="89"/>
      <c r="EF36" s="272">
        <v>181614</v>
      </c>
      <c r="EG36" s="272">
        <v>27622</v>
      </c>
      <c r="EH36" s="272">
        <v>153992</v>
      </c>
      <c r="EI36" s="272">
        <v>-1172</v>
      </c>
      <c r="EJ36" s="272">
        <v>-208197</v>
      </c>
      <c r="EK36" s="89"/>
      <c r="EL36" s="272"/>
      <c r="EM36" s="272">
        <v>58252</v>
      </c>
      <c r="EN36" s="272">
        <v>229332</v>
      </c>
      <c r="EO36" s="272">
        <v>4545</v>
      </c>
      <c r="EP36" s="455">
        <f t="shared" si="12"/>
        <v>328741</v>
      </c>
      <c r="EQ36" s="272">
        <v>10043725</v>
      </c>
      <c r="ER36" s="272">
        <v>-1037510</v>
      </c>
      <c r="ES36" s="272">
        <v>2800762</v>
      </c>
      <c r="ET36" s="272">
        <v>1947434</v>
      </c>
      <c r="EU36" s="272">
        <v>858114</v>
      </c>
      <c r="EV36" s="272">
        <v>1546777</v>
      </c>
      <c r="EW36" s="455">
        <f t="shared" si="13"/>
        <v>224040</v>
      </c>
      <c r="EX36" s="272">
        <v>224040</v>
      </c>
      <c r="EY36" s="272">
        <v>33496</v>
      </c>
      <c r="EZ36" s="272">
        <v>189616</v>
      </c>
      <c r="FA36" s="272">
        <v>0</v>
      </c>
      <c r="FB36" s="272">
        <v>0</v>
      </c>
      <c r="FC36" s="272">
        <v>1682096</v>
      </c>
      <c r="FD36" s="272">
        <v>2048260</v>
      </c>
      <c r="FE36" s="272">
        <v>1010024</v>
      </c>
      <c r="FF36" s="272">
        <v>1615537</v>
      </c>
      <c r="FG36" s="455">
        <f t="shared" si="14"/>
        <v>125498</v>
      </c>
      <c r="FH36" s="272">
        <v>10901084</v>
      </c>
      <c r="FI36" s="459">
        <f t="shared" si="15"/>
        <v>1.6</v>
      </c>
      <c r="FJ36" s="272">
        <v>9445635</v>
      </c>
      <c r="FK36" s="272">
        <v>485542</v>
      </c>
      <c r="FL36" s="272">
        <v>4913071</v>
      </c>
      <c r="FM36" s="272">
        <v>8040930</v>
      </c>
      <c r="FN36" s="460">
        <v>0.60799999999999998</v>
      </c>
      <c r="FO36" s="388">
        <v>96.2</v>
      </c>
      <c r="FP36" s="388">
        <v>27.3</v>
      </c>
      <c r="FQ36" s="388">
        <v>8.6999999999999993</v>
      </c>
      <c r="FR36" s="388">
        <v>15.5</v>
      </c>
      <c r="FS36" s="388">
        <v>16</v>
      </c>
      <c r="FT36" s="388">
        <v>13.4</v>
      </c>
      <c r="FU36" s="388">
        <v>14.3</v>
      </c>
      <c r="FV36" s="384">
        <f t="shared" si="16"/>
        <v>9.1999999999999993</v>
      </c>
      <c r="FW36" s="272">
        <v>14797035</v>
      </c>
      <c r="FX36" s="384">
        <f t="shared" si="17"/>
        <v>149</v>
      </c>
      <c r="FY36" s="272">
        <v>2314699</v>
      </c>
      <c r="FZ36" s="272">
        <v>934224</v>
      </c>
      <c r="GA36" s="272">
        <v>430906</v>
      </c>
      <c r="GB36" s="272">
        <v>949569</v>
      </c>
      <c r="GC36" s="272">
        <v>300000</v>
      </c>
      <c r="GD36" s="272">
        <v>893028</v>
      </c>
      <c r="GE36" s="384">
        <f t="shared" si="18"/>
        <v>9</v>
      </c>
      <c r="GF36" s="388">
        <v>85.4</v>
      </c>
      <c r="GG36" s="388">
        <v>17.8</v>
      </c>
      <c r="GH36" s="388">
        <v>80.099999999999994</v>
      </c>
      <c r="GI36" s="272">
        <v>356</v>
      </c>
      <c r="GJ36" s="461" t="s">
        <v>646</v>
      </c>
      <c r="GK36" s="461">
        <v>13.34</v>
      </c>
      <c r="GL36" s="462">
        <v>20</v>
      </c>
      <c r="GM36" s="461">
        <v>2.52</v>
      </c>
      <c r="GN36" s="462">
        <v>18.34</v>
      </c>
      <c r="GO36" s="462">
        <v>40</v>
      </c>
      <c r="GP36" s="463">
        <v>9.1999999999999993</v>
      </c>
      <c r="GQ36" s="463">
        <v>25</v>
      </c>
      <c r="GR36" s="463">
        <v>35</v>
      </c>
      <c r="GS36" s="464">
        <v>74.3</v>
      </c>
      <c r="GT36" s="463">
        <v>350</v>
      </c>
      <c r="GU36" s="394"/>
      <c r="GV36" s="394"/>
      <c r="GW36" s="394"/>
      <c r="GX36" s="394"/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</row>
    <row r="37" spans="2:230" x14ac:dyDescent="0.15">
      <c r="B37" s="21" t="s">
        <v>67</v>
      </c>
      <c r="C37" s="272">
        <v>781831898</v>
      </c>
      <c r="D37" s="455">
        <f t="shared" si="0"/>
        <v>297493068</v>
      </c>
      <c r="E37" s="272">
        <v>6749037</v>
      </c>
      <c r="F37" s="456">
        <v>290744031</v>
      </c>
      <c r="G37" s="455">
        <f t="shared" si="1"/>
        <v>64197654</v>
      </c>
      <c r="H37" s="272">
        <v>12816802</v>
      </c>
      <c r="I37" s="272">
        <v>51380852</v>
      </c>
      <c r="J37" s="272">
        <v>309333196</v>
      </c>
      <c r="K37" s="272">
        <v>133871561</v>
      </c>
      <c r="L37" s="272">
        <v>127180392</v>
      </c>
      <c r="M37" s="272">
        <v>42763256</v>
      </c>
      <c r="N37" s="272">
        <v>32103557</v>
      </c>
      <c r="O37" s="272">
        <v>64192496</v>
      </c>
      <c r="P37" s="272">
        <v>36479768</v>
      </c>
      <c r="Q37" s="272">
        <v>27712728</v>
      </c>
      <c r="R37" s="272">
        <v>12653653</v>
      </c>
      <c r="S37" s="272">
        <v>0</v>
      </c>
      <c r="T37" s="455">
        <f t="shared" si="2"/>
        <v>61586946</v>
      </c>
      <c r="U37" s="272">
        <v>4875015</v>
      </c>
      <c r="V37" s="272">
        <v>1917285</v>
      </c>
      <c r="W37" s="456">
        <v>681498</v>
      </c>
      <c r="X37" s="272">
        <v>44503017</v>
      </c>
      <c r="Y37" s="272">
        <v>806949</v>
      </c>
      <c r="Z37" s="272">
        <v>147</v>
      </c>
      <c r="AA37" s="272">
        <v>8803035</v>
      </c>
      <c r="AB37" s="272">
        <v>11609459</v>
      </c>
      <c r="AC37" s="272">
        <v>136816179</v>
      </c>
      <c r="AD37" s="272">
        <v>126231418</v>
      </c>
      <c r="AE37" s="272">
        <v>10584761</v>
      </c>
      <c r="AF37" s="272">
        <v>933881</v>
      </c>
      <c r="AG37" s="272">
        <v>18734292</v>
      </c>
      <c r="AH37" s="455">
        <f t="shared" si="3"/>
        <v>35449689</v>
      </c>
      <c r="AI37" s="272">
        <v>27923036</v>
      </c>
      <c r="AJ37" s="272">
        <v>7526653</v>
      </c>
      <c r="AK37" s="272">
        <v>225860736</v>
      </c>
      <c r="AL37" s="455">
        <f t="shared" si="4"/>
        <v>129954223</v>
      </c>
      <c r="AM37" s="272">
        <v>115063768</v>
      </c>
      <c r="AN37" s="272">
        <v>14890455</v>
      </c>
      <c r="AO37" s="272">
        <v>0</v>
      </c>
      <c r="AP37" s="272">
        <v>0</v>
      </c>
      <c r="AQ37" s="272">
        <v>19839738</v>
      </c>
      <c r="AR37" s="272">
        <v>21537</v>
      </c>
      <c r="AS37" s="272">
        <v>306866</v>
      </c>
      <c r="AT37" s="272">
        <v>84684872</v>
      </c>
      <c r="AU37" s="272">
        <v>39865328</v>
      </c>
      <c r="AV37" s="272">
        <v>5887805</v>
      </c>
      <c r="AW37" s="272">
        <v>938866</v>
      </c>
      <c r="AX37" s="272">
        <v>44819544</v>
      </c>
      <c r="AY37" s="272">
        <v>928007</v>
      </c>
      <c r="AZ37" s="272">
        <v>10835870</v>
      </c>
      <c r="BA37" s="272">
        <v>8032324</v>
      </c>
      <c r="BB37" s="272">
        <v>796423</v>
      </c>
      <c r="BC37" s="272">
        <v>34321320</v>
      </c>
      <c r="BD37" s="272">
        <v>6608654</v>
      </c>
      <c r="BE37" s="272">
        <v>2060363</v>
      </c>
      <c r="BF37" s="272">
        <v>19533888</v>
      </c>
      <c r="BG37" s="272">
        <v>3349179</v>
      </c>
      <c r="BH37" s="272">
        <v>11044222</v>
      </c>
      <c r="BI37" s="272">
        <v>6568043</v>
      </c>
      <c r="BJ37" s="272">
        <v>47883121</v>
      </c>
      <c r="BK37" s="272">
        <v>21839930</v>
      </c>
      <c r="BL37" s="272">
        <v>210620</v>
      </c>
      <c r="BM37" s="272">
        <v>1804010</v>
      </c>
      <c r="BN37" s="272">
        <v>104070405</v>
      </c>
      <c r="BO37" s="455">
        <f t="shared" si="5"/>
        <v>44993180</v>
      </c>
      <c r="BP37" s="455">
        <f t="shared" si="6"/>
        <v>39823625</v>
      </c>
      <c r="BQ37" s="272">
        <v>0</v>
      </c>
      <c r="BR37" s="272">
        <v>2185600</v>
      </c>
      <c r="BS37" s="272">
        <v>37638025</v>
      </c>
      <c r="BT37" s="272">
        <v>19253600</v>
      </c>
      <c r="BU37" s="272">
        <v>1579419832</v>
      </c>
      <c r="BV37" s="272"/>
      <c r="BW37" s="272">
        <v>355882047</v>
      </c>
      <c r="BX37" s="272">
        <v>232075405</v>
      </c>
      <c r="BY37" s="272">
        <v>55121768</v>
      </c>
      <c r="BZ37" s="272">
        <v>17670510</v>
      </c>
      <c r="CA37" s="272">
        <v>353600045</v>
      </c>
      <c r="CB37" s="272">
        <v>55193107</v>
      </c>
      <c r="CC37" s="272">
        <v>9884426</v>
      </c>
      <c r="CD37" s="272">
        <v>123201734</v>
      </c>
      <c r="CE37" s="272">
        <v>153894627</v>
      </c>
      <c r="CF37" s="272">
        <v>5340449</v>
      </c>
      <c r="CG37" s="272">
        <v>6063387</v>
      </c>
      <c r="CH37" s="272">
        <v>164512069</v>
      </c>
      <c r="CI37" s="272">
        <v>135090021</v>
      </c>
      <c r="CJ37" s="455">
        <f t="shared" si="7"/>
        <v>29422048</v>
      </c>
      <c r="CK37" s="272">
        <v>172692852</v>
      </c>
      <c r="CL37" s="272">
        <v>98574672</v>
      </c>
      <c r="CM37" s="272">
        <v>12181594</v>
      </c>
      <c r="CN37" s="272">
        <v>34044474</v>
      </c>
      <c r="CO37" s="272">
        <v>13157418</v>
      </c>
      <c r="CP37" s="272">
        <v>138916828</v>
      </c>
      <c r="CQ37" s="272">
        <v>38003776</v>
      </c>
      <c r="CR37" s="272">
        <v>38828131</v>
      </c>
      <c r="CS37" s="272">
        <v>26110115</v>
      </c>
      <c r="CT37" s="455">
        <f t="shared" si="8"/>
        <v>35006382</v>
      </c>
      <c r="CU37" s="272">
        <v>25758832</v>
      </c>
      <c r="CV37" s="272">
        <v>9247550</v>
      </c>
      <c r="CW37" s="455">
        <f t="shared" si="9"/>
        <v>14842330</v>
      </c>
      <c r="CX37" s="272">
        <v>11274547</v>
      </c>
      <c r="CY37" s="272">
        <v>3567783</v>
      </c>
      <c r="CZ37" s="455">
        <f t="shared" si="10"/>
        <v>17286366</v>
      </c>
      <c r="DA37" s="272">
        <v>13778664</v>
      </c>
      <c r="DB37" s="272">
        <v>3507702</v>
      </c>
      <c r="DC37" s="272">
        <v>116516681</v>
      </c>
      <c r="DD37" s="272">
        <v>42423448</v>
      </c>
      <c r="DE37" s="272">
        <v>70458490</v>
      </c>
      <c r="DF37" s="26">
        <v>1726168</v>
      </c>
      <c r="DG37" s="27">
        <v>1908575</v>
      </c>
      <c r="DH37" s="272">
        <v>68099</v>
      </c>
      <c r="DI37" s="272">
        <v>21870449</v>
      </c>
      <c r="DJ37" s="272">
        <v>7518789</v>
      </c>
      <c r="DK37" s="272">
        <v>482139</v>
      </c>
      <c r="DL37" s="272">
        <v>13869521</v>
      </c>
      <c r="DM37" s="272">
        <v>3121899</v>
      </c>
      <c r="DN37" s="272">
        <v>2721330</v>
      </c>
      <c r="DO37" s="272">
        <v>122148</v>
      </c>
      <c r="DP37" s="272">
        <v>2441345</v>
      </c>
      <c r="DQ37" s="272">
        <v>29526008</v>
      </c>
      <c r="DR37" s="272">
        <v>6200000</v>
      </c>
      <c r="DS37" s="272">
        <v>6200000</v>
      </c>
      <c r="DT37" s="272">
        <v>180567094</v>
      </c>
      <c r="DU37" s="272">
        <v>53301299</v>
      </c>
      <c r="DV37" s="455">
        <f t="shared" si="11"/>
        <v>880017</v>
      </c>
      <c r="DW37" s="272">
        <v>880017</v>
      </c>
      <c r="DX37" s="272">
        <v>34153703</v>
      </c>
      <c r="DY37" s="272">
        <v>398614</v>
      </c>
      <c r="DZ37" s="272">
        <v>48330750</v>
      </c>
      <c r="EA37" s="272">
        <v>2717600</v>
      </c>
      <c r="EB37" s="272">
        <v>37957833</v>
      </c>
      <c r="EC37" s="272">
        <v>4864524</v>
      </c>
      <c r="ED37" s="272">
        <v>1555296013</v>
      </c>
      <c r="EE37" s="89"/>
      <c r="EF37" s="272">
        <v>24123819</v>
      </c>
      <c r="EG37" s="272">
        <v>15860985</v>
      </c>
      <c r="EH37" s="272">
        <v>8262834</v>
      </c>
      <c r="EI37" s="272">
        <v>5628938</v>
      </c>
      <c r="EJ37" s="272">
        <v>9494107</v>
      </c>
      <c r="EK37" s="89"/>
      <c r="EL37" s="272"/>
      <c r="EM37" s="272">
        <v>5124351</v>
      </c>
      <c r="EN37" s="272">
        <v>19534922</v>
      </c>
      <c r="EO37" s="272">
        <v>7357922</v>
      </c>
      <c r="EP37" s="455">
        <f t="shared" si="12"/>
        <v>37843307</v>
      </c>
      <c r="EQ37" s="272">
        <v>1005738882</v>
      </c>
      <c r="ER37" s="272">
        <v>-103319029</v>
      </c>
      <c r="ES37" s="272">
        <v>312255582</v>
      </c>
      <c r="ET37" s="272">
        <v>211660537</v>
      </c>
      <c r="EU37" s="272">
        <v>116151311</v>
      </c>
      <c r="EV37" s="272">
        <v>162700465</v>
      </c>
      <c r="EW37" s="455">
        <f t="shared" si="13"/>
        <v>36763504</v>
      </c>
      <c r="EX37" s="272">
        <v>36725700</v>
      </c>
      <c r="EY37" s="272">
        <v>3369393</v>
      </c>
      <c r="EZ37" s="272">
        <v>33010511</v>
      </c>
      <c r="FA37" s="272">
        <v>37804</v>
      </c>
      <c r="FB37" s="272">
        <v>0</v>
      </c>
      <c r="FC37" s="272">
        <v>141668766</v>
      </c>
      <c r="FD37" s="272">
        <v>123544399</v>
      </c>
      <c r="FE37" s="272">
        <v>37591776</v>
      </c>
      <c r="FF37" s="272">
        <v>158013571</v>
      </c>
      <c r="FG37" s="455">
        <f t="shared" si="14"/>
        <v>40480893</v>
      </c>
      <c r="FH37" s="272">
        <v>1091578491</v>
      </c>
      <c r="FI37" s="459">
        <f t="shared" si="15"/>
        <v>0.8</v>
      </c>
      <c r="FJ37" s="272">
        <v>933168995</v>
      </c>
      <c r="FK37" s="272">
        <v>39350294</v>
      </c>
      <c r="FL37" s="272">
        <v>618112078</v>
      </c>
      <c r="FM37" s="272">
        <v>733641420</v>
      </c>
      <c r="FN37" s="460">
        <v>0.83899999999999997</v>
      </c>
      <c r="FO37" s="388">
        <v>97.4</v>
      </c>
      <c r="FP37" s="388">
        <v>31.2</v>
      </c>
      <c r="FQ37" s="388">
        <v>11.8</v>
      </c>
      <c r="FR37" s="388">
        <v>16.3</v>
      </c>
      <c r="FS37" s="388">
        <v>13.5</v>
      </c>
      <c r="FT37" s="388">
        <v>10.6</v>
      </c>
      <c r="FU37" s="388">
        <v>12.7</v>
      </c>
      <c r="FV37" s="384">
        <f t="shared" si="16"/>
        <v>6.7</v>
      </c>
      <c r="FW37" s="272">
        <v>1468233077</v>
      </c>
      <c r="FX37" s="384">
        <f t="shared" si="17"/>
        <v>151</v>
      </c>
      <c r="FY37" s="272">
        <v>233639449</v>
      </c>
      <c r="FZ37" s="272">
        <v>72711595</v>
      </c>
      <c r="GA37" s="272">
        <v>17697792</v>
      </c>
      <c r="GB37" s="272">
        <v>143230062</v>
      </c>
      <c r="GC37" s="272">
        <v>15710852</v>
      </c>
      <c r="GD37" s="272">
        <v>178923978</v>
      </c>
      <c r="GE37" s="384">
        <f t="shared" si="18"/>
        <v>18.399999999999999</v>
      </c>
      <c r="GF37" s="388">
        <v>97.9</v>
      </c>
      <c r="GG37" s="388">
        <v>22.5</v>
      </c>
      <c r="GH37" s="388">
        <v>93.6</v>
      </c>
      <c r="GI37" s="272">
        <v>32581</v>
      </c>
      <c r="GJ37" s="461" t="s">
        <v>646</v>
      </c>
      <c r="GK37" s="461" t="s">
        <v>646</v>
      </c>
      <c r="GL37" s="461" t="s">
        <v>646</v>
      </c>
      <c r="GM37" s="461" t="s">
        <v>646</v>
      </c>
      <c r="GN37" s="461" t="s">
        <v>646</v>
      </c>
      <c r="GO37" s="461" t="s">
        <v>646</v>
      </c>
      <c r="GP37" s="463">
        <v>6.7</v>
      </c>
      <c r="GQ37" s="464" t="s">
        <v>646</v>
      </c>
      <c r="GR37" s="464" t="s">
        <v>646</v>
      </c>
      <c r="GS37" s="464">
        <v>80.3</v>
      </c>
      <c r="GT37" s="464" t="s">
        <v>646</v>
      </c>
      <c r="GU37" s="394"/>
      <c r="GV37" s="394"/>
      <c r="GW37" s="394"/>
      <c r="GX37" s="394"/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</row>
    <row r="38" spans="2:230" x14ac:dyDescent="0.15">
      <c r="B38" s="89" t="s">
        <v>69</v>
      </c>
      <c r="C38" s="272">
        <v>4918120</v>
      </c>
      <c r="D38" s="455">
        <f t="shared" si="0"/>
        <v>1801675</v>
      </c>
      <c r="E38" s="272">
        <v>41166</v>
      </c>
      <c r="F38" s="456">
        <v>1760509</v>
      </c>
      <c r="G38" s="455">
        <f t="shared" si="1"/>
        <v>861576</v>
      </c>
      <c r="H38" s="272">
        <v>63693</v>
      </c>
      <c r="I38" s="272">
        <v>797883</v>
      </c>
      <c r="J38" s="272">
        <v>1821753</v>
      </c>
      <c r="K38" s="272">
        <v>674357</v>
      </c>
      <c r="L38" s="272">
        <v>742647</v>
      </c>
      <c r="M38" s="272">
        <v>377701</v>
      </c>
      <c r="N38" s="272">
        <v>75205</v>
      </c>
      <c r="O38" s="272">
        <v>338073</v>
      </c>
      <c r="P38" s="272">
        <v>180218</v>
      </c>
      <c r="Q38" s="272">
        <v>157855</v>
      </c>
      <c r="R38" s="272">
        <v>64498</v>
      </c>
      <c r="S38" s="272">
        <v>0</v>
      </c>
      <c r="T38" s="455">
        <f t="shared" si="2"/>
        <v>373588</v>
      </c>
      <c r="U38" s="272">
        <v>28858</v>
      </c>
      <c r="V38" s="272">
        <v>11337</v>
      </c>
      <c r="W38" s="456">
        <v>4059</v>
      </c>
      <c r="X38" s="272">
        <v>219645</v>
      </c>
      <c r="Y38" s="272">
        <v>56116</v>
      </c>
      <c r="Z38" s="272">
        <v>0</v>
      </c>
      <c r="AA38" s="272">
        <v>53573</v>
      </c>
      <c r="AB38" s="272">
        <v>64206</v>
      </c>
      <c r="AC38" s="272">
        <v>926280</v>
      </c>
      <c r="AD38" s="272">
        <v>690900</v>
      </c>
      <c r="AE38" s="272">
        <v>235380</v>
      </c>
      <c r="AF38" s="272">
        <v>3818</v>
      </c>
      <c r="AG38" s="272">
        <v>50798</v>
      </c>
      <c r="AH38" s="455">
        <f t="shared" si="3"/>
        <v>258496</v>
      </c>
      <c r="AI38" s="272">
        <v>222310</v>
      </c>
      <c r="AJ38" s="272">
        <v>36186</v>
      </c>
      <c r="AK38" s="272">
        <v>445044</v>
      </c>
      <c r="AL38" s="455">
        <f t="shared" si="4"/>
        <v>126929</v>
      </c>
      <c r="AM38" s="272">
        <v>99015</v>
      </c>
      <c r="AN38" s="272">
        <v>27914</v>
      </c>
      <c r="AO38" s="272">
        <v>0</v>
      </c>
      <c r="AP38" s="272">
        <v>0</v>
      </c>
      <c r="AQ38" s="272">
        <v>32975</v>
      </c>
      <c r="AR38" s="272">
        <v>0</v>
      </c>
      <c r="AS38" s="272">
        <v>0</v>
      </c>
      <c r="AT38" s="272">
        <v>407413</v>
      </c>
      <c r="AU38" s="272">
        <v>214986</v>
      </c>
      <c r="AV38" s="272">
        <v>24715</v>
      </c>
      <c r="AW38" s="272">
        <v>4666</v>
      </c>
      <c r="AX38" s="272">
        <v>192427</v>
      </c>
      <c r="AY38" s="272">
        <v>11722</v>
      </c>
      <c r="AZ38" s="272">
        <v>19183</v>
      </c>
      <c r="BA38" s="272">
        <v>11</v>
      </c>
      <c r="BB38" s="272">
        <v>8315</v>
      </c>
      <c r="BC38" s="272">
        <v>501054</v>
      </c>
      <c r="BD38" s="272">
        <v>216463</v>
      </c>
      <c r="BE38" s="272">
        <v>50000</v>
      </c>
      <c r="BF38" s="272">
        <v>174500</v>
      </c>
      <c r="BG38" s="272">
        <v>0</v>
      </c>
      <c r="BH38" s="272">
        <v>23101</v>
      </c>
      <c r="BI38" s="272">
        <v>23101</v>
      </c>
      <c r="BJ38" s="272">
        <v>161737</v>
      </c>
      <c r="BK38" s="272">
        <v>53806</v>
      </c>
      <c r="BL38" s="272">
        <v>0</v>
      </c>
      <c r="BM38" s="272">
        <v>0</v>
      </c>
      <c r="BN38" s="272">
        <v>313965</v>
      </c>
      <c r="BO38" s="455">
        <f t="shared" si="5"/>
        <v>37900</v>
      </c>
      <c r="BP38" s="455">
        <f t="shared" si="6"/>
        <v>276065</v>
      </c>
      <c r="BQ38" s="272">
        <v>0</v>
      </c>
      <c r="BR38" s="272">
        <v>0</v>
      </c>
      <c r="BS38" s="272">
        <v>276065</v>
      </c>
      <c r="BT38" s="272">
        <v>0</v>
      </c>
      <c r="BU38" s="272">
        <v>8539616</v>
      </c>
      <c r="BV38" s="272"/>
      <c r="BW38" s="272">
        <v>2421418</v>
      </c>
      <c r="BX38" s="272">
        <v>1454186</v>
      </c>
      <c r="BY38" s="272">
        <v>480988</v>
      </c>
      <c r="BZ38" s="272">
        <v>93428</v>
      </c>
      <c r="CA38" s="272">
        <v>1190629</v>
      </c>
      <c r="CB38" s="272">
        <v>364700</v>
      </c>
      <c r="CC38" s="272">
        <v>61593</v>
      </c>
      <c r="CD38" s="272">
        <v>601101</v>
      </c>
      <c r="CE38" s="272">
        <v>137135</v>
      </c>
      <c r="CF38" s="272">
        <v>105</v>
      </c>
      <c r="CG38" s="272">
        <v>25995</v>
      </c>
      <c r="CH38" s="272">
        <v>1293646</v>
      </c>
      <c r="CI38" s="272">
        <v>1072839</v>
      </c>
      <c r="CJ38" s="455">
        <f t="shared" si="7"/>
        <v>220807</v>
      </c>
      <c r="CK38" s="272">
        <v>1449227</v>
      </c>
      <c r="CL38" s="272">
        <v>786762</v>
      </c>
      <c r="CM38" s="272">
        <v>151627</v>
      </c>
      <c r="CN38" s="272">
        <v>307725</v>
      </c>
      <c r="CO38" s="272">
        <v>87898</v>
      </c>
      <c r="CP38" s="272">
        <v>332938</v>
      </c>
      <c r="CQ38" s="272">
        <v>2036</v>
      </c>
      <c r="CR38" s="272">
        <v>139076</v>
      </c>
      <c r="CS38" s="272">
        <v>126276</v>
      </c>
      <c r="CT38" s="455">
        <f t="shared" si="8"/>
        <v>21686</v>
      </c>
      <c r="CU38" s="272">
        <v>0</v>
      </c>
      <c r="CV38" s="272">
        <v>21686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385158</v>
      </c>
      <c r="DD38" s="272">
        <v>74532</v>
      </c>
      <c r="DE38" s="272">
        <v>310352</v>
      </c>
      <c r="DF38" s="26">
        <v>0</v>
      </c>
      <c r="DG38" s="27">
        <v>0</v>
      </c>
      <c r="DH38" s="272">
        <v>5334</v>
      </c>
      <c r="DI38" s="272">
        <v>34364</v>
      </c>
      <c r="DJ38" s="272">
        <v>26145</v>
      </c>
      <c r="DK38" s="272">
        <v>3870</v>
      </c>
      <c r="DL38" s="272">
        <v>4349</v>
      </c>
      <c r="DM38" s="272">
        <v>1600</v>
      </c>
      <c r="DN38" s="272">
        <v>0</v>
      </c>
      <c r="DO38" s="272">
        <v>0</v>
      </c>
      <c r="DP38" s="272">
        <v>0</v>
      </c>
      <c r="DQ38" s="272">
        <v>53378</v>
      </c>
      <c r="DR38" s="272">
        <v>0</v>
      </c>
      <c r="DS38" s="272">
        <v>0</v>
      </c>
      <c r="DT38" s="272">
        <v>1246509</v>
      </c>
      <c r="DU38" s="272">
        <v>550000</v>
      </c>
      <c r="DV38" s="455">
        <f t="shared" si="11"/>
        <v>0</v>
      </c>
      <c r="DW38" s="272">
        <v>0</v>
      </c>
      <c r="DX38" s="272">
        <v>220888</v>
      </c>
      <c r="DY38" s="272">
        <v>0</v>
      </c>
      <c r="DZ38" s="272">
        <v>183468</v>
      </c>
      <c r="EA38" s="272">
        <v>17801</v>
      </c>
      <c r="EB38" s="272">
        <v>250952</v>
      </c>
      <c r="EC38" s="272">
        <v>0</v>
      </c>
      <c r="ED38" s="272">
        <v>8502099</v>
      </c>
      <c r="EE38" s="89"/>
      <c r="EF38" s="272">
        <v>37517</v>
      </c>
      <c r="EG38" s="272">
        <v>12729</v>
      </c>
      <c r="EH38" s="272">
        <v>24788</v>
      </c>
      <c r="EI38" s="272">
        <v>1687</v>
      </c>
      <c r="EJ38" s="272">
        <v>-188631</v>
      </c>
      <c r="EK38" s="89"/>
      <c r="EL38" s="272"/>
      <c r="EM38" s="272">
        <v>29382</v>
      </c>
      <c r="EN38" s="272">
        <v>328077</v>
      </c>
      <c r="EO38" s="272">
        <v>5445</v>
      </c>
      <c r="EP38" s="455">
        <f t="shared" si="12"/>
        <v>115290</v>
      </c>
      <c r="EQ38" s="272">
        <v>6350510</v>
      </c>
      <c r="ER38" s="272">
        <v>-721059</v>
      </c>
      <c r="ES38" s="272">
        <v>2260640</v>
      </c>
      <c r="ET38" s="272">
        <v>1335109</v>
      </c>
      <c r="EU38" s="272">
        <v>591593</v>
      </c>
      <c r="EV38" s="272">
        <v>1242034</v>
      </c>
      <c r="EW38" s="455">
        <f t="shared" si="13"/>
        <v>153497</v>
      </c>
      <c r="EX38" s="272">
        <v>148163</v>
      </c>
      <c r="EY38" s="272">
        <v>14714</v>
      </c>
      <c r="EZ38" s="272">
        <v>133175</v>
      </c>
      <c r="FA38" s="272">
        <v>5334</v>
      </c>
      <c r="FB38" s="272">
        <v>0</v>
      </c>
      <c r="FC38" s="272">
        <v>1254122</v>
      </c>
      <c r="FD38" s="272">
        <v>292210</v>
      </c>
      <c r="FE38" s="272">
        <v>2036</v>
      </c>
      <c r="FF38" s="272">
        <v>1133388</v>
      </c>
      <c r="FG38" s="455">
        <f t="shared" si="14"/>
        <v>106568</v>
      </c>
      <c r="FH38" s="272">
        <v>7034052</v>
      </c>
      <c r="FI38" s="459">
        <f t="shared" si="15"/>
        <v>0.4</v>
      </c>
      <c r="FJ38" s="272">
        <v>5536561</v>
      </c>
      <c r="FK38" s="272">
        <v>276065</v>
      </c>
      <c r="FL38" s="272">
        <v>3728543</v>
      </c>
      <c r="FM38" s="272">
        <v>4421057</v>
      </c>
      <c r="FN38" s="460">
        <v>0.84399999999999997</v>
      </c>
      <c r="FO38" s="388">
        <v>102.2</v>
      </c>
      <c r="FP38" s="388">
        <v>33.700000000000003</v>
      </c>
      <c r="FQ38" s="388">
        <v>9.6999999999999993</v>
      </c>
      <c r="FR38" s="388">
        <v>20.399999999999999</v>
      </c>
      <c r="FS38" s="388">
        <v>19.3</v>
      </c>
      <c r="FT38" s="388">
        <v>3.8</v>
      </c>
      <c r="FU38" s="388">
        <v>14</v>
      </c>
      <c r="FV38" s="384">
        <f t="shared" si="16"/>
        <v>13.5</v>
      </c>
      <c r="FW38" s="272">
        <v>12727491</v>
      </c>
      <c r="FX38" s="384">
        <f t="shared" si="17"/>
        <v>219</v>
      </c>
      <c r="FY38" s="272">
        <v>4032508</v>
      </c>
      <c r="FZ38" s="272">
        <v>1384320</v>
      </c>
      <c r="GA38" s="272">
        <v>1322436</v>
      </c>
      <c r="GB38" s="272">
        <v>1325752</v>
      </c>
      <c r="GC38" s="272">
        <v>0</v>
      </c>
      <c r="GD38" s="457"/>
      <c r="GE38" s="384"/>
      <c r="GF38" s="388">
        <v>99.2</v>
      </c>
      <c r="GG38" s="388">
        <v>9.4</v>
      </c>
      <c r="GH38" s="388">
        <v>93.6</v>
      </c>
      <c r="GI38" s="272">
        <v>223</v>
      </c>
      <c r="GJ38" s="461" t="s">
        <v>646</v>
      </c>
      <c r="GK38" s="461">
        <v>14.53</v>
      </c>
      <c r="GL38" s="462">
        <v>20</v>
      </c>
      <c r="GM38" s="461" t="s">
        <v>646</v>
      </c>
      <c r="GN38" s="462">
        <v>19.53</v>
      </c>
      <c r="GO38" s="462">
        <v>40</v>
      </c>
      <c r="GP38" s="463">
        <v>13.5</v>
      </c>
      <c r="GQ38" s="463">
        <v>25</v>
      </c>
      <c r="GR38" s="463">
        <v>35</v>
      </c>
      <c r="GS38" s="464">
        <v>50.1</v>
      </c>
      <c r="GT38" s="463">
        <v>350</v>
      </c>
      <c r="GU38" s="394"/>
      <c r="GV38" s="394"/>
      <c r="GW38" s="394"/>
      <c r="GX38" s="394"/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</row>
    <row r="39" spans="2:230" x14ac:dyDescent="0.15">
      <c r="B39" s="89" t="s">
        <v>71</v>
      </c>
      <c r="C39" s="272">
        <v>2611372</v>
      </c>
      <c r="D39" s="455">
        <f t="shared" si="0"/>
        <v>1688832</v>
      </c>
      <c r="E39" s="272">
        <v>34676</v>
      </c>
      <c r="F39" s="456">
        <v>1654156</v>
      </c>
      <c r="G39" s="455">
        <f t="shared" si="1"/>
        <v>28190</v>
      </c>
      <c r="H39" s="272">
        <v>19190</v>
      </c>
      <c r="I39" s="272">
        <v>9000</v>
      </c>
      <c r="J39" s="272">
        <v>821097</v>
      </c>
      <c r="K39" s="272">
        <v>257715</v>
      </c>
      <c r="L39" s="272">
        <v>422704</v>
      </c>
      <c r="M39" s="272">
        <v>140678</v>
      </c>
      <c r="N39" s="272">
        <v>48397</v>
      </c>
      <c r="O39" s="272">
        <v>0</v>
      </c>
      <c r="P39" s="272">
        <v>0</v>
      </c>
      <c r="Q39" s="272">
        <v>0</v>
      </c>
      <c r="R39" s="272">
        <v>78881</v>
      </c>
      <c r="S39" s="272">
        <v>0</v>
      </c>
      <c r="T39" s="455">
        <f t="shared" si="2"/>
        <v>264588</v>
      </c>
      <c r="U39" s="272">
        <v>28431</v>
      </c>
      <c r="V39" s="272">
        <v>11205</v>
      </c>
      <c r="W39" s="456">
        <v>3923</v>
      </c>
      <c r="X39" s="272">
        <v>146267</v>
      </c>
      <c r="Y39" s="272">
        <v>9244</v>
      </c>
      <c r="Z39" s="272">
        <v>0</v>
      </c>
      <c r="AA39" s="272">
        <v>65518</v>
      </c>
      <c r="AB39" s="272">
        <v>32445</v>
      </c>
      <c r="AC39" s="272">
        <v>1613377</v>
      </c>
      <c r="AD39" s="272">
        <v>1296120</v>
      </c>
      <c r="AE39" s="272">
        <v>317257</v>
      </c>
      <c r="AF39" s="272">
        <v>4259</v>
      </c>
      <c r="AG39" s="272">
        <v>49375</v>
      </c>
      <c r="AH39" s="455">
        <f t="shared" si="3"/>
        <v>92668</v>
      </c>
      <c r="AI39" s="272">
        <v>79045</v>
      </c>
      <c r="AJ39" s="272">
        <v>13623</v>
      </c>
      <c r="AK39" s="272">
        <v>221316</v>
      </c>
      <c r="AL39" s="455">
        <f t="shared" si="4"/>
        <v>25228</v>
      </c>
      <c r="AM39" s="272">
        <v>0</v>
      </c>
      <c r="AN39" s="272">
        <v>25228</v>
      </c>
      <c r="AO39" s="272">
        <v>0</v>
      </c>
      <c r="AP39" s="272">
        <v>0</v>
      </c>
      <c r="AQ39" s="272">
        <v>96000</v>
      </c>
      <c r="AR39" s="272">
        <v>0</v>
      </c>
      <c r="AS39" s="272">
        <v>0</v>
      </c>
      <c r="AT39" s="272">
        <v>274140</v>
      </c>
      <c r="AU39" s="272">
        <v>78350</v>
      </c>
      <c r="AV39" s="272">
        <v>4990</v>
      </c>
      <c r="AW39" s="272">
        <v>88</v>
      </c>
      <c r="AX39" s="272">
        <v>195790</v>
      </c>
      <c r="AY39" s="272">
        <v>28652</v>
      </c>
      <c r="AZ39" s="272">
        <v>6553</v>
      </c>
      <c r="BA39" s="272">
        <v>202</v>
      </c>
      <c r="BB39" s="272">
        <v>716</v>
      </c>
      <c r="BC39" s="272">
        <v>253423</v>
      </c>
      <c r="BD39" s="272">
        <v>80000</v>
      </c>
      <c r="BE39" s="272">
        <v>0</v>
      </c>
      <c r="BF39" s="272">
        <v>120000</v>
      </c>
      <c r="BG39" s="456">
        <v>0</v>
      </c>
      <c r="BH39" s="272">
        <v>244256</v>
      </c>
      <c r="BI39" s="272">
        <v>177700</v>
      </c>
      <c r="BJ39" s="272">
        <v>196383</v>
      </c>
      <c r="BK39" s="272">
        <v>5014</v>
      </c>
      <c r="BL39" s="272">
        <v>0</v>
      </c>
      <c r="BM39" s="272">
        <v>0</v>
      </c>
      <c r="BN39" s="272">
        <v>306036</v>
      </c>
      <c r="BO39" s="455">
        <f t="shared" si="5"/>
        <v>63700</v>
      </c>
      <c r="BP39" s="455">
        <f t="shared" si="6"/>
        <v>242336</v>
      </c>
      <c r="BQ39" s="272">
        <v>0</v>
      </c>
      <c r="BR39" s="272">
        <v>0</v>
      </c>
      <c r="BS39" s="272">
        <v>242336</v>
      </c>
      <c r="BT39" s="272">
        <v>0</v>
      </c>
      <c r="BU39" s="272">
        <v>6249788</v>
      </c>
      <c r="BV39" s="272"/>
      <c r="BW39" s="272">
        <v>2218589</v>
      </c>
      <c r="BX39" s="272">
        <v>1526473</v>
      </c>
      <c r="BY39" s="272">
        <v>89476</v>
      </c>
      <c r="BZ39" s="272">
        <v>213264</v>
      </c>
      <c r="CA39" s="272">
        <v>262991</v>
      </c>
      <c r="CB39" s="272">
        <v>117888</v>
      </c>
      <c r="CC39" s="272">
        <v>26261</v>
      </c>
      <c r="CD39" s="272">
        <v>113111</v>
      </c>
      <c r="CE39" s="272">
        <v>0</v>
      </c>
      <c r="CF39" s="272">
        <v>0</v>
      </c>
      <c r="CG39" s="272">
        <v>5731</v>
      </c>
      <c r="CH39" s="272">
        <v>520483</v>
      </c>
      <c r="CI39" s="272">
        <v>424905</v>
      </c>
      <c r="CJ39" s="455">
        <f t="shared" si="7"/>
        <v>95578</v>
      </c>
      <c r="CK39" s="272">
        <v>1017134</v>
      </c>
      <c r="CL39" s="272">
        <v>547916</v>
      </c>
      <c r="CM39" s="272">
        <v>63819</v>
      </c>
      <c r="CN39" s="272">
        <v>232359</v>
      </c>
      <c r="CO39" s="272">
        <v>146090</v>
      </c>
      <c r="CP39" s="272">
        <v>710500</v>
      </c>
      <c r="CQ39" s="272">
        <v>387752</v>
      </c>
      <c r="CR39" s="272">
        <v>107015</v>
      </c>
      <c r="CS39" s="272">
        <v>97229</v>
      </c>
      <c r="CT39" s="455">
        <f t="shared" si="8"/>
        <v>70858</v>
      </c>
      <c r="CU39" s="272">
        <v>45031</v>
      </c>
      <c r="CV39" s="272">
        <v>25827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348064</v>
      </c>
      <c r="DD39" s="272">
        <v>165581</v>
      </c>
      <c r="DE39" s="272">
        <v>182483</v>
      </c>
      <c r="DF39" s="26">
        <v>0</v>
      </c>
      <c r="DG39" s="27">
        <v>0</v>
      </c>
      <c r="DH39" s="272">
        <v>0</v>
      </c>
      <c r="DI39" s="272">
        <v>94028</v>
      </c>
      <c r="DJ39" s="272">
        <v>93076</v>
      </c>
      <c r="DK39" s="272">
        <v>2</v>
      </c>
      <c r="DL39" s="272">
        <v>950</v>
      </c>
      <c r="DM39" s="272">
        <v>1100</v>
      </c>
      <c r="DN39" s="272">
        <v>0</v>
      </c>
      <c r="DO39" s="272">
        <v>0</v>
      </c>
      <c r="DP39" s="272">
        <v>0</v>
      </c>
      <c r="DQ39" s="272">
        <v>3864</v>
      </c>
      <c r="DR39" s="272">
        <v>0</v>
      </c>
      <c r="DS39" s="272">
        <v>0</v>
      </c>
      <c r="DT39" s="272">
        <v>694387</v>
      </c>
      <c r="DU39" s="272">
        <v>175111</v>
      </c>
      <c r="DV39" s="455">
        <f t="shared" si="11"/>
        <v>0</v>
      </c>
      <c r="DW39" s="272">
        <v>0</v>
      </c>
      <c r="DX39" s="272">
        <v>184481</v>
      </c>
      <c r="DY39" s="272">
        <v>0</v>
      </c>
      <c r="DZ39" s="272">
        <v>96955</v>
      </c>
      <c r="EA39" s="272">
        <v>14004</v>
      </c>
      <c r="EB39" s="272">
        <v>198044</v>
      </c>
      <c r="EC39" s="272">
        <v>0</v>
      </c>
      <c r="ED39" s="272">
        <v>6017230</v>
      </c>
      <c r="EE39" s="89"/>
      <c r="EF39" s="272">
        <v>232558</v>
      </c>
      <c r="EG39" s="272">
        <v>34247</v>
      </c>
      <c r="EH39" s="272">
        <v>198311</v>
      </c>
      <c r="EI39" s="272">
        <v>20611</v>
      </c>
      <c r="EJ39" s="272">
        <v>33687</v>
      </c>
      <c r="EK39" s="89"/>
      <c r="EL39" s="272"/>
      <c r="EM39" s="272">
        <v>23631</v>
      </c>
      <c r="EN39" s="272">
        <v>150365</v>
      </c>
      <c r="EO39" s="272">
        <v>2019</v>
      </c>
      <c r="EP39" s="455">
        <f t="shared" si="12"/>
        <v>347499</v>
      </c>
      <c r="EQ39" s="272">
        <v>4604922</v>
      </c>
      <c r="ER39" s="272">
        <v>-737960</v>
      </c>
      <c r="ES39" s="272">
        <v>2038600</v>
      </c>
      <c r="ET39" s="272">
        <v>1404246</v>
      </c>
      <c r="EU39" s="272">
        <v>73788</v>
      </c>
      <c r="EV39" s="272">
        <v>520483</v>
      </c>
      <c r="EW39" s="455">
        <f t="shared" si="13"/>
        <v>118817</v>
      </c>
      <c r="EX39" s="272">
        <v>118817</v>
      </c>
      <c r="EY39" s="272">
        <v>18493</v>
      </c>
      <c r="EZ39" s="272">
        <v>100324</v>
      </c>
      <c r="FA39" s="272">
        <v>0</v>
      </c>
      <c r="FB39" s="272">
        <v>0</v>
      </c>
      <c r="FC39" s="272">
        <v>905939</v>
      </c>
      <c r="FD39" s="272">
        <v>606068</v>
      </c>
      <c r="FE39" s="272">
        <v>311752</v>
      </c>
      <c r="FF39" s="272">
        <v>635253</v>
      </c>
      <c r="FG39" s="455">
        <f t="shared" si="14"/>
        <v>219260</v>
      </c>
      <c r="FH39" s="272">
        <v>5118208</v>
      </c>
      <c r="FI39" s="459">
        <f t="shared" si="15"/>
        <v>4.3</v>
      </c>
      <c r="FJ39" s="272">
        <v>4361351</v>
      </c>
      <c r="FK39" s="272">
        <v>242336</v>
      </c>
      <c r="FL39" s="272">
        <v>2378022</v>
      </c>
      <c r="FM39" s="272">
        <v>3675920</v>
      </c>
      <c r="FN39" s="460">
        <v>0.65200000000000002</v>
      </c>
      <c r="FO39" s="388">
        <v>97.9</v>
      </c>
      <c r="FP39" s="388">
        <v>43.9</v>
      </c>
      <c r="FQ39" s="388">
        <v>1.6</v>
      </c>
      <c r="FR39" s="388">
        <v>11.4</v>
      </c>
      <c r="FS39" s="388">
        <v>17.899999999999999</v>
      </c>
      <c r="FT39" s="388">
        <v>8.9</v>
      </c>
      <c r="FU39" s="388">
        <v>11.3</v>
      </c>
      <c r="FV39" s="384">
        <f t="shared" si="16"/>
        <v>4.9000000000000004</v>
      </c>
      <c r="FW39" s="272">
        <v>5570489</v>
      </c>
      <c r="FX39" s="384">
        <f t="shared" si="17"/>
        <v>121</v>
      </c>
      <c r="FY39" s="272">
        <v>1633475</v>
      </c>
      <c r="FZ39" s="272">
        <v>1046528</v>
      </c>
      <c r="GA39" s="272">
        <v>675</v>
      </c>
      <c r="GB39" s="272">
        <v>586272</v>
      </c>
      <c r="GC39" s="272">
        <v>302400</v>
      </c>
      <c r="GD39" s="457"/>
      <c r="GE39" s="384"/>
      <c r="GF39" s="388">
        <v>99.2</v>
      </c>
      <c r="GG39" s="388">
        <v>17.100000000000001</v>
      </c>
      <c r="GH39" s="388">
        <v>96.1</v>
      </c>
      <c r="GI39" s="272">
        <v>232</v>
      </c>
      <c r="GJ39" s="461" t="s">
        <v>646</v>
      </c>
      <c r="GK39" s="461">
        <v>15</v>
      </c>
      <c r="GL39" s="462">
        <v>20</v>
      </c>
      <c r="GM39" s="461" t="s">
        <v>646</v>
      </c>
      <c r="GN39" s="462">
        <v>20</v>
      </c>
      <c r="GO39" s="462">
        <v>40</v>
      </c>
      <c r="GP39" s="463">
        <v>4.9000000000000004</v>
      </c>
      <c r="GQ39" s="463">
        <v>25</v>
      </c>
      <c r="GR39" s="463">
        <v>35</v>
      </c>
      <c r="GS39" s="464">
        <v>98.1</v>
      </c>
      <c r="GT39" s="463">
        <v>350</v>
      </c>
      <c r="GU39" s="394"/>
      <c r="GV39" s="394"/>
      <c r="GW39" s="394"/>
      <c r="GX39" s="394"/>
      <c r="GY39" s="394"/>
      <c r="GZ39" s="394"/>
      <c r="HA39" s="394"/>
      <c r="HB39" s="394"/>
      <c r="HC39" s="394"/>
      <c r="HD39" s="394"/>
      <c r="HE39" s="394"/>
      <c r="HF39" s="394"/>
      <c r="HG39" s="394"/>
      <c r="HH39" s="394"/>
      <c r="HI39" s="394"/>
      <c r="HJ39" s="394"/>
      <c r="HK39" s="394"/>
      <c r="HL39" s="394"/>
      <c r="HM39" s="394"/>
      <c r="HN39" s="394"/>
      <c r="HO39" s="394"/>
      <c r="HP39" s="394"/>
      <c r="HQ39" s="394"/>
      <c r="HR39" s="394"/>
      <c r="HS39" s="394"/>
      <c r="HT39" s="394"/>
      <c r="HU39" s="394"/>
      <c r="HV39" s="394"/>
    </row>
    <row r="40" spans="2:230" x14ac:dyDescent="0.15">
      <c r="B40" s="89" t="s">
        <v>73</v>
      </c>
      <c r="C40" s="272">
        <v>1456519</v>
      </c>
      <c r="D40" s="455">
        <f t="shared" si="0"/>
        <v>544947</v>
      </c>
      <c r="E40" s="272">
        <v>16980</v>
      </c>
      <c r="F40" s="456">
        <v>527967</v>
      </c>
      <c r="G40" s="455">
        <f t="shared" si="1"/>
        <v>54077</v>
      </c>
      <c r="H40" s="272">
        <v>19043</v>
      </c>
      <c r="I40" s="272">
        <v>35034</v>
      </c>
      <c r="J40" s="272">
        <v>774356</v>
      </c>
      <c r="K40" s="272">
        <v>147016</v>
      </c>
      <c r="L40" s="272">
        <v>302175</v>
      </c>
      <c r="M40" s="272">
        <v>325031</v>
      </c>
      <c r="N40" s="272">
        <v>44552</v>
      </c>
      <c r="O40" s="272">
        <v>0</v>
      </c>
      <c r="P40" s="272">
        <v>0</v>
      </c>
      <c r="Q40" s="272">
        <v>0</v>
      </c>
      <c r="R40" s="272">
        <v>73927</v>
      </c>
      <c r="S40" s="272">
        <v>0</v>
      </c>
      <c r="T40" s="455">
        <f t="shared" si="2"/>
        <v>205903</v>
      </c>
      <c r="U40" s="272">
        <v>9170</v>
      </c>
      <c r="V40" s="272">
        <v>3610</v>
      </c>
      <c r="W40" s="456">
        <v>1270</v>
      </c>
      <c r="X40" s="272">
        <v>103531</v>
      </c>
      <c r="Y40" s="272">
        <v>26916</v>
      </c>
      <c r="Z40" s="272">
        <v>0</v>
      </c>
      <c r="AA40" s="272">
        <v>61406</v>
      </c>
      <c r="AB40" s="272">
        <v>13609</v>
      </c>
      <c r="AC40" s="272">
        <v>1587667</v>
      </c>
      <c r="AD40" s="272">
        <v>1305384</v>
      </c>
      <c r="AE40" s="272">
        <v>282283</v>
      </c>
      <c r="AF40" s="272">
        <v>2469</v>
      </c>
      <c r="AG40" s="272">
        <v>12182</v>
      </c>
      <c r="AH40" s="455">
        <f t="shared" si="3"/>
        <v>100039</v>
      </c>
      <c r="AI40" s="272">
        <v>54303</v>
      </c>
      <c r="AJ40" s="272">
        <v>45736</v>
      </c>
      <c r="AK40" s="272">
        <v>85231</v>
      </c>
      <c r="AL40" s="455">
        <f t="shared" si="4"/>
        <v>0</v>
      </c>
      <c r="AM40" s="272">
        <v>0</v>
      </c>
      <c r="AN40" s="272">
        <v>0</v>
      </c>
      <c r="AO40" s="272">
        <v>0</v>
      </c>
      <c r="AP40" s="272">
        <v>0</v>
      </c>
      <c r="AQ40" s="272">
        <v>0</v>
      </c>
      <c r="AR40" s="272">
        <v>0</v>
      </c>
      <c r="AS40" s="272">
        <v>0</v>
      </c>
      <c r="AT40" s="272">
        <v>333415</v>
      </c>
      <c r="AU40" s="272">
        <v>92440</v>
      </c>
      <c r="AV40" s="272">
        <v>0</v>
      </c>
      <c r="AW40" s="272">
        <v>0</v>
      </c>
      <c r="AX40" s="272">
        <v>240975</v>
      </c>
      <c r="AY40" s="272">
        <v>1250</v>
      </c>
      <c r="AZ40" s="272">
        <v>8708</v>
      </c>
      <c r="BA40" s="272">
        <v>851</v>
      </c>
      <c r="BB40" s="272">
        <v>1213</v>
      </c>
      <c r="BC40" s="272">
        <v>113150</v>
      </c>
      <c r="BD40" s="272">
        <v>0</v>
      </c>
      <c r="BE40" s="272">
        <v>0</v>
      </c>
      <c r="BF40" s="272">
        <v>62240</v>
      </c>
      <c r="BG40" s="272">
        <v>0</v>
      </c>
      <c r="BH40" s="272">
        <v>165539</v>
      </c>
      <c r="BI40" s="272">
        <v>165539</v>
      </c>
      <c r="BJ40" s="272">
        <v>161316</v>
      </c>
      <c r="BK40" s="272">
        <v>0</v>
      </c>
      <c r="BL40" s="272">
        <v>0</v>
      </c>
      <c r="BM40" s="272">
        <v>0</v>
      </c>
      <c r="BN40" s="272">
        <v>214900</v>
      </c>
      <c r="BO40" s="455">
        <f t="shared" si="5"/>
        <v>48300</v>
      </c>
      <c r="BP40" s="455">
        <f t="shared" si="6"/>
        <v>166600</v>
      </c>
      <c r="BQ40" s="272">
        <v>0</v>
      </c>
      <c r="BR40" s="272">
        <v>0</v>
      </c>
      <c r="BS40" s="272">
        <v>166600</v>
      </c>
      <c r="BT40" s="272">
        <v>0</v>
      </c>
      <c r="BU40" s="272">
        <v>4535787</v>
      </c>
      <c r="BV40" s="272"/>
      <c r="BW40" s="272">
        <v>1170291</v>
      </c>
      <c r="BX40" s="272">
        <v>649571</v>
      </c>
      <c r="BY40" s="272">
        <v>115862</v>
      </c>
      <c r="BZ40" s="272">
        <v>157668</v>
      </c>
      <c r="CA40" s="272">
        <v>251763</v>
      </c>
      <c r="CB40" s="272">
        <v>107573</v>
      </c>
      <c r="CC40" s="272">
        <v>24382</v>
      </c>
      <c r="CD40" s="272">
        <v>98511</v>
      </c>
      <c r="CE40" s="272">
        <v>0</v>
      </c>
      <c r="CF40" s="272">
        <v>5340</v>
      </c>
      <c r="CG40" s="272">
        <v>15957</v>
      </c>
      <c r="CH40" s="272">
        <v>445625</v>
      </c>
      <c r="CI40" s="272">
        <v>381627</v>
      </c>
      <c r="CJ40" s="455">
        <f t="shared" si="7"/>
        <v>63998</v>
      </c>
      <c r="CK40" s="272">
        <v>694626</v>
      </c>
      <c r="CL40" s="272">
        <v>404911</v>
      </c>
      <c r="CM40" s="272">
        <v>10023</v>
      </c>
      <c r="CN40" s="272">
        <v>157435</v>
      </c>
      <c r="CO40" s="272">
        <v>27792</v>
      </c>
      <c r="CP40" s="272">
        <v>577628</v>
      </c>
      <c r="CQ40" s="272">
        <v>216617</v>
      </c>
      <c r="CR40" s="272">
        <v>128933</v>
      </c>
      <c r="CS40" s="272">
        <v>74081</v>
      </c>
      <c r="CT40" s="455">
        <f t="shared" si="8"/>
        <v>52290</v>
      </c>
      <c r="CU40" s="272">
        <v>250</v>
      </c>
      <c r="CV40" s="272">
        <v>52040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173799</v>
      </c>
      <c r="DD40" s="272">
        <v>0</v>
      </c>
      <c r="DE40" s="272">
        <v>170377</v>
      </c>
      <c r="DF40" s="26">
        <v>2942</v>
      </c>
      <c r="DG40" s="27">
        <v>480</v>
      </c>
      <c r="DH40" s="272">
        <v>0</v>
      </c>
      <c r="DI40" s="272">
        <v>358685</v>
      </c>
      <c r="DJ40" s="272">
        <v>284217</v>
      </c>
      <c r="DK40" s="272">
        <v>0</v>
      </c>
      <c r="DL40" s="272">
        <v>74468</v>
      </c>
      <c r="DM40" s="272">
        <v>1300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615080</v>
      </c>
      <c r="DU40" s="272">
        <v>181030</v>
      </c>
      <c r="DV40" s="455">
        <f t="shared" si="11"/>
        <v>0</v>
      </c>
      <c r="DW40" s="272">
        <v>0</v>
      </c>
      <c r="DX40" s="272">
        <v>148955</v>
      </c>
      <c r="DY40" s="272">
        <v>0</v>
      </c>
      <c r="DZ40" s="272">
        <v>90067</v>
      </c>
      <c r="EA40" s="272">
        <v>22256</v>
      </c>
      <c r="EB40" s="272">
        <v>141162</v>
      </c>
      <c r="EC40" s="272">
        <v>0</v>
      </c>
      <c r="ED40" s="272">
        <v>4316589</v>
      </c>
      <c r="EE40" s="89"/>
      <c r="EF40" s="272">
        <v>219198</v>
      </c>
      <c r="EG40" s="272">
        <v>34474</v>
      </c>
      <c r="EH40" s="272">
        <v>184724</v>
      </c>
      <c r="EI40" s="272">
        <v>19185</v>
      </c>
      <c r="EJ40" s="272">
        <v>303402</v>
      </c>
      <c r="EK40" s="89"/>
      <c r="EL40" s="272"/>
      <c r="EM40" s="272">
        <v>12600</v>
      </c>
      <c r="EN40" s="272">
        <v>74910</v>
      </c>
      <c r="EO40" s="272">
        <v>3187</v>
      </c>
      <c r="EP40" s="455">
        <f t="shared" si="12"/>
        <v>249925</v>
      </c>
      <c r="EQ40" s="272">
        <v>3340094</v>
      </c>
      <c r="ER40" s="272">
        <v>-492153</v>
      </c>
      <c r="ES40" s="272">
        <v>1098590</v>
      </c>
      <c r="ET40" s="272">
        <v>589054</v>
      </c>
      <c r="EU40" s="272">
        <v>112733</v>
      </c>
      <c r="EV40" s="272">
        <v>403766</v>
      </c>
      <c r="EW40" s="455">
        <f t="shared" si="13"/>
        <v>115469</v>
      </c>
      <c r="EX40" s="272">
        <v>115469</v>
      </c>
      <c r="EY40" s="272">
        <v>0</v>
      </c>
      <c r="EZ40" s="272">
        <v>112527</v>
      </c>
      <c r="FA40" s="272">
        <v>0</v>
      </c>
      <c r="FB40" s="272">
        <v>0</v>
      </c>
      <c r="FC40" s="272">
        <v>523549</v>
      </c>
      <c r="FD40" s="272">
        <v>424969</v>
      </c>
      <c r="FE40" s="272">
        <v>216617</v>
      </c>
      <c r="FF40" s="272">
        <v>554390</v>
      </c>
      <c r="FG40" s="455">
        <f t="shared" si="14"/>
        <v>379583</v>
      </c>
      <c r="FH40" s="272">
        <v>3613049</v>
      </c>
      <c r="FI40" s="459">
        <f t="shared" si="15"/>
        <v>5.7</v>
      </c>
      <c r="FJ40" s="272">
        <v>3095512</v>
      </c>
      <c r="FK40" s="272">
        <v>166623</v>
      </c>
      <c r="FL40" s="272">
        <v>1397412</v>
      </c>
      <c r="FM40" s="272">
        <v>2703982</v>
      </c>
      <c r="FN40" s="460">
        <v>0.53700000000000003</v>
      </c>
      <c r="FO40" s="388">
        <v>87</v>
      </c>
      <c r="FP40" s="388">
        <v>32.9</v>
      </c>
      <c r="FQ40" s="388">
        <v>3.5</v>
      </c>
      <c r="FR40" s="388">
        <v>12.5</v>
      </c>
      <c r="FS40" s="388">
        <v>14.2</v>
      </c>
      <c r="FT40" s="388">
        <v>8.6999999999999993</v>
      </c>
      <c r="FU40" s="388">
        <v>14.5</v>
      </c>
      <c r="FV40" s="384">
        <f t="shared" si="16"/>
        <v>7.9</v>
      </c>
      <c r="FW40" s="272">
        <v>3860654</v>
      </c>
      <c r="FX40" s="384">
        <f t="shared" si="17"/>
        <v>118.3</v>
      </c>
      <c r="FY40" s="272">
        <v>2616379</v>
      </c>
      <c r="FZ40" s="272">
        <v>1866604</v>
      </c>
      <c r="GA40" s="272">
        <v>0</v>
      </c>
      <c r="GB40" s="272">
        <v>749775</v>
      </c>
      <c r="GC40" s="272">
        <v>0</v>
      </c>
      <c r="GD40" s="457"/>
      <c r="GE40" s="384"/>
      <c r="GF40" s="388">
        <v>96.8</v>
      </c>
      <c r="GG40" s="388">
        <v>18.100000000000001</v>
      </c>
      <c r="GH40" s="388">
        <v>87.2</v>
      </c>
      <c r="GI40" s="272">
        <v>110</v>
      </c>
      <c r="GJ40" s="461" t="s">
        <v>646</v>
      </c>
      <c r="GK40" s="461">
        <v>15</v>
      </c>
      <c r="GL40" s="462">
        <v>20</v>
      </c>
      <c r="GM40" s="461" t="s">
        <v>646</v>
      </c>
      <c r="GN40" s="462">
        <v>20</v>
      </c>
      <c r="GO40" s="462">
        <v>40</v>
      </c>
      <c r="GP40" s="463">
        <v>7.9</v>
      </c>
      <c r="GQ40" s="463">
        <v>25</v>
      </c>
      <c r="GR40" s="463">
        <v>35</v>
      </c>
      <c r="GS40" s="464">
        <v>51.9</v>
      </c>
      <c r="GT40" s="463">
        <v>350</v>
      </c>
      <c r="GU40" s="394"/>
      <c r="GV40" s="394"/>
      <c r="GW40" s="394"/>
      <c r="GX40" s="394"/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</row>
    <row r="41" spans="2:230" x14ac:dyDescent="0.15">
      <c r="B41" s="89" t="s">
        <v>75</v>
      </c>
      <c r="C41" s="272">
        <v>2387114</v>
      </c>
      <c r="D41" s="455">
        <f t="shared" si="0"/>
        <v>730992</v>
      </c>
      <c r="E41" s="272">
        <v>21295</v>
      </c>
      <c r="F41" s="456">
        <v>709697</v>
      </c>
      <c r="G41" s="455">
        <f t="shared" si="1"/>
        <v>181969</v>
      </c>
      <c r="H41" s="272">
        <v>46149</v>
      </c>
      <c r="I41" s="272">
        <v>135820</v>
      </c>
      <c r="J41" s="272">
        <v>1119196</v>
      </c>
      <c r="K41" s="272">
        <v>546115</v>
      </c>
      <c r="L41" s="272">
        <v>409873</v>
      </c>
      <c r="M41" s="272">
        <v>149562</v>
      </c>
      <c r="N41" s="272">
        <v>95182</v>
      </c>
      <c r="O41" s="272">
        <v>235544</v>
      </c>
      <c r="P41" s="272">
        <v>144036</v>
      </c>
      <c r="Q41" s="272">
        <v>91508</v>
      </c>
      <c r="R41" s="272">
        <v>41788</v>
      </c>
      <c r="S41" s="272">
        <v>0</v>
      </c>
      <c r="T41" s="455">
        <f t="shared" si="2"/>
        <v>216790</v>
      </c>
      <c r="U41" s="272">
        <v>11832</v>
      </c>
      <c r="V41" s="272">
        <v>4647</v>
      </c>
      <c r="W41" s="456">
        <v>1665</v>
      </c>
      <c r="X41" s="272">
        <v>163938</v>
      </c>
      <c r="Y41" s="272">
        <v>0</v>
      </c>
      <c r="Z41" s="272">
        <v>0</v>
      </c>
      <c r="AA41" s="272">
        <v>34708</v>
      </c>
      <c r="AB41" s="272">
        <v>46903</v>
      </c>
      <c r="AC41" s="272">
        <v>1443851</v>
      </c>
      <c r="AD41" s="272">
        <v>1165203</v>
      </c>
      <c r="AE41" s="272">
        <v>278648</v>
      </c>
      <c r="AF41" s="272">
        <v>3825</v>
      </c>
      <c r="AG41" s="272">
        <v>866</v>
      </c>
      <c r="AH41" s="455">
        <f t="shared" si="3"/>
        <v>220460</v>
      </c>
      <c r="AI41" s="272">
        <v>183940</v>
      </c>
      <c r="AJ41" s="272">
        <v>36520</v>
      </c>
      <c r="AK41" s="272">
        <v>196396</v>
      </c>
      <c r="AL41" s="455">
        <f t="shared" si="4"/>
        <v>26192</v>
      </c>
      <c r="AM41" s="272">
        <v>0</v>
      </c>
      <c r="AN41" s="272">
        <v>26192</v>
      </c>
      <c r="AO41" s="272">
        <v>0</v>
      </c>
      <c r="AP41" s="272">
        <v>0</v>
      </c>
      <c r="AQ41" s="272">
        <v>0</v>
      </c>
      <c r="AR41" s="272">
        <v>0</v>
      </c>
      <c r="AS41" s="272">
        <v>0</v>
      </c>
      <c r="AT41" s="272">
        <v>328182</v>
      </c>
      <c r="AU41" s="272">
        <v>111552</v>
      </c>
      <c r="AV41" s="272">
        <v>13096</v>
      </c>
      <c r="AW41" s="272">
        <v>0</v>
      </c>
      <c r="AX41" s="272">
        <v>216630</v>
      </c>
      <c r="AY41" s="272">
        <v>41260</v>
      </c>
      <c r="AZ41" s="272">
        <v>1630</v>
      </c>
      <c r="BA41" s="272">
        <v>1397</v>
      </c>
      <c r="BB41" s="272">
        <v>1450</v>
      </c>
      <c r="BC41" s="272">
        <v>38700</v>
      </c>
      <c r="BD41" s="272">
        <v>1100</v>
      </c>
      <c r="BE41" s="272">
        <v>0</v>
      </c>
      <c r="BF41" s="272">
        <v>37600</v>
      </c>
      <c r="BG41" s="272">
        <v>0</v>
      </c>
      <c r="BH41" s="272">
        <v>17639</v>
      </c>
      <c r="BI41" s="272">
        <v>2046</v>
      </c>
      <c r="BJ41" s="272">
        <v>196994</v>
      </c>
      <c r="BK41" s="272">
        <v>35</v>
      </c>
      <c r="BL41" s="272">
        <v>0</v>
      </c>
      <c r="BM41" s="272">
        <v>0</v>
      </c>
      <c r="BN41" s="272">
        <v>1286500</v>
      </c>
      <c r="BO41" s="455">
        <f t="shared" si="5"/>
        <v>1083600</v>
      </c>
      <c r="BP41" s="455">
        <f t="shared" si="6"/>
        <v>202900</v>
      </c>
      <c r="BQ41" s="272">
        <v>0</v>
      </c>
      <c r="BR41" s="272">
        <v>0</v>
      </c>
      <c r="BS41" s="272">
        <v>202900</v>
      </c>
      <c r="BT41" s="272">
        <v>0</v>
      </c>
      <c r="BU41" s="272">
        <v>6429088</v>
      </c>
      <c r="BV41" s="272"/>
      <c r="BW41" s="272">
        <v>1253673</v>
      </c>
      <c r="BX41" s="272">
        <v>882398</v>
      </c>
      <c r="BY41" s="272">
        <v>110802</v>
      </c>
      <c r="BZ41" s="272">
        <v>11182</v>
      </c>
      <c r="CA41" s="272">
        <v>618735</v>
      </c>
      <c r="CB41" s="272">
        <v>182504</v>
      </c>
      <c r="CC41" s="272">
        <v>32339</v>
      </c>
      <c r="CD41" s="272">
        <v>389481</v>
      </c>
      <c r="CE41" s="272">
        <v>0</v>
      </c>
      <c r="CF41" s="272">
        <v>0</v>
      </c>
      <c r="CG41" s="272">
        <v>14411</v>
      </c>
      <c r="CH41" s="272">
        <v>2022255</v>
      </c>
      <c r="CI41" s="272">
        <v>1848472</v>
      </c>
      <c r="CJ41" s="455">
        <f t="shared" si="7"/>
        <v>173783</v>
      </c>
      <c r="CK41" s="272">
        <v>1109950</v>
      </c>
      <c r="CL41" s="272">
        <v>698054</v>
      </c>
      <c r="CM41" s="272">
        <v>93459</v>
      </c>
      <c r="CN41" s="272">
        <v>183977</v>
      </c>
      <c r="CO41" s="272">
        <v>148825</v>
      </c>
      <c r="CP41" s="272">
        <v>211945</v>
      </c>
      <c r="CQ41" s="272">
        <v>2168</v>
      </c>
      <c r="CR41" s="272">
        <v>54435</v>
      </c>
      <c r="CS41" s="272">
        <v>37627</v>
      </c>
      <c r="CT41" s="455">
        <f t="shared" si="8"/>
        <v>31793</v>
      </c>
      <c r="CU41" s="272">
        <v>31793</v>
      </c>
      <c r="CV41" s="272">
        <v>0</v>
      </c>
      <c r="CW41" s="455">
        <f t="shared" si="9"/>
        <v>31496</v>
      </c>
      <c r="CX41" s="272">
        <v>31496</v>
      </c>
      <c r="CY41" s="272">
        <v>0</v>
      </c>
      <c r="CZ41" s="455">
        <f t="shared" si="10"/>
        <v>0</v>
      </c>
      <c r="DA41" s="272">
        <v>0</v>
      </c>
      <c r="DB41" s="272">
        <v>0</v>
      </c>
      <c r="DC41" s="272">
        <v>251245</v>
      </c>
      <c r="DD41" s="272">
        <v>0</v>
      </c>
      <c r="DE41" s="272">
        <v>251245</v>
      </c>
      <c r="DF41" s="26">
        <v>0</v>
      </c>
      <c r="DG41" s="27">
        <v>0</v>
      </c>
      <c r="DH41" s="272">
        <v>0</v>
      </c>
      <c r="DI41" s="272">
        <v>1493</v>
      </c>
      <c r="DJ41" s="272">
        <v>1100</v>
      </c>
      <c r="DK41" s="272">
        <v>0</v>
      </c>
      <c r="DL41" s="272">
        <v>393</v>
      </c>
      <c r="DM41" s="272">
        <v>1600</v>
      </c>
      <c r="DN41" s="272">
        <v>0</v>
      </c>
      <c r="DO41" s="272">
        <v>0</v>
      </c>
      <c r="DP41" s="272">
        <v>0</v>
      </c>
      <c r="DQ41" s="272">
        <v>0</v>
      </c>
      <c r="DR41" s="272">
        <v>0</v>
      </c>
      <c r="DS41" s="272">
        <v>0</v>
      </c>
      <c r="DT41" s="272">
        <v>1078383</v>
      </c>
      <c r="DU41" s="272">
        <v>570848</v>
      </c>
      <c r="DV41" s="455">
        <f t="shared" si="11"/>
        <v>0</v>
      </c>
      <c r="DW41" s="272">
        <v>0</v>
      </c>
      <c r="DX41" s="272">
        <v>153701</v>
      </c>
      <c r="DY41" s="272">
        <v>0</v>
      </c>
      <c r="DZ41" s="272">
        <v>170083</v>
      </c>
      <c r="EA41" s="272">
        <v>12869</v>
      </c>
      <c r="EB41" s="272">
        <v>170882</v>
      </c>
      <c r="EC41" s="272">
        <v>0</v>
      </c>
      <c r="ED41" s="272">
        <v>6698104</v>
      </c>
      <c r="EE41" s="89"/>
      <c r="EF41" s="272">
        <v>-269016</v>
      </c>
      <c r="EG41" s="272">
        <v>3657</v>
      </c>
      <c r="EH41" s="272">
        <v>-272673</v>
      </c>
      <c r="EI41" s="272">
        <v>-274719</v>
      </c>
      <c r="EJ41" s="272">
        <v>-274719</v>
      </c>
      <c r="EK41" s="89"/>
      <c r="EL41" s="272"/>
      <c r="EM41" s="272">
        <v>17690</v>
      </c>
      <c r="EN41" s="272">
        <v>1100</v>
      </c>
      <c r="EO41" s="272">
        <v>1630</v>
      </c>
      <c r="EP41" s="455">
        <f t="shared" si="12"/>
        <v>1144125</v>
      </c>
      <c r="EQ41" s="272">
        <v>4140271</v>
      </c>
      <c r="ER41" s="272">
        <v>-1345930</v>
      </c>
      <c r="ES41" s="272">
        <v>1136870</v>
      </c>
      <c r="ET41" s="272">
        <v>784219</v>
      </c>
      <c r="EU41" s="272">
        <v>239281</v>
      </c>
      <c r="EV41" s="272">
        <v>2022255</v>
      </c>
      <c r="EW41" s="455">
        <f t="shared" si="13"/>
        <v>155838</v>
      </c>
      <c r="EX41" s="272">
        <v>155838</v>
      </c>
      <c r="EY41" s="272">
        <v>0</v>
      </c>
      <c r="EZ41" s="272">
        <v>155838</v>
      </c>
      <c r="FA41" s="272">
        <v>0</v>
      </c>
      <c r="FB41" s="272">
        <v>0</v>
      </c>
      <c r="FC41" s="272">
        <v>959386</v>
      </c>
      <c r="FD41" s="272">
        <v>194230</v>
      </c>
      <c r="FE41" s="272">
        <v>2168</v>
      </c>
      <c r="FF41" s="272">
        <v>991149</v>
      </c>
      <c r="FG41" s="455">
        <f t="shared" si="14"/>
        <v>56208</v>
      </c>
      <c r="FH41" s="272">
        <v>5755217</v>
      </c>
      <c r="FI41" s="459">
        <f t="shared" si="15"/>
        <v>-6.9</v>
      </c>
      <c r="FJ41" s="272">
        <v>3761253</v>
      </c>
      <c r="FK41" s="272">
        <v>202920</v>
      </c>
      <c r="FL41" s="272">
        <v>1998341</v>
      </c>
      <c r="FM41" s="272">
        <v>3167359</v>
      </c>
      <c r="FN41" s="460">
        <v>0.59799999999999998</v>
      </c>
      <c r="FO41" s="388">
        <v>110.9</v>
      </c>
      <c r="FP41" s="388">
        <v>28.7</v>
      </c>
      <c r="FQ41" s="388">
        <v>6.2</v>
      </c>
      <c r="FR41" s="388">
        <v>24.8</v>
      </c>
      <c r="FS41" s="388">
        <v>23</v>
      </c>
      <c r="FT41" s="388">
        <v>3.3</v>
      </c>
      <c r="FU41" s="388">
        <v>23.4</v>
      </c>
      <c r="FV41" s="384">
        <f t="shared" si="16"/>
        <v>12.9</v>
      </c>
      <c r="FW41" s="272">
        <v>7687251</v>
      </c>
      <c r="FX41" s="384">
        <f t="shared" si="17"/>
        <v>193.9</v>
      </c>
      <c r="FY41" s="272">
        <v>245495</v>
      </c>
      <c r="FZ41" s="272">
        <v>0</v>
      </c>
      <c r="GA41" s="272">
        <v>0</v>
      </c>
      <c r="GB41" s="272">
        <v>245495</v>
      </c>
      <c r="GC41" s="272">
        <v>0</v>
      </c>
      <c r="GD41" s="457"/>
      <c r="GE41" s="384"/>
      <c r="GF41" s="388">
        <v>97.4</v>
      </c>
      <c r="GG41" s="388">
        <v>16.2</v>
      </c>
      <c r="GH41" s="388">
        <v>90.1</v>
      </c>
      <c r="GI41" s="272">
        <v>150</v>
      </c>
      <c r="GJ41" s="461">
        <v>6.87</v>
      </c>
      <c r="GK41" s="461">
        <v>15</v>
      </c>
      <c r="GL41" s="462">
        <v>20</v>
      </c>
      <c r="GM41" s="461">
        <v>10.18</v>
      </c>
      <c r="GN41" s="462">
        <v>20</v>
      </c>
      <c r="GO41" s="462">
        <v>40</v>
      </c>
      <c r="GP41" s="463">
        <v>12.9</v>
      </c>
      <c r="GQ41" s="463">
        <v>25</v>
      </c>
      <c r="GR41" s="463">
        <v>35</v>
      </c>
      <c r="GS41" s="464">
        <v>235.9</v>
      </c>
      <c r="GT41" s="463">
        <v>350</v>
      </c>
      <c r="GU41" s="394"/>
      <c r="GV41" s="394"/>
      <c r="GW41" s="394"/>
      <c r="GX41" s="394"/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</row>
    <row r="42" spans="2:230" x14ac:dyDescent="0.15">
      <c r="B42" s="89" t="s">
        <v>77</v>
      </c>
      <c r="C42" s="272">
        <v>4612666</v>
      </c>
      <c r="D42" s="455">
        <f t="shared" si="0"/>
        <v>2450661</v>
      </c>
      <c r="E42" s="272">
        <v>59395</v>
      </c>
      <c r="F42" s="456">
        <v>2391266</v>
      </c>
      <c r="G42" s="455">
        <f t="shared" si="1"/>
        <v>131098</v>
      </c>
      <c r="H42" s="272">
        <v>46779</v>
      </c>
      <c r="I42" s="272">
        <v>84319</v>
      </c>
      <c r="J42" s="272">
        <v>1801629</v>
      </c>
      <c r="K42" s="272">
        <v>685830</v>
      </c>
      <c r="L42" s="272">
        <v>855535</v>
      </c>
      <c r="M42" s="272">
        <v>248298</v>
      </c>
      <c r="N42" s="272">
        <v>161469</v>
      </c>
      <c r="O42" s="272">
        <v>0</v>
      </c>
      <c r="P42" s="272">
        <v>0</v>
      </c>
      <c r="Q42" s="272">
        <v>0</v>
      </c>
      <c r="R42" s="272">
        <v>105802</v>
      </c>
      <c r="S42" s="272">
        <v>0</v>
      </c>
      <c r="T42" s="455">
        <f t="shared" si="2"/>
        <v>487428</v>
      </c>
      <c r="U42" s="272">
        <v>39571</v>
      </c>
      <c r="V42" s="272">
        <v>15562</v>
      </c>
      <c r="W42" s="456">
        <v>5532</v>
      </c>
      <c r="X42" s="272">
        <v>329771</v>
      </c>
      <c r="Y42" s="272">
        <v>9114</v>
      </c>
      <c r="Z42" s="272">
        <v>0</v>
      </c>
      <c r="AA42" s="272">
        <v>87878</v>
      </c>
      <c r="AB42" s="272">
        <v>104278</v>
      </c>
      <c r="AC42" s="272">
        <v>1774463</v>
      </c>
      <c r="AD42" s="272">
        <v>1577750</v>
      </c>
      <c r="AE42" s="272">
        <v>196713</v>
      </c>
      <c r="AF42" s="272">
        <v>8512</v>
      </c>
      <c r="AG42" s="272">
        <v>11775</v>
      </c>
      <c r="AH42" s="455">
        <f t="shared" si="3"/>
        <v>351398</v>
      </c>
      <c r="AI42" s="272">
        <v>293201</v>
      </c>
      <c r="AJ42" s="272">
        <v>58197</v>
      </c>
      <c r="AK42" s="272">
        <v>499053</v>
      </c>
      <c r="AL42" s="455">
        <f t="shared" si="4"/>
        <v>60786</v>
      </c>
      <c r="AM42" s="272">
        <v>0</v>
      </c>
      <c r="AN42" s="272">
        <v>60786</v>
      </c>
      <c r="AO42" s="272">
        <v>0</v>
      </c>
      <c r="AP42" s="272">
        <v>0</v>
      </c>
      <c r="AQ42" s="272">
        <v>52893</v>
      </c>
      <c r="AR42" s="272">
        <v>0</v>
      </c>
      <c r="AS42" s="272">
        <v>0</v>
      </c>
      <c r="AT42" s="272">
        <v>767931</v>
      </c>
      <c r="AU42" s="272">
        <v>417711</v>
      </c>
      <c r="AV42" s="272">
        <v>30393</v>
      </c>
      <c r="AW42" s="272">
        <v>16665</v>
      </c>
      <c r="AX42" s="272">
        <v>350220</v>
      </c>
      <c r="AY42" s="272">
        <v>18848</v>
      </c>
      <c r="AZ42" s="272">
        <v>10650</v>
      </c>
      <c r="BA42" s="272">
        <v>800</v>
      </c>
      <c r="BB42" s="272">
        <v>520</v>
      </c>
      <c r="BC42" s="272">
        <v>433088</v>
      </c>
      <c r="BD42" s="272">
        <v>280000</v>
      </c>
      <c r="BE42" s="272">
        <v>0</v>
      </c>
      <c r="BF42" s="272">
        <v>153085</v>
      </c>
      <c r="BG42" s="272">
        <v>0</v>
      </c>
      <c r="BH42" s="272">
        <v>67286</v>
      </c>
      <c r="BI42" s="272">
        <v>55085</v>
      </c>
      <c r="BJ42" s="272">
        <v>261821</v>
      </c>
      <c r="BK42" s="272">
        <v>0</v>
      </c>
      <c r="BL42" s="272">
        <v>0</v>
      </c>
      <c r="BM42" s="272">
        <v>0</v>
      </c>
      <c r="BN42" s="272">
        <v>533300</v>
      </c>
      <c r="BO42" s="455">
        <f t="shared" si="5"/>
        <v>143300</v>
      </c>
      <c r="BP42" s="455">
        <f t="shared" si="6"/>
        <v>390000</v>
      </c>
      <c r="BQ42" s="272">
        <v>0</v>
      </c>
      <c r="BR42" s="272">
        <v>0</v>
      </c>
      <c r="BS42" s="272">
        <v>390000</v>
      </c>
      <c r="BT42" s="272">
        <v>0</v>
      </c>
      <c r="BU42" s="272">
        <v>10029971</v>
      </c>
      <c r="BV42" s="272"/>
      <c r="BW42" s="272">
        <v>3056795</v>
      </c>
      <c r="BX42" s="272">
        <v>2180880</v>
      </c>
      <c r="BY42" s="272">
        <v>225571</v>
      </c>
      <c r="BZ42" s="272">
        <v>151249</v>
      </c>
      <c r="CA42" s="272">
        <v>1154101</v>
      </c>
      <c r="CB42" s="272">
        <v>306246</v>
      </c>
      <c r="CC42" s="272">
        <v>59009</v>
      </c>
      <c r="CD42" s="272">
        <v>713171</v>
      </c>
      <c r="CE42" s="272">
        <v>0</v>
      </c>
      <c r="CF42" s="272">
        <v>675</v>
      </c>
      <c r="CG42" s="272">
        <v>75000</v>
      </c>
      <c r="CH42" s="272">
        <v>1225695</v>
      </c>
      <c r="CI42" s="272">
        <v>1048553</v>
      </c>
      <c r="CJ42" s="455">
        <f t="shared" si="7"/>
        <v>177142</v>
      </c>
      <c r="CK42" s="272">
        <v>1877354</v>
      </c>
      <c r="CL42" s="272">
        <v>935149</v>
      </c>
      <c r="CM42" s="272">
        <v>179913</v>
      </c>
      <c r="CN42" s="272">
        <v>448698</v>
      </c>
      <c r="CO42" s="272">
        <v>140877</v>
      </c>
      <c r="CP42" s="272">
        <v>399987</v>
      </c>
      <c r="CQ42" s="272">
        <v>1018</v>
      </c>
      <c r="CR42" s="272">
        <v>236465</v>
      </c>
      <c r="CS42" s="272">
        <v>105255</v>
      </c>
      <c r="CT42" s="455">
        <f t="shared" si="8"/>
        <v>4164</v>
      </c>
      <c r="CU42" s="272">
        <v>3265</v>
      </c>
      <c r="CV42" s="272">
        <v>899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681987</v>
      </c>
      <c r="DD42" s="272">
        <v>186553</v>
      </c>
      <c r="DE42" s="272">
        <v>343355</v>
      </c>
      <c r="DF42" s="26">
        <v>9333</v>
      </c>
      <c r="DG42" s="27">
        <v>142746</v>
      </c>
      <c r="DH42" s="272">
        <v>17693</v>
      </c>
      <c r="DI42" s="272">
        <v>33862</v>
      </c>
      <c r="DJ42" s="272">
        <v>28000</v>
      </c>
      <c r="DK42" s="272">
        <v>1617</v>
      </c>
      <c r="DL42" s="272">
        <v>4245</v>
      </c>
      <c r="DM42" s="272">
        <v>2000</v>
      </c>
      <c r="DN42" s="456">
        <v>0</v>
      </c>
      <c r="DO42" s="272">
        <v>0</v>
      </c>
      <c r="DP42" s="272">
        <v>0</v>
      </c>
      <c r="DQ42" s="272">
        <v>0</v>
      </c>
      <c r="DR42" s="272">
        <v>0</v>
      </c>
      <c r="DS42" s="272">
        <v>0</v>
      </c>
      <c r="DT42" s="272">
        <v>1347386</v>
      </c>
      <c r="DU42" s="272">
        <v>402900</v>
      </c>
      <c r="DV42" s="455">
        <f t="shared" si="11"/>
        <v>0</v>
      </c>
      <c r="DW42" s="272">
        <v>0</v>
      </c>
      <c r="DX42" s="272">
        <v>301790</v>
      </c>
      <c r="DY42" s="272">
        <v>0</v>
      </c>
      <c r="DZ42" s="272">
        <v>251723</v>
      </c>
      <c r="EA42" s="272">
        <v>35741</v>
      </c>
      <c r="EB42" s="272">
        <v>353938</v>
      </c>
      <c r="EC42" s="272">
        <v>0</v>
      </c>
      <c r="ED42" s="272">
        <v>9937737</v>
      </c>
      <c r="EE42" s="89"/>
      <c r="EF42" s="272">
        <v>92234</v>
      </c>
      <c r="EG42" s="272">
        <v>45207</v>
      </c>
      <c r="EH42" s="272">
        <v>47027</v>
      </c>
      <c r="EI42" s="272">
        <v>-8058</v>
      </c>
      <c r="EJ42" s="272">
        <v>-260058</v>
      </c>
      <c r="EK42" s="89"/>
      <c r="EL42" s="272"/>
      <c r="EM42" s="272">
        <v>44419</v>
      </c>
      <c r="EN42" s="272">
        <v>303088</v>
      </c>
      <c r="EO42" s="272">
        <v>2434</v>
      </c>
      <c r="EP42" s="455">
        <f t="shared" si="12"/>
        <v>265674</v>
      </c>
      <c r="EQ42" s="272">
        <v>7093149</v>
      </c>
      <c r="ER42" s="272">
        <v>-952684</v>
      </c>
      <c r="ES42" s="272">
        <v>2805868</v>
      </c>
      <c r="ET42" s="272">
        <v>1958264</v>
      </c>
      <c r="EU42" s="272">
        <v>530718</v>
      </c>
      <c r="EV42" s="272">
        <v>1225695</v>
      </c>
      <c r="EW42" s="455">
        <f t="shared" si="13"/>
        <v>168357</v>
      </c>
      <c r="EX42" s="272">
        <v>162778</v>
      </c>
      <c r="EY42" s="272">
        <v>18474</v>
      </c>
      <c r="EZ42" s="272">
        <v>143371</v>
      </c>
      <c r="FA42" s="272">
        <v>5579</v>
      </c>
      <c r="FB42" s="272">
        <v>0</v>
      </c>
      <c r="FC42" s="272">
        <v>1515834</v>
      </c>
      <c r="FD42" s="272">
        <v>326214</v>
      </c>
      <c r="FE42" s="272">
        <v>1018</v>
      </c>
      <c r="FF42" s="272">
        <v>1212533</v>
      </c>
      <c r="FG42" s="455">
        <f t="shared" si="14"/>
        <v>168380</v>
      </c>
      <c r="FH42" s="272">
        <v>7953599</v>
      </c>
      <c r="FI42" s="459">
        <f t="shared" si="15"/>
        <v>0.6</v>
      </c>
      <c r="FJ42" s="272">
        <v>7009705</v>
      </c>
      <c r="FK42" s="272">
        <v>390326</v>
      </c>
      <c r="FL42" s="272">
        <v>4206704</v>
      </c>
      <c r="FM42" s="272">
        <v>5786986</v>
      </c>
      <c r="FN42" s="460">
        <v>0.72</v>
      </c>
      <c r="FO42" s="388">
        <v>95.6</v>
      </c>
      <c r="FP42" s="388">
        <v>35.5</v>
      </c>
      <c r="FQ42" s="388">
        <v>7.1</v>
      </c>
      <c r="FR42" s="388">
        <v>16.5</v>
      </c>
      <c r="FS42" s="388">
        <v>18.5</v>
      </c>
      <c r="FT42" s="388">
        <v>3.8</v>
      </c>
      <c r="FU42" s="388">
        <v>12.2</v>
      </c>
      <c r="FV42" s="384">
        <f t="shared" si="16"/>
        <v>10.9</v>
      </c>
      <c r="FW42" s="272">
        <v>9443730</v>
      </c>
      <c r="FX42" s="384">
        <f t="shared" si="17"/>
        <v>127.6</v>
      </c>
      <c r="FY42" s="272">
        <v>3480308</v>
      </c>
      <c r="FZ42" s="272">
        <v>814158</v>
      </c>
      <c r="GA42" s="272">
        <v>612458</v>
      </c>
      <c r="GB42" s="272">
        <v>2053692</v>
      </c>
      <c r="GC42" s="272">
        <v>0</v>
      </c>
      <c r="GD42" s="457">
        <v>782128</v>
      </c>
      <c r="GE42" s="384">
        <f>ROUND(GD42/(FJ42+FK42)*100,1)</f>
        <v>10.6</v>
      </c>
      <c r="GF42" s="388">
        <v>97.8</v>
      </c>
      <c r="GG42" s="388">
        <v>22.6</v>
      </c>
      <c r="GH42" s="388">
        <v>93</v>
      </c>
      <c r="GI42" s="272">
        <v>357</v>
      </c>
      <c r="GJ42" s="461" t="s">
        <v>646</v>
      </c>
      <c r="GK42" s="461">
        <v>13.92</v>
      </c>
      <c r="GL42" s="462">
        <v>20</v>
      </c>
      <c r="GM42" s="461" t="s">
        <v>646</v>
      </c>
      <c r="GN42" s="462">
        <v>18.920000000000002</v>
      </c>
      <c r="GO42" s="462">
        <v>40</v>
      </c>
      <c r="GP42" s="463">
        <v>10.9</v>
      </c>
      <c r="GQ42" s="463">
        <v>25</v>
      </c>
      <c r="GR42" s="463">
        <v>35</v>
      </c>
      <c r="GS42" s="464">
        <v>84.7</v>
      </c>
      <c r="GT42" s="463">
        <v>350</v>
      </c>
      <c r="GU42" s="394"/>
      <c r="GV42" s="394"/>
      <c r="GW42" s="394"/>
      <c r="GX42" s="394"/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</row>
    <row r="43" spans="2:230" x14ac:dyDescent="0.15">
      <c r="B43" s="89" t="s">
        <v>79</v>
      </c>
      <c r="C43" s="272">
        <v>4621912</v>
      </c>
      <c r="D43" s="455">
        <f t="shared" si="0"/>
        <v>348451</v>
      </c>
      <c r="E43" s="272">
        <v>9997</v>
      </c>
      <c r="F43" s="456">
        <v>338454</v>
      </c>
      <c r="G43" s="455">
        <f t="shared" si="1"/>
        <v>169425</v>
      </c>
      <c r="H43" s="272">
        <v>37993</v>
      </c>
      <c r="I43" s="272">
        <v>131432</v>
      </c>
      <c r="J43" s="272">
        <v>2916398</v>
      </c>
      <c r="K43" s="272">
        <v>1242468</v>
      </c>
      <c r="L43" s="272">
        <v>763616</v>
      </c>
      <c r="M43" s="272">
        <v>861082</v>
      </c>
      <c r="N43" s="272">
        <v>1177193</v>
      </c>
      <c r="O43" s="272">
        <v>0</v>
      </c>
      <c r="P43" s="272">
        <v>0</v>
      </c>
      <c r="Q43" s="272">
        <v>0</v>
      </c>
      <c r="R43" s="272">
        <v>51999</v>
      </c>
      <c r="S43" s="272">
        <v>0</v>
      </c>
      <c r="T43" s="455">
        <f t="shared" si="2"/>
        <v>131962</v>
      </c>
      <c r="U43" s="272">
        <v>5343</v>
      </c>
      <c r="V43" s="272">
        <v>2096</v>
      </c>
      <c r="W43" s="456">
        <v>754</v>
      </c>
      <c r="X43" s="272">
        <v>106921</v>
      </c>
      <c r="Y43" s="272">
        <v>0</v>
      </c>
      <c r="Z43" s="272">
        <v>0</v>
      </c>
      <c r="AA43" s="272">
        <v>16848</v>
      </c>
      <c r="AB43" s="272">
        <v>19561</v>
      </c>
      <c r="AC43" s="272">
        <v>21122</v>
      </c>
      <c r="AD43" s="272">
        <v>0</v>
      </c>
      <c r="AE43" s="272">
        <v>21122</v>
      </c>
      <c r="AF43" s="272">
        <v>1363</v>
      </c>
      <c r="AG43" s="272">
        <v>1276</v>
      </c>
      <c r="AH43" s="455">
        <f t="shared" si="3"/>
        <v>100441</v>
      </c>
      <c r="AI43" s="272">
        <v>93091</v>
      </c>
      <c r="AJ43" s="272">
        <v>7350</v>
      </c>
      <c r="AK43" s="272">
        <v>99191</v>
      </c>
      <c r="AL43" s="455">
        <f t="shared" si="4"/>
        <v>0</v>
      </c>
      <c r="AM43" s="272">
        <v>0</v>
      </c>
      <c r="AN43" s="272">
        <v>0</v>
      </c>
      <c r="AO43" s="272">
        <v>0</v>
      </c>
      <c r="AP43" s="272">
        <v>0</v>
      </c>
      <c r="AQ43" s="272">
        <v>0</v>
      </c>
      <c r="AR43" s="272">
        <v>0</v>
      </c>
      <c r="AS43" s="272">
        <v>0</v>
      </c>
      <c r="AT43" s="272">
        <v>150575</v>
      </c>
      <c r="AU43" s="272">
        <v>82792</v>
      </c>
      <c r="AV43" s="272">
        <v>0</v>
      </c>
      <c r="AW43" s="272">
        <v>0</v>
      </c>
      <c r="AX43" s="272">
        <v>67783</v>
      </c>
      <c r="AY43" s="272">
        <v>0</v>
      </c>
      <c r="AZ43" s="272">
        <v>8926</v>
      </c>
      <c r="BA43" s="272">
        <v>0</v>
      </c>
      <c r="BB43" s="272">
        <v>303</v>
      </c>
      <c r="BC43" s="272">
        <v>73985</v>
      </c>
      <c r="BD43" s="272">
        <v>50000</v>
      </c>
      <c r="BE43" s="272">
        <v>0</v>
      </c>
      <c r="BF43" s="272">
        <v>23985</v>
      </c>
      <c r="BG43" s="272">
        <v>0</v>
      </c>
      <c r="BH43" s="272">
        <v>106485</v>
      </c>
      <c r="BI43" s="272">
        <v>106485</v>
      </c>
      <c r="BJ43" s="272">
        <v>141821</v>
      </c>
      <c r="BK43" s="272">
        <v>0</v>
      </c>
      <c r="BL43" s="272">
        <v>0</v>
      </c>
      <c r="BM43" s="272">
        <v>0</v>
      </c>
      <c r="BN43" s="272">
        <v>0</v>
      </c>
      <c r="BO43" s="455">
        <f t="shared" si="5"/>
        <v>0</v>
      </c>
      <c r="BP43" s="455">
        <f t="shared" si="6"/>
        <v>0</v>
      </c>
      <c r="BQ43" s="272">
        <v>0</v>
      </c>
      <c r="BR43" s="272">
        <v>0</v>
      </c>
      <c r="BS43" s="272">
        <v>0</v>
      </c>
      <c r="BT43" s="272">
        <v>0</v>
      </c>
      <c r="BU43" s="272">
        <v>5530922</v>
      </c>
      <c r="BV43" s="272"/>
      <c r="BW43" s="272">
        <v>1288699</v>
      </c>
      <c r="BX43" s="272">
        <v>726292</v>
      </c>
      <c r="BY43" s="272">
        <v>221739</v>
      </c>
      <c r="BZ43" s="272">
        <v>126844</v>
      </c>
      <c r="CA43" s="272">
        <v>255553</v>
      </c>
      <c r="CB43" s="272">
        <v>102886</v>
      </c>
      <c r="CC43" s="272">
        <v>20274</v>
      </c>
      <c r="CD43" s="272">
        <v>126330</v>
      </c>
      <c r="CE43" s="272">
        <v>0</v>
      </c>
      <c r="CF43" s="272">
        <v>0</v>
      </c>
      <c r="CG43" s="272">
        <v>6063</v>
      </c>
      <c r="CH43" s="272">
        <v>497067</v>
      </c>
      <c r="CI43" s="272">
        <v>421191</v>
      </c>
      <c r="CJ43" s="455">
        <f t="shared" si="7"/>
        <v>75876</v>
      </c>
      <c r="CK43" s="272">
        <v>408066</v>
      </c>
      <c r="CL43" s="272">
        <v>216352</v>
      </c>
      <c r="CM43" s="272">
        <v>8736</v>
      </c>
      <c r="CN43" s="272">
        <v>141798</v>
      </c>
      <c r="CO43" s="272">
        <v>14840</v>
      </c>
      <c r="CP43" s="272">
        <v>2138076</v>
      </c>
      <c r="CQ43" s="272">
        <v>149457</v>
      </c>
      <c r="CR43" s="272">
        <v>74262</v>
      </c>
      <c r="CS43" s="272">
        <v>61392</v>
      </c>
      <c r="CT43" s="455">
        <f t="shared" si="8"/>
        <v>12098</v>
      </c>
      <c r="CU43" s="272">
        <v>0</v>
      </c>
      <c r="CV43" s="272">
        <v>12098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54549</v>
      </c>
      <c r="DD43" s="272">
        <v>0</v>
      </c>
      <c r="DE43" s="272">
        <v>54549</v>
      </c>
      <c r="DF43" s="26">
        <v>0</v>
      </c>
      <c r="DG43" s="27">
        <v>0</v>
      </c>
      <c r="DH43" s="272">
        <v>0</v>
      </c>
      <c r="DI43" s="272">
        <v>66811</v>
      </c>
      <c r="DJ43" s="272">
        <v>61326</v>
      </c>
      <c r="DK43" s="272">
        <v>0</v>
      </c>
      <c r="DL43" s="272">
        <v>5485</v>
      </c>
      <c r="DM43" s="272">
        <v>1000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662463</v>
      </c>
      <c r="DU43" s="272">
        <v>412792</v>
      </c>
      <c r="DV43" s="455">
        <f t="shared" si="11"/>
        <v>0</v>
      </c>
      <c r="DW43" s="272">
        <v>0</v>
      </c>
      <c r="DX43" s="272">
        <v>82513</v>
      </c>
      <c r="DY43" s="272">
        <v>0</v>
      </c>
      <c r="DZ43" s="272">
        <v>80677</v>
      </c>
      <c r="EA43" s="272">
        <v>6207</v>
      </c>
      <c r="EB43" s="272">
        <v>80274</v>
      </c>
      <c r="EC43" s="272">
        <v>0</v>
      </c>
      <c r="ED43" s="272">
        <v>5387124</v>
      </c>
      <c r="EE43" s="89"/>
      <c r="EF43" s="272">
        <v>143798</v>
      </c>
      <c r="EG43" s="272">
        <v>4751</v>
      </c>
      <c r="EH43" s="272">
        <v>139047</v>
      </c>
      <c r="EI43" s="272">
        <v>32562</v>
      </c>
      <c r="EJ43" s="272">
        <v>107535</v>
      </c>
      <c r="EK43" s="89"/>
      <c r="EL43" s="272"/>
      <c r="EM43" s="272">
        <v>8114</v>
      </c>
      <c r="EN43" s="272">
        <v>73985</v>
      </c>
      <c r="EO43" s="272">
        <v>2</v>
      </c>
      <c r="EP43" s="455">
        <f t="shared" si="12"/>
        <v>205015</v>
      </c>
      <c r="EQ43" s="272">
        <v>4847919</v>
      </c>
      <c r="ER43" s="272">
        <v>-277639</v>
      </c>
      <c r="ES43" s="272">
        <v>1204793</v>
      </c>
      <c r="ET43" s="272">
        <v>656303</v>
      </c>
      <c r="EU43" s="272">
        <v>103557</v>
      </c>
      <c r="EV43" s="272">
        <v>497067</v>
      </c>
      <c r="EW43" s="455">
        <f t="shared" si="13"/>
        <v>48931</v>
      </c>
      <c r="EX43" s="272">
        <v>48931</v>
      </c>
      <c r="EY43" s="272">
        <v>0</v>
      </c>
      <c r="EZ43" s="272">
        <v>48931</v>
      </c>
      <c r="FA43" s="272">
        <v>0</v>
      </c>
      <c r="FB43" s="272">
        <v>0</v>
      </c>
      <c r="FC43" s="272">
        <v>310424</v>
      </c>
      <c r="FD43" s="272">
        <v>2115252</v>
      </c>
      <c r="FE43" s="272">
        <v>149457</v>
      </c>
      <c r="FF43" s="272">
        <v>628336</v>
      </c>
      <c r="FG43" s="455">
        <f t="shared" si="14"/>
        <v>73400</v>
      </c>
      <c r="FH43" s="272">
        <v>4981760</v>
      </c>
      <c r="FI43" s="459">
        <f t="shared" si="15"/>
        <v>3.5</v>
      </c>
      <c r="FJ43" s="272">
        <v>3810674</v>
      </c>
      <c r="FK43" s="272">
        <v>129532</v>
      </c>
      <c r="FL43" s="272">
        <v>2890659</v>
      </c>
      <c r="FM43" s="272">
        <v>1787063</v>
      </c>
      <c r="FN43" s="460">
        <v>1.518</v>
      </c>
      <c r="FO43" s="388">
        <v>57.5</v>
      </c>
      <c r="FP43" s="388">
        <v>20.8</v>
      </c>
      <c r="FQ43" s="388">
        <v>2.1</v>
      </c>
      <c r="FR43" s="388">
        <v>9</v>
      </c>
      <c r="FS43" s="388">
        <v>5.9</v>
      </c>
      <c r="FT43" s="388">
        <v>8.4</v>
      </c>
      <c r="FU43" s="388">
        <v>11.1</v>
      </c>
      <c r="FV43" s="384">
        <f t="shared" si="16"/>
        <v>14.6</v>
      </c>
      <c r="FW43" s="272">
        <v>3554170</v>
      </c>
      <c r="FX43" s="384">
        <f t="shared" si="17"/>
        <v>90.2</v>
      </c>
      <c r="FY43" s="272">
        <v>3378140</v>
      </c>
      <c r="FZ43" s="272">
        <v>2892165</v>
      </c>
      <c r="GA43" s="272">
        <v>0</v>
      </c>
      <c r="GB43" s="272">
        <v>485975</v>
      </c>
      <c r="GC43" s="272">
        <v>0</v>
      </c>
      <c r="GD43" s="457">
        <v>751422</v>
      </c>
      <c r="GE43" s="384">
        <f>ROUND(GD43/(FJ43+FK43)*100,1)</f>
        <v>19.100000000000001</v>
      </c>
      <c r="GF43" s="388">
        <v>99.9</v>
      </c>
      <c r="GG43" s="388">
        <v>27.6</v>
      </c>
      <c r="GH43" s="388">
        <v>99.5</v>
      </c>
      <c r="GI43" s="272">
        <v>118</v>
      </c>
      <c r="GJ43" s="461" t="s">
        <v>646</v>
      </c>
      <c r="GK43" s="461">
        <v>15</v>
      </c>
      <c r="GL43" s="462">
        <v>20</v>
      </c>
      <c r="GM43" s="461" t="s">
        <v>646</v>
      </c>
      <c r="GN43" s="462">
        <v>20</v>
      </c>
      <c r="GO43" s="462">
        <v>40</v>
      </c>
      <c r="GP43" s="463">
        <v>14.6</v>
      </c>
      <c r="GQ43" s="463">
        <v>25</v>
      </c>
      <c r="GR43" s="463">
        <v>35</v>
      </c>
      <c r="GS43" s="464">
        <v>86</v>
      </c>
      <c r="GT43" s="463">
        <v>350</v>
      </c>
      <c r="GU43" s="394"/>
      <c r="GV43" s="394"/>
      <c r="GW43" s="394"/>
      <c r="GX43" s="394"/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</row>
    <row r="44" spans="2:230" x14ac:dyDescent="0.15">
      <c r="B44" s="89" t="s">
        <v>81</v>
      </c>
      <c r="C44" s="272">
        <v>2497285</v>
      </c>
      <c r="D44" s="455">
        <f t="shared" si="0"/>
        <v>814844</v>
      </c>
      <c r="E44" s="272">
        <v>24047</v>
      </c>
      <c r="F44" s="456">
        <v>790797</v>
      </c>
      <c r="G44" s="455">
        <f t="shared" si="1"/>
        <v>58609</v>
      </c>
      <c r="H44" s="272">
        <v>30557</v>
      </c>
      <c r="I44" s="272">
        <v>28052</v>
      </c>
      <c r="J44" s="272">
        <v>1521249</v>
      </c>
      <c r="K44" s="272">
        <v>623612</v>
      </c>
      <c r="L44" s="272">
        <v>536573</v>
      </c>
      <c r="M44" s="272">
        <v>357085</v>
      </c>
      <c r="N44" s="272">
        <v>72838</v>
      </c>
      <c r="O44" s="272">
        <v>0</v>
      </c>
      <c r="P44" s="272">
        <v>0</v>
      </c>
      <c r="Q44" s="272">
        <v>0</v>
      </c>
      <c r="R44" s="272">
        <v>61348</v>
      </c>
      <c r="S44" s="272">
        <v>0</v>
      </c>
      <c r="T44" s="455">
        <f t="shared" si="2"/>
        <v>263902</v>
      </c>
      <c r="U44" s="272">
        <v>13204</v>
      </c>
      <c r="V44" s="272">
        <v>5192</v>
      </c>
      <c r="W44" s="456">
        <v>1846</v>
      </c>
      <c r="X44" s="272">
        <v>137674</v>
      </c>
      <c r="Y44" s="272">
        <v>55030</v>
      </c>
      <c r="Z44" s="272">
        <v>0</v>
      </c>
      <c r="AA44" s="272">
        <v>50956</v>
      </c>
      <c r="AB44" s="272">
        <v>27499</v>
      </c>
      <c r="AC44" s="272">
        <v>1785475</v>
      </c>
      <c r="AD44" s="272">
        <v>1518203</v>
      </c>
      <c r="AE44" s="272">
        <v>267272</v>
      </c>
      <c r="AF44" s="272">
        <v>4560</v>
      </c>
      <c r="AG44" s="272">
        <v>6629</v>
      </c>
      <c r="AH44" s="455">
        <f t="shared" si="3"/>
        <v>128118</v>
      </c>
      <c r="AI44" s="272">
        <v>109234</v>
      </c>
      <c r="AJ44" s="272">
        <v>18884</v>
      </c>
      <c r="AK44" s="272">
        <v>214096</v>
      </c>
      <c r="AL44" s="455">
        <f t="shared" si="4"/>
        <v>0</v>
      </c>
      <c r="AM44" s="272">
        <v>0</v>
      </c>
      <c r="AN44" s="272">
        <v>0</v>
      </c>
      <c r="AO44" s="272">
        <v>0</v>
      </c>
      <c r="AP44" s="272">
        <v>0</v>
      </c>
      <c r="AQ44" s="272">
        <v>15656</v>
      </c>
      <c r="AR44" s="272">
        <v>0</v>
      </c>
      <c r="AS44" s="272">
        <v>0</v>
      </c>
      <c r="AT44" s="272">
        <v>621249</v>
      </c>
      <c r="AU44" s="272">
        <v>123520</v>
      </c>
      <c r="AV44" s="272">
        <v>0</v>
      </c>
      <c r="AW44" s="272">
        <v>0</v>
      </c>
      <c r="AX44" s="272">
        <v>497729</v>
      </c>
      <c r="AY44" s="272">
        <v>244829</v>
      </c>
      <c r="AZ44" s="272">
        <v>34977</v>
      </c>
      <c r="BA44" s="272">
        <v>32400</v>
      </c>
      <c r="BB44" s="272">
        <v>47626</v>
      </c>
      <c r="BC44" s="272">
        <v>16098</v>
      </c>
      <c r="BD44" s="272">
        <v>0</v>
      </c>
      <c r="BE44" s="272">
        <v>0</v>
      </c>
      <c r="BF44" s="272">
        <v>0</v>
      </c>
      <c r="BG44" s="272">
        <v>0</v>
      </c>
      <c r="BH44" s="272">
        <v>18728</v>
      </c>
      <c r="BI44" s="272">
        <v>18728</v>
      </c>
      <c r="BJ44" s="272">
        <v>218029</v>
      </c>
      <c r="BK44" s="272">
        <v>5395</v>
      </c>
      <c r="BL44" s="272">
        <v>0</v>
      </c>
      <c r="BM44" s="272">
        <v>0</v>
      </c>
      <c r="BN44" s="272">
        <v>558562</v>
      </c>
      <c r="BO44" s="455">
        <f t="shared" si="5"/>
        <v>78600</v>
      </c>
      <c r="BP44" s="455">
        <f t="shared" si="6"/>
        <v>199962</v>
      </c>
      <c r="BQ44" s="272">
        <v>0</v>
      </c>
      <c r="BR44" s="272">
        <v>0</v>
      </c>
      <c r="BS44" s="272">
        <v>199962</v>
      </c>
      <c r="BT44" s="272">
        <v>280000</v>
      </c>
      <c r="BU44" s="272">
        <v>6504181</v>
      </c>
      <c r="BV44" s="272"/>
      <c r="BW44" s="272">
        <v>1589004</v>
      </c>
      <c r="BX44" s="272">
        <v>943055</v>
      </c>
      <c r="BY44" s="272">
        <v>363761</v>
      </c>
      <c r="BZ44" s="272">
        <v>16479</v>
      </c>
      <c r="CA44" s="272">
        <v>473105</v>
      </c>
      <c r="CB44" s="272">
        <v>217790</v>
      </c>
      <c r="CC44" s="272">
        <v>41277</v>
      </c>
      <c r="CD44" s="272">
        <v>201310</v>
      </c>
      <c r="CE44" s="272">
        <v>0</v>
      </c>
      <c r="CF44" s="272">
        <v>0</v>
      </c>
      <c r="CG44" s="272">
        <v>12728</v>
      </c>
      <c r="CH44" s="272">
        <v>1232321</v>
      </c>
      <c r="CI44" s="272">
        <v>1025505</v>
      </c>
      <c r="CJ44" s="455">
        <f t="shared" si="7"/>
        <v>206816</v>
      </c>
      <c r="CK44" s="272">
        <v>976878</v>
      </c>
      <c r="CL44" s="272">
        <v>414594</v>
      </c>
      <c r="CM44" s="272">
        <v>189305</v>
      </c>
      <c r="CN44" s="272">
        <v>277732</v>
      </c>
      <c r="CO44" s="272">
        <v>64550</v>
      </c>
      <c r="CP44" s="272">
        <v>529380</v>
      </c>
      <c r="CQ44" s="272">
        <v>305870</v>
      </c>
      <c r="CR44" s="272">
        <v>94304</v>
      </c>
      <c r="CS44" s="272">
        <v>75997</v>
      </c>
      <c r="CT44" s="455">
        <f t="shared" si="8"/>
        <v>6968</v>
      </c>
      <c r="CU44" s="272">
        <v>6968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538038</v>
      </c>
      <c r="DD44" s="272">
        <v>60575</v>
      </c>
      <c r="DE44" s="272">
        <v>208939</v>
      </c>
      <c r="DF44" s="26">
        <v>22429</v>
      </c>
      <c r="DG44" s="27">
        <v>246095</v>
      </c>
      <c r="DH44" s="272">
        <v>0</v>
      </c>
      <c r="DI44" s="272">
        <v>148177</v>
      </c>
      <c r="DJ44" s="272">
        <v>95828</v>
      </c>
      <c r="DK44" s="272">
        <v>124</v>
      </c>
      <c r="DL44" s="272">
        <v>52225</v>
      </c>
      <c r="DM44" s="272">
        <v>1300</v>
      </c>
      <c r="DN44" s="272">
        <v>0</v>
      </c>
      <c r="DO44" s="272">
        <v>0</v>
      </c>
      <c r="DP44" s="272">
        <v>0</v>
      </c>
      <c r="DQ44" s="272">
        <v>0</v>
      </c>
      <c r="DR44" s="272">
        <v>0</v>
      </c>
      <c r="DS44" s="272">
        <v>0</v>
      </c>
      <c r="DT44" s="272">
        <v>914009</v>
      </c>
      <c r="DU44" s="272">
        <v>280235</v>
      </c>
      <c r="DV44" s="455">
        <f t="shared" si="11"/>
        <v>0</v>
      </c>
      <c r="DW44" s="272">
        <v>0</v>
      </c>
      <c r="DX44" s="272">
        <v>214588</v>
      </c>
      <c r="DY44" s="272">
        <v>0</v>
      </c>
      <c r="DZ44" s="272">
        <v>143069</v>
      </c>
      <c r="EA44" s="272">
        <v>23031</v>
      </c>
      <c r="EB44" s="272">
        <v>238738</v>
      </c>
      <c r="EC44" s="272">
        <v>0</v>
      </c>
      <c r="ED44" s="272">
        <v>6466762</v>
      </c>
      <c r="EE44" s="89"/>
      <c r="EF44" s="272">
        <v>37419</v>
      </c>
      <c r="EG44" s="272">
        <v>16087</v>
      </c>
      <c r="EH44" s="272">
        <v>21332</v>
      </c>
      <c r="EI44" s="272">
        <v>2604</v>
      </c>
      <c r="EJ44" s="272">
        <v>98990</v>
      </c>
      <c r="EK44" s="89"/>
      <c r="EL44" s="272"/>
      <c r="EM44" s="272">
        <v>18351</v>
      </c>
      <c r="EN44" s="272">
        <v>1774</v>
      </c>
      <c r="EO44" s="272">
        <v>30454</v>
      </c>
      <c r="EP44" s="455">
        <f t="shared" si="12"/>
        <v>78752</v>
      </c>
      <c r="EQ44" s="272">
        <v>4640069</v>
      </c>
      <c r="ER44" s="272">
        <v>-306382</v>
      </c>
      <c r="ES44" s="272">
        <v>1196915</v>
      </c>
      <c r="ET44" s="272">
        <v>834162</v>
      </c>
      <c r="EU44" s="272">
        <v>200589</v>
      </c>
      <c r="EV44" s="272">
        <v>1198281</v>
      </c>
      <c r="EW44" s="455">
        <f t="shared" si="13"/>
        <v>115690</v>
      </c>
      <c r="EX44" s="272">
        <v>115690</v>
      </c>
      <c r="EY44" s="272">
        <v>248</v>
      </c>
      <c r="EZ44" s="272">
        <v>115168</v>
      </c>
      <c r="FA44" s="272">
        <v>0</v>
      </c>
      <c r="FB44" s="272">
        <v>0</v>
      </c>
      <c r="FC44" s="272">
        <v>727469</v>
      </c>
      <c r="FD44" s="272">
        <v>496084</v>
      </c>
      <c r="FE44" s="272">
        <v>305870</v>
      </c>
      <c r="FF44" s="272">
        <v>819849</v>
      </c>
      <c r="FG44" s="455">
        <f t="shared" si="14"/>
        <v>158653</v>
      </c>
      <c r="FH44" s="272">
        <v>4913530</v>
      </c>
      <c r="FI44" s="459">
        <f t="shared" si="15"/>
        <v>0.5</v>
      </c>
      <c r="FJ44" s="272">
        <v>4089846</v>
      </c>
      <c r="FK44" s="272">
        <v>199962</v>
      </c>
      <c r="FL44" s="272">
        <v>1989309</v>
      </c>
      <c r="FM44" s="272">
        <v>3509059</v>
      </c>
      <c r="FN44" s="460">
        <v>0.57399999999999995</v>
      </c>
      <c r="FO44" s="388">
        <v>98.3</v>
      </c>
      <c r="FP44" s="388">
        <v>24.5</v>
      </c>
      <c r="FQ44" s="388">
        <v>4.4000000000000004</v>
      </c>
      <c r="FR44" s="388">
        <v>26.1</v>
      </c>
      <c r="FS44" s="388">
        <v>14.8</v>
      </c>
      <c r="FT44" s="388">
        <v>9.4</v>
      </c>
      <c r="FU44" s="388">
        <v>17.7</v>
      </c>
      <c r="FV44" s="384">
        <f t="shared" si="16"/>
        <v>19.5</v>
      </c>
      <c r="FW44" s="272">
        <v>10197341</v>
      </c>
      <c r="FX44" s="384">
        <f t="shared" si="17"/>
        <v>237.7</v>
      </c>
      <c r="FY44" s="272">
        <v>677889</v>
      </c>
      <c r="FZ44" s="272">
        <v>352346</v>
      </c>
      <c r="GA44" s="272">
        <v>38263</v>
      </c>
      <c r="GB44" s="272">
        <v>287280</v>
      </c>
      <c r="GC44" s="272">
        <v>0</v>
      </c>
      <c r="GD44" s="457"/>
      <c r="GE44" s="384"/>
      <c r="GF44" s="388">
        <v>98.2</v>
      </c>
      <c r="GG44" s="388">
        <v>12.9</v>
      </c>
      <c r="GH44" s="388">
        <v>93.1</v>
      </c>
      <c r="GI44" s="272">
        <v>151</v>
      </c>
      <c r="GJ44" s="461" t="s">
        <v>646</v>
      </c>
      <c r="GK44" s="461">
        <v>15</v>
      </c>
      <c r="GL44" s="462">
        <v>20</v>
      </c>
      <c r="GM44" s="461" t="s">
        <v>646</v>
      </c>
      <c r="GN44" s="462">
        <v>20</v>
      </c>
      <c r="GO44" s="462">
        <v>40</v>
      </c>
      <c r="GP44" s="463">
        <v>19.5</v>
      </c>
      <c r="GQ44" s="463">
        <v>25</v>
      </c>
      <c r="GR44" s="463">
        <v>35</v>
      </c>
      <c r="GS44" s="464">
        <v>209</v>
      </c>
      <c r="GT44" s="463">
        <v>350</v>
      </c>
      <c r="GU44" s="394"/>
      <c r="GV44" s="394"/>
      <c r="GW44" s="394"/>
      <c r="GX44" s="394"/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</row>
    <row r="45" spans="2:230" x14ac:dyDescent="0.15">
      <c r="B45" s="89" t="s">
        <v>83</v>
      </c>
      <c r="C45" s="272">
        <v>1689705</v>
      </c>
      <c r="D45" s="455">
        <f t="shared" si="0"/>
        <v>760455</v>
      </c>
      <c r="E45" s="272">
        <v>18494</v>
      </c>
      <c r="F45" s="456">
        <v>741961</v>
      </c>
      <c r="G45" s="455">
        <f t="shared" si="1"/>
        <v>30998</v>
      </c>
      <c r="H45" s="272">
        <v>16694</v>
      </c>
      <c r="I45" s="272">
        <v>14304</v>
      </c>
      <c r="J45" s="272">
        <v>606082</v>
      </c>
      <c r="K45" s="272">
        <v>251419</v>
      </c>
      <c r="L45" s="272">
        <v>284994</v>
      </c>
      <c r="M45" s="272">
        <v>69669</v>
      </c>
      <c r="N45" s="272">
        <v>267118</v>
      </c>
      <c r="O45" s="272">
        <v>0</v>
      </c>
      <c r="P45" s="272">
        <v>0</v>
      </c>
      <c r="Q45" s="272">
        <v>0</v>
      </c>
      <c r="R45" s="272">
        <v>43585</v>
      </c>
      <c r="S45" s="272">
        <v>0</v>
      </c>
      <c r="T45" s="455">
        <f t="shared" si="2"/>
        <v>181568</v>
      </c>
      <c r="U45" s="272">
        <v>12542</v>
      </c>
      <c r="V45" s="272">
        <v>4940</v>
      </c>
      <c r="W45" s="456">
        <v>1737</v>
      </c>
      <c r="X45" s="272">
        <v>101432</v>
      </c>
      <c r="Y45" s="272">
        <v>24715</v>
      </c>
      <c r="Z45" s="272">
        <v>0</v>
      </c>
      <c r="AA45" s="272">
        <v>36202</v>
      </c>
      <c r="AB45" s="272">
        <v>25869</v>
      </c>
      <c r="AC45" s="272">
        <v>1083614</v>
      </c>
      <c r="AD45" s="272">
        <v>870558</v>
      </c>
      <c r="AE45" s="272">
        <v>213056</v>
      </c>
      <c r="AF45" s="272">
        <v>2533</v>
      </c>
      <c r="AG45" s="272">
        <v>58855</v>
      </c>
      <c r="AH45" s="455">
        <f t="shared" si="3"/>
        <v>56758</v>
      </c>
      <c r="AI45" s="272">
        <v>38077</v>
      </c>
      <c r="AJ45" s="272">
        <v>18681</v>
      </c>
      <c r="AK45" s="272">
        <v>185711</v>
      </c>
      <c r="AL45" s="455">
        <f t="shared" si="4"/>
        <v>53914</v>
      </c>
      <c r="AM45" s="272">
        <v>0</v>
      </c>
      <c r="AN45" s="272">
        <v>53914</v>
      </c>
      <c r="AO45" s="272">
        <v>0</v>
      </c>
      <c r="AP45" s="272">
        <v>0</v>
      </c>
      <c r="AQ45" s="272">
        <v>0</v>
      </c>
      <c r="AR45" s="272">
        <v>0</v>
      </c>
      <c r="AS45" s="272">
        <v>0</v>
      </c>
      <c r="AT45" s="272">
        <v>280631</v>
      </c>
      <c r="AU45" s="272">
        <v>99975</v>
      </c>
      <c r="AV45" s="272">
        <v>26957</v>
      </c>
      <c r="AW45" s="272">
        <v>0</v>
      </c>
      <c r="AX45" s="272">
        <v>180656</v>
      </c>
      <c r="AY45" s="272">
        <v>6666</v>
      </c>
      <c r="AZ45" s="272">
        <v>22700</v>
      </c>
      <c r="BA45" s="272">
        <v>19874</v>
      </c>
      <c r="BB45" s="272">
        <v>6190</v>
      </c>
      <c r="BC45" s="272">
        <v>0</v>
      </c>
      <c r="BD45" s="272">
        <v>0</v>
      </c>
      <c r="BE45" s="272">
        <v>0</v>
      </c>
      <c r="BF45" s="272">
        <v>0</v>
      </c>
      <c r="BG45" s="272">
        <v>0</v>
      </c>
      <c r="BH45" s="272">
        <v>106067</v>
      </c>
      <c r="BI45" s="272">
        <v>106067</v>
      </c>
      <c r="BJ45" s="272">
        <v>63586</v>
      </c>
      <c r="BK45" s="272">
        <v>0</v>
      </c>
      <c r="BL45" s="272">
        <v>0</v>
      </c>
      <c r="BM45" s="272">
        <v>0</v>
      </c>
      <c r="BN45" s="272">
        <v>240316</v>
      </c>
      <c r="BO45" s="455">
        <f t="shared" si="5"/>
        <v>58400</v>
      </c>
      <c r="BP45" s="455">
        <f t="shared" si="6"/>
        <v>181916</v>
      </c>
      <c r="BQ45" s="272">
        <v>0</v>
      </c>
      <c r="BR45" s="272">
        <v>0</v>
      </c>
      <c r="BS45" s="272">
        <v>181916</v>
      </c>
      <c r="BT45" s="272">
        <v>0</v>
      </c>
      <c r="BU45" s="272">
        <v>4047688</v>
      </c>
      <c r="BV45" s="272"/>
      <c r="BW45" s="272">
        <v>890041</v>
      </c>
      <c r="BX45" s="272">
        <v>613165</v>
      </c>
      <c r="BY45" s="272">
        <v>43903</v>
      </c>
      <c r="BZ45" s="272">
        <v>11408</v>
      </c>
      <c r="CA45" s="272">
        <v>457546</v>
      </c>
      <c r="CB45" s="272">
        <v>98234</v>
      </c>
      <c r="CC45" s="272">
        <v>17988</v>
      </c>
      <c r="CD45" s="272">
        <v>322070</v>
      </c>
      <c r="CE45" s="272">
        <v>0</v>
      </c>
      <c r="CF45" s="272">
        <v>0</v>
      </c>
      <c r="CG45" s="272">
        <v>19254</v>
      </c>
      <c r="CH45" s="272">
        <v>624055</v>
      </c>
      <c r="CI45" s="272">
        <v>512681</v>
      </c>
      <c r="CJ45" s="455">
        <f t="shared" si="7"/>
        <v>111374</v>
      </c>
      <c r="CK45" s="272">
        <v>573231</v>
      </c>
      <c r="CL45" s="272">
        <v>293456</v>
      </c>
      <c r="CM45" s="272">
        <v>106869</v>
      </c>
      <c r="CN45" s="272">
        <v>99515</v>
      </c>
      <c r="CO45" s="272">
        <v>17557</v>
      </c>
      <c r="CP45" s="272">
        <v>547499</v>
      </c>
      <c r="CQ45" s="272">
        <v>135101</v>
      </c>
      <c r="CR45" s="272">
        <v>95253</v>
      </c>
      <c r="CS45" s="272">
        <v>68463</v>
      </c>
      <c r="CT45" s="455">
        <f t="shared" si="8"/>
        <v>642</v>
      </c>
      <c r="CU45" s="272">
        <v>642</v>
      </c>
      <c r="CV45" s="272">
        <v>0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71838</v>
      </c>
      <c r="DD45" s="272">
        <v>0</v>
      </c>
      <c r="DE45" s="272">
        <v>69547</v>
      </c>
      <c r="DF45" s="26">
        <v>0</v>
      </c>
      <c r="DG45" s="27">
        <v>2291</v>
      </c>
      <c r="DH45" s="272">
        <v>0</v>
      </c>
      <c r="DI45" s="272">
        <v>106029</v>
      </c>
      <c r="DJ45" s="272">
        <v>87912</v>
      </c>
      <c r="DK45" s="272">
        <v>35</v>
      </c>
      <c r="DL45" s="272">
        <v>18082</v>
      </c>
      <c r="DM45" s="272">
        <v>800</v>
      </c>
      <c r="DN45" s="272">
        <v>0</v>
      </c>
      <c r="DO45" s="272">
        <v>0</v>
      </c>
      <c r="DP45" s="272">
        <v>0</v>
      </c>
      <c r="DQ45" s="272">
        <v>58445</v>
      </c>
      <c r="DR45" s="272">
        <v>0</v>
      </c>
      <c r="DS45" s="272">
        <v>0</v>
      </c>
      <c r="DT45" s="272">
        <v>529740</v>
      </c>
      <c r="DU45" s="272">
        <v>178439</v>
      </c>
      <c r="DV45" s="455">
        <f t="shared" si="11"/>
        <v>0</v>
      </c>
      <c r="DW45" s="272">
        <v>0</v>
      </c>
      <c r="DX45" s="272">
        <v>94630</v>
      </c>
      <c r="DY45" s="272">
        <v>0</v>
      </c>
      <c r="DZ45" s="272">
        <v>95414</v>
      </c>
      <c r="EA45" s="272">
        <v>13198</v>
      </c>
      <c r="EB45" s="272">
        <v>143396</v>
      </c>
      <c r="EC45" s="272">
        <v>0</v>
      </c>
      <c r="ED45" s="272">
        <v>3876781</v>
      </c>
      <c r="EE45" s="89"/>
      <c r="EF45" s="272">
        <v>170907</v>
      </c>
      <c r="EG45" s="272">
        <v>15080</v>
      </c>
      <c r="EH45" s="272">
        <v>155827</v>
      </c>
      <c r="EI45" s="272">
        <v>49760</v>
      </c>
      <c r="EJ45" s="272">
        <v>141820</v>
      </c>
      <c r="EK45" s="89"/>
      <c r="EL45" s="272"/>
      <c r="EM45" s="272">
        <v>14415</v>
      </c>
      <c r="EN45" s="272">
        <v>0</v>
      </c>
      <c r="EO45" s="272">
        <v>20034</v>
      </c>
      <c r="EP45" s="455">
        <f t="shared" si="12"/>
        <v>176704</v>
      </c>
      <c r="EQ45" s="272">
        <v>3026874</v>
      </c>
      <c r="ER45" s="272">
        <v>-376121</v>
      </c>
      <c r="ES45" s="272">
        <v>829504</v>
      </c>
      <c r="ET45" s="272">
        <v>556507</v>
      </c>
      <c r="EU45" s="272">
        <v>145327</v>
      </c>
      <c r="EV45" s="272">
        <v>624055</v>
      </c>
      <c r="EW45" s="455">
        <f t="shared" si="13"/>
        <v>51225</v>
      </c>
      <c r="EX45" s="272">
        <v>51225</v>
      </c>
      <c r="EY45" s="272">
        <v>0</v>
      </c>
      <c r="EZ45" s="272">
        <v>51225</v>
      </c>
      <c r="FA45" s="272">
        <v>0</v>
      </c>
      <c r="FB45" s="272">
        <v>0</v>
      </c>
      <c r="FC45" s="272">
        <v>473023</v>
      </c>
      <c r="FD45" s="272">
        <v>511777</v>
      </c>
      <c r="FE45" s="272">
        <v>135101</v>
      </c>
      <c r="FF45" s="272">
        <v>479333</v>
      </c>
      <c r="FG45" s="455">
        <f t="shared" si="14"/>
        <v>120015</v>
      </c>
      <c r="FH45" s="272">
        <v>3234259</v>
      </c>
      <c r="FI45" s="459">
        <f t="shared" si="15"/>
        <v>5.0999999999999996</v>
      </c>
      <c r="FJ45" s="272">
        <v>2877878</v>
      </c>
      <c r="FK45" s="272">
        <v>181916</v>
      </c>
      <c r="FL45" s="272">
        <v>1553380</v>
      </c>
      <c r="FM45" s="272">
        <v>2425001</v>
      </c>
      <c r="FN45" s="460">
        <v>0.64200000000000002</v>
      </c>
      <c r="FO45" s="388">
        <v>94.2</v>
      </c>
      <c r="FP45" s="388">
        <v>27.1</v>
      </c>
      <c r="FQ45" s="388">
        <v>4.8</v>
      </c>
      <c r="FR45" s="388">
        <v>20.6</v>
      </c>
      <c r="FS45" s="388">
        <v>14.5</v>
      </c>
      <c r="FT45" s="388">
        <v>13.6</v>
      </c>
      <c r="FU45" s="388">
        <v>12.9</v>
      </c>
      <c r="FV45" s="384">
        <f t="shared" si="16"/>
        <v>18.600000000000001</v>
      </c>
      <c r="FW45" s="272">
        <v>4891475</v>
      </c>
      <c r="FX45" s="384">
        <f t="shared" si="17"/>
        <v>159.9</v>
      </c>
      <c r="FY45" s="272">
        <v>896151</v>
      </c>
      <c r="FZ45" s="272">
        <v>675949</v>
      </c>
      <c r="GA45" s="272">
        <v>7745</v>
      </c>
      <c r="GB45" s="272">
        <v>212457</v>
      </c>
      <c r="GC45" s="272">
        <v>0</v>
      </c>
      <c r="GD45" s="457">
        <v>453363</v>
      </c>
      <c r="GE45" s="384">
        <f>ROUND(GD45/(FJ45+FK45)*100,1)</f>
        <v>14.8</v>
      </c>
      <c r="GF45" s="388">
        <v>97.7</v>
      </c>
      <c r="GG45" s="388">
        <v>26.2</v>
      </c>
      <c r="GH45" s="388">
        <v>92.5</v>
      </c>
      <c r="GI45" s="272">
        <v>99</v>
      </c>
      <c r="GJ45" s="461" t="s">
        <v>646</v>
      </c>
      <c r="GK45" s="461">
        <v>15</v>
      </c>
      <c r="GL45" s="462">
        <v>20</v>
      </c>
      <c r="GM45" s="461" t="s">
        <v>646</v>
      </c>
      <c r="GN45" s="462">
        <v>20</v>
      </c>
      <c r="GO45" s="462">
        <v>40</v>
      </c>
      <c r="GP45" s="463">
        <v>18.600000000000001</v>
      </c>
      <c r="GQ45" s="463">
        <v>25</v>
      </c>
      <c r="GR45" s="463">
        <v>35</v>
      </c>
      <c r="GS45" s="464">
        <v>120.5</v>
      </c>
      <c r="GT45" s="463">
        <v>350</v>
      </c>
      <c r="GU45" s="394"/>
      <c r="GV45" s="394"/>
      <c r="GW45" s="394"/>
      <c r="GX45" s="394"/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</row>
    <row r="46" spans="2:230" x14ac:dyDescent="0.15">
      <c r="B46" s="89" t="s">
        <v>85</v>
      </c>
      <c r="C46" s="272">
        <v>1700432</v>
      </c>
      <c r="D46" s="455">
        <f t="shared" si="0"/>
        <v>851014</v>
      </c>
      <c r="E46" s="272">
        <v>22126</v>
      </c>
      <c r="F46" s="456">
        <v>828888</v>
      </c>
      <c r="G46" s="455">
        <f t="shared" si="1"/>
        <v>59568</v>
      </c>
      <c r="H46" s="272">
        <v>19698</v>
      </c>
      <c r="I46" s="272">
        <v>39870</v>
      </c>
      <c r="J46" s="272">
        <v>664228</v>
      </c>
      <c r="K46" s="272">
        <v>256919</v>
      </c>
      <c r="L46" s="272">
        <v>329272</v>
      </c>
      <c r="M46" s="272">
        <v>78037</v>
      </c>
      <c r="N46" s="272">
        <v>94018</v>
      </c>
      <c r="O46" s="272">
        <v>0</v>
      </c>
      <c r="P46" s="272">
        <v>0</v>
      </c>
      <c r="Q46" s="272">
        <v>0</v>
      </c>
      <c r="R46" s="272">
        <v>59209</v>
      </c>
      <c r="S46" s="272">
        <v>0</v>
      </c>
      <c r="T46" s="455">
        <f t="shared" si="2"/>
        <v>252465</v>
      </c>
      <c r="U46" s="272">
        <v>14357</v>
      </c>
      <c r="V46" s="272">
        <v>5649</v>
      </c>
      <c r="W46" s="456">
        <v>2002</v>
      </c>
      <c r="X46" s="272">
        <v>136601</v>
      </c>
      <c r="Y46" s="272">
        <v>44676</v>
      </c>
      <c r="Z46" s="272">
        <v>0</v>
      </c>
      <c r="AA46" s="272">
        <v>49180</v>
      </c>
      <c r="AB46" s="272">
        <v>39148</v>
      </c>
      <c r="AC46" s="272">
        <v>1579383</v>
      </c>
      <c r="AD46" s="272">
        <v>1369182</v>
      </c>
      <c r="AE46" s="272">
        <v>210201</v>
      </c>
      <c r="AF46" s="272">
        <v>2978</v>
      </c>
      <c r="AG46" s="272">
        <v>23017</v>
      </c>
      <c r="AH46" s="455">
        <f t="shared" si="3"/>
        <v>114796</v>
      </c>
      <c r="AI46" s="272">
        <v>61916</v>
      </c>
      <c r="AJ46" s="272">
        <v>52880</v>
      </c>
      <c r="AK46" s="272">
        <v>381667</v>
      </c>
      <c r="AL46" s="455">
        <f t="shared" si="4"/>
        <v>7447</v>
      </c>
      <c r="AM46" s="272">
        <v>0</v>
      </c>
      <c r="AN46" s="272">
        <v>7447</v>
      </c>
      <c r="AO46" s="272">
        <v>0</v>
      </c>
      <c r="AP46" s="272">
        <v>0</v>
      </c>
      <c r="AQ46" s="272">
        <v>39680</v>
      </c>
      <c r="AR46" s="272">
        <v>0</v>
      </c>
      <c r="AS46" s="272">
        <v>0</v>
      </c>
      <c r="AT46" s="272">
        <v>271001</v>
      </c>
      <c r="AU46" s="272">
        <v>107450</v>
      </c>
      <c r="AV46" s="272">
        <v>3723</v>
      </c>
      <c r="AW46" s="272">
        <v>7216</v>
      </c>
      <c r="AX46" s="272">
        <v>163551</v>
      </c>
      <c r="AY46" s="272">
        <v>8306</v>
      </c>
      <c r="AZ46" s="272">
        <v>16383</v>
      </c>
      <c r="BA46" s="272">
        <v>749</v>
      </c>
      <c r="BB46" s="272">
        <v>1720</v>
      </c>
      <c r="BC46" s="272">
        <v>135347</v>
      </c>
      <c r="BD46" s="272">
        <v>135000</v>
      </c>
      <c r="BE46" s="272">
        <v>0</v>
      </c>
      <c r="BF46" s="272">
        <v>347</v>
      </c>
      <c r="BG46" s="272">
        <v>0</v>
      </c>
      <c r="BH46" s="272">
        <v>57245</v>
      </c>
      <c r="BI46" s="272">
        <v>54245</v>
      </c>
      <c r="BJ46" s="272">
        <v>59034</v>
      </c>
      <c r="BK46" s="272">
        <v>0</v>
      </c>
      <c r="BL46" s="272">
        <v>0</v>
      </c>
      <c r="BM46" s="272">
        <v>0</v>
      </c>
      <c r="BN46" s="272">
        <v>255600</v>
      </c>
      <c r="BO46" s="455">
        <f t="shared" si="5"/>
        <v>56600</v>
      </c>
      <c r="BP46" s="455">
        <f t="shared" si="6"/>
        <v>199000</v>
      </c>
      <c r="BQ46" s="272">
        <v>0</v>
      </c>
      <c r="BR46" s="272">
        <v>0</v>
      </c>
      <c r="BS46" s="272">
        <v>199000</v>
      </c>
      <c r="BT46" s="272">
        <v>0</v>
      </c>
      <c r="BU46" s="272">
        <v>4949425</v>
      </c>
      <c r="BV46" s="272"/>
      <c r="BW46" s="272">
        <v>1473972</v>
      </c>
      <c r="BX46" s="272">
        <v>938836</v>
      </c>
      <c r="BY46" s="272">
        <v>156106</v>
      </c>
      <c r="BZ46" s="272">
        <v>88908</v>
      </c>
      <c r="CA46" s="272">
        <v>318772</v>
      </c>
      <c r="CB46" s="272">
        <v>113991</v>
      </c>
      <c r="CC46" s="272">
        <v>19636</v>
      </c>
      <c r="CD46" s="272">
        <v>177979</v>
      </c>
      <c r="CE46" s="272">
        <v>0</v>
      </c>
      <c r="CF46" s="272">
        <v>0</v>
      </c>
      <c r="CG46" s="272">
        <v>7166</v>
      </c>
      <c r="CH46" s="272">
        <v>751240</v>
      </c>
      <c r="CI46" s="272">
        <v>626972</v>
      </c>
      <c r="CJ46" s="455">
        <f t="shared" si="7"/>
        <v>124268</v>
      </c>
      <c r="CK46" s="272">
        <v>838723</v>
      </c>
      <c r="CL46" s="272">
        <v>468367</v>
      </c>
      <c r="CM46" s="272">
        <v>58061</v>
      </c>
      <c r="CN46" s="272">
        <v>154525</v>
      </c>
      <c r="CO46" s="272">
        <v>13961</v>
      </c>
      <c r="CP46" s="272">
        <v>595683</v>
      </c>
      <c r="CQ46" s="272">
        <v>166312</v>
      </c>
      <c r="CR46" s="272">
        <v>319054</v>
      </c>
      <c r="CS46" s="272">
        <v>97739</v>
      </c>
      <c r="CT46" s="455">
        <f t="shared" si="8"/>
        <v>11794</v>
      </c>
      <c r="CU46" s="272">
        <v>2656</v>
      </c>
      <c r="CV46" s="272">
        <v>9138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224152</v>
      </c>
      <c r="DD46" s="272">
        <v>75773</v>
      </c>
      <c r="DE46" s="272">
        <v>118562</v>
      </c>
      <c r="DF46" s="26">
        <v>29817</v>
      </c>
      <c r="DG46" s="27">
        <v>0</v>
      </c>
      <c r="DH46" s="272">
        <v>0</v>
      </c>
      <c r="DI46" s="272">
        <v>15055</v>
      </c>
      <c r="DJ46" s="272">
        <v>7015</v>
      </c>
      <c r="DK46" s="272">
        <v>947</v>
      </c>
      <c r="DL46" s="272">
        <v>7093</v>
      </c>
      <c r="DM46" s="272">
        <v>800</v>
      </c>
      <c r="DN46" s="272">
        <v>0</v>
      </c>
      <c r="DO46" s="272">
        <v>0</v>
      </c>
      <c r="DP46" s="272">
        <v>0</v>
      </c>
      <c r="DQ46" s="272">
        <v>0</v>
      </c>
      <c r="DR46" s="272">
        <v>0</v>
      </c>
      <c r="DS46" s="272">
        <v>0</v>
      </c>
      <c r="DT46" s="272">
        <v>587542</v>
      </c>
      <c r="DU46" s="272">
        <v>151350</v>
      </c>
      <c r="DV46" s="455">
        <f t="shared" si="11"/>
        <v>0</v>
      </c>
      <c r="DW46" s="272">
        <v>0</v>
      </c>
      <c r="DX46" s="272">
        <v>135257</v>
      </c>
      <c r="DY46" s="272">
        <v>0</v>
      </c>
      <c r="DZ46" s="272">
        <v>114276</v>
      </c>
      <c r="EA46" s="272">
        <v>11474</v>
      </c>
      <c r="EB46" s="272">
        <v>166169</v>
      </c>
      <c r="EC46" s="272">
        <v>0</v>
      </c>
      <c r="ED46" s="272">
        <v>4819900</v>
      </c>
      <c r="EE46" s="89"/>
      <c r="EF46" s="272">
        <v>129525</v>
      </c>
      <c r="EG46" s="272">
        <v>16192</v>
      </c>
      <c r="EH46" s="272">
        <v>113333</v>
      </c>
      <c r="EI46" s="272">
        <v>4088</v>
      </c>
      <c r="EJ46" s="272">
        <v>-123897</v>
      </c>
      <c r="EK46" s="89"/>
      <c r="EL46" s="272"/>
      <c r="EM46" s="272">
        <v>16613</v>
      </c>
      <c r="EN46" s="272">
        <v>135000</v>
      </c>
      <c r="EO46" s="272">
        <v>749</v>
      </c>
      <c r="EP46" s="455">
        <f t="shared" si="12"/>
        <v>112492</v>
      </c>
      <c r="EQ46" s="272">
        <v>3633615</v>
      </c>
      <c r="ER46" s="272">
        <v>-444263</v>
      </c>
      <c r="ES46" s="272">
        <v>1399604</v>
      </c>
      <c r="ET46" s="272">
        <v>893591</v>
      </c>
      <c r="EU46" s="272">
        <v>132316</v>
      </c>
      <c r="EV46" s="272">
        <v>751240</v>
      </c>
      <c r="EW46" s="455">
        <f t="shared" si="13"/>
        <v>97916</v>
      </c>
      <c r="EX46" s="272">
        <v>97916</v>
      </c>
      <c r="EY46" s="272">
        <v>8460</v>
      </c>
      <c r="EZ46" s="272">
        <v>86013</v>
      </c>
      <c r="FA46" s="272">
        <v>0</v>
      </c>
      <c r="FB46" s="272">
        <v>0</v>
      </c>
      <c r="FC46" s="272">
        <v>680225</v>
      </c>
      <c r="FD46" s="272">
        <v>347314</v>
      </c>
      <c r="FE46" s="272">
        <v>166312</v>
      </c>
      <c r="FF46" s="272">
        <v>522757</v>
      </c>
      <c r="FG46" s="455">
        <f t="shared" si="14"/>
        <v>16981</v>
      </c>
      <c r="FH46" s="272">
        <v>3948353</v>
      </c>
      <c r="FI46" s="459">
        <f t="shared" si="15"/>
        <v>3.1</v>
      </c>
      <c r="FJ46" s="272">
        <v>3485135</v>
      </c>
      <c r="FK46" s="272">
        <v>199368</v>
      </c>
      <c r="FL46" s="272">
        <v>1639395</v>
      </c>
      <c r="FM46" s="272">
        <v>3009897</v>
      </c>
      <c r="FN46" s="460">
        <v>0.56999999999999995</v>
      </c>
      <c r="FO46" s="388">
        <v>96.3</v>
      </c>
      <c r="FP46" s="388">
        <v>38.1</v>
      </c>
      <c r="FQ46" s="388">
        <v>3.6</v>
      </c>
      <c r="FR46" s="388">
        <v>20.7</v>
      </c>
      <c r="FS46" s="388">
        <v>15.5</v>
      </c>
      <c r="FT46" s="388">
        <v>8</v>
      </c>
      <c r="FU46" s="388">
        <v>10</v>
      </c>
      <c r="FV46" s="384">
        <f t="shared" si="16"/>
        <v>15.8</v>
      </c>
      <c r="FW46" s="272">
        <v>6645154</v>
      </c>
      <c r="FX46" s="384">
        <f t="shared" si="17"/>
        <v>180.4</v>
      </c>
      <c r="FY46" s="272">
        <v>2493940</v>
      </c>
      <c r="FZ46" s="272">
        <v>1277676</v>
      </c>
      <c r="GA46" s="272">
        <v>144860</v>
      </c>
      <c r="GB46" s="272">
        <v>1071404</v>
      </c>
      <c r="GC46" s="272">
        <v>0</v>
      </c>
      <c r="GD46" s="457"/>
      <c r="GE46" s="384"/>
      <c r="GF46" s="388">
        <v>95.9</v>
      </c>
      <c r="GG46" s="388">
        <v>20.100000000000001</v>
      </c>
      <c r="GH46" s="388">
        <v>89.7</v>
      </c>
      <c r="GI46" s="272">
        <v>143</v>
      </c>
      <c r="GJ46" s="461" t="s">
        <v>646</v>
      </c>
      <c r="GK46" s="461">
        <v>15</v>
      </c>
      <c r="GL46" s="462">
        <v>20</v>
      </c>
      <c r="GM46" s="461" t="s">
        <v>646</v>
      </c>
      <c r="GN46" s="462">
        <v>20</v>
      </c>
      <c r="GO46" s="462">
        <v>40</v>
      </c>
      <c r="GP46" s="463">
        <v>15.8</v>
      </c>
      <c r="GQ46" s="463">
        <v>25</v>
      </c>
      <c r="GR46" s="463">
        <v>35</v>
      </c>
      <c r="GS46" s="464">
        <v>72</v>
      </c>
      <c r="GT46" s="463">
        <v>350</v>
      </c>
      <c r="GU46" s="394"/>
      <c r="GV46" s="394"/>
      <c r="GW46" s="394"/>
      <c r="GX46" s="394"/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</row>
    <row r="47" spans="2:230" x14ac:dyDescent="0.15">
      <c r="B47" s="89" t="s">
        <v>87</v>
      </c>
      <c r="C47" s="272">
        <v>648631</v>
      </c>
      <c r="D47" s="455">
        <f t="shared" si="0"/>
        <v>313987</v>
      </c>
      <c r="E47" s="272">
        <v>8906</v>
      </c>
      <c r="F47" s="456">
        <v>305081</v>
      </c>
      <c r="G47" s="455">
        <f t="shared" si="1"/>
        <v>28239</v>
      </c>
      <c r="H47" s="272">
        <v>14639</v>
      </c>
      <c r="I47" s="272">
        <v>13600</v>
      </c>
      <c r="J47" s="272">
        <v>285779</v>
      </c>
      <c r="K47" s="272">
        <v>95636</v>
      </c>
      <c r="L47" s="272">
        <v>137055</v>
      </c>
      <c r="M47" s="272">
        <v>53088</v>
      </c>
      <c r="N47" s="272">
        <v>7005</v>
      </c>
      <c r="O47" s="272">
        <v>0</v>
      </c>
      <c r="P47" s="272">
        <v>0</v>
      </c>
      <c r="Q47" s="272">
        <v>0</v>
      </c>
      <c r="R47" s="272">
        <v>25210</v>
      </c>
      <c r="S47" s="272">
        <v>0</v>
      </c>
      <c r="T47" s="455">
        <f t="shared" si="2"/>
        <v>104437</v>
      </c>
      <c r="U47" s="272">
        <v>5497</v>
      </c>
      <c r="V47" s="272">
        <v>2164</v>
      </c>
      <c r="W47" s="456">
        <v>762</v>
      </c>
      <c r="X47" s="272">
        <v>53081</v>
      </c>
      <c r="Y47" s="272">
        <v>21993</v>
      </c>
      <c r="Z47" s="272">
        <v>0</v>
      </c>
      <c r="AA47" s="272">
        <v>20940</v>
      </c>
      <c r="AB47" s="272">
        <v>7932</v>
      </c>
      <c r="AC47" s="272">
        <v>1107773</v>
      </c>
      <c r="AD47" s="272">
        <v>887238</v>
      </c>
      <c r="AE47" s="272">
        <v>220535</v>
      </c>
      <c r="AF47" s="272">
        <v>1193</v>
      </c>
      <c r="AG47" s="272">
        <v>15971</v>
      </c>
      <c r="AH47" s="455">
        <f t="shared" si="3"/>
        <v>29175</v>
      </c>
      <c r="AI47" s="272">
        <v>19841</v>
      </c>
      <c r="AJ47" s="272">
        <v>9334</v>
      </c>
      <c r="AK47" s="272">
        <v>98080</v>
      </c>
      <c r="AL47" s="455">
        <f t="shared" si="4"/>
        <v>24728</v>
      </c>
      <c r="AM47" s="272">
        <v>0</v>
      </c>
      <c r="AN47" s="272">
        <v>24728</v>
      </c>
      <c r="AO47" s="272">
        <v>0</v>
      </c>
      <c r="AP47" s="272">
        <v>0</v>
      </c>
      <c r="AQ47" s="272">
        <v>30684</v>
      </c>
      <c r="AR47" s="272">
        <v>0</v>
      </c>
      <c r="AS47" s="272">
        <v>0</v>
      </c>
      <c r="AT47" s="272">
        <v>184892</v>
      </c>
      <c r="AU47" s="272">
        <v>34476</v>
      </c>
      <c r="AV47" s="272">
        <v>10535</v>
      </c>
      <c r="AW47" s="272">
        <v>0</v>
      </c>
      <c r="AX47" s="272">
        <v>150416</v>
      </c>
      <c r="AY47" s="272">
        <v>19151</v>
      </c>
      <c r="AZ47" s="272">
        <v>67913</v>
      </c>
      <c r="BA47" s="272">
        <v>66300</v>
      </c>
      <c r="BB47" s="272">
        <v>615</v>
      </c>
      <c r="BC47" s="272">
        <v>26243</v>
      </c>
      <c r="BD47" s="272">
        <v>26243</v>
      </c>
      <c r="BE47" s="272">
        <v>0</v>
      </c>
      <c r="BF47" s="272">
        <v>0</v>
      </c>
      <c r="BG47" s="272">
        <v>0</v>
      </c>
      <c r="BH47" s="272">
        <v>68895</v>
      </c>
      <c r="BI47" s="272">
        <v>68895</v>
      </c>
      <c r="BJ47" s="272">
        <v>40017</v>
      </c>
      <c r="BK47" s="272">
        <v>0</v>
      </c>
      <c r="BL47" s="272">
        <v>0</v>
      </c>
      <c r="BM47" s="272">
        <v>0</v>
      </c>
      <c r="BN47" s="272">
        <v>288069</v>
      </c>
      <c r="BO47" s="455">
        <f t="shared" si="5"/>
        <v>24300</v>
      </c>
      <c r="BP47" s="455">
        <f t="shared" si="6"/>
        <v>118469</v>
      </c>
      <c r="BQ47" s="272">
        <v>0</v>
      </c>
      <c r="BR47" s="272">
        <v>0</v>
      </c>
      <c r="BS47" s="272">
        <v>118469</v>
      </c>
      <c r="BT47" s="272">
        <v>145300</v>
      </c>
      <c r="BU47" s="272">
        <v>2715046</v>
      </c>
      <c r="BV47" s="272"/>
      <c r="BW47" s="272">
        <v>886022</v>
      </c>
      <c r="BX47" s="272">
        <v>480496</v>
      </c>
      <c r="BY47" s="272">
        <v>208813</v>
      </c>
      <c r="BZ47" s="272">
        <v>21610</v>
      </c>
      <c r="CA47" s="272">
        <v>157258</v>
      </c>
      <c r="CB47" s="272">
        <v>44033</v>
      </c>
      <c r="CC47" s="272">
        <v>11035</v>
      </c>
      <c r="CD47" s="272">
        <v>99815</v>
      </c>
      <c r="CE47" s="272">
        <v>0</v>
      </c>
      <c r="CF47" s="272">
        <v>0</v>
      </c>
      <c r="CG47" s="272">
        <v>2375</v>
      </c>
      <c r="CH47" s="272">
        <v>371133</v>
      </c>
      <c r="CI47" s="272">
        <v>313479</v>
      </c>
      <c r="CJ47" s="455">
        <f t="shared" si="7"/>
        <v>57654</v>
      </c>
      <c r="CK47" s="272">
        <v>455705</v>
      </c>
      <c r="CL47" s="272">
        <v>318685</v>
      </c>
      <c r="CM47" s="272">
        <v>14388</v>
      </c>
      <c r="CN47" s="272">
        <v>66027</v>
      </c>
      <c r="CO47" s="272">
        <v>11492</v>
      </c>
      <c r="CP47" s="272">
        <v>203404</v>
      </c>
      <c r="CQ47" s="272">
        <v>83050</v>
      </c>
      <c r="CR47" s="272">
        <v>7098</v>
      </c>
      <c r="CS47" s="272">
        <v>5098</v>
      </c>
      <c r="CT47" s="455">
        <f t="shared" si="8"/>
        <v>2191</v>
      </c>
      <c r="CU47" s="272">
        <v>1220</v>
      </c>
      <c r="CV47" s="272">
        <v>971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109628</v>
      </c>
      <c r="DD47" s="272">
        <v>2954</v>
      </c>
      <c r="DE47" s="272">
        <v>102267</v>
      </c>
      <c r="DF47" s="26">
        <v>4407</v>
      </c>
      <c r="DG47" s="27">
        <v>0</v>
      </c>
      <c r="DH47" s="272">
        <v>0</v>
      </c>
      <c r="DI47" s="272">
        <v>117445</v>
      </c>
      <c r="DJ47" s="272">
        <v>36060</v>
      </c>
      <c r="DK47" s="272">
        <v>85</v>
      </c>
      <c r="DL47" s="272">
        <v>81300</v>
      </c>
      <c r="DM47" s="272">
        <v>400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341113</v>
      </c>
      <c r="DU47" s="272">
        <v>88399</v>
      </c>
      <c r="DV47" s="455">
        <f t="shared" si="11"/>
        <v>0</v>
      </c>
      <c r="DW47" s="272">
        <v>0</v>
      </c>
      <c r="DX47" s="272">
        <v>74954</v>
      </c>
      <c r="DY47" s="272">
        <v>0</v>
      </c>
      <c r="DZ47" s="272">
        <v>70968</v>
      </c>
      <c r="EA47" s="272">
        <v>5329</v>
      </c>
      <c r="EB47" s="272">
        <v>93800</v>
      </c>
      <c r="EC47" s="272">
        <v>0</v>
      </c>
      <c r="ED47" s="272">
        <v>2653600</v>
      </c>
      <c r="EE47" s="89"/>
      <c r="EF47" s="272">
        <v>61446</v>
      </c>
      <c r="EG47" s="272">
        <v>919</v>
      </c>
      <c r="EH47" s="272">
        <v>60527</v>
      </c>
      <c r="EI47" s="272">
        <v>-8368</v>
      </c>
      <c r="EJ47" s="272">
        <v>1449</v>
      </c>
      <c r="EK47" s="89"/>
      <c r="EL47" s="272"/>
      <c r="EM47" s="272">
        <v>6411</v>
      </c>
      <c r="EN47" s="272">
        <v>26243</v>
      </c>
      <c r="EO47" s="272">
        <v>454</v>
      </c>
      <c r="EP47" s="455">
        <f t="shared" si="12"/>
        <v>113097</v>
      </c>
      <c r="EQ47" s="272">
        <v>1895176</v>
      </c>
      <c r="ER47" s="272">
        <v>-257070</v>
      </c>
      <c r="ES47" s="272">
        <v>700128</v>
      </c>
      <c r="ET47" s="272">
        <v>445681</v>
      </c>
      <c r="EU47" s="272">
        <v>46842</v>
      </c>
      <c r="EV47" s="272">
        <v>371133</v>
      </c>
      <c r="EW47" s="455">
        <f t="shared" si="13"/>
        <v>65193</v>
      </c>
      <c r="EX47" s="272">
        <v>65193</v>
      </c>
      <c r="EY47" s="272">
        <v>986</v>
      </c>
      <c r="EZ47" s="272">
        <v>63000</v>
      </c>
      <c r="FA47" s="272">
        <v>0</v>
      </c>
      <c r="FB47" s="272">
        <v>0</v>
      </c>
      <c r="FC47" s="272">
        <v>362753</v>
      </c>
      <c r="FD47" s="272">
        <v>179879</v>
      </c>
      <c r="FE47" s="272">
        <v>83050</v>
      </c>
      <c r="FF47" s="272">
        <v>308166</v>
      </c>
      <c r="FG47" s="455">
        <f t="shared" si="14"/>
        <v>56714</v>
      </c>
      <c r="FH47" s="272">
        <v>2090808</v>
      </c>
      <c r="FI47" s="459">
        <f t="shared" si="15"/>
        <v>3.3</v>
      </c>
      <c r="FJ47" s="272">
        <v>1702389</v>
      </c>
      <c r="FK47" s="272">
        <v>118469</v>
      </c>
      <c r="FL47" s="272">
        <v>639238</v>
      </c>
      <c r="FM47" s="272">
        <v>1527146</v>
      </c>
      <c r="FN47" s="460">
        <v>0.439</v>
      </c>
      <c r="FO47" s="388">
        <v>99.1</v>
      </c>
      <c r="FP47" s="388">
        <v>35.6</v>
      </c>
      <c r="FQ47" s="388">
        <v>2.6</v>
      </c>
      <c r="FR47" s="388">
        <v>20.6</v>
      </c>
      <c r="FS47" s="388">
        <v>18.7</v>
      </c>
      <c r="FT47" s="388">
        <v>8</v>
      </c>
      <c r="FU47" s="388">
        <v>13.3</v>
      </c>
      <c r="FV47" s="384">
        <f t="shared" si="16"/>
        <v>17.3</v>
      </c>
      <c r="FW47" s="272">
        <v>3140691</v>
      </c>
      <c r="FX47" s="384">
        <f t="shared" si="17"/>
        <v>172.5</v>
      </c>
      <c r="FY47" s="272">
        <v>389028</v>
      </c>
      <c r="FZ47" s="272">
        <v>285830</v>
      </c>
      <c r="GA47" s="272">
        <v>21898</v>
      </c>
      <c r="GB47" s="272">
        <v>81300</v>
      </c>
      <c r="GC47" s="272">
        <v>0</v>
      </c>
      <c r="GD47" s="457"/>
      <c r="GE47" s="384"/>
      <c r="GF47" s="388">
        <v>97.5</v>
      </c>
      <c r="GG47" s="388">
        <v>23.3</v>
      </c>
      <c r="GH47" s="388">
        <v>93.5</v>
      </c>
      <c r="GI47" s="272">
        <v>79</v>
      </c>
      <c r="GJ47" s="461" t="s">
        <v>646</v>
      </c>
      <c r="GK47" s="461">
        <v>15</v>
      </c>
      <c r="GL47" s="462">
        <v>20</v>
      </c>
      <c r="GM47" s="461" t="s">
        <v>646</v>
      </c>
      <c r="GN47" s="461">
        <v>20</v>
      </c>
      <c r="GO47" s="461">
        <v>40</v>
      </c>
      <c r="GP47" s="463">
        <v>17.3</v>
      </c>
      <c r="GQ47" s="463">
        <v>25</v>
      </c>
      <c r="GR47" s="463">
        <v>35</v>
      </c>
      <c r="GS47" s="464">
        <v>156.80000000000001</v>
      </c>
      <c r="GT47" s="463">
        <v>350</v>
      </c>
      <c r="GU47" s="394"/>
      <c r="GV47" s="394"/>
      <c r="GW47" s="394"/>
      <c r="GX47" s="394"/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</row>
    <row r="48" spans="2:230" x14ac:dyDescent="0.15">
      <c r="B48" s="21" t="s">
        <v>89</v>
      </c>
      <c r="C48" s="272">
        <v>27143756</v>
      </c>
      <c r="D48" s="455">
        <f t="shared" si="0"/>
        <v>10305858</v>
      </c>
      <c r="E48" s="272">
        <v>257082</v>
      </c>
      <c r="F48" s="456">
        <v>10048776</v>
      </c>
      <c r="G48" s="455">
        <f t="shared" si="1"/>
        <v>1603749</v>
      </c>
      <c r="H48" s="272">
        <v>314435</v>
      </c>
      <c r="I48" s="272">
        <v>1289314</v>
      </c>
      <c r="J48" s="272">
        <v>12331767</v>
      </c>
      <c r="K48" s="272">
        <v>4781087</v>
      </c>
      <c r="L48" s="272">
        <v>4784444</v>
      </c>
      <c r="M48" s="272">
        <v>2660231</v>
      </c>
      <c r="N48" s="272">
        <v>2042977</v>
      </c>
      <c r="O48" s="272">
        <v>573617</v>
      </c>
      <c r="P48" s="272">
        <v>324254</v>
      </c>
      <c r="Q48" s="272">
        <v>249363</v>
      </c>
      <c r="R48" s="272">
        <v>606247</v>
      </c>
      <c r="S48" s="272">
        <v>0</v>
      </c>
      <c r="T48" s="455">
        <f t="shared" si="2"/>
        <v>2482631</v>
      </c>
      <c r="U48" s="272">
        <v>168805</v>
      </c>
      <c r="V48" s="272">
        <v>66402</v>
      </c>
      <c r="W48" s="456">
        <v>23550</v>
      </c>
      <c r="X48" s="272">
        <v>1498861</v>
      </c>
      <c r="Y48" s="272">
        <v>247804</v>
      </c>
      <c r="Z48" s="272">
        <v>0</v>
      </c>
      <c r="AA48" s="272">
        <v>477209</v>
      </c>
      <c r="AB48" s="272">
        <v>381450</v>
      </c>
      <c r="AC48" s="272">
        <v>12923005</v>
      </c>
      <c r="AD48" s="272">
        <v>10680538</v>
      </c>
      <c r="AE48" s="272">
        <v>2242467</v>
      </c>
      <c r="AF48" s="272">
        <v>35510</v>
      </c>
      <c r="AG48" s="272">
        <v>230744</v>
      </c>
      <c r="AH48" s="455">
        <f t="shared" si="3"/>
        <v>1452349</v>
      </c>
      <c r="AI48" s="272">
        <v>1154958</v>
      </c>
      <c r="AJ48" s="272">
        <v>297391</v>
      </c>
      <c r="AK48" s="272">
        <v>2425785</v>
      </c>
      <c r="AL48" s="455">
        <f t="shared" si="4"/>
        <v>325224</v>
      </c>
      <c r="AM48" s="272">
        <v>99015</v>
      </c>
      <c r="AN48" s="272">
        <v>226209</v>
      </c>
      <c r="AO48" s="272">
        <v>0</v>
      </c>
      <c r="AP48" s="272">
        <v>0</v>
      </c>
      <c r="AQ48" s="272">
        <v>267888</v>
      </c>
      <c r="AR48" s="272">
        <v>0</v>
      </c>
      <c r="AS48" s="272">
        <v>0</v>
      </c>
      <c r="AT48" s="272">
        <v>3619429</v>
      </c>
      <c r="AU48" s="272">
        <v>1363252</v>
      </c>
      <c r="AV48" s="272">
        <v>114409</v>
      </c>
      <c r="AW48" s="272">
        <v>28635</v>
      </c>
      <c r="AX48" s="272">
        <v>2256177</v>
      </c>
      <c r="AY48" s="272">
        <v>380684</v>
      </c>
      <c r="AZ48" s="272">
        <v>197623</v>
      </c>
      <c r="BA48" s="272">
        <v>122584</v>
      </c>
      <c r="BB48" s="272">
        <v>68668</v>
      </c>
      <c r="BC48" s="272">
        <v>1591088</v>
      </c>
      <c r="BD48" s="272">
        <v>788806</v>
      </c>
      <c r="BE48" s="272">
        <v>50000</v>
      </c>
      <c r="BF48" s="272">
        <v>571757</v>
      </c>
      <c r="BG48" s="456">
        <v>0</v>
      </c>
      <c r="BH48" s="272">
        <v>875241</v>
      </c>
      <c r="BI48" s="272">
        <v>777891</v>
      </c>
      <c r="BJ48" s="272">
        <v>1500738</v>
      </c>
      <c r="BK48" s="272">
        <v>64250</v>
      </c>
      <c r="BL48" s="272">
        <v>0</v>
      </c>
      <c r="BM48" s="272">
        <v>0</v>
      </c>
      <c r="BN48" s="272">
        <v>3997248</v>
      </c>
      <c r="BO48" s="455">
        <f t="shared" si="5"/>
        <v>1594700</v>
      </c>
      <c r="BP48" s="455">
        <f t="shared" si="6"/>
        <v>1977248</v>
      </c>
      <c r="BQ48" s="272">
        <v>0</v>
      </c>
      <c r="BR48" s="272">
        <v>0</v>
      </c>
      <c r="BS48" s="272">
        <v>1977248</v>
      </c>
      <c r="BT48" s="272">
        <v>425300</v>
      </c>
      <c r="BU48" s="272">
        <v>59531512</v>
      </c>
      <c r="BV48" s="272"/>
      <c r="BW48" s="272">
        <v>16248504</v>
      </c>
      <c r="BX48" s="272">
        <v>10395352</v>
      </c>
      <c r="BY48" s="272">
        <v>2017021</v>
      </c>
      <c r="BZ48" s="272">
        <v>892040</v>
      </c>
      <c r="CA48" s="272">
        <v>5140453</v>
      </c>
      <c r="CB48" s="272">
        <v>1655845</v>
      </c>
      <c r="CC48" s="272">
        <v>313794</v>
      </c>
      <c r="CD48" s="272">
        <v>2842879</v>
      </c>
      <c r="CE48" s="272">
        <v>137135</v>
      </c>
      <c r="CF48" s="272">
        <v>6120</v>
      </c>
      <c r="CG48" s="272">
        <v>184680</v>
      </c>
      <c r="CH48" s="272">
        <v>8983520</v>
      </c>
      <c r="CI48" s="272">
        <v>7676224</v>
      </c>
      <c r="CJ48" s="455">
        <f t="shared" si="7"/>
        <v>1307296</v>
      </c>
      <c r="CK48" s="272">
        <v>9400894</v>
      </c>
      <c r="CL48" s="272">
        <v>5084246</v>
      </c>
      <c r="CM48" s="272">
        <v>876200</v>
      </c>
      <c r="CN48" s="272">
        <v>2069791</v>
      </c>
      <c r="CO48" s="272">
        <v>673882</v>
      </c>
      <c r="CP48" s="272">
        <v>6247040</v>
      </c>
      <c r="CQ48" s="272">
        <v>1449381</v>
      </c>
      <c r="CR48" s="272">
        <v>1255895</v>
      </c>
      <c r="CS48" s="272">
        <v>749157</v>
      </c>
      <c r="CT48" s="455">
        <f t="shared" si="8"/>
        <v>214484</v>
      </c>
      <c r="CU48" s="272">
        <v>91825</v>
      </c>
      <c r="CV48" s="272">
        <v>122659</v>
      </c>
      <c r="CW48" s="455">
        <f t="shared" si="9"/>
        <v>31496</v>
      </c>
      <c r="CX48" s="272">
        <v>31496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2838458</v>
      </c>
      <c r="DD48" s="272">
        <v>565968</v>
      </c>
      <c r="DE48" s="272">
        <v>1811676</v>
      </c>
      <c r="DF48" s="26">
        <v>68928</v>
      </c>
      <c r="DG48" s="27">
        <v>391612</v>
      </c>
      <c r="DH48" s="272">
        <v>23027</v>
      </c>
      <c r="DI48" s="272">
        <v>975949</v>
      </c>
      <c r="DJ48" s="272">
        <v>720679</v>
      </c>
      <c r="DK48" s="272">
        <v>6680</v>
      </c>
      <c r="DL48" s="272">
        <v>248590</v>
      </c>
      <c r="DM48" s="272">
        <v>11900</v>
      </c>
      <c r="DN48" s="272">
        <v>0</v>
      </c>
      <c r="DO48" s="272">
        <v>0</v>
      </c>
      <c r="DP48" s="272">
        <v>0</v>
      </c>
      <c r="DQ48" s="272">
        <v>115687</v>
      </c>
      <c r="DR48" s="272">
        <v>0</v>
      </c>
      <c r="DS48" s="272">
        <v>0</v>
      </c>
      <c r="DT48" s="272">
        <v>8016612</v>
      </c>
      <c r="DU48" s="272">
        <v>2991104</v>
      </c>
      <c r="DV48" s="455">
        <f t="shared" si="11"/>
        <v>0</v>
      </c>
      <c r="DW48" s="272">
        <v>0</v>
      </c>
      <c r="DX48" s="272">
        <v>1611757</v>
      </c>
      <c r="DY48" s="272">
        <v>0</v>
      </c>
      <c r="DZ48" s="272">
        <v>1296700</v>
      </c>
      <c r="EA48" s="272">
        <v>161910</v>
      </c>
      <c r="EB48" s="272">
        <v>1837355</v>
      </c>
      <c r="EC48" s="272">
        <v>0</v>
      </c>
      <c r="ED48" s="272">
        <v>58675926</v>
      </c>
      <c r="EE48" s="89"/>
      <c r="EF48" s="272">
        <v>855586</v>
      </c>
      <c r="EG48" s="272">
        <v>183343</v>
      </c>
      <c r="EH48" s="272">
        <v>672243</v>
      </c>
      <c r="EI48" s="272">
        <v>-160648</v>
      </c>
      <c r="EJ48" s="272">
        <v>-160422</v>
      </c>
      <c r="EK48" s="89"/>
      <c r="EL48" s="272"/>
      <c r="EM48" s="272">
        <v>191626</v>
      </c>
      <c r="EN48" s="272">
        <v>1094542</v>
      </c>
      <c r="EO48" s="272">
        <v>66408</v>
      </c>
      <c r="EP48" s="455">
        <f t="shared" si="12"/>
        <v>2808573</v>
      </c>
      <c r="EQ48" s="272">
        <v>43572599</v>
      </c>
      <c r="ER48" s="272">
        <v>-5911261</v>
      </c>
      <c r="ES48" s="272">
        <v>14671512</v>
      </c>
      <c r="ET48" s="272">
        <v>9457136</v>
      </c>
      <c r="EU48" s="272">
        <v>2176744</v>
      </c>
      <c r="EV48" s="272">
        <v>8856009</v>
      </c>
      <c r="EW48" s="455">
        <f t="shared" si="13"/>
        <v>1090933</v>
      </c>
      <c r="EX48" s="272">
        <v>1080020</v>
      </c>
      <c r="EY48" s="272">
        <v>61375</v>
      </c>
      <c r="EZ48" s="272">
        <v>1009572</v>
      </c>
      <c r="FA48" s="272">
        <v>10913</v>
      </c>
      <c r="FB48" s="272">
        <v>0</v>
      </c>
      <c r="FC48" s="272">
        <v>7712724</v>
      </c>
      <c r="FD48" s="272">
        <v>5493997</v>
      </c>
      <c r="FE48" s="272">
        <v>1373381</v>
      </c>
      <c r="FF48" s="272">
        <v>7285154</v>
      </c>
      <c r="FG48" s="455">
        <f t="shared" si="14"/>
        <v>1355762</v>
      </c>
      <c r="FH48" s="272">
        <v>48642835</v>
      </c>
      <c r="FI48" s="459">
        <f t="shared" si="15"/>
        <v>1.6</v>
      </c>
      <c r="FJ48" s="272">
        <v>39730304</v>
      </c>
      <c r="FK48" s="272">
        <v>2107517</v>
      </c>
      <c r="FL48" s="272">
        <v>22421003</v>
      </c>
      <c r="FM48" s="272">
        <v>32013470</v>
      </c>
      <c r="FN48" s="460">
        <v>0.69699999999999995</v>
      </c>
      <c r="FO48" s="388">
        <v>93.6</v>
      </c>
      <c r="FP48" s="388">
        <v>32.1</v>
      </c>
      <c r="FQ48" s="388">
        <v>5.0999999999999996</v>
      </c>
      <c r="FR48" s="388">
        <v>18</v>
      </c>
      <c r="FS48" s="388">
        <v>16.3</v>
      </c>
      <c r="FT48" s="388">
        <v>7</v>
      </c>
      <c r="FU48" s="388">
        <v>13.9</v>
      </c>
      <c r="FV48" s="384">
        <f t="shared" si="16"/>
        <v>12.9</v>
      </c>
      <c r="FW48" s="272">
        <v>67718446</v>
      </c>
      <c r="FX48" s="384">
        <f t="shared" si="17"/>
        <v>161.9</v>
      </c>
      <c r="FY48" s="272">
        <v>19843313</v>
      </c>
      <c r="FZ48" s="272">
        <v>10595576</v>
      </c>
      <c r="GA48" s="272">
        <v>2148335</v>
      </c>
      <c r="GB48" s="272">
        <v>7099402</v>
      </c>
      <c r="GC48" s="272">
        <v>302400</v>
      </c>
      <c r="GD48" s="272">
        <v>1986913</v>
      </c>
      <c r="GE48" s="465">
        <f>ROUND(GD48/(FJ51+FK51)*100,1)</f>
        <v>13.8</v>
      </c>
      <c r="GF48" s="388">
        <v>98.3</v>
      </c>
      <c r="GG48" s="388">
        <v>17.5</v>
      </c>
      <c r="GH48" s="388">
        <v>93.6</v>
      </c>
      <c r="GI48" s="272">
        <v>1662</v>
      </c>
      <c r="GJ48" s="461" t="s">
        <v>646</v>
      </c>
      <c r="GK48" s="461" t="s">
        <v>646</v>
      </c>
      <c r="GL48" s="461" t="s">
        <v>646</v>
      </c>
      <c r="GM48" s="461" t="s">
        <v>646</v>
      </c>
      <c r="GN48" s="461" t="s">
        <v>646</v>
      </c>
      <c r="GO48" s="461" t="s">
        <v>646</v>
      </c>
      <c r="GP48" s="463">
        <v>12.9</v>
      </c>
      <c r="GQ48" s="461" t="s">
        <v>646</v>
      </c>
      <c r="GR48" s="461" t="s">
        <v>646</v>
      </c>
      <c r="GS48" s="463">
        <v>109.9</v>
      </c>
      <c r="GT48" s="461" t="s">
        <v>646</v>
      </c>
      <c r="GU48" s="394"/>
      <c r="GV48" s="394"/>
      <c r="GW48" s="394"/>
      <c r="GX48" s="394"/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</row>
    <row r="49" spans="2:230" x14ac:dyDescent="0.15">
      <c r="B49" s="21" t="s">
        <v>91</v>
      </c>
      <c r="C49" s="272">
        <v>808975654</v>
      </c>
      <c r="D49" s="455">
        <f t="shared" si="0"/>
        <v>307798926</v>
      </c>
      <c r="E49" s="272">
        <v>7006119</v>
      </c>
      <c r="F49" s="456">
        <v>300792807</v>
      </c>
      <c r="G49" s="455">
        <f t="shared" si="1"/>
        <v>65801403</v>
      </c>
      <c r="H49" s="272">
        <v>13131237</v>
      </c>
      <c r="I49" s="272">
        <v>52670166</v>
      </c>
      <c r="J49" s="272">
        <v>321664963</v>
      </c>
      <c r="K49" s="272">
        <v>138652648</v>
      </c>
      <c r="L49" s="272">
        <v>131964836</v>
      </c>
      <c r="M49" s="272">
        <v>45423487</v>
      </c>
      <c r="N49" s="272">
        <v>34146534</v>
      </c>
      <c r="O49" s="272">
        <v>64766113</v>
      </c>
      <c r="P49" s="272">
        <v>36804022</v>
      </c>
      <c r="Q49" s="272">
        <v>27962091</v>
      </c>
      <c r="R49" s="272">
        <v>13259900</v>
      </c>
      <c r="S49" s="272">
        <v>0</v>
      </c>
      <c r="T49" s="455">
        <f t="shared" si="2"/>
        <v>64069577</v>
      </c>
      <c r="U49" s="272">
        <v>5043820</v>
      </c>
      <c r="V49" s="272">
        <v>1983687</v>
      </c>
      <c r="W49" s="456">
        <v>705048</v>
      </c>
      <c r="X49" s="272">
        <v>46001878</v>
      </c>
      <c r="Y49" s="272">
        <v>1054753</v>
      </c>
      <c r="Z49" s="272">
        <v>147</v>
      </c>
      <c r="AA49" s="272">
        <v>9280244</v>
      </c>
      <c r="AB49" s="272">
        <v>11990909</v>
      </c>
      <c r="AC49" s="272">
        <v>149739184</v>
      </c>
      <c r="AD49" s="272">
        <v>136911956</v>
      </c>
      <c r="AE49" s="272">
        <v>12827228</v>
      </c>
      <c r="AF49" s="272">
        <v>969391</v>
      </c>
      <c r="AG49" s="272">
        <v>18965036</v>
      </c>
      <c r="AH49" s="455">
        <f t="shared" si="3"/>
        <v>36902038</v>
      </c>
      <c r="AI49" s="272">
        <v>29077994</v>
      </c>
      <c r="AJ49" s="272">
        <v>7824044</v>
      </c>
      <c r="AK49" s="272">
        <v>228286521</v>
      </c>
      <c r="AL49" s="455">
        <f t="shared" si="4"/>
        <v>130279447</v>
      </c>
      <c r="AM49" s="272">
        <v>115162783</v>
      </c>
      <c r="AN49" s="272">
        <v>15116664</v>
      </c>
      <c r="AO49" s="272">
        <v>0</v>
      </c>
      <c r="AP49" s="272">
        <v>0</v>
      </c>
      <c r="AQ49" s="272">
        <v>20107626</v>
      </c>
      <c r="AR49" s="272">
        <v>21537</v>
      </c>
      <c r="AS49" s="272">
        <v>306866</v>
      </c>
      <c r="AT49" s="272">
        <v>88304301</v>
      </c>
      <c r="AU49" s="272">
        <v>41228580</v>
      </c>
      <c r="AV49" s="272">
        <v>6002214</v>
      </c>
      <c r="AW49" s="272">
        <v>967501</v>
      </c>
      <c r="AX49" s="272">
        <v>47075721</v>
      </c>
      <c r="AY49" s="272">
        <v>1308691</v>
      </c>
      <c r="AZ49" s="272">
        <v>11033493</v>
      </c>
      <c r="BA49" s="272">
        <v>8154908</v>
      </c>
      <c r="BB49" s="272">
        <v>865091</v>
      </c>
      <c r="BC49" s="272">
        <v>35912408</v>
      </c>
      <c r="BD49" s="272">
        <v>7397460</v>
      </c>
      <c r="BE49" s="272">
        <v>2110363</v>
      </c>
      <c r="BF49" s="272">
        <v>20105645</v>
      </c>
      <c r="BG49" s="272">
        <v>3349179</v>
      </c>
      <c r="BH49" s="272">
        <v>11919463</v>
      </c>
      <c r="BI49" s="272">
        <v>7345934</v>
      </c>
      <c r="BJ49" s="272">
        <v>49383859</v>
      </c>
      <c r="BK49" s="272">
        <v>21904180</v>
      </c>
      <c r="BL49" s="272">
        <v>210620</v>
      </c>
      <c r="BM49" s="272">
        <v>1804010</v>
      </c>
      <c r="BN49" s="272">
        <v>108067653</v>
      </c>
      <c r="BO49" s="455">
        <f t="shared" si="5"/>
        <v>46587880</v>
      </c>
      <c r="BP49" s="455">
        <f t="shared" si="6"/>
        <v>41800873</v>
      </c>
      <c r="BQ49" s="272">
        <v>0</v>
      </c>
      <c r="BR49" s="272">
        <v>2185600</v>
      </c>
      <c r="BS49" s="272">
        <v>39615273</v>
      </c>
      <c r="BT49" s="272">
        <v>19678900</v>
      </c>
      <c r="BU49" s="272">
        <v>1638951344</v>
      </c>
      <c r="BV49" s="272"/>
      <c r="BW49" s="272">
        <v>372130551</v>
      </c>
      <c r="BX49" s="272">
        <v>242470757</v>
      </c>
      <c r="BY49" s="272">
        <v>57138789</v>
      </c>
      <c r="BZ49" s="272">
        <v>18562550</v>
      </c>
      <c r="CA49" s="272">
        <v>358740498</v>
      </c>
      <c r="CB49" s="272">
        <v>56848952</v>
      </c>
      <c r="CC49" s="272">
        <v>10198220</v>
      </c>
      <c r="CD49" s="272">
        <v>126044613</v>
      </c>
      <c r="CE49" s="272">
        <v>154031762</v>
      </c>
      <c r="CF49" s="272">
        <v>5346569</v>
      </c>
      <c r="CG49" s="272">
        <v>6248067</v>
      </c>
      <c r="CH49" s="272">
        <v>173495589</v>
      </c>
      <c r="CI49" s="272">
        <v>142766245</v>
      </c>
      <c r="CJ49" s="455">
        <f t="shared" si="7"/>
        <v>30729344</v>
      </c>
      <c r="CK49" s="272">
        <v>182093746</v>
      </c>
      <c r="CL49" s="272">
        <v>103658918</v>
      </c>
      <c r="CM49" s="272">
        <v>13057794</v>
      </c>
      <c r="CN49" s="272">
        <v>36114265</v>
      </c>
      <c r="CO49" s="272">
        <v>13831300</v>
      </c>
      <c r="CP49" s="272">
        <v>145163868</v>
      </c>
      <c r="CQ49" s="272">
        <v>39453157</v>
      </c>
      <c r="CR49" s="272">
        <v>40084026</v>
      </c>
      <c r="CS49" s="272">
        <v>26859272</v>
      </c>
      <c r="CT49" s="455">
        <f t="shared" si="8"/>
        <v>35220866</v>
      </c>
      <c r="CU49" s="272">
        <v>25850657</v>
      </c>
      <c r="CV49" s="272">
        <v>9370209</v>
      </c>
      <c r="CW49" s="455">
        <f t="shared" si="9"/>
        <v>14873826</v>
      </c>
      <c r="CX49" s="272">
        <v>11306043</v>
      </c>
      <c r="CY49" s="272">
        <v>3567783</v>
      </c>
      <c r="CZ49" s="455">
        <f t="shared" si="10"/>
        <v>17286366</v>
      </c>
      <c r="DA49" s="272">
        <v>13778664</v>
      </c>
      <c r="DB49" s="272">
        <v>3507702</v>
      </c>
      <c r="DC49" s="272">
        <v>119355139</v>
      </c>
      <c r="DD49" s="272">
        <v>42989416</v>
      </c>
      <c r="DE49" s="272">
        <v>72270166</v>
      </c>
      <c r="DF49" s="26">
        <v>1795096</v>
      </c>
      <c r="DG49" s="27">
        <v>2300187</v>
      </c>
      <c r="DH49" s="272">
        <v>91126</v>
      </c>
      <c r="DI49" s="272">
        <v>22846398</v>
      </c>
      <c r="DJ49" s="272">
        <v>8239468</v>
      </c>
      <c r="DK49" s="272">
        <v>488819</v>
      </c>
      <c r="DL49" s="272">
        <v>14118111</v>
      </c>
      <c r="DM49" s="272">
        <v>3133799</v>
      </c>
      <c r="DN49" s="272">
        <v>2721330</v>
      </c>
      <c r="DO49" s="272">
        <v>122148</v>
      </c>
      <c r="DP49" s="272">
        <v>2441345</v>
      </c>
      <c r="DQ49" s="272">
        <v>29641695</v>
      </c>
      <c r="DR49" s="272">
        <v>6200000</v>
      </c>
      <c r="DS49" s="272">
        <v>6200000</v>
      </c>
      <c r="DT49" s="272">
        <v>188583706</v>
      </c>
      <c r="DU49" s="272">
        <v>56292403</v>
      </c>
      <c r="DV49" s="455">
        <f t="shared" si="11"/>
        <v>880017</v>
      </c>
      <c r="DW49" s="272">
        <v>880017</v>
      </c>
      <c r="DX49" s="272">
        <v>35765460</v>
      </c>
      <c r="DY49" s="272">
        <v>398614</v>
      </c>
      <c r="DZ49" s="272">
        <v>49627450</v>
      </c>
      <c r="EA49" s="272">
        <v>2879510</v>
      </c>
      <c r="EB49" s="272">
        <v>39795188</v>
      </c>
      <c r="EC49" s="272">
        <v>4864524</v>
      </c>
      <c r="ED49" s="272">
        <v>1613971939</v>
      </c>
      <c r="EE49" s="89"/>
      <c r="EF49" s="272">
        <v>24979405</v>
      </c>
      <c r="EG49" s="272">
        <v>16044328</v>
      </c>
      <c r="EH49" s="272">
        <v>8935077</v>
      </c>
      <c r="EI49" s="272">
        <v>5468290</v>
      </c>
      <c r="EJ49" s="272">
        <v>9333685</v>
      </c>
      <c r="EK49" s="89"/>
      <c r="EL49" s="272"/>
      <c r="EM49" s="272">
        <v>5315977</v>
      </c>
      <c r="EN49" s="272">
        <v>20629464</v>
      </c>
      <c r="EO49" s="272">
        <v>7424330</v>
      </c>
      <c r="EP49" s="455">
        <f t="shared" si="12"/>
        <v>40651880</v>
      </c>
      <c r="EQ49" s="272">
        <v>1049311481</v>
      </c>
      <c r="ER49" s="272">
        <v>-109230290</v>
      </c>
      <c r="ES49" s="272">
        <v>326927094</v>
      </c>
      <c r="ET49" s="272">
        <v>221117673</v>
      </c>
      <c r="EU49" s="272">
        <v>118328055</v>
      </c>
      <c r="EV49" s="272">
        <v>171556474</v>
      </c>
      <c r="EW49" s="455">
        <f t="shared" si="13"/>
        <v>37854437</v>
      </c>
      <c r="EX49" s="272">
        <v>37805720</v>
      </c>
      <c r="EY49" s="272">
        <v>3430768</v>
      </c>
      <c r="EZ49" s="272">
        <v>34020083</v>
      </c>
      <c r="FA49" s="272">
        <v>48717</v>
      </c>
      <c r="FB49" s="272">
        <v>0</v>
      </c>
      <c r="FC49" s="272">
        <v>149381490</v>
      </c>
      <c r="FD49" s="272">
        <v>129038396</v>
      </c>
      <c r="FE49" s="272">
        <v>38965157</v>
      </c>
      <c r="FF49" s="272">
        <v>165298725</v>
      </c>
      <c r="FG49" s="455">
        <f t="shared" si="14"/>
        <v>41836655</v>
      </c>
      <c r="FH49" s="272">
        <v>1140221326</v>
      </c>
      <c r="FI49" s="459">
        <f t="shared" si="15"/>
        <v>0.9</v>
      </c>
      <c r="FJ49" s="272">
        <v>972899299</v>
      </c>
      <c r="FK49" s="272">
        <v>41457811</v>
      </c>
      <c r="FL49" s="272">
        <v>640533081</v>
      </c>
      <c r="FM49" s="272">
        <v>765654890</v>
      </c>
      <c r="FN49" s="460">
        <v>0.83299999999999996</v>
      </c>
      <c r="FO49" s="388">
        <v>97.2</v>
      </c>
      <c r="FP49" s="388">
        <v>31.2</v>
      </c>
      <c r="FQ49" s="388">
        <v>11.5</v>
      </c>
      <c r="FR49" s="388">
        <v>16.399999999999999</v>
      </c>
      <c r="FS49" s="388">
        <v>13.6</v>
      </c>
      <c r="FT49" s="388">
        <v>10.5</v>
      </c>
      <c r="FU49" s="388">
        <v>12.8</v>
      </c>
      <c r="FV49" s="384">
        <f t="shared" si="16"/>
        <v>7</v>
      </c>
      <c r="FW49" s="272">
        <v>1535951523</v>
      </c>
      <c r="FX49" s="384">
        <f t="shared" si="17"/>
        <v>151.4</v>
      </c>
      <c r="FY49" s="272">
        <v>253482762</v>
      </c>
      <c r="FZ49" s="272">
        <v>83307171</v>
      </c>
      <c r="GA49" s="272">
        <v>19846127</v>
      </c>
      <c r="GB49" s="272">
        <v>150329464</v>
      </c>
      <c r="GC49" s="272">
        <v>16013252</v>
      </c>
      <c r="GD49" s="272">
        <v>180910891</v>
      </c>
      <c r="GE49" s="465">
        <f>ROUND(GD49/(FJ52+FK52)*100,1)</f>
        <v>18.3</v>
      </c>
      <c r="GF49" s="388">
        <v>97.9</v>
      </c>
      <c r="GG49" s="388">
        <v>22.3</v>
      </c>
      <c r="GH49" s="388">
        <v>93.6</v>
      </c>
      <c r="GI49" s="272">
        <v>34243</v>
      </c>
      <c r="GJ49" s="461" t="s">
        <v>646</v>
      </c>
      <c r="GK49" s="461" t="s">
        <v>646</v>
      </c>
      <c r="GL49" s="461" t="s">
        <v>646</v>
      </c>
      <c r="GM49" s="461" t="s">
        <v>646</v>
      </c>
      <c r="GN49" s="461" t="s">
        <v>646</v>
      </c>
      <c r="GO49" s="461" t="s">
        <v>646</v>
      </c>
      <c r="GP49" s="463">
        <v>7</v>
      </c>
      <c r="GQ49" s="461" t="s">
        <v>646</v>
      </c>
      <c r="GR49" s="461" t="s">
        <v>646</v>
      </c>
      <c r="GS49" s="463">
        <v>81.599999999999994</v>
      </c>
      <c r="GT49" s="461" t="s">
        <v>646</v>
      </c>
      <c r="GU49" s="394"/>
      <c r="GV49" s="394"/>
      <c r="GW49" s="394"/>
      <c r="GX49" s="394"/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</row>
    <row r="50" spans="2:230" x14ac:dyDescent="0.15">
      <c r="EJ50" s="394"/>
      <c r="EW50" s="272"/>
      <c r="GE50" s="31" t="s">
        <v>647</v>
      </c>
    </row>
    <row r="51" spans="2:230" x14ac:dyDescent="0.15">
      <c r="EI51" s="420">
        <f>EI6+EI16+EI20+EI25+EI27+EI29+EI30+EI32+EI35+EI38+EI41+EI42+EI43+EI46</f>
        <v>735553</v>
      </c>
      <c r="FJ51" s="394">
        <f>FJ42+FJ45+FJ43</f>
        <v>13698257</v>
      </c>
      <c r="FK51" s="394">
        <f>FK42+FK45+FK43</f>
        <v>701774</v>
      </c>
    </row>
    <row r="52" spans="2:230" x14ac:dyDescent="0.15">
      <c r="EI52" s="420">
        <f>EI49-EI51</f>
        <v>4732737</v>
      </c>
      <c r="EM52" s="272">
        <v>5320065</v>
      </c>
      <c r="FJ52" s="394">
        <f>FJ37+FJ51</f>
        <v>946867252</v>
      </c>
      <c r="FK52" s="394">
        <f>FK37+FK51</f>
        <v>40052068</v>
      </c>
      <c r="GF52" s="388"/>
      <c r="GG52" s="388"/>
      <c r="GH52" s="388"/>
      <c r="GI52" s="272">
        <v>35365</v>
      </c>
    </row>
    <row r="54" spans="2:230" x14ac:dyDescent="0.15">
      <c r="B54" s="89" t="s">
        <v>650</v>
      </c>
      <c r="C54" s="89" t="str">
        <f t="shared" ref="C54:AH54" si="19">IF(SUM(C6:C36)=C37,"ok","エラー")</f>
        <v>ok</v>
      </c>
      <c r="D54" s="89" t="str">
        <f t="shared" si="19"/>
        <v>ok</v>
      </c>
      <c r="E54" s="89" t="str">
        <f t="shared" si="19"/>
        <v>ok</v>
      </c>
      <c r="F54" s="89" t="str">
        <f t="shared" si="19"/>
        <v>ok</v>
      </c>
      <c r="G54" s="89" t="str">
        <f t="shared" si="19"/>
        <v>ok</v>
      </c>
      <c r="H54" s="89" t="str">
        <f t="shared" si="19"/>
        <v>ok</v>
      </c>
      <c r="I54" s="89" t="str">
        <f t="shared" si="19"/>
        <v>ok</v>
      </c>
      <c r="J54" s="89" t="str">
        <f t="shared" si="19"/>
        <v>ok</v>
      </c>
      <c r="K54" s="89" t="str">
        <f t="shared" si="19"/>
        <v>ok</v>
      </c>
      <c r="L54" s="89" t="str">
        <f t="shared" si="19"/>
        <v>ok</v>
      </c>
      <c r="M54" s="89" t="str">
        <f t="shared" si="19"/>
        <v>ok</v>
      </c>
      <c r="N54" s="89" t="str">
        <f t="shared" si="19"/>
        <v>ok</v>
      </c>
      <c r="O54" s="89" t="str">
        <f t="shared" si="19"/>
        <v>ok</v>
      </c>
      <c r="P54" s="89" t="str">
        <f t="shared" si="19"/>
        <v>ok</v>
      </c>
      <c r="Q54" s="89" t="str">
        <f t="shared" si="19"/>
        <v>ok</v>
      </c>
      <c r="R54" s="89" t="str">
        <f t="shared" si="19"/>
        <v>ok</v>
      </c>
      <c r="S54" s="89" t="str">
        <f t="shared" si="19"/>
        <v>ok</v>
      </c>
      <c r="T54" s="89" t="str">
        <f t="shared" si="19"/>
        <v>ok</v>
      </c>
      <c r="U54" s="89" t="str">
        <f t="shared" si="19"/>
        <v>ok</v>
      </c>
      <c r="V54" s="89" t="str">
        <f t="shared" si="19"/>
        <v>ok</v>
      </c>
      <c r="W54" s="89" t="str">
        <f t="shared" si="19"/>
        <v>ok</v>
      </c>
      <c r="X54" s="89" t="str">
        <f t="shared" si="19"/>
        <v>ok</v>
      </c>
      <c r="Y54" s="89" t="str">
        <f t="shared" si="19"/>
        <v>ok</v>
      </c>
      <c r="Z54" s="89" t="str">
        <f t="shared" si="19"/>
        <v>ok</v>
      </c>
      <c r="AA54" s="89" t="str">
        <f t="shared" si="19"/>
        <v>ok</v>
      </c>
      <c r="AB54" s="89" t="str">
        <f t="shared" si="19"/>
        <v>ok</v>
      </c>
      <c r="AC54" s="89" t="str">
        <f t="shared" si="19"/>
        <v>ok</v>
      </c>
      <c r="AD54" s="89" t="str">
        <f t="shared" si="19"/>
        <v>ok</v>
      </c>
      <c r="AE54" s="89" t="str">
        <f t="shared" si="19"/>
        <v>ok</v>
      </c>
      <c r="AF54" s="89" t="str">
        <f t="shared" si="19"/>
        <v>ok</v>
      </c>
      <c r="AG54" s="89" t="str">
        <f t="shared" si="19"/>
        <v>ok</v>
      </c>
      <c r="AH54" s="89" t="str">
        <f t="shared" si="19"/>
        <v>ok</v>
      </c>
      <c r="AI54" s="89" t="str">
        <f t="shared" ref="AI54:BN54" si="20">IF(SUM(AI6:AI36)=AI37,"ok","エラー")</f>
        <v>ok</v>
      </c>
      <c r="AJ54" s="89" t="str">
        <f t="shared" si="20"/>
        <v>ok</v>
      </c>
      <c r="AK54" s="89" t="str">
        <f t="shared" si="20"/>
        <v>ok</v>
      </c>
      <c r="AL54" s="89" t="str">
        <f t="shared" si="20"/>
        <v>ok</v>
      </c>
      <c r="AM54" s="89" t="str">
        <f t="shared" si="20"/>
        <v>ok</v>
      </c>
      <c r="AN54" s="89" t="str">
        <f t="shared" si="20"/>
        <v>ok</v>
      </c>
      <c r="AO54" s="89" t="str">
        <f t="shared" si="20"/>
        <v>ok</v>
      </c>
      <c r="AP54" s="89" t="str">
        <f t="shared" si="20"/>
        <v>ok</v>
      </c>
      <c r="AQ54" s="89" t="str">
        <f t="shared" si="20"/>
        <v>ok</v>
      </c>
      <c r="AR54" s="89" t="str">
        <f t="shared" si="20"/>
        <v>ok</v>
      </c>
      <c r="AS54" s="89" t="str">
        <f t="shared" si="20"/>
        <v>ok</v>
      </c>
      <c r="AT54" s="89" t="str">
        <f t="shared" si="20"/>
        <v>ok</v>
      </c>
      <c r="AU54" s="89" t="str">
        <f t="shared" si="20"/>
        <v>ok</v>
      </c>
      <c r="AV54" s="89" t="str">
        <f t="shared" si="20"/>
        <v>ok</v>
      </c>
      <c r="AW54" s="89" t="str">
        <f t="shared" si="20"/>
        <v>ok</v>
      </c>
      <c r="AX54" s="89" t="str">
        <f t="shared" si="20"/>
        <v>ok</v>
      </c>
      <c r="AY54" s="89" t="str">
        <f t="shared" si="20"/>
        <v>ok</v>
      </c>
      <c r="AZ54" s="89" t="str">
        <f t="shared" si="20"/>
        <v>ok</v>
      </c>
      <c r="BA54" s="89" t="str">
        <f t="shared" si="20"/>
        <v>ok</v>
      </c>
      <c r="BB54" s="89" t="str">
        <f t="shared" si="20"/>
        <v>ok</v>
      </c>
      <c r="BC54" s="89" t="str">
        <f t="shared" si="20"/>
        <v>ok</v>
      </c>
      <c r="BD54" s="89" t="str">
        <f t="shared" si="20"/>
        <v>ok</v>
      </c>
      <c r="BE54" s="89" t="str">
        <f t="shared" si="20"/>
        <v>ok</v>
      </c>
      <c r="BF54" s="89" t="str">
        <f t="shared" si="20"/>
        <v>ok</v>
      </c>
      <c r="BG54" s="89" t="str">
        <f t="shared" si="20"/>
        <v>ok</v>
      </c>
      <c r="BH54" s="89" t="str">
        <f t="shared" si="20"/>
        <v>ok</v>
      </c>
      <c r="BI54" s="89" t="str">
        <f t="shared" si="20"/>
        <v>ok</v>
      </c>
      <c r="BJ54" s="89" t="str">
        <f t="shared" si="20"/>
        <v>ok</v>
      </c>
      <c r="BK54" s="89" t="str">
        <f t="shared" si="20"/>
        <v>ok</v>
      </c>
      <c r="BL54" s="89" t="str">
        <f t="shared" si="20"/>
        <v>ok</v>
      </c>
      <c r="BM54" s="89" t="str">
        <f t="shared" si="20"/>
        <v>ok</v>
      </c>
      <c r="BN54" s="89" t="str">
        <f t="shared" si="20"/>
        <v>ok</v>
      </c>
      <c r="BO54" s="89" t="str">
        <f t="shared" ref="BO54:CT54" si="21">IF(SUM(BO6:BO36)=BO37,"ok","エラー")</f>
        <v>ok</v>
      </c>
      <c r="BP54" s="89" t="str">
        <f t="shared" si="21"/>
        <v>ok</v>
      </c>
      <c r="BQ54" s="89" t="str">
        <f t="shared" si="21"/>
        <v>ok</v>
      </c>
      <c r="BR54" s="89" t="str">
        <f t="shared" si="21"/>
        <v>ok</v>
      </c>
      <c r="BS54" s="89" t="str">
        <f t="shared" si="21"/>
        <v>ok</v>
      </c>
      <c r="BT54" s="89" t="str">
        <f t="shared" si="21"/>
        <v>ok</v>
      </c>
      <c r="BU54" s="89" t="str">
        <f t="shared" si="21"/>
        <v>ok</v>
      </c>
      <c r="BV54" s="89" t="str">
        <f t="shared" si="21"/>
        <v>ok</v>
      </c>
      <c r="BW54" s="89" t="str">
        <f t="shared" si="21"/>
        <v>ok</v>
      </c>
      <c r="BX54" s="89" t="str">
        <f t="shared" si="21"/>
        <v>ok</v>
      </c>
      <c r="BY54" s="89" t="str">
        <f t="shared" si="21"/>
        <v>ok</v>
      </c>
      <c r="BZ54" s="89" t="str">
        <f t="shared" si="21"/>
        <v>ok</v>
      </c>
      <c r="CA54" s="89" t="str">
        <f t="shared" si="21"/>
        <v>ok</v>
      </c>
      <c r="CB54" s="89" t="str">
        <f t="shared" si="21"/>
        <v>ok</v>
      </c>
      <c r="CC54" s="89" t="str">
        <f t="shared" si="21"/>
        <v>ok</v>
      </c>
      <c r="CD54" s="89" t="str">
        <f t="shared" si="21"/>
        <v>ok</v>
      </c>
      <c r="CE54" s="89" t="str">
        <f t="shared" si="21"/>
        <v>ok</v>
      </c>
      <c r="CF54" s="89" t="str">
        <f t="shared" si="21"/>
        <v>ok</v>
      </c>
      <c r="CG54" s="89" t="str">
        <f t="shared" si="21"/>
        <v>ok</v>
      </c>
      <c r="CH54" s="89" t="str">
        <f t="shared" si="21"/>
        <v>ok</v>
      </c>
      <c r="CI54" s="89" t="str">
        <f t="shared" si="21"/>
        <v>ok</v>
      </c>
      <c r="CJ54" s="89" t="str">
        <f t="shared" si="21"/>
        <v>ok</v>
      </c>
      <c r="CK54" s="89" t="str">
        <f t="shared" si="21"/>
        <v>ok</v>
      </c>
      <c r="CL54" s="89" t="str">
        <f t="shared" si="21"/>
        <v>ok</v>
      </c>
      <c r="CM54" s="89" t="str">
        <f t="shared" si="21"/>
        <v>ok</v>
      </c>
      <c r="CN54" s="89" t="str">
        <f t="shared" si="21"/>
        <v>ok</v>
      </c>
      <c r="CO54" s="89" t="str">
        <f t="shared" si="21"/>
        <v>ok</v>
      </c>
      <c r="CP54" s="89" t="str">
        <f t="shared" si="21"/>
        <v>ok</v>
      </c>
      <c r="CQ54" s="89" t="str">
        <f t="shared" si="21"/>
        <v>ok</v>
      </c>
      <c r="CR54" s="89" t="str">
        <f t="shared" si="21"/>
        <v>ok</v>
      </c>
      <c r="CS54" s="89" t="str">
        <f t="shared" si="21"/>
        <v>ok</v>
      </c>
      <c r="CT54" s="89" t="str">
        <f t="shared" si="21"/>
        <v>ok</v>
      </c>
      <c r="CU54" s="89" t="str">
        <f t="shared" ref="CU54:DZ54" si="22">IF(SUM(CU6:CU36)=CU37,"ok","エラー")</f>
        <v>ok</v>
      </c>
      <c r="CV54" s="89" t="str">
        <f t="shared" si="22"/>
        <v>ok</v>
      </c>
      <c r="CW54" s="89" t="str">
        <f t="shared" si="22"/>
        <v>ok</v>
      </c>
      <c r="CX54" s="89" t="str">
        <f t="shared" si="22"/>
        <v>ok</v>
      </c>
      <c r="CY54" s="89" t="str">
        <f t="shared" si="22"/>
        <v>ok</v>
      </c>
      <c r="CZ54" s="89" t="str">
        <f t="shared" si="22"/>
        <v>ok</v>
      </c>
      <c r="DA54" s="89" t="str">
        <f t="shared" si="22"/>
        <v>ok</v>
      </c>
      <c r="DB54" s="89" t="str">
        <f t="shared" si="22"/>
        <v>ok</v>
      </c>
      <c r="DC54" s="89" t="str">
        <f t="shared" si="22"/>
        <v>ok</v>
      </c>
      <c r="DD54" s="89" t="str">
        <f t="shared" si="22"/>
        <v>ok</v>
      </c>
      <c r="DE54" s="89" t="str">
        <f t="shared" si="22"/>
        <v>ok</v>
      </c>
      <c r="DF54" s="89" t="str">
        <f t="shared" si="22"/>
        <v>ok</v>
      </c>
      <c r="DG54" s="89" t="str">
        <f t="shared" si="22"/>
        <v>ok</v>
      </c>
      <c r="DH54" s="89" t="str">
        <f t="shared" si="22"/>
        <v>ok</v>
      </c>
      <c r="DI54" s="89" t="str">
        <f t="shared" si="22"/>
        <v>ok</v>
      </c>
      <c r="DJ54" s="89" t="str">
        <f t="shared" si="22"/>
        <v>ok</v>
      </c>
      <c r="DK54" s="89" t="str">
        <f t="shared" si="22"/>
        <v>ok</v>
      </c>
      <c r="DL54" s="89" t="str">
        <f t="shared" si="22"/>
        <v>ok</v>
      </c>
      <c r="DM54" s="89" t="str">
        <f t="shared" si="22"/>
        <v>ok</v>
      </c>
      <c r="DN54" s="89" t="str">
        <f t="shared" si="22"/>
        <v>ok</v>
      </c>
      <c r="DO54" s="89" t="str">
        <f t="shared" si="22"/>
        <v>ok</v>
      </c>
      <c r="DP54" s="89" t="str">
        <f t="shared" si="22"/>
        <v>ok</v>
      </c>
      <c r="DQ54" s="89" t="str">
        <f t="shared" si="22"/>
        <v>ok</v>
      </c>
      <c r="DR54" s="89" t="str">
        <f t="shared" si="22"/>
        <v>ok</v>
      </c>
      <c r="DS54" s="89" t="str">
        <f t="shared" si="22"/>
        <v>ok</v>
      </c>
      <c r="DT54" s="89" t="str">
        <f t="shared" si="22"/>
        <v>ok</v>
      </c>
      <c r="DU54" s="89" t="str">
        <f t="shared" si="22"/>
        <v>ok</v>
      </c>
      <c r="DV54" s="89" t="str">
        <f t="shared" si="22"/>
        <v>ok</v>
      </c>
      <c r="DW54" s="89" t="str">
        <f t="shared" si="22"/>
        <v>ok</v>
      </c>
      <c r="DX54" s="89" t="str">
        <f t="shared" si="22"/>
        <v>ok</v>
      </c>
      <c r="DY54" s="89" t="str">
        <f t="shared" si="22"/>
        <v>ok</v>
      </c>
      <c r="DZ54" s="89" t="str">
        <f t="shared" si="22"/>
        <v>ok</v>
      </c>
      <c r="EA54" s="89" t="str">
        <f t="shared" ref="EA54:FF54" si="23">IF(SUM(EA6:EA36)=EA37,"ok","エラー")</f>
        <v>ok</v>
      </c>
      <c r="EB54" s="89" t="str">
        <f t="shared" si="23"/>
        <v>ok</v>
      </c>
      <c r="EC54" s="89" t="str">
        <f t="shared" si="23"/>
        <v>ok</v>
      </c>
      <c r="ED54" s="89" t="str">
        <f t="shared" si="23"/>
        <v>ok</v>
      </c>
      <c r="EE54" s="89" t="str">
        <f t="shared" si="23"/>
        <v>ok</v>
      </c>
      <c r="EF54" s="89" t="str">
        <f t="shared" si="23"/>
        <v>ok</v>
      </c>
      <c r="EG54" s="89" t="str">
        <f t="shared" si="23"/>
        <v>ok</v>
      </c>
      <c r="EH54" s="89" t="str">
        <f t="shared" si="23"/>
        <v>ok</v>
      </c>
      <c r="EI54" s="89" t="str">
        <f t="shared" si="23"/>
        <v>ok</v>
      </c>
      <c r="EJ54" s="89" t="str">
        <f t="shared" si="23"/>
        <v>ok</v>
      </c>
      <c r="EK54" s="89" t="str">
        <f t="shared" si="23"/>
        <v>ok</v>
      </c>
      <c r="EL54" s="89" t="str">
        <f t="shared" si="23"/>
        <v>ok</v>
      </c>
      <c r="EM54" s="89" t="str">
        <f t="shared" si="23"/>
        <v>ok</v>
      </c>
      <c r="EN54" s="89" t="str">
        <f t="shared" si="23"/>
        <v>ok</v>
      </c>
      <c r="EO54" s="89" t="str">
        <f t="shared" si="23"/>
        <v>ok</v>
      </c>
      <c r="EP54" s="89" t="str">
        <f t="shared" si="23"/>
        <v>ok</v>
      </c>
      <c r="EQ54" s="89" t="str">
        <f t="shared" si="23"/>
        <v>ok</v>
      </c>
      <c r="ER54" s="89" t="str">
        <f t="shared" si="23"/>
        <v>ok</v>
      </c>
      <c r="ES54" s="89" t="str">
        <f t="shared" si="23"/>
        <v>ok</v>
      </c>
      <c r="ET54" s="89" t="str">
        <f t="shared" si="23"/>
        <v>ok</v>
      </c>
      <c r="EU54" s="89" t="str">
        <f t="shared" si="23"/>
        <v>ok</v>
      </c>
      <c r="EV54" s="89" t="str">
        <f t="shared" si="23"/>
        <v>ok</v>
      </c>
      <c r="EW54" s="89" t="str">
        <f t="shared" si="23"/>
        <v>ok</v>
      </c>
      <c r="EX54" s="89" t="str">
        <f t="shared" si="23"/>
        <v>ok</v>
      </c>
      <c r="EY54" s="89" t="str">
        <f t="shared" si="23"/>
        <v>ok</v>
      </c>
      <c r="EZ54" s="89" t="str">
        <f t="shared" si="23"/>
        <v>ok</v>
      </c>
      <c r="FA54" s="89" t="str">
        <f t="shared" si="23"/>
        <v>ok</v>
      </c>
      <c r="FB54" s="89" t="str">
        <f t="shared" si="23"/>
        <v>ok</v>
      </c>
      <c r="FC54" s="89" t="str">
        <f t="shared" si="23"/>
        <v>ok</v>
      </c>
      <c r="FD54" s="89" t="str">
        <f t="shared" si="23"/>
        <v>ok</v>
      </c>
      <c r="FE54" s="89" t="str">
        <f t="shared" si="23"/>
        <v>ok</v>
      </c>
      <c r="FF54" s="89" t="str">
        <f t="shared" si="23"/>
        <v>ok</v>
      </c>
      <c r="FG54" s="89" t="str">
        <f t="shared" ref="FG54:FM54" si="24">IF(SUM(FG6:FG36)=FG37,"ok","エラー")</f>
        <v>ok</v>
      </c>
      <c r="FH54" s="89" t="str">
        <f t="shared" si="24"/>
        <v>ok</v>
      </c>
      <c r="FI54" s="89" t="str">
        <f t="shared" si="24"/>
        <v>エラー</v>
      </c>
      <c r="FJ54" s="89" t="str">
        <f t="shared" si="24"/>
        <v>ok</v>
      </c>
      <c r="FK54" s="89" t="str">
        <f t="shared" si="24"/>
        <v>ok</v>
      </c>
      <c r="FL54" s="89" t="str">
        <f t="shared" si="24"/>
        <v>ok</v>
      </c>
      <c r="FM54" s="89" t="str">
        <f t="shared" si="24"/>
        <v>ok</v>
      </c>
      <c r="FW54" s="89" t="str">
        <f>IF(SUM(FW6:FW36)=FW37,"ok","エラー")</f>
        <v>ok</v>
      </c>
      <c r="FY54" s="89" t="str">
        <f t="shared" ref="FY54:GD54" si="25">IF(SUM(FY6:FY36)=FY37,"ok","エラー")</f>
        <v>ok</v>
      </c>
      <c r="FZ54" s="89" t="str">
        <f t="shared" si="25"/>
        <v>ok</v>
      </c>
      <c r="GA54" s="89" t="str">
        <f t="shared" si="25"/>
        <v>ok</v>
      </c>
      <c r="GB54" s="89" t="str">
        <f t="shared" si="25"/>
        <v>ok</v>
      </c>
      <c r="GC54" s="89" t="str">
        <f t="shared" si="25"/>
        <v>ok</v>
      </c>
      <c r="GD54" s="89" t="str">
        <f t="shared" si="25"/>
        <v>ok</v>
      </c>
      <c r="GI54" s="62" t="str">
        <f>IF(SUM(GI6:GI36)=GI37,"ok","エラー")</f>
        <v>ok</v>
      </c>
    </row>
    <row r="55" spans="2:230" x14ac:dyDescent="0.15">
      <c r="B55" s="89" t="s">
        <v>650</v>
      </c>
      <c r="C55" s="89" t="str">
        <f t="shared" ref="C55:AH55" si="26">IF(SUM(C38:C47)=C48,"ok","エラー")</f>
        <v>ok</v>
      </c>
      <c r="D55" s="89" t="str">
        <f t="shared" si="26"/>
        <v>ok</v>
      </c>
      <c r="E55" s="89" t="str">
        <f t="shared" si="26"/>
        <v>ok</v>
      </c>
      <c r="F55" s="89" t="str">
        <f t="shared" si="26"/>
        <v>ok</v>
      </c>
      <c r="G55" s="89" t="str">
        <f t="shared" si="26"/>
        <v>ok</v>
      </c>
      <c r="H55" s="89" t="str">
        <f t="shared" si="26"/>
        <v>ok</v>
      </c>
      <c r="I55" s="89" t="str">
        <f t="shared" si="26"/>
        <v>ok</v>
      </c>
      <c r="J55" s="89" t="str">
        <f t="shared" si="26"/>
        <v>ok</v>
      </c>
      <c r="K55" s="89" t="str">
        <f t="shared" si="26"/>
        <v>ok</v>
      </c>
      <c r="L55" s="89" t="str">
        <f t="shared" si="26"/>
        <v>ok</v>
      </c>
      <c r="M55" s="89" t="str">
        <f t="shared" si="26"/>
        <v>ok</v>
      </c>
      <c r="N55" s="89" t="str">
        <f t="shared" si="26"/>
        <v>ok</v>
      </c>
      <c r="O55" s="89" t="str">
        <f t="shared" si="26"/>
        <v>ok</v>
      </c>
      <c r="P55" s="89" t="str">
        <f t="shared" si="26"/>
        <v>ok</v>
      </c>
      <c r="Q55" s="89" t="str">
        <f t="shared" si="26"/>
        <v>ok</v>
      </c>
      <c r="R55" s="89" t="str">
        <f t="shared" si="26"/>
        <v>ok</v>
      </c>
      <c r="S55" s="89" t="str">
        <f t="shared" si="26"/>
        <v>ok</v>
      </c>
      <c r="T55" s="89" t="str">
        <f t="shared" si="26"/>
        <v>ok</v>
      </c>
      <c r="U55" s="89" t="str">
        <f t="shared" si="26"/>
        <v>ok</v>
      </c>
      <c r="V55" s="89" t="str">
        <f t="shared" si="26"/>
        <v>ok</v>
      </c>
      <c r="W55" s="89" t="str">
        <f t="shared" si="26"/>
        <v>ok</v>
      </c>
      <c r="X55" s="89" t="str">
        <f t="shared" si="26"/>
        <v>ok</v>
      </c>
      <c r="Y55" s="89" t="str">
        <f t="shared" si="26"/>
        <v>ok</v>
      </c>
      <c r="Z55" s="89" t="str">
        <f t="shared" si="26"/>
        <v>ok</v>
      </c>
      <c r="AA55" s="89" t="str">
        <f t="shared" si="26"/>
        <v>ok</v>
      </c>
      <c r="AB55" s="89" t="str">
        <f t="shared" si="26"/>
        <v>ok</v>
      </c>
      <c r="AC55" s="89" t="str">
        <f t="shared" si="26"/>
        <v>ok</v>
      </c>
      <c r="AD55" s="89" t="str">
        <f t="shared" si="26"/>
        <v>ok</v>
      </c>
      <c r="AE55" s="89" t="str">
        <f t="shared" si="26"/>
        <v>ok</v>
      </c>
      <c r="AF55" s="89" t="str">
        <f t="shared" si="26"/>
        <v>ok</v>
      </c>
      <c r="AG55" s="89" t="str">
        <f t="shared" si="26"/>
        <v>ok</v>
      </c>
      <c r="AH55" s="89" t="str">
        <f t="shared" si="26"/>
        <v>ok</v>
      </c>
      <c r="AI55" s="89" t="str">
        <f t="shared" ref="AI55:BN55" si="27">IF(SUM(AI38:AI47)=AI48,"ok","エラー")</f>
        <v>ok</v>
      </c>
      <c r="AJ55" s="89" t="str">
        <f t="shared" si="27"/>
        <v>ok</v>
      </c>
      <c r="AK55" s="89" t="str">
        <f t="shared" si="27"/>
        <v>ok</v>
      </c>
      <c r="AL55" s="89" t="str">
        <f t="shared" si="27"/>
        <v>ok</v>
      </c>
      <c r="AM55" s="89" t="str">
        <f t="shared" si="27"/>
        <v>ok</v>
      </c>
      <c r="AN55" s="89" t="str">
        <f t="shared" si="27"/>
        <v>ok</v>
      </c>
      <c r="AO55" s="89" t="str">
        <f t="shared" si="27"/>
        <v>ok</v>
      </c>
      <c r="AP55" s="89" t="str">
        <f t="shared" si="27"/>
        <v>ok</v>
      </c>
      <c r="AQ55" s="89" t="str">
        <f t="shared" si="27"/>
        <v>ok</v>
      </c>
      <c r="AR55" s="89" t="str">
        <f t="shared" si="27"/>
        <v>ok</v>
      </c>
      <c r="AS55" s="89" t="str">
        <f t="shared" si="27"/>
        <v>ok</v>
      </c>
      <c r="AT55" s="89" t="str">
        <f t="shared" si="27"/>
        <v>ok</v>
      </c>
      <c r="AU55" s="89" t="str">
        <f t="shared" si="27"/>
        <v>ok</v>
      </c>
      <c r="AV55" s="89" t="str">
        <f t="shared" si="27"/>
        <v>ok</v>
      </c>
      <c r="AW55" s="89" t="str">
        <f t="shared" si="27"/>
        <v>ok</v>
      </c>
      <c r="AX55" s="89" t="str">
        <f t="shared" si="27"/>
        <v>ok</v>
      </c>
      <c r="AY55" s="89" t="str">
        <f t="shared" si="27"/>
        <v>ok</v>
      </c>
      <c r="AZ55" s="89" t="str">
        <f t="shared" si="27"/>
        <v>ok</v>
      </c>
      <c r="BA55" s="89" t="str">
        <f t="shared" si="27"/>
        <v>ok</v>
      </c>
      <c r="BB55" s="89" t="str">
        <f t="shared" si="27"/>
        <v>ok</v>
      </c>
      <c r="BC55" s="89" t="str">
        <f t="shared" si="27"/>
        <v>ok</v>
      </c>
      <c r="BD55" s="89" t="str">
        <f t="shared" si="27"/>
        <v>ok</v>
      </c>
      <c r="BE55" s="89" t="str">
        <f t="shared" si="27"/>
        <v>ok</v>
      </c>
      <c r="BF55" s="89" t="str">
        <f t="shared" si="27"/>
        <v>ok</v>
      </c>
      <c r="BG55" s="89" t="str">
        <f t="shared" si="27"/>
        <v>ok</v>
      </c>
      <c r="BH55" s="89" t="str">
        <f t="shared" si="27"/>
        <v>ok</v>
      </c>
      <c r="BI55" s="89" t="str">
        <f t="shared" si="27"/>
        <v>ok</v>
      </c>
      <c r="BJ55" s="89" t="str">
        <f t="shared" si="27"/>
        <v>ok</v>
      </c>
      <c r="BK55" s="89" t="str">
        <f t="shared" si="27"/>
        <v>ok</v>
      </c>
      <c r="BL55" s="89" t="str">
        <f t="shared" si="27"/>
        <v>ok</v>
      </c>
      <c r="BM55" s="89" t="str">
        <f t="shared" si="27"/>
        <v>ok</v>
      </c>
      <c r="BN55" s="89" t="str">
        <f t="shared" si="27"/>
        <v>ok</v>
      </c>
      <c r="BO55" s="89" t="str">
        <f t="shared" ref="BO55:CT55" si="28">IF(SUM(BO38:BO47)=BO48,"ok","エラー")</f>
        <v>ok</v>
      </c>
      <c r="BP55" s="89" t="str">
        <f t="shared" si="28"/>
        <v>ok</v>
      </c>
      <c r="BQ55" s="89" t="str">
        <f t="shared" si="28"/>
        <v>ok</v>
      </c>
      <c r="BR55" s="89" t="str">
        <f t="shared" si="28"/>
        <v>ok</v>
      </c>
      <c r="BS55" s="89" t="str">
        <f t="shared" si="28"/>
        <v>ok</v>
      </c>
      <c r="BT55" s="89" t="str">
        <f t="shared" si="28"/>
        <v>ok</v>
      </c>
      <c r="BU55" s="89" t="str">
        <f t="shared" si="28"/>
        <v>ok</v>
      </c>
      <c r="BV55" s="89" t="str">
        <f t="shared" si="28"/>
        <v>ok</v>
      </c>
      <c r="BW55" s="89" t="str">
        <f t="shared" si="28"/>
        <v>ok</v>
      </c>
      <c r="BX55" s="89" t="str">
        <f t="shared" si="28"/>
        <v>ok</v>
      </c>
      <c r="BY55" s="89" t="str">
        <f t="shared" si="28"/>
        <v>ok</v>
      </c>
      <c r="BZ55" s="89" t="str">
        <f t="shared" si="28"/>
        <v>ok</v>
      </c>
      <c r="CA55" s="89" t="str">
        <f t="shared" si="28"/>
        <v>ok</v>
      </c>
      <c r="CB55" s="89" t="str">
        <f t="shared" si="28"/>
        <v>ok</v>
      </c>
      <c r="CC55" s="89" t="str">
        <f t="shared" si="28"/>
        <v>ok</v>
      </c>
      <c r="CD55" s="89" t="str">
        <f t="shared" si="28"/>
        <v>ok</v>
      </c>
      <c r="CE55" s="89" t="str">
        <f t="shared" si="28"/>
        <v>ok</v>
      </c>
      <c r="CF55" s="89" t="str">
        <f t="shared" si="28"/>
        <v>ok</v>
      </c>
      <c r="CG55" s="89" t="str">
        <f t="shared" si="28"/>
        <v>ok</v>
      </c>
      <c r="CH55" s="89" t="str">
        <f t="shared" si="28"/>
        <v>ok</v>
      </c>
      <c r="CI55" s="89" t="str">
        <f t="shared" si="28"/>
        <v>ok</v>
      </c>
      <c r="CJ55" s="89" t="str">
        <f t="shared" si="28"/>
        <v>ok</v>
      </c>
      <c r="CK55" s="89" t="str">
        <f t="shared" si="28"/>
        <v>ok</v>
      </c>
      <c r="CL55" s="89" t="str">
        <f t="shared" si="28"/>
        <v>ok</v>
      </c>
      <c r="CM55" s="89" t="str">
        <f t="shared" si="28"/>
        <v>ok</v>
      </c>
      <c r="CN55" s="89" t="str">
        <f t="shared" si="28"/>
        <v>ok</v>
      </c>
      <c r="CO55" s="89" t="str">
        <f t="shared" si="28"/>
        <v>ok</v>
      </c>
      <c r="CP55" s="89" t="str">
        <f t="shared" si="28"/>
        <v>ok</v>
      </c>
      <c r="CQ55" s="89" t="str">
        <f t="shared" si="28"/>
        <v>ok</v>
      </c>
      <c r="CR55" s="89" t="str">
        <f t="shared" si="28"/>
        <v>ok</v>
      </c>
      <c r="CS55" s="89" t="str">
        <f t="shared" si="28"/>
        <v>ok</v>
      </c>
      <c r="CT55" s="89" t="str">
        <f t="shared" si="28"/>
        <v>ok</v>
      </c>
      <c r="CU55" s="89" t="str">
        <f t="shared" ref="CU55:DZ55" si="29">IF(SUM(CU38:CU47)=CU48,"ok","エラー")</f>
        <v>ok</v>
      </c>
      <c r="CV55" s="89" t="str">
        <f t="shared" si="29"/>
        <v>ok</v>
      </c>
      <c r="CW55" s="89" t="str">
        <f t="shared" si="29"/>
        <v>ok</v>
      </c>
      <c r="CX55" s="89" t="str">
        <f t="shared" si="29"/>
        <v>ok</v>
      </c>
      <c r="CY55" s="89" t="str">
        <f t="shared" si="29"/>
        <v>ok</v>
      </c>
      <c r="CZ55" s="89" t="str">
        <f t="shared" si="29"/>
        <v>ok</v>
      </c>
      <c r="DA55" s="89" t="str">
        <f t="shared" si="29"/>
        <v>ok</v>
      </c>
      <c r="DB55" s="89" t="str">
        <f t="shared" si="29"/>
        <v>ok</v>
      </c>
      <c r="DC55" s="89" t="str">
        <f t="shared" si="29"/>
        <v>ok</v>
      </c>
      <c r="DD55" s="89" t="str">
        <f t="shared" si="29"/>
        <v>ok</v>
      </c>
      <c r="DE55" s="89" t="str">
        <f t="shared" si="29"/>
        <v>ok</v>
      </c>
      <c r="DF55" s="89" t="str">
        <f t="shared" si="29"/>
        <v>ok</v>
      </c>
      <c r="DG55" s="89" t="str">
        <f t="shared" si="29"/>
        <v>ok</v>
      </c>
      <c r="DH55" s="89" t="str">
        <f t="shared" si="29"/>
        <v>ok</v>
      </c>
      <c r="DI55" s="89" t="str">
        <f t="shared" si="29"/>
        <v>ok</v>
      </c>
      <c r="DJ55" s="89" t="str">
        <f t="shared" si="29"/>
        <v>ok</v>
      </c>
      <c r="DK55" s="89" t="str">
        <f t="shared" si="29"/>
        <v>ok</v>
      </c>
      <c r="DL55" s="89" t="str">
        <f t="shared" si="29"/>
        <v>ok</v>
      </c>
      <c r="DM55" s="89" t="str">
        <f t="shared" si="29"/>
        <v>ok</v>
      </c>
      <c r="DN55" s="89" t="str">
        <f t="shared" si="29"/>
        <v>ok</v>
      </c>
      <c r="DO55" s="89" t="str">
        <f t="shared" si="29"/>
        <v>ok</v>
      </c>
      <c r="DP55" s="89" t="str">
        <f t="shared" si="29"/>
        <v>ok</v>
      </c>
      <c r="DQ55" s="89" t="str">
        <f t="shared" si="29"/>
        <v>ok</v>
      </c>
      <c r="DR55" s="89" t="str">
        <f t="shared" si="29"/>
        <v>ok</v>
      </c>
      <c r="DS55" s="89" t="str">
        <f t="shared" si="29"/>
        <v>ok</v>
      </c>
      <c r="DT55" s="89" t="str">
        <f t="shared" si="29"/>
        <v>ok</v>
      </c>
      <c r="DU55" s="89" t="str">
        <f t="shared" si="29"/>
        <v>ok</v>
      </c>
      <c r="DV55" s="89" t="str">
        <f t="shared" si="29"/>
        <v>ok</v>
      </c>
      <c r="DW55" s="89" t="str">
        <f t="shared" si="29"/>
        <v>ok</v>
      </c>
      <c r="DX55" s="89" t="str">
        <f t="shared" si="29"/>
        <v>ok</v>
      </c>
      <c r="DY55" s="89" t="str">
        <f t="shared" si="29"/>
        <v>ok</v>
      </c>
      <c r="DZ55" s="89" t="str">
        <f t="shared" si="29"/>
        <v>ok</v>
      </c>
      <c r="EA55" s="89" t="str">
        <f t="shared" ref="EA55:FF55" si="30">IF(SUM(EA38:EA47)=EA48,"ok","エラー")</f>
        <v>ok</v>
      </c>
      <c r="EB55" s="89" t="str">
        <f t="shared" si="30"/>
        <v>ok</v>
      </c>
      <c r="EC55" s="89" t="str">
        <f t="shared" si="30"/>
        <v>ok</v>
      </c>
      <c r="ED55" s="89" t="str">
        <f t="shared" si="30"/>
        <v>ok</v>
      </c>
      <c r="EE55" s="89" t="str">
        <f t="shared" si="30"/>
        <v>ok</v>
      </c>
      <c r="EF55" s="89" t="str">
        <f t="shared" si="30"/>
        <v>ok</v>
      </c>
      <c r="EG55" s="89" t="str">
        <f t="shared" si="30"/>
        <v>ok</v>
      </c>
      <c r="EH55" s="89" t="str">
        <f t="shared" si="30"/>
        <v>ok</v>
      </c>
      <c r="EI55" s="89" t="str">
        <f t="shared" si="30"/>
        <v>ok</v>
      </c>
      <c r="EJ55" s="89" t="str">
        <f t="shared" si="30"/>
        <v>ok</v>
      </c>
      <c r="EK55" s="89" t="str">
        <f t="shared" si="30"/>
        <v>ok</v>
      </c>
      <c r="EL55" s="89" t="str">
        <f t="shared" si="30"/>
        <v>ok</v>
      </c>
      <c r="EM55" s="89" t="str">
        <f t="shared" si="30"/>
        <v>ok</v>
      </c>
      <c r="EN55" s="89" t="str">
        <f t="shared" si="30"/>
        <v>ok</v>
      </c>
      <c r="EO55" s="89" t="str">
        <f t="shared" si="30"/>
        <v>ok</v>
      </c>
      <c r="EP55" s="89" t="str">
        <f t="shared" si="30"/>
        <v>ok</v>
      </c>
      <c r="EQ55" s="89" t="str">
        <f t="shared" si="30"/>
        <v>ok</v>
      </c>
      <c r="ER55" s="89" t="str">
        <f t="shared" si="30"/>
        <v>ok</v>
      </c>
      <c r="ES55" s="89" t="str">
        <f t="shared" si="30"/>
        <v>ok</v>
      </c>
      <c r="ET55" s="89" t="str">
        <f t="shared" si="30"/>
        <v>ok</v>
      </c>
      <c r="EU55" s="89" t="str">
        <f t="shared" si="30"/>
        <v>ok</v>
      </c>
      <c r="EV55" s="89" t="str">
        <f t="shared" si="30"/>
        <v>ok</v>
      </c>
      <c r="EW55" s="89" t="str">
        <f t="shared" si="30"/>
        <v>ok</v>
      </c>
      <c r="EX55" s="89" t="str">
        <f t="shared" si="30"/>
        <v>ok</v>
      </c>
      <c r="EY55" s="89" t="str">
        <f t="shared" si="30"/>
        <v>ok</v>
      </c>
      <c r="EZ55" s="89" t="str">
        <f t="shared" si="30"/>
        <v>ok</v>
      </c>
      <c r="FA55" s="89" t="str">
        <f t="shared" si="30"/>
        <v>ok</v>
      </c>
      <c r="FB55" s="89" t="str">
        <f t="shared" si="30"/>
        <v>ok</v>
      </c>
      <c r="FC55" s="89" t="str">
        <f t="shared" si="30"/>
        <v>ok</v>
      </c>
      <c r="FD55" s="89" t="str">
        <f t="shared" si="30"/>
        <v>ok</v>
      </c>
      <c r="FE55" s="89" t="str">
        <f t="shared" si="30"/>
        <v>ok</v>
      </c>
      <c r="FF55" s="89" t="str">
        <f t="shared" si="30"/>
        <v>ok</v>
      </c>
      <c r="FG55" s="89" t="str">
        <f t="shared" ref="FG55:FM55" si="31">IF(SUM(FG38:FG47)=FG48,"ok","エラー")</f>
        <v>ok</v>
      </c>
      <c r="FH55" s="89" t="str">
        <f t="shared" si="31"/>
        <v>ok</v>
      </c>
      <c r="FI55" s="89" t="str">
        <f t="shared" si="31"/>
        <v>エラー</v>
      </c>
      <c r="FJ55" s="89" t="str">
        <f t="shared" si="31"/>
        <v>ok</v>
      </c>
      <c r="FK55" s="89" t="str">
        <f t="shared" si="31"/>
        <v>ok</v>
      </c>
      <c r="FL55" s="89" t="str">
        <f t="shared" si="31"/>
        <v>ok</v>
      </c>
      <c r="FM55" s="89" t="str">
        <f t="shared" si="31"/>
        <v>ok</v>
      </c>
      <c r="FW55" s="89" t="str">
        <f>IF(SUM(FW38:FW47)=FW48,"ok","エラー")</f>
        <v>ok</v>
      </c>
      <c r="FY55" s="89" t="str">
        <f t="shared" ref="FY55:GD55" si="32">IF(SUM(FY38:FY47)=FY48,"ok","エラー")</f>
        <v>ok</v>
      </c>
      <c r="FZ55" s="89" t="str">
        <f t="shared" si="32"/>
        <v>ok</v>
      </c>
      <c r="GA55" s="89" t="str">
        <f t="shared" si="32"/>
        <v>ok</v>
      </c>
      <c r="GB55" s="89" t="str">
        <f t="shared" si="32"/>
        <v>ok</v>
      </c>
      <c r="GC55" s="89" t="str">
        <f t="shared" si="32"/>
        <v>ok</v>
      </c>
      <c r="GD55" s="89" t="str">
        <f t="shared" si="32"/>
        <v>ok</v>
      </c>
      <c r="GI55" s="62" t="str">
        <f>IF(SUM(GI38:GI47)=GI48,"ok","エラー")</f>
        <v>ok</v>
      </c>
    </row>
    <row r="56" spans="2:230" x14ac:dyDescent="0.15">
      <c r="B56" s="89" t="s">
        <v>650</v>
      </c>
      <c r="C56" s="89" t="str">
        <f t="shared" ref="C56:AH56" si="33">IF(C37+C48=C49,"ok","エラー")</f>
        <v>ok</v>
      </c>
      <c r="D56" s="89" t="str">
        <f t="shared" si="33"/>
        <v>ok</v>
      </c>
      <c r="E56" s="89" t="str">
        <f t="shared" si="33"/>
        <v>ok</v>
      </c>
      <c r="F56" s="89" t="str">
        <f t="shared" si="33"/>
        <v>ok</v>
      </c>
      <c r="G56" s="89" t="str">
        <f t="shared" si="33"/>
        <v>ok</v>
      </c>
      <c r="H56" s="89" t="str">
        <f t="shared" si="33"/>
        <v>ok</v>
      </c>
      <c r="I56" s="89" t="str">
        <f t="shared" si="33"/>
        <v>ok</v>
      </c>
      <c r="J56" s="89" t="str">
        <f t="shared" si="33"/>
        <v>ok</v>
      </c>
      <c r="K56" s="89" t="str">
        <f t="shared" si="33"/>
        <v>ok</v>
      </c>
      <c r="L56" s="89" t="str">
        <f t="shared" si="33"/>
        <v>ok</v>
      </c>
      <c r="M56" s="89" t="str">
        <f t="shared" si="33"/>
        <v>ok</v>
      </c>
      <c r="N56" s="89" t="str">
        <f t="shared" si="33"/>
        <v>ok</v>
      </c>
      <c r="O56" s="89" t="str">
        <f t="shared" si="33"/>
        <v>ok</v>
      </c>
      <c r="P56" s="89" t="str">
        <f t="shared" si="33"/>
        <v>ok</v>
      </c>
      <c r="Q56" s="89" t="str">
        <f t="shared" si="33"/>
        <v>ok</v>
      </c>
      <c r="R56" s="89" t="str">
        <f t="shared" si="33"/>
        <v>ok</v>
      </c>
      <c r="S56" s="89" t="str">
        <f t="shared" si="33"/>
        <v>ok</v>
      </c>
      <c r="T56" s="89" t="str">
        <f t="shared" si="33"/>
        <v>ok</v>
      </c>
      <c r="U56" s="89" t="str">
        <f t="shared" si="33"/>
        <v>ok</v>
      </c>
      <c r="V56" s="89" t="str">
        <f t="shared" si="33"/>
        <v>ok</v>
      </c>
      <c r="W56" s="89" t="str">
        <f t="shared" si="33"/>
        <v>ok</v>
      </c>
      <c r="X56" s="89" t="str">
        <f t="shared" si="33"/>
        <v>ok</v>
      </c>
      <c r="Y56" s="89" t="str">
        <f t="shared" si="33"/>
        <v>ok</v>
      </c>
      <c r="Z56" s="89" t="str">
        <f t="shared" si="33"/>
        <v>ok</v>
      </c>
      <c r="AA56" s="89" t="str">
        <f t="shared" si="33"/>
        <v>ok</v>
      </c>
      <c r="AB56" s="89" t="str">
        <f t="shared" si="33"/>
        <v>ok</v>
      </c>
      <c r="AC56" s="89" t="str">
        <f t="shared" si="33"/>
        <v>ok</v>
      </c>
      <c r="AD56" s="89" t="str">
        <f t="shared" si="33"/>
        <v>ok</v>
      </c>
      <c r="AE56" s="89" t="str">
        <f t="shared" si="33"/>
        <v>ok</v>
      </c>
      <c r="AF56" s="89" t="str">
        <f t="shared" si="33"/>
        <v>ok</v>
      </c>
      <c r="AG56" s="89" t="str">
        <f t="shared" si="33"/>
        <v>ok</v>
      </c>
      <c r="AH56" s="89" t="str">
        <f t="shared" si="33"/>
        <v>ok</v>
      </c>
      <c r="AI56" s="89" t="str">
        <f t="shared" ref="AI56:BN56" si="34">IF(AI37+AI48=AI49,"ok","エラー")</f>
        <v>ok</v>
      </c>
      <c r="AJ56" s="89" t="str">
        <f t="shared" si="34"/>
        <v>ok</v>
      </c>
      <c r="AK56" s="89" t="str">
        <f t="shared" si="34"/>
        <v>ok</v>
      </c>
      <c r="AL56" s="89" t="str">
        <f t="shared" si="34"/>
        <v>ok</v>
      </c>
      <c r="AM56" s="89" t="str">
        <f t="shared" si="34"/>
        <v>ok</v>
      </c>
      <c r="AN56" s="89" t="str">
        <f t="shared" si="34"/>
        <v>ok</v>
      </c>
      <c r="AO56" s="89" t="str">
        <f t="shared" si="34"/>
        <v>ok</v>
      </c>
      <c r="AP56" s="89" t="str">
        <f t="shared" si="34"/>
        <v>ok</v>
      </c>
      <c r="AQ56" s="89" t="str">
        <f t="shared" si="34"/>
        <v>ok</v>
      </c>
      <c r="AR56" s="89" t="str">
        <f t="shared" si="34"/>
        <v>ok</v>
      </c>
      <c r="AS56" s="89" t="str">
        <f t="shared" si="34"/>
        <v>ok</v>
      </c>
      <c r="AT56" s="89" t="str">
        <f t="shared" si="34"/>
        <v>ok</v>
      </c>
      <c r="AU56" s="89" t="str">
        <f t="shared" si="34"/>
        <v>ok</v>
      </c>
      <c r="AV56" s="89" t="str">
        <f t="shared" si="34"/>
        <v>ok</v>
      </c>
      <c r="AW56" s="89" t="str">
        <f t="shared" si="34"/>
        <v>ok</v>
      </c>
      <c r="AX56" s="89" t="str">
        <f t="shared" si="34"/>
        <v>ok</v>
      </c>
      <c r="AY56" s="89" t="str">
        <f t="shared" si="34"/>
        <v>ok</v>
      </c>
      <c r="AZ56" s="89" t="str">
        <f t="shared" si="34"/>
        <v>ok</v>
      </c>
      <c r="BA56" s="89" t="str">
        <f t="shared" si="34"/>
        <v>ok</v>
      </c>
      <c r="BB56" s="89" t="str">
        <f t="shared" si="34"/>
        <v>ok</v>
      </c>
      <c r="BC56" s="89" t="str">
        <f t="shared" si="34"/>
        <v>ok</v>
      </c>
      <c r="BD56" s="89" t="str">
        <f t="shared" si="34"/>
        <v>ok</v>
      </c>
      <c r="BE56" s="89" t="str">
        <f t="shared" si="34"/>
        <v>ok</v>
      </c>
      <c r="BF56" s="89" t="str">
        <f t="shared" si="34"/>
        <v>ok</v>
      </c>
      <c r="BG56" s="89" t="str">
        <f t="shared" si="34"/>
        <v>ok</v>
      </c>
      <c r="BH56" s="89" t="str">
        <f t="shared" si="34"/>
        <v>ok</v>
      </c>
      <c r="BI56" s="89" t="str">
        <f t="shared" si="34"/>
        <v>ok</v>
      </c>
      <c r="BJ56" s="89" t="str">
        <f t="shared" si="34"/>
        <v>ok</v>
      </c>
      <c r="BK56" s="89" t="str">
        <f t="shared" si="34"/>
        <v>ok</v>
      </c>
      <c r="BL56" s="89" t="str">
        <f t="shared" si="34"/>
        <v>ok</v>
      </c>
      <c r="BM56" s="89" t="str">
        <f t="shared" si="34"/>
        <v>ok</v>
      </c>
      <c r="BN56" s="89" t="str">
        <f t="shared" si="34"/>
        <v>ok</v>
      </c>
      <c r="BO56" s="89" t="str">
        <f t="shared" ref="BO56:CT56" si="35">IF(BO37+BO48=BO49,"ok","エラー")</f>
        <v>ok</v>
      </c>
      <c r="BP56" s="89" t="str">
        <f t="shared" si="35"/>
        <v>ok</v>
      </c>
      <c r="BQ56" s="89" t="str">
        <f t="shared" si="35"/>
        <v>ok</v>
      </c>
      <c r="BR56" s="89" t="str">
        <f t="shared" si="35"/>
        <v>ok</v>
      </c>
      <c r="BS56" s="89" t="str">
        <f t="shared" si="35"/>
        <v>ok</v>
      </c>
      <c r="BT56" s="89" t="str">
        <f t="shared" si="35"/>
        <v>ok</v>
      </c>
      <c r="BU56" s="89" t="str">
        <f t="shared" si="35"/>
        <v>ok</v>
      </c>
      <c r="BV56" s="89" t="str">
        <f t="shared" si="35"/>
        <v>ok</v>
      </c>
      <c r="BW56" s="89" t="str">
        <f t="shared" si="35"/>
        <v>ok</v>
      </c>
      <c r="BX56" s="89" t="str">
        <f t="shared" si="35"/>
        <v>ok</v>
      </c>
      <c r="BY56" s="89" t="str">
        <f t="shared" si="35"/>
        <v>ok</v>
      </c>
      <c r="BZ56" s="89" t="str">
        <f t="shared" si="35"/>
        <v>ok</v>
      </c>
      <c r="CA56" s="89" t="str">
        <f t="shared" si="35"/>
        <v>ok</v>
      </c>
      <c r="CB56" s="89" t="str">
        <f t="shared" si="35"/>
        <v>ok</v>
      </c>
      <c r="CC56" s="89" t="str">
        <f t="shared" si="35"/>
        <v>ok</v>
      </c>
      <c r="CD56" s="89" t="str">
        <f t="shared" si="35"/>
        <v>ok</v>
      </c>
      <c r="CE56" s="89" t="str">
        <f t="shared" si="35"/>
        <v>ok</v>
      </c>
      <c r="CF56" s="89" t="str">
        <f t="shared" si="35"/>
        <v>ok</v>
      </c>
      <c r="CG56" s="89" t="str">
        <f t="shared" si="35"/>
        <v>ok</v>
      </c>
      <c r="CH56" s="89" t="str">
        <f t="shared" si="35"/>
        <v>ok</v>
      </c>
      <c r="CI56" s="89" t="str">
        <f t="shared" si="35"/>
        <v>ok</v>
      </c>
      <c r="CJ56" s="89" t="str">
        <f t="shared" si="35"/>
        <v>ok</v>
      </c>
      <c r="CK56" s="89" t="str">
        <f t="shared" si="35"/>
        <v>ok</v>
      </c>
      <c r="CL56" s="89" t="str">
        <f t="shared" si="35"/>
        <v>ok</v>
      </c>
      <c r="CM56" s="89" t="str">
        <f t="shared" si="35"/>
        <v>ok</v>
      </c>
      <c r="CN56" s="89" t="str">
        <f t="shared" si="35"/>
        <v>ok</v>
      </c>
      <c r="CO56" s="89" t="str">
        <f t="shared" si="35"/>
        <v>ok</v>
      </c>
      <c r="CP56" s="89" t="str">
        <f t="shared" si="35"/>
        <v>ok</v>
      </c>
      <c r="CQ56" s="89" t="str">
        <f t="shared" si="35"/>
        <v>ok</v>
      </c>
      <c r="CR56" s="89" t="str">
        <f t="shared" si="35"/>
        <v>ok</v>
      </c>
      <c r="CS56" s="89" t="str">
        <f t="shared" si="35"/>
        <v>ok</v>
      </c>
      <c r="CT56" s="89" t="str">
        <f t="shared" si="35"/>
        <v>ok</v>
      </c>
      <c r="CU56" s="89" t="str">
        <f t="shared" ref="CU56:DZ56" si="36">IF(CU37+CU48=CU49,"ok","エラー")</f>
        <v>ok</v>
      </c>
      <c r="CV56" s="89" t="str">
        <f t="shared" si="36"/>
        <v>ok</v>
      </c>
      <c r="CW56" s="89" t="str">
        <f t="shared" si="36"/>
        <v>ok</v>
      </c>
      <c r="CX56" s="89" t="str">
        <f t="shared" si="36"/>
        <v>ok</v>
      </c>
      <c r="CY56" s="89" t="str">
        <f t="shared" si="36"/>
        <v>ok</v>
      </c>
      <c r="CZ56" s="89" t="str">
        <f t="shared" si="36"/>
        <v>ok</v>
      </c>
      <c r="DA56" s="89" t="str">
        <f t="shared" si="36"/>
        <v>ok</v>
      </c>
      <c r="DB56" s="89" t="str">
        <f t="shared" si="36"/>
        <v>ok</v>
      </c>
      <c r="DC56" s="89" t="str">
        <f t="shared" si="36"/>
        <v>ok</v>
      </c>
      <c r="DD56" s="89" t="str">
        <f t="shared" si="36"/>
        <v>ok</v>
      </c>
      <c r="DE56" s="89" t="str">
        <f t="shared" si="36"/>
        <v>ok</v>
      </c>
      <c r="DF56" s="89" t="str">
        <f t="shared" si="36"/>
        <v>ok</v>
      </c>
      <c r="DG56" s="89" t="str">
        <f t="shared" si="36"/>
        <v>ok</v>
      </c>
      <c r="DH56" s="89" t="str">
        <f t="shared" si="36"/>
        <v>ok</v>
      </c>
      <c r="DI56" s="89" t="str">
        <f t="shared" si="36"/>
        <v>ok</v>
      </c>
      <c r="DJ56" s="89" t="str">
        <f t="shared" si="36"/>
        <v>ok</v>
      </c>
      <c r="DK56" s="89" t="str">
        <f t="shared" si="36"/>
        <v>ok</v>
      </c>
      <c r="DL56" s="89" t="str">
        <f t="shared" si="36"/>
        <v>ok</v>
      </c>
      <c r="DM56" s="89" t="str">
        <f t="shared" si="36"/>
        <v>ok</v>
      </c>
      <c r="DN56" s="89" t="str">
        <f t="shared" si="36"/>
        <v>ok</v>
      </c>
      <c r="DO56" s="89" t="str">
        <f t="shared" si="36"/>
        <v>ok</v>
      </c>
      <c r="DP56" s="89" t="str">
        <f t="shared" si="36"/>
        <v>ok</v>
      </c>
      <c r="DQ56" s="89" t="str">
        <f t="shared" si="36"/>
        <v>ok</v>
      </c>
      <c r="DR56" s="89" t="str">
        <f t="shared" si="36"/>
        <v>ok</v>
      </c>
      <c r="DS56" s="89" t="str">
        <f t="shared" si="36"/>
        <v>ok</v>
      </c>
      <c r="DT56" s="89" t="str">
        <f t="shared" si="36"/>
        <v>ok</v>
      </c>
      <c r="DU56" s="89" t="str">
        <f t="shared" si="36"/>
        <v>ok</v>
      </c>
      <c r="DV56" s="89" t="str">
        <f t="shared" si="36"/>
        <v>ok</v>
      </c>
      <c r="DW56" s="89" t="str">
        <f t="shared" si="36"/>
        <v>ok</v>
      </c>
      <c r="DX56" s="89" t="str">
        <f t="shared" si="36"/>
        <v>ok</v>
      </c>
      <c r="DY56" s="89" t="str">
        <f t="shared" si="36"/>
        <v>ok</v>
      </c>
      <c r="DZ56" s="89" t="str">
        <f t="shared" si="36"/>
        <v>ok</v>
      </c>
      <c r="EA56" s="89" t="str">
        <f t="shared" ref="EA56:FF56" si="37">IF(EA37+EA48=EA49,"ok","エラー")</f>
        <v>ok</v>
      </c>
      <c r="EB56" s="89" t="str">
        <f t="shared" si="37"/>
        <v>ok</v>
      </c>
      <c r="EC56" s="89" t="str">
        <f t="shared" si="37"/>
        <v>ok</v>
      </c>
      <c r="ED56" s="89" t="str">
        <f t="shared" si="37"/>
        <v>ok</v>
      </c>
      <c r="EE56" s="89" t="str">
        <f t="shared" si="37"/>
        <v>ok</v>
      </c>
      <c r="EF56" s="89" t="str">
        <f t="shared" si="37"/>
        <v>ok</v>
      </c>
      <c r="EG56" s="89" t="str">
        <f t="shared" si="37"/>
        <v>ok</v>
      </c>
      <c r="EH56" s="89" t="str">
        <f t="shared" si="37"/>
        <v>ok</v>
      </c>
      <c r="EI56" s="89" t="str">
        <f t="shared" si="37"/>
        <v>ok</v>
      </c>
      <c r="EJ56" s="89" t="str">
        <f t="shared" si="37"/>
        <v>ok</v>
      </c>
      <c r="EK56" s="89" t="str">
        <f t="shared" si="37"/>
        <v>ok</v>
      </c>
      <c r="EL56" s="89" t="str">
        <f t="shared" si="37"/>
        <v>ok</v>
      </c>
      <c r="EM56" s="89" t="str">
        <f t="shared" si="37"/>
        <v>ok</v>
      </c>
      <c r="EN56" s="89" t="str">
        <f t="shared" si="37"/>
        <v>ok</v>
      </c>
      <c r="EO56" s="89" t="str">
        <f t="shared" si="37"/>
        <v>ok</v>
      </c>
      <c r="EP56" s="89" t="str">
        <f t="shared" si="37"/>
        <v>ok</v>
      </c>
      <c r="EQ56" s="89" t="str">
        <f t="shared" si="37"/>
        <v>ok</v>
      </c>
      <c r="ER56" s="89" t="str">
        <f t="shared" si="37"/>
        <v>ok</v>
      </c>
      <c r="ES56" s="89" t="str">
        <f t="shared" si="37"/>
        <v>ok</v>
      </c>
      <c r="ET56" s="89" t="str">
        <f t="shared" si="37"/>
        <v>ok</v>
      </c>
      <c r="EU56" s="89" t="str">
        <f t="shared" si="37"/>
        <v>ok</v>
      </c>
      <c r="EV56" s="89" t="str">
        <f t="shared" si="37"/>
        <v>ok</v>
      </c>
      <c r="EW56" s="89" t="str">
        <f t="shared" si="37"/>
        <v>ok</v>
      </c>
      <c r="EX56" s="89" t="str">
        <f t="shared" si="37"/>
        <v>ok</v>
      </c>
      <c r="EY56" s="89" t="str">
        <f t="shared" si="37"/>
        <v>ok</v>
      </c>
      <c r="EZ56" s="89" t="str">
        <f t="shared" si="37"/>
        <v>ok</v>
      </c>
      <c r="FA56" s="89" t="str">
        <f t="shared" si="37"/>
        <v>ok</v>
      </c>
      <c r="FB56" s="89" t="str">
        <f t="shared" si="37"/>
        <v>ok</v>
      </c>
      <c r="FC56" s="89" t="str">
        <f t="shared" si="37"/>
        <v>ok</v>
      </c>
      <c r="FD56" s="89" t="str">
        <f t="shared" si="37"/>
        <v>ok</v>
      </c>
      <c r="FE56" s="89" t="str">
        <f t="shared" si="37"/>
        <v>ok</v>
      </c>
      <c r="FF56" s="89" t="str">
        <f t="shared" si="37"/>
        <v>ok</v>
      </c>
      <c r="FG56" s="89" t="str">
        <f t="shared" ref="FG56:FM56" si="38">IF(FG37+FG48=FG49,"ok","エラー")</f>
        <v>ok</v>
      </c>
      <c r="FH56" s="89" t="str">
        <f t="shared" si="38"/>
        <v>ok</v>
      </c>
      <c r="FI56" s="89" t="str">
        <f t="shared" si="38"/>
        <v>エラー</v>
      </c>
      <c r="FJ56" s="89" t="str">
        <f t="shared" si="38"/>
        <v>ok</v>
      </c>
      <c r="FK56" s="89" t="str">
        <f t="shared" si="38"/>
        <v>ok</v>
      </c>
      <c r="FL56" s="89" t="str">
        <f t="shared" si="38"/>
        <v>ok</v>
      </c>
      <c r="FM56" s="89" t="str">
        <f t="shared" si="38"/>
        <v>ok</v>
      </c>
      <c r="FW56" s="89" t="str">
        <f>IF(FW37+FW48=FW49,"ok","エラー")</f>
        <v>ok</v>
      </c>
      <c r="FY56" s="89" t="str">
        <f t="shared" ref="FY56:GD56" si="39">IF(FY37+FY48=FY49,"ok","エラー")</f>
        <v>ok</v>
      </c>
      <c r="FZ56" s="89" t="str">
        <f t="shared" si="39"/>
        <v>ok</v>
      </c>
      <c r="GA56" s="89" t="str">
        <f t="shared" si="39"/>
        <v>ok</v>
      </c>
      <c r="GB56" s="89" t="str">
        <f t="shared" si="39"/>
        <v>ok</v>
      </c>
      <c r="GC56" s="89" t="str">
        <f t="shared" si="39"/>
        <v>ok</v>
      </c>
      <c r="GD56" s="89" t="str">
        <f t="shared" si="39"/>
        <v>ok</v>
      </c>
      <c r="GI56" s="62" t="str">
        <f>IF(GI37+GI48=GI49,"ok","エラー")</f>
        <v>ok</v>
      </c>
    </row>
  </sheetData>
  <phoneticPr fontId="3"/>
  <pageMargins left="0.59055118110236227" right="0.59055118110236227" top="0.98425196850393704" bottom="0.98425196850393704" header="0.51181102362204722" footer="0.51181102362204722"/>
  <pageSetup paperSize="9" fitToWidth="0" orientation="portrait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">
    <tabColor indexed="15"/>
  </sheetPr>
  <dimension ref="A1:HV56"/>
  <sheetViews>
    <sheetView zoomScale="85" workbookViewId="0">
      <pane xSplit="2" ySplit="5" topLeftCell="FO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  <col min="192" max="192" width="8.5546875" style="174" bestFit="1" customWidth="1"/>
    <col min="193" max="193" width="10.33203125" style="174" bestFit="1" customWidth="1"/>
    <col min="194" max="194" width="8.5546875" style="174" bestFit="1" customWidth="1"/>
    <col min="195" max="195" width="9.6640625" style="174" bestFit="1" customWidth="1"/>
    <col min="196" max="196" width="10.33203125" style="174" bestFit="1" customWidth="1"/>
    <col min="197" max="197" width="8.5546875" style="174" bestFit="1" customWidth="1"/>
    <col min="198" max="198" width="11.88671875" style="174" bestFit="1" customWidth="1"/>
    <col min="199" max="199" width="10.33203125" style="174" bestFit="1" customWidth="1"/>
    <col min="200" max="200" width="8.5546875" style="174" bestFit="1" customWidth="1"/>
    <col min="201" max="201" width="9.6640625" style="174" bestFit="1" customWidth="1"/>
    <col min="202" max="202" width="10.33203125" style="174" bestFit="1" customWidth="1"/>
    <col min="203" max="230" width="13.6640625" style="174" customWidth="1"/>
  </cols>
  <sheetData>
    <row r="1" spans="2:230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  <c r="GJ1" s="10">
        <v>191</v>
      </c>
      <c r="GK1" s="10">
        <v>192</v>
      </c>
      <c r="GL1" s="10">
        <v>193</v>
      </c>
      <c r="GM1" s="10">
        <v>194</v>
      </c>
      <c r="GN1" s="10">
        <v>195</v>
      </c>
      <c r="GO1" s="10">
        <v>196</v>
      </c>
      <c r="GP1" s="10">
        <v>197</v>
      </c>
      <c r="GQ1" s="10">
        <v>198</v>
      </c>
      <c r="GR1" s="10">
        <v>199</v>
      </c>
      <c r="GS1" s="10">
        <v>200</v>
      </c>
      <c r="GT1" s="10">
        <v>201</v>
      </c>
    </row>
    <row r="2" spans="2:230" x14ac:dyDescent="0.15">
      <c r="C2" s="96" t="s">
        <v>338</v>
      </c>
      <c r="D2" s="29"/>
      <c r="E2" s="96" t="s">
        <v>339</v>
      </c>
      <c r="F2" s="96" t="s">
        <v>340</v>
      </c>
      <c r="G2" s="29"/>
      <c r="H2" s="96" t="s">
        <v>341</v>
      </c>
      <c r="I2" s="96" t="s">
        <v>342</v>
      </c>
      <c r="J2" s="96" t="s">
        <v>343</v>
      </c>
      <c r="K2" s="96" t="s">
        <v>344</v>
      </c>
      <c r="L2" s="96" t="s">
        <v>345</v>
      </c>
      <c r="M2" s="96" t="s">
        <v>346</v>
      </c>
      <c r="N2" s="96" t="s">
        <v>347</v>
      </c>
      <c r="O2" s="96" t="s">
        <v>348</v>
      </c>
      <c r="P2" s="96" t="s">
        <v>349</v>
      </c>
      <c r="Q2" s="96" t="s">
        <v>350</v>
      </c>
      <c r="R2" s="96" t="s">
        <v>351</v>
      </c>
      <c r="S2" s="96" t="s">
        <v>795</v>
      </c>
      <c r="T2" s="89"/>
      <c r="U2" s="96" t="s">
        <v>725</v>
      </c>
      <c r="V2" s="96" t="s">
        <v>354</v>
      </c>
      <c r="W2" s="96" t="s">
        <v>355</v>
      </c>
      <c r="X2" s="96" t="s">
        <v>664</v>
      </c>
      <c r="Y2" s="96" t="s">
        <v>356</v>
      </c>
      <c r="Z2" s="96" t="s">
        <v>357</v>
      </c>
      <c r="AA2" s="96" t="s">
        <v>653</v>
      </c>
      <c r="AB2" s="96" t="s">
        <v>359</v>
      </c>
      <c r="AC2" s="96" t="s">
        <v>654</v>
      </c>
      <c r="AD2" s="96" t="s">
        <v>665</v>
      </c>
      <c r="AE2" s="96" t="s">
        <v>726</v>
      </c>
      <c r="AF2" s="96" t="s">
        <v>362</v>
      </c>
      <c r="AG2" s="96" t="s">
        <v>363</v>
      </c>
      <c r="AH2" s="89"/>
      <c r="AI2" s="96" t="s">
        <v>366</v>
      </c>
      <c r="AJ2" s="96" t="s">
        <v>796</v>
      </c>
      <c r="AK2" s="96" t="s">
        <v>797</v>
      </c>
      <c r="AL2" s="29"/>
      <c r="AM2" s="96" t="s">
        <v>368</v>
      </c>
      <c r="AN2" s="96" t="s">
        <v>728</v>
      </c>
      <c r="AO2" s="96" t="s">
        <v>686</v>
      </c>
      <c r="AP2" s="96" t="s">
        <v>369</v>
      </c>
      <c r="AQ2" s="96" t="s">
        <v>798</v>
      </c>
      <c r="AR2" s="96" t="s">
        <v>370</v>
      </c>
      <c r="AS2" s="96" t="s">
        <v>799</v>
      </c>
      <c r="AT2" s="96" t="s">
        <v>376</v>
      </c>
      <c r="AU2" s="96" t="s">
        <v>377</v>
      </c>
      <c r="AV2" s="96" t="s">
        <v>378</v>
      </c>
      <c r="AW2" s="96" t="s">
        <v>688</v>
      </c>
      <c r="AX2" s="96" t="s">
        <v>380</v>
      </c>
      <c r="AY2" s="96" t="s">
        <v>381</v>
      </c>
      <c r="AZ2" s="96" t="s">
        <v>710</v>
      </c>
      <c r="BA2" s="96" t="s">
        <v>690</v>
      </c>
      <c r="BB2" s="96" t="s">
        <v>711</v>
      </c>
      <c r="BC2" s="96" t="s">
        <v>384</v>
      </c>
      <c r="BD2" s="96" t="s">
        <v>386</v>
      </c>
      <c r="BE2" s="96" t="s">
        <v>387</v>
      </c>
      <c r="BF2" s="96" t="s">
        <v>388</v>
      </c>
      <c r="BG2" s="96" t="s">
        <v>389</v>
      </c>
      <c r="BH2" s="96" t="s">
        <v>692</v>
      </c>
      <c r="BI2" s="96" t="s">
        <v>739</v>
      </c>
      <c r="BJ2" s="96" t="s">
        <v>385</v>
      </c>
      <c r="BK2" s="96" t="s">
        <v>392</v>
      </c>
      <c r="BL2" s="96" t="s">
        <v>694</v>
      </c>
      <c r="BM2" s="96" t="s">
        <v>393</v>
      </c>
      <c r="BN2" s="96" t="s">
        <v>696</v>
      </c>
      <c r="BO2" s="29"/>
      <c r="BP2" s="29"/>
      <c r="BQ2" s="96"/>
      <c r="BR2" s="173" t="s">
        <v>800</v>
      </c>
      <c r="BS2" s="96" t="s">
        <v>751</v>
      </c>
      <c r="BT2" s="96" t="s">
        <v>784</v>
      </c>
      <c r="BU2" s="96" t="s">
        <v>785</v>
      </c>
      <c r="BV2" s="89"/>
      <c r="BW2" s="96" t="s">
        <v>402</v>
      </c>
      <c r="BX2" s="96" t="s">
        <v>403</v>
      </c>
      <c r="BY2" s="96" t="s">
        <v>786</v>
      </c>
      <c r="BZ2" s="96" t="s">
        <v>405</v>
      </c>
      <c r="CA2" s="96" t="s">
        <v>406</v>
      </c>
      <c r="CB2" s="96" t="s">
        <v>407</v>
      </c>
      <c r="CC2" s="96" t="s">
        <v>408</v>
      </c>
      <c r="CD2" s="96" t="s">
        <v>409</v>
      </c>
      <c r="CE2" s="96" t="s">
        <v>410</v>
      </c>
      <c r="CF2" s="96" t="s">
        <v>411</v>
      </c>
      <c r="CG2" s="96" t="s">
        <v>412</v>
      </c>
      <c r="CH2" s="96" t="s">
        <v>413</v>
      </c>
      <c r="CI2" s="96" t="s">
        <v>787</v>
      </c>
      <c r="CJ2" s="28"/>
      <c r="CK2" s="96" t="s">
        <v>415</v>
      </c>
      <c r="CL2" s="96" t="s">
        <v>720</v>
      </c>
      <c r="CM2" s="96" t="s">
        <v>417</v>
      </c>
      <c r="CN2" s="96" t="s">
        <v>721</v>
      </c>
      <c r="CO2" s="96" t="s">
        <v>419</v>
      </c>
      <c r="CP2" s="96" t="s">
        <v>420</v>
      </c>
      <c r="CQ2" s="96" t="s">
        <v>421</v>
      </c>
      <c r="CR2" s="96" t="s">
        <v>422</v>
      </c>
      <c r="CS2" s="96" t="s">
        <v>423</v>
      </c>
      <c r="CT2" s="28"/>
      <c r="CU2" s="96" t="s">
        <v>424</v>
      </c>
      <c r="CV2" s="96" t="s">
        <v>425</v>
      </c>
      <c r="CW2" s="89"/>
      <c r="CX2" s="96" t="s">
        <v>426</v>
      </c>
      <c r="CY2" s="96" t="s">
        <v>427</v>
      </c>
      <c r="CZ2" s="89"/>
      <c r="DA2" s="96" t="s">
        <v>428</v>
      </c>
      <c r="DB2" s="96" t="s">
        <v>429</v>
      </c>
      <c r="DC2" s="96" t="s">
        <v>430</v>
      </c>
      <c r="DD2" s="96" t="s">
        <v>431</v>
      </c>
      <c r="DE2" s="96" t="s">
        <v>432</v>
      </c>
      <c r="DF2" s="96" t="s">
        <v>433</v>
      </c>
      <c r="DG2" s="96" t="s">
        <v>434</v>
      </c>
      <c r="DH2" s="96" t="s">
        <v>435</v>
      </c>
      <c r="DI2" s="96" t="s">
        <v>436</v>
      </c>
      <c r="DJ2" s="96" t="s">
        <v>437</v>
      </c>
      <c r="DK2" s="96" t="s">
        <v>438</v>
      </c>
      <c r="DL2" s="96" t="s">
        <v>439</v>
      </c>
      <c r="DM2" s="96" t="s">
        <v>440</v>
      </c>
      <c r="DN2" s="96" t="s">
        <v>441</v>
      </c>
      <c r="DO2" s="96" t="s">
        <v>442</v>
      </c>
      <c r="DP2" s="96" t="s">
        <v>443</v>
      </c>
      <c r="DQ2" s="96" t="s">
        <v>444</v>
      </c>
      <c r="DR2" s="96" t="s">
        <v>445</v>
      </c>
      <c r="DS2" s="96" t="s">
        <v>446</v>
      </c>
      <c r="DT2" s="96" t="s">
        <v>447</v>
      </c>
      <c r="DU2" s="96" t="s">
        <v>448</v>
      </c>
      <c r="DV2" s="89"/>
      <c r="DW2" s="96" t="s">
        <v>449</v>
      </c>
      <c r="DX2" s="28"/>
      <c r="DY2" s="96" t="s">
        <v>451</v>
      </c>
      <c r="DZ2" s="96" t="s">
        <v>452</v>
      </c>
      <c r="EA2" s="96" t="s">
        <v>453</v>
      </c>
      <c r="EB2" s="96" t="s">
        <v>450</v>
      </c>
      <c r="EC2" s="96" t="s">
        <v>455</v>
      </c>
      <c r="ED2" s="96" t="s">
        <v>456</v>
      </c>
      <c r="EE2" s="89"/>
      <c r="EF2" s="96" t="s">
        <v>457</v>
      </c>
      <c r="EG2" s="96" t="s">
        <v>458</v>
      </c>
      <c r="EH2" s="96" t="s">
        <v>459</v>
      </c>
      <c r="EI2" s="96" t="s">
        <v>460</v>
      </c>
      <c r="EJ2" s="96" t="s">
        <v>461</v>
      </c>
      <c r="EK2" s="89"/>
      <c r="EL2" s="89"/>
      <c r="EM2" s="46"/>
      <c r="EN2" s="96" t="s">
        <v>464</v>
      </c>
      <c r="EO2" s="96" t="s">
        <v>465</v>
      </c>
      <c r="EP2" s="89"/>
      <c r="EQ2" s="96" t="s">
        <v>466</v>
      </c>
      <c r="ER2" s="96" t="s">
        <v>467</v>
      </c>
      <c r="ES2" s="96" t="s">
        <v>468</v>
      </c>
      <c r="ET2" s="96" t="s">
        <v>469</v>
      </c>
      <c r="EU2" s="96" t="s">
        <v>470</v>
      </c>
      <c r="EV2" s="96" t="s">
        <v>471</v>
      </c>
      <c r="EW2" s="28"/>
      <c r="EX2" s="96" t="s">
        <v>472</v>
      </c>
      <c r="EY2" s="96" t="s">
        <v>473</v>
      </c>
      <c r="EZ2" s="96" t="s">
        <v>474</v>
      </c>
      <c r="FA2" s="96" t="s">
        <v>475</v>
      </c>
      <c r="FB2" s="96" t="s">
        <v>476</v>
      </c>
      <c r="FC2" s="96" t="s">
        <v>477</v>
      </c>
      <c r="FD2" s="96" t="s">
        <v>478</v>
      </c>
      <c r="FE2" s="96" t="s">
        <v>479</v>
      </c>
      <c r="FF2" s="96" t="s">
        <v>480</v>
      </c>
      <c r="FG2" s="89"/>
      <c r="FH2" s="96" t="s">
        <v>481</v>
      </c>
      <c r="FI2" s="89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89"/>
      <c r="FW2" s="96" t="s">
        <v>790</v>
      </c>
      <c r="FX2" s="89"/>
      <c r="FY2" s="96" t="s">
        <v>490</v>
      </c>
      <c r="FZ2" s="96" t="s">
        <v>491</v>
      </c>
      <c r="GA2" s="96" t="s">
        <v>492</v>
      </c>
      <c r="GB2" s="96" t="s">
        <v>493</v>
      </c>
      <c r="GC2" s="46"/>
      <c r="GD2" s="46"/>
      <c r="GE2" s="89"/>
      <c r="GF2" s="46"/>
      <c r="GG2" s="46"/>
      <c r="GH2" s="46"/>
      <c r="GI2" s="46"/>
      <c r="GJ2" s="46" t="s">
        <v>329</v>
      </c>
      <c r="GK2" s="46"/>
      <c r="GL2" s="46"/>
      <c r="GM2" s="46"/>
      <c r="GN2" s="46"/>
      <c r="GO2" s="46"/>
      <c r="GP2" s="46"/>
      <c r="GQ2" s="46"/>
      <c r="GR2" s="46"/>
      <c r="GS2" s="46"/>
      <c r="GT2" s="46"/>
    </row>
    <row r="3" spans="2:230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V3" s="89"/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E3" s="89"/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K3" s="89"/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P3" s="89"/>
      <c r="FQ3" s="89"/>
      <c r="FR3" s="89"/>
      <c r="FS3" s="89"/>
      <c r="FT3" s="89"/>
      <c r="FU3" s="89"/>
      <c r="FV3" s="30" t="s">
        <v>529</v>
      </c>
      <c r="FW3" s="30" t="s">
        <v>308</v>
      </c>
      <c r="FX3" s="89"/>
      <c r="FY3" s="30" t="s">
        <v>312</v>
      </c>
      <c r="FZ3" s="89"/>
      <c r="GA3" s="89"/>
      <c r="GB3" s="89"/>
      <c r="GC3" s="89"/>
      <c r="GD3" s="30" t="s">
        <v>531</v>
      </c>
      <c r="GE3" s="89"/>
      <c r="GF3" s="30" t="s">
        <v>532</v>
      </c>
      <c r="GG3" s="89"/>
      <c r="GH3" s="89"/>
      <c r="GI3" s="30" t="s">
        <v>706</v>
      </c>
      <c r="GJ3" s="89" t="s">
        <v>534</v>
      </c>
      <c r="GM3" s="89" t="s">
        <v>535</v>
      </c>
      <c r="GP3" s="89" t="s">
        <v>529</v>
      </c>
      <c r="GS3" s="89" t="s">
        <v>536</v>
      </c>
    </row>
    <row r="4" spans="2:230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 t="s">
        <v>565</v>
      </c>
      <c r="BS4" s="31"/>
      <c r="BT4" s="30" t="s">
        <v>193</v>
      </c>
      <c r="BU4" s="30"/>
      <c r="BV4" s="89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570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E4" s="89"/>
      <c r="EF4" s="89"/>
      <c r="EG4" s="89"/>
      <c r="EH4" s="89"/>
      <c r="EI4" s="89"/>
      <c r="EJ4" s="89"/>
      <c r="EK4" s="89"/>
      <c r="EL4" s="89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J4" s="89"/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W4" s="89"/>
      <c r="FX4" s="30" t="s">
        <v>530</v>
      </c>
      <c r="FY4" s="89"/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  <c r="GJ4" s="30" t="s">
        <v>608</v>
      </c>
      <c r="GK4" s="89" t="s">
        <v>609</v>
      </c>
      <c r="GL4" s="89" t="s">
        <v>610</v>
      </c>
      <c r="GM4" s="89" t="s">
        <v>608</v>
      </c>
      <c r="GN4" s="89" t="s">
        <v>609</v>
      </c>
      <c r="GO4" s="89" t="s">
        <v>610</v>
      </c>
      <c r="GP4" s="89" t="s">
        <v>596</v>
      </c>
      <c r="GQ4" s="89" t="s">
        <v>609</v>
      </c>
      <c r="GR4" s="89" t="s">
        <v>610</v>
      </c>
      <c r="GS4" s="89" t="s">
        <v>611</v>
      </c>
      <c r="GT4" s="89" t="s">
        <v>609</v>
      </c>
    </row>
    <row r="5" spans="2:230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47" t="s">
        <v>624</v>
      </c>
      <c r="BS5" s="30" t="s">
        <v>625</v>
      </c>
      <c r="BT5" s="30"/>
      <c r="BU5" s="30"/>
      <c r="BV5" s="89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635</v>
      </c>
      <c r="DX5" s="30"/>
      <c r="DY5" s="30"/>
      <c r="DZ5" s="30"/>
      <c r="EA5" s="30"/>
      <c r="EB5" s="30"/>
      <c r="EC5" s="30"/>
      <c r="ED5" s="30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30" t="s">
        <v>595</v>
      </c>
      <c r="EZ5" s="30" t="s">
        <v>595</v>
      </c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30" t="s">
        <v>639</v>
      </c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30" t="s">
        <v>600</v>
      </c>
      <c r="FW5" s="89"/>
      <c r="FX5" s="30" t="s">
        <v>601</v>
      </c>
      <c r="FY5" s="89"/>
      <c r="FZ5" s="89"/>
      <c r="GA5" s="89"/>
      <c r="GB5" s="89"/>
      <c r="GC5" s="89"/>
      <c r="GD5" s="89"/>
      <c r="GE5" s="30" t="s">
        <v>601</v>
      </c>
      <c r="GF5" s="89"/>
      <c r="GG5" s="89"/>
      <c r="GH5" s="89"/>
      <c r="GI5" s="89"/>
      <c r="GJ5" s="89"/>
      <c r="GK5" s="43" t="s">
        <v>643</v>
      </c>
      <c r="GL5" s="30" t="s">
        <v>644</v>
      </c>
      <c r="GM5" s="89"/>
      <c r="GN5" s="43" t="s">
        <v>643</v>
      </c>
      <c r="GO5" s="30" t="s">
        <v>644</v>
      </c>
      <c r="GP5" s="89"/>
      <c r="GQ5" s="43" t="s">
        <v>643</v>
      </c>
      <c r="GR5" s="30" t="s">
        <v>644</v>
      </c>
      <c r="GT5" s="43" t="s">
        <v>643</v>
      </c>
    </row>
    <row r="6" spans="2:230" x14ac:dyDescent="0.15">
      <c r="B6" s="89" t="s">
        <v>5</v>
      </c>
      <c r="C6" s="272">
        <v>24928871</v>
      </c>
      <c r="D6" s="455">
        <f t="shared" ref="D6:D49" si="0">E6+F6</f>
        <v>9261030</v>
      </c>
      <c r="E6" s="272">
        <v>244324</v>
      </c>
      <c r="F6" s="272">
        <v>9016706</v>
      </c>
      <c r="G6" s="455">
        <f t="shared" ref="G6:G49" si="1">H6+I6</f>
        <v>2039344</v>
      </c>
      <c r="H6" s="272">
        <v>439920</v>
      </c>
      <c r="I6" s="272">
        <v>1599424</v>
      </c>
      <c r="J6" s="272">
        <v>9888392</v>
      </c>
      <c r="K6" s="272">
        <v>4308224</v>
      </c>
      <c r="L6" s="272">
        <v>4198526</v>
      </c>
      <c r="M6" s="272">
        <v>1124988</v>
      </c>
      <c r="N6" s="272">
        <v>1480636</v>
      </c>
      <c r="O6" s="272">
        <v>1989018</v>
      </c>
      <c r="P6" s="272">
        <v>1134669</v>
      </c>
      <c r="Q6" s="272">
        <v>854349</v>
      </c>
      <c r="R6" s="272">
        <v>453993</v>
      </c>
      <c r="S6" s="272">
        <v>0</v>
      </c>
      <c r="T6" s="455">
        <f t="shared" ref="T6:T49" si="2">SUM(U6:AA6)</f>
        <v>2693544</v>
      </c>
      <c r="U6" s="272">
        <v>169635</v>
      </c>
      <c r="V6" s="272">
        <v>150044</v>
      </c>
      <c r="W6" s="272">
        <v>91872</v>
      </c>
      <c r="X6" s="272">
        <v>1835801</v>
      </c>
      <c r="Y6" s="272">
        <v>59691</v>
      </c>
      <c r="Z6" s="272">
        <v>0</v>
      </c>
      <c r="AA6" s="272">
        <v>386501</v>
      </c>
      <c r="AB6" s="272">
        <v>183535</v>
      </c>
      <c r="AC6" s="272">
        <v>12390495</v>
      </c>
      <c r="AD6" s="272">
        <v>12231384</v>
      </c>
      <c r="AE6" s="272">
        <v>159111</v>
      </c>
      <c r="AF6" s="272">
        <v>43878</v>
      </c>
      <c r="AG6" s="272">
        <v>448057</v>
      </c>
      <c r="AH6" s="455">
        <f t="shared" ref="AH6:AH49" si="3">AI6+AJ6</f>
        <v>1499135</v>
      </c>
      <c r="AI6" s="272">
        <v>1326987</v>
      </c>
      <c r="AJ6" s="272">
        <v>172148</v>
      </c>
      <c r="AK6" s="272">
        <v>8193531</v>
      </c>
      <c r="AL6" s="455">
        <f t="shared" ref="AL6:AL49" si="4">SUM(AM6:AP6)</f>
        <v>5152962</v>
      </c>
      <c r="AM6" s="272">
        <v>4519943</v>
      </c>
      <c r="AN6" s="272">
        <v>633019</v>
      </c>
      <c r="AO6" s="272">
        <v>0</v>
      </c>
      <c r="AP6" s="272">
        <v>0</v>
      </c>
      <c r="AQ6" s="272">
        <v>498994</v>
      </c>
      <c r="AR6" s="272">
        <v>0</v>
      </c>
      <c r="AS6" s="272">
        <v>0</v>
      </c>
      <c r="AT6" s="272">
        <v>3823763</v>
      </c>
      <c r="AU6" s="272">
        <v>1961937</v>
      </c>
      <c r="AV6" s="272">
        <v>316508</v>
      </c>
      <c r="AW6" s="272">
        <v>300239</v>
      </c>
      <c r="AX6" s="272">
        <v>1861826</v>
      </c>
      <c r="AY6" s="272">
        <v>26192</v>
      </c>
      <c r="AZ6" s="272">
        <v>231794</v>
      </c>
      <c r="BA6" s="272">
        <v>167624</v>
      </c>
      <c r="BB6" s="272">
        <v>76150</v>
      </c>
      <c r="BC6" s="272">
        <v>669455</v>
      </c>
      <c r="BD6" s="272">
        <v>0</v>
      </c>
      <c r="BE6" s="272">
        <v>0</v>
      </c>
      <c r="BF6" s="272">
        <v>146826</v>
      </c>
      <c r="BG6" s="272">
        <v>489043</v>
      </c>
      <c r="BH6" s="272">
        <v>112182</v>
      </c>
      <c r="BI6" s="272">
        <v>93189</v>
      </c>
      <c r="BJ6" s="272">
        <v>1114872</v>
      </c>
      <c r="BK6" s="272">
        <v>31000</v>
      </c>
      <c r="BL6" s="272">
        <v>6879</v>
      </c>
      <c r="BM6" s="272">
        <v>172548</v>
      </c>
      <c r="BN6" s="272">
        <v>8666100</v>
      </c>
      <c r="BO6" s="455">
        <f t="shared" ref="BO6:BO49" si="5">BN6-BP6-BT6</f>
        <v>5991500</v>
      </c>
      <c r="BP6" s="455">
        <f t="shared" ref="BP6:BP49" si="6">BQ6+BR6+BS6</f>
        <v>1675600</v>
      </c>
      <c r="BQ6" s="272"/>
      <c r="BR6" s="272">
        <v>100000</v>
      </c>
      <c r="BS6" s="272">
        <v>1575600</v>
      </c>
      <c r="BT6" s="272">
        <v>999000</v>
      </c>
      <c r="BU6" s="272">
        <v>65529355</v>
      </c>
      <c r="BV6" s="272"/>
      <c r="BW6" s="272">
        <v>13642544</v>
      </c>
      <c r="BX6" s="272">
        <v>9348805</v>
      </c>
      <c r="BY6" s="272">
        <v>1747339</v>
      </c>
      <c r="BZ6" s="272">
        <v>499403</v>
      </c>
      <c r="CA6" s="272">
        <v>14511947</v>
      </c>
      <c r="CB6" s="272">
        <v>1943140</v>
      </c>
      <c r="CC6" s="272">
        <v>399787</v>
      </c>
      <c r="CD6" s="272">
        <v>5716609</v>
      </c>
      <c r="CE6" s="272">
        <v>6075616</v>
      </c>
      <c r="CF6" s="272">
        <v>371</v>
      </c>
      <c r="CG6" s="272">
        <v>374024</v>
      </c>
      <c r="CH6" s="272">
        <v>10062177</v>
      </c>
      <c r="CI6" s="272">
        <v>8224141</v>
      </c>
      <c r="CJ6" s="455">
        <f t="shared" ref="CJ6:CJ49" si="7">CH6-CI6</f>
        <v>1838036</v>
      </c>
      <c r="CK6" s="272">
        <v>6182421</v>
      </c>
      <c r="CL6" s="272">
        <v>3663149</v>
      </c>
      <c r="CM6" s="272">
        <v>333816</v>
      </c>
      <c r="CN6" s="272">
        <v>830605</v>
      </c>
      <c r="CO6" s="272">
        <v>183147</v>
      </c>
      <c r="CP6" s="272">
        <v>8074478</v>
      </c>
      <c r="CQ6" s="272">
        <v>1437315</v>
      </c>
      <c r="CR6" s="272">
        <v>848707</v>
      </c>
      <c r="CS6" s="272">
        <v>729070</v>
      </c>
      <c r="CT6" s="455">
        <f t="shared" ref="CT6:CT49" si="8">CU6+CV6</f>
        <v>4732408</v>
      </c>
      <c r="CU6" s="272">
        <v>3314155</v>
      </c>
      <c r="CV6" s="272">
        <v>1418253</v>
      </c>
      <c r="CW6" s="455">
        <f t="shared" ref="CW6:CW49" si="9">CX6+CY6</f>
        <v>1700000</v>
      </c>
      <c r="CX6" s="272">
        <v>1686380</v>
      </c>
      <c r="CY6" s="272">
        <v>13620</v>
      </c>
      <c r="CZ6" s="455">
        <f t="shared" ref="CZ6:CZ49" si="10">DA6+DB6</f>
        <v>3004836</v>
      </c>
      <c r="DA6" s="272">
        <v>1600203</v>
      </c>
      <c r="DB6" s="272">
        <v>1404633</v>
      </c>
      <c r="DC6" s="272">
        <v>7263126</v>
      </c>
      <c r="DD6" s="272">
        <v>1466659</v>
      </c>
      <c r="DE6" s="272">
        <v>5737183</v>
      </c>
      <c r="DF6" s="26">
        <v>18900</v>
      </c>
      <c r="DG6" s="27">
        <v>18900</v>
      </c>
      <c r="DH6" s="272">
        <v>0</v>
      </c>
      <c r="DI6" s="272">
        <v>299631</v>
      </c>
      <c r="DJ6" s="272">
        <v>924</v>
      </c>
      <c r="DK6" s="272">
        <v>51217</v>
      </c>
      <c r="DL6" s="272">
        <v>247490</v>
      </c>
      <c r="DM6" s="272">
        <v>0</v>
      </c>
      <c r="DN6" s="272">
        <v>0</v>
      </c>
      <c r="DO6" s="272">
        <v>0</v>
      </c>
      <c r="DP6" s="272">
        <v>0</v>
      </c>
      <c r="DQ6" s="272">
        <v>31000</v>
      </c>
      <c r="DR6" s="272">
        <v>0</v>
      </c>
      <c r="DS6" s="272">
        <v>0</v>
      </c>
      <c r="DT6" s="272">
        <v>5107423</v>
      </c>
      <c r="DU6" s="272">
        <v>0</v>
      </c>
      <c r="DV6" s="455">
        <f t="shared" ref="DV6:DV49" si="11">DW6</f>
        <v>0</v>
      </c>
      <c r="DW6" s="272">
        <v>0</v>
      </c>
      <c r="DX6" s="272"/>
      <c r="DY6" s="272">
        <v>0</v>
      </c>
      <c r="DZ6" s="272">
        <v>1852241</v>
      </c>
      <c r="EA6" s="272">
        <v>1300378</v>
      </c>
      <c r="EB6" s="272">
        <v>1529533</v>
      </c>
      <c r="EC6" s="272">
        <v>0</v>
      </c>
      <c r="ED6" s="272">
        <v>65357894</v>
      </c>
      <c r="EE6" s="89"/>
      <c r="EF6" s="272">
        <v>171461</v>
      </c>
      <c r="EG6" s="272">
        <v>92288</v>
      </c>
      <c r="EH6" s="272">
        <v>79173</v>
      </c>
      <c r="EI6" s="272">
        <v>-14016</v>
      </c>
      <c r="EJ6" s="272">
        <v>14181</v>
      </c>
      <c r="EK6" s="89"/>
      <c r="EL6" s="272"/>
      <c r="EM6" s="272">
        <v>201813</v>
      </c>
      <c r="EN6" s="272">
        <v>522629</v>
      </c>
      <c r="EO6" s="272">
        <v>225513</v>
      </c>
      <c r="EP6" s="455">
        <f t="shared" ref="EP6:EP49" si="12">EQ6-ER6-C6-R6-T6-AB6-AC6-BP6-EN6-EO6</f>
        <v>1512681</v>
      </c>
      <c r="EQ6" s="272">
        <v>40694316</v>
      </c>
      <c r="ER6" s="272">
        <v>-3892545</v>
      </c>
      <c r="ES6" s="272">
        <v>11477777</v>
      </c>
      <c r="ET6" s="272">
        <v>8363357</v>
      </c>
      <c r="EU6" s="272">
        <v>4949803</v>
      </c>
      <c r="EV6" s="272">
        <v>9971038</v>
      </c>
      <c r="EW6" s="455">
        <f t="shared" ref="EW6:EW49" si="13">EX6+FA6+FB6</f>
        <v>568256</v>
      </c>
      <c r="EX6" s="272">
        <v>568256</v>
      </c>
      <c r="EY6" s="272">
        <v>80741</v>
      </c>
      <c r="EZ6" s="272">
        <v>478065</v>
      </c>
      <c r="FA6" s="272">
        <v>0</v>
      </c>
      <c r="FB6" s="272">
        <v>0</v>
      </c>
      <c r="FC6" s="272">
        <v>5161980</v>
      </c>
      <c r="FD6" s="272">
        <v>7671578</v>
      </c>
      <c r="FE6" s="272">
        <v>1437315</v>
      </c>
      <c r="FF6" s="272">
        <v>4299157</v>
      </c>
      <c r="FG6" s="455">
        <f t="shared" ref="FG6:FG49" si="14">FH6-ES6-EU6-EV6-EW6-FC6-FD6-FF6</f>
        <v>315811</v>
      </c>
      <c r="FH6" s="272">
        <v>44415400</v>
      </c>
      <c r="FI6" s="384">
        <f t="shared" ref="FI6:FI49" si="15">ROUND(EH6/FJ6*100,1)</f>
        <v>0.2</v>
      </c>
      <c r="FJ6" s="272">
        <v>38952835</v>
      </c>
      <c r="FK6" s="272">
        <v>1575640</v>
      </c>
      <c r="FL6" s="272">
        <v>20506861</v>
      </c>
      <c r="FM6" s="272">
        <v>32794331</v>
      </c>
      <c r="FN6" s="460">
        <v>0.61299999999999999</v>
      </c>
      <c r="FO6" s="388">
        <v>96.7</v>
      </c>
      <c r="FP6" s="388">
        <v>27.6</v>
      </c>
      <c r="FQ6" s="388">
        <v>11.3</v>
      </c>
      <c r="FR6" s="388">
        <v>22.2</v>
      </c>
      <c r="FS6" s="388">
        <v>11</v>
      </c>
      <c r="FT6" s="388">
        <v>16.2</v>
      </c>
      <c r="FU6" s="388">
        <v>7.9</v>
      </c>
      <c r="FV6" s="384">
        <f t="shared" ref="FV6:FV49" si="16">GP6</f>
        <v>13.7</v>
      </c>
      <c r="FW6" s="272">
        <v>85859533</v>
      </c>
      <c r="FX6" s="384">
        <f t="shared" ref="FX6:FX49" si="17">ROUND(FW6/FJ6*100,1)</f>
        <v>220.4</v>
      </c>
      <c r="FY6" s="272">
        <v>4655197</v>
      </c>
      <c r="FZ6" s="272">
        <v>347269</v>
      </c>
      <c r="GA6" s="272">
        <v>825191</v>
      </c>
      <c r="GB6" s="272">
        <v>3482737</v>
      </c>
      <c r="GC6" s="272"/>
      <c r="GD6" s="272">
        <v>11024454</v>
      </c>
      <c r="GE6" s="384">
        <f t="shared" ref="GE6:GE37" si="18">ROUND(GD6/FJ6*100,1)</f>
        <v>28.3</v>
      </c>
      <c r="GF6" s="388">
        <v>98.1</v>
      </c>
      <c r="GG6" s="388">
        <v>34.5</v>
      </c>
      <c r="GH6" s="388">
        <v>94.8</v>
      </c>
      <c r="GI6" s="272">
        <v>1448</v>
      </c>
      <c r="GJ6" s="461" t="s">
        <v>646</v>
      </c>
      <c r="GK6" s="461">
        <v>11.44</v>
      </c>
      <c r="GL6" s="462">
        <v>20</v>
      </c>
      <c r="GM6" s="461" t="s">
        <v>646</v>
      </c>
      <c r="GN6" s="462">
        <v>16.440000000000001</v>
      </c>
      <c r="GO6" s="462">
        <v>40</v>
      </c>
      <c r="GP6" s="463">
        <v>13.7</v>
      </c>
      <c r="GQ6" s="463">
        <v>25</v>
      </c>
      <c r="GR6" s="463">
        <v>35</v>
      </c>
      <c r="GS6" s="464">
        <v>203.6</v>
      </c>
      <c r="GT6" s="463">
        <v>350</v>
      </c>
      <c r="GU6" s="394"/>
      <c r="GV6" s="394"/>
      <c r="GW6" s="394"/>
      <c r="GX6" s="394"/>
      <c r="GY6" s="394"/>
      <c r="GZ6" s="394"/>
      <c r="HA6" s="394"/>
      <c r="HB6" s="394"/>
      <c r="HC6" s="394"/>
      <c r="HD6" s="394"/>
      <c r="HE6" s="394"/>
      <c r="HF6" s="394"/>
      <c r="HG6" s="394"/>
      <c r="HH6" s="394"/>
      <c r="HI6" s="394"/>
      <c r="HJ6" s="394"/>
      <c r="HK6" s="394"/>
      <c r="HL6" s="394"/>
      <c r="HM6" s="394"/>
      <c r="HN6" s="394"/>
      <c r="HO6" s="394"/>
      <c r="HP6" s="394"/>
      <c r="HQ6" s="394"/>
      <c r="HR6" s="394"/>
      <c r="HS6" s="394"/>
      <c r="HT6" s="394"/>
      <c r="HU6" s="394"/>
      <c r="HV6" s="394"/>
    </row>
    <row r="7" spans="2:230" x14ac:dyDescent="0.15">
      <c r="B7" s="89" t="s">
        <v>7</v>
      </c>
      <c r="C7" s="272">
        <v>65447728</v>
      </c>
      <c r="D7" s="455">
        <f t="shared" si="0"/>
        <v>28237187</v>
      </c>
      <c r="E7" s="272">
        <v>509361</v>
      </c>
      <c r="F7" s="272">
        <v>27727826</v>
      </c>
      <c r="G7" s="455">
        <f t="shared" si="1"/>
        <v>5224703</v>
      </c>
      <c r="H7" s="272">
        <v>1062678</v>
      </c>
      <c r="I7" s="272">
        <v>4162025</v>
      </c>
      <c r="J7" s="272">
        <v>23196267</v>
      </c>
      <c r="K7" s="272">
        <v>9802223</v>
      </c>
      <c r="L7" s="272">
        <v>10313262</v>
      </c>
      <c r="M7" s="272">
        <v>2735803</v>
      </c>
      <c r="N7" s="272">
        <v>2199070</v>
      </c>
      <c r="O7" s="272">
        <v>5425843</v>
      </c>
      <c r="P7" s="272">
        <v>3078007</v>
      </c>
      <c r="Q7" s="272">
        <v>2347836</v>
      </c>
      <c r="R7" s="272">
        <v>3029605</v>
      </c>
      <c r="S7" s="272">
        <v>0</v>
      </c>
      <c r="T7" s="455">
        <f t="shared" si="2"/>
        <v>5372638</v>
      </c>
      <c r="U7" s="272">
        <v>538109</v>
      </c>
      <c r="V7" s="272">
        <v>475615</v>
      </c>
      <c r="W7" s="272">
        <v>292604</v>
      </c>
      <c r="X7" s="272">
        <v>3390558</v>
      </c>
      <c r="Y7" s="272">
        <v>0</v>
      </c>
      <c r="Z7" s="272">
        <v>0</v>
      </c>
      <c r="AA7" s="272">
        <v>675752</v>
      </c>
      <c r="AB7" s="272">
        <v>513248</v>
      </c>
      <c r="AC7" s="272">
        <v>1309921</v>
      </c>
      <c r="AD7" s="272">
        <v>867560</v>
      </c>
      <c r="AE7" s="272">
        <v>442361</v>
      </c>
      <c r="AF7" s="272">
        <v>68099</v>
      </c>
      <c r="AG7" s="272">
        <v>1036681</v>
      </c>
      <c r="AH7" s="455">
        <f t="shared" si="3"/>
        <v>2695028</v>
      </c>
      <c r="AI7" s="272">
        <v>2378250</v>
      </c>
      <c r="AJ7" s="272">
        <v>316778</v>
      </c>
      <c r="AK7" s="272">
        <v>15932181</v>
      </c>
      <c r="AL7" s="455">
        <f t="shared" si="4"/>
        <v>11654286</v>
      </c>
      <c r="AM7" s="272">
        <v>9206983</v>
      </c>
      <c r="AN7" s="272">
        <v>2447303</v>
      </c>
      <c r="AO7" s="272">
        <v>0</v>
      </c>
      <c r="AP7" s="272">
        <v>0</v>
      </c>
      <c r="AQ7" s="272">
        <v>736768</v>
      </c>
      <c r="AR7" s="272">
        <v>0</v>
      </c>
      <c r="AS7" s="272">
        <v>0</v>
      </c>
      <c r="AT7" s="272">
        <v>6404600</v>
      </c>
      <c r="AU7" s="272">
        <v>2834362</v>
      </c>
      <c r="AV7" s="272">
        <v>378569</v>
      </c>
      <c r="AW7" s="272">
        <v>0</v>
      </c>
      <c r="AX7" s="272">
        <v>3570238</v>
      </c>
      <c r="AY7" s="272">
        <v>58022</v>
      </c>
      <c r="AZ7" s="272">
        <v>3062751</v>
      </c>
      <c r="BA7" s="272">
        <v>2968306</v>
      </c>
      <c r="BB7" s="272">
        <v>27388</v>
      </c>
      <c r="BC7" s="272">
        <v>4051733</v>
      </c>
      <c r="BD7" s="272">
        <v>0</v>
      </c>
      <c r="BE7" s="272">
        <v>0</v>
      </c>
      <c r="BF7" s="272">
        <v>2827813</v>
      </c>
      <c r="BG7" s="272">
        <v>1369052</v>
      </c>
      <c r="BH7" s="272">
        <v>505488</v>
      </c>
      <c r="BI7" s="272">
        <v>401406</v>
      </c>
      <c r="BJ7" s="272">
        <v>4679210</v>
      </c>
      <c r="BK7" s="272">
        <v>3515226</v>
      </c>
      <c r="BL7" s="272">
        <v>0</v>
      </c>
      <c r="BM7" s="272">
        <v>86008</v>
      </c>
      <c r="BN7" s="272">
        <v>8375100</v>
      </c>
      <c r="BO7" s="455">
        <f t="shared" si="5"/>
        <v>4350000</v>
      </c>
      <c r="BP7" s="455">
        <f t="shared" si="6"/>
        <v>3025100</v>
      </c>
      <c r="BQ7" s="272"/>
      <c r="BR7" s="272">
        <v>0</v>
      </c>
      <c r="BS7" s="272">
        <v>3025100</v>
      </c>
      <c r="BT7" s="272">
        <v>1000000</v>
      </c>
      <c r="BU7" s="272">
        <v>122511399</v>
      </c>
      <c r="BV7" s="272"/>
      <c r="BW7" s="272">
        <v>31598903</v>
      </c>
      <c r="BX7" s="272">
        <v>20899267</v>
      </c>
      <c r="BY7" s="272">
        <v>5439464</v>
      </c>
      <c r="BZ7" s="272">
        <v>1073006</v>
      </c>
      <c r="CA7" s="272">
        <v>24017214</v>
      </c>
      <c r="CB7" s="272">
        <v>3257138</v>
      </c>
      <c r="CC7" s="272">
        <v>715995</v>
      </c>
      <c r="CD7" s="272">
        <v>7293585</v>
      </c>
      <c r="CE7" s="272">
        <v>12350928</v>
      </c>
      <c r="CF7" s="272">
        <v>1</v>
      </c>
      <c r="CG7" s="272">
        <v>397732</v>
      </c>
      <c r="CH7" s="272">
        <v>16219622</v>
      </c>
      <c r="CI7" s="272">
        <v>13809885</v>
      </c>
      <c r="CJ7" s="455">
        <f t="shared" si="7"/>
        <v>2409737</v>
      </c>
      <c r="CK7" s="272">
        <v>11795899</v>
      </c>
      <c r="CL7" s="272">
        <v>5564759</v>
      </c>
      <c r="CM7" s="272">
        <v>891619</v>
      </c>
      <c r="CN7" s="272">
        <v>2556379</v>
      </c>
      <c r="CO7" s="272">
        <v>491869</v>
      </c>
      <c r="CP7" s="272">
        <v>10418849</v>
      </c>
      <c r="CQ7" s="272">
        <v>2634287</v>
      </c>
      <c r="CR7" s="272">
        <v>3268460</v>
      </c>
      <c r="CS7" s="272">
        <v>2682006</v>
      </c>
      <c r="CT7" s="455">
        <f t="shared" si="8"/>
        <v>1186705</v>
      </c>
      <c r="CU7" s="272">
        <v>992379</v>
      </c>
      <c r="CV7" s="272">
        <v>194326</v>
      </c>
      <c r="CW7" s="455">
        <f t="shared" si="9"/>
        <v>1084935</v>
      </c>
      <c r="CX7" s="272">
        <v>958861</v>
      </c>
      <c r="CY7" s="272">
        <v>126074</v>
      </c>
      <c r="CZ7" s="455">
        <f t="shared" si="10"/>
        <v>0</v>
      </c>
      <c r="DA7" s="272">
        <v>0</v>
      </c>
      <c r="DB7" s="272">
        <v>0</v>
      </c>
      <c r="DC7" s="272">
        <v>7413441</v>
      </c>
      <c r="DD7" s="272">
        <v>1820394</v>
      </c>
      <c r="DE7" s="272">
        <v>5593047</v>
      </c>
      <c r="DF7" s="26">
        <v>0</v>
      </c>
      <c r="DG7" s="27">
        <v>0</v>
      </c>
      <c r="DH7" s="272">
        <v>0</v>
      </c>
      <c r="DI7" s="272">
        <v>517436</v>
      </c>
      <c r="DJ7" s="272">
        <v>310020</v>
      </c>
      <c r="DK7" s="272">
        <v>36538</v>
      </c>
      <c r="DL7" s="272">
        <v>170878</v>
      </c>
      <c r="DM7" s="272">
        <v>388001</v>
      </c>
      <c r="DN7" s="272">
        <v>388001</v>
      </c>
      <c r="DO7" s="272">
        <v>58479</v>
      </c>
      <c r="DP7" s="272">
        <v>329522</v>
      </c>
      <c r="DQ7" s="272">
        <v>5680074</v>
      </c>
      <c r="DR7" s="272">
        <v>0</v>
      </c>
      <c r="DS7" s="272">
        <v>0</v>
      </c>
      <c r="DT7" s="272">
        <v>13628302</v>
      </c>
      <c r="DU7" s="272">
        <v>2956047</v>
      </c>
      <c r="DV7" s="455">
        <f t="shared" si="11"/>
        <v>0</v>
      </c>
      <c r="DW7" s="272">
        <v>0</v>
      </c>
      <c r="DX7" s="272"/>
      <c r="DY7" s="272">
        <v>0</v>
      </c>
      <c r="DZ7" s="272">
        <v>4965169</v>
      </c>
      <c r="EA7" s="272">
        <v>2158027</v>
      </c>
      <c r="EB7" s="272">
        <v>2789221</v>
      </c>
      <c r="EC7" s="272">
        <v>0</v>
      </c>
      <c r="ED7" s="272">
        <v>122169610</v>
      </c>
      <c r="EE7" s="89"/>
      <c r="EF7" s="272">
        <v>341789</v>
      </c>
      <c r="EG7" s="272">
        <v>302047</v>
      </c>
      <c r="EH7" s="272">
        <v>39742</v>
      </c>
      <c r="EI7" s="272">
        <v>-361664</v>
      </c>
      <c r="EJ7" s="272">
        <v>28651</v>
      </c>
      <c r="EK7" s="89"/>
      <c r="EL7" s="272"/>
      <c r="EM7" s="272">
        <v>388823</v>
      </c>
      <c r="EN7" s="272">
        <v>1369052</v>
      </c>
      <c r="EO7" s="272">
        <v>1093644</v>
      </c>
      <c r="EP7" s="455">
        <f t="shared" si="12"/>
        <v>3395933</v>
      </c>
      <c r="EQ7" s="272">
        <v>75741239</v>
      </c>
      <c r="ER7" s="272">
        <v>-8815630</v>
      </c>
      <c r="ES7" s="272">
        <v>28825287</v>
      </c>
      <c r="ET7" s="272">
        <v>19346296</v>
      </c>
      <c r="EU7" s="272">
        <v>7417661</v>
      </c>
      <c r="EV7" s="272">
        <v>13612213</v>
      </c>
      <c r="EW7" s="455">
        <f t="shared" si="13"/>
        <v>3117942</v>
      </c>
      <c r="EX7" s="272">
        <v>3117942</v>
      </c>
      <c r="EY7" s="272">
        <v>394440</v>
      </c>
      <c r="EZ7" s="272">
        <v>2723502</v>
      </c>
      <c r="FA7" s="272">
        <v>0</v>
      </c>
      <c r="FB7" s="272">
        <v>0</v>
      </c>
      <c r="FC7" s="272">
        <v>9137566</v>
      </c>
      <c r="FD7" s="272">
        <v>8827521</v>
      </c>
      <c r="FE7" s="272">
        <v>2634287</v>
      </c>
      <c r="FF7" s="272">
        <v>11945608</v>
      </c>
      <c r="FG7" s="455">
        <f t="shared" si="14"/>
        <v>1341507</v>
      </c>
      <c r="FH7" s="272">
        <v>84225305</v>
      </c>
      <c r="FI7" s="384">
        <f t="shared" si="15"/>
        <v>0.1</v>
      </c>
      <c r="FJ7" s="272">
        <v>68864766</v>
      </c>
      <c r="FK7" s="272">
        <v>3025182</v>
      </c>
      <c r="FL7" s="272">
        <v>51786239</v>
      </c>
      <c r="FM7" s="272">
        <v>52770903</v>
      </c>
      <c r="FN7" s="460">
        <v>0.98299999999999998</v>
      </c>
      <c r="FO7" s="388">
        <v>102.6</v>
      </c>
      <c r="FP7" s="388">
        <v>38.200000000000003</v>
      </c>
      <c r="FQ7" s="388">
        <v>10.1</v>
      </c>
      <c r="FR7" s="388">
        <v>18.399999999999999</v>
      </c>
      <c r="FS7" s="388">
        <v>11.9</v>
      </c>
      <c r="FT7" s="388">
        <v>9.9</v>
      </c>
      <c r="FU7" s="388">
        <v>13.5</v>
      </c>
      <c r="FV7" s="384">
        <f t="shared" si="16"/>
        <v>11</v>
      </c>
      <c r="FW7" s="272">
        <v>113179634</v>
      </c>
      <c r="FX7" s="384">
        <f t="shared" si="17"/>
        <v>164.4</v>
      </c>
      <c r="FY7" s="272">
        <v>11757301</v>
      </c>
      <c r="FZ7" s="272">
        <v>319299</v>
      </c>
      <c r="GA7" s="272">
        <v>3719648</v>
      </c>
      <c r="GB7" s="272">
        <v>7718354</v>
      </c>
      <c r="GC7" s="272">
        <v>3969052</v>
      </c>
      <c r="GD7" s="272">
        <v>13819287</v>
      </c>
      <c r="GE7" s="384">
        <f t="shared" si="18"/>
        <v>20.100000000000001</v>
      </c>
      <c r="GF7" s="388">
        <v>98</v>
      </c>
      <c r="GG7" s="388">
        <v>21.5</v>
      </c>
      <c r="GH7" s="388">
        <v>93</v>
      </c>
      <c r="GI7" s="272">
        <v>2759</v>
      </c>
      <c r="GJ7" s="461" t="s">
        <v>646</v>
      </c>
      <c r="GK7" s="461">
        <v>11.25</v>
      </c>
      <c r="GL7" s="462">
        <v>20</v>
      </c>
      <c r="GM7" s="461" t="s">
        <v>646</v>
      </c>
      <c r="GN7" s="462">
        <v>16.25</v>
      </c>
      <c r="GO7" s="462">
        <v>40</v>
      </c>
      <c r="GP7" s="463">
        <v>11</v>
      </c>
      <c r="GQ7" s="463">
        <v>25</v>
      </c>
      <c r="GR7" s="463">
        <v>35</v>
      </c>
      <c r="GS7" s="464">
        <v>130</v>
      </c>
      <c r="GT7" s="463">
        <v>350</v>
      </c>
      <c r="GU7" s="394"/>
      <c r="GV7" s="394"/>
      <c r="GW7" s="394"/>
      <c r="GX7" s="394"/>
      <c r="GY7" s="394"/>
      <c r="GZ7" s="394"/>
      <c r="HA7" s="394"/>
      <c r="HB7" s="394"/>
      <c r="HC7" s="394"/>
      <c r="HD7" s="394"/>
      <c r="HE7" s="394"/>
      <c r="HF7" s="394"/>
      <c r="HG7" s="394"/>
      <c r="HH7" s="394"/>
      <c r="HI7" s="394"/>
      <c r="HJ7" s="394"/>
      <c r="HK7" s="394"/>
      <c r="HL7" s="394"/>
      <c r="HM7" s="394"/>
      <c r="HN7" s="394"/>
      <c r="HO7" s="394"/>
      <c r="HP7" s="394"/>
      <c r="HQ7" s="394"/>
      <c r="HR7" s="394"/>
      <c r="HS7" s="394"/>
      <c r="HT7" s="394"/>
      <c r="HU7" s="394"/>
      <c r="HV7" s="394"/>
    </row>
    <row r="8" spans="2:230" x14ac:dyDescent="0.15">
      <c r="B8" s="89" t="s">
        <v>9</v>
      </c>
      <c r="C8" s="272">
        <v>17254977</v>
      </c>
      <c r="D8" s="455">
        <f t="shared" si="0"/>
        <v>7101502</v>
      </c>
      <c r="E8" s="272">
        <v>136476</v>
      </c>
      <c r="F8" s="272">
        <v>6965026</v>
      </c>
      <c r="G8" s="455">
        <f t="shared" si="1"/>
        <v>2045148</v>
      </c>
      <c r="H8" s="272">
        <v>269834</v>
      </c>
      <c r="I8" s="272">
        <v>1775314</v>
      </c>
      <c r="J8" s="272">
        <v>6129434</v>
      </c>
      <c r="K8" s="272">
        <v>2725045</v>
      </c>
      <c r="L8" s="272">
        <v>2476760</v>
      </c>
      <c r="M8" s="272">
        <v>868977</v>
      </c>
      <c r="N8" s="272">
        <v>528005</v>
      </c>
      <c r="O8" s="272">
        <v>1372334</v>
      </c>
      <c r="P8" s="272">
        <v>827154</v>
      </c>
      <c r="Q8" s="272">
        <v>545180</v>
      </c>
      <c r="R8" s="272">
        <v>258451</v>
      </c>
      <c r="S8" s="272">
        <v>0</v>
      </c>
      <c r="T8" s="455">
        <f t="shared" si="2"/>
        <v>1592026</v>
      </c>
      <c r="U8" s="272">
        <v>133595</v>
      </c>
      <c r="V8" s="272">
        <v>118150</v>
      </c>
      <c r="W8" s="272">
        <v>72410</v>
      </c>
      <c r="X8" s="272">
        <v>998002</v>
      </c>
      <c r="Y8" s="272">
        <v>81533</v>
      </c>
      <c r="Z8" s="272">
        <v>0</v>
      </c>
      <c r="AA8" s="272">
        <v>188336</v>
      </c>
      <c r="AB8" s="272">
        <v>139195</v>
      </c>
      <c r="AC8" s="272">
        <v>1173546</v>
      </c>
      <c r="AD8" s="272">
        <v>759512</v>
      </c>
      <c r="AE8" s="272">
        <v>414034</v>
      </c>
      <c r="AF8" s="272">
        <v>20827</v>
      </c>
      <c r="AG8" s="272">
        <v>213824</v>
      </c>
      <c r="AH8" s="455">
        <f t="shared" si="3"/>
        <v>1030321</v>
      </c>
      <c r="AI8" s="272">
        <v>789573</v>
      </c>
      <c r="AJ8" s="272">
        <v>240748</v>
      </c>
      <c r="AK8" s="272">
        <v>2803189</v>
      </c>
      <c r="AL8" s="455">
        <f t="shared" si="4"/>
        <v>1207187</v>
      </c>
      <c r="AM8" s="272">
        <v>988803</v>
      </c>
      <c r="AN8" s="272">
        <v>218384</v>
      </c>
      <c r="AO8" s="272">
        <v>0</v>
      </c>
      <c r="AP8" s="272">
        <v>0</v>
      </c>
      <c r="AQ8" s="272">
        <v>463237</v>
      </c>
      <c r="AR8" s="272">
        <v>0</v>
      </c>
      <c r="AS8" s="272">
        <v>0</v>
      </c>
      <c r="AT8" s="272">
        <v>1718915</v>
      </c>
      <c r="AU8" s="272">
        <v>829341</v>
      </c>
      <c r="AV8" s="272">
        <v>158765</v>
      </c>
      <c r="AW8" s="272">
        <v>6060</v>
      </c>
      <c r="AX8" s="272">
        <v>889574</v>
      </c>
      <c r="AY8" s="272">
        <v>51060</v>
      </c>
      <c r="AZ8" s="272">
        <v>434177</v>
      </c>
      <c r="BA8" s="272">
        <v>399208</v>
      </c>
      <c r="BB8" s="272">
        <v>93862</v>
      </c>
      <c r="BC8" s="272">
        <v>1141999</v>
      </c>
      <c r="BD8" s="272">
        <v>380000</v>
      </c>
      <c r="BE8" s="272">
        <v>0</v>
      </c>
      <c r="BF8" s="272">
        <v>756925</v>
      </c>
      <c r="BG8" s="272">
        <v>0</v>
      </c>
      <c r="BH8" s="272">
        <v>138049</v>
      </c>
      <c r="BI8" s="272">
        <v>137606</v>
      </c>
      <c r="BJ8" s="272">
        <v>4571521</v>
      </c>
      <c r="BK8" s="272">
        <v>4135172</v>
      </c>
      <c r="BL8" s="272">
        <v>12982</v>
      </c>
      <c r="BM8" s="272">
        <v>65342</v>
      </c>
      <c r="BN8" s="272">
        <v>2869100</v>
      </c>
      <c r="BO8" s="455">
        <f t="shared" si="5"/>
        <v>747500</v>
      </c>
      <c r="BP8" s="455">
        <f t="shared" si="6"/>
        <v>921600</v>
      </c>
      <c r="BQ8" s="272"/>
      <c r="BR8" s="272">
        <v>0</v>
      </c>
      <c r="BS8" s="272">
        <v>921600</v>
      </c>
      <c r="BT8" s="272">
        <v>1200000</v>
      </c>
      <c r="BU8" s="272">
        <v>35453979</v>
      </c>
      <c r="BV8" s="272"/>
      <c r="BW8" s="272">
        <v>9028798</v>
      </c>
      <c r="BX8" s="272">
        <v>5662547</v>
      </c>
      <c r="BY8" s="272">
        <v>1714572</v>
      </c>
      <c r="BZ8" s="272">
        <v>297024</v>
      </c>
      <c r="CA8" s="272">
        <v>4553838</v>
      </c>
      <c r="CB8" s="272">
        <v>929238</v>
      </c>
      <c r="CC8" s="272">
        <v>120757</v>
      </c>
      <c r="CD8" s="272">
        <v>2119135</v>
      </c>
      <c r="CE8" s="272">
        <v>1317516</v>
      </c>
      <c r="CF8" s="272">
        <v>4859</v>
      </c>
      <c r="CG8" s="272">
        <v>62183</v>
      </c>
      <c r="CH8" s="272">
        <v>3758387</v>
      </c>
      <c r="CI8" s="272">
        <v>2962697</v>
      </c>
      <c r="CJ8" s="455">
        <f t="shared" si="7"/>
        <v>795690</v>
      </c>
      <c r="CK8" s="272">
        <v>5170541</v>
      </c>
      <c r="CL8" s="272">
        <v>3105240</v>
      </c>
      <c r="CM8" s="272">
        <v>461028</v>
      </c>
      <c r="CN8" s="272">
        <v>674512</v>
      </c>
      <c r="CO8" s="272">
        <v>395645</v>
      </c>
      <c r="CP8" s="272">
        <v>1909412</v>
      </c>
      <c r="CQ8" s="272">
        <v>14685</v>
      </c>
      <c r="CR8" s="272">
        <v>802678</v>
      </c>
      <c r="CS8" s="272">
        <v>642670</v>
      </c>
      <c r="CT8" s="455">
        <f t="shared" si="8"/>
        <v>671075</v>
      </c>
      <c r="CU8" s="272">
        <v>589056</v>
      </c>
      <c r="CV8" s="272">
        <v>82019</v>
      </c>
      <c r="CW8" s="455">
        <f t="shared" si="9"/>
        <v>666657</v>
      </c>
      <c r="CX8" s="272">
        <v>584638</v>
      </c>
      <c r="CY8" s="272">
        <v>82019</v>
      </c>
      <c r="CZ8" s="455">
        <f t="shared" si="10"/>
        <v>0</v>
      </c>
      <c r="DA8" s="272">
        <v>0</v>
      </c>
      <c r="DB8" s="272">
        <v>0</v>
      </c>
      <c r="DC8" s="272">
        <v>2284561</v>
      </c>
      <c r="DD8" s="272">
        <v>887431</v>
      </c>
      <c r="DE8" s="272">
        <v>1384148</v>
      </c>
      <c r="DF8" s="26">
        <v>0</v>
      </c>
      <c r="DG8" s="27">
        <v>0</v>
      </c>
      <c r="DH8" s="272">
        <v>0</v>
      </c>
      <c r="DI8" s="272">
        <v>242094</v>
      </c>
      <c r="DJ8" s="272">
        <v>6695</v>
      </c>
      <c r="DK8" s="272">
        <v>0</v>
      </c>
      <c r="DL8" s="272">
        <v>235399</v>
      </c>
      <c r="DM8" s="272">
        <v>343624</v>
      </c>
      <c r="DN8" s="272">
        <v>343624</v>
      </c>
      <c r="DO8" s="272">
        <v>0</v>
      </c>
      <c r="DP8" s="272">
        <v>343624</v>
      </c>
      <c r="DQ8" s="272">
        <v>4135190</v>
      </c>
      <c r="DR8" s="272">
        <v>0</v>
      </c>
      <c r="DS8" s="272">
        <v>0</v>
      </c>
      <c r="DT8" s="272">
        <v>3211518</v>
      </c>
      <c r="DU8" s="272">
        <v>1005529</v>
      </c>
      <c r="DV8" s="455">
        <f t="shared" si="11"/>
        <v>0</v>
      </c>
      <c r="DW8" s="272">
        <v>0</v>
      </c>
      <c r="DX8" s="272"/>
      <c r="DY8" s="272">
        <v>4806</v>
      </c>
      <c r="DZ8" s="272">
        <v>827957</v>
      </c>
      <c r="EA8" s="272">
        <v>594396</v>
      </c>
      <c r="EB8" s="272">
        <v>778830</v>
      </c>
      <c r="EC8" s="272">
        <v>0</v>
      </c>
      <c r="ED8" s="272">
        <v>35033608</v>
      </c>
      <c r="EE8" s="89"/>
      <c r="EF8" s="272">
        <v>420371</v>
      </c>
      <c r="EG8" s="272">
        <v>176925</v>
      </c>
      <c r="EH8" s="272">
        <v>243446</v>
      </c>
      <c r="EI8" s="272">
        <v>-94160</v>
      </c>
      <c r="EJ8" s="272">
        <v>-467465</v>
      </c>
      <c r="EK8" s="89"/>
      <c r="EL8" s="272"/>
      <c r="EM8" s="272">
        <v>102193</v>
      </c>
      <c r="EN8" s="272">
        <v>380000</v>
      </c>
      <c r="EO8" s="272">
        <v>420084</v>
      </c>
      <c r="EP8" s="455">
        <f t="shared" si="12"/>
        <v>479332</v>
      </c>
      <c r="EQ8" s="272">
        <v>20439022</v>
      </c>
      <c r="ER8" s="272">
        <v>-2180189</v>
      </c>
      <c r="ES8" s="272">
        <v>7361026</v>
      </c>
      <c r="ET8" s="272">
        <v>5271697</v>
      </c>
      <c r="EU8" s="272">
        <v>1561029</v>
      </c>
      <c r="EV8" s="272">
        <v>3758387</v>
      </c>
      <c r="EW8" s="455">
        <f t="shared" si="13"/>
        <v>794754</v>
      </c>
      <c r="EX8" s="272">
        <v>794754</v>
      </c>
      <c r="EY8" s="272">
        <v>54255</v>
      </c>
      <c r="EZ8" s="272">
        <v>740499</v>
      </c>
      <c r="FA8" s="272">
        <v>0</v>
      </c>
      <c r="FB8" s="272">
        <v>0</v>
      </c>
      <c r="FC8" s="272">
        <v>3865921</v>
      </c>
      <c r="FD8" s="272">
        <v>1422326</v>
      </c>
      <c r="FE8" s="272">
        <v>14685</v>
      </c>
      <c r="FF8" s="272">
        <v>2898603</v>
      </c>
      <c r="FG8" s="455">
        <f t="shared" si="14"/>
        <v>536794</v>
      </c>
      <c r="FH8" s="272">
        <v>22198840</v>
      </c>
      <c r="FI8" s="384">
        <f t="shared" si="15"/>
        <v>1.3</v>
      </c>
      <c r="FJ8" s="272">
        <v>18731444</v>
      </c>
      <c r="FK8" s="272">
        <v>921694</v>
      </c>
      <c r="FL8" s="272">
        <v>13641835</v>
      </c>
      <c r="FM8" s="272">
        <v>14426019</v>
      </c>
      <c r="FN8" s="460">
        <v>0.95599999999999996</v>
      </c>
      <c r="FO8" s="388">
        <v>101.7</v>
      </c>
      <c r="FP8" s="388">
        <v>36.700000000000003</v>
      </c>
      <c r="FQ8" s="388">
        <v>7.9</v>
      </c>
      <c r="FR8" s="388">
        <v>19</v>
      </c>
      <c r="FS8" s="388">
        <v>17.899999999999999</v>
      </c>
      <c r="FT8" s="388">
        <v>5.7</v>
      </c>
      <c r="FU8" s="388">
        <v>12.7</v>
      </c>
      <c r="FV8" s="384">
        <f t="shared" si="16"/>
        <v>8.1</v>
      </c>
      <c r="FW8" s="272">
        <v>35487337</v>
      </c>
      <c r="FX8" s="384">
        <f t="shared" si="17"/>
        <v>189.5</v>
      </c>
      <c r="FY8" s="272">
        <v>3373419</v>
      </c>
      <c r="FZ8" s="272">
        <v>2203509</v>
      </c>
      <c r="GA8" s="272">
        <v>0</v>
      </c>
      <c r="GB8" s="272">
        <v>1169910</v>
      </c>
      <c r="GC8" s="272"/>
      <c r="GD8" s="272">
        <v>1394845</v>
      </c>
      <c r="GE8" s="384">
        <f t="shared" si="18"/>
        <v>7.4</v>
      </c>
      <c r="GF8" s="388">
        <v>98.1</v>
      </c>
      <c r="GG8" s="388">
        <v>18.600000000000001</v>
      </c>
      <c r="GH8" s="388">
        <v>93.3</v>
      </c>
      <c r="GI8" s="272">
        <v>775</v>
      </c>
      <c r="GJ8" s="461" t="s">
        <v>646</v>
      </c>
      <c r="GK8" s="461">
        <v>12.51</v>
      </c>
      <c r="GL8" s="462">
        <v>20</v>
      </c>
      <c r="GM8" s="461" t="s">
        <v>646</v>
      </c>
      <c r="GN8" s="462">
        <v>17.510000000000002</v>
      </c>
      <c r="GO8" s="462">
        <v>40</v>
      </c>
      <c r="GP8" s="463">
        <v>8.1</v>
      </c>
      <c r="GQ8" s="463">
        <v>25</v>
      </c>
      <c r="GR8" s="463">
        <v>35</v>
      </c>
      <c r="GS8" s="464">
        <v>140.9</v>
      </c>
      <c r="GT8" s="463">
        <v>350</v>
      </c>
      <c r="GU8" s="394"/>
      <c r="GV8" s="394"/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</row>
    <row r="9" spans="2:230" x14ac:dyDescent="0.15">
      <c r="B9" s="89" t="s">
        <v>11</v>
      </c>
      <c r="C9" s="272">
        <v>65862542</v>
      </c>
      <c r="D9" s="455">
        <f t="shared" si="0"/>
        <v>26953772</v>
      </c>
      <c r="E9" s="272">
        <v>473683</v>
      </c>
      <c r="F9" s="272">
        <v>26480089</v>
      </c>
      <c r="G9" s="455">
        <f t="shared" si="1"/>
        <v>6986474</v>
      </c>
      <c r="H9" s="272">
        <v>1113514</v>
      </c>
      <c r="I9" s="272">
        <v>5872960</v>
      </c>
      <c r="J9" s="272">
        <v>23490369</v>
      </c>
      <c r="K9" s="272">
        <v>9766334</v>
      </c>
      <c r="L9" s="272">
        <v>10354014</v>
      </c>
      <c r="M9" s="272">
        <v>2869466</v>
      </c>
      <c r="N9" s="272">
        <v>1854820</v>
      </c>
      <c r="O9" s="272">
        <v>5294923</v>
      </c>
      <c r="P9" s="272">
        <v>2923130</v>
      </c>
      <c r="Q9" s="272">
        <v>2371793</v>
      </c>
      <c r="R9" s="272">
        <v>716828</v>
      </c>
      <c r="S9" s="272">
        <v>0</v>
      </c>
      <c r="T9" s="455">
        <f t="shared" si="2"/>
        <v>5160320</v>
      </c>
      <c r="U9" s="272">
        <v>499436</v>
      </c>
      <c r="V9" s="272">
        <v>441540</v>
      </c>
      <c r="W9" s="272">
        <v>271225</v>
      </c>
      <c r="X9" s="272">
        <v>3330861</v>
      </c>
      <c r="Y9" s="272">
        <v>0</v>
      </c>
      <c r="Z9" s="272">
        <v>0</v>
      </c>
      <c r="AA9" s="272">
        <v>617258</v>
      </c>
      <c r="AB9" s="272">
        <v>517262</v>
      </c>
      <c r="AC9" s="272">
        <v>66778</v>
      </c>
      <c r="AD9" s="272">
        <v>0</v>
      </c>
      <c r="AE9" s="272">
        <v>66778</v>
      </c>
      <c r="AF9" s="272">
        <v>65263</v>
      </c>
      <c r="AG9" s="272">
        <v>1239881</v>
      </c>
      <c r="AH9" s="455">
        <f t="shared" si="3"/>
        <v>2678219</v>
      </c>
      <c r="AI9" s="272">
        <v>2320620</v>
      </c>
      <c r="AJ9" s="272">
        <v>357599</v>
      </c>
      <c r="AK9" s="272">
        <v>12028887</v>
      </c>
      <c r="AL9" s="455">
        <f t="shared" si="4"/>
        <v>6496579</v>
      </c>
      <c r="AM9" s="272">
        <v>5816121</v>
      </c>
      <c r="AN9" s="272">
        <v>680458</v>
      </c>
      <c r="AO9" s="272">
        <v>0</v>
      </c>
      <c r="AP9" s="272">
        <v>0</v>
      </c>
      <c r="AQ9" s="272">
        <v>1835215</v>
      </c>
      <c r="AR9" s="272">
        <v>0</v>
      </c>
      <c r="AS9" s="272">
        <v>0</v>
      </c>
      <c r="AT9" s="272">
        <v>5386978</v>
      </c>
      <c r="AU9" s="272">
        <v>2442107</v>
      </c>
      <c r="AV9" s="272">
        <v>340229</v>
      </c>
      <c r="AW9" s="272">
        <v>17666</v>
      </c>
      <c r="AX9" s="272">
        <v>2944871</v>
      </c>
      <c r="AY9" s="272">
        <v>101347</v>
      </c>
      <c r="AZ9" s="272">
        <v>150880</v>
      </c>
      <c r="BA9" s="272">
        <v>90517</v>
      </c>
      <c r="BB9" s="272">
        <v>12167</v>
      </c>
      <c r="BC9" s="272">
        <v>6470252</v>
      </c>
      <c r="BD9" s="272">
        <v>1100000</v>
      </c>
      <c r="BE9" s="272">
        <v>0</v>
      </c>
      <c r="BF9" s="272">
        <v>3144317</v>
      </c>
      <c r="BG9" s="272">
        <v>0</v>
      </c>
      <c r="BH9" s="272">
        <v>519527</v>
      </c>
      <c r="BI9" s="272">
        <v>383471</v>
      </c>
      <c r="BJ9" s="272">
        <v>1313509</v>
      </c>
      <c r="BK9" s="272">
        <v>449926</v>
      </c>
      <c r="BL9" s="272">
        <v>116544</v>
      </c>
      <c r="BM9" s="272">
        <v>80625</v>
      </c>
      <c r="BN9" s="272">
        <v>4278600</v>
      </c>
      <c r="BO9" s="455">
        <f t="shared" si="5"/>
        <v>2278600</v>
      </c>
      <c r="BP9" s="455">
        <f t="shared" si="6"/>
        <v>2000000</v>
      </c>
      <c r="BQ9" s="272"/>
      <c r="BR9" s="272">
        <v>0</v>
      </c>
      <c r="BS9" s="272">
        <v>2000000</v>
      </c>
      <c r="BT9" s="272">
        <v>0</v>
      </c>
      <c r="BU9" s="272">
        <v>106467893</v>
      </c>
      <c r="BV9" s="272"/>
      <c r="BW9" s="272">
        <v>28324434</v>
      </c>
      <c r="BX9" s="272">
        <v>18784227</v>
      </c>
      <c r="BY9" s="272">
        <v>3997704</v>
      </c>
      <c r="BZ9" s="272">
        <v>1628961</v>
      </c>
      <c r="CA9" s="272">
        <v>21131560</v>
      </c>
      <c r="CB9" s="272">
        <v>3823818</v>
      </c>
      <c r="CC9" s="272">
        <v>947962</v>
      </c>
      <c r="CD9" s="272">
        <v>7561677</v>
      </c>
      <c r="CE9" s="272">
        <v>7886726</v>
      </c>
      <c r="CF9" s="272">
        <v>384628</v>
      </c>
      <c r="CG9" s="272">
        <v>525089</v>
      </c>
      <c r="CH9" s="272">
        <v>7603005</v>
      </c>
      <c r="CI9" s="272">
        <v>6144844</v>
      </c>
      <c r="CJ9" s="455">
        <f t="shared" si="7"/>
        <v>1458161</v>
      </c>
      <c r="CK9" s="272">
        <v>15027221</v>
      </c>
      <c r="CL9" s="272">
        <v>9048343</v>
      </c>
      <c r="CM9" s="272">
        <v>785768</v>
      </c>
      <c r="CN9" s="272">
        <v>2720451</v>
      </c>
      <c r="CO9" s="272">
        <v>2312245</v>
      </c>
      <c r="CP9" s="272">
        <v>4580385</v>
      </c>
      <c r="CQ9" s="272">
        <v>43962</v>
      </c>
      <c r="CR9" s="272">
        <v>2247106</v>
      </c>
      <c r="CS9" s="272">
        <v>1588056</v>
      </c>
      <c r="CT9" s="455">
        <f t="shared" si="8"/>
        <v>918157</v>
      </c>
      <c r="CU9" s="272">
        <v>643417</v>
      </c>
      <c r="CV9" s="272">
        <v>274740</v>
      </c>
      <c r="CW9" s="455">
        <f t="shared" si="9"/>
        <v>889403</v>
      </c>
      <c r="CX9" s="272">
        <v>614663</v>
      </c>
      <c r="CY9" s="272">
        <v>274740</v>
      </c>
      <c r="CZ9" s="455">
        <f t="shared" si="10"/>
        <v>0</v>
      </c>
      <c r="DA9" s="272">
        <v>0</v>
      </c>
      <c r="DB9" s="272">
        <v>0</v>
      </c>
      <c r="DC9" s="272">
        <v>9038228</v>
      </c>
      <c r="DD9" s="272">
        <v>4330451</v>
      </c>
      <c r="DE9" s="272">
        <v>4608081</v>
      </c>
      <c r="DF9" s="26">
        <v>5270</v>
      </c>
      <c r="DG9" s="27">
        <v>5270</v>
      </c>
      <c r="DH9" s="272">
        <v>0</v>
      </c>
      <c r="DI9" s="272">
        <v>4040106</v>
      </c>
      <c r="DJ9" s="272">
        <v>131574</v>
      </c>
      <c r="DK9" s="272">
        <v>0</v>
      </c>
      <c r="DL9" s="272">
        <v>3908532</v>
      </c>
      <c r="DM9" s="272">
        <v>521328</v>
      </c>
      <c r="DN9" s="272">
        <v>496928</v>
      </c>
      <c r="DO9" s="272">
        <v>0</v>
      </c>
      <c r="DP9" s="272">
        <v>496928</v>
      </c>
      <c r="DQ9" s="272">
        <v>1326300</v>
      </c>
      <c r="DR9" s="272">
        <v>0</v>
      </c>
      <c r="DS9" s="272">
        <v>0</v>
      </c>
      <c r="DT9" s="272">
        <v>11317163</v>
      </c>
      <c r="DU9" s="272">
        <v>4014299</v>
      </c>
      <c r="DV9" s="455">
        <f t="shared" si="11"/>
        <v>0</v>
      </c>
      <c r="DW9" s="272">
        <v>0</v>
      </c>
      <c r="DX9" s="272"/>
      <c r="DY9" s="272">
        <v>111557</v>
      </c>
      <c r="DZ9" s="272">
        <v>2954515</v>
      </c>
      <c r="EA9" s="272">
        <v>1911056</v>
      </c>
      <c r="EB9" s="272">
        <v>2237200</v>
      </c>
      <c r="EC9" s="272">
        <v>0</v>
      </c>
      <c r="ED9" s="272">
        <v>105221975</v>
      </c>
      <c r="EE9" s="89"/>
      <c r="EF9" s="272">
        <v>1245918</v>
      </c>
      <c r="EG9" s="272">
        <v>994029</v>
      </c>
      <c r="EH9" s="272">
        <v>251889</v>
      </c>
      <c r="EI9" s="272">
        <v>-131582</v>
      </c>
      <c r="EJ9" s="272">
        <v>-1100008</v>
      </c>
      <c r="EK9" s="89"/>
      <c r="EL9" s="272"/>
      <c r="EM9" s="272">
        <v>347008</v>
      </c>
      <c r="EN9" s="272">
        <v>3975935</v>
      </c>
      <c r="EO9" s="272">
        <v>101490</v>
      </c>
      <c r="EP9" s="455">
        <f t="shared" si="12"/>
        <v>1429622</v>
      </c>
      <c r="EQ9" s="272">
        <v>72388993</v>
      </c>
      <c r="ER9" s="272">
        <v>-7441784</v>
      </c>
      <c r="ES9" s="272">
        <v>26348001</v>
      </c>
      <c r="ET9" s="272">
        <v>17009942</v>
      </c>
      <c r="EU9" s="272">
        <v>8065442</v>
      </c>
      <c r="EV9" s="272">
        <v>7422553</v>
      </c>
      <c r="EW9" s="455">
        <f t="shared" si="13"/>
        <v>2304736</v>
      </c>
      <c r="EX9" s="272">
        <v>2304736</v>
      </c>
      <c r="EY9" s="272">
        <v>100870</v>
      </c>
      <c r="EZ9" s="272">
        <v>2198596</v>
      </c>
      <c r="FA9" s="272">
        <v>0</v>
      </c>
      <c r="FB9" s="272">
        <v>0</v>
      </c>
      <c r="FC9" s="272">
        <v>12789089</v>
      </c>
      <c r="FD9" s="272">
        <v>3870134</v>
      </c>
      <c r="FE9" s="272">
        <v>43962</v>
      </c>
      <c r="FF9" s="272">
        <v>10217029</v>
      </c>
      <c r="FG9" s="455">
        <f t="shared" si="14"/>
        <v>7567875</v>
      </c>
      <c r="FH9" s="272">
        <v>78584859</v>
      </c>
      <c r="FI9" s="384">
        <f t="shared" si="15"/>
        <v>0.4</v>
      </c>
      <c r="FJ9" s="272">
        <v>66139321</v>
      </c>
      <c r="FK9" s="272">
        <v>2829522</v>
      </c>
      <c r="FL9" s="272">
        <v>49915626</v>
      </c>
      <c r="FM9" s="272">
        <v>44722092</v>
      </c>
      <c r="FN9" s="460">
        <v>1.127</v>
      </c>
      <c r="FO9" s="388">
        <v>96.8</v>
      </c>
      <c r="FP9" s="388">
        <v>36.4</v>
      </c>
      <c r="FQ9" s="388">
        <v>11.6</v>
      </c>
      <c r="FR9" s="388">
        <v>10.7</v>
      </c>
      <c r="FS9" s="388">
        <v>16.5</v>
      </c>
      <c r="FT9" s="388">
        <v>4.8</v>
      </c>
      <c r="FU9" s="388">
        <v>13.6</v>
      </c>
      <c r="FV9" s="384">
        <f t="shared" si="16"/>
        <v>1.4</v>
      </c>
      <c r="FW9" s="272">
        <v>65969606</v>
      </c>
      <c r="FX9" s="384">
        <f t="shared" si="17"/>
        <v>99.7</v>
      </c>
      <c r="FY9" s="272">
        <v>39048255</v>
      </c>
      <c r="FZ9" s="272">
        <v>10920309</v>
      </c>
      <c r="GA9" s="272">
        <v>120008</v>
      </c>
      <c r="GB9" s="272">
        <v>28007938</v>
      </c>
      <c r="GC9" s="272"/>
      <c r="GD9" s="272">
        <v>9608239</v>
      </c>
      <c r="GE9" s="384">
        <f t="shared" si="18"/>
        <v>14.5</v>
      </c>
      <c r="GF9" s="388">
        <v>98.7</v>
      </c>
      <c r="GG9" s="388">
        <v>26.6</v>
      </c>
      <c r="GH9" s="388">
        <v>96.5</v>
      </c>
      <c r="GI9" s="272">
        <v>2568</v>
      </c>
      <c r="GJ9" s="461" t="s">
        <v>646</v>
      </c>
      <c r="GK9" s="461">
        <v>11.25</v>
      </c>
      <c r="GL9" s="462">
        <v>20</v>
      </c>
      <c r="GM9" s="461" t="s">
        <v>646</v>
      </c>
      <c r="GN9" s="462">
        <v>16.25</v>
      </c>
      <c r="GO9" s="462">
        <v>40</v>
      </c>
      <c r="GP9" s="463">
        <v>1.4</v>
      </c>
      <c r="GQ9" s="463">
        <v>25</v>
      </c>
      <c r="GR9" s="463">
        <v>35</v>
      </c>
      <c r="GS9" s="464" t="s">
        <v>646</v>
      </c>
      <c r="GT9" s="463">
        <v>350</v>
      </c>
      <c r="GU9" s="394"/>
      <c r="GV9" s="394"/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</row>
    <row r="10" spans="2:230" x14ac:dyDescent="0.15">
      <c r="B10" s="89" t="s">
        <v>13</v>
      </c>
      <c r="C10" s="272">
        <v>11644728</v>
      </c>
      <c r="D10" s="455">
        <f t="shared" si="0"/>
        <v>3704826</v>
      </c>
      <c r="E10" s="272">
        <v>95037</v>
      </c>
      <c r="F10" s="272">
        <v>3609789</v>
      </c>
      <c r="G10" s="455">
        <f t="shared" si="1"/>
        <v>938971</v>
      </c>
      <c r="H10" s="272">
        <v>225516</v>
      </c>
      <c r="I10" s="272">
        <v>713455</v>
      </c>
      <c r="J10" s="272">
        <v>5334959</v>
      </c>
      <c r="K10" s="272">
        <v>2053933</v>
      </c>
      <c r="L10" s="272">
        <v>2068763</v>
      </c>
      <c r="M10" s="272">
        <v>746140</v>
      </c>
      <c r="N10" s="272">
        <v>582083</v>
      </c>
      <c r="O10" s="272">
        <v>1013936</v>
      </c>
      <c r="P10" s="272">
        <v>553740</v>
      </c>
      <c r="Q10" s="272">
        <v>460196</v>
      </c>
      <c r="R10" s="272">
        <v>238346</v>
      </c>
      <c r="S10" s="272">
        <v>0</v>
      </c>
      <c r="T10" s="455">
        <f t="shared" si="2"/>
        <v>1056992</v>
      </c>
      <c r="U10" s="272">
        <v>67752</v>
      </c>
      <c r="V10" s="272">
        <v>59924</v>
      </c>
      <c r="W10" s="272">
        <v>36707</v>
      </c>
      <c r="X10" s="272">
        <v>746785</v>
      </c>
      <c r="Y10" s="272">
        <v>0</v>
      </c>
      <c r="Z10" s="272">
        <v>0</v>
      </c>
      <c r="AA10" s="272">
        <v>145824</v>
      </c>
      <c r="AB10" s="272">
        <v>73375</v>
      </c>
      <c r="AC10" s="272">
        <v>3272975</v>
      </c>
      <c r="AD10" s="272">
        <v>2965776</v>
      </c>
      <c r="AE10" s="272">
        <v>307199</v>
      </c>
      <c r="AF10" s="272">
        <v>16814</v>
      </c>
      <c r="AG10" s="272">
        <v>189881</v>
      </c>
      <c r="AH10" s="455">
        <f t="shared" si="3"/>
        <v>440961</v>
      </c>
      <c r="AI10" s="272">
        <v>388275</v>
      </c>
      <c r="AJ10" s="272">
        <v>52686</v>
      </c>
      <c r="AK10" s="272">
        <v>2962724</v>
      </c>
      <c r="AL10" s="455">
        <f t="shared" si="4"/>
        <v>1622570</v>
      </c>
      <c r="AM10" s="272">
        <v>1461173</v>
      </c>
      <c r="AN10" s="272">
        <v>161397</v>
      </c>
      <c r="AO10" s="272">
        <v>0</v>
      </c>
      <c r="AP10" s="272">
        <v>0</v>
      </c>
      <c r="AQ10" s="272">
        <v>234863</v>
      </c>
      <c r="AR10" s="272">
        <v>0</v>
      </c>
      <c r="AS10" s="272">
        <v>0</v>
      </c>
      <c r="AT10" s="272">
        <v>1678454</v>
      </c>
      <c r="AU10" s="272">
        <v>577556</v>
      </c>
      <c r="AV10" s="272">
        <v>80699</v>
      </c>
      <c r="AW10" s="272">
        <v>0</v>
      </c>
      <c r="AX10" s="272">
        <v>1100898</v>
      </c>
      <c r="AY10" s="272">
        <v>323069</v>
      </c>
      <c r="AZ10" s="272">
        <v>49050</v>
      </c>
      <c r="BA10" s="272">
        <v>15682</v>
      </c>
      <c r="BB10" s="272">
        <v>41588</v>
      </c>
      <c r="BC10" s="272">
        <v>549274</v>
      </c>
      <c r="BD10" s="272">
        <v>110000</v>
      </c>
      <c r="BE10" s="272">
        <v>0</v>
      </c>
      <c r="BF10" s="272">
        <v>240424</v>
      </c>
      <c r="BG10" s="272">
        <v>120000</v>
      </c>
      <c r="BH10" s="272">
        <v>254726</v>
      </c>
      <c r="BI10" s="272">
        <v>205169</v>
      </c>
      <c r="BJ10" s="272">
        <v>668481</v>
      </c>
      <c r="BK10" s="272">
        <v>16831</v>
      </c>
      <c r="BL10" s="272">
        <v>0</v>
      </c>
      <c r="BM10" s="272">
        <v>63606</v>
      </c>
      <c r="BN10" s="272">
        <v>2992800</v>
      </c>
      <c r="BO10" s="455">
        <f t="shared" si="5"/>
        <v>1652600</v>
      </c>
      <c r="BP10" s="455">
        <f t="shared" si="6"/>
        <v>710200</v>
      </c>
      <c r="BQ10" s="272"/>
      <c r="BR10" s="272">
        <v>0</v>
      </c>
      <c r="BS10" s="272">
        <v>710200</v>
      </c>
      <c r="BT10" s="272">
        <v>630000</v>
      </c>
      <c r="BU10" s="272">
        <v>26131169</v>
      </c>
      <c r="BV10" s="272"/>
      <c r="BW10" s="272">
        <v>5488321</v>
      </c>
      <c r="BX10" s="272">
        <v>3290044</v>
      </c>
      <c r="BY10" s="272">
        <v>945179</v>
      </c>
      <c r="BZ10" s="272">
        <v>394715</v>
      </c>
      <c r="CA10" s="272">
        <v>5080745</v>
      </c>
      <c r="CB10" s="272">
        <v>706838</v>
      </c>
      <c r="CC10" s="272">
        <v>228917</v>
      </c>
      <c r="CD10" s="272">
        <v>2103657</v>
      </c>
      <c r="CE10" s="272">
        <v>1957808</v>
      </c>
      <c r="CF10" s="272">
        <v>0</v>
      </c>
      <c r="CG10" s="272">
        <v>83425</v>
      </c>
      <c r="CH10" s="272">
        <v>3194819</v>
      </c>
      <c r="CI10" s="272">
        <v>2449612</v>
      </c>
      <c r="CJ10" s="455">
        <f t="shared" si="7"/>
        <v>745207</v>
      </c>
      <c r="CK10" s="272">
        <v>2518152</v>
      </c>
      <c r="CL10" s="272">
        <v>1313849</v>
      </c>
      <c r="CM10" s="272">
        <v>205018</v>
      </c>
      <c r="CN10" s="272">
        <v>373532</v>
      </c>
      <c r="CO10" s="272">
        <v>117497</v>
      </c>
      <c r="CP10" s="272">
        <v>2710596</v>
      </c>
      <c r="CQ10" s="272">
        <v>1262929</v>
      </c>
      <c r="CR10" s="272">
        <v>401632</v>
      </c>
      <c r="CS10" s="272">
        <v>401632</v>
      </c>
      <c r="CT10" s="455">
        <f t="shared" si="8"/>
        <v>712029</v>
      </c>
      <c r="CU10" s="272">
        <v>712029</v>
      </c>
      <c r="CV10" s="272">
        <v>0</v>
      </c>
      <c r="CW10" s="455">
        <f t="shared" si="9"/>
        <v>699147</v>
      </c>
      <c r="CX10" s="272">
        <v>699147</v>
      </c>
      <c r="CY10" s="272">
        <v>0</v>
      </c>
      <c r="CZ10" s="455">
        <f t="shared" si="10"/>
        <v>0</v>
      </c>
      <c r="DA10" s="272">
        <v>0</v>
      </c>
      <c r="DB10" s="272">
        <v>0</v>
      </c>
      <c r="DC10" s="272">
        <v>2760938</v>
      </c>
      <c r="DD10" s="272">
        <v>537292</v>
      </c>
      <c r="DE10" s="272">
        <v>1391107</v>
      </c>
      <c r="DF10" s="26">
        <v>521662</v>
      </c>
      <c r="DG10" s="27">
        <v>521662</v>
      </c>
      <c r="DH10" s="272">
        <v>0</v>
      </c>
      <c r="DI10" s="272">
        <v>342075</v>
      </c>
      <c r="DJ10" s="272">
        <v>110000</v>
      </c>
      <c r="DK10" s="272">
        <v>0</v>
      </c>
      <c r="DL10" s="272">
        <v>232075</v>
      </c>
      <c r="DM10" s="272">
        <v>0</v>
      </c>
      <c r="DN10" s="272">
        <v>0</v>
      </c>
      <c r="DO10" s="272">
        <v>0</v>
      </c>
      <c r="DP10" s="272">
        <v>0</v>
      </c>
      <c r="DQ10" s="272">
        <v>25000</v>
      </c>
      <c r="DR10" s="272">
        <v>20000</v>
      </c>
      <c r="DS10" s="272">
        <v>20000</v>
      </c>
      <c r="DT10" s="272">
        <v>3790559</v>
      </c>
      <c r="DU10" s="272">
        <v>1751237</v>
      </c>
      <c r="DV10" s="455">
        <f t="shared" si="11"/>
        <v>212426</v>
      </c>
      <c r="DW10" s="272">
        <v>212426</v>
      </c>
      <c r="DX10" s="272"/>
      <c r="DY10" s="272">
        <v>26257</v>
      </c>
      <c r="DZ10" s="272">
        <v>745766</v>
      </c>
      <c r="EA10" s="272">
        <v>513290</v>
      </c>
      <c r="EB10" s="272">
        <v>530571</v>
      </c>
      <c r="EC10" s="272">
        <v>0</v>
      </c>
      <c r="ED10" s="272">
        <v>26028702</v>
      </c>
      <c r="EE10" s="89"/>
      <c r="EF10" s="272">
        <v>102467</v>
      </c>
      <c r="EG10" s="272">
        <v>6003</v>
      </c>
      <c r="EH10" s="272">
        <v>96464</v>
      </c>
      <c r="EI10" s="272">
        <v>-108705</v>
      </c>
      <c r="EJ10" s="272">
        <v>-108705</v>
      </c>
      <c r="EK10" s="89"/>
      <c r="EL10" s="272"/>
      <c r="EM10" s="272">
        <v>76962</v>
      </c>
      <c r="EN10" s="272">
        <v>308850</v>
      </c>
      <c r="EO10" s="272">
        <v>46822</v>
      </c>
      <c r="EP10" s="455">
        <f t="shared" si="12"/>
        <v>1017884</v>
      </c>
      <c r="EQ10" s="272">
        <v>16303230</v>
      </c>
      <c r="ER10" s="272">
        <v>-2066942</v>
      </c>
      <c r="ES10" s="272">
        <v>4300153</v>
      </c>
      <c r="ET10" s="272">
        <v>2795253</v>
      </c>
      <c r="EU10" s="272">
        <v>1731776</v>
      </c>
      <c r="EV10" s="272">
        <v>3183001</v>
      </c>
      <c r="EW10" s="455">
        <f t="shared" si="13"/>
        <v>459208</v>
      </c>
      <c r="EX10" s="272">
        <v>459208</v>
      </c>
      <c r="EY10" s="272">
        <v>10473</v>
      </c>
      <c r="EZ10" s="272">
        <v>447773</v>
      </c>
      <c r="FA10" s="272">
        <v>0</v>
      </c>
      <c r="FB10" s="272">
        <v>0</v>
      </c>
      <c r="FC10" s="272">
        <v>2255504</v>
      </c>
      <c r="FD10" s="272">
        <v>2632667</v>
      </c>
      <c r="FE10" s="272">
        <v>1262929</v>
      </c>
      <c r="FF10" s="272">
        <v>3231032</v>
      </c>
      <c r="FG10" s="455">
        <f t="shared" si="14"/>
        <v>474364</v>
      </c>
      <c r="FH10" s="272">
        <v>18267705</v>
      </c>
      <c r="FI10" s="384">
        <f t="shared" si="15"/>
        <v>0.6</v>
      </c>
      <c r="FJ10" s="272">
        <v>15027442</v>
      </c>
      <c r="FK10" s="272">
        <v>710215</v>
      </c>
      <c r="FL10" s="272">
        <v>9248911</v>
      </c>
      <c r="FM10" s="272">
        <v>12238888</v>
      </c>
      <c r="FN10" s="460">
        <v>0.74199999999999999</v>
      </c>
      <c r="FO10" s="388">
        <v>99.5</v>
      </c>
      <c r="FP10" s="388">
        <v>25.4</v>
      </c>
      <c r="FQ10" s="388">
        <v>11</v>
      </c>
      <c r="FR10" s="388">
        <v>20.100000000000001</v>
      </c>
      <c r="FS10" s="388">
        <v>10.1</v>
      </c>
      <c r="FT10" s="388">
        <v>14.1</v>
      </c>
      <c r="FU10" s="388">
        <v>18.100000000000001</v>
      </c>
      <c r="FV10" s="384">
        <f t="shared" si="16"/>
        <v>16.600000000000001</v>
      </c>
      <c r="FW10" s="272">
        <v>32399896</v>
      </c>
      <c r="FX10" s="384">
        <f t="shared" si="17"/>
        <v>215.6</v>
      </c>
      <c r="FY10" s="272">
        <v>1006909</v>
      </c>
      <c r="FZ10" s="272">
        <v>0</v>
      </c>
      <c r="GA10" s="272">
        <v>0</v>
      </c>
      <c r="GB10" s="272">
        <v>1006909</v>
      </c>
      <c r="GC10" s="272"/>
      <c r="GD10" s="272">
        <v>5065833</v>
      </c>
      <c r="GE10" s="384">
        <f t="shared" si="18"/>
        <v>33.700000000000003</v>
      </c>
      <c r="GF10" s="388">
        <v>98.7</v>
      </c>
      <c r="GG10" s="388">
        <v>22.3</v>
      </c>
      <c r="GH10" s="388">
        <v>95.2</v>
      </c>
      <c r="GI10" s="272">
        <v>474</v>
      </c>
      <c r="GJ10" s="461" t="s">
        <v>646</v>
      </c>
      <c r="GK10" s="461">
        <v>12.73</v>
      </c>
      <c r="GL10" s="462">
        <v>20</v>
      </c>
      <c r="GM10" s="461">
        <v>18.579999999999998</v>
      </c>
      <c r="GN10" s="462">
        <v>17.73</v>
      </c>
      <c r="GO10" s="462">
        <v>40</v>
      </c>
      <c r="GP10" s="463">
        <v>16.600000000000001</v>
      </c>
      <c r="GQ10" s="463">
        <v>25</v>
      </c>
      <c r="GR10" s="463">
        <v>35</v>
      </c>
      <c r="GS10" s="464">
        <v>265.2</v>
      </c>
      <c r="GT10" s="463">
        <v>350</v>
      </c>
      <c r="GU10" s="394"/>
      <c r="GV10" s="394"/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</row>
    <row r="11" spans="2:230" x14ac:dyDescent="0.15">
      <c r="B11" s="89" t="s">
        <v>15</v>
      </c>
      <c r="C11" s="272">
        <v>50980222</v>
      </c>
      <c r="D11" s="455">
        <f t="shared" si="0"/>
        <v>21462048</v>
      </c>
      <c r="E11" s="272">
        <v>484856</v>
      </c>
      <c r="F11" s="272">
        <v>20977192</v>
      </c>
      <c r="G11" s="455">
        <f t="shared" si="1"/>
        <v>3783884</v>
      </c>
      <c r="H11" s="272">
        <v>790719</v>
      </c>
      <c r="I11" s="272">
        <v>2993165</v>
      </c>
      <c r="J11" s="272">
        <v>18920730</v>
      </c>
      <c r="K11" s="272">
        <v>8355619</v>
      </c>
      <c r="L11" s="272">
        <v>7755134</v>
      </c>
      <c r="M11" s="272">
        <v>2532333</v>
      </c>
      <c r="N11" s="272">
        <v>1688443</v>
      </c>
      <c r="O11" s="272">
        <v>3872778</v>
      </c>
      <c r="P11" s="272">
        <v>2214273</v>
      </c>
      <c r="Q11" s="272">
        <v>1658505</v>
      </c>
      <c r="R11" s="272">
        <v>775053</v>
      </c>
      <c r="S11" s="272">
        <v>0</v>
      </c>
      <c r="T11" s="455">
        <f t="shared" si="2"/>
        <v>4620244</v>
      </c>
      <c r="U11" s="272">
        <v>386004</v>
      </c>
      <c r="V11" s="272">
        <v>341399</v>
      </c>
      <c r="W11" s="272">
        <v>209156</v>
      </c>
      <c r="X11" s="272">
        <v>2943821</v>
      </c>
      <c r="Y11" s="272">
        <v>72464</v>
      </c>
      <c r="Z11" s="272">
        <v>0</v>
      </c>
      <c r="AA11" s="272">
        <v>667400</v>
      </c>
      <c r="AB11" s="272">
        <v>299018</v>
      </c>
      <c r="AC11" s="272">
        <v>7355996</v>
      </c>
      <c r="AD11" s="272">
        <v>6943699</v>
      </c>
      <c r="AE11" s="272">
        <v>412297</v>
      </c>
      <c r="AF11" s="272">
        <v>69083</v>
      </c>
      <c r="AG11" s="272">
        <v>942238</v>
      </c>
      <c r="AH11" s="455">
        <f t="shared" si="3"/>
        <v>2696226</v>
      </c>
      <c r="AI11" s="272">
        <v>1767820</v>
      </c>
      <c r="AJ11" s="272">
        <v>928406</v>
      </c>
      <c r="AK11" s="272">
        <v>11683108</v>
      </c>
      <c r="AL11" s="455">
        <f t="shared" si="4"/>
        <v>5972448</v>
      </c>
      <c r="AM11" s="272">
        <v>5206652</v>
      </c>
      <c r="AN11" s="272">
        <v>765796</v>
      </c>
      <c r="AO11" s="272">
        <v>0</v>
      </c>
      <c r="AP11" s="272">
        <v>0</v>
      </c>
      <c r="AQ11" s="272">
        <v>1741536</v>
      </c>
      <c r="AR11" s="272">
        <v>0</v>
      </c>
      <c r="AS11" s="272">
        <v>0</v>
      </c>
      <c r="AT11" s="272">
        <v>4722639</v>
      </c>
      <c r="AU11" s="272">
        <v>1695684</v>
      </c>
      <c r="AV11" s="272">
        <v>0</v>
      </c>
      <c r="AW11" s="272">
        <v>60738</v>
      </c>
      <c r="AX11" s="272">
        <v>3026955</v>
      </c>
      <c r="AY11" s="272">
        <v>167117</v>
      </c>
      <c r="AZ11" s="272">
        <v>170081</v>
      </c>
      <c r="BA11" s="272">
        <v>81283</v>
      </c>
      <c r="BB11" s="272">
        <v>18870</v>
      </c>
      <c r="BC11" s="272">
        <v>2720732</v>
      </c>
      <c r="BD11" s="272">
        <v>700000</v>
      </c>
      <c r="BE11" s="272">
        <v>12000</v>
      </c>
      <c r="BF11" s="272">
        <v>1903086</v>
      </c>
      <c r="BG11" s="272">
        <v>0</v>
      </c>
      <c r="BH11" s="272">
        <v>1267465</v>
      </c>
      <c r="BI11" s="272">
        <v>638240</v>
      </c>
      <c r="BJ11" s="272">
        <v>2115522</v>
      </c>
      <c r="BK11" s="272">
        <v>1536556</v>
      </c>
      <c r="BL11" s="272">
        <v>0</v>
      </c>
      <c r="BM11" s="272">
        <v>80483</v>
      </c>
      <c r="BN11" s="272">
        <v>3745400</v>
      </c>
      <c r="BO11" s="455">
        <f t="shared" si="5"/>
        <v>1125400</v>
      </c>
      <c r="BP11" s="455">
        <f t="shared" si="6"/>
        <v>2620000</v>
      </c>
      <c r="BQ11" s="272"/>
      <c r="BR11" s="272">
        <v>0</v>
      </c>
      <c r="BS11" s="272">
        <v>2620000</v>
      </c>
      <c r="BT11" s="272">
        <v>0</v>
      </c>
      <c r="BU11" s="272">
        <v>94181897</v>
      </c>
      <c r="BV11" s="272"/>
      <c r="BW11" s="272">
        <v>24654511</v>
      </c>
      <c r="BX11" s="272">
        <v>15660748</v>
      </c>
      <c r="BY11" s="272">
        <v>3977080</v>
      </c>
      <c r="BZ11" s="272">
        <v>1663069</v>
      </c>
      <c r="CA11" s="272">
        <v>18882832</v>
      </c>
      <c r="CB11" s="272">
        <v>3443856</v>
      </c>
      <c r="CC11" s="272">
        <v>645159</v>
      </c>
      <c r="CD11" s="272">
        <v>7318459</v>
      </c>
      <c r="CE11" s="272">
        <v>6947884</v>
      </c>
      <c r="CF11" s="272">
        <v>178854</v>
      </c>
      <c r="CG11" s="272">
        <v>346600</v>
      </c>
      <c r="CH11" s="272">
        <v>8300729</v>
      </c>
      <c r="CI11" s="272">
        <v>7075525</v>
      </c>
      <c r="CJ11" s="455">
        <f t="shared" si="7"/>
        <v>1225204</v>
      </c>
      <c r="CK11" s="272">
        <v>12083789</v>
      </c>
      <c r="CL11" s="272">
        <v>6623761</v>
      </c>
      <c r="CM11" s="272">
        <v>711699</v>
      </c>
      <c r="CN11" s="272">
        <v>3082416</v>
      </c>
      <c r="CO11" s="272">
        <v>1411681</v>
      </c>
      <c r="CP11" s="272">
        <v>4445071</v>
      </c>
      <c r="CQ11" s="272">
        <v>64737</v>
      </c>
      <c r="CR11" s="272">
        <v>1816801</v>
      </c>
      <c r="CS11" s="272">
        <v>1571264</v>
      </c>
      <c r="CT11" s="455">
        <f t="shared" si="8"/>
        <v>1061059</v>
      </c>
      <c r="CU11" s="272">
        <v>56650</v>
      </c>
      <c r="CV11" s="272">
        <v>1004409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7844608</v>
      </c>
      <c r="DD11" s="272">
        <v>3568792</v>
      </c>
      <c r="DE11" s="272">
        <v>4149797</v>
      </c>
      <c r="DF11" s="26">
        <v>126019</v>
      </c>
      <c r="DG11" s="27">
        <v>126019</v>
      </c>
      <c r="DH11" s="272">
        <v>0</v>
      </c>
      <c r="DI11" s="272">
        <v>1565718</v>
      </c>
      <c r="DJ11" s="272">
        <v>247750</v>
      </c>
      <c r="DK11" s="272">
        <v>209867</v>
      </c>
      <c r="DL11" s="272">
        <v>1108101</v>
      </c>
      <c r="DM11" s="272">
        <v>0</v>
      </c>
      <c r="DN11" s="272">
        <v>0</v>
      </c>
      <c r="DO11" s="272">
        <v>0</v>
      </c>
      <c r="DP11" s="272">
        <v>0</v>
      </c>
      <c r="DQ11" s="272">
        <v>1513580</v>
      </c>
      <c r="DR11" s="272">
        <v>0</v>
      </c>
      <c r="DS11" s="272">
        <v>0</v>
      </c>
      <c r="DT11" s="272">
        <v>12429260</v>
      </c>
      <c r="DU11" s="272">
        <v>4750000</v>
      </c>
      <c r="DV11" s="455">
        <f t="shared" si="11"/>
        <v>0</v>
      </c>
      <c r="DW11" s="272">
        <v>0</v>
      </c>
      <c r="DX11" s="272"/>
      <c r="DY11" s="272">
        <v>0</v>
      </c>
      <c r="DZ11" s="272">
        <v>3049130</v>
      </c>
      <c r="EA11" s="272">
        <v>2223592</v>
      </c>
      <c r="EB11" s="272">
        <v>2404724</v>
      </c>
      <c r="EC11" s="272">
        <v>0</v>
      </c>
      <c r="ED11" s="272">
        <v>93131779</v>
      </c>
      <c r="EE11" s="89"/>
      <c r="EF11" s="272">
        <v>1050118</v>
      </c>
      <c r="EG11" s="272">
        <v>524891</v>
      </c>
      <c r="EH11" s="272">
        <v>525227</v>
      </c>
      <c r="EI11" s="272">
        <v>-113013</v>
      </c>
      <c r="EJ11" s="272">
        <v>-565263</v>
      </c>
      <c r="EK11" s="89"/>
      <c r="EL11" s="272"/>
      <c r="EM11" s="272">
        <v>355932</v>
      </c>
      <c r="EN11" s="272">
        <v>2055095</v>
      </c>
      <c r="EO11" s="272">
        <v>92180</v>
      </c>
      <c r="EP11" s="455">
        <f t="shared" si="12"/>
        <v>1700448</v>
      </c>
      <c r="EQ11" s="272">
        <v>64099616</v>
      </c>
      <c r="ER11" s="272">
        <v>-6398640</v>
      </c>
      <c r="ES11" s="272">
        <v>22996677</v>
      </c>
      <c r="ET11" s="272">
        <v>14113442</v>
      </c>
      <c r="EU11" s="272">
        <v>6810157</v>
      </c>
      <c r="EV11" s="272">
        <v>8212284</v>
      </c>
      <c r="EW11" s="455">
        <f t="shared" si="13"/>
        <v>3663260</v>
      </c>
      <c r="EX11" s="272">
        <v>3663260</v>
      </c>
      <c r="EY11" s="272">
        <v>624048</v>
      </c>
      <c r="EZ11" s="272">
        <v>2913193</v>
      </c>
      <c r="FA11" s="272">
        <v>0</v>
      </c>
      <c r="FB11" s="272">
        <v>0</v>
      </c>
      <c r="FC11" s="272">
        <v>9484497</v>
      </c>
      <c r="FD11" s="272">
        <v>4117843</v>
      </c>
      <c r="FE11" s="272">
        <v>64737</v>
      </c>
      <c r="FF11" s="272">
        <v>11372554</v>
      </c>
      <c r="FG11" s="455">
        <f t="shared" si="14"/>
        <v>2888372</v>
      </c>
      <c r="FH11" s="272">
        <v>69545644</v>
      </c>
      <c r="FI11" s="384">
        <f t="shared" si="15"/>
        <v>0.8</v>
      </c>
      <c r="FJ11" s="272">
        <v>62280685</v>
      </c>
      <c r="FK11" s="272">
        <v>2621135</v>
      </c>
      <c r="FL11" s="272">
        <v>42356620</v>
      </c>
      <c r="FM11" s="272">
        <v>49384779</v>
      </c>
      <c r="FN11" s="460">
        <v>0.80800000000000005</v>
      </c>
      <c r="FO11" s="388">
        <v>94.7</v>
      </c>
      <c r="FP11" s="388">
        <v>35.1</v>
      </c>
      <c r="FQ11" s="388">
        <v>10.8</v>
      </c>
      <c r="FR11" s="388">
        <v>13.1</v>
      </c>
      <c r="FS11" s="388">
        <v>14.5</v>
      </c>
      <c r="FT11" s="388">
        <v>4.0999999999999996</v>
      </c>
      <c r="FU11" s="388">
        <v>14.7</v>
      </c>
      <c r="FV11" s="384">
        <f t="shared" si="16"/>
        <v>2.2999999999999998</v>
      </c>
      <c r="FW11" s="272">
        <v>53527345</v>
      </c>
      <c r="FX11" s="384">
        <f t="shared" si="17"/>
        <v>85.9</v>
      </c>
      <c r="FY11" s="272">
        <v>35585859</v>
      </c>
      <c r="FZ11" s="272">
        <v>10578386</v>
      </c>
      <c r="GA11" s="272">
        <v>2674907</v>
      </c>
      <c r="GB11" s="272">
        <v>22332566</v>
      </c>
      <c r="GC11" s="272"/>
      <c r="GD11" s="272">
        <v>1993009</v>
      </c>
      <c r="GE11" s="384">
        <f t="shared" si="18"/>
        <v>3.2</v>
      </c>
      <c r="GF11" s="388">
        <v>98.5</v>
      </c>
      <c r="GG11" s="388">
        <v>20.399999999999999</v>
      </c>
      <c r="GH11" s="388">
        <v>95.3</v>
      </c>
      <c r="GI11" s="272">
        <v>2081</v>
      </c>
      <c r="GJ11" s="461" t="s">
        <v>646</v>
      </c>
      <c r="GK11" s="461">
        <v>11.25</v>
      </c>
      <c r="GL11" s="462">
        <v>20</v>
      </c>
      <c r="GM11" s="461" t="s">
        <v>646</v>
      </c>
      <c r="GN11" s="462">
        <v>16.25</v>
      </c>
      <c r="GO11" s="462">
        <v>40</v>
      </c>
      <c r="GP11" s="463">
        <v>2.2999999999999998</v>
      </c>
      <c r="GQ11" s="463">
        <v>25</v>
      </c>
      <c r="GR11" s="463">
        <v>35</v>
      </c>
      <c r="GS11" s="464" t="s">
        <v>646</v>
      </c>
      <c r="GT11" s="463">
        <v>350</v>
      </c>
      <c r="GU11" s="394"/>
      <c r="GV11" s="394"/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</row>
    <row r="12" spans="2:230" x14ac:dyDescent="0.15">
      <c r="B12" s="89" t="s">
        <v>17</v>
      </c>
      <c r="C12" s="272">
        <v>11757057</v>
      </c>
      <c r="D12" s="455">
        <f t="shared" si="0"/>
        <v>4037516</v>
      </c>
      <c r="E12" s="272">
        <v>108634</v>
      </c>
      <c r="F12" s="272">
        <v>3928882</v>
      </c>
      <c r="G12" s="455">
        <f t="shared" si="1"/>
        <v>915788</v>
      </c>
      <c r="H12" s="272">
        <v>185570</v>
      </c>
      <c r="I12" s="272">
        <v>730218</v>
      </c>
      <c r="J12" s="272">
        <v>4852624</v>
      </c>
      <c r="K12" s="272">
        <v>1777459</v>
      </c>
      <c r="L12" s="272">
        <v>2094541</v>
      </c>
      <c r="M12" s="272">
        <v>761331</v>
      </c>
      <c r="N12" s="272">
        <v>922349</v>
      </c>
      <c r="O12" s="272">
        <v>893405</v>
      </c>
      <c r="P12" s="272">
        <v>449530</v>
      </c>
      <c r="Q12" s="272">
        <v>443875</v>
      </c>
      <c r="R12" s="272">
        <v>211049</v>
      </c>
      <c r="S12" s="272">
        <v>0</v>
      </c>
      <c r="T12" s="455">
        <f t="shared" si="2"/>
        <v>1161790</v>
      </c>
      <c r="U12" s="272">
        <v>72569</v>
      </c>
      <c r="V12" s="272">
        <v>64140</v>
      </c>
      <c r="W12" s="272">
        <v>39465</v>
      </c>
      <c r="X12" s="272">
        <v>804958</v>
      </c>
      <c r="Y12" s="272">
        <v>0</v>
      </c>
      <c r="Z12" s="272">
        <v>0</v>
      </c>
      <c r="AA12" s="272">
        <v>180658</v>
      </c>
      <c r="AB12" s="272">
        <v>67455</v>
      </c>
      <c r="AC12" s="272">
        <v>3467548</v>
      </c>
      <c r="AD12" s="272">
        <v>3119406</v>
      </c>
      <c r="AE12" s="272">
        <v>348142</v>
      </c>
      <c r="AF12" s="272">
        <v>22332</v>
      </c>
      <c r="AG12" s="272">
        <v>298097</v>
      </c>
      <c r="AH12" s="455">
        <f t="shared" si="3"/>
        <v>566799</v>
      </c>
      <c r="AI12" s="272">
        <v>475644</v>
      </c>
      <c r="AJ12" s="272">
        <v>91155</v>
      </c>
      <c r="AK12" s="272">
        <v>2860602</v>
      </c>
      <c r="AL12" s="455">
        <f t="shared" si="4"/>
        <v>1665522</v>
      </c>
      <c r="AM12" s="272">
        <v>1292531</v>
      </c>
      <c r="AN12" s="272">
        <v>372991</v>
      </c>
      <c r="AO12" s="272">
        <v>0</v>
      </c>
      <c r="AP12" s="272">
        <v>0</v>
      </c>
      <c r="AQ12" s="272">
        <v>132489</v>
      </c>
      <c r="AR12" s="272">
        <v>0</v>
      </c>
      <c r="AS12" s="272">
        <v>0</v>
      </c>
      <c r="AT12" s="272">
        <v>1749618</v>
      </c>
      <c r="AU12" s="272">
        <v>889421</v>
      </c>
      <c r="AV12" s="272">
        <v>186496</v>
      </c>
      <c r="AW12" s="272">
        <v>48617</v>
      </c>
      <c r="AX12" s="272">
        <v>860197</v>
      </c>
      <c r="AY12" s="272">
        <v>25896</v>
      </c>
      <c r="AZ12" s="272">
        <v>11271</v>
      </c>
      <c r="BA12" s="272">
        <v>7628</v>
      </c>
      <c r="BB12" s="272">
        <v>676</v>
      </c>
      <c r="BC12" s="272">
        <v>757163</v>
      </c>
      <c r="BD12" s="272">
        <v>150000</v>
      </c>
      <c r="BE12" s="272">
        <v>0</v>
      </c>
      <c r="BF12" s="272">
        <v>601319</v>
      </c>
      <c r="BG12" s="272">
        <v>0</v>
      </c>
      <c r="BH12" s="272">
        <v>432628</v>
      </c>
      <c r="BI12" s="272">
        <v>369292</v>
      </c>
      <c r="BJ12" s="272">
        <v>376973</v>
      </c>
      <c r="BK12" s="272">
        <v>36798</v>
      </c>
      <c r="BL12" s="272">
        <v>0</v>
      </c>
      <c r="BM12" s="272">
        <v>64523</v>
      </c>
      <c r="BN12" s="272">
        <v>1940300</v>
      </c>
      <c r="BO12" s="455">
        <f t="shared" si="5"/>
        <v>1132900</v>
      </c>
      <c r="BP12" s="455">
        <f t="shared" si="6"/>
        <v>807400</v>
      </c>
      <c r="BQ12" s="272"/>
      <c r="BR12" s="272">
        <v>0</v>
      </c>
      <c r="BS12" s="272">
        <v>807400</v>
      </c>
      <c r="BT12" s="272">
        <v>0</v>
      </c>
      <c r="BU12" s="272">
        <v>25681358</v>
      </c>
      <c r="BV12" s="272"/>
      <c r="BW12" s="272">
        <v>6501133</v>
      </c>
      <c r="BX12" s="272">
        <v>3990833</v>
      </c>
      <c r="BY12" s="272">
        <v>938553</v>
      </c>
      <c r="BZ12" s="272">
        <v>537372</v>
      </c>
      <c r="CA12" s="272">
        <v>5588605</v>
      </c>
      <c r="CB12" s="272">
        <v>779731</v>
      </c>
      <c r="CC12" s="272">
        <v>175930</v>
      </c>
      <c r="CD12" s="272">
        <v>2801141</v>
      </c>
      <c r="CE12" s="272">
        <v>1721704</v>
      </c>
      <c r="CF12" s="272">
        <v>41</v>
      </c>
      <c r="CG12" s="272">
        <v>110058</v>
      </c>
      <c r="CH12" s="272">
        <v>2571544</v>
      </c>
      <c r="CI12" s="272">
        <v>1976944</v>
      </c>
      <c r="CJ12" s="455">
        <f t="shared" si="7"/>
        <v>594600</v>
      </c>
      <c r="CK12" s="272">
        <v>2531338</v>
      </c>
      <c r="CL12" s="272">
        <v>1231830</v>
      </c>
      <c r="CM12" s="272">
        <v>275322</v>
      </c>
      <c r="CN12" s="272">
        <v>514926</v>
      </c>
      <c r="CO12" s="272">
        <v>105254</v>
      </c>
      <c r="CP12" s="272">
        <v>2604538</v>
      </c>
      <c r="CQ12" s="272">
        <v>765151</v>
      </c>
      <c r="CR12" s="272">
        <v>757856</v>
      </c>
      <c r="CS12" s="272">
        <v>471083</v>
      </c>
      <c r="CT12" s="455">
        <f t="shared" si="8"/>
        <v>635585</v>
      </c>
      <c r="CU12" s="272">
        <v>604382</v>
      </c>
      <c r="CV12" s="272">
        <v>31203</v>
      </c>
      <c r="CW12" s="455">
        <f t="shared" si="9"/>
        <v>627000</v>
      </c>
      <c r="CX12" s="272">
        <v>600777</v>
      </c>
      <c r="CY12" s="272">
        <v>26223</v>
      </c>
      <c r="CZ12" s="455">
        <f t="shared" si="10"/>
        <v>0</v>
      </c>
      <c r="DA12" s="272">
        <v>0</v>
      </c>
      <c r="DB12" s="272">
        <v>0</v>
      </c>
      <c r="DC12" s="272">
        <v>1915398</v>
      </c>
      <c r="DD12" s="272">
        <v>291094</v>
      </c>
      <c r="DE12" s="272">
        <v>1598054</v>
      </c>
      <c r="DF12" s="26">
        <v>26250</v>
      </c>
      <c r="DG12" s="27">
        <v>26250</v>
      </c>
      <c r="DH12" s="272">
        <v>5232</v>
      </c>
      <c r="DI12" s="272">
        <v>208238</v>
      </c>
      <c r="DJ12" s="272">
        <v>148000</v>
      </c>
      <c r="DK12" s="272">
        <v>0</v>
      </c>
      <c r="DL12" s="272">
        <v>60238</v>
      </c>
      <c r="DM12" s="272">
        <v>0</v>
      </c>
      <c r="DN12" s="272">
        <v>0</v>
      </c>
      <c r="DO12" s="272">
        <v>0</v>
      </c>
      <c r="DP12" s="272">
        <v>0</v>
      </c>
      <c r="DQ12" s="272">
        <v>44411</v>
      </c>
      <c r="DR12" s="272">
        <v>0</v>
      </c>
      <c r="DS12" s="272">
        <v>0</v>
      </c>
      <c r="DT12" s="272">
        <v>3467260</v>
      </c>
      <c r="DU12" s="272">
        <v>1587530</v>
      </c>
      <c r="DV12" s="455">
        <f t="shared" si="11"/>
        <v>0</v>
      </c>
      <c r="DW12" s="272">
        <v>0</v>
      </c>
      <c r="DX12" s="272"/>
      <c r="DY12" s="272">
        <v>0</v>
      </c>
      <c r="DZ12" s="272">
        <v>640459</v>
      </c>
      <c r="EA12" s="272">
        <v>587445</v>
      </c>
      <c r="EB12" s="272">
        <v>647540</v>
      </c>
      <c r="EC12" s="272">
        <v>0</v>
      </c>
      <c r="ED12" s="272">
        <v>25542951</v>
      </c>
      <c r="EE12" s="89"/>
      <c r="EF12" s="272">
        <v>138407</v>
      </c>
      <c r="EG12" s="272">
        <v>87440</v>
      </c>
      <c r="EH12" s="272">
        <v>50967</v>
      </c>
      <c r="EI12" s="272">
        <v>-318325</v>
      </c>
      <c r="EJ12" s="272">
        <v>-282665</v>
      </c>
      <c r="EK12" s="89"/>
      <c r="EL12" s="272"/>
      <c r="EM12" s="272">
        <v>90060</v>
      </c>
      <c r="EN12" s="272">
        <v>150052</v>
      </c>
      <c r="EO12" s="272">
        <v>50</v>
      </c>
      <c r="EP12" s="455">
        <f t="shared" si="12"/>
        <v>647336</v>
      </c>
      <c r="EQ12" s="272">
        <v>16687231</v>
      </c>
      <c r="ER12" s="272">
        <v>-1582506</v>
      </c>
      <c r="ES12" s="272">
        <v>6018739</v>
      </c>
      <c r="ET12" s="272">
        <v>3683530</v>
      </c>
      <c r="EU12" s="272">
        <v>1883098</v>
      </c>
      <c r="EV12" s="272">
        <v>2552807</v>
      </c>
      <c r="EW12" s="455">
        <f t="shared" si="13"/>
        <v>477663</v>
      </c>
      <c r="EX12" s="272">
        <v>476172</v>
      </c>
      <c r="EY12" s="272">
        <v>23347</v>
      </c>
      <c r="EZ12" s="272">
        <v>448175</v>
      </c>
      <c r="FA12" s="272">
        <v>1491</v>
      </c>
      <c r="FB12" s="272">
        <v>0</v>
      </c>
      <c r="FC12" s="272">
        <v>1933255</v>
      </c>
      <c r="FD12" s="272">
        <v>2087840</v>
      </c>
      <c r="FE12" s="272">
        <v>405151</v>
      </c>
      <c r="FF12" s="272">
        <v>2924622</v>
      </c>
      <c r="FG12" s="455">
        <f t="shared" si="14"/>
        <v>253306</v>
      </c>
      <c r="FH12" s="272">
        <v>18131330</v>
      </c>
      <c r="FI12" s="384">
        <f t="shared" si="15"/>
        <v>0.3</v>
      </c>
      <c r="FJ12" s="272">
        <v>15618759</v>
      </c>
      <c r="FK12" s="272">
        <v>807453</v>
      </c>
      <c r="FL12" s="272">
        <v>9600552</v>
      </c>
      <c r="FM12" s="272">
        <v>12741749</v>
      </c>
      <c r="FN12" s="460">
        <v>0.73299999999999998</v>
      </c>
      <c r="FO12" s="388">
        <v>97.8</v>
      </c>
      <c r="FP12" s="388">
        <v>34.4</v>
      </c>
      <c r="FQ12" s="388">
        <v>11.4</v>
      </c>
      <c r="FR12" s="388">
        <v>15.4</v>
      </c>
      <c r="FS12" s="388">
        <v>10.7</v>
      </c>
      <c r="FT12" s="388">
        <v>9.4</v>
      </c>
      <c r="FU12" s="388">
        <v>16</v>
      </c>
      <c r="FV12" s="384">
        <f t="shared" si="16"/>
        <v>12</v>
      </c>
      <c r="FW12" s="272">
        <v>22645558</v>
      </c>
      <c r="FX12" s="384">
        <f t="shared" si="17"/>
        <v>145</v>
      </c>
      <c r="FY12" s="272">
        <v>3962349</v>
      </c>
      <c r="FZ12" s="272">
        <v>1066697</v>
      </c>
      <c r="GA12" s="272">
        <v>188585</v>
      </c>
      <c r="GB12" s="272">
        <v>2707067</v>
      </c>
      <c r="GC12" s="272"/>
      <c r="GD12" s="272">
        <v>4581581</v>
      </c>
      <c r="GE12" s="384">
        <f t="shared" si="18"/>
        <v>29.3</v>
      </c>
      <c r="GF12" s="388">
        <v>98.1</v>
      </c>
      <c r="GG12" s="388">
        <v>19.7</v>
      </c>
      <c r="GH12" s="388">
        <v>92.4</v>
      </c>
      <c r="GI12" s="272">
        <v>596</v>
      </c>
      <c r="GJ12" s="461" t="s">
        <v>646</v>
      </c>
      <c r="GK12" s="461">
        <v>12.68</v>
      </c>
      <c r="GL12" s="462">
        <v>20</v>
      </c>
      <c r="GM12" s="461" t="s">
        <v>646</v>
      </c>
      <c r="GN12" s="462">
        <v>17.68</v>
      </c>
      <c r="GO12" s="462">
        <v>40</v>
      </c>
      <c r="GP12" s="463">
        <v>12</v>
      </c>
      <c r="GQ12" s="463">
        <v>25</v>
      </c>
      <c r="GR12" s="463">
        <v>35</v>
      </c>
      <c r="GS12" s="464">
        <v>149.6</v>
      </c>
      <c r="GT12" s="463">
        <v>350</v>
      </c>
      <c r="GU12" s="394"/>
      <c r="GV12" s="394"/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</row>
    <row r="13" spans="2:230" x14ac:dyDescent="0.15">
      <c r="B13" s="89" t="s">
        <v>19</v>
      </c>
      <c r="C13" s="272">
        <v>23930668</v>
      </c>
      <c r="D13" s="455">
        <f t="shared" si="0"/>
        <v>6940859</v>
      </c>
      <c r="E13" s="272">
        <v>179612</v>
      </c>
      <c r="F13" s="272">
        <v>6761247</v>
      </c>
      <c r="G13" s="455">
        <f t="shared" si="1"/>
        <v>2552285</v>
      </c>
      <c r="H13" s="272">
        <v>511823</v>
      </c>
      <c r="I13" s="272">
        <v>2040462</v>
      </c>
      <c r="J13" s="272">
        <v>10424149</v>
      </c>
      <c r="K13" s="272">
        <v>4187745</v>
      </c>
      <c r="L13" s="272">
        <v>4019761</v>
      </c>
      <c r="M13" s="272">
        <v>1883470</v>
      </c>
      <c r="N13" s="272">
        <v>1062758</v>
      </c>
      <c r="O13" s="272">
        <v>2035528</v>
      </c>
      <c r="P13" s="272">
        <v>1137658</v>
      </c>
      <c r="Q13" s="272">
        <v>897870</v>
      </c>
      <c r="R13" s="272">
        <v>283772</v>
      </c>
      <c r="S13" s="272">
        <v>0</v>
      </c>
      <c r="T13" s="455">
        <f t="shared" si="2"/>
        <v>2152794</v>
      </c>
      <c r="U13" s="272">
        <v>129778</v>
      </c>
      <c r="V13" s="272">
        <v>114755</v>
      </c>
      <c r="W13" s="272">
        <v>70406</v>
      </c>
      <c r="X13" s="272">
        <v>1593500</v>
      </c>
      <c r="Y13" s="272">
        <v>0</v>
      </c>
      <c r="Z13" s="272">
        <v>0</v>
      </c>
      <c r="AA13" s="272">
        <v>244355</v>
      </c>
      <c r="AB13" s="272">
        <v>137008</v>
      </c>
      <c r="AC13" s="272">
        <v>4082818</v>
      </c>
      <c r="AD13" s="272">
        <v>3542443</v>
      </c>
      <c r="AE13" s="272">
        <v>540375</v>
      </c>
      <c r="AF13" s="272">
        <v>28646</v>
      </c>
      <c r="AG13" s="272">
        <v>1860336</v>
      </c>
      <c r="AH13" s="455">
        <f t="shared" si="3"/>
        <v>889545</v>
      </c>
      <c r="AI13" s="272">
        <v>589454</v>
      </c>
      <c r="AJ13" s="272">
        <v>300091</v>
      </c>
      <c r="AK13" s="272">
        <v>8017783</v>
      </c>
      <c r="AL13" s="455">
        <f t="shared" si="4"/>
        <v>6835807</v>
      </c>
      <c r="AM13" s="272">
        <v>5722499</v>
      </c>
      <c r="AN13" s="272">
        <v>1113308</v>
      </c>
      <c r="AO13" s="272">
        <v>0</v>
      </c>
      <c r="AP13" s="272">
        <v>0</v>
      </c>
      <c r="AQ13" s="272">
        <v>242187</v>
      </c>
      <c r="AR13" s="272">
        <v>0</v>
      </c>
      <c r="AS13" s="272">
        <v>0</v>
      </c>
      <c r="AT13" s="272">
        <v>2831674</v>
      </c>
      <c r="AU13" s="272">
        <v>1214671</v>
      </c>
      <c r="AV13" s="272">
        <v>199628</v>
      </c>
      <c r="AW13" s="272">
        <v>34958</v>
      </c>
      <c r="AX13" s="272">
        <v>1617003</v>
      </c>
      <c r="AY13" s="272">
        <v>49622</v>
      </c>
      <c r="AZ13" s="272">
        <v>164053</v>
      </c>
      <c r="BA13" s="272">
        <v>80479</v>
      </c>
      <c r="BB13" s="272">
        <v>2766</v>
      </c>
      <c r="BC13" s="272">
        <v>23026</v>
      </c>
      <c r="BD13" s="272">
        <v>0</v>
      </c>
      <c r="BE13" s="272">
        <v>0</v>
      </c>
      <c r="BF13" s="272">
        <v>9026</v>
      </c>
      <c r="BG13" s="272">
        <v>0</v>
      </c>
      <c r="BH13" s="272">
        <v>0</v>
      </c>
      <c r="BI13" s="272">
        <v>0</v>
      </c>
      <c r="BJ13" s="272">
        <v>511032</v>
      </c>
      <c r="BK13" s="272">
        <v>23969</v>
      </c>
      <c r="BL13" s="272">
        <v>0</v>
      </c>
      <c r="BM13" s="272">
        <v>68666</v>
      </c>
      <c r="BN13" s="272">
        <v>1699000</v>
      </c>
      <c r="BO13" s="455">
        <f t="shared" si="5"/>
        <v>434700</v>
      </c>
      <c r="BP13" s="455">
        <f t="shared" si="6"/>
        <v>1264300</v>
      </c>
      <c r="BQ13" s="272"/>
      <c r="BR13" s="272">
        <v>0</v>
      </c>
      <c r="BS13" s="272">
        <v>1264300</v>
      </c>
      <c r="BT13" s="272">
        <v>0</v>
      </c>
      <c r="BU13" s="272">
        <v>46614921</v>
      </c>
      <c r="BV13" s="272"/>
      <c r="BW13" s="272">
        <v>13595461</v>
      </c>
      <c r="BX13" s="272">
        <v>8965473</v>
      </c>
      <c r="BY13" s="272">
        <v>2212014</v>
      </c>
      <c r="BZ13" s="272">
        <v>484217</v>
      </c>
      <c r="CA13" s="272">
        <v>14853062</v>
      </c>
      <c r="CB13" s="272">
        <v>1485165</v>
      </c>
      <c r="CC13" s="272">
        <v>299137</v>
      </c>
      <c r="CD13" s="272">
        <v>3579703</v>
      </c>
      <c r="CE13" s="272">
        <v>7730110</v>
      </c>
      <c r="CF13" s="272">
        <v>1581469</v>
      </c>
      <c r="CG13" s="272">
        <v>177336</v>
      </c>
      <c r="CH13" s="272">
        <v>5089629</v>
      </c>
      <c r="CI13" s="272">
        <v>4005349</v>
      </c>
      <c r="CJ13" s="455">
        <f t="shared" si="7"/>
        <v>1084280</v>
      </c>
      <c r="CK13" s="272">
        <v>3780341</v>
      </c>
      <c r="CL13" s="272">
        <v>2269728</v>
      </c>
      <c r="CM13" s="272">
        <v>160408</v>
      </c>
      <c r="CN13" s="272">
        <v>749905</v>
      </c>
      <c r="CO13" s="272">
        <v>199426</v>
      </c>
      <c r="CP13" s="272">
        <v>3448912</v>
      </c>
      <c r="CQ13" s="272">
        <v>2117627</v>
      </c>
      <c r="CR13" s="272">
        <v>728621</v>
      </c>
      <c r="CS13" s="272">
        <v>483875</v>
      </c>
      <c r="CT13" s="455">
        <f t="shared" si="8"/>
        <v>79072</v>
      </c>
      <c r="CU13" s="272">
        <v>79072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1028142</v>
      </c>
      <c r="DD13" s="272">
        <v>508142</v>
      </c>
      <c r="DE13" s="272">
        <v>494601</v>
      </c>
      <c r="DF13" s="26">
        <v>0</v>
      </c>
      <c r="DG13" s="27">
        <v>0</v>
      </c>
      <c r="DH13" s="272">
        <v>0</v>
      </c>
      <c r="DI13" s="272">
        <v>18092</v>
      </c>
      <c r="DJ13" s="272">
        <v>535</v>
      </c>
      <c r="DK13" s="272">
        <v>627</v>
      </c>
      <c r="DL13" s="272">
        <v>16930</v>
      </c>
      <c r="DM13" s="272">
        <v>52575</v>
      </c>
      <c r="DN13" s="272">
        <v>52575</v>
      </c>
      <c r="DO13" s="272">
        <v>52575</v>
      </c>
      <c r="DP13" s="272">
        <v>0</v>
      </c>
      <c r="DQ13" s="272">
        <v>3933</v>
      </c>
      <c r="DR13" s="272">
        <v>0</v>
      </c>
      <c r="DS13" s="272">
        <v>0</v>
      </c>
      <c r="DT13" s="272">
        <v>5993236</v>
      </c>
      <c r="DU13" s="272">
        <v>2140000</v>
      </c>
      <c r="DV13" s="455">
        <f t="shared" si="11"/>
        <v>0</v>
      </c>
      <c r="DW13" s="272">
        <v>0</v>
      </c>
      <c r="DX13" s="272"/>
      <c r="DY13" s="272">
        <v>0</v>
      </c>
      <c r="DZ13" s="272">
        <v>1746973</v>
      </c>
      <c r="EA13" s="272">
        <v>949045</v>
      </c>
      <c r="EB13" s="272">
        <v>1157218</v>
      </c>
      <c r="EC13" s="272">
        <v>2513183</v>
      </c>
      <c r="ED13" s="272">
        <v>50575992</v>
      </c>
      <c r="EE13" s="89"/>
      <c r="EF13" s="272">
        <v>-3961071</v>
      </c>
      <c r="EG13" s="272">
        <v>0</v>
      </c>
      <c r="EH13" s="272">
        <v>-3961071</v>
      </c>
      <c r="EI13" s="272">
        <v>-1444982</v>
      </c>
      <c r="EJ13" s="272">
        <v>-1444447</v>
      </c>
      <c r="EK13" s="89"/>
      <c r="EL13" s="272"/>
      <c r="EM13" s="272">
        <v>145270</v>
      </c>
      <c r="EN13" s="272">
        <v>14000</v>
      </c>
      <c r="EO13" s="272">
        <v>148291</v>
      </c>
      <c r="EP13" s="455">
        <f t="shared" si="12"/>
        <v>441108</v>
      </c>
      <c r="EQ13" s="272">
        <v>30615706</v>
      </c>
      <c r="ER13" s="272">
        <v>-1839053</v>
      </c>
      <c r="ES13" s="272">
        <v>12756686</v>
      </c>
      <c r="ET13" s="272">
        <v>8412721</v>
      </c>
      <c r="EU13" s="272">
        <v>3892968</v>
      </c>
      <c r="EV13" s="272">
        <v>5010592</v>
      </c>
      <c r="EW13" s="455">
        <f t="shared" si="13"/>
        <v>287017</v>
      </c>
      <c r="EX13" s="272">
        <v>287017</v>
      </c>
      <c r="EY13" s="272">
        <v>3645</v>
      </c>
      <c r="EZ13" s="272">
        <v>283372</v>
      </c>
      <c r="FA13" s="272">
        <v>0</v>
      </c>
      <c r="FB13" s="272">
        <v>0</v>
      </c>
      <c r="FC13" s="272">
        <v>3190693</v>
      </c>
      <c r="FD13" s="272">
        <v>3355461</v>
      </c>
      <c r="FE13" s="272">
        <v>2117627</v>
      </c>
      <c r="FF13" s="272">
        <v>5242698</v>
      </c>
      <c r="FG13" s="455">
        <f t="shared" si="14"/>
        <v>2679715</v>
      </c>
      <c r="FH13" s="272">
        <v>36415830</v>
      </c>
      <c r="FI13" s="384">
        <f t="shared" si="15"/>
        <v>-14.2</v>
      </c>
      <c r="FJ13" s="272">
        <v>27921665</v>
      </c>
      <c r="FK13" s="272">
        <v>1264327</v>
      </c>
      <c r="FL13" s="272">
        <v>18627966</v>
      </c>
      <c r="FM13" s="272">
        <v>22208391</v>
      </c>
      <c r="FN13" s="460">
        <v>0.82199999999999995</v>
      </c>
      <c r="FO13" s="388">
        <v>106.5</v>
      </c>
      <c r="FP13" s="388">
        <v>41.7</v>
      </c>
      <c r="FQ13" s="388">
        <v>12.6</v>
      </c>
      <c r="FR13" s="388">
        <v>17</v>
      </c>
      <c r="FS13" s="388">
        <v>9.4</v>
      </c>
      <c r="FT13" s="388">
        <v>9.9</v>
      </c>
      <c r="FU13" s="388">
        <v>15.4</v>
      </c>
      <c r="FV13" s="384">
        <f t="shared" si="16"/>
        <v>6.6</v>
      </c>
      <c r="FW13" s="272">
        <v>47221460</v>
      </c>
      <c r="FX13" s="384">
        <f t="shared" si="17"/>
        <v>169.1</v>
      </c>
      <c r="FY13" s="272">
        <v>3538837</v>
      </c>
      <c r="FZ13" s="272">
        <v>78774</v>
      </c>
      <c r="GA13" s="272">
        <v>92279</v>
      </c>
      <c r="GB13" s="272">
        <v>3367784</v>
      </c>
      <c r="GC13" s="272">
        <v>1758800</v>
      </c>
      <c r="GD13" s="272">
        <v>5553171</v>
      </c>
      <c r="GE13" s="384">
        <f t="shared" si="18"/>
        <v>19.899999999999999</v>
      </c>
      <c r="GF13" s="388">
        <v>97.8</v>
      </c>
      <c r="GG13" s="388">
        <v>20.7</v>
      </c>
      <c r="GH13" s="388">
        <v>92.4</v>
      </c>
      <c r="GI13" s="272">
        <v>1136</v>
      </c>
      <c r="GJ13" s="461">
        <v>13.57</v>
      </c>
      <c r="GK13" s="461">
        <v>11.84</v>
      </c>
      <c r="GL13" s="462">
        <v>20</v>
      </c>
      <c r="GM13" s="461">
        <v>23.18</v>
      </c>
      <c r="GN13" s="462">
        <v>16.84</v>
      </c>
      <c r="GO13" s="462">
        <v>40</v>
      </c>
      <c r="GP13" s="463">
        <v>6.6</v>
      </c>
      <c r="GQ13" s="463">
        <v>25</v>
      </c>
      <c r="GR13" s="463">
        <v>35</v>
      </c>
      <c r="GS13" s="464">
        <v>159.6</v>
      </c>
      <c r="GT13" s="463">
        <v>350</v>
      </c>
      <c r="GU13" s="394"/>
      <c r="GV13" s="394"/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</row>
    <row r="14" spans="2:230" x14ac:dyDescent="0.15">
      <c r="B14" s="89" t="s">
        <v>21</v>
      </c>
      <c r="C14" s="272">
        <v>60814693</v>
      </c>
      <c r="D14" s="455">
        <f t="shared" si="0"/>
        <v>24626822</v>
      </c>
      <c r="E14" s="272">
        <v>538015</v>
      </c>
      <c r="F14" s="272">
        <v>24088807</v>
      </c>
      <c r="G14" s="455">
        <f t="shared" si="1"/>
        <v>6033793</v>
      </c>
      <c r="H14" s="272">
        <v>709639</v>
      </c>
      <c r="I14" s="272">
        <v>5324154</v>
      </c>
      <c r="J14" s="272">
        <v>21811656</v>
      </c>
      <c r="K14" s="272">
        <v>9219825</v>
      </c>
      <c r="L14" s="272">
        <v>9408267</v>
      </c>
      <c r="M14" s="272">
        <v>2603929</v>
      </c>
      <c r="N14" s="272">
        <v>1990640</v>
      </c>
      <c r="O14" s="272">
        <v>4725818</v>
      </c>
      <c r="P14" s="272">
        <v>2647612</v>
      </c>
      <c r="Q14" s="272">
        <v>2078206</v>
      </c>
      <c r="R14" s="272">
        <v>794160</v>
      </c>
      <c r="S14" s="272">
        <v>0</v>
      </c>
      <c r="T14" s="455">
        <f t="shared" si="2"/>
        <v>5245104</v>
      </c>
      <c r="U14" s="272">
        <v>450960</v>
      </c>
      <c r="V14" s="272">
        <v>398676</v>
      </c>
      <c r="W14" s="272">
        <v>244923</v>
      </c>
      <c r="X14" s="272">
        <v>3360475</v>
      </c>
      <c r="Y14" s="272">
        <v>106214</v>
      </c>
      <c r="Z14" s="272">
        <v>0</v>
      </c>
      <c r="AA14" s="272">
        <v>683856</v>
      </c>
      <c r="AB14" s="272">
        <v>364867</v>
      </c>
      <c r="AC14" s="272">
        <v>6075952</v>
      </c>
      <c r="AD14" s="272">
        <v>5877914</v>
      </c>
      <c r="AE14" s="272">
        <v>198038</v>
      </c>
      <c r="AF14" s="272">
        <v>82676</v>
      </c>
      <c r="AG14" s="272">
        <v>983976</v>
      </c>
      <c r="AH14" s="455">
        <f t="shared" si="3"/>
        <v>2273630</v>
      </c>
      <c r="AI14" s="272">
        <v>1778700</v>
      </c>
      <c r="AJ14" s="272">
        <v>494930</v>
      </c>
      <c r="AK14" s="272">
        <v>14673241</v>
      </c>
      <c r="AL14" s="455">
        <f t="shared" si="4"/>
        <v>7788282</v>
      </c>
      <c r="AM14" s="272">
        <v>6548901</v>
      </c>
      <c r="AN14" s="272">
        <v>1239381</v>
      </c>
      <c r="AO14" s="272">
        <v>0</v>
      </c>
      <c r="AP14" s="272">
        <v>0</v>
      </c>
      <c r="AQ14" s="272">
        <v>2446050</v>
      </c>
      <c r="AR14" s="272">
        <v>0</v>
      </c>
      <c r="AS14" s="272">
        <v>0</v>
      </c>
      <c r="AT14" s="272">
        <v>6111259</v>
      </c>
      <c r="AU14" s="272">
        <v>3107804</v>
      </c>
      <c r="AV14" s="272">
        <v>619691</v>
      </c>
      <c r="AW14" s="272">
        <v>30662</v>
      </c>
      <c r="AX14" s="272">
        <v>3003455</v>
      </c>
      <c r="AY14" s="272">
        <v>35056</v>
      </c>
      <c r="AZ14" s="272">
        <v>262161</v>
      </c>
      <c r="BA14" s="272">
        <v>145475</v>
      </c>
      <c r="BB14" s="272">
        <v>14663</v>
      </c>
      <c r="BC14" s="272">
        <v>1148048</v>
      </c>
      <c r="BD14" s="272">
        <v>86260</v>
      </c>
      <c r="BE14" s="272">
        <v>303325</v>
      </c>
      <c r="BF14" s="272">
        <v>739161</v>
      </c>
      <c r="BG14" s="272">
        <v>0</v>
      </c>
      <c r="BH14" s="272">
        <v>1394139</v>
      </c>
      <c r="BI14" s="272">
        <v>1041719</v>
      </c>
      <c r="BJ14" s="272">
        <v>2268009</v>
      </c>
      <c r="BK14" s="272">
        <v>1000000</v>
      </c>
      <c r="BL14" s="272">
        <v>0</v>
      </c>
      <c r="BM14" s="272">
        <v>87271</v>
      </c>
      <c r="BN14" s="272">
        <v>9529400</v>
      </c>
      <c r="BO14" s="455">
        <f t="shared" si="5"/>
        <v>6595000</v>
      </c>
      <c r="BP14" s="455">
        <f t="shared" si="6"/>
        <v>2934400</v>
      </c>
      <c r="BQ14" s="272"/>
      <c r="BR14" s="272">
        <v>0</v>
      </c>
      <c r="BS14" s="272">
        <v>2934400</v>
      </c>
      <c r="BT14" s="272">
        <v>0</v>
      </c>
      <c r="BU14" s="272">
        <v>112035978</v>
      </c>
      <c r="BV14" s="272"/>
      <c r="BW14" s="272">
        <v>26293073</v>
      </c>
      <c r="BX14" s="272">
        <v>17402285</v>
      </c>
      <c r="BY14" s="272">
        <v>4346725</v>
      </c>
      <c r="BZ14" s="272">
        <v>1029222</v>
      </c>
      <c r="CA14" s="272">
        <v>23418548</v>
      </c>
      <c r="CB14" s="272">
        <v>3742187</v>
      </c>
      <c r="CC14" s="272">
        <v>509854</v>
      </c>
      <c r="CD14" s="272">
        <v>9756370</v>
      </c>
      <c r="CE14" s="272">
        <v>8980902</v>
      </c>
      <c r="CF14" s="272">
        <v>0</v>
      </c>
      <c r="CG14" s="272">
        <v>427985</v>
      </c>
      <c r="CH14" s="272">
        <v>11143635</v>
      </c>
      <c r="CI14" s="272">
        <v>9042913</v>
      </c>
      <c r="CJ14" s="455">
        <f t="shared" si="7"/>
        <v>2100722</v>
      </c>
      <c r="CK14" s="272">
        <v>10243570</v>
      </c>
      <c r="CL14" s="272">
        <v>5208355</v>
      </c>
      <c r="CM14" s="272">
        <v>800339</v>
      </c>
      <c r="CN14" s="272">
        <v>2313903</v>
      </c>
      <c r="CO14" s="272">
        <v>977585</v>
      </c>
      <c r="CP14" s="272">
        <v>10560789</v>
      </c>
      <c r="CQ14" s="272">
        <v>4977003</v>
      </c>
      <c r="CR14" s="272">
        <v>2675950</v>
      </c>
      <c r="CS14" s="272">
        <v>1999316</v>
      </c>
      <c r="CT14" s="455">
        <f t="shared" si="8"/>
        <v>1381951</v>
      </c>
      <c r="CU14" s="272">
        <v>1127083</v>
      </c>
      <c r="CV14" s="272">
        <v>254868</v>
      </c>
      <c r="CW14" s="455">
        <f t="shared" si="9"/>
        <v>1074662</v>
      </c>
      <c r="CX14" s="272">
        <v>985292</v>
      </c>
      <c r="CY14" s="272">
        <v>89370</v>
      </c>
      <c r="CZ14" s="455">
        <f t="shared" si="10"/>
        <v>0</v>
      </c>
      <c r="DA14" s="272">
        <v>0</v>
      </c>
      <c r="DB14" s="272">
        <v>0</v>
      </c>
      <c r="DC14" s="272">
        <v>12841772</v>
      </c>
      <c r="DD14" s="272">
        <v>4745967</v>
      </c>
      <c r="DE14" s="272">
        <v>8044839</v>
      </c>
      <c r="DF14" s="26">
        <v>461</v>
      </c>
      <c r="DG14" s="27">
        <v>461</v>
      </c>
      <c r="DH14" s="272">
        <v>0</v>
      </c>
      <c r="DI14" s="272">
        <v>1222934</v>
      </c>
      <c r="DJ14" s="272">
        <v>1117994</v>
      </c>
      <c r="DK14" s="272">
        <v>18952</v>
      </c>
      <c r="DL14" s="272">
        <v>85988</v>
      </c>
      <c r="DM14" s="272">
        <v>0</v>
      </c>
      <c r="DN14" s="272">
        <v>0</v>
      </c>
      <c r="DO14" s="272">
        <v>0</v>
      </c>
      <c r="DP14" s="272">
        <v>0</v>
      </c>
      <c r="DQ14" s="272">
        <v>0</v>
      </c>
      <c r="DR14" s="272">
        <v>0</v>
      </c>
      <c r="DS14" s="272">
        <v>0</v>
      </c>
      <c r="DT14" s="272">
        <v>14186212</v>
      </c>
      <c r="DU14" s="272">
        <v>5800000</v>
      </c>
      <c r="DV14" s="455">
        <f t="shared" si="11"/>
        <v>48868</v>
      </c>
      <c r="DW14" s="272">
        <v>48868</v>
      </c>
      <c r="DX14" s="272"/>
      <c r="DY14" s="272">
        <v>58404</v>
      </c>
      <c r="DZ14" s="272">
        <v>3632079</v>
      </c>
      <c r="EA14" s="272">
        <v>1990647</v>
      </c>
      <c r="EB14" s="272">
        <v>2656214</v>
      </c>
      <c r="EC14" s="272">
        <v>0</v>
      </c>
      <c r="ED14" s="272">
        <v>110888118</v>
      </c>
      <c r="EE14" s="89"/>
      <c r="EF14" s="272">
        <v>1147860</v>
      </c>
      <c r="EG14" s="272">
        <v>280288</v>
      </c>
      <c r="EH14" s="272">
        <v>867572</v>
      </c>
      <c r="EI14" s="272">
        <v>-174147</v>
      </c>
      <c r="EJ14" s="272">
        <v>1306580</v>
      </c>
      <c r="EK14" s="89"/>
      <c r="EL14" s="272"/>
      <c r="EM14" s="272">
        <v>405865</v>
      </c>
      <c r="EN14" s="272">
        <v>1064960</v>
      </c>
      <c r="EO14" s="272">
        <v>180687</v>
      </c>
      <c r="EP14" s="455">
        <f t="shared" si="12"/>
        <v>3703003</v>
      </c>
      <c r="EQ14" s="272">
        <v>73377452</v>
      </c>
      <c r="ER14" s="272">
        <v>-7800374</v>
      </c>
      <c r="ES14" s="272">
        <v>24553518</v>
      </c>
      <c r="ET14" s="272">
        <v>15850407</v>
      </c>
      <c r="EU14" s="272">
        <v>7762027</v>
      </c>
      <c r="EV14" s="272">
        <v>11143635</v>
      </c>
      <c r="EW14" s="455">
        <f t="shared" si="13"/>
        <v>3425097</v>
      </c>
      <c r="EX14" s="272">
        <v>3425097</v>
      </c>
      <c r="EY14" s="272">
        <v>369496</v>
      </c>
      <c r="EZ14" s="272">
        <v>3045611</v>
      </c>
      <c r="FA14" s="272">
        <v>0</v>
      </c>
      <c r="FB14" s="272">
        <v>0</v>
      </c>
      <c r="FC14" s="272">
        <v>8392466</v>
      </c>
      <c r="FD14" s="272">
        <v>9648238</v>
      </c>
      <c r="FE14" s="272">
        <v>4977003</v>
      </c>
      <c r="FF14" s="272">
        <v>13040252</v>
      </c>
      <c r="FG14" s="455">
        <f t="shared" si="14"/>
        <v>2064733</v>
      </c>
      <c r="FH14" s="272">
        <v>80029966</v>
      </c>
      <c r="FI14" s="384">
        <f t="shared" si="15"/>
        <v>1.3</v>
      </c>
      <c r="FJ14" s="272">
        <v>68074897</v>
      </c>
      <c r="FK14" s="272">
        <v>2934494</v>
      </c>
      <c r="FL14" s="272">
        <v>47511531</v>
      </c>
      <c r="FM14" s="272">
        <v>53480154</v>
      </c>
      <c r="FN14" s="460">
        <v>0.86599999999999999</v>
      </c>
      <c r="FO14" s="388">
        <v>93.2</v>
      </c>
      <c r="FP14" s="388">
        <v>32.5</v>
      </c>
      <c r="FQ14" s="388">
        <v>10.8</v>
      </c>
      <c r="FR14" s="388">
        <v>14.9</v>
      </c>
      <c r="FS14" s="388">
        <v>10.5</v>
      </c>
      <c r="FT14" s="388">
        <v>11.9</v>
      </c>
      <c r="FU14" s="388">
        <v>11.4</v>
      </c>
      <c r="FV14" s="384">
        <f t="shared" si="16"/>
        <v>3.3</v>
      </c>
      <c r="FW14" s="272">
        <v>100139524</v>
      </c>
      <c r="FX14" s="384">
        <f t="shared" si="17"/>
        <v>147.1</v>
      </c>
      <c r="FY14" s="272">
        <v>16370687</v>
      </c>
      <c r="FZ14" s="272">
        <v>1664693</v>
      </c>
      <c r="GA14" s="272">
        <v>3463484</v>
      </c>
      <c r="GB14" s="272">
        <v>11242510</v>
      </c>
      <c r="GC14" s="272">
        <v>5000000</v>
      </c>
      <c r="GD14" s="272">
        <v>14715048</v>
      </c>
      <c r="GE14" s="384">
        <f t="shared" si="18"/>
        <v>21.6</v>
      </c>
      <c r="GF14" s="388">
        <v>98.6</v>
      </c>
      <c r="GG14" s="388">
        <v>21.3</v>
      </c>
      <c r="GH14" s="388">
        <v>94.3</v>
      </c>
      <c r="GI14" s="272">
        <v>2299</v>
      </c>
      <c r="GJ14" s="461" t="s">
        <v>646</v>
      </c>
      <c r="GK14" s="461">
        <v>11.25</v>
      </c>
      <c r="GL14" s="462">
        <v>20</v>
      </c>
      <c r="GM14" s="461" t="s">
        <v>646</v>
      </c>
      <c r="GN14" s="462">
        <v>16.25</v>
      </c>
      <c r="GO14" s="462">
        <v>40</v>
      </c>
      <c r="GP14" s="463">
        <v>3.3</v>
      </c>
      <c r="GQ14" s="463">
        <v>25</v>
      </c>
      <c r="GR14" s="463">
        <v>35</v>
      </c>
      <c r="GS14" s="464">
        <v>46.1</v>
      </c>
      <c r="GT14" s="463">
        <v>350</v>
      </c>
      <c r="GU14" s="394"/>
      <c r="GV14" s="394"/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</row>
    <row r="15" spans="2:230" x14ac:dyDescent="0.15">
      <c r="B15" s="89" t="s">
        <v>23</v>
      </c>
      <c r="C15" s="272">
        <v>46068712</v>
      </c>
      <c r="D15" s="455">
        <f t="shared" si="0"/>
        <v>17620881</v>
      </c>
      <c r="E15" s="272">
        <v>367341</v>
      </c>
      <c r="F15" s="272">
        <v>17253540</v>
      </c>
      <c r="G15" s="455">
        <f t="shared" si="1"/>
        <v>4456737</v>
      </c>
      <c r="H15" s="272">
        <v>738126</v>
      </c>
      <c r="I15" s="272">
        <v>3718611</v>
      </c>
      <c r="J15" s="272">
        <v>18333531</v>
      </c>
      <c r="K15" s="272">
        <v>7949246</v>
      </c>
      <c r="L15" s="272">
        <v>7268567</v>
      </c>
      <c r="M15" s="272">
        <v>2810091</v>
      </c>
      <c r="N15" s="272">
        <v>1803574</v>
      </c>
      <c r="O15" s="272">
        <v>3673905</v>
      </c>
      <c r="P15" s="272">
        <v>2074383</v>
      </c>
      <c r="Q15" s="272">
        <v>1599522</v>
      </c>
      <c r="R15" s="272">
        <v>578027</v>
      </c>
      <c r="S15" s="272">
        <v>0</v>
      </c>
      <c r="T15" s="455">
        <f t="shared" si="2"/>
        <v>3898230</v>
      </c>
      <c r="U15" s="272">
        <v>319197</v>
      </c>
      <c r="V15" s="272">
        <v>282252</v>
      </c>
      <c r="W15" s="272">
        <v>173153</v>
      </c>
      <c r="X15" s="272">
        <v>2516787</v>
      </c>
      <c r="Y15" s="272">
        <v>109102</v>
      </c>
      <c r="Z15" s="272">
        <v>0</v>
      </c>
      <c r="AA15" s="272">
        <v>497739</v>
      </c>
      <c r="AB15" s="272">
        <v>274915</v>
      </c>
      <c r="AC15" s="272">
        <v>210001</v>
      </c>
      <c r="AD15" s="272">
        <v>0</v>
      </c>
      <c r="AE15" s="272">
        <v>210001</v>
      </c>
      <c r="AF15" s="272">
        <v>60460</v>
      </c>
      <c r="AG15" s="272">
        <v>735181</v>
      </c>
      <c r="AH15" s="455">
        <f t="shared" si="3"/>
        <v>2096723</v>
      </c>
      <c r="AI15" s="272">
        <v>1778671</v>
      </c>
      <c r="AJ15" s="272">
        <v>318052</v>
      </c>
      <c r="AK15" s="272">
        <v>7345592</v>
      </c>
      <c r="AL15" s="455">
        <f t="shared" si="4"/>
        <v>4043186</v>
      </c>
      <c r="AM15" s="272">
        <v>3440275</v>
      </c>
      <c r="AN15" s="272">
        <v>602911</v>
      </c>
      <c r="AO15" s="272">
        <v>0</v>
      </c>
      <c r="AP15" s="272">
        <v>0</v>
      </c>
      <c r="AQ15" s="272">
        <v>610296</v>
      </c>
      <c r="AR15" s="272">
        <v>0</v>
      </c>
      <c r="AS15" s="272">
        <v>0</v>
      </c>
      <c r="AT15" s="272">
        <v>4453497</v>
      </c>
      <c r="AU15" s="272">
        <v>2052773</v>
      </c>
      <c r="AV15" s="272">
        <v>301455</v>
      </c>
      <c r="AW15" s="272">
        <v>124606</v>
      </c>
      <c r="AX15" s="272">
        <v>2400724</v>
      </c>
      <c r="AY15" s="272">
        <v>69052</v>
      </c>
      <c r="AZ15" s="272">
        <v>138548</v>
      </c>
      <c r="BA15" s="272">
        <v>90261</v>
      </c>
      <c r="BB15" s="272">
        <v>48516</v>
      </c>
      <c r="BC15" s="272">
        <v>136527</v>
      </c>
      <c r="BD15" s="272">
        <v>0</v>
      </c>
      <c r="BE15" s="272">
        <v>0</v>
      </c>
      <c r="BF15" s="272">
        <v>4600</v>
      </c>
      <c r="BG15" s="272">
        <v>0</v>
      </c>
      <c r="BH15" s="272">
        <v>1018369</v>
      </c>
      <c r="BI15" s="272">
        <v>1001648</v>
      </c>
      <c r="BJ15" s="272">
        <v>2057882</v>
      </c>
      <c r="BK15" s="272">
        <v>354000</v>
      </c>
      <c r="BL15" s="272">
        <v>11867</v>
      </c>
      <c r="BM15" s="272">
        <v>74702</v>
      </c>
      <c r="BN15" s="272">
        <v>3548600</v>
      </c>
      <c r="BO15" s="455">
        <f t="shared" si="5"/>
        <v>1458500</v>
      </c>
      <c r="BP15" s="455">
        <f t="shared" si="6"/>
        <v>2090100</v>
      </c>
      <c r="BQ15" s="272"/>
      <c r="BR15" s="272">
        <v>0</v>
      </c>
      <c r="BS15" s="272">
        <v>2090100</v>
      </c>
      <c r="BT15" s="272">
        <v>0</v>
      </c>
      <c r="BU15" s="272">
        <v>72669780</v>
      </c>
      <c r="BV15" s="272"/>
      <c r="BW15" s="272">
        <v>16731995</v>
      </c>
      <c r="BX15" s="272">
        <v>11345735</v>
      </c>
      <c r="BY15" s="272">
        <v>2251131</v>
      </c>
      <c r="BZ15" s="272">
        <v>676955</v>
      </c>
      <c r="CA15" s="272">
        <v>14657295</v>
      </c>
      <c r="CB15" s="272">
        <v>2549294</v>
      </c>
      <c r="CC15" s="272">
        <v>663611</v>
      </c>
      <c r="CD15" s="272">
        <v>6478195</v>
      </c>
      <c r="CE15" s="272">
        <v>4697372</v>
      </c>
      <c r="CF15" s="272">
        <v>0</v>
      </c>
      <c r="CG15" s="272">
        <v>267903</v>
      </c>
      <c r="CH15" s="272">
        <v>6093487</v>
      </c>
      <c r="CI15" s="272">
        <v>5013087</v>
      </c>
      <c r="CJ15" s="455">
        <f t="shared" si="7"/>
        <v>1080400</v>
      </c>
      <c r="CK15" s="272">
        <v>12724260</v>
      </c>
      <c r="CL15" s="272">
        <v>6027728</v>
      </c>
      <c r="CM15" s="272">
        <v>1056185</v>
      </c>
      <c r="CN15" s="272">
        <v>3094367</v>
      </c>
      <c r="CO15" s="272">
        <v>935964</v>
      </c>
      <c r="CP15" s="272">
        <v>3320963</v>
      </c>
      <c r="CQ15" s="272">
        <v>33027</v>
      </c>
      <c r="CR15" s="272">
        <v>2082086</v>
      </c>
      <c r="CS15" s="272">
        <v>1498125</v>
      </c>
      <c r="CT15" s="455">
        <f t="shared" si="8"/>
        <v>140892</v>
      </c>
      <c r="CU15" s="272">
        <v>9167</v>
      </c>
      <c r="CV15" s="272">
        <v>131725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7489352</v>
      </c>
      <c r="DD15" s="272">
        <v>1536292</v>
      </c>
      <c r="DE15" s="272">
        <v>5940608</v>
      </c>
      <c r="DF15" s="26">
        <v>4162</v>
      </c>
      <c r="DG15" s="27">
        <v>4162</v>
      </c>
      <c r="DH15" s="272">
        <v>0</v>
      </c>
      <c r="DI15" s="272">
        <v>544680</v>
      </c>
      <c r="DJ15" s="272">
        <v>14230</v>
      </c>
      <c r="DK15" s="272">
        <v>0</v>
      </c>
      <c r="DL15" s="272">
        <v>530450</v>
      </c>
      <c r="DM15" s="272">
        <v>6398</v>
      </c>
      <c r="DN15" s="272">
        <v>6398</v>
      </c>
      <c r="DO15" s="272">
        <v>6398</v>
      </c>
      <c r="DP15" s="272">
        <v>0</v>
      </c>
      <c r="DQ15" s="272">
        <v>354000</v>
      </c>
      <c r="DR15" s="272">
        <v>0</v>
      </c>
      <c r="DS15" s="272">
        <v>0</v>
      </c>
      <c r="DT15" s="272">
        <v>9214892</v>
      </c>
      <c r="DU15" s="272">
        <v>4323000</v>
      </c>
      <c r="DV15" s="455">
        <f t="shared" si="11"/>
        <v>0</v>
      </c>
      <c r="DW15" s="272">
        <v>0</v>
      </c>
      <c r="DX15" s="272"/>
      <c r="DY15" s="272">
        <v>0</v>
      </c>
      <c r="DZ15" s="272">
        <v>2236754</v>
      </c>
      <c r="EA15" s="272">
        <v>1261877</v>
      </c>
      <c r="EB15" s="272">
        <v>1391730</v>
      </c>
      <c r="EC15" s="272">
        <v>0</v>
      </c>
      <c r="ED15" s="272">
        <v>72073286</v>
      </c>
      <c r="EE15" s="89"/>
      <c r="EF15" s="272">
        <v>596494</v>
      </c>
      <c r="EG15" s="272">
        <v>180023</v>
      </c>
      <c r="EH15" s="272">
        <v>416471</v>
      </c>
      <c r="EI15" s="272">
        <v>-585177</v>
      </c>
      <c r="EJ15" s="272">
        <v>-570696</v>
      </c>
      <c r="EK15" s="89"/>
      <c r="EL15" s="272"/>
      <c r="EM15" s="272">
        <v>268490</v>
      </c>
      <c r="EN15" s="272">
        <v>126186</v>
      </c>
      <c r="EO15" s="272">
        <v>99942</v>
      </c>
      <c r="EP15" s="455">
        <f t="shared" si="12"/>
        <v>2520648</v>
      </c>
      <c r="EQ15" s="272">
        <v>51090345</v>
      </c>
      <c r="ER15" s="272">
        <v>-4776416</v>
      </c>
      <c r="ES15" s="272">
        <v>15114335</v>
      </c>
      <c r="ET15" s="272">
        <v>9847362</v>
      </c>
      <c r="EU15" s="272">
        <v>5609636</v>
      </c>
      <c r="EV15" s="272">
        <v>6093487</v>
      </c>
      <c r="EW15" s="455">
        <f t="shared" si="13"/>
        <v>5173654</v>
      </c>
      <c r="EX15" s="272">
        <v>5173654</v>
      </c>
      <c r="EY15" s="272">
        <v>621907</v>
      </c>
      <c r="EZ15" s="272">
        <v>4547585</v>
      </c>
      <c r="FA15" s="272">
        <v>0</v>
      </c>
      <c r="FB15" s="272">
        <v>0</v>
      </c>
      <c r="FC15" s="272">
        <v>10535997</v>
      </c>
      <c r="FD15" s="272">
        <v>2853111</v>
      </c>
      <c r="FE15" s="272">
        <v>33027</v>
      </c>
      <c r="FF15" s="272">
        <v>8448270</v>
      </c>
      <c r="FG15" s="455">
        <f t="shared" si="14"/>
        <v>1441777</v>
      </c>
      <c r="FH15" s="272">
        <v>55270267</v>
      </c>
      <c r="FI15" s="384">
        <f t="shared" si="15"/>
        <v>0.9</v>
      </c>
      <c r="FJ15" s="272">
        <v>46801423</v>
      </c>
      <c r="FK15" s="272">
        <v>2090146</v>
      </c>
      <c r="FL15" s="272">
        <v>35652213</v>
      </c>
      <c r="FM15" s="272">
        <v>34769392</v>
      </c>
      <c r="FN15" s="460">
        <v>1.006</v>
      </c>
      <c r="FO15" s="388">
        <v>89.8</v>
      </c>
      <c r="FP15" s="388">
        <v>28.9</v>
      </c>
      <c r="FQ15" s="388">
        <v>11.3</v>
      </c>
      <c r="FR15" s="388">
        <v>12.3</v>
      </c>
      <c r="FS15" s="388">
        <v>19.399999999999999</v>
      </c>
      <c r="FT15" s="388">
        <v>4.0999999999999996</v>
      </c>
      <c r="FU15" s="388">
        <v>12</v>
      </c>
      <c r="FV15" s="384">
        <f t="shared" si="16"/>
        <v>1.3</v>
      </c>
      <c r="FW15" s="272">
        <v>53351570</v>
      </c>
      <c r="FX15" s="384">
        <f t="shared" si="17"/>
        <v>114</v>
      </c>
      <c r="FY15" s="272">
        <v>10178227</v>
      </c>
      <c r="FZ15" s="272">
        <v>4001193</v>
      </c>
      <c r="GA15" s="272">
        <v>0</v>
      </c>
      <c r="GB15" s="272">
        <v>6177034</v>
      </c>
      <c r="GC15" s="272"/>
      <c r="GD15" s="272">
        <v>5712264</v>
      </c>
      <c r="GE15" s="384">
        <f t="shared" si="18"/>
        <v>12.2</v>
      </c>
      <c r="GF15" s="388">
        <v>98.8</v>
      </c>
      <c r="GG15" s="388">
        <v>18.100000000000001</v>
      </c>
      <c r="GH15" s="388">
        <v>95.5</v>
      </c>
      <c r="GI15" s="272">
        <v>1638</v>
      </c>
      <c r="GJ15" s="461" t="s">
        <v>646</v>
      </c>
      <c r="GK15" s="461">
        <v>11.27</v>
      </c>
      <c r="GL15" s="462">
        <v>20</v>
      </c>
      <c r="GM15" s="461" t="s">
        <v>646</v>
      </c>
      <c r="GN15" s="462">
        <v>16.27</v>
      </c>
      <c r="GO15" s="462">
        <v>40</v>
      </c>
      <c r="GP15" s="463">
        <v>1.3</v>
      </c>
      <c r="GQ15" s="463">
        <v>25</v>
      </c>
      <c r="GR15" s="463">
        <v>35</v>
      </c>
      <c r="GS15" s="464">
        <v>23.4</v>
      </c>
      <c r="GT15" s="463">
        <v>350</v>
      </c>
      <c r="GU15" s="394"/>
      <c r="GV15" s="394"/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</row>
    <row r="16" spans="2:230" x14ac:dyDescent="0.15">
      <c r="B16" s="89" t="s">
        <v>25</v>
      </c>
      <c r="C16" s="272">
        <v>41641976</v>
      </c>
      <c r="D16" s="455">
        <f t="shared" si="0"/>
        <v>14681777</v>
      </c>
      <c r="E16" s="272">
        <v>345457</v>
      </c>
      <c r="F16" s="272">
        <v>14336320</v>
      </c>
      <c r="G16" s="455">
        <f t="shared" si="1"/>
        <v>4420355</v>
      </c>
      <c r="H16" s="272">
        <v>696637</v>
      </c>
      <c r="I16" s="272">
        <v>3723718</v>
      </c>
      <c r="J16" s="272">
        <v>16820667</v>
      </c>
      <c r="K16" s="272">
        <v>7959399</v>
      </c>
      <c r="L16" s="272">
        <v>6251675</v>
      </c>
      <c r="M16" s="272">
        <v>2322941</v>
      </c>
      <c r="N16" s="272">
        <v>2005674</v>
      </c>
      <c r="O16" s="272">
        <v>3468438</v>
      </c>
      <c r="P16" s="272">
        <v>2105074</v>
      </c>
      <c r="Q16" s="272">
        <v>1363364</v>
      </c>
      <c r="R16" s="272">
        <v>580202</v>
      </c>
      <c r="S16" s="272">
        <v>0</v>
      </c>
      <c r="T16" s="455">
        <f t="shared" si="2"/>
        <v>3827502</v>
      </c>
      <c r="U16" s="272">
        <v>271285</v>
      </c>
      <c r="V16" s="272">
        <v>239806</v>
      </c>
      <c r="W16" s="272">
        <v>147424</v>
      </c>
      <c r="X16" s="272">
        <v>2670245</v>
      </c>
      <c r="Y16" s="272">
        <v>0</v>
      </c>
      <c r="Z16" s="272">
        <v>0</v>
      </c>
      <c r="AA16" s="272">
        <v>498742</v>
      </c>
      <c r="AB16" s="272">
        <v>288979</v>
      </c>
      <c r="AC16" s="272">
        <v>7551286</v>
      </c>
      <c r="AD16" s="272">
        <v>6971821</v>
      </c>
      <c r="AE16" s="272">
        <v>579465</v>
      </c>
      <c r="AF16" s="272">
        <v>56984</v>
      </c>
      <c r="AG16" s="272">
        <v>1751834</v>
      </c>
      <c r="AH16" s="455">
        <f t="shared" si="3"/>
        <v>1910986</v>
      </c>
      <c r="AI16" s="272">
        <v>1243619</v>
      </c>
      <c r="AJ16" s="272">
        <v>667367</v>
      </c>
      <c r="AK16" s="272">
        <v>13022623</v>
      </c>
      <c r="AL16" s="455">
        <f t="shared" si="4"/>
        <v>8408320</v>
      </c>
      <c r="AM16" s="272">
        <v>7644340</v>
      </c>
      <c r="AN16" s="272">
        <v>763980</v>
      </c>
      <c r="AO16" s="272">
        <v>0</v>
      </c>
      <c r="AP16" s="272">
        <v>0</v>
      </c>
      <c r="AQ16" s="272">
        <v>1526430</v>
      </c>
      <c r="AR16" s="272">
        <v>0</v>
      </c>
      <c r="AS16" s="272">
        <v>48294</v>
      </c>
      <c r="AT16" s="272">
        <v>4772915</v>
      </c>
      <c r="AU16" s="272">
        <v>2225196</v>
      </c>
      <c r="AV16" s="272">
        <v>381720</v>
      </c>
      <c r="AW16" s="272">
        <v>8333</v>
      </c>
      <c r="AX16" s="272">
        <v>2547719</v>
      </c>
      <c r="AY16" s="272">
        <v>17082</v>
      </c>
      <c r="AZ16" s="272">
        <v>1408231</v>
      </c>
      <c r="BA16" s="272">
        <v>1275633</v>
      </c>
      <c r="BB16" s="272">
        <v>23729</v>
      </c>
      <c r="BC16" s="272">
        <v>1866533</v>
      </c>
      <c r="BD16" s="272">
        <v>0</v>
      </c>
      <c r="BE16" s="272">
        <v>0</v>
      </c>
      <c r="BF16" s="272">
        <v>1866085</v>
      </c>
      <c r="BG16" s="272">
        <v>0</v>
      </c>
      <c r="BH16" s="272">
        <v>173785</v>
      </c>
      <c r="BI16" s="272">
        <v>44449</v>
      </c>
      <c r="BJ16" s="272">
        <v>1108609</v>
      </c>
      <c r="BK16" s="272">
        <v>365618</v>
      </c>
      <c r="BL16" s="272">
        <v>0</v>
      </c>
      <c r="BM16" s="272">
        <v>80443</v>
      </c>
      <c r="BN16" s="272">
        <v>5907200</v>
      </c>
      <c r="BO16" s="455">
        <f t="shared" si="5"/>
        <v>2537200</v>
      </c>
      <c r="BP16" s="455">
        <f t="shared" si="6"/>
        <v>2170000</v>
      </c>
      <c r="BQ16" s="272"/>
      <c r="BR16" s="272">
        <v>0</v>
      </c>
      <c r="BS16" s="272">
        <v>2170000</v>
      </c>
      <c r="BT16" s="272">
        <v>1200000</v>
      </c>
      <c r="BU16" s="272">
        <v>85941668</v>
      </c>
      <c r="BV16" s="272"/>
      <c r="BW16" s="272">
        <v>20121988</v>
      </c>
      <c r="BX16" s="272">
        <v>12360609</v>
      </c>
      <c r="BY16" s="272">
        <v>3422871</v>
      </c>
      <c r="BZ16" s="272">
        <v>1604126</v>
      </c>
      <c r="CA16" s="272">
        <v>21871548</v>
      </c>
      <c r="CB16" s="272">
        <v>2907828</v>
      </c>
      <c r="CC16" s="272">
        <v>504585</v>
      </c>
      <c r="CD16" s="272">
        <v>6596136</v>
      </c>
      <c r="CE16" s="272">
        <v>10272121</v>
      </c>
      <c r="CF16" s="272">
        <v>1177866</v>
      </c>
      <c r="CG16" s="272">
        <v>412012</v>
      </c>
      <c r="CH16" s="272">
        <v>8709169</v>
      </c>
      <c r="CI16" s="272">
        <v>7218519</v>
      </c>
      <c r="CJ16" s="455">
        <f t="shared" si="7"/>
        <v>1490650</v>
      </c>
      <c r="CK16" s="272">
        <v>9699017</v>
      </c>
      <c r="CL16" s="272">
        <v>6277440</v>
      </c>
      <c r="CM16" s="272">
        <v>304536</v>
      </c>
      <c r="CN16" s="272">
        <v>1880751</v>
      </c>
      <c r="CO16" s="272">
        <v>378766</v>
      </c>
      <c r="CP16" s="272">
        <v>3957067</v>
      </c>
      <c r="CQ16" s="272">
        <v>70712</v>
      </c>
      <c r="CR16" s="272">
        <v>1650448</v>
      </c>
      <c r="CS16" s="272">
        <v>892811</v>
      </c>
      <c r="CT16" s="455">
        <f t="shared" si="8"/>
        <v>1552553</v>
      </c>
      <c r="CU16" s="272">
        <v>1552553</v>
      </c>
      <c r="CV16" s="272">
        <v>0</v>
      </c>
      <c r="CW16" s="455">
        <f t="shared" si="9"/>
        <v>1488730</v>
      </c>
      <c r="CX16" s="272">
        <v>1488730</v>
      </c>
      <c r="CY16" s="272">
        <v>0</v>
      </c>
      <c r="CZ16" s="455">
        <f t="shared" si="10"/>
        <v>0</v>
      </c>
      <c r="DA16" s="272">
        <v>0</v>
      </c>
      <c r="DB16" s="272">
        <v>0</v>
      </c>
      <c r="DC16" s="272">
        <v>6526648</v>
      </c>
      <c r="DD16" s="272">
        <v>2969210</v>
      </c>
      <c r="DE16" s="272">
        <v>3410234</v>
      </c>
      <c r="DF16" s="26">
        <v>66830</v>
      </c>
      <c r="DG16" s="27">
        <v>66830</v>
      </c>
      <c r="DH16" s="272">
        <v>0</v>
      </c>
      <c r="DI16" s="272">
        <v>114923</v>
      </c>
      <c r="DJ16" s="272">
        <v>53878</v>
      </c>
      <c r="DK16" s="272">
        <v>0</v>
      </c>
      <c r="DL16" s="272">
        <v>61045</v>
      </c>
      <c r="DM16" s="272">
        <v>24400</v>
      </c>
      <c r="DN16" s="272">
        <v>0</v>
      </c>
      <c r="DO16" s="272">
        <v>0</v>
      </c>
      <c r="DP16" s="272">
        <v>0</v>
      </c>
      <c r="DQ16" s="272">
        <v>1381755</v>
      </c>
      <c r="DR16" s="272">
        <v>0</v>
      </c>
      <c r="DS16" s="272">
        <v>0</v>
      </c>
      <c r="DT16" s="272">
        <v>12674175</v>
      </c>
      <c r="DU16" s="272">
        <v>5927918</v>
      </c>
      <c r="DV16" s="455">
        <f t="shared" si="11"/>
        <v>0</v>
      </c>
      <c r="DW16" s="272">
        <v>0</v>
      </c>
      <c r="DX16" s="272"/>
      <c r="DY16" s="272">
        <v>0</v>
      </c>
      <c r="DZ16" s="272">
        <v>3000973</v>
      </c>
      <c r="EA16" s="272">
        <v>1540947</v>
      </c>
      <c r="EB16" s="272">
        <v>2141506</v>
      </c>
      <c r="EC16" s="272">
        <v>0</v>
      </c>
      <c r="ED16" s="272">
        <v>85459456</v>
      </c>
      <c r="EE16" s="89"/>
      <c r="EF16" s="272">
        <v>482212</v>
      </c>
      <c r="EG16" s="272">
        <v>438770</v>
      </c>
      <c r="EH16" s="272">
        <v>43442</v>
      </c>
      <c r="EI16" s="272">
        <v>-1007</v>
      </c>
      <c r="EJ16" s="272">
        <v>133401</v>
      </c>
      <c r="EK16" s="89"/>
      <c r="EL16" s="272"/>
      <c r="EM16" s="272">
        <v>266143</v>
      </c>
      <c r="EN16" s="272">
        <v>1500448</v>
      </c>
      <c r="EO16" s="272">
        <v>127375</v>
      </c>
      <c r="EP16" s="455">
        <f t="shared" si="12"/>
        <v>933756</v>
      </c>
      <c r="EQ16" s="272">
        <v>53995223</v>
      </c>
      <c r="ER16" s="272">
        <v>-4626301</v>
      </c>
      <c r="ES16" s="272">
        <v>17453891</v>
      </c>
      <c r="ET16" s="272">
        <v>11270969</v>
      </c>
      <c r="EU16" s="272">
        <v>6797927</v>
      </c>
      <c r="EV16" s="272">
        <v>8627570</v>
      </c>
      <c r="EW16" s="455">
        <f t="shared" si="13"/>
        <v>1765448</v>
      </c>
      <c r="EX16" s="272">
        <v>1765448</v>
      </c>
      <c r="EY16" s="272">
        <v>44392</v>
      </c>
      <c r="EZ16" s="272">
        <v>1684890</v>
      </c>
      <c r="FA16" s="272">
        <v>0</v>
      </c>
      <c r="FB16" s="272">
        <v>0</v>
      </c>
      <c r="FC16" s="272">
        <v>7981212</v>
      </c>
      <c r="FD16" s="272">
        <v>3540704</v>
      </c>
      <c r="FE16" s="272">
        <v>70712</v>
      </c>
      <c r="FF16" s="272">
        <v>11588021</v>
      </c>
      <c r="FG16" s="455">
        <f t="shared" si="14"/>
        <v>384539</v>
      </c>
      <c r="FH16" s="272">
        <v>58139312</v>
      </c>
      <c r="FI16" s="384">
        <f t="shared" si="15"/>
        <v>0.1</v>
      </c>
      <c r="FJ16" s="272">
        <v>49324671</v>
      </c>
      <c r="FK16" s="272">
        <v>2175559</v>
      </c>
      <c r="FL16" s="272">
        <v>32329853</v>
      </c>
      <c r="FM16" s="272">
        <v>39379906</v>
      </c>
      <c r="FN16" s="460">
        <v>0.81</v>
      </c>
      <c r="FO16" s="388">
        <v>99.8</v>
      </c>
      <c r="FP16" s="388">
        <v>31.9</v>
      </c>
      <c r="FQ16" s="388">
        <v>12.9</v>
      </c>
      <c r="FR16" s="388">
        <v>16.3</v>
      </c>
      <c r="FS16" s="388">
        <v>13.7</v>
      </c>
      <c r="FT16" s="388">
        <v>5.5</v>
      </c>
      <c r="FU16" s="388">
        <v>18.8</v>
      </c>
      <c r="FV16" s="384">
        <f t="shared" si="16"/>
        <v>7.4</v>
      </c>
      <c r="FW16" s="272">
        <v>79174061</v>
      </c>
      <c r="FX16" s="384">
        <f t="shared" si="17"/>
        <v>160.5</v>
      </c>
      <c r="FY16" s="272">
        <v>11654251</v>
      </c>
      <c r="FZ16" s="272">
        <v>4929958</v>
      </c>
      <c r="GA16" s="272">
        <v>0</v>
      </c>
      <c r="GB16" s="272">
        <v>6724293</v>
      </c>
      <c r="GC16" s="272"/>
      <c r="GD16" s="272">
        <v>6032941</v>
      </c>
      <c r="GE16" s="384">
        <f t="shared" si="18"/>
        <v>12.2</v>
      </c>
      <c r="GF16" s="388">
        <v>98.6</v>
      </c>
      <c r="GG16" s="388">
        <v>32.5</v>
      </c>
      <c r="GH16" s="388">
        <v>96</v>
      </c>
      <c r="GI16" s="272">
        <v>1714</v>
      </c>
      <c r="GJ16" s="461" t="s">
        <v>646</v>
      </c>
      <c r="GK16" s="461">
        <v>11.25</v>
      </c>
      <c r="GL16" s="462">
        <v>20</v>
      </c>
      <c r="GM16" s="461" t="s">
        <v>646</v>
      </c>
      <c r="GN16" s="462">
        <v>16.25</v>
      </c>
      <c r="GO16" s="462">
        <v>40</v>
      </c>
      <c r="GP16" s="463">
        <v>7.4</v>
      </c>
      <c r="GQ16" s="463">
        <v>25</v>
      </c>
      <c r="GR16" s="463">
        <v>35</v>
      </c>
      <c r="GS16" s="464">
        <v>83.1</v>
      </c>
      <c r="GT16" s="463">
        <v>350</v>
      </c>
      <c r="GU16" s="394"/>
      <c r="GV16" s="394"/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</row>
    <row r="17" spans="2:230" x14ac:dyDescent="0.15">
      <c r="B17" s="89" t="s">
        <v>27</v>
      </c>
      <c r="C17" s="272">
        <v>19009163</v>
      </c>
      <c r="D17" s="455">
        <f t="shared" si="0"/>
        <v>4439079</v>
      </c>
      <c r="E17" s="272">
        <v>115519</v>
      </c>
      <c r="F17" s="272">
        <v>4323560</v>
      </c>
      <c r="G17" s="455">
        <f t="shared" si="1"/>
        <v>1399943</v>
      </c>
      <c r="H17" s="272">
        <v>430608</v>
      </c>
      <c r="I17" s="272">
        <v>969335</v>
      </c>
      <c r="J17" s="272">
        <v>10750035</v>
      </c>
      <c r="K17" s="272">
        <v>3213984</v>
      </c>
      <c r="L17" s="272">
        <v>3820751</v>
      </c>
      <c r="M17" s="272">
        <v>3408535</v>
      </c>
      <c r="N17" s="272">
        <v>764449</v>
      </c>
      <c r="O17" s="272">
        <v>1498372</v>
      </c>
      <c r="P17" s="272">
        <v>696778</v>
      </c>
      <c r="Q17" s="272">
        <v>801594</v>
      </c>
      <c r="R17" s="272">
        <v>264562</v>
      </c>
      <c r="S17" s="272">
        <v>0</v>
      </c>
      <c r="T17" s="455">
        <f t="shared" si="2"/>
        <v>1495769</v>
      </c>
      <c r="U17" s="272">
        <v>79986</v>
      </c>
      <c r="V17" s="272">
        <v>70709</v>
      </c>
      <c r="W17" s="272">
        <v>43452</v>
      </c>
      <c r="X17" s="272">
        <v>1037693</v>
      </c>
      <c r="Y17" s="272">
        <v>68317</v>
      </c>
      <c r="Z17" s="272">
        <v>0</v>
      </c>
      <c r="AA17" s="272">
        <v>195612</v>
      </c>
      <c r="AB17" s="272">
        <v>90900</v>
      </c>
      <c r="AC17" s="272">
        <v>879662</v>
      </c>
      <c r="AD17" s="272">
        <v>280607</v>
      </c>
      <c r="AE17" s="272">
        <v>599055</v>
      </c>
      <c r="AF17" s="272">
        <v>23688</v>
      </c>
      <c r="AG17" s="272">
        <v>727417</v>
      </c>
      <c r="AH17" s="455">
        <f t="shared" si="3"/>
        <v>1082408</v>
      </c>
      <c r="AI17" s="272">
        <v>784417</v>
      </c>
      <c r="AJ17" s="272">
        <v>297991</v>
      </c>
      <c r="AK17" s="272">
        <v>4418080</v>
      </c>
      <c r="AL17" s="455">
        <f t="shared" si="4"/>
        <v>2367941</v>
      </c>
      <c r="AM17" s="272">
        <v>2022061</v>
      </c>
      <c r="AN17" s="272">
        <v>345880</v>
      </c>
      <c r="AO17" s="272">
        <v>0</v>
      </c>
      <c r="AP17" s="272">
        <v>0</v>
      </c>
      <c r="AQ17" s="272">
        <v>682642</v>
      </c>
      <c r="AR17" s="272">
        <v>0</v>
      </c>
      <c r="AS17" s="272">
        <v>0</v>
      </c>
      <c r="AT17" s="272">
        <v>2035372</v>
      </c>
      <c r="AU17" s="272">
        <v>920406</v>
      </c>
      <c r="AV17" s="272">
        <v>173239</v>
      </c>
      <c r="AW17" s="272">
        <v>9106</v>
      </c>
      <c r="AX17" s="272">
        <v>1114966</v>
      </c>
      <c r="AY17" s="272">
        <v>5369</v>
      </c>
      <c r="AZ17" s="272">
        <v>14220</v>
      </c>
      <c r="BA17" s="272">
        <v>5716</v>
      </c>
      <c r="BB17" s="272">
        <v>4291</v>
      </c>
      <c r="BC17" s="272">
        <v>1236910</v>
      </c>
      <c r="BD17" s="272">
        <v>0</v>
      </c>
      <c r="BE17" s="272">
        <v>51000</v>
      </c>
      <c r="BF17" s="272">
        <v>1185910</v>
      </c>
      <c r="BG17" s="272">
        <v>0</v>
      </c>
      <c r="BH17" s="272">
        <v>83612</v>
      </c>
      <c r="BI17" s="272">
        <v>48540</v>
      </c>
      <c r="BJ17" s="272">
        <v>4528952</v>
      </c>
      <c r="BK17" s="272">
        <v>4034606</v>
      </c>
      <c r="BL17" s="272">
        <v>0</v>
      </c>
      <c r="BM17" s="272">
        <v>65144</v>
      </c>
      <c r="BN17" s="272">
        <v>5695800</v>
      </c>
      <c r="BO17" s="455">
        <f t="shared" si="5"/>
        <v>4211500</v>
      </c>
      <c r="BP17" s="455">
        <f t="shared" si="6"/>
        <v>1071300</v>
      </c>
      <c r="BQ17" s="272"/>
      <c r="BR17" s="272">
        <v>200200</v>
      </c>
      <c r="BS17" s="272">
        <v>871100</v>
      </c>
      <c r="BT17" s="272">
        <v>413000</v>
      </c>
      <c r="BU17" s="272">
        <v>41590806</v>
      </c>
      <c r="BV17" s="272"/>
      <c r="BW17" s="272">
        <v>7603154</v>
      </c>
      <c r="BX17" s="272">
        <v>5138602</v>
      </c>
      <c r="BY17" s="272">
        <v>686458</v>
      </c>
      <c r="BZ17" s="272">
        <v>548646</v>
      </c>
      <c r="CA17" s="272">
        <v>6672875</v>
      </c>
      <c r="CB17" s="272">
        <v>884165</v>
      </c>
      <c r="CC17" s="272">
        <v>198575</v>
      </c>
      <c r="CD17" s="272">
        <v>2821834</v>
      </c>
      <c r="CE17" s="272">
        <v>2670752</v>
      </c>
      <c r="CF17" s="272">
        <v>2938</v>
      </c>
      <c r="CG17" s="272">
        <v>94611</v>
      </c>
      <c r="CH17" s="272">
        <v>7171464</v>
      </c>
      <c r="CI17" s="272">
        <v>5274327</v>
      </c>
      <c r="CJ17" s="455">
        <f t="shared" si="7"/>
        <v>1897137</v>
      </c>
      <c r="CK17" s="272">
        <v>3547443</v>
      </c>
      <c r="CL17" s="272">
        <v>2441434</v>
      </c>
      <c r="CM17" s="272">
        <v>117081</v>
      </c>
      <c r="CN17" s="272">
        <v>603189</v>
      </c>
      <c r="CO17" s="272">
        <v>227902</v>
      </c>
      <c r="CP17" s="272">
        <v>3379371</v>
      </c>
      <c r="CQ17" s="272">
        <v>1189993</v>
      </c>
      <c r="CR17" s="272">
        <v>709366</v>
      </c>
      <c r="CS17" s="272">
        <v>471184</v>
      </c>
      <c r="CT17" s="455">
        <f t="shared" si="8"/>
        <v>849900</v>
      </c>
      <c r="CU17" s="272">
        <v>727925</v>
      </c>
      <c r="CV17" s="272">
        <v>121975</v>
      </c>
      <c r="CW17" s="455">
        <f t="shared" si="9"/>
        <v>843022</v>
      </c>
      <c r="CX17" s="272">
        <v>721047</v>
      </c>
      <c r="CY17" s="272">
        <v>121975</v>
      </c>
      <c r="CZ17" s="455">
        <f t="shared" si="10"/>
        <v>0</v>
      </c>
      <c r="DA17" s="272">
        <v>0</v>
      </c>
      <c r="DB17" s="272">
        <v>0</v>
      </c>
      <c r="DC17" s="272">
        <v>4502538</v>
      </c>
      <c r="DD17" s="272">
        <v>978118</v>
      </c>
      <c r="DE17" s="272">
        <v>3447829</v>
      </c>
      <c r="DF17" s="26">
        <v>31712</v>
      </c>
      <c r="DG17" s="27">
        <v>31712</v>
      </c>
      <c r="DH17" s="272">
        <v>0</v>
      </c>
      <c r="DI17" s="272">
        <v>190147</v>
      </c>
      <c r="DJ17" s="272">
        <v>25002</v>
      </c>
      <c r="DK17" s="272">
        <v>81</v>
      </c>
      <c r="DL17" s="272">
        <v>165064</v>
      </c>
      <c r="DM17" s="272">
        <v>0</v>
      </c>
      <c r="DN17" s="272">
        <v>0</v>
      </c>
      <c r="DO17" s="272">
        <v>0</v>
      </c>
      <c r="DP17" s="272">
        <v>0</v>
      </c>
      <c r="DQ17" s="272">
        <v>4020000</v>
      </c>
      <c r="DR17" s="272">
        <v>0</v>
      </c>
      <c r="DS17" s="272">
        <v>0</v>
      </c>
      <c r="DT17" s="272">
        <v>3869036</v>
      </c>
      <c r="DU17" s="272">
        <v>1519095</v>
      </c>
      <c r="DV17" s="455">
        <f t="shared" si="11"/>
        <v>0</v>
      </c>
      <c r="DW17" s="272">
        <v>0</v>
      </c>
      <c r="DX17" s="272"/>
      <c r="DY17" s="272">
        <v>0</v>
      </c>
      <c r="DZ17" s="272">
        <v>783707</v>
      </c>
      <c r="EA17" s="272">
        <v>715149</v>
      </c>
      <c r="EB17" s="272">
        <v>836019</v>
      </c>
      <c r="EC17" s="272">
        <v>0</v>
      </c>
      <c r="ED17" s="272">
        <v>41183930</v>
      </c>
      <c r="EE17" s="89"/>
      <c r="EF17" s="272">
        <v>406876</v>
      </c>
      <c r="EG17" s="272">
        <v>1652</v>
      </c>
      <c r="EH17" s="272">
        <v>405224</v>
      </c>
      <c r="EI17" s="272">
        <v>356684</v>
      </c>
      <c r="EJ17" s="272">
        <v>1585821</v>
      </c>
      <c r="EK17" s="89"/>
      <c r="EL17" s="272"/>
      <c r="EM17" s="272">
        <v>101745</v>
      </c>
      <c r="EN17" s="272">
        <v>81201</v>
      </c>
      <c r="EO17" s="272">
        <v>6113</v>
      </c>
      <c r="EP17" s="455">
        <f t="shared" si="12"/>
        <v>1399784</v>
      </c>
      <c r="EQ17" s="272">
        <v>21763744</v>
      </c>
      <c r="ER17" s="272">
        <v>-2534710</v>
      </c>
      <c r="ES17" s="272">
        <v>6269082</v>
      </c>
      <c r="ET17" s="272">
        <v>4265781</v>
      </c>
      <c r="EU17" s="272">
        <v>2014872</v>
      </c>
      <c r="EV17" s="272">
        <v>6967759</v>
      </c>
      <c r="EW17" s="455">
        <f t="shared" si="13"/>
        <v>440057</v>
      </c>
      <c r="EX17" s="272">
        <v>440057</v>
      </c>
      <c r="EY17" s="272">
        <v>6789</v>
      </c>
      <c r="EZ17" s="272">
        <v>432956</v>
      </c>
      <c r="FA17" s="272">
        <v>0</v>
      </c>
      <c r="FB17" s="272">
        <v>0</v>
      </c>
      <c r="FC17" s="272">
        <v>2546468</v>
      </c>
      <c r="FD17" s="272">
        <v>2552494</v>
      </c>
      <c r="FE17" s="272">
        <v>610993</v>
      </c>
      <c r="FF17" s="272">
        <v>2849815</v>
      </c>
      <c r="FG17" s="455">
        <f t="shared" si="14"/>
        <v>251031</v>
      </c>
      <c r="FH17" s="272">
        <v>23891578</v>
      </c>
      <c r="FI17" s="384">
        <f t="shared" si="15"/>
        <v>2.1</v>
      </c>
      <c r="FJ17" s="272">
        <v>19717662</v>
      </c>
      <c r="FK17" s="272">
        <v>871196</v>
      </c>
      <c r="FL17" s="272">
        <v>14858715</v>
      </c>
      <c r="FM17" s="272">
        <v>15165258</v>
      </c>
      <c r="FN17" s="460">
        <v>0.97199999999999998</v>
      </c>
      <c r="FO17" s="388">
        <v>101.1</v>
      </c>
      <c r="FP17" s="388">
        <v>29.2</v>
      </c>
      <c r="FQ17" s="388">
        <v>9.6999999999999993</v>
      </c>
      <c r="FR17" s="388">
        <v>27.6</v>
      </c>
      <c r="FS17" s="388">
        <v>10.9</v>
      </c>
      <c r="FT17" s="388">
        <v>10.1</v>
      </c>
      <c r="FU17" s="388">
        <v>12.5</v>
      </c>
      <c r="FV17" s="384">
        <f t="shared" si="16"/>
        <v>16.899999999999999</v>
      </c>
      <c r="FW17" s="272">
        <v>74998257</v>
      </c>
      <c r="FX17" s="384">
        <f t="shared" si="17"/>
        <v>380.4</v>
      </c>
      <c r="FY17" s="272">
        <v>4466845</v>
      </c>
      <c r="FZ17" s="272">
        <v>25845</v>
      </c>
      <c r="GA17" s="272">
        <v>478</v>
      </c>
      <c r="GB17" s="272">
        <v>4440522</v>
      </c>
      <c r="GC17" s="272">
        <v>500000</v>
      </c>
      <c r="GD17" s="272">
        <v>8837534</v>
      </c>
      <c r="GE17" s="384">
        <f t="shared" si="18"/>
        <v>44.8</v>
      </c>
      <c r="GF17" s="388">
        <v>98.7</v>
      </c>
      <c r="GG17" s="388">
        <v>22.2</v>
      </c>
      <c r="GH17" s="388">
        <v>93.9</v>
      </c>
      <c r="GI17" s="272">
        <v>794</v>
      </c>
      <c r="GJ17" s="461" t="s">
        <v>646</v>
      </c>
      <c r="GK17" s="461">
        <v>12.44</v>
      </c>
      <c r="GL17" s="462">
        <v>20</v>
      </c>
      <c r="GM17" s="461">
        <v>39.31</v>
      </c>
      <c r="GN17" s="462">
        <v>17.440000000000001</v>
      </c>
      <c r="GO17" s="462">
        <v>40</v>
      </c>
      <c r="GP17" s="463">
        <v>16.899999999999999</v>
      </c>
      <c r="GQ17" s="463">
        <v>25</v>
      </c>
      <c r="GR17" s="463">
        <v>35</v>
      </c>
      <c r="GS17" s="464">
        <v>405.7</v>
      </c>
      <c r="GT17" s="463">
        <v>350</v>
      </c>
      <c r="GU17" s="394"/>
      <c r="GV17" s="394"/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</row>
    <row r="18" spans="2:230" x14ac:dyDescent="0.15">
      <c r="B18" s="89" t="s">
        <v>29</v>
      </c>
      <c r="C18" s="272">
        <v>14691938</v>
      </c>
      <c r="D18" s="455">
        <f t="shared" si="0"/>
        <v>6720370</v>
      </c>
      <c r="E18" s="272">
        <v>151906</v>
      </c>
      <c r="F18" s="272">
        <v>6568464</v>
      </c>
      <c r="G18" s="455">
        <f t="shared" si="1"/>
        <v>724295</v>
      </c>
      <c r="H18" s="272">
        <v>194177</v>
      </c>
      <c r="I18" s="272">
        <v>530118</v>
      </c>
      <c r="J18" s="272">
        <v>5473697</v>
      </c>
      <c r="K18" s="272">
        <v>2239188</v>
      </c>
      <c r="L18" s="272">
        <v>2528056</v>
      </c>
      <c r="M18" s="272">
        <v>608708</v>
      </c>
      <c r="N18" s="272">
        <v>568879</v>
      </c>
      <c r="O18" s="272">
        <v>1066748</v>
      </c>
      <c r="P18" s="272">
        <v>584120</v>
      </c>
      <c r="Q18" s="272">
        <v>482628</v>
      </c>
      <c r="R18" s="272">
        <v>290887</v>
      </c>
      <c r="S18" s="272">
        <v>0</v>
      </c>
      <c r="T18" s="455">
        <f t="shared" si="2"/>
        <v>1648904</v>
      </c>
      <c r="U18" s="272">
        <v>126897</v>
      </c>
      <c r="V18" s="272">
        <v>112274</v>
      </c>
      <c r="W18" s="272">
        <v>68629</v>
      </c>
      <c r="X18" s="272">
        <v>1040006</v>
      </c>
      <c r="Y18" s="272">
        <v>50617</v>
      </c>
      <c r="Z18" s="272">
        <v>0</v>
      </c>
      <c r="AA18" s="272">
        <v>250481</v>
      </c>
      <c r="AB18" s="272">
        <v>124635</v>
      </c>
      <c r="AC18" s="272">
        <v>5016597</v>
      </c>
      <c r="AD18" s="272">
        <v>4841485</v>
      </c>
      <c r="AE18" s="272">
        <v>175112</v>
      </c>
      <c r="AF18" s="272">
        <v>25363</v>
      </c>
      <c r="AG18" s="272">
        <v>468033</v>
      </c>
      <c r="AH18" s="455">
        <f t="shared" si="3"/>
        <v>981132</v>
      </c>
      <c r="AI18" s="272">
        <v>720605</v>
      </c>
      <c r="AJ18" s="272">
        <v>260527</v>
      </c>
      <c r="AK18" s="272">
        <v>4203963</v>
      </c>
      <c r="AL18" s="455">
        <f t="shared" si="4"/>
        <v>2615680</v>
      </c>
      <c r="AM18" s="272">
        <v>2397576</v>
      </c>
      <c r="AN18" s="272">
        <v>218104</v>
      </c>
      <c r="AO18" s="272">
        <v>0</v>
      </c>
      <c r="AP18" s="272">
        <v>0</v>
      </c>
      <c r="AQ18" s="272">
        <v>303246</v>
      </c>
      <c r="AR18" s="272">
        <v>8712</v>
      </c>
      <c r="AS18" s="272">
        <v>0</v>
      </c>
      <c r="AT18" s="272">
        <v>1974613</v>
      </c>
      <c r="AU18" s="272">
        <v>875078</v>
      </c>
      <c r="AV18" s="272">
        <v>117675</v>
      </c>
      <c r="AW18" s="272">
        <v>35751</v>
      </c>
      <c r="AX18" s="272">
        <v>1099535</v>
      </c>
      <c r="AY18" s="272">
        <v>24701</v>
      </c>
      <c r="AZ18" s="272">
        <v>29714</v>
      </c>
      <c r="BA18" s="272">
        <v>1374</v>
      </c>
      <c r="BB18" s="272">
        <v>2125</v>
      </c>
      <c r="BC18" s="272">
        <v>1529278</v>
      </c>
      <c r="BD18" s="272">
        <v>0</v>
      </c>
      <c r="BE18" s="272">
        <v>0</v>
      </c>
      <c r="BF18" s="272">
        <v>1529278</v>
      </c>
      <c r="BG18" s="272">
        <v>0</v>
      </c>
      <c r="BH18" s="272">
        <v>476103</v>
      </c>
      <c r="BI18" s="272">
        <v>435626</v>
      </c>
      <c r="BJ18" s="272">
        <v>1757151</v>
      </c>
      <c r="BK18" s="272">
        <v>1175992</v>
      </c>
      <c r="BL18" s="272">
        <v>0</v>
      </c>
      <c r="BM18" s="272">
        <v>64758</v>
      </c>
      <c r="BN18" s="272">
        <v>1278390</v>
      </c>
      <c r="BO18" s="455">
        <f t="shared" si="5"/>
        <v>223700</v>
      </c>
      <c r="BP18" s="455">
        <f t="shared" si="6"/>
        <v>1054690</v>
      </c>
      <c r="BQ18" s="272"/>
      <c r="BR18" s="272">
        <v>0</v>
      </c>
      <c r="BS18" s="272">
        <v>1054690</v>
      </c>
      <c r="BT18" s="272">
        <v>0</v>
      </c>
      <c r="BU18" s="272">
        <v>34498826</v>
      </c>
      <c r="BV18" s="272"/>
      <c r="BW18" s="272">
        <v>8238695</v>
      </c>
      <c r="BX18" s="272">
        <v>5692709</v>
      </c>
      <c r="BY18" s="272">
        <v>1216444</v>
      </c>
      <c r="BZ18" s="272">
        <v>56278</v>
      </c>
      <c r="CA18" s="272">
        <v>7576018</v>
      </c>
      <c r="CB18" s="272">
        <v>1170184</v>
      </c>
      <c r="CC18" s="272">
        <v>202289</v>
      </c>
      <c r="CD18" s="272">
        <v>2881322</v>
      </c>
      <c r="CE18" s="272">
        <v>3167701</v>
      </c>
      <c r="CF18" s="272">
        <v>230</v>
      </c>
      <c r="CG18" s="272">
        <v>154292</v>
      </c>
      <c r="CH18" s="272">
        <v>2219148</v>
      </c>
      <c r="CI18" s="272">
        <v>1785915</v>
      </c>
      <c r="CJ18" s="455">
        <f t="shared" si="7"/>
        <v>433233</v>
      </c>
      <c r="CK18" s="272">
        <v>5021489</v>
      </c>
      <c r="CL18" s="272">
        <v>3120218</v>
      </c>
      <c r="CM18" s="272">
        <v>678893</v>
      </c>
      <c r="CN18" s="272">
        <v>562594</v>
      </c>
      <c r="CO18" s="272">
        <v>302544</v>
      </c>
      <c r="CP18" s="272">
        <v>2583773</v>
      </c>
      <c r="CQ18" s="272">
        <v>1093827</v>
      </c>
      <c r="CR18" s="272">
        <v>1019529</v>
      </c>
      <c r="CS18" s="272">
        <v>775427</v>
      </c>
      <c r="CT18" s="455">
        <f t="shared" si="8"/>
        <v>2421</v>
      </c>
      <c r="CU18" s="272">
        <v>1083</v>
      </c>
      <c r="CV18" s="272">
        <v>1338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1816412</v>
      </c>
      <c r="DD18" s="272">
        <v>600251</v>
      </c>
      <c r="DE18" s="272">
        <v>1216161</v>
      </c>
      <c r="DF18" s="26">
        <v>0</v>
      </c>
      <c r="DG18" s="27">
        <v>0</v>
      </c>
      <c r="DH18" s="272">
        <v>87766</v>
      </c>
      <c r="DI18" s="272">
        <v>585082</v>
      </c>
      <c r="DJ18" s="272">
        <v>2167</v>
      </c>
      <c r="DK18" s="272">
        <v>0</v>
      </c>
      <c r="DL18" s="272">
        <v>582915</v>
      </c>
      <c r="DM18" s="272">
        <v>2000</v>
      </c>
      <c r="DN18" s="272">
        <v>0</v>
      </c>
      <c r="DO18" s="272">
        <v>0</v>
      </c>
      <c r="DP18" s="272">
        <v>0</v>
      </c>
      <c r="DQ18" s="272">
        <v>1164990</v>
      </c>
      <c r="DR18" s="272">
        <v>0</v>
      </c>
      <c r="DS18" s="272">
        <v>0</v>
      </c>
      <c r="DT18" s="272">
        <v>4401361</v>
      </c>
      <c r="DU18" s="272">
        <v>1586074</v>
      </c>
      <c r="DV18" s="455">
        <f t="shared" si="11"/>
        <v>0</v>
      </c>
      <c r="DW18" s="272">
        <v>0</v>
      </c>
      <c r="DX18" s="272"/>
      <c r="DY18" s="272">
        <v>0</v>
      </c>
      <c r="DZ18" s="272">
        <v>1128303</v>
      </c>
      <c r="EA18" s="272">
        <v>778873</v>
      </c>
      <c r="EB18" s="272">
        <v>905458</v>
      </c>
      <c r="EC18" s="272">
        <v>0</v>
      </c>
      <c r="ED18" s="272">
        <v>33999278</v>
      </c>
      <c r="EE18" s="89"/>
      <c r="EF18" s="272">
        <v>499548</v>
      </c>
      <c r="EG18" s="272">
        <v>57126</v>
      </c>
      <c r="EH18" s="272">
        <v>442422</v>
      </c>
      <c r="EI18" s="272">
        <v>6796</v>
      </c>
      <c r="EJ18" s="272">
        <v>8963</v>
      </c>
      <c r="EK18" s="89"/>
      <c r="EL18" s="272"/>
      <c r="EM18" s="272">
        <v>121526</v>
      </c>
      <c r="EN18" s="272">
        <v>470832</v>
      </c>
      <c r="EO18" s="272">
        <v>7062</v>
      </c>
      <c r="EP18" s="455">
        <f t="shared" si="12"/>
        <v>799684</v>
      </c>
      <c r="EQ18" s="272">
        <v>21798324</v>
      </c>
      <c r="ER18" s="272">
        <v>-2306905</v>
      </c>
      <c r="ES18" s="272">
        <v>7469477</v>
      </c>
      <c r="ET18" s="272">
        <v>4955011</v>
      </c>
      <c r="EU18" s="272">
        <v>2826777</v>
      </c>
      <c r="EV18" s="272">
        <v>2159636</v>
      </c>
      <c r="EW18" s="455">
        <f t="shared" si="13"/>
        <v>226942</v>
      </c>
      <c r="EX18" s="272">
        <v>149628</v>
      </c>
      <c r="EY18" s="272">
        <v>28517</v>
      </c>
      <c r="EZ18" s="272">
        <v>121111</v>
      </c>
      <c r="FA18" s="272">
        <v>77314</v>
      </c>
      <c r="FB18" s="272">
        <v>0</v>
      </c>
      <c r="FC18" s="272">
        <v>4093083</v>
      </c>
      <c r="FD18" s="272">
        <v>2420642</v>
      </c>
      <c r="FE18" s="272">
        <v>1093827</v>
      </c>
      <c r="FF18" s="272">
        <v>3971794</v>
      </c>
      <c r="FG18" s="455">
        <f t="shared" si="14"/>
        <v>437330</v>
      </c>
      <c r="FH18" s="272">
        <v>23605681</v>
      </c>
      <c r="FI18" s="384">
        <f t="shared" si="15"/>
        <v>2.1</v>
      </c>
      <c r="FJ18" s="272">
        <v>20595986</v>
      </c>
      <c r="FK18" s="272">
        <v>1054690</v>
      </c>
      <c r="FL18" s="272">
        <v>12051064</v>
      </c>
      <c r="FM18" s="272">
        <v>16921279</v>
      </c>
      <c r="FN18" s="460">
        <v>0.71099999999999997</v>
      </c>
      <c r="FO18" s="388">
        <v>98.9</v>
      </c>
      <c r="FP18" s="388">
        <v>31.3</v>
      </c>
      <c r="FQ18" s="388">
        <v>13</v>
      </c>
      <c r="FR18" s="388">
        <v>9.9</v>
      </c>
      <c r="FS18" s="388">
        <v>18.600000000000001</v>
      </c>
      <c r="FT18" s="388">
        <v>10.4</v>
      </c>
      <c r="FU18" s="388">
        <v>14.3</v>
      </c>
      <c r="FV18" s="384">
        <f t="shared" si="16"/>
        <v>3</v>
      </c>
      <c r="FW18" s="272">
        <v>23475943</v>
      </c>
      <c r="FX18" s="384">
        <f t="shared" si="17"/>
        <v>114</v>
      </c>
      <c r="FY18" s="272">
        <v>8417588</v>
      </c>
      <c r="FZ18" s="272">
        <v>3884117</v>
      </c>
      <c r="GA18" s="272">
        <v>0</v>
      </c>
      <c r="GB18" s="272">
        <v>4533471</v>
      </c>
      <c r="GC18" s="272"/>
      <c r="GD18" s="272">
        <v>738588</v>
      </c>
      <c r="GE18" s="384">
        <f t="shared" si="18"/>
        <v>3.6</v>
      </c>
      <c r="GF18" s="388">
        <v>97.8</v>
      </c>
      <c r="GG18" s="388">
        <v>27.4</v>
      </c>
      <c r="GH18" s="388">
        <v>93</v>
      </c>
      <c r="GI18" s="272">
        <v>841</v>
      </c>
      <c r="GJ18" s="461" t="s">
        <v>646</v>
      </c>
      <c r="GK18" s="461">
        <v>12.34</v>
      </c>
      <c r="GL18" s="462">
        <v>20</v>
      </c>
      <c r="GM18" s="461" t="s">
        <v>646</v>
      </c>
      <c r="GN18" s="462">
        <v>17.34</v>
      </c>
      <c r="GO18" s="462">
        <v>40</v>
      </c>
      <c r="GP18" s="463">
        <v>3</v>
      </c>
      <c r="GQ18" s="463">
        <v>25</v>
      </c>
      <c r="GR18" s="463">
        <v>35</v>
      </c>
      <c r="GS18" s="464">
        <v>7.7</v>
      </c>
      <c r="GT18" s="463">
        <v>350</v>
      </c>
      <c r="GU18" s="394"/>
      <c r="GV18" s="394"/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</row>
    <row r="19" spans="2:230" x14ac:dyDescent="0.15">
      <c r="B19" s="89" t="s">
        <v>31</v>
      </c>
      <c r="C19" s="272">
        <v>29842772</v>
      </c>
      <c r="D19" s="455">
        <f t="shared" si="0"/>
        <v>12059056</v>
      </c>
      <c r="E19" s="272">
        <v>303322</v>
      </c>
      <c r="F19" s="272">
        <v>11755734</v>
      </c>
      <c r="G19" s="455">
        <f t="shared" si="1"/>
        <v>2157117</v>
      </c>
      <c r="H19" s="272">
        <v>518476</v>
      </c>
      <c r="I19" s="272">
        <v>1638641</v>
      </c>
      <c r="J19" s="272">
        <v>11356735</v>
      </c>
      <c r="K19" s="272">
        <v>5257043</v>
      </c>
      <c r="L19" s="272">
        <v>4673040</v>
      </c>
      <c r="M19" s="272">
        <v>1154821</v>
      </c>
      <c r="N19" s="272">
        <v>1540732</v>
      </c>
      <c r="O19" s="272">
        <v>2547387</v>
      </c>
      <c r="P19" s="272">
        <v>1510112</v>
      </c>
      <c r="Q19" s="272">
        <v>1037275</v>
      </c>
      <c r="R19" s="272">
        <v>452726</v>
      </c>
      <c r="S19" s="272">
        <v>0</v>
      </c>
      <c r="T19" s="455">
        <f t="shared" si="2"/>
        <v>3001160</v>
      </c>
      <c r="U19" s="272">
        <v>226725</v>
      </c>
      <c r="V19" s="272">
        <v>200664</v>
      </c>
      <c r="W19" s="272">
        <v>122392</v>
      </c>
      <c r="X19" s="272">
        <v>2061528</v>
      </c>
      <c r="Y19" s="272">
        <v>0</v>
      </c>
      <c r="Z19" s="272">
        <v>0</v>
      </c>
      <c r="AA19" s="272">
        <v>389851</v>
      </c>
      <c r="AB19" s="272">
        <v>193223</v>
      </c>
      <c r="AC19" s="272">
        <v>9476502</v>
      </c>
      <c r="AD19" s="272">
        <v>9037247</v>
      </c>
      <c r="AE19" s="272">
        <v>439255</v>
      </c>
      <c r="AF19" s="272">
        <v>44626</v>
      </c>
      <c r="AG19" s="272">
        <v>552479</v>
      </c>
      <c r="AH19" s="455">
        <f t="shared" si="3"/>
        <v>1338344</v>
      </c>
      <c r="AI19" s="272">
        <v>1089389</v>
      </c>
      <c r="AJ19" s="272">
        <v>248955</v>
      </c>
      <c r="AK19" s="272">
        <v>10234901</v>
      </c>
      <c r="AL19" s="455">
        <f t="shared" si="4"/>
        <v>6478748</v>
      </c>
      <c r="AM19" s="272">
        <v>5716363</v>
      </c>
      <c r="AN19" s="272">
        <v>762385</v>
      </c>
      <c r="AO19" s="272">
        <v>0</v>
      </c>
      <c r="AP19" s="272">
        <v>0</v>
      </c>
      <c r="AQ19" s="272">
        <v>420338</v>
      </c>
      <c r="AR19" s="272">
        <v>0</v>
      </c>
      <c r="AS19" s="272">
        <v>0</v>
      </c>
      <c r="AT19" s="272">
        <v>4338463</v>
      </c>
      <c r="AU19" s="272">
        <v>1966899</v>
      </c>
      <c r="AV19" s="272">
        <v>381193</v>
      </c>
      <c r="AW19" s="272">
        <v>0</v>
      </c>
      <c r="AX19" s="272">
        <v>2371564</v>
      </c>
      <c r="AY19" s="272">
        <v>23784</v>
      </c>
      <c r="AZ19" s="272">
        <v>50549</v>
      </c>
      <c r="BA19" s="272">
        <v>40580</v>
      </c>
      <c r="BB19" s="272">
        <v>12042</v>
      </c>
      <c r="BC19" s="272">
        <v>600083</v>
      </c>
      <c r="BD19" s="272">
        <v>0</v>
      </c>
      <c r="BE19" s="272">
        <v>270342</v>
      </c>
      <c r="BF19" s="272">
        <v>222601</v>
      </c>
      <c r="BG19" s="272">
        <v>0</v>
      </c>
      <c r="BH19" s="272">
        <v>136048</v>
      </c>
      <c r="BI19" s="272">
        <v>119441</v>
      </c>
      <c r="BJ19" s="272">
        <v>3113509</v>
      </c>
      <c r="BK19" s="272">
        <v>2485217</v>
      </c>
      <c r="BL19" s="272">
        <v>19726</v>
      </c>
      <c r="BM19" s="272">
        <v>75507</v>
      </c>
      <c r="BN19" s="272">
        <v>4355400</v>
      </c>
      <c r="BO19" s="455">
        <f t="shared" si="5"/>
        <v>1054500</v>
      </c>
      <c r="BP19" s="455">
        <f t="shared" si="6"/>
        <v>1901900</v>
      </c>
      <c r="BQ19" s="272"/>
      <c r="BR19" s="272">
        <v>0</v>
      </c>
      <c r="BS19" s="272">
        <v>1901900</v>
      </c>
      <c r="BT19" s="272">
        <v>1399000</v>
      </c>
      <c r="BU19" s="272">
        <v>67742827</v>
      </c>
      <c r="BV19" s="272"/>
      <c r="BW19" s="272">
        <v>15838110</v>
      </c>
      <c r="BX19" s="272">
        <v>10853462</v>
      </c>
      <c r="BY19" s="272">
        <v>2289682</v>
      </c>
      <c r="BZ19" s="272">
        <v>358148</v>
      </c>
      <c r="CA19" s="272">
        <v>16631763</v>
      </c>
      <c r="CB19" s="272">
        <v>2556796</v>
      </c>
      <c r="CC19" s="272">
        <v>381967</v>
      </c>
      <c r="CD19" s="272">
        <v>5675322</v>
      </c>
      <c r="CE19" s="272">
        <v>7710152</v>
      </c>
      <c r="CF19" s="272">
        <v>6467</v>
      </c>
      <c r="CG19" s="272">
        <v>300329</v>
      </c>
      <c r="CH19" s="272">
        <v>6711930</v>
      </c>
      <c r="CI19" s="272">
        <v>5358999</v>
      </c>
      <c r="CJ19" s="455">
        <f t="shared" si="7"/>
        <v>1352931</v>
      </c>
      <c r="CK19" s="272">
        <v>7601943</v>
      </c>
      <c r="CL19" s="272">
        <v>3384179</v>
      </c>
      <c r="CM19" s="272">
        <v>1168983</v>
      </c>
      <c r="CN19" s="272">
        <v>1688116</v>
      </c>
      <c r="CO19" s="272">
        <v>350307</v>
      </c>
      <c r="CP19" s="272">
        <v>5577572</v>
      </c>
      <c r="CQ19" s="272">
        <v>3343804</v>
      </c>
      <c r="CR19" s="272">
        <v>1146581</v>
      </c>
      <c r="CS19" s="272">
        <v>895036</v>
      </c>
      <c r="CT19" s="455">
        <f t="shared" si="8"/>
        <v>13060</v>
      </c>
      <c r="CU19" s="272">
        <v>13060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2956925</v>
      </c>
      <c r="DD19" s="272">
        <v>713439</v>
      </c>
      <c r="DE19" s="272">
        <v>2223707</v>
      </c>
      <c r="DF19" s="26">
        <v>0</v>
      </c>
      <c r="DG19" s="27">
        <v>0</v>
      </c>
      <c r="DH19" s="272">
        <v>0</v>
      </c>
      <c r="DI19" s="272">
        <v>139404</v>
      </c>
      <c r="DJ19" s="272">
        <v>60137</v>
      </c>
      <c r="DK19" s="272">
        <v>612</v>
      </c>
      <c r="DL19" s="272">
        <v>78655</v>
      </c>
      <c r="DM19" s="272">
        <v>0</v>
      </c>
      <c r="DN19" s="272">
        <v>0</v>
      </c>
      <c r="DO19" s="272">
        <v>0</v>
      </c>
      <c r="DP19" s="272">
        <v>0</v>
      </c>
      <c r="DQ19" s="272">
        <v>3744714</v>
      </c>
      <c r="DR19" s="272">
        <v>0</v>
      </c>
      <c r="DS19" s="272">
        <v>0</v>
      </c>
      <c r="DT19" s="272">
        <v>7891072</v>
      </c>
      <c r="DU19" s="272">
        <v>2555308</v>
      </c>
      <c r="DV19" s="455">
        <f t="shared" si="11"/>
        <v>0</v>
      </c>
      <c r="DW19" s="272">
        <v>0</v>
      </c>
      <c r="DX19" s="272"/>
      <c r="DY19" s="272">
        <v>0</v>
      </c>
      <c r="DZ19" s="272">
        <v>2531864</v>
      </c>
      <c r="EA19" s="272">
        <v>1255270</v>
      </c>
      <c r="EB19" s="272">
        <v>1548630</v>
      </c>
      <c r="EC19" s="272">
        <v>0</v>
      </c>
      <c r="ED19" s="272">
        <v>67443740</v>
      </c>
      <c r="EE19" s="89"/>
      <c r="EF19" s="272">
        <v>299087</v>
      </c>
      <c r="EG19" s="272">
        <v>176254</v>
      </c>
      <c r="EH19" s="272">
        <v>122833</v>
      </c>
      <c r="EI19" s="272">
        <v>3392</v>
      </c>
      <c r="EJ19" s="272">
        <v>63676</v>
      </c>
      <c r="EK19" s="89"/>
      <c r="EL19" s="272"/>
      <c r="EM19" s="272">
        <v>240314</v>
      </c>
      <c r="EN19" s="272">
        <v>577482</v>
      </c>
      <c r="EO19" s="272">
        <v>40580</v>
      </c>
      <c r="EP19" s="455">
        <f t="shared" si="12"/>
        <v>1192508</v>
      </c>
      <c r="EQ19" s="272">
        <v>43011009</v>
      </c>
      <c r="ER19" s="272">
        <v>-3667844</v>
      </c>
      <c r="ES19" s="272">
        <v>13206721</v>
      </c>
      <c r="ET19" s="272">
        <v>9696525</v>
      </c>
      <c r="EU19" s="272">
        <v>5261684</v>
      </c>
      <c r="EV19" s="272">
        <v>6676297</v>
      </c>
      <c r="EW19" s="455">
        <f t="shared" si="13"/>
        <v>1407519</v>
      </c>
      <c r="EX19" s="272">
        <v>1407519</v>
      </c>
      <c r="EY19" s="272">
        <v>15827</v>
      </c>
      <c r="EZ19" s="272">
        <v>1391692</v>
      </c>
      <c r="FA19" s="272">
        <v>0</v>
      </c>
      <c r="FB19" s="272">
        <v>0</v>
      </c>
      <c r="FC19" s="272">
        <v>6213856</v>
      </c>
      <c r="FD19" s="272">
        <v>5085309</v>
      </c>
      <c r="FE19" s="272">
        <v>3343804</v>
      </c>
      <c r="FF19" s="272">
        <v>6843736</v>
      </c>
      <c r="FG19" s="455">
        <f t="shared" si="14"/>
        <v>1684644</v>
      </c>
      <c r="FH19" s="272">
        <v>46379766</v>
      </c>
      <c r="FI19" s="384">
        <f t="shared" si="15"/>
        <v>0.3</v>
      </c>
      <c r="FJ19" s="272">
        <v>39895581</v>
      </c>
      <c r="FK19" s="272">
        <v>1901960</v>
      </c>
      <c r="FL19" s="272">
        <v>23694608</v>
      </c>
      <c r="FM19" s="272">
        <v>32787930</v>
      </c>
      <c r="FN19" s="460">
        <v>0.70899999999999996</v>
      </c>
      <c r="FO19" s="388">
        <v>96.9</v>
      </c>
      <c r="FP19" s="388">
        <v>30.5</v>
      </c>
      <c r="FQ19" s="388">
        <v>12.5</v>
      </c>
      <c r="FR19" s="388">
        <v>15.8</v>
      </c>
      <c r="FS19" s="388">
        <v>13.7</v>
      </c>
      <c r="FT19" s="388">
        <v>10.4</v>
      </c>
      <c r="FU19" s="388">
        <v>13.1</v>
      </c>
      <c r="FV19" s="384">
        <f t="shared" si="16"/>
        <v>4.5</v>
      </c>
      <c r="FW19" s="272">
        <v>64516525</v>
      </c>
      <c r="FX19" s="384">
        <f t="shared" si="17"/>
        <v>161.69999999999999</v>
      </c>
      <c r="FY19" s="272">
        <v>4000633</v>
      </c>
      <c r="FZ19" s="272">
        <v>97159</v>
      </c>
      <c r="GA19" s="272">
        <v>3273</v>
      </c>
      <c r="GB19" s="272">
        <v>3900201</v>
      </c>
      <c r="GC19" s="272"/>
      <c r="GD19" s="272">
        <v>3679627</v>
      </c>
      <c r="GE19" s="384">
        <f t="shared" si="18"/>
        <v>9.1999999999999993</v>
      </c>
      <c r="GF19" s="388">
        <v>97.2</v>
      </c>
      <c r="GG19" s="388">
        <v>12.4</v>
      </c>
      <c r="GH19" s="388">
        <v>88.3</v>
      </c>
      <c r="GI19" s="272">
        <v>1514</v>
      </c>
      <c r="GJ19" s="461" t="s">
        <v>646</v>
      </c>
      <c r="GK19" s="461">
        <v>11.41</v>
      </c>
      <c r="GL19" s="462">
        <v>20</v>
      </c>
      <c r="GM19" s="461">
        <v>3.99</v>
      </c>
      <c r="GN19" s="462">
        <v>16.41</v>
      </c>
      <c r="GO19" s="462">
        <v>40</v>
      </c>
      <c r="GP19" s="463">
        <v>4.5</v>
      </c>
      <c r="GQ19" s="463">
        <v>25</v>
      </c>
      <c r="GR19" s="463">
        <v>35</v>
      </c>
      <c r="GS19" s="464">
        <v>74.2</v>
      </c>
      <c r="GT19" s="463">
        <v>350</v>
      </c>
      <c r="GU19" s="394"/>
      <c r="GV19" s="394"/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</row>
    <row r="20" spans="2:230" x14ac:dyDescent="0.15">
      <c r="B20" s="89" t="s">
        <v>33</v>
      </c>
      <c r="C20" s="272">
        <v>14553919</v>
      </c>
      <c r="D20" s="455">
        <f t="shared" si="0"/>
        <v>7003428</v>
      </c>
      <c r="E20" s="272">
        <v>152526</v>
      </c>
      <c r="F20" s="272">
        <v>6850902</v>
      </c>
      <c r="G20" s="455">
        <f t="shared" si="1"/>
        <v>827852</v>
      </c>
      <c r="H20" s="272">
        <v>186312</v>
      </c>
      <c r="I20" s="272">
        <v>641540</v>
      </c>
      <c r="J20" s="272">
        <v>5072228</v>
      </c>
      <c r="K20" s="272">
        <v>1997315</v>
      </c>
      <c r="L20" s="272">
        <v>2340964</v>
      </c>
      <c r="M20" s="272">
        <v>658015</v>
      </c>
      <c r="N20" s="272">
        <v>476691</v>
      </c>
      <c r="O20" s="272">
        <v>1050491</v>
      </c>
      <c r="P20" s="272">
        <v>572766</v>
      </c>
      <c r="Q20" s="272">
        <v>477725</v>
      </c>
      <c r="R20" s="272">
        <v>331195</v>
      </c>
      <c r="S20" s="272">
        <v>0</v>
      </c>
      <c r="T20" s="455">
        <f t="shared" si="2"/>
        <v>1532072</v>
      </c>
      <c r="U20" s="272">
        <v>133613</v>
      </c>
      <c r="V20" s="272">
        <v>118225</v>
      </c>
      <c r="W20" s="272">
        <v>72224</v>
      </c>
      <c r="X20" s="272">
        <v>903089</v>
      </c>
      <c r="Y20" s="272">
        <v>19739</v>
      </c>
      <c r="Z20" s="272">
        <v>0</v>
      </c>
      <c r="AA20" s="272">
        <v>285182</v>
      </c>
      <c r="AB20" s="272">
        <v>103574</v>
      </c>
      <c r="AC20" s="272">
        <v>4468738</v>
      </c>
      <c r="AD20" s="272">
        <v>4259732</v>
      </c>
      <c r="AE20" s="272">
        <v>209006</v>
      </c>
      <c r="AF20" s="272">
        <v>23856</v>
      </c>
      <c r="AG20" s="272">
        <v>275265</v>
      </c>
      <c r="AH20" s="455">
        <f t="shared" si="3"/>
        <v>1000027</v>
      </c>
      <c r="AI20" s="272">
        <v>664095</v>
      </c>
      <c r="AJ20" s="272">
        <v>335932</v>
      </c>
      <c r="AK20" s="272">
        <v>3363429</v>
      </c>
      <c r="AL20" s="455">
        <f t="shared" si="4"/>
        <v>1908155</v>
      </c>
      <c r="AM20" s="272">
        <v>1577500</v>
      </c>
      <c r="AN20" s="272">
        <v>330655</v>
      </c>
      <c r="AO20" s="272">
        <v>0</v>
      </c>
      <c r="AP20" s="272">
        <v>0</v>
      </c>
      <c r="AQ20" s="272">
        <v>228381</v>
      </c>
      <c r="AR20" s="272">
        <v>3166</v>
      </c>
      <c r="AS20" s="272">
        <v>0</v>
      </c>
      <c r="AT20" s="272">
        <v>1800232</v>
      </c>
      <c r="AU20" s="272">
        <v>826774</v>
      </c>
      <c r="AV20" s="272">
        <v>162732</v>
      </c>
      <c r="AW20" s="272">
        <v>9005</v>
      </c>
      <c r="AX20" s="272">
        <v>973458</v>
      </c>
      <c r="AY20" s="272">
        <v>7500</v>
      </c>
      <c r="AZ20" s="272">
        <v>80078</v>
      </c>
      <c r="BA20" s="272">
        <v>14048</v>
      </c>
      <c r="BB20" s="272">
        <v>15148</v>
      </c>
      <c r="BC20" s="272">
        <v>1573170</v>
      </c>
      <c r="BD20" s="272">
        <v>410000</v>
      </c>
      <c r="BE20" s="272">
        <v>118390</v>
      </c>
      <c r="BF20" s="272">
        <v>80765</v>
      </c>
      <c r="BG20" s="272">
        <v>943992</v>
      </c>
      <c r="BH20" s="272">
        <v>252887</v>
      </c>
      <c r="BI20" s="272">
        <v>37373</v>
      </c>
      <c r="BJ20" s="272">
        <v>1108818</v>
      </c>
      <c r="BK20" s="272">
        <v>796196</v>
      </c>
      <c r="BL20" s="272">
        <v>0</v>
      </c>
      <c r="BM20" s="272">
        <v>0</v>
      </c>
      <c r="BN20" s="272">
        <v>4126100</v>
      </c>
      <c r="BO20" s="455">
        <f t="shared" si="5"/>
        <v>3134300</v>
      </c>
      <c r="BP20" s="455">
        <f t="shared" si="6"/>
        <v>991800</v>
      </c>
      <c r="BQ20" s="272"/>
      <c r="BR20" s="272">
        <v>0</v>
      </c>
      <c r="BS20" s="272">
        <v>991800</v>
      </c>
      <c r="BT20" s="272">
        <v>0</v>
      </c>
      <c r="BU20" s="272">
        <v>34608508</v>
      </c>
      <c r="BV20" s="272"/>
      <c r="BW20" s="272">
        <v>6825547</v>
      </c>
      <c r="BX20" s="272">
        <v>4299104</v>
      </c>
      <c r="BY20" s="272">
        <v>595737</v>
      </c>
      <c r="BZ20" s="272">
        <v>802802</v>
      </c>
      <c r="CA20" s="272">
        <v>5931746</v>
      </c>
      <c r="CB20" s="272">
        <v>1285429</v>
      </c>
      <c r="CC20" s="272">
        <v>286127</v>
      </c>
      <c r="CD20" s="272">
        <v>2224258</v>
      </c>
      <c r="CE20" s="272">
        <v>2077757</v>
      </c>
      <c r="CF20" s="272">
        <v>0</v>
      </c>
      <c r="CG20" s="272">
        <v>58175</v>
      </c>
      <c r="CH20" s="272">
        <v>4064183</v>
      </c>
      <c r="CI20" s="272">
        <v>3423730</v>
      </c>
      <c r="CJ20" s="455">
        <f t="shared" si="7"/>
        <v>640453</v>
      </c>
      <c r="CK20" s="272">
        <v>5051384</v>
      </c>
      <c r="CL20" s="272">
        <v>3596354</v>
      </c>
      <c r="CM20" s="272">
        <v>150774</v>
      </c>
      <c r="CN20" s="272">
        <v>666733</v>
      </c>
      <c r="CO20" s="272">
        <v>348544</v>
      </c>
      <c r="CP20" s="272">
        <v>2321712</v>
      </c>
      <c r="CQ20" s="272">
        <v>725872</v>
      </c>
      <c r="CR20" s="272">
        <v>912146</v>
      </c>
      <c r="CS20" s="272">
        <v>693716</v>
      </c>
      <c r="CT20" s="455">
        <f t="shared" si="8"/>
        <v>131114</v>
      </c>
      <c r="CU20" s="272">
        <v>7641</v>
      </c>
      <c r="CV20" s="272">
        <v>123473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5276456</v>
      </c>
      <c r="DD20" s="272">
        <v>462831</v>
      </c>
      <c r="DE20" s="272">
        <v>4588046</v>
      </c>
      <c r="DF20" s="26">
        <v>225579</v>
      </c>
      <c r="DG20" s="27">
        <v>225579</v>
      </c>
      <c r="DH20" s="272">
        <v>49944</v>
      </c>
      <c r="DI20" s="272">
        <v>86688</v>
      </c>
      <c r="DJ20" s="272">
        <v>47055</v>
      </c>
      <c r="DK20" s="272">
        <v>13000</v>
      </c>
      <c r="DL20" s="272">
        <v>26633</v>
      </c>
      <c r="DM20" s="272">
        <v>0</v>
      </c>
      <c r="DN20" s="272">
        <v>0</v>
      </c>
      <c r="DO20" s="272">
        <v>0</v>
      </c>
      <c r="DP20" s="272">
        <v>0</v>
      </c>
      <c r="DQ20" s="272">
        <v>793924</v>
      </c>
      <c r="DR20" s="272">
        <v>0</v>
      </c>
      <c r="DS20" s="272">
        <v>0</v>
      </c>
      <c r="DT20" s="272">
        <v>3770987</v>
      </c>
      <c r="DU20" s="272">
        <v>1232008</v>
      </c>
      <c r="DV20" s="455">
        <f t="shared" si="11"/>
        <v>0</v>
      </c>
      <c r="DW20" s="272">
        <v>0</v>
      </c>
      <c r="DX20" s="272"/>
      <c r="DY20" s="272">
        <v>0</v>
      </c>
      <c r="DZ20" s="272">
        <v>747368</v>
      </c>
      <c r="EA20" s="272">
        <v>804871</v>
      </c>
      <c r="EB20" s="272">
        <v>969292</v>
      </c>
      <c r="EC20" s="272">
        <v>0</v>
      </c>
      <c r="ED20" s="272">
        <v>34521115</v>
      </c>
      <c r="EE20" s="89"/>
      <c r="EF20" s="272">
        <v>87393</v>
      </c>
      <c r="EG20" s="272">
        <v>70874</v>
      </c>
      <c r="EH20" s="272">
        <v>16519</v>
      </c>
      <c r="EI20" s="272">
        <v>-20854</v>
      </c>
      <c r="EJ20" s="272">
        <v>-317409</v>
      </c>
      <c r="EK20" s="89"/>
      <c r="EL20" s="272"/>
      <c r="EM20" s="272">
        <v>116405</v>
      </c>
      <c r="EN20" s="272">
        <v>528390</v>
      </c>
      <c r="EO20" s="272">
        <v>26081</v>
      </c>
      <c r="EP20" s="455">
        <f t="shared" si="12"/>
        <v>448459</v>
      </c>
      <c r="EQ20" s="272">
        <v>21013354</v>
      </c>
      <c r="ER20" s="272">
        <v>-1970874</v>
      </c>
      <c r="ES20" s="272">
        <v>6287799</v>
      </c>
      <c r="ET20" s="272">
        <v>3931501</v>
      </c>
      <c r="EU20" s="272">
        <v>1945511</v>
      </c>
      <c r="EV20" s="272">
        <v>4058295</v>
      </c>
      <c r="EW20" s="455">
        <f t="shared" si="13"/>
        <v>771387</v>
      </c>
      <c r="EX20" s="272">
        <v>739395</v>
      </c>
      <c r="EY20" s="272">
        <v>76257</v>
      </c>
      <c r="EZ20" s="272">
        <v>579250</v>
      </c>
      <c r="FA20" s="272">
        <v>31992</v>
      </c>
      <c r="FB20" s="272">
        <v>0</v>
      </c>
      <c r="FC20" s="272">
        <v>4021923</v>
      </c>
      <c r="FD20" s="272">
        <v>2067576</v>
      </c>
      <c r="FE20" s="272">
        <v>725872</v>
      </c>
      <c r="FF20" s="272">
        <v>3446162</v>
      </c>
      <c r="FG20" s="455">
        <f t="shared" si="14"/>
        <v>314482</v>
      </c>
      <c r="FH20" s="272">
        <v>22913135</v>
      </c>
      <c r="FI20" s="384">
        <f t="shared" si="15"/>
        <v>0.1</v>
      </c>
      <c r="FJ20" s="272">
        <v>19715461</v>
      </c>
      <c r="FK20" s="272">
        <v>991808</v>
      </c>
      <c r="FL20" s="272">
        <v>11815834</v>
      </c>
      <c r="FM20" s="272">
        <v>16103106</v>
      </c>
      <c r="FN20" s="460">
        <v>0.72899999999999998</v>
      </c>
      <c r="FO20" s="388">
        <v>102</v>
      </c>
      <c r="FP20" s="388">
        <v>29.7</v>
      </c>
      <c r="FQ20" s="388">
        <v>9.3000000000000007</v>
      </c>
      <c r="FR20" s="388">
        <v>19.100000000000001</v>
      </c>
      <c r="FS20" s="388">
        <v>19.2</v>
      </c>
      <c r="FT20" s="388">
        <v>8.8000000000000007</v>
      </c>
      <c r="FU20" s="388">
        <v>14.7</v>
      </c>
      <c r="FV20" s="384">
        <f t="shared" si="16"/>
        <v>7.5</v>
      </c>
      <c r="FW20" s="272">
        <v>38999626</v>
      </c>
      <c r="FX20" s="384">
        <f t="shared" si="17"/>
        <v>197.8</v>
      </c>
      <c r="FY20" s="272">
        <v>10793398</v>
      </c>
      <c r="FZ20" s="272">
        <v>4498198</v>
      </c>
      <c r="GA20" s="272">
        <v>2623031</v>
      </c>
      <c r="GB20" s="272">
        <v>3672169</v>
      </c>
      <c r="GC20" s="272"/>
      <c r="GD20" s="272">
        <v>3062979</v>
      </c>
      <c r="GE20" s="384">
        <f t="shared" si="18"/>
        <v>15.5</v>
      </c>
      <c r="GF20" s="388">
        <v>97.9</v>
      </c>
      <c r="GG20" s="388">
        <v>28.1</v>
      </c>
      <c r="GH20" s="388">
        <v>94.2</v>
      </c>
      <c r="GI20" s="272">
        <v>592</v>
      </c>
      <c r="GJ20" s="461" t="s">
        <v>646</v>
      </c>
      <c r="GK20" s="461">
        <v>12.43</v>
      </c>
      <c r="GL20" s="462">
        <v>20</v>
      </c>
      <c r="GM20" s="461" t="s">
        <v>646</v>
      </c>
      <c r="GN20" s="462">
        <v>17.43</v>
      </c>
      <c r="GO20" s="462">
        <v>40</v>
      </c>
      <c r="GP20" s="463">
        <v>7.5</v>
      </c>
      <c r="GQ20" s="463">
        <v>25</v>
      </c>
      <c r="GR20" s="463">
        <v>35</v>
      </c>
      <c r="GS20" s="464">
        <v>55.4</v>
      </c>
      <c r="GT20" s="463">
        <v>350</v>
      </c>
      <c r="GU20" s="394"/>
      <c r="GV20" s="394"/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</row>
    <row r="21" spans="2:230" x14ac:dyDescent="0.15">
      <c r="B21" s="89" t="s">
        <v>35</v>
      </c>
      <c r="C21" s="272">
        <v>14493104</v>
      </c>
      <c r="D21" s="455">
        <f t="shared" si="0"/>
        <v>5683145</v>
      </c>
      <c r="E21" s="272">
        <v>151587</v>
      </c>
      <c r="F21" s="272">
        <v>5531558</v>
      </c>
      <c r="G21" s="455">
        <f t="shared" si="1"/>
        <v>903012</v>
      </c>
      <c r="H21" s="272">
        <v>239951</v>
      </c>
      <c r="I21" s="272">
        <v>663061</v>
      </c>
      <c r="J21" s="272">
        <v>5718949</v>
      </c>
      <c r="K21" s="272">
        <v>2896143</v>
      </c>
      <c r="L21" s="272">
        <v>2195166</v>
      </c>
      <c r="M21" s="272">
        <v>582922</v>
      </c>
      <c r="N21" s="272">
        <v>796309</v>
      </c>
      <c r="O21" s="272">
        <v>1274376</v>
      </c>
      <c r="P21" s="272">
        <v>797041</v>
      </c>
      <c r="Q21" s="272">
        <v>477335</v>
      </c>
      <c r="R21" s="272">
        <v>249519</v>
      </c>
      <c r="S21" s="272">
        <v>0</v>
      </c>
      <c r="T21" s="455">
        <f t="shared" si="2"/>
        <v>1600290</v>
      </c>
      <c r="U21" s="272">
        <v>109654</v>
      </c>
      <c r="V21" s="272">
        <v>97135</v>
      </c>
      <c r="W21" s="272">
        <v>58912</v>
      </c>
      <c r="X21" s="272">
        <v>1119721</v>
      </c>
      <c r="Y21" s="272">
        <v>0</v>
      </c>
      <c r="Z21" s="272">
        <v>0</v>
      </c>
      <c r="AA21" s="272">
        <v>214868</v>
      </c>
      <c r="AB21" s="272">
        <v>94246</v>
      </c>
      <c r="AC21" s="272">
        <v>7305136</v>
      </c>
      <c r="AD21" s="272">
        <v>6934797</v>
      </c>
      <c r="AE21" s="272">
        <v>370339</v>
      </c>
      <c r="AF21" s="272">
        <v>25246</v>
      </c>
      <c r="AG21" s="272">
        <v>185441</v>
      </c>
      <c r="AH21" s="455">
        <f t="shared" si="3"/>
        <v>577673</v>
      </c>
      <c r="AI21" s="272">
        <v>530954</v>
      </c>
      <c r="AJ21" s="272">
        <v>46719</v>
      </c>
      <c r="AK21" s="272">
        <v>5208571</v>
      </c>
      <c r="AL21" s="455">
        <f t="shared" si="4"/>
        <v>3421253</v>
      </c>
      <c r="AM21" s="272">
        <v>3160250</v>
      </c>
      <c r="AN21" s="272">
        <v>261003</v>
      </c>
      <c r="AO21" s="272">
        <v>0</v>
      </c>
      <c r="AP21" s="272">
        <v>0</v>
      </c>
      <c r="AQ21" s="272">
        <v>400293</v>
      </c>
      <c r="AR21" s="272">
        <v>0</v>
      </c>
      <c r="AS21" s="272">
        <v>0</v>
      </c>
      <c r="AT21" s="272">
        <v>2311179</v>
      </c>
      <c r="AU21" s="272">
        <v>1120813</v>
      </c>
      <c r="AV21" s="272">
        <v>130502</v>
      </c>
      <c r="AW21" s="272">
        <v>0</v>
      </c>
      <c r="AX21" s="272">
        <v>1190366</v>
      </c>
      <c r="AY21" s="272">
        <v>63542</v>
      </c>
      <c r="AZ21" s="272">
        <v>189121</v>
      </c>
      <c r="BA21" s="272">
        <v>64708</v>
      </c>
      <c r="BB21" s="272">
        <v>192636</v>
      </c>
      <c r="BC21" s="272">
        <v>1015346</v>
      </c>
      <c r="BD21" s="272">
        <v>450000</v>
      </c>
      <c r="BE21" s="272">
        <v>0</v>
      </c>
      <c r="BF21" s="272">
        <v>565346</v>
      </c>
      <c r="BG21" s="272">
        <v>0</v>
      </c>
      <c r="BH21" s="272">
        <v>130735</v>
      </c>
      <c r="BI21" s="272">
        <v>78488</v>
      </c>
      <c r="BJ21" s="272">
        <v>280945</v>
      </c>
      <c r="BK21" s="272">
        <v>60330</v>
      </c>
      <c r="BL21" s="272">
        <v>0</v>
      </c>
      <c r="BM21" s="272">
        <v>0</v>
      </c>
      <c r="BN21" s="272">
        <v>2782431</v>
      </c>
      <c r="BO21" s="455">
        <f t="shared" si="5"/>
        <v>885300</v>
      </c>
      <c r="BP21" s="455">
        <f t="shared" si="6"/>
        <v>1068431</v>
      </c>
      <c r="BQ21" s="272"/>
      <c r="BR21" s="272">
        <v>0</v>
      </c>
      <c r="BS21" s="272">
        <v>1068431</v>
      </c>
      <c r="BT21" s="272">
        <v>828700</v>
      </c>
      <c r="BU21" s="272">
        <v>36641619</v>
      </c>
      <c r="BV21" s="272"/>
      <c r="BW21" s="272">
        <v>9148485</v>
      </c>
      <c r="BX21" s="272">
        <v>5962775</v>
      </c>
      <c r="BY21" s="272">
        <v>1446362</v>
      </c>
      <c r="BZ21" s="272">
        <v>354975</v>
      </c>
      <c r="CA21" s="272">
        <v>8616424</v>
      </c>
      <c r="CB21" s="272">
        <v>1127535</v>
      </c>
      <c r="CC21" s="272">
        <v>204059</v>
      </c>
      <c r="CD21" s="272">
        <v>3022612</v>
      </c>
      <c r="CE21" s="272">
        <v>4084284</v>
      </c>
      <c r="CF21" s="272">
        <v>0</v>
      </c>
      <c r="CG21" s="272">
        <v>177499</v>
      </c>
      <c r="CH21" s="272">
        <v>3336265</v>
      </c>
      <c r="CI21" s="272">
        <v>2657827</v>
      </c>
      <c r="CJ21" s="455">
        <f t="shared" si="7"/>
        <v>678438</v>
      </c>
      <c r="CK21" s="272">
        <v>4906052</v>
      </c>
      <c r="CL21" s="272">
        <v>3227412</v>
      </c>
      <c r="CM21" s="272">
        <v>199845</v>
      </c>
      <c r="CN21" s="272">
        <v>786974</v>
      </c>
      <c r="CO21" s="272">
        <v>212867</v>
      </c>
      <c r="CP21" s="272">
        <v>2252017</v>
      </c>
      <c r="CQ21" s="272">
        <v>17439</v>
      </c>
      <c r="CR21" s="272">
        <v>921950</v>
      </c>
      <c r="CS21" s="272">
        <v>607648</v>
      </c>
      <c r="CT21" s="455">
        <f t="shared" si="8"/>
        <v>511218</v>
      </c>
      <c r="CU21" s="272">
        <v>9000</v>
      </c>
      <c r="CV21" s="272">
        <v>502218</v>
      </c>
      <c r="CW21" s="455">
        <f t="shared" si="9"/>
        <v>473187</v>
      </c>
      <c r="CX21" s="272">
        <v>0</v>
      </c>
      <c r="CY21" s="272">
        <v>473187</v>
      </c>
      <c r="CZ21" s="455">
        <f t="shared" si="10"/>
        <v>0</v>
      </c>
      <c r="DA21" s="272">
        <v>0</v>
      </c>
      <c r="DB21" s="272">
        <v>0</v>
      </c>
      <c r="DC21" s="272">
        <v>1821746</v>
      </c>
      <c r="DD21" s="272">
        <v>732945</v>
      </c>
      <c r="DE21" s="272">
        <v>902003</v>
      </c>
      <c r="DF21" s="26">
        <v>0</v>
      </c>
      <c r="DG21" s="27">
        <v>0</v>
      </c>
      <c r="DH21" s="272">
        <v>0</v>
      </c>
      <c r="DI21" s="272">
        <v>355241</v>
      </c>
      <c r="DJ21" s="272">
        <v>41199</v>
      </c>
      <c r="DK21" s="272">
        <v>58</v>
      </c>
      <c r="DL21" s="272">
        <v>313984</v>
      </c>
      <c r="DM21" s="272">
        <v>2000</v>
      </c>
      <c r="DN21" s="272">
        <v>0</v>
      </c>
      <c r="DO21" s="272">
        <v>0</v>
      </c>
      <c r="DP21" s="272">
        <v>0</v>
      </c>
      <c r="DQ21" s="272">
        <v>60000</v>
      </c>
      <c r="DR21" s="272">
        <v>0</v>
      </c>
      <c r="DS21" s="272">
        <v>0</v>
      </c>
      <c r="DT21" s="272">
        <v>5698973</v>
      </c>
      <c r="DU21" s="272">
        <v>2625000</v>
      </c>
      <c r="DV21" s="455">
        <f t="shared" si="11"/>
        <v>0</v>
      </c>
      <c r="DW21" s="272">
        <v>0</v>
      </c>
      <c r="DX21" s="272"/>
      <c r="DY21" s="272">
        <v>0</v>
      </c>
      <c r="DZ21" s="272">
        <v>1290104</v>
      </c>
      <c r="EA21" s="272">
        <v>742444</v>
      </c>
      <c r="EB21" s="272">
        <v>1041349</v>
      </c>
      <c r="EC21" s="272">
        <v>0</v>
      </c>
      <c r="ED21" s="272">
        <v>36410070</v>
      </c>
      <c r="EE21" s="89"/>
      <c r="EF21" s="272">
        <v>231549</v>
      </c>
      <c r="EG21" s="272">
        <v>108478</v>
      </c>
      <c r="EH21" s="272">
        <v>123071</v>
      </c>
      <c r="EI21" s="272">
        <v>44583</v>
      </c>
      <c r="EJ21" s="272">
        <v>-364218</v>
      </c>
      <c r="EK21" s="89"/>
      <c r="EL21" s="272"/>
      <c r="EM21" s="272">
        <v>125962</v>
      </c>
      <c r="EN21" s="272">
        <v>766875</v>
      </c>
      <c r="EO21" s="272">
        <v>184810</v>
      </c>
      <c r="EP21" s="455">
        <f t="shared" si="12"/>
        <v>556791</v>
      </c>
      <c r="EQ21" s="272">
        <v>23767541</v>
      </c>
      <c r="ER21" s="272">
        <v>-2551661</v>
      </c>
      <c r="ES21" s="272">
        <v>7745862</v>
      </c>
      <c r="ET21" s="272">
        <v>5509011</v>
      </c>
      <c r="EU21" s="272">
        <v>2861588</v>
      </c>
      <c r="EV21" s="272">
        <v>3335526</v>
      </c>
      <c r="EW21" s="455">
        <f t="shared" si="13"/>
        <v>148555</v>
      </c>
      <c r="EX21" s="272">
        <v>148555</v>
      </c>
      <c r="EY21" s="272">
        <v>2659</v>
      </c>
      <c r="EZ21" s="272">
        <v>145896</v>
      </c>
      <c r="FA21" s="272">
        <v>0</v>
      </c>
      <c r="FB21" s="272">
        <v>0</v>
      </c>
      <c r="FC21" s="272">
        <v>4385657</v>
      </c>
      <c r="FD21" s="272">
        <v>1921110</v>
      </c>
      <c r="FE21" s="272">
        <v>17439</v>
      </c>
      <c r="FF21" s="272">
        <v>5130791</v>
      </c>
      <c r="FG21" s="455">
        <f t="shared" si="14"/>
        <v>558564</v>
      </c>
      <c r="FH21" s="272">
        <v>26087653</v>
      </c>
      <c r="FI21" s="384">
        <f t="shared" si="15"/>
        <v>0.6</v>
      </c>
      <c r="FJ21" s="272">
        <v>22331829</v>
      </c>
      <c r="FK21" s="272">
        <v>1068431</v>
      </c>
      <c r="FL21" s="272">
        <v>11844053</v>
      </c>
      <c r="FM21" s="272">
        <v>18804267</v>
      </c>
      <c r="FN21" s="460">
        <v>0.61699999999999999</v>
      </c>
      <c r="FO21" s="388">
        <v>102.8</v>
      </c>
      <c r="FP21" s="388">
        <v>32.5</v>
      </c>
      <c r="FQ21" s="388">
        <v>12.2</v>
      </c>
      <c r="FR21" s="388">
        <v>14.2</v>
      </c>
      <c r="FS21" s="388">
        <v>18.2</v>
      </c>
      <c r="FT21" s="388">
        <v>6.5</v>
      </c>
      <c r="FU21" s="388">
        <v>18.2</v>
      </c>
      <c r="FV21" s="384">
        <f t="shared" si="16"/>
        <v>7.6</v>
      </c>
      <c r="FW21" s="272">
        <v>33558219</v>
      </c>
      <c r="FX21" s="384">
        <f t="shared" si="17"/>
        <v>150.30000000000001</v>
      </c>
      <c r="FY21" s="272">
        <v>947163</v>
      </c>
      <c r="FZ21" s="272">
        <v>158506</v>
      </c>
      <c r="GA21" s="272">
        <v>21145</v>
      </c>
      <c r="GB21" s="272">
        <v>767512</v>
      </c>
      <c r="GC21" s="272"/>
      <c r="GD21" s="272">
        <v>932934</v>
      </c>
      <c r="GE21" s="384">
        <f t="shared" si="18"/>
        <v>4.2</v>
      </c>
      <c r="GF21" s="388">
        <v>97.8</v>
      </c>
      <c r="GG21" s="388">
        <v>31.1</v>
      </c>
      <c r="GH21" s="388">
        <v>93.8</v>
      </c>
      <c r="GI21" s="272">
        <v>815</v>
      </c>
      <c r="GJ21" s="461" t="s">
        <v>646</v>
      </c>
      <c r="GK21" s="461">
        <v>12.2</v>
      </c>
      <c r="GL21" s="462">
        <v>20</v>
      </c>
      <c r="GM21" s="461">
        <v>4.95</v>
      </c>
      <c r="GN21" s="462">
        <v>17.2</v>
      </c>
      <c r="GO21" s="462">
        <v>40</v>
      </c>
      <c r="GP21" s="463">
        <v>7.6</v>
      </c>
      <c r="GQ21" s="463">
        <v>25</v>
      </c>
      <c r="GR21" s="463">
        <v>35</v>
      </c>
      <c r="GS21" s="464">
        <v>129.30000000000001</v>
      </c>
      <c r="GT21" s="463">
        <v>350</v>
      </c>
      <c r="GU21" s="394"/>
      <c r="GV21" s="394"/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</row>
    <row r="22" spans="2:230" x14ac:dyDescent="0.15">
      <c r="B22" s="89" t="s">
        <v>37</v>
      </c>
      <c r="C22" s="272">
        <v>18601693</v>
      </c>
      <c r="D22" s="455">
        <f t="shared" si="0"/>
        <v>5998939</v>
      </c>
      <c r="E22" s="272">
        <v>163171</v>
      </c>
      <c r="F22" s="272">
        <v>5835768</v>
      </c>
      <c r="G22" s="455">
        <f t="shared" si="1"/>
        <v>2181769</v>
      </c>
      <c r="H22" s="272">
        <v>363918</v>
      </c>
      <c r="I22" s="272">
        <v>1817851</v>
      </c>
      <c r="J22" s="272">
        <v>7876815</v>
      </c>
      <c r="K22" s="272">
        <v>3532931</v>
      </c>
      <c r="L22" s="272">
        <v>3130129</v>
      </c>
      <c r="M22" s="272">
        <v>1070891</v>
      </c>
      <c r="N22" s="272">
        <v>827669</v>
      </c>
      <c r="O22" s="272">
        <v>1611063</v>
      </c>
      <c r="P22" s="272">
        <v>918628</v>
      </c>
      <c r="Q22" s="272">
        <v>692435</v>
      </c>
      <c r="R22" s="272">
        <v>250215</v>
      </c>
      <c r="S22" s="272">
        <v>0</v>
      </c>
      <c r="T22" s="455">
        <f t="shared" si="2"/>
        <v>1778762</v>
      </c>
      <c r="U22" s="272">
        <v>110047</v>
      </c>
      <c r="V22" s="272">
        <v>97262</v>
      </c>
      <c r="W22" s="272">
        <v>59858</v>
      </c>
      <c r="X22" s="272">
        <v>1263348</v>
      </c>
      <c r="Y22" s="272">
        <v>32786</v>
      </c>
      <c r="Z22" s="272">
        <v>0</v>
      </c>
      <c r="AA22" s="272">
        <v>215461</v>
      </c>
      <c r="AB22" s="272">
        <v>139919</v>
      </c>
      <c r="AC22" s="272">
        <v>2599243</v>
      </c>
      <c r="AD22" s="272">
        <v>2317197</v>
      </c>
      <c r="AE22" s="272">
        <v>282046</v>
      </c>
      <c r="AF22" s="272">
        <v>25419</v>
      </c>
      <c r="AG22" s="272">
        <v>317647</v>
      </c>
      <c r="AH22" s="455">
        <f t="shared" si="3"/>
        <v>1121566</v>
      </c>
      <c r="AI22" s="272">
        <v>719503</v>
      </c>
      <c r="AJ22" s="272">
        <v>402063</v>
      </c>
      <c r="AK22" s="272">
        <v>4088263</v>
      </c>
      <c r="AL22" s="455">
        <f t="shared" si="4"/>
        <v>1888444</v>
      </c>
      <c r="AM22" s="272">
        <v>1471030</v>
      </c>
      <c r="AN22" s="272">
        <v>417414</v>
      </c>
      <c r="AO22" s="272">
        <v>0</v>
      </c>
      <c r="AP22" s="272">
        <v>0</v>
      </c>
      <c r="AQ22" s="272">
        <v>808069</v>
      </c>
      <c r="AR22" s="272">
        <v>0</v>
      </c>
      <c r="AS22" s="272">
        <v>0</v>
      </c>
      <c r="AT22" s="272">
        <v>2344308</v>
      </c>
      <c r="AU22" s="272">
        <v>954640</v>
      </c>
      <c r="AV22" s="272">
        <v>208708</v>
      </c>
      <c r="AW22" s="272">
        <v>0</v>
      </c>
      <c r="AX22" s="272">
        <v>1389668</v>
      </c>
      <c r="AY22" s="272">
        <v>26742</v>
      </c>
      <c r="AZ22" s="272">
        <v>91494</v>
      </c>
      <c r="BA22" s="272">
        <v>31847</v>
      </c>
      <c r="BB22" s="272">
        <v>10226</v>
      </c>
      <c r="BC22" s="272">
        <v>1032060</v>
      </c>
      <c r="BD22" s="272">
        <v>370000</v>
      </c>
      <c r="BE22" s="272">
        <v>0</v>
      </c>
      <c r="BF22" s="272">
        <v>658150</v>
      </c>
      <c r="BG22" s="456">
        <v>0</v>
      </c>
      <c r="BH22" s="272">
        <v>426190</v>
      </c>
      <c r="BI22" s="272">
        <v>298134</v>
      </c>
      <c r="BJ22" s="272">
        <v>3536477</v>
      </c>
      <c r="BK22" s="272">
        <v>3018630</v>
      </c>
      <c r="BL22" s="272">
        <v>0</v>
      </c>
      <c r="BM22" s="272">
        <v>0</v>
      </c>
      <c r="BN22" s="272">
        <v>2760400</v>
      </c>
      <c r="BO22" s="455">
        <f t="shared" si="5"/>
        <v>1699500</v>
      </c>
      <c r="BP22" s="455">
        <f t="shared" si="6"/>
        <v>1060900</v>
      </c>
      <c r="BQ22" s="272"/>
      <c r="BR22" s="272">
        <v>0</v>
      </c>
      <c r="BS22" s="272">
        <v>1060900</v>
      </c>
      <c r="BT22" s="272">
        <v>0</v>
      </c>
      <c r="BU22" s="272">
        <v>39123882</v>
      </c>
      <c r="BV22" s="272"/>
      <c r="BW22" s="272">
        <v>8943566</v>
      </c>
      <c r="BX22" s="272">
        <v>5762401</v>
      </c>
      <c r="BY22" s="272">
        <v>1710446</v>
      </c>
      <c r="BZ22" s="272">
        <v>202842</v>
      </c>
      <c r="CA22" s="272">
        <v>6870967</v>
      </c>
      <c r="CB22" s="272">
        <v>989529</v>
      </c>
      <c r="CC22" s="272">
        <v>242876</v>
      </c>
      <c r="CD22" s="272">
        <v>3468142</v>
      </c>
      <c r="CE22" s="272">
        <v>1968515</v>
      </c>
      <c r="CF22" s="272">
        <v>6</v>
      </c>
      <c r="CG22" s="272">
        <v>201329</v>
      </c>
      <c r="CH22" s="272">
        <v>3260232</v>
      </c>
      <c r="CI22" s="272">
        <v>2672842</v>
      </c>
      <c r="CJ22" s="455">
        <f t="shared" si="7"/>
        <v>587390</v>
      </c>
      <c r="CK22" s="272">
        <v>4870658</v>
      </c>
      <c r="CL22" s="272">
        <v>3359878</v>
      </c>
      <c r="CM22" s="272">
        <v>215253</v>
      </c>
      <c r="CN22" s="272">
        <v>749167</v>
      </c>
      <c r="CO22" s="272">
        <v>167416</v>
      </c>
      <c r="CP22" s="272">
        <v>2308975</v>
      </c>
      <c r="CQ22" s="272">
        <v>1133327</v>
      </c>
      <c r="CR22" s="272">
        <v>622207</v>
      </c>
      <c r="CS22" s="272">
        <v>138317</v>
      </c>
      <c r="CT22" s="455">
        <f t="shared" si="8"/>
        <v>18286</v>
      </c>
      <c r="CU22" s="272">
        <v>18286</v>
      </c>
      <c r="CV22" s="272">
        <v>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3508335</v>
      </c>
      <c r="DD22" s="272">
        <v>1971183</v>
      </c>
      <c r="DE22" s="272">
        <v>1521402</v>
      </c>
      <c r="DF22" s="26">
        <v>15750</v>
      </c>
      <c r="DG22" s="27">
        <v>15750</v>
      </c>
      <c r="DH22" s="272">
        <v>0</v>
      </c>
      <c r="DI22" s="272">
        <v>369746</v>
      </c>
      <c r="DJ22" s="272">
        <v>312365</v>
      </c>
      <c r="DK22" s="272">
        <v>4645</v>
      </c>
      <c r="DL22" s="272">
        <v>52736</v>
      </c>
      <c r="DM22" s="272">
        <v>0</v>
      </c>
      <c r="DN22" s="272">
        <v>0</v>
      </c>
      <c r="DO22" s="272">
        <v>0</v>
      </c>
      <c r="DP22" s="272">
        <v>0</v>
      </c>
      <c r="DQ22" s="272">
        <v>3000000</v>
      </c>
      <c r="DR22" s="272">
        <v>0</v>
      </c>
      <c r="DS22" s="272">
        <v>0</v>
      </c>
      <c r="DT22" s="272">
        <v>5390231</v>
      </c>
      <c r="DU22" s="272">
        <v>1929272</v>
      </c>
      <c r="DV22" s="455">
        <f t="shared" si="11"/>
        <v>0</v>
      </c>
      <c r="DW22" s="272">
        <v>0</v>
      </c>
      <c r="DX22" s="272"/>
      <c r="DY22" s="272">
        <v>0</v>
      </c>
      <c r="DZ22" s="272">
        <v>1961306</v>
      </c>
      <c r="EA22" s="272">
        <v>617659</v>
      </c>
      <c r="EB22" s="272">
        <v>807556</v>
      </c>
      <c r="EC22" s="272">
        <v>0</v>
      </c>
      <c r="ED22" s="272">
        <v>38690126</v>
      </c>
      <c r="EE22" s="89"/>
      <c r="EF22" s="272">
        <v>433756</v>
      </c>
      <c r="EG22" s="272">
        <v>114907</v>
      </c>
      <c r="EH22" s="272">
        <v>318849</v>
      </c>
      <c r="EI22" s="272">
        <v>20715</v>
      </c>
      <c r="EJ22" s="272">
        <v>-36920</v>
      </c>
      <c r="EK22" s="89"/>
      <c r="EL22" s="272"/>
      <c r="EM22" s="272">
        <v>125687</v>
      </c>
      <c r="EN22" s="272">
        <v>370550</v>
      </c>
      <c r="EO22" s="272">
        <v>48311</v>
      </c>
      <c r="EP22" s="455">
        <f t="shared" si="12"/>
        <v>1191158</v>
      </c>
      <c r="EQ22" s="272">
        <v>23395251</v>
      </c>
      <c r="ER22" s="272">
        <v>-2645500</v>
      </c>
      <c r="ES22" s="272">
        <v>7988294</v>
      </c>
      <c r="ET22" s="272">
        <v>5091229</v>
      </c>
      <c r="EU22" s="272">
        <v>2383858</v>
      </c>
      <c r="EV22" s="272">
        <v>3164622</v>
      </c>
      <c r="EW22" s="455">
        <f t="shared" si="13"/>
        <v>1072481</v>
      </c>
      <c r="EX22" s="272">
        <v>1072481</v>
      </c>
      <c r="EY22" s="272">
        <v>257547</v>
      </c>
      <c r="EZ22" s="272">
        <v>807984</v>
      </c>
      <c r="FA22" s="272">
        <v>0</v>
      </c>
      <c r="FB22" s="272">
        <v>0</v>
      </c>
      <c r="FC22" s="272">
        <v>3581880</v>
      </c>
      <c r="FD22" s="272">
        <v>2078502</v>
      </c>
      <c r="FE22" s="272">
        <v>1133327</v>
      </c>
      <c r="FF22" s="272">
        <v>4868421</v>
      </c>
      <c r="FG22" s="455">
        <f t="shared" si="14"/>
        <v>468937</v>
      </c>
      <c r="FH22" s="272">
        <v>25606995</v>
      </c>
      <c r="FI22" s="384">
        <f t="shared" si="15"/>
        <v>1.5</v>
      </c>
      <c r="FJ22" s="272">
        <v>20972412</v>
      </c>
      <c r="FK22" s="272">
        <v>1060915</v>
      </c>
      <c r="FL22" s="272">
        <v>14323502</v>
      </c>
      <c r="FM22" s="272">
        <v>16663227</v>
      </c>
      <c r="FN22" s="460">
        <v>0.876</v>
      </c>
      <c r="FO22" s="388">
        <v>98.7</v>
      </c>
      <c r="FP22" s="388">
        <v>34.200000000000003</v>
      </c>
      <c r="FQ22" s="388">
        <v>10.5</v>
      </c>
      <c r="FR22" s="388">
        <v>14</v>
      </c>
      <c r="FS22" s="388">
        <v>15.2</v>
      </c>
      <c r="FT22" s="388">
        <v>7.4</v>
      </c>
      <c r="FU22" s="388">
        <v>16.8</v>
      </c>
      <c r="FV22" s="384">
        <f t="shared" si="16"/>
        <v>5.0999999999999996</v>
      </c>
      <c r="FW22" s="272">
        <v>33754019</v>
      </c>
      <c r="FX22" s="384">
        <f t="shared" si="17"/>
        <v>160.9</v>
      </c>
      <c r="FY22" s="272">
        <v>7728607</v>
      </c>
      <c r="FZ22" s="272">
        <v>3805444</v>
      </c>
      <c r="GA22" s="272">
        <v>549565</v>
      </c>
      <c r="GB22" s="272">
        <v>3373598</v>
      </c>
      <c r="GC22" s="272"/>
      <c r="GD22" s="272">
        <v>5952276</v>
      </c>
      <c r="GE22" s="384">
        <f t="shared" si="18"/>
        <v>28.4</v>
      </c>
      <c r="GF22" s="388">
        <v>98.1</v>
      </c>
      <c r="GG22" s="388">
        <v>23.2</v>
      </c>
      <c r="GH22" s="388">
        <v>94</v>
      </c>
      <c r="GI22" s="272">
        <v>809</v>
      </c>
      <c r="GJ22" s="461" t="s">
        <v>646</v>
      </c>
      <c r="GK22" s="461">
        <v>12.31</v>
      </c>
      <c r="GL22" s="462">
        <v>20</v>
      </c>
      <c r="GM22" s="461" t="s">
        <v>646</v>
      </c>
      <c r="GN22" s="462">
        <v>17.309999999999999</v>
      </c>
      <c r="GO22" s="462">
        <v>40</v>
      </c>
      <c r="GP22" s="463">
        <v>5.0999999999999996</v>
      </c>
      <c r="GQ22" s="463">
        <v>25</v>
      </c>
      <c r="GR22" s="463">
        <v>35</v>
      </c>
      <c r="GS22" s="464">
        <v>63</v>
      </c>
      <c r="GT22" s="463">
        <v>350</v>
      </c>
      <c r="GU22" s="394"/>
      <c r="GV22" s="394"/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</row>
    <row r="23" spans="2:230" x14ac:dyDescent="0.15">
      <c r="B23" s="89" t="s">
        <v>39</v>
      </c>
      <c r="C23" s="272">
        <v>22287543</v>
      </c>
      <c r="D23" s="455">
        <f t="shared" si="0"/>
        <v>9162697</v>
      </c>
      <c r="E23" s="272">
        <v>218778</v>
      </c>
      <c r="F23" s="272">
        <v>8943919</v>
      </c>
      <c r="G23" s="455">
        <f t="shared" si="1"/>
        <v>1333049</v>
      </c>
      <c r="H23" s="272">
        <v>357326</v>
      </c>
      <c r="I23" s="272">
        <v>975723</v>
      </c>
      <c r="J23" s="272">
        <v>8693636</v>
      </c>
      <c r="K23" s="272">
        <v>3731568</v>
      </c>
      <c r="L23" s="272">
        <v>3950958</v>
      </c>
      <c r="M23" s="272">
        <v>938104</v>
      </c>
      <c r="N23" s="272">
        <v>1063855</v>
      </c>
      <c r="O23" s="272">
        <v>1814304</v>
      </c>
      <c r="P23" s="272">
        <v>990857</v>
      </c>
      <c r="Q23" s="272">
        <v>823447</v>
      </c>
      <c r="R23" s="272">
        <v>392263</v>
      </c>
      <c r="S23" s="272">
        <v>0</v>
      </c>
      <c r="T23" s="455">
        <f t="shared" si="2"/>
        <v>2234442</v>
      </c>
      <c r="U23" s="272">
        <v>166279</v>
      </c>
      <c r="V23" s="272">
        <v>146950</v>
      </c>
      <c r="W23" s="272">
        <v>90478</v>
      </c>
      <c r="X23" s="272">
        <v>1455967</v>
      </c>
      <c r="Y23" s="272">
        <v>36998</v>
      </c>
      <c r="Z23" s="272">
        <v>0</v>
      </c>
      <c r="AA23" s="272">
        <v>337770</v>
      </c>
      <c r="AB23" s="272">
        <v>149907</v>
      </c>
      <c r="AC23" s="272">
        <v>7345405</v>
      </c>
      <c r="AD23" s="272">
        <v>6643372</v>
      </c>
      <c r="AE23" s="272">
        <v>702033</v>
      </c>
      <c r="AF23" s="272">
        <v>31050</v>
      </c>
      <c r="AG23" s="272">
        <v>433214</v>
      </c>
      <c r="AH23" s="455">
        <f t="shared" si="3"/>
        <v>1641487</v>
      </c>
      <c r="AI23" s="272">
        <v>1525218</v>
      </c>
      <c r="AJ23" s="272">
        <v>116269</v>
      </c>
      <c r="AK23" s="272">
        <v>7845428</v>
      </c>
      <c r="AL23" s="455">
        <f t="shared" si="4"/>
        <v>4707426</v>
      </c>
      <c r="AM23" s="272">
        <v>4327456</v>
      </c>
      <c r="AN23" s="272">
        <v>379970</v>
      </c>
      <c r="AO23" s="272">
        <v>0</v>
      </c>
      <c r="AP23" s="272">
        <v>0</v>
      </c>
      <c r="AQ23" s="272">
        <v>898238</v>
      </c>
      <c r="AR23" s="272">
        <v>0</v>
      </c>
      <c r="AS23" s="272">
        <v>269893</v>
      </c>
      <c r="AT23" s="272">
        <v>2997710</v>
      </c>
      <c r="AU23" s="272">
        <v>1506025</v>
      </c>
      <c r="AV23" s="272">
        <v>189985</v>
      </c>
      <c r="AW23" s="272">
        <v>123203</v>
      </c>
      <c r="AX23" s="272">
        <v>1491685</v>
      </c>
      <c r="AY23" s="272">
        <v>30756</v>
      </c>
      <c r="AZ23" s="272">
        <v>99089</v>
      </c>
      <c r="BA23" s="272">
        <v>51521</v>
      </c>
      <c r="BB23" s="272">
        <v>21133</v>
      </c>
      <c r="BC23" s="272">
        <v>1231597</v>
      </c>
      <c r="BD23" s="272">
        <v>100000</v>
      </c>
      <c r="BE23" s="272">
        <v>300000</v>
      </c>
      <c r="BF23" s="272">
        <v>800000</v>
      </c>
      <c r="BG23" s="272">
        <v>0</v>
      </c>
      <c r="BH23" s="272">
        <v>168400</v>
      </c>
      <c r="BI23" s="272">
        <v>148822</v>
      </c>
      <c r="BJ23" s="272">
        <v>772960</v>
      </c>
      <c r="BK23" s="272">
        <v>89931</v>
      </c>
      <c r="BL23" s="272">
        <v>7060</v>
      </c>
      <c r="BM23" s="272">
        <v>0</v>
      </c>
      <c r="BN23" s="272">
        <v>3056200</v>
      </c>
      <c r="BO23" s="455">
        <f t="shared" si="5"/>
        <v>1638500</v>
      </c>
      <c r="BP23" s="455">
        <f t="shared" si="6"/>
        <v>1417700</v>
      </c>
      <c r="BQ23" s="272"/>
      <c r="BR23" s="272">
        <v>0</v>
      </c>
      <c r="BS23" s="272">
        <v>1417700</v>
      </c>
      <c r="BT23" s="272">
        <v>0</v>
      </c>
      <c r="BU23" s="272">
        <v>50977721</v>
      </c>
      <c r="BV23" s="272"/>
      <c r="BW23" s="272">
        <v>11137692</v>
      </c>
      <c r="BX23" s="272">
        <v>7650894</v>
      </c>
      <c r="BY23" s="272">
        <v>920782</v>
      </c>
      <c r="BZ23" s="272">
        <v>840828</v>
      </c>
      <c r="CA23" s="272">
        <v>12645740</v>
      </c>
      <c r="CB23" s="272">
        <v>1826557</v>
      </c>
      <c r="CC23" s="272">
        <v>302713</v>
      </c>
      <c r="CD23" s="272">
        <v>4635733</v>
      </c>
      <c r="CE23" s="272">
        <v>5610917</v>
      </c>
      <c r="CF23" s="272">
        <v>0</v>
      </c>
      <c r="CG23" s="272">
        <v>269440</v>
      </c>
      <c r="CH23" s="272">
        <v>6345189</v>
      </c>
      <c r="CI23" s="272">
        <v>5298976</v>
      </c>
      <c r="CJ23" s="455">
        <f t="shared" si="7"/>
        <v>1046213</v>
      </c>
      <c r="CK23" s="272">
        <v>6290988</v>
      </c>
      <c r="CL23" s="272">
        <v>4138781</v>
      </c>
      <c r="CM23" s="272">
        <v>399649</v>
      </c>
      <c r="CN23" s="272">
        <v>868376</v>
      </c>
      <c r="CO23" s="272">
        <v>404242</v>
      </c>
      <c r="CP23" s="272">
        <v>4911716</v>
      </c>
      <c r="CQ23" s="272">
        <v>1876498</v>
      </c>
      <c r="CR23" s="272">
        <v>1625533</v>
      </c>
      <c r="CS23" s="272">
        <v>1444759</v>
      </c>
      <c r="CT23" s="455">
        <f t="shared" si="8"/>
        <v>845000</v>
      </c>
      <c r="CU23" s="272">
        <v>15000</v>
      </c>
      <c r="CV23" s="272">
        <v>830000</v>
      </c>
      <c r="CW23" s="455">
        <f t="shared" si="9"/>
        <v>830000</v>
      </c>
      <c r="CX23" s="272">
        <v>0</v>
      </c>
      <c r="CY23" s="272">
        <v>830000</v>
      </c>
      <c r="CZ23" s="455">
        <f t="shared" si="10"/>
        <v>0</v>
      </c>
      <c r="DA23" s="272">
        <v>0</v>
      </c>
      <c r="DB23" s="272">
        <v>0</v>
      </c>
      <c r="DC23" s="272">
        <v>4226158</v>
      </c>
      <c r="DD23" s="272">
        <v>1820790</v>
      </c>
      <c r="DE23" s="272">
        <v>2403793</v>
      </c>
      <c r="DF23" s="26">
        <v>1575</v>
      </c>
      <c r="DG23" s="27">
        <v>1575</v>
      </c>
      <c r="DH23" s="272">
        <v>0</v>
      </c>
      <c r="DI23" s="272">
        <v>436133</v>
      </c>
      <c r="DJ23" s="272">
        <v>385360</v>
      </c>
      <c r="DK23" s="272">
        <v>1850</v>
      </c>
      <c r="DL23" s="272">
        <v>48923</v>
      </c>
      <c r="DM23" s="272">
        <v>0</v>
      </c>
      <c r="DN23" s="272">
        <v>0</v>
      </c>
      <c r="DO23" s="272">
        <v>0</v>
      </c>
      <c r="DP23" s="272">
        <v>0</v>
      </c>
      <c r="DQ23" s="272">
        <v>81950</v>
      </c>
      <c r="DR23" s="272">
        <v>0</v>
      </c>
      <c r="DS23" s="272">
        <v>0</v>
      </c>
      <c r="DT23" s="272">
        <v>4345342</v>
      </c>
      <c r="DU23" s="272">
        <v>762545</v>
      </c>
      <c r="DV23" s="455">
        <f t="shared" si="11"/>
        <v>158153</v>
      </c>
      <c r="DW23" s="272">
        <v>158153</v>
      </c>
      <c r="DX23" s="272"/>
      <c r="DY23" s="272">
        <v>0</v>
      </c>
      <c r="DZ23" s="272">
        <v>1282028</v>
      </c>
      <c r="EA23" s="272">
        <v>952778</v>
      </c>
      <c r="EB23" s="272">
        <v>1184838</v>
      </c>
      <c r="EC23" s="272">
        <v>0</v>
      </c>
      <c r="ED23" s="272">
        <v>50825150</v>
      </c>
      <c r="EE23" s="89"/>
      <c r="EF23" s="272">
        <v>152571</v>
      </c>
      <c r="EG23" s="272">
        <v>52946</v>
      </c>
      <c r="EH23" s="272">
        <v>99625</v>
      </c>
      <c r="EI23" s="272">
        <v>-49197</v>
      </c>
      <c r="EJ23" s="272">
        <v>365090</v>
      </c>
      <c r="EK23" s="89"/>
      <c r="EL23" s="272"/>
      <c r="EM23" s="272">
        <v>181554</v>
      </c>
      <c r="EN23" s="272">
        <v>431597</v>
      </c>
      <c r="EO23" s="272">
        <v>88370</v>
      </c>
      <c r="EP23" s="455">
        <f t="shared" si="12"/>
        <v>1163366</v>
      </c>
      <c r="EQ23" s="272">
        <v>32710503</v>
      </c>
      <c r="ER23" s="272">
        <v>-2800090</v>
      </c>
      <c r="ES23" s="272">
        <v>10163076</v>
      </c>
      <c r="ET23" s="272">
        <v>6945857</v>
      </c>
      <c r="EU23" s="272">
        <v>4354147</v>
      </c>
      <c r="EV23" s="272">
        <v>6025642</v>
      </c>
      <c r="EW23" s="455">
        <f t="shared" si="13"/>
        <v>805635</v>
      </c>
      <c r="EX23" s="272">
        <v>805635</v>
      </c>
      <c r="EY23" s="272">
        <v>66029</v>
      </c>
      <c r="EZ23" s="272">
        <v>739031</v>
      </c>
      <c r="FA23" s="272">
        <v>0</v>
      </c>
      <c r="FB23" s="272">
        <v>0</v>
      </c>
      <c r="FC23" s="272">
        <v>4938523</v>
      </c>
      <c r="FD23" s="272">
        <v>4568876</v>
      </c>
      <c r="FE23" s="272">
        <v>1876498</v>
      </c>
      <c r="FF23" s="272">
        <v>3695305</v>
      </c>
      <c r="FG23" s="455">
        <f t="shared" si="14"/>
        <v>806818</v>
      </c>
      <c r="FH23" s="272">
        <v>35358022</v>
      </c>
      <c r="FI23" s="384">
        <f t="shared" si="15"/>
        <v>0.3</v>
      </c>
      <c r="FJ23" s="272">
        <v>29805551</v>
      </c>
      <c r="FK23" s="272">
        <v>1417719</v>
      </c>
      <c r="FL23" s="272">
        <v>17746606</v>
      </c>
      <c r="FM23" s="272">
        <v>24431762</v>
      </c>
      <c r="FN23" s="460">
        <v>0.71099999999999997</v>
      </c>
      <c r="FO23" s="388">
        <v>101.6</v>
      </c>
      <c r="FP23" s="388">
        <v>30.3</v>
      </c>
      <c r="FQ23" s="388">
        <v>13.7</v>
      </c>
      <c r="FR23" s="388">
        <v>18.600000000000001</v>
      </c>
      <c r="FS23" s="388">
        <v>14.5</v>
      </c>
      <c r="FT23" s="388">
        <v>13.3</v>
      </c>
      <c r="FU23" s="388">
        <v>10</v>
      </c>
      <c r="FV23" s="384">
        <f t="shared" si="16"/>
        <v>6.9</v>
      </c>
      <c r="FW23" s="272">
        <v>50445276</v>
      </c>
      <c r="FX23" s="384">
        <f t="shared" si="17"/>
        <v>169.2</v>
      </c>
      <c r="FY23" s="272">
        <v>5009753</v>
      </c>
      <c r="FZ23" s="272">
        <v>2171870</v>
      </c>
      <c r="GA23" s="272">
        <v>416630</v>
      </c>
      <c r="GB23" s="272">
        <v>2421253</v>
      </c>
      <c r="GC23" s="272"/>
      <c r="GD23" s="272">
        <v>7126483</v>
      </c>
      <c r="GE23" s="384">
        <f t="shared" si="18"/>
        <v>23.9</v>
      </c>
      <c r="GF23" s="388">
        <v>98</v>
      </c>
      <c r="GG23" s="388">
        <v>24</v>
      </c>
      <c r="GH23" s="388">
        <v>94.7</v>
      </c>
      <c r="GI23" s="272">
        <v>1081</v>
      </c>
      <c r="GJ23" s="461" t="s">
        <v>646</v>
      </c>
      <c r="GK23" s="461">
        <v>11.75</v>
      </c>
      <c r="GL23" s="462">
        <v>20</v>
      </c>
      <c r="GM23" s="461" t="s">
        <v>646</v>
      </c>
      <c r="GN23" s="462">
        <v>16.75</v>
      </c>
      <c r="GO23" s="462">
        <v>40</v>
      </c>
      <c r="GP23" s="463">
        <v>6.9</v>
      </c>
      <c r="GQ23" s="463">
        <v>25</v>
      </c>
      <c r="GR23" s="463">
        <v>35</v>
      </c>
      <c r="GS23" s="464">
        <v>67.900000000000006</v>
      </c>
      <c r="GT23" s="463">
        <v>350</v>
      </c>
      <c r="GU23" s="394"/>
      <c r="GV23" s="394"/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</row>
    <row r="24" spans="2:230" x14ac:dyDescent="0.15">
      <c r="B24" s="89" t="s">
        <v>41</v>
      </c>
      <c r="C24" s="272">
        <v>22800338</v>
      </c>
      <c r="D24" s="455">
        <f t="shared" si="0"/>
        <v>10549134</v>
      </c>
      <c r="E24" s="272">
        <v>172141</v>
      </c>
      <c r="F24" s="272">
        <v>10376993</v>
      </c>
      <c r="G24" s="455">
        <f t="shared" si="1"/>
        <v>1125734</v>
      </c>
      <c r="H24" s="272">
        <v>343618</v>
      </c>
      <c r="I24" s="272">
        <v>782116</v>
      </c>
      <c r="J24" s="272">
        <v>8366533</v>
      </c>
      <c r="K24" s="272">
        <v>3994973</v>
      </c>
      <c r="L24" s="272">
        <v>3592246</v>
      </c>
      <c r="M24" s="272">
        <v>748805</v>
      </c>
      <c r="N24" s="272">
        <v>644640</v>
      </c>
      <c r="O24" s="272">
        <v>2027364</v>
      </c>
      <c r="P24" s="272">
        <v>1225498</v>
      </c>
      <c r="Q24" s="272">
        <v>801866</v>
      </c>
      <c r="R24" s="272">
        <v>296722</v>
      </c>
      <c r="S24" s="272">
        <v>0</v>
      </c>
      <c r="T24" s="455">
        <f t="shared" si="2"/>
        <v>1824607</v>
      </c>
      <c r="U24" s="272">
        <v>198326</v>
      </c>
      <c r="V24" s="272">
        <v>175154</v>
      </c>
      <c r="W24" s="272">
        <v>108306</v>
      </c>
      <c r="X24" s="272">
        <v>1085807</v>
      </c>
      <c r="Y24" s="272">
        <v>1504</v>
      </c>
      <c r="Z24" s="272">
        <v>0</v>
      </c>
      <c r="AA24" s="272">
        <v>255510</v>
      </c>
      <c r="AB24" s="272">
        <v>175687</v>
      </c>
      <c r="AC24" s="272">
        <v>105043</v>
      </c>
      <c r="AD24" s="272">
        <v>0</v>
      </c>
      <c r="AE24" s="272">
        <v>105043</v>
      </c>
      <c r="AF24" s="272">
        <v>27795</v>
      </c>
      <c r="AG24" s="272">
        <v>250290</v>
      </c>
      <c r="AH24" s="455">
        <f t="shared" si="3"/>
        <v>959416</v>
      </c>
      <c r="AI24" s="272">
        <v>713219</v>
      </c>
      <c r="AJ24" s="272">
        <v>246197</v>
      </c>
      <c r="AK24" s="272">
        <v>2842370</v>
      </c>
      <c r="AL24" s="455">
        <f t="shared" si="4"/>
        <v>1624892</v>
      </c>
      <c r="AM24" s="272">
        <v>983297</v>
      </c>
      <c r="AN24" s="272">
        <v>641595</v>
      </c>
      <c r="AO24" s="272">
        <v>0</v>
      </c>
      <c r="AP24" s="272">
        <v>0</v>
      </c>
      <c r="AQ24" s="272">
        <v>391338</v>
      </c>
      <c r="AR24" s="272">
        <v>0</v>
      </c>
      <c r="AS24" s="272">
        <v>0</v>
      </c>
      <c r="AT24" s="272">
        <v>1789125</v>
      </c>
      <c r="AU24" s="272">
        <v>767093</v>
      </c>
      <c r="AV24" s="272">
        <v>81775</v>
      </c>
      <c r="AW24" s="272">
        <v>3264</v>
      </c>
      <c r="AX24" s="272">
        <v>1022032</v>
      </c>
      <c r="AY24" s="272">
        <v>7269</v>
      </c>
      <c r="AZ24" s="272">
        <v>552180</v>
      </c>
      <c r="BA24" s="272">
        <v>335000</v>
      </c>
      <c r="BB24" s="272">
        <v>37945</v>
      </c>
      <c r="BC24" s="272">
        <v>2974922</v>
      </c>
      <c r="BD24" s="272">
        <v>1493833</v>
      </c>
      <c r="BE24" s="272">
        <v>380000</v>
      </c>
      <c r="BF24" s="272">
        <v>1053160</v>
      </c>
      <c r="BG24" s="272">
        <v>0</v>
      </c>
      <c r="BH24" s="272">
        <v>746222</v>
      </c>
      <c r="BI24" s="272">
        <v>422044</v>
      </c>
      <c r="BJ24" s="272">
        <v>2807352</v>
      </c>
      <c r="BK24" s="272">
        <v>1944555</v>
      </c>
      <c r="BL24" s="272">
        <v>0</v>
      </c>
      <c r="BM24" s="272">
        <v>500000</v>
      </c>
      <c r="BN24" s="272">
        <v>1591000</v>
      </c>
      <c r="BO24" s="455">
        <f t="shared" si="5"/>
        <v>471000</v>
      </c>
      <c r="BP24" s="455">
        <f t="shared" si="6"/>
        <v>1120000</v>
      </c>
      <c r="BQ24" s="272"/>
      <c r="BR24" s="272">
        <v>0</v>
      </c>
      <c r="BS24" s="272">
        <v>1120000</v>
      </c>
      <c r="BT24" s="272">
        <v>0</v>
      </c>
      <c r="BU24" s="272">
        <v>39781014</v>
      </c>
      <c r="BV24" s="272"/>
      <c r="BW24" s="272">
        <v>10485752</v>
      </c>
      <c r="BX24" s="272">
        <v>7443189</v>
      </c>
      <c r="BY24" s="272">
        <v>1346774</v>
      </c>
      <c r="BZ24" s="272">
        <v>181426</v>
      </c>
      <c r="CA24" s="272">
        <v>4421142</v>
      </c>
      <c r="CB24" s="272">
        <v>959335</v>
      </c>
      <c r="CC24" s="272">
        <v>229563</v>
      </c>
      <c r="CD24" s="272">
        <v>1861735</v>
      </c>
      <c r="CE24" s="272">
        <v>1291384</v>
      </c>
      <c r="CF24" s="272">
        <v>0</v>
      </c>
      <c r="CG24" s="272">
        <v>79125</v>
      </c>
      <c r="CH24" s="272">
        <v>4116919</v>
      </c>
      <c r="CI24" s="272">
        <v>3513459</v>
      </c>
      <c r="CJ24" s="455">
        <f t="shared" si="7"/>
        <v>603460</v>
      </c>
      <c r="CK24" s="272">
        <v>6764799</v>
      </c>
      <c r="CL24" s="272">
        <v>4184027</v>
      </c>
      <c r="CM24" s="272">
        <v>367100</v>
      </c>
      <c r="CN24" s="272">
        <v>1168166</v>
      </c>
      <c r="CO24" s="272">
        <v>425472</v>
      </c>
      <c r="CP24" s="272">
        <v>3435156</v>
      </c>
      <c r="CQ24" s="272">
        <v>87766</v>
      </c>
      <c r="CR24" s="272">
        <v>1425617</v>
      </c>
      <c r="CS24" s="272">
        <v>1297760</v>
      </c>
      <c r="CT24" s="455">
        <f t="shared" si="8"/>
        <v>1434244</v>
      </c>
      <c r="CU24" s="272">
        <v>1336915</v>
      </c>
      <c r="CV24" s="272">
        <v>97329</v>
      </c>
      <c r="CW24" s="455">
        <f t="shared" si="9"/>
        <v>868023</v>
      </c>
      <c r="CX24" s="272">
        <v>865023</v>
      </c>
      <c r="CY24" s="272">
        <v>3000</v>
      </c>
      <c r="CZ24" s="455">
        <f t="shared" si="10"/>
        <v>522585</v>
      </c>
      <c r="DA24" s="272">
        <v>464643</v>
      </c>
      <c r="DB24" s="272">
        <v>57942</v>
      </c>
      <c r="DC24" s="272">
        <v>2617559</v>
      </c>
      <c r="DD24" s="272">
        <v>959155</v>
      </c>
      <c r="DE24" s="272">
        <v>1658404</v>
      </c>
      <c r="DF24" s="26">
        <v>0</v>
      </c>
      <c r="DG24" s="27">
        <v>0</v>
      </c>
      <c r="DH24" s="272">
        <v>2652</v>
      </c>
      <c r="DI24" s="272">
        <v>465593</v>
      </c>
      <c r="DJ24" s="272">
        <v>55688</v>
      </c>
      <c r="DK24" s="272">
        <v>13498</v>
      </c>
      <c r="DL24" s="272">
        <v>396407</v>
      </c>
      <c r="DM24" s="272">
        <v>273917</v>
      </c>
      <c r="DN24" s="272">
        <v>273917</v>
      </c>
      <c r="DO24" s="272">
        <v>0</v>
      </c>
      <c r="DP24" s="272">
        <v>273917</v>
      </c>
      <c r="DQ24" s="272">
        <v>1940574</v>
      </c>
      <c r="DR24" s="272">
        <v>16000</v>
      </c>
      <c r="DS24" s="272">
        <v>0</v>
      </c>
      <c r="DT24" s="272">
        <v>3307023</v>
      </c>
      <c r="DU24" s="272">
        <v>0</v>
      </c>
      <c r="DV24" s="455">
        <f t="shared" si="11"/>
        <v>204984</v>
      </c>
      <c r="DW24" s="272">
        <v>204984</v>
      </c>
      <c r="DX24" s="272"/>
      <c r="DY24" s="272">
        <v>0</v>
      </c>
      <c r="DZ24" s="272">
        <v>1331133</v>
      </c>
      <c r="EA24" s="272">
        <v>707820</v>
      </c>
      <c r="EB24" s="272">
        <v>826115</v>
      </c>
      <c r="EC24" s="272">
        <v>0</v>
      </c>
      <c r="ED24" s="272">
        <v>38256558</v>
      </c>
      <c r="EE24" s="89"/>
      <c r="EF24" s="272">
        <v>1524456</v>
      </c>
      <c r="EG24" s="272">
        <v>261389</v>
      </c>
      <c r="EH24" s="272">
        <v>1263067</v>
      </c>
      <c r="EI24" s="272">
        <v>41023</v>
      </c>
      <c r="EJ24" s="272">
        <v>-1397122</v>
      </c>
      <c r="EK24" s="89"/>
      <c r="EL24" s="272"/>
      <c r="EM24" s="272">
        <v>125034</v>
      </c>
      <c r="EN24" s="272">
        <v>2262762</v>
      </c>
      <c r="EO24" s="272">
        <v>406708</v>
      </c>
      <c r="EP24" s="455">
        <f t="shared" si="12"/>
        <v>1508472</v>
      </c>
      <c r="EQ24" s="272">
        <v>25230192</v>
      </c>
      <c r="ER24" s="272">
        <v>-5270147</v>
      </c>
      <c r="ES24" s="272">
        <v>10014948</v>
      </c>
      <c r="ET24" s="272">
        <v>7032129</v>
      </c>
      <c r="EU24" s="272">
        <v>1445947</v>
      </c>
      <c r="EV24" s="272">
        <v>4116136</v>
      </c>
      <c r="EW24" s="455">
        <f t="shared" si="13"/>
        <v>1292677</v>
      </c>
      <c r="EX24" s="272">
        <v>1290025</v>
      </c>
      <c r="EY24" s="272">
        <v>134034</v>
      </c>
      <c r="EZ24" s="272">
        <v>1155991</v>
      </c>
      <c r="FA24" s="272">
        <v>2652</v>
      </c>
      <c r="FB24" s="272">
        <v>0</v>
      </c>
      <c r="FC24" s="272">
        <v>5338131</v>
      </c>
      <c r="FD24" s="272">
        <v>3113391</v>
      </c>
      <c r="FE24" s="272">
        <v>87766</v>
      </c>
      <c r="FF24" s="272">
        <v>2627249</v>
      </c>
      <c r="FG24" s="455">
        <f t="shared" si="14"/>
        <v>1027404</v>
      </c>
      <c r="FH24" s="272">
        <v>28975883</v>
      </c>
      <c r="FI24" s="384">
        <f t="shared" si="15"/>
        <v>5.5</v>
      </c>
      <c r="FJ24" s="272">
        <v>23047058</v>
      </c>
      <c r="FK24" s="272">
        <v>1127280</v>
      </c>
      <c r="FL24" s="272">
        <v>17320063</v>
      </c>
      <c r="FM24" s="272">
        <v>16726508</v>
      </c>
      <c r="FN24" s="460">
        <v>1.0449999999999999</v>
      </c>
      <c r="FO24" s="388">
        <v>100.1</v>
      </c>
      <c r="FP24" s="388">
        <v>40.1</v>
      </c>
      <c r="FQ24" s="388">
        <v>5.9</v>
      </c>
      <c r="FR24" s="388">
        <v>16.8</v>
      </c>
      <c r="FS24" s="388">
        <v>17.7</v>
      </c>
      <c r="FT24" s="388">
        <v>10.5</v>
      </c>
      <c r="FU24" s="388">
        <v>7.5</v>
      </c>
      <c r="FV24" s="384">
        <f t="shared" si="16"/>
        <v>8.1</v>
      </c>
      <c r="FW24" s="272">
        <v>30563229</v>
      </c>
      <c r="FX24" s="384">
        <f t="shared" si="17"/>
        <v>132.6</v>
      </c>
      <c r="FY24" s="272">
        <v>16496777</v>
      </c>
      <c r="FZ24" s="272">
        <v>7113434</v>
      </c>
      <c r="GA24" s="272">
        <v>1648122</v>
      </c>
      <c r="GB24" s="272">
        <v>7735221</v>
      </c>
      <c r="GC24" s="272"/>
      <c r="GD24" s="272">
        <v>2588462</v>
      </c>
      <c r="GE24" s="384">
        <f t="shared" si="18"/>
        <v>11.2</v>
      </c>
      <c r="GF24" s="388">
        <v>97.9</v>
      </c>
      <c r="GG24" s="388">
        <v>24.2</v>
      </c>
      <c r="GH24" s="388">
        <v>93.3</v>
      </c>
      <c r="GI24" s="272">
        <v>995</v>
      </c>
      <c r="GJ24" s="461" t="s">
        <v>646</v>
      </c>
      <c r="GK24" s="461">
        <v>12.14</v>
      </c>
      <c r="GL24" s="462">
        <v>20</v>
      </c>
      <c r="GM24" s="461" t="s">
        <v>646</v>
      </c>
      <c r="GN24" s="462">
        <v>17.14</v>
      </c>
      <c r="GO24" s="462">
        <v>40</v>
      </c>
      <c r="GP24" s="463">
        <v>8.1</v>
      </c>
      <c r="GQ24" s="463">
        <v>25</v>
      </c>
      <c r="GR24" s="463">
        <v>35</v>
      </c>
      <c r="GS24" s="464" t="s">
        <v>646</v>
      </c>
      <c r="GT24" s="463">
        <v>350</v>
      </c>
      <c r="GU24" s="394"/>
      <c r="GV24" s="394"/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</row>
    <row r="25" spans="2:230" x14ac:dyDescent="0.15">
      <c r="B25" s="89" t="s">
        <v>43</v>
      </c>
      <c r="C25" s="272">
        <v>10066784</v>
      </c>
      <c r="D25" s="455">
        <f t="shared" si="0"/>
        <v>3852786</v>
      </c>
      <c r="E25" s="272">
        <v>95781</v>
      </c>
      <c r="F25" s="272">
        <v>3757005</v>
      </c>
      <c r="G25" s="455">
        <f t="shared" si="1"/>
        <v>1201584</v>
      </c>
      <c r="H25" s="272">
        <v>136408</v>
      </c>
      <c r="I25" s="272">
        <v>1065176</v>
      </c>
      <c r="J25" s="272">
        <v>3794717</v>
      </c>
      <c r="K25" s="272">
        <v>1642484</v>
      </c>
      <c r="L25" s="272">
        <v>1437629</v>
      </c>
      <c r="M25" s="272">
        <v>682259</v>
      </c>
      <c r="N25" s="272">
        <v>368501</v>
      </c>
      <c r="O25" s="272">
        <v>779678</v>
      </c>
      <c r="P25" s="272">
        <v>467395</v>
      </c>
      <c r="Q25" s="272">
        <v>312283</v>
      </c>
      <c r="R25" s="272">
        <v>172379</v>
      </c>
      <c r="S25" s="272">
        <v>0</v>
      </c>
      <c r="T25" s="455">
        <f t="shared" si="2"/>
        <v>999897</v>
      </c>
      <c r="U25" s="272">
        <v>72377</v>
      </c>
      <c r="V25" s="272">
        <v>64084</v>
      </c>
      <c r="W25" s="272">
        <v>38983</v>
      </c>
      <c r="X25" s="272">
        <v>676015</v>
      </c>
      <c r="Y25" s="272">
        <v>0</v>
      </c>
      <c r="Z25" s="272">
        <v>0</v>
      </c>
      <c r="AA25" s="272">
        <v>148438</v>
      </c>
      <c r="AB25" s="272">
        <v>75110</v>
      </c>
      <c r="AC25" s="272">
        <v>3414109</v>
      </c>
      <c r="AD25" s="272">
        <v>3184905</v>
      </c>
      <c r="AE25" s="272">
        <v>229204</v>
      </c>
      <c r="AF25" s="272">
        <v>14202</v>
      </c>
      <c r="AG25" s="272">
        <v>243190</v>
      </c>
      <c r="AH25" s="455">
        <f t="shared" si="3"/>
        <v>465440</v>
      </c>
      <c r="AI25" s="272">
        <v>366356</v>
      </c>
      <c r="AJ25" s="272">
        <v>99084</v>
      </c>
      <c r="AK25" s="272">
        <v>2775278</v>
      </c>
      <c r="AL25" s="455">
        <f t="shared" si="4"/>
        <v>1888501</v>
      </c>
      <c r="AM25" s="272">
        <v>1347616</v>
      </c>
      <c r="AN25" s="272">
        <v>539632</v>
      </c>
      <c r="AO25" s="272">
        <v>0</v>
      </c>
      <c r="AP25" s="272">
        <v>1253</v>
      </c>
      <c r="AQ25" s="272">
        <v>541102</v>
      </c>
      <c r="AR25" s="272">
        <v>0</v>
      </c>
      <c r="AS25" s="272">
        <v>0</v>
      </c>
      <c r="AT25" s="272">
        <v>1237119</v>
      </c>
      <c r="AU25" s="272">
        <v>505245</v>
      </c>
      <c r="AV25" s="272">
        <v>245923</v>
      </c>
      <c r="AW25" s="272">
        <v>57901</v>
      </c>
      <c r="AX25" s="272">
        <v>731874</v>
      </c>
      <c r="AY25" s="272">
        <v>2283</v>
      </c>
      <c r="AZ25" s="272">
        <v>49266</v>
      </c>
      <c r="BA25" s="272">
        <v>26990</v>
      </c>
      <c r="BB25" s="272">
        <v>73531</v>
      </c>
      <c r="BC25" s="272">
        <v>1317098</v>
      </c>
      <c r="BD25" s="272">
        <v>766000</v>
      </c>
      <c r="BE25" s="272">
        <v>0</v>
      </c>
      <c r="BF25" s="272">
        <v>551098</v>
      </c>
      <c r="BG25" s="272">
        <v>0</v>
      </c>
      <c r="BH25" s="272">
        <v>91664</v>
      </c>
      <c r="BI25" s="272">
        <v>1134</v>
      </c>
      <c r="BJ25" s="272">
        <v>1191100</v>
      </c>
      <c r="BK25" s="272">
        <v>697679</v>
      </c>
      <c r="BL25" s="272">
        <v>0</v>
      </c>
      <c r="BM25" s="272">
        <v>0</v>
      </c>
      <c r="BN25" s="272">
        <v>1932800</v>
      </c>
      <c r="BO25" s="455">
        <f t="shared" si="5"/>
        <v>1236600</v>
      </c>
      <c r="BP25" s="455">
        <f t="shared" si="6"/>
        <v>696200</v>
      </c>
      <c r="BQ25" s="272"/>
      <c r="BR25" s="272">
        <v>0</v>
      </c>
      <c r="BS25" s="272">
        <v>696200</v>
      </c>
      <c r="BT25" s="272">
        <v>0</v>
      </c>
      <c r="BU25" s="272">
        <v>24118967</v>
      </c>
      <c r="BV25" s="272"/>
      <c r="BW25" s="272">
        <v>4358535</v>
      </c>
      <c r="BX25" s="272">
        <v>3017476</v>
      </c>
      <c r="BY25" s="272">
        <v>366745</v>
      </c>
      <c r="BZ25" s="272">
        <v>208470</v>
      </c>
      <c r="CA25" s="272">
        <v>4345196</v>
      </c>
      <c r="CB25" s="272">
        <v>519336</v>
      </c>
      <c r="CC25" s="272">
        <v>133333</v>
      </c>
      <c r="CD25" s="272">
        <v>1840591</v>
      </c>
      <c r="CE25" s="272">
        <v>1752806</v>
      </c>
      <c r="CF25" s="272">
        <v>0</v>
      </c>
      <c r="CG25" s="272">
        <v>99055</v>
      </c>
      <c r="CH25" s="272">
        <v>2097193</v>
      </c>
      <c r="CI25" s="272">
        <v>1707704</v>
      </c>
      <c r="CJ25" s="455">
        <f t="shared" si="7"/>
        <v>389489</v>
      </c>
      <c r="CK25" s="272">
        <v>2483951</v>
      </c>
      <c r="CL25" s="272">
        <v>1514379</v>
      </c>
      <c r="CM25" s="272">
        <v>207325</v>
      </c>
      <c r="CN25" s="272">
        <v>314049</v>
      </c>
      <c r="CO25" s="272">
        <v>86594</v>
      </c>
      <c r="CP25" s="272">
        <v>3822062</v>
      </c>
      <c r="CQ25" s="272">
        <v>2084532</v>
      </c>
      <c r="CR25" s="272">
        <v>419118</v>
      </c>
      <c r="CS25" s="272">
        <v>220259</v>
      </c>
      <c r="CT25" s="455">
        <f t="shared" si="8"/>
        <v>1050516</v>
      </c>
      <c r="CU25" s="272">
        <v>354933</v>
      </c>
      <c r="CV25" s="272">
        <v>695583</v>
      </c>
      <c r="CW25" s="455">
        <f t="shared" si="9"/>
        <v>916513</v>
      </c>
      <c r="CX25" s="272">
        <v>353656</v>
      </c>
      <c r="CY25" s="272">
        <v>562857</v>
      </c>
      <c r="CZ25" s="455">
        <f t="shared" si="10"/>
        <v>0</v>
      </c>
      <c r="DA25" s="272">
        <v>0</v>
      </c>
      <c r="DB25" s="272">
        <v>0</v>
      </c>
      <c r="DC25" s="272">
        <v>2643481</v>
      </c>
      <c r="DD25" s="272">
        <v>1300975</v>
      </c>
      <c r="DE25" s="272">
        <v>1342506</v>
      </c>
      <c r="DF25" s="26">
        <v>0</v>
      </c>
      <c r="DG25" s="27">
        <v>0</v>
      </c>
      <c r="DH25" s="272">
        <v>0</v>
      </c>
      <c r="DI25" s="272">
        <v>350814</v>
      </c>
      <c r="DJ25" s="272">
        <v>300032</v>
      </c>
      <c r="DK25" s="272">
        <v>11</v>
      </c>
      <c r="DL25" s="272">
        <v>50771</v>
      </c>
      <c r="DM25" s="272">
        <v>0</v>
      </c>
      <c r="DN25" s="272">
        <v>0</v>
      </c>
      <c r="DO25" s="272">
        <v>0</v>
      </c>
      <c r="DP25" s="272">
        <v>0</v>
      </c>
      <c r="DQ25" s="272">
        <v>698989</v>
      </c>
      <c r="DR25" s="272">
        <v>0</v>
      </c>
      <c r="DS25" s="272">
        <v>0</v>
      </c>
      <c r="DT25" s="272">
        <v>3136256</v>
      </c>
      <c r="DU25" s="272">
        <v>1076472</v>
      </c>
      <c r="DV25" s="455">
        <f t="shared" si="11"/>
        <v>0</v>
      </c>
      <c r="DW25" s="272">
        <v>0</v>
      </c>
      <c r="DX25" s="272"/>
      <c r="DY25" s="272">
        <v>0</v>
      </c>
      <c r="DZ25" s="272">
        <v>803094</v>
      </c>
      <c r="EA25" s="272">
        <v>431315</v>
      </c>
      <c r="EB25" s="272">
        <v>619817</v>
      </c>
      <c r="EC25" s="272">
        <v>0</v>
      </c>
      <c r="ED25" s="272">
        <v>24023071</v>
      </c>
      <c r="EE25" s="89"/>
      <c r="EF25" s="272">
        <v>95896</v>
      </c>
      <c r="EG25" s="272">
        <v>60332</v>
      </c>
      <c r="EH25" s="272">
        <v>35564</v>
      </c>
      <c r="EI25" s="272">
        <v>34180</v>
      </c>
      <c r="EJ25" s="272">
        <v>-431788</v>
      </c>
      <c r="EK25" s="89"/>
      <c r="EL25" s="272"/>
      <c r="EM25" s="272">
        <v>74318</v>
      </c>
      <c r="EN25" s="272">
        <v>766000</v>
      </c>
      <c r="EO25" s="272">
        <v>31766</v>
      </c>
      <c r="EP25" s="455">
        <f t="shared" si="12"/>
        <v>291252</v>
      </c>
      <c r="EQ25" s="272">
        <v>14742481</v>
      </c>
      <c r="ER25" s="272">
        <v>-1771016</v>
      </c>
      <c r="ES25" s="272">
        <v>4020182</v>
      </c>
      <c r="ET25" s="272">
        <v>2715994</v>
      </c>
      <c r="EU25" s="272">
        <v>1532385</v>
      </c>
      <c r="EV25" s="272">
        <v>2080552</v>
      </c>
      <c r="EW25" s="455">
        <f t="shared" si="13"/>
        <v>223158</v>
      </c>
      <c r="EX25" s="272">
        <v>223158</v>
      </c>
      <c r="EY25" s="272">
        <v>8861</v>
      </c>
      <c r="EZ25" s="272">
        <v>214297</v>
      </c>
      <c r="FA25" s="272">
        <v>0</v>
      </c>
      <c r="FB25" s="272">
        <v>0</v>
      </c>
      <c r="FC25" s="272">
        <v>2014467</v>
      </c>
      <c r="FD25" s="272">
        <v>3630336</v>
      </c>
      <c r="FE25" s="272">
        <v>2084532</v>
      </c>
      <c r="FF25" s="272">
        <v>2830161</v>
      </c>
      <c r="FG25" s="455">
        <f t="shared" si="14"/>
        <v>86365</v>
      </c>
      <c r="FH25" s="272">
        <v>16417606</v>
      </c>
      <c r="FI25" s="384">
        <f t="shared" si="15"/>
        <v>0.3</v>
      </c>
      <c r="FJ25" s="272">
        <v>13825550</v>
      </c>
      <c r="FK25" s="272">
        <v>696223</v>
      </c>
      <c r="FL25" s="272">
        <v>8165063</v>
      </c>
      <c r="FM25" s="272">
        <v>11369412</v>
      </c>
      <c r="FN25" s="460">
        <v>0.69599999999999995</v>
      </c>
      <c r="FO25" s="388">
        <v>99.3</v>
      </c>
      <c r="FP25" s="388">
        <v>27.5</v>
      </c>
      <c r="FQ25" s="388">
        <v>10.5</v>
      </c>
      <c r="FR25" s="388">
        <v>14.3</v>
      </c>
      <c r="FS25" s="388">
        <v>13.1</v>
      </c>
      <c r="FT25" s="388">
        <v>19.2</v>
      </c>
      <c r="FU25" s="388">
        <v>14</v>
      </c>
      <c r="FV25" s="384">
        <f t="shared" si="16"/>
        <v>7</v>
      </c>
      <c r="FW25" s="272">
        <v>19812820</v>
      </c>
      <c r="FX25" s="384">
        <f t="shared" si="17"/>
        <v>143.30000000000001</v>
      </c>
      <c r="FY25" s="272">
        <v>2887679</v>
      </c>
      <c r="FZ25" s="272">
        <v>281423</v>
      </c>
      <c r="GA25" s="272">
        <v>170</v>
      </c>
      <c r="GB25" s="272">
        <v>2606086</v>
      </c>
      <c r="GC25" s="272"/>
      <c r="GD25" s="272">
        <v>407800</v>
      </c>
      <c r="GE25" s="384">
        <f t="shared" si="18"/>
        <v>2.9</v>
      </c>
      <c r="GF25" s="388">
        <v>97.6</v>
      </c>
      <c r="GG25" s="388">
        <v>26.7</v>
      </c>
      <c r="GH25" s="388">
        <v>92.1</v>
      </c>
      <c r="GI25" s="272">
        <v>425</v>
      </c>
      <c r="GJ25" s="461" t="s">
        <v>646</v>
      </c>
      <c r="GK25" s="461">
        <v>12.81</v>
      </c>
      <c r="GL25" s="462">
        <v>20</v>
      </c>
      <c r="GM25" s="461">
        <v>16.920000000000002</v>
      </c>
      <c r="GN25" s="462">
        <v>17.809999999999999</v>
      </c>
      <c r="GO25" s="462">
        <v>40</v>
      </c>
      <c r="GP25" s="463">
        <v>7</v>
      </c>
      <c r="GQ25" s="463">
        <v>25</v>
      </c>
      <c r="GR25" s="463">
        <v>35</v>
      </c>
      <c r="GS25" s="464">
        <v>111.6</v>
      </c>
      <c r="GT25" s="463">
        <v>350</v>
      </c>
      <c r="GU25" s="394"/>
      <c r="GV25" s="394"/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</row>
    <row r="26" spans="2:230" x14ac:dyDescent="0.15">
      <c r="B26" s="89" t="s">
        <v>45</v>
      </c>
      <c r="C26" s="272">
        <v>13711431</v>
      </c>
      <c r="D26" s="455">
        <f t="shared" si="0"/>
        <v>5918575</v>
      </c>
      <c r="E26" s="272">
        <v>149148</v>
      </c>
      <c r="F26" s="272">
        <v>5769427</v>
      </c>
      <c r="G26" s="455">
        <f t="shared" si="1"/>
        <v>851863</v>
      </c>
      <c r="H26" s="272">
        <v>185860</v>
      </c>
      <c r="I26" s="272">
        <v>666003</v>
      </c>
      <c r="J26" s="272">
        <v>5032176</v>
      </c>
      <c r="K26" s="272">
        <v>2377824</v>
      </c>
      <c r="L26" s="272">
        <v>2114570</v>
      </c>
      <c r="M26" s="272">
        <v>497925</v>
      </c>
      <c r="N26" s="272">
        <v>636165</v>
      </c>
      <c r="O26" s="272">
        <v>1111021</v>
      </c>
      <c r="P26" s="272">
        <v>669169</v>
      </c>
      <c r="Q26" s="272">
        <v>441852</v>
      </c>
      <c r="R26" s="272">
        <v>262159</v>
      </c>
      <c r="S26" s="272">
        <v>0</v>
      </c>
      <c r="T26" s="455">
        <f t="shared" si="2"/>
        <v>1482099</v>
      </c>
      <c r="U26" s="272">
        <v>112534</v>
      </c>
      <c r="V26" s="272">
        <v>99505</v>
      </c>
      <c r="W26" s="272">
        <v>61058</v>
      </c>
      <c r="X26" s="272">
        <v>983254</v>
      </c>
      <c r="Y26" s="272">
        <v>0</v>
      </c>
      <c r="Z26" s="272">
        <v>0</v>
      </c>
      <c r="AA26" s="272">
        <v>225748</v>
      </c>
      <c r="AB26" s="272">
        <v>102945</v>
      </c>
      <c r="AC26" s="272">
        <v>7241027</v>
      </c>
      <c r="AD26" s="272">
        <v>6988985</v>
      </c>
      <c r="AE26" s="272">
        <v>252042</v>
      </c>
      <c r="AF26" s="272">
        <v>23799</v>
      </c>
      <c r="AG26" s="272">
        <v>285071</v>
      </c>
      <c r="AH26" s="455">
        <f t="shared" si="3"/>
        <v>534690</v>
      </c>
      <c r="AI26" s="272">
        <v>473757</v>
      </c>
      <c r="AJ26" s="272">
        <v>60933</v>
      </c>
      <c r="AK26" s="272">
        <v>4450852</v>
      </c>
      <c r="AL26" s="455">
        <f t="shared" si="4"/>
        <v>2666691</v>
      </c>
      <c r="AM26" s="272">
        <v>2354976</v>
      </c>
      <c r="AN26" s="272">
        <v>311715</v>
      </c>
      <c r="AO26" s="272">
        <v>0</v>
      </c>
      <c r="AP26" s="272">
        <v>0</v>
      </c>
      <c r="AQ26" s="272">
        <v>298225</v>
      </c>
      <c r="AR26" s="272">
        <v>0</v>
      </c>
      <c r="AS26" s="272">
        <v>0</v>
      </c>
      <c r="AT26" s="272">
        <v>2008748</v>
      </c>
      <c r="AU26" s="272">
        <v>953403</v>
      </c>
      <c r="AV26" s="272">
        <v>155858</v>
      </c>
      <c r="AW26" s="272">
        <v>17422</v>
      </c>
      <c r="AX26" s="272">
        <v>1055345</v>
      </c>
      <c r="AY26" s="272">
        <v>24528</v>
      </c>
      <c r="AZ26" s="272">
        <v>273179</v>
      </c>
      <c r="BA26" s="272">
        <v>252918</v>
      </c>
      <c r="BB26" s="272">
        <v>18243</v>
      </c>
      <c r="BC26" s="272">
        <v>718235</v>
      </c>
      <c r="BD26" s="272">
        <v>0</v>
      </c>
      <c r="BE26" s="272">
        <v>0</v>
      </c>
      <c r="BF26" s="272">
        <v>486301</v>
      </c>
      <c r="BG26" s="272">
        <v>450000</v>
      </c>
      <c r="BH26" s="272">
        <v>199632</v>
      </c>
      <c r="BI26" s="272">
        <v>198811</v>
      </c>
      <c r="BJ26" s="272">
        <v>515273</v>
      </c>
      <c r="BK26" s="272">
        <v>67574</v>
      </c>
      <c r="BL26" s="272">
        <v>0</v>
      </c>
      <c r="BM26" s="272">
        <v>0</v>
      </c>
      <c r="BN26" s="272">
        <v>3560600</v>
      </c>
      <c r="BO26" s="455">
        <f t="shared" si="5"/>
        <v>2538200</v>
      </c>
      <c r="BP26" s="455">
        <f t="shared" si="6"/>
        <v>1022400</v>
      </c>
      <c r="BQ26" s="272"/>
      <c r="BR26" s="272">
        <v>0</v>
      </c>
      <c r="BS26" s="272">
        <v>1022400</v>
      </c>
      <c r="BT26" s="272">
        <v>0</v>
      </c>
      <c r="BU26" s="272">
        <v>35387983</v>
      </c>
      <c r="BV26" s="272"/>
      <c r="BW26" s="272">
        <v>6185385</v>
      </c>
      <c r="BX26" s="272">
        <v>4026111</v>
      </c>
      <c r="BY26" s="272">
        <v>1095457</v>
      </c>
      <c r="BZ26" s="272">
        <v>83921</v>
      </c>
      <c r="CA26" s="272">
        <v>7920295</v>
      </c>
      <c r="CB26" s="272">
        <v>1467609</v>
      </c>
      <c r="CC26" s="272">
        <v>288658</v>
      </c>
      <c r="CD26" s="272">
        <v>2870659</v>
      </c>
      <c r="CE26" s="272">
        <v>3187886</v>
      </c>
      <c r="CF26" s="272">
        <v>97</v>
      </c>
      <c r="CG26" s="272">
        <v>105266</v>
      </c>
      <c r="CH26" s="272">
        <v>4568134</v>
      </c>
      <c r="CI26" s="272">
        <v>3672981</v>
      </c>
      <c r="CJ26" s="455">
        <f t="shared" si="7"/>
        <v>895153</v>
      </c>
      <c r="CK26" s="272">
        <v>4058150</v>
      </c>
      <c r="CL26" s="272">
        <v>2397026</v>
      </c>
      <c r="CM26" s="272">
        <v>569881</v>
      </c>
      <c r="CN26" s="272">
        <v>543323</v>
      </c>
      <c r="CO26" s="272">
        <v>91775</v>
      </c>
      <c r="CP26" s="272">
        <v>3742441</v>
      </c>
      <c r="CQ26" s="272">
        <v>2461631</v>
      </c>
      <c r="CR26" s="272">
        <v>886098</v>
      </c>
      <c r="CS26" s="272">
        <v>796722</v>
      </c>
      <c r="CT26" s="455">
        <f t="shared" si="8"/>
        <v>1439</v>
      </c>
      <c r="CU26" s="272">
        <v>344</v>
      </c>
      <c r="CV26" s="272">
        <v>1095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1706877</v>
      </c>
      <c r="DD26" s="272">
        <v>661644</v>
      </c>
      <c r="DE26" s="272">
        <v>1026089</v>
      </c>
      <c r="DF26" s="26">
        <v>7023</v>
      </c>
      <c r="DG26" s="27">
        <v>7023</v>
      </c>
      <c r="DH26" s="272">
        <v>4884</v>
      </c>
      <c r="DI26" s="272">
        <v>204555</v>
      </c>
      <c r="DJ26" s="272">
        <v>203546</v>
      </c>
      <c r="DK26" s="272">
        <v>85</v>
      </c>
      <c r="DL26" s="272">
        <v>924</v>
      </c>
      <c r="DM26" s="272">
        <v>0</v>
      </c>
      <c r="DN26" s="272">
        <v>0</v>
      </c>
      <c r="DO26" s="272">
        <v>0</v>
      </c>
      <c r="DP26" s="272">
        <v>0</v>
      </c>
      <c r="DQ26" s="272">
        <v>1801834</v>
      </c>
      <c r="DR26" s="272">
        <v>0</v>
      </c>
      <c r="DS26" s="272">
        <v>0</v>
      </c>
      <c r="DT26" s="272">
        <v>4770059</v>
      </c>
      <c r="DU26" s="272">
        <v>1613820</v>
      </c>
      <c r="DV26" s="455">
        <f t="shared" si="11"/>
        <v>0</v>
      </c>
      <c r="DW26" s="272">
        <v>0</v>
      </c>
      <c r="DX26" s="272"/>
      <c r="DY26" s="272">
        <v>0</v>
      </c>
      <c r="DZ26" s="272">
        <v>1361238</v>
      </c>
      <c r="EA26" s="272">
        <v>698418</v>
      </c>
      <c r="EB26" s="272">
        <v>976282</v>
      </c>
      <c r="EC26" s="272">
        <v>0</v>
      </c>
      <c r="ED26" s="272">
        <v>35054389</v>
      </c>
      <c r="EE26" s="89"/>
      <c r="EF26" s="272">
        <v>333594</v>
      </c>
      <c r="EG26" s="272">
        <v>78078</v>
      </c>
      <c r="EH26" s="272">
        <v>255516</v>
      </c>
      <c r="EI26" s="272">
        <v>56705</v>
      </c>
      <c r="EJ26" s="272">
        <v>297422</v>
      </c>
      <c r="EK26" s="89"/>
      <c r="EL26" s="272"/>
      <c r="EM26" s="272">
        <v>119109</v>
      </c>
      <c r="EN26" s="272">
        <v>681933</v>
      </c>
      <c r="EO26" s="272">
        <v>163369</v>
      </c>
      <c r="EP26" s="455">
        <f t="shared" si="12"/>
        <v>747701</v>
      </c>
      <c r="EQ26" s="272">
        <v>22823460</v>
      </c>
      <c r="ER26" s="272">
        <v>-2591604</v>
      </c>
      <c r="ES26" s="272">
        <v>5691940</v>
      </c>
      <c r="ET26" s="272">
        <v>3597488</v>
      </c>
      <c r="EU26" s="272">
        <v>2790787</v>
      </c>
      <c r="EV26" s="272">
        <v>4392842</v>
      </c>
      <c r="EW26" s="455">
        <f t="shared" si="13"/>
        <v>501625</v>
      </c>
      <c r="EX26" s="272">
        <v>498841</v>
      </c>
      <c r="EY26" s="272">
        <v>12674</v>
      </c>
      <c r="EZ26" s="272">
        <v>483844</v>
      </c>
      <c r="FA26" s="272">
        <v>2784</v>
      </c>
      <c r="FB26" s="272">
        <v>0</v>
      </c>
      <c r="FC26" s="272">
        <v>3473835</v>
      </c>
      <c r="FD26" s="272">
        <v>3629402</v>
      </c>
      <c r="FE26" s="272">
        <v>2461631</v>
      </c>
      <c r="FF26" s="272">
        <v>4318803</v>
      </c>
      <c r="FG26" s="455">
        <f t="shared" si="14"/>
        <v>282236</v>
      </c>
      <c r="FH26" s="272">
        <v>25081470</v>
      </c>
      <c r="FI26" s="384">
        <f t="shared" si="15"/>
        <v>1.2</v>
      </c>
      <c r="FJ26" s="272">
        <v>21429964</v>
      </c>
      <c r="FK26" s="272">
        <v>1022486</v>
      </c>
      <c r="FL26" s="272">
        <v>11082556</v>
      </c>
      <c r="FM26" s="272">
        <v>18102501</v>
      </c>
      <c r="FN26" s="460">
        <v>0.60499999999999998</v>
      </c>
      <c r="FO26" s="388">
        <v>100.6</v>
      </c>
      <c r="FP26" s="388">
        <v>25.1</v>
      </c>
      <c r="FQ26" s="388">
        <v>12.3</v>
      </c>
      <c r="FR26" s="388">
        <v>19.2</v>
      </c>
      <c r="FS26" s="388">
        <v>14.8</v>
      </c>
      <c r="FT26" s="388">
        <v>15.3</v>
      </c>
      <c r="FU26" s="388">
        <v>13.5</v>
      </c>
      <c r="FV26" s="384">
        <f t="shared" si="16"/>
        <v>8.1999999999999993</v>
      </c>
      <c r="FW26" s="272">
        <v>47761240</v>
      </c>
      <c r="FX26" s="384">
        <f t="shared" si="17"/>
        <v>222.9</v>
      </c>
      <c r="FY26" s="272">
        <v>1154731</v>
      </c>
      <c r="FZ26" s="272">
        <v>596152</v>
      </c>
      <c r="GA26" s="272">
        <v>72001</v>
      </c>
      <c r="GB26" s="272">
        <v>486578</v>
      </c>
      <c r="GC26" s="272"/>
      <c r="GD26" s="272">
        <v>6322973</v>
      </c>
      <c r="GE26" s="384">
        <f t="shared" si="18"/>
        <v>29.5</v>
      </c>
      <c r="GF26" s="388">
        <v>97.3</v>
      </c>
      <c r="GG26" s="388">
        <v>26.4</v>
      </c>
      <c r="GH26" s="388">
        <v>92.7</v>
      </c>
      <c r="GI26" s="272">
        <v>578</v>
      </c>
      <c r="GJ26" s="461" t="s">
        <v>646</v>
      </c>
      <c r="GK26" s="461">
        <v>12.27</v>
      </c>
      <c r="GL26" s="462">
        <v>20</v>
      </c>
      <c r="GM26" s="461" t="s">
        <v>646</v>
      </c>
      <c r="GN26" s="462">
        <v>17.27</v>
      </c>
      <c r="GO26" s="462">
        <v>40</v>
      </c>
      <c r="GP26" s="463">
        <v>8.1999999999999993</v>
      </c>
      <c r="GQ26" s="463">
        <v>25</v>
      </c>
      <c r="GR26" s="463">
        <v>35</v>
      </c>
      <c r="GS26" s="464">
        <v>184.7</v>
      </c>
      <c r="GT26" s="463">
        <v>350</v>
      </c>
      <c r="GU26" s="394"/>
      <c r="GV26" s="394"/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</row>
    <row r="27" spans="2:230" x14ac:dyDescent="0.15">
      <c r="B27" s="89" t="s">
        <v>47</v>
      </c>
      <c r="C27" s="272">
        <v>20022485</v>
      </c>
      <c r="D27" s="455">
        <f t="shared" si="0"/>
        <v>5737724</v>
      </c>
      <c r="E27" s="272">
        <v>160120</v>
      </c>
      <c r="F27" s="272">
        <v>5577604</v>
      </c>
      <c r="G27" s="455">
        <f t="shared" si="1"/>
        <v>2199968</v>
      </c>
      <c r="H27" s="272">
        <v>438563</v>
      </c>
      <c r="I27" s="272">
        <v>1761405</v>
      </c>
      <c r="J27" s="272">
        <v>9043092</v>
      </c>
      <c r="K27" s="272">
        <v>4289047</v>
      </c>
      <c r="L27" s="272">
        <v>3219909</v>
      </c>
      <c r="M27" s="272">
        <v>1414765</v>
      </c>
      <c r="N27" s="272">
        <v>1131523</v>
      </c>
      <c r="O27" s="272">
        <v>1805039</v>
      </c>
      <c r="P27" s="272">
        <v>1089862</v>
      </c>
      <c r="Q27" s="272">
        <v>715177</v>
      </c>
      <c r="R27" s="272">
        <v>252879</v>
      </c>
      <c r="S27" s="272">
        <v>0</v>
      </c>
      <c r="T27" s="455">
        <f t="shared" si="2"/>
        <v>1943629</v>
      </c>
      <c r="U27" s="272">
        <v>107437</v>
      </c>
      <c r="V27" s="272">
        <v>95033</v>
      </c>
      <c r="W27" s="272">
        <v>58179</v>
      </c>
      <c r="X27" s="272">
        <v>1465226</v>
      </c>
      <c r="Y27" s="272">
        <v>0</v>
      </c>
      <c r="Z27" s="272">
        <v>0</v>
      </c>
      <c r="AA27" s="272">
        <v>217754</v>
      </c>
      <c r="AB27" s="272">
        <v>115526</v>
      </c>
      <c r="AC27" s="272">
        <v>5091533</v>
      </c>
      <c r="AD27" s="272">
        <v>4937492</v>
      </c>
      <c r="AE27" s="272">
        <v>154041</v>
      </c>
      <c r="AF27" s="272">
        <v>25114</v>
      </c>
      <c r="AG27" s="272">
        <v>343293</v>
      </c>
      <c r="AH27" s="455">
        <f t="shared" si="3"/>
        <v>611206</v>
      </c>
      <c r="AI27" s="272">
        <v>413407</v>
      </c>
      <c r="AJ27" s="272">
        <v>197799</v>
      </c>
      <c r="AK27" s="272">
        <v>8560901</v>
      </c>
      <c r="AL27" s="455">
        <f t="shared" si="4"/>
        <v>6680920</v>
      </c>
      <c r="AM27" s="272">
        <v>6354137</v>
      </c>
      <c r="AN27" s="272">
        <v>326783</v>
      </c>
      <c r="AO27" s="272">
        <v>0</v>
      </c>
      <c r="AP27" s="272">
        <v>0</v>
      </c>
      <c r="AQ27" s="272">
        <v>240751</v>
      </c>
      <c r="AR27" s="272">
        <v>0</v>
      </c>
      <c r="AS27" s="272">
        <v>0</v>
      </c>
      <c r="AT27" s="272">
        <v>2636725</v>
      </c>
      <c r="AU27" s="272">
        <v>1146597</v>
      </c>
      <c r="AV27" s="272">
        <v>163392</v>
      </c>
      <c r="AW27" s="272">
        <v>13688</v>
      </c>
      <c r="AX27" s="272">
        <v>1490128</v>
      </c>
      <c r="AY27" s="272">
        <v>156444</v>
      </c>
      <c r="AZ27" s="272">
        <v>205297</v>
      </c>
      <c r="BA27" s="272">
        <v>167938</v>
      </c>
      <c r="BB27" s="272">
        <v>41184</v>
      </c>
      <c r="BC27" s="272">
        <v>1420457</v>
      </c>
      <c r="BD27" s="272">
        <v>1399300</v>
      </c>
      <c r="BE27" s="272">
        <v>0</v>
      </c>
      <c r="BF27" s="272">
        <v>21157</v>
      </c>
      <c r="BG27" s="272">
        <v>0</v>
      </c>
      <c r="BH27" s="272">
        <v>49037</v>
      </c>
      <c r="BI27" s="272">
        <v>46219</v>
      </c>
      <c r="BJ27" s="272">
        <v>490605</v>
      </c>
      <c r="BK27" s="272">
        <v>65000</v>
      </c>
      <c r="BL27" s="272">
        <v>0</v>
      </c>
      <c r="BM27" s="272">
        <v>0</v>
      </c>
      <c r="BN27" s="272">
        <v>3543861</v>
      </c>
      <c r="BO27" s="455">
        <f t="shared" si="5"/>
        <v>677400</v>
      </c>
      <c r="BP27" s="455">
        <f t="shared" si="6"/>
        <v>1127061</v>
      </c>
      <c r="BQ27" s="272"/>
      <c r="BR27" s="272">
        <v>0</v>
      </c>
      <c r="BS27" s="272">
        <v>1127061</v>
      </c>
      <c r="BT27" s="272">
        <v>1739400</v>
      </c>
      <c r="BU27" s="272">
        <v>45353732</v>
      </c>
      <c r="BV27" s="272"/>
      <c r="BW27" s="272">
        <v>9955108</v>
      </c>
      <c r="BX27" s="272">
        <v>6056839</v>
      </c>
      <c r="BY27" s="272">
        <v>2325944</v>
      </c>
      <c r="BZ27" s="272">
        <v>113070</v>
      </c>
      <c r="CA27" s="272">
        <v>12899960</v>
      </c>
      <c r="CB27" s="272">
        <v>1415741</v>
      </c>
      <c r="CC27" s="272">
        <v>251575</v>
      </c>
      <c r="CD27" s="272">
        <v>2555351</v>
      </c>
      <c r="CE27" s="272">
        <v>8469542</v>
      </c>
      <c r="CF27" s="272">
        <v>270</v>
      </c>
      <c r="CG27" s="272">
        <v>206981</v>
      </c>
      <c r="CH27" s="272">
        <v>5039545</v>
      </c>
      <c r="CI27" s="272">
        <v>4213714</v>
      </c>
      <c r="CJ27" s="455">
        <f t="shared" si="7"/>
        <v>825831</v>
      </c>
      <c r="CK27" s="272">
        <v>5732535</v>
      </c>
      <c r="CL27" s="272">
        <v>3765912</v>
      </c>
      <c r="CM27" s="272">
        <v>203708</v>
      </c>
      <c r="CN27" s="272">
        <v>1032395</v>
      </c>
      <c r="CO27" s="272">
        <v>147969</v>
      </c>
      <c r="CP27" s="272">
        <v>3212806</v>
      </c>
      <c r="CQ27" s="272">
        <v>1905568</v>
      </c>
      <c r="CR27" s="272">
        <v>447739</v>
      </c>
      <c r="CS27" s="272">
        <v>447739</v>
      </c>
      <c r="CT27" s="455">
        <f t="shared" si="8"/>
        <v>11495</v>
      </c>
      <c r="CU27" s="272">
        <v>11175</v>
      </c>
      <c r="CV27" s="272">
        <v>320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2423997</v>
      </c>
      <c r="DD27" s="272">
        <v>647664</v>
      </c>
      <c r="DE27" s="272">
        <v>1776333</v>
      </c>
      <c r="DF27" s="26">
        <v>0</v>
      </c>
      <c r="DG27" s="27">
        <v>0</v>
      </c>
      <c r="DH27" s="272">
        <v>0</v>
      </c>
      <c r="DI27" s="272">
        <v>49860</v>
      </c>
      <c r="DJ27" s="272">
        <v>30342</v>
      </c>
      <c r="DK27" s="272">
        <v>0</v>
      </c>
      <c r="DL27" s="272">
        <v>19518</v>
      </c>
      <c r="DM27" s="272">
        <v>0</v>
      </c>
      <c r="DN27" s="272">
        <v>0</v>
      </c>
      <c r="DO27" s="272">
        <v>0</v>
      </c>
      <c r="DP27" s="272">
        <v>0</v>
      </c>
      <c r="DQ27" s="272">
        <v>70000</v>
      </c>
      <c r="DR27" s="272">
        <v>0</v>
      </c>
      <c r="DS27" s="272">
        <v>0</v>
      </c>
      <c r="DT27" s="272">
        <v>5772444</v>
      </c>
      <c r="DU27" s="272">
        <v>1703930</v>
      </c>
      <c r="DV27" s="455">
        <f t="shared" si="11"/>
        <v>0</v>
      </c>
      <c r="DW27" s="272">
        <v>0</v>
      </c>
      <c r="DX27" s="272"/>
      <c r="DY27" s="272">
        <v>0</v>
      </c>
      <c r="DZ27" s="272">
        <v>2529469</v>
      </c>
      <c r="EA27" s="272">
        <v>607427</v>
      </c>
      <c r="EB27" s="272">
        <v>931618</v>
      </c>
      <c r="EC27" s="272">
        <v>0</v>
      </c>
      <c r="ED27" s="272">
        <v>45304224</v>
      </c>
      <c r="EE27" s="89"/>
      <c r="EF27" s="272">
        <v>49508</v>
      </c>
      <c r="EG27" s="272">
        <v>24376</v>
      </c>
      <c r="EH27" s="272">
        <v>25132</v>
      </c>
      <c r="EI27" s="272">
        <v>-21087</v>
      </c>
      <c r="EJ27" s="272">
        <v>-1390045</v>
      </c>
      <c r="EK27" s="89"/>
      <c r="EL27" s="272"/>
      <c r="EM27" s="272">
        <v>129677</v>
      </c>
      <c r="EN27" s="272">
        <v>1399300</v>
      </c>
      <c r="EO27" s="272">
        <v>164299</v>
      </c>
      <c r="EP27" s="455">
        <f t="shared" si="12"/>
        <v>555800</v>
      </c>
      <c r="EQ27" s="272">
        <v>27451166</v>
      </c>
      <c r="ER27" s="272">
        <v>-3221346</v>
      </c>
      <c r="ES27" s="272">
        <v>7663778</v>
      </c>
      <c r="ET27" s="272">
        <v>5524374</v>
      </c>
      <c r="EU27" s="272">
        <v>3712228</v>
      </c>
      <c r="EV27" s="272">
        <v>4962034</v>
      </c>
      <c r="EW27" s="455">
        <f t="shared" si="13"/>
        <v>1243775</v>
      </c>
      <c r="EX27" s="272">
        <v>1243775</v>
      </c>
      <c r="EY27" s="272">
        <v>138840</v>
      </c>
      <c r="EZ27" s="272">
        <v>1104935</v>
      </c>
      <c r="FA27" s="272">
        <v>0</v>
      </c>
      <c r="FB27" s="272">
        <v>0</v>
      </c>
      <c r="FC27" s="272">
        <v>4710853</v>
      </c>
      <c r="FD27" s="272">
        <v>2968974</v>
      </c>
      <c r="FE27" s="272">
        <v>1905568</v>
      </c>
      <c r="FF27" s="272">
        <v>5137812</v>
      </c>
      <c r="FG27" s="455">
        <f t="shared" si="14"/>
        <v>223550</v>
      </c>
      <c r="FH27" s="272">
        <v>30623004</v>
      </c>
      <c r="FI27" s="384">
        <f t="shared" si="15"/>
        <v>0.1</v>
      </c>
      <c r="FJ27" s="272">
        <v>25122148</v>
      </c>
      <c r="FK27" s="272">
        <v>1127061</v>
      </c>
      <c r="FL27" s="272">
        <v>15439220</v>
      </c>
      <c r="FM27" s="272">
        <v>20411621</v>
      </c>
      <c r="FN27" s="460">
        <v>0.75600000000000001</v>
      </c>
      <c r="FO27" s="388">
        <v>101.7</v>
      </c>
      <c r="FP27" s="388">
        <v>27.9</v>
      </c>
      <c r="FQ27" s="388">
        <v>13.7</v>
      </c>
      <c r="FR27" s="388">
        <v>18.399999999999999</v>
      </c>
      <c r="FS27" s="388">
        <v>16.8</v>
      </c>
      <c r="FT27" s="388">
        <v>10</v>
      </c>
      <c r="FU27" s="388">
        <v>14.1</v>
      </c>
      <c r="FV27" s="384">
        <f t="shared" si="16"/>
        <v>8.6</v>
      </c>
      <c r="FW27" s="272">
        <v>44260231</v>
      </c>
      <c r="FX27" s="384">
        <f t="shared" si="17"/>
        <v>176.2</v>
      </c>
      <c r="FY27" s="272">
        <v>3650869</v>
      </c>
      <c r="FZ27" s="272">
        <v>2222297</v>
      </c>
      <c r="GA27" s="272">
        <v>1210</v>
      </c>
      <c r="GB27" s="272">
        <v>1427362</v>
      </c>
      <c r="GC27" s="272"/>
      <c r="GD27" s="272">
        <v>4457237</v>
      </c>
      <c r="GE27" s="384">
        <f t="shared" si="18"/>
        <v>17.7</v>
      </c>
      <c r="GF27" s="388">
        <v>96.8</v>
      </c>
      <c r="GG27" s="388">
        <v>19.600000000000001</v>
      </c>
      <c r="GH27" s="388">
        <v>89.4</v>
      </c>
      <c r="GI27" s="272">
        <v>912</v>
      </c>
      <c r="GJ27" s="461" t="s">
        <v>646</v>
      </c>
      <c r="GK27" s="461">
        <v>12</v>
      </c>
      <c r="GL27" s="462">
        <v>20</v>
      </c>
      <c r="GM27" s="461">
        <v>16.63</v>
      </c>
      <c r="GN27" s="462">
        <v>17</v>
      </c>
      <c r="GO27" s="462">
        <v>40</v>
      </c>
      <c r="GP27" s="463">
        <v>8.6</v>
      </c>
      <c r="GQ27" s="463">
        <v>25</v>
      </c>
      <c r="GR27" s="463">
        <v>35</v>
      </c>
      <c r="GS27" s="464">
        <v>128.4</v>
      </c>
      <c r="GT27" s="463">
        <v>350</v>
      </c>
      <c r="GU27" s="394"/>
      <c r="GV27" s="394"/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</row>
    <row r="28" spans="2:230" x14ac:dyDescent="0.15">
      <c r="B28" s="89" t="s">
        <v>49</v>
      </c>
      <c r="C28" s="272">
        <v>19809972</v>
      </c>
      <c r="D28" s="455">
        <f t="shared" si="0"/>
        <v>4503928</v>
      </c>
      <c r="E28" s="272">
        <v>116568</v>
      </c>
      <c r="F28" s="272">
        <v>4387360</v>
      </c>
      <c r="G28" s="455">
        <f t="shared" si="1"/>
        <v>2940851</v>
      </c>
      <c r="H28" s="272">
        <v>358049</v>
      </c>
      <c r="I28" s="272">
        <v>2582802</v>
      </c>
      <c r="J28" s="272">
        <v>8736188</v>
      </c>
      <c r="K28" s="272">
        <v>4250913</v>
      </c>
      <c r="L28" s="272">
        <v>2407428</v>
      </c>
      <c r="M28" s="272">
        <v>1974174</v>
      </c>
      <c r="N28" s="272">
        <v>1939453</v>
      </c>
      <c r="O28" s="272">
        <v>1612493</v>
      </c>
      <c r="P28" s="272">
        <v>1074936</v>
      </c>
      <c r="Q28" s="272">
        <v>537557</v>
      </c>
      <c r="R28" s="272">
        <v>195391</v>
      </c>
      <c r="S28" s="272">
        <v>0</v>
      </c>
      <c r="T28" s="455">
        <f t="shared" si="2"/>
        <v>1346049</v>
      </c>
      <c r="U28" s="272">
        <v>83914</v>
      </c>
      <c r="V28" s="272">
        <v>74201</v>
      </c>
      <c r="W28" s="272">
        <v>45520</v>
      </c>
      <c r="X28" s="272">
        <v>971282</v>
      </c>
      <c r="Y28" s="272">
        <v>2884</v>
      </c>
      <c r="Z28" s="272">
        <v>0</v>
      </c>
      <c r="AA28" s="272">
        <v>168248</v>
      </c>
      <c r="AB28" s="272">
        <v>107006</v>
      </c>
      <c r="AC28" s="272">
        <v>226627</v>
      </c>
      <c r="AD28" s="272">
        <v>0</v>
      </c>
      <c r="AE28" s="272">
        <v>226627</v>
      </c>
      <c r="AF28" s="272">
        <v>21478</v>
      </c>
      <c r="AG28" s="272">
        <v>307109</v>
      </c>
      <c r="AH28" s="455">
        <f t="shared" si="3"/>
        <v>741719</v>
      </c>
      <c r="AI28" s="272">
        <v>590691</v>
      </c>
      <c r="AJ28" s="272">
        <v>151028</v>
      </c>
      <c r="AK28" s="272">
        <v>3074336</v>
      </c>
      <c r="AL28" s="455">
        <f t="shared" si="4"/>
        <v>1749149</v>
      </c>
      <c r="AM28" s="272">
        <v>1423182</v>
      </c>
      <c r="AN28" s="272">
        <v>325967</v>
      </c>
      <c r="AO28" s="272">
        <v>0</v>
      </c>
      <c r="AP28" s="272">
        <v>0</v>
      </c>
      <c r="AQ28" s="272">
        <v>326462</v>
      </c>
      <c r="AR28" s="272">
        <v>0</v>
      </c>
      <c r="AS28" s="272">
        <v>0</v>
      </c>
      <c r="AT28" s="272">
        <v>1469012</v>
      </c>
      <c r="AU28" s="272">
        <v>722216</v>
      </c>
      <c r="AV28" s="272">
        <v>162983</v>
      </c>
      <c r="AW28" s="272">
        <v>8333</v>
      </c>
      <c r="AX28" s="272">
        <v>746796</v>
      </c>
      <c r="AY28" s="272">
        <v>7209</v>
      </c>
      <c r="AZ28" s="272">
        <v>94005</v>
      </c>
      <c r="BA28" s="272">
        <v>46511</v>
      </c>
      <c r="BB28" s="272">
        <v>14760</v>
      </c>
      <c r="BC28" s="272">
        <v>57655</v>
      </c>
      <c r="BD28" s="272">
        <v>0</v>
      </c>
      <c r="BE28" s="272">
        <v>0</v>
      </c>
      <c r="BF28" s="272">
        <v>11171</v>
      </c>
      <c r="BG28" s="272">
        <v>0</v>
      </c>
      <c r="BH28" s="272">
        <v>225077</v>
      </c>
      <c r="BI28" s="272">
        <v>159095</v>
      </c>
      <c r="BJ28" s="272">
        <v>619548</v>
      </c>
      <c r="BK28" s="272">
        <v>102959</v>
      </c>
      <c r="BL28" s="272">
        <v>0</v>
      </c>
      <c r="BM28" s="272">
        <v>0</v>
      </c>
      <c r="BN28" s="272">
        <v>1282400</v>
      </c>
      <c r="BO28" s="455">
        <f t="shared" si="5"/>
        <v>521800</v>
      </c>
      <c r="BP28" s="455">
        <f t="shared" si="6"/>
        <v>760600</v>
      </c>
      <c r="BQ28" s="272"/>
      <c r="BR28" s="272">
        <v>0</v>
      </c>
      <c r="BS28" s="272">
        <v>760600</v>
      </c>
      <c r="BT28" s="272">
        <v>0</v>
      </c>
      <c r="BU28" s="272">
        <v>29592144</v>
      </c>
      <c r="BV28" s="272"/>
      <c r="BW28" s="272">
        <v>7105951</v>
      </c>
      <c r="BX28" s="272">
        <v>4675498</v>
      </c>
      <c r="BY28" s="272">
        <v>1188227</v>
      </c>
      <c r="BZ28" s="272">
        <v>143553</v>
      </c>
      <c r="CA28" s="272">
        <v>5257922</v>
      </c>
      <c r="CB28" s="272">
        <v>623061</v>
      </c>
      <c r="CC28" s="272">
        <v>203682</v>
      </c>
      <c r="CD28" s="272">
        <v>2430214</v>
      </c>
      <c r="CE28" s="272">
        <v>1868177</v>
      </c>
      <c r="CF28" s="272">
        <v>0</v>
      </c>
      <c r="CG28" s="272">
        <v>132788</v>
      </c>
      <c r="CH28" s="272">
        <v>3916670</v>
      </c>
      <c r="CI28" s="272">
        <v>3249097</v>
      </c>
      <c r="CJ28" s="455">
        <f t="shared" si="7"/>
        <v>667573</v>
      </c>
      <c r="CK28" s="272">
        <v>4289133</v>
      </c>
      <c r="CL28" s="272">
        <v>2394911</v>
      </c>
      <c r="CM28" s="272">
        <v>448988</v>
      </c>
      <c r="CN28" s="272">
        <v>867846</v>
      </c>
      <c r="CO28" s="272">
        <v>403746</v>
      </c>
      <c r="CP28" s="272">
        <v>2091075</v>
      </c>
      <c r="CQ28" s="272">
        <v>16707</v>
      </c>
      <c r="CR28" s="272">
        <v>970055</v>
      </c>
      <c r="CS28" s="272">
        <v>577721</v>
      </c>
      <c r="CT28" s="455">
        <f t="shared" si="8"/>
        <v>24273</v>
      </c>
      <c r="CU28" s="272">
        <v>3862</v>
      </c>
      <c r="CV28" s="272">
        <v>20411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1736405</v>
      </c>
      <c r="DD28" s="272">
        <v>640514</v>
      </c>
      <c r="DE28" s="272">
        <v>1095891</v>
      </c>
      <c r="DF28" s="26">
        <v>0</v>
      </c>
      <c r="DG28" s="27">
        <v>0</v>
      </c>
      <c r="DH28" s="272">
        <v>0</v>
      </c>
      <c r="DI28" s="272">
        <v>201189</v>
      </c>
      <c r="DJ28" s="272">
        <v>179922</v>
      </c>
      <c r="DK28" s="272">
        <v>4446</v>
      </c>
      <c r="DL28" s="272">
        <v>16821</v>
      </c>
      <c r="DM28" s="272">
        <v>0</v>
      </c>
      <c r="DN28" s="272">
        <v>0</v>
      </c>
      <c r="DO28" s="272">
        <v>0</v>
      </c>
      <c r="DP28" s="272">
        <v>0</v>
      </c>
      <c r="DQ28" s="272">
        <v>110512</v>
      </c>
      <c r="DR28" s="272">
        <v>0</v>
      </c>
      <c r="DS28" s="272">
        <v>0</v>
      </c>
      <c r="DT28" s="272">
        <v>4078324</v>
      </c>
      <c r="DU28" s="272">
        <v>2075958</v>
      </c>
      <c r="DV28" s="455">
        <f t="shared" si="11"/>
        <v>0</v>
      </c>
      <c r="DW28" s="272">
        <v>0</v>
      </c>
      <c r="DX28" s="272"/>
      <c r="DY28" s="272">
        <v>177937</v>
      </c>
      <c r="DZ28" s="272">
        <v>863716</v>
      </c>
      <c r="EA28" s="272">
        <v>368660</v>
      </c>
      <c r="EB28" s="272">
        <v>521679</v>
      </c>
      <c r="EC28" s="272">
        <v>0</v>
      </c>
      <c r="ED28" s="272">
        <v>29190927</v>
      </c>
      <c r="EE28" s="89"/>
      <c r="EF28" s="272">
        <v>401217</v>
      </c>
      <c r="EG28" s="272">
        <v>229191</v>
      </c>
      <c r="EH28" s="272">
        <v>172026</v>
      </c>
      <c r="EI28" s="272">
        <v>12931</v>
      </c>
      <c r="EJ28" s="272">
        <v>192853</v>
      </c>
      <c r="EK28" s="89"/>
      <c r="EL28" s="272"/>
      <c r="EM28" s="272">
        <v>83170</v>
      </c>
      <c r="EN28" s="272">
        <v>46484</v>
      </c>
      <c r="EO28" s="272">
        <v>53879</v>
      </c>
      <c r="EP28" s="455">
        <f t="shared" si="12"/>
        <v>454764</v>
      </c>
      <c r="EQ28" s="272">
        <v>21706523</v>
      </c>
      <c r="ER28" s="272">
        <v>-1294249</v>
      </c>
      <c r="ES28" s="272">
        <v>6595005</v>
      </c>
      <c r="ET28" s="272">
        <v>4259807</v>
      </c>
      <c r="EU28" s="272">
        <v>1809687</v>
      </c>
      <c r="EV28" s="272">
        <v>3874596</v>
      </c>
      <c r="EW28" s="455">
        <f t="shared" si="13"/>
        <v>790608</v>
      </c>
      <c r="EX28" s="272">
        <v>790608</v>
      </c>
      <c r="EY28" s="272">
        <v>24513</v>
      </c>
      <c r="EZ28" s="272">
        <v>766095</v>
      </c>
      <c r="FA28" s="272">
        <v>0</v>
      </c>
      <c r="FB28" s="272">
        <v>0</v>
      </c>
      <c r="FC28" s="272">
        <v>3210228</v>
      </c>
      <c r="FD28" s="272">
        <v>1935260</v>
      </c>
      <c r="FE28" s="272">
        <v>16707</v>
      </c>
      <c r="FF28" s="272">
        <v>3807650</v>
      </c>
      <c r="FG28" s="455">
        <f t="shared" si="14"/>
        <v>576521</v>
      </c>
      <c r="FH28" s="272">
        <v>22599555</v>
      </c>
      <c r="FI28" s="384">
        <f t="shared" si="15"/>
        <v>0.8</v>
      </c>
      <c r="FJ28" s="272">
        <v>21539260</v>
      </c>
      <c r="FK28" s="272">
        <v>760680</v>
      </c>
      <c r="FL28" s="272">
        <v>16398769</v>
      </c>
      <c r="FM28" s="272">
        <v>12961797</v>
      </c>
      <c r="FN28" s="460">
        <v>1.1080000000000001</v>
      </c>
      <c r="FO28" s="388">
        <v>94.9</v>
      </c>
      <c r="FP28" s="388">
        <v>31.5</v>
      </c>
      <c r="FQ28" s="388">
        <v>8.6999999999999993</v>
      </c>
      <c r="FR28" s="388">
        <v>18.7</v>
      </c>
      <c r="FS28" s="388">
        <v>14.8</v>
      </c>
      <c r="FT28" s="388">
        <v>4.4000000000000004</v>
      </c>
      <c r="FU28" s="388">
        <v>14.8</v>
      </c>
      <c r="FV28" s="384">
        <f t="shared" si="16"/>
        <v>13.9</v>
      </c>
      <c r="FW28" s="272">
        <v>27909563</v>
      </c>
      <c r="FX28" s="384">
        <f t="shared" si="17"/>
        <v>129.6</v>
      </c>
      <c r="FY28" s="272">
        <v>6018388</v>
      </c>
      <c r="FZ28" s="272">
        <v>1341016</v>
      </c>
      <c r="GA28" s="272">
        <v>1091387</v>
      </c>
      <c r="GB28" s="272">
        <v>3585985</v>
      </c>
      <c r="GC28" s="272"/>
      <c r="GD28" s="272">
        <v>2252663</v>
      </c>
      <c r="GE28" s="384">
        <f t="shared" si="18"/>
        <v>10.5</v>
      </c>
      <c r="GF28" s="388">
        <v>98.3</v>
      </c>
      <c r="GG28" s="388">
        <v>21.9</v>
      </c>
      <c r="GH28" s="388">
        <v>94.9</v>
      </c>
      <c r="GI28" s="272">
        <v>642</v>
      </c>
      <c r="GJ28" s="461" t="s">
        <v>646</v>
      </c>
      <c r="GK28" s="461">
        <v>12.29</v>
      </c>
      <c r="GL28" s="462">
        <v>20</v>
      </c>
      <c r="GM28" s="461" t="s">
        <v>646</v>
      </c>
      <c r="GN28" s="462">
        <v>17.29</v>
      </c>
      <c r="GO28" s="462">
        <v>40</v>
      </c>
      <c r="GP28" s="463">
        <v>13.9</v>
      </c>
      <c r="GQ28" s="463">
        <v>25</v>
      </c>
      <c r="GR28" s="463">
        <v>35</v>
      </c>
      <c r="GS28" s="464">
        <v>23.5</v>
      </c>
      <c r="GT28" s="463">
        <v>350</v>
      </c>
      <c r="GU28" s="394"/>
      <c r="GV28" s="394"/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</row>
    <row r="29" spans="2:230" x14ac:dyDescent="0.15">
      <c r="B29" s="89" t="s">
        <v>51</v>
      </c>
      <c r="C29" s="272">
        <v>11717635</v>
      </c>
      <c r="D29" s="455">
        <f t="shared" si="0"/>
        <v>3327680</v>
      </c>
      <c r="E29" s="272">
        <v>76136</v>
      </c>
      <c r="F29" s="272">
        <v>3251544</v>
      </c>
      <c r="G29" s="455">
        <f t="shared" si="1"/>
        <v>1609829</v>
      </c>
      <c r="H29" s="272">
        <v>154276</v>
      </c>
      <c r="I29" s="272">
        <v>1455553</v>
      </c>
      <c r="J29" s="272">
        <v>5436564</v>
      </c>
      <c r="K29" s="272">
        <v>2455252</v>
      </c>
      <c r="L29" s="272">
        <v>1369295</v>
      </c>
      <c r="M29" s="272">
        <v>1566570</v>
      </c>
      <c r="N29" s="272">
        <v>360475</v>
      </c>
      <c r="O29" s="272">
        <v>936211</v>
      </c>
      <c r="P29" s="272">
        <v>624618</v>
      </c>
      <c r="Q29" s="272">
        <v>311593</v>
      </c>
      <c r="R29" s="272">
        <v>173083</v>
      </c>
      <c r="S29" s="272">
        <v>0</v>
      </c>
      <c r="T29" s="455">
        <f t="shared" si="2"/>
        <v>810047</v>
      </c>
      <c r="U29" s="272">
        <v>61584</v>
      </c>
      <c r="V29" s="272">
        <v>54447</v>
      </c>
      <c r="W29" s="272">
        <v>33438</v>
      </c>
      <c r="X29" s="272">
        <v>550449</v>
      </c>
      <c r="Y29" s="272">
        <v>0</v>
      </c>
      <c r="Z29" s="272">
        <v>0</v>
      </c>
      <c r="AA29" s="272">
        <v>110129</v>
      </c>
      <c r="AB29" s="272">
        <v>82456</v>
      </c>
      <c r="AC29" s="272">
        <v>531201</v>
      </c>
      <c r="AD29" s="272">
        <v>470186</v>
      </c>
      <c r="AE29" s="272">
        <v>61015</v>
      </c>
      <c r="AF29" s="272">
        <v>10560</v>
      </c>
      <c r="AG29" s="272">
        <v>90114</v>
      </c>
      <c r="AH29" s="455">
        <f t="shared" si="3"/>
        <v>390043</v>
      </c>
      <c r="AI29" s="272">
        <v>339949</v>
      </c>
      <c r="AJ29" s="272">
        <v>50094</v>
      </c>
      <c r="AK29" s="272">
        <v>1766851</v>
      </c>
      <c r="AL29" s="455">
        <f t="shared" si="4"/>
        <v>1041529</v>
      </c>
      <c r="AM29" s="272">
        <v>936343</v>
      </c>
      <c r="AN29" s="272">
        <v>105186</v>
      </c>
      <c r="AO29" s="272">
        <v>0</v>
      </c>
      <c r="AP29" s="272">
        <v>0</v>
      </c>
      <c r="AQ29" s="272">
        <v>500</v>
      </c>
      <c r="AR29" s="272">
        <v>0</v>
      </c>
      <c r="AS29" s="272">
        <v>0</v>
      </c>
      <c r="AT29" s="272">
        <v>1518898</v>
      </c>
      <c r="AU29" s="272">
        <v>1162582</v>
      </c>
      <c r="AV29" s="272">
        <v>111154</v>
      </c>
      <c r="AW29" s="272">
        <v>0</v>
      </c>
      <c r="AX29" s="272">
        <v>356316</v>
      </c>
      <c r="AY29" s="272">
        <v>20605</v>
      </c>
      <c r="AZ29" s="272">
        <v>807101</v>
      </c>
      <c r="BA29" s="272">
        <v>744015</v>
      </c>
      <c r="BB29" s="272">
        <v>6911</v>
      </c>
      <c r="BC29" s="272">
        <v>371153</v>
      </c>
      <c r="BD29" s="272">
        <v>180000</v>
      </c>
      <c r="BE29" s="272">
        <v>0</v>
      </c>
      <c r="BF29" s="272">
        <v>174478</v>
      </c>
      <c r="BG29" s="456">
        <v>0</v>
      </c>
      <c r="BH29" s="272">
        <v>25138</v>
      </c>
      <c r="BI29" s="272">
        <v>14429</v>
      </c>
      <c r="BJ29" s="272">
        <v>268633</v>
      </c>
      <c r="BK29" s="272">
        <v>61491</v>
      </c>
      <c r="BL29" s="272">
        <v>0</v>
      </c>
      <c r="BM29" s="272">
        <v>0</v>
      </c>
      <c r="BN29" s="272">
        <v>1613100</v>
      </c>
      <c r="BO29" s="455">
        <f t="shared" si="5"/>
        <v>477100</v>
      </c>
      <c r="BP29" s="455">
        <f t="shared" si="6"/>
        <v>570000</v>
      </c>
      <c r="BQ29" s="272"/>
      <c r="BR29" s="272">
        <v>0</v>
      </c>
      <c r="BS29" s="272">
        <v>570000</v>
      </c>
      <c r="BT29" s="272">
        <v>566000</v>
      </c>
      <c r="BU29" s="272">
        <v>20182924</v>
      </c>
      <c r="BV29" s="272"/>
      <c r="BW29" s="272">
        <v>4829287</v>
      </c>
      <c r="BX29" s="272">
        <v>3091569</v>
      </c>
      <c r="BY29" s="272">
        <v>793526</v>
      </c>
      <c r="BZ29" s="272">
        <v>184499</v>
      </c>
      <c r="CA29" s="272">
        <v>3377113</v>
      </c>
      <c r="CB29" s="272">
        <v>558610</v>
      </c>
      <c r="CC29" s="272">
        <v>84509</v>
      </c>
      <c r="CD29" s="272">
        <v>1417870</v>
      </c>
      <c r="CE29" s="272">
        <v>1249935</v>
      </c>
      <c r="CF29" s="272">
        <v>0</v>
      </c>
      <c r="CG29" s="272">
        <v>66189</v>
      </c>
      <c r="CH29" s="272">
        <v>2638581</v>
      </c>
      <c r="CI29" s="272">
        <v>2115441</v>
      </c>
      <c r="CJ29" s="455">
        <f t="shared" si="7"/>
        <v>523140</v>
      </c>
      <c r="CK29" s="272">
        <v>2026173</v>
      </c>
      <c r="CL29" s="272">
        <v>1270247</v>
      </c>
      <c r="CM29" s="272">
        <v>144862</v>
      </c>
      <c r="CN29" s="272">
        <v>372659</v>
      </c>
      <c r="CO29" s="272">
        <v>15263</v>
      </c>
      <c r="CP29" s="272">
        <v>2786737</v>
      </c>
      <c r="CQ29" s="272">
        <v>1981587</v>
      </c>
      <c r="CR29" s="272">
        <v>259617</v>
      </c>
      <c r="CS29" s="272">
        <v>114977</v>
      </c>
      <c r="CT29" s="455">
        <f t="shared" si="8"/>
        <v>41675</v>
      </c>
      <c r="CU29" s="272">
        <v>336</v>
      </c>
      <c r="CV29" s="272">
        <v>41339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1516173</v>
      </c>
      <c r="DD29" s="272">
        <v>1000</v>
      </c>
      <c r="DE29" s="272">
        <v>649014</v>
      </c>
      <c r="DF29" s="26">
        <v>411269</v>
      </c>
      <c r="DG29" s="27">
        <v>411269</v>
      </c>
      <c r="DH29" s="272">
        <v>0</v>
      </c>
      <c r="DI29" s="272">
        <v>18098</v>
      </c>
      <c r="DJ29" s="272">
        <v>3</v>
      </c>
      <c r="DK29" s="272">
        <v>0</v>
      </c>
      <c r="DL29" s="272">
        <v>18095</v>
      </c>
      <c r="DM29" s="272">
        <v>0</v>
      </c>
      <c r="DN29" s="272">
        <v>0</v>
      </c>
      <c r="DO29" s="272">
        <v>0</v>
      </c>
      <c r="DP29" s="272">
        <v>0</v>
      </c>
      <c r="DQ29" s="272">
        <v>57330</v>
      </c>
      <c r="DR29" s="272">
        <v>0</v>
      </c>
      <c r="DS29" s="272">
        <v>0</v>
      </c>
      <c r="DT29" s="272">
        <v>2855562</v>
      </c>
      <c r="DU29" s="272">
        <v>1344337</v>
      </c>
      <c r="DV29" s="455">
        <f t="shared" si="11"/>
        <v>0</v>
      </c>
      <c r="DW29" s="272">
        <v>0</v>
      </c>
      <c r="DX29" s="272"/>
      <c r="DY29" s="272">
        <v>0</v>
      </c>
      <c r="DZ29" s="272">
        <v>601726</v>
      </c>
      <c r="EA29" s="272">
        <v>424935</v>
      </c>
      <c r="EB29" s="272">
        <v>484564</v>
      </c>
      <c r="EC29" s="272">
        <v>0</v>
      </c>
      <c r="ED29" s="272">
        <v>20120317</v>
      </c>
      <c r="EE29" s="89"/>
      <c r="EF29" s="272">
        <v>62607</v>
      </c>
      <c r="EG29" s="272">
        <v>26147</v>
      </c>
      <c r="EH29" s="272">
        <v>36460</v>
      </c>
      <c r="EI29" s="272">
        <v>22031</v>
      </c>
      <c r="EJ29" s="272">
        <v>-157966</v>
      </c>
      <c r="EK29" s="89"/>
      <c r="EL29" s="272"/>
      <c r="EM29" s="272">
        <v>60284</v>
      </c>
      <c r="EN29" s="272">
        <v>302761</v>
      </c>
      <c r="EO29" s="272">
        <v>806702</v>
      </c>
      <c r="EP29" s="455">
        <f t="shared" si="12"/>
        <v>253646</v>
      </c>
      <c r="EQ29" s="272">
        <v>13324982</v>
      </c>
      <c r="ER29" s="272">
        <v>-1922549</v>
      </c>
      <c r="ES29" s="272">
        <v>4027310</v>
      </c>
      <c r="ET29" s="272">
        <v>2876808</v>
      </c>
      <c r="EU29" s="272">
        <v>1076348</v>
      </c>
      <c r="EV29" s="272">
        <v>2607260</v>
      </c>
      <c r="EW29" s="455">
        <f t="shared" si="13"/>
        <v>584004</v>
      </c>
      <c r="EX29" s="272">
        <v>584004</v>
      </c>
      <c r="EY29" s="272">
        <v>500</v>
      </c>
      <c r="EZ29" s="272">
        <v>583504</v>
      </c>
      <c r="FA29" s="272">
        <v>0</v>
      </c>
      <c r="FB29" s="272">
        <v>0</v>
      </c>
      <c r="FC29" s="272">
        <v>1565925</v>
      </c>
      <c r="FD29" s="272">
        <v>2713009</v>
      </c>
      <c r="FE29" s="272">
        <v>1981587</v>
      </c>
      <c r="FF29" s="272">
        <v>2597785</v>
      </c>
      <c r="FG29" s="455">
        <f t="shared" si="14"/>
        <v>13283</v>
      </c>
      <c r="FH29" s="272">
        <v>15184924</v>
      </c>
      <c r="FI29" s="384">
        <f t="shared" si="15"/>
        <v>0.3</v>
      </c>
      <c r="FJ29" s="272">
        <v>12085165</v>
      </c>
      <c r="FK29" s="272">
        <v>573850</v>
      </c>
      <c r="FL29" s="272">
        <v>8857792</v>
      </c>
      <c r="FM29" s="272">
        <v>9345735</v>
      </c>
      <c r="FN29" s="460">
        <v>0.95399999999999996</v>
      </c>
      <c r="FO29" s="388">
        <v>103.7</v>
      </c>
      <c r="FP29" s="388">
        <v>29.5</v>
      </c>
      <c r="FQ29" s="388">
        <v>8.1999999999999993</v>
      </c>
      <c r="FR29" s="388">
        <v>19.899999999999999</v>
      </c>
      <c r="FS29" s="388">
        <v>11.5</v>
      </c>
      <c r="FT29" s="388">
        <v>18.5</v>
      </c>
      <c r="FU29" s="388">
        <v>16</v>
      </c>
      <c r="FV29" s="384">
        <f t="shared" si="16"/>
        <v>14.6</v>
      </c>
      <c r="FW29" s="272">
        <v>28375350</v>
      </c>
      <c r="FX29" s="384">
        <f t="shared" si="17"/>
        <v>234.8</v>
      </c>
      <c r="FY29" s="272">
        <v>5249382</v>
      </c>
      <c r="FZ29" s="272">
        <v>446839</v>
      </c>
      <c r="GA29" s="272">
        <v>0</v>
      </c>
      <c r="GB29" s="272">
        <v>4802543</v>
      </c>
      <c r="GC29" s="272">
        <v>4439625</v>
      </c>
      <c r="GD29" s="272">
        <v>12538470</v>
      </c>
      <c r="GE29" s="384">
        <f t="shared" si="18"/>
        <v>103.8</v>
      </c>
      <c r="GF29" s="388">
        <v>98.5</v>
      </c>
      <c r="GG29" s="388">
        <v>19.899999999999999</v>
      </c>
      <c r="GH29" s="388">
        <v>94.8</v>
      </c>
      <c r="GI29" s="272">
        <v>420</v>
      </c>
      <c r="GJ29" s="461" t="s">
        <v>646</v>
      </c>
      <c r="GK29" s="461">
        <v>12.98</v>
      </c>
      <c r="GL29" s="462">
        <v>20</v>
      </c>
      <c r="GM29" s="461" t="s">
        <v>646</v>
      </c>
      <c r="GN29" s="462">
        <v>17.98</v>
      </c>
      <c r="GO29" s="462">
        <v>40</v>
      </c>
      <c r="GP29" s="463">
        <v>14.6</v>
      </c>
      <c r="GQ29" s="463">
        <v>25</v>
      </c>
      <c r="GR29" s="463">
        <v>35</v>
      </c>
      <c r="GS29" s="464">
        <v>321.3</v>
      </c>
      <c r="GT29" s="463">
        <v>350</v>
      </c>
      <c r="GU29" s="394"/>
      <c r="GV29" s="394"/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</row>
    <row r="30" spans="2:230" x14ac:dyDescent="0.15">
      <c r="B30" s="89" t="s">
        <v>53</v>
      </c>
      <c r="C30" s="272">
        <v>8375190</v>
      </c>
      <c r="D30" s="455">
        <f t="shared" si="0"/>
        <v>3585341</v>
      </c>
      <c r="E30" s="272">
        <v>82905</v>
      </c>
      <c r="F30" s="272">
        <v>3502436</v>
      </c>
      <c r="G30" s="455">
        <f t="shared" si="1"/>
        <v>549934</v>
      </c>
      <c r="H30" s="272">
        <v>139486</v>
      </c>
      <c r="I30" s="272">
        <v>410448</v>
      </c>
      <c r="J30" s="272">
        <v>3079765</v>
      </c>
      <c r="K30" s="272">
        <v>1497600</v>
      </c>
      <c r="L30" s="272">
        <v>1271393</v>
      </c>
      <c r="M30" s="272">
        <v>274680</v>
      </c>
      <c r="N30" s="272">
        <v>357595</v>
      </c>
      <c r="O30" s="272">
        <v>745657</v>
      </c>
      <c r="P30" s="272">
        <v>456404</v>
      </c>
      <c r="Q30" s="272">
        <v>289253</v>
      </c>
      <c r="R30" s="272">
        <v>134221</v>
      </c>
      <c r="S30" s="272">
        <v>0</v>
      </c>
      <c r="T30" s="455">
        <f t="shared" si="2"/>
        <v>856804</v>
      </c>
      <c r="U30" s="272">
        <v>69281</v>
      </c>
      <c r="V30" s="272">
        <v>61122</v>
      </c>
      <c r="W30" s="272">
        <v>38045</v>
      </c>
      <c r="X30" s="272">
        <v>572775</v>
      </c>
      <c r="Y30" s="272">
        <v>0</v>
      </c>
      <c r="Z30" s="272">
        <v>0</v>
      </c>
      <c r="AA30" s="272">
        <v>115581</v>
      </c>
      <c r="AB30" s="272">
        <v>61913</v>
      </c>
      <c r="AC30" s="272">
        <v>3253027</v>
      </c>
      <c r="AD30" s="272">
        <v>3066868</v>
      </c>
      <c r="AE30" s="272">
        <v>186159</v>
      </c>
      <c r="AF30" s="272">
        <v>13400</v>
      </c>
      <c r="AG30" s="272">
        <v>90801</v>
      </c>
      <c r="AH30" s="455">
        <f t="shared" si="3"/>
        <v>442376</v>
      </c>
      <c r="AI30" s="272">
        <v>398802</v>
      </c>
      <c r="AJ30" s="272">
        <v>43574</v>
      </c>
      <c r="AK30" s="272">
        <v>2504038</v>
      </c>
      <c r="AL30" s="455">
        <f t="shared" si="4"/>
        <v>1686952</v>
      </c>
      <c r="AM30" s="272">
        <v>1592133</v>
      </c>
      <c r="AN30" s="272">
        <v>94819</v>
      </c>
      <c r="AO30" s="272">
        <v>0</v>
      </c>
      <c r="AP30" s="272">
        <v>0</v>
      </c>
      <c r="AQ30" s="272">
        <v>49637</v>
      </c>
      <c r="AR30" s="272">
        <v>0</v>
      </c>
      <c r="AS30" s="272">
        <v>0</v>
      </c>
      <c r="AT30" s="272">
        <v>979786</v>
      </c>
      <c r="AU30" s="272">
        <v>648625</v>
      </c>
      <c r="AV30" s="272">
        <v>59150</v>
      </c>
      <c r="AW30" s="272">
        <v>8496</v>
      </c>
      <c r="AX30" s="272">
        <v>331161</v>
      </c>
      <c r="AY30" s="272">
        <v>2819</v>
      </c>
      <c r="AZ30" s="272">
        <v>78536</v>
      </c>
      <c r="BA30" s="272">
        <v>65939</v>
      </c>
      <c r="BB30" s="272">
        <v>9048</v>
      </c>
      <c r="BC30" s="272">
        <v>158639</v>
      </c>
      <c r="BD30" s="272">
        <v>0</v>
      </c>
      <c r="BE30" s="272">
        <v>10000</v>
      </c>
      <c r="BF30" s="272">
        <v>148614</v>
      </c>
      <c r="BG30" s="272">
        <v>0</v>
      </c>
      <c r="BH30" s="272">
        <v>5000</v>
      </c>
      <c r="BI30" s="272">
        <v>0</v>
      </c>
      <c r="BJ30" s="272">
        <v>223119</v>
      </c>
      <c r="BK30" s="272">
        <v>40039</v>
      </c>
      <c r="BL30" s="272">
        <v>0</v>
      </c>
      <c r="BM30" s="272">
        <v>0</v>
      </c>
      <c r="BN30" s="272">
        <v>738700</v>
      </c>
      <c r="BO30" s="455">
        <f t="shared" si="5"/>
        <v>138900</v>
      </c>
      <c r="BP30" s="455">
        <f t="shared" si="6"/>
        <v>599800</v>
      </c>
      <c r="BQ30" s="272"/>
      <c r="BR30" s="272">
        <v>0</v>
      </c>
      <c r="BS30" s="272">
        <v>599800</v>
      </c>
      <c r="BT30" s="272">
        <v>0</v>
      </c>
      <c r="BU30" s="272">
        <v>17924598</v>
      </c>
      <c r="BV30" s="272"/>
      <c r="BW30" s="272">
        <v>4798354</v>
      </c>
      <c r="BX30" s="272">
        <v>3134931</v>
      </c>
      <c r="BY30" s="272">
        <v>571142</v>
      </c>
      <c r="BZ30" s="272">
        <v>296440</v>
      </c>
      <c r="CA30" s="272">
        <v>4410276</v>
      </c>
      <c r="CB30" s="272">
        <v>775431</v>
      </c>
      <c r="CC30" s="272">
        <v>85722</v>
      </c>
      <c r="CD30" s="272">
        <v>1421051</v>
      </c>
      <c r="CE30" s="272">
        <v>2070404</v>
      </c>
      <c r="CF30" s="272">
        <v>0</v>
      </c>
      <c r="CG30" s="272">
        <v>57603</v>
      </c>
      <c r="CH30" s="272">
        <v>1413932</v>
      </c>
      <c r="CI30" s="272">
        <v>1163367</v>
      </c>
      <c r="CJ30" s="455">
        <f t="shared" si="7"/>
        <v>250565</v>
      </c>
      <c r="CK30" s="272">
        <v>1902512</v>
      </c>
      <c r="CL30" s="272">
        <v>1006793</v>
      </c>
      <c r="CM30" s="272">
        <v>245595</v>
      </c>
      <c r="CN30" s="272">
        <v>302840</v>
      </c>
      <c r="CO30" s="272">
        <v>67365</v>
      </c>
      <c r="CP30" s="272">
        <v>2596728</v>
      </c>
      <c r="CQ30" s="272">
        <v>1917059</v>
      </c>
      <c r="CR30" s="272">
        <v>303153</v>
      </c>
      <c r="CS30" s="272">
        <v>236423</v>
      </c>
      <c r="CT30" s="455">
        <f t="shared" si="8"/>
        <v>126904</v>
      </c>
      <c r="CU30" s="272">
        <v>99069</v>
      </c>
      <c r="CV30" s="272">
        <v>27835</v>
      </c>
      <c r="CW30" s="455">
        <f t="shared" si="9"/>
        <v>121132</v>
      </c>
      <c r="CX30" s="272">
        <v>94013</v>
      </c>
      <c r="CY30" s="272">
        <v>27119</v>
      </c>
      <c r="CZ30" s="455">
        <f t="shared" si="10"/>
        <v>0</v>
      </c>
      <c r="DA30" s="272">
        <v>0</v>
      </c>
      <c r="DB30" s="272">
        <v>0</v>
      </c>
      <c r="DC30" s="272">
        <v>368720</v>
      </c>
      <c r="DD30" s="272">
        <v>120042</v>
      </c>
      <c r="DE30" s="272">
        <v>248678</v>
      </c>
      <c r="DF30" s="26">
        <v>0</v>
      </c>
      <c r="DG30" s="27">
        <v>0</v>
      </c>
      <c r="DH30" s="272">
        <v>0</v>
      </c>
      <c r="DI30" s="272">
        <v>24712</v>
      </c>
      <c r="DJ30" s="272">
        <v>1698</v>
      </c>
      <c r="DK30" s="272">
        <v>106</v>
      </c>
      <c r="DL30" s="272">
        <v>22908</v>
      </c>
      <c r="DM30" s="272">
        <v>0</v>
      </c>
      <c r="DN30" s="272">
        <v>0</v>
      </c>
      <c r="DO30" s="272">
        <v>0</v>
      </c>
      <c r="DP30" s="272">
        <v>0</v>
      </c>
      <c r="DQ30" s="272">
        <v>20000</v>
      </c>
      <c r="DR30" s="272">
        <v>0</v>
      </c>
      <c r="DS30" s="272">
        <v>0</v>
      </c>
      <c r="DT30" s="272">
        <v>2777103</v>
      </c>
      <c r="DU30" s="272">
        <v>1253000</v>
      </c>
      <c r="DV30" s="455">
        <f t="shared" si="11"/>
        <v>0</v>
      </c>
      <c r="DW30" s="272">
        <v>0</v>
      </c>
      <c r="DX30" s="272"/>
      <c r="DY30" s="272">
        <v>0</v>
      </c>
      <c r="DZ30" s="272">
        <v>558857</v>
      </c>
      <c r="EA30" s="272">
        <v>401462</v>
      </c>
      <c r="EB30" s="272">
        <v>563781</v>
      </c>
      <c r="EC30" s="272">
        <v>83976</v>
      </c>
      <c r="ED30" s="272">
        <v>18463678</v>
      </c>
      <c r="EE30" s="89"/>
      <c r="EF30" s="272">
        <v>-539080</v>
      </c>
      <c r="EG30" s="272">
        <v>17185</v>
      </c>
      <c r="EH30" s="272">
        <v>-556265</v>
      </c>
      <c r="EI30" s="272">
        <v>-469893</v>
      </c>
      <c r="EJ30" s="272">
        <v>-468195</v>
      </c>
      <c r="EK30" s="89"/>
      <c r="EL30" s="272"/>
      <c r="EM30" s="272">
        <v>66021</v>
      </c>
      <c r="EN30" s="272">
        <v>10025</v>
      </c>
      <c r="EO30" s="272">
        <v>67822</v>
      </c>
      <c r="EP30" s="455">
        <f t="shared" si="12"/>
        <v>177700</v>
      </c>
      <c r="EQ30" s="272">
        <v>12694555</v>
      </c>
      <c r="ER30" s="272">
        <v>-841947</v>
      </c>
      <c r="ES30" s="272">
        <v>4382714</v>
      </c>
      <c r="ET30" s="272">
        <v>2834166</v>
      </c>
      <c r="EU30" s="272">
        <v>1596499</v>
      </c>
      <c r="EV30" s="272">
        <v>1365742</v>
      </c>
      <c r="EW30" s="455">
        <f t="shared" si="13"/>
        <v>138854</v>
      </c>
      <c r="EX30" s="272">
        <v>138854</v>
      </c>
      <c r="EY30" s="272">
        <v>6009</v>
      </c>
      <c r="EZ30" s="272">
        <v>132845</v>
      </c>
      <c r="FA30" s="272">
        <v>0</v>
      </c>
      <c r="FB30" s="272">
        <v>0</v>
      </c>
      <c r="FC30" s="272">
        <v>1494895</v>
      </c>
      <c r="FD30" s="272">
        <v>2395384</v>
      </c>
      <c r="FE30" s="272">
        <v>1827059</v>
      </c>
      <c r="FF30" s="272">
        <v>2536152</v>
      </c>
      <c r="FG30" s="455">
        <f t="shared" si="14"/>
        <v>165342</v>
      </c>
      <c r="FH30" s="272">
        <v>14075582</v>
      </c>
      <c r="FI30" s="384">
        <f t="shared" si="15"/>
        <v>-4.7</v>
      </c>
      <c r="FJ30" s="272">
        <v>11846031</v>
      </c>
      <c r="FK30" s="272">
        <v>599862</v>
      </c>
      <c r="FL30" s="272">
        <v>6722065</v>
      </c>
      <c r="FM30" s="272">
        <v>9805731</v>
      </c>
      <c r="FN30" s="460">
        <v>0.68500000000000005</v>
      </c>
      <c r="FO30" s="388">
        <v>102.2</v>
      </c>
      <c r="FP30" s="388">
        <v>33.299999999999997</v>
      </c>
      <c r="FQ30" s="388">
        <v>12.8</v>
      </c>
      <c r="FR30" s="388">
        <v>11</v>
      </c>
      <c r="FS30" s="388">
        <v>10.199999999999999</v>
      </c>
      <c r="FT30" s="388">
        <v>17.7</v>
      </c>
      <c r="FU30" s="388">
        <v>16.7</v>
      </c>
      <c r="FV30" s="384">
        <f t="shared" si="16"/>
        <v>7.1</v>
      </c>
      <c r="FW30" s="272">
        <v>11892769</v>
      </c>
      <c r="FX30" s="384">
        <f t="shared" si="17"/>
        <v>100.4</v>
      </c>
      <c r="FY30" s="272">
        <v>952727</v>
      </c>
      <c r="FZ30" s="272">
        <v>149830</v>
      </c>
      <c r="GA30" s="272">
        <v>2456</v>
      </c>
      <c r="GB30" s="272">
        <v>800441</v>
      </c>
      <c r="GC30" s="272"/>
      <c r="GD30" s="272">
        <v>591666</v>
      </c>
      <c r="GE30" s="384">
        <f t="shared" si="18"/>
        <v>5</v>
      </c>
      <c r="GF30" s="388">
        <v>97.7</v>
      </c>
      <c r="GG30" s="388">
        <v>27.4</v>
      </c>
      <c r="GH30" s="388">
        <v>93.2</v>
      </c>
      <c r="GI30" s="272">
        <v>443</v>
      </c>
      <c r="GJ30" s="461">
        <v>4.46</v>
      </c>
      <c r="GK30" s="461">
        <v>13.01</v>
      </c>
      <c r="GL30" s="462">
        <v>20</v>
      </c>
      <c r="GM30" s="461" t="s">
        <v>646</v>
      </c>
      <c r="GN30" s="462">
        <v>18.010000000000002</v>
      </c>
      <c r="GO30" s="462">
        <v>40</v>
      </c>
      <c r="GP30" s="463">
        <v>7.1</v>
      </c>
      <c r="GQ30" s="463">
        <v>25</v>
      </c>
      <c r="GR30" s="463">
        <v>35</v>
      </c>
      <c r="GS30" s="466">
        <v>75.7</v>
      </c>
      <c r="GT30" s="463">
        <v>350</v>
      </c>
      <c r="GU30" s="394"/>
      <c r="GV30" s="394"/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</row>
    <row r="31" spans="2:230" x14ac:dyDescent="0.15">
      <c r="B31" s="89" t="s">
        <v>55</v>
      </c>
      <c r="C31" s="272">
        <v>80322510</v>
      </c>
      <c r="D31" s="455">
        <f t="shared" si="0"/>
        <v>25134225</v>
      </c>
      <c r="E31" s="272">
        <v>626146</v>
      </c>
      <c r="F31" s="272">
        <v>24508079</v>
      </c>
      <c r="G31" s="455">
        <f t="shared" si="1"/>
        <v>9200849</v>
      </c>
      <c r="H31" s="272">
        <v>1592190</v>
      </c>
      <c r="I31" s="272">
        <v>7608659</v>
      </c>
      <c r="J31" s="272">
        <v>32569156</v>
      </c>
      <c r="K31" s="272">
        <v>16106830</v>
      </c>
      <c r="L31" s="272">
        <v>12443892</v>
      </c>
      <c r="M31" s="272">
        <v>3719314</v>
      </c>
      <c r="N31" s="272">
        <v>3846159</v>
      </c>
      <c r="O31" s="272">
        <v>7002563</v>
      </c>
      <c r="P31" s="272">
        <v>4229798</v>
      </c>
      <c r="Q31" s="272">
        <v>2772765</v>
      </c>
      <c r="R31" s="272">
        <v>1040090</v>
      </c>
      <c r="S31" s="272">
        <v>0</v>
      </c>
      <c r="T31" s="455">
        <f t="shared" si="2"/>
        <v>7313910</v>
      </c>
      <c r="U31" s="272">
        <v>463749</v>
      </c>
      <c r="V31" s="272">
        <v>409823</v>
      </c>
      <c r="W31" s="272">
        <v>252394</v>
      </c>
      <c r="X31" s="272">
        <v>5292310</v>
      </c>
      <c r="Y31" s="272">
        <v>0</v>
      </c>
      <c r="Z31" s="272">
        <v>0</v>
      </c>
      <c r="AA31" s="272">
        <v>895634</v>
      </c>
      <c r="AB31" s="272">
        <v>523022</v>
      </c>
      <c r="AC31" s="272">
        <v>16070972</v>
      </c>
      <c r="AD31" s="272">
        <v>15315795</v>
      </c>
      <c r="AE31" s="272">
        <v>755177</v>
      </c>
      <c r="AF31" s="272">
        <v>106671</v>
      </c>
      <c r="AG31" s="272">
        <v>3118890</v>
      </c>
      <c r="AH31" s="455">
        <f t="shared" si="3"/>
        <v>3264174</v>
      </c>
      <c r="AI31" s="272">
        <v>2712866</v>
      </c>
      <c r="AJ31" s="272">
        <v>551308</v>
      </c>
      <c r="AK31" s="272">
        <v>28759355</v>
      </c>
      <c r="AL31" s="455">
        <f t="shared" si="4"/>
        <v>20757283</v>
      </c>
      <c r="AM31" s="272">
        <v>19314875</v>
      </c>
      <c r="AN31" s="272">
        <v>1442408</v>
      </c>
      <c r="AO31" s="272">
        <v>0</v>
      </c>
      <c r="AP31" s="272">
        <v>0</v>
      </c>
      <c r="AQ31" s="272">
        <v>1001200</v>
      </c>
      <c r="AR31" s="272">
        <v>0</v>
      </c>
      <c r="AS31" s="272">
        <v>0</v>
      </c>
      <c r="AT31" s="272">
        <v>7827978</v>
      </c>
      <c r="AU31" s="272">
        <v>2908814</v>
      </c>
      <c r="AV31" s="272">
        <v>0</v>
      </c>
      <c r="AW31" s="272">
        <v>4557</v>
      </c>
      <c r="AX31" s="272">
        <v>4919164</v>
      </c>
      <c r="AY31" s="272">
        <v>155297</v>
      </c>
      <c r="AZ31" s="272">
        <v>1290669</v>
      </c>
      <c r="BA31" s="272">
        <v>1215854</v>
      </c>
      <c r="BB31" s="272">
        <v>5186</v>
      </c>
      <c r="BC31" s="272">
        <v>1870448</v>
      </c>
      <c r="BD31" s="272">
        <v>800000</v>
      </c>
      <c r="BE31" s="272">
        <v>629526</v>
      </c>
      <c r="BF31" s="272">
        <v>122853</v>
      </c>
      <c r="BG31" s="272">
        <v>0</v>
      </c>
      <c r="BH31" s="272">
        <v>1148944</v>
      </c>
      <c r="BI31" s="272">
        <v>866826</v>
      </c>
      <c r="BJ31" s="272">
        <v>3269448</v>
      </c>
      <c r="BK31" s="272">
        <v>2053014</v>
      </c>
      <c r="BL31" s="272">
        <v>0</v>
      </c>
      <c r="BM31" s="272">
        <v>91653</v>
      </c>
      <c r="BN31" s="272">
        <v>12337000</v>
      </c>
      <c r="BO31" s="455">
        <f t="shared" si="5"/>
        <v>5946100</v>
      </c>
      <c r="BP31" s="455">
        <f t="shared" si="6"/>
        <v>4190900</v>
      </c>
      <c r="BQ31" s="272"/>
      <c r="BR31" s="272">
        <v>266700</v>
      </c>
      <c r="BS31" s="272">
        <v>3924200</v>
      </c>
      <c r="BT31" s="272">
        <v>2200000</v>
      </c>
      <c r="BU31" s="272">
        <v>168269267</v>
      </c>
      <c r="BV31" s="272"/>
      <c r="BW31" s="272">
        <v>36314632</v>
      </c>
      <c r="BX31" s="272">
        <v>23330529</v>
      </c>
      <c r="BY31" s="272">
        <v>5852184</v>
      </c>
      <c r="BZ31" s="272">
        <v>2312523</v>
      </c>
      <c r="CA31" s="272">
        <v>48231560</v>
      </c>
      <c r="CB31" s="272">
        <v>5327178</v>
      </c>
      <c r="CC31" s="272">
        <v>1060030</v>
      </c>
      <c r="CD31" s="272">
        <v>12751853</v>
      </c>
      <c r="CE31" s="272">
        <v>26346198</v>
      </c>
      <c r="CF31" s="272">
        <v>2232176</v>
      </c>
      <c r="CG31" s="272">
        <v>514125</v>
      </c>
      <c r="CH31" s="272">
        <v>16436619</v>
      </c>
      <c r="CI31" s="272">
        <v>13372171</v>
      </c>
      <c r="CJ31" s="455">
        <f t="shared" si="7"/>
        <v>3064448</v>
      </c>
      <c r="CK31" s="272">
        <v>14574033</v>
      </c>
      <c r="CL31" s="272">
        <v>9196603</v>
      </c>
      <c r="CM31" s="272">
        <v>493065</v>
      </c>
      <c r="CN31" s="272">
        <v>2563384</v>
      </c>
      <c r="CO31" s="272">
        <v>1426956</v>
      </c>
      <c r="CP31" s="272">
        <v>11236866</v>
      </c>
      <c r="CQ31" s="272">
        <v>3861836</v>
      </c>
      <c r="CR31" s="272">
        <v>4426287</v>
      </c>
      <c r="CS31" s="272">
        <v>3478739</v>
      </c>
      <c r="CT31" s="455">
        <f t="shared" si="8"/>
        <v>1256140</v>
      </c>
      <c r="CU31" s="272">
        <v>1010907</v>
      </c>
      <c r="CV31" s="272">
        <v>245233</v>
      </c>
      <c r="CW31" s="455">
        <f t="shared" si="9"/>
        <v>1137803</v>
      </c>
      <c r="CX31" s="272">
        <v>892570</v>
      </c>
      <c r="CY31" s="272">
        <v>245233</v>
      </c>
      <c r="CZ31" s="455">
        <f t="shared" si="10"/>
        <v>0</v>
      </c>
      <c r="DA31" s="272">
        <v>0</v>
      </c>
      <c r="DB31" s="272">
        <v>0</v>
      </c>
      <c r="DC31" s="272">
        <v>11118723</v>
      </c>
      <c r="DD31" s="272">
        <v>2012611</v>
      </c>
      <c r="DE31" s="272">
        <v>7465965</v>
      </c>
      <c r="DF31" s="26">
        <v>1380362</v>
      </c>
      <c r="DG31" s="27">
        <v>1380362</v>
      </c>
      <c r="DH31" s="272">
        <v>0</v>
      </c>
      <c r="DI31" s="272">
        <v>2116116</v>
      </c>
      <c r="DJ31" s="272">
        <v>1026900</v>
      </c>
      <c r="DK31" s="272">
        <v>7700</v>
      </c>
      <c r="DL31" s="272">
        <v>1081516</v>
      </c>
      <c r="DM31" s="272">
        <v>721797</v>
      </c>
      <c r="DN31" s="272">
        <v>624197</v>
      </c>
      <c r="DO31" s="272">
        <v>0</v>
      </c>
      <c r="DP31" s="272">
        <v>624197</v>
      </c>
      <c r="DQ31" s="272">
        <v>2252485</v>
      </c>
      <c r="DR31" s="272">
        <v>0</v>
      </c>
      <c r="DS31" s="272">
        <v>0</v>
      </c>
      <c r="DT31" s="272">
        <v>22791462</v>
      </c>
      <c r="DU31" s="272">
        <v>9212024</v>
      </c>
      <c r="DV31" s="455">
        <f t="shared" si="11"/>
        <v>0</v>
      </c>
      <c r="DW31" s="272">
        <v>0</v>
      </c>
      <c r="DX31" s="272"/>
      <c r="DY31" s="272">
        <v>0</v>
      </c>
      <c r="DZ31" s="272">
        <v>6612342</v>
      </c>
      <c r="EA31" s="272">
        <v>2921545</v>
      </c>
      <c r="EB31" s="272">
        <v>3630014</v>
      </c>
      <c r="EC31" s="272">
        <v>0</v>
      </c>
      <c r="ED31" s="272">
        <v>167221249</v>
      </c>
      <c r="EE31" s="89"/>
      <c r="EF31" s="272">
        <v>1048018</v>
      </c>
      <c r="EG31" s="272">
        <v>66663</v>
      </c>
      <c r="EH31" s="272">
        <v>981355</v>
      </c>
      <c r="EI31" s="272">
        <v>114529</v>
      </c>
      <c r="EJ31" s="272">
        <v>592722</v>
      </c>
      <c r="EK31" s="89"/>
      <c r="EL31" s="272"/>
      <c r="EM31" s="272">
        <v>490631</v>
      </c>
      <c r="EN31" s="272">
        <v>1441049</v>
      </c>
      <c r="EO31" s="272">
        <v>6591</v>
      </c>
      <c r="EP31" s="455">
        <f t="shared" si="12"/>
        <v>3444292</v>
      </c>
      <c r="EQ31" s="272">
        <v>105377175</v>
      </c>
      <c r="ER31" s="272">
        <v>-8976161</v>
      </c>
      <c r="ES31" s="272">
        <v>31925403</v>
      </c>
      <c r="ET31" s="272">
        <v>21184151</v>
      </c>
      <c r="EU31" s="272">
        <v>15837712</v>
      </c>
      <c r="EV31" s="272">
        <v>16242871</v>
      </c>
      <c r="EW31" s="455">
        <f t="shared" si="13"/>
        <v>3878779</v>
      </c>
      <c r="EX31" s="272">
        <v>3878779</v>
      </c>
      <c r="EY31" s="272">
        <v>276585</v>
      </c>
      <c r="EZ31" s="272">
        <v>3601033</v>
      </c>
      <c r="FA31" s="272">
        <v>0</v>
      </c>
      <c r="FB31" s="272">
        <v>0</v>
      </c>
      <c r="FC31" s="272">
        <v>11752475</v>
      </c>
      <c r="FD31" s="272">
        <v>10577149</v>
      </c>
      <c r="FE31" s="272">
        <v>3861836</v>
      </c>
      <c r="FF31" s="272">
        <v>20447178</v>
      </c>
      <c r="FG31" s="455">
        <f t="shared" si="14"/>
        <v>2643751</v>
      </c>
      <c r="FH31" s="272">
        <v>113305318</v>
      </c>
      <c r="FI31" s="384">
        <f t="shared" si="15"/>
        <v>1</v>
      </c>
      <c r="FJ31" s="272">
        <v>97754222</v>
      </c>
      <c r="FK31" s="272">
        <v>3924232</v>
      </c>
      <c r="FL31" s="272">
        <v>62955580</v>
      </c>
      <c r="FM31" s="272">
        <v>78405467</v>
      </c>
      <c r="FN31" s="460">
        <v>0.78800000000000003</v>
      </c>
      <c r="FO31" s="388">
        <v>99</v>
      </c>
      <c r="FP31" s="388">
        <v>31</v>
      </c>
      <c r="FQ31" s="388">
        <v>15.5</v>
      </c>
      <c r="FR31" s="388">
        <v>15.5</v>
      </c>
      <c r="FS31" s="388">
        <v>10.5</v>
      </c>
      <c r="FT31" s="388">
        <v>8.9</v>
      </c>
      <c r="FU31" s="388">
        <v>16.5</v>
      </c>
      <c r="FV31" s="384">
        <f t="shared" si="16"/>
        <v>8</v>
      </c>
      <c r="FW31" s="272">
        <v>165988298</v>
      </c>
      <c r="FX31" s="384">
        <f t="shared" si="17"/>
        <v>169.8</v>
      </c>
      <c r="FY31" s="272">
        <v>8157467</v>
      </c>
      <c r="FZ31" s="272">
        <v>4155300</v>
      </c>
      <c r="GA31" s="272">
        <v>531800</v>
      </c>
      <c r="GB31" s="272">
        <v>3470367</v>
      </c>
      <c r="GC31" s="272"/>
      <c r="GD31" s="272">
        <v>14945095</v>
      </c>
      <c r="GE31" s="384">
        <f t="shared" si="18"/>
        <v>15.3</v>
      </c>
      <c r="GF31" s="388">
        <v>97.1</v>
      </c>
      <c r="GG31" s="388">
        <v>32.700000000000003</v>
      </c>
      <c r="GH31" s="388">
        <v>93.1</v>
      </c>
      <c r="GI31" s="272">
        <v>3080</v>
      </c>
      <c r="GJ31" s="461" t="s">
        <v>646</v>
      </c>
      <c r="GK31" s="461">
        <v>11.25</v>
      </c>
      <c r="GL31" s="462">
        <v>20</v>
      </c>
      <c r="GM31" s="461" t="s">
        <v>646</v>
      </c>
      <c r="GN31" s="462">
        <v>16.25</v>
      </c>
      <c r="GO31" s="462">
        <v>40</v>
      </c>
      <c r="GP31" s="463">
        <v>8</v>
      </c>
      <c r="GQ31" s="463">
        <v>25</v>
      </c>
      <c r="GR31" s="463">
        <v>35</v>
      </c>
      <c r="GS31" s="464">
        <v>113.9</v>
      </c>
      <c r="GT31" s="463">
        <v>350</v>
      </c>
      <c r="GU31" s="394"/>
      <c r="GV31" s="394"/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</row>
    <row r="32" spans="2:230" x14ac:dyDescent="0.15">
      <c r="B32" s="89" t="s">
        <v>57</v>
      </c>
      <c r="C32" s="272">
        <v>9507182</v>
      </c>
      <c r="D32" s="455">
        <f t="shared" si="0"/>
        <v>2595682</v>
      </c>
      <c r="E32" s="272">
        <v>74282</v>
      </c>
      <c r="F32" s="272">
        <v>2521400</v>
      </c>
      <c r="G32" s="455">
        <f t="shared" si="1"/>
        <v>674035</v>
      </c>
      <c r="H32" s="272">
        <v>181494</v>
      </c>
      <c r="I32" s="272">
        <v>492541</v>
      </c>
      <c r="J32" s="272">
        <v>4978976</v>
      </c>
      <c r="K32" s="272">
        <v>2034588</v>
      </c>
      <c r="L32" s="272">
        <v>1717752</v>
      </c>
      <c r="M32" s="272">
        <v>1098800</v>
      </c>
      <c r="N32" s="272">
        <v>421984</v>
      </c>
      <c r="O32" s="272">
        <v>739569</v>
      </c>
      <c r="P32" s="272">
        <v>396966</v>
      </c>
      <c r="Q32" s="272">
        <v>342603</v>
      </c>
      <c r="R32" s="272">
        <v>183460</v>
      </c>
      <c r="S32" s="272">
        <v>0</v>
      </c>
      <c r="T32" s="455">
        <f t="shared" si="2"/>
        <v>893224</v>
      </c>
      <c r="U32" s="272">
        <v>48188</v>
      </c>
      <c r="V32" s="272">
        <v>42634</v>
      </c>
      <c r="W32" s="272">
        <v>26060</v>
      </c>
      <c r="X32" s="272">
        <v>586985</v>
      </c>
      <c r="Y32" s="272">
        <v>57126</v>
      </c>
      <c r="Z32" s="272">
        <v>0</v>
      </c>
      <c r="AA32" s="272">
        <v>132231</v>
      </c>
      <c r="AB32" s="272">
        <v>52046</v>
      </c>
      <c r="AC32" s="272">
        <v>1993259</v>
      </c>
      <c r="AD32" s="272">
        <v>1623922</v>
      </c>
      <c r="AE32" s="272">
        <v>369337</v>
      </c>
      <c r="AF32" s="272">
        <v>13726</v>
      </c>
      <c r="AG32" s="272">
        <v>63456</v>
      </c>
      <c r="AH32" s="455">
        <f t="shared" si="3"/>
        <v>412753</v>
      </c>
      <c r="AI32" s="272">
        <v>311553</v>
      </c>
      <c r="AJ32" s="272">
        <v>101200</v>
      </c>
      <c r="AK32" s="272">
        <v>2860732</v>
      </c>
      <c r="AL32" s="455">
        <f t="shared" si="4"/>
        <v>1481422</v>
      </c>
      <c r="AM32" s="272">
        <v>1419310</v>
      </c>
      <c r="AN32" s="272">
        <v>62112</v>
      </c>
      <c r="AO32" s="272">
        <v>0</v>
      </c>
      <c r="AP32" s="272">
        <v>0</v>
      </c>
      <c r="AQ32" s="272">
        <v>435982</v>
      </c>
      <c r="AR32" s="272">
        <v>0</v>
      </c>
      <c r="AS32" s="272">
        <v>0</v>
      </c>
      <c r="AT32" s="272">
        <v>1271069</v>
      </c>
      <c r="AU32" s="272">
        <v>631788</v>
      </c>
      <c r="AV32" s="272">
        <v>31056</v>
      </c>
      <c r="AW32" s="272">
        <v>0</v>
      </c>
      <c r="AX32" s="272">
        <v>639281</v>
      </c>
      <c r="AY32" s="272">
        <v>24427</v>
      </c>
      <c r="AZ32" s="272">
        <v>17757</v>
      </c>
      <c r="BA32" s="272">
        <v>17284</v>
      </c>
      <c r="BB32" s="272">
        <v>16052</v>
      </c>
      <c r="BC32" s="272">
        <v>556749</v>
      </c>
      <c r="BD32" s="272">
        <v>0</v>
      </c>
      <c r="BE32" s="272">
        <v>67284</v>
      </c>
      <c r="BF32" s="272">
        <v>173851</v>
      </c>
      <c r="BG32" s="272">
        <v>280000</v>
      </c>
      <c r="BH32" s="272">
        <v>64531</v>
      </c>
      <c r="BI32" s="272">
        <v>59579</v>
      </c>
      <c r="BJ32" s="272">
        <v>359797</v>
      </c>
      <c r="BK32" s="272">
        <v>20</v>
      </c>
      <c r="BL32" s="272">
        <v>0</v>
      </c>
      <c r="BM32" s="272">
        <v>0</v>
      </c>
      <c r="BN32" s="272">
        <v>1292700</v>
      </c>
      <c r="BO32" s="455">
        <f t="shared" si="5"/>
        <v>573700</v>
      </c>
      <c r="BP32" s="455">
        <f t="shared" si="6"/>
        <v>574000</v>
      </c>
      <c r="BQ32" s="272"/>
      <c r="BR32" s="272">
        <v>0</v>
      </c>
      <c r="BS32" s="272">
        <v>574000</v>
      </c>
      <c r="BT32" s="272">
        <v>145000</v>
      </c>
      <c r="BU32" s="272">
        <v>19558493</v>
      </c>
      <c r="BV32" s="272"/>
      <c r="BW32" s="272">
        <v>5355485</v>
      </c>
      <c r="BX32" s="272">
        <v>3896757</v>
      </c>
      <c r="BY32" s="272">
        <v>490590</v>
      </c>
      <c r="BZ32" s="272">
        <v>69900</v>
      </c>
      <c r="CA32" s="272">
        <v>3926194</v>
      </c>
      <c r="CB32" s="272">
        <v>626989</v>
      </c>
      <c r="CC32" s="272">
        <v>112685</v>
      </c>
      <c r="CD32" s="272">
        <v>1242162</v>
      </c>
      <c r="CE32" s="272">
        <v>1876656</v>
      </c>
      <c r="CF32" s="272">
        <v>0</v>
      </c>
      <c r="CG32" s="272">
        <v>67402</v>
      </c>
      <c r="CH32" s="272">
        <v>2546372</v>
      </c>
      <c r="CI32" s="272">
        <v>1948620</v>
      </c>
      <c r="CJ32" s="455">
        <f t="shared" si="7"/>
        <v>597752</v>
      </c>
      <c r="CK32" s="272">
        <v>2203873</v>
      </c>
      <c r="CL32" s="272">
        <v>1290718</v>
      </c>
      <c r="CM32" s="272">
        <v>123650</v>
      </c>
      <c r="CN32" s="272">
        <v>460478</v>
      </c>
      <c r="CO32" s="272">
        <v>101400</v>
      </c>
      <c r="CP32" s="272">
        <v>1266517</v>
      </c>
      <c r="CQ32" s="272">
        <v>493965</v>
      </c>
      <c r="CR32" s="272">
        <v>412056</v>
      </c>
      <c r="CS32" s="272">
        <v>191206</v>
      </c>
      <c r="CT32" s="455">
        <f t="shared" si="8"/>
        <v>8667</v>
      </c>
      <c r="CU32" s="272">
        <v>1382</v>
      </c>
      <c r="CV32" s="272">
        <v>7285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1673820</v>
      </c>
      <c r="DD32" s="272">
        <v>747449</v>
      </c>
      <c r="DE32" s="272">
        <v>892389</v>
      </c>
      <c r="DF32" s="26">
        <v>17687</v>
      </c>
      <c r="DG32" s="27">
        <v>17687</v>
      </c>
      <c r="DH32" s="272">
        <v>0</v>
      </c>
      <c r="DI32" s="272">
        <v>151123</v>
      </c>
      <c r="DJ32" s="272">
        <v>0</v>
      </c>
      <c r="DK32" s="272">
        <v>66469</v>
      </c>
      <c r="DL32" s="272">
        <v>84654</v>
      </c>
      <c r="DM32" s="272">
        <v>1238</v>
      </c>
      <c r="DN32" s="272">
        <v>1238</v>
      </c>
      <c r="DO32" s="272">
        <v>0</v>
      </c>
      <c r="DP32" s="272">
        <v>0</v>
      </c>
      <c r="DQ32" s="272">
        <v>0</v>
      </c>
      <c r="DR32" s="272">
        <v>0</v>
      </c>
      <c r="DS32" s="272">
        <v>0</v>
      </c>
      <c r="DT32" s="272">
        <v>2247250</v>
      </c>
      <c r="DU32" s="272">
        <v>817096</v>
      </c>
      <c r="DV32" s="455">
        <f t="shared" si="11"/>
        <v>0</v>
      </c>
      <c r="DW32" s="272">
        <v>0</v>
      </c>
      <c r="DX32" s="272"/>
      <c r="DY32" s="272">
        <v>0</v>
      </c>
      <c r="DZ32" s="272">
        <v>525237</v>
      </c>
      <c r="EA32" s="272">
        <v>407074</v>
      </c>
      <c r="EB32" s="272">
        <v>497843</v>
      </c>
      <c r="EC32" s="272">
        <v>0</v>
      </c>
      <c r="ED32" s="272">
        <v>19473272</v>
      </c>
      <c r="EE32" s="89"/>
      <c r="EF32" s="272">
        <v>85221</v>
      </c>
      <c r="EG32" s="272">
        <v>22040</v>
      </c>
      <c r="EH32" s="272">
        <v>63181</v>
      </c>
      <c r="EI32" s="272">
        <v>3602</v>
      </c>
      <c r="EJ32" s="272">
        <v>3602</v>
      </c>
      <c r="EK32" s="89"/>
      <c r="EL32" s="272"/>
      <c r="EM32" s="272">
        <v>65370</v>
      </c>
      <c r="EN32" s="272">
        <v>361657</v>
      </c>
      <c r="EO32" s="272">
        <v>17323</v>
      </c>
      <c r="EP32" s="455">
        <f t="shared" si="12"/>
        <v>370535</v>
      </c>
      <c r="EQ32" s="272">
        <v>12642897</v>
      </c>
      <c r="ER32" s="272">
        <v>-1309789</v>
      </c>
      <c r="ES32" s="272">
        <v>4778847</v>
      </c>
      <c r="ET32" s="272">
        <v>3478948</v>
      </c>
      <c r="EU32" s="272">
        <v>1290110</v>
      </c>
      <c r="EV32" s="272">
        <v>2505777</v>
      </c>
      <c r="EW32" s="455">
        <f t="shared" si="13"/>
        <v>257373</v>
      </c>
      <c r="EX32" s="272">
        <v>257373</v>
      </c>
      <c r="EY32" s="272">
        <v>589</v>
      </c>
      <c r="EZ32" s="272">
        <v>256670</v>
      </c>
      <c r="FA32" s="272">
        <v>0</v>
      </c>
      <c r="FB32" s="272">
        <v>0</v>
      </c>
      <c r="FC32" s="272">
        <v>1676248</v>
      </c>
      <c r="FD32" s="272">
        <v>1101568</v>
      </c>
      <c r="FE32" s="272">
        <v>493965</v>
      </c>
      <c r="FF32" s="272">
        <v>2016959</v>
      </c>
      <c r="FG32" s="455">
        <f t="shared" si="14"/>
        <v>240583</v>
      </c>
      <c r="FH32" s="272">
        <v>13867465</v>
      </c>
      <c r="FI32" s="384">
        <f t="shared" si="15"/>
        <v>0.5</v>
      </c>
      <c r="FJ32" s="272">
        <v>11629937</v>
      </c>
      <c r="FK32" s="272">
        <v>574053</v>
      </c>
      <c r="FL32" s="272">
        <v>7670584</v>
      </c>
      <c r="FM32" s="272">
        <v>9307806</v>
      </c>
      <c r="FN32" s="460">
        <v>0.81499999999999995</v>
      </c>
      <c r="FO32" s="388">
        <v>99.6</v>
      </c>
      <c r="FP32" s="388">
        <v>37.200000000000003</v>
      </c>
      <c r="FQ32" s="388">
        <v>10.5</v>
      </c>
      <c r="FR32" s="388">
        <v>20.6</v>
      </c>
      <c r="FS32" s="388">
        <v>11.3</v>
      </c>
      <c r="FT32" s="388">
        <v>7.4</v>
      </c>
      <c r="FU32" s="388">
        <v>11.9</v>
      </c>
      <c r="FV32" s="384">
        <f t="shared" si="16"/>
        <v>11.5</v>
      </c>
      <c r="FW32" s="272">
        <v>23398839</v>
      </c>
      <c r="FX32" s="384">
        <f t="shared" si="17"/>
        <v>201.2</v>
      </c>
      <c r="FY32" s="272">
        <v>1866109</v>
      </c>
      <c r="FZ32" s="272">
        <v>0</v>
      </c>
      <c r="GA32" s="272">
        <v>72293</v>
      </c>
      <c r="GB32" s="272">
        <v>1793816</v>
      </c>
      <c r="GC32" s="272">
        <v>630000</v>
      </c>
      <c r="GD32" s="272">
        <v>10388549</v>
      </c>
      <c r="GE32" s="384">
        <f t="shared" si="18"/>
        <v>89.3</v>
      </c>
      <c r="GF32" s="388">
        <v>96.7</v>
      </c>
      <c r="GG32" s="388">
        <v>14.8</v>
      </c>
      <c r="GH32" s="388">
        <v>84.9</v>
      </c>
      <c r="GI32" s="272">
        <v>539</v>
      </c>
      <c r="GJ32" s="461" t="s">
        <v>646</v>
      </c>
      <c r="GK32" s="461">
        <v>13.03</v>
      </c>
      <c r="GL32" s="462">
        <v>20</v>
      </c>
      <c r="GM32" s="461" t="s">
        <v>646</v>
      </c>
      <c r="GN32" s="462">
        <v>18.03</v>
      </c>
      <c r="GO32" s="462">
        <v>40</v>
      </c>
      <c r="GP32" s="463">
        <v>11.5</v>
      </c>
      <c r="GQ32" s="463">
        <v>25</v>
      </c>
      <c r="GR32" s="463">
        <v>35</v>
      </c>
      <c r="GS32" s="464">
        <v>193.8</v>
      </c>
      <c r="GT32" s="463">
        <v>350</v>
      </c>
      <c r="GU32" s="394"/>
      <c r="GV32" s="394"/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</row>
    <row r="33" spans="2:230" x14ac:dyDescent="0.15">
      <c r="B33" s="89" t="s">
        <v>59</v>
      </c>
      <c r="C33" s="272">
        <v>7114684</v>
      </c>
      <c r="D33" s="455">
        <f t="shared" si="0"/>
        <v>2999321</v>
      </c>
      <c r="E33" s="272">
        <v>72007</v>
      </c>
      <c r="F33" s="272">
        <v>2927314</v>
      </c>
      <c r="G33" s="455">
        <f t="shared" si="1"/>
        <v>299406</v>
      </c>
      <c r="H33" s="272">
        <v>101238</v>
      </c>
      <c r="I33" s="272">
        <v>198168</v>
      </c>
      <c r="J33" s="272">
        <v>2857960</v>
      </c>
      <c r="K33" s="272">
        <v>1337064</v>
      </c>
      <c r="L33" s="272">
        <v>1251876</v>
      </c>
      <c r="M33" s="272">
        <v>253684</v>
      </c>
      <c r="N33" s="272">
        <v>295349</v>
      </c>
      <c r="O33" s="272">
        <v>608053</v>
      </c>
      <c r="P33" s="272">
        <v>345878</v>
      </c>
      <c r="Q33" s="272">
        <v>262175</v>
      </c>
      <c r="R33" s="272">
        <v>134131</v>
      </c>
      <c r="S33" s="272">
        <v>0</v>
      </c>
      <c r="T33" s="455">
        <f t="shared" si="2"/>
        <v>735185</v>
      </c>
      <c r="U33" s="272">
        <v>54988</v>
      </c>
      <c r="V33" s="272">
        <v>48608</v>
      </c>
      <c r="W33" s="272">
        <v>29885</v>
      </c>
      <c r="X33" s="272">
        <v>454250</v>
      </c>
      <c r="Y33" s="272">
        <v>31952</v>
      </c>
      <c r="Z33" s="272">
        <v>0</v>
      </c>
      <c r="AA33" s="272">
        <v>115502</v>
      </c>
      <c r="AB33" s="272">
        <v>48570</v>
      </c>
      <c r="AC33" s="272">
        <v>3119962</v>
      </c>
      <c r="AD33" s="272">
        <v>2791743</v>
      </c>
      <c r="AE33" s="272">
        <v>328219</v>
      </c>
      <c r="AF33" s="272">
        <v>11198</v>
      </c>
      <c r="AG33" s="272">
        <v>183343</v>
      </c>
      <c r="AH33" s="455">
        <f t="shared" si="3"/>
        <v>288035</v>
      </c>
      <c r="AI33" s="272">
        <v>173017</v>
      </c>
      <c r="AJ33" s="272">
        <v>115018</v>
      </c>
      <c r="AK33" s="272">
        <v>1618283</v>
      </c>
      <c r="AL33" s="455">
        <f t="shared" si="4"/>
        <v>1313667</v>
      </c>
      <c r="AM33" s="272">
        <v>788759</v>
      </c>
      <c r="AN33" s="272">
        <v>524908</v>
      </c>
      <c r="AO33" s="272">
        <v>0</v>
      </c>
      <c r="AP33" s="272">
        <v>0</v>
      </c>
      <c r="AQ33" s="272">
        <v>12110</v>
      </c>
      <c r="AR33" s="272">
        <v>1145</v>
      </c>
      <c r="AS33" s="272">
        <v>0</v>
      </c>
      <c r="AT33" s="272">
        <v>1018517</v>
      </c>
      <c r="AU33" s="272">
        <v>509184</v>
      </c>
      <c r="AV33" s="272">
        <v>106347</v>
      </c>
      <c r="AW33" s="272">
        <v>22748</v>
      </c>
      <c r="AX33" s="272">
        <v>509333</v>
      </c>
      <c r="AY33" s="272">
        <v>11288</v>
      </c>
      <c r="AZ33" s="272">
        <v>87290</v>
      </c>
      <c r="BA33" s="272">
        <v>56232</v>
      </c>
      <c r="BB33" s="272">
        <v>8216</v>
      </c>
      <c r="BC33" s="272">
        <v>202774</v>
      </c>
      <c r="BD33" s="272">
        <v>0</v>
      </c>
      <c r="BE33" s="272">
        <v>0</v>
      </c>
      <c r="BF33" s="272">
        <v>202774</v>
      </c>
      <c r="BG33" s="456">
        <v>0</v>
      </c>
      <c r="BH33" s="272">
        <v>0</v>
      </c>
      <c r="BI33" s="272">
        <v>0</v>
      </c>
      <c r="BJ33" s="272">
        <v>170652</v>
      </c>
      <c r="BK33" s="272">
        <v>0</v>
      </c>
      <c r="BL33" s="272">
        <v>0</v>
      </c>
      <c r="BM33" s="272">
        <v>0</v>
      </c>
      <c r="BN33" s="272">
        <v>1107800</v>
      </c>
      <c r="BO33" s="455">
        <f t="shared" si="5"/>
        <v>78900</v>
      </c>
      <c r="BP33" s="455">
        <f t="shared" si="6"/>
        <v>528900</v>
      </c>
      <c r="BQ33" s="272"/>
      <c r="BR33" s="272">
        <v>0</v>
      </c>
      <c r="BS33" s="272">
        <v>528900</v>
      </c>
      <c r="BT33" s="272">
        <v>500000</v>
      </c>
      <c r="BU33" s="272">
        <v>15848640</v>
      </c>
      <c r="BV33" s="272"/>
      <c r="BW33" s="272">
        <v>4502185</v>
      </c>
      <c r="BX33" s="272">
        <v>2880272</v>
      </c>
      <c r="BY33" s="272">
        <v>758293</v>
      </c>
      <c r="BZ33" s="272">
        <v>175853</v>
      </c>
      <c r="CA33" s="272">
        <v>3162103</v>
      </c>
      <c r="CB33" s="272">
        <v>393200</v>
      </c>
      <c r="CC33" s="272">
        <v>106885</v>
      </c>
      <c r="CD33" s="272">
        <v>1500241</v>
      </c>
      <c r="CE33" s="272">
        <v>1080552</v>
      </c>
      <c r="CF33" s="272">
        <v>10207</v>
      </c>
      <c r="CG33" s="272">
        <v>70531</v>
      </c>
      <c r="CH33" s="272">
        <v>2055366</v>
      </c>
      <c r="CI33" s="272">
        <v>1658151</v>
      </c>
      <c r="CJ33" s="455">
        <f t="shared" si="7"/>
        <v>397215</v>
      </c>
      <c r="CK33" s="272">
        <v>1963217</v>
      </c>
      <c r="CL33" s="272">
        <v>1322781</v>
      </c>
      <c r="CM33" s="272">
        <v>60810</v>
      </c>
      <c r="CN33" s="272">
        <v>251055</v>
      </c>
      <c r="CO33" s="272">
        <v>44530</v>
      </c>
      <c r="CP33" s="272">
        <v>1306868</v>
      </c>
      <c r="CQ33" s="272">
        <v>423539</v>
      </c>
      <c r="CR33" s="272">
        <v>366937</v>
      </c>
      <c r="CS33" s="272">
        <v>141513</v>
      </c>
      <c r="CT33" s="455">
        <f t="shared" si="8"/>
        <v>44222</v>
      </c>
      <c r="CU33" s="272">
        <v>40245</v>
      </c>
      <c r="CV33" s="272">
        <v>3977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365090</v>
      </c>
      <c r="DD33" s="272">
        <v>45365</v>
      </c>
      <c r="DE33" s="272">
        <v>319725</v>
      </c>
      <c r="DF33" s="26">
        <v>0</v>
      </c>
      <c r="DG33" s="27">
        <v>0</v>
      </c>
      <c r="DH33" s="272">
        <v>1993</v>
      </c>
      <c r="DI33" s="272">
        <v>122877</v>
      </c>
      <c r="DJ33" s="272">
        <v>17</v>
      </c>
      <c r="DK33" s="272">
        <v>50001</v>
      </c>
      <c r="DL33" s="272">
        <v>72859</v>
      </c>
      <c r="DM33" s="272">
        <v>0</v>
      </c>
      <c r="DN33" s="272">
        <v>0</v>
      </c>
      <c r="DO33" s="272">
        <v>0</v>
      </c>
      <c r="DP33" s="272">
        <v>0</v>
      </c>
      <c r="DQ33" s="272">
        <v>0</v>
      </c>
      <c r="DR33" s="272">
        <v>0</v>
      </c>
      <c r="DS33" s="272">
        <v>0</v>
      </c>
      <c r="DT33" s="272">
        <v>2148039</v>
      </c>
      <c r="DU33" s="272">
        <v>1018999</v>
      </c>
      <c r="DV33" s="455">
        <f t="shared" si="11"/>
        <v>0</v>
      </c>
      <c r="DW33" s="272">
        <v>0</v>
      </c>
      <c r="DX33" s="272"/>
      <c r="DY33" s="272">
        <v>0</v>
      </c>
      <c r="DZ33" s="272">
        <v>492709</v>
      </c>
      <c r="EA33" s="272">
        <v>262906</v>
      </c>
      <c r="EB33" s="272">
        <v>373205</v>
      </c>
      <c r="EC33" s="272">
        <v>540745</v>
      </c>
      <c r="ED33" s="272">
        <v>16213013</v>
      </c>
      <c r="EE33" s="89"/>
      <c r="EF33" s="272">
        <v>-364373</v>
      </c>
      <c r="EG33" s="272">
        <v>538</v>
      </c>
      <c r="EH33" s="272">
        <v>-364911</v>
      </c>
      <c r="EI33" s="272">
        <v>180811</v>
      </c>
      <c r="EJ33" s="272">
        <v>180828</v>
      </c>
      <c r="EK33" s="89"/>
      <c r="EL33" s="272"/>
      <c r="EM33" s="272">
        <v>57064</v>
      </c>
      <c r="EN33" s="272">
        <v>200000</v>
      </c>
      <c r="EO33" s="272">
        <v>84893</v>
      </c>
      <c r="EP33" s="455">
        <f t="shared" si="12"/>
        <v>154052</v>
      </c>
      <c r="EQ33" s="272">
        <v>11163730</v>
      </c>
      <c r="ER33" s="272">
        <v>-956647</v>
      </c>
      <c r="ES33" s="272">
        <v>3630795</v>
      </c>
      <c r="ET33" s="272">
        <v>2605850</v>
      </c>
      <c r="EU33" s="272">
        <v>1076737</v>
      </c>
      <c r="EV33" s="272">
        <v>2053192</v>
      </c>
      <c r="EW33" s="455">
        <f t="shared" si="13"/>
        <v>238271</v>
      </c>
      <c r="EX33" s="272">
        <v>238268</v>
      </c>
      <c r="EY33" s="272">
        <v>6107</v>
      </c>
      <c r="EZ33" s="272">
        <v>232161</v>
      </c>
      <c r="FA33" s="272">
        <v>3</v>
      </c>
      <c r="FB33" s="272">
        <v>0</v>
      </c>
      <c r="FC33" s="272">
        <v>1676901</v>
      </c>
      <c r="FD33" s="272">
        <v>1156760</v>
      </c>
      <c r="FE33" s="272">
        <v>423539</v>
      </c>
      <c r="FF33" s="272">
        <v>1950774</v>
      </c>
      <c r="FG33" s="455">
        <f t="shared" si="14"/>
        <v>701320</v>
      </c>
      <c r="FH33" s="272">
        <v>12484750</v>
      </c>
      <c r="FI33" s="384">
        <f t="shared" si="15"/>
        <v>-3.6</v>
      </c>
      <c r="FJ33" s="272">
        <v>10098656</v>
      </c>
      <c r="FK33" s="272">
        <v>528977</v>
      </c>
      <c r="FL33" s="272">
        <v>5605331</v>
      </c>
      <c r="FM33" s="272">
        <v>8425481</v>
      </c>
      <c r="FN33" s="460">
        <v>0.65500000000000003</v>
      </c>
      <c r="FO33" s="388">
        <v>103.3</v>
      </c>
      <c r="FP33" s="388">
        <v>32.5</v>
      </c>
      <c r="FQ33" s="388">
        <v>10</v>
      </c>
      <c r="FR33" s="388">
        <v>19</v>
      </c>
      <c r="FS33" s="388">
        <v>14.9</v>
      </c>
      <c r="FT33" s="388">
        <v>9.3000000000000007</v>
      </c>
      <c r="FU33" s="388">
        <v>17.2</v>
      </c>
      <c r="FV33" s="384">
        <f t="shared" si="16"/>
        <v>10.4</v>
      </c>
      <c r="FW33" s="272">
        <v>20878484</v>
      </c>
      <c r="FX33" s="384">
        <f t="shared" si="17"/>
        <v>206.7</v>
      </c>
      <c r="FY33" s="272">
        <v>1707404</v>
      </c>
      <c r="FZ33" s="272">
        <v>4356</v>
      </c>
      <c r="GA33" s="272">
        <v>50552</v>
      </c>
      <c r="GB33" s="272">
        <v>1652496</v>
      </c>
      <c r="GC33" s="272">
        <v>1145200</v>
      </c>
      <c r="GD33" s="272">
        <v>5226804</v>
      </c>
      <c r="GE33" s="384">
        <f t="shared" si="18"/>
        <v>51.8</v>
      </c>
      <c r="GF33" s="388">
        <v>97.9</v>
      </c>
      <c r="GG33" s="388">
        <v>26</v>
      </c>
      <c r="GH33" s="388">
        <v>93.3</v>
      </c>
      <c r="GI33" s="272">
        <v>419</v>
      </c>
      <c r="GJ33" s="461">
        <v>3.43</v>
      </c>
      <c r="GK33" s="461">
        <v>13.23</v>
      </c>
      <c r="GL33" s="462">
        <v>20</v>
      </c>
      <c r="GM33" s="461" t="s">
        <v>646</v>
      </c>
      <c r="GN33" s="462">
        <v>18.23</v>
      </c>
      <c r="GO33" s="462">
        <v>40</v>
      </c>
      <c r="GP33" s="463">
        <v>10.4</v>
      </c>
      <c r="GQ33" s="463">
        <v>25</v>
      </c>
      <c r="GR33" s="463">
        <v>35</v>
      </c>
      <c r="GS33" s="464">
        <v>180.7</v>
      </c>
      <c r="GT33" s="463">
        <v>350</v>
      </c>
      <c r="GU33" s="394"/>
      <c r="GV33" s="394"/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</row>
    <row r="34" spans="2:230" x14ac:dyDescent="0.15">
      <c r="B34" s="89" t="s">
        <v>61</v>
      </c>
      <c r="C34" s="272">
        <v>9931427</v>
      </c>
      <c r="D34" s="455">
        <f t="shared" si="0"/>
        <v>4825970</v>
      </c>
      <c r="E34" s="272">
        <v>103276</v>
      </c>
      <c r="F34" s="272">
        <v>4722694</v>
      </c>
      <c r="G34" s="455">
        <f t="shared" si="1"/>
        <v>421936</v>
      </c>
      <c r="H34" s="272">
        <v>130210</v>
      </c>
      <c r="I34" s="272">
        <v>291726</v>
      </c>
      <c r="J34" s="272">
        <v>3473332</v>
      </c>
      <c r="K34" s="272">
        <v>1498043</v>
      </c>
      <c r="L34" s="272">
        <v>1500097</v>
      </c>
      <c r="M34" s="272">
        <v>424394</v>
      </c>
      <c r="N34" s="272">
        <v>355134</v>
      </c>
      <c r="O34" s="272">
        <v>782243</v>
      </c>
      <c r="P34" s="272">
        <v>458942</v>
      </c>
      <c r="Q34" s="272">
        <v>323301</v>
      </c>
      <c r="R34" s="272">
        <v>169031</v>
      </c>
      <c r="S34" s="272">
        <v>0</v>
      </c>
      <c r="T34" s="455">
        <f t="shared" si="2"/>
        <v>1056560</v>
      </c>
      <c r="U34" s="272">
        <v>88762</v>
      </c>
      <c r="V34" s="272">
        <v>78478</v>
      </c>
      <c r="W34" s="272">
        <v>48184</v>
      </c>
      <c r="X34" s="272">
        <v>607312</v>
      </c>
      <c r="Y34" s="272">
        <v>88270</v>
      </c>
      <c r="Z34" s="272">
        <v>0</v>
      </c>
      <c r="AA34" s="272">
        <v>145554</v>
      </c>
      <c r="AB34" s="272">
        <v>64445</v>
      </c>
      <c r="AC34" s="272">
        <v>2613652</v>
      </c>
      <c r="AD34" s="272">
        <v>2417614</v>
      </c>
      <c r="AE34" s="272">
        <v>196038</v>
      </c>
      <c r="AF34" s="272">
        <v>14637</v>
      </c>
      <c r="AG34" s="272">
        <v>234340</v>
      </c>
      <c r="AH34" s="455">
        <f t="shared" si="3"/>
        <v>388789</v>
      </c>
      <c r="AI34" s="272">
        <v>303035</v>
      </c>
      <c r="AJ34" s="272">
        <v>85754</v>
      </c>
      <c r="AK34" s="272">
        <v>1628867</v>
      </c>
      <c r="AL34" s="455">
        <f t="shared" si="4"/>
        <v>822425</v>
      </c>
      <c r="AM34" s="272">
        <v>642800</v>
      </c>
      <c r="AN34" s="272">
        <v>179625</v>
      </c>
      <c r="AO34" s="272">
        <v>0</v>
      </c>
      <c r="AP34" s="272">
        <v>0</v>
      </c>
      <c r="AQ34" s="272">
        <v>57949</v>
      </c>
      <c r="AR34" s="272">
        <v>0</v>
      </c>
      <c r="AS34" s="272">
        <v>0</v>
      </c>
      <c r="AT34" s="272">
        <v>1140696</v>
      </c>
      <c r="AU34" s="272">
        <v>501092</v>
      </c>
      <c r="AV34" s="272">
        <v>89813</v>
      </c>
      <c r="AW34" s="272">
        <v>4666</v>
      </c>
      <c r="AX34" s="272">
        <v>639604</v>
      </c>
      <c r="AY34" s="272">
        <v>24160</v>
      </c>
      <c r="AZ34" s="272">
        <v>237759</v>
      </c>
      <c r="BA34" s="272">
        <v>219740</v>
      </c>
      <c r="BB34" s="272">
        <v>16326</v>
      </c>
      <c r="BC34" s="272">
        <v>335261</v>
      </c>
      <c r="BD34" s="272">
        <v>0</v>
      </c>
      <c r="BE34" s="272">
        <v>0</v>
      </c>
      <c r="BF34" s="272">
        <v>310000</v>
      </c>
      <c r="BG34" s="272">
        <v>0</v>
      </c>
      <c r="BH34" s="272">
        <v>113167</v>
      </c>
      <c r="BI34" s="272">
        <v>107699</v>
      </c>
      <c r="BJ34" s="272">
        <v>1355057</v>
      </c>
      <c r="BK34" s="272">
        <v>1200000</v>
      </c>
      <c r="BL34" s="272">
        <v>0</v>
      </c>
      <c r="BM34" s="272">
        <v>0</v>
      </c>
      <c r="BN34" s="272">
        <v>2611344</v>
      </c>
      <c r="BO34" s="455">
        <f t="shared" si="5"/>
        <v>1914700</v>
      </c>
      <c r="BP34" s="455">
        <f t="shared" si="6"/>
        <v>696644</v>
      </c>
      <c r="BQ34" s="272"/>
      <c r="BR34" s="272">
        <v>0</v>
      </c>
      <c r="BS34" s="272">
        <v>696644</v>
      </c>
      <c r="BT34" s="272">
        <v>0</v>
      </c>
      <c r="BU34" s="272">
        <v>21911358</v>
      </c>
      <c r="BV34" s="272"/>
      <c r="BW34" s="272">
        <v>5296015</v>
      </c>
      <c r="BX34" s="272">
        <v>3343735</v>
      </c>
      <c r="BY34" s="272">
        <v>689634</v>
      </c>
      <c r="BZ34" s="272">
        <v>402765</v>
      </c>
      <c r="CA34" s="272">
        <v>3499287</v>
      </c>
      <c r="CB34" s="272">
        <v>738977</v>
      </c>
      <c r="CC34" s="272">
        <v>116325</v>
      </c>
      <c r="CD34" s="272">
        <v>1599944</v>
      </c>
      <c r="CE34" s="272">
        <v>881097</v>
      </c>
      <c r="CF34" s="272">
        <v>3</v>
      </c>
      <c r="CG34" s="272">
        <v>162941</v>
      </c>
      <c r="CH34" s="272">
        <v>3865201</v>
      </c>
      <c r="CI34" s="272">
        <v>3143170</v>
      </c>
      <c r="CJ34" s="455">
        <f t="shared" si="7"/>
        <v>722031</v>
      </c>
      <c r="CK34" s="272">
        <v>2464532</v>
      </c>
      <c r="CL34" s="272">
        <v>1418785</v>
      </c>
      <c r="CM34" s="272">
        <v>175371</v>
      </c>
      <c r="CN34" s="272">
        <v>420961</v>
      </c>
      <c r="CO34" s="272">
        <v>79066</v>
      </c>
      <c r="CP34" s="272">
        <v>936684</v>
      </c>
      <c r="CQ34" s="272">
        <v>461599</v>
      </c>
      <c r="CR34" s="272">
        <v>305352</v>
      </c>
      <c r="CS34" s="272">
        <v>189644</v>
      </c>
      <c r="CT34" s="455">
        <f t="shared" si="8"/>
        <v>7851</v>
      </c>
      <c r="CU34" s="272">
        <v>7851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1329302</v>
      </c>
      <c r="DD34" s="272">
        <v>122898</v>
      </c>
      <c r="DE34" s="272">
        <v>1177026</v>
      </c>
      <c r="DF34" s="26">
        <v>23624</v>
      </c>
      <c r="DG34" s="27">
        <v>23624</v>
      </c>
      <c r="DH34" s="272">
        <v>4219</v>
      </c>
      <c r="DI34" s="272">
        <v>112463</v>
      </c>
      <c r="DJ34" s="272">
        <v>103842</v>
      </c>
      <c r="DK34" s="272">
        <v>1773</v>
      </c>
      <c r="DL34" s="272">
        <v>6848</v>
      </c>
      <c r="DM34" s="272">
        <v>0</v>
      </c>
      <c r="DN34" s="272">
        <v>0</v>
      </c>
      <c r="DO34" s="272">
        <v>0</v>
      </c>
      <c r="DP34" s="272">
        <v>0</v>
      </c>
      <c r="DQ34" s="272">
        <v>2200000</v>
      </c>
      <c r="DR34" s="272">
        <v>0</v>
      </c>
      <c r="DS34" s="272">
        <v>0</v>
      </c>
      <c r="DT34" s="272">
        <v>2053873</v>
      </c>
      <c r="DU34" s="272">
        <v>493000</v>
      </c>
      <c r="DV34" s="455">
        <f t="shared" si="11"/>
        <v>0</v>
      </c>
      <c r="DW34" s="272">
        <v>0</v>
      </c>
      <c r="DX34" s="272"/>
      <c r="DY34" s="272">
        <v>0</v>
      </c>
      <c r="DZ34" s="272">
        <v>611563</v>
      </c>
      <c r="EA34" s="272">
        <v>410956</v>
      </c>
      <c r="EB34" s="272">
        <v>538354</v>
      </c>
      <c r="EC34" s="272">
        <v>0</v>
      </c>
      <c r="ED34" s="272">
        <v>21840642</v>
      </c>
      <c r="EE34" s="89"/>
      <c r="EF34" s="272">
        <v>70716</v>
      </c>
      <c r="EG34" s="272">
        <v>17663</v>
      </c>
      <c r="EH34" s="272">
        <v>53053</v>
      </c>
      <c r="EI34" s="272">
        <v>-54646</v>
      </c>
      <c r="EJ34" s="272">
        <v>56399</v>
      </c>
      <c r="EK34" s="89"/>
      <c r="EL34" s="272"/>
      <c r="EM34" s="272">
        <v>78539</v>
      </c>
      <c r="EN34" s="272">
        <v>316441</v>
      </c>
      <c r="EO34" s="272">
        <v>227944</v>
      </c>
      <c r="EP34" s="455">
        <f t="shared" si="12"/>
        <v>1522386</v>
      </c>
      <c r="EQ34" s="272">
        <v>13849752</v>
      </c>
      <c r="ER34" s="272">
        <v>-2748778</v>
      </c>
      <c r="ES34" s="272">
        <v>4965263</v>
      </c>
      <c r="ET34" s="272">
        <v>3065577</v>
      </c>
      <c r="EU34" s="272">
        <v>1286035</v>
      </c>
      <c r="EV34" s="272">
        <v>3865201</v>
      </c>
      <c r="EW34" s="455">
        <f t="shared" si="13"/>
        <v>329849</v>
      </c>
      <c r="EX34" s="272">
        <v>325630</v>
      </c>
      <c r="EY34" s="272">
        <v>2475</v>
      </c>
      <c r="EZ34" s="272">
        <v>321943</v>
      </c>
      <c r="FA34" s="272">
        <v>4219</v>
      </c>
      <c r="FB34" s="272">
        <v>0</v>
      </c>
      <c r="FC34" s="272">
        <v>2031803</v>
      </c>
      <c r="FD34" s="272">
        <v>849325</v>
      </c>
      <c r="FE34" s="272">
        <v>461599</v>
      </c>
      <c r="FF34" s="272">
        <v>1819794</v>
      </c>
      <c r="FG34" s="455">
        <f t="shared" si="14"/>
        <v>1380544</v>
      </c>
      <c r="FH34" s="272">
        <v>16527814</v>
      </c>
      <c r="FI34" s="384">
        <f t="shared" si="15"/>
        <v>0.4</v>
      </c>
      <c r="FJ34" s="272">
        <v>12868193</v>
      </c>
      <c r="FK34" s="272">
        <v>696677</v>
      </c>
      <c r="FL34" s="272">
        <v>8014093</v>
      </c>
      <c r="FM34" s="272">
        <v>10449334</v>
      </c>
      <c r="FN34" s="460">
        <v>0.745</v>
      </c>
      <c r="FO34" s="388">
        <v>100.2</v>
      </c>
      <c r="FP34" s="388">
        <v>32.799999999999997</v>
      </c>
      <c r="FQ34" s="388">
        <v>9.4</v>
      </c>
      <c r="FR34" s="388">
        <v>28.2</v>
      </c>
      <c r="FS34" s="388">
        <v>13.4</v>
      </c>
      <c r="FT34" s="388">
        <v>5.5</v>
      </c>
      <c r="FU34" s="388">
        <v>10.199999999999999</v>
      </c>
      <c r="FV34" s="384">
        <f t="shared" si="16"/>
        <v>14.7</v>
      </c>
      <c r="FW34" s="272">
        <v>34214755</v>
      </c>
      <c r="FX34" s="384">
        <f t="shared" si="17"/>
        <v>265.89999999999998</v>
      </c>
      <c r="FY34" s="272">
        <v>2639801</v>
      </c>
      <c r="FZ34" s="272">
        <v>689200</v>
      </c>
      <c r="GA34" s="272">
        <v>638543</v>
      </c>
      <c r="GB34" s="272">
        <v>1312058</v>
      </c>
      <c r="GC34" s="272"/>
      <c r="GD34" s="272">
        <v>22270601</v>
      </c>
      <c r="GE34" s="384">
        <f t="shared" si="18"/>
        <v>173.1</v>
      </c>
      <c r="GF34" s="388">
        <v>98.2</v>
      </c>
      <c r="GG34" s="388">
        <v>29.4</v>
      </c>
      <c r="GH34" s="388">
        <v>93.6</v>
      </c>
      <c r="GI34" s="272">
        <v>499</v>
      </c>
      <c r="GJ34" s="461" t="s">
        <v>646</v>
      </c>
      <c r="GK34" s="461">
        <v>12.9</v>
      </c>
      <c r="GL34" s="462">
        <v>20</v>
      </c>
      <c r="GM34" s="461" t="s">
        <v>646</v>
      </c>
      <c r="GN34" s="462">
        <v>17.899999999999999</v>
      </c>
      <c r="GO34" s="462">
        <v>40</v>
      </c>
      <c r="GP34" s="463">
        <v>14.7</v>
      </c>
      <c r="GQ34" s="463">
        <v>25</v>
      </c>
      <c r="GR34" s="463">
        <v>35</v>
      </c>
      <c r="GS34" s="464">
        <v>333.6</v>
      </c>
      <c r="GT34" s="463">
        <v>350</v>
      </c>
      <c r="GU34" s="394"/>
      <c r="GV34" s="394"/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</row>
    <row r="35" spans="2:230" x14ac:dyDescent="0.15">
      <c r="B35" s="89" t="s">
        <v>63</v>
      </c>
      <c r="C35" s="272">
        <v>8093840</v>
      </c>
      <c r="D35" s="455">
        <f t="shared" si="0"/>
        <v>3865137</v>
      </c>
      <c r="E35" s="272">
        <v>76480</v>
      </c>
      <c r="F35" s="272">
        <v>3788657</v>
      </c>
      <c r="G35" s="455">
        <f t="shared" si="1"/>
        <v>566485</v>
      </c>
      <c r="H35" s="272">
        <v>103122</v>
      </c>
      <c r="I35" s="272">
        <v>463363</v>
      </c>
      <c r="J35" s="272">
        <v>2867326</v>
      </c>
      <c r="K35" s="272">
        <v>1190516</v>
      </c>
      <c r="L35" s="272">
        <v>1251288</v>
      </c>
      <c r="M35" s="272">
        <v>390791</v>
      </c>
      <c r="N35" s="272">
        <v>360149</v>
      </c>
      <c r="O35" s="272">
        <v>373918</v>
      </c>
      <c r="P35" s="272">
        <v>210427</v>
      </c>
      <c r="Q35" s="272">
        <v>163491</v>
      </c>
      <c r="R35" s="272">
        <v>142718</v>
      </c>
      <c r="S35" s="272">
        <v>0</v>
      </c>
      <c r="T35" s="455">
        <f t="shared" si="2"/>
        <v>800829</v>
      </c>
      <c r="U35" s="272">
        <v>71893</v>
      </c>
      <c r="V35" s="272">
        <v>63595</v>
      </c>
      <c r="W35" s="272">
        <v>38919</v>
      </c>
      <c r="X35" s="272">
        <v>503529</v>
      </c>
      <c r="Y35" s="272">
        <v>0</v>
      </c>
      <c r="Z35" s="272">
        <v>0</v>
      </c>
      <c r="AA35" s="272">
        <v>122893</v>
      </c>
      <c r="AB35" s="272">
        <v>67577</v>
      </c>
      <c r="AC35" s="272">
        <v>1936112</v>
      </c>
      <c r="AD35" s="272">
        <v>1673989</v>
      </c>
      <c r="AE35" s="272">
        <v>262123</v>
      </c>
      <c r="AF35" s="272">
        <v>13966</v>
      </c>
      <c r="AG35" s="272">
        <v>175759</v>
      </c>
      <c r="AH35" s="455">
        <f t="shared" si="3"/>
        <v>257679</v>
      </c>
      <c r="AI35" s="272">
        <v>214154</v>
      </c>
      <c r="AJ35" s="272">
        <v>43525</v>
      </c>
      <c r="AK35" s="272">
        <v>1476315</v>
      </c>
      <c r="AL35" s="455">
        <f t="shared" si="4"/>
        <v>854340</v>
      </c>
      <c r="AM35" s="272">
        <v>707717</v>
      </c>
      <c r="AN35" s="272">
        <v>146623</v>
      </c>
      <c r="AO35" s="272">
        <v>0</v>
      </c>
      <c r="AP35" s="272">
        <v>0</v>
      </c>
      <c r="AQ35" s="272">
        <v>135918</v>
      </c>
      <c r="AR35" s="272">
        <v>0</v>
      </c>
      <c r="AS35" s="272">
        <v>0</v>
      </c>
      <c r="AT35" s="272">
        <v>887013</v>
      </c>
      <c r="AU35" s="272">
        <v>374800</v>
      </c>
      <c r="AV35" s="272">
        <v>73353</v>
      </c>
      <c r="AW35" s="272">
        <v>0</v>
      </c>
      <c r="AX35" s="272">
        <v>512213</v>
      </c>
      <c r="AY35" s="272">
        <v>23601</v>
      </c>
      <c r="AZ35" s="272">
        <v>19944</v>
      </c>
      <c r="BA35" s="272">
        <v>3791</v>
      </c>
      <c r="BB35" s="272">
        <v>11553</v>
      </c>
      <c r="BC35" s="272">
        <v>1209</v>
      </c>
      <c r="BD35" s="272">
        <v>0</v>
      </c>
      <c r="BE35" s="272">
        <v>0</v>
      </c>
      <c r="BF35" s="272">
        <v>228</v>
      </c>
      <c r="BG35" s="272">
        <v>0</v>
      </c>
      <c r="BH35" s="272">
        <v>50036</v>
      </c>
      <c r="BI35" s="272">
        <v>50036</v>
      </c>
      <c r="BJ35" s="272">
        <v>112428</v>
      </c>
      <c r="BK35" s="272">
        <v>414</v>
      </c>
      <c r="BL35" s="272">
        <v>0</v>
      </c>
      <c r="BM35" s="272">
        <v>0</v>
      </c>
      <c r="BN35" s="272">
        <v>1003300</v>
      </c>
      <c r="BO35" s="455">
        <f t="shared" si="5"/>
        <v>463500</v>
      </c>
      <c r="BP35" s="455">
        <f t="shared" si="6"/>
        <v>539800</v>
      </c>
      <c r="BQ35" s="272"/>
      <c r="BR35" s="272">
        <v>0</v>
      </c>
      <c r="BS35" s="272">
        <v>539800</v>
      </c>
      <c r="BT35" s="272">
        <v>0</v>
      </c>
      <c r="BU35" s="272">
        <v>15050278</v>
      </c>
      <c r="BV35" s="272"/>
      <c r="BW35" s="272">
        <v>4013402</v>
      </c>
      <c r="BX35" s="272">
        <v>2862864</v>
      </c>
      <c r="BY35" s="272">
        <v>278834</v>
      </c>
      <c r="BZ35" s="272">
        <v>177311</v>
      </c>
      <c r="CA35" s="272">
        <v>2659684</v>
      </c>
      <c r="CB35" s="272">
        <v>350151</v>
      </c>
      <c r="CC35" s="272">
        <v>76025</v>
      </c>
      <c r="CD35" s="272">
        <v>1254226</v>
      </c>
      <c r="CE35" s="272">
        <v>926512</v>
      </c>
      <c r="CF35" s="272">
        <v>0</v>
      </c>
      <c r="CG35" s="272">
        <v>52770</v>
      </c>
      <c r="CH35" s="272">
        <v>2295942</v>
      </c>
      <c r="CI35" s="272">
        <v>1876134</v>
      </c>
      <c r="CJ35" s="455">
        <f t="shared" si="7"/>
        <v>419808</v>
      </c>
      <c r="CK35" s="272">
        <v>2132377</v>
      </c>
      <c r="CL35" s="272">
        <v>1432512</v>
      </c>
      <c r="CM35" s="272">
        <v>122390</v>
      </c>
      <c r="CN35" s="272">
        <v>255111</v>
      </c>
      <c r="CO35" s="272">
        <v>20361</v>
      </c>
      <c r="CP35" s="272">
        <v>1055877</v>
      </c>
      <c r="CQ35" s="272">
        <v>459874</v>
      </c>
      <c r="CR35" s="272">
        <v>317321</v>
      </c>
      <c r="CS35" s="272">
        <v>263649</v>
      </c>
      <c r="CT35" s="455">
        <f t="shared" si="8"/>
        <v>7364</v>
      </c>
      <c r="CU35" s="272">
        <v>7364</v>
      </c>
      <c r="CV35" s="272">
        <v>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1011170</v>
      </c>
      <c r="DD35" s="272">
        <v>262632</v>
      </c>
      <c r="DE35" s="272">
        <v>747616</v>
      </c>
      <c r="DF35" s="26">
        <v>922</v>
      </c>
      <c r="DG35" s="27">
        <v>922</v>
      </c>
      <c r="DH35" s="272">
        <v>2412</v>
      </c>
      <c r="DI35" s="272">
        <v>30494</v>
      </c>
      <c r="DJ35" s="272">
        <v>10000</v>
      </c>
      <c r="DK35" s="272">
        <v>100</v>
      </c>
      <c r="DL35" s="272">
        <v>20394</v>
      </c>
      <c r="DM35" s="272">
        <v>0</v>
      </c>
      <c r="DN35" s="272">
        <v>0</v>
      </c>
      <c r="DO35" s="272">
        <v>0</v>
      </c>
      <c r="DP35" s="272">
        <v>0</v>
      </c>
      <c r="DQ35" s="272">
        <v>144</v>
      </c>
      <c r="DR35" s="272">
        <v>0</v>
      </c>
      <c r="DS35" s="272">
        <v>0</v>
      </c>
      <c r="DT35" s="272">
        <v>1470367</v>
      </c>
      <c r="DU35" s="272">
        <v>338883</v>
      </c>
      <c r="DV35" s="455">
        <f t="shared" si="11"/>
        <v>0</v>
      </c>
      <c r="DW35" s="272">
        <v>0</v>
      </c>
      <c r="DX35" s="272"/>
      <c r="DY35" s="272">
        <v>0</v>
      </c>
      <c r="DZ35" s="272">
        <v>392282</v>
      </c>
      <c r="EA35" s="272">
        <v>298367</v>
      </c>
      <c r="EB35" s="272">
        <v>440835</v>
      </c>
      <c r="EC35" s="272">
        <v>0</v>
      </c>
      <c r="ED35" s="272">
        <v>14692230</v>
      </c>
      <c r="EE35" s="89"/>
      <c r="EF35" s="272">
        <v>358048</v>
      </c>
      <c r="EG35" s="272">
        <v>25359</v>
      </c>
      <c r="EH35" s="272">
        <v>332689</v>
      </c>
      <c r="EI35" s="272">
        <v>282653</v>
      </c>
      <c r="EJ35" s="272">
        <v>292653</v>
      </c>
      <c r="EK35" s="89"/>
      <c r="EL35" s="272"/>
      <c r="EM35" s="272">
        <v>57802</v>
      </c>
      <c r="EN35" s="272">
        <v>981</v>
      </c>
      <c r="EO35" s="272">
        <v>9125</v>
      </c>
      <c r="EP35" s="455">
        <f t="shared" si="12"/>
        <v>207971</v>
      </c>
      <c r="EQ35" s="272">
        <v>11055042</v>
      </c>
      <c r="ER35" s="272">
        <v>-743911</v>
      </c>
      <c r="ES35" s="272">
        <v>3727201</v>
      </c>
      <c r="ET35" s="272">
        <v>2596107</v>
      </c>
      <c r="EU35" s="272">
        <v>887936</v>
      </c>
      <c r="EV35" s="272">
        <v>2295942</v>
      </c>
      <c r="EW35" s="455">
        <f t="shared" si="13"/>
        <v>389781</v>
      </c>
      <c r="EX35" s="272">
        <v>389059</v>
      </c>
      <c r="EY35" s="272">
        <v>34314</v>
      </c>
      <c r="EZ35" s="272">
        <v>353915</v>
      </c>
      <c r="FA35" s="272">
        <v>722</v>
      </c>
      <c r="FB35" s="272">
        <v>0</v>
      </c>
      <c r="FC35" s="272">
        <v>1827308</v>
      </c>
      <c r="FD35" s="272">
        <v>993910</v>
      </c>
      <c r="FE35" s="272">
        <v>459874</v>
      </c>
      <c r="FF35" s="272">
        <v>1277544</v>
      </c>
      <c r="FG35" s="455">
        <f t="shared" si="14"/>
        <v>41283</v>
      </c>
      <c r="FH35" s="272">
        <v>11440905</v>
      </c>
      <c r="FI35" s="384">
        <f t="shared" si="15"/>
        <v>3.2</v>
      </c>
      <c r="FJ35" s="272">
        <v>10442372</v>
      </c>
      <c r="FK35" s="272">
        <v>539820</v>
      </c>
      <c r="FL35" s="272">
        <v>6647195</v>
      </c>
      <c r="FM35" s="272">
        <v>8333349</v>
      </c>
      <c r="FN35" s="460">
        <v>0.78600000000000003</v>
      </c>
      <c r="FO35" s="388">
        <v>96.5</v>
      </c>
      <c r="FP35" s="388">
        <v>32.5</v>
      </c>
      <c r="FQ35" s="388">
        <v>8.1</v>
      </c>
      <c r="FR35" s="388">
        <v>20.8</v>
      </c>
      <c r="FS35" s="388">
        <v>16</v>
      </c>
      <c r="FT35" s="388">
        <v>8.6</v>
      </c>
      <c r="FU35" s="388">
        <v>10.3</v>
      </c>
      <c r="FV35" s="384">
        <f t="shared" si="16"/>
        <v>11.9</v>
      </c>
      <c r="FW35" s="272">
        <v>20051642</v>
      </c>
      <c r="FX35" s="384">
        <f t="shared" si="17"/>
        <v>192</v>
      </c>
      <c r="FY35" s="272">
        <v>2860903</v>
      </c>
      <c r="FZ35" s="272">
        <v>1938000</v>
      </c>
      <c r="GA35" s="272">
        <v>36328</v>
      </c>
      <c r="GB35" s="272">
        <v>886575</v>
      </c>
      <c r="GC35" s="272"/>
      <c r="GD35" s="272">
        <v>995058</v>
      </c>
      <c r="GE35" s="384">
        <f t="shared" si="18"/>
        <v>9.5</v>
      </c>
      <c r="GF35" s="388">
        <v>97.7</v>
      </c>
      <c r="GG35" s="388">
        <v>23.9</v>
      </c>
      <c r="GH35" s="388">
        <v>92.3</v>
      </c>
      <c r="GI35" s="272">
        <v>387</v>
      </c>
      <c r="GJ35" s="461" t="s">
        <v>646</v>
      </c>
      <c r="GK35" s="461">
        <v>13.18</v>
      </c>
      <c r="GL35" s="462">
        <v>20</v>
      </c>
      <c r="GM35" s="461" t="s">
        <v>646</v>
      </c>
      <c r="GN35" s="462">
        <v>18.18</v>
      </c>
      <c r="GO35" s="462">
        <v>40</v>
      </c>
      <c r="GP35" s="463">
        <v>11.9</v>
      </c>
      <c r="GQ35" s="463">
        <v>25</v>
      </c>
      <c r="GR35" s="463">
        <v>35</v>
      </c>
      <c r="GS35" s="464">
        <v>77.8</v>
      </c>
      <c r="GT35" s="463">
        <v>350</v>
      </c>
      <c r="GU35" s="394"/>
      <c r="GV35" s="394"/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</row>
    <row r="36" spans="2:230" x14ac:dyDescent="0.15">
      <c r="B36" s="89" t="s">
        <v>65</v>
      </c>
      <c r="C36" s="272">
        <v>5829906</v>
      </c>
      <c r="D36" s="455">
        <f t="shared" si="0"/>
        <v>2728332</v>
      </c>
      <c r="E36" s="272">
        <v>81842</v>
      </c>
      <c r="F36" s="272">
        <v>2646490</v>
      </c>
      <c r="G36" s="455">
        <f t="shared" si="1"/>
        <v>173044</v>
      </c>
      <c r="H36" s="272">
        <v>66754</v>
      </c>
      <c r="I36" s="272">
        <v>106290</v>
      </c>
      <c r="J36" s="272">
        <v>2068496</v>
      </c>
      <c r="K36" s="272">
        <v>784829</v>
      </c>
      <c r="L36" s="272">
        <v>1010041</v>
      </c>
      <c r="M36" s="272">
        <v>226161</v>
      </c>
      <c r="N36" s="272">
        <v>281467</v>
      </c>
      <c r="O36" s="272">
        <v>424614</v>
      </c>
      <c r="P36" s="272">
        <v>215366</v>
      </c>
      <c r="Q36" s="272">
        <v>209248</v>
      </c>
      <c r="R36" s="272">
        <v>155513</v>
      </c>
      <c r="S36" s="272">
        <v>0</v>
      </c>
      <c r="T36" s="455">
        <f t="shared" si="2"/>
        <v>701032</v>
      </c>
      <c r="U36" s="272">
        <v>50804</v>
      </c>
      <c r="V36" s="272">
        <v>44984</v>
      </c>
      <c r="W36" s="272">
        <v>27363</v>
      </c>
      <c r="X36" s="272">
        <v>441031</v>
      </c>
      <c r="Y36" s="272">
        <v>2938</v>
      </c>
      <c r="Z36" s="272">
        <v>0</v>
      </c>
      <c r="AA36" s="272">
        <v>133912</v>
      </c>
      <c r="AB36" s="272">
        <v>34818</v>
      </c>
      <c r="AC36" s="272">
        <v>3392277</v>
      </c>
      <c r="AD36" s="272">
        <v>3129204</v>
      </c>
      <c r="AE36" s="272">
        <v>263073</v>
      </c>
      <c r="AF36" s="272">
        <v>12272</v>
      </c>
      <c r="AG36" s="272">
        <v>117097</v>
      </c>
      <c r="AH36" s="455">
        <f t="shared" si="3"/>
        <v>299364</v>
      </c>
      <c r="AI36" s="272">
        <v>258595</v>
      </c>
      <c r="AJ36" s="272">
        <v>40769</v>
      </c>
      <c r="AK36" s="272">
        <v>1361060</v>
      </c>
      <c r="AL36" s="455">
        <f t="shared" si="4"/>
        <v>1006354</v>
      </c>
      <c r="AM36" s="272">
        <v>631964</v>
      </c>
      <c r="AN36" s="272">
        <v>374390</v>
      </c>
      <c r="AO36" s="272">
        <v>0</v>
      </c>
      <c r="AP36" s="272">
        <v>0</v>
      </c>
      <c r="AQ36" s="272">
        <v>66296</v>
      </c>
      <c r="AR36" s="272">
        <v>0</v>
      </c>
      <c r="AS36" s="272">
        <v>0</v>
      </c>
      <c r="AT36" s="272">
        <v>919952</v>
      </c>
      <c r="AU36" s="272">
        <v>374721</v>
      </c>
      <c r="AV36" s="272">
        <v>54309</v>
      </c>
      <c r="AW36" s="272">
        <v>460</v>
      </c>
      <c r="AX36" s="272">
        <v>545231</v>
      </c>
      <c r="AY36" s="272">
        <v>26462</v>
      </c>
      <c r="AZ36" s="272">
        <v>11324</v>
      </c>
      <c r="BA36" s="272">
        <v>1482</v>
      </c>
      <c r="BB36" s="272">
        <v>6988</v>
      </c>
      <c r="BC36" s="272">
        <v>19398</v>
      </c>
      <c r="BD36" s="272">
        <v>0</v>
      </c>
      <c r="BE36" s="272">
        <v>0</v>
      </c>
      <c r="BF36" s="272">
        <v>18323</v>
      </c>
      <c r="BG36" s="272">
        <v>0</v>
      </c>
      <c r="BH36" s="272">
        <v>403092</v>
      </c>
      <c r="BI36" s="272">
        <v>126110</v>
      </c>
      <c r="BJ36" s="272">
        <v>383329</v>
      </c>
      <c r="BK36" s="272">
        <v>50324</v>
      </c>
      <c r="BL36" s="272">
        <v>0</v>
      </c>
      <c r="BM36" s="272">
        <v>0</v>
      </c>
      <c r="BN36" s="272">
        <v>1098577</v>
      </c>
      <c r="BO36" s="455">
        <f t="shared" si="5"/>
        <v>253300</v>
      </c>
      <c r="BP36" s="455">
        <f t="shared" si="6"/>
        <v>518377</v>
      </c>
      <c r="BQ36" s="272"/>
      <c r="BR36" s="272">
        <v>0</v>
      </c>
      <c r="BS36" s="272">
        <v>518377</v>
      </c>
      <c r="BT36" s="272">
        <v>326900</v>
      </c>
      <c r="BU36" s="272">
        <v>14745999</v>
      </c>
      <c r="BV36" s="272"/>
      <c r="BW36" s="272">
        <v>3628296</v>
      </c>
      <c r="BX36" s="272">
        <v>2457784</v>
      </c>
      <c r="BY36" s="272">
        <v>495408</v>
      </c>
      <c r="BZ36" s="272">
        <v>24775</v>
      </c>
      <c r="CA36" s="272">
        <v>2519547</v>
      </c>
      <c r="CB36" s="272">
        <v>468921</v>
      </c>
      <c r="CC36" s="272">
        <v>86946</v>
      </c>
      <c r="CD36" s="272">
        <v>1083354</v>
      </c>
      <c r="CE36" s="272">
        <v>805706</v>
      </c>
      <c r="CF36" s="272">
        <v>3343</v>
      </c>
      <c r="CG36" s="272">
        <v>71277</v>
      </c>
      <c r="CH36" s="272">
        <v>1565251</v>
      </c>
      <c r="CI36" s="272">
        <v>1188294</v>
      </c>
      <c r="CJ36" s="455">
        <f t="shared" si="7"/>
        <v>376957</v>
      </c>
      <c r="CK36" s="272">
        <v>1969177</v>
      </c>
      <c r="CL36" s="272">
        <v>990071</v>
      </c>
      <c r="CM36" s="272">
        <v>334103</v>
      </c>
      <c r="CN36" s="272">
        <v>400300</v>
      </c>
      <c r="CO36" s="272">
        <v>100031</v>
      </c>
      <c r="CP36" s="272">
        <v>1910827</v>
      </c>
      <c r="CQ36" s="272">
        <v>1041003</v>
      </c>
      <c r="CR36" s="272">
        <v>220108</v>
      </c>
      <c r="CS36" s="272">
        <v>220108</v>
      </c>
      <c r="CT36" s="455">
        <f t="shared" si="8"/>
        <v>418863</v>
      </c>
      <c r="CU36" s="272">
        <v>104896</v>
      </c>
      <c r="CV36" s="272">
        <v>313967</v>
      </c>
      <c r="CW36" s="455">
        <f t="shared" si="9"/>
        <v>391000</v>
      </c>
      <c r="CX36" s="272">
        <v>99733</v>
      </c>
      <c r="CY36" s="272">
        <v>291267</v>
      </c>
      <c r="CZ36" s="455">
        <f t="shared" si="10"/>
        <v>0</v>
      </c>
      <c r="DA36" s="272">
        <v>0</v>
      </c>
      <c r="DB36" s="272">
        <v>0</v>
      </c>
      <c r="DC36" s="272">
        <v>824918</v>
      </c>
      <c r="DD36" s="272">
        <v>112938</v>
      </c>
      <c r="DE36" s="272">
        <v>692008</v>
      </c>
      <c r="DF36" s="26">
        <v>19972</v>
      </c>
      <c r="DG36" s="27">
        <v>19972</v>
      </c>
      <c r="DH36" s="272">
        <v>0</v>
      </c>
      <c r="DI36" s="272">
        <v>246189</v>
      </c>
      <c r="DJ36" s="272">
        <v>60212</v>
      </c>
      <c r="DK36" s="272">
        <v>1040</v>
      </c>
      <c r="DL36" s="272">
        <v>184937</v>
      </c>
      <c r="DM36" s="272">
        <v>5700</v>
      </c>
      <c r="DN36" s="272">
        <v>5700</v>
      </c>
      <c r="DO36" s="272">
        <v>5700</v>
      </c>
      <c r="DP36" s="272">
        <v>0</v>
      </c>
      <c r="DQ36" s="272">
        <v>9000</v>
      </c>
      <c r="DR36" s="272">
        <v>0</v>
      </c>
      <c r="DS36" s="272">
        <v>0</v>
      </c>
      <c r="DT36" s="272">
        <v>1811899</v>
      </c>
      <c r="DU36" s="272">
        <v>584379</v>
      </c>
      <c r="DV36" s="455">
        <f t="shared" si="11"/>
        <v>0</v>
      </c>
      <c r="DW36" s="272">
        <v>0</v>
      </c>
      <c r="DX36" s="272"/>
      <c r="DY36" s="272">
        <v>0</v>
      </c>
      <c r="DZ36" s="272">
        <v>432443</v>
      </c>
      <c r="EA36" s="272">
        <v>371078</v>
      </c>
      <c r="EB36" s="272">
        <v>423980</v>
      </c>
      <c r="EC36" s="272">
        <v>0</v>
      </c>
      <c r="ED36" s="272">
        <v>14590835</v>
      </c>
      <c r="EE36" s="89"/>
      <c r="EF36" s="272">
        <v>155164</v>
      </c>
      <c r="EG36" s="272">
        <v>0</v>
      </c>
      <c r="EH36" s="272">
        <v>155164</v>
      </c>
      <c r="EI36" s="272">
        <v>29054</v>
      </c>
      <c r="EJ36" s="272">
        <v>89355</v>
      </c>
      <c r="EK36" s="89"/>
      <c r="EL36" s="272"/>
      <c r="EM36" s="272">
        <v>58415</v>
      </c>
      <c r="EN36" s="272">
        <v>1075</v>
      </c>
      <c r="EO36" s="272">
        <v>5108</v>
      </c>
      <c r="EP36" s="455">
        <f t="shared" si="12"/>
        <v>263577</v>
      </c>
      <c r="EQ36" s="272">
        <v>10125818</v>
      </c>
      <c r="ER36" s="272">
        <v>-775865</v>
      </c>
      <c r="ES36" s="272">
        <v>2984664</v>
      </c>
      <c r="ET36" s="272">
        <v>2146862</v>
      </c>
      <c r="EU36" s="272">
        <v>805011</v>
      </c>
      <c r="EV36" s="272">
        <v>1565251</v>
      </c>
      <c r="EW36" s="455">
        <f t="shared" si="13"/>
        <v>170922</v>
      </c>
      <c r="EX36" s="272">
        <v>170922</v>
      </c>
      <c r="EY36" s="272">
        <v>23788</v>
      </c>
      <c r="EZ36" s="272">
        <v>147048</v>
      </c>
      <c r="FA36" s="272">
        <v>0</v>
      </c>
      <c r="FB36" s="272">
        <v>0</v>
      </c>
      <c r="FC36" s="272">
        <v>1637181</v>
      </c>
      <c r="FD36" s="272">
        <v>1805723</v>
      </c>
      <c r="FE36" s="272">
        <v>1041003</v>
      </c>
      <c r="FF36" s="272">
        <v>1601454</v>
      </c>
      <c r="FG36" s="455">
        <f t="shared" si="14"/>
        <v>176313</v>
      </c>
      <c r="FH36" s="272">
        <v>10746519</v>
      </c>
      <c r="FI36" s="384">
        <f t="shared" si="15"/>
        <v>1.6</v>
      </c>
      <c r="FJ36" s="272">
        <v>9517340</v>
      </c>
      <c r="FK36" s="272">
        <v>518377</v>
      </c>
      <c r="FL36" s="272">
        <v>4937216</v>
      </c>
      <c r="FM36" s="272">
        <v>8080239</v>
      </c>
      <c r="FN36" s="460">
        <v>0.60399999999999998</v>
      </c>
      <c r="FO36" s="388">
        <v>95.3</v>
      </c>
      <c r="FP36" s="388">
        <v>28.7</v>
      </c>
      <c r="FQ36" s="388">
        <v>8</v>
      </c>
      <c r="FR36" s="388">
        <v>15.6</v>
      </c>
      <c r="FS36" s="388">
        <v>15.5</v>
      </c>
      <c r="FT36" s="388">
        <v>13.7</v>
      </c>
      <c r="FU36" s="388">
        <v>12.7</v>
      </c>
      <c r="FV36" s="384">
        <f t="shared" si="16"/>
        <v>10.7</v>
      </c>
      <c r="FW36" s="272">
        <v>15232315</v>
      </c>
      <c r="FX36" s="384">
        <f t="shared" si="17"/>
        <v>160</v>
      </c>
      <c r="FY36" s="272">
        <v>2384937</v>
      </c>
      <c r="FZ36" s="272">
        <v>1159264</v>
      </c>
      <c r="GA36" s="272">
        <v>429510</v>
      </c>
      <c r="GB36" s="272">
        <v>796163</v>
      </c>
      <c r="GC36" s="272">
        <v>300000</v>
      </c>
      <c r="GD36" s="272">
        <v>923010</v>
      </c>
      <c r="GE36" s="384">
        <f t="shared" si="18"/>
        <v>9.6999999999999993</v>
      </c>
      <c r="GF36" s="388">
        <v>95.6</v>
      </c>
      <c r="GG36" s="388">
        <v>18.5</v>
      </c>
      <c r="GH36" s="388">
        <v>89.1</v>
      </c>
      <c r="GI36" s="272">
        <v>382</v>
      </c>
      <c r="GJ36" s="461" t="s">
        <v>646</v>
      </c>
      <c r="GK36" s="461">
        <v>13.33</v>
      </c>
      <c r="GL36" s="462">
        <v>20</v>
      </c>
      <c r="GM36" s="461">
        <v>14.21</v>
      </c>
      <c r="GN36" s="462">
        <v>18.329999999999998</v>
      </c>
      <c r="GO36" s="462">
        <v>40</v>
      </c>
      <c r="GP36" s="463">
        <v>10.7</v>
      </c>
      <c r="GQ36" s="463">
        <v>25</v>
      </c>
      <c r="GR36" s="463">
        <v>35</v>
      </c>
      <c r="GS36" s="464">
        <v>103.3</v>
      </c>
      <c r="GT36" s="463">
        <v>350</v>
      </c>
      <c r="GU36" s="394"/>
      <c r="GV36" s="394"/>
      <c r="GW36" s="394"/>
      <c r="GX36" s="394"/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</row>
    <row r="37" spans="2:230" x14ac:dyDescent="0.15">
      <c r="B37" s="89" t="s">
        <v>67</v>
      </c>
      <c r="C37" s="272">
        <v>781115690</v>
      </c>
      <c r="D37" s="455">
        <f t="shared" si="0"/>
        <v>295318769</v>
      </c>
      <c r="E37" s="272">
        <v>6626437</v>
      </c>
      <c r="F37" s="272">
        <v>288692332</v>
      </c>
      <c r="G37" s="455">
        <f t="shared" si="1"/>
        <v>70740037</v>
      </c>
      <c r="H37" s="272">
        <v>12966012</v>
      </c>
      <c r="I37" s="272">
        <v>57774025</v>
      </c>
      <c r="J37" s="272">
        <v>306449154</v>
      </c>
      <c r="K37" s="272">
        <v>134433187</v>
      </c>
      <c r="L37" s="272">
        <v>123435750</v>
      </c>
      <c r="M37" s="272">
        <v>42953787</v>
      </c>
      <c r="N37" s="272">
        <v>33155230</v>
      </c>
      <c r="O37" s="272">
        <v>63577090</v>
      </c>
      <c r="P37" s="272">
        <v>36680791</v>
      </c>
      <c r="Q37" s="272">
        <v>26896299</v>
      </c>
      <c r="R37" s="272">
        <v>13462630</v>
      </c>
      <c r="S37" s="272">
        <v>0</v>
      </c>
      <c r="T37" s="455">
        <f t="shared" si="2"/>
        <v>70836455</v>
      </c>
      <c r="U37" s="272">
        <v>5475358</v>
      </c>
      <c r="V37" s="272">
        <v>4841188</v>
      </c>
      <c r="W37" s="272">
        <v>2971624</v>
      </c>
      <c r="X37" s="272">
        <v>47263370</v>
      </c>
      <c r="Y37" s="272">
        <v>822135</v>
      </c>
      <c r="Z37" s="272">
        <v>0</v>
      </c>
      <c r="AA37" s="272">
        <v>9462780</v>
      </c>
      <c r="AB37" s="272">
        <v>5266382</v>
      </c>
      <c r="AC37" s="272">
        <v>133037400</v>
      </c>
      <c r="AD37" s="272">
        <v>123194655</v>
      </c>
      <c r="AE37" s="272">
        <v>9842745</v>
      </c>
      <c r="AF37" s="272">
        <v>1043128</v>
      </c>
      <c r="AG37" s="272">
        <v>18162235</v>
      </c>
      <c r="AH37" s="455">
        <f t="shared" si="3"/>
        <v>35575894</v>
      </c>
      <c r="AI37" s="272">
        <v>28141195</v>
      </c>
      <c r="AJ37" s="272">
        <v>7434699</v>
      </c>
      <c r="AK37" s="272">
        <v>202565334</v>
      </c>
      <c r="AL37" s="455">
        <f t="shared" si="4"/>
        <v>127808921</v>
      </c>
      <c r="AM37" s="272">
        <v>111017566</v>
      </c>
      <c r="AN37" s="272">
        <v>16790102</v>
      </c>
      <c r="AO37" s="272">
        <v>0</v>
      </c>
      <c r="AP37" s="272">
        <v>1253</v>
      </c>
      <c r="AQ37" s="272">
        <v>17766742</v>
      </c>
      <c r="AR37" s="272">
        <v>13023</v>
      </c>
      <c r="AS37" s="272">
        <v>318187</v>
      </c>
      <c r="AT37" s="272">
        <v>86160827</v>
      </c>
      <c r="AU37" s="272">
        <v>39207647</v>
      </c>
      <c r="AV37" s="272">
        <v>5662907</v>
      </c>
      <c r="AW37" s="272">
        <v>950479</v>
      </c>
      <c r="AX37" s="272">
        <v>46953180</v>
      </c>
      <c r="AY37" s="272">
        <v>1592301</v>
      </c>
      <c r="AZ37" s="272">
        <v>10361569</v>
      </c>
      <c r="BA37" s="272">
        <v>8685584</v>
      </c>
      <c r="BB37" s="272">
        <v>883919</v>
      </c>
      <c r="BC37" s="272">
        <v>37757184</v>
      </c>
      <c r="BD37" s="272">
        <v>8495393</v>
      </c>
      <c r="BE37" s="272">
        <v>2141867</v>
      </c>
      <c r="BF37" s="272">
        <v>20555640</v>
      </c>
      <c r="BG37" s="272">
        <v>3652087</v>
      </c>
      <c r="BH37" s="272">
        <v>10611873</v>
      </c>
      <c r="BI37" s="272">
        <v>7534595</v>
      </c>
      <c r="BJ37" s="272">
        <v>47650773</v>
      </c>
      <c r="BK37" s="272">
        <v>29409067</v>
      </c>
      <c r="BL37" s="272">
        <v>175058</v>
      </c>
      <c r="BM37" s="272">
        <v>1721279</v>
      </c>
      <c r="BN37" s="272">
        <v>111319503</v>
      </c>
      <c r="BO37" s="455">
        <f t="shared" si="5"/>
        <v>56442400</v>
      </c>
      <c r="BP37" s="455">
        <f t="shared" si="6"/>
        <v>41730103</v>
      </c>
      <c r="BQ37" s="272"/>
      <c r="BR37" s="272">
        <v>566900</v>
      </c>
      <c r="BS37" s="272">
        <v>41163203</v>
      </c>
      <c r="BT37" s="272">
        <v>13147000</v>
      </c>
      <c r="BU37" s="272">
        <v>1566128983</v>
      </c>
      <c r="BV37" s="272"/>
      <c r="BW37" s="272">
        <v>370544797</v>
      </c>
      <c r="BX37" s="272">
        <v>243288074</v>
      </c>
      <c r="BY37" s="272">
        <v>56111301</v>
      </c>
      <c r="BZ37" s="272">
        <v>17427095</v>
      </c>
      <c r="CA37" s="272">
        <v>340143006</v>
      </c>
      <c r="CB37" s="272">
        <v>49632967</v>
      </c>
      <c r="CC37" s="272">
        <v>9866238</v>
      </c>
      <c r="CD37" s="272">
        <v>119883141</v>
      </c>
      <c r="CE37" s="272">
        <v>149035620</v>
      </c>
      <c r="CF37" s="272">
        <v>5583826</v>
      </c>
      <c r="CG37" s="272">
        <v>6126075</v>
      </c>
      <c r="CH37" s="272">
        <v>168410339</v>
      </c>
      <c r="CI37" s="272">
        <v>137218435</v>
      </c>
      <c r="CJ37" s="455">
        <f t="shared" si="7"/>
        <v>31191904</v>
      </c>
      <c r="CK37" s="272">
        <v>181610968</v>
      </c>
      <c r="CL37" s="272">
        <v>105787203</v>
      </c>
      <c r="CM37" s="272">
        <v>12413064</v>
      </c>
      <c r="CN37" s="272">
        <v>33669463</v>
      </c>
      <c r="CO37" s="272">
        <v>12533429</v>
      </c>
      <c r="CP37" s="272">
        <v>118766840</v>
      </c>
      <c r="CQ37" s="272">
        <v>39998861</v>
      </c>
      <c r="CR37" s="272">
        <v>34997115</v>
      </c>
      <c r="CS37" s="272">
        <v>26162455</v>
      </c>
      <c r="CT37" s="455">
        <f t="shared" si="8"/>
        <v>19876138</v>
      </c>
      <c r="CU37" s="272">
        <v>13451217</v>
      </c>
      <c r="CV37" s="272">
        <v>6424921</v>
      </c>
      <c r="CW37" s="455">
        <f t="shared" si="9"/>
        <v>13811214</v>
      </c>
      <c r="CX37" s="272">
        <v>10644530</v>
      </c>
      <c r="CY37" s="272">
        <v>3166684</v>
      </c>
      <c r="CZ37" s="455">
        <f t="shared" si="10"/>
        <v>3527421</v>
      </c>
      <c r="DA37" s="272">
        <v>2064846</v>
      </c>
      <c r="DB37" s="272">
        <v>1462575</v>
      </c>
      <c r="DC37" s="272">
        <v>119851019</v>
      </c>
      <c r="DD37" s="272">
        <v>37576168</v>
      </c>
      <c r="DE37" s="272">
        <v>77746284</v>
      </c>
      <c r="DF37" s="26">
        <v>2905029</v>
      </c>
      <c r="DG37" s="27">
        <v>2905029</v>
      </c>
      <c r="DH37" s="272">
        <v>159102</v>
      </c>
      <c r="DI37" s="272">
        <v>15372451</v>
      </c>
      <c r="DJ37" s="272">
        <v>4987087</v>
      </c>
      <c r="DK37" s="272">
        <v>482676</v>
      </c>
      <c r="DL37" s="272">
        <v>9902688</v>
      </c>
      <c r="DM37" s="272">
        <v>2342978</v>
      </c>
      <c r="DN37" s="272">
        <v>2192578</v>
      </c>
      <c r="DO37" s="272">
        <v>123152</v>
      </c>
      <c r="DP37" s="272">
        <v>2068188</v>
      </c>
      <c r="DQ37" s="272">
        <v>36521689</v>
      </c>
      <c r="DR37" s="272">
        <v>36000</v>
      </c>
      <c r="DS37" s="272">
        <v>20000</v>
      </c>
      <c r="DT37" s="272">
        <v>189606663</v>
      </c>
      <c r="DU37" s="272">
        <v>67996760</v>
      </c>
      <c r="DV37" s="455">
        <f t="shared" si="11"/>
        <v>624431</v>
      </c>
      <c r="DW37" s="272">
        <v>624431</v>
      </c>
      <c r="DX37" s="272"/>
      <c r="DY37" s="272">
        <v>378961</v>
      </c>
      <c r="DZ37" s="272">
        <v>52492505</v>
      </c>
      <c r="EA37" s="272">
        <v>29209707</v>
      </c>
      <c r="EB37" s="272">
        <v>36385516</v>
      </c>
      <c r="EC37" s="272">
        <v>3137904</v>
      </c>
      <c r="ED37" s="272">
        <v>1559001185</v>
      </c>
      <c r="EE37" s="89"/>
      <c r="EF37" s="272">
        <v>7127798</v>
      </c>
      <c r="EG37" s="272">
        <v>4493902</v>
      </c>
      <c r="EH37" s="272">
        <v>2633896</v>
      </c>
      <c r="EI37" s="272">
        <v>-2752766</v>
      </c>
      <c r="EJ37" s="272">
        <v>-3890715</v>
      </c>
      <c r="EK37" s="89"/>
      <c r="EL37" s="272"/>
      <c r="EM37" s="272">
        <v>5127186</v>
      </c>
      <c r="EN37" s="272">
        <v>22484602</v>
      </c>
      <c r="EO37" s="272">
        <v>4982934</v>
      </c>
      <c r="EP37" s="455">
        <f t="shared" si="12"/>
        <v>34485649</v>
      </c>
      <c r="EQ37" s="272">
        <v>1005079872</v>
      </c>
      <c r="ER37" s="272">
        <v>-102321973</v>
      </c>
      <c r="ES37" s="272">
        <v>330744451</v>
      </c>
      <c r="ET37" s="272">
        <v>220278152</v>
      </c>
      <c r="EU37" s="272">
        <v>113277383</v>
      </c>
      <c r="EV37" s="272">
        <v>163902740</v>
      </c>
      <c r="EW37" s="455">
        <f t="shared" si="13"/>
        <v>36949287</v>
      </c>
      <c r="EX37" s="272">
        <v>36828110</v>
      </c>
      <c r="EY37" s="272">
        <v>3450528</v>
      </c>
      <c r="EZ37" s="272">
        <v>33083462</v>
      </c>
      <c r="FA37" s="272">
        <v>121177</v>
      </c>
      <c r="FB37" s="272">
        <v>0</v>
      </c>
      <c r="FC37" s="272">
        <v>146919820</v>
      </c>
      <c r="FD37" s="272">
        <v>107592123</v>
      </c>
      <c r="FE37" s="272">
        <v>38969861</v>
      </c>
      <c r="FF37" s="272">
        <v>168983185</v>
      </c>
      <c r="FG37" s="455">
        <f t="shared" si="14"/>
        <v>32029094</v>
      </c>
      <c r="FH37" s="272">
        <v>1100398083</v>
      </c>
      <c r="FI37" s="384">
        <f t="shared" si="15"/>
        <v>0.3</v>
      </c>
      <c r="FJ37" s="272">
        <v>931978286</v>
      </c>
      <c r="FK37" s="272">
        <v>42011664</v>
      </c>
      <c r="FL37" s="272">
        <v>617328116</v>
      </c>
      <c r="FM37" s="272">
        <v>731518414</v>
      </c>
      <c r="FN37" s="460">
        <v>0.83</v>
      </c>
      <c r="FO37" s="388">
        <v>98.5</v>
      </c>
      <c r="FP37" s="388">
        <v>32.6</v>
      </c>
      <c r="FQ37" s="388">
        <v>11.5</v>
      </c>
      <c r="FR37" s="388">
        <v>16.399999999999999</v>
      </c>
      <c r="FS37" s="388">
        <v>13.8</v>
      </c>
      <c r="FT37" s="388">
        <v>9.1999999999999993</v>
      </c>
      <c r="FU37" s="388">
        <v>13.9</v>
      </c>
      <c r="FV37" s="384">
        <f t="shared" si="16"/>
        <v>7.3</v>
      </c>
      <c r="FW37" s="272">
        <v>1499042924</v>
      </c>
      <c r="FX37" s="384">
        <f t="shared" si="17"/>
        <v>160.80000000000001</v>
      </c>
      <c r="FY37" s="272">
        <v>238522452</v>
      </c>
      <c r="FZ37" s="272">
        <v>70848337</v>
      </c>
      <c r="GA37" s="272">
        <v>19272596</v>
      </c>
      <c r="GB37" s="272">
        <v>148401519</v>
      </c>
      <c r="GC37" s="272">
        <f>SUM(GC6:GC36)</f>
        <v>17742677</v>
      </c>
      <c r="GD37" s="272">
        <v>193739481</v>
      </c>
      <c r="GE37" s="384">
        <f t="shared" si="18"/>
        <v>20.8</v>
      </c>
      <c r="GF37" s="388">
        <v>98</v>
      </c>
      <c r="GG37" s="388">
        <v>23.4</v>
      </c>
      <c r="GH37" s="388">
        <v>93.7</v>
      </c>
      <c r="GI37" s="272">
        <v>33655</v>
      </c>
      <c r="GJ37" s="461" t="s">
        <v>646</v>
      </c>
      <c r="GK37" s="461" t="s">
        <v>646</v>
      </c>
      <c r="GL37" s="461" t="s">
        <v>646</v>
      </c>
      <c r="GM37" s="461" t="s">
        <v>646</v>
      </c>
      <c r="GN37" s="461" t="s">
        <v>646</v>
      </c>
      <c r="GO37" s="461" t="s">
        <v>646</v>
      </c>
      <c r="GP37" s="463">
        <v>7.3</v>
      </c>
      <c r="GQ37" s="464" t="s">
        <v>646</v>
      </c>
      <c r="GR37" s="464" t="s">
        <v>646</v>
      </c>
      <c r="GS37" s="464">
        <v>91.7</v>
      </c>
      <c r="GT37" s="464" t="s">
        <v>646</v>
      </c>
      <c r="GU37" s="394"/>
      <c r="GV37" s="394"/>
      <c r="GW37" s="394"/>
      <c r="GX37" s="394"/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</row>
    <row r="38" spans="2:230" x14ac:dyDescent="0.15">
      <c r="B38" s="89" t="s">
        <v>69</v>
      </c>
      <c r="C38" s="272">
        <v>4783686</v>
      </c>
      <c r="D38" s="455">
        <f t="shared" si="0"/>
        <v>1799484</v>
      </c>
      <c r="E38" s="272">
        <v>40439</v>
      </c>
      <c r="F38" s="272">
        <v>1759045</v>
      </c>
      <c r="G38" s="455">
        <f t="shared" si="1"/>
        <v>705768</v>
      </c>
      <c r="H38" s="272">
        <v>59295</v>
      </c>
      <c r="I38" s="272">
        <v>646473</v>
      </c>
      <c r="J38" s="272">
        <v>1835135</v>
      </c>
      <c r="K38" s="272">
        <v>679083</v>
      </c>
      <c r="L38" s="272">
        <v>731222</v>
      </c>
      <c r="M38" s="272">
        <v>397682</v>
      </c>
      <c r="N38" s="272">
        <v>87198</v>
      </c>
      <c r="O38" s="272">
        <v>336894</v>
      </c>
      <c r="P38" s="272">
        <v>180808</v>
      </c>
      <c r="Q38" s="272">
        <v>156086</v>
      </c>
      <c r="R38" s="272">
        <v>66610</v>
      </c>
      <c r="S38" s="272">
        <v>0</v>
      </c>
      <c r="T38" s="455">
        <f t="shared" si="2"/>
        <v>431295</v>
      </c>
      <c r="U38" s="272">
        <v>32315</v>
      </c>
      <c r="V38" s="272">
        <v>28593</v>
      </c>
      <c r="W38" s="272">
        <v>17470</v>
      </c>
      <c r="X38" s="272">
        <v>235035</v>
      </c>
      <c r="Y38" s="272">
        <v>60524</v>
      </c>
      <c r="Z38" s="272">
        <v>0</v>
      </c>
      <c r="AA38" s="272">
        <v>57358</v>
      </c>
      <c r="AB38" s="272">
        <v>38018</v>
      </c>
      <c r="AC38" s="272">
        <v>995337</v>
      </c>
      <c r="AD38" s="272">
        <v>778397</v>
      </c>
      <c r="AE38" s="272">
        <v>216940</v>
      </c>
      <c r="AF38" s="272">
        <v>4218</v>
      </c>
      <c r="AG38" s="272">
        <v>51882</v>
      </c>
      <c r="AH38" s="455">
        <f t="shared" si="3"/>
        <v>254940</v>
      </c>
      <c r="AI38" s="272">
        <v>217549</v>
      </c>
      <c r="AJ38" s="272">
        <v>37391</v>
      </c>
      <c r="AK38" s="272">
        <v>701419</v>
      </c>
      <c r="AL38" s="455">
        <f t="shared" si="4"/>
        <v>124490</v>
      </c>
      <c r="AM38" s="272">
        <v>99093</v>
      </c>
      <c r="AN38" s="272">
        <v>25397</v>
      </c>
      <c r="AO38" s="272">
        <v>0</v>
      </c>
      <c r="AP38" s="272">
        <v>0</v>
      </c>
      <c r="AQ38" s="272">
        <v>339348</v>
      </c>
      <c r="AR38" s="272">
        <v>0</v>
      </c>
      <c r="AS38" s="272">
        <v>0</v>
      </c>
      <c r="AT38" s="272">
        <v>428801</v>
      </c>
      <c r="AU38" s="272">
        <v>249125</v>
      </c>
      <c r="AV38" s="272">
        <v>20015</v>
      </c>
      <c r="AW38" s="272">
        <v>12528</v>
      </c>
      <c r="AX38" s="272">
        <v>179676</v>
      </c>
      <c r="AY38" s="272">
        <v>15745</v>
      </c>
      <c r="AZ38" s="272">
        <v>28776</v>
      </c>
      <c r="BA38" s="272">
        <v>4961</v>
      </c>
      <c r="BB38" s="272">
        <v>5594</v>
      </c>
      <c r="BC38" s="272">
        <v>1343478</v>
      </c>
      <c r="BD38" s="272">
        <v>544058</v>
      </c>
      <c r="BE38" s="272">
        <v>255610</v>
      </c>
      <c r="BF38" s="272">
        <v>475013</v>
      </c>
      <c r="BG38" s="272">
        <v>0</v>
      </c>
      <c r="BH38" s="272">
        <v>35369</v>
      </c>
      <c r="BI38" s="272">
        <v>21250</v>
      </c>
      <c r="BJ38" s="272">
        <v>160216</v>
      </c>
      <c r="BK38" s="272">
        <v>53672</v>
      </c>
      <c r="BL38" s="272">
        <v>1665</v>
      </c>
      <c r="BM38" s="272">
        <v>0</v>
      </c>
      <c r="BN38" s="272">
        <v>812241</v>
      </c>
      <c r="BO38" s="455">
        <f t="shared" si="5"/>
        <v>517500</v>
      </c>
      <c r="BP38" s="455">
        <f t="shared" si="6"/>
        <v>294741</v>
      </c>
      <c r="BQ38" s="272"/>
      <c r="BR38" s="272">
        <v>0</v>
      </c>
      <c r="BS38" s="272">
        <v>294741</v>
      </c>
      <c r="BT38" s="272">
        <v>0</v>
      </c>
      <c r="BU38" s="272">
        <v>10141880</v>
      </c>
      <c r="BV38" s="272"/>
      <c r="BW38" s="272">
        <v>2551393</v>
      </c>
      <c r="BX38" s="272">
        <v>1602522</v>
      </c>
      <c r="BY38" s="272">
        <v>418485</v>
      </c>
      <c r="BZ38" s="272">
        <v>94941</v>
      </c>
      <c r="CA38" s="272">
        <v>1113853</v>
      </c>
      <c r="CB38" s="272">
        <v>327621</v>
      </c>
      <c r="CC38" s="272">
        <v>55591</v>
      </c>
      <c r="CD38" s="272">
        <v>576112</v>
      </c>
      <c r="CE38" s="272">
        <v>126874</v>
      </c>
      <c r="CF38" s="272">
        <v>0</v>
      </c>
      <c r="CG38" s="272">
        <v>27655</v>
      </c>
      <c r="CH38" s="272">
        <v>1496275</v>
      </c>
      <c r="CI38" s="272">
        <v>1263810</v>
      </c>
      <c r="CJ38" s="455">
        <f t="shared" si="7"/>
        <v>232465</v>
      </c>
      <c r="CK38" s="272">
        <v>1541321</v>
      </c>
      <c r="CL38" s="272">
        <v>822019</v>
      </c>
      <c r="CM38" s="272">
        <v>169183</v>
      </c>
      <c r="CN38" s="272">
        <v>309676</v>
      </c>
      <c r="CO38" s="272">
        <v>70506</v>
      </c>
      <c r="CP38" s="272">
        <v>322900</v>
      </c>
      <c r="CQ38" s="272">
        <v>6349</v>
      </c>
      <c r="CR38" s="272">
        <v>146972</v>
      </c>
      <c r="CS38" s="272">
        <v>127254</v>
      </c>
      <c r="CT38" s="455">
        <f t="shared" si="8"/>
        <v>22208</v>
      </c>
      <c r="CU38" s="272">
        <v>0</v>
      </c>
      <c r="CV38" s="272">
        <v>22208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1756148</v>
      </c>
      <c r="DD38" s="272">
        <v>1407436</v>
      </c>
      <c r="DE38" s="272">
        <v>319700</v>
      </c>
      <c r="DF38" s="26">
        <v>0</v>
      </c>
      <c r="DG38" s="27">
        <v>0</v>
      </c>
      <c r="DH38" s="272">
        <v>0</v>
      </c>
      <c r="DI38" s="272">
        <v>25481</v>
      </c>
      <c r="DJ38" s="272">
        <v>15568</v>
      </c>
      <c r="DK38" s="272">
        <v>5061</v>
      </c>
      <c r="DL38" s="272">
        <v>4852</v>
      </c>
      <c r="DM38" s="272">
        <v>0</v>
      </c>
      <c r="DN38" s="272">
        <v>0</v>
      </c>
      <c r="DO38" s="272">
        <v>0</v>
      </c>
      <c r="DP38" s="272">
        <v>0</v>
      </c>
      <c r="DQ38" s="272">
        <v>53168</v>
      </c>
      <c r="DR38" s="272">
        <v>0</v>
      </c>
      <c r="DS38" s="272">
        <v>0</v>
      </c>
      <c r="DT38" s="272">
        <v>1187734</v>
      </c>
      <c r="DU38" s="272">
        <v>555000</v>
      </c>
      <c r="DV38" s="455">
        <f t="shared" si="11"/>
        <v>0</v>
      </c>
      <c r="DW38" s="272">
        <v>0</v>
      </c>
      <c r="DX38" s="272"/>
      <c r="DY38" s="272">
        <v>0</v>
      </c>
      <c r="DZ38" s="272">
        <v>194875</v>
      </c>
      <c r="EA38" s="272">
        <v>166714</v>
      </c>
      <c r="EB38" s="272">
        <v>241421</v>
      </c>
      <c r="EC38" s="272">
        <v>0</v>
      </c>
      <c r="ED38" s="272">
        <v>10118779</v>
      </c>
      <c r="EE38" s="89"/>
      <c r="EF38" s="272">
        <v>23101</v>
      </c>
      <c r="EG38" s="272">
        <v>0</v>
      </c>
      <c r="EH38" s="272">
        <v>23101</v>
      </c>
      <c r="EI38" s="272">
        <v>1851</v>
      </c>
      <c r="EJ38" s="272">
        <v>-526639</v>
      </c>
      <c r="EK38" s="89"/>
      <c r="EL38" s="272"/>
      <c r="EM38" s="272">
        <v>29377</v>
      </c>
      <c r="EN38" s="272">
        <v>1107141</v>
      </c>
      <c r="EO38" s="272">
        <v>12760</v>
      </c>
      <c r="EP38" s="455">
        <f t="shared" si="12"/>
        <v>128031</v>
      </c>
      <c r="EQ38" s="272">
        <v>6319164</v>
      </c>
      <c r="ER38" s="272">
        <v>-1538455</v>
      </c>
      <c r="ES38" s="272">
        <v>2375987</v>
      </c>
      <c r="ET38" s="272">
        <v>1464938</v>
      </c>
      <c r="EU38" s="272">
        <v>576354</v>
      </c>
      <c r="EV38" s="272">
        <v>1448428</v>
      </c>
      <c r="EW38" s="455">
        <f t="shared" si="13"/>
        <v>659708</v>
      </c>
      <c r="EX38" s="272">
        <v>659708</v>
      </c>
      <c r="EY38" s="272">
        <v>459058</v>
      </c>
      <c r="EZ38" s="272">
        <v>171638</v>
      </c>
      <c r="FA38" s="272">
        <v>0</v>
      </c>
      <c r="FB38" s="272">
        <v>0</v>
      </c>
      <c r="FC38" s="272">
        <v>1337241</v>
      </c>
      <c r="FD38" s="272">
        <v>288456</v>
      </c>
      <c r="FE38" s="272">
        <v>6349</v>
      </c>
      <c r="FF38" s="272">
        <v>1071647</v>
      </c>
      <c r="FG38" s="455">
        <f t="shared" si="14"/>
        <v>76697</v>
      </c>
      <c r="FH38" s="272">
        <v>7834518</v>
      </c>
      <c r="FI38" s="384">
        <f t="shared" si="15"/>
        <v>0.4</v>
      </c>
      <c r="FJ38" s="272">
        <v>5529058</v>
      </c>
      <c r="FK38" s="272">
        <v>294741</v>
      </c>
      <c r="FL38" s="272">
        <v>3637635</v>
      </c>
      <c r="FM38" s="272">
        <v>4423597</v>
      </c>
      <c r="FN38" s="460">
        <v>0.81899999999999995</v>
      </c>
      <c r="FO38" s="388">
        <v>108.9</v>
      </c>
      <c r="FP38" s="388">
        <v>37.799999999999997</v>
      </c>
      <c r="FQ38" s="388">
        <v>9.5</v>
      </c>
      <c r="FR38" s="388">
        <v>23.8</v>
      </c>
      <c r="FS38" s="388">
        <v>19.399999999999999</v>
      </c>
      <c r="FT38" s="388">
        <v>3.7</v>
      </c>
      <c r="FU38" s="388">
        <v>13.7</v>
      </c>
      <c r="FV38" s="384">
        <f t="shared" si="16"/>
        <v>12.7</v>
      </c>
      <c r="FW38" s="272">
        <v>13486365</v>
      </c>
      <c r="FX38" s="384">
        <f t="shared" si="17"/>
        <v>243.9</v>
      </c>
      <c r="FY38" s="272">
        <v>4439107</v>
      </c>
      <c r="FZ38" s="272">
        <v>1574638</v>
      </c>
      <c r="GA38" s="272">
        <v>1368566</v>
      </c>
      <c r="GB38" s="272">
        <v>1495903</v>
      </c>
      <c r="GC38" s="272"/>
      <c r="GD38" s="272"/>
      <c r="GE38" s="384"/>
      <c r="GF38" s="388">
        <v>99.2</v>
      </c>
      <c r="GG38" s="388">
        <v>10</v>
      </c>
      <c r="GH38" s="388">
        <v>93.5</v>
      </c>
      <c r="GI38" s="272">
        <v>235</v>
      </c>
      <c r="GJ38" s="461" t="s">
        <v>646</v>
      </c>
      <c r="GK38" s="461">
        <v>14.53</v>
      </c>
      <c r="GL38" s="462">
        <v>20</v>
      </c>
      <c r="GM38" s="461" t="s">
        <v>646</v>
      </c>
      <c r="GN38" s="462">
        <v>19.53</v>
      </c>
      <c r="GO38" s="462">
        <v>40</v>
      </c>
      <c r="GP38" s="463">
        <v>12.7</v>
      </c>
      <c r="GQ38" s="463">
        <v>25</v>
      </c>
      <c r="GR38" s="463">
        <v>35</v>
      </c>
      <c r="GS38" s="464">
        <v>62.9</v>
      </c>
      <c r="GT38" s="463">
        <v>350</v>
      </c>
      <c r="GU38" s="394"/>
      <c r="GV38" s="394"/>
      <c r="GW38" s="394"/>
      <c r="GX38" s="394"/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</row>
    <row r="39" spans="2:230" x14ac:dyDescent="0.15">
      <c r="B39" s="89" t="s">
        <v>71</v>
      </c>
      <c r="C39" s="272">
        <v>2626183</v>
      </c>
      <c r="D39" s="455">
        <f t="shared" si="0"/>
        <v>1686682</v>
      </c>
      <c r="E39" s="272">
        <v>34487</v>
      </c>
      <c r="F39" s="272">
        <v>1652195</v>
      </c>
      <c r="G39" s="455">
        <f t="shared" si="1"/>
        <v>32120</v>
      </c>
      <c r="H39" s="272">
        <v>20922</v>
      </c>
      <c r="I39" s="272">
        <v>11198</v>
      </c>
      <c r="J39" s="272">
        <v>827168</v>
      </c>
      <c r="K39" s="272">
        <v>260914</v>
      </c>
      <c r="L39" s="272">
        <v>419466</v>
      </c>
      <c r="M39" s="272">
        <v>146638</v>
      </c>
      <c r="N39" s="272">
        <v>56039</v>
      </c>
      <c r="O39" s="272">
        <v>0</v>
      </c>
      <c r="P39" s="272">
        <v>0</v>
      </c>
      <c r="Q39" s="272">
        <v>0</v>
      </c>
      <c r="R39" s="272">
        <v>82307</v>
      </c>
      <c r="S39" s="272">
        <v>0</v>
      </c>
      <c r="T39" s="455">
        <f t="shared" si="2"/>
        <v>319316</v>
      </c>
      <c r="U39" s="272">
        <v>32768</v>
      </c>
      <c r="V39" s="272">
        <v>29037</v>
      </c>
      <c r="W39" s="272">
        <v>17571</v>
      </c>
      <c r="X39" s="272">
        <v>158294</v>
      </c>
      <c r="Y39" s="272">
        <v>10775</v>
      </c>
      <c r="Z39" s="272">
        <v>0</v>
      </c>
      <c r="AA39" s="272">
        <v>70871</v>
      </c>
      <c r="AB39" s="272">
        <v>17012</v>
      </c>
      <c r="AC39" s="272">
        <v>1813304</v>
      </c>
      <c r="AD39" s="272">
        <v>1327111</v>
      </c>
      <c r="AE39" s="272">
        <v>486193</v>
      </c>
      <c r="AF39" s="272">
        <v>4829</v>
      </c>
      <c r="AG39" s="272">
        <v>53890</v>
      </c>
      <c r="AH39" s="455">
        <f t="shared" si="3"/>
        <v>92774</v>
      </c>
      <c r="AI39" s="272">
        <v>78780</v>
      </c>
      <c r="AJ39" s="272">
        <v>13994</v>
      </c>
      <c r="AK39" s="272">
        <v>173980</v>
      </c>
      <c r="AL39" s="455">
        <f t="shared" si="4"/>
        <v>0</v>
      </c>
      <c r="AM39" s="272">
        <v>0</v>
      </c>
      <c r="AN39" s="272">
        <v>0</v>
      </c>
      <c r="AO39" s="272">
        <v>0</v>
      </c>
      <c r="AP39" s="272">
        <v>0</v>
      </c>
      <c r="AQ39" s="272">
        <v>48355</v>
      </c>
      <c r="AR39" s="272">
        <v>0</v>
      </c>
      <c r="AS39" s="272">
        <v>0</v>
      </c>
      <c r="AT39" s="272">
        <v>302942</v>
      </c>
      <c r="AU39" s="272">
        <v>95326</v>
      </c>
      <c r="AV39" s="272">
        <v>4942</v>
      </c>
      <c r="AW39" s="272">
        <v>173</v>
      </c>
      <c r="AX39" s="272">
        <v>207616</v>
      </c>
      <c r="AY39" s="272">
        <v>8084</v>
      </c>
      <c r="AZ39" s="272">
        <v>2959</v>
      </c>
      <c r="BA39" s="272">
        <v>0</v>
      </c>
      <c r="BB39" s="272">
        <v>560</v>
      </c>
      <c r="BC39" s="272">
        <v>244774</v>
      </c>
      <c r="BD39" s="272">
        <v>60000</v>
      </c>
      <c r="BE39" s="272">
        <v>0</v>
      </c>
      <c r="BF39" s="272">
        <v>104672</v>
      </c>
      <c r="BG39" s="456">
        <v>0</v>
      </c>
      <c r="BH39" s="272">
        <v>225415</v>
      </c>
      <c r="BI39" s="272">
        <v>153698</v>
      </c>
      <c r="BJ39" s="272">
        <v>185029</v>
      </c>
      <c r="BK39" s="272">
        <v>4339</v>
      </c>
      <c r="BL39" s="272">
        <v>0</v>
      </c>
      <c r="BM39" s="272">
        <v>0</v>
      </c>
      <c r="BN39" s="272">
        <v>295322</v>
      </c>
      <c r="BO39" s="455">
        <f t="shared" si="5"/>
        <v>36600</v>
      </c>
      <c r="BP39" s="455">
        <f t="shared" si="6"/>
        <v>258722</v>
      </c>
      <c r="BQ39" s="272"/>
      <c r="BR39" s="272">
        <v>0</v>
      </c>
      <c r="BS39" s="272">
        <v>258722</v>
      </c>
      <c r="BT39" s="272">
        <v>0</v>
      </c>
      <c r="BU39" s="272">
        <v>6440596</v>
      </c>
      <c r="BV39" s="272"/>
      <c r="BW39" s="272">
        <v>2218397</v>
      </c>
      <c r="BX39" s="272">
        <v>1546994</v>
      </c>
      <c r="BY39" s="272">
        <v>57123</v>
      </c>
      <c r="BZ39" s="272">
        <v>214217</v>
      </c>
      <c r="CA39" s="272">
        <v>271683</v>
      </c>
      <c r="CB39" s="272">
        <v>115017</v>
      </c>
      <c r="CC39" s="272">
        <v>32602</v>
      </c>
      <c r="CD39" s="272">
        <v>118194</v>
      </c>
      <c r="CE39" s="272">
        <v>0</v>
      </c>
      <c r="CF39" s="272">
        <v>0</v>
      </c>
      <c r="CG39" s="272">
        <v>5870</v>
      </c>
      <c r="CH39" s="272">
        <v>514958</v>
      </c>
      <c r="CI39" s="272">
        <v>414851</v>
      </c>
      <c r="CJ39" s="455">
        <f t="shared" si="7"/>
        <v>100107</v>
      </c>
      <c r="CK39" s="272">
        <v>1098946</v>
      </c>
      <c r="CL39" s="272">
        <v>599411</v>
      </c>
      <c r="CM39" s="272">
        <v>56676</v>
      </c>
      <c r="CN39" s="272">
        <v>242767</v>
      </c>
      <c r="CO39" s="272">
        <v>137167</v>
      </c>
      <c r="CP39" s="272">
        <v>857690</v>
      </c>
      <c r="CQ39" s="272">
        <v>557498</v>
      </c>
      <c r="CR39" s="272">
        <v>110323</v>
      </c>
      <c r="CS39" s="272">
        <v>108096</v>
      </c>
      <c r="CT39" s="455">
        <f t="shared" si="8"/>
        <v>59204</v>
      </c>
      <c r="CU39" s="272">
        <v>38490</v>
      </c>
      <c r="CV39" s="272">
        <v>20714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226479</v>
      </c>
      <c r="DD39" s="272">
        <v>51015</v>
      </c>
      <c r="DE39" s="272">
        <v>175464</v>
      </c>
      <c r="DF39" s="26">
        <v>0</v>
      </c>
      <c r="DG39" s="27">
        <v>0</v>
      </c>
      <c r="DH39" s="272">
        <v>0</v>
      </c>
      <c r="DI39" s="272">
        <v>80559</v>
      </c>
      <c r="DJ39" s="272">
        <v>79755</v>
      </c>
      <c r="DK39" s="272">
        <v>21</v>
      </c>
      <c r="DL39" s="272">
        <v>783</v>
      </c>
      <c r="DM39" s="272">
        <v>0</v>
      </c>
      <c r="DN39" s="272">
        <v>0</v>
      </c>
      <c r="DO39" s="272">
        <v>0</v>
      </c>
      <c r="DP39" s="272">
        <v>0</v>
      </c>
      <c r="DQ39" s="272">
        <v>5208</v>
      </c>
      <c r="DR39" s="272">
        <v>0</v>
      </c>
      <c r="DS39" s="272">
        <v>0</v>
      </c>
      <c r="DT39" s="272">
        <v>785253</v>
      </c>
      <c r="DU39" s="272">
        <v>244298</v>
      </c>
      <c r="DV39" s="455">
        <f t="shared" si="11"/>
        <v>0</v>
      </c>
      <c r="DW39" s="272">
        <v>0</v>
      </c>
      <c r="DX39" s="272"/>
      <c r="DY39" s="272">
        <v>0</v>
      </c>
      <c r="DZ39" s="272">
        <v>129556</v>
      </c>
      <c r="EA39" s="272">
        <v>164216</v>
      </c>
      <c r="EB39" s="272">
        <v>210964</v>
      </c>
      <c r="EC39" s="272">
        <v>0</v>
      </c>
      <c r="ED39" s="272">
        <v>6196340</v>
      </c>
      <c r="EE39" s="89"/>
      <c r="EF39" s="272">
        <v>244256</v>
      </c>
      <c r="EG39" s="272">
        <v>66556</v>
      </c>
      <c r="EH39" s="272">
        <v>177700</v>
      </c>
      <c r="EI39" s="272">
        <v>24002</v>
      </c>
      <c r="EJ39" s="272">
        <v>43757</v>
      </c>
      <c r="EK39" s="89"/>
      <c r="EL39" s="272"/>
      <c r="EM39" s="272">
        <v>24049</v>
      </c>
      <c r="EN39" s="272">
        <v>193952</v>
      </c>
      <c r="EO39" s="272">
        <v>1804</v>
      </c>
      <c r="EP39" s="455">
        <f t="shared" si="12"/>
        <v>293126</v>
      </c>
      <c r="EQ39" s="272">
        <v>4862951</v>
      </c>
      <c r="ER39" s="272">
        <v>-742775</v>
      </c>
      <c r="ES39" s="272">
        <v>2028097</v>
      </c>
      <c r="ET39" s="272">
        <v>1412847</v>
      </c>
      <c r="EU39" s="272">
        <v>111368</v>
      </c>
      <c r="EV39" s="272">
        <v>506781</v>
      </c>
      <c r="EW39" s="455">
        <f t="shared" si="13"/>
        <v>124560</v>
      </c>
      <c r="EX39" s="272">
        <v>124560</v>
      </c>
      <c r="EY39" s="272">
        <v>161</v>
      </c>
      <c r="EZ39" s="272">
        <v>124399</v>
      </c>
      <c r="FA39" s="272">
        <v>0</v>
      </c>
      <c r="FB39" s="272">
        <v>0</v>
      </c>
      <c r="FC39" s="272">
        <v>900250</v>
      </c>
      <c r="FD39" s="272">
        <v>751871</v>
      </c>
      <c r="FE39" s="272">
        <v>471544</v>
      </c>
      <c r="FF39" s="272">
        <v>739397</v>
      </c>
      <c r="FG39" s="455">
        <f t="shared" si="14"/>
        <v>199146</v>
      </c>
      <c r="FH39" s="272">
        <v>5361470</v>
      </c>
      <c r="FI39" s="384">
        <f t="shared" si="15"/>
        <v>4</v>
      </c>
      <c r="FJ39" s="272">
        <v>4466681</v>
      </c>
      <c r="FK39" s="272">
        <v>258722</v>
      </c>
      <c r="FL39" s="272">
        <v>2402901</v>
      </c>
      <c r="FM39" s="272">
        <v>3736402</v>
      </c>
      <c r="FN39" s="460">
        <v>0.64600000000000002</v>
      </c>
      <c r="FO39" s="388">
        <v>98.2</v>
      </c>
      <c r="FP39" s="388">
        <v>43.5</v>
      </c>
      <c r="FQ39" s="388">
        <v>2.4</v>
      </c>
      <c r="FR39" s="388">
        <v>10.9</v>
      </c>
      <c r="FS39" s="388">
        <v>17.3</v>
      </c>
      <c r="FT39" s="388">
        <v>9.5</v>
      </c>
      <c r="FU39" s="388">
        <v>12</v>
      </c>
      <c r="FV39" s="384">
        <f t="shared" si="16"/>
        <v>5.6</v>
      </c>
      <c r="FW39" s="272">
        <v>5689358</v>
      </c>
      <c r="FX39" s="384">
        <f t="shared" si="17"/>
        <v>127.4</v>
      </c>
      <c r="FY39" s="272">
        <v>1736725</v>
      </c>
      <c r="FZ39" s="272">
        <v>1033452</v>
      </c>
      <c r="GA39" s="272">
        <v>673</v>
      </c>
      <c r="GB39" s="272">
        <v>702600</v>
      </c>
      <c r="GC39" s="272">
        <v>340200</v>
      </c>
      <c r="GD39" s="272"/>
      <c r="GE39" s="384"/>
      <c r="GF39" s="388">
        <v>99.2</v>
      </c>
      <c r="GG39" s="388">
        <v>12</v>
      </c>
      <c r="GH39" s="388">
        <v>95.9</v>
      </c>
      <c r="GI39" s="272">
        <v>236</v>
      </c>
      <c r="GJ39" s="461" t="s">
        <v>646</v>
      </c>
      <c r="GK39" s="461">
        <v>15</v>
      </c>
      <c r="GL39" s="462">
        <v>20</v>
      </c>
      <c r="GM39" s="461" t="s">
        <v>646</v>
      </c>
      <c r="GN39" s="462">
        <v>20</v>
      </c>
      <c r="GO39" s="462">
        <v>40</v>
      </c>
      <c r="GP39" s="463">
        <v>5.6</v>
      </c>
      <c r="GQ39" s="463">
        <v>25</v>
      </c>
      <c r="GR39" s="463">
        <v>35</v>
      </c>
      <c r="GS39" s="464">
        <v>96.7</v>
      </c>
      <c r="GT39" s="463">
        <v>350</v>
      </c>
      <c r="GU39" s="394"/>
      <c r="GV39" s="394"/>
      <c r="GW39" s="394"/>
      <c r="GX39" s="394"/>
      <c r="GY39" s="394"/>
      <c r="GZ39" s="394"/>
      <c r="HA39" s="394"/>
      <c r="HB39" s="394"/>
      <c r="HC39" s="394"/>
      <c r="HD39" s="394"/>
      <c r="HE39" s="394"/>
      <c r="HF39" s="394"/>
      <c r="HG39" s="394"/>
      <c r="HH39" s="394"/>
      <c r="HI39" s="394"/>
      <c r="HJ39" s="394"/>
      <c r="HK39" s="394"/>
      <c r="HL39" s="394"/>
      <c r="HM39" s="394"/>
      <c r="HN39" s="394"/>
      <c r="HO39" s="394"/>
      <c r="HP39" s="394"/>
      <c r="HQ39" s="394"/>
      <c r="HR39" s="394"/>
      <c r="HS39" s="394"/>
      <c r="HT39" s="394"/>
      <c r="HU39" s="394"/>
      <c r="HV39" s="394"/>
    </row>
    <row r="40" spans="2:230" x14ac:dyDescent="0.15">
      <c r="B40" s="89" t="s">
        <v>73</v>
      </c>
      <c r="C40" s="272">
        <v>1484681</v>
      </c>
      <c r="D40" s="455">
        <f t="shared" si="0"/>
        <v>544877</v>
      </c>
      <c r="E40" s="272">
        <v>17030</v>
      </c>
      <c r="F40" s="272">
        <v>527847</v>
      </c>
      <c r="G40" s="455">
        <f t="shared" si="1"/>
        <v>63250</v>
      </c>
      <c r="H40" s="272">
        <v>20692</v>
      </c>
      <c r="I40" s="272">
        <v>42558</v>
      </c>
      <c r="J40" s="272">
        <v>793055</v>
      </c>
      <c r="K40" s="272">
        <v>154002</v>
      </c>
      <c r="L40" s="272">
        <v>295041</v>
      </c>
      <c r="M40" s="272">
        <v>343766</v>
      </c>
      <c r="N40" s="272">
        <v>47097</v>
      </c>
      <c r="O40" s="272">
        <v>0</v>
      </c>
      <c r="P40" s="272">
        <v>0</v>
      </c>
      <c r="Q40" s="272">
        <v>0</v>
      </c>
      <c r="R40" s="272">
        <v>77087</v>
      </c>
      <c r="S40" s="272">
        <v>0</v>
      </c>
      <c r="T40" s="455">
        <f t="shared" si="2"/>
        <v>232755</v>
      </c>
      <c r="U40" s="272">
        <v>10566</v>
      </c>
      <c r="V40" s="272">
        <v>9370</v>
      </c>
      <c r="W40" s="272">
        <v>5646</v>
      </c>
      <c r="X40" s="272">
        <v>112268</v>
      </c>
      <c r="Y40" s="272">
        <v>28521</v>
      </c>
      <c r="Z40" s="272">
        <v>0</v>
      </c>
      <c r="AA40" s="272">
        <v>66384</v>
      </c>
      <c r="AB40" s="272">
        <v>7637</v>
      </c>
      <c r="AC40" s="272">
        <v>1454163</v>
      </c>
      <c r="AD40" s="272">
        <v>1146642</v>
      </c>
      <c r="AE40" s="272">
        <v>307521</v>
      </c>
      <c r="AF40" s="272">
        <v>2800</v>
      </c>
      <c r="AG40" s="272">
        <v>17244</v>
      </c>
      <c r="AH40" s="455">
        <f t="shared" si="3"/>
        <v>113399</v>
      </c>
      <c r="AI40" s="272">
        <v>65680</v>
      </c>
      <c r="AJ40" s="272">
        <v>47719</v>
      </c>
      <c r="AK40" s="272">
        <v>94329</v>
      </c>
      <c r="AL40" s="455">
        <f t="shared" si="4"/>
        <v>0</v>
      </c>
      <c r="AM40" s="272">
        <v>0</v>
      </c>
      <c r="AN40" s="272">
        <v>0</v>
      </c>
      <c r="AO40" s="272">
        <v>0</v>
      </c>
      <c r="AP40" s="272">
        <v>0</v>
      </c>
      <c r="AQ40" s="272">
        <v>0</v>
      </c>
      <c r="AR40" s="272">
        <v>1465</v>
      </c>
      <c r="AS40" s="272">
        <v>0</v>
      </c>
      <c r="AT40" s="272">
        <v>332352</v>
      </c>
      <c r="AU40" s="272">
        <v>108124</v>
      </c>
      <c r="AV40" s="272">
        <v>0</v>
      </c>
      <c r="AW40" s="272">
        <v>0</v>
      </c>
      <c r="AX40" s="272">
        <v>224228</v>
      </c>
      <c r="AY40" s="272">
        <v>8000</v>
      </c>
      <c r="AZ40" s="272">
        <v>4953</v>
      </c>
      <c r="BA40" s="272">
        <v>1126</v>
      </c>
      <c r="BB40" s="272">
        <v>881</v>
      </c>
      <c r="BC40" s="272">
        <v>137234</v>
      </c>
      <c r="BD40" s="272">
        <v>29000</v>
      </c>
      <c r="BE40" s="272">
        <v>0</v>
      </c>
      <c r="BF40" s="272">
        <v>70118</v>
      </c>
      <c r="BG40" s="272">
        <v>0</v>
      </c>
      <c r="BH40" s="272">
        <v>313217</v>
      </c>
      <c r="BI40" s="272">
        <v>178460</v>
      </c>
      <c r="BJ40" s="272">
        <v>95556</v>
      </c>
      <c r="BK40" s="272">
        <v>0</v>
      </c>
      <c r="BL40" s="272">
        <v>0</v>
      </c>
      <c r="BM40" s="272">
        <v>0</v>
      </c>
      <c r="BN40" s="272">
        <v>184800</v>
      </c>
      <c r="BO40" s="455">
        <f t="shared" si="5"/>
        <v>7000</v>
      </c>
      <c r="BP40" s="455">
        <f t="shared" si="6"/>
        <v>177800</v>
      </c>
      <c r="BQ40" s="272"/>
      <c r="BR40" s="272">
        <v>0</v>
      </c>
      <c r="BS40" s="272">
        <v>177800</v>
      </c>
      <c r="BT40" s="272">
        <v>0</v>
      </c>
      <c r="BU40" s="272">
        <v>4553088</v>
      </c>
      <c r="BV40" s="272"/>
      <c r="BW40" s="272">
        <v>1086415</v>
      </c>
      <c r="BX40" s="272">
        <v>654737</v>
      </c>
      <c r="BY40" s="272">
        <v>25548</v>
      </c>
      <c r="BZ40" s="272">
        <v>155211</v>
      </c>
      <c r="CA40" s="272">
        <v>243468</v>
      </c>
      <c r="CB40" s="272">
        <v>96186</v>
      </c>
      <c r="CC40" s="272">
        <v>21800</v>
      </c>
      <c r="CD40" s="272">
        <v>103814</v>
      </c>
      <c r="CE40" s="272">
        <v>0</v>
      </c>
      <c r="CF40" s="272">
        <v>5338</v>
      </c>
      <c r="CG40" s="272">
        <v>16330</v>
      </c>
      <c r="CH40" s="272">
        <v>450695</v>
      </c>
      <c r="CI40" s="272">
        <v>382492</v>
      </c>
      <c r="CJ40" s="455">
        <f t="shared" si="7"/>
        <v>68203</v>
      </c>
      <c r="CK40" s="272">
        <v>764676</v>
      </c>
      <c r="CL40" s="272">
        <v>459529</v>
      </c>
      <c r="CM40" s="272">
        <v>14158</v>
      </c>
      <c r="CN40" s="272">
        <v>159026</v>
      </c>
      <c r="CO40" s="272">
        <v>31831</v>
      </c>
      <c r="CP40" s="272">
        <v>669342</v>
      </c>
      <c r="CQ40" s="272">
        <v>282225</v>
      </c>
      <c r="CR40" s="272">
        <v>131812</v>
      </c>
      <c r="CS40" s="272">
        <v>76979</v>
      </c>
      <c r="CT40" s="455">
        <f t="shared" si="8"/>
        <v>113073</v>
      </c>
      <c r="CU40" s="272">
        <v>2075</v>
      </c>
      <c r="CV40" s="272">
        <v>110998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187870</v>
      </c>
      <c r="DD40" s="272">
        <v>0</v>
      </c>
      <c r="DE40" s="272">
        <v>177453</v>
      </c>
      <c r="DF40" s="26">
        <v>10417</v>
      </c>
      <c r="DG40" s="27">
        <v>10417</v>
      </c>
      <c r="DH40" s="272">
        <v>2004</v>
      </c>
      <c r="DI40" s="272">
        <v>327870</v>
      </c>
      <c r="DJ40" s="272">
        <v>251609</v>
      </c>
      <c r="DK40" s="272">
        <v>0</v>
      </c>
      <c r="DL40" s="272">
        <v>76261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623378</v>
      </c>
      <c r="DU40" s="272">
        <v>168979</v>
      </c>
      <c r="DV40" s="455">
        <f t="shared" si="11"/>
        <v>0</v>
      </c>
      <c r="DW40" s="272">
        <v>0</v>
      </c>
      <c r="DX40" s="272"/>
      <c r="DY40" s="272">
        <v>0</v>
      </c>
      <c r="DZ40" s="272">
        <v>126815</v>
      </c>
      <c r="EA40" s="272">
        <v>154022</v>
      </c>
      <c r="EB40" s="272">
        <v>145047</v>
      </c>
      <c r="EC40" s="272">
        <v>0</v>
      </c>
      <c r="ED40" s="272">
        <v>4387549</v>
      </c>
      <c r="EE40" s="89"/>
      <c r="EF40" s="272">
        <v>165539</v>
      </c>
      <c r="EG40" s="272">
        <v>0</v>
      </c>
      <c r="EH40" s="272">
        <v>165539</v>
      </c>
      <c r="EI40" s="272">
        <v>-12921</v>
      </c>
      <c r="EJ40" s="272">
        <v>216046</v>
      </c>
      <c r="EK40" s="89"/>
      <c r="EL40" s="272"/>
      <c r="EM40" s="272">
        <v>12890</v>
      </c>
      <c r="EN40" s="272">
        <v>90916</v>
      </c>
      <c r="EO40" s="272">
        <v>2497</v>
      </c>
      <c r="EP40" s="455">
        <f t="shared" si="12"/>
        <v>276796</v>
      </c>
      <c r="EQ40" s="272">
        <v>3259123</v>
      </c>
      <c r="ER40" s="272">
        <v>-545209</v>
      </c>
      <c r="ES40" s="272">
        <v>1008587</v>
      </c>
      <c r="ET40" s="272">
        <v>594036</v>
      </c>
      <c r="EU40" s="272">
        <v>111146</v>
      </c>
      <c r="EV40" s="272">
        <v>416177</v>
      </c>
      <c r="EW40" s="455">
        <f t="shared" si="13"/>
        <v>147760</v>
      </c>
      <c r="EX40" s="272">
        <v>147756</v>
      </c>
      <c r="EY40" s="272">
        <v>0</v>
      </c>
      <c r="EZ40" s="272">
        <v>142353</v>
      </c>
      <c r="FA40" s="272">
        <v>4</v>
      </c>
      <c r="FB40" s="272">
        <v>0</v>
      </c>
      <c r="FC40" s="272">
        <v>552060</v>
      </c>
      <c r="FD40" s="272">
        <v>508356</v>
      </c>
      <c r="FE40" s="272">
        <v>243435</v>
      </c>
      <c r="FF40" s="272">
        <v>544260</v>
      </c>
      <c r="FG40" s="455">
        <f t="shared" si="14"/>
        <v>350447</v>
      </c>
      <c r="FH40" s="272">
        <v>3638793</v>
      </c>
      <c r="FI40" s="384">
        <f t="shared" si="15"/>
        <v>5.4</v>
      </c>
      <c r="FJ40" s="272">
        <v>3048604</v>
      </c>
      <c r="FK40" s="272">
        <v>177886</v>
      </c>
      <c r="FL40" s="272">
        <v>1471700</v>
      </c>
      <c r="FM40" s="272">
        <v>2621602</v>
      </c>
      <c r="FN40" s="460">
        <v>0.54200000000000004</v>
      </c>
      <c r="FO40" s="388">
        <v>87.1</v>
      </c>
      <c r="FP40" s="388">
        <v>31.8</v>
      </c>
      <c r="FQ40" s="388">
        <v>3.5</v>
      </c>
      <c r="FR40" s="388">
        <v>13</v>
      </c>
      <c r="FS40" s="388">
        <v>14.9</v>
      </c>
      <c r="FT40" s="388">
        <v>7.7</v>
      </c>
      <c r="FU40" s="388">
        <v>15.2</v>
      </c>
      <c r="FV40" s="384">
        <f t="shared" si="16"/>
        <v>8.3000000000000007</v>
      </c>
      <c r="FW40" s="272">
        <v>4027380</v>
      </c>
      <c r="FX40" s="384">
        <f t="shared" si="17"/>
        <v>132.1</v>
      </c>
      <c r="FY40" s="272">
        <v>2319934</v>
      </c>
      <c r="FZ40" s="272">
        <v>1582387</v>
      </c>
      <c r="GA40" s="272">
        <v>0</v>
      </c>
      <c r="GB40" s="272">
        <v>737547</v>
      </c>
      <c r="GC40" s="272"/>
      <c r="GD40" s="272"/>
      <c r="GE40" s="384"/>
      <c r="GF40" s="388">
        <v>96.5</v>
      </c>
      <c r="GG40" s="388">
        <v>13.8</v>
      </c>
      <c r="GH40" s="388">
        <v>86.7</v>
      </c>
      <c r="GI40" s="272">
        <v>112</v>
      </c>
      <c r="GJ40" s="461" t="s">
        <v>646</v>
      </c>
      <c r="GK40" s="461">
        <v>15</v>
      </c>
      <c r="GL40" s="462">
        <v>20</v>
      </c>
      <c r="GM40" s="461" t="s">
        <v>646</v>
      </c>
      <c r="GN40" s="462">
        <v>20</v>
      </c>
      <c r="GO40" s="462">
        <v>40</v>
      </c>
      <c r="GP40" s="463">
        <v>8.3000000000000007</v>
      </c>
      <c r="GQ40" s="463">
        <v>25</v>
      </c>
      <c r="GR40" s="463">
        <v>35</v>
      </c>
      <c r="GS40" s="464">
        <v>67.2</v>
      </c>
      <c r="GT40" s="463">
        <v>350</v>
      </c>
      <c r="GU40" s="394"/>
      <c r="GV40" s="394"/>
      <c r="GW40" s="394"/>
      <c r="GX40" s="394"/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</row>
    <row r="41" spans="2:230" x14ac:dyDescent="0.15">
      <c r="B41" s="89" t="s">
        <v>75</v>
      </c>
      <c r="C41" s="272">
        <v>2493511</v>
      </c>
      <c r="D41" s="455">
        <f t="shared" si="0"/>
        <v>734657</v>
      </c>
      <c r="E41" s="272">
        <v>20842</v>
      </c>
      <c r="F41" s="272">
        <v>713815</v>
      </c>
      <c r="G41" s="455">
        <f t="shared" si="1"/>
        <v>261881</v>
      </c>
      <c r="H41" s="272">
        <v>44421</v>
      </c>
      <c r="I41" s="272">
        <v>217460</v>
      </c>
      <c r="J41" s="272">
        <v>1136419</v>
      </c>
      <c r="K41" s="272">
        <v>552154</v>
      </c>
      <c r="L41" s="272">
        <v>404625</v>
      </c>
      <c r="M41" s="272">
        <v>166286</v>
      </c>
      <c r="N41" s="272">
        <v>100711</v>
      </c>
      <c r="O41" s="272">
        <v>236767</v>
      </c>
      <c r="P41" s="272">
        <v>145723</v>
      </c>
      <c r="Q41" s="272">
        <v>91044</v>
      </c>
      <c r="R41" s="272">
        <v>43132</v>
      </c>
      <c r="S41" s="272">
        <v>0</v>
      </c>
      <c r="T41" s="455">
        <f t="shared" si="2"/>
        <v>245571</v>
      </c>
      <c r="U41" s="272">
        <v>13150</v>
      </c>
      <c r="V41" s="272">
        <v>11620</v>
      </c>
      <c r="W41" s="272">
        <v>7158</v>
      </c>
      <c r="X41" s="272">
        <v>176504</v>
      </c>
      <c r="Y41" s="272">
        <v>0</v>
      </c>
      <c r="Z41" s="272">
        <v>0</v>
      </c>
      <c r="AA41" s="272">
        <v>37139</v>
      </c>
      <c r="AB41" s="272">
        <v>15779</v>
      </c>
      <c r="AC41" s="272">
        <v>1591600</v>
      </c>
      <c r="AD41" s="272">
        <v>1338175</v>
      </c>
      <c r="AE41" s="272">
        <v>253425</v>
      </c>
      <c r="AF41" s="272">
        <v>4089</v>
      </c>
      <c r="AG41" s="272">
        <v>864</v>
      </c>
      <c r="AH41" s="455">
        <f t="shared" si="3"/>
        <v>197935</v>
      </c>
      <c r="AI41" s="272">
        <v>178642</v>
      </c>
      <c r="AJ41" s="272">
        <v>19293</v>
      </c>
      <c r="AK41" s="272">
        <v>197008</v>
      </c>
      <c r="AL41" s="455">
        <f t="shared" si="4"/>
        <v>24025</v>
      </c>
      <c r="AM41" s="272">
        <v>0</v>
      </c>
      <c r="AN41" s="272">
        <v>24025</v>
      </c>
      <c r="AO41" s="272">
        <v>0</v>
      </c>
      <c r="AP41" s="272">
        <v>0</v>
      </c>
      <c r="AQ41" s="272">
        <v>0</v>
      </c>
      <c r="AR41" s="272">
        <v>0</v>
      </c>
      <c r="AS41" s="272">
        <v>0</v>
      </c>
      <c r="AT41" s="272">
        <v>332224</v>
      </c>
      <c r="AU41" s="272">
        <v>115002</v>
      </c>
      <c r="AV41" s="272">
        <v>11983</v>
      </c>
      <c r="AW41" s="272">
        <v>0</v>
      </c>
      <c r="AX41" s="272">
        <v>217222</v>
      </c>
      <c r="AY41" s="272">
        <v>23132</v>
      </c>
      <c r="AZ41" s="272">
        <v>1023</v>
      </c>
      <c r="BA41" s="272">
        <v>800</v>
      </c>
      <c r="BB41" s="272">
        <v>92</v>
      </c>
      <c r="BC41" s="272">
        <v>1290</v>
      </c>
      <c r="BD41" s="272">
        <v>0</v>
      </c>
      <c r="BE41" s="272">
        <v>0</v>
      </c>
      <c r="BF41" s="272">
        <v>0</v>
      </c>
      <c r="BG41" s="272">
        <v>0</v>
      </c>
      <c r="BH41" s="272">
        <v>0</v>
      </c>
      <c r="BI41" s="272">
        <v>0</v>
      </c>
      <c r="BJ41" s="272">
        <v>107122</v>
      </c>
      <c r="BK41" s="272">
        <v>0</v>
      </c>
      <c r="BL41" s="272">
        <v>0</v>
      </c>
      <c r="BM41" s="272">
        <v>0</v>
      </c>
      <c r="BN41" s="272">
        <v>1395200</v>
      </c>
      <c r="BO41" s="455">
        <f t="shared" si="5"/>
        <v>1178600</v>
      </c>
      <c r="BP41" s="455">
        <f t="shared" si="6"/>
        <v>216600</v>
      </c>
      <c r="BQ41" s="272"/>
      <c r="BR41" s="272">
        <v>0</v>
      </c>
      <c r="BS41" s="272">
        <v>216600</v>
      </c>
      <c r="BT41" s="272">
        <v>0</v>
      </c>
      <c r="BU41" s="272">
        <v>6626440</v>
      </c>
      <c r="BV41" s="272"/>
      <c r="BW41" s="272">
        <v>1194926</v>
      </c>
      <c r="BX41" s="272">
        <v>908050</v>
      </c>
      <c r="BY41" s="272">
        <v>17264</v>
      </c>
      <c r="BZ41" s="272">
        <v>12536</v>
      </c>
      <c r="CA41" s="272">
        <v>585581</v>
      </c>
      <c r="CB41" s="272">
        <v>159212</v>
      </c>
      <c r="CC41" s="272">
        <v>36305</v>
      </c>
      <c r="CD41" s="272">
        <v>375965</v>
      </c>
      <c r="CE41" s="272">
        <v>0</v>
      </c>
      <c r="CF41" s="272">
        <v>0</v>
      </c>
      <c r="CG41" s="272">
        <v>14099</v>
      </c>
      <c r="CH41" s="272">
        <v>790612</v>
      </c>
      <c r="CI41" s="272">
        <v>643142</v>
      </c>
      <c r="CJ41" s="455">
        <f t="shared" si="7"/>
        <v>147470</v>
      </c>
      <c r="CK41" s="272">
        <v>1044762</v>
      </c>
      <c r="CL41" s="272">
        <v>667437</v>
      </c>
      <c r="CM41" s="272">
        <v>82972</v>
      </c>
      <c r="CN41" s="272">
        <v>193468</v>
      </c>
      <c r="CO41" s="272">
        <v>199939</v>
      </c>
      <c r="CP41" s="272">
        <v>420569</v>
      </c>
      <c r="CQ41" s="272">
        <v>6891</v>
      </c>
      <c r="CR41" s="272">
        <v>32570</v>
      </c>
      <c r="CS41" s="272">
        <v>16042</v>
      </c>
      <c r="CT41" s="455">
        <f t="shared" si="8"/>
        <v>263639</v>
      </c>
      <c r="CU41" s="272">
        <v>263639</v>
      </c>
      <c r="CV41" s="272">
        <v>0</v>
      </c>
      <c r="CW41" s="455">
        <f t="shared" si="9"/>
        <v>263345</v>
      </c>
      <c r="CX41" s="272">
        <v>263345</v>
      </c>
      <c r="CY41" s="272">
        <v>0</v>
      </c>
      <c r="CZ41" s="455">
        <f t="shared" si="10"/>
        <v>0</v>
      </c>
      <c r="DA41" s="272">
        <v>0</v>
      </c>
      <c r="DB41" s="272">
        <v>0</v>
      </c>
      <c r="DC41" s="272">
        <v>1304065</v>
      </c>
      <c r="DD41" s="272">
        <v>0</v>
      </c>
      <c r="DE41" s="272">
        <v>1304065</v>
      </c>
      <c r="DF41" s="26">
        <v>0</v>
      </c>
      <c r="DG41" s="27">
        <v>0</v>
      </c>
      <c r="DH41" s="272">
        <v>1890</v>
      </c>
      <c r="DI41" s="272">
        <v>25</v>
      </c>
      <c r="DJ41" s="272">
        <v>0</v>
      </c>
      <c r="DK41" s="272">
        <v>0</v>
      </c>
      <c r="DL41" s="272">
        <v>25</v>
      </c>
      <c r="DM41" s="272">
        <v>0</v>
      </c>
      <c r="DN41" s="272">
        <v>0</v>
      </c>
      <c r="DO41" s="272">
        <v>0</v>
      </c>
      <c r="DP41" s="272">
        <v>0</v>
      </c>
      <c r="DQ41" s="272">
        <v>0</v>
      </c>
      <c r="DR41" s="272">
        <v>0</v>
      </c>
      <c r="DS41" s="272">
        <v>0</v>
      </c>
      <c r="DT41" s="272">
        <v>1053293</v>
      </c>
      <c r="DU41" s="272">
        <v>563654</v>
      </c>
      <c r="DV41" s="455">
        <f t="shared" si="11"/>
        <v>0</v>
      </c>
      <c r="DW41" s="272">
        <v>0</v>
      </c>
      <c r="DX41" s="272"/>
      <c r="DY41" s="272">
        <v>0</v>
      </c>
      <c r="DZ41" s="272">
        <v>190093</v>
      </c>
      <c r="EA41" s="272">
        <v>129002</v>
      </c>
      <c r="EB41" s="272">
        <v>170544</v>
      </c>
      <c r="EC41" s="272">
        <v>13139</v>
      </c>
      <c r="ED41" s="272">
        <v>6608801</v>
      </c>
      <c r="EE41" s="89"/>
      <c r="EF41" s="272">
        <v>17639</v>
      </c>
      <c r="EG41" s="272">
        <v>15593</v>
      </c>
      <c r="EH41" s="272">
        <v>2046</v>
      </c>
      <c r="EI41" s="272">
        <v>15185</v>
      </c>
      <c r="EJ41" s="272">
        <v>15185</v>
      </c>
      <c r="EK41" s="89"/>
      <c r="EL41" s="272"/>
      <c r="EM41" s="272">
        <v>17838</v>
      </c>
      <c r="EN41" s="272">
        <v>1290</v>
      </c>
      <c r="EO41" s="272">
        <v>1023</v>
      </c>
      <c r="EP41" s="455">
        <f t="shared" si="12"/>
        <v>71994</v>
      </c>
      <c r="EQ41" s="272">
        <v>4393682</v>
      </c>
      <c r="ER41" s="272">
        <v>-286818</v>
      </c>
      <c r="ES41" s="272">
        <v>1077204</v>
      </c>
      <c r="ET41" s="272">
        <v>806905</v>
      </c>
      <c r="EU41" s="272">
        <v>253194</v>
      </c>
      <c r="EV41" s="272">
        <v>790612</v>
      </c>
      <c r="EW41" s="455">
        <f t="shared" si="13"/>
        <v>65254</v>
      </c>
      <c r="EX41" s="272">
        <v>63364</v>
      </c>
      <c r="EY41" s="272">
        <v>0</v>
      </c>
      <c r="EZ41" s="272">
        <v>63364</v>
      </c>
      <c r="FA41" s="272">
        <v>1890</v>
      </c>
      <c r="FB41" s="272">
        <v>0</v>
      </c>
      <c r="FC41" s="272">
        <v>881740</v>
      </c>
      <c r="FD41" s="272">
        <v>407214</v>
      </c>
      <c r="FE41" s="272">
        <v>6891</v>
      </c>
      <c r="FF41" s="272">
        <v>976071</v>
      </c>
      <c r="FG41" s="455">
        <f t="shared" si="14"/>
        <v>211572</v>
      </c>
      <c r="FH41" s="272">
        <v>4662861</v>
      </c>
      <c r="FI41" s="384">
        <f t="shared" si="15"/>
        <v>0.1</v>
      </c>
      <c r="FJ41" s="272">
        <v>3874442</v>
      </c>
      <c r="FK41" s="272">
        <v>216649</v>
      </c>
      <c r="FL41" s="272">
        <v>1949469</v>
      </c>
      <c r="FM41" s="272">
        <v>3293276</v>
      </c>
      <c r="FN41" s="460">
        <v>0.57099999999999995</v>
      </c>
      <c r="FO41" s="388">
        <v>100.8</v>
      </c>
      <c r="FP41" s="388">
        <v>25.9</v>
      </c>
      <c r="FQ41" s="388">
        <v>6.1</v>
      </c>
      <c r="FR41" s="388">
        <v>19.100000000000001</v>
      </c>
      <c r="FS41" s="388">
        <v>20</v>
      </c>
      <c r="FT41" s="388">
        <v>3.2</v>
      </c>
      <c r="FU41" s="388">
        <v>21.8</v>
      </c>
      <c r="FV41" s="384">
        <f t="shared" si="16"/>
        <v>8.5</v>
      </c>
      <c r="FW41" s="272">
        <v>8249223</v>
      </c>
      <c r="FX41" s="384">
        <f t="shared" si="17"/>
        <v>212.9</v>
      </c>
      <c r="FY41" s="272">
        <v>282702</v>
      </c>
      <c r="FZ41" s="272">
        <v>0</v>
      </c>
      <c r="GA41" s="272">
        <v>0</v>
      </c>
      <c r="GB41" s="272">
        <v>282702</v>
      </c>
      <c r="GC41" s="272"/>
      <c r="GD41" s="272"/>
      <c r="GE41" s="384"/>
      <c r="GF41" s="388">
        <v>97.6</v>
      </c>
      <c r="GG41" s="388">
        <v>20.399999999999999</v>
      </c>
      <c r="GH41" s="388">
        <v>90.6</v>
      </c>
      <c r="GI41" s="272">
        <v>154</v>
      </c>
      <c r="GJ41" s="461" t="s">
        <v>646</v>
      </c>
      <c r="GK41" s="461">
        <v>15</v>
      </c>
      <c r="GL41" s="462">
        <v>20</v>
      </c>
      <c r="GM41" s="461">
        <v>3.36</v>
      </c>
      <c r="GN41" s="462">
        <v>20</v>
      </c>
      <c r="GO41" s="462">
        <v>40</v>
      </c>
      <c r="GP41" s="463">
        <v>8.5</v>
      </c>
      <c r="GQ41" s="463">
        <v>25</v>
      </c>
      <c r="GR41" s="463">
        <v>35</v>
      </c>
      <c r="GS41" s="464">
        <v>248.1</v>
      </c>
      <c r="GT41" s="463">
        <v>350</v>
      </c>
      <c r="GU41" s="394"/>
      <c r="GV41" s="394"/>
      <c r="GW41" s="394"/>
      <c r="GX41" s="394"/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</row>
    <row r="42" spans="2:230" x14ac:dyDescent="0.15">
      <c r="B42" s="89" t="s">
        <v>77</v>
      </c>
      <c r="C42" s="272">
        <v>4685502</v>
      </c>
      <c r="D42" s="455">
        <f t="shared" si="0"/>
        <v>2441917</v>
      </c>
      <c r="E42" s="272">
        <v>58253</v>
      </c>
      <c r="F42" s="272">
        <v>2383664</v>
      </c>
      <c r="G42" s="455">
        <f t="shared" si="1"/>
        <v>220482</v>
      </c>
      <c r="H42" s="272">
        <v>47311</v>
      </c>
      <c r="I42" s="272">
        <v>173171</v>
      </c>
      <c r="J42" s="272">
        <v>1793570</v>
      </c>
      <c r="K42" s="272">
        <v>707606</v>
      </c>
      <c r="L42" s="272">
        <v>847827</v>
      </c>
      <c r="M42" s="272">
        <v>225070</v>
      </c>
      <c r="N42" s="272">
        <v>162028</v>
      </c>
      <c r="O42" s="272">
        <v>0</v>
      </c>
      <c r="P42" s="272">
        <v>0</v>
      </c>
      <c r="Q42" s="272">
        <v>0</v>
      </c>
      <c r="R42" s="272">
        <v>113849</v>
      </c>
      <c r="S42" s="272">
        <v>0</v>
      </c>
      <c r="T42" s="455">
        <f t="shared" si="2"/>
        <v>561214</v>
      </c>
      <c r="U42" s="272">
        <v>44705</v>
      </c>
      <c r="V42" s="272">
        <v>39571</v>
      </c>
      <c r="W42" s="272">
        <v>24118</v>
      </c>
      <c r="X42" s="272">
        <v>342195</v>
      </c>
      <c r="Y42" s="272">
        <v>12589</v>
      </c>
      <c r="Z42" s="272">
        <v>0</v>
      </c>
      <c r="AA42" s="272">
        <v>98036</v>
      </c>
      <c r="AB42" s="272">
        <v>37158</v>
      </c>
      <c r="AC42" s="272">
        <v>1811402</v>
      </c>
      <c r="AD42" s="272">
        <v>1631755</v>
      </c>
      <c r="AE42" s="272">
        <v>179647</v>
      </c>
      <c r="AF42" s="272">
        <v>9576</v>
      </c>
      <c r="AG42" s="272">
        <v>10246</v>
      </c>
      <c r="AH42" s="455">
        <f t="shared" si="3"/>
        <v>385864</v>
      </c>
      <c r="AI42" s="272">
        <v>332763</v>
      </c>
      <c r="AJ42" s="272">
        <v>53101</v>
      </c>
      <c r="AK42" s="272">
        <v>671789</v>
      </c>
      <c r="AL42" s="455">
        <f t="shared" si="4"/>
        <v>54401</v>
      </c>
      <c r="AM42" s="272">
        <v>0</v>
      </c>
      <c r="AN42" s="272">
        <v>54401</v>
      </c>
      <c r="AO42" s="272">
        <v>0</v>
      </c>
      <c r="AP42" s="272">
        <v>0</v>
      </c>
      <c r="AQ42" s="272">
        <v>274905</v>
      </c>
      <c r="AR42" s="272">
        <v>0</v>
      </c>
      <c r="AS42" s="272">
        <v>0</v>
      </c>
      <c r="AT42" s="272">
        <v>625045</v>
      </c>
      <c r="AU42" s="272">
        <v>273138</v>
      </c>
      <c r="AV42" s="272">
        <v>27201</v>
      </c>
      <c r="AW42" s="272">
        <v>34087</v>
      </c>
      <c r="AX42" s="272">
        <v>351907</v>
      </c>
      <c r="AY42" s="272">
        <v>18840</v>
      </c>
      <c r="AZ42" s="272">
        <v>11212</v>
      </c>
      <c r="BA42" s="272">
        <v>1222</v>
      </c>
      <c r="BB42" s="272">
        <v>200</v>
      </c>
      <c r="BC42" s="272">
        <v>515048</v>
      </c>
      <c r="BD42" s="272">
        <v>160000</v>
      </c>
      <c r="BE42" s="272">
        <v>0</v>
      </c>
      <c r="BF42" s="272">
        <v>354969</v>
      </c>
      <c r="BG42" s="272">
        <v>0</v>
      </c>
      <c r="BH42" s="272">
        <v>83602</v>
      </c>
      <c r="BI42" s="272">
        <v>45142</v>
      </c>
      <c r="BJ42" s="272">
        <v>258204</v>
      </c>
      <c r="BK42" s="272">
        <v>0</v>
      </c>
      <c r="BL42" s="272">
        <v>0</v>
      </c>
      <c r="BM42" s="272">
        <v>0</v>
      </c>
      <c r="BN42" s="272">
        <v>771700</v>
      </c>
      <c r="BO42" s="455">
        <f t="shared" si="5"/>
        <v>355700</v>
      </c>
      <c r="BP42" s="455">
        <f t="shared" si="6"/>
        <v>416000</v>
      </c>
      <c r="BQ42" s="272"/>
      <c r="BR42" s="272">
        <v>0</v>
      </c>
      <c r="BS42" s="272">
        <v>416000</v>
      </c>
      <c r="BT42" s="272">
        <v>0</v>
      </c>
      <c r="BU42" s="272">
        <v>10551611</v>
      </c>
      <c r="BV42" s="272"/>
      <c r="BW42" s="272">
        <v>3124247</v>
      </c>
      <c r="BX42" s="272">
        <v>2243251</v>
      </c>
      <c r="BY42" s="272">
        <v>213860</v>
      </c>
      <c r="BZ42" s="272">
        <v>155637</v>
      </c>
      <c r="CA42" s="272">
        <v>1111686</v>
      </c>
      <c r="CB42" s="272">
        <v>295751</v>
      </c>
      <c r="CC42" s="272">
        <v>58477</v>
      </c>
      <c r="CD42" s="272">
        <v>687446</v>
      </c>
      <c r="CE42" s="272">
        <v>0</v>
      </c>
      <c r="CF42" s="272">
        <v>0</v>
      </c>
      <c r="CG42" s="272">
        <v>70012</v>
      </c>
      <c r="CH42" s="272">
        <v>1326305</v>
      </c>
      <c r="CI42" s="272">
        <v>1138921</v>
      </c>
      <c r="CJ42" s="455">
        <f t="shared" si="7"/>
        <v>187384</v>
      </c>
      <c r="CK42" s="272">
        <v>1897085</v>
      </c>
      <c r="CL42" s="272">
        <v>972498</v>
      </c>
      <c r="CM42" s="272">
        <v>179272</v>
      </c>
      <c r="CN42" s="272">
        <v>420104</v>
      </c>
      <c r="CO42" s="272">
        <v>146590</v>
      </c>
      <c r="CP42" s="272">
        <v>381856</v>
      </c>
      <c r="CQ42" s="272">
        <v>6510</v>
      </c>
      <c r="CR42" s="272">
        <v>249426</v>
      </c>
      <c r="CS42" s="272">
        <v>83328</v>
      </c>
      <c r="CT42" s="455">
        <f t="shared" si="8"/>
        <v>6089</v>
      </c>
      <c r="CU42" s="272">
        <v>5228</v>
      </c>
      <c r="CV42" s="272">
        <v>861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1081449</v>
      </c>
      <c r="DD42" s="272">
        <v>671428</v>
      </c>
      <c r="DE42" s="272">
        <v>391329</v>
      </c>
      <c r="DF42" s="26">
        <v>12360</v>
      </c>
      <c r="DG42" s="27">
        <v>12360</v>
      </c>
      <c r="DH42" s="272">
        <v>21055</v>
      </c>
      <c r="DI42" s="272">
        <v>29329</v>
      </c>
      <c r="DJ42" s="272">
        <v>23000</v>
      </c>
      <c r="DK42" s="272">
        <v>680</v>
      </c>
      <c r="DL42" s="272">
        <v>5649</v>
      </c>
      <c r="DM42" s="272">
        <v>85600</v>
      </c>
      <c r="DN42" s="456">
        <v>85600</v>
      </c>
      <c r="DO42" s="272">
        <v>85600</v>
      </c>
      <c r="DP42" s="272">
        <v>0</v>
      </c>
      <c r="DQ42" s="272">
        <v>0</v>
      </c>
      <c r="DR42" s="272">
        <v>0</v>
      </c>
      <c r="DS42" s="272">
        <v>0</v>
      </c>
      <c r="DT42" s="272">
        <v>1279123</v>
      </c>
      <c r="DU42" s="272">
        <v>430300</v>
      </c>
      <c r="DV42" s="455">
        <f t="shared" si="11"/>
        <v>0</v>
      </c>
      <c r="DW42" s="272">
        <v>0</v>
      </c>
      <c r="DX42" s="272"/>
      <c r="DY42" s="272">
        <v>0</v>
      </c>
      <c r="DZ42" s="272">
        <v>269529</v>
      </c>
      <c r="EA42" s="272">
        <v>254354</v>
      </c>
      <c r="EB42" s="272">
        <v>323857</v>
      </c>
      <c r="EC42" s="272">
        <v>0</v>
      </c>
      <c r="ED42" s="272">
        <v>10484325</v>
      </c>
      <c r="EE42" s="89"/>
      <c r="EF42" s="272">
        <v>67286</v>
      </c>
      <c r="EG42" s="272">
        <v>12201</v>
      </c>
      <c r="EH42" s="272">
        <v>55085</v>
      </c>
      <c r="EI42" s="272">
        <v>9943</v>
      </c>
      <c r="EJ42" s="272">
        <v>-127057</v>
      </c>
      <c r="EK42" s="89"/>
      <c r="EL42" s="272"/>
      <c r="EM42" s="272">
        <v>44427</v>
      </c>
      <c r="EN42" s="272">
        <v>214924</v>
      </c>
      <c r="EO42" s="272">
        <v>2692</v>
      </c>
      <c r="EP42" s="455">
        <f t="shared" si="12"/>
        <v>280613</v>
      </c>
      <c r="EQ42" s="272">
        <v>7218701</v>
      </c>
      <c r="ER42" s="272">
        <v>-904653</v>
      </c>
      <c r="ES42" s="272">
        <v>2886399</v>
      </c>
      <c r="ET42" s="272">
        <v>2022341</v>
      </c>
      <c r="EU42" s="272">
        <v>520180</v>
      </c>
      <c r="EV42" s="272">
        <v>1326305</v>
      </c>
      <c r="EW42" s="455">
        <f t="shared" si="13"/>
        <v>146134</v>
      </c>
      <c r="EX42" s="272">
        <v>132579</v>
      </c>
      <c r="EY42" s="272">
        <v>3163</v>
      </c>
      <c r="EZ42" s="272">
        <v>129366</v>
      </c>
      <c r="FA42" s="272">
        <v>13555</v>
      </c>
      <c r="FB42" s="272">
        <v>0</v>
      </c>
      <c r="FC42" s="272">
        <v>1523195</v>
      </c>
      <c r="FD42" s="272">
        <v>317638</v>
      </c>
      <c r="FE42" s="272">
        <v>6510</v>
      </c>
      <c r="FF42" s="272">
        <v>1168210</v>
      </c>
      <c r="FG42" s="455">
        <f t="shared" si="14"/>
        <v>168007</v>
      </c>
      <c r="FH42" s="272">
        <v>8056068</v>
      </c>
      <c r="FI42" s="384">
        <f t="shared" si="15"/>
        <v>0.8</v>
      </c>
      <c r="FJ42" s="272">
        <v>7025197</v>
      </c>
      <c r="FK42" s="272">
        <v>416724</v>
      </c>
      <c r="FL42" s="272">
        <v>4149008</v>
      </c>
      <c r="FM42" s="272">
        <v>5787597</v>
      </c>
      <c r="FN42" s="460">
        <v>0.70599999999999996</v>
      </c>
      <c r="FO42" s="388">
        <v>96.2</v>
      </c>
      <c r="FP42" s="388">
        <v>36.200000000000003</v>
      </c>
      <c r="FQ42" s="388">
        <v>6.9</v>
      </c>
      <c r="FR42" s="388">
        <v>17.5</v>
      </c>
      <c r="FS42" s="388">
        <v>18.8</v>
      </c>
      <c r="FT42" s="388">
        <v>3.9</v>
      </c>
      <c r="FU42" s="388">
        <v>11.1</v>
      </c>
      <c r="FV42" s="384">
        <f t="shared" si="16"/>
        <v>10.7</v>
      </c>
      <c r="FW42" s="272">
        <v>9958983</v>
      </c>
      <c r="FX42" s="384">
        <f t="shared" si="17"/>
        <v>141.80000000000001</v>
      </c>
      <c r="FY42" s="272">
        <v>3879531</v>
      </c>
      <c r="FZ42" s="272">
        <v>1066158</v>
      </c>
      <c r="GA42" s="272">
        <v>610841</v>
      </c>
      <c r="GB42" s="272">
        <v>2202532</v>
      </c>
      <c r="GC42" s="272">
        <v>779559</v>
      </c>
      <c r="GD42" s="272">
        <v>780491</v>
      </c>
      <c r="GE42" s="384">
        <f>ROUND(GD42/FJ42*100,1)</f>
        <v>11.1</v>
      </c>
      <c r="GF42" s="388">
        <v>98.1</v>
      </c>
      <c r="GG42" s="388">
        <v>25.1</v>
      </c>
      <c r="GH42" s="388">
        <v>92.8</v>
      </c>
      <c r="GI42" s="272">
        <v>363</v>
      </c>
      <c r="GJ42" s="461" t="s">
        <v>646</v>
      </c>
      <c r="GK42" s="461">
        <v>13.91</v>
      </c>
      <c r="GL42" s="462">
        <v>20</v>
      </c>
      <c r="GM42" s="461" t="s">
        <v>646</v>
      </c>
      <c r="GN42" s="462">
        <v>18.91</v>
      </c>
      <c r="GO42" s="462">
        <v>40</v>
      </c>
      <c r="GP42" s="463">
        <v>10.7</v>
      </c>
      <c r="GQ42" s="463">
        <v>25</v>
      </c>
      <c r="GR42" s="463">
        <v>35</v>
      </c>
      <c r="GS42" s="464">
        <v>89.3</v>
      </c>
      <c r="GT42" s="463">
        <v>350</v>
      </c>
      <c r="GU42" s="394"/>
      <c r="GV42" s="394"/>
      <c r="GW42" s="394"/>
      <c r="GX42" s="394"/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</row>
    <row r="43" spans="2:230" x14ac:dyDescent="0.15">
      <c r="B43" s="89" t="s">
        <v>79</v>
      </c>
      <c r="C43" s="272">
        <v>4916322</v>
      </c>
      <c r="D43" s="455">
        <f t="shared" si="0"/>
        <v>343630</v>
      </c>
      <c r="E43" s="272">
        <v>9620</v>
      </c>
      <c r="F43" s="272">
        <v>334010</v>
      </c>
      <c r="G43" s="455">
        <f t="shared" si="1"/>
        <v>174023</v>
      </c>
      <c r="H43" s="272">
        <v>45299</v>
      </c>
      <c r="I43" s="272">
        <v>128724</v>
      </c>
      <c r="J43" s="272">
        <v>2603969</v>
      </c>
      <c r="K43" s="272">
        <v>1171309</v>
      </c>
      <c r="L43" s="272">
        <v>762691</v>
      </c>
      <c r="M43" s="272">
        <v>620446</v>
      </c>
      <c r="N43" s="272">
        <v>1784258</v>
      </c>
      <c r="O43" s="272">
        <v>0</v>
      </c>
      <c r="P43" s="272">
        <v>0</v>
      </c>
      <c r="Q43" s="272">
        <v>0</v>
      </c>
      <c r="R43" s="272">
        <v>49506</v>
      </c>
      <c r="S43" s="272">
        <v>0</v>
      </c>
      <c r="T43" s="455">
        <f t="shared" si="2"/>
        <v>138847</v>
      </c>
      <c r="U43" s="272">
        <v>5982</v>
      </c>
      <c r="V43" s="272">
        <v>5298</v>
      </c>
      <c r="W43" s="272">
        <v>3222</v>
      </c>
      <c r="X43" s="272">
        <v>108543</v>
      </c>
      <c r="Y43" s="272">
        <v>0</v>
      </c>
      <c r="Z43" s="272">
        <v>0</v>
      </c>
      <c r="AA43" s="272">
        <v>15802</v>
      </c>
      <c r="AB43" s="272">
        <v>5309</v>
      </c>
      <c r="AC43" s="272">
        <v>6122</v>
      </c>
      <c r="AD43" s="272">
        <v>0</v>
      </c>
      <c r="AE43" s="272">
        <v>6122</v>
      </c>
      <c r="AF43" s="272">
        <v>1538</v>
      </c>
      <c r="AG43" s="272">
        <v>1443</v>
      </c>
      <c r="AH43" s="455">
        <f t="shared" si="3"/>
        <v>94268</v>
      </c>
      <c r="AI43" s="272">
        <v>85279</v>
      </c>
      <c r="AJ43" s="272">
        <v>8989</v>
      </c>
      <c r="AK43" s="272">
        <v>110501</v>
      </c>
      <c r="AL43" s="455">
        <f t="shared" si="4"/>
        <v>0</v>
      </c>
      <c r="AM43" s="272">
        <v>0</v>
      </c>
      <c r="AN43" s="272">
        <v>0</v>
      </c>
      <c r="AO43" s="272">
        <v>0</v>
      </c>
      <c r="AP43" s="272">
        <v>0</v>
      </c>
      <c r="AQ43" s="272">
        <v>15654</v>
      </c>
      <c r="AR43" s="272">
        <v>0</v>
      </c>
      <c r="AS43" s="272">
        <v>0</v>
      </c>
      <c r="AT43" s="272">
        <v>138116</v>
      </c>
      <c r="AU43" s="272">
        <v>58621</v>
      </c>
      <c r="AV43" s="272">
        <v>0</v>
      </c>
      <c r="AW43" s="272">
        <v>1140</v>
      </c>
      <c r="AX43" s="272">
        <v>79495</v>
      </c>
      <c r="AY43" s="272">
        <v>67</v>
      </c>
      <c r="AZ43" s="272">
        <v>29250</v>
      </c>
      <c r="BA43" s="272">
        <v>23620</v>
      </c>
      <c r="BB43" s="272">
        <v>179</v>
      </c>
      <c r="BC43" s="272">
        <v>1405985</v>
      </c>
      <c r="BD43" s="272">
        <v>1040000</v>
      </c>
      <c r="BE43" s="272">
        <v>0</v>
      </c>
      <c r="BF43" s="272">
        <v>60046</v>
      </c>
      <c r="BG43" s="272">
        <v>0</v>
      </c>
      <c r="BH43" s="272">
        <v>143020</v>
      </c>
      <c r="BI43" s="272">
        <v>143020</v>
      </c>
      <c r="BJ43" s="272">
        <v>48523</v>
      </c>
      <c r="BK43" s="272">
        <v>0</v>
      </c>
      <c r="BL43" s="272">
        <v>0</v>
      </c>
      <c r="BM43" s="272">
        <v>0</v>
      </c>
      <c r="BN43" s="272">
        <v>0</v>
      </c>
      <c r="BO43" s="455">
        <f t="shared" si="5"/>
        <v>0</v>
      </c>
      <c r="BP43" s="455">
        <f t="shared" si="6"/>
        <v>0</v>
      </c>
      <c r="BQ43" s="272"/>
      <c r="BR43" s="272">
        <v>0</v>
      </c>
      <c r="BS43" s="272">
        <v>0</v>
      </c>
      <c r="BT43" s="272">
        <v>0</v>
      </c>
      <c r="BU43" s="272">
        <v>7088929</v>
      </c>
      <c r="BV43" s="272"/>
      <c r="BW43" s="272">
        <v>1223822</v>
      </c>
      <c r="BX43" s="272">
        <v>770469</v>
      </c>
      <c r="BY43" s="272">
        <v>100893</v>
      </c>
      <c r="BZ43" s="272">
        <v>123980</v>
      </c>
      <c r="CA43" s="272">
        <v>237142</v>
      </c>
      <c r="CB43" s="272">
        <v>91264</v>
      </c>
      <c r="CC43" s="272">
        <v>23976</v>
      </c>
      <c r="CD43" s="272">
        <v>115704</v>
      </c>
      <c r="CE43" s="272">
        <v>0</v>
      </c>
      <c r="CF43" s="272">
        <v>0</v>
      </c>
      <c r="CG43" s="272">
        <v>6198</v>
      </c>
      <c r="CH43" s="272">
        <v>1245273</v>
      </c>
      <c r="CI43" s="272">
        <v>1144369</v>
      </c>
      <c r="CJ43" s="455">
        <f t="shared" si="7"/>
        <v>100904</v>
      </c>
      <c r="CK43" s="272">
        <v>385261</v>
      </c>
      <c r="CL43" s="272">
        <v>213381</v>
      </c>
      <c r="CM43" s="272">
        <v>18447</v>
      </c>
      <c r="CN43" s="272">
        <v>111504</v>
      </c>
      <c r="CO43" s="272">
        <v>13665</v>
      </c>
      <c r="CP43" s="272">
        <v>1970583</v>
      </c>
      <c r="CQ43" s="272">
        <v>154700</v>
      </c>
      <c r="CR43" s="272">
        <v>62673</v>
      </c>
      <c r="CS43" s="272">
        <v>62024</v>
      </c>
      <c r="CT43" s="455">
        <f t="shared" si="8"/>
        <v>13332</v>
      </c>
      <c r="CU43" s="272">
        <v>0</v>
      </c>
      <c r="CV43" s="272">
        <v>13332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187518</v>
      </c>
      <c r="DD43" s="272">
        <v>53327</v>
      </c>
      <c r="DE43" s="272">
        <v>134191</v>
      </c>
      <c r="DF43" s="26">
        <v>0</v>
      </c>
      <c r="DG43" s="27">
        <v>0</v>
      </c>
      <c r="DH43" s="272">
        <v>0</v>
      </c>
      <c r="DI43" s="272">
        <v>408631</v>
      </c>
      <c r="DJ43" s="272">
        <v>381986</v>
      </c>
      <c r="DK43" s="272">
        <v>0</v>
      </c>
      <c r="DL43" s="272">
        <v>26645</v>
      </c>
      <c r="DM43" s="272">
        <v>0</v>
      </c>
      <c r="DN43" s="272">
        <v>0</v>
      </c>
      <c r="DO43" s="272">
        <v>0</v>
      </c>
      <c r="DP43" s="272">
        <v>0</v>
      </c>
      <c r="DQ43" s="272">
        <v>730000</v>
      </c>
      <c r="DR43" s="272">
        <v>0</v>
      </c>
      <c r="DS43" s="272">
        <v>0</v>
      </c>
      <c r="DT43" s="272">
        <v>580549</v>
      </c>
      <c r="DU43" s="272">
        <v>337775</v>
      </c>
      <c r="DV43" s="455">
        <f t="shared" si="11"/>
        <v>0</v>
      </c>
      <c r="DW43" s="272">
        <v>0</v>
      </c>
      <c r="DX43" s="272"/>
      <c r="DY43" s="272">
        <v>0</v>
      </c>
      <c r="DZ43" s="272">
        <v>97228</v>
      </c>
      <c r="EA43" s="272">
        <v>63883</v>
      </c>
      <c r="EB43" s="272">
        <v>81410</v>
      </c>
      <c r="EC43" s="272">
        <v>0</v>
      </c>
      <c r="ED43" s="272">
        <v>6982444</v>
      </c>
      <c r="EE43" s="89"/>
      <c r="EF43" s="272">
        <v>106485</v>
      </c>
      <c r="EG43" s="272">
        <v>0</v>
      </c>
      <c r="EH43" s="272">
        <v>106485</v>
      </c>
      <c r="EI43" s="272">
        <v>-36535</v>
      </c>
      <c r="EJ43" s="272">
        <v>23931</v>
      </c>
      <c r="EK43" s="89"/>
      <c r="EL43" s="272"/>
      <c r="EM43" s="272">
        <v>8079</v>
      </c>
      <c r="EN43" s="272">
        <v>1366572</v>
      </c>
      <c r="EO43" s="272">
        <v>23621</v>
      </c>
      <c r="EP43" s="455">
        <f t="shared" si="12"/>
        <v>181017</v>
      </c>
      <c r="EQ43" s="272">
        <v>5117644</v>
      </c>
      <c r="ER43" s="272">
        <v>-1569672</v>
      </c>
      <c r="ES43" s="272">
        <v>1142966</v>
      </c>
      <c r="ET43" s="272">
        <v>699114</v>
      </c>
      <c r="EU43" s="272">
        <v>96734</v>
      </c>
      <c r="EV43" s="272">
        <v>1245273</v>
      </c>
      <c r="EW43" s="455">
        <f t="shared" si="13"/>
        <v>125705</v>
      </c>
      <c r="EX43" s="272">
        <v>125705</v>
      </c>
      <c r="EY43" s="272">
        <v>36533</v>
      </c>
      <c r="EZ43" s="272">
        <v>89172</v>
      </c>
      <c r="FA43" s="272">
        <v>0</v>
      </c>
      <c r="FB43" s="272">
        <v>0</v>
      </c>
      <c r="FC43" s="272">
        <v>313726</v>
      </c>
      <c r="FD43" s="272">
        <v>1959481</v>
      </c>
      <c r="FE43" s="272">
        <v>154700</v>
      </c>
      <c r="FF43" s="272">
        <v>551035</v>
      </c>
      <c r="FG43" s="455">
        <f t="shared" si="14"/>
        <v>1145911</v>
      </c>
      <c r="FH43" s="272">
        <v>6580831</v>
      </c>
      <c r="FI43" s="384">
        <f t="shared" si="15"/>
        <v>3.1</v>
      </c>
      <c r="FJ43" s="272">
        <v>3442918</v>
      </c>
      <c r="FK43" s="272">
        <v>138297</v>
      </c>
      <c r="FL43" s="272">
        <v>2611326</v>
      </c>
      <c r="FM43" s="272">
        <v>1744782</v>
      </c>
      <c r="FN43" s="460">
        <v>1.583</v>
      </c>
      <c r="FO43" s="388">
        <v>55.8</v>
      </c>
      <c r="FP43" s="388">
        <v>21.2</v>
      </c>
      <c r="FQ43" s="388">
        <v>1.9</v>
      </c>
      <c r="FR43" s="388">
        <v>10.3</v>
      </c>
      <c r="FS43" s="388">
        <v>5.5</v>
      </c>
      <c r="FT43" s="388">
        <v>7.6</v>
      </c>
      <c r="FU43" s="388">
        <v>9.1</v>
      </c>
      <c r="FV43" s="384">
        <f t="shared" si="16"/>
        <v>14.6</v>
      </c>
      <c r="FW43" s="272">
        <v>3975361</v>
      </c>
      <c r="FX43" s="384">
        <f t="shared" si="17"/>
        <v>115.5</v>
      </c>
      <c r="FY43" s="272">
        <v>3385315</v>
      </c>
      <c r="FZ43" s="272">
        <v>2880839</v>
      </c>
      <c r="GA43" s="272">
        <v>0</v>
      </c>
      <c r="GB43" s="272">
        <v>504476</v>
      </c>
      <c r="GC43" s="272"/>
      <c r="GD43" s="272">
        <v>751422</v>
      </c>
      <c r="GE43" s="384">
        <f>ROUND(GD43/FJ43*100,1)</f>
        <v>21.8</v>
      </c>
      <c r="GF43" s="388">
        <v>99.9</v>
      </c>
      <c r="GG43" s="388">
        <v>44.6</v>
      </c>
      <c r="GH43" s="388">
        <v>99.5</v>
      </c>
      <c r="GI43" s="272">
        <v>125</v>
      </c>
      <c r="GJ43" s="461" t="s">
        <v>646</v>
      </c>
      <c r="GK43" s="461">
        <v>15</v>
      </c>
      <c r="GL43" s="462">
        <v>20</v>
      </c>
      <c r="GM43" s="461" t="s">
        <v>646</v>
      </c>
      <c r="GN43" s="462">
        <v>20</v>
      </c>
      <c r="GO43" s="462">
        <v>40</v>
      </c>
      <c r="GP43" s="463">
        <v>14.6</v>
      </c>
      <c r="GQ43" s="463">
        <v>25</v>
      </c>
      <c r="GR43" s="463">
        <v>35</v>
      </c>
      <c r="GS43" s="464">
        <v>129.1</v>
      </c>
      <c r="GT43" s="463">
        <v>350</v>
      </c>
      <c r="GU43" s="394"/>
      <c r="GV43" s="394"/>
      <c r="GW43" s="394"/>
      <c r="GX43" s="394"/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</row>
    <row r="44" spans="2:230" x14ac:dyDescent="0.15">
      <c r="B44" s="89" t="s">
        <v>81</v>
      </c>
      <c r="C44" s="272">
        <v>2389541</v>
      </c>
      <c r="D44" s="455">
        <f t="shared" si="0"/>
        <v>813992</v>
      </c>
      <c r="E44" s="272">
        <v>23729</v>
      </c>
      <c r="F44" s="272">
        <v>790263</v>
      </c>
      <c r="G44" s="455">
        <f t="shared" si="1"/>
        <v>73049</v>
      </c>
      <c r="H44" s="272">
        <v>29048</v>
      </c>
      <c r="I44" s="272">
        <v>44001</v>
      </c>
      <c r="J44" s="272">
        <v>1392487</v>
      </c>
      <c r="K44" s="272">
        <v>493042</v>
      </c>
      <c r="L44" s="272">
        <v>525815</v>
      </c>
      <c r="M44" s="272">
        <v>368616</v>
      </c>
      <c r="N44" s="272">
        <v>81044</v>
      </c>
      <c r="O44" s="272">
        <v>0</v>
      </c>
      <c r="P44" s="272">
        <v>0</v>
      </c>
      <c r="Q44" s="272">
        <v>0</v>
      </c>
      <c r="R44" s="272">
        <v>62103</v>
      </c>
      <c r="S44" s="272">
        <v>0</v>
      </c>
      <c r="T44" s="455">
        <f t="shared" si="2"/>
        <v>293815</v>
      </c>
      <c r="U44" s="272">
        <v>14946</v>
      </c>
      <c r="V44" s="272">
        <v>13234</v>
      </c>
      <c r="W44" s="272">
        <v>8048</v>
      </c>
      <c r="X44" s="272">
        <v>149705</v>
      </c>
      <c r="Y44" s="272">
        <v>54406</v>
      </c>
      <c r="Z44" s="272">
        <v>0</v>
      </c>
      <c r="AA44" s="272">
        <v>53476</v>
      </c>
      <c r="AB44" s="272">
        <v>11102</v>
      </c>
      <c r="AC44" s="272">
        <v>1718749</v>
      </c>
      <c r="AD44" s="272">
        <v>1476820</v>
      </c>
      <c r="AE44" s="272">
        <v>241929</v>
      </c>
      <c r="AF44" s="272">
        <v>5027</v>
      </c>
      <c r="AG44" s="272">
        <v>7906</v>
      </c>
      <c r="AH44" s="455">
        <f t="shared" si="3"/>
        <v>170197</v>
      </c>
      <c r="AI44" s="272">
        <v>151482</v>
      </c>
      <c r="AJ44" s="272">
        <v>18715</v>
      </c>
      <c r="AK44" s="272">
        <v>244795</v>
      </c>
      <c r="AL44" s="455">
        <f t="shared" si="4"/>
        <v>0</v>
      </c>
      <c r="AM44" s="272">
        <v>0</v>
      </c>
      <c r="AN44" s="272">
        <v>0</v>
      </c>
      <c r="AO44" s="272">
        <v>0</v>
      </c>
      <c r="AP44" s="272">
        <v>0</v>
      </c>
      <c r="AQ44" s="272">
        <v>48662</v>
      </c>
      <c r="AR44" s="272">
        <v>0</v>
      </c>
      <c r="AS44" s="272">
        <v>0</v>
      </c>
      <c r="AT44" s="272">
        <v>869054</v>
      </c>
      <c r="AU44" s="272">
        <v>139300</v>
      </c>
      <c r="AV44" s="272">
        <v>0</v>
      </c>
      <c r="AW44" s="272">
        <v>0</v>
      </c>
      <c r="AX44" s="272">
        <v>729754</v>
      </c>
      <c r="AY44" s="272">
        <v>464620</v>
      </c>
      <c r="AZ44" s="272">
        <v>4085</v>
      </c>
      <c r="BA44" s="272">
        <v>2439</v>
      </c>
      <c r="BB44" s="272">
        <v>1748</v>
      </c>
      <c r="BC44" s="272">
        <v>30802</v>
      </c>
      <c r="BD44" s="272">
        <v>0</v>
      </c>
      <c r="BE44" s="272">
        <v>0</v>
      </c>
      <c r="BF44" s="272">
        <v>0</v>
      </c>
      <c r="BG44" s="272">
        <v>0</v>
      </c>
      <c r="BH44" s="272">
        <v>37978</v>
      </c>
      <c r="BI44" s="272">
        <v>16031</v>
      </c>
      <c r="BJ44" s="272">
        <v>252145</v>
      </c>
      <c r="BK44" s="272">
        <v>19724</v>
      </c>
      <c r="BL44" s="272">
        <v>0</v>
      </c>
      <c r="BM44" s="272">
        <v>0</v>
      </c>
      <c r="BN44" s="272">
        <v>411391</v>
      </c>
      <c r="BO44" s="455">
        <f t="shared" si="5"/>
        <v>152400</v>
      </c>
      <c r="BP44" s="455">
        <f t="shared" si="6"/>
        <v>213491</v>
      </c>
      <c r="BQ44" s="272"/>
      <c r="BR44" s="272">
        <v>0</v>
      </c>
      <c r="BS44" s="272">
        <v>213491</v>
      </c>
      <c r="BT44" s="272">
        <v>45500</v>
      </c>
      <c r="BU44" s="272">
        <v>6510438</v>
      </c>
      <c r="BV44" s="272"/>
      <c r="BW44" s="272">
        <v>1425577</v>
      </c>
      <c r="BX44" s="272">
        <v>1007394</v>
      </c>
      <c r="BY44" s="272">
        <v>109317</v>
      </c>
      <c r="BZ44" s="272">
        <v>20560</v>
      </c>
      <c r="CA44" s="272">
        <v>469243</v>
      </c>
      <c r="CB44" s="272">
        <v>215124</v>
      </c>
      <c r="CC44" s="272">
        <v>42439</v>
      </c>
      <c r="CD44" s="272">
        <v>200235</v>
      </c>
      <c r="CE44" s="272">
        <v>0</v>
      </c>
      <c r="CF44" s="272">
        <v>0</v>
      </c>
      <c r="CG44" s="272">
        <v>11445</v>
      </c>
      <c r="CH44" s="272">
        <v>1198538</v>
      </c>
      <c r="CI44" s="272">
        <v>972268</v>
      </c>
      <c r="CJ44" s="455">
        <f t="shared" si="7"/>
        <v>226270</v>
      </c>
      <c r="CK44" s="272">
        <v>1043113</v>
      </c>
      <c r="CL44" s="272">
        <v>485812</v>
      </c>
      <c r="CM44" s="272">
        <v>198903</v>
      </c>
      <c r="CN44" s="272">
        <v>271138</v>
      </c>
      <c r="CO44" s="272">
        <v>59156</v>
      </c>
      <c r="CP44" s="272">
        <v>496700</v>
      </c>
      <c r="CQ44" s="272">
        <v>297509</v>
      </c>
      <c r="CR44" s="272">
        <v>105693</v>
      </c>
      <c r="CS44" s="272">
        <v>89282</v>
      </c>
      <c r="CT44" s="455">
        <f t="shared" si="8"/>
        <v>7380</v>
      </c>
      <c r="CU44" s="272">
        <v>7380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839560</v>
      </c>
      <c r="DD44" s="272">
        <v>102926</v>
      </c>
      <c r="DE44" s="272">
        <v>228793</v>
      </c>
      <c r="DF44" s="26">
        <v>30813</v>
      </c>
      <c r="DG44" s="27">
        <v>30813</v>
      </c>
      <c r="DH44" s="272">
        <v>100</v>
      </c>
      <c r="DI44" s="272">
        <v>100005</v>
      </c>
      <c r="DJ44" s="272">
        <v>99460</v>
      </c>
      <c r="DK44" s="272">
        <v>112</v>
      </c>
      <c r="DL44" s="272">
        <v>433</v>
      </c>
      <c r="DM44" s="272">
        <v>0</v>
      </c>
      <c r="DN44" s="272">
        <v>0</v>
      </c>
      <c r="DO44" s="272">
        <v>0</v>
      </c>
      <c r="DP44" s="272">
        <v>0</v>
      </c>
      <c r="DQ44" s="272">
        <v>0</v>
      </c>
      <c r="DR44" s="272">
        <v>0</v>
      </c>
      <c r="DS44" s="272">
        <v>0</v>
      </c>
      <c r="DT44" s="272">
        <v>859718</v>
      </c>
      <c r="DU44" s="272">
        <v>266447</v>
      </c>
      <c r="DV44" s="455">
        <f t="shared" si="11"/>
        <v>0</v>
      </c>
      <c r="DW44" s="272">
        <v>0</v>
      </c>
      <c r="DX44" s="272"/>
      <c r="DY44" s="272">
        <v>0</v>
      </c>
      <c r="DZ44" s="272">
        <v>163377</v>
      </c>
      <c r="EA44" s="272">
        <v>177992</v>
      </c>
      <c r="EB44" s="272">
        <v>235368</v>
      </c>
      <c r="EC44" s="272">
        <v>0</v>
      </c>
      <c r="ED44" s="272">
        <v>6491710</v>
      </c>
      <c r="EE44" s="89"/>
      <c r="EF44" s="272">
        <v>18728</v>
      </c>
      <c r="EG44" s="272">
        <v>0</v>
      </c>
      <c r="EH44" s="272">
        <v>18728</v>
      </c>
      <c r="EI44" s="272">
        <v>2697</v>
      </c>
      <c r="EJ44" s="272">
        <v>102294</v>
      </c>
      <c r="EK44" s="89"/>
      <c r="EL44" s="272"/>
      <c r="EM44" s="272">
        <v>18615</v>
      </c>
      <c r="EN44" s="272">
        <v>0</v>
      </c>
      <c r="EO44" s="272">
        <v>3080</v>
      </c>
      <c r="EP44" s="455">
        <f t="shared" si="12"/>
        <v>169758</v>
      </c>
      <c r="EQ44" s="272">
        <v>4480337</v>
      </c>
      <c r="ER44" s="272">
        <v>-381302</v>
      </c>
      <c r="ES44" s="272">
        <v>1260745</v>
      </c>
      <c r="ET44" s="272">
        <v>891304</v>
      </c>
      <c r="EU44" s="272">
        <v>202255</v>
      </c>
      <c r="EV44" s="272">
        <v>1154107</v>
      </c>
      <c r="EW44" s="455">
        <f t="shared" si="13"/>
        <v>64375</v>
      </c>
      <c r="EX44" s="272">
        <v>64275</v>
      </c>
      <c r="EY44" s="272">
        <v>662</v>
      </c>
      <c r="EZ44" s="272">
        <v>63364</v>
      </c>
      <c r="FA44" s="272">
        <v>100</v>
      </c>
      <c r="FB44" s="272">
        <v>0</v>
      </c>
      <c r="FC44" s="272">
        <v>773488</v>
      </c>
      <c r="FD44" s="272">
        <v>456827</v>
      </c>
      <c r="FE44" s="272">
        <v>297509</v>
      </c>
      <c r="FF44" s="272">
        <v>775982</v>
      </c>
      <c r="FG44" s="455">
        <f t="shared" si="14"/>
        <v>155132</v>
      </c>
      <c r="FH44" s="272">
        <v>4842911</v>
      </c>
      <c r="FI44" s="384">
        <f t="shared" si="15"/>
        <v>0.5</v>
      </c>
      <c r="FJ44" s="272">
        <v>4038304</v>
      </c>
      <c r="FK44" s="272">
        <v>213491</v>
      </c>
      <c r="FL44" s="272">
        <v>1972167</v>
      </c>
      <c r="FM44" s="272">
        <v>3455454</v>
      </c>
      <c r="FN44" s="460">
        <v>0.57999999999999996</v>
      </c>
      <c r="FO44" s="388">
        <v>98.3</v>
      </c>
      <c r="FP44" s="388">
        <v>27</v>
      </c>
      <c r="FQ44" s="388">
        <v>4.5</v>
      </c>
      <c r="FR44" s="388">
        <v>25.6</v>
      </c>
      <c r="FS44" s="388">
        <v>15.5</v>
      </c>
      <c r="FT44" s="388">
        <v>9.1</v>
      </c>
      <c r="FU44" s="388">
        <v>15.4</v>
      </c>
      <c r="FV44" s="384">
        <f t="shared" si="16"/>
        <v>17.3</v>
      </c>
      <c r="FW44" s="272">
        <v>10664284</v>
      </c>
      <c r="FX44" s="384">
        <f t="shared" si="17"/>
        <v>264.10000000000002</v>
      </c>
      <c r="FY44" s="272">
        <v>529712</v>
      </c>
      <c r="FZ44" s="272">
        <v>256518</v>
      </c>
      <c r="GA44" s="272">
        <v>38139</v>
      </c>
      <c r="GB44" s="272">
        <v>235055</v>
      </c>
      <c r="GC44" s="272"/>
      <c r="GD44" s="272"/>
      <c r="GE44" s="384"/>
      <c r="GF44" s="388">
        <v>98.4</v>
      </c>
      <c r="GG44" s="388">
        <v>18.899999999999999</v>
      </c>
      <c r="GH44" s="388">
        <v>93.3</v>
      </c>
      <c r="GI44" s="272">
        <v>156</v>
      </c>
      <c r="GJ44" s="461" t="s">
        <v>646</v>
      </c>
      <c r="GK44" s="461">
        <v>15</v>
      </c>
      <c r="GL44" s="462">
        <v>20</v>
      </c>
      <c r="GM44" s="461" t="s">
        <v>646</v>
      </c>
      <c r="GN44" s="462">
        <v>20</v>
      </c>
      <c r="GO44" s="462">
        <v>40</v>
      </c>
      <c r="GP44" s="463">
        <v>17.3</v>
      </c>
      <c r="GQ44" s="463">
        <v>25</v>
      </c>
      <c r="GR44" s="463">
        <v>35</v>
      </c>
      <c r="GS44" s="464">
        <v>223.7</v>
      </c>
      <c r="GT44" s="463">
        <v>350</v>
      </c>
      <c r="GU44" s="394"/>
      <c r="GV44" s="394"/>
      <c r="GW44" s="394"/>
      <c r="GX44" s="394"/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</row>
    <row r="45" spans="2:230" x14ac:dyDescent="0.15">
      <c r="B45" s="89" t="s">
        <v>83</v>
      </c>
      <c r="C45" s="272">
        <v>1765329</v>
      </c>
      <c r="D45" s="455">
        <f t="shared" si="0"/>
        <v>752973</v>
      </c>
      <c r="E45" s="272">
        <v>17948</v>
      </c>
      <c r="F45" s="272">
        <v>735025</v>
      </c>
      <c r="G45" s="455">
        <f t="shared" si="1"/>
        <v>35604</v>
      </c>
      <c r="H45" s="272">
        <v>16131</v>
      </c>
      <c r="I45" s="272">
        <v>19473</v>
      </c>
      <c r="J45" s="272">
        <v>594259</v>
      </c>
      <c r="K45" s="272">
        <v>248364</v>
      </c>
      <c r="L45" s="272">
        <v>275718</v>
      </c>
      <c r="M45" s="272">
        <v>70152</v>
      </c>
      <c r="N45" s="272">
        <v>358234</v>
      </c>
      <c r="O45" s="272">
        <v>0</v>
      </c>
      <c r="P45" s="272">
        <v>0</v>
      </c>
      <c r="Q45" s="272">
        <v>0</v>
      </c>
      <c r="R45" s="272">
        <v>45470</v>
      </c>
      <c r="S45" s="272">
        <v>0</v>
      </c>
      <c r="T45" s="455">
        <f t="shared" si="2"/>
        <v>208650</v>
      </c>
      <c r="U45" s="272">
        <v>14329</v>
      </c>
      <c r="V45" s="272">
        <v>12685</v>
      </c>
      <c r="W45" s="272">
        <v>7721</v>
      </c>
      <c r="X45" s="272">
        <v>108868</v>
      </c>
      <c r="Y45" s="272">
        <v>25894</v>
      </c>
      <c r="Z45" s="272">
        <v>0</v>
      </c>
      <c r="AA45" s="272">
        <v>39153</v>
      </c>
      <c r="AB45" s="272">
        <v>7094</v>
      </c>
      <c r="AC45" s="272">
        <v>1097320</v>
      </c>
      <c r="AD45" s="272">
        <v>902520</v>
      </c>
      <c r="AE45" s="272">
        <v>194800</v>
      </c>
      <c r="AF45" s="272">
        <v>2832</v>
      </c>
      <c r="AG45" s="272">
        <v>58930</v>
      </c>
      <c r="AH45" s="455">
        <f t="shared" si="3"/>
        <v>57804</v>
      </c>
      <c r="AI45" s="272">
        <v>37000</v>
      </c>
      <c r="AJ45" s="272">
        <v>20804</v>
      </c>
      <c r="AK45" s="272">
        <v>161230</v>
      </c>
      <c r="AL45" s="455">
        <f t="shared" si="4"/>
        <v>51972</v>
      </c>
      <c r="AM45" s="272">
        <v>0</v>
      </c>
      <c r="AN45" s="272">
        <v>51972</v>
      </c>
      <c r="AO45" s="272">
        <v>0</v>
      </c>
      <c r="AP45" s="272">
        <v>0</v>
      </c>
      <c r="AQ45" s="272">
        <v>0</v>
      </c>
      <c r="AR45" s="272">
        <v>617</v>
      </c>
      <c r="AS45" s="272">
        <v>0</v>
      </c>
      <c r="AT45" s="272">
        <v>308057</v>
      </c>
      <c r="AU45" s="272">
        <v>151487</v>
      </c>
      <c r="AV45" s="272">
        <v>28303</v>
      </c>
      <c r="AW45" s="272">
        <v>0</v>
      </c>
      <c r="AX45" s="272">
        <v>156570</v>
      </c>
      <c r="AY45" s="272">
        <v>6863</v>
      </c>
      <c r="AZ45" s="272">
        <v>4183</v>
      </c>
      <c r="BA45" s="272">
        <v>1552</v>
      </c>
      <c r="BB45" s="272">
        <v>0</v>
      </c>
      <c r="BC45" s="272">
        <v>122206</v>
      </c>
      <c r="BD45" s="272">
        <v>0</v>
      </c>
      <c r="BE45" s="272">
        <v>0</v>
      </c>
      <c r="BF45" s="272">
        <v>0</v>
      </c>
      <c r="BG45" s="272">
        <v>0</v>
      </c>
      <c r="BH45" s="272">
        <v>33604</v>
      </c>
      <c r="BI45" s="272">
        <v>33604</v>
      </c>
      <c r="BJ45" s="272">
        <v>49990</v>
      </c>
      <c r="BK45" s="272">
        <v>0</v>
      </c>
      <c r="BL45" s="272">
        <v>0</v>
      </c>
      <c r="BM45" s="272">
        <v>0</v>
      </c>
      <c r="BN45" s="272">
        <v>300824</v>
      </c>
      <c r="BO45" s="455">
        <f t="shared" si="5"/>
        <v>51300</v>
      </c>
      <c r="BP45" s="455">
        <f t="shared" si="6"/>
        <v>194224</v>
      </c>
      <c r="BQ45" s="272"/>
      <c r="BR45" s="272">
        <v>0</v>
      </c>
      <c r="BS45" s="272">
        <v>194224</v>
      </c>
      <c r="BT45" s="272">
        <v>55300</v>
      </c>
      <c r="BU45" s="272">
        <v>4223523</v>
      </c>
      <c r="BV45" s="272"/>
      <c r="BW45" s="272">
        <v>1031546</v>
      </c>
      <c r="BX45" s="272">
        <v>682297</v>
      </c>
      <c r="BY45" s="272">
        <v>101704</v>
      </c>
      <c r="BZ45" s="272">
        <v>11955</v>
      </c>
      <c r="CA45" s="272">
        <v>434914</v>
      </c>
      <c r="CB45" s="272">
        <v>79062</v>
      </c>
      <c r="CC45" s="272">
        <v>18939</v>
      </c>
      <c r="CD45" s="272">
        <v>317626</v>
      </c>
      <c r="CE45" s="272">
        <v>0</v>
      </c>
      <c r="CF45" s="272">
        <v>0</v>
      </c>
      <c r="CG45" s="272">
        <v>19287</v>
      </c>
      <c r="CH45" s="272">
        <v>682361</v>
      </c>
      <c r="CI45" s="272">
        <v>561567</v>
      </c>
      <c r="CJ45" s="455">
        <f t="shared" si="7"/>
        <v>120794</v>
      </c>
      <c r="CK45" s="272">
        <v>613662</v>
      </c>
      <c r="CL45" s="272">
        <v>335736</v>
      </c>
      <c r="CM45" s="272">
        <v>98006</v>
      </c>
      <c r="CN45" s="272">
        <v>105089</v>
      </c>
      <c r="CO45" s="272">
        <v>21481</v>
      </c>
      <c r="CP45" s="272">
        <v>485316</v>
      </c>
      <c r="CQ45" s="272">
        <v>129501</v>
      </c>
      <c r="CR45" s="272">
        <v>112431</v>
      </c>
      <c r="CS45" s="272">
        <v>83395</v>
      </c>
      <c r="CT45" s="455">
        <f t="shared" si="8"/>
        <v>1795</v>
      </c>
      <c r="CU45" s="272">
        <v>1795</v>
      </c>
      <c r="CV45" s="272">
        <v>0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111247</v>
      </c>
      <c r="DD45" s="272">
        <v>0</v>
      </c>
      <c r="DE45" s="272">
        <v>111247</v>
      </c>
      <c r="DF45" s="26">
        <v>0</v>
      </c>
      <c r="DG45" s="27">
        <v>0</v>
      </c>
      <c r="DH45" s="272">
        <v>3731</v>
      </c>
      <c r="DI45" s="272">
        <v>114321</v>
      </c>
      <c r="DJ45" s="272">
        <v>113172</v>
      </c>
      <c r="DK45" s="272">
        <v>26</v>
      </c>
      <c r="DL45" s="272">
        <v>1123</v>
      </c>
      <c r="DM45" s="272">
        <v>0</v>
      </c>
      <c r="DN45" s="272">
        <v>0</v>
      </c>
      <c r="DO45" s="272">
        <v>0</v>
      </c>
      <c r="DP45" s="272">
        <v>0</v>
      </c>
      <c r="DQ45" s="272">
        <v>78000</v>
      </c>
      <c r="DR45" s="272">
        <v>0</v>
      </c>
      <c r="DS45" s="272">
        <v>0</v>
      </c>
      <c r="DT45" s="272">
        <v>540877</v>
      </c>
      <c r="DU45" s="272">
        <v>192153</v>
      </c>
      <c r="DV45" s="455">
        <f t="shared" si="11"/>
        <v>0</v>
      </c>
      <c r="DW45" s="272">
        <v>0</v>
      </c>
      <c r="DX45" s="272"/>
      <c r="DY45" s="272">
        <v>0</v>
      </c>
      <c r="DZ45" s="272">
        <v>98885</v>
      </c>
      <c r="EA45" s="272">
        <v>75912</v>
      </c>
      <c r="EB45" s="272">
        <v>137161</v>
      </c>
      <c r="EC45" s="272">
        <v>0</v>
      </c>
      <c r="ED45" s="272">
        <v>4117456</v>
      </c>
      <c r="EE45" s="89"/>
      <c r="EF45" s="272">
        <v>106067</v>
      </c>
      <c r="EG45" s="272">
        <v>0</v>
      </c>
      <c r="EH45" s="272">
        <v>106067</v>
      </c>
      <c r="EI45" s="272">
        <v>72463</v>
      </c>
      <c r="EJ45" s="272">
        <v>193587</v>
      </c>
      <c r="EK45" s="89"/>
      <c r="EL45" s="272"/>
      <c r="EM45" s="272">
        <v>14429</v>
      </c>
      <c r="EN45" s="272">
        <v>118107</v>
      </c>
      <c r="EO45" s="272">
        <v>1946</v>
      </c>
      <c r="EP45" s="455">
        <f t="shared" si="12"/>
        <v>76836</v>
      </c>
      <c r="EQ45" s="272">
        <v>3126695</v>
      </c>
      <c r="ER45" s="272">
        <v>-388281</v>
      </c>
      <c r="ES45" s="272">
        <v>909699</v>
      </c>
      <c r="ET45" s="272">
        <v>619572</v>
      </c>
      <c r="EU45" s="272">
        <v>140177</v>
      </c>
      <c r="EV45" s="272">
        <v>682361</v>
      </c>
      <c r="EW45" s="455">
        <f t="shared" si="13"/>
        <v>49656</v>
      </c>
      <c r="EX45" s="272">
        <v>47985</v>
      </c>
      <c r="EY45" s="272">
        <v>0</v>
      </c>
      <c r="EZ45" s="272">
        <v>47985</v>
      </c>
      <c r="FA45" s="272">
        <v>1671</v>
      </c>
      <c r="FB45" s="272">
        <v>0</v>
      </c>
      <c r="FC45" s="272">
        <v>473018</v>
      </c>
      <c r="FD45" s="272">
        <v>447272</v>
      </c>
      <c r="FE45" s="272">
        <v>129501</v>
      </c>
      <c r="FF45" s="272">
        <v>495726</v>
      </c>
      <c r="FG45" s="455">
        <f t="shared" si="14"/>
        <v>211000</v>
      </c>
      <c r="FH45" s="272">
        <v>3408909</v>
      </c>
      <c r="FI45" s="384">
        <f t="shared" si="15"/>
        <v>3.6</v>
      </c>
      <c r="FJ45" s="272">
        <v>2910643</v>
      </c>
      <c r="FK45" s="272">
        <v>194224</v>
      </c>
      <c r="FL45" s="272">
        <v>1542045</v>
      </c>
      <c r="FM45" s="272">
        <v>2447614</v>
      </c>
      <c r="FN45" s="460">
        <v>0.65</v>
      </c>
      <c r="FO45" s="388">
        <v>93.4</v>
      </c>
      <c r="FP45" s="388">
        <v>28.2</v>
      </c>
      <c r="FQ45" s="388">
        <v>4.5</v>
      </c>
      <c r="FR45" s="388">
        <v>21.5</v>
      </c>
      <c r="FS45" s="388">
        <v>13.6</v>
      </c>
      <c r="FT45" s="388">
        <v>13.2</v>
      </c>
      <c r="FU45" s="388">
        <v>11.7</v>
      </c>
      <c r="FV45" s="384">
        <f t="shared" si="16"/>
        <v>18.899999999999999</v>
      </c>
      <c r="FW45" s="272">
        <v>5163839</v>
      </c>
      <c r="FX45" s="384">
        <f t="shared" si="17"/>
        <v>177.4</v>
      </c>
      <c r="FY45" s="272">
        <v>790123</v>
      </c>
      <c r="FZ45" s="272">
        <v>588038</v>
      </c>
      <c r="GA45" s="272">
        <v>7710</v>
      </c>
      <c r="GB45" s="272">
        <v>194375</v>
      </c>
      <c r="GC45" s="272"/>
      <c r="GD45" s="272">
        <v>451974</v>
      </c>
      <c r="GE45" s="384">
        <f>ROUND(GD45/FJ45*100,1)</f>
        <v>15.5</v>
      </c>
      <c r="GF45" s="388">
        <v>97.8</v>
      </c>
      <c r="GG45" s="388">
        <v>17.600000000000001</v>
      </c>
      <c r="GH45" s="388">
        <v>92.8</v>
      </c>
      <c r="GI45" s="272">
        <v>103</v>
      </c>
      <c r="GJ45" s="461" t="s">
        <v>646</v>
      </c>
      <c r="GK45" s="461">
        <v>15</v>
      </c>
      <c r="GL45" s="462">
        <v>20</v>
      </c>
      <c r="GM45" s="461" t="s">
        <v>646</v>
      </c>
      <c r="GN45" s="462">
        <v>20</v>
      </c>
      <c r="GO45" s="462">
        <v>40</v>
      </c>
      <c r="GP45" s="463">
        <v>18.899999999999999</v>
      </c>
      <c r="GQ45" s="463">
        <v>25</v>
      </c>
      <c r="GR45" s="463">
        <v>35</v>
      </c>
      <c r="GS45" s="464">
        <v>139.5</v>
      </c>
      <c r="GT45" s="463">
        <v>350</v>
      </c>
      <c r="GU45" s="394"/>
      <c r="GV45" s="394"/>
      <c r="GW45" s="394"/>
      <c r="GX45" s="394"/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</row>
    <row r="46" spans="2:230" x14ac:dyDescent="0.15">
      <c r="B46" s="89" t="s">
        <v>85</v>
      </c>
      <c r="C46" s="272">
        <v>1744611</v>
      </c>
      <c r="D46" s="455">
        <f t="shared" si="0"/>
        <v>874007</v>
      </c>
      <c r="E46" s="272">
        <v>21238</v>
      </c>
      <c r="F46" s="272">
        <v>852769</v>
      </c>
      <c r="G46" s="455">
        <f t="shared" si="1"/>
        <v>70974</v>
      </c>
      <c r="H46" s="272">
        <v>20608</v>
      </c>
      <c r="I46" s="272">
        <v>50366</v>
      </c>
      <c r="J46" s="272">
        <v>674172</v>
      </c>
      <c r="K46" s="272">
        <v>263179</v>
      </c>
      <c r="L46" s="272">
        <v>328957</v>
      </c>
      <c r="M46" s="272">
        <v>81128</v>
      </c>
      <c r="N46" s="272">
        <v>94391</v>
      </c>
      <c r="O46" s="272">
        <v>0</v>
      </c>
      <c r="P46" s="272">
        <v>0</v>
      </c>
      <c r="Q46" s="272">
        <v>0</v>
      </c>
      <c r="R46" s="272">
        <v>61444</v>
      </c>
      <c r="S46" s="272">
        <v>0</v>
      </c>
      <c r="T46" s="455">
        <f t="shared" si="2"/>
        <v>283155</v>
      </c>
      <c r="U46" s="272">
        <v>16172</v>
      </c>
      <c r="V46" s="272">
        <v>14298</v>
      </c>
      <c r="W46" s="272">
        <v>8777</v>
      </c>
      <c r="X46" s="272">
        <v>143622</v>
      </c>
      <c r="Y46" s="272">
        <v>47376</v>
      </c>
      <c r="Z46" s="272">
        <v>0</v>
      </c>
      <c r="AA46" s="272">
        <v>52910</v>
      </c>
      <c r="AB46" s="272">
        <v>11904</v>
      </c>
      <c r="AC46" s="272">
        <v>1447174</v>
      </c>
      <c r="AD46" s="272">
        <v>1255017</v>
      </c>
      <c r="AE46" s="272">
        <v>192157</v>
      </c>
      <c r="AF46" s="272">
        <v>3344</v>
      </c>
      <c r="AG46" s="272">
        <v>21224</v>
      </c>
      <c r="AH46" s="455">
        <f t="shared" si="3"/>
        <v>117529</v>
      </c>
      <c r="AI46" s="272">
        <v>63784</v>
      </c>
      <c r="AJ46" s="272">
        <v>53745</v>
      </c>
      <c r="AK46" s="272">
        <v>124123</v>
      </c>
      <c r="AL46" s="455">
        <f t="shared" si="4"/>
        <v>4545</v>
      </c>
      <c r="AM46" s="272">
        <v>0</v>
      </c>
      <c r="AN46" s="272">
        <v>4545</v>
      </c>
      <c r="AO46" s="272">
        <v>0</v>
      </c>
      <c r="AP46" s="272">
        <v>0</v>
      </c>
      <c r="AQ46" s="272">
        <v>5758</v>
      </c>
      <c r="AR46" s="272">
        <v>0</v>
      </c>
      <c r="AS46" s="272">
        <v>0</v>
      </c>
      <c r="AT46" s="272">
        <v>316002</v>
      </c>
      <c r="AU46" s="272">
        <v>113802</v>
      </c>
      <c r="AV46" s="272">
        <v>2273</v>
      </c>
      <c r="AW46" s="272">
        <v>18368</v>
      </c>
      <c r="AX46" s="272">
        <v>202200</v>
      </c>
      <c r="AY46" s="272">
        <v>8969</v>
      </c>
      <c r="AZ46" s="272">
        <v>14860</v>
      </c>
      <c r="BA46" s="272">
        <v>0</v>
      </c>
      <c r="BB46" s="272">
        <v>0</v>
      </c>
      <c r="BC46" s="272">
        <v>135000</v>
      </c>
      <c r="BD46" s="272">
        <v>135000</v>
      </c>
      <c r="BE46" s="272">
        <v>0</v>
      </c>
      <c r="BF46" s="272">
        <v>0</v>
      </c>
      <c r="BG46" s="272">
        <v>0</v>
      </c>
      <c r="BH46" s="272">
        <v>54049</v>
      </c>
      <c r="BI46" s="272">
        <v>54049</v>
      </c>
      <c r="BJ46" s="272">
        <v>46942</v>
      </c>
      <c r="BK46" s="272">
        <v>0</v>
      </c>
      <c r="BL46" s="272">
        <v>0</v>
      </c>
      <c r="BM46" s="272">
        <v>0</v>
      </c>
      <c r="BN46" s="272">
        <v>245200</v>
      </c>
      <c r="BO46" s="455">
        <f t="shared" si="5"/>
        <v>33200</v>
      </c>
      <c r="BP46" s="455">
        <f t="shared" si="6"/>
        <v>212000</v>
      </c>
      <c r="BQ46" s="272"/>
      <c r="BR46" s="272">
        <v>0</v>
      </c>
      <c r="BS46" s="272">
        <v>212000</v>
      </c>
      <c r="BT46" s="272">
        <v>0</v>
      </c>
      <c r="BU46" s="272">
        <v>4626561</v>
      </c>
      <c r="BV46" s="272"/>
      <c r="BW46" s="272">
        <v>1529546</v>
      </c>
      <c r="BX46" s="272">
        <v>988576</v>
      </c>
      <c r="BY46" s="272">
        <v>145580</v>
      </c>
      <c r="BZ46" s="272">
        <v>83112</v>
      </c>
      <c r="CA46" s="272">
        <v>316301</v>
      </c>
      <c r="CB46" s="272">
        <v>114350</v>
      </c>
      <c r="CC46" s="272">
        <v>22973</v>
      </c>
      <c r="CD46" s="272">
        <v>172982</v>
      </c>
      <c r="CE46" s="272">
        <v>0</v>
      </c>
      <c r="CF46" s="272">
        <v>0</v>
      </c>
      <c r="CG46" s="272">
        <v>5996</v>
      </c>
      <c r="CH46" s="272">
        <v>735799</v>
      </c>
      <c r="CI46" s="272">
        <v>604915</v>
      </c>
      <c r="CJ46" s="455">
        <f t="shared" si="7"/>
        <v>130884</v>
      </c>
      <c r="CK46" s="272">
        <v>803373</v>
      </c>
      <c r="CL46" s="272">
        <v>446471</v>
      </c>
      <c r="CM46" s="272">
        <v>58979</v>
      </c>
      <c r="CN46" s="272">
        <v>152471</v>
      </c>
      <c r="CO46" s="272">
        <v>14242</v>
      </c>
      <c r="CP46" s="272">
        <v>351303</v>
      </c>
      <c r="CQ46" s="272">
        <v>157501</v>
      </c>
      <c r="CR46" s="272">
        <v>98981</v>
      </c>
      <c r="CS46" s="272">
        <v>88730</v>
      </c>
      <c r="CT46" s="455">
        <f t="shared" si="8"/>
        <v>14393</v>
      </c>
      <c r="CU46" s="272">
        <v>4864</v>
      </c>
      <c r="CV46" s="272">
        <v>9529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174641</v>
      </c>
      <c r="DD46" s="272">
        <v>41711</v>
      </c>
      <c r="DE46" s="272">
        <v>88451</v>
      </c>
      <c r="DF46" s="26">
        <v>44479</v>
      </c>
      <c r="DG46" s="27">
        <v>44479</v>
      </c>
      <c r="DH46" s="272">
        <v>15512</v>
      </c>
      <c r="DI46" s="272">
        <v>12710</v>
      </c>
      <c r="DJ46" s="272">
        <v>6970</v>
      </c>
      <c r="DK46" s="272">
        <v>684</v>
      </c>
      <c r="DL46" s="272">
        <v>5056</v>
      </c>
      <c r="DM46" s="272">
        <v>0</v>
      </c>
      <c r="DN46" s="272">
        <v>0</v>
      </c>
      <c r="DO46" s="272">
        <v>0</v>
      </c>
      <c r="DP46" s="272">
        <v>0</v>
      </c>
      <c r="DQ46" s="272">
        <v>0</v>
      </c>
      <c r="DR46" s="272">
        <v>0</v>
      </c>
      <c r="DS46" s="272">
        <v>0</v>
      </c>
      <c r="DT46" s="272">
        <v>560889</v>
      </c>
      <c r="DU46" s="272">
        <v>163854</v>
      </c>
      <c r="DV46" s="455">
        <f t="shared" si="11"/>
        <v>0</v>
      </c>
      <c r="DW46" s="272">
        <v>0</v>
      </c>
      <c r="DX46" s="272"/>
      <c r="DY46" s="272">
        <v>0</v>
      </c>
      <c r="DZ46" s="272">
        <v>126945</v>
      </c>
      <c r="EA46" s="272">
        <v>114426</v>
      </c>
      <c r="EB46" s="272">
        <v>151887</v>
      </c>
      <c r="EC46" s="272">
        <v>0</v>
      </c>
      <c r="ED46" s="272">
        <v>4514316</v>
      </c>
      <c r="EE46" s="89"/>
      <c r="EF46" s="272">
        <v>112245</v>
      </c>
      <c r="EG46" s="272">
        <v>3000</v>
      </c>
      <c r="EH46" s="272">
        <v>109245</v>
      </c>
      <c r="EI46" s="272">
        <v>696</v>
      </c>
      <c r="EJ46" s="272">
        <v>-127334</v>
      </c>
      <c r="EK46" s="89"/>
      <c r="EL46" s="272"/>
      <c r="EM46" s="272">
        <v>16703</v>
      </c>
      <c r="EN46" s="272">
        <v>135000</v>
      </c>
      <c r="EO46" s="272">
        <v>0</v>
      </c>
      <c r="EP46" s="455">
        <f t="shared" si="12"/>
        <v>101439</v>
      </c>
      <c r="EQ46" s="272">
        <v>3551632</v>
      </c>
      <c r="ER46" s="272">
        <v>-445095</v>
      </c>
      <c r="ES46" s="272">
        <v>1442032</v>
      </c>
      <c r="ET46" s="272">
        <v>929378</v>
      </c>
      <c r="EU46" s="272">
        <v>142663</v>
      </c>
      <c r="EV46" s="272">
        <v>735799</v>
      </c>
      <c r="EW46" s="455">
        <f t="shared" si="13"/>
        <v>103219</v>
      </c>
      <c r="EX46" s="272">
        <v>95567</v>
      </c>
      <c r="EY46" s="272">
        <v>14285</v>
      </c>
      <c r="EZ46" s="272">
        <v>71531</v>
      </c>
      <c r="FA46" s="272">
        <v>7652</v>
      </c>
      <c r="FB46" s="272">
        <v>0</v>
      </c>
      <c r="FC46" s="272">
        <v>613175</v>
      </c>
      <c r="FD46" s="272">
        <v>322481</v>
      </c>
      <c r="FE46" s="272">
        <v>157501</v>
      </c>
      <c r="FF46" s="272">
        <v>510483</v>
      </c>
      <c r="FG46" s="455">
        <f t="shared" si="14"/>
        <v>14630</v>
      </c>
      <c r="FH46" s="272">
        <v>3884482</v>
      </c>
      <c r="FI46" s="384">
        <f t="shared" si="15"/>
        <v>3.2</v>
      </c>
      <c r="FJ46" s="272">
        <v>3421677</v>
      </c>
      <c r="FK46" s="272">
        <v>212850</v>
      </c>
      <c r="FL46" s="272">
        <v>1666995</v>
      </c>
      <c r="FM46" s="272">
        <v>2926551</v>
      </c>
      <c r="FN46" s="460">
        <v>0.56999999999999995</v>
      </c>
      <c r="FO46" s="388">
        <v>97.3</v>
      </c>
      <c r="FP46" s="388">
        <v>40</v>
      </c>
      <c r="FQ46" s="388">
        <v>4</v>
      </c>
      <c r="FR46" s="388">
        <v>20.5</v>
      </c>
      <c r="FS46" s="388">
        <v>14.7</v>
      </c>
      <c r="FT46" s="388">
        <v>7.8</v>
      </c>
      <c r="FU46" s="388">
        <v>9.9</v>
      </c>
      <c r="FV46" s="384">
        <f t="shared" si="16"/>
        <v>15.4</v>
      </c>
      <c r="FW46" s="272">
        <v>7016526</v>
      </c>
      <c r="FX46" s="384">
        <f t="shared" si="17"/>
        <v>205.1</v>
      </c>
      <c r="FY46" s="272">
        <v>2559231</v>
      </c>
      <c r="FZ46" s="272">
        <v>1350661</v>
      </c>
      <c r="GA46" s="272">
        <v>143913</v>
      </c>
      <c r="GB46" s="272">
        <v>1064657</v>
      </c>
      <c r="GC46" s="272"/>
      <c r="GD46" s="272"/>
      <c r="GE46" s="384"/>
      <c r="GF46" s="388">
        <v>97.2</v>
      </c>
      <c r="GG46" s="388">
        <v>27.1</v>
      </c>
      <c r="GH46" s="388">
        <v>91.5</v>
      </c>
      <c r="GI46" s="272">
        <v>144</v>
      </c>
      <c r="GJ46" s="461" t="s">
        <v>646</v>
      </c>
      <c r="GK46" s="461">
        <v>15</v>
      </c>
      <c r="GL46" s="462">
        <v>20</v>
      </c>
      <c r="GM46" s="461" t="s">
        <v>646</v>
      </c>
      <c r="GN46" s="462">
        <v>20</v>
      </c>
      <c r="GO46" s="462">
        <v>40</v>
      </c>
      <c r="GP46" s="463">
        <v>15.4</v>
      </c>
      <c r="GQ46" s="463">
        <v>25</v>
      </c>
      <c r="GR46" s="463">
        <v>35</v>
      </c>
      <c r="GS46" s="464">
        <v>73</v>
      </c>
      <c r="GT46" s="463">
        <v>350</v>
      </c>
      <c r="GU46" s="394"/>
      <c r="GV46" s="394"/>
      <c r="GW46" s="394"/>
      <c r="GX46" s="394"/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</row>
    <row r="47" spans="2:230" x14ac:dyDescent="0.15">
      <c r="B47" s="89" t="s">
        <v>87</v>
      </c>
      <c r="C47" s="272">
        <v>675178</v>
      </c>
      <c r="D47" s="455">
        <f t="shared" si="0"/>
        <v>336414</v>
      </c>
      <c r="E47" s="272">
        <v>8878</v>
      </c>
      <c r="F47" s="272">
        <v>327536</v>
      </c>
      <c r="G47" s="455">
        <f t="shared" si="1"/>
        <v>29542</v>
      </c>
      <c r="H47" s="272">
        <v>11296</v>
      </c>
      <c r="I47" s="272">
        <v>18246</v>
      </c>
      <c r="J47" s="272">
        <v>285629</v>
      </c>
      <c r="K47" s="272">
        <v>97285</v>
      </c>
      <c r="L47" s="272">
        <v>134347</v>
      </c>
      <c r="M47" s="272">
        <v>53905</v>
      </c>
      <c r="N47" s="272">
        <v>10323</v>
      </c>
      <c r="O47" s="272">
        <v>0</v>
      </c>
      <c r="P47" s="272">
        <v>0</v>
      </c>
      <c r="Q47" s="272">
        <v>0</v>
      </c>
      <c r="R47" s="272">
        <v>26298</v>
      </c>
      <c r="S47" s="272">
        <v>0</v>
      </c>
      <c r="T47" s="455">
        <f t="shared" si="2"/>
        <v>116527</v>
      </c>
      <c r="U47" s="272">
        <v>6331</v>
      </c>
      <c r="V47" s="272">
        <v>5615</v>
      </c>
      <c r="W47" s="272">
        <v>3380</v>
      </c>
      <c r="X47" s="272">
        <v>54988</v>
      </c>
      <c r="Y47" s="272">
        <v>23569</v>
      </c>
      <c r="Z47" s="272">
        <v>0</v>
      </c>
      <c r="AA47" s="272">
        <v>22644</v>
      </c>
      <c r="AB47" s="272">
        <v>3714</v>
      </c>
      <c r="AC47" s="272">
        <v>1011621</v>
      </c>
      <c r="AD47" s="272">
        <v>812042</v>
      </c>
      <c r="AE47" s="272">
        <v>199579</v>
      </c>
      <c r="AF47" s="272">
        <v>1327</v>
      </c>
      <c r="AG47" s="272">
        <v>17459</v>
      </c>
      <c r="AH47" s="455">
        <f t="shared" si="3"/>
        <v>27468</v>
      </c>
      <c r="AI47" s="272">
        <v>18119</v>
      </c>
      <c r="AJ47" s="272">
        <v>9349</v>
      </c>
      <c r="AK47" s="272">
        <v>71587</v>
      </c>
      <c r="AL47" s="455">
        <f t="shared" si="4"/>
        <v>24580</v>
      </c>
      <c r="AM47" s="272">
        <v>0</v>
      </c>
      <c r="AN47" s="272">
        <v>24580</v>
      </c>
      <c r="AO47" s="272">
        <v>0</v>
      </c>
      <c r="AP47" s="272">
        <v>0</v>
      </c>
      <c r="AQ47" s="272">
        <v>608</v>
      </c>
      <c r="AR47" s="272">
        <v>0</v>
      </c>
      <c r="AS47" s="272">
        <v>0</v>
      </c>
      <c r="AT47" s="272">
        <v>197520</v>
      </c>
      <c r="AU47" s="272">
        <v>51411</v>
      </c>
      <c r="AV47" s="272">
        <v>10519</v>
      </c>
      <c r="AW47" s="272">
        <v>0</v>
      </c>
      <c r="AX47" s="272">
        <v>146109</v>
      </c>
      <c r="AY47" s="272">
        <v>20408</v>
      </c>
      <c r="AZ47" s="272">
        <v>1643</v>
      </c>
      <c r="BA47" s="272">
        <v>0</v>
      </c>
      <c r="BB47" s="272">
        <v>0</v>
      </c>
      <c r="BC47" s="272">
        <v>239221</v>
      </c>
      <c r="BD47" s="272">
        <v>0</v>
      </c>
      <c r="BE47" s="272">
        <v>0</v>
      </c>
      <c r="BF47" s="272">
        <v>93366</v>
      </c>
      <c r="BG47" s="272">
        <v>0</v>
      </c>
      <c r="BH47" s="272">
        <v>64593</v>
      </c>
      <c r="BI47" s="272">
        <v>63805</v>
      </c>
      <c r="BJ47" s="272">
        <v>44466</v>
      </c>
      <c r="BK47" s="272">
        <v>0</v>
      </c>
      <c r="BL47" s="272">
        <v>0</v>
      </c>
      <c r="BM47" s="272">
        <v>0</v>
      </c>
      <c r="BN47" s="272">
        <v>269780</v>
      </c>
      <c r="BO47" s="455">
        <f t="shared" si="5"/>
        <v>61400</v>
      </c>
      <c r="BP47" s="455">
        <f t="shared" si="6"/>
        <v>126480</v>
      </c>
      <c r="BQ47" s="272"/>
      <c r="BR47" s="272">
        <v>0</v>
      </c>
      <c r="BS47" s="272">
        <v>126480</v>
      </c>
      <c r="BT47" s="272">
        <v>81900</v>
      </c>
      <c r="BU47" s="272">
        <v>2768402</v>
      </c>
      <c r="BV47" s="272"/>
      <c r="BW47" s="272">
        <v>802488</v>
      </c>
      <c r="BX47" s="272">
        <v>504095</v>
      </c>
      <c r="BY47" s="272">
        <v>96509</v>
      </c>
      <c r="BZ47" s="272">
        <v>17732</v>
      </c>
      <c r="CA47" s="272">
        <v>154777</v>
      </c>
      <c r="CB47" s="272">
        <v>43826</v>
      </c>
      <c r="CC47" s="272">
        <v>10694</v>
      </c>
      <c r="CD47" s="272">
        <v>97320</v>
      </c>
      <c r="CE47" s="272">
        <v>0</v>
      </c>
      <c r="CF47" s="272">
        <v>0</v>
      </c>
      <c r="CG47" s="272">
        <v>2937</v>
      </c>
      <c r="CH47" s="272">
        <v>340934</v>
      </c>
      <c r="CI47" s="272">
        <v>281793</v>
      </c>
      <c r="CJ47" s="455">
        <f t="shared" si="7"/>
        <v>59141</v>
      </c>
      <c r="CK47" s="272">
        <v>522106</v>
      </c>
      <c r="CL47" s="272">
        <v>354395</v>
      </c>
      <c r="CM47" s="272">
        <v>19365</v>
      </c>
      <c r="CN47" s="272">
        <v>64729</v>
      </c>
      <c r="CO47" s="272">
        <v>4501</v>
      </c>
      <c r="CP47" s="272">
        <v>209521</v>
      </c>
      <c r="CQ47" s="272">
        <v>82275</v>
      </c>
      <c r="CR47" s="272">
        <v>11051</v>
      </c>
      <c r="CS47" s="272">
        <v>6551</v>
      </c>
      <c r="CT47" s="455">
        <f t="shared" si="8"/>
        <v>4521</v>
      </c>
      <c r="CU47" s="272">
        <v>3564</v>
      </c>
      <c r="CV47" s="272">
        <v>957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111240</v>
      </c>
      <c r="DD47" s="272">
        <v>1824</v>
      </c>
      <c r="DE47" s="272">
        <v>98625</v>
      </c>
      <c r="DF47" s="26">
        <v>10791</v>
      </c>
      <c r="DG47" s="27">
        <v>10791</v>
      </c>
      <c r="DH47" s="272">
        <v>15345</v>
      </c>
      <c r="DI47" s="272">
        <v>165721</v>
      </c>
      <c r="DJ47" s="272">
        <v>165609</v>
      </c>
      <c r="DK47" s="272">
        <v>112</v>
      </c>
      <c r="DL47" s="272">
        <v>0</v>
      </c>
      <c r="DM47" s="272">
        <v>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372874</v>
      </c>
      <c r="DU47" s="272">
        <v>89027</v>
      </c>
      <c r="DV47" s="455">
        <f t="shared" si="11"/>
        <v>0</v>
      </c>
      <c r="DW47" s="272">
        <v>0</v>
      </c>
      <c r="DX47" s="272"/>
      <c r="DY47" s="272">
        <v>0</v>
      </c>
      <c r="DZ47" s="272">
        <v>74078</v>
      </c>
      <c r="EA47" s="272">
        <v>61954</v>
      </c>
      <c r="EB47" s="272">
        <v>90496</v>
      </c>
      <c r="EC47" s="272">
        <v>0</v>
      </c>
      <c r="ED47" s="272">
        <v>2699507</v>
      </c>
      <c r="EE47" s="89"/>
      <c r="EF47" s="272">
        <v>68895</v>
      </c>
      <c r="EG47" s="272">
        <v>0</v>
      </c>
      <c r="EH47" s="272">
        <v>68895</v>
      </c>
      <c r="EI47" s="272">
        <v>5090</v>
      </c>
      <c r="EJ47" s="272">
        <v>170699</v>
      </c>
      <c r="EK47" s="89"/>
      <c r="EL47" s="272"/>
      <c r="EM47" s="272">
        <v>6472</v>
      </c>
      <c r="EN47" s="272">
        <v>146928</v>
      </c>
      <c r="EO47" s="272">
        <v>454</v>
      </c>
      <c r="EP47" s="455">
        <f t="shared" si="12"/>
        <v>75652</v>
      </c>
      <c r="EQ47" s="272">
        <v>1834665</v>
      </c>
      <c r="ER47" s="272">
        <v>-348187</v>
      </c>
      <c r="ES47" s="272">
        <v>677619</v>
      </c>
      <c r="ET47" s="272">
        <v>468611</v>
      </c>
      <c r="EU47" s="272">
        <v>42768</v>
      </c>
      <c r="EV47" s="272">
        <v>340934</v>
      </c>
      <c r="EW47" s="455">
        <f t="shared" si="13"/>
        <v>31418</v>
      </c>
      <c r="EX47" s="272">
        <v>28821</v>
      </c>
      <c r="EY47" s="272">
        <v>608</v>
      </c>
      <c r="EZ47" s="272">
        <v>25722</v>
      </c>
      <c r="FA47" s="272">
        <v>2597</v>
      </c>
      <c r="FB47" s="272">
        <v>0</v>
      </c>
      <c r="FC47" s="272">
        <v>417886</v>
      </c>
      <c r="FD47" s="272">
        <v>179352</v>
      </c>
      <c r="FE47" s="272">
        <v>82275</v>
      </c>
      <c r="FF47" s="272">
        <v>347703</v>
      </c>
      <c r="FG47" s="455">
        <f t="shared" si="14"/>
        <v>76277</v>
      </c>
      <c r="FH47" s="272">
        <v>2113957</v>
      </c>
      <c r="FI47" s="384">
        <f t="shared" si="15"/>
        <v>4.0999999999999996</v>
      </c>
      <c r="FJ47" s="272">
        <v>1662991</v>
      </c>
      <c r="FK47" s="272">
        <v>126480</v>
      </c>
      <c r="FL47" s="272">
        <v>658118</v>
      </c>
      <c r="FM47" s="272">
        <v>1471968</v>
      </c>
      <c r="FN47" s="460">
        <v>0.44400000000000001</v>
      </c>
      <c r="FO47" s="388">
        <v>102</v>
      </c>
      <c r="FP47" s="388">
        <v>37.5</v>
      </c>
      <c r="FQ47" s="388">
        <v>2.4</v>
      </c>
      <c r="FR47" s="388">
        <v>19.3</v>
      </c>
      <c r="FS47" s="388">
        <v>21</v>
      </c>
      <c r="FT47" s="388">
        <v>8.6</v>
      </c>
      <c r="FU47" s="388">
        <v>13</v>
      </c>
      <c r="FV47" s="384">
        <f t="shared" si="16"/>
        <v>16.8</v>
      </c>
      <c r="FW47" s="272">
        <v>3166101</v>
      </c>
      <c r="FX47" s="384">
        <f t="shared" si="17"/>
        <v>190.4</v>
      </c>
      <c r="FY47" s="272">
        <v>297826</v>
      </c>
      <c r="FZ47" s="272">
        <v>276013</v>
      </c>
      <c r="GA47" s="272">
        <v>21813</v>
      </c>
      <c r="GB47" s="272">
        <v>0</v>
      </c>
      <c r="GC47" s="272"/>
      <c r="GD47" s="272"/>
      <c r="GE47" s="384"/>
      <c r="GF47" s="388">
        <v>97.8</v>
      </c>
      <c r="GG47" s="388">
        <v>47</v>
      </c>
      <c r="GH47" s="388">
        <v>94.7</v>
      </c>
      <c r="GI47" s="272">
        <v>82</v>
      </c>
      <c r="GJ47" s="461" t="s">
        <v>646</v>
      </c>
      <c r="GK47" s="461">
        <v>15</v>
      </c>
      <c r="GL47" s="462">
        <v>20</v>
      </c>
      <c r="GM47" s="461" t="s">
        <v>646</v>
      </c>
      <c r="GN47" s="461">
        <v>20</v>
      </c>
      <c r="GO47" s="461">
        <v>40</v>
      </c>
      <c r="GP47" s="463">
        <v>16.8</v>
      </c>
      <c r="GQ47" s="463">
        <v>25</v>
      </c>
      <c r="GR47" s="463">
        <v>35</v>
      </c>
      <c r="GS47" s="464">
        <v>160.9</v>
      </c>
      <c r="GT47" s="463">
        <v>350</v>
      </c>
      <c r="GU47" s="394"/>
      <c r="GV47" s="394"/>
      <c r="GW47" s="394"/>
      <c r="GX47" s="394"/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</row>
    <row r="48" spans="2:230" x14ac:dyDescent="0.15">
      <c r="B48" s="89" t="s">
        <v>89</v>
      </c>
      <c r="C48" s="272">
        <v>27564544</v>
      </c>
      <c r="D48" s="455">
        <f t="shared" si="0"/>
        <v>10328633</v>
      </c>
      <c r="E48" s="272">
        <v>252464</v>
      </c>
      <c r="F48" s="272">
        <v>10076169</v>
      </c>
      <c r="G48" s="455">
        <f t="shared" si="1"/>
        <v>1666693</v>
      </c>
      <c r="H48" s="272">
        <v>315023</v>
      </c>
      <c r="I48" s="272">
        <v>1351670</v>
      </c>
      <c r="J48" s="272">
        <v>11935863</v>
      </c>
      <c r="K48" s="272">
        <v>4626938</v>
      </c>
      <c r="L48" s="272">
        <v>4725709</v>
      </c>
      <c r="M48" s="272">
        <v>2473689</v>
      </c>
      <c r="N48" s="272">
        <v>2781323</v>
      </c>
      <c r="O48" s="272">
        <v>573661</v>
      </c>
      <c r="P48" s="272">
        <v>326531</v>
      </c>
      <c r="Q48" s="272">
        <v>247130</v>
      </c>
      <c r="R48" s="272">
        <v>627806</v>
      </c>
      <c r="S48" s="272">
        <v>0</v>
      </c>
      <c r="T48" s="455">
        <f t="shared" si="2"/>
        <v>2831145</v>
      </c>
      <c r="U48" s="272">
        <v>191264</v>
      </c>
      <c r="V48" s="272">
        <v>169321</v>
      </c>
      <c r="W48" s="272">
        <v>103111</v>
      </c>
      <c r="X48" s="272">
        <v>1590022</v>
      </c>
      <c r="Y48" s="272">
        <v>263654</v>
      </c>
      <c r="Z48" s="272">
        <v>0</v>
      </c>
      <c r="AA48" s="272">
        <v>513773</v>
      </c>
      <c r="AB48" s="272">
        <v>154727</v>
      </c>
      <c r="AC48" s="272">
        <v>12946792</v>
      </c>
      <c r="AD48" s="272">
        <v>10668479</v>
      </c>
      <c r="AE48" s="272">
        <v>2278313</v>
      </c>
      <c r="AF48" s="272">
        <v>39580</v>
      </c>
      <c r="AG48" s="272">
        <v>241088</v>
      </c>
      <c r="AH48" s="455">
        <f t="shared" si="3"/>
        <v>1512178</v>
      </c>
      <c r="AI48" s="272">
        <v>1229078</v>
      </c>
      <c r="AJ48" s="272">
        <v>283100</v>
      </c>
      <c r="AK48" s="272">
        <v>2550761</v>
      </c>
      <c r="AL48" s="455">
        <f t="shared" si="4"/>
        <v>284013</v>
      </c>
      <c r="AM48" s="272">
        <v>99093</v>
      </c>
      <c r="AN48" s="272">
        <v>184920</v>
      </c>
      <c r="AO48" s="272">
        <v>0</v>
      </c>
      <c r="AP48" s="272">
        <v>0</v>
      </c>
      <c r="AQ48" s="272">
        <v>733290</v>
      </c>
      <c r="AR48" s="272">
        <v>2082</v>
      </c>
      <c r="AS48" s="272">
        <v>0</v>
      </c>
      <c r="AT48" s="272">
        <v>3850113</v>
      </c>
      <c r="AU48" s="272">
        <v>1355336</v>
      </c>
      <c r="AV48" s="272">
        <v>105236</v>
      </c>
      <c r="AW48" s="272">
        <v>66296</v>
      </c>
      <c r="AX48" s="272">
        <v>2494777</v>
      </c>
      <c r="AY48" s="272">
        <v>574728</v>
      </c>
      <c r="AZ48" s="272">
        <v>102944</v>
      </c>
      <c r="BA48" s="272">
        <v>35720</v>
      </c>
      <c r="BB48" s="272">
        <v>9254</v>
      </c>
      <c r="BC48" s="272">
        <v>4175038</v>
      </c>
      <c r="BD48" s="272">
        <v>1968058</v>
      </c>
      <c r="BE48" s="272">
        <v>255610</v>
      </c>
      <c r="BF48" s="272">
        <v>1158184</v>
      </c>
      <c r="BG48" s="456">
        <v>0</v>
      </c>
      <c r="BH48" s="272">
        <v>990847</v>
      </c>
      <c r="BI48" s="272">
        <v>709059</v>
      </c>
      <c r="BJ48" s="272">
        <v>1248193</v>
      </c>
      <c r="BK48" s="272">
        <v>77735</v>
      </c>
      <c r="BL48" s="272">
        <v>1665</v>
      </c>
      <c r="BM48" s="272">
        <v>0</v>
      </c>
      <c r="BN48" s="272">
        <v>4686458</v>
      </c>
      <c r="BO48" s="455">
        <f t="shared" si="5"/>
        <v>2393700</v>
      </c>
      <c r="BP48" s="455">
        <f t="shared" si="6"/>
        <v>2110058</v>
      </c>
      <c r="BQ48" s="272"/>
      <c r="BR48" s="272">
        <v>0</v>
      </c>
      <c r="BS48" s="272">
        <v>2110058</v>
      </c>
      <c r="BT48" s="272">
        <v>182700</v>
      </c>
      <c r="BU48" s="272">
        <v>63531468</v>
      </c>
      <c r="BV48" s="272"/>
      <c r="BW48" s="272">
        <v>16188357</v>
      </c>
      <c r="BX48" s="272">
        <v>10908385</v>
      </c>
      <c r="BY48" s="272">
        <v>1286283</v>
      </c>
      <c r="BZ48" s="272">
        <v>889881</v>
      </c>
      <c r="CA48" s="272">
        <v>4938648</v>
      </c>
      <c r="CB48" s="272">
        <v>1537413</v>
      </c>
      <c r="CC48" s="272">
        <v>323796</v>
      </c>
      <c r="CD48" s="272">
        <v>2765398</v>
      </c>
      <c r="CE48" s="272">
        <v>126874</v>
      </c>
      <c r="CF48" s="272">
        <v>5338</v>
      </c>
      <c r="CG48" s="272">
        <v>179829</v>
      </c>
      <c r="CH48" s="272">
        <v>8781750</v>
      </c>
      <c r="CI48" s="272">
        <v>7408128</v>
      </c>
      <c r="CJ48" s="455">
        <f t="shared" si="7"/>
        <v>1373622</v>
      </c>
      <c r="CK48" s="272">
        <v>9714305</v>
      </c>
      <c r="CL48" s="272">
        <v>5356689</v>
      </c>
      <c r="CM48" s="272">
        <v>895961</v>
      </c>
      <c r="CN48" s="272">
        <v>2029972</v>
      </c>
      <c r="CO48" s="272">
        <v>699078</v>
      </c>
      <c r="CP48" s="272">
        <v>6165780</v>
      </c>
      <c r="CQ48" s="272">
        <v>1680959</v>
      </c>
      <c r="CR48" s="272">
        <v>1061932</v>
      </c>
      <c r="CS48" s="272">
        <v>741681</v>
      </c>
      <c r="CT48" s="455">
        <f t="shared" si="8"/>
        <v>505634</v>
      </c>
      <c r="CU48" s="272">
        <v>327035</v>
      </c>
      <c r="CV48" s="272">
        <v>178599</v>
      </c>
      <c r="CW48" s="455">
        <f t="shared" si="9"/>
        <v>263345</v>
      </c>
      <c r="CX48" s="272">
        <v>263345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5980217</v>
      </c>
      <c r="DD48" s="272">
        <v>2329667</v>
      </c>
      <c r="DE48" s="272">
        <v>3029318</v>
      </c>
      <c r="DF48" s="26">
        <v>108860</v>
      </c>
      <c r="DG48" s="27">
        <v>108860</v>
      </c>
      <c r="DH48" s="272">
        <v>59637</v>
      </c>
      <c r="DI48" s="272">
        <v>1264652</v>
      </c>
      <c r="DJ48" s="272">
        <v>1137129</v>
      </c>
      <c r="DK48" s="272">
        <v>6696</v>
      </c>
      <c r="DL48" s="272">
        <v>120827</v>
      </c>
      <c r="DM48" s="272">
        <v>85600</v>
      </c>
      <c r="DN48" s="272">
        <v>85600</v>
      </c>
      <c r="DO48" s="272">
        <v>85600</v>
      </c>
      <c r="DP48" s="272">
        <v>0</v>
      </c>
      <c r="DQ48" s="272">
        <v>866376</v>
      </c>
      <c r="DR48" s="272">
        <v>0</v>
      </c>
      <c r="DS48" s="272">
        <v>0</v>
      </c>
      <c r="DT48" s="272">
        <v>7843688</v>
      </c>
      <c r="DU48" s="272">
        <v>3011487</v>
      </c>
      <c r="DV48" s="455">
        <f t="shared" si="11"/>
        <v>0</v>
      </c>
      <c r="DW48" s="272">
        <v>0</v>
      </c>
      <c r="DX48" s="272"/>
      <c r="DY48" s="272">
        <v>0</v>
      </c>
      <c r="DZ48" s="272">
        <v>1471381</v>
      </c>
      <c r="EA48" s="272">
        <v>1362475</v>
      </c>
      <c r="EB48" s="272">
        <v>1788155</v>
      </c>
      <c r="EC48" s="272">
        <v>13139</v>
      </c>
      <c r="ED48" s="272">
        <v>62601227</v>
      </c>
      <c r="EE48" s="89"/>
      <c r="EF48" s="272">
        <v>930241</v>
      </c>
      <c r="EG48" s="272">
        <v>97350</v>
      </c>
      <c r="EH48" s="272">
        <v>832891</v>
      </c>
      <c r="EI48" s="272">
        <v>82471</v>
      </c>
      <c r="EJ48" s="272">
        <v>-15531</v>
      </c>
      <c r="EK48" s="89"/>
      <c r="EL48" s="272"/>
      <c r="EM48" s="272">
        <v>192879</v>
      </c>
      <c r="EN48" s="272">
        <v>3374830</v>
      </c>
      <c r="EO48" s="272">
        <v>49877</v>
      </c>
      <c r="EP48" s="455">
        <f t="shared" si="12"/>
        <v>1655262</v>
      </c>
      <c r="EQ48" s="272">
        <v>44164594</v>
      </c>
      <c r="ER48" s="272">
        <v>-7150447</v>
      </c>
      <c r="ES48" s="272">
        <v>14809335</v>
      </c>
      <c r="ET48" s="272">
        <v>9909046</v>
      </c>
      <c r="EU48" s="272">
        <v>2196839</v>
      </c>
      <c r="EV48" s="272">
        <v>8646777</v>
      </c>
      <c r="EW48" s="455">
        <f t="shared" si="13"/>
        <v>1517789</v>
      </c>
      <c r="EX48" s="272">
        <v>1490320</v>
      </c>
      <c r="EY48" s="272">
        <v>514470</v>
      </c>
      <c r="EZ48" s="272">
        <v>928894</v>
      </c>
      <c r="FA48" s="272">
        <v>27469</v>
      </c>
      <c r="FB48" s="272">
        <v>0</v>
      </c>
      <c r="FC48" s="272">
        <v>7785779</v>
      </c>
      <c r="FD48" s="272">
        <v>5638948</v>
      </c>
      <c r="FE48" s="272">
        <v>1556215</v>
      </c>
      <c r="FF48" s="272">
        <v>7180514</v>
      </c>
      <c r="FG48" s="455">
        <f t="shared" si="14"/>
        <v>2608819</v>
      </c>
      <c r="FH48" s="272">
        <v>50384800</v>
      </c>
      <c r="FI48" s="384">
        <f t="shared" si="15"/>
        <v>2.1</v>
      </c>
      <c r="FJ48" s="272">
        <v>39420515</v>
      </c>
      <c r="FK48" s="272">
        <v>2250064</v>
      </c>
      <c r="FL48" s="272">
        <v>22061364</v>
      </c>
      <c r="FM48" s="272">
        <v>31908843</v>
      </c>
      <c r="FN48" s="460">
        <v>0.69199999999999995</v>
      </c>
      <c r="FO48" s="388">
        <v>93.6</v>
      </c>
      <c r="FP48" s="388">
        <v>33</v>
      </c>
      <c r="FQ48" s="388">
        <v>5</v>
      </c>
      <c r="FR48" s="388">
        <v>18.100000000000001</v>
      </c>
      <c r="FS48" s="388">
        <v>16</v>
      </c>
      <c r="FT48" s="388">
        <v>6.8</v>
      </c>
      <c r="FU48" s="388">
        <v>13.1</v>
      </c>
      <c r="FV48" s="384">
        <f t="shared" si="16"/>
        <v>12.3</v>
      </c>
      <c r="FW48" s="272">
        <v>71397420</v>
      </c>
      <c r="FX48" s="384">
        <f t="shared" si="17"/>
        <v>181.1</v>
      </c>
      <c r="FY48" s="272">
        <v>20220206</v>
      </c>
      <c r="FZ48" s="272">
        <v>10608704</v>
      </c>
      <c r="GA48" s="272">
        <v>2191655</v>
      </c>
      <c r="GB48" s="272">
        <v>7419847</v>
      </c>
      <c r="GC48" s="272">
        <f>SUM(GC38:GC47)</f>
        <v>1119759</v>
      </c>
      <c r="GD48" s="272">
        <v>1983887</v>
      </c>
      <c r="GE48" s="465">
        <f>ROUND(GD48/FJ51*100,1)</f>
        <v>14.8</v>
      </c>
      <c r="GF48" s="388">
        <v>98.5</v>
      </c>
      <c r="GG48" s="388">
        <v>19.5</v>
      </c>
      <c r="GH48" s="388">
        <v>93.8</v>
      </c>
      <c r="GI48" s="272">
        <v>1710</v>
      </c>
      <c r="GJ48" s="461" t="s">
        <v>646</v>
      </c>
      <c r="GK48" s="461" t="s">
        <v>646</v>
      </c>
      <c r="GL48" s="461" t="s">
        <v>646</v>
      </c>
      <c r="GM48" s="461" t="s">
        <v>646</v>
      </c>
      <c r="GN48" s="461" t="s">
        <v>646</v>
      </c>
      <c r="GO48" s="461" t="s">
        <v>646</v>
      </c>
      <c r="GP48" s="463">
        <v>12.3</v>
      </c>
      <c r="GQ48" s="461" t="s">
        <v>646</v>
      </c>
      <c r="GR48" s="461" t="s">
        <v>646</v>
      </c>
      <c r="GS48" s="463">
        <v>121.8</v>
      </c>
      <c r="GT48" s="461" t="s">
        <v>646</v>
      </c>
      <c r="GU48" s="394"/>
      <c r="GV48" s="394"/>
      <c r="GW48" s="394"/>
      <c r="GX48" s="394"/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</row>
    <row r="49" spans="2:230" x14ac:dyDescent="0.15">
      <c r="B49" s="89" t="s">
        <v>91</v>
      </c>
      <c r="C49" s="272">
        <v>808680234</v>
      </c>
      <c r="D49" s="455">
        <f t="shared" si="0"/>
        <v>305647402</v>
      </c>
      <c r="E49" s="272">
        <v>6878901</v>
      </c>
      <c r="F49" s="272">
        <v>298768501</v>
      </c>
      <c r="G49" s="455">
        <f t="shared" si="1"/>
        <v>72406730</v>
      </c>
      <c r="H49" s="272">
        <v>13281035</v>
      </c>
      <c r="I49" s="272">
        <v>59125695</v>
      </c>
      <c r="J49" s="272">
        <v>318385017</v>
      </c>
      <c r="K49" s="272">
        <v>139060125</v>
      </c>
      <c r="L49" s="272">
        <v>128161459</v>
      </c>
      <c r="M49" s="272">
        <v>45427476</v>
      </c>
      <c r="N49" s="272">
        <v>35936553</v>
      </c>
      <c r="O49" s="272">
        <v>64150751</v>
      </c>
      <c r="P49" s="272">
        <v>37007322</v>
      </c>
      <c r="Q49" s="272">
        <v>27143429</v>
      </c>
      <c r="R49" s="272">
        <v>14090436</v>
      </c>
      <c r="S49" s="272">
        <v>0</v>
      </c>
      <c r="T49" s="455">
        <f t="shared" si="2"/>
        <v>73667600</v>
      </c>
      <c r="U49" s="272">
        <v>5666622</v>
      </c>
      <c r="V49" s="272">
        <v>5010509</v>
      </c>
      <c r="W49" s="272">
        <v>3074735</v>
      </c>
      <c r="X49" s="272">
        <v>48853392</v>
      </c>
      <c r="Y49" s="272">
        <v>1085789</v>
      </c>
      <c r="Z49" s="272">
        <v>0</v>
      </c>
      <c r="AA49" s="272">
        <v>9976553</v>
      </c>
      <c r="AB49" s="272">
        <v>5421109</v>
      </c>
      <c r="AC49" s="272">
        <v>145984192</v>
      </c>
      <c r="AD49" s="272">
        <v>133863134</v>
      </c>
      <c r="AE49" s="272">
        <v>12121058</v>
      </c>
      <c r="AF49" s="272">
        <v>1082708</v>
      </c>
      <c r="AG49" s="272">
        <v>18403323</v>
      </c>
      <c r="AH49" s="455">
        <f t="shared" si="3"/>
        <v>37088072</v>
      </c>
      <c r="AI49" s="272">
        <v>29370273</v>
      </c>
      <c r="AJ49" s="272">
        <v>7717799</v>
      </c>
      <c r="AK49" s="272">
        <v>205116095</v>
      </c>
      <c r="AL49" s="455">
        <f t="shared" si="4"/>
        <v>128092934</v>
      </c>
      <c r="AM49" s="272">
        <v>111116659</v>
      </c>
      <c r="AN49" s="272">
        <v>16975022</v>
      </c>
      <c r="AO49" s="272">
        <v>0</v>
      </c>
      <c r="AP49" s="272">
        <v>1253</v>
      </c>
      <c r="AQ49" s="272">
        <v>18500032</v>
      </c>
      <c r="AR49" s="272">
        <v>15105</v>
      </c>
      <c r="AS49" s="272">
        <v>318187</v>
      </c>
      <c r="AT49" s="272">
        <v>90010940</v>
      </c>
      <c r="AU49" s="272">
        <v>40562983</v>
      </c>
      <c r="AV49" s="272">
        <v>5768143</v>
      </c>
      <c r="AW49" s="272">
        <v>1016775</v>
      </c>
      <c r="AX49" s="272">
        <v>49447957</v>
      </c>
      <c r="AY49" s="272">
        <v>2167029</v>
      </c>
      <c r="AZ49" s="272">
        <v>10464513</v>
      </c>
      <c r="BA49" s="272">
        <v>8721304</v>
      </c>
      <c r="BB49" s="272">
        <v>893173</v>
      </c>
      <c r="BC49" s="272">
        <v>41932222</v>
      </c>
      <c r="BD49" s="272">
        <v>10463451</v>
      </c>
      <c r="BE49" s="272">
        <v>2397477</v>
      </c>
      <c r="BF49" s="272">
        <v>21713824</v>
      </c>
      <c r="BG49" s="272">
        <v>3652087</v>
      </c>
      <c r="BH49" s="272">
        <v>11602720</v>
      </c>
      <c r="BI49" s="272">
        <v>8243654</v>
      </c>
      <c r="BJ49" s="272">
        <v>48898966</v>
      </c>
      <c r="BK49" s="272">
        <v>29486802</v>
      </c>
      <c r="BL49" s="272">
        <v>176723</v>
      </c>
      <c r="BM49" s="272">
        <v>1721279</v>
      </c>
      <c r="BN49" s="272">
        <v>116005961</v>
      </c>
      <c r="BO49" s="455">
        <f t="shared" si="5"/>
        <v>58836100</v>
      </c>
      <c r="BP49" s="455">
        <f t="shared" si="6"/>
        <v>43840161</v>
      </c>
      <c r="BQ49" s="272"/>
      <c r="BR49" s="272">
        <v>566900</v>
      </c>
      <c r="BS49" s="272">
        <v>43273261</v>
      </c>
      <c r="BT49" s="272">
        <v>13329700</v>
      </c>
      <c r="BU49" s="272">
        <v>1629660451</v>
      </c>
      <c r="BV49" s="272"/>
      <c r="BW49" s="272">
        <v>386733154</v>
      </c>
      <c r="BX49" s="272">
        <v>254196459</v>
      </c>
      <c r="BY49" s="272">
        <v>57397584</v>
      </c>
      <c r="BZ49" s="272">
        <v>18316976</v>
      </c>
      <c r="CA49" s="272">
        <v>345081654</v>
      </c>
      <c r="CB49" s="272">
        <v>51170380</v>
      </c>
      <c r="CC49" s="272">
        <v>10190034</v>
      </c>
      <c r="CD49" s="272">
        <v>122648539</v>
      </c>
      <c r="CE49" s="272">
        <v>149162494</v>
      </c>
      <c r="CF49" s="272">
        <v>5589164</v>
      </c>
      <c r="CG49" s="272">
        <v>6305904</v>
      </c>
      <c r="CH49" s="272">
        <v>177192089</v>
      </c>
      <c r="CI49" s="272">
        <v>144626563</v>
      </c>
      <c r="CJ49" s="455">
        <f t="shared" si="7"/>
        <v>32565526</v>
      </c>
      <c r="CK49" s="272">
        <v>191325273</v>
      </c>
      <c r="CL49" s="272">
        <v>111143892</v>
      </c>
      <c r="CM49" s="272">
        <v>13309025</v>
      </c>
      <c r="CN49" s="272">
        <v>35699435</v>
      </c>
      <c r="CO49" s="272">
        <v>13232507</v>
      </c>
      <c r="CP49" s="272">
        <v>124932620</v>
      </c>
      <c r="CQ49" s="272">
        <v>41679820</v>
      </c>
      <c r="CR49" s="272">
        <v>36059047</v>
      </c>
      <c r="CS49" s="272">
        <v>26904136</v>
      </c>
      <c r="CT49" s="455">
        <f t="shared" si="8"/>
        <v>20381772</v>
      </c>
      <c r="CU49" s="272">
        <v>13778252</v>
      </c>
      <c r="CV49" s="272">
        <v>6603520</v>
      </c>
      <c r="CW49" s="455">
        <f t="shared" si="9"/>
        <v>14074559</v>
      </c>
      <c r="CX49" s="272">
        <v>10907875</v>
      </c>
      <c r="CY49" s="272">
        <v>3166684</v>
      </c>
      <c r="CZ49" s="455">
        <f t="shared" si="10"/>
        <v>3527421</v>
      </c>
      <c r="DA49" s="272">
        <v>2064846</v>
      </c>
      <c r="DB49" s="272">
        <v>1462575</v>
      </c>
      <c r="DC49" s="272">
        <v>125831236</v>
      </c>
      <c r="DD49" s="272">
        <v>39905835</v>
      </c>
      <c r="DE49" s="272">
        <v>80775602</v>
      </c>
      <c r="DF49" s="26">
        <v>3013889</v>
      </c>
      <c r="DG49" s="27">
        <v>3013889</v>
      </c>
      <c r="DH49" s="272">
        <v>218739</v>
      </c>
      <c r="DI49" s="272">
        <v>16637103</v>
      </c>
      <c r="DJ49" s="272">
        <v>6124216</v>
      </c>
      <c r="DK49" s="272">
        <v>489372</v>
      </c>
      <c r="DL49" s="272">
        <v>10023515</v>
      </c>
      <c r="DM49" s="272">
        <v>2428578</v>
      </c>
      <c r="DN49" s="272">
        <v>2278178</v>
      </c>
      <c r="DO49" s="272">
        <v>208752</v>
      </c>
      <c r="DP49" s="272">
        <v>2068188</v>
      </c>
      <c r="DQ49" s="272">
        <v>37388065</v>
      </c>
      <c r="DR49" s="272">
        <v>36000</v>
      </c>
      <c r="DS49" s="272">
        <v>20000</v>
      </c>
      <c r="DT49" s="272">
        <v>197450351</v>
      </c>
      <c r="DU49" s="272">
        <v>71008247</v>
      </c>
      <c r="DV49" s="455">
        <f t="shared" si="11"/>
        <v>624431</v>
      </c>
      <c r="DW49" s="272">
        <v>624431</v>
      </c>
      <c r="DX49" s="272"/>
      <c r="DY49" s="272">
        <v>378961</v>
      </c>
      <c r="DZ49" s="272">
        <v>53963886</v>
      </c>
      <c r="EA49" s="272">
        <v>30572182</v>
      </c>
      <c r="EB49" s="272">
        <v>38173671</v>
      </c>
      <c r="EC49" s="272">
        <v>3151043</v>
      </c>
      <c r="ED49" s="272">
        <v>1621602412</v>
      </c>
      <c r="EE49" s="89"/>
      <c r="EF49" s="272">
        <v>8058039</v>
      </c>
      <c r="EG49" s="272">
        <v>4591252</v>
      </c>
      <c r="EH49" s="272">
        <v>3466787</v>
      </c>
      <c r="EI49" s="272">
        <v>-2670295</v>
      </c>
      <c r="EJ49" s="272">
        <v>-3906246</v>
      </c>
      <c r="EK49" s="89"/>
      <c r="EL49" s="272"/>
      <c r="EM49" s="272">
        <v>5320065</v>
      </c>
      <c r="EN49" s="272">
        <v>25859432</v>
      </c>
      <c r="EO49" s="272">
        <v>5032811</v>
      </c>
      <c r="EP49" s="455">
        <f t="shared" si="12"/>
        <v>36140911</v>
      </c>
      <c r="EQ49" s="272">
        <v>1049244466</v>
      </c>
      <c r="ER49" s="272">
        <v>-109472420</v>
      </c>
      <c r="ES49" s="272">
        <v>345553786</v>
      </c>
      <c r="ET49" s="272">
        <v>230187198</v>
      </c>
      <c r="EU49" s="272">
        <v>115474222</v>
      </c>
      <c r="EV49" s="272">
        <v>172549517</v>
      </c>
      <c r="EW49" s="455">
        <f t="shared" si="13"/>
        <v>38467076</v>
      </c>
      <c r="EX49" s="272">
        <v>38318430</v>
      </c>
      <c r="EY49" s="272">
        <v>3964998</v>
      </c>
      <c r="EZ49" s="272">
        <v>34012356</v>
      </c>
      <c r="FA49" s="272">
        <v>148646</v>
      </c>
      <c r="FB49" s="272">
        <v>0</v>
      </c>
      <c r="FC49" s="272">
        <v>154705599</v>
      </c>
      <c r="FD49" s="272">
        <v>113231071</v>
      </c>
      <c r="FE49" s="272">
        <v>40526076</v>
      </c>
      <c r="FF49" s="272">
        <v>176163699</v>
      </c>
      <c r="FG49" s="455">
        <f t="shared" si="14"/>
        <v>34637913</v>
      </c>
      <c r="FH49" s="272">
        <v>1150782883</v>
      </c>
      <c r="FI49" s="384">
        <f t="shared" si="15"/>
        <v>0.4</v>
      </c>
      <c r="FJ49" s="272">
        <v>971398801</v>
      </c>
      <c r="FK49" s="272">
        <v>44261728</v>
      </c>
      <c r="FL49" s="272">
        <v>639389480</v>
      </c>
      <c r="FM49" s="272">
        <v>763427257</v>
      </c>
      <c r="FN49" s="460">
        <v>0.82399999999999995</v>
      </c>
      <c r="FO49" s="388">
        <v>98.3</v>
      </c>
      <c r="FP49" s="388">
        <v>32.6</v>
      </c>
      <c r="FQ49" s="388">
        <v>11.2</v>
      </c>
      <c r="FR49" s="388">
        <v>16.399999999999999</v>
      </c>
      <c r="FS49" s="388">
        <v>13.9</v>
      </c>
      <c r="FT49" s="388">
        <v>9.1</v>
      </c>
      <c r="FU49" s="388">
        <v>13.8</v>
      </c>
      <c r="FV49" s="384">
        <f t="shared" si="16"/>
        <v>7.5</v>
      </c>
      <c r="FW49" s="272">
        <v>1570440344</v>
      </c>
      <c r="FX49" s="384">
        <f t="shared" si="17"/>
        <v>161.69999999999999</v>
      </c>
      <c r="FY49" s="272">
        <v>258742658</v>
      </c>
      <c r="FZ49" s="272">
        <v>81457041</v>
      </c>
      <c r="GA49" s="272">
        <v>21464251</v>
      </c>
      <c r="GB49" s="272">
        <v>155821366</v>
      </c>
      <c r="GC49" s="272">
        <f>GC37+GC48</f>
        <v>18862436</v>
      </c>
      <c r="GD49" s="272">
        <v>195723368</v>
      </c>
      <c r="GE49" s="465">
        <f>ROUND(GD49/FJ52*100,1)</f>
        <v>20.7</v>
      </c>
      <c r="GF49" s="388">
        <v>98.1</v>
      </c>
      <c r="GG49" s="388">
        <v>23.3</v>
      </c>
      <c r="GH49" s="388">
        <v>93.7</v>
      </c>
      <c r="GI49" s="272">
        <v>35365</v>
      </c>
      <c r="GJ49" s="461" t="s">
        <v>646</v>
      </c>
      <c r="GK49" s="461" t="s">
        <v>646</v>
      </c>
      <c r="GL49" s="461" t="s">
        <v>646</v>
      </c>
      <c r="GM49" s="461" t="s">
        <v>646</v>
      </c>
      <c r="GN49" s="461" t="s">
        <v>646</v>
      </c>
      <c r="GO49" s="461" t="s">
        <v>646</v>
      </c>
      <c r="GP49" s="463">
        <v>7.5</v>
      </c>
      <c r="GQ49" s="461" t="s">
        <v>646</v>
      </c>
      <c r="GR49" s="461" t="s">
        <v>646</v>
      </c>
      <c r="GS49" s="463">
        <v>92.9</v>
      </c>
      <c r="GT49" s="461" t="s">
        <v>646</v>
      </c>
      <c r="GU49" s="394"/>
      <c r="GV49" s="394"/>
      <c r="GW49" s="394"/>
      <c r="GX49" s="394"/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</row>
    <row r="50" spans="2:230" x14ac:dyDescent="0.15">
      <c r="EJ50" s="394"/>
      <c r="EW50" s="272"/>
      <c r="GE50" s="31" t="s">
        <v>647</v>
      </c>
    </row>
    <row r="51" spans="2:230" x14ac:dyDescent="0.15">
      <c r="EI51" s="394">
        <f>EI6+EI16+EI20+EI25+EI27+EI29+EI30+EI32+EI35+EI38+EI41+EI42+EI43+EI46</f>
        <v>-193251</v>
      </c>
      <c r="FJ51" s="394">
        <f>FJ42+FJ45+FJ43</f>
        <v>13378758</v>
      </c>
    </row>
    <row r="52" spans="2:230" x14ac:dyDescent="0.15">
      <c r="EI52" s="394">
        <f>EI49-EI51</f>
        <v>-2477044</v>
      </c>
      <c r="FJ52" s="394">
        <f>FJ37+FJ51</f>
        <v>945357044</v>
      </c>
    </row>
    <row r="54" spans="2:230" x14ac:dyDescent="0.15">
      <c r="B54" s="89" t="s">
        <v>650</v>
      </c>
      <c r="C54" s="89" t="str">
        <f t="shared" ref="C54:AH54" si="19">IF(SUM(C6:C36)=C37,"ok","エラー")</f>
        <v>ok</v>
      </c>
      <c r="D54" s="89" t="str">
        <f t="shared" si="19"/>
        <v>ok</v>
      </c>
      <c r="E54" s="89" t="str">
        <f t="shared" si="19"/>
        <v>ok</v>
      </c>
      <c r="F54" s="89" t="str">
        <f t="shared" si="19"/>
        <v>ok</v>
      </c>
      <c r="G54" s="89" t="str">
        <f t="shared" si="19"/>
        <v>ok</v>
      </c>
      <c r="H54" s="89" t="str">
        <f t="shared" si="19"/>
        <v>ok</v>
      </c>
      <c r="I54" s="89" t="str">
        <f t="shared" si="19"/>
        <v>ok</v>
      </c>
      <c r="J54" s="89" t="str">
        <f t="shared" si="19"/>
        <v>ok</v>
      </c>
      <c r="K54" s="89" t="str">
        <f t="shared" si="19"/>
        <v>ok</v>
      </c>
      <c r="L54" s="89" t="str">
        <f t="shared" si="19"/>
        <v>ok</v>
      </c>
      <c r="M54" s="89" t="str">
        <f t="shared" si="19"/>
        <v>ok</v>
      </c>
      <c r="N54" s="89" t="str">
        <f t="shared" si="19"/>
        <v>ok</v>
      </c>
      <c r="O54" s="89" t="str">
        <f t="shared" si="19"/>
        <v>ok</v>
      </c>
      <c r="P54" s="89" t="str">
        <f t="shared" si="19"/>
        <v>ok</v>
      </c>
      <c r="Q54" s="89" t="str">
        <f t="shared" si="19"/>
        <v>ok</v>
      </c>
      <c r="R54" s="89" t="str">
        <f t="shared" si="19"/>
        <v>ok</v>
      </c>
      <c r="S54" s="89" t="str">
        <f t="shared" si="19"/>
        <v>ok</v>
      </c>
      <c r="T54" s="89" t="str">
        <f t="shared" si="19"/>
        <v>ok</v>
      </c>
      <c r="U54" s="89" t="str">
        <f t="shared" si="19"/>
        <v>ok</v>
      </c>
      <c r="V54" s="89" t="str">
        <f t="shared" si="19"/>
        <v>ok</v>
      </c>
      <c r="W54" s="89" t="str">
        <f t="shared" si="19"/>
        <v>ok</v>
      </c>
      <c r="X54" s="89" t="str">
        <f t="shared" si="19"/>
        <v>ok</v>
      </c>
      <c r="Y54" s="89" t="str">
        <f t="shared" si="19"/>
        <v>ok</v>
      </c>
      <c r="Z54" s="89" t="str">
        <f t="shared" si="19"/>
        <v>ok</v>
      </c>
      <c r="AA54" s="89" t="str">
        <f t="shared" si="19"/>
        <v>ok</v>
      </c>
      <c r="AB54" s="89" t="str">
        <f t="shared" si="19"/>
        <v>ok</v>
      </c>
      <c r="AC54" s="89" t="str">
        <f t="shared" si="19"/>
        <v>ok</v>
      </c>
      <c r="AD54" s="89" t="str">
        <f t="shared" si="19"/>
        <v>ok</v>
      </c>
      <c r="AE54" s="89" t="str">
        <f t="shared" si="19"/>
        <v>ok</v>
      </c>
      <c r="AF54" s="89" t="str">
        <f t="shared" si="19"/>
        <v>ok</v>
      </c>
      <c r="AG54" s="89" t="str">
        <f t="shared" si="19"/>
        <v>ok</v>
      </c>
      <c r="AH54" s="89" t="str">
        <f t="shared" si="19"/>
        <v>ok</v>
      </c>
      <c r="AI54" s="89" t="str">
        <f t="shared" ref="AI54:BN54" si="20">IF(SUM(AI6:AI36)=AI37,"ok","エラー")</f>
        <v>ok</v>
      </c>
      <c r="AJ54" s="89" t="str">
        <f t="shared" si="20"/>
        <v>ok</v>
      </c>
      <c r="AK54" s="89" t="str">
        <f t="shared" si="20"/>
        <v>ok</v>
      </c>
      <c r="AL54" s="89" t="str">
        <f t="shared" si="20"/>
        <v>ok</v>
      </c>
      <c r="AM54" s="89" t="str">
        <f t="shared" si="20"/>
        <v>ok</v>
      </c>
      <c r="AN54" s="89" t="str">
        <f t="shared" si="20"/>
        <v>ok</v>
      </c>
      <c r="AO54" s="89" t="str">
        <f t="shared" si="20"/>
        <v>ok</v>
      </c>
      <c r="AP54" s="89" t="str">
        <f t="shared" si="20"/>
        <v>ok</v>
      </c>
      <c r="AQ54" s="89" t="str">
        <f t="shared" si="20"/>
        <v>ok</v>
      </c>
      <c r="AR54" s="89" t="str">
        <f t="shared" si="20"/>
        <v>ok</v>
      </c>
      <c r="AS54" s="89" t="str">
        <f t="shared" si="20"/>
        <v>ok</v>
      </c>
      <c r="AT54" s="89" t="str">
        <f t="shared" si="20"/>
        <v>ok</v>
      </c>
      <c r="AU54" s="89" t="str">
        <f t="shared" si="20"/>
        <v>ok</v>
      </c>
      <c r="AV54" s="89" t="str">
        <f t="shared" si="20"/>
        <v>ok</v>
      </c>
      <c r="AW54" s="89" t="str">
        <f t="shared" si="20"/>
        <v>ok</v>
      </c>
      <c r="AX54" s="89" t="str">
        <f t="shared" si="20"/>
        <v>ok</v>
      </c>
      <c r="AY54" s="89" t="str">
        <f t="shared" si="20"/>
        <v>ok</v>
      </c>
      <c r="AZ54" s="89" t="str">
        <f t="shared" si="20"/>
        <v>ok</v>
      </c>
      <c r="BA54" s="89" t="str">
        <f t="shared" si="20"/>
        <v>ok</v>
      </c>
      <c r="BB54" s="89" t="str">
        <f t="shared" si="20"/>
        <v>ok</v>
      </c>
      <c r="BC54" s="89" t="str">
        <f t="shared" si="20"/>
        <v>ok</v>
      </c>
      <c r="BD54" s="89" t="str">
        <f t="shared" si="20"/>
        <v>ok</v>
      </c>
      <c r="BE54" s="89" t="str">
        <f t="shared" si="20"/>
        <v>ok</v>
      </c>
      <c r="BF54" s="89" t="str">
        <f t="shared" si="20"/>
        <v>ok</v>
      </c>
      <c r="BG54" s="89" t="str">
        <f t="shared" si="20"/>
        <v>ok</v>
      </c>
      <c r="BH54" s="89" t="str">
        <f t="shared" si="20"/>
        <v>ok</v>
      </c>
      <c r="BI54" s="89" t="str">
        <f t="shared" si="20"/>
        <v>ok</v>
      </c>
      <c r="BJ54" s="89" t="str">
        <f t="shared" si="20"/>
        <v>ok</v>
      </c>
      <c r="BK54" s="89" t="str">
        <f t="shared" si="20"/>
        <v>ok</v>
      </c>
      <c r="BL54" s="89" t="str">
        <f t="shared" si="20"/>
        <v>ok</v>
      </c>
      <c r="BM54" s="89" t="str">
        <f t="shared" si="20"/>
        <v>ok</v>
      </c>
      <c r="BN54" s="89" t="str">
        <f t="shared" si="20"/>
        <v>ok</v>
      </c>
      <c r="BO54" s="89" t="str">
        <f t="shared" ref="BO54:CT54" si="21">IF(SUM(BO6:BO36)=BO37,"ok","エラー")</f>
        <v>ok</v>
      </c>
      <c r="BP54" s="89" t="str">
        <f t="shared" si="21"/>
        <v>ok</v>
      </c>
      <c r="BQ54" s="89" t="str">
        <f t="shared" si="21"/>
        <v>ok</v>
      </c>
      <c r="BR54" s="89" t="str">
        <f t="shared" si="21"/>
        <v>ok</v>
      </c>
      <c r="BS54" s="89" t="str">
        <f t="shared" si="21"/>
        <v>ok</v>
      </c>
      <c r="BT54" s="89" t="str">
        <f t="shared" si="21"/>
        <v>ok</v>
      </c>
      <c r="BU54" s="89" t="str">
        <f t="shared" si="21"/>
        <v>ok</v>
      </c>
      <c r="BV54" s="89" t="str">
        <f t="shared" si="21"/>
        <v>ok</v>
      </c>
      <c r="BW54" s="89" t="str">
        <f t="shared" si="21"/>
        <v>ok</v>
      </c>
      <c r="BX54" s="89" t="str">
        <f t="shared" si="21"/>
        <v>ok</v>
      </c>
      <c r="BY54" s="89" t="str">
        <f t="shared" si="21"/>
        <v>ok</v>
      </c>
      <c r="BZ54" s="89" t="str">
        <f t="shared" si="21"/>
        <v>ok</v>
      </c>
      <c r="CA54" s="89" t="str">
        <f t="shared" si="21"/>
        <v>ok</v>
      </c>
      <c r="CB54" s="89" t="str">
        <f t="shared" si="21"/>
        <v>ok</v>
      </c>
      <c r="CC54" s="89" t="str">
        <f t="shared" si="21"/>
        <v>ok</v>
      </c>
      <c r="CD54" s="89" t="str">
        <f t="shared" si="21"/>
        <v>ok</v>
      </c>
      <c r="CE54" s="89" t="str">
        <f t="shared" si="21"/>
        <v>ok</v>
      </c>
      <c r="CF54" s="89" t="str">
        <f t="shared" si="21"/>
        <v>ok</v>
      </c>
      <c r="CG54" s="89" t="str">
        <f t="shared" si="21"/>
        <v>ok</v>
      </c>
      <c r="CH54" s="89" t="str">
        <f t="shared" si="21"/>
        <v>ok</v>
      </c>
      <c r="CI54" s="89" t="str">
        <f t="shared" si="21"/>
        <v>ok</v>
      </c>
      <c r="CJ54" s="89" t="str">
        <f t="shared" si="21"/>
        <v>ok</v>
      </c>
      <c r="CK54" s="89" t="str">
        <f t="shared" si="21"/>
        <v>ok</v>
      </c>
      <c r="CL54" s="89" t="str">
        <f t="shared" si="21"/>
        <v>ok</v>
      </c>
      <c r="CM54" s="89" t="str">
        <f t="shared" si="21"/>
        <v>ok</v>
      </c>
      <c r="CN54" s="89" t="str">
        <f t="shared" si="21"/>
        <v>ok</v>
      </c>
      <c r="CO54" s="89" t="str">
        <f t="shared" si="21"/>
        <v>ok</v>
      </c>
      <c r="CP54" s="89" t="str">
        <f t="shared" si="21"/>
        <v>ok</v>
      </c>
      <c r="CQ54" s="89" t="str">
        <f t="shared" si="21"/>
        <v>ok</v>
      </c>
      <c r="CR54" s="89" t="str">
        <f t="shared" si="21"/>
        <v>ok</v>
      </c>
      <c r="CS54" s="89" t="str">
        <f t="shared" si="21"/>
        <v>ok</v>
      </c>
      <c r="CT54" s="89" t="str">
        <f t="shared" si="21"/>
        <v>ok</v>
      </c>
      <c r="CU54" s="89" t="str">
        <f t="shared" ref="CU54:DZ54" si="22">IF(SUM(CU6:CU36)=CU37,"ok","エラー")</f>
        <v>ok</v>
      </c>
      <c r="CV54" s="89" t="str">
        <f t="shared" si="22"/>
        <v>ok</v>
      </c>
      <c r="CW54" s="89" t="str">
        <f t="shared" si="22"/>
        <v>ok</v>
      </c>
      <c r="CX54" s="89" t="str">
        <f t="shared" si="22"/>
        <v>ok</v>
      </c>
      <c r="CY54" s="89" t="str">
        <f t="shared" si="22"/>
        <v>ok</v>
      </c>
      <c r="CZ54" s="89" t="str">
        <f t="shared" si="22"/>
        <v>ok</v>
      </c>
      <c r="DA54" s="89" t="str">
        <f t="shared" si="22"/>
        <v>ok</v>
      </c>
      <c r="DB54" s="89" t="str">
        <f t="shared" si="22"/>
        <v>ok</v>
      </c>
      <c r="DC54" s="89" t="str">
        <f t="shared" si="22"/>
        <v>ok</v>
      </c>
      <c r="DD54" s="89" t="str">
        <f t="shared" si="22"/>
        <v>ok</v>
      </c>
      <c r="DE54" s="89" t="str">
        <f t="shared" si="22"/>
        <v>ok</v>
      </c>
      <c r="DF54" s="89" t="str">
        <f t="shared" si="22"/>
        <v>ok</v>
      </c>
      <c r="DG54" s="89" t="str">
        <f t="shared" si="22"/>
        <v>ok</v>
      </c>
      <c r="DH54" s="89" t="str">
        <f t="shared" si="22"/>
        <v>ok</v>
      </c>
      <c r="DI54" s="89" t="str">
        <f t="shared" si="22"/>
        <v>ok</v>
      </c>
      <c r="DJ54" s="89" t="str">
        <f t="shared" si="22"/>
        <v>ok</v>
      </c>
      <c r="DK54" s="89" t="str">
        <f t="shared" si="22"/>
        <v>ok</v>
      </c>
      <c r="DL54" s="89" t="str">
        <f t="shared" si="22"/>
        <v>ok</v>
      </c>
      <c r="DM54" s="89" t="str">
        <f t="shared" si="22"/>
        <v>ok</v>
      </c>
      <c r="DN54" s="89" t="str">
        <f t="shared" si="22"/>
        <v>ok</v>
      </c>
      <c r="DO54" s="89" t="str">
        <f t="shared" si="22"/>
        <v>ok</v>
      </c>
      <c r="DP54" s="89" t="str">
        <f t="shared" si="22"/>
        <v>ok</v>
      </c>
      <c r="DQ54" s="89" t="str">
        <f t="shared" si="22"/>
        <v>ok</v>
      </c>
      <c r="DR54" s="89" t="str">
        <f t="shared" si="22"/>
        <v>ok</v>
      </c>
      <c r="DS54" s="89" t="str">
        <f t="shared" si="22"/>
        <v>ok</v>
      </c>
      <c r="DT54" s="89" t="str">
        <f t="shared" si="22"/>
        <v>ok</v>
      </c>
      <c r="DU54" s="89" t="str">
        <f t="shared" si="22"/>
        <v>ok</v>
      </c>
      <c r="DV54" s="89" t="str">
        <f t="shared" si="22"/>
        <v>ok</v>
      </c>
      <c r="DW54" s="89" t="str">
        <f t="shared" si="22"/>
        <v>ok</v>
      </c>
      <c r="DX54" s="89" t="str">
        <f t="shared" si="22"/>
        <v>ok</v>
      </c>
      <c r="DY54" s="89" t="str">
        <f t="shared" si="22"/>
        <v>ok</v>
      </c>
      <c r="DZ54" s="89" t="str">
        <f t="shared" si="22"/>
        <v>ok</v>
      </c>
      <c r="EA54" s="89" t="str">
        <f t="shared" ref="EA54:FF54" si="23">IF(SUM(EA6:EA36)=EA37,"ok","エラー")</f>
        <v>ok</v>
      </c>
      <c r="EB54" s="89" t="str">
        <f t="shared" si="23"/>
        <v>ok</v>
      </c>
      <c r="EC54" s="89" t="str">
        <f t="shared" si="23"/>
        <v>ok</v>
      </c>
      <c r="ED54" s="89" t="str">
        <f t="shared" si="23"/>
        <v>ok</v>
      </c>
      <c r="EE54" s="89" t="str">
        <f t="shared" si="23"/>
        <v>ok</v>
      </c>
      <c r="EF54" s="89" t="str">
        <f t="shared" si="23"/>
        <v>ok</v>
      </c>
      <c r="EG54" s="89" t="str">
        <f t="shared" si="23"/>
        <v>ok</v>
      </c>
      <c r="EH54" s="89" t="str">
        <f t="shared" si="23"/>
        <v>ok</v>
      </c>
      <c r="EI54" s="89" t="str">
        <f t="shared" si="23"/>
        <v>ok</v>
      </c>
      <c r="EJ54" s="89" t="str">
        <f t="shared" si="23"/>
        <v>ok</v>
      </c>
      <c r="EK54" s="89" t="str">
        <f t="shared" si="23"/>
        <v>ok</v>
      </c>
      <c r="EL54" s="89" t="str">
        <f t="shared" si="23"/>
        <v>ok</v>
      </c>
      <c r="EM54" s="89" t="str">
        <f t="shared" si="23"/>
        <v>ok</v>
      </c>
      <c r="EN54" s="89" t="str">
        <f t="shared" si="23"/>
        <v>ok</v>
      </c>
      <c r="EO54" s="89" t="str">
        <f t="shared" si="23"/>
        <v>ok</v>
      </c>
      <c r="EP54" s="89" t="str">
        <f t="shared" si="23"/>
        <v>ok</v>
      </c>
      <c r="EQ54" s="89" t="str">
        <f t="shared" si="23"/>
        <v>ok</v>
      </c>
      <c r="ER54" s="89" t="str">
        <f t="shared" si="23"/>
        <v>ok</v>
      </c>
      <c r="ES54" s="89" t="str">
        <f t="shared" si="23"/>
        <v>ok</v>
      </c>
      <c r="ET54" s="89" t="str">
        <f t="shared" si="23"/>
        <v>ok</v>
      </c>
      <c r="EU54" s="89" t="str">
        <f t="shared" si="23"/>
        <v>ok</v>
      </c>
      <c r="EV54" s="89" t="str">
        <f t="shared" si="23"/>
        <v>ok</v>
      </c>
      <c r="EW54" s="89" t="str">
        <f t="shared" si="23"/>
        <v>ok</v>
      </c>
      <c r="EX54" s="89" t="str">
        <f t="shared" si="23"/>
        <v>ok</v>
      </c>
      <c r="EY54" s="89" t="str">
        <f t="shared" si="23"/>
        <v>ok</v>
      </c>
      <c r="EZ54" s="89" t="str">
        <f t="shared" si="23"/>
        <v>ok</v>
      </c>
      <c r="FA54" s="89" t="str">
        <f t="shared" si="23"/>
        <v>ok</v>
      </c>
      <c r="FB54" s="89" t="str">
        <f t="shared" si="23"/>
        <v>ok</v>
      </c>
      <c r="FC54" s="89" t="str">
        <f t="shared" si="23"/>
        <v>ok</v>
      </c>
      <c r="FD54" s="89" t="str">
        <f t="shared" si="23"/>
        <v>ok</v>
      </c>
      <c r="FE54" s="89" t="str">
        <f t="shared" si="23"/>
        <v>ok</v>
      </c>
      <c r="FF54" s="89" t="str">
        <f t="shared" si="23"/>
        <v>ok</v>
      </c>
      <c r="FG54" s="89" t="str">
        <f t="shared" ref="FG54:FM54" si="24">IF(SUM(FG6:FG36)=FG37,"ok","エラー")</f>
        <v>ok</v>
      </c>
      <c r="FH54" s="89" t="str">
        <f t="shared" si="24"/>
        <v>ok</v>
      </c>
      <c r="FI54" s="89" t="str">
        <f t="shared" si="24"/>
        <v>エラー</v>
      </c>
      <c r="FJ54" s="89" t="str">
        <f t="shared" si="24"/>
        <v>ok</v>
      </c>
      <c r="FK54" s="89" t="str">
        <f t="shared" si="24"/>
        <v>ok</v>
      </c>
      <c r="FL54" s="89" t="str">
        <f t="shared" si="24"/>
        <v>ok</v>
      </c>
      <c r="FM54" s="89" t="str">
        <f t="shared" si="24"/>
        <v>ok</v>
      </c>
      <c r="FW54" s="89" t="str">
        <f>IF(SUM(FW6:FW36)=FW37,"ok","エラー")</f>
        <v>ok</v>
      </c>
      <c r="FY54" s="89" t="str">
        <f t="shared" ref="FY54:GD54" si="25">IF(SUM(FY6:FY36)=FY37,"ok","エラー")</f>
        <v>ok</v>
      </c>
      <c r="FZ54" s="89" t="str">
        <f t="shared" si="25"/>
        <v>ok</v>
      </c>
      <c r="GA54" s="89" t="str">
        <f t="shared" si="25"/>
        <v>ok</v>
      </c>
      <c r="GB54" s="89" t="str">
        <f t="shared" si="25"/>
        <v>ok</v>
      </c>
      <c r="GC54" s="89" t="str">
        <f t="shared" si="25"/>
        <v>ok</v>
      </c>
      <c r="GD54" s="89" t="str">
        <f t="shared" si="25"/>
        <v>ok</v>
      </c>
      <c r="GI54" s="89" t="str">
        <f>IF(SUM(GI6:GI36)=GI37,"ok","エラー")</f>
        <v>ok</v>
      </c>
    </row>
    <row r="55" spans="2:230" x14ac:dyDescent="0.15">
      <c r="B55" s="89" t="s">
        <v>650</v>
      </c>
      <c r="C55" s="89" t="str">
        <f t="shared" ref="C55:AH55" si="26">IF(SUM(C38:C47)=C48,"ok","エラー")</f>
        <v>ok</v>
      </c>
      <c r="D55" s="89" t="str">
        <f t="shared" si="26"/>
        <v>ok</v>
      </c>
      <c r="E55" s="89" t="str">
        <f t="shared" si="26"/>
        <v>ok</v>
      </c>
      <c r="F55" s="89" t="str">
        <f t="shared" si="26"/>
        <v>ok</v>
      </c>
      <c r="G55" s="89" t="str">
        <f t="shared" si="26"/>
        <v>ok</v>
      </c>
      <c r="H55" s="89" t="str">
        <f t="shared" si="26"/>
        <v>ok</v>
      </c>
      <c r="I55" s="89" t="str">
        <f t="shared" si="26"/>
        <v>ok</v>
      </c>
      <c r="J55" s="89" t="str">
        <f t="shared" si="26"/>
        <v>ok</v>
      </c>
      <c r="K55" s="89" t="str">
        <f t="shared" si="26"/>
        <v>ok</v>
      </c>
      <c r="L55" s="89" t="str">
        <f t="shared" si="26"/>
        <v>ok</v>
      </c>
      <c r="M55" s="89" t="str">
        <f t="shared" si="26"/>
        <v>ok</v>
      </c>
      <c r="N55" s="89" t="str">
        <f t="shared" si="26"/>
        <v>ok</v>
      </c>
      <c r="O55" s="89" t="str">
        <f t="shared" si="26"/>
        <v>ok</v>
      </c>
      <c r="P55" s="89" t="str">
        <f t="shared" si="26"/>
        <v>ok</v>
      </c>
      <c r="Q55" s="89" t="str">
        <f t="shared" si="26"/>
        <v>ok</v>
      </c>
      <c r="R55" s="89" t="str">
        <f t="shared" si="26"/>
        <v>ok</v>
      </c>
      <c r="S55" s="89" t="str">
        <f t="shared" si="26"/>
        <v>ok</v>
      </c>
      <c r="T55" s="89" t="str">
        <f t="shared" si="26"/>
        <v>ok</v>
      </c>
      <c r="U55" s="89" t="str">
        <f t="shared" si="26"/>
        <v>ok</v>
      </c>
      <c r="V55" s="89" t="str">
        <f t="shared" si="26"/>
        <v>ok</v>
      </c>
      <c r="W55" s="89" t="str">
        <f t="shared" si="26"/>
        <v>ok</v>
      </c>
      <c r="X55" s="89" t="str">
        <f t="shared" si="26"/>
        <v>ok</v>
      </c>
      <c r="Y55" s="89" t="str">
        <f t="shared" si="26"/>
        <v>ok</v>
      </c>
      <c r="Z55" s="89" t="str">
        <f t="shared" si="26"/>
        <v>ok</v>
      </c>
      <c r="AA55" s="89" t="str">
        <f t="shared" si="26"/>
        <v>ok</v>
      </c>
      <c r="AB55" s="89" t="str">
        <f t="shared" si="26"/>
        <v>ok</v>
      </c>
      <c r="AC55" s="89" t="str">
        <f t="shared" si="26"/>
        <v>ok</v>
      </c>
      <c r="AD55" s="89" t="str">
        <f t="shared" si="26"/>
        <v>ok</v>
      </c>
      <c r="AE55" s="89" t="str">
        <f t="shared" si="26"/>
        <v>ok</v>
      </c>
      <c r="AF55" s="89" t="str">
        <f t="shared" si="26"/>
        <v>ok</v>
      </c>
      <c r="AG55" s="89" t="str">
        <f t="shared" si="26"/>
        <v>ok</v>
      </c>
      <c r="AH55" s="89" t="str">
        <f t="shared" si="26"/>
        <v>ok</v>
      </c>
      <c r="AI55" s="89" t="str">
        <f t="shared" ref="AI55:BN55" si="27">IF(SUM(AI38:AI47)=AI48,"ok","エラー")</f>
        <v>ok</v>
      </c>
      <c r="AJ55" s="89" t="str">
        <f t="shared" si="27"/>
        <v>ok</v>
      </c>
      <c r="AK55" s="89" t="str">
        <f t="shared" si="27"/>
        <v>ok</v>
      </c>
      <c r="AL55" s="89" t="str">
        <f t="shared" si="27"/>
        <v>ok</v>
      </c>
      <c r="AM55" s="89" t="str">
        <f t="shared" si="27"/>
        <v>ok</v>
      </c>
      <c r="AN55" s="89" t="str">
        <f t="shared" si="27"/>
        <v>ok</v>
      </c>
      <c r="AO55" s="89" t="str">
        <f t="shared" si="27"/>
        <v>ok</v>
      </c>
      <c r="AP55" s="89" t="str">
        <f t="shared" si="27"/>
        <v>ok</v>
      </c>
      <c r="AQ55" s="89" t="str">
        <f t="shared" si="27"/>
        <v>ok</v>
      </c>
      <c r="AR55" s="89" t="str">
        <f t="shared" si="27"/>
        <v>ok</v>
      </c>
      <c r="AS55" s="89" t="str">
        <f t="shared" si="27"/>
        <v>ok</v>
      </c>
      <c r="AT55" s="89" t="str">
        <f t="shared" si="27"/>
        <v>ok</v>
      </c>
      <c r="AU55" s="89" t="str">
        <f t="shared" si="27"/>
        <v>ok</v>
      </c>
      <c r="AV55" s="89" t="str">
        <f t="shared" si="27"/>
        <v>ok</v>
      </c>
      <c r="AW55" s="89" t="str">
        <f t="shared" si="27"/>
        <v>ok</v>
      </c>
      <c r="AX55" s="89" t="str">
        <f t="shared" si="27"/>
        <v>ok</v>
      </c>
      <c r="AY55" s="89" t="str">
        <f t="shared" si="27"/>
        <v>ok</v>
      </c>
      <c r="AZ55" s="89" t="str">
        <f t="shared" si="27"/>
        <v>ok</v>
      </c>
      <c r="BA55" s="89" t="str">
        <f t="shared" si="27"/>
        <v>ok</v>
      </c>
      <c r="BB55" s="89" t="str">
        <f t="shared" si="27"/>
        <v>ok</v>
      </c>
      <c r="BC55" s="89" t="str">
        <f t="shared" si="27"/>
        <v>ok</v>
      </c>
      <c r="BD55" s="89" t="str">
        <f t="shared" si="27"/>
        <v>ok</v>
      </c>
      <c r="BE55" s="89" t="str">
        <f t="shared" si="27"/>
        <v>ok</v>
      </c>
      <c r="BF55" s="89" t="str">
        <f t="shared" si="27"/>
        <v>ok</v>
      </c>
      <c r="BG55" s="89" t="str">
        <f t="shared" si="27"/>
        <v>ok</v>
      </c>
      <c r="BH55" s="89" t="str">
        <f t="shared" si="27"/>
        <v>ok</v>
      </c>
      <c r="BI55" s="89" t="str">
        <f t="shared" si="27"/>
        <v>ok</v>
      </c>
      <c r="BJ55" s="89" t="str">
        <f t="shared" si="27"/>
        <v>ok</v>
      </c>
      <c r="BK55" s="89" t="str">
        <f t="shared" si="27"/>
        <v>ok</v>
      </c>
      <c r="BL55" s="89" t="str">
        <f t="shared" si="27"/>
        <v>ok</v>
      </c>
      <c r="BM55" s="89" t="str">
        <f t="shared" si="27"/>
        <v>ok</v>
      </c>
      <c r="BN55" s="89" t="str">
        <f t="shared" si="27"/>
        <v>ok</v>
      </c>
      <c r="BO55" s="89" t="str">
        <f t="shared" ref="BO55:CT55" si="28">IF(SUM(BO38:BO47)=BO48,"ok","エラー")</f>
        <v>ok</v>
      </c>
      <c r="BP55" s="89" t="str">
        <f t="shared" si="28"/>
        <v>ok</v>
      </c>
      <c r="BQ55" s="89" t="str">
        <f t="shared" si="28"/>
        <v>ok</v>
      </c>
      <c r="BR55" s="89" t="str">
        <f t="shared" si="28"/>
        <v>ok</v>
      </c>
      <c r="BS55" s="89" t="str">
        <f t="shared" si="28"/>
        <v>ok</v>
      </c>
      <c r="BT55" s="89" t="str">
        <f t="shared" si="28"/>
        <v>ok</v>
      </c>
      <c r="BU55" s="89" t="str">
        <f t="shared" si="28"/>
        <v>ok</v>
      </c>
      <c r="BV55" s="89" t="str">
        <f t="shared" si="28"/>
        <v>ok</v>
      </c>
      <c r="BW55" s="89" t="str">
        <f t="shared" si="28"/>
        <v>ok</v>
      </c>
      <c r="BX55" s="89" t="str">
        <f t="shared" si="28"/>
        <v>ok</v>
      </c>
      <c r="BY55" s="89" t="str">
        <f t="shared" si="28"/>
        <v>ok</v>
      </c>
      <c r="BZ55" s="89" t="str">
        <f t="shared" si="28"/>
        <v>ok</v>
      </c>
      <c r="CA55" s="89" t="str">
        <f t="shared" si="28"/>
        <v>ok</v>
      </c>
      <c r="CB55" s="89" t="str">
        <f t="shared" si="28"/>
        <v>ok</v>
      </c>
      <c r="CC55" s="89" t="str">
        <f t="shared" si="28"/>
        <v>ok</v>
      </c>
      <c r="CD55" s="89" t="str">
        <f t="shared" si="28"/>
        <v>ok</v>
      </c>
      <c r="CE55" s="89" t="str">
        <f t="shared" si="28"/>
        <v>ok</v>
      </c>
      <c r="CF55" s="89" t="str">
        <f t="shared" si="28"/>
        <v>ok</v>
      </c>
      <c r="CG55" s="89" t="str">
        <f t="shared" si="28"/>
        <v>ok</v>
      </c>
      <c r="CH55" s="89" t="str">
        <f t="shared" si="28"/>
        <v>ok</v>
      </c>
      <c r="CI55" s="89" t="str">
        <f t="shared" si="28"/>
        <v>ok</v>
      </c>
      <c r="CJ55" s="89" t="str">
        <f t="shared" si="28"/>
        <v>ok</v>
      </c>
      <c r="CK55" s="89" t="str">
        <f t="shared" si="28"/>
        <v>ok</v>
      </c>
      <c r="CL55" s="89" t="str">
        <f t="shared" si="28"/>
        <v>ok</v>
      </c>
      <c r="CM55" s="89" t="str">
        <f t="shared" si="28"/>
        <v>ok</v>
      </c>
      <c r="CN55" s="89" t="str">
        <f t="shared" si="28"/>
        <v>ok</v>
      </c>
      <c r="CO55" s="89" t="str">
        <f t="shared" si="28"/>
        <v>ok</v>
      </c>
      <c r="CP55" s="89" t="str">
        <f t="shared" si="28"/>
        <v>ok</v>
      </c>
      <c r="CQ55" s="89" t="str">
        <f t="shared" si="28"/>
        <v>ok</v>
      </c>
      <c r="CR55" s="89" t="str">
        <f t="shared" si="28"/>
        <v>ok</v>
      </c>
      <c r="CS55" s="89" t="str">
        <f t="shared" si="28"/>
        <v>ok</v>
      </c>
      <c r="CT55" s="89" t="str">
        <f t="shared" si="28"/>
        <v>ok</v>
      </c>
      <c r="CU55" s="89" t="str">
        <f t="shared" ref="CU55:DZ55" si="29">IF(SUM(CU38:CU47)=CU48,"ok","エラー")</f>
        <v>ok</v>
      </c>
      <c r="CV55" s="89" t="str">
        <f t="shared" si="29"/>
        <v>ok</v>
      </c>
      <c r="CW55" s="89" t="str">
        <f t="shared" si="29"/>
        <v>ok</v>
      </c>
      <c r="CX55" s="89" t="str">
        <f t="shared" si="29"/>
        <v>ok</v>
      </c>
      <c r="CY55" s="89" t="str">
        <f t="shared" si="29"/>
        <v>ok</v>
      </c>
      <c r="CZ55" s="89" t="str">
        <f t="shared" si="29"/>
        <v>ok</v>
      </c>
      <c r="DA55" s="89" t="str">
        <f t="shared" si="29"/>
        <v>ok</v>
      </c>
      <c r="DB55" s="89" t="str">
        <f t="shared" si="29"/>
        <v>ok</v>
      </c>
      <c r="DC55" s="89" t="str">
        <f t="shared" si="29"/>
        <v>ok</v>
      </c>
      <c r="DD55" s="89" t="str">
        <f t="shared" si="29"/>
        <v>ok</v>
      </c>
      <c r="DE55" s="89" t="str">
        <f t="shared" si="29"/>
        <v>ok</v>
      </c>
      <c r="DF55" s="89" t="str">
        <f t="shared" si="29"/>
        <v>ok</v>
      </c>
      <c r="DG55" s="89" t="str">
        <f t="shared" si="29"/>
        <v>ok</v>
      </c>
      <c r="DH55" s="89" t="str">
        <f t="shared" si="29"/>
        <v>ok</v>
      </c>
      <c r="DI55" s="89" t="str">
        <f t="shared" si="29"/>
        <v>ok</v>
      </c>
      <c r="DJ55" s="89" t="str">
        <f t="shared" si="29"/>
        <v>ok</v>
      </c>
      <c r="DK55" s="89" t="str">
        <f t="shared" si="29"/>
        <v>ok</v>
      </c>
      <c r="DL55" s="89" t="str">
        <f t="shared" si="29"/>
        <v>ok</v>
      </c>
      <c r="DM55" s="89" t="str">
        <f t="shared" si="29"/>
        <v>ok</v>
      </c>
      <c r="DN55" s="89" t="str">
        <f t="shared" si="29"/>
        <v>ok</v>
      </c>
      <c r="DO55" s="89" t="str">
        <f t="shared" si="29"/>
        <v>ok</v>
      </c>
      <c r="DP55" s="89" t="str">
        <f t="shared" si="29"/>
        <v>ok</v>
      </c>
      <c r="DQ55" s="89" t="str">
        <f t="shared" si="29"/>
        <v>ok</v>
      </c>
      <c r="DR55" s="89" t="str">
        <f t="shared" si="29"/>
        <v>ok</v>
      </c>
      <c r="DS55" s="89" t="str">
        <f t="shared" si="29"/>
        <v>ok</v>
      </c>
      <c r="DT55" s="89" t="str">
        <f t="shared" si="29"/>
        <v>ok</v>
      </c>
      <c r="DU55" s="89" t="str">
        <f t="shared" si="29"/>
        <v>ok</v>
      </c>
      <c r="DV55" s="89" t="str">
        <f t="shared" si="29"/>
        <v>ok</v>
      </c>
      <c r="DW55" s="89" t="str">
        <f t="shared" si="29"/>
        <v>ok</v>
      </c>
      <c r="DX55" s="89" t="str">
        <f t="shared" si="29"/>
        <v>ok</v>
      </c>
      <c r="DY55" s="89" t="str">
        <f t="shared" si="29"/>
        <v>ok</v>
      </c>
      <c r="DZ55" s="89" t="str">
        <f t="shared" si="29"/>
        <v>ok</v>
      </c>
      <c r="EA55" s="89" t="str">
        <f t="shared" ref="EA55:FF55" si="30">IF(SUM(EA38:EA47)=EA48,"ok","エラー")</f>
        <v>ok</v>
      </c>
      <c r="EB55" s="89" t="str">
        <f t="shared" si="30"/>
        <v>ok</v>
      </c>
      <c r="EC55" s="89" t="str">
        <f t="shared" si="30"/>
        <v>ok</v>
      </c>
      <c r="ED55" s="89" t="str">
        <f t="shared" si="30"/>
        <v>ok</v>
      </c>
      <c r="EE55" s="89" t="str">
        <f t="shared" si="30"/>
        <v>ok</v>
      </c>
      <c r="EF55" s="89" t="str">
        <f t="shared" si="30"/>
        <v>ok</v>
      </c>
      <c r="EG55" s="89" t="str">
        <f t="shared" si="30"/>
        <v>ok</v>
      </c>
      <c r="EH55" s="89" t="str">
        <f t="shared" si="30"/>
        <v>ok</v>
      </c>
      <c r="EI55" s="89" t="str">
        <f t="shared" si="30"/>
        <v>ok</v>
      </c>
      <c r="EJ55" s="89" t="str">
        <f t="shared" si="30"/>
        <v>ok</v>
      </c>
      <c r="EK55" s="89" t="str">
        <f t="shared" si="30"/>
        <v>ok</v>
      </c>
      <c r="EL55" s="89" t="str">
        <f t="shared" si="30"/>
        <v>ok</v>
      </c>
      <c r="EM55" s="89" t="str">
        <f t="shared" si="30"/>
        <v>ok</v>
      </c>
      <c r="EN55" s="89" t="str">
        <f t="shared" si="30"/>
        <v>ok</v>
      </c>
      <c r="EO55" s="89" t="str">
        <f t="shared" si="30"/>
        <v>ok</v>
      </c>
      <c r="EP55" s="89" t="str">
        <f t="shared" si="30"/>
        <v>ok</v>
      </c>
      <c r="EQ55" s="89" t="str">
        <f t="shared" si="30"/>
        <v>ok</v>
      </c>
      <c r="ER55" s="89" t="str">
        <f t="shared" si="30"/>
        <v>ok</v>
      </c>
      <c r="ES55" s="89" t="str">
        <f t="shared" si="30"/>
        <v>ok</v>
      </c>
      <c r="ET55" s="89" t="str">
        <f t="shared" si="30"/>
        <v>ok</v>
      </c>
      <c r="EU55" s="89" t="str">
        <f t="shared" si="30"/>
        <v>ok</v>
      </c>
      <c r="EV55" s="89" t="str">
        <f t="shared" si="30"/>
        <v>ok</v>
      </c>
      <c r="EW55" s="89" t="str">
        <f t="shared" si="30"/>
        <v>ok</v>
      </c>
      <c r="EX55" s="89" t="str">
        <f t="shared" si="30"/>
        <v>ok</v>
      </c>
      <c r="EY55" s="89" t="str">
        <f t="shared" si="30"/>
        <v>ok</v>
      </c>
      <c r="EZ55" s="89" t="str">
        <f t="shared" si="30"/>
        <v>ok</v>
      </c>
      <c r="FA55" s="89" t="str">
        <f t="shared" si="30"/>
        <v>ok</v>
      </c>
      <c r="FB55" s="89" t="str">
        <f t="shared" si="30"/>
        <v>ok</v>
      </c>
      <c r="FC55" s="89" t="str">
        <f t="shared" si="30"/>
        <v>ok</v>
      </c>
      <c r="FD55" s="89" t="str">
        <f t="shared" si="30"/>
        <v>ok</v>
      </c>
      <c r="FE55" s="89" t="str">
        <f t="shared" si="30"/>
        <v>ok</v>
      </c>
      <c r="FF55" s="89" t="str">
        <f t="shared" si="30"/>
        <v>ok</v>
      </c>
      <c r="FG55" s="89" t="str">
        <f t="shared" ref="FG55:FM55" si="31">IF(SUM(FG38:FG47)=FG48,"ok","エラー")</f>
        <v>ok</v>
      </c>
      <c r="FH55" s="89" t="str">
        <f t="shared" si="31"/>
        <v>ok</v>
      </c>
      <c r="FI55" s="89" t="str">
        <f t="shared" si="31"/>
        <v>エラー</v>
      </c>
      <c r="FJ55" s="89" t="str">
        <f t="shared" si="31"/>
        <v>ok</v>
      </c>
      <c r="FK55" s="89" t="str">
        <f t="shared" si="31"/>
        <v>ok</v>
      </c>
      <c r="FL55" s="89" t="str">
        <f t="shared" si="31"/>
        <v>ok</v>
      </c>
      <c r="FM55" s="89" t="str">
        <f t="shared" si="31"/>
        <v>ok</v>
      </c>
      <c r="FW55" s="89" t="str">
        <f>IF(SUM(FW38:FW47)=FW48,"ok","エラー")</f>
        <v>ok</v>
      </c>
      <c r="FY55" s="89" t="str">
        <f t="shared" ref="FY55:GD55" si="32">IF(SUM(FY38:FY47)=FY48,"ok","エラー")</f>
        <v>ok</v>
      </c>
      <c r="FZ55" s="89" t="str">
        <f t="shared" si="32"/>
        <v>ok</v>
      </c>
      <c r="GA55" s="89" t="str">
        <f t="shared" si="32"/>
        <v>ok</v>
      </c>
      <c r="GB55" s="89" t="str">
        <f t="shared" si="32"/>
        <v>ok</v>
      </c>
      <c r="GC55" s="89" t="str">
        <f t="shared" si="32"/>
        <v>ok</v>
      </c>
      <c r="GD55" s="89" t="str">
        <f t="shared" si="32"/>
        <v>ok</v>
      </c>
      <c r="GI55" s="89" t="str">
        <f>IF(SUM(GI38:GI47)=GI48,"ok","エラー")</f>
        <v>ok</v>
      </c>
    </row>
    <row r="56" spans="2:230" x14ac:dyDescent="0.15">
      <c r="B56" s="89" t="s">
        <v>650</v>
      </c>
      <c r="C56" s="89" t="str">
        <f t="shared" ref="C56:AH56" si="33">IF(C37+C48=C49,"ok","エラー")</f>
        <v>ok</v>
      </c>
      <c r="D56" s="89" t="str">
        <f t="shared" si="33"/>
        <v>ok</v>
      </c>
      <c r="E56" s="89" t="str">
        <f t="shared" si="33"/>
        <v>ok</v>
      </c>
      <c r="F56" s="89" t="str">
        <f t="shared" si="33"/>
        <v>ok</v>
      </c>
      <c r="G56" s="89" t="str">
        <f t="shared" si="33"/>
        <v>ok</v>
      </c>
      <c r="H56" s="89" t="str">
        <f t="shared" si="33"/>
        <v>ok</v>
      </c>
      <c r="I56" s="89" t="str">
        <f t="shared" si="33"/>
        <v>ok</v>
      </c>
      <c r="J56" s="89" t="str">
        <f t="shared" si="33"/>
        <v>ok</v>
      </c>
      <c r="K56" s="89" t="str">
        <f t="shared" si="33"/>
        <v>ok</v>
      </c>
      <c r="L56" s="89" t="str">
        <f t="shared" si="33"/>
        <v>ok</v>
      </c>
      <c r="M56" s="89" t="str">
        <f t="shared" si="33"/>
        <v>ok</v>
      </c>
      <c r="N56" s="89" t="str">
        <f t="shared" si="33"/>
        <v>ok</v>
      </c>
      <c r="O56" s="89" t="str">
        <f t="shared" si="33"/>
        <v>ok</v>
      </c>
      <c r="P56" s="89" t="str">
        <f t="shared" si="33"/>
        <v>ok</v>
      </c>
      <c r="Q56" s="89" t="str">
        <f t="shared" si="33"/>
        <v>ok</v>
      </c>
      <c r="R56" s="89" t="str">
        <f t="shared" si="33"/>
        <v>ok</v>
      </c>
      <c r="S56" s="89" t="str">
        <f t="shared" si="33"/>
        <v>ok</v>
      </c>
      <c r="T56" s="89" t="str">
        <f t="shared" si="33"/>
        <v>ok</v>
      </c>
      <c r="U56" s="89" t="str">
        <f t="shared" si="33"/>
        <v>ok</v>
      </c>
      <c r="V56" s="89" t="str">
        <f t="shared" si="33"/>
        <v>ok</v>
      </c>
      <c r="W56" s="89" t="str">
        <f t="shared" si="33"/>
        <v>ok</v>
      </c>
      <c r="X56" s="89" t="str">
        <f t="shared" si="33"/>
        <v>ok</v>
      </c>
      <c r="Y56" s="89" t="str">
        <f t="shared" si="33"/>
        <v>ok</v>
      </c>
      <c r="Z56" s="89" t="str">
        <f t="shared" si="33"/>
        <v>ok</v>
      </c>
      <c r="AA56" s="89" t="str">
        <f t="shared" si="33"/>
        <v>ok</v>
      </c>
      <c r="AB56" s="89" t="str">
        <f t="shared" si="33"/>
        <v>ok</v>
      </c>
      <c r="AC56" s="89" t="str">
        <f t="shared" si="33"/>
        <v>ok</v>
      </c>
      <c r="AD56" s="89" t="str">
        <f t="shared" si="33"/>
        <v>ok</v>
      </c>
      <c r="AE56" s="89" t="str">
        <f t="shared" si="33"/>
        <v>ok</v>
      </c>
      <c r="AF56" s="89" t="str">
        <f t="shared" si="33"/>
        <v>ok</v>
      </c>
      <c r="AG56" s="89" t="str">
        <f t="shared" si="33"/>
        <v>ok</v>
      </c>
      <c r="AH56" s="89" t="str">
        <f t="shared" si="33"/>
        <v>ok</v>
      </c>
      <c r="AI56" s="89" t="str">
        <f t="shared" ref="AI56:BN56" si="34">IF(AI37+AI48=AI49,"ok","エラー")</f>
        <v>ok</v>
      </c>
      <c r="AJ56" s="89" t="str">
        <f t="shared" si="34"/>
        <v>ok</v>
      </c>
      <c r="AK56" s="89" t="str">
        <f t="shared" si="34"/>
        <v>ok</v>
      </c>
      <c r="AL56" s="89" t="str">
        <f t="shared" si="34"/>
        <v>ok</v>
      </c>
      <c r="AM56" s="89" t="str">
        <f t="shared" si="34"/>
        <v>ok</v>
      </c>
      <c r="AN56" s="89" t="str">
        <f t="shared" si="34"/>
        <v>ok</v>
      </c>
      <c r="AO56" s="89" t="str">
        <f t="shared" si="34"/>
        <v>ok</v>
      </c>
      <c r="AP56" s="89" t="str">
        <f t="shared" si="34"/>
        <v>ok</v>
      </c>
      <c r="AQ56" s="89" t="str">
        <f t="shared" si="34"/>
        <v>ok</v>
      </c>
      <c r="AR56" s="89" t="str">
        <f t="shared" si="34"/>
        <v>ok</v>
      </c>
      <c r="AS56" s="89" t="str">
        <f t="shared" si="34"/>
        <v>ok</v>
      </c>
      <c r="AT56" s="89" t="str">
        <f t="shared" si="34"/>
        <v>ok</v>
      </c>
      <c r="AU56" s="89" t="str">
        <f t="shared" si="34"/>
        <v>ok</v>
      </c>
      <c r="AV56" s="89" t="str">
        <f t="shared" si="34"/>
        <v>ok</v>
      </c>
      <c r="AW56" s="89" t="str">
        <f t="shared" si="34"/>
        <v>ok</v>
      </c>
      <c r="AX56" s="89" t="str">
        <f t="shared" si="34"/>
        <v>ok</v>
      </c>
      <c r="AY56" s="89" t="str">
        <f t="shared" si="34"/>
        <v>ok</v>
      </c>
      <c r="AZ56" s="89" t="str">
        <f t="shared" si="34"/>
        <v>ok</v>
      </c>
      <c r="BA56" s="89" t="str">
        <f t="shared" si="34"/>
        <v>ok</v>
      </c>
      <c r="BB56" s="89" t="str">
        <f t="shared" si="34"/>
        <v>ok</v>
      </c>
      <c r="BC56" s="89" t="str">
        <f t="shared" si="34"/>
        <v>ok</v>
      </c>
      <c r="BD56" s="89" t="str">
        <f t="shared" si="34"/>
        <v>ok</v>
      </c>
      <c r="BE56" s="89" t="str">
        <f t="shared" si="34"/>
        <v>ok</v>
      </c>
      <c r="BF56" s="89" t="str">
        <f t="shared" si="34"/>
        <v>ok</v>
      </c>
      <c r="BG56" s="89" t="str">
        <f t="shared" si="34"/>
        <v>ok</v>
      </c>
      <c r="BH56" s="89" t="str">
        <f t="shared" si="34"/>
        <v>ok</v>
      </c>
      <c r="BI56" s="89" t="str">
        <f t="shared" si="34"/>
        <v>ok</v>
      </c>
      <c r="BJ56" s="89" t="str">
        <f t="shared" si="34"/>
        <v>ok</v>
      </c>
      <c r="BK56" s="89" t="str">
        <f t="shared" si="34"/>
        <v>ok</v>
      </c>
      <c r="BL56" s="89" t="str">
        <f t="shared" si="34"/>
        <v>ok</v>
      </c>
      <c r="BM56" s="89" t="str">
        <f t="shared" si="34"/>
        <v>ok</v>
      </c>
      <c r="BN56" s="89" t="str">
        <f t="shared" si="34"/>
        <v>ok</v>
      </c>
      <c r="BO56" s="89" t="str">
        <f t="shared" ref="BO56:CT56" si="35">IF(BO37+BO48=BO49,"ok","エラー")</f>
        <v>ok</v>
      </c>
      <c r="BP56" s="89" t="str">
        <f t="shared" si="35"/>
        <v>ok</v>
      </c>
      <c r="BQ56" s="89" t="str">
        <f t="shared" si="35"/>
        <v>ok</v>
      </c>
      <c r="BR56" s="89" t="str">
        <f t="shared" si="35"/>
        <v>ok</v>
      </c>
      <c r="BS56" s="89" t="str">
        <f t="shared" si="35"/>
        <v>ok</v>
      </c>
      <c r="BT56" s="89" t="str">
        <f t="shared" si="35"/>
        <v>ok</v>
      </c>
      <c r="BU56" s="89" t="str">
        <f t="shared" si="35"/>
        <v>ok</v>
      </c>
      <c r="BV56" s="89" t="str">
        <f t="shared" si="35"/>
        <v>ok</v>
      </c>
      <c r="BW56" s="89" t="str">
        <f t="shared" si="35"/>
        <v>ok</v>
      </c>
      <c r="BX56" s="89" t="str">
        <f t="shared" si="35"/>
        <v>ok</v>
      </c>
      <c r="BY56" s="89" t="str">
        <f t="shared" si="35"/>
        <v>ok</v>
      </c>
      <c r="BZ56" s="89" t="str">
        <f t="shared" si="35"/>
        <v>ok</v>
      </c>
      <c r="CA56" s="89" t="str">
        <f t="shared" si="35"/>
        <v>ok</v>
      </c>
      <c r="CB56" s="89" t="str">
        <f t="shared" si="35"/>
        <v>ok</v>
      </c>
      <c r="CC56" s="89" t="str">
        <f t="shared" si="35"/>
        <v>ok</v>
      </c>
      <c r="CD56" s="89" t="str">
        <f t="shared" si="35"/>
        <v>ok</v>
      </c>
      <c r="CE56" s="89" t="str">
        <f t="shared" si="35"/>
        <v>ok</v>
      </c>
      <c r="CF56" s="89" t="str">
        <f t="shared" si="35"/>
        <v>ok</v>
      </c>
      <c r="CG56" s="89" t="str">
        <f t="shared" si="35"/>
        <v>ok</v>
      </c>
      <c r="CH56" s="89" t="str">
        <f t="shared" si="35"/>
        <v>ok</v>
      </c>
      <c r="CI56" s="89" t="str">
        <f t="shared" si="35"/>
        <v>ok</v>
      </c>
      <c r="CJ56" s="89" t="str">
        <f t="shared" si="35"/>
        <v>ok</v>
      </c>
      <c r="CK56" s="89" t="str">
        <f t="shared" si="35"/>
        <v>ok</v>
      </c>
      <c r="CL56" s="89" t="str">
        <f t="shared" si="35"/>
        <v>ok</v>
      </c>
      <c r="CM56" s="89" t="str">
        <f t="shared" si="35"/>
        <v>ok</v>
      </c>
      <c r="CN56" s="89" t="str">
        <f t="shared" si="35"/>
        <v>ok</v>
      </c>
      <c r="CO56" s="89" t="str">
        <f t="shared" si="35"/>
        <v>ok</v>
      </c>
      <c r="CP56" s="89" t="str">
        <f t="shared" si="35"/>
        <v>ok</v>
      </c>
      <c r="CQ56" s="89" t="str">
        <f t="shared" si="35"/>
        <v>ok</v>
      </c>
      <c r="CR56" s="89" t="str">
        <f t="shared" si="35"/>
        <v>ok</v>
      </c>
      <c r="CS56" s="89" t="str">
        <f t="shared" si="35"/>
        <v>ok</v>
      </c>
      <c r="CT56" s="89" t="str">
        <f t="shared" si="35"/>
        <v>ok</v>
      </c>
      <c r="CU56" s="89" t="str">
        <f t="shared" ref="CU56:DZ56" si="36">IF(CU37+CU48=CU49,"ok","エラー")</f>
        <v>ok</v>
      </c>
      <c r="CV56" s="89" t="str">
        <f t="shared" si="36"/>
        <v>ok</v>
      </c>
      <c r="CW56" s="89" t="str">
        <f t="shared" si="36"/>
        <v>ok</v>
      </c>
      <c r="CX56" s="89" t="str">
        <f t="shared" si="36"/>
        <v>ok</v>
      </c>
      <c r="CY56" s="89" t="str">
        <f t="shared" si="36"/>
        <v>ok</v>
      </c>
      <c r="CZ56" s="89" t="str">
        <f t="shared" si="36"/>
        <v>ok</v>
      </c>
      <c r="DA56" s="89" t="str">
        <f t="shared" si="36"/>
        <v>ok</v>
      </c>
      <c r="DB56" s="89" t="str">
        <f t="shared" si="36"/>
        <v>ok</v>
      </c>
      <c r="DC56" s="89" t="str">
        <f t="shared" si="36"/>
        <v>ok</v>
      </c>
      <c r="DD56" s="89" t="str">
        <f t="shared" si="36"/>
        <v>ok</v>
      </c>
      <c r="DE56" s="89" t="str">
        <f t="shared" si="36"/>
        <v>ok</v>
      </c>
      <c r="DF56" s="89" t="str">
        <f t="shared" si="36"/>
        <v>ok</v>
      </c>
      <c r="DG56" s="89" t="str">
        <f t="shared" si="36"/>
        <v>ok</v>
      </c>
      <c r="DH56" s="89" t="str">
        <f t="shared" si="36"/>
        <v>ok</v>
      </c>
      <c r="DI56" s="89" t="str">
        <f t="shared" si="36"/>
        <v>ok</v>
      </c>
      <c r="DJ56" s="89" t="str">
        <f t="shared" si="36"/>
        <v>ok</v>
      </c>
      <c r="DK56" s="89" t="str">
        <f t="shared" si="36"/>
        <v>ok</v>
      </c>
      <c r="DL56" s="89" t="str">
        <f t="shared" si="36"/>
        <v>ok</v>
      </c>
      <c r="DM56" s="89" t="str">
        <f t="shared" si="36"/>
        <v>ok</v>
      </c>
      <c r="DN56" s="89" t="str">
        <f t="shared" si="36"/>
        <v>ok</v>
      </c>
      <c r="DO56" s="89" t="str">
        <f t="shared" si="36"/>
        <v>ok</v>
      </c>
      <c r="DP56" s="89" t="str">
        <f t="shared" si="36"/>
        <v>ok</v>
      </c>
      <c r="DQ56" s="89" t="str">
        <f t="shared" si="36"/>
        <v>ok</v>
      </c>
      <c r="DR56" s="89" t="str">
        <f t="shared" si="36"/>
        <v>ok</v>
      </c>
      <c r="DS56" s="89" t="str">
        <f t="shared" si="36"/>
        <v>ok</v>
      </c>
      <c r="DT56" s="89" t="str">
        <f t="shared" si="36"/>
        <v>ok</v>
      </c>
      <c r="DU56" s="89" t="str">
        <f t="shared" si="36"/>
        <v>ok</v>
      </c>
      <c r="DV56" s="89" t="str">
        <f t="shared" si="36"/>
        <v>ok</v>
      </c>
      <c r="DW56" s="89" t="str">
        <f t="shared" si="36"/>
        <v>ok</v>
      </c>
      <c r="DX56" s="89" t="str">
        <f t="shared" si="36"/>
        <v>ok</v>
      </c>
      <c r="DY56" s="89" t="str">
        <f t="shared" si="36"/>
        <v>ok</v>
      </c>
      <c r="DZ56" s="89" t="str">
        <f t="shared" si="36"/>
        <v>ok</v>
      </c>
      <c r="EA56" s="89" t="str">
        <f t="shared" ref="EA56:FF56" si="37">IF(EA37+EA48=EA49,"ok","エラー")</f>
        <v>ok</v>
      </c>
      <c r="EB56" s="89" t="str">
        <f t="shared" si="37"/>
        <v>ok</v>
      </c>
      <c r="EC56" s="89" t="str">
        <f t="shared" si="37"/>
        <v>ok</v>
      </c>
      <c r="ED56" s="89" t="str">
        <f t="shared" si="37"/>
        <v>ok</v>
      </c>
      <c r="EE56" s="89" t="str">
        <f t="shared" si="37"/>
        <v>ok</v>
      </c>
      <c r="EF56" s="89" t="str">
        <f t="shared" si="37"/>
        <v>ok</v>
      </c>
      <c r="EG56" s="89" t="str">
        <f t="shared" si="37"/>
        <v>ok</v>
      </c>
      <c r="EH56" s="89" t="str">
        <f t="shared" si="37"/>
        <v>ok</v>
      </c>
      <c r="EI56" s="89" t="str">
        <f t="shared" si="37"/>
        <v>ok</v>
      </c>
      <c r="EJ56" s="89" t="str">
        <f t="shared" si="37"/>
        <v>ok</v>
      </c>
      <c r="EK56" s="89" t="str">
        <f t="shared" si="37"/>
        <v>ok</v>
      </c>
      <c r="EL56" s="89" t="str">
        <f t="shared" si="37"/>
        <v>ok</v>
      </c>
      <c r="EM56" s="89" t="str">
        <f t="shared" si="37"/>
        <v>ok</v>
      </c>
      <c r="EN56" s="89" t="str">
        <f t="shared" si="37"/>
        <v>ok</v>
      </c>
      <c r="EO56" s="89" t="str">
        <f t="shared" si="37"/>
        <v>ok</v>
      </c>
      <c r="EP56" s="89" t="str">
        <f t="shared" si="37"/>
        <v>ok</v>
      </c>
      <c r="EQ56" s="89" t="str">
        <f t="shared" si="37"/>
        <v>ok</v>
      </c>
      <c r="ER56" s="89" t="str">
        <f t="shared" si="37"/>
        <v>ok</v>
      </c>
      <c r="ES56" s="89" t="str">
        <f t="shared" si="37"/>
        <v>ok</v>
      </c>
      <c r="ET56" s="89" t="str">
        <f t="shared" si="37"/>
        <v>ok</v>
      </c>
      <c r="EU56" s="89" t="str">
        <f t="shared" si="37"/>
        <v>ok</v>
      </c>
      <c r="EV56" s="89" t="str">
        <f t="shared" si="37"/>
        <v>ok</v>
      </c>
      <c r="EW56" s="89" t="str">
        <f t="shared" si="37"/>
        <v>ok</v>
      </c>
      <c r="EX56" s="89" t="str">
        <f t="shared" si="37"/>
        <v>ok</v>
      </c>
      <c r="EY56" s="89" t="str">
        <f t="shared" si="37"/>
        <v>ok</v>
      </c>
      <c r="EZ56" s="89" t="str">
        <f t="shared" si="37"/>
        <v>ok</v>
      </c>
      <c r="FA56" s="89" t="str">
        <f t="shared" si="37"/>
        <v>ok</v>
      </c>
      <c r="FB56" s="89" t="str">
        <f t="shared" si="37"/>
        <v>ok</v>
      </c>
      <c r="FC56" s="89" t="str">
        <f t="shared" si="37"/>
        <v>ok</v>
      </c>
      <c r="FD56" s="89" t="str">
        <f t="shared" si="37"/>
        <v>ok</v>
      </c>
      <c r="FE56" s="89" t="str">
        <f t="shared" si="37"/>
        <v>ok</v>
      </c>
      <c r="FF56" s="89" t="str">
        <f t="shared" si="37"/>
        <v>ok</v>
      </c>
      <c r="FG56" s="89" t="str">
        <f t="shared" ref="FG56:FM56" si="38">IF(FG37+FG48=FG49,"ok","エラー")</f>
        <v>ok</v>
      </c>
      <c r="FH56" s="89" t="str">
        <f t="shared" si="38"/>
        <v>ok</v>
      </c>
      <c r="FI56" s="89" t="str">
        <f t="shared" si="38"/>
        <v>エラー</v>
      </c>
      <c r="FJ56" s="89" t="str">
        <f t="shared" si="38"/>
        <v>ok</v>
      </c>
      <c r="FK56" s="89" t="str">
        <f t="shared" si="38"/>
        <v>ok</v>
      </c>
      <c r="FL56" s="89" t="str">
        <f t="shared" si="38"/>
        <v>ok</v>
      </c>
      <c r="FM56" s="89" t="str">
        <f t="shared" si="38"/>
        <v>ok</v>
      </c>
      <c r="FW56" s="89" t="str">
        <f>IF(FW37+FW48=FW49,"ok","エラー")</f>
        <v>ok</v>
      </c>
      <c r="FY56" s="89" t="str">
        <f t="shared" ref="FY56:GD56" si="39">IF(FY37+FY48=FY49,"ok","エラー")</f>
        <v>ok</v>
      </c>
      <c r="FZ56" s="89" t="str">
        <f t="shared" si="39"/>
        <v>ok</v>
      </c>
      <c r="GA56" s="89" t="str">
        <f t="shared" si="39"/>
        <v>ok</v>
      </c>
      <c r="GB56" s="89" t="str">
        <f t="shared" si="39"/>
        <v>ok</v>
      </c>
      <c r="GC56" s="89" t="str">
        <f t="shared" si="39"/>
        <v>ok</v>
      </c>
      <c r="GD56" s="89" t="str">
        <f t="shared" si="39"/>
        <v>ok</v>
      </c>
      <c r="GI56" s="89" t="str">
        <f>IF(GI37+GI48=GI49,"ok","エラー")</f>
        <v>ok</v>
      </c>
    </row>
  </sheetData>
  <phoneticPr fontId="3"/>
  <pageMargins left="0.75" right="0.75" top="1" bottom="1" header="0.51200000000000001" footer="0.51200000000000001"/>
  <pageSetup paperSize="9" orientation="portrait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">
    <tabColor indexed="15"/>
  </sheetPr>
  <dimension ref="A1:HV52"/>
  <sheetViews>
    <sheetView workbookViewId="0">
      <pane xSplit="2" ySplit="5" topLeftCell="FU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  <col min="192" max="230" width="13.6640625" style="174" customWidth="1"/>
  </cols>
  <sheetData>
    <row r="1" spans="2:230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230" x14ac:dyDescent="0.15">
      <c r="C2" s="28" t="s">
        <v>338</v>
      </c>
      <c r="D2" s="29"/>
      <c r="E2" s="96" t="s">
        <v>339</v>
      </c>
      <c r="F2" s="96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347</v>
      </c>
      <c r="O2" s="28" t="s">
        <v>348</v>
      </c>
      <c r="P2" s="28" t="s">
        <v>349</v>
      </c>
      <c r="Q2" s="28" t="s">
        <v>350</v>
      </c>
      <c r="R2" s="28" t="s">
        <v>351</v>
      </c>
      <c r="S2" s="28" t="s">
        <v>795</v>
      </c>
      <c r="T2" s="89"/>
      <c r="U2" s="96" t="s">
        <v>725</v>
      </c>
      <c r="V2" s="96" t="s">
        <v>354</v>
      </c>
      <c r="W2" s="96" t="s">
        <v>355</v>
      </c>
      <c r="X2" s="96" t="s">
        <v>664</v>
      </c>
      <c r="Y2" s="96" t="s">
        <v>356</v>
      </c>
      <c r="Z2" s="96" t="s">
        <v>357</v>
      </c>
      <c r="AA2" s="96" t="s">
        <v>653</v>
      </c>
      <c r="AB2" s="96" t="s">
        <v>359</v>
      </c>
      <c r="AC2" s="96" t="s">
        <v>654</v>
      </c>
      <c r="AD2" s="96" t="s">
        <v>665</v>
      </c>
      <c r="AE2" s="96" t="s">
        <v>726</v>
      </c>
      <c r="AF2" s="96" t="s">
        <v>362</v>
      </c>
      <c r="AG2" s="96" t="s">
        <v>363</v>
      </c>
      <c r="AH2" s="46"/>
      <c r="AI2" s="96" t="s">
        <v>366</v>
      </c>
      <c r="AJ2" s="96" t="s">
        <v>796</v>
      </c>
      <c r="AK2" s="96" t="s">
        <v>797</v>
      </c>
      <c r="AL2" s="29"/>
      <c r="AM2" s="96" t="s">
        <v>368</v>
      </c>
      <c r="AN2" s="96" t="s">
        <v>728</v>
      </c>
      <c r="AO2" s="96" t="s">
        <v>686</v>
      </c>
      <c r="AP2" s="96" t="s">
        <v>369</v>
      </c>
      <c r="AQ2" s="96" t="s">
        <v>798</v>
      </c>
      <c r="AR2" s="96" t="s">
        <v>370</v>
      </c>
      <c r="AS2" s="96" t="s">
        <v>799</v>
      </c>
      <c r="AT2" s="96" t="s">
        <v>376</v>
      </c>
      <c r="AU2" s="96" t="s">
        <v>377</v>
      </c>
      <c r="AV2" s="96" t="s">
        <v>378</v>
      </c>
      <c r="AW2" s="96" t="s">
        <v>379</v>
      </c>
      <c r="AX2" s="96" t="s">
        <v>801</v>
      </c>
      <c r="AY2" s="96" t="s">
        <v>380</v>
      </c>
      <c r="AZ2" s="96" t="s">
        <v>802</v>
      </c>
      <c r="BA2" s="96" t="s">
        <v>382</v>
      </c>
      <c r="BB2" s="96" t="s">
        <v>803</v>
      </c>
      <c r="BC2" s="96" t="s">
        <v>711</v>
      </c>
      <c r="BD2" s="28" t="s">
        <v>386</v>
      </c>
      <c r="BE2" s="28" t="s">
        <v>387</v>
      </c>
      <c r="BF2" s="28" t="s">
        <v>388</v>
      </c>
      <c r="BG2" s="28" t="s">
        <v>389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 t="s">
        <v>804</v>
      </c>
      <c r="BR2" s="28"/>
      <c r="BS2" s="28" t="s">
        <v>805</v>
      </c>
      <c r="BT2" s="28" t="s">
        <v>784</v>
      </c>
      <c r="BU2" s="28" t="s">
        <v>806</v>
      </c>
      <c r="BV2" s="89"/>
      <c r="BW2" s="28" t="s">
        <v>402</v>
      </c>
      <c r="BX2" s="28" t="s">
        <v>403</v>
      </c>
      <c r="BY2" s="28" t="s">
        <v>786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720</v>
      </c>
      <c r="CM2" s="28" t="s">
        <v>417</v>
      </c>
      <c r="CN2" s="28" t="s">
        <v>721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424</v>
      </c>
      <c r="CV2" s="28" t="s">
        <v>425</v>
      </c>
      <c r="CW2" s="89"/>
      <c r="CX2" s="28" t="s">
        <v>426</v>
      </c>
      <c r="CY2" s="28" t="s">
        <v>427</v>
      </c>
      <c r="CZ2" s="89"/>
      <c r="DA2" s="28" t="s">
        <v>428</v>
      </c>
      <c r="DB2" s="28" t="s">
        <v>429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442</v>
      </c>
      <c r="DP2" s="28" t="s">
        <v>443</v>
      </c>
      <c r="DQ2" s="28" t="s">
        <v>444</v>
      </c>
      <c r="DR2" s="28" t="s">
        <v>445</v>
      </c>
      <c r="DS2" s="28" t="s">
        <v>446</v>
      </c>
      <c r="DT2" s="28" t="s">
        <v>447</v>
      </c>
      <c r="DU2" s="28" t="s">
        <v>448</v>
      </c>
      <c r="DV2" s="89"/>
      <c r="DW2" s="28" t="s">
        <v>449</v>
      </c>
      <c r="DX2" s="28"/>
      <c r="DY2" s="28" t="s">
        <v>451</v>
      </c>
      <c r="DZ2" s="28" t="s">
        <v>452</v>
      </c>
      <c r="EA2" s="28" t="s">
        <v>453</v>
      </c>
      <c r="EB2" s="28" t="s">
        <v>450</v>
      </c>
      <c r="EC2" s="28" t="s">
        <v>455</v>
      </c>
      <c r="ED2" s="28" t="s">
        <v>456</v>
      </c>
      <c r="EE2" s="89"/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K2" s="89"/>
      <c r="EL2" s="89"/>
      <c r="EM2" s="89"/>
      <c r="EN2" s="28" t="s">
        <v>464</v>
      </c>
      <c r="EO2" s="28" t="s">
        <v>465</v>
      </c>
      <c r="EP2" s="89"/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G2" s="89"/>
      <c r="FH2" s="28" t="s">
        <v>481</v>
      </c>
      <c r="FI2" s="89"/>
      <c r="FJ2" s="89"/>
      <c r="FK2" s="89"/>
      <c r="FL2" s="89"/>
      <c r="FM2" s="89"/>
      <c r="FN2" s="89"/>
      <c r="FO2" s="89"/>
      <c r="FP2" s="89"/>
      <c r="FQ2" s="89"/>
      <c r="FR2" s="89"/>
      <c r="FS2" s="89"/>
      <c r="FT2" s="89"/>
      <c r="FU2" s="89"/>
      <c r="FV2" s="89"/>
      <c r="FW2" s="28" t="s">
        <v>807</v>
      </c>
      <c r="FX2" s="89"/>
      <c r="FY2" s="28" t="s">
        <v>490</v>
      </c>
      <c r="FZ2" s="28" t="s">
        <v>491</v>
      </c>
      <c r="GA2" s="28" t="s">
        <v>492</v>
      </c>
      <c r="GB2" s="28" t="s">
        <v>493</v>
      </c>
      <c r="GC2" s="89"/>
      <c r="GD2" s="89"/>
      <c r="GE2" s="89"/>
      <c r="GF2" s="89"/>
      <c r="GG2" s="89"/>
      <c r="GH2" s="89"/>
      <c r="GI2" s="89"/>
      <c r="GJ2" s="89"/>
      <c r="GK2" s="89"/>
      <c r="GL2" s="89"/>
      <c r="GM2" s="89"/>
      <c r="GN2" s="89"/>
      <c r="GO2" s="89"/>
      <c r="GP2" s="89"/>
      <c r="GQ2" s="89"/>
    </row>
    <row r="3" spans="2:230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V3" s="89"/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E3" s="89"/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K3" s="89"/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P3" s="89"/>
      <c r="FQ3" s="89"/>
      <c r="FR3" s="89"/>
      <c r="FS3" s="89"/>
      <c r="FT3" s="89"/>
      <c r="FU3" s="89"/>
      <c r="FV3" s="30" t="s">
        <v>529</v>
      </c>
      <c r="FW3" s="30" t="s">
        <v>308</v>
      </c>
      <c r="FX3" s="89"/>
      <c r="FY3" s="30" t="s">
        <v>312</v>
      </c>
      <c r="FZ3" s="89"/>
      <c r="GA3" s="89"/>
      <c r="GB3" s="89"/>
      <c r="GC3" s="89"/>
      <c r="GD3" s="30" t="s">
        <v>531</v>
      </c>
      <c r="GE3" s="89"/>
      <c r="GF3" s="30" t="s">
        <v>532</v>
      </c>
      <c r="GG3" s="89"/>
      <c r="GH3" s="89"/>
      <c r="GI3" s="30" t="s">
        <v>706</v>
      </c>
      <c r="GJ3" s="89"/>
      <c r="GK3" s="89"/>
      <c r="GL3" s="89"/>
      <c r="GM3" s="89"/>
      <c r="GN3" s="89"/>
      <c r="GO3" s="89"/>
      <c r="GP3" s="89"/>
      <c r="GQ3" s="89"/>
    </row>
    <row r="4" spans="2:230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V4" s="89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570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E4" s="89"/>
      <c r="EF4" s="89"/>
      <c r="EG4" s="89"/>
      <c r="EH4" s="89"/>
      <c r="EI4" s="89"/>
      <c r="EJ4" s="89"/>
      <c r="EK4" s="89"/>
      <c r="EL4" s="89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J4" s="89"/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W4" s="89"/>
      <c r="FX4" s="30" t="s">
        <v>530</v>
      </c>
      <c r="FY4" s="89"/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  <c r="GJ4" s="89"/>
      <c r="GK4" s="89"/>
      <c r="GL4" s="89"/>
      <c r="GM4" s="89"/>
      <c r="GN4" s="89"/>
      <c r="GO4" s="89"/>
      <c r="GP4" s="89"/>
      <c r="GQ4" s="89"/>
    </row>
    <row r="5" spans="2:230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V5" s="89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635</v>
      </c>
      <c r="DX5" s="30"/>
      <c r="DY5" s="30"/>
      <c r="DZ5" s="30"/>
      <c r="EA5" s="30"/>
      <c r="EB5" s="30"/>
      <c r="EC5" s="30"/>
      <c r="ED5" s="30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30" t="s">
        <v>595</v>
      </c>
      <c r="EZ5" s="30" t="s">
        <v>595</v>
      </c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30" t="s">
        <v>639</v>
      </c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30" t="s">
        <v>600</v>
      </c>
      <c r="FW5" s="89"/>
      <c r="FX5" s="30" t="s">
        <v>601</v>
      </c>
      <c r="FY5" s="89"/>
      <c r="FZ5" s="89"/>
      <c r="GA5" s="89"/>
      <c r="GB5" s="89"/>
      <c r="GC5" s="89"/>
      <c r="GD5" s="89"/>
      <c r="GE5" s="30" t="s">
        <v>601</v>
      </c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</row>
    <row r="6" spans="2:230" x14ac:dyDescent="0.15">
      <c r="B6" s="89" t="s">
        <v>5</v>
      </c>
      <c r="C6" s="272">
        <v>23443874</v>
      </c>
      <c r="D6" s="455">
        <f t="shared" ref="D6:D49" si="0">E6+F6</f>
        <v>7670321</v>
      </c>
      <c r="E6" s="272">
        <v>239930</v>
      </c>
      <c r="F6" s="272">
        <v>7430391</v>
      </c>
      <c r="G6" s="455">
        <f t="shared" ref="G6:G49" si="1">H6+I6</f>
        <v>2244169</v>
      </c>
      <c r="H6" s="272">
        <v>439091</v>
      </c>
      <c r="I6" s="272">
        <v>1805078</v>
      </c>
      <c r="J6" s="272">
        <v>9812642</v>
      </c>
      <c r="K6" s="272">
        <v>4318332</v>
      </c>
      <c r="L6" s="272">
        <v>4059821</v>
      </c>
      <c r="M6" s="272">
        <v>1140871</v>
      </c>
      <c r="N6" s="272">
        <v>1508397</v>
      </c>
      <c r="O6" s="272">
        <v>1950257</v>
      </c>
      <c r="P6" s="272">
        <v>1126105</v>
      </c>
      <c r="Q6" s="272">
        <v>824152</v>
      </c>
      <c r="R6" s="272">
        <v>1769044</v>
      </c>
      <c r="S6" s="272">
        <v>1313199</v>
      </c>
      <c r="T6" s="455">
        <f t="shared" ref="T6:T49" si="2">SUM(U6:AA6)</f>
        <v>2760992</v>
      </c>
      <c r="U6" s="272">
        <v>130244</v>
      </c>
      <c r="V6" s="272">
        <v>134982</v>
      </c>
      <c r="W6" s="272">
        <v>105955</v>
      </c>
      <c r="X6" s="272">
        <v>1874830</v>
      </c>
      <c r="Y6" s="272">
        <v>60835</v>
      </c>
      <c r="Z6" s="272">
        <v>0</v>
      </c>
      <c r="AA6" s="272">
        <v>454146</v>
      </c>
      <c r="AB6" s="272">
        <v>625197</v>
      </c>
      <c r="AC6" s="272">
        <v>13232904</v>
      </c>
      <c r="AD6" s="272">
        <v>13118886</v>
      </c>
      <c r="AE6" s="272">
        <v>114018</v>
      </c>
      <c r="AF6" s="272">
        <v>44381</v>
      </c>
      <c r="AG6" s="272">
        <v>444198</v>
      </c>
      <c r="AH6" s="455">
        <f t="shared" ref="AH6:AH49" si="3">AI6+AJ6</f>
        <v>1501623</v>
      </c>
      <c r="AI6" s="272">
        <v>1344753</v>
      </c>
      <c r="AJ6" s="272">
        <v>156870</v>
      </c>
      <c r="AK6" s="272">
        <v>8277471</v>
      </c>
      <c r="AL6" s="455">
        <f t="shared" ref="AL6:AL49" si="4">SUM(AM6:AP6)</f>
        <v>5556264</v>
      </c>
      <c r="AM6" s="272">
        <v>4962307</v>
      </c>
      <c r="AN6" s="272">
        <v>593957</v>
      </c>
      <c r="AO6" s="272">
        <v>0</v>
      </c>
      <c r="AP6" s="272">
        <v>0</v>
      </c>
      <c r="AQ6" s="272">
        <v>509425</v>
      </c>
      <c r="AR6" s="272">
        <v>0</v>
      </c>
      <c r="AS6" s="272">
        <v>0</v>
      </c>
      <c r="AT6" s="272">
        <v>3218235</v>
      </c>
      <c r="AU6" s="272">
        <v>1559531</v>
      </c>
      <c r="AV6" s="272">
        <v>296979</v>
      </c>
      <c r="AW6" s="272">
        <v>228148</v>
      </c>
      <c r="AX6" s="272">
        <v>1658704</v>
      </c>
      <c r="AY6" s="272">
        <v>30260</v>
      </c>
      <c r="AZ6" s="272">
        <v>157492</v>
      </c>
      <c r="BA6" s="272">
        <v>137644</v>
      </c>
      <c r="BB6" s="272">
        <v>212376</v>
      </c>
      <c r="BC6" s="272">
        <v>3015060</v>
      </c>
      <c r="BD6" s="272">
        <v>100000</v>
      </c>
      <c r="BE6" s="272">
        <v>600000</v>
      </c>
      <c r="BF6" s="272">
        <v>306433</v>
      </c>
      <c r="BG6" s="272">
        <v>1961486</v>
      </c>
      <c r="BH6" s="272">
        <v>164448</v>
      </c>
      <c r="BI6" s="272">
        <v>158477</v>
      </c>
      <c r="BJ6" s="272">
        <v>1396796</v>
      </c>
      <c r="BK6" s="272">
        <v>31552</v>
      </c>
      <c r="BL6" s="272">
        <v>2943</v>
      </c>
      <c r="BM6" s="272">
        <v>720081</v>
      </c>
      <c r="BN6" s="272">
        <v>5534800</v>
      </c>
      <c r="BO6" s="455">
        <f t="shared" ref="BO6:BO49" si="5">BN6-BP6-BT6</f>
        <v>2883800</v>
      </c>
      <c r="BP6" s="455">
        <f t="shared" ref="BP6:BP49" si="6">BQ6+BR6+BS6</f>
        <v>1964000</v>
      </c>
      <c r="BQ6" s="272">
        <v>228900</v>
      </c>
      <c r="BR6" s="272"/>
      <c r="BS6" s="272">
        <v>1735100</v>
      </c>
      <c r="BT6" s="272">
        <v>687000</v>
      </c>
      <c r="BU6" s="272">
        <v>65798891</v>
      </c>
      <c r="BV6" s="272"/>
      <c r="BW6" s="272">
        <v>14414946</v>
      </c>
      <c r="BX6" s="272">
        <v>10278306</v>
      </c>
      <c r="BY6" s="272">
        <v>1510222</v>
      </c>
      <c r="BZ6" s="272">
        <v>449678</v>
      </c>
      <c r="CA6" s="272">
        <v>14229350</v>
      </c>
      <c r="CB6" s="272">
        <v>1697068</v>
      </c>
      <c r="CC6" s="272">
        <v>460174</v>
      </c>
      <c r="CD6" s="272">
        <v>5328242</v>
      </c>
      <c r="CE6" s="272">
        <v>6369004</v>
      </c>
      <c r="CF6" s="272">
        <v>334</v>
      </c>
      <c r="CG6" s="272">
        <v>370028</v>
      </c>
      <c r="CH6" s="272">
        <v>9248562</v>
      </c>
      <c r="CI6" s="272">
        <v>7324180</v>
      </c>
      <c r="CJ6" s="455">
        <f t="shared" ref="CJ6:CJ49" si="7">CH6-CI6</f>
        <v>1924382</v>
      </c>
      <c r="CK6" s="272">
        <v>6218401</v>
      </c>
      <c r="CL6" s="272">
        <v>3794438</v>
      </c>
      <c r="CM6" s="272">
        <v>253572</v>
      </c>
      <c r="CN6" s="272">
        <v>838218</v>
      </c>
      <c r="CO6" s="272">
        <v>205250</v>
      </c>
      <c r="CP6" s="272">
        <v>9758390</v>
      </c>
      <c r="CQ6" s="272">
        <v>2036572</v>
      </c>
      <c r="CR6" s="272">
        <v>892591</v>
      </c>
      <c r="CS6" s="272">
        <v>805292</v>
      </c>
      <c r="CT6" s="455">
        <f t="shared" ref="CT6:CT49" si="8">CU6+CV6</f>
        <v>6218561</v>
      </c>
      <c r="CU6" s="272">
        <v>3344807</v>
      </c>
      <c r="CV6" s="272">
        <v>2873754</v>
      </c>
      <c r="CW6" s="455">
        <f t="shared" ref="CW6:CW49" si="9">CX6+CY6</f>
        <v>1750000</v>
      </c>
      <c r="CX6" s="272">
        <v>1701728</v>
      </c>
      <c r="CY6" s="272">
        <v>48272</v>
      </c>
      <c r="CZ6" s="455">
        <f t="shared" ref="CZ6:CZ49" si="10">DA6+DB6</f>
        <v>4415963</v>
      </c>
      <c r="DA6" s="272">
        <v>1604923</v>
      </c>
      <c r="DB6" s="272">
        <v>2811040</v>
      </c>
      <c r="DC6" s="272">
        <v>5895547</v>
      </c>
      <c r="DD6" s="272">
        <v>1181144</v>
      </c>
      <c r="DE6" s="272">
        <v>4692893</v>
      </c>
      <c r="DF6" s="26">
        <v>6562</v>
      </c>
      <c r="DG6" s="27">
        <v>14948</v>
      </c>
      <c r="DH6" s="272">
        <v>0</v>
      </c>
      <c r="DI6" s="272">
        <v>383033</v>
      </c>
      <c r="DJ6" s="272">
        <v>1062</v>
      </c>
      <c r="DK6" s="272">
        <v>80643</v>
      </c>
      <c r="DL6" s="272">
        <v>301328</v>
      </c>
      <c r="DM6" s="272">
        <v>19300</v>
      </c>
      <c r="DN6" s="272">
        <v>19300</v>
      </c>
      <c r="DO6" s="272">
        <v>19300</v>
      </c>
      <c r="DP6" s="272">
        <v>0</v>
      </c>
      <c r="DQ6" s="272">
        <v>31000</v>
      </c>
      <c r="DR6" s="272">
        <v>0</v>
      </c>
      <c r="DS6" s="272">
        <v>0</v>
      </c>
      <c r="DT6" s="272">
        <v>5282930</v>
      </c>
      <c r="DU6" s="272">
        <v>0</v>
      </c>
      <c r="DV6" s="455">
        <f t="shared" ref="DV6:DV49" si="11">DW6</f>
        <v>0</v>
      </c>
      <c r="DW6" s="272">
        <v>0</v>
      </c>
      <c r="DX6" s="272"/>
      <c r="DY6" s="272">
        <v>0</v>
      </c>
      <c r="DZ6" s="272">
        <v>1982094</v>
      </c>
      <c r="EA6" s="272">
        <v>1245578</v>
      </c>
      <c r="EB6" s="272">
        <v>1525219</v>
      </c>
      <c r="EC6" s="272">
        <v>0</v>
      </c>
      <c r="ED6" s="272">
        <v>65686709</v>
      </c>
      <c r="EE6" s="89"/>
      <c r="EF6" s="272">
        <v>112182</v>
      </c>
      <c r="EG6" s="272">
        <v>18993</v>
      </c>
      <c r="EH6" s="272">
        <v>93189</v>
      </c>
      <c r="EI6" s="272">
        <v>-65288</v>
      </c>
      <c r="EJ6" s="272">
        <v>-164226</v>
      </c>
      <c r="EK6" s="89"/>
      <c r="EL6" s="272"/>
      <c r="EM6" s="272">
        <v>202522</v>
      </c>
      <c r="EN6" s="272">
        <v>2708627</v>
      </c>
      <c r="EO6" s="272">
        <v>153468</v>
      </c>
      <c r="EP6" s="455">
        <f t="shared" ref="EP6:EP49" si="12">EQ6-ER6-C6-R6-T6-AB6-AC6-BP6-EN6-EO6</f>
        <v>2232233</v>
      </c>
      <c r="EQ6" s="272">
        <v>41876392</v>
      </c>
      <c r="ER6" s="272">
        <v>-7013947</v>
      </c>
      <c r="ES6" s="272">
        <v>12741318</v>
      </c>
      <c r="ET6" s="272">
        <v>9338925</v>
      </c>
      <c r="EU6" s="272">
        <v>4797643</v>
      </c>
      <c r="EV6" s="272">
        <v>9154646</v>
      </c>
      <c r="EW6" s="455">
        <f t="shared" ref="EW6:EW49" si="13">EX6+FA6+FB6</f>
        <v>2524344</v>
      </c>
      <c r="EX6" s="272">
        <v>2524344</v>
      </c>
      <c r="EY6" s="272">
        <v>74114</v>
      </c>
      <c r="EZ6" s="272">
        <v>2446949</v>
      </c>
      <c r="FA6" s="272">
        <v>0</v>
      </c>
      <c r="FB6" s="272"/>
      <c r="FC6" s="272">
        <v>5311762</v>
      </c>
      <c r="FD6" s="272">
        <v>9253451</v>
      </c>
      <c r="FE6" s="272">
        <v>1834881</v>
      </c>
      <c r="FF6" s="272">
        <v>4500721</v>
      </c>
      <c r="FG6" s="455">
        <f t="shared" ref="FG6:FG49" si="14">FH6-ES6-EU6-EV6-EW6-FC6-FD6-FF6</f>
        <v>494272</v>
      </c>
      <c r="FH6" s="272">
        <v>48778157</v>
      </c>
      <c r="FI6" s="384">
        <f t="shared" ref="FI6:FI49" si="15">ROUND(EH6/FJ6*100,1)</f>
        <v>0.2</v>
      </c>
      <c r="FJ6" s="272">
        <v>39577581</v>
      </c>
      <c r="FK6" s="272">
        <v>1735183</v>
      </c>
      <c r="FL6" s="272">
        <v>20316044</v>
      </c>
      <c r="FM6" s="272">
        <v>33427551</v>
      </c>
      <c r="FN6" s="460">
        <v>0.61</v>
      </c>
      <c r="FO6" s="388">
        <v>96.6</v>
      </c>
      <c r="FP6" s="388">
        <v>29.3</v>
      </c>
      <c r="FQ6" s="388">
        <v>10.6</v>
      </c>
      <c r="FR6" s="388">
        <v>21.7</v>
      </c>
      <c r="FS6" s="388">
        <v>10.7</v>
      </c>
      <c r="FT6" s="388">
        <v>16.399999999999999</v>
      </c>
      <c r="FU6" s="388">
        <v>7.5</v>
      </c>
      <c r="FV6" s="388">
        <v>19.600000000000001</v>
      </c>
      <c r="FW6" s="272">
        <v>85417574</v>
      </c>
      <c r="FX6" s="388">
        <f t="shared" ref="FX6:FX49" si="16">ROUND(FW6/FJ6*100,1)</f>
        <v>215.8</v>
      </c>
      <c r="FY6" s="272">
        <v>4502392</v>
      </c>
      <c r="FZ6" s="272">
        <v>346345</v>
      </c>
      <c r="GA6" s="272">
        <v>773974</v>
      </c>
      <c r="GB6" s="272">
        <v>3382073</v>
      </c>
      <c r="GC6" s="272"/>
      <c r="GD6" s="272">
        <v>12090260</v>
      </c>
      <c r="GE6" s="384">
        <f t="shared" ref="GE6:GE37" si="17">ROUND(GD6/FJ6*100,1)</f>
        <v>30.5</v>
      </c>
      <c r="GF6" s="388">
        <v>98.2</v>
      </c>
      <c r="GG6" s="388">
        <v>28.5</v>
      </c>
      <c r="GH6" s="388">
        <v>93.6</v>
      </c>
      <c r="GI6" s="272">
        <v>1483</v>
      </c>
      <c r="GJ6" s="394"/>
      <c r="GK6" s="394"/>
      <c r="GL6" s="394"/>
      <c r="GM6" s="394"/>
      <c r="GN6" s="394"/>
      <c r="GO6" s="394"/>
      <c r="GP6" s="394"/>
      <c r="GQ6" s="394"/>
      <c r="GR6" s="394"/>
      <c r="GS6" s="394"/>
      <c r="GT6" s="394"/>
      <c r="GU6" s="394"/>
      <c r="GV6" s="394"/>
      <c r="GW6" s="394"/>
      <c r="GX6" s="394"/>
      <c r="GY6" s="394"/>
      <c r="GZ6" s="394"/>
      <c r="HA6" s="394"/>
      <c r="HB6" s="394"/>
      <c r="HC6" s="394"/>
      <c r="HD6" s="394"/>
      <c r="HE6" s="394"/>
      <c r="HF6" s="394"/>
      <c r="HG6" s="394"/>
      <c r="HH6" s="394"/>
      <c r="HI6" s="394"/>
      <c r="HJ6" s="394"/>
      <c r="HK6" s="394"/>
      <c r="HL6" s="394"/>
      <c r="HM6" s="394"/>
      <c r="HN6" s="394"/>
      <c r="HO6" s="394"/>
      <c r="HP6" s="394"/>
      <c r="HQ6" s="394"/>
      <c r="HR6" s="394"/>
      <c r="HS6" s="394"/>
      <c r="HT6" s="394"/>
      <c r="HU6" s="394"/>
      <c r="HV6" s="394"/>
    </row>
    <row r="7" spans="2:230" x14ac:dyDescent="0.15">
      <c r="B7" s="89" t="s">
        <v>7</v>
      </c>
      <c r="C7" s="272">
        <v>63407362</v>
      </c>
      <c r="D7" s="455">
        <f t="shared" si="0"/>
        <v>27007346</v>
      </c>
      <c r="E7" s="272">
        <v>503682</v>
      </c>
      <c r="F7" s="272">
        <v>26503664</v>
      </c>
      <c r="G7" s="455">
        <f t="shared" si="1"/>
        <v>5003344</v>
      </c>
      <c r="H7" s="272">
        <v>1020927</v>
      </c>
      <c r="I7" s="272">
        <v>3982417</v>
      </c>
      <c r="J7" s="272">
        <v>22807392</v>
      </c>
      <c r="K7" s="272">
        <v>9789813</v>
      </c>
      <c r="L7" s="272">
        <v>9919588</v>
      </c>
      <c r="M7" s="272">
        <v>2655321</v>
      </c>
      <c r="N7" s="272">
        <v>2129563</v>
      </c>
      <c r="O7" s="272">
        <v>5337669</v>
      </c>
      <c r="P7" s="272">
        <v>3077484</v>
      </c>
      <c r="Q7" s="272">
        <v>2260185</v>
      </c>
      <c r="R7" s="272">
        <v>4496336</v>
      </c>
      <c r="S7" s="272">
        <v>1643794</v>
      </c>
      <c r="T7" s="455">
        <f t="shared" si="2"/>
        <v>5417824</v>
      </c>
      <c r="U7" s="272">
        <v>408606</v>
      </c>
      <c r="V7" s="272">
        <v>423797</v>
      </c>
      <c r="W7" s="272">
        <v>334362</v>
      </c>
      <c r="X7" s="272">
        <v>3453436</v>
      </c>
      <c r="Y7" s="272">
        <v>0</v>
      </c>
      <c r="Z7" s="272">
        <v>0</v>
      </c>
      <c r="AA7" s="272">
        <v>797623</v>
      </c>
      <c r="AB7" s="272">
        <v>2160867</v>
      </c>
      <c r="AC7" s="272">
        <v>1481105</v>
      </c>
      <c r="AD7" s="272">
        <v>1039654</v>
      </c>
      <c r="AE7" s="272">
        <v>441451</v>
      </c>
      <c r="AF7" s="272">
        <v>69693</v>
      </c>
      <c r="AG7" s="272">
        <v>946109</v>
      </c>
      <c r="AH7" s="455">
        <f t="shared" si="3"/>
        <v>2685055</v>
      </c>
      <c r="AI7" s="272">
        <v>2414716</v>
      </c>
      <c r="AJ7" s="272">
        <v>270339</v>
      </c>
      <c r="AK7" s="272">
        <v>14671638</v>
      </c>
      <c r="AL7" s="455">
        <f t="shared" si="4"/>
        <v>11220018</v>
      </c>
      <c r="AM7" s="272">
        <v>9151400</v>
      </c>
      <c r="AN7" s="272">
        <v>2068618</v>
      </c>
      <c r="AO7" s="272">
        <v>0</v>
      </c>
      <c r="AP7" s="272">
        <v>0</v>
      </c>
      <c r="AQ7" s="272">
        <v>533835</v>
      </c>
      <c r="AR7" s="272">
        <v>0</v>
      </c>
      <c r="AS7" s="272">
        <v>0</v>
      </c>
      <c r="AT7" s="272">
        <v>5560417</v>
      </c>
      <c r="AU7" s="272">
        <v>2192430</v>
      </c>
      <c r="AV7" s="272">
        <v>331200</v>
      </c>
      <c r="AW7" s="272">
        <v>4036</v>
      </c>
      <c r="AX7" s="272">
        <v>3367987</v>
      </c>
      <c r="AY7" s="272">
        <v>51136</v>
      </c>
      <c r="AZ7" s="272">
        <v>269629</v>
      </c>
      <c r="BA7" s="272">
        <v>225742</v>
      </c>
      <c r="BB7" s="272">
        <v>45449</v>
      </c>
      <c r="BC7" s="272">
        <v>4538606</v>
      </c>
      <c r="BD7" s="272">
        <v>0</v>
      </c>
      <c r="BE7" s="272">
        <v>1483291</v>
      </c>
      <c r="BF7" s="272">
        <v>343985</v>
      </c>
      <c r="BG7" s="272">
        <v>2500000</v>
      </c>
      <c r="BH7" s="272">
        <v>236316</v>
      </c>
      <c r="BI7" s="272">
        <v>96527</v>
      </c>
      <c r="BJ7" s="272">
        <v>5237198</v>
      </c>
      <c r="BK7" s="272">
        <v>4174280</v>
      </c>
      <c r="BL7" s="272">
        <v>0</v>
      </c>
      <c r="BM7" s="272">
        <v>82886</v>
      </c>
      <c r="BN7" s="272">
        <v>6349100</v>
      </c>
      <c r="BO7" s="455">
        <f t="shared" si="5"/>
        <v>2247800</v>
      </c>
      <c r="BP7" s="455">
        <f t="shared" si="6"/>
        <v>4101300</v>
      </c>
      <c r="BQ7" s="272">
        <v>766900</v>
      </c>
      <c r="BR7" s="272"/>
      <c r="BS7" s="272">
        <v>3334400</v>
      </c>
      <c r="BT7" s="272">
        <v>0</v>
      </c>
      <c r="BU7" s="272">
        <v>117572704</v>
      </c>
      <c r="BV7" s="272"/>
      <c r="BW7" s="272">
        <v>30869671</v>
      </c>
      <c r="BX7" s="272">
        <v>20817893</v>
      </c>
      <c r="BY7" s="272">
        <v>4291377</v>
      </c>
      <c r="BZ7" s="272">
        <v>1489066</v>
      </c>
      <c r="CA7" s="272">
        <v>22799396</v>
      </c>
      <c r="CB7" s="272">
        <v>2868961</v>
      </c>
      <c r="CC7" s="272">
        <v>797864</v>
      </c>
      <c r="CD7" s="272">
        <v>6523829</v>
      </c>
      <c r="CE7" s="272">
        <v>12183138</v>
      </c>
      <c r="CF7" s="272">
        <v>1</v>
      </c>
      <c r="CG7" s="272">
        <v>420050</v>
      </c>
      <c r="CH7" s="272">
        <v>12584386</v>
      </c>
      <c r="CI7" s="272">
        <v>10036652</v>
      </c>
      <c r="CJ7" s="455">
        <f t="shared" si="7"/>
        <v>2547734</v>
      </c>
      <c r="CK7" s="272">
        <v>11036839</v>
      </c>
      <c r="CL7" s="272">
        <v>5241548</v>
      </c>
      <c r="CM7" s="272">
        <v>675551</v>
      </c>
      <c r="CN7" s="272">
        <v>2520962</v>
      </c>
      <c r="CO7" s="272">
        <v>451893</v>
      </c>
      <c r="CP7" s="272">
        <v>12287347</v>
      </c>
      <c r="CQ7" s="272">
        <v>2658808</v>
      </c>
      <c r="CR7" s="272">
        <v>3128300</v>
      </c>
      <c r="CS7" s="272">
        <v>2768274</v>
      </c>
      <c r="CT7" s="455">
        <f t="shared" si="8"/>
        <v>1222599</v>
      </c>
      <c r="CU7" s="272">
        <v>1016045</v>
      </c>
      <c r="CV7" s="272">
        <v>206554</v>
      </c>
      <c r="CW7" s="455">
        <f t="shared" si="9"/>
        <v>1118173</v>
      </c>
      <c r="CX7" s="272">
        <v>982518</v>
      </c>
      <c r="CY7" s="272">
        <v>135655</v>
      </c>
      <c r="CZ7" s="455">
        <f t="shared" si="10"/>
        <v>0</v>
      </c>
      <c r="DA7" s="272">
        <v>0</v>
      </c>
      <c r="DB7" s="272">
        <v>0</v>
      </c>
      <c r="DC7" s="272">
        <v>4259484</v>
      </c>
      <c r="DD7" s="272">
        <v>1098655</v>
      </c>
      <c r="DE7" s="272">
        <v>3160829</v>
      </c>
      <c r="DF7" s="26">
        <v>0</v>
      </c>
      <c r="DG7" s="27">
        <v>0</v>
      </c>
      <c r="DH7" s="272">
        <v>0</v>
      </c>
      <c r="DI7" s="272">
        <v>4620540</v>
      </c>
      <c r="DJ7" s="272">
        <v>5</v>
      </c>
      <c r="DK7" s="272">
        <v>1092715</v>
      </c>
      <c r="DL7" s="272">
        <v>3527820</v>
      </c>
      <c r="DM7" s="272">
        <v>275051</v>
      </c>
      <c r="DN7" s="272">
        <v>275051</v>
      </c>
      <c r="DO7" s="272">
        <v>55831</v>
      </c>
      <c r="DP7" s="272">
        <v>219220</v>
      </c>
      <c r="DQ7" s="272">
        <v>4241565</v>
      </c>
      <c r="DR7" s="272">
        <v>0</v>
      </c>
      <c r="DS7" s="272">
        <v>0</v>
      </c>
      <c r="DT7" s="272">
        <v>13641044</v>
      </c>
      <c r="DU7" s="272">
        <v>3223860</v>
      </c>
      <c r="DV7" s="455">
        <f t="shared" si="11"/>
        <v>0</v>
      </c>
      <c r="DW7" s="272">
        <v>0</v>
      </c>
      <c r="DX7" s="272"/>
      <c r="DY7" s="272">
        <v>0</v>
      </c>
      <c r="DZ7" s="272">
        <v>4907349</v>
      </c>
      <c r="EA7" s="272">
        <v>2141471</v>
      </c>
      <c r="EB7" s="272">
        <v>2585216</v>
      </c>
      <c r="EC7" s="272">
        <v>0</v>
      </c>
      <c r="ED7" s="272">
        <v>117067216</v>
      </c>
      <c r="EE7" s="89"/>
      <c r="EF7" s="272">
        <v>505488</v>
      </c>
      <c r="EG7" s="272">
        <v>104082</v>
      </c>
      <c r="EH7" s="272">
        <v>401406</v>
      </c>
      <c r="EI7" s="272">
        <v>304879</v>
      </c>
      <c r="EJ7" s="272">
        <v>304884</v>
      </c>
      <c r="EK7" s="89"/>
      <c r="EL7" s="272"/>
      <c r="EM7" s="272">
        <v>388227</v>
      </c>
      <c r="EN7" s="272">
        <v>2729018</v>
      </c>
      <c r="EO7" s="272">
        <v>227866</v>
      </c>
      <c r="EP7" s="455">
        <f t="shared" si="12"/>
        <v>2630572</v>
      </c>
      <c r="EQ7" s="272">
        <v>77033187</v>
      </c>
      <c r="ER7" s="272">
        <v>-9619063</v>
      </c>
      <c r="ES7" s="272">
        <v>29190608</v>
      </c>
      <c r="ET7" s="272">
        <v>19350370</v>
      </c>
      <c r="EU7" s="272">
        <v>7321911</v>
      </c>
      <c r="EV7" s="272">
        <v>12538826</v>
      </c>
      <c r="EW7" s="455">
        <f t="shared" si="13"/>
        <v>2050435</v>
      </c>
      <c r="EX7" s="272">
        <v>2050435</v>
      </c>
      <c r="EY7" s="272">
        <v>122748</v>
      </c>
      <c r="EZ7" s="272">
        <v>1927687</v>
      </c>
      <c r="FA7" s="272">
        <v>0</v>
      </c>
      <c r="FB7" s="272"/>
      <c r="FC7" s="272">
        <v>8585390</v>
      </c>
      <c r="FD7" s="272">
        <v>10869749</v>
      </c>
      <c r="FE7" s="272">
        <v>2658808</v>
      </c>
      <c r="FF7" s="272">
        <v>11959507</v>
      </c>
      <c r="FG7" s="455">
        <f t="shared" si="14"/>
        <v>3641257</v>
      </c>
      <c r="FH7" s="272">
        <v>86157683</v>
      </c>
      <c r="FI7" s="384">
        <f t="shared" si="15"/>
        <v>0.6</v>
      </c>
      <c r="FJ7" s="272">
        <v>69086158</v>
      </c>
      <c r="FK7" s="272">
        <v>3334493</v>
      </c>
      <c r="FL7" s="272">
        <v>52199193</v>
      </c>
      <c r="FM7" s="272">
        <v>53238847</v>
      </c>
      <c r="FN7" s="460">
        <v>0.97899999999999998</v>
      </c>
      <c r="FO7" s="388">
        <v>97.2</v>
      </c>
      <c r="FP7" s="388">
        <v>37.299999999999997</v>
      </c>
      <c r="FQ7" s="388">
        <v>9.6</v>
      </c>
      <c r="FR7" s="388">
        <v>16.5</v>
      </c>
      <c r="FS7" s="388">
        <v>10.9</v>
      </c>
      <c r="FT7" s="388">
        <v>9.8000000000000007</v>
      </c>
      <c r="FU7" s="388">
        <v>12.7</v>
      </c>
      <c r="FV7" s="388">
        <v>17.100000000000001</v>
      </c>
      <c r="FW7" s="272">
        <v>118614419</v>
      </c>
      <c r="FX7" s="388">
        <f t="shared" si="16"/>
        <v>171.7</v>
      </c>
      <c r="FY7" s="272">
        <v>14058604</v>
      </c>
      <c r="FZ7" s="272">
        <v>9279</v>
      </c>
      <c r="GA7" s="272">
        <v>3683111</v>
      </c>
      <c r="GB7" s="272">
        <v>10366214</v>
      </c>
      <c r="GC7" s="272">
        <v>2600000</v>
      </c>
      <c r="GD7" s="272">
        <v>15313043</v>
      </c>
      <c r="GE7" s="384">
        <f t="shared" si="17"/>
        <v>22.2</v>
      </c>
      <c r="GF7" s="388">
        <v>98.2</v>
      </c>
      <c r="GG7" s="388">
        <v>21.5</v>
      </c>
      <c r="GH7" s="388">
        <v>92.7</v>
      </c>
      <c r="GI7" s="272">
        <v>2874</v>
      </c>
      <c r="GJ7" s="394"/>
      <c r="GK7" s="394"/>
      <c r="GL7" s="394"/>
      <c r="GM7" s="394"/>
      <c r="GN7" s="394"/>
      <c r="GO7" s="394"/>
      <c r="GP7" s="394"/>
      <c r="GQ7" s="394"/>
      <c r="GR7" s="394"/>
      <c r="GS7" s="394"/>
      <c r="GT7" s="394"/>
      <c r="GU7" s="394"/>
      <c r="GV7" s="394"/>
      <c r="GW7" s="394"/>
      <c r="GX7" s="394"/>
      <c r="GY7" s="394"/>
      <c r="GZ7" s="394"/>
      <c r="HA7" s="394"/>
      <c r="HB7" s="394"/>
      <c r="HC7" s="394"/>
      <c r="HD7" s="394"/>
      <c r="HE7" s="394"/>
      <c r="HF7" s="394"/>
      <c r="HG7" s="394"/>
      <c r="HH7" s="394"/>
      <c r="HI7" s="394"/>
      <c r="HJ7" s="394"/>
      <c r="HK7" s="394"/>
      <c r="HL7" s="394"/>
      <c r="HM7" s="394"/>
      <c r="HN7" s="394"/>
      <c r="HO7" s="394"/>
      <c r="HP7" s="394"/>
      <c r="HQ7" s="394"/>
      <c r="HR7" s="394"/>
      <c r="HS7" s="394"/>
      <c r="HT7" s="394"/>
      <c r="HU7" s="394"/>
      <c r="HV7" s="394"/>
    </row>
    <row r="8" spans="2:230" x14ac:dyDescent="0.15">
      <c r="B8" s="89" t="s">
        <v>9</v>
      </c>
      <c r="C8" s="272">
        <v>16526368</v>
      </c>
      <c r="D8" s="455">
        <f t="shared" si="0"/>
        <v>6557338</v>
      </c>
      <c r="E8" s="272">
        <v>133210</v>
      </c>
      <c r="F8" s="272">
        <v>6424128</v>
      </c>
      <c r="G8" s="455">
        <f t="shared" si="1"/>
        <v>1760100</v>
      </c>
      <c r="H8" s="272">
        <v>261011</v>
      </c>
      <c r="I8" s="272">
        <v>1499089</v>
      </c>
      <c r="J8" s="272">
        <v>6215165</v>
      </c>
      <c r="K8" s="272">
        <v>2820717</v>
      </c>
      <c r="L8" s="272">
        <v>2386697</v>
      </c>
      <c r="M8" s="272">
        <v>919421</v>
      </c>
      <c r="N8" s="272">
        <v>547465</v>
      </c>
      <c r="O8" s="272">
        <v>1367438</v>
      </c>
      <c r="P8" s="272">
        <v>847813</v>
      </c>
      <c r="Q8" s="272">
        <v>519625</v>
      </c>
      <c r="R8" s="272">
        <v>780922</v>
      </c>
      <c r="S8" s="272">
        <v>516123</v>
      </c>
      <c r="T8" s="455">
        <f t="shared" si="2"/>
        <v>1612885</v>
      </c>
      <c r="U8" s="272">
        <v>101491</v>
      </c>
      <c r="V8" s="272">
        <v>105315</v>
      </c>
      <c r="W8" s="272">
        <v>83356</v>
      </c>
      <c r="X8" s="272">
        <v>1020427</v>
      </c>
      <c r="Y8" s="272">
        <v>84209</v>
      </c>
      <c r="Z8" s="272">
        <v>0</v>
      </c>
      <c r="AA8" s="272">
        <v>218087</v>
      </c>
      <c r="AB8" s="272">
        <v>588729</v>
      </c>
      <c r="AC8" s="272">
        <v>1003465</v>
      </c>
      <c r="AD8" s="272">
        <v>587140</v>
      </c>
      <c r="AE8" s="272">
        <v>416325</v>
      </c>
      <c r="AF8" s="272">
        <v>21223</v>
      </c>
      <c r="AG8" s="272">
        <v>189136</v>
      </c>
      <c r="AH8" s="455">
        <f t="shared" si="3"/>
        <v>1049466</v>
      </c>
      <c r="AI8" s="272">
        <v>778435</v>
      </c>
      <c r="AJ8" s="272">
        <v>271031</v>
      </c>
      <c r="AK8" s="272">
        <v>2695444</v>
      </c>
      <c r="AL8" s="455">
        <f t="shared" si="4"/>
        <v>1111197</v>
      </c>
      <c r="AM8" s="272">
        <v>925401</v>
      </c>
      <c r="AN8" s="272">
        <v>185796</v>
      </c>
      <c r="AO8" s="272">
        <v>0</v>
      </c>
      <c r="AP8" s="272">
        <v>0</v>
      </c>
      <c r="AQ8" s="272">
        <v>671392</v>
      </c>
      <c r="AR8" s="272">
        <v>0</v>
      </c>
      <c r="AS8" s="272">
        <v>0</v>
      </c>
      <c r="AT8" s="272">
        <v>1489189</v>
      </c>
      <c r="AU8" s="272">
        <v>665503</v>
      </c>
      <c r="AV8" s="272">
        <v>143012</v>
      </c>
      <c r="AW8" s="272">
        <v>0</v>
      </c>
      <c r="AX8" s="272">
        <v>823686</v>
      </c>
      <c r="AY8" s="272">
        <v>63634</v>
      </c>
      <c r="AZ8" s="272">
        <v>196715</v>
      </c>
      <c r="BA8" s="272">
        <v>172578</v>
      </c>
      <c r="BB8" s="272">
        <v>32359</v>
      </c>
      <c r="BC8" s="272">
        <v>824411</v>
      </c>
      <c r="BD8" s="272">
        <v>0</v>
      </c>
      <c r="BE8" s="272">
        <v>0</v>
      </c>
      <c r="BF8" s="272">
        <v>823691</v>
      </c>
      <c r="BG8" s="272">
        <v>0</v>
      </c>
      <c r="BH8" s="272">
        <v>197026</v>
      </c>
      <c r="BI8" s="272">
        <v>104436</v>
      </c>
      <c r="BJ8" s="272">
        <v>3608538</v>
      </c>
      <c r="BK8" s="272">
        <v>3271967</v>
      </c>
      <c r="BL8" s="272">
        <v>16986</v>
      </c>
      <c r="BM8" s="272">
        <v>63230</v>
      </c>
      <c r="BN8" s="272">
        <v>2851700</v>
      </c>
      <c r="BO8" s="455">
        <f t="shared" si="5"/>
        <v>686100</v>
      </c>
      <c r="BP8" s="455">
        <f t="shared" si="6"/>
        <v>1225600</v>
      </c>
      <c r="BQ8" s="272">
        <v>209500</v>
      </c>
      <c r="BR8" s="272"/>
      <c r="BS8" s="272">
        <v>1016100</v>
      </c>
      <c r="BT8" s="272">
        <v>940000</v>
      </c>
      <c r="BU8" s="272">
        <v>33667576</v>
      </c>
      <c r="BV8" s="272"/>
      <c r="BW8" s="272">
        <v>8885424</v>
      </c>
      <c r="BX8" s="272">
        <v>5907420</v>
      </c>
      <c r="BY8" s="272">
        <v>1411697</v>
      </c>
      <c r="BZ8" s="272">
        <v>186417</v>
      </c>
      <c r="CA8" s="272">
        <v>4146674</v>
      </c>
      <c r="CB8" s="272">
        <v>883587</v>
      </c>
      <c r="CC8" s="272">
        <v>139637</v>
      </c>
      <c r="CD8" s="272">
        <v>1835180</v>
      </c>
      <c r="CE8" s="272">
        <v>1220699</v>
      </c>
      <c r="CF8" s="272">
        <v>6239</v>
      </c>
      <c r="CG8" s="272">
        <v>60432</v>
      </c>
      <c r="CH8" s="272">
        <v>3725003</v>
      </c>
      <c r="CI8" s="272">
        <v>2910272</v>
      </c>
      <c r="CJ8" s="455">
        <f t="shared" si="7"/>
        <v>814731</v>
      </c>
      <c r="CK8" s="272">
        <v>5101090</v>
      </c>
      <c r="CL8" s="272">
        <v>3038401</v>
      </c>
      <c r="CM8" s="272">
        <v>446815</v>
      </c>
      <c r="CN8" s="272">
        <v>696666</v>
      </c>
      <c r="CO8" s="272">
        <v>333573</v>
      </c>
      <c r="CP8" s="272">
        <v>1857369</v>
      </c>
      <c r="CQ8" s="272">
        <v>1244</v>
      </c>
      <c r="CR8" s="272">
        <v>800544</v>
      </c>
      <c r="CS8" s="272">
        <v>665242</v>
      </c>
      <c r="CT8" s="455">
        <f t="shared" si="8"/>
        <v>688381</v>
      </c>
      <c r="CU8" s="272">
        <v>599605</v>
      </c>
      <c r="CV8" s="272">
        <v>88776</v>
      </c>
      <c r="CW8" s="455">
        <f t="shared" si="9"/>
        <v>679340</v>
      </c>
      <c r="CX8" s="272">
        <v>595461</v>
      </c>
      <c r="CY8" s="272">
        <v>83879</v>
      </c>
      <c r="CZ8" s="455">
        <f t="shared" si="10"/>
        <v>0</v>
      </c>
      <c r="DA8" s="272">
        <v>0</v>
      </c>
      <c r="DB8" s="272">
        <v>0</v>
      </c>
      <c r="DC8" s="272">
        <v>2388198</v>
      </c>
      <c r="DD8" s="272">
        <v>1276199</v>
      </c>
      <c r="DE8" s="272">
        <v>1095013</v>
      </c>
      <c r="DF8" s="26">
        <v>0</v>
      </c>
      <c r="DG8" s="27">
        <v>16986</v>
      </c>
      <c r="DH8" s="272">
        <v>0</v>
      </c>
      <c r="DI8" s="272">
        <v>28532</v>
      </c>
      <c r="DJ8" s="272">
        <v>5998</v>
      </c>
      <c r="DK8" s="272">
        <v>0</v>
      </c>
      <c r="DL8" s="272">
        <v>22534</v>
      </c>
      <c r="DM8" s="272">
        <v>415304</v>
      </c>
      <c r="DN8" s="272">
        <v>415304</v>
      </c>
      <c r="DO8" s="272">
        <v>85379</v>
      </c>
      <c r="DP8" s="272">
        <v>329925</v>
      </c>
      <c r="DQ8" s="272">
        <v>3273500</v>
      </c>
      <c r="DR8" s="272">
        <v>0</v>
      </c>
      <c r="DS8" s="272">
        <v>0</v>
      </c>
      <c r="DT8" s="272">
        <v>3174860</v>
      </c>
      <c r="DU8" s="272">
        <v>1056941</v>
      </c>
      <c r="DV8" s="455">
        <f t="shared" si="11"/>
        <v>0</v>
      </c>
      <c r="DW8" s="272">
        <v>0</v>
      </c>
      <c r="DX8" s="272"/>
      <c r="DY8" s="272">
        <v>4400</v>
      </c>
      <c r="DZ8" s="272">
        <v>794919</v>
      </c>
      <c r="EA8" s="272">
        <v>573030</v>
      </c>
      <c r="EB8" s="272">
        <v>745570</v>
      </c>
      <c r="EC8" s="272">
        <v>0</v>
      </c>
      <c r="ED8" s="272">
        <v>33329527</v>
      </c>
      <c r="EE8" s="89"/>
      <c r="EF8" s="272">
        <v>338049</v>
      </c>
      <c r="EG8" s="272">
        <v>443</v>
      </c>
      <c r="EH8" s="272">
        <v>337606</v>
      </c>
      <c r="EI8" s="272">
        <v>103170</v>
      </c>
      <c r="EJ8" s="272">
        <v>173796</v>
      </c>
      <c r="EK8" s="89"/>
      <c r="EL8" s="272"/>
      <c r="EM8" s="272">
        <v>101313</v>
      </c>
      <c r="EN8" s="272">
        <v>0</v>
      </c>
      <c r="EO8" s="272">
        <v>191162</v>
      </c>
      <c r="EP8" s="455">
        <f t="shared" si="12"/>
        <v>403128</v>
      </c>
      <c r="EQ8" s="272">
        <v>20533592</v>
      </c>
      <c r="ER8" s="272">
        <v>-1798667</v>
      </c>
      <c r="ES8" s="272">
        <v>7519847</v>
      </c>
      <c r="ET8" s="272">
        <v>5561251</v>
      </c>
      <c r="EU8" s="272">
        <v>1562728</v>
      </c>
      <c r="EV8" s="272">
        <v>3725003</v>
      </c>
      <c r="EW8" s="455">
        <f t="shared" si="13"/>
        <v>643379</v>
      </c>
      <c r="EX8" s="272">
        <v>643379</v>
      </c>
      <c r="EY8" s="272">
        <v>51566</v>
      </c>
      <c r="EZ8" s="272">
        <v>591813</v>
      </c>
      <c r="FA8" s="272">
        <v>0</v>
      </c>
      <c r="FB8" s="272"/>
      <c r="FC8" s="272">
        <v>3780297</v>
      </c>
      <c r="FD8" s="272">
        <v>1525369</v>
      </c>
      <c r="FE8" s="272">
        <v>1244</v>
      </c>
      <c r="FF8" s="272">
        <v>2872850</v>
      </c>
      <c r="FG8" s="455">
        <f t="shared" si="14"/>
        <v>364737</v>
      </c>
      <c r="FH8" s="272">
        <v>21994210</v>
      </c>
      <c r="FI8" s="384">
        <f t="shared" si="15"/>
        <v>1.8</v>
      </c>
      <c r="FJ8" s="272">
        <v>18766900</v>
      </c>
      <c r="FK8" s="272">
        <v>1016180</v>
      </c>
      <c r="FL8" s="272">
        <v>13845839</v>
      </c>
      <c r="FM8" s="272">
        <v>14426736</v>
      </c>
      <c r="FN8" s="460">
        <v>0.95</v>
      </c>
      <c r="FO8" s="388">
        <v>101.3</v>
      </c>
      <c r="FP8" s="388">
        <v>36.9</v>
      </c>
      <c r="FQ8" s="388">
        <v>7.7</v>
      </c>
      <c r="FR8" s="388">
        <v>18.2</v>
      </c>
      <c r="FS8" s="388">
        <v>18.2</v>
      </c>
      <c r="FT8" s="388">
        <v>6.7</v>
      </c>
      <c r="FU8" s="388">
        <v>12.3</v>
      </c>
      <c r="FV8" s="388">
        <v>15</v>
      </c>
      <c r="FW8" s="272">
        <v>35580934</v>
      </c>
      <c r="FX8" s="388">
        <f t="shared" si="16"/>
        <v>189.6</v>
      </c>
      <c r="FY8" s="272">
        <v>4068250</v>
      </c>
      <c r="FZ8" s="272">
        <v>2376814</v>
      </c>
      <c r="GA8" s="272">
        <v>0</v>
      </c>
      <c r="GB8" s="272">
        <v>1691436</v>
      </c>
      <c r="GC8" s="272"/>
      <c r="GD8" s="272">
        <v>2027675</v>
      </c>
      <c r="GE8" s="384">
        <f t="shared" si="17"/>
        <v>10.8</v>
      </c>
      <c r="GF8" s="388">
        <v>98.5</v>
      </c>
      <c r="GG8" s="388">
        <v>21.9</v>
      </c>
      <c r="GH8" s="388">
        <v>93.4</v>
      </c>
      <c r="GI8" s="272">
        <v>817</v>
      </c>
      <c r="GJ8" s="394"/>
      <c r="GK8" s="394"/>
      <c r="GL8" s="394"/>
      <c r="GM8" s="394"/>
      <c r="GN8" s="394"/>
      <c r="GO8" s="394"/>
      <c r="GP8" s="394"/>
      <c r="GQ8" s="394"/>
      <c r="GR8" s="394"/>
      <c r="GS8" s="394"/>
      <c r="GT8" s="394"/>
      <c r="GU8" s="394"/>
      <c r="GV8" s="394"/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</row>
    <row r="9" spans="2:230" x14ac:dyDescent="0.15">
      <c r="B9" s="89" t="s">
        <v>11</v>
      </c>
      <c r="C9" s="272">
        <v>63314129</v>
      </c>
      <c r="D9" s="455">
        <f t="shared" si="0"/>
        <v>25167745</v>
      </c>
      <c r="E9" s="272">
        <v>465152</v>
      </c>
      <c r="F9" s="272">
        <v>24702593</v>
      </c>
      <c r="G9" s="455">
        <f t="shared" si="1"/>
        <v>6478545</v>
      </c>
      <c r="H9" s="272">
        <v>1085174</v>
      </c>
      <c r="I9" s="272">
        <v>5393371</v>
      </c>
      <c r="J9" s="272">
        <v>23279496</v>
      </c>
      <c r="K9" s="272">
        <v>9778993</v>
      </c>
      <c r="L9" s="272">
        <v>10073548</v>
      </c>
      <c r="M9" s="272">
        <v>2914166</v>
      </c>
      <c r="N9" s="272">
        <v>1837050</v>
      </c>
      <c r="O9" s="272">
        <v>5246960</v>
      </c>
      <c r="P9" s="272">
        <v>2928984</v>
      </c>
      <c r="Q9" s="272">
        <v>2317976</v>
      </c>
      <c r="R9" s="272">
        <v>2339389</v>
      </c>
      <c r="S9" s="272">
        <v>1621178</v>
      </c>
      <c r="T9" s="455">
        <f t="shared" si="2"/>
        <v>5153888</v>
      </c>
      <c r="U9" s="272">
        <v>378628</v>
      </c>
      <c r="V9" s="272">
        <v>392873</v>
      </c>
      <c r="W9" s="272">
        <v>310842</v>
      </c>
      <c r="X9" s="272">
        <v>3347626</v>
      </c>
      <c r="Y9" s="272">
        <v>0</v>
      </c>
      <c r="Z9" s="272">
        <v>0</v>
      </c>
      <c r="AA9" s="272">
        <v>723919</v>
      </c>
      <c r="AB9" s="272">
        <v>2196233</v>
      </c>
      <c r="AC9" s="272">
        <v>96603</v>
      </c>
      <c r="AD9" s="272">
        <v>0</v>
      </c>
      <c r="AE9" s="272">
        <v>96603</v>
      </c>
      <c r="AF9" s="272">
        <v>66221</v>
      </c>
      <c r="AG9" s="272">
        <v>1067182</v>
      </c>
      <c r="AH9" s="455">
        <f t="shared" si="3"/>
        <v>2579501</v>
      </c>
      <c r="AI9" s="272">
        <v>2217587</v>
      </c>
      <c r="AJ9" s="272">
        <v>361914</v>
      </c>
      <c r="AK9" s="272">
        <v>10518362</v>
      </c>
      <c r="AL9" s="455">
        <f t="shared" si="4"/>
        <v>6568954</v>
      </c>
      <c r="AM9" s="272">
        <v>5965131</v>
      </c>
      <c r="AN9" s="272">
        <v>603823</v>
      </c>
      <c r="AO9" s="272">
        <v>0</v>
      </c>
      <c r="AP9" s="272">
        <v>0</v>
      </c>
      <c r="AQ9" s="272">
        <v>852874</v>
      </c>
      <c r="AR9" s="272">
        <v>0</v>
      </c>
      <c r="AS9" s="272">
        <v>0</v>
      </c>
      <c r="AT9" s="272">
        <v>4815434</v>
      </c>
      <c r="AU9" s="272">
        <v>2861781</v>
      </c>
      <c r="AV9" s="272">
        <v>370618</v>
      </c>
      <c r="AW9" s="272">
        <v>12481</v>
      </c>
      <c r="AX9" s="272">
        <v>1953653</v>
      </c>
      <c r="AY9" s="272">
        <v>98449</v>
      </c>
      <c r="AZ9" s="272">
        <v>124451</v>
      </c>
      <c r="BA9" s="272">
        <v>90273</v>
      </c>
      <c r="BB9" s="272">
        <v>24889</v>
      </c>
      <c r="BC9" s="272">
        <v>1245637</v>
      </c>
      <c r="BD9" s="272">
        <v>1000000</v>
      </c>
      <c r="BE9" s="272">
        <v>0</v>
      </c>
      <c r="BF9" s="272">
        <v>221000</v>
      </c>
      <c r="BG9" s="272">
        <v>0</v>
      </c>
      <c r="BH9" s="272">
        <v>496734</v>
      </c>
      <c r="BI9" s="272">
        <v>242390</v>
      </c>
      <c r="BJ9" s="272">
        <v>2131921</v>
      </c>
      <c r="BK9" s="272">
        <v>1257174</v>
      </c>
      <c r="BL9" s="272">
        <v>119313</v>
      </c>
      <c r="BM9" s="272">
        <v>75567</v>
      </c>
      <c r="BN9" s="272">
        <v>5945000</v>
      </c>
      <c r="BO9" s="455">
        <f t="shared" si="5"/>
        <v>2804000</v>
      </c>
      <c r="BP9" s="455">
        <f t="shared" si="6"/>
        <v>3141000</v>
      </c>
      <c r="BQ9" s="272">
        <v>741000</v>
      </c>
      <c r="BR9" s="272"/>
      <c r="BS9" s="272">
        <v>2400000</v>
      </c>
      <c r="BT9" s="272">
        <v>0</v>
      </c>
      <c r="BU9" s="272">
        <v>102115574</v>
      </c>
      <c r="BV9" s="272"/>
      <c r="BW9" s="272">
        <v>27391098</v>
      </c>
      <c r="BX9" s="272">
        <v>19165386</v>
      </c>
      <c r="BY9" s="272">
        <v>2588365</v>
      </c>
      <c r="BZ9" s="272">
        <v>1648202</v>
      </c>
      <c r="CA9" s="272">
        <v>20425313</v>
      </c>
      <c r="CB9" s="272">
        <v>3460117</v>
      </c>
      <c r="CC9" s="272">
        <v>928342</v>
      </c>
      <c r="CD9" s="272">
        <v>6978743</v>
      </c>
      <c r="CE9" s="272">
        <v>8129321</v>
      </c>
      <c r="CF9" s="272">
        <v>400906</v>
      </c>
      <c r="CG9" s="272">
        <v>526784</v>
      </c>
      <c r="CH9" s="272">
        <v>7666403</v>
      </c>
      <c r="CI9" s="272">
        <v>6120812</v>
      </c>
      <c r="CJ9" s="455">
        <f t="shared" si="7"/>
        <v>1545591</v>
      </c>
      <c r="CK9" s="272">
        <v>13772004</v>
      </c>
      <c r="CL9" s="272">
        <v>8437641</v>
      </c>
      <c r="CM9" s="272">
        <v>723613</v>
      </c>
      <c r="CN9" s="272">
        <v>2765350</v>
      </c>
      <c r="CO9" s="272">
        <v>2733825</v>
      </c>
      <c r="CP9" s="272">
        <v>4577132</v>
      </c>
      <c r="CQ9" s="272">
        <v>4827</v>
      </c>
      <c r="CR9" s="272">
        <v>2311444</v>
      </c>
      <c r="CS9" s="272">
        <v>1617315</v>
      </c>
      <c r="CT9" s="455">
        <f t="shared" si="8"/>
        <v>915625</v>
      </c>
      <c r="CU9" s="272">
        <v>628130</v>
      </c>
      <c r="CV9" s="272">
        <v>287495</v>
      </c>
      <c r="CW9" s="455">
        <f t="shared" si="9"/>
        <v>886314</v>
      </c>
      <c r="CX9" s="272">
        <v>598819</v>
      </c>
      <c r="CY9" s="272">
        <v>287495</v>
      </c>
      <c r="CZ9" s="455">
        <f t="shared" si="10"/>
        <v>0</v>
      </c>
      <c r="DA9" s="272">
        <v>0</v>
      </c>
      <c r="DB9" s="272">
        <v>0</v>
      </c>
      <c r="DC9" s="272">
        <v>7001463</v>
      </c>
      <c r="DD9" s="272">
        <v>1894646</v>
      </c>
      <c r="DE9" s="272">
        <v>4972363</v>
      </c>
      <c r="DF9" s="26">
        <v>7378</v>
      </c>
      <c r="DG9" s="27">
        <v>127076</v>
      </c>
      <c r="DH9" s="272">
        <v>0</v>
      </c>
      <c r="DI9" s="272">
        <v>4958463</v>
      </c>
      <c r="DJ9" s="272">
        <v>3068442</v>
      </c>
      <c r="DK9" s="272">
        <v>0</v>
      </c>
      <c r="DL9" s="272">
        <v>1890021</v>
      </c>
      <c r="DM9" s="272">
        <v>544186</v>
      </c>
      <c r="DN9" s="272">
        <v>532686</v>
      </c>
      <c r="DO9" s="272">
        <v>0</v>
      </c>
      <c r="DP9" s="272">
        <v>532686</v>
      </c>
      <c r="DQ9" s="272">
        <v>1285600</v>
      </c>
      <c r="DR9" s="272">
        <v>0</v>
      </c>
      <c r="DS9" s="272">
        <v>0</v>
      </c>
      <c r="DT9" s="272">
        <v>11240560</v>
      </c>
      <c r="DU9" s="272">
        <v>4090989</v>
      </c>
      <c r="DV9" s="455">
        <f t="shared" si="11"/>
        <v>0</v>
      </c>
      <c r="DW9" s="272">
        <v>0</v>
      </c>
      <c r="DX9" s="272"/>
      <c r="DY9" s="272">
        <v>89051</v>
      </c>
      <c r="DZ9" s="272">
        <v>2955596</v>
      </c>
      <c r="EA9" s="272">
        <v>1789677</v>
      </c>
      <c r="EB9" s="272">
        <v>2171532</v>
      </c>
      <c r="EC9" s="272">
        <v>0</v>
      </c>
      <c r="ED9" s="272">
        <v>101596047</v>
      </c>
      <c r="EE9" s="89"/>
      <c r="EF9" s="272">
        <v>519527</v>
      </c>
      <c r="EG9" s="272">
        <v>136056</v>
      </c>
      <c r="EH9" s="272">
        <v>383471</v>
      </c>
      <c r="EI9" s="272">
        <v>141081</v>
      </c>
      <c r="EJ9" s="272">
        <v>2209523</v>
      </c>
      <c r="EK9" s="89"/>
      <c r="EL9" s="272"/>
      <c r="EM9" s="272">
        <v>346020</v>
      </c>
      <c r="EN9" s="272">
        <v>1024637</v>
      </c>
      <c r="EO9" s="272">
        <v>102517</v>
      </c>
      <c r="EP9" s="455">
        <f t="shared" si="12"/>
        <v>1272762</v>
      </c>
      <c r="EQ9" s="272">
        <v>73166463</v>
      </c>
      <c r="ER9" s="272">
        <v>-5474695</v>
      </c>
      <c r="ES9" s="272">
        <v>25666452</v>
      </c>
      <c r="ET9" s="272">
        <v>17569453</v>
      </c>
      <c r="EU9" s="272">
        <v>8234047</v>
      </c>
      <c r="EV9" s="272">
        <v>7484987</v>
      </c>
      <c r="EW9" s="455">
        <f t="shared" si="13"/>
        <v>2804584</v>
      </c>
      <c r="EX9" s="272">
        <v>2804584</v>
      </c>
      <c r="EY9" s="272">
        <v>195833</v>
      </c>
      <c r="EZ9" s="272">
        <v>2593610</v>
      </c>
      <c r="FA9" s="272">
        <v>0</v>
      </c>
      <c r="FB9" s="272"/>
      <c r="FC9" s="272">
        <v>11784770</v>
      </c>
      <c r="FD9" s="272">
        <v>3945030</v>
      </c>
      <c r="FE9" s="272">
        <v>4827</v>
      </c>
      <c r="FF9" s="272">
        <v>10141049</v>
      </c>
      <c r="FG9" s="455">
        <f t="shared" si="14"/>
        <v>8060712</v>
      </c>
      <c r="FH9" s="272">
        <v>78121631</v>
      </c>
      <c r="FI9" s="384">
        <f t="shared" si="15"/>
        <v>0.6</v>
      </c>
      <c r="FJ9" s="272">
        <v>66618922</v>
      </c>
      <c r="FK9" s="272">
        <v>3118479</v>
      </c>
      <c r="FL9" s="272">
        <v>50588719</v>
      </c>
      <c r="FM9" s="272">
        <v>44784561</v>
      </c>
      <c r="FN9" s="460">
        <v>1.121</v>
      </c>
      <c r="FO9" s="388">
        <v>93</v>
      </c>
      <c r="FP9" s="388">
        <v>34.700000000000003</v>
      </c>
      <c r="FQ9" s="388">
        <v>11.5</v>
      </c>
      <c r="FR9" s="388">
        <v>10.5</v>
      </c>
      <c r="FS9" s="388">
        <v>15.7</v>
      </c>
      <c r="FT9" s="388">
        <v>4.8</v>
      </c>
      <c r="FU9" s="388">
        <v>12.2</v>
      </c>
      <c r="FV9" s="388">
        <v>10.7</v>
      </c>
      <c r="FW9" s="272">
        <v>67835850</v>
      </c>
      <c r="FX9" s="388">
        <f t="shared" si="16"/>
        <v>101.8</v>
      </c>
      <c r="FY9" s="272">
        <v>39252466</v>
      </c>
      <c r="FZ9" s="272">
        <v>11888735</v>
      </c>
      <c r="GA9" s="272">
        <v>120008</v>
      </c>
      <c r="GB9" s="272">
        <v>27243723</v>
      </c>
      <c r="GC9" s="272"/>
      <c r="GD9" s="272">
        <v>9879238</v>
      </c>
      <c r="GE9" s="384">
        <f t="shared" si="17"/>
        <v>14.8</v>
      </c>
      <c r="GF9" s="388">
        <v>98.9</v>
      </c>
      <c r="GG9" s="388">
        <v>29.9</v>
      </c>
      <c r="GH9" s="388">
        <v>96.5</v>
      </c>
      <c r="GI9" s="272">
        <v>2594</v>
      </c>
      <c r="GJ9" s="394"/>
      <c r="GK9" s="394"/>
      <c r="GL9" s="394"/>
      <c r="GM9" s="394"/>
      <c r="GN9" s="394"/>
      <c r="GO9" s="394"/>
      <c r="GP9" s="394"/>
      <c r="GQ9" s="394"/>
      <c r="GR9" s="394"/>
      <c r="GS9" s="394"/>
      <c r="GT9" s="394"/>
      <c r="GU9" s="394"/>
      <c r="GV9" s="394"/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</row>
    <row r="10" spans="2:230" x14ac:dyDescent="0.15">
      <c r="B10" s="89" t="s">
        <v>13</v>
      </c>
      <c r="C10" s="272">
        <v>10928499</v>
      </c>
      <c r="D10" s="455">
        <f t="shared" si="0"/>
        <v>3061840</v>
      </c>
      <c r="E10" s="272">
        <v>93006</v>
      </c>
      <c r="F10" s="272">
        <v>2968834</v>
      </c>
      <c r="G10" s="455">
        <f t="shared" si="1"/>
        <v>942651</v>
      </c>
      <c r="H10" s="272">
        <v>214906</v>
      </c>
      <c r="I10" s="272">
        <v>727745</v>
      </c>
      <c r="J10" s="272">
        <v>5253689</v>
      </c>
      <c r="K10" s="272">
        <v>2074351</v>
      </c>
      <c r="L10" s="272">
        <v>1968743</v>
      </c>
      <c r="M10" s="272">
        <v>676477</v>
      </c>
      <c r="N10" s="272">
        <v>603397</v>
      </c>
      <c r="O10" s="272">
        <v>1000014</v>
      </c>
      <c r="P10" s="272">
        <v>559270</v>
      </c>
      <c r="Q10" s="272">
        <v>440744</v>
      </c>
      <c r="R10" s="272">
        <v>753415</v>
      </c>
      <c r="S10" s="272">
        <v>510750</v>
      </c>
      <c r="T10" s="455">
        <f t="shared" si="2"/>
        <v>1067766</v>
      </c>
      <c r="U10" s="272">
        <v>51938</v>
      </c>
      <c r="V10" s="272">
        <v>53835</v>
      </c>
      <c r="W10" s="272">
        <v>42298</v>
      </c>
      <c r="X10" s="272">
        <v>748034</v>
      </c>
      <c r="Y10" s="272">
        <v>0</v>
      </c>
      <c r="Z10" s="272">
        <v>0</v>
      </c>
      <c r="AA10" s="272">
        <v>171661</v>
      </c>
      <c r="AB10" s="272">
        <v>255884</v>
      </c>
      <c r="AC10" s="272">
        <v>3662696</v>
      </c>
      <c r="AD10" s="272">
        <v>3368566</v>
      </c>
      <c r="AE10" s="272">
        <v>294130</v>
      </c>
      <c r="AF10" s="272">
        <v>17416</v>
      </c>
      <c r="AG10" s="272">
        <v>176087</v>
      </c>
      <c r="AH10" s="455">
        <f t="shared" si="3"/>
        <v>473389</v>
      </c>
      <c r="AI10" s="272">
        <v>418074</v>
      </c>
      <c r="AJ10" s="272">
        <v>55315</v>
      </c>
      <c r="AK10" s="272">
        <v>2725709</v>
      </c>
      <c r="AL10" s="455">
        <f t="shared" si="4"/>
        <v>1792930</v>
      </c>
      <c r="AM10" s="272">
        <v>1663129</v>
      </c>
      <c r="AN10" s="272">
        <v>129801</v>
      </c>
      <c r="AO10" s="272">
        <v>0</v>
      </c>
      <c r="AP10" s="272">
        <v>0</v>
      </c>
      <c r="AQ10" s="272">
        <v>102707</v>
      </c>
      <c r="AR10" s="272">
        <v>0</v>
      </c>
      <c r="AS10" s="272">
        <v>0</v>
      </c>
      <c r="AT10" s="272">
        <v>1258245</v>
      </c>
      <c r="AU10" s="272">
        <v>333109</v>
      </c>
      <c r="AV10" s="272">
        <v>64880</v>
      </c>
      <c r="AW10" s="272">
        <v>136769</v>
      </c>
      <c r="AX10" s="272">
        <v>925136</v>
      </c>
      <c r="AY10" s="272">
        <v>36905</v>
      </c>
      <c r="AZ10" s="272">
        <v>157966</v>
      </c>
      <c r="BA10" s="272">
        <v>127504</v>
      </c>
      <c r="BB10" s="272">
        <v>2347</v>
      </c>
      <c r="BC10" s="272">
        <v>152351</v>
      </c>
      <c r="BD10" s="272">
        <v>40000</v>
      </c>
      <c r="BE10" s="272">
        <v>0</v>
      </c>
      <c r="BF10" s="272">
        <v>40093</v>
      </c>
      <c r="BG10" s="272">
        <v>0</v>
      </c>
      <c r="BH10" s="272">
        <v>78705</v>
      </c>
      <c r="BI10" s="272">
        <v>78510</v>
      </c>
      <c r="BJ10" s="272">
        <v>731661</v>
      </c>
      <c r="BK10" s="272">
        <v>29152</v>
      </c>
      <c r="BL10" s="272">
        <v>0</v>
      </c>
      <c r="BM10" s="272">
        <v>63544</v>
      </c>
      <c r="BN10" s="272">
        <v>2967500</v>
      </c>
      <c r="BO10" s="455">
        <f t="shared" si="5"/>
        <v>1820700</v>
      </c>
      <c r="BP10" s="455">
        <f t="shared" si="6"/>
        <v>876800</v>
      </c>
      <c r="BQ10" s="272">
        <v>94000</v>
      </c>
      <c r="BR10" s="272"/>
      <c r="BS10" s="272">
        <v>782800</v>
      </c>
      <c r="BT10" s="272">
        <v>270000</v>
      </c>
      <c r="BU10" s="272">
        <v>25409636</v>
      </c>
      <c r="BV10" s="272"/>
      <c r="BW10" s="272">
        <v>5528750</v>
      </c>
      <c r="BX10" s="272">
        <v>3400789</v>
      </c>
      <c r="BY10" s="272">
        <v>936656</v>
      </c>
      <c r="BZ10" s="272">
        <v>331334</v>
      </c>
      <c r="CA10" s="272">
        <v>4998454</v>
      </c>
      <c r="CB10" s="272">
        <v>612351</v>
      </c>
      <c r="CC10" s="272">
        <v>253680</v>
      </c>
      <c r="CD10" s="272">
        <v>1905315</v>
      </c>
      <c r="CE10" s="272">
        <v>2142682</v>
      </c>
      <c r="CF10" s="272">
        <v>0</v>
      </c>
      <c r="CG10" s="272">
        <v>84426</v>
      </c>
      <c r="CH10" s="272">
        <v>2868757</v>
      </c>
      <c r="CI10" s="272">
        <v>2203290</v>
      </c>
      <c r="CJ10" s="455">
        <f t="shared" si="7"/>
        <v>665467</v>
      </c>
      <c r="CK10" s="272">
        <v>2316257</v>
      </c>
      <c r="CL10" s="272">
        <v>1226968</v>
      </c>
      <c r="CM10" s="272">
        <v>199402</v>
      </c>
      <c r="CN10" s="272">
        <v>369344</v>
      </c>
      <c r="CO10" s="272">
        <v>117547</v>
      </c>
      <c r="CP10" s="272">
        <v>2852013</v>
      </c>
      <c r="CQ10" s="272">
        <v>1189743</v>
      </c>
      <c r="CR10" s="272">
        <v>342636</v>
      </c>
      <c r="CS10" s="272">
        <v>342636</v>
      </c>
      <c r="CT10" s="455">
        <f t="shared" si="8"/>
        <v>783100</v>
      </c>
      <c r="CU10" s="272">
        <v>783100</v>
      </c>
      <c r="CV10" s="272">
        <v>0</v>
      </c>
      <c r="CW10" s="455">
        <f t="shared" si="9"/>
        <v>706528</v>
      </c>
      <c r="CX10" s="272">
        <v>706528</v>
      </c>
      <c r="CY10" s="272">
        <v>0</v>
      </c>
      <c r="CZ10" s="455">
        <f t="shared" si="10"/>
        <v>0</v>
      </c>
      <c r="DA10" s="272">
        <v>0</v>
      </c>
      <c r="DB10" s="272">
        <v>0</v>
      </c>
      <c r="DC10" s="272">
        <v>2618887</v>
      </c>
      <c r="DD10" s="272">
        <v>181598</v>
      </c>
      <c r="DE10" s="272">
        <v>1711154</v>
      </c>
      <c r="DF10" s="26">
        <v>589366</v>
      </c>
      <c r="DG10" s="27">
        <v>136769</v>
      </c>
      <c r="DH10" s="272">
        <v>0</v>
      </c>
      <c r="DI10" s="272">
        <v>87667</v>
      </c>
      <c r="DJ10" s="272">
        <v>40000</v>
      </c>
      <c r="DK10" s="272">
        <v>0</v>
      </c>
      <c r="DL10" s="272">
        <v>47667</v>
      </c>
      <c r="DM10" s="272">
        <v>0</v>
      </c>
      <c r="DN10" s="272">
        <v>0</v>
      </c>
      <c r="DO10" s="272">
        <v>0</v>
      </c>
      <c r="DP10" s="272">
        <v>0</v>
      </c>
      <c r="DQ10" s="272">
        <v>17332</v>
      </c>
      <c r="DR10" s="272">
        <v>0</v>
      </c>
      <c r="DS10" s="272">
        <v>0</v>
      </c>
      <c r="DT10" s="272">
        <v>3749246</v>
      </c>
      <c r="DU10" s="272">
        <v>1738672</v>
      </c>
      <c r="DV10" s="455">
        <f t="shared" si="11"/>
        <v>245135</v>
      </c>
      <c r="DW10" s="272">
        <v>245135</v>
      </c>
      <c r="DX10" s="272"/>
      <c r="DY10" s="272">
        <v>21157</v>
      </c>
      <c r="DZ10" s="272">
        <v>694094</v>
      </c>
      <c r="EA10" s="272">
        <v>515936</v>
      </c>
      <c r="EB10" s="272">
        <v>523133</v>
      </c>
      <c r="EC10" s="272">
        <v>0</v>
      </c>
      <c r="ED10" s="272">
        <v>25154910</v>
      </c>
      <c r="EE10" s="89"/>
      <c r="EF10" s="272">
        <v>254726</v>
      </c>
      <c r="EG10" s="272">
        <v>49557</v>
      </c>
      <c r="EH10" s="272">
        <v>205169</v>
      </c>
      <c r="EI10" s="272">
        <v>126659</v>
      </c>
      <c r="EJ10" s="272">
        <v>126659</v>
      </c>
      <c r="EK10" s="89"/>
      <c r="EL10" s="272"/>
      <c r="EM10" s="272">
        <v>77101</v>
      </c>
      <c r="EN10" s="272">
        <v>113445</v>
      </c>
      <c r="EO10" s="272">
        <v>157824</v>
      </c>
      <c r="EP10" s="455">
        <f t="shared" si="12"/>
        <v>769737</v>
      </c>
      <c r="EQ10" s="272">
        <v>16685676</v>
      </c>
      <c r="ER10" s="272">
        <v>-1900390</v>
      </c>
      <c r="ES10" s="272">
        <v>4718397</v>
      </c>
      <c r="ET10" s="272">
        <v>2952917</v>
      </c>
      <c r="EU10" s="272">
        <v>1728820</v>
      </c>
      <c r="EV10" s="272">
        <v>2856939</v>
      </c>
      <c r="EW10" s="455">
        <f t="shared" si="13"/>
        <v>488527</v>
      </c>
      <c r="EX10" s="272">
        <v>488527</v>
      </c>
      <c r="EY10" s="272">
        <v>8553</v>
      </c>
      <c r="EZ10" s="272">
        <v>469208</v>
      </c>
      <c r="FA10" s="272">
        <v>0</v>
      </c>
      <c r="FB10" s="272"/>
      <c r="FC10" s="272">
        <v>2115447</v>
      </c>
      <c r="FD10" s="272">
        <v>2803940</v>
      </c>
      <c r="FE10" s="272">
        <v>1189743</v>
      </c>
      <c r="FF10" s="272">
        <v>3424273</v>
      </c>
      <c r="FG10" s="455">
        <f t="shared" si="14"/>
        <v>194997</v>
      </c>
      <c r="FH10" s="272">
        <v>18331340</v>
      </c>
      <c r="FI10" s="384">
        <f t="shared" si="15"/>
        <v>1.3</v>
      </c>
      <c r="FJ10" s="272">
        <v>15358757</v>
      </c>
      <c r="FK10" s="272">
        <v>782823</v>
      </c>
      <c r="FL10" s="272">
        <v>9193266</v>
      </c>
      <c r="FM10" s="272">
        <v>12561832</v>
      </c>
      <c r="FN10" s="460">
        <v>0.73899999999999999</v>
      </c>
      <c r="FO10" s="388">
        <v>95.6</v>
      </c>
      <c r="FP10" s="388">
        <v>26.5</v>
      </c>
      <c r="FQ10" s="388">
        <v>10.6</v>
      </c>
      <c r="FR10" s="388">
        <v>17.5</v>
      </c>
      <c r="FS10" s="388">
        <v>9.8000000000000007</v>
      </c>
      <c r="FT10" s="388">
        <v>13.5</v>
      </c>
      <c r="FU10" s="388">
        <v>17.100000000000001</v>
      </c>
      <c r="FV10" s="388">
        <v>21.8</v>
      </c>
      <c r="FW10" s="272">
        <v>31856708</v>
      </c>
      <c r="FX10" s="388">
        <f t="shared" si="16"/>
        <v>207.4</v>
      </c>
      <c r="FY10" s="272">
        <v>1015202</v>
      </c>
      <c r="FZ10" s="272">
        <v>0</v>
      </c>
      <c r="GA10" s="272">
        <v>0</v>
      </c>
      <c r="GB10" s="272">
        <v>1015202</v>
      </c>
      <c r="GC10" s="272"/>
      <c r="GD10" s="272">
        <v>5550799</v>
      </c>
      <c r="GE10" s="384">
        <f t="shared" si="17"/>
        <v>36.1</v>
      </c>
      <c r="GF10" s="388">
        <v>98.8</v>
      </c>
      <c r="GG10" s="388">
        <v>28.2</v>
      </c>
      <c r="GH10" s="388">
        <v>94.9</v>
      </c>
      <c r="GI10" s="272">
        <v>490</v>
      </c>
      <c r="GJ10" s="394"/>
      <c r="GK10" s="394"/>
      <c r="GL10" s="394"/>
      <c r="GM10" s="394"/>
      <c r="GN10" s="394"/>
      <c r="GO10" s="394"/>
      <c r="GP10" s="394"/>
      <c r="GQ10" s="394"/>
      <c r="GR10" s="394"/>
      <c r="GS10" s="394"/>
      <c r="GT10" s="394"/>
      <c r="GU10" s="394"/>
      <c r="GV10" s="394"/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</row>
    <row r="11" spans="2:230" x14ac:dyDescent="0.15">
      <c r="B11" s="89" t="s">
        <v>15</v>
      </c>
      <c r="C11" s="272">
        <v>46968684</v>
      </c>
      <c r="D11" s="455">
        <f t="shared" si="0"/>
        <v>18043557</v>
      </c>
      <c r="E11" s="272">
        <v>476509</v>
      </c>
      <c r="F11" s="272">
        <v>17567048</v>
      </c>
      <c r="G11" s="455">
        <f t="shared" si="1"/>
        <v>3343040</v>
      </c>
      <c r="H11" s="272">
        <v>770856</v>
      </c>
      <c r="I11" s="272">
        <v>2572184</v>
      </c>
      <c r="J11" s="272">
        <v>18783630</v>
      </c>
      <c r="K11" s="272">
        <v>8437324</v>
      </c>
      <c r="L11" s="272">
        <v>7500316</v>
      </c>
      <c r="M11" s="272">
        <v>2552866</v>
      </c>
      <c r="N11" s="272">
        <v>1706767</v>
      </c>
      <c r="O11" s="272">
        <v>3835955</v>
      </c>
      <c r="P11" s="272">
        <v>2229645</v>
      </c>
      <c r="Q11" s="272">
        <v>1606310</v>
      </c>
      <c r="R11" s="272">
        <v>3157216</v>
      </c>
      <c r="S11" s="272">
        <v>2379108</v>
      </c>
      <c r="T11" s="455">
        <f t="shared" si="2"/>
        <v>4706967</v>
      </c>
      <c r="U11" s="272">
        <v>295818</v>
      </c>
      <c r="V11" s="272">
        <v>306629</v>
      </c>
      <c r="W11" s="272">
        <v>240952</v>
      </c>
      <c r="X11" s="272">
        <v>3009776</v>
      </c>
      <c r="Y11" s="272">
        <v>69575</v>
      </c>
      <c r="Z11" s="272">
        <v>0</v>
      </c>
      <c r="AA11" s="272">
        <v>784217</v>
      </c>
      <c r="AB11" s="272">
        <v>1332561</v>
      </c>
      <c r="AC11" s="272">
        <v>10614978</v>
      </c>
      <c r="AD11" s="272">
        <v>10315886</v>
      </c>
      <c r="AE11" s="272">
        <v>299092</v>
      </c>
      <c r="AF11" s="272">
        <v>71343</v>
      </c>
      <c r="AG11" s="272">
        <v>870211</v>
      </c>
      <c r="AH11" s="455">
        <f t="shared" si="3"/>
        <v>2663830</v>
      </c>
      <c r="AI11" s="272">
        <v>1734605</v>
      </c>
      <c r="AJ11" s="272">
        <v>929225</v>
      </c>
      <c r="AK11" s="272">
        <v>10657952</v>
      </c>
      <c r="AL11" s="455">
        <f t="shared" si="4"/>
        <v>5712374</v>
      </c>
      <c r="AM11" s="272">
        <v>4990000</v>
      </c>
      <c r="AN11" s="272">
        <v>714831</v>
      </c>
      <c r="AO11" s="272">
        <v>7543</v>
      </c>
      <c r="AP11" s="272">
        <v>0</v>
      </c>
      <c r="AQ11" s="272">
        <v>1210218</v>
      </c>
      <c r="AR11" s="272">
        <v>0</v>
      </c>
      <c r="AS11" s="272">
        <v>0</v>
      </c>
      <c r="AT11" s="272">
        <v>3732569</v>
      </c>
      <c r="AU11" s="272">
        <v>1185361</v>
      </c>
      <c r="AV11" s="272">
        <v>0</v>
      </c>
      <c r="AW11" s="272">
        <v>10944</v>
      </c>
      <c r="AX11" s="272">
        <v>2547208</v>
      </c>
      <c r="AY11" s="272">
        <v>78857</v>
      </c>
      <c r="AZ11" s="272">
        <v>142249</v>
      </c>
      <c r="BA11" s="272">
        <v>105840</v>
      </c>
      <c r="BB11" s="272">
        <v>22223</v>
      </c>
      <c r="BC11" s="272">
        <v>876465</v>
      </c>
      <c r="BD11" s="272">
        <v>0</v>
      </c>
      <c r="BE11" s="272">
        <v>0</v>
      </c>
      <c r="BF11" s="272">
        <v>774873</v>
      </c>
      <c r="BG11" s="272">
        <v>0</v>
      </c>
      <c r="BH11" s="272">
        <v>802587</v>
      </c>
      <c r="BI11" s="272">
        <v>558521</v>
      </c>
      <c r="BJ11" s="272">
        <v>2104669</v>
      </c>
      <c r="BK11" s="272">
        <v>1572500</v>
      </c>
      <c r="BL11" s="272">
        <v>0</v>
      </c>
      <c r="BM11" s="272">
        <v>76245</v>
      </c>
      <c r="BN11" s="272">
        <v>3727600</v>
      </c>
      <c r="BO11" s="455">
        <f t="shared" si="5"/>
        <v>927600</v>
      </c>
      <c r="BP11" s="455">
        <f t="shared" si="6"/>
        <v>2800000</v>
      </c>
      <c r="BQ11" s="272">
        <v>0</v>
      </c>
      <c r="BR11" s="272"/>
      <c r="BS11" s="272">
        <v>2800000</v>
      </c>
      <c r="BT11" s="272">
        <v>0</v>
      </c>
      <c r="BU11" s="272">
        <v>92452104</v>
      </c>
      <c r="BV11" s="272"/>
      <c r="BW11" s="272">
        <v>25233248</v>
      </c>
      <c r="BX11" s="272">
        <v>16360193</v>
      </c>
      <c r="BY11" s="272">
        <v>3928820</v>
      </c>
      <c r="BZ11" s="272">
        <v>1477226</v>
      </c>
      <c r="CA11" s="272">
        <v>17399280</v>
      </c>
      <c r="CB11" s="272">
        <v>2892326</v>
      </c>
      <c r="CC11" s="272">
        <v>655546</v>
      </c>
      <c r="CD11" s="272">
        <v>6520454</v>
      </c>
      <c r="CE11" s="272">
        <v>6836897</v>
      </c>
      <c r="CF11" s="272">
        <v>147110</v>
      </c>
      <c r="CG11" s="272">
        <v>345957</v>
      </c>
      <c r="CH11" s="272">
        <v>8941658</v>
      </c>
      <c r="CI11" s="272">
        <v>7569851</v>
      </c>
      <c r="CJ11" s="455">
        <f t="shared" si="7"/>
        <v>1371807</v>
      </c>
      <c r="CK11" s="272">
        <v>11573761</v>
      </c>
      <c r="CL11" s="272">
        <v>6282749</v>
      </c>
      <c r="CM11" s="272">
        <v>654104</v>
      </c>
      <c r="CN11" s="272">
        <v>3056899</v>
      </c>
      <c r="CO11" s="272">
        <v>1389950</v>
      </c>
      <c r="CP11" s="272">
        <v>4276984</v>
      </c>
      <c r="CQ11" s="272">
        <v>22738</v>
      </c>
      <c r="CR11" s="272">
        <v>1889894</v>
      </c>
      <c r="CS11" s="272">
        <v>1476958</v>
      </c>
      <c r="CT11" s="455">
        <f t="shared" si="8"/>
        <v>1048959</v>
      </c>
      <c r="CU11" s="272">
        <v>52501</v>
      </c>
      <c r="CV11" s="272">
        <v>996458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7099390</v>
      </c>
      <c r="DD11" s="272">
        <v>2064202</v>
      </c>
      <c r="DE11" s="272">
        <v>4977388</v>
      </c>
      <c r="DF11" s="26">
        <v>57800</v>
      </c>
      <c r="DG11" s="27">
        <v>0</v>
      </c>
      <c r="DH11" s="272">
        <v>0</v>
      </c>
      <c r="DI11" s="272">
        <v>2071843</v>
      </c>
      <c r="DJ11" s="272">
        <v>233565</v>
      </c>
      <c r="DK11" s="272">
        <v>3166</v>
      </c>
      <c r="DL11" s="272">
        <v>1835112</v>
      </c>
      <c r="DM11" s="272">
        <v>1000</v>
      </c>
      <c r="DN11" s="272">
        <v>0</v>
      </c>
      <c r="DO11" s="272">
        <v>0</v>
      </c>
      <c r="DP11" s="272">
        <v>0</v>
      </c>
      <c r="DQ11" s="272">
        <v>1544923</v>
      </c>
      <c r="DR11" s="272">
        <v>0</v>
      </c>
      <c r="DS11" s="272">
        <v>0</v>
      </c>
      <c r="DT11" s="272">
        <v>11652602</v>
      </c>
      <c r="DU11" s="272">
        <v>4400000</v>
      </c>
      <c r="DV11" s="455">
        <f t="shared" si="11"/>
        <v>0</v>
      </c>
      <c r="DW11" s="272">
        <v>0</v>
      </c>
      <c r="DX11" s="272"/>
      <c r="DY11" s="272">
        <v>0</v>
      </c>
      <c r="DZ11" s="272">
        <v>2882174</v>
      </c>
      <c r="EA11" s="272">
        <v>2103388</v>
      </c>
      <c r="EB11" s="272">
        <v>2265110</v>
      </c>
      <c r="EC11" s="272">
        <v>0</v>
      </c>
      <c r="ED11" s="272">
        <v>91184639</v>
      </c>
      <c r="EE11" s="89"/>
      <c r="EF11" s="272">
        <v>1267465</v>
      </c>
      <c r="EG11" s="272">
        <v>629225</v>
      </c>
      <c r="EH11" s="272">
        <v>638240</v>
      </c>
      <c r="EI11" s="272">
        <v>79719</v>
      </c>
      <c r="EJ11" s="272">
        <v>313610</v>
      </c>
      <c r="EK11" s="89"/>
      <c r="EL11" s="272"/>
      <c r="EM11" s="272">
        <v>356076</v>
      </c>
      <c r="EN11" s="272">
        <v>341845</v>
      </c>
      <c r="EO11" s="272">
        <v>104873</v>
      </c>
      <c r="EP11" s="455">
        <f t="shared" si="12"/>
        <v>1637541</v>
      </c>
      <c r="EQ11" s="272">
        <v>66851749</v>
      </c>
      <c r="ER11" s="272">
        <v>-4812916</v>
      </c>
      <c r="ES11" s="272">
        <v>23926864</v>
      </c>
      <c r="ET11" s="272">
        <v>15124581</v>
      </c>
      <c r="EU11" s="272">
        <v>6304033</v>
      </c>
      <c r="EV11" s="272">
        <v>8857005</v>
      </c>
      <c r="EW11" s="455">
        <f t="shared" si="13"/>
        <v>4254088</v>
      </c>
      <c r="EX11" s="272">
        <v>4254088</v>
      </c>
      <c r="EY11" s="272">
        <v>572836</v>
      </c>
      <c r="EZ11" s="272">
        <v>3626039</v>
      </c>
      <c r="FA11" s="272">
        <v>0</v>
      </c>
      <c r="FB11" s="272"/>
      <c r="FC11" s="272">
        <v>9174615</v>
      </c>
      <c r="FD11" s="272">
        <v>3968333</v>
      </c>
      <c r="FE11" s="272">
        <v>22738</v>
      </c>
      <c r="FF11" s="272">
        <v>10582456</v>
      </c>
      <c r="FG11" s="455">
        <f t="shared" si="14"/>
        <v>3416192</v>
      </c>
      <c r="FH11" s="272">
        <v>70483586</v>
      </c>
      <c r="FI11" s="384">
        <f t="shared" si="15"/>
        <v>1</v>
      </c>
      <c r="FJ11" s="272">
        <v>62054091</v>
      </c>
      <c r="FK11" s="272">
        <v>2888875</v>
      </c>
      <c r="FL11" s="272">
        <v>39636187</v>
      </c>
      <c r="FM11" s="272">
        <v>49937519</v>
      </c>
      <c r="FN11" s="460">
        <v>0.77700000000000002</v>
      </c>
      <c r="FO11" s="388">
        <v>91.6</v>
      </c>
      <c r="FP11" s="388">
        <v>34.6</v>
      </c>
      <c r="FQ11" s="388">
        <v>9.6</v>
      </c>
      <c r="FR11" s="388">
        <v>13.4</v>
      </c>
      <c r="FS11" s="388">
        <v>13.4</v>
      </c>
      <c r="FT11" s="388">
        <v>4.9000000000000004</v>
      </c>
      <c r="FU11" s="388">
        <v>13.6</v>
      </c>
      <c r="FV11" s="388">
        <v>8.1999999999999993</v>
      </c>
      <c r="FW11" s="272">
        <v>56857470</v>
      </c>
      <c r="FX11" s="388">
        <f t="shared" si="16"/>
        <v>91.6</v>
      </c>
      <c r="FY11" s="272">
        <v>36635227</v>
      </c>
      <c r="FZ11" s="272">
        <v>11030636</v>
      </c>
      <c r="GA11" s="272">
        <v>2477040</v>
      </c>
      <c r="GB11" s="272">
        <v>23127551</v>
      </c>
      <c r="GC11" s="272"/>
      <c r="GD11" s="272">
        <v>1534007</v>
      </c>
      <c r="GE11" s="384">
        <f t="shared" si="17"/>
        <v>2.5</v>
      </c>
      <c r="GF11" s="388">
        <v>94.7</v>
      </c>
      <c r="GG11" s="388">
        <v>22.6</v>
      </c>
      <c r="GH11" s="388">
        <v>91.5</v>
      </c>
      <c r="GI11" s="272">
        <v>2115</v>
      </c>
      <c r="GJ11" s="394"/>
      <c r="GK11" s="394"/>
      <c r="GL11" s="394"/>
      <c r="GM11" s="394"/>
      <c r="GN11" s="394"/>
      <c r="GO11" s="394"/>
      <c r="GP11" s="394"/>
      <c r="GQ11" s="394"/>
      <c r="GR11" s="394"/>
      <c r="GS11" s="394"/>
      <c r="GT11" s="394"/>
      <c r="GU11" s="394"/>
      <c r="GV11" s="394"/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</row>
    <row r="12" spans="2:230" x14ac:dyDescent="0.15">
      <c r="B12" s="89" t="s">
        <v>17</v>
      </c>
      <c r="C12" s="272">
        <v>11099902</v>
      </c>
      <c r="D12" s="455">
        <f t="shared" si="0"/>
        <v>3289246</v>
      </c>
      <c r="E12" s="272">
        <v>107623</v>
      </c>
      <c r="F12" s="272">
        <v>3181623</v>
      </c>
      <c r="G12" s="455">
        <f t="shared" si="1"/>
        <v>848416</v>
      </c>
      <c r="H12" s="272">
        <v>185221</v>
      </c>
      <c r="I12" s="272">
        <v>663195</v>
      </c>
      <c r="J12" s="272">
        <v>4986909</v>
      </c>
      <c r="K12" s="272">
        <v>1893570</v>
      </c>
      <c r="L12" s="272">
        <v>2057937</v>
      </c>
      <c r="M12" s="272">
        <v>806437</v>
      </c>
      <c r="N12" s="272">
        <v>931744</v>
      </c>
      <c r="O12" s="272">
        <v>913143</v>
      </c>
      <c r="P12" s="272">
        <v>476964</v>
      </c>
      <c r="Q12" s="272">
        <v>436179</v>
      </c>
      <c r="R12" s="272">
        <v>812251</v>
      </c>
      <c r="S12" s="272">
        <v>589701</v>
      </c>
      <c r="T12" s="455">
        <f t="shared" si="2"/>
        <v>1190759</v>
      </c>
      <c r="U12" s="272">
        <v>55080</v>
      </c>
      <c r="V12" s="272">
        <v>57130</v>
      </c>
      <c r="W12" s="272">
        <v>45086</v>
      </c>
      <c r="X12" s="272">
        <v>810212</v>
      </c>
      <c r="Y12" s="272">
        <v>0</v>
      </c>
      <c r="Z12" s="272">
        <v>0</v>
      </c>
      <c r="AA12" s="272">
        <v>223251</v>
      </c>
      <c r="AB12" s="272">
        <v>218128</v>
      </c>
      <c r="AC12" s="272">
        <v>3768114</v>
      </c>
      <c r="AD12" s="272">
        <v>3416928</v>
      </c>
      <c r="AE12" s="272">
        <v>351186</v>
      </c>
      <c r="AF12" s="272">
        <v>22078</v>
      </c>
      <c r="AG12" s="272">
        <v>298907</v>
      </c>
      <c r="AH12" s="455">
        <f t="shared" si="3"/>
        <v>592300</v>
      </c>
      <c r="AI12" s="272">
        <v>498937</v>
      </c>
      <c r="AJ12" s="272">
        <v>93363</v>
      </c>
      <c r="AK12" s="272">
        <v>2999739</v>
      </c>
      <c r="AL12" s="455">
        <f t="shared" si="4"/>
        <v>1921681</v>
      </c>
      <c r="AM12" s="272">
        <v>1579777</v>
      </c>
      <c r="AN12" s="272">
        <v>341904</v>
      </c>
      <c r="AO12" s="272">
        <v>0</v>
      </c>
      <c r="AP12" s="272">
        <v>0</v>
      </c>
      <c r="AQ12" s="272">
        <v>174275</v>
      </c>
      <c r="AR12" s="272">
        <v>0</v>
      </c>
      <c r="AS12" s="272">
        <v>0</v>
      </c>
      <c r="AT12" s="272">
        <v>1533285</v>
      </c>
      <c r="AU12" s="272">
        <v>748648</v>
      </c>
      <c r="AV12" s="272">
        <v>171223</v>
      </c>
      <c r="AW12" s="272">
        <v>49949</v>
      </c>
      <c r="AX12" s="272">
        <v>784637</v>
      </c>
      <c r="AY12" s="272">
        <v>40942</v>
      </c>
      <c r="AZ12" s="272">
        <v>29121</v>
      </c>
      <c r="BA12" s="272">
        <v>12316</v>
      </c>
      <c r="BB12" s="272">
        <v>3389</v>
      </c>
      <c r="BC12" s="272">
        <v>388980</v>
      </c>
      <c r="BD12" s="272">
        <v>0</v>
      </c>
      <c r="BE12" s="272">
        <v>0</v>
      </c>
      <c r="BF12" s="272">
        <v>383247</v>
      </c>
      <c r="BG12" s="272">
        <v>0</v>
      </c>
      <c r="BH12" s="272">
        <v>296508</v>
      </c>
      <c r="BI12" s="272">
        <v>288163</v>
      </c>
      <c r="BJ12" s="272">
        <v>344678</v>
      </c>
      <c r="BK12" s="272">
        <v>51387</v>
      </c>
      <c r="BL12" s="272">
        <v>0</v>
      </c>
      <c r="BM12" s="272">
        <v>62448</v>
      </c>
      <c r="BN12" s="272">
        <v>1891200</v>
      </c>
      <c r="BO12" s="455">
        <f t="shared" si="5"/>
        <v>907700</v>
      </c>
      <c r="BP12" s="455">
        <f t="shared" si="6"/>
        <v>983500</v>
      </c>
      <c r="BQ12" s="272">
        <v>92000</v>
      </c>
      <c r="BR12" s="272"/>
      <c r="BS12" s="272">
        <v>891500</v>
      </c>
      <c r="BT12" s="272">
        <v>0</v>
      </c>
      <c r="BU12" s="272">
        <v>25489339</v>
      </c>
      <c r="BV12" s="272"/>
      <c r="BW12" s="272">
        <v>6458694</v>
      </c>
      <c r="BX12" s="272">
        <v>4159150</v>
      </c>
      <c r="BY12" s="272">
        <v>714314</v>
      </c>
      <c r="BZ12" s="272">
        <v>522681</v>
      </c>
      <c r="CA12" s="272">
        <v>5522014</v>
      </c>
      <c r="CB12" s="272">
        <v>651689</v>
      </c>
      <c r="CC12" s="272">
        <v>185711</v>
      </c>
      <c r="CD12" s="272">
        <v>2602009</v>
      </c>
      <c r="CE12" s="272">
        <v>1976014</v>
      </c>
      <c r="CF12" s="272">
        <v>137</v>
      </c>
      <c r="CG12" s="272">
        <v>106454</v>
      </c>
      <c r="CH12" s="272">
        <v>2601373</v>
      </c>
      <c r="CI12" s="272">
        <v>2031688</v>
      </c>
      <c r="CJ12" s="455">
        <f t="shared" si="7"/>
        <v>569685</v>
      </c>
      <c r="CK12" s="272">
        <v>2517063</v>
      </c>
      <c r="CL12" s="272">
        <v>1227586</v>
      </c>
      <c r="CM12" s="272">
        <v>253494</v>
      </c>
      <c r="CN12" s="272">
        <v>530919</v>
      </c>
      <c r="CO12" s="272">
        <v>83044</v>
      </c>
      <c r="CP12" s="272">
        <v>2798907</v>
      </c>
      <c r="CQ12" s="272">
        <v>1086859</v>
      </c>
      <c r="CR12" s="272">
        <v>708347</v>
      </c>
      <c r="CS12" s="272">
        <v>448650</v>
      </c>
      <c r="CT12" s="455">
        <f t="shared" si="8"/>
        <v>636617</v>
      </c>
      <c r="CU12" s="272">
        <v>610749</v>
      </c>
      <c r="CV12" s="272">
        <v>25868</v>
      </c>
      <c r="CW12" s="455">
        <f t="shared" si="9"/>
        <v>627000</v>
      </c>
      <c r="CX12" s="272">
        <v>601132</v>
      </c>
      <c r="CY12" s="272">
        <v>25868</v>
      </c>
      <c r="CZ12" s="455">
        <f t="shared" si="10"/>
        <v>0</v>
      </c>
      <c r="DA12" s="272">
        <v>0</v>
      </c>
      <c r="DB12" s="272">
        <v>0</v>
      </c>
      <c r="DC12" s="272">
        <v>1615290</v>
      </c>
      <c r="DD12" s="272">
        <v>541847</v>
      </c>
      <c r="DE12" s="272">
        <v>1033823</v>
      </c>
      <c r="DF12" s="26">
        <v>39620</v>
      </c>
      <c r="DG12" s="27">
        <v>0</v>
      </c>
      <c r="DH12" s="272">
        <v>0</v>
      </c>
      <c r="DI12" s="272">
        <v>208205</v>
      </c>
      <c r="DJ12" s="272">
        <v>145000</v>
      </c>
      <c r="DK12" s="272">
        <v>0</v>
      </c>
      <c r="DL12" s="272">
        <v>63205</v>
      </c>
      <c r="DM12" s="272">
        <v>0</v>
      </c>
      <c r="DN12" s="272">
        <v>0</v>
      </c>
      <c r="DO12" s="272">
        <v>0</v>
      </c>
      <c r="DP12" s="272">
        <v>0</v>
      </c>
      <c r="DQ12" s="272">
        <v>44835</v>
      </c>
      <c r="DR12" s="272">
        <v>0</v>
      </c>
      <c r="DS12" s="272">
        <v>0</v>
      </c>
      <c r="DT12" s="272">
        <v>3207286</v>
      </c>
      <c r="DU12" s="272">
        <v>1375220</v>
      </c>
      <c r="DV12" s="455">
        <f t="shared" si="11"/>
        <v>0</v>
      </c>
      <c r="DW12" s="272">
        <v>0</v>
      </c>
      <c r="DX12" s="272"/>
      <c r="DY12" s="272">
        <v>0</v>
      </c>
      <c r="DZ12" s="272">
        <v>663583</v>
      </c>
      <c r="EA12" s="272">
        <v>554979</v>
      </c>
      <c r="EB12" s="272">
        <v>610401</v>
      </c>
      <c r="EC12" s="272">
        <v>0</v>
      </c>
      <c r="ED12" s="272">
        <v>25056711</v>
      </c>
      <c r="EE12" s="89"/>
      <c r="EF12" s="272">
        <v>432628</v>
      </c>
      <c r="EG12" s="272">
        <v>63336</v>
      </c>
      <c r="EH12" s="272">
        <v>369292</v>
      </c>
      <c r="EI12" s="272">
        <v>81129</v>
      </c>
      <c r="EJ12" s="272">
        <v>226129</v>
      </c>
      <c r="EK12" s="89"/>
      <c r="EL12" s="272"/>
      <c r="EM12" s="272">
        <v>90007</v>
      </c>
      <c r="EN12" s="272">
        <v>0</v>
      </c>
      <c r="EO12" s="272">
        <v>122</v>
      </c>
      <c r="EP12" s="455">
        <f t="shared" si="12"/>
        <v>552859</v>
      </c>
      <c r="EQ12" s="272">
        <v>17111232</v>
      </c>
      <c r="ER12" s="272">
        <v>-1514403</v>
      </c>
      <c r="ES12" s="272">
        <v>6074201</v>
      </c>
      <c r="ET12" s="272">
        <v>3867192</v>
      </c>
      <c r="EU12" s="272">
        <v>1789047</v>
      </c>
      <c r="EV12" s="272">
        <v>2590828</v>
      </c>
      <c r="EW12" s="455">
        <f t="shared" si="13"/>
        <v>347199</v>
      </c>
      <c r="EX12" s="272">
        <v>347199</v>
      </c>
      <c r="EY12" s="272">
        <v>29949</v>
      </c>
      <c r="EZ12" s="272">
        <v>316030</v>
      </c>
      <c r="FA12" s="272">
        <v>0</v>
      </c>
      <c r="FB12" s="272"/>
      <c r="FC12" s="272">
        <v>1983043</v>
      </c>
      <c r="FD12" s="272">
        <v>2299864</v>
      </c>
      <c r="FE12" s="272">
        <v>730859</v>
      </c>
      <c r="FF12" s="272">
        <v>2867907</v>
      </c>
      <c r="FG12" s="455">
        <f t="shared" si="14"/>
        <v>240918</v>
      </c>
      <c r="FH12" s="272">
        <v>18193007</v>
      </c>
      <c r="FI12" s="384">
        <f t="shared" si="15"/>
        <v>2.2999999999999998</v>
      </c>
      <c r="FJ12" s="272">
        <v>15866584</v>
      </c>
      <c r="FK12" s="272">
        <v>891546</v>
      </c>
      <c r="FL12" s="272">
        <v>9553311</v>
      </c>
      <c r="FM12" s="272">
        <v>12966976</v>
      </c>
      <c r="FN12" s="460">
        <v>0.71399999999999997</v>
      </c>
      <c r="FO12" s="388">
        <v>95.1</v>
      </c>
      <c r="FP12" s="388">
        <v>33.5</v>
      </c>
      <c r="FQ12" s="388">
        <v>10.5</v>
      </c>
      <c r="FR12" s="388">
        <v>15.3</v>
      </c>
      <c r="FS12" s="388">
        <v>10.6</v>
      </c>
      <c r="FT12" s="388">
        <v>9.4</v>
      </c>
      <c r="FU12" s="388">
        <v>15.4</v>
      </c>
      <c r="FV12" s="388">
        <v>15.8</v>
      </c>
      <c r="FW12" s="272">
        <v>22682202</v>
      </c>
      <c r="FX12" s="388">
        <f t="shared" si="16"/>
        <v>143</v>
      </c>
      <c r="FY12" s="272">
        <v>4505430</v>
      </c>
      <c r="FZ12" s="272">
        <v>1068697</v>
      </c>
      <c r="GA12" s="272">
        <v>188585</v>
      </c>
      <c r="GB12" s="272">
        <v>3248148</v>
      </c>
      <c r="GC12" s="272"/>
      <c r="GD12" s="272">
        <v>5289285</v>
      </c>
      <c r="GE12" s="384">
        <f t="shared" si="17"/>
        <v>33.299999999999997</v>
      </c>
      <c r="GF12" s="388">
        <v>98.3</v>
      </c>
      <c r="GG12" s="388">
        <v>22.7</v>
      </c>
      <c r="GH12" s="388">
        <v>91.3</v>
      </c>
      <c r="GI12" s="272">
        <v>606</v>
      </c>
      <c r="GJ12" s="394"/>
      <c r="GK12" s="394"/>
      <c r="GL12" s="394"/>
      <c r="GM12" s="394"/>
      <c r="GN12" s="394"/>
      <c r="GO12" s="394"/>
      <c r="GP12" s="394"/>
      <c r="GQ12" s="394"/>
      <c r="GR12" s="394"/>
      <c r="GS12" s="394"/>
      <c r="GT12" s="394"/>
      <c r="GU12" s="394"/>
      <c r="GV12" s="394"/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</row>
    <row r="13" spans="2:230" x14ac:dyDescent="0.15">
      <c r="B13" s="89" t="s">
        <v>19</v>
      </c>
      <c r="C13" s="272">
        <v>22358116</v>
      </c>
      <c r="D13" s="455">
        <f t="shared" si="0"/>
        <v>5857085</v>
      </c>
      <c r="E13" s="272">
        <v>178935</v>
      </c>
      <c r="F13" s="272">
        <v>5678150</v>
      </c>
      <c r="G13" s="455">
        <f t="shared" si="1"/>
        <v>2415453</v>
      </c>
      <c r="H13" s="272">
        <v>471936</v>
      </c>
      <c r="I13" s="272">
        <v>1943517</v>
      </c>
      <c r="J13" s="272">
        <v>10124139</v>
      </c>
      <c r="K13" s="272">
        <v>4213236</v>
      </c>
      <c r="L13" s="272">
        <v>3752226</v>
      </c>
      <c r="M13" s="272">
        <v>1818319</v>
      </c>
      <c r="N13" s="272">
        <v>1084456</v>
      </c>
      <c r="O13" s="272">
        <v>1984064</v>
      </c>
      <c r="P13" s="272">
        <v>1143927</v>
      </c>
      <c r="Q13" s="272">
        <v>840137</v>
      </c>
      <c r="R13" s="272">
        <v>1302576</v>
      </c>
      <c r="S13" s="272">
        <v>1016055</v>
      </c>
      <c r="T13" s="455">
        <f t="shared" si="2"/>
        <v>2209380</v>
      </c>
      <c r="U13" s="272">
        <v>99278</v>
      </c>
      <c r="V13" s="272">
        <v>102909</v>
      </c>
      <c r="W13" s="272">
        <v>80882</v>
      </c>
      <c r="X13" s="272">
        <v>1637523</v>
      </c>
      <c r="Y13" s="272">
        <v>0</v>
      </c>
      <c r="Z13" s="272">
        <v>0</v>
      </c>
      <c r="AA13" s="272">
        <v>288788</v>
      </c>
      <c r="AB13" s="272">
        <v>517155</v>
      </c>
      <c r="AC13" s="272">
        <v>4825157</v>
      </c>
      <c r="AD13" s="272">
        <v>4290925</v>
      </c>
      <c r="AE13" s="272">
        <v>534232</v>
      </c>
      <c r="AF13" s="272">
        <v>30643</v>
      </c>
      <c r="AG13" s="272">
        <v>1919351</v>
      </c>
      <c r="AH13" s="455">
        <f t="shared" si="3"/>
        <v>888715</v>
      </c>
      <c r="AI13" s="272">
        <v>621508</v>
      </c>
      <c r="AJ13" s="272">
        <v>267207</v>
      </c>
      <c r="AK13" s="272">
        <v>7573076</v>
      </c>
      <c r="AL13" s="455">
        <f t="shared" si="4"/>
        <v>6778927</v>
      </c>
      <c r="AM13" s="272">
        <v>5792359</v>
      </c>
      <c r="AN13" s="272">
        <v>986568</v>
      </c>
      <c r="AO13" s="272">
        <v>0</v>
      </c>
      <c r="AP13" s="272">
        <v>0</v>
      </c>
      <c r="AQ13" s="272">
        <v>90032</v>
      </c>
      <c r="AR13" s="272">
        <v>0</v>
      </c>
      <c r="AS13" s="272">
        <v>0</v>
      </c>
      <c r="AT13" s="272">
        <v>2404420</v>
      </c>
      <c r="AU13" s="272">
        <v>1009830</v>
      </c>
      <c r="AV13" s="272">
        <v>458273</v>
      </c>
      <c r="AW13" s="272">
        <v>3421</v>
      </c>
      <c r="AX13" s="272">
        <v>1394590</v>
      </c>
      <c r="AY13" s="272">
        <v>19565</v>
      </c>
      <c r="AZ13" s="272">
        <v>334886</v>
      </c>
      <c r="BA13" s="272">
        <v>266127</v>
      </c>
      <c r="BB13" s="272">
        <v>28521</v>
      </c>
      <c r="BC13" s="272">
        <v>82082</v>
      </c>
      <c r="BD13" s="272">
        <v>2034</v>
      </c>
      <c r="BE13" s="272">
        <v>0</v>
      </c>
      <c r="BF13" s="272">
        <v>4048</v>
      </c>
      <c r="BG13" s="272">
        <v>0</v>
      </c>
      <c r="BH13" s="272">
        <v>0</v>
      </c>
      <c r="BI13" s="272">
        <v>0</v>
      </c>
      <c r="BJ13" s="272">
        <v>474534</v>
      </c>
      <c r="BK13" s="272">
        <v>25771</v>
      </c>
      <c r="BL13" s="272">
        <v>0</v>
      </c>
      <c r="BM13" s="272">
        <v>66391</v>
      </c>
      <c r="BN13" s="272">
        <v>3551300</v>
      </c>
      <c r="BO13" s="455">
        <f t="shared" si="5"/>
        <v>1966600</v>
      </c>
      <c r="BP13" s="455">
        <f t="shared" si="6"/>
        <v>1584700</v>
      </c>
      <c r="BQ13" s="272">
        <v>191100</v>
      </c>
      <c r="BR13" s="272"/>
      <c r="BS13" s="272">
        <v>1393600</v>
      </c>
      <c r="BT13" s="272">
        <v>0</v>
      </c>
      <c r="BU13" s="272">
        <v>48499912</v>
      </c>
      <c r="BV13" s="272"/>
      <c r="BW13" s="272">
        <v>12508508</v>
      </c>
      <c r="BX13" s="272">
        <v>8792748</v>
      </c>
      <c r="BY13" s="272">
        <v>1196185</v>
      </c>
      <c r="BZ13" s="272">
        <v>463065</v>
      </c>
      <c r="CA13" s="272">
        <v>14402234</v>
      </c>
      <c r="CB13" s="272">
        <v>1120663</v>
      </c>
      <c r="CC13" s="272">
        <v>319897</v>
      </c>
      <c r="CD13" s="272">
        <v>3343625</v>
      </c>
      <c r="CE13" s="272">
        <v>7738470</v>
      </c>
      <c r="CF13" s="272">
        <v>1693452</v>
      </c>
      <c r="CG13" s="272">
        <v>185936</v>
      </c>
      <c r="CH13" s="272">
        <v>4990474</v>
      </c>
      <c r="CI13" s="272">
        <v>3862209</v>
      </c>
      <c r="CJ13" s="455">
        <f t="shared" si="7"/>
        <v>1128265</v>
      </c>
      <c r="CK13" s="272">
        <v>3670733</v>
      </c>
      <c r="CL13" s="272">
        <v>2141122</v>
      </c>
      <c r="CM13" s="272">
        <v>161707</v>
      </c>
      <c r="CN13" s="272">
        <v>746274</v>
      </c>
      <c r="CO13" s="272">
        <v>192402</v>
      </c>
      <c r="CP13" s="272">
        <v>3631631</v>
      </c>
      <c r="CQ13" s="272">
        <v>2102245</v>
      </c>
      <c r="CR13" s="272">
        <v>767659</v>
      </c>
      <c r="CS13" s="272">
        <v>619685</v>
      </c>
      <c r="CT13" s="455">
        <f t="shared" si="8"/>
        <v>78165</v>
      </c>
      <c r="CU13" s="272">
        <v>78165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2417987</v>
      </c>
      <c r="DD13" s="272">
        <v>179464</v>
      </c>
      <c r="DE13" s="272">
        <v>2218054</v>
      </c>
      <c r="DF13" s="26">
        <v>0</v>
      </c>
      <c r="DG13" s="27">
        <v>20469</v>
      </c>
      <c r="DH13" s="272">
        <v>0</v>
      </c>
      <c r="DI13" s="272">
        <v>187695</v>
      </c>
      <c r="DJ13" s="272">
        <v>69381</v>
      </c>
      <c r="DK13" s="272">
        <v>88248</v>
      </c>
      <c r="DL13" s="272">
        <v>30066</v>
      </c>
      <c r="DM13" s="272">
        <v>26700</v>
      </c>
      <c r="DN13" s="272">
        <v>26700</v>
      </c>
      <c r="DO13" s="272">
        <v>26700</v>
      </c>
      <c r="DP13" s="272">
        <v>0</v>
      </c>
      <c r="DQ13" s="272">
        <v>11841</v>
      </c>
      <c r="DR13" s="272">
        <v>0</v>
      </c>
      <c r="DS13" s="272">
        <v>0</v>
      </c>
      <c r="DT13" s="272">
        <v>6053104</v>
      </c>
      <c r="DU13" s="272">
        <v>2267000</v>
      </c>
      <c r="DV13" s="455">
        <f t="shared" si="11"/>
        <v>0</v>
      </c>
      <c r="DW13" s="272">
        <v>0</v>
      </c>
      <c r="DX13" s="272"/>
      <c r="DY13" s="272">
        <v>0</v>
      </c>
      <c r="DZ13" s="272">
        <v>1757010</v>
      </c>
      <c r="EA13" s="272">
        <v>913863</v>
      </c>
      <c r="EB13" s="272">
        <v>1115231</v>
      </c>
      <c r="EC13" s="272">
        <v>2919786</v>
      </c>
      <c r="ED13" s="272">
        <v>51013095</v>
      </c>
      <c r="EE13" s="89"/>
      <c r="EF13" s="272">
        <v>-2513183</v>
      </c>
      <c r="EG13" s="272">
        <v>2906</v>
      </c>
      <c r="EH13" s="272">
        <v>-2516089</v>
      </c>
      <c r="EI13" s="272">
        <v>405733</v>
      </c>
      <c r="EJ13" s="272">
        <v>473080</v>
      </c>
      <c r="EK13" s="89"/>
      <c r="EL13" s="272"/>
      <c r="EM13" s="272">
        <v>145283</v>
      </c>
      <c r="EN13" s="272">
        <v>78034</v>
      </c>
      <c r="EO13" s="272">
        <v>324964</v>
      </c>
      <c r="EP13" s="455">
        <f t="shared" si="12"/>
        <v>433713</v>
      </c>
      <c r="EQ13" s="272">
        <v>31243027</v>
      </c>
      <c r="ER13" s="272">
        <v>-2390768</v>
      </c>
      <c r="ES13" s="272">
        <v>11787820</v>
      </c>
      <c r="ET13" s="272">
        <v>8286104</v>
      </c>
      <c r="EU13" s="272">
        <v>4002216</v>
      </c>
      <c r="EV13" s="272">
        <v>4906891</v>
      </c>
      <c r="EW13" s="455">
        <f t="shared" si="13"/>
        <v>317997</v>
      </c>
      <c r="EX13" s="272">
        <v>317997</v>
      </c>
      <c r="EY13" s="272">
        <v>134</v>
      </c>
      <c r="EZ13" s="272">
        <v>317863</v>
      </c>
      <c r="FA13" s="272">
        <v>0</v>
      </c>
      <c r="FB13" s="272"/>
      <c r="FC13" s="272">
        <v>3095456</v>
      </c>
      <c r="FD13" s="272">
        <v>3491990</v>
      </c>
      <c r="FE13" s="272">
        <v>2102245</v>
      </c>
      <c r="FF13" s="272">
        <v>5303847</v>
      </c>
      <c r="FG13" s="455">
        <f t="shared" si="14"/>
        <v>3240761</v>
      </c>
      <c r="FH13" s="272">
        <v>36146978</v>
      </c>
      <c r="FI13" s="384">
        <f t="shared" si="15"/>
        <v>-8.9</v>
      </c>
      <c r="FJ13" s="272">
        <v>28262496</v>
      </c>
      <c r="FK13" s="272">
        <v>1393688</v>
      </c>
      <c r="FL13" s="272">
        <v>18326699</v>
      </c>
      <c r="FM13" s="272">
        <v>22639718</v>
      </c>
      <c r="FN13" s="460">
        <v>0.81100000000000005</v>
      </c>
      <c r="FO13" s="388">
        <v>100.6</v>
      </c>
      <c r="FP13" s="388">
        <v>37.5</v>
      </c>
      <c r="FQ13" s="388">
        <v>12.9</v>
      </c>
      <c r="FR13" s="388">
        <v>16.100000000000001</v>
      </c>
      <c r="FS13" s="388">
        <v>9.5</v>
      </c>
      <c r="FT13" s="388">
        <v>9.1999999999999993</v>
      </c>
      <c r="FU13" s="388">
        <v>14.9</v>
      </c>
      <c r="FV13" s="388">
        <v>13.1</v>
      </c>
      <c r="FW13" s="272">
        <v>49527809</v>
      </c>
      <c r="FX13" s="388">
        <f t="shared" si="16"/>
        <v>175.2</v>
      </c>
      <c r="FY13" s="272">
        <v>3529771</v>
      </c>
      <c r="FZ13" s="272">
        <v>78238</v>
      </c>
      <c r="GA13" s="272">
        <v>91652</v>
      </c>
      <c r="GB13" s="272">
        <v>3359881</v>
      </c>
      <c r="GC13" s="272">
        <v>1758800</v>
      </c>
      <c r="GD13" s="272">
        <v>5450878</v>
      </c>
      <c r="GE13" s="384">
        <f t="shared" si="17"/>
        <v>19.3</v>
      </c>
      <c r="GF13" s="388">
        <v>98</v>
      </c>
      <c r="GG13" s="388">
        <v>20.7</v>
      </c>
      <c r="GH13" s="388">
        <v>91.9</v>
      </c>
      <c r="GI13" s="272">
        <v>1146</v>
      </c>
      <c r="GJ13" s="394"/>
      <c r="GK13" s="394"/>
      <c r="GL13" s="394"/>
      <c r="GM13" s="394"/>
      <c r="GN13" s="394"/>
      <c r="GO13" s="394"/>
      <c r="GP13" s="394"/>
      <c r="GQ13" s="394"/>
      <c r="GR13" s="394"/>
      <c r="GS13" s="394"/>
      <c r="GT13" s="394"/>
      <c r="GU13" s="394"/>
      <c r="GV13" s="394"/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</row>
    <row r="14" spans="2:230" x14ac:dyDescent="0.15">
      <c r="B14" s="89" t="s">
        <v>21</v>
      </c>
      <c r="C14" s="272">
        <v>55999452</v>
      </c>
      <c r="D14" s="455">
        <f t="shared" si="0"/>
        <v>21198850</v>
      </c>
      <c r="E14" s="272">
        <v>529241</v>
      </c>
      <c r="F14" s="272">
        <v>20669609</v>
      </c>
      <c r="G14" s="455">
        <f t="shared" si="1"/>
        <v>5022096</v>
      </c>
      <c r="H14" s="272">
        <v>667912</v>
      </c>
      <c r="I14" s="272">
        <v>4354184</v>
      </c>
      <c r="J14" s="272">
        <v>21212211</v>
      </c>
      <c r="K14" s="272">
        <v>9261778</v>
      </c>
      <c r="L14" s="272">
        <v>8927840</v>
      </c>
      <c r="M14" s="272">
        <v>2468416</v>
      </c>
      <c r="N14" s="272">
        <v>2405595</v>
      </c>
      <c r="O14" s="272">
        <v>4621492</v>
      </c>
      <c r="P14" s="272">
        <v>2644830</v>
      </c>
      <c r="Q14" s="272">
        <v>1976662</v>
      </c>
      <c r="R14" s="272">
        <v>3363328</v>
      </c>
      <c r="S14" s="272">
        <v>2567195</v>
      </c>
      <c r="T14" s="455">
        <f t="shared" si="2"/>
        <v>5286743</v>
      </c>
      <c r="U14" s="272">
        <v>345096</v>
      </c>
      <c r="V14" s="272">
        <v>357634</v>
      </c>
      <c r="W14" s="272">
        <v>280656</v>
      </c>
      <c r="X14" s="272">
        <v>3388641</v>
      </c>
      <c r="Y14" s="272">
        <v>112382</v>
      </c>
      <c r="Z14" s="272">
        <v>0</v>
      </c>
      <c r="AA14" s="272">
        <v>802334</v>
      </c>
      <c r="AB14" s="272">
        <v>1542184</v>
      </c>
      <c r="AC14" s="272">
        <v>7801477</v>
      </c>
      <c r="AD14" s="272">
        <v>7657396</v>
      </c>
      <c r="AE14" s="272">
        <v>144081</v>
      </c>
      <c r="AF14" s="272">
        <v>83497</v>
      </c>
      <c r="AG14" s="272">
        <v>937817</v>
      </c>
      <c r="AH14" s="455">
        <f t="shared" si="3"/>
        <v>2210091</v>
      </c>
      <c r="AI14" s="272">
        <v>1701085</v>
      </c>
      <c r="AJ14" s="272">
        <v>509006</v>
      </c>
      <c r="AK14" s="272">
        <v>12896500</v>
      </c>
      <c r="AL14" s="455">
        <f t="shared" si="4"/>
        <v>8099441</v>
      </c>
      <c r="AM14" s="272">
        <v>6931828</v>
      </c>
      <c r="AN14" s="272">
        <v>1167613</v>
      </c>
      <c r="AO14" s="272">
        <v>0</v>
      </c>
      <c r="AP14" s="272">
        <v>0</v>
      </c>
      <c r="AQ14" s="272">
        <v>1022389</v>
      </c>
      <c r="AR14" s="272">
        <v>0</v>
      </c>
      <c r="AS14" s="272">
        <v>0</v>
      </c>
      <c r="AT14" s="272">
        <v>5152137</v>
      </c>
      <c r="AU14" s="272">
        <v>2526681</v>
      </c>
      <c r="AV14" s="272">
        <v>583807</v>
      </c>
      <c r="AW14" s="272">
        <v>34172</v>
      </c>
      <c r="AX14" s="272">
        <v>2625456</v>
      </c>
      <c r="AY14" s="272">
        <v>30863</v>
      </c>
      <c r="AZ14" s="272">
        <v>116370</v>
      </c>
      <c r="BA14" s="272">
        <v>46324</v>
      </c>
      <c r="BB14" s="272">
        <v>332158</v>
      </c>
      <c r="BC14" s="272">
        <v>5712552</v>
      </c>
      <c r="BD14" s="272">
        <v>74703</v>
      </c>
      <c r="BE14" s="272">
        <v>179220</v>
      </c>
      <c r="BF14" s="272">
        <v>327549</v>
      </c>
      <c r="BG14" s="272">
        <v>5000000</v>
      </c>
      <c r="BH14" s="272">
        <v>514752</v>
      </c>
      <c r="BI14" s="272">
        <v>408981</v>
      </c>
      <c r="BJ14" s="272">
        <v>623396</v>
      </c>
      <c r="BK14" s="272">
        <v>0</v>
      </c>
      <c r="BL14" s="272">
        <v>0</v>
      </c>
      <c r="BM14" s="272">
        <v>84084</v>
      </c>
      <c r="BN14" s="272">
        <v>10456200</v>
      </c>
      <c r="BO14" s="455">
        <f t="shared" si="5"/>
        <v>6656200</v>
      </c>
      <c r="BP14" s="455">
        <f t="shared" si="6"/>
        <v>3800000</v>
      </c>
      <c r="BQ14" s="272">
        <v>565900</v>
      </c>
      <c r="BR14" s="272"/>
      <c r="BS14" s="272">
        <v>3234100</v>
      </c>
      <c r="BT14" s="272">
        <v>0</v>
      </c>
      <c r="BU14" s="272">
        <v>113028654</v>
      </c>
      <c r="BV14" s="272"/>
      <c r="BW14" s="272">
        <v>25355605</v>
      </c>
      <c r="BX14" s="272">
        <v>17958403</v>
      </c>
      <c r="BY14" s="272">
        <v>2883534</v>
      </c>
      <c r="BZ14" s="272">
        <v>854499</v>
      </c>
      <c r="CA14" s="272">
        <v>22272734</v>
      </c>
      <c r="CB14" s="272">
        <v>3246882</v>
      </c>
      <c r="CC14" s="272">
        <v>550272</v>
      </c>
      <c r="CD14" s="272">
        <v>8961995</v>
      </c>
      <c r="CE14" s="272">
        <v>9098158</v>
      </c>
      <c r="CF14" s="272">
        <v>0</v>
      </c>
      <c r="CG14" s="272">
        <v>414571</v>
      </c>
      <c r="CH14" s="272">
        <v>11217550</v>
      </c>
      <c r="CI14" s="272">
        <v>9023294</v>
      </c>
      <c r="CJ14" s="455">
        <f t="shared" si="7"/>
        <v>2194256</v>
      </c>
      <c r="CK14" s="272">
        <v>9594509</v>
      </c>
      <c r="CL14" s="272">
        <v>4732674</v>
      </c>
      <c r="CM14" s="272">
        <v>768190</v>
      </c>
      <c r="CN14" s="272">
        <v>2261903</v>
      </c>
      <c r="CO14" s="272">
        <v>722911</v>
      </c>
      <c r="CP14" s="272">
        <v>10260268</v>
      </c>
      <c r="CQ14" s="272">
        <v>4719356</v>
      </c>
      <c r="CR14" s="272">
        <v>2752946</v>
      </c>
      <c r="CS14" s="272">
        <v>2107183</v>
      </c>
      <c r="CT14" s="455">
        <f t="shared" si="8"/>
        <v>1428072</v>
      </c>
      <c r="CU14" s="272">
        <v>1214414</v>
      </c>
      <c r="CV14" s="272">
        <v>213658</v>
      </c>
      <c r="CW14" s="455">
        <f t="shared" si="9"/>
        <v>1115618</v>
      </c>
      <c r="CX14" s="272">
        <v>1065330</v>
      </c>
      <c r="CY14" s="272">
        <v>50288</v>
      </c>
      <c r="CZ14" s="455">
        <f t="shared" si="10"/>
        <v>0</v>
      </c>
      <c r="DA14" s="272">
        <v>0</v>
      </c>
      <c r="DB14" s="272">
        <v>0</v>
      </c>
      <c r="DC14" s="272">
        <v>15984369</v>
      </c>
      <c r="DD14" s="272">
        <v>1897996</v>
      </c>
      <c r="DE14" s="272">
        <v>13978899</v>
      </c>
      <c r="DF14" s="26">
        <v>445</v>
      </c>
      <c r="DG14" s="27">
        <v>107029</v>
      </c>
      <c r="DH14" s="272">
        <v>18962</v>
      </c>
      <c r="DI14" s="272">
        <v>1874305</v>
      </c>
      <c r="DJ14" s="272">
        <v>211433</v>
      </c>
      <c r="DK14" s="272">
        <v>907165</v>
      </c>
      <c r="DL14" s="272">
        <v>755707</v>
      </c>
      <c r="DM14" s="272">
        <v>0</v>
      </c>
      <c r="DN14" s="272">
        <v>0</v>
      </c>
      <c r="DO14" s="272">
        <v>0</v>
      </c>
      <c r="DP14" s="272">
        <v>0</v>
      </c>
      <c r="DQ14" s="272">
        <v>0</v>
      </c>
      <c r="DR14" s="272">
        <v>0</v>
      </c>
      <c r="DS14" s="272">
        <v>0</v>
      </c>
      <c r="DT14" s="272">
        <v>14333302</v>
      </c>
      <c r="DU14" s="272">
        <v>6084287</v>
      </c>
      <c r="DV14" s="455">
        <f t="shared" si="11"/>
        <v>0</v>
      </c>
      <c r="DW14" s="272">
        <v>0</v>
      </c>
      <c r="DX14" s="272"/>
      <c r="DY14" s="272">
        <v>62155</v>
      </c>
      <c r="DZ14" s="272">
        <v>3691284</v>
      </c>
      <c r="EA14" s="272">
        <v>1913020</v>
      </c>
      <c r="EB14" s="272">
        <v>2582556</v>
      </c>
      <c r="EC14" s="272">
        <v>0</v>
      </c>
      <c r="ED14" s="272">
        <v>111634515</v>
      </c>
      <c r="EE14" s="89"/>
      <c r="EF14" s="272">
        <v>1394139</v>
      </c>
      <c r="EG14" s="272">
        <v>352420</v>
      </c>
      <c r="EH14" s="272">
        <v>1041719</v>
      </c>
      <c r="EI14" s="272">
        <v>632738</v>
      </c>
      <c r="EJ14" s="272">
        <v>769468</v>
      </c>
      <c r="EK14" s="89"/>
      <c r="EL14" s="272"/>
      <c r="EM14" s="272">
        <v>404944</v>
      </c>
      <c r="EN14" s="272">
        <v>385003</v>
      </c>
      <c r="EO14" s="272">
        <v>81750</v>
      </c>
      <c r="EP14" s="455">
        <f t="shared" si="12"/>
        <v>1712273</v>
      </c>
      <c r="EQ14" s="272">
        <v>74076681</v>
      </c>
      <c r="ER14" s="272">
        <v>-5895529</v>
      </c>
      <c r="ES14" s="272">
        <v>23704903</v>
      </c>
      <c r="ET14" s="272">
        <v>16491218</v>
      </c>
      <c r="EU14" s="272">
        <v>7397096</v>
      </c>
      <c r="EV14" s="272">
        <v>11217550</v>
      </c>
      <c r="EW14" s="455">
        <f t="shared" si="13"/>
        <v>2925140</v>
      </c>
      <c r="EX14" s="272">
        <v>2906178</v>
      </c>
      <c r="EY14" s="272">
        <v>264971</v>
      </c>
      <c r="EZ14" s="272">
        <v>2640762</v>
      </c>
      <c r="FA14" s="272">
        <v>18962</v>
      </c>
      <c r="FB14" s="272"/>
      <c r="FC14" s="272">
        <v>8178316</v>
      </c>
      <c r="FD14" s="272">
        <v>9393855</v>
      </c>
      <c r="FE14" s="272">
        <v>4719356</v>
      </c>
      <c r="FF14" s="272">
        <v>13203387</v>
      </c>
      <c r="FG14" s="455">
        <f t="shared" si="14"/>
        <v>2557824</v>
      </c>
      <c r="FH14" s="272">
        <v>78578071</v>
      </c>
      <c r="FI14" s="384">
        <f t="shared" si="15"/>
        <v>1.5</v>
      </c>
      <c r="FJ14" s="272">
        <v>67940481</v>
      </c>
      <c r="FK14" s="272">
        <v>3234142</v>
      </c>
      <c r="FL14" s="272">
        <v>46110037</v>
      </c>
      <c r="FM14" s="272">
        <v>53767433</v>
      </c>
      <c r="FN14" s="460">
        <v>0.85099999999999998</v>
      </c>
      <c r="FO14" s="388">
        <v>89.6</v>
      </c>
      <c r="FP14" s="388">
        <v>30.8</v>
      </c>
      <c r="FQ14" s="388">
        <v>10</v>
      </c>
      <c r="FR14" s="388">
        <v>15.2</v>
      </c>
      <c r="FS14" s="388">
        <v>10.1</v>
      </c>
      <c r="FT14" s="388">
        <v>11.5</v>
      </c>
      <c r="FU14" s="388">
        <v>11</v>
      </c>
      <c r="FV14" s="388">
        <v>11.3</v>
      </c>
      <c r="FW14" s="272">
        <v>99653037</v>
      </c>
      <c r="FX14" s="388">
        <f t="shared" si="16"/>
        <v>146.69999999999999</v>
      </c>
      <c r="FY14" s="272">
        <v>16276501</v>
      </c>
      <c r="FZ14" s="272">
        <v>632960</v>
      </c>
      <c r="GA14" s="272">
        <v>3747857</v>
      </c>
      <c r="GB14" s="272">
        <v>11895684</v>
      </c>
      <c r="GC14" s="272">
        <v>5000000</v>
      </c>
      <c r="GD14" s="272">
        <v>14900023</v>
      </c>
      <c r="GE14" s="384">
        <f t="shared" si="17"/>
        <v>21.9</v>
      </c>
      <c r="GF14" s="388">
        <v>98.7</v>
      </c>
      <c r="GG14" s="388">
        <v>20.100000000000001</v>
      </c>
      <c r="GH14" s="388">
        <v>93.5</v>
      </c>
      <c r="GI14" s="272">
        <v>2361</v>
      </c>
      <c r="GJ14" s="394"/>
      <c r="GK14" s="394"/>
      <c r="GL14" s="394"/>
      <c r="GM14" s="394"/>
      <c r="GN14" s="394"/>
      <c r="GO14" s="394"/>
      <c r="GP14" s="394"/>
      <c r="GQ14" s="394"/>
      <c r="GR14" s="394"/>
      <c r="GS14" s="394"/>
      <c r="GT14" s="394"/>
      <c r="GU14" s="394"/>
      <c r="GV14" s="394"/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</row>
    <row r="15" spans="2:230" x14ac:dyDescent="0.15">
      <c r="B15" s="89" t="s">
        <v>23</v>
      </c>
      <c r="C15" s="272">
        <v>43039395</v>
      </c>
      <c r="D15" s="455">
        <f t="shared" si="0"/>
        <v>15212096</v>
      </c>
      <c r="E15" s="272">
        <v>360919</v>
      </c>
      <c r="F15" s="272">
        <v>14851177</v>
      </c>
      <c r="G15" s="455">
        <f t="shared" si="1"/>
        <v>3853882</v>
      </c>
      <c r="H15" s="272">
        <v>724884</v>
      </c>
      <c r="I15" s="272">
        <v>3128998</v>
      </c>
      <c r="J15" s="272">
        <v>18300529</v>
      </c>
      <c r="K15" s="272">
        <v>7926409</v>
      </c>
      <c r="L15" s="272">
        <v>7013988</v>
      </c>
      <c r="M15" s="272">
        <v>3071838</v>
      </c>
      <c r="N15" s="272">
        <v>1883816</v>
      </c>
      <c r="O15" s="272">
        <v>3612403</v>
      </c>
      <c r="P15" s="272">
        <v>2061802</v>
      </c>
      <c r="Q15" s="272">
        <v>1550601</v>
      </c>
      <c r="R15" s="272">
        <v>2265826</v>
      </c>
      <c r="S15" s="272">
        <v>1656540</v>
      </c>
      <c r="T15" s="455">
        <f t="shared" si="2"/>
        <v>3949796</v>
      </c>
      <c r="U15" s="272">
        <v>242958</v>
      </c>
      <c r="V15" s="272">
        <v>252013</v>
      </c>
      <c r="W15" s="272">
        <v>198951</v>
      </c>
      <c r="X15" s="272">
        <v>2530326</v>
      </c>
      <c r="Y15" s="272">
        <v>111430</v>
      </c>
      <c r="Z15" s="272">
        <v>0</v>
      </c>
      <c r="AA15" s="272">
        <v>614118</v>
      </c>
      <c r="AB15" s="272">
        <v>1210269</v>
      </c>
      <c r="AC15" s="272">
        <v>194177</v>
      </c>
      <c r="AD15" s="272">
        <v>0</v>
      </c>
      <c r="AE15" s="272">
        <v>194177</v>
      </c>
      <c r="AF15" s="272">
        <v>62141</v>
      </c>
      <c r="AG15" s="272">
        <v>633106</v>
      </c>
      <c r="AH15" s="455">
        <f t="shared" si="3"/>
        <v>2218271</v>
      </c>
      <c r="AI15" s="272">
        <v>1896749</v>
      </c>
      <c r="AJ15" s="272">
        <v>321522</v>
      </c>
      <c r="AK15" s="272">
        <v>7131294</v>
      </c>
      <c r="AL15" s="455">
        <f t="shared" si="4"/>
        <v>4061950</v>
      </c>
      <c r="AM15" s="272">
        <v>3555303</v>
      </c>
      <c r="AN15" s="272">
        <v>506647</v>
      </c>
      <c r="AO15" s="272">
        <v>0</v>
      </c>
      <c r="AP15" s="272">
        <v>0</v>
      </c>
      <c r="AQ15" s="272">
        <v>668487</v>
      </c>
      <c r="AR15" s="272">
        <v>133</v>
      </c>
      <c r="AS15" s="272">
        <v>0</v>
      </c>
      <c r="AT15" s="272">
        <v>3990139</v>
      </c>
      <c r="AU15" s="272">
        <v>1682532</v>
      </c>
      <c r="AV15" s="272">
        <v>253323</v>
      </c>
      <c r="AW15" s="272">
        <v>151976</v>
      </c>
      <c r="AX15" s="272">
        <v>2307607</v>
      </c>
      <c r="AY15" s="272">
        <v>96156</v>
      </c>
      <c r="AZ15" s="272">
        <v>109638</v>
      </c>
      <c r="BA15" s="272">
        <v>86333</v>
      </c>
      <c r="BB15" s="272">
        <v>15988</v>
      </c>
      <c r="BC15" s="272">
        <v>200917</v>
      </c>
      <c r="BD15" s="272">
        <v>0</v>
      </c>
      <c r="BE15" s="272">
        <v>0</v>
      </c>
      <c r="BF15" s="272">
        <v>51100</v>
      </c>
      <c r="BG15" s="272">
        <v>0</v>
      </c>
      <c r="BH15" s="272">
        <v>988252</v>
      </c>
      <c r="BI15" s="272">
        <v>763209</v>
      </c>
      <c r="BJ15" s="272">
        <v>2031307</v>
      </c>
      <c r="BK15" s="272">
        <v>354377</v>
      </c>
      <c r="BL15" s="272">
        <v>8138</v>
      </c>
      <c r="BM15" s="272">
        <v>69339</v>
      </c>
      <c r="BN15" s="272">
        <v>4839300</v>
      </c>
      <c r="BO15" s="455">
        <f t="shared" si="5"/>
        <v>2102000</v>
      </c>
      <c r="BP15" s="455">
        <f t="shared" si="6"/>
        <v>2737300</v>
      </c>
      <c r="BQ15" s="272">
        <v>433400</v>
      </c>
      <c r="BR15" s="272"/>
      <c r="BS15" s="272">
        <v>2303900</v>
      </c>
      <c r="BT15" s="272">
        <v>0</v>
      </c>
      <c r="BU15" s="272">
        <v>72879816</v>
      </c>
      <c r="BV15" s="272"/>
      <c r="BW15" s="272">
        <v>16764216</v>
      </c>
      <c r="BX15" s="272">
        <v>11731556</v>
      </c>
      <c r="BY15" s="272">
        <v>1886824</v>
      </c>
      <c r="BZ15" s="272">
        <v>610677</v>
      </c>
      <c r="CA15" s="272">
        <v>13577573</v>
      </c>
      <c r="CB15" s="272">
        <v>2230231</v>
      </c>
      <c r="CC15" s="272">
        <v>698413</v>
      </c>
      <c r="CD15" s="272">
        <v>5728005</v>
      </c>
      <c r="CE15" s="272">
        <v>4648115</v>
      </c>
      <c r="CF15" s="272">
        <v>0</v>
      </c>
      <c r="CG15" s="272">
        <v>271959</v>
      </c>
      <c r="CH15" s="272">
        <v>5876726</v>
      </c>
      <c r="CI15" s="272">
        <v>4744060</v>
      </c>
      <c r="CJ15" s="455">
        <f t="shared" si="7"/>
        <v>1132666</v>
      </c>
      <c r="CK15" s="272">
        <v>12253839</v>
      </c>
      <c r="CL15" s="272">
        <v>5865132</v>
      </c>
      <c r="CM15" s="272">
        <v>1134834</v>
      </c>
      <c r="CN15" s="272">
        <v>2982465</v>
      </c>
      <c r="CO15" s="272">
        <v>938801</v>
      </c>
      <c r="CP15" s="272">
        <v>2917792</v>
      </c>
      <c r="CQ15" s="272">
        <v>4243</v>
      </c>
      <c r="CR15" s="272">
        <v>1707077</v>
      </c>
      <c r="CS15" s="272">
        <v>1202074</v>
      </c>
      <c r="CT15" s="455">
        <f t="shared" si="8"/>
        <v>176349</v>
      </c>
      <c r="CU15" s="272">
        <v>9224</v>
      </c>
      <c r="CV15" s="272">
        <v>167125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9431212</v>
      </c>
      <c r="DD15" s="272">
        <v>1694887</v>
      </c>
      <c r="DE15" s="272">
        <v>7716411</v>
      </c>
      <c r="DF15" s="26">
        <v>11377</v>
      </c>
      <c r="DG15" s="27">
        <v>8537</v>
      </c>
      <c r="DH15" s="272">
        <v>21480</v>
      </c>
      <c r="DI15" s="272">
        <v>314904</v>
      </c>
      <c r="DJ15" s="272">
        <v>4100</v>
      </c>
      <c r="DK15" s="272">
        <v>0</v>
      </c>
      <c r="DL15" s="272">
        <v>310804</v>
      </c>
      <c r="DM15" s="272">
        <v>6148</v>
      </c>
      <c r="DN15" s="272">
        <v>6148</v>
      </c>
      <c r="DO15" s="272">
        <v>6148</v>
      </c>
      <c r="DP15" s="272">
        <v>0</v>
      </c>
      <c r="DQ15" s="272">
        <v>354000</v>
      </c>
      <c r="DR15" s="272">
        <v>0</v>
      </c>
      <c r="DS15" s="272">
        <v>0</v>
      </c>
      <c r="DT15" s="272">
        <v>9404756</v>
      </c>
      <c r="DU15" s="272">
        <v>4380000</v>
      </c>
      <c r="DV15" s="455">
        <f t="shared" si="11"/>
        <v>0</v>
      </c>
      <c r="DW15" s="272">
        <v>0</v>
      </c>
      <c r="DX15" s="272"/>
      <c r="DY15" s="272">
        <v>0</v>
      </c>
      <c r="DZ15" s="272">
        <v>2324302</v>
      </c>
      <c r="EA15" s="272">
        <v>1361726</v>
      </c>
      <c r="EB15" s="272">
        <v>1321839</v>
      </c>
      <c r="EC15" s="272">
        <v>0</v>
      </c>
      <c r="ED15" s="272">
        <v>71861447</v>
      </c>
      <c r="EE15" s="89"/>
      <c r="EF15" s="272">
        <v>1018369</v>
      </c>
      <c r="EG15" s="272">
        <v>16721</v>
      </c>
      <c r="EH15" s="272">
        <v>1001648</v>
      </c>
      <c r="EI15" s="272">
        <v>238439</v>
      </c>
      <c r="EJ15" s="272">
        <v>242600</v>
      </c>
      <c r="EK15" s="89"/>
      <c r="EL15" s="272"/>
      <c r="EM15" s="272">
        <v>266548</v>
      </c>
      <c r="EN15" s="272">
        <v>143973</v>
      </c>
      <c r="EO15" s="272">
        <v>96011</v>
      </c>
      <c r="EP15" s="455">
        <f t="shared" si="12"/>
        <v>2181099</v>
      </c>
      <c r="EQ15" s="272">
        <v>50721604</v>
      </c>
      <c r="ER15" s="272">
        <v>-5096242</v>
      </c>
      <c r="ES15" s="272">
        <v>15268217</v>
      </c>
      <c r="ET15" s="272">
        <v>10338172</v>
      </c>
      <c r="EU15" s="272">
        <v>5231260</v>
      </c>
      <c r="EV15" s="272">
        <v>5873902</v>
      </c>
      <c r="EW15" s="455">
        <f t="shared" si="13"/>
        <v>6120817</v>
      </c>
      <c r="EX15" s="272">
        <v>6105417</v>
      </c>
      <c r="EY15" s="272">
        <v>607579</v>
      </c>
      <c r="EZ15" s="272">
        <v>5486062</v>
      </c>
      <c r="FA15" s="272">
        <v>15400</v>
      </c>
      <c r="FB15" s="272"/>
      <c r="FC15" s="272">
        <v>9975141</v>
      </c>
      <c r="FD15" s="272">
        <v>2507519</v>
      </c>
      <c r="FE15" s="272">
        <v>4243</v>
      </c>
      <c r="FF15" s="272">
        <v>8576856</v>
      </c>
      <c r="FG15" s="455">
        <f t="shared" si="14"/>
        <v>1245765</v>
      </c>
      <c r="FH15" s="272">
        <v>54799477</v>
      </c>
      <c r="FI15" s="384">
        <f t="shared" si="15"/>
        <v>2.2000000000000002</v>
      </c>
      <c r="FJ15" s="272">
        <v>46230405</v>
      </c>
      <c r="FK15" s="272">
        <v>2303932</v>
      </c>
      <c r="FL15" s="272">
        <v>35272721</v>
      </c>
      <c r="FM15" s="272">
        <v>35233990</v>
      </c>
      <c r="FN15" s="460">
        <v>0.98399999999999999</v>
      </c>
      <c r="FO15" s="388">
        <v>88.2</v>
      </c>
      <c r="FP15" s="388">
        <v>29.5</v>
      </c>
      <c r="FQ15" s="388">
        <v>10.5</v>
      </c>
      <c r="FR15" s="388">
        <v>11.8</v>
      </c>
      <c r="FS15" s="388">
        <v>19</v>
      </c>
      <c r="FT15" s="388">
        <v>3.9</v>
      </c>
      <c r="FU15" s="388">
        <v>11.7</v>
      </c>
      <c r="FV15" s="388">
        <v>8.1999999999999993</v>
      </c>
      <c r="FW15" s="272">
        <v>54816057</v>
      </c>
      <c r="FX15" s="388">
        <f t="shared" si="16"/>
        <v>118.6</v>
      </c>
      <c r="FY15" s="272">
        <v>9638147</v>
      </c>
      <c r="FZ15" s="272">
        <v>3986963</v>
      </c>
      <c r="GA15" s="272">
        <v>0</v>
      </c>
      <c r="GB15" s="272">
        <v>5651184</v>
      </c>
      <c r="GC15" s="272"/>
      <c r="GD15" s="272">
        <v>8123371</v>
      </c>
      <c r="GE15" s="384">
        <f t="shared" si="17"/>
        <v>17.600000000000001</v>
      </c>
      <c r="GF15" s="388">
        <v>98.8</v>
      </c>
      <c r="GG15" s="388">
        <v>19.100000000000001</v>
      </c>
      <c r="GH15" s="388">
        <v>95.1</v>
      </c>
      <c r="GI15" s="272">
        <v>1672</v>
      </c>
      <c r="GJ15" s="394"/>
      <c r="GK15" s="394"/>
      <c r="GL15" s="394"/>
      <c r="GM15" s="394"/>
      <c r="GN15" s="394"/>
      <c r="GO15" s="394"/>
      <c r="GP15" s="394"/>
      <c r="GQ15" s="394"/>
      <c r="GR15" s="394"/>
      <c r="GS15" s="394"/>
      <c r="GT15" s="394"/>
      <c r="GU15" s="394"/>
      <c r="GV15" s="394"/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</row>
    <row r="16" spans="2:230" x14ac:dyDescent="0.15">
      <c r="B16" s="89" t="s">
        <v>25</v>
      </c>
      <c r="C16" s="272">
        <v>38690601</v>
      </c>
      <c r="D16" s="455">
        <f t="shared" si="0"/>
        <v>12786454</v>
      </c>
      <c r="E16" s="272">
        <v>344351</v>
      </c>
      <c r="F16" s="272">
        <v>12442103</v>
      </c>
      <c r="G16" s="455">
        <f t="shared" si="1"/>
        <v>4017289</v>
      </c>
      <c r="H16" s="272">
        <v>671200</v>
      </c>
      <c r="I16" s="272">
        <v>3346089</v>
      </c>
      <c r="J16" s="272">
        <v>16334696</v>
      </c>
      <c r="K16" s="272">
        <v>7942983</v>
      </c>
      <c r="L16" s="272">
        <v>5936528</v>
      </c>
      <c r="M16" s="272">
        <v>2168265</v>
      </c>
      <c r="N16" s="272">
        <v>1918121</v>
      </c>
      <c r="O16" s="272">
        <v>3397996</v>
      </c>
      <c r="P16" s="272">
        <v>2103334</v>
      </c>
      <c r="Q16" s="272">
        <v>1294662</v>
      </c>
      <c r="R16" s="272">
        <v>2274355</v>
      </c>
      <c r="S16" s="272">
        <v>1699583</v>
      </c>
      <c r="T16" s="455">
        <f t="shared" si="2"/>
        <v>3887119</v>
      </c>
      <c r="U16" s="272">
        <v>206794</v>
      </c>
      <c r="V16" s="272">
        <v>214396</v>
      </c>
      <c r="W16" s="272">
        <v>168704</v>
      </c>
      <c r="X16" s="272">
        <v>2718979</v>
      </c>
      <c r="Y16" s="272">
        <v>0</v>
      </c>
      <c r="Z16" s="272">
        <v>0</v>
      </c>
      <c r="AA16" s="272">
        <v>578246</v>
      </c>
      <c r="AB16" s="272">
        <v>1084791</v>
      </c>
      <c r="AC16" s="272">
        <v>8326828</v>
      </c>
      <c r="AD16" s="272">
        <v>7735743</v>
      </c>
      <c r="AE16" s="272">
        <v>591085</v>
      </c>
      <c r="AF16" s="272">
        <v>56636</v>
      </c>
      <c r="AG16" s="272">
        <v>1722489</v>
      </c>
      <c r="AH16" s="455">
        <f t="shared" si="3"/>
        <v>2022875</v>
      </c>
      <c r="AI16" s="272">
        <v>1302736</v>
      </c>
      <c r="AJ16" s="272">
        <v>720139</v>
      </c>
      <c r="AK16" s="272">
        <v>11957672</v>
      </c>
      <c r="AL16" s="455">
        <f t="shared" si="4"/>
        <v>8218571</v>
      </c>
      <c r="AM16" s="272">
        <v>7615427</v>
      </c>
      <c r="AN16" s="272">
        <v>603144</v>
      </c>
      <c r="AO16" s="272">
        <v>0</v>
      </c>
      <c r="AP16" s="272">
        <v>0</v>
      </c>
      <c r="AQ16" s="272">
        <v>1051901</v>
      </c>
      <c r="AR16" s="272">
        <v>0</v>
      </c>
      <c r="AS16" s="272">
        <v>47777</v>
      </c>
      <c r="AT16" s="272">
        <v>4050736</v>
      </c>
      <c r="AU16" s="272">
        <v>1678118</v>
      </c>
      <c r="AV16" s="272">
        <v>301572</v>
      </c>
      <c r="AW16" s="272">
        <v>8466</v>
      </c>
      <c r="AX16" s="272">
        <v>2372618</v>
      </c>
      <c r="AY16" s="272">
        <v>86318</v>
      </c>
      <c r="AZ16" s="272">
        <v>8717543</v>
      </c>
      <c r="BA16" s="272">
        <v>8633371</v>
      </c>
      <c r="BB16" s="272">
        <v>10620</v>
      </c>
      <c r="BC16" s="272">
        <v>2042478</v>
      </c>
      <c r="BD16" s="272">
        <v>0</v>
      </c>
      <c r="BE16" s="272">
        <v>0</v>
      </c>
      <c r="BF16" s="272">
        <v>2042264</v>
      </c>
      <c r="BG16" s="272">
        <v>0</v>
      </c>
      <c r="BH16" s="272">
        <v>120337</v>
      </c>
      <c r="BI16" s="272">
        <v>56817</v>
      </c>
      <c r="BJ16" s="272">
        <v>6978576</v>
      </c>
      <c r="BK16" s="272">
        <v>6331511</v>
      </c>
      <c r="BL16" s="272">
        <v>0</v>
      </c>
      <c r="BM16" s="272">
        <v>75081</v>
      </c>
      <c r="BN16" s="272">
        <v>4030000</v>
      </c>
      <c r="BO16" s="455">
        <f t="shared" si="5"/>
        <v>1237900</v>
      </c>
      <c r="BP16" s="455">
        <f t="shared" si="6"/>
        <v>2792100</v>
      </c>
      <c r="BQ16" s="272">
        <v>394300</v>
      </c>
      <c r="BR16" s="272"/>
      <c r="BS16" s="272">
        <v>2397800</v>
      </c>
      <c r="BT16" s="272">
        <v>0</v>
      </c>
      <c r="BU16" s="272">
        <v>96021433</v>
      </c>
      <c r="BV16" s="272"/>
      <c r="BW16" s="272">
        <v>19299209</v>
      </c>
      <c r="BX16" s="272">
        <v>12693704</v>
      </c>
      <c r="BY16" s="272">
        <v>2196437</v>
      </c>
      <c r="BZ16" s="272">
        <v>1599273</v>
      </c>
      <c r="CA16" s="272">
        <v>20692590</v>
      </c>
      <c r="CB16" s="272">
        <v>2248796</v>
      </c>
      <c r="CC16" s="272">
        <v>543730</v>
      </c>
      <c r="CD16" s="272">
        <v>6219368</v>
      </c>
      <c r="CE16" s="272">
        <v>10098644</v>
      </c>
      <c r="CF16" s="272">
        <v>1170094</v>
      </c>
      <c r="CG16" s="272">
        <v>411748</v>
      </c>
      <c r="CH16" s="272">
        <v>14174949</v>
      </c>
      <c r="CI16" s="272">
        <v>12553792</v>
      </c>
      <c r="CJ16" s="455">
        <f t="shared" si="7"/>
        <v>1621157</v>
      </c>
      <c r="CK16" s="272">
        <v>9734479</v>
      </c>
      <c r="CL16" s="272">
        <v>6297583</v>
      </c>
      <c r="CM16" s="272">
        <v>268430</v>
      </c>
      <c r="CN16" s="272">
        <v>1923857</v>
      </c>
      <c r="CO16" s="272">
        <v>375791</v>
      </c>
      <c r="CP16" s="272">
        <v>4031224</v>
      </c>
      <c r="CQ16" s="272">
        <v>40698</v>
      </c>
      <c r="CR16" s="272">
        <v>1630192</v>
      </c>
      <c r="CS16" s="272">
        <v>861337</v>
      </c>
      <c r="CT16" s="455">
        <f t="shared" si="8"/>
        <v>1695973</v>
      </c>
      <c r="CU16" s="272">
        <v>1695973</v>
      </c>
      <c r="CV16" s="272">
        <v>0</v>
      </c>
      <c r="CW16" s="455">
        <f t="shared" si="9"/>
        <v>1633734</v>
      </c>
      <c r="CX16" s="272">
        <v>1633734</v>
      </c>
      <c r="CY16" s="272">
        <v>0</v>
      </c>
      <c r="CZ16" s="455">
        <f t="shared" si="10"/>
        <v>0</v>
      </c>
      <c r="DA16" s="272">
        <v>0</v>
      </c>
      <c r="DB16" s="272">
        <v>0</v>
      </c>
      <c r="DC16" s="272">
        <v>11755156</v>
      </c>
      <c r="DD16" s="272">
        <v>1935226</v>
      </c>
      <c r="DE16" s="272">
        <v>9700446</v>
      </c>
      <c r="DF16" s="26">
        <v>50105</v>
      </c>
      <c r="DG16" s="27">
        <v>69379</v>
      </c>
      <c r="DH16" s="272">
        <v>0</v>
      </c>
      <c r="DI16" s="272">
        <v>2998888</v>
      </c>
      <c r="DJ16" s="272">
        <v>42814</v>
      </c>
      <c r="DK16" s="272">
        <v>0</v>
      </c>
      <c r="DL16" s="272">
        <v>2956074</v>
      </c>
      <c r="DM16" s="272">
        <v>32200</v>
      </c>
      <c r="DN16" s="272">
        <v>20700</v>
      </c>
      <c r="DO16" s="272">
        <v>20700</v>
      </c>
      <c r="DP16" s="272">
        <v>0</v>
      </c>
      <c r="DQ16" s="272">
        <v>425600</v>
      </c>
      <c r="DR16" s="272">
        <v>0</v>
      </c>
      <c r="DS16" s="272">
        <v>0</v>
      </c>
      <c r="DT16" s="272">
        <v>12327562</v>
      </c>
      <c r="DU16" s="272">
        <v>5778391</v>
      </c>
      <c r="DV16" s="455">
        <f t="shared" si="11"/>
        <v>0</v>
      </c>
      <c r="DW16" s="272">
        <v>0</v>
      </c>
      <c r="DX16" s="272"/>
      <c r="DY16" s="272">
        <v>0</v>
      </c>
      <c r="DZ16" s="272">
        <v>2973317</v>
      </c>
      <c r="EA16" s="272">
        <v>1469791</v>
      </c>
      <c r="EB16" s="272">
        <v>2073860</v>
      </c>
      <c r="EC16" s="272">
        <v>0</v>
      </c>
      <c r="ED16" s="272">
        <v>95847648</v>
      </c>
      <c r="EE16" s="89"/>
      <c r="EF16" s="272">
        <v>173785</v>
      </c>
      <c r="EG16" s="272">
        <v>129336</v>
      </c>
      <c r="EH16" s="272">
        <v>44449</v>
      </c>
      <c r="EI16" s="272">
        <v>-12368</v>
      </c>
      <c r="EJ16" s="272">
        <v>30446</v>
      </c>
      <c r="EK16" s="89"/>
      <c r="EL16" s="272"/>
      <c r="EM16" s="272">
        <v>266647</v>
      </c>
      <c r="EN16" s="272">
        <v>1755838</v>
      </c>
      <c r="EO16" s="272">
        <v>85266</v>
      </c>
      <c r="EP16" s="455">
        <f t="shared" si="12"/>
        <v>916260</v>
      </c>
      <c r="EQ16" s="272">
        <v>54368107</v>
      </c>
      <c r="ER16" s="272">
        <v>-5445051</v>
      </c>
      <c r="ES16" s="272">
        <v>18039127</v>
      </c>
      <c r="ET16" s="272">
        <v>11786668</v>
      </c>
      <c r="EU16" s="272">
        <v>6613473</v>
      </c>
      <c r="EV16" s="272">
        <v>8638345</v>
      </c>
      <c r="EW16" s="455">
        <f t="shared" si="13"/>
        <v>3127528</v>
      </c>
      <c r="EX16" s="272">
        <v>3127528</v>
      </c>
      <c r="EY16" s="272">
        <v>91124</v>
      </c>
      <c r="EZ16" s="272">
        <v>3025424</v>
      </c>
      <c r="FA16" s="272">
        <v>0</v>
      </c>
      <c r="FB16" s="272"/>
      <c r="FC16" s="272">
        <v>8078216</v>
      </c>
      <c r="FD16" s="272">
        <v>3480087</v>
      </c>
      <c r="FE16" s="272">
        <v>40698</v>
      </c>
      <c r="FF16" s="272">
        <v>11276294</v>
      </c>
      <c r="FG16" s="455">
        <f t="shared" si="14"/>
        <v>386303</v>
      </c>
      <c r="FH16" s="272">
        <v>59639373</v>
      </c>
      <c r="FI16" s="384">
        <f t="shared" si="15"/>
        <v>0.1</v>
      </c>
      <c r="FJ16" s="272">
        <v>49404123</v>
      </c>
      <c r="FK16" s="272">
        <v>2397827</v>
      </c>
      <c r="FL16" s="272">
        <v>31854122</v>
      </c>
      <c r="FM16" s="272">
        <v>39589865</v>
      </c>
      <c r="FN16" s="460">
        <v>0.8</v>
      </c>
      <c r="FO16" s="388">
        <v>98.2</v>
      </c>
      <c r="FP16" s="388">
        <v>31.8</v>
      </c>
      <c r="FQ16" s="388">
        <v>12.3</v>
      </c>
      <c r="FR16" s="388">
        <v>16.100000000000001</v>
      </c>
      <c r="FS16" s="388">
        <v>13.9</v>
      </c>
      <c r="FT16" s="388">
        <v>5.5</v>
      </c>
      <c r="FU16" s="388">
        <v>18</v>
      </c>
      <c r="FV16" s="388">
        <v>15.1</v>
      </c>
      <c r="FW16" s="272">
        <v>80485380</v>
      </c>
      <c r="FX16" s="388">
        <f t="shared" si="16"/>
        <v>162.9</v>
      </c>
      <c r="FY16" s="272">
        <v>13405413</v>
      </c>
      <c r="FZ16" s="272">
        <v>4876080</v>
      </c>
      <c r="GA16" s="272">
        <v>0</v>
      </c>
      <c r="GB16" s="272">
        <v>8529333</v>
      </c>
      <c r="GC16" s="272"/>
      <c r="GD16" s="272">
        <v>6737982</v>
      </c>
      <c r="GE16" s="384">
        <f t="shared" si="17"/>
        <v>13.6</v>
      </c>
      <c r="GF16" s="388">
        <v>98.7</v>
      </c>
      <c r="GG16" s="388">
        <v>30.5</v>
      </c>
      <c r="GH16" s="388">
        <v>95.4</v>
      </c>
      <c r="GI16" s="272">
        <v>1748</v>
      </c>
      <c r="GJ16" s="394"/>
      <c r="GK16" s="394"/>
      <c r="GL16" s="394"/>
      <c r="GM16" s="394"/>
      <c r="GN16" s="394"/>
      <c r="GO16" s="394"/>
      <c r="GP16" s="394"/>
      <c r="GQ16" s="394"/>
      <c r="GR16" s="394"/>
      <c r="GS16" s="394"/>
      <c r="GT16" s="394"/>
      <c r="GU16" s="394"/>
      <c r="GV16" s="394"/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</row>
    <row r="17" spans="2:230" x14ac:dyDescent="0.15">
      <c r="B17" s="89" t="s">
        <v>27</v>
      </c>
      <c r="C17" s="272">
        <v>18513176</v>
      </c>
      <c r="D17" s="455">
        <f t="shared" si="0"/>
        <v>3544520</v>
      </c>
      <c r="E17" s="272">
        <v>124646</v>
      </c>
      <c r="F17" s="272">
        <v>3419874</v>
      </c>
      <c r="G17" s="455">
        <f t="shared" si="1"/>
        <v>1461548</v>
      </c>
      <c r="H17" s="272">
        <v>421710</v>
      </c>
      <c r="I17" s="272">
        <v>1039838</v>
      </c>
      <c r="J17" s="272">
        <v>11061061</v>
      </c>
      <c r="K17" s="272">
        <v>3363767</v>
      </c>
      <c r="L17" s="272">
        <v>3756634</v>
      </c>
      <c r="M17" s="272">
        <v>3609845</v>
      </c>
      <c r="N17" s="272">
        <v>779594</v>
      </c>
      <c r="O17" s="272">
        <v>1518766</v>
      </c>
      <c r="P17" s="272">
        <v>729259</v>
      </c>
      <c r="Q17" s="272">
        <v>789507</v>
      </c>
      <c r="R17" s="272">
        <v>954323</v>
      </c>
      <c r="S17" s="272">
        <v>686594</v>
      </c>
      <c r="T17" s="455">
        <f t="shared" si="2"/>
        <v>1514815</v>
      </c>
      <c r="U17" s="272">
        <v>60707</v>
      </c>
      <c r="V17" s="272">
        <v>62978</v>
      </c>
      <c r="W17" s="272">
        <v>49761</v>
      </c>
      <c r="X17" s="272">
        <v>1041538</v>
      </c>
      <c r="Y17" s="272">
        <v>66357</v>
      </c>
      <c r="Z17" s="272">
        <v>0</v>
      </c>
      <c r="AA17" s="272">
        <v>233474</v>
      </c>
      <c r="AB17" s="272">
        <v>308785</v>
      </c>
      <c r="AC17" s="272">
        <v>1261308</v>
      </c>
      <c r="AD17" s="272">
        <v>649089</v>
      </c>
      <c r="AE17" s="272">
        <v>612219</v>
      </c>
      <c r="AF17" s="272">
        <v>24191</v>
      </c>
      <c r="AG17" s="272">
        <v>720807</v>
      </c>
      <c r="AH17" s="455">
        <f t="shared" si="3"/>
        <v>1085274</v>
      </c>
      <c r="AI17" s="272">
        <v>788890</v>
      </c>
      <c r="AJ17" s="272">
        <v>296384</v>
      </c>
      <c r="AK17" s="272">
        <v>4048527</v>
      </c>
      <c r="AL17" s="455">
        <f t="shared" si="4"/>
        <v>2489610</v>
      </c>
      <c r="AM17" s="272">
        <v>2144421</v>
      </c>
      <c r="AN17" s="272">
        <v>345189</v>
      </c>
      <c r="AO17" s="272">
        <v>0</v>
      </c>
      <c r="AP17" s="272">
        <v>0</v>
      </c>
      <c r="AQ17" s="272">
        <v>540689</v>
      </c>
      <c r="AR17" s="272">
        <v>0</v>
      </c>
      <c r="AS17" s="272">
        <v>0</v>
      </c>
      <c r="AT17" s="272">
        <v>1804430</v>
      </c>
      <c r="AU17" s="272">
        <v>790000</v>
      </c>
      <c r="AV17" s="272">
        <v>172267</v>
      </c>
      <c r="AW17" s="272">
        <v>4016</v>
      </c>
      <c r="AX17" s="272">
        <v>1014430</v>
      </c>
      <c r="AY17" s="272">
        <v>8712</v>
      </c>
      <c r="AZ17" s="272">
        <v>1644768</v>
      </c>
      <c r="BA17" s="272">
        <v>1642860</v>
      </c>
      <c r="BB17" s="272">
        <v>49314</v>
      </c>
      <c r="BC17" s="272">
        <v>261569</v>
      </c>
      <c r="BD17" s="272">
        <v>0</v>
      </c>
      <c r="BE17" s="272">
        <v>0</v>
      </c>
      <c r="BF17" s="272">
        <v>261569</v>
      </c>
      <c r="BG17" s="272">
        <v>0</v>
      </c>
      <c r="BH17" s="272">
        <v>0</v>
      </c>
      <c r="BI17" s="272">
        <v>0</v>
      </c>
      <c r="BJ17" s="272">
        <v>1026941</v>
      </c>
      <c r="BK17" s="272">
        <v>53002</v>
      </c>
      <c r="BL17" s="272">
        <v>0</v>
      </c>
      <c r="BM17" s="272">
        <v>63039</v>
      </c>
      <c r="BN17" s="272">
        <v>2957500</v>
      </c>
      <c r="BO17" s="455">
        <f t="shared" si="5"/>
        <v>1535800</v>
      </c>
      <c r="BP17" s="455">
        <f t="shared" si="6"/>
        <v>1073700</v>
      </c>
      <c r="BQ17" s="272">
        <v>113600</v>
      </c>
      <c r="BR17" s="272"/>
      <c r="BS17" s="272">
        <v>960100</v>
      </c>
      <c r="BT17" s="272">
        <v>348000</v>
      </c>
      <c r="BU17" s="272">
        <v>36175728</v>
      </c>
      <c r="BV17" s="272"/>
      <c r="BW17" s="272">
        <v>7934255</v>
      </c>
      <c r="BX17" s="272">
        <v>5376651</v>
      </c>
      <c r="BY17" s="272">
        <v>797231</v>
      </c>
      <c r="BZ17" s="272">
        <v>511777</v>
      </c>
      <c r="CA17" s="272">
        <v>6425341</v>
      </c>
      <c r="CB17" s="272">
        <v>748441</v>
      </c>
      <c r="CC17" s="272">
        <v>223612</v>
      </c>
      <c r="CD17" s="272">
        <v>2664850</v>
      </c>
      <c r="CE17" s="272">
        <v>2686313</v>
      </c>
      <c r="CF17" s="272">
        <v>2940</v>
      </c>
      <c r="CG17" s="272">
        <v>99185</v>
      </c>
      <c r="CH17" s="272">
        <v>6066835</v>
      </c>
      <c r="CI17" s="272">
        <v>4334263</v>
      </c>
      <c r="CJ17" s="455">
        <f t="shared" si="7"/>
        <v>1732572</v>
      </c>
      <c r="CK17" s="272">
        <v>3214396</v>
      </c>
      <c r="CL17" s="272">
        <v>2129543</v>
      </c>
      <c r="CM17" s="272">
        <v>103831</v>
      </c>
      <c r="CN17" s="272">
        <v>595381</v>
      </c>
      <c r="CO17" s="272">
        <v>245314</v>
      </c>
      <c r="CP17" s="272">
        <v>3053931</v>
      </c>
      <c r="CQ17" s="272">
        <v>1081643</v>
      </c>
      <c r="CR17" s="272">
        <v>726710</v>
      </c>
      <c r="CS17" s="272">
        <v>544271</v>
      </c>
      <c r="CT17" s="455">
        <f t="shared" si="8"/>
        <v>839519</v>
      </c>
      <c r="CU17" s="272">
        <v>712769</v>
      </c>
      <c r="CV17" s="272">
        <v>126750</v>
      </c>
      <c r="CW17" s="455">
        <f t="shared" si="9"/>
        <v>833000</v>
      </c>
      <c r="CX17" s="272">
        <v>706250</v>
      </c>
      <c r="CY17" s="272">
        <v>126750</v>
      </c>
      <c r="CZ17" s="455">
        <f t="shared" si="10"/>
        <v>0</v>
      </c>
      <c r="DA17" s="272">
        <v>0</v>
      </c>
      <c r="DB17" s="272">
        <v>0</v>
      </c>
      <c r="DC17" s="272">
        <v>1455088</v>
      </c>
      <c r="DD17" s="272">
        <v>319364</v>
      </c>
      <c r="DE17" s="272">
        <v>1063888</v>
      </c>
      <c r="DF17" s="26">
        <v>55882</v>
      </c>
      <c r="DG17" s="27">
        <v>15954</v>
      </c>
      <c r="DH17" s="272">
        <v>0</v>
      </c>
      <c r="DI17" s="272">
        <v>2351464</v>
      </c>
      <c r="DJ17" s="272">
        <v>0</v>
      </c>
      <c r="DK17" s="272">
        <v>28</v>
      </c>
      <c r="DL17" s="272">
        <v>2351436</v>
      </c>
      <c r="DM17" s="272">
        <v>0</v>
      </c>
      <c r="DN17" s="272">
        <v>0</v>
      </c>
      <c r="DO17" s="272">
        <v>0</v>
      </c>
      <c r="DP17" s="272">
        <v>0</v>
      </c>
      <c r="DQ17" s="272">
        <v>51000</v>
      </c>
      <c r="DR17" s="272">
        <v>0</v>
      </c>
      <c r="DS17" s="272">
        <v>0</v>
      </c>
      <c r="DT17" s="272">
        <v>3669548</v>
      </c>
      <c r="DU17" s="272">
        <v>1439003</v>
      </c>
      <c r="DV17" s="455">
        <f t="shared" si="11"/>
        <v>0</v>
      </c>
      <c r="DW17" s="272">
        <v>0</v>
      </c>
      <c r="DX17" s="272"/>
      <c r="DY17" s="272">
        <v>0</v>
      </c>
      <c r="DZ17" s="272">
        <v>776969</v>
      </c>
      <c r="EA17" s="272">
        <v>657592</v>
      </c>
      <c r="EB17" s="272">
        <v>779092</v>
      </c>
      <c r="EC17" s="272">
        <v>1624944</v>
      </c>
      <c r="ED17" s="272">
        <v>36092116</v>
      </c>
      <c r="EE17" s="89"/>
      <c r="EF17" s="272">
        <v>83612</v>
      </c>
      <c r="EG17" s="272">
        <v>35072</v>
      </c>
      <c r="EH17" s="272">
        <v>48540</v>
      </c>
      <c r="EI17" s="272">
        <v>1687148</v>
      </c>
      <c r="EJ17" s="272">
        <v>1926579</v>
      </c>
      <c r="EK17" s="89"/>
      <c r="EL17" s="272"/>
      <c r="EM17" s="272">
        <v>101427</v>
      </c>
      <c r="EN17" s="272">
        <v>0</v>
      </c>
      <c r="EO17" s="272">
        <v>1634339</v>
      </c>
      <c r="EP17" s="455">
        <f t="shared" si="12"/>
        <v>1211957</v>
      </c>
      <c r="EQ17" s="272">
        <v>22576598</v>
      </c>
      <c r="ER17" s="272">
        <v>-3895805</v>
      </c>
      <c r="ES17" s="272">
        <v>6759047</v>
      </c>
      <c r="ET17" s="272">
        <v>4587573</v>
      </c>
      <c r="EU17" s="272">
        <v>1921343</v>
      </c>
      <c r="EV17" s="272">
        <v>5889824</v>
      </c>
      <c r="EW17" s="455">
        <f t="shared" si="13"/>
        <v>393255</v>
      </c>
      <c r="EX17" s="272">
        <v>393255</v>
      </c>
      <c r="EY17" s="272">
        <v>3524</v>
      </c>
      <c r="EZ17" s="272">
        <v>389504</v>
      </c>
      <c r="FA17" s="272">
        <v>0</v>
      </c>
      <c r="FB17" s="272"/>
      <c r="FC17" s="272">
        <v>2279458</v>
      </c>
      <c r="FD17" s="272">
        <v>2446682</v>
      </c>
      <c r="FE17" s="272">
        <v>731643</v>
      </c>
      <c r="FF17" s="272">
        <v>3190450</v>
      </c>
      <c r="FG17" s="455">
        <f t="shared" si="14"/>
        <v>3508732</v>
      </c>
      <c r="FH17" s="272">
        <v>26388791</v>
      </c>
      <c r="FI17" s="384">
        <f t="shared" si="15"/>
        <v>0.2</v>
      </c>
      <c r="FJ17" s="272">
        <v>20129129</v>
      </c>
      <c r="FK17" s="272">
        <v>960120</v>
      </c>
      <c r="FL17" s="272">
        <v>14860823</v>
      </c>
      <c r="FM17" s="272">
        <v>15472248</v>
      </c>
      <c r="FN17" s="460">
        <v>0.97099999999999997</v>
      </c>
      <c r="FO17" s="388">
        <v>99.4</v>
      </c>
      <c r="FP17" s="388">
        <v>29.8</v>
      </c>
      <c r="FQ17" s="388">
        <v>8.9</v>
      </c>
      <c r="FR17" s="388">
        <v>26.1</v>
      </c>
      <c r="FS17" s="388">
        <v>9.4</v>
      </c>
      <c r="FT17" s="388">
        <v>10.199999999999999</v>
      </c>
      <c r="FU17" s="388">
        <v>13.9</v>
      </c>
      <c r="FV17" s="388">
        <v>24.7</v>
      </c>
      <c r="FW17" s="272">
        <v>74576784</v>
      </c>
      <c r="FX17" s="388">
        <f t="shared" si="16"/>
        <v>370.5</v>
      </c>
      <c r="FY17" s="272">
        <v>5513608</v>
      </c>
      <c r="FZ17" s="272">
        <v>843</v>
      </c>
      <c r="GA17" s="272">
        <v>51397</v>
      </c>
      <c r="GB17" s="272">
        <v>5461368</v>
      </c>
      <c r="GC17" s="272">
        <v>600000</v>
      </c>
      <c r="GD17" s="272">
        <v>8752156</v>
      </c>
      <c r="GE17" s="384">
        <f t="shared" si="17"/>
        <v>43.5</v>
      </c>
      <c r="GF17" s="388">
        <v>98.7</v>
      </c>
      <c r="GG17" s="388">
        <v>22.7</v>
      </c>
      <c r="GH17" s="388">
        <v>92.7</v>
      </c>
      <c r="GI17" s="272">
        <v>804</v>
      </c>
      <c r="GJ17" s="394"/>
      <c r="GK17" s="394"/>
      <c r="GL17" s="394"/>
      <c r="GM17" s="394"/>
      <c r="GN17" s="394"/>
      <c r="GO17" s="394"/>
      <c r="GP17" s="394"/>
      <c r="GQ17" s="394"/>
      <c r="GR17" s="394"/>
      <c r="GS17" s="394"/>
      <c r="GT17" s="394"/>
      <c r="GU17" s="394"/>
      <c r="GV17" s="394"/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</row>
    <row r="18" spans="2:230" x14ac:dyDescent="0.15">
      <c r="B18" s="89" t="s">
        <v>29</v>
      </c>
      <c r="C18" s="272">
        <v>13691123</v>
      </c>
      <c r="D18" s="455">
        <f t="shared" si="0"/>
        <v>5958185</v>
      </c>
      <c r="E18" s="272">
        <v>148952</v>
      </c>
      <c r="F18" s="272">
        <v>5809233</v>
      </c>
      <c r="G18" s="455">
        <f t="shared" si="1"/>
        <v>667852</v>
      </c>
      <c r="H18" s="272">
        <v>185711</v>
      </c>
      <c r="I18" s="272">
        <v>482141</v>
      </c>
      <c r="J18" s="272">
        <v>5322868</v>
      </c>
      <c r="K18" s="272">
        <v>2229666</v>
      </c>
      <c r="L18" s="272">
        <v>2410623</v>
      </c>
      <c r="M18" s="272">
        <v>584662</v>
      </c>
      <c r="N18" s="272">
        <v>573921</v>
      </c>
      <c r="O18" s="272">
        <v>1033901</v>
      </c>
      <c r="P18" s="272">
        <v>579270</v>
      </c>
      <c r="Q18" s="272">
        <v>454631</v>
      </c>
      <c r="R18" s="272">
        <v>1024552</v>
      </c>
      <c r="S18" s="272">
        <v>733767</v>
      </c>
      <c r="T18" s="455">
        <f t="shared" si="2"/>
        <v>1682254</v>
      </c>
      <c r="U18" s="272">
        <v>97012</v>
      </c>
      <c r="V18" s="272">
        <v>100621</v>
      </c>
      <c r="W18" s="272">
        <v>79402</v>
      </c>
      <c r="X18" s="272">
        <v>1065621</v>
      </c>
      <c r="Y18" s="272">
        <v>46492</v>
      </c>
      <c r="Z18" s="272">
        <v>0</v>
      </c>
      <c r="AA18" s="272">
        <v>293106</v>
      </c>
      <c r="AB18" s="272">
        <v>434051</v>
      </c>
      <c r="AC18" s="272">
        <v>4945805</v>
      </c>
      <c r="AD18" s="272">
        <v>4769724</v>
      </c>
      <c r="AE18" s="272">
        <v>176081</v>
      </c>
      <c r="AF18" s="272">
        <v>26269</v>
      </c>
      <c r="AG18" s="272">
        <v>462305</v>
      </c>
      <c r="AH18" s="455">
        <f t="shared" si="3"/>
        <v>1045329</v>
      </c>
      <c r="AI18" s="272">
        <v>776697</v>
      </c>
      <c r="AJ18" s="272">
        <v>268632</v>
      </c>
      <c r="AK18" s="272">
        <v>4091391</v>
      </c>
      <c r="AL18" s="455">
        <f t="shared" si="4"/>
        <v>2662881</v>
      </c>
      <c r="AM18" s="272">
        <v>2429692</v>
      </c>
      <c r="AN18" s="272">
        <v>233189</v>
      </c>
      <c r="AO18" s="272">
        <v>0</v>
      </c>
      <c r="AP18" s="272">
        <v>0</v>
      </c>
      <c r="AQ18" s="272">
        <v>377392</v>
      </c>
      <c r="AR18" s="272">
        <v>0</v>
      </c>
      <c r="AS18" s="272">
        <v>0</v>
      </c>
      <c r="AT18" s="272">
        <v>1724994</v>
      </c>
      <c r="AU18" s="272">
        <v>680830</v>
      </c>
      <c r="AV18" s="272">
        <v>126885</v>
      </c>
      <c r="AW18" s="272">
        <v>17448</v>
      </c>
      <c r="AX18" s="272">
        <v>1044164</v>
      </c>
      <c r="AY18" s="272">
        <v>41096</v>
      </c>
      <c r="AZ18" s="272">
        <v>25561</v>
      </c>
      <c r="BA18" s="272">
        <v>2467</v>
      </c>
      <c r="BB18" s="272">
        <v>6265</v>
      </c>
      <c r="BC18" s="272">
        <v>754491</v>
      </c>
      <c r="BD18" s="272">
        <v>0</v>
      </c>
      <c r="BE18" s="272">
        <v>0</v>
      </c>
      <c r="BF18" s="272">
        <v>754491</v>
      </c>
      <c r="BG18" s="272">
        <v>0</v>
      </c>
      <c r="BH18" s="272">
        <v>595529</v>
      </c>
      <c r="BI18" s="272">
        <v>427803</v>
      </c>
      <c r="BJ18" s="272">
        <v>1506568</v>
      </c>
      <c r="BK18" s="272">
        <v>1182174</v>
      </c>
      <c r="BL18" s="272">
        <v>0</v>
      </c>
      <c r="BM18" s="272">
        <v>59773</v>
      </c>
      <c r="BN18" s="272">
        <v>1544400</v>
      </c>
      <c r="BO18" s="455">
        <f t="shared" si="5"/>
        <v>230300</v>
      </c>
      <c r="BP18" s="455">
        <f t="shared" si="6"/>
        <v>1314100</v>
      </c>
      <c r="BQ18" s="272">
        <v>152000</v>
      </c>
      <c r="BR18" s="272"/>
      <c r="BS18" s="272">
        <v>1162100</v>
      </c>
      <c r="BT18" s="272">
        <v>0</v>
      </c>
      <c r="BU18" s="272">
        <v>33560887</v>
      </c>
      <c r="BV18" s="272"/>
      <c r="BW18" s="272">
        <v>8002479</v>
      </c>
      <c r="BX18" s="272">
        <v>5698590</v>
      </c>
      <c r="BY18" s="272">
        <v>920091</v>
      </c>
      <c r="BZ18" s="272">
        <v>80071</v>
      </c>
      <c r="CA18" s="272">
        <v>7312854</v>
      </c>
      <c r="CB18" s="272">
        <v>1034315</v>
      </c>
      <c r="CC18" s="272">
        <v>245473</v>
      </c>
      <c r="CD18" s="272">
        <v>2726481</v>
      </c>
      <c r="CE18" s="272">
        <v>3154185</v>
      </c>
      <c r="CF18" s="272">
        <v>210</v>
      </c>
      <c r="CG18" s="272">
        <v>152190</v>
      </c>
      <c r="CH18" s="272">
        <v>2162422</v>
      </c>
      <c r="CI18" s="272">
        <v>1708073</v>
      </c>
      <c r="CJ18" s="455">
        <f t="shared" si="7"/>
        <v>454349</v>
      </c>
      <c r="CK18" s="272">
        <v>5006352</v>
      </c>
      <c r="CL18" s="272">
        <v>3105203</v>
      </c>
      <c r="CM18" s="272">
        <v>650085</v>
      </c>
      <c r="CN18" s="272">
        <v>556852</v>
      </c>
      <c r="CO18" s="272">
        <v>299967</v>
      </c>
      <c r="CP18" s="272">
        <v>2575895</v>
      </c>
      <c r="CQ18" s="272">
        <v>1059450</v>
      </c>
      <c r="CR18" s="272">
        <v>1052369</v>
      </c>
      <c r="CS18" s="272">
        <v>842968</v>
      </c>
      <c r="CT18" s="455">
        <f t="shared" si="8"/>
        <v>2288</v>
      </c>
      <c r="CU18" s="272">
        <v>1138</v>
      </c>
      <c r="CV18" s="272">
        <v>1150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2177361</v>
      </c>
      <c r="DD18" s="272">
        <v>688101</v>
      </c>
      <c r="DE18" s="272">
        <v>1489260</v>
      </c>
      <c r="DF18" s="26">
        <v>0</v>
      </c>
      <c r="DG18" s="27">
        <v>0</v>
      </c>
      <c r="DH18" s="272">
        <v>7640</v>
      </c>
      <c r="DI18" s="272">
        <v>285801</v>
      </c>
      <c r="DJ18" s="272">
        <v>2093</v>
      </c>
      <c r="DK18" s="272">
        <v>0</v>
      </c>
      <c r="DL18" s="272">
        <v>283708</v>
      </c>
      <c r="DM18" s="272">
        <v>0</v>
      </c>
      <c r="DN18" s="272">
        <v>0</v>
      </c>
      <c r="DO18" s="272">
        <v>0</v>
      </c>
      <c r="DP18" s="272">
        <v>0</v>
      </c>
      <c r="DQ18" s="272">
        <v>1168980</v>
      </c>
      <c r="DR18" s="272">
        <v>0</v>
      </c>
      <c r="DS18" s="272">
        <v>0</v>
      </c>
      <c r="DT18" s="272">
        <v>4085033</v>
      </c>
      <c r="DU18" s="272">
        <v>1506346</v>
      </c>
      <c r="DV18" s="455">
        <f t="shared" si="11"/>
        <v>0</v>
      </c>
      <c r="DW18" s="272">
        <v>0</v>
      </c>
      <c r="DX18" s="272"/>
      <c r="DY18" s="272">
        <v>0</v>
      </c>
      <c r="DZ18" s="272">
        <v>1025558</v>
      </c>
      <c r="EA18" s="272">
        <v>636524</v>
      </c>
      <c r="EB18" s="272">
        <v>915135</v>
      </c>
      <c r="EC18" s="272">
        <v>0</v>
      </c>
      <c r="ED18" s="272">
        <v>33084784</v>
      </c>
      <c r="EE18" s="89"/>
      <c r="EF18" s="272">
        <v>476103</v>
      </c>
      <c r="EG18" s="272">
        <v>40477</v>
      </c>
      <c r="EH18" s="272">
        <v>435626</v>
      </c>
      <c r="EI18" s="272">
        <v>7823</v>
      </c>
      <c r="EJ18" s="272">
        <v>9916</v>
      </c>
      <c r="EK18" s="89"/>
      <c r="EL18" s="272"/>
      <c r="EM18" s="272">
        <v>122400</v>
      </c>
      <c r="EN18" s="272">
        <v>345081</v>
      </c>
      <c r="EO18" s="272">
        <v>7917</v>
      </c>
      <c r="EP18" s="455">
        <f t="shared" si="12"/>
        <v>812975</v>
      </c>
      <c r="EQ18" s="272">
        <v>21804054</v>
      </c>
      <c r="ER18" s="272">
        <v>-2453804</v>
      </c>
      <c r="ES18" s="272">
        <v>7386838</v>
      </c>
      <c r="ET18" s="272">
        <v>5105211</v>
      </c>
      <c r="EU18" s="272">
        <v>2843036</v>
      </c>
      <c r="EV18" s="272">
        <v>2105030</v>
      </c>
      <c r="EW18" s="455">
        <f t="shared" si="13"/>
        <v>1006985</v>
      </c>
      <c r="EX18" s="272">
        <v>999345</v>
      </c>
      <c r="EY18" s="272">
        <v>152476</v>
      </c>
      <c r="EZ18" s="272">
        <v>846869</v>
      </c>
      <c r="FA18" s="272">
        <v>7640</v>
      </c>
      <c r="FB18" s="272"/>
      <c r="FC18" s="272">
        <v>4102994</v>
      </c>
      <c r="FD18" s="272">
        <v>2340112</v>
      </c>
      <c r="FE18" s="272">
        <v>1059450</v>
      </c>
      <c r="FF18" s="272">
        <v>3644610</v>
      </c>
      <c r="FG18" s="455">
        <f t="shared" si="14"/>
        <v>352150</v>
      </c>
      <c r="FH18" s="272">
        <v>23781755</v>
      </c>
      <c r="FI18" s="384">
        <f t="shared" si="15"/>
        <v>2.1</v>
      </c>
      <c r="FJ18" s="272">
        <v>20563246</v>
      </c>
      <c r="FK18" s="272">
        <v>1162144</v>
      </c>
      <c r="FL18" s="272">
        <v>12117780</v>
      </c>
      <c r="FM18" s="272">
        <v>16887504</v>
      </c>
      <c r="FN18" s="460">
        <v>0.70799999999999996</v>
      </c>
      <c r="FO18" s="388">
        <v>95</v>
      </c>
      <c r="FP18" s="388">
        <v>31</v>
      </c>
      <c r="FQ18" s="388">
        <v>12.9</v>
      </c>
      <c r="FR18" s="388">
        <v>9.6</v>
      </c>
      <c r="FS18" s="388">
        <v>18.5</v>
      </c>
      <c r="FT18" s="388">
        <v>10.5</v>
      </c>
      <c r="FU18" s="388">
        <v>11.2</v>
      </c>
      <c r="FV18" s="388">
        <v>7.6</v>
      </c>
      <c r="FW18" s="272">
        <v>23983468</v>
      </c>
      <c r="FX18" s="388">
        <f t="shared" si="16"/>
        <v>116.6</v>
      </c>
      <c r="FY18" s="272">
        <v>9361784</v>
      </c>
      <c r="FZ18" s="272">
        <v>3881950</v>
      </c>
      <c r="GA18" s="272">
        <v>0</v>
      </c>
      <c r="GB18" s="272">
        <v>5479834</v>
      </c>
      <c r="GC18" s="272"/>
      <c r="GD18" s="272">
        <v>658682</v>
      </c>
      <c r="GE18" s="384">
        <f t="shared" si="17"/>
        <v>3.2</v>
      </c>
      <c r="GF18" s="388">
        <v>98</v>
      </c>
      <c r="GG18" s="388">
        <v>23.1</v>
      </c>
      <c r="GH18" s="388">
        <v>92.1</v>
      </c>
      <c r="GI18" s="272">
        <v>850</v>
      </c>
      <c r="GJ18" s="394"/>
      <c r="GK18" s="394"/>
      <c r="GL18" s="394"/>
      <c r="GM18" s="394"/>
      <c r="GN18" s="394"/>
      <c r="GO18" s="394"/>
      <c r="GP18" s="394"/>
      <c r="GQ18" s="394"/>
      <c r="GR18" s="394"/>
      <c r="GS18" s="394"/>
      <c r="GT18" s="394"/>
      <c r="GU18" s="394"/>
      <c r="GV18" s="394"/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</row>
    <row r="19" spans="2:230" x14ac:dyDescent="0.15">
      <c r="B19" s="89" t="s">
        <v>31</v>
      </c>
      <c r="C19" s="272">
        <v>27539890</v>
      </c>
      <c r="D19" s="455">
        <f t="shared" si="0"/>
        <v>10110551</v>
      </c>
      <c r="E19" s="272">
        <v>298679</v>
      </c>
      <c r="F19" s="272">
        <v>9811872</v>
      </c>
      <c r="G19" s="455">
        <f t="shared" si="1"/>
        <v>2027045</v>
      </c>
      <c r="H19" s="272">
        <v>523523</v>
      </c>
      <c r="I19" s="272">
        <v>1503522</v>
      </c>
      <c r="J19" s="272">
        <v>11173934</v>
      </c>
      <c r="K19" s="272">
        <v>5220242</v>
      </c>
      <c r="L19" s="272">
        <v>4537081</v>
      </c>
      <c r="M19" s="272">
        <v>1135829</v>
      </c>
      <c r="N19" s="272">
        <v>1548660</v>
      </c>
      <c r="O19" s="272">
        <v>2510594</v>
      </c>
      <c r="P19" s="272">
        <v>1502077</v>
      </c>
      <c r="Q19" s="272">
        <v>1008517</v>
      </c>
      <c r="R19" s="272">
        <v>2143344</v>
      </c>
      <c r="S19" s="272">
        <v>1688103</v>
      </c>
      <c r="T19" s="455">
        <f t="shared" si="2"/>
        <v>3090919</v>
      </c>
      <c r="U19" s="272">
        <v>175322</v>
      </c>
      <c r="V19" s="272">
        <v>181630</v>
      </c>
      <c r="W19" s="272">
        <v>142210</v>
      </c>
      <c r="X19" s="272">
        <v>2133057</v>
      </c>
      <c r="Y19" s="272">
        <v>0</v>
      </c>
      <c r="Z19" s="272">
        <v>0</v>
      </c>
      <c r="AA19" s="272">
        <v>458700</v>
      </c>
      <c r="AB19" s="272">
        <v>762778</v>
      </c>
      <c r="AC19" s="272">
        <v>9714242</v>
      </c>
      <c r="AD19" s="272">
        <v>9277821</v>
      </c>
      <c r="AE19" s="272">
        <v>436421</v>
      </c>
      <c r="AF19" s="272">
        <v>46435</v>
      </c>
      <c r="AG19" s="272">
        <v>519329</v>
      </c>
      <c r="AH19" s="455">
        <f t="shared" si="3"/>
        <v>1174283</v>
      </c>
      <c r="AI19" s="272">
        <v>913036</v>
      </c>
      <c r="AJ19" s="272">
        <v>261247</v>
      </c>
      <c r="AK19" s="272">
        <v>12486172</v>
      </c>
      <c r="AL19" s="455">
        <f t="shared" si="4"/>
        <v>6487912</v>
      </c>
      <c r="AM19" s="272">
        <v>5742846</v>
      </c>
      <c r="AN19" s="272">
        <v>745066</v>
      </c>
      <c r="AO19" s="272">
        <v>0</v>
      </c>
      <c r="AP19" s="272">
        <v>0</v>
      </c>
      <c r="AQ19" s="272">
        <v>465797</v>
      </c>
      <c r="AR19" s="272">
        <v>0</v>
      </c>
      <c r="AS19" s="272">
        <v>0</v>
      </c>
      <c r="AT19" s="272">
        <v>3734357</v>
      </c>
      <c r="AU19" s="272">
        <v>1568697</v>
      </c>
      <c r="AV19" s="272">
        <v>372821</v>
      </c>
      <c r="AW19" s="272">
        <v>0</v>
      </c>
      <c r="AX19" s="272">
        <v>2165660</v>
      </c>
      <c r="AY19" s="272">
        <v>41944</v>
      </c>
      <c r="AZ19" s="272">
        <v>182502</v>
      </c>
      <c r="BA19" s="272">
        <v>176926</v>
      </c>
      <c r="BB19" s="272">
        <v>3983</v>
      </c>
      <c r="BC19" s="272">
        <v>345212</v>
      </c>
      <c r="BD19" s="272">
        <v>0</v>
      </c>
      <c r="BE19" s="272">
        <v>87</v>
      </c>
      <c r="BF19" s="272">
        <v>292234</v>
      </c>
      <c r="BG19" s="272">
        <v>0</v>
      </c>
      <c r="BH19" s="272">
        <v>69118</v>
      </c>
      <c r="BI19" s="272">
        <v>58756</v>
      </c>
      <c r="BJ19" s="272">
        <v>4322422</v>
      </c>
      <c r="BK19" s="272">
        <v>3765378</v>
      </c>
      <c r="BL19" s="272">
        <v>4428</v>
      </c>
      <c r="BM19" s="272">
        <v>72898</v>
      </c>
      <c r="BN19" s="272">
        <v>6993600</v>
      </c>
      <c r="BO19" s="455">
        <f t="shared" si="5"/>
        <v>3142000</v>
      </c>
      <c r="BP19" s="455">
        <f t="shared" si="6"/>
        <v>2374600</v>
      </c>
      <c r="BQ19" s="272">
        <v>278200</v>
      </c>
      <c r="BR19" s="272"/>
      <c r="BS19" s="272">
        <v>2096400</v>
      </c>
      <c r="BT19" s="272">
        <v>1477000</v>
      </c>
      <c r="BU19" s="272">
        <v>73128586</v>
      </c>
      <c r="BV19" s="272"/>
      <c r="BW19" s="272">
        <v>16474176</v>
      </c>
      <c r="BX19" s="272">
        <v>11341858</v>
      </c>
      <c r="BY19" s="272">
        <v>2353011</v>
      </c>
      <c r="BZ19" s="272">
        <v>345867</v>
      </c>
      <c r="CA19" s="272">
        <v>15685570</v>
      </c>
      <c r="CB19" s="272">
        <v>2135401</v>
      </c>
      <c r="CC19" s="272">
        <v>408318</v>
      </c>
      <c r="CD19" s="272">
        <v>5229126</v>
      </c>
      <c r="CE19" s="272">
        <v>7625912</v>
      </c>
      <c r="CF19" s="272">
        <v>6221</v>
      </c>
      <c r="CG19" s="272">
        <v>279312</v>
      </c>
      <c r="CH19" s="272">
        <v>6626752</v>
      </c>
      <c r="CI19" s="272">
        <v>5277799</v>
      </c>
      <c r="CJ19" s="455">
        <f t="shared" si="7"/>
        <v>1348953</v>
      </c>
      <c r="CK19" s="272">
        <v>7337552</v>
      </c>
      <c r="CL19" s="272">
        <v>3126833</v>
      </c>
      <c r="CM19" s="272">
        <v>1130521</v>
      </c>
      <c r="CN19" s="272">
        <v>1711161</v>
      </c>
      <c r="CO19" s="272">
        <v>365217</v>
      </c>
      <c r="CP19" s="272">
        <v>5427363</v>
      </c>
      <c r="CQ19" s="272">
        <v>3175972</v>
      </c>
      <c r="CR19" s="272">
        <v>1152094</v>
      </c>
      <c r="CS19" s="272">
        <v>916294</v>
      </c>
      <c r="CT19" s="455">
        <f t="shared" si="8"/>
        <v>7925</v>
      </c>
      <c r="CU19" s="272">
        <v>7925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8415067</v>
      </c>
      <c r="DD19" s="272">
        <v>885813</v>
      </c>
      <c r="DE19" s="272">
        <v>7521713</v>
      </c>
      <c r="DF19" s="26">
        <v>0</v>
      </c>
      <c r="DG19" s="27">
        <v>7541</v>
      </c>
      <c r="DH19" s="272">
        <v>0</v>
      </c>
      <c r="DI19" s="272">
        <v>438118</v>
      </c>
      <c r="DJ19" s="272">
        <v>30005</v>
      </c>
      <c r="DK19" s="272">
        <v>270345</v>
      </c>
      <c r="DL19" s="272">
        <v>137768</v>
      </c>
      <c r="DM19" s="272">
        <v>1450</v>
      </c>
      <c r="DN19" s="272">
        <v>0</v>
      </c>
      <c r="DO19" s="272">
        <v>0</v>
      </c>
      <c r="DP19" s="272">
        <v>0</v>
      </c>
      <c r="DQ19" s="272">
        <v>3752918</v>
      </c>
      <c r="DR19" s="272">
        <v>0</v>
      </c>
      <c r="DS19" s="272">
        <v>0</v>
      </c>
      <c r="DT19" s="272">
        <v>8468355</v>
      </c>
      <c r="DU19" s="272">
        <v>3196293</v>
      </c>
      <c r="DV19" s="455">
        <f t="shared" si="11"/>
        <v>0</v>
      </c>
      <c r="DW19" s="272">
        <v>0</v>
      </c>
      <c r="DX19" s="272"/>
      <c r="DY19" s="272">
        <v>0</v>
      </c>
      <c r="DZ19" s="272">
        <v>2562623</v>
      </c>
      <c r="EA19" s="272">
        <v>1272141</v>
      </c>
      <c r="EB19" s="272">
        <v>1437298</v>
      </c>
      <c r="EC19" s="272">
        <v>0</v>
      </c>
      <c r="ED19" s="272">
        <v>72992538</v>
      </c>
      <c r="EE19" s="89"/>
      <c r="EF19" s="272">
        <v>136048</v>
      </c>
      <c r="EG19" s="272">
        <v>16607</v>
      </c>
      <c r="EH19" s="272">
        <v>119441</v>
      </c>
      <c r="EI19" s="272">
        <v>60685</v>
      </c>
      <c r="EJ19" s="272">
        <v>90690</v>
      </c>
      <c r="EK19" s="89"/>
      <c r="EL19" s="272"/>
      <c r="EM19" s="272">
        <v>241026</v>
      </c>
      <c r="EN19" s="272">
        <v>52978</v>
      </c>
      <c r="EO19" s="272">
        <v>176926</v>
      </c>
      <c r="EP19" s="455">
        <f t="shared" si="12"/>
        <v>3618025</v>
      </c>
      <c r="EQ19" s="272">
        <v>43297608</v>
      </c>
      <c r="ER19" s="272">
        <v>-6176094</v>
      </c>
      <c r="ES19" s="272">
        <v>13916178</v>
      </c>
      <c r="ET19" s="272">
        <v>10340664</v>
      </c>
      <c r="EU19" s="272">
        <v>5064398</v>
      </c>
      <c r="EV19" s="272">
        <v>6590717</v>
      </c>
      <c r="EW19" s="455">
        <f t="shared" si="13"/>
        <v>4445885</v>
      </c>
      <c r="EX19" s="272">
        <v>4445885</v>
      </c>
      <c r="EY19" s="272">
        <v>104168</v>
      </c>
      <c r="EZ19" s="272">
        <v>4341717</v>
      </c>
      <c r="FA19" s="272">
        <v>0</v>
      </c>
      <c r="FB19" s="272"/>
      <c r="FC19" s="272">
        <v>6160521</v>
      </c>
      <c r="FD19" s="272">
        <v>4991927</v>
      </c>
      <c r="FE19" s="272">
        <v>3175972</v>
      </c>
      <c r="FF19" s="272">
        <v>7369836</v>
      </c>
      <c r="FG19" s="455">
        <f t="shared" si="14"/>
        <v>798192</v>
      </c>
      <c r="FH19" s="272">
        <v>49337654</v>
      </c>
      <c r="FI19" s="384">
        <f t="shared" si="15"/>
        <v>0.3</v>
      </c>
      <c r="FJ19" s="272">
        <v>40371209</v>
      </c>
      <c r="FK19" s="272">
        <v>2096461</v>
      </c>
      <c r="FL19" s="272">
        <v>23891885</v>
      </c>
      <c r="FM19" s="272">
        <v>33194674</v>
      </c>
      <c r="FN19" s="460">
        <v>0.69499999999999995</v>
      </c>
      <c r="FO19" s="388">
        <v>95.8</v>
      </c>
      <c r="FP19" s="388">
        <v>31.5</v>
      </c>
      <c r="FQ19" s="388">
        <v>11.8</v>
      </c>
      <c r="FR19" s="388">
        <v>15.4</v>
      </c>
      <c r="FS19" s="388">
        <v>13.2</v>
      </c>
      <c r="FT19" s="388">
        <v>10.1</v>
      </c>
      <c r="FU19" s="388">
        <v>13.1</v>
      </c>
      <c r="FV19" s="388">
        <v>9.5</v>
      </c>
      <c r="FW19" s="272">
        <v>65520124</v>
      </c>
      <c r="FX19" s="388">
        <f t="shared" si="16"/>
        <v>162.30000000000001</v>
      </c>
      <c r="FY19" s="272">
        <v>4354172</v>
      </c>
      <c r="FZ19" s="272">
        <v>37022</v>
      </c>
      <c r="GA19" s="272">
        <v>273003</v>
      </c>
      <c r="GB19" s="272">
        <v>4044147</v>
      </c>
      <c r="GC19" s="272"/>
      <c r="GD19" s="272">
        <v>3661678</v>
      </c>
      <c r="GE19" s="384">
        <f t="shared" si="17"/>
        <v>9.1</v>
      </c>
      <c r="GF19" s="388">
        <v>97.6</v>
      </c>
      <c r="GG19" s="388">
        <v>10.3</v>
      </c>
      <c r="GH19" s="388">
        <v>87.6</v>
      </c>
      <c r="GI19" s="272">
        <v>1601</v>
      </c>
      <c r="GJ19" s="394"/>
      <c r="GK19" s="394"/>
      <c r="GL19" s="394"/>
      <c r="GM19" s="394"/>
      <c r="GN19" s="394"/>
      <c r="GO19" s="394"/>
      <c r="GP19" s="394"/>
      <c r="GQ19" s="394"/>
      <c r="GR19" s="394"/>
      <c r="GS19" s="394"/>
      <c r="GT19" s="394"/>
      <c r="GU19" s="394"/>
      <c r="GV19" s="394"/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</row>
    <row r="20" spans="2:230" x14ac:dyDescent="0.15">
      <c r="B20" s="89" t="s">
        <v>33</v>
      </c>
      <c r="C20" s="272">
        <v>13733226</v>
      </c>
      <c r="D20" s="455">
        <f t="shared" si="0"/>
        <v>6393912</v>
      </c>
      <c r="E20" s="272">
        <v>150939</v>
      </c>
      <c r="F20" s="272">
        <v>6242973</v>
      </c>
      <c r="G20" s="455">
        <f t="shared" si="1"/>
        <v>672955</v>
      </c>
      <c r="H20" s="272">
        <v>192623</v>
      </c>
      <c r="I20" s="272">
        <v>480332</v>
      </c>
      <c r="J20" s="272">
        <v>5008468</v>
      </c>
      <c r="K20" s="272">
        <v>1999580</v>
      </c>
      <c r="L20" s="272">
        <v>2276797</v>
      </c>
      <c r="M20" s="272">
        <v>657823</v>
      </c>
      <c r="N20" s="272">
        <v>498449</v>
      </c>
      <c r="O20" s="272">
        <v>1039236</v>
      </c>
      <c r="P20" s="272">
        <v>574408</v>
      </c>
      <c r="Q20" s="272">
        <v>464828</v>
      </c>
      <c r="R20" s="272">
        <v>1029483</v>
      </c>
      <c r="S20" s="272">
        <v>695596</v>
      </c>
      <c r="T20" s="455">
        <f t="shared" si="2"/>
        <v>1577747</v>
      </c>
      <c r="U20" s="272">
        <v>103014</v>
      </c>
      <c r="V20" s="272">
        <v>106737</v>
      </c>
      <c r="W20" s="272">
        <v>83663</v>
      </c>
      <c r="X20" s="272">
        <v>927247</v>
      </c>
      <c r="Y20" s="272">
        <v>20406</v>
      </c>
      <c r="Z20" s="272">
        <v>0</v>
      </c>
      <c r="AA20" s="272">
        <v>336680</v>
      </c>
      <c r="AB20" s="272">
        <v>464188</v>
      </c>
      <c r="AC20" s="272">
        <v>4193401</v>
      </c>
      <c r="AD20" s="272">
        <v>3985330</v>
      </c>
      <c r="AE20" s="272">
        <v>208071</v>
      </c>
      <c r="AF20" s="272">
        <v>24102</v>
      </c>
      <c r="AG20" s="272">
        <v>287071</v>
      </c>
      <c r="AH20" s="455">
        <f t="shared" si="3"/>
        <v>1068769</v>
      </c>
      <c r="AI20" s="272">
        <v>730088</v>
      </c>
      <c r="AJ20" s="272">
        <v>338681</v>
      </c>
      <c r="AK20" s="272">
        <v>3296343</v>
      </c>
      <c r="AL20" s="455">
        <f t="shared" si="4"/>
        <v>1891537</v>
      </c>
      <c r="AM20" s="272">
        <v>1574159</v>
      </c>
      <c r="AN20" s="272">
        <v>317378</v>
      </c>
      <c r="AO20" s="272">
        <v>0</v>
      </c>
      <c r="AP20" s="272">
        <v>0</v>
      </c>
      <c r="AQ20" s="272">
        <v>181462</v>
      </c>
      <c r="AR20" s="272">
        <v>0</v>
      </c>
      <c r="AS20" s="272">
        <v>0</v>
      </c>
      <c r="AT20" s="272">
        <v>1515606</v>
      </c>
      <c r="AU20" s="272">
        <v>715107</v>
      </c>
      <c r="AV20" s="272">
        <v>156251</v>
      </c>
      <c r="AW20" s="272">
        <v>47538</v>
      </c>
      <c r="AX20" s="272">
        <v>800499</v>
      </c>
      <c r="AY20" s="272">
        <v>7600</v>
      </c>
      <c r="AZ20" s="272">
        <v>87478</v>
      </c>
      <c r="BA20" s="272">
        <v>51976</v>
      </c>
      <c r="BB20" s="272">
        <v>8089</v>
      </c>
      <c r="BC20" s="272">
        <v>1533916</v>
      </c>
      <c r="BD20" s="272">
        <v>1273000</v>
      </c>
      <c r="BE20" s="272">
        <v>56000</v>
      </c>
      <c r="BF20" s="272">
        <v>197225</v>
      </c>
      <c r="BG20" s="272">
        <v>0</v>
      </c>
      <c r="BH20" s="272">
        <v>345621</v>
      </c>
      <c r="BI20" s="272">
        <v>209576</v>
      </c>
      <c r="BJ20" s="272">
        <v>1014817</v>
      </c>
      <c r="BK20" s="272">
        <v>800305</v>
      </c>
      <c r="BL20" s="272">
        <v>0</v>
      </c>
      <c r="BM20" s="272">
        <v>0</v>
      </c>
      <c r="BN20" s="272">
        <v>2302900</v>
      </c>
      <c r="BO20" s="455">
        <f t="shared" si="5"/>
        <v>1047200</v>
      </c>
      <c r="BP20" s="455">
        <f t="shared" si="6"/>
        <v>1255700</v>
      </c>
      <c r="BQ20" s="272">
        <v>162500</v>
      </c>
      <c r="BR20" s="272"/>
      <c r="BS20" s="272">
        <v>1093200</v>
      </c>
      <c r="BT20" s="272">
        <v>0</v>
      </c>
      <c r="BU20" s="272">
        <v>32482757</v>
      </c>
      <c r="BV20" s="272"/>
      <c r="BW20" s="272">
        <v>6688893</v>
      </c>
      <c r="BX20" s="272">
        <v>4417567</v>
      </c>
      <c r="BY20" s="272">
        <v>354372</v>
      </c>
      <c r="BZ20" s="272">
        <v>794008</v>
      </c>
      <c r="CA20" s="272">
        <v>5743379</v>
      </c>
      <c r="CB20" s="272">
        <v>1210244</v>
      </c>
      <c r="CC20" s="272">
        <v>300959</v>
      </c>
      <c r="CD20" s="272">
        <v>2114469</v>
      </c>
      <c r="CE20" s="272">
        <v>2059084</v>
      </c>
      <c r="CF20" s="272">
        <v>0</v>
      </c>
      <c r="CG20" s="272">
        <v>58623</v>
      </c>
      <c r="CH20" s="272">
        <v>3815627</v>
      </c>
      <c r="CI20" s="272">
        <v>3157298</v>
      </c>
      <c r="CJ20" s="455">
        <f t="shared" si="7"/>
        <v>658329</v>
      </c>
      <c r="CK20" s="272">
        <v>5088605</v>
      </c>
      <c r="CL20" s="272">
        <v>3542662</v>
      </c>
      <c r="CM20" s="272">
        <v>148035</v>
      </c>
      <c r="CN20" s="272">
        <v>709058</v>
      </c>
      <c r="CO20" s="272">
        <v>409947</v>
      </c>
      <c r="CP20" s="272">
        <v>2389998</v>
      </c>
      <c r="CQ20" s="272">
        <v>701716</v>
      </c>
      <c r="CR20" s="272">
        <v>925194</v>
      </c>
      <c r="CS20" s="272">
        <v>681981</v>
      </c>
      <c r="CT20" s="455">
        <f t="shared" si="8"/>
        <v>170152</v>
      </c>
      <c r="CU20" s="272">
        <v>5949</v>
      </c>
      <c r="CV20" s="272">
        <v>164203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2796056</v>
      </c>
      <c r="DD20" s="272">
        <v>727479</v>
      </c>
      <c r="DE20" s="272">
        <v>1956994</v>
      </c>
      <c r="DF20" s="26">
        <v>110533</v>
      </c>
      <c r="DG20" s="27">
        <v>1050</v>
      </c>
      <c r="DH20" s="272">
        <v>7872</v>
      </c>
      <c r="DI20" s="272">
        <v>705203</v>
      </c>
      <c r="DJ20" s="272">
        <v>135442</v>
      </c>
      <c r="DK20" s="272">
        <v>6000</v>
      </c>
      <c r="DL20" s="272">
        <v>563761</v>
      </c>
      <c r="DM20" s="272">
        <v>0</v>
      </c>
      <c r="DN20" s="272">
        <v>0</v>
      </c>
      <c r="DO20" s="272">
        <v>0</v>
      </c>
      <c r="DP20" s="272">
        <v>0</v>
      </c>
      <c r="DQ20" s="272">
        <v>800065</v>
      </c>
      <c r="DR20" s="272">
        <v>0</v>
      </c>
      <c r="DS20" s="272">
        <v>0</v>
      </c>
      <c r="DT20" s="272">
        <v>3784225</v>
      </c>
      <c r="DU20" s="272">
        <v>1355784</v>
      </c>
      <c r="DV20" s="455">
        <f t="shared" si="11"/>
        <v>0</v>
      </c>
      <c r="DW20" s="272">
        <v>0</v>
      </c>
      <c r="DX20" s="272"/>
      <c r="DY20" s="272">
        <v>0</v>
      </c>
      <c r="DZ20" s="272">
        <v>719060</v>
      </c>
      <c r="EA20" s="272">
        <v>759312</v>
      </c>
      <c r="EB20" s="272">
        <v>948700</v>
      </c>
      <c r="EC20" s="272">
        <v>0</v>
      </c>
      <c r="ED20" s="272">
        <v>32229870</v>
      </c>
      <c r="EE20" s="89"/>
      <c r="EF20" s="272">
        <v>252887</v>
      </c>
      <c r="EG20" s="272">
        <v>215514</v>
      </c>
      <c r="EH20" s="272">
        <v>37373</v>
      </c>
      <c r="EI20" s="272">
        <v>-172203</v>
      </c>
      <c r="EJ20" s="272">
        <v>-1309761</v>
      </c>
      <c r="EK20" s="89"/>
      <c r="EL20" s="272"/>
      <c r="EM20" s="272">
        <v>117278</v>
      </c>
      <c r="EN20" s="272">
        <v>1329000</v>
      </c>
      <c r="EO20" s="272">
        <v>69690</v>
      </c>
      <c r="EP20" s="455">
        <f t="shared" si="12"/>
        <v>675658</v>
      </c>
      <c r="EQ20" s="272">
        <v>21022147</v>
      </c>
      <c r="ER20" s="272">
        <v>-3305946</v>
      </c>
      <c r="ES20" s="272">
        <v>6346908</v>
      </c>
      <c r="ET20" s="272">
        <v>4147073</v>
      </c>
      <c r="EU20" s="272">
        <v>1966658</v>
      </c>
      <c r="EV20" s="272">
        <v>3815627</v>
      </c>
      <c r="EW20" s="455">
        <f t="shared" si="13"/>
        <v>1235072</v>
      </c>
      <c r="EX20" s="272">
        <v>1230821</v>
      </c>
      <c r="EY20" s="272">
        <v>136309</v>
      </c>
      <c r="EZ20" s="272">
        <v>1082703</v>
      </c>
      <c r="FA20" s="272">
        <v>4251</v>
      </c>
      <c r="FB20" s="272"/>
      <c r="FC20" s="272">
        <v>4073728</v>
      </c>
      <c r="FD20" s="272">
        <v>2123238</v>
      </c>
      <c r="FE20" s="272">
        <v>701716</v>
      </c>
      <c r="FF20" s="272">
        <v>3468806</v>
      </c>
      <c r="FG20" s="455">
        <f t="shared" si="14"/>
        <v>1045169</v>
      </c>
      <c r="FH20" s="272">
        <v>24075206</v>
      </c>
      <c r="FI20" s="384">
        <f t="shared" si="15"/>
        <v>0.2</v>
      </c>
      <c r="FJ20" s="272">
        <v>19914863</v>
      </c>
      <c r="FK20" s="272">
        <v>1093224</v>
      </c>
      <c r="FL20" s="272">
        <v>12219225</v>
      </c>
      <c r="FM20" s="272">
        <v>16202223</v>
      </c>
      <c r="FN20" s="460">
        <v>0.72399999999999998</v>
      </c>
      <c r="FO20" s="388">
        <v>98.5</v>
      </c>
      <c r="FP20" s="388">
        <v>29.4</v>
      </c>
      <c r="FQ20" s="388">
        <v>9.3000000000000007</v>
      </c>
      <c r="FR20" s="388">
        <v>18</v>
      </c>
      <c r="FS20" s="388">
        <v>19</v>
      </c>
      <c r="FT20" s="388">
        <v>8.8000000000000007</v>
      </c>
      <c r="FU20" s="388">
        <v>12.4</v>
      </c>
      <c r="FV20" s="388">
        <v>13.2</v>
      </c>
      <c r="FW20" s="272">
        <v>38297256</v>
      </c>
      <c r="FX20" s="388">
        <f t="shared" si="16"/>
        <v>192.3</v>
      </c>
      <c r="FY20" s="272">
        <v>11315866</v>
      </c>
      <c r="FZ20" s="272">
        <v>4861143</v>
      </c>
      <c r="GA20" s="272">
        <v>2728421</v>
      </c>
      <c r="GB20" s="272">
        <v>3726302</v>
      </c>
      <c r="GC20" s="272"/>
      <c r="GD20" s="272">
        <v>6680033</v>
      </c>
      <c r="GE20" s="384">
        <f t="shared" si="17"/>
        <v>33.5</v>
      </c>
      <c r="GF20" s="388">
        <v>98.4</v>
      </c>
      <c r="GG20" s="388">
        <v>25</v>
      </c>
      <c r="GH20" s="388">
        <v>94</v>
      </c>
      <c r="GI20" s="272">
        <v>590</v>
      </c>
      <c r="GJ20" s="394"/>
      <c r="GK20" s="394"/>
      <c r="GL20" s="394"/>
      <c r="GM20" s="394"/>
      <c r="GN20" s="394"/>
      <c r="GO20" s="394"/>
      <c r="GP20" s="394"/>
      <c r="GQ20" s="394"/>
      <c r="GR20" s="394"/>
      <c r="GS20" s="394"/>
      <c r="GT20" s="394"/>
      <c r="GU20" s="394"/>
      <c r="GV20" s="394"/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</row>
    <row r="21" spans="2:230" x14ac:dyDescent="0.15">
      <c r="B21" s="89" t="s">
        <v>35</v>
      </c>
      <c r="C21" s="272">
        <v>13565157</v>
      </c>
      <c r="D21" s="455">
        <f t="shared" si="0"/>
        <v>4764532</v>
      </c>
      <c r="E21" s="272">
        <v>151676</v>
      </c>
      <c r="F21" s="272">
        <v>4612856</v>
      </c>
      <c r="G21" s="455">
        <f t="shared" si="1"/>
        <v>964400</v>
      </c>
      <c r="H21" s="272">
        <v>239485</v>
      </c>
      <c r="I21" s="272">
        <v>724915</v>
      </c>
      <c r="J21" s="272">
        <v>5656726</v>
      </c>
      <c r="K21" s="272">
        <v>2902775</v>
      </c>
      <c r="L21" s="272">
        <v>2131578</v>
      </c>
      <c r="M21" s="272">
        <v>577463</v>
      </c>
      <c r="N21" s="272">
        <v>815144</v>
      </c>
      <c r="O21" s="272">
        <v>1253242</v>
      </c>
      <c r="P21" s="272">
        <v>789370</v>
      </c>
      <c r="Q21" s="272">
        <v>463872</v>
      </c>
      <c r="R21" s="272">
        <v>1110423</v>
      </c>
      <c r="S21" s="272">
        <v>861945</v>
      </c>
      <c r="T21" s="455">
        <f t="shared" si="2"/>
        <v>1645242</v>
      </c>
      <c r="U21" s="272">
        <v>85009</v>
      </c>
      <c r="V21" s="272">
        <v>88108</v>
      </c>
      <c r="W21" s="272">
        <v>69195</v>
      </c>
      <c r="X21" s="272">
        <v>1152633</v>
      </c>
      <c r="Y21" s="272">
        <v>0</v>
      </c>
      <c r="Z21" s="272">
        <v>0</v>
      </c>
      <c r="AA21" s="272">
        <v>250297</v>
      </c>
      <c r="AB21" s="272">
        <v>347139</v>
      </c>
      <c r="AC21" s="272">
        <v>7525361</v>
      </c>
      <c r="AD21" s="272">
        <v>7146101</v>
      </c>
      <c r="AE21" s="272">
        <v>379260</v>
      </c>
      <c r="AF21" s="272">
        <v>25889</v>
      </c>
      <c r="AG21" s="272">
        <v>169348</v>
      </c>
      <c r="AH21" s="455">
        <f t="shared" si="3"/>
        <v>587215</v>
      </c>
      <c r="AI21" s="272">
        <v>539075</v>
      </c>
      <c r="AJ21" s="272">
        <v>48140</v>
      </c>
      <c r="AK21" s="272">
        <v>4981530</v>
      </c>
      <c r="AL21" s="455">
        <f t="shared" si="4"/>
        <v>3536413</v>
      </c>
      <c r="AM21" s="272">
        <v>3281142</v>
      </c>
      <c r="AN21" s="272">
        <v>255271</v>
      </c>
      <c r="AO21" s="272">
        <v>0</v>
      </c>
      <c r="AP21" s="272">
        <v>0</v>
      </c>
      <c r="AQ21" s="272">
        <v>249594</v>
      </c>
      <c r="AR21" s="272">
        <v>0</v>
      </c>
      <c r="AS21" s="272">
        <v>0</v>
      </c>
      <c r="AT21" s="272">
        <v>1882292</v>
      </c>
      <c r="AU21" s="272">
        <v>778224</v>
      </c>
      <c r="AV21" s="272">
        <v>128364</v>
      </c>
      <c r="AW21" s="272">
        <v>0</v>
      </c>
      <c r="AX21" s="272">
        <v>1104068</v>
      </c>
      <c r="AY21" s="272">
        <v>23556</v>
      </c>
      <c r="AZ21" s="272">
        <v>365621</v>
      </c>
      <c r="BA21" s="272">
        <v>245060</v>
      </c>
      <c r="BB21" s="272">
        <v>183512</v>
      </c>
      <c r="BC21" s="272">
        <v>732470</v>
      </c>
      <c r="BD21" s="272">
        <v>300000</v>
      </c>
      <c r="BE21" s="272">
        <v>0</v>
      </c>
      <c r="BF21" s="272">
        <v>432470</v>
      </c>
      <c r="BG21" s="272">
        <v>0</v>
      </c>
      <c r="BH21" s="272">
        <v>92145</v>
      </c>
      <c r="BI21" s="272">
        <v>76493</v>
      </c>
      <c r="BJ21" s="272">
        <v>233173</v>
      </c>
      <c r="BK21" s="272">
        <v>60308</v>
      </c>
      <c r="BL21" s="272">
        <v>0</v>
      </c>
      <c r="BM21" s="272">
        <v>0</v>
      </c>
      <c r="BN21" s="272">
        <v>2259200</v>
      </c>
      <c r="BO21" s="455">
        <f t="shared" si="5"/>
        <v>955000</v>
      </c>
      <c r="BP21" s="455">
        <f t="shared" si="6"/>
        <v>1304200</v>
      </c>
      <c r="BQ21" s="272">
        <v>126700</v>
      </c>
      <c r="BR21" s="272"/>
      <c r="BS21" s="272">
        <v>1177500</v>
      </c>
      <c r="BT21" s="272">
        <v>0</v>
      </c>
      <c r="BU21" s="272">
        <v>35705717</v>
      </c>
      <c r="BV21" s="272"/>
      <c r="BW21" s="272">
        <v>8830946</v>
      </c>
      <c r="BX21" s="272">
        <v>6207097</v>
      </c>
      <c r="BY21" s="272">
        <v>944709</v>
      </c>
      <c r="BZ21" s="272">
        <v>308438</v>
      </c>
      <c r="CA21" s="272">
        <v>8423440</v>
      </c>
      <c r="CB21" s="272">
        <v>969154</v>
      </c>
      <c r="CC21" s="272">
        <v>217017</v>
      </c>
      <c r="CD21" s="272">
        <v>2859342</v>
      </c>
      <c r="CE21" s="272">
        <v>4201843</v>
      </c>
      <c r="CF21" s="272">
        <v>0</v>
      </c>
      <c r="CG21" s="272">
        <v>175589</v>
      </c>
      <c r="CH21" s="272">
        <v>3295832</v>
      </c>
      <c r="CI21" s="272">
        <v>2611154</v>
      </c>
      <c r="CJ21" s="455">
        <f t="shared" si="7"/>
        <v>684678</v>
      </c>
      <c r="CK21" s="272">
        <v>4904553</v>
      </c>
      <c r="CL21" s="272">
        <v>3187545</v>
      </c>
      <c r="CM21" s="272">
        <v>204780</v>
      </c>
      <c r="CN21" s="272">
        <v>814006</v>
      </c>
      <c r="CO21" s="272">
        <v>200549</v>
      </c>
      <c r="CP21" s="272">
        <v>2081408</v>
      </c>
      <c r="CQ21" s="272">
        <v>1624</v>
      </c>
      <c r="CR21" s="272">
        <v>925381</v>
      </c>
      <c r="CS21" s="272">
        <v>471894</v>
      </c>
      <c r="CT21" s="455">
        <f t="shared" si="8"/>
        <v>566701</v>
      </c>
      <c r="CU21" s="272">
        <v>8571</v>
      </c>
      <c r="CV21" s="272">
        <v>558130</v>
      </c>
      <c r="CW21" s="455">
        <f t="shared" si="9"/>
        <v>553108</v>
      </c>
      <c r="CX21" s="272">
        <v>0</v>
      </c>
      <c r="CY21" s="272">
        <v>553108</v>
      </c>
      <c r="CZ21" s="455">
        <f t="shared" si="10"/>
        <v>0</v>
      </c>
      <c r="DA21" s="272">
        <v>0</v>
      </c>
      <c r="DB21" s="272">
        <v>0</v>
      </c>
      <c r="DC21" s="272">
        <v>1510531</v>
      </c>
      <c r="DD21" s="272">
        <v>542648</v>
      </c>
      <c r="DE21" s="272">
        <v>939222</v>
      </c>
      <c r="DF21" s="26">
        <v>279</v>
      </c>
      <c r="DG21" s="27">
        <v>28382</v>
      </c>
      <c r="DH21" s="272">
        <v>0</v>
      </c>
      <c r="DI21" s="272">
        <v>685685</v>
      </c>
      <c r="DJ21" s="272">
        <v>260929</v>
      </c>
      <c r="DK21" s="272">
        <v>29</v>
      </c>
      <c r="DL21" s="272">
        <v>424727</v>
      </c>
      <c r="DM21" s="272">
        <v>0</v>
      </c>
      <c r="DN21" s="272">
        <v>0</v>
      </c>
      <c r="DO21" s="272">
        <v>0</v>
      </c>
      <c r="DP21" s="272">
        <v>0</v>
      </c>
      <c r="DQ21" s="272">
        <v>60000</v>
      </c>
      <c r="DR21" s="272">
        <v>0</v>
      </c>
      <c r="DS21" s="272">
        <v>0</v>
      </c>
      <c r="DT21" s="272">
        <v>5582038</v>
      </c>
      <c r="DU21" s="272">
        <v>2705000</v>
      </c>
      <c r="DV21" s="455">
        <f t="shared" si="11"/>
        <v>0</v>
      </c>
      <c r="DW21" s="272">
        <v>0</v>
      </c>
      <c r="DX21" s="272"/>
      <c r="DY21" s="272">
        <v>0</v>
      </c>
      <c r="DZ21" s="272">
        <v>1164204</v>
      </c>
      <c r="EA21" s="272">
        <v>692005</v>
      </c>
      <c r="EB21" s="272">
        <v>1020805</v>
      </c>
      <c r="EC21" s="272">
        <v>0</v>
      </c>
      <c r="ED21" s="272">
        <v>35574982</v>
      </c>
      <c r="EE21" s="89"/>
      <c r="EF21" s="272">
        <v>130735</v>
      </c>
      <c r="EG21" s="272">
        <v>52247</v>
      </c>
      <c r="EH21" s="272">
        <v>78488</v>
      </c>
      <c r="EI21" s="272">
        <v>1995</v>
      </c>
      <c r="EJ21" s="272">
        <v>-37076</v>
      </c>
      <c r="EK21" s="89"/>
      <c r="EL21" s="272"/>
      <c r="EM21" s="272">
        <v>126527</v>
      </c>
      <c r="EN21" s="272">
        <v>615100</v>
      </c>
      <c r="EO21" s="272">
        <v>364040</v>
      </c>
      <c r="EP21" s="455">
        <f t="shared" si="12"/>
        <v>514565</v>
      </c>
      <c r="EQ21" s="272">
        <v>24219211</v>
      </c>
      <c r="ER21" s="272">
        <v>-2772016</v>
      </c>
      <c r="ES21" s="272">
        <v>8404371</v>
      </c>
      <c r="ET21" s="272">
        <v>5850604</v>
      </c>
      <c r="EU21" s="272">
        <v>2879009</v>
      </c>
      <c r="EV21" s="272">
        <v>3290612</v>
      </c>
      <c r="EW21" s="455">
        <f t="shared" si="13"/>
        <v>140444</v>
      </c>
      <c r="EX21" s="272">
        <v>140444</v>
      </c>
      <c r="EY21" s="272">
        <v>4297</v>
      </c>
      <c r="EZ21" s="272">
        <v>135868</v>
      </c>
      <c r="FA21" s="272">
        <v>0</v>
      </c>
      <c r="FB21" s="272"/>
      <c r="FC21" s="272">
        <v>4448442</v>
      </c>
      <c r="FD21" s="272">
        <v>1817643</v>
      </c>
      <c r="FE21" s="272">
        <v>1624</v>
      </c>
      <c r="FF21" s="272">
        <v>5008463</v>
      </c>
      <c r="FG21" s="455">
        <f t="shared" si="14"/>
        <v>871508</v>
      </c>
      <c r="FH21" s="272">
        <v>26860492</v>
      </c>
      <c r="FI21" s="384">
        <f t="shared" si="15"/>
        <v>0.4</v>
      </c>
      <c r="FJ21" s="272">
        <v>22410007</v>
      </c>
      <c r="FK21" s="272">
        <v>1177564</v>
      </c>
      <c r="FL21" s="272">
        <v>11744483</v>
      </c>
      <c r="FM21" s="272">
        <v>18890584</v>
      </c>
      <c r="FN21" s="460">
        <v>0.60699999999999998</v>
      </c>
      <c r="FO21" s="388">
        <v>102.4</v>
      </c>
      <c r="FP21" s="388">
        <v>33.5</v>
      </c>
      <c r="FQ21" s="388">
        <v>11.9</v>
      </c>
      <c r="FR21" s="388">
        <v>13.7</v>
      </c>
      <c r="FS21" s="388">
        <v>18.100000000000001</v>
      </c>
      <c r="FT21" s="388">
        <v>6.6</v>
      </c>
      <c r="FU21" s="388">
        <v>17.8</v>
      </c>
      <c r="FV21" s="388">
        <v>14</v>
      </c>
      <c r="FW21" s="272">
        <v>33433615</v>
      </c>
      <c r="FX21" s="388">
        <f t="shared" si="16"/>
        <v>149.19999999999999</v>
      </c>
      <c r="FY21" s="272">
        <v>1607268</v>
      </c>
      <c r="FZ21" s="272">
        <v>567307</v>
      </c>
      <c r="GA21" s="272">
        <v>21087</v>
      </c>
      <c r="GB21" s="272">
        <v>1018874</v>
      </c>
      <c r="GC21" s="272"/>
      <c r="GD21" s="272">
        <v>1246210</v>
      </c>
      <c r="GE21" s="384">
        <f t="shared" si="17"/>
        <v>5.6</v>
      </c>
      <c r="GF21" s="388">
        <v>98.1</v>
      </c>
      <c r="GG21" s="388">
        <v>28.8</v>
      </c>
      <c r="GH21" s="388">
        <v>93.3</v>
      </c>
      <c r="GI21" s="272">
        <v>830</v>
      </c>
      <c r="GJ21" s="394"/>
      <c r="GK21" s="394"/>
      <c r="GL21" s="394"/>
      <c r="GM21" s="394"/>
      <c r="GN21" s="394"/>
      <c r="GO21" s="394"/>
      <c r="GP21" s="394"/>
      <c r="GQ21" s="394"/>
      <c r="GR21" s="394"/>
      <c r="GS21" s="394"/>
      <c r="GT21" s="394"/>
      <c r="GU21" s="394"/>
      <c r="GV21" s="394"/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</row>
    <row r="22" spans="2:230" x14ac:dyDescent="0.15">
      <c r="B22" s="89" t="s">
        <v>37</v>
      </c>
      <c r="C22" s="272">
        <v>17119247</v>
      </c>
      <c r="D22" s="455">
        <f t="shared" si="0"/>
        <v>4917939</v>
      </c>
      <c r="E22" s="272">
        <v>163276</v>
      </c>
      <c r="F22" s="272">
        <v>4754663</v>
      </c>
      <c r="G22" s="455">
        <f t="shared" si="1"/>
        <v>1864874</v>
      </c>
      <c r="H22" s="272">
        <v>387148</v>
      </c>
      <c r="I22" s="272">
        <v>1477726</v>
      </c>
      <c r="J22" s="272">
        <v>7809507</v>
      </c>
      <c r="K22" s="272">
        <v>3544281</v>
      </c>
      <c r="L22" s="272">
        <v>2999813</v>
      </c>
      <c r="M22" s="272">
        <v>1109460</v>
      </c>
      <c r="N22" s="272">
        <v>840269</v>
      </c>
      <c r="O22" s="272">
        <v>1584081</v>
      </c>
      <c r="P22" s="272">
        <v>921143</v>
      </c>
      <c r="Q22" s="272">
        <v>662938</v>
      </c>
      <c r="R22" s="272">
        <v>1169477</v>
      </c>
      <c r="S22" s="272">
        <v>917304</v>
      </c>
      <c r="T22" s="455">
        <f t="shared" si="2"/>
        <v>1817513</v>
      </c>
      <c r="U22" s="272">
        <v>83829</v>
      </c>
      <c r="V22" s="272">
        <v>86905</v>
      </c>
      <c r="W22" s="272">
        <v>68355</v>
      </c>
      <c r="X22" s="272">
        <v>1296940</v>
      </c>
      <c r="Y22" s="272">
        <v>27356</v>
      </c>
      <c r="Z22" s="272">
        <v>0</v>
      </c>
      <c r="AA22" s="272">
        <v>254128</v>
      </c>
      <c r="AB22" s="272">
        <v>594787</v>
      </c>
      <c r="AC22" s="272">
        <v>985876</v>
      </c>
      <c r="AD22" s="272">
        <v>708816</v>
      </c>
      <c r="AE22" s="272">
        <v>277060</v>
      </c>
      <c r="AF22" s="272">
        <v>26844</v>
      </c>
      <c r="AG22" s="272">
        <v>327846</v>
      </c>
      <c r="AH22" s="455">
        <f t="shared" si="3"/>
        <v>1085813</v>
      </c>
      <c r="AI22" s="272">
        <v>694461</v>
      </c>
      <c r="AJ22" s="272">
        <v>391352</v>
      </c>
      <c r="AK22" s="272">
        <v>3739975</v>
      </c>
      <c r="AL22" s="455">
        <f t="shared" si="4"/>
        <v>1804115</v>
      </c>
      <c r="AM22" s="272">
        <v>1421360</v>
      </c>
      <c r="AN22" s="272">
        <v>382755</v>
      </c>
      <c r="AO22" s="272">
        <v>0</v>
      </c>
      <c r="AP22" s="272">
        <v>0</v>
      </c>
      <c r="AQ22" s="272">
        <v>673259</v>
      </c>
      <c r="AR22" s="272">
        <v>0</v>
      </c>
      <c r="AS22" s="272">
        <v>0</v>
      </c>
      <c r="AT22" s="272">
        <v>2099395</v>
      </c>
      <c r="AU22" s="272">
        <v>838144</v>
      </c>
      <c r="AV22" s="272">
        <v>191254</v>
      </c>
      <c r="AW22" s="272">
        <v>27403</v>
      </c>
      <c r="AX22" s="272">
        <v>1261251</v>
      </c>
      <c r="AY22" s="272">
        <v>55042</v>
      </c>
      <c r="AZ22" s="272">
        <v>66477</v>
      </c>
      <c r="BA22" s="272">
        <v>42529</v>
      </c>
      <c r="BB22" s="272">
        <v>6362</v>
      </c>
      <c r="BC22" s="272">
        <v>1264153</v>
      </c>
      <c r="BD22" s="272">
        <v>730000</v>
      </c>
      <c r="BE22" s="272">
        <v>107838</v>
      </c>
      <c r="BF22" s="272">
        <v>425472</v>
      </c>
      <c r="BG22" s="456">
        <v>843</v>
      </c>
      <c r="BH22" s="272">
        <v>411763</v>
      </c>
      <c r="BI22" s="272">
        <v>287097</v>
      </c>
      <c r="BJ22" s="272">
        <v>3446146</v>
      </c>
      <c r="BK22" s="272">
        <v>3033543</v>
      </c>
      <c r="BL22" s="272">
        <v>0</v>
      </c>
      <c r="BM22" s="272">
        <v>0</v>
      </c>
      <c r="BN22" s="272">
        <v>2796600</v>
      </c>
      <c r="BO22" s="455">
        <f t="shared" si="5"/>
        <v>1415600</v>
      </c>
      <c r="BP22" s="455">
        <f t="shared" si="6"/>
        <v>1381000</v>
      </c>
      <c r="BQ22" s="272">
        <v>211900</v>
      </c>
      <c r="BR22" s="272"/>
      <c r="BS22" s="272">
        <v>1169100</v>
      </c>
      <c r="BT22" s="272">
        <v>0</v>
      </c>
      <c r="BU22" s="272">
        <v>36958274</v>
      </c>
      <c r="BV22" s="272"/>
      <c r="BW22" s="272">
        <v>8781375</v>
      </c>
      <c r="BX22" s="272">
        <v>6020959</v>
      </c>
      <c r="BY22" s="272">
        <v>1265859</v>
      </c>
      <c r="BZ22" s="272">
        <v>197089</v>
      </c>
      <c r="CA22" s="272">
        <v>6516933</v>
      </c>
      <c r="CB22" s="272">
        <v>928549</v>
      </c>
      <c r="CC22" s="272">
        <v>277266</v>
      </c>
      <c r="CD22" s="272">
        <v>3256710</v>
      </c>
      <c r="CE22" s="272">
        <v>1849739</v>
      </c>
      <c r="CF22" s="272">
        <v>0</v>
      </c>
      <c r="CG22" s="272">
        <v>204289</v>
      </c>
      <c r="CH22" s="272">
        <v>3416922</v>
      </c>
      <c r="CI22" s="272">
        <v>2829704</v>
      </c>
      <c r="CJ22" s="455">
        <f t="shared" si="7"/>
        <v>587218</v>
      </c>
      <c r="CK22" s="272">
        <v>4629546</v>
      </c>
      <c r="CL22" s="272">
        <v>3148246</v>
      </c>
      <c r="CM22" s="272">
        <v>193973</v>
      </c>
      <c r="CN22" s="272">
        <v>763332</v>
      </c>
      <c r="CO22" s="272">
        <v>146610</v>
      </c>
      <c r="CP22" s="272">
        <v>2318946</v>
      </c>
      <c r="CQ22" s="272">
        <v>1197939</v>
      </c>
      <c r="CR22" s="272">
        <v>619936</v>
      </c>
      <c r="CS22" s="272">
        <v>125640</v>
      </c>
      <c r="CT22" s="455">
        <f t="shared" si="8"/>
        <v>18763</v>
      </c>
      <c r="CU22" s="272">
        <v>18763</v>
      </c>
      <c r="CV22" s="272">
        <v>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2837794</v>
      </c>
      <c r="DD22" s="272">
        <v>1041215</v>
      </c>
      <c r="DE22" s="272">
        <v>1792946</v>
      </c>
      <c r="DF22" s="26">
        <v>3633</v>
      </c>
      <c r="DG22" s="27">
        <v>0</v>
      </c>
      <c r="DH22" s="272">
        <v>0</v>
      </c>
      <c r="DI22" s="272">
        <v>225554</v>
      </c>
      <c r="DJ22" s="272">
        <v>148219</v>
      </c>
      <c r="DK22" s="272">
        <v>2331</v>
      </c>
      <c r="DL22" s="272">
        <v>75004</v>
      </c>
      <c r="DM22" s="272">
        <v>0</v>
      </c>
      <c r="DN22" s="272">
        <v>0</v>
      </c>
      <c r="DO22" s="272">
        <v>0</v>
      </c>
      <c r="DP22" s="272">
        <v>0</v>
      </c>
      <c r="DQ22" s="272">
        <v>3020000</v>
      </c>
      <c r="DR22" s="272">
        <v>0</v>
      </c>
      <c r="DS22" s="272">
        <v>0</v>
      </c>
      <c r="DT22" s="272">
        <v>4638404</v>
      </c>
      <c r="DU22" s="272">
        <v>1832815</v>
      </c>
      <c r="DV22" s="455">
        <f t="shared" si="11"/>
        <v>0</v>
      </c>
      <c r="DW22" s="272">
        <v>0</v>
      </c>
      <c r="DX22" s="272"/>
      <c r="DY22" s="272">
        <v>0</v>
      </c>
      <c r="DZ22" s="272">
        <v>1362452</v>
      </c>
      <c r="EA22" s="272">
        <v>570761</v>
      </c>
      <c r="EB22" s="272">
        <v>768668</v>
      </c>
      <c r="EC22" s="272">
        <v>0</v>
      </c>
      <c r="ED22" s="272">
        <v>36532084</v>
      </c>
      <c r="EE22" s="89"/>
      <c r="EF22" s="272">
        <v>426190</v>
      </c>
      <c r="EG22" s="272">
        <v>128056</v>
      </c>
      <c r="EH22" s="272">
        <v>298134</v>
      </c>
      <c r="EI22" s="272">
        <v>11037</v>
      </c>
      <c r="EJ22" s="272">
        <v>-462905</v>
      </c>
      <c r="EK22" s="89"/>
      <c r="EL22" s="272"/>
      <c r="EM22" s="272">
        <v>125764</v>
      </c>
      <c r="EN22" s="272">
        <v>1012838</v>
      </c>
      <c r="EO22" s="272">
        <v>50855</v>
      </c>
      <c r="EP22" s="455">
        <f t="shared" si="12"/>
        <v>1152352</v>
      </c>
      <c r="EQ22" s="272">
        <v>21713744</v>
      </c>
      <c r="ER22" s="272">
        <v>-3570201</v>
      </c>
      <c r="ES22" s="272">
        <v>8167388</v>
      </c>
      <c r="ET22" s="272">
        <v>5420497</v>
      </c>
      <c r="EU22" s="272">
        <v>2473424</v>
      </c>
      <c r="EV22" s="272">
        <v>3337232</v>
      </c>
      <c r="EW22" s="455">
        <f t="shared" si="13"/>
        <v>924171</v>
      </c>
      <c r="EX22" s="272">
        <v>924171</v>
      </c>
      <c r="EY22" s="272">
        <v>128832</v>
      </c>
      <c r="EZ22" s="272">
        <v>791706</v>
      </c>
      <c r="FA22" s="272">
        <v>0</v>
      </c>
      <c r="FB22" s="272"/>
      <c r="FC22" s="272">
        <v>3406850</v>
      </c>
      <c r="FD22" s="272">
        <v>2096612</v>
      </c>
      <c r="FE22" s="272">
        <v>1197939</v>
      </c>
      <c r="FF22" s="272">
        <v>4115581</v>
      </c>
      <c r="FG22" s="455">
        <f t="shared" si="14"/>
        <v>336497</v>
      </c>
      <c r="FH22" s="272">
        <v>24857755</v>
      </c>
      <c r="FI22" s="384">
        <f t="shared" si="15"/>
        <v>1.4</v>
      </c>
      <c r="FJ22" s="272">
        <v>21443004</v>
      </c>
      <c r="FK22" s="272">
        <v>1169121</v>
      </c>
      <c r="FL22" s="272">
        <v>15862330</v>
      </c>
      <c r="FM22" s="272">
        <v>16571146</v>
      </c>
      <c r="FN22" s="460">
        <v>0.88300000000000001</v>
      </c>
      <c r="FO22" s="388">
        <v>104.1</v>
      </c>
      <c r="FP22" s="388">
        <v>36.299999999999997</v>
      </c>
      <c r="FQ22" s="388">
        <v>11.6</v>
      </c>
      <c r="FR22" s="388">
        <v>15.1</v>
      </c>
      <c r="FS22" s="388">
        <v>15.4</v>
      </c>
      <c r="FT22" s="388">
        <v>8.1999999999999993</v>
      </c>
      <c r="FU22" s="388">
        <v>16.899999999999999</v>
      </c>
      <c r="FV22" s="388">
        <v>13.5</v>
      </c>
      <c r="FW22" s="272">
        <v>33666461</v>
      </c>
      <c r="FX22" s="388">
        <f t="shared" si="16"/>
        <v>157</v>
      </c>
      <c r="FY22" s="272">
        <v>8373558</v>
      </c>
      <c r="FZ22" s="272">
        <v>3859157</v>
      </c>
      <c r="GA22" s="272">
        <v>544572</v>
      </c>
      <c r="GB22" s="272">
        <v>3969829</v>
      </c>
      <c r="GC22" s="272"/>
      <c r="GD22" s="272">
        <v>6015188</v>
      </c>
      <c r="GE22" s="384">
        <f t="shared" si="17"/>
        <v>28.1</v>
      </c>
      <c r="GF22" s="388">
        <v>98.4</v>
      </c>
      <c r="GG22" s="388">
        <v>26.9</v>
      </c>
      <c r="GH22" s="388">
        <v>93.8</v>
      </c>
      <c r="GI22" s="272">
        <v>845</v>
      </c>
      <c r="GJ22" s="394"/>
      <c r="GK22" s="394"/>
      <c r="GL22" s="394"/>
      <c r="GM22" s="394"/>
      <c r="GN22" s="394"/>
      <c r="GO22" s="394"/>
      <c r="GP22" s="394"/>
      <c r="GQ22" s="394"/>
      <c r="GR22" s="394"/>
      <c r="GS22" s="394"/>
      <c r="GT22" s="394"/>
      <c r="GU22" s="394"/>
      <c r="GV22" s="394"/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</row>
    <row r="23" spans="2:230" x14ac:dyDescent="0.15">
      <c r="B23" s="89" t="s">
        <v>39</v>
      </c>
      <c r="C23" s="272">
        <v>20498128</v>
      </c>
      <c r="D23" s="455">
        <f t="shared" si="0"/>
        <v>7768395</v>
      </c>
      <c r="E23" s="272">
        <v>215649</v>
      </c>
      <c r="F23" s="272">
        <v>7552746</v>
      </c>
      <c r="G23" s="455">
        <f t="shared" si="1"/>
        <v>1220972</v>
      </c>
      <c r="H23" s="272">
        <v>348541</v>
      </c>
      <c r="I23" s="272">
        <v>872431</v>
      </c>
      <c r="J23" s="272">
        <v>8522905</v>
      </c>
      <c r="K23" s="272">
        <v>3759980</v>
      </c>
      <c r="L23" s="272">
        <v>3777911</v>
      </c>
      <c r="M23" s="272">
        <v>906693</v>
      </c>
      <c r="N23" s="272">
        <v>996240</v>
      </c>
      <c r="O23" s="272">
        <v>1775608</v>
      </c>
      <c r="P23" s="272">
        <v>987201</v>
      </c>
      <c r="Q23" s="272">
        <v>788407</v>
      </c>
      <c r="R23" s="272">
        <v>1541952</v>
      </c>
      <c r="S23" s="272">
        <v>1147011</v>
      </c>
      <c r="T23" s="455">
        <f t="shared" si="2"/>
        <v>2244603</v>
      </c>
      <c r="U23" s="272">
        <v>125790</v>
      </c>
      <c r="V23" s="272">
        <v>130516</v>
      </c>
      <c r="W23" s="272">
        <v>103228</v>
      </c>
      <c r="X23" s="272">
        <v>1451757</v>
      </c>
      <c r="Y23" s="272">
        <v>35122</v>
      </c>
      <c r="Z23" s="272">
        <v>0</v>
      </c>
      <c r="AA23" s="272">
        <v>398190</v>
      </c>
      <c r="AB23" s="272">
        <v>558251</v>
      </c>
      <c r="AC23" s="272">
        <v>7882219</v>
      </c>
      <c r="AD23" s="272">
        <v>7130174</v>
      </c>
      <c r="AE23" s="272">
        <v>752045</v>
      </c>
      <c r="AF23" s="272">
        <v>31771</v>
      </c>
      <c r="AG23" s="272">
        <v>371795</v>
      </c>
      <c r="AH23" s="455">
        <f t="shared" si="3"/>
        <v>1669334</v>
      </c>
      <c r="AI23" s="272">
        <v>1549699</v>
      </c>
      <c r="AJ23" s="272">
        <v>119635</v>
      </c>
      <c r="AK23" s="272">
        <v>7732874</v>
      </c>
      <c r="AL23" s="455">
        <f t="shared" si="4"/>
        <v>4498766</v>
      </c>
      <c r="AM23" s="272">
        <v>4189102</v>
      </c>
      <c r="AN23" s="272">
        <v>309664</v>
      </c>
      <c r="AO23" s="272">
        <v>0</v>
      </c>
      <c r="AP23" s="272">
        <v>0</v>
      </c>
      <c r="AQ23" s="272">
        <v>1343822</v>
      </c>
      <c r="AR23" s="272">
        <v>0</v>
      </c>
      <c r="AS23" s="272">
        <v>268486</v>
      </c>
      <c r="AT23" s="272">
        <v>2492429</v>
      </c>
      <c r="AU23" s="272">
        <v>1178756</v>
      </c>
      <c r="AV23" s="272">
        <v>154832</v>
      </c>
      <c r="AW23" s="272">
        <v>80945</v>
      </c>
      <c r="AX23" s="272">
        <v>1313673</v>
      </c>
      <c r="AY23" s="272">
        <v>56304</v>
      </c>
      <c r="AZ23" s="272">
        <v>172827</v>
      </c>
      <c r="BA23" s="272">
        <v>136978</v>
      </c>
      <c r="BB23" s="272">
        <v>19000</v>
      </c>
      <c r="BC23" s="272">
        <v>218242</v>
      </c>
      <c r="BD23" s="272">
        <v>0</v>
      </c>
      <c r="BE23" s="272">
        <v>0</v>
      </c>
      <c r="BF23" s="272">
        <v>200000</v>
      </c>
      <c r="BG23" s="272">
        <v>0</v>
      </c>
      <c r="BH23" s="272">
        <v>182606</v>
      </c>
      <c r="BI23" s="272">
        <v>75668</v>
      </c>
      <c r="BJ23" s="272">
        <v>459306</v>
      </c>
      <c r="BK23" s="272">
        <v>89777</v>
      </c>
      <c r="BL23" s="272">
        <v>1399</v>
      </c>
      <c r="BM23" s="272">
        <v>0</v>
      </c>
      <c r="BN23" s="272">
        <v>3349500</v>
      </c>
      <c r="BO23" s="455">
        <f t="shared" si="5"/>
        <v>1591700</v>
      </c>
      <c r="BP23" s="455">
        <f t="shared" si="6"/>
        <v>1757800</v>
      </c>
      <c r="BQ23" s="272">
        <v>195400</v>
      </c>
      <c r="BR23" s="272"/>
      <c r="BS23" s="272">
        <v>1562400</v>
      </c>
      <c r="BT23" s="272">
        <v>0</v>
      </c>
      <c r="BU23" s="272">
        <v>49693323</v>
      </c>
      <c r="BV23" s="272"/>
      <c r="BW23" s="272">
        <v>10878418</v>
      </c>
      <c r="BX23" s="272">
        <v>7523292</v>
      </c>
      <c r="BY23" s="272">
        <v>795137</v>
      </c>
      <c r="BZ23" s="272">
        <v>834049</v>
      </c>
      <c r="CA23" s="272">
        <v>11918929</v>
      </c>
      <c r="CB23" s="272">
        <v>1594836</v>
      </c>
      <c r="CC23" s="272">
        <v>334216</v>
      </c>
      <c r="CD23" s="272">
        <v>4154204</v>
      </c>
      <c r="CE23" s="272">
        <v>5569150</v>
      </c>
      <c r="CF23" s="272">
        <v>0</v>
      </c>
      <c r="CG23" s="272">
        <v>265343</v>
      </c>
      <c r="CH23" s="272">
        <v>6154333</v>
      </c>
      <c r="CI23" s="272">
        <v>5020311</v>
      </c>
      <c r="CJ23" s="455">
        <f t="shared" si="7"/>
        <v>1134022</v>
      </c>
      <c r="CK23" s="272">
        <v>6035141</v>
      </c>
      <c r="CL23" s="272">
        <v>3932024</v>
      </c>
      <c r="CM23" s="272">
        <v>375558</v>
      </c>
      <c r="CN23" s="272">
        <v>858088</v>
      </c>
      <c r="CO23" s="272">
        <v>316315</v>
      </c>
      <c r="CP23" s="272">
        <v>4698644</v>
      </c>
      <c r="CQ23" s="272">
        <v>1773453</v>
      </c>
      <c r="CR23" s="272">
        <v>1617046</v>
      </c>
      <c r="CS23" s="272">
        <v>1423955</v>
      </c>
      <c r="CT23" s="455">
        <f t="shared" si="8"/>
        <v>785000</v>
      </c>
      <c r="CU23" s="272">
        <v>15000</v>
      </c>
      <c r="CV23" s="272">
        <v>770000</v>
      </c>
      <c r="CW23" s="455">
        <f t="shared" si="9"/>
        <v>770000</v>
      </c>
      <c r="CX23" s="272">
        <v>0</v>
      </c>
      <c r="CY23" s="272">
        <v>770000</v>
      </c>
      <c r="CZ23" s="455">
        <f t="shared" si="10"/>
        <v>0</v>
      </c>
      <c r="DA23" s="272">
        <v>0</v>
      </c>
      <c r="DB23" s="272">
        <v>0</v>
      </c>
      <c r="DC23" s="272">
        <v>4509137</v>
      </c>
      <c r="DD23" s="272">
        <v>2555944</v>
      </c>
      <c r="DE23" s="272">
        <v>1953193</v>
      </c>
      <c r="DF23" s="26">
        <v>0</v>
      </c>
      <c r="DG23" s="27">
        <v>0</v>
      </c>
      <c r="DH23" s="272">
        <v>0</v>
      </c>
      <c r="DI23" s="272">
        <v>119274</v>
      </c>
      <c r="DJ23" s="272">
        <v>42270</v>
      </c>
      <c r="DK23" s="272">
        <v>840</v>
      </c>
      <c r="DL23" s="272">
        <v>76164</v>
      </c>
      <c r="DM23" s="272">
        <v>0</v>
      </c>
      <c r="DN23" s="272">
        <v>0</v>
      </c>
      <c r="DO23" s="272">
        <v>0</v>
      </c>
      <c r="DP23" s="272">
        <v>0</v>
      </c>
      <c r="DQ23" s="272">
        <v>682500</v>
      </c>
      <c r="DR23" s="272">
        <v>600000</v>
      </c>
      <c r="DS23" s="272">
        <v>600000</v>
      </c>
      <c r="DT23" s="272">
        <v>4212232</v>
      </c>
      <c r="DU23" s="272">
        <v>788503</v>
      </c>
      <c r="DV23" s="455">
        <f t="shared" si="11"/>
        <v>172967</v>
      </c>
      <c r="DW23" s="272">
        <v>172967</v>
      </c>
      <c r="DX23" s="272"/>
      <c r="DY23" s="272">
        <v>0</v>
      </c>
      <c r="DZ23" s="272">
        <v>1186371</v>
      </c>
      <c r="EA23" s="272">
        <v>899064</v>
      </c>
      <c r="EB23" s="272">
        <v>1160187</v>
      </c>
      <c r="EC23" s="272">
        <v>0</v>
      </c>
      <c r="ED23" s="272">
        <v>49524923</v>
      </c>
      <c r="EE23" s="89"/>
      <c r="EF23" s="272">
        <v>168400</v>
      </c>
      <c r="EG23" s="272">
        <v>19578</v>
      </c>
      <c r="EH23" s="272">
        <v>148822</v>
      </c>
      <c r="EI23" s="272">
        <v>73154</v>
      </c>
      <c r="EJ23" s="272">
        <v>169862</v>
      </c>
      <c r="EK23" s="89"/>
      <c r="EL23" s="272"/>
      <c r="EM23" s="272">
        <v>180594</v>
      </c>
      <c r="EN23" s="272">
        <v>18242</v>
      </c>
      <c r="EO23" s="272">
        <v>165866</v>
      </c>
      <c r="EP23" s="455">
        <f t="shared" si="12"/>
        <v>677446</v>
      </c>
      <c r="EQ23" s="272">
        <v>33025410</v>
      </c>
      <c r="ER23" s="272">
        <v>-2319097</v>
      </c>
      <c r="ES23" s="272">
        <v>9999586</v>
      </c>
      <c r="ET23" s="272">
        <v>6886914</v>
      </c>
      <c r="EU23" s="272">
        <v>4354771</v>
      </c>
      <c r="EV23" s="272">
        <v>5814427</v>
      </c>
      <c r="EW23" s="455">
        <f t="shared" si="13"/>
        <v>1053490</v>
      </c>
      <c r="EX23" s="272">
        <v>1053490</v>
      </c>
      <c r="EY23" s="272">
        <v>169053</v>
      </c>
      <c r="EZ23" s="272">
        <v>884437</v>
      </c>
      <c r="FA23" s="272">
        <v>0</v>
      </c>
      <c r="FB23" s="272"/>
      <c r="FC23" s="272">
        <v>4832290</v>
      </c>
      <c r="FD23" s="272">
        <v>4393872</v>
      </c>
      <c r="FE23" s="272">
        <v>1773453</v>
      </c>
      <c r="FF23" s="272">
        <v>3742415</v>
      </c>
      <c r="FG23" s="455">
        <f t="shared" si="14"/>
        <v>985256</v>
      </c>
      <c r="FH23" s="272">
        <v>35176107</v>
      </c>
      <c r="FI23" s="384">
        <f t="shared" si="15"/>
        <v>0.5</v>
      </c>
      <c r="FJ23" s="272">
        <v>29927602</v>
      </c>
      <c r="FK23" s="272">
        <v>1562468</v>
      </c>
      <c r="FL23" s="272">
        <v>17507409</v>
      </c>
      <c r="FM23" s="272">
        <v>24619563</v>
      </c>
      <c r="FN23" s="460">
        <v>0.7</v>
      </c>
      <c r="FO23" s="388">
        <v>98.1</v>
      </c>
      <c r="FP23" s="388">
        <v>29.3</v>
      </c>
      <c r="FQ23" s="388">
        <v>13.4</v>
      </c>
      <c r="FR23" s="388">
        <v>17.8</v>
      </c>
      <c r="FS23" s="388">
        <v>14.2</v>
      </c>
      <c r="FT23" s="388">
        <v>12.9</v>
      </c>
      <c r="FU23" s="388">
        <v>9.6</v>
      </c>
      <c r="FV23" s="388">
        <v>12.6</v>
      </c>
      <c r="FW23" s="272">
        <v>52688052</v>
      </c>
      <c r="FX23" s="388">
        <f t="shared" si="16"/>
        <v>176.1</v>
      </c>
      <c r="FY23" s="272">
        <v>5773620</v>
      </c>
      <c r="FZ23" s="272">
        <v>1886510</v>
      </c>
      <c r="GA23" s="272">
        <v>714780</v>
      </c>
      <c r="GB23" s="272">
        <v>3172330</v>
      </c>
      <c r="GC23" s="272"/>
      <c r="GD23" s="272">
        <v>7310402</v>
      </c>
      <c r="GE23" s="384">
        <f t="shared" si="17"/>
        <v>24.4</v>
      </c>
      <c r="GF23" s="388">
        <v>98.3</v>
      </c>
      <c r="GG23" s="388">
        <v>26.7</v>
      </c>
      <c r="GH23" s="388">
        <v>94.4</v>
      </c>
      <c r="GI23" s="272">
        <v>1089</v>
      </c>
      <c r="GJ23" s="394"/>
      <c r="GK23" s="394"/>
      <c r="GL23" s="394"/>
      <c r="GM23" s="394"/>
      <c r="GN23" s="394"/>
      <c r="GO23" s="394"/>
      <c r="GP23" s="394"/>
      <c r="GQ23" s="394"/>
      <c r="GR23" s="394"/>
      <c r="GS23" s="394"/>
      <c r="GT23" s="394"/>
      <c r="GU23" s="394"/>
      <c r="GV23" s="394"/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</row>
    <row r="24" spans="2:230" x14ac:dyDescent="0.15">
      <c r="B24" s="89" t="s">
        <v>41</v>
      </c>
      <c r="C24" s="272">
        <v>22550457</v>
      </c>
      <c r="D24" s="455">
        <f t="shared" si="0"/>
        <v>10414173</v>
      </c>
      <c r="E24" s="272">
        <v>168864</v>
      </c>
      <c r="F24" s="272">
        <v>10245309</v>
      </c>
      <c r="G24" s="455">
        <f t="shared" si="1"/>
        <v>1024960</v>
      </c>
      <c r="H24" s="272">
        <v>331275</v>
      </c>
      <c r="I24" s="272">
        <v>693685</v>
      </c>
      <c r="J24" s="272">
        <v>8350523</v>
      </c>
      <c r="K24" s="272">
        <v>4031044</v>
      </c>
      <c r="L24" s="272">
        <v>3520925</v>
      </c>
      <c r="M24" s="272">
        <v>765259</v>
      </c>
      <c r="N24" s="272">
        <v>648548</v>
      </c>
      <c r="O24" s="272">
        <v>2027965</v>
      </c>
      <c r="P24" s="272">
        <v>1238644</v>
      </c>
      <c r="Q24" s="272">
        <v>789321</v>
      </c>
      <c r="R24" s="272">
        <v>738367</v>
      </c>
      <c r="S24" s="272">
        <v>439218</v>
      </c>
      <c r="T24" s="455">
        <f t="shared" si="2"/>
        <v>1816310</v>
      </c>
      <c r="U24" s="272">
        <v>149041</v>
      </c>
      <c r="V24" s="272">
        <v>154680</v>
      </c>
      <c r="W24" s="272">
        <v>122542</v>
      </c>
      <c r="X24" s="272">
        <v>1085537</v>
      </c>
      <c r="Y24" s="272">
        <v>3057</v>
      </c>
      <c r="Z24" s="272">
        <v>0</v>
      </c>
      <c r="AA24" s="272">
        <v>301453</v>
      </c>
      <c r="AB24" s="272">
        <v>777202</v>
      </c>
      <c r="AC24" s="272">
        <v>108014</v>
      </c>
      <c r="AD24" s="272">
        <v>0</v>
      </c>
      <c r="AE24" s="272">
        <v>108014</v>
      </c>
      <c r="AF24" s="272">
        <v>28040</v>
      </c>
      <c r="AG24" s="272">
        <v>187856</v>
      </c>
      <c r="AH24" s="455">
        <f t="shared" si="3"/>
        <v>961872</v>
      </c>
      <c r="AI24" s="272">
        <v>725985</v>
      </c>
      <c r="AJ24" s="272">
        <v>235887</v>
      </c>
      <c r="AK24" s="272">
        <v>2677740</v>
      </c>
      <c r="AL24" s="455">
        <f t="shared" si="4"/>
        <v>1522167</v>
      </c>
      <c r="AM24" s="272">
        <v>1012497</v>
      </c>
      <c r="AN24" s="272">
        <v>509670</v>
      </c>
      <c r="AO24" s="272">
        <v>0</v>
      </c>
      <c r="AP24" s="272">
        <v>0</v>
      </c>
      <c r="AQ24" s="272">
        <v>519004</v>
      </c>
      <c r="AR24" s="272">
        <v>0</v>
      </c>
      <c r="AS24" s="272">
        <v>0</v>
      </c>
      <c r="AT24" s="272">
        <v>1557895</v>
      </c>
      <c r="AU24" s="272">
        <v>618520</v>
      </c>
      <c r="AV24" s="272">
        <v>237632</v>
      </c>
      <c r="AW24" s="272">
        <v>4247</v>
      </c>
      <c r="AX24" s="272">
        <v>939375</v>
      </c>
      <c r="AY24" s="272">
        <v>17777</v>
      </c>
      <c r="AZ24" s="272">
        <v>134065</v>
      </c>
      <c r="BA24" s="272">
        <v>14966</v>
      </c>
      <c r="BB24" s="272">
        <v>104360</v>
      </c>
      <c r="BC24" s="272">
        <v>2862129</v>
      </c>
      <c r="BD24" s="272">
        <v>392085</v>
      </c>
      <c r="BE24" s="272">
        <v>420000</v>
      </c>
      <c r="BF24" s="272">
        <v>1746801</v>
      </c>
      <c r="BG24" s="272">
        <v>0</v>
      </c>
      <c r="BH24" s="272">
        <v>683634</v>
      </c>
      <c r="BI24" s="272">
        <v>443367</v>
      </c>
      <c r="BJ24" s="272">
        <v>3275720</v>
      </c>
      <c r="BK24" s="272">
        <v>2345528</v>
      </c>
      <c r="BL24" s="272">
        <v>0</v>
      </c>
      <c r="BM24" s="272">
        <v>500000</v>
      </c>
      <c r="BN24" s="272">
        <v>1742500</v>
      </c>
      <c r="BO24" s="455">
        <f t="shared" si="5"/>
        <v>282500</v>
      </c>
      <c r="BP24" s="455">
        <f t="shared" si="6"/>
        <v>1460000</v>
      </c>
      <c r="BQ24" s="272">
        <v>250000</v>
      </c>
      <c r="BR24" s="272"/>
      <c r="BS24" s="272">
        <v>1210000</v>
      </c>
      <c r="BT24" s="272">
        <v>0</v>
      </c>
      <c r="BU24" s="272">
        <v>40206161</v>
      </c>
      <c r="BV24" s="272"/>
      <c r="BW24" s="272">
        <v>10412729</v>
      </c>
      <c r="BX24" s="272">
        <v>7225772</v>
      </c>
      <c r="BY24" s="272">
        <v>1042188</v>
      </c>
      <c r="BZ24" s="272">
        <v>617257</v>
      </c>
      <c r="CA24" s="272">
        <v>4164515</v>
      </c>
      <c r="CB24" s="272">
        <v>901393</v>
      </c>
      <c r="CC24" s="272">
        <v>248941</v>
      </c>
      <c r="CD24" s="272">
        <v>1586376</v>
      </c>
      <c r="CE24" s="272">
        <v>1352898</v>
      </c>
      <c r="CF24" s="272">
        <v>0</v>
      </c>
      <c r="CG24" s="272">
        <v>74907</v>
      </c>
      <c r="CH24" s="272">
        <v>4339366</v>
      </c>
      <c r="CI24" s="272">
        <v>3659994</v>
      </c>
      <c r="CJ24" s="455">
        <f t="shared" si="7"/>
        <v>679372</v>
      </c>
      <c r="CK24" s="272">
        <v>6435556</v>
      </c>
      <c r="CL24" s="272">
        <v>3960051</v>
      </c>
      <c r="CM24" s="272">
        <v>387859</v>
      </c>
      <c r="CN24" s="272">
        <v>1233761</v>
      </c>
      <c r="CO24" s="272">
        <v>390485</v>
      </c>
      <c r="CP24" s="272">
        <v>3291724</v>
      </c>
      <c r="CQ24" s="272">
        <v>71751</v>
      </c>
      <c r="CR24" s="272">
        <v>1321529</v>
      </c>
      <c r="CS24" s="272">
        <v>1202965</v>
      </c>
      <c r="CT24" s="455">
        <f t="shared" si="8"/>
        <v>1384807</v>
      </c>
      <c r="CU24" s="272">
        <v>1298612</v>
      </c>
      <c r="CV24" s="272">
        <v>86195</v>
      </c>
      <c r="CW24" s="455">
        <f t="shared" si="9"/>
        <v>873661</v>
      </c>
      <c r="CX24" s="272">
        <v>873661</v>
      </c>
      <c r="CY24" s="272">
        <v>0</v>
      </c>
      <c r="CZ24" s="455">
        <f t="shared" si="10"/>
        <v>468570</v>
      </c>
      <c r="DA24" s="272">
        <v>418203</v>
      </c>
      <c r="DB24" s="272">
        <v>50367</v>
      </c>
      <c r="DC24" s="272">
        <v>3334773</v>
      </c>
      <c r="DD24" s="272">
        <v>1144970</v>
      </c>
      <c r="DE24" s="272">
        <v>2189803</v>
      </c>
      <c r="DF24" s="26">
        <v>0</v>
      </c>
      <c r="DG24" s="27">
        <v>0</v>
      </c>
      <c r="DH24" s="272">
        <v>195</v>
      </c>
      <c r="DI24" s="272">
        <v>287022</v>
      </c>
      <c r="DJ24" s="272">
        <v>16453</v>
      </c>
      <c r="DK24" s="272">
        <v>5030</v>
      </c>
      <c r="DL24" s="272">
        <v>265539</v>
      </c>
      <c r="DM24" s="272">
        <v>364162</v>
      </c>
      <c r="DN24" s="272">
        <v>284162</v>
      </c>
      <c r="DO24" s="272">
        <v>0</v>
      </c>
      <c r="DP24" s="272">
        <v>284162</v>
      </c>
      <c r="DQ24" s="272">
        <v>2409260</v>
      </c>
      <c r="DR24" s="272">
        <v>85200</v>
      </c>
      <c r="DS24" s="272">
        <v>0</v>
      </c>
      <c r="DT24" s="272">
        <v>3230152</v>
      </c>
      <c r="DU24" s="272">
        <v>0</v>
      </c>
      <c r="DV24" s="455">
        <f t="shared" si="11"/>
        <v>163521</v>
      </c>
      <c r="DW24" s="272">
        <v>163521</v>
      </c>
      <c r="DX24" s="272"/>
      <c r="DY24" s="272">
        <v>0</v>
      </c>
      <c r="DZ24" s="272">
        <v>1293806</v>
      </c>
      <c r="EA24" s="272">
        <v>669208</v>
      </c>
      <c r="EB24" s="272">
        <v>834936</v>
      </c>
      <c r="EC24" s="272">
        <v>0</v>
      </c>
      <c r="ED24" s="272">
        <v>38659939</v>
      </c>
      <c r="EE24" s="89"/>
      <c r="EF24" s="272">
        <v>1546222</v>
      </c>
      <c r="EG24" s="272">
        <v>324178</v>
      </c>
      <c r="EH24" s="272">
        <v>1222044</v>
      </c>
      <c r="EI24" s="272">
        <v>178677</v>
      </c>
      <c r="EJ24" s="272">
        <v>-196955</v>
      </c>
      <c r="EK24" s="89"/>
      <c r="EL24" s="272"/>
      <c r="EM24" s="272">
        <v>124946</v>
      </c>
      <c r="EN24" s="272">
        <v>1311328</v>
      </c>
      <c r="EO24" s="272">
        <v>85657</v>
      </c>
      <c r="EP24" s="455">
        <f t="shared" si="12"/>
        <v>1413439</v>
      </c>
      <c r="EQ24" s="272">
        <v>26018390</v>
      </c>
      <c r="ER24" s="272">
        <v>-4242384</v>
      </c>
      <c r="ES24" s="272">
        <v>10014621</v>
      </c>
      <c r="ET24" s="272">
        <v>6933889</v>
      </c>
      <c r="EU24" s="272">
        <v>1481354</v>
      </c>
      <c r="EV24" s="272">
        <v>4338583</v>
      </c>
      <c r="EW24" s="455">
        <f t="shared" si="13"/>
        <v>1305806</v>
      </c>
      <c r="EX24" s="272">
        <v>1305611</v>
      </c>
      <c r="EY24" s="272">
        <v>225871</v>
      </c>
      <c r="EZ24" s="272">
        <v>1079740</v>
      </c>
      <c r="FA24" s="272">
        <v>195</v>
      </c>
      <c r="FB24" s="272"/>
      <c r="FC24" s="272">
        <v>4947033</v>
      </c>
      <c r="FD24" s="272">
        <v>3062612</v>
      </c>
      <c r="FE24" s="272">
        <v>71751</v>
      </c>
      <c r="FF24" s="272">
        <v>2604397</v>
      </c>
      <c r="FG24" s="455">
        <f t="shared" si="14"/>
        <v>963002</v>
      </c>
      <c r="FH24" s="272">
        <v>28717408</v>
      </c>
      <c r="FI24" s="384">
        <f t="shared" si="15"/>
        <v>5.3</v>
      </c>
      <c r="FJ24" s="272">
        <v>23185722</v>
      </c>
      <c r="FK24" s="272">
        <v>1242486</v>
      </c>
      <c r="FL24" s="272">
        <v>17588607</v>
      </c>
      <c r="FM24" s="272">
        <v>16925883</v>
      </c>
      <c r="FN24" s="460">
        <v>1.0589999999999999</v>
      </c>
      <c r="FO24" s="388">
        <v>96.9</v>
      </c>
      <c r="FP24" s="388">
        <v>38.4</v>
      </c>
      <c r="FQ24" s="388">
        <v>5.8</v>
      </c>
      <c r="FR24" s="388">
        <v>17</v>
      </c>
      <c r="FS24" s="388">
        <v>17.2</v>
      </c>
      <c r="FT24" s="388">
        <v>10</v>
      </c>
      <c r="FU24" s="388">
        <v>7.1</v>
      </c>
      <c r="FV24" s="388">
        <v>13.5</v>
      </c>
      <c r="FW24" s="272">
        <v>32485688</v>
      </c>
      <c r="FX24" s="388">
        <f t="shared" si="16"/>
        <v>140.1</v>
      </c>
      <c r="FY24" s="272">
        <v>18158177</v>
      </c>
      <c r="FZ24" s="272">
        <v>7751579</v>
      </c>
      <c r="GA24" s="272">
        <v>2014624</v>
      </c>
      <c r="GB24" s="272">
        <v>8391974</v>
      </c>
      <c r="GC24" s="272"/>
      <c r="GD24" s="272">
        <v>2392262</v>
      </c>
      <c r="GE24" s="384">
        <f t="shared" si="17"/>
        <v>10.3</v>
      </c>
      <c r="GF24" s="388">
        <v>98</v>
      </c>
      <c r="GG24" s="388">
        <v>26.6</v>
      </c>
      <c r="GH24" s="388">
        <v>93</v>
      </c>
      <c r="GI24" s="272">
        <v>1021</v>
      </c>
      <c r="GJ24" s="394"/>
      <c r="GK24" s="394"/>
      <c r="GL24" s="394"/>
      <c r="GM24" s="394"/>
      <c r="GN24" s="394"/>
      <c r="GO24" s="394"/>
      <c r="GP24" s="394"/>
      <c r="GQ24" s="394"/>
      <c r="GR24" s="394"/>
      <c r="GS24" s="394"/>
      <c r="GT24" s="394"/>
      <c r="GU24" s="394"/>
      <c r="GV24" s="394"/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</row>
    <row r="25" spans="2:230" x14ac:dyDescent="0.15">
      <c r="B25" s="89" t="s">
        <v>43</v>
      </c>
      <c r="C25" s="272">
        <v>9266131</v>
      </c>
      <c r="D25" s="455">
        <f t="shared" si="0"/>
        <v>3232352</v>
      </c>
      <c r="E25" s="272">
        <v>95356</v>
      </c>
      <c r="F25" s="272">
        <v>3136996</v>
      </c>
      <c r="G25" s="455">
        <f t="shared" si="1"/>
        <v>1108313</v>
      </c>
      <c r="H25" s="272">
        <v>137360</v>
      </c>
      <c r="I25" s="272">
        <v>970953</v>
      </c>
      <c r="J25" s="272">
        <v>3706032</v>
      </c>
      <c r="K25" s="272">
        <v>1637658</v>
      </c>
      <c r="L25" s="272">
        <v>1378897</v>
      </c>
      <c r="M25" s="272">
        <v>656724</v>
      </c>
      <c r="N25" s="272">
        <v>386201</v>
      </c>
      <c r="O25" s="272">
        <v>765769</v>
      </c>
      <c r="P25" s="272">
        <v>466009</v>
      </c>
      <c r="Q25" s="272">
        <v>299760</v>
      </c>
      <c r="R25" s="272">
        <v>705332</v>
      </c>
      <c r="S25" s="272">
        <v>531909</v>
      </c>
      <c r="T25" s="455">
        <f t="shared" si="2"/>
        <v>1022113</v>
      </c>
      <c r="U25" s="272">
        <v>55796</v>
      </c>
      <c r="V25" s="272">
        <v>57848</v>
      </c>
      <c r="W25" s="272">
        <v>45526</v>
      </c>
      <c r="X25" s="272">
        <v>688211</v>
      </c>
      <c r="Y25" s="272">
        <v>0</v>
      </c>
      <c r="Z25" s="272">
        <v>0</v>
      </c>
      <c r="AA25" s="272">
        <v>174732</v>
      </c>
      <c r="AB25" s="272">
        <v>294457</v>
      </c>
      <c r="AC25" s="272">
        <v>3668995</v>
      </c>
      <c r="AD25" s="272">
        <v>3445924</v>
      </c>
      <c r="AE25" s="272">
        <v>223071</v>
      </c>
      <c r="AF25" s="272">
        <v>15144</v>
      </c>
      <c r="AG25" s="272">
        <v>242384</v>
      </c>
      <c r="AH25" s="455">
        <f t="shared" si="3"/>
        <v>505615</v>
      </c>
      <c r="AI25" s="272">
        <v>406705</v>
      </c>
      <c r="AJ25" s="272">
        <v>98910</v>
      </c>
      <c r="AK25" s="272">
        <v>2772643</v>
      </c>
      <c r="AL25" s="455">
        <f t="shared" si="4"/>
        <v>1871434</v>
      </c>
      <c r="AM25" s="272">
        <v>1361609</v>
      </c>
      <c r="AN25" s="272">
        <v>508131</v>
      </c>
      <c r="AO25" s="272">
        <v>0</v>
      </c>
      <c r="AP25" s="272">
        <v>1694</v>
      </c>
      <c r="AQ25" s="272">
        <v>558743</v>
      </c>
      <c r="AR25" s="272">
        <v>0</v>
      </c>
      <c r="AS25" s="272">
        <v>0</v>
      </c>
      <c r="AT25" s="272">
        <v>1047572</v>
      </c>
      <c r="AU25" s="272">
        <v>458145</v>
      </c>
      <c r="AV25" s="272">
        <v>235956</v>
      </c>
      <c r="AW25" s="272">
        <v>6678</v>
      </c>
      <c r="AX25" s="272">
        <v>589427</v>
      </c>
      <c r="AY25" s="272">
        <v>8840</v>
      </c>
      <c r="AZ25" s="272">
        <v>98409</v>
      </c>
      <c r="BA25" s="272">
        <v>82319</v>
      </c>
      <c r="BB25" s="272">
        <v>161214</v>
      </c>
      <c r="BC25" s="272">
        <v>194450</v>
      </c>
      <c r="BD25" s="272">
        <v>177500</v>
      </c>
      <c r="BE25" s="272">
        <v>16261</v>
      </c>
      <c r="BF25" s="272">
        <v>689</v>
      </c>
      <c r="BG25" s="272">
        <v>0</v>
      </c>
      <c r="BH25" s="272">
        <v>19816</v>
      </c>
      <c r="BI25" s="272">
        <v>4640</v>
      </c>
      <c r="BJ25" s="272">
        <v>876662</v>
      </c>
      <c r="BK25" s="272">
        <v>712718</v>
      </c>
      <c r="BL25" s="272">
        <v>0</v>
      </c>
      <c r="BM25" s="272">
        <v>0</v>
      </c>
      <c r="BN25" s="272">
        <v>1485600</v>
      </c>
      <c r="BO25" s="455">
        <f t="shared" si="5"/>
        <v>614500</v>
      </c>
      <c r="BP25" s="455">
        <f t="shared" si="6"/>
        <v>871100</v>
      </c>
      <c r="BQ25" s="272">
        <v>103500</v>
      </c>
      <c r="BR25" s="272"/>
      <c r="BS25" s="272">
        <v>767600</v>
      </c>
      <c r="BT25" s="272">
        <v>0</v>
      </c>
      <c r="BU25" s="272">
        <v>22376537</v>
      </c>
      <c r="BV25" s="272"/>
      <c r="BW25" s="272">
        <v>4266253</v>
      </c>
      <c r="BX25" s="272">
        <v>3054990</v>
      </c>
      <c r="BY25" s="272">
        <v>250603</v>
      </c>
      <c r="BZ25" s="272">
        <v>189198</v>
      </c>
      <c r="CA25" s="272">
        <v>4451599</v>
      </c>
      <c r="CB25" s="272">
        <v>482560</v>
      </c>
      <c r="CC25" s="272">
        <v>147278</v>
      </c>
      <c r="CD25" s="272">
        <v>1784503</v>
      </c>
      <c r="CE25" s="272">
        <v>1765423</v>
      </c>
      <c r="CF25" s="272">
        <v>152242</v>
      </c>
      <c r="CG25" s="272">
        <v>119548</v>
      </c>
      <c r="CH25" s="272">
        <v>2033249</v>
      </c>
      <c r="CI25" s="272">
        <v>1628610</v>
      </c>
      <c r="CJ25" s="455">
        <f t="shared" si="7"/>
        <v>404639</v>
      </c>
      <c r="CK25" s="272">
        <v>2313989</v>
      </c>
      <c r="CL25" s="272">
        <v>1320159</v>
      </c>
      <c r="CM25" s="272">
        <v>191484</v>
      </c>
      <c r="CN25" s="272">
        <v>348098</v>
      </c>
      <c r="CO25" s="272">
        <v>94482</v>
      </c>
      <c r="CP25" s="272">
        <v>3183390</v>
      </c>
      <c r="CQ25" s="272">
        <v>1988110</v>
      </c>
      <c r="CR25" s="272">
        <v>451111</v>
      </c>
      <c r="CS25" s="272">
        <v>212234</v>
      </c>
      <c r="CT25" s="455">
        <f t="shared" si="8"/>
        <v>539863</v>
      </c>
      <c r="CU25" s="272">
        <v>428615</v>
      </c>
      <c r="CV25" s="272">
        <v>111248</v>
      </c>
      <c r="CW25" s="455">
        <f t="shared" si="9"/>
        <v>537752</v>
      </c>
      <c r="CX25" s="272">
        <v>428204</v>
      </c>
      <c r="CY25" s="272">
        <v>109548</v>
      </c>
      <c r="CZ25" s="455">
        <f t="shared" si="10"/>
        <v>0</v>
      </c>
      <c r="DA25" s="272">
        <v>0</v>
      </c>
      <c r="DB25" s="272">
        <v>0</v>
      </c>
      <c r="DC25" s="272">
        <v>1744637</v>
      </c>
      <c r="DD25" s="272">
        <v>1122660</v>
      </c>
      <c r="DE25" s="272">
        <v>621977</v>
      </c>
      <c r="DF25" s="26">
        <v>0</v>
      </c>
      <c r="DG25" s="27">
        <v>0</v>
      </c>
      <c r="DH25" s="272">
        <v>0</v>
      </c>
      <c r="DI25" s="272">
        <v>184944</v>
      </c>
      <c r="DJ25" s="272">
        <v>2353</v>
      </c>
      <c r="DK25" s="272">
        <v>53</v>
      </c>
      <c r="DL25" s="272">
        <v>182538</v>
      </c>
      <c r="DM25" s="272">
        <v>0</v>
      </c>
      <c r="DN25" s="272">
        <v>0</v>
      </c>
      <c r="DO25" s="272">
        <v>0</v>
      </c>
      <c r="DP25" s="272">
        <v>0</v>
      </c>
      <c r="DQ25" s="272">
        <v>713524</v>
      </c>
      <c r="DR25" s="272">
        <v>0</v>
      </c>
      <c r="DS25" s="272">
        <v>0</v>
      </c>
      <c r="DT25" s="272">
        <v>3298556</v>
      </c>
      <c r="DU25" s="272">
        <v>1059603</v>
      </c>
      <c r="DV25" s="455">
        <f t="shared" si="11"/>
        <v>0</v>
      </c>
      <c r="DW25" s="272">
        <v>0</v>
      </c>
      <c r="DX25" s="272"/>
      <c r="DY25" s="272">
        <v>0</v>
      </c>
      <c r="DZ25" s="272">
        <v>725331</v>
      </c>
      <c r="EA25" s="272">
        <v>418775</v>
      </c>
      <c r="EB25" s="272">
        <v>592786</v>
      </c>
      <c r="EC25" s="272">
        <v>0</v>
      </c>
      <c r="ED25" s="272">
        <v>22284623</v>
      </c>
      <c r="EE25" s="89"/>
      <c r="EF25" s="272">
        <v>91914</v>
      </c>
      <c r="EG25" s="272">
        <v>90530</v>
      </c>
      <c r="EH25" s="272">
        <v>1384</v>
      </c>
      <c r="EI25" s="272">
        <v>-8456</v>
      </c>
      <c r="EJ25" s="272">
        <v>-183603</v>
      </c>
      <c r="EK25" s="89"/>
      <c r="EL25" s="272"/>
      <c r="EM25" s="272">
        <v>74595</v>
      </c>
      <c r="EN25" s="272">
        <v>193761</v>
      </c>
      <c r="EO25" s="272">
        <v>87299</v>
      </c>
      <c r="EP25" s="455">
        <f t="shared" si="12"/>
        <v>222773</v>
      </c>
      <c r="EQ25" s="272">
        <v>14972172</v>
      </c>
      <c r="ER25" s="272">
        <v>-1359789</v>
      </c>
      <c r="ES25" s="272">
        <v>4013381</v>
      </c>
      <c r="ET25" s="272">
        <v>2835445</v>
      </c>
      <c r="EU25" s="272">
        <v>1642621</v>
      </c>
      <c r="EV25" s="272">
        <v>1999209</v>
      </c>
      <c r="EW25" s="455">
        <f t="shared" si="13"/>
        <v>501827</v>
      </c>
      <c r="EX25" s="272">
        <v>501827</v>
      </c>
      <c r="EY25" s="272">
        <v>4474</v>
      </c>
      <c r="EZ25" s="272">
        <v>497353</v>
      </c>
      <c r="FA25" s="272">
        <v>0</v>
      </c>
      <c r="FB25" s="272"/>
      <c r="FC25" s="272">
        <v>1868116</v>
      </c>
      <c r="FD25" s="272">
        <v>3121569</v>
      </c>
      <c r="FE25" s="272">
        <v>1988110</v>
      </c>
      <c r="FF25" s="272">
        <v>2999032</v>
      </c>
      <c r="FG25" s="455">
        <f t="shared" si="14"/>
        <v>94373</v>
      </c>
      <c r="FH25" s="272">
        <v>16240128</v>
      </c>
      <c r="FI25" s="384">
        <f t="shared" si="15"/>
        <v>0</v>
      </c>
      <c r="FJ25" s="272">
        <v>14037692</v>
      </c>
      <c r="FK25" s="272">
        <v>767695</v>
      </c>
      <c r="FL25" s="272">
        <v>8130516</v>
      </c>
      <c r="FM25" s="272">
        <v>11565234</v>
      </c>
      <c r="FN25" s="460">
        <v>0.66600000000000004</v>
      </c>
      <c r="FO25" s="388">
        <v>95.6</v>
      </c>
      <c r="FP25" s="388">
        <v>26.3</v>
      </c>
      <c r="FQ25" s="388">
        <v>11</v>
      </c>
      <c r="FR25" s="388">
        <v>13.4</v>
      </c>
      <c r="FS25" s="388">
        <v>12</v>
      </c>
      <c r="FT25" s="388">
        <v>19.3</v>
      </c>
      <c r="FU25" s="388">
        <v>13.1</v>
      </c>
      <c r="FV25" s="388">
        <v>12.2</v>
      </c>
      <c r="FW25" s="272">
        <v>19587724</v>
      </c>
      <c r="FX25" s="388">
        <f t="shared" si="16"/>
        <v>139.5</v>
      </c>
      <c r="FY25" s="272">
        <v>3853713</v>
      </c>
      <c r="FZ25" s="272">
        <v>747141</v>
      </c>
      <c r="GA25" s="272">
        <v>159</v>
      </c>
      <c r="GB25" s="272">
        <v>3106413</v>
      </c>
      <c r="GC25" s="272"/>
      <c r="GD25" s="272">
        <v>693829</v>
      </c>
      <c r="GE25" s="384">
        <f t="shared" si="17"/>
        <v>4.9000000000000004</v>
      </c>
      <c r="GF25" s="388">
        <v>97.9</v>
      </c>
      <c r="GG25" s="388">
        <v>20.9</v>
      </c>
      <c r="GH25" s="388">
        <v>91</v>
      </c>
      <c r="GI25" s="272">
        <v>414</v>
      </c>
      <c r="GJ25" s="394"/>
      <c r="GK25" s="394"/>
      <c r="GL25" s="394"/>
      <c r="GM25" s="394"/>
      <c r="GN25" s="394"/>
      <c r="GO25" s="394"/>
      <c r="GP25" s="394"/>
      <c r="GQ25" s="394"/>
      <c r="GR25" s="394"/>
      <c r="GS25" s="394"/>
      <c r="GT25" s="394"/>
      <c r="GU25" s="394"/>
      <c r="GV25" s="394"/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</row>
    <row r="26" spans="2:230" x14ac:dyDescent="0.15">
      <c r="B26" s="89" t="s">
        <v>45</v>
      </c>
      <c r="C26" s="272">
        <v>12814344</v>
      </c>
      <c r="D26" s="455">
        <f t="shared" si="0"/>
        <v>5218583</v>
      </c>
      <c r="E26" s="272">
        <v>146830</v>
      </c>
      <c r="F26" s="272">
        <v>5071753</v>
      </c>
      <c r="G26" s="455">
        <f t="shared" si="1"/>
        <v>850624</v>
      </c>
      <c r="H26" s="272">
        <v>193101</v>
      </c>
      <c r="I26" s="272">
        <v>657523</v>
      </c>
      <c r="J26" s="272">
        <v>4883319</v>
      </c>
      <c r="K26" s="272">
        <v>2387260</v>
      </c>
      <c r="L26" s="272">
        <v>1985419</v>
      </c>
      <c r="M26" s="272">
        <v>468591</v>
      </c>
      <c r="N26" s="272">
        <v>637971</v>
      </c>
      <c r="O26" s="272">
        <v>1088656</v>
      </c>
      <c r="P26" s="272">
        <v>662814</v>
      </c>
      <c r="Q26" s="272">
        <v>425842</v>
      </c>
      <c r="R26" s="272">
        <v>1017966</v>
      </c>
      <c r="S26" s="272">
        <v>755864</v>
      </c>
      <c r="T26" s="455">
        <f t="shared" si="2"/>
        <v>1511071</v>
      </c>
      <c r="U26" s="272">
        <v>86114</v>
      </c>
      <c r="V26" s="272">
        <v>89258</v>
      </c>
      <c r="W26" s="272">
        <v>70125</v>
      </c>
      <c r="X26" s="272">
        <v>1001461</v>
      </c>
      <c r="Y26" s="272">
        <v>0</v>
      </c>
      <c r="Z26" s="272">
        <v>0</v>
      </c>
      <c r="AA26" s="272">
        <v>264113</v>
      </c>
      <c r="AB26" s="272">
        <v>390384</v>
      </c>
      <c r="AC26" s="272">
        <v>7232715</v>
      </c>
      <c r="AD26" s="272">
        <v>6974606</v>
      </c>
      <c r="AE26" s="272">
        <v>258109</v>
      </c>
      <c r="AF26" s="272">
        <v>23781</v>
      </c>
      <c r="AG26" s="272">
        <v>297294</v>
      </c>
      <c r="AH26" s="455">
        <f t="shared" si="3"/>
        <v>544076</v>
      </c>
      <c r="AI26" s="272">
        <v>494560</v>
      </c>
      <c r="AJ26" s="272">
        <v>49516</v>
      </c>
      <c r="AK26" s="272">
        <v>4382623</v>
      </c>
      <c r="AL26" s="455">
        <f t="shared" si="4"/>
        <v>2849030</v>
      </c>
      <c r="AM26" s="272">
        <v>2560697</v>
      </c>
      <c r="AN26" s="272">
        <v>288333</v>
      </c>
      <c r="AO26" s="272">
        <v>0</v>
      </c>
      <c r="AP26" s="272">
        <v>0</v>
      </c>
      <c r="AQ26" s="272">
        <v>233800</v>
      </c>
      <c r="AR26" s="272">
        <v>0</v>
      </c>
      <c r="AS26" s="272">
        <v>0</v>
      </c>
      <c r="AT26" s="272">
        <v>1792835</v>
      </c>
      <c r="AU26" s="272">
        <v>834971</v>
      </c>
      <c r="AV26" s="272">
        <v>144167</v>
      </c>
      <c r="AW26" s="272">
        <v>58666</v>
      </c>
      <c r="AX26" s="272">
        <v>957864</v>
      </c>
      <c r="AY26" s="272">
        <v>33350</v>
      </c>
      <c r="AZ26" s="272">
        <v>136785</v>
      </c>
      <c r="BA26" s="272">
        <v>125580</v>
      </c>
      <c r="BB26" s="272">
        <v>17448</v>
      </c>
      <c r="BC26" s="272">
        <v>631660</v>
      </c>
      <c r="BD26" s="272">
        <v>300000</v>
      </c>
      <c r="BE26" s="272">
        <v>0</v>
      </c>
      <c r="BF26" s="272">
        <v>222163</v>
      </c>
      <c r="BG26" s="272">
        <v>0</v>
      </c>
      <c r="BH26" s="272">
        <v>0</v>
      </c>
      <c r="BI26" s="272">
        <v>0</v>
      </c>
      <c r="BJ26" s="272">
        <v>1448186</v>
      </c>
      <c r="BK26" s="272">
        <v>1049626</v>
      </c>
      <c r="BL26" s="272">
        <v>0</v>
      </c>
      <c r="BM26" s="272">
        <v>0</v>
      </c>
      <c r="BN26" s="272">
        <v>3989300</v>
      </c>
      <c r="BO26" s="455">
        <f t="shared" si="5"/>
        <v>2724800</v>
      </c>
      <c r="BP26" s="455">
        <f t="shared" si="6"/>
        <v>1264500</v>
      </c>
      <c r="BQ26" s="272">
        <v>137600</v>
      </c>
      <c r="BR26" s="272"/>
      <c r="BS26" s="272">
        <v>1126900</v>
      </c>
      <c r="BT26" s="272">
        <v>0</v>
      </c>
      <c r="BU26" s="272">
        <v>36230468</v>
      </c>
      <c r="BV26" s="272"/>
      <c r="BW26" s="272">
        <v>6062458</v>
      </c>
      <c r="BX26" s="272">
        <v>4162855</v>
      </c>
      <c r="BY26" s="272">
        <v>804825</v>
      </c>
      <c r="BZ26" s="272">
        <v>77854</v>
      </c>
      <c r="CA26" s="272">
        <v>7710602</v>
      </c>
      <c r="CB26" s="272">
        <v>1211682</v>
      </c>
      <c r="CC26" s="272">
        <v>374128</v>
      </c>
      <c r="CD26" s="272">
        <v>2678347</v>
      </c>
      <c r="CE26" s="272">
        <v>3335716</v>
      </c>
      <c r="CF26" s="272">
        <v>99</v>
      </c>
      <c r="CG26" s="272">
        <v>110525</v>
      </c>
      <c r="CH26" s="272">
        <v>4440576</v>
      </c>
      <c r="CI26" s="272">
        <v>3535044</v>
      </c>
      <c r="CJ26" s="455">
        <f t="shared" si="7"/>
        <v>905532</v>
      </c>
      <c r="CK26" s="272">
        <v>3921417</v>
      </c>
      <c r="CL26" s="272">
        <v>2248426</v>
      </c>
      <c r="CM26" s="272">
        <v>565509</v>
      </c>
      <c r="CN26" s="272">
        <v>547783</v>
      </c>
      <c r="CO26" s="272">
        <v>100293</v>
      </c>
      <c r="CP26" s="272">
        <v>3722135</v>
      </c>
      <c r="CQ26" s="272">
        <v>2370353</v>
      </c>
      <c r="CR26" s="272">
        <v>994529</v>
      </c>
      <c r="CS26" s="272">
        <v>843279</v>
      </c>
      <c r="CT26" s="455">
        <f t="shared" si="8"/>
        <v>3946</v>
      </c>
      <c r="CU26" s="272">
        <v>3086</v>
      </c>
      <c r="CV26" s="272">
        <v>860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3874679</v>
      </c>
      <c r="DD26" s="272">
        <v>576373</v>
      </c>
      <c r="DE26" s="272">
        <v>3190086</v>
      </c>
      <c r="DF26" s="26">
        <v>43864</v>
      </c>
      <c r="DG26" s="27">
        <v>64356</v>
      </c>
      <c r="DH26" s="272">
        <v>0</v>
      </c>
      <c r="DI26" s="272">
        <v>40545</v>
      </c>
      <c r="DJ26" s="272">
        <v>40000</v>
      </c>
      <c r="DK26" s="272">
        <v>1</v>
      </c>
      <c r="DL26" s="272">
        <v>544</v>
      </c>
      <c r="DM26" s="272">
        <v>0</v>
      </c>
      <c r="DN26" s="272">
        <v>0</v>
      </c>
      <c r="DO26" s="272">
        <v>0</v>
      </c>
      <c r="DP26" s="272">
        <v>0</v>
      </c>
      <c r="DQ26" s="272">
        <v>1019162</v>
      </c>
      <c r="DR26" s="272">
        <v>0</v>
      </c>
      <c r="DS26" s="272">
        <v>0</v>
      </c>
      <c r="DT26" s="272">
        <v>4717365</v>
      </c>
      <c r="DU26" s="272">
        <v>1651966</v>
      </c>
      <c r="DV26" s="455">
        <f t="shared" si="11"/>
        <v>0</v>
      </c>
      <c r="DW26" s="272">
        <v>0</v>
      </c>
      <c r="DX26" s="272"/>
      <c r="DY26" s="272">
        <v>0</v>
      </c>
      <c r="DZ26" s="272">
        <v>1275589</v>
      </c>
      <c r="EA26" s="272">
        <v>699213</v>
      </c>
      <c r="EB26" s="272">
        <v>982865</v>
      </c>
      <c r="EC26" s="272">
        <v>421604</v>
      </c>
      <c r="ED26" s="272">
        <v>36030836</v>
      </c>
      <c r="EE26" s="89"/>
      <c r="EF26" s="272">
        <v>199632</v>
      </c>
      <c r="EG26" s="272">
        <v>821</v>
      </c>
      <c r="EH26" s="272">
        <v>198811</v>
      </c>
      <c r="EI26" s="272">
        <v>640404</v>
      </c>
      <c r="EJ26" s="272">
        <v>380404</v>
      </c>
      <c r="EK26" s="89"/>
      <c r="EL26" s="272"/>
      <c r="EM26" s="272">
        <v>119499</v>
      </c>
      <c r="EN26" s="272">
        <v>409497</v>
      </c>
      <c r="EO26" s="272">
        <v>68836</v>
      </c>
      <c r="EP26" s="455">
        <f t="shared" si="12"/>
        <v>357298</v>
      </c>
      <c r="EQ26" s="272">
        <v>22990261</v>
      </c>
      <c r="ER26" s="272">
        <v>-2076350</v>
      </c>
      <c r="ES26" s="272">
        <v>5676031</v>
      </c>
      <c r="ET26" s="272">
        <v>3832113</v>
      </c>
      <c r="EU26" s="272">
        <v>2728451</v>
      </c>
      <c r="EV26" s="272">
        <v>4259022</v>
      </c>
      <c r="EW26" s="455">
        <f t="shared" si="13"/>
        <v>366179</v>
      </c>
      <c r="EX26" s="272">
        <v>366179</v>
      </c>
      <c r="EY26" s="272">
        <v>8939</v>
      </c>
      <c r="EZ26" s="272">
        <v>344676</v>
      </c>
      <c r="FA26" s="272">
        <v>0</v>
      </c>
      <c r="FB26" s="272"/>
      <c r="FC26" s="272">
        <v>3454325</v>
      </c>
      <c r="FD26" s="272">
        <v>3558412</v>
      </c>
      <c r="FE26" s="272">
        <v>2370353</v>
      </c>
      <c r="FF26" s="272">
        <v>4273984</v>
      </c>
      <c r="FG26" s="455">
        <f t="shared" si="14"/>
        <v>550575</v>
      </c>
      <c r="FH26" s="272">
        <v>24866979</v>
      </c>
      <c r="FI26" s="384">
        <f t="shared" si="15"/>
        <v>0.9</v>
      </c>
      <c r="FJ26" s="272">
        <v>21531823</v>
      </c>
      <c r="FK26" s="272">
        <v>1126924</v>
      </c>
      <c r="FL26" s="272">
        <v>11186636</v>
      </c>
      <c r="FM26" s="272">
        <v>18182777</v>
      </c>
      <c r="FN26" s="460">
        <v>0.59399999999999997</v>
      </c>
      <c r="FO26" s="388">
        <v>98.8</v>
      </c>
      <c r="FP26" s="388">
        <v>24.6</v>
      </c>
      <c r="FQ26" s="388">
        <v>11.8</v>
      </c>
      <c r="FR26" s="388">
        <v>18.5</v>
      </c>
      <c r="FS26" s="388">
        <v>14.6</v>
      </c>
      <c r="FT26" s="388">
        <v>14.9</v>
      </c>
      <c r="FU26" s="388">
        <v>14.1</v>
      </c>
      <c r="FV26" s="388">
        <v>13.6</v>
      </c>
      <c r="FW26" s="272">
        <v>47873621</v>
      </c>
      <c r="FX26" s="388">
        <f t="shared" si="16"/>
        <v>222.3</v>
      </c>
      <c r="FY26" s="272">
        <v>1434230</v>
      </c>
      <c r="FZ26" s="272">
        <v>391286</v>
      </c>
      <c r="GA26" s="272">
        <v>71794</v>
      </c>
      <c r="GB26" s="272">
        <v>971150</v>
      </c>
      <c r="GC26" s="272"/>
      <c r="GD26" s="272">
        <v>6374538</v>
      </c>
      <c r="GE26" s="384">
        <f t="shared" si="17"/>
        <v>29.6</v>
      </c>
      <c r="GF26" s="388">
        <v>97.6</v>
      </c>
      <c r="GG26" s="388">
        <v>27.5</v>
      </c>
      <c r="GH26" s="388">
        <v>92.7</v>
      </c>
      <c r="GI26" s="272">
        <v>590</v>
      </c>
      <c r="GJ26" s="394"/>
      <c r="GK26" s="394"/>
      <c r="GL26" s="394"/>
      <c r="GM26" s="394"/>
      <c r="GN26" s="394"/>
      <c r="GO26" s="394"/>
      <c r="GP26" s="394"/>
      <c r="GQ26" s="394"/>
      <c r="GR26" s="394"/>
      <c r="GS26" s="394"/>
      <c r="GT26" s="394"/>
      <c r="GU26" s="394"/>
      <c r="GV26" s="394"/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</row>
    <row r="27" spans="2:230" x14ac:dyDescent="0.15">
      <c r="B27" s="89" t="s">
        <v>47</v>
      </c>
      <c r="C27" s="272">
        <v>18748647</v>
      </c>
      <c r="D27" s="455">
        <f t="shared" si="0"/>
        <v>4711537</v>
      </c>
      <c r="E27" s="272">
        <v>160450</v>
      </c>
      <c r="F27" s="272">
        <v>4551087</v>
      </c>
      <c r="G27" s="455">
        <f t="shared" si="1"/>
        <v>2005680</v>
      </c>
      <c r="H27" s="272">
        <v>410523</v>
      </c>
      <c r="I27" s="272">
        <v>1595157</v>
      </c>
      <c r="J27" s="272">
        <v>8986846</v>
      </c>
      <c r="K27" s="272">
        <v>4323159</v>
      </c>
      <c r="L27" s="272">
        <v>3142276</v>
      </c>
      <c r="M27" s="272">
        <v>1400856</v>
      </c>
      <c r="N27" s="272">
        <v>1149376</v>
      </c>
      <c r="O27" s="272">
        <v>1797187</v>
      </c>
      <c r="P27" s="272">
        <v>1098042</v>
      </c>
      <c r="Q27" s="272">
        <v>699145</v>
      </c>
      <c r="R27" s="272">
        <v>1195127</v>
      </c>
      <c r="S27" s="272">
        <v>940009</v>
      </c>
      <c r="T27" s="455">
        <f t="shared" si="2"/>
        <v>2015817</v>
      </c>
      <c r="U27" s="272">
        <v>82354</v>
      </c>
      <c r="V27" s="272">
        <v>85370</v>
      </c>
      <c r="W27" s="272">
        <v>67117</v>
      </c>
      <c r="X27" s="272">
        <v>1523835</v>
      </c>
      <c r="Y27" s="272">
        <v>0</v>
      </c>
      <c r="Z27" s="272">
        <v>0</v>
      </c>
      <c r="AA27" s="272">
        <v>257141</v>
      </c>
      <c r="AB27" s="272">
        <v>397759</v>
      </c>
      <c r="AC27" s="272">
        <v>5040195</v>
      </c>
      <c r="AD27" s="272">
        <v>4901105</v>
      </c>
      <c r="AE27" s="272">
        <v>139090</v>
      </c>
      <c r="AF27" s="272">
        <v>26127</v>
      </c>
      <c r="AG27" s="272">
        <v>234427</v>
      </c>
      <c r="AH27" s="455">
        <f t="shared" si="3"/>
        <v>697031</v>
      </c>
      <c r="AI27" s="272">
        <v>525744</v>
      </c>
      <c r="AJ27" s="272">
        <v>171287</v>
      </c>
      <c r="AK27" s="272">
        <v>8330630</v>
      </c>
      <c r="AL27" s="455">
        <f t="shared" si="4"/>
        <v>6744809</v>
      </c>
      <c r="AM27" s="272">
        <v>6437700</v>
      </c>
      <c r="AN27" s="272">
        <v>307109</v>
      </c>
      <c r="AO27" s="272">
        <v>0</v>
      </c>
      <c r="AP27" s="272">
        <v>0</v>
      </c>
      <c r="AQ27" s="272">
        <v>260064</v>
      </c>
      <c r="AR27" s="272">
        <v>0</v>
      </c>
      <c r="AS27" s="272">
        <v>0</v>
      </c>
      <c r="AT27" s="272">
        <v>2203547</v>
      </c>
      <c r="AU27" s="272">
        <v>851076</v>
      </c>
      <c r="AV27" s="272">
        <v>154288</v>
      </c>
      <c r="AW27" s="272">
        <v>15182</v>
      </c>
      <c r="AX27" s="272">
        <v>1352471</v>
      </c>
      <c r="AY27" s="272">
        <v>141933</v>
      </c>
      <c r="AZ27" s="272">
        <v>89823</v>
      </c>
      <c r="BA27" s="272">
        <v>61846</v>
      </c>
      <c r="BB27" s="272">
        <v>6894</v>
      </c>
      <c r="BC27" s="272">
        <v>1905028</v>
      </c>
      <c r="BD27" s="272">
        <v>1750000</v>
      </c>
      <c r="BE27" s="272">
        <v>82000</v>
      </c>
      <c r="BF27" s="272">
        <v>73028</v>
      </c>
      <c r="BG27" s="272">
        <v>0</v>
      </c>
      <c r="BH27" s="272">
        <v>348764</v>
      </c>
      <c r="BI27" s="272">
        <v>241873</v>
      </c>
      <c r="BJ27" s="272">
        <v>383378</v>
      </c>
      <c r="BK27" s="272">
        <v>95054</v>
      </c>
      <c r="BL27" s="272">
        <v>0</v>
      </c>
      <c r="BM27" s="272">
        <v>0</v>
      </c>
      <c r="BN27" s="272">
        <v>2325400</v>
      </c>
      <c r="BO27" s="455">
        <f t="shared" si="5"/>
        <v>932000</v>
      </c>
      <c r="BP27" s="455">
        <f t="shared" si="6"/>
        <v>1393400</v>
      </c>
      <c r="BQ27" s="272">
        <v>151500</v>
      </c>
      <c r="BR27" s="272"/>
      <c r="BS27" s="272">
        <v>1241900</v>
      </c>
      <c r="BT27" s="272">
        <v>0</v>
      </c>
      <c r="BU27" s="272">
        <v>43948594</v>
      </c>
      <c r="BV27" s="272"/>
      <c r="BW27" s="272">
        <v>10413760</v>
      </c>
      <c r="BX27" s="272">
        <v>6849458</v>
      </c>
      <c r="BY27" s="272">
        <v>1892690</v>
      </c>
      <c r="BZ27" s="272">
        <v>97437</v>
      </c>
      <c r="CA27" s="272">
        <v>13518548</v>
      </c>
      <c r="CB27" s="272">
        <v>1122788</v>
      </c>
      <c r="CC27" s="272">
        <v>272307</v>
      </c>
      <c r="CD27" s="272">
        <v>3397595</v>
      </c>
      <c r="CE27" s="272">
        <v>8504672</v>
      </c>
      <c r="CF27" s="272">
        <v>252</v>
      </c>
      <c r="CG27" s="272">
        <v>220359</v>
      </c>
      <c r="CH27" s="272">
        <v>4791456</v>
      </c>
      <c r="CI27" s="272">
        <v>3911931</v>
      </c>
      <c r="CJ27" s="455">
        <f t="shared" si="7"/>
        <v>879525</v>
      </c>
      <c r="CK27" s="272">
        <v>4390113</v>
      </c>
      <c r="CL27" s="272">
        <v>2474310</v>
      </c>
      <c r="CM27" s="272">
        <v>188932</v>
      </c>
      <c r="CN27" s="272">
        <v>1030265</v>
      </c>
      <c r="CO27" s="272">
        <v>86425</v>
      </c>
      <c r="CP27" s="272">
        <v>3299464</v>
      </c>
      <c r="CQ27" s="272">
        <v>1897384</v>
      </c>
      <c r="CR27" s="272">
        <v>642179</v>
      </c>
      <c r="CS27" s="272">
        <v>550862</v>
      </c>
      <c r="CT27" s="455">
        <f t="shared" si="8"/>
        <v>11758</v>
      </c>
      <c r="CU27" s="272">
        <v>11483</v>
      </c>
      <c r="CV27" s="272">
        <v>275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2593583</v>
      </c>
      <c r="DD27" s="272">
        <v>642006</v>
      </c>
      <c r="DE27" s="272">
        <v>1951577</v>
      </c>
      <c r="DF27" s="26">
        <v>0</v>
      </c>
      <c r="DG27" s="27">
        <v>0</v>
      </c>
      <c r="DH27" s="272">
        <v>0</v>
      </c>
      <c r="DI27" s="272">
        <v>132510</v>
      </c>
      <c r="DJ27" s="272">
        <v>129148</v>
      </c>
      <c r="DK27" s="272">
        <v>126</v>
      </c>
      <c r="DL27" s="272">
        <v>3236</v>
      </c>
      <c r="DM27" s="272">
        <v>0</v>
      </c>
      <c r="DN27" s="272">
        <v>0</v>
      </c>
      <c r="DO27" s="272">
        <v>0</v>
      </c>
      <c r="DP27" s="272">
        <v>0</v>
      </c>
      <c r="DQ27" s="272">
        <v>95000</v>
      </c>
      <c r="DR27" s="272">
        <v>0</v>
      </c>
      <c r="DS27" s="272">
        <v>0</v>
      </c>
      <c r="DT27" s="272">
        <v>4578698</v>
      </c>
      <c r="DU27" s="272">
        <v>1677000</v>
      </c>
      <c r="DV27" s="455">
        <f t="shared" si="11"/>
        <v>0</v>
      </c>
      <c r="DW27" s="272">
        <v>0</v>
      </c>
      <c r="DX27" s="272"/>
      <c r="DY27" s="272">
        <v>0</v>
      </c>
      <c r="DZ27" s="272">
        <v>1450626</v>
      </c>
      <c r="EA27" s="272">
        <v>564310</v>
      </c>
      <c r="EB27" s="272">
        <v>886762</v>
      </c>
      <c r="EC27" s="272">
        <v>0</v>
      </c>
      <c r="ED27" s="272">
        <v>43899557</v>
      </c>
      <c r="EE27" s="89"/>
      <c r="EF27" s="272">
        <v>49037</v>
      </c>
      <c r="EG27" s="272">
        <v>2818</v>
      </c>
      <c r="EH27" s="272">
        <v>46219</v>
      </c>
      <c r="EI27" s="272">
        <v>-193462</v>
      </c>
      <c r="EJ27" s="272">
        <v>-1814314</v>
      </c>
      <c r="EK27" s="89"/>
      <c r="EL27" s="272"/>
      <c r="EM27" s="272">
        <v>130808</v>
      </c>
      <c r="EN27" s="272">
        <v>1832000</v>
      </c>
      <c r="EO27" s="272">
        <v>59507</v>
      </c>
      <c r="EP27" s="455">
        <f t="shared" si="12"/>
        <v>499768</v>
      </c>
      <c r="EQ27" s="272">
        <v>27423672</v>
      </c>
      <c r="ER27" s="272">
        <v>-3758548</v>
      </c>
      <c r="ES27" s="272">
        <v>9966466</v>
      </c>
      <c r="ET27" s="272">
        <v>6416501</v>
      </c>
      <c r="EU27" s="272">
        <v>4380479</v>
      </c>
      <c r="EV27" s="272">
        <v>4697323</v>
      </c>
      <c r="EW27" s="455">
        <f t="shared" si="13"/>
        <v>1023386</v>
      </c>
      <c r="EX27" s="272">
        <v>1023386</v>
      </c>
      <c r="EY27" s="272">
        <v>29946</v>
      </c>
      <c r="EZ27" s="272">
        <v>993440</v>
      </c>
      <c r="FA27" s="272">
        <v>0</v>
      </c>
      <c r="FB27" s="272"/>
      <c r="FC27" s="272">
        <v>3832140</v>
      </c>
      <c r="FD27" s="272">
        <v>3083281</v>
      </c>
      <c r="FE27" s="272">
        <v>1897384</v>
      </c>
      <c r="FF27" s="272">
        <v>3947700</v>
      </c>
      <c r="FG27" s="455">
        <f t="shared" si="14"/>
        <v>202408</v>
      </c>
      <c r="FH27" s="272">
        <v>31133183</v>
      </c>
      <c r="FI27" s="384">
        <f t="shared" si="15"/>
        <v>0.2</v>
      </c>
      <c r="FJ27" s="272">
        <v>24879746</v>
      </c>
      <c r="FK27" s="272">
        <v>1241967</v>
      </c>
      <c r="FL27" s="272">
        <v>15301695</v>
      </c>
      <c r="FM27" s="272">
        <v>20274529</v>
      </c>
      <c r="FN27" s="460">
        <v>0.749</v>
      </c>
      <c r="FO27" s="388">
        <v>103.1</v>
      </c>
      <c r="FP27" s="388">
        <v>33.6</v>
      </c>
      <c r="FQ27" s="388">
        <v>15.4</v>
      </c>
      <c r="FR27" s="388">
        <v>17.399999999999999</v>
      </c>
      <c r="FS27" s="388">
        <v>13.1</v>
      </c>
      <c r="FT27" s="388">
        <v>10</v>
      </c>
      <c r="FU27" s="388">
        <v>13.4</v>
      </c>
      <c r="FV27" s="388">
        <v>13</v>
      </c>
      <c r="FW27" s="272">
        <v>44930084</v>
      </c>
      <c r="FX27" s="388">
        <f t="shared" si="16"/>
        <v>180.6</v>
      </c>
      <c r="FY27" s="272">
        <v>5021466</v>
      </c>
      <c r="FZ27" s="272">
        <v>3591255</v>
      </c>
      <c r="GA27" s="272">
        <v>1210</v>
      </c>
      <c r="GB27" s="272">
        <v>1429001</v>
      </c>
      <c r="GC27" s="272"/>
      <c r="GD27" s="272">
        <v>4718197</v>
      </c>
      <c r="GE27" s="384">
        <f t="shared" si="17"/>
        <v>19</v>
      </c>
      <c r="GF27" s="388">
        <v>97.1</v>
      </c>
      <c r="GG27" s="388">
        <v>18.5</v>
      </c>
      <c r="GH27" s="388">
        <v>87.9</v>
      </c>
      <c r="GI27" s="272">
        <v>936</v>
      </c>
      <c r="GJ27" s="394"/>
      <c r="GK27" s="394"/>
      <c r="GL27" s="394"/>
      <c r="GM27" s="394"/>
      <c r="GN27" s="394"/>
      <c r="GO27" s="394"/>
      <c r="GP27" s="394"/>
      <c r="GQ27" s="394"/>
      <c r="GR27" s="394"/>
      <c r="GS27" s="394"/>
      <c r="GT27" s="394"/>
      <c r="GU27" s="394"/>
      <c r="GV27" s="394"/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</row>
    <row r="28" spans="2:230" x14ac:dyDescent="0.15">
      <c r="B28" s="89" t="s">
        <v>49</v>
      </c>
      <c r="C28" s="272">
        <v>18944692</v>
      </c>
      <c r="D28" s="455">
        <f t="shared" si="0"/>
        <v>3755724</v>
      </c>
      <c r="E28" s="272">
        <v>116436</v>
      </c>
      <c r="F28" s="272">
        <v>3639288</v>
      </c>
      <c r="G28" s="455">
        <f t="shared" si="1"/>
        <v>2791202</v>
      </c>
      <c r="H28" s="272">
        <v>343362</v>
      </c>
      <c r="I28" s="272">
        <v>2447840</v>
      </c>
      <c r="J28" s="272">
        <v>8669693</v>
      </c>
      <c r="K28" s="272">
        <v>4277750</v>
      </c>
      <c r="L28" s="272">
        <v>2334947</v>
      </c>
      <c r="M28" s="272">
        <v>1953947</v>
      </c>
      <c r="N28" s="272">
        <v>2049908</v>
      </c>
      <c r="O28" s="272">
        <v>1605306</v>
      </c>
      <c r="P28" s="272">
        <v>1082019</v>
      </c>
      <c r="Q28" s="272">
        <v>523287</v>
      </c>
      <c r="R28" s="272">
        <v>837318</v>
      </c>
      <c r="S28" s="272">
        <v>640411</v>
      </c>
      <c r="T28" s="455">
        <f t="shared" si="2"/>
        <v>1367931</v>
      </c>
      <c r="U28" s="272">
        <v>64150</v>
      </c>
      <c r="V28" s="272">
        <v>66505</v>
      </c>
      <c r="W28" s="272">
        <v>52305</v>
      </c>
      <c r="X28" s="272">
        <v>983738</v>
      </c>
      <c r="Y28" s="272">
        <v>2758</v>
      </c>
      <c r="Z28" s="272">
        <v>0</v>
      </c>
      <c r="AA28" s="272">
        <v>198475</v>
      </c>
      <c r="AB28" s="272">
        <v>406435</v>
      </c>
      <c r="AC28" s="272">
        <v>290106</v>
      </c>
      <c r="AD28" s="272">
        <v>0</v>
      </c>
      <c r="AE28" s="272">
        <v>290106</v>
      </c>
      <c r="AF28" s="272">
        <v>21380</v>
      </c>
      <c r="AG28" s="272">
        <v>310978</v>
      </c>
      <c r="AH28" s="455">
        <f t="shared" si="3"/>
        <v>779303</v>
      </c>
      <c r="AI28" s="272">
        <v>625042</v>
      </c>
      <c r="AJ28" s="272">
        <v>154261</v>
      </c>
      <c r="AK28" s="272">
        <v>2730053</v>
      </c>
      <c r="AL28" s="455">
        <f t="shared" si="4"/>
        <v>1758811</v>
      </c>
      <c r="AM28" s="272">
        <v>1446648</v>
      </c>
      <c r="AN28" s="272">
        <v>312163</v>
      </c>
      <c r="AO28" s="272">
        <v>0</v>
      </c>
      <c r="AP28" s="272">
        <v>0</v>
      </c>
      <c r="AQ28" s="272">
        <v>142963</v>
      </c>
      <c r="AR28" s="272">
        <v>0</v>
      </c>
      <c r="AS28" s="272">
        <v>0</v>
      </c>
      <c r="AT28" s="272">
        <v>1203775</v>
      </c>
      <c r="AU28" s="272">
        <v>576403</v>
      </c>
      <c r="AV28" s="272">
        <v>156189</v>
      </c>
      <c r="AW28" s="272">
        <v>1960</v>
      </c>
      <c r="AX28" s="272">
        <v>627372</v>
      </c>
      <c r="AY28" s="272">
        <v>1615</v>
      </c>
      <c r="AZ28" s="272">
        <v>31522</v>
      </c>
      <c r="BA28" s="272">
        <v>0</v>
      </c>
      <c r="BB28" s="272">
        <v>23524</v>
      </c>
      <c r="BC28" s="272">
        <v>2314051</v>
      </c>
      <c r="BD28" s="272">
        <v>658273</v>
      </c>
      <c r="BE28" s="272">
        <v>145000</v>
      </c>
      <c r="BF28" s="272">
        <v>1478199</v>
      </c>
      <c r="BG28" s="272">
        <v>0</v>
      </c>
      <c r="BH28" s="272">
        <v>98963</v>
      </c>
      <c r="BI28" s="272">
        <v>49408</v>
      </c>
      <c r="BJ28" s="272">
        <v>648967</v>
      </c>
      <c r="BK28" s="272">
        <v>103737</v>
      </c>
      <c r="BL28" s="272">
        <v>0</v>
      </c>
      <c r="BM28" s="272">
        <v>0</v>
      </c>
      <c r="BN28" s="272">
        <v>1138000</v>
      </c>
      <c r="BO28" s="455">
        <f t="shared" si="5"/>
        <v>152500</v>
      </c>
      <c r="BP28" s="455">
        <f t="shared" si="6"/>
        <v>985500</v>
      </c>
      <c r="BQ28" s="272">
        <v>147200</v>
      </c>
      <c r="BR28" s="272"/>
      <c r="BS28" s="272">
        <v>838300</v>
      </c>
      <c r="BT28" s="272">
        <v>0</v>
      </c>
      <c r="BU28" s="272">
        <v>31146998</v>
      </c>
      <c r="BV28" s="272"/>
      <c r="BW28" s="272">
        <v>6976075</v>
      </c>
      <c r="BX28" s="272">
        <v>4785811</v>
      </c>
      <c r="BY28" s="272">
        <v>938664</v>
      </c>
      <c r="BZ28" s="272">
        <v>137554</v>
      </c>
      <c r="CA28" s="272">
        <v>4960781</v>
      </c>
      <c r="CB28" s="272">
        <v>459365</v>
      </c>
      <c r="CC28" s="272">
        <v>223183</v>
      </c>
      <c r="CD28" s="272">
        <v>2232435</v>
      </c>
      <c r="CE28" s="272">
        <v>1907892</v>
      </c>
      <c r="CF28" s="272">
        <v>0</v>
      </c>
      <c r="CG28" s="272">
        <v>137906</v>
      </c>
      <c r="CH28" s="272">
        <v>4438445</v>
      </c>
      <c r="CI28" s="272">
        <v>3710206</v>
      </c>
      <c r="CJ28" s="455">
        <f t="shared" si="7"/>
        <v>728239</v>
      </c>
      <c r="CK28" s="272">
        <v>4140512</v>
      </c>
      <c r="CL28" s="272">
        <v>2337085</v>
      </c>
      <c r="CM28" s="272">
        <v>396382</v>
      </c>
      <c r="CN28" s="272">
        <v>840918</v>
      </c>
      <c r="CO28" s="272">
        <v>412150</v>
      </c>
      <c r="CP28" s="272">
        <v>3362387</v>
      </c>
      <c r="CQ28" s="272">
        <v>7173</v>
      </c>
      <c r="CR28" s="272">
        <v>964902</v>
      </c>
      <c r="CS28" s="272">
        <v>562916</v>
      </c>
      <c r="CT28" s="455">
        <f t="shared" si="8"/>
        <v>20888</v>
      </c>
      <c r="CU28" s="272">
        <v>2034</v>
      </c>
      <c r="CV28" s="272">
        <v>18854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885774</v>
      </c>
      <c r="DD28" s="272">
        <v>282848</v>
      </c>
      <c r="DE28" s="272">
        <v>602926</v>
      </c>
      <c r="DF28" s="26">
        <v>0</v>
      </c>
      <c r="DG28" s="27">
        <v>0</v>
      </c>
      <c r="DH28" s="272">
        <v>0</v>
      </c>
      <c r="DI28" s="272">
        <v>1512615</v>
      </c>
      <c r="DJ28" s="272">
        <v>35918</v>
      </c>
      <c r="DK28" s="272">
        <v>406</v>
      </c>
      <c r="DL28" s="272">
        <v>1476291</v>
      </c>
      <c r="DM28" s="272">
        <v>0</v>
      </c>
      <c r="DN28" s="272">
        <v>0</v>
      </c>
      <c r="DO28" s="272">
        <v>0</v>
      </c>
      <c r="DP28" s="272">
        <v>0</v>
      </c>
      <c r="DQ28" s="272">
        <v>107056</v>
      </c>
      <c r="DR28" s="272">
        <v>0</v>
      </c>
      <c r="DS28" s="272">
        <v>0</v>
      </c>
      <c r="DT28" s="272">
        <v>4126126</v>
      </c>
      <c r="DU28" s="272">
        <v>2177272</v>
      </c>
      <c r="DV28" s="455">
        <f t="shared" si="11"/>
        <v>0</v>
      </c>
      <c r="DW28" s="272">
        <v>0</v>
      </c>
      <c r="DX28" s="272"/>
      <c r="DY28" s="272">
        <v>169737</v>
      </c>
      <c r="DZ28" s="272">
        <v>841822</v>
      </c>
      <c r="EA28" s="272">
        <v>358456</v>
      </c>
      <c r="EB28" s="272">
        <v>508477</v>
      </c>
      <c r="EC28" s="272">
        <v>0</v>
      </c>
      <c r="ED28" s="272">
        <v>30921921</v>
      </c>
      <c r="EE28" s="89"/>
      <c r="EF28" s="272">
        <v>225077</v>
      </c>
      <c r="EG28" s="272">
        <v>65982</v>
      </c>
      <c r="EH28" s="272">
        <v>159095</v>
      </c>
      <c r="EI28" s="272">
        <v>109687</v>
      </c>
      <c r="EJ28" s="272">
        <v>-512668</v>
      </c>
      <c r="EK28" s="89"/>
      <c r="EL28" s="272"/>
      <c r="EM28" s="272">
        <v>83391</v>
      </c>
      <c r="EN28" s="272">
        <v>835852</v>
      </c>
      <c r="EO28" s="272">
        <v>27952</v>
      </c>
      <c r="EP28" s="455">
        <f t="shared" si="12"/>
        <v>449612</v>
      </c>
      <c r="EQ28" s="272">
        <v>21867862</v>
      </c>
      <c r="ER28" s="272">
        <v>-2277536</v>
      </c>
      <c r="ES28" s="272">
        <v>6640816</v>
      </c>
      <c r="ET28" s="272">
        <v>4487015</v>
      </c>
      <c r="EU28" s="272">
        <v>1691775</v>
      </c>
      <c r="EV28" s="272">
        <v>4405200</v>
      </c>
      <c r="EW28" s="455">
        <f t="shared" si="13"/>
        <v>537951</v>
      </c>
      <c r="EX28" s="272">
        <v>537951</v>
      </c>
      <c r="EY28" s="272">
        <v>698</v>
      </c>
      <c r="EZ28" s="272">
        <v>537253</v>
      </c>
      <c r="FA28" s="272">
        <v>0</v>
      </c>
      <c r="FB28" s="272"/>
      <c r="FC28" s="272">
        <v>3124756</v>
      </c>
      <c r="FD28" s="272">
        <v>3199316</v>
      </c>
      <c r="FE28" s="272">
        <v>7173</v>
      </c>
      <c r="FF28" s="272">
        <v>3860355</v>
      </c>
      <c r="FG28" s="455">
        <f t="shared" si="14"/>
        <v>460152</v>
      </c>
      <c r="FH28" s="272">
        <v>23920321</v>
      </c>
      <c r="FI28" s="384">
        <f t="shared" si="15"/>
        <v>0.9</v>
      </c>
      <c r="FJ28" s="272">
        <v>17918291</v>
      </c>
      <c r="FK28" s="272">
        <v>838319</v>
      </c>
      <c r="FL28" s="272">
        <v>13660361</v>
      </c>
      <c r="FM28" s="272">
        <v>13168093</v>
      </c>
      <c r="FN28" s="460">
        <v>1.0229999999999999</v>
      </c>
      <c r="FO28" s="388">
        <v>95.2</v>
      </c>
      <c r="FP28" s="388">
        <v>30.6</v>
      </c>
      <c r="FQ28" s="388">
        <v>8</v>
      </c>
      <c r="FR28" s="388">
        <v>20.9</v>
      </c>
      <c r="FS28" s="388">
        <v>14.6</v>
      </c>
      <c r="FT28" s="388">
        <v>4.4000000000000004</v>
      </c>
      <c r="FU28" s="388">
        <v>14.8</v>
      </c>
      <c r="FV28" s="388">
        <v>25.7</v>
      </c>
      <c r="FW28" s="272">
        <v>29876260</v>
      </c>
      <c r="FX28" s="388">
        <f t="shared" si="16"/>
        <v>166.7</v>
      </c>
      <c r="FY28" s="272">
        <v>5825710</v>
      </c>
      <c r="FZ28" s="272">
        <v>1160662</v>
      </c>
      <c r="GA28" s="272">
        <v>1086783</v>
      </c>
      <c r="GB28" s="272">
        <v>3578265</v>
      </c>
      <c r="GC28" s="272">
        <v>596000</v>
      </c>
      <c r="GD28" s="272">
        <v>2252663</v>
      </c>
      <c r="GE28" s="384">
        <f t="shared" si="17"/>
        <v>12.6</v>
      </c>
      <c r="GF28" s="388">
        <v>98.5</v>
      </c>
      <c r="GG28" s="388">
        <v>21.8</v>
      </c>
      <c r="GH28" s="388">
        <v>94.8</v>
      </c>
      <c r="GI28" s="272">
        <v>652</v>
      </c>
      <c r="GJ28" s="394"/>
      <c r="GK28" s="394"/>
      <c r="GL28" s="394"/>
      <c r="GM28" s="394"/>
      <c r="GN28" s="394"/>
      <c r="GO28" s="394"/>
      <c r="GP28" s="394"/>
      <c r="GQ28" s="394"/>
      <c r="GR28" s="394"/>
      <c r="GS28" s="394"/>
      <c r="GT28" s="394"/>
      <c r="GU28" s="394"/>
      <c r="GV28" s="394"/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</row>
    <row r="29" spans="2:230" x14ac:dyDescent="0.15">
      <c r="B29" s="89" t="s">
        <v>51</v>
      </c>
      <c r="C29" s="272">
        <v>11003830</v>
      </c>
      <c r="D29" s="455">
        <f t="shared" si="0"/>
        <v>2905704</v>
      </c>
      <c r="E29" s="272">
        <v>76801</v>
      </c>
      <c r="F29" s="272">
        <v>2828903</v>
      </c>
      <c r="G29" s="455">
        <f t="shared" si="1"/>
        <v>1183228</v>
      </c>
      <c r="H29" s="272">
        <v>157300</v>
      </c>
      <c r="I29" s="272">
        <v>1025928</v>
      </c>
      <c r="J29" s="272">
        <v>5577078</v>
      </c>
      <c r="K29" s="272">
        <v>2467390</v>
      </c>
      <c r="L29" s="272">
        <v>1351980</v>
      </c>
      <c r="M29" s="272">
        <v>1706823</v>
      </c>
      <c r="N29" s="272">
        <v>358067</v>
      </c>
      <c r="O29" s="272">
        <v>934166</v>
      </c>
      <c r="P29" s="272">
        <v>625633</v>
      </c>
      <c r="Q29" s="272">
        <v>308533</v>
      </c>
      <c r="R29" s="272">
        <v>560062</v>
      </c>
      <c r="S29" s="272">
        <v>393751</v>
      </c>
      <c r="T29" s="455">
        <f t="shared" si="2"/>
        <v>825239</v>
      </c>
      <c r="U29" s="272">
        <v>47075</v>
      </c>
      <c r="V29" s="272">
        <v>48795</v>
      </c>
      <c r="W29" s="272">
        <v>38340</v>
      </c>
      <c r="X29" s="272">
        <v>562034</v>
      </c>
      <c r="Y29" s="272">
        <v>0</v>
      </c>
      <c r="Z29" s="272">
        <v>2617</v>
      </c>
      <c r="AA29" s="272">
        <v>126378</v>
      </c>
      <c r="AB29" s="272">
        <v>318462</v>
      </c>
      <c r="AC29" s="272">
        <v>47026</v>
      </c>
      <c r="AD29" s="272">
        <v>0</v>
      </c>
      <c r="AE29" s="272">
        <v>47026</v>
      </c>
      <c r="AF29" s="272">
        <v>10774</v>
      </c>
      <c r="AG29" s="272">
        <v>87146</v>
      </c>
      <c r="AH29" s="455">
        <f t="shared" si="3"/>
        <v>392453</v>
      </c>
      <c r="AI29" s="272">
        <v>346290</v>
      </c>
      <c r="AJ29" s="272">
        <v>46163</v>
      </c>
      <c r="AK29" s="272">
        <v>1614356</v>
      </c>
      <c r="AL29" s="455">
        <f t="shared" si="4"/>
        <v>1026267</v>
      </c>
      <c r="AM29" s="272">
        <v>917065</v>
      </c>
      <c r="AN29" s="272">
        <v>109202</v>
      </c>
      <c r="AO29" s="272">
        <v>0</v>
      </c>
      <c r="AP29" s="272">
        <v>0</v>
      </c>
      <c r="AQ29" s="272">
        <v>16900</v>
      </c>
      <c r="AR29" s="272">
        <v>0</v>
      </c>
      <c r="AS29" s="272">
        <v>0</v>
      </c>
      <c r="AT29" s="272">
        <v>1457869</v>
      </c>
      <c r="AU29" s="272">
        <v>924540</v>
      </c>
      <c r="AV29" s="272">
        <v>77989</v>
      </c>
      <c r="AW29" s="272">
        <v>0</v>
      </c>
      <c r="AX29" s="272">
        <v>533329</v>
      </c>
      <c r="AY29" s="272">
        <v>8979</v>
      </c>
      <c r="AZ29" s="272">
        <v>223107</v>
      </c>
      <c r="BA29" s="272">
        <v>162246</v>
      </c>
      <c r="BB29" s="272">
        <v>8759</v>
      </c>
      <c r="BC29" s="272">
        <v>625669</v>
      </c>
      <c r="BD29" s="272">
        <v>0</v>
      </c>
      <c r="BE29" s="272">
        <v>0</v>
      </c>
      <c r="BF29" s="272">
        <v>254777</v>
      </c>
      <c r="BG29" s="456">
        <v>349625</v>
      </c>
      <c r="BH29" s="272">
        <v>174783</v>
      </c>
      <c r="BI29" s="272">
        <v>174783</v>
      </c>
      <c r="BJ29" s="272">
        <v>217408</v>
      </c>
      <c r="BK29" s="272">
        <v>21860</v>
      </c>
      <c r="BL29" s="272">
        <v>0</v>
      </c>
      <c r="BM29" s="272">
        <v>0</v>
      </c>
      <c r="BN29" s="272">
        <v>1126700</v>
      </c>
      <c r="BO29" s="455">
        <f t="shared" si="5"/>
        <v>231600</v>
      </c>
      <c r="BP29" s="455">
        <f t="shared" si="6"/>
        <v>745100</v>
      </c>
      <c r="BQ29" s="272">
        <v>112600</v>
      </c>
      <c r="BR29" s="272"/>
      <c r="BS29" s="272">
        <v>632500</v>
      </c>
      <c r="BT29" s="272">
        <v>150000</v>
      </c>
      <c r="BU29" s="272">
        <v>18693643</v>
      </c>
      <c r="BV29" s="272"/>
      <c r="BW29" s="272">
        <v>4369407</v>
      </c>
      <c r="BX29" s="272">
        <v>3050371</v>
      </c>
      <c r="BY29" s="272">
        <v>427583</v>
      </c>
      <c r="BZ29" s="272">
        <v>142069</v>
      </c>
      <c r="CA29" s="272">
        <v>3189275</v>
      </c>
      <c r="CB29" s="272">
        <v>467196</v>
      </c>
      <c r="CC29" s="272">
        <v>95328</v>
      </c>
      <c r="CD29" s="272">
        <v>1332959</v>
      </c>
      <c r="CE29" s="272">
        <v>1231183</v>
      </c>
      <c r="CF29" s="272">
        <v>0</v>
      </c>
      <c r="CG29" s="272">
        <v>62609</v>
      </c>
      <c r="CH29" s="272">
        <v>2592343</v>
      </c>
      <c r="CI29" s="272">
        <v>2049364</v>
      </c>
      <c r="CJ29" s="455">
        <f t="shared" si="7"/>
        <v>542979</v>
      </c>
      <c r="CK29" s="272">
        <v>2124444</v>
      </c>
      <c r="CL29" s="272">
        <v>1278647</v>
      </c>
      <c r="CM29" s="272">
        <v>160610</v>
      </c>
      <c r="CN29" s="272">
        <v>393474</v>
      </c>
      <c r="CO29" s="272">
        <v>14567</v>
      </c>
      <c r="CP29" s="272">
        <v>2445965</v>
      </c>
      <c r="CQ29" s="272">
        <v>1808733</v>
      </c>
      <c r="CR29" s="272">
        <v>246009</v>
      </c>
      <c r="CS29" s="272">
        <v>100740</v>
      </c>
      <c r="CT29" s="455">
        <f t="shared" si="8"/>
        <v>32232</v>
      </c>
      <c r="CU29" s="272">
        <v>0</v>
      </c>
      <c r="CV29" s="272">
        <v>32232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1025444</v>
      </c>
      <c r="DD29" s="272">
        <v>3000</v>
      </c>
      <c r="DE29" s="272">
        <v>248081</v>
      </c>
      <c r="DF29" s="26">
        <v>282236</v>
      </c>
      <c r="DG29" s="27">
        <v>492127</v>
      </c>
      <c r="DH29" s="272">
        <v>0</v>
      </c>
      <c r="DI29" s="272">
        <v>120260</v>
      </c>
      <c r="DJ29" s="272">
        <v>100000</v>
      </c>
      <c r="DK29" s="272">
        <v>0</v>
      </c>
      <c r="DL29" s="272">
        <v>20260</v>
      </c>
      <c r="DM29" s="272">
        <v>0</v>
      </c>
      <c r="DN29" s="272">
        <v>0</v>
      </c>
      <c r="DO29" s="272">
        <v>0</v>
      </c>
      <c r="DP29" s="272">
        <v>0</v>
      </c>
      <c r="DQ29" s="272">
        <v>17935</v>
      </c>
      <c r="DR29" s="272">
        <v>0</v>
      </c>
      <c r="DS29" s="272">
        <v>0</v>
      </c>
      <c r="DT29" s="272">
        <v>2768865</v>
      </c>
      <c r="DU29" s="272">
        <v>1291238</v>
      </c>
      <c r="DV29" s="455">
        <f t="shared" si="11"/>
        <v>0</v>
      </c>
      <c r="DW29" s="272">
        <v>0</v>
      </c>
      <c r="DX29" s="272"/>
      <c r="DY29" s="272">
        <v>0</v>
      </c>
      <c r="DZ29" s="272">
        <v>592623</v>
      </c>
      <c r="EA29" s="272">
        <v>412583</v>
      </c>
      <c r="EB29" s="272">
        <v>472421</v>
      </c>
      <c r="EC29" s="272">
        <v>0</v>
      </c>
      <c r="ED29" s="272">
        <v>18668505</v>
      </c>
      <c r="EE29" s="89"/>
      <c r="EF29" s="272">
        <v>25138</v>
      </c>
      <c r="EG29" s="272">
        <v>10709</v>
      </c>
      <c r="EH29" s="272">
        <v>14429</v>
      </c>
      <c r="EI29" s="272">
        <v>-160354</v>
      </c>
      <c r="EJ29" s="272">
        <v>-60354</v>
      </c>
      <c r="EK29" s="89"/>
      <c r="EL29" s="272"/>
      <c r="EM29" s="272">
        <v>60430</v>
      </c>
      <c r="EN29" s="272">
        <v>542495</v>
      </c>
      <c r="EO29" s="272">
        <v>222862</v>
      </c>
      <c r="EP29" s="455">
        <f t="shared" si="12"/>
        <v>389889</v>
      </c>
      <c r="EQ29" s="272">
        <v>12765393</v>
      </c>
      <c r="ER29" s="272">
        <v>-1889572</v>
      </c>
      <c r="ES29" s="272">
        <v>3969408</v>
      </c>
      <c r="ET29" s="272">
        <v>2814989</v>
      </c>
      <c r="EU29" s="272">
        <v>1153476</v>
      </c>
      <c r="EV29" s="272">
        <v>2561028</v>
      </c>
      <c r="EW29" s="455">
        <f t="shared" si="13"/>
        <v>279121</v>
      </c>
      <c r="EX29" s="272">
        <v>279121</v>
      </c>
      <c r="EY29" s="272">
        <v>1500</v>
      </c>
      <c r="EZ29" s="272">
        <v>217985</v>
      </c>
      <c r="FA29" s="272">
        <v>0</v>
      </c>
      <c r="FB29" s="272"/>
      <c r="FC29" s="272">
        <v>1663131</v>
      </c>
      <c r="FD29" s="272">
        <v>2354107</v>
      </c>
      <c r="FE29" s="272">
        <v>1808733</v>
      </c>
      <c r="FF29" s="272">
        <v>2536354</v>
      </c>
      <c r="FG29" s="455">
        <f t="shared" si="14"/>
        <v>113202</v>
      </c>
      <c r="FH29" s="272">
        <v>14629827</v>
      </c>
      <c r="FI29" s="384">
        <f t="shared" si="15"/>
        <v>0.1</v>
      </c>
      <c r="FJ29" s="272">
        <v>12257274</v>
      </c>
      <c r="FK29" s="272">
        <v>632505</v>
      </c>
      <c r="FL29" s="272">
        <v>9340174</v>
      </c>
      <c r="FM29" s="272">
        <v>9315956</v>
      </c>
      <c r="FN29" s="460">
        <v>0.94599999999999995</v>
      </c>
      <c r="FO29" s="388">
        <v>105.4</v>
      </c>
      <c r="FP29" s="388">
        <v>29.9</v>
      </c>
      <c r="FQ29" s="388">
        <v>9.1</v>
      </c>
      <c r="FR29" s="388">
        <v>20.2</v>
      </c>
      <c r="FS29" s="388">
        <v>12.4</v>
      </c>
      <c r="FT29" s="388">
        <v>17.899999999999999</v>
      </c>
      <c r="FU29" s="388">
        <v>15.8</v>
      </c>
      <c r="FV29" s="388">
        <v>19.2</v>
      </c>
      <c r="FW29" s="272">
        <v>28877691</v>
      </c>
      <c r="FX29" s="388">
        <f t="shared" si="16"/>
        <v>235.6</v>
      </c>
      <c r="FY29" s="272">
        <v>5572621</v>
      </c>
      <c r="FZ29" s="272">
        <v>626836</v>
      </c>
      <c r="GA29" s="272">
        <v>0</v>
      </c>
      <c r="GB29" s="272">
        <v>4945785</v>
      </c>
      <c r="GC29" s="272">
        <v>4439625</v>
      </c>
      <c r="GD29" s="272">
        <v>12779648</v>
      </c>
      <c r="GE29" s="384">
        <f t="shared" si="17"/>
        <v>104.3</v>
      </c>
      <c r="GF29" s="388">
        <v>98.8</v>
      </c>
      <c r="GG29" s="388">
        <v>19.899999999999999</v>
      </c>
      <c r="GH29" s="388">
        <v>93.9</v>
      </c>
      <c r="GI29" s="272">
        <v>425</v>
      </c>
      <c r="GJ29" s="394"/>
      <c r="GK29" s="394"/>
      <c r="GL29" s="394"/>
      <c r="GM29" s="394"/>
      <c r="GN29" s="394"/>
      <c r="GO29" s="394"/>
      <c r="GP29" s="394"/>
      <c r="GQ29" s="394"/>
      <c r="GR29" s="394"/>
      <c r="GS29" s="394"/>
      <c r="GT29" s="394"/>
      <c r="GU29" s="394"/>
      <c r="GV29" s="394"/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</row>
    <row r="30" spans="2:230" x14ac:dyDescent="0.15">
      <c r="B30" s="89" t="s">
        <v>53</v>
      </c>
      <c r="C30" s="272">
        <v>8059176</v>
      </c>
      <c r="D30" s="455">
        <f t="shared" si="0"/>
        <v>3340781</v>
      </c>
      <c r="E30" s="272">
        <v>81668</v>
      </c>
      <c r="F30" s="272">
        <v>3259113</v>
      </c>
      <c r="G30" s="455">
        <f t="shared" si="1"/>
        <v>538101</v>
      </c>
      <c r="H30" s="272">
        <v>142563</v>
      </c>
      <c r="I30" s="272">
        <v>395538</v>
      </c>
      <c r="J30" s="272">
        <v>3031247</v>
      </c>
      <c r="K30" s="272">
        <v>1499779</v>
      </c>
      <c r="L30" s="272">
        <v>1229169</v>
      </c>
      <c r="M30" s="272">
        <v>266124</v>
      </c>
      <c r="N30" s="272">
        <v>359830</v>
      </c>
      <c r="O30" s="272">
        <v>734416</v>
      </c>
      <c r="P30" s="272">
        <v>456493</v>
      </c>
      <c r="Q30" s="272">
        <v>277923</v>
      </c>
      <c r="R30" s="272">
        <v>538541</v>
      </c>
      <c r="S30" s="272">
        <v>399166</v>
      </c>
      <c r="T30" s="455">
        <f t="shared" si="2"/>
        <v>875124</v>
      </c>
      <c r="U30" s="272">
        <v>51746</v>
      </c>
      <c r="V30" s="272">
        <v>53695</v>
      </c>
      <c r="W30" s="272">
        <v>42496</v>
      </c>
      <c r="X30" s="272">
        <v>586798</v>
      </c>
      <c r="Y30" s="272">
        <v>0</v>
      </c>
      <c r="Z30" s="272">
        <v>0</v>
      </c>
      <c r="AA30" s="272">
        <v>140389</v>
      </c>
      <c r="AB30" s="272">
        <v>235152</v>
      </c>
      <c r="AC30" s="272">
        <v>3042195</v>
      </c>
      <c r="AD30" s="272">
        <v>2869103</v>
      </c>
      <c r="AE30" s="272">
        <v>173092</v>
      </c>
      <c r="AF30" s="272">
        <v>13743</v>
      </c>
      <c r="AG30" s="272">
        <v>94559</v>
      </c>
      <c r="AH30" s="455">
        <f t="shared" si="3"/>
        <v>446204</v>
      </c>
      <c r="AI30" s="272">
        <v>397806</v>
      </c>
      <c r="AJ30" s="272">
        <v>48398</v>
      </c>
      <c r="AK30" s="272">
        <v>2437033</v>
      </c>
      <c r="AL30" s="455">
        <f t="shared" si="4"/>
        <v>1615082</v>
      </c>
      <c r="AM30" s="272">
        <v>1525645</v>
      </c>
      <c r="AN30" s="272">
        <v>89437</v>
      </c>
      <c r="AO30" s="272">
        <v>0</v>
      </c>
      <c r="AP30" s="272">
        <v>0</v>
      </c>
      <c r="AQ30" s="272">
        <v>82770</v>
      </c>
      <c r="AR30" s="272">
        <v>0</v>
      </c>
      <c r="AS30" s="272">
        <v>0</v>
      </c>
      <c r="AT30" s="272">
        <v>857419</v>
      </c>
      <c r="AU30" s="272">
        <v>357388</v>
      </c>
      <c r="AV30" s="272">
        <v>53645</v>
      </c>
      <c r="AW30" s="272">
        <v>9789</v>
      </c>
      <c r="AX30" s="272">
        <v>500031</v>
      </c>
      <c r="AY30" s="272">
        <v>2449</v>
      </c>
      <c r="AZ30" s="272">
        <v>17771</v>
      </c>
      <c r="BA30" s="272">
        <v>11674</v>
      </c>
      <c r="BB30" s="272">
        <v>52404</v>
      </c>
      <c r="BC30" s="272">
        <v>558588</v>
      </c>
      <c r="BD30" s="272">
        <v>360000</v>
      </c>
      <c r="BE30" s="272">
        <v>10000</v>
      </c>
      <c r="BF30" s="272">
        <v>188549</v>
      </c>
      <c r="BG30" s="272">
        <v>0</v>
      </c>
      <c r="BH30" s="272">
        <v>25916</v>
      </c>
      <c r="BI30" s="272">
        <v>24630</v>
      </c>
      <c r="BJ30" s="272">
        <v>259996</v>
      </c>
      <c r="BK30" s="272">
        <v>20012</v>
      </c>
      <c r="BL30" s="272">
        <v>0</v>
      </c>
      <c r="BM30" s="272">
        <v>0</v>
      </c>
      <c r="BN30" s="272">
        <v>1151800</v>
      </c>
      <c r="BO30" s="455">
        <f t="shared" si="5"/>
        <v>407500</v>
      </c>
      <c r="BP30" s="455">
        <f t="shared" si="6"/>
        <v>744300</v>
      </c>
      <c r="BQ30" s="272">
        <v>83200</v>
      </c>
      <c r="BR30" s="272"/>
      <c r="BS30" s="272">
        <v>661100</v>
      </c>
      <c r="BT30" s="272">
        <v>0</v>
      </c>
      <c r="BU30" s="272">
        <v>18665621</v>
      </c>
      <c r="BV30" s="272"/>
      <c r="BW30" s="272">
        <v>4801855</v>
      </c>
      <c r="BX30" s="272">
        <v>3165285</v>
      </c>
      <c r="BY30" s="272">
        <v>568933</v>
      </c>
      <c r="BZ30" s="272">
        <v>260228</v>
      </c>
      <c r="CA30" s="272">
        <v>4176710</v>
      </c>
      <c r="CB30" s="272">
        <v>631574</v>
      </c>
      <c r="CC30" s="272">
        <v>125660</v>
      </c>
      <c r="CD30" s="272">
        <v>1330639</v>
      </c>
      <c r="CE30" s="272">
        <v>2030223</v>
      </c>
      <c r="CF30" s="272">
        <v>0</v>
      </c>
      <c r="CG30" s="272">
        <v>57499</v>
      </c>
      <c r="CH30" s="272">
        <v>1407931</v>
      </c>
      <c r="CI30" s="272">
        <v>1156207</v>
      </c>
      <c r="CJ30" s="455">
        <f t="shared" si="7"/>
        <v>251724</v>
      </c>
      <c r="CK30" s="272">
        <v>1976969</v>
      </c>
      <c r="CL30" s="272">
        <v>1069761</v>
      </c>
      <c r="CM30" s="272">
        <v>238499</v>
      </c>
      <c r="CN30" s="272">
        <v>297787</v>
      </c>
      <c r="CO30" s="272">
        <v>69128</v>
      </c>
      <c r="CP30" s="272">
        <v>2592669</v>
      </c>
      <c r="CQ30" s="272">
        <v>1829052</v>
      </c>
      <c r="CR30" s="272">
        <v>325863</v>
      </c>
      <c r="CS30" s="272">
        <v>257933</v>
      </c>
      <c r="CT30" s="455">
        <f t="shared" si="8"/>
        <v>159038</v>
      </c>
      <c r="CU30" s="272">
        <v>126110</v>
      </c>
      <c r="CV30" s="272">
        <v>32928</v>
      </c>
      <c r="CW30" s="455">
        <f t="shared" si="9"/>
        <v>153306</v>
      </c>
      <c r="CX30" s="272">
        <v>120948</v>
      </c>
      <c r="CY30" s="272">
        <v>32358</v>
      </c>
      <c r="CZ30" s="455">
        <f t="shared" si="10"/>
        <v>0</v>
      </c>
      <c r="DA30" s="272">
        <v>0</v>
      </c>
      <c r="DB30" s="272">
        <v>0</v>
      </c>
      <c r="DC30" s="272">
        <v>756853</v>
      </c>
      <c r="DD30" s="272">
        <v>174158</v>
      </c>
      <c r="DE30" s="272">
        <v>582695</v>
      </c>
      <c r="DF30" s="26">
        <v>0</v>
      </c>
      <c r="DG30" s="27">
        <v>0</v>
      </c>
      <c r="DH30" s="272">
        <v>0</v>
      </c>
      <c r="DI30" s="272">
        <v>63891</v>
      </c>
      <c r="DJ30" s="272">
        <v>1282</v>
      </c>
      <c r="DK30" s="272">
        <v>38</v>
      </c>
      <c r="DL30" s="272">
        <v>62571</v>
      </c>
      <c r="DM30" s="272">
        <v>0</v>
      </c>
      <c r="DN30" s="272">
        <v>0</v>
      </c>
      <c r="DO30" s="272">
        <v>0</v>
      </c>
      <c r="DP30" s="272">
        <v>0</v>
      </c>
      <c r="DQ30" s="272">
        <v>20000</v>
      </c>
      <c r="DR30" s="272">
        <v>0</v>
      </c>
      <c r="DS30" s="272">
        <v>0</v>
      </c>
      <c r="DT30" s="272">
        <v>2878591</v>
      </c>
      <c r="DU30" s="272">
        <v>1437253</v>
      </c>
      <c r="DV30" s="455">
        <f t="shared" si="11"/>
        <v>0</v>
      </c>
      <c r="DW30" s="272">
        <v>0</v>
      </c>
      <c r="DX30" s="272"/>
      <c r="DY30" s="272">
        <v>0</v>
      </c>
      <c r="DZ30" s="272">
        <v>519471</v>
      </c>
      <c r="EA30" s="272">
        <v>373490</v>
      </c>
      <c r="EB30" s="272">
        <v>548376</v>
      </c>
      <c r="EC30" s="272">
        <v>0</v>
      </c>
      <c r="ED30" s="272">
        <v>18744597</v>
      </c>
      <c r="EE30" s="89"/>
      <c r="EF30" s="272">
        <v>-78976</v>
      </c>
      <c r="EG30" s="272">
        <v>7396</v>
      </c>
      <c r="EH30" s="272">
        <v>-86372</v>
      </c>
      <c r="EI30" s="272">
        <v>-141002</v>
      </c>
      <c r="EJ30" s="272">
        <v>-499720</v>
      </c>
      <c r="EK30" s="89"/>
      <c r="EL30" s="272"/>
      <c r="EM30" s="272">
        <v>66246</v>
      </c>
      <c r="EN30" s="272">
        <v>395039</v>
      </c>
      <c r="EO30" s="272">
        <v>13542</v>
      </c>
      <c r="EP30" s="455">
        <f t="shared" si="12"/>
        <v>210392</v>
      </c>
      <c r="EQ30" s="272">
        <v>12763931</v>
      </c>
      <c r="ER30" s="272">
        <v>-1349530</v>
      </c>
      <c r="ES30" s="272">
        <v>4452327</v>
      </c>
      <c r="ET30" s="272">
        <v>2904377</v>
      </c>
      <c r="EU30" s="272">
        <v>1530404</v>
      </c>
      <c r="EV30" s="272">
        <v>1324597</v>
      </c>
      <c r="EW30" s="455">
        <f t="shared" si="13"/>
        <v>152801</v>
      </c>
      <c r="EX30" s="272">
        <v>152801</v>
      </c>
      <c r="EY30" s="272">
        <v>1649</v>
      </c>
      <c r="EZ30" s="272">
        <v>151152</v>
      </c>
      <c r="FA30" s="272">
        <v>0</v>
      </c>
      <c r="FB30" s="272"/>
      <c r="FC30" s="272">
        <v>1544803</v>
      </c>
      <c r="FD30" s="272">
        <v>2413367</v>
      </c>
      <c r="FE30" s="272">
        <v>1793052</v>
      </c>
      <c r="FF30" s="272">
        <v>2645348</v>
      </c>
      <c r="FG30" s="455">
        <f t="shared" si="14"/>
        <v>128790</v>
      </c>
      <c r="FH30" s="272">
        <v>14192437</v>
      </c>
      <c r="FI30" s="384">
        <f t="shared" si="15"/>
        <v>-0.7</v>
      </c>
      <c r="FJ30" s="272">
        <v>11816358</v>
      </c>
      <c r="FK30" s="272">
        <v>661122</v>
      </c>
      <c r="FL30" s="272">
        <v>6854671</v>
      </c>
      <c r="FM30" s="272">
        <v>9723774</v>
      </c>
      <c r="FN30" s="460">
        <v>0.67400000000000004</v>
      </c>
      <c r="FO30" s="388">
        <v>99.1</v>
      </c>
      <c r="FP30" s="388">
        <v>33</v>
      </c>
      <c r="FQ30" s="388">
        <v>12</v>
      </c>
      <c r="FR30" s="388">
        <v>10.4</v>
      </c>
      <c r="FS30" s="388">
        <v>10.6</v>
      </c>
      <c r="FT30" s="388">
        <v>17.5</v>
      </c>
      <c r="FU30" s="388">
        <v>15</v>
      </c>
      <c r="FV30" s="388">
        <v>12.3</v>
      </c>
      <c r="FW30" s="272">
        <v>12317436</v>
      </c>
      <c r="FX30" s="388">
        <f t="shared" si="16"/>
        <v>104.2</v>
      </c>
      <c r="FY30" s="272">
        <v>1086629</v>
      </c>
      <c r="FZ30" s="272">
        <v>148132</v>
      </c>
      <c r="GA30" s="272">
        <v>12350</v>
      </c>
      <c r="GB30" s="272">
        <v>926147</v>
      </c>
      <c r="GC30" s="272"/>
      <c r="GD30" s="272">
        <v>565588</v>
      </c>
      <c r="GE30" s="384">
        <f t="shared" si="17"/>
        <v>4.8</v>
      </c>
      <c r="GF30" s="388">
        <v>97.9</v>
      </c>
      <c r="GG30" s="388">
        <v>26.5</v>
      </c>
      <c r="GH30" s="388">
        <v>92.9</v>
      </c>
      <c r="GI30" s="272">
        <v>466</v>
      </c>
      <c r="GJ30" s="394"/>
      <c r="GK30" s="394"/>
      <c r="GL30" s="394"/>
      <c r="GM30" s="394"/>
      <c r="GN30" s="394"/>
      <c r="GO30" s="394"/>
      <c r="GP30" s="394"/>
      <c r="GQ30" s="394"/>
      <c r="GR30" s="394"/>
      <c r="GS30" s="394"/>
      <c r="GT30" s="394"/>
      <c r="GU30" s="394"/>
      <c r="GV30" s="394"/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</row>
    <row r="31" spans="2:230" x14ac:dyDescent="0.15">
      <c r="B31" s="89" t="s">
        <v>55</v>
      </c>
      <c r="C31" s="272">
        <v>75644911</v>
      </c>
      <c r="D31" s="455">
        <f t="shared" si="0"/>
        <v>21487222</v>
      </c>
      <c r="E31" s="272">
        <v>623992</v>
      </c>
      <c r="F31" s="272">
        <v>20863230</v>
      </c>
      <c r="G31" s="455">
        <f t="shared" si="1"/>
        <v>8619729</v>
      </c>
      <c r="H31" s="272">
        <v>1582621</v>
      </c>
      <c r="I31" s="272">
        <v>7037108</v>
      </c>
      <c r="J31" s="272">
        <v>32177975</v>
      </c>
      <c r="K31" s="272">
        <v>16136220</v>
      </c>
      <c r="L31" s="272">
        <v>12053254</v>
      </c>
      <c r="M31" s="272">
        <v>3675458</v>
      </c>
      <c r="N31" s="272">
        <v>3890739</v>
      </c>
      <c r="O31" s="272">
        <v>6945909</v>
      </c>
      <c r="P31" s="272">
        <v>4236918</v>
      </c>
      <c r="Q31" s="272">
        <v>2708991</v>
      </c>
      <c r="R31" s="272">
        <v>4379053</v>
      </c>
      <c r="S31" s="272">
        <v>3332666</v>
      </c>
      <c r="T31" s="455">
        <f t="shared" si="2"/>
        <v>7426283</v>
      </c>
      <c r="U31" s="272">
        <v>352327</v>
      </c>
      <c r="V31" s="272">
        <v>365344</v>
      </c>
      <c r="W31" s="272">
        <v>287828</v>
      </c>
      <c r="X31" s="272">
        <v>5366345</v>
      </c>
      <c r="Y31" s="272">
        <v>0</v>
      </c>
      <c r="Z31" s="272">
        <v>0</v>
      </c>
      <c r="AA31" s="272">
        <v>1054439</v>
      </c>
      <c r="AB31" s="272">
        <v>1927611</v>
      </c>
      <c r="AC31" s="272">
        <v>17504840</v>
      </c>
      <c r="AD31" s="272">
        <v>16689738</v>
      </c>
      <c r="AE31" s="272">
        <v>815102</v>
      </c>
      <c r="AF31" s="272">
        <v>109464</v>
      </c>
      <c r="AG31" s="272">
        <v>3270519</v>
      </c>
      <c r="AH31" s="455">
        <f t="shared" si="3"/>
        <v>3286461</v>
      </c>
      <c r="AI31" s="272">
        <v>2708447</v>
      </c>
      <c r="AJ31" s="272">
        <v>578014</v>
      </c>
      <c r="AK31" s="272">
        <v>28364196</v>
      </c>
      <c r="AL31" s="455">
        <f t="shared" si="4"/>
        <v>21216313</v>
      </c>
      <c r="AM31" s="272">
        <v>19746132</v>
      </c>
      <c r="AN31" s="272">
        <v>1419810</v>
      </c>
      <c r="AO31" s="272">
        <v>50371</v>
      </c>
      <c r="AP31" s="272">
        <v>0</v>
      </c>
      <c r="AQ31" s="272">
        <v>1079688</v>
      </c>
      <c r="AR31" s="272">
        <v>0</v>
      </c>
      <c r="AS31" s="272">
        <v>0</v>
      </c>
      <c r="AT31" s="272">
        <v>6728657</v>
      </c>
      <c r="AU31" s="272">
        <v>1938489</v>
      </c>
      <c r="AV31" s="272">
        <v>0</v>
      </c>
      <c r="AW31" s="272">
        <v>14000</v>
      </c>
      <c r="AX31" s="272">
        <v>4790168</v>
      </c>
      <c r="AY31" s="272">
        <v>350876</v>
      </c>
      <c r="AZ31" s="272">
        <v>449894</v>
      </c>
      <c r="BA31" s="272">
        <v>407535</v>
      </c>
      <c r="BB31" s="272">
        <v>16424</v>
      </c>
      <c r="BC31" s="272">
        <v>506314</v>
      </c>
      <c r="BD31" s="272">
        <v>0</v>
      </c>
      <c r="BE31" s="272">
        <v>0</v>
      </c>
      <c r="BF31" s="272">
        <v>161054</v>
      </c>
      <c r="BG31" s="272">
        <v>0</v>
      </c>
      <c r="BH31" s="272">
        <v>1065548</v>
      </c>
      <c r="BI31" s="272">
        <v>816339</v>
      </c>
      <c r="BJ31" s="272">
        <v>3285629</v>
      </c>
      <c r="BK31" s="272">
        <v>1988168</v>
      </c>
      <c r="BL31" s="272">
        <v>6774</v>
      </c>
      <c r="BM31" s="272">
        <v>87493</v>
      </c>
      <c r="BN31" s="272">
        <v>13962400</v>
      </c>
      <c r="BO31" s="455">
        <f t="shared" si="5"/>
        <v>6127400</v>
      </c>
      <c r="BP31" s="455">
        <f t="shared" si="6"/>
        <v>5035000</v>
      </c>
      <c r="BQ31" s="272">
        <v>710300</v>
      </c>
      <c r="BR31" s="272"/>
      <c r="BS31" s="272">
        <v>4324700</v>
      </c>
      <c r="BT31" s="272">
        <v>2800000</v>
      </c>
      <c r="BU31" s="272">
        <v>167928204</v>
      </c>
      <c r="BV31" s="272"/>
      <c r="BW31" s="272">
        <v>36571623</v>
      </c>
      <c r="BX31" s="272">
        <v>25251000</v>
      </c>
      <c r="BY31" s="272">
        <v>5224962</v>
      </c>
      <c r="BZ31" s="272">
        <v>1107304</v>
      </c>
      <c r="CA31" s="272">
        <v>46803446</v>
      </c>
      <c r="CB31" s="272">
        <v>4381255</v>
      </c>
      <c r="CC31" s="272">
        <v>1178427</v>
      </c>
      <c r="CD31" s="272">
        <v>12082144</v>
      </c>
      <c r="CE31" s="272">
        <v>26264267</v>
      </c>
      <c r="CF31" s="272">
        <v>2367967</v>
      </c>
      <c r="CG31" s="272">
        <v>529386</v>
      </c>
      <c r="CH31" s="272">
        <v>15472376</v>
      </c>
      <c r="CI31" s="272">
        <v>12276645</v>
      </c>
      <c r="CJ31" s="455">
        <f t="shared" si="7"/>
        <v>3195731</v>
      </c>
      <c r="CK31" s="272">
        <v>14339316</v>
      </c>
      <c r="CL31" s="272">
        <v>8946976</v>
      </c>
      <c r="CM31" s="272">
        <v>537563</v>
      </c>
      <c r="CN31" s="272">
        <v>2529298</v>
      </c>
      <c r="CO31" s="272">
        <v>1376271</v>
      </c>
      <c r="CP31" s="272">
        <v>11099381</v>
      </c>
      <c r="CQ31" s="272">
        <v>3954487</v>
      </c>
      <c r="CR31" s="272">
        <v>4402793</v>
      </c>
      <c r="CS31" s="272">
        <v>3530504</v>
      </c>
      <c r="CT31" s="455">
        <f t="shared" si="8"/>
        <v>1244094</v>
      </c>
      <c r="CU31" s="272">
        <v>1034361</v>
      </c>
      <c r="CV31" s="272">
        <v>209733</v>
      </c>
      <c r="CW31" s="455">
        <f t="shared" si="9"/>
        <v>1135183</v>
      </c>
      <c r="CX31" s="272">
        <v>925450</v>
      </c>
      <c r="CY31" s="272">
        <v>209733</v>
      </c>
      <c r="CZ31" s="455">
        <f t="shared" si="10"/>
        <v>0</v>
      </c>
      <c r="DA31" s="272">
        <v>0</v>
      </c>
      <c r="DB31" s="272">
        <v>0</v>
      </c>
      <c r="DC31" s="272">
        <v>13589038</v>
      </c>
      <c r="DD31" s="272">
        <v>2328167</v>
      </c>
      <c r="DE31" s="272">
        <v>9720155</v>
      </c>
      <c r="DF31" s="26">
        <v>1048145</v>
      </c>
      <c r="DG31" s="27">
        <v>492571</v>
      </c>
      <c r="DH31" s="272">
        <v>0</v>
      </c>
      <c r="DI31" s="272">
        <v>2843828</v>
      </c>
      <c r="DJ31" s="272">
        <v>1912000</v>
      </c>
      <c r="DK31" s="272">
        <v>922226</v>
      </c>
      <c r="DL31" s="272">
        <v>9602</v>
      </c>
      <c r="DM31" s="272">
        <v>564017</v>
      </c>
      <c r="DN31" s="272">
        <v>517817</v>
      </c>
      <c r="DO31" s="272">
        <v>0</v>
      </c>
      <c r="DP31" s="272">
        <v>517817</v>
      </c>
      <c r="DQ31" s="272">
        <v>2037022</v>
      </c>
      <c r="DR31" s="272">
        <v>0</v>
      </c>
      <c r="DS31" s="272">
        <v>0</v>
      </c>
      <c r="DT31" s="272">
        <v>22082942</v>
      </c>
      <c r="DU31" s="272">
        <v>9018205</v>
      </c>
      <c r="DV31" s="455">
        <f t="shared" si="11"/>
        <v>0</v>
      </c>
      <c r="DW31" s="272">
        <v>0</v>
      </c>
      <c r="DX31" s="272"/>
      <c r="DY31" s="272">
        <v>0</v>
      </c>
      <c r="DZ31" s="272">
        <v>5933900</v>
      </c>
      <c r="EA31" s="272">
        <v>2906076</v>
      </c>
      <c r="EB31" s="272">
        <v>3786844</v>
      </c>
      <c r="EC31" s="272">
        <v>0</v>
      </c>
      <c r="ED31" s="272">
        <v>166779260</v>
      </c>
      <c r="EE31" s="89"/>
      <c r="EF31" s="272">
        <v>1148944</v>
      </c>
      <c r="EG31" s="272">
        <v>282118</v>
      </c>
      <c r="EH31" s="272">
        <v>866826</v>
      </c>
      <c r="EI31" s="272">
        <v>50487</v>
      </c>
      <c r="EJ31" s="272">
        <v>1962706</v>
      </c>
      <c r="EK31" s="89"/>
      <c r="EL31" s="272"/>
      <c r="EM31" s="272">
        <v>492473</v>
      </c>
      <c r="EN31" s="272">
        <v>4054</v>
      </c>
      <c r="EO31" s="272">
        <v>110046</v>
      </c>
      <c r="EP31" s="455">
        <f t="shared" si="12"/>
        <v>3602671</v>
      </c>
      <c r="EQ31" s="272">
        <v>106992162</v>
      </c>
      <c r="ER31" s="272">
        <v>-8642307</v>
      </c>
      <c r="ES31" s="272">
        <v>31926837</v>
      </c>
      <c r="ET31" s="272">
        <v>23629740</v>
      </c>
      <c r="EU31" s="272">
        <v>15530480</v>
      </c>
      <c r="EV31" s="272">
        <v>15284728</v>
      </c>
      <c r="EW31" s="455">
        <f t="shared" si="13"/>
        <v>5260594</v>
      </c>
      <c r="EX31" s="272">
        <v>5260594</v>
      </c>
      <c r="EY31" s="272">
        <v>152933</v>
      </c>
      <c r="EZ31" s="272">
        <v>5072616</v>
      </c>
      <c r="FA31" s="272">
        <v>0</v>
      </c>
      <c r="FB31" s="272"/>
      <c r="FC31" s="272">
        <v>11530003</v>
      </c>
      <c r="FD31" s="272">
        <v>10500687</v>
      </c>
      <c r="FE31" s="272">
        <v>3954487</v>
      </c>
      <c r="FF31" s="272">
        <v>19857890</v>
      </c>
      <c r="FG31" s="455">
        <f t="shared" si="14"/>
        <v>4594306</v>
      </c>
      <c r="FH31" s="272">
        <v>114485525</v>
      </c>
      <c r="FI31" s="384">
        <f t="shared" si="15"/>
        <v>0.9</v>
      </c>
      <c r="FJ31" s="272">
        <v>98043188</v>
      </c>
      <c r="FK31" s="272">
        <v>4324715</v>
      </c>
      <c r="FL31" s="272">
        <v>62179548</v>
      </c>
      <c r="FM31" s="272">
        <v>78830882</v>
      </c>
      <c r="FN31" s="460">
        <v>0.78600000000000003</v>
      </c>
      <c r="FO31" s="388">
        <v>94.9</v>
      </c>
      <c r="FP31" s="388">
        <v>29.7</v>
      </c>
      <c r="FQ31" s="388">
        <v>14.8</v>
      </c>
      <c r="FR31" s="388">
        <v>14.5</v>
      </c>
      <c r="FS31" s="388">
        <v>10.1</v>
      </c>
      <c r="FT31" s="388">
        <v>8.8000000000000007</v>
      </c>
      <c r="FU31" s="388">
        <v>15.9</v>
      </c>
      <c r="FV31" s="388">
        <v>14.5</v>
      </c>
      <c r="FW31" s="272">
        <v>167023469</v>
      </c>
      <c r="FX31" s="388">
        <f t="shared" si="16"/>
        <v>170.4</v>
      </c>
      <c r="FY31" s="272">
        <v>7593730</v>
      </c>
      <c r="FZ31" s="272">
        <v>3928400</v>
      </c>
      <c r="GA31" s="272">
        <v>1153626</v>
      </c>
      <c r="GB31" s="272">
        <v>2511704</v>
      </c>
      <c r="GC31" s="272"/>
      <c r="GD31" s="272">
        <v>16176345</v>
      </c>
      <c r="GE31" s="384">
        <f t="shared" si="17"/>
        <v>16.5</v>
      </c>
      <c r="GF31" s="388">
        <v>97.3</v>
      </c>
      <c r="GG31" s="388">
        <v>33.4</v>
      </c>
      <c r="GH31" s="388">
        <v>92.7</v>
      </c>
      <c r="GI31" s="272">
        <v>3162</v>
      </c>
      <c r="GJ31" s="394"/>
      <c r="GK31" s="394"/>
      <c r="GL31" s="394"/>
      <c r="GM31" s="394"/>
      <c r="GN31" s="394"/>
      <c r="GO31" s="394"/>
      <c r="GP31" s="394"/>
      <c r="GQ31" s="394"/>
      <c r="GR31" s="394"/>
      <c r="GS31" s="394"/>
      <c r="GT31" s="394"/>
      <c r="GU31" s="394"/>
      <c r="GV31" s="394"/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</row>
    <row r="32" spans="2:230" x14ac:dyDescent="0.15">
      <c r="B32" s="89" t="s">
        <v>57</v>
      </c>
      <c r="C32" s="272">
        <v>9046421</v>
      </c>
      <c r="D32" s="455">
        <f t="shared" si="0"/>
        <v>2101976</v>
      </c>
      <c r="E32" s="272">
        <v>73211</v>
      </c>
      <c r="F32" s="272">
        <v>2028765</v>
      </c>
      <c r="G32" s="455">
        <f t="shared" si="1"/>
        <v>624266</v>
      </c>
      <c r="H32" s="272">
        <v>189476</v>
      </c>
      <c r="I32" s="272">
        <v>434790</v>
      </c>
      <c r="J32" s="272">
        <v>5054032</v>
      </c>
      <c r="K32" s="272">
        <v>2148942</v>
      </c>
      <c r="L32" s="272">
        <v>1648880</v>
      </c>
      <c r="M32" s="272">
        <v>1141251</v>
      </c>
      <c r="N32" s="272">
        <v>420289</v>
      </c>
      <c r="O32" s="272">
        <v>752344</v>
      </c>
      <c r="P32" s="272">
        <v>422225</v>
      </c>
      <c r="Q32" s="272">
        <v>330119</v>
      </c>
      <c r="R32" s="272">
        <v>607356</v>
      </c>
      <c r="S32" s="272">
        <v>428646</v>
      </c>
      <c r="T32" s="455">
        <f t="shared" si="2"/>
        <v>894140</v>
      </c>
      <c r="U32" s="272">
        <v>36865</v>
      </c>
      <c r="V32" s="272">
        <v>38232</v>
      </c>
      <c r="W32" s="272">
        <v>30153</v>
      </c>
      <c r="X32" s="272">
        <v>583363</v>
      </c>
      <c r="Y32" s="272">
        <v>54150</v>
      </c>
      <c r="Z32" s="272">
        <v>0</v>
      </c>
      <c r="AA32" s="272">
        <v>151377</v>
      </c>
      <c r="AB32" s="272">
        <v>170137</v>
      </c>
      <c r="AC32" s="272">
        <v>2106226</v>
      </c>
      <c r="AD32" s="272">
        <v>1732969</v>
      </c>
      <c r="AE32" s="272">
        <v>373257</v>
      </c>
      <c r="AF32" s="272">
        <v>13822</v>
      </c>
      <c r="AG32" s="272">
        <v>55716</v>
      </c>
      <c r="AH32" s="455">
        <f t="shared" si="3"/>
        <v>402269</v>
      </c>
      <c r="AI32" s="272">
        <v>312855</v>
      </c>
      <c r="AJ32" s="272">
        <v>89414</v>
      </c>
      <c r="AK32" s="272">
        <v>2549617</v>
      </c>
      <c r="AL32" s="455">
        <f t="shared" si="4"/>
        <v>1452566</v>
      </c>
      <c r="AM32" s="272">
        <v>1401004</v>
      </c>
      <c r="AN32" s="272">
        <v>51562</v>
      </c>
      <c r="AO32" s="272">
        <v>0</v>
      </c>
      <c r="AP32" s="272">
        <v>0</v>
      </c>
      <c r="AQ32" s="272">
        <v>17500</v>
      </c>
      <c r="AR32" s="272">
        <v>0</v>
      </c>
      <c r="AS32" s="272">
        <v>0</v>
      </c>
      <c r="AT32" s="272">
        <v>998301</v>
      </c>
      <c r="AU32" s="272">
        <v>410233</v>
      </c>
      <c r="AV32" s="272">
        <v>25801</v>
      </c>
      <c r="AW32" s="272">
        <v>11437</v>
      </c>
      <c r="AX32" s="272">
        <v>588068</v>
      </c>
      <c r="AY32" s="272">
        <v>11941</v>
      </c>
      <c r="AZ32" s="272">
        <v>167351</v>
      </c>
      <c r="BA32" s="272">
        <v>166944</v>
      </c>
      <c r="BB32" s="272">
        <v>42071</v>
      </c>
      <c r="BC32" s="272">
        <v>121852</v>
      </c>
      <c r="BD32" s="272">
        <v>0</v>
      </c>
      <c r="BE32" s="272">
        <v>59112</v>
      </c>
      <c r="BF32" s="272">
        <v>62740</v>
      </c>
      <c r="BG32" s="272">
        <v>0</v>
      </c>
      <c r="BH32" s="272">
        <v>135616</v>
      </c>
      <c r="BI32" s="272">
        <v>129794</v>
      </c>
      <c r="BJ32" s="272">
        <v>266400</v>
      </c>
      <c r="BK32" s="272">
        <v>20</v>
      </c>
      <c r="BL32" s="272">
        <v>0</v>
      </c>
      <c r="BM32" s="272">
        <v>0</v>
      </c>
      <c r="BN32" s="272">
        <v>1197000</v>
      </c>
      <c r="BO32" s="455">
        <f t="shared" si="5"/>
        <v>503300</v>
      </c>
      <c r="BP32" s="455">
        <f t="shared" si="6"/>
        <v>693700</v>
      </c>
      <c r="BQ32" s="272">
        <v>61000</v>
      </c>
      <c r="BR32" s="272"/>
      <c r="BS32" s="272">
        <v>632700</v>
      </c>
      <c r="BT32" s="272">
        <v>0</v>
      </c>
      <c r="BU32" s="272">
        <v>18774295</v>
      </c>
      <c r="BV32" s="272"/>
      <c r="BW32" s="272">
        <v>5505612</v>
      </c>
      <c r="BX32" s="272">
        <v>3720696</v>
      </c>
      <c r="BY32" s="272">
        <v>484018</v>
      </c>
      <c r="BZ32" s="272">
        <v>383017</v>
      </c>
      <c r="CA32" s="272">
        <v>3670992</v>
      </c>
      <c r="CB32" s="272">
        <v>512404</v>
      </c>
      <c r="CC32" s="272">
        <v>122108</v>
      </c>
      <c r="CD32" s="272">
        <v>1089951</v>
      </c>
      <c r="CE32" s="272">
        <v>1877352</v>
      </c>
      <c r="CF32" s="272">
        <v>0</v>
      </c>
      <c r="CG32" s="272">
        <v>69117</v>
      </c>
      <c r="CH32" s="272">
        <v>2458313</v>
      </c>
      <c r="CI32" s="272">
        <v>1840660</v>
      </c>
      <c r="CJ32" s="455">
        <f t="shared" si="7"/>
        <v>617653</v>
      </c>
      <c r="CK32" s="272">
        <v>1998270</v>
      </c>
      <c r="CL32" s="272">
        <v>1093441</v>
      </c>
      <c r="CM32" s="272">
        <v>126719</v>
      </c>
      <c r="CN32" s="272">
        <v>443919</v>
      </c>
      <c r="CO32" s="272">
        <v>109936</v>
      </c>
      <c r="CP32" s="272">
        <v>1185075</v>
      </c>
      <c r="CQ32" s="272">
        <v>508628</v>
      </c>
      <c r="CR32" s="272">
        <v>305023</v>
      </c>
      <c r="CS32" s="272">
        <v>156735</v>
      </c>
      <c r="CT32" s="455">
        <f t="shared" si="8"/>
        <v>7858</v>
      </c>
      <c r="CU32" s="272">
        <v>1330</v>
      </c>
      <c r="CV32" s="272">
        <v>6528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1315509</v>
      </c>
      <c r="DD32" s="272">
        <v>29916</v>
      </c>
      <c r="DE32" s="272">
        <v>1271959</v>
      </c>
      <c r="DF32" s="26">
        <v>13634</v>
      </c>
      <c r="DG32" s="27">
        <v>0</v>
      </c>
      <c r="DH32" s="272">
        <v>0</v>
      </c>
      <c r="DI32" s="272">
        <v>269762</v>
      </c>
      <c r="DJ32" s="272">
        <v>0</v>
      </c>
      <c r="DK32" s="272">
        <v>70809</v>
      </c>
      <c r="DL32" s="272">
        <v>198953</v>
      </c>
      <c r="DM32" s="272">
        <v>968</v>
      </c>
      <c r="DN32" s="272">
        <v>968</v>
      </c>
      <c r="DO32" s="272">
        <v>0</v>
      </c>
      <c r="DP32" s="272">
        <v>0</v>
      </c>
      <c r="DQ32" s="272">
        <v>0</v>
      </c>
      <c r="DR32" s="272">
        <v>0</v>
      </c>
      <c r="DS32" s="272">
        <v>0</v>
      </c>
      <c r="DT32" s="272">
        <v>2195327</v>
      </c>
      <c r="DU32" s="272">
        <v>824054</v>
      </c>
      <c r="DV32" s="455">
        <f t="shared" si="11"/>
        <v>0</v>
      </c>
      <c r="DW32" s="272">
        <v>0</v>
      </c>
      <c r="DX32" s="272"/>
      <c r="DY32" s="272">
        <v>0</v>
      </c>
      <c r="DZ32" s="272">
        <v>481568</v>
      </c>
      <c r="EA32" s="272">
        <v>385026</v>
      </c>
      <c r="EB32" s="272">
        <v>504679</v>
      </c>
      <c r="EC32" s="272">
        <v>0</v>
      </c>
      <c r="ED32" s="272">
        <v>18709764</v>
      </c>
      <c r="EE32" s="89"/>
      <c r="EF32" s="272">
        <v>64531</v>
      </c>
      <c r="EG32" s="272">
        <v>4952</v>
      </c>
      <c r="EH32" s="272">
        <v>59579</v>
      </c>
      <c r="EI32" s="272">
        <v>-70215</v>
      </c>
      <c r="EJ32" s="272">
        <v>-70215</v>
      </c>
      <c r="EK32" s="89"/>
      <c r="EL32" s="272"/>
      <c r="EM32" s="272">
        <v>65443</v>
      </c>
      <c r="EN32" s="272">
        <v>59112</v>
      </c>
      <c r="EO32" s="272">
        <v>167064</v>
      </c>
      <c r="EP32" s="455">
        <f t="shared" si="12"/>
        <v>729273</v>
      </c>
      <c r="EQ32" s="272">
        <v>12838102</v>
      </c>
      <c r="ER32" s="272">
        <v>-1635327</v>
      </c>
      <c r="ES32" s="272">
        <v>5149225</v>
      </c>
      <c r="ET32" s="272">
        <v>3431784</v>
      </c>
      <c r="EU32" s="272">
        <v>1259907</v>
      </c>
      <c r="EV32" s="272">
        <v>2417718</v>
      </c>
      <c r="EW32" s="455">
        <f t="shared" si="13"/>
        <v>612020</v>
      </c>
      <c r="EX32" s="272">
        <v>612020</v>
      </c>
      <c r="EY32" s="272">
        <v>3659</v>
      </c>
      <c r="EZ32" s="272">
        <v>607694</v>
      </c>
      <c r="FA32" s="272">
        <v>0</v>
      </c>
      <c r="FB32" s="272"/>
      <c r="FC32" s="272">
        <v>1545070</v>
      </c>
      <c r="FD32" s="272">
        <v>1095713</v>
      </c>
      <c r="FE32" s="272">
        <v>508628</v>
      </c>
      <c r="FF32" s="272">
        <v>1973108</v>
      </c>
      <c r="FG32" s="455">
        <f t="shared" si="14"/>
        <v>356137</v>
      </c>
      <c r="FH32" s="272">
        <v>14408898</v>
      </c>
      <c r="FI32" s="384">
        <f t="shared" si="15"/>
        <v>0.5</v>
      </c>
      <c r="FJ32" s="272">
        <v>11748299</v>
      </c>
      <c r="FK32" s="272">
        <v>632769</v>
      </c>
      <c r="FL32" s="272">
        <v>7671266</v>
      </c>
      <c r="FM32" s="272">
        <v>9404235</v>
      </c>
      <c r="FN32" s="460">
        <v>0.8</v>
      </c>
      <c r="FO32" s="388">
        <v>97.1</v>
      </c>
      <c r="FP32" s="388">
        <v>38.5</v>
      </c>
      <c r="FQ32" s="388">
        <v>10.1</v>
      </c>
      <c r="FR32" s="388">
        <v>19.399999999999999</v>
      </c>
      <c r="FS32" s="388">
        <v>10.1</v>
      </c>
      <c r="FT32" s="388">
        <v>7</v>
      </c>
      <c r="FU32" s="388">
        <v>11.3</v>
      </c>
      <c r="FV32" s="388">
        <v>16.399999999999999</v>
      </c>
      <c r="FW32" s="272">
        <v>24054759</v>
      </c>
      <c r="FX32" s="388">
        <f t="shared" si="16"/>
        <v>204.8</v>
      </c>
      <c r="FY32" s="272">
        <v>1956121</v>
      </c>
      <c r="FZ32" s="272">
        <v>0</v>
      </c>
      <c r="GA32" s="272">
        <v>73108</v>
      </c>
      <c r="GB32" s="272">
        <v>1883013</v>
      </c>
      <c r="GC32" s="272">
        <v>450000</v>
      </c>
      <c r="GD32" s="272">
        <v>10198081</v>
      </c>
      <c r="GE32" s="384">
        <f t="shared" si="17"/>
        <v>86.8</v>
      </c>
      <c r="GF32" s="388">
        <v>96.6</v>
      </c>
      <c r="GG32" s="388">
        <v>15.7</v>
      </c>
      <c r="GH32" s="388">
        <v>82.5</v>
      </c>
      <c r="GI32" s="272">
        <v>550</v>
      </c>
      <c r="GJ32" s="394"/>
      <c r="GK32" s="394"/>
      <c r="GL32" s="394"/>
      <c r="GM32" s="394"/>
      <c r="GN32" s="394"/>
      <c r="GO32" s="394"/>
      <c r="GP32" s="394"/>
      <c r="GQ32" s="394"/>
      <c r="GR32" s="394"/>
      <c r="GS32" s="394"/>
      <c r="GT32" s="394"/>
      <c r="GU32" s="394"/>
      <c r="GV32" s="394"/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</row>
    <row r="33" spans="2:230" x14ac:dyDescent="0.15">
      <c r="B33" s="89" t="s">
        <v>59</v>
      </c>
      <c r="C33" s="272">
        <v>6514968</v>
      </c>
      <c r="D33" s="455">
        <f t="shared" si="0"/>
        <v>2529228</v>
      </c>
      <c r="E33" s="272">
        <v>70802</v>
      </c>
      <c r="F33" s="272">
        <v>2458426</v>
      </c>
      <c r="G33" s="455">
        <f t="shared" si="1"/>
        <v>265565</v>
      </c>
      <c r="H33" s="272">
        <v>97920</v>
      </c>
      <c r="I33" s="272">
        <v>167645</v>
      </c>
      <c r="J33" s="272">
        <v>2777802</v>
      </c>
      <c r="K33" s="272">
        <v>1330494</v>
      </c>
      <c r="L33" s="272">
        <v>1194759</v>
      </c>
      <c r="M33" s="272">
        <v>236957</v>
      </c>
      <c r="N33" s="272">
        <v>293410</v>
      </c>
      <c r="O33" s="272">
        <v>596649</v>
      </c>
      <c r="P33" s="272">
        <v>343126</v>
      </c>
      <c r="Q33" s="272">
        <v>253523</v>
      </c>
      <c r="R33" s="272">
        <v>507950</v>
      </c>
      <c r="S33" s="272">
        <v>373214</v>
      </c>
      <c r="T33" s="455">
        <f t="shared" si="2"/>
        <v>740414</v>
      </c>
      <c r="U33" s="272">
        <v>41781</v>
      </c>
      <c r="V33" s="272">
        <v>43335</v>
      </c>
      <c r="W33" s="272">
        <v>34192</v>
      </c>
      <c r="X33" s="272">
        <v>452592</v>
      </c>
      <c r="Y33" s="272">
        <v>32747</v>
      </c>
      <c r="Z33" s="272">
        <v>0</v>
      </c>
      <c r="AA33" s="272">
        <v>135767</v>
      </c>
      <c r="AB33" s="272">
        <v>185037</v>
      </c>
      <c r="AC33" s="272">
        <v>3154435</v>
      </c>
      <c r="AD33" s="272">
        <v>2853148</v>
      </c>
      <c r="AE33" s="272">
        <v>301287</v>
      </c>
      <c r="AF33" s="272">
        <v>11430</v>
      </c>
      <c r="AG33" s="272">
        <v>150209</v>
      </c>
      <c r="AH33" s="455">
        <f t="shared" si="3"/>
        <v>294395</v>
      </c>
      <c r="AI33" s="272">
        <v>181652</v>
      </c>
      <c r="AJ33" s="272">
        <v>112743</v>
      </c>
      <c r="AK33" s="272">
        <v>1610559</v>
      </c>
      <c r="AL33" s="455">
        <f t="shared" si="4"/>
        <v>1201190</v>
      </c>
      <c r="AM33" s="272">
        <v>777056</v>
      </c>
      <c r="AN33" s="272">
        <v>424134</v>
      </c>
      <c r="AO33" s="272">
        <v>0</v>
      </c>
      <c r="AP33" s="272">
        <v>0</v>
      </c>
      <c r="AQ33" s="272">
        <v>138241</v>
      </c>
      <c r="AR33" s="272">
        <v>5645</v>
      </c>
      <c r="AS33" s="272">
        <v>0</v>
      </c>
      <c r="AT33" s="272">
        <v>876778</v>
      </c>
      <c r="AU33" s="272">
        <v>385836</v>
      </c>
      <c r="AV33" s="272">
        <v>207096</v>
      </c>
      <c r="AW33" s="272">
        <v>4308</v>
      </c>
      <c r="AX33" s="272">
        <v>490942</v>
      </c>
      <c r="AY33" s="272">
        <v>33521</v>
      </c>
      <c r="AZ33" s="272">
        <v>118579</v>
      </c>
      <c r="BA33" s="272">
        <v>98609</v>
      </c>
      <c r="BB33" s="272">
        <v>8159</v>
      </c>
      <c r="BC33" s="272">
        <v>103669</v>
      </c>
      <c r="BD33" s="272">
        <v>0</v>
      </c>
      <c r="BE33" s="272">
        <v>0</v>
      </c>
      <c r="BF33" s="272">
        <v>2669</v>
      </c>
      <c r="BG33" s="456">
        <v>101000</v>
      </c>
      <c r="BH33" s="272">
        <v>0</v>
      </c>
      <c r="BI33" s="272">
        <v>0</v>
      </c>
      <c r="BJ33" s="272">
        <v>209151</v>
      </c>
      <c r="BK33" s="272">
        <v>0</v>
      </c>
      <c r="BL33" s="272">
        <v>0</v>
      </c>
      <c r="BM33" s="272">
        <v>0</v>
      </c>
      <c r="BN33" s="272">
        <v>1155600</v>
      </c>
      <c r="BO33" s="455">
        <f t="shared" si="5"/>
        <v>255300</v>
      </c>
      <c r="BP33" s="455">
        <f t="shared" si="6"/>
        <v>647300</v>
      </c>
      <c r="BQ33" s="272">
        <v>64300</v>
      </c>
      <c r="BR33" s="272"/>
      <c r="BS33" s="272">
        <v>583000</v>
      </c>
      <c r="BT33" s="272">
        <v>253000</v>
      </c>
      <c r="BU33" s="272">
        <v>15641333</v>
      </c>
      <c r="BV33" s="272"/>
      <c r="BW33" s="272">
        <v>4350656</v>
      </c>
      <c r="BX33" s="272">
        <v>2922567</v>
      </c>
      <c r="BY33" s="272">
        <v>632327</v>
      </c>
      <c r="BZ33" s="272">
        <v>86114</v>
      </c>
      <c r="CA33" s="272">
        <v>2917917</v>
      </c>
      <c r="CB33" s="272">
        <v>363569</v>
      </c>
      <c r="CC33" s="272">
        <v>104533</v>
      </c>
      <c r="CD33" s="272">
        <v>1346731</v>
      </c>
      <c r="CE33" s="272">
        <v>1017519</v>
      </c>
      <c r="CF33" s="272">
        <v>10216</v>
      </c>
      <c r="CG33" s="272">
        <v>75232</v>
      </c>
      <c r="CH33" s="272">
        <v>1980391</v>
      </c>
      <c r="CI33" s="272">
        <v>1581253</v>
      </c>
      <c r="CJ33" s="455">
        <f t="shared" si="7"/>
        <v>399138</v>
      </c>
      <c r="CK33" s="272">
        <v>2112270</v>
      </c>
      <c r="CL33" s="272">
        <v>1275754</v>
      </c>
      <c r="CM33" s="272">
        <v>232111</v>
      </c>
      <c r="CN33" s="272">
        <v>254204</v>
      </c>
      <c r="CO33" s="272">
        <v>36104</v>
      </c>
      <c r="CP33" s="272">
        <v>1278237</v>
      </c>
      <c r="CQ33" s="272">
        <v>430948</v>
      </c>
      <c r="CR33" s="272">
        <v>362949</v>
      </c>
      <c r="CS33" s="272">
        <v>220806</v>
      </c>
      <c r="CT33" s="455">
        <f t="shared" si="8"/>
        <v>9160</v>
      </c>
      <c r="CU33" s="272">
        <v>4993</v>
      </c>
      <c r="CV33" s="272">
        <v>4167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596655</v>
      </c>
      <c r="DD33" s="272">
        <v>349181</v>
      </c>
      <c r="DE33" s="272">
        <v>247474</v>
      </c>
      <c r="DF33" s="26">
        <v>0</v>
      </c>
      <c r="DG33" s="27">
        <v>0</v>
      </c>
      <c r="DH33" s="272">
        <v>15687</v>
      </c>
      <c r="DI33" s="272">
        <v>71599</v>
      </c>
      <c r="DJ33" s="272">
        <v>16</v>
      </c>
      <c r="DK33" s="272">
        <v>0</v>
      </c>
      <c r="DL33" s="272">
        <v>71583</v>
      </c>
      <c r="DM33" s="272">
        <v>0</v>
      </c>
      <c r="DN33" s="272">
        <v>0</v>
      </c>
      <c r="DO33" s="272">
        <v>0</v>
      </c>
      <c r="DP33" s="272">
        <v>0</v>
      </c>
      <c r="DQ33" s="272">
        <v>0</v>
      </c>
      <c r="DR33" s="272">
        <v>0</v>
      </c>
      <c r="DS33" s="272">
        <v>0</v>
      </c>
      <c r="DT33" s="272">
        <v>2141203</v>
      </c>
      <c r="DU33" s="272">
        <v>1027399</v>
      </c>
      <c r="DV33" s="455">
        <f t="shared" si="11"/>
        <v>0</v>
      </c>
      <c r="DW33" s="272">
        <v>0</v>
      </c>
      <c r="DX33" s="272"/>
      <c r="DY33" s="272">
        <v>0</v>
      </c>
      <c r="DZ33" s="272">
        <v>501602</v>
      </c>
      <c r="EA33" s="272">
        <v>254804</v>
      </c>
      <c r="EB33" s="272">
        <v>356744</v>
      </c>
      <c r="EC33" s="272">
        <v>681359</v>
      </c>
      <c r="ED33" s="272">
        <v>16182078</v>
      </c>
      <c r="EE33" s="89"/>
      <c r="EF33" s="272">
        <v>-540745</v>
      </c>
      <c r="EG33" s="272">
        <v>4977</v>
      </c>
      <c r="EH33" s="272">
        <v>-545722</v>
      </c>
      <c r="EI33" s="272">
        <v>147523</v>
      </c>
      <c r="EJ33" s="272">
        <v>147539</v>
      </c>
      <c r="EK33" s="89"/>
      <c r="EL33" s="272"/>
      <c r="EM33" s="272">
        <v>57029</v>
      </c>
      <c r="EN33" s="272">
        <v>101000</v>
      </c>
      <c r="EO33" s="272">
        <v>117210</v>
      </c>
      <c r="EP33" s="455">
        <f t="shared" si="12"/>
        <v>127572</v>
      </c>
      <c r="EQ33" s="272">
        <v>11114234</v>
      </c>
      <c r="ER33" s="272">
        <v>-981652</v>
      </c>
      <c r="ES33" s="272">
        <v>3792401</v>
      </c>
      <c r="ET33" s="272">
        <v>2739954</v>
      </c>
      <c r="EU33" s="272">
        <v>1026632</v>
      </c>
      <c r="EV33" s="272">
        <v>1978217</v>
      </c>
      <c r="EW33" s="455">
        <f t="shared" si="13"/>
        <v>164417</v>
      </c>
      <c r="EX33" s="272">
        <v>158631</v>
      </c>
      <c r="EY33" s="272">
        <v>48632</v>
      </c>
      <c r="EZ33" s="272">
        <v>109999</v>
      </c>
      <c r="FA33" s="272">
        <v>5786</v>
      </c>
      <c r="FB33" s="272"/>
      <c r="FC33" s="272">
        <v>1819330</v>
      </c>
      <c r="FD33" s="272">
        <v>1142114</v>
      </c>
      <c r="FE33" s="272">
        <v>430948</v>
      </c>
      <c r="FF33" s="272">
        <v>1926057</v>
      </c>
      <c r="FG33" s="455">
        <f t="shared" si="14"/>
        <v>787463</v>
      </c>
      <c r="FH33" s="272">
        <v>12636631</v>
      </c>
      <c r="FI33" s="384">
        <f t="shared" si="15"/>
        <v>-5.4</v>
      </c>
      <c r="FJ33" s="272">
        <v>10134934</v>
      </c>
      <c r="FK33" s="272">
        <v>583021</v>
      </c>
      <c r="FL33" s="272">
        <v>5595473</v>
      </c>
      <c r="FM33" s="272">
        <v>8448621</v>
      </c>
      <c r="FN33" s="460">
        <v>0.63600000000000001</v>
      </c>
      <c r="FO33" s="388">
        <v>102.5</v>
      </c>
      <c r="FP33" s="388">
        <v>33.200000000000003</v>
      </c>
      <c r="FQ33" s="388">
        <v>9.3000000000000007</v>
      </c>
      <c r="FR33" s="388">
        <v>18.100000000000001</v>
      </c>
      <c r="FS33" s="388">
        <v>15.8</v>
      </c>
      <c r="FT33" s="388">
        <v>9.1999999999999993</v>
      </c>
      <c r="FU33" s="388">
        <v>16.5</v>
      </c>
      <c r="FV33" s="388">
        <v>16.5</v>
      </c>
      <c r="FW33" s="272">
        <v>21428835</v>
      </c>
      <c r="FX33" s="388">
        <f t="shared" si="16"/>
        <v>211.4</v>
      </c>
      <c r="FY33" s="272">
        <v>1782611</v>
      </c>
      <c r="FZ33" s="272">
        <v>4338</v>
      </c>
      <c r="GA33" s="272">
        <v>551</v>
      </c>
      <c r="GB33" s="272">
        <v>1777722</v>
      </c>
      <c r="GC33" s="272">
        <v>1307400</v>
      </c>
      <c r="GD33" s="272">
        <v>5240540</v>
      </c>
      <c r="GE33" s="384">
        <f t="shared" si="17"/>
        <v>51.7</v>
      </c>
      <c r="GF33" s="388">
        <v>97.9</v>
      </c>
      <c r="GG33" s="388">
        <v>21.5</v>
      </c>
      <c r="GH33" s="388">
        <v>92.6</v>
      </c>
      <c r="GI33" s="272">
        <v>428</v>
      </c>
      <c r="GJ33" s="394"/>
      <c r="GK33" s="394"/>
      <c r="GL33" s="394"/>
      <c r="GM33" s="394"/>
      <c r="GN33" s="394"/>
      <c r="GO33" s="394"/>
      <c r="GP33" s="394"/>
      <c r="GQ33" s="394"/>
      <c r="GR33" s="394"/>
      <c r="GS33" s="394"/>
      <c r="GT33" s="394"/>
      <c r="GU33" s="394"/>
      <c r="GV33" s="394"/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</row>
    <row r="34" spans="2:230" x14ac:dyDescent="0.15">
      <c r="B34" s="89" t="s">
        <v>61</v>
      </c>
      <c r="C34" s="272">
        <v>9180484</v>
      </c>
      <c r="D34" s="455">
        <f t="shared" si="0"/>
        <v>4193812</v>
      </c>
      <c r="E34" s="272">
        <v>102203</v>
      </c>
      <c r="F34" s="272">
        <v>4091609</v>
      </c>
      <c r="G34" s="455">
        <f t="shared" si="1"/>
        <v>395123</v>
      </c>
      <c r="H34" s="272">
        <v>119253</v>
      </c>
      <c r="I34" s="272">
        <v>275870</v>
      </c>
      <c r="J34" s="272">
        <v>3406223</v>
      </c>
      <c r="K34" s="272">
        <v>1496474</v>
      </c>
      <c r="L34" s="272">
        <v>1436342</v>
      </c>
      <c r="M34" s="272">
        <v>424209</v>
      </c>
      <c r="N34" s="272">
        <v>346984</v>
      </c>
      <c r="O34" s="272">
        <v>769720</v>
      </c>
      <c r="P34" s="272">
        <v>458902</v>
      </c>
      <c r="Q34" s="272">
        <v>310818</v>
      </c>
      <c r="R34" s="272">
        <v>671917</v>
      </c>
      <c r="S34" s="272">
        <v>497310</v>
      </c>
      <c r="T34" s="455">
        <f t="shared" si="2"/>
        <v>1074729</v>
      </c>
      <c r="U34" s="272">
        <v>67891</v>
      </c>
      <c r="V34" s="272">
        <v>70370</v>
      </c>
      <c r="W34" s="272">
        <v>55276</v>
      </c>
      <c r="X34" s="272">
        <v>612977</v>
      </c>
      <c r="Y34" s="272">
        <v>92297</v>
      </c>
      <c r="Z34" s="272">
        <v>0</v>
      </c>
      <c r="AA34" s="272">
        <v>175918</v>
      </c>
      <c r="AB34" s="272">
        <v>281529</v>
      </c>
      <c r="AC34" s="272">
        <v>2863123</v>
      </c>
      <c r="AD34" s="272">
        <v>2665004</v>
      </c>
      <c r="AE34" s="272">
        <v>198119</v>
      </c>
      <c r="AF34" s="272">
        <v>14706</v>
      </c>
      <c r="AG34" s="272">
        <v>207462</v>
      </c>
      <c r="AH34" s="455">
        <f t="shared" si="3"/>
        <v>397424</v>
      </c>
      <c r="AI34" s="272">
        <v>304031</v>
      </c>
      <c r="AJ34" s="272">
        <v>93393</v>
      </c>
      <c r="AK34" s="272">
        <v>1437725</v>
      </c>
      <c r="AL34" s="455">
        <f t="shared" si="4"/>
        <v>769573</v>
      </c>
      <c r="AM34" s="272">
        <v>597978</v>
      </c>
      <c r="AN34" s="272">
        <v>171595</v>
      </c>
      <c r="AO34" s="272">
        <v>0</v>
      </c>
      <c r="AP34" s="272">
        <v>0</v>
      </c>
      <c r="AQ34" s="272">
        <v>21161</v>
      </c>
      <c r="AR34" s="272">
        <v>0</v>
      </c>
      <c r="AS34" s="272">
        <v>0</v>
      </c>
      <c r="AT34" s="272">
        <v>966449</v>
      </c>
      <c r="AU34" s="272">
        <v>384282</v>
      </c>
      <c r="AV34" s="272">
        <v>85909</v>
      </c>
      <c r="AW34" s="272">
        <v>8790</v>
      </c>
      <c r="AX34" s="272">
        <v>582167</v>
      </c>
      <c r="AY34" s="272">
        <v>10829</v>
      </c>
      <c r="AZ34" s="272">
        <v>79364</v>
      </c>
      <c r="BA34" s="272">
        <v>64118</v>
      </c>
      <c r="BB34" s="272">
        <v>17374</v>
      </c>
      <c r="BC34" s="272">
        <v>301803</v>
      </c>
      <c r="BD34" s="272">
        <v>0</v>
      </c>
      <c r="BE34" s="272">
        <v>0</v>
      </c>
      <c r="BF34" s="272">
        <v>300000</v>
      </c>
      <c r="BG34" s="272">
        <v>0</v>
      </c>
      <c r="BH34" s="272">
        <v>101826</v>
      </c>
      <c r="BI34" s="272">
        <v>63831</v>
      </c>
      <c r="BJ34" s="272">
        <v>1741555</v>
      </c>
      <c r="BK34" s="272">
        <v>1500000</v>
      </c>
      <c r="BL34" s="272">
        <v>0</v>
      </c>
      <c r="BM34" s="272">
        <v>0</v>
      </c>
      <c r="BN34" s="272">
        <v>2452300</v>
      </c>
      <c r="BO34" s="455">
        <f t="shared" si="5"/>
        <v>1586800</v>
      </c>
      <c r="BP34" s="455">
        <f t="shared" si="6"/>
        <v>865500</v>
      </c>
      <c r="BQ34" s="272">
        <v>97700</v>
      </c>
      <c r="BR34" s="272"/>
      <c r="BS34" s="272">
        <v>767800</v>
      </c>
      <c r="BT34" s="272">
        <v>0</v>
      </c>
      <c r="BU34" s="272">
        <v>21789770</v>
      </c>
      <c r="BV34" s="272"/>
      <c r="BW34" s="272">
        <v>5595964</v>
      </c>
      <c r="BX34" s="272">
        <v>3565111</v>
      </c>
      <c r="BY34" s="272">
        <v>771799</v>
      </c>
      <c r="BZ34" s="272">
        <v>370233</v>
      </c>
      <c r="CA34" s="272">
        <v>3286039</v>
      </c>
      <c r="CB34" s="272">
        <v>661812</v>
      </c>
      <c r="CC34" s="272">
        <v>130429</v>
      </c>
      <c r="CD34" s="272">
        <v>1501241</v>
      </c>
      <c r="CE34" s="272">
        <v>831028</v>
      </c>
      <c r="CF34" s="272">
        <v>54</v>
      </c>
      <c r="CG34" s="272">
        <v>161475</v>
      </c>
      <c r="CH34" s="272">
        <v>3822547</v>
      </c>
      <c r="CI34" s="272">
        <v>3080326</v>
      </c>
      <c r="CJ34" s="455">
        <f t="shared" si="7"/>
        <v>742221</v>
      </c>
      <c r="CK34" s="272">
        <v>2432205</v>
      </c>
      <c r="CL34" s="272">
        <v>1355436</v>
      </c>
      <c r="CM34" s="272">
        <v>189699</v>
      </c>
      <c r="CN34" s="272">
        <v>460830</v>
      </c>
      <c r="CO34" s="272">
        <v>80502</v>
      </c>
      <c r="CP34" s="272">
        <v>977013</v>
      </c>
      <c r="CQ34" s="272">
        <v>459323</v>
      </c>
      <c r="CR34" s="272">
        <v>282289</v>
      </c>
      <c r="CS34" s="272">
        <v>208517</v>
      </c>
      <c r="CT34" s="455">
        <f t="shared" si="8"/>
        <v>7729</v>
      </c>
      <c r="CU34" s="272">
        <v>7729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1983226</v>
      </c>
      <c r="DD34" s="272">
        <v>56633</v>
      </c>
      <c r="DE34" s="272">
        <v>1926593</v>
      </c>
      <c r="DF34" s="26">
        <v>0</v>
      </c>
      <c r="DG34" s="27">
        <v>0</v>
      </c>
      <c r="DH34" s="272">
        <v>4748</v>
      </c>
      <c r="DI34" s="272">
        <v>111239</v>
      </c>
      <c r="DJ34" s="272">
        <v>39455</v>
      </c>
      <c r="DK34" s="272">
        <v>65609</v>
      </c>
      <c r="DL34" s="272">
        <v>6175</v>
      </c>
      <c r="DM34" s="272">
        <v>0</v>
      </c>
      <c r="DN34" s="272">
        <v>0</v>
      </c>
      <c r="DO34" s="272">
        <v>0</v>
      </c>
      <c r="DP34" s="272">
        <v>0</v>
      </c>
      <c r="DQ34" s="272">
        <v>1500000</v>
      </c>
      <c r="DR34" s="272">
        <v>0</v>
      </c>
      <c r="DS34" s="272">
        <v>0</v>
      </c>
      <c r="DT34" s="272">
        <v>1883120</v>
      </c>
      <c r="DU34" s="272">
        <v>410726</v>
      </c>
      <c r="DV34" s="455">
        <f t="shared" si="11"/>
        <v>0</v>
      </c>
      <c r="DW34" s="272">
        <v>0</v>
      </c>
      <c r="DX34" s="272"/>
      <c r="DY34" s="272">
        <v>0</v>
      </c>
      <c r="DZ34" s="272">
        <v>547524</v>
      </c>
      <c r="EA34" s="272">
        <v>389556</v>
      </c>
      <c r="EB34" s="272">
        <v>535314</v>
      </c>
      <c r="EC34" s="272">
        <v>0</v>
      </c>
      <c r="ED34" s="272">
        <v>21676603</v>
      </c>
      <c r="EE34" s="89"/>
      <c r="EF34" s="272">
        <v>113167</v>
      </c>
      <c r="EG34" s="272">
        <v>5468</v>
      </c>
      <c r="EH34" s="272">
        <v>107699</v>
      </c>
      <c r="EI34" s="272">
        <v>43868</v>
      </c>
      <c r="EJ34" s="272">
        <v>83323</v>
      </c>
      <c r="EK34" s="89"/>
      <c r="EL34" s="272"/>
      <c r="EM34" s="272">
        <v>78628</v>
      </c>
      <c r="EN34" s="272">
        <v>300301</v>
      </c>
      <c r="EO34" s="272">
        <v>72760</v>
      </c>
      <c r="EP34" s="455">
        <f t="shared" si="12"/>
        <v>1847183</v>
      </c>
      <c r="EQ34" s="272">
        <v>14086488</v>
      </c>
      <c r="ER34" s="272">
        <v>-3071038</v>
      </c>
      <c r="ES34" s="272">
        <v>5354521</v>
      </c>
      <c r="ET34" s="272">
        <v>3356945</v>
      </c>
      <c r="EU34" s="272">
        <v>1290740</v>
      </c>
      <c r="EV34" s="272">
        <v>3822547</v>
      </c>
      <c r="EW34" s="455">
        <f t="shared" si="13"/>
        <v>322311</v>
      </c>
      <c r="EX34" s="272">
        <v>317563</v>
      </c>
      <c r="EY34" s="272">
        <v>2472</v>
      </c>
      <c r="EZ34" s="272">
        <v>315091</v>
      </c>
      <c r="FA34" s="272">
        <v>4748</v>
      </c>
      <c r="FB34" s="272"/>
      <c r="FC34" s="272">
        <v>2026148</v>
      </c>
      <c r="FD34" s="272">
        <v>888489</v>
      </c>
      <c r="FE34" s="272">
        <v>459323</v>
      </c>
      <c r="FF34" s="272">
        <v>1654603</v>
      </c>
      <c r="FG34" s="455">
        <f t="shared" si="14"/>
        <v>1685000</v>
      </c>
      <c r="FH34" s="272">
        <v>17044359</v>
      </c>
      <c r="FI34" s="384">
        <f t="shared" si="15"/>
        <v>0.8</v>
      </c>
      <c r="FJ34" s="272">
        <v>12964010</v>
      </c>
      <c r="FK34" s="272">
        <v>767877</v>
      </c>
      <c r="FL34" s="272">
        <v>7902046</v>
      </c>
      <c r="FM34" s="272">
        <v>10567050</v>
      </c>
      <c r="FN34" s="460">
        <v>0.71899999999999997</v>
      </c>
      <c r="FO34" s="388">
        <v>99.5</v>
      </c>
      <c r="FP34" s="388">
        <v>34.4</v>
      </c>
      <c r="FQ34" s="388">
        <v>9.1999999999999993</v>
      </c>
      <c r="FR34" s="388">
        <v>27.1</v>
      </c>
      <c r="FS34" s="388">
        <v>13.2</v>
      </c>
      <c r="FT34" s="388">
        <v>5.6</v>
      </c>
      <c r="FU34" s="388">
        <v>9.4</v>
      </c>
      <c r="FV34" s="388">
        <v>18.8</v>
      </c>
      <c r="FW34" s="272">
        <v>34746581</v>
      </c>
      <c r="FX34" s="388">
        <f t="shared" si="16"/>
        <v>268</v>
      </c>
      <c r="FY34" s="272">
        <v>2837338</v>
      </c>
      <c r="FZ34" s="272">
        <v>585358</v>
      </c>
      <c r="GA34" s="272">
        <v>636770</v>
      </c>
      <c r="GB34" s="272">
        <v>1615210</v>
      </c>
      <c r="GC34" s="272"/>
      <c r="GD34" s="272">
        <v>22693273</v>
      </c>
      <c r="GE34" s="384">
        <f t="shared" si="17"/>
        <v>175</v>
      </c>
      <c r="GF34" s="388">
        <v>98.3</v>
      </c>
      <c r="GG34" s="388">
        <v>24.7</v>
      </c>
      <c r="GH34" s="388">
        <v>91.9</v>
      </c>
      <c r="GI34" s="272">
        <v>517</v>
      </c>
      <c r="GJ34" s="394"/>
      <c r="GK34" s="394"/>
      <c r="GL34" s="394"/>
      <c r="GM34" s="394"/>
      <c r="GN34" s="394"/>
      <c r="GO34" s="394"/>
      <c r="GP34" s="394"/>
      <c r="GQ34" s="394"/>
      <c r="GR34" s="394"/>
      <c r="GS34" s="394"/>
      <c r="GT34" s="394"/>
      <c r="GU34" s="394"/>
      <c r="GV34" s="394"/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</row>
    <row r="35" spans="2:230" x14ac:dyDescent="0.15">
      <c r="B35" s="89" t="s">
        <v>63</v>
      </c>
      <c r="C35" s="272">
        <v>7620638</v>
      </c>
      <c r="D35" s="455">
        <f t="shared" si="0"/>
        <v>3487783</v>
      </c>
      <c r="E35" s="272">
        <v>74898</v>
      </c>
      <c r="F35" s="272">
        <v>3412885</v>
      </c>
      <c r="G35" s="455">
        <f t="shared" si="1"/>
        <v>574429</v>
      </c>
      <c r="H35" s="272">
        <v>106395</v>
      </c>
      <c r="I35" s="272">
        <v>468034</v>
      </c>
      <c r="J35" s="272">
        <v>2777443</v>
      </c>
      <c r="K35" s="272">
        <v>1188149</v>
      </c>
      <c r="L35" s="272">
        <v>1208700</v>
      </c>
      <c r="M35" s="272">
        <v>345949</v>
      </c>
      <c r="N35" s="272">
        <v>353445</v>
      </c>
      <c r="O35" s="272">
        <v>369372</v>
      </c>
      <c r="P35" s="272">
        <v>211245</v>
      </c>
      <c r="Q35" s="272">
        <v>158127</v>
      </c>
      <c r="R35" s="272">
        <v>428352</v>
      </c>
      <c r="S35" s="272">
        <v>286322</v>
      </c>
      <c r="T35" s="455">
        <f t="shared" si="2"/>
        <v>799897</v>
      </c>
      <c r="U35" s="272">
        <v>54855</v>
      </c>
      <c r="V35" s="272">
        <v>56902</v>
      </c>
      <c r="W35" s="272">
        <v>44927</v>
      </c>
      <c r="X35" s="272">
        <v>500050</v>
      </c>
      <c r="Y35" s="272">
        <v>0</v>
      </c>
      <c r="Z35" s="272">
        <v>0</v>
      </c>
      <c r="AA35" s="272">
        <v>143163</v>
      </c>
      <c r="AB35" s="272">
        <v>277978</v>
      </c>
      <c r="AC35" s="272">
        <v>1858279</v>
      </c>
      <c r="AD35" s="272">
        <v>1592027</v>
      </c>
      <c r="AE35" s="272">
        <v>266252</v>
      </c>
      <c r="AF35" s="272">
        <v>13541</v>
      </c>
      <c r="AG35" s="272">
        <v>170349</v>
      </c>
      <c r="AH35" s="455">
        <f t="shared" si="3"/>
        <v>264043</v>
      </c>
      <c r="AI35" s="272">
        <v>219599</v>
      </c>
      <c r="AJ35" s="272">
        <v>44444</v>
      </c>
      <c r="AK35" s="272">
        <v>1385127</v>
      </c>
      <c r="AL35" s="455">
        <f t="shared" si="4"/>
        <v>902326</v>
      </c>
      <c r="AM35" s="272">
        <v>781696</v>
      </c>
      <c r="AN35" s="272">
        <v>120630</v>
      </c>
      <c r="AO35" s="272">
        <v>0</v>
      </c>
      <c r="AP35" s="272">
        <v>0</v>
      </c>
      <c r="AQ35" s="272">
        <v>66256</v>
      </c>
      <c r="AR35" s="272">
        <v>0</v>
      </c>
      <c r="AS35" s="272">
        <v>0</v>
      </c>
      <c r="AT35" s="272">
        <v>746080</v>
      </c>
      <c r="AU35" s="272">
        <v>301222</v>
      </c>
      <c r="AV35" s="272">
        <v>60315</v>
      </c>
      <c r="AW35" s="272">
        <v>0</v>
      </c>
      <c r="AX35" s="272">
        <v>444858</v>
      </c>
      <c r="AY35" s="272">
        <v>16854</v>
      </c>
      <c r="AZ35" s="272">
        <v>12710</v>
      </c>
      <c r="BA35" s="272">
        <v>4999</v>
      </c>
      <c r="BB35" s="272">
        <v>12957</v>
      </c>
      <c r="BC35" s="272">
        <v>193</v>
      </c>
      <c r="BD35" s="272">
        <v>0</v>
      </c>
      <c r="BE35" s="272">
        <v>0</v>
      </c>
      <c r="BF35" s="272">
        <v>193</v>
      </c>
      <c r="BG35" s="272">
        <v>0</v>
      </c>
      <c r="BH35" s="272">
        <v>283200</v>
      </c>
      <c r="BI35" s="272">
        <v>283200</v>
      </c>
      <c r="BJ35" s="272">
        <v>125463</v>
      </c>
      <c r="BK35" s="272">
        <v>190</v>
      </c>
      <c r="BL35" s="272">
        <v>0</v>
      </c>
      <c r="BM35" s="272">
        <v>0</v>
      </c>
      <c r="BN35" s="272">
        <v>1302300</v>
      </c>
      <c r="BO35" s="455">
        <f t="shared" si="5"/>
        <v>607000</v>
      </c>
      <c r="BP35" s="455">
        <f t="shared" si="6"/>
        <v>695300</v>
      </c>
      <c r="BQ35" s="272">
        <v>100400</v>
      </c>
      <c r="BR35" s="272"/>
      <c r="BS35" s="272">
        <v>594900</v>
      </c>
      <c r="BT35" s="272">
        <v>0</v>
      </c>
      <c r="BU35" s="272">
        <v>15301107</v>
      </c>
      <c r="BV35" s="272"/>
      <c r="BW35" s="272">
        <v>4339344</v>
      </c>
      <c r="BX35" s="272">
        <v>2943600</v>
      </c>
      <c r="BY35" s="272">
        <v>486943</v>
      </c>
      <c r="BZ35" s="272">
        <v>192612</v>
      </c>
      <c r="CA35" s="272">
        <v>2543262</v>
      </c>
      <c r="CB35" s="272">
        <v>313870</v>
      </c>
      <c r="CC35" s="272">
        <v>76218</v>
      </c>
      <c r="CD35" s="272">
        <v>1102949</v>
      </c>
      <c r="CE35" s="272">
        <v>999437</v>
      </c>
      <c r="CF35" s="272">
        <v>0</v>
      </c>
      <c r="CG35" s="272">
        <v>50788</v>
      </c>
      <c r="CH35" s="272">
        <v>2550498</v>
      </c>
      <c r="CI35" s="272">
        <v>2108884</v>
      </c>
      <c r="CJ35" s="455">
        <f t="shared" si="7"/>
        <v>441614</v>
      </c>
      <c r="CK35" s="272">
        <v>2048242</v>
      </c>
      <c r="CL35" s="272">
        <v>1317877</v>
      </c>
      <c r="CM35" s="272">
        <v>123089</v>
      </c>
      <c r="CN35" s="272">
        <v>262628</v>
      </c>
      <c r="CO35" s="272">
        <v>22408</v>
      </c>
      <c r="CP35" s="272">
        <v>982491</v>
      </c>
      <c r="CQ35" s="272">
        <v>438993</v>
      </c>
      <c r="CR35" s="272">
        <v>314118</v>
      </c>
      <c r="CS35" s="272">
        <v>276491</v>
      </c>
      <c r="CT35" s="455">
        <f t="shared" si="8"/>
        <v>3971</v>
      </c>
      <c r="CU35" s="272">
        <v>3971</v>
      </c>
      <c r="CV35" s="272">
        <v>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1303592</v>
      </c>
      <c r="DD35" s="272">
        <v>171000</v>
      </c>
      <c r="DE35" s="272">
        <v>1119835</v>
      </c>
      <c r="DF35" s="26">
        <v>12757</v>
      </c>
      <c r="DG35" s="27">
        <v>0</v>
      </c>
      <c r="DH35" s="272">
        <v>0</v>
      </c>
      <c r="DI35" s="272">
        <v>15440</v>
      </c>
      <c r="DJ35" s="272">
        <v>5000</v>
      </c>
      <c r="DK35" s="272">
        <v>100</v>
      </c>
      <c r="DL35" s="272">
        <v>10340</v>
      </c>
      <c r="DM35" s="272">
        <v>0</v>
      </c>
      <c r="DN35" s="272">
        <v>0</v>
      </c>
      <c r="DO35" s="272">
        <v>0</v>
      </c>
      <c r="DP35" s="272">
        <v>0</v>
      </c>
      <c r="DQ35" s="272">
        <v>576</v>
      </c>
      <c r="DR35" s="272">
        <v>0</v>
      </c>
      <c r="DS35" s="272">
        <v>0</v>
      </c>
      <c r="DT35" s="272">
        <v>1445218</v>
      </c>
      <c r="DU35" s="272">
        <v>325497</v>
      </c>
      <c r="DV35" s="455">
        <f t="shared" si="11"/>
        <v>0</v>
      </c>
      <c r="DW35" s="272">
        <v>0</v>
      </c>
      <c r="DX35" s="272"/>
      <c r="DY35" s="272">
        <v>0</v>
      </c>
      <c r="DZ35" s="272">
        <v>383687</v>
      </c>
      <c r="EA35" s="272">
        <v>285675</v>
      </c>
      <c r="EB35" s="272">
        <v>450359</v>
      </c>
      <c r="EC35" s="272">
        <v>0</v>
      </c>
      <c r="ED35" s="272">
        <v>15251071</v>
      </c>
      <c r="EE35" s="89"/>
      <c r="EF35" s="272">
        <v>50036</v>
      </c>
      <c r="EG35" s="272">
        <v>0</v>
      </c>
      <c r="EH35" s="272">
        <v>50036</v>
      </c>
      <c r="EI35" s="272">
        <v>-233164</v>
      </c>
      <c r="EJ35" s="272">
        <v>-228164</v>
      </c>
      <c r="EK35" s="89"/>
      <c r="EL35" s="272"/>
      <c r="EM35" s="272">
        <v>57772</v>
      </c>
      <c r="EN35" s="272">
        <v>0</v>
      </c>
      <c r="EO35" s="272">
        <v>8808</v>
      </c>
      <c r="EP35" s="455">
        <f t="shared" si="12"/>
        <v>445713</v>
      </c>
      <c r="EQ35" s="272">
        <v>10998685</v>
      </c>
      <c r="ER35" s="272">
        <v>-1136280</v>
      </c>
      <c r="ES35" s="272">
        <v>4105809</v>
      </c>
      <c r="ET35" s="272">
        <v>2729013</v>
      </c>
      <c r="EU35" s="272">
        <v>852290</v>
      </c>
      <c r="EV35" s="272">
        <v>2542247</v>
      </c>
      <c r="EW35" s="455">
        <f t="shared" si="13"/>
        <v>608079</v>
      </c>
      <c r="EX35" s="272">
        <v>608079</v>
      </c>
      <c r="EY35" s="272">
        <v>28644</v>
      </c>
      <c r="EZ35" s="272">
        <v>571234</v>
      </c>
      <c r="FA35" s="272">
        <v>0</v>
      </c>
      <c r="FB35" s="272"/>
      <c r="FC35" s="272">
        <v>1765372</v>
      </c>
      <c r="FD35" s="272">
        <v>924043</v>
      </c>
      <c r="FE35" s="272">
        <v>438993</v>
      </c>
      <c r="FF35" s="272">
        <v>1253239</v>
      </c>
      <c r="FG35" s="455">
        <f t="shared" si="14"/>
        <v>33850</v>
      </c>
      <c r="FH35" s="272">
        <v>12084929</v>
      </c>
      <c r="FI35" s="384">
        <f t="shared" si="15"/>
        <v>0.5</v>
      </c>
      <c r="FJ35" s="272">
        <v>10346676</v>
      </c>
      <c r="FK35" s="272">
        <v>594989</v>
      </c>
      <c r="FL35" s="272">
        <v>6680800</v>
      </c>
      <c r="FM35" s="272">
        <v>8272827</v>
      </c>
      <c r="FN35" s="460">
        <v>0.76</v>
      </c>
      <c r="FO35" s="388">
        <v>98.8</v>
      </c>
      <c r="FP35" s="388">
        <v>34.9</v>
      </c>
      <c r="FQ35" s="388">
        <v>7.7</v>
      </c>
      <c r="FR35" s="388">
        <v>22.8</v>
      </c>
      <c r="FS35" s="388">
        <v>15.2</v>
      </c>
      <c r="FT35" s="388">
        <v>7.9</v>
      </c>
      <c r="FU35" s="388">
        <v>10.1</v>
      </c>
      <c r="FV35" s="388">
        <v>16</v>
      </c>
      <c r="FW35" s="272">
        <v>20924476</v>
      </c>
      <c r="FX35" s="388">
        <f t="shared" si="16"/>
        <v>202.2</v>
      </c>
      <c r="FY35" s="272">
        <v>2830637</v>
      </c>
      <c r="FZ35" s="272">
        <v>1928000</v>
      </c>
      <c r="GA35" s="272">
        <v>36228</v>
      </c>
      <c r="GB35" s="272">
        <v>866409</v>
      </c>
      <c r="GC35" s="272"/>
      <c r="GD35" s="272">
        <v>1050970</v>
      </c>
      <c r="GE35" s="384">
        <f t="shared" si="17"/>
        <v>10.199999999999999</v>
      </c>
      <c r="GF35" s="388">
        <v>98.1</v>
      </c>
      <c r="GG35" s="388">
        <v>21</v>
      </c>
      <c r="GH35" s="388">
        <v>91.3</v>
      </c>
      <c r="GI35" s="272">
        <v>402</v>
      </c>
      <c r="GJ35" s="394"/>
      <c r="GK35" s="394"/>
      <c r="GL35" s="394"/>
      <c r="GM35" s="394"/>
      <c r="GN35" s="394"/>
      <c r="GO35" s="394"/>
      <c r="GP35" s="394"/>
      <c r="GQ35" s="394"/>
      <c r="GR35" s="394"/>
      <c r="GS35" s="394"/>
      <c r="GT35" s="394"/>
      <c r="GU35" s="394"/>
      <c r="GV35" s="394"/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</row>
    <row r="36" spans="2:230" x14ac:dyDescent="0.15">
      <c r="B36" s="89" t="s">
        <v>65</v>
      </c>
      <c r="C36" s="272">
        <v>5335890</v>
      </c>
      <c r="D36" s="455">
        <f t="shared" si="0"/>
        <v>2270337</v>
      </c>
      <c r="E36" s="272">
        <v>73683</v>
      </c>
      <c r="F36" s="272">
        <v>2196654</v>
      </c>
      <c r="G36" s="455">
        <f t="shared" si="1"/>
        <v>145303</v>
      </c>
      <c r="H36" s="272">
        <v>65546</v>
      </c>
      <c r="I36" s="272">
        <v>79757</v>
      </c>
      <c r="J36" s="272">
        <v>2107694</v>
      </c>
      <c r="K36" s="272">
        <v>856561</v>
      </c>
      <c r="L36" s="272">
        <v>984569</v>
      </c>
      <c r="M36" s="272">
        <v>218127</v>
      </c>
      <c r="N36" s="272">
        <v>291155</v>
      </c>
      <c r="O36" s="272">
        <v>436661</v>
      </c>
      <c r="P36" s="272">
        <v>234106</v>
      </c>
      <c r="Q36" s="272">
        <v>202555</v>
      </c>
      <c r="R36" s="272">
        <v>544704</v>
      </c>
      <c r="S36" s="272">
        <v>388766</v>
      </c>
      <c r="T36" s="455">
        <f t="shared" si="2"/>
        <v>723434</v>
      </c>
      <c r="U36" s="272">
        <v>39364</v>
      </c>
      <c r="V36" s="272">
        <v>40785</v>
      </c>
      <c r="W36" s="272">
        <v>31960</v>
      </c>
      <c r="X36" s="272">
        <v>450466</v>
      </c>
      <c r="Y36" s="272">
        <v>3697</v>
      </c>
      <c r="Z36" s="272">
        <v>0</v>
      </c>
      <c r="AA36" s="272">
        <v>157162</v>
      </c>
      <c r="AB36" s="272">
        <v>143102</v>
      </c>
      <c r="AC36" s="272">
        <v>3489762</v>
      </c>
      <c r="AD36" s="272">
        <v>3243705</v>
      </c>
      <c r="AE36" s="272">
        <v>246057</v>
      </c>
      <c r="AF36" s="272">
        <v>12643</v>
      </c>
      <c r="AG36" s="272">
        <v>75730</v>
      </c>
      <c r="AH36" s="455">
        <f t="shared" si="3"/>
        <v>298192</v>
      </c>
      <c r="AI36" s="272">
        <v>268502</v>
      </c>
      <c r="AJ36" s="272">
        <v>29690</v>
      </c>
      <c r="AK36" s="272">
        <v>1942364</v>
      </c>
      <c r="AL36" s="455">
        <f t="shared" si="4"/>
        <v>981480</v>
      </c>
      <c r="AM36" s="272">
        <v>687678</v>
      </c>
      <c r="AN36" s="272">
        <v>293802</v>
      </c>
      <c r="AO36" s="272">
        <v>0</v>
      </c>
      <c r="AP36" s="272">
        <v>0</v>
      </c>
      <c r="AQ36" s="272">
        <v>700302</v>
      </c>
      <c r="AR36" s="272">
        <v>0</v>
      </c>
      <c r="AS36" s="272">
        <v>0</v>
      </c>
      <c r="AT36" s="272">
        <v>749281</v>
      </c>
      <c r="AU36" s="272">
        <v>260962</v>
      </c>
      <c r="AV36" s="272">
        <v>143647</v>
      </c>
      <c r="AW36" s="272">
        <v>656</v>
      </c>
      <c r="AX36" s="272">
        <v>488319</v>
      </c>
      <c r="AY36" s="272">
        <v>22599</v>
      </c>
      <c r="AZ36" s="272">
        <v>11012</v>
      </c>
      <c r="BA36" s="272">
        <v>5649</v>
      </c>
      <c r="BB36" s="272">
        <v>5875</v>
      </c>
      <c r="BC36" s="272">
        <v>728831</v>
      </c>
      <c r="BD36" s="272">
        <v>118535</v>
      </c>
      <c r="BE36" s="272">
        <v>0</v>
      </c>
      <c r="BF36" s="272">
        <v>609099</v>
      </c>
      <c r="BG36" s="272">
        <v>0</v>
      </c>
      <c r="BH36" s="272">
        <v>125044</v>
      </c>
      <c r="BI36" s="272">
        <v>125044</v>
      </c>
      <c r="BJ36" s="272">
        <v>991829</v>
      </c>
      <c r="BK36" s="272">
        <v>14727</v>
      </c>
      <c r="BL36" s="272">
        <v>0</v>
      </c>
      <c r="BM36" s="272">
        <v>0</v>
      </c>
      <c r="BN36" s="272">
        <v>1977400</v>
      </c>
      <c r="BO36" s="455">
        <f t="shared" si="5"/>
        <v>1355500</v>
      </c>
      <c r="BP36" s="455">
        <f t="shared" si="6"/>
        <v>621900</v>
      </c>
      <c r="BQ36" s="272">
        <v>50600</v>
      </c>
      <c r="BR36" s="272"/>
      <c r="BS36" s="272">
        <v>571300</v>
      </c>
      <c r="BT36" s="272">
        <v>0</v>
      </c>
      <c r="BU36" s="272">
        <v>17155093</v>
      </c>
      <c r="BV36" s="272"/>
      <c r="BW36" s="272">
        <v>3552828</v>
      </c>
      <c r="BX36" s="272">
        <v>2526080</v>
      </c>
      <c r="BY36" s="272">
        <v>348696</v>
      </c>
      <c r="BZ36" s="272">
        <v>24634</v>
      </c>
      <c r="CA36" s="272">
        <v>2330438</v>
      </c>
      <c r="CB36" s="272">
        <v>425324</v>
      </c>
      <c r="CC36" s="272">
        <v>99431</v>
      </c>
      <c r="CD36" s="272">
        <v>884182</v>
      </c>
      <c r="CE36" s="272">
        <v>851448</v>
      </c>
      <c r="CF36" s="272">
        <v>3357</v>
      </c>
      <c r="CG36" s="272">
        <v>66696</v>
      </c>
      <c r="CH36" s="272">
        <v>1691092</v>
      </c>
      <c r="CI36" s="272">
        <v>1301632</v>
      </c>
      <c r="CJ36" s="455">
        <f t="shared" si="7"/>
        <v>389460</v>
      </c>
      <c r="CK36" s="272">
        <v>2085698</v>
      </c>
      <c r="CL36" s="272">
        <v>1035884</v>
      </c>
      <c r="CM36" s="272">
        <v>392642</v>
      </c>
      <c r="CN36" s="272">
        <v>404139</v>
      </c>
      <c r="CO36" s="272">
        <v>113182</v>
      </c>
      <c r="CP36" s="272">
        <v>1615724</v>
      </c>
      <c r="CQ36" s="272">
        <v>1063179</v>
      </c>
      <c r="CR36" s="272">
        <v>175882</v>
      </c>
      <c r="CS36" s="272">
        <v>175882</v>
      </c>
      <c r="CT36" s="455">
        <f t="shared" si="8"/>
        <v>160829</v>
      </c>
      <c r="CU36" s="272">
        <v>81129</v>
      </c>
      <c r="CV36" s="272">
        <v>79700</v>
      </c>
      <c r="CW36" s="455">
        <f t="shared" si="9"/>
        <v>131000</v>
      </c>
      <c r="CX36" s="272">
        <v>74000</v>
      </c>
      <c r="CY36" s="272">
        <v>57000</v>
      </c>
      <c r="CZ36" s="455">
        <f t="shared" si="10"/>
        <v>0</v>
      </c>
      <c r="DA36" s="272">
        <v>0</v>
      </c>
      <c r="DB36" s="272">
        <v>0</v>
      </c>
      <c r="DC36" s="272">
        <v>2743050</v>
      </c>
      <c r="DD36" s="272">
        <v>1403987</v>
      </c>
      <c r="DE36" s="272">
        <v>1327725</v>
      </c>
      <c r="DF36" s="26">
        <v>11338</v>
      </c>
      <c r="DG36" s="27">
        <v>0</v>
      </c>
      <c r="DH36" s="272">
        <v>0</v>
      </c>
      <c r="DI36" s="272">
        <v>829052</v>
      </c>
      <c r="DJ36" s="272">
        <v>1073</v>
      </c>
      <c r="DK36" s="272">
        <v>428400</v>
      </c>
      <c r="DL36" s="272">
        <v>399579</v>
      </c>
      <c r="DM36" s="272">
        <v>0</v>
      </c>
      <c r="DN36" s="272">
        <v>0</v>
      </c>
      <c r="DO36" s="272">
        <v>0</v>
      </c>
      <c r="DP36" s="272">
        <v>0</v>
      </c>
      <c r="DQ36" s="272">
        <v>23000</v>
      </c>
      <c r="DR36" s="272">
        <v>0</v>
      </c>
      <c r="DS36" s="272">
        <v>0</v>
      </c>
      <c r="DT36" s="272">
        <v>1767937</v>
      </c>
      <c r="DU36" s="272">
        <v>566197</v>
      </c>
      <c r="DV36" s="455">
        <f t="shared" si="11"/>
        <v>0</v>
      </c>
      <c r="DW36" s="272">
        <v>0</v>
      </c>
      <c r="DX36" s="272"/>
      <c r="DY36" s="272">
        <v>0</v>
      </c>
      <c r="DZ36" s="272">
        <v>387729</v>
      </c>
      <c r="EA36" s="272">
        <v>357619</v>
      </c>
      <c r="EB36" s="272">
        <v>456386</v>
      </c>
      <c r="EC36" s="272">
        <v>0</v>
      </c>
      <c r="ED36" s="272">
        <v>16752001</v>
      </c>
      <c r="EE36" s="89"/>
      <c r="EF36" s="272">
        <v>403092</v>
      </c>
      <c r="EG36" s="272">
        <v>276982</v>
      </c>
      <c r="EH36" s="272">
        <v>126110</v>
      </c>
      <c r="EI36" s="272">
        <v>1066</v>
      </c>
      <c r="EJ36" s="272">
        <v>-116396</v>
      </c>
      <c r="EK36" s="89"/>
      <c r="EL36" s="272"/>
      <c r="EM36" s="272">
        <v>58743</v>
      </c>
      <c r="EN36" s="272">
        <v>396714</v>
      </c>
      <c r="EO36" s="272">
        <v>8188</v>
      </c>
      <c r="EP36" s="455">
        <f t="shared" si="12"/>
        <v>238298</v>
      </c>
      <c r="EQ36" s="272">
        <v>10249535</v>
      </c>
      <c r="ER36" s="272">
        <v>-1252457</v>
      </c>
      <c r="ES36" s="272">
        <v>3249930</v>
      </c>
      <c r="ET36" s="272">
        <v>2227945</v>
      </c>
      <c r="EU36" s="272">
        <v>771383</v>
      </c>
      <c r="EV36" s="272">
        <v>1691092</v>
      </c>
      <c r="EW36" s="455">
        <f t="shared" si="13"/>
        <v>294398</v>
      </c>
      <c r="EX36" s="272">
        <v>294398</v>
      </c>
      <c r="EY36" s="272">
        <v>16263</v>
      </c>
      <c r="EZ36" s="272">
        <v>278066</v>
      </c>
      <c r="FA36" s="272">
        <v>0</v>
      </c>
      <c r="FB36" s="272"/>
      <c r="FC36" s="272">
        <v>1856810</v>
      </c>
      <c r="FD36" s="272">
        <v>1526407</v>
      </c>
      <c r="FE36" s="272">
        <v>1063179</v>
      </c>
      <c r="FF36" s="272">
        <v>1561463</v>
      </c>
      <c r="FG36" s="455">
        <f t="shared" si="14"/>
        <v>147417</v>
      </c>
      <c r="FH36" s="272">
        <v>11098900</v>
      </c>
      <c r="FI36" s="384">
        <f t="shared" si="15"/>
        <v>1.3</v>
      </c>
      <c r="FJ36" s="272">
        <v>9608269</v>
      </c>
      <c r="FK36" s="272">
        <v>571372</v>
      </c>
      <c r="FL36" s="272">
        <v>4916662</v>
      </c>
      <c r="FM36" s="272">
        <v>8159526</v>
      </c>
      <c r="FN36" s="460">
        <v>0.60399999999999998</v>
      </c>
      <c r="FO36" s="388">
        <v>100.3</v>
      </c>
      <c r="FP36" s="388">
        <v>31.8</v>
      </c>
      <c r="FQ36" s="388">
        <v>7.5</v>
      </c>
      <c r="FR36" s="388">
        <v>16.5</v>
      </c>
      <c r="FS36" s="388">
        <v>17.7</v>
      </c>
      <c r="FT36" s="388">
        <v>13.5</v>
      </c>
      <c r="FU36" s="388">
        <v>12.2</v>
      </c>
      <c r="FV36" s="388">
        <v>14.7</v>
      </c>
      <c r="FW36" s="272">
        <v>15322032</v>
      </c>
      <c r="FX36" s="388">
        <f t="shared" si="16"/>
        <v>159.5</v>
      </c>
      <c r="FY36" s="272">
        <v>2157070</v>
      </c>
      <c r="FZ36" s="272">
        <v>1099051</v>
      </c>
      <c r="GA36" s="272">
        <v>428470</v>
      </c>
      <c r="GB36" s="272">
        <v>629549</v>
      </c>
      <c r="GC36" s="272">
        <v>300000</v>
      </c>
      <c r="GD36" s="272">
        <v>969960</v>
      </c>
      <c r="GE36" s="384">
        <f t="shared" si="17"/>
        <v>10.1</v>
      </c>
      <c r="GF36" s="388">
        <v>97.6</v>
      </c>
      <c r="GG36" s="388">
        <v>20.5</v>
      </c>
      <c r="GH36" s="388">
        <v>89.5</v>
      </c>
      <c r="GI36" s="272">
        <v>396</v>
      </c>
      <c r="GJ36" s="394"/>
      <c r="GK36" s="394"/>
      <c r="GL36" s="394"/>
      <c r="GM36" s="394"/>
      <c r="GN36" s="394"/>
      <c r="GO36" s="394"/>
      <c r="GP36" s="394"/>
      <c r="GQ36" s="394"/>
      <c r="GR36" s="394"/>
      <c r="GS36" s="394"/>
      <c r="GT36" s="394"/>
      <c r="GU36" s="394"/>
      <c r="GV36" s="394"/>
      <c r="GW36" s="394"/>
      <c r="GX36" s="394"/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</row>
    <row r="37" spans="2:230" x14ac:dyDescent="0.15">
      <c r="B37" s="89" t="s">
        <v>67</v>
      </c>
      <c r="C37" s="272">
        <v>735166918</v>
      </c>
      <c r="D37" s="455">
        <f t="shared" si="0"/>
        <v>258959124</v>
      </c>
      <c r="E37" s="272">
        <v>6551569</v>
      </c>
      <c r="F37" s="272">
        <v>252407555</v>
      </c>
      <c r="G37" s="455">
        <f t="shared" si="1"/>
        <v>64935154</v>
      </c>
      <c r="H37" s="272">
        <v>12688554</v>
      </c>
      <c r="I37" s="272">
        <v>52246600</v>
      </c>
      <c r="J37" s="272">
        <v>303171874</v>
      </c>
      <c r="K37" s="272">
        <v>135258677</v>
      </c>
      <c r="L37" s="272">
        <v>118957786</v>
      </c>
      <c r="M37" s="272">
        <v>43034447</v>
      </c>
      <c r="N37" s="272">
        <v>33794571</v>
      </c>
      <c r="O37" s="272">
        <v>62806939</v>
      </c>
      <c r="P37" s="272">
        <v>36819062</v>
      </c>
      <c r="Q37" s="272">
        <v>25987877</v>
      </c>
      <c r="R37" s="272">
        <v>45020257</v>
      </c>
      <c r="S37" s="272">
        <v>31650798</v>
      </c>
      <c r="T37" s="455">
        <f t="shared" si="2"/>
        <v>71909714</v>
      </c>
      <c r="U37" s="272">
        <v>4175973</v>
      </c>
      <c r="V37" s="272">
        <v>4330127</v>
      </c>
      <c r="W37" s="272">
        <v>3410645</v>
      </c>
      <c r="X37" s="272">
        <v>48006010</v>
      </c>
      <c r="Y37" s="272">
        <v>822870</v>
      </c>
      <c r="Z37" s="272">
        <v>2617</v>
      </c>
      <c r="AA37" s="272">
        <v>11161472</v>
      </c>
      <c r="AB37" s="272">
        <v>21007222</v>
      </c>
      <c r="AC37" s="272">
        <v>141921627</v>
      </c>
      <c r="AD37" s="272">
        <v>132165508</v>
      </c>
      <c r="AE37" s="272">
        <v>9756119</v>
      </c>
      <c r="AF37" s="272">
        <v>1065368</v>
      </c>
      <c r="AG37" s="272">
        <v>17447723</v>
      </c>
      <c r="AH37" s="455">
        <f t="shared" si="3"/>
        <v>35870471</v>
      </c>
      <c r="AI37" s="272">
        <v>28438349</v>
      </c>
      <c r="AJ37" s="272">
        <v>7432122</v>
      </c>
      <c r="AK37" s="272">
        <v>194716335</v>
      </c>
      <c r="AL37" s="455">
        <f t="shared" si="4"/>
        <v>128324589</v>
      </c>
      <c r="AM37" s="272">
        <v>113168189</v>
      </c>
      <c r="AN37" s="272">
        <v>15096792</v>
      </c>
      <c r="AO37" s="272">
        <v>57914</v>
      </c>
      <c r="AP37" s="272">
        <v>1694</v>
      </c>
      <c r="AQ37" s="272">
        <v>14556942</v>
      </c>
      <c r="AR37" s="272">
        <v>5778</v>
      </c>
      <c r="AS37" s="272">
        <v>316263</v>
      </c>
      <c r="AT37" s="272">
        <v>73644767</v>
      </c>
      <c r="AU37" s="272">
        <v>31295349</v>
      </c>
      <c r="AV37" s="272">
        <v>5860195</v>
      </c>
      <c r="AW37" s="272">
        <v>953425</v>
      </c>
      <c r="AX37" s="272">
        <v>42349418</v>
      </c>
      <c r="AY37" s="272">
        <v>1528902</v>
      </c>
      <c r="AZ37" s="272">
        <v>14471686</v>
      </c>
      <c r="BA37" s="272">
        <v>13409333</v>
      </c>
      <c r="BB37" s="272">
        <v>1484307</v>
      </c>
      <c r="BC37" s="272">
        <v>35043829</v>
      </c>
      <c r="BD37" s="272">
        <v>7276130</v>
      </c>
      <c r="BE37" s="272">
        <v>3158809</v>
      </c>
      <c r="BF37" s="272">
        <v>12981705</v>
      </c>
      <c r="BG37" s="272">
        <v>9912954</v>
      </c>
      <c r="BH37" s="272">
        <v>8655557</v>
      </c>
      <c r="BI37" s="272">
        <v>6248333</v>
      </c>
      <c r="BJ37" s="272">
        <v>51402991</v>
      </c>
      <c r="BK37" s="272">
        <v>33935798</v>
      </c>
      <c r="BL37" s="272">
        <v>159981</v>
      </c>
      <c r="BM37" s="272">
        <v>2222099</v>
      </c>
      <c r="BN37" s="272">
        <v>109353700</v>
      </c>
      <c r="BO37" s="455">
        <f t="shared" si="5"/>
        <v>49938700</v>
      </c>
      <c r="BP37" s="455">
        <f t="shared" si="6"/>
        <v>52490000</v>
      </c>
      <c r="BQ37" s="272">
        <v>7027200</v>
      </c>
      <c r="BR37" s="272"/>
      <c r="BS37" s="272">
        <v>45462800</v>
      </c>
      <c r="BT37" s="272">
        <v>6925000</v>
      </c>
      <c r="BU37" s="272">
        <v>1558498735</v>
      </c>
      <c r="BV37" s="272"/>
      <c r="BW37" s="272">
        <v>367518475</v>
      </c>
      <c r="BX37" s="272">
        <v>251075158</v>
      </c>
      <c r="BY37" s="272">
        <v>44849072</v>
      </c>
      <c r="BZ37" s="272">
        <v>16388928</v>
      </c>
      <c r="CA37" s="272">
        <v>326216182</v>
      </c>
      <c r="CB37" s="272">
        <v>42468403</v>
      </c>
      <c r="CC37" s="272">
        <v>10738098</v>
      </c>
      <c r="CD37" s="272">
        <v>111301999</v>
      </c>
      <c r="CE37" s="272">
        <v>149556426</v>
      </c>
      <c r="CF37" s="272">
        <v>5961831</v>
      </c>
      <c r="CG37" s="272">
        <v>6168923</v>
      </c>
      <c r="CH37" s="272">
        <v>167453147</v>
      </c>
      <c r="CI37" s="272">
        <v>135159458</v>
      </c>
      <c r="CJ37" s="455">
        <f t="shared" si="7"/>
        <v>32293689</v>
      </c>
      <c r="CK37" s="272">
        <v>174324121</v>
      </c>
      <c r="CL37" s="272">
        <v>100171705</v>
      </c>
      <c r="CM37" s="272">
        <v>12077593</v>
      </c>
      <c r="CN37" s="272">
        <v>33747839</v>
      </c>
      <c r="CO37" s="272">
        <v>12434839</v>
      </c>
      <c r="CP37" s="272">
        <v>120830897</v>
      </c>
      <c r="CQ37" s="272">
        <v>39687244</v>
      </c>
      <c r="CR37" s="272">
        <v>34739536</v>
      </c>
      <c r="CS37" s="272">
        <v>26221513</v>
      </c>
      <c r="CT37" s="455">
        <f t="shared" si="8"/>
        <v>20868922</v>
      </c>
      <c r="CU37" s="272">
        <v>13806281</v>
      </c>
      <c r="CV37" s="272">
        <v>7062641</v>
      </c>
      <c r="CW37" s="455">
        <f t="shared" si="9"/>
        <v>13503717</v>
      </c>
      <c r="CX37" s="272">
        <v>11013763</v>
      </c>
      <c r="CY37" s="272">
        <v>2489954</v>
      </c>
      <c r="CZ37" s="455">
        <f t="shared" si="10"/>
        <v>4884830</v>
      </c>
      <c r="DA37" s="272">
        <v>2023126</v>
      </c>
      <c r="DB37" s="272">
        <v>2861704</v>
      </c>
      <c r="DC37" s="272">
        <v>129914830</v>
      </c>
      <c r="DD37" s="272">
        <v>28991327</v>
      </c>
      <c r="DE37" s="272">
        <v>96975375</v>
      </c>
      <c r="DF37" s="26">
        <v>2344954</v>
      </c>
      <c r="DG37" s="27">
        <v>1603174</v>
      </c>
      <c r="DH37" s="272">
        <v>76584</v>
      </c>
      <c r="DI37" s="272">
        <v>29027881</v>
      </c>
      <c r="DJ37" s="272">
        <v>6723456</v>
      </c>
      <c r="DK37" s="272">
        <v>3944308</v>
      </c>
      <c r="DL37" s="272">
        <v>18360117</v>
      </c>
      <c r="DM37" s="272">
        <v>2250486</v>
      </c>
      <c r="DN37" s="272">
        <v>0</v>
      </c>
      <c r="DO37" s="272">
        <v>214058</v>
      </c>
      <c r="DP37" s="272">
        <v>1883810</v>
      </c>
      <c r="DQ37" s="272">
        <v>28708194</v>
      </c>
      <c r="DR37" s="272">
        <v>685200</v>
      </c>
      <c r="DS37" s="272">
        <v>600000</v>
      </c>
      <c r="DT37" s="272">
        <v>185621187</v>
      </c>
      <c r="DU37" s="272">
        <v>68685514</v>
      </c>
      <c r="DV37" s="455">
        <f t="shared" si="11"/>
        <v>581623</v>
      </c>
      <c r="DW37" s="272">
        <v>581623</v>
      </c>
      <c r="DX37" s="272"/>
      <c r="DY37" s="272">
        <v>346500</v>
      </c>
      <c r="DZ37" s="272">
        <v>49358237</v>
      </c>
      <c r="EA37" s="272">
        <v>28144649</v>
      </c>
      <c r="EB37" s="272">
        <v>35466501</v>
      </c>
      <c r="EC37" s="272">
        <v>5647693</v>
      </c>
      <c r="ED37" s="272">
        <v>1550024516</v>
      </c>
      <c r="EE37" s="89"/>
      <c r="EF37" s="272">
        <v>8474219</v>
      </c>
      <c r="EG37" s="272">
        <v>3087557</v>
      </c>
      <c r="EH37" s="272">
        <v>5386662</v>
      </c>
      <c r="EI37" s="272">
        <v>4070589</v>
      </c>
      <c r="EJ37" s="272">
        <v>3984857</v>
      </c>
      <c r="EK37" s="89"/>
      <c r="EL37" s="272"/>
      <c r="EM37" s="272">
        <v>5129707</v>
      </c>
      <c r="EN37" s="272">
        <v>19034812</v>
      </c>
      <c r="EO37" s="272">
        <v>5045187</v>
      </c>
      <c r="EP37" s="455">
        <f t="shared" si="12"/>
        <v>33939036</v>
      </c>
      <c r="EQ37" s="272">
        <v>1016407369</v>
      </c>
      <c r="ER37" s="272">
        <v>-109127404</v>
      </c>
      <c r="ES37" s="272">
        <v>337929843</v>
      </c>
      <c r="ET37" s="272">
        <v>231345097</v>
      </c>
      <c r="EU37" s="272">
        <v>111824905</v>
      </c>
      <c r="EV37" s="272">
        <v>160009902</v>
      </c>
      <c r="EW37" s="455">
        <f t="shared" si="13"/>
        <v>46232230</v>
      </c>
      <c r="EX37" s="272">
        <v>46175248</v>
      </c>
      <c r="EY37" s="272">
        <v>3243746</v>
      </c>
      <c r="EZ37" s="272">
        <v>42690550</v>
      </c>
      <c r="FA37" s="272">
        <v>56982</v>
      </c>
      <c r="FB37" s="272"/>
      <c r="FC37" s="272">
        <v>142343773</v>
      </c>
      <c r="FD37" s="272">
        <v>110619390</v>
      </c>
      <c r="FE37" s="272">
        <v>38743553</v>
      </c>
      <c r="FF37" s="272">
        <v>166342838</v>
      </c>
      <c r="FG37" s="455">
        <f t="shared" si="14"/>
        <v>41857917</v>
      </c>
      <c r="FH37" s="272">
        <v>1117160798</v>
      </c>
      <c r="FI37" s="384">
        <f t="shared" si="15"/>
        <v>0.6</v>
      </c>
      <c r="FJ37" s="272">
        <v>932397840</v>
      </c>
      <c r="FK37" s="272">
        <v>46304031</v>
      </c>
      <c r="FL37" s="272">
        <v>612108528</v>
      </c>
      <c r="FM37" s="272">
        <v>737252357</v>
      </c>
      <c r="FN37" s="460">
        <v>0.81799999999999995</v>
      </c>
      <c r="FO37" s="388">
        <v>96.1</v>
      </c>
      <c r="FP37" s="388">
        <v>32.299999999999997</v>
      </c>
      <c r="FQ37" s="388">
        <v>11.1</v>
      </c>
      <c r="FR37" s="388">
        <v>15.9</v>
      </c>
      <c r="FS37" s="388">
        <v>13.3</v>
      </c>
      <c r="FT37" s="388">
        <v>9.1</v>
      </c>
      <c r="FU37" s="388">
        <v>13.2</v>
      </c>
      <c r="FV37" s="388">
        <v>13.7</v>
      </c>
      <c r="FW37" s="272">
        <v>1524941856</v>
      </c>
      <c r="FX37" s="388">
        <f t="shared" si="16"/>
        <v>163.6</v>
      </c>
      <c r="FY37" s="272">
        <v>253297332</v>
      </c>
      <c r="FZ37" s="272">
        <v>73350717</v>
      </c>
      <c r="GA37" s="272">
        <v>20931160</v>
      </c>
      <c r="GB37" s="272">
        <v>159015455</v>
      </c>
      <c r="GC37" s="272">
        <f>SUM(GC6:GC36)</f>
        <v>17051825</v>
      </c>
      <c r="GD37" s="272">
        <v>207326804</v>
      </c>
      <c r="GE37" s="384">
        <f t="shared" si="17"/>
        <v>22.2</v>
      </c>
      <c r="GF37" s="388">
        <v>98</v>
      </c>
      <c r="GG37" s="388">
        <v>23.4</v>
      </c>
      <c r="GH37" s="388">
        <v>92.9</v>
      </c>
      <c r="GI37" s="272">
        <v>34474</v>
      </c>
      <c r="GJ37" s="394"/>
      <c r="GK37" s="394"/>
      <c r="GL37" s="394"/>
      <c r="GM37" s="394"/>
      <c r="GN37" s="394"/>
      <c r="GO37" s="394"/>
      <c r="GP37" s="394"/>
      <c r="GQ37" s="394"/>
      <c r="GR37" s="394"/>
      <c r="GS37" s="394"/>
      <c r="GT37" s="394"/>
      <c r="GU37" s="394"/>
      <c r="GV37" s="394"/>
      <c r="GW37" s="394"/>
      <c r="GX37" s="394"/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</row>
    <row r="38" spans="2:230" x14ac:dyDescent="0.15">
      <c r="B38" s="89" t="s">
        <v>69</v>
      </c>
      <c r="C38" s="272">
        <v>4322639</v>
      </c>
      <c r="D38" s="455">
        <f t="shared" si="0"/>
        <v>1519785</v>
      </c>
      <c r="E38" s="272">
        <v>39959</v>
      </c>
      <c r="F38" s="272">
        <v>1479826</v>
      </c>
      <c r="G38" s="455">
        <f t="shared" si="1"/>
        <v>540598</v>
      </c>
      <c r="H38" s="272">
        <v>62632</v>
      </c>
      <c r="I38" s="272">
        <v>477966</v>
      </c>
      <c r="J38" s="272">
        <v>1817383</v>
      </c>
      <c r="K38" s="272">
        <v>662996</v>
      </c>
      <c r="L38" s="272">
        <v>718506</v>
      </c>
      <c r="M38" s="272">
        <v>408759</v>
      </c>
      <c r="N38" s="272">
        <v>95218</v>
      </c>
      <c r="O38" s="272">
        <v>331335</v>
      </c>
      <c r="P38" s="272">
        <v>177065</v>
      </c>
      <c r="Q38" s="272">
        <v>154270</v>
      </c>
      <c r="R38" s="272">
        <v>271840</v>
      </c>
      <c r="S38" s="272">
        <v>204630</v>
      </c>
      <c r="T38" s="455">
        <f t="shared" si="2"/>
        <v>442546</v>
      </c>
      <c r="U38" s="272">
        <v>24840</v>
      </c>
      <c r="V38" s="272">
        <v>25748</v>
      </c>
      <c r="W38" s="272">
        <v>20230</v>
      </c>
      <c r="X38" s="272">
        <v>242505</v>
      </c>
      <c r="Y38" s="272">
        <v>61471</v>
      </c>
      <c r="Z38" s="272">
        <v>0</v>
      </c>
      <c r="AA38" s="272">
        <v>67752</v>
      </c>
      <c r="AB38" s="272">
        <v>165778</v>
      </c>
      <c r="AC38" s="272">
        <v>806151</v>
      </c>
      <c r="AD38" s="272">
        <v>600521</v>
      </c>
      <c r="AE38" s="272">
        <v>205630</v>
      </c>
      <c r="AF38" s="272">
        <v>4323</v>
      </c>
      <c r="AG38" s="272">
        <v>52669</v>
      </c>
      <c r="AH38" s="455">
        <f t="shared" si="3"/>
        <v>239061</v>
      </c>
      <c r="AI38" s="272">
        <v>205752</v>
      </c>
      <c r="AJ38" s="272">
        <v>33309</v>
      </c>
      <c r="AK38" s="272">
        <v>537756</v>
      </c>
      <c r="AL38" s="455">
        <f t="shared" si="4"/>
        <v>123562</v>
      </c>
      <c r="AM38" s="272">
        <v>98927</v>
      </c>
      <c r="AN38" s="272">
        <v>24635</v>
      </c>
      <c r="AO38" s="272">
        <v>0</v>
      </c>
      <c r="AP38" s="272">
        <v>0</v>
      </c>
      <c r="AQ38" s="272">
        <v>195585</v>
      </c>
      <c r="AR38" s="272">
        <v>0</v>
      </c>
      <c r="AS38" s="272">
        <v>0</v>
      </c>
      <c r="AT38" s="272">
        <v>355732</v>
      </c>
      <c r="AU38" s="272">
        <v>204520</v>
      </c>
      <c r="AV38" s="272">
        <v>19839</v>
      </c>
      <c r="AW38" s="272">
        <v>0</v>
      </c>
      <c r="AX38" s="272">
        <v>151212</v>
      </c>
      <c r="AY38" s="272">
        <v>19124</v>
      </c>
      <c r="AZ38" s="272">
        <v>2790452</v>
      </c>
      <c r="BA38" s="272">
        <v>2782504</v>
      </c>
      <c r="BB38" s="272">
        <v>4564</v>
      </c>
      <c r="BC38" s="272">
        <v>197090</v>
      </c>
      <c r="BD38" s="272">
        <v>0</v>
      </c>
      <c r="BE38" s="272">
        <v>4229</v>
      </c>
      <c r="BF38" s="272">
        <v>176026</v>
      </c>
      <c r="BG38" s="272">
        <v>0</v>
      </c>
      <c r="BH38" s="272">
        <v>94204</v>
      </c>
      <c r="BI38" s="272">
        <v>80467</v>
      </c>
      <c r="BJ38" s="272">
        <v>147488</v>
      </c>
      <c r="BK38" s="272">
        <v>53501</v>
      </c>
      <c r="BL38" s="272">
        <v>1915</v>
      </c>
      <c r="BM38" s="272">
        <v>0</v>
      </c>
      <c r="BN38" s="272">
        <v>581600</v>
      </c>
      <c r="BO38" s="455">
        <f t="shared" si="5"/>
        <v>199800</v>
      </c>
      <c r="BP38" s="455">
        <f t="shared" si="6"/>
        <v>381800</v>
      </c>
      <c r="BQ38" s="272">
        <v>57000</v>
      </c>
      <c r="BR38" s="272"/>
      <c r="BS38" s="272">
        <v>324800</v>
      </c>
      <c r="BT38" s="272">
        <v>0</v>
      </c>
      <c r="BU38" s="272">
        <v>11013893</v>
      </c>
      <c r="BV38" s="272"/>
      <c r="BW38" s="272">
        <v>2457375</v>
      </c>
      <c r="BX38" s="272">
        <v>1675117</v>
      </c>
      <c r="BY38" s="272">
        <v>257071</v>
      </c>
      <c r="BZ38" s="272">
        <v>90867</v>
      </c>
      <c r="CA38" s="272">
        <v>1048556</v>
      </c>
      <c r="CB38" s="272">
        <v>299847</v>
      </c>
      <c r="CC38" s="272">
        <v>58093</v>
      </c>
      <c r="CD38" s="272">
        <v>540060</v>
      </c>
      <c r="CE38" s="272">
        <v>122670</v>
      </c>
      <c r="CF38" s="272">
        <v>0</v>
      </c>
      <c r="CG38" s="272">
        <v>27886</v>
      </c>
      <c r="CH38" s="272">
        <v>1208113</v>
      </c>
      <c r="CI38" s="272">
        <v>956520</v>
      </c>
      <c r="CJ38" s="455">
        <f t="shared" si="7"/>
        <v>251593</v>
      </c>
      <c r="CK38" s="272">
        <v>1435207</v>
      </c>
      <c r="CL38" s="272">
        <v>754907</v>
      </c>
      <c r="CM38" s="272">
        <v>154658</v>
      </c>
      <c r="CN38" s="272">
        <v>307285</v>
      </c>
      <c r="CO38" s="272">
        <v>70727</v>
      </c>
      <c r="CP38" s="272">
        <v>343614</v>
      </c>
      <c r="CQ38" s="272">
        <v>1681</v>
      </c>
      <c r="CR38" s="272">
        <v>142484</v>
      </c>
      <c r="CS38" s="272">
        <v>122428</v>
      </c>
      <c r="CT38" s="455">
        <f t="shared" si="8"/>
        <v>28591</v>
      </c>
      <c r="CU38" s="272">
        <v>0</v>
      </c>
      <c r="CV38" s="272">
        <v>28591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1068975</v>
      </c>
      <c r="DD38" s="272">
        <v>544339</v>
      </c>
      <c r="DE38" s="272">
        <v>491036</v>
      </c>
      <c r="DF38" s="26">
        <v>0</v>
      </c>
      <c r="DG38" s="27">
        <v>12999</v>
      </c>
      <c r="DH38" s="272">
        <v>0</v>
      </c>
      <c r="DI38" s="272">
        <v>2077667</v>
      </c>
      <c r="DJ38" s="272">
        <v>458456</v>
      </c>
      <c r="DK38" s="272">
        <v>1550731</v>
      </c>
      <c r="DL38" s="272">
        <v>68480</v>
      </c>
      <c r="DM38" s="272">
        <v>0</v>
      </c>
      <c r="DN38" s="272">
        <v>0</v>
      </c>
      <c r="DO38" s="272">
        <v>0</v>
      </c>
      <c r="DP38" s="272">
        <v>0</v>
      </c>
      <c r="DQ38" s="272">
        <v>53288</v>
      </c>
      <c r="DR38" s="272">
        <v>0</v>
      </c>
      <c r="DS38" s="272">
        <v>0</v>
      </c>
      <c r="DT38" s="272">
        <v>1215002</v>
      </c>
      <c r="DU38" s="272">
        <v>640000</v>
      </c>
      <c r="DV38" s="455">
        <f t="shared" si="11"/>
        <v>0</v>
      </c>
      <c r="DW38" s="272">
        <v>0</v>
      </c>
      <c r="DX38" s="272"/>
      <c r="DY38" s="272">
        <v>0</v>
      </c>
      <c r="DZ38" s="272">
        <v>177790</v>
      </c>
      <c r="EA38" s="272">
        <v>154746</v>
      </c>
      <c r="EB38" s="272">
        <v>242364</v>
      </c>
      <c r="EC38" s="272">
        <v>0</v>
      </c>
      <c r="ED38" s="272">
        <v>10978524</v>
      </c>
      <c r="EE38" s="89"/>
      <c r="EF38" s="272">
        <v>35369</v>
      </c>
      <c r="EG38" s="272">
        <v>14119</v>
      </c>
      <c r="EH38" s="272">
        <v>21250</v>
      </c>
      <c r="EI38" s="272">
        <v>-59217</v>
      </c>
      <c r="EJ38" s="272">
        <v>399239</v>
      </c>
      <c r="EK38" s="89"/>
      <c r="EL38" s="272"/>
      <c r="EM38" s="272">
        <v>29131</v>
      </c>
      <c r="EN38" s="272">
        <v>197090</v>
      </c>
      <c r="EO38" s="272">
        <v>2787276</v>
      </c>
      <c r="EP38" s="455">
        <f t="shared" si="12"/>
        <v>154689</v>
      </c>
      <c r="EQ38" s="272">
        <v>6013277</v>
      </c>
      <c r="ER38" s="272">
        <v>-3516532</v>
      </c>
      <c r="ES38" s="272">
        <v>2297301</v>
      </c>
      <c r="ET38" s="272">
        <v>1555956</v>
      </c>
      <c r="EU38" s="272">
        <v>552521</v>
      </c>
      <c r="EV38" s="272">
        <v>1164549</v>
      </c>
      <c r="EW38" s="455">
        <f t="shared" si="13"/>
        <v>650056</v>
      </c>
      <c r="EX38" s="272">
        <v>650056</v>
      </c>
      <c r="EY38" s="272">
        <v>205182</v>
      </c>
      <c r="EZ38" s="272">
        <v>424273</v>
      </c>
      <c r="FA38" s="272">
        <v>0</v>
      </c>
      <c r="FB38" s="272"/>
      <c r="FC38" s="272">
        <v>1239774</v>
      </c>
      <c r="FD38" s="272">
        <v>310648</v>
      </c>
      <c r="FE38" s="272">
        <v>1681</v>
      </c>
      <c r="FF38" s="272">
        <v>1138222</v>
      </c>
      <c r="FG38" s="455">
        <f t="shared" si="14"/>
        <v>2141369</v>
      </c>
      <c r="FH38" s="272">
        <v>9494440</v>
      </c>
      <c r="FI38" s="384">
        <f t="shared" si="15"/>
        <v>0.4</v>
      </c>
      <c r="FJ38" s="272">
        <v>5723030</v>
      </c>
      <c r="FK38" s="272">
        <v>324882</v>
      </c>
      <c r="FL38" s="272">
        <v>3914060</v>
      </c>
      <c r="FM38" s="272">
        <v>4514290</v>
      </c>
      <c r="FN38" s="460">
        <v>0.80600000000000005</v>
      </c>
      <c r="FO38" s="388">
        <v>104.8</v>
      </c>
      <c r="FP38" s="388">
        <v>36.799999999999997</v>
      </c>
      <c r="FQ38" s="388">
        <v>9.4</v>
      </c>
      <c r="FR38" s="388">
        <v>19.8</v>
      </c>
      <c r="FS38" s="388">
        <v>19.8</v>
      </c>
      <c r="FT38" s="388">
        <v>3.9</v>
      </c>
      <c r="FU38" s="388">
        <v>14</v>
      </c>
      <c r="FV38" s="388">
        <v>14.7</v>
      </c>
      <c r="FW38" s="272">
        <v>13937934</v>
      </c>
      <c r="FX38" s="388">
        <f t="shared" si="16"/>
        <v>243.5</v>
      </c>
      <c r="FY38" s="272">
        <v>5688307</v>
      </c>
      <c r="FZ38" s="272">
        <v>2103128</v>
      </c>
      <c r="GA38" s="272">
        <v>1619115</v>
      </c>
      <c r="GB38" s="272">
        <v>1966064</v>
      </c>
      <c r="GC38" s="272"/>
      <c r="GD38" s="272"/>
      <c r="GE38" s="384"/>
      <c r="GF38" s="388">
        <v>99.3</v>
      </c>
      <c r="GG38" s="388">
        <v>9.4</v>
      </c>
      <c r="GH38" s="388">
        <v>92.8</v>
      </c>
      <c r="GI38" s="272">
        <v>233</v>
      </c>
      <c r="GJ38" s="394"/>
      <c r="GK38" s="394"/>
      <c r="GL38" s="394"/>
      <c r="GM38" s="394"/>
      <c r="GN38" s="394"/>
      <c r="GO38" s="394"/>
      <c r="GP38" s="394"/>
      <c r="GQ38" s="394"/>
      <c r="GR38" s="394"/>
      <c r="GS38" s="394"/>
      <c r="GT38" s="394"/>
      <c r="GU38" s="394"/>
      <c r="GV38" s="394"/>
      <c r="GW38" s="394"/>
      <c r="GX38" s="394"/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</row>
    <row r="39" spans="2:230" x14ac:dyDescent="0.15">
      <c r="B39" s="89" t="s">
        <v>71</v>
      </c>
      <c r="C39" s="272">
        <v>2459304</v>
      </c>
      <c r="D39" s="455">
        <f t="shared" si="0"/>
        <v>1543755</v>
      </c>
      <c r="E39" s="272">
        <v>34035</v>
      </c>
      <c r="F39" s="272">
        <v>1509720</v>
      </c>
      <c r="G39" s="455">
        <f t="shared" si="1"/>
        <v>29439</v>
      </c>
      <c r="H39" s="272">
        <v>19127</v>
      </c>
      <c r="I39" s="272">
        <v>10312</v>
      </c>
      <c r="J39" s="272">
        <v>805578</v>
      </c>
      <c r="K39" s="272">
        <v>268710</v>
      </c>
      <c r="L39" s="272">
        <v>413835</v>
      </c>
      <c r="M39" s="272">
        <v>122900</v>
      </c>
      <c r="N39" s="272">
        <v>57017</v>
      </c>
      <c r="O39" s="272">
        <v>0</v>
      </c>
      <c r="P39" s="272">
        <v>0</v>
      </c>
      <c r="Q39" s="272">
        <v>0</v>
      </c>
      <c r="R39" s="272">
        <v>222854</v>
      </c>
      <c r="S39" s="272">
        <v>139579</v>
      </c>
      <c r="T39" s="455">
        <f t="shared" si="2"/>
        <v>334820</v>
      </c>
      <c r="U39" s="272">
        <v>25659</v>
      </c>
      <c r="V39" s="272">
        <v>26569</v>
      </c>
      <c r="W39" s="272">
        <v>20729</v>
      </c>
      <c r="X39" s="272">
        <v>167356</v>
      </c>
      <c r="Y39" s="272">
        <v>10524</v>
      </c>
      <c r="Z39" s="272">
        <v>0</v>
      </c>
      <c r="AA39" s="272">
        <v>83983</v>
      </c>
      <c r="AB39" s="272">
        <v>98690</v>
      </c>
      <c r="AC39" s="272">
        <v>1912523</v>
      </c>
      <c r="AD39" s="272">
        <v>1245829</v>
      </c>
      <c r="AE39" s="272">
        <v>666694</v>
      </c>
      <c r="AF39" s="272">
        <v>5041</v>
      </c>
      <c r="AG39" s="272">
        <v>5996</v>
      </c>
      <c r="AH39" s="455">
        <f t="shared" si="3"/>
        <v>154078</v>
      </c>
      <c r="AI39" s="272">
        <v>141553</v>
      </c>
      <c r="AJ39" s="272">
        <v>12525</v>
      </c>
      <c r="AK39" s="272">
        <v>193821</v>
      </c>
      <c r="AL39" s="455">
        <f t="shared" si="4"/>
        <v>0</v>
      </c>
      <c r="AM39" s="272">
        <v>0</v>
      </c>
      <c r="AN39" s="272">
        <v>0</v>
      </c>
      <c r="AO39" s="272">
        <v>0</v>
      </c>
      <c r="AP39" s="272">
        <v>0</v>
      </c>
      <c r="AQ39" s="272">
        <v>76674</v>
      </c>
      <c r="AR39" s="272">
        <v>0</v>
      </c>
      <c r="AS39" s="272">
        <v>0</v>
      </c>
      <c r="AT39" s="272">
        <v>287970</v>
      </c>
      <c r="AU39" s="272">
        <v>95848</v>
      </c>
      <c r="AV39" s="272">
        <v>0</v>
      </c>
      <c r="AW39" s="272">
        <v>176</v>
      </c>
      <c r="AX39" s="272">
        <v>192122</v>
      </c>
      <c r="AY39" s="272">
        <v>6171</v>
      </c>
      <c r="AZ39" s="272">
        <v>2505</v>
      </c>
      <c r="BA39" s="272">
        <v>132</v>
      </c>
      <c r="BB39" s="272">
        <v>198</v>
      </c>
      <c r="BC39" s="272">
        <v>1053691</v>
      </c>
      <c r="BD39" s="272">
        <v>50000</v>
      </c>
      <c r="BE39" s="272">
        <v>327936</v>
      </c>
      <c r="BF39" s="272">
        <v>260370</v>
      </c>
      <c r="BG39" s="456">
        <v>378000</v>
      </c>
      <c r="BH39" s="272">
        <v>393142</v>
      </c>
      <c r="BI39" s="272">
        <v>88089</v>
      </c>
      <c r="BJ39" s="272">
        <v>163296</v>
      </c>
      <c r="BK39" s="272">
        <v>2636</v>
      </c>
      <c r="BL39" s="272">
        <v>0</v>
      </c>
      <c r="BM39" s="272">
        <v>0</v>
      </c>
      <c r="BN39" s="272">
        <v>678800</v>
      </c>
      <c r="BO39" s="455">
        <f t="shared" si="5"/>
        <v>359800</v>
      </c>
      <c r="BP39" s="455">
        <f t="shared" si="6"/>
        <v>319000</v>
      </c>
      <c r="BQ39" s="272">
        <v>33900</v>
      </c>
      <c r="BR39" s="272"/>
      <c r="BS39" s="272">
        <v>285100</v>
      </c>
      <c r="BT39" s="272">
        <v>0</v>
      </c>
      <c r="BU39" s="272">
        <v>7966729</v>
      </c>
      <c r="BV39" s="272"/>
      <c r="BW39" s="272">
        <v>2289157</v>
      </c>
      <c r="BX39" s="272">
        <v>1549217</v>
      </c>
      <c r="BY39" s="272">
        <v>127575</v>
      </c>
      <c r="BZ39" s="272">
        <v>205580</v>
      </c>
      <c r="CA39" s="272">
        <v>266628</v>
      </c>
      <c r="CB39" s="272">
        <v>124891</v>
      </c>
      <c r="CC39" s="272">
        <v>30685</v>
      </c>
      <c r="CD39" s="272">
        <v>105250</v>
      </c>
      <c r="CE39" s="272">
        <v>0</v>
      </c>
      <c r="CF39" s="272">
        <v>0</v>
      </c>
      <c r="CG39" s="272">
        <v>5802</v>
      </c>
      <c r="CH39" s="272">
        <v>566509</v>
      </c>
      <c r="CI39" s="272">
        <v>465565</v>
      </c>
      <c r="CJ39" s="455">
        <f t="shared" si="7"/>
        <v>100944</v>
      </c>
      <c r="CK39" s="272">
        <v>1112575</v>
      </c>
      <c r="CL39" s="272">
        <v>563877</v>
      </c>
      <c r="CM39" s="272">
        <v>50579</v>
      </c>
      <c r="CN39" s="272">
        <v>289705</v>
      </c>
      <c r="CO39" s="272">
        <v>133985</v>
      </c>
      <c r="CP39" s="272">
        <v>1919809</v>
      </c>
      <c r="CQ39" s="272">
        <v>1560037</v>
      </c>
      <c r="CR39" s="272">
        <v>112923</v>
      </c>
      <c r="CS39" s="272">
        <v>109037</v>
      </c>
      <c r="CT39" s="455">
        <f t="shared" si="8"/>
        <v>98459</v>
      </c>
      <c r="CU39" s="272">
        <v>59893</v>
      </c>
      <c r="CV39" s="272">
        <v>38566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609922</v>
      </c>
      <c r="DD39" s="272">
        <v>204725</v>
      </c>
      <c r="DE39" s="272">
        <v>405197</v>
      </c>
      <c r="DF39" s="26">
        <v>0</v>
      </c>
      <c r="DG39" s="27">
        <v>0</v>
      </c>
      <c r="DH39" s="272">
        <v>3944</v>
      </c>
      <c r="DI39" s="272">
        <v>45507</v>
      </c>
      <c r="DJ39" s="272">
        <v>45000</v>
      </c>
      <c r="DK39" s="272">
        <v>137</v>
      </c>
      <c r="DL39" s="272">
        <v>370</v>
      </c>
      <c r="DM39" s="272">
        <v>0</v>
      </c>
      <c r="DN39" s="272">
        <v>0</v>
      </c>
      <c r="DO39" s="272">
        <v>0</v>
      </c>
      <c r="DP39" s="272">
        <v>0</v>
      </c>
      <c r="DQ39" s="272">
        <v>5520</v>
      </c>
      <c r="DR39" s="272">
        <v>0</v>
      </c>
      <c r="DS39" s="272">
        <v>0</v>
      </c>
      <c r="DT39" s="272">
        <v>787758</v>
      </c>
      <c r="DU39" s="272">
        <v>271675</v>
      </c>
      <c r="DV39" s="455">
        <f t="shared" si="11"/>
        <v>0</v>
      </c>
      <c r="DW39" s="272">
        <v>0</v>
      </c>
      <c r="DX39" s="272"/>
      <c r="DY39" s="272">
        <v>0</v>
      </c>
      <c r="DZ39" s="272">
        <v>119845</v>
      </c>
      <c r="EA39" s="272">
        <v>164198</v>
      </c>
      <c r="EB39" s="272">
        <v>202132</v>
      </c>
      <c r="EC39" s="272">
        <v>0</v>
      </c>
      <c r="ED39" s="272">
        <v>7741314</v>
      </c>
      <c r="EE39" s="89"/>
      <c r="EF39" s="272">
        <v>225415</v>
      </c>
      <c r="EG39" s="272">
        <v>71717</v>
      </c>
      <c r="EH39" s="272">
        <v>153698</v>
      </c>
      <c r="EI39" s="272">
        <v>65609</v>
      </c>
      <c r="EJ39" s="272">
        <v>60609</v>
      </c>
      <c r="EK39" s="89"/>
      <c r="EL39" s="272"/>
      <c r="EM39" s="272">
        <v>24510</v>
      </c>
      <c r="EN39" s="272">
        <v>938050</v>
      </c>
      <c r="EO39" s="272">
        <v>2122</v>
      </c>
      <c r="EP39" s="455">
        <f t="shared" si="12"/>
        <v>176476</v>
      </c>
      <c r="EQ39" s="272">
        <v>5033232</v>
      </c>
      <c r="ER39" s="272">
        <v>-1430607</v>
      </c>
      <c r="ES39" s="272">
        <v>2118077</v>
      </c>
      <c r="ET39" s="272">
        <v>1437641</v>
      </c>
      <c r="EU39" s="272">
        <v>99242</v>
      </c>
      <c r="EV39" s="272">
        <v>558020</v>
      </c>
      <c r="EW39" s="455">
        <f t="shared" si="13"/>
        <v>146108</v>
      </c>
      <c r="EX39" s="272">
        <v>145101</v>
      </c>
      <c r="EY39" s="272">
        <v>4883</v>
      </c>
      <c r="EZ39" s="272">
        <v>140218</v>
      </c>
      <c r="FA39" s="272">
        <v>1007</v>
      </c>
      <c r="FB39" s="272"/>
      <c r="FC39" s="272">
        <v>860584</v>
      </c>
      <c r="FD39" s="272">
        <v>1567042</v>
      </c>
      <c r="FE39" s="272">
        <v>1238571</v>
      </c>
      <c r="FF39" s="272">
        <v>716812</v>
      </c>
      <c r="FG39" s="455">
        <f t="shared" si="14"/>
        <v>172539</v>
      </c>
      <c r="FH39" s="272">
        <v>6238424</v>
      </c>
      <c r="FI39" s="384">
        <f t="shared" si="15"/>
        <v>3.4</v>
      </c>
      <c r="FJ39" s="272">
        <v>4476130</v>
      </c>
      <c r="FK39" s="272">
        <v>285162</v>
      </c>
      <c r="FL39" s="272">
        <v>2482833</v>
      </c>
      <c r="FM39" s="272">
        <v>3728065</v>
      </c>
      <c r="FN39" s="460">
        <v>0.64</v>
      </c>
      <c r="FO39" s="388">
        <v>97.6</v>
      </c>
      <c r="FP39" s="388">
        <v>44.7</v>
      </c>
      <c r="FQ39" s="388">
        <v>2.1</v>
      </c>
      <c r="FR39" s="388">
        <v>11.9</v>
      </c>
      <c r="FS39" s="388">
        <v>16.8</v>
      </c>
      <c r="FT39" s="388">
        <v>8.9</v>
      </c>
      <c r="FU39" s="388">
        <v>10.5</v>
      </c>
      <c r="FV39" s="388">
        <v>6.3</v>
      </c>
      <c r="FW39" s="272">
        <v>5808887</v>
      </c>
      <c r="FX39" s="388">
        <f t="shared" si="16"/>
        <v>129.80000000000001</v>
      </c>
      <c r="FY39" s="272">
        <v>1817813</v>
      </c>
      <c r="FZ39" s="272">
        <v>1013697</v>
      </c>
      <c r="GA39" s="272">
        <v>651</v>
      </c>
      <c r="GB39" s="272">
        <v>803465</v>
      </c>
      <c r="GC39" s="272">
        <v>378000</v>
      </c>
      <c r="GD39" s="272"/>
      <c r="GE39" s="384"/>
      <c r="GF39" s="388">
        <v>99.4</v>
      </c>
      <c r="GG39" s="388">
        <v>12.4</v>
      </c>
      <c r="GH39" s="388">
        <v>95.7</v>
      </c>
      <c r="GI39" s="272">
        <v>237</v>
      </c>
      <c r="GJ39" s="394"/>
      <c r="GK39" s="394"/>
      <c r="GL39" s="394"/>
      <c r="GM39" s="394"/>
      <c r="GN39" s="394"/>
      <c r="GO39" s="394"/>
      <c r="GP39" s="394"/>
      <c r="GQ39" s="394"/>
      <c r="GR39" s="394"/>
      <c r="GS39" s="394"/>
      <c r="GT39" s="394"/>
      <c r="GU39" s="394"/>
      <c r="GV39" s="394"/>
      <c r="GW39" s="394"/>
      <c r="GX39" s="394"/>
      <c r="GY39" s="394"/>
      <c r="GZ39" s="394"/>
      <c r="HA39" s="394"/>
      <c r="HB39" s="394"/>
      <c r="HC39" s="394"/>
      <c r="HD39" s="394"/>
      <c r="HE39" s="394"/>
      <c r="HF39" s="394"/>
      <c r="HG39" s="394"/>
      <c r="HH39" s="394"/>
      <c r="HI39" s="394"/>
      <c r="HJ39" s="394"/>
      <c r="HK39" s="394"/>
      <c r="HL39" s="394"/>
      <c r="HM39" s="394"/>
      <c r="HN39" s="394"/>
      <c r="HO39" s="394"/>
      <c r="HP39" s="394"/>
      <c r="HQ39" s="394"/>
      <c r="HR39" s="394"/>
      <c r="HS39" s="394"/>
      <c r="HT39" s="394"/>
      <c r="HU39" s="394"/>
      <c r="HV39" s="394"/>
    </row>
    <row r="40" spans="2:230" x14ac:dyDescent="0.15">
      <c r="B40" s="89" t="s">
        <v>73</v>
      </c>
      <c r="C40" s="272">
        <v>1312766</v>
      </c>
      <c r="D40" s="455">
        <f t="shared" si="0"/>
        <v>444978</v>
      </c>
      <c r="E40" s="272">
        <v>16794</v>
      </c>
      <c r="F40" s="272">
        <v>428184</v>
      </c>
      <c r="G40" s="455">
        <f t="shared" si="1"/>
        <v>78551</v>
      </c>
      <c r="H40" s="272">
        <v>20246</v>
      </c>
      <c r="I40" s="272">
        <v>58305</v>
      </c>
      <c r="J40" s="272">
        <v>708678</v>
      </c>
      <c r="K40" s="272">
        <v>161801</v>
      </c>
      <c r="L40" s="272">
        <v>288052</v>
      </c>
      <c r="M40" s="272">
        <v>258586</v>
      </c>
      <c r="N40" s="272">
        <v>48103</v>
      </c>
      <c r="O40" s="272">
        <v>0</v>
      </c>
      <c r="P40" s="272">
        <v>0</v>
      </c>
      <c r="Q40" s="272">
        <v>0</v>
      </c>
      <c r="R40" s="272">
        <v>173108</v>
      </c>
      <c r="S40" s="272">
        <v>95160</v>
      </c>
      <c r="T40" s="455">
        <f t="shared" si="2"/>
        <v>247216</v>
      </c>
      <c r="U40" s="272">
        <v>8246</v>
      </c>
      <c r="V40" s="272">
        <v>8546</v>
      </c>
      <c r="W40" s="272">
        <v>6713</v>
      </c>
      <c r="X40" s="272">
        <v>118809</v>
      </c>
      <c r="Y40" s="272">
        <v>26421</v>
      </c>
      <c r="Z40" s="272">
        <v>0</v>
      </c>
      <c r="AA40" s="272">
        <v>78481</v>
      </c>
      <c r="AB40" s="272">
        <v>32537</v>
      </c>
      <c r="AC40" s="272">
        <v>1559180</v>
      </c>
      <c r="AD40" s="272">
        <v>1226680</v>
      </c>
      <c r="AE40" s="272">
        <v>332500</v>
      </c>
      <c r="AF40" s="272">
        <v>2963</v>
      </c>
      <c r="AG40" s="272">
        <v>7673</v>
      </c>
      <c r="AH40" s="455">
        <f t="shared" si="3"/>
        <v>129935</v>
      </c>
      <c r="AI40" s="272">
        <v>79465</v>
      </c>
      <c r="AJ40" s="272">
        <v>50470</v>
      </c>
      <c r="AK40" s="272">
        <v>86841</v>
      </c>
      <c r="AL40" s="455">
        <f t="shared" si="4"/>
        <v>0</v>
      </c>
      <c r="AM40" s="272">
        <v>0</v>
      </c>
      <c r="AN40" s="272">
        <v>0</v>
      </c>
      <c r="AO40" s="272">
        <v>0</v>
      </c>
      <c r="AP40" s="272">
        <v>0</v>
      </c>
      <c r="AQ40" s="272">
        <v>0</v>
      </c>
      <c r="AR40" s="272">
        <v>588</v>
      </c>
      <c r="AS40" s="272">
        <v>0</v>
      </c>
      <c r="AT40" s="272">
        <v>308982</v>
      </c>
      <c r="AU40" s="272">
        <v>113808</v>
      </c>
      <c r="AV40" s="272">
        <v>0</v>
      </c>
      <c r="AW40" s="272">
        <v>0</v>
      </c>
      <c r="AX40" s="272">
        <v>195174</v>
      </c>
      <c r="AY40" s="272">
        <v>6269</v>
      </c>
      <c r="AZ40" s="272">
        <v>4246</v>
      </c>
      <c r="BA40" s="272">
        <v>1738</v>
      </c>
      <c r="BB40" s="272">
        <v>8389</v>
      </c>
      <c r="BC40" s="272">
        <v>493521</v>
      </c>
      <c r="BD40" s="272">
        <v>367811</v>
      </c>
      <c r="BE40" s="272">
        <v>0</v>
      </c>
      <c r="BF40" s="272">
        <v>70904</v>
      </c>
      <c r="BG40" s="272">
        <v>0</v>
      </c>
      <c r="BH40" s="272">
        <v>258122</v>
      </c>
      <c r="BI40" s="272">
        <v>148725</v>
      </c>
      <c r="BJ40" s="272">
        <v>59560</v>
      </c>
      <c r="BK40" s="272">
        <v>0</v>
      </c>
      <c r="BL40" s="272">
        <v>5792</v>
      </c>
      <c r="BM40" s="272">
        <v>0</v>
      </c>
      <c r="BN40" s="272">
        <v>263400</v>
      </c>
      <c r="BO40" s="455">
        <f t="shared" si="5"/>
        <v>56300</v>
      </c>
      <c r="BP40" s="455">
        <f t="shared" si="6"/>
        <v>207100</v>
      </c>
      <c r="BQ40" s="272">
        <v>11200</v>
      </c>
      <c r="BR40" s="272"/>
      <c r="BS40" s="272">
        <v>195900</v>
      </c>
      <c r="BT40" s="272">
        <v>0</v>
      </c>
      <c r="BU40" s="272">
        <v>4948439</v>
      </c>
      <c r="BV40" s="272"/>
      <c r="BW40" s="272">
        <v>1084587</v>
      </c>
      <c r="BX40" s="272">
        <v>663115</v>
      </c>
      <c r="BY40" s="272">
        <v>15500</v>
      </c>
      <c r="BZ40" s="272">
        <v>158147</v>
      </c>
      <c r="CA40" s="272">
        <v>249923</v>
      </c>
      <c r="CB40" s="272">
        <v>94331</v>
      </c>
      <c r="CC40" s="272">
        <v>23822</v>
      </c>
      <c r="CD40" s="272">
        <v>109543</v>
      </c>
      <c r="CE40" s="272">
        <v>0</v>
      </c>
      <c r="CF40" s="272">
        <v>5342</v>
      </c>
      <c r="CG40" s="272">
        <v>16885</v>
      </c>
      <c r="CH40" s="272">
        <v>420772</v>
      </c>
      <c r="CI40" s="272">
        <v>350754</v>
      </c>
      <c r="CJ40" s="455">
        <f t="shared" si="7"/>
        <v>70018</v>
      </c>
      <c r="CK40" s="272">
        <v>758912</v>
      </c>
      <c r="CL40" s="272">
        <v>433787</v>
      </c>
      <c r="CM40" s="272">
        <v>13123</v>
      </c>
      <c r="CN40" s="272">
        <v>173271</v>
      </c>
      <c r="CO40" s="272">
        <v>33858</v>
      </c>
      <c r="CP40" s="272">
        <v>848230</v>
      </c>
      <c r="CQ40" s="272">
        <v>606718</v>
      </c>
      <c r="CR40" s="272">
        <v>133042</v>
      </c>
      <c r="CS40" s="272">
        <v>80518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217476</v>
      </c>
      <c r="DD40" s="272">
        <v>0</v>
      </c>
      <c r="DE40" s="272">
        <v>194864</v>
      </c>
      <c r="DF40" s="26">
        <v>22612</v>
      </c>
      <c r="DG40" s="27">
        <v>0</v>
      </c>
      <c r="DH40" s="272">
        <v>3</v>
      </c>
      <c r="DI40" s="272">
        <v>381856</v>
      </c>
      <c r="DJ40" s="272">
        <v>360863</v>
      </c>
      <c r="DK40" s="272">
        <v>0</v>
      </c>
      <c r="DL40" s="272">
        <v>20993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639605</v>
      </c>
      <c r="DU40" s="272">
        <v>166175</v>
      </c>
      <c r="DV40" s="455">
        <f t="shared" si="11"/>
        <v>0</v>
      </c>
      <c r="DW40" s="272">
        <v>0</v>
      </c>
      <c r="DX40" s="272"/>
      <c r="DY40" s="272">
        <v>0</v>
      </c>
      <c r="DZ40" s="272">
        <v>105482</v>
      </c>
      <c r="EA40" s="272">
        <v>143472</v>
      </c>
      <c r="EB40" s="272">
        <v>121492</v>
      </c>
      <c r="EC40" s="272">
        <v>0</v>
      </c>
      <c r="ED40" s="272">
        <v>4635222</v>
      </c>
      <c r="EE40" s="89"/>
      <c r="EF40" s="272">
        <v>313217</v>
      </c>
      <c r="EG40" s="272">
        <v>134757</v>
      </c>
      <c r="EH40" s="272">
        <v>178460</v>
      </c>
      <c r="EI40" s="272">
        <v>29735</v>
      </c>
      <c r="EJ40" s="272">
        <v>22787</v>
      </c>
      <c r="EK40" s="89"/>
      <c r="EL40" s="272"/>
      <c r="EM40" s="272">
        <v>13107</v>
      </c>
      <c r="EN40" s="272">
        <v>422617</v>
      </c>
      <c r="EO40" s="272">
        <v>3032</v>
      </c>
      <c r="EP40" s="455">
        <f t="shared" si="12"/>
        <v>196711</v>
      </c>
      <c r="EQ40" s="272">
        <v>3327770</v>
      </c>
      <c r="ER40" s="272">
        <v>-826497</v>
      </c>
      <c r="ES40" s="272">
        <v>1020468</v>
      </c>
      <c r="ET40" s="272">
        <v>610853</v>
      </c>
      <c r="EU40" s="272">
        <v>117068</v>
      </c>
      <c r="EV40" s="272">
        <v>400628</v>
      </c>
      <c r="EW40" s="455">
        <f t="shared" si="13"/>
        <v>132111</v>
      </c>
      <c r="EX40" s="272">
        <v>132108</v>
      </c>
      <c r="EY40" s="272">
        <v>0</v>
      </c>
      <c r="EZ40" s="272">
        <v>109687</v>
      </c>
      <c r="FA40" s="272">
        <v>3</v>
      </c>
      <c r="FB40" s="272"/>
      <c r="FC40" s="272">
        <v>531311</v>
      </c>
      <c r="FD40" s="272">
        <v>654657</v>
      </c>
      <c r="FE40" s="272">
        <v>500092</v>
      </c>
      <c r="FF40" s="272">
        <v>583635</v>
      </c>
      <c r="FG40" s="455">
        <f t="shared" si="14"/>
        <v>401172</v>
      </c>
      <c r="FH40" s="272">
        <v>3841050</v>
      </c>
      <c r="FI40" s="384">
        <f t="shared" si="15"/>
        <v>5.9</v>
      </c>
      <c r="FJ40" s="272">
        <v>3022735</v>
      </c>
      <c r="FK40" s="272">
        <v>195977</v>
      </c>
      <c r="FL40" s="272">
        <v>1392156</v>
      </c>
      <c r="FM40" s="272">
        <v>2618836</v>
      </c>
      <c r="FN40" s="460">
        <v>0.53900000000000003</v>
      </c>
      <c r="FO40" s="388">
        <v>85</v>
      </c>
      <c r="FP40" s="388">
        <v>31.5</v>
      </c>
      <c r="FQ40" s="388">
        <v>3.6</v>
      </c>
      <c r="FR40" s="388">
        <v>12.4</v>
      </c>
      <c r="FS40" s="388">
        <v>14.8</v>
      </c>
      <c r="FT40" s="388">
        <v>7.2</v>
      </c>
      <c r="FU40" s="388">
        <v>14.4</v>
      </c>
      <c r="FV40" s="388">
        <v>8.1999999999999993</v>
      </c>
      <c r="FW40" s="272">
        <v>4225072</v>
      </c>
      <c r="FX40" s="388">
        <f t="shared" si="16"/>
        <v>139.80000000000001</v>
      </c>
      <c r="FY40" s="272">
        <v>2091182</v>
      </c>
      <c r="FZ40" s="272">
        <v>1359778</v>
      </c>
      <c r="GA40" s="272">
        <v>0</v>
      </c>
      <c r="GB40" s="272">
        <v>731404</v>
      </c>
      <c r="GC40" s="272"/>
      <c r="GD40" s="272"/>
      <c r="GE40" s="384"/>
      <c r="GF40" s="388">
        <v>96.2</v>
      </c>
      <c r="GG40" s="388">
        <v>13.6</v>
      </c>
      <c r="GH40" s="388">
        <v>82.9</v>
      </c>
      <c r="GI40" s="272">
        <v>115</v>
      </c>
      <c r="GJ40" s="394"/>
      <c r="GK40" s="394"/>
      <c r="GL40" s="394"/>
      <c r="GM40" s="394"/>
      <c r="GN40" s="394"/>
      <c r="GO40" s="394"/>
      <c r="GP40" s="394"/>
      <c r="GQ40" s="394"/>
      <c r="GR40" s="394"/>
      <c r="GS40" s="394"/>
      <c r="GT40" s="394"/>
      <c r="GU40" s="394"/>
      <c r="GV40" s="394"/>
      <c r="GW40" s="394"/>
      <c r="GX40" s="394"/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</row>
    <row r="41" spans="2:230" x14ac:dyDescent="0.15">
      <c r="B41" s="89" t="s">
        <v>75</v>
      </c>
      <c r="C41" s="272">
        <v>2255329</v>
      </c>
      <c r="D41" s="455">
        <f t="shared" si="0"/>
        <v>574812</v>
      </c>
      <c r="E41" s="272">
        <v>20426</v>
      </c>
      <c r="F41" s="272">
        <v>554386</v>
      </c>
      <c r="G41" s="455">
        <f t="shared" si="1"/>
        <v>197507</v>
      </c>
      <c r="H41" s="272">
        <v>44136</v>
      </c>
      <c r="I41" s="272">
        <v>153371</v>
      </c>
      <c r="J41" s="272">
        <v>1127164</v>
      </c>
      <c r="K41" s="272">
        <v>553485</v>
      </c>
      <c r="L41" s="272">
        <v>383100</v>
      </c>
      <c r="M41" s="272">
        <v>175823</v>
      </c>
      <c r="N41" s="272">
        <v>101144</v>
      </c>
      <c r="O41" s="272">
        <v>231949</v>
      </c>
      <c r="P41" s="272">
        <v>145463</v>
      </c>
      <c r="Q41" s="272">
        <v>86486</v>
      </c>
      <c r="R41" s="272">
        <v>163655</v>
      </c>
      <c r="S41" s="272">
        <v>120377</v>
      </c>
      <c r="T41" s="455">
        <f t="shared" si="2"/>
        <v>251879</v>
      </c>
      <c r="U41" s="272">
        <v>10025</v>
      </c>
      <c r="V41" s="272">
        <v>10390</v>
      </c>
      <c r="W41" s="272">
        <v>8159</v>
      </c>
      <c r="X41" s="272">
        <v>179677</v>
      </c>
      <c r="Y41" s="272">
        <v>0</v>
      </c>
      <c r="Z41" s="272">
        <v>0</v>
      </c>
      <c r="AA41" s="272">
        <v>43628</v>
      </c>
      <c r="AB41" s="272">
        <v>51102</v>
      </c>
      <c r="AC41" s="272">
        <v>1655984</v>
      </c>
      <c r="AD41" s="272">
        <v>1422413</v>
      </c>
      <c r="AE41" s="272">
        <v>233571</v>
      </c>
      <c r="AF41" s="272">
        <v>3981</v>
      </c>
      <c r="AG41" s="272">
        <v>2937</v>
      </c>
      <c r="AH41" s="455">
        <f t="shared" si="3"/>
        <v>191302</v>
      </c>
      <c r="AI41" s="272">
        <v>172699</v>
      </c>
      <c r="AJ41" s="272">
        <v>18603</v>
      </c>
      <c r="AK41" s="272">
        <v>167584</v>
      </c>
      <c r="AL41" s="455">
        <f t="shared" si="4"/>
        <v>20198</v>
      </c>
      <c r="AM41" s="272">
        <v>0</v>
      </c>
      <c r="AN41" s="272">
        <v>20198</v>
      </c>
      <c r="AO41" s="272">
        <v>0</v>
      </c>
      <c r="AP41" s="272">
        <v>0</v>
      </c>
      <c r="AQ41" s="272">
        <v>8971</v>
      </c>
      <c r="AR41" s="272">
        <v>0</v>
      </c>
      <c r="AS41" s="272">
        <v>0</v>
      </c>
      <c r="AT41" s="272">
        <v>268897</v>
      </c>
      <c r="AU41" s="272">
        <v>92302</v>
      </c>
      <c r="AV41" s="272">
        <v>10050</v>
      </c>
      <c r="AW41" s="272">
        <v>0</v>
      </c>
      <c r="AX41" s="272">
        <v>176595</v>
      </c>
      <c r="AY41" s="272">
        <v>14219</v>
      </c>
      <c r="AZ41" s="272">
        <v>3473</v>
      </c>
      <c r="BA41" s="272">
        <v>3250</v>
      </c>
      <c r="BB41" s="272">
        <v>332</v>
      </c>
      <c r="BC41" s="272">
        <v>946069</v>
      </c>
      <c r="BD41" s="272">
        <v>730579</v>
      </c>
      <c r="BE41" s="272">
        <v>0</v>
      </c>
      <c r="BF41" s="272">
        <v>215490</v>
      </c>
      <c r="BG41" s="272">
        <v>0</v>
      </c>
      <c r="BH41" s="272">
        <v>1830</v>
      </c>
      <c r="BI41" s="272">
        <v>1830</v>
      </c>
      <c r="BJ41" s="272">
        <v>98090</v>
      </c>
      <c r="BK41" s="272">
        <v>25</v>
      </c>
      <c r="BL41" s="272">
        <v>0</v>
      </c>
      <c r="BM41" s="272">
        <v>0</v>
      </c>
      <c r="BN41" s="272">
        <v>599400</v>
      </c>
      <c r="BO41" s="455">
        <f t="shared" si="5"/>
        <v>88800</v>
      </c>
      <c r="BP41" s="455">
        <f t="shared" si="6"/>
        <v>254100</v>
      </c>
      <c r="BQ41" s="272">
        <v>15400</v>
      </c>
      <c r="BR41" s="272"/>
      <c r="BS41" s="272">
        <v>238700</v>
      </c>
      <c r="BT41" s="272">
        <v>256500</v>
      </c>
      <c r="BU41" s="272">
        <v>6661844</v>
      </c>
      <c r="BV41" s="272"/>
      <c r="BW41" s="272">
        <v>1674372</v>
      </c>
      <c r="BX41" s="272">
        <v>1027271</v>
      </c>
      <c r="BY41" s="272">
        <v>340277</v>
      </c>
      <c r="BZ41" s="272">
        <v>12316</v>
      </c>
      <c r="CA41" s="272">
        <v>543166</v>
      </c>
      <c r="CB41" s="272">
        <v>154667</v>
      </c>
      <c r="CC41" s="272">
        <v>45198</v>
      </c>
      <c r="CD41" s="272">
        <v>330811</v>
      </c>
      <c r="CE41" s="272">
        <v>0</v>
      </c>
      <c r="CF41" s="272">
        <v>0</v>
      </c>
      <c r="CG41" s="272">
        <v>12490</v>
      </c>
      <c r="CH41" s="272">
        <v>718544</v>
      </c>
      <c r="CI41" s="272">
        <v>569926</v>
      </c>
      <c r="CJ41" s="455">
        <f t="shared" si="7"/>
        <v>148618</v>
      </c>
      <c r="CK41" s="272">
        <v>1016767</v>
      </c>
      <c r="CL41" s="272">
        <v>649013</v>
      </c>
      <c r="CM41" s="272">
        <v>68013</v>
      </c>
      <c r="CN41" s="272">
        <v>198104</v>
      </c>
      <c r="CO41" s="272">
        <v>112519</v>
      </c>
      <c r="CP41" s="272">
        <v>1223776</v>
      </c>
      <c r="CQ41" s="272">
        <v>2185</v>
      </c>
      <c r="CR41" s="272">
        <v>27167</v>
      </c>
      <c r="CS41" s="272">
        <v>17927</v>
      </c>
      <c r="CT41" s="455">
        <f t="shared" si="8"/>
        <v>1084153</v>
      </c>
      <c r="CU41" s="272">
        <v>139453</v>
      </c>
      <c r="CV41" s="272">
        <v>944700</v>
      </c>
      <c r="CW41" s="455">
        <f t="shared" si="9"/>
        <v>1077417</v>
      </c>
      <c r="CX41" s="272">
        <v>139169</v>
      </c>
      <c r="CY41" s="272">
        <v>938248</v>
      </c>
      <c r="CZ41" s="455">
        <f t="shared" si="10"/>
        <v>0</v>
      </c>
      <c r="DA41" s="272">
        <v>0</v>
      </c>
      <c r="DB41" s="272">
        <v>0</v>
      </c>
      <c r="DC41" s="272">
        <v>225037</v>
      </c>
      <c r="DD41" s="272">
        <v>17943</v>
      </c>
      <c r="DE41" s="272">
        <v>207094</v>
      </c>
      <c r="DF41" s="26">
        <v>0</v>
      </c>
      <c r="DG41" s="27">
        <v>0</v>
      </c>
      <c r="DH41" s="272">
        <v>0</v>
      </c>
      <c r="DI41" s="272">
        <v>136085</v>
      </c>
      <c r="DJ41" s="272">
        <v>135790</v>
      </c>
      <c r="DK41" s="272">
        <v>0</v>
      </c>
      <c r="DL41" s="272">
        <v>295</v>
      </c>
      <c r="DM41" s="272">
        <v>0</v>
      </c>
      <c r="DN41" s="272">
        <v>0</v>
      </c>
      <c r="DO41" s="272">
        <v>0</v>
      </c>
      <c r="DP41" s="272">
        <v>0</v>
      </c>
      <c r="DQ41" s="272">
        <v>0</v>
      </c>
      <c r="DR41" s="272">
        <v>0</v>
      </c>
      <c r="DS41" s="272">
        <v>0</v>
      </c>
      <c r="DT41" s="272">
        <v>1024717</v>
      </c>
      <c r="DU41" s="272">
        <v>581824</v>
      </c>
      <c r="DV41" s="455">
        <f t="shared" si="11"/>
        <v>0</v>
      </c>
      <c r="DW41" s="272">
        <v>0</v>
      </c>
      <c r="DX41" s="272"/>
      <c r="DY41" s="272">
        <v>0</v>
      </c>
      <c r="DZ41" s="272">
        <v>154438</v>
      </c>
      <c r="EA41" s="272">
        <v>118270</v>
      </c>
      <c r="EB41" s="272">
        <v>170185</v>
      </c>
      <c r="EC41" s="272">
        <v>0</v>
      </c>
      <c r="ED41" s="272">
        <v>6674983</v>
      </c>
      <c r="EE41" s="89"/>
      <c r="EF41" s="272">
        <v>-13139</v>
      </c>
      <c r="EG41" s="272">
        <v>0</v>
      </c>
      <c r="EH41" s="272">
        <v>-13139</v>
      </c>
      <c r="EI41" s="272">
        <v>-14969</v>
      </c>
      <c r="EJ41" s="272">
        <v>-609758</v>
      </c>
      <c r="EK41" s="89"/>
      <c r="EL41" s="272"/>
      <c r="EM41" s="272">
        <v>17726</v>
      </c>
      <c r="EN41" s="272">
        <v>768579</v>
      </c>
      <c r="EO41" s="272">
        <v>3473</v>
      </c>
      <c r="EP41" s="455">
        <f t="shared" si="12"/>
        <v>69661</v>
      </c>
      <c r="EQ41" s="272">
        <v>4381930</v>
      </c>
      <c r="ER41" s="272">
        <v>-1091832</v>
      </c>
      <c r="ES41" s="272">
        <v>1322212</v>
      </c>
      <c r="ET41" s="272">
        <v>945794</v>
      </c>
      <c r="EU41" s="272">
        <v>262115</v>
      </c>
      <c r="EV41" s="272">
        <v>718544</v>
      </c>
      <c r="EW41" s="455">
        <f t="shared" si="13"/>
        <v>38560</v>
      </c>
      <c r="EX41" s="272">
        <v>38560</v>
      </c>
      <c r="EY41" s="272">
        <v>72</v>
      </c>
      <c r="EZ41" s="272">
        <v>38488</v>
      </c>
      <c r="FA41" s="272">
        <v>0</v>
      </c>
      <c r="FB41" s="272"/>
      <c r="FC41" s="272">
        <v>872114</v>
      </c>
      <c r="FD41" s="272">
        <v>1206817</v>
      </c>
      <c r="FE41" s="272">
        <v>2185</v>
      </c>
      <c r="FF41" s="272">
        <v>953736</v>
      </c>
      <c r="FG41" s="455">
        <f t="shared" si="14"/>
        <v>112803</v>
      </c>
      <c r="FH41" s="272">
        <v>5486901</v>
      </c>
      <c r="FI41" s="384">
        <f t="shared" si="15"/>
        <v>-0.3</v>
      </c>
      <c r="FJ41" s="272">
        <v>3910715</v>
      </c>
      <c r="FK41" s="272">
        <v>238794</v>
      </c>
      <c r="FL41" s="272">
        <v>1909714</v>
      </c>
      <c r="FM41" s="272">
        <v>3335752</v>
      </c>
      <c r="FN41" s="460">
        <v>0.55400000000000005</v>
      </c>
      <c r="FO41" s="388">
        <v>103.1</v>
      </c>
      <c r="FP41" s="388">
        <v>29.9</v>
      </c>
      <c r="FQ41" s="388">
        <v>6.2</v>
      </c>
      <c r="FR41" s="388">
        <v>17.100000000000001</v>
      </c>
      <c r="FS41" s="388">
        <v>20.2</v>
      </c>
      <c r="FT41" s="388">
        <v>5.6</v>
      </c>
      <c r="FU41" s="388">
        <v>21.4</v>
      </c>
      <c r="FV41" s="388">
        <v>14.4</v>
      </c>
      <c r="FW41" s="272">
        <v>7497165</v>
      </c>
      <c r="FX41" s="388">
        <f t="shared" si="16"/>
        <v>191.7</v>
      </c>
      <c r="FY41" s="272">
        <v>282677</v>
      </c>
      <c r="FZ41" s="272">
        <v>0</v>
      </c>
      <c r="GA41" s="272">
        <v>0</v>
      </c>
      <c r="GB41" s="272">
        <v>282677</v>
      </c>
      <c r="GC41" s="272">
        <v>1000</v>
      </c>
      <c r="GD41" s="272"/>
      <c r="GE41" s="384"/>
      <c r="GF41" s="388">
        <v>97.6</v>
      </c>
      <c r="GG41" s="388">
        <v>16.7</v>
      </c>
      <c r="GH41" s="388">
        <v>88.8</v>
      </c>
      <c r="GI41" s="272">
        <v>165</v>
      </c>
      <c r="GJ41" s="394"/>
      <c r="GK41" s="394"/>
      <c r="GL41" s="394"/>
      <c r="GM41" s="394"/>
      <c r="GN41" s="394"/>
      <c r="GO41" s="394"/>
      <c r="GP41" s="394"/>
      <c r="GQ41" s="394"/>
      <c r="GR41" s="394"/>
      <c r="GS41" s="394"/>
      <c r="GT41" s="394"/>
      <c r="GU41" s="394"/>
      <c r="GV41" s="394"/>
      <c r="GW41" s="394"/>
      <c r="GX41" s="394"/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</row>
    <row r="42" spans="2:230" x14ac:dyDescent="0.15">
      <c r="B42" s="89" t="s">
        <v>77</v>
      </c>
      <c r="C42" s="272">
        <v>4241149</v>
      </c>
      <c r="D42" s="455">
        <f t="shared" si="0"/>
        <v>2074603</v>
      </c>
      <c r="E42" s="272">
        <v>57095</v>
      </c>
      <c r="F42" s="272">
        <v>2017508</v>
      </c>
      <c r="G42" s="455">
        <f t="shared" si="1"/>
        <v>170831</v>
      </c>
      <c r="H42" s="272">
        <v>45940</v>
      </c>
      <c r="I42" s="272">
        <v>124891</v>
      </c>
      <c r="J42" s="272">
        <v>1761151</v>
      </c>
      <c r="K42" s="272">
        <v>737087</v>
      </c>
      <c r="L42" s="272">
        <v>809319</v>
      </c>
      <c r="M42" s="272">
        <v>200746</v>
      </c>
      <c r="N42" s="272">
        <v>169753</v>
      </c>
      <c r="O42" s="272">
        <v>0</v>
      </c>
      <c r="P42" s="272">
        <v>0</v>
      </c>
      <c r="Q42" s="272">
        <v>0</v>
      </c>
      <c r="R42" s="272">
        <v>395617</v>
      </c>
      <c r="S42" s="272">
        <v>280818</v>
      </c>
      <c r="T42" s="455">
        <f t="shared" si="2"/>
        <v>565125</v>
      </c>
      <c r="U42" s="272">
        <v>34495</v>
      </c>
      <c r="V42" s="272">
        <v>35751</v>
      </c>
      <c r="W42" s="272">
        <v>28063</v>
      </c>
      <c r="X42" s="272">
        <v>339385</v>
      </c>
      <c r="Y42" s="272">
        <v>11738</v>
      </c>
      <c r="Z42" s="272">
        <v>0</v>
      </c>
      <c r="AA42" s="272">
        <v>115693</v>
      </c>
      <c r="AB42" s="272">
        <v>150336</v>
      </c>
      <c r="AC42" s="272">
        <v>1843055</v>
      </c>
      <c r="AD42" s="272">
        <v>1672082</v>
      </c>
      <c r="AE42" s="272">
        <v>170973</v>
      </c>
      <c r="AF42" s="272">
        <v>9479</v>
      </c>
      <c r="AG42" s="272">
        <v>9298</v>
      </c>
      <c r="AH42" s="455">
        <f t="shared" si="3"/>
        <v>809666</v>
      </c>
      <c r="AI42" s="272">
        <v>739854</v>
      </c>
      <c r="AJ42" s="272">
        <v>69812</v>
      </c>
      <c r="AK42" s="272">
        <v>513867</v>
      </c>
      <c r="AL42" s="455">
        <f t="shared" si="4"/>
        <v>29438</v>
      </c>
      <c r="AM42" s="272">
        <v>0</v>
      </c>
      <c r="AN42" s="272">
        <v>29438</v>
      </c>
      <c r="AO42" s="272">
        <v>0</v>
      </c>
      <c r="AP42" s="272">
        <v>0</v>
      </c>
      <c r="AQ42" s="272">
        <v>201246</v>
      </c>
      <c r="AR42" s="272">
        <v>0</v>
      </c>
      <c r="AS42" s="272">
        <v>0</v>
      </c>
      <c r="AT42" s="272">
        <v>553697</v>
      </c>
      <c r="AU42" s="272">
        <v>236356</v>
      </c>
      <c r="AV42" s="272">
        <v>14719</v>
      </c>
      <c r="AW42" s="272">
        <v>43222</v>
      </c>
      <c r="AX42" s="272">
        <v>317341</v>
      </c>
      <c r="AY42" s="272">
        <v>21122</v>
      </c>
      <c r="AZ42" s="272">
        <v>13276</v>
      </c>
      <c r="BA42" s="272">
        <v>7132</v>
      </c>
      <c r="BB42" s="272">
        <v>200</v>
      </c>
      <c r="BC42" s="272">
        <v>1073065</v>
      </c>
      <c r="BD42" s="272">
        <v>300000</v>
      </c>
      <c r="BE42" s="272">
        <v>0</v>
      </c>
      <c r="BF42" s="272">
        <v>773000</v>
      </c>
      <c r="BG42" s="272">
        <v>0</v>
      </c>
      <c r="BH42" s="272">
        <v>179504</v>
      </c>
      <c r="BI42" s="272">
        <v>50799</v>
      </c>
      <c r="BJ42" s="272">
        <v>228128</v>
      </c>
      <c r="BK42" s="272">
        <v>0</v>
      </c>
      <c r="BL42" s="272">
        <v>0</v>
      </c>
      <c r="BM42" s="272">
        <v>0</v>
      </c>
      <c r="BN42" s="272">
        <v>800500</v>
      </c>
      <c r="BO42" s="455">
        <f t="shared" si="5"/>
        <v>290500</v>
      </c>
      <c r="BP42" s="455">
        <f t="shared" si="6"/>
        <v>510000</v>
      </c>
      <c r="BQ42" s="272">
        <v>51000</v>
      </c>
      <c r="BR42" s="272"/>
      <c r="BS42" s="272">
        <v>459000</v>
      </c>
      <c r="BT42" s="272">
        <v>0</v>
      </c>
      <c r="BU42" s="272">
        <v>11385962</v>
      </c>
      <c r="BV42" s="272"/>
      <c r="BW42" s="272">
        <v>3101039</v>
      </c>
      <c r="BX42" s="272">
        <v>2245591</v>
      </c>
      <c r="BY42" s="272">
        <v>186136</v>
      </c>
      <c r="BZ42" s="272">
        <v>128854</v>
      </c>
      <c r="CA42" s="272">
        <v>1006021</v>
      </c>
      <c r="CB42" s="272">
        <v>273564</v>
      </c>
      <c r="CC42" s="272">
        <v>67949</v>
      </c>
      <c r="CD42" s="272">
        <v>598649</v>
      </c>
      <c r="CE42" s="272">
        <v>0</v>
      </c>
      <c r="CF42" s="272">
        <v>0</v>
      </c>
      <c r="CG42" s="272">
        <v>65859</v>
      </c>
      <c r="CH42" s="272">
        <v>1635715</v>
      </c>
      <c r="CI42" s="272">
        <v>1419471</v>
      </c>
      <c r="CJ42" s="455">
        <f t="shared" si="7"/>
        <v>216244</v>
      </c>
      <c r="CK42" s="272">
        <v>1837541</v>
      </c>
      <c r="CL42" s="272">
        <v>871028</v>
      </c>
      <c r="CM42" s="272">
        <v>187749</v>
      </c>
      <c r="CN42" s="272">
        <v>436200</v>
      </c>
      <c r="CO42" s="272">
        <v>165139</v>
      </c>
      <c r="CP42" s="272">
        <v>611865</v>
      </c>
      <c r="CQ42" s="272">
        <v>580</v>
      </c>
      <c r="CR42" s="272">
        <v>264123</v>
      </c>
      <c r="CS42" s="272">
        <v>104881</v>
      </c>
      <c r="CT42" s="455">
        <f t="shared" si="8"/>
        <v>5743</v>
      </c>
      <c r="CU42" s="272">
        <v>4769</v>
      </c>
      <c r="CV42" s="272">
        <v>974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1515608</v>
      </c>
      <c r="DD42" s="272">
        <v>525285</v>
      </c>
      <c r="DE42" s="272">
        <v>969066</v>
      </c>
      <c r="DF42" s="26">
        <v>18555</v>
      </c>
      <c r="DG42" s="27">
        <v>2702</v>
      </c>
      <c r="DH42" s="272">
        <v>12520</v>
      </c>
      <c r="DI42" s="272">
        <v>159166</v>
      </c>
      <c r="DJ42" s="272">
        <v>26000</v>
      </c>
      <c r="DK42" s="272">
        <v>1059</v>
      </c>
      <c r="DL42" s="272">
        <v>132107</v>
      </c>
      <c r="DM42" s="272">
        <v>41300</v>
      </c>
      <c r="DN42" s="456">
        <v>41300</v>
      </c>
      <c r="DO42" s="272">
        <v>41300</v>
      </c>
      <c r="DP42" s="272">
        <v>0</v>
      </c>
      <c r="DQ42" s="272">
        <v>0</v>
      </c>
      <c r="DR42" s="272">
        <v>0</v>
      </c>
      <c r="DS42" s="272">
        <v>0</v>
      </c>
      <c r="DT42" s="272">
        <v>1216446</v>
      </c>
      <c r="DU42" s="272">
        <v>431700</v>
      </c>
      <c r="DV42" s="455">
        <f t="shared" si="11"/>
        <v>0</v>
      </c>
      <c r="DW42" s="272">
        <v>0</v>
      </c>
      <c r="DX42" s="272"/>
      <c r="DY42" s="272">
        <v>0</v>
      </c>
      <c r="DZ42" s="272">
        <v>236638</v>
      </c>
      <c r="EA42" s="272">
        <v>241781</v>
      </c>
      <c r="EB42" s="272">
        <v>305357</v>
      </c>
      <c r="EC42" s="272">
        <v>0</v>
      </c>
      <c r="ED42" s="272">
        <v>11302360</v>
      </c>
      <c r="EE42" s="89"/>
      <c r="EF42" s="272">
        <v>83602</v>
      </c>
      <c r="EG42" s="272">
        <v>38460</v>
      </c>
      <c r="EH42" s="272">
        <v>45142</v>
      </c>
      <c r="EI42" s="272">
        <v>-5657</v>
      </c>
      <c r="EJ42" s="272">
        <v>-279657</v>
      </c>
      <c r="EK42" s="89"/>
      <c r="EL42" s="272"/>
      <c r="EM42" s="272">
        <v>44259</v>
      </c>
      <c r="EN42" s="272">
        <v>300065</v>
      </c>
      <c r="EO42" s="272">
        <v>8603</v>
      </c>
      <c r="EP42" s="455">
        <f t="shared" si="12"/>
        <v>485695</v>
      </c>
      <c r="EQ42" s="272">
        <v>7204761</v>
      </c>
      <c r="ER42" s="272">
        <v>-1294884</v>
      </c>
      <c r="ES42" s="272">
        <v>2911514</v>
      </c>
      <c r="ET42" s="272">
        <v>2063932</v>
      </c>
      <c r="EU42" s="272">
        <v>526667</v>
      </c>
      <c r="EV42" s="272">
        <v>1635715</v>
      </c>
      <c r="EW42" s="455">
        <f t="shared" si="13"/>
        <v>198736</v>
      </c>
      <c r="EX42" s="272">
        <v>193462</v>
      </c>
      <c r="EY42" s="272">
        <v>2697</v>
      </c>
      <c r="EZ42" s="272">
        <v>189310</v>
      </c>
      <c r="FA42" s="272">
        <v>5274</v>
      </c>
      <c r="FB42" s="272"/>
      <c r="FC42" s="272">
        <v>1498042</v>
      </c>
      <c r="FD42" s="272">
        <v>348964</v>
      </c>
      <c r="FE42" s="272">
        <v>580</v>
      </c>
      <c r="FF42" s="272">
        <v>1109559</v>
      </c>
      <c r="FG42" s="455">
        <f t="shared" si="14"/>
        <v>186846</v>
      </c>
      <c r="FH42" s="272">
        <v>8416043</v>
      </c>
      <c r="FI42" s="384">
        <f t="shared" si="15"/>
        <v>0.6</v>
      </c>
      <c r="FJ42" s="272">
        <v>7155173</v>
      </c>
      <c r="FK42" s="272">
        <v>459326</v>
      </c>
      <c r="FL42" s="272">
        <v>4215695</v>
      </c>
      <c r="FM42" s="272">
        <v>5887777</v>
      </c>
      <c r="FN42" s="460">
        <v>0.69199999999999995</v>
      </c>
      <c r="FO42" s="388">
        <v>98.3</v>
      </c>
      <c r="FP42" s="388">
        <v>36.9</v>
      </c>
      <c r="FQ42" s="388">
        <v>6.9</v>
      </c>
      <c r="FR42" s="388">
        <v>19.5</v>
      </c>
      <c r="FS42" s="388">
        <v>18.600000000000001</v>
      </c>
      <c r="FT42" s="388">
        <v>3.9</v>
      </c>
      <c r="FU42" s="388">
        <v>10.3</v>
      </c>
      <c r="FV42" s="388">
        <v>9.8000000000000007</v>
      </c>
      <c r="FW42" s="272">
        <v>10326204</v>
      </c>
      <c r="FX42" s="388">
        <f t="shared" si="16"/>
        <v>144.30000000000001</v>
      </c>
      <c r="FY42" s="272">
        <v>4365171</v>
      </c>
      <c r="FZ42" s="272">
        <v>1203158</v>
      </c>
      <c r="GA42" s="272">
        <v>610161</v>
      </c>
      <c r="GB42" s="272">
        <v>2551852</v>
      </c>
      <c r="GC42" s="272">
        <v>777925</v>
      </c>
      <c r="GD42" s="272">
        <v>778857</v>
      </c>
      <c r="GE42" s="384">
        <f>ROUND(GD42/FJ42*100,1)</f>
        <v>10.9</v>
      </c>
      <c r="GF42" s="388">
        <v>98.3</v>
      </c>
      <c r="GG42" s="388">
        <v>21.9</v>
      </c>
      <c r="GH42" s="388">
        <v>91.5</v>
      </c>
      <c r="GI42" s="272">
        <v>369</v>
      </c>
      <c r="GJ42" s="394"/>
      <c r="GK42" s="394"/>
      <c r="GL42" s="394"/>
      <c r="GM42" s="394"/>
      <c r="GN42" s="394"/>
      <c r="GO42" s="394"/>
      <c r="GP42" s="394"/>
      <c r="GQ42" s="394"/>
      <c r="GR42" s="394"/>
      <c r="GS42" s="394"/>
      <c r="GT42" s="394"/>
      <c r="GU42" s="394"/>
      <c r="GV42" s="394"/>
      <c r="GW42" s="394"/>
      <c r="GX42" s="394"/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</row>
    <row r="43" spans="2:230" x14ac:dyDescent="0.15">
      <c r="B43" s="89" t="s">
        <v>79</v>
      </c>
      <c r="C43" s="272">
        <v>4323720</v>
      </c>
      <c r="D43" s="455">
        <f t="shared" si="0"/>
        <v>261476</v>
      </c>
      <c r="E43" s="272">
        <v>9152</v>
      </c>
      <c r="F43" s="272">
        <v>252324</v>
      </c>
      <c r="G43" s="455">
        <f t="shared" si="1"/>
        <v>162135</v>
      </c>
      <c r="H43" s="272">
        <v>44816</v>
      </c>
      <c r="I43" s="272">
        <v>117319</v>
      </c>
      <c r="J43" s="272">
        <v>2246130</v>
      </c>
      <c r="K43" s="272">
        <v>1195817</v>
      </c>
      <c r="L43" s="272">
        <v>744815</v>
      </c>
      <c r="M43" s="272">
        <v>247542</v>
      </c>
      <c r="N43" s="272">
        <v>1644099</v>
      </c>
      <c r="O43" s="272">
        <v>0</v>
      </c>
      <c r="P43" s="272">
        <v>0</v>
      </c>
      <c r="Q43" s="272">
        <v>0</v>
      </c>
      <c r="R43" s="272">
        <v>97795</v>
      </c>
      <c r="S43" s="272">
        <v>49562</v>
      </c>
      <c r="T43" s="455">
        <f t="shared" si="2"/>
        <v>138808</v>
      </c>
      <c r="U43" s="272">
        <v>4628</v>
      </c>
      <c r="V43" s="272">
        <v>4797</v>
      </c>
      <c r="W43" s="272">
        <v>3763</v>
      </c>
      <c r="X43" s="272">
        <v>106916</v>
      </c>
      <c r="Y43" s="272">
        <v>0</v>
      </c>
      <c r="Z43" s="272">
        <v>0</v>
      </c>
      <c r="AA43" s="272">
        <v>18704</v>
      </c>
      <c r="AB43" s="272">
        <v>34157</v>
      </c>
      <c r="AC43" s="272">
        <v>9186</v>
      </c>
      <c r="AD43" s="272">
        <v>0</v>
      </c>
      <c r="AE43" s="272">
        <v>9186</v>
      </c>
      <c r="AF43" s="272">
        <v>1443</v>
      </c>
      <c r="AG43" s="272">
        <v>1455</v>
      </c>
      <c r="AH43" s="455">
        <f t="shared" si="3"/>
        <v>98440</v>
      </c>
      <c r="AI43" s="272">
        <v>88093</v>
      </c>
      <c r="AJ43" s="272">
        <v>10347</v>
      </c>
      <c r="AK43" s="272">
        <v>89897</v>
      </c>
      <c r="AL43" s="455">
        <f t="shared" si="4"/>
        <v>0</v>
      </c>
      <c r="AM43" s="272">
        <v>0</v>
      </c>
      <c r="AN43" s="272">
        <v>0</v>
      </c>
      <c r="AO43" s="272">
        <v>0</v>
      </c>
      <c r="AP43" s="272">
        <v>0</v>
      </c>
      <c r="AQ43" s="272">
        <v>22551</v>
      </c>
      <c r="AR43" s="272">
        <v>0</v>
      </c>
      <c r="AS43" s="272">
        <v>0</v>
      </c>
      <c r="AT43" s="272">
        <v>115987</v>
      </c>
      <c r="AU43" s="272">
        <v>48367</v>
      </c>
      <c r="AV43" s="272">
        <v>0</v>
      </c>
      <c r="AW43" s="272">
        <v>3780</v>
      </c>
      <c r="AX43" s="272">
        <v>67620</v>
      </c>
      <c r="AY43" s="272">
        <v>382</v>
      </c>
      <c r="AZ43" s="272">
        <v>93800</v>
      </c>
      <c r="BA43" s="272">
        <v>88477</v>
      </c>
      <c r="BB43" s="272">
        <v>20151</v>
      </c>
      <c r="BC43" s="272">
        <v>270000</v>
      </c>
      <c r="BD43" s="272">
        <v>220000</v>
      </c>
      <c r="BE43" s="272">
        <v>0</v>
      </c>
      <c r="BF43" s="272">
        <v>50000</v>
      </c>
      <c r="BG43" s="272">
        <v>0</v>
      </c>
      <c r="BH43" s="272">
        <v>254788</v>
      </c>
      <c r="BI43" s="272">
        <v>254788</v>
      </c>
      <c r="BJ43" s="272">
        <v>50363</v>
      </c>
      <c r="BK43" s="272">
        <v>0</v>
      </c>
      <c r="BL43" s="272">
        <v>0</v>
      </c>
      <c r="BM43" s="272">
        <v>0</v>
      </c>
      <c r="BN43" s="272">
        <v>0</v>
      </c>
      <c r="BO43" s="455">
        <f t="shared" si="5"/>
        <v>0</v>
      </c>
      <c r="BP43" s="455">
        <f t="shared" si="6"/>
        <v>0</v>
      </c>
      <c r="BQ43" s="272">
        <v>0</v>
      </c>
      <c r="BR43" s="272"/>
      <c r="BS43" s="272">
        <v>0</v>
      </c>
      <c r="BT43" s="272">
        <v>0</v>
      </c>
      <c r="BU43" s="272">
        <v>5599990</v>
      </c>
      <c r="BV43" s="272"/>
      <c r="BW43" s="272">
        <v>1239628</v>
      </c>
      <c r="BX43" s="272">
        <v>804450</v>
      </c>
      <c r="BY43" s="272">
        <v>51830</v>
      </c>
      <c r="BZ43" s="272">
        <v>133740</v>
      </c>
      <c r="CA43" s="272">
        <v>201953</v>
      </c>
      <c r="CB43" s="272">
        <v>64765</v>
      </c>
      <c r="CC43" s="272">
        <v>28950</v>
      </c>
      <c r="CD43" s="272">
        <v>102308</v>
      </c>
      <c r="CE43" s="272">
        <v>0</v>
      </c>
      <c r="CF43" s="272">
        <v>0</v>
      </c>
      <c r="CG43" s="272">
        <v>5930</v>
      </c>
      <c r="CH43" s="272">
        <v>545222</v>
      </c>
      <c r="CI43" s="272">
        <v>433413</v>
      </c>
      <c r="CJ43" s="455">
        <f t="shared" si="7"/>
        <v>111809</v>
      </c>
      <c r="CK43" s="272">
        <v>428460</v>
      </c>
      <c r="CL43" s="272">
        <v>233449</v>
      </c>
      <c r="CM43" s="272">
        <v>22038</v>
      </c>
      <c r="CN43" s="272">
        <v>122349</v>
      </c>
      <c r="CO43" s="272">
        <v>11994</v>
      </c>
      <c r="CP43" s="272">
        <v>2035307</v>
      </c>
      <c r="CQ43" s="272">
        <v>131954</v>
      </c>
      <c r="CR43" s="272">
        <v>57364</v>
      </c>
      <c r="CS43" s="272">
        <v>56742</v>
      </c>
      <c r="CT43" s="455">
        <f t="shared" si="8"/>
        <v>14173</v>
      </c>
      <c r="CU43" s="272">
        <v>0</v>
      </c>
      <c r="CV43" s="272">
        <v>14173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203778</v>
      </c>
      <c r="DD43" s="272">
        <v>45223</v>
      </c>
      <c r="DE43" s="272">
        <v>158555</v>
      </c>
      <c r="DF43" s="26">
        <v>0</v>
      </c>
      <c r="DG43" s="27">
        <v>0</v>
      </c>
      <c r="DH43" s="272">
        <v>0</v>
      </c>
      <c r="DI43" s="272">
        <v>254562</v>
      </c>
      <c r="DJ43" s="272">
        <v>132750</v>
      </c>
      <c r="DK43" s="272">
        <v>0</v>
      </c>
      <c r="DL43" s="272">
        <v>121812</v>
      </c>
      <c r="DM43" s="272">
        <v>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536066</v>
      </c>
      <c r="DU43" s="272">
        <v>333079</v>
      </c>
      <c r="DV43" s="455">
        <f t="shared" si="11"/>
        <v>0</v>
      </c>
      <c r="DW43" s="272">
        <v>0</v>
      </c>
      <c r="DX43" s="272"/>
      <c r="DY43" s="272">
        <v>0</v>
      </c>
      <c r="DZ43" s="272">
        <v>66994</v>
      </c>
      <c r="EA43" s="272">
        <v>62521</v>
      </c>
      <c r="EB43" s="272">
        <v>73470</v>
      </c>
      <c r="EC43" s="272">
        <v>0</v>
      </c>
      <c r="ED43" s="272">
        <v>5456970</v>
      </c>
      <c r="EE43" s="89"/>
      <c r="EF43" s="272">
        <v>143020</v>
      </c>
      <c r="EG43" s="272">
        <v>0</v>
      </c>
      <c r="EH43" s="272">
        <v>143020</v>
      </c>
      <c r="EI43" s="272">
        <v>-111768</v>
      </c>
      <c r="EJ43" s="272">
        <v>-199018</v>
      </c>
      <c r="EK43" s="89"/>
      <c r="EL43" s="272"/>
      <c r="EM43" s="272">
        <v>7899</v>
      </c>
      <c r="EN43" s="272">
        <v>270000</v>
      </c>
      <c r="EO43" s="272">
        <v>88505</v>
      </c>
      <c r="EP43" s="455">
        <f t="shared" si="12"/>
        <v>293352</v>
      </c>
      <c r="EQ43" s="272">
        <v>4605109</v>
      </c>
      <c r="ER43" s="272">
        <v>-650414</v>
      </c>
      <c r="ES43" s="272">
        <v>1177328</v>
      </c>
      <c r="ET43" s="272">
        <v>748514</v>
      </c>
      <c r="EU43" s="272">
        <v>94623</v>
      </c>
      <c r="EV43" s="272">
        <v>545222</v>
      </c>
      <c r="EW43" s="455">
        <f t="shared" si="13"/>
        <v>171354</v>
      </c>
      <c r="EX43" s="272">
        <v>171354</v>
      </c>
      <c r="EY43" s="272">
        <v>18892</v>
      </c>
      <c r="EZ43" s="272">
        <v>152462</v>
      </c>
      <c r="FA43" s="272">
        <v>0</v>
      </c>
      <c r="FB43" s="272"/>
      <c r="FC43" s="272">
        <v>348889</v>
      </c>
      <c r="FD43" s="272">
        <v>2026175</v>
      </c>
      <c r="FE43" s="272">
        <v>131954</v>
      </c>
      <c r="FF43" s="272">
        <v>508036</v>
      </c>
      <c r="FG43" s="455">
        <f t="shared" si="14"/>
        <v>240876</v>
      </c>
      <c r="FH43" s="272">
        <v>5112503</v>
      </c>
      <c r="FI43" s="384">
        <f t="shared" si="15"/>
        <v>4.3</v>
      </c>
      <c r="FJ43" s="272">
        <v>3289725</v>
      </c>
      <c r="FK43" s="272">
        <v>152413</v>
      </c>
      <c r="FL43" s="272">
        <v>2491604</v>
      </c>
      <c r="FM43" s="272">
        <v>1732421</v>
      </c>
      <c r="FN43" s="460">
        <v>1.776</v>
      </c>
      <c r="FO43" s="388">
        <v>63.3</v>
      </c>
      <c r="FP43" s="388">
        <v>25</v>
      </c>
      <c r="FQ43" s="388">
        <v>2.1</v>
      </c>
      <c r="FR43" s="388">
        <v>11.8</v>
      </c>
      <c r="FS43" s="388">
        <v>6.9</v>
      </c>
      <c r="FT43" s="388">
        <v>8.6999999999999993</v>
      </c>
      <c r="FU43" s="388">
        <v>8.6</v>
      </c>
      <c r="FV43" s="388">
        <v>14</v>
      </c>
      <c r="FW43" s="272">
        <v>5119730</v>
      </c>
      <c r="FX43" s="388">
        <f t="shared" si="16"/>
        <v>155.6</v>
      </c>
      <c r="FY43" s="272">
        <v>4076729</v>
      </c>
      <c r="FZ43" s="272">
        <v>3538853</v>
      </c>
      <c r="GA43" s="272">
        <v>0</v>
      </c>
      <c r="GB43" s="272">
        <v>537876</v>
      </c>
      <c r="GC43" s="272"/>
      <c r="GD43" s="272">
        <v>746648</v>
      </c>
      <c r="GE43" s="384">
        <f>ROUND(GD43/FJ43*100,1)</f>
        <v>22.7</v>
      </c>
      <c r="GF43" s="388">
        <v>99.8</v>
      </c>
      <c r="GG43" s="388">
        <v>24.7</v>
      </c>
      <c r="GH43" s="388">
        <v>99.3</v>
      </c>
      <c r="GI43" s="272">
        <v>131</v>
      </c>
      <c r="GJ43" s="394"/>
      <c r="GK43" s="394"/>
      <c r="GL43" s="394"/>
      <c r="GM43" s="394"/>
      <c r="GN43" s="394"/>
      <c r="GO43" s="394"/>
      <c r="GP43" s="394"/>
      <c r="GQ43" s="394"/>
      <c r="GR43" s="394"/>
      <c r="GS43" s="394"/>
      <c r="GT43" s="394"/>
      <c r="GU43" s="394"/>
      <c r="GV43" s="394"/>
      <c r="GW43" s="394"/>
      <c r="GX43" s="394"/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</row>
    <row r="44" spans="2:230" x14ac:dyDescent="0.15">
      <c r="B44" s="89" t="s">
        <v>81</v>
      </c>
      <c r="C44" s="272">
        <v>2066716</v>
      </c>
      <c r="D44" s="455">
        <f t="shared" si="0"/>
        <v>661159</v>
      </c>
      <c r="E44" s="272">
        <v>23577</v>
      </c>
      <c r="F44" s="272">
        <v>637582</v>
      </c>
      <c r="G44" s="455">
        <f t="shared" si="1"/>
        <v>96582</v>
      </c>
      <c r="H44" s="272">
        <v>28977</v>
      </c>
      <c r="I44" s="272">
        <v>67605</v>
      </c>
      <c r="J44" s="272">
        <v>1197135</v>
      </c>
      <c r="K44" s="272">
        <v>448729</v>
      </c>
      <c r="L44" s="272">
        <v>419574</v>
      </c>
      <c r="M44" s="272">
        <v>323308</v>
      </c>
      <c r="N44" s="272">
        <v>83606</v>
      </c>
      <c r="O44" s="272">
        <v>0</v>
      </c>
      <c r="P44" s="272">
        <v>0</v>
      </c>
      <c r="Q44" s="272">
        <v>0</v>
      </c>
      <c r="R44" s="272">
        <v>193363</v>
      </c>
      <c r="S44" s="272">
        <v>131432</v>
      </c>
      <c r="T44" s="455">
        <f t="shared" si="2"/>
        <v>309113</v>
      </c>
      <c r="U44" s="272">
        <v>11650</v>
      </c>
      <c r="V44" s="272">
        <v>12062</v>
      </c>
      <c r="W44" s="272">
        <v>9406</v>
      </c>
      <c r="X44" s="272">
        <v>157199</v>
      </c>
      <c r="Y44" s="272">
        <v>56386</v>
      </c>
      <c r="Z44" s="272">
        <v>0</v>
      </c>
      <c r="AA44" s="272">
        <v>62410</v>
      </c>
      <c r="AB44" s="272">
        <v>48945</v>
      </c>
      <c r="AC44" s="272">
        <v>1678841</v>
      </c>
      <c r="AD44" s="272">
        <v>1453791</v>
      </c>
      <c r="AE44" s="272">
        <v>225050</v>
      </c>
      <c r="AF44" s="272">
        <v>5141</v>
      </c>
      <c r="AG44" s="272">
        <v>9529</v>
      </c>
      <c r="AH44" s="455">
        <f t="shared" si="3"/>
        <v>211731</v>
      </c>
      <c r="AI44" s="272">
        <v>197964</v>
      </c>
      <c r="AJ44" s="272">
        <v>13767</v>
      </c>
      <c r="AK44" s="272">
        <v>210793</v>
      </c>
      <c r="AL44" s="455">
        <f t="shared" si="4"/>
        <v>0</v>
      </c>
      <c r="AM44" s="272">
        <v>0</v>
      </c>
      <c r="AN44" s="272">
        <v>0</v>
      </c>
      <c r="AO44" s="272">
        <v>0</v>
      </c>
      <c r="AP44" s="272">
        <v>0</v>
      </c>
      <c r="AQ44" s="272">
        <v>55911</v>
      </c>
      <c r="AR44" s="272">
        <v>0</v>
      </c>
      <c r="AS44" s="272">
        <v>0</v>
      </c>
      <c r="AT44" s="272">
        <v>760056</v>
      </c>
      <c r="AU44" s="272">
        <v>90708</v>
      </c>
      <c r="AV44" s="272">
        <v>0</v>
      </c>
      <c r="AW44" s="272">
        <v>0</v>
      </c>
      <c r="AX44" s="272">
        <v>669348</v>
      </c>
      <c r="AY44" s="272">
        <v>422738</v>
      </c>
      <c r="AZ44" s="272">
        <v>4880</v>
      </c>
      <c r="BA44" s="272">
        <v>3910</v>
      </c>
      <c r="BB44" s="272">
        <v>650</v>
      </c>
      <c r="BC44" s="272">
        <v>148910</v>
      </c>
      <c r="BD44" s="272">
        <v>0</v>
      </c>
      <c r="BE44" s="272">
        <v>0</v>
      </c>
      <c r="BF44" s="272">
        <v>119000</v>
      </c>
      <c r="BG44" s="272">
        <v>0</v>
      </c>
      <c r="BH44" s="272">
        <v>18963</v>
      </c>
      <c r="BI44" s="272">
        <v>1376</v>
      </c>
      <c r="BJ44" s="272">
        <v>272091</v>
      </c>
      <c r="BK44" s="272">
        <v>13898</v>
      </c>
      <c r="BL44" s="272">
        <v>0</v>
      </c>
      <c r="BM44" s="272">
        <v>0</v>
      </c>
      <c r="BN44" s="272">
        <v>357500</v>
      </c>
      <c r="BO44" s="455">
        <f t="shared" si="5"/>
        <v>104700</v>
      </c>
      <c r="BP44" s="455">
        <f t="shared" si="6"/>
        <v>252800</v>
      </c>
      <c r="BQ44" s="272">
        <v>17500</v>
      </c>
      <c r="BR44" s="272"/>
      <c r="BS44" s="272">
        <v>235300</v>
      </c>
      <c r="BT44" s="272">
        <v>0</v>
      </c>
      <c r="BU44" s="272">
        <v>6297222</v>
      </c>
      <c r="BV44" s="272"/>
      <c r="BW44" s="272">
        <v>1395406</v>
      </c>
      <c r="BX44" s="272">
        <v>1032255</v>
      </c>
      <c r="BY44" s="272">
        <v>50725</v>
      </c>
      <c r="BZ44" s="272">
        <v>15648</v>
      </c>
      <c r="CA44" s="272">
        <v>431505</v>
      </c>
      <c r="CB44" s="272">
        <v>173691</v>
      </c>
      <c r="CC44" s="272">
        <v>50130</v>
      </c>
      <c r="CD44" s="272">
        <v>195399</v>
      </c>
      <c r="CE44" s="272">
        <v>0</v>
      </c>
      <c r="CF44" s="272">
        <v>0</v>
      </c>
      <c r="CG44" s="272">
        <v>12285</v>
      </c>
      <c r="CH44" s="272">
        <v>1129364</v>
      </c>
      <c r="CI44" s="272">
        <v>878946</v>
      </c>
      <c r="CJ44" s="455">
        <f t="shared" si="7"/>
        <v>250418</v>
      </c>
      <c r="CK44" s="272">
        <v>1032344</v>
      </c>
      <c r="CL44" s="272">
        <v>454605</v>
      </c>
      <c r="CM44" s="272">
        <v>198560</v>
      </c>
      <c r="CN44" s="272">
        <v>272242</v>
      </c>
      <c r="CO44" s="272">
        <v>54299</v>
      </c>
      <c r="CP44" s="272">
        <v>513431</v>
      </c>
      <c r="CQ44" s="272">
        <v>297429</v>
      </c>
      <c r="CR44" s="272">
        <v>110200</v>
      </c>
      <c r="CS44" s="272">
        <v>92799</v>
      </c>
      <c r="CT44" s="455">
        <f t="shared" si="8"/>
        <v>1382</v>
      </c>
      <c r="CU44" s="272">
        <v>1382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820023</v>
      </c>
      <c r="DD44" s="272">
        <v>208854</v>
      </c>
      <c r="DE44" s="272">
        <v>141207</v>
      </c>
      <c r="DF44" s="26">
        <v>49962</v>
      </c>
      <c r="DG44" s="27">
        <v>420000</v>
      </c>
      <c r="DH44" s="272">
        <v>483</v>
      </c>
      <c r="DI44" s="272">
        <v>8644</v>
      </c>
      <c r="DJ44" s="272">
        <v>8243</v>
      </c>
      <c r="DK44" s="272">
        <v>62</v>
      </c>
      <c r="DL44" s="272">
        <v>339</v>
      </c>
      <c r="DM44" s="272">
        <v>0</v>
      </c>
      <c r="DN44" s="272">
        <v>0</v>
      </c>
      <c r="DO44" s="272">
        <v>0</v>
      </c>
      <c r="DP44" s="272">
        <v>0</v>
      </c>
      <c r="DQ44" s="272">
        <v>0</v>
      </c>
      <c r="DR44" s="272">
        <v>0</v>
      </c>
      <c r="DS44" s="272">
        <v>0</v>
      </c>
      <c r="DT44" s="272">
        <v>873745</v>
      </c>
      <c r="DU44" s="272">
        <v>299404</v>
      </c>
      <c r="DV44" s="455">
        <f t="shared" si="11"/>
        <v>0</v>
      </c>
      <c r="DW44" s="272">
        <v>0</v>
      </c>
      <c r="DX44" s="272"/>
      <c r="DY44" s="272">
        <v>0</v>
      </c>
      <c r="DZ44" s="272">
        <v>154575</v>
      </c>
      <c r="EA44" s="272">
        <v>173881</v>
      </c>
      <c r="EB44" s="272">
        <v>232216</v>
      </c>
      <c r="EC44" s="272">
        <v>0</v>
      </c>
      <c r="ED44" s="272">
        <v>6259244</v>
      </c>
      <c r="EE44" s="89"/>
      <c r="EF44" s="272">
        <v>37978</v>
      </c>
      <c r="EG44" s="272">
        <v>21947</v>
      </c>
      <c r="EH44" s="272">
        <v>16031</v>
      </c>
      <c r="EI44" s="272">
        <v>14655</v>
      </c>
      <c r="EJ44" s="272">
        <v>22898</v>
      </c>
      <c r="EK44" s="89"/>
      <c r="EL44" s="272"/>
      <c r="EM44" s="272">
        <v>18802</v>
      </c>
      <c r="EN44" s="272">
        <v>0</v>
      </c>
      <c r="EO44" s="272">
        <v>4236</v>
      </c>
      <c r="EP44" s="455">
        <f t="shared" si="12"/>
        <v>126787</v>
      </c>
      <c r="EQ44" s="272">
        <v>4302119</v>
      </c>
      <c r="ER44" s="272">
        <v>-378682</v>
      </c>
      <c r="ES44" s="272">
        <v>1299175</v>
      </c>
      <c r="ET44" s="272">
        <v>950567</v>
      </c>
      <c r="EU44" s="272">
        <v>209989</v>
      </c>
      <c r="EV44" s="272">
        <v>1081262</v>
      </c>
      <c r="EW44" s="455">
        <f t="shared" si="13"/>
        <v>22197</v>
      </c>
      <c r="EX44" s="272">
        <v>21714</v>
      </c>
      <c r="EY44" s="272">
        <v>1790</v>
      </c>
      <c r="EZ44" s="272">
        <v>18782</v>
      </c>
      <c r="FA44" s="272">
        <v>483</v>
      </c>
      <c r="FB44" s="272"/>
      <c r="FC44" s="272">
        <v>789678</v>
      </c>
      <c r="FD44" s="272">
        <v>464920</v>
      </c>
      <c r="FE44" s="272">
        <v>297429</v>
      </c>
      <c r="FF44" s="272">
        <v>739457</v>
      </c>
      <c r="FG44" s="455">
        <f t="shared" si="14"/>
        <v>36145</v>
      </c>
      <c r="FH44" s="272">
        <v>4642823</v>
      </c>
      <c r="FI44" s="384">
        <f t="shared" si="15"/>
        <v>0.4</v>
      </c>
      <c r="FJ44" s="272">
        <v>4113958</v>
      </c>
      <c r="FK44" s="272">
        <v>235314</v>
      </c>
      <c r="FL44" s="272">
        <v>2046051</v>
      </c>
      <c r="FM44" s="272">
        <v>3499842</v>
      </c>
      <c r="FN44" s="460">
        <v>0.59199999999999997</v>
      </c>
      <c r="FO44" s="388">
        <v>97</v>
      </c>
      <c r="FP44" s="388">
        <v>28.7</v>
      </c>
      <c r="FQ44" s="388">
        <v>4.7</v>
      </c>
      <c r="FR44" s="388">
        <v>24.4</v>
      </c>
      <c r="FS44" s="388">
        <v>17.2</v>
      </c>
      <c r="FT44" s="388">
        <v>9.5</v>
      </c>
      <c r="FU44" s="388">
        <v>11.8</v>
      </c>
      <c r="FV44" s="388">
        <v>15</v>
      </c>
      <c r="FW44" s="272">
        <v>11225161</v>
      </c>
      <c r="FX44" s="388">
        <f t="shared" si="16"/>
        <v>272.89999999999998</v>
      </c>
      <c r="FY44" s="272">
        <v>429707</v>
      </c>
      <c r="FZ44" s="272">
        <v>157058</v>
      </c>
      <c r="GA44" s="272">
        <v>38027</v>
      </c>
      <c r="GB44" s="272">
        <v>234622</v>
      </c>
      <c r="GC44" s="272"/>
      <c r="GD44" s="272"/>
      <c r="GE44" s="384"/>
      <c r="GF44" s="388">
        <v>98.5</v>
      </c>
      <c r="GG44" s="388">
        <v>14.8</v>
      </c>
      <c r="GH44" s="388">
        <v>92.3</v>
      </c>
      <c r="GI44" s="272">
        <v>158</v>
      </c>
      <c r="GJ44" s="394"/>
      <c r="GK44" s="394"/>
      <c r="GL44" s="394"/>
      <c r="GM44" s="394"/>
      <c r="GN44" s="394"/>
      <c r="GO44" s="394"/>
      <c r="GP44" s="394"/>
      <c r="GQ44" s="394"/>
      <c r="GR44" s="394"/>
      <c r="GS44" s="394"/>
      <c r="GT44" s="394"/>
      <c r="GU44" s="394"/>
      <c r="GV44" s="394"/>
      <c r="GW44" s="394"/>
      <c r="GX44" s="394"/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</row>
    <row r="45" spans="2:230" x14ac:dyDescent="0.15">
      <c r="B45" s="89" t="s">
        <v>83</v>
      </c>
      <c r="C45" s="272">
        <v>1597241</v>
      </c>
      <c r="D45" s="455">
        <f t="shared" si="0"/>
        <v>647310</v>
      </c>
      <c r="E45" s="272">
        <v>17659</v>
      </c>
      <c r="F45" s="272">
        <v>629651</v>
      </c>
      <c r="G45" s="455">
        <f t="shared" si="1"/>
        <v>36646</v>
      </c>
      <c r="H45" s="272">
        <v>15357</v>
      </c>
      <c r="I45" s="272">
        <v>21289</v>
      </c>
      <c r="J45" s="272">
        <v>593250</v>
      </c>
      <c r="K45" s="272">
        <v>251909</v>
      </c>
      <c r="L45" s="272">
        <v>269217</v>
      </c>
      <c r="M45" s="272">
        <v>72095</v>
      </c>
      <c r="N45" s="272">
        <v>296440</v>
      </c>
      <c r="O45" s="272">
        <v>0</v>
      </c>
      <c r="P45" s="272">
        <v>0</v>
      </c>
      <c r="Q45" s="272">
        <v>0</v>
      </c>
      <c r="R45" s="272">
        <v>136572</v>
      </c>
      <c r="S45" s="272">
        <v>92102</v>
      </c>
      <c r="T45" s="455">
        <f t="shared" si="2"/>
        <v>208114</v>
      </c>
      <c r="U45" s="272">
        <v>10966</v>
      </c>
      <c r="V45" s="272">
        <v>11379</v>
      </c>
      <c r="W45" s="272">
        <v>9009</v>
      </c>
      <c r="X45" s="272">
        <v>109946</v>
      </c>
      <c r="Y45" s="272">
        <v>21993</v>
      </c>
      <c r="Z45" s="272">
        <v>0</v>
      </c>
      <c r="AA45" s="272">
        <v>44821</v>
      </c>
      <c r="AB45" s="272">
        <v>22503</v>
      </c>
      <c r="AC45" s="272">
        <v>1006543</v>
      </c>
      <c r="AD45" s="272">
        <v>823632</v>
      </c>
      <c r="AE45" s="272">
        <v>182911</v>
      </c>
      <c r="AF45" s="272">
        <v>2936</v>
      </c>
      <c r="AG45" s="272">
        <v>64244</v>
      </c>
      <c r="AH45" s="455">
        <f t="shared" si="3"/>
        <v>51915</v>
      </c>
      <c r="AI45" s="272">
        <v>32854</v>
      </c>
      <c r="AJ45" s="272">
        <v>19061</v>
      </c>
      <c r="AK45" s="272">
        <v>147567</v>
      </c>
      <c r="AL45" s="455">
        <f t="shared" si="4"/>
        <v>63236</v>
      </c>
      <c r="AM45" s="272">
        <v>0</v>
      </c>
      <c r="AN45" s="272">
        <v>63236</v>
      </c>
      <c r="AO45" s="272">
        <v>0</v>
      </c>
      <c r="AP45" s="272">
        <v>0</v>
      </c>
      <c r="AQ45" s="272">
        <v>0</v>
      </c>
      <c r="AR45" s="272">
        <v>0</v>
      </c>
      <c r="AS45" s="272">
        <v>0</v>
      </c>
      <c r="AT45" s="272">
        <v>268704</v>
      </c>
      <c r="AU45" s="272">
        <v>137264</v>
      </c>
      <c r="AV45" s="272">
        <v>30889</v>
      </c>
      <c r="AW45" s="272">
        <v>0</v>
      </c>
      <c r="AX45" s="272">
        <v>131440</v>
      </c>
      <c r="AY45" s="272">
        <v>21993</v>
      </c>
      <c r="AZ45" s="272">
        <v>5059</v>
      </c>
      <c r="BA45" s="272">
        <v>2603</v>
      </c>
      <c r="BB45" s="272">
        <v>1005</v>
      </c>
      <c r="BC45" s="272">
        <v>58251</v>
      </c>
      <c r="BD45" s="272">
        <v>40000</v>
      </c>
      <c r="BE45" s="272">
        <v>0</v>
      </c>
      <c r="BF45" s="272">
        <v>15355</v>
      </c>
      <c r="BG45" s="272">
        <v>0</v>
      </c>
      <c r="BH45" s="272">
        <v>23375</v>
      </c>
      <c r="BI45" s="272">
        <v>23375</v>
      </c>
      <c r="BJ45" s="272">
        <v>107173</v>
      </c>
      <c r="BK45" s="272">
        <v>43000</v>
      </c>
      <c r="BL45" s="272">
        <v>0</v>
      </c>
      <c r="BM45" s="272">
        <v>0</v>
      </c>
      <c r="BN45" s="272">
        <v>281400</v>
      </c>
      <c r="BO45" s="455">
        <f t="shared" si="5"/>
        <v>53100</v>
      </c>
      <c r="BP45" s="455">
        <f t="shared" si="6"/>
        <v>228300</v>
      </c>
      <c r="BQ45" s="272">
        <v>14300</v>
      </c>
      <c r="BR45" s="272"/>
      <c r="BS45" s="272">
        <v>214000</v>
      </c>
      <c r="BT45" s="272">
        <v>0</v>
      </c>
      <c r="BU45" s="272">
        <v>3982602</v>
      </c>
      <c r="BV45" s="272"/>
      <c r="BW45" s="272">
        <v>967050</v>
      </c>
      <c r="BX45" s="272">
        <v>692044</v>
      </c>
      <c r="BY45" s="272">
        <v>25825</v>
      </c>
      <c r="BZ45" s="272">
        <v>12070</v>
      </c>
      <c r="CA45" s="272">
        <v>441174</v>
      </c>
      <c r="CB45" s="272">
        <v>77081</v>
      </c>
      <c r="CC45" s="272">
        <v>21569</v>
      </c>
      <c r="CD45" s="272">
        <v>323334</v>
      </c>
      <c r="CE45" s="272">
        <v>0</v>
      </c>
      <c r="CF45" s="272">
        <v>0</v>
      </c>
      <c r="CG45" s="272">
        <v>19190</v>
      </c>
      <c r="CH45" s="272">
        <v>649473</v>
      </c>
      <c r="CI45" s="272">
        <v>521201</v>
      </c>
      <c r="CJ45" s="455">
        <f t="shared" si="7"/>
        <v>128272</v>
      </c>
      <c r="CK45" s="272">
        <v>565123</v>
      </c>
      <c r="CL45" s="272">
        <v>300038</v>
      </c>
      <c r="CM45" s="272">
        <v>92283</v>
      </c>
      <c r="CN45" s="272">
        <v>103844</v>
      </c>
      <c r="CO45" s="272">
        <v>17901</v>
      </c>
      <c r="CP45" s="272">
        <v>512631</v>
      </c>
      <c r="CQ45" s="272">
        <v>127776</v>
      </c>
      <c r="CR45" s="272">
        <v>124847</v>
      </c>
      <c r="CS45" s="272">
        <v>89779</v>
      </c>
      <c r="CT45" s="455">
        <f t="shared" si="8"/>
        <v>4860</v>
      </c>
      <c r="CU45" s="272">
        <v>1778</v>
      </c>
      <c r="CV45" s="272">
        <v>3082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153547</v>
      </c>
      <c r="DD45" s="272">
        <v>0</v>
      </c>
      <c r="DE45" s="272">
        <v>153547</v>
      </c>
      <c r="DF45" s="26">
        <v>0</v>
      </c>
      <c r="DG45" s="27">
        <v>0</v>
      </c>
      <c r="DH45" s="272">
        <v>0</v>
      </c>
      <c r="DI45" s="272">
        <v>14486</v>
      </c>
      <c r="DJ45" s="272">
        <v>13550</v>
      </c>
      <c r="DK45" s="272">
        <v>7</v>
      </c>
      <c r="DL45" s="272">
        <v>929</v>
      </c>
      <c r="DM45" s="272">
        <v>0</v>
      </c>
      <c r="DN45" s="272">
        <v>0</v>
      </c>
      <c r="DO45" s="272">
        <v>0</v>
      </c>
      <c r="DP45" s="272">
        <v>0</v>
      </c>
      <c r="DQ45" s="272">
        <v>43000</v>
      </c>
      <c r="DR45" s="272">
        <v>0</v>
      </c>
      <c r="DS45" s="272">
        <v>0</v>
      </c>
      <c r="DT45" s="272">
        <v>584613</v>
      </c>
      <c r="DU45" s="272">
        <v>272601</v>
      </c>
      <c r="DV45" s="455">
        <f t="shared" si="11"/>
        <v>0</v>
      </c>
      <c r="DW45" s="272">
        <v>0</v>
      </c>
      <c r="DX45" s="272"/>
      <c r="DY45" s="272">
        <v>0</v>
      </c>
      <c r="DZ45" s="272">
        <v>100076</v>
      </c>
      <c r="EA45" s="272">
        <v>70925</v>
      </c>
      <c r="EB45" s="272">
        <v>126798</v>
      </c>
      <c r="EC45" s="272">
        <v>0</v>
      </c>
      <c r="ED45" s="272">
        <v>3948998</v>
      </c>
      <c r="EE45" s="89"/>
      <c r="EF45" s="272">
        <v>33604</v>
      </c>
      <c r="EG45" s="272">
        <v>0</v>
      </c>
      <c r="EH45" s="272">
        <v>33604</v>
      </c>
      <c r="EI45" s="272">
        <v>10229</v>
      </c>
      <c r="EJ45" s="272">
        <v>-16221</v>
      </c>
      <c r="EK45" s="89"/>
      <c r="EL45" s="272"/>
      <c r="EM45" s="272">
        <v>14512</v>
      </c>
      <c r="EN45" s="272">
        <v>42896</v>
      </c>
      <c r="EO45" s="272">
        <v>3073</v>
      </c>
      <c r="EP45" s="455">
        <f t="shared" si="12"/>
        <v>104612</v>
      </c>
      <c r="EQ45" s="272">
        <v>2973909</v>
      </c>
      <c r="ER45" s="272">
        <v>-375945</v>
      </c>
      <c r="ES45" s="272">
        <v>925890</v>
      </c>
      <c r="ET45" s="272">
        <v>651822</v>
      </c>
      <c r="EU45" s="272">
        <v>145981</v>
      </c>
      <c r="EV45" s="272">
        <v>649473</v>
      </c>
      <c r="EW45" s="455">
        <f t="shared" si="13"/>
        <v>57831</v>
      </c>
      <c r="EX45" s="272">
        <v>57831</v>
      </c>
      <c r="EY45" s="272">
        <v>0</v>
      </c>
      <c r="EZ45" s="272">
        <v>57831</v>
      </c>
      <c r="FA45" s="272">
        <v>0</v>
      </c>
      <c r="FB45" s="272"/>
      <c r="FC45" s="272">
        <v>459407</v>
      </c>
      <c r="FD45" s="272">
        <v>464792</v>
      </c>
      <c r="FE45" s="272">
        <v>127776</v>
      </c>
      <c r="FF45" s="272">
        <v>540030</v>
      </c>
      <c r="FG45" s="455">
        <f t="shared" si="14"/>
        <v>72846</v>
      </c>
      <c r="FH45" s="272">
        <v>3316250</v>
      </c>
      <c r="FI45" s="384">
        <f t="shared" si="15"/>
        <v>1.2</v>
      </c>
      <c r="FJ45" s="272">
        <v>2864527</v>
      </c>
      <c r="FK45" s="272">
        <v>214056</v>
      </c>
      <c r="FL45" s="272">
        <v>1566961</v>
      </c>
      <c r="FM45" s="272">
        <v>2390593</v>
      </c>
      <c r="FN45" s="460">
        <v>0.63300000000000001</v>
      </c>
      <c r="FO45" s="388">
        <v>95</v>
      </c>
      <c r="FP45" s="388">
        <v>29.7</v>
      </c>
      <c r="FQ45" s="388">
        <v>4.8</v>
      </c>
      <c r="FR45" s="388">
        <v>21.5</v>
      </c>
      <c r="FS45" s="388">
        <v>14.3</v>
      </c>
      <c r="FT45" s="388">
        <v>13.9</v>
      </c>
      <c r="FU45" s="388">
        <v>10.1</v>
      </c>
      <c r="FV45" s="388">
        <v>18.7</v>
      </c>
      <c r="FW45" s="272">
        <v>5402334</v>
      </c>
      <c r="FX45" s="388">
        <f t="shared" si="16"/>
        <v>188.6</v>
      </c>
      <c r="FY45" s="272">
        <v>675801</v>
      </c>
      <c r="FZ45" s="272">
        <v>474866</v>
      </c>
      <c r="GA45" s="272">
        <v>7684</v>
      </c>
      <c r="GB45" s="272">
        <v>193251</v>
      </c>
      <c r="GC45" s="272"/>
      <c r="GD45" s="272">
        <v>501403</v>
      </c>
      <c r="GE45" s="384">
        <f>ROUND(GD45/FJ45*100,1)</f>
        <v>17.5</v>
      </c>
      <c r="GF45" s="388">
        <v>98.1</v>
      </c>
      <c r="GG45" s="388">
        <v>18.8</v>
      </c>
      <c r="GH45" s="388">
        <v>92.9</v>
      </c>
      <c r="GI45" s="272">
        <v>103</v>
      </c>
      <c r="GJ45" s="394"/>
      <c r="GK45" s="394"/>
      <c r="GL45" s="394"/>
      <c r="GM45" s="394"/>
      <c r="GN45" s="394"/>
      <c r="GO45" s="394"/>
      <c r="GP45" s="394"/>
      <c r="GQ45" s="394"/>
      <c r="GR45" s="394"/>
      <c r="GS45" s="394"/>
      <c r="GT45" s="394"/>
      <c r="GU45" s="394"/>
      <c r="GV45" s="394"/>
      <c r="GW45" s="394"/>
      <c r="GX45" s="394"/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</row>
    <row r="46" spans="2:230" x14ac:dyDescent="0.15">
      <c r="B46" s="89" t="s">
        <v>85</v>
      </c>
      <c r="C46" s="272">
        <v>1675920</v>
      </c>
      <c r="D46" s="455">
        <f t="shared" si="0"/>
        <v>758109</v>
      </c>
      <c r="E46" s="272">
        <v>20749</v>
      </c>
      <c r="F46" s="272">
        <v>737360</v>
      </c>
      <c r="G46" s="455">
        <f t="shared" si="1"/>
        <v>90202</v>
      </c>
      <c r="H46" s="272">
        <v>20840</v>
      </c>
      <c r="I46" s="272">
        <v>69362</v>
      </c>
      <c r="J46" s="272">
        <v>702302</v>
      </c>
      <c r="K46" s="272">
        <v>281144</v>
      </c>
      <c r="L46" s="272">
        <v>332318</v>
      </c>
      <c r="M46" s="272">
        <v>87971</v>
      </c>
      <c r="N46" s="272">
        <v>94993</v>
      </c>
      <c r="O46" s="272">
        <v>0</v>
      </c>
      <c r="P46" s="272">
        <v>0</v>
      </c>
      <c r="Q46" s="272">
        <v>0</v>
      </c>
      <c r="R46" s="272">
        <v>170777</v>
      </c>
      <c r="S46" s="272">
        <v>108630</v>
      </c>
      <c r="T46" s="455">
        <f t="shared" si="2"/>
        <v>290942</v>
      </c>
      <c r="U46" s="272">
        <v>12347</v>
      </c>
      <c r="V46" s="272">
        <v>12801</v>
      </c>
      <c r="W46" s="272">
        <v>10073</v>
      </c>
      <c r="X46" s="272">
        <v>144579</v>
      </c>
      <c r="Y46" s="272">
        <v>48521</v>
      </c>
      <c r="Z46" s="272">
        <v>0</v>
      </c>
      <c r="AA46" s="272">
        <v>62621</v>
      </c>
      <c r="AB46" s="272">
        <v>53807</v>
      </c>
      <c r="AC46" s="272">
        <v>1330326</v>
      </c>
      <c r="AD46" s="272">
        <v>1149897</v>
      </c>
      <c r="AE46" s="272">
        <v>180429</v>
      </c>
      <c r="AF46" s="272">
        <v>3286</v>
      </c>
      <c r="AG46" s="272">
        <v>13879</v>
      </c>
      <c r="AH46" s="455">
        <f t="shared" si="3"/>
        <v>119135</v>
      </c>
      <c r="AI46" s="272">
        <v>67084</v>
      </c>
      <c r="AJ46" s="272">
        <v>52051</v>
      </c>
      <c r="AK46" s="272">
        <v>124955</v>
      </c>
      <c r="AL46" s="455">
        <f t="shared" si="4"/>
        <v>4239</v>
      </c>
      <c r="AM46" s="272">
        <v>0</v>
      </c>
      <c r="AN46" s="272">
        <v>4239</v>
      </c>
      <c r="AO46" s="272">
        <v>0</v>
      </c>
      <c r="AP46" s="272">
        <v>0</v>
      </c>
      <c r="AQ46" s="272">
        <v>1138</v>
      </c>
      <c r="AR46" s="272">
        <v>0</v>
      </c>
      <c r="AS46" s="272">
        <v>0</v>
      </c>
      <c r="AT46" s="272">
        <v>246184</v>
      </c>
      <c r="AU46" s="272">
        <v>70242</v>
      </c>
      <c r="AV46" s="272">
        <v>2120</v>
      </c>
      <c r="AW46" s="272">
        <v>2624</v>
      </c>
      <c r="AX46" s="272">
        <v>175942</v>
      </c>
      <c r="AY46" s="272">
        <v>16228</v>
      </c>
      <c r="AZ46" s="272">
        <v>11249</v>
      </c>
      <c r="BA46" s="272">
        <v>3425</v>
      </c>
      <c r="BB46" s="272">
        <v>1050</v>
      </c>
      <c r="BC46" s="272">
        <v>1940</v>
      </c>
      <c r="BD46" s="272">
        <v>0</v>
      </c>
      <c r="BE46" s="272">
        <v>0</v>
      </c>
      <c r="BF46" s="272">
        <v>1940</v>
      </c>
      <c r="BG46" s="272">
        <v>0</v>
      </c>
      <c r="BH46" s="272">
        <v>55129</v>
      </c>
      <c r="BI46" s="272">
        <v>55129</v>
      </c>
      <c r="BJ46" s="272">
        <v>42842</v>
      </c>
      <c r="BK46" s="272">
        <v>0</v>
      </c>
      <c r="BL46" s="272">
        <v>0</v>
      </c>
      <c r="BM46" s="272">
        <v>0</v>
      </c>
      <c r="BN46" s="272">
        <v>328700</v>
      </c>
      <c r="BO46" s="455">
        <f t="shared" si="5"/>
        <v>75200</v>
      </c>
      <c r="BP46" s="455">
        <f t="shared" si="6"/>
        <v>253500</v>
      </c>
      <c r="BQ46" s="272">
        <v>19500</v>
      </c>
      <c r="BR46" s="272"/>
      <c r="BS46" s="272">
        <v>234000</v>
      </c>
      <c r="BT46" s="272">
        <v>0</v>
      </c>
      <c r="BU46" s="272">
        <v>4470121</v>
      </c>
      <c r="BV46" s="272"/>
      <c r="BW46" s="272">
        <v>1492798</v>
      </c>
      <c r="BX46" s="272">
        <v>1017485</v>
      </c>
      <c r="BY46" s="272">
        <v>97832</v>
      </c>
      <c r="BZ46" s="272">
        <v>72203</v>
      </c>
      <c r="CA46" s="272">
        <v>301555</v>
      </c>
      <c r="CB46" s="272">
        <v>102818</v>
      </c>
      <c r="CC46" s="272">
        <v>32209</v>
      </c>
      <c r="CD46" s="272">
        <v>159592</v>
      </c>
      <c r="CE46" s="272">
        <v>0</v>
      </c>
      <c r="CF46" s="272">
        <v>0</v>
      </c>
      <c r="CG46" s="272">
        <v>6936</v>
      </c>
      <c r="CH46" s="272">
        <v>694764</v>
      </c>
      <c r="CI46" s="272">
        <v>558152</v>
      </c>
      <c r="CJ46" s="455">
        <f t="shared" si="7"/>
        <v>136612</v>
      </c>
      <c r="CK46" s="272">
        <v>741499</v>
      </c>
      <c r="CL46" s="272">
        <v>420678</v>
      </c>
      <c r="CM46" s="272">
        <v>65418</v>
      </c>
      <c r="CN46" s="272">
        <v>143324</v>
      </c>
      <c r="CO46" s="272">
        <v>14211</v>
      </c>
      <c r="CP46" s="272">
        <v>347937</v>
      </c>
      <c r="CQ46" s="272">
        <v>154571</v>
      </c>
      <c r="CR46" s="272">
        <v>98061</v>
      </c>
      <c r="CS46" s="272">
        <v>92657</v>
      </c>
      <c r="CT46" s="455">
        <f t="shared" si="8"/>
        <v>15637</v>
      </c>
      <c r="CU46" s="272">
        <v>7956</v>
      </c>
      <c r="CV46" s="272">
        <v>7681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221431</v>
      </c>
      <c r="DD46" s="272">
        <v>7454</v>
      </c>
      <c r="DE46" s="272">
        <v>182381</v>
      </c>
      <c r="DF46" s="26">
        <v>31596</v>
      </c>
      <c r="DG46" s="27">
        <v>0</v>
      </c>
      <c r="DH46" s="272">
        <v>2396</v>
      </c>
      <c r="DI46" s="272">
        <v>6261</v>
      </c>
      <c r="DJ46" s="272">
        <v>2890</v>
      </c>
      <c r="DK46" s="272">
        <v>246</v>
      </c>
      <c r="DL46" s="272">
        <v>3125</v>
      </c>
      <c r="DM46" s="272">
        <v>0</v>
      </c>
      <c r="DN46" s="272">
        <v>0</v>
      </c>
      <c r="DO46" s="272">
        <v>0</v>
      </c>
      <c r="DP46" s="272">
        <v>0</v>
      </c>
      <c r="DQ46" s="272">
        <v>0</v>
      </c>
      <c r="DR46" s="272">
        <v>0</v>
      </c>
      <c r="DS46" s="272">
        <v>0</v>
      </c>
      <c r="DT46" s="272">
        <v>538720</v>
      </c>
      <c r="DU46" s="272">
        <v>154733</v>
      </c>
      <c r="DV46" s="455">
        <f t="shared" si="11"/>
        <v>0</v>
      </c>
      <c r="DW46" s="272">
        <v>0</v>
      </c>
      <c r="DX46" s="272"/>
      <c r="DY46" s="272">
        <v>0</v>
      </c>
      <c r="DZ46" s="272">
        <v>125362</v>
      </c>
      <c r="EA46" s="272">
        <v>103324</v>
      </c>
      <c r="EB46" s="272">
        <v>151231</v>
      </c>
      <c r="EC46" s="272">
        <v>0</v>
      </c>
      <c r="ED46" s="272">
        <v>4361572</v>
      </c>
      <c r="EE46" s="89"/>
      <c r="EF46" s="272">
        <v>108549</v>
      </c>
      <c r="EG46" s="272">
        <v>0</v>
      </c>
      <c r="EH46" s="272">
        <v>108549</v>
      </c>
      <c r="EI46" s="272">
        <v>-3580</v>
      </c>
      <c r="EJ46" s="272">
        <v>-690</v>
      </c>
      <c r="EK46" s="89"/>
      <c r="EL46" s="272"/>
      <c r="EM46" s="272">
        <v>16686</v>
      </c>
      <c r="EN46" s="272">
        <v>1625</v>
      </c>
      <c r="EO46" s="272">
        <v>3425</v>
      </c>
      <c r="EP46" s="455">
        <f t="shared" si="12"/>
        <v>119949</v>
      </c>
      <c r="EQ46" s="272">
        <v>3525058</v>
      </c>
      <c r="ER46" s="272">
        <v>-375213</v>
      </c>
      <c r="ES46" s="272">
        <v>1427276</v>
      </c>
      <c r="ET46" s="272">
        <v>959820</v>
      </c>
      <c r="EU46" s="272">
        <v>142228</v>
      </c>
      <c r="EV46" s="272">
        <v>694764</v>
      </c>
      <c r="EW46" s="455">
        <f t="shared" si="13"/>
        <v>119955</v>
      </c>
      <c r="EX46" s="272">
        <v>119565</v>
      </c>
      <c r="EY46" s="272">
        <v>2554</v>
      </c>
      <c r="EZ46" s="272">
        <v>107516</v>
      </c>
      <c r="FA46" s="272">
        <v>390</v>
      </c>
      <c r="FB46" s="272"/>
      <c r="FC46" s="272">
        <v>582908</v>
      </c>
      <c r="FD46" s="272">
        <v>322819</v>
      </c>
      <c r="FE46" s="272">
        <v>154571</v>
      </c>
      <c r="FF46" s="272">
        <v>487441</v>
      </c>
      <c r="FG46" s="455">
        <f t="shared" si="14"/>
        <v>14331</v>
      </c>
      <c r="FH46" s="272">
        <v>3791722</v>
      </c>
      <c r="FI46" s="384">
        <f t="shared" si="15"/>
        <v>3.2</v>
      </c>
      <c r="FJ46" s="272">
        <v>3346647</v>
      </c>
      <c r="FK46" s="272">
        <v>234613</v>
      </c>
      <c r="FL46" s="272">
        <v>1692570</v>
      </c>
      <c r="FM46" s="272">
        <v>2842467</v>
      </c>
      <c r="FN46" s="460">
        <v>0.55500000000000005</v>
      </c>
      <c r="FO46" s="388">
        <v>93</v>
      </c>
      <c r="FP46" s="388">
        <v>37.799999999999997</v>
      </c>
      <c r="FQ46" s="388">
        <v>3.9</v>
      </c>
      <c r="FR46" s="388">
        <v>19.100000000000001</v>
      </c>
      <c r="FS46" s="388">
        <v>14.4</v>
      </c>
      <c r="FT46" s="388">
        <v>8</v>
      </c>
      <c r="FU46" s="388">
        <v>9.3000000000000007</v>
      </c>
      <c r="FV46" s="388">
        <v>14.3</v>
      </c>
      <c r="FW46" s="272">
        <v>7376241</v>
      </c>
      <c r="FX46" s="388">
        <f t="shared" si="16"/>
        <v>220.4</v>
      </c>
      <c r="FY46" s="272">
        <v>2627021</v>
      </c>
      <c r="FZ46" s="272">
        <v>1424191</v>
      </c>
      <c r="GA46" s="272">
        <v>143229</v>
      </c>
      <c r="GB46" s="272">
        <v>1059601</v>
      </c>
      <c r="GC46" s="272"/>
      <c r="GD46" s="272"/>
      <c r="GE46" s="384"/>
      <c r="GF46" s="388">
        <v>97.5</v>
      </c>
      <c r="GG46" s="388">
        <v>39.1</v>
      </c>
      <c r="GH46" s="388">
        <v>91.3</v>
      </c>
      <c r="GI46" s="272">
        <v>146</v>
      </c>
      <c r="GJ46" s="394"/>
      <c r="GK46" s="394"/>
      <c r="GL46" s="394"/>
      <c r="GM46" s="394"/>
      <c r="GN46" s="394"/>
      <c r="GO46" s="394"/>
      <c r="GP46" s="394"/>
      <c r="GQ46" s="394"/>
      <c r="GR46" s="394"/>
      <c r="GS46" s="394"/>
      <c r="GT46" s="394"/>
      <c r="GU46" s="394"/>
      <c r="GV46" s="394"/>
      <c r="GW46" s="394"/>
      <c r="GX46" s="394"/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</row>
    <row r="47" spans="2:230" x14ac:dyDescent="0.15">
      <c r="B47" s="89" t="s">
        <v>87</v>
      </c>
      <c r="C47" s="272">
        <v>620780</v>
      </c>
      <c r="D47" s="455">
        <f t="shared" si="0"/>
        <v>276417</v>
      </c>
      <c r="E47" s="272">
        <v>8105</v>
      </c>
      <c r="F47" s="272">
        <v>268312</v>
      </c>
      <c r="G47" s="455">
        <f t="shared" si="1"/>
        <v>28419</v>
      </c>
      <c r="H47" s="272">
        <v>11560</v>
      </c>
      <c r="I47" s="272">
        <v>16859</v>
      </c>
      <c r="J47" s="272">
        <v>291051</v>
      </c>
      <c r="K47" s="272">
        <v>98985</v>
      </c>
      <c r="L47" s="272">
        <v>136691</v>
      </c>
      <c r="M47" s="272">
        <v>55351</v>
      </c>
      <c r="N47" s="272">
        <v>11798</v>
      </c>
      <c r="O47" s="272">
        <v>0</v>
      </c>
      <c r="P47" s="272">
        <v>0</v>
      </c>
      <c r="Q47" s="272">
        <v>0</v>
      </c>
      <c r="R47" s="272">
        <v>73156</v>
      </c>
      <c r="S47" s="272">
        <v>46693</v>
      </c>
      <c r="T47" s="455">
        <f t="shared" si="2"/>
        <v>121771</v>
      </c>
      <c r="U47" s="272">
        <v>4970</v>
      </c>
      <c r="V47" s="272">
        <v>5148</v>
      </c>
      <c r="W47" s="272">
        <v>4027</v>
      </c>
      <c r="X47" s="272">
        <v>56672</v>
      </c>
      <c r="Y47" s="272">
        <v>24289</v>
      </c>
      <c r="Z47" s="272">
        <v>0</v>
      </c>
      <c r="AA47" s="272">
        <v>26665</v>
      </c>
      <c r="AB47" s="272">
        <v>18476</v>
      </c>
      <c r="AC47" s="272">
        <v>974609</v>
      </c>
      <c r="AD47" s="272">
        <v>794352</v>
      </c>
      <c r="AE47" s="272">
        <v>180257</v>
      </c>
      <c r="AF47" s="272">
        <v>1306</v>
      </c>
      <c r="AG47" s="272">
        <v>18421</v>
      </c>
      <c r="AH47" s="455">
        <f t="shared" si="3"/>
        <v>27783</v>
      </c>
      <c r="AI47" s="272">
        <v>18014</v>
      </c>
      <c r="AJ47" s="272">
        <v>9769</v>
      </c>
      <c r="AK47" s="272">
        <v>57222</v>
      </c>
      <c r="AL47" s="455">
        <f t="shared" si="4"/>
        <v>20355</v>
      </c>
      <c r="AM47" s="272">
        <v>0</v>
      </c>
      <c r="AN47" s="272">
        <v>20355</v>
      </c>
      <c r="AO47" s="272">
        <v>0</v>
      </c>
      <c r="AP47" s="272">
        <v>0</v>
      </c>
      <c r="AQ47" s="272">
        <v>2474</v>
      </c>
      <c r="AR47" s="272">
        <v>0</v>
      </c>
      <c r="AS47" s="272">
        <v>0</v>
      </c>
      <c r="AT47" s="272">
        <v>134207</v>
      </c>
      <c r="AU47" s="272">
        <v>34622</v>
      </c>
      <c r="AV47" s="272">
        <v>8362</v>
      </c>
      <c r="AW47" s="272">
        <v>0</v>
      </c>
      <c r="AX47" s="272">
        <v>99585</v>
      </c>
      <c r="AY47" s="272">
        <v>2812</v>
      </c>
      <c r="AZ47" s="272">
        <v>1300</v>
      </c>
      <c r="BA47" s="272">
        <v>21</v>
      </c>
      <c r="BB47" s="272">
        <v>130</v>
      </c>
      <c r="BC47" s="272">
        <v>110586</v>
      </c>
      <c r="BD47" s="272">
        <v>4586</v>
      </c>
      <c r="BE47" s="272">
        <v>11000</v>
      </c>
      <c r="BF47" s="272">
        <v>95000</v>
      </c>
      <c r="BG47" s="272">
        <v>0</v>
      </c>
      <c r="BH47" s="272">
        <v>20089</v>
      </c>
      <c r="BI47" s="272">
        <v>19876</v>
      </c>
      <c r="BJ47" s="272">
        <v>36375</v>
      </c>
      <c r="BK47" s="272">
        <v>0</v>
      </c>
      <c r="BL47" s="272">
        <v>0</v>
      </c>
      <c r="BM47" s="272">
        <v>0</v>
      </c>
      <c r="BN47" s="272">
        <v>193600</v>
      </c>
      <c r="BO47" s="455">
        <f t="shared" si="5"/>
        <v>48100</v>
      </c>
      <c r="BP47" s="455">
        <f t="shared" si="6"/>
        <v>145500</v>
      </c>
      <c r="BQ47" s="272">
        <v>6100</v>
      </c>
      <c r="BR47" s="272"/>
      <c r="BS47" s="272">
        <v>139400</v>
      </c>
      <c r="BT47" s="272">
        <v>0</v>
      </c>
      <c r="BU47" s="272">
        <v>2409811</v>
      </c>
      <c r="BV47" s="272"/>
      <c r="BW47" s="272">
        <v>791757</v>
      </c>
      <c r="BX47" s="272">
        <v>530741</v>
      </c>
      <c r="BY47" s="272">
        <v>55590</v>
      </c>
      <c r="BZ47" s="272">
        <v>16836</v>
      </c>
      <c r="CA47" s="272">
        <v>143818</v>
      </c>
      <c r="CB47" s="272">
        <v>41562</v>
      </c>
      <c r="CC47" s="272">
        <v>12620</v>
      </c>
      <c r="CD47" s="272">
        <v>86550</v>
      </c>
      <c r="CE47" s="272">
        <v>0</v>
      </c>
      <c r="CF47" s="272">
        <v>0</v>
      </c>
      <c r="CG47" s="272">
        <v>2986</v>
      </c>
      <c r="CH47" s="272">
        <v>317549</v>
      </c>
      <c r="CI47" s="272">
        <v>257834</v>
      </c>
      <c r="CJ47" s="455">
        <f t="shared" si="7"/>
        <v>59715</v>
      </c>
      <c r="CK47" s="272">
        <v>458801</v>
      </c>
      <c r="CL47" s="272">
        <v>306057</v>
      </c>
      <c r="CM47" s="272">
        <v>19080</v>
      </c>
      <c r="CN47" s="272">
        <v>68694</v>
      </c>
      <c r="CO47" s="272">
        <v>8236</v>
      </c>
      <c r="CP47" s="272">
        <v>197410</v>
      </c>
      <c r="CQ47" s="272">
        <v>79038</v>
      </c>
      <c r="CR47" s="272">
        <v>9949</v>
      </c>
      <c r="CS47" s="272">
        <v>4949</v>
      </c>
      <c r="CT47" s="455">
        <f t="shared" si="8"/>
        <v>4093</v>
      </c>
      <c r="CU47" s="272">
        <v>3515</v>
      </c>
      <c r="CV47" s="272">
        <v>578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59362</v>
      </c>
      <c r="DD47" s="272">
        <v>7423</v>
      </c>
      <c r="DE47" s="272">
        <v>47186</v>
      </c>
      <c r="DF47" s="26">
        <v>4753</v>
      </c>
      <c r="DG47" s="27">
        <v>0</v>
      </c>
      <c r="DH47" s="272">
        <v>4831</v>
      </c>
      <c r="DI47" s="272">
        <v>16406</v>
      </c>
      <c r="DJ47" s="272">
        <v>14018</v>
      </c>
      <c r="DK47" s="272">
        <v>58</v>
      </c>
      <c r="DL47" s="272">
        <v>2330</v>
      </c>
      <c r="DM47" s="272">
        <v>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347048</v>
      </c>
      <c r="DU47" s="272">
        <v>87692</v>
      </c>
      <c r="DV47" s="455">
        <f t="shared" si="11"/>
        <v>0</v>
      </c>
      <c r="DW47" s="272">
        <v>0</v>
      </c>
      <c r="DX47" s="272"/>
      <c r="DY47" s="272">
        <v>0</v>
      </c>
      <c r="DZ47" s="272">
        <v>75809</v>
      </c>
      <c r="EA47" s="272">
        <v>62351</v>
      </c>
      <c r="EB47" s="272">
        <v>90938</v>
      </c>
      <c r="EC47" s="272">
        <v>0</v>
      </c>
      <c r="ED47" s="272">
        <v>2345218</v>
      </c>
      <c r="EE47" s="89"/>
      <c r="EF47" s="272">
        <v>64593</v>
      </c>
      <c r="EG47" s="272">
        <v>788</v>
      </c>
      <c r="EH47" s="272">
        <v>63805</v>
      </c>
      <c r="EI47" s="272">
        <v>43929</v>
      </c>
      <c r="EJ47" s="272">
        <v>53361</v>
      </c>
      <c r="EK47" s="89"/>
      <c r="EL47" s="272"/>
      <c r="EM47" s="272">
        <v>6592</v>
      </c>
      <c r="EN47" s="272">
        <v>70586</v>
      </c>
      <c r="EO47" s="272">
        <v>475</v>
      </c>
      <c r="EP47" s="455">
        <f t="shared" si="12"/>
        <v>30086</v>
      </c>
      <c r="EQ47" s="272">
        <v>1810098</v>
      </c>
      <c r="ER47" s="272">
        <v>-245341</v>
      </c>
      <c r="ES47" s="272">
        <v>761055</v>
      </c>
      <c r="ET47" s="272">
        <v>506048</v>
      </c>
      <c r="EU47" s="272">
        <v>44170</v>
      </c>
      <c r="EV47" s="272">
        <v>317549</v>
      </c>
      <c r="EW47" s="455">
        <f t="shared" si="13"/>
        <v>6269</v>
      </c>
      <c r="EX47" s="272">
        <v>5763</v>
      </c>
      <c r="EY47" s="272">
        <v>1070</v>
      </c>
      <c r="EZ47" s="272">
        <v>3820</v>
      </c>
      <c r="FA47" s="272">
        <v>506</v>
      </c>
      <c r="FB47" s="272"/>
      <c r="FC47" s="272">
        <v>385286</v>
      </c>
      <c r="FD47" s="272">
        <v>169297</v>
      </c>
      <c r="FE47" s="272">
        <v>79038</v>
      </c>
      <c r="FF47" s="272">
        <v>284485</v>
      </c>
      <c r="FG47" s="455">
        <f t="shared" si="14"/>
        <v>22735</v>
      </c>
      <c r="FH47" s="272">
        <v>1990846</v>
      </c>
      <c r="FI47" s="384">
        <f t="shared" si="15"/>
        <v>3.9</v>
      </c>
      <c r="FJ47" s="272">
        <v>1638580</v>
      </c>
      <c r="FK47" s="272">
        <v>139407</v>
      </c>
      <c r="FL47" s="272">
        <v>652155</v>
      </c>
      <c r="FM47" s="272">
        <v>1446507</v>
      </c>
      <c r="FN47" s="460">
        <v>0.442</v>
      </c>
      <c r="FO47" s="388">
        <v>101.6</v>
      </c>
      <c r="FP47" s="388">
        <v>42.7</v>
      </c>
      <c r="FQ47" s="388">
        <v>2.5</v>
      </c>
      <c r="FR47" s="388">
        <v>17.8</v>
      </c>
      <c r="FS47" s="388">
        <v>20.5</v>
      </c>
      <c r="FT47" s="388">
        <v>8.3000000000000007</v>
      </c>
      <c r="FU47" s="388">
        <v>9.4</v>
      </c>
      <c r="FV47" s="388">
        <v>16.600000000000001</v>
      </c>
      <c r="FW47" s="272">
        <v>3178114</v>
      </c>
      <c r="FX47" s="388">
        <f t="shared" si="16"/>
        <v>194</v>
      </c>
      <c r="FY47" s="272">
        <v>225471</v>
      </c>
      <c r="FZ47" s="272">
        <v>110404</v>
      </c>
      <c r="GA47" s="272">
        <v>21701</v>
      </c>
      <c r="GB47" s="272">
        <v>93366</v>
      </c>
      <c r="GC47" s="272"/>
      <c r="GD47" s="272"/>
      <c r="GE47" s="384"/>
      <c r="GF47" s="388">
        <v>97.3</v>
      </c>
      <c r="GG47" s="388">
        <v>29.4</v>
      </c>
      <c r="GH47" s="388">
        <v>93.3</v>
      </c>
      <c r="GI47" s="272">
        <v>87</v>
      </c>
      <c r="GJ47" s="394"/>
      <c r="GK47" s="394"/>
      <c r="GL47" s="394"/>
      <c r="GM47" s="394"/>
      <c r="GN47" s="394"/>
      <c r="GO47" s="394"/>
      <c r="GP47" s="394"/>
      <c r="GQ47" s="394"/>
      <c r="GR47" s="394"/>
      <c r="GS47" s="394"/>
      <c r="GT47" s="394"/>
      <c r="GU47" s="394"/>
      <c r="GV47" s="394"/>
      <c r="GW47" s="394"/>
      <c r="GX47" s="394"/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</row>
    <row r="48" spans="2:230" x14ac:dyDescent="0.15">
      <c r="B48" s="89" t="s">
        <v>89</v>
      </c>
      <c r="C48" s="272">
        <v>24875564</v>
      </c>
      <c r="D48" s="455">
        <f t="shared" si="0"/>
        <v>8762404</v>
      </c>
      <c r="E48" s="272">
        <v>247551</v>
      </c>
      <c r="F48" s="272">
        <v>8514853</v>
      </c>
      <c r="G48" s="455">
        <f t="shared" si="1"/>
        <v>1430910</v>
      </c>
      <c r="H48" s="272">
        <v>313631</v>
      </c>
      <c r="I48" s="272">
        <v>1117279</v>
      </c>
      <c r="J48" s="272">
        <v>11249822</v>
      </c>
      <c r="K48" s="272">
        <v>4660663</v>
      </c>
      <c r="L48" s="272">
        <v>4515427</v>
      </c>
      <c r="M48" s="272">
        <v>1953081</v>
      </c>
      <c r="N48" s="272">
        <v>2602171</v>
      </c>
      <c r="O48" s="272">
        <v>563284</v>
      </c>
      <c r="P48" s="272">
        <v>322528</v>
      </c>
      <c r="Q48" s="272">
        <v>240756</v>
      </c>
      <c r="R48" s="272">
        <v>1898737</v>
      </c>
      <c r="S48" s="272">
        <v>1268983</v>
      </c>
      <c r="T48" s="455">
        <f t="shared" si="2"/>
        <v>2910334</v>
      </c>
      <c r="U48" s="272">
        <v>147826</v>
      </c>
      <c r="V48" s="272">
        <v>153191</v>
      </c>
      <c r="W48" s="272">
        <v>120172</v>
      </c>
      <c r="X48" s="272">
        <v>1623044</v>
      </c>
      <c r="Y48" s="272">
        <v>261343</v>
      </c>
      <c r="Z48" s="272">
        <v>0</v>
      </c>
      <c r="AA48" s="272">
        <v>604758</v>
      </c>
      <c r="AB48" s="272">
        <v>676331</v>
      </c>
      <c r="AC48" s="272">
        <v>12776398</v>
      </c>
      <c r="AD48" s="272">
        <v>10389197</v>
      </c>
      <c r="AE48" s="272">
        <v>2387201</v>
      </c>
      <c r="AF48" s="272">
        <v>39899</v>
      </c>
      <c r="AG48" s="272">
        <v>186101</v>
      </c>
      <c r="AH48" s="455">
        <f t="shared" si="3"/>
        <v>2033046</v>
      </c>
      <c r="AI48" s="272">
        <v>1743332</v>
      </c>
      <c r="AJ48" s="272">
        <v>289714</v>
      </c>
      <c r="AK48" s="272">
        <v>2130303</v>
      </c>
      <c r="AL48" s="455">
        <f t="shared" si="4"/>
        <v>261028</v>
      </c>
      <c r="AM48" s="272">
        <v>98927</v>
      </c>
      <c r="AN48" s="272">
        <v>162101</v>
      </c>
      <c r="AO48" s="272">
        <v>0</v>
      </c>
      <c r="AP48" s="272">
        <v>0</v>
      </c>
      <c r="AQ48" s="272">
        <v>564550</v>
      </c>
      <c r="AR48" s="272">
        <v>588</v>
      </c>
      <c r="AS48" s="272">
        <v>0</v>
      </c>
      <c r="AT48" s="272">
        <v>3300416</v>
      </c>
      <c r="AU48" s="272">
        <v>1124037</v>
      </c>
      <c r="AV48" s="272">
        <v>85979</v>
      </c>
      <c r="AW48" s="272">
        <v>49802</v>
      </c>
      <c r="AX48" s="272">
        <v>2176379</v>
      </c>
      <c r="AY48" s="272">
        <v>531058</v>
      </c>
      <c r="AZ48" s="272">
        <v>2930240</v>
      </c>
      <c r="BA48" s="272">
        <v>2893192</v>
      </c>
      <c r="BB48" s="272">
        <v>36669</v>
      </c>
      <c r="BC48" s="272">
        <v>4353123</v>
      </c>
      <c r="BD48" s="272">
        <v>1712976</v>
      </c>
      <c r="BE48" s="272">
        <v>343165</v>
      </c>
      <c r="BF48" s="272">
        <v>1777085</v>
      </c>
      <c r="BG48" s="456">
        <v>378000</v>
      </c>
      <c r="BH48" s="272">
        <v>1299146</v>
      </c>
      <c r="BI48" s="272">
        <v>724454</v>
      </c>
      <c r="BJ48" s="272">
        <v>1205406</v>
      </c>
      <c r="BK48" s="272">
        <v>113060</v>
      </c>
      <c r="BL48" s="272">
        <v>7707</v>
      </c>
      <c r="BM48" s="272">
        <v>0</v>
      </c>
      <c r="BN48" s="272">
        <v>4084900</v>
      </c>
      <c r="BO48" s="455">
        <f t="shared" si="5"/>
        <v>1276300</v>
      </c>
      <c r="BP48" s="455">
        <f t="shared" si="6"/>
        <v>2552100</v>
      </c>
      <c r="BQ48" s="272">
        <v>225900</v>
      </c>
      <c r="BR48" s="272"/>
      <c r="BS48" s="272">
        <v>2326200</v>
      </c>
      <c r="BT48" s="272">
        <v>256500</v>
      </c>
      <c r="BU48" s="272">
        <v>64736613</v>
      </c>
      <c r="BV48" s="272"/>
      <c r="BW48" s="272">
        <v>16493169</v>
      </c>
      <c r="BX48" s="272">
        <v>11237286</v>
      </c>
      <c r="BY48" s="272">
        <v>1208361</v>
      </c>
      <c r="BZ48" s="272">
        <v>846261</v>
      </c>
      <c r="CA48" s="272">
        <v>4634299</v>
      </c>
      <c r="CB48" s="272">
        <v>1407217</v>
      </c>
      <c r="CC48" s="272">
        <v>371225</v>
      </c>
      <c r="CD48" s="272">
        <v>2551496</v>
      </c>
      <c r="CE48" s="272">
        <v>122670</v>
      </c>
      <c r="CF48" s="272">
        <v>5342</v>
      </c>
      <c r="CG48" s="272">
        <v>176249</v>
      </c>
      <c r="CH48" s="272">
        <v>7886025</v>
      </c>
      <c r="CI48" s="272">
        <v>6411782</v>
      </c>
      <c r="CJ48" s="455">
        <f t="shared" si="7"/>
        <v>1474243</v>
      </c>
      <c r="CK48" s="272">
        <v>9387229</v>
      </c>
      <c r="CL48" s="272">
        <v>4987439</v>
      </c>
      <c r="CM48" s="272">
        <v>871501</v>
      </c>
      <c r="CN48" s="272">
        <v>2115018</v>
      </c>
      <c r="CO48" s="272">
        <v>622869</v>
      </c>
      <c r="CP48" s="272">
        <v>8554010</v>
      </c>
      <c r="CQ48" s="272">
        <v>2961969</v>
      </c>
      <c r="CR48" s="272">
        <v>1080160</v>
      </c>
      <c r="CS48" s="272">
        <v>771717</v>
      </c>
      <c r="CT48" s="455">
        <f t="shared" si="8"/>
        <v>1257091</v>
      </c>
      <c r="CU48" s="272">
        <v>218746</v>
      </c>
      <c r="CV48" s="272">
        <v>1038345</v>
      </c>
      <c r="CW48" s="455">
        <f t="shared" si="9"/>
        <v>1077417</v>
      </c>
      <c r="CX48" s="272">
        <v>139169</v>
      </c>
      <c r="CY48" s="272">
        <v>938248</v>
      </c>
      <c r="CZ48" s="455">
        <f t="shared" si="10"/>
        <v>0</v>
      </c>
      <c r="DA48" s="272">
        <v>0</v>
      </c>
      <c r="DB48" s="272">
        <v>0</v>
      </c>
      <c r="DC48" s="272">
        <v>5095159</v>
      </c>
      <c r="DD48" s="272">
        <v>1561246</v>
      </c>
      <c r="DE48" s="272">
        <v>2950133</v>
      </c>
      <c r="DF48" s="26">
        <v>127478</v>
      </c>
      <c r="DG48" s="27">
        <v>435701</v>
      </c>
      <c r="DH48" s="272">
        <v>24177</v>
      </c>
      <c r="DI48" s="272">
        <v>3100640</v>
      </c>
      <c r="DJ48" s="272">
        <v>1197560</v>
      </c>
      <c r="DK48" s="272">
        <v>1552300</v>
      </c>
      <c r="DL48" s="272">
        <v>350780</v>
      </c>
      <c r="DM48" s="272">
        <v>41300</v>
      </c>
      <c r="DN48" s="272">
        <v>41300</v>
      </c>
      <c r="DO48" s="272">
        <v>41300</v>
      </c>
      <c r="DP48" s="272">
        <v>0</v>
      </c>
      <c r="DQ48" s="272">
        <v>101808</v>
      </c>
      <c r="DR48" s="272">
        <v>0</v>
      </c>
      <c r="DS48" s="272">
        <v>0</v>
      </c>
      <c r="DT48" s="272">
        <v>7763720</v>
      </c>
      <c r="DU48" s="272">
        <v>3238883</v>
      </c>
      <c r="DV48" s="455">
        <f t="shared" si="11"/>
        <v>0</v>
      </c>
      <c r="DW48" s="272">
        <v>0</v>
      </c>
      <c r="DX48" s="272"/>
      <c r="DY48" s="272">
        <v>0</v>
      </c>
      <c r="DZ48" s="272">
        <v>1317009</v>
      </c>
      <c r="EA48" s="272">
        <v>1295469</v>
      </c>
      <c r="EB48" s="272">
        <v>1716183</v>
      </c>
      <c r="EC48" s="272">
        <v>0</v>
      </c>
      <c r="ED48" s="272">
        <v>63704405</v>
      </c>
      <c r="EE48" s="89"/>
      <c r="EF48" s="272">
        <v>1032208</v>
      </c>
      <c r="EG48" s="272">
        <v>281788</v>
      </c>
      <c r="EH48" s="272">
        <v>750420</v>
      </c>
      <c r="EI48" s="272">
        <v>-31034</v>
      </c>
      <c r="EJ48" s="272">
        <v>-546450</v>
      </c>
      <c r="EK48" s="89"/>
      <c r="EL48" s="272"/>
      <c r="EM48" s="272">
        <v>193224</v>
      </c>
      <c r="EN48" s="272">
        <v>3011508</v>
      </c>
      <c r="EO48" s="272">
        <v>2904220</v>
      </c>
      <c r="EP48" s="455">
        <f t="shared" si="12"/>
        <v>1758018</v>
      </c>
      <c r="EQ48" s="272">
        <v>43177263</v>
      </c>
      <c r="ER48" s="272">
        <v>-10185947</v>
      </c>
      <c r="ES48" s="272">
        <v>15260296</v>
      </c>
      <c r="ET48" s="272">
        <v>10430947</v>
      </c>
      <c r="EU48" s="272">
        <v>2194604</v>
      </c>
      <c r="EV48" s="272">
        <v>7765726</v>
      </c>
      <c r="EW48" s="455">
        <f t="shared" si="13"/>
        <v>1543177</v>
      </c>
      <c r="EX48" s="272">
        <v>1535514</v>
      </c>
      <c r="EY48" s="272">
        <v>237140</v>
      </c>
      <c r="EZ48" s="272">
        <v>1242387</v>
      </c>
      <c r="FA48" s="272">
        <v>7663</v>
      </c>
      <c r="FB48" s="272"/>
      <c r="FC48" s="272">
        <v>7567993</v>
      </c>
      <c r="FD48" s="272">
        <v>7536131</v>
      </c>
      <c r="FE48" s="272">
        <v>2533877</v>
      </c>
      <c r="FF48" s="272">
        <v>7061413</v>
      </c>
      <c r="FG48" s="455">
        <f t="shared" si="14"/>
        <v>3401662</v>
      </c>
      <c r="FH48" s="272">
        <v>52331002</v>
      </c>
      <c r="FI48" s="384">
        <f t="shared" si="15"/>
        <v>1.9</v>
      </c>
      <c r="FJ48" s="272">
        <v>39541220</v>
      </c>
      <c r="FK48" s="272">
        <v>2479944</v>
      </c>
      <c r="FL48" s="272">
        <v>22363799</v>
      </c>
      <c r="FM48" s="272">
        <v>31996550</v>
      </c>
      <c r="FN48" s="460">
        <v>0.69299999999999995</v>
      </c>
      <c r="FO48" s="388">
        <v>94.2</v>
      </c>
      <c r="FP48" s="388">
        <v>34.4</v>
      </c>
      <c r="FQ48" s="388">
        <v>5.0999999999999996</v>
      </c>
      <c r="FR48" s="388">
        <v>17.7</v>
      </c>
      <c r="FS48" s="388">
        <v>16.5</v>
      </c>
      <c r="FT48" s="388">
        <v>7.2</v>
      </c>
      <c r="FU48" s="388">
        <v>12.1</v>
      </c>
      <c r="FV48" s="388">
        <v>12.6</v>
      </c>
      <c r="FW48" s="272">
        <v>74096842</v>
      </c>
      <c r="FX48" s="388">
        <f t="shared" si="16"/>
        <v>187.4</v>
      </c>
      <c r="FY48" s="272">
        <v>22279879</v>
      </c>
      <c r="FZ48" s="272">
        <v>11385133</v>
      </c>
      <c r="GA48" s="272">
        <v>2440568</v>
      </c>
      <c r="GB48" s="272">
        <v>8454178</v>
      </c>
      <c r="GC48" s="272">
        <f>SUM(GC38:GC47)</f>
        <v>1156925</v>
      </c>
      <c r="GD48" s="272">
        <v>2026908</v>
      </c>
      <c r="GE48" s="465">
        <f>ROUND(GD48/FJ51*100,1)</f>
        <v>15.2</v>
      </c>
      <c r="GF48" s="388">
        <v>98.6</v>
      </c>
      <c r="GG48" s="388">
        <v>18.5</v>
      </c>
      <c r="GH48" s="388">
        <v>92.8</v>
      </c>
      <c r="GI48" s="272">
        <v>1744</v>
      </c>
      <c r="GJ48" s="394"/>
      <c r="GK48" s="394"/>
      <c r="GL48" s="394"/>
      <c r="GM48" s="394"/>
      <c r="GN48" s="394"/>
      <c r="GO48" s="394"/>
      <c r="GP48" s="394"/>
      <c r="GQ48" s="394"/>
      <c r="GR48" s="394"/>
      <c r="GS48" s="394"/>
      <c r="GT48" s="394"/>
      <c r="GU48" s="394"/>
      <c r="GV48" s="394"/>
      <c r="GW48" s="394"/>
      <c r="GX48" s="394"/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</row>
    <row r="49" spans="2:230" x14ac:dyDescent="0.15">
      <c r="B49" s="89" t="s">
        <v>91</v>
      </c>
      <c r="C49" s="272">
        <v>760042482</v>
      </c>
      <c r="D49" s="455">
        <f t="shared" si="0"/>
        <v>267721528</v>
      </c>
      <c r="E49" s="272">
        <v>6799120</v>
      </c>
      <c r="F49" s="272">
        <v>260922408</v>
      </c>
      <c r="G49" s="455">
        <f t="shared" si="1"/>
        <v>66366064</v>
      </c>
      <c r="H49" s="272">
        <v>13002185</v>
      </c>
      <c r="I49" s="272">
        <v>53363879</v>
      </c>
      <c r="J49" s="272">
        <v>314421696</v>
      </c>
      <c r="K49" s="272">
        <v>139919340</v>
      </c>
      <c r="L49" s="272">
        <v>123473213</v>
      </c>
      <c r="M49" s="272">
        <v>44987528</v>
      </c>
      <c r="N49" s="272">
        <v>36396742</v>
      </c>
      <c r="O49" s="272">
        <v>63370223</v>
      </c>
      <c r="P49" s="272">
        <v>37141590</v>
      </c>
      <c r="Q49" s="272">
        <v>26228633</v>
      </c>
      <c r="R49" s="272">
        <v>46918994</v>
      </c>
      <c r="S49" s="272">
        <v>32919781</v>
      </c>
      <c r="T49" s="455">
        <f t="shared" si="2"/>
        <v>74820048</v>
      </c>
      <c r="U49" s="272">
        <v>4323799</v>
      </c>
      <c r="V49" s="272">
        <v>4483318</v>
      </c>
      <c r="W49" s="272">
        <v>3530817</v>
      </c>
      <c r="X49" s="272">
        <v>49629054</v>
      </c>
      <c r="Y49" s="272">
        <v>1084213</v>
      </c>
      <c r="Z49" s="272">
        <v>2617</v>
      </c>
      <c r="AA49" s="272">
        <v>11766230</v>
      </c>
      <c r="AB49" s="272">
        <v>21683553</v>
      </c>
      <c r="AC49" s="272">
        <v>154698025</v>
      </c>
      <c r="AD49" s="272">
        <v>142554705</v>
      </c>
      <c r="AE49" s="272">
        <v>12143320</v>
      </c>
      <c r="AF49" s="272">
        <v>1105267</v>
      </c>
      <c r="AG49" s="272">
        <v>17633824</v>
      </c>
      <c r="AH49" s="455">
        <f t="shared" si="3"/>
        <v>37903517</v>
      </c>
      <c r="AI49" s="272">
        <v>30181681</v>
      </c>
      <c r="AJ49" s="272">
        <v>7721836</v>
      </c>
      <c r="AK49" s="272">
        <v>196846638</v>
      </c>
      <c r="AL49" s="455">
        <f t="shared" si="4"/>
        <v>128585617</v>
      </c>
      <c r="AM49" s="272">
        <v>113267116</v>
      </c>
      <c r="AN49" s="272">
        <v>15258893</v>
      </c>
      <c r="AO49" s="272">
        <v>57914</v>
      </c>
      <c r="AP49" s="272">
        <v>1694</v>
      </c>
      <c r="AQ49" s="272">
        <v>15121492</v>
      </c>
      <c r="AR49" s="272">
        <v>6366</v>
      </c>
      <c r="AS49" s="272">
        <v>316263</v>
      </c>
      <c r="AT49" s="272">
        <v>76945183</v>
      </c>
      <c r="AU49" s="272">
        <v>32419386</v>
      </c>
      <c r="AV49" s="272">
        <v>5946174</v>
      </c>
      <c r="AW49" s="272">
        <v>1003227</v>
      </c>
      <c r="AX49" s="272">
        <v>44525797</v>
      </c>
      <c r="AY49" s="272">
        <v>2059960</v>
      </c>
      <c r="AZ49" s="272">
        <v>17401926</v>
      </c>
      <c r="BA49" s="272">
        <v>16302525</v>
      </c>
      <c r="BB49" s="272">
        <v>1520976</v>
      </c>
      <c r="BC49" s="272">
        <v>39396952</v>
      </c>
      <c r="BD49" s="272">
        <v>8989106</v>
      </c>
      <c r="BE49" s="272">
        <v>3501974</v>
      </c>
      <c r="BF49" s="272">
        <v>14758790</v>
      </c>
      <c r="BG49" s="272">
        <v>10290954</v>
      </c>
      <c r="BH49" s="272">
        <v>9954703</v>
      </c>
      <c r="BI49" s="272">
        <v>6972787</v>
      </c>
      <c r="BJ49" s="272">
        <v>52608397</v>
      </c>
      <c r="BK49" s="272">
        <v>34048858</v>
      </c>
      <c r="BL49" s="272">
        <v>167688</v>
      </c>
      <c r="BM49" s="272">
        <v>2222099</v>
      </c>
      <c r="BN49" s="272">
        <v>113438600</v>
      </c>
      <c r="BO49" s="455">
        <f t="shared" si="5"/>
        <v>51215000</v>
      </c>
      <c r="BP49" s="455">
        <f t="shared" si="6"/>
        <v>55042100</v>
      </c>
      <c r="BQ49" s="272">
        <v>7253100</v>
      </c>
      <c r="BR49" s="272"/>
      <c r="BS49" s="272">
        <v>47789000</v>
      </c>
      <c r="BT49" s="272">
        <v>7181500</v>
      </c>
      <c r="BU49" s="272">
        <v>1623235348</v>
      </c>
      <c r="BV49" s="272"/>
      <c r="BW49" s="272">
        <v>384011644</v>
      </c>
      <c r="BX49" s="272">
        <v>262312444</v>
      </c>
      <c r="BY49" s="272">
        <v>46057433</v>
      </c>
      <c r="BZ49" s="272">
        <v>17235189</v>
      </c>
      <c r="CA49" s="272">
        <v>330850481</v>
      </c>
      <c r="CB49" s="272">
        <v>43875620</v>
      </c>
      <c r="CC49" s="272">
        <v>11109323</v>
      </c>
      <c r="CD49" s="272">
        <v>113853495</v>
      </c>
      <c r="CE49" s="272">
        <v>149679096</v>
      </c>
      <c r="CF49" s="272">
        <v>5967173</v>
      </c>
      <c r="CG49" s="272">
        <v>6345172</v>
      </c>
      <c r="CH49" s="272">
        <v>175339172</v>
      </c>
      <c r="CI49" s="272">
        <v>141571240</v>
      </c>
      <c r="CJ49" s="455">
        <f t="shared" si="7"/>
        <v>33767932</v>
      </c>
      <c r="CK49" s="272">
        <v>183711350</v>
      </c>
      <c r="CL49" s="272">
        <v>105159144</v>
      </c>
      <c r="CM49" s="272">
        <v>12949094</v>
      </c>
      <c r="CN49" s="272">
        <v>35862857</v>
      </c>
      <c r="CO49" s="272">
        <v>13057708</v>
      </c>
      <c r="CP49" s="272">
        <v>129384907</v>
      </c>
      <c r="CQ49" s="272">
        <v>42649213</v>
      </c>
      <c r="CR49" s="272">
        <v>35819696</v>
      </c>
      <c r="CS49" s="272">
        <v>26993230</v>
      </c>
      <c r="CT49" s="455">
        <f t="shared" si="8"/>
        <v>22126013</v>
      </c>
      <c r="CU49" s="272">
        <v>14025027</v>
      </c>
      <c r="CV49" s="272">
        <v>8100986</v>
      </c>
      <c r="CW49" s="455">
        <f t="shared" si="9"/>
        <v>14581134</v>
      </c>
      <c r="CX49" s="272">
        <v>11152932</v>
      </c>
      <c r="CY49" s="272">
        <v>3428202</v>
      </c>
      <c r="CZ49" s="455">
        <f t="shared" si="10"/>
        <v>4884533</v>
      </c>
      <c r="DA49" s="272">
        <v>2023126</v>
      </c>
      <c r="DB49" s="272">
        <v>2861407</v>
      </c>
      <c r="DC49" s="272">
        <v>135009989</v>
      </c>
      <c r="DD49" s="272">
        <v>30552573</v>
      </c>
      <c r="DE49" s="272">
        <v>99925508</v>
      </c>
      <c r="DF49" s="26">
        <v>2472432</v>
      </c>
      <c r="DG49" s="27">
        <v>2038875</v>
      </c>
      <c r="DH49" s="272">
        <v>100761</v>
      </c>
      <c r="DI49" s="272">
        <v>32128521</v>
      </c>
      <c r="DJ49" s="272">
        <v>7921016</v>
      </c>
      <c r="DK49" s="272">
        <v>5496608</v>
      </c>
      <c r="DL49" s="272">
        <v>18710897</v>
      </c>
      <c r="DM49" s="272">
        <v>2291786</v>
      </c>
      <c r="DN49" s="272">
        <v>2140136</v>
      </c>
      <c r="DO49" s="272">
        <v>255358</v>
      </c>
      <c r="DP49" s="272">
        <v>1883810</v>
      </c>
      <c r="DQ49" s="272">
        <v>28810002</v>
      </c>
      <c r="DR49" s="272">
        <v>685200</v>
      </c>
      <c r="DS49" s="272">
        <v>600000</v>
      </c>
      <c r="DT49" s="272">
        <v>193384907</v>
      </c>
      <c r="DU49" s="272">
        <v>71924397</v>
      </c>
      <c r="DV49" s="455">
        <f t="shared" si="11"/>
        <v>581623</v>
      </c>
      <c r="DW49" s="272">
        <v>581623</v>
      </c>
      <c r="DX49" s="272"/>
      <c r="DY49" s="272">
        <v>346500</v>
      </c>
      <c r="DZ49" s="272">
        <v>50675246</v>
      </c>
      <c r="EA49" s="272">
        <v>29440118</v>
      </c>
      <c r="EB49" s="272">
        <v>37182684</v>
      </c>
      <c r="EC49" s="272">
        <v>5647693</v>
      </c>
      <c r="ED49" s="272">
        <v>1613728921</v>
      </c>
      <c r="EE49" s="89"/>
      <c r="EF49" s="272">
        <v>9506427</v>
      </c>
      <c r="EG49" s="272">
        <v>3369345</v>
      </c>
      <c r="EH49" s="272">
        <v>6137082</v>
      </c>
      <c r="EI49" s="272">
        <v>4039555</v>
      </c>
      <c r="EJ49" s="272">
        <v>3438407</v>
      </c>
      <c r="EK49" s="89"/>
      <c r="EL49" s="272"/>
      <c r="EM49" s="272">
        <v>5322931</v>
      </c>
      <c r="EN49" s="272">
        <v>22046320</v>
      </c>
      <c r="EO49" s="272">
        <v>7949407</v>
      </c>
      <c r="EP49" s="455">
        <f t="shared" si="12"/>
        <v>35697054</v>
      </c>
      <c r="EQ49" s="272">
        <v>1059584632</v>
      </c>
      <c r="ER49" s="272">
        <v>-119313351</v>
      </c>
      <c r="ES49" s="272">
        <v>353190139</v>
      </c>
      <c r="ET49" s="272">
        <v>241776044</v>
      </c>
      <c r="EU49" s="272">
        <v>114019509</v>
      </c>
      <c r="EV49" s="272">
        <v>167775628</v>
      </c>
      <c r="EW49" s="455">
        <f t="shared" si="13"/>
        <v>47775407</v>
      </c>
      <c r="EX49" s="272">
        <v>47710762</v>
      </c>
      <c r="EY49" s="272">
        <v>3480886</v>
      </c>
      <c r="EZ49" s="272">
        <v>43932937</v>
      </c>
      <c r="FA49" s="272">
        <v>64645</v>
      </c>
      <c r="FB49" s="272"/>
      <c r="FC49" s="272">
        <v>149911766</v>
      </c>
      <c r="FD49" s="272">
        <v>118155521</v>
      </c>
      <c r="FE49" s="272">
        <v>41277430</v>
      </c>
      <c r="FF49" s="272">
        <v>173404251</v>
      </c>
      <c r="FG49" s="455">
        <f t="shared" si="14"/>
        <v>45259579</v>
      </c>
      <c r="FH49" s="272">
        <v>1169491800</v>
      </c>
      <c r="FI49" s="384">
        <f t="shared" si="15"/>
        <v>0.6</v>
      </c>
      <c r="FJ49" s="272">
        <v>971939060</v>
      </c>
      <c r="FK49" s="272">
        <v>48783975</v>
      </c>
      <c r="FL49" s="272">
        <v>634472327</v>
      </c>
      <c r="FM49" s="272">
        <v>769248907</v>
      </c>
      <c r="FN49" s="460">
        <v>0.81299999999999994</v>
      </c>
      <c r="FO49" s="388">
        <v>96</v>
      </c>
      <c r="FP49" s="388">
        <v>32.4</v>
      </c>
      <c r="FQ49" s="388">
        <v>10.8</v>
      </c>
      <c r="FR49" s="388">
        <v>16</v>
      </c>
      <c r="FS49" s="388">
        <v>13.4</v>
      </c>
      <c r="FT49" s="388">
        <v>9</v>
      </c>
      <c r="FU49" s="388">
        <v>13.2</v>
      </c>
      <c r="FV49" s="388">
        <v>13.7</v>
      </c>
      <c r="FW49" s="272">
        <v>1599038698</v>
      </c>
      <c r="FX49" s="388">
        <f t="shared" si="16"/>
        <v>164.5</v>
      </c>
      <c r="FY49" s="272">
        <v>275577211</v>
      </c>
      <c r="FZ49" s="272">
        <v>84735850</v>
      </c>
      <c r="GA49" s="272">
        <v>23371728</v>
      </c>
      <c r="GB49" s="272">
        <v>167469633</v>
      </c>
      <c r="GC49" s="272">
        <f>GC37+GC48</f>
        <v>18208750</v>
      </c>
      <c r="GD49" s="272">
        <v>209353712</v>
      </c>
      <c r="GE49" s="465">
        <f>ROUND(GD49/FJ52*100,1)</f>
        <v>22.1</v>
      </c>
      <c r="GF49" s="388">
        <v>98</v>
      </c>
      <c r="GG49" s="388">
        <v>23.2</v>
      </c>
      <c r="GH49" s="388">
        <v>92.9</v>
      </c>
      <c r="GI49" s="272">
        <v>36218</v>
      </c>
      <c r="GJ49" s="394"/>
      <c r="GK49" s="394"/>
      <c r="GL49" s="394"/>
      <c r="GM49" s="394"/>
      <c r="GN49" s="394"/>
      <c r="GO49" s="394"/>
      <c r="GP49" s="394"/>
      <c r="GQ49" s="394"/>
      <c r="GR49" s="394"/>
      <c r="GS49" s="394"/>
      <c r="GT49" s="394"/>
      <c r="GU49" s="394"/>
      <c r="GV49" s="394"/>
      <c r="GW49" s="394"/>
      <c r="GX49" s="394"/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</row>
    <row r="50" spans="2:230" x14ac:dyDescent="0.15">
      <c r="EJ50" s="394"/>
      <c r="EW50" s="272"/>
      <c r="GE50" s="31" t="s">
        <v>647</v>
      </c>
    </row>
    <row r="51" spans="2:230" x14ac:dyDescent="0.15">
      <c r="EI51" s="394">
        <f>EI6+EI16+EI20+EI25+EI27+EI29+EI30+EI32+EI35+EI38+EI41+EI42+EI43+EI46</f>
        <v>-1251703</v>
      </c>
      <c r="FJ51" s="394">
        <f>FJ42+FJ45+FJ43</f>
        <v>13309425</v>
      </c>
    </row>
    <row r="52" spans="2:230" x14ac:dyDescent="0.15">
      <c r="EI52" s="394">
        <f>EI49-EI51</f>
        <v>5291258</v>
      </c>
      <c r="FJ52" s="394">
        <f>FJ37+FJ51</f>
        <v>945707265</v>
      </c>
    </row>
  </sheetData>
  <phoneticPr fontId="3"/>
  <pageMargins left="0.75" right="0.75" top="1" bottom="1" header="0.51200000000000001" footer="0.51200000000000001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indexed="15"/>
  </sheetPr>
  <dimension ref="A1:HV57"/>
  <sheetViews>
    <sheetView workbookViewId="0">
      <pane xSplit="2" ySplit="5" topLeftCell="FS15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38" width="13.6640625" style="174" customWidth="1"/>
    <col min="139" max="139" width="13.6640625" style="100" customWidth="1"/>
    <col min="140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  <col min="192" max="230" width="13.6640625" style="174" customWidth="1"/>
  </cols>
  <sheetData>
    <row r="1" spans="2:230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23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230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347</v>
      </c>
      <c r="O2" s="28" t="s">
        <v>348</v>
      </c>
      <c r="P2" s="28" t="s">
        <v>349</v>
      </c>
      <c r="Q2" s="28" t="s">
        <v>350</v>
      </c>
      <c r="R2" s="28" t="s">
        <v>351</v>
      </c>
      <c r="S2" s="28" t="s">
        <v>795</v>
      </c>
      <c r="U2" s="28" t="s">
        <v>725</v>
      </c>
      <c r="V2" s="28" t="s">
        <v>354</v>
      </c>
      <c r="W2" s="28" t="s">
        <v>355</v>
      </c>
      <c r="X2" s="28" t="s">
        <v>664</v>
      </c>
      <c r="Y2" s="28" t="s">
        <v>356</v>
      </c>
      <c r="Z2" s="28" t="s">
        <v>357</v>
      </c>
      <c r="AA2" s="28" t="s">
        <v>653</v>
      </c>
      <c r="AB2" s="28" t="s">
        <v>359</v>
      </c>
      <c r="AC2" s="28" t="s">
        <v>654</v>
      </c>
      <c r="AD2" s="28" t="s">
        <v>665</v>
      </c>
      <c r="AE2" s="28" t="s">
        <v>726</v>
      </c>
      <c r="AF2" s="28" t="s">
        <v>362</v>
      </c>
      <c r="AG2" s="28" t="s">
        <v>363</v>
      </c>
      <c r="AI2" s="28" t="s">
        <v>366</v>
      </c>
      <c r="AJ2" s="28" t="s">
        <v>796</v>
      </c>
      <c r="AK2" s="28" t="s">
        <v>797</v>
      </c>
      <c r="AL2" s="29"/>
      <c r="AM2" s="28" t="s">
        <v>368</v>
      </c>
      <c r="AN2" s="28" t="s">
        <v>728</v>
      </c>
      <c r="AO2" s="28" t="s">
        <v>686</v>
      </c>
      <c r="AP2" s="28" t="s">
        <v>369</v>
      </c>
      <c r="AQ2" s="28" t="s">
        <v>798</v>
      </c>
      <c r="AR2" s="28" t="s">
        <v>370</v>
      </c>
      <c r="AS2" s="28" t="s">
        <v>799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809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 t="s">
        <v>804</v>
      </c>
      <c r="BR2" s="28"/>
      <c r="BS2" s="28" t="s">
        <v>805</v>
      </c>
      <c r="BT2" s="28" t="s">
        <v>810</v>
      </c>
      <c r="BU2" s="28" t="s">
        <v>806</v>
      </c>
      <c r="BW2" s="28" t="s">
        <v>402</v>
      </c>
      <c r="BX2" s="28" t="s">
        <v>403</v>
      </c>
      <c r="BY2" s="28" t="s">
        <v>786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720</v>
      </c>
      <c r="CM2" s="28" t="s">
        <v>417</v>
      </c>
      <c r="CN2" s="28" t="s">
        <v>721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424</v>
      </c>
      <c r="CV2" s="28" t="s">
        <v>811</v>
      </c>
      <c r="CX2" s="28" t="s">
        <v>426</v>
      </c>
      <c r="CY2" s="28" t="s">
        <v>812</v>
      </c>
      <c r="DA2" s="28" t="s">
        <v>428</v>
      </c>
      <c r="DB2" s="28" t="s">
        <v>813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448</v>
      </c>
      <c r="DW2" s="28" t="s">
        <v>449</v>
      </c>
      <c r="DX2" s="28"/>
      <c r="DY2" s="28" t="s">
        <v>451</v>
      </c>
      <c r="DZ2" s="28" t="s">
        <v>452</v>
      </c>
      <c r="EA2" s="28" t="s">
        <v>453</v>
      </c>
      <c r="EB2" s="28" t="s">
        <v>450</v>
      </c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4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230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4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529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230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570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I4" s="10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230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635</v>
      </c>
      <c r="DX5" s="30"/>
      <c r="DY5" s="30"/>
      <c r="DZ5" s="30"/>
      <c r="EA5" s="30"/>
      <c r="EB5" s="30"/>
      <c r="EC5" s="30"/>
      <c r="ED5" s="30"/>
      <c r="EI5" s="10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230" x14ac:dyDescent="0.15">
      <c r="B6" s="89" t="s">
        <v>5</v>
      </c>
      <c r="C6" s="272">
        <v>23428750</v>
      </c>
      <c r="D6" s="455">
        <f t="shared" ref="D6:D49" si="0">E6+F6</f>
        <v>7056890</v>
      </c>
      <c r="E6" s="272">
        <v>213853</v>
      </c>
      <c r="F6" s="272">
        <v>6843037</v>
      </c>
      <c r="G6" s="455">
        <f t="shared" ref="G6:G49" si="1">H6+I6</f>
        <v>2090088</v>
      </c>
      <c r="H6" s="272">
        <v>431105</v>
      </c>
      <c r="I6" s="272">
        <v>1658983</v>
      </c>
      <c r="J6" s="272">
        <v>10433148</v>
      </c>
      <c r="K6" s="272">
        <v>4504751</v>
      </c>
      <c r="L6" s="272">
        <v>4486086</v>
      </c>
      <c r="M6" s="272">
        <v>1145130</v>
      </c>
      <c r="N6" s="272">
        <v>1515630</v>
      </c>
      <c r="O6" s="272">
        <v>2086814</v>
      </c>
      <c r="P6" s="272">
        <v>1172566</v>
      </c>
      <c r="Q6" s="272">
        <v>914248</v>
      </c>
      <c r="R6" s="272">
        <v>1166355</v>
      </c>
      <c r="S6" s="272">
        <v>703688</v>
      </c>
      <c r="T6" s="455">
        <f t="shared" ref="T6:T49" si="2">SUM(U6:AA6)</f>
        <v>2725959</v>
      </c>
      <c r="U6" s="272">
        <v>173411</v>
      </c>
      <c r="V6" s="272">
        <v>94547</v>
      </c>
      <c r="W6" s="272">
        <v>117116</v>
      </c>
      <c r="X6" s="272">
        <v>1816660</v>
      </c>
      <c r="Y6" s="272">
        <v>62414</v>
      </c>
      <c r="Z6" s="272">
        <v>0</v>
      </c>
      <c r="AA6" s="272">
        <v>461811</v>
      </c>
      <c r="AB6" s="272">
        <v>740497</v>
      </c>
      <c r="AC6" s="272">
        <v>12713019</v>
      </c>
      <c r="AD6" s="272">
        <v>12607004</v>
      </c>
      <c r="AE6" s="272">
        <v>106015</v>
      </c>
      <c r="AF6" s="272">
        <v>42498</v>
      </c>
      <c r="AG6" s="272">
        <v>431638</v>
      </c>
      <c r="AH6" s="455">
        <f t="shared" ref="AH6:AH49" si="3">AI6+AJ6</f>
        <v>1667918</v>
      </c>
      <c r="AI6" s="272">
        <v>1499571</v>
      </c>
      <c r="AJ6" s="272">
        <v>168347</v>
      </c>
      <c r="AK6" s="272">
        <v>8970327</v>
      </c>
      <c r="AL6" s="455">
        <f t="shared" ref="AL6:AL49" si="4">SUM(AM6:AP6)</f>
        <v>5390700</v>
      </c>
      <c r="AM6" s="272">
        <v>4767531</v>
      </c>
      <c r="AN6" s="272">
        <v>622125</v>
      </c>
      <c r="AO6" s="272">
        <v>0</v>
      </c>
      <c r="AP6" s="272">
        <v>1044</v>
      </c>
      <c r="AQ6" s="272">
        <v>601836</v>
      </c>
      <c r="AR6" s="272">
        <v>0</v>
      </c>
      <c r="AS6" s="272">
        <v>0</v>
      </c>
      <c r="AT6" s="272">
        <v>3078104</v>
      </c>
      <c r="AU6" s="272">
        <v>1356441</v>
      </c>
      <c r="AV6" s="272">
        <v>312334</v>
      </c>
      <c r="AW6" s="272">
        <v>81717</v>
      </c>
      <c r="AX6" s="272">
        <v>1721663</v>
      </c>
      <c r="AY6" s="272">
        <v>182300</v>
      </c>
      <c r="AZ6" s="272">
        <v>81194</v>
      </c>
      <c r="BA6" s="272">
        <v>70644</v>
      </c>
      <c r="BB6" s="272">
        <v>200461</v>
      </c>
      <c r="BC6" s="272">
        <v>1919430</v>
      </c>
      <c r="BD6" s="272">
        <v>1010000</v>
      </c>
      <c r="BE6" s="272">
        <v>0</v>
      </c>
      <c r="BF6" s="272">
        <v>275027</v>
      </c>
      <c r="BG6" s="272">
        <v>538529</v>
      </c>
      <c r="BH6" s="272">
        <v>201719</v>
      </c>
      <c r="BI6" s="272">
        <v>140695</v>
      </c>
      <c r="BJ6" s="272">
        <v>1394545</v>
      </c>
      <c r="BK6" s="272">
        <v>31328</v>
      </c>
      <c r="BL6" s="272">
        <v>1630</v>
      </c>
      <c r="BM6" s="272">
        <v>565020</v>
      </c>
      <c r="BN6" s="272">
        <v>4725600</v>
      </c>
      <c r="BO6" s="455">
        <f t="shared" ref="BO6:BO49" si="5">BN6-BP6-BT6</f>
        <v>2522700</v>
      </c>
      <c r="BP6" s="455">
        <f t="shared" ref="BP6:BP49" si="6">BQ6+BR6+BS6</f>
        <v>2202900</v>
      </c>
      <c r="BQ6" s="272">
        <v>296700</v>
      </c>
      <c r="BR6" s="272"/>
      <c r="BS6" s="272">
        <v>1906200</v>
      </c>
      <c r="BT6" s="272">
        <v>0</v>
      </c>
      <c r="BU6" s="272">
        <v>63488014</v>
      </c>
      <c r="BV6" s="272"/>
      <c r="BW6" s="272">
        <v>14580006</v>
      </c>
      <c r="BX6" s="272">
        <v>10455791</v>
      </c>
      <c r="BY6" s="272">
        <v>1358855</v>
      </c>
      <c r="BZ6" s="272">
        <v>420115</v>
      </c>
      <c r="CA6" s="272">
        <v>14144995</v>
      </c>
      <c r="CB6" s="272">
        <v>1716863</v>
      </c>
      <c r="CC6" s="272">
        <v>554256</v>
      </c>
      <c r="CD6" s="272">
        <v>5101176</v>
      </c>
      <c r="CE6" s="272">
        <v>6409289</v>
      </c>
      <c r="CF6" s="272">
        <v>262</v>
      </c>
      <c r="CG6" s="272">
        <v>361299</v>
      </c>
      <c r="CH6" s="272">
        <v>9216284</v>
      </c>
      <c r="CI6" s="272">
        <v>7182628</v>
      </c>
      <c r="CJ6" s="455">
        <f t="shared" ref="CJ6:CJ49" si="7">CH6-CI6</f>
        <v>2033656</v>
      </c>
      <c r="CK6" s="272">
        <v>5986207</v>
      </c>
      <c r="CL6" s="272">
        <v>3480302</v>
      </c>
      <c r="CM6" s="272">
        <v>262099</v>
      </c>
      <c r="CN6" s="272">
        <v>867132</v>
      </c>
      <c r="CO6" s="272">
        <v>266479</v>
      </c>
      <c r="CP6" s="272">
        <v>4803202</v>
      </c>
      <c r="CQ6" s="272">
        <v>1882770</v>
      </c>
      <c r="CR6" s="272">
        <v>906647</v>
      </c>
      <c r="CS6" s="272">
        <v>632157</v>
      </c>
      <c r="CT6" s="455">
        <f t="shared" ref="CT6:CT49" si="8">CU6+CV6</f>
        <v>1307745</v>
      </c>
      <c r="CU6" s="272">
        <v>1230727</v>
      </c>
      <c r="CV6" s="272">
        <v>77018</v>
      </c>
      <c r="CW6" s="455">
        <f t="shared" ref="CW6:CW49" si="9">CX6+CY6</f>
        <v>1253000</v>
      </c>
      <c r="CX6" s="272">
        <v>1193080</v>
      </c>
      <c r="CY6" s="272">
        <v>59920</v>
      </c>
      <c r="CZ6" s="455">
        <f t="shared" ref="CZ6:CZ49" si="10">DA6+DB6</f>
        <v>0</v>
      </c>
      <c r="DA6" s="272">
        <v>0</v>
      </c>
      <c r="DB6" s="272">
        <v>0</v>
      </c>
      <c r="DC6" s="272">
        <v>3625506</v>
      </c>
      <c r="DD6" s="272">
        <v>1301216</v>
      </c>
      <c r="DE6" s="272">
        <v>2295025</v>
      </c>
      <c r="DF6" s="272">
        <v>6660</v>
      </c>
      <c r="DG6" s="272">
        <v>22605</v>
      </c>
      <c r="DH6" s="272">
        <v>0</v>
      </c>
      <c r="DI6" s="272">
        <v>596846</v>
      </c>
      <c r="DJ6" s="272">
        <v>880</v>
      </c>
      <c r="DK6" s="272">
        <v>641</v>
      </c>
      <c r="DL6" s="272">
        <v>595325</v>
      </c>
      <c r="DM6" s="272">
        <v>498400</v>
      </c>
      <c r="DN6" s="272">
        <v>90400</v>
      </c>
      <c r="DO6" s="272">
        <v>90400</v>
      </c>
      <c r="DP6" s="272">
        <v>0</v>
      </c>
      <c r="DQ6" s="272">
        <v>31000</v>
      </c>
      <c r="DR6" s="272">
        <v>0</v>
      </c>
      <c r="DS6" s="272">
        <v>0</v>
      </c>
      <c r="DT6" s="272">
        <v>9574641</v>
      </c>
      <c r="DU6" s="272">
        <v>4312877</v>
      </c>
      <c r="DV6" s="455">
        <f t="shared" ref="DV6:DV49" si="11">DW6</f>
        <v>0</v>
      </c>
      <c r="DW6" s="272">
        <v>0</v>
      </c>
      <c r="DX6" s="272"/>
      <c r="DY6" s="272">
        <v>0</v>
      </c>
      <c r="DZ6" s="272">
        <v>2052085</v>
      </c>
      <c r="EA6" s="272">
        <v>1160727</v>
      </c>
      <c r="EB6" s="272">
        <v>1521709</v>
      </c>
      <c r="EC6" s="272">
        <v>0</v>
      </c>
      <c r="ED6" s="272">
        <v>63323566</v>
      </c>
      <c r="EF6" s="272">
        <v>164448</v>
      </c>
      <c r="EG6" s="272">
        <v>5971</v>
      </c>
      <c r="EH6" s="272">
        <v>158477</v>
      </c>
      <c r="EI6" s="71">
        <v>17782</v>
      </c>
      <c r="EJ6" s="272">
        <v>-935302</v>
      </c>
      <c r="EL6" s="272">
        <v>201000</v>
      </c>
      <c r="EM6" s="272">
        <v>202617</v>
      </c>
      <c r="EN6" s="272">
        <v>1644403</v>
      </c>
      <c r="EO6" s="272">
        <v>78117</v>
      </c>
      <c r="EP6" s="455">
        <f t="shared" ref="EP6:EP49" si="12">EQ6-ER6-C6-R6-T6-AB6-AC6-BP6-EN6-EO6</f>
        <v>2280695</v>
      </c>
      <c r="EQ6" s="272">
        <v>40817078</v>
      </c>
      <c r="ER6" s="272">
        <v>-6163617</v>
      </c>
      <c r="ES6" s="272">
        <v>13546437</v>
      </c>
      <c r="ET6" s="272">
        <v>9425916</v>
      </c>
      <c r="EU6" s="272">
        <v>4280972</v>
      </c>
      <c r="EV6" s="272">
        <v>9094263</v>
      </c>
      <c r="EW6" s="455">
        <f t="shared" ref="EW6:EW49" si="13">EX6+FA6+FB6</f>
        <v>543792</v>
      </c>
      <c r="EX6" s="272">
        <v>543792</v>
      </c>
      <c r="EY6" s="272">
        <v>59014</v>
      </c>
      <c r="EZ6" s="272">
        <v>482847</v>
      </c>
      <c r="FA6" s="272">
        <v>0</v>
      </c>
      <c r="FB6" s="272"/>
      <c r="FC6" s="272">
        <v>5039495</v>
      </c>
      <c r="FD6" s="272">
        <v>4356281</v>
      </c>
      <c r="FE6" s="272">
        <v>1700570</v>
      </c>
      <c r="FF6" s="272">
        <v>8803800</v>
      </c>
      <c r="FG6" s="455">
        <f t="shared" ref="FG6:FG49" si="14">FH6-ES6-EU6-EV6-EW6-FC6-FD6-FF6</f>
        <v>1151207</v>
      </c>
      <c r="FH6" s="272">
        <v>46816247</v>
      </c>
      <c r="FI6" s="384">
        <f t="shared" ref="FI6:FI49" si="15">ROUND(EH6/FJ6*100,1)</f>
        <v>0.4</v>
      </c>
      <c r="FJ6" s="272">
        <v>38124723</v>
      </c>
      <c r="FK6" s="272">
        <v>1906201</v>
      </c>
      <c r="FL6" s="272">
        <v>19440798</v>
      </c>
      <c r="FM6" s="272">
        <v>32047802</v>
      </c>
      <c r="FN6" s="460">
        <v>0.61299999999999999</v>
      </c>
      <c r="FO6" s="388">
        <v>97.2</v>
      </c>
      <c r="FP6" s="388">
        <v>31.2</v>
      </c>
      <c r="FQ6" s="388">
        <v>9.6</v>
      </c>
      <c r="FR6" s="388">
        <v>22</v>
      </c>
      <c r="FS6" s="388">
        <v>10.7</v>
      </c>
      <c r="FT6" s="388">
        <v>8.5</v>
      </c>
      <c r="FU6" s="388">
        <v>14.6</v>
      </c>
      <c r="FV6" s="388">
        <v>19.5</v>
      </c>
      <c r="FW6" s="272">
        <v>87206954</v>
      </c>
      <c r="FX6" s="384">
        <f t="shared" ref="FX6:FX49" si="16">ROUND(FW6/FJ6*100,1)</f>
        <v>228.7</v>
      </c>
      <c r="FY6" s="272">
        <v>5125792</v>
      </c>
      <c r="FZ6" s="272">
        <v>445283</v>
      </c>
      <c r="GA6" s="272">
        <v>1293331</v>
      </c>
      <c r="GB6" s="272">
        <v>3387178</v>
      </c>
      <c r="GC6" s="272"/>
      <c r="GD6" s="272">
        <v>13059977</v>
      </c>
      <c r="GE6" s="384">
        <f t="shared" ref="GE6:GE37" si="17">ROUND(GD6/FJ6*100,1)</f>
        <v>34.299999999999997</v>
      </c>
      <c r="GF6" s="388">
        <v>98</v>
      </c>
      <c r="GG6" s="388">
        <v>28.9</v>
      </c>
      <c r="GH6" s="388">
        <v>92.9</v>
      </c>
      <c r="GI6" s="272">
        <v>1480</v>
      </c>
      <c r="GJ6" s="394"/>
      <c r="GK6" s="394"/>
      <c r="GL6" s="394"/>
      <c r="GM6" s="394"/>
      <c r="GN6" s="394"/>
      <c r="GO6" s="394"/>
      <c r="GP6" s="394"/>
      <c r="GQ6" s="394"/>
      <c r="GR6" s="394"/>
      <c r="GS6" s="394"/>
      <c r="GT6" s="394"/>
      <c r="GU6" s="394"/>
      <c r="GV6" s="394"/>
      <c r="GW6" s="394"/>
      <c r="GX6" s="394"/>
      <c r="GY6" s="394"/>
      <c r="GZ6" s="394"/>
      <c r="HA6" s="394"/>
      <c r="HB6" s="394"/>
      <c r="HC6" s="394"/>
      <c r="HD6" s="394"/>
      <c r="HE6" s="394"/>
      <c r="HF6" s="394"/>
      <c r="HG6" s="394"/>
      <c r="HH6" s="394"/>
      <c r="HI6" s="394"/>
      <c r="HJ6" s="394"/>
      <c r="HK6" s="394"/>
      <c r="HL6" s="394"/>
      <c r="HM6" s="394"/>
      <c r="HN6" s="394"/>
      <c r="HO6" s="394"/>
      <c r="HP6" s="394"/>
      <c r="HQ6" s="394"/>
      <c r="HR6" s="394"/>
      <c r="HS6" s="394"/>
      <c r="HT6" s="394"/>
      <c r="HU6" s="394"/>
      <c r="HV6" s="394"/>
    </row>
    <row r="7" spans="2:230" x14ac:dyDescent="0.15">
      <c r="B7" s="89" t="s">
        <v>7</v>
      </c>
      <c r="C7" s="272">
        <v>61466590</v>
      </c>
      <c r="D7" s="455">
        <f t="shared" si="0"/>
        <v>24934588</v>
      </c>
      <c r="E7" s="272">
        <v>454252</v>
      </c>
      <c r="F7" s="272">
        <v>24480336</v>
      </c>
      <c r="G7" s="455">
        <f t="shared" si="1"/>
        <v>4135907</v>
      </c>
      <c r="H7" s="272">
        <v>1026618</v>
      </c>
      <c r="I7" s="272">
        <v>3109289</v>
      </c>
      <c r="J7" s="272">
        <v>23605088</v>
      </c>
      <c r="K7" s="272">
        <v>10053615</v>
      </c>
      <c r="L7" s="272">
        <v>10495654</v>
      </c>
      <c r="M7" s="272">
        <v>2605244</v>
      </c>
      <c r="N7" s="272">
        <v>2116505</v>
      </c>
      <c r="O7" s="272">
        <v>5566276</v>
      </c>
      <c r="P7" s="272">
        <v>3178807</v>
      </c>
      <c r="Q7" s="272">
        <v>2387469</v>
      </c>
      <c r="R7" s="272">
        <v>4259082</v>
      </c>
      <c r="S7" s="272">
        <v>1377550</v>
      </c>
      <c r="T7" s="455">
        <f t="shared" si="2"/>
        <v>5368575</v>
      </c>
      <c r="U7" s="272">
        <v>536283</v>
      </c>
      <c r="V7" s="272">
        <v>292920</v>
      </c>
      <c r="W7" s="272">
        <v>364604</v>
      </c>
      <c r="X7" s="272">
        <v>3361291</v>
      </c>
      <c r="Y7" s="272">
        <v>0</v>
      </c>
      <c r="Z7" s="272">
        <v>0</v>
      </c>
      <c r="AA7" s="272">
        <v>813477</v>
      </c>
      <c r="AB7" s="272">
        <v>2604197</v>
      </c>
      <c r="AC7" s="272">
        <v>1122443</v>
      </c>
      <c r="AD7" s="272">
        <v>660431</v>
      </c>
      <c r="AE7" s="272">
        <v>462012</v>
      </c>
      <c r="AF7" s="272">
        <v>67925</v>
      </c>
      <c r="AG7" s="272">
        <v>838510</v>
      </c>
      <c r="AH7" s="455">
        <f t="shared" si="3"/>
        <v>2716219</v>
      </c>
      <c r="AI7" s="272">
        <v>2458833</v>
      </c>
      <c r="AJ7" s="272">
        <v>257386</v>
      </c>
      <c r="AK7" s="272">
        <v>14975566</v>
      </c>
      <c r="AL7" s="455">
        <f t="shared" si="4"/>
        <v>11580881</v>
      </c>
      <c r="AM7" s="272">
        <v>8658239</v>
      </c>
      <c r="AN7" s="272">
        <v>2912822</v>
      </c>
      <c r="AO7" s="272">
        <v>0</v>
      </c>
      <c r="AP7" s="272">
        <v>9820</v>
      </c>
      <c r="AQ7" s="272">
        <v>285587</v>
      </c>
      <c r="AR7" s="272">
        <v>0</v>
      </c>
      <c r="AS7" s="272">
        <v>0</v>
      </c>
      <c r="AT7" s="272">
        <v>5509514</v>
      </c>
      <c r="AU7" s="272">
        <v>2177290</v>
      </c>
      <c r="AV7" s="272">
        <v>298714</v>
      </c>
      <c r="AW7" s="272">
        <v>8666</v>
      </c>
      <c r="AX7" s="272">
        <v>3332224</v>
      </c>
      <c r="AY7" s="272">
        <v>69076</v>
      </c>
      <c r="AZ7" s="272">
        <v>394860</v>
      </c>
      <c r="BA7" s="272">
        <v>360167</v>
      </c>
      <c r="BB7" s="272">
        <v>241498</v>
      </c>
      <c r="BC7" s="272">
        <v>372619</v>
      </c>
      <c r="BD7" s="272">
        <v>0</v>
      </c>
      <c r="BE7" s="272">
        <v>7400</v>
      </c>
      <c r="BF7" s="272">
        <v>193774</v>
      </c>
      <c r="BG7" s="272">
        <v>100000</v>
      </c>
      <c r="BH7" s="272">
        <v>289691</v>
      </c>
      <c r="BI7" s="272">
        <v>103884</v>
      </c>
      <c r="BJ7" s="272">
        <v>4388419</v>
      </c>
      <c r="BK7" s="272">
        <v>2737805</v>
      </c>
      <c r="BL7" s="272">
        <v>0</v>
      </c>
      <c r="BM7" s="272">
        <v>78692</v>
      </c>
      <c r="BN7" s="272">
        <v>8427500</v>
      </c>
      <c r="BO7" s="455">
        <f t="shared" si="5"/>
        <v>3954400</v>
      </c>
      <c r="BP7" s="455">
        <f t="shared" si="6"/>
        <v>4473100</v>
      </c>
      <c r="BQ7" s="272">
        <v>955800</v>
      </c>
      <c r="BR7" s="272"/>
      <c r="BS7" s="272">
        <v>3517300</v>
      </c>
      <c r="BT7" s="272">
        <v>0</v>
      </c>
      <c r="BU7" s="272">
        <v>113043208</v>
      </c>
      <c r="BV7" s="272"/>
      <c r="BW7" s="272">
        <v>30997995</v>
      </c>
      <c r="BX7" s="272">
        <v>21231174</v>
      </c>
      <c r="BY7" s="272">
        <v>3794122</v>
      </c>
      <c r="BZ7" s="272">
        <v>1384972</v>
      </c>
      <c r="CA7" s="272">
        <v>21844932</v>
      </c>
      <c r="CB7" s="272">
        <v>3045099</v>
      </c>
      <c r="CC7" s="272">
        <v>900065</v>
      </c>
      <c r="CD7" s="272">
        <v>5837548</v>
      </c>
      <c r="CE7" s="272">
        <v>11628202</v>
      </c>
      <c r="CF7" s="272">
        <v>9</v>
      </c>
      <c r="CG7" s="272">
        <v>431217</v>
      </c>
      <c r="CH7" s="272">
        <v>12817396</v>
      </c>
      <c r="CI7" s="272">
        <v>10122156</v>
      </c>
      <c r="CJ7" s="455">
        <f t="shared" si="7"/>
        <v>2695240</v>
      </c>
      <c r="CK7" s="272">
        <v>10798154</v>
      </c>
      <c r="CL7" s="272">
        <v>4829075</v>
      </c>
      <c r="CM7" s="272">
        <v>648495</v>
      </c>
      <c r="CN7" s="272">
        <v>2718249</v>
      </c>
      <c r="CO7" s="272">
        <v>433303</v>
      </c>
      <c r="CP7" s="272">
        <v>11550257</v>
      </c>
      <c r="CQ7" s="272">
        <v>2493487</v>
      </c>
      <c r="CR7" s="272">
        <v>3109896</v>
      </c>
      <c r="CS7" s="272">
        <v>2285875</v>
      </c>
      <c r="CT7" s="455">
        <f t="shared" si="8"/>
        <v>1070623</v>
      </c>
      <c r="CU7" s="272">
        <v>886563</v>
      </c>
      <c r="CV7" s="272">
        <v>184060</v>
      </c>
      <c r="CW7" s="455">
        <f t="shared" si="9"/>
        <v>964045</v>
      </c>
      <c r="CX7" s="272">
        <v>853413</v>
      </c>
      <c r="CY7" s="272">
        <v>110632</v>
      </c>
      <c r="CZ7" s="455">
        <f t="shared" si="10"/>
        <v>0</v>
      </c>
      <c r="DA7" s="272">
        <v>0</v>
      </c>
      <c r="DB7" s="272">
        <v>0</v>
      </c>
      <c r="DC7" s="272">
        <v>3767236</v>
      </c>
      <c r="DD7" s="272">
        <v>558082</v>
      </c>
      <c r="DE7" s="272">
        <v>3190278</v>
      </c>
      <c r="DF7" s="272">
        <v>18876</v>
      </c>
      <c r="DG7" s="272">
        <v>0</v>
      </c>
      <c r="DH7" s="272">
        <v>0</v>
      </c>
      <c r="DI7" s="272">
        <v>2460231</v>
      </c>
      <c r="DJ7" s="272">
        <v>3</v>
      </c>
      <c r="DK7" s="272">
        <v>2392587</v>
      </c>
      <c r="DL7" s="272">
        <v>67641</v>
      </c>
      <c r="DM7" s="272">
        <v>441221</v>
      </c>
      <c r="DN7" s="272">
        <v>441221</v>
      </c>
      <c r="DO7" s="272">
        <v>53304</v>
      </c>
      <c r="DP7" s="272">
        <v>387917</v>
      </c>
      <c r="DQ7" s="272">
        <v>4696793</v>
      </c>
      <c r="DR7" s="272">
        <v>0</v>
      </c>
      <c r="DS7" s="272">
        <v>0</v>
      </c>
      <c r="DT7" s="272">
        <v>12999374</v>
      </c>
      <c r="DU7" s="272">
        <v>3563000</v>
      </c>
      <c r="DV7" s="455">
        <f t="shared" si="11"/>
        <v>0</v>
      </c>
      <c r="DW7" s="272">
        <v>0</v>
      </c>
      <c r="DX7" s="272"/>
      <c r="DY7" s="272">
        <v>0</v>
      </c>
      <c r="DZ7" s="272">
        <v>4325741</v>
      </c>
      <c r="EA7" s="272">
        <v>1947965</v>
      </c>
      <c r="EB7" s="272">
        <v>2379847</v>
      </c>
      <c r="EC7" s="272">
        <v>0</v>
      </c>
      <c r="ED7" s="272">
        <v>112806892</v>
      </c>
      <c r="EF7" s="272">
        <v>236316</v>
      </c>
      <c r="EG7" s="272">
        <v>139789</v>
      </c>
      <c r="EH7" s="272">
        <v>96527</v>
      </c>
      <c r="EI7" s="71">
        <v>-7357</v>
      </c>
      <c r="EJ7" s="272">
        <v>-7354</v>
      </c>
      <c r="EL7" s="272">
        <v>386623</v>
      </c>
      <c r="EM7" s="272">
        <v>388115</v>
      </c>
      <c r="EN7" s="272">
        <v>107400</v>
      </c>
      <c r="EO7" s="272">
        <v>388625</v>
      </c>
      <c r="EP7" s="455">
        <f t="shared" si="12"/>
        <v>3390496</v>
      </c>
      <c r="EQ7" s="272">
        <v>74888812</v>
      </c>
      <c r="ER7" s="272">
        <v>-8291696</v>
      </c>
      <c r="ES7" s="272">
        <v>29216420</v>
      </c>
      <c r="ET7" s="272">
        <v>19673384</v>
      </c>
      <c r="EU7" s="272">
        <v>6410120</v>
      </c>
      <c r="EV7" s="272">
        <v>12642715</v>
      </c>
      <c r="EW7" s="455">
        <f t="shared" si="13"/>
        <v>1943166</v>
      </c>
      <c r="EX7" s="272">
        <v>1943166</v>
      </c>
      <c r="EY7" s="272">
        <v>141354</v>
      </c>
      <c r="EZ7" s="272">
        <v>1782936</v>
      </c>
      <c r="FA7" s="272">
        <v>0</v>
      </c>
      <c r="FB7" s="272"/>
      <c r="FC7" s="272">
        <v>8089196</v>
      </c>
      <c r="FD7" s="272">
        <v>10100452</v>
      </c>
      <c r="FE7" s="272">
        <v>2493487</v>
      </c>
      <c r="FF7" s="272">
        <v>11375043</v>
      </c>
      <c r="FG7" s="455">
        <f t="shared" si="14"/>
        <v>3180152</v>
      </c>
      <c r="FH7" s="272">
        <v>82957264</v>
      </c>
      <c r="FI7" s="384">
        <f t="shared" si="15"/>
        <v>0.1</v>
      </c>
      <c r="FJ7" s="272">
        <v>67839446</v>
      </c>
      <c r="FK7" s="272">
        <v>3517362</v>
      </c>
      <c r="FL7" s="272">
        <v>51493783</v>
      </c>
      <c r="FM7" s="272">
        <v>52226388</v>
      </c>
      <c r="FN7" s="460">
        <v>0.97099999999999997</v>
      </c>
      <c r="FO7" s="388">
        <v>97.8</v>
      </c>
      <c r="FP7" s="388">
        <v>37.799999999999997</v>
      </c>
      <c r="FQ7" s="388">
        <v>8.6999999999999993</v>
      </c>
      <c r="FR7" s="388">
        <v>17.100000000000001</v>
      </c>
      <c r="FS7" s="388">
        <v>10.7</v>
      </c>
      <c r="FT7" s="388">
        <v>10.4</v>
      </c>
      <c r="FU7" s="388">
        <v>12.7</v>
      </c>
      <c r="FV7" s="388">
        <v>17.100000000000001</v>
      </c>
      <c r="FW7" s="272">
        <v>122301971</v>
      </c>
      <c r="FX7" s="384">
        <f t="shared" si="16"/>
        <v>180.3</v>
      </c>
      <c r="FY7" s="272">
        <v>11263213</v>
      </c>
      <c r="FZ7" s="272">
        <v>9274</v>
      </c>
      <c r="GA7" s="272">
        <v>4073687</v>
      </c>
      <c r="GB7" s="272">
        <v>7180252</v>
      </c>
      <c r="GC7" s="272">
        <v>2783691</v>
      </c>
      <c r="GD7" s="272">
        <v>19084282</v>
      </c>
      <c r="GE7" s="384">
        <f t="shared" si="17"/>
        <v>28.1</v>
      </c>
      <c r="GF7" s="388">
        <v>98.1</v>
      </c>
      <c r="GG7" s="388">
        <v>18.399999999999999</v>
      </c>
      <c r="GH7" s="388">
        <v>91.5</v>
      </c>
      <c r="GI7" s="272">
        <v>2966</v>
      </c>
      <c r="GJ7" s="394"/>
      <c r="GK7" s="394"/>
      <c r="GL7" s="394"/>
      <c r="GM7" s="394"/>
      <c r="GN7" s="394"/>
      <c r="GO7" s="394"/>
      <c r="GP7" s="394"/>
      <c r="GQ7" s="394"/>
      <c r="GR7" s="394"/>
      <c r="GS7" s="394"/>
      <c r="GT7" s="394"/>
      <c r="GU7" s="394"/>
      <c r="GV7" s="394"/>
      <c r="GW7" s="394"/>
      <c r="GX7" s="394"/>
      <c r="GY7" s="394"/>
      <c r="GZ7" s="394"/>
      <c r="HA7" s="394"/>
      <c r="HB7" s="394"/>
      <c r="HC7" s="394"/>
      <c r="HD7" s="394"/>
      <c r="HE7" s="394"/>
      <c r="HF7" s="394"/>
      <c r="HG7" s="394"/>
      <c r="HH7" s="394"/>
      <c r="HI7" s="394"/>
      <c r="HJ7" s="394"/>
      <c r="HK7" s="394"/>
      <c r="HL7" s="394"/>
      <c r="HM7" s="394"/>
      <c r="HN7" s="394"/>
      <c r="HO7" s="394"/>
      <c r="HP7" s="394"/>
      <c r="HQ7" s="394"/>
      <c r="HR7" s="394"/>
      <c r="HS7" s="394"/>
      <c r="HT7" s="394"/>
      <c r="HU7" s="394"/>
      <c r="HV7" s="394"/>
    </row>
    <row r="8" spans="2:230" x14ac:dyDescent="0.15">
      <c r="B8" s="89" t="s">
        <v>9</v>
      </c>
      <c r="C8" s="272">
        <v>16712607</v>
      </c>
      <c r="D8" s="455">
        <f t="shared" si="0"/>
        <v>6197025</v>
      </c>
      <c r="E8" s="272">
        <v>121428</v>
      </c>
      <c r="F8" s="272">
        <v>6075597</v>
      </c>
      <c r="G8" s="455">
        <f t="shared" si="1"/>
        <v>1938911</v>
      </c>
      <c r="H8" s="272">
        <v>265960</v>
      </c>
      <c r="I8" s="272">
        <v>1672951</v>
      </c>
      <c r="J8" s="272">
        <v>6516141</v>
      </c>
      <c r="K8" s="272">
        <v>2968633</v>
      </c>
      <c r="L8" s="272">
        <v>2547159</v>
      </c>
      <c r="M8" s="272">
        <v>909475</v>
      </c>
      <c r="N8" s="272">
        <v>549505</v>
      </c>
      <c r="O8" s="272">
        <v>1439491</v>
      </c>
      <c r="P8" s="272">
        <v>886259</v>
      </c>
      <c r="Q8" s="272">
        <v>553232</v>
      </c>
      <c r="R8" s="272">
        <v>643761</v>
      </c>
      <c r="S8" s="272">
        <v>356992</v>
      </c>
      <c r="T8" s="455">
        <f t="shared" si="2"/>
        <v>1598552</v>
      </c>
      <c r="U8" s="272">
        <v>132512</v>
      </c>
      <c r="V8" s="272">
        <v>72385</v>
      </c>
      <c r="W8" s="272">
        <v>90123</v>
      </c>
      <c r="X8" s="272">
        <v>989602</v>
      </c>
      <c r="Y8" s="272">
        <v>90834</v>
      </c>
      <c r="Z8" s="272">
        <v>0</v>
      </c>
      <c r="AA8" s="272">
        <v>223096</v>
      </c>
      <c r="AB8" s="272">
        <v>700261</v>
      </c>
      <c r="AC8" s="272">
        <v>955689</v>
      </c>
      <c r="AD8" s="272">
        <v>527590</v>
      </c>
      <c r="AE8" s="272">
        <v>428099</v>
      </c>
      <c r="AF8" s="272">
        <v>19724</v>
      </c>
      <c r="AG8" s="272">
        <v>170799</v>
      </c>
      <c r="AH8" s="455">
        <f t="shared" si="3"/>
        <v>1024202</v>
      </c>
      <c r="AI8" s="272">
        <v>840195</v>
      </c>
      <c r="AJ8" s="272">
        <v>184007</v>
      </c>
      <c r="AK8" s="272">
        <v>2522946</v>
      </c>
      <c r="AL8" s="455">
        <f t="shared" si="4"/>
        <v>1082265</v>
      </c>
      <c r="AM8" s="272">
        <v>902429</v>
      </c>
      <c r="AN8" s="272">
        <v>177806</v>
      </c>
      <c r="AO8" s="272">
        <v>0</v>
      </c>
      <c r="AP8" s="272">
        <v>2030</v>
      </c>
      <c r="AQ8" s="272">
        <v>311398</v>
      </c>
      <c r="AR8" s="272">
        <v>0</v>
      </c>
      <c r="AS8" s="272">
        <v>0</v>
      </c>
      <c r="AT8" s="272">
        <v>1459631</v>
      </c>
      <c r="AU8" s="272">
        <v>658038</v>
      </c>
      <c r="AV8" s="272">
        <v>146822</v>
      </c>
      <c r="AW8" s="272">
        <v>8231</v>
      </c>
      <c r="AX8" s="272">
        <v>801593</v>
      </c>
      <c r="AY8" s="272">
        <v>21087</v>
      </c>
      <c r="AZ8" s="272">
        <v>1165086</v>
      </c>
      <c r="BA8" s="272">
        <v>1148322</v>
      </c>
      <c r="BB8" s="272">
        <v>406161</v>
      </c>
      <c r="BC8" s="272">
        <v>29149</v>
      </c>
      <c r="BD8" s="272">
        <v>0</v>
      </c>
      <c r="BE8" s="272">
        <v>0</v>
      </c>
      <c r="BF8" s="272">
        <v>23579</v>
      </c>
      <c r="BG8" s="272">
        <v>0</v>
      </c>
      <c r="BH8" s="272">
        <v>178832</v>
      </c>
      <c r="BI8" s="272">
        <v>126552</v>
      </c>
      <c r="BJ8" s="272">
        <v>3695446</v>
      </c>
      <c r="BK8" s="272">
        <v>3260337</v>
      </c>
      <c r="BL8" s="272">
        <v>23743</v>
      </c>
      <c r="BM8" s="272">
        <v>57986</v>
      </c>
      <c r="BN8" s="272">
        <v>3253850</v>
      </c>
      <c r="BO8" s="455">
        <f t="shared" si="5"/>
        <v>1873850</v>
      </c>
      <c r="BP8" s="455">
        <f t="shared" si="6"/>
        <v>1380000</v>
      </c>
      <c r="BQ8" s="272">
        <v>256500</v>
      </c>
      <c r="BR8" s="272"/>
      <c r="BS8" s="272">
        <v>1123500</v>
      </c>
      <c r="BT8" s="272">
        <v>0</v>
      </c>
      <c r="BU8" s="272">
        <v>34536696</v>
      </c>
      <c r="BV8" s="272"/>
      <c r="BW8" s="272">
        <v>8774390</v>
      </c>
      <c r="BX8" s="272">
        <v>5989677</v>
      </c>
      <c r="BY8" s="272">
        <v>1152293</v>
      </c>
      <c r="BZ8" s="272">
        <v>190345</v>
      </c>
      <c r="CA8" s="272">
        <v>4016303</v>
      </c>
      <c r="CB8" s="272">
        <v>1055962</v>
      </c>
      <c r="CC8" s="272">
        <v>149967</v>
      </c>
      <c r="CD8" s="272">
        <v>1563581</v>
      </c>
      <c r="CE8" s="272">
        <v>1179652</v>
      </c>
      <c r="CF8" s="272">
        <v>6180</v>
      </c>
      <c r="CG8" s="272">
        <v>60681</v>
      </c>
      <c r="CH8" s="272">
        <v>3500612</v>
      </c>
      <c r="CI8" s="272">
        <v>2681959</v>
      </c>
      <c r="CJ8" s="455">
        <f t="shared" si="7"/>
        <v>818653</v>
      </c>
      <c r="CK8" s="272">
        <v>5001531</v>
      </c>
      <c r="CL8" s="272">
        <v>3056351</v>
      </c>
      <c r="CM8" s="272">
        <v>358675</v>
      </c>
      <c r="CN8" s="272">
        <v>701608</v>
      </c>
      <c r="CO8" s="272">
        <v>350504</v>
      </c>
      <c r="CP8" s="272">
        <v>1837459</v>
      </c>
      <c r="CQ8" s="272">
        <v>0</v>
      </c>
      <c r="CR8" s="272">
        <v>710903</v>
      </c>
      <c r="CS8" s="272">
        <v>538181</v>
      </c>
      <c r="CT8" s="455">
        <f t="shared" si="8"/>
        <v>731185</v>
      </c>
      <c r="CU8" s="272">
        <v>625431</v>
      </c>
      <c r="CV8" s="272">
        <v>105754</v>
      </c>
      <c r="CW8" s="455">
        <f t="shared" si="9"/>
        <v>716515</v>
      </c>
      <c r="CX8" s="272">
        <v>621795</v>
      </c>
      <c r="CY8" s="272">
        <v>94720</v>
      </c>
      <c r="CZ8" s="455">
        <f t="shared" si="10"/>
        <v>0</v>
      </c>
      <c r="DA8" s="272">
        <v>0</v>
      </c>
      <c r="DB8" s="272">
        <v>0</v>
      </c>
      <c r="DC8" s="272">
        <v>2942242</v>
      </c>
      <c r="DD8" s="272">
        <v>612797</v>
      </c>
      <c r="DE8" s="272">
        <v>2305702</v>
      </c>
      <c r="DF8" s="272">
        <v>0</v>
      </c>
      <c r="DG8" s="272">
        <v>23743</v>
      </c>
      <c r="DH8" s="272">
        <v>0</v>
      </c>
      <c r="DI8" s="272">
        <v>1044974</v>
      </c>
      <c r="DJ8" s="272">
        <v>398876</v>
      </c>
      <c r="DK8" s="272">
        <v>0</v>
      </c>
      <c r="DL8" s="272">
        <v>646098</v>
      </c>
      <c r="DM8" s="272">
        <v>364961</v>
      </c>
      <c r="DN8" s="272">
        <v>364961</v>
      </c>
      <c r="DO8" s="272">
        <v>79242</v>
      </c>
      <c r="DP8" s="272">
        <v>285719</v>
      </c>
      <c r="DQ8" s="272">
        <v>3262490</v>
      </c>
      <c r="DR8" s="272">
        <v>0</v>
      </c>
      <c r="DS8" s="272">
        <v>0</v>
      </c>
      <c r="DT8" s="272">
        <v>3114204</v>
      </c>
      <c r="DU8" s="272">
        <v>1101339</v>
      </c>
      <c r="DV8" s="455">
        <f t="shared" si="11"/>
        <v>0</v>
      </c>
      <c r="DW8" s="272">
        <v>0</v>
      </c>
      <c r="DX8" s="272"/>
      <c r="DY8" s="272">
        <v>4443</v>
      </c>
      <c r="DZ8" s="272">
        <v>766434</v>
      </c>
      <c r="EA8" s="272">
        <v>549242</v>
      </c>
      <c r="EB8" s="272">
        <v>692746</v>
      </c>
      <c r="EC8" s="272">
        <v>0</v>
      </c>
      <c r="ED8" s="272">
        <v>34209670</v>
      </c>
      <c r="EF8" s="272">
        <v>327026</v>
      </c>
      <c r="EG8" s="272">
        <v>92590</v>
      </c>
      <c r="EH8" s="272">
        <v>234436</v>
      </c>
      <c r="EI8" s="71">
        <v>-542116</v>
      </c>
      <c r="EJ8" s="272">
        <v>-138527</v>
      </c>
      <c r="EL8" s="272">
        <v>101616</v>
      </c>
      <c r="EM8" s="272">
        <v>99756</v>
      </c>
      <c r="EN8" s="272">
        <v>0</v>
      </c>
      <c r="EO8" s="272">
        <v>1163232</v>
      </c>
      <c r="EP8" s="455">
        <f t="shared" si="12"/>
        <v>644221</v>
      </c>
      <c r="EQ8" s="272">
        <v>20630594</v>
      </c>
      <c r="ER8" s="272">
        <v>-3167729</v>
      </c>
      <c r="ES8" s="272">
        <v>8347184</v>
      </c>
      <c r="ET8" s="272">
        <v>5644114</v>
      </c>
      <c r="EU8" s="272">
        <v>1323433</v>
      </c>
      <c r="EV8" s="272">
        <v>3500442</v>
      </c>
      <c r="EW8" s="455">
        <f t="shared" si="13"/>
        <v>629443</v>
      </c>
      <c r="EX8" s="272">
        <v>629443</v>
      </c>
      <c r="EY8" s="272">
        <v>69218</v>
      </c>
      <c r="EZ8" s="272">
        <v>560225</v>
      </c>
      <c r="FA8" s="272">
        <v>0</v>
      </c>
      <c r="FB8" s="272"/>
      <c r="FC8" s="272">
        <v>3858486</v>
      </c>
      <c r="FD8" s="272">
        <v>1632897</v>
      </c>
      <c r="FE8" s="272">
        <v>0</v>
      </c>
      <c r="FF8" s="272">
        <v>2812522</v>
      </c>
      <c r="FG8" s="455">
        <f t="shared" si="14"/>
        <v>1366890</v>
      </c>
      <c r="FH8" s="272">
        <v>23471297</v>
      </c>
      <c r="FI8" s="384">
        <f t="shared" si="15"/>
        <v>1.3</v>
      </c>
      <c r="FJ8" s="272">
        <v>18329020</v>
      </c>
      <c r="FK8" s="272">
        <v>1123502</v>
      </c>
      <c r="FL8" s="272">
        <v>13519264</v>
      </c>
      <c r="FM8" s="272">
        <v>14046854</v>
      </c>
      <c r="FN8" s="460">
        <v>0.93799999999999994</v>
      </c>
      <c r="FO8" s="388">
        <v>103</v>
      </c>
      <c r="FP8" s="388">
        <v>39.6</v>
      </c>
      <c r="FQ8" s="388">
        <v>6.5</v>
      </c>
      <c r="FR8" s="388">
        <v>17.2</v>
      </c>
      <c r="FS8" s="388">
        <v>18.600000000000001</v>
      </c>
      <c r="FT8" s="388">
        <v>7.4</v>
      </c>
      <c r="FU8" s="388">
        <v>12.1</v>
      </c>
      <c r="FV8" s="388">
        <v>15.1</v>
      </c>
      <c r="FW8" s="272">
        <v>35639506</v>
      </c>
      <c r="FX8" s="384">
        <f t="shared" si="16"/>
        <v>194.4</v>
      </c>
      <c r="FY8" s="272">
        <v>4733409</v>
      </c>
      <c r="FZ8" s="272">
        <v>2240816</v>
      </c>
      <c r="GA8" s="272">
        <v>0</v>
      </c>
      <c r="GB8" s="272">
        <v>2492593</v>
      </c>
      <c r="GC8" s="272"/>
      <c r="GD8" s="272">
        <v>2605422</v>
      </c>
      <c r="GE8" s="384">
        <f t="shared" si="17"/>
        <v>14.2</v>
      </c>
      <c r="GF8" s="388">
        <v>98.5</v>
      </c>
      <c r="GG8" s="388">
        <v>19.3</v>
      </c>
      <c r="GH8" s="388">
        <v>92.8</v>
      </c>
      <c r="GI8" s="272">
        <v>852</v>
      </c>
      <c r="GJ8" s="394"/>
      <c r="GK8" s="394"/>
      <c r="GL8" s="394"/>
      <c r="GM8" s="394"/>
      <c r="GN8" s="394"/>
      <c r="GO8" s="394"/>
      <c r="GP8" s="394"/>
      <c r="GQ8" s="394"/>
      <c r="GR8" s="394"/>
      <c r="GS8" s="394"/>
      <c r="GT8" s="394"/>
      <c r="GU8" s="394"/>
      <c r="GV8" s="394"/>
      <c r="GW8" s="394"/>
      <c r="GX8" s="394"/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</row>
    <row r="9" spans="2:230" x14ac:dyDescent="0.15">
      <c r="B9" s="89" t="s">
        <v>11</v>
      </c>
      <c r="C9" s="272">
        <v>61566548</v>
      </c>
      <c r="D9" s="455">
        <f t="shared" si="0"/>
        <v>23002819</v>
      </c>
      <c r="E9" s="272">
        <v>423458</v>
      </c>
      <c r="F9" s="272">
        <v>22579361</v>
      </c>
      <c r="G9" s="455">
        <f t="shared" si="1"/>
        <v>5963987</v>
      </c>
      <c r="H9" s="272">
        <v>1082914</v>
      </c>
      <c r="I9" s="272">
        <v>4881073</v>
      </c>
      <c r="J9" s="272">
        <v>24041065</v>
      </c>
      <c r="K9" s="272">
        <v>9882619</v>
      </c>
      <c r="L9" s="272">
        <v>10811522</v>
      </c>
      <c r="M9" s="272">
        <v>2864753</v>
      </c>
      <c r="N9" s="272">
        <v>1817059</v>
      </c>
      <c r="O9" s="272">
        <v>5502248</v>
      </c>
      <c r="P9" s="272">
        <v>2974404</v>
      </c>
      <c r="Q9" s="272">
        <v>2527844</v>
      </c>
      <c r="R9" s="272">
        <v>1947336</v>
      </c>
      <c r="S9" s="272">
        <v>1223533</v>
      </c>
      <c r="T9" s="455">
        <f t="shared" si="2"/>
        <v>5062818</v>
      </c>
      <c r="U9" s="272">
        <v>492021</v>
      </c>
      <c r="V9" s="272">
        <v>269157</v>
      </c>
      <c r="W9" s="272">
        <v>336401</v>
      </c>
      <c r="X9" s="272">
        <v>3234103</v>
      </c>
      <c r="Y9" s="272">
        <v>0</v>
      </c>
      <c r="Z9" s="272">
        <v>0</v>
      </c>
      <c r="AA9" s="272">
        <v>731136</v>
      </c>
      <c r="AB9" s="272">
        <v>2632945</v>
      </c>
      <c r="AC9" s="272">
        <v>128035</v>
      </c>
      <c r="AD9" s="272">
        <v>0</v>
      </c>
      <c r="AE9" s="272">
        <v>128035</v>
      </c>
      <c r="AF9" s="272">
        <v>61880</v>
      </c>
      <c r="AG9" s="272">
        <v>1056204</v>
      </c>
      <c r="AH9" s="455">
        <f t="shared" si="3"/>
        <v>2569748</v>
      </c>
      <c r="AI9" s="272">
        <v>2187949</v>
      </c>
      <c r="AJ9" s="272">
        <v>381799</v>
      </c>
      <c r="AK9" s="272">
        <v>11188725</v>
      </c>
      <c r="AL9" s="455">
        <f t="shared" si="4"/>
        <v>6593646</v>
      </c>
      <c r="AM9" s="272">
        <v>6008090</v>
      </c>
      <c r="AN9" s="272">
        <v>581785</v>
      </c>
      <c r="AO9" s="272">
        <v>0</v>
      </c>
      <c r="AP9" s="272">
        <v>3771</v>
      </c>
      <c r="AQ9" s="272">
        <v>564598</v>
      </c>
      <c r="AR9" s="272">
        <v>0</v>
      </c>
      <c r="AS9" s="272">
        <v>0</v>
      </c>
      <c r="AT9" s="272">
        <v>5029346</v>
      </c>
      <c r="AU9" s="272">
        <v>3021518</v>
      </c>
      <c r="AV9" s="272">
        <v>429680</v>
      </c>
      <c r="AW9" s="272">
        <v>137116</v>
      </c>
      <c r="AX9" s="272">
        <v>2007828</v>
      </c>
      <c r="AY9" s="272">
        <v>118466</v>
      </c>
      <c r="AZ9" s="272">
        <v>75110</v>
      </c>
      <c r="BA9" s="272">
        <v>60513</v>
      </c>
      <c r="BB9" s="272">
        <v>7877</v>
      </c>
      <c r="BC9" s="272">
        <v>872648</v>
      </c>
      <c r="BD9" s="272">
        <v>300000</v>
      </c>
      <c r="BE9" s="272">
        <v>0</v>
      </c>
      <c r="BF9" s="272">
        <v>520930</v>
      </c>
      <c r="BG9" s="272">
        <v>0</v>
      </c>
      <c r="BH9" s="272">
        <v>444359</v>
      </c>
      <c r="BI9" s="272">
        <v>268004</v>
      </c>
      <c r="BJ9" s="272">
        <v>2397368</v>
      </c>
      <c r="BK9" s="272">
        <v>1134811</v>
      </c>
      <c r="BL9" s="272">
        <v>173516</v>
      </c>
      <c r="BM9" s="272">
        <v>73643</v>
      </c>
      <c r="BN9" s="272">
        <v>5582000</v>
      </c>
      <c r="BO9" s="455">
        <f t="shared" si="5"/>
        <v>1523300</v>
      </c>
      <c r="BP9" s="455">
        <f t="shared" si="6"/>
        <v>4058700</v>
      </c>
      <c r="BQ9" s="272">
        <v>958700</v>
      </c>
      <c r="BR9" s="272"/>
      <c r="BS9" s="272">
        <v>3100000</v>
      </c>
      <c r="BT9" s="272">
        <v>0</v>
      </c>
      <c r="BU9" s="272">
        <v>100622947</v>
      </c>
      <c r="BV9" s="272"/>
      <c r="BW9" s="272">
        <v>28943937</v>
      </c>
      <c r="BX9" s="272">
        <v>19908780</v>
      </c>
      <c r="BY9" s="272">
        <v>2863060</v>
      </c>
      <c r="BZ9" s="272">
        <v>1795765</v>
      </c>
      <c r="CA9" s="272">
        <v>20060938</v>
      </c>
      <c r="CB9" s="272">
        <v>3667053</v>
      </c>
      <c r="CC9" s="272">
        <v>1008750</v>
      </c>
      <c r="CD9" s="272">
        <v>6409701</v>
      </c>
      <c r="CE9" s="272">
        <v>8046725</v>
      </c>
      <c r="CF9" s="272">
        <v>431986</v>
      </c>
      <c r="CG9" s="272">
        <v>494883</v>
      </c>
      <c r="CH9" s="272">
        <v>7706711</v>
      </c>
      <c r="CI9" s="272">
        <v>6053096</v>
      </c>
      <c r="CJ9" s="455">
        <f t="shared" si="7"/>
        <v>1653615</v>
      </c>
      <c r="CK9" s="272">
        <v>14296002</v>
      </c>
      <c r="CL9" s="272">
        <v>8587173</v>
      </c>
      <c r="CM9" s="272">
        <v>715209</v>
      </c>
      <c r="CN9" s="272">
        <v>2834463</v>
      </c>
      <c r="CO9" s="272">
        <v>2857099</v>
      </c>
      <c r="CP9" s="272">
        <v>4907527</v>
      </c>
      <c r="CQ9" s="272">
        <v>1144</v>
      </c>
      <c r="CR9" s="272">
        <v>2569355</v>
      </c>
      <c r="CS9" s="272">
        <v>1871423</v>
      </c>
      <c r="CT9" s="455">
        <f t="shared" si="8"/>
        <v>1022938</v>
      </c>
      <c r="CU9" s="272">
        <v>690519</v>
      </c>
      <c r="CV9" s="272">
        <v>332419</v>
      </c>
      <c r="CW9" s="455">
        <f t="shared" si="9"/>
        <v>998180</v>
      </c>
      <c r="CX9" s="272">
        <v>665761</v>
      </c>
      <c r="CY9" s="272">
        <v>332419</v>
      </c>
      <c r="CZ9" s="455">
        <f t="shared" si="10"/>
        <v>0</v>
      </c>
      <c r="DA9" s="272">
        <v>0</v>
      </c>
      <c r="DB9" s="272">
        <v>0</v>
      </c>
      <c r="DC9" s="272">
        <v>6012131</v>
      </c>
      <c r="DD9" s="272">
        <v>1326912</v>
      </c>
      <c r="DE9" s="272">
        <v>4509583</v>
      </c>
      <c r="DF9" s="272">
        <v>5270</v>
      </c>
      <c r="DG9" s="272">
        <v>170366</v>
      </c>
      <c r="DH9" s="272">
        <v>0</v>
      </c>
      <c r="DI9" s="272">
        <v>2127954</v>
      </c>
      <c r="DJ9" s="272">
        <v>84016</v>
      </c>
      <c r="DK9" s="272">
        <v>60008</v>
      </c>
      <c r="DL9" s="272">
        <v>1983930</v>
      </c>
      <c r="DM9" s="272">
        <v>383820</v>
      </c>
      <c r="DN9" s="272">
        <v>360820</v>
      </c>
      <c r="DO9" s="272">
        <v>0</v>
      </c>
      <c r="DP9" s="272">
        <v>360820</v>
      </c>
      <c r="DQ9" s="272">
        <v>1212700</v>
      </c>
      <c r="DR9" s="272">
        <v>0</v>
      </c>
      <c r="DS9" s="272">
        <v>0</v>
      </c>
      <c r="DT9" s="272">
        <v>11617394</v>
      </c>
      <c r="DU9" s="272">
        <v>4502119</v>
      </c>
      <c r="DV9" s="455">
        <f t="shared" si="11"/>
        <v>0</v>
      </c>
      <c r="DW9" s="272">
        <v>0</v>
      </c>
      <c r="DX9" s="272"/>
      <c r="DY9" s="272">
        <v>104342</v>
      </c>
      <c r="DZ9" s="272">
        <v>3110769</v>
      </c>
      <c r="EA9" s="272">
        <v>1716272</v>
      </c>
      <c r="EB9" s="272">
        <v>1981838</v>
      </c>
      <c r="EC9" s="272">
        <v>0</v>
      </c>
      <c r="ED9" s="272">
        <v>100126213</v>
      </c>
      <c r="EF9" s="272">
        <v>496734</v>
      </c>
      <c r="EG9" s="272">
        <v>254344</v>
      </c>
      <c r="EH9" s="272">
        <v>242390</v>
      </c>
      <c r="EI9" s="71">
        <v>-25614</v>
      </c>
      <c r="EJ9" s="272">
        <v>-241598</v>
      </c>
      <c r="EL9" s="272">
        <v>353885</v>
      </c>
      <c r="EM9" s="272">
        <v>345752</v>
      </c>
      <c r="EN9" s="272">
        <v>351718</v>
      </c>
      <c r="EO9" s="272">
        <v>70295</v>
      </c>
      <c r="EP9" s="455">
        <f t="shared" si="12"/>
        <v>1621646</v>
      </c>
      <c r="EQ9" s="272">
        <v>71399562</v>
      </c>
      <c r="ER9" s="272">
        <v>-6040479</v>
      </c>
      <c r="ES9" s="272">
        <v>27025626</v>
      </c>
      <c r="ET9" s="272">
        <v>18271816</v>
      </c>
      <c r="EU9" s="272">
        <v>7193289</v>
      </c>
      <c r="EV9" s="272">
        <v>7516752</v>
      </c>
      <c r="EW9" s="455">
        <f t="shared" si="13"/>
        <v>3022191</v>
      </c>
      <c r="EX9" s="272">
        <v>3022191</v>
      </c>
      <c r="EY9" s="272">
        <v>154998</v>
      </c>
      <c r="EZ9" s="272">
        <v>2861923</v>
      </c>
      <c r="FA9" s="272">
        <v>0</v>
      </c>
      <c r="FB9" s="272"/>
      <c r="FC9" s="272">
        <v>12189237</v>
      </c>
      <c r="FD9" s="272">
        <v>4277457</v>
      </c>
      <c r="FE9" s="272">
        <v>1144</v>
      </c>
      <c r="FF9" s="272">
        <v>10498754</v>
      </c>
      <c r="FG9" s="455">
        <f t="shared" si="14"/>
        <v>5220001</v>
      </c>
      <c r="FH9" s="272">
        <v>76943307</v>
      </c>
      <c r="FI9" s="384">
        <f t="shared" si="15"/>
        <v>0.4</v>
      </c>
      <c r="FJ9" s="272">
        <v>64976338</v>
      </c>
      <c r="FK9" s="272">
        <v>3182918</v>
      </c>
      <c r="FL9" s="272">
        <v>49233346</v>
      </c>
      <c r="FM9" s="272">
        <v>43373661</v>
      </c>
      <c r="FN9" s="460">
        <v>1.107</v>
      </c>
      <c r="FO9" s="388">
        <v>93.9</v>
      </c>
      <c r="FP9" s="388">
        <v>35.200000000000003</v>
      </c>
      <c r="FQ9" s="388">
        <v>10.199999999999999</v>
      </c>
      <c r="FR9" s="388">
        <v>10.6</v>
      </c>
      <c r="FS9" s="388">
        <v>16.3</v>
      </c>
      <c r="FT9" s="388">
        <v>4.9000000000000004</v>
      </c>
      <c r="FU9" s="388">
        <v>12.8</v>
      </c>
      <c r="FV9" s="388">
        <v>11</v>
      </c>
      <c r="FW9" s="272">
        <v>68011662</v>
      </c>
      <c r="FX9" s="384">
        <f t="shared" si="16"/>
        <v>104.7</v>
      </c>
      <c r="FY9" s="272">
        <v>35515003</v>
      </c>
      <c r="FZ9" s="272">
        <v>9820293</v>
      </c>
      <c r="GA9" s="272">
        <v>120008</v>
      </c>
      <c r="GB9" s="272">
        <v>25574702</v>
      </c>
      <c r="GC9" s="272"/>
      <c r="GD9" s="272">
        <v>11270401</v>
      </c>
      <c r="GE9" s="384">
        <f t="shared" si="17"/>
        <v>17.3</v>
      </c>
      <c r="GF9" s="388">
        <v>98.8</v>
      </c>
      <c r="GG9" s="388">
        <v>28.6</v>
      </c>
      <c r="GH9" s="388">
        <v>95.9</v>
      </c>
      <c r="GI9" s="272">
        <v>2673</v>
      </c>
      <c r="GJ9" s="394"/>
      <c r="GK9" s="394"/>
      <c r="GL9" s="394"/>
      <c r="GM9" s="394"/>
      <c r="GN9" s="394"/>
      <c r="GO9" s="394"/>
      <c r="GP9" s="394"/>
      <c r="GQ9" s="394"/>
      <c r="GR9" s="394"/>
      <c r="GS9" s="394"/>
      <c r="GT9" s="394"/>
      <c r="GU9" s="394"/>
      <c r="GV9" s="394"/>
      <c r="GW9" s="394"/>
      <c r="GX9" s="394"/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</row>
    <row r="10" spans="2:230" x14ac:dyDescent="0.15">
      <c r="B10" s="89" t="s">
        <v>13</v>
      </c>
      <c r="C10" s="272">
        <v>10985740</v>
      </c>
      <c r="D10" s="455">
        <f t="shared" si="0"/>
        <v>2816362</v>
      </c>
      <c r="E10" s="272">
        <v>83927</v>
      </c>
      <c r="F10" s="272">
        <v>2732435</v>
      </c>
      <c r="G10" s="455">
        <f t="shared" si="1"/>
        <v>937322</v>
      </c>
      <c r="H10" s="272">
        <v>212752</v>
      </c>
      <c r="I10" s="272">
        <v>724570</v>
      </c>
      <c r="J10" s="272">
        <v>5504415</v>
      </c>
      <c r="K10" s="272">
        <v>2161843</v>
      </c>
      <c r="L10" s="272">
        <v>2130526</v>
      </c>
      <c r="M10" s="272">
        <v>701265</v>
      </c>
      <c r="N10" s="272">
        <v>599496</v>
      </c>
      <c r="O10" s="272">
        <v>1064099</v>
      </c>
      <c r="P10" s="272">
        <v>582615</v>
      </c>
      <c r="Q10" s="272">
        <v>481484</v>
      </c>
      <c r="R10" s="272">
        <v>517533</v>
      </c>
      <c r="S10" s="272">
        <v>264066</v>
      </c>
      <c r="T10" s="455">
        <f t="shared" si="2"/>
        <v>1046865</v>
      </c>
      <c r="U10" s="272">
        <v>68658</v>
      </c>
      <c r="V10" s="272">
        <v>37492</v>
      </c>
      <c r="W10" s="272">
        <v>46638</v>
      </c>
      <c r="X10" s="272">
        <v>719893</v>
      </c>
      <c r="Y10" s="272">
        <v>0</v>
      </c>
      <c r="Z10" s="272">
        <v>0</v>
      </c>
      <c r="AA10" s="272">
        <v>174184</v>
      </c>
      <c r="AB10" s="272">
        <v>299363</v>
      </c>
      <c r="AC10" s="272">
        <v>3436170</v>
      </c>
      <c r="AD10" s="272">
        <v>3122094</v>
      </c>
      <c r="AE10" s="272">
        <v>314076</v>
      </c>
      <c r="AF10" s="272">
        <v>16845</v>
      </c>
      <c r="AG10" s="272">
        <v>173886</v>
      </c>
      <c r="AH10" s="455">
        <f t="shared" si="3"/>
        <v>473490</v>
      </c>
      <c r="AI10" s="272">
        <v>418084</v>
      </c>
      <c r="AJ10" s="272">
        <v>55406</v>
      </c>
      <c r="AK10" s="272">
        <v>3451328</v>
      </c>
      <c r="AL10" s="455">
        <f t="shared" si="4"/>
        <v>1785323</v>
      </c>
      <c r="AM10" s="272">
        <v>1647218</v>
      </c>
      <c r="AN10" s="272">
        <v>137397</v>
      </c>
      <c r="AO10" s="272">
        <v>0</v>
      </c>
      <c r="AP10" s="272">
        <v>708</v>
      </c>
      <c r="AQ10" s="272">
        <v>508890</v>
      </c>
      <c r="AR10" s="272">
        <v>0</v>
      </c>
      <c r="AS10" s="272">
        <v>0</v>
      </c>
      <c r="AT10" s="272">
        <v>1820501</v>
      </c>
      <c r="AU10" s="272">
        <v>1097863</v>
      </c>
      <c r="AV10" s="272">
        <v>67937</v>
      </c>
      <c r="AW10" s="272">
        <v>0</v>
      </c>
      <c r="AX10" s="272">
        <v>722638</v>
      </c>
      <c r="AY10" s="272">
        <v>20063</v>
      </c>
      <c r="AZ10" s="272">
        <v>43882</v>
      </c>
      <c r="BA10" s="272">
        <v>13473</v>
      </c>
      <c r="BB10" s="272">
        <v>7081</v>
      </c>
      <c r="BC10" s="272">
        <v>218793</v>
      </c>
      <c r="BD10" s="272">
        <v>178381</v>
      </c>
      <c r="BE10" s="272">
        <v>0</v>
      </c>
      <c r="BF10" s="272">
        <v>8210</v>
      </c>
      <c r="BG10" s="272">
        <v>0</v>
      </c>
      <c r="BH10" s="272">
        <v>80843</v>
      </c>
      <c r="BI10" s="272">
        <v>44669</v>
      </c>
      <c r="BJ10" s="272">
        <v>671765</v>
      </c>
      <c r="BK10" s="272">
        <v>81739</v>
      </c>
      <c r="BL10" s="272">
        <v>0</v>
      </c>
      <c r="BM10" s="272">
        <v>56100</v>
      </c>
      <c r="BN10" s="272">
        <v>2422800</v>
      </c>
      <c r="BO10" s="455">
        <f t="shared" si="5"/>
        <v>1461000</v>
      </c>
      <c r="BP10" s="455">
        <f t="shared" si="6"/>
        <v>961800</v>
      </c>
      <c r="BQ10" s="272">
        <v>119600</v>
      </c>
      <c r="BR10" s="272"/>
      <c r="BS10" s="272">
        <v>842200</v>
      </c>
      <c r="BT10" s="272">
        <v>0</v>
      </c>
      <c r="BU10" s="272">
        <v>25666885</v>
      </c>
      <c r="BV10" s="272"/>
      <c r="BW10" s="272">
        <v>5514109</v>
      </c>
      <c r="BX10" s="272">
        <v>3498460</v>
      </c>
      <c r="BY10" s="272">
        <v>776935</v>
      </c>
      <c r="BZ10" s="272">
        <v>331526</v>
      </c>
      <c r="CA10" s="272">
        <v>4997160</v>
      </c>
      <c r="CB10" s="272">
        <v>655444</v>
      </c>
      <c r="CC10" s="272">
        <v>285749</v>
      </c>
      <c r="CD10" s="272">
        <v>1792249</v>
      </c>
      <c r="CE10" s="272">
        <v>2186625</v>
      </c>
      <c r="CF10" s="272">
        <v>0</v>
      </c>
      <c r="CG10" s="272">
        <v>77073</v>
      </c>
      <c r="CH10" s="272">
        <v>2783680</v>
      </c>
      <c r="CI10" s="272">
        <v>2113774</v>
      </c>
      <c r="CJ10" s="455">
        <f t="shared" si="7"/>
        <v>669906</v>
      </c>
      <c r="CK10" s="272">
        <v>2210541</v>
      </c>
      <c r="CL10" s="272">
        <v>1170433</v>
      </c>
      <c r="CM10" s="272">
        <v>190855</v>
      </c>
      <c r="CN10" s="272">
        <v>385093</v>
      </c>
      <c r="CO10" s="272">
        <v>131479</v>
      </c>
      <c r="CP10" s="272">
        <v>2744638</v>
      </c>
      <c r="CQ10" s="272">
        <v>1142090</v>
      </c>
      <c r="CR10" s="272">
        <v>353773</v>
      </c>
      <c r="CS10" s="272">
        <v>351259</v>
      </c>
      <c r="CT10" s="455">
        <f t="shared" si="8"/>
        <v>751140</v>
      </c>
      <c r="CU10" s="272">
        <v>751140</v>
      </c>
      <c r="CV10" s="272">
        <v>0</v>
      </c>
      <c r="CW10" s="455">
        <f t="shared" si="9"/>
        <v>670598</v>
      </c>
      <c r="CX10" s="272">
        <v>670598</v>
      </c>
      <c r="CY10" s="272">
        <v>0</v>
      </c>
      <c r="CZ10" s="455">
        <f t="shared" si="10"/>
        <v>0</v>
      </c>
      <c r="DA10" s="272">
        <v>0</v>
      </c>
      <c r="DB10" s="272">
        <v>0</v>
      </c>
      <c r="DC10" s="272">
        <v>3192404</v>
      </c>
      <c r="DD10" s="272">
        <v>1018196</v>
      </c>
      <c r="DE10" s="272">
        <v>1105816</v>
      </c>
      <c r="DF10" s="272">
        <v>340049</v>
      </c>
      <c r="DG10" s="272">
        <v>728343</v>
      </c>
      <c r="DH10" s="272">
        <v>0</v>
      </c>
      <c r="DI10" s="272">
        <v>180458</v>
      </c>
      <c r="DJ10" s="272">
        <v>178381</v>
      </c>
      <c r="DK10" s="272">
        <v>0</v>
      </c>
      <c r="DL10" s="272">
        <v>2077</v>
      </c>
      <c r="DM10" s="272">
        <v>0</v>
      </c>
      <c r="DN10" s="272">
        <v>0</v>
      </c>
      <c r="DO10" s="272">
        <v>0</v>
      </c>
      <c r="DP10" s="272">
        <v>0</v>
      </c>
      <c r="DQ10" s="272">
        <v>19914</v>
      </c>
      <c r="DR10" s="272">
        <v>0</v>
      </c>
      <c r="DS10" s="272">
        <v>0</v>
      </c>
      <c r="DT10" s="272">
        <v>3813797</v>
      </c>
      <c r="DU10" s="272">
        <v>1743860</v>
      </c>
      <c r="DV10" s="455">
        <f t="shared" si="11"/>
        <v>0</v>
      </c>
      <c r="DW10" s="272">
        <v>0</v>
      </c>
      <c r="DX10" s="272"/>
      <c r="DY10" s="272">
        <v>22978</v>
      </c>
      <c r="DZ10" s="272">
        <v>655672</v>
      </c>
      <c r="EA10" s="272">
        <v>470340</v>
      </c>
      <c r="EB10" s="272">
        <v>557903</v>
      </c>
      <c r="EC10" s="272">
        <v>0</v>
      </c>
      <c r="ED10" s="272">
        <v>25588180</v>
      </c>
      <c r="EF10" s="272">
        <v>78705</v>
      </c>
      <c r="EG10" s="272">
        <v>195</v>
      </c>
      <c r="EH10" s="272">
        <v>78510</v>
      </c>
      <c r="EI10" s="71">
        <v>33841</v>
      </c>
      <c r="EJ10" s="272">
        <v>33841</v>
      </c>
      <c r="EL10" s="272">
        <v>77673</v>
      </c>
      <c r="EM10" s="272">
        <v>76812</v>
      </c>
      <c r="EN10" s="272">
        <v>212631</v>
      </c>
      <c r="EO10" s="272">
        <v>43175</v>
      </c>
      <c r="EP10" s="455">
        <f t="shared" si="12"/>
        <v>757229</v>
      </c>
      <c r="EQ10" s="272">
        <v>16302516</v>
      </c>
      <c r="ER10" s="272">
        <v>-1957990</v>
      </c>
      <c r="ES10" s="272">
        <v>4944827</v>
      </c>
      <c r="ET10" s="272">
        <v>3040941</v>
      </c>
      <c r="EU10" s="272">
        <v>1577127</v>
      </c>
      <c r="EV10" s="272">
        <v>2771862</v>
      </c>
      <c r="EW10" s="455">
        <f t="shared" si="13"/>
        <v>403913</v>
      </c>
      <c r="EX10" s="272">
        <v>403913</v>
      </c>
      <c r="EY10" s="272">
        <v>5806</v>
      </c>
      <c r="EZ10" s="272">
        <v>398058</v>
      </c>
      <c r="FA10" s="272">
        <v>0</v>
      </c>
      <c r="FB10" s="272"/>
      <c r="FC10" s="272">
        <v>1995594</v>
      </c>
      <c r="FD10" s="272">
        <v>2685570</v>
      </c>
      <c r="FE10" s="272">
        <v>1142090</v>
      </c>
      <c r="FF10" s="272">
        <v>3496586</v>
      </c>
      <c r="FG10" s="455">
        <f t="shared" si="14"/>
        <v>306322</v>
      </c>
      <c r="FH10" s="272">
        <v>18181801</v>
      </c>
      <c r="FI10" s="384">
        <f t="shared" si="15"/>
        <v>0.5</v>
      </c>
      <c r="FJ10" s="272">
        <v>14727692</v>
      </c>
      <c r="FK10" s="272">
        <v>842254</v>
      </c>
      <c r="FL10" s="272">
        <v>8839650</v>
      </c>
      <c r="FM10" s="272">
        <v>11953632</v>
      </c>
      <c r="FN10" s="460">
        <v>0.74399999999999999</v>
      </c>
      <c r="FO10" s="388">
        <v>95.7</v>
      </c>
      <c r="FP10" s="388">
        <v>27.9</v>
      </c>
      <c r="FQ10" s="388">
        <v>9.9</v>
      </c>
      <c r="FR10" s="388">
        <v>17.3</v>
      </c>
      <c r="FS10" s="388">
        <v>9.3000000000000007</v>
      </c>
      <c r="FT10" s="388">
        <v>13.1</v>
      </c>
      <c r="FU10" s="388">
        <v>17.399999999999999</v>
      </c>
      <c r="FV10" s="388">
        <v>21.6</v>
      </c>
      <c r="FW10" s="272">
        <v>31092498</v>
      </c>
      <c r="FX10" s="384">
        <f t="shared" si="16"/>
        <v>211.1</v>
      </c>
      <c r="FY10" s="272">
        <v>1007628</v>
      </c>
      <c r="FZ10" s="272">
        <v>0</v>
      </c>
      <c r="GA10" s="272">
        <v>0</v>
      </c>
      <c r="GB10" s="272">
        <v>1007628</v>
      </c>
      <c r="GC10" s="272">
        <v>280000</v>
      </c>
      <c r="GD10" s="272">
        <v>6033842</v>
      </c>
      <c r="GE10" s="384">
        <f t="shared" si="17"/>
        <v>41</v>
      </c>
      <c r="GF10" s="388">
        <v>98.6</v>
      </c>
      <c r="GG10" s="388">
        <v>22.2</v>
      </c>
      <c r="GH10" s="388">
        <v>93.7</v>
      </c>
      <c r="GI10" s="272">
        <v>504</v>
      </c>
      <c r="GJ10" s="394"/>
      <c r="GK10" s="394"/>
      <c r="GL10" s="394"/>
      <c r="GM10" s="394"/>
      <c r="GN10" s="394"/>
      <c r="GO10" s="394"/>
      <c r="GP10" s="394"/>
      <c r="GQ10" s="394"/>
      <c r="GR10" s="394"/>
      <c r="GS10" s="394"/>
      <c r="GT10" s="394"/>
      <c r="GU10" s="394"/>
      <c r="GV10" s="394"/>
      <c r="GW10" s="394"/>
      <c r="GX10" s="394"/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</row>
    <row r="11" spans="2:230" x14ac:dyDescent="0.15">
      <c r="B11" s="89" t="s">
        <v>15</v>
      </c>
      <c r="C11" s="272">
        <v>46486891</v>
      </c>
      <c r="D11" s="455">
        <f t="shared" si="0"/>
        <v>16620660</v>
      </c>
      <c r="E11" s="272">
        <v>432102</v>
      </c>
      <c r="F11" s="272">
        <v>16188558</v>
      </c>
      <c r="G11" s="455">
        <f t="shared" si="1"/>
        <v>2955788</v>
      </c>
      <c r="H11" s="272">
        <v>739372</v>
      </c>
      <c r="I11" s="272">
        <v>2216416</v>
      </c>
      <c r="J11" s="272">
        <v>19902161</v>
      </c>
      <c r="K11" s="272">
        <v>8758795</v>
      </c>
      <c r="L11" s="272">
        <v>8154743</v>
      </c>
      <c r="M11" s="272">
        <v>2688594</v>
      </c>
      <c r="N11" s="272">
        <v>1663201</v>
      </c>
      <c r="O11" s="272">
        <v>4038045</v>
      </c>
      <c r="P11" s="272">
        <v>2306305</v>
      </c>
      <c r="Q11" s="272">
        <v>1731740</v>
      </c>
      <c r="R11" s="272">
        <v>2045432</v>
      </c>
      <c r="S11" s="272">
        <v>1256972</v>
      </c>
      <c r="T11" s="455">
        <f t="shared" si="2"/>
        <v>4672799</v>
      </c>
      <c r="U11" s="272">
        <v>393525</v>
      </c>
      <c r="V11" s="272">
        <v>214511</v>
      </c>
      <c r="W11" s="272">
        <v>265569</v>
      </c>
      <c r="X11" s="272">
        <v>2932092</v>
      </c>
      <c r="Y11" s="272">
        <v>70638</v>
      </c>
      <c r="Z11" s="272">
        <v>0</v>
      </c>
      <c r="AA11" s="272">
        <v>796464</v>
      </c>
      <c r="AB11" s="272">
        <v>1703516</v>
      </c>
      <c r="AC11" s="272">
        <v>11561130</v>
      </c>
      <c r="AD11" s="272">
        <v>11247122</v>
      </c>
      <c r="AE11" s="272">
        <v>314008</v>
      </c>
      <c r="AF11" s="272">
        <v>69424</v>
      </c>
      <c r="AG11" s="272">
        <v>804122</v>
      </c>
      <c r="AH11" s="455">
        <f t="shared" si="3"/>
        <v>2866311</v>
      </c>
      <c r="AI11" s="272">
        <v>1896785</v>
      </c>
      <c r="AJ11" s="272">
        <v>969526</v>
      </c>
      <c r="AK11" s="272">
        <v>11174937</v>
      </c>
      <c r="AL11" s="455">
        <f t="shared" si="4"/>
        <v>5852458</v>
      </c>
      <c r="AM11" s="272">
        <v>5160000</v>
      </c>
      <c r="AN11" s="272">
        <v>667193</v>
      </c>
      <c r="AO11" s="272">
        <v>20073</v>
      </c>
      <c r="AP11" s="272">
        <v>5192</v>
      </c>
      <c r="AQ11" s="272">
        <v>1054599</v>
      </c>
      <c r="AR11" s="272">
        <v>0</v>
      </c>
      <c r="AS11" s="272">
        <v>0</v>
      </c>
      <c r="AT11" s="272">
        <v>3361016</v>
      </c>
      <c r="AU11" s="272">
        <v>753368</v>
      </c>
      <c r="AV11" s="272">
        <v>0</v>
      </c>
      <c r="AW11" s="272">
        <v>52517</v>
      </c>
      <c r="AX11" s="272">
        <v>2607648</v>
      </c>
      <c r="AY11" s="272">
        <v>10023</v>
      </c>
      <c r="AZ11" s="272">
        <v>64818</v>
      </c>
      <c r="BA11" s="272">
        <v>41592</v>
      </c>
      <c r="BB11" s="272">
        <v>141764</v>
      </c>
      <c r="BC11" s="272">
        <v>641058</v>
      </c>
      <c r="BD11" s="272">
        <v>1300</v>
      </c>
      <c r="BE11" s="272">
        <v>0</v>
      </c>
      <c r="BF11" s="272">
        <v>534590</v>
      </c>
      <c r="BG11" s="272">
        <v>0</v>
      </c>
      <c r="BH11" s="272">
        <v>580019</v>
      </c>
      <c r="BI11" s="272">
        <v>326067</v>
      </c>
      <c r="BJ11" s="272">
        <v>2614785</v>
      </c>
      <c r="BK11" s="272">
        <v>1604731</v>
      </c>
      <c r="BL11" s="272">
        <v>0</v>
      </c>
      <c r="BM11" s="272">
        <v>74300</v>
      </c>
      <c r="BN11" s="272">
        <v>4367000</v>
      </c>
      <c r="BO11" s="455">
        <f t="shared" si="5"/>
        <v>1167000</v>
      </c>
      <c r="BP11" s="455">
        <f t="shared" si="6"/>
        <v>3200000</v>
      </c>
      <c r="BQ11" s="272">
        <v>0</v>
      </c>
      <c r="BR11" s="272"/>
      <c r="BS11" s="272">
        <v>3200000</v>
      </c>
      <c r="BT11" s="272">
        <v>0</v>
      </c>
      <c r="BU11" s="272">
        <v>93155022</v>
      </c>
      <c r="BV11" s="272"/>
      <c r="BW11" s="272">
        <v>25296603</v>
      </c>
      <c r="BX11" s="272">
        <v>16995134</v>
      </c>
      <c r="BY11" s="272">
        <v>3096641</v>
      </c>
      <c r="BZ11" s="272">
        <v>1429788</v>
      </c>
      <c r="CA11" s="272">
        <v>16938400</v>
      </c>
      <c r="CB11" s="272">
        <v>3058537</v>
      </c>
      <c r="CC11" s="272">
        <v>693090</v>
      </c>
      <c r="CD11" s="272">
        <v>5813327</v>
      </c>
      <c r="CE11" s="272">
        <v>6839871</v>
      </c>
      <c r="CF11" s="272">
        <v>159227</v>
      </c>
      <c r="CG11" s="272">
        <v>372738</v>
      </c>
      <c r="CH11" s="272">
        <v>8629270</v>
      </c>
      <c r="CI11" s="272">
        <v>7131311</v>
      </c>
      <c r="CJ11" s="455">
        <f t="shared" si="7"/>
        <v>1497959</v>
      </c>
      <c r="CK11" s="272">
        <v>11728370</v>
      </c>
      <c r="CL11" s="272">
        <v>6517205</v>
      </c>
      <c r="CM11" s="272">
        <v>580735</v>
      </c>
      <c r="CN11" s="272">
        <v>3068932</v>
      </c>
      <c r="CO11" s="272">
        <v>1391076</v>
      </c>
      <c r="CP11" s="272">
        <v>4358864</v>
      </c>
      <c r="CQ11" s="272">
        <v>19734</v>
      </c>
      <c r="CR11" s="272">
        <v>2000315</v>
      </c>
      <c r="CS11" s="272">
        <v>1604070</v>
      </c>
      <c r="CT11" s="455">
        <f t="shared" si="8"/>
        <v>1069432</v>
      </c>
      <c r="CU11" s="272">
        <v>57899</v>
      </c>
      <c r="CV11" s="272">
        <v>1011533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8559907</v>
      </c>
      <c r="DD11" s="272">
        <v>4000895</v>
      </c>
      <c r="DE11" s="272">
        <v>4500871</v>
      </c>
      <c r="DF11" s="272">
        <v>58141</v>
      </c>
      <c r="DG11" s="272">
        <v>0</v>
      </c>
      <c r="DH11" s="272">
        <v>0</v>
      </c>
      <c r="DI11" s="272">
        <v>2312637</v>
      </c>
      <c r="DJ11" s="272">
        <v>635303</v>
      </c>
      <c r="DK11" s="272">
        <v>6009</v>
      </c>
      <c r="DL11" s="272">
        <v>1671325</v>
      </c>
      <c r="DM11" s="272">
        <v>1300</v>
      </c>
      <c r="DN11" s="272">
        <v>0</v>
      </c>
      <c r="DO11" s="272">
        <v>0</v>
      </c>
      <c r="DP11" s="272">
        <v>0</v>
      </c>
      <c r="DQ11" s="272">
        <v>1586909</v>
      </c>
      <c r="DR11" s="272">
        <v>0</v>
      </c>
      <c r="DS11" s="272">
        <v>0</v>
      </c>
      <c r="DT11" s="272">
        <v>11549099</v>
      </c>
      <c r="DU11" s="272">
        <v>4600000</v>
      </c>
      <c r="DV11" s="455">
        <f t="shared" si="11"/>
        <v>0</v>
      </c>
      <c r="DW11" s="272">
        <v>0</v>
      </c>
      <c r="DX11" s="272"/>
      <c r="DY11" s="272">
        <v>0</v>
      </c>
      <c r="DZ11" s="272">
        <v>2805095</v>
      </c>
      <c r="EA11" s="272">
        <v>2016205</v>
      </c>
      <c r="EB11" s="272">
        <v>2125796</v>
      </c>
      <c r="EC11" s="272">
        <v>0</v>
      </c>
      <c r="ED11" s="272">
        <v>92352435</v>
      </c>
      <c r="EF11" s="272">
        <v>802587</v>
      </c>
      <c r="EG11" s="272">
        <v>244066</v>
      </c>
      <c r="EH11" s="272">
        <v>558521</v>
      </c>
      <c r="EI11" s="71">
        <v>232454</v>
      </c>
      <c r="EJ11" s="272">
        <v>866477</v>
      </c>
      <c r="EL11" s="272">
        <v>351826</v>
      </c>
      <c r="EM11" s="272">
        <v>354971</v>
      </c>
      <c r="EN11" s="272">
        <v>44584</v>
      </c>
      <c r="EO11" s="272">
        <v>51017</v>
      </c>
      <c r="EP11" s="455">
        <f t="shared" si="12"/>
        <v>1981540</v>
      </c>
      <c r="EQ11" s="272">
        <v>66539192</v>
      </c>
      <c r="ER11" s="272">
        <v>-5207717</v>
      </c>
      <c r="ES11" s="272">
        <v>23608430</v>
      </c>
      <c r="ET11" s="272">
        <v>15447402</v>
      </c>
      <c r="EU11" s="272">
        <v>5755790</v>
      </c>
      <c r="EV11" s="272">
        <v>8537221</v>
      </c>
      <c r="EW11" s="455">
        <f t="shared" si="13"/>
        <v>5538716</v>
      </c>
      <c r="EX11" s="272">
        <v>5538716</v>
      </c>
      <c r="EY11" s="272">
        <v>1933086</v>
      </c>
      <c r="EZ11" s="272">
        <v>3547489</v>
      </c>
      <c r="FA11" s="272">
        <v>0</v>
      </c>
      <c r="FB11" s="272"/>
      <c r="FC11" s="272">
        <v>9626425</v>
      </c>
      <c r="FD11" s="272">
        <v>3925472</v>
      </c>
      <c r="FE11" s="272">
        <v>19734</v>
      </c>
      <c r="FF11" s="272">
        <v>10480470</v>
      </c>
      <c r="FG11" s="455">
        <f t="shared" si="14"/>
        <v>3532267</v>
      </c>
      <c r="FH11" s="272">
        <v>71004791</v>
      </c>
      <c r="FI11" s="384">
        <f t="shared" si="15"/>
        <v>0.9</v>
      </c>
      <c r="FJ11" s="272">
        <v>61326412</v>
      </c>
      <c r="FK11" s="272">
        <v>3216592</v>
      </c>
      <c r="FL11" s="272">
        <v>38088575</v>
      </c>
      <c r="FM11" s="272">
        <v>49335697</v>
      </c>
      <c r="FN11" s="460">
        <v>0.76900000000000002</v>
      </c>
      <c r="FO11" s="388">
        <v>89.9</v>
      </c>
      <c r="FP11" s="388">
        <v>33.6</v>
      </c>
      <c r="FQ11" s="388">
        <v>8.6999999999999993</v>
      </c>
      <c r="FR11" s="388">
        <v>13</v>
      </c>
      <c r="FS11" s="388">
        <v>14.2</v>
      </c>
      <c r="FT11" s="388">
        <v>5.0999999999999996</v>
      </c>
      <c r="FU11" s="388">
        <v>13.1</v>
      </c>
      <c r="FV11" s="388">
        <v>7.7</v>
      </c>
      <c r="FW11" s="272">
        <v>60699721</v>
      </c>
      <c r="FX11" s="384">
        <f t="shared" si="16"/>
        <v>99</v>
      </c>
      <c r="FY11" s="272">
        <v>35338257</v>
      </c>
      <c r="FZ11" s="272">
        <v>10797071</v>
      </c>
      <c r="GA11" s="272">
        <v>2473874</v>
      </c>
      <c r="GB11" s="272">
        <v>22067312</v>
      </c>
      <c r="GC11" s="272"/>
      <c r="GD11" s="272">
        <v>2102870</v>
      </c>
      <c r="GE11" s="384">
        <f t="shared" si="17"/>
        <v>3.4</v>
      </c>
      <c r="GF11" s="388">
        <v>98.7</v>
      </c>
      <c r="GG11" s="388">
        <v>20.7</v>
      </c>
      <c r="GH11" s="388">
        <v>94.8</v>
      </c>
      <c r="GI11" s="272">
        <v>2143</v>
      </c>
      <c r="GJ11" s="394"/>
      <c r="GK11" s="394"/>
      <c r="GL11" s="394"/>
      <c r="GM11" s="394"/>
      <c r="GN11" s="394"/>
      <c r="GO11" s="394"/>
      <c r="GP11" s="394"/>
      <c r="GQ11" s="394"/>
      <c r="GR11" s="394"/>
      <c r="GS11" s="394"/>
      <c r="GT11" s="394"/>
      <c r="GU11" s="394"/>
      <c r="GV11" s="394"/>
      <c r="GW11" s="394"/>
      <c r="GX11" s="394"/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</row>
    <row r="12" spans="2:230" x14ac:dyDescent="0.15">
      <c r="B12" s="89" t="s">
        <v>17</v>
      </c>
      <c r="C12" s="272">
        <v>10828447</v>
      </c>
      <c r="D12" s="455">
        <f t="shared" si="0"/>
        <v>3035711</v>
      </c>
      <c r="E12" s="272">
        <v>95081</v>
      </c>
      <c r="F12" s="272">
        <v>2940630</v>
      </c>
      <c r="G12" s="455">
        <f t="shared" si="1"/>
        <v>736996</v>
      </c>
      <c r="H12" s="272">
        <v>178380</v>
      </c>
      <c r="I12" s="272">
        <v>558616</v>
      </c>
      <c r="J12" s="272">
        <v>5054925</v>
      </c>
      <c r="K12" s="272">
        <v>2037848</v>
      </c>
      <c r="L12" s="272">
        <v>2170722</v>
      </c>
      <c r="M12" s="272">
        <v>686266</v>
      </c>
      <c r="N12" s="272">
        <v>904911</v>
      </c>
      <c r="O12" s="272">
        <v>975750</v>
      </c>
      <c r="P12" s="272">
        <v>515482</v>
      </c>
      <c r="Q12" s="272">
        <v>460268</v>
      </c>
      <c r="R12" s="272">
        <v>533967</v>
      </c>
      <c r="S12" s="272">
        <v>311300</v>
      </c>
      <c r="T12" s="455">
        <f t="shared" si="2"/>
        <v>1167097</v>
      </c>
      <c r="U12" s="272">
        <v>72608</v>
      </c>
      <c r="V12" s="272">
        <v>39606</v>
      </c>
      <c r="W12" s="272">
        <v>49127</v>
      </c>
      <c r="X12" s="272">
        <v>781978</v>
      </c>
      <c r="Y12" s="272">
        <v>0</v>
      </c>
      <c r="Z12" s="272">
        <v>0</v>
      </c>
      <c r="AA12" s="272">
        <v>223778</v>
      </c>
      <c r="AB12" s="272">
        <v>276990</v>
      </c>
      <c r="AC12" s="272">
        <v>3982535</v>
      </c>
      <c r="AD12" s="272">
        <v>3607435</v>
      </c>
      <c r="AE12" s="272">
        <v>375100</v>
      </c>
      <c r="AF12" s="272">
        <v>19877</v>
      </c>
      <c r="AG12" s="272">
        <v>288308</v>
      </c>
      <c r="AH12" s="455">
        <f t="shared" si="3"/>
        <v>601129</v>
      </c>
      <c r="AI12" s="272">
        <v>510370</v>
      </c>
      <c r="AJ12" s="272">
        <v>90759</v>
      </c>
      <c r="AK12" s="272">
        <v>3689103</v>
      </c>
      <c r="AL12" s="455">
        <f t="shared" si="4"/>
        <v>2165132</v>
      </c>
      <c r="AM12" s="272">
        <v>1744366</v>
      </c>
      <c r="AN12" s="272">
        <v>420437</v>
      </c>
      <c r="AO12" s="272">
        <v>0</v>
      </c>
      <c r="AP12" s="272">
        <v>329</v>
      </c>
      <c r="AQ12" s="272">
        <v>376935</v>
      </c>
      <c r="AR12" s="272">
        <v>0</v>
      </c>
      <c r="AS12" s="272">
        <v>0</v>
      </c>
      <c r="AT12" s="272">
        <v>1480804</v>
      </c>
      <c r="AU12" s="272">
        <v>697677</v>
      </c>
      <c r="AV12" s="272">
        <v>197511</v>
      </c>
      <c r="AW12" s="272">
        <v>20105</v>
      </c>
      <c r="AX12" s="272">
        <v>783127</v>
      </c>
      <c r="AY12" s="272">
        <v>23563</v>
      </c>
      <c r="AZ12" s="272">
        <v>22532</v>
      </c>
      <c r="BA12" s="272">
        <v>4929</v>
      </c>
      <c r="BB12" s="272">
        <v>8892</v>
      </c>
      <c r="BC12" s="272">
        <v>25206</v>
      </c>
      <c r="BD12" s="272">
        <v>0</v>
      </c>
      <c r="BE12" s="272">
        <v>0</v>
      </c>
      <c r="BF12" s="272">
        <v>19338</v>
      </c>
      <c r="BG12" s="272">
        <v>0</v>
      </c>
      <c r="BH12" s="272">
        <v>191615</v>
      </c>
      <c r="BI12" s="272">
        <v>190887</v>
      </c>
      <c r="BJ12" s="272">
        <v>494580</v>
      </c>
      <c r="BK12" s="272">
        <v>48875</v>
      </c>
      <c r="BL12" s="272">
        <v>0</v>
      </c>
      <c r="BM12" s="272">
        <v>57059</v>
      </c>
      <c r="BN12" s="272">
        <v>1825600</v>
      </c>
      <c r="BO12" s="455">
        <f t="shared" si="5"/>
        <v>740900</v>
      </c>
      <c r="BP12" s="455">
        <f t="shared" si="6"/>
        <v>1084700</v>
      </c>
      <c r="BQ12" s="272">
        <v>119100</v>
      </c>
      <c r="BR12" s="272"/>
      <c r="BS12" s="272">
        <v>965600</v>
      </c>
      <c r="BT12" s="272">
        <v>0</v>
      </c>
      <c r="BU12" s="272">
        <v>25436682</v>
      </c>
      <c r="BV12" s="272"/>
      <c r="BW12" s="272">
        <v>6325317</v>
      </c>
      <c r="BX12" s="272">
        <v>4233446</v>
      </c>
      <c r="BY12" s="272">
        <v>470442</v>
      </c>
      <c r="BZ12" s="272">
        <v>503223</v>
      </c>
      <c r="CA12" s="272">
        <v>5786384</v>
      </c>
      <c r="CB12" s="272">
        <v>705064</v>
      </c>
      <c r="CC12" s="272">
        <v>194517</v>
      </c>
      <c r="CD12" s="272">
        <v>2482282</v>
      </c>
      <c r="CE12" s="272">
        <v>2306142</v>
      </c>
      <c r="CF12" s="272">
        <v>282</v>
      </c>
      <c r="CG12" s="272">
        <v>98097</v>
      </c>
      <c r="CH12" s="272">
        <v>2503479</v>
      </c>
      <c r="CI12" s="272">
        <v>1909912</v>
      </c>
      <c r="CJ12" s="455">
        <f t="shared" si="7"/>
        <v>593567</v>
      </c>
      <c r="CK12" s="272">
        <v>2522902</v>
      </c>
      <c r="CL12" s="272">
        <v>1194309</v>
      </c>
      <c r="CM12" s="272">
        <v>264608</v>
      </c>
      <c r="CN12" s="272">
        <v>527012</v>
      </c>
      <c r="CO12" s="272">
        <v>63896</v>
      </c>
      <c r="CP12" s="272">
        <v>2665512</v>
      </c>
      <c r="CQ12" s="272">
        <v>987730</v>
      </c>
      <c r="CR12" s="272">
        <v>696199</v>
      </c>
      <c r="CS12" s="272">
        <v>406747</v>
      </c>
      <c r="CT12" s="455">
        <f t="shared" si="8"/>
        <v>625372</v>
      </c>
      <c r="CU12" s="272">
        <v>624372</v>
      </c>
      <c r="CV12" s="272">
        <v>1000</v>
      </c>
      <c r="CW12" s="455">
        <f t="shared" si="9"/>
        <v>614233</v>
      </c>
      <c r="CX12" s="272">
        <v>613233</v>
      </c>
      <c r="CY12" s="272">
        <v>1000</v>
      </c>
      <c r="CZ12" s="455">
        <f t="shared" si="10"/>
        <v>0</v>
      </c>
      <c r="DA12" s="272">
        <v>0</v>
      </c>
      <c r="DB12" s="272">
        <v>0</v>
      </c>
      <c r="DC12" s="272">
        <v>1697038</v>
      </c>
      <c r="DD12" s="272">
        <v>828731</v>
      </c>
      <c r="DE12" s="272">
        <v>824725</v>
      </c>
      <c r="DF12" s="272">
        <v>43582</v>
      </c>
      <c r="DG12" s="272">
        <v>0</v>
      </c>
      <c r="DH12" s="272">
        <v>0</v>
      </c>
      <c r="DI12" s="272">
        <v>426200</v>
      </c>
      <c r="DJ12" s="272">
        <v>120000</v>
      </c>
      <c r="DK12" s="272">
        <v>0</v>
      </c>
      <c r="DL12" s="272">
        <v>306200</v>
      </c>
      <c r="DM12" s="272">
        <v>0</v>
      </c>
      <c r="DN12" s="272">
        <v>0</v>
      </c>
      <c r="DO12" s="272">
        <v>0</v>
      </c>
      <c r="DP12" s="272">
        <v>0</v>
      </c>
      <c r="DQ12" s="272">
        <v>43800</v>
      </c>
      <c r="DR12" s="272">
        <v>0</v>
      </c>
      <c r="DS12" s="272">
        <v>0</v>
      </c>
      <c r="DT12" s="272">
        <v>3105646</v>
      </c>
      <c r="DU12" s="272">
        <v>1402354</v>
      </c>
      <c r="DV12" s="455">
        <f t="shared" si="11"/>
        <v>0</v>
      </c>
      <c r="DW12" s="272">
        <v>0</v>
      </c>
      <c r="DX12" s="272"/>
      <c r="DY12" s="272">
        <v>0</v>
      </c>
      <c r="DZ12" s="272">
        <v>623423</v>
      </c>
      <c r="EA12" s="272">
        <v>470780</v>
      </c>
      <c r="EB12" s="272">
        <v>605928</v>
      </c>
      <c r="EC12" s="272">
        <v>0</v>
      </c>
      <c r="ED12" s="272">
        <v>25140174</v>
      </c>
      <c r="EF12" s="272">
        <v>296508</v>
      </c>
      <c r="EG12" s="272">
        <v>8345</v>
      </c>
      <c r="EH12" s="272">
        <v>288163</v>
      </c>
      <c r="EI12" s="71">
        <v>97276</v>
      </c>
      <c r="EJ12" s="272">
        <v>217276</v>
      </c>
      <c r="EL12" s="272">
        <v>90314</v>
      </c>
      <c r="EM12" s="272">
        <v>89947</v>
      </c>
      <c r="EN12" s="272">
        <v>0</v>
      </c>
      <c r="EO12" s="272">
        <v>163</v>
      </c>
      <c r="EP12" s="455">
        <f t="shared" si="12"/>
        <v>661090</v>
      </c>
      <c r="EQ12" s="272">
        <v>16808913</v>
      </c>
      <c r="ER12" s="272">
        <v>-1726076</v>
      </c>
      <c r="ES12" s="272">
        <v>5902717</v>
      </c>
      <c r="ET12" s="272">
        <v>3946524</v>
      </c>
      <c r="EU12" s="272">
        <v>1650714</v>
      </c>
      <c r="EV12" s="272">
        <v>2442112</v>
      </c>
      <c r="EW12" s="455">
        <f t="shared" si="13"/>
        <v>471323</v>
      </c>
      <c r="EX12" s="272">
        <v>471323</v>
      </c>
      <c r="EY12" s="272">
        <v>72481</v>
      </c>
      <c r="EZ12" s="272">
        <v>392460</v>
      </c>
      <c r="FA12" s="272">
        <v>0</v>
      </c>
      <c r="FB12" s="272"/>
      <c r="FC12" s="272">
        <v>2018743</v>
      </c>
      <c r="FD12" s="272">
        <v>2521928</v>
      </c>
      <c r="FE12" s="272">
        <v>987730</v>
      </c>
      <c r="FF12" s="272">
        <v>2771587</v>
      </c>
      <c r="FG12" s="455">
        <f t="shared" si="14"/>
        <v>459357</v>
      </c>
      <c r="FH12" s="272">
        <v>18238481</v>
      </c>
      <c r="FI12" s="384">
        <f t="shared" si="15"/>
        <v>1.9</v>
      </c>
      <c r="FJ12" s="272">
        <v>15178406</v>
      </c>
      <c r="FK12" s="272">
        <v>965627</v>
      </c>
      <c r="FL12" s="272">
        <v>8815126</v>
      </c>
      <c r="FM12" s="272">
        <v>12422561</v>
      </c>
      <c r="FN12" s="460">
        <v>0.70199999999999996</v>
      </c>
      <c r="FO12" s="388">
        <v>94.8</v>
      </c>
      <c r="FP12" s="388">
        <v>33.700000000000003</v>
      </c>
      <c r="FQ12" s="388">
        <v>9.9</v>
      </c>
      <c r="FR12" s="388">
        <v>14.7</v>
      </c>
      <c r="FS12" s="388">
        <v>10.9</v>
      </c>
      <c r="FT12" s="388">
        <v>12.6</v>
      </c>
      <c r="FU12" s="388">
        <v>12.6</v>
      </c>
      <c r="FV12" s="388">
        <v>16.399999999999999</v>
      </c>
      <c r="FW12" s="272">
        <v>22822690</v>
      </c>
      <c r="FX12" s="384">
        <f t="shared" si="16"/>
        <v>150.4</v>
      </c>
      <c r="FY12" s="272">
        <v>4680472</v>
      </c>
      <c r="FZ12" s="272">
        <v>923697</v>
      </c>
      <c r="GA12" s="272">
        <v>188585</v>
      </c>
      <c r="GB12" s="272">
        <v>3568190</v>
      </c>
      <c r="GC12" s="272"/>
      <c r="GD12" s="272">
        <v>4954223</v>
      </c>
      <c r="GE12" s="384">
        <f t="shared" si="17"/>
        <v>32.6</v>
      </c>
      <c r="GF12" s="388">
        <v>97.7</v>
      </c>
      <c r="GG12" s="388">
        <v>21.1</v>
      </c>
      <c r="GH12" s="388">
        <v>89.9</v>
      </c>
      <c r="GI12" s="272">
        <v>614</v>
      </c>
      <c r="GJ12" s="394"/>
      <c r="GK12" s="394"/>
      <c r="GL12" s="394"/>
      <c r="GM12" s="394"/>
      <c r="GN12" s="394"/>
      <c r="GO12" s="394"/>
      <c r="GP12" s="394"/>
      <c r="GQ12" s="394"/>
      <c r="GR12" s="394"/>
      <c r="GS12" s="394"/>
      <c r="GT12" s="394"/>
      <c r="GU12" s="394"/>
      <c r="GV12" s="394"/>
      <c r="GW12" s="394"/>
      <c r="GX12" s="394"/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</row>
    <row r="13" spans="2:230" x14ac:dyDescent="0.15">
      <c r="B13" s="89" t="s">
        <v>19</v>
      </c>
      <c r="C13" s="272">
        <v>22290249</v>
      </c>
      <c r="D13" s="455">
        <f t="shared" si="0"/>
        <v>5453937</v>
      </c>
      <c r="E13" s="272">
        <v>165227</v>
      </c>
      <c r="F13" s="272">
        <v>5288710</v>
      </c>
      <c r="G13" s="455">
        <f t="shared" si="1"/>
        <v>2264869</v>
      </c>
      <c r="H13" s="272">
        <v>408630</v>
      </c>
      <c r="I13" s="272">
        <v>1856239</v>
      </c>
      <c r="J13" s="272">
        <v>10647217</v>
      </c>
      <c r="K13" s="272">
        <v>4338896</v>
      </c>
      <c r="L13" s="272">
        <v>4079704</v>
      </c>
      <c r="M13" s="272">
        <v>1866472</v>
      </c>
      <c r="N13" s="272">
        <v>1059901</v>
      </c>
      <c r="O13" s="272">
        <v>2096919</v>
      </c>
      <c r="P13" s="272">
        <v>1183373</v>
      </c>
      <c r="Q13" s="272">
        <v>913546</v>
      </c>
      <c r="R13" s="272">
        <v>838926</v>
      </c>
      <c r="S13" s="272">
        <v>535573</v>
      </c>
      <c r="T13" s="455">
        <f t="shared" si="2"/>
        <v>2199570</v>
      </c>
      <c r="U13" s="272">
        <v>132726</v>
      </c>
      <c r="V13" s="272">
        <v>72246</v>
      </c>
      <c r="W13" s="272">
        <v>89102</v>
      </c>
      <c r="X13" s="272">
        <v>1599065</v>
      </c>
      <c r="Y13" s="272">
        <v>0</v>
      </c>
      <c r="Z13" s="272">
        <v>0</v>
      </c>
      <c r="AA13" s="272">
        <v>306431</v>
      </c>
      <c r="AB13" s="272">
        <v>648558</v>
      </c>
      <c r="AC13" s="272">
        <v>4550648</v>
      </c>
      <c r="AD13" s="272">
        <v>4003523</v>
      </c>
      <c r="AE13" s="272">
        <v>547125</v>
      </c>
      <c r="AF13" s="272">
        <v>29840</v>
      </c>
      <c r="AG13" s="272">
        <v>1990175</v>
      </c>
      <c r="AH13" s="455">
        <f t="shared" si="3"/>
        <v>940581</v>
      </c>
      <c r="AI13" s="272">
        <v>794566</v>
      </c>
      <c r="AJ13" s="272">
        <v>146015</v>
      </c>
      <c r="AK13" s="272">
        <v>8350078</v>
      </c>
      <c r="AL13" s="455">
        <f t="shared" si="4"/>
        <v>7279985</v>
      </c>
      <c r="AM13" s="272">
        <v>5799870</v>
      </c>
      <c r="AN13" s="272">
        <v>1480115</v>
      </c>
      <c r="AO13" s="272">
        <v>0</v>
      </c>
      <c r="AP13" s="272">
        <v>0</v>
      </c>
      <c r="AQ13" s="272">
        <v>302770</v>
      </c>
      <c r="AR13" s="272">
        <v>0</v>
      </c>
      <c r="AS13" s="272">
        <v>0</v>
      </c>
      <c r="AT13" s="272">
        <v>2459928</v>
      </c>
      <c r="AU13" s="272">
        <v>932523</v>
      </c>
      <c r="AV13" s="272">
        <v>308243</v>
      </c>
      <c r="AW13" s="272">
        <v>5245</v>
      </c>
      <c r="AX13" s="272">
        <v>1527405</v>
      </c>
      <c r="AY13" s="272">
        <v>35539</v>
      </c>
      <c r="AZ13" s="272">
        <v>197576</v>
      </c>
      <c r="BA13" s="272">
        <v>129975</v>
      </c>
      <c r="BB13" s="272">
        <v>11677</v>
      </c>
      <c r="BC13" s="272">
        <v>3857</v>
      </c>
      <c r="BD13" s="272">
        <v>0</v>
      </c>
      <c r="BE13" s="272">
        <v>0</v>
      </c>
      <c r="BF13" s="272">
        <v>3857</v>
      </c>
      <c r="BG13" s="272">
        <v>0</v>
      </c>
      <c r="BH13" s="272">
        <v>0</v>
      </c>
      <c r="BI13" s="272">
        <v>0</v>
      </c>
      <c r="BJ13" s="272">
        <v>667749</v>
      </c>
      <c r="BK13" s="272">
        <v>30018</v>
      </c>
      <c r="BL13" s="272">
        <v>0</v>
      </c>
      <c r="BM13" s="272">
        <v>61609</v>
      </c>
      <c r="BN13" s="272">
        <v>2388300</v>
      </c>
      <c r="BO13" s="455">
        <f t="shared" si="5"/>
        <v>570300</v>
      </c>
      <c r="BP13" s="455">
        <f t="shared" si="6"/>
        <v>1818000</v>
      </c>
      <c r="BQ13" s="272">
        <v>252200</v>
      </c>
      <c r="BR13" s="272"/>
      <c r="BS13" s="272">
        <v>1565800</v>
      </c>
      <c r="BT13" s="272">
        <v>0</v>
      </c>
      <c r="BU13" s="272">
        <v>47567712</v>
      </c>
      <c r="BV13" s="272"/>
      <c r="BW13" s="272">
        <v>12921984</v>
      </c>
      <c r="BX13" s="272">
        <v>8971214</v>
      </c>
      <c r="BY13" s="272">
        <v>1232743</v>
      </c>
      <c r="BZ13" s="272">
        <v>488140</v>
      </c>
      <c r="CA13" s="272">
        <v>14489358</v>
      </c>
      <c r="CB13" s="272">
        <v>1165054</v>
      </c>
      <c r="CC13" s="272">
        <v>389947</v>
      </c>
      <c r="CD13" s="272">
        <v>3206357</v>
      </c>
      <c r="CE13" s="272">
        <v>7734275</v>
      </c>
      <c r="CF13" s="272">
        <v>1807811</v>
      </c>
      <c r="CG13" s="272">
        <v>185034</v>
      </c>
      <c r="CH13" s="272">
        <v>4911231</v>
      </c>
      <c r="CI13" s="272">
        <v>3730783</v>
      </c>
      <c r="CJ13" s="455">
        <f t="shared" si="7"/>
        <v>1180448</v>
      </c>
      <c r="CK13" s="272">
        <v>3675858</v>
      </c>
      <c r="CL13" s="272">
        <v>2018815</v>
      </c>
      <c r="CM13" s="272">
        <v>190505</v>
      </c>
      <c r="CN13" s="272">
        <v>786869</v>
      </c>
      <c r="CO13" s="272">
        <v>267287</v>
      </c>
      <c r="CP13" s="272">
        <v>3773493</v>
      </c>
      <c r="CQ13" s="272">
        <v>2108062</v>
      </c>
      <c r="CR13" s="272">
        <v>749914</v>
      </c>
      <c r="CS13" s="272">
        <v>641938</v>
      </c>
      <c r="CT13" s="455">
        <f t="shared" si="8"/>
        <v>77456</v>
      </c>
      <c r="CU13" s="272">
        <v>77456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1286925</v>
      </c>
      <c r="DD13" s="272">
        <v>617004</v>
      </c>
      <c r="DE13" s="272">
        <v>669921</v>
      </c>
      <c r="DF13" s="272">
        <v>0</v>
      </c>
      <c r="DG13" s="272">
        <v>0</v>
      </c>
      <c r="DH13" s="272">
        <v>0</v>
      </c>
      <c r="DI13" s="272">
        <v>104224</v>
      </c>
      <c r="DJ13" s="272">
        <v>14</v>
      </c>
      <c r="DK13" s="272">
        <v>5</v>
      </c>
      <c r="DL13" s="272">
        <v>104205</v>
      </c>
      <c r="DM13" s="272">
        <v>11500</v>
      </c>
      <c r="DN13" s="272">
        <v>11500</v>
      </c>
      <c r="DO13" s="272">
        <v>11500</v>
      </c>
      <c r="DP13" s="272">
        <v>0</v>
      </c>
      <c r="DQ13" s="272">
        <v>18345</v>
      </c>
      <c r="DR13" s="272">
        <v>0</v>
      </c>
      <c r="DS13" s="272">
        <v>0</v>
      </c>
      <c r="DT13" s="272">
        <v>6093422</v>
      </c>
      <c r="DU13" s="272">
        <v>2472572</v>
      </c>
      <c r="DV13" s="455">
        <f t="shared" si="11"/>
        <v>0</v>
      </c>
      <c r="DW13" s="272">
        <v>0</v>
      </c>
      <c r="DX13" s="272"/>
      <c r="DY13" s="272">
        <v>0</v>
      </c>
      <c r="DZ13" s="272">
        <v>1751474</v>
      </c>
      <c r="EA13" s="272">
        <v>878939</v>
      </c>
      <c r="EB13" s="272">
        <v>990437</v>
      </c>
      <c r="EC13" s="272">
        <v>2933871</v>
      </c>
      <c r="ED13" s="272">
        <v>50487498</v>
      </c>
      <c r="EF13" s="272">
        <v>-2919786</v>
      </c>
      <c r="EG13" s="272">
        <v>2036</v>
      </c>
      <c r="EH13" s="272">
        <v>-2921822</v>
      </c>
      <c r="EI13" s="71">
        <v>14657</v>
      </c>
      <c r="EJ13" s="272">
        <v>14671</v>
      </c>
      <c r="EL13" s="272">
        <v>147465</v>
      </c>
      <c r="EM13" s="272">
        <v>145792</v>
      </c>
      <c r="EN13" s="272">
        <v>0</v>
      </c>
      <c r="EO13" s="272">
        <v>97944</v>
      </c>
      <c r="EP13" s="455">
        <f t="shared" si="12"/>
        <v>632678</v>
      </c>
      <c r="EQ13" s="272">
        <v>30557791</v>
      </c>
      <c r="ER13" s="272">
        <v>-2518782</v>
      </c>
      <c r="ES13" s="272">
        <v>12069801</v>
      </c>
      <c r="ET13" s="272">
        <v>8375410</v>
      </c>
      <c r="EU13" s="272">
        <v>3640028</v>
      </c>
      <c r="EV13" s="272">
        <v>4818989</v>
      </c>
      <c r="EW13" s="455">
        <f t="shared" si="13"/>
        <v>342021</v>
      </c>
      <c r="EX13" s="272">
        <v>342021</v>
      </c>
      <c r="EY13" s="272">
        <v>10046</v>
      </c>
      <c r="EZ13" s="272">
        <v>331975</v>
      </c>
      <c r="FA13" s="272">
        <v>0</v>
      </c>
      <c r="FB13" s="272"/>
      <c r="FC13" s="272">
        <v>2989963</v>
      </c>
      <c r="FD13" s="272">
        <v>3628318</v>
      </c>
      <c r="FE13" s="272">
        <v>2108062</v>
      </c>
      <c r="FF13" s="272">
        <v>5333316</v>
      </c>
      <c r="FG13" s="455">
        <f t="shared" si="14"/>
        <v>3173923</v>
      </c>
      <c r="FH13" s="272">
        <v>35996359</v>
      </c>
      <c r="FI13" s="384">
        <f t="shared" si="15"/>
        <v>-10.5</v>
      </c>
      <c r="FJ13" s="272">
        <v>27802671</v>
      </c>
      <c r="FK13" s="272">
        <v>1565887</v>
      </c>
      <c r="FL13" s="272">
        <v>18066070</v>
      </c>
      <c r="FM13" s="272">
        <v>22069593</v>
      </c>
      <c r="FN13" s="460">
        <v>0.81799999999999995</v>
      </c>
      <c r="FO13" s="388">
        <v>101.2</v>
      </c>
      <c r="FP13" s="388">
        <v>37.799999999999997</v>
      </c>
      <c r="FQ13" s="388">
        <v>11.9</v>
      </c>
      <c r="FR13" s="388">
        <v>16.100000000000001</v>
      </c>
      <c r="FS13" s="388">
        <v>9.1</v>
      </c>
      <c r="FT13" s="388">
        <v>10.4</v>
      </c>
      <c r="FU13" s="388">
        <v>15.2</v>
      </c>
      <c r="FV13" s="388">
        <v>13.7</v>
      </c>
      <c r="FW13" s="272">
        <v>49838718</v>
      </c>
      <c r="FX13" s="384">
        <f t="shared" si="16"/>
        <v>179.3</v>
      </c>
      <c r="FY13" s="272">
        <v>3348156</v>
      </c>
      <c r="FZ13" s="272">
        <v>10891</v>
      </c>
      <c r="GA13" s="272">
        <v>3404</v>
      </c>
      <c r="GB13" s="272">
        <v>3333861</v>
      </c>
      <c r="GC13" s="272">
        <v>1758800</v>
      </c>
      <c r="GD13" s="272">
        <v>7095364</v>
      </c>
      <c r="GE13" s="384">
        <f t="shared" si="17"/>
        <v>25.5</v>
      </c>
      <c r="GF13" s="388">
        <v>97.9</v>
      </c>
      <c r="GG13" s="388">
        <v>18.8</v>
      </c>
      <c r="GH13" s="388">
        <v>91.2</v>
      </c>
      <c r="GI13" s="272">
        <v>1177</v>
      </c>
      <c r="GJ13" s="394"/>
      <c r="GK13" s="394"/>
      <c r="GL13" s="394"/>
      <c r="GM13" s="394"/>
      <c r="GN13" s="394"/>
      <c r="GO13" s="394"/>
      <c r="GP13" s="394"/>
      <c r="GQ13" s="394"/>
      <c r="GR13" s="394"/>
      <c r="GS13" s="394"/>
      <c r="GT13" s="394"/>
      <c r="GU13" s="394"/>
      <c r="GV13" s="394"/>
      <c r="GW13" s="394"/>
      <c r="GX13" s="394"/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</row>
    <row r="14" spans="2:230" x14ac:dyDescent="0.15">
      <c r="B14" s="89" t="s">
        <v>21</v>
      </c>
      <c r="C14" s="272">
        <v>54237321</v>
      </c>
      <c r="D14" s="455">
        <f t="shared" si="0"/>
        <v>19673449</v>
      </c>
      <c r="E14" s="272">
        <v>480690</v>
      </c>
      <c r="F14" s="272">
        <v>19192759</v>
      </c>
      <c r="G14" s="455">
        <f t="shared" si="1"/>
        <v>3605462</v>
      </c>
      <c r="H14" s="272">
        <v>645371</v>
      </c>
      <c r="I14" s="272">
        <v>2960091</v>
      </c>
      <c r="J14" s="272">
        <v>22056660</v>
      </c>
      <c r="K14" s="272">
        <v>9506271</v>
      </c>
      <c r="L14" s="272">
        <v>9687547</v>
      </c>
      <c r="M14" s="272">
        <v>2300687</v>
      </c>
      <c r="N14" s="272">
        <v>2505573</v>
      </c>
      <c r="O14" s="272">
        <v>4883652</v>
      </c>
      <c r="P14" s="272">
        <v>2721004</v>
      </c>
      <c r="Q14" s="272">
        <v>2162648</v>
      </c>
      <c r="R14" s="272">
        <v>2245141</v>
      </c>
      <c r="S14" s="272">
        <v>1415659</v>
      </c>
      <c r="T14" s="455">
        <f t="shared" si="2"/>
        <v>5257892</v>
      </c>
      <c r="U14" s="272">
        <v>459763</v>
      </c>
      <c r="V14" s="272">
        <v>250653</v>
      </c>
      <c r="W14" s="272">
        <v>310430</v>
      </c>
      <c r="X14" s="272">
        <v>3283934</v>
      </c>
      <c r="Y14" s="272">
        <v>115232</v>
      </c>
      <c r="Z14" s="272">
        <v>0</v>
      </c>
      <c r="AA14" s="272">
        <v>837880</v>
      </c>
      <c r="AB14" s="272">
        <v>2011180</v>
      </c>
      <c r="AC14" s="272">
        <v>7869588</v>
      </c>
      <c r="AD14" s="272">
        <v>7716554</v>
      </c>
      <c r="AE14" s="272">
        <v>153034</v>
      </c>
      <c r="AF14" s="272">
        <v>79594</v>
      </c>
      <c r="AG14" s="272">
        <v>913357</v>
      </c>
      <c r="AH14" s="455">
        <f t="shared" si="3"/>
        <v>2261116</v>
      </c>
      <c r="AI14" s="272">
        <v>1733625</v>
      </c>
      <c r="AJ14" s="272">
        <v>527491</v>
      </c>
      <c r="AK14" s="272">
        <v>13426735</v>
      </c>
      <c r="AL14" s="455">
        <f t="shared" si="4"/>
        <v>7762885</v>
      </c>
      <c r="AM14" s="272">
        <v>6597753</v>
      </c>
      <c r="AN14" s="272">
        <v>1161319</v>
      </c>
      <c r="AO14" s="272">
        <v>0</v>
      </c>
      <c r="AP14" s="272">
        <v>3813</v>
      </c>
      <c r="AQ14" s="272">
        <v>811038</v>
      </c>
      <c r="AR14" s="272">
        <v>0</v>
      </c>
      <c r="AS14" s="272">
        <v>0</v>
      </c>
      <c r="AT14" s="272">
        <v>5103950</v>
      </c>
      <c r="AU14" s="272">
        <v>2479197</v>
      </c>
      <c r="AV14" s="272">
        <v>583181</v>
      </c>
      <c r="AW14" s="272">
        <v>42220</v>
      </c>
      <c r="AX14" s="272">
        <v>2624753</v>
      </c>
      <c r="AY14" s="272">
        <v>34493</v>
      </c>
      <c r="AZ14" s="272">
        <v>115771</v>
      </c>
      <c r="BA14" s="272">
        <v>73339</v>
      </c>
      <c r="BB14" s="272">
        <v>48652</v>
      </c>
      <c r="BC14" s="272">
        <v>196499</v>
      </c>
      <c r="BD14" s="272">
        <v>0</v>
      </c>
      <c r="BE14" s="272">
        <v>64562</v>
      </c>
      <c r="BF14" s="272">
        <v>54037</v>
      </c>
      <c r="BG14" s="272">
        <v>0</v>
      </c>
      <c r="BH14" s="272">
        <v>381931</v>
      </c>
      <c r="BI14" s="272">
        <v>276149</v>
      </c>
      <c r="BJ14" s="272">
        <v>1064515</v>
      </c>
      <c r="BK14" s="272">
        <v>0</v>
      </c>
      <c r="BL14" s="272">
        <v>0</v>
      </c>
      <c r="BM14" s="272">
        <v>88320</v>
      </c>
      <c r="BN14" s="272">
        <v>7106300</v>
      </c>
      <c r="BO14" s="455">
        <f t="shared" si="5"/>
        <v>2788900</v>
      </c>
      <c r="BP14" s="455">
        <f t="shared" si="6"/>
        <v>4317400</v>
      </c>
      <c r="BQ14" s="272">
        <v>766800</v>
      </c>
      <c r="BR14" s="272"/>
      <c r="BS14" s="272">
        <v>3550600</v>
      </c>
      <c r="BT14" s="272">
        <v>0</v>
      </c>
      <c r="BU14" s="272">
        <v>102319542</v>
      </c>
      <c r="BV14" s="272"/>
      <c r="BW14" s="272">
        <v>27449970</v>
      </c>
      <c r="BX14" s="272">
        <v>18776436</v>
      </c>
      <c r="BY14" s="272">
        <v>3789893</v>
      </c>
      <c r="BZ14" s="272">
        <v>886010</v>
      </c>
      <c r="CA14" s="272">
        <v>21794167</v>
      </c>
      <c r="CB14" s="272">
        <v>3537251</v>
      </c>
      <c r="CC14" s="272">
        <v>581166</v>
      </c>
      <c r="CD14" s="272">
        <v>8314353</v>
      </c>
      <c r="CE14" s="272">
        <v>8950793</v>
      </c>
      <c r="CF14" s="272">
        <v>0</v>
      </c>
      <c r="CG14" s="272">
        <v>408853</v>
      </c>
      <c r="CH14" s="272">
        <v>11505375</v>
      </c>
      <c r="CI14" s="272">
        <v>9137296</v>
      </c>
      <c r="CJ14" s="455">
        <f t="shared" si="7"/>
        <v>2368079</v>
      </c>
      <c r="CK14" s="272">
        <v>10043511</v>
      </c>
      <c r="CL14" s="272">
        <v>5007667</v>
      </c>
      <c r="CM14" s="272">
        <v>831783</v>
      </c>
      <c r="CN14" s="272">
        <v>2307763</v>
      </c>
      <c r="CO14" s="272">
        <v>702818</v>
      </c>
      <c r="CP14" s="272">
        <v>10229384</v>
      </c>
      <c r="CQ14" s="272">
        <v>4666554</v>
      </c>
      <c r="CR14" s="272">
        <v>2636389</v>
      </c>
      <c r="CS14" s="272">
        <v>2037626</v>
      </c>
      <c r="CT14" s="455">
        <f t="shared" si="8"/>
        <v>1448805</v>
      </c>
      <c r="CU14" s="272">
        <v>1169539</v>
      </c>
      <c r="CV14" s="272">
        <v>279266</v>
      </c>
      <c r="CW14" s="455">
        <f t="shared" si="9"/>
        <v>1089167</v>
      </c>
      <c r="CX14" s="272">
        <v>1015510</v>
      </c>
      <c r="CY14" s="272">
        <v>73657</v>
      </c>
      <c r="CZ14" s="455">
        <f t="shared" si="10"/>
        <v>0</v>
      </c>
      <c r="DA14" s="272">
        <v>0</v>
      </c>
      <c r="DB14" s="272">
        <v>0</v>
      </c>
      <c r="DC14" s="272">
        <v>5741701</v>
      </c>
      <c r="DD14" s="272">
        <v>1616402</v>
      </c>
      <c r="DE14" s="272">
        <v>3991485</v>
      </c>
      <c r="DF14" s="272">
        <v>474</v>
      </c>
      <c r="DG14" s="272">
        <v>133340</v>
      </c>
      <c r="DH14" s="272">
        <v>0</v>
      </c>
      <c r="DI14" s="272">
        <v>826854</v>
      </c>
      <c r="DJ14" s="272">
        <v>276186</v>
      </c>
      <c r="DK14" s="272">
        <v>85799</v>
      </c>
      <c r="DL14" s="272">
        <v>464869</v>
      </c>
      <c r="DM14" s="272">
        <v>0</v>
      </c>
      <c r="DN14" s="272">
        <v>0</v>
      </c>
      <c r="DO14" s="272">
        <v>0</v>
      </c>
      <c r="DP14" s="272">
        <v>0</v>
      </c>
      <c r="DQ14" s="272">
        <v>0</v>
      </c>
      <c r="DR14" s="272">
        <v>0</v>
      </c>
      <c r="DS14" s="272">
        <v>0</v>
      </c>
      <c r="DT14" s="272">
        <v>13511010</v>
      </c>
      <c r="DU14" s="272">
        <v>6244422</v>
      </c>
      <c r="DV14" s="455">
        <f t="shared" si="11"/>
        <v>0</v>
      </c>
      <c r="DW14" s="272">
        <v>0</v>
      </c>
      <c r="DX14" s="272"/>
      <c r="DY14" s="272">
        <v>33867</v>
      </c>
      <c r="DZ14" s="272">
        <v>2976690</v>
      </c>
      <c r="EA14" s="272">
        <v>1843561</v>
      </c>
      <c r="EB14" s="272">
        <v>2412470</v>
      </c>
      <c r="EC14" s="272">
        <v>0</v>
      </c>
      <c r="ED14" s="272">
        <v>101804790</v>
      </c>
      <c r="EF14" s="272">
        <v>514752</v>
      </c>
      <c r="EG14" s="272">
        <v>105771</v>
      </c>
      <c r="EH14" s="272">
        <v>408981</v>
      </c>
      <c r="EI14" s="71">
        <v>132832</v>
      </c>
      <c r="EJ14" s="272">
        <v>409018</v>
      </c>
      <c r="EL14" s="272">
        <v>404044</v>
      </c>
      <c r="EM14" s="272">
        <v>403799</v>
      </c>
      <c r="EN14" s="272">
        <v>142462</v>
      </c>
      <c r="EO14" s="272">
        <v>108706</v>
      </c>
      <c r="EP14" s="455">
        <f t="shared" si="12"/>
        <v>1657684</v>
      </c>
      <c r="EQ14" s="272">
        <v>71700716</v>
      </c>
      <c r="ER14" s="272">
        <v>-6146658</v>
      </c>
      <c r="ES14" s="272">
        <v>25623901</v>
      </c>
      <c r="ET14" s="272">
        <v>17231492</v>
      </c>
      <c r="EU14" s="272">
        <v>6589252</v>
      </c>
      <c r="EV14" s="272">
        <v>11504936</v>
      </c>
      <c r="EW14" s="455">
        <f t="shared" si="13"/>
        <v>1906773</v>
      </c>
      <c r="EX14" s="272">
        <v>1906773</v>
      </c>
      <c r="EY14" s="272">
        <v>76855</v>
      </c>
      <c r="EZ14" s="272">
        <v>1829444</v>
      </c>
      <c r="FA14" s="272">
        <v>0</v>
      </c>
      <c r="FB14" s="272"/>
      <c r="FC14" s="272">
        <v>8290681</v>
      </c>
      <c r="FD14" s="272">
        <v>9536724</v>
      </c>
      <c r="FE14" s="272">
        <v>4666554</v>
      </c>
      <c r="FF14" s="272">
        <v>12373890</v>
      </c>
      <c r="FG14" s="455">
        <f t="shared" si="14"/>
        <v>1506465</v>
      </c>
      <c r="FH14" s="272">
        <v>77332622</v>
      </c>
      <c r="FI14" s="384">
        <f t="shared" si="15"/>
        <v>0.6</v>
      </c>
      <c r="FJ14" s="272">
        <v>66011549</v>
      </c>
      <c r="FK14" s="272">
        <v>3550615</v>
      </c>
      <c r="FL14" s="272">
        <v>44306641</v>
      </c>
      <c r="FM14" s="272">
        <v>52022760</v>
      </c>
      <c r="FN14" s="460">
        <v>0.84</v>
      </c>
      <c r="FO14" s="388">
        <v>91.2</v>
      </c>
      <c r="FP14" s="388">
        <v>32.299999999999997</v>
      </c>
      <c r="FQ14" s="388">
        <v>9.1</v>
      </c>
      <c r="FR14" s="388">
        <v>16.100000000000001</v>
      </c>
      <c r="FS14" s="388">
        <v>10.199999999999999</v>
      </c>
      <c r="FT14" s="388">
        <v>11.8</v>
      </c>
      <c r="FU14" s="388">
        <v>10.8</v>
      </c>
      <c r="FV14" s="388">
        <v>12.4</v>
      </c>
      <c r="FW14" s="272">
        <v>98220131</v>
      </c>
      <c r="FX14" s="384">
        <f t="shared" si="16"/>
        <v>148.80000000000001</v>
      </c>
      <c r="FY14" s="272">
        <v>14983666</v>
      </c>
      <c r="FZ14" s="272">
        <v>496230</v>
      </c>
      <c r="GA14" s="272">
        <v>3019912</v>
      </c>
      <c r="GB14" s="272">
        <v>11467524</v>
      </c>
      <c r="GC14" s="272"/>
      <c r="GD14" s="272">
        <v>22869816</v>
      </c>
      <c r="GE14" s="384">
        <f t="shared" si="17"/>
        <v>34.6</v>
      </c>
      <c r="GF14" s="388">
        <v>98.5</v>
      </c>
      <c r="GG14" s="388">
        <v>20.8</v>
      </c>
      <c r="GH14" s="388">
        <v>92.5</v>
      </c>
      <c r="GI14" s="272">
        <v>2429</v>
      </c>
      <c r="GJ14" s="394"/>
      <c r="GK14" s="394"/>
      <c r="GL14" s="394"/>
      <c r="GM14" s="394"/>
      <c r="GN14" s="394"/>
      <c r="GO14" s="394"/>
      <c r="GP14" s="394"/>
      <c r="GQ14" s="394"/>
      <c r="GR14" s="394"/>
      <c r="GS14" s="394"/>
      <c r="GT14" s="394"/>
      <c r="GU14" s="394"/>
      <c r="GV14" s="394"/>
      <c r="GW14" s="394"/>
      <c r="GX14" s="394"/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</row>
    <row r="15" spans="2:230" x14ac:dyDescent="0.15">
      <c r="B15" s="89" t="s">
        <v>23</v>
      </c>
      <c r="C15" s="272">
        <v>41977185</v>
      </c>
      <c r="D15" s="455">
        <f t="shared" si="0"/>
        <v>14093033</v>
      </c>
      <c r="E15" s="272">
        <v>328572</v>
      </c>
      <c r="F15" s="272">
        <v>13764461</v>
      </c>
      <c r="G15" s="455">
        <f t="shared" si="1"/>
        <v>3573244</v>
      </c>
      <c r="H15" s="272">
        <v>719372</v>
      </c>
      <c r="I15" s="272">
        <v>2853872</v>
      </c>
      <c r="J15" s="272">
        <v>18767039</v>
      </c>
      <c r="K15" s="272">
        <v>8084731</v>
      </c>
      <c r="L15" s="272">
        <v>7542992</v>
      </c>
      <c r="M15" s="272">
        <v>2846444</v>
      </c>
      <c r="N15" s="272">
        <v>1597704</v>
      </c>
      <c r="O15" s="272">
        <v>3777555</v>
      </c>
      <c r="P15" s="272">
        <v>2101906</v>
      </c>
      <c r="Q15" s="272">
        <v>1675649</v>
      </c>
      <c r="R15" s="272">
        <v>1525954</v>
      </c>
      <c r="S15" s="272">
        <v>916599</v>
      </c>
      <c r="T15" s="455">
        <f t="shared" si="2"/>
        <v>3877785</v>
      </c>
      <c r="U15" s="272">
        <v>318771</v>
      </c>
      <c r="V15" s="272">
        <v>174086</v>
      </c>
      <c r="W15" s="272">
        <v>216598</v>
      </c>
      <c r="X15" s="272">
        <v>2438296</v>
      </c>
      <c r="Y15" s="272">
        <v>114504</v>
      </c>
      <c r="Z15" s="272">
        <v>0</v>
      </c>
      <c r="AA15" s="272">
        <v>615530</v>
      </c>
      <c r="AB15" s="272">
        <v>1497391</v>
      </c>
      <c r="AC15" s="272">
        <v>570445</v>
      </c>
      <c r="AD15" s="272">
        <v>359266</v>
      </c>
      <c r="AE15" s="272">
        <v>211179</v>
      </c>
      <c r="AF15" s="272">
        <v>58027</v>
      </c>
      <c r="AG15" s="272">
        <v>558847</v>
      </c>
      <c r="AH15" s="455">
        <f t="shared" si="3"/>
        <v>2305399</v>
      </c>
      <c r="AI15" s="272">
        <v>1966385</v>
      </c>
      <c r="AJ15" s="272">
        <v>339014</v>
      </c>
      <c r="AK15" s="272">
        <v>7653535</v>
      </c>
      <c r="AL15" s="455">
        <f t="shared" si="4"/>
        <v>3982082</v>
      </c>
      <c r="AM15" s="272">
        <v>3495759</v>
      </c>
      <c r="AN15" s="272">
        <v>485045</v>
      </c>
      <c r="AO15" s="272">
        <v>0</v>
      </c>
      <c r="AP15" s="272">
        <v>1278</v>
      </c>
      <c r="AQ15" s="272">
        <v>581462</v>
      </c>
      <c r="AR15" s="272">
        <v>1385</v>
      </c>
      <c r="AS15" s="272">
        <v>0</v>
      </c>
      <c r="AT15" s="272">
        <v>3707314</v>
      </c>
      <c r="AU15" s="272">
        <v>1494543</v>
      </c>
      <c r="AV15" s="272">
        <v>244480</v>
      </c>
      <c r="AW15" s="272">
        <v>86972</v>
      </c>
      <c r="AX15" s="272">
        <v>2212771</v>
      </c>
      <c r="AY15" s="272">
        <v>143979</v>
      </c>
      <c r="AZ15" s="272">
        <v>42257</v>
      </c>
      <c r="BA15" s="272">
        <v>27713</v>
      </c>
      <c r="BB15" s="272">
        <v>48551</v>
      </c>
      <c r="BC15" s="272">
        <v>622823</v>
      </c>
      <c r="BD15" s="272">
        <v>0</v>
      </c>
      <c r="BE15" s="272">
        <v>0</v>
      </c>
      <c r="BF15" s="272">
        <v>450350</v>
      </c>
      <c r="BG15" s="272">
        <v>0</v>
      </c>
      <c r="BH15" s="272">
        <v>1195993</v>
      </c>
      <c r="BI15" s="272">
        <v>672535</v>
      </c>
      <c r="BJ15" s="272">
        <v>2134847</v>
      </c>
      <c r="BK15" s="272">
        <v>354092</v>
      </c>
      <c r="BL15" s="272">
        <v>14813</v>
      </c>
      <c r="BM15" s="272">
        <v>67616</v>
      </c>
      <c r="BN15" s="272">
        <v>6220500</v>
      </c>
      <c r="BO15" s="455">
        <f t="shared" si="5"/>
        <v>3165300</v>
      </c>
      <c r="BP15" s="455">
        <f t="shared" si="6"/>
        <v>3055200</v>
      </c>
      <c r="BQ15" s="272">
        <v>561900</v>
      </c>
      <c r="BR15" s="272"/>
      <c r="BS15" s="272">
        <v>2493300</v>
      </c>
      <c r="BT15" s="272">
        <v>0</v>
      </c>
      <c r="BU15" s="272">
        <v>73996853</v>
      </c>
      <c r="BV15" s="272"/>
      <c r="BW15" s="272">
        <v>16902104</v>
      </c>
      <c r="BX15" s="272">
        <v>12122133</v>
      </c>
      <c r="BY15" s="272">
        <v>1267368</v>
      </c>
      <c r="BZ15" s="272">
        <v>701777</v>
      </c>
      <c r="CA15" s="272">
        <v>13102036</v>
      </c>
      <c r="CB15" s="272">
        <v>2284201</v>
      </c>
      <c r="CC15" s="272">
        <v>745682</v>
      </c>
      <c r="CD15" s="272">
        <v>5161935</v>
      </c>
      <c r="CE15" s="272">
        <v>4599408</v>
      </c>
      <c r="CF15" s="272">
        <v>0</v>
      </c>
      <c r="CG15" s="272">
        <v>309120</v>
      </c>
      <c r="CH15" s="272">
        <v>5946545</v>
      </c>
      <c r="CI15" s="272">
        <v>4769974</v>
      </c>
      <c r="CJ15" s="455">
        <f t="shared" si="7"/>
        <v>1176571</v>
      </c>
      <c r="CK15" s="272">
        <v>12294777</v>
      </c>
      <c r="CL15" s="272">
        <v>6080753</v>
      </c>
      <c r="CM15" s="272">
        <v>1029079</v>
      </c>
      <c r="CN15" s="272">
        <v>3064236</v>
      </c>
      <c r="CO15" s="272">
        <v>1185518</v>
      </c>
      <c r="CP15" s="272">
        <v>2710049</v>
      </c>
      <c r="CQ15" s="272">
        <v>1482</v>
      </c>
      <c r="CR15" s="272">
        <v>1616319</v>
      </c>
      <c r="CS15" s="272">
        <v>1193134</v>
      </c>
      <c r="CT15" s="455">
        <f t="shared" si="8"/>
        <v>89319</v>
      </c>
      <c r="CU15" s="272">
        <v>8049</v>
      </c>
      <c r="CV15" s="272">
        <v>81270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10334724</v>
      </c>
      <c r="DD15" s="272">
        <v>1315985</v>
      </c>
      <c r="DE15" s="272">
        <v>8919505</v>
      </c>
      <c r="DF15" s="272">
        <v>84353</v>
      </c>
      <c r="DG15" s="272">
        <v>14881</v>
      </c>
      <c r="DH15" s="272">
        <v>8984</v>
      </c>
      <c r="DI15" s="272">
        <v>646020</v>
      </c>
      <c r="DJ15" s="272">
        <v>307530</v>
      </c>
      <c r="DK15" s="272">
        <v>0</v>
      </c>
      <c r="DL15" s="272">
        <v>338490</v>
      </c>
      <c r="DM15" s="272">
        <v>7507</v>
      </c>
      <c r="DN15" s="272">
        <v>5907</v>
      </c>
      <c r="DO15" s="272">
        <v>5907</v>
      </c>
      <c r="DP15" s="272">
        <v>0</v>
      </c>
      <c r="DQ15" s="272">
        <v>354000</v>
      </c>
      <c r="DR15" s="272">
        <v>0</v>
      </c>
      <c r="DS15" s="272">
        <v>0</v>
      </c>
      <c r="DT15" s="272">
        <v>9516337</v>
      </c>
      <c r="DU15" s="272">
        <v>4610000</v>
      </c>
      <c r="DV15" s="455">
        <f t="shared" si="11"/>
        <v>0</v>
      </c>
      <c r="DW15" s="272">
        <v>0</v>
      </c>
      <c r="DX15" s="272"/>
      <c r="DY15" s="272">
        <v>0</v>
      </c>
      <c r="DZ15" s="272">
        <v>2478965</v>
      </c>
      <c r="EA15" s="272">
        <v>1207201</v>
      </c>
      <c r="EB15" s="272">
        <v>1202814</v>
      </c>
      <c r="EC15" s="272">
        <v>0</v>
      </c>
      <c r="ED15" s="272">
        <v>73008601</v>
      </c>
      <c r="EF15" s="272">
        <v>988252</v>
      </c>
      <c r="EG15" s="272">
        <v>225043</v>
      </c>
      <c r="EH15" s="272">
        <v>763209</v>
      </c>
      <c r="EI15" s="71">
        <v>87341</v>
      </c>
      <c r="EJ15" s="272">
        <v>394939</v>
      </c>
      <c r="EL15" s="272">
        <v>267961</v>
      </c>
      <c r="EM15" s="272">
        <v>264637</v>
      </c>
      <c r="EN15" s="272">
        <v>166705</v>
      </c>
      <c r="EO15" s="272">
        <v>37449</v>
      </c>
      <c r="EP15" s="455">
        <f t="shared" si="12"/>
        <v>2341577</v>
      </c>
      <c r="EQ15" s="272">
        <v>49506787</v>
      </c>
      <c r="ER15" s="272">
        <v>-5542904</v>
      </c>
      <c r="ES15" s="272">
        <v>15320575</v>
      </c>
      <c r="ET15" s="272">
        <v>10744351</v>
      </c>
      <c r="EU15" s="272">
        <v>4549194</v>
      </c>
      <c r="EV15" s="272">
        <v>5918834</v>
      </c>
      <c r="EW15" s="455">
        <f t="shared" si="13"/>
        <v>5418479</v>
      </c>
      <c r="EX15" s="272">
        <v>5413301</v>
      </c>
      <c r="EY15" s="272">
        <v>253838</v>
      </c>
      <c r="EZ15" s="272">
        <v>5075042</v>
      </c>
      <c r="FA15" s="272">
        <v>5178</v>
      </c>
      <c r="FB15" s="272"/>
      <c r="FC15" s="272">
        <v>9977454</v>
      </c>
      <c r="FD15" s="272">
        <v>2293611</v>
      </c>
      <c r="FE15" s="272">
        <v>1482</v>
      </c>
      <c r="FF15" s="272">
        <v>8798762</v>
      </c>
      <c r="FG15" s="455">
        <f t="shared" si="14"/>
        <v>1784530</v>
      </c>
      <c r="FH15" s="272">
        <v>54061439</v>
      </c>
      <c r="FI15" s="384">
        <f t="shared" si="15"/>
        <v>1.7</v>
      </c>
      <c r="FJ15" s="272">
        <v>44808254</v>
      </c>
      <c r="FK15" s="272">
        <v>2493309</v>
      </c>
      <c r="FL15" s="272">
        <v>33725717</v>
      </c>
      <c r="FM15" s="272">
        <v>34062367</v>
      </c>
      <c r="FN15" s="460">
        <v>0.97299999999999998</v>
      </c>
      <c r="FO15" s="388">
        <v>88.4</v>
      </c>
      <c r="FP15" s="388">
        <v>30.4</v>
      </c>
      <c r="FQ15" s="388">
        <v>9.3000000000000007</v>
      </c>
      <c r="FR15" s="388">
        <v>12.1</v>
      </c>
      <c r="FS15" s="388">
        <v>19.5</v>
      </c>
      <c r="FT15" s="388">
        <v>3.5</v>
      </c>
      <c r="FU15" s="388">
        <v>11.3</v>
      </c>
      <c r="FV15" s="388">
        <v>8.1999999999999993</v>
      </c>
      <c r="FW15" s="272">
        <v>54720817</v>
      </c>
      <c r="FX15" s="384">
        <f t="shared" si="16"/>
        <v>122.1</v>
      </c>
      <c r="FY15" s="272">
        <v>9374343</v>
      </c>
      <c r="FZ15" s="272">
        <v>3982863</v>
      </c>
      <c r="GA15" s="272">
        <v>0</v>
      </c>
      <c r="GB15" s="272">
        <v>5391480</v>
      </c>
      <c r="GC15" s="272"/>
      <c r="GD15" s="272">
        <v>8325150</v>
      </c>
      <c r="GE15" s="384">
        <f t="shared" si="17"/>
        <v>18.600000000000001</v>
      </c>
      <c r="GF15" s="388">
        <v>98.7</v>
      </c>
      <c r="GG15" s="388">
        <v>20.9</v>
      </c>
      <c r="GH15" s="388">
        <v>94.7</v>
      </c>
      <c r="GI15" s="272">
        <v>1697</v>
      </c>
      <c r="GJ15" s="394"/>
      <c r="GK15" s="394"/>
      <c r="GL15" s="394"/>
      <c r="GM15" s="394"/>
      <c r="GN15" s="394"/>
      <c r="GO15" s="394"/>
      <c r="GP15" s="394"/>
      <c r="GQ15" s="394"/>
      <c r="GR15" s="394"/>
      <c r="GS15" s="394"/>
      <c r="GT15" s="394"/>
      <c r="GU15" s="394"/>
      <c r="GV15" s="394"/>
      <c r="GW15" s="394"/>
      <c r="GX15" s="394"/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</row>
    <row r="16" spans="2:230" x14ac:dyDescent="0.15">
      <c r="B16" s="89" t="s">
        <v>25</v>
      </c>
      <c r="C16" s="272">
        <v>38280939</v>
      </c>
      <c r="D16" s="455">
        <f t="shared" si="0"/>
        <v>11665548</v>
      </c>
      <c r="E16" s="272">
        <v>307530</v>
      </c>
      <c r="F16" s="272">
        <v>11358018</v>
      </c>
      <c r="G16" s="455">
        <f t="shared" si="1"/>
        <v>3752642</v>
      </c>
      <c r="H16" s="272">
        <v>654759</v>
      </c>
      <c r="I16" s="272">
        <v>3097883</v>
      </c>
      <c r="J16" s="272">
        <v>17176543</v>
      </c>
      <c r="K16" s="272">
        <v>8188931</v>
      </c>
      <c r="L16" s="272">
        <v>6501556</v>
      </c>
      <c r="M16" s="272">
        <v>2191928</v>
      </c>
      <c r="N16" s="272">
        <v>1878904</v>
      </c>
      <c r="O16" s="272">
        <v>3579386</v>
      </c>
      <c r="P16" s="272">
        <v>2162003</v>
      </c>
      <c r="Q16" s="272">
        <v>1417383</v>
      </c>
      <c r="R16" s="272">
        <v>1540708</v>
      </c>
      <c r="S16" s="272">
        <v>966285</v>
      </c>
      <c r="T16" s="455">
        <f t="shared" si="2"/>
        <v>3828905</v>
      </c>
      <c r="U16" s="272">
        <v>274457</v>
      </c>
      <c r="V16" s="272">
        <v>149618</v>
      </c>
      <c r="W16" s="272">
        <v>185268</v>
      </c>
      <c r="X16" s="272">
        <v>2640297</v>
      </c>
      <c r="Y16" s="272">
        <v>0</v>
      </c>
      <c r="Z16" s="272">
        <v>0</v>
      </c>
      <c r="AA16" s="272">
        <v>579265</v>
      </c>
      <c r="AB16" s="272">
        <v>1315898</v>
      </c>
      <c r="AC16" s="272">
        <v>8334985</v>
      </c>
      <c r="AD16" s="272">
        <v>7660613</v>
      </c>
      <c r="AE16" s="272">
        <v>674372</v>
      </c>
      <c r="AF16" s="272">
        <v>53544</v>
      </c>
      <c r="AG16" s="272">
        <v>1803139</v>
      </c>
      <c r="AH16" s="455">
        <f t="shared" si="3"/>
        <v>2295747</v>
      </c>
      <c r="AI16" s="272">
        <v>1489612</v>
      </c>
      <c r="AJ16" s="272">
        <v>806135</v>
      </c>
      <c r="AK16" s="272">
        <v>11809719</v>
      </c>
      <c r="AL16" s="455">
        <f t="shared" si="4"/>
        <v>7733663</v>
      </c>
      <c r="AM16" s="272">
        <v>7101675</v>
      </c>
      <c r="AN16" s="272">
        <v>625852</v>
      </c>
      <c r="AO16" s="272">
        <v>0</v>
      </c>
      <c r="AP16" s="272">
        <v>6136</v>
      </c>
      <c r="AQ16" s="272">
        <v>540119</v>
      </c>
      <c r="AR16" s="272">
        <v>0</v>
      </c>
      <c r="AS16" s="272">
        <v>52828</v>
      </c>
      <c r="AT16" s="272">
        <v>4004716</v>
      </c>
      <c r="AU16" s="272">
        <v>1640726</v>
      </c>
      <c r="AV16" s="272">
        <v>315230</v>
      </c>
      <c r="AW16" s="272">
        <v>60609</v>
      </c>
      <c r="AX16" s="272">
        <v>2363990</v>
      </c>
      <c r="AY16" s="272">
        <v>36133</v>
      </c>
      <c r="AZ16" s="272">
        <v>133202</v>
      </c>
      <c r="BA16" s="272">
        <v>74248</v>
      </c>
      <c r="BB16" s="272">
        <v>11843</v>
      </c>
      <c r="BC16" s="272">
        <v>1873522</v>
      </c>
      <c r="BD16" s="272">
        <v>0</v>
      </c>
      <c r="BE16" s="272">
        <v>0</v>
      </c>
      <c r="BF16" s="272">
        <v>1873517</v>
      </c>
      <c r="BG16" s="272">
        <v>0</v>
      </c>
      <c r="BH16" s="272">
        <v>238364</v>
      </c>
      <c r="BI16" s="272">
        <v>72765</v>
      </c>
      <c r="BJ16" s="272">
        <v>1508789</v>
      </c>
      <c r="BK16" s="272">
        <v>477800</v>
      </c>
      <c r="BL16" s="272">
        <v>0</v>
      </c>
      <c r="BM16" s="272">
        <v>70348</v>
      </c>
      <c r="BN16" s="272">
        <v>4104300</v>
      </c>
      <c r="BO16" s="455">
        <f t="shared" si="5"/>
        <v>1075600</v>
      </c>
      <c r="BP16" s="455">
        <f t="shared" si="6"/>
        <v>3028700</v>
      </c>
      <c r="BQ16" s="272">
        <v>506800</v>
      </c>
      <c r="BR16" s="272"/>
      <c r="BS16" s="272">
        <v>2521900</v>
      </c>
      <c r="BT16" s="272">
        <v>0</v>
      </c>
      <c r="BU16" s="272">
        <v>81191148</v>
      </c>
      <c r="BV16" s="272"/>
      <c r="BW16" s="272">
        <v>19300816</v>
      </c>
      <c r="BX16" s="272">
        <v>13263359</v>
      </c>
      <c r="BY16" s="272">
        <v>1846232</v>
      </c>
      <c r="BZ16" s="272">
        <v>1173713</v>
      </c>
      <c r="CA16" s="272">
        <v>20131237</v>
      </c>
      <c r="CB16" s="272">
        <v>2394860</v>
      </c>
      <c r="CC16" s="272">
        <v>630681</v>
      </c>
      <c r="CD16" s="272">
        <v>5840089</v>
      </c>
      <c r="CE16" s="272">
        <v>9582095</v>
      </c>
      <c r="CF16" s="272">
        <v>1260774</v>
      </c>
      <c r="CG16" s="272">
        <v>421928</v>
      </c>
      <c r="CH16" s="272">
        <v>9024472</v>
      </c>
      <c r="CI16" s="272">
        <v>7199380</v>
      </c>
      <c r="CJ16" s="455">
        <f t="shared" si="7"/>
        <v>1825092</v>
      </c>
      <c r="CK16" s="272">
        <v>10246320</v>
      </c>
      <c r="CL16" s="272">
        <v>6423680</v>
      </c>
      <c r="CM16" s="272">
        <v>642959</v>
      </c>
      <c r="CN16" s="272">
        <v>1876492</v>
      </c>
      <c r="CO16" s="272">
        <v>344844</v>
      </c>
      <c r="CP16" s="272">
        <v>4565229</v>
      </c>
      <c r="CQ16" s="272">
        <v>41938</v>
      </c>
      <c r="CR16" s="272">
        <v>1647834</v>
      </c>
      <c r="CS16" s="272">
        <v>882304</v>
      </c>
      <c r="CT16" s="455">
        <f t="shared" si="8"/>
        <v>1787887</v>
      </c>
      <c r="CU16" s="272">
        <v>1787887</v>
      </c>
      <c r="CV16" s="272">
        <v>0</v>
      </c>
      <c r="CW16" s="455">
        <f t="shared" si="9"/>
        <v>1704920</v>
      </c>
      <c r="CX16" s="272">
        <v>1704920</v>
      </c>
      <c r="CY16" s="272">
        <v>0</v>
      </c>
      <c r="CZ16" s="455">
        <f t="shared" si="10"/>
        <v>0</v>
      </c>
      <c r="DA16" s="272">
        <v>0</v>
      </c>
      <c r="DB16" s="272">
        <v>0</v>
      </c>
      <c r="DC16" s="272">
        <v>4275118</v>
      </c>
      <c r="DD16" s="272">
        <v>1249479</v>
      </c>
      <c r="DE16" s="272">
        <v>2932061</v>
      </c>
      <c r="DF16" s="272">
        <v>67752</v>
      </c>
      <c r="DG16" s="272">
        <v>25826</v>
      </c>
      <c r="DH16" s="272">
        <v>0</v>
      </c>
      <c r="DI16" s="272">
        <v>453733</v>
      </c>
      <c r="DJ16" s="272">
        <v>43712</v>
      </c>
      <c r="DK16" s="272">
        <v>0</v>
      </c>
      <c r="DL16" s="272">
        <v>410021</v>
      </c>
      <c r="DM16" s="272">
        <v>23000</v>
      </c>
      <c r="DN16" s="272">
        <v>0</v>
      </c>
      <c r="DO16" s="272">
        <v>0</v>
      </c>
      <c r="DP16" s="272">
        <v>0</v>
      </c>
      <c r="DQ16" s="272">
        <v>592700</v>
      </c>
      <c r="DR16" s="272">
        <v>0</v>
      </c>
      <c r="DS16" s="272">
        <v>0</v>
      </c>
      <c r="DT16" s="272">
        <v>12113342</v>
      </c>
      <c r="DU16" s="272">
        <v>5834137</v>
      </c>
      <c r="DV16" s="455">
        <f t="shared" si="11"/>
        <v>0</v>
      </c>
      <c r="DW16" s="272">
        <v>0</v>
      </c>
      <c r="DX16" s="272"/>
      <c r="DY16" s="272">
        <v>0</v>
      </c>
      <c r="DZ16" s="272">
        <v>2861318</v>
      </c>
      <c r="EA16" s="272">
        <v>1415210</v>
      </c>
      <c r="EB16" s="272">
        <v>1996542</v>
      </c>
      <c r="EC16" s="272">
        <v>0</v>
      </c>
      <c r="ED16" s="272">
        <v>81070811</v>
      </c>
      <c r="EF16" s="272">
        <v>120337</v>
      </c>
      <c r="EG16" s="272">
        <v>63520</v>
      </c>
      <c r="EH16" s="272">
        <v>56817</v>
      </c>
      <c r="EI16" s="71">
        <v>-15948</v>
      </c>
      <c r="EJ16" s="272">
        <v>27764</v>
      </c>
      <c r="EL16" s="272">
        <v>273487</v>
      </c>
      <c r="EM16" s="272">
        <v>266704</v>
      </c>
      <c r="EN16" s="272">
        <v>1384005</v>
      </c>
      <c r="EO16" s="272">
        <v>112303</v>
      </c>
      <c r="EP16" s="455">
        <f t="shared" si="12"/>
        <v>914404</v>
      </c>
      <c r="EQ16" s="272">
        <v>53407807</v>
      </c>
      <c r="ER16" s="272">
        <v>-5333040</v>
      </c>
      <c r="ES16" s="272">
        <v>17960600</v>
      </c>
      <c r="ET16" s="272">
        <v>12288042</v>
      </c>
      <c r="EU16" s="272">
        <v>5878333</v>
      </c>
      <c r="EV16" s="272">
        <v>8922292</v>
      </c>
      <c r="EW16" s="455">
        <f t="shared" si="13"/>
        <v>2199902</v>
      </c>
      <c r="EX16" s="272">
        <v>2199902</v>
      </c>
      <c r="EY16" s="272">
        <v>59006</v>
      </c>
      <c r="EZ16" s="272">
        <v>2111808</v>
      </c>
      <c r="FA16" s="272">
        <v>0</v>
      </c>
      <c r="FB16" s="272"/>
      <c r="FC16" s="272">
        <v>8073586</v>
      </c>
      <c r="FD16" s="272">
        <v>4020907</v>
      </c>
      <c r="FE16" s="272">
        <v>41938</v>
      </c>
      <c r="FF16" s="272">
        <v>11111833</v>
      </c>
      <c r="FG16" s="455">
        <f t="shared" si="14"/>
        <v>453057</v>
      </c>
      <c r="FH16" s="272">
        <v>58620510</v>
      </c>
      <c r="FI16" s="384">
        <f t="shared" si="15"/>
        <v>0.1</v>
      </c>
      <c r="FJ16" s="272">
        <v>48600106</v>
      </c>
      <c r="FK16" s="272">
        <v>2521902</v>
      </c>
      <c r="FL16" s="272">
        <v>31109106</v>
      </c>
      <c r="FM16" s="272">
        <v>38744347</v>
      </c>
      <c r="FN16" s="460">
        <v>0.79900000000000004</v>
      </c>
      <c r="FO16" s="388">
        <v>99.7</v>
      </c>
      <c r="FP16" s="388">
        <v>32.6</v>
      </c>
      <c r="FQ16" s="388">
        <v>11.2</v>
      </c>
      <c r="FR16" s="388">
        <v>17</v>
      </c>
      <c r="FS16" s="388">
        <v>14.4</v>
      </c>
      <c r="FT16" s="388">
        <v>6.2</v>
      </c>
      <c r="FU16" s="388">
        <v>17.8</v>
      </c>
      <c r="FV16" s="388">
        <v>15.1</v>
      </c>
      <c r="FW16" s="272">
        <v>89009172</v>
      </c>
      <c r="FX16" s="384">
        <f t="shared" si="16"/>
        <v>183.1</v>
      </c>
      <c r="FY16" s="272">
        <v>12448789</v>
      </c>
      <c r="FZ16" s="272">
        <v>4833266</v>
      </c>
      <c r="GA16" s="272">
        <v>0</v>
      </c>
      <c r="GB16" s="272">
        <v>7615523</v>
      </c>
      <c r="GC16" s="272"/>
      <c r="GD16" s="272">
        <v>12797473</v>
      </c>
      <c r="GE16" s="384">
        <f t="shared" si="17"/>
        <v>26.3</v>
      </c>
      <c r="GF16" s="388">
        <v>98.4</v>
      </c>
      <c r="GG16" s="388">
        <v>27.3</v>
      </c>
      <c r="GH16" s="388">
        <v>94.6</v>
      </c>
      <c r="GI16" s="272">
        <v>1795</v>
      </c>
      <c r="GJ16" s="394"/>
      <c r="GK16" s="394"/>
      <c r="GL16" s="394"/>
      <c r="GM16" s="394"/>
      <c r="GN16" s="394"/>
      <c r="GO16" s="394"/>
      <c r="GP16" s="394"/>
      <c r="GQ16" s="394"/>
      <c r="GR16" s="394"/>
      <c r="GS16" s="394"/>
      <c r="GT16" s="394"/>
      <c r="GU16" s="394"/>
      <c r="GV16" s="394"/>
      <c r="GW16" s="394"/>
      <c r="GX16" s="394"/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</row>
    <row r="17" spans="2:230" x14ac:dyDescent="0.15">
      <c r="B17" s="89" t="s">
        <v>27</v>
      </c>
      <c r="C17" s="272">
        <v>18892970</v>
      </c>
      <c r="D17" s="455">
        <f t="shared" si="0"/>
        <v>3277030</v>
      </c>
      <c r="E17" s="272">
        <v>111592</v>
      </c>
      <c r="F17" s="272">
        <v>3165438</v>
      </c>
      <c r="G17" s="455">
        <f t="shared" si="1"/>
        <v>1427051</v>
      </c>
      <c r="H17" s="272">
        <v>405561</v>
      </c>
      <c r="I17" s="272">
        <v>1021490</v>
      </c>
      <c r="J17" s="272">
        <v>11554045</v>
      </c>
      <c r="K17" s="272">
        <v>3477390</v>
      </c>
      <c r="L17" s="272">
        <v>4044297</v>
      </c>
      <c r="M17" s="272">
        <v>3715468</v>
      </c>
      <c r="N17" s="272">
        <v>744501</v>
      </c>
      <c r="O17" s="272">
        <v>1642162</v>
      </c>
      <c r="P17" s="272">
        <v>788453</v>
      </c>
      <c r="Q17" s="272">
        <v>853709</v>
      </c>
      <c r="R17" s="272">
        <v>594795</v>
      </c>
      <c r="S17" s="272">
        <v>337820</v>
      </c>
      <c r="T17" s="455">
        <f t="shared" si="2"/>
        <v>1476329</v>
      </c>
      <c r="U17" s="272">
        <v>79717</v>
      </c>
      <c r="V17" s="272">
        <v>43508</v>
      </c>
      <c r="W17" s="272">
        <v>54048</v>
      </c>
      <c r="X17" s="272">
        <v>1004032</v>
      </c>
      <c r="Y17" s="272">
        <v>67172</v>
      </c>
      <c r="Z17" s="272">
        <v>0</v>
      </c>
      <c r="AA17" s="272">
        <v>227852</v>
      </c>
      <c r="AB17" s="272">
        <v>365527</v>
      </c>
      <c r="AC17" s="272">
        <v>1014379</v>
      </c>
      <c r="AD17" s="272">
        <v>382245</v>
      </c>
      <c r="AE17" s="272">
        <v>632134</v>
      </c>
      <c r="AF17" s="272">
        <v>22387</v>
      </c>
      <c r="AG17" s="272">
        <v>669540</v>
      </c>
      <c r="AH17" s="455">
        <f t="shared" si="3"/>
        <v>877009</v>
      </c>
      <c r="AI17" s="272">
        <v>788535</v>
      </c>
      <c r="AJ17" s="272">
        <v>88474</v>
      </c>
      <c r="AK17" s="272">
        <v>4481205</v>
      </c>
      <c r="AL17" s="455">
        <f t="shared" si="4"/>
        <v>2306225</v>
      </c>
      <c r="AM17" s="272">
        <v>1969597</v>
      </c>
      <c r="AN17" s="272">
        <v>336165</v>
      </c>
      <c r="AO17" s="272">
        <v>0</v>
      </c>
      <c r="AP17" s="272">
        <v>463</v>
      </c>
      <c r="AQ17" s="272">
        <v>630700</v>
      </c>
      <c r="AR17" s="272">
        <v>0</v>
      </c>
      <c r="AS17" s="272">
        <v>0</v>
      </c>
      <c r="AT17" s="272">
        <v>1769619</v>
      </c>
      <c r="AU17" s="272">
        <v>723163</v>
      </c>
      <c r="AV17" s="272">
        <v>162684</v>
      </c>
      <c r="AW17" s="272">
        <v>1950</v>
      </c>
      <c r="AX17" s="272">
        <v>1046456</v>
      </c>
      <c r="AY17" s="272">
        <v>26955</v>
      </c>
      <c r="AZ17" s="272">
        <v>132438</v>
      </c>
      <c r="BA17" s="272">
        <v>130714</v>
      </c>
      <c r="BB17" s="272">
        <v>53037</v>
      </c>
      <c r="BC17" s="272">
        <v>86007</v>
      </c>
      <c r="BD17" s="272">
        <v>0</v>
      </c>
      <c r="BE17" s="272">
        <v>0</v>
      </c>
      <c r="BF17" s="272">
        <v>86007</v>
      </c>
      <c r="BG17" s="272">
        <v>0</v>
      </c>
      <c r="BH17" s="272">
        <v>0</v>
      </c>
      <c r="BI17" s="272">
        <v>0</v>
      </c>
      <c r="BJ17" s="272">
        <v>699152</v>
      </c>
      <c r="BK17" s="272">
        <v>58002</v>
      </c>
      <c r="BL17" s="272">
        <v>0</v>
      </c>
      <c r="BM17" s="272">
        <v>57597</v>
      </c>
      <c r="BN17" s="272">
        <v>3141600</v>
      </c>
      <c r="BO17" s="455">
        <f t="shared" si="5"/>
        <v>1632300</v>
      </c>
      <c r="BP17" s="455">
        <f t="shared" si="6"/>
        <v>1173300</v>
      </c>
      <c r="BQ17" s="272">
        <v>146500</v>
      </c>
      <c r="BR17" s="272"/>
      <c r="BS17" s="272">
        <v>1026800</v>
      </c>
      <c r="BT17" s="272">
        <v>336000</v>
      </c>
      <c r="BU17" s="272">
        <v>34275994</v>
      </c>
      <c r="BV17" s="272"/>
      <c r="BW17" s="272">
        <v>7968238</v>
      </c>
      <c r="BX17" s="272">
        <v>5437804</v>
      </c>
      <c r="BY17" s="272">
        <v>611308</v>
      </c>
      <c r="BZ17" s="272">
        <v>560665</v>
      </c>
      <c r="CA17" s="272">
        <v>6252041</v>
      </c>
      <c r="CB17" s="272">
        <v>782423</v>
      </c>
      <c r="CC17" s="272">
        <v>235680</v>
      </c>
      <c r="CD17" s="272">
        <v>2443544</v>
      </c>
      <c r="CE17" s="272">
        <v>2666892</v>
      </c>
      <c r="CF17" s="272">
        <v>2951</v>
      </c>
      <c r="CG17" s="272">
        <v>120551</v>
      </c>
      <c r="CH17" s="272">
        <v>6051793</v>
      </c>
      <c r="CI17" s="272">
        <v>4116897</v>
      </c>
      <c r="CJ17" s="455">
        <f t="shared" si="7"/>
        <v>1934896</v>
      </c>
      <c r="CK17" s="272">
        <v>3029454</v>
      </c>
      <c r="CL17" s="272">
        <v>1957524</v>
      </c>
      <c r="CM17" s="272">
        <v>94750</v>
      </c>
      <c r="CN17" s="272">
        <v>605464</v>
      </c>
      <c r="CO17" s="272">
        <v>251212</v>
      </c>
      <c r="CP17" s="272">
        <v>3177480</v>
      </c>
      <c r="CQ17" s="272">
        <v>1117513</v>
      </c>
      <c r="CR17" s="272">
        <v>812870</v>
      </c>
      <c r="CS17" s="272">
        <v>493911</v>
      </c>
      <c r="CT17" s="455">
        <f t="shared" si="8"/>
        <v>860883</v>
      </c>
      <c r="CU17" s="272">
        <v>735665</v>
      </c>
      <c r="CV17" s="272">
        <v>125218</v>
      </c>
      <c r="CW17" s="455">
        <f t="shared" si="9"/>
        <v>850000</v>
      </c>
      <c r="CX17" s="272">
        <v>729422</v>
      </c>
      <c r="CY17" s="272">
        <v>120578</v>
      </c>
      <c r="CZ17" s="455">
        <f t="shared" si="10"/>
        <v>0</v>
      </c>
      <c r="DA17" s="272">
        <v>0</v>
      </c>
      <c r="DB17" s="272">
        <v>0</v>
      </c>
      <c r="DC17" s="272">
        <v>2569857</v>
      </c>
      <c r="DD17" s="272">
        <v>1221011</v>
      </c>
      <c r="DE17" s="272">
        <v>1142605</v>
      </c>
      <c r="DF17" s="272">
        <v>169662</v>
      </c>
      <c r="DG17" s="272">
        <v>36579</v>
      </c>
      <c r="DH17" s="272">
        <v>3581</v>
      </c>
      <c r="DI17" s="272">
        <v>467532</v>
      </c>
      <c r="DJ17" s="272">
        <v>1</v>
      </c>
      <c r="DK17" s="272">
        <v>28</v>
      </c>
      <c r="DL17" s="272">
        <v>467503</v>
      </c>
      <c r="DM17" s="272">
        <v>0</v>
      </c>
      <c r="DN17" s="272">
        <v>0</v>
      </c>
      <c r="DO17" s="272">
        <v>0</v>
      </c>
      <c r="DP17" s="272">
        <v>0</v>
      </c>
      <c r="DQ17" s="272">
        <v>50000</v>
      </c>
      <c r="DR17" s="272">
        <v>0</v>
      </c>
      <c r="DS17" s="272">
        <v>0</v>
      </c>
      <c r="DT17" s="272">
        <v>3595729</v>
      </c>
      <c r="DU17" s="272">
        <v>1365086</v>
      </c>
      <c r="DV17" s="455">
        <f t="shared" si="11"/>
        <v>0</v>
      </c>
      <c r="DW17" s="272">
        <v>0</v>
      </c>
      <c r="DX17" s="272"/>
      <c r="DY17" s="272">
        <v>0</v>
      </c>
      <c r="DZ17" s="272">
        <v>870554</v>
      </c>
      <c r="EA17" s="272">
        <v>631137</v>
      </c>
      <c r="EB17" s="272">
        <v>713052</v>
      </c>
      <c r="EC17" s="272">
        <v>2484021</v>
      </c>
      <c r="ED17" s="272">
        <v>35900938</v>
      </c>
      <c r="EF17" s="272">
        <v>-1624944</v>
      </c>
      <c r="EG17" s="272">
        <v>13664</v>
      </c>
      <c r="EH17" s="272">
        <v>-1638608</v>
      </c>
      <c r="EI17" s="71">
        <v>878711</v>
      </c>
      <c r="EJ17" s="272">
        <v>878712</v>
      </c>
      <c r="EL17" s="272">
        <v>98889</v>
      </c>
      <c r="EM17" s="272">
        <v>101346</v>
      </c>
      <c r="EN17" s="272">
        <v>0</v>
      </c>
      <c r="EO17" s="272">
        <v>131111</v>
      </c>
      <c r="EP17" s="455">
        <f t="shared" si="12"/>
        <v>657638</v>
      </c>
      <c r="EQ17" s="272">
        <v>22366387</v>
      </c>
      <c r="ER17" s="272">
        <v>-1939662</v>
      </c>
      <c r="ES17" s="272">
        <v>6761467</v>
      </c>
      <c r="ET17" s="272">
        <v>4636916</v>
      </c>
      <c r="EU17" s="272">
        <v>1817415</v>
      </c>
      <c r="EV17" s="272">
        <v>5775583</v>
      </c>
      <c r="EW17" s="455">
        <f t="shared" si="13"/>
        <v>329946</v>
      </c>
      <c r="EX17" s="272">
        <v>327790</v>
      </c>
      <c r="EY17" s="272">
        <v>32830</v>
      </c>
      <c r="EZ17" s="272">
        <v>291862</v>
      </c>
      <c r="FA17" s="272">
        <v>2156</v>
      </c>
      <c r="FB17" s="272"/>
      <c r="FC17" s="272">
        <v>2307564</v>
      </c>
      <c r="FD17" s="272">
        <v>2664453</v>
      </c>
      <c r="FE17" s="272">
        <v>917513</v>
      </c>
      <c r="FF17" s="272">
        <v>3172608</v>
      </c>
      <c r="FG17" s="455">
        <f t="shared" si="14"/>
        <v>3101957</v>
      </c>
      <c r="FH17" s="272">
        <v>25930993</v>
      </c>
      <c r="FI17" s="384">
        <f t="shared" si="15"/>
        <v>-8.4</v>
      </c>
      <c r="FJ17" s="272">
        <v>19582902</v>
      </c>
      <c r="FK17" s="272">
        <v>1026873</v>
      </c>
      <c r="FL17" s="272">
        <v>14556684</v>
      </c>
      <c r="FM17" s="272">
        <v>14938929</v>
      </c>
      <c r="FN17" s="460">
        <v>0.98099999999999998</v>
      </c>
      <c r="FO17" s="388">
        <v>102.3</v>
      </c>
      <c r="FP17" s="388">
        <v>31.5</v>
      </c>
      <c r="FQ17" s="388">
        <v>8.5</v>
      </c>
      <c r="FR17" s="388">
        <v>27</v>
      </c>
      <c r="FS17" s="388">
        <v>10.1</v>
      </c>
      <c r="FT17" s="388">
        <v>10.8</v>
      </c>
      <c r="FU17" s="388">
        <v>13.4</v>
      </c>
      <c r="FV17" s="388">
        <v>24.8</v>
      </c>
      <c r="FW17" s="272">
        <v>75953547</v>
      </c>
      <c r="FX17" s="384">
        <f t="shared" si="16"/>
        <v>387.9</v>
      </c>
      <c r="FY17" s="272">
        <v>3423713</v>
      </c>
      <c r="FZ17" s="272">
        <v>843</v>
      </c>
      <c r="GA17" s="272">
        <v>51369</v>
      </c>
      <c r="GB17" s="272">
        <v>3371501</v>
      </c>
      <c r="GC17" s="272">
        <v>600000</v>
      </c>
      <c r="GD17" s="272">
        <v>8839485</v>
      </c>
      <c r="GE17" s="384">
        <f t="shared" si="17"/>
        <v>45.1</v>
      </c>
      <c r="GF17" s="388">
        <v>98.5</v>
      </c>
      <c r="GG17" s="388">
        <v>20.100000000000001</v>
      </c>
      <c r="GH17" s="388">
        <v>91.4</v>
      </c>
      <c r="GI17" s="272">
        <v>828</v>
      </c>
      <c r="GJ17" s="394"/>
      <c r="GK17" s="394"/>
      <c r="GL17" s="394"/>
      <c r="GM17" s="394"/>
      <c r="GN17" s="394"/>
      <c r="GO17" s="394"/>
      <c r="GP17" s="394"/>
      <c r="GQ17" s="394"/>
      <c r="GR17" s="394"/>
      <c r="GS17" s="394"/>
      <c r="GT17" s="394"/>
      <c r="GU17" s="394"/>
      <c r="GV17" s="394"/>
      <c r="GW17" s="394"/>
      <c r="GX17" s="394"/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</row>
    <row r="18" spans="2:230" x14ac:dyDescent="0.15">
      <c r="B18" s="89" t="s">
        <v>29</v>
      </c>
      <c r="C18" s="272">
        <v>13685069</v>
      </c>
      <c r="D18" s="455">
        <f t="shared" si="0"/>
        <v>5586143</v>
      </c>
      <c r="E18" s="272">
        <v>135438</v>
      </c>
      <c r="F18" s="272">
        <v>5450705</v>
      </c>
      <c r="G18" s="455">
        <f t="shared" si="1"/>
        <v>603257</v>
      </c>
      <c r="H18" s="272">
        <v>177889</v>
      </c>
      <c r="I18" s="272">
        <v>425368</v>
      </c>
      <c r="J18" s="272">
        <v>5673093</v>
      </c>
      <c r="K18" s="272">
        <v>2309958</v>
      </c>
      <c r="L18" s="272">
        <v>2672780</v>
      </c>
      <c r="M18" s="272">
        <v>591302</v>
      </c>
      <c r="N18" s="272">
        <v>577987</v>
      </c>
      <c r="O18" s="272">
        <v>1114279</v>
      </c>
      <c r="P18" s="272">
        <v>606749</v>
      </c>
      <c r="Q18" s="272">
        <v>507530</v>
      </c>
      <c r="R18" s="272">
        <v>740438</v>
      </c>
      <c r="S18" s="272">
        <v>445056</v>
      </c>
      <c r="T18" s="455">
        <f t="shared" si="2"/>
        <v>1669128</v>
      </c>
      <c r="U18" s="272">
        <v>127205</v>
      </c>
      <c r="V18" s="272">
        <v>69493</v>
      </c>
      <c r="W18" s="272">
        <v>86540</v>
      </c>
      <c r="X18" s="272">
        <v>1039739</v>
      </c>
      <c r="Y18" s="272">
        <v>47777</v>
      </c>
      <c r="Z18" s="272">
        <v>0</v>
      </c>
      <c r="AA18" s="272">
        <v>298374</v>
      </c>
      <c r="AB18" s="272">
        <v>541359</v>
      </c>
      <c r="AC18" s="272">
        <v>5121236</v>
      </c>
      <c r="AD18" s="272">
        <v>4914203</v>
      </c>
      <c r="AE18" s="272">
        <v>207033</v>
      </c>
      <c r="AF18" s="272">
        <v>25203</v>
      </c>
      <c r="AG18" s="272">
        <v>480495</v>
      </c>
      <c r="AH18" s="455">
        <f t="shared" si="3"/>
        <v>1117474</v>
      </c>
      <c r="AI18" s="272">
        <v>817523</v>
      </c>
      <c r="AJ18" s="272">
        <v>299951</v>
      </c>
      <c r="AK18" s="272">
        <v>4407133</v>
      </c>
      <c r="AL18" s="455">
        <f t="shared" si="4"/>
        <v>2516635</v>
      </c>
      <c r="AM18" s="272">
        <v>2284799</v>
      </c>
      <c r="AN18" s="272">
        <v>229671</v>
      </c>
      <c r="AO18" s="272">
        <v>0</v>
      </c>
      <c r="AP18" s="272">
        <v>2165</v>
      </c>
      <c r="AQ18" s="272">
        <v>341378</v>
      </c>
      <c r="AR18" s="272">
        <v>0</v>
      </c>
      <c r="AS18" s="272">
        <v>0</v>
      </c>
      <c r="AT18" s="272">
        <v>1592520</v>
      </c>
      <c r="AU18" s="272">
        <v>988207</v>
      </c>
      <c r="AV18" s="272">
        <v>133131</v>
      </c>
      <c r="AW18" s="272">
        <v>33082</v>
      </c>
      <c r="AX18" s="272">
        <v>604313</v>
      </c>
      <c r="AY18" s="272">
        <v>19066</v>
      </c>
      <c r="AZ18" s="272">
        <v>7022</v>
      </c>
      <c r="BA18" s="272">
        <v>0</v>
      </c>
      <c r="BB18" s="272">
        <v>686</v>
      </c>
      <c r="BC18" s="272">
        <v>1096865</v>
      </c>
      <c r="BD18" s="272">
        <v>0</v>
      </c>
      <c r="BE18" s="272">
        <v>0</v>
      </c>
      <c r="BF18" s="272">
        <v>1096865</v>
      </c>
      <c r="BG18" s="272">
        <v>0</v>
      </c>
      <c r="BH18" s="272">
        <v>416350</v>
      </c>
      <c r="BI18" s="272">
        <v>406085</v>
      </c>
      <c r="BJ18" s="272">
        <v>1615771</v>
      </c>
      <c r="BK18" s="272">
        <v>1194063</v>
      </c>
      <c r="BL18" s="272">
        <v>0</v>
      </c>
      <c r="BM18" s="272">
        <v>58356</v>
      </c>
      <c r="BN18" s="272">
        <v>1713100</v>
      </c>
      <c r="BO18" s="455">
        <f t="shared" si="5"/>
        <v>204300</v>
      </c>
      <c r="BP18" s="455">
        <f t="shared" si="6"/>
        <v>1508800</v>
      </c>
      <c r="BQ18" s="272">
        <v>202600</v>
      </c>
      <c r="BR18" s="272"/>
      <c r="BS18" s="272">
        <v>1306200</v>
      </c>
      <c r="BT18" s="272">
        <v>0</v>
      </c>
      <c r="BU18" s="272">
        <v>34229849</v>
      </c>
      <c r="BV18" s="272"/>
      <c r="BW18" s="272">
        <v>8345826</v>
      </c>
      <c r="BX18" s="272">
        <v>5862566</v>
      </c>
      <c r="BY18" s="272">
        <v>977877</v>
      </c>
      <c r="BZ18" s="272">
        <v>98532</v>
      </c>
      <c r="CA18" s="272">
        <v>7025328</v>
      </c>
      <c r="CB18" s="272">
        <v>1058706</v>
      </c>
      <c r="CC18" s="272">
        <v>274514</v>
      </c>
      <c r="CD18" s="272">
        <v>2514942</v>
      </c>
      <c r="CE18" s="272">
        <v>3025784</v>
      </c>
      <c r="CF18" s="272">
        <v>0</v>
      </c>
      <c r="CG18" s="272">
        <v>151382</v>
      </c>
      <c r="CH18" s="272">
        <v>2194379</v>
      </c>
      <c r="CI18" s="272">
        <v>1718429</v>
      </c>
      <c r="CJ18" s="455">
        <f t="shared" si="7"/>
        <v>475950</v>
      </c>
      <c r="CK18" s="272">
        <v>4859148</v>
      </c>
      <c r="CL18" s="272">
        <v>2824327</v>
      </c>
      <c r="CM18" s="272">
        <v>651238</v>
      </c>
      <c r="CN18" s="272">
        <v>585270</v>
      </c>
      <c r="CO18" s="272">
        <v>309141</v>
      </c>
      <c r="CP18" s="272">
        <v>3026317</v>
      </c>
      <c r="CQ18" s="272">
        <v>1095874</v>
      </c>
      <c r="CR18" s="272">
        <v>1400779</v>
      </c>
      <c r="CS18" s="272">
        <v>1134951</v>
      </c>
      <c r="CT18" s="455">
        <f t="shared" si="8"/>
        <v>925</v>
      </c>
      <c r="CU18" s="272">
        <v>385</v>
      </c>
      <c r="CV18" s="272">
        <v>540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2107891</v>
      </c>
      <c r="DD18" s="272">
        <v>719708</v>
      </c>
      <c r="DE18" s="272">
        <v>1388183</v>
      </c>
      <c r="DF18" s="272">
        <v>0</v>
      </c>
      <c r="DG18" s="272">
        <v>0</v>
      </c>
      <c r="DH18" s="272">
        <v>0</v>
      </c>
      <c r="DI18" s="272">
        <v>424657</v>
      </c>
      <c r="DJ18" s="272">
        <v>144854</v>
      </c>
      <c r="DK18" s="272">
        <v>0</v>
      </c>
      <c r="DL18" s="272">
        <v>279803</v>
      </c>
      <c r="DM18" s="272">
        <v>0</v>
      </c>
      <c r="DN18" s="272">
        <v>0</v>
      </c>
      <c r="DO18" s="272">
        <v>0</v>
      </c>
      <c r="DP18" s="272">
        <v>0</v>
      </c>
      <c r="DQ18" s="272">
        <v>1175400</v>
      </c>
      <c r="DR18" s="272">
        <v>0</v>
      </c>
      <c r="DS18" s="272">
        <v>0</v>
      </c>
      <c r="DT18" s="272">
        <v>4166233</v>
      </c>
      <c r="DU18" s="272">
        <v>1554825</v>
      </c>
      <c r="DV18" s="455">
        <f t="shared" si="11"/>
        <v>0</v>
      </c>
      <c r="DW18" s="272">
        <v>0</v>
      </c>
      <c r="DX18" s="272"/>
      <c r="DY18" s="272">
        <v>0</v>
      </c>
      <c r="DZ18" s="272">
        <v>1082960</v>
      </c>
      <c r="EA18" s="272">
        <v>645594</v>
      </c>
      <c r="EB18" s="272">
        <v>882854</v>
      </c>
      <c r="EC18" s="272">
        <v>0</v>
      </c>
      <c r="ED18" s="272">
        <v>33634320</v>
      </c>
      <c r="EF18" s="272">
        <v>595529</v>
      </c>
      <c r="EG18" s="272">
        <v>167726</v>
      </c>
      <c r="EH18" s="272">
        <v>427803</v>
      </c>
      <c r="EI18" s="71">
        <v>21718</v>
      </c>
      <c r="EJ18" s="272">
        <v>166572</v>
      </c>
      <c r="EL18" s="272">
        <v>123837</v>
      </c>
      <c r="EM18" s="272">
        <v>122961</v>
      </c>
      <c r="EN18" s="272">
        <v>175942</v>
      </c>
      <c r="EO18" s="272">
        <v>0</v>
      </c>
      <c r="EP18" s="455">
        <f t="shared" si="12"/>
        <v>859400</v>
      </c>
      <c r="EQ18" s="272">
        <v>21782433</v>
      </c>
      <c r="ER18" s="272">
        <v>-2518939</v>
      </c>
      <c r="ES18" s="272">
        <v>7702309</v>
      </c>
      <c r="ET18" s="272">
        <v>5273553</v>
      </c>
      <c r="EU18" s="272">
        <v>2422613</v>
      </c>
      <c r="EV18" s="272">
        <v>2093311</v>
      </c>
      <c r="EW18" s="455">
        <f t="shared" si="13"/>
        <v>612632</v>
      </c>
      <c r="EX18" s="272">
        <v>612632</v>
      </c>
      <c r="EY18" s="272">
        <v>165405</v>
      </c>
      <c r="EZ18" s="272">
        <v>447227</v>
      </c>
      <c r="FA18" s="272">
        <v>0</v>
      </c>
      <c r="FB18" s="272"/>
      <c r="FC18" s="272">
        <v>3927016</v>
      </c>
      <c r="FD18" s="272">
        <v>2720365</v>
      </c>
      <c r="FE18" s="272">
        <v>1065519</v>
      </c>
      <c r="FF18" s="272">
        <v>3728577</v>
      </c>
      <c r="FG18" s="455">
        <f t="shared" si="14"/>
        <v>499020</v>
      </c>
      <c r="FH18" s="272">
        <v>23705843</v>
      </c>
      <c r="FI18" s="384">
        <f t="shared" si="15"/>
        <v>2.1</v>
      </c>
      <c r="FJ18" s="272">
        <v>20293097</v>
      </c>
      <c r="FK18" s="272">
        <v>1306271</v>
      </c>
      <c r="FL18" s="272">
        <v>11725256</v>
      </c>
      <c r="FM18" s="272">
        <v>16640790</v>
      </c>
      <c r="FN18" s="460">
        <v>0.70299999999999996</v>
      </c>
      <c r="FO18" s="388">
        <v>94.5</v>
      </c>
      <c r="FP18" s="388">
        <v>32.1</v>
      </c>
      <c r="FQ18" s="388">
        <v>11</v>
      </c>
      <c r="FR18" s="388">
        <v>9.5</v>
      </c>
      <c r="FS18" s="388">
        <v>17.7</v>
      </c>
      <c r="FT18" s="388">
        <v>11.9</v>
      </c>
      <c r="FU18" s="388">
        <v>11.1</v>
      </c>
      <c r="FV18" s="388">
        <v>7.6</v>
      </c>
      <c r="FW18" s="272">
        <v>24147141</v>
      </c>
      <c r="FX18" s="384">
        <f t="shared" si="16"/>
        <v>119</v>
      </c>
      <c r="FY18" s="272">
        <v>9830474</v>
      </c>
      <c r="FZ18" s="272">
        <v>3879857</v>
      </c>
      <c r="GA18" s="272">
        <v>0</v>
      </c>
      <c r="GB18" s="272">
        <v>5950617</v>
      </c>
      <c r="GC18" s="272"/>
      <c r="GD18" s="272">
        <v>695508</v>
      </c>
      <c r="GE18" s="384">
        <f t="shared" si="17"/>
        <v>3.4</v>
      </c>
      <c r="GF18" s="388">
        <v>98</v>
      </c>
      <c r="GG18" s="388">
        <v>25.6</v>
      </c>
      <c r="GH18" s="388">
        <v>91.1</v>
      </c>
      <c r="GI18" s="272">
        <v>857</v>
      </c>
      <c r="GJ18" s="394"/>
      <c r="GK18" s="394"/>
      <c r="GL18" s="394"/>
      <c r="GM18" s="394"/>
      <c r="GN18" s="394"/>
      <c r="GO18" s="394"/>
      <c r="GP18" s="394"/>
      <c r="GQ18" s="394"/>
      <c r="GR18" s="394"/>
      <c r="GS18" s="394"/>
      <c r="GT18" s="394"/>
      <c r="GU18" s="394"/>
      <c r="GV18" s="394"/>
      <c r="GW18" s="394"/>
      <c r="GX18" s="394"/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</row>
    <row r="19" spans="2:230" x14ac:dyDescent="0.15">
      <c r="B19" s="89" t="s">
        <v>31</v>
      </c>
      <c r="C19" s="272">
        <v>27481018</v>
      </c>
      <c r="D19" s="455">
        <f t="shared" si="0"/>
        <v>9524014</v>
      </c>
      <c r="E19" s="272">
        <v>277111</v>
      </c>
      <c r="F19" s="272">
        <v>9246903</v>
      </c>
      <c r="G19" s="455">
        <f t="shared" si="1"/>
        <v>2047403</v>
      </c>
      <c r="H19" s="272">
        <v>519767</v>
      </c>
      <c r="I19" s="272">
        <v>1527636</v>
      </c>
      <c r="J19" s="272">
        <v>11589050</v>
      </c>
      <c r="K19" s="272">
        <v>5313417</v>
      </c>
      <c r="L19" s="272">
        <v>4829248</v>
      </c>
      <c r="M19" s="272">
        <v>1162247</v>
      </c>
      <c r="N19" s="272">
        <v>1539987</v>
      </c>
      <c r="O19" s="272">
        <v>2625767</v>
      </c>
      <c r="P19" s="272">
        <v>1540709</v>
      </c>
      <c r="Q19" s="272">
        <v>1085058</v>
      </c>
      <c r="R19" s="272">
        <v>1363908</v>
      </c>
      <c r="S19" s="272">
        <v>881988</v>
      </c>
      <c r="T19" s="455">
        <f t="shared" si="2"/>
        <v>3098393</v>
      </c>
      <c r="U19" s="272">
        <v>235873</v>
      </c>
      <c r="V19" s="272">
        <v>128370</v>
      </c>
      <c r="W19" s="272">
        <v>158249</v>
      </c>
      <c r="X19" s="272">
        <v>2089076</v>
      </c>
      <c r="Y19" s="272">
        <v>0</v>
      </c>
      <c r="Z19" s="272">
        <v>0</v>
      </c>
      <c r="AA19" s="272">
        <v>486825</v>
      </c>
      <c r="AB19" s="272">
        <v>963260</v>
      </c>
      <c r="AC19" s="272">
        <v>10849260</v>
      </c>
      <c r="AD19" s="272">
        <v>10392031</v>
      </c>
      <c r="AE19" s="272">
        <v>457229</v>
      </c>
      <c r="AF19" s="272">
        <v>44631</v>
      </c>
      <c r="AG19" s="272">
        <v>464285</v>
      </c>
      <c r="AH19" s="455">
        <f t="shared" si="3"/>
        <v>1551792</v>
      </c>
      <c r="AI19" s="272">
        <v>1024994</v>
      </c>
      <c r="AJ19" s="272">
        <v>526798</v>
      </c>
      <c r="AK19" s="272">
        <v>10258262</v>
      </c>
      <c r="AL19" s="455">
        <f t="shared" si="4"/>
        <v>6180160</v>
      </c>
      <c r="AM19" s="272">
        <v>5470284</v>
      </c>
      <c r="AN19" s="272">
        <v>706486</v>
      </c>
      <c r="AO19" s="272">
        <v>0</v>
      </c>
      <c r="AP19" s="272">
        <v>3390</v>
      </c>
      <c r="AQ19" s="272">
        <v>203122</v>
      </c>
      <c r="AR19" s="272">
        <v>0</v>
      </c>
      <c r="AS19" s="272">
        <v>0</v>
      </c>
      <c r="AT19" s="272">
        <v>3568997</v>
      </c>
      <c r="AU19" s="272">
        <v>1410002</v>
      </c>
      <c r="AV19" s="272">
        <v>381268</v>
      </c>
      <c r="AW19" s="272">
        <v>600</v>
      </c>
      <c r="AX19" s="272">
        <v>2158995</v>
      </c>
      <c r="AY19" s="272">
        <v>58515</v>
      </c>
      <c r="AZ19" s="272">
        <v>107461</v>
      </c>
      <c r="BA19" s="272">
        <v>102502</v>
      </c>
      <c r="BB19" s="272">
        <v>22149</v>
      </c>
      <c r="BC19" s="272">
        <v>288098</v>
      </c>
      <c r="BD19" s="272">
        <v>0</v>
      </c>
      <c r="BE19" s="272">
        <v>181</v>
      </c>
      <c r="BF19" s="272">
        <v>255419</v>
      </c>
      <c r="BG19" s="272">
        <v>0</v>
      </c>
      <c r="BH19" s="272">
        <v>61186</v>
      </c>
      <c r="BI19" s="272">
        <v>10909</v>
      </c>
      <c r="BJ19" s="272">
        <v>5213103</v>
      </c>
      <c r="BK19" s="272">
        <v>3842673</v>
      </c>
      <c r="BL19" s="272">
        <v>877</v>
      </c>
      <c r="BM19" s="272">
        <v>68637</v>
      </c>
      <c r="BN19" s="272">
        <v>5871200</v>
      </c>
      <c r="BO19" s="455">
        <f t="shared" si="5"/>
        <v>3080700</v>
      </c>
      <c r="BP19" s="455">
        <f t="shared" si="6"/>
        <v>2790500</v>
      </c>
      <c r="BQ19" s="272">
        <v>373900</v>
      </c>
      <c r="BR19" s="272"/>
      <c r="BS19" s="272">
        <v>2416600</v>
      </c>
      <c r="BT19" s="272">
        <v>0</v>
      </c>
      <c r="BU19" s="272">
        <v>71207003</v>
      </c>
      <c r="BV19" s="272"/>
      <c r="BW19" s="272">
        <v>18025909</v>
      </c>
      <c r="BX19" s="272">
        <v>12216486</v>
      </c>
      <c r="BY19" s="272">
        <v>2631228</v>
      </c>
      <c r="BZ19" s="272">
        <v>421410</v>
      </c>
      <c r="CA19" s="272">
        <v>15080129</v>
      </c>
      <c r="CB19" s="272">
        <v>2230381</v>
      </c>
      <c r="CC19" s="272">
        <v>449810</v>
      </c>
      <c r="CD19" s="272">
        <v>4784988</v>
      </c>
      <c r="CE19" s="272">
        <v>7337311</v>
      </c>
      <c r="CF19" s="272">
        <v>6118</v>
      </c>
      <c r="CG19" s="272">
        <v>270311</v>
      </c>
      <c r="CH19" s="272">
        <v>6526866</v>
      </c>
      <c r="CI19" s="272">
        <v>5118319</v>
      </c>
      <c r="CJ19" s="455">
        <f t="shared" si="7"/>
        <v>1408547</v>
      </c>
      <c r="CK19" s="272">
        <v>7876321</v>
      </c>
      <c r="CL19" s="272">
        <v>3458537</v>
      </c>
      <c r="CM19" s="272">
        <v>1175614</v>
      </c>
      <c r="CN19" s="272">
        <v>1820873</v>
      </c>
      <c r="CO19" s="272">
        <v>389253</v>
      </c>
      <c r="CP19" s="272">
        <v>5597659</v>
      </c>
      <c r="CQ19" s="272">
        <v>3216343</v>
      </c>
      <c r="CR19" s="272">
        <v>1250880</v>
      </c>
      <c r="CS19" s="272">
        <v>1013241</v>
      </c>
      <c r="CT19" s="455">
        <f t="shared" si="8"/>
        <v>11001</v>
      </c>
      <c r="CU19" s="272">
        <v>11001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4834718</v>
      </c>
      <c r="DD19" s="272">
        <v>490341</v>
      </c>
      <c r="DE19" s="272">
        <v>4181448</v>
      </c>
      <c r="DF19" s="272">
        <v>0</v>
      </c>
      <c r="DG19" s="272">
        <v>162929</v>
      </c>
      <c r="DH19" s="272">
        <v>0</v>
      </c>
      <c r="DI19" s="272">
        <v>542790</v>
      </c>
      <c r="DJ19" s="272">
        <v>5501</v>
      </c>
      <c r="DK19" s="272">
        <v>88</v>
      </c>
      <c r="DL19" s="272">
        <v>537201</v>
      </c>
      <c r="DM19" s="272">
        <v>0</v>
      </c>
      <c r="DN19" s="272">
        <v>0</v>
      </c>
      <c r="DO19" s="272">
        <v>0</v>
      </c>
      <c r="DP19" s="272">
        <v>0</v>
      </c>
      <c r="DQ19" s="272">
        <v>3820578</v>
      </c>
      <c r="DR19" s="272">
        <v>0</v>
      </c>
      <c r="DS19" s="272">
        <v>0</v>
      </c>
      <c r="DT19" s="272">
        <v>8443662</v>
      </c>
      <c r="DU19" s="272">
        <v>3628424</v>
      </c>
      <c r="DV19" s="455">
        <f t="shared" si="11"/>
        <v>0</v>
      </c>
      <c r="DW19" s="272">
        <v>0</v>
      </c>
      <c r="DX19" s="272"/>
      <c r="DY19" s="272">
        <v>0</v>
      </c>
      <c r="DZ19" s="272">
        <v>2203279</v>
      </c>
      <c r="EA19" s="272">
        <v>1173789</v>
      </c>
      <c r="EB19" s="272">
        <v>1438170</v>
      </c>
      <c r="EC19" s="272">
        <v>0</v>
      </c>
      <c r="ED19" s="272">
        <v>71137885</v>
      </c>
      <c r="EF19" s="272">
        <v>69118</v>
      </c>
      <c r="EG19" s="272">
        <v>10362</v>
      </c>
      <c r="EH19" s="272">
        <v>58756</v>
      </c>
      <c r="EI19" s="71">
        <v>47847</v>
      </c>
      <c r="EJ19" s="272">
        <v>53348</v>
      </c>
      <c r="EL19" s="272">
        <v>241816</v>
      </c>
      <c r="EM19" s="272">
        <v>242397</v>
      </c>
      <c r="EN19" s="272">
        <v>32679</v>
      </c>
      <c r="EO19" s="272">
        <v>32502</v>
      </c>
      <c r="EP19" s="455">
        <f t="shared" si="12"/>
        <v>1303429</v>
      </c>
      <c r="EQ19" s="272">
        <v>43800470</v>
      </c>
      <c r="ER19" s="272">
        <v>-4114479</v>
      </c>
      <c r="ES19" s="272">
        <v>16720816</v>
      </c>
      <c r="ET19" s="272">
        <v>11013512</v>
      </c>
      <c r="EU19" s="272">
        <v>4298351</v>
      </c>
      <c r="EV19" s="272">
        <v>6202889</v>
      </c>
      <c r="EW19" s="455">
        <f t="shared" si="13"/>
        <v>1311967</v>
      </c>
      <c r="EX19" s="272">
        <v>1311967</v>
      </c>
      <c r="EY19" s="272">
        <v>17061</v>
      </c>
      <c r="EZ19" s="272">
        <v>1294906</v>
      </c>
      <c r="FA19" s="272">
        <v>0</v>
      </c>
      <c r="FB19" s="272"/>
      <c r="FC19" s="272">
        <v>6270743</v>
      </c>
      <c r="FD19" s="272">
        <v>5119436</v>
      </c>
      <c r="FE19" s="272">
        <v>3216343</v>
      </c>
      <c r="FF19" s="272">
        <v>7447665</v>
      </c>
      <c r="FG19" s="455">
        <f t="shared" si="14"/>
        <v>473964</v>
      </c>
      <c r="FH19" s="272">
        <v>47845831</v>
      </c>
      <c r="FI19" s="384">
        <f t="shared" si="15"/>
        <v>0.1</v>
      </c>
      <c r="FJ19" s="272">
        <v>40093903</v>
      </c>
      <c r="FK19" s="272">
        <v>2416622</v>
      </c>
      <c r="FL19" s="272">
        <v>22627615</v>
      </c>
      <c r="FM19" s="272">
        <v>33019646</v>
      </c>
      <c r="FN19" s="460">
        <v>0.68</v>
      </c>
      <c r="FO19" s="388">
        <v>95.9</v>
      </c>
      <c r="FP19" s="388">
        <v>34</v>
      </c>
      <c r="FQ19" s="388">
        <v>9.8000000000000007</v>
      </c>
      <c r="FR19" s="388">
        <v>14.2</v>
      </c>
      <c r="FS19" s="388">
        <v>13.7</v>
      </c>
      <c r="FT19" s="388">
        <v>10.4</v>
      </c>
      <c r="FU19" s="388">
        <v>12.9</v>
      </c>
      <c r="FV19" s="388">
        <v>9.6999999999999993</v>
      </c>
      <c r="FW19" s="272">
        <v>63804323</v>
      </c>
      <c r="FX19" s="384">
        <f t="shared" si="16"/>
        <v>159.1</v>
      </c>
      <c r="FY19" s="272">
        <v>4208375</v>
      </c>
      <c r="FZ19" s="272">
        <v>7017</v>
      </c>
      <c r="GA19" s="272">
        <v>2745</v>
      </c>
      <c r="GB19" s="272">
        <v>4198613</v>
      </c>
      <c r="GC19" s="272">
        <v>250000</v>
      </c>
      <c r="GD19" s="272">
        <v>5152384</v>
      </c>
      <c r="GE19" s="384">
        <f t="shared" si="17"/>
        <v>12.9</v>
      </c>
      <c r="GF19" s="388">
        <v>97.5</v>
      </c>
      <c r="GG19" s="388">
        <v>12</v>
      </c>
      <c r="GH19" s="388">
        <v>87.7</v>
      </c>
      <c r="GI19" s="272">
        <v>1675</v>
      </c>
      <c r="GJ19" s="394"/>
      <c r="GK19" s="394"/>
      <c r="GL19" s="394"/>
      <c r="GM19" s="394"/>
      <c r="GN19" s="394"/>
      <c r="GO19" s="394"/>
      <c r="GP19" s="394"/>
      <c r="GQ19" s="394"/>
      <c r="GR19" s="394"/>
      <c r="GS19" s="394"/>
      <c r="GT19" s="394"/>
      <c r="GU19" s="394"/>
      <c r="GV19" s="394"/>
      <c r="GW19" s="394"/>
      <c r="GX19" s="394"/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</row>
    <row r="20" spans="2:230" x14ac:dyDescent="0.15">
      <c r="B20" s="89" t="s">
        <v>33</v>
      </c>
      <c r="C20" s="272">
        <v>13816978</v>
      </c>
      <c r="D20" s="455">
        <f t="shared" si="0"/>
        <v>5905103</v>
      </c>
      <c r="E20" s="272">
        <v>137616</v>
      </c>
      <c r="F20" s="272">
        <v>5767487</v>
      </c>
      <c r="G20" s="455">
        <f t="shared" si="1"/>
        <v>801239</v>
      </c>
      <c r="H20" s="272">
        <v>198531</v>
      </c>
      <c r="I20" s="272">
        <v>602708</v>
      </c>
      <c r="J20" s="272">
        <v>5366972</v>
      </c>
      <c r="K20" s="272">
        <v>2091038</v>
      </c>
      <c r="L20" s="272">
        <v>2551751</v>
      </c>
      <c r="M20" s="272">
        <v>634213</v>
      </c>
      <c r="N20" s="272">
        <v>500813</v>
      </c>
      <c r="O20" s="272">
        <v>1125722</v>
      </c>
      <c r="P20" s="272">
        <v>604166</v>
      </c>
      <c r="Q20" s="272">
        <v>521556</v>
      </c>
      <c r="R20" s="272">
        <v>765314</v>
      </c>
      <c r="S20" s="272">
        <v>425538</v>
      </c>
      <c r="T20" s="455">
        <f t="shared" si="2"/>
        <v>1577268</v>
      </c>
      <c r="U20" s="272">
        <v>137610</v>
      </c>
      <c r="V20" s="272">
        <v>75004</v>
      </c>
      <c r="W20" s="272">
        <v>92830</v>
      </c>
      <c r="X20" s="272">
        <v>907857</v>
      </c>
      <c r="Y20" s="272">
        <v>20766</v>
      </c>
      <c r="Z20" s="272">
        <v>0</v>
      </c>
      <c r="AA20" s="272">
        <v>343201</v>
      </c>
      <c r="AB20" s="272">
        <v>573104</v>
      </c>
      <c r="AC20" s="272">
        <v>5224903</v>
      </c>
      <c r="AD20" s="272">
        <v>5009841</v>
      </c>
      <c r="AE20" s="272">
        <v>215062</v>
      </c>
      <c r="AF20" s="272">
        <v>22903</v>
      </c>
      <c r="AG20" s="272">
        <v>268926</v>
      </c>
      <c r="AH20" s="455">
        <f t="shared" si="3"/>
        <v>1109395</v>
      </c>
      <c r="AI20" s="272">
        <v>765073</v>
      </c>
      <c r="AJ20" s="272">
        <v>344322</v>
      </c>
      <c r="AK20" s="272">
        <v>4095859</v>
      </c>
      <c r="AL20" s="455">
        <f t="shared" si="4"/>
        <v>1806354</v>
      </c>
      <c r="AM20" s="272">
        <v>1496701</v>
      </c>
      <c r="AN20" s="272">
        <v>309653</v>
      </c>
      <c r="AO20" s="272">
        <v>0</v>
      </c>
      <c r="AP20" s="272">
        <v>0</v>
      </c>
      <c r="AQ20" s="272">
        <v>702887</v>
      </c>
      <c r="AR20" s="272">
        <v>0</v>
      </c>
      <c r="AS20" s="272">
        <v>0</v>
      </c>
      <c r="AT20" s="272">
        <v>1471588</v>
      </c>
      <c r="AU20" s="272">
        <v>665440</v>
      </c>
      <c r="AV20" s="272">
        <v>153032</v>
      </c>
      <c r="AW20" s="272">
        <v>25902</v>
      </c>
      <c r="AX20" s="272">
        <v>806148</v>
      </c>
      <c r="AY20" s="272">
        <v>1793</v>
      </c>
      <c r="AZ20" s="272">
        <v>51541</v>
      </c>
      <c r="BA20" s="272">
        <v>22717</v>
      </c>
      <c r="BB20" s="272">
        <v>138161</v>
      </c>
      <c r="BC20" s="272">
        <v>970231</v>
      </c>
      <c r="BD20" s="272">
        <v>735000</v>
      </c>
      <c r="BE20" s="272">
        <v>69000</v>
      </c>
      <c r="BF20" s="272">
        <v>158390</v>
      </c>
      <c r="BG20" s="272">
        <v>0</v>
      </c>
      <c r="BH20" s="272">
        <v>477894</v>
      </c>
      <c r="BI20" s="272">
        <v>147376</v>
      </c>
      <c r="BJ20" s="272">
        <v>1133065</v>
      </c>
      <c r="BK20" s="272">
        <v>800895</v>
      </c>
      <c r="BL20" s="272">
        <v>0</v>
      </c>
      <c r="BM20" s="272">
        <v>0</v>
      </c>
      <c r="BN20" s="272">
        <v>2901300</v>
      </c>
      <c r="BO20" s="455">
        <f t="shared" si="5"/>
        <v>1426600</v>
      </c>
      <c r="BP20" s="455">
        <f t="shared" si="6"/>
        <v>1474700</v>
      </c>
      <c r="BQ20" s="272">
        <v>211300</v>
      </c>
      <c r="BR20" s="272"/>
      <c r="BS20" s="272">
        <v>1263400</v>
      </c>
      <c r="BT20" s="272">
        <v>0</v>
      </c>
      <c r="BU20" s="272">
        <v>34598430</v>
      </c>
      <c r="BV20" s="272"/>
      <c r="BW20" s="272">
        <v>6797833</v>
      </c>
      <c r="BX20" s="272">
        <v>4347075</v>
      </c>
      <c r="BY20" s="272">
        <v>455999</v>
      </c>
      <c r="BZ20" s="272">
        <v>811274</v>
      </c>
      <c r="CA20" s="272">
        <v>5683066</v>
      </c>
      <c r="CB20" s="272">
        <v>1351351</v>
      </c>
      <c r="CC20" s="272">
        <v>329182</v>
      </c>
      <c r="CD20" s="272">
        <v>1946689</v>
      </c>
      <c r="CE20" s="272">
        <v>1997146</v>
      </c>
      <c r="CF20" s="272">
        <v>0</v>
      </c>
      <c r="CG20" s="272">
        <v>58698</v>
      </c>
      <c r="CH20" s="272">
        <v>4279300</v>
      </c>
      <c r="CI20" s="272">
        <v>3594229</v>
      </c>
      <c r="CJ20" s="455">
        <f t="shared" si="7"/>
        <v>685071</v>
      </c>
      <c r="CK20" s="272">
        <v>5058263</v>
      </c>
      <c r="CL20" s="272">
        <v>3489453</v>
      </c>
      <c r="CM20" s="272">
        <v>157850</v>
      </c>
      <c r="CN20" s="272">
        <v>709872</v>
      </c>
      <c r="CO20" s="272">
        <v>414392</v>
      </c>
      <c r="CP20" s="272">
        <v>2935530</v>
      </c>
      <c r="CQ20" s="272">
        <v>710793</v>
      </c>
      <c r="CR20" s="272">
        <v>1167900</v>
      </c>
      <c r="CS20" s="272">
        <v>828685</v>
      </c>
      <c r="CT20" s="455">
        <f t="shared" si="8"/>
        <v>478571</v>
      </c>
      <c r="CU20" s="272">
        <v>1173</v>
      </c>
      <c r="CV20" s="272">
        <v>477398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3500207</v>
      </c>
      <c r="DD20" s="272">
        <v>1334544</v>
      </c>
      <c r="DE20" s="272">
        <v>2007324</v>
      </c>
      <c r="DF20" s="272">
        <v>150513</v>
      </c>
      <c r="DG20" s="272">
        <v>7826</v>
      </c>
      <c r="DH20" s="272">
        <v>7887</v>
      </c>
      <c r="DI20" s="272">
        <v>402100</v>
      </c>
      <c r="DJ20" s="272">
        <v>279424</v>
      </c>
      <c r="DK20" s="272">
        <v>2000</v>
      </c>
      <c r="DL20" s="272">
        <v>120676</v>
      </c>
      <c r="DM20" s="272">
        <v>0</v>
      </c>
      <c r="DN20" s="272">
        <v>0</v>
      </c>
      <c r="DO20" s="272">
        <v>0</v>
      </c>
      <c r="DP20" s="272">
        <v>0</v>
      </c>
      <c r="DQ20" s="272">
        <v>1050698</v>
      </c>
      <c r="DR20" s="272">
        <v>0</v>
      </c>
      <c r="DS20" s="272">
        <v>0</v>
      </c>
      <c r="DT20" s="272">
        <v>4123533</v>
      </c>
      <c r="DU20" s="272">
        <v>1752453</v>
      </c>
      <c r="DV20" s="455">
        <f t="shared" si="11"/>
        <v>41656</v>
      </c>
      <c r="DW20" s="272">
        <v>41656</v>
      </c>
      <c r="DX20" s="272"/>
      <c r="DY20" s="272">
        <v>0</v>
      </c>
      <c r="DZ20" s="272">
        <v>756353</v>
      </c>
      <c r="EA20" s="272">
        <v>705532</v>
      </c>
      <c r="EB20" s="272">
        <v>867539</v>
      </c>
      <c r="EC20" s="272">
        <v>0</v>
      </c>
      <c r="ED20" s="272">
        <v>34252809</v>
      </c>
      <c r="EF20" s="272">
        <v>345621</v>
      </c>
      <c r="EG20" s="272">
        <v>136045</v>
      </c>
      <c r="EH20" s="272">
        <v>209576</v>
      </c>
      <c r="EI20" s="71">
        <v>62200</v>
      </c>
      <c r="EJ20" s="272">
        <v>-393376</v>
      </c>
      <c r="EL20" s="272">
        <v>117239</v>
      </c>
      <c r="EM20" s="272">
        <v>118870</v>
      </c>
      <c r="EN20" s="272">
        <v>804000</v>
      </c>
      <c r="EO20" s="272">
        <v>24956</v>
      </c>
      <c r="EP20" s="455">
        <f t="shared" si="12"/>
        <v>777727</v>
      </c>
      <c r="EQ20" s="272">
        <v>21980470</v>
      </c>
      <c r="ER20" s="272">
        <v>-3058480</v>
      </c>
      <c r="ES20" s="272">
        <v>6388009</v>
      </c>
      <c r="ET20" s="272">
        <v>4066588</v>
      </c>
      <c r="EU20" s="272">
        <v>1825908</v>
      </c>
      <c r="EV20" s="272">
        <v>4279300</v>
      </c>
      <c r="EW20" s="455">
        <f t="shared" si="13"/>
        <v>1451822</v>
      </c>
      <c r="EX20" s="272">
        <v>1445472</v>
      </c>
      <c r="EY20" s="272">
        <v>180630</v>
      </c>
      <c r="EZ20" s="272">
        <v>1200206</v>
      </c>
      <c r="FA20" s="272">
        <v>6350</v>
      </c>
      <c r="FB20" s="272"/>
      <c r="FC20" s="272">
        <v>3976710</v>
      </c>
      <c r="FD20" s="272">
        <v>2222479</v>
      </c>
      <c r="FE20" s="272">
        <v>710793</v>
      </c>
      <c r="FF20" s="272">
        <v>3804874</v>
      </c>
      <c r="FG20" s="455">
        <f t="shared" si="14"/>
        <v>754878</v>
      </c>
      <c r="FH20" s="272">
        <v>24703980</v>
      </c>
      <c r="FI20" s="384">
        <f t="shared" si="15"/>
        <v>1</v>
      </c>
      <c r="FJ20" s="272">
        <v>20156680</v>
      </c>
      <c r="FK20" s="272">
        <v>1263426</v>
      </c>
      <c r="FL20" s="272">
        <v>11557211</v>
      </c>
      <c r="FM20" s="272">
        <v>16567052</v>
      </c>
      <c r="FN20" s="460">
        <v>0.71399999999999997</v>
      </c>
      <c r="FO20" s="388">
        <v>92.7</v>
      </c>
      <c r="FP20" s="388">
        <v>27.5</v>
      </c>
      <c r="FQ20" s="388">
        <v>8.1999999999999993</v>
      </c>
      <c r="FR20" s="388">
        <v>17.399999999999999</v>
      </c>
      <c r="FS20" s="388">
        <v>17.7</v>
      </c>
      <c r="FT20" s="388">
        <v>9.3000000000000007</v>
      </c>
      <c r="FU20" s="388">
        <v>11.1</v>
      </c>
      <c r="FV20" s="388">
        <v>13.2</v>
      </c>
      <c r="FW20" s="272">
        <v>38887454</v>
      </c>
      <c r="FX20" s="384">
        <f t="shared" si="16"/>
        <v>192.9</v>
      </c>
      <c r="FY20" s="272">
        <v>12136889</v>
      </c>
      <c r="FZ20" s="272">
        <v>5998701</v>
      </c>
      <c r="GA20" s="272">
        <v>2778421</v>
      </c>
      <c r="GB20" s="272">
        <v>3359767</v>
      </c>
      <c r="GC20" s="272"/>
      <c r="GD20" s="272">
        <v>6709618</v>
      </c>
      <c r="GE20" s="384">
        <f t="shared" si="17"/>
        <v>33.299999999999997</v>
      </c>
      <c r="GF20" s="388">
        <v>98.3</v>
      </c>
      <c r="GG20" s="388">
        <v>31</v>
      </c>
      <c r="GH20" s="388">
        <v>93.5</v>
      </c>
      <c r="GI20" s="272">
        <v>598</v>
      </c>
      <c r="GJ20" s="394"/>
      <c r="GK20" s="394"/>
      <c r="GL20" s="394"/>
      <c r="GM20" s="394"/>
      <c r="GN20" s="394"/>
      <c r="GO20" s="394"/>
      <c r="GP20" s="394"/>
      <c r="GQ20" s="394"/>
      <c r="GR20" s="394"/>
      <c r="GS20" s="394"/>
      <c r="GT20" s="394"/>
      <c r="GU20" s="394"/>
      <c r="GV20" s="394"/>
      <c r="GW20" s="394"/>
      <c r="GX20" s="394"/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</row>
    <row r="21" spans="2:230" x14ac:dyDescent="0.15">
      <c r="B21" s="89" t="s">
        <v>35</v>
      </c>
      <c r="C21" s="272">
        <v>13527620</v>
      </c>
      <c r="D21" s="455">
        <f t="shared" si="0"/>
        <v>4521706</v>
      </c>
      <c r="E21" s="272">
        <v>137596</v>
      </c>
      <c r="F21" s="272">
        <v>4384110</v>
      </c>
      <c r="G21" s="455">
        <f t="shared" si="1"/>
        <v>883542</v>
      </c>
      <c r="H21" s="272">
        <v>243612</v>
      </c>
      <c r="I21" s="272">
        <v>639930</v>
      </c>
      <c r="J21" s="272">
        <v>5905411</v>
      </c>
      <c r="K21" s="272">
        <v>2943279</v>
      </c>
      <c r="L21" s="272">
        <v>2330309</v>
      </c>
      <c r="M21" s="272">
        <v>587282</v>
      </c>
      <c r="N21" s="272">
        <v>796389</v>
      </c>
      <c r="O21" s="272">
        <v>1312707</v>
      </c>
      <c r="P21" s="272">
        <v>804780</v>
      </c>
      <c r="Q21" s="272">
        <v>507927</v>
      </c>
      <c r="R21" s="272">
        <v>725226</v>
      </c>
      <c r="S21" s="272">
        <v>466169</v>
      </c>
      <c r="T21" s="455">
        <f t="shared" si="2"/>
        <v>1642073</v>
      </c>
      <c r="U21" s="272">
        <v>112683</v>
      </c>
      <c r="V21" s="272">
        <v>61499</v>
      </c>
      <c r="W21" s="272">
        <v>76387</v>
      </c>
      <c r="X21" s="272">
        <v>1129805</v>
      </c>
      <c r="Y21" s="272">
        <v>0</v>
      </c>
      <c r="Z21" s="272">
        <v>0</v>
      </c>
      <c r="AA21" s="272">
        <v>261699</v>
      </c>
      <c r="AB21" s="272">
        <v>444325</v>
      </c>
      <c r="AC21" s="272">
        <v>7855177</v>
      </c>
      <c r="AD21" s="272">
        <v>7461140</v>
      </c>
      <c r="AE21" s="272">
        <v>394037</v>
      </c>
      <c r="AF21" s="272">
        <v>24853</v>
      </c>
      <c r="AG21" s="272">
        <v>150972</v>
      </c>
      <c r="AH21" s="455">
        <f t="shared" si="3"/>
        <v>594746</v>
      </c>
      <c r="AI21" s="272">
        <v>544467</v>
      </c>
      <c r="AJ21" s="272">
        <v>50279</v>
      </c>
      <c r="AK21" s="272">
        <v>5765648</v>
      </c>
      <c r="AL21" s="455">
        <f t="shared" si="4"/>
        <v>3450113</v>
      </c>
      <c r="AM21" s="272">
        <v>3197127</v>
      </c>
      <c r="AN21" s="272">
        <v>252543</v>
      </c>
      <c r="AO21" s="272">
        <v>0</v>
      </c>
      <c r="AP21" s="272">
        <v>443</v>
      </c>
      <c r="AQ21" s="272">
        <v>655563</v>
      </c>
      <c r="AR21" s="272">
        <v>0</v>
      </c>
      <c r="AS21" s="272">
        <v>0</v>
      </c>
      <c r="AT21" s="272">
        <v>1873928</v>
      </c>
      <c r="AU21" s="272">
        <v>728204</v>
      </c>
      <c r="AV21" s="272">
        <v>125471</v>
      </c>
      <c r="AW21" s="272">
        <v>0</v>
      </c>
      <c r="AX21" s="272">
        <v>1145724</v>
      </c>
      <c r="AY21" s="272">
        <v>21044</v>
      </c>
      <c r="AZ21" s="272">
        <v>146350</v>
      </c>
      <c r="BA21" s="272">
        <v>26553</v>
      </c>
      <c r="BB21" s="272">
        <v>150956</v>
      </c>
      <c r="BC21" s="272">
        <v>808499</v>
      </c>
      <c r="BD21" s="272">
        <v>280000</v>
      </c>
      <c r="BE21" s="272">
        <v>30000</v>
      </c>
      <c r="BF21" s="272">
        <v>495499</v>
      </c>
      <c r="BG21" s="272">
        <v>0</v>
      </c>
      <c r="BH21" s="272">
        <v>104548</v>
      </c>
      <c r="BI21" s="272">
        <v>77637</v>
      </c>
      <c r="BJ21" s="272">
        <v>411111</v>
      </c>
      <c r="BK21" s="272">
        <v>60071</v>
      </c>
      <c r="BL21" s="272">
        <v>0</v>
      </c>
      <c r="BM21" s="272">
        <v>0</v>
      </c>
      <c r="BN21" s="272">
        <v>4122400</v>
      </c>
      <c r="BO21" s="455">
        <f t="shared" si="5"/>
        <v>2563700</v>
      </c>
      <c r="BP21" s="455">
        <f t="shared" si="6"/>
        <v>1558700</v>
      </c>
      <c r="BQ21" s="272">
        <v>174700</v>
      </c>
      <c r="BR21" s="272"/>
      <c r="BS21" s="272">
        <v>1384000</v>
      </c>
      <c r="BT21" s="272">
        <v>0</v>
      </c>
      <c r="BU21" s="272">
        <v>38348432</v>
      </c>
      <c r="BV21" s="272"/>
      <c r="BW21" s="272">
        <v>9402286</v>
      </c>
      <c r="BX21" s="272">
        <v>6388815</v>
      </c>
      <c r="BY21" s="272">
        <v>1182720</v>
      </c>
      <c r="BZ21" s="272">
        <v>331826</v>
      </c>
      <c r="CA21" s="272">
        <v>8365377</v>
      </c>
      <c r="CB21" s="272">
        <v>1043087</v>
      </c>
      <c r="CC21" s="272">
        <v>243666</v>
      </c>
      <c r="CD21" s="272">
        <v>2644792</v>
      </c>
      <c r="CE21" s="272">
        <v>4247711</v>
      </c>
      <c r="CF21" s="272">
        <v>0</v>
      </c>
      <c r="CG21" s="272">
        <v>185481</v>
      </c>
      <c r="CH21" s="272">
        <v>3224344</v>
      </c>
      <c r="CI21" s="272">
        <v>2537660</v>
      </c>
      <c r="CJ21" s="455">
        <f t="shared" si="7"/>
        <v>686684</v>
      </c>
      <c r="CK21" s="272">
        <v>4978687</v>
      </c>
      <c r="CL21" s="272">
        <v>3237752</v>
      </c>
      <c r="CM21" s="272">
        <v>210776</v>
      </c>
      <c r="CN21" s="272">
        <v>821144</v>
      </c>
      <c r="CO21" s="272">
        <v>204520</v>
      </c>
      <c r="CP21" s="272">
        <v>2379130</v>
      </c>
      <c r="CQ21" s="272">
        <v>149</v>
      </c>
      <c r="CR21" s="272">
        <v>1097089</v>
      </c>
      <c r="CS21" s="272">
        <v>639100</v>
      </c>
      <c r="CT21" s="455">
        <f t="shared" si="8"/>
        <v>609943</v>
      </c>
      <c r="CU21" s="272">
        <v>10000</v>
      </c>
      <c r="CV21" s="272">
        <v>599943</v>
      </c>
      <c r="CW21" s="455">
        <f t="shared" si="9"/>
        <v>591123</v>
      </c>
      <c r="CX21" s="272">
        <v>0</v>
      </c>
      <c r="CY21" s="272">
        <v>591123</v>
      </c>
      <c r="CZ21" s="455">
        <f t="shared" si="10"/>
        <v>0</v>
      </c>
      <c r="DA21" s="272">
        <v>0</v>
      </c>
      <c r="DB21" s="272">
        <v>0</v>
      </c>
      <c r="DC21" s="272">
        <v>3483334</v>
      </c>
      <c r="DD21" s="272">
        <v>1567907</v>
      </c>
      <c r="DE21" s="272">
        <v>1911893</v>
      </c>
      <c r="DF21" s="272">
        <v>291</v>
      </c>
      <c r="DG21" s="272">
        <v>3243</v>
      </c>
      <c r="DH21" s="272">
        <v>0</v>
      </c>
      <c r="DI21" s="272">
        <v>482981</v>
      </c>
      <c r="DJ21" s="272">
        <v>254619</v>
      </c>
      <c r="DK21" s="272">
        <v>10</v>
      </c>
      <c r="DL21" s="272">
        <v>228352</v>
      </c>
      <c r="DM21" s="272">
        <v>0</v>
      </c>
      <c r="DN21" s="272">
        <v>0</v>
      </c>
      <c r="DO21" s="272">
        <v>0</v>
      </c>
      <c r="DP21" s="272">
        <v>0</v>
      </c>
      <c r="DQ21" s="272">
        <v>60000</v>
      </c>
      <c r="DR21" s="272">
        <v>0</v>
      </c>
      <c r="DS21" s="272">
        <v>0</v>
      </c>
      <c r="DT21" s="272">
        <v>5675628</v>
      </c>
      <c r="DU21" s="272">
        <v>2789000</v>
      </c>
      <c r="DV21" s="455">
        <f t="shared" si="11"/>
        <v>0</v>
      </c>
      <c r="DW21" s="272">
        <v>0</v>
      </c>
      <c r="DX21" s="272"/>
      <c r="DY21" s="272">
        <v>0</v>
      </c>
      <c r="DZ21" s="272">
        <v>1194231</v>
      </c>
      <c r="EA21" s="272">
        <v>666122</v>
      </c>
      <c r="EB21" s="272">
        <v>1017368</v>
      </c>
      <c r="EC21" s="272">
        <v>0</v>
      </c>
      <c r="ED21" s="272">
        <v>38256287</v>
      </c>
      <c r="EF21" s="272">
        <v>92145</v>
      </c>
      <c r="EG21" s="272">
        <v>15652</v>
      </c>
      <c r="EH21" s="272">
        <v>76493</v>
      </c>
      <c r="EI21" s="71">
        <v>-1144</v>
      </c>
      <c r="EJ21" s="272">
        <v>-26525</v>
      </c>
      <c r="EL21" s="272">
        <v>127276</v>
      </c>
      <c r="EM21" s="272">
        <v>127676</v>
      </c>
      <c r="EN21" s="272">
        <v>572400</v>
      </c>
      <c r="EO21" s="272">
        <v>145355</v>
      </c>
      <c r="EP21" s="455">
        <f t="shared" si="12"/>
        <v>614618</v>
      </c>
      <c r="EQ21" s="272">
        <v>24219274</v>
      </c>
      <c r="ER21" s="272">
        <v>-2866220</v>
      </c>
      <c r="ES21" s="272">
        <v>8889536</v>
      </c>
      <c r="ET21" s="272">
        <v>5989453</v>
      </c>
      <c r="EU21" s="272">
        <v>2557918</v>
      </c>
      <c r="EV21" s="272">
        <v>3204846</v>
      </c>
      <c r="EW21" s="455">
        <f t="shared" si="13"/>
        <v>138622</v>
      </c>
      <c r="EX21" s="272">
        <v>138622</v>
      </c>
      <c r="EY21" s="272">
        <v>764</v>
      </c>
      <c r="EZ21" s="272">
        <v>137567</v>
      </c>
      <c r="FA21" s="272">
        <v>0</v>
      </c>
      <c r="FB21" s="272"/>
      <c r="FC21" s="272">
        <v>4448885</v>
      </c>
      <c r="FD21" s="272">
        <v>1973542</v>
      </c>
      <c r="FE21" s="272">
        <v>149</v>
      </c>
      <c r="FF21" s="272">
        <v>5100700</v>
      </c>
      <c r="FG21" s="455">
        <f t="shared" si="14"/>
        <v>679300</v>
      </c>
      <c r="FH21" s="272">
        <v>26993349</v>
      </c>
      <c r="FI21" s="384">
        <f t="shared" si="15"/>
        <v>0.3</v>
      </c>
      <c r="FJ21" s="272">
        <v>22158017</v>
      </c>
      <c r="FK21" s="272">
        <v>1384058</v>
      </c>
      <c r="FL21" s="272">
        <v>11211204</v>
      </c>
      <c r="FM21" s="272">
        <v>18669667</v>
      </c>
      <c r="FN21" s="460">
        <v>0.59399999999999997</v>
      </c>
      <c r="FO21" s="388">
        <v>100.5</v>
      </c>
      <c r="FP21" s="388">
        <v>33.5</v>
      </c>
      <c r="FQ21" s="388">
        <v>10.5</v>
      </c>
      <c r="FR21" s="388">
        <v>13.2</v>
      </c>
      <c r="FS21" s="388">
        <v>18.100000000000001</v>
      </c>
      <c r="FT21" s="388">
        <v>7.1</v>
      </c>
      <c r="FU21" s="388">
        <v>17.2</v>
      </c>
      <c r="FV21" s="388">
        <v>14.8</v>
      </c>
      <c r="FW21" s="272">
        <v>33785569</v>
      </c>
      <c r="FX21" s="384">
        <f t="shared" si="16"/>
        <v>152.5</v>
      </c>
      <c r="FY21" s="272">
        <v>1654054</v>
      </c>
      <c r="FZ21" s="272">
        <v>606379</v>
      </c>
      <c r="GA21" s="272">
        <v>21058</v>
      </c>
      <c r="GB21" s="272">
        <v>1026617</v>
      </c>
      <c r="GC21" s="272"/>
      <c r="GD21" s="272">
        <v>1122579</v>
      </c>
      <c r="GE21" s="384">
        <f t="shared" si="17"/>
        <v>5.0999999999999996</v>
      </c>
      <c r="GF21" s="388">
        <v>98</v>
      </c>
      <c r="GG21" s="388">
        <v>29</v>
      </c>
      <c r="GH21" s="388">
        <v>92.7</v>
      </c>
      <c r="GI21" s="272">
        <v>857</v>
      </c>
      <c r="GJ21" s="394"/>
      <c r="GK21" s="394"/>
      <c r="GL21" s="394"/>
      <c r="GM21" s="394"/>
      <c r="GN21" s="394"/>
      <c r="GO21" s="394"/>
      <c r="GP21" s="394"/>
      <c r="GQ21" s="394"/>
      <c r="GR21" s="394"/>
      <c r="GS21" s="394"/>
      <c r="GT21" s="394"/>
      <c r="GU21" s="394"/>
      <c r="GV21" s="394"/>
      <c r="GW21" s="394"/>
      <c r="GX21" s="394"/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</row>
    <row r="22" spans="2:230" x14ac:dyDescent="0.15">
      <c r="B22" s="89" t="s">
        <v>37</v>
      </c>
      <c r="C22" s="272">
        <v>18940658</v>
      </c>
      <c r="D22" s="455">
        <f t="shared" si="0"/>
        <v>4486842</v>
      </c>
      <c r="E22" s="272">
        <v>144925</v>
      </c>
      <c r="F22" s="272">
        <v>4341917</v>
      </c>
      <c r="G22" s="455">
        <f t="shared" si="1"/>
        <v>3636844</v>
      </c>
      <c r="H22" s="272">
        <v>359684</v>
      </c>
      <c r="I22" s="272">
        <v>3277160</v>
      </c>
      <c r="J22" s="272">
        <v>8221137</v>
      </c>
      <c r="K22" s="272">
        <v>3708631</v>
      </c>
      <c r="L22" s="272">
        <v>3232472</v>
      </c>
      <c r="M22" s="272">
        <v>1123497</v>
      </c>
      <c r="N22" s="272">
        <v>822183</v>
      </c>
      <c r="O22" s="272">
        <v>1676843</v>
      </c>
      <c r="P22" s="272">
        <v>960328</v>
      </c>
      <c r="Q22" s="272">
        <v>716515</v>
      </c>
      <c r="R22" s="272">
        <v>713574</v>
      </c>
      <c r="S22" s="272">
        <v>453351</v>
      </c>
      <c r="T22" s="455">
        <f t="shared" si="2"/>
        <v>1802324</v>
      </c>
      <c r="U22" s="272">
        <v>111323</v>
      </c>
      <c r="V22" s="272">
        <v>60687</v>
      </c>
      <c r="W22" s="272">
        <v>75150</v>
      </c>
      <c r="X22" s="272">
        <v>1263377</v>
      </c>
      <c r="Y22" s="272">
        <v>28913</v>
      </c>
      <c r="Z22" s="272">
        <v>0</v>
      </c>
      <c r="AA22" s="272">
        <v>262874</v>
      </c>
      <c r="AB22" s="272">
        <v>485676</v>
      </c>
      <c r="AC22" s="272">
        <v>3432108</v>
      </c>
      <c r="AD22" s="272">
        <v>3132096</v>
      </c>
      <c r="AE22" s="272">
        <v>300012</v>
      </c>
      <c r="AF22" s="272">
        <v>25620</v>
      </c>
      <c r="AG22" s="272">
        <v>332435</v>
      </c>
      <c r="AH22" s="455">
        <f t="shared" si="3"/>
        <v>935608</v>
      </c>
      <c r="AI22" s="272">
        <v>560685</v>
      </c>
      <c r="AJ22" s="272">
        <v>374923</v>
      </c>
      <c r="AK22" s="272">
        <v>4601755</v>
      </c>
      <c r="AL22" s="455">
        <f t="shared" si="4"/>
        <v>1842888</v>
      </c>
      <c r="AM22" s="272">
        <v>1427030</v>
      </c>
      <c r="AN22" s="272">
        <v>412941</v>
      </c>
      <c r="AO22" s="272">
        <v>0</v>
      </c>
      <c r="AP22" s="272">
        <v>2917</v>
      </c>
      <c r="AQ22" s="272">
        <v>1008834</v>
      </c>
      <c r="AR22" s="272">
        <v>0</v>
      </c>
      <c r="AS22" s="272">
        <v>0</v>
      </c>
      <c r="AT22" s="272">
        <v>2103503</v>
      </c>
      <c r="AU22" s="272">
        <v>860572</v>
      </c>
      <c r="AV22" s="272">
        <v>206595</v>
      </c>
      <c r="AW22" s="272">
        <v>33253</v>
      </c>
      <c r="AX22" s="272">
        <v>1242931</v>
      </c>
      <c r="AY22" s="272">
        <v>22796</v>
      </c>
      <c r="AZ22" s="272">
        <v>54228</v>
      </c>
      <c r="BA22" s="272">
        <v>32644</v>
      </c>
      <c r="BB22" s="272">
        <v>6147</v>
      </c>
      <c r="BC22" s="272">
        <v>1214088</v>
      </c>
      <c r="BD22" s="272">
        <v>580000</v>
      </c>
      <c r="BE22" s="272">
        <v>0</v>
      </c>
      <c r="BF22" s="272">
        <v>618510</v>
      </c>
      <c r="BG22" s="272">
        <v>1106</v>
      </c>
      <c r="BH22" s="272">
        <v>397464</v>
      </c>
      <c r="BI22" s="272">
        <v>276939</v>
      </c>
      <c r="BJ22" s="272">
        <v>3762136</v>
      </c>
      <c r="BK22" s="272">
        <v>3034648</v>
      </c>
      <c r="BL22" s="272">
        <v>0</v>
      </c>
      <c r="BM22" s="272">
        <v>0</v>
      </c>
      <c r="BN22" s="272">
        <v>4203100</v>
      </c>
      <c r="BO22" s="455">
        <f t="shared" si="5"/>
        <v>2681800</v>
      </c>
      <c r="BP22" s="455">
        <f t="shared" si="6"/>
        <v>1521300</v>
      </c>
      <c r="BQ22" s="272">
        <v>189400</v>
      </c>
      <c r="BR22" s="272"/>
      <c r="BS22" s="272">
        <v>1331900</v>
      </c>
      <c r="BT22" s="272">
        <v>0</v>
      </c>
      <c r="BU22" s="272">
        <v>43010424</v>
      </c>
      <c r="BV22" s="272"/>
      <c r="BW22" s="272">
        <v>10626119</v>
      </c>
      <c r="BX22" s="272">
        <v>6511721</v>
      </c>
      <c r="BY22" s="272">
        <v>2408465</v>
      </c>
      <c r="BZ22" s="272">
        <v>248330</v>
      </c>
      <c r="CA22" s="272">
        <v>6541463</v>
      </c>
      <c r="CB22" s="272">
        <v>1026203</v>
      </c>
      <c r="CC22" s="272">
        <v>309991</v>
      </c>
      <c r="CD22" s="272">
        <v>3130805</v>
      </c>
      <c r="CE22" s="272">
        <v>1873183</v>
      </c>
      <c r="CF22" s="272">
        <v>102</v>
      </c>
      <c r="CG22" s="272">
        <v>200869</v>
      </c>
      <c r="CH22" s="272">
        <v>3441964</v>
      </c>
      <c r="CI22" s="272">
        <v>2852655</v>
      </c>
      <c r="CJ22" s="455">
        <f t="shared" si="7"/>
        <v>589309</v>
      </c>
      <c r="CK22" s="272">
        <v>4435636</v>
      </c>
      <c r="CL22" s="272">
        <v>2927266</v>
      </c>
      <c r="CM22" s="272">
        <v>185196</v>
      </c>
      <c r="CN22" s="272">
        <v>770197</v>
      </c>
      <c r="CO22" s="272">
        <v>200198</v>
      </c>
      <c r="CP22" s="272">
        <v>2753782</v>
      </c>
      <c r="CQ22" s="272">
        <v>1597525</v>
      </c>
      <c r="CR22" s="272">
        <v>603279</v>
      </c>
      <c r="CS22" s="272">
        <v>148890</v>
      </c>
      <c r="CT22" s="455">
        <f t="shared" si="8"/>
        <v>20289</v>
      </c>
      <c r="CU22" s="272">
        <v>20289</v>
      </c>
      <c r="CV22" s="272">
        <v>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4811128</v>
      </c>
      <c r="DD22" s="272">
        <v>1689173</v>
      </c>
      <c r="DE22" s="272">
        <v>3121955</v>
      </c>
      <c r="DF22" s="272">
        <v>0</v>
      </c>
      <c r="DG22" s="272">
        <v>0</v>
      </c>
      <c r="DH22" s="272">
        <v>0</v>
      </c>
      <c r="DI22" s="272">
        <v>1571167</v>
      </c>
      <c r="DJ22" s="272">
        <v>1338107</v>
      </c>
      <c r="DK22" s="272">
        <v>3173</v>
      </c>
      <c r="DL22" s="272">
        <v>229887</v>
      </c>
      <c r="DM22" s="272">
        <v>0</v>
      </c>
      <c r="DN22" s="272">
        <v>0</v>
      </c>
      <c r="DO22" s="272">
        <v>0</v>
      </c>
      <c r="DP22" s="272">
        <v>0</v>
      </c>
      <c r="DQ22" s="272">
        <v>3020000</v>
      </c>
      <c r="DR22" s="272">
        <v>0</v>
      </c>
      <c r="DS22" s="272">
        <v>0</v>
      </c>
      <c r="DT22" s="272">
        <v>5197204</v>
      </c>
      <c r="DU22" s="272">
        <v>2366469</v>
      </c>
      <c r="DV22" s="455">
        <f t="shared" si="11"/>
        <v>0</v>
      </c>
      <c r="DW22" s="272">
        <v>0</v>
      </c>
      <c r="DX22" s="272"/>
      <c r="DY22" s="272">
        <v>0</v>
      </c>
      <c r="DZ22" s="272">
        <v>1462207</v>
      </c>
      <c r="EA22" s="272">
        <v>536673</v>
      </c>
      <c r="EB22" s="272">
        <v>765317</v>
      </c>
      <c r="EC22" s="272">
        <v>0</v>
      </c>
      <c r="ED22" s="272">
        <v>42598661</v>
      </c>
      <c r="EF22" s="272">
        <v>411763</v>
      </c>
      <c r="EG22" s="272">
        <v>124666</v>
      </c>
      <c r="EH22" s="272">
        <v>287097</v>
      </c>
      <c r="EI22" s="71">
        <v>10158</v>
      </c>
      <c r="EJ22" s="272">
        <v>768265</v>
      </c>
      <c r="EL22" s="272">
        <v>126504</v>
      </c>
      <c r="EM22" s="272">
        <v>126458</v>
      </c>
      <c r="EN22" s="272">
        <v>580000</v>
      </c>
      <c r="EO22" s="272">
        <v>36121</v>
      </c>
      <c r="EP22" s="455">
        <f t="shared" si="12"/>
        <v>1446089</v>
      </c>
      <c r="EQ22" s="272">
        <v>25399960</v>
      </c>
      <c r="ER22" s="272">
        <v>-3557890</v>
      </c>
      <c r="ES22" s="272">
        <v>9533595</v>
      </c>
      <c r="ET22" s="272">
        <v>5904488</v>
      </c>
      <c r="EU22" s="272">
        <v>2134221</v>
      </c>
      <c r="EV22" s="272">
        <v>3372335</v>
      </c>
      <c r="EW22" s="455">
        <f t="shared" si="13"/>
        <v>1301288</v>
      </c>
      <c r="EX22" s="272">
        <v>1301288</v>
      </c>
      <c r="EY22" s="272">
        <v>225151</v>
      </c>
      <c r="EZ22" s="272">
        <v>1076137</v>
      </c>
      <c r="FA22" s="272">
        <v>0</v>
      </c>
      <c r="FB22" s="272"/>
      <c r="FC22" s="272">
        <v>3267516</v>
      </c>
      <c r="FD22" s="272">
        <v>2559738</v>
      </c>
      <c r="FE22" s="272">
        <v>1597525</v>
      </c>
      <c r="FF22" s="272">
        <v>4677030</v>
      </c>
      <c r="FG22" s="455">
        <f t="shared" si="14"/>
        <v>1700364</v>
      </c>
      <c r="FH22" s="272">
        <v>28546087</v>
      </c>
      <c r="FI22" s="384">
        <f t="shared" si="15"/>
        <v>1.4</v>
      </c>
      <c r="FJ22" s="272">
        <v>20779764</v>
      </c>
      <c r="FK22" s="272">
        <v>1331903</v>
      </c>
      <c r="FL22" s="272">
        <v>13420182</v>
      </c>
      <c r="FM22" s="272">
        <v>16559049</v>
      </c>
      <c r="FN22" s="460">
        <v>0.85199999999999998</v>
      </c>
      <c r="FO22" s="388">
        <v>90.2</v>
      </c>
      <c r="FP22" s="388">
        <v>31.2</v>
      </c>
      <c r="FQ22" s="388">
        <v>8.5</v>
      </c>
      <c r="FR22" s="388">
        <v>13.5</v>
      </c>
      <c r="FS22" s="388">
        <v>12.5</v>
      </c>
      <c r="FT22" s="388">
        <v>7.7</v>
      </c>
      <c r="FU22" s="388">
        <v>16.100000000000001</v>
      </c>
      <c r="FV22" s="388">
        <v>13.7</v>
      </c>
      <c r="FW22" s="272">
        <v>33699565</v>
      </c>
      <c r="FX22" s="384">
        <f t="shared" si="16"/>
        <v>162.19999999999999</v>
      </c>
      <c r="FY22" s="272">
        <v>9409189</v>
      </c>
      <c r="FZ22" s="272">
        <v>4439633</v>
      </c>
      <c r="GA22" s="272">
        <v>649967</v>
      </c>
      <c r="GB22" s="272">
        <v>4319589</v>
      </c>
      <c r="GC22" s="272"/>
      <c r="GD22" s="272">
        <v>6273490</v>
      </c>
      <c r="GE22" s="384">
        <f t="shared" si="17"/>
        <v>30.2</v>
      </c>
      <c r="GF22" s="388">
        <v>98</v>
      </c>
      <c r="GG22" s="388">
        <v>19.100000000000001</v>
      </c>
      <c r="GH22" s="388">
        <v>93.6</v>
      </c>
      <c r="GI22" s="272">
        <v>908</v>
      </c>
      <c r="GJ22" s="394"/>
      <c r="GK22" s="394"/>
      <c r="GL22" s="394"/>
      <c r="GM22" s="394"/>
      <c r="GN22" s="394"/>
      <c r="GO22" s="394"/>
      <c r="GP22" s="394"/>
      <c r="GQ22" s="394"/>
      <c r="GR22" s="394"/>
      <c r="GS22" s="394"/>
      <c r="GT22" s="394"/>
      <c r="GU22" s="394"/>
      <c r="GV22" s="394"/>
      <c r="GW22" s="394"/>
      <c r="GX22" s="394"/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</row>
    <row r="23" spans="2:230" x14ac:dyDescent="0.15">
      <c r="B23" s="89" t="s">
        <v>39</v>
      </c>
      <c r="C23" s="272">
        <v>20300686</v>
      </c>
      <c r="D23" s="455">
        <f t="shared" si="0"/>
        <v>7188876</v>
      </c>
      <c r="E23" s="272">
        <v>193261</v>
      </c>
      <c r="F23" s="272">
        <v>6995615</v>
      </c>
      <c r="G23" s="455">
        <f t="shared" si="1"/>
        <v>1132824</v>
      </c>
      <c r="H23" s="272">
        <v>328623</v>
      </c>
      <c r="I23" s="272">
        <v>804201</v>
      </c>
      <c r="J23" s="272">
        <v>8954777</v>
      </c>
      <c r="K23" s="272">
        <v>4002319</v>
      </c>
      <c r="L23" s="272">
        <v>4029769</v>
      </c>
      <c r="M23" s="272">
        <v>843038</v>
      </c>
      <c r="N23" s="272">
        <v>920440</v>
      </c>
      <c r="O23" s="272">
        <v>1897283</v>
      </c>
      <c r="P23" s="272">
        <v>1050324</v>
      </c>
      <c r="Q23" s="272">
        <v>846959</v>
      </c>
      <c r="R23" s="272">
        <v>1006292</v>
      </c>
      <c r="S23" s="272">
        <v>608282</v>
      </c>
      <c r="T23" s="455">
        <f t="shared" si="2"/>
        <v>2197865</v>
      </c>
      <c r="U23" s="272">
        <v>164332</v>
      </c>
      <c r="V23" s="272">
        <v>89780</v>
      </c>
      <c r="W23" s="272">
        <v>111823</v>
      </c>
      <c r="X23" s="272">
        <v>1397509</v>
      </c>
      <c r="Y23" s="272">
        <v>32393</v>
      </c>
      <c r="Z23" s="272">
        <v>0</v>
      </c>
      <c r="AA23" s="272">
        <v>402028</v>
      </c>
      <c r="AB23" s="272">
        <v>689947</v>
      </c>
      <c r="AC23" s="272">
        <v>8066696</v>
      </c>
      <c r="AD23" s="272">
        <v>7263657</v>
      </c>
      <c r="AE23" s="272">
        <v>803039</v>
      </c>
      <c r="AF23" s="272">
        <v>29933</v>
      </c>
      <c r="AG23" s="272">
        <v>314859</v>
      </c>
      <c r="AH23" s="455">
        <f t="shared" si="3"/>
        <v>1256902</v>
      </c>
      <c r="AI23" s="272">
        <v>1157893</v>
      </c>
      <c r="AJ23" s="272">
        <v>99009</v>
      </c>
      <c r="AK23" s="272">
        <v>7080850</v>
      </c>
      <c r="AL23" s="455">
        <f t="shared" si="4"/>
        <v>4355504</v>
      </c>
      <c r="AM23" s="272">
        <v>4028409</v>
      </c>
      <c r="AN23" s="272">
        <v>326123</v>
      </c>
      <c r="AO23" s="272">
        <v>0</v>
      </c>
      <c r="AP23" s="272">
        <v>972</v>
      </c>
      <c r="AQ23" s="272">
        <v>248045</v>
      </c>
      <c r="AR23" s="272">
        <v>0</v>
      </c>
      <c r="AS23" s="272">
        <v>281692</v>
      </c>
      <c r="AT23" s="272">
        <v>2410000</v>
      </c>
      <c r="AU23" s="272">
        <v>1145475</v>
      </c>
      <c r="AV23" s="272">
        <v>164872</v>
      </c>
      <c r="AW23" s="272">
        <v>147086</v>
      </c>
      <c r="AX23" s="272">
        <v>1264525</v>
      </c>
      <c r="AY23" s="272">
        <v>23988</v>
      </c>
      <c r="AZ23" s="272">
        <v>30793</v>
      </c>
      <c r="BA23" s="272">
        <v>11768</v>
      </c>
      <c r="BB23" s="272">
        <v>10283</v>
      </c>
      <c r="BC23" s="272">
        <v>1749632</v>
      </c>
      <c r="BD23" s="272">
        <v>300000</v>
      </c>
      <c r="BE23" s="272">
        <v>300000</v>
      </c>
      <c r="BF23" s="272">
        <v>1100000</v>
      </c>
      <c r="BG23" s="272">
        <v>0</v>
      </c>
      <c r="BH23" s="272">
        <v>145427</v>
      </c>
      <c r="BI23" s="272">
        <v>130025</v>
      </c>
      <c r="BJ23" s="272">
        <v>2618059</v>
      </c>
      <c r="BK23" s="272">
        <v>129491</v>
      </c>
      <c r="BL23" s="272">
        <v>11</v>
      </c>
      <c r="BM23" s="272">
        <v>0</v>
      </c>
      <c r="BN23" s="272">
        <v>2505600</v>
      </c>
      <c r="BO23" s="455">
        <f t="shared" si="5"/>
        <v>541900</v>
      </c>
      <c r="BP23" s="455">
        <f t="shared" si="6"/>
        <v>1963700</v>
      </c>
      <c r="BQ23" s="272">
        <v>262700</v>
      </c>
      <c r="BR23" s="272"/>
      <c r="BS23" s="272">
        <v>1701000</v>
      </c>
      <c r="BT23" s="272">
        <v>0</v>
      </c>
      <c r="BU23" s="272">
        <v>50695516</v>
      </c>
      <c r="BV23" s="272"/>
      <c r="BW23" s="272">
        <v>12674642</v>
      </c>
      <c r="BX23" s="272">
        <v>7855361</v>
      </c>
      <c r="BY23" s="272">
        <v>2159722</v>
      </c>
      <c r="BZ23" s="272">
        <v>807848</v>
      </c>
      <c r="CA23" s="272">
        <v>11721644</v>
      </c>
      <c r="CB23" s="272">
        <v>1665749</v>
      </c>
      <c r="CC23" s="272">
        <v>460211</v>
      </c>
      <c r="CD23" s="272">
        <v>3896407</v>
      </c>
      <c r="CE23" s="272">
        <v>5441076</v>
      </c>
      <c r="CF23" s="272">
        <v>0</v>
      </c>
      <c r="CG23" s="272">
        <v>257671</v>
      </c>
      <c r="CH23" s="272">
        <v>5751391</v>
      </c>
      <c r="CI23" s="272">
        <v>4517926</v>
      </c>
      <c r="CJ23" s="455">
        <f t="shared" si="7"/>
        <v>1233465</v>
      </c>
      <c r="CK23" s="272">
        <v>5965339</v>
      </c>
      <c r="CL23" s="272">
        <v>4008933</v>
      </c>
      <c r="CM23" s="272">
        <v>341083</v>
      </c>
      <c r="CN23" s="272">
        <v>770649</v>
      </c>
      <c r="CO23" s="272">
        <v>296067</v>
      </c>
      <c r="CP23" s="272">
        <v>4741496</v>
      </c>
      <c r="CQ23" s="272">
        <v>1688477</v>
      </c>
      <c r="CR23" s="272">
        <v>1289325</v>
      </c>
      <c r="CS23" s="272">
        <v>1120413</v>
      </c>
      <c r="CT23" s="455">
        <f t="shared" si="8"/>
        <v>895000</v>
      </c>
      <c r="CU23" s="272">
        <v>15000</v>
      </c>
      <c r="CV23" s="272">
        <v>880000</v>
      </c>
      <c r="CW23" s="455">
        <f t="shared" si="9"/>
        <v>880000</v>
      </c>
      <c r="CX23" s="272">
        <v>0</v>
      </c>
      <c r="CY23" s="272">
        <v>880000</v>
      </c>
      <c r="CZ23" s="455">
        <f t="shared" si="10"/>
        <v>0</v>
      </c>
      <c r="DA23" s="272">
        <v>0</v>
      </c>
      <c r="DB23" s="272">
        <v>0</v>
      </c>
      <c r="DC23" s="272">
        <v>4304538</v>
      </c>
      <c r="DD23" s="272">
        <v>711282</v>
      </c>
      <c r="DE23" s="272">
        <v>3593256</v>
      </c>
      <c r="DF23" s="272">
        <v>0</v>
      </c>
      <c r="DG23" s="272">
        <v>0</v>
      </c>
      <c r="DH23" s="272">
        <v>0</v>
      </c>
      <c r="DI23" s="272">
        <v>234181</v>
      </c>
      <c r="DJ23" s="272">
        <v>71080</v>
      </c>
      <c r="DK23" s="272">
        <v>390</v>
      </c>
      <c r="DL23" s="272">
        <v>162711</v>
      </c>
      <c r="DM23" s="272">
        <v>0</v>
      </c>
      <c r="DN23" s="272">
        <v>0</v>
      </c>
      <c r="DO23" s="272">
        <v>0</v>
      </c>
      <c r="DP23" s="272">
        <v>0</v>
      </c>
      <c r="DQ23" s="272">
        <v>421600</v>
      </c>
      <c r="DR23" s="272">
        <v>300000</v>
      </c>
      <c r="DS23" s="272">
        <v>300000</v>
      </c>
      <c r="DT23" s="272">
        <v>4402012</v>
      </c>
      <c r="DU23" s="272">
        <v>762076</v>
      </c>
      <c r="DV23" s="455">
        <f t="shared" si="11"/>
        <v>536721</v>
      </c>
      <c r="DW23" s="272">
        <v>536721</v>
      </c>
      <c r="DX23" s="272"/>
      <c r="DY23" s="272">
        <v>0</v>
      </c>
      <c r="DZ23" s="272">
        <v>1162211</v>
      </c>
      <c r="EA23" s="272">
        <v>833108</v>
      </c>
      <c r="EB23" s="272">
        <v>1097896</v>
      </c>
      <c r="EC23" s="272">
        <v>0</v>
      </c>
      <c r="ED23" s="272">
        <v>50512910</v>
      </c>
      <c r="EF23" s="272">
        <v>182606</v>
      </c>
      <c r="EG23" s="272">
        <v>106938</v>
      </c>
      <c r="EH23" s="272">
        <v>75668</v>
      </c>
      <c r="EI23" s="71">
        <v>-54357</v>
      </c>
      <c r="EJ23" s="272">
        <v>-153584</v>
      </c>
      <c r="EL23" s="272">
        <v>177856</v>
      </c>
      <c r="EM23" s="272">
        <v>180053</v>
      </c>
      <c r="EN23" s="272">
        <v>649632</v>
      </c>
      <c r="EO23" s="272">
        <v>28917</v>
      </c>
      <c r="EP23" s="455">
        <f t="shared" si="12"/>
        <v>1101930</v>
      </c>
      <c r="EQ23" s="272">
        <v>32573111</v>
      </c>
      <c r="ER23" s="272">
        <v>-3432554</v>
      </c>
      <c r="ES23" s="272">
        <v>11837316</v>
      </c>
      <c r="ET23" s="272">
        <v>7333577</v>
      </c>
      <c r="EU23" s="272">
        <v>4049419</v>
      </c>
      <c r="EV23" s="272">
        <v>5342793</v>
      </c>
      <c r="EW23" s="455">
        <f t="shared" si="13"/>
        <v>460869</v>
      </c>
      <c r="EX23" s="272">
        <v>460869</v>
      </c>
      <c r="EY23" s="272">
        <v>63965</v>
      </c>
      <c r="EZ23" s="272">
        <v>396904</v>
      </c>
      <c r="FA23" s="272">
        <v>0</v>
      </c>
      <c r="FB23" s="272"/>
      <c r="FC23" s="272">
        <v>5021597</v>
      </c>
      <c r="FD23" s="272">
        <v>4446870</v>
      </c>
      <c r="FE23" s="272">
        <v>1688477</v>
      </c>
      <c r="FF23" s="272">
        <v>3849911</v>
      </c>
      <c r="FG23" s="455">
        <f t="shared" si="14"/>
        <v>814284</v>
      </c>
      <c r="FH23" s="272">
        <v>35823059</v>
      </c>
      <c r="FI23" s="384">
        <f t="shared" si="15"/>
        <v>0.3</v>
      </c>
      <c r="FJ23" s="272">
        <v>28918633</v>
      </c>
      <c r="FK23" s="272">
        <v>1701070</v>
      </c>
      <c r="FL23" s="272">
        <v>16499166</v>
      </c>
      <c r="FM23" s="272">
        <v>23762823</v>
      </c>
      <c r="FN23" s="460">
        <v>0.69499999999999995</v>
      </c>
      <c r="FO23" s="388">
        <v>97.4</v>
      </c>
      <c r="FP23" s="388">
        <v>31.1</v>
      </c>
      <c r="FQ23" s="388">
        <v>12.7</v>
      </c>
      <c r="FR23" s="388">
        <v>16.3</v>
      </c>
      <c r="FS23" s="388">
        <v>14.7</v>
      </c>
      <c r="FT23" s="388">
        <v>12.4</v>
      </c>
      <c r="FU23" s="388">
        <v>9.4</v>
      </c>
      <c r="FV23" s="388">
        <v>12.5</v>
      </c>
      <c r="FW23" s="272">
        <v>54358863</v>
      </c>
      <c r="FX23" s="384">
        <f t="shared" si="16"/>
        <v>188</v>
      </c>
      <c r="FY23" s="272">
        <v>5854348</v>
      </c>
      <c r="FZ23" s="272">
        <v>1844240</v>
      </c>
      <c r="GA23" s="272">
        <v>713940</v>
      </c>
      <c r="GB23" s="272">
        <v>3296168</v>
      </c>
      <c r="GC23" s="272"/>
      <c r="GD23" s="272">
        <v>7308434</v>
      </c>
      <c r="GE23" s="384">
        <f t="shared" si="17"/>
        <v>25.3</v>
      </c>
      <c r="GF23" s="388">
        <v>98.1</v>
      </c>
      <c r="GG23" s="388">
        <v>26.3</v>
      </c>
      <c r="GH23" s="388">
        <v>93.8</v>
      </c>
      <c r="GI23" s="272">
        <v>1121</v>
      </c>
      <c r="GJ23" s="394"/>
      <c r="GK23" s="394"/>
      <c r="GL23" s="394"/>
      <c r="GM23" s="394"/>
      <c r="GN23" s="394"/>
      <c r="GO23" s="394"/>
      <c r="GP23" s="394"/>
      <c r="GQ23" s="394"/>
      <c r="GR23" s="394"/>
      <c r="GS23" s="394"/>
      <c r="GT23" s="394"/>
      <c r="GU23" s="394"/>
      <c r="GV23" s="394"/>
      <c r="GW23" s="394"/>
      <c r="GX23" s="394"/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</row>
    <row r="24" spans="2:230" x14ac:dyDescent="0.15">
      <c r="B24" s="89" t="s">
        <v>41</v>
      </c>
      <c r="C24" s="272">
        <v>21763576</v>
      </c>
      <c r="D24" s="455">
        <f t="shared" si="0"/>
        <v>9406813</v>
      </c>
      <c r="E24" s="272">
        <v>150296</v>
      </c>
      <c r="F24" s="272">
        <v>9256517</v>
      </c>
      <c r="G24" s="455">
        <f t="shared" si="1"/>
        <v>903407</v>
      </c>
      <c r="H24" s="272">
        <v>328388</v>
      </c>
      <c r="I24" s="272">
        <v>575019</v>
      </c>
      <c r="J24" s="272">
        <v>8595375</v>
      </c>
      <c r="K24" s="272">
        <v>4149679</v>
      </c>
      <c r="L24" s="272">
        <v>3742805</v>
      </c>
      <c r="M24" s="272">
        <v>667080</v>
      </c>
      <c r="N24" s="272">
        <v>641757</v>
      </c>
      <c r="O24" s="272">
        <v>2136093</v>
      </c>
      <c r="P24" s="272">
        <v>1300322</v>
      </c>
      <c r="Q24" s="272">
        <v>835771</v>
      </c>
      <c r="R24" s="272">
        <v>742798</v>
      </c>
      <c r="S24" s="272">
        <v>439218</v>
      </c>
      <c r="T24" s="455">
        <f t="shared" si="2"/>
        <v>1791431</v>
      </c>
      <c r="U24" s="272">
        <v>194754</v>
      </c>
      <c r="V24" s="272">
        <v>106320</v>
      </c>
      <c r="W24" s="272">
        <v>132155</v>
      </c>
      <c r="X24" s="272">
        <v>1048085</v>
      </c>
      <c r="Y24" s="272">
        <v>3451</v>
      </c>
      <c r="Z24" s="272">
        <v>0</v>
      </c>
      <c r="AA24" s="272">
        <v>306666</v>
      </c>
      <c r="AB24" s="272">
        <v>932486</v>
      </c>
      <c r="AC24" s="272">
        <v>130060</v>
      </c>
      <c r="AD24" s="272">
        <v>0</v>
      </c>
      <c r="AE24" s="272">
        <v>130060</v>
      </c>
      <c r="AF24" s="272">
        <v>26297</v>
      </c>
      <c r="AG24" s="272">
        <v>210458</v>
      </c>
      <c r="AH24" s="455">
        <f t="shared" si="3"/>
        <v>1068189</v>
      </c>
      <c r="AI24" s="272">
        <v>828434</v>
      </c>
      <c r="AJ24" s="272">
        <v>239755</v>
      </c>
      <c r="AK24" s="272">
        <v>3075551</v>
      </c>
      <c r="AL24" s="455">
        <f t="shared" si="4"/>
        <v>1711249</v>
      </c>
      <c r="AM24" s="272">
        <v>963750</v>
      </c>
      <c r="AN24" s="272">
        <v>747499</v>
      </c>
      <c r="AO24" s="272">
        <v>0</v>
      </c>
      <c r="AP24" s="272">
        <v>0</v>
      </c>
      <c r="AQ24" s="272">
        <v>715774</v>
      </c>
      <c r="AR24" s="272">
        <v>0</v>
      </c>
      <c r="AS24" s="272">
        <v>0</v>
      </c>
      <c r="AT24" s="272">
        <v>1553541</v>
      </c>
      <c r="AU24" s="272">
        <v>614958</v>
      </c>
      <c r="AV24" s="272">
        <v>65232</v>
      </c>
      <c r="AW24" s="272">
        <v>8651</v>
      </c>
      <c r="AX24" s="272">
        <v>938583</v>
      </c>
      <c r="AY24" s="272">
        <v>6686</v>
      </c>
      <c r="AZ24" s="272">
        <v>166198</v>
      </c>
      <c r="BA24" s="272">
        <v>84289</v>
      </c>
      <c r="BB24" s="272">
        <v>66761</v>
      </c>
      <c r="BC24" s="272">
        <v>1469821</v>
      </c>
      <c r="BD24" s="272">
        <v>21600</v>
      </c>
      <c r="BE24" s="272">
        <v>380000</v>
      </c>
      <c r="BF24" s="272">
        <v>1054708</v>
      </c>
      <c r="BG24" s="272">
        <v>0</v>
      </c>
      <c r="BH24" s="272">
        <v>582712</v>
      </c>
      <c r="BI24" s="272">
        <v>439605</v>
      </c>
      <c r="BJ24" s="272">
        <v>5264180</v>
      </c>
      <c r="BK24" s="272">
        <v>3555756</v>
      </c>
      <c r="BL24" s="272">
        <v>12</v>
      </c>
      <c r="BM24" s="272">
        <v>1000000</v>
      </c>
      <c r="BN24" s="272">
        <v>3377200</v>
      </c>
      <c r="BO24" s="455">
        <f t="shared" si="5"/>
        <v>1717200</v>
      </c>
      <c r="BP24" s="455">
        <f t="shared" si="6"/>
        <v>1660000</v>
      </c>
      <c r="BQ24" s="272">
        <v>310000</v>
      </c>
      <c r="BR24" s="272"/>
      <c r="BS24" s="272">
        <v>1350000</v>
      </c>
      <c r="BT24" s="272">
        <v>0</v>
      </c>
      <c r="BU24" s="272">
        <v>42221259</v>
      </c>
      <c r="BV24" s="272"/>
      <c r="BW24" s="272">
        <v>10232464</v>
      </c>
      <c r="BX24" s="272">
        <v>7368874</v>
      </c>
      <c r="BY24" s="272">
        <v>689151</v>
      </c>
      <c r="BZ24" s="272">
        <v>524779</v>
      </c>
      <c r="CA24" s="272">
        <v>4003553</v>
      </c>
      <c r="CB24" s="272">
        <v>959991</v>
      </c>
      <c r="CC24" s="272">
        <v>268747</v>
      </c>
      <c r="CD24" s="272">
        <v>1435747</v>
      </c>
      <c r="CE24" s="272">
        <v>1271643</v>
      </c>
      <c r="CF24" s="272">
        <v>0</v>
      </c>
      <c r="CG24" s="272">
        <v>67425</v>
      </c>
      <c r="CH24" s="272">
        <v>4529898</v>
      </c>
      <c r="CI24" s="272">
        <v>3782798</v>
      </c>
      <c r="CJ24" s="455">
        <f t="shared" si="7"/>
        <v>747100</v>
      </c>
      <c r="CK24" s="272">
        <v>6596468</v>
      </c>
      <c r="CL24" s="272">
        <v>4038957</v>
      </c>
      <c r="CM24" s="272">
        <v>363238</v>
      </c>
      <c r="CN24" s="272">
        <v>1328712</v>
      </c>
      <c r="CO24" s="272">
        <v>334810</v>
      </c>
      <c r="CP24" s="272">
        <v>3393631</v>
      </c>
      <c r="CQ24" s="272">
        <v>60115</v>
      </c>
      <c r="CR24" s="272">
        <v>1336808</v>
      </c>
      <c r="CS24" s="272">
        <v>1252154</v>
      </c>
      <c r="CT24" s="455">
        <f t="shared" si="8"/>
        <v>1457061</v>
      </c>
      <c r="CU24" s="272">
        <v>1371568</v>
      </c>
      <c r="CV24" s="272">
        <v>85493</v>
      </c>
      <c r="CW24" s="455">
        <f t="shared" si="9"/>
        <v>904844</v>
      </c>
      <c r="CX24" s="272">
        <v>904844</v>
      </c>
      <c r="CY24" s="272">
        <v>0</v>
      </c>
      <c r="CZ24" s="455">
        <f t="shared" si="10"/>
        <v>517257</v>
      </c>
      <c r="DA24" s="272">
        <v>460140</v>
      </c>
      <c r="DB24" s="272">
        <v>57117</v>
      </c>
      <c r="DC24" s="272">
        <v>4325821</v>
      </c>
      <c r="DD24" s="272">
        <v>1448625</v>
      </c>
      <c r="DE24" s="272">
        <v>2877196</v>
      </c>
      <c r="DF24" s="272">
        <v>0</v>
      </c>
      <c r="DG24" s="272">
        <v>0</v>
      </c>
      <c r="DH24" s="272">
        <v>187</v>
      </c>
      <c r="DI24" s="272">
        <v>1350239</v>
      </c>
      <c r="DJ24" s="272">
        <v>654458</v>
      </c>
      <c r="DK24" s="272">
        <v>1741</v>
      </c>
      <c r="DL24" s="272">
        <v>694040</v>
      </c>
      <c r="DM24" s="272">
        <v>181412</v>
      </c>
      <c r="DN24" s="272">
        <v>181412</v>
      </c>
      <c r="DO24" s="272">
        <v>0</v>
      </c>
      <c r="DP24" s="272">
        <v>181412</v>
      </c>
      <c r="DQ24" s="272">
        <v>3522858</v>
      </c>
      <c r="DR24" s="272">
        <v>0</v>
      </c>
      <c r="DS24" s="272">
        <v>0</v>
      </c>
      <c r="DT24" s="272">
        <v>2466284</v>
      </c>
      <c r="DU24" s="272">
        <v>0</v>
      </c>
      <c r="DV24" s="455">
        <f t="shared" si="11"/>
        <v>151905</v>
      </c>
      <c r="DW24" s="272">
        <v>151905</v>
      </c>
      <c r="DX24" s="272"/>
      <c r="DY24" s="272">
        <v>0</v>
      </c>
      <c r="DZ24" s="272">
        <v>782734</v>
      </c>
      <c r="EA24" s="272">
        <v>603954</v>
      </c>
      <c r="EB24" s="272">
        <v>744510</v>
      </c>
      <c r="EC24" s="272">
        <v>0</v>
      </c>
      <c r="ED24" s="272">
        <v>40937625</v>
      </c>
      <c r="EF24" s="272">
        <v>1283634</v>
      </c>
      <c r="EG24" s="272">
        <v>240267</v>
      </c>
      <c r="EH24" s="272">
        <v>1043367</v>
      </c>
      <c r="EI24" s="71">
        <v>153762</v>
      </c>
      <c r="EJ24" s="272">
        <v>786620</v>
      </c>
      <c r="EL24" s="272">
        <v>127135</v>
      </c>
      <c r="EM24" s="272">
        <v>125161</v>
      </c>
      <c r="EN24" s="272">
        <v>415113</v>
      </c>
      <c r="EO24" s="272">
        <v>151564</v>
      </c>
      <c r="EP24" s="455">
        <f t="shared" si="12"/>
        <v>2231539</v>
      </c>
      <c r="EQ24" s="272">
        <v>25386648</v>
      </c>
      <c r="ER24" s="272">
        <v>-4431919</v>
      </c>
      <c r="ES24" s="272">
        <v>9830657</v>
      </c>
      <c r="ET24" s="272">
        <v>7094024</v>
      </c>
      <c r="EU24" s="272">
        <v>1223474</v>
      </c>
      <c r="EV24" s="272">
        <v>4500409</v>
      </c>
      <c r="EW24" s="455">
        <f t="shared" si="13"/>
        <v>1235367</v>
      </c>
      <c r="EX24" s="272">
        <v>1235180</v>
      </c>
      <c r="EY24" s="272">
        <v>206626</v>
      </c>
      <c r="EZ24" s="272">
        <v>1028554</v>
      </c>
      <c r="FA24" s="272">
        <v>187</v>
      </c>
      <c r="FB24" s="272"/>
      <c r="FC24" s="272">
        <v>4806336</v>
      </c>
      <c r="FD24" s="272">
        <v>3135874</v>
      </c>
      <c r="FE24" s="272">
        <v>60115</v>
      </c>
      <c r="FF24" s="272">
        <v>1986643</v>
      </c>
      <c r="FG24" s="455">
        <f t="shared" si="14"/>
        <v>1816173</v>
      </c>
      <c r="FH24" s="272">
        <v>28534933</v>
      </c>
      <c r="FI24" s="384">
        <f t="shared" si="15"/>
        <v>4.5999999999999996</v>
      </c>
      <c r="FJ24" s="272">
        <v>22892554</v>
      </c>
      <c r="FK24" s="272">
        <v>1351235</v>
      </c>
      <c r="FL24" s="272">
        <v>17359123</v>
      </c>
      <c r="FM24" s="272">
        <v>16362430</v>
      </c>
      <c r="FN24" s="460">
        <v>1.069</v>
      </c>
      <c r="FO24" s="388">
        <v>97.2</v>
      </c>
      <c r="FP24" s="388">
        <v>38.1</v>
      </c>
      <c r="FQ24" s="388">
        <v>4.9000000000000004</v>
      </c>
      <c r="FR24" s="388">
        <v>18</v>
      </c>
      <c r="FS24" s="388">
        <v>17.8</v>
      </c>
      <c r="FT24" s="388">
        <v>10.3</v>
      </c>
      <c r="FU24" s="388">
        <v>6.8</v>
      </c>
      <c r="FV24" s="388">
        <v>13.3</v>
      </c>
      <c r="FW24" s="272">
        <v>34403182</v>
      </c>
      <c r="FX24" s="384">
        <f t="shared" si="16"/>
        <v>150.30000000000001</v>
      </c>
      <c r="FY24" s="272">
        <v>19830041</v>
      </c>
      <c r="FZ24" s="272">
        <v>7527211</v>
      </c>
      <c r="GA24" s="272">
        <v>2429594</v>
      </c>
      <c r="GB24" s="272">
        <v>9873236</v>
      </c>
      <c r="GC24" s="272"/>
      <c r="GD24" s="272">
        <v>2457519</v>
      </c>
      <c r="GE24" s="384">
        <f t="shared" si="17"/>
        <v>10.7</v>
      </c>
      <c r="GF24" s="388">
        <v>97.6</v>
      </c>
      <c r="GG24" s="388">
        <v>22.7</v>
      </c>
      <c r="GH24" s="388">
        <v>92.4</v>
      </c>
      <c r="GI24" s="272">
        <v>1040</v>
      </c>
      <c r="GJ24" s="394"/>
      <c r="GK24" s="394"/>
      <c r="GL24" s="394"/>
      <c r="GM24" s="394"/>
      <c r="GN24" s="394"/>
      <c r="GO24" s="394"/>
      <c r="GP24" s="394"/>
      <c r="GQ24" s="394"/>
      <c r="GR24" s="394"/>
      <c r="GS24" s="394"/>
      <c r="GT24" s="394"/>
      <c r="GU24" s="394"/>
      <c r="GV24" s="394"/>
      <c r="GW24" s="394"/>
      <c r="GX24" s="394"/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</row>
    <row r="25" spans="2:230" x14ac:dyDescent="0.15">
      <c r="B25" s="89" t="s">
        <v>43</v>
      </c>
      <c r="C25" s="272">
        <v>9271348</v>
      </c>
      <c r="D25" s="455">
        <f t="shared" si="0"/>
        <v>3039455</v>
      </c>
      <c r="E25" s="272">
        <v>86027</v>
      </c>
      <c r="F25" s="272">
        <v>2953428</v>
      </c>
      <c r="G25" s="455">
        <f t="shared" si="1"/>
        <v>1133931</v>
      </c>
      <c r="H25" s="272">
        <v>128274</v>
      </c>
      <c r="I25" s="272">
        <v>1005657</v>
      </c>
      <c r="J25" s="272">
        <v>3840257</v>
      </c>
      <c r="K25" s="272">
        <v>1663973</v>
      </c>
      <c r="L25" s="272">
        <v>1491496</v>
      </c>
      <c r="M25" s="272">
        <v>650741</v>
      </c>
      <c r="N25" s="272">
        <v>389298</v>
      </c>
      <c r="O25" s="272">
        <v>803266</v>
      </c>
      <c r="P25" s="272">
        <v>475253</v>
      </c>
      <c r="Q25" s="272">
        <v>328013</v>
      </c>
      <c r="R25" s="272">
        <v>455368</v>
      </c>
      <c r="S25" s="272">
        <v>278610</v>
      </c>
      <c r="T25" s="455">
        <f t="shared" si="2"/>
        <v>1015088</v>
      </c>
      <c r="U25" s="272">
        <v>73825</v>
      </c>
      <c r="V25" s="272">
        <v>40277</v>
      </c>
      <c r="W25" s="272">
        <v>49978</v>
      </c>
      <c r="X25" s="272">
        <v>672450</v>
      </c>
      <c r="Y25" s="272">
        <v>0</v>
      </c>
      <c r="Z25" s="272">
        <v>0</v>
      </c>
      <c r="AA25" s="272">
        <v>178558</v>
      </c>
      <c r="AB25" s="272">
        <v>345100</v>
      </c>
      <c r="AC25" s="272">
        <v>4066178</v>
      </c>
      <c r="AD25" s="272">
        <v>3801090</v>
      </c>
      <c r="AE25" s="272">
        <v>265088</v>
      </c>
      <c r="AF25" s="272">
        <v>14731</v>
      </c>
      <c r="AG25" s="272">
        <v>241678</v>
      </c>
      <c r="AH25" s="455">
        <f t="shared" si="3"/>
        <v>502412</v>
      </c>
      <c r="AI25" s="272">
        <v>415572</v>
      </c>
      <c r="AJ25" s="272">
        <v>86840</v>
      </c>
      <c r="AK25" s="272">
        <v>2685867</v>
      </c>
      <c r="AL25" s="455">
        <f t="shared" si="4"/>
        <v>2050751</v>
      </c>
      <c r="AM25" s="272">
        <v>1330559</v>
      </c>
      <c r="AN25" s="272">
        <v>718837</v>
      </c>
      <c r="AO25" s="272">
        <v>0</v>
      </c>
      <c r="AP25" s="272">
        <v>1355</v>
      </c>
      <c r="AQ25" s="272">
        <v>262839</v>
      </c>
      <c r="AR25" s="272">
        <v>0</v>
      </c>
      <c r="AS25" s="272">
        <v>0</v>
      </c>
      <c r="AT25" s="272">
        <v>1039052</v>
      </c>
      <c r="AU25" s="272">
        <v>423575</v>
      </c>
      <c r="AV25" s="272">
        <v>149678</v>
      </c>
      <c r="AW25" s="272">
        <v>68</v>
      </c>
      <c r="AX25" s="272">
        <v>615477</v>
      </c>
      <c r="AY25" s="272">
        <v>12858</v>
      </c>
      <c r="AZ25" s="272">
        <v>22484</v>
      </c>
      <c r="BA25" s="272">
        <v>6948</v>
      </c>
      <c r="BB25" s="272">
        <v>11562</v>
      </c>
      <c r="BC25" s="272">
        <v>184447</v>
      </c>
      <c r="BD25" s="272">
        <v>50000</v>
      </c>
      <c r="BE25" s="272">
        <v>16439</v>
      </c>
      <c r="BF25" s="272">
        <v>118008</v>
      </c>
      <c r="BG25" s="272">
        <v>0</v>
      </c>
      <c r="BH25" s="272">
        <v>13781</v>
      </c>
      <c r="BI25" s="272">
        <v>0</v>
      </c>
      <c r="BJ25" s="272">
        <v>1531616</v>
      </c>
      <c r="BK25" s="272">
        <v>1253539</v>
      </c>
      <c r="BL25" s="272">
        <v>0</v>
      </c>
      <c r="BM25" s="272">
        <v>0</v>
      </c>
      <c r="BN25" s="272">
        <v>1377000</v>
      </c>
      <c r="BO25" s="455">
        <f t="shared" si="5"/>
        <v>361900</v>
      </c>
      <c r="BP25" s="455">
        <f t="shared" si="6"/>
        <v>1015100</v>
      </c>
      <c r="BQ25" s="272">
        <v>129700</v>
      </c>
      <c r="BR25" s="272"/>
      <c r="BS25" s="272">
        <v>885400</v>
      </c>
      <c r="BT25" s="272">
        <v>0</v>
      </c>
      <c r="BU25" s="272">
        <v>22777712</v>
      </c>
      <c r="BV25" s="272"/>
      <c r="BW25" s="272">
        <v>4719848</v>
      </c>
      <c r="BX25" s="272">
        <v>3104340</v>
      </c>
      <c r="BY25" s="272">
        <v>652859</v>
      </c>
      <c r="BZ25" s="272">
        <v>156648</v>
      </c>
      <c r="CA25" s="272">
        <v>4460171</v>
      </c>
      <c r="CB25" s="272">
        <v>570640</v>
      </c>
      <c r="CC25" s="272">
        <v>161457</v>
      </c>
      <c r="CD25" s="272">
        <v>1691028</v>
      </c>
      <c r="CE25" s="272">
        <v>1754415</v>
      </c>
      <c r="CF25" s="272">
        <v>158511</v>
      </c>
      <c r="CG25" s="272">
        <v>124045</v>
      </c>
      <c r="CH25" s="272">
        <v>2066998</v>
      </c>
      <c r="CI25" s="272">
        <v>1640253</v>
      </c>
      <c r="CJ25" s="455">
        <f t="shared" si="7"/>
        <v>426745</v>
      </c>
      <c r="CK25" s="272">
        <v>2496183</v>
      </c>
      <c r="CL25" s="272">
        <v>1461014</v>
      </c>
      <c r="CM25" s="272">
        <v>183199</v>
      </c>
      <c r="CN25" s="272">
        <v>382982</v>
      </c>
      <c r="CO25" s="272">
        <v>93276</v>
      </c>
      <c r="CP25" s="272">
        <v>3309988</v>
      </c>
      <c r="CQ25" s="272">
        <v>2102031</v>
      </c>
      <c r="CR25" s="272">
        <v>448589</v>
      </c>
      <c r="CS25" s="272">
        <v>170735</v>
      </c>
      <c r="CT25" s="455">
        <f t="shared" si="8"/>
        <v>567467</v>
      </c>
      <c r="CU25" s="272">
        <v>482459</v>
      </c>
      <c r="CV25" s="272">
        <v>85008</v>
      </c>
      <c r="CW25" s="455">
        <f t="shared" si="9"/>
        <v>560453</v>
      </c>
      <c r="CX25" s="272">
        <v>479466</v>
      </c>
      <c r="CY25" s="272">
        <v>80987</v>
      </c>
      <c r="CZ25" s="455">
        <f t="shared" si="10"/>
        <v>0</v>
      </c>
      <c r="DA25" s="272">
        <v>0</v>
      </c>
      <c r="DB25" s="272">
        <v>0</v>
      </c>
      <c r="DC25" s="272">
        <v>1362153</v>
      </c>
      <c r="DD25" s="272">
        <v>496949</v>
      </c>
      <c r="DE25" s="272">
        <v>865204</v>
      </c>
      <c r="DF25" s="272">
        <v>0</v>
      </c>
      <c r="DG25" s="272">
        <v>0</v>
      </c>
      <c r="DH25" s="272">
        <v>0</v>
      </c>
      <c r="DI25" s="272">
        <v>13605</v>
      </c>
      <c r="DJ25" s="272">
        <v>2059</v>
      </c>
      <c r="DK25" s="272">
        <v>106</v>
      </c>
      <c r="DL25" s="272">
        <v>11440</v>
      </c>
      <c r="DM25" s="272">
        <v>0</v>
      </c>
      <c r="DN25" s="272">
        <v>0</v>
      </c>
      <c r="DO25" s="272">
        <v>0</v>
      </c>
      <c r="DP25" s="272">
        <v>0</v>
      </c>
      <c r="DQ25" s="272">
        <v>1254393</v>
      </c>
      <c r="DR25" s="272">
        <v>0</v>
      </c>
      <c r="DS25" s="272">
        <v>0</v>
      </c>
      <c r="DT25" s="272">
        <v>2976081</v>
      </c>
      <c r="DU25" s="272">
        <v>1139435</v>
      </c>
      <c r="DV25" s="455">
        <f t="shared" si="11"/>
        <v>0</v>
      </c>
      <c r="DW25" s="272">
        <v>0</v>
      </c>
      <c r="DX25" s="272"/>
      <c r="DY25" s="272">
        <v>0</v>
      </c>
      <c r="DZ25" s="272">
        <v>757110</v>
      </c>
      <c r="EA25" s="272">
        <v>413975</v>
      </c>
      <c r="EB25" s="272">
        <v>579405</v>
      </c>
      <c r="EC25" s="272">
        <v>0</v>
      </c>
      <c r="ED25" s="272">
        <v>22752696</v>
      </c>
      <c r="EF25" s="272">
        <v>25016</v>
      </c>
      <c r="EG25" s="272">
        <v>15176</v>
      </c>
      <c r="EH25" s="272">
        <v>9840</v>
      </c>
      <c r="EI25" s="71">
        <v>9748</v>
      </c>
      <c r="EJ25" s="272">
        <v>-38193</v>
      </c>
      <c r="EL25" s="272">
        <v>77034</v>
      </c>
      <c r="EM25" s="272">
        <v>75246</v>
      </c>
      <c r="EN25" s="272">
        <v>66439</v>
      </c>
      <c r="EO25" s="272">
        <v>13313</v>
      </c>
      <c r="EP25" s="455">
        <f t="shared" si="12"/>
        <v>316445</v>
      </c>
      <c r="EQ25" s="272">
        <v>15167813</v>
      </c>
      <c r="ER25" s="272">
        <v>-1396566</v>
      </c>
      <c r="ES25" s="272">
        <v>4370678</v>
      </c>
      <c r="ET25" s="272">
        <v>2854862</v>
      </c>
      <c r="EU25" s="272">
        <v>1548453</v>
      </c>
      <c r="EV25" s="272">
        <v>2032235</v>
      </c>
      <c r="EW25" s="455">
        <f t="shared" si="13"/>
        <v>531552</v>
      </c>
      <c r="EX25" s="272">
        <v>531552</v>
      </c>
      <c r="EY25" s="272">
        <v>567</v>
      </c>
      <c r="EZ25" s="272">
        <v>530985</v>
      </c>
      <c r="FA25" s="272">
        <v>0</v>
      </c>
      <c r="FB25" s="272"/>
      <c r="FC25" s="272">
        <v>2012508</v>
      </c>
      <c r="FD25" s="272">
        <v>3269227</v>
      </c>
      <c r="FE25" s="272">
        <v>2102031</v>
      </c>
      <c r="FF25" s="272">
        <v>2682137</v>
      </c>
      <c r="FG25" s="455">
        <f t="shared" si="14"/>
        <v>92643</v>
      </c>
      <c r="FH25" s="272">
        <v>16539433</v>
      </c>
      <c r="FI25" s="384">
        <f t="shared" si="15"/>
        <v>0.1</v>
      </c>
      <c r="FJ25" s="272">
        <v>13836319</v>
      </c>
      <c r="FK25" s="272">
        <v>885499</v>
      </c>
      <c r="FL25" s="272">
        <v>7643571</v>
      </c>
      <c r="FM25" s="272">
        <v>11444661</v>
      </c>
      <c r="FN25" s="460">
        <v>0.64200000000000002</v>
      </c>
      <c r="FO25" s="388">
        <v>97.1</v>
      </c>
      <c r="FP25" s="388">
        <v>27.8</v>
      </c>
      <c r="FQ25" s="388">
        <v>10.1</v>
      </c>
      <c r="FR25" s="388">
        <v>13.4</v>
      </c>
      <c r="FS25" s="388">
        <v>12.7</v>
      </c>
      <c r="FT25" s="388">
        <v>19.399999999999999</v>
      </c>
      <c r="FU25" s="388">
        <v>13.1</v>
      </c>
      <c r="FV25" s="388">
        <v>15.1</v>
      </c>
      <c r="FW25" s="272">
        <v>19730734</v>
      </c>
      <c r="FX25" s="384">
        <f t="shared" si="16"/>
        <v>142.6</v>
      </c>
      <c r="FY25" s="272">
        <v>3858021</v>
      </c>
      <c r="FZ25" s="272">
        <v>917088</v>
      </c>
      <c r="GA25" s="272">
        <v>16367</v>
      </c>
      <c r="GB25" s="272">
        <v>2924566</v>
      </c>
      <c r="GC25" s="272"/>
      <c r="GD25" s="272">
        <v>738707</v>
      </c>
      <c r="GE25" s="384">
        <f t="shared" si="17"/>
        <v>5.3</v>
      </c>
      <c r="GF25" s="388">
        <v>97.6</v>
      </c>
      <c r="GG25" s="388">
        <v>20.8</v>
      </c>
      <c r="GH25" s="388">
        <v>90.5</v>
      </c>
      <c r="GI25" s="272">
        <v>415</v>
      </c>
      <c r="GJ25" s="394"/>
      <c r="GK25" s="394"/>
      <c r="GL25" s="394"/>
      <c r="GM25" s="394"/>
      <c r="GN25" s="394"/>
      <c r="GO25" s="394"/>
      <c r="GP25" s="394"/>
      <c r="GQ25" s="394"/>
      <c r="GR25" s="394"/>
      <c r="GS25" s="394"/>
      <c r="GT25" s="394"/>
      <c r="GU25" s="394"/>
      <c r="GV25" s="394"/>
      <c r="GW25" s="394"/>
      <c r="GX25" s="394"/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</row>
    <row r="26" spans="2:230" x14ac:dyDescent="0.15">
      <c r="B26" s="89" t="s">
        <v>45</v>
      </c>
      <c r="C26" s="272">
        <v>12621654</v>
      </c>
      <c r="D26" s="455">
        <f t="shared" si="0"/>
        <v>4778737</v>
      </c>
      <c r="E26" s="272">
        <v>133565</v>
      </c>
      <c r="F26" s="272">
        <v>4645172</v>
      </c>
      <c r="G26" s="455">
        <f t="shared" si="1"/>
        <v>830459</v>
      </c>
      <c r="H26" s="272">
        <v>179708</v>
      </c>
      <c r="I26" s="272">
        <v>650751</v>
      </c>
      <c r="J26" s="272">
        <v>5141253</v>
      </c>
      <c r="K26" s="272">
        <v>2462677</v>
      </c>
      <c r="L26" s="272">
        <v>2160317</v>
      </c>
      <c r="M26" s="272">
        <v>475933</v>
      </c>
      <c r="N26" s="272">
        <v>609491</v>
      </c>
      <c r="O26" s="272">
        <v>1143854</v>
      </c>
      <c r="P26" s="272">
        <v>691299</v>
      </c>
      <c r="Q26" s="272">
        <v>452555</v>
      </c>
      <c r="R26" s="272">
        <v>678729</v>
      </c>
      <c r="S26" s="272">
        <v>419342</v>
      </c>
      <c r="T26" s="455">
        <f t="shared" si="2"/>
        <v>1489323</v>
      </c>
      <c r="U26" s="272">
        <v>114739</v>
      </c>
      <c r="V26" s="272">
        <v>62522</v>
      </c>
      <c r="W26" s="272">
        <v>77332</v>
      </c>
      <c r="X26" s="272">
        <v>972704</v>
      </c>
      <c r="Y26" s="272">
        <v>0</v>
      </c>
      <c r="Z26" s="272">
        <v>0</v>
      </c>
      <c r="AA26" s="272">
        <v>262026</v>
      </c>
      <c r="AB26" s="272">
        <v>485682</v>
      </c>
      <c r="AC26" s="272">
        <v>7696303</v>
      </c>
      <c r="AD26" s="272">
        <v>7421279</v>
      </c>
      <c r="AE26" s="272">
        <v>275024</v>
      </c>
      <c r="AF26" s="272">
        <v>22127</v>
      </c>
      <c r="AG26" s="272">
        <v>297546</v>
      </c>
      <c r="AH26" s="455">
        <f t="shared" si="3"/>
        <v>618674</v>
      </c>
      <c r="AI26" s="272">
        <v>584084</v>
      </c>
      <c r="AJ26" s="272">
        <v>34590</v>
      </c>
      <c r="AK26" s="272">
        <v>4689559</v>
      </c>
      <c r="AL26" s="455">
        <f t="shared" si="4"/>
        <v>2813480</v>
      </c>
      <c r="AM26" s="272">
        <v>2528847</v>
      </c>
      <c r="AN26" s="272">
        <v>283349</v>
      </c>
      <c r="AO26" s="272">
        <v>0</v>
      </c>
      <c r="AP26" s="272">
        <v>1284</v>
      </c>
      <c r="AQ26" s="272">
        <v>131645</v>
      </c>
      <c r="AR26" s="272">
        <v>0</v>
      </c>
      <c r="AS26" s="272">
        <v>0</v>
      </c>
      <c r="AT26" s="272">
        <v>1700519</v>
      </c>
      <c r="AU26" s="272">
        <v>776783</v>
      </c>
      <c r="AV26" s="272">
        <v>142416</v>
      </c>
      <c r="AW26" s="272">
        <v>17999</v>
      </c>
      <c r="AX26" s="272">
        <v>923736</v>
      </c>
      <c r="AY26" s="272">
        <v>38150</v>
      </c>
      <c r="AZ26" s="272">
        <v>158456</v>
      </c>
      <c r="BA26" s="272">
        <v>146798</v>
      </c>
      <c r="BB26" s="272">
        <v>71735</v>
      </c>
      <c r="BC26" s="272">
        <v>112693</v>
      </c>
      <c r="BD26" s="272">
        <v>0</v>
      </c>
      <c r="BE26" s="272">
        <v>0</v>
      </c>
      <c r="BF26" s="272">
        <v>36278</v>
      </c>
      <c r="BG26" s="272">
        <v>0</v>
      </c>
      <c r="BH26" s="272">
        <v>0</v>
      </c>
      <c r="BI26" s="272">
        <v>0</v>
      </c>
      <c r="BJ26" s="272">
        <v>1961167</v>
      </c>
      <c r="BK26" s="272">
        <v>1615227</v>
      </c>
      <c r="BL26" s="272">
        <v>0</v>
      </c>
      <c r="BM26" s="272">
        <v>0</v>
      </c>
      <c r="BN26" s="272">
        <v>2125800</v>
      </c>
      <c r="BO26" s="455">
        <f t="shared" si="5"/>
        <v>670900</v>
      </c>
      <c r="BP26" s="455">
        <f t="shared" si="6"/>
        <v>1454900</v>
      </c>
      <c r="BQ26" s="272">
        <v>183800</v>
      </c>
      <c r="BR26" s="272"/>
      <c r="BS26" s="272">
        <v>1271100</v>
      </c>
      <c r="BT26" s="272">
        <v>0</v>
      </c>
      <c r="BU26" s="272">
        <v>34729967</v>
      </c>
      <c r="BV26" s="272"/>
      <c r="BW26" s="272">
        <v>6357651</v>
      </c>
      <c r="BX26" s="272">
        <v>4394512</v>
      </c>
      <c r="BY26" s="272">
        <v>765537</v>
      </c>
      <c r="BZ26" s="272">
        <v>118582</v>
      </c>
      <c r="CA26" s="272">
        <v>7840153</v>
      </c>
      <c r="CB26" s="272">
        <v>1332392</v>
      </c>
      <c r="CC26" s="272">
        <v>563603</v>
      </c>
      <c r="CD26" s="272">
        <v>2520619</v>
      </c>
      <c r="CE26" s="272">
        <v>3316024</v>
      </c>
      <c r="CF26" s="272">
        <v>44</v>
      </c>
      <c r="CG26" s="272">
        <v>107441</v>
      </c>
      <c r="CH26" s="272">
        <v>4373227</v>
      </c>
      <c r="CI26" s="272">
        <v>3415295</v>
      </c>
      <c r="CJ26" s="455">
        <f t="shared" si="7"/>
        <v>957932</v>
      </c>
      <c r="CK26" s="272">
        <v>3930546</v>
      </c>
      <c r="CL26" s="272">
        <v>2089011</v>
      </c>
      <c r="CM26" s="272">
        <v>558240</v>
      </c>
      <c r="CN26" s="272">
        <v>639402</v>
      </c>
      <c r="CO26" s="272">
        <v>84435</v>
      </c>
      <c r="CP26" s="272">
        <v>3984775</v>
      </c>
      <c r="CQ26" s="272">
        <v>2447931</v>
      </c>
      <c r="CR26" s="272">
        <v>1126738</v>
      </c>
      <c r="CS26" s="272">
        <v>966972</v>
      </c>
      <c r="CT26" s="455">
        <f t="shared" si="8"/>
        <v>3983</v>
      </c>
      <c r="CU26" s="272">
        <v>3443</v>
      </c>
      <c r="CV26" s="272">
        <v>540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1498391</v>
      </c>
      <c r="DD26" s="272">
        <v>284233</v>
      </c>
      <c r="DE26" s="272">
        <v>1158702</v>
      </c>
      <c r="DF26" s="272">
        <v>38257</v>
      </c>
      <c r="DG26" s="272">
        <v>17199</v>
      </c>
      <c r="DH26" s="272">
        <v>0</v>
      </c>
      <c r="DI26" s="272">
        <v>152679</v>
      </c>
      <c r="DJ26" s="272">
        <v>111877</v>
      </c>
      <c r="DK26" s="272">
        <v>1</v>
      </c>
      <c r="DL26" s="272">
        <v>40801</v>
      </c>
      <c r="DM26" s="272">
        <v>0</v>
      </c>
      <c r="DN26" s="272">
        <v>0</v>
      </c>
      <c r="DO26" s="272">
        <v>0</v>
      </c>
      <c r="DP26" s="272">
        <v>0</v>
      </c>
      <c r="DQ26" s="272">
        <v>1572413</v>
      </c>
      <c r="DR26" s="272">
        <v>0</v>
      </c>
      <c r="DS26" s="272">
        <v>0</v>
      </c>
      <c r="DT26" s="272">
        <v>4582443</v>
      </c>
      <c r="DU26" s="272">
        <v>1622604</v>
      </c>
      <c r="DV26" s="455">
        <f t="shared" si="11"/>
        <v>0</v>
      </c>
      <c r="DW26" s="272">
        <v>0</v>
      </c>
      <c r="DX26" s="272"/>
      <c r="DY26" s="272">
        <v>0</v>
      </c>
      <c r="DZ26" s="272">
        <v>1161582</v>
      </c>
      <c r="EA26" s="272">
        <v>671828</v>
      </c>
      <c r="EB26" s="272">
        <v>943806</v>
      </c>
      <c r="EC26" s="272">
        <v>774858</v>
      </c>
      <c r="ED26" s="272">
        <v>35151571</v>
      </c>
      <c r="EF26" s="272">
        <v>-421604</v>
      </c>
      <c r="EG26" s="272">
        <v>19989</v>
      </c>
      <c r="EH26" s="272">
        <v>-441593</v>
      </c>
      <c r="EI26" s="71">
        <v>363861</v>
      </c>
      <c r="EJ26" s="272">
        <v>475738</v>
      </c>
      <c r="EL26" s="272">
        <v>118695</v>
      </c>
      <c r="EM26" s="272">
        <v>119530</v>
      </c>
      <c r="EN26" s="272">
        <v>76415</v>
      </c>
      <c r="EO26" s="272">
        <v>150831</v>
      </c>
      <c r="EP26" s="455">
        <f t="shared" si="12"/>
        <v>442458</v>
      </c>
      <c r="EQ26" s="272">
        <v>22993818</v>
      </c>
      <c r="ER26" s="272">
        <v>-2102477</v>
      </c>
      <c r="ES26" s="272">
        <v>5926854</v>
      </c>
      <c r="ET26" s="272">
        <v>4065957</v>
      </c>
      <c r="EU26" s="272">
        <v>2491823</v>
      </c>
      <c r="EV26" s="272">
        <v>4168757</v>
      </c>
      <c r="EW26" s="455">
        <f t="shared" si="13"/>
        <v>576091</v>
      </c>
      <c r="EX26" s="272">
        <v>576091</v>
      </c>
      <c r="EY26" s="272">
        <v>8539</v>
      </c>
      <c r="EZ26" s="272">
        <v>554295</v>
      </c>
      <c r="FA26" s="272">
        <v>0</v>
      </c>
      <c r="FB26" s="272"/>
      <c r="FC26" s="272">
        <v>3345965</v>
      </c>
      <c r="FD26" s="272">
        <v>3825202</v>
      </c>
      <c r="FE26" s="272">
        <v>2447931</v>
      </c>
      <c r="FF26" s="272">
        <v>4180513</v>
      </c>
      <c r="FG26" s="455">
        <f t="shared" si="14"/>
        <v>1002694</v>
      </c>
      <c r="FH26" s="272">
        <v>25517899</v>
      </c>
      <c r="FI26" s="384">
        <f t="shared" si="15"/>
        <v>-2.1</v>
      </c>
      <c r="FJ26" s="272">
        <v>21325935</v>
      </c>
      <c r="FK26" s="272">
        <v>1271117</v>
      </c>
      <c r="FL26" s="272">
        <v>10603541</v>
      </c>
      <c r="FM26" s="272">
        <v>18024820</v>
      </c>
      <c r="FN26" s="460">
        <v>0.58399999999999996</v>
      </c>
      <c r="FO26" s="388">
        <v>95</v>
      </c>
      <c r="FP26" s="388">
        <v>23.7</v>
      </c>
      <c r="FQ26" s="388">
        <v>10.8</v>
      </c>
      <c r="FR26" s="388">
        <v>18</v>
      </c>
      <c r="FS26" s="388">
        <v>14</v>
      </c>
      <c r="FT26" s="388">
        <v>15.7</v>
      </c>
      <c r="FU26" s="388">
        <v>12.5</v>
      </c>
      <c r="FV26" s="388">
        <v>12.8</v>
      </c>
      <c r="FW26" s="272">
        <v>47419365</v>
      </c>
      <c r="FX26" s="384">
        <f t="shared" si="16"/>
        <v>222.4</v>
      </c>
      <c r="FY26" s="272">
        <v>1914522</v>
      </c>
      <c r="FZ26" s="272">
        <v>650566</v>
      </c>
      <c r="GA26" s="272">
        <v>71715</v>
      </c>
      <c r="GB26" s="272">
        <v>1192241</v>
      </c>
      <c r="GC26" s="272"/>
      <c r="GD26" s="272">
        <v>8323636</v>
      </c>
      <c r="GE26" s="384">
        <f t="shared" si="17"/>
        <v>39</v>
      </c>
      <c r="GF26" s="388">
        <v>97.4</v>
      </c>
      <c r="GG26" s="388">
        <v>23.3</v>
      </c>
      <c r="GH26" s="388">
        <v>92.3</v>
      </c>
      <c r="GI26" s="272">
        <v>602</v>
      </c>
      <c r="GJ26" s="394"/>
      <c r="GK26" s="394"/>
      <c r="GL26" s="394"/>
      <c r="GM26" s="394"/>
      <c r="GN26" s="394"/>
      <c r="GO26" s="394"/>
      <c r="GP26" s="394"/>
      <c r="GQ26" s="394"/>
      <c r="GR26" s="394"/>
      <c r="GS26" s="394"/>
      <c r="GT26" s="394"/>
      <c r="GU26" s="394"/>
      <c r="GV26" s="394"/>
      <c r="GW26" s="394"/>
      <c r="GX26" s="394"/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</row>
    <row r="27" spans="2:230" x14ac:dyDescent="0.15">
      <c r="B27" s="89" t="s">
        <v>47</v>
      </c>
      <c r="C27" s="272">
        <v>18705281</v>
      </c>
      <c r="D27" s="455">
        <f t="shared" si="0"/>
        <v>4434572</v>
      </c>
      <c r="E27" s="272">
        <v>148399</v>
      </c>
      <c r="F27" s="272">
        <v>4286173</v>
      </c>
      <c r="G27" s="455">
        <f t="shared" si="1"/>
        <v>1869579</v>
      </c>
      <c r="H27" s="272">
        <v>423591</v>
      </c>
      <c r="I27" s="272">
        <v>1445988</v>
      </c>
      <c r="J27" s="272">
        <v>9313061</v>
      </c>
      <c r="K27" s="272">
        <v>4419442</v>
      </c>
      <c r="L27" s="272">
        <v>3372117</v>
      </c>
      <c r="M27" s="272">
        <v>1399784</v>
      </c>
      <c r="N27" s="272">
        <v>1116148</v>
      </c>
      <c r="O27" s="272">
        <v>1875696</v>
      </c>
      <c r="P27" s="272">
        <v>1123371</v>
      </c>
      <c r="Q27" s="272">
        <v>752325</v>
      </c>
      <c r="R27" s="272">
        <v>739000</v>
      </c>
      <c r="S27" s="272">
        <v>477022</v>
      </c>
      <c r="T27" s="455">
        <f t="shared" si="2"/>
        <v>1995218</v>
      </c>
      <c r="U27" s="272">
        <v>110012</v>
      </c>
      <c r="V27" s="272">
        <v>59889</v>
      </c>
      <c r="W27" s="272">
        <v>73881</v>
      </c>
      <c r="X27" s="272">
        <v>1486798</v>
      </c>
      <c r="Y27" s="272">
        <v>0</v>
      </c>
      <c r="Z27" s="272">
        <v>0</v>
      </c>
      <c r="AA27" s="272">
        <v>264638</v>
      </c>
      <c r="AB27" s="272">
        <v>497358</v>
      </c>
      <c r="AC27" s="272">
        <v>4981023</v>
      </c>
      <c r="AD27" s="272">
        <v>4825004</v>
      </c>
      <c r="AE27" s="272">
        <v>156019</v>
      </c>
      <c r="AF27" s="272">
        <v>25246</v>
      </c>
      <c r="AG27" s="272">
        <v>212416</v>
      </c>
      <c r="AH27" s="455">
        <f t="shared" si="3"/>
        <v>747574</v>
      </c>
      <c r="AI27" s="272">
        <v>572117</v>
      </c>
      <c r="AJ27" s="272">
        <v>175457</v>
      </c>
      <c r="AK27" s="272">
        <v>8997753</v>
      </c>
      <c r="AL27" s="455">
        <f t="shared" si="4"/>
        <v>6621130</v>
      </c>
      <c r="AM27" s="272">
        <v>6319948</v>
      </c>
      <c r="AN27" s="272">
        <v>297496</v>
      </c>
      <c r="AO27" s="272">
        <v>0</v>
      </c>
      <c r="AP27" s="272">
        <v>3686</v>
      </c>
      <c r="AQ27" s="272">
        <v>453787</v>
      </c>
      <c r="AR27" s="272">
        <v>0</v>
      </c>
      <c r="AS27" s="272">
        <v>0</v>
      </c>
      <c r="AT27" s="272">
        <v>2267998</v>
      </c>
      <c r="AU27" s="272">
        <v>1818292</v>
      </c>
      <c r="AV27" s="272">
        <v>153733</v>
      </c>
      <c r="AW27" s="272">
        <v>204650</v>
      </c>
      <c r="AX27" s="272">
        <v>449706</v>
      </c>
      <c r="AY27" s="272">
        <v>1110</v>
      </c>
      <c r="AZ27" s="272">
        <v>73549</v>
      </c>
      <c r="BA27" s="272">
        <v>59209</v>
      </c>
      <c r="BB27" s="272">
        <v>20257</v>
      </c>
      <c r="BC27" s="272">
        <v>1827051</v>
      </c>
      <c r="BD27" s="272">
        <v>1150000</v>
      </c>
      <c r="BE27" s="272">
        <v>200000</v>
      </c>
      <c r="BF27" s="272">
        <v>167051</v>
      </c>
      <c r="BG27" s="272">
        <v>0</v>
      </c>
      <c r="BH27" s="272">
        <v>563772</v>
      </c>
      <c r="BI27" s="272">
        <v>336619</v>
      </c>
      <c r="BJ27" s="272">
        <v>516612</v>
      </c>
      <c r="BK27" s="272">
        <v>95043</v>
      </c>
      <c r="BL27" s="272">
        <v>0</v>
      </c>
      <c r="BM27" s="272">
        <v>0</v>
      </c>
      <c r="BN27" s="272">
        <v>3580400</v>
      </c>
      <c r="BO27" s="455">
        <f t="shared" si="5"/>
        <v>1958500</v>
      </c>
      <c r="BP27" s="455">
        <f t="shared" si="6"/>
        <v>1621900</v>
      </c>
      <c r="BQ27" s="272">
        <v>201600</v>
      </c>
      <c r="BR27" s="272"/>
      <c r="BS27" s="272">
        <v>1420300</v>
      </c>
      <c r="BT27" s="272">
        <v>0</v>
      </c>
      <c r="BU27" s="272">
        <v>45750508</v>
      </c>
      <c r="BV27" s="272"/>
      <c r="BW27" s="272">
        <v>10902610</v>
      </c>
      <c r="BX27" s="272">
        <v>7183252</v>
      </c>
      <c r="BY27" s="272">
        <v>1873954</v>
      </c>
      <c r="BZ27" s="272">
        <v>158777</v>
      </c>
      <c r="CA27" s="272">
        <v>13320630</v>
      </c>
      <c r="CB27" s="272">
        <v>1190470</v>
      </c>
      <c r="CC27" s="272">
        <v>304260</v>
      </c>
      <c r="CD27" s="272">
        <v>3216102</v>
      </c>
      <c r="CE27" s="272">
        <v>8396650</v>
      </c>
      <c r="CF27" s="272">
        <v>414</v>
      </c>
      <c r="CG27" s="272">
        <v>211819</v>
      </c>
      <c r="CH27" s="272">
        <v>4497411</v>
      </c>
      <c r="CI27" s="272">
        <v>3575321</v>
      </c>
      <c r="CJ27" s="455">
        <f t="shared" si="7"/>
        <v>922090</v>
      </c>
      <c r="CK27" s="272">
        <v>4109823</v>
      </c>
      <c r="CL27" s="272">
        <v>2347035</v>
      </c>
      <c r="CM27" s="272">
        <v>217402</v>
      </c>
      <c r="CN27" s="272">
        <v>1017460</v>
      </c>
      <c r="CO27" s="272">
        <v>119519</v>
      </c>
      <c r="CP27" s="272">
        <v>3225789</v>
      </c>
      <c r="CQ27" s="272">
        <v>1957787</v>
      </c>
      <c r="CR27" s="272">
        <v>592997</v>
      </c>
      <c r="CS27" s="272">
        <v>430165</v>
      </c>
      <c r="CT27" s="455">
        <f t="shared" si="8"/>
        <v>1003</v>
      </c>
      <c r="CU27" s="272">
        <v>823</v>
      </c>
      <c r="CV27" s="272">
        <v>180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4417201</v>
      </c>
      <c r="DD27" s="272">
        <v>1055138</v>
      </c>
      <c r="DE27" s="272">
        <v>3362063</v>
      </c>
      <c r="DF27" s="272">
        <v>0</v>
      </c>
      <c r="DG27" s="272">
        <v>0</v>
      </c>
      <c r="DH27" s="272">
        <v>0</v>
      </c>
      <c r="DI27" s="272">
        <v>172238</v>
      </c>
      <c r="DJ27" s="272">
        <v>170671</v>
      </c>
      <c r="DK27" s="272">
        <v>139</v>
      </c>
      <c r="DL27" s="272">
        <v>1428</v>
      </c>
      <c r="DM27" s="272">
        <v>0</v>
      </c>
      <c r="DN27" s="272">
        <v>0</v>
      </c>
      <c r="DO27" s="272">
        <v>0</v>
      </c>
      <c r="DP27" s="272">
        <v>0</v>
      </c>
      <c r="DQ27" s="272">
        <v>95000</v>
      </c>
      <c r="DR27" s="272">
        <v>0</v>
      </c>
      <c r="DS27" s="272">
        <v>0</v>
      </c>
      <c r="DT27" s="272">
        <v>4543715</v>
      </c>
      <c r="DU27" s="272">
        <v>1787000</v>
      </c>
      <c r="DV27" s="455">
        <f t="shared" si="11"/>
        <v>0</v>
      </c>
      <c r="DW27" s="272">
        <v>0</v>
      </c>
      <c r="DX27" s="272"/>
      <c r="DY27" s="272">
        <v>0</v>
      </c>
      <c r="DZ27" s="272">
        <v>1444356</v>
      </c>
      <c r="EA27" s="272">
        <v>532760</v>
      </c>
      <c r="EB27" s="272">
        <v>779599</v>
      </c>
      <c r="EC27" s="272">
        <v>0</v>
      </c>
      <c r="ED27" s="272">
        <v>45403936</v>
      </c>
      <c r="EF27" s="272">
        <v>346572</v>
      </c>
      <c r="EG27" s="272">
        <v>106891</v>
      </c>
      <c r="EH27" s="272">
        <v>239681</v>
      </c>
      <c r="EI27" s="71">
        <v>-96938</v>
      </c>
      <c r="EJ27" s="272">
        <v>-1076267</v>
      </c>
      <c r="EL27" s="272">
        <v>131706</v>
      </c>
      <c r="EM27" s="272">
        <v>131761</v>
      </c>
      <c r="EN27" s="272">
        <v>1350000</v>
      </c>
      <c r="EO27" s="272">
        <v>56217</v>
      </c>
      <c r="EP27" s="455">
        <f t="shared" si="12"/>
        <v>895318</v>
      </c>
      <c r="EQ27" s="272">
        <v>26943126</v>
      </c>
      <c r="ER27" s="272">
        <v>-3898189</v>
      </c>
      <c r="ES27" s="272">
        <v>10318139</v>
      </c>
      <c r="ET27" s="272">
        <v>6659258</v>
      </c>
      <c r="EU27" s="272">
        <v>3926806</v>
      </c>
      <c r="EV27" s="272">
        <v>4405646</v>
      </c>
      <c r="EW27" s="455">
        <f t="shared" si="13"/>
        <v>1104300</v>
      </c>
      <c r="EX27" s="272">
        <v>1104300</v>
      </c>
      <c r="EY27" s="272">
        <v>41712</v>
      </c>
      <c r="EZ27" s="272">
        <v>1062588</v>
      </c>
      <c r="FA27" s="272">
        <v>0</v>
      </c>
      <c r="FB27" s="272"/>
      <c r="FC27" s="272">
        <v>3525695</v>
      </c>
      <c r="FD27" s="272">
        <v>3016254</v>
      </c>
      <c r="FE27" s="272">
        <v>1957787</v>
      </c>
      <c r="FF27" s="272">
        <v>3912900</v>
      </c>
      <c r="FG27" s="455">
        <f t="shared" si="14"/>
        <v>285003</v>
      </c>
      <c r="FH27" s="272">
        <v>30494743</v>
      </c>
      <c r="FI27" s="384">
        <f t="shared" si="15"/>
        <v>1</v>
      </c>
      <c r="FJ27" s="272">
        <v>24443875</v>
      </c>
      <c r="FK27" s="272">
        <v>1420322</v>
      </c>
      <c r="FL27" s="272">
        <v>14905040</v>
      </c>
      <c r="FM27" s="272">
        <v>19730044</v>
      </c>
      <c r="FN27" s="460">
        <v>0.747</v>
      </c>
      <c r="FO27" s="388">
        <v>102</v>
      </c>
      <c r="FP27" s="388">
        <v>34.200000000000003</v>
      </c>
      <c r="FQ27" s="388">
        <v>14.7</v>
      </c>
      <c r="FR27" s="388">
        <v>16.5</v>
      </c>
      <c r="FS27" s="388">
        <v>12.7</v>
      </c>
      <c r="FT27" s="388">
        <v>10.199999999999999</v>
      </c>
      <c r="FU27" s="388">
        <v>13.2</v>
      </c>
      <c r="FV27" s="388">
        <v>12.4</v>
      </c>
      <c r="FW27" s="272">
        <v>46516615</v>
      </c>
      <c r="FX27" s="384">
        <f t="shared" si="16"/>
        <v>190.3</v>
      </c>
      <c r="FY27" s="272">
        <v>6793984</v>
      </c>
      <c r="FZ27" s="272">
        <v>5212107</v>
      </c>
      <c r="GA27" s="272">
        <v>83084</v>
      </c>
      <c r="GB27" s="272">
        <v>1498793</v>
      </c>
      <c r="GC27" s="272"/>
      <c r="GD27" s="272">
        <v>4982698</v>
      </c>
      <c r="GE27" s="384">
        <f t="shared" si="17"/>
        <v>20.399999999999999</v>
      </c>
      <c r="GF27" s="388">
        <v>97.5</v>
      </c>
      <c r="GG27" s="388">
        <v>14.3</v>
      </c>
      <c r="GH27" s="388">
        <v>87.3</v>
      </c>
      <c r="GI27" s="272">
        <v>976</v>
      </c>
      <c r="GJ27" s="394"/>
      <c r="GK27" s="394"/>
      <c r="GL27" s="394"/>
      <c r="GM27" s="394"/>
      <c r="GN27" s="394"/>
      <c r="GO27" s="394"/>
      <c r="GP27" s="394"/>
      <c r="GQ27" s="394"/>
      <c r="GR27" s="394"/>
      <c r="GS27" s="394"/>
      <c r="GT27" s="394"/>
      <c r="GU27" s="394"/>
      <c r="GV27" s="394"/>
      <c r="GW27" s="394"/>
      <c r="GX27" s="394"/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</row>
    <row r="28" spans="2:230" x14ac:dyDescent="0.15">
      <c r="B28" s="89" t="s">
        <v>49</v>
      </c>
      <c r="C28" s="272">
        <v>17236935</v>
      </c>
      <c r="D28" s="455">
        <f t="shared" si="0"/>
        <v>3446209</v>
      </c>
      <c r="E28" s="272">
        <v>107097</v>
      </c>
      <c r="F28" s="272">
        <v>3339112</v>
      </c>
      <c r="G28" s="455">
        <f t="shared" si="1"/>
        <v>2347830</v>
      </c>
      <c r="H28" s="272">
        <v>333204</v>
      </c>
      <c r="I28" s="272">
        <v>2014626</v>
      </c>
      <c r="J28" s="272">
        <v>9042364</v>
      </c>
      <c r="K28" s="272">
        <v>4423056</v>
      </c>
      <c r="L28" s="272">
        <v>2551237</v>
      </c>
      <c r="M28" s="272">
        <v>1965357</v>
      </c>
      <c r="N28" s="272">
        <v>632915</v>
      </c>
      <c r="O28" s="272">
        <v>1696993</v>
      </c>
      <c r="P28" s="272">
        <v>1122864</v>
      </c>
      <c r="Q28" s="272">
        <v>574129</v>
      </c>
      <c r="R28" s="272">
        <v>498042</v>
      </c>
      <c r="S28" s="272">
        <v>299140</v>
      </c>
      <c r="T28" s="455">
        <f t="shared" si="2"/>
        <v>1347183</v>
      </c>
      <c r="U28" s="272">
        <v>85138</v>
      </c>
      <c r="V28" s="272">
        <v>46422</v>
      </c>
      <c r="W28" s="272">
        <v>57515</v>
      </c>
      <c r="X28" s="272">
        <v>954319</v>
      </c>
      <c r="Y28" s="272">
        <v>2873</v>
      </c>
      <c r="Z28" s="272">
        <v>0</v>
      </c>
      <c r="AA28" s="272">
        <v>200916</v>
      </c>
      <c r="AB28" s="272">
        <v>471696</v>
      </c>
      <c r="AC28" s="272">
        <v>307155</v>
      </c>
      <c r="AD28" s="272">
        <v>0</v>
      </c>
      <c r="AE28" s="272">
        <v>307155</v>
      </c>
      <c r="AF28" s="272">
        <v>19889</v>
      </c>
      <c r="AG28" s="272">
        <v>300626</v>
      </c>
      <c r="AH28" s="455">
        <f t="shared" si="3"/>
        <v>781489</v>
      </c>
      <c r="AI28" s="272">
        <v>619444</v>
      </c>
      <c r="AJ28" s="272">
        <v>162045</v>
      </c>
      <c r="AK28" s="272">
        <v>2865213</v>
      </c>
      <c r="AL28" s="455">
        <f t="shared" si="4"/>
        <v>1650737</v>
      </c>
      <c r="AM28" s="272">
        <v>1365171</v>
      </c>
      <c r="AN28" s="272">
        <v>284021</v>
      </c>
      <c r="AO28" s="272">
        <v>0</v>
      </c>
      <c r="AP28" s="272">
        <v>1545</v>
      </c>
      <c r="AQ28" s="272">
        <v>107843</v>
      </c>
      <c r="AR28" s="272">
        <v>0</v>
      </c>
      <c r="AS28" s="272">
        <v>0</v>
      </c>
      <c r="AT28" s="272">
        <v>1186877</v>
      </c>
      <c r="AU28" s="272">
        <v>572976</v>
      </c>
      <c r="AV28" s="272">
        <v>143129</v>
      </c>
      <c r="AW28" s="272">
        <v>58173</v>
      </c>
      <c r="AX28" s="272">
        <v>613901</v>
      </c>
      <c r="AY28" s="272">
        <v>26378</v>
      </c>
      <c r="AZ28" s="272">
        <v>41640</v>
      </c>
      <c r="BA28" s="272">
        <v>10542</v>
      </c>
      <c r="BB28" s="272">
        <v>52571</v>
      </c>
      <c r="BC28" s="272">
        <v>2415954</v>
      </c>
      <c r="BD28" s="272">
        <v>0</v>
      </c>
      <c r="BE28" s="272">
        <v>1367634</v>
      </c>
      <c r="BF28" s="272">
        <v>23592</v>
      </c>
      <c r="BG28" s="272">
        <v>1000000</v>
      </c>
      <c r="BH28" s="272">
        <v>68668</v>
      </c>
      <c r="BI28" s="272">
        <v>67262</v>
      </c>
      <c r="BJ28" s="272">
        <v>670503</v>
      </c>
      <c r="BK28" s="272">
        <v>102311</v>
      </c>
      <c r="BL28" s="272">
        <v>0</v>
      </c>
      <c r="BM28" s="272">
        <v>0</v>
      </c>
      <c r="BN28" s="272">
        <v>1396900</v>
      </c>
      <c r="BO28" s="455">
        <f t="shared" si="5"/>
        <v>266500</v>
      </c>
      <c r="BP28" s="455">
        <f t="shared" si="6"/>
        <v>1130400</v>
      </c>
      <c r="BQ28" s="272">
        <v>179700</v>
      </c>
      <c r="BR28" s="272"/>
      <c r="BS28" s="272">
        <v>950700</v>
      </c>
      <c r="BT28" s="272">
        <v>0</v>
      </c>
      <c r="BU28" s="272">
        <v>29661341</v>
      </c>
      <c r="BV28" s="272"/>
      <c r="BW28" s="272">
        <v>6779287</v>
      </c>
      <c r="BX28" s="272">
        <v>4918049</v>
      </c>
      <c r="BY28" s="272">
        <v>512478</v>
      </c>
      <c r="BZ28" s="272">
        <v>167214</v>
      </c>
      <c r="CA28" s="272">
        <v>4677552</v>
      </c>
      <c r="CB28" s="272">
        <v>469941</v>
      </c>
      <c r="CC28" s="272">
        <v>242998</v>
      </c>
      <c r="CD28" s="272">
        <v>2012561</v>
      </c>
      <c r="CE28" s="272">
        <v>1821676</v>
      </c>
      <c r="CF28" s="272">
        <v>0</v>
      </c>
      <c r="CG28" s="272">
        <v>130376</v>
      </c>
      <c r="CH28" s="272">
        <v>6426617</v>
      </c>
      <c r="CI28" s="272">
        <v>5560445</v>
      </c>
      <c r="CJ28" s="455">
        <f t="shared" si="7"/>
        <v>866172</v>
      </c>
      <c r="CK28" s="272">
        <v>4173925</v>
      </c>
      <c r="CL28" s="272">
        <v>2245508</v>
      </c>
      <c r="CM28" s="272">
        <v>374965</v>
      </c>
      <c r="CN28" s="272">
        <v>940645</v>
      </c>
      <c r="CO28" s="272">
        <v>332574</v>
      </c>
      <c r="CP28" s="272">
        <v>1279541</v>
      </c>
      <c r="CQ28" s="272">
        <v>6529</v>
      </c>
      <c r="CR28" s="272">
        <v>719416</v>
      </c>
      <c r="CS28" s="272">
        <v>326364</v>
      </c>
      <c r="CT28" s="455">
        <f t="shared" si="8"/>
        <v>18492</v>
      </c>
      <c r="CU28" s="272">
        <v>760</v>
      </c>
      <c r="CV28" s="272">
        <v>17732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771918</v>
      </c>
      <c r="DD28" s="272">
        <v>160950</v>
      </c>
      <c r="DE28" s="272">
        <v>610968</v>
      </c>
      <c r="DF28" s="272">
        <v>0</v>
      </c>
      <c r="DG28" s="272">
        <v>0</v>
      </c>
      <c r="DH28" s="272">
        <v>0</v>
      </c>
      <c r="DI28" s="272">
        <v>798739</v>
      </c>
      <c r="DJ28" s="272">
        <v>772697</v>
      </c>
      <c r="DK28" s="272">
        <v>449</v>
      </c>
      <c r="DL28" s="272">
        <v>25593</v>
      </c>
      <c r="DM28" s="272">
        <v>0</v>
      </c>
      <c r="DN28" s="272">
        <v>0</v>
      </c>
      <c r="DO28" s="272">
        <v>0</v>
      </c>
      <c r="DP28" s="272">
        <v>0</v>
      </c>
      <c r="DQ28" s="272">
        <v>105724</v>
      </c>
      <c r="DR28" s="272">
        <v>0</v>
      </c>
      <c r="DS28" s="272">
        <v>0</v>
      </c>
      <c r="DT28" s="272">
        <v>4216501</v>
      </c>
      <c r="DU28" s="272">
        <v>2344464</v>
      </c>
      <c r="DV28" s="455">
        <f t="shared" si="11"/>
        <v>0</v>
      </c>
      <c r="DW28" s="272">
        <v>0</v>
      </c>
      <c r="DX28" s="272"/>
      <c r="DY28" s="272">
        <v>175510</v>
      </c>
      <c r="DZ28" s="272">
        <v>793274</v>
      </c>
      <c r="EA28" s="272">
        <v>344651</v>
      </c>
      <c r="EB28" s="272">
        <v>488246</v>
      </c>
      <c r="EC28" s="272">
        <v>0</v>
      </c>
      <c r="ED28" s="272">
        <v>29562378</v>
      </c>
      <c r="EF28" s="272">
        <v>98963</v>
      </c>
      <c r="EG28" s="272">
        <v>49555</v>
      </c>
      <c r="EH28" s="272">
        <v>49408</v>
      </c>
      <c r="EI28" s="71">
        <v>-17854</v>
      </c>
      <c r="EJ28" s="272">
        <v>1412051</v>
      </c>
      <c r="EL28" s="272">
        <v>85009</v>
      </c>
      <c r="EM28" s="272">
        <v>83873</v>
      </c>
      <c r="EN28" s="272">
        <v>2392363</v>
      </c>
      <c r="EO28" s="272">
        <v>39087</v>
      </c>
      <c r="EP28" s="455">
        <f t="shared" si="12"/>
        <v>542388</v>
      </c>
      <c r="EQ28" s="272">
        <v>19880900</v>
      </c>
      <c r="ER28" s="272">
        <v>-4084349</v>
      </c>
      <c r="ES28" s="272">
        <v>6428921</v>
      </c>
      <c r="ET28" s="272">
        <v>4616498</v>
      </c>
      <c r="EU28" s="272">
        <v>1475348</v>
      </c>
      <c r="EV28" s="272">
        <v>6363303</v>
      </c>
      <c r="EW28" s="455">
        <f t="shared" si="13"/>
        <v>310877</v>
      </c>
      <c r="EX28" s="272">
        <v>310877</v>
      </c>
      <c r="EY28" s="272">
        <v>49541</v>
      </c>
      <c r="EZ28" s="272">
        <v>261336</v>
      </c>
      <c r="FA28" s="272">
        <v>0</v>
      </c>
      <c r="FB28" s="272"/>
      <c r="FC28" s="272">
        <v>3089420</v>
      </c>
      <c r="FD28" s="272">
        <v>1098191</v>
      </c>
      <c r="FE28" s="272">
        <v>6529</v>
      </c>
      <c r="FF28" s="272">
        <v>3981827</v>
      </c>
      <c r="FG28" s="455">
        <f t="shared" si="14"/>
        <v>1118399</v>
      </c>
      <c r="FH28" s="272">
        <v>23866286</v>
      </c>
      <c r="FI28" s="384">
        <f t="shared" si="15"/>
        <v>0.3</v>
      </c>
      <c r="FJ28" s="272">
        <v>17459785</v>
      </c>
      <c r="FK28" s="272">
        <v>950745</v>
      </c>
      <c r="FL28" s="272">
        <v>13224245</v>
      </c>
      <c r="FM28" s="272">
        <v>12941914</v>
      </c>
      <c r="FN28" s="460">
        <v>1.0029999999999999</v>
      </c>
      <c r="FO28" s="388">
        <v>110</v>
      </c>
      <c r="FP28" s="388">
        <v>33.200000000000003</v>
      </c>
      <c r="FQ28" s="388">
        <v>7.7</v>
      </c>
      <c r="FR28" s="388">
        <v>29.9</v>
      </c>
      <c r="FS28" s="388">
        <v>15.7</v>
      </c>
      <c r="FT28" s="388">
        <v>5.0999999999999996</v>
      </c>
      <c r="FU28" s="388">
        <v>16.7</v>
      </c>
      <c r="FV28" s="388">
        <v>26.4</v>
      </c>
      <c r="FW28" s="272">
        <v>32448466</v>
      </c>
      <c r="FX28" s="384">
        <f t="shared" si="16"/>
        <v>185.8</v>
      </c>
      <c r="FY28" s="272">
        <v>6592799</v>
      </c>
      <c r="FZ28" s="272">
        <v>1783003</v>
      </c>
      <c r="GA28" s="272">
        <v>1231345</v>
      </c>
      <c r="GB28" s="272">
        <v>3578451</v>
      </c>
      <c r="GC28" s="272">
        <v>2421000</v>
      </c>
      <c r="GD28" s="272">
        <v>2234565</v>
      </c>
      <c r="GE28" s="384">
        <f t="shared" si="17"/>
        <v>12.8</v>
      </c>
      <c r="GF28" s="388">
        <v>98.5</v>
      </c>
      <c r="GG28" s="388">
        <v>20.399999999999999</v>
      </c>
      <c r="GH28" s="388">
        <v>93.8</v>
      </c>
      <c r="GI28" s="272">
        <v>654</v>
      </c>
      <c r="GJ28" s="394"/>
      <c r="GK28" s="394"/>
      <c r="GL28" s="394"/>
      <c r="GM28" s="394"/>
      <c r="GN28" s="394"/>
      <c r="GO28" s="394"/>
      <c r="GP28" s="394"/>
      <c r="GQ28" s="394"/>
      <c r="GR28" s="394"/>
      <c r="GS28" s="394"/>
      <c r="GT28" s="394"/>
      <c r="GU28" s="394"/>
      <c r="GV28" s="394"/>
      <c r="GW28" s="394"/>
      <c r="GX28" s="394"/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</row>
    <row r="29" spans="2:230" x14ac:dyDescent="0.15">
      <c r="B29" s="89" t="s">
        <v>51</v>
      </c>
      <c r="C29" s="272">
        <v>11440725</v>
      </c>
      <c r="D29" s="455">
        <f t="shared" si="0"/>
        <v>2654809</v>
      </c>
      <c r="E29" s="272">
        <v>68993</v>
      </c>
      <c r="F29" s="272">
        <v>2585816</v>
      </c>
      <c r="G29" s="455">
        <f t="shared" si="1"/>
        <v>1608545</v>
      </c>
      <c r="H29" s="272">
        <v>148689</v>
      </c>
      <c r="I29" s="272">
        <v>1459856</v>
      </c>
      <c r="J29" s="272">
        <v>5781991</v>
      </c>
      <c r="K29" s="272">
        <v>2588945</v>
      </c>
      <c r="L29" s="272">
        <v>1441997</v>
      </c>
      <c r="M29" s="272">
        <v>1700566</v>
      </c>
      <c r="N29" s="272">
        <v>363386</v>
      </c>
      <c r="O29" s="272">
        <v>987684</v>
      </c>
      <c r="P29" s="272">
        <v>653492</v>
      </c>
      <c r="Q29" s="272">
        <v>334192</v>
      </c>
      <c r="R29" s="272">
        <v>386281</v>
      </c>
      <c r="S29" s="272">
        <v>218944</v>
      </c>
      <c r="T29" s="455">
        <f t="shared" si="2"/>
        <v>818288</v>
      </c>
      <c r="U29" s="272">
        <v>62749</v>
      </c>
      <c r="V29" s="272">
        <v>34186</v>
      </c>
      <c r="W29" s="272">
        <v>42267</v>
      </c>
      <c r="X29" s="272">
        <v>547703</v>
      </c>
      <c r="Y29" s="272">
        <v>0</v>
      </c>
      <c r="Z29" s="272">
        <v>0</v>
      </c>
      <c r="AA29" s="272">
        <v>131383</v>
      </c>
      <c r="AB29" s="272">
        <v>278267</v>
      </c>
      <c r="AC29" s="272">
        <v>841977</v>
      </c>
      <c r="AD29" s="272">
        <v>791975</v>
      </c>
      <c r="AE29" s="272">
        <v>50002</v>
      </c>
      <c r="AF29" s="272">
        <v>10262</v>
      </c>
      <c r="AG29" s="272">
        <v>83673</v>
      </c>
      <c r="AH29" s="455">
        <f t="shared" si="3"/>
        <v>527259</v>
      </c>
      <c r="AI29" s="272">
        <v>481796</v>
      </c>
      <c r="AJ29" s="272">
        <v>45463</v>
      </c>
      <c r="AK29" s="272">
        <v>1805332</v>
      </c>
      <c r="AL29" s="455">
        <f t="shared" si="4"/>
        <v>1023716</v>
      </c>
      <c r="AM29" s="272">
        <v>912907</v>
      </c>
      <c r="AN29" s="272">
        <v>110702</v>
      </c>
      <c r="AO29" s="272">
        <v>0</v>
      </c>
      <c r="AP29" s="272">
        <v>107</v>
      </c>
      <c r="AQ29" s="272">
        <v>18100</v>
      </c>
      <c r="AR29" s="272">
        <v>0</v>
      </c>
      <c r="AS29" s="272">
        <v>0</v>
      </c>
      <c r="AT29" s="272">
        <v>1719247</v>
      </c>
      <c r="AU29" s="272">
        <v>1047956</v>
      </c>
      <c r="AV29" s="272">
        <v>56263</v>
      </c>
      <c r="AW29" s="272">
        <v>0</v>
      </c>
      <c r="AX29" s="272">
        <v>671291</v>
      </c>
      <c r="AY29" s="272">
        <v>91021</v>
      </c>
      <c r="AZ29" s="272">
        <v>467729</v>
      </c>
      <c r="BA29" s="272">
        <v>459626</v>
      </c>
      <c r="BB29" s="272">
        <v>7426</v>
      </c>
      <c r="BC29" s="272">
        <v>323634</v>
      </c>
      <c r="BD29" s="272">
        <v>0</v>
      </c>
      <c r="BE29" s="272">
        <v>0</v>
      </c>
      <c r="BF29" s="272">
        <v>280114</v>
      </c>
      <c r="BG29" s="272">
        <v>0</v>
      </c>
      <c r="BH29" s="272">
        <v>110596</v>
      </c>
      <c r="BI29" s="272">
        <v>110596</v>
      </c>
      <c r="BJ29" s="272">
        <v>274911</v>
      </c>
      <c r="BK29" s="272">
        <v>11993</v>
      </c>
      <c r="BL29" s="272">
        <v>0</v>
      </c>
      <c r="BM29" s="272">
        <v>0</v>
      </c>
      <c r="BN29" s="272">
        <v>940400</v>
      </c>
      <c r="BO29" s="455">
        <f t="shared" si="5"/>
        <v>122900</v>
      </c>
      <c r="BP29" s="455">
        <f t="shared" si="6"/>
        <v>817500</v>
      </c>
      <c r="BQ29" s="272">
        <v>105600</v>
      </c>
      <c r="BR29" s="272"/>
      <c r="BS29" s="272">
        <v>711900</v>
      </c>
      <c r="BT29" s="272">
        <v>0</v>
      </c>
      <c r="BU29" s="272">
        <v>20036007</v>
      </c>
      <c r="BV29" s="272"/>
      <c r="BW29" s="272">
        <v>5273377</v>
      </c>
      <c r="BX29" s="272">
        <v>3308047</v>
      </c>
      <c r="BY29" s="272">
        <v>970880</v>
      </c>
      <c r="BZ29" s="272">
        <v>165196</v>
      </c>
      <c r="CA29" s="272">
        <v>3125390</v>
      </c>
      <c r="CB29" s="272">
        <v>500008</v>
      </c>
      <c r="CC29" s="272">
        <v>129263</v>
      </c>
      <c r="CD29" s="272">
        <v>1243071</v>
      </c>
      <c r="CE29" s="272">
        <v>1193254</v>
      </c>
      <c r="CF29" s="272">
        <v>0</v>
      </c>
      <c r="CG29" s="272">
        <v>59794</v>
      </c>
      <c r="CH29" s="272">
        <v>2317194</v>
      </c>
      <c r="CI29" s="272">
        <v>1760196</v>
      </c>
      <c r="CJ29" s="455">
        <f t="shared" si="7"/>
        <v>556998</v>
      </c>
      <c r="CK29" s="272">
        <v>2290510</v>
      </c>
      <c r="CL29" s="272">
        <v>1373861</v>
      </c>
      <c r="CM29" s="272">
        <v>142298</v>
      </c>
      <c r="CN29" s="272">
        <v>402281</v>
      </c>
      <c r="CO29" s="272">
        <v>14807</v>
      </c>
      <c r="CP29" s="272">
        <v>2487975</v>
      </c>
      <c r="CQ29" s="272">
        <v>1815520</v>
      </c>
      <c r="CR29" s="272">
        <v>254546</v>
      </c>
      <c r="CS29" s="272">
        <v>167379</v>
      </c>
      <c r="CT29" s="455">
        <f t="shared" si="8"/>
        <v>0</v>
      </c>
      <c r="CU29" s="272">
        <v>0</v>
      </c>
      <c r="CV29" s="272">
        <v>0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1123929</v>
      </c>
      <c r="DD29" s="272">
        <v>1000</v>
      </c>
      <c r="DE29" s="272">
        <v>429743</v>
      </c>
      <c r="DF29" s="272">
        <v>0</v>
      </c>
      <c r="DG29" s="272">
        <v>693186</v>
      </c>
      <c r="DH29" s="272">
        <v>0</v>
      </c>
      <c r="DI29" s="272">
        <v>385128</v>
      </c>
      <c r="DJ29" s="272">
        <v>363107</v>
      </c>
      <c r="DK29" s="272">
        <v>0</v>
      </c>
      <c r="DL29" s="272">
        <v>22021</v>
      </c>
      <c r="DM29" s="272">
        <v>0</v>
      </c>
      <c r="DN29" s="272">
        <v>0</v>
      </c>
      <c r="DO29" s="272">
        <v>0</v>
      </c>
      <c r="DP29" s="272">
        <v>0</v>
      </c>
      <c r="DQ29" s="272">
        <v>21235</v>
      </c>
      <c r="DR29" s="272">
        <v>0</v>
      </c>
      <c r="DS29" s="272">
        <v>0</v>
      </c>
      <c r="DT29" s="272">
        <v>2821679</v>
      </c>
      <c r="DU29" s="272">
        <v>1368691</v>
      </c>
      <c r="DV29" s="455">
        <f t="shared" si="11"/>
        <v>0</v>
      </c>
      <c r="DW29" s="272">
        <v>0</v>
      </c>
      <c r="DX29" s="272"/>
      <c r="DY29" s="272">
        <v>0</v>
      </c>
      <c r="DZ29" s="272">
        <v>593731</v>
      </c>
      <c r="EA29" s="272">
        <v>390258</v>
      </c>
      <c r="EB29" s="272">
        <v>468999</v>
      </c>
      <c r="EC29" s="272">
        <v>0</v>
      </c>
      <c r="ED29" s="272">
        <v>19861224</v>
      </c>
      <c r="EF29" s="272">
        <v>174783</v>
      </c>
      <c r="EG29" s="272">
        <v>0</v>
      </c>
      <c r="EH29" s="272">
        <v>174783</v>
      </c>
      <c r="EI29" s="71">
        <v>64187</v>
      </c>
      <c r="EJ29" s="272">
        <v>427294</v>
      </c>
      <c r="EL29" s="272">
        <v>61127</v>
      </c>
      <c r="EM29" s="272">
        <v>60886</v>
      </c>
      <c r="EN29" s="272">
        <v>5183</v>
      </c>
      <c r="EO29" s="272">
        <v>467461</v>
      </c>
      <c r="EP29" s="455">
        <f t="shared" si="12"/>
        <v>449420</v>
      </c>
      <c r="EQ29" s="272">
        <v>13775800</v>
      </c>
      <c r="ER29" s="272">
        <v>-1729302</v>
      </c>
      <c r="ES29" s="272">
        <v>4938990</v>
      </c>
      <c r="ET29" s="272">
        <v>3013829</v>
      </c>
      <c r="EU29" s="272">
        <v>960756</v>
      </c>
      <c r="EV29" s="272">
        <v>2096707</v>
      </c>
      <c r="EW29" s="455">
        <f t="shared" si="13"/>
        <v>283858</v>
      </c>
      <c r="EX29" s="272">
        <v>283858</v>
      </c>
      <c r="EY29" s="272">
        <v>500</v>
      </c>
      <c r="EZ29" s="272">
        <v>283358</v>
      </c>
      <c r="FA29" s="272">
        <v>0</v>
      </c>
      <c r="FB29" s="272"/>
      <c r="FC29" s="272">
        <v>1753952</v>
      </c>
      <c r="FD29" s="272">
        <v>2323140</v>
      </c>
      <c r="FE29" s="272">
        <v>1815520</v>
      </c>
      <c r="FF29" s="272">
        <v>2587626</v>
      </c>
      <c r="FG29" s="455">
        <f t="shared" si="14"/>
        <v>385290</v>
      </c>
      <c r="FH29" s="272">
        <v>15330319</v>
      </c>
      <c r="FI29" s="384">
        <f t="shared" si="15"/>
        <v>1.5</v>
      </c>
      <c r="FJ29" s="272">
        <v>11550037</v>
      </c>
      <c r="FK29" s="272">
        <v>711961</v>
      </c>
      <c r="FL29" s="272">
        <v>8169122</v>
      </c>
      <c r="FM29" s="272">
        <v>8964470</v>
      </c>
      <c r="FN29" s="460">
        <v>0.93200000000000005</v>
      </c>
      <c r="FO29" s="388">
        <v>98.2</v>
      </c>
      <c r="FP29" s="388">
        <v>31.8</v>
      </c>
      <c r="FQ29" s="388">
        <v>7</v>
      </c>
      <c r="FR29" s="388">
        <v>15.4</v>
      </c>
      <c r="FS29" s="388">
        <v>12.1</v>
      </c>
      <c r="FT29" s="388">
        <v>16.399999999999999</v>
      </c>
      <c r="FU29" s="388">
        <v>15.4</v>
      </c>
      <c r="FV29" s="388">
        <v>17.8</v>
      </c>
      <c r="FW29" s="272">
        <v>29800355</v>
      </c>
      <c r="FX29" s="384">
        <f t="shared" si="16"/>
        <v>258</v>
      </c>
      <c r="FY29" s="272">
        <v>5694868</v>
      </c>
      <c r="FZ29" s="272">
        <v>526836</v>
      </c>
      <c r="GA29" s="272">
        <v>0</v>
      </c>
      <c r="GB29" s="272">
        <v>5168032</v>
      </c>
      <c r="GC29" s="272">
        <v>4090000</v>
      </c>
      <c r="GD29" s="272">
        <v>12635683</v>
      </c>
      <c r="GE29" s="384">
        <f t="shared" si="17"/>
        <v>109.4</v>
      </c>
      <c r="GF29" s="388">
        <v>98.6</v>
      </c>
      <c r="GG29" s="388">
        <v>19.100000000000001</v>
      </c>
      <c r="GH29" s="388">
        <v>93.8</v>
      </c>
      <c r="GI29" s="272">
        <v>457</v>
      </c>
      <c r="GJ29" s="394"/>
      <c r="GK29" s="394"/>
      <c r="GL29" s="394"/>
      <c r="GM29" s="394"/>
      <c r="GN29" s="394"/>
      <c r="GO29" s="394"/>
      <c r="GP29" s="394"/>
      <c r="GQ29" s="394"/>
      <c r="GR29" s="394"/>
      <c r="GS29" s="394"/>
      <c r="GT29" s="394"/>
      <c r="GU29" s="394"/>
      <c r="GV29" s="394"/>
      <c r="GW29" s="394"/>
      <c r="GX29" s="394"/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</row>
    <row r="30" spans="2:230" x14ac:dyDescent="0.15">
      <c r="B30" s="89" t="s">
        <v>53</v>
      </c>
      <c r="C30" s="272">
        <v>7814257</v>
      </c>
      <c r="D30" s="455">
        <f t="shared" si="0"/>
        <v>3012071</v>
      </c>
      <c r="E30" s="272">
        <v>73614</v>
      </c>
      <c r="F30" s="272">
        <v>2938457</v>
      </c>
      <c r="G30" s="455">
        <f t="shared" si="1"/>
        <v>469863</v>
      </c>
      <c r="H30" s="272">
        <v>143422</v>
      </c>
      <c r="I30" s="272">
        <v>326441</v>
      </c>
      <c r="J30" s="272">
        <v>3161147</v>
      </c>
      <c r="K30" s="272">
        <v>1527741</v>
      </c>
      <c r="L30" s="272">
        <v>1327135</v>
      </c>
      <c r="M30" s="272">
        <v>269536</v>
      </c>
      <c r="N30" s="272">
        <v>354167</v>
      </c>
      <c r="O30" s="272">
        <v>763681</v>
      </c>
      <c r="P30" s="272">
        <v>466500</v>
      </c>
      <c r="Q30" s="272">
        <v>297181</v>
      </c>
      <c r="R30" s="272">
        <v>379407</v>
      </c>
      <c r="S30" s="272">
        <v>234930</v>
      </c>
      <c r="T30" s="455">
        <f t="shared" si="2"/>
        <v>867858</v>
      </c>
      <c r="U30" s="272">
        <v>67557</v>
      </c>
      <c r="V30" s="272">
        <v>36905</v>
      </c>
      <c r="W30" s="272">
        <v>45953</v>
      </c>
      <c r="X30" s="272">
        <v>571493</v>
      </c>
      <c r="Y30" s="272">
        <v>0</v>
      </c>
      <c r="Z30" s="272">
        <v>0</v>
      </c>
      <c r="AA30" s="272">
        <v>145950</v>
      </c>
      <c r="AB30" s="272">
        <v>298819</v>
      </c>
      <c r="AC30" s="272">
        <v>3449992</v>
      </c>
      <c r="AD30" s="272">
        <v>3252959</v>
      </c>
      <c r="AE30" s="272">
        <v>197033</v>
      </c>
      <c r="AF30" s="272">
        <v>13169</v>
      </c>
      <c r="AG30" s="272">
        <v>84874</v>
      </c>
      <c r="AH30" s="455">
        <f t="shared" si="3"/>
        <v>453895</v>
      </c>
      <c r="AI30" s="272">
        <v>402427</v>
      </c>
      <c r="AJ30" s="272">
        <v>51468</v>
      </c>
      <c r="AK30" s="272">
        <v>2709313</v>
      </c>
      <c r="AL30" s="455">
        <f t="shared" si="4"/>
        <v>1580990</v>
      </c>
      <c r="AM30" s="272">
        <v>1491591</v>
      </c>
      <c r="AN30" s="272">
        <v>88864</v>
      </c>
      <c r="AO30" s="272">
        <v>0</v>
      </c>
      <c r="AP30" s="272">
        <v>535</v>
      </c>
      <c r="AQ30" s="272">
        <v>133782</v>
      </c>
      <c r="AR30" s="272">
        <v>0</v>
      </c>
      <c r="AS30" s="272">
        <v>0</v>
      </c>
      <c r="AT30" s="272">
        <v>844703</v>
      </c>
      <c r="AU30" s="272">
        <v>334899</v>
      </c>
      <c r="AV30" s="272">
        <v>55081</v>
      </c>
      <c r="AW30" s="272">
        <v>2087</v>
      </c>
      <c r="AX30" s="272">
        <v>509804</v>
      </c>
      <c r="AY30" s="272">
        <v>5223</v>
      </c>
      <c r="AZ30" s="272">
        <v>15218</v>
      </c>
      <c r="BA30" s="272">
        <v>9172</v>
      </c>
      <c r="BB30" s="272">
        <v>60214</v>
      </c>
      <c r="BC30" s="272">
        <v>623079</v>
      </c>
      <c r="BD30" s="272">
        <v>300000</v>
      </c>
      <c r="BE30" s="272">
        <v>0</v>
      </c>
      <c r="BF30" s="272">
        <v>323079</v>
      </c>
      <c r="BG30" s="272">
        <v>0</v>
      </c>
      <c r="BH30" s="272">
        <v>5210</v>
      </c>
      <c r="BI30" s="272">
        <v>4175</v>
      </c>
      <c r="BJ30" s="272">
        <v>351899</v>
      </c>
      <c r="BK30" s="272">
        <v>20000</v>
      </c>
      <c r="BL30" s="272">
        <v>0</v>
      </c>
      <c r="BM30" s="272">
        <v>0</v>
      </c>
      <c r="BN30" s="272">
        <v>1073600</v>
      </c>
      <c r="BO30" s="455">
        <f t="shared" si="5"/>
        <v>197900</v>
      </c>
      <c r="BP30" s="455">
        <f t="shared" si="6"/>
        <v>875700</v>
      </c>
      <c r="BQ30" s="272">
        <v>112500</v>
      </c>
      <c r="BR30" s="272"/>
      <c r="BS30" s="272">
        <v>763200</v>
      </c>
      <c r="BT30" s="272">
        <v>0</v>
      </c>
      <c r="BU30" s="272">
        <v>19045507</v>
      </c>
      <c r="BV30" s="272"/>
      <c r="BW30" s="272">
        <v>5390360</v>
      </c>
      <c r="BX30" s="272">
        <v>3416275</v>
      </c>
      <c r="BY30" s="272">
        <v>797334</v>
      </c>
      <c r="BZ30" s="272">
        <v>287107</v>
      </c>
      <c r="CA30" s="272">
        <v>4037117</v>
      </c>
      <c r="CB30" s="272">
        <v>638622</v>
      </c>
      <c r="CC30" s="272">
        <v>145759</v>
      </c>
      <c r="CD30" s="272">
        <v>1212954</v>
      </c>
      <c r="CE30" s="272">
        <v>1984230</v>
      </c>
      <c r="CF30" s="272">
        <v>0</v>
      </c>
      <c r="CG30" s="272">
        <v>55337</v>
      </c>
      <c r="CH30" s="272">
        <v>1304571</v>
      </c>
      <c r="CI30" s="272">
        <v>1049449</v>
      </c>
      <c r="CJ30" s="455">
        <f t="shared" si="7"/>
        <v>255122</v>
      </c>
      <c r="CK30" s="272">
        <v>1974007</v>
      </c>
      <c r="CL30" s="272">
        <v>1044481</v>
      </c>
      <c r="CM30" s="272">
        <v>233405</v>
      </c>
      <c r="CN30" s="272">
        <v>328669</v>
      </c>
      <c r="CO30" s="272">
        <v>61970</v>
      </c>
      <c r="CP30" s="272">
        <v>2629250</v>
      </c>
      <c r="CQ30" s="272">
        <v>1938438</v>
      </c>
      <c r="CR30" s="272">
        <v>309287</v>
      </c>
      <c r="CS30" s="272">
        <v>243108</v>
      </c>
      <c r="CT30" s="455">
        <f t="shared" si="8"/>
        <v>111405</v>
      </c>
      <c r="CU30" s="272">
        <v>79493</v>
      </c>
      <c r="CV30" s="272">
        <v>31912</v>
      </c>
      <c r="CW30" s="455">
        <f t="shared" si="9"/>
        <v>101164</v>
      </c>
      <c r="CX30" s="272">
        <v>73756</v>
      </c>
      <c r="CY30" s="272">
        <v>27408</v>
      </c>
      <c r="CZ30" s="455">
        <f t="shared" si="10"/>
        <v>0</v>
      </c>
      <c r="DA30" s="272">
        <v>0</v>
      </c>
      <c r="DB30" s="272">
        <v>0</v>
      </c>
      <c r="DC30" s="272">
        <v>544859</v>
      </c>
      <c r="DD30" s="272">
        <v>218381</v>
      </c>
      <c r="DE30" s="272">
        <v>326478</v>
      </c>
      <c r="DF30" s="272">
        <v>0</v>
      </c>
      <c r="DG30" s="272">
        <v>0</v>
      </c>
      <c r="DH30" s="272">
        <v>0</v>
      </c>
      <c r="DI30" s="272">
        <v>184897</v>
      </c>
      <c r="DJ30" s="272">
        <v>114949</v>
      </c>
      <c r="DK30" s="272">
        <v>7</v>
      </c>
      <c r="DL30" s="272">
        <v>69941</v>
      </c>
      <c r="DM30" s="272">
        <v>2400</v>
      </c>
      <c r="DN30" s="272">
        <v>2400</v>
      </c>
      <c r="DO30" s="272">
        <v>2400</v>
      </c>
      <c r="DP30" s="272">
        <v>0</v>
      </c>
      <c r="DQ30" s="272">
        <v>20000</v>
      </c>
      <c r="DR30" s="272">
        <v>0</v>
      </c>
      <c r="DS30" s="272">
        <v>0</v>
      </c>
      <c r="DT30" s="272">
        <v>2840160</v>
      </c>
      <c r="DU30" s="272">
        <v>1464916</v>
      </c>
      <c r="DV30" s="455">
        <f t="shared" si="11"/>
        <v>0</v>
      </c>
      <c r="DW30" s="272">
        <v>0</v>
      </c>
      <c r="DX30" s="272"/>
      <c r="DY30" s="272">
        <v>0</v>
      </c>
      <c r="DZ30" s="272">
        <v>491283</v>
      </c>
      <c r="EA30" s="272">
        <v>363577</v>
      </c>
      <c r="EB30" s="272">
        <v>520384</v>
      </c>
      <c r="EC30" s="272">
        <v>0</v>
      </c>
      <c r="ED30" s="272">
        <v>18989591</v>
      </c>
      <c r="EF30" s="272">
        <v>55916</v>
      </c>
      <c r="EG30" s="272">
        <v>1286</v>
      </c>
      <c r="EH30" s="272">
        <v>54630</v>
      </c>
      <c r="EI30" s="71">
        <v>43455</v>
      </c>
      <c r="EJ30" s="272">
        <v>-141596</v>
      </c>
      <c r="EL30" s="272">
        <v>65780</v>
      </c>
      <c r="EM30" s="272">
        <v>66172</v>
      </c>
      <c r="EN30" s="272">
        <v>440000</v>
      </c>
      <c r="EO30" s="272">
        <v>11034</v>
      </c>
      <c r="EP30" s="455">
        <f t="shared" si="12"/>
        <v>340037</v>
      </c>
      <c r="EQ30" s="272">
        <v>12823502</v>
      </c>
      <c r="ER30" s="272">
        <v>-1653602</v>
      </c>
      <c r="ES30" s="272">
        <v>5038553</v>
      </c>
      <c r="ET30" s="272">
        <v>3144691</v>
      </c>
      <c r="EU30" s="272">
        <v>1220973</v>
      </c>
      <c r="EV30" s="272">
        <v>1185139</v>
      </c>
      <c r="EW30" s="455">
        <f t="shared" si="13"/>
        <v>130615</v>
      </c>
      <c r="EX30" s="272">
        <v>130615</v>
      </c>
      <c r="EY30" s="272">
        <v>5206</v>
      </c>
      <c r="EZ30" s="272">
        <v>125409</v>
      </c>
      <c r="FA30" s="272">
        <v>0</v>
      </c>
      <c r="FB30" s="272"/>
      <c r="FC30" s="272">
        <v>1524658</v>
      </c>
      <c r="FD30" s="272">
        <v>2461013</v>
      </c>
      <c r="FE30" s="272">
        <v>1873438</v>
      </c>
      <c r="FF30" s="272">
        <v>2617554</v>
      </c>
      <c r="FG30" s="455">
        <f t="shared" si="14"/>
        <v>242683</v>
      </c>
      <c r="FH30" s="272">
        <v>14421188</v>
      </c>
      <c r="FI30" s="384">
        <f t="shared" si="15"/>
        <v>0.5</v>
      </c>
      <c r="FJ30" s="272">
        <v>11719050</v>
      </c>
      <c r="FK30" s="272">
        <v>763276</v>
      </c>
      <c r="FL30" s="272">
        <v>6447299</v>
      </c>
      <c r="FM30" s="272">
        <v>9699050</v>
      </c>
      <c r="FN30" s="460">
        <v>0.65100000000000002</v>
      </c>
      <c r="FO30" s="388">
        <v>97</v>
      </c>
      <c r="FP30" s="388">
        <v>34.5</v>
      </c>
      <c r="FQ30" s="388">
        <v>9.5</v>
      </c>
      <c r="FR30" s="388">
        <v>9.1999999999999993</v>
      </c>
      <c r="FS30" s="388">
        <v>10.199999999999999</v>
      </c>
      <c r="FT30" s="388">
        <v>18.3</v>
      </c>
      <c r="FU30" s="388">
        <v>14.7</v>
      </c>
      <c r="FV30" s="388">
        <v>12.2</v>
      </c>
      <c r="FW30" s="272">
        <v>12321843</v>
      </c>
      <c r="FX30" s="384">
        <f t="shared" si="16"/>
        <v>105.1</v>
      </c>
      <c r="FY30" s="272">
        <v>1551287</v>
      </c>
      <c r="FZ30" s="272">
        <v>476850</v>
      </c>
      <c r="GA30" s="272">
        <v>22312</v>
      </c>
      <c r="GB30" s="272">
        <v>1052125</v>
      </c>
      <c r="GC30" s="272"/>
      <c r="GD30" s="272">
        <v>741988</v>
      </c>
      <c r="GE30" s="384">
        <f t="shared" si="17"/>
        <v>6.3</v>
      </c>
      <c r="GF30" s="388">
        <v>97.6</v>
      </c>
      <c r="GG30" s="388">
        <v>24.4</v>
      </c>
      <c r="GH30" s="388">
        <v>92.3</v>
      </c>
      <c r="GI30" s="272">
        <v>490</v>
      </c>
      <c r="GJ30" s="394"/>
      <c r="GK30" s="394"/>
      <c r="GL30" s="394"/>
      <c r="GM30" s="394"/>
      <c r="GN30" s="394"/>
      <c r="GO30" s="394"/>
      <c r="GP30" s="394"/>
      <c r="GQ30" s="394"/>
      <c r="GR30" s="394"/>
      <c r="GS30" s="394"/>
      <c r="GT30" s="394"/>
      <c r="GU30" s="394"/>
      <c r="GV30" s="394"/>
      <c r="GW30" s="394"/>
      <c r="GX30" s="394"/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</row>
    <row r="31" spans="2:230" x14ac:dyDescent="0.15">
      <c r="B31" s="89" t="s">
        <v>55</v>
      </c>
      <c r="C31" s="272">
        <v>75193614</v>
      </c>
      <c r="D31" s="455">
        <f t="shared" si="0"/>
        <v>19603686</v>
      </c>
      <c r="E31" s="272">
        <v>564089</v>
      </c>
      <c r="F31" s="272">
        <v>19039597</v>
      </c>
      <c r="G31" s="455">
        <f t="shared" si="1"/>
        <v>7871713</v>
      </c>
      <c r="H31" s="272">
        <v>1562763</v>
      </c>
      <c r="I31" s="272">
        <v>6308950</v>
      </c>
      <c r="J31" s="272">
        <v>34069187</v>
      </c>
      <c r="K31" s="272">
        <v>17039285</v>
      </c>
      <c r="L31" s="272">
        <v>13030152</v>
      </c>
      <c r="M31" s="272">
        <v>3689798</v>
      </c>
      <c r="N31" s="272">
        <v>3804153</v>
      </c>
      <c r="O31" s="272">
        <v>7425220</v>
      </c>
      <c r="P31" s="272">
        <v>4475873</v>
      </c>
      <c r="Q31" s="272">
        <v>2949347</v>
      </c>
      <c r="R31" s="272">
        <v>2873775</v>
      </c>
      <c r="S31" s="272">
        <v>1811389</v>
      </c>
      <c r="T31" s="455">
        <f t="shared" si="2"/>
        <v>7316132</v>
      </c>
      <c r="U31" s="272">
        <v>465683</v>
      </c>
      <c r="V31" s="272">
        <v>254023</v>
      </c>
      <c r="W31" s="272">
        <v>315080</v>
      </c>
      <c r="X31" s="272">
        <v>5208157</v>
      </c>
      <c r="Y31" s="272">
        <v>0</v>
      </c>
      <c r="Z31" s="272">
        <v>0</v>
      </c>
      <c r="AA31" s="272">
        <v>1073189</v>
      </c>
      <c r="AB31" s="272">
        <v>2247682</v>
      </c>
      <c r="AC31" s="272">
        <v>18410118</v>
      </c>
      <c r="AD31" s="272">
        <v>17610090</v>
      </c>
      <c r="AE31" s="272">
        <v>800028</v>
      </c>
      <c r="AF31" s="272">
        <v>104628</v>
      </c>
      <c r="AG31" s="272">
        <v>3400213</v>
      </c>
      <c r="AH31" s="455">
        <f t="shared" si="3"/>
        <v>3281015</v>
      </c>
      <c r="AI31" s="272">
        <v>2660910</v>
      </c>
      <c r="AJ31" s="272">
        <v>620105</v>
      </c>
      <c r="AK31" s="272">
        <v>30849347</v>
      </c>
      <c r="AL31" s="455">
        <f t="shared" si="4"/>
        <v>20644867</v>
      </c>
      <c r="AM31" s="272">
        <v>19195910</v>
      </c>
      <c r="AN31" s="272">
        <v>1391069</v>
      </c>
      <c r="AO31" s="272">
        <v>47379</v>
      </c>
      <c r="AP31" s="272">
        <v>10509</v>
      </c>
      <c r="AQ31" s="272">
        <v>1563530</v>
      </c>
      <c r="AR31" s="272">
        <v>0</v>
      </c>
      <c r="AS31" s="272">
        <v>0</v>
      </c>
      <c r="AT31" s="272">
        <v>6581683</v>
      </c>
      <c r="AU31" s="272">
        <v>1873177</v>
      </c>
      <c r="AV31" s="272">
        <v>52106</v>
      </c>
      <c r="AW31" s="272">
        <v>2803</v>
      </c>
      <c r="AX31" s="272">
        <v>4708506</v>
      </c>
      <c r="AY31" s="272">
        <v>423411</v>
      </c>
      <c r="AZ31" s="272">
        <v>753934</v>
      </c>
      <c r="BA31" s="272">
        <v>722457</v>
      </c>
      <c r="BB31" s="272">
        <v>1697</v>
      </c>
      <c r="BC31" s="272">
        <v>3476315</v>
      </c>
      <c r="BD31" s="272">
        <v>0</v>
      </c>
      <c r="BE31" s="272">
        <v>2003167</v>
      </c>
      <c r="BF31" s="272">
        <v>1156123</v>
      </c>
      <c r="BG31" s="272">
        <v>0</v>
      </c>
      <c r="BH31" s="272">
        <v>626582</v>
      </c>
      <c r="BI31" s="272">
        <v>355744</v>
      </c>
      <c r="BJ31" s="272">
        <v>4028791</v>
      </c>
      <c r="BK31" s="272">
        <v>2353419</v>
      </c>
      <c r="BL31" s="272">
        <v>23129</v>
      </c>
      <c r="BM31" s="272">
        <v>85187</v>
      </c>
      <c r="BN31" s="272">
        <v>15164500</v>
      </c>
      <c r="BO31" s="455">
        <f t="shared" si="5"/>
        <v>9542500</v>
      </c>
      <c r="BP31" s="455">
        <f t="shared" si="6"/>
        <v>5622000</v>
      </c>
      <c r="BQ31" s="272">
        <v>879100</v>
      </c>
      <c r="BR31" s="272"/>
      <c r="BS31" s="272">
        <v>4742900</v>
      </c>
      <c r="BT31" s="272">
        <v>0</v>
      </c>
      <c r="BU31" s="272">
        <v>174310026</v>
      </c>
      <c r="BV31" s="272"/>
      <c r="BW31" s="272">
        <v>37492565</v>
      </c>
      <c r="BX31" s="272">
        <v>26305684</v>
      </c>
      <c r="BY31" s="272">
        <v>4602432</v>
      </c>
      <c r="BZ31" s="272">
        <v>1083617</v>
      </c>
      <c r="CA31" s="272">
        <v>45774374</v>
      </c>
      <c r="CB31" s="272">
        <v>4638814</v>
      </c>
      <c r="CC31" s="272">
        <v>1290041</v>
      </c>
      <c r="CD31" s="272">
        <v>11167621</v>
      </c>
      <c r="CE31" s="272">
        <v>25673113</v>
      </c>
      <c r="CF31" s="272">
        <v>2496009</v>
      </c>
      <c r="CG31" s="272">
        <v>508776</v>
      </c>
      <c r="CH31" s="272">
        <v>14700047</v>
      </c>
      <c r="CI31" s="272">
        <v>11400055</v>
      </c>
      <c r="CJ31" s="455">
        <f t="shared" si="7"/>
        <v>3299992</v>
      </c>
      <c r="CK31" s="272">
        <v>14794828</v>
      </c>
      <c r="CL31" s="272">
        <v>9297605</v>
      </c>
      <c r="CM31" s="272">
        <v>484686</v>
      </c>
      <c r="CN31" s="272">
        <v>2635717</v>
      </c>
      <c r="CO31" s="272">
        <v>1364187</v>
      </c>
      <c r="CP31" s="272">
        <v>11870673</v>
      </c>
      <c r="CQ31" s="272">
        <v>4203350</v>
      </c>
      <c r="CR31" s="272">
        <v>4533798</v>
      </c>
      <c r="CS31" s="272">
        <v>3653482</v>
      </c>
      <c r="CT31" s="455">
        <f t="shared" si="8"/>
        <v>1292956</v>
      </c>
      <c r="CU31" s="272">
        <v>1053214</v>
      </c>
      <c r="CV31" s="272">
        <v>239742</v>
      </c>
      <c r="CW31" s="455">
        <f t="shared" si="9"/>
        <v>1168294</v>
      </c>
      <c r="CX31" s="272">
        <v>928552</v>
      </c>
      <c r="CY31" s="272">
        <v>239742</v>
      </c>
      <c r="CZ31" s="455">
        <f t="shared" si="10"/>
        <v>0</v>
      </c>
      <c r="DA31" s="272">
        <v>0</v>
      </c>
      <c r="DB31" s="272">
        <v>0</v>
      </c>
      <c r="DC31" s="272">
        <v>18716589</v>
      </c>
      <c r="DD31" s="272">
        <v>3147207</v>
      </c>
      <c r="DE31" s="272">
        <v>13971535</v>
      </c>
      <c r="DF31" s="272">
        <v>851641</v>
      </c>
      <c r="DG31" s="272">
        <v>746206</v>
      </c>
      <c r="DH31" s="272">
        <v>45352</v>
      </c>
      <c r="DI31" s="272">
        <v>567602</v>
      </c>
      <c r="DJ31" s="272">
        <v>357400</v>
      </c>
      <c r="DK31" s="272">
        <v>3400</v>
      </c>
      <c r="DL31" s="272">
        <v>206802</v>
      </c>
      <c r="DM31" s="272">
        <v>548406</v>
      </c>
      <c r="DN31" s="272">
        <v>456706</v>
      </c>
      <c r="DO31" s="272">
        <v>0</v>
      </c>
      <c r="DP31" s="272">
        <v>456706</v>
      </c>
      <c r="DQ31" s="272">
        <v>2607572</v>
      </c>
      <c r="DR31" s="272">
        <v>0</v>
      </c>
      <c r="DS31" s="272">
        <v>0</v>
      </c>
      <c r="DT31" s="272">
        <v>24762283</v>
      </c>
      <c r="DU31" s="272">
        <v>11875662</v>
      </c>
      <c r="DV31" s="455">
        <f t="shared" si="11"/>
        <v>0</v>
      </c>
      <c r="DW31" s="272">
        <v>0</v>
      </c>
      <c r="DX31" s="272"/>
      <c r="DY31" s="272">
        <v>0</v>
      </c>
      <c r="DZ31" s="272">
        <v>6111280</v>
      </c>
      <c r="EA31" s="272">
        <v>2664331</v>
      </c>
      <c r="EB31" s="272">
        <v>3649161</v>
      </c>
      <c r="EC31" s="272">
        <v>0</v>
      </c>
      <c r="ED31" s="272">
        <v>173244478</v>
      </c>
      <c r="EF31" s="272">
        <v>1065548</v>
      </c>
      <c r="EG31" s="272">
        <v>249209</v>
      </c>
      <c r="EH31" s="272">
        <v>816339</v>
      </c>
      <c r="EI31" s="71">
        <v>460595</v>
      </c>
      <c r="EJ31" s="272">
        <v>818490</v>
      </c>
      <c r="EL31" s="272">
        <v>513821</v>
      </c>
      <c r="EM31" s="272">
        <v>494422</v>
      </c>
      <c r="EN31" s="272">
        <v>2014031</v>
      </c>
      <c r="EO31" s="272">
        <v>2820</v>
      </c>
      <c r="EP31" s="455">
        <f t="shared" si="12"/>
        <v>4017290</v>
      </c>
      <c r="EQ31" s="272">
        <v>106145949</v>
      </c>
      <c r="ER31" s="272">
        <v>-11551513</v>
      </c>
      <c r="ES31" s="272">
        <v>35850029</v>
      </c>
      <c r="ET31" s="272">
        <v>24780946</v>
      </c>
      <c r="EU31" s="272">
        <v>13921541</v>
      </c>
      <c r="EV31" s="272">
        <v>14629229</v>
      </c>
      <c r="EW31" s="455">
        <f t="shared" si="13"/>
        <v>4971691</v>
      </c>
      <c r="EX31" s="272">
        <v>4970948</v>
      </c>
      <c r="EY31" s="272">
        <v>47884</v>
      </c>
      <c r="EZ31" s="272">
        <v>4922202</v>
      </c>
      <c r="FA31" s="272">
        <v>743</v>
      </c>
      <c r="FB31" s="272"/>
      <c r="FC31" s="272">
        <v>11543655</v>
      </c>
      <c r="FD31" s="272">
        <v>11021955</v>
      </c>
      <c r="FE31" s="272">
        <v>4203350</v>
      </c>
      <c r="FF31" s="272">
        <v>22480488</v>
      </c>
      <c r="FG31" s="455">
        <f t="shared" si="14"/>
        <v>2213326</v>
      </c>
      <c r="FH31" s="272">
        <v>116631914</v>
      </c>
      <c r="FI31" s="384">
        <f t="shared" si="15"/>
        <v>0.8</v>
      </c>
      <c r="FJ31" s="272">
        <v>96481341</v>
      </c>
      <c r="FK31" s="272">
        <v>4742904</v>
      </c>
      <c r="FL31" s="272">
        <v>59897037</v>
      </c>
      <c r="FM31" s="272">
        <v>77507127</v>
      </c>
      <c r="FN31" s="460">
        <v>0.78800000000000003</v>
      </c>
      <c r="FO31" s="388">
        <v>98.6</v>
      </c>
      <c r="FP31" s="388">
        <v>32.799999999999997</v>
      </c>
      <c r="FQ31" s="388">
        <v>13.4</v>
      </c>
      <c r="FR31" s="388">
        <v>14</v>
      </c>
      <c r="FS31" s="388">
        <v>10.3</v>
      </c>
      <c r="FT31" s="388">
        <v>8.8000000000000007</v>
      </c>
      <c r="FU31" s="388">
        <v>18.3</v>
      </c>
      <c r="FV31" s="388">
        <v>14.6</v>
      </c>
      <c r="FW31" s="272">
        <v>165337714</v>
      </c>
      <c r="FX31" s="384">
        <f t="shared" si="16"/>
        <v>171.4</v>
      </c>
      <c r="FY31" s="272">
        <v>4910956</v>
      </c>
      <c r="FZ31" s="272">
        <v>2016400</v>
      </c>
      <c r="GA31" s="272">
        <v>231400</v>
      </c>
      <c r="GB31" s="272">
        <v>2663156</v>
      </c>
      <c r="GC31" s="272"/>
      <c r="GD31" s="272">
        <v>18941966</v>
      </c>
      <c r="GE31" s="384">
        <f t="shared" si="17"/>
        <v>19.600000000000001</v>
      </c>
      <c r="GF31" s="388">
        <v>96.9</v>
      </c>
      <c r="GG31" s="388">
        <v>32.200000000000003</v>
      </c>
      <c r="GH31" s="388">
        <v>91.9</v>
      </c>
      <c r="GI31" s="272">
        <v>3261</v>
      </c>
      <c r="GJ31" s="394"/>
      <c r="GK31" s="394"/>
      <c r="GL31" s="394"/>
      <c r="GM31" s="394"/>
      <c r="GN31" s="394"/>
      <c r="GO31" s="394"/>
      <c r="GP31" s="394"/>
      <c r="GQ31" s="394"/>
      <c r="GR31" s="394"/>
      <c r="GS31" s="394"/>
      <c r="GT31" s="394"/>
      <c r="GU31" s="394"/>
      <c r="GV31" s="394"/>
      <c r="GW31" s="394"/>
      <c r="GX31" s="394"/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</row>
    <row r="32" spans="2:230" x14ac:dyDescent="0.15">
      <c r="B32" s="89" t="s">
        <v>57</v>
      </c>
      <c r="C32" s="272">
        <v>9259039</v>
      </c>
      <c r="D32" s="455">
        <f t="shared" si="0"/>
        <v>2029216</v>
      </c>
      <c r="E32" s="272">
        <v>65646</v>
      </c>
      <c r="F32" s="272">
        <v>1963570</v>
      </c>
      <c r="G32" s="455">
        <f t="shared" si="1"/>
        <v>660329</v>
      </c>
      <c r="H32" s="272">
        <v>171000</v>
      </c>
      <c r="I32" s="272">
        <v>489329</v>
      </c>
      <c r="J32" s="272">
        <v>5261401</v>
      </c>
      <c r="K32" s="272">
        <v>2141879</v>
      </c>
      <c r="L32" s="272">
        <v>1805676</v>
      </c>
      <c r="M32" s="272">
        <v>1194249</v>
      </c>
      <c r="N32" s="272">
        <v>395398</v>
      </c>
      <c r="O32" s="272">
        <v>823526</v>
      </c>
      <c r="P32" s="272">
        <v>463242</v>
      </c>
      <c r="Q32" s="272">
        <v>360284</v>
      </c>
      <c r="R32" s="272">
        <v>399004</v>
      </c>
      <c r="S32" s="272">
        <v>225598</v>
      </c>
      <c r="T32" s="455">
        <f t="shared" si="2"/>
        <v>875672</v>
      </c>
      <c r="U32" s="272">
        <v>49098</v>
      </c>
      <c r="V32" s="272">
        <v>26715</v>
      </c>
      <c r="W32" s="272">
        <v>32915</v>
      </c>
      <c r="X32" s="272">
        <v>564712</v>
      </c>
      <c r="Y32" s="272">
        <v>51668</v>
      </c>
      <c r="Z32" s="272">
        <v>0</v>
      </c>
      <c r="AA32" s="272">
        <v>150564</v>
      </c>
      <c r="AB32" s="272">
        <v>196878</v>
      </c>
      <c r="AC32" s="272">
        <v>2186021</v>
      </c>
      <c r="AD32" s="272">
        <v>1794970</v>
      </c>
      <c r="AE32" s="272">
        <v>391051</v>
      </c>
      <c r="AF32" s="272">
        <v>12295</v>
      </c>
      <c r="AG32" s="272">
        <v>52639</v>
      </c>
      <c r="AH32" s="455">
        <f t="shared" si="3"/>
        <v>407304</v>
      </c>
      <c r="AI32" s="272">
        <v>307283</v>
      </c>
      <c r="AJ32" s="272">
        <v>100021</v>
      </c>
      <c r="AK32" s="272">
        <v>2888189</v>
      </c>
      <c r="AL32" s="455">
        <f t="shared" si="4"/>
        <v>1355858</v>
      </c>
      <c r="AM32" s="272">
        <v>1307254</v>
      </c>
      <c r="AN32" s="272">
        <v>48297</v>
      </c>
      <c r="AO32" s="272">
        <v>0</v>
      </c>
      <c r="AP32" s="272">
        <v>307</v>
      </c>
      <c r="AQ32" s="272">
        <v>18108</v>
      </c>
      <c r="AR32" s="272">
        <v>0</v>
      </c>
      <c r="AS32" s="272">
        <v>0</v>
      </c>
      <c r="AT32" s="272">
        <v>960861</v>
      </c>
      <c r="AU32" s="272">
        <v>356278</v>
      </c>
      <c r="AV32" s="272">
        <v>24178</v>
      </c>
      <c r="AW32" s="272">
        <v>0</v>
      </c>
      <c r="AX32" s="272">
        <v>604583</v>
      </c>
      <c r="AY32" s="272">
        <v>4770</v>
      </c>
      <c r="AZ32" s="272">
        <v>9182</v>
      </c>
      <c r="BA32" s="272">
        <v>8537</v>
      </c>
      <c r="BB32" s="272">
        <v>41145</v>
      </c>
      <c r="BC32" s="272">
        <v>510988</v>
      </c>
      <c r="BD32" s="272">
        <v>0</v>
      </c>
      <c r="BE32" s="272">
        <v>288968</v>
      </c>
      <c r="BF32" s="272">
        <v>49701</v>
      </c>
      <c r="BG32" s="272">
        <v>0</v>
      </c>
      <c r="BH32" s="272">
        <v>78284</v>
      </c>
      <c r="BI32" s="272">
        <v>51076</v>
      </c>
      <c r="BJ32" s="272">
        <v>646262</v>
      </c>
      <c r="BK32" s="272">
        <v>14030</v>
      </c>
      <c r="BL32" s="272">
        <v>0</v>
      </c>
      <c r="BM32" s="272">
        <v>0</v>
      </c>
      <c r="BN32" s="272">
        <v>1780900</v>
      </c>
      <c r="BO32" s="455">
        <f t="shared" si="5"/>
        <v>994700</v>
      </c>
      <c r="BP32" s="455">
        <f t="shared" si="6"/>
        <v>786200</v>
      </c>
      <c r="BQ32" s="272">
        <v>78200</v>
      </c>
      <c r="BR32" s="272"/>
      <c r="BS32" s="272">
        <v>708000</v>
      </c>
      <c r="BT32" s="272">
        <v>0</v>
      </c>
      <c r="BU32" s="272">
        <v>20304663</v>
      </c>
      <c r="BV32" s="272"/>
      <c r="BW32" s="272">
        <v>6112941</v>
      </c>
      <c r="BX32" s="272">
        <v>3962457</v>
      </c>
      <c r="BY32" s="272">
        <v>725513</v>
      </c>
      <c r="BZ32" s="272">
        <v>414961</v>
      </c>
      <c r="CA32" s="272">
        <v>3459293</v>
      </c>
      <c r="CB32" s="272">
        <v>559818</v>
      </c>
      <c r="CC32" s="272">
        <v>137646</v>
      </c>
      <c r="CD32" s="272">
        <v>946180</v>
      </c>
      <c r="CE32" s="272">
        <v>1741735</v>
      </c>
      <c r="CF32" s="272">
        <v>0</v>
      </c>
      <c r="CG32" s="272">
        <v>73914</v>
      </c>
      <c r="CH32" s="272">
        <v>2664967</v>
      </c>
      <c r="CI32" s="272">
        <v>1970124</v>
      </c>
      <c r="CJ32" s="455">
        <f t="shared" si="7"/>
        <v>694843</v>
      </c>
      <c r="CK32" s="272">
        <v>2196725</v>
      </c>
      <c r="CL32" s="272">
        <v>1275136</v>
      </c>
      <c r="CM32" s="272">
        <v>119820</v>
      </c>
      <c r="CN32" s="272">
        <v>452378</v>
      </c>
      <c r="CO32" s="272">
        <v>98568</v>
      </c>
      <c r="CP32" s="272">
        <v>1038864</v>
      </c>
      <c r="CQ32" s="272">
        <v>505850</v>
      </c>
      <c r="CR32" s="272">
        <v>281302</v>
      </c>
      <c r="CS32" s="272">
        <v>206757</v>
      </c>
      <c r="CT32" s="455">
        <f t="shared" si="8"/>
        <v>6864</v>
      </c>
      <c r="CU32" s="272">
        <v>6450</v>
      </c>
      <c r="CV32" s="272">
        <v>414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2007733</v>
      </c>
      <c r="DD32" s="272">
        <v>43029</v>
      </c>
      <c r="DE32" s="272">
        <v>1950267</v>
      </c>
      <c r="DF32" s="272">
        <v>14437</v>
      </c>
      <c r="DG32" s="272">
        <v>0</v>
      </c>
      <c r="DH32" s="272">
        <v>0</v>
      </c>
      <c r="DI32" s="272">
        <v>423010</v>
      </c>
      <c r="DJ32" s="272">
        <v>0</v>
      </c>
      <c r="DK32" s="272">
        <v>202719</v>
      </c>
      <c r="DL32" s="272">
        <v>220291</v>
      </c>
      <c r="DM32" s="272">
        <v>934</v>
      </c>
      <c r="DN32" s="272">
        <v>934</v>
      </c>
      <c r="DO32" s="455">
        <v>0</v>
      </c>
      <c r="DP32" s="272">
        <v>0</v>
      </c>
      <c r="DQ32" s="272">
        <v>0</v>
      </c>
      <c r="DR32" s="272">
        <v>0</v>
      </c>
      <c r="DS32" s="272">
        <v>0</v>
      </c>
      <c r="DT32" s="272">
        <v>2166012</v>
      </c>
      <c r="DU32" s="272">
        <v>860138</v>
      </c>
      <c r="DV32" s="455">
        <f t="shared" si="11"/>
        <v>0</v>
      </c>
      <c r="DW32" s="272">
        <v>0</v>
      </c>
      <c r="DX32" s="272"/>
      <c r="DY32" s="272">
        <v>0</v>
      </c>
      <c r="DZ32" s="272">
        <v>467141</v>
      </c>
      <c r="EA32" s="272">
        <v>360557</v>
      </c>
      <c r="EB32" s="272">
        <v>478176</v>
      </c>
      <c r="EC32" s="272">
        <v>0</v>
      </c>
      <c r="ED32" s="272">
        <v>20169047</v>
      </c>
      <c r="EF32" s="272">
        <v>135616</v>
      </c>
      <c r="EG32" s="272">
        <v>5822</v>
      </c>
      <c r="EH32" s="272">
        <v>129794</v>
      </c>
      <c r="EI32" s="71">
        <v>78718</v>
      </c>
      <c r="EJ32" s="272">
        <v>284386</v>
      </c>
      <c r="EL32" s="272">
        <v>64683</v>
      </c>
      <c r="EM32" s="272">
        <v>65423</v>
      </c>
      <c r="EN32" s="272">
        <v>460211</v>
      </c>
      <c r="EO32" s="272">
        <v>8554</v>
      </c>
      <c r="EP32" s="455">
        <f t="shared" si="12"/>
        <v>1243174</v>
      </c>
      <c r="EQ32" s="272">
        <v>12928909</v>
      </c>
      <c r="ER32" s="272">
        <v>-2485844</v>
      </c>
      <c r="ES32" s="272">
        <v>5725543</v>
      </c>
      <c r="ET32" s="272">
        <v>3709402</v>
      </c>
      <c r="EU32" s="272">
        <v>1017856</v>
      </c>
      <c r="EV32" s="272">
        <v>2624372</v>
      </c>
      <c r="EW32" s="455">
        <f t="shared" si="13"/>
        <v>862137</v>
      </c>
      <c r="EX32" s="272">
        <v>862137</v>
      </c>
      <c r="EY32" s="272">
        <v>4177</v>
      </c>
      <c r="EZ32" s="272">
        <v>857766</v>
      </c>
      <c r="FA32" s="272">
        <v>0</v>
      </c>
      <c r="FB32" s="272"/>
      <c r="FC32" s="272">
        <v>1663320</v>
      </c>
      <c r="FD32" s="272">
        <v>970670</v>
      </c>
      <c r="FE32" s="272">
        <v>505850</v>
      </c>
      <c r="FF32" s="272">
        <v>1936737</v>
      </c>
      <c r="FG32" s="455">
        <f t="shared" si="14"/>
        <v>478502</v>
      </c>
      <c r="FH32" s="272">
        <v>15279137</v>
      </c>
      <c r="FI32" s="384">
        <f t="shared" si="15"/>
        <v>1.1000000000000001</v>
      </c>
      <c r="FJ32" s="272">
        <v>11406251</v>
      </c>
      <c r="FK32" s="272">
        <v>708081</v>
      </c>
      <c r="FL32" s="272">
        <v>7313116</v>
      </c>
      <c r="FM32" s="272">
        <v>9081345</v>
      </c>
      <c r="FN32" s="460">
        <v>0.78700000000000003</v>
      </c>
      <c r="FO32" s="388">
        <v>98.7</v>
      </c>
      <c r="FP32" s="388">
        <v>41.6</v>
      </c>
      <c r="FQ32" s="388">
        <v>8</v>
      </c>
      <c r="FR32" s="388">
        <v>19.3</v>
      </c>
      <c r="FS32" s="388">
        <v>11.9</v>
      </c>
      <c r="FT32" s="388">
        <v>6.5</v>
      </c>
      <c r="FU32" s="388">
        <v>10.8</v>
      </c>
      <c r="FV32" s="388">
        <v>17</v>
      </c>
      <c r="FW32" s="272">
        <v>24698419</v>
      </c>
      <c r="FX32" s="384">
        <f t="shared" si="16"/>
        <v>216.5</v>
      </c>
      <c r="FY32" s="272">
        <v>1808211</v>
      </c>
      <c r="FZ32" s="272">
        <v>0</v>
      </c>
      <c r="GA32" s="272">
        <v>61411</v>
      </c>
      <c r="GB32" s="272">
        <v>1746800</v>
      </c>
      <c r="GC32" s="272">
        <v>450000</v>
      </c>
      <c r="GD32" s="272">
        <v>10092494</v>
      </c>
      <c r="GE32" s="384">
        <f t="shared" si="17"/>
        <v>88.5</v>
      </c>
      <c r="GF32" s="388">
        <v>95.8</v>
      </c>
      <c r="GG32" s="388">
        <v>17.899999999999999</v>
      </c>
      <c r="GH32" s="388">
        <v>81.900000000000006</v>
      </c>
      <c r="GI32" s="272">
        <v>580</v>
      </c>
      <c r="GJ32" s="394"/>
      <c r="GK32" s="394"/>
      <c r="GL32" s="394"/>
      <c r="GM32" s="394"/>
      <c r="GN32" s="394"/>
      <c r="GO32" s="394"/>
      <c r="GP32" s="394"/>
      <c r="GQ32" s="394"/>
      <c r="GR32" s="394"/>
      <c r="GS32" s="394"/>
      <c r="GT32" s="394"/>
      <c r="GU32" s="394"/>
      <c r="GV32" s="394"/>
      <c r="GW32" s="394"/>
      <c r="GX32" s="394"/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</row>
    <row r="33" spans="2:230" x14ac:dyDescent="0.15">
      <c r="B33" s="89" t="s">
        <v>59</v>
      </c>
      <c r="C33" s="272">
        <v>6526103</v>
      </c>
      <c r="D33" s="455">
        <f t="shared" si="0"/>
        <v>2374970</v>
      </c>
      <c r="E33" s="272">
        <v>65118</v>
      </c>
      <c r="F33" s="272">
        <v>2309852</v>
      </c>
      <c r="G33" s="455">
        <f t="shared" si="1"/>
        <v>269031</v>
      </c>
      <c r="H33" s="272">
        <v>97913</v>
      </c>
      <c r="I33" s="272">
        <v>171118</v>
      </c>
      <c r="J33" s="272">
        <v>2918495</v>
      </c>
      <c r="K33" s="272">
        <v>1392570</v>
      </c>
      <c r="L33" s="272">
        <v>1281239</v>
      </c>
      <c r="M33" s="272">
        <v>228861</v>
      </c>
      <c r="N33" s="272">
        <v>281790</v>
      </c>
      <c r="O33" s="272">
        <v>634070</v>
      </c>
      <c r="P33" s="272">
        <v>359319</v>
      </c>
      <c r="Q33" s="272">
        <v>274751</v>
      </c>
      <c r="R33" s="272">
        <v>326672</v>
      </c>
      <c r="S33" s="272">
        <v>193892</v>
      </c>
      <c r="T33" s="455">
        <f t="shared" si="2"/>
        <v>724249</v>
      </c>
      <c r="U33" s="272">
        <v>55005</v>
      </c>
      <c r="V33" s="272">
        <v>30018</v>
      </c>
      <c r="W33" s="272">
        <v>37278</v>
      </c>
      <c r="X33" s="272">
        <v>434172</v>
      </c>
      <c r="Y33" s="272">
        <v>33647</v>
      </c>
      <c r="Z33" s="272">
        <v>0</v>
      </c>
      <c r="AA33" s="272">
        <v>134129</v>
      </c>
      <c r="AB33" s="272">
        <v>224882</v>
      </c>
      <c r="AC33" s="272">
        <v>3352474</v>
      </c>
      <c r="AD33" s="272">
        <v>3040420</v>
      </c>
      <c r="AE33" s="272">
        <v>312054</v>
      </c>
      <c r="AF33" s="272">
        <v>10807</v>
      </c>
      <c r="AG33" s="272">
        <v>119618</v>
      </c>
      <c r="AH33" s="455">
        <f t="shared" si="3"/>
        <v>318712</v>
      </c>
      <c r="AI33" s="272">
        <v>211106</v>
      </c>
      <c r="AJ33" s="272">
        <v>107606</v>
      </c>
      <c r="AK33" s="272">
        <v>1902910</v>
      </c>
      <c r="AL33" s="455">
        <f t="shared" si="4"/>
        <v>1342211</v>
      </c>
      <c r="AM33" s="272">
        <v>780910</v>
      </c>
      <c r="AN33" s="272">
        <v>560042</v>
      </c>
      <c r="AO33" s="272">
        <v>0</v>
      </c>
      <c r="AP33" s="272">
        <v>1259</v>
      </c>
      <c r="AQ33" s="272">
        <v>256322</v>
      </c>
      <c r="AR33" s="272">
        <v>7583</v>
      </c>
      <c r="AS33" s="272">
        <v>0</v>
      </c>
      <c r="AT33" s="272">
        <v>854239</v>
      </c>
      <c r="AU33" s="272">
        <v>349689</v>
      </c>
      <c r="AV33" s="272">
        <v>115781</v>
      </c>
      <c r="AW33" s="272">
        <v>0</v>
      </c>
      <c r="AX33" s="272">
        <v>504550</v>
      </c>
      <c r="AY33" s="272">
        <v>23048</v>
      </c>
      <c r="AZ33" s="272">
        <v>125216</v>
      </c>
      <c r="BA33" s="272">
        <v>115387</v>
      </c>
      <c r="BB33" s="272">
        <v>7176</v>
      </c>
      <c r="BC33" s="272">
        <v>573765</v>
      </c>
      <c r="BD33" s="272">
        <v>0</v>
      </c>
      <c r="BE33" s="272">
        <v>25000</v>
      </c>
      <c r="BF33" s="272">
        <v>2765</v>
      </c>
      <c r="BG33" s="272">
        <v>546000</v>
      </c>
      <c r="BH33" s="272">
        <v>0</v>
      </c>
      <c r="BI33" s="272">
        <v>0</v>
      </c>
      <c r="BJ33" s="272">
        <v>247529</v>
      </c>
      <c r="BK33" s="272">
        <v>0</v>
      </c>
      <c r="BL33" s="272">
        <v>0</v>
      </c>
      <c r="BM33" s="272">
        <v>0</v>
      </c>
      <c r="BN33" s="272">
        <v>1527400</v>
      </c>
      <c r="BO33" s="455">
        <f t="shared" si="5"/>
        <v>800200</v>
      </c>
      <c r="BP33" s="455">
        <f t="shared" si="6"/>
        <v>727200</v>
      </c>
      <c r="BQ33" s="272">
        <v>85200</v>
      </c>
      <c r="BR33" s="272"/>
      <c r="BS33" s="272">
        <v>642000</v>
      </c>
      <c r="BT33" s="272">
        <v>0</v>
      </c>
      <c r="BU33" s="272">
        <v>16841752</v>
      </c>
      <c r="BV33" s="272"/>
      <c r="BW33" s="272">
        <v>4772410</v>
      </c>
      <c r="BX33" s="272">
        <v>3273525</v>
      </c>
      <c r="BY33" s="272">
        <v>571091</v>
      </c>
      <c r="BZ33" s="272">
        <v>105830</v>
      </c>
      <c r="CA33" s="272">
        <v>2848169</v>
      </c>
      <c r="CB33" s="272">
        <v>393956</v>
      </c>
      <c r="CC33" s="272">
        <v>134815</v>
      </c>
      <c r="CD33" s="272">
        <v>1194867</v>
      </c>
      <c r="CE33" s="272">
        <v>1040332</v>
      </c>
      <c r="CF33" s="272">
        <v>10240</v>
      </c>
      <c r="CG33" s="272">
        <v>73806</v>
      </c>
      <c r="CH33" s="272">
        <v>1966045</v>
      </c>
      <c r="CI33" s="272">
        <v>1550242</v>
      </c>
      <c r="CJ33" s="455">
        <f t="shared" si="7"/>
        <v>415803</v>
      </c>
      <c r="CK33" s="272">
        <v>2294186</v>
      </c>
      <c r="CL33" s="272">
        <v>1313068</v>
      </c>
      <c r="CM33" s="272">
        <v>301572</v>
      </c>
      <c r="CN33" s="272">
        <v>307047</v>
      </c>
      <c r="CO33" s="272">
        <v>25268</v>
      </c>
      <c r="CP33" s="272">
        <v>1244836</v>
      </c>
      <c r="CQ33" s="272">
        <v>440489</v>
      </c>
      <c r="CR33" s="272">
        <v>371060</v>
      </c>
      <c r="CS33" s="272">
        <v>247563</v>
      </c>
      <c r="CT33" s="455">
        <f t="shared" si="8"/>
        <v>17761</v>
      </c>
      <c r="CU33" s="272">
        <v>12774</v>
      </c>
      <c r="CV33" s="272">
        <v>4987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1186256</v>
      </c>
      <c r="DD33" s="272">
        <v>589016</v>
      </c>
      <c r="DE33" s="272">
        <v>597240</v>
      </c>
      <c r="DF33" s="272">
        <v>0</v>
      </c>
      <c r="DG33" s="272">
        <v>0</v>
      </c>
      <c r="DH33" s="272">
        <v>26952</v>
      </c>
      <c r="DI33" s="272">
        <v>72936</v>
      </c>
      <c r="DJ33" s="272">
        <v>9</v>
      </c>
      <c r="DK33" s="272">
        <v>58</v>
      </c>
      <c r="DL33" s="272">
        <v>72869</v>
      </c>
      <c r="DM33" s="272">
        <v>0</v>
      </c>
      <c r="DN33" s="272">
        <v>0</v>
      </c>
      <c r="DO33" s="272">
        <v>0</v>
      </c>
      <c r="DP33" s="272">
        <v>0</v>
      </c>
      <c r="DQ33" s="272">
        <v>0</v>
      </c>
      <c r="DR33" s="272">
        <v>0</v>
      </c>
      <c r="DS33" s="272">
        <v>0</v>
      </c>
      <c r="DT33" s="272">
        <v>2182953</v>
      </c>
      <c r="DU33" s="272">
        <v>1108832</v>
      </c>
      <c r="DV33" s="455">
        <f t="shared" si="11"/>
        <v>0</v>
      </c>
      <c r="DW33" s="272">
        <v>0</v>
      </c>
      <c r="DX33" s="272"/>
      <c r="DY33" s="272">
        <v>0</v>
      </c>
      <c r="DZ33" s="272">
        <v>523766</v>
      </c>
      <c r="EA33" s="272">
        <v>237922</v>
      </c>
      <c r="EB33" s="272">
        <v>312433</v>
      </c>
      <c r="EC33" s="272">
        <v>903100</v>
      </c>
      <c r="ED33" s="272">
        <v>17523111</v>
      </c>
      <c r="EF33" s="272">
        <v>-681359</v>
      </c>
      <c r="EG33" s="272">
        <v>11886</v>
      </c>
      <c r="EH33" s="272">
        <v>-693245</v>
      </c>
      <c r="EI33" s="71">
        <v>229596</v>
      </c>
      <c r="EJ33" s="272">
        <v>229605</v>
      </c>
      <c r="EL33" s="272">
        <v>57342</v>
      </c>
      <c r="EM33" s="272">
        <v>56839</v>
      </c>
      <c r="EN33" s="272">
        <v>571000</v>
      </c>
      <c r="EO33" s="272">
        <v>123510</v>
      </c>
      <c r="EP33" s="455">
        <f t="shared" si="12"/>
        <v>226979</v>
      </c>
      <c r="EQ33" s="272">
        <v>11165187</v>
      </c>
      <c r="ER33" s="272">
        <v>-1637882</v>
      </c>
      <c r="ES33" s="272">
        <v>4442575</v>
      </c>
      <c r="ET33" s="272">
        <v>3068946</v>
      </c>
      <c r="EU33" s="272">
        <v>917508</v>
      </c>
      <c r="EV33" s="272">
        <v>1963871</v>
      </c>
      <c r="EW33" s="455">
        <f t="shared" si="13"/>
        <v>98754</v>
      </c>
      <c r="EX33" s="272">
        <v>90132</v>
      </c>
      <c r="EY33" s="272">
        <v>3294</v>
      </c>
      <c r="EZ33" s="272">
        <v>86838</v>
      </c>
      <c r="FA33" s="272">
        <v>8622</v>
      </c>
      <c r="FB33" s="272"/>
      <c r="FC33" s="272">
        <v>1994565</v>
      </c>
      <c r="FD33" s="272">
        <v>1102679</v>
      </c>
      <c r="FE33" s="272">
        <v>440489</v>
      </c>
      <c r="FF33" s="272">
        <v>1966183</v>
      </c>
      <c r="FG33" s="455">
        <f t="shared" si="14"/>
        <v>998293</v>
      </c>
      <c r="FH33" s="272">
        <v>13484428</v>
      </c>
      <c r="FI33" s="384">
        <f t="shared" si="15"/>
        <v>-6.9</v>
      </c>
      <c r="FJ33" s="272">
        <v>10012550</v>
      </c>
      <c r="FK33" s="272">
        <v>642004</v>
      </c>
      <c r="FL33" s="272">
        <v>5314337</v>
      </c>
      <c r="FM33" s="272">
        <v>8347631</v>
      </c>
      <c r="FN33" s="460">
        <v>0.625</v>
      </c>
      <c r="FO33" s="388">
        <v>105.3</v>
      </c>
      <c r="FP33" s="388">
        <v>37.799999999999997</v>
      </c>
      <c r="FQ33" s="388">
        <v>8.3000000000000007</v>
      </c>
      <c r="FR33" s="388">
        <v>17.8</v>
      </c>
      <c r="FS33" s="388">
        <v>17.100000000000001</v>
      </c>
      <c r="FT33" s="388">
        <v>7.4</v>
      </c>
      <c r="FU33" s="388">
        <v>16.600000000000001</v>
      </c>
      <c r="FV33" s="388">
        <v>16.600000000000001</v>
      </c>
      <c r="FW33" s="272">
        <v>21854488</v>
      </c>
      <c r="FX33" s="384">
        <f t="shared" si="16"/>
        <v>218.3</v>
      </c>
      <c r="FY33" s="272">
        <v>1709243</v>
      </c>
      <c r="FZ33" s="272">
        <v>4322</v>
      </c>
      <c r="GA33" s="272">
        <v>551</v>
      </c>
      <c r="GB33" s="272">
        <v>1704370</v>
      </c>
      <c r="GC33" s="272">
        <v>1358500</v>
      </c>
      <c r="GD33" s="272">
        <v>5175190</v>
      </c>
      <c r="GE33" s="384">
        <f t="shared" si="17"/>
        <v>51.7</v>
      </c>
      <c r="GF33" s="388">
        <v>98.2</v>
      </c>
      <c r="GG33" s="388">
        <v>21.2</v>
      </c>
      <c r="GH33" s="388">
        <v>91.8</v>
      </c>
      <c r="GI33" s="272">
        <v>449</v>
      </c>
      <c r="GJ33" s="394"/>
      <c r="GK33" s="394"/>
      <c r="GL33" s="394"/>
      <c r="GM33" s="394"/>
      <c r="GN33" s="394"/>
      <c r="GO33" s="394"/>
      <c r="GP33" s="394"/>
      <c r="GQ33" s="394"/>
      <c r="GR33" s="394"/>
      <c r="GS33" s="394"/>
      <c r="GT33" s="394"/>
      <c r="GU33" s="394"/>
      <c r="GV33" s="394"/>
      <c r="GW33" s="394"/>
      <c r="GX33" s="394"/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</row>
    <row r="34" spans="2:230" x14ac:dyDescent="0.15">
      <c r="B34" s="89" t="s">
        <v>61</v>
      </c>
      <c r="C34" s="272">
        <v>9020429</v>
      </c>
      <c r="D34" s="455">
        <f t="shared" si="0"/>
        <v>3902610</v>
      </c>
      <c r="E34" s="272">
        <v>90995</v>
      </c>
      <c r="F34" s="272">
        <v>3811615</v>
      </c>
      <c r="G34" s="455">
        <f t="shared" si="1"/>
        <v>346059</v>
      </c>
      <c r="H34" s="272">
        <v>105472</v>
      </c>
      <c r="I34" s="272">
        <v>240587</v>
      </c>
      <c r="J34" s="272">
        <v>3561607</v>
      </c>
      <c r="K34" s="272">
        <v>1565573</v>
      </c>
      <c r="L34" s="272">
        <v>1527753</v>
      </c>
      <c r="M34" s="272">
        <v>418121</v>
      </c>
      <c r="N34" s="272">
        <v>337973</v>
      </c>
      <c r="O34" s="272">
        <v>806524</v>
      </c>
      <c r="P34" s="272">
        <v>473458</v>
      </c>
      <c r="Q34" s="272">
        <v>333066</v>
      </c>
      <c r="R34" s="272">
        <v>446728</v>
      </c>
      <c r="S34" s="272">
        <v>270494</v>
      </c>
      <c r="T34" s="455">
        <f t="shared" si="2"/>
        <v>1061704</v>
      </c>
      <c r="U34" s="272">
        <v>90302</v>
      </c>
      <c r="V34" s="272">
        <v>49234</v>
      </c>
      <c r="W34" s="272">
        <v>60983</v>
      </c>
      <c r="X34" s="272">
        <v>593038</v>
      </c>
      <c r="Y34" s="272">
        <v>90115</v>
      </c>
      <c r="Z34" s="272">
        <v>0</v>
      </c>
      <c r="AA34" s="272">
        <v>178032</v>
      </c>
      <c r="AB34" s="272">
        <v>366899</v>
      </c>
      <c r="AC34" s="272">
        <v>3137190</v>
      </c>
      <c r="AD34" s="272">
        <v>2937170</v>
      </c>
      <c r="AE34" s="272">
        <v>200020</v>
      </c>
      <c r="AF34" s="272">
        <v>13646</v>
      </c>
      <c r="AG34" s="272">
        <v>211400</v>
      </c>
      <c r="AH34" s="455">
        <f t="shared" si="3"/>
        <v>301433</v>
      </c>
      <c r="AI34" s="272">
        <v>202738</v>
      </c>
      <c r="AJ34" s="272">
        <v>98695</v>
      </c>
      <c r="AK34" s="272">
        <v>1591354</v>
      </c>
      <c r="AL34" s="455">
        <f t="shared" si="4"/>
        <v>740531</v>
      </c>
      <c r="AM34" s="272">
        <v>552409</v>
      </c>
      <c r="AN34" s="272">
        <v>187949</v>
      </c>
      <c r="AO34" s="272">
        <v>0</v>
      </c>
      <c r="AP34" s="272">
        <v>173</v>
      </c>
      <c r="AQ34" s="272">
        <v>12767</v>
      </c>
      <c r="AR34" s="272">
        <v>0</v>
      </c>
      <c r="AS34" s="272">
        <v>0</v>
      </c>
      <c r="AT34" s="272">
        <v>979856</v>
      </c>
      <c r="AU34" s="272">
        <v>383116</v>
      </c>
      <c r="AV34" s="272">
        <v>95359</v>
      </c>
      <c r="AW34" s="272">
        <v>0</v>
      </c>
      <c r="AX34" s="272">
        <v>596740</v>
      </c>
      <c r="AY34" s="272">
        <v>29700</v>
      </c>
      <c r="AZ34" s="272">
        <v>315103</v>
      </c>
      <c r="BA34" s="272">
        <v>304032</v>
      </c>
      <c r="BB34" s="272">
        <v>21233</v>
      </c>
      <c r="BC34" s="272">
        <v>986651</v>
      </c>
      <c r="BD34" s="272">
        <v>0</v>
      </c>
      <c r="BE34" s="272">
        <v>130000</v>
      </c>
      <c r="BF34" s="272">
        <v>820000</v>
      </c>
      <c r="BG34" s="272">
        <v>0</v>
      </c>
      <c r="BH34" s="272">
        <v>39308</v>
      </c>
      <c r="BI34" s="272">
        <v>39252</v>
      </c>
      <c r="BJ34" s="272">
        <v>1751973</v>
      </c>
      <c r="BK34" s="272">
        <v>1500000</v>
      </c>
      <c r="BL34" s="272">
        <v>0</v>
      </c>
      <c r="BM34" s="272">
        <v>0</v>
      </c>
      <c r="BN34" s="272">
        <v>2482300</v>
      </c>
      <c r="BO34" s="455">
        <f t="shared" si="5"/>
        <v>1480700</v>
      </c>
      <c r="BP34" s="455">
        <f t="shared" si="6"/>
        <v>1001600</v>
      </c>
      <c r="BQ34" s="272">
        <v>135800</v>
      </c>
      <c r="BR34" s="272"/>
      <c r="BS34" s="272">
        <v>865800</v>
      </c>
      <c r="BT34" s="272">
        <v>0</v>
      </c>
      <c r="BU34" s="272">
        <v>22727207</v>
      </c>
      <c r="BV34" s="272"/>
      <c r="BW34" s="272">
        <v>6034336</v>
      </c>
      <c r="BX34" s="272">
        <v>3764376</v>
      </c>
      <c r="BY34" s="272">
        <v>937588</v>
      </c>
      <c r="BZ34" s="272">
        <v>365718</v>
      </c>
      <c r="CA34" s="272">
        <v>3120494</v>
      </c>
      <c r="CB34" s="272">
        <v>687799</v>
      </c>
      <c r="CC34" s="272">
        <v>132448</v>
      </c>
      <c r="CD34" s="272">
        <v>1403840</v>
      </c>
      <c r="CE34" s="272">
        <v>740252</v>
      </c>
      <c r="CF34" s="272">
        <v>20</v>
      </c>
      <c r="CG34" s="272">
        <v>156135</v>
      </c>
      <c r="CH34" s="272">
        <v>3845562</v>
      </c>
      <c r="CI34" s="272">
        <v>3045636</v>
      </c>
      <c r="CJ34" s="455">
        <f t="shared" si="7"/>
        <v>799926</v>
      </c>
      <c r="CK34" s="272">
        <v>2564617</v>
      </c>
      <c r="CL34" s="272">
        <v>1389438</v>
      </c>
      <c r="CM34" s="272">
        <v>199640</v>
      </c>
      <c r="CN34" s="272">
        <v>513355</v>
      </c>
      <c r="CO34" s="272">
        <v>99736</v>
      </c>
      <c r="CP34" s="272">
        <v>1082144</v>
      </c>
      <c r="CQ34" s="272">
        <v>451241</v>
      </c>
      <c r="CR34" s="272">
        <v>304271</v>
      </c>
      <c r="CS34" s="272">
        <v>239516</v>
      </c>
      <c r="CT34" s="455">
        <f t="shared" si="8"/>
        <v>8533</v>
      </c>
      <c r="CU34" s="272">
        <v>8533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2408822</v>
      </c>
      <c r="DD34" s="272">
        <v>26277</v>
      </c>
      <c r="DE34" s="272">
        <v>2382545</v>
      </c>
      <c r="DF34" s="272">
        <v>0</v>
      </c>
      <c r="DG34" s="272">
        <v>0</v>
      </c>
      <c r="DH34" s="272">
        <v>7571</v>
      </c>
      <c r="DI34" s="272">
        <v>33232</v>
      </c>
      <c r="DJ34" s="272">
        <v>29384</v>
      </c>
      <c r="DK34" s="272">
        <v>781</v>
      </c>
      <c r="DL34" s="272">
        <v>3067</v>
      </c>
      <c r="DM34" s="272">
        <v>0</v>
      </c>
      <c r="DN34" s="272">
        <v>0</v>
      </c>
      <c r="DO34" s="272">
        <v>0</v>
      </c>
      <c r="DP34" s="272">
        <v>0</v>
      </c>
      <c r="DQ34" s="272">
        <v>1500000</v>
      </c>
      <c r="DR34" s="272">
        <v>0</v>
      </c>
      <c r="DS34" s="272">
        <v>0</v>
      </c>
      <c r="DT34" s="272">
        <v>1928867</v>
      </c>
      <c r="DU34" s="272">
        <v>500000</v>
      </c>
      <c r="DV34" s="455">
        <f t="shared" si="11"/>
        <v>0</v>
      </c>
      <c r="DW34" s="272">
        <v>0</v>
      </c>
      <c r="DX34" s="272"/>
      <c r="DY34" s="272">
        <v>0</v>
      </c>
      <c r="DZ34" s="272">
        <v>519607</v>
      </c>
      <c r="EA34" s="272">
        <v>361499</v>
      </c>
      <c r="EB34" s="272">
        <v>547761</v>
      </c>
      <c r="EC34" s="272">
        <v>0</v>
      </c>
      <c r="ED34" s="272">
        <v>22625381</v>
      </c>
      <c r="EF34" s="272">
        <v>101826</v>
      </c>
      <c r="EG34" s="272">
        <v>37995</v>
      </c>
      <c r="EH34" s="272">
        <v>63831</v>
      </c>
      <c r="EI34" s="71">
        <v>24579</v>
      </c>
      <c r="EJ34" s="272">
        <v>53963</v>
      </c>
      <c r="EL34" s="272">
        <v>77644</v>
      </c>
      <c r="EM34" s="272">
        <v>78532</v>
      </c>
      <c r="EN34" s="272">
        <v>463156</v>
      </c>
      <c r="EO34" s="272">
        <v>312526</v>
      </c>
      <c r="EP34" s="455">
        <f t="shared" si="12"/>
        <v>1822492</v>
      </c>
      <c r="EQ34" s="272">
        <v>14046596</v>
      </c>
      <c r="ER34" s="272">
        <v>-3586128</v>
      </c>
      <c r="ES34" s="272">
        <v>5760828</v>
      </c>
      <c r="ET34" s="272">
        <v>3551640</v>
      </c>
      <c r="EU34" s="272">
        <v>1015286</v>
      </c>
      <c r="EV34" s="272">
        <v>3845562</v>
      </c>
      <c r="EW34" s="455">
        <f t="shared" si="13"/>
        <v>770528</v>
      </c>
      <c r="EX34" s="272">
        <v>765157</v>
      </c>
      <c r="EY34" s="272">
        <v>1265</v>
      </c>
      <c r="EZ34" s="272">
        <v>763892</v>
      </c>
      <c r="FA34" s="272">
        <v>5371</v>
      </c>
      <c r="FB34" s="272"/>
      <c r="FC34" s="272">
        <v>2057601</v>
      </c>
      <c r="FD34" s="272">
        <v>907761</v>
      </c>
      <c r="FE34" s="272">
        <v>451241</v>
      </c>
      <c r="FF34" s="272">
        <v>1556427</v>
      </c>
      <c r="FG34" s="455">
        <f t="shared" si="14"/>
        <v>1616905</v>
      </c>
      <c r="FH34" s="272">
        <v>17530898</v>
      </c>
      <c r="FI34" s="384">
        <f t="shared" si="15"/>
        <v>0.5</v>
      </c>
      <c r="FJ34" s="272">
        <v>12890114</v>
      </c>
      <c r="FK34" s="272">
        <v>865817</v>
      </c>
      <c r="FL34" s="272">
        <v>7579314</v>
      </c>
      <c r="FM34" s="272">
        <v>10520494</v>
      </c>
      <c r="FN34" s="460">
        <v>0.70099999999999996</v>
      </c>
      <c r="FO34" s="388">
        <v>98.9</v>
      </c>
      <c r="FP34" s="388">
        <v>35.200000000000003</v>
      </c>
      <c r="FQ34" s="388">
        <v>7.2</v>
      </c>
      <c r="FR34" s="388">
        <v>27.2</v>
      </c>
      <c r="FS34" s="388">
        <v>13.7</v>
      </c>
      <c r="FT34" s="388">
        <v>6</v>
      </c>
      <c r="FU34" s="388">
        <v>9.1999999999999993</v>
      </c>
      <c r="FV34" s="388">
        <v>17.3</v>
      </c>
      <c r="FW34" s="272">
        <v>35374607</v>
      </c>
      <c r="FX34" s="384">
        <f t="shared" si="16"/>
        <v>274.39999999999998</v>
      </c>
      <c r="FY34" s="272">
        <v>3026099</v>
      </c>
      <c r="FZ34" s="272">
        <v>545903</v>
      </c>
      <c r="GA34" s="272">
        <v>571161</v>
      </c>
      <c r="GB34" s="272">
        <v>1909035</v>
      </c>
      <c r="GC34" s="272"/>
      <c r="GD34" s="272">
        <v>23724714</v>
      </c>
      <c r="GE34" s="384">
        <f t="shared" si="17"/>
        <v>184.1</v>
      </c>
      <c r="GF34" s="388">
        <v>97.8</v>
      </c>
      <c r="GG34" s="388">
        <v>17.3</v>
      </c>
      <c r="GH34" s="388">
        <v>90.7</v>
      </c>
      <c r="GI34" s="272">
        <v>536</v>
      </c>
      <c r="GJ34" s="394"/>
      <c r="GK34" s="394"/>
      <c r="GL34" s="394"/>
      <c r="GM34" s="394"/>
      <c r="GN34" s="394"/>
      <c r="GO34" s="394"/>
      <c r="GP34" s="394"/>
      <c r="GQ34" s="394"/>
      <c r="GR34" s="394"/>
      <c r="GS34" s="394"/>
      <c r="GT34" s="394"/>
      <c r="GU34" s="394"/>
      <c r="GV34" s="394"/>
      <c r="GW34" s="394"/>
      <c r="GX34" s="394"/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</row>
    <row r="35" spans="2:230" x14ac:dyDescent="0.15">
      <c r="B35" s="89" t="s">
        <v>63</v>
      </c>
      <c r="C35" s="272">
        <v>7364325</v>
      </c>
      <c r="D35" s="455">
        <f t="shared" si="0"/>
        <v>3280595</v>
      </c>
      <c r="E35" s="272">
        <v>67373</v>
      </c>
      <c r="F35" s="272">
        <v>3213222</v>
      </c>
      <c r="G35" s="455">
        <f t="shared" si="1"/>
        <v>510938</v>
      </c>
      <c r="H35" s="272">
        <v>104351</v>
      </c>
      <c r="I35" s="272">
        <v>406587</v>
      </c>
      <c r="J35" s="272">
        <v>2793288</v>
      </c>
      <c r="K35" s="272">
        <v>1189854</v>
      </c>
      <c r="L35" s="272">
        <v>1265837</v>
      </c>
      <c r="M35" s="272">
        <v>302598</v>
      </c>
      <c r="N35" s="272">
        <v>344262</v>
      </c>
      <c r="O35" s="272">
        <v>381885</v>
      </c>
      <c r="P35" s="272">
        <v>212836</v>
      </c>
      <c r="Q35" s="272">
        <v>169049</v>
      </c>
      <c r="R35" s="272">
        <v>344687</v>
      </c>
      <c r="S35" s="272">
        <v>200432</v>
      </c>
      <c r="T35" s="455">
        <f t="shared" si="2"/>
        <v>788007</v>
      </c>
      <c r="U35" s="272">
        <v>71781</v>
      </c>
      <c r="V35" s="272">
        <v>39226</v>
      </c>
      <c r="W35" s="272">
        <v>48891</v>
      </c>
      <c r="X35" s="272">
        <v>482394</v>
      </c>
      <c r="Y35" s="272">
        <v>0</v>
      </c>
      <c r="Z35" s="272">
        <v>0</v>
      </c>
      <c r="AA35" s="272">
        <v>145715</v>
      </c>
      <c r="AB35" s="272">
        <v>335114</v>
      </c>
      <c r="AC35" s="272">
        <v>2307895</v>
      </c>
      <c r="AD35" s="272">
        <v>2029824</v>
      </c>
      <c r="AE35" s="272">
        <v>278071</v>
      </c>
      <c r="AF35" s="272">
        <v>12362</v>
      </c>
      <c r="AG35" s="272">
        <v>122915</v>
      </c>
      <c r="AH35" s="455">
        <f t="shared" si="3"/>
        <v>316591</v>
      </c>
      <c r="AI35" s="272">
        <v>279126</v>
      </c>
      <c r="AJ35" s="272">
        <v>37465</v>
      </c>
      <c r="AK35" s="272">
        <v>1749175</v>
      </c>
      <c r="AL35" s="455">
        <f t="shared" si="4"/>
        <v>786184</v>
      </c>
      <c r="AM35" s="272">
        <v>704399</v>
      </c>
      <c r="AN35" s="272">
        <v>81747</v>
      </c>
      <c r="AO35" s="272">
        <v>0</v>
      </c>
      <c r="AP35" s="272">
        <v>38</v>
      </c>
      <c r="AQ35" s="272">
        <v>331834</v>
      </c>
      <c r="AR35" s="272">
        <v>0</v>
      </c>
      <c r="AS35" s="272">
        <v>0</v>
      </c>
      <c r="AT35" s="272">
        <v>717237</v>
      </c>
      <c r="AU35" s="272">
        <v>261723</v>
      </c>
      <c r="AV35" s="272">
        <v>50398</v>
      </c>
      <c r="AW35" s="272">
        <v>0</v>
      </c>
      <c r="AX35" s="272">
        <v>455514</v>
      </c>
      <c r="AY35" s="272">
        <v>6896</v>
      </c>
      <c r="AZ35" s="272">
        <v>27180</v>
      </c>
      <c r="BA35" s="272">
        <v>23397</v>
      </c>
      <c r="BB35" s="272">
        <v>12999</v>
      </c>
      <c r="BC35" s="272">
        <v>174201</v>
      </c>
      <c r="BD35" s="272">
        <v>0</v>
      </c>
      <c r="BE35" s="272">
        <v>0</v>
      </c>
      <c r="BF35" s="272">
        <v>328</v>
      </c>
      <c r="BG35" s="272">
        <v>0</v>
      </c>
      <c r="BH35" s="272">
        <v>246590</v>
      </c>
      <c r="BI35" s="272">
        <v>219599</v>
      </c>
      <c r="BJ35" s="467">
        <v>152758</v>
      </c>
      <c r="BK35" s="272">
        <v>249</v>
      </c>
      <c r="BL35" s="272">
        <v>0</v>
      </c>
      <c r="BM35" s="272">
        <v>0</v>
      </c>
      <c r="BN35" s="272">
        <v>2219700</v>
      </c>
      <c r="BO35" s="455">
        <f t="shared" si="5"/>
        <v>1436000</v>
      </c>
      <c r="BP35" s="455">
        <f t="shared" si="6"/>
        <v>783700</v>
      </c>
      <c r="BQ35" s="272">
        <v>123500</v>
      </c>
      <c r="BR35" s="272"/>
      <c r="BS35" s="272">
        <v>660200</v>
      </c>
      <c r="BT35" s="272">
        <v>0</v>
      </c>
      <c r="BU35" s="467">
        <v>16903175</v>
      </c>
      <c r="BV35" s="272"/>
      <c r="BW35" s="467">
        <v>4400414</v>
      </c>
      <c r="BX35" s="467">
        <v>3035969</v>
      </c>
      <c r="BY35" s="272">
        <v>538842</v>
      </c>
      <c r="BZ35" s="467">
        <v>52347</v>
      </c>
      <c r="CA35" s="272">
        <v>2292364</v>
      </c>
      <c r="CB35" s="272">
        <v>342252</v>
      </c>
      <c r="CC35" s="272">
        <v>77659</v>
      </c>
      <c r="CD35" s="272">
        <v>882409</v>
      </c>
      <c r="CE35" s="272">
        <v>938277</v>
      </c>
      <c r="CF35" s="272">
        <v>0</v>
      </c>
      <c r="CG35" s="272">
        <v>51767</v>
      </c>
      <c r="CH35" s="467">
        <v>3365758</v>
      </c>
      <c r="CI35" s="467">
        <v>2897066</v>
      </c>
      <c r="CJ35" s="455">
        <f t="shared" si="7"/>
        <v>468692</v>
      </c>
      <c r="CK35" s="467">
        <v>2083963</v>
      </c>
      <c r="CL35" s="467">
        <v>1291290</v>
      </c>
      <c r="CM35" s="467">
        <v>129368</v>
      </c>
      <c r="CN35" s="467">
        <v>319697</v>
      </c>
      <c r="CO35" s="272">
        <v>21510</v>
      </c>
      <c r="CP35" s="467">
        <v>1284722</v>
      </c>
      <c r="CQ35" s="467">
        <v>440365</v>
      </c>
      <c r="CR35" s="272">
        <v>352227</v>
      </c>
      <c r="CS35" s="272">
        <v>311641</v>
      </c>
      <c r="CT35" s="455">
        <f t="shared" si="8"/>
        <v>12912</v>
      </c>
      <c r="CU35" s="272">
        <v>12912</v>
      </c>
      <c r="CV35" s="272">
        <v>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1308505</v>
      </c>
      <c r="DD35" s="272">
        <v>308451</v>
      </c>
      <c r="DE35" s="272">
        <v>989059</v>
      </c>
      <c r="DF35" s="272">
        <v>10995</v>
      </c>
      <c r="DG35" s="272">
        <v>0</v>
      </c>
      <c r="DH35" s="272">
        <v>0</v>
      </c>
      <c r="DI35" s="467">
        <v>183770</v>
      </c>
      <c r="DJ35" s="272">
        <v>173000</v>
      </c>
      <c r="DK35" s="272">
        <v>100</v>
      </c>
      <c r="DL35" s="272">
        <v>10479</v>
      </c>
      <c r="DM35" s="272">
        <v>0</v>
      </c>
      <c r="DN35" s="272">
        <v>0</v>
      </c>
      <c r="DO35" s="272">
        <v>0</v>
      </c>
      <c r="DP35" s="272">
        <v>0</v>
      </c>
      <c r="DQ35" s="272">
        <v>288</v>
      </c>
      <c r="DR35" s="272">
        <v>0</v>
      </c>
      <c r="DS35" s="272">
        <v>0</v>
      </c>
      <c r="DT35" s="272">
        <v>1678681</v>
      </c>
      <c r="DU35" s="272">
        <v>562568</v>
      </c>
      <c r="DV35" s="455">
        <f t="shared" si="11"/>
        <v>0</v>
      </c>
      <c r="DW35" s="272">
        <v>0</v>
      </c>
      <c r="DX35" s="272"/>
      <c r="DY35" s="272">
        <v>0</v>
      </c>
      <c r="DZ35" s="272">
        <v>369450</v>
      </c>
      <c r="EA35" s="272">
        <v>267711</v>
      </c>
      <c r="EB35" s="272">
        <v>471553</v>
      </c>
      <c r="EC35" s="272">
        <v>0</v>
      </c>
      <c r="ED35" s="467">
        <v>16619975</v>
      </c>
      <c r="EF35" s="467">
        <v>283200</v>
      </c>
      <c r="EG35" s="272">
        <v>0</v>
      </c>
      <c r="EH35" s="467">
        <v>283200</v>
      </c>
      <c r="EI35" s="25">
        <v>63601</v>
      </c>
      <c r="EJ35" s="467">
        <v>236601</v>
      </c>
      <c r="EL35" s="272">
        <v>58208</v>
      </c>
      <c r="EM35" s="272">
        <v>57460</v>
      </c>
      <c r="EN35" s="272">
        <v>173873</v>
      </c>
      <c r="EO35" s="272">
        <v>10634</v>
      </c>
      <c r="EP35" s="455">
        <f t="shared" si="12"/>
        <v>1327315</v>
      </c>
      <c r="EQ35" s="272">
        <v>11152390</v>
      </c>
      <c r="ER35" s="272">
        <v>-2283160</v>
      </c>
      <c r="ES35" s="272">
        <v>4125450</v>
      </c>
      <c r="ET35" s="272">
        <v>2784540</v>
      </c>
      <c r="EU35" s="272">
        <v>684723</v>
      </c>
      <c r="EV35" s="272">
        <v>3362433</v>
      </c>
      <c r="EW35" s="455">
        <f t="shared" si="13"/>
        <v>332382</v>
      </c>
      <c r="EX35" s="272">
        <v>332382</v>
      </c>
      <c r="EY35" s="272">
        <v>6430</v>
      </c>
      <c r="EZ35" s="272">
        <v>319650</v>
      </c>
      <c r="FA35" s="272">
        <v>0</v>
      </c>
      <c r="FB35" s="272"/>
      <c r="FC35" s="272">
        <v>1727855</v>
      </c>
      <c r="FD35" s="272">
        <v>1225696</v>
      </c>
      <c r="FE35" s="272">
        <v>470334</v>
      </c>
      <c r="FF35" s="272">
        <v>1495366</v>
      </c>
      <c r="FG35" s="455">
        <f t="shared" si="14"/>
        <v>200059</v>
      </c>
      <c r="FH35" s="272">
        <v>13153964</v>
      </c>
      <c r="FI35" s="384">
        <f t="shared" si="15"/>
        <v>2.8</v>
      </c>
      <c r="FJ35" s="272">
        <v>10263733</v>
      </c>
      <c r="FK35" s="272">
        <v>660256</v>
      </c>
      <c r="FL35" s="272">
        <v>6264251</v>
      </c>
      <c r="FM35" s="272">
        <v>8305177</v>
      </c>
      <c r="FN35" s="460">
        <v>0.72699999999999998</v>
      </c>
      <c r="FO35" s="388">
        <v>95.5</v>
      </c>
      <c r="FP35" s="388">
        <v>33.200000000000003</v>
      </c>
      <c r="FQ35" s="388">
        <v>6</v>
      </c>
      <c r="FR35" s="388">
        <v>21.4</v>
      </c>
      <c r="FS35" s="388">
        <v>14.9</v>
      </c>
      <c r="FT35" s="388">
        <v>10</v>
      </c>
      <c r="FU35" s="388">
        <v>9.8000000000000007</v>
      </c>
      <c r="FV35" s="388">
        <v>15.4</v>
      </c>
      <c r="FW35" s="272">
        <v>21714610</v>
      </c>
      <c r="FX35" s="384">
        <f t="shared" si="16"/>
        <v>211.6</v>
      </c>
      <c r="FY35" s="272">
        <v>2815390</v>
      </c>
      <c r="FZ35" s="272">
        <v>1923000</v>
      </c>
      <c r="GA35" s="272">
        <v>36128</v>
      </c>
      <c r="GB35" s="272">
        <v>856262</v>
      </c>
      <c r="GC35" s="272"/>
      <c r="GD35" s="272">
        <v>1346517</v>
      </c>
      <c r="GE35" s="384">
        <f t="shared" si="17"/>
        <v>13.1</v>
      </c>
      <c r="GF35" s="388">
        <v>97.9</v>
      </c>
      <c r="GG35" s="388">
        <v>16.7</v>
      </c>
      <c r="GH35" s="388">
        <v>89.8</v>
      </c>
      <c r="GI35" s="272">
        <v>415</v>
      </c>
      <c r="GJ35" s="394"/>
      <c r="GK35" s="394"/>
      <c r="GL35" s="394"/>
      <c r="GM35" s="394"/>
      <c r="GN35" s="394"/>
      <c r="GO35" s="394"/>
      <c r="GP35" s="394"/>
      <c r="GQ35" s="394"/>
      <c r="GR35" s="394"/>
      <c r="GS35" s="394"/>
      <c r="GT35" s="394"/>
      <c r="GU35" s="394"/>
      <c r="GV35" s="394"/>
      <c r="GW35" s="394"/>
      <c r="GX35" s="394"/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</row>
    <row r="36" spans="2:230" x14ac:dyDescent="0.15">
      <c r="B36" s="89" t="s">
        <v>65</v>
      </c>
      <c r="C36" s="272">
        <v>5313895</v>
      </c>
      <c r="D36" s="455">
        <f t="shared" si="0"/>
        <v>2139072</v>
      </c>
      <c r="E36" s="272">
        <v>60869</v>
      </c>
      <c r="F36" s="272">
        <v>2078203</v>
      </c>
      <c r="G36" s="455">
        <f t="shared" si="1"/>
        <v>150325</v>
      </c>
      <c r="H36" s="272">
        <v>67033</v>
      </c>
      <c r="I36" s="272">
        <v>83292</v>
      </c>
      <c r="J36" s="272">
        <v>2322698</v>
      </c>
      <c r="K36" s="272">
        <v>971051</v>
      </c>
      <c r="L36" s="272">
        <v>1080375</v>
      </c>
      <c r="M36" s="272">
        <v>225167</v>
      </c>
      <c r="N36" s="272">
        <v>290856</v>
      </c>
      <c r="O36" s="272">
        <v>330424</v>
      </c>
      <c r="P36" s="272">
        <v>179778</v>
      </c>
      <c r="Q36" s="272">
        <v>150646</v>
      </c>
      <c r="R36" s="272">
        <v>359330</v>
      </c>
      <c r="S36" s="272">
        <v>204642</v>
      </c>
      <c r="T36" s="455">
        <f t="shared" si="2"/>
        <v>715795</v>
      </c>
      <c r="U36" s="272">
        <v>52826</v>
      </c>
      <c r="V36" s="272">
        <v>28760</v>
      </c>
      <c r="W36" s="272">
        <v>35486</v>
      </c>
      <c r="X36" s="272">
        <v>438272</v>
      </c>
      <c r="Y36" s="272">
        <v>4192</v>
      </c>
      <c r="Z36" s="272">
        <v>0</v>
      </c>
      <c r="AA36" s="272">
        <v>156259</v>
      </c>
      <c r="AB36" s="272">
        <v>194870</v>
      </c>
      <c r="AC36" s="272">
        <v>3479092</v>
      </c>
      <c r="AD36" s="272">
        <v>3212939</v>
      </c>
      <c r="AE36" s="272">
        <v>266153</v>
      </c>
      <c r="AF36" s="272">
        <v>11889</v>
      </c>
      <c r="AG36" s="272">
        <v>68234</v>
      </c>
      <c r="AH36" s="455">
        <f t="shared" si="3"/>
        <v>296334</v>
      </c>
      <c r="AI36" s="272">
        <v>264723</v>
      </c>
      <c r="AJ36" s="272">
        <v>31611</v>
      </c>
      <c r="AK36" s="272">
        <v>1935453</v>
      </c>
      <c r="AL36" s="455">
        <f t="shared" si="4"/>
        <v>1073280</v>
      </c>
      <c r="AM36" s="272">
        <v>608733</v>
      </c>
      <c r="AN36" s="272">
        <v>462900</v>
      </c>
      <c r="AO36" s="272">
        <v>0</v>
      </c>
      <c r="AP36" s="272">
        <v>1647</v>
      </c>
      <c r="AQ36" s="272">
        <v>619312</v>
      </c>
      <c r="AR36" s="272">
        <v>0</v>
      </c>
      <c r="AS36" s="272">
        <v>0</v>
      </c>
      <c r="AT36" s="272">
        <v>739160</v>
      </c>
      <c r="AU36" s="272">
        <v>409679</v>
      </c>
      <c r="AV36" s="272">
        <v>75362</v>
      </c>
      <c r="AW36" s="272">
        <v>0</v>
      </c>
      <c r="AX36" s="272">
        <v>329481</v>
      </c>
      <c r="AY36" s="272">
        <v>17175</v>
      </c>
      <c r="AZ36" s="272">
        <v>52811</v>
      </c>
      <c r="BA36" s="272">
        <v>47526</v>
      </c>
      <c r="BB36" s="272">
        <v>5993</v>
      </c>
      <c r="BC36" s="272">
        <v>234691</v>
      </c>
      <c r="BD36" s="272">
        <v>48618</v>
      </c>
      <c r="BE36" s="272">
        <v>0</v>
      </c>
      <c r="BF36" s="272">
        <v>184888</v>
      </c>
      <c r="BG36" s="272">
        <v>0</v>
      </c>
      <c r="BH36" s="272">
        <v>98711</v>
      </c>
      <c r="BI36" s="272">
        <v>66705</v>
      </c>
      <c r="BJ36" s="272">
        <v>451882</v>
      </c>
      <c r="BK36" s="272">
        <v>9003</v>
      </c>
      <c r="BL36" s="272">
        <v>0</v>
      </c>
      <c r="BM36" s="272">
        <v>0</v>
      </c>
      <c r="BN36" s="272">
        <v>1564300</v>
      </c>
      <c r="BO36" s="455">
        <f t="shared" si="5"/>
        <v>838200</v>
      </c>
      <c r="BP36" s="455">
        <f t="shared" si="6"/>
        <v>726100</v>
      </c>
      <c r="BQ36" s="272">
        <v>75200</v>
      </c>
      <c r="BR36" s="272"/>
      <c r="BS36" s="272">
        <v>650900</v>
      </c>
      <c r="BT36" s="272">
        <v>0</v>
      </c>
      <c r="BU36" s="272">
        <v>15522440</v>
      </c>
      <c r="BV36" s="272"/>
      <c r="BW36" s="272">
        <v>3661489</v>
      </c>
      <c r="BX36" s="272">
        <v>2667302</v>
      </c>
      <c r="BY36" s="272">
        <v>229782</v>
      </c>
      <c r="BZ36" s="272">
        <v>46347</v>
      </c>
      <c r="CA36" s="272">
        <v>2177706</v>
      </c>
      <c r="CB36" s="272">
        <v>368665</v>
      </c>
      <c r="CC36" s="272">
        <v>117859</v>
      </c>
      <c r="CD36" s="272">
        <v>802938</v>
      </c>
      <c r="CE36" s="272">
        <v>818770</v>
      </c>
      <c r="CF36" s="272">
        <v>3364</v>
      </c>
      <c r="CG36" s="272">
        <v>66110</v>
      </c>
      <c r="CH36" s="272">
        <v>1699485</v>
      </c>
      <c r="CI36" s="272">
        <v>1289710</v>
      </c>
      <c r="CJ36" s="455">
        <f t="shared" si="7"/>
        <v>409775</v>
      </c>
      <c r="CK36" s="272">
        <v>2196025</v>
      </c>
      <c r="CL36" s="272">
        <v>1128553</v>
      </c>
      <c r="CM36" s="272">
        <v>392786</v>
      </c>
      <c r="CN36" s="272">
        <v>407416</v>
      </c>
      <c r="CO36" s="272">
        <v>115164</v>
      </c>
      <c r="CP36" s="272">
        <v>1604602</v>
      </c>
      <c r="CQ36" s="272">
        <v>1029519</v>
      </c>
      <c r="CR36" s="272">
        <v>183884</v>
      </c>
      <c r="CS36" s="272">
        <v>183884</v>
      </c>
      <c r="CT36" s="455">
        <f t="shared" si="8"/>
        <v>156915</v>
      </c>
      <c r="CU36" s="272">
        <v>93672</v>
      </c>
      <c r="CV36" s="272">
        <v>63243</v>
      </c>
      <c r="CW36" s="455">
        <f t="shared" si="9"/>
        <v>131000</v>
      </c>
      <c r="CX36" s="272">
        <v>90457</v>
      </c>
      <c r="CY36" s="272">
        <v>40543</v>
      </c>
      <c r="CZ36" s="455">
        <f t="shared" si="10"/>
        <v>0</v>
      </c>
      <c r="DA36" s="272">
        <v>0</v>
      </c>
      <c r="DB36" s="272">
        <v>0</v>
      </c>
      <c r="DC36" s="272">
        <v>1924951</v>
      </c>
      <c r="DD36" s="272">
        <v>1273338</v>
      </c>
      <c r="DE36" s="272">
        <v>643739</v>
      </c>
      <c r="DF36" s="272">
        <v>7874</v>
      </c>
      <c r="DG36" s="272">
        <v>0</v>
      </c>
      <c r="DH36" s="272">
        <v>0</v>
      </c>
      <c r="DI36" s="272">
        <v>220898</v>
      </c>
      <c r="DJ36" s="272">
        <v>958</v>
      </c>
      <c r="DK36" s="272">
        <v>0</v>
      </c>
      <c r="DL36" s="272">
        <v>219940</v>
      </c>
      <c r="DM36" s="272">
        <v>0</v>
      </c>
      <c r="DN36" s="272">
        <v>0</v>
      </c>
      <c r="DO36" s="272">
        <v>0</v>
      </c>
      <c r="DP36" s="272">
        <v>0</v>
      </c>
      <c r="DQ36" s="272">
        <v>41000</v>
      </c>
      <c r="DR36" s="272">
        <v>0</v>
      </c>
      <c r="DS36" s="272">
        <v>0</v>
      </c>
      <c r="DT36" s="272">
        <v>1756076</v>
      </c>
      <c r="DU36" s="272">
        <v>590581</v>
      </c>
      <c r="DV36" s="455">
        <f t="shared" si="11"/>
        <v>0</v>
      </c>
      <c r="DW36" s="272">
        <v>0</v>
      </c>
      <c r="DX36" s="272"/>
      <c r="DY36" s="272">
        <v>0</v>
      </c>
      <c r="DZ36" s="272">
        <v>408045</v>
      </c>
      <c r="EA36" s="272">
        <v>341876</v>
      </c>
      <c r="EB36" s="272">
        <v>415573</v>
      </c>
      <c r="EC36" s="272">
        <v>0</v>
      </c>
      <c r="ED36" s="272">
        <v>15397396</v>
      </c>
      <c r="EF36" s="272">
        <v>125044</v>
      </c>
      <c r="EG36" s="272">
        <v>0</v>
      </c>
      <c r="EH36" s="272">
        <v>125044</v>
      </c>
      <c r="EI36" s="71">
        <v>58339</v>
      </c>
      <c r="EJ36" s="272">
        <v>10679</v>
      </c>
      <c r="EL36" s="272">
        <v>57616</v>
      </c>
      <c r="EM36" s="272">
        <v>59061</v>
      </c>
      <c r="EN36" s="272">
        <v>49803</v>
      </c>
      <c r="EO36" s="272">
        <v>50525</v>
      </c>
      <c r="EP36" s="455">
        <f t="shared" si="12"/>
        <v>249338</v>
      </c>
      <c r="EQ36" s="272">
        <v>10074871</v>
      </c>
      <c r="ER36" s="272">
        <v>-1063877</v>
      </c>
      <c r="ES36" s="272">
        <v>3306653</v>
      </c>
      <c r="ET36" s="272">
        <v>2335035</v>
      </c>
      <c r="EU36" s="272">
        <v>612109</v>
      </c>
      <c r="EV36" s="272">
        <v>1699485</v>
      </c>
      <c r="EW36" s="455">
        <f t="shared" si="13"/>
        <v>193554</v>
      </c>
      <c r="EX36" s="272">
        <v>193554</v>
      </c>
      <c r="EY36" s="272">
        <v>5818</v>
      </c>
      <c r="EZ36" s="272">
        <v>183799</v>
      </c>
      <c r="FA36" s="272">
        <v>0</v>
      </c>
      <c r="FB36" s="272"/>
      <c r="FC36" s="272">
        <v>1959918</v>
      </c>
      <c r="FD36" s="272">
        <v>1526122</v>
      </c>
      <c r="FE36" s="272">
        <v>1029519</v>
      </c>
      <c r="FF36" s="272">
        <v>1548459</v>
      </c>
      <c r="FG36" s="455">
        <f t="shared" si="14"/>
        <v>167404</v>
      </c>
      <c r="FH36" s="272">
        <v>11013704</v>
      </c>
      <c r="FI36" s="384">
        <f t="shared" si="15"/>
        <v>1.3</v>
      </c>
      <c r="FJ36" s="272">
        <v>9509685</v>
      </c>
      <c r="FK36" s="272">
        <v>650985</v>
      </c>
      <c r="FL36" s="272">
        <v>4815383</v>
      </c>
      <c r="FM36" s="272">
        <v>8028322</v>
      </c>
      <c r="FN36" s="460">
        <v>0.6</v>
      </c>
      <c r="FO36" s="388">
        <v>99.5</v>
      </c>
      <c r="FP36" s="388">
        <v>32.1</v>
      </c>
      <c r="FQ36" s="388">
        <v>6</v>
      </c>
      <c r="FR36" s="388">
        <v>16.600000000000001</v>
      </c>
      <c r="FS36" s="388">
        <v>18.399999999999999</v>
      </c>
      <c r="FT36" s="388">
        <v>13.4</v>
      </c>
      <c r="FU36" s="388">
        <v>11.9</v>
      </c>
      <c r="FV36" s="388">
        <v>14.9</v>
      </c>
      <c r="FW36" s="272">
        <v>14646264</v>
      </c>
      <c r="FX36" s="384">
        <f t="shared" si="16"/>
        <v>154</v>
      </c>
      <c r="FY36" s="272">
        <v>2055652</v>
      </c>
      <c r="FZ36" s="272">
        <v>1216513</v>
      </c>
      <c r="GA36" s="272">
        <v>70</v>
      </c>
      <c r="GB36" s="272">
        <v>839069</v>
      </c>
      <c r="GC36" s="272">
        <v>300000</v>
      </c>
      <c r="GD36" s="272">
        <v>874606</v>
      </c>
      <c r="GE36" s="384">
        <f t="shared" si="17"/>
        <v>9.1999999999999993</v>
      </c>
      <c r="GF36" s="388">
        <v>97</v>
      </c>
      <c r="GG36" s="388">
        <v>17.399999999999999</v>
      </c>
      <c r="GH36" s="388">
        <v>88.8</v>
      </c>
      <c r="GI36" s="272">
        <v>405</v>
      </c>
      <c r="GJ36" s="394"/>
      <c r="GK36" s="394"/>
      <c r="GL36" s="394"/>
      <c r="GM36" s="394"/>
      <c r="GN36" s="394"/>
      <c r="GO36" s="394"/>
      <c r="GP36" s="394"/>
      <c r="GQ36" s="394"/>
      <c r="GR36" s="394"/>
      <c r="GS36" s="394"/>
      <c r="GT36" s="394"/>
      <c r="GU36" s="394"/>
      <c r="GV36" s="394"/>
      <c r="GW36" s="394"/>
      <c r="GX36" s="394"/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</row>
    <row r="37" spans="2:230" x14ac:dyDescent="0.15">
      <c r="B37" s="21" t="s">
        <v>67</v>
      </c>
      <c r="C37" s="272">
        <f>SUM(C6:C36)</f>
        <v>726437447</v>
      </c>
      <c r="D37" s="455">
        <f t="shared" si="0"/>
        <v>239142551</v>
      </c>
      <c r="E37" s="272">
        <f>SUM(E6:E36)</f>
        <v>5925740</v>
      </c>
      <c r="F37" s="272">
        <f>SUM(F6:F36)</f>
        <v>233216811</v>
      </c>
      <c r="G37" s="455">
        <f t="shared" si="1"/>
        <v>61459385</v>
      </c>
      <c r="H37" s="272">
        <f t="shared" ref="H37:S37" si="18">SUM(H6:H36)</f>
        <v>12392708</v>
      </c>
      <c r="I37" s="272">
        <f t="shared" si="18"/>
        <v>49066677</v>
      </c>
      <c r="J37" s="272">
        <f t="shared" si="18"/>
        <v>316771011</v>
      </c>
      <c r="K37" s="272">
        <f t="shared" si="18"/>
        <v>139868690</v>
      </c>
      <c r="L37" s="272">
        <f t="shared" si="18"/>
        <v>128376973</v>
      </c>
      <c r="M37" s="272">
        <f t="shared" si="18"/>
        <v>42651096</v>
      </c>
      <c r="N37" s="272">
        <f t="shared" si="18"/>
        <v>31672283</v>
      </c>
      <c r="O37" s="272">
        <f t="shared" si="18"/>
        <v>66213914</v>
      </c>
      <c r="P37" s="272">
        <f t="shared" si="18"/>
        <v>38137840</v>
      </c>
      <c r="Q37" s="272">
        <f t="shared" si="18"/>
        <v>28076074</v>
      </c>
      <c r="R37" s="272">
        <f t="shared" si="18"/>
        <v>31803563</v>
      </c>
      <c r="S37" s="272">
        <f t="shared" si="18"/>
        <v>18220074</v>
      </c>
      <c r="T37" s="455">
        <f t="shared" si="2"/>
        <v>71076145</v>
      </c>
      <c r="U37" s="272">
        <f t="shared" ref="U37:AG37" si="19">SUM(U6:U36)</f>
        <v>5516947</v>
      </c>
      <c r="V37" s="272">
        <f t="shared" si="19"/>
        <v>3010059</v>
      </c>
      <c r="W37" s="272">
        <f t="shared" si="19"/>
        <v>3735717</v>
      </c>
      <c r="X37" s="272">
        <f t="shared" si="19"/>
        <v>46602903</v>
      </c>
      <c r="Y37" s="272">
        <f t="shared" si="19"/>
        <v>836589</v>
      </c>
      <c r="Z37" s="272">
        <f t="shared" si="19"/>
        <v>0</v>
      </c>
      <c r="AA37" s="272">
        <f t="shared" si="19"/>
        <v>11373930</v>
      </c>
      <c r="AB37" s="272">
        <f t="shared" si="19"/>
        <v>25369727</v>
      </c>
      <c r="AC37" s="272">
        <f t="shared" si="19"/>
        <v>151133924</v>
      </c>
      <c r="AD37" s="272">
        <f t="shared" si="19"/>
        <v>140784565</v>
      </c>
      <c r="AE37" s="272">
        <f t="shared" si="19"/>
        <v>10349359</v>
      </c>
      <c r="AF37" s="272">
        <f t="shared" si="19"/>
        <v>1012056</v>
      </c>
      <c r="AG37" s="272">
        <f t="shared" si="19"/>
        <v>17116787</v>
      </c>
      <c r="AH37" s="455">
        <f t="shared" si="3"/>
        <v>36785667</v>
      </c>
      <c r="AI37" s="272">
        <f>SUM(AI6:AI36)</f>
        <v>29284905</v>
      </c>
      <c r="AJ37" s="272">
        <f>SUM(AJ6:AJ36)</f>
        <v>7500762</v>
      </c>
      <c r="AK37" s="272">
        <f>SUM(AK6:AK36)</f>
        <v>205648727</v>
      </c>
      <c r="AL37" s="455">
        <f t="shared" si="4"/>
        <v>127061883</v>
      </c>
      <c r="AM37" s="272">
        <f t="shared" ref="AM37:BN37" si="20">SUM(AM6:AM36)</f>
        <v>109819265</v>
      </c>
      <c r="AN37" s="272">
        <f t="shared" si="20"/>
        <v>17108250</v>
      </c>
      <c r="AO37" s="272">
        <f t="shared" si="20"/>
        <v>67452</v>
      </c>
      <c r="AP37" s="272">
        <f t="shared" si="20"/>
        <v>66916</v>
      </c>
      <c r="AQ37" s="272">
        <f t="shared" si="20"/>
        <v>14355404</v>
      </c>
      <c r="AR37" s="272">
        <f t="shared" si="20"/>
        <v>8968</v>
      </c>
      <c r="AS37" s="272">
        <f t="shared" si="20"/>
        <v>334520</v>
      </c>
      <c r="AT37" s="272">
        <f t="shared" si="20"/>
        <v>72949952</v>
      </c>
      <c r="AU37" s="272">
        <f t="shared" si="20"/>
        <v>32053348</v>
      </c>
      <c r="AV37" s="272">
        <f t="shared" si="20"/>
        <v>5409901</v>
      </c>
      <c r="AW37" s="272">
        <f t="shared" si="20"/>
        <v>1039702</v>
      </c>
      <c r="AX37" s="272">
        <f t="shared" si="20"/>
        <v>40896604</v>
      </c>
      <c r="AY37" s="272">
        <f t="shared" si="20"/>
        <v>1555305</v>
      </c>
      <c r="AZ37" s="272">
        <f t="shared" si="20"/>
        <v>5094821</v>
      </c>
      <c r="BA37" s="272">
        <f t="shared" si="20"/>
        <v>4329733</v>
      </c>
      <c r="BB37" s="272">
        <f t="shared" si="20"/>
        <v>1896645</v>
      </c>
      <c r="BC37" s="272">
        <f t="shared" si="20"/>
        <v>25902314</v>
      </c>
      <c r="BD37" s="272">
        <f t="shared" si="20"/>
        <v>4954899</v>
      </c>
      <c r="BE37" s="272">
        <f t="shared" si="20"/>
        <v>4882351</v>
      </c>
      <c r="BF37" s="272">
        <f t="shared" si="20"/>
        <v>11984534</v>
      </c>
      <c r="BG37" s="272">
        <f t="shared" si="20"/>
        <v>2185635</v>
      </c>
      <c r="BH37" s="272">
        <f t="shared" si="20"/>
        <v>7820449</v>
      </c>
      <c r="BI37" s="272">
        <f t="shared" si="20"/>
        <v>4961811</v>
      </c>
      <c r="BJ37" s="272">
        <f t="shared" si="20"/>
        <v>54335288</v>
      </c>
      <c r="BK37" s="272">
        <f t="shared" si="20"/>
        <v>29411949</v>
      </c>
      <c r="BL37" s="272">
        <f t="shared" si="20"/>
        <v>237731</v>
      </c>
      <c r="BM37" s="272">
        <f t="shared" si="20"/>
        <v>2520470</v>
      </c>
      <c r="BN37" s="272">
        <f t="shared" si="20"/>
        <v>113492450</v>
      </c>
      <c r="BO37" s="455">
        <f t="shared" si="5"/>
        <v>53362650</v>
      </c>
      <c r="BP37" s="455">
        <f t="shared" si="6"/>
        <v>59793800</v>
      </c>
      <c r="BQ37" s="272">
        <f>SUM(BQ6:BQ36)</f>
        <v>8955100</v>
      </c>
      <c r="BR37" s="272">
        <f>SUM(BR6:BR36)</f>
        <v>0</v>
      </c>
      <c r="BS37" s="272">
        <f>SUM(BS6:BS36)</f>
        <v>50838700</v>
      </c>
      <c r="BT37" s="272">
        <f>SUM(BT6:BT36)</f>
        <v>336000</v>
      </c>
      <c r="BU37" s="272">
        <f>SUM(BU6:BU36)</f>
        <v>1548221921</v>
      </c>
      <c r="BV37" s="272"/>
      <c r="BW37" s="272">
        <f t="shared" ref="BW37:CI37" si="21">SUM(BW6:BW36)</f>
        <v>382977836</v>
      </c>
      <c r="BX37" s="272">
        <f t="shared" si="21"/>
        <v>260768094</v>
      </c>
      <c r="BY37" s="272">
        <f t="shared" si="21"/>
        <v>45943344</v>
      </c>
      <c r="BZ37" s="272">
        <f t="shared" si="21"/>
        <v>16232382</v>
      </c>
      <c r="CA37" s="272">
        <f t="shared" si="21"/>
        <v>319111924</v>
      </c>
      <c r="CB37" s="272">
        <f t="shared" si="21"/>
        <v>45096656</v>
      </c>
      <c r="CC37" s="272">
        <f t="shared" si="21"/>
        <v>12143479</v>
      </c>
      <c r="CD37" s="272">
        <f t="shared" si="21"/>
        <v>102614702</v>
      </c>
      <c r="CE37" s="272">
        <f t="shared" si="21"/>
        <v>146742551</v>
      </c>
      <c r="CF37" s="272">
        <f t="shared" si="21"/>
        <v>6344304</v>
      </c>
      <c r="CG37" s="272">
        <f t="shared" si="21"/>
        <v>6152631</v>
      </c>
      <c r="CH37" s="272">
        <f t="shared" si="21"/>
        <v>163772872</v>
      </c>
      <c r="CI37" s="272">
        <f t="shared" si="21"/>
        <v>129424974</v>
      </c>
      <c r="CJ37" s="455">
        <f t="shared" si="7"/>
        <v>34347898</v>
      </c>
      <c r="CK37" s="272">
        <f t="shared" ref="CK37:CS37" si="22">SUM(CK6:CK36)</f>
        <v>176708827</v>
      </c>
      <c r="CL37" s="272">
        <f t="shared" si="22"/>
        <v>100564512</v>
      </c>
      <c r="CM37" s="272">
        <f t="shared" si="22"/>
        <v>12232128</v>
      </c>
      <c r="CN37" s="272">
        <f t="shared" si="22"/>
        <v>34897079</v>
      </c>
      <c r="CO37" s="272">
        <f t="shared" si="22"/>
        <v>12824910</v>
      </c>
      <c r="CP37" s="272">
        <f t="shared" si="22"/>
        <v>117193798</v>
      </c>
      <c r="CQ37" s="272">
        <f t="shared" si="22"/>
        <v>40170830</v>
      </c>
      <c r="CR37" s="272">
        <f t="shared" si="22"/>
        <v>35434589</v>
      </c>
      <c r="CS37" s="272">
        <f t="shared" si="22"/>
        <v>26223625</v>
      </c>
      <c r="CT37" s="455">
        <f t="shared" si="8"/>
        <v>16513866</v>
      </c>
      <c r="CU37" s="272">
        <f>SUM(CU6:CU36)</f>
        <v>11829196</v>
      </c>
      <c r="CV37" s="272">
        <f>SUM(CV6:CV36)</f>
        <v>4684670</v>
      </c>
      <c r="CW37" s="455">
        <f t="shared" si="9"/>
        <v>13197536</v>
      </c>
      <c r="CX37" s="272">
        <f>SUM(CX6:CX36)</f>
        <v>10544807</v>
      </c>
      <c r="CY37" s="272">
        <f>SUM(CY6:CY36)</f>
        <v>2652729</v>
      </c>
      <c r="CZ37" s="455">
        <f t="shared" si="10"/>
        <v>517257</v>
      </c>
      <c r="DA37" s="272">
        <f t="shared" ref="DA37:DU37" si="23">SUM(DA6:DA36)</f>
        <v>460140</v>
      </c>
      <c r="DB37" s="272">
        <f t="shared" si="23"/>
        <v>57117</v>
      </c>
      <c r="DC37" s="272">
        <f t="shared" si="23"/>
        <v>118643733</v>
      </c>
      <c r="DD37" s="272">
        <f t="shared" si="23"/>
        <v>31232259</v>
      </c>
      <c r="DE37" s="272">
        <f t="shared" si="23"/>
        <v>82756375</v>
      </c>
      <c r="DF37" s="272">
        <f t="shared" si="23"/>
        <v>1868827</v>
      </c>
      <c r="DG37" s="272">
        <f t="shared" si="23"/>
        <v>2786272</v>
      </c>
      <c r="DH37" s="272">
        <f t="shared" si="23"/>
        <v>100514</v>
      </c>
      <c r="DI37" s="272">
        <f t="shared" si="23"/>
        <v>19864512</v>
      </c>
      <c r="DJ37" s="272">
        <f t="shared" si="23"/>
        <v>6889056</v>
      </c>
      <c r="DK37" s="272">
        <f t="shared" si="23"/>
        <v>2760239</v>
      </c>
      <c r="DL37" s="272">
        <f t="shared" si="23"/>
        <v>10215026</v>
      </c>
      <c r="DM37" s="272">
        <f t="shared" si="23"/>
        <v>2464861</v>
      </c>
      <c r="DN37" s="272">
        <f t="shared" si="23"/>
        <v>1916261</v>
      </c>
      <c r="DO37" s="272">
        <f t="shared" si="23"/>
        <v>242753</v>
      </c>
      <c r="DP37" s="272">
        <f t="shared" si="23"/>
        <v>1672574</v>
      </c>
      <c r="DQ37" s="272">
        <f t="shared" si="23"/>
        <v>32157410</v>
      </c>
      <c r="DR37" s="272">
        <f t="shared" si="23"/>
        <v>300000</v>
      </c>
      <c r="DS37" s="272">
        <f t="shared" si="23"/>
        <v>300000</v>
      </c>
      <c r="DT37" s="272">
        <f t="shared" si="23"/>
        <v>191534002</v>
      </c>
      <c r="DU37" s="272">
        <f t="shared" si="23"/>
        <v>79829904</v>
      </c>
      <c r="DV37" s="455">
        <f t="shared" si="11"/>
        <v>730282</v>
      </c>
      <c r="DW37" s="272">
        <f t="shared" ref="DW37:ED37" si="24">SUM(DW6:DW36)</f>
        <v>730282</v>
      </c>
      <c r="DX37" s="272">
        <f t="shared" si="24"/>
        <v>0</v>
      </c>
      <c r="DY37" s="272">
        <f t="shared" si="24"/>
        <v>341140</v>
      </c>
      <c r="DZ37" s="272">
        <f t="shared" si="24"/>
        <v>47562820</v>
      </c>
      <c r="EA37" s="272">
        <f t="shared" si="24"/>
        <v>26423296</v>
      </c>
      <c r="EB37" s="272">
        <f t="shared" si="24"/>
        <v>33649832</v>
      </c>
      <c r="EC37" s="272">
        <f t="shared" si="24"/>
        <v>7095850</v>
      </c>
      <c r="ED37" s="272">
        <f t="shared" si="24"/>
        <v>1544451049</v>
      </c>
      <c r="EE37" s="89"/>
      <c r="EF37" s="272">
        <f>SUM(EF6:EF36)</f>
        <v>3770872</v>
      </c>
      <c r="EG37" s="272">
        <f>SUM(EG6:EG36)</f>
        <v>2454799</v>
      </c>
      <c r="EH37" s="272">
        <f>SUM(EH6:EH36)</f>
        <v>1316073</v>
      </c>
      <c r="EI37" s="71">
        <f>SUM(EI6:EI36)</f>
        <v>2425930</v>
      </c>
      <c r="EJ37" s="272">
        <f>SUM(EJ6:EJ36)</f>
        <v>5413988</v>
      </c>
      <c r="EK37" s="89"/>
      <c r="EL37" s="272">
        <f>SUM(EL6:EL36)</f>
        <v>5165111</v>
      </c>
      <c r="EM37" s="272">
        <f>SUM(EM6:EM36)</f>
        <v>5133029</v>
      </c>
      <c r="EN37" s="272">
        <f>SUM(EN6:EN36)</f>
        <v>15346148</v>
      </c>
      <c r="EO37" s="272">
        <f>SUM(EO6:EO36)</f>
        <v>3948064</v>
      </c>
      <c r="EP37" s="455">
        <f t="shared" si="12"/>
        <v>37748284</v>
      </c>
      <c r="EQ37" s="272">
        <f t="shared" ref="EQ37:EV37" si="25">SUM(EQ6:EQ36)</f>
        <v>1007167382</v>
      </c>
      <c r="ER37" s="272">
        <f t="shared" si="25"/>
        <v>-115489720</v>
      </c>
      <c r="ES37" s="272">
        <f t="shared" si="25"/>
        <v>357463436</v>
      </c>
      <c r="ET37" s="272">
        <f t="shared" si="25"/>
        <v>239987107</v>
      </c>
      <c r="EU37" s="272">
        <f t="shared" si="25"/>
        <v>98970753</v>
      </c>
      <c r="EV37" s="272">
        <f t="shared" si="25"/>
        <v>160818623</v>
      </c>
      <c r="EW37" s="455">
        <f t="shared" si="13"/>
        <v>39428571</v>
      </c>
      <c r="EX37" s="272">
        <f>SUM(EX6:EX36)</f>
        <v>39399964</v>
      </c>
      <c r="EY37" s="272">
        <f>SUM(EY6:EY36)</f>
        <v>3903067</v>
      </c>
      <c r="EZ37" s="272">
        <f>SUM(EZ6:EZ36)</f>
        <v>35199688</v>
      </c>
      <c r="FA37" s="272">
        <f>SUM(FA6:FA36)</f>
        <v>28607</v>
      </c>
      <c r="FB37" s="272"/>
      <c r="FC37" s="272">
        <f>SUM(FC6:FC36)</f>
        <v>142374339</v>
      </c>
      <c r="FD37" s="272">
        <f>SUM(FD6:FD36)</f>
        <v>106570284</v>
      </c>
      <c r="FE37" s="272">
        <f>SUM(FE6:FE36)</f>
        <v>39723244</v>
      </c>
      <c r="FF37" s="272">
        <f>SUM(FF6:FF36)</f>
        <v>172570788</v>
      </c>
      <c r="FG37" s="455">
        <f t="shared" si="14"/>
        <v>40775312</v>
      </c>
      <c r="FH37" s="272">
        <f>SUM(FH6:FH36)</f>
        <v>1118972106</v>
      </c>
      <c r="FI37" s="384">
        <f t="shared" si="15"/>
        <v>0.1</v>
      </c>
      <c r="FJ37" s="272">
        <f>SUM(FJ6:FJ36)</f>
        <v>913498842</v>
      </c>
      <c r="FK37" s="272">
        <f>SUM(FK6:FK36)</f>
        <v>50940594</v>
      </c>
      <c r="FL37" s="272">
        <f>SUM(FL6:FL36)</f>
        <v>587770773</v>
      </c>
      <c r="FM37" s="272">
        <f>SUM(FM6:FM36)</f>
        <v>721421103</v>
      </c>
      <c r="FN37" s="468">
        <v>0.80500000000000005</v>
      </c>
      <c r="FO37" s="469">
        <v>96.2</v>
      </c>
      <c r="FP37" s="469">
        <v>32.4</v>
      </c>
      <c r="FQ37" s="469">
        <v>10.199999999999999</v>
      </c>
      <c r="FR37" s="469">
        <v>16.100000000000001</v>
      </c>
      <c r="FS37" s="469">
        <v>13.5</v>
      </c>
      <c r="FT37" s="469">
        <v>10.1</v>
      </c>
      <c r="FU37" s="469">
        <v>12.8</v>
      </c>
      <c r="FV37" s="469">
        <v>13.8</v>
      </c>
      <c r="FW37" s="272">
        <f>SUM(FW6:FW36)</f>
        <v>1550466964</v>
      </c>
      <c r="FX37" s="384">
        <f t="shared" si="16"/>
        <v>169.7</v>
      </c>
      <c r="FY37" s="272">
        <f t="shared" ref="FY37:GD37" si="26">SUM(FY6:FY36)</f>
        <v>246896843</v>
      </c>
      <c r="FZ37" s="272">
        <f t="shared" si="26"/>
        <v>73136153</v>
      </c>
      <c r="GA37" s="272">
        <f t="shared" si="26"/>
        <v>20145439</v>
      </c>
      <c r="GB37" s="272">
        <f t="shared" si="26"/>
        <v>153615251</v>
      </c>
      <c r="GC37" s="272">
        <f t="shared" si="26"/>
        <v>14291991</v>
      </c>
      <c r="GD37" s="272">
        <f t="shared" si="26"/>
        <v>238570601</v>
      </c>
      <c r="GE37" s="384">
        <f t="shared" si="17"/>
        <v>26.1</v>
      </c>
      <c r="GF37" s="469">
        <v>98.1</v>
      </c>
      <c r="GG37" s="469">
        <v>22.4</v>
      </c>
      <c r="GH37" s="469">
        <v>92.6</v>
      </c>
      <c r="GI37" s="272">
        <f>SUM(GI6:GI36)</f>
        <v>35454</v>
      </c>
      <c r="GJ37" s="394"/>
      <c r="GK37" s="394"/>
      <c r="GL37" s="394"/>
      <c r="GM37" s="394"/>
      <c r="GN37" s="394"/>
      <c r="GO37" s="394"/>
      <c r="GP37" s="394"/>
      <c r="GQ37" s="394"/>
      <c r="GR37" s="394"/>
      <c r="GS37" s="394"/>
      <c r="GT37" s="394"/>
      <c r="GU37" s="394"/>
      <c r="GV37" s="394"/>
      <c r="GW37" s="394"/>
      <c r="GX37" s="394"/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</row>
    <row r="38" spans="2:230" x14ac:dyDescent="0.15">
      <c r="B38" s="89" t="s">
        <v>69</v>
      </c>
      <c r="C38" s="272">
        <v>4630121</v>
      </c>
      <c r="D38" s="455">
        <f t="shared" si="0"/>
        <v>1401672</v>
      </c>
      <c r="E38" s="272">
        <v>35471</v>
      </c>
      <c r="F38" s="272">
        <v>1366201</v>
      </c>
      <c r="G38" s="455">
        <f t="shared" si="1"/>
        <v>847321</v>
      </c>
      <c r="H38" s="272">
        <v>57439</v>
      </c>
      <c r="I38" s="272">
        <v>789882</v>
      </c>
      <c r="J38" s="272">
        <v>1935582</v>
      </c>
      <c r="K38" s="272">
        <v>713211</v>
      </c>
      <c r="L38" s="272">
        <v>783919</v>
      </c>
      <c r="M38" s="272">
        <v>411289</v>
      </c>
      <c r="N38" s="272">
        <v>95243</v>
      </c>
      <c r="O38" s="272">
        <v>332543</v>
      </c>
      <c r="P38" s="272">
        <v>175908</v>
      </c>
      <c r="Q38" s="272">
        <v>156635</v>
      </c>
      <c r="R38" s="272">
        <v>178484</v>
      </c>
      <c r="S38" s="272">
        <v>105938</v>
      </c>
      <c r="T38" s="455">
        <f t="shared" si="2"/>
        <v>445879</v>
      </c>
      <c r="U38" s="272">
        <v>33225</v>
      </c>
      <c r="V38" s="272">
        <v>18084</v>
      </c>
      <c r="W38" s="272">
        <v>22305</v>
      </c>
      <c r="X38" s="272">
        <v>237623</v>
      </c>
      <c r="Y38" s="272">
        <v>61362</v>
      </c>
      <c r="Z38" s="272">
        <v>0</v>
      </c>
      <c r="AA38" s="272">
        <v>73280</v>
      </c>
      <c r="AB38" s="272">
        <v>190628</v>
      </c>
      <c r="AC38" s="272">
        <v>1313844</v>
      </c>
      <c r="AD38" s="272">
        <v>1100091</v>
      </c>
      <c r="AE38" s="272">
        <v>213753</v>
      </c>
      <c r="AF38" s="272">
        <v>4299</v>
      </c>
      <c r="AG38" s="272">
        <v>48358</v>
      </c>
      <c r="AH38" s="455">
        <f t="shared" si="3"/>
        <v>233839</v>
      </c>
      <c r="AI38" s="272">
        <v>199922</v>
      </c>
      <c r="AJ38" s="272">
        <v>33917</v>
      </c>
      <c r="AK38" s="272">
        <v>695959</v>
      </c>
      <c r="AL38" s="455">
        <f t="shared" si="4"/>
        <v>124667</v>
      </c>
      <c r="AM38" s="272">
        <v>98934</v>
      </c>
      <c r="AN38" s="272">
        <v>25584</v>
      </c>
      <c r="AO38" s="272">
        <v>0</v>
      </c>
      <c r="AP38" s="272">
        <v>149</v>
      </c>
      <c r="AQ38" s="272">
        <v>289452</v>
      </c>
      <c r="AR38" s="272">
        <v>0</v>
      </c>
      <c r="AS38" s="272">
        <v>0</v>
      </c>
      <c r="AT38" s="272">
        <v>337214</v>
      </c>
      <c r="AU38" s="272">
        <v>195682</v>
      </c>
      <c r="AV38" s="272">
        <v>18944</v>
      </c>
      <c r="AW38" s="272">
        <v>0</v>
      </c>
      <c r="AX38" s="272">
        <v>141532</v>
      </c>
      <c r="AY38" s="272">
        <v>11970</v>
      </c>
      <c r="AZ38" s="272">
        <v>5919</v>
      </c>
      <c r="BA38" s="272">
        <v>0</v>
      </c>
      <c r="BB38" s="272">
        <v>41</v>
      </c>
      <c r="BC38" s="272">
        <v>24416</v>
      </c>
      <c r="BD38" s="272">
        <v>0</v>
      </c>
      <c r="BE38" s="272">
        <v>18200</v>
      </c>
      <c r="BF38" s="272">
        <v>0</v>
      </c>
      <c r="BG38" s="272">
        <v>0</v>
      </c>
      <c r="BH38" s="272">
        <v>231247</v>
      </c>
      <c r="BI38" s="272">
        <v>194297</v>
      </c>
      <c r="BJ38" s="272">
        <v>169785</v>
      </c>
      <c r="BK38" s="272">
        <v>53584</v>
      </c>
      <c r="BL38" s="272">
        <v>0</v>
      </c>
      <c r="BM38" s="272">
        <v>0</v>
      </c>
      <c r="BN38" s="272">
        <v>441000</v>
      </c>
      <c r="BO38" s="455">
        <f t="shared" si="5"/>
        <v>56700</v>
      </c>
      <c r="BP38" s="455">
        <f t="shared" si="6"/>
        <v>384300</v>
      </c>
      <c r="BQ38" s="272">
        <v>0</v>
      </c>
      <c r="BR38" s="272"/>
      <c r="BS38" s="272">
        <v>384300</v>
      </c>
      <c r="BT38" s="272">
        <v>0</v>
      </c>
      <c r="BU38" s="272">
        <v>8951033</v>
      </c>
      <c r="BV38" s="272"/>
      <c r="BW38" s="272">
        <v>2512028</v>
      </c>
      <c r="BX38" s="272">
        <v>1736054</v>
      </c>
      <c r="BY38" s="272">
        <v>244662</v>
      </c>
      <c r="BZ38" s="272">
        <v>68934</v>
      </c>
      <c r="CA38" s="272">
        <v>1037740</v>
      </c>
      <c r="CB38" s="272">
        <v>317243</v>
      </c>
      <c r="CC38" s="272">
        <v>70083</v>
      </c>
      <c r="CD38" s="272">
        <v>503244</v>
      </c>
      <c r="CE38" s="272">
        <v>122964</v>
      </c>
      <c r="CF38" s="272">
        <v>0</v>
      </c>
      <c r="CG38" s="272">
        <v>24206</v>
      </c>
      <c r="CH38" s="272">
        <v>1393388</v>
      </c>
      <c r="CI38" s="272">
        <v>1112522</v>
      </c>
      <c r="CJ38" s="455">
        <f t="shared" si="7"/>
        <v>280866</v>
      </c>
      <c r="CK38" s="272">
        <v>1437247</v>
      </c>
      <c r="CL38" s="272">
        <v>739493</v>
      </c>
      <c r="CM38" s="272">
        <v>170213</v>
      </c>
      <c r="CN38" s="272">
        <v>315288</v>
      </c>
      <c r="CO38" s="272">
        <v>86693</v>
      </c>
      <c r="CP38" s="272">
        <v>309964</v>
      </c>
      <c r="CQ38" s="272">
        <v>1313</v>
      </c>
      <c r="CR38" s="272">
        <v>147138</v>
      </c>
      <c r="CS38" s="272">
        <v>126014</v>
      </c>
      <c r="CT38" s="455">
        <f t="shared" si="8"/>
        <v>17422</v>
      </c>
      <c r="CU38" s="272">
        <v>0</v>
      </c>
      <c r="CV38" s="272">
        <v>17422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763794</v>
      </c>
      <c r="DD38" s="272">
        <v>440617</v>
      </c>
      <c r="DE38" s="272">
        <v>309181</v>
      </c>
      <c r="DF38" s="272">
        <v>0</v>
      </c>
      <c r="DG38" s="272">
        <v>13996</v>
      </c>
      <c r="DH38" s="272">
        <v>0</v>
      </c>
      <c r="DI38" s="272">
        <v>110884</v>
      </c>
      <c r="DJ38" s="272">
        <v>99137</v>
      </c>
      <c r="DK38" s="272">
        <v>10</v>
      </c>
      <c r="DL38" s="272">
        <v>11737</v>
      </c>
      <c r="DM38" s="272">
        <v>0</v>
      </c>
      <c r="DN38" s="272">
        <v>0</v>
      </c>
      <c r="DO38" s="272">
        <v>0</v>
      </c>
      <c r="DP38" s="272">
        <v>0</v>
      </c>
      <c r="DQ38" s="272">
        <v>53296</v>
      </c>
      <c r="DR38" s="272">
        <v>0</v>
      </c>
      <c r="DS38" s="272">
        <v>0</v>
      </c>
      <c r="DT38" s="272">
        <v>1151795</v>
      </c>
      <c r="DU38" s="272">
        <v>610000</v>
      </c>
      <c r="DV38" s="455">
        <f t="shared" si="11"/>
        <v>0</v>
      </c>
      <c r="DW38" s="272">
        <v>0</v>
      </c>
      <c r="DX38" s="272"/>
      <c r="DY38" s="272">
        <v>0</v>
      </c>
      <c r="DZ38" s="272">
        <v>181777</v>
      </c>
      <c r="EA38" s="272">
        <v>149581</v>
      </c>
      <c r="EB38" s="272">
        <v>210359</v>
      </c>
      <c r="EC38" s="272">
        <v>0</v>
      </c>
      <c r="ED38" s="272">
        <v>8856829</v>
      </c>
      <c r="EE38" s="89"/>
      <c r="EF38" s="272">
        <v>94204</v>
      </c>
      <c r="EG38" s="272">
        <v>13737</v>
      </c>
      <c r="EH38" s="272">
        <v>80467</v>
      </c>
      <c r="EI38" s="71">
        <v>-113830</v>
      </c>
      <c r="EJ38" s="272">
        <v>-14693</v>
      </c>
      <c r="EL38" s="272">
        <v>29052</v>
      </c>
      <c r="EM38" s="272">
        <v>29303</v>
      </c>
      <c r="EN38" s="272">
        <v>24416</v>
      </c>
      <c r="EO38" s="272">
        <v>4831</v>
      </c>
      <c r="EP38" s="455">
        <f t="shared" si="12"/>
        <v>312373</v>
      </c>
      <c r="EQ38" s="272">
        <v>6763255</v>
      </c>
      <c r="ER38" s="272">
        <v>-721621</v>
      </c>
      <c r="ES38" s="272">
        <v>2370757</v>
      </c>
      <c r="ET38" s="272">
        <v>1613727</v>
      </c>
      <c r="EU38" s="272">
        <v>487653</v>
      </c>
      <c r="EV38" s="272">
        <v>1356605</v>
      </c>
      <c r="EW38" s="455">
        <f t="shared" si="13"/>
        <v>369199</v>
      </c>
      <c r="EX38" s="272">
        <v>369199</v>
      </c>
      <c r="EY38" s="272">
        <v>75108</v>
      </c>
      <c r="EZ38" s="272">
        <v>294091</v>
      </c>
      <c r="FA38" s="272">
        <v>0</v>
      </c>
      <c r="FB38" s="272"/>
      <c r="FC38" s="272">
        <v>1253757</v>
      </c>
      <c r="FD38" s="272">
        <v>279422</v>
      </c>
      <c r="FE38" s="272">
        <v>1313</v>
      </c>
      <c r="FF38" s="272">
        <v>1080795</v>
      </c>
      <c r="FG38" s="455">
        <f t="shared" si="14"/>
        <v>192484</v>
      </c>
      <c r="FH38" s="272">
        <v>7390672</v>
      </c>
      <c r="FI38" s="384">
        <f t="shared" si="15"/>
        <v>1.4</v>
      </c>
      <c r="FJ38" s="272">
        <v>5894621</v>
      </c>
      <c r="FK38" s="272">
        <v>384318</v>
      </c>
      <c r="FL38" s="272">
        <v>3641852</v>
      </c>
      <c r="FM38" s="272">
        <v>4741943</v>
      </c>
      <c r="FN38" s="460">
        <v>0.76600000000000001</v>
      </c>
      <c r="FO38" s="388">
        <v>95.8</v>
      </c>
      <c r="FP38" s="388">
        <v>34.299999999999997</v>
      </c>
      <c r="FQ38" s="388">
        <v>7.4</v>
      </c>
      <c r="FR38" s="388">
        <v>20.5</v>
      </c>
      <c r="FS38" s="388">
        <v>17.3</v>
      </c>
      <c r="FT38" s="388">
        <v>3.6</v>
      </c>
      <c r="FU38" s="388">
        <v>11.5</v>
      </c>
      <c r="FV38" s="388">
        <v>13.1</v>
      </c>
      <c r="FW38" s="272">
        <v>14312854</v>
      </c>
      <c r="FX38" s="384">
        <f t="shared" si="16"/>
        <v>242.8</v>
      </c>
      <c r="FY38" s="272">
        <v>3790895</v>
      </c>
      <c r="FZ38" s="272">
        <v>1644672</v>
      </c>
      <c r="GA38" s="272">
        <v>72613</v>
      </c>
      <c r="GB38" s="272">
        <v>2073610</v>
      </c>
      <c r="GC38" s="272"/>
      <c r="GD38" s="272"/>
      <c r="GE38" s="384"/>
      <c r="GF38" s="388">
        <v>99.3</v>
      </c>
      <c r="GG38" s="388">
        <v>13.7</v>
      </c>
      <c r="GH38" s="388">
        <v>92.8</v>
      </c>
      <c r="GI38" s="272">
        <v>239</v>
      </c>
      <c r="GJ38" s="394"/>
      <c r="GK38" s="394"/>
      <c r="GL38" s="394"/>
      <c r="GM38" s="394"/>
      <c r="GN38" s="394"/>
      <c r="GO38" s="394"/>
      <c r="GP38" s="394"/>
      <c r="GQ38" s="394"/>
      <c r="GR38" s="394"/>
      <c r="GS38" s="394"/>
      <c r="GT38" s="394"/>
      <c r="GU38" s="394"/>
      <c r="GV38" s="394"/>
      <c r="GW38" s="394"/>
      <c r="GX38" s="394"/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</row>
    <row r="39" spans="2:230" x14ac:dyDescent="0.15">
      <c r="B39" s="89" t="s">
        <v>71</v>
      </c>
      <c r="C39" s="272">
        <v>2503715</v>
      </c>
      <c r="D39" s="455">
        <f t="shared" si="0"/>
        <v>1487681</v>
      </c>
      <c r="E39" s="272">
        <v>30013</v>
      </c>
      <c r="F39" s="272">
        <v>1457668</v>
      </c>
      <c r="G39" s="455">
        <f t="shared" si="1"/>
        <v>26302</v>
      </c>
      <c r="H39" s="272">
        <v>18644</v>
      </c>
      <c r="I39" s="272">
        <v>7658</v>
      </c>
      <c r="J39" s="272">
        <v>909209</v>
      </c>
      <c r="K39" s="272">
        <v>295425</v>
      </c>
      <c r="L39" s="272">
        <v>487141</v>
      </c>
      <c r="M39" s="272">
        <v>126470</v>
      </c>
      <c r="N39" s="272">
        <v>57695</v>
      </c>
      <c r="O39" s="272">
        <v>0</v>
      </c>
      <c r="P39" s="272">
        <v>0</v>
      </c>
      <c r="Q39" s="272">
        <v>0</v>
      </c>
      <c r="R39" s="272">
        <v>182509</v>
      </c>
      <c r="S39" s="272">
        <v>90454</v>
      </c>
      <c r="T39" s="455">
        <f t="shared" si="2"/>
        <v>345792</v>
      </c>
      <c r="U39" s="272">
        <v>34639</v>
      </c>
      <c r="V39" s="272">
        <v>18861</v>
      </c>
      <c r="W39" s="272">
        <v>23282</v>
      </c>
      <c r="X39" s="272">
        <v>166332</v>
      </c>
      <c r="Y39" s="272">
        <v>9691</v>
      </c>
      <c r="Z39" s="272">
        <v>0</v>
      </c>
      <c r="AA39" s="272">
        <v>92987</v>
      </c>
      <c r="AB39" s="272">
        <v>138541</v>
      </c>
      <c r="AC39" s="272">
        <v>1952281</v>
      </c>
      <c r="AD39" s="272">
        <v>1444760</v>
      </c>
      <c r="AE39" s="272">
        <v>507521</v>
      </c>
      <c r="AF39" s="272">
        <v>4719</v>
      </c>
      <c r="AG39" s="272">
        <v>8310</v>
      </c>
      <c r="AH39" s="455">
        <f t="shared" si="3"/>
        <v>159588</v>
      </c>
      <c r="AI39" s="272">
        <v>146168</v>
      </c>
      <c r="AJ39" s="272">
        <v>13420</v>
      </c>
      <c r="AK39" s="272">
        <v>166160</v>
      </c>
      <c r="AL39" s="455">
        <f t="shared" si="4"/>
        <v>118</v>
      </c>
      <c r="AM39" s="272">
        <v>0</v>
      </c>
      <c r="AN39" s="272">
        <v>0</v>
      </c>
      <c r="AO39" s="272">
        <v>0</v>
      </c>
      <c r="AP39" s="272">
        <v>118</v>
      </c>
      <c r="AQ39" s="272">
        <v>45186</v>
      </c>
      <c r="AR39" s="272">
        <v>0</v>
      </c>
      <c r="AS39" s="272">
        <v>0</v>
      </c>
      <c r="AT39" s="272">
        <v>332785</v>
      </c>
      <c r="AU39" s="272">
        <v>131989</v>
      </c>
      <c r="AV39" s="272">
        <v>0</v>
      </c>
      <c r="AW39" s="272">
        <v>29472</v>
      </c>
      <c r="AX39" s="272">
        <v>200796</v>
      </c>
      <c r="AY39" s="272">
        <v>27781</v>
      </c>
      <c r="AZ39" s="272">
        <v>2223</v>
      </c>
      <c r="BA39" s="272">
        <v>0</v>
      </c>
      <c r="BB39" s="272">
        <v>1379</v>
      </c>
      <c r="BC39" s="272">
        <v>811224</v>
      </c>
      <c r="BD39" s="272">
        <v>110780</v>
      </c>
      <c r="BE39" s="272">
        <v>38936</v>
      </c>
      <c r="BF39" s="272">
        <v>181000</v>
      </c>
      <c r="BG39" s="272">
        <v>0</v>
      </c>
      <c r="BH39" s="272">
        <v>303703</v>
      </c>
      <c r="BI39" s="272">
        <v>248125</v>
      </c>
      <c r="BJ39" s="272">
        <v>215625</v>
      </c>
      <c r="BK39" s="272">
        <v>3115</v>
      </c>
      <c r="BL39" s="272">
        <v>0</v>
      </c>
      <c r="BM39" s="272">
        <v>0</v>
      </c>
      <c r="BN39" s="272">
        <v>666900</v>
      </c>
      <c r="BO39" s="455">
        <f t="shared" si="5"/>
        <v>278400</v>
      </c>
      <c r="BP39" s="455">
        <f t="shared" si="6"/>
        <v>388500</v>
      </c>
      <c r="BQ39" s="272">
        <v>49400</v>
      </c>
      <c r="BR39" s="272"/>
      <c r="BS39" s="272">
        <v>339100</v>
      </c>
      <c r="BT39" s="272">
        <v>0</v>
      </c>
      <c r="BU39" s="272">
        <v>7795454</v>
      </c>
      <c r="BV39" s="272"/>
      <c r="BW39" s="272">
        <v>2454326</v>
      </c>
      <c r="BX39" s="272">
        <v>1702671</v>
      </c>
      <c r="BY39" s="272">
        <v>79158</v>
      </c>
      <c r="BZ39" s="272">
        <v>225117</v>
      </c>
      <c r="CA39" s="272">
        <v>254131</v>
      </c>
      <c r="CB39" s="272">
        <v>147199</v>
      </c>
      <c r="CC39" s="272">
        <v>32836</v>
      </c>
      <c r="CD39" s="272">
        <v>68629</v>
      </c>
      <c r="CE39" s="272">
        <v>0</v>
      </c>
      <c r="CF39" s="272">
        <v>0</v>
      </c>
      <c r="CG39" s="272">
        <v>5467</v>
      </c>
      <c r="CH39" s="272">
        <v>614711</v>
      </c>
      <c r="CI39" s="272">
        <v>512755</v>
      </c>
      <c r="CJ39" s="455">
        <f t="shared" si="7"/>
        <v>101956</v>
      </c>
      <c r="CK39" s="272">
        <v>1223975</v>
      </c>
      <c r="CL39" s="272">
        <v>601681</v>
      </c>
      <c r="CM39" s="272">
        <v>67687</v>
      </c>
      <c r="CN39" s="272">
        <v>319191</v>
      </c>
      <c r="CO39" s="272">
        <v>151828</v>
      </c>
      <c r="CP39" s="272">
        <v>1080628</v>
      </c>
      <c r="CQ39" s="272">
        <v>820662</v>
      </c>
      <c r="CR39" s="272">
        <v>121909</v>
      </c>
      <c r="CS39" s="272">
        <v>118696</v>
      </c>
      <c r="CT39" s="455">
        <f t="shared" si="8"/>
        <v>55306</v>
      </c>
      <c r="CU39" s="272">
        <v>24813</v>
      </c>
      <c r="CV39" s="272">
        <v>30493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605367</v>
      </c>
      <c r="DD39" s="272">
        <v>175121</v>
      </c>
      <c r="DE39" s="272">
        <v>430246</v>
      </c>
      <c r="DF39" s="272">
        <v>0</v>
      </c>
      <c r="DG39" s="272">
        <v>0</v>
      </c>
      <c r="DH39" s="272">
        <v>0</v>
      </c>
      <c r="DI39" s="272">
        <v>125744</v>
      </c>
      <c r="DJ39" s="272">
        <v>125200</v>
      </c>
      <c r="DK39" s="272">
        <v>81</v>
      </c>
      <c r="DL39" s="272">
        <v>463</v>
      </c>
      <c r="DM39" s="272">
        <v>0</v>
      </c>
      <c r="DN39" s="272">
        <v>0</v>
      </c>
      <c r="DO39" s="272">
        <v>0</v>
      </c>
      <c r="DP39" s="272">
        <v>0</v>
      </c>
      <c r="DQ39" s="272">
        <v>4632</v>
      </c>
      <c r="DR39" s="272">
        <v>0</v>
      </c>
      <c r="DS39" s="272">
        <v>0</v>
      </c>
      <c r="DT39" s="272">
        <v>886970</v>
      </c>
      <c r="DU39" s="272">
        <v>338839</v>
      </c>
      <c r="DV39" s="455">
        <f t="shared" si="11"/>
        <v>0</v>
      </c>
      <c r="DW39" s="272">
        <v>0</v>
      </c>
      <c r="DX39" s="272"/>
      <c r="DY39" s="272">
        <v>0</v>
      </c>
      <c r="DZ39" s="272">
        <v>118975</v>
      </c>
      <c r="EA39" s="272">
        <v>147913</v>
      </c>
      <c r="EB39" s="272">
        <v>194851</v>
      </c>
      <c r="EC39" s="272">
        <v>0</v>
      </c>
      <c r="ED39" s="272">
        <v>7402312</v>
      </c>
      <c r="EE39" s="89"/>
      <c r="EF39" s="272">
        <v>393142</v>
      </c>
      <c r="EG39" s="272">
        <v>305053</v>
      </c>
      <c r="EH39" s="272">
        <v>88089</v>
      </c>
      <c r="EI39" s="71">
        <v>-160036</v>
      </c>
      <c r="EJ39" s="272">
        <v>-145616</v>
      </c>
      <c r="EL39" s="272">
        <v>23928</v>
      </c>
      <c r="EM39" s="272">
        <v>24924</v>
      </c>
      <c r="EN39" s="272">
        <v>677464</v>
      </c>
      <c r="EO39" s="272">
        <v>1973</v>
      </c>
      <c r="EP39" s="455">
        <f t="shared" si="12"/>
        <v>380295</v>
      </c>
      <c r="EQ39" s="272">
        <v>5127557</v>
      </c>
      <c r="ER39" s="272">
        <v>-1443513</v>
      </c>
      <c r="ES39" s="272">
        <v>2276019</v>
      </c>
      <c r="ET39" s="272">
        <v>1590833</v>
      </c>
      <c r="EU39" s="272">
        <v>85448</v>
      </c>
      <c r="EV39" s="272">
        <v>606222</v>
      </c>
      <c r="EW39" s="455">
        <f t="shared" si="13"/>
        <v>161314</v>
      </c>
      <c r="EX39" s="272">
        <v>161314</v>
      </c>
      <c r="EY39" s="272">
        <v>242</v>
      </c>
      <c r="EZ39" s="272">
        <v>161072</v>
      </c>
      <c r="FA39" s="272">
        <v>0</v>
      </c>
      <c r="FB39" s="272"/>
      <c r="FC39" s="272">
        <v>969115</v>
      </c>
      <c r="FD39" s="272">
        <v>999470</v>
      </c>
      <c r="FE39" s="272">
        <v>791896</v>
      </c>
      <c r="FF39" s="272">
        <v>804397</v>
      </c>
      <c r="FG39" s="455">
        <f t="shared" si="14"/>
        <v>275943</v>
      </c>
      <c r="FH39" s="272">
        <v>6177928</v>
      </c>
      <c r="FI39" s="384">
        <f t="shared" si="15"/>
        <v>1.9</v>
      </c>
      <c r="FJ39" s="272">
        <v>4650989</v>
      </c>
      <c r="FK39" s="272">
        <v>339144</v>
      </c>
      <c r="FL39" s="272">
        <v>2451609</v>
      </c>
      <c r="FM39" s="272">
        <v>3896369</v>
      </c>
      <c r="FN39" s="460">
        <v>0.626</v>
      </c>
      <c r="FO39" s="388">
        <v>96.2</v>
      </c>
      <c r="FP39" s="388">
        <v>44.9</v>
      </c>
      <c r="FQ39" s="388">
        <v>1.7</v>
      </c>
      <c r="FR39" s="388">
        <v>12.1</v>
      </c>
      <c r="FS39" s="388">
        <v>17.5</v>
      </c>
      <c r="FT39" s="388">
        <v>7</v>
      </c>
      <c r="FU39" s="388">
        <v>10</v>
      </c>
      <c r="FV39" s="388">
        <v>6.9</v>
      </c>
      <c r="FW39" s="272">
        <v>5577718</v>
      </c>
      <c r="FX39" s="384">
        <f t="shared" si="16"/>
        <v>119.9</v>
      </c>
      <c r="FY39" s="272">
        <v>2410612</v>
      </c>
      <c r="FZ39" s="272">
        <v>1018697</v>
      </c>
      <c r="GA39" s="272">
        <v>328450</v>
      </c>
      <c r="GB39" s="272">
        <v>1063465</v>
      </c>
      <c r="GC39" s="272"/>
      <c r="GD39" s="272"/>
      <c r="GE39" s="384"/>
      <c r="GF39" s="388">
        <v>99.2</v>
      </c>
      <c r="GG39" s="388">
        <v>20.7</v>
      </c>
      <c r="GH39" s="388">
        <v>95.7</v>
      </c>
      <c r="GI39" s="272">
        <v>248</v>
      </c>
      <c r="GJ39" s="394"/>
      <c r="GK39" s="394"/>
      <c r="GL39" s="394"/>
      <c r="GM39" s="394"/>
      <c r="GN39" s="394"/>
      <c r="GO39" s="394"/>
      <c r="GP39" s="394"/>
      <c r="GQ39" s="394"/>
      <c r="GR39" s="394"/>
      <c r="GS39" s="394"/>
      <c r="GT39" s="394"/>
      <c r="GU39" s="394"/>
      <c r="GV39" s="394"/>
      <c r="GW39" s="394"/>
      <c r="GX39" s="394"/>
      <c r="GY39" s="394"/>
      <c r="GZ39" s="394"/>
      <c r="HA39" s="394"/>
      <c r="HB39" s="394"/>
      <c r="HC39" s="394"/>
      <c r="HD39" s="394"/>
      <c r="HE39" s="394"/>
      <c r="HF39" s="394"/>
      <c r="HG39" s="394"/>
      <c r="HH39" s="394"/>
      <c r="HI39" s="394"/>
      <c r="HJ39" s="394"/>
      <c r="HK39" s="394"/>
      <c r="HL39" s="394"/>
      <c r="HM39" s="394"/>
      <c r="HN39" s="394"/>
      <c r="HO39" s="394"/>
      <c r="HP39" s="394"/>
      <c r="HQ39" s="394"/>
      <c r="HR39" s="394"/>
      <c r="HS39" s="394"/>
      <c r="HT39" s="394"/>
      <c r="HU39" s="394"/>
      <c r="HV39" s="394"/>
    </row>
    <row r="40" spans="2:230" x14ac:dyDescent="0.15">
      <c r="B40" s="89" t="s">
        <v>73</v>
      </c>
      <c r="C40" s="272">
        <v>1357545</v>
      </c>
      <c r="D40" s="455">
        <f t="shared" si="0"/>
        <v>435552</v>
      </c>
      <c r="E40" s="272">
        <v>14510</v>
      </c>
      <c r="F40" s="272">
        <v>421042</v>
      </c>
      <c r="G40" s="455">
        <f t="shared" si="1"/>
        <v>66603</v>
      </c>
      <c r="H40" s="272">
        <v>18254</v>
      </c>
      <c r="I40" s="272">
        <v>48349</v>
      </c>
      <c r="J40" s="272">
        <v>779492</v>
      </c>
      <c r="K40" s="272">
        <v>180542</v>
      </c>
      <c r="L40" s="272">
        <v>327175</v>
      </c>
      <c r="M40" s="272">
        <v>271453</v>
      </c>
      <c r="N40" s="272">
        <v>48023</v>
      </c>
      <c r="O40" s="272">
        <v>0</v>
      </c>
      <c r="P40" s="272">
        <v>0</v>
      </c>
      <c r="Q40" s="272">
        <v>0</v>
      </c>
      <c r="R40" s="272">
        <v>129474</v>
      </c>
      <c r="S40" s="272">
        <v>49886</v>
      </c>
      <c r="T40" s="455">
        <f t="shared" si="2"/>
        <v>249195</v>
      </c>
      <c r="U40" s="272">
        <v>10996</v>
      </c>
      <c r="V40" s="272">
        <v>5991</v>
      </c>
      <c r="W40" s="272">
        <v>7407</v>
      </c>
      <c r="X40" s="272">
        <v>118103</v>
      </c>
      <c r="Y40" s="272">
        <v>26292</v>
      </c>
      <c r="Z40" s="272">
        <v>0</v>
      </c>
      <c r="AA40" s="272">
        <v>80406</v>
      </c>
      <c r="AB40" s="272">
        <v>43721</v>
      </c>
      <c r="AC40" s="272">
        <v>1531121</v>
      </c>
      <c r="AD40" s="272">
        <v>1203198</v>
      </c>
      <c r="AE40" s="272">
        <v>327923</v>
      </c>
      <c r="AF40" s="272">
        <v>2916</v>
      </c>
      <c r="AG40" s="272">
        <v>9343</v>
      </c>
      <c r="AH40" s="455">
        <f t="shared" si="3"/>
        <v>139551</v>
      </c>
      <c r="AI40" s="272">
        <v>87337</v>
      </c>
      <c r="AJ40" s="272">
        <v>52214</v>
      </c>
      <c r="AK40" s="272">
        <v>109307</v>
      </c>
      <c r="AL40" s="455">
        <f t="shared" si="4"/>
        <v>0</v>
      </c>
      <c r="AM40" s="272">
        <v>0</v>
      </c>
      <c r="AN40" s="272">
        <v>0</v>
      </c>
      <c r="AO40" s="272">
        <v>0</v>
      </c>
      <c r="AP40" s="272">
        <v>0</v>
      </c>
      <c r="AQ40" s="272">
        <v>0</v>
      </c>
      <c r="AR40" s="272">
        <v>19987</v>
      </c>
      <c r="AS40" s="272">
        <v>0</v>
      </c>
      <c r="AT40" s="272">
        <v>296086</v>
      </c>
      <c r="AU40" s="272">
        <v>119232</v>
      </c>
      <c r="AV40" s="272">
        <v>0</v>
      </c>
      <c r="AW40" s="272">
        <v>0</v>
      </c>
      <c r="AX40" s="272">
        <v>176854</v>
      </c>
      <c r="AY40" s="272">
        <v>30980</v>
      </c>
      <c r="AZ40" s="272">
        <v>1879</v>
      </c>
      <c r="BA40" s="272">
        <v>763</v>
      </c>
      <c r="BB40" s="272">
        <v>1290</v>
      </c>
      <c r="BC40" s="272">
        <v>324712</v>
      </c>
      <c r="BD40" s="272">
        <v>153000</v>
      </c>
      <c r="BE40" s="272">
        <v>0</v>
      </c>
      <c r="BF40" s="272">
        <v>85248</v>
      </c>
      <c r="BG40" s="272">
        <v>0</v>
      </c>
      <c r="BH40" s="272">
        <v>198248</v>
      </c>
      <c r="BI40" s="272">
        <v>179437</v>
      </c>
      <c r="BJ40" s="272">
        <v>118867</v>
      </c>
      <c r="BK40" s="272">
        <v>0</v>
      </c>
      <c r="BL40" s="272">
        <v>2236</v>
      </c>
      <c r="BM40" s="272">
        <v>0</v>
      </c>
      <c r="BN40" s="272">
        <v>331400</v>
      </c>
      <c r="BO40" s="455">
        <f t="shared" si="5"/>
        <v>88500</v>
      </c>
      <c r="BP40" s="455">
        <f t="shared" si="6"/>
        <v>242900</v>
      </c>
      <c r="BQ40" s="272">
        <v>16300</v>
      </c>
      <c r="BR40" s="272"/>
      <c r="BS40" s="272">
        <v>226600</v>
      </c>
      <c r="BT40" s="272">
        <v>0</v>
      </c>
      <c r="BU40" s="272">
        <v>4844655</v>
      </c>
      <c r="BV40" s="272"/>
      <c r="BW40" s="272">
        <v>1210362</v>
      </c>
      <c r="BX40" s="272">
        <v>708126</v>
      </c>
      <c r="BY40" s="272">
        <v>65705</v>
      </c>
      <c r="BZ40" s="272">
        <v>172095</v>
      </c>
      <c r="CA40" s="272">
        <v>223749</v>
      </c>
      <c r="CB40" s="272">
        <v>93529</v>
      </c>
      <c r="CC40" s="272">
        <v>22787</v>
      </c>
      <c r="CD40" s="272">
        <v>85550</v>
      </c>
      <c r="CE40" s="272">
        <v>0</v>
      </c>
      <c r="CF40" s="272">
        <v>5354</v>
      </c>
      <c r="CG40" s="272">
        <v>16529</v>
      </c>
      <c r="CH40" s="272">
        <v>422842</v>
      </c>
      <c r="CI40" s="272">
        <v>350446</v>
      </c>
      <c r="CJ40" s="455">
        <f t="shared" si="7"/>
        <v>72396</v>
      </c>
      <c r="CK40" s="272">
        <v>788052</v>
      </c>
      <c r="CL40" s="272">
        <v>481712</v>
      </c>
      <c r="CM40" s="272">
        <v>10222</v>
      </c>
      <c r="CN40" s="272">
        <v>176516</v>
      </c>
      <c r="CO40" s="272">
        <v>41516</v>
      </c>
      <c r="CP40" s="272">
        <v>582544</v>
      </c>
      <c r="CQ40" s="272">
        <v>349987</v>
      </c>
      <c r="CR40" s="272">
        <v>129984</v>
      </c>
      <c r="CS40" s="272">
        <v>92526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314517</v>
      </c>
      <c r="DD40" s="272">
        <v>0</v>
      </c>
      <c r="DE40" s="272">
        <v>305516</v>
      </c>
      <c r="DF40" s="272">
        <v>9001</v>
      </c>
      <c r="DG40" s="272">
        <v>0</v>
      </c>
      <c r="DH40" s="272">
        <v>17096</v>
      </c>
      <c r="DI40" s="272">
        <v>355997</v>
      </c>
      <c r="DJ40" s="272">
        <v>330537</v>
      </c>
      <c r="DK40" s="272">
        <v>0</v>
      </c>
      <c r="DL40" s="272">
        <v>25460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629858</v>
      </c>
      <c r="DU40" s="272">
        <v>164077</v>
      </c>
      <c r="DV40" s="455">
        <f t="shared" si="11"/>
        <v>0</v>
      </c>
      <c r="DW40" s="272">
        <v>0</v>
      </c>
      <c r="DX40" s="272"/>
      <c r="DY40" s="272">
        <v>0</v>
      </c>
      <c r="DZ40" s="272">
        <v>109746</v>
      </c>
      <c r="EA40" s="272">
        <v>154235</v>
      </c>
      <c r="EB40" s="272">
        <v>107752</v>
      </c>
      <c r="EC40" s="272">
        <v>0</v>
      </c>
      <c r="ED40" s="272">
        <v>4586533</v>
      </c>
      <c r="EE40" s="89"/>
      <c r="EF40" s="272">
        <v>258122</v>
      </c>
      <c r="EG40" s="272">
        <v>109397</v>
      </c>
      <c r="EH40" s="272">
        <v>148725</v>
      </c>
      <c r="EI40" s="71">
        <v>-30712</v>
      </c>
      <c r="EJ40" s="272">
        <v>146825</v>
      </c>
      <c r="EL40" s="272">
        <v>12897</v>
      </c>
      <c r="EM40" s="272">
        <v>13379</v>
      </c>
      <c r="EN40" s="272">
        <v>256464</v>
      </c>
      <c r="EO40" s="272">
        <v>865</v>
      </c>
      <c r="EP40" s="455">
        <f t="shared" si="12"/>
        <v>301077</v>
      </c>
      <c r="EQ40" s="272">
        <v>3313972</v>
      </c>
      <c r="ER40" s="272">
        <v>-798390</v>
      </c>
      <c r="ES40" s="272">
        <v>1131135</v>
      </c>
      <c r="ET40" s="272">
        <v>651065</v>
      </c>
      <c r="EU40" s="272">
        <v>93342</v>
      </c>
      <c r="EV40" s="272">
        <v>408583</v>
      </c>
      <c r="EW40" s="455">
        <f t="shared" si="13"/>
        <v>177510</v>
      </c>
      <c r="EX40" s="272">
        <v>177510</v>
      </c>
      <c r="EY40" s="272">
        <v>0</v>
      </c>
      <c r="EZ40" s="272">
        <v>170011</v>
      </c>
      <c r="FA40" s="272">
        <v>0</v>
      </c>
      <c r="FB40" s="272"/>
      <c r="FC40" s="272">
        <v>568417</v>
      </c>
      <c r="FD40" s="272">
        <v>505588</v>
      </c>
      <c r="FE40" s="272">
        <v>348584</v>
      </c>
      <c r="FF40" s="272">
        <v>578936</v>
      </c>
      <c r="FG40" s="455">
        <f t="shared" si="14"/>
        <v>390729</v>
      </c>
      <c r="FH40" s="272">
        <v>3854240</v>
      </c>
      <c r="FI40" s="384">
        <f t="shared" si="15"/>
        <v>5</v>
      </c>
      <c r="FJ40" s="272">
        <v>2990526</v>
      </c>
      <c r="FK40" s="272">
        <v>226683</v>
      </c>
      <c r="FL40" s="272">
        <v>1373681</v>
      </c>
      <c r="FM40" s="272">
        <v>2575656</v>
      </c>
      <c r="FN40" s="460">
        <v>0.53800000000000003</v>
      </c>
      <c r="FO40" s="388">
        <v>85.9</v>
      </c>
      <c r="FP40" s="388">
        <v>33.9</v>
      </c>
      <c r="FQ40" s="388">
        <v>2.9</v>
      </c>
      <c r="FR40" s="388">
        <v>12.6</v>
      </c>
      <c r="FS40" s="388">
        <v>14.4</v>
      </c>
      <c r="FT40" s="388">
        <v>7</v>
      </c>
      <c r="FU40" s="388">
        <v>13.9</v>
      </c>
      <c r="FV40" s="388">
        <v>8.1</v>
      </c>
      <c r="FW40" s="272">
        <v>4312926</v>
      </c>
      <c r="FX40" s="384">
        <f t="shared" si="16"/>
        <v>144.19999999999999</v>
      </c>
      <c r="FY40" s="272">
        <v>2148042</v>
      </c>
      <c r="FZ40" s="272">
        <v>1366726</v>
      </c>
      <c r="GA40" s="272">
        <v>0</v>
      </c>
      <c r="GB40" s="272">
        <v>781316</v>
      </c>
      <c r="GC40" s="272"/>
      <c r="GD40" s="272"/>
      <c r="GE40" s="384"/>
      <c r="GF40" s="388">
        <v>95.2</v>
      </c>
      <c r="GG40" s="388">
        <v>14.6</v>
      </c>
      <c r="GH40" s="388">
        <v>82.1</v>
      </c>
      <c r="GI40" s="272">
        <v>118</v>
      </c>
      <c r="GJ40" s="394"/>
      <c r="GK40" s="394"/>
      <c r="GL40" s="394"/>
      <c r="GM40" s="394"/>
      <c r="GN40" s="394"/>
      <c r="GO40" s="394"/>
      <c r="GP40" s="394"/>
      <c r="GQ40" s="394"/>
      <c r="GR40" s="394"/>
      <c r="GS40" s="394"/>
      <c r="GT40" s="394"/>
      <c r="GU40" s="394"/>
      <c r="GV40" s="394"/>
      <c r="GW40" s="394"/>
      <c r="GX40" s="394"/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</row>
    <row r="41" spans="2:230" x14ac:dyDescent="0.15">
      <c r="B41" s="89" t="s">
        <v>75</v>
      </c>
      <c r="C41" s="272">
        <v>2289042</v>
      </c>
      <c r="D41" s="455">
        <f t="shared" si="0"/>
        <v>533558</v>
      </c>
      <c r="E41" s="272">
        <v>18216</v>
      </c>
      <c r="F41" s="272">
        <v>515342</v>
      </c>
      <c r="G41" s="455">
        <f t="shared" si="1"/>
        <v>198455</v>
      </c>
      <c r="H41" s="272">
        <v>43721</v>
      </c>
      <c r="I41" s="272">
        <v>154734</v>
      </c>
      <c r="J41" s="272">
        <v>1187723</v>
      </c>
      <c r="K41" s="272">
        <v>586377</v>
      </c>
      <c r="L41" s="272">
        <v>424144</v>
      </c>
      <c r="M41" s="272">
        <v>162379</v>
      </c>
      <c r="N41" s="272">
        <v>98527</v>
      </c>
      <c r="O41" s="272">
        <v>249612</v>
      </c>
      <c r="P41" s="272">
        <v>153672</v>
      </c>
      <c r="Q41" s="272">
        <v>95940</v>
      </c>
      <c r="R41" s="272">
        <v>104876</v>
      </c>
      <c r="S41" s="272">
        <v>61572</v>
      </c>
      <c r="T41" s="455">
        <f t="shared" si="2"/>
        <v>247495</v>
      </c>
      <c r="U41" s="272">
        <v>13354</v>
      </c>
      <c r="V41" s="272">
        <v>7277</v>
      </c>
      <c r="W41" s="272">
        <v>9005</v>
      </c>
      <c r="X41" s="272">
        <v>174116</v>
      </c>
      <c r="Y41" s="272">
        <v>0</v>
      </c>
      <c r="Z41" s="272">
        <v>0</v>
      </c>
      <c r="AA41" s="272">
        <v>43743</v>
      </c>
      <c r="AB41" s="272">
        <v>60038</v>
      </c>
      <c r="AC41" s="272">
        <v>1724485</v>
      </c>
      <c r="AD41" s="272">
        <v>1498376</v>
      </c>
      <c r="AE41" s="272">
        <v>226109</v>
      </c>
      <c r="AF41" s="272">
        <v>3701</v>
      </c>
      <c r="AG41" s="272">
        <v>3223</v>
      </c>
      <c r="AH41" s="455">
        <f t="shared" si="3"/>
        <v>177193</v>
      </c>
      <c r="AI41" s="272">
        <v>161916</v>
      </c>
      <c r="AJ41" s="272">
        <v>15277</v>
      </c>
      <c r="AK41" s="272">
        <v>187465</v>
      </c>
      <c r="AL41" s="455">
        <f t="shared" si="4"/>
        <v>20437</v>
      </c>
      <c r="AM41" s="272">
        <v>0</v>
      </c>
      <c r="AN41" s="272">
        <v>20428</v>
      </c>
      <c r="AO41" s="272">
        <v>0</v>
      </c>
      <c r="AP41" s="272">
        <v>9</v>
      </c>
      <c r="AQ41" s="272">
        <v>0</v>
      </c>
      <c r="AR41" s="272">
        <v>0</v>
      </c>
      <c r="AS41" s="272">
        <v>0</v>
      </c>
      <c r="AT41" s="272">
        <v>272633</v>
      </c>
      <c r="AU41" s="272">
        <v>110013</v>
      </c>
      <c r="AV41" s="272">
        <v>10184</v>
      </c>
      <c r="AW41" s="272">
        <v>0</v>
      </c>
      <c r="AX41" s="272">
        <v>162620</v>
      </c>
      <c r="AY41" s="272">
        <v>15924</v>
      </c>
      <c r="AZ41" s="272">
        <v>1290</v>
      </c>
      <c r="BA41" s="272">
        <v>1010</v>
      </c>
      <c r="BB41" s="272">
        <v>602</v>
      </c>
      <c r="BC41" s="272">
        <v>73914</v>
      </c>
      <c r="BD41" s="272">
        <v>55000</v>
      </c>
      <c r="BE41" s="272">
        <v>0</v>
      </c>
      <c r="BF41" s="272">
        <v>18908</v>
      </c>
      <c r="BG41" s="272">
        <v>0</v>
      </c>
      <c r="BH41" s="272">
        <v>1455</v>
      </c>
      <c r="BI41" s="272">
        <v>1455</v>
      </c>
      <c r="BJ41" s="272">
        <v>161919</v>
      </c>
      <c r="BK41" s="272">
        <v>0</v>
      </c>
      <c r="BL41" s="272">
        <v>0</v>
      </c>
      <c r="BM41" s="272">
        <v>0</v>
      </c>
      <c r="BN41" s="272">
        <v>310500</v>
      </c>
      <c r="BO41" s="455">
        <f t="shared" si="5"/>
        <v>21200</v>
      </c>
      <c r="BP41" s="455">
        <f t="shared" si="6"/>
        <v>289300</v>
      </c>
      <c r="BQ41" s="272">
        <v>23100</v>
      </c>
      <c r="BR41" s="272"/>
      <c r="BS41" s="272">
        <v>266200</v>
      </c>
      <c r="BT41" s="272">
        <v>0</v>
      </c>
      <c r="BU41" s="272">
        <v>5619831</v>
      </c>
      <c r="BV41" s="272"/>
      <c r="BW41" s="272">
        <v>1542428</v>
      </c>
      <c r="BX41" s="272">
        <v>1071377</v>
      </c>
      <c r="BY41" s="272">
        <v>140647</v>
      </c>
      <c r="BZ41" s="272">
        <v>18412</v>
      </c>
      <c r="CA41" s="272">
        <v>528903</v>
      </c>
      <c r="CB41" s="272">
        <v>171059</v>
      </c>
      <c r="CC41" s="272">
        <v>54297</v>
      </c>
      <c r="CD41" s="272">
        <v>291309</v>
      </c>
      <c r="CE41" s="272">
        <v>0</v>
      </c>
      <c r="CF41" s="272">
        <v>0</v>
      </c>
      <c r="CG41" s="272">
        <v>12238</v>
      </c>
      <c r="CH41" s="272">
        <v>707720</v>
      </c>
      <c r="CI41" s="272">
        <v>556289</v>
      </c>
      <c r="CJ41" s="455">
        <f t="shared" si="7"/>
        <v>151431</v>
      </c>
      <c r="CK41" s="272">
        <v>1043252</v>
      </c>
      <c r="CL41" s="272">
        <v>658037</v>
      </c>
      <c r="CM41" s="272">
        <v>67333</v>
      </c>
      <c r="CN41" s="272">
        <v>203440</v>
      </c>
      <c r="CO41" s="272">
        <v>134606</v>
      </c>
      <c r="CP41" s="272">
        <v>337285</v>
      </c>
      <c r="CQ41" s="272">
        <v>1869</v>
      </c>
      <c r="CR41" s="272">
        <v>43948</v>
      </c>
      <c r="CS41" s="272">
        <v>33562</v>
      </c>
      <c r="CT41" s="455">
        <f t="shared" si="8"/>
        <v>166686</v>
      </c>
      <c r="CU41" s="272">
        <v>138266</v>
      </c>
      <c r="CV41" s="272">
        <v>28420</v>
      </c>
      <c r="CW41" s="455">
        <f t="shared" si="9"/>
        <v>156686</v>
      </c>
      <c r="CX41" s="272">
        <v>137853</v>
      </c>
      <c r="CY41" s="272">
        <v>18833</v>
      </c>
      <c r="CZ41" s="455">
        <f t="shared" si="10"/>
        <v>0</v>
      </c>
      <c r="DA41" s="272">
        <v>0</v>
      </c>
      <c r="DB41" s="272">
        <v>0</v>
      </c>
      <c r="DC41" s="272">
        <v>149205</v>
      </c>
      <c r="DD41" s="272">
        <v>0</v>
      </c>
      <c r="DE41" s="272">
        <v>149205</v>
      </c>
      <c r="DF41" s="272">
        <v>0</v>
      </c>
      <c r="DG41" s="272">
        <v>0</v>
      </c>
      <c r="DH41" s="272">
        <v>0</v>
      </c>
      <c r="DI41" s="272">
        <v>45107</v>
      </c>
      <c r="DJ41" s="272">
        <v>45057</v>
      </c>
      <c r="DK41" s="272">
        <v>0</v>
      </c>
      <c r="DL41" s="272">
        <v>50</v>
      </c>
      <c r="DM41" s="272">
        <v>0</v>
      </c>
      <c r="DN41" s="272">
        <v>0</v>
      </c>
      <c r="DO41" s="272">
        <v>0</v>
      </c>
      <c r="DP41" s="272">
        <v>0</v>
      </c>
      <c r="DQ41" s="272">
        <v>0</v>
      </c>
      <c r="DR41" s="272">
        <v>0</v>
      </c>
      <c r="DS41" s="272">
        <v>0</v>
      </c>
      <c r="DT41" s="272">
        <v>1129495</v>
      </c>
      <c r="DU41" s="272">
        <v>677849</v>
      </c>
      <c r="DV41" s="455">
        <f t="shared" si="11"/>
        <v>0</v>
      </c>
      <c r="DW41" s="272">
        <v>0</v>
      </c>
      <c r="DX41" s="272"/>
      <c r="DY41" s="272">
        <v>0</v>
      </c>
      <c r="DZ41" s="272">
        <v>171119</v>
      </c>
      <c r="EA41" s="272">
        <v>118028</v>
      </c>
      <c r="EB41" s="272">
        <v>162499</v>
      </c>
      <c r="EC41" s="272">
        <v>0</v>
      </c>
      <c r="ED41" s="272">
        <v>5618001</v>
      </c>
      <c r="EE41" s="89"/>
      <c r="EF41" s="272">
        <v>1830</v>
      </c>
      <c r="EG41" s="272">
        <v>0</v>
      </c>
      <c r="EH41" s="272">
        <v>1830</v>
      </c>
      <c r="EI41" s="71">
        <v>375</v>
      </c>
      <c r="EJ41" s="272">
        <v>-9568</v>
      </c>
      <c r="EL41" s="272">
        <v>17586</v>
      </c>
      <c r="EM41" s="272">
        <v>17549</v>
      </c>
      <c r="EN41" s="272">
        <v>55006</v>
      </c>
      <c r="EO41" s="272">
        <v>1233</v>
      </c>
      <c r="EP41" s="455">
        <f t="shared" si="12"/>
        <v>115337</v>
      </c>
      <c r="EQ41" s="272">
        <v>4429637</v>
      </c>
      <c r="ER41" s="272">
        <v>-457175</v>
      </c>
      <c r="ES41" s="272">
        <v>1436790</v>
      </c>
      <c r="ET41" s="272">
        <v>988083</v>
      </c>
      <c r="EU41" s="272">
        <v>239401</v>
      </c>
      <c r="EV41" s="272">
        <v>707720</v>
      </c>
      <c r="EW41" s="455">
        <f t="shared" si="13"/>
        <v>48084</v>
      </c>
      <c r="EX41" s="272">
        <v>48084</v>
      </c>
      <c r="EY41" s="272">
        <v>0</v>
      </c>
      <c r="EZ41" s="272">
        <v>48084</v>
      </c>
      <c r="FA41" s="272">
        <v>0</v>
      </c>
      <c r="FB41" s="272"/>
      <c r="FC41" s="272">
        <v>897100</v>
      </c>
      <c r="FD41" s="272">
        <v>316682</v>
      </c>
      <c r="FE41" s="272">
        <v>1869</v>
      </c>
      <c r="FF41" s="272">
        <v>1060408</v>
      </c>
      <c r="FG41" s="455">
        <f t="shared" si="14"/>
        <v>178797</v>
      </c>
      <c r="FH41" s="272">
        <v>4884982</v>
      </c>
      <c r="FI41" s="384">
        <f t="shared" si="15"/>
        <v>0</v>
      </c>
      <c r="FJ41" s="272">
        <v>3903749</v>
      </c>
      <c r="FK41" s="272">
        <v>266207</v>
      </c>
      <c r="FL41" s="272">
        <v>1831743</v>
      </c>
      <c r="FM41" s="272">
        <v>3330119</v>
      </c>
      <c r="FN41" s="460">
        <v>0.54300000000000004</v>
      </c>
      <c r="FO41" s="388">
        <v>104.2</v>
      </c>
      <c r="FP41" s="388">
        <v>30.9</v>
      </c>
      <c r="FQ41" s="388">
        <v>5.6</v>
      </c>
      <c r="FR41" s="388">
        <v>16.600000000000001</v>
      </c>
      <c r="FS41" s="388">
        <v>20.6</v>
      </c>
      <c r="FT41" s="388">
        <v>6.3</v>
      </c>
      <c r="FU41" s="388">
        <v>21</v>
      </c>
      <c r="FV41" s="388">
        <v>15.4</v>
      </c>
      <c r="FW41" s="272">
        <v>7467691</v>
      </c>
      <c r="FX41" s="384">
        <f t="shared" si="16"/>
        <v>191.3</v>
      </c>
      <c r="FY41" s="272">
        <v>1092660</v>
      </c>
      <c r="FZ41" s="272">
        <v>594788</v>
      </c>
      <c r="GA41" s="272">
        <v>0</v>
      </c>
      <c r="GB41" s="272">
        <v>497872</v>
      </c>
      <c r="GC41" s="272"/>
      <c r="GD41" s="272"/>
      <c r="GE41" s="384"/>
      <c r="GF41" s="388">
        <v>97.3</v>
      </c>
      <c r="GG41" s="388">
        <v>20.3</v>
      </c>
      <c r="GH41" s="388">
        <v>88.8</v>
      </c>
      <c r="GI41" s="272">
        <v>170</v>
      </c>
      <c r="GJ41" s="394"/>
      <c r="GK41" s="394"/>
      <c r="GL41" s="394"/>
      <c r="GM41" s="394"/>
      <c r="GN41" s="394"/>
      <c r="GO41" s="394"/>
      <c r="GP41" s="394"/>
      <c r="GQ41" s="394"/>
      <c r="GR41" s="394"/>
      <c r="GS41" s="394"/>
      <c r="GT41" s="394"/>
      <c r="GU41" s="394"/>
      <c r="GV41" s="394"/>
      <c r="GW41" s="394"/>
      <c r="GX41" s="394"/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</row>
    <row r="42" spans="2:230" x14ac:dyDescent="0.15">
      <c r="B42" s="89" t="s">
        <v>77</v>
      </c>
      <c r="C42" s="272">
        <v>4311957</v>
      </c>
      <c r="D42" s="455">
        <f t="shared" si="0"/>
        <v>1919624</v>
      </c>
      <c r="E42" s="272">
        <v>50290</v>
      </c>
      <c r="F42" s="272">
        <v>1869334</v>
      </c>
      <c r="G42" s="455">
        <f t="shared" si="1"/>
        <v>229286</v>
      </c>
      <c r="H42" s="272">
        <v>44206</v>
      </c>
      <c r="I42" s="272">
        <v>185080</v>
      </c>
      <c r="J42" s="272">
        <v>1934907</v>
      </c>
      <c r="K42" s="272">
        <v>812584</v>
      </c>
      <c r="L42" s="272">
        <v>891617</v>
      </c>
      <c r="M42" s="272">
        <v>216555</v>
      </c>
      <c r="N42" s="272">
        <v>166199</v>
      </c>
      <c r="O42" s="272">
        <v>0</v>
      </c>
      <c r="P42" s="272">
        <v>0</v>
      </c>
      <c r="Q42" s="272">
        <v>0</v>
      </c>
      <c r="R42" s="272">
        <v>261464</v>
      </c>
      <c r="S42" s="272">
        <v>150912</v>
      </c>
      <c r="T42" s="455">
        <f t="shared" si="2"/>
        <v>551768</v>
      </c>
      <c r="U42" s="272">
        <v>45880</v>
      </c>
      <c r="V42" s="272">
        <v>25021</v>
      </c>
      <c r="W42" s="272">
        <v>31018</v>
      </c>
      <c r="X42" s="272">
        <v>325715</v>
      </c>
      <c r="Y42" s="272">
        <v>12466</v>
      </c>
      <c r="Z42" s="272">
        <v>0</v>
      </c>
      <c r="AA42" s="272">
        <v>111668</v>
      </c>
      <c r="AB42" s="272">
        <v>188509</v>
      </c>
      <c r="AC42" s="272">
        <v>2074061</v>
      </c>
      <c r="AD42" s="272">
        <v>1898205</v>
      </c>
      <c r="AE42" s="272">
        <v>175856</v>
      </c>
      <c r="AF42" s="272">
        <v>8711</v>
      </c>
      <c r="AG42" s="272">
        <v>4902</v>
      </c>
      <c r="AH42" s="455">
        <f t="shared" si="3"/>
        <v>289520</v>
      </c>
      <c r="AI42" s="272">
        <v>259940</v>
      </c>
      <c r="AJ42" s="272">
        <v>29580</v>
      </c>
      <c r="AK42" s="272">
        <v>774708</v>
      </c>
      <c r="AL42" s="455">
        <f t="shared" si="4"/>
        <v>26058</v>
      </c>
      <c r="AM42" s="272">
        <v>0</v>
      </c>
      <c r="AN42" s="272">
        <v>25819</v>
      </c>
      <c r="AO42" s="272">
        <v>0</v>
      </c>
      <c r="AP42" s="272">
        <v>239</v>
      </c>
      <c r="AQ42" s="272">
        <v>383311</v>
      </c>
      <c r="AR42" s="272">
        <v>0</v>
      </c>
      <c r="AS42" s="272">
        <v>0</v>
      </c>
      <c r="AT42" s="272">
        <v>542644</v>
      </c>
      <c r="AU42" s="272">
        <v>230485</v>
      </c>
      <c r="AV42" s="272">
        <v>12986</v>
      </c>
      <c r="AW42" s="272">
        <v>35395</v>
      </c>
      <c r="AX42" s="272">
        <v>312159</v>
      </c>
      <c r="AY42" s="272">
        <v>26511</v>
      </c>
      <c r="AZ42" s="272">
        <v>6180</v>
      </c>
      <c r="BA42" s="272">
        <v>819</v>
      </c>
      <c r="BB42" s="272">
        <v>150</v>
      </c>
      <c r="BC42" s="272">
        <v>1570080</v>
      </c>
      <c r="BD42" s="272">
        <v>420000</v>
      </c>
      <c r="BE42" s="272">
        <v>0</v>
      </c>
      <c r="BF42" s="272">
        <v>1150000</v>
      </c>
      <c r="BG42" s="272">
        <v>0</v>
      </c>
      <c r="BH42" s="272">
        <v>131162</v>
      </c>
      <c r="BI42" s="272">
        <v>95435</v>
      </c>
      <c r="BJ42" s="272">
        <v>276726</v>
      </c>
      <c r="BK42" s="272">
        <v>0</v>
      </c>
      <c r="BL42" s="272">
        <v>0</v>
      </c>
      <c r="BM42" s="272">
        <v>0</v>
      </c>
      <c r="BN42" s="272">
        <v>1122100</v>
      </c>
      <c r="BO42" s="455">
        <f t="shared" si="5"/>
        <v>547100</v>
      </c>
      <c r="BP42" s="455">
        <f t="shared" si="6"/>
        <v>575000</v>
      </c>
      <c r="BQ42" s="272">
        <v>69000</v>
      </c>
      <c r="BR42" s="272"/>
      <c r="BS42" s="272">
        <v>506000</v>
      </c>
      <c r="BT42" s="272">
        <v>0</v>
      </c>
      <c r="BU42" s="272">
        <v>12114642</v>
      </c>
      <c r="BV42" s="272"/>
      <c r="BW42" s="272">
        <v>3206458</v>
      </c>
      <c r="BX42" s="272">
        <v>2336556</v>
      </c>
      <c r="BY42" s="272">
        <v>170285</v>
      </c>
      <c r="BZ42" s="272">
        <v>118627</v>
      </c>
      <c r="CA42" s="272">
        <v>940956</v>
      </c>
      <c r="CB42" s="272">
        <v>292480</v>
      </c>
      <c r="CC42" s="272">
        <v>69642</v>
      </c>
      <c r="CD42" s="272">
        <v>518986</v>
      </c>
      <c r="CE42" s="272">
        <v>0</v>
      </c>
      <c r="CF42" s="272">
        <v>0</v>
      </c>
      <c r="CG42" s="272">
        <v>59848</v>
      </c>
      <c r="CH42" s="272">
        <v>1447794</v>
      </c>
      <c r="CI42" s="272">
        <v>1205570</v>
      </c>
      <c r="CJ42" s="455">
        <f t="shared" si="7"/>
        <v>242224</v>
      </c>
      <c r="CK42" s="272">
        <v>1858214</v>
      </c>
      <c r="CL42" s="272">
        <v>851862</v>
      </c>
      <c r="CM42" s="272">
        <v>174616</v>
      </c>
      <c r="CN42" s="272">
        <v>464788</v>
      </c>
      <c r="CO42" s="272">
        <v>188778</v>
      </c>
      <c r="CP42" s="272">
        <v>414319</v>
      </c>
      <c r="CQ42" s="272">
        <v>0</v>
      </c>
      <c r="CR42" s="272">
        <v>267047</v>
      </c>
      <c r="CS42" s="272">
        <v>103580</v>
      </c>
      <c r="CT42" s="455">
        <f t="shared" si="8"/>
        <v>7131</v>
      </c>
      <c r="CU42" s="272">
        <v>5799</v>
      </c>
      <c r="CV42" s="272">
        <v>1332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2514731</v>
      </c>
      <c r="DD42" s="272">
        <v>871975</v>
      </c>
      <c r="DE42" s="272">
        <v>1626632</v>
      </c>
      <c r="DF42" s="272">
        <v>16124</v>
      </c>
      <c r="DG42" s="272">
        <v>0</v>
      </c>
      <c r="DH42" s="272">
        <v>9303</v>
      </c>
      <c r="DI42" s="272">
        <v>51279</v>
      </c>
      <c r="DJ42" s="272">
        <v>48000</v>
      </c>
      <c r="DK42" s="272">
        <v>825</v>
      </c>
      <c r="DL42" s="272">
        <v>2454</v>
      </c>
      <c r="DM42" s="272">
        <v>5000</v>
      </c>
      <c r="DN42" s="272">
        <v>5000</v>
      </c>
      <c r="DO42" s="272">
        <v>5000</v>
      </c>
      <c r="DP42" s="272">
        <v>0</v>
      </c>
      <c r="DQ42" s="272">
        <v>0</v>
      </c>
      <c r="DR42" s="272">
        <v>0</v>
      </c>
      <c r="DS42" s="272">
        <v>0</v>
      </c>
      <c r="DT42" s="272">
        <v>1298306</v>
      </c>
      <c r="DU42" s="272">
        <v>546400</v>
      </c>
      <c r="DV42" s="455">
        <f t="shared" si="11"/>
        <v>0</v>
      </c>
      <c r="DW42" s="272">
        <v>0</v>
      </c>
      <c r="DX42" s="272"/>
      <c r="DY42" s="272">
        <v>0</v>
      </c>
      <c r="DZ42" s="272">
        <v>223682</v>
      </c>
      <c r="EA42" s="272">
        <v>225832</v>
      </c>
      <c r="EB42" s="272">
        <v>301955</v>
      </c>
      <c r="EC42" s="272">
        <v>0</v>
      </c>
      <c r="ED42" s="272">
        <v>11935138</v>
      </c>
      <c r="EE42" s="89"/>
      <c r="EF42" s="272">
        <v>179504</v>
      </c>
      <c r="EG42" s="272">
        <v>128705</v>
      </c>
      <c r="EH42" s="272">
        <v>50799</v>
      </c>
      <c r="EI42" s="71">
        <v>-44636</v>
      </c>
      <c r="EJ42" s="272">
        <v>-416636</v>
      </c>
      <c r="EL42" s="272">
        <v>44505</v>
      </c>
      <c r="EM42" s="272">
        <v>44064</v>
      </c>
      <c r="EN42" s="272">
        <v>420080</v>
      </c>
      <c r="EO42" s="272">
        <v>2299</v>
      </c>
      <c r="EP42" s="455">
        <f t="shared" si="12"/>
        <v>338945</v>
      </c>
      <c r="EQ42" s="272">
        <v>7396470</v>
      </c>
      <c r="ER42" s="272">
        <v>-1327613</v>
      </c>
      <c r="ES42" s="272">
        <v>2996664</v>
      </c>
      <c r="ET42" s="272">
        <v>2150110</v>
      </c>
      <c r="EU42" s="272">
        <v>436532</v>
      </c>
      <c r="EV42" s="272">
        <v>1447794</v>
      </c>
      <c r="EW42" s="455">
        <f t="shared" si="13"/>
        <v>317670</v>
      </c>
      <c r="EX42" s="272">
        <v>314216</v>
      </c>
      <c r="EY42" s="272">
        <v>10634</v>
      </c>
      <c r="EZ42" s="272">
        <v>302658</v>
      </c>
      <c r="FA42" s="272">
        <v>3454</v>
      </c>
      <c r="FB42" s="272"/>
      <c r="FC42" s="272">
        <v>1567786</v>
      </c>
      <c r="FD42" s="272">
        <v>345455</v>
      </c>
      <c r="FE42" s="272">
        <v>0</v>
      </c>
      <c r="FF42" s="272">
        <v>1198718</v>
      </c>
      <c r="FG42" s="455">
        <f t="shared" si="14"/>
        <v>233960</v>
      </c>
      <c r="FH42" s="272">
        <v>8544579</v>
      </c>
      <c r="FI42" s="384">
        <f t="shared" si="15"/>
        <v>0.7</v>
      </c>
      <c r="FJ42" s="272">
        <v>7227238</v>
      </c>
      <c r="FK42" s="272">
        <v>506091</v>
      </c>
      <c r="FL42" s="272">
        <v>4064945</v>
      </c>
      <c r="FM42" s="272">
        <v>5945173</v>
      </c>
      <c r="FN42" s="460">
        <v>0.67500000000000004</v>
      </c>
      <c r="FO42" s="388">
        <v>95.2</v>
      </c>
      <c r="FP42" s="388">
        <v>36.200000000000003</v>
      </c>
      <c r="FQ42" s="388">
        <v>5.5</v>
      </c>
      <c r="FR42" s="388">
        <v>18.3</v>
      </c>
      <c r="FS42" s="388">
        <v>19</v>
      </c>
      <c r="FT42" s="388">
        <v>4</v>
      </c>
      <c r="FU42" s="388">
        <v>9.9</v>
      </c>
      <c r="FV42" s="388">
        <v>11.8</v>
      </c>
      <c r="FW42" s="272">
        <v>10945175</v>
      </c>
      <c r="FX42" s="384">
        <f t="shared" si="16"/>
        <v>151.4</v>
      </c>
      <c r="FY42" s="272">
        <v>5279006</v>
      </c>
      <c r="FZ42" s="272">
        <v>1477158</v>
      </c>
      <c r="GA42" s="272">
        <v>609102</v>
      </c>
      <c r="GB42" s="272">
        <v>3192746</v>
      </c>
      <c r="GC42" s="272"/>
      <c r="GD42" s="272">
        <v>778818</v>
      </c>
      <c r="GE42" s="384">
        <f>ROUND(GD42/FJ42*100,1)</f>
        <v>10.8</v>
      </c>
      <c r="GF42" s="388">
        <v>97.8</v>
      </c>
      <c r="GG42" s="388">
        <v>20.6</v>
      </c>
      <c r="GH42" s="388">
        <v>90.8</v>
      </c>
      <c r="GI42" s="272">
        <v>367</v>
      </c>
      <c r="GJ42" s="394"/>
      <c r="GK42" s="394"/>
      <c r="GL42" s="394"/>
      <c r="GM42" s="394"/>
      <c r="GN42" s="394"/>
      <c r="GO42" s="394"/>
      <c r="GP42" s="394"/>
      <c r="GQ42" s="394"/>
      <c r="GR42" s="394"/>
      <c r="GS42" s="394"/>
      <c r="GT42" s="394"/>
      <c r="GU42" s="394"/>
      <c r="GV42" s="394"/>
      <c r="GW42" s="394"/>
      <c r="GX42" s="394"/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</row>
    <row r="43" spans="2:230" x14ac:dyDescent="0.15">
      <c r="B43" s="89" t="s">
        <v>79</v>
      </c>
      <c r="C43" s="272">
        <v>4321365</v>
      </c>
      <c r="D43" s="455">
        <f t="shared" si="0"/>
        <v>245285</v>
      </c>
      <c r="E43" s="272">
        <v>7984</v>
      </c>
      <c r="F43" s="272">
        <v>237301</v>
      </c>
      <c r="G43" s="455">
        <f t="shared" si="1"/>
        <v>133331</v>
      </c>
      <c r="H43" s="272">
        <v>41643</v>
      </c>
      <c r="I43" s="272">
        <v>91688</v>
      </c>
      <c r="J43" s="272">
        <v>2232683</v>
      </c>
      <c r="K43" s="272">
        <v>1095600</v>
      </c>
      <c r="L43" s="272">
        <v>828530</v>
      </c>
      <c r="M43" s="272">
        <v>255190</v>
      </c>
      <c r="N43" s="272">
        <v>1700608</v>
      </c>
      <c r="O43" s="272">
        <v>0</v>
      </c>
      <c r="P43" s="272">
        <v>0</v>
      </c>
      <c r="Q43" s="272">
        <v>0</v>
      </c>
      <c r="R43" s="272">
        <v>68221</v>
      </c>
      <c r="S43" s="272">
        <v>23860</v>
      </c>
      <c r="T43" s="455">
        <f t="shared" si="2"/>
        <v>135511</v>
      </c>
      <c r="U43" s="272">
        <v>6149</v>
      </c>
      <c r="V43" s="272">
        <v>3355</v>
      </c>
      <c r="W43" s="272">
        <v>4164</v>
      </c>
      <c r="X43" s="272">
        <v>102691</v>
      </c>
      <c r="Y43" s="272">
        <v>0</v>
      </c>
      <c r="Z43" s="272">
        <v>0</v>
      </c>
      <c r="AA43" s="272">
        <v>19152</v>
      </c>
      <c r="AB43" s="272">
        <v>0</v>
      </c>
      <c r="AC43" s="272">
        <v>12244</v>
      </c>
      <c r="AD43" s="272">
        <v>0</v>
      </c>
      <c r="AE43" s="272">
        <v>12244</v>
      </c>
      <c r="AF43" s="272">
        <v>1274</v>
      </c>
      <c r="AG43" s="272">
        <v>1322</v>
      </c>
      <c r="AH43" s="455">
        <f t="shared" si="3"/>
        <v>79684</v>
      </c>
      <c r="AI43" s="272">
        <v>74062</v>
      </c>
      <c r="AJ43" s="272">
        <v>5622</v>
      </c>
      <c r="AK43" s="272">
        <v>364306</v>
      </c>
      <c r="AL43" s="455">
        <f t="shared" si="4"/>
        <v>185</v>
      </c>
      <c r="AM43" s="272">
        <v>0</v>
      </c>
      <c r="AN43" s="272">
        <v>0</v>
      </c>
      <c r="AO43" s="272">
        <v>0</v>
      </c>
      <c r="AP43" s="272">
        <v>185</v>
      </c>
      <c r="AQ43" s="272">
        <v>272364</v>
      </c>
      <c r="AR43" s="272">
        <v>0</v>
      </c>
      <c r="AS43" s="272">
        <v>0</v>
      </c>
      <c r="AT43" s="272">
        <v>123532</v>
      </c>
      <c r="AU43" s="272">
        <v>56061</v>
      </c>
      <c r="AV43" s="272">
        <v>0</v>
      </c>
      <c r="AW43" s="272">
        <v>0</v>
      </c>
      <c r="AX43" s="272">
        <v>67471</v>
      </c>
      <c r="AY43" s="272">
        <v>262</v>
      </c>
      <c r="AZ43" s="272">
        <v>58635</v>
      </c>
      <c r="BA43" s="272">
        <v>55812</v>
      </c>
      <c r="BB43" s="272">
        <v>20050</v>
      </c>
      <c r="BC43" s="272">
        <v>0</v>
      </c>
      <c r="BD43" s="272">
        <v>0</v>
      </c>
      <c r="BE43" s="272">
        <v>0</v>
      </c>
      <c r="BF43" s="272">
        <v>0</v>
      </c>
      <c r="BG43" s="272">
        <v>0</v>
      </c>
      <c r="BH43" s="272">
        <v>165104</v>
      </c>
      <c r="BI43" s="272">
        <v>151754</v>
      </c>
      <c r="BJ43" s="272">
        <v>122737</v>
      </c>
      <c r="BK43" s="272">
        <v>60000</v>
      </c>
      <c r="BL43" s="272">
        <v>0</v>
      </c>
      <c r="BM43" s="272">
        <v>0</v>
      </c>
      <c r="BN43" s="272">
        <v>272300</v>
      </c>
      <c r="BO43" s="455">
        <f t="shared" si="5"/>
        <v>272300</v>
      </c>
      <c r="BP43" s="455">
        <f t="shared" si="6"/>
        <v>0</v>
      </c>
      <c r="BQ43" s="272">
        <v>0</v>
      </c>
      <c r="BR43" s="272"/>
      <c r="BS43" s="272">
        <v>0</v>
      </c>
      <c r="BT43" s="272">
        <v>0</v>
      </c>
      <c r="BU43" s="272">
        <v>5746285</v>
      </c>
      <c r="BV43" s="272"/>
      <c r="BW43" s="272">
        <v>1364765</v>
      </c>
      <c r="BX43" s="272">
        <v>855980</v>
      </c>
      <c r="BY43" s="272">
        <v>99326</v>
      </c>
      <c r="BZ43" s="272">
        <v>141586</v>
      </c>
      <c r="CA43" s="272">
        <v>192654</v>
      </c>
      <c r="CB43" s="272">
        <v>67308</v>
      </c>
      <c r="CC43" s="272">
        <v>35423</v>
      </c>
      <c r="CD43" s="272">
        <v>85227</v>
      </c>
      <c r="CE43" s="272">
        <v>0</v>
      </c>
      <c r="CF43" s="272">
        <v>0</v>
      </c>
      <c r="CG43" s="272">
        <v>4696</v>
      </c>
      <c r="CH43" s="272">
        <v>531752</v>
      </c>
      <c r="CI43" s="272">
        <v>424978</v>
      </c>
      <c r="CJ43" s="455">
        <f t="shared" si="7"/>
        <v>106774</v>
      </c>
      <c r="CK43" s="272">
        <v>469095</v>
      </c>
      <c r="CL43" s="272">
        <v>251270</v>
      </c>
      <c r="CM43" s="272">
        <v>21663</v>
      </c>
      <c r="CN43" s="272">
        <v>131484</v>
      </c>
      <c r="CO43" s="272">
        <v>15535</v>
      </c>
      <c r="CP43" s="272">
        <v>1477868</v>
      </c>
      <c r="CQ43" s="272">
        <v>127931</v>
      </c>
      <c r="CR43" s="272">
        <v>198200</v>
      </c>
      <c r="CS43" s="272">
        <v>197733</v>
      </c>
      <c r="CT43" s="455">
        <f t="shared" si="8"/>
        <v>16022</v>
      </c>
      <c r="CU43" s="272">
        <v>0</v>
      </c>
      <c r="CV43" s="272">
        <v>16022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737461</v>
      </c>
      <c r="DD43" s="272">
        <v>552709</v>
      </c>
      <c r="DE43" s="272">
        <v>184752</v>
      </c>
      <c r="DF43" s="272">
        <v>0</v>
      </c>
      <c r="DG43" s="272">
        <v>0</v>
      </c>
      <c r="DH43" s="272">
        <v>0</v>
      </c>
      <c r="DI43" s="272">
        <v>106691</v>
      </c>
      <c r="DJ43" s="272">
        <v>86487</v>
      </c>
      <c r="DK43" s="272">
        <v>0</v>
      </c>
      <c r="DL43" s="272">
        <v>20204</v>
      </c>
      <c r="DM43" s="272">
        <v>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595676</v>
      </c>
      <c r="DU43" s="272">
        <v>397498</v>
      </c>
      <c r="DV43" s="455">
        <f t="shared" si="11"/>
        <v>0</v>
      </c>
      <c r="DW43" s="272">
        <v>0</v>
      </c>
      <c r="DX43" s="272"/>
      <c r="DY43" s="272">
        <v>0</v>
      </c>
      <c r="DZ43" s="272">
        <v>62271</v>
      </c>
      <c r="EA43" s="272">
        <v>55123</v>
      </c>
      <c r="EB43" s="272">
        <v>80782</v>
      </c>
      <c r="EC43" s="272">
        <v>0</v>
      </c>
      <c r="ED43" s="272">
        <v>5491497</v>
      </c>
      <c r="EE43" s="89"/>
      <c r="EF43" s="272">
        <v>254788</v>
      </c>
      <c r="EG43" s="272">
        <v>0</v>
      </c>
      <c r="EH43" s="272">
        <v>254788</v>
      </c>
      <c r="EI43" s="71">
        <v>103034</v>
      </c>
      <c r="EJ43" s="272">
        <v>189521</v>
      </c>
      <c r="EL43" s="272">
        <v>7240</v>
      </c>
      <c r="EM43" s="272">
        <v>7782</v>
      </c>
      <c r="EN43" s="272">
        <v>0</v>
      </c>
      <c r="EO43" s="272">
        <v>55393</v>
      </c>
      <c r="EP43" s="455">
        <f t="shared" si="12"/>
        <v>259569</v>
      </c>
      <c r="EQ43" s="272">
        <v>4538615</v>
      </c>
      <c r="ER43" s="272">
        <v>-313688</v>
      </c>
      <c r="ES43" s="272">
        <v>1301590</v>
      </c>
      <c r="ET43" s="272">
        <v>805822</v>
      </c>
      <c r="EU43" s="272">
        <v>68115</v>
      </c>
      <c r="EV43" s="272">
        <v>531752</v>
      </c>
      <c r="EW43" s="455">
        <f t="shared" si="13"/>
        <v>185656</v>
      </c>
      <c r="EX43" s="272">
        <v>185656</v>
      </c>
      <c r="EY43" s="272">
        <v>8045</v>
      </c>
      <c r="EZ43" s="272">
        <v>177611</v>
      </c>
      <c r="FA43" s="272">
        <v>0</v>
      </c>
      <c r="FB43" s="272"/>
      <c r="FC43" s="272">
        <v>375771</v>
      </c>
      <c r="FD43" s="272">
        <v>1465980</v>
      </c>
      <c r="FE43" s="272">
        <v>127931</v>
      </c>
      <c r="FF43" s="272">
        <v>569495</v>
      </c>
      <c r="FG43" s="455">
        <f t="shared" si="14"/>
        <v>99156</v>
      </c>
      <c r="FH43" s="272">
        <v>4597515</v>
      </c>
      <c r="FI43" s="384">
        <f t="shared" si="15"/>
        <v>6.3</v>
      </c>
      <c r="FJ43" s="272">
        <v>4055371</v>
      </c>
      <c r="FK43" s="272">
        <v>162596</v>
      </c>
      <c r="FL43" s="272">
        <v>3058874</v>
      </c>
      <c r="FM43" s="272">
        <v>1685947</v>
      </c>
      <c r="FN43" s="460">
        <v>2.4870000000000001</v>
      </c>
      <c r="FO43" s="388">
        <v>66.7</v>
      </c>
      <c r="FP43" s="388">
        <v>27.6</v>
      </c>
      <c r="FQ43" s="388">
        <v>1.5</v>
      </c>
      <c r="FR43" s="388">
        <v>11.7</v>
      </c>
      <c r="FS43" s="388">
        <v>7.3</v>
      </c>
      <c r="FT43" s="388">
        <v>8.9</v>
      </c>
      <c r="FU43" s="388">
        <v>9.3000000000000007</v>
      </c>
      <c r="FV43" s="388">
        <v>11.4</v>
      </c>
      <c r="FW43" s="272">
        <v>5553143</v>
      </c>
      <c r="FX43" s="384">
        <f t="shared" si="16"/>
        <v>136.9</v>
      </c>
      <c r="FY43" s="272">
        <v>4092167</v>
      </c>
      <c r="FZ43" s="272">
        <v>3626103</v>
      </c>
      <c r="GA43" s="272">
        <v>0</v>
      </c>
      <c r="GB43" s="272">
        <v>466064</v>
      </c>
      <c r="GC43" s="272"/>
      <c r="GD43" s="272">
        <v>819496</v>
      </c>
      <c r="GE43" s="384">
        <f>ROUND(GD43/FJ43*100,1)</f>
        <v>20.2</v>
      </c>
      <c r="GF43" s="388">
        <v>99.8</v>
      </c>
      <c r="GG43" s="388">
        <v>37.5</v>
      </c>
      <c r="GH43" s="388">
        <v>99.3</v>
      </c>
      <c r="GI43" s="272">
        <v>134</v>
      </c>
      <c r="GJ43" s="394"/>
      <c r="GK43" s="394"/>
      <c r="GL43" s="394"/>
      <c r="GM43" s="394"/>
      <c r="GN43" s="394"/>
      <c r="GO43" s="394"/>
      <c r="GP43" s="394"/>
      <c r="GQ43" s="394"/>
      <c r="GR43" s="394"/>
      <c r="GS43" s="394"/>
      <c r="GT43" s="394"/>
      <c r="GU43" s="394"/>
      <c r="GV43" s="394"/>
      <c r="GW43" s="394"/>
      <c r="GX43" s="394"/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</row>
    <row r="44" spans="2:230" x14ac:dyDescent="0.15">
      <c r="B44" s="89" t="s">
        <v>81</v>
      </c>
      <c r="C44" s="272">
        <v>2193783</v>
      </c>
      <c r="D44" s="455">
        <f t="shared" si="0"/>
        <v>608269</v>
      </c>
      <c r="E44" s="272">
        <v>21105</v>
      </c>
      <c r="F44" s="272">
        <v>587164</v>
      </c>
      <c r="G44" s="455">
        <f t="shared" si="1"/>
        <v>146005</v>
      </c>
      <c r="H44" s="272">
        <v>31959</v>
      </c>
      <c r="I44" s="272">
        <v>114046</v>
      </c>
      <c r="J44" s="272">
        <v>1322954</v>
      </c>
      <c r="K44" s="272">
        <v>514484</v>
      </c>
      <c r="L44" s="272">
        <v>458046</v>
      </c>
      <c r="M44" s="272">
        <v>344726</v>
      </c>
      <c r="N44" s="272">
        <v>88485</v>
      </c>
      <c r="O44" s="272">
        <v>0</v>
      </c>
      <c r="P44" s="272">
        <v>0</v>
      </c>
      <c r="Q44" s="272">
        <v>0</v>
      </c>
      <c r="R44" s="272">
        <v>132847</v>
      </c>
      <c r="S44" s="272">
        <v>69590</v>
      </c>
      <c r="T44" s="455">
        <f t="shared" si="2"/>
        <v>312356</v>
      </c>
      <c r="U44" s="272">
        <v>16127</v>
      </c>
      <c r="V44" s="272">
        <v>8724</v>
      </c>
      <c r="W44" s="272">
        <v>10578</v>
      </c>
      <c r="X44" s="272">
        <v>155337</v>
      </c>
      <c r="Y44" s="272">
        <v>57691</v>
      </c>
      <c r="Z44" s="272">
        <v>0</v>
      </c>
      <c r="AA44" s="272">
        <v>63899</v>
      </c>
      <c r="AB44" s="272">
        <v>67566</v>
      </c>
      <c r="AC44" s="272">
        <v>1710060</v>
      </c>
      <c r="AD44" s="272">
        <v>1486138</v>
      </c>
      <c r="AE44" s="272">
        <v>223922</v>
      </c>
      <c r="AF44" s="272">
        <v>4687</v>
      </c>
      <c r="AG44" s="272">
        <v>7396</v>
      </c>
      <c r="AH44" s="455">
        <f t="shared" si="3"/>
        <v>259747</v>
      </c>
      <c r="AI44" s="272">
        <v>245206</v>
      </c>
      <c r="AJ44" s="272">
        <v>14541</v>
      </c>
      <c r="AK44" s="272">
        <v>186779</v>
      </c>
      <c r="AL44" s="455">
        <f t="shared" si="4"/>
        <v>245</v>
      </c>
      <c r="AM44" s="272">
        <v>0</v>
      </c>
      <c r="AN44" s="272">
        <v>0</v>
      </c>
      <c r="AO44" s="272">
        <v>0</v>
      </c>
      <c r="AP44" s="272">
        <v>245</v>
      </c>
      <c r="AQ44" s="272">
        <v>8931</v>
      </c>
      <c r="AR44" s="272">
        <v>0</v>
      </c>
      <c r="AS44" s="272">
        <v>0</v>
      </c>
      <c r="AT44" s="272">
        <v>452414</v>
      </c>
      <c r="AU44" s="272">
        <v>180593</v>
      </c>
      <c r="AV44" s="272">
        <v>0</v>
      </c>
      <c r="AW44" s="272">
        <v>44971</v>
      </c>
      <c r="AX44" s="272">
        <v>271821</v>
      </c>
      <c r="AY44" s="272">
        <v>27659</v>
      </c>
      <c r="AZ44" s="272">
        <v>3126</v>
      </c>
      <c r="BA44" s="272">
        <v>2318</v>
      </c>
      <c r="BB44" s="272">
        <v>130</v>
      </c>
      <c r="BC44" s="272">
        <v>635684</v>
      </c>
      <c r="BD44" s="272">
        <v>391000</v>
      </c>
      <c r="BE44" s="272">
        <v>0</v>
      </c>
      <c r="BF44" s="272">
        <v>220090</v>
      </c>
      <c r="BG44" s="272">
        <v>0</v>
      </c>
      <c r="BH44" s="272">
        <v>15758</v>
      </c>
      <c r="BI44" s="272">
        <v>14458</v>
      </c>
      <c r="BJ44" s="272">
        <v>266570</v>
      </c>
      <c r="BK44" s="272">
        <v>20792</v>
      </c>
      <c r="BL44" s="272">
        <v>0</v>
      </c>
      <c r="BM44" s="272">
        <v>0</v>
      </c>
      <c r="BN44" s="272">
        <v>481000</v>
      </c>
      <c r="BO44" s="455">
        <f t="shared" si="5"/>
        <v>145500</v>
      </c>
      <c r="BP44" s="455">
        <f t="shared" si="6"/>
        <v>335500</v>
      </c>
      <c r="BQ44" s="272">
        <v>65000</v>
      </c>
      <c r="BR44" s="272"/>
      <c r="BS44" s="272">
        <v>270500</v>
      </c>
      <c r="BT44" s="272">
        <v>0</v>
      </c>
      <c r="BU44" s="272">
        <v>6729903</v>
      </c>
      <c r="BV44" s="272"/>
      <c r="BW44" s="272">
        <v>2067987</v>
      </c>
      <c r="BX44" s="272">
        <v>1143821</v>
      </c>
      <c r="BY44" s="272">
        <v>565080</v>
      </c>
      <c r="BZ44" s="272">
        <v>30898</v>
      </c>
      <c r="CA44" s="272">
        <v>451181</v>
      </c>
      <c r="CB44" s="272">
        <v>222371</v>
      </c>
      <c r="CC44" s="272">
        <v>48632</v>
      </c>
      <c r="CD44" s="272">
        <v>168481</v>
      </c>
      <c r="CE44" s="272">
        <v>0</v>
      </c>
      <c r="CF44" s="272">
        <v>0</v>
      </c>
      <c r="CG44" s="272">
        <v>11497</v>
      </c>
      <c r="CH44" s="272">
        <v>1148304</v>
      </c>
      <c r="CI44" s="272">
        <v>876231</v>
      </c>
      <c r="CJ44" s="455">
        <f t="shared" si="7"/>
        <v>272073</v>
      </c>
      <c r="CK44" s="272">
        <v>1196155</v>
      </c>
      <c r="CL44" s="272">
        <v>509297</v>
      </c>
      <c r="CM44" s="272">
        <v>184059</v>
      </c>
      <c r="CN44" s="272">
        <v>352179</v>
      </c>
      <c r="CO44" s="272">
        <v>132822</v>
      </c>
      <c r="CP44" s="272">
        <v>483443</v>
      </c>
      <c r="CQ44" s="272">
        <v>280915</v>
      </c>
      <c r="CR44" s="272">
        <v>105340</v>
      </c>
      <c r="CS44" s="272">
        <v>85696</v>
      </c>
      <c r="CT44" s="455">
        <f t="shared" si="8"/>
        <v>1604</v>
      </c>
      <c r="CU44" s="272">
        <v>1604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356100</v>
      </c>
      <c r="DD44" s="272">
        <v>62827</v>
      </c>
      <c r="DE44" s="272">
        <v>240093</v>
      </c>
      <c r="DF44" s="272">
        <v>53180</v>
      </c>
      <c r="DG44" s="272">
        <v>0</v>
      </c>
      <c r="DH44" s="272">
        <v>0</v>
      </c>
      <c r="DI44" s="272">
        <v>8549</v>
      </c>
      <c r="DJ44" s="272">
        <v>8325</v>
      </c>
      <c r="DK44" s="272">
        <v>23</v>
      </c>
      <c r="DL44" s="272">
        <v>201</v>
      </c>
      <c r="DM44" s="272">
        <v>0</v>
      </c>
      <c r="DN44" s="272">
        <v>0</v>
      </c>
      <c r="DO44" s="272">
        <v>0</v>
      </c>
      <c r="DP44" s="272">
        <v>0</v>
      </c>
      <c r="DQ44" s="272">
        <v>0</v>
      </c>
      <c r="DR44" s="272">
        <v>0</v>
      </c>
      <c r="DS44" s="272">
        <v>0</v>
      </c>
      <c r="DT44" s="272">
        <v>866399</v>
      </c>
      <c r="DU44" s="272">
        <v>318355</v>
      </c>
      <c r="DV44" s="455">
        <f t="shared" si="11"/>
        <v>0</v>
      </c>
      <c r="DW44" s="272">
        <v>0</v>
      </c>
      <c r="DX44" s="272"/>
      <c r="DY44" s="272">
        <v>0</v>
      </c>
      <c r="DZ44" s="272">
        <v>147378</v>
      </c>
      <c r="EA44" s="272">
        <v>163365</v>
      </c>
      <c r="EB44" s="272">
        <v>235218</v>
      </c>
      <c r="EC44" s="272">
        <v>0</v>
      </c>
      <c r="ED44" s="272">
        <v>6710940</v>
      </c>
      <c r="EE44" s="89"/>
      <c r="EF44" s="272">
        <v>18963</v>
      </c>
      <c r="EG44" s="467">
        <v>17587</v>
      </c>
      <c r="EH44" s="467">
        <v>1376</v>
      </c>
      <c r="EI44" s="25">
        <v>-13082</v>
      </c>
      <c r="EJ44" s="467">
        <v>-395757</v>
      </c>
      <c r="EL44" s="272">
        <v>18504</v>
      </c>
      <c r="EM44" s="272">
        <v>18965</v>
      </c>
      <c r="EN44" s="272">
        <v>391000</v>
      </c>
      <c r="EO44" s="272">
        <v>2427</v>
      </c>
      <c r="EP44" s="455">
        <f t="shared" si="12"/>
        <v>178384</v>
      </c>
      <c r="EQ44" s="272">
        <v>4421299</v>
      </c>
      <c r="ER44" s="272">
        <v>-902624</v>
      </c>
      <c r="ES44" s="272">
        <v>1956701</v>
      </c>
      <c r="ET44" s="272">
        <v>1042155</v>
      </c>
      <c r="EU44" s="272">
        <v>190639</v>
      </c>
      <c r="EV44" s="272">
        <v>1074901</v>
      </c>
      <c r="EW44" s="455">
        <f t="shared" si="13"/>
        <v>21786</v>
      </c>
      <c r="EX44" s="272">
        <v>21786</v>
      </c>
      <c r="EY44" s="272">
        <v>3161</v>
      </c>
      <c r="EZ44" s="272">
        <v>18625</v>
      </c>
      <c r="FA44" s="272">
        <v>0</v>
      </c>
      <c r="FB44" s="272"/>
      <c r="FC44" s="272">
        <v>927103</v>
      </c>
      <c r="FD44" s="272">
        <v>429518</v>
      </c>
      <c r="FE44" s="272">
        <v>280915</v>
      </c>
      <c r="FF44" s="272">
        <v>694296</v>
      </c>
      <c r="FG44" s="455">
        <f t="shared" si="14"/>
        <v>10016</v>
      </c>
      <c r="FH44" s="272">
        <v>5304960</v>
      </c>
      <c r="FI44" s="384">
        <f t="shared" si="15"/>
        <v>0</v>
      </c>
      <c r="FJ44" s="272">
        <v>4230515</v>
      </c>
      <c r="FK44" s="272">
        <v>270567</v>
      </c>
      <c r="FL44" s="272">
        <v>2092158</v>
      </c>
      <c r="FM44" s="272">
        <v>3577998</v>
      </c>
      <c r="FN44" s="460">
        <v>0.60599999999999998</v>
      </c>
      <c r="FO44" s="388">
        <v>96.8</v>
      </c>
      <c r="FP44" s="388">
        <v>31.5</v>
      </c>
      <c r="FQ44" s="388">
        <v>4.0999999999999996</v>
      </c>
      <c r="FR44" s="388">
        <v>23.2</v>
      </c>
      <c r="FS44" s="388">
        <v>18.8</v>
      </c>
      <c r="FT44" s="388">
        <v>8.9</v>
      </c>
      <c r="FU44" s="388">
        <v>10.4</v>
      </c>
      <c r="FV44" s="388">
        <v>14</v>
      </c>
      <c r="FW44" s="272">
        <v>11746607</v>
      </c>
      <c r="FX44" s="384">
        <f t="shared" si="16"/>
        <v>277.7</v>
      </c>
      <c r="FY44" s="272">
        <v>540063</v>
      </c>
      <c r="FZ44" s="272">
        <v>148815</v>
      </c>
      <c r="GA44" s="272">
        <v>37965</v>
      </c>
      <c r="GB44" s="272">
        <v>353283</v>
      </c>
      <c r="GC44" s="272"/>
      <c r="GD44" s="272"/>
      <c r="GE44" s="384"/>
      <c r="GF44" s="388">
        <v>98.3</v>
      </c>
      <c r="GG44" s="388">
        <v>15.5</v>
      </c>
      <c r="GH44" s="388">
        <v>91.8</v>
      </c>
      <c r="GI44" s="272">
        <v>173</v>
      </c>
      <c r="GJ44" s="394"/>
      <c r="GK44" s="394"/>
      <c r="GL44" s="394"/>
      <c r="GM44" s="394"/>
      <c r="GN44" s="394"/>
      <c r="GO44" s="394"/>
      <c r="GP44" s="394"/>
      <c r="GQ44" s="394"/>
      <c r="GR44" s="394"/>
      <c r="GS44" s="394"/>
      <c r="GT44" s="394"/>
      <c r="GU44" s="394"/>
      <c r="GV44" s="394"/>
      <c r="GW44" s="394"/>
      <c r="GX44" s="394"/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</row>
    <row r="45" spans="2:230" x14ac:dyDescent="0.15">
      <c r="B45" s="89" t="s">
        <v>83</v>
      </c>
      <c r="C45" s="272">
        <v>1590476</v>
      </c>
      <c r="D45" s="455">
        <f t="shared" si="0"/>
        <v>611375</v>
      </c>
      <c r="E45" s="272">
        <v>15515</v>
      </c>
      <c r="F45" s="272">
        <v>595860</v>
      </c>
      <c r="G45" s="455">
        <f t="shared" si="1"/>
        <v>36273</v>
      </c>
      <c r="H45" s="272">
        <v>14706</v>
      </c>
      <c r="I45" s="272">
        <v>21567</v>
      </c>
      <c r="J45" s="272">
        <v>628983</v>
      </c>
      <c r="K45" s="272">
        <v>253329</v>
      </c>
      <c r="L45" s="272">
        <v>299529</v>
      </c>
      <c r="M45" s="272">
        <v>76082</v>
      </c>
      <c r="N45" s="272">
        <v>291176</v>
      </c>
      <c r="O45" s="272">
        <v>0</v>
      </c>
      <c r="P45" s="272">
        <v>0</v>
      </c>
      <c r="Q45" s="272">
        <v>0</v>
      </c>
      <c r="R45" s="272">
        <v>95325</v>
      </c>
      <c r="S45" s="272">
        <v>49900</v>
      </c>
      <c r="T45" s="455">
        <f t="shared" si="2"/>
        <v>206902</v>
      </c>
      <c r="U45" s="272">
        <v>14226</v>
      </c>
      <c r="V45" s="272">
        <v>7783</v>
      </c>
      <c r="W45" s="272">
        <v>9736</v>
      </c>
      <c r="X45" s="272">
        <v>106011</v>
      </c>
      <c r="Y45" s="272">
        <v>23261</v>
      </c>
      <c r="Z45" s="272">
        <v>0</v>
      </c>
      <c r="AA45" s="272">
        <v>45885</v>
      </c>
      <c r="AB45" s="272">
        <v>22858</v>
      </c>
      <c r="AC45" s="272">
        <v>990045</v>
      </c>
      <c r="AD45" s="272">
        <v>810368</v>
      </c>
      <c r="AE45" s="272">
        <v>179677</v>
      </c>
      <c r="AF45" s="272">
        <v>2848</v>
      </c>
      <c r="AG45" s="272">
        <v>52737</v>
      </c>
      <c r="AH45" s="455">
        <f t="shared" si="3"/>
        <v>49836</v>
      </c>
      <c r="AI45" s="272">
        <v>31058</v>
      </c>
      <c r="AJ45" s="272">
        <v>18778</v>
      </c>
      <c r="AK45" s="272">
        <v>162911</v>
      </c>
      <c r="AL45" s="455">
        <f t="shared" si="4"/>
        <v>55142</v>
      </c>
      <c r="AM45" s="272">
        <v>0</v>
      </c>
      <c r="AN45" s="272">
        <v>55012</v>
      </c>
      <c r="AO45" s="272">
        <v>0</v>
      </c>
      <c r="AP45" s="272">
        <v>130</v>
      </c>
      <c r="AQ45" s="272">
        <v>0</v>
      </c>
      <c r="AR45" s="272">
        <v>0</v>
      </c>
      <c r="AS45" s="272">
        <v>0</v>
      </c>
      <c r="AT45" s="272">
        <v>305343</v>
      </c>
      <c r="AU45" s="272">
        <v>127155</v>
      </c>
      <c r="AV45" s="272">
        <v>27506</v>
      </c>
      <c r="AW45" s="272">
        <v>399</v>
      </c>
      <c r="AX45" s="272">
        <v>178188</v>
      </c>
      <c r="AY45" s="272">
        <v>27477</v>
      </c>
      <c r="AZ45" s="272">
        <v>3038</v>
      </c>
      <c r="BA45" s="272">
        <v>426</v>
      </c>
      <c r="BB45" s="272">
        <v>0</v>
      </c>
      <c r="BC45" s="272">
        <v>216886</v>
      </c>
      <c r="BD45" s="272">
        <v>150000</v>
      </c>
      <c r="BE45" s="272">
        <v>0</v>
      </c>
      <c r="BF45" s="272">
        <v>62892</v>
      </c>
      <c r="BG45" s="272">
        <v>0</v>
      </c>
      <c r="BH45" s="272">
        <v>58816</v>
      </c>
      <c r="BI45" s="272">
        <v>58816</v>
      </c>
      <c r="BJ45" s="272">
        <v>62746</v>
      </c>
      <c r="BK45" s="272">
        <v>0</v>
      </c>
      <c r="BL45" s="272">
        <v>0</v>
      </c>
      <c r="BM45" s="272">
        <v>0</v>
      </c>
      <c r="BN45" s="272">
        <v>256600</v>
      </c>
      <c r="BO45" s="455">
        <f t="shared" si="5"/>
        <v>0</v>
      </c>
      <c r="BP45" s="455">
        <f t="shared" si="6"/>
        <v>256600</v>
      </c>
      <c r="BQ45" s="272">
        <v>20700</v>
      </c>
      <c r="BR45" s="272"/>
      <c r="BS45" s="272">
        <v>235900</v>
      </c>
      <c r="BT45" s="272">
        <v>0</v>
      </c>
      <c r="BU45" s="272">
        <v>4077367</v>
      </c>
      <c r="BV45" s="272"/>
      <c r="BW45" s="272">
        <v>1091342</v>
      </c>
      <c r="BX45" s="272">
        <v>743046</v>
      </c>
      <c r="BY45" s="272">
        <v>78202</v>
      </c>
      <c r="BZ45" s="272">
        <v>17561</v>
      </c>
      <c r="CA45" s="272">
        <v>417820</v>
      </c>
      <c r="CB45" s="272">
        <v>73137</v>
      </c>
      <c r="CC45" s="272">
        <v>25254</v>
      </c>
      <c r="CD45" s="272">
        <v>297952</v>
      </c>
      <c r="CE45" s="272">
        <v>0</v>
      </c>
      <c r="CF45" s="272">
        <v>0</v>
      </c>
      <c r="CG45" s="272">
        <v>21477</v>
      </c>
      <c r="CH45" s="272">
        <v>641476</v>
      </c>
      <c r="CI45" s="272">
        <v>502918</v>
      </c>
      <c r="CJ45" s="455">
        <f t="shared" si="7"/>
        <v>138558</v>
      </c>
      <c r="CK45" s="272">
        <v>574760</v>
      </c>
      <c r="CL45" s="272">
        <v>307382</v>
      </c>
      <c r="CM45" s="272">
        <v>85512</v>
      </c>
      <c r="CN45" s="272">
        <v>115386</v>
      </c>
      <c r="CO45" s="272">
        <v>18140</v>
      </c>
      <c r="CP45" s="272">
        <v>529750</v>
      </c>
      <c r="CQ45" s="272">
        <v>127032</v>
      </c>
      <c r="CR45" s="272">
        <v>137270</v>
      </c>
      <c r="CS45" s="272">
        <v>95954</v>
      </c>
      <c r="CT45" s="455">
        <f t="shared" si="8"/>
        <v>4948</v>
      </c>
      <c r="CU45" s="272">
        <v>1866</v>
      </c>
      <c r="CV45" s="272">
        <v>3082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132904</v>
      </c>
      <c r="DD45" s="272">
        <v>0</v>
      </c>
      <c r="DE45" s="272">
        <v>101204</v>
      </c>
      <c r="DF45" s="272">
        <v>0</v>
      </c>
      <c r="DG45" s="272">
        <v>31700</v>
      </c>
      <c r="DH45" s="272">
        <v>0</v>
      </c>
      <c r="DI45" s="272">
        <v>32643</v>
      </c>
      <c r="DJ45" s="272">
        <v>31734</v>
      </c>
      <c r="DK45" s="272">
        <v>1</v>
      </c>
      <c r="DL45" s="272">
        <v>908</v>
      </c>
      <c r="DM45" s="272">
        <v>0</v>
      </c>
      <c r="DN45" s="272">
        <v>0</v>
      </c>
      <c r="DO45" s="272">
        <v>0</v>
      </c>
      <c r="DP45" s="272">
        <v>0</v>
      </c>
      <c r="DQ45" s="272">
        <v>43000</v>
      </c>
      <c r="DR45" s="272">
        <v>0</v>
      </c>
      <c r="DS45" s="272">
        <v>0</v>
      </c>
      <c r="DT45" s="272">
        <v>572157</v>
      </c>
      <c r="DU45" s="272">
        <v>270512</v>
      </c>
      <c r="DV45" s="455">
        <f t="shared" si="11"/>
        <v>0</v>
      </c>
      <c r="DW45" s="272">
        <v>0</v>
      </c>
      <c r="DX45" s="272"/>
      <c r="DY45" s="272">
        <v>0</v>
      </c>
      <c r="DZ45" s="272">
        <v>102773</v>
      </c>
      <c r="EA45" s="272">
        <v>72033</v>
      </c>
      <c r="EB45" s="272">
        <v>117068</v>
      </c>
      <c r="EC45" s="272">
        <v>0</v>
      </c>
      <c r="ED45" s="272">
        <v>4053992</v>
      </c>
      <c r="EE45" s="89"/>
      <c r="EF45" s="272">
        <v>23375</v>
      </c>
      <c r="EG45" s="272">
        <v>0</v>
      </c>
      <c r="EH45" s="272">
        <v>23375</v>
      </c>
      <c r="EI45" s="71">
        <v>-35441</v>
      </c>
      <c r="EJ45" s="272">
        <v>-153707</v>
      </c>
      <c r="EL45" s="272">
        <v>14483</v>
      </c>
      <c r="EM45" s="272">
        <v>14592</v>
      </c>
      <c r="EN45" s="272">
        <v>201570</v>
      </c>
      <c r="EO45" s="272">
        <v>895</v>
      </c>
      <c r="EP45" s="455">
        <f t="shared" si="12"/>
        <v>109119</v>
      </c>
      <c r="EQ45" s="272">
        <v>2908454</v>
      </c>
      <c r="ER45" s="272">
        <v>-565336</v>
      </c>
      <c r="ES45" s="272">
        <v>1040541</v>
      </c>
      <c r="ET45" s="272">
        <v>697962</v>
      </c>
      <c r="EU45" s="272">
        <v>126604</v>
      </c>
      <c r="EV45" s="272">
        <v>641476</v>
      </c>
      <c r="EW45" s="455">
        <f t="shared" si="13"/>
        <v>63346</v>
      </c>
      <c r="EX45" s="272">
        <v>63346</v>
      </c>
      <c r="EY45" s="272">
        <v>0</v>
      </c>
      <c r="EZ45" s="272">
        <v>63346</v>
      </c>
      <c r="FA45" s="272">
        <v>0</v>
      </c>
      <c r="FB45" s="272"/>
      <c r="FC45" s="272">
        <v>484996</v>
      </c>
      <c r="FD45" s="272">
        <v>475501</v>
      </c>
      <c r="FE45" s="272">
        <v>127032</v>
      </c>
      <c r="FF45" s="272">
        <v>528783</v>
      </c>
      <c r="FG45" s="455">
        <f t="shared" si="14"/>
        <v>89168</v>
      </c>
      <c r="FH45" s="272">
        <v>3450415</v>
      </c>
      <c r="FI45" s="384">
        <f t="shared" si="15"/>
        <v>0.8</v>
      </c>
      <c r="FJ45" s="272">
        <v>2921909</v>
      </c>
      <c r="FK45" s="272">
        <v>235924</v>
      </c>
      <c r="FL45" s="272">
        <v>1608238</v>
      </c>
      <c r="FM45" s="272">
        <v>2417138</v>
      </c>
      <c r="FN45" s="460">
        <v>0.58899999999999997</v>
      </c>
      <c r="FO45" s="388">
        <v>100</v>
      </c>
      <c r="FP45" s="388">
        <v>33.799999999999997</v>
      </c>
      <c r="FQ45" s="388">
        <v>4.2</v>
      </c>
      <c r="FR45" s="388">
        <v>21.4</v>
      </c>
      <c r="FS45" s="388">
        <v>15</v>
      </c>
      <c r="FT45" s="388">
        <v>14.9</v>
      </c>
      <c r="FU45" s="388">
        <v>10.199999999999999</v>
      </c>
      <c r="FV45" s="388">
        <v>17.8</v>
      </c>
      <c r="FW45" s="272">
        <v>5642135</v>
      </c>
      <c r="FX45" s="384">
        <f t="shared" si="16"/>
        <v>193.1</v>
      </c>
      <c r="FY45" s="272">
        <v>716671</v>
      </c>
      <c r="FZ45" s="272">
        <v>501316</v>
      </c>
      <c r="GA45" s="272">
        <v>7677</v>
      </c>
      <c r="GB45" s="272">
        <v>207678</v>
      </c>
      <c r="GC45" s="272"/>
      <c r="GD45" s="272">
        <v>546154</v>
      </c>
      <c r="GE45" s="384">
        <f>ROUND(GD45/FJ45*100,1)</f>
        <v>18.7</v>
      </c>
      <c r="GF45" s="388">
        <v>98.1</v>
      </c>
      <c r="GG45" s="388">
        <v>19.399999999999999</v>
      </c>
      <c r="GH45" s="388">
        <v>93.2</v>
      </c>
      <c r="GI45" s="272">
        <v>108</v>
      </c>
      <c r="GJ45" s="394"/>
      <c r="GK45" s="394"/>
      <c r="GL45" s="394"/>
      <c r="GM45" s="394"/>
      <c r="GN45" s="394"/>
      <c r="GO45" s="394"/>
      <c r="GP45" s="394"/>
      <c r="GQ45" s="394"/>
      <c r="GR45" s="394"/>
      <c r="GS45" s="394"/>
      <c r="GT45" s="394"/>
      <c r="GU45" s="394"/>
      <c r="GV45" s="394"/>
      <c r="GW45" s="394"/>
      <c r="GX45" s="394"/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</row>
    <row r="46" spans="2:230" x14ac:dyDescent="0.15">
      <c r="B46" s="89" t="s">
        <v>85</v>
      </c>
      <c r="C46" s="272">
        <v>1606287</v>
      </c>
      <c r="D46" s="455">
        <f t="shared" si="0"/>
        <v>690902</v>
      </c>
      <c r="E46" s="272">
        <v>18597</v>
      </c>
      <c r="F46" s="272">
        <v>672305</v>
      </c>
      <c r="G46" s="455">
        <f t="shared" si="1"/>
        <v>97225</v>
      </c>
      <c r="H46" s="272">
        <v>19060</v>
      </c>
      <c r="I46" s="272">
        <v>78165</v>
      </c>
      <c r="J46" s="272">
        <v>697182</v>
      </c>
      <c r="K46" s="272">
        <v>272047</v>
      </c>
      <c r="L46" s="272">
        <v>340801</v>
      </c>
      <c r="M46" s="272">
        <v>83338</v>
      </c>
      <c r="N46" s="272">
        <v>91401</v>
      </c>
      <c r="O46" s="272">
        <v>0</v>
      </c>
      <c r="P46" s="272">
        <v>0</v>
      </c>
      <c r="Q46" s="272">
        <v>0</v>
      </c>
      <c r="R46" s="272">
        <v>125072</v>
      </c>
      <c r="S46" s="272">
        <v>60980</v>
      </c>
      <c r="T46" s="455">
        <f t="shared" si="2"/>
        <v>287364</v>
      </c>
      <c r="U46" s="272">
        <v>16314</v>
      </c>
      <c r="V46" s="272">
        <v>8903</v>
      </c>
      <c r="W46" s="272">
        <v>11061</v>
      </c>
      <c r="X46" s="272">
        <v>139800</v>
      </c>
      <c r="Y46" s="272">
        <v>46546</v>
      </c>
      <c r="Z46" s="272">
        <v>0</v>
      </c>
      <c r="AA46" s="272">
        <v>64740</v>
      </c>
      <c r="AB46" s="272">
        <v>66942</v>
      </c>
      <c r="AC46" s="272">
        <v>1502123</v>
      </c>
      <c r="AD46" s="272">
        <v>1324884</v>
      </c>
      <c r="AE46" s="272">
        <v>177239</v>
      </c>
      <c r="AF46" s="272">
        <v>3096</v>
      </c>
      <c r="AG46" s="272">
        <v>9111</v>
      </c>
      <c r="AH46" s="455">
        <f t="shared" si="3"/>
        <v>119133</v>
      </c>
      <c r="AI46" s="272">
        <v>66566</v>
      </c>
      <c r="AJ46" s="272">
        <v>52567</v>
      </c>
      <c r="AK46" s="272">
        <v>143896</v>
      </c>
      <c r="AL46" s="455">
        <f t="shared" si="4"/>
        <v>3515</v>
      </c>
      <c r="AM46" s="272">
        <v>0</v>
      </c>
      <c r="AN46" s="272">
        <v>3415</v>
      </c>
      <c r="AO46" s="272">
        <v>0</v>
      </c>
      <c r="AP46" s="272">
        <v>100</v>
      </c>
      <c r="AQ46" s="272">
        <v>839</v>
      </c>
      <c r="AR46" s="272">
        <v>0</v>
      </c>
      <c r="AS46" s="272">
        <v>0</v>
      </c>
      <c r="AT46" s="272">
        <v>255560</v>
      </c>
      <c r="AU46" s="272">
        <v>78720</v>
      </c>
      <c r="AV46" s="272">
        <v>1707</v>
      </c>
      <c r="AW46" s="272">
        <v>0</v>
      </c>
      <c r="AX46" s="272">
        <v>176840</v>
      </c>
      <c r="AY46" s="272">
        <v>30539</v>
      </c>
      <c r="AZ46" s="272">
        <v>5626</v>
      </c>
      <c r="BA46" s="272">
        <v>0</v>
      </c>
      <c r="BB46" s="272">
        <v>0</v>
      </c>
      <c r="BC46" s="272">
        <v>56670</v>
      </c>
      <c r="BD46" s="272">
        <v>50000</v>
      </c>
      <c r="BE46" s="272">
        <v>0</v>
      </c>
      <c r="BF46" s="272">
        <v>6670</v>
      </c>
      <c r="BG46" s="272">
        <v>0</v>
      </c>
      <c r="BH46" s="272">
        <v>58711</v>
      </c>
      <c r="BI46" s="272">
        <v>58711</v>
      </c>
      <c r="BJ46" s="272">
        <v>75644</v>
      </c>
      <c r="BK46" s="272">
        <v>0</v>
      </c>
      <c r="BL46" s="272">
        <v>0</v>
      </c>
      <c r="BM46" s="272">
        <v>0</v>
      </c>
      <c r="BN46" s="272">
        <v>335700</v>
      </c>
      <c r="BO46" s="455">
        <f t="shared" si="5"/>
        <v>51700</v>
      </c>
      <c r="BP46" s="455">
        <f t="shared" si="6"/>
        <v>284000</v>
      </c>
      <c r="BQ46" s="272">
        <v>25600</v>
      </c>
      <c r="BR46" s="272"/>
      <c r="BS46" s="272">
        <v>258400</v>
      </c>
      <c r="BT46" s="272">
        <v>0</v>
      </c>
      <c r="BU46" s="272">
        <v>4650935</v>
      </c>
      <c r="BV46" s="272"/>
      <c r="BW46" s="272">
        <v>1566954</v>
      </c>
      <c r="BX46" s="272">
        <v>1042733</v>
      </c>
      <c r="BY46" s="272">
        <v>105512</v>
      </c>
      <c r="BZ46" s="272">
        <v>77142</v>
      </c>
      <c r="CA46" s="272">
        <v>290930</v>
      </c>
      <c r="CB46" s="272">
        <v>111620</v>
      </c>
      <c r="CC46" s="272">
        <v>34026</v>
      </c>
      <c r="CD46" s="272">
        <v>139014</v>
      </c>
      <c r="CE46" s="272">
        <v>0</v>
      </c>
      <c r="CF46" s="272">
        <v>0</v>
      </c>
      <c r="CG46" s="272">
        <v>6270</v>
      </c>
      <c r="CH46" s="272">
        <v>712631</v>
      </c>
      <c r="CI46" s="272">
        <v>565693</v>
      </c>
      <c r="CJ46" s="455">
        <f t="shared" si="7"/>
        <v>146938</v>
      </c>
      <c r="CK46" s="272">
        <v>774806</v>
      </c>
      <c r="CL46" s="272">
        <v>437848</v>
      </c>
      <c r="CM46" s="272">
        <v>63445</v>
      </c>
      <c r="CN46" s="272">
        <v>158453</v>
      </c>
      <c r="CO46" s="272">
        <v>13760</v>
      </c>
      <c r="CP46" s="272">
        <v>382442</v>
      </c>
      <c r="CQ46" s="272">
        <v>163460</v>
      </c>
      <c r="CR46" s="272">
        <v>103292</v>
      </c>
      <c r="CS46" s="272">
        <v>98097</v>
      </c>
      <c r="CT46" s="455">
        <f t="shared" si="8"/>
        <v>12884</v>
      </c>
      <c r="CU46" s="272">
        <v>5632</v>
      </c>
      <c r="CV46" s="272">
        <v>7252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253977</v>
      </c>
      <c r="DD46" s="272">
        <v>2517</v>
      </c>
      <c r="DE46" s="272">
        <v>227367</v>
      </c>
      <c r="DF46" s="272">
        <v>24093</v>
      </c>
      <c r="DG46" s="272">
        <v>0</v>
      </c>
      <c r="DH46" s="272">
        <v>0</v>
      </c>
      <c r="DI46" s="272">
        <v>4173</v>
      </c>
      <c r="DJ46" s="272">
        <v>1902</v>
      </c>
      <c r="DK46" s="272">
        <v>80</v>
      </c>
      <c r="DL46" s="272">
        <v>2191</v>
      </c>
      <c r="DM46" s="272">
        <v>0</v>
      </c>
      <c r="DN46" s="272">
        <v>0</v>
      </c>
      <c r="DO46" s="272">
        <v>0</v>
      </c>
      <c r="DP46" s="272">
        <v>0</v>
      </c>
      <c r="DQ46" s="272">
        <v>0</v>
      </c>
      <c r="DR46" s="272">
        <v>0</v>
      </c>
      <c r="DS46" s="272">
        <v>0</v>
      </c>
      <c r="DT46" s="272">
        <v>539133</v>
      </c>
      <c r="DU46" s="272">
        <v>159409</v>
      </c>
      <c r="DV46" s="455">
        <f t="shared" si="11"/>
        <v>0</v>
      </c>
      <c r="DW46" s="272">
        <v>0</v>
      </c>
      <c r="DX46" s="272"/>
      <c r="DY46" s="272">
        <v>0</v>
      </c>
      <c r="DZ46" s="272">
        <v>123998</v>
      </c>
      <c r="EA46" s="272">
        <v>102684</v>
      </c>
      <c r="EB46" s="272">
        <v>145184</v>
      </c>
      <c r="EC46" s="272">
        <v>0</v>
      </c>
      <c r="ED46" s="272">
        <v>4538806</v>
      </c>
      <c r="EE46" s="89"/>
      <c r="EF46" s="272">
        <v>112129</v>
      </c>
      <c r="EG46" s="272">
        <v>0</v>
      </c>
      <c r="EH46" s="272">
        <v>112129</v>
      </c>
      <c r="EI46" s="71">
        <v>-6582</v>
      </c>
      <c r="EJ46" s="272">
        <v>-54680</v>
      </c>
      <c r="EL46" s="272">
        <v>17545</v>
      </c>
      <c r="EM46" s="272">
        <v>16788</v>
      </c>
      <c r="EN46" s="272">
        <v>56252</v>
      </c>
      <c r="EO46" s="272">
        <v>0</v>
      </c>
      <c r="EP46" s="455">
        <f t="shared" si="12"/>
        <v>154665</v>
      </c>
      <c r="EQ46" s="272">
        <v>3590884</v>
      </c>
      <c r="ER46" s="272">
        <v>-491821</v>
      </c>
      <c r="ES46" s="272">
        <v>1495848</v>
      </c>
      <c r="ET46" s="272">
        <v>983959</v>
      </c>
      <c r="EU46" s="272">
        <v>125205</v>
      </c>
      <c r="EV46" s="272">
        <v>712631</v>
      </c>
      <c r="EW46" s="455">
        <f t="shared" si="13"/>
        <v>167536</v>
      </c>
      <c r="EX46" s="272">
        <v>167536</v>
      </c>
      <c r="EY46" s="272">
        <v>839</v>
      </c>
      <c r="EZ46" s="272">
        <v>159432</v>
      </c>
      <c r="FA46" s="272">
        <v>0</v>
      </c>
      <c r="FB46" s="272"/>
      <c r="FC46" s="272">
        <v>628855</v>
      </c>
      <c r="FD46" s="272">
        <v>335713</v>
      </c>
      <c r="FE46" s="272">
        <v>163460</v>
      </c>
      <c r="FF46" s="272">
        <v>490393</v>
      </c>
      <c r="FG46" s="455">
        <f t="shared" si="14"/>
        <v>14395</v>
      </c>
      <c r="FH46" s="272">
        <v>3970576</v>
      </c>
      <c r="FI46" s="384">
        <f t="shared" si="15"/>
        <v>3.3</v>
      </c>
      <c r="FJ46" s="272">
        <v>3395788</v>
      </c>
      <c r="FK46" s="272">
        <v>258476</v>
      </c>
      <c r="FL46" s="272">
        <v>1585319</v>
      </c>
      <c r="FM46" s="272">
        <v>2909406</v>
      </c>
      <c r="FN46" s="460">
        <v>0.53600000000000003</v>
      </c>
      <c r="FO46" s="388">
        <v>92.5</v>
      </c>
      <c r="FP46" s="388">
        <v>37.4</v>
      </c>
      <c r="FQ46" s="388">
        <v>3.4</v>
      </c>
      <c r="FR46" s="388">
        <v>19.100000000000001</v>
      </c>
      <c r="FS46" s="388">
        <v>15</v>
      </c>
      <c r="FT46" s="388">
        <v>8.1</v>
      </c>
      <c r="FU46" s="388">
        <v>9.1</v>
      </c>
      <c r="FV46" s="388">
        <v>13.4</v>
      </c>
      <c r="FW46" s="272">
        <v>7605693</v>
      </c>
      <c r="FX46" s="384">
        <f t="shared" si="16"/>
        <v>224</v>
      </c>
      <c r="FY46" s="272">
        <v>2565700</v>
      </c>
      <c r="FZ46" s="272">
        <v>1364301</v>
      </c>
      <c r="GA46" s="272">
        <v>142983</v>
      </c>
      <c r="GB46" s="272">
        <v>1058416</v>
      </c>
      <c r="GC46" s="272"/>
      <c r="GD46" s="272">
        <v>35133</v>
      </c>
      <c r="GE46" s="384">
        <f>ROUND(GD46/FJ46*100,1)</f>
        <v>1</v>
      </c>
      <c r="GF46" s="388">
        <v>97.3</v>
      </c>
      <c r="GG46" s="388">
        <v>16.3</v>
      </c>
      <c r="GH46" s="388">
        <v>88.7</v>
      </c>
      <c r="GI46" s="272">
        <v>153</v>
      </c>
      <c r="GJ46" s="394"/>
      <c r="GK46" s="394"/>
      <c r="GL46" s="394"/>
      <c r="GM46" s="394"/>
      <c r="GN46" s="394"/>
      <c r="GO46" s="394"/>
      <c r="GP46" s="394"/>
      <c r="GQ46" s="394"/>
      <c r="GR46" s="394"/>
      <c r="GS46" s="394"/>
      <c r="GT46" s="394"/>
      <c r="GU46" s="394"/>
      <c r="GV46" s="394"/>
      <c r="GW46" s="394"/>
      <c r="GX46" s="394"/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</row>
    <row r="47" spans="2:230" x14ac:dyDescent="0.15">
      <c r="B47" s="89" t="s">
        <v>87</v>
      </c>
      <c r="C47" s="272">
        <v>623799</v>
      </c>
      <c r="D47" s="455">
        <f t="shared" si="0"/>
        <v>265464</v>
      </c>
      <c r="E47" s="272">
        <v>7696</v>
      </c>
      <c r="F47" s="272">
        <v>257768</v>
      </c>
      <c r="G47" s="455">
        <f t="shared" si="1"/>
        <v>27780</v>
      </c>
      <c r="H47" s="272">
        <v>11803</v>
      </c>
      <c r="I47" s="272">
        <v>15977</v>
      </c>
      <c r="J47" s="272">
        <v>305113</v>
      </c>
      <c r="K47" s="272">
        <v>103344</v>
      </c>
      <c r="L47" s="272">
        <v>148714</v>
      </c>
      <c r="M47" s="272">
        <v>53019</v>
      </c>
      <c r="N47" s="272">
        <v>12411</v>
      </c>
      <c r="O47" s="272">
        <v>0</v>
      </c>
      <c r="P47" s="272">
        <v>0</v>
      </c>
      <c r="Q47" s="272">
        <v>0</v>
      </c>
      <c r="R47" s="272">
        <v>51229</v>
      </c>
      <c r="S47" s="272">
        <v>24502</v>
      </c>
      <c r="T47" s="455">
        <f t="shared" si="2"/>
        <v>121755</v>
      </c>
      <c r="U47" s="272">
        <v>6666</v>
      </c>
      <c r="V47" s="272">
        <v>3632</v>
      </c>
      <c r="W47" s="272">
        <v>4492</v>
      </c>
      <c r="X47" s="272">
        <v>55926</v>
      </c>
      <c r="Y47" s="272">
        <v>24041</v>
      </c>
      <c r="Z47" s="272">
        <v>0</v>
      </c>
      <c r="AA47" s="272">
        <v>26998</v>
      </c>
      <c r="AB47" s="272">
        <v>25963</v>
      </c>
      <c r="AC47" s="272">
        <v>993886</v>
      </c>
      <c r="AD47" s="272">
        <v>816816</v>
      </c>
      <c r="AE47" s="272">
        <v>177070</v>
      </c>
      <c r="AF47" s="272">
        <v>1219</v>
      </c>
      <c r="AG47" s="272">
        <v>16113</v>
      </c>
      <c r="AH47" s="455">
        <f t="shared" si="3"/>
        <v>28192</v>
      </c>
      <c r="AI47" s="272">
        <v>18902</v>
      </c>
      <c r="AJ47" s="272">
        <v>9290</v>
      </c>
      <c r="AK47" s="272">
        <v>60460</v>
      </c>
      <c r="AL47" s="455">
        <f t="shared" si="4"/>
        <v>19233</v>
      </c>
      <c r="AM47" s="272">
        <v>0</v>
      </c>
      <c r="AN47" s="272">
        <v>19233</v>
      </c>
      <c r="AO47" s="272">
        <v>0</v>
      </c>
      <c r="AP47" s="272">
        <v>0</v>
      </c>
      <c r="AQ47" s="272">
        <v>483</v>
      </c>
      <c r="AR47" s="272">
        <v>799</v>
      </c>
      <c r="AS47" s="272">
        <v>0</v>
      </c>
      <c r="AT47" s="272">
        <v>157101</v>
      </c>
      <c r="AU47" s="272">
        <v>44088</v>
      </c>
      <c r="AV47" s="272">
        <v>7880</v>
      </c>
      <c r="AW47" s="272">
        <v>0</v>
      </c>
      <c r="AX47" s="272">
        <v>113013</v>
      </c>
      <c r="AY47" s="272">
        <v>7018</v>
      </c>
      <c r="AZ47" s="272">
        <v>1086</v>
      </c>
      <c r="BA47" s="272">
        <v>0</v>
      </c>
      <c r="BB47" s="272">
        <v>120</v>
      </c>
      <c r="BC47" s="272">
        <v>238000</v>
      </c>
      <c r="BD47" s="272">
        <v>84000</v>
      </c>
      <c r="BE47" s="272">
        <v>40000</v>
      </c>
      <c r="BF47" s="272">
        <v>114000</v>
      </c>
      <c r="BG47" s="272">
        <v>0</v>
      </c>
      <c r="BH47" s="272">
        <v>63881</v>
      </c>
      <c r="BI47" s="272">
        <v>58188</v>
      </c>
      <c r="BJ47" s="272">
        <v>62469</v>
      </c>
      <c r="BK47" s="272">
        <v>0</v>
      </c>
      <c r="BL47" s="272">
        <v>0</v>
      </c>
      <c r="BM47" s="272">
        <v>0</v>
      </c>
      <c r="BN47" s="272">
        <v>385800</v>
      </c>
      <c r="BO47" s="455">
        <f t="shared" si="5"/>
        <v>108700</v>
      </c>
      <c r="BP47" s="455">
        <f t="shared" si="6"/>
        <v>170100</v>
      </c>
      <c r="BQ47" s="272">
        <v>9200</v>
      </c>
      <c r="BR47" s="272"/>
      <c r="BS47" s="272">
        <v>160900</v>
      </c>
      <c r="BT47" s="272">
        <v>107000</v>
      </c>
      <c r="BU47" s="272">
        <v>2831073</v>
      </c>
      <c r="BV47" s="272"/>
      <c r="BW47" s="272">
        <v>1016928</v>
      </c>
      <c r="BX47" s="272">
        <v>545662</v>
      </c>
      <c r="BY47" s="272">
        <v>253419</v>
      </c>
      <c r="BZ47" s="272">
        <v>20822</v>
      </c>
      <c r="CA47" s="272">
        <v>139719</v>
      </c>
      <c r="CB47" s="272">
        <v>48493</v>
      </c>
      <c r="CC47" s="272">
        <v>12780</v>
      </c>
      <c r="CD47" s="272">
        <v>75189</v>
      </c>
      <c r="CE47" s="272">
        <v>0</v>
      </c>
      <c r="CF47" s="272">
        <v>0</v>
      </c>
      <c r="CG47" s="272">
        <v>3157</v>
      </c>
      <c r="CH47" s="272">
        <v>331457</v>
      </c>
      <c r="CI47" s="272">
        <v>272361</v>
      </c>
      <c r="CJ47" s="455">
        <f t="shared" si="7"/>
        <v>59096</v>
      </c>
      <c r="CK47" s="272">
        <v>504212</v>
      </c>
      <c r="CL47" s="272">
        <v>334725</v>
      </c>
      <c r="CM47" s="272">
        <v>21005</v>
      </c>
      <c r="CN47" s="272">
        <v>74744</v>
      </c>
      <c r="CO47" s="272">
        <v>6120</v>
      </c>
      <c r="CP47" s="272">
        <v>204849</v>
      </c>
      <c r="CQ47" s="272">
        <v>77110</v>
      </c>
      <c r="CR47" s="272">
        <v>10109</v>
      </c>
      <c r="CS47" s="272">
        <v>10109</v>
      </c>
      <c r="CT47" s="455">
        <f t="shared" si="8"/>
        <v>4094</v>
      </c>
      <c r="CU47" s="272">
        <v>3515</v>
      </c>
      <c r="CV47" s="272">
        <v>579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131568</v>
      </c>
      <c r="DD47" s="272">
        <v>1449</v>
      </c>
      <c r="DE47" s="272">
        <v>123979</v>
      </c>
      <c r="DF47" s="272">
        <v>6140</v>
      </c>
      <c r="DG47" s="272">
        <v>0</v>
      </c>
      <c r="DH47" s="272">
        <v>1279</v>
      </c>
      <c r="DI47" s="272">
        <v>139816</v>
      </c>
      <c r="DJ47" s="272">
        <v>38474</v>
      </c>
      <c r="DK47" s="272">
        <v>20066</v>
      </c>
      <c r="DL47" s="272">
        <v>81276</v>
      </c>
      <c r="DM47" s="272">
        <v>1100</v>
      </c>
      <c r="DN47" s="272">
        <v>1100</v>
      </c>
      <c r="DO47" s="272">
        <v>1100</v>
      </c>
      <c r="DP47" s="272">
        <v>0</v>
      </c>
      <c r="DQ47" s="272">
        <v>0</v>
      </c>
      <c r="DR47" s="272">
        <v>0</v>
      </c>
      <c r="DS47" s="272">
        <v>0</v>
      </c>
      <c r="DT47" s="272">
        <v>333936</v>
      </c>
      <c r="DU47" s="272">
        <v>88482</v>
      </c>
      <c r="DV47" s="455">
        <f t="shared" si="11"/>
        <v>0</v>
      </c>
      <c r="DW47" s="272">
        <v>0</v>
      </c>
      <c r="DX47" s="272"/>
      <c r="DY47" s="272">
        <v>0</v>
      </c>
      <c r="DZ47" s="272">
        <v>66587</v>
      </c>
      <c r="EA47" s="272">
        <v>57388</v>
      </c>
      <c r="EB47" s="272">
        <v>89374</v>
      </c>
      <c r="EC47" s="272">
        <v>0</v>
      </c>
      <c r="ED47" s="272">
        <v>2810984</v>
      </c>
      <c r="EE47" s="89"/>
      <c r="EF47" s="272">
        <v>20089</v>
      </c>
      <c r="EG47" s="272">
        <v>213</v>
      </c>
      <c r="EH47" s="272">
        <v>19876</v>
      </c>
      <c r="EI47" s="71">
        <v>-38312</v>
      </c>
      <c r="EJ47" s="272">
        <v>-83838</v>
      </c>
      <c r="EL47" s="272">
        <v>6538</v>
      </c>
      <c r="EM47" s="272">
        <v>6713</v>
      </c>
      <c r="EN47" s="272">
        <v>135000</v>
      </c>
      <c r="EO47" s="272">
        <v>454</v>
      </c>
      <c r="EP47" s="455">
        <f t="shared" si="12"/>
        <v>93318</v>
      </c>
      <c r="EQ47" s="272">
        <v>1817851</v>
      </c>
      <c r="ER47" s="272">
        <v>-397653</v>
      </c>
      <c r="ES47" s="272">
        <v>874876</v>
      </c>
      <c r="ET47" s="272">
        <v>519562</v>
      </c>
      <c r="EU47" s="272">
        <v>35839</v>
      </c>
      <c r="EV47" s="272">
        <v>331457</v>
      </c>
      <c r="EW47" s="455">
        <f t="shared" si="13"/>
        <v>11254</v>
      </c>
      <c r="EX47" s="272">
        <v>10974</v>
      </c>
      <c r="EY47" s="272">
        <v>483</v>
      </c>
      <c r="EZ47" s="272">
        <v>9963</v>
      </c>
      <c r="FA47" s="272">
        <v>280</v>
      </c>
      <c r="FB47" s="272"/>
      <c r="FC47" s="272">
        <v>423162</v>
      </c>
      <c r="FD47" s="272">
        <v>163023</v>
      </c>
      <c r="FE47" s="272">
        <v>77110</v>
      </c>
      <c r="FF47" s="272">
        <v>211205</v>
      </c>
      <c r="FG47" s="455">
        <f t="shared" si="14"/>
        <v>144599</v>
      </c>
      <c r="FH47" s="272">
        <v>2195415</v>
      </c>
      <c r="FI47" s="384">
        <f t="shared" si="15"/>
        <v>1.2</v>
      </c>
      <c r="FJ47" s="272">
        <v>1635491</v>
      </c>
      <c r="FK47" s="272">
        <v>160956</v>
      </c>
      <c r="FL47" s="272">
        <v>627091</v>
      </c>
      <c r="FM47" s="272">
        <v>1442404</v>
      </c>
      <c r="FN47" s="460">
        <v>0.435</v>
      </c>
      <c r="FO47" s="388">
        <v>98.2</v>
      </c>
      <c r="FP47" s="388">
        <v>40.299999999999997</v>
      </c>
      <c r="FQ47" s="388">
        <v>2</v>
      </c>
      <c r="FR47" s="388">
        <v>18.2</v>
      </c>
      <c r="FS47" s="388">
        <v>22.1</v>
      </c>
      <c r="FT47" s="388">
        <v>7.4</v>
      </c>
      <c r="FU47" s="388">
        <v>7.9</v>
      </c>
      <c r="FV47" s="388">
        <v>16.600000000000001</v>
      </c>
      <c r="FW47" s="272">
        <v>3242348</v>
      </c>
      <c r="FX47" s="384">
        <f t="shared" si="16"/>
        <v>198.2</v>
      </c>
      <c r="FY47" s="272">
        <v>319651</v>
      </c>
      <c r="FZ47" s="272">
        <v>100972</v>
      </c>
      <c r="GA47" s="272">
        <v>32643</v>
      </c>
      <c r="GB47" s="272">
        <v>186036</v>
      </c>
      <c r="GC47" s="272"/>
      <c r="GD47" s="272"/>
      <c r="GE47" s="384"/>
      <c r="GF47" s="388">
        <v>98</v>
      </c>
      <c r="GG47" s="388">
        <v>29.4</v>
      </c>
      <c r="GH47" s="388">
        <v>93.7</v>
      </c>
      <c r="GI47" s="272">
        <v>89</v>
      </c>
      <c r="GJ47" s="394"/>
      <c r="GK47" s="394"/>
      <c r="GL47" s="394"/>
      <c r="GM47" s="394"/>
      <c r="GN47" s="394"/>
      <c r="GO47" s="394"/>
      <c r="GP47" s="394"/>
      <c r="GQ47" s="394"/>
      <c r="GR47" s="394"/>
      <c r="GS47" s="394"/>
      <c r="GT47" s="394"/>
      <c r="GU47" s="394"/>
      <c r="GV47" s="394"/>
      <c r="GW47" s="394"/>
      <c r="GX47" s="394"/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</row>
    <row r="48" spans="2:230" x14ac:dyDescent="0.15">
      <c r="B48" s="21" t="s">
        <v>89</v>
      </c>
      <c r="C48" s="272">
        <f>SUM(C38:C47)</f>
        <v>25428090</v>
      </c>
      <c r="D48" s="455">
        <f t="shared" si="0"/>
        <v>8199382</v>
      </c>
      <c r="E48" s="272">
        <f>SUM(E38:E47)</f>
        <v>219397</v>
      </c>
      <c r="F48" s="272">
        <f>SUM(F38:F47)</f>
        <v>7979985</v>
      </c>
      <c r="G48" s="455">
        <f t="shared" si="1"/>
        <v>1808581</v>
      </c>
      <c r="H48" s="272">
        <f t="shared" ref="H48:S48" si="27">SUM(H38:H47)</f>
        <v>301435</v>
      </c>
      <c r="I48" s="272">
        <f t="shared" si="27"/>
        <v>1507146</v>
      </c>
      <c r="J48" s="272">
        <f t="shared" si="27"/>
        <v>11933828</v>
      </c>
      <c r="K48" s="272">
        <f t="shared" si="27"/>
        <v>4826943</v>
      </c>
      <c r="L48" s="272">
        <f t="shared" si="27"/>
        <v>4989616</v>
      </c>
      <c r="M48" s="272">
        <f t="shared" si="27"/>
        <v>2000501</v>
      </c>
      <c r="N48" s="272">
        <f t="shared" si="27"/>
        <v>2649768</v>
      </c>
      <c r="O48" s="272">
        <f t="shared" si="27"/>
        <v>582155</v>
      </c>
      <c r="P48" s="272">
        <f t="shared" si="27"/>
        <v>329580</v>
      </c>
      <c r="Q48" s="272">
        <f t="shared" si="27"/>
        <v>252575</v>
      </c>
      <c r="R48" s="272">
        <f t="shared" si="27"/>
        <v>1329501</v>
      </c>
      <c r="S48" s="272">
        <f t="shared" si="27"/>
        <v>687594</v>
      </c>
      <c r="T48" s="455">
        <f t="shared" si="2"/>
        <v>2904017</v>
      </c>
      <c r="U48" s="272">
        <f t="shared" ref="U48:AG48" si="28">SUM(U38:U47)</f>
        <v>197576</v>
      </c>
      <c r="V48" s="272">
        <f t="shared" si="28"/>
        <v>107631</v>
      </c>
      <c r="W48" s="272">
        <f t="shared" si="28"/>
        <v>133048</v>
      </c>
      <c r="X48" s="272">
        <f t="shared" si="28"/>
        <v>1581654</v>
      </c>
      <c r="Y48" s="272">
        <f t="shared" si="28"/>
        <v>261350</v>
      </c>
      <c r="Z48" s="272">
        <f t="shared" si="28"/>
        <v>0</v>
      </c>
      <c r="AA48" s="272">
        <f t="shared" si="28"/>
        <v>622758</v>
      </c>
      <c r="AB48" s="272">
        <f t="shared" si="28"/>
        <v>804766</v>
      </c>
      <c r="AC48" s="272">
        <f t="shared" si="28"/>
        <v>13804150</v>
      </c>
      <c r="AD48" s="272">
        <f t="shared" si="28"/>
        <v>11582836</v>
      </c>
      <c r="AE48" s="272">
        <f t="shared" si="28"/>
        <v>2221314</v>
      </c>
      <c r="AF48" s="272">
        <f t="shared" si="28"/>
        <v>37470</v>
      </c>
      <c r="AG48" s="272">
        <f t="shared" si="28"/>
        <v>160815</v>
      </c>
      <c r="AH48" s="455">
        <f t="shared" si="3"/>
        <v>1536283</v>
      </c>
      <c r="AI48" s="272">
        <f>SUM(AI38:AI47)</f>
        <v>1291077</v>
      </c>
      <c r="AJ48" s="272">
        <f>SUM(AJ38:AJ47)</f>
        <v>245206</v>
      </c>
      <c r="AK48" s="272">
        <f>SUM(AK38:AK47)</f>
        <v>2851951</v>
      </c>
      <c r="AL48" s="455">
        <f t="shared" si="4"/>
        <v>249600</v>
      </c>
      <c r="AM48" s="272">
        <f t="shared" ref="AM48:BN48" si="29">SUM(AM38:AM47)</f>
        <v>98934</v>
      </c>
      <c r="AN48" s="272">
        <f t="shared" si="29"/>
        <v>149491</v>
      </c>
      <c r="AO48" s="272">
        <f t="shared" si="29"/>
        <v>0</v>
      </c>
      <c r="AP48" s="272">
        <f t="shared" si="29"/>
        <v>1175</v>
      </c>
      <c r="AQ48" s="272">
        <f t="shared" si="29"/>
        <v>1000566</v>
      </c>
      <c r="AR48" s="272">
        <f t="shared" si="29"/>
        <v>20786</v>
      </c>
      <c r="AS48" s="272">
        <f t="shared" si="29"/>
        <v>0</v>
      </c>
      <c r="AT48" s="272">
        <f t="shared" si="29"/>
        <v>3075312</v>
      </c>
      <c r="AU48" s="272">
        <f t="shared" si="29"/>
        <v>1274018</v>
      </c>
      <c r="AV48" s="272">
        <f t="shared" si="29"/>
        <v>79207</v>
      </c>
      <c r="AW48" s="272">
        <f t="shared" si="29"/>
        <v>110237</v>
      </c>
      <c r="AX48" s="272">
        <f t="shared" si="29"/>
        <v>1801294</v>
      </c>
      <c r="AY48" s="272">
        <f t="shared" si="29"/>
        <v>206121</v>
      </c>
      <c r="AZ48" s="272">
        <f t="shared" si="29"/>
        <v>89002</v>
      </c>
      <c r="BA48" s="272">
        <f t="shared" si="29"/>
        <v>61148</v>
      </c>
      <c r="BB48" s="272">
        <f t="shared" si="29"/>
        <v>23762</v>
      </c>
      <c r="BC48" s="272">
        <f t="shared" si="29"/>
        <v>3951586</v>
      </c>
      <c r="BD48" s="272">
        <f t="shared" si="29"/>
        <v>1413780</v>
      </c>
      <c r="BE48" s="272">
        <f t="shared" si="29"/>
        <v>97136</v>
      </c>
      <c r="BF48" s="272">
        <f t="shared" si="29"/>
        <v>1838808</v>
      </c>
      <c r="BG48" s="272">
        <f t="shared" si="29"/>
        <v>0</v>
      </c>
      <c r="BH48" s="272">
        <f t="shared" si="29"/>
        <v>1228085</v>
      </c>
      <c r="BI48" s="272">
        <f t="shared" si="29"/>
        <v>1060676</v>
      </c>
      <c r="BJ48" s="272">
        <f t="shared" si="29"/>
        <v>1533088</v>
      </c>
      <c r="BK48" s="272">
        <f t="shared" si="29"/>
        <v>137491</v>
      </c>
      <c r="BL48" s="272">
        <f t="shared" si="29"/>
        <v>2236</v>
      </c>
      <c r="BM48" s="272">
        <f t="shared" si="29"/>
        <v>0</v>
      </c>
      <c r="BN48" s="272">
        <f t="shared" si="29"/>
        <v>4603300</v>
      </c>
      <c r="BO48" s="455">
        <f t="shared" si="5"/>
        <v>1570100</v>
      </c>
      <c r="BP48" s="455">
        <f t="shared" si="6"/>
        <v>2926200</v>
      </c>
      <c r="BQ48" s="272">
        <f>SUM(BQ38:BQ47)</f>
        <v>278300</v>
      </c>
      <c r="BR48" s="272">
        <f>SUM(BR38:BR47)</f>
        <v>0</v>
      </c>
      <c r="BS48" s="272">
        <f>SUM(BS38:BS47)</f>
        <v>2647900</v>
      </c>
      <c r="BT48" s="272">
        <f>SUM(BT38:BT47)</f>
        <v>107000</v>
      </c>
      <c r="BU48" s="272">
        <f>SUM(BU38:BU47)</f>
        <v>63361178</v>
      </c>
      <c r="BV48" s="272"/>
      <c r="BW48" s="272">
        <f t="shared" ref="BW48:CI48" si="30">SUM(BW38:BW47)</f>
        <v>18033578</v>
      </c>
      <c r="BX48" s="272">
        <f t="shared" si="30"/>
        <v>11886026</v>
      </c>
      <c r="BY48" s="272">
        <f t="shared" si="30"/>
        <v>1801996</v>
      </c>
      <c r="BZ48" s="272">
        <f t="shared" si="30"/>
        <v>891194</v>
      </c>
      <c r="CA48" s="272">
        <f t="shared" si="30"/>
        <v>4477783</v>
      </c>
      <c r="CB48" s="272">
        <f t="shared" si="30"/>
        <v>1544439</v>
      </c>
      <c r="CC48" s="272">
        <f t="shared" si="30"/>
        <v>405760</v>
      </c>
      <c r="CD48" s="272">
        <f t="shared" si="30"/>
        <v>2233581</v>
      </c>
      <c r="CE48" s="272">
        <f t="shared" si="30"/>
        <v>122964</v>
      </c>
      <c r="CF48" s="272">
        <f t="shared" si="30"/>
        <v>5354</v>
      </c>
      <c r="CG48" s="272">
        <f t="shared" si="30"/>
        <v>165385</v>
      </c>
      <c r="CH48" s="272">
        <f t="shared" si="30"/>
        <v>7952075</v>
      </c>
      <c r="CI48" s="272">
        <f t="shared" si="30"/>
        <v>6379763</v>
      </c>
      <c r="CJ48" s="455">
        <f t="shared" si="7"/>
        <v>1572312</v>
      </c>
      <c r="CK48" s="272">
        <f t="shared" ref="CK48:CS48" si="31">SUM(CK38:CK47)</f>
        <v>9869768</v>
      </c>
      <c r="CL48" s="272">
        <f t="shared" si="31"/>
        <v>5173307</v>
      </c>
      <c r="CM48" s="272">
        <f t="shared" si="31"/>
        <v>865755</v>
      </c>
      <c r="CN48" s="272">
        <f t="shared" si="31"/>
        <v>2311469</v>
      </c>
      <c r="CO48" s="272">
        <f t="shared" si="31"/>
        <v>789798</v>
      </c>
      <c r="CP48" s="272">
        <f t="shared" si="31"/>
        <v>5803092</v>
      </c>
      <c r="CQ48" s="272">
        <f t="shared" si="31"/>
        <v>1950279</v>
      </c>
      <c r="CR48" s="272">
        <f t="shared" si="31"/>
        <v>1264237</v>
      </c>
      <c r="CS48" s="272">
        <f t="shared" si="31"/>
        <v>961967</v>
      </c>
      <c r="CT48" s="455">
        <f t="shared" si="8"/>
        <v>286097</v>
      </c>
      <c r="CU48" s="272">
        <f>SUM(CU38:CU47)</f>
        <v>181495</v>
      </c>
      <c r="CV48" s="272">
        <f>SUM(CV38:CV47)</f>
        <v>104602</v>
      </c>
      <c r="CW48" s="455">
        <f t="shared" si="9"/>
        <v>156686</v>
      </c>
      <c r="CX48" s="272">
        <f>SUM(CX38:CX47)</f>
        <v>137853</v>
      </c>
      <c r="CY48" s="272">
        <f>SUM(CY38:CY47)</f>
        <v>18833</v>
      </c>
      <c r="CZ48" s="455">
        <f t="shared" si="10"/>
        <v>0</v>
      </c>
      <c r="DA48" s="272">
        <f t="shared" ref="DA48:DU48" si="32">SUM(DA38:DA47)</f>
        <v>0</v>
      </c>
      <c r="DB48" s="272">
        <f t="shared" si="32"/>
        <v>0</v>
      </c>
      <c r="DC48" s="272">
        <f t="shared" si="32"/>
        <v>5959624</v>
      </c>
      <c r="DD48" s="272">
        <f t="shared" si="32"/>
        <v>2107215</v>
      </c>
      <c r="DE48" s="272">
        <f t="shared" si="32"/>
        <v>3698175</v>
      </c>
      <c r="DF48" s="272">
        <f t="shared" si="32"/>
        <v>108538</v>
      </c>
      <c r="DG48" s="272">
        <f t="shared" si="32"/>
        <v>45696</v>
      </c>
      <c r="DH48" s="272">
        <f t="shared" si="32"/>
        <v>27678</v>
      </c>
      <c r="DI48" s="272">
        <f t="shared" si="32"/>
        <v>980883</v>
      </c>
      <c r="DJ48" s="272">
        <f t="shared" si="32"/>
        <v>814853</v>
      </c>
      <c r="DK48" s="272">
        <f t="shared" si="32"/>
        <v>21086</v>
      </c>
      <c r="DL48" s="272">
        <f t="shared" si="32"/>
        <v>144944</v>
      </c>
      <c r="DM48" s="272">
        <f t="shared" si="32"/>
        <v>6100</v>
      </c>
      <c r="DN48" s="272">
        <f t="shared" si="32"/>
        <v>6100</v>
      </c>
      <c r="DO48" s="272">
        <f t="shared" si="32"/>
        <v>6100</v>
      </c>
      <c r="DP48" s="272">
        <f t="shared" si="32"/>
        <v>0</v>
      </c>
      <c r="DQ48" s="272">
        <f t="shared" si="32"/>
        <v>100928</v>
      </c>
      <c r="DR48" s="272">
        <f t="shared" si="32"/>
        <v>0</v>
      </c>
      <c r="DS48" s="272">
        <f t="shared" si="32"/>
        <v>0</v>
      </c>
      <c r="DT48" s="272">
        <f t="shared" si="32"/>
        <v>8003725</v>
      </c>
      <c r="DU48" s="272">
        <f t="shared" si="32"/>
        <v>3571421</v>
      </c>
      <c r="DV48" s="455">
        <f t="shared" si="11"/>
        <v>0</v>
      </c>
      <c r="DW48" s="272">
        <f t="shared" ref="DW48:ED48" si="33">SUM(DW38:DW47)</f>
        <v>0</v>
      </c>
      <c r="DX48" s="272">
        <f t="shared" si="33"/>
        <v>0</v>
      </c>
      <c r="DY48" s="272">
        <f t="shared" si="33"/>
        <v>0</v>
      </c>
      <c r="DZ48" s="272">
        <f t="shared" si="33"/>
        <v>1308306</v>
      </c>
      <c r="EA48" s="272">
        <f t="shared" si="33"/>
        <v>1246182</v>
      </c>
      <c r="EB48" s="272">
        <f t="shared" si="33"/>
        <v>1645042</v>
      </c>
      <c r="EC48" s="272">
        <f t="shared" si="33"/>
        <v>0</v>
      </c>
      <c r="ED48" s="272">
        <f t="shared" si="33"/>
        <v>62005032</v>
      </c>
      <c r="EE48" s="89"/>
      <c r="EF48" s="272">
        <f>SUM(EF38:EF47)</f>
        <v>1356146</v>
      </c>
      <c r="EG48" s="272">
        <f>SUM(EG38:EG47)</f>
        <v>574692</v>
      </c>
      <c r="EH48" s="272">
        <f>SUM(EH38:EH47)</f>
        <v>781454</v>
      </c>
      <c r="EI48" s="71">
        <f>SUM(EI38:EI47)</f>
        <v>-339222</v>
      </c>
      <c r="EJ48" s="272">
        <f>SUM(EJ38:EJ47)</f>
        <v>-938149</v>
      </c>
      <c r="EK48" s="89"/>
      <c r="EL48" s="272">
        <f>SUM(EL38:EL47)</f>
        <v>192278</v>
      </c>
      <c r="EM48" s="272">
        <f>SUM(EM38:EM47)</f>
        <v>194059</v>
      </c>
      <c r="EN48" s="272">
        <f>SUM(EN38:EN47)</f>
        <v>2217252</v>
      </c>
      <c r="EO48" s="272">
        <f>SUM(EO38:EO47)</f>
        <v>70370</v>
      </c>
      <c r="EP48" s="455">
        <f t="shared" si="12"/>
        <v>2243082</v>
      </c>
      <c r="EQ48" s="272">
        <f t="shared" ref="EQ48:EV48" si="34">SUM(EQ38:EQ47)</f>
        <v>44307994</v>
      </c>
      <c r="ER48" s="272">
        <f t="shared" si="34"/>
        <v>-7419434</v>
      </c>
      <c r="ES48" s="272">
        <f t="shared" si="34"/>
        <v>16880921</v>
      </c>
      <c r="ET48" s="272">
        <f t="shared" si="34"/>
        <v>11043278</v>
      </c>
      <c r="EU48" s="272">
        <f t="shared" si="34"/>
        <v>1888778</v>
      </c>
      <c r="EV48" s="272">
        <f t="shared" si="34"/>
        <v>7819141</v>
      </c>
      <c r="EW48" s="455">
        <f t="shared" si="13"/>
        <v>1523355</v>
      </c>
      <c r="EX48" s="272">
        <f>SUM(EX38:EX47)</f>
        <v>1519621</v>
      </c>
      <c r="EY48" s="272">
        <f>SUM(EY38:EY47)</f>
        <v>98512</v>
      </c>
      <c r="EZ48" s="272">
        <f>SUM(EZ38:EZ47)</f>
        <v>1404893</v>
      </c>
      <c r="FA48" s="272">
        <f>SUM(FA38:FA47)</f>
        <v>3734</v>
      </c>
      <c r="FB48" s="272"/>
      <c r="FC48" s="272">
        <f>SUM(FC38:FC47)</f>
        <v>8096062</v>
      </c>
      <c r="FD48" s="272">
        <f>SUM(FD38:FD47)</f>
        <v>5316352</v>
      </c>
      <c r="FE48" s="272">
        <f>SUM(FE38:FE47)</f>
        <v>1920110</v>
      </c>
      <c r="FF48" s="272">
        <f>SUM(FF38:FF47)</f>
        <v>7217426</v>
      </c>
      <c r="FG48" s="455">
        <f t="shared" si="14"/>
        <v>1629247</v>
      </c>
      <c r="FH48" s="272">
        <f>SUM(FH38:FH47)</f>
        <v>50371282</v>
      </c>
      <c r="FI48" s="384">
        <f t="shared" si="15"/>
        <v>1.9</v>
      </c>
      <c r="FJ48" s="272">
        <f>SUM(FJ38:FJ47)</f>
        <v>40906197</v>
      </c>
      <c r="FK48" s="272">
        <f>SUM(FK38:FK47)</f>
        <v>2810962</v>
      </c>
      <c r="FL48" s="272">
        <f>SUM(FL38:FL47)</f>
        <v>22335510</v>
      </c>
      <c r="FM48" s="272">
        <f>SUM(FM38:FM47)</f>
        <v>32522153</v>
      </c>
      <c r="FN48" s="468">
        <v>0.71399999999999997</v>
      </c>
      <c r="FO48" s="469">
        <v>93.1</v>
      </c>
      <c r="FP48" s="469">
        <v>35</v>
      </c>
      <c r="FQ48" s="469">
        <v>4.2</v>
      </c>
      <c r="FR48" s="469">
        <v>17.5</v>
      </c>
      <c r="FS48" s="469">
        <v>16.7</v>
      </c>
      <c r="FT48" s="469">
        <v>6.9</v>
      </c>
      <c r="FU48" s="469">
        <v>11.4</v>
      </c>
      <c r="FV48" s="469">
        <v>12.3</v>
      </c>
      <c r="FW48" s="272">
        <f>SUM(FW38:FW47)</f>
        <v>76406290</v>
      </c>
      <c r="FX48" s="384">
        <f t="shared" si="16"/>
        <v>186.8</v>
      </c>
      <c r="FY48" s="272">
        <f t="shared" ref="FY48:GD48" si="35">SUM(FY38:FY47)</f>
        <v>22955467</v>
      </c>
      <c r="FZ48" s="272">
        <f t="shared" si="35"/>
        <v>11843548</v>
      </c>
      <c r="GA48" s="272">
        <f t="shared" si="35"/>
        <v>1231433</v>
      </c>
      <c r="GB48" s="272">
        <f t="shared" si="35"/>
        <v>9880486</v>
      </c>
      <c r="GC48" s="272">
        <f t="shared" si="35"/>
        <v>0</v>
      </c>
      <c r="GD48" s="272">
        <f t="shared" si="35"/>
        <v>2179601</v>
      </c>
      <c r="GE48" s="465">
        <f>ROUND(GD48/FJ51*100,1)</f>
        <v>12.4</v>
      </c>
      <c r="GF48" s="469">
        <v>98.4</v>
      </c>
      <c r="GG48" s="469">
        <v>18.100000000000001</v>
      </c>
      <c r="GH48" s="469">
        <v>92.4</v>
      </c>
      <c r="GI48" s="272">
        <f>SUM(GI38:GI47)</f>
        <v>1799</v>
      </c>
      <c r="GJ48" s="394"/>
      <c r="GK48" s="394"/>
      <c r="GL48" s="394"/>
      <c r="GM48" s="394"/>
      <c r="GN48" s="394"/>
      <c r="GO48" s="394"/>
      <c r="GP48" s="394"/>
      <c r="GQ48" s="394"/>
      <c r="GR48" s="394"/>
      <c r="GS48" s="394"/>
      <c r="GT48" s="394"/>
      <c r="GU48" s="394"/>
      <c r="GV48" s="394"/>
      <c r="GW48" s="394"/>
      <c r="GX48" s="394"/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</row>
    <row r="49" spans="2:230" x14ac:dyDescent="0.15">
      <c r="B49" s="21" t="s">
        <v>91</v>
      </c>
      <c r="C49" s="272">
        <f>C37+C48</f>
        <v>751865537</v>
      </c>
      <c r="D49" s="455">
        <f t="shared" si="0"/>
        <v>247341933</v>
      </c>
      <c r="E49" s="272">
        <f>E37+E48</f>
        <v>6145137</v>
      </c>
      <c r="F49" s="272">
        <f>F37+F48</f>
        <v>241196796</v>
      </c>
      <c r="G49" s="455">
        <f t="shared" si="1"/>
        <v>63267966</v>
      </c>
      <c r="H49" s="272">
        <f t="shared" ref="H49:S49" si="36">H37+H48</f>
        <v>12694143</v>
      </c>
      <c r="I49" s="272">
        <f t="shared" si="36"/>
        <v>50573823</v>
      </c>
      <c r="J49" s="272">
        <f t="shared" si="36"/>
        <v>328704839</v>
      </c>
      <c r="K49" s="272">
        <f t="shared" si="36"/>
        <v>144695633</v>
      </c>
      <c r="L49" s="272">
        <f t="shared" si="36"/>
        <v>133366589</v>
      </c>
      <c r="M49" s="272">
        <f t="shared" si="36"/>
        <v>44651597</v>
      </c>
      <c r="N49" s="272">
        <f t="shared" si="36"/>
        <v>34322051</v>
      </c>
      <c r="O49" s="272">
        <f t="shared" si="36"/>
        <v>66796069</v>
      </c>
      <c r="P49" s="272">
        <f t="shared" si="36"/>
        <v>38467420</v>
      </c>
      <c r="Q49" s="272">
        <f t="shared" si="36"/>
        <v>28328649</v>
      </c>
      <c r="R49" s="272">
        <f t="shared" si="36"/>
        <v>33133064</v>
      </c>
      <c r="S49" s="272">
        <f t="shared" si="36"/>
        <v>18907668</v>
      </c>
      <c r="T49" s="455">
        <f t="shared" si="2"/>
        <v>73980162</v>
      </c>
      <c r="U49" s="272">
        <f t="shared" ref="U49:AG49" si="37">U37+U48</f>
        <v>5714523</v>
      </c>
      <c r="V49" s="272">
        <f t="shared" si="37"/>
        <v>3117690</v>
      </c>
      <c r="W49" s="272">
        <f t="shared" si="37"/>
        <v>3868765</v>
      </c>
      <c r="X49" s="272">
        <f t="shared" si="37"/>
        <v>48184557</v>
      </c>
      <c r="Y49" s="272">
        <f t="shared" si="37"/>
        <v>1097939</v>
      </c>
      <c r="Z49" s="272">
        <f t="shared" si="37"/>
        <v>0</v>
      </c>
      <c r="AA49" s="272">
        <f t="shared" si="37"/>
        <v>11996688</v>
      </c>
      <c r="AB49" s="272">
        <f t="shared" si="37"/>
        <v>26174493</v>
      </c>
      <c r="AC49" s="272">
        <f t="shared" si="37"/>
        <v>164938074</v>
      </c>
      <c r="AD49" s="272">
        <f t="shared" si="37"/>
        <v>152367401</v>
      </c>
      <c r="AE49" s="272">
        <f t="shared" si="37"/>
        <v>12570673</v>
      </c>
      <c r="AF49" s="272">
        <f t="shared" si="37"/>
        <v>1049526</v>
      </c>
      <c r="AG49" s="272">
        <f t="shared" si="37"/>
        <v>17277602</v>
      </c>
      <c r="AH49" s="455">
        <f t="shared" si="3"/>
        <v>38321950</v>
      </c>
      <c r="AI49" s="272">
        <f>AI37+AI48</f>
        <v>30575982</v>
      </c>
      <c r="AJ49" s="272">
        <f>AJ37+AJ48</f>
        <v>7745968</v>
      </c>
      <c r="AK49" s="272">
        <f>AK37+AK48</f>
        <v>208500678</v>
      </c>
      <c r="AL49" s="455">
        <f t="shared" si="4"/>
        <v>127311483</v>
      </c>
      <c r="AM49" s="272">
        <f t="shared" ref="AM49:BN49" si="38">AM37+AM48</f>
        <v>109918199</v>
      </c>
      <c r="AN49" s="272">
        <f t="shared" si="38"/>
        <v>17257741</v>
      </c>
      <c r="AO49" s="272">
        <f t="shared" si="38"/>
        <v>67452</v>
      </c>
      <c r="AP49" s="272">
        <f t="shared" si="38"/>
        <v>68091</v>
      </c>
      <c r="AQ49" s="272">
        <f t="shared" si="38"/>
        <v>15355970</v>
      </c>
      <c r="AR49" s="272">
        <f t="shared" si="38"/>
        <v>29754</v>
      </c>
      <c r="AS49" s="272">
        <f t="shared" si="38"/>
        <v>334520</v>
      </c>
      <c r="AT49" s="272">
        <f t="shared" si="38"/>
        <v>76025264</v>
      </c>
      <c r="AU49" s="272">
        <f t="shared" si="38"/>
        <v>33327366</v>
      </c>
      <c r="AV49" s="272">
        <f t="shared" si="38"/>
        <v>5489108</v>
      </c>
      <c r="AW49" s="272">
        <f t="shared" si="38"/>
        <v>1149939</v>
      </c>
      <c r="AX49" s="272">
        <f t="shared" si="38"/>
        <v>42697898</v>
      </c>
      <c r="AY49" s="272">
        <f t="shared" si="38"/>
        <v>1761426</v>
      </c>
      <c r="AZ49" s="272">
        <f t="shared" si="38"/>
        <v>5183823</v>
      </c>
      <c r="BA49" s="272">
        <f t="shared" si="38"/>
        <v>4390881</v>
      </c>
      <c r="BB49" s="272">
        <f t="shared" si="38"/>
        <v>1920407</v>
      </c>
      <c r="BC49" s="272">
        <f t="shared" si="38"/>
        <v>29853900</v>
      </c>
      <c r="BD49" s="272">
        <f t="shared" si="38"/>
        <v>6368679</v>
      </c>
      <c r="BE49" s="272">
        <f t="shared" si="38"/>
        <v>4979487</v>
      </c>
      <c r="BF49" s="272">
        <f t="shared" si="38"/>
        <v>13823342</v>
      </c>
      <c r="BG49" s="272">
        <f t="shared" si="38"/>
        <v>2185635</v>
      </c>
      <c r="BH49" s="272">
        <f t="shared" si="38"/>
        <v>9048534</v>
      </c>
      <c r="BI49" s="272">
        <f t="shared" si="38"/>
        <v>6022487</v>
      </c>
      <c r="BJ49" s="272">
        <f t="shared" si="38"/>
        <v>55868376</v>
      </c>
      <c r="BK49" s="272">
        <f t="shared" si="38"/>
        <v>29549440</v>
      </c>
      <c r="BL49" s="272">
        <f t="shared" si="38"/>
        <v>239967</v>
      </c>
      <c r="BM49" s="272">
        <f t="shared" si="38"/>
        <v>2520470</v>
      </c>
      <c r="BN49" s="272">
        <f t="shared" si="38"/>
        <v>118095750</v>
      </c>
      <c r="BO49" s="455">
        <f t="shared" si="5"/>
        <v>54932750</v>
      </c>
      <c r="BP49" s="455">
        <f t="shared" si="6"/>
        <v>62720000</v>
      </c>
      <c r="BQ49" s="272">
        <f>BQ37+BQ48</f>
        <v>9233400</v>
      </c>
      <c r="BR49" s="272">
        <f>BR37+BR48</f>
        <v>0</v>
      </c>
      <c r="BS49" s="272">
        <f>BS37+BS48</f>
        <v>53486600</v>
      </c>
      <c r="BT49" s="272">
        <f>BT37+BT48</f>
        <v>443000</v>
      </c>
      <c r="BU49" s="272">
        <f>BU37+BU48</f>
        <v>1611583099</v>
      </c>
      <c r="BV49" s="272"/>
      <c r="BW49" s="272">
        <f t="shared" ref="BW49:CI49" si="39">BW37+BW48</f>
        <v>401011414</v>
      </c>
      <c r="BX49" s="272">
        <f t="shared" si="39"/>
        <v>272654120</v>
      </c>
      <c r="BY49" s="272">
        <f t="shared" si="39"/>
        <v>47745340</v>
      </c>
      <c r="BZ49" s="272">
        <f t="shared" si="39"/>
        <v>17123576</v>
      </c>
      <c r="CA49" s="272">
        <f t="shared" si="39"/>
        <v>323589707</v>
      </c>
      <c r="CB49" s="272">
        <f t="shared" si="39"/>
        <v>46641095</v>
      </c>
      <c r="CC49" s="272">
        <f t="shared" si="39"/>
        <v>12549239</v>
      </c>
      <c r="CD49" s="272">
        <f t="shared" si="39"/>
        <v>104848283</v>
      </c>
      <c r="CE49" s="272">
        <f t="shared" si="39"/>
        <v>146865515</v>
      </c>
      <c r="CF49" s="272">
        <f t="shared" si="39"/>
        <v>6349658</v>
      </c>
      <c r="CG49" s="272">
        <f t="shared" si="39"/>
        <v>6318016</v>
      </c>
      <c r="CH49" s="272">
        <f t="shared" si="39"/>
        <v>171724947</v>
      </c>
      <c r="CI49" s="272">
        <f t="shared" si="39"/>
        <v>135804737</v>
      </c>
      <c r="CJ49" s="455">
        <f t="shared" si="7"/>
        <v>35920210</v>
      </c>
      <c r="CK49" s="272">
        <f t="shared" ref="CK49:CS49" si="40">CK37+CK48</f>
        <v>186578595</v>
      </c>
      <c r="CL49" s="272">
        <f t="shared" si="40"/>
        <v>105737819</v>
      </c>
      <c r="CM49" s="272">
        <f t="shared" si="40"/>
        <v>13097883</v>
      </c>
      <c r="CN49" s="272">
        <f t="shared" si="40"/>
        <v>37208548</v>
      </c>
      <c r="CO49" s="272">
        <f t="shared" si="40"/>
        <v>13614708</v>
      </c>
      <c r="CP49" s="272">
        <f t="shared" si="40"/>
        <v>122996890</v>
      </c>
      <c r="CQ49" s="272">
        <f t="shared" si="40"/>
        <v>42121109</v>
      </c>
      <c r="CR49" s="272">
        <f t="shared" si="40"/>
        <v>36698826</v>
      </c>
      <c r="CS49" s="272">
        <f t="shared" si="40"/>
        <v>27185592</v>
      </c>
      <c r="CT49" s="455">
        <f t="shared" si="8"/>
        <v>16799963</v>
      </c>
      <c r="CU49" s="272">
        <f>CU37+CU48</f>
        <v>12010691</v>
      </c>
      <c r="CV49" s="272">
        <f>CV37+CV48</f>
        <v>4789272</v>
      </c>
      <c r="CW49" s="455">
        <f t="shared" si="9"/>
        <v>13354222</v>
      </c>
      <c r="CX49" s="272">
        <f>CX37+CX48</f>
        <v>10682660</v>
      </c>
      <c r="CY49" s="272">
        <f>CY37+CY48</f>
        <v>2671562</v>
      </c>
      <c r="CZ49" s="455">
        <f t="shared" si="10"/>
        <v>517257</v>
      </c>
      <c r="DA49" s="272">
        <f t="shared" ref="DA49:DU49" si="41">DA37+DA48</f>
        <v>460140</v>
      </c>
      <c r="DB49" s="272">
        <f t="shared" si="41"/>
        <v>57117</v>
      </c>
      <c r="DC49" s="272">
        <f t="shared" si="41"/>
        <v>124603357</v>
      </c>
      <c r="DD49" s="272">
        <f t="shared" si="41"/>
        <v>33339474</v>
      </c>
      <c r="DE49" s="272">
        <f t="shared" si="41"/>
        <v>86454550</v>
      </c>
      <c r="DF49" s="272">
        <f t="shared" si="41"/>
        <v>1977365</v>
      </c>
      <c r="DG49" s="272">
        <f t="shared" si="41"/>
        <v>2831968</v>
      </c>
      <c r="DH49" s="272">
        <f t="shared" si="41"/>
        <v>128192</v>
      </c>
      <c r="DI49" s="272">
        <f t="shared" si="41"/>
        <v>20845395</v>
      </c>
      <c r="DJ49" s="272">
        <f t="shared" si="41"/>
        <v>7703909</v>
      </c>
      <c r="DK49" s="272">
        <f t="shared" si="41"/>
        <v>2781325</v>
      </c>
      <c r="DL49" s="272">
        <f t="shared" si="41"/>
        <v>10359970</v>
      </c>
      <c r="DM49" s="272">
        <f t="shared" si="41"/>
        <v>2470961</v>
      </c>
      <c r="DN49" s="272">
        <f t="shared" si="41"/>
        <v>1922361</v>
      </c>
      <c r="DO49" s="272">
        <f t="shared" si="41"/>
        <v>248853</v>
      </c>
      <c r="DP49" s="272">
        <f t="shared" si="41"/>
        <v>1672574</v>
      </c>
      <c r="DQ49" s="272">
        <f t="shared" si="41"/>
        <v>32258338</v>
      </c>
      <c r="DR49" s="272">
        <f t="shared" si="41"/>
        <v>300000</v>
      </c>
      <c r="DS49" s="272">
        <f t="shared" si="41"/>
        <v>300000</v>
      </c>
      <c r="DT49" s="272">
        <f t="shared" si="41"/>
        <v>199537727</v>
      </c>
      <c r="DU49" s="272">
        <f t="shared" si="41"/>
        <v>83401325</v>
      </c>
      <c r="DV49" s="455">
        <f t="shared" si="11"/>
        <v>730282</v>
      </c>
      <c r="DW49" s="272">
        <f t="shared" ref="DW49:ED49" si="42">DW37+DW48</f>
        <v>730282</v>
      </c>
      <c r="DX49" s="272">
        <f t="shared" si="42"/>
        <v>0</v>
      </c>
      <c r="DY49" s="272">
        <f t="shared" si="42"/>
        <v>341140</v>
      </c>
      <c r="DZ49" s="272">
        <f t="shared" si="42"/>
        <v>48871126</v>
      </c>
      <c r="EA49" s="272">
        <f t="shared" si="42"/>
        <v>27669478</v>
      </c>
      <c r="EB49" s="272">
        <f t="shared" si="42"/>
        <v>35294874</v>
      </c>
      <c r="EC49" s="272">
        <f t="shared" si="42"/>
        <v>7095850</v>
      </c>
      <c r="ED49" s="272">
        <f t="shared" si="42"/>
        <v>1606456081</v>
      </c>
      <c r="EE49" s="89"/>
      <c r="EF49" s="272">
        <f>EF37+EF48</f>
        <v>5127018</v>
      </c>
      <c r="EG49" s="272">
        <f>EG37+EG48</f>
        <v>3029491</v>
      </c>
      <c r="EH49" s="272">
        <f>EH37+EH48</f>
        <v>2097527</v>
      </c>
      <c r="EI49" s="71">
        <f>EI37+EI48</f>
        <v>2086708</v>
      </c>
      <c r="EJ49" s="272">
        <f>EJ37+EJ48</f>
        <v>4475839</v>
      </c>
      <c r="EK49" s="89"/>
      <c r="EL49" s="272">
        <f>EL37+EL48</f>
        <v>5357389</v>
      </c>
      <c r="EM49" s="272">
        <f>EM37+EM48</f>
        <v>5327088</v>
      </c>
      <c r="EN49" s="272">
        <f>EN37+EN48</f>
        <v>17563400</v>
      </c>
      <c r="EO49" s="272">
        <f>EO37+EO48</f>
        <v>4018434</v>
      </c>
      <c r="EP49" s="455">
        <f t="shared" si="12"/>
        <v>39991366</v>
      </c>
      <c r="EQ49" s="272">
        <f t="shared" ref="EQ49:EV49" si="43">EQ37+EQ48</f>
        <v>1051475376</v>
      </c>
      <c r="ER49" s="272">
        <f t="shared" si="43"/>
        <v>-122909154</v>
      </c>
      <c r="ES49" s="272">
        <f t="shared" si="43"/>
        <v>374344357</v>
      </c>
      <c r="ET49" s="272">
        <f t="shared" si="43"/>
        <v>251030385</v>
      </c>
      <c r="EU49" s="272">
        <f t="shared" si="43"/>
        <v>100859531</v>
      </c>
      <c r="EV49" s="272">
        <f t="shared" si="43"/>
        <v>168637764</v>
      </c>
      <c r="EW49" s="455">
        <f t="shared" si="13"/>
        <v>40951926</v>
      </c>
      <c r="EX49" s="272">
        <f>EX37+EX48</f>
        <v>40919585</v>
      </c>
      <c r="EY49" s="272">
        <f>EY37+EY48</f>
        <v>4001579</v>
      </c>
      <c r="EZ49" s="272">
        <f>EZ37+EZ48</f>
        <v>36604581</v>
      </c>
      <c r="FA49" s="272">
        <f>FA37+FA48</f>
        <v>32341</v>
      </c>
      <c r="FB49" s="272"/>
      <c r="FC49" s="272">
        <f>FC37+FC48</f>
        <v>150470401</v>
      </c>
      <c r="FD49" s="272">
        <f>FD37+FD48</f>
        <v>111886636</v>
      </c>
      <c r="FE49" s="272">
        <f>FE37+FE48</f>
        <v>41643354</v>
      </c>
      <c r="FF49" s="272">
        <f>FF37+FF48</f>
        <v>179788214</v>
      </c>
      <c r="FG49" s="455">
        <f t="shared" si="14"/>
        <v>42404559</v>
      </c>
      <c r="FH49" s="272">
        <f>FH37+FH48</f>
        <v>1169343388</v>
      </c>
      <c r="FI49" s="384">
        <f t="shared" si="15"/>
        <v>0.2</v>
      </c>
      <c r="FJ49" s="272">
        <f>FJ37+FJ48</f>
        <v>954405039</v>
      </c>
      <c r="FK49" s="272">
        <f>FK37+FK48</f>
        <v>53751556</v>
      </c>
      <c r="FL49" s="272">
        <f>FL37+FL48</f>
        <v>610106283</v>
      </c>
      <c r="FM49" s="272">
        <f>FM37+FM48</f>
        <v>753943256</v>
      </c>
      <c r="FN49" s="468">
        <v>0.80100000000000005</v>
      </c>
      <c r="FO49" s="469">
        <v>96.1</v>
      </c>
      <c r="FP49" s="469">
        <v>32.5</v>
      </c>
      <c r="FQ49" s="469">
        <v>10</v>
      </c>
      <c r="FR49" s="469">
        <v>16.100000000000001</v>
      </c>
      <c r="FS49" s="469">
        <v>13.7</v>
      </c>
      <c r="FT49" s="469">
        <v>10</v>
      </c>
      <c r="FU49" s="469">
        <v>12.7</v>
      </c>
      <c r="FV49" s="469">
        <v>13.7</v>
      </c>
      <c r="FW49" s="272">
        <f>FW37+FW48</f>
        <v>1626873254</v>
      </c>
      <c r="FX49" s="384">
        <f t="shared" si="16"/>
        <v>170.5</v>
      </c>
      <c r="FY49" s="272">
        <f t="shared" ref="FY49:GD49" si="44">FY37+FY48</f>
        <v>269852310</v>
      </c>
      <c r="FZ49" s="272">
        <f t="shared" si="44"/>
        <v>84979701</v>
      </c>
      <c r="GA49" s="272">
        <f t="shared" si="44"/>
        <v>21376872</v>
      </c>
      <c r="GB49" s="272">
        <f t="shared" si="44"/>
        <v>163495737</v>
      </c>
      <c r="GC49" s="272">
        <f t="shared" si="44"/>
        <v>14291991</v>
      </c>
      <c r="GD49" s="272">
        <f t="shared" si="44"/>
        <v>240750202</v>
      </c>
      <c r="GE49" s="465">
        <f>ROUND(GD49/FJ52*100,1)</f>
        <v>25.9</v>
      </c>
      <c r="GF49" s="469">
        <v>98.1</v>
      </c>
      <c r="GG49" s="469">
        <v>22.2</v>
      </c>
      <c r="GH49" s="469">
        <v>92.6</v>
      </c>
      <c r="GI49" s="272">
        <f>GI37+GI48</f>
        <v>37253</v>
      </c>
      <c r="GJ49" s="394"/>
      <c r="GK49" s="394"/>
      <c r="GL49" s="394"/>
      <c r="GM49" s="394"/>
      <c r="GN49" s="394"/>
      <c r="GO49" s="394"/>
      <c r="GP49" s="394"/>
      <c r="GQ49" s="394"/>
      <c r="GR49" s="394"/>
      <c r="GS49" s="394"/>
      <c r="GT49" s="394"/>
      <c r="GU49" s="394"/>
      <c r="GV49" s="394"/>
      <c r="GW49" s="394"/>
      <c r="GX49" s="394"/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</row>
    <row r="50" spans="2:230" x14ac:dyDescent="0.15">
      <c r="E50" s="89"/>
      <c r="F50" s="89"/>
      <c r="AI50" s="89"/>
      <c r="AJ50" s="89"/>
      <c r="AK50" s="89"/>
      <c r="EJ50" s="394"/>
      <c r="EW50" s="272"/>
      <c r="FH50" s="89"/>
      <c r="FJ50" s="89"/>
      <c r="FK50" s="89"/>
      <c r="FL50" s="89"/>
      <c r="FM50" s="89"/>
      <c r="FW50" s="89"/>
      <c r="GE50" s="31" t="s">
        <v>647</v>
      </c>
      <c r="GI50" s="89"/>
    </row>
    <row r="51" spans="2:230" x14ac:dyDescent="0.15">
      <c r="E51" s="89"/>
      <c r="F51" s="89"/>
      <c r="AI51" s="89"/>
      <c r="AJ51" s="89"/>
      <c r="AK51" s="89"/>
      <c r="FJ51" s="394">
        <f>FJ42+FJ45+FJ46+FJ43</f>
        <v>17600306</v>
      </c>
      <c r="FO51" s="33"/>
      <c r="FP51" s="89" t="s">
        <v>816</v>
      </c>
    </row>
    <row r="52" spans="2:230" x14ac:dyDescent="0.15">
      <c r="AI52" s="89"/>
      <c r="AJ52" s="89"/>
      <c r="AK52" s="89"/>
      <c r="FJ52" s="394">
        <f>FJ37+FJ51</f>
        <v>931099148</v>
      </c>
    </row>
    <row r="56" spans="2:230" x14ac:dyDescent="0.15">
      <c r="EI56" s="100">
        <f>EI7+EI8+EI9+EI16+EI21+EI23+EI27+EI28+EI38+EI39+EI40+EI42+EI44+EI45+EI46+EI47</f>
        <v>-1203959</v>
      </c>
    </row>
    <row r="57" spans="2:230" x14ac:dyDescent="0.15">
      <c r="EI57" s="100">
        <f>EI49-EI56</f>
        <v>3290667</v>
      </c>
    </row>
  </sheetData>
  <phoneticPr fontId="3"/>
  <pageMargins left="0.75" right="0.75" top="1" bottom="1" header="0.51200000000000001" footer="0.51200000000000001"/>
  <pageSetup paperSize="9" orientation="portrait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">
    <tabColor indexed="15"/>
  </sheetPr>
  <dimension ref="A1:GI57"/>
  <sheetViews>
    <sheetView workbookViewId="0">
      <pane xSplit="2" ySplit="5" topLeftCell="FX24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</cols>
  <sheetData>
    <row r="1" spans="2:191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191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347</v>
      </c>
      <c r="O2" s="28" t="s">
        <v>348</v>
      </c>
      <c r="P2" s="28" t="s">
        <v>349</v>
      </c>
      <c r="Q2" s="28" t="s">
        <v>350</v>
      </c>
      <c r="R2" s="28" t="s">
        <v>351</v>
      </c>
      <c r="S2" s="28" t="s">
        <v>795</v>
      </c>
      <c r="U2" s="28" t="s">
        <v>725</v>
      </c>
      <c r="V2" s="28" t="s">
        <v>354</v>
      </c>
      <c r="W2" s="28" t="s">
        <v>355</v>
      </c>
      <c r="X2" s="28" t="s">
        <v>664</v>
      </c>
      <c r="Y2" s="28" t="s">
        <v>356</v>
      </c>
      <c r="Z2" s="28" t="s">
        <v>357</v>
      </c>
      <c r="AA2" s="28" t="s">
        <v>653</v>
      </c>
      <c r="AB2" s="28" t="s">
        <v>359</v>
      </c>
      <c r="AC2" s="28" t="s">
        <v>654</v>
      </c>
      <c r="AD2" s="28" t="s">
        <v>665</v>
      </c>
      <c r="AE2" s="28" t="s">
        <v>726</v>
      </c>
      <c r="AF2" s="28" t="s">
        <v>362</v>
      </c>
      <c r="AG2" s="28" t="s">
        <v>363</v>
      </c>
      <c r="AI2" s="28" t="s">
        <v>366</v>
      </c>
      <c r="AJ2" s="28" t="s">
        <v>796</v>
      </c>
      <c r="AK2" s="28" t="s">
        <v>797</v>
      </c>
      <c r="AL2" s="29"/>
      <c r="AM2" s="28" t="s">
        <v>368</v>
      </c>
      <c r="AN2" s="28" t="s">
        <v>728</v>
      </c>
      <c r="AO2" s="28" t="s">
        <v>686</v>
      </c>
      <c r="AP2" s="28" t="s">
        <v>369</v>
      </c>
      <c r="AQ2" s="28" t="s">
        <v>798</v>
      </c>
      <c r="AR2" s="28" t="s">
        <v>370</v>
      </c>
      <c r="AS2" s="28" t="s">
        <v>799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817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 t="s">
        <v>780</v>
      </c>
      <c r="BR2" s="28" t="s">
        <v>818</v>
      </c>
      <c r="BS2" s="28" t="s">
        <v>804</v>
      </c>
      <c r="BT2" s="28" t="s">
        <v>819</v>
      </c>
      <c r="BU2" s="28" t="s">
        <v>806</v>
      </c>
      <c r="BW2" s="28" t="s">
        <v>402</v>
      </c>
      <c r="BX2" s="28" t="s">
        <v>403</v>
      </c>
      <c r="BY2" s="28" t="s">
        <v>786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720</v>
      </c>
      <c r="CM2" s="28" t="s">
        <v>417</v>
      </c>
      <c r="CN2" s="28" t="s">
        <v>721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820</v>
      </c>
      <c r="CV2" s="28" t="s">
        <v>821</v>
      </c>
      <c r="CX2" s="28" t="s">
        <v>426</v>
      </c>
      <c r="CY2" s="28" t="s">
        <v>812</v>
      </c>
      <c r="DA2" s="28" t="s">
        <v>822</v>
      </c>
      <c r="DB2" s="28" t="s">
        <v>823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824</v>
      </c>
      <c r="DW2" s="28" t="s">
        <v>449</v>
      </c>
      <c r="DX2" s="28" t="s">
        <v>448</v>
      </c>
      <c r="DY2" s="28" t="s">
        <v>451</v>
      </c>
      <c r="DZ2" s="28" t="s">
        <v>825</v>
      </c>
      <c r="EA2" s="28" t="s">
        <v>826</v>
      </c>
      <c r="EB2" s="28" t="s">
        <v>453</v>
      </c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191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827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191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203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191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828</v>
      </c>
      <c r="DX5" s="30" t="s">
        <v>829</v>
      </c>
      <c r="DY5" s="30"/>
      <c r="DZ5" s="30"/>
      <c r="EA5" s="30"/>
      <c r="EB5" s="30"/>
      <c r="EC5" s="30"/>
      <c r="ED5" s="3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191" x14ac:dyDescent="0.15">
      <c r="B6" s="89" t="s">
        <v>5</v>
      </c>
      <c r="C6" s="272">
        <v>23462059</v>
      </c>
      <c r="D6" s="455">
        <f t="shared" ref="D6:D49" si="0">E6+F6</f>
        <v>6921157</v>
      </c>
      <c r="E6" s="272">
        <v>195588</v>
      </c>
      <c r="F6" s="272">
        <v>6725569</v>
      </c>
      <c r="G6" s="455">
        <f t="shared" ref="G6:G49" si="1">H6+I6</f>
        <v>1809120</v>
      </c>
      <c r="H6" s="272">
        <v>424799</v>
      </c>
      <c r="I6" s="272">
        <v>1384321</v>
      </c>
      <c r="J6" s="272">
        <v>10742460</v>
      </c>
      <c r="K6" s="272">
        <v>4966344</v>
      </c>
      <c r="L6" s="272">
        <v>4309606</v>
      </c>
      <c r="M6" s="272">
        <v>1173078</v>
      </c>
      <c r="N6" s="272">
        <v>1572732</v>
      </c>
      <c r="O6" s="272">
        <v>2178662</v>
      </c>
      <c r="P6" s="272">
        <v>1290747</v>
      </c>
      <c r="Q6" s="272">
        <v>887915</v>
      </c>
      <c r="R6" s="272">
        <v>804801</v>
      </c>
      <c r="S6" s="272">
        <v>334928</v>
      </c>
      <c r="T6" s="455">
        <f t="shared" ref="T6:T49" si="2">SUM(U6:AA6)</f>
        <v>2787152</v>
      </c>
      <c r="U6" s="272">
        <v>218306</v>
      </c>
      <c r="V6" s="272">
        <v>56294</v>
      </c>
      <c r="W6" s="272">
        <v>46853</v>
      </c>
      <c r="X6" s="272">
        <v>1971370</v>
      </c>
      <c r="Y6" s="272">
        <v>62785</v>
      </c>
      <c r="Z6" s="272">
        <v>0</v>
      </c>
      <c r="AA6" s="272">
        <v>431544</v>
      </c>
      <c r="AB6" s="272">
        <v>705311</v>
      </c>
      <c r="AC6" s="272">
        <v>12187771</v>
      </c>
      <c r="AD6" s="272">
        <v>12070751</v>
      </c>
      <c r="AE6" s="272">
        <v>117020</v>
      </c>
      <c r="AF6" s="272">
        <v>42679</v>
      </c>
      <c r="AG6" s="272">
        <v>383100</v>
      </c>
      <c r="AH6" s="455">
        <f t="shared" ref="AH6:AH49" si="3">AI6+AJ6</f>
        <v>1630434</v>
      </c>
      <c r="AI6" s="272">
        <v>1458643</v>
      </c>
      <c r="AJ6" s="272">
        <v>171791</v>
      </c>
      <c r="AK6" s="272">
        <v>8776352</v>
      </c>
      <c r="AL6" s="455">
        <f t="shared" ref="AL6:AL49" si="4">SUM(AM6:AP6)</f>
        <v>5271961</v>
      </c>
      <c r="AM6" s="272">
        <v>4645999</v>
      </c>
      <c r="AN6" s="272">
        <v>615380</v>
      </c>
      <c r="AO6" s="272">
        <v>0</v>
      </c>
      <c r="AP6" s="272">
        <v>10582</v>
      </c>
      <c r="AQ6" s="272">
        <v>223640</v>
      </c>
      <c r="AR6" s="272">
        <v>0</v>
      </c>
      <c r="AS6" s="272">
        <v>0</v>
      </c>
      <c r="AT6" s="272">
        <v>2783772</v>
      </c>
      <c r="AU6" s="272">
        <v>1638817</v>
      </c>
      <c r="AV6" s="272">
        <v>306710</v>
      </c>
      <c r="AW6" s="272">
        <v>87113</v>
      </c>
      <c r="AX6" s="272">
        <v>1144955</v>
      </c>
      <c r="AY6" s="272">
        <v>187519</v>
      </c>
      <c r="AZ6" s="272">
        <v>363705</v>
      </c>
      <c r="BA6" s="272">
        <v>279091</v>
      </c>
      <c r="BB6" s="272">
        <v>313336</v>
      </c>
      <c r="BC6" s="272">
        <v>979350</v>
      </c>
      <c r="BD6" s="272">
        <v>0</v>
      </c>
      <c r="BE6" s="272">
        <v>0</v>
      </c>
      <c r="BF6" s="272">
        <v>108953</v>
      </c>
      <c r="BG6" s="272">
        <v>777050</v>
      </c>
      <c r="BH6" s="272">
        <v>466278</v>
      </c>
      <c r="BI6" s="272">
        <v>457720</v>
      </c>
      <c r="BJ6" s="272">
        <v>1178657</v>
      </c>
      <c r="BK6" s="272">
        <v>32490</v>
      </c>
      <c r="BL6" s="272">
        <v>0</v>
      </c>
      <c r="BM6" s="272">
        <v>763435</v>
      </c>
      <c r="BN6" s="272">
        <v>4582300</v>
      </c>
      <c r="BO6" s="455">
        <f t="shared" ref="BO6:BO49" si="5">BN6-BP6-BT6</f>
        <v>1820100</v>
      </c>
      <c r="BP6" s="455">
        <f t="shared" ref="BP6:BP49" si="6">BQ6+BR6+BS6</f>
        <v>2762200</v>
      </c>
      <c r="BQ6" s="272">
        <v>275700</v>
      </c>
      <c r="BR6" s="272"/>
      <c r="BS6" s="272">
        <v>2486500</v>
      </c>
      <c r="BT6" s="272">
        <v>0</v>
      </c>
      <c r="BU6" s="272">
        <v>61447057</v>
      </c>
      <c r="BV6" s="272"/>
      <c r="BW6" s="272">
        <v>15119328</v>
      </c>
      <c r="BX6" s="272">
        <v>10605634</v>
      </c>
      <c r="BY6" s="272">
        <v>1664099</v>
      </c>
      <c r="BZ6" s="272">
        <v>418005</v>
      </c>
      <c r="CA6" s="272">
        <v>13583871</v>
      </c>
      <c r="CB6" s="272">
        <v>1684529</v>
      </c>
      <c r="CC6" s="272">
        <v>603764</v>
      </c>
      <c r="CD6" s="272">
        <v>4879696</v>
      </c>
      <c r="CE6" s="272">
        <v>6051531</v>
      </c>
      <c r="CF6" s="272">
        <v>583</v>
      </c>
      <c r="CG6" s="272">
        <v>352013</v>
      </c>
      <c r="CH6" s="272">
        <v>8725578</v>
      </c>
      <c r="CI6" s="272">
        <v>6481875</v>
      </c>
      <c r="CJ6" s="455">
        <f t="shared" ref="CJ6:CJ49" si="7">CH6-CI6</f>
        <v>2243703</v>
      </c>
      <c r="CK6" s="272">
        <v>6086894</v>
      </c>
      <c r="CL6" s="272">
        <v>3612020</v>
      </c>
      <c r="CM6" s="272">
        <v>244602</v>
      </c>
      <c r="CN6" s="272">
        <v>887650</v>
      </c>
      <c r="CO6" s="272">
        <v>275843</v>
      </c>
      <c r="CP6" s="272">
        <v>4456069</v>
      </c>
      <c r="CQ6" s="272">
        <v>1658203</v>
      </c>
      <c r="CR6" s="272">
        <v>918910</v>
      </c>
      <c r="CS6" s="272">
        <v>910759</v>
      </c>
      <c r="CT6" s="455">
        <f t="shared" ref="CT6:CT49" si="8">CU6+CV6</f>
        <v>1282642</v>
      </c>
      <c r="CU6" s="272">
        <v>1218560</v>
      </c>
      <c r="CV6" s="272">
        <v>64082</v>
      </c>
      <c r="CW6" s="455">
        <f t="shared" ref="CW6:CW49" si="9">CX6+CY6</f>
        <v>1234000</v>
      </c>
      <c r="CX6" s="272">
        <v>1189158</v>
      </c>
      <c r="CY6" s="272">
        <v>44842</v>
      </c>
      <c r="CZ6" s="455">
        <f t="shared" ref="CZ6:CZ49" si="10">DA6+DB6</f>
        <v>0</v>
      </c>
      <c r="DA6" s="272">
        <v>0</v>
      </c>
      <c r="DB6" s="272">
        <v>0</v>
      </c>
      <c r="DC6" s="272">
        <v>2341958</v>
      </c>
      <c r="DD6" s="272">
        <v>518796</v>
      </c>
      <c r="DE6" s="272">
        <v>1805089</v>
      </c>
      <c r="DF6" s="272">
        <v>5774</v>
      </c>
      <c r="DG6" s="272">
        <v>12299</v>
      </c>
      <c r="DH6" s="272">
        <v>0</v>
      </c>
      <c r="DI6" s="272">
        <v>1003419</v>
      </c>
      <c r="DJ6" s="272">
        <v>500923</v>
      </c>
      <c r="DK6" s="272">
        <v>657</v>
      </c>
      <c r="DL6" s="272">
        <v>501839</v>
      </c>
      <c r="DM6" s="272">
        <v>0</v>
      </c>
      <c r="DN6" s="272">
        <v>0</v>
      </c>
      <c r="DO6" s="272">
        <v>0</v>
      </c>
      <c r="DP6" s="272">
        <v>0</v>
      </c>
      <c r="DQ6" s="272">
        <v>31000</v>
      </c>
      <c r="DR6" s="272">
        <v>0</v>
      </c>
      <c r="DS6" s="272">
        <v>0</v>
      </c>
      <c r="DT6" s="272">
        <v>9621378</v>
      </c>
      <c r="DU6" s="272">
        <v>4223632</v>
      </c>
      <c r="DV6" s="455">
        <f t="shared" ref="DV6:DV49" si="11">DW6+DX6</f>
        <v>0</v>
      </c>
      <c r="DW6" s="272">
        <v>0</v>
      </c>
      <c r="DX6" s="272">
        <v>0</v>
      </c>
      <c r="DY6" s="272">
        <v>0</v>
      </c>
      <c r="DZ6" s="272">
        <v>1992068</v>
      </c>
      <c r="EA6" s="272">
        <v>1068408</v>
      </c>
      <c r="EB6" s="272">
        <v>1458344</v>
      </c>
      <c r="EC6" s="272">
        <v>0</v>
      </c>
      <c r="ED6" s="272">
        <v>61245338</v>
      </c>
      <c r="EF6" s="272">
        <v>201719</v>
      </c>
      <c r="EG6" s="272">
        <v>61024</v>
      </c>
      <c r="EH6" s="272">
        <v>140695</v>
      </c>
      <c r="EI6" s="272">
        <v>-317025</v>
      </c>
      <c r="EJ6" s="272">
        <v>256538</v>
      </c>
      <c r="EL6" s="272"/>
      <c r="EM6" s="272">
        <v>202433</v>
      </c>
      <c r="EN6" s="272">
        <v>870397</v>
      </c>
      <c r="EO6" s="272">
        <v>360785</v>
      </c>
      <c r="EP6" s="455">
        <f t="shared" ref="EP6:EP49" si="12">EQ6-ER6-C6-R6-T6-AB6-AC6-BP6-EN6-EO6</f>
        <v>2732224</v>
      </c>
      <c r="EQ6" s="272">
        <v>39989773</v>
      </c>
      <c r="ER6" s="272">
        <v>-6682927</v>
      </c>
      <c r="ES6" s="272">
        <v>14134629</v>
      </c>
      <c r="ET6" s="272">
        <v>9620935</v>
      </c>
      <c r="EU6" s="272">
        <v>3882066</v>
      </c>
      <c r="EV6" s="272">
        <v>8602312</v>
      </c>
      <c r="EW6" s="455">
        <f t="shared" ref="EW6:EW49" si="13">EX6+FA6+FB6</f>
        <v>458880</v>
      </c>
      <c r="EX6" s="272">
        <v>458880</v>
      </c>
      <c r="EY6" s="272">
        <v>44786</v>
      </c>
      <c r="EZ6" s="272">
        <v>413107</v>
      </c>
      <c r="FA6" s="272">
        <v>0</v>
      </c>
      <c r="FB6" s="272"/>
      <c r="FC6" s="272">
        <v>5136417</v>
      </c>
      <c r="FD6" s="272">
        <v>4213321</v>
      </c>
      <c r="FE6" s="272">
        <v>1658203</v>
      </c>
      <c r="FF6" s="272">
        <v>8871555</v>
      </c>
      <c r="FG6" s="455">
        <f t="shared" ref="FG6:FG49" si="14">FH6-ES6-EU6-EV6-EW6-FC6-FD6-FF6</f>
        <v>1171801</v>
      </c>
      <c r="FH6" s="272">
        <v>46470981</v>
      </c>
      <c r="FI6" s="384">
        <f t="shared" ref="FI6:FI49" si="15">ROUND(EH6/FJ6*100,1)</f>
        <v>0.4</v>
      </c>
      <c r="FJ6" s="272">
        <v>37664848</v>
      </c>
      <c r="FK6" s="272">
        <v>2486505</v>
      </c>
      <c r="FL6" s="272">
        <v>19320551</v>
      </c>
      <c r="FM6" s="272">
        <v>31380786</v>
      </c>
      <c r="FN6" s="460">
        <v>0.62</v>
      </c>
      <c r="FO6" s="388">
        <v>97.6</v>
      </c>
      <c r="FP6" s="388">
        <v>33</v>
      </c>
      <c r="FQ6" s="388">
        <v>9.4</v>
      </c>
      <c r="FR6" s="388">
        <v>21</v>
      </c>
      <c r="FS6" s="388">
        <v>11.7</v>
      </c>
      <c r="FT6" s="388">
        <v>7.7</v>
      </c>
      <c r="FU6" s="388">
        <v>14.3</v>
      </c>
      <c r="FV6" s="388">
        <v>13.5</v>
      </c>
      <c r="FW6" s="272">
        <v>89663982</v>
      </c>
      <c r="FX6" s="384">
        <f t="shared" ref="FX6:FX49" si="16">ROUND(FW6/FJ6*100,1)</f>
        <v>238.1</v>
      </c>
      <c r="FY6" s="272">
        <v>5813973</v>
      </c>
      <c r="FZ6" s="272">
        <v>1454403</v>
      </c>
      <c r="GA6" s="272">
        <v>1292690</v>
      </c>
      <c r="GB6" s="272">
        <v>3066880</v>
      </c>
      <c r="GC6" s="272"/>
      <c r="GD6" s="272">
        <v>13850402</v>
      </c>
      <c r="GE6" s="384">
        <f t="shared" ref="GE6:GE38" si="17">ROUND(GD6/FJ6*100,1)</f>
        <v>36.799999999999997</v>
      </c>
      <c r="GF6" s="388">
        <v>97.7</v>
      </c>
      <c r="GG6" s="388">
        <v>26</v>
      </c>
      <c r="GH6" s="388">
        <v>91.5</v>
      </c>
      <c r="GI6" s="272">
        <v>1512</v>
      </c>
    </row>
    <row r="7" spans="2:191" x14ac:dyDescent="0.15">
      <c r="B7" s="89" t="s">
        <v>7</v>
      </c>
      <c r="C7" s="272">
        <v>60744254</v>
      </c>
      <c r="D7" s="455">
        <f t="shared" si="0"/>
        <v>24273221</v>
      </c>
      <c r="E7" s="272">
        <v>420720</v>
      </c>
      <c r="F7" s="272">
        <v>23852501</v>
      </c>
      <c r="G7" s="455">
        <f t="shared" si="1"/>
        <v>3935194</v>
      </c>
      <c r="H7" s="272">
        <v>1004256</v>
      </c>
      <c r="I7" s="272">
        <v>2930938</v>
      </c>
      <c r="J7" s="272">
        <v>23542843</v>
      </c>
      <c r="K7" s="272">
        <v>10363806</v>
      </c>
      <c r="L7" s="272">
        <v>10062090</v>
      </c>
      <c r="M7" s="272">
        <v>2654740</v>
      </c>
      <c r="N7" s="272">
        <v>2198540</v>
      </c>
      <c r="O7" s="272">
        <v>5625139</v>
      </c>
      <c r="P7" s="272">
        <v>3324185</v>
      </c>
      <c r="Q7" s="272">
        <v>2300954</v>
      </c>
      <c r="R7" s="272">
        <v>3824703</v>
      </c>
      <c r="S7" s="272">
        <v>655661</v>
      </c>
      <c r="T7" s="455">
        <f t="shared" si="2"/>
        <v>5394356</v>
      </c>
      <c r="U7" s="272">
        <v>669373</v>
      </c>
      <c r="V7" s="272">
        <v>172347</v>
      </c>
      <c r="W7" s="272">
        <v>143960</v>
      </c>
      <c r="X7" s="272">
        <v>3647543</v>
      </c>
      <c r="Y7" s="272">
        <v>0</v>
      </c>
      <c r="Z7" s="272">
        <v>112</v>
      </c>
      <c r="AA7" s="272">
        <v>761021</v>
      </c>
      <c r="AB7" s="272">
        <v>2589947</v>
      </c>
      <c r="AC7" s="272">
        <v>2071856</v>
      </c>
      <c r="AD7" s="272">
        <v>1578516</v>
      </c>
      <c r="AE7" s="272">
        <v>493340</v>
      </c>
      <c r="AF7" s="272">
        <v>67927</v>
      </c>
      <c r="AG7" s="272">
        <v>737734</v>
      </c>
      <c r="AH7" s="455">
        <f t="shared" si="3"/>
        <v>2704066</v>
      </c>
      <c r="AI7" s="272">
        <v>2440471</v>
      </c>
      <c r="AJ7" s="272">
        <v>263595</v>
      </c>
      <c r="AK7" s="272">
        <v>15686102</v>
      </c>
      <c r="AL7" s="455">
        <f t="shared" si="4"/>
        <v>11299973</v>
      </c>
      <c r="AM7" s="272">
        <v>8448238</v>
      </c>
      <c r="AN7" s="272">
        <v>2767763</v>
      </c>
      <c r="AO7" s="272">
        <v>0</v>
      </c>
      <c r="AP7" s="272">
        <v>83972</v>
      </c>
      <c r="AQ7" s="272">
        <v>879779</v>
      </c>
      <c r="AR7" s="272">
        <v>0</v>
      </c>
      <c r="AS7" s="272">
        <v>0</v>
      </c>
      <c r="AT7" s="272">
        <v>4859601</v>
      </c>
      <c r="AU7" s="272">
        <v>2758061</v>
      </c>
      <c r="AV7" s="272">
        <v>226018</v>
      </c>
      <c r="AW7" s="272">
        <v>53963</v>
      </c>
      <c r="AX7" s="272">
        <v>2101540</v>
      </c>
      <c r="AY7" s="272">
        <v>31286</v>
      </c>
      <c r="AZ7" s="272">
        <v>865200</v>
      </c>
      <c r="BA7" s="272">
        <v>823357</v>
      </c>
      <c r="BB7" s="272">
        <v>343350</v>
      </c>
      <c r="BC7" s="272">
        <v>413908</v>
      </c>
      <c r="BD7" s="272">
        <v>0</v>
      </c>
      <c r="BE7" s="272">
        <v>0</v>
      </c>
      <c r="BF7" s="272">
        <v>176223</v>
      </c>
      <c r="BG7" s="272">
        <v>0</v>
      </c>
      <c r="BH7" s="272">
        <v>0</v>
      </c>
      <c r="BI7" s="272">
        <v>0</v>
      </c>
      <c r="BJ7" s="272">
        <v>2546571</v>
      </c>
      <c r="BK7" s="272">
        <v>1481818</v>
      </c>
      <c r="BL7" s="272">
        <v>0</v>
      </c>
      <c r="BM7" s="272">
        <v>76668</v>
      </c>
      <c r="BN7" s="272">
        <v>7934400</v>
      </c>
      <c r="BO7" s="455">
        <f t="shared" si="5"/>
        <v>2313500</v>
      </c>
      <c r="BP7" s="455">
        <f t="shared" si="6"/>
        <v>5620900</v>
      </c>
      <c r="BQ7" s="272">
        <v>1053800</v>
      </c>
      <c r="BR7" s="272"/>
      <c r="BS7" s="272">
        <v>4567100</v>
      </c>
      <c r="BT7" s="272">
        <v>0</v>
      </c>
      <c r="BU7" s="272">
        <v>110783975</v>
      </c>
      <c r="BV7" s="272"/>
      <c r="BW7" s="272">
        <v>31589056</v>
      </c>
      <c r="BX7" s="272">
        <v>21416657</v>
      </c>
      <c r="BY7" s="272">
        <v>3955328</v>
      </c>
      <c r="BZ7" s="272">
        <v>1466462</v>
      </c>
      <c r="CA7" s="272">
        <v>21183267</v>
      </c>
      <c r="CB7" s="272">
        <v>3006087</v>
      </c>
      <c r="CC7" s="272">
        <v>1150522</v>
      </c>
      <c r="CD7" s="272">
        <v>5466349</v>
      </c>
      <c r="CE7" s="272">
        <v>11127575</v>
      </c>
      <c r="CF7" s="272">
        <v>3</v>
      </c>
      <c r="CG7" s="272">
        <v>431593</v>
      </c>
      <c r="CH7" s="272">
        <v>12818216</v>
      </c>
      <c r="CI7" s="272">
        <v>9762918</v>
      </c>
      <c r="CJ7" s="455">
        <f t="shared" si="7"/>
        <v>3055298</v>
      </c>
      <c r="CK7" s="272">
        <v>10849163</v>
      </c>
      <c r="CL7" s="272">
        <v>4851607</v>
      </c>
      <c r="CM7" s="272">
        <v>666058</v>
      </c>
      <c r="CN7" s="272">
        <v>2719862</v>
      </c>
      <c r="CO7" s="272">
        <v>598553</v>
      </c>
      <c r="CP7" s="272">
        <v>10002944</v>
      </c>
      <c r="CQ7" s="272">
        <v>2580205</v>
      </c>
      <c r="CR7" s="272">
        <v>3211653</v>
      </c>
      <c r="CS7" s="272">
        <v>2148765</v>
      </c>
      <c r="CT7" s="455">
        <f t="shared" si="8"/>
        <v>1023916</v>
      </c>
      <c r="CU7" s="272">
        <v>755073</v>
      </c>
      <c r="CV7" s="272">
        <v>268843</v>
      </c>
      <c r="CW7" s="455">
        <f t="shared" si="9"/>
        <v>853413</v>
      </c>
      <c r="CX7" s="272">
        <v>721591</v>
      </c>
      <c r="CY7" s="272">
        <v>131822</v>
      </c>
      <c r="CZ7" s="455">
        <f t="shared" si="10"/>
        <v>0</v>
      </c>
      <c r="DA7" s="272">
        <v>0</v>
      </c>
      <c r="DB7" s="272">
        <v>0</v>
      </c>
      <c r="DC7" s="272">
        <v>5503687</v>
      </c>
      <c r="DD7" s="272">
        <v>1681263</v>
      </c>
      <c r="DE7" s="272">
        <v>3796928</v>
      </c>
      <c r="DF7" s="272">
        <v>25496</v>
      </c>
      <c r="DG7" s="272">
        <v>0</v>
      </c>
      <c r="DH7" s="272">
        <v>0</v>
      </c>
      <c r="DI7" s="272">
        <v>1377612</v>
      </c>
      <c r="DJ7" s="272">
        <v>1</v>
      </c>
      <c r="DK7" s="272">
        <v>1343130</v>
      </c>
      <c r="DL7" s="272">
        <v>34481</v>
      </c>
      <c r="DM7" s="272">
        <v>61460</v>
      </c>
      <c r="DN7" s="272">
        <v>61460</v>
      </c>
      <c r="DO7" s="272">
        <v>61460</v>
      </c>
      <c r="DP7" s="272">
        <v>0</v>
      </c>
      <c r="DQ7" s="272">
        <v>1390708</v>
      </c>
      <c r="DR7" s="272">
        <v>0</v>
      </c>
      <c r="DS7" s="272">
        <v>0</v>
      </c>
      <c r="DT7" s="272">
        <v>12890506</v>
      </c>
      <c r="DU7" s="272">
        <v>3838000</v>
      </c>
      <c r="DV7" s="455">
        <f t="shared" si="11"/>
        <v>0</v>
      </c>
      <c r="DW7" s="272">
        <v>0</v>
      </c>
      <c r="DX7" s="272">
        <v>0</v>
      </c>
      <c r="DY7" s="272">
        <v>0</v>
      </c>
      <c r="DZ7" s="272">
        <v>4281759</v>
      </c>
      <c r="EA7" s="272">
        <v>1770543</v>
      </c>
      <c r="EB7" s="272">
        <v>2170218</v>
      </c>
      <c r="EC7" s="272">
        <v>2229112</v>
      </c>
      <c r="ED7" s="272">
        <v>110494284</v>
      </c>
      <c r="EF7" s="272">
        <v>289691</v>
      </c>
      <c r="EG7" s="272">
        <v>185807</v>
      </c>
      <c r="EH7" s="272">
        <v>103884</v>
      </c>
      <c r="EI7" s="272">
        <v>2850765</v>
      </c>
      <c r="EJ7" s="272">
        <v>2850766</v>
      </c>
      <c r="EL7" s="272"/>
      <c r="EM7" s="272">
        <v>386229</v>
      </c>
      <c r="EN7" s="272">
        <v>6374</v>
      </c>
      <c r="EO7" s="272">
        <v>858695</v>
      </c>
      <c r="EP7" s="455">
        <f t="shared" si="12"/>
        <v>1331187</v>
      </c>
      <c r="EQ7" s="272">
        <v>74693043</v>
      </c>
      <c r="ER7" s="272">
        <v>-7749229</v>
      </c>
      <c r="ES7" s="272">
        <v>29791981</v>
      </c>
      <c r="ET7" s="272">
        <v>19827815</v>
      </c>
      <c r="EU7" s="272">
        <v>6076813</v>
      </c>
      <c r="EV7" s="272">
        <v>12586875</v>
      </c>
      <c r="EW7" s="455">
        <f t="shared" si="13"/>
        <v>1793884</v>
      </c>
      <c r="EX7" s="272">
        <v>1793884</v>
      </c>
      <c r="EY7" s="272">
        <v>81654</v>
      </c>
      <c r="EZ7" s="272">
        <v>1711734</v>
      </c>
      <c r="FA7" s="272">
        <v>0</v>
      </c>
      <c r="FB7" s="272"/>
      <c r="FC7" s="272">
        <v>7993684</v>
      </c>
      <c r="FD7" s="272">
        <v>8585545</v>
      </c>
      <c r="FE7" s="272">
        <v>2580205</v>
      </c>
      <c r="FF7" s="272">
        <v>11293260</v>
      </c>
      <c r="FG7" s="455">
        <f t="shared" si="14"/>
        <v>4052701</v>
      </c>
      <c r="FH7" s="272">
        <v>82174743</v>
      </c>
      <c r="FI7" s="384">
        <f t="shared" si="15"/>
        <v>0.2</v>
      </c>
      <c r="FJ7" s="272">
        <v>67556672</v>
      </c>
      <c r="FK7" s="272">
        <v>4567141</v>
      </c>
      <c r="FL7" s="272">
        <v>50225249</v>
      </c>
      <c r="FM7" s="272">
        <v>51803765</v>
      </c>
      <c r="FN7" s="460">
        <v>0.96</v>
      </c>
      <c r="FO7" s="388">
        <v>96.9</v>
      </c>
      <c r="FP7" s="388">
        <v>38.200000000000003</v>
      </c>
      <c r="FQ7" s="388">
        <v>8.1</v>
      </c>
      <c r="FR7" s="388">
        <v>16.8</v>
      </c>
      <c r="FS7" s="388">
        <v>10.6</v>
      </c>
      <c r="FT7" s="388">
        <v>10.6</v>
      </c>
      <c r="FU7" s="388">
        <v>12</v>
      </c>
      <c r="FV7" s="388">
        <v>12.6</v>
      </c>
      <c r="FW7" s="272">
        <v>124503164</v>
      </c>
      <c r="FX7" s="384">
        <f t="shared" si="16"/>
        <v>184.3</v>
      </c>
      <c r="FY7" s="272">
        <v>9000989</v>
      </c>
      <c r="FZ7" s="272">
        <v>9271</v>
      </c>
      <c r="GA7" s="272">
        <v>1688500</v>
      </c>
      <c r="GB7" s="272">
        <v>7303218</v>
      </c>
      <c r="GC7" s="272">
        <v>4523019</v>
      </c>
      <c r="GD7" s="272">
        <v>22498693</v>
      </c>
      <c r="GE7" s="384">
        <f t="shared" si="17"/>
        <v>33.299999999999997</v>
      </c>
      <c r="GF7" s="388">
        <v>97.8</v>
      </c>
      <c r="GG7" s="388">
        <v>14.9</v>
      </c>
      <c r="GH7" s="388">
        <v>90.5</v>
      </c>
      <c r="GI7" s="272">
        <v>3083</v>
      </c>
    </row>
    <row r="8" spans="2:191" x14ac:dyDescent="0.15">
      <c r="B8" s="89" t="s">
        <v>9</v>
      </c>
      <c r="C8" s="272">
        <v>16336842</v>
      </c>
      <c r="D8" s="455">
        <f t="shared" si="0"/>
        <v>5856153</v>
      </c>
      <c r="E8" s="272">
        <v>113015</v>
      </c>
      <c r="F8" s="272">
        <v>5743138</v>
      </c>
      <c r="G8" s="455">
        <f t="shared" si="1"/>
        <v>1800529</v>
      </c>
      <c r="H8" s="272">
        <v>264620</v>
      </c>
      <c r="I8" s="272">
        <v>1535909</v>
      </c>
      <c r="J8" s="272">
        <v>6567679</v>
      </c>
      <c r="K8" s="272">
        <v>3110818</v>
      </c>
      <c r="L8" s="272">
        <v>2450810</v>
      </c>
      <c r="M8" s="272">
        <v>913975</v>
      </c>
      <c r="N8" s="272">
        <v>570410</v>
      </c>
      <c r="O8" s="272">
        <v>1473028</v>
      </c>
      <c r="P8" s="272">
        <v>937670</v>
      </c>
      <c r="Q8" s="272">
        <v>535358</v>
      </c>
      <c r="R8" s="272">
        <v>475477</v>
      </c>
      <c r="S8" s="272">
        <v>169914</v>
      </c>
      <c r="T8" s="455">
        <f t="shared" si="2"/>
        <v>1621734</v>
      </c>
      <c r="U8" s="272">
        <v>164959</v>
      </c>
      <c r="V8" s="272">
        <v>42398</v>
      </c>
      <c r="W8" s="272">
        <v>35558</v>
      </c>
      <c r="X8" s="272">
        <v>1073878</v>
      </c>
      <c r="Y8" s="272">
        <v>96037</v>
      </c>
      <c r="Z8" s="272">
        <v>0</v>
      </c>
      <c r="AA8" s="272">
        <v>208904</v>
      </c>
      <c r="AB8" s="272">
        <v>657687</v>
      </c>
      <c r="AC8" s="272">
        <v>1480630</v>
      </c>
      <c r="AD8" s="272">
        <v>1033498</v>
      </c>
      <c r="AE8" s="272">
        <v>447132</v>
      </c>
      <c r="AF8" s="272">
        <v>19136</v>
      </c>
      <c r="AG8" s="272">
        <v>166765</v>
      </c>
      <c r="AH8" s="455">
        <f t="shared" si="3"/>
        <v>867225</v>
      </c>
      <c r="AI8" s="272">
        <v>695607</v>
      </c>
      <c r="AJ8" s="272">
        <v>171618</v>
      </c>
      <c r="AK8" s="272">
        <v>2535598</v>
      </c>
      <c r="AL8" s="455">
        <f t="shared" si="4"/>
        <v>1082564</v>
      </c>
      <c r="AM8" s="272">
        <v>899558</v>
      </c>
      <c r="AN8" s="272">
        <v>165149</v>
      </c>
      <c r="AO8" s="272">
        <v>0</v>
      </c>
      <c r="AP8" s="272">
        <v>17857</v>
      </c>
      <c r="AQ8" s="272">
        <v>169071</v>
      </c>
      <c r="AR8" s="272">
        <v>31347</v>
      </c>
      <c r="AS8" s="272">
        <v>0</v>
      </c>
      <c r="AT8" s="272">
        <v>1321963</v>
      </c>
      <c r="AU8" s="272">
        <v>797093</v>
      </c>
      <c r="AV8" s="272">
        <v>139688</v>
      </c>
      <c r="AW8" s="272">
        <v>43995</v>
      </c>
      <c r="AX8" s="272">
        <v>524870</v>
      </c>
      <c r="AY8" s="272">
        <v>5258</v>
      </c>
      <c r="AZ8" s="272">
        <v>815380</v>
      </c>
      <c r="BA8" s="272">
        <v>798934</v>
      </c>
      <c r="BB8" s="272">
        <v>476036</v>
      </c>
      <c r="BC8" s="272">
        <v>20518</v>
      </c>
      <c r="BD8" s="272">
        <v>0</v>
      </c>
      <c r="BE8" s="272">
        <v>0</v>
      </c>
      <c r="BF8" s="272">
        <v>20218</v>
      </c>
      <c r="BG8" s="272">
        <v>0</v>
      </c>
      <c r="BH8" s="272">
        <v>83092</v>
      </c>
      <c r="BI8" s="272">
        <v>68550</v>
      </c>
      <c r="BJ8" s="272">
        <v>3546703</v>
      </c>
      <c r="BK8" s="272">
        <v>3276892</v>
      </c>
      <c r="BL8" s="272">
        <v>14994</v>
      </c>
      <c r="BM8" s="272">
        <v>56626</v>
      </c>
      <c r="BN8" s="272">
        <v>2306860</v>
      </c>
      <c r="BO8" s="455">
        <f t="shared" si="5"/>
        <v>529460</v>
      </c>
      <c r="BP8" s="455">
        <f t="shared" si="6"/>
        <v>1777400</v>
      </c>
      <c r="BQ8" s="272">
        <v>313600</v>
      </c>
      <c r="BR8" s="272"/>
      <c r="BS8" s="272">
        <v>1463800</v>
      </c>
      <c r="BT8" s="272">
        <v>0</v>
      </c>
      <c r="BU8" s="272">
        <v>32731646</v>
      </c>
      <c r="BV8" s="272"/>
      <c r="BW8" s="272">
        <v>8732769</v>
      </c>
      <c r="BX8" s="272">
        <v>6131298</v>
      </c>
      <c r="BY8" s="272">
        <v>881369</v>
      </c>
      <c r="BZ8" s="272">
        <v>211754</v>
      </c>
      <c r="CA8" s="272">
        <v>3875765</v>
      </c>
      <c r="CB8" s="272">
        <v>1014238</v>
      </c>
      <c r="CC8" s="272">
        <v>166506</v>
      </c>
      <c r="CD8" s="272">
        <v>1493603</v>
      </c>
      <c r="CE8" s="272">
        <v>1140126</v>
      </c>
      <c r="CF8" s="272">
        <v>5399</v>
      </c>
      <c r="CG8" s="272">
        <v>55693</v>
      </c>
      <c r="CH8" s="272">
        <v>3675606</v>
      </c>
      <c r="CI8" s="272">
        <v>2774015</v>
      </c>
      <c r="CJ8" s="455">
        <f t="shared" si="7"/>
        <v>901591</v>
      </c>
      <c r="CK8" s="272">
        <v>4776525</v>
      </c>
      <c r="CL8" s="272">
        <v>3014496</v>
      </c>
      <c r="CM8" s="272">
        <v>318081</v>
      </c>
      <c r="CN8" s="272">
        <v>630541</v>
      </c>
      <c r="CO8" s="272">
        <v>248265</v>
      </c>
      <c r="CP8" s="272">
        <v>1849056</v>
      </c>
      <c r="CQ8" s="272">
        <v>0</v>
      </c>
      <c r="CR8" s="272">
        <v>728095</v>
      </c>
      <c r="CS8" s="272">
        <v>568181</v>
      </c>
      <c r="CT8" s="455">
        <f t="shared" si="8"/>
        <v>747432</v>
      </c>
      <c r="CU8" s="272">
        <v>623873</v>
      </c>
      <c r="CV8" s="272">
        <v>123559</v>
      </c>
      <c r="CW8" s="455">
        <f t="shared" si="9"/>
        <v>726266</v>
      </c>
      <c r="CX8" s="272">
        <v>619436</v>
      </c>
      <c r="CY8" s="272">
        <v>106830</v>
      </c>
      <c r="CZ8" s="455">
        <f t="shared" si="10"/>
        <v>0</v>
      </c>
      <c r="DA8" s="272">
        <v>0</v>
      </c>
      <c r="DB8" s="272">
        <v>0</v>
      </c>
      <c r="DC8" s="272">
        <v>1395775</v>
      </c>
      <c r="DD8" s="272">
        <v>397134</v>
      </c>
      <c r="DE8" s="272">
        <v>983647</v>
      </c>
      <c r="DF8" s="272">
        <v>0</v>
      </c>
      <c r="DG8" s="272">
        <v>14994</v>
      </c>
      <c r="DH8" s="272">
        <v>74231</v>
      </c>
      <c r="DI8" s="272">
        <v>600206</v>
      </c>
      <c r="DJ8" s="272">
        <v>227</v>
      </c>
      <c r="DK8" s="272">
        <v>0</v>
      </c>
      <c r="DL8" s="272">
        <v>599979</v>
      </c>
      <c r="DM8" s="272">
        <v>350974</v>
      </c>
      <c r="DN8" s="272">
        <v>350974</v>
      </c>
      <c r="DO8" s="272">
        <v>73546</v>
      </c>
      <c r="DP8" s="272">
        <v>277428</v>
      </c>
      <c r="DQ8" s="272">
        <v>3280950</v>
      </c>
      <c r="DR8" s="272">
        <v>0</v>
      </c>
      <c r="DS8" s="272">
        <v>0</v>
      </c>
      <c r="DT8" s="272">
        <v>3042692</v>
      </c>
      <c r="DU8" s="272">
        <v>1130323</v>
      </c>
      <c r="DV8" s="455">
        <f t="shared" si="11"/>
        <v>0</v>
      </c>
      <c r="DW8" s="272">
        <v>0</v>
      </c>
      <c r="DX8" s="272">
        <v>0</v>
      </c>
      <c r="DY8" s="272">
        <v>3494</v>
      </c>
      <c r="DZ8" s="272">
        <v>791956</v>
      </c>
      <c r="EA8" s="272">
        <v>499381</v>
      </c>
      <c r="EB8" s="272">
        <v>617538</v>
      </c>
      <c r="EC8" s="272">
        <v>0</v>
      </c>
      <c r="ED8" s="272">
        <v>31902814</v>
      </c>
      <c r="EF8" s="272">
        <v>828832</v>
      </c>
      <c r="EG8" s="272">
        <v>52280</v>
      </c>
      <c r="EH8" s="272">
        <v>776552</v>
      </c>
      <c r="EI8" s="272">
        <v>628002</v>
      </c>
      <c r="EJ8" s="272">
        <v>654967</v>
      </c>
      <c r="EL8" s="272"/>
      <c r="EM8" s="272">
        <v>99224</v>
      </c>
      <c r="EN8" s="272">
        <v>0</v>
      </c>
      <c r="EO8" s="272">
        <v>813593</v>
      </c>
      <c r="EP8" s="455">
        <f t="shared" si="12"/>
        <v>354551</v>
      </c>
      <c r="EQ8" s="272">
        <v>20591506</v>
      </c>
      <c r="ER8" s="272">
        <v>-2926408</v>
      </c>
      <c r="ES8" s="272">
        <v>8316515</v>
      </c>
      <c r="ET8" s="272">
        <v>5750009</v>
      </c>
      <c r="EU8" s="272">
        <v>1286676</v>
      </c>
      <c r="EV8" s="272">
        <v>3675186</v>
      </c>
      <c r="EW8" s="455">
        <f t="shared" si="13"/>
        <v>655584</v>
      </c>
      <c r="EX8" s="272">
        <v>628300</v>
      </c>
      <c r="EY8" s="272">
        <v>34108</v>
      </c>
      <c r="EZ8" s="272">
        <v>594192</v>
      </c>
      <c r="FA8" s="272">
        <v>27284</v>
      </c>
      <c r="FB8" s="272"/>
      <c r="FC8" s="272">
        <v>3658964</v>
      </c>
      <c r="FD8" s="272">
        <v>1637660</v>
      </c>
      <c r="FE8" s="272">
        <v>0</v>
      </c>
      <c r="FF8" s="272">
        <v>2745726</v>
      </c>
      <c r="FG8" s="455">
        <f t="shared" si="14"/>
        <v>713191</v>
      </c>
      <c r="FH8" s="272">
        <v>22689502</v>
      </c>
      <c r="FI8" s="384">
        <f t="shared" si="15"/>
        <v>4.3</v>
      </c>
      <c r="FJ8" s="272">
        <v>18187324</v>
      </c>
      <c r="FK8" s="272">
        <v>1463897</v>
      </c>
      <c r="FL8" s="272">
        <v>12940795</v>
      </c>
      <c r="FM8" s="272">
        <v>13963292</v>
      </c>
      <c r="FN8" s="460">
        <v>0.92700000000000005</v>
      </c>
      <c r="FO8" s="388">
        <v>100.7</v>
      </c>
      <c r="FP8" s="388">
        <v>39.299999999999997</v>
      </c>
      <c r="FQ8" s="388">
        <v>6.2</v>
      </c>
      <c r="FR8" s="388">
        <v>17.7</v>
      </c>
      <c r="FS8" s="388">
        <v>17.3</v>
      </c>
      <c r="FT8" s="388">
        <v>7.4</v>
      </c>
      <c r="FU8" s="388">
        <v>11.5</v>
      </c>
      <c r="FV8" s="388">
        <v>12.2</v>
      </c>
      <c r="FW8" s="272">
        <v>35083669</v>
      </c>
      <c r="FX8" s="384">
        <f t="shared" si="16"/>
        <v>192.9</v>
      </c>
      <c r="FY8" s="272">
        <v>3062014</v>
      </c>
      <c r="FZ8" s="272">
        <v>1191940</v>
      </c>
      <c r="GA8" s="272"/>
      <c r="GB8" s="272">
        <v>1870074</v>
      </c>
      <c r="GC8" s="272"/>
      <c r="GD8" s="272">
        <v>3766451</v>
      </c>
      <c r="GE8" s="384">
        <f t="shared" si="17"/>
        <v>20.7</v>
      </c>
      <c r="GF8" s="388">
        <v>98.3</v>
      </c>
      <c r="GG8" s="388">
        <v>19</v>
      </c>
      <c r="GH8" s="388">
        <v>92.2</v>
      </c>
      <c r="GI8" s="272">
        <v>872</v>
      </c>
    </row>
    <row r="9" spans="2:191" x14ac:dyDescent="0.15">
      <c r="B9" s="89" t="s">
        <v>11</v>
      </c>
      <c r="C9" s="272">
        <v>61048239</v>
      </c>
      <c r="D9" s="455">
        <f t="shared" si="0"/>
        <v>22402640</v>
      </c>
      <c r="E9" s="272">
        <v>387306</v>
      </c>
      <c r="F9" s="272">
        <v>22015334</v>
      </c>
      <c r="G9" s="455">
        <f t="shared" si="1"/>
        <v>5720653</v>
      </c>
      <c r="H9" s="272">
        <v>1043297</v>
      </c>
      <c r="I9" s="272">
        <v>4677356</v>
      </c>
      <c r="J9" s="272">
        <v>24204230</v>
      </c>
      <c r="K9" s="272">
        <v>10295621</v>
      </c>
      <c r="L9" s="272">
        <v>10461287</v>
      </c>
      <c r="M9" s="272">
        <v>2947278</v>
      </c>
      <c r="N9" s="272">
        <v>1913705</v>
      </c>
      <c r="O9" s="272">
        <v>5591017</v>
      </c>
      <c r="P9" s="272">
        <v>3138825</v>
      </c>
      <c r="Q9" s="272">
        <v>2452192</v>
      </c>
      <c r="R9" s="272">
        <v>1312980</v>
      </c>
      <c r="S9" s="272">
        <v>582354</v>
      </c>
      <c r="T9" s="455">
        <f t="shared" si="2"/>
        <v>5083527</v>
      </c>
      <c r="U9" s="272">
        <v>607568</v>
      </c>
      <c r="V9" s="272">
        <v>155825</v>
      </c>
      <c r="W9" s="272">
        <v>131344</v>
      </c>
      <c r="X9" s="272">
        <v>3509524</v>
      </c>
      <c r="Y9" s="272">
        <v>0</v>
      </c>
      <c r="Z9" s="272">
        <v>124</v>
      </c>
      <c r="AA9" s="272">
        <v>679142</v>
      </c>
      <c r="AB9" s="272">
        <v>2587416</v>
      </c>
      <c r="AC9" s="272">
        <v>161046</v>
      </c>
      <c r="AD9" s="272">
        <v>0</v>
      </c>
      <c r="AE9" s="272">
        <v>161046</v>
      </c>
      <c r="AF9" s="272">
        <v>60836</v>
      </c>
      <c r="AG9" s="272">
        <v>966632</v>
      </c>
      <c r="AH9" s="455">
        <f t="shared" si="3"/>
        <v>2578589</v>
      </c>
      <c r="AI9" s="272">
        <v>2188455</v>
      </c>
      <c r="AJ9" s="272">
        <v>390134</v>
      </c>
      <c r="AK9" s="272">
        <v>11793245</v>
      </c>
      <c r="AL9" s="455">
        <f t="shared" si="4"/>
        <v>6599725</v>
      </c>
      <c r="AM9" s="272">
        <v>5996810</v>
      </c>
      <c r="AN9" s="272">
        <v>567384</v>
      </c>
      <c r="AO9" s="272">
        <v>0</v>
      </c>
      <c r="AP9" s="272">
        <v>35531</v>
      </c>
      <c r="AQ9" s="272">
        <v>796391</v>
      </c>
      <c r="AR9" s="272">
        <v>0</v>
      </c>
      <c r="AS9" s="272">
        <v>0</v>
      </c>
      <c r="AT9" s="272">
        <v>4519707</v>
      </c>
      <c r="AU9" s="272">
        <v>2410219</v>
      </c>
      <c r="AV9" s="272">
        <v>284436</v>
      </c>
      <c r="AW9" s="272">
        <v>32099</v>
      </c>
      <c r="AX9" s="272">
        <v>2109488</v>
      </c>
      <c r="AY9" s="272">
        <v>97845</v>
      </c>
      <c r="AZ9" s="272">
        <v>91701</v>
      </c>
      <c r="BA9" s="272">
        <v>77109</v>
      </c>
      <c r="BB9" s="272">
        <v>16344</v>
      </c>
      <c r="BC9" s="272">
        <v>1270692</v>
      </c>
      <c r="BD9" s="272">
        <v>850000</v>
      </c>
      <c r="BE9" s="272">
        <v>0</v>
      </c>
      <c r="BF9" s="272">
        <v>400000</v>
      </c>
      <c r="BG9" s="272">
        <v>0</v>
      </c>
      <c r="BH9" s="272">
        <v>547854</v>
      </c>
      <c r="BI9" s="272">
        <v>269200</v>
      </c>
      <c r="BJ9" s="272">
        <v>1914200</v>
      </c>
      <c r="BK9" s="272">
        <v>1130674</v>
      </c>
      <c r="BL9" s="272">
        <v>206937</v>
      </c>
      <c r="BM9" s="272">
        <v>75240</v>
      </c>
      <c r="BN9" s="272">
        <v>6511800</v>
      </c>
      <c r="BO9" s="455">
        <f t="shared" si="5"/>
        <v>1426800</v>
      </c>
      <c r="BP9" s="455">
        <f t="shared" si="6"/>
        <v>5085000</v>
      </c>
      <c r="BQ9" s="272">
        <v>1085000</v>
      </c>
      <c r="BR9" s="272"/>
      <c r="BS9" s="272">
        <v>4000000</v>
      </c>
      <c r="BT9" s="272">
        <v>0</v>
      </c>
      <c r="BU9" s="272">
        <v>100464808</v>
      </c>
      <c r="BV9" s="272"/>
      <c r="BW9" s="272">
        <v>29516645</v>
      </c>
      <c r="BX9" s="272">
        <v>20344444</v>
      </c>
      <c r="BY9" s="272">
        <v>3030481</v>
      </c>
      <c r="BZ9" s="272">
        <v>1620998</v>
      </c>
      <c r="CA9" s="272">
        <v>19609146</v>
      </c>
      <c r="CB9" s="272">
        <v>3696330</v>
      </c>
      <c r="CC9" s="272">
        <v>1165671</v>
      </c>
      <c r="CD9" s="272">
        <v>6138932</v>
      </c>
      <c r="CE9" s="272">
        <v>7667572</v>
      </c>
      <c r="CF9" s="272">
        <v>450765</v>
      </c>
      <c r="CG9" s="272">
        <v>489876</v>
      </c>
      <c r="CH9" s="272">
        <v>7938314</v>
      </c>
      <c r="CI9" s="272">
        <v>5982823</v>
      </c>
      <c r="CJ9" s="455">
        <f t="shared" si="7"/>
        <v>1955491</v>
      </c>
      <c r="CK9" s="272">
        <v>14472561</v>
      </c>
      <c r="CL9" s="272">
        <v>8853239</v>
      </c>
      <c r="CM9" s="272">
        <v>731818</v>
      </c>
      <c r="CN9" s="272">
        <v>2795561</v>
      </c>
      <c r="CO9" s="272">
        <v>2823159</v>
      </c>
      <c r="CP9" s="272">
        <v>4637141</v>
      </c>
      <c r="CQ9" s="272">
        <v>1108</v>
      </c>
      <c r="CR9" s="272">
        <v>2563057</v>
      </c>
      <c r="CS9" s="272">
        <v>1837435</v>
      </c>
      <c r="CT9" s="455">
        <f t="shared" si="8"/>
        <v>1109096</v>
      </c>
      <c r="CU9" s="272">
        <v>783557</v>
      </c>
      <c r="CV9" s="272">
        <v>325539</v>
      </c>
      <c r="CW9" s="455">
        <f t="shared" si="9"/>
        <v>1087780</v>
      </c>
      <c r="CX9" s="272">
        <v>762241</v>
      </c>
      <c r="CY9" s="272">
        <v>325539</v>
      </c>
      <c r="CZ9" s="455">
        <f t="shared" si="10"/>
        <v>0</v>
      </c>
      <c r="DA9" s="272">
        <v>0</v>
      </c>
      <c r="DB9" s="272">
        <v>0</v>
      </c>
      <c r="DC9" s="272">
        <v>6225617</v>
      </c>
      <c r="DD9" s="272">
        <v>1772375</v>
      </c>
      <c r="DE9" s="272">
        <v>4211299</v>
      </c>
      <c r="DF9" s="272">
        <v>5270</v>
      </c>
      <c r="DG9" s="272">
        <v>236673</v>
      </c>
      <c r="DH9" s="272">
        <v>0</v>
      </c>
      <c r="DI9" s="272">
        <v>1458412</v>
      </c>
      <c r="DJ9" s="272">
        <v>90108</v>
      </c>
      <c r="DK9" s="272">
        <v>60000</v>
      </c>
      <c r="DL9" s="272">
        <v>1308304</v>
      </c>
      <c r="DM9" s="272">
        <v>334920</v>
      </c>
      <c r="DN9" s="272">
        <v>311220</v>
      </c>
      <c r="DO9" s="272">
        <v>0</v>
      </c>
      <c r="DP9" s="272">
        <v>311220</v>
      </c>
      <c r="DQ9" s="272">
        <v>1277800</v>
      </c>
      <c r="DR9" s="272">
        <v>0</v>
      </c>
      <c r="DS9" s="272">
        <v>0</v>
      </c>
      <c r="DT9" s="272">
        <v>11726734</v>
      </c>
      <c r="DU9" s="272">
        <v>4677445</v>
      </c>
      <c r="DV9" s="455">
        <f t="shared" si="11"/>
        <v>0</v>
      </c>
      <c r="DW9" s="272">
        <v>0</v>
      </c>
      <c r="DX9" s="272">
        <v>0</v>
      </c>
      <c r="DY9" s="272">
        <v>107680</v>
      </c>
      <c r="DZ9" s="272">
        <v>3444420</v>
      </c>
      <c r="EA9" s="272">
        <v>1543227</v>
      </c>
      <c r="EB9" s="272">
        <v>1753174</v>
      </c>
      <c r="EC9" s="272">
        <v>0</v>
      </c>
      <c r="ED9" s="272">
        <v>100020449</v>
      </c>
      <c r="EF9" s="272">
        <v>444359</v>
      </c>
      <c r="EG9" s="272">
        <v>176355</v>
      </c>
      <c r="EH9" s="272">
        <v>268004</v>
      </c>
      <c r="EI9" s="272">
        <v>-1196</v>
      </c>
      <c r="EJ9" s="272">
        <v>-761088</v>
      </c>
      <c r="EL9" s="272"/>
      <c r="EM9" s="272">
        <v>345501</v>
      </c>
      <c r="EN9" s="272">
        <v>870692</v>
      </c>
      <c r="EO9" s="272">
        <v>86671</v>
      </c>
      <c r="EP9" s="455">
        <f t="shared" si="12"/>
        <v>1032854</v>
      </c>
      <c r="EQ9" s="272">
        <v>70254044</v>
      </c>
      <c r="ER9" s="272">
        <v>-7014381</v>
      </c>
      <c r="ES9" s="272">
        <v>27770769</v>
      </c>
      <c r="ET9" s="272">
        <v>18772009</v>
      </c>
      <c r="EU9" s="272">
        <v>6865510</v>
      </c>
      <c r="EV9" s="272">
        <v>7753069</v>
      </c>
      <c r="EW9" s="455">
        <f t="shared" si="13"/>
        <v>3301496</v>
      </c>
      <c r="EX9" s="272">
        <v>3301496</v>
      </c>
      <c r="EY9" s="272">
        <v>216665</v>
      </c>
      <c r="EZ9" s="272">
        <v>3054881</v>
      </c>
      <c r="FA9" s="272">
        <v>0</v>
      </c>
      <c r="FB9" s="272"/>
      <c r="FC9" s="272">
        <v>12164488</v>
      </c>
      <c r="FD9" s="272">
        <v>3897847</v>
      </c>
      <c r="FE9" s="272">
        <v>1108</v>
      </c>
      <c r="FF9" s="272">
        <v>10624174</v>
      </c>
      <c r="FG9" s="455">
        <f t="shared" si="14"/>
        <v>4446713</v>
      </c>
      <c r="FH9" s="272">
        <v>76824066</v>
      </c>
      <c r="FI9" s="384">
        <f t="shared" si="15"/>
        <v>0.4</v>
      </c>
      <c r="FJ9" s="272">
        <v>63446879</v>
      </c>
      <c r="FK9" s="272">
        <v>4127682</v>
      </c>
      <c r="FL9" s="272">
        <v>47778757</v>
      </c>
      <c r="FM9" s="272">
        <v>43493330</v>
      </c>
      <c r="FN9" s="460">
        <v>1.087</v>
      </c>
      <c r="FO9" s="388">
        <v>96.4</v>
      </c>
      <c r="FP9" s="388">
        <v>37.9</v>
      </c>
      <c r="FQ9" s="388">
        <v>9.8000000000000007</v>
      </c>
      <c r="FR9" s="388">
        <v>11.1</v>
      </c>
      <c r="FS9" s="388">
        <v>16.5</v>
      </c>
      <c r="FT9" s="388">
        <v>4.9000000000000004</v>
      </c>
      <c r="FU9" s="388">
        <v>12.3</v>
      </c>
      <c r="FV9" s="388">
        <v>7.5</v>
      </c>
      <c r="FW9" s="272">
        <v>68557640</v>
      </c>
      <c r="FX9" s="384">
        <f t="shared" si="16"/>
        <v>108.1</v>
      </c>
      <c r="FY9" s="272">
        <v>34207979</v>
      </c>
      <c r="FZ9" s="272">
        <v>10036277</v>
      </c>
      <c r="GA9" s="272">
        <v>60000</v>
      </c>
      <c r="GB9" s="272">
        <v>24111702</v>
      </c>
      <c r="GC9" s="272"/>
      <c r="GD9" s="272">
        <v>12789236</v>
      </c>
      <c r="GE9" s="384">
        <f t="shared" si="17"/>
        <v>20.2</v>
      </c>
      <c r="GF9" s="388">
        <v>98.7</v>
      </c>
      <c r="GG9" s="388">
        <v>24.4</v>
      </c>
      <c r="GH9" s="388">
        <v>95</v>
      </c>
      <c r="GI9" s="272">
        <v>2692</v>
      </c>
    </row>
    <row r="10" spans="2:191" x14ac:dyDescent="0.15">
      <c r="B10" s="89" t="s">
        <v>13</v>
      </c>
      <c r="C10" s="272">
        <v>11017383</v>
      </c>
      <c r="D10" s="455">
        <f t="shared" si="0"/>
        <v>2754699</v>
      </c>
      <c r="E10" s="272">
        <v>77751</v>
      </c>
      <c r="F10" s="272">
        <v>2676948</v>
      </c>
      <c r="G10" s="455">
        <f t="shared" si="1"/>
        <v>834885</v>
      </c>
      <c r="H10" s="272">
        <v>216397</v>
      </c>
      <c r="I10" s="272">
        <v>618488</v>
      </c>
      <c r="J10" s="272">
        <v>5628520</v>
      </c>
      <c r="K10" s="272">
        <v>2411969</v>
      </c>
      <c r="L10" s="272">
        <v>2031071</v>
      </c>
      <c r="M10" s="272">
        <v>708471</v>
      </c>
      <c r="N10" s="272">
        <v>620332</v>
      </c>
      <c r="O10" s="272">
        <v>1117838</v>
      </c>
      <c r="P10" s="272">
        <v>648969</v>
      </c>
      <c r="Q10" s="272">
        <v>468869</v>
      </c>
      <c r="R10" s="272">
        <v>388456</v>
      </c>
      <c r="S10" s="272">
        <v>125685</v>
      </c>
      <c r="T10" s="455">
        <f t="shared" si="2"/>
        <v>1069480</v>
      </c>
      <c r="U10" s="272">
        <v>85620</v>
      </c>
      <c r="V10" s="272">
        <v>22014</v>
      </c>
      <c r="W10" s="272">
        <v>18446</v>
      </c>
      <c r="X10" s="272">
        <v>781201</v>
      </c>
      <c r="Y10" s="272">
        <v>0</v>
      </c>
      <c r="Z10" s="272">
        <v>0</v>
      </c>
      <c r="AA10" s="272">
        <v>162199</v>
      </c>
      <c r="AB10" s="272">
        <v>308430</v>
      </c>
      <c r="AC10" s="272">
        <v>3333525</v>
      </c>
      <c r="AD10" s="272">
        <v>2974374</v>
      </c>
      <c r="AE10" s="272">
        <v>359151</v>
      </c>
      <c r="AF10" s="272">
        <v>16849</v>
      </c>
      <c r="AG10" s="272">
        <v>155510</v>
      </c>
      <c r="AH10" s="455">
        <f t="shared" si="3"/>
        <v>475996</v>
      </c>
      <c r="AI10" s="272">
        <v>422220</v>
      </c>
      <c r="AJ10" s="272">
        <v>53776</v>
      </c>
      <c r="AK10" s="272">
        <v>3059311</v>
      </c>
      <c r="AL10" s="455">
        <f t="shared" si="4"/>
        <v>1774409</v>
      </c>
      <c r="AM10" s="272">
        <v>1620628</v>
      </c>
      <c r="AN10" s="272">
        <v>149003</v>
      </c>
      <c r="AO10" s="272">
        <v>0</v>
      </c>
      <c r="AP10" s="272">
        <v>4778</v>
      </c>
      <c r="AQ10" s="272">
        <v>32038</v>
      </c>
      <c r="AR10" s="272">
        <v>0</v>
      </c>
      <c r="AS10" s="272">
        <v>0</v>
      </c>
      <c r="AT10" s="272">
        <v>1440562</v>
      </c>
      <c r="AU10" s="272">
        <v>895011</v>
      </c>
      <c r="AV10" s="272">
        <v>74382</v>
      </c>
      <c r="AW10" s="272">
        <v>0</v>
      </c>
      <c r="AX10" s="272">
        <v>545551</v>
      </c>
      <c r="AY10" s="272">
        <v>78497</v>
      </c>
      <c r="AZ10" s="272">
        <v>259719</v>
      </c>
      <c r="BA10" s="272">
        <v>228962</v>
      </c>
      <c r="BB10" s="272">
        <v>1054</v>
      </c>
      <c r="BC10" s="272">
        <v>618292</v>
      </c>
      <c r="BD10" s="272">
        <v>0</v>
      </c>
      <c r="BE10" s="272">
        <v>0</v>
      </c>
      <c r="BF10" s="272">
        <v>54113</v>
      </c>
      <c r="BG10" s="272">
        <v>550000</v>
      </c>
      <c r="BH10" s="272">
        <v>0</v>
      </c>
      <c r="BI10" s="272">
        <v>0</v>
      </c>
      <c r="BJ10" s="272">
        <v>325057</v>
      </c>
      <c r="BK10" s="272">
        <v>40769</v>
      </c>
      <c r="BL10" s="272">
        <v>0</v>
      </c>
      <c r="BM10" s="272">
        <v>54802</v>
      </c>
      <c r="BN10" s="272">
        <v>1818100</v>
      </c>
      <c r="BO10" s="455">
        <f t="shared" si="5"/>
        <v>599800</v>
      </c>
      <c r="BP10" s="455">
        <f t="shared" si="6"/>
        <v>1218300</v>
      </c>
      <c r="BQ10" s="272">
        <v>115300</v>
      </c>
      <c r="BR10" s="272"/>
      <c r="BS10" s="272">
        <v>1103000</v>
      </c>
      <c r="BT10" s="272">
        <v>0</v>
      </c>
      <c r="BU10" s="272">
        <v>24287724</v>
      </c>
      <c r="BV10" s="272"/>
      <c r="BW10" s="272">
        <v>5880320</v>
      </c>
      <c r="BX10" s="272">
        <v>3661465</v>
      </c>
      <c r="BY10" s="272">
        <v>996526</v>
      </c>
      <c r="BZ10" s="272">
        <v>260954</v>
      </c>
      <c r="CA10" s="272">
        <v>4835457</v>
      </c>
      <c r="CB10" s="272">
        <v>624152</v>
      </c>
      <c r="CC10" s="272">
        <v>289110</v>
      </c>
      <c r="CD10" s="272">
        <v>1743759</v>
      </c>
      <c r="CE10" s="272">
        <v>2103748</v>
      </c>
      <c r="CF10" s="272">
        <v>0</v>
      </c>
      <c r="CG10" s="272">
        <v>74508</v>
      </c>
      <c r="CH10" s="272">
        <v>2774176</v>
      </c>
      <c r="CI10" s="272">
        <v>2055440</v>
      </c>
      <c r="CJ10" s="455">
        <f t="shared" si="7"/>
        <v>718736</v>
      </c>
      <c r="CK10" s="272">
        <v>2162960</v>
      </c>
      <c r="CL10" s="272">
        <v>1180384</v>
      </c>
      <c r="CM10" s="272">
        <v>174660</v>
      </c>
      <c r="CN10" s="272">
        <v>361537</v>
      </c>
      <c r="CO10" s="272">
        <v>114531</v>
      </c>
      <c r="CP10" s="272">
        <v>2565823</v>
      </c>
      <c r="CQ10" s="272">
        <v>1301173</v>
      </c>
      <c r="CR10" s="272">
        <v>352044</v>
      </c>
      <c r="CS10" s="272">
        <v>347888</v>
      </c>
      <c r="CT10" s="455">
        <f t="shared" si="8"/>
        <v>708315</v>
      </c>
      <c r="CU10" s="272">
        <v>708315</v>
      </c>
      <c r="CV10" s="272">
        <v>0</v>
      </c>
      <c r="CW10" s="455">
        <f t="shared" si="9"/>
        <v>664082</v>
      </c>
      <c r="CX10" s="272">
        <v>664082</v>
      </c>
      <c r="CY10" s="272">
        <v>0</v>
      </c>
      <c r="CZ10" s="455">
        <f t="shared" si="10"/>
        <v>0</v>
      </c>
      <c r="DA10" s="272">
        <v>0</v>
      </c>
      <c r="DB10" s="272">
        <v>0</v>
      </c>
      <c r="DC10" s="272">
        <v>1446101</v>
      </c>
      <c r="DD10" s="272">
        <v>64076</v>
      </c>
      <c r="DE10" s="272">
        <v>534877</v>
      </c>
      <c r="DF10" s="272">
        <v>369577</v>
      </c>
      <c r="DG10" s="272">
        <v>477571</v>
      </c>
      <c r="DH10" s="272">
        <v>0</v>
      </c>
      <c r="DI10" s="272">
        <v>178855</v>
      </c>
      <c r="DJ10" s="272">
        <v>0</v>
      </c>
      <c r="DK10" s="272">
        <v>0</v>
      </c>
      <c r="DL10" s="272">
        <v>178855</v>
      </c>
      <c r="DM10" s="272">
        <v>0</v>
      </c>
      <c r="DN10" s="272">
        <v>0</v>
      </c>
      <c r="DO10" s="272">
        <v>0</v>
      </c>
      <c r="DP10" s="272">
        <v>0</v>
      </c>
      <c r="DQ10" s="272">
        <v>478930</v>
      </c>
      <c r="DR10" s="272">
        <v>450000</v>
      </c>
      <c r="DS10" s="272">
        <v>450000</v>
      </c>
      <c r="DT10" s="272">
        <v>3423508</v>
      </c>
      <c r="DU10" s="272">
        <v>1691719</v>
      </c>
      <c r="DV10" s="455">
        <f t="shared" si="11"/>
        <v>0</v>
      </c>
      <c r="DW10" s="272">
        <v>0</v>
      </c>
      <c r="DX10" s="272">
        <v>0</v>
      </c>
      <c r="DY10" s="272">
        <v>24724</v>
      </c>
      <c r="DZ10" s="272">
        <v>631318</v>
      </c>
      <c r="EA10" s="272">
        <v>399577</v>
      </c>
      <c r="EB10" s="272">
        <v>500207</v>
      </c>
      <c r="EC10" s="272">
        <v>346220</v>
      </c>
      <c r="ED10" s="272">
        <v>24206881</v>
      </c>
      <c r="EF10" s="272">
        <v>80843</v>
      </c>
      <c r="EG10" s="272">
        <v>36174</v>
      </c>
      <c r="EH10" s="272">
        <v>44669</v>
      </c>
      <c r="EI10" s="272">
        <v>392649</v>
      </c>
      <c r="EJ10" s="272">
        <v>392649</v>
      </c>
      <c r="EL10" s="272"/>
      <c r="EM10" s="272">
        <v>76606</v>
      </c>
      <c r="EN10" s="272">
        <v>566852</v>
      </c>
      <c r="EO10" s="272">
        <v>259209</v>
      </c>
      <c r="EP10" s="455">
        <f t="shared" si="12"/>
        <v>319265</v>
      </c>
      <c r="EQ10" s="272">
        <v>16134123</v>
      </c>
      <c r="ER10" s="272">
        <v>-2346777</v>
      </c>
      <c r="ES10" s="272">
        <v>5357666</v>
      </c>
      <c r="ET10" s="272">
        <v>3196605</v>
      </c>
      <c r="EU10" s="272">
        <v>1469920</v>
      </c>
      <c r="EV10" s="272">
        <v>2762358</v>
      </c>
      <c r="EW10" s="455">
        <f t="shared" si="13"/>
        <v>245429</v>
      </c>
      <c r="EX10" s="272">
        <v>245429</v>
      </c>
      <c r="EY10" s="272">
        <v>3838</v>
      </c>
      <c r="EZ10" s="272">
        <v>241514</v>
      </c>
      <c r="FA10" s="272">
        <v>0</v>
      </c>
      <c r="FB10" s="272"/>
      <c r="FC10" s="272">
        <v>1883384</v>
      </c>
      <c r="FD10" s="272">
        <v>2483887</v>
      </c>
      <c r="FE10" s="272">
        <v>1301173</v>
      </c>
      <c r="FF10" s="272">
        <v>3120123</v>
      </c>
      <c r="FG10" s="455">
        <f t="shared" si="14"/>
        <v>1077290</v>
      </c>
      <c r="FH10" s="272">
        <v>18400057</v>
      </c>
      <c r="FI10" s="384">
        <f t="shared" si="15"/>
        <v>0.3</v>
      </c>
      <c r="FJ10" s="272">
        <v>14579295</v>
      </c>
      <c r="FK10" s="272">
        <v>1103011</v>
      </c>
      <c r="FL10" s="272">
        <v>8772785</v>
      </c>
      <c r="FM10" s="272">
        <v>11747159</v>
      </c>
      <c r="FN10" s="460">
        <v>0.74399999999999999</v>
      </c>
      <c r="FO10" s="388">
        <v>95.1</v>
      </c>
      <c r="FP10" s="388">
        <v>29.1</v>
      </c>
      <c r="FQ10" s="388">
        <v>9.1999999999999993</v>
      </c>
      <c r="FR10" s="388">
        <v>17.3</v>
      </c>
      <c r="FS10" s="388">
        <v>9.1</v>
      </c>
      <c r="FT10" s="388">
        <v>13.1</v>
      </c>
      <c r="FU10" s="388">
        <v>16.600000000000001</v>
      </c>
      <c r="FV10" s="388">
        <v>11.8</v>
      </c>
      <c r="FW10" s="272">
        <v>30783472</v>
      </c>
      <c r="FX10" s="384">
        <f t="shared" si="16"/>
        <v>211.1</v>
      </c>
      <c r="FY10" s="272">
        <v>1013761</v>
      </c>
      <c r="FZ10" s="272">
        <v>0</v>
      </c>
      <c r="GA10" s="272">
        <v>0</v>
      </c>
      <c r="GB10" s="272">
        <v>1013761</v>
      </c>
      <c r="GC10" s="272">
        <v>550000</v>
      </c>
      <c r="GD10" s="272">
        <v>6151660</v>
      </c>
      <c r="GE10" s="384">
        <f t="shared" si="17"/>
        <v>42.2</v>
      </c>
      <c r="GF10" s="388">
        <v>98.3</v>
      </c>
      <c r="GG10" s="388">
        <v>24.3</v>
      </c>
      <c r="GH10" s="388">
        <v>92.8</v>
      </c>
      <c r="GI10" s="272">
        <v>527</v>
      </c>
    </row>
    <row r="11" spans="2:191" x14ac:dyDescent="0.15">
      <c r="B11" s="89" t="s">
        <v>15</v>
      </c>
      <c r="C11" s="272">
        <v>46448280</v>
      </c>
      <c r="D11" s="455">
        <f t="shared" si="0"/>
        <v>16131878</v>
      </c>
      <c r="E11" s="272">
        <v>400997</v>
      </c>
      <c r="F11" s="272">
        <v>15730881</v>
      </c>
      <c r="G11" s="455">
        <f t="shared" si="1"/>
        <v>2987709</v>
      </c>
      <c r="H11" s="272">
        <v>732046</v>
      </c>
      <c r="I11" s="272">
        <v>2255663</v>
      </c>
      <c r="J11" s="272">
        <v>20180761</v>
      </c>
      <c r="K11" s="272">
        <v>9376791</v>
      </c>
      <c r="L11" s="272">
        <v>7805593</v>
      </c>
      <c r="M11" s="272">
        <v>2697012</v>
      </c>
      <c r="N11" s="272">
        <v>1719501</v>
      </c>
      <c r="O11" s="272">
        <v>4121627</v>
      </c>
      <c r="P11" s="272">
        <v>2471391</v>
      </c>
      <c r="Q11" s="272">
        <v>1650236</v>
      </c>
      <c r="R11" s="272">
        <v>1399597</v>
      </c>
      <c r="S11" s="272">
        <v>598270</v>
      </c>
      <c r="T11" s="455">
        <f t="shared" si="2"/>
        <v>4726543</v>
      </c>
      <c r="U11" s="272">
        <v>495567</v>
      </c>
      <c r="V11" s="272">
        <v>127755</v>
      </c>
      <c r="W11" s="272">
        <v>106403</v>
      </c>
      <c r="X11" s="272">
        <v>3181792</v>
      </c>
      <c r="Y11" s="272">
        <v>70173</v>
      </c>
      <c r="Z11" s="272">
        <v>0</v>
      </c>
      <c r="AA11" s="272">
        <v>744853</v>
      </c>
      <c r="AB11" s="272">
        <v>1728921</v>
      </c>
      <c r="AC11" s="272">
        <v>11789984</v>
      </c>
      <c r="AD11" s="272">
        <v>11435772</v>
      </c>
      <c r="AE11" s="272">
        <v>354212</v>
      </c>
      <c r="AF11" s="272">
        <v>69776</v>
      </c>
      <c r="AG11" s="272">
        <v>769411</v>
      </c>
      <c r="AH11" s="455">
        <f t="shared" si="3"/>
        <v>3279494</v>
      </c>
      <c r="AI11" s="272">
        <v>2243657</v>
      </c>
      <c r="AJ11" s="272">
        <v>1035837</v>
      </c>
      <c r="AK11" s="272">
        <v>12852342</v>
      </c>
      <c r="AL11" s="455">
        <f t="shared" si="4"/>
        <v>5761732</v>
      </c>
      <c r="AM11" s="272">
        <v>5013800</v>
      </c>
      <c r="AN11" s="272">
        <v>679536</v>
      </c>
      <c r="AO11" s="272">
        <v>15201</v>
      </c>
      <c r="AP11" s="272">
        <v>53195</v>
      </c>
      <c r="AQ11" s="272">
        <v>2264567</v>
      </c>
      <c r="AR11" s="272">
        <v>0</v>
      </c>
      <c r="AS11" s="272">
        <v>0</v>
      </c>
      <c r="AT11" s="272">
        <v>2793523</v>
      </c>
      <c r="AU11" s="272">
        <v>972235</v>
      </c>
      <c r="AV11" s="272">
        <v>0</v>
      </c>
      <c r="AW11" s="272">
        <v>13328</v>
      </c>
      <c r="AX11" s="272">
        <v>1821288</v>
      </c>
      <c r="AY11" s="272">
        <v>69800</v>
      </c>
      <c r="AZ11" s="272">
        <v>242840</v>
      </c>
      <c r="BA11" s="272">
        <v>226635</v>
      </c>
      <c r="BB11" s="272">
        <v>62339</v>
      </c>
      <c r="BC11" s="272">
        <v>2059302</v>
      </c>
      <c r="BD11" s="272">
        <v>0</v>
      </c>
      <c r="BE11" s="272">
        <v>0</v>
      </c>
      <c r="BF11" s="272">
        <v>1652587</v>
      </c>
      <c r="BG11" s="272">
        <v>0</v>
      </c>
      <c r="BH11" s="272">
        <v>607992</v>
      </c>
      <c r="BI11" s="272">
        <v>261899</v>
      </c>
      <c r="BJ11" s="272">
        <v>2155082</v>
      </c>
      <c r="BK11" s="272">
        <v>1699866</v>
      </c>
      <c r="BL11" s="272">
        <v>0</v>
      </c>
      <c r="BM11" s="272">
        <v>81196</v>
      </c>
      <c r="BN11" s="272">
        <v>5064000</v>
      </c>
      <c r="BO11" s="455">
        <f t="shared" si="5"/>
        <v>1064000</v>
      </c>
      <c r="BP11" s="455">
        <f t="shared" si="6"/>
        <v>4000000</v>
      </c>
      <c r="BQ11" s="272">
        <v>0</v>
      </c>
      <c r="BR11" s="272"/>
      <c r="BS11" s="272">
        <v>4000000</v>
      </c>
      <c r="BT11" s="272">
        <v>0</v>
      </c>
      <c r="BU11" s="272">
        <v>96049426</v>
      </c>
      <c r="BV11" s="272"/>
      <c r="BW11" s="272">
        <v>25829396</v>
      </c>
      <c r="BX11" s="272">
        <v>17552215</v>
      </c>
      <c r="BY11" s="272">
        <v>2969885</v>
      </c>
      <c r="BZ11" s="272">
        <v>1399178</v>
      </c>
      <c r="CA11" s="272">
        <v>16534620</v>
      </c>
      <c r="CB11" s="272">
        <v>3057577</v>
      </c>
      <c r="CC11" s="272">
        <v>782753</v>
      </c>
      <c r="CD11" s="272">
        <v>5654350</v>
      </c>
      <c r="CE11" s="272">
        <v>6511056</v>
      </c>
      <c r="CF11" s="272">
        <v>163406</v>
      </c>
      <c r="CG11" s="272">
        <v>363978</v>
      </c>
      <c r="CH11" s="272">
        <v>8517788</v>
      </c>
      <c r="CI11" s="272">
        <v>6687475</v>
      </c>
      <c r="CJ11" s="455">
        <f t="shared" si="7"/>
        <v>1830313</v>
      </c>
      <c r="CK11" s="272">
        <v>11787508</v>
      </c>
      <c r="CL11" s="272">
        <v>6772883</v>
      </c>
      <c r="CM11" s="272">
        <v>512761</v>
      </c>
      <c r="CN11" s="272">
        <v>2919470</v>
      </c>
      <c r="CO11" s="272">
        <v>1455394</v>
      </c>
      <c r="CP11" s="272">
        <v>4002664</v>
      </c>
      <c r="CQ11" s="272">
        <v>19099</v>
      </c>
      <c r="CR11" s="272">
        <v>2056159</v>
      </c>
      <c r="CS11" s="272">
        <v>1724875</v>
      </c>
      <c r="CT11" s="455">
        <f t="shared" si="8"/>
        <v>1048356</v>
      </c>
      <c r="CU11" s="272">
        <v>58909</v>
      </c>
      <c r="CV11" s="272">
        <v>989447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11262776</v>
      </c>
      <c r="DD11" s="272">
        <v>3875401</v>
      </c>
      <c r="DE11" s="272">
        <v>7349959</v>
      </c>
      <c r="DF11" s="272">
        <v>37416</v>
      </c>
      <c r="DG11" s="272">
        <v>0</v>
      </c>
      <c r="DH11" s="272">
        <v>6163</v>
      </c>
      <c r="DI11" s="272">
        <v>3196957</v>
      </c>
      <c r="DJ11" s="272">
        <v>369034</v>
      </c>
      <c r="DK11" s="272">
        <v>5857</v>
      </c>
      <c r="DL11" s="272">
        <v>2822066</v>
      </c>
      <c r="DM11" s="272">
        <v>2000</v>
      </c>
      <c r="DN11" s="272">
        <v>0</v>
      </c>
      <c r="DO11" s="272">
        <v>0</v>
      </c>
      <c r="DP11" s="272">
        <v>0</v>
      </c>
      <c r="DQ11" s="272">
        <v>1700175</v>
      </c>
      <c r="DR11" s="272">
        <v>0</v>
      </c>
      <c r="DS11" s="272">
        <v>0</v>
      </c>
      <c r="DT11" s="272">
        <v>11173966</v>
      </c>
      <c r="DU11" s="272">
        <v>4699000</v>
      </c>
      <c r="DV11" s="455">
        <f t="shared" si="11"/>
        <v>0</v>
      </c>
      <c r="DW11" s="272">
        <v>0</v>
      </c>
      <c r="DX11" s="272">
        <v>0</v>
      </c>
      <c r="DY11" s="272">
        <v>0</v>
      </c>
      <c r="DZ11" s="272">
        <v>2736264</v>
      </c>
      <c r="EA11" s="272">
        <v>1755967</v>
      </c>
      <c r="EB11" s="272">
        <v>1980658</v>
      </c>
      <c r="EC11" s="272">
        <v>0</v>
      </c>
      <c r="ED11" s="272">
        <v>95469407</v>
      </c>
      <c r="EF11" s="272">
        <v>580019</v>
      </c>
      <c r="EG11" s="272">
        <v>253952</v>
      </c>
      <c r="EH11" s="272">
        <v>326067</v>
      </c>
      <c r="EI11" s="272">
        <v>64168</v>
      </c>
      <c r="EJ11" s="272">
        <v>433247</v>
      </c>
      <c r="EL11" s="272"/>
      <c r="EM11" s="272">
        <v>352778</v>
      </c>
      <c r="EN11" s="272">
        <v>276469</v>
      </c>
      <c r="EO11" s="272">
        <v>234373</v>
      </c>
      <c r="EP11" s="455">
        <f t="shared" si="12"/>
        <v>1828749</v>
      </c>
      <c r="EQ11" s="272">
        <v>66163101</v>
      </c>
      <c r="ER11" s="272">
        <v>-6269815</v>
      </c>
      <c r="ES11" s="272">
        <v>24179730</v>
      </c>
      <c r="ET11" s="272">
        <v>16021908</v>
      </c>
      <c r="EU11" s="272">
        <v>5542323</v>
      </c>
      <c r="EV11" s="272">
        <v>8411285</v>
      </c>
      <c r="EW11" s="455">
        <f t="shared" si="13"/>
        <v>5844251</v>
      </c>
      <c r="EX11" s="272">
        <v>5838088</v>
      </c>
      <c r="EY11" s="272">
        <v>1142231</v>
      </c>
      <c r="EZ11" s="272">
        <v>4658441</v>
      </c>
      <c r="FA11" s="272">
        <v>6163</v>
      </c>
      <c r="FB11" s="272"/>
      <c r="FC11" s="272">
        <v>9645098</v>
      </c>
      <c r="FD11" s="272">
        <v>3646726</v>
      </c>
      <c r="FE11" s="272">
        <v>19099</v>
      </c>
      <c r="FF11" s="272">
        <v>10124111</v>
      </c>
      <c r="FG11" s="455">
        <f t="shared" si="14"/>
        <v>4503454</v>
      </c>
      <c r="FH11" s="272">
        <v>71896978</v>
      </c>
      <c r="FI11" s="384">
        <f t="shared" si="15"/>
        <v>0.5</v>
      </c>
      <c r="FJ11" s="272">
        <v>61243765</v>
      </c>
      <c r="FK11" s="272">
        <v>4185658</v>
      </c>
      <c r="FL11" s="272">
        <v>37575427</v>
      </c>
      <c r="FM11" s="272">
        <v>49023997</v>
      </c>
      <c r="FN11" s="460">
        <v>0.78500000000000003</v>
      </c>
      <c r="FO11" s="388">
        <v>90.2</v>
      </c>
      <c r="FP11" s="388">
        <v>35.200000000000003</v>
      </c>
      <c r="FQ11" s="388">
        <v>8.4</v>
      </c>
      <c r="FR11" s="388">
        <v>12.7</v>
      </c>
      <c r="FS11" s="388">
        <v>14.2</v>
      </c>
      <c r="FT11" s="388">
        <v>5</v>
      </c>
      <c r="FU11" s="388">
        <v>12.5</v>
      </c>
      <c r="FV11" s="388">
        <v>6.7</v>
      </c>
      <c r="FW11" s="272">
        <v>63534956</v>
      </c>
      <c r="FX11" s="384">
        <f t="shared" si="16"/>
        <v>103.7</v>
      </c>
      <c r="FY11" s="272">
        <v>33561510</v>
      </c>
      <c r="FZ11" s="272">
        <v>10163068</v>
      </c>
      <c r="GA11" s="272">
        <v>2467865</v>
      </c>
      <c r="GB11" s="272">
        <v>20930577</v>
      </c>
      <c r="GC11" s="272"/>
      <c r="GD11" s="272">
        <v>2274271</v>
      </c>
      <c r="GE11" s="384">
        <f t="shared" si="17"/>
        <v>3.7</v>
      </c>
      <c r="GF11" s="388">
        <v>98.7</v>
      </c>
      <c r="GG11" s="388">
        <v>23.3</v>
      </c>
      <c r="GH11" s="388">
        <v>94.6</v>
      </c>
      <c r="GI11" s="272">
        <v>2202</v>
      </c>
    </row>
    <row r="12" spans="2:191" x14ac:dyDescent="0.15">
      <c r="B12" s="89" t="s">
        <v>17</v>
      </c>
      <c r="C12" s="272">
        <v>10721567</v>
      </c>
      <c r="D12" s="455">
        <f t="shared" si="0"/>
        <v>2915249</v>
      </c>
      <c r="E12" s="272">
        <v>88274</v>
      </c>
      <c r="F12" s="272">
        <v>2826975</v>
      </c>
      <c r="G12" s="455">
        <f t="shared" si="1"/>
        <v>651308</v>
      </c>
      <c r="H12" s="272">
        <v>186143</v>
      </c>
      <c r="I12" s="272">
        <v>465165</v>
      </c>
      <c r="J12" s="272">
        <v>5124958</v>
      </c>
      <c r="K12" s="272">
        <v>2257406</v>
      </c>
      <c r="L12" s="272">
        <v>2084010</v>
      </c>
      <c r="M12" s="272">
        <v>645224</v>
      </c>
      <c r="N12" s="272">
        <v>895174</v>
      </c>
      <c r="O12" s="272">
        <v>1019929</v>
      </c>
      <c r="P12" s="272">
        <v>575987</v>
      </c>
      <c r="Q12" s="272">
        <v>443942</v>
      </c>
      <c r="R12" s="272">
        <v>368142</v>
      </c>
      <c r="S12" s="272">
        <v>148167</v>
      </c>
      <c r="T12" s="455">
        <f t="shared" si="2"/>
        <v>1186295</v>
      </c>
      <c r="U12" s="272">
        <v>91150</v>
      </c>
      <c r="V12" s="272">
        <v>23487</v>
      </c>
      <c r="W12" s="272">
        <v>19581</v>
      </c>
      <c r="X12" s="272">
        <v>848573</v>
      </c>
      <c r="Y12" s="272">
        <v>0</v>
      </c>
      <c r="Z12" s="272">
        <v>0</v>
      </c>
      <c r="AA12" s="272">
        <v>203504</v>
      </c>
      <c r="AB12" s="272">
        <v>294483</v>
      </c>
      <c r="AC12" s="272">
        <v>4133678</v>
      </c>
      <c r="AD12" s="272">
        <v>3732545</v>
      </c>
      <c r="AE12" s="272">
        <v>401133</v>
      </c>
      <c r="AF12" s="272">
        <v>18979</v>
      </c>
      <c r="AG12" s="272">
        <v>250920</v>
      </c>
      <c r="AH12" s="455">
        <f t="shared" si="3"/>
        <v>568961</v>
      </c>
      <c r="AI12" s="272">
        <v>467097</v>
      </c>
      <c r="AJ12" s="272">
        <v>101864</v>
      </c>
      <c r="AK12" s="272">
        <v>3549604</v>
      </c>
      <c r="AL12" s="455">
        <f t="shared" si="4"/>
        <v>2112183</v>
      </c>
      <c r="AM12" s="272">
        <v>1727592</v>
      </c>
      <c r="AN12" s="272">
        <v>380963</v>
      </c>
      <c r="AO12" s="272">
        <v>0</v>
      </c>
      <c r="AP12" s="272">
        <v>3628</v>
      </c>
      <c r="AQ12" s="272">
        <v>153383</v>
      </c>
      <c r="AR12" s="272">
        <v>0</v>
      </c>
      <c r="AS12" s="272">
        <v>0</v>
      </c>
      <c r="AT12" s="272">
        <v>1367627</v>
      </c>
      <c r="AU12" s="272">
        <v>857705</v>
      </c>
      <c r="AV12" s="272">
        <v>266919</v>
      </c>
      <c r="AW12" s="272">
        <v>25087</v>
      </c>
      <c r="AX12" s="272">
        <v>509922</v>
      </c>
      <c r="AY12" s="272">
        <v>21854</v>
      </c>
      <c r="AZ12" s="272">
        <v>27976</v>
      </c>
      <c r="BA12" s="272">
        <v>11083</v>
      </c>
      <c r="BB12" s="272">
        <v>3900</v>
      </c>
      <c r="BC12" s="272">
        <v>3397362</v>
      </c>
      <c r="BD12" s="272">
        <v>0</v>
      </c>
      <c r="BE12" s="272">
        <v>0</v>
      </c>
      <c r="BF12" s="272">
        <v>20629</v>
      </c>
      <c r="BG12" s="272">
        <v>0</v>
      </c>
      <c r="BH12" s="272">
        <v>0</v>
      </c>
      <c r="BI12" s="272">
        <v>0</v>
      </c>
      <c r="BJ12" s="272">
        <v>306946</v>
      </c>
      <c r="BK12" s="272">
        <v>39287</v>
      </c>
      <c r="BL12" s="272">
        <v>0</v>
      </c>
      <c r="BM12" s="272">
        <v>55729</v>
      </c>
      <c r="BN12" s="272">
        <v>1971300</v>
      </c>
      <c r="BO12" s="455">
        <f t="shared" si="5"/>
        <v>587800</v>
      </c>
      <c r="BP12" s="455">
        <f t="shared" si="6"/>
        <v>1383500</v>
      </c>
      <c r="BQ12" s="272">
        <v>124000</v>
      </c>
      <c r="BR12" s="272"/>
      <c r="BS12" s="272">
        <v>1259500</v>
      </c>
      <c r="BT12" s="272">
        <v>0</v>
      </c>
      <c r="BU12" s="272">
        <v>28167740</v>
      </c>
      <c r="BV12" s="272"/>
      <c r="BW12" s="272">
        <v>6406607</v>
      </c>
      <c r="BX12" s="272">
        <v>4267882</v>
      </c>
      <c r="BY12" s="272">
        <v>494704</v>
      </c>
      <c r="BZ12" s="272">
        <v>472979</v>
      </c>
      <c r="CA12" s="272">
        <v>5666323</v>
      </c>
      <c r="CB12" s="272">
        <v>716768</v>
      </c>
      <c r="CC12" s="272">
        <v>232882</v>
      </c>
      <c r="CD12" s="272">
        <v>2370480</v>
      </c>
      <c r="CE12" s="272">
        <v>2259309</v>
      </c>
      <c r="CF12" s="272">
        <v>293</v>
      </c>
      <c r="CG12" s="272">
        <v>86591</v>
      </c>
      <c r="CH12" s="272">
        <v>2458888</v>
      </c>
      <c r="CI12" s="272">
        <v>1827996</v>
      </c>
      <c r="CJ12" s="455">
        <f t="shared" si="7"/>
        <v>630892</v>
      </c>
      <c r="CK12" s="272">
        <v>2518225</v>
      </c>
      <c r="CL12" s="272">
        <v>1225935</v>
      </c>
      <c r="CM12" s="272">
        <v>249551</v>
      </c>
      <c r="CN12" s="272">
        <v>528253</v>
      </c>
      <c r="CO12" s="272">
        <v>63691</v>
      </c>
      <c r="CP12" s="272">
        <v>2552633</v>
      </c>
      <c r="CQ12" s="272">
        <v>874797</v>
      </c>
      <c r="CR12" s="272">
        <v>663966</v>
      </c>
      <c r="CS12" s="272">
        <v>386971</v>
      </c>
      <c r="CT12" s="455">
        <f t="shared" si="8"/>
        <v>714386</v>
      </c>
      <c r="CU12" s="272">
        <v>678059</v>
      </c>
      <c r="CV12" s="272">
        <v>36327</v>
      </c>
      <c r="CW12" s="455">
        <f t="shared" si="9"/>
        <v>706524</v>
      </c>
      <c r="CX12" s="272">
        <v>670197</v>
      </c>
      <c r="CY12" s="272">
        <v>36327</v>
      </c>
      <c r="CZ12" s="455">
        <f t="shared" si="10"/>
        <v>0</v>
      </c>
      <c r="DA12" s="272">
        <v>0</v>
      </c>
      <c r="DB12" s="272">
        <v>0</v>
      </c>
      <c r="DC12" s="272">
        <v>1527396</v>
      </c>
      <c r="DD12" s="272">
        <v>413942</v>
      </c>
      <c r="DE12" s="272">
        <v>1064365</v>
      </c>
      <c r="DF12" s="272">
        <v>49089</v>
      </c>
      <c r="DG12" s="272">
        <v>0</v>
      </c>
      <c r="DH12" s="272">
        <v>3696</v>
      </c>
      <c r="DI12" s="272">
        <v>1002491</v>
      </c>
      <c r="DJ12" s="272">
        <v>300000</v>
      </c>
      <c r="DK12" s="272">
        <v>0</v>
      </c>
      <c r="DL12" s="272">
        <v>702491</v>
      </c>
      <c r="DM12" s="272">
        <v>0</v>
      </c>
      <c r="DN12" s="272">
        <v>0</v>
      </c>
      <c r="DO12" s="272">
        <v>0</v>
      </c>
      <c r="DP12" s="272">
        <v>0</v>
      </c>
      <c r="DQ12" s="272">
        <v>41594</v>
      </c>
      <c r="DR12" s="272">
        <v>0</v>
      </c>
      <c r="DS12" s="272">
        <v>0</v>
      </c>
      <c r="DT12" s="272">
        <v>3285138</v>
      </c>
      <c r="DU12" s="272">
        <v>1439130</v>
      </c>
      <c r="DV12" s="455">
        <f t="shared" si="11"/>
        <v>0</v>
      </c>
      <c r="DW12" s="272">
        <v>0</v>
      </c>
      <c r="DX12" s="272">
        <v>0</v>
      </c>
      <c r="DY12" s="272">
        <v>0</v>
      </c>
      <c r="DZ12" s="272">
        <v>695835</v>
      </c>
      <c r="EA12" s="272">
        <v>488315</v>
      </c>
      <c r="EB12" s="272">
        <v>658751</v>
      </c>
      <c r="EC12" s="272">
        <v>2449443</v>
      </c>
      <c r="ED12" s="272">
        <v>27976125</v>
      </c>
      <c r="EF12" s="272">
        <v>191615</v>
      </c>
      <c r="EG12" s="272">
        <v>728</v>
      </c>
      <c r="EH12" s="272">
        <v>190887</v>
      </c>
      <c r="EI12" s="272">
        <v>2640429</v>
      </c>
      <c r="EJ12" s="272">
        <v>2940429</v>
      </c>
      <c r="EL12" s="272"/>
      <c r="EM12" s="272">
        <v>89478</v>
      </c>
      <c r="EN12" s="272">
        <v>3377690</v>
      </c>
      <c r="EO12" s="272">
        <v>164</v>
      </c>
      <c r="EP12" s="455">
        <f t="shared" si="12"/>
        <v>280285</v>
      </c>
      <c r="EQ12" s="272">
        <v>16723144</v>
      </c>
      <c r="ER12" s="272">
        <v>-5022660</v>
      </c>
      <c r="ES12" s="272">
        <v>6023765</v>
      </c>
      <c r="ET12" s="272">
        <v>3972897</v>
      </c>
      <c r="EU12" s="272">
        <v>1631713</v>
      </c>
      <c r="EV12" s="272">
        <v>2404077</v>
      </c>
      <c r="EW12" s="455">
        <f t="shared" si="13"/>
        <v>676528</v>
      </c>
      <c r="EX12" s="272">
        <v>676005</v>
      </c>
      <c r="EY12" s="272">
        <v>9472</v>
      </c>
      <c r="EZ12" s="272">
        <v>651552</v>
      </c>
      <c r="FA12" s="272">
        <v>523</v>
      </c>
      <c r="FB12" s="272"/>
      <c r="FC12" s="272">
        <v>1983524</v>
      </c>
      <c r="FD12" s="272">
        <v>2383040</v>
      </c>
      <c r="FE12" s="272">
        <v>874797</v>
      </c>
      <c r="FF12" s="272">
        <v>2958897</v>
      </c>
      <c r="FG12" s="455">
        <f t="shared" si="14"/>
        <v>3492645</v>
      </c>
      <c r="FH12" s="272">
        <v>21554189</v>
      </c>
      <c r="FI12" s="384">
        <f t="shared" si="15"/>
        <v>1.3</v>
      </c>
      <c r="FJ12" s="272">
        <v>14912610</v>
      </c>
      <c r="FK12" s="272">
        <v>1259554</v>
      </c>
      <c r="FL12" s="272">
        <v>8441276</v>
      </c>
      <c r="FM12" s="272">
        <v>12171647</v>
      </c>
      <c r="FN12" s="460">
        <v>0.68899999999999995</v>
      </c>
      <c r="FO12" s="388">
        <v>96.5</v>
      </c>
      <c r="FP12" s="388">
        <v>35.1</v>
      </c>
      <c r="FQ12" s="388">
        <v>9.6999999999999993</v>
      </c>
      <c r="FR12" s="388">
        <v>14.3</v>
      </c>
      <c r="FS12" s="388">
        <v>11.2</v>
      </c>
      <c r="FT12" s="388">
        <v>12.2</v>
      </c>
      <c r="FU12" s="388">
        <v>13.5</v>
      </c>
      <c r="FV12" s="388">
        <v>12.1</v>
      </c>
      <c r="FW12" s="272">
        <v>22916235</v>
      </c>
      <c r="FX12" s="384">
        <f t="shared" si="16"/>
        <v>153.69999999999999</v>
      </c>
      <c r="FY12" s="272">
        <v>4273610</v>
      </c>
      <c r="FZ12" s="272">
        <v>803697</v>
      </c>
      <c r="GA12" s="272">
        <v>188585</v>
      </c>
      <c r="GB12" s="272">
        <v>3281328</v>
      </c>
      <c r="GC12" s="272"/>
      <c r="GD12" s="272">
        <v>4449597</v>
      </c>
      <c r="GE12" s="384">
        <f t="shared" si="17"/>
        <v>29.8</v>
      </c>
      <c r="GF12" s="388">
        <v>97.3</v>
      </c>
      <c r="GG12" s="388">
        <v>23.8</v>
      </c>
      <c r="GH12" s="388">
        <v>88.4</v>
      </c>
      <c r="GI12" s="272">
        <v>629</v>
      </c>
    </row>
    <row r="13" spans="2:191" x14ac:dyDescent="0.15">
      <c r="B13" s="89" t="s">
        <v>19</v>
      </c>
      <c r="C13" s="272">
        <v>22566838</v>
      </c>
      <c r="D13" s="455">
        <f t="shared" si="0"/>
        <v>5201706</v>
      </c>
      <c r="E13" s="272">
        <v>154564</v>
      </c>
      <c r="F13" s="272">
        <v>5047142</v>
      </c>
      <c r="G13" s="455">
        <f t="shared" si="1"/>
        <v>2355108</v>
      </c>
      <c r="H13" s="272">
        <v>402559</v>
      </c>
      <c r="I13" s="272">
        <v>1952549</v>
      </c>
      <c r="J13" s="272">
        <v>10853153</v>
      </c>
      <c r="K13" s="272">
        <v>4598656</v>
      </c>
      <c r="L13" s="272">
        <v>3998052</v>
      </c>
      <c r="M13" s="272">
        <v>1886855</v>
      </c>
      <c r="N13" s="272">
        <v>1109090</v>
      </c>
      <c r="O13" s="272">
        <v>2155460</v>
      </c>
      <c r="P13" s="272">
        <v>1264974</v>
      </c>
      <c r="Q13" s="272">
        <v>890486</v>
      </c>
      <c r="R13" s="272">
        <v>562084</v>
      </c>
      <c r="S13" s="272">
        <v>254912</v>
      </c>
      <c r="T13" s="455">
        <f t="shared" si="2"/>
        <v>2269221</v>
      </c>
      <c r="U13" s="272">
        <v>168739</v>
      </c>
      <c r="V13" s="272">
        <v>43645</v>
      </c>
      <c r="W13" s="272">
        <v>36068</v>
      </c>
      <c r="X13" s="272">
        <v>1735243</v>
      </c>
      <c r="Y13" s="272">
        <v>0</v>
      </c>
      <c r="Z13" s="272">
        <v>0</v>
      </c>
      <c r="AA13" s="272">
        <v>285526</v>
      </c>
      <c r="AB13" s="272">
        <v>625219</v>
      </c>
      <c r="AC13" s="272">
        <v>4850520</v>
      </c>
      <c r="AD13" s="272">
        <v>4278353</v>
      </c>
      <c r="AE13" s="272">
        <v>572167</v>
      </c>
      <c r="AF13" s="272">
        <v>28549</v>
      </c>
      <c r="AG13" s="272">
        <v>2015844</v>
      </c>
      <c r="AH13" s="455">
        <f t="shared" si="3"/>
        <v>891648</v>
      </c>
      <c r="AI13" s="272">
        <v>740786</v>
      </c>
      <c r="AJ13" s="272">
        <v>150862</v>
      </c>
      <c r="AK13" s="272">
        <v>8151268</v>
      </c>
      <c r="AL13" s="455">
        <f t="shared" si="4"/>
        <v>6732620</v>
      </c>
      <c r="AM13" s="272">
        <v>5266122</v>
      </c>
      <c r="AN13" s="272">
        <v>1440826</v>
      </c>
      <c r="AO13" s="272">
        <v>0</v>
      </c>
      <c r="AP13" s="272">
        <v>25672</v>
      </c>
      <c r="AQ13" s="272">
        <v>252669</v>
      </c>
      <c r="AR13" s="272">
        <v>0</v>
      </c>
      <c r="AS13" s="272">
        <v>0</v>
      </c>
      <c r="AT13" s="272">
        <v>2105657</v>
      </c>
      <c r="AU13" s="272">
        <v>1197586</v>
      </c>
      <c r="AV13" s="272">
        <v>262787</v>
      </c>
      <c r="AW13" s="272">
        <v>0</v>
      </c>
      <c r="AX13" s="272">
        <v>908071</v>
      </c>
      <c r="AY13" s="272">
        <v>70906</v>
      </c>
      <c r="AZ13" s="272">
        <v>71907</v>
      </c>
      <c r="BA13" s="272">
        <v>6216</v>
      </c>
      <c r="BB13" s="272">
        <v>2298</v>
      </c>
      <c r="BC13" s="272">
        <v>182616</v>
      </c>
      <c r="BD13" s="272">
        <v>100000</v>
      </c>
      <c r="BE13" s="272">
        <v>0</v>
      </c>
      <c r="BF13" s="272">
        <v>66559</v>
      </c>
      <c r="BG13" s="272">
        <v>0</v>
      </c>
      <c r="BH13" s="272">
        <v>0</v>
      </c>
      <c r="BI13" s="272">
        <v>0</v>
      </c>
      <c r="BJ13" s="272">
        <v>372028</v>
      </c>
      <c r="BK13" s="272">
        <v>46976</v>
      </c>
      <c r="BL13" s="272">
        <v>0</v>
      </c>
      <c r="BM13" s="272">
        <v>60133</v>
      </c>
      <c r="BN13" s="272">
        <v>3410300</v>
      </c>
      <c r="BO13" s="455">
        <f t="shared" si="5"/>
        <v>1044900</v>
      </c>
      <c r="BP13" s="455">
        <f t="shared" si="6"/>
        <v>2365400</v>
      </c>
      <c r="BQ13" s="272">
        <v>325000</v>
      </c>
      <c r="BR13" s="272"/>
      <c r="BS13" s="272">
        <v>2040400</v>
      </c>
      <c r="BT13" s="272">
        <v>0</v>
      </c>
      <c r="BU13" s="272">
        <v>48105997</v>
      </c>
      <c r="BV13" s="272"/>
      <c r="BW13" s="272">
        <v>15980744</v>
      </c>
      <c r="BX13" s="272">
        <v>9883820</v>
      </c>
      <c r="BY13" s="272">
        <v>3127820</v>
      </c>
      <c r="BZ13" s="272">
        <v>546489</v>
      </c>
      <c r="CA13" s="272">
        <v>13989769</v>
      </c>
      <c r="CB13" s="272">
        <v>1240690</v>
      </c>
      <c r="CC13" s="272">
        <v>581035</v>
      </c>
      <c r="CD13" s="272">
        <v>3136819</v>
      </c>
      <c r="CE13" s="272">
        <v>6957415</v>
      </c>
      <c r="CF13" s="272">
        <v>1884695</v>
      </c>
      <c r="CG13" s="272">
        <v>188806</v>
      </c>
      <c r="CH13" s="272">
        <v>4405983</v>
      </c>
      <c r="CI13" s="272">
        <v>3112814</v>
      </c>
      <c r="CJ13" s="455">
        <f t="shared" si="7"/>
        <v>1293169</v>
      </c>
      <c r="CK13" s="272">
        <v>3846869</v>
      </c>
      <c r="CL13" s="272">
        <v>2135614</v>
      </c>
      <c r="CM13" s="272">
        <v>165174</v>
      </c>
      <c r="CN13" s="272">
        <v>815619</v>
      </c>
      <c r="CO13" s="272">
        <v>257696</v>
      </c>
      <c r="CP13" s="272">
        <v>3769546</v>
      </c>
      <c r="CQ13" s="272">
        <v>2098186</v>
      </c>
      <c r="CR13" s="272">
        <v>880208</v>
      </c>
      <c r="CS13" s="272">
        <v>591710</v>
      </c>
      <c r="CT13" s="455">
        <f t="shared" si="8"/>
        <v>78480</v>
      </c>
      <c r="CU13" s="272">
        <v>78480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1759278</v>
      </c>
      <c r="DD13" s="272">
        <v>546714</v>
      </c>
      <c r="DE13" s="272">
        <v>1212564</v>
      </c>
      <c r="DF13" s="272">
        <v>0</v>
      </c>
      <c r="DG13" s="272">
        <v>0</v>
      </c>
      <c r="DH13" s="272">
        <v>0</v>
      </c>
      <c r="DI13" s="272">
        <v>9834</v>
      </c>
      <c r="DJ13" s="272">
        <v>185</v>
      </c>
      <c r="DK13" s="272">
        <v>6</v>
      </c>
      <c r="DL13" s="272">
        <v>9643</v>
      </c>
      <c r="DM13" s="272">
        <v>4664</v>
      </c>
      <c r="DN13" s="272">
        <v>4664</v>
      </c>
      <c r="DO13" s="272">
        <v>4664</v>
      </c>
      <c r="DP13" s="272">
        <v>0</v>
      </c>
      <c r="DQ13" s="272">
        <v>36586</v>
      </c>
      <c r="DR13" s="272">
        <v>0</v>
      </c>
      <c r="DS13" s="272">
        <v>0</v>
      </c>
      <c r="DT13" s="272">
        <v>6130760</v>
      </c>
      <c r="DU13" s="272">
        <v>2645000</v>
      </c>
      <c r="DV13" s="455">
        <f t="shared" si="11"/>
        <v>0</v>
      </c>
      <c r="DW13" s="272">
        <v>0</v>
      </c>
      <c r="DX13" s="272">
        <v>0</v>
      </c>
      <c r="DY13" s="272">
        <v>0</v>
      </c>
      <c r="DZ13" s="272">
        <v>1712706</v>
      </c>
      <c r="EA13" s="272">
        <v>826354</v>
      </c>
      <c r="EB13" s="272">
        <v>945092</v>
      </c>
      <c r="EC13" s="272">
        <v>848139</v>
      </c>
      <c r="ED13" s="272">
        <v>51039868</v>
      </c>
      <c r="EF13" s="272">
        <v>-2933871</v>
      </c>
      <c r="EG13" s="272">
        <v>2608</v>
      </c>
      <c r="EH13" s="272">
        <v>-2936479</v>
      </c>
      <c r="EI13" s="272">
        <v>-2056516</v>
      </c>
      <c r="EJ13" s="272">
        <v>-2156331</v>
      </c>
      <c r="EL13" s="272"/>
      <c r="EM13" s="272">
        <v>146552</v>
      </c>
      <c r="EN13" s="272">
        <v>178684</v>
      </c>
      <c r="EO13" s="272">
        <v>64764</v>
      </c>
      <c r="EP13" s="455">
        <f t="shared" si="12"/>
        <v>282924</v>
      </c>
      <c r="EQ13" s="272">
        <v>30902431</v>
      </c>
      <c r="ER13" s="272">
        <v>-2863223</v>
      </c>
      <c r="ES13" s="272">
        <v>15155264</v>
      </c>
      <c r="ET13" s="272">
        <v>9371899</v>
      </c>
      <c r="EU13" s="272">
        <v>3713933</v>
      </c>
      <c r="EV13" s="272">
        <v>4305149</v>
      </c>
      <c r="EW13" s="455">
        <f t="shared" si="13"/>
        <v>339988</v>
      </c>
      <c r="EX13" s="272">
        <v>339988</v>
      </c>
      <c r="EY13" s="272">
        <v>13945</v>
      </c>
      <c r="EZ13" s="272">
        <v>326043</v>
      </c>
      <c r="FA13" s="272">
        <v>0</v>
      </c>
      <c r="FB13" s="272"/>
      <c r="FC13" s="272">
        <v>3146155</v>
      </c>
      <c r="FD13" s="272">
        <v>3604947</v>
      </c>
      <c r="FE13" s="272">
        <v>2098186</v>
      </c>
      <c r="FF13" s="272">
        <v>5381731</v>
      </c>
      <c r="FG13" s="455">
        <f t="shared" si="14"/>
        <v>1052358</v>
      </c>
      <c r="FH13" s="272">
        <v>36699525</v>
      </c>
      <c r="FI13" s="384">
        <f t="shared" si="15"/>
        <v>-10.6</v>
      </c>
      <c r="FJ13" s="272">
        <v>27633985</v>
      </c>
      <c r="FK13" s="272">
        <v>2040428</v>
      </c>
      <c r="FL13" s="272">
        <v>17598949</v>
      </c>
      <c r="FM13" s="272">
        <v>21873481</v>
      </c>
      <c r="FN13" s="460">
        <v>0.82</v>
      </c>
      <c r="FO13" s="388">
        <v>104.7</v>
      </c>
      <c r="FP13" s="388">
        <v>41.8</v>
      </c>
      <c r="FQ13" s="388">
        <v>11.8</v>
      </c>
      <c r="FR13" s="388">
        <v>14</v>
      </c>
      <c r="FS13" s="388">
        <v>9.6</v>
      </c>
      <c r="FT13" s="388">
        <v>11.3</v>
      </c>
      <c r="FU13" s="388">
        <v>15.5</v>
      </c>
      <c r="FV13" s="388">
        <v>11.1</v>
      </c>
      <c r="FW13" s="272">
        <v>51181201</v>
      </c>
      <c r="FX13" s="384">
        <f t="shared" si="16"/>
        <v>185.2</v>
      </c>
      <c r="FY13" s="272">
        <v>3247789</v>
      </c>
      <c r="FZ13" s="272">
        <v>10877</v>
      </c>
      <c r="GA13" s="272">
        <v>3399</v>
      </c>
      <c r="GB13" s="272">
        <v>3233513</v>
      </c>
      <c r="GC13" s="272">
        <v>1758800</v>
      </c>
      <c r="GD13" s="272">
        <v>7119551</v>
      </c>
      <c r="GE13" s="384">
        <f t="shared" si="17"/>
        <v>25.8</v>
      </c>
      <c r="GF13" s="388">
        <v>97.8</v>
      </c>
      <c r="GG13" s="388">
        <v>16.7</v>
      </c>
      <c r="GH13" s="388">
        <v>90.2</v>
      </c>
      <c r="GI13" s="272">
        <v>1251</v>
      </c>
    </row>
    <row r="14" spans="2:191" x14ac:dyDescent="0.15">
      <c r="B14" s="89" t="s">
        <v>21</v>
      </c>
      <c r="C14" s="272">
        <v>54399979</v>
      </c>
      <c r="D14" s="455">
        <f t="shared" si="0"/>
        <v>19147053</v>
      </c>
      <c r="E14" s="272">
        <v>443385</v>
      </c>
      <c r="F14" s="272">
        <v>18703668</v>
      </c>
      <c r="G14" s="455">
        <f t="shared" si="1"/>
        <v>3546094</v>
      </c>
      <c r="H14" s="272">
        <v>629388</v>
      </c>
      <c r="I14" s="272">
        <v>2916706</v>
      </c>
      <c r="J14" s="272">
        <v>22660931</v>
      </c>
      <c r="K14" s="272">
        <v>10322237</v>
      </c>
      <c r="L14" s="272">
        <v>9399174</v>
      </c>
      <c r="M14" s="272">
        <v>2352945</v>
      </c>
      <c r="N14" s="272">
        <v>2494850</v>
      </c>
      <c r="O14" s="272">
        <v>5057350</v>
      </c>
      <c r="P14" s="272">
        <v>2953302</v>
      </c>
      <c r="Q14" s="272">
        <v>2104048</v>
      </c>
      <c r="R14" s="272">
        <v>1532970</v>
      </c>
      <c r="S14" s="272">
        <v>673799</v>
      </c>
      <c r="T14" s="455">
        <f t="shared" si="2"/>
        <v>5330314</v>
      </c>
      <c r="U14" s="272">
        <v>580563</v>
      </c>
      <c r="V14" s="272">
        <v>150025</v>
      </c>
      <c r="W14" s="272">
        <v>124255</v>
      </c>
      <c r="X14" s="272">
        <v>3563599</v>
      </c>
      <c r="Y14" s="272">
        <v>113260</v>
      </c>
      <c r="Z14" s="272">
        <v>0</v>
      </c>
      <c r="AA14" s="272">
        <v>798612</v>
      </c>
      <c r="AB14" s="272">
        <v>2017042</v>
      </c>
      <c r="AC14" s="272">
        <v>8231981</v>
      </c>
      <c r="AD14" s="272">
        <v>8066936</v>
      </c>
      <c r="AE14" s="272">
        <v>165045</v>
      </c>
      <c r="AF14" s="272">
        <v>79221</v>
      </c>
      <c r="AG14" s="272">
        <v>847636</v>
      </c>
      <c r="AH14" s="455">
        <f t="shared" si="3"/>
        <v>2180398</v>
      </c>
      <c r="AI14" s="272">
        <v>1696454</v>
      </c>
      <c r="AJ14" s="272">
        <v>483944</v>
      </c>
      <c r="AK14" s="272">
        <v>13184158</v>
      </c>
      <c r="AL14" s="455">
        <f t="shared" si="4"/>
        <v>7641319</v>
      </c>
      <c r="AM14" s="272">
        <v>6429063</v>
      </c>
      <c r="AN14" s="272">
        <v>1171562</v>
      </c>
      <c r="AO14" s="272">
        <v>0</v>
      </c>
      <c r="AP14" s="272">
        <v>40694</v>
      </c>
      <c r="AQ14" s="272">
        <v>418305</v>
      </c>
      <c r="AR14" s="272">
        <v>0</v>
      </c>
      <c r="AS14" s="272">
        <v>0</v>
      </c>
      <c r="AT14" s="272">
        <v>4787115</v>
      </c>
      <c r="AU14" s="272">
        <v>3141620</v>
      </c>
      <c r="AV14" s="272">
        <v>583259</v>
      </c>
      <c r="AW14" s="272">
        <v>3000</v>
      </c>
      <c r="AX14" s="272">
        <v>1645495</v>
      </c>
      <c r="AY14" s="272">
        <v>44941</v>
      </c>
      <c r="AZ14" s="272">
        <v>665987</v>
      </c>
      <c r="BA14" s="272">
        <v>620983</v>
      </c>
      <c r="BB14" s="272">
        <v>218177</v>
      </c>
      <c r="BC14" s="272">
        <v>131714</v>
      </c>
      <c r="BD14" s="272">
        <v>0</v>
      </c>
      <c r="BE14" s="272">
        <v>96850</v>
      </c>
      <c r="BF14" s="272">
        <v>4507</v>
      </c>
      <c r="BG14" s="272">
        <v>0</v>
      </c>
      <c r="BH14" s="272">
        <v>360701</v>
      </c>
      <c r="BI14" s="272">
        <v>156814</v>
      </c>
      <c r="BJ14" s="272">
        <v>528747</v>
      </c>
      <c r="BK14" s="272">
        <v>0</v>
      </c>
      <c r="BL14" s="272">
        <v>0</v>
      </c>
      <c r="BM14" s="272">
        <v>77416</v>
      </c>
      <c r="BN14" s="272">
        <v>10517400</v>
      </c>
      <c r="BO14" s="455">
        <f t="shared" si="5"/>
        <v>5003800</v>
      </c>
      <c r="BP14" s="455">
        <f t="shared" si="6"/>
        <v>5513600</v>
      </c>
      <c r="BQ14" s="272">
        <v>892200</v>
      </c>
      <c r="BR14" s="272"/>
      <c r="BS14" s="272">
        <v>4621400</v>
      </c>
      <c r="BT14" s="272">
        <v>0</v>
      </c>
      <c r="BU14" s="272">
        <v>105013540</v>
      </c>
      <c r="BV14" s="272"/>
      <c r="BW14" s="272">
        <v>27467289</v>
      </c>
      <c r="BX14" s="272">
        <v>18262275</v>
      </c>
      <c r="BY14" s="272">
        <v>3299923</v>
      </c>
      <c r="BZ14" s="272">
        <v>1731431</v>
      </c>
      <c r="CA14" s="272">
        <v>21233366</v>
      </c>
      <c r="CB14" s="272">
        <v>3502349</v>
      </c>
      <c r="CC14" s="272">
        <v>703417</v>
      </c>
      <c r="CD14" s="272">
        <v>8059684</v>
      </c>
      <c r="CE14" s="272">
        <v>8572807</v>
      </c>
      <c r="CF14" s="272">
        <v>409</v>
      </c>
      <c r="CG14" s="272">
        <v>393681</v>
      </c>
      <c r="CH14" s="272">
        <v>11883944</v>
      </c>
      <c r="CI14" s="272">
        <v>9233176</v>
      </c>
      <c r="CJ14" s="455">
        <f t="shared" si="7"/>
        <v>2650768</v>
      </c>
      <c r="CK14" s="272">
        <v>10039391</v>
      </c>
      <c r="CL14" s="272">
        <v>5078424</v>
      </c>
      <c r="CM14" s="272">
        <v>824075</v>
      </c>
      <c r="CN14" s="272">
        <v>2271616</v>
      </c>
      <c r="CO14" s="272">
        <v>659653</v>
      </c>
      <c r="CP14" s="272">
        <v>10891666</v>
      </c>
      <c r="CQ14" s="272">
        <v>4939825</v>
      </c>
      <c r="CR14" s="272">
        <v>2615383</v>
      </c>
      <c r="CS14" s="272">
        <v>1874919</v>
      </c>
      <c r="CT14" s="455">
        <f t="shared" si="8"/>
        <v>1473243</v>
      </c>
      <c r="CU14" s="272">
        <v>1138258</v>
      </c>
      <c r="CV14" s="272">
        <v>334985</v>
      </c>
      <c r="CW14" s="455">
        <f t="shared" si="9"/>
        <v>1095574</v>
      </c>
      <c r="CX14" s="272">
        <v>987138</v>
      </c>
      <c r="CY14" s="272">
        <v>108436</v>
      </c>
      <c r="CZ14" s="455">
        <f t="shared" si="10"/>
        <v>0</v>
      </c>
      <c r="DA14" s="272">
        <v>0</v>
      </c>
      <c r="DB14" s="272">
        <v>0</v>
      </c>
      <c r="DC14" s="272">
        <v>8706720</v>
      </c>
      <c r="DD14" s="272">
        <v>823005</v>
      </c>
      <c r="DE14" s="272">
        <v>7805469</v>
      </c>
      <c r="DF14" s="272">
        <v>6482</v>
      </c>
      <c r="DG14" s="272">
        <v>71764</v>
      </c>
      <c r="DH14" s="272">
        <v>32324</v>
      </c>
      <c r="DI14" s="272">
        <v>507705</v>
      </c>
      <c r="DJ14" s="272">
        <v>150044</v>
      </c>
      <c r="DK14" s="272">
        <v>44172</v>
      </c>
      <c r="DL14" s="272">
        <v>313489</v>
      </c>
      <c r="DM14" s="272">
        <v>0</v>
      </c>
      <c r="DN14" s="272">
        <v>0</v>
      </c>
      <c r="DO14" s="272">
        <v>0</v>
      </c>
      <c r="DP14" s="272">
        <v>0</v>
      </c>
      <c r="DQ14" s="272">
        <v>0</v>
      </c>
      <c r="DR14" s="272">
        <v>0</v>
      </c>
      <c r="DS14" s="272">
        <v>0</v>
      </c>
      <c r="DT14" s="272">
        <v>13209551</v>
      </c>
      <c r="DU14" s="272">
        <v>6124081</v>
      </c>
      <c r="DV14" s="455">
        <f t="shared" si="11"/>
        <v>0</v>
      </c>
      <c r="DW14" s="272">
        <v>0</v>
      </c>
      <c r="DX14" s="272">
        <v>0</v>
      </c>
      <c r="DY14" s="272">
        <v>37292</v>
      </c>
      <c r="DZ14" s="272">
        <v>3131480</v>
      </c>
      <c r="EA14" s="272">
        <v>1689668</v>
      </c>
      <c r="EB14" s="272">
        <v>2227030</v>
      </c>
      <c r="EC14" s="272">
        <v>0</v>
      </c>
      <c r="ED14" s="272">
        <v>104631609</v>
      </c>
      <c r="EF14" s="272">
        <v>381931</v>
      </c>
      <c r="EG14" s="272">
        <v>105782</v>
      </c>
      <c r="EH14" s="272">
        <v>276149</v>
      </c>
      <c r="EI14" s="272">
        <v>119335</v>
      </c>
      <c r="EJ14" s="272">
        <v>269379</v>
      </c>
      <c r="EL14" s="272"/>
      <c r="EM14" s="272">
        <v>403666</v>
      </c>
      <c r="EN14" s="272">
        <v>127207</v>
      </c>
      <c r="EO14" s="272">
        <v>657752</v>
      </c>
      <c r="EP14" s="455">
        <f t="shared" si="12"/>
        <v>1169278</v>
      </c>
      <c r="EQ14" s="272">
        <v>71591507</v>
      </c>
      <c r="ER14" s="272">
        <v>-7388616</v>
      </c>
      <c r="ES14" s="272">
        <v>25704337</v>
      </c>
      <c r="ET14" s="272">
        <v>16762041</v>
      </c>
      <c r="EU14" s="272">
        <v>6370051</v>
      </c>
      <c r="EV14" s="272">
        <v>11883669</v>
      </c>
      <c r="EW14" s="455">
        <f t="shared" si="13"/>
        <v>3092505</v>
      </c>
      <c r="EX14" s="272">
        <v>3060181</v>
      </c>
      <c r="EY14" s="272">
        <v>66900</v>
      </c>
      <c r="EZ14" s="272">
        <v>2986799</v>
      </c>
      <c r="FA14" s="272">
        <v>32324</v>
      </c>
      <c r="FB14" s="272"/>
      <c r="FC14" s="272">
        <v>8084512</v>
      </c>
      <c r="FD14" s="272">
        <v>10202587</v>
      </c>
      <c r="FE14" s="272">
        <v>4939825</v>
      </c>
      <c r="FF14" s="272">
        <v>12111849</v>
      </c>
      <c r="FG14" s="455">
        <f t="shared" si="14"/>
        <v>1148682</v>
      </c>
      <c r="FH14" s="272">
        <v>78598192</v>
      </c>
      <c r="FI14" s="384">
        <f t="shared" si="15"/>
        <v>0.4</v>
      </c>
      <c r="FJ14" s="272">
        <v>64958233</v>
      </c>
      <c r="FK14" s="272">
        <v>4621443</v>
      </c>
      <c r="FL14" s="272">
        <v>42896984</v>
      </c>
      <c r="FM14" s="272">
        <v>50963920</v>
      </c>
      <c r="FN14" s="460">
        <v>0.83499999999999996</v>
      </c>
      <c r="FO14" s="388">
        <v>92.1</v>
      </c>
      <c r="FP14" s="388">
        <v>33.1</v>
      </c>
      <c r="FQ14" s="388">
        <v>8.8000000000000007</v>
      </c>
      <c r="FR14" s="388">
        <v>16.399999999999999</v>
      </c>
      <c r="FS14" s="388">
        <v>10.199999999999999</v>
      </c>
      <c r="FT14" s="388">
        <v>12.5</v>
      </c>
      <c r="FU14" s="388">
        <v>10.199999999999999</v>
      </c>
      <c r="FV14" s="388">
        <v>10.8</v>
      </c>
      <c r="FW14" s="272">
        <v>100328489</v>
      </c>
      <c r="FX14" s="384">
        <f t="shared" si="16"/>
        <v>154.5</v>
      </c>
      <c r="FY14" s="272">
        <v>14275412</v>
      </c>
      <c r="FZ14" s="272">
        <v>220044</v>
      </c>
      <c r="GA14" s="272">
        <v>2998675</v>
      </c>
      <c r="GB14" s="272">
        <v>11056693</v>
      </c>
      <c r="GC14" s="272"/>
      <c r="GD14" s="272">
        <v>23542172</v>
      </c>
      <c r="GE14" s="384">
        <f t="shared" si="17"/>
        <v>36.200000000000003</v>
      </c>
      <c r="GF14" s="388">
        <v>98.3</v>
      </c>
      <c r="GG14" s="388">
        <v>22.1</v>
      </c>
      <c r="GH14" s="388">
        <v>91.9</v>
      </c>
      <c r="GI14" s="272">
        <v>2493</v>
      </c>
    </row>
    <row r="15" spans="2:191" x14ac:dyDescent="0.15">
      <c r="B15" s="89" t="s">
        <v>23</v>
      </c>
      <c r="C15" s="272">
        <v>41600964</v>
      </c>
      <c r="D15" s="455">
        <f t="shared" si="0"/>
        <v>13715767</v>
      </c>
      <c r="E15" s="272">
        <v>299491</v>
      </c>
      <c r="F15" s="272">
        <v>13416276</v>
      </c>
      <c r="G15" s="455">
        <f t="shared" si="1"/>
        <v>3358307</v>
      </c>
      <c r="H15" s="272">
        <v>714472</v>
      </c>
      <c r="I15" s="272">
        <v>2643835</v>
      </c>
      <c r="J15" s="272">
        <v>18751262</v>
      </c>
      <c r="K15" s="272">
        <v>8484883</v>
      </c>
      <c r="L15" s="272">
        <v>7237654</v>
      </c>
      <c r="M15" s="272">
        <v>2736820</v>
      </c>
      <c r="N15" s="272">
        <v>1688303</v>
      </c>
      <c r="O15" s="272">
        <v>3835123</v>
      </c>
      <c r="P15" s="272">
        <v>2229628</v>
      </c>
      <c r="Q15" s="272">
        <v>1605495</v>
      </c>
      <c r="R15" s="272">
        <v>1027837</v>
      </c>
      <c r="S15" s="272">
        <v>436265</v>
      </c>
      <c r="T15" s="455">
        <f t="shared" si="2"/>
        <v>3894332</v>
      </c>
      <c r="U15" s="272">
        <v>397316</v>
      </c>
      <c r="V15" s="272">
        <v>102146</v>
      </c>
      <c r="W15" s="272">
        <v>85618</v>
      </c>
      <c r="X15" s="272">
        <v>2645946</v>
      </c>
      <c r="Y15" s="272">
        <v>113424</v>
      </c>
      <c r="Z15" s="272">
        <v>0</v>
      </c>
      <c r="AA15" s="272">
        <v>549882</v>
      </c>
      <c r="AB15" s="272">
        <v>1486425</v>
      </c>
      <c r="AC15" s="272">
        <v>1518217</v>
      </c>
      <c r="AD15" s="272">
        <v>1276979</v>
      </c>
      <c r="AE15" s="272">
        <v>241238</v>
      </c>
      <c r="AF15" s="272">
        <v>56314</v>
      </c>
      <c r="AG15" s="272">
        <v>507748</v>
      </c>
      <c r="AH15" s="455">
        <f t="shared" si="3"/>
        <v>2270119</v>
      </c>
      <c r="AI15" s="272">
        <v>1918507</v>
      </c>
      <c r="AJ15" s="272">
        <v>351612</v>
      </c>
      <c r="AK15" s="272">
        <v>7941459</v>
      </c>
      <c r="AL15" s="455">
        <f t="shared" si="4"/>
        <v>4026565</v>
      </c>
      <c r="AM15" s="272">
        <v>3560363</v>
      </c>
      <c r="AN15" s="272">
        <v>449613</v>
      </c>
      <c r="AO15" s="272">
        <v>0</v>
      </c>
      <c r="AP15" s="272">
        <v>16589</v>
      </c>
      <c r="AQ15" s="272">
        <v>656344</v>
      </c>
      <c r="AR15" s="272">
        <v>0</v>
      </c>
      <c r="AS15" s="272">
        <v>0</v>
      </c>
      <c r="AT15" s="272">
        <v>3360408</v>
      </c>
      <c r="AU15" s="272">
        <v>1796645</v>
      </c>
      <c r="AV15" s="272">
        <v>222489</v>
      </c>
      <c r="AW15" s="272">
        <v>106308</v>
      </c>
      <c r="AX15" s="272">
        <v>1563763</v>
      </c>
      <c r="AY15" s="272">
        <v>109417</v>
      </c>
      <c r="AZ15" s="272">
        <v>125394</v>
      </c>
      <c r="BA15" s="272">
        <v>111728</v>
      </c>
      <c r="BB15" s="272">
        <v>78265</v>
      </c>
      <c r="BC15" s="272">
        <v>1383278</v>
      </c>
      <c r="BD15" s="272">
        <v>0</v>
      </c>
      <c r="BE15" s="272">
        <v>0</v>
      </c>
      <c r="BF15" s="272">
        <v>1140500</v>
      </c>
      <c r="BG15" s="272">
        <v>0</v>
      </c>
      <c r="BH15" s="272">
        <v>1066554</v>
      </c>
      <c r="BI15" s="272">
        <v>227491</v>
      </c>
      <c r="BJ15" s="272">
        <v>1783705</v>
      </c>
      <c r="BK15" s="272">
        <v>404107</v>
      </c>
      <c r="BL15" s="272">
        <v>14011</v>
      </c>
      <c r="BM15" s="272">
        <v>69047</v>
      </c>
      <c r="BN15" s="272">
        <v>8304700</v>
      </c>
      <c r="BO15" s="455">
        <f t="shared" si="5"/>
        <v>4462200</v>
      </c>
      <c r="BP15" s="455">
        <f t="shared" si="6"/>
        <v>3842500</v>
      </c>
      <c r="BQ15" s="272">
        <v>600400</v>
      </c>
      <c r="BR15" s="272"/>
      <c r="BS15" s="272">
        <v>3242100</v>
      </c>
      <c r="BT15" s="272">
        <v>0</v>
      </c>
      <c r="BU15" s="272">
        <v>76405719</v>
      </c>
      <c r="BV15" s="272"/>
      <c r="BW15" s="272">
        <v>17201925</v>
      </c>
      <c r="BX15" s="272">
        <v>12337351</v>
      </c>
      <c r="BY15" s="272">
        <v>1457476</v>
      </c>
      <c r="BZ15" s="272">
        <v>526907</v>
      </c>
      <c r="CA15" s="272">
        <v>12814673</v>
      </c>
      <c r="CB15" s="272">
        <v>2230285</v>
      </c>
      <c r="CC15" s="272">
        <v>792274</v>
      </c>
      <c r="CD15" s="272">
        <v>4970441</v>
      </c>
      <c r="CE15" s="272">
        <v>4536052</v>
      </c>
      <c r="CF15" s="272">
        <v>0</v>
      </c>
      <c r="CG15" s="272">
        <v>281951</v>
      </c>
      <c r="CH15" s="272">
        <v>6010839</v>
      </c>
      <c r="CI15" s="272">
        <v>4653985</v>
      </c>
      <c r="CJ15" s="455">
        <f t="shared" si="7"/>
        <v>1356854</v>
      </c>
      <c r="CK15" s="272">
        <v>12564522</v>
      </c>
      <c r="CL15" s="272">
        <v>6359417</v>
      </c>
      <c r="CM15" s="272">
        <v>915314</v>
      </c>
      <c r="CN15" s="272">
        <v>3247264</v>
      </c>
      <c r="CO15" s="272">
        <v>1302161</v>
      </c>
      <c r="CP15" s="272">
        <v>2500795</v>
      </c>
      <c r="CQ15" s="272">
        <v>1434</v>
      </c>
      <c r="CR15" s="272">
        <v>1468085</v>
      </c>
      <c r="CS15" s="272">
        <v>1042688</v>
      </c>
      <c r="CT15" s="455">
        <f t="shared" si="8"/>
        <v>54884</v>
      </c>
      <c r="CU15" s="272">
        <v>7258</v>
      </c>
      <c r="CV15" s="272">
        <v>47626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12643810</v>
      </c>
      <c r="DD15" s="272">
        <v>1607645</v>
      </c>
      <c r="DE15" s="272">
        <v>10902610</v>
      </c>
      <c r="DF15" s="272">
        <v>104550</v>
      </c>
      <c r="DG15" s="272">
        <v>29005</v>
      </c>
      <c r="DH15" s="272">
        <v>51483</v>
      </c>
      <c r="DI15" s="272">
        <v>11250</v>
      </c>
      <c r="DJ15" s="272">
        <v>1300</v>
      </c>
      <c r="DK15" s="272">
        <v>0</v>
      </c>
      <c r="DL15" s="272">
        <v>9950</v>
      </c>
      <c r="DM15" s="272">
        <v>5874</v>
      </c>
      <c r="DN15" s="272">
        <v>5676</v>
      </c>
      <c r="DO15" s="272">
        <v>5676</v>
      </c>
      <c r="DP15" s="272">
        <v>0</v>
      </c>
      <c r="DQ15" s="272">
        <v>404000</v>
      </c>
      <c r="DR15" s="272">
        <v>0</v>
      </c>
      <c r="DS15" s="272">
        <v>0</v>
      </c>
      <c r="DT15" s="272">
        <v>9695061</v>
      </c>
      <c r="DU15" s="272">
        <v>4920000</v>
      </c>
      <c r="DV15" s="455">
        <f t="shared" si="11"/>
        <v>0</v>
      </c>
      <c r="DW15" s="272">
        <v>0</v>
      </c>
      <c r="DX15" s="272">
        <v>0</v>
      </c>
      <c r="DY15" s="272">
        <v>0</v>
      </c>
      <c r="DZ15" s="272">
        <v>2500020</v>
      </c>
      <c r="EA15" s="272">
        <v>1136298</v>
      </c>
      <c r="EB15" s="272">
        <v>1121488</v>
      </c>
      <c r="EC15" s="272">
        <v>0</v>
      </c>
      <c r="ED15" s="272">
        <v>75206393</v>
      </c>
      <c r="EF15" s="272">
        <v>1199326</v>
      </c>
      <c r="EG15" s="272">
        <v>523458</v>
      </c>
      <c r="EH15" s="272">
        <v>675868</v>
      </c>
      <c r="EI15" s="272">
        <v>448377</v>
      </c>
      <c r="EJ15" s="272">
        <v>449781</v>
      </c>
      <c r="EL15" s="272"/>
      <c r="EM15" s="272">
        <v>263739</v>
      </c>
      <c r="EN15" s="272">
        <v>237226</v>
      </c>
      <c r="EO15" s="272">
        <v>121375</v>
      </c>
      <c r="EP15" s="455">
        <f t="shared" si="12"/>
        <v>1845774</v>
      </c>
      <c r="EQ15" s="272">
        <v>49584089</v>
      </c>
      <c r="ER15" s="272">
        <v>-5990561</v>
      </c>
      <c r="ES15" s="272">
        <v>15728295</v>
      </c>
      <c r="ET15" s="272">
        <v>10944895</v>
      </c>
      <c r="EU15" s="272">
        <v>4409982</v>
      </c>
      <c r="EV15" s="272">
        <v>5978577</v>
      </c>
      <c r="EW15" s="455">
        <f t="shared" si="13"/>
        <v>5654615</v>
      </c>
      <c r="EX15" s="272">
        <v>5628489</v>
      </c>
      <c r="EY15" s="272">
        <v>144563</v>
      </c>
      <c r="EZ15" s="272">
        <v>5379376</v>
      </c>
      <c r="FA15" s="272">
        <v>26126</v>
      </c>
      <c r="FB15" s="272"/>
      <c r="FC15" s="272">
        <v>10214735</v>
      </c>
      <c r="FD15" s="272">
        <v>2067292</v>
      </c>
      <c r="FE15" s="272">
        <v>1434</v>
      </c>
      <c r="FF15" s="272">
        <v>9024854</v>
      </c>
      <c r="FG15" s="455">
        <f t="shared" si="14"/>
        <v>1296974</v>
      </c>
      <c r="FH15" s="272">
        <v>54375324</v>
      </c>
      <c r="FI15" s="384">
        <f t="shared" si="15"/>
        <v>1.5</v>
      </c>
      <c r="FJ15" s="272">
        <v>44630998</v>
      </c>
      <c r="FK15" s="272">
        <v>3242160</v>
      </c>
      <c r="FL15" s="272">
        <v>32671612</v>
      </c>
      <c r="FM15" s="272">
        <v>33948591</v>
      </c>
      <c r="FN15" s="460">
        <v>0.96299999999999997</v>
      </c>
      <c r="FO15" s="388">
        <v>87.9</v>
      </c>
      <c r="FP15" s="388">
        <v>30.3</v>
      </c>
      <c r="FQ15" s="388">
        <v>8.9</v>
      </c>
      <c r="FR15" s="388">
        <v>12</v>
      </c>
      <c r="FS15" s="388">
        <v>19.399999999999999</v>
      </c>
      <c r="FT15" s="388">
        <v>3.4</v>
      </c>
      <c r="FU15" s="388">
        <v>11.3</v>
      </c>
      <c r="FV15" s="388">
        <v>6.1</v>
      </c>
      <c r="FW15" s="272">
        <v>53270291</v>
      </c>
      <c r="FX15" s="384">
        <f t="shared" si="16"/>
        <v>119.4</v>
      </c>
      <c r="FY15" s="272">
        <v>9178673</v>
      </c>
      <c r="FZ15" s="272">
        <v>3675333</v>
      </c>
      <c r="GA15" s="272"/>
      <c r="GB15" s="272">
        <v>5503340</v>
      </c>
      <c r="GC15" s="272"/>
      <c r="GD15" s="272">
        <v>11141803</v>
      </c>
      <c r="GE15" s="384">
        <f t="shared" si="17"/>
        <v>25</v>
      </c>
      <c r="GF15" s="388">
        <v>98.6</v>
      </c>
      <c r="GG15" s="388">
        <v>20.399999999999999</v>
      </c>
      <c r="GH15" s="388">
        <v>94.4</v>
      </c>
      <c r="GI15" s="272">
        <v>1729</v>
      </c>
    </row>
    <row r="16" spans="2:191" x14ac:dyDescent="0.15">
      <c r="B16" s="89" t="s">
        <v>25</v>
      </c>
      <c r="C16" s="272">
        <v>38305934</v>
      </c>
      <c r="D16" s="455">
        <f t="shared" si="0"/>
        <v>11264347</v>
      </c>
      <c r="E16" s="272">
        <v>283750</v>
      </c>
      <c r="F16" s="272">
        <v>10980597</v>
      </c>
      <c r="G16" s="455">
        <f t="shared" si="1"/>
        <v>3746009</v>
      </c>
      <c r="H16" s="272">
        <v>649466</v>
      </c>
      <c r="I16" s="272">
        <v>3096543</v>
      </c>
      <c r="J16" s="272">
        <v>17440431</v>
      </c>
      <c r="K16" s="272">
        <v>8723109</v>
      </c>
      <c r="L16" s="272">
        <v>6199830</v>
      </c>
      <c r="M16" s="272">
        <v>2223564</v>
      </c>
      <c r="N16" s="272">
        <v>1989077</v>
      </c>
      <c r="O16" s="272">
        <v>3663259</v>
      </c>
      <c r="P16" s="272">
        <v>2303956</v>
      </c>
      <c r="Q16" s="272">
        <v>1359303</v>
      </c>
      <c r="R16" s="272">
        <v>1067866</v>
      </c>
      <c r="S16" s="272">
        <v>459914</v>
      </c>
      <c r="T16" s="455">
        <f t="shared" si="2"/>
        <v>3937998</v>
      </c>
      <c r="U16" s="272">
        <v>345439</v>
      </c>
      <c r="V16" s="272">
        <v>89034</v>
      </c>
      <c r="W16" s="272">
        <v>74189</v>
      </c>
      <c r="X16" s="272">
        <v>2865148</v>
      </c>
      <c r="Y16" s="272">
        <v>0</v>
      </c>
      <c r="Z16" s="272">
        <v>0</v>
      </c>
      <c r="AA16" s="272">
        <v>564188</v>
      </c>
      <c r="AB16" s="272">
        <v>1281565</v>
      </c>
      <c r="AC16" s="272">
        <v>8649441</v>
      </c>
      <c r="AD16" s="272">
        <v>7879945</v>
      </c>
      <c r="AE16" s="272">
        <v>769496</v>
      </c>
      <c r="AF16" s="272">
        <v>52597</v>
      </c>
      <c r="AG16" s="272">
        <v>1771449</v>
      </c>
      <c r="AH16" s="455">
        <f t="shared" si="3"/>
        <v>2273818</v>
      </c>
      <c r="AI16" s="272">
        <v>1489772</v>
      </c>
      <c r="AJ16" s="272">
        <v>784046</v>
      </c>
      <c r="AK16" s="272">
        <v>12179355</v>
      </c>
      <c r="AL16" s="455">
        <f t="shared" si="4"/>
        <v>7824557</v>
      </c>
      <c r="AM16" s="272">
        <v>7132861</v>
      </c>
      <c r="AN16" s="272">
        <v>626703</v>
      </c>
      <c r="AO16" s="272">
        <v>0</v>
      </c>
      <c r="AP16" s="272">
        <v>64993</v>
      </c>
      <c r="AQ16" s="272">
        <v>373124</v>
      </c>
      <c r="AR16" s="272">
        <v>0</v>
      </c>
      <c r="AS16" s="272">
        <v>51728</v>
      </c>
      <c r="AT16" s="272">
        <v>3629500</v>
      </c>
      <c r="AU16" s="272">
        <v>1994143</v>
      </c>
      <c r="AV16" s="272">
        <v>312205</v>
      </c>
      <c r="AW16" s="272">
        <v>63146</v>
      </c>
      <c r="AX16" s="272">
        <v>1635357</v>
      </c>
      <c r="AY16" s="272">
        <v>24506</v>
      </c>
      <c r="AZ16" s="272">
        <v>390080</v>
      </c>
      <c r="BA16" s="272">
        <v>328558</v>
      </c>
      <c r="BB16" s="272">
        <v>566695</v>
      </c>
      <c r="BC16" s="272">
        <v>460611</v>
      </c>
      <c r="BD16" s="272">
        <v>0</v>
      </c>
      <c r="BE16" s="272">
        <v>0</v>
      </c>
      <c r="BF16" s="272">
        <v>460606</v>
      </c>
      <c r="BG16" s="272">
        <v>0</v>
      </c>
      <c r="BH16" s="272">
        <v>509934</v>
      </c>
      <c r="BI16" s="272">
        <v>136552</v>
      </c>
      <c r="BJ16" s="272">
        <v>1655557</v>
      </c>
      <c r="BK16" s="272">
        <v>459970</v>
      </c>
      <c r="BL16" s="272">
        <v>0</v>
      </c>
      <c r="BM16" s="272">
        <v>68592</v>
      </c>
      <c r="BN16" s="272">
        <v>5371300</v>
      </c>
      <c r="BO16" s="455">
        <f t="shared" si="5"/>
        <v>1586500</v>
      </c>
      <c r="BP16" s="455">
        <f t="shared" si="6"/>
        <v>3784800</v>
      </c>
      <c r="BQ16" s="272">
        <v>496900</v>
      </c>
      <c r="BR16" s="272"/>
      <c r="BS16" s="272">
        <v>3287900</v>
      </c>
      <c r="BT16" s="272">
        <v>0</v>
      </c>
      <c r="BU16" s="272">
        <v>82155428</v>
      </c>
      <c r="BV16" s="272"/>
      <c r="BW16" s="272">
        <v>18986974</v>
      </c>
      <c r="BX16" s="272">
        <v>13232330</v>
      </c>
      <c r="BY16" s="272">
        <v>1560626</v>
      </c>
      <c r="BZ16" s="272">
        <v>1128681</v>
      </c>
      <c r="CA16" s="272">
        <v>19657648</v>
      </c>
      <c r="CB16" s="272">
        <v>2414977</v>
      </c>
      <c r="CC16" s="272">
        <v>720484</v>
      </c>
      <c r="CD16" s="272">
        <v>5586292</v>
      </c>
      <c r="CE16" s="272">
        <v>9229207</v>
      </c>
      <c r="CF16" s="272">
        <v>1297920</v>
      </c>
      <c r="CG16" s="272">
        <v>408308</v>
      </c>
      <c r="CH16" s="272">
        <v>9177869</v>
      </c>
      <c r="CI16" s="272">
        <v>7118861</v>
      </c>
      <c r="CJ16" s="455">
        <f t="shared" si="7"/>
        <v>2059008</v>
      </c>
      <c r="CK16" s="272">
        <v>10139866</v>
      </c>
      <c r="CL16" s="272">
        <v>6331299</v>
      </c>
      <c r="CM16" s="272">
        <v>628226</v>
      </c>
      <c r="CN16" s="272">
        <v>1933663</v>
      </c>
      <c r="CO16" s="272">
        <v>403924</v>
      </c>
      <c r="CP16" s="272">
        <v>4270450</v>
      </c>
      <c r="CQ16" s="272">
        <v>43601</v>
      </c>
      <c r="CR16" s="272">
        <v>1670917</v>
      </c>
      <c r="CS16" s="272">
        <v>946701</v>
      </c>
      <c r="CT16" s="455">
        <f t="shared" si="8"/>
        <v>1640274</v>
      </c>
      <c r="CU16" s="272">
        <v>1640274</v>
      </c>
      <c r="CV16" s="272">
        <v>0</v>
      </c>
      <c r="CW16" s="455">
        <f t="shared" si="9"/>
        <v>1547232</v>
      </c>
      <c r="CX16" s="272">
        <v>1547232</v>
      </c>
      <c r="CY16" s="272">
        <v>0</v>
      </c>
      <c r="CZ16" s="455">
        <f t="shared" si="10"/>
        <v>0</v>
      </c>
      <c r="DA16" s="272">
        <v>0</v>
      </c>
      <c r="DB16" s="272">
        <v>0</v>
      </c>
      <c r="DC16" s="272">
        <v>5003707</v>
      </c>
      <c r="DD16" s="272">
        <v>935319</v>
      </c>
      <c r="DE16" s="272">
        <v>3966538</v>
      </c>
      <c r="DF16" s="272">
        <v>91672</v>
      </c>
      <c r="DG16" s="272">
        <v>10178</v>
      </c>
      <c r="DH16" s="272">
        <v>0</v>
      </c>
      <c r="DI16" s="272">
        <v>1543267</v>
      </c>
      <c r="DJ16" s="272">
        <v>81896</v>
      </c>
      <c r="DK16" s="272">
        <v>0</v>
      </c>
      <c r="DL16" s="272">
        <v>1461371</v>
      </c>
      <c r="DM16" s="272">
        <v>160817</v>
      </c>
      <c r="DN16" s="272">
        <v>123117</v>
      </c>
      <c r="DO16" s="272">
        <v>310</v>
      </c>
      <c r="DP16" s="272">
        <v>122807</v>
      </c>
      <c r="DQ16" s="272">
        <v>642800</v>
      </c>
      <c r="DR16" s="272">
        <v>0</v>
      </c>
      <c r="DS16" s="272">
        <v>0</v>
      </c>
      <c r="DT16" s="272">
        <v>11929742</v>
      </c>
      <c r="DU16" s="272">
        <v>5773260</v>
      </c>
      <c r="DV16" s="455">
        <f t="shared" si="11"/>
        <v>0</v>
      </c>
      <c r="DW16" s="272">
        <v>0</v>
      </c>
      <c r="DX16" s="272">
        <v>0</v>
      </c>
      <c r="DY16" s="272">
        <v>0</v>
      </c>
      <c r="DZ16" s="272">
        <v>2999923</v>
      </c>
      <c r="EA16" s="272">
        <v>1292944</v>
      </c>
      <c r="EB16" s="272">
        <v>1837898</v>
      </c>
      <c r="EC16" s="272">
        <v>0</v>
      </c>
      <c r="ED16" s="272">
        <v>81917064</v>
      </c>
      <c r="EF16" s="272">
        <v>238364</v>
      </c>
      <c r="EG16" s="272">
        <v>165599</v>
      </c>
      <c r="EH16" s="272">
        <v>72765</v>
      </c>
      <c r="EI16" s="272">
        <v>-63787</v>
      </c>
      <c r="EJ16" s="272">
        <v>103867</v>
      </c>
      <c r="EL16" s="272"/>
      <c r="EM16" s="272">
        <v>266724</v>
      </c>
      <c r="EN16" s="272">
        <v>5</v>
      </c>
      <c r="EO16" s="272">
        <v>82744</v>
      </c>
      <c r="EP16" s="455">
        <f t="shared" si="12"/>
        <v>880268</v>
      </c>
      <c r="EQ16" s="272">
        <v>53347129</v>
      </c>
      <c r="ER16" s="272">
        <v>-4643492</v>
      </c>
      <c r="ES16" s="272">
        <v>17721492</v>
      </c>
      <c r="ET16" s="272">
        <v>12223389</v>
      </c>
      <c r="EU16" s="272">
        <v>5334838</v>
      </c>
      <c r="EV16" s="272">
        <v>9070877</v>
      </c>
      <c r="EW16" s="455">
        <f t="shared" si="13"/>
        <v>2817695</v>
      </c>
      <c r="EX16" s="272">
        <v>2817695</v>
      </c>
      <c r="EY16" s="272">
        <v>89896</v>
      </c>
      <c r="EZ16" s="272">
        <v>2713858</v>
      </c>
      <c r="FA16" s="272">
        <v>0</v>
      </c>
      <c r="FB16" s="272"/>
      <c r="FC16" s="272">
        <v>7945322</v>
      </c>
      <c r="FD16" s="272">
        <v>3462002</v>
      </c>
      <c r="FE16" s="272">
        <v>43601</v>
      </c>
      <c r="FF16" s="272">
        <v>10916537</v>
      </c>
      <c r="FG16" s="455">
        <f t="shared" si="14"/>
        <v>483494</v>
      </c>
      <c r="FH16" s="272">
        <v>57752257</v>
      </c>
      <c r="FI16" s="384">
        <f t="shared" si="15"/>
        <v>0.2</v>
      </c>
      <c r="FJ16" s="272">
        <v>47740321</v>
      </c>
      <c r="FK16" s="272">
        <v>3287937</v>
      </c>
      <c r="FL16" s="272">
        <v>30056048</v>
      </c>
      <c r="FM16" s="272">
        <v>37935993</v>
      </c>
      <c r="FN16" s="460">
        <v>0.79800000000000004</v>
      </c>
      <c r="FO16" s="388">
        <v>97.2</v>
      </c>
      <c r="FP16" s="388">
        <v>31.9</v>
      </c>
      <c r="FQ16" s="388">
        <v>10</v>
      </c>
      <c r="FR16" s="388">
        <v>16.899999999999999</v>
      </c>
      <c r="FS16" s="388">
        <v>14.3</v>
      </c>
      <c r="FT16" s="388">
        <v>5.8</v>
      </c>
      <c r="FU16" s="388">
        <v>17.5</v>
      </c>
      <c r="FV16" s="388">
        <v>10.9</v>
      </c>
      <c r="FW16" s="272">
        <v>92124252</v>
      </c>
      <c r="FX16" s="384">
        <f t="shared" si="16"/>
        <v>193</v>
      </c>
      <c r="FY16" s="272">
        <v>13868573</v>
      </c>
      <c r="FZ16" s="272">
        <v>4789554</v>
      </c>
      <c r="GA16" s="272"/>
      <c r="GB16" s="272">
        <v>9079019</v>
      </c>
      <c r="GC16" s="272"/>
      <c r="GD16" s="272">
        <v>12851760</v>
      </c>
      <c r="GE16" s="384">
        <f t="shared" si="17"/>
        <v>26.9</v>
      </c>
      <c r="GF16" s="388">
        <v>98.2</v>
      </c>
      <c r="GG16" s="388">
        <v>28</v>
      </c>
      <c r="GH16" s="388">
        <v>94.1</v>
      </c>
      <c r="GI16" s="272">
        <v>1802</v>
      </c>
    </row>
    <row r="17" spans="2:191" x14ac:dyDescent="0.15">
      <c r="B17" s="89" t="s">
        <v>27</v>
      </c>
      <c r="C17" s="272">
        <v>18765642</v>
      </c>
      <c r="D17" s="455">
        <f t="shared" si="0"/>
        <v>3130359</v>
      </c>
      <c r="E17" s="272">
        <v>102501</v>
      </c>
      <c r="F17" s="272">
        <v>3027858</v>
      </c>
      <c r="G17" s="455">
        <f t="shared" si="1"/>
        <v>1364151</v>
      </c>
      <c r="H17" s="272">
        <v>415256</v>
      </c>
      <c r="I17" s="272">
        <v>948895</v>
      </c>
      <c r="J17" s="272">
        <v>11579311</v>
      </c>
      <c r="K17" s="272">
        <v>3893516</v>
      </c>
      <c r="L17" s="272">
        <v>3911869</v>
      </c>
      <c r="M17" s="272">
        <v>3419950</v>
      </c>
      <c r="N17" s="272">
        <v>779323</v>
      </c>
      <c r="O17" s="272">
        <v>1714538</v>
      </c>
      <c r="P17" s="272">
        <v>886037</v>
      </c>
      <c r="Q17" s="272">
        <v>828501</v>
      </c>
      <c r="R17" s="272">
        <v>430859</v>
      </c>
      <c r="S17" s="272">
        <v>160789</v>
      </c>
      <c r="T17" s="455">
        <f t="shared" si="2"/>
        <v>1526422</v>
      </c>
      <c r="U17" s="272">
        <v>99696</v>
      </c>
      <c r="V17" s="272">
        <v>25654</v>
      </c>
      <c r="W17" s="272">
        <v>21456</v>
      </c>
      <c r="X17" s="272">
        <v>1089538</v>
      </c>
      <c r="Y17" s="272">
        <v>69073</v>
      </c>
      <c r="Z17" s="272">
        <v>0</v>
      </c>
      <c r="AA17" s="272">
        <v>221005</v>
      </c>
      <c r="AB17" s="272">
        <v>363504</v>
      </c>
      <c r="AC17" s="272">
        <v>1005429</v>
      </c>
      <c r="AD17" s="272">
        <v>333251</v>
      </c>
      <c r="AE17" s="272">
        <v>672178</v>
      </c>
      <c r="AF17" s="272">
        <v>21881</v>
      </c>
      <c r="AG17" s="272">
        <v>644617</v>
      </c>
      <c r="AH17" s="455">
        <f t="shared" si="3"/>
        <v>863582</v>
      </c>
      <c r="AI17" s="272">
        <v>736673</v>
      </c>
      <c r="AJ17" s="272">
        <v>126909</v>
      </c>
      <c r="AK17" s="272">
        <v>4984827</v>
      </c>
      <c r="AL17" s="455">
        <f t="shared" si="4"/>
        <v>2330526</v>
      </c>
      <c r="AM17" s="272">
        <v>2018163</v>
      </c>
      <c r="AN17" s="272">
        <v>309724</v>
      </c>
      <c r="AO17" s="272">
        <v>0</v>
      </c>
      <c r="AP17" s="272">
        <v>2639</v>
      </c>
      <c r="AQ17" s="272">
        <v>999783</v>
      </c>
      <c r="AR17" s="272">
        <v>0</v>
      </c>
      <c r="AS17" s="272">
        <v>0</v>
      </c>
      <c r="AT17" s="272">
        <v>1657887</v>
      </c>
      <c r="AU17" s="272">
        <v>901377</v>
      </c>
      <c r="AV17" s="272">
        <v>149181</v>
      </c>
      <c r="AW17" s="272">
        <v>1950</v>
      </c>
      <c r="AX17" s="272">
        <v>756510</v>
      </c>
      <c r="AY17" s="272">
        <v>98286</v>
      </c>
      <c r="AZ17" s="272">
        <v>8947</v>
      </c>
      <c r="BA17" s="272">
        <v>7237</v>
      </c>
      <c r="BB17" s="272">
        <v>47045</v>
      </c>
      <c r="BC17" s="272">
        <v>74535</v>
      </c>
      <c r="BD17" s="272">
        <v>0</v>
      </c>
      <c r="BE17" s="272">
        <v>0</v>
      </c>
      <c r="BF17" s="272">
        <v>74535</v>
      </c>
      <c r="BG17" s="272">
        <v>0</v>
      </c>
      <c r="BH17" s="272">
        <v>0</v>
      </c>
      <c r="BI17" s="272">
        <v>0</v>
      </c>
      <c r="BJ17" s="272">
        <v>437167</v>
      </c>
      <c r="BK17" s="272">
        <v>107426</v>
      </c>
      <c r="BL17" s="272">
        <v>0</v>
      </c>
      <c r="BM17" s="272">
        <v>56250</v>
      </c>
      <c r="BN17" s="272">
        <v>4316500</v>
      </c>
      <c r="BO17" s="455">
        <f t="shared" si="5"/>
        <v>2201500</v>
      </c>
      <c r="BP17" s="455">
        <f t="shared" si="6"/>
        <v>1476000</v>
      </c>
      <c r="BQ17" s="272">
        <v>138700</v>
      </c>
      <c r="BR17" s="272"/>
      <c r="BS17" s="272">
        <v>1337300</v>
      </c>
      <c r="BT17" s="272">
        <v>639000</v>
      </c>
      <c r="BU17" s="272">
        <v>35148844</v>
      </c>
      <c r="BV17" s="272"/>
      <c r="BW17" s="272">
        <v>8606240</v>
      </c>
      <c r="BX17" s="272">
        <v>5631334</v>
      </c>
      <c r="BY17" s="272">
        <v>966493</v>
      </c>
      <c r="BZ17" s="272">
        <v>591567</v>
      </c>
      <c r="CA17" s="272">
        <v>6072283</v>
      </c>
      <c r="CB17" s="272">
        <v>860400</v>
      </c>
      <c r="CC17" s="272">
        <v>260519</v>
      </c>
      <c r="CD17" s="272">
        <v>2335237</v>
      </c>
      <c r="CE17" s="272">
        <v>2502516</v>
      </c>
      <c r="CF17" s="272">
        <v>2996</v>
      </c>
      <c r="CG17" s="272">
        <v>110615</v>
      </c>
      <c r="CH17" s="272">
        <v>6082931</v>
      </c>
      <c r="CI17" s="272">
        <v>4047166</v>
      </c>
      <c r="CJ17" s="455">
        <f t="shared" si="7"/>
        <v>2035765</v>
      </c>
      <c r="CK17" s="272">
        <v>3263661</v>
      </c>
      <c r="CL17" s="272">
        <v>2087264</v>
      </c>
      <c r="CM17" s="272">
        <v>126264</v>
      </c>
      <c r="CN17" s="272">
        <v>583987</v>
      </c>
      <c r="CO17" s="272">
        <v>235893</v>
      </c>
      <c r="CP17" s="272">
        <v>3178487</v>
      </c>
      <c r="CQ17" s="272">
        <v>1103300</v>
      </c>
      <c r="CR17" s="272">
        <v>784978</v>
      </c>
      <c r="CS17" s="272">
        <v>484340</v>
      </c>
      <c r="CT17" s="455">
        <f t="shared" si="8"/>
        <v>955980</v>
      </c>
      <c r="CU17" s="272">
        <v>834469</v>
      </c>
      <c r="CV17" s="272">
        <v>121511</v>
      </c>
      <c r="CW17" s="455">
        <f t="shared" si="9"/>
        <v>950000</v>
      </c>
      <c r="CX17" s="272">
        <v>828489</v>
      </c>
      <c r="CY17" s="272">
        <v>121511</v>
      </c>
      <c r="CZ17" s="455">
        <f t="shared" si="10"/>
        <v>0</v>
      </c>
      <c r="DA17" s="272">
        <v>0</v>
      </c>
      <c r="DB17" s="272">
        <v>0</v>
      </c>
      <c r="DC17" s="272">
        <v>3570967</v>
      </c>
      <c r="DD17" s="272">
        <v>2017089</v>
      </c>
      <c r="DE17" s="272">
        <v>1198863</v>
      </c>
      <c r="DF17" s="272">
        <v>332757</v>
      </c>
      <c r="DG17" s="272">
        <v>22258</v>
      </c>
      <c r="DH17" s="272">
        <v>272</v>
      </c>
      <c r="DI17" s="272">
        <v>93122</v>
      </c>
      <c r="DJ17" s="272">
        <v>1</v>
      </c>
      <c r="DK17" s="272">
        <v>27</v>
      </c>
      <c r="DL17" s="272">
        <v>93094</v>
      </c>
      <c r="DM17" s="272">
        <v>0</v>
      </c>
      <c r="DN17" s="272">
        <v>0</v>
      </c>
      <c r="DO17" s="272">
        <v>0</v>
      </c>
      <c r="DP17" s="272">
        <v>0</v>
      </c>
      <c r="DQ17" s="272">
        <v>66064</v>
      </c>
      <c r="DR17" s="272">
        <v>0</v>
      </c>
      <c r="DS17" s="272">
        <v>0</v>
      </c>
      <c r="DT17" s="272">
        <v>3473571</v>
      </c>
      <c r="DU17" s="272">
        <v>1361771</v>
      </c>
      <c r="DV17" s="455">
        <f t="shared" si="11"/>
        <v>0</v>
      </c>
      <c r="DW17" s="272">
        <v>0</v>
      </c>
      <c r="DX17" s="272">
        <v>0</v>
      </c>
      <c r="DY17" s="272">
        <v>0</v>
      </c>
      <c r="DZ17" s="272">
        <v>827523</v>
      </c>
      <c r="EA17" s="272">
        <v>566087</v>
      </c>
      <c r="EB17" s="272">
        <v>702490</v>
      </c>
      <c r="EC17" s="272">
        <v>2989374</v>
      </c>
      <c r="ED17" s="272">
        <v>37632865</v>
      </c>
      <c r="EF17" s="272">
        <v>-2484021</v>
      </c>
      <c r="EG17" s="272">
        <v>33298</v>
      </c>
      <c r="EH17" s="272">
        <v>-2517319</v>
      </c>
      <c r="EI17" s="272">
        <v>476053</v>
      </c>
      <c r="EJ17" s="272">
        <v>476054</v>
      </c>
      <c r="EL17" s="272"/>
      <c r="EM17" s="272">
        <v>100619</v>
      </c>
      <c r="EN17" s="272">
        <v>0</v>
      </c>
      <c r="EO17" s="272">
        <v>7633</v>
      </c>
      <c r="EP17" s="455">
        <f t="shared" si="12"/>
        <v>335770</v>
      </c>
      <c r="EQ17" s="272">
        <v>22113737</v>
      </c>
      <c r="ER17" s="272">
        <v>-1797522</v>
      </c>
      <c r="ES17" s="272">
        <v>7119118</v>
      </c>
      <c r="ET17" s="272">
        <v>4813373</v>
      </c>
      <c r="EU17" s="272">
        <v>1735854</v>
      </c>
      <c r="EV17" s="272">
        <v>5773650</v>
      </c>
      <c r="EW17" s="455">
        <f t="shared" si="13"/>
        <v>291185</v>
      </c>
      <c r="EX17" s="272">
        <v>290913</v>
      </c>
      <c r="EY17" s="272">
        <v>12645</v>
      </c>
      <c r="EZ17" s="272">
        <v>276775</v>
      </c>
      <c r="FA17" s="272">
        <v>272</v>
      </c>
      <c r="FB17" s="272"/>
      <c r="FC17" s="272">
        <v>2544178</v>
      </c>
      <c r="FD17" s="272">
        <v>2617630</v>
      </c>
      <c r="FE17" s="272">
        <v>903300</v>
      </c>
      <c r="FF17" s="272">
        <v>3066414</v>
      </c>
      <c r="FG17" s="455">
        <f t="shared" si="14"/>
        <v>3247251</v>
      </c>
      <c r="FH17" s="272">
        <v>26395280</v>
      </c>
      <c r="FI17" s="384">
        <f t="shared" si="15"/>
        <v>-12.8</v>
      </c>
      <c r="FJ17" s="272">
        <v>19691448</v>
      </c>
      <c r="FK17" s="272">
        <v>1337384</v>
      </c>
      <c r="FL17" s="272">
        <v>14590383</v>
      </c>
      <c r="FM17" s="272">
        <v>14921550</v>
      </c>
      <c r="FN17" s="460">
        <v>0.998</v>
      </c>
      <c r="FO17" s="388">
        <v>104.7</v>
      </c>
      <c r="FP17" s="388">
        <v>33.1</v>
      </c>
      <c r="FQ17" s="388">
        <v>8.1</v>
      </c>
      <c r="FR17" s="388">
        <v>27.1</v>
      </c>
      <c r="FS17" s="388">
        <v>11.3</v>
      </c>
      <c r="FT17" s="388">
        <v>10.8</v>
      </c>
      <c r="FU17" s="388">
        <v>13.2</v>
      </c>
      <c r="FV17" s="388">
        <v>18.8</v>
      </c>
      <c r="FW17" s="272">
        <v>76966629</v>
      </c>
      <c r="FX17" s="384">
        <f t="shared" si="16"/>
        <v>390.9</v>
      </c>
      <c r="FY17" s="272">
        <v>3042188</v>
      </c>
      <c r="FZ17" s="272">
        <v>842</v>
      </c>
      <c r="GA17" s="272">
        <v>51341</v>
      </c>
      <c r="GB17" s="272">
        <v>2990005</v>
      </c>
      <c r="GC17" s="272">
        <v>600000</v>
      </c>
      <c r="GD17" s="272">
        <v>9069393</v>
      </c>
      <c r="GE17" s="384">
        <f t="shared" si="17"/>
        <v>46.1</v>
      </c>
      <c r="GF17" s="388">
        <v>98.2</v>
      </c>
      <c r="GG17" s="388">
        <v>18.399999999999999</v>
      </c>
      <c r="GH17" s="388">
        <v>89.9</v>
      </c>
      <c r="GI17" s="272">
        <v>865</v>
      </c>
    </row>
    <row r="18" spans="2:191" x14ac:dyDescent="0.15">
      <c r="B18" s="89" t="s">
        <v>29</v>
      </c>
      <c r="C18" s="272">
        <v>13650669</v>
      </c>
      <c r="D18" s="455">
        <f t="shared" si="0"/>
        <v>5485250</v>
      </c>
      <c r="E18" s="272">
        <v>124488</v>
      </c>
      <c r="F18" s="272">
        <v>5360762</v>
      </c>
      <c r="G18" s="455">
        <f t="shared" si="1"/>
        <v>575623</v>
      </c>
      <c r="H18" s="272">
        <v>178239</v>
      </c>
      <c r="I18" s="272">
        <v>397384</v>
      </c>
      <c r="J18" s="272">
        <v>5714843</v>
      </c>
      <c r="K18" s="272">
        <v>2467596</v>
      </c>
      <c r="L18" s="272">
        <v>2568214</v>
      </c>
      <c r="M18" s="272">
        <v>581662</v>
      </c>
      <c r="N18" s="272">
        <v>607584</v>
      </c>
      <c r="O18" s="272">
        <v>1138905</v>
      </c>
      <c r="P18" s="272">
        <v>650448</v>
      </c>
      <c r="Q18" s="272">
        <v>488457</v>
      </c>
      <c r="R18" s="272">
        <v>510720</v>
      </c>
      <c r="S18" s="272">
        <v>211829</v>
      </c>
      <c r="T18" s="455">
        <f t="shared" si="2"/>
        <v>1685804</v>
      </c>
      <c r="U18" s="272">
        <v>158720</v>
      </c>
      <c r="V18" s="272">
        <v>40875</v>
      </c>
      <c r="W18" s="272">
        <v>34124</v>
      </c>
      <c r="X18" s="272">
        <v>1128286</v>
      </c>
      <c r="Y18" s="272">
        <v>45969</v>
      </c>
      <c r="Z18" s="272">
        <v>0</v>
      </c>
      <c r="AA18" s="272">
        <v>277830</v>
      </c>
      <c r="AB18" s="272">
        <v>560329</v>
      </c>
      <c r="AC18" s="272">
        <v>5195130</v>
      </c>
      <c r="AD18" s="272">
        <v>4958087</v>
      </c>
      <c r="AE18" s="272">
        <v>237043</v>
      </c>
      <c r="AF18" s="272">
        <v>24744</v>
      </c>
      <c r="AG18" s="272">
        <v>455368</v>
      </c>
      <c r="AH18" s="455">
        <f t="shared" si="3"/>
        <v>1125114</v>
      </c>
      <c r="AI18" s="272">
        <v>819836</v>
      </c>
      <c r="AJ18" s="272">
        <v>305278</v>
      </c>
      <c r="AK18" s="272">
        <v>4700747</v>
      </c>
      <c r="AL18" s="455">
        <f t="shared" si="4"/>
        <v>2483644</v>
      </c>
      <c r="AM18" s="272">
        <v>2226872</v>
      </c>
      <c r="AN18" s="272">
        <v>229466</v>
      </c>
      <c r="AO18" s="272">
        <v>0</v>
      </c>
      <c r="AP18" s="272">
        <v>27306</v>
      </c>
      <c r="AQ18" s="272">
        <v>458915</v>
      </c>
      <c r="AR18" s="272">
        <v>0</v>
      </c>
      <c r="AS18" s="272">
        <v>0</v>
      </c>
      <c r="AT18" s="272">
        <v>1507136</v>
      </c>
      <c r="AU18" s="272">
        <v>857837</v>
      </c>
      <c r="AV18" s="272">
        <v>266829</v>
      </c>
      <c r="AW18" s="272">
        <v>0</v>
      </c>
      <c r="AX18" s="272">
        <v>649299</v>
      </c>
      <c r="AY18" s="272">
        <v>49326</v>
      </c>
      <c r="AZ18" s="272">
        <v>2678</v>
      </c>
      <c r="BA18" s="272">
        <v>0</v>
      </c>
      <c r="BB18" s="272">
        <v>3897</v>
      </c>
      <c r="BC18" s="272">
        <v>502182</v>
      </c>
      <c r="BD18" s="272">
        <v>0</v>
      </c>
      <c r="BE18" s="272">
        <v>0</v>
      </c>
      <c r="BF18" s="272">
        <v>499977</v>
      </c>
      <c r="BG18" s="272">
        <v>0</v>
      </c>
      <c r="BH18" s="272">
        <v>428039</v>
      </c>
      <c r="BI18" s="272">
        <v>415048</v>
      </c>
      <c r="BJ18" s="272">
        <v>1423377</v>
      </c>
      <c r="BK18" s="272">
        <v>1188623</v>
      </c>
      <c r="BL18" s="272">
        <v>0</v>
      </c>
      <c r="BM18" s="272">
        <v>59532</v>
      </c>
      <c r="BN18" s="272">
        <v>2215600</v>
      </c>
      <c r="BO18" s="455">
        <f t="shared" si="5"/>
        <v>315500</v>
      </c>
      <c r="BP18" s="455">
        <f t="shared" si="6"/>
        <v>1900100</v>
      </c>
      <c r="BQ18" s="272">
        <v>196500</v>
      </c>
      <c r="BR18" s="272"/>
      <c r="BS18" s="272">
        <v>1703600</v>
      </c>
      <c r="BT18" s="272">
        <v>0</v>
      </c>
      <c r="BU18" s="272">
        <v>33991534</v>
      </c>
      <c r="BV18" s="272"/>
      <c r="BW18" s="272">
        <v>8201730</v>
      </c>
      <c r="BX18" s="272">
        <v>6030742</v>
      </c>
      <c r="BY18" s="272">
        <v>657085</v>
      </c>
      <c r="BZ18" s="272">
        <v>55565</v>
      </c>
      <c r="CA18" s="272">
        <v>7010917</v>
      </c>
      <c r="CB18" s="272">
        <v>1084101</v>
      </c>
      <c r="CC18" s="272">
        <v>310818</v>
      </c>
      <c r="CD18" s="272">
        <v>2512335</v>
      </c>
      <c r="CE18" s="272">
        <v>2957165</v>
      </c>
      <c r="CF18" s="272">
        <v>0</v>
      </c>
      <c r="CG18" s="272">
        <v>146498</v>
      </c>
      <c r="CH18" s="272">
        <v>2229916</v>
      </c>
      <c r="CI18" s="272">
        <v>1694478</v>
      </c>
      <c r="CJ18" s="455">
        <f t="shared" si="7"/>
        <v>535438</v>
      </c>
      <c r="CK18" s="272">
        <v>5126047</v>
      </c>
      <c r="CL18" s="272">
        <v>2964134</v>
      </c>
      <c r="CM18" s="272">
        <v>683936</v>
      </c>
      <c r="CN18" s="272">
        <v>610180</v>
      </c>
      <c r="CO18" s="272">
        <v>344641</v>
      </c>
      <c r="CP18" s="272">
        <v>3157650</v>
      </c>
      <c r="CQ18" s="272">
        <v>1120321</v>
      </c>
      <c r="CR18" s="272">
        <v>1491037</v>
      </c>
      <c r="CS18" s="272">
        <v>1189662</v>
      </c>
      <c r="CT18" s="455">
        <f t="shared" si="8"/>
        <v>8419</v>
      </c>
      <c r="CU18" s="272">
        <v>1601</v>
      </c>
      <c r="CV18" s="272">
        <v>6818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1897320</v>
      </c>
      <c r="DD18" s="272">
        <v>765705</v>
      </c>
      <c r="DE18" s="272">
        <v>1131615</v>
      </c>
      <c r="DF18" s="272">
        <v>0</v>
      </c>
      <c r="DG18" s="272">
        <v>0</v>
      </c>
      <c r="DH18" s="272">
        <v>20322</v>
      </c>
      <c r="DI18" s="272">
        <v>489223</v>
      </c>
      <c r="DJ18" s="272">
        <v>205624</v>
      </c>
      <c r="DK18" s="272">
        <v>0</v>
      </c>
      <c r="DL18" s="272">
        <v>283599</v>
      </c>
      <c r="DM18" s="272">
        <v>0</v>
      </c>
      <c r="DN18" s="272">
        <v>0</v>
      </c>
      <c r="DO18" s="272">
        <v>0</v>
      </c>
      <c r="DP18" s="272">
        <v>0</v>
      </c>
      <c r="DQ18" s="272">
        <v>1172500</v>
      </c>
      <c r="DR18" s="272">
        <v>0</v>
      </c>
      <c r="DS18" s="272">
        <v>0</v>
      </c>
      <c r="DT18" s="272">
        <v>3924918</v>
      </c>
      <c r="DU18" s="272">
        <v>1417477</v>
      </c>
      <c r="DV18" s="455">
        <f t="shared" si="11"/>
        <v>0</v>
      </c>
      <c r="DW18" s="272">
        <v>0</v>
      </c>
      <c r="DX18" s="272">
        <v>0</v>
      </c>
      <c r="DY18" s="272">
        <v>0</v>
      </c>
      <c r="DZ18" s="272">
        <v>1025966</v>
      </c>
      <c r="EA18" s="272">
        <v>621342</v>
      </c>
      <c r="EB18" s="272">
        <v>860133</v>
      </c>
      <c r="EC18" s="272">
        <v>0</v>
      </c>
      <c r="ED18" s="272">
        <v>33575184</v>
      </c>
      <c r="EF18" s="272">
        <v>416350</v>
      </c>
      <c r="EG18" s="272">
        <v>10265</v>
      </c>
      <c r="EH18" s="272">
        <v>406085</v>
      </c>
      <c r="EI18" s="272">
        <v>-8963</v>
      </c>
      <c r="EJ18" s="272">
        <v>196661</v>
      </c>
      <c r="EL18" s="272"/>
      <c r="EM18" s="272">
        <v>123904</v>
      </c>
      <c r="EN18" s="272">
        <v>76619</v>
      </c>
      <c r="EO18" s="272">
        <v>0</v>
      </c>
      <c r="EP18" s="455">
        <f t="shared" si="12"/>
        <v>717899</v>
      </c>
      <c r="EQ18" s="272">
        <v>21627396</v>
      </c>
      <c r="ER18" s="272">
        <v>-2669874</v>
      </c>
      <c r="ES18" s="272">
        <v>7592782</v>
      </c>
      <c r="ET18" s="272">
        <v>5433833</v>
      </c>
      <c r="EU18" s="272">
        <v>2344972</v>
      </c>
      <c r="EV18" s="272">
        <v>2131768</v>
      </c>
      <c r="EW18" s="455">
        <f t="shared" si="13"/>
        <v>784980</v>
      </c>
      <c r="EX18" s="272">
        <v>771798</v>
      </c>
      <c r="EY18" s="272">
        <v>64536</v>
      </c>
      <c r="EZ18" s="272">
        <v>707262</v>
      </c>
      <c r="FA18" s="272">
        <v>13182</v>
      </c>
      <c r="FB18" s="272"/>
      <c r="FC18" s="272">
        <v>4108785</v>
      </c>
      <c r="FD18" s="272">
        <v>2826324</v>
      </c>
      <c r="FE18" s="272">
        <v>1120321</v>
      </c>
      <c r="FF18" s="272">
        <v>3491997</v>
      </c>
      <c r="FG18" s="455">
        <f t="shared" si="14"/>
        <v>599312</v>
      </c>
      <c r="FH18" s="272">
        <v>23880920</v>
      </c>
      <c r="FI18" s="384">
        <f t="shared" si="15"/>
        <v>2</v>
      </c>
      <c r="FJ18" s="272">
        <v>20256894</v>
      </c>
      <c r="FK18" s="272">
        <v>1703672</v>
      </c>
      <c r="FL18" s="272">
        <v>11553407</v>
      </c>
      <c r="FM18" s="272">
        <v>16511494</v>
      </c>
      <c r="FN18" s="460">
        <v>0.69899999999999995</v>
      </c>
      <c r="FO18" s="388">
        <v>94.8</v>
      </c>
      <c r="FP18" s="388">
        <v>32.4</v>
      </c>
      <c r="FQ18" s="388">
        <v>10.5</v>
      </c>
      <c r="FR18" s="388">
        <v>9.6</v>
      </c>
      <c r="FS18" s="388">
        <v>18.3</v>
      </c>
      <c r="FT18" s="388">
        <v>12.4</v>
      </c>
      <c r="FU18" s="388">
        <v>10.199999999999999</v>
      </c>
      <c r="FV18" s="388">
        <v>4.9000000000000004</v>
      </c>
      <c r="FW18" s="272">
        <v>24173879</v>
      </c>
      <c r="FX18" s="384">
        <f t="shared" si="16"/>
        <v>119.3</v>
      </c>
      <c r="FY18" s="272">
        <v>10507204</v>
      </c>
      <c r="FZ18" s="272">
        <v>3735003</v>
      </c>
      <c r="GA18" s="272"/>
      <c r="GB18" s="272">
        <v>6772201</v>
      </c>
      <c r="GC18" s="272"/>
      <c r="GD18" s="272">
        <v>705366</v>
      </c>
      <c r="GE18" s="384">
        <f t="shared" si="17"/>
        <v>3.5</v>
      </c>
      <c r="GF18" s="388">
        <v>97.7</v>
      </c>
      <c r="GG18" s="388">
        <v>21.9</v>
      </c>
      <c r="GH18" s="388">
        <v>89.5</v>
      </c>
      <c r="GI18" s="272">
        <v>867</v>
      </c>
    </row>
    <row r="19" spans="2:191" x14ac:dyDescent="0.15">
      <c r="B19" s="89" t="s">
        <v>31</v>
      </c>
      <c r="C19" s="272">
        <v>27248897</v>
      </c>
      <c r="D19" s="455">
        <f t="shared" si="0"/>
        <v>9356516</v>
      </c>
      <c r="E19" s="272">
        <v>255259</v>
      </c>
      <c r="F19" s="272">
        <v>9101257</v>
      </c>
      <c r="G19" s="455">
        <f t="shared" si="1"/>
        <v>1785313</v>
      </c>
      <c r="H19" s="272">
        <v>529802</v>
      </c>
      <c r="I19" s="272">
        <v>1255511</v>
      </c>
      <c r="J19" s="272">
        <v>11674201</v>
      </c>
      <c r="K19" s="272">
        <v>5554416</v>
      </c>
      <c r="L19" s="272">
        <v>4660810</v>
      </c>
      <c r="M19" s="272">
        <v>1161154</v>
      </c>
      <c r="N19" s="272">
        <v>1596625</v>
      </c>
      <c r="O19" s="272">
        <v>2687386</v>
      </c>
      <c r="P19" s="272">
        <v>1635183</v>
      </c>
      <c r="Q19" s="272">
        <v>1052203</v>
      </c>
      <c r="R19" s="272">
        <v>906860</v>
      </c>
      <c r="S19" s="272">
        <v>419793</v>
      </c>
      <c r="T19" s="455">
        <f t="shared" si="2"/>
        <v>3162058</v>
      </c>
      <c r="U19" s="272">
        <v>300424</v>
      </c>
      <c r="V19" s="272">
        <v>77777</v>
      </c>
      <c r="W19" s="272">
        <v>64138</v>
      </c>
      <c r="X19" s="272">
        <v>2266985</v>
      </c>
      <c r="Y19" s="272">
        <v>0</v>
      </c>
      <c r="Z19" s="272">
        <v>0</v>
      </c>
      <c r="AA19" s="272">
        <v>452734</v>
      </c>
      <c r="AB19" s="272">
        <v>979029</v>
      </c>
      <c r="AC19" s="272">
        <v>10945825</v>
      </c>
      <c r="AD19" s="272">
        <v>10448520</v>
      </c>
      <c r="AE19" s="272">
        <v>497305</v>
      </c>
      <c r="AF19" s="272">
        <v>42864</v>
      </c>
      <c r="AG19" s="272">
        <v>417828</v>
      </c>
      <c r="AH19" s="455">
        <f t="shared" si="3"/>
        <v>1568566</v>
      </c>
      <c r="AI19" s="272">
        <v>1034093</v>
      </c>
      <c r="AJ19" s="272">
        <v>534473</v>
      </c>
      <c r="AK19" s="272">
        <v>10580143</v>
      </c>
      <c r="AL19" s="455">
        <f t="shared" si="4"/>
        <v>6051915</v>
      </c>
      <c r="AM19" s="272">
        <v>5316193</v>
      </c>
      <c r="AN19" s="272">
        <v>699776</v>
      </c>
      <c r="AO19" s="272">
        <v>0</v>
      </c>
      <c r="AP19" s="272">
        <v>35946</v>
      </c>
      <c r="AQ19" s="272">
        <v>827993</v>
      </c>
      <c r="AR19" s="272">
        <v>0</v>
      </c>
      <c r="AS19" s="272">
        <v>0</v>
      </c>
      <c r="AT19" s="272">
        <v>3180678</v>
      </c>
      <c r="AU19" s="272">
        <v>1837215</v>
      </c>
      <c r="AV19" s="272">
        <v>321574</v>
      </c>
      <c r="AW19" s="272">
        <v>3750</v>
      </c>
      <c r="AX19" s="272">
        <v>1343463</v>
      </c>
      <c r="AY19" s="272">
        <v>48490</v>
      </c>
      <c r="AZ19" s="272">
        <v>248497</v>
      </c>
      <c r="BA19" s="272">
        <v>242796</v>
      </c>
      <c r="BB19" s="272">
        <v>2328</v>
      </c>
      <c r="BC19" s="272">
        <v>1139933</v>
      </c>
      <c r="BD19" s="272">
        <v>0</v>
      </c>
      <c r="BE19" s="272">
        <v>460</v>
      </c>
      <c r="BF19" s="272">
        <v>1110469</v>
      </c>
      <c r="BG19" s="272">
        <v>0</v>
      </c>
      <c r="BH19" s="272">
        <v>0</v>
      </c>
      <c r="BI19" s="272">
        <v>0</v>
      </c>
      <c r="BJ19" s="272">
        <v>4348415</v>
      </c>
      <c r="BK19" s="272">
        <v>3859519</v>
      </c>
      <c r="BL19" s="272">
        <v>1113</v>
      </c>
      <c r="BM19" s="272">
        <v>66936</v>
      </c>
      <c r="BN19" s="272">
        <v>5589400</v>
      </c>
      <c r="BO19" s="455">
        <f t="shared" si="5"/>
        <v>2090700</v>
      </c>
      <c r="BP19" s="455">
        <f t="shared" si="6"/>
        <v>3498700</v>
      </c>
      <c r="BQ19" s="272">
        <v>356600</v>
      </c>
      <c r="BR19" s="272"/>
      <c r="BS19" s="272">
        <v>3142100</v>
      </c>
      <c r="BT19" s="272">
        <v>0</v>
      </c>
      <c r="BU19" s="272">
        <v>70361321</v>
      </c>
      <c r="BV19" s="272"/>
      <c r="BW19" s="272">
        <v>17927994</v>
      </c>
      <c r="BX19" s="272">
        <v>12670709</v>
      </c>
      <c r="BY19" s="272">
        <v>1998817</v>
      </c>
      <c r="BZ19" s="272">
        <v>351535</v>
      </c>
      <c r="CA19" s="272">
        <v>14593180</v>
      </c>
      <c r="CB19" s="272">
        <v>2193628</v>
      </c>
      <c r="CC19" s="272">
        <v>506299</v>
      </c>
      <c r="CD19" s="272">
        <v>4605117</v>
      </c>
      <c r="CE19" s="272">
        <v>7025566</v>
      </c>
      <c r="CF19" s="272">
        <v>6141</v>
      </c>
      <c r="CG19" s="272">
        <v>254129</v>
      </c>
      <c r="CH19" s="272">
        <v>6666026</v>
      </c>
      <c r="CI19" s="272">
        <v>5023370</v>
      </c>
      <c r="CJ19" s="455">
        <f t="shared" si="7"/>
        <v>1642656</v>
      </c>
      <c r="CK19" s="272">
        <v>8102810</v>
      </c>
      <c r="CL19" s="272">
        <v>3542079</v>
      </c>
      <c r="CM19" s="272">
        <v>1099426</v>
      </c>
      <c r="CN19" s="272">
        <v>1810222</v>
      </c>
      <c r="CO19" s="272">
        <v>415072</v>
      </c>
      <c r="CP19" s="272">
        <v>5834026</v>
      </c>
      <c r="CQ19" s="272">
        <v>3459939</v>
      </c>
      <c r="CR19" s="272">
        <v>1312244</v>
      </c>
      <c r="CS19" s="272">
        <v>1149561</v>
      </c>
      <c r="CT19" s="455">
        <f t="shared" si="8"/>
        <v>8060</v>
      </c>
      <c r="CU19" s="272">
        <v>8060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3668924</v>
      </c>
      <c r="DD19" s="272">
        <v>1110881</v>
      </c>
      <c r="DE19" s="272">
        <v>2128309</v>
      </c>
      <c r="DF19" s="272">
        <v>0</v>
      </c>
      <c r="DG19" s="272">
        <v>429734</v>
      </c>
      <c r="DH19" s="272">
        <v>0</v>
      </c>
      <c r="DI19" s="272">
        <v>85249</v>
      </c>
      <c r="DJ19" s="272">
        <v>1</v>
      </c>
      <c r="DK19" s="272">
        <v>183</v>
      </c>
      <c r="DL19" s="272">
        <v>85065</v>
      </c>
      <c r="DM19" s="272">
        <v>0</v>
      </c>
      <c r="DN19" s="272">
        <v>0</v>
      </c>
      <c r="DO19" s="272">
        <v>0</v>
      </c>
      <c r="DP19" s="272">
        <v>0</v>
      </c>
      <c r="DQ19" s="272">
        <v>3841480</v>
      </c>
      <c r="DR19" s="272">
        <v>0</v>
      </c>
      <c r="DS19" s="272">
        <v>0</v>
      </c>
      <c r="DT19" s="272">
        <v>8006596</v>
      </c>
      <c r="DU19" s="272">
        <v>3581991</v>
      </c>
      <c r="DV19" s="455">
        <f t="shared" si="11"/>
        <v>0</v>
      </c>
      <c r="DW19" s="272">
        <v>0</v>
      </c>
      <c r="DX19" s="272">
        <v>0</v>
      </c>
      <c r="DY19" s="272">
        <v>0</v>
      </c>
      <c r="DZ19" s="272">
        <v>2046873</v>
      </c>
      <c r="EA19" s="272">
        <v>1042042</v>
      </c>
      <c r="EB19" s="272">
        <v>1335690</v>
      </c>
      <c r="EC19" s="272">
        <v>1158778</v>
      </c>
      <c r="ED19" s="272">
        <v>70300135</v>
      </c>
      <c r="EF19" s="272">
        <v>61186</v>
      </c>
      <c r="EG19" s="272">
        <v>50277</v>
      </c>
      <c r="EH19" s="272">
        <v>10909</v>
      </c>
      <c r="EI19" s="272">
        <v>1232419</v>
      </c>
      <c r="EJ19" s="272">
        <v>1232420</v>
      </c>
      <c r="EL19" s="272"/>
      <c r="EM19" s="272">
        <v>243829</v>
      </c>
      <c r="EN19" s="272">
        <v>29004</v>
      </c>
      <c r="EO19" s="272">
        <v>195023</v>
      </c>
      <c r="EP19" s="455">
        <f t="shared" si="12"/>
        <v>415251</v>
      </c>
      <c r="EQ19" s="272">
        <v>43285533</v>
      </c>
      <c r="ER19" s="272">
        <v>-4095114</v>
      </c>
      <c r="ES19" s="272">
        <v>16194995</v>
      </c>
      <c r="ET19" s="272">
        <v>11451305</v>
      </c>
      <c r="EU19" s="272">
        <v>4094941</v>
      </c>
      <c r="EV19" s="272">
        <v>6042343</v>
      </c>
      <c r="EW19" s="455">
        <f t="shared" si="13"/>
        <v>782680</v>
      </c>
      <c r="EX19" s="272">
        <v>782680</v>
      </c>
      <c r="EY19" s="272">
        <v>25486</v>
      </c>
      <c r="EZ19" s="272">
        <v>730492</v>
      </c>
      <c r="FA19" s="272">
        <v>0</v>
      </c>
      <c r="FB19" s="272"/>
      <c r="FC19" s="272">
        <v>6246955</v>
      </c>
      <c r="FD19" s="272">
        <v>5296630</v>
      </c>
      <c r="FE19" s="272">
        <v>3459939</v>
      </c>
      <c r="FF19" s="272">
        <v>7064963</v>
      </c>
      <c r="FG19" s="455">
        <f t="shared" si="14"/>
        <v>1645350</v>
      </c>
      <c r="FH19" s="272">
        <v>47368857</v>
      </c>
      <c r="FI19" s="384">
        <f t="shared" si="15"/>
        <v>0</v>
      </c>
      <c r="FJ19" s="272">
        <v>39923111</v>
      </c>
      <c r="FK19" s="272">
        <v>3142185</v>
      </c>
      <c r="FL19" s="272">
        <v>22234776</v>
      </c>
      <c r="FM19" s="272">
        <v>32692071</v>
      </c>
      <c r="FN19" s="460">
        <v>0.67700000000000005</v>
      </c>
      <c r="FO19" s="388">
        <v>96.8</v>
      </c>
      <c r="FP19" s="388">
        <v>35.700000000000003</v>
      </c>
      <c r="FQ19" s="388">
        <v>9.3000000000000007</v>
      </c>
      <c r="FR19" s="388">
        <v>13.8</v>
      </c>
      <c r="FS19" s="388">
        <v>13.4</v>
      </c>
      <c r="FT19" s="388">
        <v>10.8</v>
      </c>
      <c r="FU19" s="388">
        <v>12.8</v>
      </c>
      <c r="FV19" s="388">
        <v>8.5</v>
      </c>
      <c r="FW19" s="272">
        <v>63168208</v>
      </c>
      <c r="FX19" s="384">
        <f t="shared" si="16"/>
        <v>158.19999999999999</v>
      </c>
      <c r="FY19" s="272">
        <v>3921185</v>
      </c>
      <c r="FZ19" s="272">
        <v>1516</v>
      </c>
      <c r="GA19" s="272">
        <v>2838</v>
      </c>
      <c r="GB19" s="272">
        <v>3916831</v>
      </c>
      <c r="GC19" s="272">
        <v>480000</v>
      </c>
      <c r="GD19" s="272">
        <v>6979246</v>
      </c>
      <c r="GE19" s="384">
        <f t="shared" si="17"/>
        <v>17.5</v>
      </c>
      <c r="GF19" s="388">
        <v>97.4</v>
      </c>
      <c r="GG19" s="388">
        <v>12.9</v>
      </c>
      <c r="GH19" s="388">
        <v>87.5</v>
      </c>
      <c r="GI19" s="272">
        <v>1738</v>
      </c>
    </row>
    <row r="20" spans="2:191" x14ac:dyDescent="0.15">
      <c r="B20" s="89" t="s">
        <v>33</v>
      </c>
      <c r="C20" s="272">
        <v>13602817</v>
      </c>
      <c r="D20" s="455">
        <f t="shared" si="0"/>
        <v>5866451</v>
      </c>
      <c r="E20" s="272">
        <v>125966</v>
      </c>
      <c r="F20" s="272">
        <v>5740485</v>
      </c>
      <c r="G20" s="455">
        <f t="shared" si="1"/>
        <v>542414</v>
      </c>
      <c r="H20" s="272">
        <v>191725</v>
      </c>
      <c r="I20" s="272">
        <v>350689</v>
      </c>
      <c r="J20" s="272">
        <v>5418401</v>
      </c>
      <c r="K20" s="272">
        <v>2201054</v>
      </c>
      <c r="L20" s="272">
        <v>2471523</v>
      </c>
      <c r="M20" s="272">
        <v>654762</v>
      </c>
      <c r="N20" s="272">
        <v>517037</v>
      </c>
      <c r="O20" s="272">
        <v>1145355</v>
      </c>
      <c r="P20" s="272">
        <v>639019</v>
      </c>
      <c r="Q20" s="272">
        <v>506336</v>
      </c>
      <c r="R20" s="272">
        <v>547279</v>
      </c>
      <c r="S20" s="272">
        <v>202539</v>
      </c>
      <c r="T20" s="455">
        <f t="shared" si="2"/>
        <v>1579604</v>
      </c>
      <c r="U20" s="272">
        <v>173614</v>
      </c>
      <c r="V20" s="272">
        <v>44805</v>
      </c>
      <c r="W20" s="272">
        <v>37220</v>
      </c>
      <c r="X20" s="272">
        <v>985172</v>
      </c>
      <c r="Y20" s="272">
        <v>18335</v>
      </c>
      <c r="Z20" s="272">
        <v>0</v>
      </c>
      <c r="AA20" s="272">
        <v>320458</v>
      </c>
      <c r="AB20" s="272">
        <v>593929</v>
      </c>
      <c r="AC20" s="272">
        <v>4708104</v>
      </c>
      <c r="AD20" s="272">
        <v>4464022</v>
      </c>
      <c r="AE20" s="272">
        <v>244082</v>
      </c>
      <c r="AF20" s="272">
        <v>23079</v>
      </c>
      <c r="AG20" s="272">
        <v>249609</v>
      </c>
      <c r="AH20" s="455">
        <f t="shared" si="3"/>
        <v>1090166</v>
      </c>
      <c r="AI20" s="272">
        <v>767956</v>
      </c>
      <c r="AJ20" s="272">
        <v>322210</v>
      </c>
      <c r="AK20" s="272">
        <v>3755053</v>
      </c>
      <c r="AL20" s="455">
        <f t="shared" si="4"/>
        <v>1728014</v>
      </c>
      <c r="AM20" s="272">
        <v>1380938</v>
      </c>
      <c r="AN20" s="272">
        <v>335228</v>
      </c>
      <c r="AO20" s="272">
        <v>0</v>
      </c>
      <c r="AP20" s="272">
        <v>11848</v>
      </c>
      <c r="AQ20" s="272">
        <v>419984</v>
      </c>
      <c r="AR20" s="272">
        <v>0</v>
      </c>
      <c r="AS20" s="272">
        <v>0</v>
      </c>
      <c r="AT20" s="272">
        <v>1422846</v>
      </c>
      <c r="AU20" s="272">
        <v>875264</v>
      </c>
      <c r="AV20" s="272">
        <v>155201</v>
      </c>
      <c r="AW20" s="272">
        <v>55950</v>
      </c>
      <c r="AX20" s="272">
        <v>547582</v>
      </c>
      <c r="AY20" s="272">
        <v>6230</v>
      </c>
      <c r="AZ20" s="272">
        <v>285897</v>
      </c>
      <c r="BA20" s="272">
        <v>272254</v>
      </c>
      <c r="BB20" s="272">
        <v>9516</v>
      </c>
      <c r="BC20" s="272">
        <v>1902579</v>
      </c>
      <c r="BD20" s="272">
        <v>1730900</v>
      </c>
      <c r="BE20" s="272">
        <v>86000</v>
      </c>
      <c r="BF20" s="272">
        <v>76108</v>
      </c>
      <c r="BG20" s="272">
        <v>0</v>
      </c>
      <c r="BH20" s="272">
        <v>696625</v>
      </c>
      <c r="BI20" s="272">
        <v>428333</v>
      </c>
      <c r="BJ20" s="272">
        <v>976359</v>
      </c>
      <c r="BK20" s="272">
        <v>812758</v>
      </c>
      <c r="BL20" s="272">
        <v>0</v>
      </c>
      <c r="BM20" s="272">
        <v>0</v>
      </c>
      <c r="BN20" s="272">
        <v>4015500</v>
      </c>
      <c r="BO20" s="455">
        <f t="shared" si="5"/>
        <v>2117400</v>
      </c>
      <c r="BP20" s="455">
        <f t="shared" si="6"/>
        <v>1898100</v>
      </c>
      <c r="BQ20" s="272">
        <v>250600</v>
      </c>
      <c r="BR20" s="272"/>
      <c r="BS20" s="272">
        <v>1647500</v>
      </c>
      <c r="BT20" s="272">
        <v>0</v>
      </c>
      <c r="BU20" s="272">
        <v>35458962</v>
      </c>
      <c r="BV20" s="272"/>
      <c r="BW20" s="272">
        <v>6805145</v>
      </c>
      <c r="BX20" s="272">
        <v>4394407</v>
      </c>
      <c r="BY20" s="272">
        <v>421023</v>
      </c>
      <c r="BZ20" s="272">
        <v>787091</v>
      </c>
      <c r="CA20" s="272">
        <v>5581608</v>
      </c>
      <c r="CB20" s="272">
        <v>1413921</v>
      </c>
      <c r="CC20" s="272">
        <v>344201</v>
      </c>
      <c r="CD20" s="272">
        <v>1894145</v>
      </c>
      <c r="CE20" s="272">
        <v>1873439</v>
      </c>
      <c r="CF20" s="272">
        <v>0</v>
      </c>
      <c r="CG20" s="272">
        <v>55902</v>
      </c>
      <c r="CH20" s="272">
        <v>4192776</v>
      </c>
      <c r="CI20" s="272">
        <v>3439315</v>
      </c>
      <c r="CJ20" s="455">
        <f t="shared" si="7"/>
        <v>753461</v>
      </c>
      <c r="CK20" s="272">
        <v>5146622</v>
      </c>
      <c r="CL20" s="272">
        <v>3565254</v>
      </c>
      <c r="CM20" s="272">
        <v>135201</v>
      </c>
      <c r="CN20" s="272">
        <v>711499</v>
      </c>
      <c r="CO20" s="272">
        <v>401168</v>
      </c>
      <c r="CP20" s="272">
        <v>2839051</v>
      </c>
      <c r="CQ20" s="272">
        <v>769181</v>
      </c>
      <c r="CR20" s="272">
        <v>1295296</v>
      </c>
      <c r="CS20" s="272">
        <v>915125</v>
      </c>
      <c r="CT20" s="455">
        <f t="shared" si="8"/>
        <v>293766</v>
      </c>
      <c r="CU20" s="272">
        <v>1697</v>
      </c>
      <c r="CV20" s="272">
        <v>292069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4059929</v>
      </c>
      <c r="DD20" s="272">
        <v>741013</v>
      </c>
      <c r="DE20" s="272">
        <v>3191233</v>
      </c>
      <c r="DF20" s="272">
        <v>119703</v>
      </c>
      <c r="DG20" s="272">
        <v>7980</v>
      </c>
      <c r="DH20" s="272">
        <v>5142</v>
      </c>
      <c r="DI20" s="272">
        <v>352881</v>
      </c>
      <c r="DJ20" s="272">
        <v>205000</v>
      </c>
      <c r="DK20" s="272">
        <v>145428</v>
      </c>
      <c r="DL20" s="272">
        <v>2453</v>
      </c>
      <c r="DM20" s="272">
        <v>324000</v>
      </c>
      <c r="DN20" s="272">
        <v>0</v>
      </c>
      <c r="DO20" s="272">
        <v>0</v>
      </c>
      <c r="DP20" s="272">
        <v>0</v>
      </c>
      <c r="DQ20" s="272">
        <v>802501</v>
      </c>
      <c r="DR20" s="272">
        <v>0</v>
      </c>
      <c r="DS20" s="272">
        <v>0</v>
      </c>
      <c r="DT20" s="272">
        <v>4470245</v>
      </c>
      <c r="DU20" s="272">
        <v>1644618</v>
      </c>
      <c r="DV20" s="455">
        <f t="shared" si="11"/>
        <v>548988</v>
      </c>
      <c r="DW20" s="272">
        <v>548988</v>
      </c>
      <c r="DX20" s="272">
        <v>0</v>
      </c>
      <c r="DY20" s="272">
        <v>0</v>
      </c>
      <c r="DZ20" s="272">
        <v>812954</v>
      </c>
      <c r="EA20" s="272">
        <v>635135</v>
      </c>
      <c r="EB20" s="272">
        <v>828550</v>
      </c>
      <c r="EC20" s="272">
        <v>0</v>
      </c>
      <c r="ED20" s="272">
        <v>34981068</v>
      </c>
      <c r="EF20" s="272">
        <v>477894</v>
      </c>
      <c r="EG20" s="272">
        <v>330518</v>
      </c>
      <c r="EH20" s="272">
        <v>147376</v>
      </c>
      <c r="EI20" s="272">
        <v>-280957</v>
      </c>
      <c r="EJ20" s="272">
        <v>-1653656</v>
      </c>
      <c r="EL20" s="272"/>
      <c r="EM20" s="272">
        <v>120010</v>
      </c>
      <c r="EN20" s="272">
        <v>1816900</v>
      </c>
      <c r="EO20" s="272">
        <v>19128</v>
      </c>
      <c r="EP20" s="455">
        <f t="shared" si="12"/>
        <v>900285</v>
      </c>
      <c r="EQ20" s="272">
        <v>21054812</v>
      </c>
      <c r="ER20" s="272">
        <v>-4611334</v>
      </c>
      <c r="ES20" s="272">
        <v>6436258</v>
      </c>
      <c r="ET20" s="272">
        <v>4104098</v>
      </c>
      <c r="EU20" s="272">
        <v>1910952</v>
      </c>
      <c r="EV20" s="272">
        <v>4192776</v>
      </c>
      <c r="EW20" s="455">
        <f t="shared" si="13"/>
        <v>1380268</v>
      </c>
      <c r="EX20" s="272">
        <v>1375410</v>
      </c>
      <c r="EY20" s="272">
        <v>86739</v>
      </c>
      <c r="EZ20" s="272">
        <v>1252908</v>
      </c>
      <c r="FA20" s="272">
        <v>4858</v>
      </c>
      <c r="FB20" s="272"/>
      <c r="FC20" s="272">
        <v>3975290</v>
      </c>
      <c r="FD20" s="272">
        <v>2343112</v>
      </c>
      <c r="FE20" s="272">
        <v>769181</v>
      </c>
      <c r="FF20" s="272">
        <v>4148695</v>
      </c>
      <c r="FG20" s="455">
        <f t="shared" si="14"/>
        <v>1035201</v>
      </c>
      <c r="FH20" s="272">
        <v>25422552</v>
      </c>
      <c r="FI20" s="384">
        <f t="shared" si="15"/>
        <v>0.7</v>
      </c>
      <c r="FJ20" s="272">
        <v>19735839</v>
      </c>
      <c r="FK20" s="272">
        <v>1647527</v>
      </c>
      <c r="FL20" s="272">
        <v>11544119</v>
      </c>
      <c r="FM20" s="272">
        <v>16004039</v>
      </c>
      <c r="FN20" s="460">
        <v>0.73</v>
      </c>
      <c r="FO20" s="388">
        <v>96.4</v>
      </c>
      <c r="FP20" s="388">
        <v>28.8</v>
      </c>
      <c r="FQ20" s="388">
        <v>8.8000000000000007</v>
      </c>
      <c r="FR20" s="388">
        <v>18</v>
      </c>
      <c r="FS20" s="388">
        <v>18.2</v>
      </c>
      <c r="FT20" s="388">
        <v>10.1</v>
      </c>
      <c r="FU20" s="388">
        <v>10.9</v>
      </c>
      <c r="FV20" s="388">
        <v>9.6999999999999993</v>
      </c>
      <c r="FW20" s="272">
        <v>39580383</v>
      </c>
      <c r="FX20" s="384">
        <f t="shared" si="16"/>
        <v>200.6</v>
      </c>
      <c r="FY20" s="272">
        <v>12697179</v>
      </c>
      <c r="FZ20" s="272">
        <v>6454277</v>
      </c>
      <c r="GA20" s="272">
        <v>2845421</v>
      </c>
      <c r="GB20" s="272">
        <v>3397481</v>
      </c>
      <c r="GC20" s="272"/>
      <c r="GD20" s="272">
        <v>6873435</v>
      </c>
      <c r="GE20" s="384">
        <f t="shared" si="17"/>
        <v>34.799999999999997</v>
      </c>
      <c r="GF20" s="388">
        <v>98.2</v>
      </c>
      <c r="GG20" s="388">
        <v>21.3</v>
      </c>
      <c r="GH20" s="388">
        <v>92.1</v>
      </c>
      <c r="GI20" s="272">
        <v>608</v>
      </c>
    </row>
    <row r="21" spans="2:191" x14ac:dyDescent="0.15">
      <c r="B21" s="89" t="s">
        <v>35</v>
      </c>
      <c r="C21" s="272">
        <v>13448269</v>
      </c>
      <c r="D21" s="455">
        <f t="shared" si="0"/>
        <v>4494440</v>
      </c>
      <c r="E21" s="272">
        <v>127482</v>
      </c>
      <c r="F21" s="272">
        <v>4366958</v>
      </c>
      <c r="G21" s="455">
        <f t="shared" si="1"/>
        <v>844615</v>
      </c>
      <c r="H21" s="272">
        <v>237338</v>
      </c>
      <c r="I21" s="272">
        <v>607277</v>
      </c>
      <c r="J21" s="272">
        <v>5866012</v>
      </c>
      <c r="K21" s="272">
        <v>3000262</v>
      </c>
      <c r="L21" s="272">
        <v>2240904</v>
      </c>
      <c r="M21" s="272">
        <v>580277</v>
      </c>
      <c r="N21" s="272">
        <v>817661</v>
      </c>
      <c r="O21" s="272">
        <v>1318275</v>
      </c>
      <c r="P21" s="272">
        <v>825410</v>
      </c>
      <c r="Q21" s="272">
        <v>492865</v>
      </c>
      <c r="R21" s="272">
        <v>488768</v>
      </c>
      <c r="S21" s="272">
        <v>221878</v>
      </c>
      <c r="T21" s="455">
        <f t="shared" si="2"/>
        <v>1681799</v>
      </c>
      <c r="U21" s="272">
        <v>141056</v>
      </c>
      <c r="V21" s="272">
        <v>36318</v>
      </c>
      <c r="W21" s="272">
        <v>30335</v>
      </c>
      <c r="X21" s="272">
        <v>1226021</v>
      </c>
      <c r="Y21" s="272">
        <v>0</v>
      </c>
      <c r="Z21" s="272">
        <v>0</v>
      </c>
      <c r="AA21" s="272">
        <v>248069</v>
      </c>
      <c r="AB21" s="272">
        <v>467190</v>
      </c>
      <c r="AC21" s="272">
        <v>7923646</v>
      </c>
      <c r="AD21" s="272">
        <v>7490399</v>
      </c>
      <c r="AE21" s="272">
        <v>433247</v>
      </c>
      <c r="AF21" s="272">
        <v>24999</v>
      </c>
      <c r="AG21" s="272">
        <v>128320</v>
      </c>
      <c r="AH21" s="455">
        <f t="shared" si="3"/>
        <v>589987</v>
      </c>
      <c r="AI21" s="272">
        <v>538542</v>
      </c>
      <c r="AJ21" s="272">
        <v>51445</v>
      </c>
      <c r="AK21" s="272">
        <v>5865335</v>
      </c>
      <c r="AL21" s="455">
        <f t="shared" si="4"/>
        <v>3515256</v>
      </c>
      <c r="AM21" s="272">
        <v>3274577</v>
      </c>
      <c r="AN21" s="272">
        <v>234151</v>
      </c>
      <c r="AO21" s="272">
        <v>0</v>
      </c>
      <c r="AP21" s="272">
        <v>6528</v>
      </c>
      <c r="AQ21" s="272">
        <v>419503</v>
      </c>
      <c r="AR21" s="272">
        <v>0</v>
      </c>
      <c r="AS21" s="272">
        <v>0</v>
      </c>
      <c r="AT21" s="272">
        <v>1618159</v>
      </c>
      <c r="AU21" s="272">
        <v>941135</v>
      </c>
      <c r="AV21" s="272">
        <v>117123</v>
      </c>
      <c r="AW21" s="272">
        <v>0</v>
      </c>
      <c r="AX21" s="272">
        <v>677024</v>
      </c>
      <c r="AY21" s="272">
        <v>48767</v>
      </c>
      <c r="AZ21" s="272">
        <v>175551</v>
      </c>
      <c r="BA21" s="272">
        <v>53488</v>
      </c>
      <c r="BB21" s="272">
        <v>167564</v>
      </c>
      <c r="BC21" s="272">
        <v>1265600</v>
      </c>
      <c r="BD21" s="272">
        <v>900000</v>
      </c>
      <c r="BE21" s="272">
        <v>0</v>
      </c>
      <c r="BF21" s="272">
        <v>365600</v>
      </c>
      <c r="BG21" s="272">
        <v>0</v>
      </c>
      <c r="BH21" s="272">
        <v>69647</v>
      </c>
      <c r="BI21" s="272">
        <v>47723</v>
      </c>
      <c r="BJ21" s="272">
        <v>244896</v>
      </c>
      <c r="BK21" s="272">
        <v>60227</v>
      </c>
      <c r="BL21" s="272">
        <v>0</v>
      </c>
      <c r="BM21" s="272">
        <v>0</v>
      </c>
      <c r="BN21" s="272">
        <v>3412000</v>
      </c>
      <c r="BO21" s="455">
        <f t="shared" si="5"/>
        <v>1435500</v>
      </c>
      <c r="BP21" s="455">
        <f t="shared" si="6"/>
        <v>1976500</v>
      </c>
      <c r="BQ21" s="272">
        <v>171700</v>
      </c>
      <c r="BR21" s="272"/>
      <c r="BS21" s="272">
        <v>1804800</v>
      </c>
      <c r="BT21" s="272">
        <v>0</v>
      </c>
      <c r="BU21" s="272">
        <v>37571730</v>
      </c>
      <c r="BV21" s="272"/>
      <c r="BW21" s="272">
        <v>9530831</v>
      </c>
      <c r="BX21" s="272">
        <v>6566506</v>
      </c>
      <c r="BY21" s="272">
        <v>1107428</v>
      </c>
      <c r="BZ21" s="272">
        <v>287270</v>
      </c>
      <c r="CA21" s="272">
        <v>8312265</v>
      </c>
      <c r="CB21" s="272">
        <v>1046374</v>
      </c>
      <c r="CC21" s="272">
        <v>307443</v>
      </c>
      <c r="CD21" s="272">
        <v>2529692</v>
      </c>
      <c r="CE21" s="272">
        <v>4247154</v>
      </c>
      <c r="CF21" s="272">
        <v>0</v>
      </c>
      <c r="CG21" s="272">
        <v>180197</v>
      </c>
      <c r="CH21" s="272">
        <v>3360368</v>
      </c>
      <c r="CI21" s="272">
        <v>2642973</v>
      </c>
      <c r="CJ21" s="455">
        <f t="shared" si="7"/>
        <v>717395</v>
      </c>
      <c r="CK21" s="272">
        <v>5087642</v>
      </c>
      <c r="CL21" s="272">
        <v>3346688</v>
      </c>
      <c r="CM21" s="272">
        <v>219568</v>
      </c>
      <c r="CN21" s="272">
        <v>814390</v>
      </c>
      <c r="CO21" s="272">
        <v>240979</v>
      </c>
      <c r="CP21" s="272">
        <v>2240613</v>
      </c>
      <c r="CQ21" s="272">
        <v>149</v>
      </c>
      <c r="CR21" s="272">
        <v>1064991</v>
      </c>
      <c r="CS21" s="272">
        <v>732324</v>
      </c>
      <c r="CT21" s="455">
        <f t="shared" si="8"/>
        <v>640996</v>
      </c>
      <c r="CU21" s="272">
        <v>12000</v>
      </c>
      <c r="CV21" s="272">
        <v>628996</v>
      </c>
      <c r="CW21" s="455">
        <f t="shared" si="9"/>
        <v>622946</v>
      </c>
      <c r="CX21" s="272">
        <v>0</v>
      </c>
      <c r="CY21" s="272">
        <v>622946</v>
      </c>
      <c r="CZ21" s="455">
        <f t="shared" si="10"/>
        <v>0</v>
      </c>
      <c r="DA21" s="272">
        <v>0</v>
      </c>
      <c r="DB21" s="272">
        <v>0</v>
      </c>
      <c r="DC21" s="272">
        <v>2386801</v>
      </c>
      <c r="DD21" s="272">
        <v>930812</v>
      </c>
      <c r="DE21" s="272">
        <v>1455807</v>
      </c>
      <c r="DF21" s="272">
        <v>182</v>
      </c>
      <c r="DG21" s="272">
        <v>0</v>
      </c>
      <c r="DH21" s="272">
        <v>0</v>
      </c>
      <c r="DI21" s="272">
        <v>364191</v>
      </c>
      <c r="DJ21" s="272">
        <v>97259</v>
      </c>
      <c r="DK21" s="272">
        <v>10</v>
      </c>
      <c r="DL21" s="272">
        <v>266922</v>
      </c>
      <c r="DM21" s="272">
        <v>0</v>
      </c>
      <c r="DN21" s="272">
        <v>0</v>
      </c>
      <c r="DO21" s="272">
        <v>0</v>
      </c>
      <c r="DP21" s="272">
        <v>0</v>
      </c>
      <c r="DQ21" s="272">
        <v>60000</v>
      </c>
      <c r="DR21" s="272">
        <v>0</v>
      </c>
      <c r="DS21" s="272">
        <v>0</v>
      </c>
      <c r="DT21" s="272">
        <v>5883492</v>
      </c>
      <c r="DU21" s="272">
        <v>3056000</v>
      </c>
      <c r="DV21" s="455">
        <f t="shared" si="11"/>
        <v>0</v>
      </c>
      <c r="DW21" s="272">
        <v>0</v>
      </c>
      <c r="DX21" s="272">
        <v>0</v>
      </c>
      <c r="DY21" s="272">
        <v>0</v>
      </c>
      <c r="DZ21" s="272">
        <v>1256976</v>
      </c>
      <c r="EA21" s="272">
        <v>606055</v>
      </c>
      <c r="EB21" s="272">
        <v>946236</v>
      </c>
      <c r="EC21" s="272">
        <v>0</v>
      </c>
      <c r="ED21" s="272">
        <v>37467182</v>
      </c>
      <c r="EF21" s="272">
        <v>104548</v>
      </c>
      <c r="EG21" s="272">
        <v>26911</v>
      </c>
      <c r="EH21" s="272">
        <v>77637</v>
      </c>
      <c r="EI21" s="272">
        <v>29914</v>
      </c>
      <c r="EJ21" s="272">
        <v>-772827</v>
      </c>
      <c r="EL21" s="272"/>
      <c r="EM21" s="272">
        <v>128413</v>
      </c>
      <c r="EN21" s="272">
        <v>1076300</v>
      </c>
      <c r="EO21" s="272">
        <v>172290</v>
      </c>
      <c r="EP21" s="455">
        <f t="shared" si="12"/>
        <v>431245</v>
      </c>
      <c r="EQ21" s="272">
        <v>24034671</v>
      </c>
      <c r="ER21" s="272">
        <v>-3631336</v>
      </c>
      <c r="ES21" s="272">
        <v>9194227</v>
      </c>
      <c r="ET21" s="272">
        <v>6290433</v>
      </c>
      <c r="EU21" s="272">
        <v>2297145</v>
      </c>
      <c r="EV21" s="272">
        <v>3340685</v>
      </c>
      <c r="EW21" s="455">
        <f t="shared" si="13"/>
        <v>274087</v>
      </c>
      <c r="EX21" s="272">
        <v>274087</v>
      </c>
      <c r="EY21" s="272">
        <v>1746</v>
      </c>
      <c r="EZ21" s="272">
        <v>272159</v>
      </c>
      <c r="FA21" s="272">
        <v>0</v>
      </c>
      <c r="FB21" s="272"/>
      <c r="FC21" s="272">
        <v>4501761</v>
      </c>
      <c r="FD21" s="272">
        <v>2044617</v>
      </c>
      <c r="FE21" s="272">
        <v>149</v>
      </c>
      <c r="FF21" s="272">
        <v>5318512</v>
      </c>
      <c r="FG21" s="455">
        <f t="shared" si="14"/>
        <v>590425</v>
      </c>
      <c r="FH21" s="272">
        <v>27561459</v>
      </c>
      <c r="FI21" s="384">
        <f t="shared" si="15"/>
        <v>0.3</v>
      </c>
      <c r="FJ21" s="272">
        <v>22216012</v>
      </c>
      <c r="FK21" s="272">
        <v>1804839</v>
      </c>
      <c r="FL21" s="272">
        <v>11115334</v>
      </c>
      <c r="FM21" s="272">
        <v>18605733</v>
      </c>
      <c r="FN21" s="460">
        <v>0.58899999999999997</v>
      </c>
      <c r="FO21" s="388">
        <v>101.4</v>
      </c>
      <c r="FP21" s="388">
        <v>35.200000000000003</v>
      </c>
      <c r="FQ21" s="388">
        <v>9.4</v>
      </c>
      <c r="FR21" s="388">
        <v>13.7</v>
      </c>
      <c r="FS21" s="388">
        <v>18</v>
      </c>
      <c r="FT21" s="388">
        <v>7.8</v>
      </c>
      <c r="FU21" s="388">
        <v>16.399999999999999</v>
      </c>
      <c r="FV21" s="388">
        <v>9.6999999999999993</v>
      </c>
      <c r="FW21" s="272">
        <v>32287490</v>
      </c>
      <c r="FX21" s="384">
        <f t="shared" si="16"/>
        <v>145.30000000000001</v>
      </c>
      <c r="FY21" s="272">
        <v>1976572</v>
      </c>
      <c r="FZ21" s="272">
        <v>631760</v>
      </c>
      <c r="GA21" s="272">
        <v>51048</v>
      </c>
      <c r="GB21" s="272">
        <v>1293764</v>
      </c>
      <c r="GC21" s="272"/>
      <c r="GD21" s="272">
        <v>2990659</v>
      </c>
      <c r="GE21" s="384">
        <f t="shared" si="17"/>
        <v>13.5</v>
      </c>
      <c r="GF21" s="388">
        <v>97.6</v>
      </c>
      <c r="GG21" s="388">
        <v>26.1</v>
      </c>
      <c r="GH21" s="388">
        <v>91.3</v>
      </c>
      <c r="GI21" s="272">
        <v>883</v>
      </c>
    </row>
    <row r="22" spans="2:191" x14ac:dyDescent="0.15">
      <c r="B22" s="89" t="s">
        <v>37</v>
      </c>
      <c r="C22" s="272">
        <v>16868619</v>
      </c>
      <c r="D22" s="455">
        <f t="shared" si="0"/>
        <v>4352490</v>
      </c>
      <c r="E22" s="272">
        <v>136233</v>
      </c>
      <c r="F22" s="272">
        <v>4216257</v>
      </c>
      <c r="G22" s="455">
        <f t="shared" si="1"/>
        <v>1491100</v>
      </c>
      <c r="H22" s="272">
        <v>357715</v>
      </c>
      <c r="I22" s="272">
        <v>1133385</v>
      </c>
      <c r="J22" s="272">
        <v>8362607</v>
      </c>
      <c r="K22" s="272">
        <v>3969340</v>
      </c>
      <c r="L22" s="272">
        <v>3118767</v>
      </c>
      <c r="M22" s="272">
        <v>1118395</v>
      </c>
      <c r="N22" s="272">
        <v>846607</v>
      </c>
      <c r="O22" s="272">
        <v>1720802</v>
      </c>
      <c r="P22" s="272">
        <v>1029728</v>
      </c>
      <c r="Q22" s="272">
        <v>691074</v>
      </c>
      <c r="R22" s="272">
        <v>478904</v>
      </c>
      <c r="S22" s="272">
        <v>215777</v>
      </c>
      <c r="T22" s="455">
        <f t="shared" si="2"/>
        <v>1855459</v>
      </c>
      <c r="U22" s="272">
        <v>140508</v>
      </c>
      <c r="V22" s="272">
        <v>36290</v>
      </c>
      <c r="W22" s="272">
        <v>30090</v>
      </c>
      <c r="X22" s="272">
        <v>1370968</v>
      </c>
      <c r="Y22" s="272">
        <v>33026</v>
      </c>
      <c r="Z22" s="272">
        <v>0</v>
      </c>
      <c r="AA22" s="272">
        <v>244577</v>
      </c>
      <c r="AB22" s="272">
        <v>616175</v>
      </c>
      <c r="AC22" s="272">
        <v>2272516</v>
      </c>
      <c r="AD22" s="272">
        <v>1928267</v>
      </c>
      <c r="AE22" s="272">
        <v>344249</v>
      </c>
      <c r="AF22" s="272">
        <v>25063</v>
      </c>
      <c r="AG22" s="272">
        <v>318215</v>
      </c>
      <c r="AH22" s="455">
        <f t="shared" si="3"/>
        <v>921797</v>
      </c>
      <c r="AI22" s="272">
        <v>600885</v>
      </c>
      <c r="AJ22" s="272">
        <v>320912</v>
      </c>
      <c r="AK22" s="272">
        <v>4507067</v>
      </c>
      <c r="AL22" s="455">
        <f t="shared" si="4"/>
        <v>1892321</v>
      </c>
      <c r="AM22" s="272">
        <v>1431231</v>
      </c>
      <c r="AN22" s="272">
        <v>431428</v>
      </c>
      <c r="AO22" s="272">
        <v>0</v>
      </c>
      <c r="AP22" s="272">
        <v>29662</v>
      </c>
      <c r="AQ22" s="272">
        <v>642550</v>
      </c>
      <c r="AR22" s="272">
        <v>0</v>
      </c>
      <c r="AS22" s="272">
        <v>0</v>
      </c>
      <c r="AT22" s="272">
        <v>1837043</v>
      </c>
      <c r="AU22" s="272">
        <v>1040698</v>
      </c>
      <c r="AV22" s="272">
        <v>215776</v>
      </c>
      <c r="AW22" s="272">
        <v>42420</v>
      </c>
      <c r="AX22" s="272">
        <v>796345</v>
      </c>
      <c r="AY22" s="272">
        <v>26508</v>
      </c>
      <c r="AZ22" s="272">
        <v>24319</v>
      </c>
      <c r="BA22" s="272">
        <v>0</v>
      </c>
      <c r="BB22" s="272">
        <v>8803</v>
      </c>
      <c r="BC22" s="272">
        <v>1868127</v>
      </c>
      <c r="BD22" s="272">
        <v>770000</v>
      </c>
      <c r="BE22" s="272">
        <v>0</v>
      </c>
      <c r="BF22" s="272">
        <v>1058756</v>
      </c>
      <c r="BG22" s="272">
        <v>9113</v>
      </c>
      <c r="BH22" s="272">
        <v>365963</v>
      </c>
      <c r="BI22" s="272">
        <v>279070</v>
      </c>
      <c r="BJ22" s="272">
        <v>3405518</v>
      </c>
      <c r="BK22" s="272">
        <v>3040259</v>
      </c>
      <c r="BL22" s="272">
        <v>0</v>
      </c>
      <c r="BM22" s="272">
        <v>0</v>
      </c>
      <c r="BN22" s="272">
        <v>3742900</v>
      </c>
      <c r="BO22" s="455">
        <f t="shared" si="5"/>
        <v>1701400</v>
      </c>
      <c r="BP22" s="455">
        <f t="shared" si="6"/>
        <v>2041500</v>
      </c>
      <c r="BQ22" s="272">
        <v>304500</v>
      </c>
      <c r="BR22" s="272"/>
      <c r="BS22" s="272">
        <v>1737000</v>
      </c>
      <c r="BT22" s="272">
        <v>0</v>
      </c>
      <c r="BU22" s="272">
        <v>39116488</v>
      </c>
      <c r="BV22" s="272"/>
      <c r="BW22" s="272">
        <v>10505152</v>
      </c>
      <c r="BX22" s="272">
        <v>7088338</v>
      </c>
      <c r="BY22" s="272">
        <v>1614969</v>
      </c>
      <c r="BZ22" s="272">
        <v>214347</v>
      </c>
      <c r="CA22" s="272">
        <v>6516392</v>
      </c>
      <c r="CB22" s="272">
        <v>1049182</v>
      </c>
      <c r="CC22" s="272">
        <v>348972</v>
      </c>
      <c r="CD22" s="272">
        <v>3103365</v>
      </c>
      <c r="CE22" s="272">
        <v>1818388</v>
      </c>
      <c r="CF22" s="272">
        <v>169</v>
      </c>
      <c r="CG22" s="272">
        <v>196106</v>
      </c>
      <c r="CH22" s="272">
        <v>3382499</v>
      </c>
      <c r="CI22" s="272">
        <v>2710092</v>
      </c>
      <c r="CJ22" s="455">
        <f t="shared" si="7"/>
        <v>672407</v>
      </c>
      <c r="CK22" s="272">
        <v>4513434</v>
      </c>
      <c r="CL22" s="272">
        <v>2946090</v>
      </c>
      <c r="CM22" s="272">
        <v>172396</v>
      </c>
      <c r="CN22" s="272">
        <v>793923</v>
      </c>
      <c r="CO22" s="272">
        <v>196449</v>
      </c>
      <c r="CP22" s="272">
        <v>2592409</v>
      </c>
      <c r="CQ22" s="272">
        <v>1376694</v>
      </c>
      <c r="CR22" s="272">
        <v>597428</v>
      </c>
      <c r="CS22" s="272">
        <v>190547</v>
      </c>
      <c r="CT22" s="455">
        <f t="shared" si="8"/>
        <v>20602</v>
      </c>
      <c r="CU22" s="272">
        <v>20602</v>
      </c>
      <c r="CV22" s="272">
        <v>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2876280</v>
      </c>
      <c r="DD22" s="272">
        <v>1059351</v>
      </c>
      <c r="DE22" s="272">
        <v>1816929</v>
      </c>
      <c r="DF22" s="272">
        <v>0</v>
      </c>
      <c r="DG22" s="272">
        <v>0</v>
      </c>
      <c r="DH22" s="272">
        <v>0</v>
      </c>
      <c r="DI22" s="272">
        <v>264870</v>
      </c>
      <c r="DJ22" s="272">
        <v>142501</v>
      </c>
      <c r="DK22" s="272">
        <v>3921</v>
      </c>
      <c r="DL22" s="272">
        <v>118448</v>
      </c>
      <c r="DM22" s="272">
        <v>0</v>
      </c>
      <c r="DN22" s="272">
        <v>0</v>
      </c>
      <c r="DO22" s="272">
        <v>0</v>
      </c>
      <c r="DP22" s="272">
        <v>0</v>
      </c>
      <c r="DQ22" s="272">
        <v>3020000</v>
      </c>
      <c r="DR22" s="272">
        <v>0</v>
      </c>
      <c r="DS22" s="272">
        <v>0</v>
      </c>
      <c r="DT22" s="272">
        <v>4851539</v>
      </c>
      <c r="DU22" s="272">
        <v>2448380</v>
      </c>
      <c r="DV22" s="455">
        <f t="shared" si="11"/>
        <v>0</v>
      </c>
      <c r="DW22" s="272">
        <v>0</v>
      </c>
      <c r="DX22" s="272">
        <v>0</v>
      </c>
      <c r="DY22" s="272">
        <v>0</v>
      </c>
      <c r="DZ22" s="272">
        <v>1146238</v>
      </c>
      <c r="EA22" s="272">
        <v>488003</v>
      </c>
      <c r="EB22" s="272">
        <v>711895</v>
      </c>
      <c r="EC22" s="272">
        <v>0</v>
      </c>
      <c r="ED22" s="272">
        <v>38719024</v>
      </c>
      <c r="EF22" s="272">
        <v>397464</v>
      </c>
      <c r="EG22" s="272">
        <v>120525</v>
      </c>
      <c r="EH22" s="272">
        <v>276939</v>
      </c>
      <c r="EI22" s="272">
        <v>-2131</v>
      </c>
      <c r="EJ22" s="272">
        <v>-629630</v>
      </c>
      <c r="EL22" s="272"/>
      <c r="EM22" s="272">
        <v>126121</v>
      </c>
      <c r="EN22" s="272">
        <v>770000</v>
      </c>
      <c r="EO22" s="272">
        <v>75</v>
      </c>
      <c r="EP22" s="455">
        <f t="shared" si="12"/>
        <v>1032740</v>
      </c>
      <c r="EQ22" s="272">
        <v>22116736</v>
      </c>
      <c r="ER22" s="272">
        <v>-3819252</v>
      </c>
      <c r="ES22" s="272">
        <v>8931690</v>
      </c>
      <c r="ET22" s="272">
        <v>6426773</v>
      </c>
      <c r="EU22" s="272">
        <v>2089293</v>
      </c>
      <c r="EV22" s="272">
        <v>3294684</v>
      </c>
      <c r="EW22" s="455">
        <f t="shared" si="13"/>
        <v>707031</v>
      </c>
      <c r="EX22" s="272">
        <v>707031</v>
      </c>
      <c r="EY22" s="272">
        <v>80699</v>
      </c>
      <c r="EZ22" s="272">
        <v>626332</v>
      </c>
      <c r="FA22" s="272">
        <v>0</v>
      </c>
      <c r="FB22" s="272"/>
      <c r="FC22" s="272">
        <v>3400035</v>
      </c>
      <c r="FD22" s="272">
        <v>2387547</v>
      </c>
      <c r="FE22" s="272">
        <v>1376694</v>
      </c>
      <c r="FF22" s="272">
        <v>4340562</v>
      </c>
      <c r="FG22" s="455">
        <f t="shared" si="14"/>
        <v>387682</v>
      </c>
      <c r="FH22" s="272">
        <v>25538524</v>
      </c>
      <c r="FI22" s="384">
        <f t="shared" si="15"/>
        <v>1.3</v>
      </c>
      <c r="FJ22" s="272">
        <v>21035477</v>
      </c>
      <c r="FK22" s="272">
        <v>1737083</v>
      </c>
      <c r="FL22" s="272">
        <v>14401563</v>
      </c>
      <c r="FM22" s="272">
        <v>16329830</v>
      </c>
      <c r="FN22" s="460">
        <v>0.85099999999999998</v>
      </c>
      <c r="FO22" s="388">
        <v>105.1</v>
      </c>
      <c r="FP22" s="388">
        <v>39.299999999999997</v>
      </c>
      <c r="FQ22" s="388">
        <v>9.4</v>
      </c>
      <c r="FR22" s="388">
        <v>14.9</v>
      </c>
      <c r="FS22" s="388">
        <v>14.5</v>
      </c>
      <c r="FT22" s="388">
        <v>8.6</v>
      </c>
      <c r="FU22" s="388">
        <v>17.8</v>
      </c>
      <c r="FV22" s="388">
        <v>9.5</v>
      </c>
      <c r="FW22" s="272">
        <v>32349120</v>
      </c>
      <c r="FX22" s="384">
        <f t="shared" si="16"/>
        <v>153.80000000000001</v>
      </c>
      <c r="FY22" s="272">
        <v>9035430</v>
      </c>
      <c r="FZ22" s="272">
        <v>3681004</v>
      </c>
      <c r="GA22" s="272">
        <v>646777</v>
      </c>
      <c r="GB22" s="272">
        <v>4707649</v>
      </c>
      <c r="GC22" s="272"/>
      <c r="GD22" s="272">
        <v>7757265</v>
      </c>
      <c r="GE22" s="384">
        <f t="shared" si="17"/>
        <v>36.9</v>
      </c>
      <c r="GF22" s="388">
        <v>98.2</v>
      </c>
      <c r="GG22" s="388">
        <v>19</v>
      </c>
      <c r="GH22" s="388">
        <v>92.9</v>
      </c>
      <c r="GI22" s="272">
        <v>947</v>
      </c>
    </row>
    <row r="23" spans="2:191" x14ac:dyDescent="0.15">
      <c r="B23" s="89" t="s">
        <v>39</v>
      </c>
      <c r="C23" s="272">
        <v>19790446</v>
      </c>
      <c r="D23" s="455">
        <f t="shared" si="0"/>
        <v>6890147</v>
      </c>
      <c r="E23" s="272">
        <v>176641</v>
      </c>
      <c r="F23" s="272">
        <v>6713506</v>
      </c>
      <c r="G23" s="455">
        <f t="shared" si="1"/>
        <v>993276</v>
      </c>
      <c r="H23" s="272">
        <v>309116</v>
      </c>
      <c r="I23" s="272">
        <v>684160</v>
      </c>
      <c r="J23" s="272">
        <v>8849180</v>
      </c>
      <c r="K23" s="272">
        <v>4249287</v>
      </c>
      <c r="L23" s="272">
        <v>3771416</v>
      </c>
      <c r="M23" s="272">
        <v>747749</v>
      </c>
      <c r="N23" s="272">
        <v>928602</v>
      </c>
      <c r="O23" s="272">
        <v>1929523</v>
      </c>
      <c r="P23" s="272">
        <v>1125756</v>
      </c>
      <c r="Q23" s="272">
        <v>803767</v>
      </c>
      <c r="R23" s="272">
        <v>689311</v>
      </c>
      <c r="S23" s="272">
        <v>289518</v>
      </c>
      <c r="T23" s="455">
        <f t="shared" si="2"/>
        <v>2213699</v>
      </c>
      <c r="U23" s="272">
        <v>204891</v>
      </c>
      <c r="V23" s="272">
        <v>52744</v>
      </c>
      <c r="W23" s="272">
        <v>44075</v>
      </c>
      <c r="X23" s="272">
        <v>1516524</v>
      </c>
      <c r="Y23" s="272">
        <v>23836</v>
      </c>
      <c r="Z23" s="272">
        <v>0</v>
      </c>
      <c r="AA23" s="272">
        <v>371629</v>
      </c>
      <c r="AB23" s="272">
        <v>688200</v>
      </c>
      <c r="AC23" s="272">
        <v>8000480</v>
      </c>
      <c r="AD23" s="272">
        <v>7081429</v>
      </c>
      <c r="AE23" s="272">
        <v>919051</v>
      </c>
      <c r="AF23" s="272">
        <v>29487</v>
      </c>
      <c r="AG23" s="272">
        <v>269583</v>
      </c>
      <c r="AH23" s="455">
        <f t="shared" si="3"/>
        <v>1192911</v>
      </c>
      <c r="AI23" s="272">
        <v>1098826</v>
      </c>
      <c r="AJ23" s="272">
        <v>94085</v>
      </c>
      <c r="AK23" s="272">
        <v>7383372</v>
      </c>
      <c r="AL23" s="455">
        <f t="shared" si="4"/>
        <v>4340583</v>
      </c>
      <c r="AM23" s="272">
        <v>4050723</v>
      </c>
      <c r="AN23" s="272">
        <v>281138</v>
      </c>
      <c r="AO23" s="272">
        <v>0</v>
      </c>
      <c r="AP23" s="272">
        <v>8722</v>
      </c>
      <c r="AQ23" s="272">
        <v>368686</v>
      </c>
      <c r="AR23" s="272">
        <v>0</v>
      </c>
      <c r="AS23" s="272">
        <v>283107</v>
      </c>
      <c r="AT23" s="272">
        <v>2198052</v>
      </c>
      <c r="AU23" s="272">
        <v>1298970</v>
      </c>
      <c r="AV23" s="272">
        <v>138872</v>
      </c>
      <c r="AW23" s="272">
        <v>84382</v>
      </c>
      <c r="AX23" s="272">
        <v>899082</v>
      </c>
      <c r="AY23" s="272">
        <v>37223</v>
      </c>
      <c r="AZ23" s="272">
        <v>110245</v>
      </c>
      <c r="BA23" s="272">
        <v>89836</v>
      </c>
      <c r="BB23" s="272">
        <v>6850</v>
      </c>
      <c r="BC23" s="272">
        <v>2196749</v>
      </c>
      <c r="BD23" s="272">
        <v>0</v>
      </c>
      <c r="BE23" s="272">
        <v>200000</v>
      </c>
      <c r="BF23" s="272">
        <v>1900000</v>
      </c>
      <c r="BG23" s="272">
        <v>0</v>
      </c>
      <c r="BH23" s="272">
        <v>252997</v>
      </c>
      <c r="BI23" s="272">
        <v>220361</v>
      </c>
      <c r="BJ23" s="272">
        <v>768277</v>
      </c>
      <c r="BK23" s="272">
        <v>129415</v>
      </c>
      <c r="BL23" s="272">
        <v>1524</v>
      </c>
      <c r="BM23" s="272">
        <v>0</v>
      </c>
      <c r="BN23" s="272">
        <v>4685700</v>
      </c>
      <c r="BO23" s="455">
        <f t="shared" si="5"/>
        <v>2117400</v>
      </c>
      <c r="BP23" s="455">
        <f t="shared" si="6"/>
        <v>2568300</v>
      </c>
      <c r="BQ23" s="272">
        <v>350400</v>
      </c>
      <c r="BR23" s="272"/>
      <c r="BS23" s="272">
        <v>2217900</v>
      </c>
      <c r="BT23" s="272">
        <v>0</v>
      </c>
      <c r="BU23" s="272">
        <v>50759466</v>
      </c>
      <c r="BV23" s="272"/>
      <c r="BW23" s="272">
        <v>12794716</v>
      </c>
      <c r="BX23" s="272">
        <v>8279575</v>
      </c>
      <c r="BY23" s="272">
        <v>1898513</v>
      </c>
      <c r="BZ23" s="272">
        <v>663374</v>
      </c>
      <c r="CA23" s="272">
        <v>11259740</v>
      </c>
      <c r="CB23" s="272">
        <v>1604324</v>
      </c>
      <c r="CC23" s="272">
        <v>466342</v>
      </c>
      <c r="CD23" s="272">
        <v>3670469</v>
      </c>
      <c r="CE23" s="272">
        <v>5268341</v>
      </c>
      <c r="CF23" s="272">
        <v>0</v>
      </c>
      <c r="CG23" s="272">
        <v>249663</v>
      </c>
      <c r="CH23" s="272">
        <v>5719934</v>
      </c>
      <c r="CI23" s="272">
        <v>4377317</v>
      </c>
      <c r="CJ23" s="455">
        <f t="shared" si="7"/>
        <v>1342617</v>
      </c>
      <c r="CK23" s="272">
        <v>6131945</v>
      </c>
      <c r="CL23" s="272">
        <v>4115613</v>
      </c>
      <c r="CM23" s="272">
        <v>326858</v>
      </c>
      <c r="CN23" s="272">
        <v>767710</v>
      </c>
      <c r="CO23" s="272">
        <v>366366</v>
      </c>
      <c r="CP23" s="272">
        <v>4931436</v>
      </c>
      <c r="CQ23" s="272">
        <v>1930287</v>
      </c>
      <c r="CR23" s="272">
        <v>1424948</v>
      </c>
      <c r="CS23" s="272">
        <v>1250426</v>
      </c>
      <c r="CT23" s="455">
        <f t="shared" si="8"/>
        <v>1027000</v>
      </c>
      <c r="CU23" s="272">
        <v>15000</v>
      </c>
      <c r="CV23" s="272">
        <v>1012000</v>
      </c>
      <c r="CW23" s="455">
        <f t="shared" si="9"/>
        <v>1012000</v>
      </c>
      <c r="CX23" s="272">
        <v>0</v>
      </c>
      <c r="CY23" s="272">
        <v>1012000</v>
      </c>
      <c r="CZ23" s="455">
        <f t="shared" si="10"/>
        <v>0</v>
      </c>
      <c r="DA23" s="272">
        <v>0</v>
      </c>
      <c r="DB23" s="272">
        <v>0</v>
      </c>
      <c r="DC23" s="272">
        <v>4091872</v>
      </c>
      <c r="DD23" s="272">
        <v>837485</v>
      </c>
      <c r="DE23" s="272">
        <v>3254387</v>
      </c>
      <c r="DF23" s="272">
        <v>0</v>
      </c>
      <c r="DG23" s="272">
        <v>0</v>
      </c>
      <c r="DH23" s="272">
        <v>0</v>
      </c>
      <c r="DI23" s="272">
        <v>370680</v>
      </c>
      <c r="DJ23" s="272">
        <v>121570</v>
      </c>
      <c r="DK23" s="272">
        <v>760</v>
      </c>
      <c r="DL23" s="272">
        <v>248350</v>
      </c>
      <c r="DM23" s="272">
        <v>0</v>
      </c>
      <c r="DN23" s="272">
        <v>0</v>
      </c>
      <c r="DO23" s="272">
        <v>0</v>
      </c>
      <c r="DP23" s="272">
        <v>0</v>
      </c>
      <c r="DQ23" s="272">
        <v>222600</v>
      </c>
      <c r="DR23" s="272">
        <v>100000</v>
      </c>
      <c r="DS23" s="272">
        <v>100000</v>
      </c>
      <c r="DT23" s="272">
        <v>4724750</v>
      </c>
      <c r="DU23" s="272">
        <v>1121059</v>
      </c>
      <c r="DV23" s="455">
        <f t="shared" si="11"/>
        <v>618129</v>
      </c>
      <c r="DW23" s="272">
        <v>618129</v>
      </c>
      <c r="DX23" s="272">
        <v>0</v>
      </c>
      <c r="DY23" s="272">
        <v>0</v>
      </c>
      <c r="DZ23" s="272">
        <v>1160679</v>
      </c>
      <c r="EA23" s="272">
        <v>735346</v>
      </c>
      <c r="EB23" s="272">
        <v>1089537</v>
      </c>
      <c r="EC23" s="272">
        <v>0</v>
      </c>
      <c r="ED23" s="272">
        <v>50614039</v>
      </c>
      <c r="EF23" s="272">
        <v>145427</v>
      </c>
      <c r="EG23" s="272">
        <v>15402</v>
      </c>
      <c r="EH23" s="272">
        <v>130025</v>
      </c>
      <c r="EI23" s="272">
        <v>-90336</v>
      </c>
      <c r="EJ23" s="272">
        <v>128128</v>
      </c>
      <c r="EL23" s="272"/>
      <c r="EM23" s="272">
        <v>179105</v>
      </c>
      <c r="EN23" s="272">
        <v>296749</v>
      </c>
      <c r="EO23" s="272">
        <v>107545</v>
      </c>
      <c r="EP23" s="455">
        <f t="shared" si="12"/>
        <v>894437</v>
      </c>
      <c r="EQ23" s="272">
        <v>31694730</v>
      </c>
      <c r="ER23" s="272">
        <v>-3554437</v>
      </c>
      <c r="ES23" s="272">
        <v>11982534</v>
      </c>
      <c r="ET23" s="272">
        <v>7712730</v>
      </c>
      <c r="EU23" s="272">
        <v>3702590</v>
      </c>
      <c r="EV23" s="272">
        <v>5264548</v>
      </c>
      <c r="EW23" s="455">
        <f t="shared" si="13"/>
        <v>296549</v>
      </c>
      <c r="EX23" s="272">
        <v>296549</v>
      </c>
      <c r="EY23" s="272">
        <v>34450</v>
      </c>
      <c r="EZ23" s="272">
        <v>262099</v>
      </c>
      <c r="FA23" s="272">
        <v>0</v>
      </c>
      <c r="FB23" s="272"/>
      <c r="FC23" s="272">
        <v>5141591</v>
      </c>
      <c r="FD23" s="272">
        <v>4643862</v>
      </c>
      <c r="FE23" s="272">
        <v>1930287</v>
      </c>
      <c r="FF23" s="272">
        <v>3344662</v>
      </c>
      <c r="FG23" s="455">
        <f t="shared" si="14"/>
        <v>727404</v>
      </c>
      <c r="FH23" s="272">
        <v>35103740</v>
      </c>
      <c r="FI23" s="384">
        <f t="shared" si="15"/>
        <v>0.5</v>
      </c>
      <c r="FJ23" s="272">
        <v>28328013</v>
      </c>
      <c r="FK23" s="272">
        <v>2217940</v>
      </c>
      <c r="FL23" s="272">
        <v>16040195</v>
      </c>
      <c r="FM23" s="272">
        <v>23095714</v>
      </c>
      <c r="FN23" s="460">
        <v>0.69699999999999995</v>
      </c>
      <c r="FO23" s="388">
        <v>98.8</v>
      </c>
      <c r="FP23" s="388">
        <v>33.1</v>
      </c>
      <c r="FQ23" s="388">
        <v>11.7</v>
      </c>
      <c r="FR23" s="388">
        <v>16.399999999999999</v>
      </c>
      <c r="FS23" s="388">
        <v>15.3</v>
      </c>
      <c r="FT23" s="388">
        <v>11.9</v>
      </c>
      <c r="FU23" s="388">
        <v>9.1999999999999993</v>
      </c>
      <c r="FV23" s="388">
        <v>10</v>
      </c>
      <c r="FW23" s="272">
        <v>56371189</v>
      </c>
      <c r="FX23" s="384">
        <f t="shared" si="16"/>
        <v>199</v>
      </c>
      <c r="FY23" s="272">
        <v>7320167</v>
      </c>
      <c r="FZ23" s="272">
        <v>2073160</v>
      </c>
      <c r="GA23" s="272">
        <v>1013550</v>
      </c>
      <c r="GB23" s="272">
        <v>4233457</v>
      </c>
      <c r="GC23" s="272"/>
      <c r="GD23" s="272">
        <v>7651311</v>
      </c>
      <c r="GE23" s="384">
        <f t="shared" si="17"/>
        <v>27</v>
      </c>
      <c r="GF23" s="388">
        <v>97.8</v>
      </c>
      <c r="GG23" s="388">
        <v>26.8</v>
      </c>
      <c r="GH23" s="388">
        <v>92.9</v>
      </c>
      <c r="GI23" s="272">
        <v>1155</v>
      </c>
    </row>
    <row r="24" spans="2:191" x14ac:dyDescent="0.15">
      <c r="B24" s="89" t="s">
        <v>41</v>
      </c>
      <c r="C24" s="272">
        <v>21336385</v>
      </c>
      <c r="D24" s="455">
        <f t="shared" si="0"/>
        <v>8955403</v>
      </c>
      <c r="E24" s="272">
        <v>137361</v>
      </c>
      <c r="F24" s="272">
        <v>8818042</v>
      </c>
      <c r="G24" s="455">
        <f t="shared" si="1"/>
        <v>895000</v>
      </c>
      <c r="H24" s="272">
        <v>324237</v>
      </c>
      <c r="I24" s="272">
        <v>570763</v>
      </c>
      <c r="J24" s="272">
        <v>8587748</v>
      </c>
      <c r="K24" s="272">
        <v>4259063</v>
      </c>
      <c r="L24" s="272">
        <v>3591745</v>
      </c>
      <c r="M24" s="272">
        <v>684047</v>
      </c>
      <c r="N24" s="272">
        <v>653355</v>
      </c>
      <c r="O24" s="272">
        <v>2168278</v>
      </c>
      <c r="P24" s="272">
        <v>1370360</v>
      </c>
      <c r="Q24" s="272">
        <v>797918</v>
      </c>
      <c r="R24" s="272">
        <v>507069</v>
      </c>
      <c r="S24" s="272">
        <v>209050</v>
      </c>
      <c r="T24" s="455">
        <f t="shared" si="2"/>
        <v>1776451</v>
      </c>
      <c r="U24" s="272">
        <v>243902</v>
      </c>
      <c r="V24" s="272">
        <v>62868</v>
      </c>
      <c r="W24" s="272">
        <v>52377</v>
      </c>
      <c r="X24" s="272">
        <v>1137341</v>
      </c>
      <c r="Y24" s="272">
        <v>2947</v>
      </c>
      <c r="Z24" s="272">
        <v>0</v>
      </c>
      <c r="AA24" s="272">
        <v>277016</v>
      </c>
      <c r="AB24" s="272">
        <v>892667</v>
      </c>
      <c r="AC24" s="272">
        <v>143080</v>
      </c>
      <c r="AD24" s="272">
        <v>0</v>
      </c>
      <c r="AE24" s="272">
        <v>143080</v>
      </c>
      <c r="AF24" s="272">
        <v>25925</v>
      </c>
      <c r="AG24" s="272">
        <v>197586</v>
      </c>
      <c r="AH24" s="455">
        <f t="shared" si="3"/>
        <v>1084030</v>
      </c>
      <c r="AI24" s="272">
        <v>841869</v>
      </c>
      <c r="AJ24" s="272">
        <v>242161</v>
      </c>
      <c r="AK24" s="272">
        <v>3241129</v>
      </c>
      <c r="AL24" s="455">
        <f t="shared" si="4"/>
        <v>1692817</v>
      </c>
      <c r="AM24" s="272">
        <v>941431</v>
      </c>
      <c r="AN24" s="272">
        <v>710991</v>
      </c>
      <c r="AO24" s="272">
        <v>0</v>
      </c>
      <c r="AP24" s="272">
        <v>40395</v>
      </c>
      <c r="AQ24" s="272">
        <v>712519</v>
      </c>
      <c r="AR24" s="272">
        <v>0</v>
      </c>
      <c r="AS24" s="272">
        <v>0</v>
      </c>
      <c r="AT24" s="272">
        <v>1451102</v>
      </c>
      <c r="AU24" s="272">
        <v>809234</v>
      </c>
      <c r="AV24" s="272">
        <v>62338</v>
      </c>
      <c r="AW24" s="272">
        <v>7665</v>
      </c>
      <c r="AX24" s="272">
        <v>641868</v>
      </c>
      <c r="AY24" s="272">
        <v>15023</v>
      </c>
      <c r="AZ24" s="272">
        <v>92675</v>
      </c>
      <c r="BA24" s="272">
        <v>677</v>
      </c>
      <c r="BB24" s="272">
        <v>54974</v>
      </c>
      <c r="BC24" s="272">
        <v>1010674</v>
      </c>
      <c r="BD24" s="272">
        <v>0</v>
      </c>
      <c r="BE24" s="272">
        <v>400000</v>
      </c>
      <c r="BF24" s="272">
        <v>570211</v>
      </c>
      <c r="BG24" s="272">
        <v>0</v>
      </c>
      <c r="BH24" s="272">
        <v>487013</v>
      </c>
      <c r="BI24" s="272">
        <v>332814</v>
      </c>
      <c r="BJ24" s="272">
        <v>6579446</v>
      </c>
      <c r="BK24" s="272">
        <v>5048414</v>
      </c>
      <c r="BL24" s="272">
        <v>116</v>
      </c>
      <c r="BM24" s="272">
        <v>1100000</v>
      </c>
      <c r="BN24" s="272">
        <v>3167000</v>
      </c>
      <c r="BO24" s="455">
        <f t="shared" si="5"/>
        <v>1085800</v>
      </c>
      <c r="BP24" s="455">
        <f t="shared" si="6"/>
        <v>2081200</v>
      </c>
      <c r="BQ24" s="272">
        <v>323300</v>
      </c>
      <c r="BR24" s="272"/>
      <c r="BS24" s="272">
        <v>1757900</v>
      </c>
      <c r="BT24" s="272">
        <v>0</v>
      </c>
      <c r="BU24" s="272">
        <v>42047206</v>
      </c>
      <c r="BV24" s="272"/>
      <c r="BW24" s="272">
        <v>10557486</v>
      </c>
      <c r="BX24" s="272">
        <v>7385373</v>
      </c>
      <c r="BY24" s="272">
        <v>872510</v>
      </c>
      <c r="BZ24" s="272">
        <v>591587</v>
      </c>
      <c r="CA24" s="272">
        <v>3916203</v>
      </c>
      <c r="CB24" s="272">
        <v>962856</v>
      </c>
      <c r="CC24" s="272">
        <v>289029</v>
      </c>
      <c r="CD24" s="272">
        <v>1365122</v>
      </c>
      <c r="CE24" s="272">
        <v>1232514</v>
      </c>
      <c r="CF24" s="272">
        <v>0</v>
      </c>
      <c r="CG24" s="272">
        <v>66682</v>
      </c>
      <c r="CH24" s="272">
        <v>4315089</v>
      </c>
      <c r="CI24" s="272">
        <v>3460332</v>
      </c>
      <c r="CJ24" s="455">
        <f t="shared" si="7"/>
        <v>854757</v>
      </c>
      <c r="CK24" s="272">
        <v>6508469</v>
      </c>
      <c r="CL24" s="272">
        <v>3992407</v>
      </c>
      <c r="CM24" s="272">
        <v>318188</v>
      </c>
      <c r="CN24" s="272">
        <v>1333115</v>
      </c>
      <c r="CO24" s="272">
        <v>262132</v>
      </c>
      <c r="CP24" s="272">
        <v>3567416</v>
      </c>
      <c r="CQ24" s="272">
        <v>62341</v>
      </c>
      <c r="CR24" s="272">
        <v>1519713</v>
      </c>
      <c r="CS24" s="272">
        <v>1418593</v>
      </c>
      <c r="CT24" s="455">
        <f t="shared" si="8"/>
        <v>1488846</v>
      </c>
      <c r="CU24" s="272">
        <v>1371469</v>
      </c>
      <c r="CV24" s="272">
        <v>117377</v>
      </c>
      <c r="CW24" s="455">
        <f t="shared" si="9"/>
        <v>870698</v>
      </c>
      <c r="CX24" s="272">
        <v>870698</v>
      </c>
      <c r="CY24" s="272">
        <v>0</v>
      </c>
      <c r="CZ24" s="455">
        <f t="shared" si="10"/>
        <v>551230</v>
      </c>
      <c r="DA24" s="272">
        <v>493730</v>
      </c>
      <c r="DB24" s="272">
        <v>57500</v>
      </c>
      <c r="DC24" s="272">
        <v>4140488</v>
      </c>
      <c r="DD24" s="272">
        <v>1234314</v>
      </c>
      <c r="DE24" s="272">
        <v>2896063</v>
      </c>
      <c r="DF24" s="272">
        <v>0</v>
      </c>
      <c r="DG24" s="272">
        <v>10111</v>
      </c>
      <c r="DH24" s="272">
        <v>109345</v>
      </c>
      <c r="DI24" s="272">
        <v>24223</v>
      </c>
      <c r="DJ24" s="272">
        <v>3082</v>
      </c>
      <c r="DK24" s="272">
        <v>1487</v>
      </c>
      <c r="DL24" s="272">
        <v>19654</v>
      </c>
      <c r="DM24" s="272">
        <v>170750</v>
      </c>
      <c r="DN24" s="272">
        <v>170750</v>
      </c>
      <c r="DO24" s="272">
        <v>0</v>
      </c>
      <c r="DP24" s="272">
        <v>170750</v>
      </c>
      <c r="DQ24" s="272">
        <v>5021758</v>
      </c>
      <c r="DR24" s="272">
        <v>0</v>
      </c>
      <c r="DS24" s="272">
        <v>0</v>
      </c>
      <c r="DT24" s="272">
        <v>2421135</v>
      </c>
      <c r="DU24" s="272">
        <v>0</v>
      </c>
      <c r="DV24" s="455">
        <f t="shared" si="11"/>
        <v>0</v>
      </c>
      <c r="DW24" s="272">
        <v>0</v>
      </c>
      <c r="DX24" s="272">
        <v>0</v>
      </c>
      <c r="DY24" s="272">
        <v>0</v>
      </c>
      <c r="DZ24" s="272">
        <v>795791</v>
      </c>
      <c r="EA24" s="272">
        <v>555311</v>
      </c>
      <c r="EB24" s="272">
        <v>692545</v>
      </c>
      <c r="EC24" s="272">
        <v>0</v>
      </c>
      <c r="ED24" s="272">
        <v>41014494</v>
      </c>
      <c r="EF24" s="272">
        <v>1032712</v>
      </c>
      <c r="EG24" s="272">
        <v>143107</v>
      </c>
      <c r="EH24" s="272">
        <v>889605</v>
      </c>
      <c r="EI24" s="272">
        <v>156791</v>
      </c>
      <c r="EJ24" s="272">
        <v>159873</v>
      </c>
      <c r="EL24" s="272"/>
      <c r="EM24" s="272">
        <v>124126</v>
      </c>
      <c r="EN24" s="272">
        <v>440463</v>
      </c>
      <c r="EO24" s="272">
        <v>79627</v>
      </c>
      <c r="EP24" s="455">
        <f t="shared" si="12"/>
        <v>1908578</v>
      </c>
      <c r="EQ24" s="272">
        <v>24681577</v>
      </c>
      <c r="ER24" s="272">
        <v>-4483943</v>
      </c>
      <c r="ES24" s="272">
        <v>10162956</v>
      </c>
      <c r="ET24" s="272">
        <v>7097853</v>
      </c>
      <c r="EU24" s="272">
        <v>1152664</v>
      </c>
      <c r="EV24" s="272">
        <v>4278199</v>
      </c>
      <c r="EW24" s="455">
        <f t="shared" si="13"/>
        <v>2147503</v>
      </c>
      <c r="EX24" s="272">
        <v>2089955</v>
      </c>
      <c r="EY24" s="272">
        <v>267755</v>
      </c>
      <c r="EZ24" s="272">
        <v>1822200</v>
      </c>
      <c r="FA24" s="272">
        <v>57548</v>
      </c>
      <c r="FB24" s="272"/>
      <c r="FC24" s="272">
        <v>4699219</v>
      </c>
      <c r="FD24" s="272">
        <v>3249123</v>
      </c>
      <c r="FE24" s="272">
        <v>62341</v>
      </c>
      <c r="FF24" s="272">
        <v>2033722</v>
      </c>
      <c r="FG24" s="455">
        <f t="shared" si="14"/>
        <v>409422</v>
      </c>
      <c r="FH24" s="272">
        <v>28132808</v>
      </c>
      <c r="FI24" s="384">
        <f t="shared" si="15"/>
        <v>3.8</v>
      </c>
      <c r="FJ24" s="272">
        <v>23179775</v>
      </c>
      <c r="FK24" s="272">
        <v>1757974</v>
      </c>
      <c r="FL24" s="272">
        <v>17466996</v>
      </c>
      <c r="FM24" s="272">
        <v>16209749</v>
      </c>
      <c r="FN24" s="460">
        <v>1.054</v>
      </c>
      <c r="FO24" s="388">
        <v>97.9</v>
      </c>
      <c r="FP24" s="388">
        <v>40.5</v>
      </c>
      <c r="FQ24" s="388">
        <v>4.7</v>
      </c>
      <c r="FR24" s="388">
        <v>17.3</v>
      </c>
      <c r="FS24" s="388">
        <v>17.399999999999999</v>
      </c>
      <c r="FT24" s="388">
        <v>10.5</v>
      </c>
      <c r="FU24" s="388">
        <v>6.6</v>
      </c>
      <c r="FV24" s="388">
        <v>11</v>
      </c>
      <c r="FW24" s="272">
        <v>34810035</v>
      </c>
      <c r="FX24" s="384">
        <f t="shared" si="16"/>
        <v>150.19999999999999</v>
      </c>
      <c r="FY24" s="272">
        <v>19486110</v>
      </c>
      <c r="FZ24" s="272">
        <v>6444353</v>
      </c>
      <c r="GA24" s="272">
        <v>2807853</v>
      </c>
      <c r="GB24" s="272">
        <v>10233904</v>
      </c>
      <c r="GC24" s="272"/>
      <c r="GD24" s="272">
        <v>4324004</v>
      </c>
      <c r="GE24" s="384">
        <f t="shared" si="17"/>
        <v>18.7</v>
      </c>
      <c r="GF24" s="388">
        <v>97.6</v>
      </c>
      <c r="GG24" s="388">
        <v>20.2</v>
      </c>
      <c r="GH24" s="388">
        <v>92.4</v>
      </c>
      <c r="GI24" s="272">
        <v>1068</v>
      </c>
    </row>
    <row r="25" spans="2:191" x14ac:dyDescent="0.15">
      <c r="B25" s="89" t="s">
        <v>43</v>
      </c>
      <c r="C25" s="272">
        <v>9032269</v>
      </c>
      <c r="D25" s="455">
        <f t="shared" si="0"/>
        <v>2931039</v>
      </c>
      <c r="E25" s="272">
        <v>79305</v>
      </c>
      <c r="F25" s="272">
        <v>2851734</v>
      </c>
      <c r="G25" s="455">
        <f t="shared" si="1"/>
        <v>924377</v>
      </c>
      <c r="H25" s="272">
        <v>127797</v>
      </c>
      <c r="I25" s="272">
        <v>796580</v>
      </c>
      <c r="J25" s="272">
        <v>3882600</v>
      </c>
      <c r="K25" s="272">
        <v>1758574</v>
      </c>
      <c r="L25" s="272">
        <v>1439182</v>
      </c>
      <c r="M25" s="272">
        <v>644545</v>
      </c>
      <c r="N25" s="272">
        <v>406968</v>
      </c>
      <c r="O25" s="272">
        <v>823819</v>
      </c>
      <c r="P25" s="272">
        <v>504259</v>
      </c>
      <c r="Q25" s="272">
        <v>319560</v>
      </c>
      <c r="R25" s="272">
        <v>309944</v>
      </c>
      <c r="S25" s="272">
        <v>132607</v>
      </c>
      <c r="T25" s="455">
        <f t="shared" si="2"/>
        <v>1030868</v>
      </c>
      <c r="U25" s="272">
        <v>92573</v>
      </c>
      <c r="V25" s="272">
        <v>23842</v>
      </c>
      <c r="W25" s="272">
        <v>19899</v>
      </c>
      <c r="X25" s="272">
        <v>729718</v>
      </c>
      <c r="Y25" s="272">
        <v>0</v>
      </c>
      <c r="Z25" s="272">
        <v>0</v>
      </c>
      <c r="AA25" s="272">
        <v>164836</v>
      </c>
      <c r="AB25" s="272">
        <v>322395</v>
      </c>
      <c r="AC25" s="272">
        <v>4593674</v>
      </c>
      <c r="AD25" s="272">
        <v>4287389</v>
      </c>
      <c r="AE25" s="272">
        <v>306285</v>
      </c>
      <c r="AF25" s="272">
        <v>15228</v>
      </c>
      <c r="AG25" s="272">
        <v>353991</v>
      </c>
      <c r="AH25" s="455">
        <f t="shared" si="3"/>
        <v>477152</v>
      </c>
      <c r="AI25" s="272">
        <v>392205</v>
      </c>
      <c r="AJ25" s="272">
        <v>84947</v>
      </c>
      <c r="AK25" s="272">
        <v>2861997</v>
      </c>
      <c r="AL25" s="455">
        <f t="shared" si="4"/>
        <v>1941079</v>
      </c>
      <c r="AM25" s="272">
        <v>1217532</v>
      </c>
      <c r="AN25" s="272">
        <v>708342</v>
      </c>
      <c r="AO25" s="272">
        <v>0</v>
      </c>
      <c r="AP25" s="272">
        <v>15205</v>
      </c>
      <c r="AQ25" s="272">
        <v>348838</v>
      </c>
      <c r="AR25" s="272">
        <v>0</v>
      </c>
      <c r="AS25" s="272">
        <v>0</v>
      </c>
      <c r="AT25" s="272">
        <v>911501</v>
      </c>
      <c r="AU25" s="272">
        <v>541206</v>
      </c>
      <c r="AV25" s="272">
        <v>147436</v>
      </c>
      <c r="AW25" s="272">
        <v>39211</v>
      </c>
      <c r="AX25" s="272">
        <v>370295</v>
      </c>
      <c r="AY25" s="272">
        <v>1700</v>
      </c>
      <c r="AZ25" s="272">
        <v>52987</v>
      </c>
      <c r="BA25" s="272">
        <v>36419</v>
      </c>
      <c r="BB25" s="272">
        <v>50756</v>
      </c>
      <c r="BC25" s="272">
        <v>715286</v>
      </c>
      <c r="BD25" s="272">
        <v>384085</v>
      </c>
      <c r="BE25" s="272">
        <v>23300</v>
      </c>
      <c r="BF25" s="272">
        <v>307901</v>
      </c>
      <c r="BG25" s="272">
        <v>0</v>
      </c>
      <c r="BH25" s="272">
        <v>34008</v>
      </c>
      <c r="BI25" s="272">
        <v>4221</v>
      </c>
      <c r="BJ25" s="272">
        <v>1650459</v>
      </c>
      <c r="BK25" s="272">
        <v>1476205</v>
      </c>
      <c r="BL25" s="272">
        <v>0</v>
      </c>
      <c r="BM25" s="272">
        <v>0</v>
      </c>
      <c r="BN25" s="272">
        <v>2413400</v>
      </c>
      <c r="BO25" s="455">
        <f t="shared" si="5"/>
        <v>1137100</v>
      </c>
      <c r="BP25" s="455">
        <f t="shared" si="6"/>
        <v>1276300</v>
      </c>
      <c r="BQ25" s="272">
        <v>117700</v>
      </c>
      <c r="BR25" s="272"/>
      <c r="BS25" s="272">
        <v>1158600</v>
      </c>
      <c r="BT25" s="272">
        <v>0</v>
      </c>
      <c r="BU25" s="272">
        <v>24825915</v>
      </c>
      <c r="BV25" s="272"/>
      <c r="BW25" s="272">
        <v>4606855</v>
      </c>
      <c r="BX25" s="272">
        <v>3184210</v>
      </c>
      <c r="BY25" s="272">
        <v>475962</v>
      </c>
      <c r="BZ25" s="272">
        <v>114507</v>
      </c>
      <c r="CA25" s="272">
        <v>4352864</v>
      </c>
      <c r="CB25" s="272">
        <v>562727</v>
      </c>
      <c r="CC25" s="272">
        <v>241772</v>
      </c>
      <c r="CD25" s="272">
        <v>1663037</v>
      </c>
      <c r="CE25" s="272">
        <v>1606910</v>
      </c>
      <c r="CF25" s="272">
        <v>160012</v>
      </c>
      <c r="CG25" s="272">
        <v>118216</v>
      </c>
      <c r="CH25" s="272">
        <v>2049318</v>
      </c>
      <c r="CI25" s="272">
        <v>1593675</v>
      </c>
      <c r="CJ25" s="455">
        <f t="shared" si="7"/>
        <v>455643</v>
      </c>
      <c r="CK25" s="272">
        <v>2705410</v>
      </c>
      <c r="CL25" s="272">
        <v>1531706</v>
      </c>
      <c r="CM25" s="272">
        <v>187614</v>
      </c>
      <c r="CN25" s="272">
        <v>393132</v>
      </c>
      <c r="CO25" s="272">
        <v>138144</v>
      </c>
      <c r="CP25" s="272">
        <v>3679911</v>
      </c>
      <c r="CQ25" s="272">
        <v>2253212</v>
      </c>
      <c r="CR25" s="272">
        <v>540375</v>
      </c>
      <c r="CS25" s="272">
        <v>193716</v>
      </c>
      <c r="CT25" s="455">
        <f t="shared" si="8"/>
        <v>681251</v>
      </c>
      <c r="CU25" s="272">
        <v>599681</v>
      </c>
      <c r="CV25" s="272">
        <v>81570</v>
      </c>
      <c r="CW25" s="455">
        <f t="shared" si="9"/>
        <v>676268</v>
      </c>
      <c r="CX25" s="272">
        <v>597409</v>
      </c>
      <c r="CY25" s="272">
        <v>78859</v>
      </c>
      <c r="CZ25" s="455">
        <f t="shared" si="10"/>
        <v>0</v>
      </c>
      <c r="DA25" s="272">
        <v>0</v>
      </c>
      <c r="DB25" s="272">
        <v>0</v>
      </c>
      <c r="DC25" s="272">
        <v>2305254</v>
      </c>
      <c r="DD25" s="272">
        <v>750824</v>
      </c>
      <c r="DE25" s="272">
        <v>1541808</v>
      </c>
      <c r="DF25" s="272">
        <v>5622</v>
      </c>
      <c r="DG25" s="272">
        <v>7000</v>
      </c>
      <c r="DH25" s="272">
        <v>2088</v>
      </c>
      <c r="DI25" s="272">
        <v>52678</v>
      </c>
      <c r="DJ25" s="272">
        <v>2699</v>
      </c>
      <c r="DK25" s="272">
        <v>150</v>
      </c>
      <c r="DL25" s="272">
        <v>49829</v>
      </c>
      <c r="DM25" s="272">
        <v>0</v>
      </c>
      <c r="DN25" s="272">
        <v>0</v>
      </c>
      <c r="DO25" s="272">
        <v>0</v>
      </c>
      <c r="DP25" s="272">
        <v>0</v>
      </c>
      <c r="DQ25" s="272">
        <v>1476567</v>
      </c>
      <c r="DR25" s="272">
        <v>0</v>
      </c>
      <c r="DS25" s="272">
        <v>0</v>
      </c>
      <c r="DT25" s="272">
        <v>3441645</v>
      </c>
      <c r="DU25" s="272">
        <v>1520872</v>
      </c>
      <c r="DV25" s="455">
        <f t="shared" si="11"/>
        <v>0</v>
      </c>
      <c r="DW25" s="272">
        <v>0</v>
      </c>
      <c r="DX25" s="272">
        <v>0</v>
      </c>
      <c r="DY25" s="272">
        <v>0</v>
      </c>
      <c r="DZ25" s="272">
        <v>763295</v>
      </c>
      <c r="EA25" s="272">
        <v>371731</v>
      </c>
      <c r="EB25" s="272">
        <v>535373</v>
      </c>
      <c r="EC25" s="272">
        <v>0</v>
      </c>
      <c r="ED25" s="272">
        <v>24810734</v>
      </c>
      <c r="EF25" s="272">
        <v>15181</v>
      </c>
      <c r="EG25" s="272">
        <v>15089</v>
      </c>
      <c r="EH25" s="272">
        <v>92</v>
      </c>
      <c r="EI25" s="272">
        <v>-9129</v>
      </c>
      <c r="EJ25" s="272">
        <v>-390515</v>
      </c>
      <c r="EL25" s="272"/>
      <c r="EM25" s="272">
        <v>75900</v>
      </c>
      <c r="EN25" s="272">
        <v>407385</v>
      </c>
      <c r="EO25" s="272">
        <v>42146</v>
      </c>
      <c r="EP25" s="455">
        <f t="shared" si="12"/>
        <v>265790</v>
      </c>
      <c r="EQ25" s="272">
        <v>15304378</v>
      </c>
      <c r="ER25" s="272">
        <v>-1976393</v>
      </c>
      <c r="ES25" s="272">
        <v>4300560</v>
      </c>
      <c r="ET25" s="272">
        <v>2950269</v>
      </c>
      <c r="EU25" s="272">
        <v>1559542</v>
      </c>
      <c r="EV25" s="272">
        <v>2002366</v>
      </c>
      <c r="EW25" s="455">
        <f t="shared" si="13"/>
        <v>260639</v>
      </c>
      <c r="EX25" s="272">
        <v>260199</v>
      </c>
      <c r="EY25" s="272">
        <v>4510</v>
      </c>
      <c r="EZ25" s="272">
        <v>252667</v>
      </c>
      <c r="FA25" s="272">
        <v>440</v>
      </c>
      <c r="FB25" s="272"/>
      <c r="FC25" s="272">
        <v>2230338</v>
      </c>
      <c r="FD25" s="272">
        <v>3616859</v>
      </c>
      <c r="FE25" s="272">
        <v>2253212</v>
      </c>
      <c r="FF25" s="272">
        <v>3129342</v>
      </c>
      <c r="FG25" s="455">
        <f t="shared" si="14"/>
        <v>165944</v>
      </c>
      <c r="FH25" s="272">
        <v>17265590</v>
      </c>
      <c r="FI25" s="384">
        <f t="shared" si="15"/>
        <v>0</v>
      </c>
      <c r="FJ25" s="272">
        <v>13877442</v>
      </c>
      <c r="FK25" s="272">
        <v>1158695</v>
      </c>
      <c r="FL25" s="272">
        <v>7239784</v>
      </c>
      <c r="FM25" s="272">
        <v>11539049</v>
      </c>
      <c r="FN25" s="460">
        <v>0.626</v>
      </c>
      <c r="FO25" s="388">
        <v>98.7</v>
      </c>
      <c r="FP25" s="388">
        <v>27.4</v>
      </c>
      <c r="FQ25" s="388">
        <v>9.9</v>
      </c>
      <c r="FR25" s="388">
        <v>12.9</v>
      </c>
      <c r="FS25" s="388">
        <v>13.3</v>
      </c>
      <c r="FT25" s="388">
        <v>21.1</v>
      </c>
      <c r="FU25" s="388">
        <v>13.1</v>
      </c>
      <c r="FV25" s="388">
        <v>6.3</v>
      </c>
      <c r="FW25" s="272">
        <v>19993987</v>
      </c>
      <c r="FX25" s="384">
        <f t="shared" si="16"/>
        <v>144.1</v>
      </c>
      <c r="FY25" s="272">
        <v>4027463</v>
      </c>
      <c r="FZ25" s="272">
        <v>963629</v>
      </c>
      <c r="GA25" s="272">
        <v>32700</v>
      </c>
      <c r="GB25" s="272">
        <v>3031134</v>
      </c>
      <c r="GC25" s="272"/>
      <c r="GD25" s="272">
        <v>1368411</v>
      </c>
      <c r="GE25" s="384">
        <f t="shared" si="17"/>
        <v>9.9</v>
      </c>
      <c r="GF25" s="388">
        <v>97.6</v>
      </c>
      <c r="GG25" s="388">
        <v>19.2</v>
      </c>
      <c r="GH25" s="388">
        <v>90.1</v>
      </c>
      <c r="GI25" s="272">
        <v>428</v>
      </c>
    </row>
    <row r="26" spans="2:191" x14ac:dyDescent="0.15">
      <c r="B26" s="89" t="s">
        <v>45</v>
      </c>
      <c r="C26" s="272">
        <v>12472354</v>
      </c>
      <c r="D26" s="455">
        <f t="shared" si="0"/>
        <v>4736194</v>
      </c>
      <c r="E26" s="272">
        <v>120527</v>
      </c>
      <c r="F26" s="272">
        <v>4615667</v>
      </c>
      <c r="G26" s="455">
        <f t="shared" si="1"/>
        <v>769400</v>
      </c>
      <c r="H26" s="272">
        <v>179557</v>
      </c>
      <c r="I26" s="272">
        <v>589843</v>
      </c>
      <c r="J26" s="272">
        <v>5080488</v>
      </c>
      <c r="K26" s="272">
        <v>2495506</v>
      </c>
      <c r="L26" s="272">
        <v>2076852</v>
      </c>
      <c r="M26" s="272">
        <v>465658</v>
      </c>
      <c r="N26" s="272">
        <v>623059</v>
      </c>
      <c r="O26" s="272">
        <v>1149237</v>
      </c>
      <c r="P26" s="272">
        <v>708139</v>
      </c>
      <c r="Q26" s="272">
        <v>441098</v>
      </c>
      <c r="R26" s="272">
        <v>461870</v>
      </c>
      <c r="S26" s="272">
        <v>199590</v>
      </c>
      <c r="T26" s="455">
        <f t="shared" si="2"/>
        <v>1512394</v>
      </c>
      <c r="U26" s="272">
        <v>144691</v>
      </c>
      <c r="V26" s="272">
        <v>37305</v>
      </c>
      <c r="W26" s="272">
        <v>31062</v>
      </c>
      <c r="X26" s="272">
        <v>1055542</v>
      </c>
      <c r="Y26" s="272">
        <v>0</v>
      </c>
      <c r="Z26" s="272">
        <v>0</v>
      </c>
      <c r="AA26" s="272">
        <v>243794</v>
      </c>
      <c r="AB26" s="272">
        <v>492828</v>
      </c>
      <c r="AC26" s="272">
        <v>7871861</v>
      </c>
      <c r="AD26" s="272">
        <v>7550829</v>
      </c>
      <c r="AE26" s="272">
        <v>321032</v>
      </c>
      <c r="AF26" s="272">
        <v>22386</v>
      </c>
      <c r="AG26" s="272">
        <v>229898</v>
      </c>
      <c r="AH26" s="455">
        <f t="shared" si="3"/>
        <v>608921</v>
      </c>
      <c r="AI26" s="272">
        <v>574171</v>
      </c>
      <c r="AJ26" s="272">
        <v>34750</v>
      </c>
      <c r="AK26" s="272">
        <v>5303022</v>
      </c>
      <c r="AL26" s="455">
        <f t="shared" si="4"/>
        <v>2907034</v>
      </c>
      <c r="AM26" s="272">
        <v>2583218</v>
      </c>
      <c r="AN26" s="272">
        <v>308649</v>
      </c>
      <c r="AO26" s="272">
        <v>0</v>
      </c>
      <c r="AP26" s="272">
        <v>15167</v>
      </c>
      <c r="AQ26" s="272">
        <v>486536</v>
      </c>
      <c r="AR26" s="272">
        <v>0</v>
      </c>
      <c r="AS26" s="272">
        <v>0</v>
      </c>
      <c r="AT26" s="272">
        <v>1631904</v>
      </c>
      <c r="AU26" s="272">
        <v>999329</v>
      </c>
      <c r="AV26" s="272">
        <v>153489</v>
      </c>
      <c r="AW26" s="272">
        <v>9968</v>
      </c>
      <c r="AX26" s="272">
        <v>632575</v>
      </c>
      <c r="AY26" s="272">
        <v>42661</v>
      </c>
      <c r="AZ26" s="272">
        <v>396946</v>
      </c>
      <c r="BA26" s="272">
        <v>380679</v>
      </c>
      <c r="BB26" s="272">
        <v>61984</v>
      </c>
      <c r="BC26" s="272">
        <v>368442</v>
      </c>
      <c r="BD26" s="272">
        <v>150000</v>
      </c>
      <c r="BE26" s="272">
        <v>100000</v>
      </c>
      <c r="BF26" s="272">
        <v>68051</v>
      </c>
      <c r="BG26" s="272">
        <v>0</v>
      </c>
      <c r="BH26" s="272">
        <v>0</v>
      </c>
      <c r="BI26" s="272">
        <v>0</v>
      </c>
      <c r="BJ26" s="272">
        <v>2070102</v>
      </c>
      <c r="BK26" s="272">
        <v>1605234</v>
      </c>
      <c r="BL26" s="272">
        <v>0</v>
      </c>
      <c r="BM26" s="272">
        <v>0</v>
      </c>
      <c r="BN26" s="272">
        <v>2868200</v>
      </c>
      <c r="BO26" s="455">
        <f t="shared" si="5"/>
        <v>1035900</v>
      </c>
      <c r="BP26" s="455">
        <f t="shared" si="6"/>
        <v>1832300</v>
      </c>
      <c r="BQ26" s="272">
        <v>175300</v>
      </c>
      <c r="BR26" s="272"/>
      <c r="BS26" s="272">
        <v>1657000</v>
      </c>
      <c r="BT26" s="272">
        <v>0</v>
      </c>
      <c r="BU26" s="272">
        <v>36373112</v>
      </c>
      <c r="BV26" s="272"/>
      <c r="BW26" s="272">
        <v>6865816</v>
      </c>
      <c r="BX26" s="272">
        <v>4679217</v>
      </c>
      <c r="BY26" s="272">
        <v>993486</v>
      </c>
      <c r="BZ26" s="272">
        <v>81744</v>
      </c>
      <c r="CA26" s="272">
        <v>7912892</v>
      </c>
      <c r="CB26" s="272">
        <v>1388358</v>
      </c>
      <c r="CC26" s="272">
        <v>620942</v>
      </c>
      <c r="CD26" s="272">
        <v>2517600</v>
      </c>
      <c r="CE26" s="272">
        <v>3272323</v>
      </c>
      <c r="CF26" s="272">
        <v>31</v>
      </c>
      <c r="CG26" s="272">
        <v>113463</v>
      </c>
      <c r="CH26" s="272">
        <v>4452685</v>
      </c>
      <c r="CI26" s="272">
        <v>3411577</v>
      </c>
      <c r="CJ26" s="455">
        <f t="shared" si="7"/>
        <v>1041108</v>
      </c>
      <c r="CK26" s="272">
        <v>4021264</v>
      </c>
      <c r="CL26" s="272">
        <v>2224026</v>
      </c>
      <c r="CM26" s="272">
        <v>514088</v>
      </c>
      <c r="CN26" s="272">
        <v>646198</v>
      </c>
      <c r="CO26" s="272">
        <v>103643</v>
      </c>
      <c r="CP26" s="272">
        <v>4204433</v>
      </c>
      <c r="CQ26" s="272">
        <v>2642743</v>
      </c>
      <c r="CR26" s="272">
        <v>1216533</v>
      </c>
      <c r="CS26" s="272">
        <v>1079275</v>
      </c>
      <c r="CT26" s="455">
        <f t="shared" si="8"/>
        <v>17828</v>
      </c>
      <c r="CU26" s="272">
        <v>12752</v>
      </c>
      <c r="CV26" s="272">
        <v>5076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2663683</v>
      </c>
      <c r="DD26" s="272">
        <v>1043935</v>
      </c>
      <c r="DE26" s="272">
        <v>1515908</v>
      </c>
      <c r="DF26" s="272">
        <v>49121</v>
      </c>
      <c r="DG26" s="272">
        <v>54719</v>
      </c>
      <c r="DH26" s="272">
        <v>0</v>
      </c>
      <c r="DI26" s="272">
        <v>72066</v>
      </c>
      <c r="DJ26" s="272">
        <v>4</v>
      </c>
      <c r="DK26" s="272">
        <v>1</v>
      </c>
      <c r="DL26" s="272">
        <v>72061</v>
      </c>
      <c r="DM26" s="272">
        <v>500</v>
      </c>
      <c r="DN26" s="272">
        <v>0</v>
      </c>
      <c r="DO26" s="272">
        <v>0</v>
      </c>
      <c r="DP26" s="272">
        <v>0</v>
      </c>
      <c r="DQ26" s="272">
        <v>1575413</v>
      </c>
      <c r="DR26" s="272">
        <v>0</v>
      </c>
      <c r="DS26" s="272">
        <v>0</v>
      </c>
      <c r="DT26" s="272">
        <v>4523211</v>
      </c>
      <c r="DU26" s="272">
        <v>1644722</v>
      </c>
      <c r="DV26" s="455">
        <f t="shared" si="11"/>
        <v>0</v>
      </c>
      <c r="DW26" s="272">
        <v>0</v>
      </c>
      <c r="DX26" s="272">
        <v>0</v>
      </c>
      <c r="DY26" s="272">
        <v>0</v>
      </c>
      <c r="DZ26" s="272">
        <v>1184218</v>
      </c>
      <c r="EA26" s="272">
        <v>619299</v>
      </c>
      <c r="EB26" s="272">
        <v>911681</v>
      </c>
      <c r="EC26" s="272">
        <v>752364</v>
      </c>
      <c r="ED26" s="272">
        <v>37147970</v>
      </c>
      <c r="EF26" s="272">
        <v>-774858</v>
      </c>
      <c r="EG26" s="272">
        <v>30596</v>
      </c>
      <c r="EH26" s="272">
        <v>-805454</v>
      </c>
      <c r="EI26" s="272">
        <v>127292</v>
      </c>
      <c r="EJ26" s="272">
        <v>-22704</v>
      </c>
      <c r="EL26" s="272"/>
      <c r="EM26" s="272">
        <v>119927</v>
      </c>
      <c r="EN26" s="272">
        <v>267132</v>
      </c>
      <c r="EO26" s="272">
        <v>93262</v>
      </c>
      <c r="EP26" s="455">
        <f t="shared" si="12"/>
        <v>476641</v>
      </c>
      <c r="EQ26" s="272">
        <v>22833693</v>
      </c>
      <c r="ER26" s="272">
        <v>-2646949</v>
      </c>
      <c r="ES26" s="272">
        <v>6325324</v>
      </c>
      <c r="ET26" s="272">
        <v>4250349</v>
      </c>
      <c r="EU26" s="272">
        <v>2584670</v>
      </c>
      <c r="EV26" s="272">
        <v>4245984</v>
      </c>
      <c r="EW26" s="455">
        <f t="shared" si="13"/>
        <v>678849</v>
      </c>
      <c r="EX26" s="272">
        <v>678849</v>
      </c>
      <c r="EY26" s="272">
        <v>5236</v>
      </c>
      <c r="EZ26" s="272">
        <v>657192</v>
      </c>
      <c r="FA26" s="272">
        <v>0</v>
      </c>
      <c r="FB26" s="272"/>
      <c r="FC26" s="272">
        <v>3397623</v>
      </c>
      <c r="FD26" s="272">
        <v>4006819</v>
      </c>
      <c r="FE26" s="272">
        <v>2642743</v>
      </c>
      <c r="FF26" s="272">
        <v>4134965</v>
      </c>
      <c r="FG26" s="455">
        <f t="shared" si="14"/>
        <v>881266</v>
      </c>
      <c r="FH26" s="272">
        <v>26255500</v>
      </c>
      <c r="FI26" s="384">
        <f t="shared" si="15"/>
        <v>-3.8</v>
      </c>
      <c r="FJ26" s="272">
        <v>21244469</v>
      </c>
      <c r="FK26" s="272">
        <v>1657064</v>
      </c>
      <c r="FL26" s="272">
        <v>10341428</v>
      </c>
      <c r="FM26" s="272">
        <v>17892030</v>
      </c>
      <c r="FN26" s="460">
        <v>0.58399999999999996</v>
      </c>
      <c r="FO26" s="388">
        <v>97.7</v>
      </c>
      <c r="FP26" s="388">
        <v>25.6</v>
      </c>
      <c r="FQ26" s="388">
        <v>11.1</v>
      </c>
      <c r="FR26" s="388">
        <v>18.2</v>
      </c>
      <c r="FS26" s="388">
        <v>14</v>
      </c>
      <c r="FT26" s="388">
        <v>16.2</v>
      </c>
      <c r="FU26" s="388">
        <v>12.1</v>
      </c>
      <c r="FV26" s="388">
        <v>8.3000000000000007</v>
      </c>
      <c r="FW26" s="272">
        <v>48708860</v>
      </c>
      <c r="FX26" s="384">
        <f t="shared" si="16"/>
        <v>229.3</v>
      </c>
      <c r="FY26" s="272">
        <v>1797899</v>
      </c>
      <c r="FZ26" s="272">
        <v>538588</v>
      </c>
      <c r="GA26" s="272">
        <v>71698</v>
      </c>
      <c r="GB26" s="272">
        <v>1187613</v>
      </c>
      <c r="GC26" s="272"/>
      <c r="GD26" s="272">
        <v>8431743</v>
      </c>
      <c r="GE26" s="384">
        <f t="shared" si="17"/>
        <v>39.700000000000003</v>
      </c>
      <c r="GF26" s="388">
        <v>97.1</v>
      </c>
      <c r="GG26" s="388">
        <v>23</v>
      </c>
      <c r="GH26" s="388">
        <v>92.5</v>
      </c>
      <c r="GI26" s="272">
        <v>641</v>
      </c>
    </row>
    <row r="27" spans="2:191" x14ac:dyDescent="0.15">
      <c r="B27" s="89" t="s">
        <v>47</v>
      </c>
      <c r="C27" s="272">
        <v>18705313</v>
      </c>
      <c r="D27" s="455">
        <f t="shared" si="0"/>
        <v>4123881</v>
      </c>
      <c r="E27" s="272">
        <v>137230</v>
      </c>
      <c r="F27" s="272">
        <v>3986651</v>
      </c>
      <c r="G27" s="455">
        <f t="shared" si="1"/>
        <v>1918266</v>
      </c>
      <c r="H27" s="272">
        <v>429678</v>
      </c>
      <c r="I27" s="272">
        <v>1488588</v>
      </c>
      <c r="J27" s="272">
        <v>9483899</v>
      </c>
      <c r="K27" s="272">
        <v>4718261</v>
      </c>
      <c r="L27" s="272">
        <v>3250994</v>
      </c>
      <c r="M27" s="272">
        <v>1392772</v>
      </c>
      <c r="N27" s="272">
        <v>1149673</v>
      </c>
      <c r="O27" s="272">
        <v>1933381</v>
      </c>
      <c r="P27" s="272">
        <v>1205084</v>
      </c>
      <c r="Q27" s="272">
        <v>728297</v>
      </c>
      <c r="R27" s="272">
        <v>492849</v>
      </c>
      <c r="S27" s="272">
        <v>227044</v>
      </c>
      <c r="T27" s="455">
        <f t="shared" si="2"/>
        <v>2066788</v>
      </c>
      <c r="U27" s="272">
        <v>140114</v>
      </c>
      <c r="V27" s="272">
        <v>36298</v>
      </c>
      <c r="W27" s="272">
        <v>29886</v>
      </c>
      <c r="X27" s="272">
        <v>1613418</v>
      </c>
      <c r="Y27" s="272">
        <v>0</v>
      </c>
      <c r="Z27" s="272">
        <v>0</v>
      </c>
      <c r="AA27" s="272">
        <v>247072</v>
      </c>
      <c r="AB27" s="272">
        <v>472956</v>
      </c>
      <c r="AC27" s="272">
        <v>5257843</v>
      </c>
      <c r="AD27" s="272">
        <v>5078818</v>
      </c>
      <c r="AE27" s="272">
        <v>179025</v>
      </c>
      <c r="AF27" s="272">
        <v>24579</v>
      </c>
      <c r="AG27" s="272">
        <v>196116</v>
      </c>
      <c r="AH27" s="455">
        <f t="shared" si="3"/>
        <v>741257</v>
      </c>
      <c r="AI27" s="272">
        <v>556252</v>
      </c>
      <c r="AJ27" s="272">
        <v>185005</v>
      </c>
      <c r="AK27" s="272">
        <v>9239448</v>
      </c>
      <c r="AL27" s="455">
        <f t="shared" si="4"/>
        <v>6501080</v>
      </c>
      <c r="AM27" s="272">
        <v>6153648</v>
      </c>
      <c r="AN27" s="272">
        <v>309923</v>
      </c>
      <c r="AO27" s="272">
        <v>0</v>
      </c>
      <c r="AP27" s="272">
        <v>37509</v>
      </c>
      <c r="AQ27" s="272">
        <v>488192</v>
      </c>
      <c r="AR27" s="272">
        <v>0</v>
      </c>
      <c r="AS27" s="272">
        <v>0</v>
      </c>
      <c r="AT27" s="272">
        <v>1825837</v>
      </c>
      <c r="AU27" s="272">
        <v>1134535</v>
      </c>
      <c r="AV27" s="272">
        <v>149976</v>
      </c>
      <c r="AW27" s="272">
        <v>37176</v>
      </c>
      <c r="AX27" s="272">
        <v>691302</v>
      </c>
      <c r="AY27" s="272">
        <v>81210</v>
      </c>
      <c r="AZ27" s="272">
        <v>167309</v>
      </c>
      <c r="BA27" s="272">
        <v>150688</v>
      </c>
      <c r="BB27" s="272">
        <v>9896</v>
      </c>
      <c r="BC27" s="272">
        <v>1401697</v>
      </c>
      <c r="BD27" s="272">
        <v>1040000</v>
      </c>
      <c r="BE27" s="272">
        <v>200000</v>
      </c>
      <c r="BF27" s="272">
        <v>161697</v>
      </c>
      <c r="BG27" s="272">
        <v>0</v>
      </c>
      <c r="BH27" s="272">
        <v>310305</v>
      </c>
      <c r="BI27" s="272">
        <v>289181</v>
      </c>
      <c r="BJ27" s="272">
        <v>291211</v>
      </c>
      <c r="BK27" s="272">
        <v>95022</v>
      </c>
      <c r="BL27" s="272">
        <v>0</v>
      </c>
      <c r="BM27" s="272">
        <v>0</v>
      </c>
      <c r="BN27" s="272">
        <v>4858200</v>
      </c>
      <c r="BO27" s="455">
        <f t="shared" si="5"/>
        <v>2825700</v>
      </c>
      <c r="BP27" s="455">
        <f t="shared" si="6"/>
        <v>2032500</v>
      </c>
      <c r="BQ27" s="272">
        <v>182200</v>
      </c>
      <c r="BR27" s="272"/>
      <c r="BS27" s="272">
        <v>1850300</v>
      </c>
      <c r="BT27" s="272">
        <v>0</v>
      </c>
      <c r="BU27" s="272">
        <v>46061604</v>
      </c>
      <c r="BV27" s="272"/>
      <c r="BW27" s="272">
        <v>11213582</v>
      </c>
      <c r="BX27" s="272">
        <v>7547110</v>
      </c>
      <c r="BY27" s="272">
        <v>1727089</v>
      </c>
      <c r="BZ27" s="272">
        <v>115114</v>
      </c>
      <c r="CA27" s="272">
        <v>12839016</v>
      </c>
      <c r="CB27" s="272">
        <v>1173311</v>
      </c>
      <c r="CC27" s="272">
        <v>328364</v>
      </c>
      <c r="CD27" s="272">
        <v>3122470</v>
      </c>
      <c r="CE27" s="272">
        <v>8015298</v>
      </c>
      <c r="CF27" s="272">
        <v>378</v>
      </c>
      <c r="CG27" s="272">
        <v>198785</v>
      </c>
      <c r="CH27" s="272">
        <v>4493134</v>
      </c>
      <c r="CI27" s="272">
        <v>3493006</v>
      </c>
      <c r="CJ27" s="455">
        <f t="shared" si="7"/>
        <v>1000128</v>
      </c>
      <c r="CK27" s="272">
        <v>4135988</v>
      </c>
      <c r="CL27" s="272">
        <v>2441571</v>
      </c>
      <c r="CM27" s="272">
        <v>194208</v>
      </c>
      <c r="CN27" s="272">
        <v>1002423</v>
      </c>
      <c r="CO27" s="272">
        <v>187209</v>
      </c>
      <c r="CP27" s="272">
        <v>3233968</v>
      </c>
      <c r="CQ27" s="272">
        <v>1954216</v>
      </c>
      <c r="CR27" s="272">
        <v>560721</v>
      </c>
      <c r="CS27" s="272">
        <v>397024</v>
      </c>
      <c r="CT27" s="455">
        <f t="shared" si="8"/>
        <v>6747</v>
      </c>
      <c r="CU27" s="272">
        <v>6617</v>
      </c>
      <c r="CV27" s="272">
        <v>130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4703250</v>
      </c>
      <c r="DD27" s="272">
        <v>1015530</v>
      </c>
      <c r="DE27" s="272">
        <v>3687720</v>
      </c>
      <c r="DF27" s="272">
        <v>0</v>
      </c>
      <c r="DG27" s="272">
        <v>0</v>
      </c>
      <c r="DH27" s="272">
        <v>0</v>
      </c>
      <c r="DI27" s="272">
        <v>150869</v>
      </c>
      <c r="DJ27" s="272">
        <v>147520</v>
      </c>
      <c r="DK27" s="272">
        <v>416</v>
      </c>
      <c r="DL27" s="272">
        <v>2933</v>
      </c>
      <c r="DM27" s="272">
        <v>0</v>
      </c>
      <c r="DN27" s="272">
        <v>0</v>
      </c>
      <c r="DO27" s="272">
        <v>0</v>
      </c>
      <c r="DP27" s="272">
        <v>0</v>
      </c>
      <c r="DQ27" s="272">
        <v>95000</v>
      </c>
      <c r="DR27" s="272">
        <v>0</v>
      </c>
      <c r="DS27" s="272">
        <v>0</v>
      </c>
      <c r="DT27" s="272">
        <v>4445816</v>
      </c>
      <c r="DU27" s="272">
        <v>1819000</v>
      </c>
      <c r="DV27" s="455">
        <f t="shared" si="11"/>
        <v>0</v>
      </c>
      <c r="DW27" s="272">
        <v>0</v>
      </c>
      <c r="DX27" s="272">
        <v>0</v>
      </c>
      <c r="DY27" s="272">
        <v>0</v>
      </c>
      <c r="DZ27" s="272">
        <v>1386537</v>
      </c>
      <c r="EA27" s="272">
        <v>505605</v>
      </c>
      <c r="EB27" s="272">
        <v>734674</v>
      </c>
      <c r="EC27" s="272">
        <v>0</v>
      </c>
      <c r="ED27" s="272">
        <v>45497832</v>
      </c>
      <c r="EF27" s="272">
        <v>563772</v>
      </c>
      <c r="EG27" s="272">
        <v>227153</v>
      </c>
      <c r="EH27" s="272">
        <v>336619</v>
      </c>
      <c r="EI27" s="272">
        <v>47438</v>
      </c>
      <c r="EJ27" s="272">
        <v>-845042</v>
      </c>
      <c r="EL27" s="272"/>
      <c r="EM27" s="272">
        <v>132466</v>
      </c>
      <c r="EN27" s="272">
        <v>1240000</v>
      </c>
      <c r="EO27" s="272">
        <v>149931</v>
      </c>
      <c r="EP27" s="455">
        <f t="shared" si="12"/>
        <v>839046</v>
      </c>
      <c r="EQ27" s="272">
        <v>27020328</v>
      </c>
      <c r="ER27" s="272">
        <v>-4236898</v>
      </c>
      <c r="ES27" s="272">
        <v>10721635</v>
      </c>
      <c r="ET27" s="272">
        <v>7113184</v>
      </c>
      <c r="EU27" s="272">
        <v>3605509</v>
      </c>
      <c r="EV27" s="272">
        <v>4397289</v>
      </c>
      <c r="EW27" s="455">
        <f t="shared" si="13"/>
        <v>1382747</v>
      </c>
      <c r="EX27" s="272">
        <v>1382747</v>
      </c>
      <c r="EY27" s="272">
        <v>16825</v>
      </c>
      <c r="EZ27" s="272">
        <v>1365922</v>
      </c>
      <c r="FA27" s="272">
        <v>0</v>
      </c>
      <c r="FB27" s="272"/>
      <c r="FC27" s="272">
        <v>3467774</v>
      </c>
      <c r="FD27" s="272">
        <v>2965114</v>
      </c>
      <c r="FE27" s="272">
        <v>1954216</v>
      </c>
      <c r="FF27" s="272">
        <v>3836672</v>
      </c>
      <c r="FG27" s="455">
        <f t="shared" si="14"/>
        <v>321565</v>
      </c>
      <c r="FH27" s="272">
        <v>30698305</v>
      </c>
      <c r="FI27" s="384">
        <f t="shared" si="15"/>
        <v>1.4</v>
      </c>
      <c r="FJ27" s="272">
        <v>24063458</v>
      </c>
      <c r="FK27" s="272">
        <v>1850308</v>
      </c>
      <c r="FL27" s="272">
        <v>14309063</v>
      </c>
      <c r="FM27" s="272">
        <v>19380198</v>
      </c>
      <c r="FN27" s="460">
        <v>0.753</v>
      </c>
      <c r="FO27" s="388">
        <v>100.8</v>
      </c>
      <c r="FP27" s="388">
        <v>36.4</v>
      </c>
      <c r="FQ27" s="388">
        <v>13.3</v>
      </c>
      <c r="FR27" s="388">
        <v>15.1</v>
      </c>
      <c r="FS27" s="388">
        <v>12.4</v>
      </c>
      <c r="FT27" s="388">
        <v>10.1</v>
      </c>
      <c r="FU27" s="388">
        <v>12.8</v>
      </c>
      <c r="FV27" s="388">
        <v>9.3000000000000007</v>
      </c>
      <c r="FW27" s="272">
        <v>46601311</v>
      </c>
      <c r="FX27" s="384">
        <f t="shared" si="16"/>
        <v>193.7</v>
      </c>
      <c r="FY27" s="272">
        <v>8138797</v>
      </c>
      <c r="FZ27" s="272">
        <v>6191436</v>
      </c>
      <c r="GA27" s="272">
        <v>282945</v>
      </c>
      <c r="GB27" s="272">
        <v>1664416</v>
      </c>
      <c r="GC27" s="272"/>
      <c r="GD27" s="272">
        <v>6639631</v>
      </c>
      <c r="GE27" s="384">
        <f t="shared" si="17"/>
        <v>27.6</v>
      </c>
      <c r="GF27" s="388">
        <v>96.8</v>
      </c>
      <c r="GG27" s="388">
        <v>12.7</v>
      </c>
      <c r="GH27" s="388">
        <v>86.7</v>
      </c>
      <c r="GI27" s="272">
        <v>1035</v>
      </c>
    </row>
    <row r="28" spans="2:191" x14ac:dyDescent="0.15">
      <c r="B28" s="89" t="s">
        <v>49</v>
      </c>
      <c r="C28" s="272">
        <v>17285470</v>
      </c>
      <c r="D28" s="455">
        <f t="shared" si="0"/>
        <v>3334338</v>
      </c>
      <c r="E28" s="272">
        <v>99464</v>
      </c>
      <c r="F28" s="272">
        <v>3234874</v>
      </c>
      <c r="G28" s="455">
        <f t="shared" si="1"/>
        <v>2139368</v>
      </c>
      <c r="H28" s="272">
        <v>340227</v>
      </c>
      <c r="I28" s="272">
        <v>1799141</v>
      </c>
      <c r="J28" s="272">
        <v>9326108</v>
      </c>
      <c r="K28" s="272">
        <v>4718892</v>
      </c>
      <c r="L28" s="272">
        <v>2478787</v>
      </c>
      <c r="M28" s="272">
        <v>2025148</v>
      </c>
      <c r="N28" s="272">
        <v>659494</v>
      </c>
      <c r="O28" s="272">
        <v>1758592</v>
      </c>
      <c r="P28" s="272">
        <v>1200306</v>
      </c>
      <c r="Q28" s="272">
        <v>558286</v>
      </c>
      <c r="R28" s="272">
        <v>344453</v>
      </c>
      <c r="S28" s="272">
        <v>142379</v>
      </c>
      <c r="T28" s="455">
        <f t="shared" si="2"/>
        <v>1384234</v>
      </c>
      <c r="U28" s="272">
        <v>107232</v>
      </c>
      <c r="V28" s="272">
        <v>27667</v>
      </c>
      <c r="W28" s="272">
        <v>22995</v>
      </c>
      <c r="X28" s="272">
        <v>1035591</v>
      </c>
      <c r="Y28" s="272">
        <v>2915</v>
      </c>
      <c r="Z28" s="272">
        <v>0</v>
      </c>
      <c r="AA28" s="272">
        <v>187834</v>
      </c>
      <c r="AB28" s="272">
        <v>450536</v>
      </c>
      <c r="AC28" s="272">
        <v>335206</v>
      </c>
      <c r="AD28" s="272">
        <v>0</v>
      </c>
      <c r="AE28" s="272">
        <v>335206</v>
      </c>
      <c r="AF28" s="272">
        <v>19342</v>
      </c>
      <c r="AG28" s="272">
        <v>268517</v>
      </c>
      <c r="AH28" s="455">
        <f t="shared" si="3"/>
        <v>783564</v>
      </c>
      <c r="AI28" s="272">
        <v>616847</v>
      </c>
      <c r="AJ28" s="272">
        <v>166717</v>
      </c>
      <c r="AK28" s="272">
        <v>2762047</v>
      </c>
      <c r="AL28" s="455">
        <f t="shared" si="4"/>
        <v>1568579</v>
      </c>
      <c r="AM28" s="272">
        <v>1265544</v>
      </c>
      <c r="AN28" s="272">
        <v>289250</v>
      </c>
      <c r="AO28" s="272">
        <v>0</v>
      </c>
      <c r="AP28" s="272">
        <v>13785</v>
      </c>
      <c r="AQ28" s="272">
        <v>32039</v>
      </c>
      <c r="AR28" s="272">
        <v>0</v>
      </c>
      <c r="AS28" s="272">
        <v>0</v>
      </c>
      <c r="AT28" s="272">
        <v>1153911</v>
      </c>
      <c r="AU28" s="272">
        <v>681391</v>
      </c>
      <c r="AV28" s="272">
        <v>143373</v>
      </c>
      <c r="AW28" s="272">
        <v>3870</v>
      </c>
      <c r="AX28" s="272">
        <v>472520</v>
      </c>
      <c r="AY28" s="272">
        <v>36315</v>
      </c>
      <c r="AZ28" s="272">
        <v>46747</v>
      </c>
      <c r="BA28" s="272">
        <v>20978</v>
      </c>
      <c r="BB28" s="272">
        <v>43635</v>
      </c>
      <c r="BC28" s="272">
        <v>1466234</v>
      </c>
      <c r="BD28" s="272">
        <v>0</v>
      </c>
      <c r="BE28" s="272">
        <v>0</v>
      </c>
      <c r="BF28" s="272">
        <v>9529</v>
      </c>
      <c r="BG28" s="272">
        <v>1421000</v>
      </c>
      <c r="BH28" s="272">
        <v>91925</v>
      </c>
      <c r="BI28" s="272">
        <v>66966</v>
      </c>
      <c r="BJ28" s="272">
        <v>583078</v>
      </c>
      <c r="BK28" s="272">
        <v>103633</v>
      </c>
      <c r="BL28" s="272">
        <v>0</v>
      </c>
      <c r="BM28" s="272">
        <v>0</v>
      </c>
      <c r="BN28" s="272">
        <v>1639100</v>
      </c>
      <c r="BO28" s="455">
        <f t="shared" si="5"/>
        <v>190900</v>
      </c>
      <c r="BP28" s="455">
        <f t="shared" si="6"/>
        <v>1448200</v>
      </c>
      <c r="BQ28" s="272">
        <v>205300</v>
      </c>
      <c r="BR28" s="272"/>
      <c r="BS28" s="272">
        <v>1242900</v>
      </c>
      <c r="BT28" s="272">
        <v>0</v>
      </c>
      <c r="BU28" s="272">
        <v>28657999</v>
      </c>
      <c r="BV28" s="272"/>
      <c r="BW28" s="272">
        <v>7658556</v>
      </c>
      <c r="BX28" s="272">
        <v>5126823</v>
      </c>
      <c r="BY28" s="272">
        <v>1139943</v>
      </c>
      <c r="BZ28" s="272">
        <v>137842</v>
      </c>
      <c r="CA28" s="272">
        <v>4447608</v>
      </c>
      <c r="CB28" s="272">
        <v>485433</v>
      </c>
      <c r="CC28" s="272">
        <v>277593</v>
      </c>
      <c r="CD28" s="272">
        <v>1947438</v>
      </c>
      <c r="CE28" s="272">
        <v>1602267</v>
      </c>
      <c r="CF28" s="272">
        <v>0</v>
      </c>
      <c r="CG28" s="272">
        <v>134877</v>
      </c>
      <c r="CH28" s="272">
        <v>4696407</v>
      </c>
      <c r="CI28" s="272">
        <v>3661127</v>
      </c>
      <c r="CJ28" s="455">
        <f t="shared" si="7"/>
        <v>1035280</v>
      </c>
      <c r="CK28" s="272">
        <v>4192423</v>
      </c>
      <c r="CL28" s="272">
        <v>2326379</v>
      </c>
      <c r="CM28" s="272">
        <v>318090</v>
      </c>
      <c r="CN28" s="272">
        <v>916250</v>
      </c>
      <c r="CO28" s="272">
        <v>412497</v>
      </c>
      <c r="CP28" s="272">
        <v>1248471</v>
      </c>
      <c r="CQ28" s="272">
        <v>6320</v>
      </c>
      <c r="CR28" s="272">
        <v>683238</v>
      </c>
      <c r="CS28" s="272">
        <v>300905</v>
      </c>
      <c r="CT28" s="455">
        <f t="shared" si="8"/>
        <v>18317</v>
      </c>
      <c r="CU28" s="272">
        <v>1836</v>
      </c>
      <c r="CV28" s="272">
        <v>16481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660817</v>
      </c>
      <c r="DD28" s="272">
        <v>66459</v>
      </c>
      <c r="DE28" s="272">
        <v>568822</v>
      </c>
      <c r="DF28" s="272">
        <v>0</v>
      </c>
      <c r="DG28" s="272">
        <v>25536</v>
      </c>
      <c r="DH28" s="272">
        <v>0</v>
      </c>
      <c r="DI28" s="272">
        <v>699191</v>
      </c>
      <c r="DJ28" s="272">
        <v>226720</v>
      </c>
      <c r="DK28" s="272">
        <v>434638</v>
      </c>
      <c r="DL28" s="272">
        <v>37833</v>
      </c>
      <c r="DM28" s="272">
        <v>0</v>
      </c>
      <c r="DN28" s="272">
        <v>0</v>
      </c>
      <c r="DO28" s="272">
        <v>0</v>
      </c>
      <c r="DP28" s="272">
        <v>0</v>
      </c>
      <c r="DQ28" s="272">
        <v>104860</v>
      </c>
      <c r="DR28" s="272">
        <v>0</v>
      </c>
      <c r="DS28" s="272">
        <v>0</v>
      </c>
      <c r="DT28" s="272">
        <v>4468501</v>
      </c>
      <c r="DU28" s="272">
        <v>2609950</v>
      </c>
      <c r="DV28" s="455">
        <f t="shared" si="11"/>
        <v>0</v>
      </c>
      <c r="DW28" s="272">
        <v>0</v>
      </c>
      <c r="DX28" s="272">
        <v>0</v>
      </c>
      <c r="DY28" s="272">
        <v>168849</v>
      </c>
      <c r="DZ28" s="272">
        <v>844225</v>
      </c>
      <c r="EA28" s="272">
        <v>314369</v>
      </c>
      <c r="EB28" s="272">
        <v>460752</v>
      </c>
      <c r="EC28" s="272">
        <v>0</v>
      </c>
      <c r="ED28" s="272">
        <v>28589331</v>
      </c>
      <c r="EF28" s="272">
        <v>68668</v>
      </c>
      <c r="EG28" s="272">
        <v>1406</v>
      </c>
      <c r="EH28" s="272">
        <v>67262</v>
      </c>
      <c r="EI28" s="272">
        <v>296</v>
      </c>
      <c r="EJ28" s="272">
        <v>227016</v>
      </c>
      <c r="EL28" s="272"/>
      <c r="EM28" s="272">
        <v>84041</v>
      </c>
      <c r="EN28" s="272">
        <v>1456705</v>
      </c>
      <c r="EO28" s="272">
        <v>44697</v>
      </c>
      <c r="EP28" s="455">
        <f t="shared" si="12"/>
        <v>379114</v>
      </c>
      <c r="EQ28" s="272">
        <v>19819241</v>
      </c>
      <c r="ER28" s="272">
        <v>-3309374</v>
      </c>
      <c r="ES28" s="272">
        <v>7253429</v>
      </c>
      <c r="ET28" s="272">
        <v>4815633</v>
      </c>
      <c r="EU28" s="272">
        <v>1355602</v>
      </c>
      <c r="EV28" s="272">
        <v>4633093</v>
      </c>
      <c r="EW28" s="455">
        <f t="shared" si="13"/>
        <v>343733</v>
      </c>
      <c r="EX28" s="272">
        <v>343733</v>
      </c>
      <c r="EY28" s="272">
        <v>16755</v>
      </c>
      <c r="EZ28" s="272">
        <v>326978</v>
      </c>
      <c r="FA28" s="272">
        <v>0</v>
      </c>
      <c r="FB28" s="272"/>
      <c r="FC28" s="272">
        <v>3065355</v>
      </c>
      <c r="FD28" s="272">
        <v>1090038</v>
      </c>
      <c r="FE28" s="272">
        <v>6320</v>
      </c>
      <c r="FF28" s="272">
        <v>4231663</v>
      </c>
      <c r="FG28" s="455">
        <f t="shared" si="14"/>
        <v>1087034</v>
      </c>
      <c r="FH28" s="272">
        <v>23059947</v>
      </c>
      <c r="FI28" s="384">
        <f t="shared" si="15"/>
        <v>0.4</v>
      </c>
      <c r="FJ28" s="272">
        <v>17286017</v>
      </c>
      <c r="FK28" s="272">
        <v>1242977</v>
      </c>
      <c r="FL28" s="272">
        <v>13018485</v>
      </c>
      <c r="FM28" s="272">
        <v>12896004</v>
      </c>
      <c r="FN28" s="460">
        <v>0.996</v>
      </c>
      <c r="FO28" s="388">
        <v>105.6</v>
      </c>
      <c r="FP28" s="388">
        <v>34.9</v>
      </c>
      <c r="FQ28" s="388">
        <v>7</v>
      </c>
      <c r="FR28" s="388">
        <v>24</v>
      </c>
      <c r="FS28" s="388">
        <v>15.4</v>
      </c>
      <c r="FT28" s="388">
        <v>5.2</v>
      </c>
      <c r="FU28" s="388">
        <v>16.899999999999999</v>
      </c>
      <c r="FV28" s="388">
        <v>16.2</v>
      </c>
      <c r="FW28" s="272">
        <v>36612011</v>
      </c>
      <c r="FX28" s="384">
        <f t="shared" si="16"/>
        <v>211.8</v>
      </c>
      <c r="FY28" s="272">
        <v>7185286</v>
      </c>
      <c r="FZ28" s="272">
        <v>1010306</v>
      </c>
      <c r="GA28" s="272">
        <v>2598530</v>
      </c>
      <c r="GB28" s="272">
        <v>3576450</v>
      </c>
      <c r="GC28" s="272">
        <v>1421000</v>
      </c>
      <c r="GD28" s="272">
        <v>2405629</v>
      </c>
      <c r="GE28" s="384">
        <f t="shared" si="17"/>
        <v>13.9</v>
      </c>
      <c r="GF28" s="388">
        <v>98.3</v>
      </c>
      <c r="GG28" s="388">
        <v>23.6</v>
      </c>
      <c r="GH28" s="388">
        <v>93.6</v>
      </c>
      <c r="GI28" s="272">
        <v>674</v>
      </c>
    </row>
    <row r="29" spans="2:191" x14ac:dyDescent="0.15">
      <c r="B29" s="89" t="s">
        <v>51</v>
      </c>
      <c r="C29" s="272">
        <v>10515629</v>
      </c>
      <c r="D29" s="455">
        <f t="shared" si="0"/>
        <v>2583389</v>
      </c>
      <c r="E29" s="272">
        <v>64783</v>
      </c>
      <c r="F29" s="272">
        <v>2518606</v>
      </c>
      <c r="G29" s="455">
        <f t="shared" si="1"/>
        <v>635081</v>
      </c>
      <c r="H29" s="272">
        <v>149358</v>
      </c>
      <c r="I29" s="272">
        <v>485723</v>
      </c>
      <c r="J29" s="272">
        <v>5841039</v>
      </c>
      <c r="K29" s="272">
        <v>2803298</v>
      </c>
      <c r="L29" s="272">
        <v>1411571</v>
      </c>
      <c r="M29" s="272">
        <v>1575022</v>
      </c>
      <c r="N29" s="272">
        <v>374358</v>
      </c>
      <c r="O29" s="272">
        <v>1038556</v>
      </c>
      <c r="P29" s="272">
        <v>715049</v>
      </c>
      <c r="Q29" s="272">
        <v>323507</v>
      </c>
      <c r="R29" s="272">
        <v>274961</v>
      </c>
      <c r="S29" s="272">
        <v>104209</v>
      </c>
      <c r="T29" s="455">
        <f t="shared" si="2"/>
        <v>834178</v>
      </c>
      <c r="U29" s="272">
        <v>79174</v>
      </c>
      <c r="V29" s="272">
        <v>20412</v>
      </c>
      <c r="W29" s="272">
        <v>16996</v>
      </c>
      <c r="X29" s="272">
        <v>594345</v>
      </c>
      <c r="Y29" s="272">
        <v>0</v>
      </c>
      <c r="Z29" s="272">
        <v>575</v>
      </c>
      <c r="AA29" s="272">
        <v>122676</v>
      </c>
      <c r="AB29" s="272">
        <v>288026</v>
      </c>
      <c r="AC29" s="272">
        <v>718015</v>
      </c>
      <c r="AD29" s="272">
        <v>664012</v>
      </c>
      <c r="AE29" s="272">
        <v>54003</v>
      </c>
      <c r="AF29" s="272">
        <v>10248</v>
      </c>
      <c r="AG29" s="272">
        <v>75289</v>
      </c>
      <c r="AH29" s="455">
        <f t="shared" si="3"/>
        <v>507434</v>
      </c>
      <c r="AI29" s="272">
        <v>463306</v>
      </c>
      <c r="AJ29" s="272">
        <v>44128</v>
      </c>
      <c r="AK29" s="272">
        <v>1820214</v>
      </c>
      <c r="AL29" s="455">
        <f t="shared" si="4"/>
        <v>959661</v>
      </c>
      <c r="AM29" s="272">
        <v>848867</v>
      </c>
      <c r="AN29" s="272">
        <v>109729</v>
      </c>
      <c r="AO29" s="272">
        <v>0</v>
      </c>
      <c r="AP29" s="272">
        <v>1065</v>
      </c>
      <c r="AQ29" s="272">
        <v>29400</v>
      </c>
      <c r="AR29" s="272">
        <v>0</v>
      </c>
      <c r="AS29" s="272">
        <v>0</v>
      </c>
      <c r="AT29" s="272">
        <v>1434626</v>
      </c>
      <c r="AU29" s="272">
        <v>976188</v>
      </c>
      <c r="AV29" s="272">
        <v>60498</v>
      </c>
      <c r="AW29" s="272">
        <v>3859</v>
      </c>
      <c r="AX29" s="272">
        <v>458438</v>
      </c>
      <c r="AY29" s="272">
        <v>59551</v>
      </c>
      <c r="AZ29" s="272">
        <v>36614</v>
      </c>
      <c r="BA29" s="272">
        <v>26265</v>
      </c>
      <c r="BB29" s="272">
        <v>7602</v>
      </c>
      <c r="BC29" s="272">
        <v>1824349</v>
      </c>
      <c r="BD29" s="272">
        <v>70693</v>
      </c>
      <c r="BE29" s="272">
        <v>0</v>
      </c>
      <c r="BF29" s="272">
        <v>302986</v>
      </c>
      <c r="BG29" s="272">
        <v>1400000</v>
      </c>
      <c r="BH29" s="272">
        <v>55854</v>
      </c>
      <c r="BI29" s="272">
        <v>55046</v>
      </c>
      <c r="BJ29" s="272">
        <v>177546</v>
      </c>
      <c r="BK29" s="272">
        <v>11474</v>
      </c>
      <c r="BL29" s="272">
        <v>0</v>
      </c>
      <c r="BM29" s="272">
        <v>0</v>
      </c>
      <c r="BN29" s="272">
        <v>1168100</v>
      </c>
      <c r="BO29" s="455">
        <f t="shared" si="5"/>
        <v>124400</v>
      </c>
      <c r="BP29" s="455">
        <f t="shared" si="6"/>
        <v>1043700</v>
      </c>
      <c r="BQ29" s="272">
        <v>109300</v>
      </c>
      <c r="BR29" s="272"/>
      <c r="BS29" s="272">
        <v>934400</v>
      </c>
      <c r="BT29" s="272">
        <v>0</v>
      </c>
      <c r="BU29" s="272">
        <v>19748685</v>
      </c>
      <c r="BV29" s="272"/>
      <c r="BW29" s="272">
        <v>5487208</v>
      </c>
      <c r="BX29" s="272">
        <v>3555304</v>
      </c>
      <c r="BY29" s="272">
        <v>914783</v>
      </c>
      <c r="BZ29" s="272">
        <v>139796</v>
      </c>
      <c r="CA29" s="272">
        <v>3037917</v>
      </c>
      <c r="CB29" s="272">
        <v>471616</v>
      </c>
      <c r="CC29" s="272">
        <v>181201</v>
      </c>
      <c r="CD29" s="272">
        <v>1197509</v>
      </c>
      <c r="CE29" s="272">
        <v>1129912</v>
      </c>
      <c r="CF29" s="272">
        <v>0</v>
      </c>
      <c r="CG29" s="272">
        <v>57679</v>
      </c>
      <c r="CH29" s="272">
        <v>2089086</v>
      </c>
      <c r="CI29" s="272">
        <v>1491381</v>
      </c>
      <c r="CJ29" s="455">
        <f t="shared" si="7"/>
        <v>597705</v>
      </c>
      <c r="CK29" s="272">
        <v>2276848</v>
      </c>
      <c r="CL29" s="272">
        <v>1422057</v>
      </c>
      <c r="CM29" s="272">
        <v>122310</v>
      </c>
      <c r="CN29" s="272">
        <v>404006</v>
      </c>
      <c r="CO29" s="272">
        <v>14878</v>
      </c>
      <c r="CP29" s="272">
        <v>2753495</v>
      </c>
      <c r="CQ29" s="272">
        <v>1974966</v>
      </c>
      <c r="CR29" s="272">
        <v>255173</v>
      </c>
      <c r="CS29" s="272">
        <v>187677</v>
      </c>
      <c r="CT29" s="455">
        <f t="shared" si="8"/>
        <v>23</v>
      </c>
      <c r="CU29" s="272">
        <v>23</v>
      </c>
      <c r="CV29" s="272">
        <v>0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924342</v>
      </c>
      <c r="DD29" s="272">
        <v>12600</v>
      </c>
      <c r="DE29" s="272">
        <v>354533</v>
      </c>
      <c r="DF29" s="272">
        <v>0</v>
      </c>
      <c r="DG29" s="272">
        <v>557209</v>
      </c>
      <c r="DH29" s="272">
        <v>0</v>
      </c>
      <c r="DI29" s="272">
        <v>96077</v>
      </c>
      <c r="DJ29" s="272">
        <v>73018</v>
      </c>
      <c r="DK29" s="272">
        <v>0</v>
      </c>
      <c r="DL29" s="272">
        <v>23059</v>
      </c>
      <c r="DM29" s="272">
        <v>0</v>
      </c>
      <c r="DN29" s="272">
        <v>0</v>
      </c>
      <c r="DO29" s="272">
        <v>0</v>
      </c>
      <c r="DP29" s="272">
        <v>0</v>
      </c>
      <c r="DQ29" s="272">
        <v>23990</v>
      </c>
      <c r="DR29" s="272">
        <v>0</v>
      </c>
      <c r="DS29" s="272">
        <v>0</v>
      </c>
      <c r="DT29" s="272">
        <v>2934248</v>
      </c>
      <c r="DU29" s="272">
        <v>1542705</v>
      </c>
      <c r="DV29" s="455">
        <f t="shared" si="11"/>
        <v>0</v>
      </c>
      <c r="DW29" s="272">
        <v>0</v>
      </c>
      <c r="DX29" s="272">
        <v>0</v>
      </c>
      <c r="DY29" s="272">
        <v>0</v>
      </c>
      <c r="DZ29" s="272">
        <v>601394</v>
      </c>
      <c r="EA29" s="272">
        <v>334226</v>
      </c>
      <c r="EB29" s="272">
        <v>455922</v>
      </c>
      <c r="EC29" s="272">
        <v>0</v>
      </c>
      <c r="ED29" s="272">
        <v>19638089</v>
      </c>
      <c r="EF29" s="272">
        <v>110596</v>
      </c>
      <c r="EG29" s="272">
        <v>0</v>
      </c>
      <c r="EH29" s="272">
        <v>110596</v>
      </c>
      <c r="EI29" s="272">
        <v>55550</v>
      </c>
      <c r="EJ29" s="272">
        <v>57875</v>
      </c>
      <c r="EL29" s="272"/>
      <c r="EM29" s="272">
        <v>61206</v>
      </c>
      <c r="EN29" s="272">
        <v>1487873</v>
      </c>
      <c r="EO29" s="272">
        <v>35809</v>
      </c>
      <c r="EP29" s="455">
        <f t="shared" si="12"/>
        <v>225098</v>
      </c>
      <c r="EQ29" s="272">
        <v>12641057</v>
      </c>
      <c r="ER29" s="272">
        <v>-2782232</v>
      </c>
      <c r="ES29" s="272">
        <v>5136231</v>
      </c>
      <c r="ET29" s="272">
        <v>3253483</v>
      </c>
      <c r="EU29" s="272">
        <v>974553</v>
      </c>
      <c r="EV29" s="272">
        <v>1866914</v>
      </c>
      <c r="EW29" s="455">
        <f t="shared" si="13"/>
        <v>206171</v>
      </c>
      <c r="EX29" s="272">
        <v>206171</v>
      </c>
      <c r="EY29" s="272">
        <v>500</v>
      </c>
      <c r="EZ29" s="272">
        <v>205671</v>
      </c>
      <c r="FA29" s="272">
        <v>0</v>
      </c>
      <c r="FB29" s="272"/>
      <c r="FC29" s="272">
        <v>1763027</v>
      </c>
      <c r="FD29" s="272">
        <v>2567796</v>
      </c>
      <c r="FE29" s="272">
        <v>1974966</v>
      </c>
      <c r="FF29" s="272">
        <v>2701883</v>
      </c>
      <c r="FG29" s="455">
        <f t="shared" si="14"/>
        <v>96118</v>
      </c>
      <c r="FH29" s="272">
        <v>15312693</v>
      </c>
      <c r="FI29" s="384">
        <f t="shared" si="15"/>
        <v>1</v>
      </c>
      <c r="FJ29" s="272">
        <v>11449776</v>
      </c>
      <c r="FK29" s="272">
        <v>934422</v>
      </c>
      <c r="FL29" s="272">
        <v>8132920</v>
      </c>
      <c r="FM29" s="272">
        <v>8796932</v>
      </c>
      <c r="FN29" s="460">
        <v>0.94799999999999995</v>
      </c>
      <c r="FO29" s="388">
        <v>106</v>
      </c>
      <c r="FP29" s="388">
        <v>35.299999999999997</v>
      </c>
      <c r="FQ29" s="388">
        <v>7.7</v>
      </c>
      <c r="FR29" s="388">
        <v>14.7</v>
      </c>
      <c r="FS29" s="388">
        <v>13.7</v>
      </c>
      <c r="FT29" s="388">
        <v>18.3</v>
      </c>
      <c r="FU29" s="388">
        <v>16.2</v>
      </c>
      <c r="FV29" s="388">
        <v>10.1</v>
      </c>
      <c r="FW29" s="272">
        <v>30620151</v>
      </c>
      <c r="FX29" s="384">
        <f t="shared" si="16"/>
        <v>267.39999999999998</v>
      </c>
      <c r="FY29" s="272">
        <v>5578298</v>
      </c>
      <c r="FZ29" s="272">
        <v>163730</v>
      </c>
      <c r="GA29" s="272"/>
      <c r="GB29" s="272">
        <v>5414568</v>
      </c>
      <c r="GC29" s="272">
        <v>4090000</v>
      </c>
      <c r="GD29" s="272">
        <v>12541473</v>
      </c>
      <c r="GE29" s="384">
        <f t="shared" si="17"/>
        <v>109.5</v>
      </c>
      <c r="GF29" s="388">
        <v>98.6</v>
      </c>
      <c r="GG29" s="388">
        <v>20.7</v>
      </c>
      <c r="GH29" s="388">
        <v>92.9</v>
      </c>
      <c r="GI29" s="272">
        <v>490</v>
      </c>
    </row>
    <row r="30" spans="2:191" x14ac:dyDescent="0.15">
      <c r="B30" s="89" t="s">
        <v>53</v>
      </c>
      <c r="C30" s="272">
        <v>7750933</v>
      </c>
      <c r="D30" s="455">
        <f t="shared" si="0"/>
        <v>2884580</v>
      </c>
      <c r="E30" s="272">
        <v>66546</v>
      </c>
      <c r="F30" s="272">
        <v>2818034</v>
      </c>
      <c r="G30" s="455">
        <f t="shared" si="1"/>
        <v>490499</v>
      </c>
      <c r="H30" s="272">
        <v>149604</v>
      </c>
      <c r="I30" s="272">
        <v>340895</v>
      </c>
      <c r="J30" s="272">
        <v>3178872</v>
      </c>
      <c r="K30" s="272">
        <v>1577351</v>
      </c>
      <c r="L30" s="272">
        <v>1280795</v>
      </c>
      <c r="M30" s="272">
        <v>286478</v>
      </c>
      <c r="N30" s="272">
        <v>371603</v>
      </c>
      <c r="O30" s="272">
        <v>773888</v>
      </c>
      <c r="P30" s="272">
        <v>485254</v>
      </c>
      <c r="Q30" s="272">
        <v>288634</v>
      </c>
      <c r="R30" s="272">
        <v>256812</v>
      </c>
      <c r="S30" s="272">
        <v>111817</v>
      </c>
      <c r="T30" s="455">
        <f t="shared" si="2"/>
        <v>879038</v>
      </c>
      <c r="U30" s="272">
        <v>84281</v>
      </c>
      <c r="V30" s="272">
        <v>21699</v>
      </c>
      <c r="W30" s="272">
        <v>18125</v>
      </c>
      <c r="X30" s="272">
        <v>620162</v>
      </c>
      <c r="Y30" s="272">
        <v>0</v>
      </c>
      <c r="Z30" s="272">
        <v>0</v>
      </c>
      <c r="AA30" s="272">
        <v>134771</v>
      </c>
      <c r="AB30" s="272">
        <v>303836</v>
      </c>
      <c r="AC30" s="272">
        <v>3591578</v>
      </c>
      <c r="AD30" s="272">
        <v>3369535</v>
      </c>
      <c r="AE30" s="272">
        <v>222043</v>
      </c>
      <c r="AF30" s="272">
        <v>13103</v>
      </c>
      <c r="AG30" s="272">
        <v>61866</v>
      </c>
      <c r="AH30" s="455">
        <f t="shared" si="3"/>
        <v>442460</v>
      </c>
      <c r="AI30" s="272">
        <v>390396</v>
      </c>
      <c r="AJ30" s="272">
        <v>52064</v>
      </c>
      <c r="AK30" s="272">
        <v>2770983</v>
      </c>
      <c r="AL30" s="455">
        <f t="shared" si="4"/>
        <v>1567512</v>
      </c>
      <c r="AM30" s="272">
        <v>1465029</v>
      </c>
      <c r="AN30" s="272">
        <v>96281</v>
      </c>
      <c r="AO30" s="272">
        <v>0</v>
      </c>
      <c r="AP30" s="272">
        <v>6202</v>
      </c>
      <c r="AQ30" s="272">
        <v>96298</v>
      </c>
      <c r="AR30" s="272">
        <v>0</v>
      </c>
      <c r="AS30" s="272">
        <v>0</v>
      </c>
      <c r="AT30" s="272">
        <v>757642</v>
      </c>
      <c r="AU30" s="272">
        <v>441503</v>
      </c>
      <c r="AV30" s="272">
        <v>69845</v>
      </c>
      <c r="AW30" s="272">
        <v>0</v>
      </c>
      <c r="AX30" s="272">
        <v>316139</v>
      </c>
      <c r="AY30" s="272">
        <v>8620</v>
      </c>
      <c r="AZ30" s="272">
        <v>6977</v>
      </c>
      <c r="BA30" s="272">
        <v>40</v>
      </c>
      <c r="BB30" s="272">
        <v>93718</v>
      </c>
      <c r="BC30" s="272">
        <v>621971</v>
      </c>
      <c r="BD30" s="272">
        <v>427000</v>
      </c>
      <c r="BE30" s="272">
        <v>0</v>
      </c>
      <c r="BF30" s="272">
        <v>194971</v>
      </c>
      <c r="BG30" s="272">
        <v>0</v>
      </c>
      <c r="BH30" s="272">
        <v>3722</v>
      </c>
      <c r="BI30" s="272">
        <v>3420</v>
      </c>
      <c r="BJ30" s="272">
        <v>224068</v>
      </c>
      <c r="BK30" s="272">
        <v>20000</v>
      </c>
      <c r="BL30" s="272">
        <v>0</v>
      </c>
      <c r="BM30" s="272">
        <v>0</v>
      </c>
      <c r="BN30" s="272">
        <v>1236900</v>
      </c>
      <c r="BO30" s="455">
        <f t="shared" si="5"/>
        <v>129400</v>
      </c>
      <c r="BP30" s="455">
        <f t="shared" si="6"/>
        <v>1107500</v>
      </c>
      <c r="BQ30" s="272">
        <v>107500</v>
      </c>
      <c r="BR30" s="272"/>
      <c r="BS30" s="272">
        <v>1000000</v>
      </c>
      <c r="BT30" s="272">
        <v>0</v>
      </c>
      <c r="BU30" s="272">
        <v>19015607</v>
      </c>
      <c r="BV30" s="272"/>
      <c r="BW30" s="272">
        <v>5214136</v>
      </c>
      <c r="BX30" s="272">
        <v>3579755</v>
      </c>
      <c r="BY30" s="272">
        <v>450333</v>
      </c>
      <c r="BZ30" s="272">
        <v>252350</v>
      </c>
      <c r="CA30" s="272">
        <v>4001402</v>
      </c>
      <c r="CB30" s="272">
        <v>653744</v>
      </c>
      <c r="CC30" s="272">
        <v>186598</v>
      </c>
      <c r="CD30" s="272">
        <v>1184796</v>
      </c>
      <c r="CE30" s="272">
        <v>1925040</v>
      </c>
      <c r="CF30" s="272">
        <v>0</v>
      </c>
      <c r="CG30" s="272">
        <v>51164</v>
      </c>
      <c r="CH30" s="272">
        <v>1379108</v>
      </c>
      <c r="CI30" s="272">
        <v>1095494</v>
      </c>
      <c r="CJ30" s="455">
        <f t="shared" si="7"/>
        <v>283614</v>
      </c>
      <c r="CK30" s="272">
        <v>2121359</v>
      </c>
      <c r="CL30" s="272">
        <v>1118542</v>
      </c>
      <c r="CM30" s="272">
        <v>247734</v>
      </c>
      <c r="CN30" s="272">
        <v>352181</v>
      </c>
      <c r="CO30" s="272">
        <v>89091</v>
      </c>
      <c r="CP30" s="272">
        <v>2774505</v>
      </c>
      <c r="CQ30" s="272">
        <v>2069887</v>
      </c>
      <c r="CR30" s="272">
        <v>306650</v>
      </c>
      <c r="CS30" s="272">
        <v>241156</v>
      </c>
      <c r="CT30" s="455">
        <f t="shared" si="8"/>
        <v>133248</v>
      </c>
      <c r="CU30" s="272">
        <v>83571</v>
      </c>
      <c r="CV30" s="272">
        <v>49677</v>
      </c>
      <c r="CW30" s="455">
        <f t="shared" si="9"/>
        <v>121677</v>
      </c>
      <c r="CX30" s="272">
        <v>77245</v>
      </c>
      <c r="CY30" s="272">
        <v>44432</v>
      </c>
      <c r="CZ30" s="455">
        <f t="shared" si="10"/>
        <v>0</v>
      </c>
      <c r="DA30" s="272">
        <v>0</v>
      </c>
      <c r="DB30" s="272">
        <v>0</v>
      </c>
      <c r="DC30" s="272">
        <v>517755</v>
      </c>
      <c r="DD30" s="272">
        <v>143636</v>
      </c>
      <c r="DE30" s="272">
        <v>374119</v>
      </c>
      <c r="DF30" s="272">
        <v>0</v>
      </c>
      <c r="DG30" s="272">
        <v>0</v>
      </c>
      <c r="DH30" s="272">
        <v>19352</v>
      </c>
      <c r="DI30" s="272">
        <v>95680</v>
      </c>
      <c r="DJ30" s="272">
        <v>2082</v>
      </c>
      <c r="DK30" s="272">
        <v>166</v>
      </c>
      <c r="DL30" s="272">
        <v>93432</v>
      </c>
      <c r="DM30" s="272">
        <v>0</v>
      </c>
      <c r="DN30" s="272">
        <v>0</v>
      </c>
      <c r="DO30" s="272">
        <v>0</v>
      </c>
      <c r="DP30" s="272">
        <v>0</v>
      </c>
      <c r="DQ30" s="272">
        <v>20000</v>
      </c>
      <c r="DR30" s="272">
        <v>0</v>
      </c>
      <c r="DS30" s="272">
        <v>0</v>
      </c>
      <c r="DT30" s="272">
        <v>2771009</v>
      </c>
      <c r="DU30" s="272">
        <v>1459880</v>
      </c>
      <c r="DV30" s="455">
        <f t="shared" si="11"/>
        <v>0</v>
      </c>
      <c r="DW30" s="272">
        <v>0</v>
      </c>
      <c r="DX30" s="272">
        <v>0</v>
      </c>
      <c r="DY30" s="272">
        <v>0</v>
      </c>
      <c r="DZ30" s="272">
        <v>479833</v>
      </c>
      <c r="EA30" s="272">
        <v>320542</v>
      </c>
      <c r="EB30" s="272">
        <v>510754</v>
      </c>
      <c r="EC30" s="272">
        <v>0</v>
      </c>
      <c r="ED30" s="272">
        <v>19003397</v>
      </c>
      <c r="EF30" s="272">
        <v>12210</v>
      </c>
      <c r="EG30" s="272">
        <v>1035</v>
      </c>
      <c r="EH30" s="272">
        <v>11175</v>
      </c>
      <c r="EI30" s="272">
        <v>755</v>
      </c>
      <c r="EJ30" s="272">
        <v>-424163</v>
      </c>
      <c r="EL30" s="272"/>
      <c r="EM30" s="272">
        <v>65843</v>
      </c>
      <c r="EN30" s="272">
        <v>427000</v>
      </c>
      <c r="EO30" s="272">
        <v>1902</v>
      </c>
      <c r="EP30" s="455">
        <f t="shared" si="12"/>
        <v>205472</v>
      </c>
      <c r="EQ30" s="272">
        <v>12795300</v>
      </c>
      <c r="ER30" s="272">
        <v>-1728771</v>
      </c>
      <c r="ES30" s="272">
        <v>4882823</v>
      </c>
      <c r="ET30" s="272">
        <v>3323982</v>
      </c>
      <c r="EU30" s="272">
        <v>1191898</v>
      </c>
      <c r="EV30" s="272">
        <v>1222543</v>
      </c>
      <c r="EW30" s="455">
        <f t="shared" si="13"/>
        <v>103172</v>
      </c>
      <c r="EX30" s="272">
        <v>101557</v>
      </c>
      <c r="EY30" s="272">
        <v>18738</v>
      </c>
      <c r="EZ30" s="272">
        <v>82819</v>
      </c>
      <c r="FA30" s="272">
        <v>1615</v>
      </c>
      <c r="FB30" s="272"/>
      <c r="FC30" s="272">
        <v>1739534</v>
      </c>
      <c r="FD30" s="272">
        <v>2631724</v>
      </c>
      <c r="FE30" s="272">
        <v>2019887</v>
      </c>
      <c r="FF30" s="272">
        <v>2560471</v>
      </c>
      <c r="FG30" s="455">
        <f t="shared" si="14"/>
        <v>179696</v>
      </c>
      <c r="FH30" s="272">
        <v>14511861</v>
      </c>
      <c r="FI30" s="384">
        <f t="shared" si="15"/>
        <v>0.1</v>
      </c>
      <c r="FJ30" s="272">
        <v>11690060</v>
      </c>
      <c r="FK30" s="272">
        <v>1000091</v>
      </c>
      <c r="FL30" s="272">
        <v>6279264</v>
      </c>
      <c r="FM30" s="272">
        <v>9648799</v>
      </c>
      <c r="FN30" s="460">
        <v>0.64400000000000002</v>
      </c>
      <c r="FO30" s="388">
        <v>99.6</v>
      </c>
      <c r="FP30" s="388">
        <v>36</v>
      </c>
      <c r="FQ30" s="388">
        <v>9.1</v>
      </c>
      <c r="FR30" s="388">
        <v>9.4</v>
      </c>
      <c r="FS30" s="388">
        <v>11.1</v>
      </c>
      <c r="FT30" s="388">
        <v>19.100000000000001</v>
      </c>
      <c r="FU30" s="388">
        <v>14.2</v>
      </c>
      <c r="FV30" s="388">
        <v>6</v>
      </c>
      <c r="FW30" s="272">
        <v>12327650</v>
      </c>
      <c r="FX30" s="384">
        <f t="shared" si="16"/>
        <v>105.5</v>
      </c>
      <c r="FY30" s="272">
        <v>1982469</v>
      </c>
      <c r="FZ30" s="272">
        <v>654901</v>
      </c>
      <c r="GA30" s="272">
        <v>22305</v>
      </c>
      <c r="GB30" s="272">
        <v>1305263</v>
      </c>
      <c r="GC30" s="272"/>
      <c r="GD30" s="272">
        <v>719025</v>
      </c>
      <c r="GE30" s="384">
        <f t="shared" si="17"/>
        <v>6.2</v>
      </c>
      <c r="GF30" s="388">
        <v>97.3</v>
      </c>
      <c r="GG30" s="388">
        <v>25.6</v>
      </c>
      <c r="GH30" s="388">
        <v>92</v>
      </c>
      <c r="GI30" s="272">
        <v>505</v>
      </c>
    </row>
    <row r="31" spans="2:191" x14ac:dyDescent="0.15">
      <c r="B31" s="89" t="s">
        <v>55</v>
      </c>
      <c r="C31" s="272">
        <v>74745334</v>
      </c>
      <c r="D31" s="455">
        <f t="shared" si="0"/>
        <v>18908583</v>
      </c>
      <c r="E31" s="272">
        <v>525708</v>
      </c>
      <c r="F31" s="272">
        <v>18382875</v>
      </c>
      <c r="G31" s="455">
        <f t="shared" si="1"/>
        <v>7302947</v>
      </c>
      <c r="H31" s="272">
        <v>1541016</v>
      </c>
      <c r="I31" s="272">
        <v>5761931</v>
      </c>
      <c r="J31" s="272">
        <v>34559730</v>
      </c>
      <c r="K31" s="272">
        <v>18106099</v>
      </c>
      <c r="L31" s="272">
        <v>12482679</v>
      </c>
      <c r="M31" s="272">
        <v>3659717</v>
      </c>
      <c r="N31" s="272">
        <v>3956332</v>
      </c>
      <c r="O31" s="272">
        <v>7605933</v>
      </c>
      <c r="P31" s="272">
        <v>4758370</v>
      </c>
      <c r="Q31" s="272">
        <v>2847563</v>
      </c>
      <c r="R31" s="272">
        <v>1936739</v>
      </c>
      <c r="S31" s="272">
        <v>862151</v>
      </c>
      <c r="T31" s="455">
        <f t="shared" si="2"/>
        <v>7513259</v>
      </c>
      <c r="U31" s="272">
        <v>585901</v>
      </c>
      <c r="V31" s="272">
        <v>151221</v>
      </c>
      <c r="W31" s="272">
        <v>125601</v>
      </c>
      <c r="X31" s="272">
        <v>5651690</v>
      </c>
      <c r="Y31" s="272">
        <v>0</v>
      </c>
      <c r="Z31" s="272">
        <v>0</v>
      </c>
      <c r="AA31" s="272">
        <v>998846</v>
      </c>
      <c r="AB31" s="272">
        <v>2173383</v>
      </c>
      <c r="AC31" s="272">
        <v>16008486</v>
      </c>
      <c r="AD31" s="272">
        <v>15144990</v>
      </c>
      <c r="AE31" s="272">
        <v>863496</v>
      </c>
      <c r="AF31" s="272">
        <v>104003</v>
      </c>
      <c r="AG31" s="272">
        <v>3239387</v>
      </c>
      <c r="AH31" s="455">
        <f t="shared" si="3"/>
        <v>3366015</v>
      </c>
      <c r="AI31" s="272">
        <v>2724359</v>
      </c>
      <c r="AJ31" s="272">
        <v>641656</v>
      </c>
      <c r="AK31" s="272">
        <v>29694483</v>
      </c>
      <c r="AL31" s="455">
        <f t="shared" si="4"/>
        <v>20023158</v>
      </c>
      <c r="AM31" s="272">
        <v>18616958</v>
      </c>
      <c r="AN31" s="272">
        <v>1265356</v>
      </c>
      <c r="AO31" s="272">
        <v>51045</v>
      </c>
      <c r="AP31" s="272">
        <v>89799</v>
      </c>
      <c r="AQ31" s="272">
        <v>1485012</v>
      </c>
      <c r="AR31" s="272">
        <v>0</v>
      </c>
      <c r="AS31" s="272">
        <v>0</v>
      </c>
      <c r="AT31" s="272">
        <v>8059144</v>
      </c>
      <c r="AU31" s="272">
        <v>4703281</v>
      </c>
      <c r="AV31" s="272">
        <v>583098</v>
      </c>
      <c r="AW31" s="272">
        <v>14000</v>
      </c>
      <c r="AX31" s="272">
        <v>3355863</v>
      </c>
      <c r="AY31" s="272">
        <v>629921</v>
      </c>
      <c r="AZ31" s="272">
        <v>340654</v>
      </c>
      <c r="BA31" s="272">
        <v>304490</v>
      </c>
      <c r="BB31" s="272">
        <v>538470</v>
      </c>
      <c r="BC31" s="272">
        <v>2547697</v>
      </c>
      <c r="BD31" s="272">
        <v>186516</v>
      </c>
      <c r="BE31" s="272">
        <v>269038</v>
      </c>
      <c r="BF31" s="272">
        <v>1619818</v>
      </c>
      <c r="BG31" s="272">
        <v>0</v>
      </c>
      <c r="BH31" s="272">
        <v>928676</v>
      </c>
      <c r="BI31" s="272">
        <v>356512</v>
      </c>
      <c r="BJ31" s="272">
        <v>3477632</v>
      </c>
      <c r="BK31" s="272">
        <v>2516860</v>
      </c>
      <c r="BL31" s="272">
        <v>33611</v>
      </c>
      <c r="BM31" s="272">
        <v>87102</v>
      </c>
      <c r="BN31" s="272">
        <v>18439300</v>
      </c>
      <c r="BO31" s="455">
        <f t="shared" si="5"/>
        <v>11203800</v>
      </c>
      <c r="BP31" s="455">
        <f t="shared" si="6"/>
        <v>7235500</v>
      </c>
      <c r="BQ31" s="272">
        <v>1052300</v>
      </c>
      <c r="BR31" s="272"/>
      <c r="BS31" s="272">
        <v>6183200</v>
      </c>
      <c r="BT31" s="272">
        <v>0</v>
      </c>
      <c r="BU31" s="272">
        <v>173112662</v>
      </c>
      <c r="BV31" s="272"/>
      <c r="BW31" s="272">
        <v>38874870</v>
      </c>
      <c r="BX31" s="272">
        <v>27036998</v>
      </c>
      <c r="BY31" s="272">
        <v>5096344</v>
      </c>
      <c r="BZ31" s="272">
        <v>995728</v>
      </c>
      <c r="CA31" s="272">
        <v>44298144</v>
      </c>
      <c r="CB31" s="272">
        <v>4827019</v>
      </c>
      <c r="CC31" s="272">
        <v>1528556</v>
      </c>
      <c r="CD31" s="272">
        <v>10378255</v>
      </c>
      <c r="CE31" s="272">
        <v>24613844</v>
      </c>
      <c r="CF31" s="272">
        <v>2460732</v>
      </c>
      <c r="CG31" s="272">
        <v>489498</v>
      </c>
      <c r="CH31" s="272">
        <v>13955436</v>
      </c>
      <c r="CI31" s="272">
        <v>10375564</v>
      </c>
      <c r="CJ31" s="455">
        <f t="shared" si="7"/>
        <v>3579872</v>
      </c>
      <c r="CK31" s="272">
        <v>14877601</v>
      </c>
      <c r="CL31" s="272">
        <v>9294770</v>
      </c>
      <c r="CM31" s="272">
        <v>506299</v>
      </c>
      <c r="CN31" s="272">
        <v>2625693</v>
      </c>
      <c r="CO31" s="272">
        <v>1363815</v>
      </c>
      <c r="CP31" s="272">
        <v>11026532</v>
      </c>
      <c r="CQ31" s="272">
        <v>4073688</v>
      </c>
      <c r="CR31" s="272">
        <v>4055581</v>
      </c>
      <c r="CS31" s="272">
        <v>3008554</v>
      </c>
      <c r="CT31" s="455">
        <f t="shared" si="8"/>
        <v>1320330</v>
      </c>
      <c r="CU31" s="272">
        <v>1024137</v>
      </c>
      <c r="CV31" s="272">
        <v>296193</v>
      </c>
      <c r="CW31" s="455">
        <f t="shared" si="9"/>
        <v>1195364</v>
      </c>
      <c r="CX31" s="272">
        <v>899171</v>
      </c>
      <c r="CY31" s="272">
        <v>296193</v>
      </c>
      <c r="CZ31" s="455">
        <f t="shared" si="10"/>
        <v>0</v>
      </c>
      <c r="DA31" s="272">
        <v>0</v>
      </c>
      <c r="DB31" s="272">
        <v>0</v>
      </c>
      <c r="DC31" s="272">
        <v>19109259</v>
      </c>
      <c r="DD31" s="272">
        <v>3510756</v>
      </c>
      <c r="DE31" s="272">
        <v>13821545</v>
      </c>
      <c r="DF31" s="272">
        <v>606570</v>
      </c>
      <c r="DG31" s="272">
        <v>1170388</v>
      </c>
      <c r="DH31" s="272">
        <v>0</v>
      </c>
      <c r="DI31" s="272">
        <v>872102</v>
      </c>
      <c r="DJ31" s="272">
        <v>359000</v>
      </c>
      <c r="DK31" s="272">
        <v>3900</v>
      </c>
      <c r="DL31" s="272">
        <v>509202</v>
      </c>
      <c r="DM31" s="272">
        <v>570424</v>
      </c>
      <c r="DN31" s="272">
        <v>475424</v>
      </c>
      <c r="DO31" s="272">
        <v>0</v>
      </c>
      <c r="DP31" s="272">
        <v>475424</v>
      </c>
      <c r="DQ31" s="272">
        <v>3006200</v>
      </c>
      <c r="DR31" s="272">
        <v>0</v>
      </c>
      <c r="DS31" s="272">
        <v>0</v>
      </c>
      <c r="DT31" s="272">
        <v>24531697</v>
      </c>
      <c r="DU31" s="272">
        <v>12240088</v>
      </c>
      <c r="DV31" s="455">
        <f t="shared" si="11"/>
        <v>0</v>
      </c>
      <c r="DW31" s="272">
        <v>0</v>
      </c>
      <c r="DX31" s="272">
        <v>0</v>
      </c>
      <c r="DY31" s="272">
        <v>0</v>
      </c>
      <c r="DZ31" s="272">
        <v>5989900</v>
      </c>
      <c r="EA31" s="272">
        <v>2407337</v>
      </c>
      <c r="EB31" s="272">
        <v>3404855</v>
      </c>
      <c r="EC31" s="272">
        <v>0</v>
      </c>
      <c r="ED31" s="272">
        <v>172486080</v>
      </c>
      <c r="EF31" s="272">
        <v>626582</v>
      </c>
      <c r="EG31" s="272">
        <v>270838</v>
      </c>
      <c r="EH31" s="272">
        <v>355744</v>
      </c>
      <c r="EI31" s="272">
        <v>-768</v>
      </c>
      <c r="EJ31" s="272">
        <v>172005</v>
      </c>
      <c r="EL31" s="272"/>
      <c r="EM31" s="272">
        <v>495748</v>
      </c>
      <c r="EN31" s="272">
        <v>531357</v>
      </c>
      <c r="EO31" s="272">
        <v>4005</v>
      </c>
      <c r="EP31" s="455">
        <f t="shared" si="12"/>
        <v>2226031</v>
      </c>
      <c r="EQ31" s="272">
        <v>102481204</v>
      </c>
      <c r="ER31" s="272">
        <v>-9892890</v>
      </c>
      <c r="ES31" s="272">
        <v>37230297</v>
      </c>
      <c r="ET31" s="272">
        <v>25493812</v>
      </c>
      <c r="EU31" s="272">
        <v>11767703</v>
      </c>
      <c r="EV31" s="272">
        <v>13902809</v>
      </c>
      <c r="EW31" s="455">
        <f t="shared" si="13"/>
        <v>3374127</v>
      </c>
      <c r="EX31" s="272">
        <v>3374127</v>
      </c>
      <c r="EY31" s="272">
        <v>61088</v>
      </c>
      <c r="EZ31" s="272">
        <v>3309069</v>
      </c>
      <c r="FA31" s="272">
        <v>0</v>
      </c>
      <c r="FB31" s="272"/>
      <c r="FC31" s="272">
        <v>10990965</v>
      </c>
      <c r="FD31" s="272">
        <v>10072955</v>
      </c>
      <c r="FE31" s="272">
        <v>4073688</v>
      </c>
      <c r="FF31" s="272">
        <v>22409578</v>
      </c>
      <c r="FG31" s="455">
        <f t="shared" si="14"/>
        <v>1999078</v>
      </c>
      <c r="FH31" s="272">
        <v>111747512</v>
      </c>
      <c r="FI31" s="384">
        <f t="shared" si="15"/>
        <v>0.4</v>
      </c>
      <c r="FJ31" s="272">
        <v>92581624</v>
      </c>
      <c r="FK31" s="272">
        <v>6183280</v>
      </c>
      <c r="FL31" s="272">
        <v>58365400</v>
      </c>
      <c r="FM31" s="272">
        <v>73459121</v>
      </c>
      <c r="FN31" s="460">
        <v>0.80200000000000005</v>
      </c>
      <c r="FO31" s="388">
        <v>97.4</v>
      </c>
      <c r="FP31" s="388">
        <v>34.6</v>
      </c>
      <c r="FQ31" s="388">
        <v>11.5</v>
      </c>
      <c r="FR31" s="388">
        <v>13.6</v>
      </c>
      <c r="FS31" s="388">
        <v>9.6999999999999993</v>
      </c>
      <c r="FT31" s="388">
        <v>8.6999999999999993</v>
      </c>
      <c r="FU31" s="388">
        <v>18.2</v>
      </c>
      <c r="FV31" s="388">
        <v>9.6</v>
      </c>
      <c r="FW31" s="272">
        <v>161596298</v>
      </c>
      <c r="FX31" s="384">
        <f t="shared" si="16"/>
        <v>174.5</v>
      </c>
      <c r="FY31" s="272">
        <v>7502644</v>
      </c>
      <c r="FZ31" s="272">
        <v>1659000</v>
      </c>
      <c r="GA31" s="272">
        <v>2231167</v>
      </c>
      <c r="GB31" s="272">
        <v>3612477</v>
      </c>
      <c r="GC31" s="272"/>
      <c r="GD31" s="272">
        <v>22948553</v>
      </c>
      <c r="GE31" s="384">
        <f t="shared" si="17"/>
        <v>24.8</v>
      </c>
      <c r="GF31" s="388">
        <v>96.8</v>
      </c>
      <c r="GG31" s="388">
        <v>29.4</v>
      </c>
      <c r="GH31" s="388">
        <v>90.9</v>
      </c>
      <c r="GI31" s="272">
        <v>3358</v>
      </c>
    </row>
    <row r="32" spans="2:191" x14ac:dyDescent="0.15">
      <c r="B32" s="89" t="s">
        <v>57</v>
      </c>
      <c r="C32" s="272">
        <v>8659126</v>
      </c>
      <c r="D32" s="455">
        <f t="shared" si="0"/>
        <v>1901109</v>
      </c>
      <c r="E32" s="272">
        <v>61683</v>
      </c>
      <c r="F32" s="272">
        <v>1839426</v>
      </c>
      <c r="G32" s="455">
        <f t="shared" si="1"/>
        <v>468753</v>
      </c>
      <c r="H32" s="272">
        <v>146917</v>
      </c>
      <c r="I32" s="272">
        <v>321836</v>
      </c>
      <c r="J32" s="272">
        <v>5002573</v>
      </c>
      <c r="K32" s="272">
        <v>2303953</v>
      </c>
      <c r="L32" s="272">
        <v>1578615</v>
      </c>
      <c r="M32" s="272">
        <v>1081030</v>
      </c>
      <c r="N32" s="272">
        <v>383601</v>
      </c>
      <c r="O32" s="272">
        <v>816754</v>
      </c>
      <c r="P32" s="272">
        <v>502276</v>
      </c>
      <c r="Q32" s="272">
        <v>314478</v>
      </c>
      <c r="R32" s="272">
        <v>292883</v>
      </c>
      <c r="S32" s="272">
        <v>107375</v>
      </c>
      <c r="T32" s="455">
        <f t="shared" si="2"/>
        <v>901548</v>
      </c>
      <c r="U32" s="272">
        <v>62468</v>
      </c>
      <c r="V32" s="272">
        <v>16150</v>
      </c>
      <c r="W32" s="272">
        <v>13360</v>
      </c>
      <c r="X32" s="272">
        <v>612804</v>
      </c>
      <c r="Y32" s="272">
        <v>48479</v>
      </c>
      <c r="Z32" s="272">
        <v>0</v>
      </c>
      <c r="AA32" s="272">
        <v>148287</v>
      </c>
      <c r="AB32" s="272">
        <v>205048</v>
      </c>
      <c r="AC32" s="272">
        <v>2437796</v>
      </c>
      <c r="AD32" s="272">
        <v>2004729</v>
      </c>
      <c r="AE32" s="272">
        <v>433067</v>
      </c>
      <c r="AF32" s="272">
        <v>11658</v>
      </c>
      <c r="AG32" s="272">
        <v>39504</v>
      </c>
      <c r="AH32" s="455">
        <f t="shared" si="3"/>
        <v>403091</v>
      </c>
      <c r="AI32" s="272">
        <v>297172</v>
      </c>
      <c r="AJ32" s="272">
        <v>105919</v>
      </c>
      <c r="AK32" s="272">
        <v>3046497</v>
      </c>
      <c r="AL32" s="455">
        <f t="shared" si="4"/>
        <v>1345580</v>
      </c>
      <c r="AM32" s="272">
        <v>1296391</v>
      </c>
      <c r="AN32" s="272">
        <v>45228</v>
      </c>
      <c r="AO32" s="272">
        <v>0</v>
      </c>
      <c r="AP32" s="272">
        <v>3961</v>
      </c>
      <c r="AQ32" s="272">
        <v>5332</v>
      </c>
      <c r="AR32" s="272">
        <v>0</v>
      </c>
      <c r="AS32" s="272">
        <v>0</v>
      </c>
      <c r="AT32" s="272">
        <v>923197</v>
      </c>
      <c r="AU32" s="272">
        <v>565452</v>
      </c>
      <c r="AV32" s="272">
        <v>22563</v>
      </c>
      <c r="AW32" s="272">
        <v>108417</v>
      </c>
      <c r="AX32" s="272">
        <v>357745</v>
      </c>
      <c r="AY32" s="272">
        <v>12110</v>
      </c>
      <c r="AZ32" s="272">
        <v>1408</v>
      </c>
      <c r="BA32" s="272">
        <v>563</v>
      </c>
      <c r="BB32" s="272">
        <v>79574</v>
      </c>
      <c r="BC32" s="272">
        <v>715732</v>
      </c>
      <c r="BD32" s="272">
        <v>0</v>
      </c>
      <c r="BE32" s="272">
        <v>0</v>
      </c>
      <c r="BF32" s="272">
        <v>102979</v>
      </c>
      <c r="BG32" s="272">
        <v>500000</v>
      </c>
      <c r="BH32" s="272">
        <v>0</v>
      </c>
      <c r="BI32" s="272">
        <v>0</v>
      </c>
      <c r="BJ32" s="272">
        <v>307888</v>
      </c>
      <c r="BK32" s="272">
        <v>271</v>
      </c>
      <c r="BL32" s="272">
        <v>0</v>
      </c>
      <c r="BM32" s="272">
        <v>0</v>
      </c>
      <c r="BN32" s="272">
        <v>2423100</v>
      </c>
      <c r="BO32" s="455">
        <f t="shared" si="5"/>
        <v>1412800</v>
      </c>
      <c r="BP32" s="455">
        <f t="shared" si="6"/>
        <v>1010300</v>
      </c>
      <c r="BQ32" s="272">
        <v>83600</v>
      </c>
      <c r="BR32" s="272"/>
      <c r="BS32" s="272">
        <v>926700</v>
      </c>
      <c r="BT32" s="272">
        <v>0</v>
      </c>
      <c r="BU32" s="272">
        <v>20448050</v>
      </c>
      <c r="BV32" s="272"/>
      <c r="BW32" s="272">
        <v>5765698</v>
      </c>
      <c r="BX32" s="272">
        <v>4022701</v>
      </c>
      <c r="BY32" s="272">
        <v>309676</v>
      </c>
      <c r="BZ32" s="272">
        <v>396477</v>
      </c>
      <c r="CA32" s="272">
        <v>3380401</v>
      </c>
      <c r="CB32" s="272">
        <v>572456</v>
      </c>
      <c r="CC32" s="272">
        <v>144145</v>
      </c>
      <c r="CD32" s="272">
        <v>914020</v>
      </c>
      <c r="CE32" s="272">
        <v>1670599</v>
      </c>
      <c r="CF32" s="272">
        <v>0</v>
      </c>
      <c r="CG32" s="272">
        <v>79001</v>
      </c>
      <c r="CH32" s="272">
        <v>2384603</v>
      </c>
      <c r="CI32" s="272">
        <v>1684984</v>
      </c>
      <c r="CJ32" s="455">
        <f t="shared" si="7"/>
        <v>699619</v>
      </c>
      <c r="CK32" s="272">
        <v>2188816</v>
      </c>
      <c r="CL32" s="272">
        <v>1235431</v>
      </c>
      <c r="CM32" s="272">
        <v>149688</v>
      </c>
      <c r="CN32" s="272">
        <v>451257</v>
      </c>
      <c r="CO32" s="272">
        <v>142389</v>
      </c>
      <c r="CP32" s="272">
        <v>1058314</v>
      </c>
      <c r="CQ32" s="272">
        <v>515060</v>
      </c>
      <c r="CR32" s="272">
        <v>306427</v>
      </c>
      <c r="CS32" s="272">
        <v>207457</v>
      </c>
      <c r="CT32" s="455">
        <f t="shared" si="8"/>
        <v>2573</v>
      </c>
      <c r="CU32" s="272">
        <v>2573</v>
      </c>
      <c r="CV32" s="272">
        <v>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2695187</v>
      </c>
      <c r="DD32" s="272">
        <v>179257</v>
      </c>
      <c r="DE32" s="272">
        <v>2502107</v>
      </c>
      <c r="DF32" s="272">
        <v>13823</v>
      </c>
      <c r="DG32" s="272">
        <v>0</v>
      </c>
      <c r="DH32" s="272">
        <v>0</v>
      </c>
      <c r="DI32" s="272">
        <v>207203</v>
      </c>
      <c r="DJ32" s="272">
        <v>0</v>
      </c>
      <c r="DK32" s="272">
        <v>142393</v>
      </c>
      <c r="DL32" s="272">
        <v>64810</v>
      </c>
      <c r="DM32" s="272">
        <v>7000</v>
      </c>
      <c r="DN32" s="272">
        <v>7000</v>
      </c>
      <c r="DO32" s="272">
        <v>7000</v>
      </c>
      <c r="DP32" s="272">
        <v>0</v>
      </c>
      <c r="DQ32" s="272">
        <v>0</v>
      </c>
      <c r="DR32" s="272">
        <v>0</v>
      </c>
      <c r="DS32" s="272">
        <v>0</v>
      </c>
      <c r="DT32" s="272">
        <v>2219641</v>
      </c>
      <c r="DU32" s="272">
        <v>992779</v>
      </c>
      <c r="DV32" s="455">
        <f t="shared" si="11"/>
        <v>0</v>
      </c>
      <c r="DW32" s="272">
        <v>0</v>
      </c>
      <c r="DX32" s="272">
        <v>0</v>
      </c>
      <c r="DY32" s="272">
        <v>0</v>
      </c>
      <c r="DZ32" s="272">
        <v>473587</v>
      </c>
      <c r="EA32" s="272">
        <v>310048</v>
      </c>
      <c r="EB32" s="272">
        <v>443227</v>
      </c>
      <c r="EC32" s="272">
        <v>320514</v>
      </c>
      <c r="ED32" s="272">
        <v>20369766</v>
      </c>
      <c r="EF32" s="272">
        <v>78284</v>
      </c>
      <c r="EG32" s="272">
        <v>27208</v>
      </c>
      <c r="EH32" s="272">
        <v>51076</v>
      </c>
      <c r="EI32" s="272">
        <v>462565</v>
      </c>
      <c r="EJ32" s="272">
        <v>462995</v>
      </c>
      <c r="EL32" s="272"/>
      <c r="EM32" s="272">
        <v>65272</v>
      </c>
      <c r="EN32" s="272">
        <v>611979</v>
      </c>
      <c r="EO32" s="272">
        <v>616</v>
      </c>
      <c r="EP32" s="455">
        <f t="shared" si="12"/>
        <v>975426</v>
      </c>
      <c r="EQ32" s="272">
        <v>12508059</v>
      </c>
      <c r="ER32" s="272">
        <v>-2586663</v>
      </c>
      <c r="ES32" s="272">
        <v>5452461</v>
      </c>
      <c r="ET32" s="272">
        <v>3766496</v>
      </c>
      <c r="EU32" s="272">
        <v>993534</v>
      </c>
      <c r="EV32" s="272">
        <v>2343886</v>
      </c>
      <c r="EW32" s="455">
        <f t="shared" si="13"/>
        <v>938565</v>
      </c>
      <c r="EX32" s="272">
        <v>938565</v>
      </c>
      <c r="EY32" s="272">
        <v>6188</v>
      </c>
      <c r="EZ32" s="272">
        <v>932237</v>
      </c>
      <c r="FA32" s="272">
        <v>0</v>
      </c>
      <c r="FB32" s="272"/>
      <c r="FC32" s="272">
        <v>1683841</v>
      </c>
      <c r="FD32" s="272">
        <v>997980</v>
      </c>
      <c r="FE32" s="272">
        <v>515060</v>
      </c>
      <c r="FF32" s="272">
        <v>1995811</v>
      </c>
      <c r="FG32" s="455">
        <f t="shared" si="14"/>
        <v>622460</v>
      </c>
      <c r="FH32" s="272">
        <v>15028538</v>
      </c>
      <c r="FI32" s="384">
        <f t="shared" si="15"/>
        <v>0.5</v>
      </c>
      <c r="FJ32" s="272">
        <v>11303471</v>
      </c>
      <c r="FK32" s="272">
        <v>926741</v>
      </c>
      <c r="FL32" s="272">
        <v>7023506</v>
      </c>
      <c r="FM32" s="272">
        <v>9028235</v>
      </c>
      <c r="FN32" s="460">
        <v>0.78300000000000003</v>
      </c>
      <c r="FO32" s="388">
        <v>100.2</v>
      </c>
      <c r="FP32" s="388">
        <v>41.8</v>
      </c>
      <c r="FQ32" s="388">
        <v>8</v>
      </c>
      <c r="FR32" s="388">
        <v>19</v>
      </c>
      <c r="FS32" s="388">
        <v>12.7</v>
      </c>
      <c r="FT32" s="388">
        <v>7.2</v>
      </c>
      <c r="FU32" s="388">
        <v>10.4</v>
      </c>
      <c r="FV32" s="388">
        <v>13.5</v>
      </c>
      <c r="FW32" s="272">
        <v>24887643</v>
      </c>
      <c r="FX32" s="384">
        <f t="shared" si="16"/>
        <v>220.2</v>
      </c>
      <c r="FY32" s="272">
        <v>1723870</v>
      </c>
      <c r="FZ32" s="272"/>
      <c r="GA32" s="272">
        <v>147660</v>
      </c>
      <c r="GB32" s="272">
        <v>1576210</v>
      </c>
      <c r="GC32" s="272">
        <v>450000</v>
      </c>
      <c r="GD32" s="272">
        <v>10259988</v>
      </c>
      <c r="GE32" s="384">
        <f t="shared" si="17"/>
        <v>90.8</v>
      </c>
      <c r="GF32" s="388">
        <v>95.2</v>
      </c>
      <c r="GG32" s="388">
        <v>13.1</v>
      </c>
      <c r="GH32" s="388">
        <v>80.099999999999994</v>
      </c>
      <c r="GI32" s="272">
        <v>595</v>
      </c>
    </row>
    <row r="33" spans="2:191" x14ac:dyDescent="0.15">
      <c r="B33" s="89" t="s">
        <v>59</v>
      </c>
      <c r="C33" s="272">
        <v>6424762</v>
      </c>
      <c r="D33" s="455">
        <f t="shared" si="0"/>
        <v>2246834</v>
      </c>
      <c r="E33" s="272">
        <v>59075</v>
      </c>
      <c r="F33" s="272">
        <v>2187759</v>
      </c>
      <c r="G33" s="455">
        <f t="shared" si="1"/>
        <v>252679</v>
      </c>
      <c r="H33" s="272">
        <v>98337</v>
      </c>
      <c r="I33" s="272">
        <v>154342</v>
      </c>
      <c r="J33" s="272">
        <v>2940234</v>
      </c>
      <c r="K33" s="272">
        <v>1492266</v>
      </c>
      <c r="L33" s="272">
        <v>1206106</v>
      </c>
      <c r="M33" s="272">
        <v>225986</v>
      </c>
      <c r="N33" s="272">
        <v>294304</v>
      </c>
      <c r="O33" s="272">
        <v>646282</v>
      </c>
      <c r="P33" s="272">
        <v>386646</v>
      </c>
      <c r="Q33" s="272">
        <v>259636</v>
      </c>
      <c r="R33" s="272">
        <v>230322</v>
      </c>
      <c r="S33" s="272">
        <v>92285</v>
      </c>
      <c r="T33" s="455">
        <f t="shared" si="2"/>
        <v>725585</v>
      </c>
      <c r="U33" s="272">
        <v>68963</v>
      </c>
      <c r="V33" s="272">
        <v>17774</v>
      </c>
      <c r="W33" s="272">
        <v>14811</v>
      </c>
      <c r="X33" s="272">
        <v>471147</v>
      </c>
      <c r="Y33" s="272">
        <v>24584</v>
      </c>
      <c r="Z33" s="272">
        <v>0</v>
      </c>
      <c r="AA33" s="272">
        <v>128306</v>
      </c>
      <c r="AB33" s="272">
        <v>225570</v>
      </c>
      <c r="AC33" s="272">
        <v>3666909</v>
      </c>
      <c r="AD33" s="272">
        <v>3333838</v>
      </c>
      <c r="AE33" s="272">
        <v>333071</v>
      </c>
      <c r="AF33" s="272">
        <v>11038</v>
      </c>
      <c r="AG33" s="272">
        <v>113757</v>
      </c>
      <c r="AH33" s="455">
        <f t="shared" si="3"/>
        <v>305975</v>
      </c>
      <c r="AI33" s="272">
        <v>195749</v>
      </c>
      <c r="AJ33" s="272">
        <v>110226</v>
      </c>
      <c r="AK33" s="272">
        <v>1977137</v>
      </c>
      <c r="AL33" s="455">
        <f t="shared" si="4"/>
        <v>1380704</v>
      </c>
      <c r="AM33" s="272">
        <v>823614</v>
      </c>
      <c r="AN33" s="272">
        <v>546695</v>
      </c>
      <c r="AO33" s="272">
        <v>0</v>
      </c>
      <c r="AP33" s="272">
        <v>10395</v>
      </c>
      <c r="AQ33" s="272">
        <v>224688</v>
      </c>
      <c r="AR33" s="272">
        <v>0</v>
      </c>
      <c r="AS33" s="272">
        <v>0</v>
      </c>
      <c r="AT33" s="272">
        <v>760480</v>
      </c>
      <c r="AU33" s="272">
        <v>464729</v>
      </c>
      <c r="AV33" s="272">
        <v>113932</v>
      </c>
      <c r="AW33" s="272">
        <v>0</v>
      </c>
      <c r="AX33" s="272">
        <v>295751</v>
      </c>
      <c r="AY33" s="272">
        <v>3050</v>
      </c>
      <c r="AZ33" s="272">
        <v>8954</v>
      </c>
      <c r="BA33" s="272">
        <v>36</v>
      </c>
      <c r="BB33" s="272">
        <v>10740</v>
      </c>
      <c r="BC33" s="272">
        <v>528774</v>
      </c>
      <c r="BD33" s="272">
        <v>201700</v>
      </c>
      <c r="BE33" s="272">
        <v>0</v>
      </c>
      <c r="BF33" s="272">
        <v>2074</v>
      </c>
      <c r="BG33" s="272">
        <v>325000</v>
      </c>
      <c r="BH33" s="272">
        <v>0</v>
      </c>
      <c r="BI33" s="272">
        <v>0</v>
      </c>
      <c r="BJ33" s="272">
        <v>67434</v>
      </c>
      <c r="BK33" s="272">
        <v>5000</v>
      </c>
      <c r="BL33" s="272">
        <v>0</v>
      </c>
      <c r="BM33" s="272">
        <v>0</v>
      </c>
      <c r="BN33" s="272">
        <v>2123400</v>
      </c>
      <c r="BO33" s="455">
        <f t="shared" si="5"/>
        <v>1199500</v>
      </c>
      <c r="BP33" s="455">
        <f t="shared" si="6"/>
        <v>923900</v>
      </c>
      <c r="BQ33" s="272">
        <v>80200</v>
      </c>
      <c r="BR33" s="272"/>
      <c r="BS33" s="272">
        <v>843700</v>
      </c>
      <c r="BT33" s="272">
        <v>0</v>
      </c>
      <c r="BU33" s="272">
        <v>17180837</v>
      </c>
      <c r="BV33" s="272"/>
      <c r="BW33" s="272">
        <v>4445820</v>
      </c>
      <c r="BX33" s="272">
        <v>3293065</v>
      </c>
      <c r="BY33" s="272">
        <v>232916</v>
      </c>
      <c r="BZ33" s="272">
        <v>81068</v>
      </c>
      <c r="CA33" s="272">
        <v>2870739</v>
      </c>
      <c r="CB33" s="272">
        <v>387954</v>
      </c>
      <c r="CC33" s="272">
        <v>151554</v>
      </c>
      <c r="CD33" s="272">
        <v>1187086</v>
      </c>
      <c r="CE33" s="272">
        <v>1064674</v>
      </c>
      <c r="CF33" s="272">
        <v>10251</v>
      </c>
      <c r="CG33" s="272">
        <v>68982</v>
      </c>
      <c r="CH33" s="272">
        <v>1945406</v>
      </c>
      <c r="CI33" s="272">
        <v>1497057</v>
      </c>
      <c r="CJ33" s="455">
        <f t="shared" si="7"/>
        <v>448349</v>
      </c>
      <c r="CK33" s="272">
        <v>2394432</v>
      </c>
      <c r="CL33" s="272">
        <v>1404397</v>
      </c>
      <c r="CM33" s="272">
        <v>317384</v>
      </c>
      <c r="CN33" s="272">
        <v>285506</v>
      </c>
      <c r="CO33" s="272">
        <v>38216</v>
      </c>
      <c r="CP33" s="272">
        <v>1240882</v>
      </c>
      <c r="CQ33" s="272">
        <v>489614</v>
      </c>
      <c r="CR33" s="272">
        <v>364374</v>
      </c>
      <c r="CS33" s="272">
        <v>234191</v>
      </c>
      <c r="CT33" s="455">
        <f t="shared" si="8"/>
        <v>12337</v>
      </c>
      <c r="CU33" s="272">
        <v>4973</v>
      </c>
      <c r="CV33" s="272">
        <v>7364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1580812</v>
      </c>
      <c r="DD33" s="272">
        <v>449353</v>
      </c>
      <c r="DE33" s="272">
        <v>1119749</v>
      </c>
      <c r="DF33" s="272">
        <v>0</v>
      </c>
      <c r="DG33" s="272">
        <v>11710</v>
      </c>
      <c r="DH33" s="272">
        <v>1796</v>
      </c>
      <c r="DI33" s="272">
        <v>77775</v>
      </c>
      <c r="DJ33" s="272">
        <v>489</v>
      </c>
      <c r="DK33" s="272">
        <v>28</v>
      </c>
      <c r="DL33" s="272">
        <v>74960</v>
      </c>
      <c r="DM33" s="272">
        <v>0</v>
      </c>
      <c r="DN33" s="272">
        <v>0</v>
      </c>
      <c r="DO33" s="272">
        <v>0</v>
      </c>
      <c r="DP33" s="272">
        <v>0</v>
      </c>
      <c r="DQ33" s="272">
        <v>5000</v>
      </c>
      <c r="DR33" s="272">
        <v>0</v>
      </c>
      <c r="DS33" s="272">
        <v>0</v>
      </c>
      <c r="DT33" s="272">
        <v>2522237</v>
      </c>
      <c r="DU33" s="272">
        <v>1513342</v>
      </c>
      <c r="DV33" s="455">
        <f t="shared" si="11"/>
        <v>0</v>
      </c>
      <c r="DW33" s="272">
        <v>0</v>
      </c>
      <c r="DX33" s="272">
        <v>0</v>
      </c>
      <c r="DY33" s="272">
        <v>0</v>
      </c>
      <c r="DZ33" s="272">
        <v>496038</v>
      </c>
      <c r="EA33" s="272">
        <v>217949</v>
      </c>
      <c r="EB33" s="272">
        <v>294216</v>
      </c>
      <c r="EC33" s="272">
        <v>960822</v>
      </c>
      <c r="ED33" s="272">
        <v>18083937</v>
      </c>
      <c r="EF33" s="272">
        <v>-903100</v>
      </c>
      <c r="EG33" s="272">
        <v>19741</v>
      </c>
      <c r="EH33" s="272">
        <v>-922841</v>
      </c>
      <c r="EI33" s="272">
        <v>55118</v>
      </c>
      <c r="EJ33" s="272">
        <v>-146093</v>
      </c>
      <c r="EL33" s="272"/>
      <c r="EM33" s="272">
        <v>57129</v>
      </c>
      <c r="EN33" s="272">
        <v>526700</v>
      </c>
      <c r="EO33" s="272">
        <v>6470</v>
      </c>
      <c r="EP33" s="455">
        <f t="shared" si="12"/>
        <v>86381</v>
      </c>
      <c r="EQ33" s="272">
        <v>11284186</v>
      </c>
      <c r="ER33" s="272">
        <v>-1532413</v>
      </c>
      <c r="ES33" s="272">
        <v>4208974</v>
      </c>
      <c r="ET33" s="272">
        <v>3104835</v>
      </c>
      <c r="EU33" s="272">
        <v>896864</v>
      </c>
      <c r="EV33" s="272">
        <v>1941324</v>
      </c>
      <c r="EW33" s="455">
        <f t="shared" si="13"/>
        <v>133029</v>
      </c>
      <c r="EX33" s="272">
        <v>133029</v>
      </c>
      <c r="EY33" s="272">
        <v>5185</v>
      </c>
      <c r="EZ33" s="272">
        <v>127844</v>
      </c>
      <c r="FA33" s="272">
        <v>0</v>
      </c>
      <c r="FB33" s="272"/>
      <c r="FC33" s="272">
        <v>2050065</v>
      </c>
      <c r="FD33" s="272">
        <v>1104428</v>
      </c>
      <c r="FE33" s="272">
        <v>489614</v>
      </c>
      <c r="FF33" s="272">
        <v>2314097</v>
      </c>
      <c r="FG33" s="455">
        <f t="shared" si="14"/>
        <v>1070918</v>
      </c>
      <c r="FH33" s="272">
        <v>13719699</v>
      </c>
      <c r="FI33" s="384">
        <f t="shared" si="15"/>
        <v>-9.1</v>
      </c>
      <c r="FJ33" s="272">
        <v>10186938</v>
      </c>
      <c r="FK33" s="272">
        <v>843714</v>
      </c>
      <c r="FL33" s="272">
        <v>5176335</v>
      </c>
      <c r="FM33" s="272">
        <v>8510173</v>
      </c>
      <c r="FN33" s="460">
        <v>0.61599999999999999</v>
      </c>
      <c r="FO33" s="388">
        <v>104.3</v>
      </c>
      <c r="FP33" s="388">
        <v>35.700000000000003</v>
      </c>
      <c r="FQ33" s="388">
        <v>7.9</v>
      </c>
      <c r="FR33" s="388">
        <v>17.2</v>
      </c>
      <c r="FS33" s="388">
        <v>17.399999999999999</v>
      </c>
      <c r="FT33" s="388">
        <v>8.3000000000000007</v>
      </c>
      <c r="FU33" s="388">
        <v>17.600000000000001</v>
      </c>
      <c r="FV33" s="388">
        <v>9.6999999999999993</v>
      </c>
      <c r="FW33" s="272">
        <v>21877330</v>
      </c>
      <c r="FX33" s="384">
        <f t="shared" si="16"/>
        <v>214.8</v>
      </c>
      <c r="FY33" s="272">
        <v>1660979</v>
      </c>
      <c r="FZ33" s="272">
        <v>4313</v>
      </c>
      <c r="GA33" s="272">
        <v>25493</v>
      </c>
      <c r="GB33" s="272">
        <v>1631173</v>
      </c>
      <c r="GC33" s="272">
        <v>910000</v>
      </c>
      <c r="GD33" s="272">
        <v>5259269</v>
      </c>
      <c r="GE33" s="384">
        <f t="shared" si="17"/>
        <v>51.6</v>
      </c>
      <c r="GF33" s="388">
        <v>97.6</v>
      </c>
      <c r="GG33" s="388">
        <v>18.100000000000001</v>
      </c>
      <c r="GH33" s="388">
        <v>89.7</v>
      </c>
      <c r="GI33" s="272">
        <v>457</v>
      </c>
    </row>
    <row r="34" spans="2:191" x14ac:dyDescent="0.15">
      <c r="B34" s="89" t="s">
        <v>61</v>
      </c>
      <c r="C34" s="272">
        <v>8860724</v>
      </c>
      <c r="D34" s="455">
        <f t="shared" si="0"/>
        <v>3760707</v>
      </c>
      <c r="E34" s="272">
        <v>84892</v>
      </c>
      <c r="F34" s="272">
        <v>3675815</v>
      </c>
      <c r="G34" s="455">
        <f t="shared" si="1"/>
        <v>327875</v>
      </c>
      <c r="H34" s="272">
        <v>106375</v>
      </c>
      <c r="I34" s="272">
        <v>221500</v>
      </c>
      <c r="J34" s="272">
        <v>3541358</v>
      </c>
      <c r="K34" s="272">
        <v>1604808</v>
      </c>
      <c r="L34" s="272">
        <v>1478404</v>
      </c>
      <c r="M34" s="272">
        <v>412865</v>
      </c>
      <c r="N34" s="272">
        <v>348835</v>
      </c>
      <c r="O34" s="272">
        <v>818413</v>
      </c>
      <c r="P34" s="272">
        <v>495385</v>
      </c>
      <c r="Q34" s="272">
        <v>323028</v>
      </c>
      <c r="R34" s="272">
        <v>305920</v>
      </c>
      <c r="S34" s="272">
        <v>128745</v>
      </c>
      <c r="T34" s="455">
        <f t="shared" si="2"/>
        <v>1061530</v>
      </c>
      <c r="U34" s="272">
        <v>113877</v>
      </c>
      <c r="V34" s="272">
        <v>29402</v>
      </c>
      <c r="W34" s="272">
        <v>24398</v>
      </c>
      <c r="X34" s="272">
        <v>643542</v>
      </c>
      <c r="Y34" s="272">
        <v>85627</v>
      </c>
      <c r="Z34" s="272">
        <v>0</v>
      </c>
      <c r="AA34" s="272">
        <v>164684</v>
      </c>
      <c r="AB34" s="272">
        <v>373099</v>
      </c>
      <c r="AC34" s="272">
        <v>3557527</v>
      </c>
      <c r="AD34" s="272">
        <v>3330360</v>
      </c>
      <c r="AE34" s="272">
        <v>227167</v>
      </c>
      <c r="AF34" s="272">
        <v>13336</v>
      </c>
      <c r="AG34" s="272">
        <v>150428</v>
      </c>
      <c r="AH34" s="455">
        <f t="shared" si="3"/>
        <v>278082</v>
      </c>
      <c r="AI34" s="272">
        <v>183205</v>
      </c>
      <c r="AJ34" s="272">
        <v>94877</v>
      </c>
      <c r="AK34" s="272">
        <v>1671712</v>
      </c>
      <c r="AL34" s="455">
        <f t="shared" si="4"/>
        <v>734727</v>
      </c>
      <c r="AM34" s="272">
        <v>544453</v>
      </c>
      <c r="AN34" s="272">
        <v>184057</v>
      </c>
      <c r="AO34" s="272">
        <v>0</v>
      </c>
      <c r="AP34" s="272">
        <v>6217</v>
      </c>
      <c r="AQ34" s="272">
        <v>38566</v>
      </c>
      <c r="AR34" s="272">
        <v>0</v>
      </c>
      <c r="AS34" s="272">
        <v>0</v>
      </c>
      <c r="AT34" s="272">
        <v>840330</v>
      </c>
      <c r="AU34" s="272">
        <v>459772</v>
      </c>
      <c r="AV34" s="272">
        <v>91017</v>
      </c>
      <c r="AW34" s="272">
        <v>0</v>
      </c>
      <c r="AX34" s="272">
        <v>380558</v>
      </c>
      <c r="AY34" s="272">
        <v>25600</v>
      </c>
      <c r="AZ34" s="272">
        <v>590125</v>
      </c>
      <c r="BA34" s="272">
        <v>581451</v>
      </c>
      <c r="BB34" s="272">
        <v>43770</v>
      </c>
      <c r="BC34" s="272">
        <v>199984</v>
      </c>
      <c r="BD34" s="272">
        <v>0</v>
      </c>
      <c r="BE34" s="272">
        <v>170000</v>
      </c>
      <c r="BF34" s="272">
        <v>0</v>
      </c>
      <c r="BG34" s="272">
        <v>0</v>
      </c>
      <c r="BH34" s="272">
        <v>152627</v>
      </c>
      <c r="BI34" s="272">
        <v>145424</v>
      </c>
      <c r="BJ34" s="272">
        <v>1127759</v>
      </c>
      <c r="BK34" s="272">
        <v>1000000</v>
      </c>
      <c r="BL34" s="272">
        <v>0</v>
      </c>
      <c r="BM34" s="272">
        <v>0</v>
      </c>
      <c r="BN34" s="272">
        <v>2089500</v>
      </c>
      <c r="BO34" s="455">
        <f t="shared" si="5"/>
        <v>824500</v>
      </c>
      <c r="BP34" s="455">
        <f t="shared" si="6"/>
        <v>1265000</v>
      </c>
      <c r="BQ34" s="272">
        <v>132300</v>
      </c>
      <c r="BR34" s="272"/>
      <c r="BS34" s="272">
        <v>1132700</v>
      </c>
      <c r="BT34" s="272">
        <v>0</v>
      </c>
      <c r="BU34" s="272">
        <v>21316453</v>
      </c>
      <c r="BV34" s="272"/>
      <c r="BW34" s="272">
        <v>5734107</v>
      </c>
      <c r="BX34" s="272">
        <v>3854910</v>
      </c>
      <c r="BY34" s="272">
        <v>599715</v>
      </c>
      <c r="BZ34" s="272">
        <v>280635</v>
      </c>
      <c r="CA34" s="272">
        <v>3029397</v>
      </c>
      <c r="CB34" s="272">
        <v>672220</v>
      </c>
      <c r="CC34" s="272">
        <v>143087</v>
      </c>
      <c r="CD34" s="272">
        <v>1353889</v>
      </c>
      <c r="CE34" s="272">
        <v>712370</v>
      </c>
      <c r="CF34" s="272">
        <v>41</v>
      </c>
      <c r="CG34" s="272">
        <v>147790</v>
      </c>
      <c r="CH34" s="272">
        <v>3908522</v>
      </c>
      <c r="CI34" s="272">
        <v>2990361</v>
      </c>
      <c r="CJ34" s="455">
        <f t="shared" si="7"/>
        <v>918161</v>
      </c>
      <c r="CK34" s="272">
        <v>2486465</v>
      </c>
      <c r="CL34" s="272">
        <v>1332218</v>
      </c>
      <c r="CM34" s="272">
        <v>217904</v>
      </c>
      <c r="CN34" s="272">
        <v>479741</v>
      </c>
      <c r="CO34" s="272">
        <v>99056</v>
      </c>
      <c r="CP34" s="272">
        <v>1025942</v>
      </c>
      <c r="CQ34" s="272">
        <v>495674</v>
      </c>
      <c r="CR34" s="272">
        <v>275288</v>
      </c>
      <c r="CS34" s="272">
        <v>264488</v>
      </c>
      <c r="CT34" s="455">
        <f t="shared" si="8"/>
        <v>9447</v>
      </c>
      <c r="CU34" s="272">
        <v>9447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1882669</v>
      </c>
      <c r="DD34" s="272">
        <v>70711</v>
      </c>
      <c r="DE34" s="272">
        <v>1805343</v>
      </c>
      <c r="DF34" s="272">
        <v>0</v>
      </c>
      <c r="DG34" s="272">
        <v>6615</v>
      </c>
      <c r="DH34" s="272">
        <v>1413</v>
      </c>
      <c r="DI34" s="272">
        <v>179721</v>
      </c>
      <c r="DJ34" s="272">
        <v>72716</v>
      </c>
      <c r="DK34" s="272">
        <v>10</v>
      </c>
      <c r="DL34" s="272">
        <v>106995</v>
      </c>
      <c r="DM34" s="272">
        <v>0</v>
      </c>
      <c r="DN34" s="272">
        <v>0</v>
      </c>
      <c r="DO34" s="272">
        <v>0</v>
      </c>
      <c r="DP34" s="272">
        <v>0</v>
      </c>
      <c r="DQ34" s="272">
        <v>1000000</v>
      </c>
      <c r="DR34" s="272">
        <v>0</v>
      </c>
      <c r="DS34" s="272">
        <v>0</v>
      </c>
      <c r="DT34" s="272">
        <v>1929853</v>
      </c>
      <c r="DU34" s="272">
        <v>600000</v>
      </c>
      <c r="DV34" s="455">
        <f t="shared" si="11"/>
        <v>0</v>
      </c>
      <c r="DW34" s="272">
        <v>0</v>
      </c>
      <c r="DX34" s="272">
        <v>0</v>
      </c>
      <c r="DY34" s="272">
        <v>0</v>
      </c>
      <c r="DZ34" s="272">
        <v>482763</v>
      </c>
      <c r="EA34" s="272">
        <v>338339</v>
      </c>
      <c r="EB34" s="272">
        <v>508751</v>
      </c>
      <c r="EC34" s="272">
        <v>0</v>
      </c>
      <c r="ED34" s="272">
        <v>21277145</v>
      </c>
      <c r="EF34" s="272">
        <v>39308</v>
      </c>
      <c r="EG34" s="272">
        <v>56</v>
      </c>
      <c r="EH34" s="272">
        <v>39252</v>
      </c>
      <c r="EI34" s="272">
        <v>-106172</v>
      </c>
      <c r="EJ34" s="272">
        <v>-33456</v>
      </c>
      <c r="EL34" s="272"/>
      <c r="EM34" s="272">
        <v>78043</v>
      </c>
      <c r="EN34" s="272">
        <v>199984</v>
      </c>
      <c r="EO34" s="272">
        <v>590084</v>
      </c>
      <c r="EP34" s="455">
        <f t="shared" si="12"/>
        <v>1300960</v>
      </c>
      <c r="EQ34" s="272">
        <v>14172136</v>
      </c>
      <c r="ER34" s="272">
        <v>-3342692</v>
      </c>
      <c r="ES34" s="272">
        <v>5512992</v>
      </c>
      <c r="ET34" s="272">
        <v>3655490</v>
      </c>
      <c r="EU34" s="272">
        <v>999827</v>
      </c>
      <c r="EV34" s="272">
        <v>3908522</v>
      </c>
      <c r="EW34" s="455">
        <f t="shared" si="13"/>
        <v>988801</v>
      </c>
      <c r="EX34" s="272">
        <v>987388</v>
      </c>
      <c r="EY34" s="272">
        <v>45</v>
      </c>
      <c r="EZ34" s="272">
        <v>987343</v>
      </c>
      <c r="FA34" s="272">
        <v>1413</v>
      </c>
      <c r="FB34" s="272"/>
      <c r="FC34" s="272">
        <v>2152992</v>
      </c>
      <c r="FD34" s="272">
        <v>945448</v>
      </c>
      <c r="FE34" s="272">
        <v>495674</v>
      </c>
      <c r="FF34" s="272">
        <v>1709436</v>
      </c>
      <c r="FG34" s="455">
        <f t="shared" si="14"/>
        <v>1257502</v>
      </c>
      <c r="FH34" s="272">
        <v>17475520</v>
      </c>
      <c r="FI34" s="384">
        <f t="shared" si="15"/>
        <v>0.3</v>
      </c>
      <c r="FJ34" s="272">
        <v>13142795</v>
      </c>
      <c r="FK34" s="272">
        <v>1132799</v>
      </c>
      <c r="FL34" s="272">
        <v>7407359</v>
      </c>
      <c r="FM34" s="272">
        <v>10737719</v>
      </c>
      <c r="FN34" s="460">
        <v>0.68700000000000006</v>
      </c>
      <c r="FO34" s="388">
        <v>98.4</v>
      </c>
      <c r="FP34" s="388">
        <v>35.4</v>
      </c>
      <c r="FQ34" s="388">
        <v>6.9</v>
      </c>
      <c r="FR34" s="388">
        <v>26.7</v>
      </c>
      <c r="FS34" s="388">
        <v>14</v>
      </c>
      <c r="FT34" s="388">
        <v>6.1</v>
      </c>
      <c r="FU34" s="388">
        <v>8.6</v>
      </c>
      <c r="FV34" s="388">
        <v>15.3</v>
      </c>
      <c r="FW34" s="272">
        <v>35937943</v>
      </c>
      <c r="FX34" s="384">
        <f t="shared" si="16"/>
        <v>273.39999999999998</v>
      </c>
      <c r="FY34" s="272">
        <v>3942867</v>
      </c>
      <c r="FZ34" s="272">
        <v>516519</v>
      </c>
      <c r="GA34" s="272">
        <v>700380</v>
      </c>
      <c r="GB34" s="272">
        <v>2725968</v>
      </c>
      <c r="GC34" s="272"/>
      <c r="GD34" s="272">
        <v>25394878</v>
      </c>
      <c r="GE34" s="384">
        <f t="shared" si="17"/>
        <v>193.2</v>
      </c>
      <c r="GF34" s="388">
        <v>97.6</v>
      </c>
      <c r="GG34" s="388">
        <v>21.2</v>
      </c>
      <c r="GH34" s="388">
        <v>90</v>
      </c>
      <c r="GI34" s="272">
        <v>548</v>
      </c>
    </row>
    <row r="35" spans="2:191" x14ac:dyDescent="0.15">
      <c r="B35" s="89" t="s">
        <v>63</v>
      </c>
      <c r="C35" s="272">
        <v>7204272</v>
      </c>
      <c r="D35" s="455">
        <f t="shared" si="0"/>
        <v>3206363</v>
      </c>
      <c r="E35" s="272">
        <v>60440</v>
      </c>
      <c r="F35" s="272">
        <v>3145923</v>
      </c>
      <c r="G35" s="455">
        <f t="shared" si="1"/>
        <v>434982</v>
      </c>
      <c r="H35" s="272">
        <v>97561</v>
      </c>
      <c r="I35" s="272">
        <v>337421</v>
      </c>
      <c r="J35" s="272">
        <v>2824030</v>
      </c>
      <c r="K35" s="272">
        <v>1276972</v>
      </c>
      <c r="L35" s="272">
        <v>1218698</v>
      </c>
      <c r="M35" s="272">
        <v>292359</v>
      </c>
      <c r="N35" s="272">
        <v>295652</v>
      </c>
      <c r="O35" s="272">
        <v>389916</v>
      </c>
      <c r="P35" s="272">
        <v>228954</v>
      </c>
      <c r="Q35" s="272">
        <v>160962</v>
      </c>
      <c r="R35" s="272">
        <v>240035</v>
      </c>
      <c r="S35" s="272">
        <v>95397</v>
      </c>
      <c r="T35" s="455">
        <f t="shared" si="2"/>
        <v>789073</v>
      </c>
      <c r="U35" s="272">
        <v>89059</v>
      </c>
      <c r="V35" s="272">
        <v>22858</v>
      </c>
      <c r="W35" s="272">
        <v>19232</v>
      </c>
      <c r="X35" s="272">
        <v>523476</v>
      </c>
      <c r="Y35" s="272">
        <v>0</v>
      </c>
      <c r="Z35" s="272">
        <v>0</v>
      </c>
      <c r="AA35" s="272">
        <v>134448</v>
      </c>
      <c r="AB35" s="272">
        <v>344733</v>
      </c>
      <c r="AC35" s="272">
        <v>2692935</v>
      </c>
      <c r="AD35" s="272">
        <v>2373841</v>
      </c>
      <c r="AE35" s="272">
        <v>319094</v>
      </c>
      <c r="AF35" s="272">
        <v>12310</v>
      </c>
      <c r="AG35" s="272">
        <v>95612</v>
      </c>
      <c r="AH35" s="455">
        <f t="shared" si="3"/>
        <v>300052</v>
      </c>
      <c r="AI35" s="272">
        <v>261842</v>
      </c>
      <c r="AJ35" s="272">
        <v>38210</v>
      </c>
      <c r="AK35" s="272">
        <v>1484044</v>
      </c>
      <c r="AL35" s="455">
        <f t="shared" si="4"/>
        <v>812297</v>
      </c>
      <c r="AM35" s="272">
        <v>728347</v>
      </c>
      <c r="AN35" s="272">
        <v>83615</v>
      </c>
      <c r="AO35" s="272">
        <v>0</v>
      </c>
      <c r="AP35" s="272">
        <v>335</v>
      </c>
      <c r="AQ35" s="272">
        <v>51213</v>
      </c>
      <c r="AR35" s="272">
        <v>0</v>
      </c>
      <c r="AS35" s="272">
        <v>0</v>
      </c>
      <c r="AT35" s="272">
        <v>771762</v>
      </c>
      <c r="AU35" s="272">
        <v>475817</v>
      </c>
      <c r="AV35" s="272">
        <v>50024</v>
      </c>
      <c r="AW35" s="272">
        <v>4890</v>
      </c>
      <c r="AX35" s="272">
        <v>295945</v>
      </c>
      <c r="AY35" s="272">
        <v>26702</v>
      </c>
      <c r="AZ35" s="272">
        <v>19564</v>
      </c>
      <c r="BA35" s="272">
        <v>15931</v>
      </c>
      <c r="BB35" s="272">
        <v>93607</v>
      </c>
      <c r="BC35" s="272">
        <v>364668</v>
      </c>
      <c r="BD35" s="272">
        <v>0</v>
      </c>
      <c r="BE35" s="272">
        <v>0</v>
      </c>
      <c r="BF35" s="272">
        <v>184070</v>
      </c>
      <c r="BG35" s="272">
        <v>0</v>
      </c>
      <c r="BH35" s="272">
        <v>70758</v>
      </c>
      <c r="BI35" s="272">
        <v>70758</v>
      </c>
      <c r="BJ35" s="272">
        <v>63102</v>
      </c>
      <c r="BK35" s="272">
        <v>407</v>
      </c>
      <c r="BL35" s="272">
        <v>1202</v>
      </c>
      <c r="BM35" s="272">
        <v>0</v>
      </c>
      <c r="BN35" s="272">
        <v>1421700</v>
      </c>
      <c r="BO35" s="455">
        <f t="shared" si="5"/>
        <v>437000</v>
      </c>
      <c r="BP35" s="455">
        <f t="shared" si="6"/>
        <v>984700</v>
      </c>
      <c r="BQ35" s="272">
        <v>118400</v>
      </c>
      <c r="BR35" s="272"/>
      <c r="BS35" s="272">
        <v>866300</v>
      </c>
      <c r="BT35" s="272">
        <v>0</v>
      </c>
      <c r="BU35" s="272">
        <v>15968227</v>
      </c>
      <c r="BV35" s="272"/>
      <c r="BW35" s="272">
        <v>4409373</v>
      </c>
      <c r="BX35" s="272">
        <v>3099128</v>
      </c>
      <c r="BY35" s="272">
        <v>472508</v>
      </c>
      <c r="BZ35" s="272">
        <v>34090</v>
      </c>
      <c r="CA35" s="272">
        <v>2300098</v>
      </c>
      <c r="CB35" s="272">
        <v>355717</v>
      </c>
      <c r="CC35" s="272">
        <v>100327</v>
      </c>
      <c r="CD35" s="272">
        <v>863174</v>
      </c>
      <c r="CE35" s="272">
        <v>935323</v>
      </c>
      <c r="CF35" s="272">
        <v>0</v>
      </c>
      <c r="CG35" s="272">
        <v>45557</v>
      </c>
      <c r="CH35" s="272">
        <v>2482930</v>
      </c>
      <c r="CI35" s="272">
        <v>1901556</v>
      </c>
      <c r="CJ35" s="455">
        <f t="shared" si="7"/>
        <v>581374</v>
      </c>
      <c r="CK35" s="272">
        <v>2113839</v>
      </c>
      <c r="CL35" s="272">
        <v>1288753</v>
      </c>
      <c r="CM35" s="272">
        <v>130366</v>
      </c>
      <c r="CN35" s="272">
        <v>350785</v>
      </c>
      <c r="CO35" s="272">
        <v>22891</v>
      </c>
      <c r="CP35" s="272">
        <v>1383198</v>
      </c>
      <c r="CQ35" s="272">
        <v>478864</v>
      </c>
      <c r="CR35" s="272">
        <v>371621</v>
      </c>
      <c r="CS35" s="272">
        <v>313944</v>
      </c>
      <c r="CT35" s="455">
        <f t="shared" si="8"/>
        <v>3527</v>
      </c>
      <c r="CU35" s="272">
        <v>3527</v>
      </c>
      <c r="CV35" s="272">
        <v>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1075277</v>
      </c>
      <c r="DD35" s="272">
        <v>63229</v>
      </c>
      <c r="DE35" s="272">
        <v>836428</v>
      </c>
      <c r="DF35" s="272">
        <v>36835</v>
      </c>
      <c r="DG35" s="272">
        <v>138785</v>
      </c>
      <c r="DH35" s="272">
        <v>0</v>
      </c>
      <c r="DI35" s="272">
        <v>202451</v>
      </c>
      <c r="DJ35" s="272">
        <v>180000</v>
      </c>
      <c r="DK35" s="272">
        <v>28</v>
      </c>
      <c r="DL35" s="272">
        <v>22423</v>
      </c>
      <c r="DM35" s="272">
        <v>0</v>
      </c>
      <c r="DN35" s="272">
        <v>0</v>
      </c>
      <c r="DO35" s="272">
        <v>0</v>
      </c>
      <c r="DP35" s="272">
        <v>0</v>
      </c>
      <c r="DQ35" s="272">
        <v>864</v>
      </c>
      <c r="DR35" s="272">
        <v>0</v>
      </c>
      <c r="DS35" s="272">
        <v>0</v>
      </c>
      <c r="DT35" s="272">
        <v>1730716</v>
      </c>
      <c r="DU35" s="272">
        <v>701038</v>
      </c>
      <c r="DV35" s="455">
        <f t="shared" si="11"/>
        <v>0</v>
      </c>
      <c r="DW35" s="272">
        <v>0</v>
      </c>
      <c r="DX35" s="272">
        <v>0</v>
      </c>
      <c r="DY35" s="272">
        <v>0</v>
      </c>
      <c r="DZ35" s="272">
        <v>353131</v>
      </c>
      <c r="EA35" s="272">
        <v>235402</v>
      </c>
      <c r="EB35" s="272">
        <v>438951</v>
      </c>
      <c r="EC35" s="272">
        <v>0</v>
      </c>
      <c r="ED35" s="272">
        <v>15721637</v>
      </c>
      <c r="EF35" s="272">
        <v>246590</v>
      </c>
      <c r="EG35" s="272">
        <v>26991</v>
      </c>
      <c r="EH35" s="272">
        <v>219599</v>
      </c>
      <c r="EI35" s="272">
        <v>148841</v>
      </c>
      <c r="EJ35" s="272">
        <v>328841</v>
      </c>
      <c r="EL35" s="272"/>
      <c r="EM35" s="272">
        <v>57404</v>
      </c>
      <c r="EN35" s="272">
        <v>180598</v>
      </c>
      <c r="EO35" s="272">
        <v>2711</v>
      </c>
      <c r="EP35" s="455">
        <f t="shared" si="12"/>
        <v>263693</v>
      </c>
      <c r="EQ35" s="272">
        <v>11283358</v>
      </c>
      <c r="ER35" s="272">
        <v>-1419392</v>
      </c>
      <c r="ES35" s="272">
        <v>4170788</v>
      </c>
      <c r="ET35" s="272">
        <v>2865051</v>
      </c>
      <c r="EU35" s="272">
        <v>714875</v>
      </c>
      <c r="EV35" s="272">
        <v>2482930</v>
      </c>
      <c r="EW35" s="455">
        <f t="shared" si="13"/>
        <v>286249</v>
      </c>
      <c r="EX35" s="272">
        <v>286249</v>
      </c>
      <c r="EY35" s="272">
        <v>6126</v>
      </c>
      <c r="EZ35" s="272">
        <v>243288</v>
      </c>
      <c r="FA35" s="272">
        <v>0</v>
      </c>
      <c r="FB35" s="272"/>
      <c r="FC35" s="272">
        <v>1782444</v>
      </c>
      <c r="FD35" s="272">
        <v>1239392</v>
      </c>
      <c r="FE35" s="272">
        <v>478864</v>
      </c>
      <c r="FF35" s="272">
        <v>1555789</v>
      </c>
      <c r="FG35" s="455">
        <f t="shared" si="14"/>
        <v>223693</v>
      </c>
      <c r="FH35" s="272">
        <v>12456160</v>
      </c>
      <c r="FI35" s="384">
        <f t="shared" si="15"/>
        <v>2.1</v>
      </c>
      <c r="FJ35" s="272">
        <v>10425261</v>
      </c>
      <c r="FK35" s="272">
        <v>866346</v>
      </c>
      <c r="FL35" s="272">
        <v>6076627</v>
      </c>
      <c r="FM35" s="272">
        <v>8450468</v>
      </c>
      <c r="FN35" s="460">
        <v>0.71099999999999997</v>
      </c>
      <c r="FO35" s="388">
        <v>94.9</v>
      </c>
      <c r="FP35" s="388">
        <v>33.700000000000003</v>
      </c>
      <c r="FQ35" s="388">
        <v>6.1</v>
      </c>
      <c r="FR35" s="388">
        <v>20.8</v>
      </c>
      <c r="FS35" s="388">
        <v>15</v>
      </c>
      <c r="FT35" s="388">
        <v>10.1</v>
      </c>
      <c r="FU35" s="388">
        <v>9</v>
      </c>
      <c r="FV35" s="388">
        <v>13.1</v>
      </c>
      <c r="FW35" s="272">
        <v>22389374</v>
      </c>
      <c r="FX35" s="384">
        <f t="shared" si="16"/>
        <v>214.8</v>
      </c>
      <c r="FY35" s="272">
        <v>2632139</v>
      </c>
      <c r="FZ35" s="272">
        <v>1750000</v>
      </c>
      <c r="GA35" s="272">
        <v>36028</v>
      </c>
      <c r="GB35" s="272">
        <v>846111</v>
      </c>
      <c r="GC35" s="272"/>
      <c r="GD35" s="272">
        <v>1921675</v>
      </c>
      <c r="GE35" s="384">
        <f t="shared" si="17"/>
        <v>18.399999999999999</v>
      </c>
      <c r="GF35" s="388">
        <v>97.9</v>
      </c>
      <c r="GG35" s="388">
        <v>19.5</v>
      </c>
      <c r="GH35" s="388">
        <v>88.9</v>
      </c>
      <c r="GI35" s="272">
        <v>433</v>
      </c>
    </row>
    <row r="36" spans="2:191" x14ac:dyDescent="0.15">
      <c r="B36" s="89" t="s">
        <v>65</v>
      </c>
      <c r="C36" s="272">
        <v>5440391</v>
      </c>
      <c r="D36" s="455">
        <f t="shared" si="0"/>
        <v>2106786</v>
      </c>
      <c r="E36" s="272">
        <v>61797</v>
      </c>
      <c r="F36" s="272">
        <v>2044989</v>
      </c>
      <c r="G36" s="455">
        <f t="shared" si="1"/>
        <v>151636</v>
      </c>
      <c r="H36" s="272">
        <v>68294</v>
      </c>
      <c r="I36" s="272">
        <v>83342</v>
      </c>
      <c r="J36" s="272">
        <v>2442554</v>
      </c>
      <c r="K36" s="272">
        <v>1122664</v>
      </c>
      <c r="L36" s="272">
        <v>1047499</v>
      </c>
      <c r="M36" s="272">
        <v>227206</v>
      </c>
      <c r="N36" s="272">
        <v>306082</v>
      </c>
      <c r="O36" s="272">
        <v>356510</v>
      </c>
      <c r="P36" s="272">
        <v>209725</v>
      </c>
      <c r="Q36" s="272">
        <v>146785</v>
      </c>
      <c r="R36" s="272">
        <v>254279</v>
      </c>
      <c r="S36" s="272">
        <v>97401</v>
      </c>
      <c r="T36" s="455">
        <f t="shared" si="2"/>
        <v>724550</v>
      </c>
      <c r="U36" s="272">
        <v>66964</v>
      </c>
      <c r="V36" s="272">
        <v>17289</v>
      </c>
      <c r="W36" s="272">
        <v>14347</v>
      </c>
      <c r="X36" s="272">
        <v>475598</v>
      </c>
      <c r="Y36" s="272">
        <v>4529</v>
      </c>
      <c r="Z36" s="272">
        <v>0</v>
      </c>
      <c r="AA36" s="272">
        <v>145823</v>
      </c>
      <c r="AB36" s="272">
        <v>204073</v>
      </c>
      <c r="AC36" s="272">
        <v>3413436</v>
      </c>
      <c r="AD36" s="272">
        <v>3117215</v>
      </c>
      <c r="AE36" s="272">
        <v>296221</v>
      </c>
      <c r="AF36" s="272">
        <v>12058</v>
      </c>
      <c r="AG36" s="272">
        <v>57777</v>
      </c>
      <c r="AH36" s="455">
        <f t="shared" si="3"/>
        <v>284615</v>
      </c>
      <c r="AI36" s="272">
        <v>252469</v>
      </c>
      <c r="AJ36" s="272">
        <v>32146</v>
      </c>
      <c r="AK36" s="272">
        <v>1611630</v>
      </c>
      <c r="AL36" s="455">
        <f t="shared" si="4"/>
        <v>1100737</v>
      </c>
      <c r="AM36" s="272">
        <v>653301</v>
      </c>
      <c r="AN36" s="272">
        <v>442426</v>
      </c>
      <c r="AO36" s="272">
        <v>0</v>
      </c>
      <c r="AP36" s="272">
        <v>5010</v>
      </c>
      <c r="AQ36" s="272">
        <v>184928</v>
      </c>
      <c r="AR36" s="272">
        <v>0</v>
      </c>
      <c r="AS36" s="272">
        <v>0</v>
      </c>
      <c r="AT36" s="272">
        <v>640177</v>
      </c>
      <c r="AU36" s="272">
        <v>331312</v>
      </c>
      <c r="AV36" s="272">
        <v>95805</v>
      </c>
      <c r="AW36" s="272">
        <v>0</v>
      </c>
      <c r="AX36" s="272">
        <v>308865</v>
      </c>
      <c r="AY36" s="272">
        <v>13759</v>
      </c>
      <c r="AZ36" s="272">
        <v>6831</v>
      </c>
      <c r="BA36" s="272">
        <v>1201</v>
      </c>
      <c r="BB36" s="272">
        <v>7338</v>
      </c>
      <c r="BC36" s="272">
        <v>229364</v>
      </c>
      <c r="BD36" s="272">
        <v>0</v>
      </c>
      <c r="BE36" s="272">
        <v>0</v>
      </c>
      <c r="BF36" s="272">
        <v>227684</v>
      </c>
      <c r="BG36" s="470">
        <v>0</v>
      </c>
      <c r="BH36" s="272">
        <v>114385</v>
      </c>
      <c r="BI36" s="272">
        <v>95145</v>
      </c>
      <c r="BJ36" s="272">
        <v>451766</v>
      </c>
      <c r="BK36" s="272">
        <v>12004</v>
      </c>
      <c r="BL36" s="272">
        <v>0</v>
      </c>
      <c r="BM36" s="272">
        <v>0</v>
      </c>
      <c r="BN36" s="272">
        <v>1069500</v>
      </c>
      <c r="BO36" s="455">
        <f t="shared" si="5"/>
        <v>140600</v>
      </c>
      <c r="BP36" s="455">
        <f t="shared" si="6"/>
        <v>928900</v>
      </c>
      <c r="BQ36" s="272">
        <v>75700</v>
      </c>
      <c r="BR36" s="272"/>
      <c r="BS36" s="272">
        <v>853200</v>
      </c>
      <c r="BT36" s="272">
        <v>0</v>
      </c>
      <c r="BU36" s="272">
        <v>14522170</v>
      </c>
      <c r="BV36" s="272"/>
      <c r="BW36" s="272">
        <v>3563656</v>
      </c>
      <c r="BX36" s="272">
        <v>2674163</v>
      </c>
      <c r="BY36" s="272">
        <v>137849</v>
      </c>
      <c r="BZ36" s="272">
        <v>31759</v>
      </c>
      <c r="CA36" s="272">
        <v>2198438</v>
      </c>
      <c r="CB36" s="272">
        <v>376521</v>
      </c>
      <c r="CC36" s="272">
        <v>130976</v>
      </c>
      <c r="CD36" s="272">
        <v>799802</v>
      </c>
      <c r="CE36" s="272">
        <v>824658</v>
      </c>
      <c r="CF36" s="272">
        <v>3355</v>
      </c>
      <c r="CG36" s="272">
        <v>63126</v>
      </c>
      <c r="CH36" s="272">
        <v>1647668</v>
      </c>
      <c r="CI36" s="272">
        <v>1180170</v>
      </c>
      <c r="CJ36" s="455">
        <f t="shared" si="7"/>
        <v>467498</v>
      </c>
      <c r="CK36" s="272">
        <v>2240425</v>
      </c>
      <c r="CL36" s="272">
        <v>1172811</v>
      </c>
      <c r="CM36" s="272">
        <v>384807</v>
      </c>
      <c r="CN36" s="272">
        <v>416985</v>
      </c>
      <c r="CO36" s="272">
        <v>114714</v>
      </c>
      <c r="CP36" s="272">
        <v>1529095</v>
      </c>
      <c r="CQ36" s="272">
        <v>1035456</v>
      </c>
      <c r="CR36" s="272">
        <v>171462</v>
      </c>
      <c r="CS36" s="272">
        <v>171462</v>
      </c>
      <c r="CT36" s="272">
        <f t="shared" si="8"/>
        <v>138500</v>
      </c>
      <c r="CU36" s="272">
        <v>89222</v>
      </c>
      <c r="CV36" s="272">
        <v>49278</v>
      </c>
      <c r="CW36" s="455">
        <f t="shared" si="9"/>
        <v>131000</v>
      </c>
      <c r="CX36" s="272">
        <v>81722</v>
      </c>
      <c r="CY36" s="272">
        <v>49278</v>
      </c>
      <c r="CZ36" s="455">
        <f t="shared" si="10"/>
        <v>0</v>
      </c>
      <c r="DA36" s="272">
        <v>0</v>
      </c>
      <c r="DB36" s="272">
        <v>0</v>
      </c>
      <c r="DC36" s="272">
        <v>836439</v>
      </c>
      <c r="DD36" s="272">
        <v>446842</v>
      </c>
      <c r="DE36" s="272">
        <v>381723</v>
      </c>
      <c r="DF36" s="272">
        <v>7874</v>
      </c>
      <c r="DG36" s="272">
        <v>0</v>
      </c>
      <c r="DH36" s="272">
        <v>0</v>
      </c>
      <c r="DI36" s="272">
        <v>620306</v>
      </c>
      <c r="DJ36" s="272">
        <v>364606</v>
      </c>
      <c r="DK36" s="272">
        <v>0</v>
      </c>
      <c r="DL36" s="272">
        <v>255700</v>
      </c>
      <c r="DM36" s="272">
        <v>0</v>
      </c>
      <c r="DN36" s="272">
        <v>0</v>
      </c>
      <c r="DO36" s="272">
        <v>0</v>
      </c>
      <c r="DP36" s="272">
        <v>0</v>
      </c>
      <c r="DQ36" s="272">
        <v>12000</v>
      </c>
      <c r="DR36" s="272">
        <v>0</v>
      </c>
      <c r="DS36" s="272">
        <v>0</v>
      </c>
      <c r="DT36" s="272">
        <v>1660718</v>
      </c>
      <c r="DU36" s="272">
        <v>607671</v>
      </c>
      <c r="DV36" s="455">
        <f t="shared" si="11"/>
        <v>0</v>
      </c>
      <c r="DW36" s="272">
        <v>0</v>
      </c>
      <c r="DX36" s="272">
        <v>0</v>
      </c>
      <c r="DY36" s="272">
        <v>0</v>
      </c>
      <c r="DZ36" s="272">
        <v>348619</v>
      </c>
      <c r="EA36" s="272">
        <v>309805</v>
      </c>
      <c r="EB36" s="272">
        <v>394622</v>
      </c>
      <c r="EC36" s="272">
        <v>0</v>
      </c>
      <c r="ED36" s="272">
        <v>14423459</v>
      </c>
      <c r="EF36" s="272">
        <v>98711</v>
      </c>
      <c r="EG36" s="272">
        <v>32006</v>
      </c>
      <c r="EH36" s="272">
        <v>66705</v>
      </c>
      <c r="EI36" s="272">
        <v>-28440</v>
      </c>
      <c r="EJ36" s="272">
        <v>336166</v>
      </c>
      <c r="EL36" s="272"/>
      <c r="EM36" s="272">
        <v>59469</v>
      </c>
      <c r="EN36" s="272">
        <v>21202</v>
      </c>
      <c r="EO36" s="272">
        <v>4744</v>
      </c>
      <c r="EP36" s="455">
        <f t="shared" si="12"/>
        <v>262243</v>
      </c>
      <c r="EQ36" s="272">
        <v>10048787</v>
      </c>
      <c r="ER36" s="272">
        <v>-1205031</v>
      </c>
      <c r="ES36" s="272">
        <v>3247285</v>
      </c>
      <c r="ET36" s="272">
        <v>2363856</v>
      </c>
      <c r="EU36" s="272">
        <v>608065</v>
      </c>
      <c r="EV36" s="272">
        <v>1647668</v>
      </c>
      <c r="EW36" s="455">
        <f t="shared" si="13"/>
        <v>222112</v>
      </c>
      <c r="EX36" s="272">
        <v>222112</v>
      </c>
      <c r="EY36" s="272">
        <v>12692</v>
      </c>
      <c r="EZ36" s="272">
        <v>205483</v>
      </c>
      <c r="FA36" s="272">
        <v>0</v>
      </c>
      <c r="FB36" s="272"/>
      <c r="FC36" s="272">
        <v>1957378</v>
      </c>
      <c r="FD36" s="272">
        <v>1476028</v>
      </c>
      <c r="FE36" s="272">
        <v>1035456</v>
      </c>
      <c r="FF36" s="272">
        <v>1494925</v>
      </c>
      <c r="FG36" s="455">
        <f t="shared" si="14"/>
        <v>501646</v>
      </c>
      <c r="FH36" s="272">
        <v>11155107</v>
      </c>
      <c r="FI36" s="384">
        <f t="shared" si="15"/>
        <v>0.7</v>
      </c>
      <c r="FJ36" s="272">
        <v>9535497</v>
      </c>
      <c r="FK36" s="272">
        <v>853289</v>
      </c>
      <c r="FL36" s="272">
        <v>4854848</v>
      </c>
      <c r="FM36" s="272">
        <v>7966234</v>
      </c>
      <c r="FN36" s="460">
        <v>0.59599999999999997</v>
      </c>
      <c r="FO36" s="388">
        <v>97.1</v>
      </c>
      <c r="FP36" s="388">
        <v>30.9</v>
      </c>
      <c r="FQ36" s="388">
        <v>5.9</v>
      </c>
      <c r="FR36" s="388">
        <v>15.9</v>
      </c>
      <c r="FS36" s="388">
        <v>18.3</v>
      </c>
      <c r="FT36" s="388">
        <v>13.8</v>
      </c>
      <c r="FU36" s="388">
        <v>11.3</v>
      </c>
      <c r="FV36" s="388">
        <v>10.7</v>
      </c>
      <c r="FW36" s="272">
        <v>14371674</v>
      </c>
      <c r="FX36" s="384">
        <f t="shared" si="16"/>
        <v>150.69999999999999</v>
      </c>
      <c r="FY36" s="272">
        <v>2068261</v>
      </c>
      <c r="FZ36" s="272">
        <v>1264173</v>
      </c>
      <c r="GA36" s="272">
        <v>70</v>
      </c>
      <c r="GB36" s="272">
        <v>804018</v>
      </c>
      <c r="GC36" s="272">
        <v>300000</v>
      </c>
      <c r="GD36" s="272">
        <v>827200</v>
      </c>
      <c r="GE36" s="384">
        <f t="shared" si="17"/>
        <v>8.6999999999999993</v>
      </c>
      <c r="GF36" s="388">
        <v>97.4</v>
      </c>
      <c r="GG36" s="388">
        <v>18.2</v>
      </c>
      <c r="GH36" s="388">
        <v>88.6</v>
      </c>
      <c r="GI36" s="272">
        <v>408</v>
      </c>
    </row>
    <row r="37" spans="2:191" x14ac:dyDescent="0.15">
      <c r="B37" s="21" t="s">
        <v>67</v>
      </c>
      <c r="C37" s="272">
        <f>SUM(C6:C36)</f>
        <v>718460660</v>
      </c>
      <c r="D37" s="455">
        <f t="shared" si="0"/>
        <v>231838729</v>
      </c>
      <c r="E37" s="272">
        <f>SUM(E6:E36)</f>
        <v>5472222</v>
      </c>
      <c r="F37" s="272">
        <f>SUM(F6:F36)</f>
        <v>226366507</v>
      </c>
      <c r="G37" s="455">
        <f t="shared" si="1"/>
        <v>55052271</v>
      </c>
      <c r="H37" s="272">
        <f t="shared" ref="H37:S37" si="18">SUM(H6:H36)</f>
        <v>12245592</v>
      </c>
      <c r="I37" s="272">
        <f t="shared" si="18"/>
        <v>42806679</v>
      </c>
      <c r="J37" s="272">
        <f t="shared" si="18"/>
        <v>319853016</v>
      </c>
      <c r="K37" s="272">
        <f t="shared" si="18"/>
        <v>148484818</v>
      </c>
      <c r="L37" s="272">
        <f t="shared" si="18"/>
        <v>123324607</v>
      </c>
      <c r="M37" s="272">
        <f t="shared" si="18"/>
        <v>42176744</v>
      </c>
      <c r="N37" s="272">
        <f t="shared" si="18"/>
        <v>32688469</v>
      </c>
      <c r="O37" s="272">
        <f t="shared" si="18"/>
        <v>67772775</v>
      </c>
      <c r="P37" s="272">
        <f t="shared" si="18"/>
        <v>40701022</v>
      </c>
      <c r="Q37" s="272">
        <f t="shared" si="18"/>
        <v>27071753</v>
      </c>
      <c r="R37" s="272">
        <f t="shared" si="18"/>
        <v>22725750</v>
      </c>
      <c r="S37" s="272">
        <f t="shared" si="18"/>
        <v>8672042</v>
      </c>
      <c r="T37" s="455">
        <f t="shared" si="2"/>
        <v>72205293</v>
      </c>
      <c r="U37" s="272">
        <f t="shared" ref="U37:AG37" si="19">SUM(U6:U36)</f>
        <v>6922708</v>
      </c>
      <c r="V37" s="272">
        <f t="shared" si="19"/>
        <v>1784218</v>
      </c>
      <c r="W37" s="272">
        <f t="shared" si="19"/>
        <v>1486802</v>
      </c>
      <c r="X37" s="272">
        <f t="shared" si="19"/>
        <v>50571685</v>
      </c>
      <c r="Y37" s="272">
        <f t="shared" si="19"/>
        <v>814999</v>
      </c>
      <c r="Z37" s="272">
        <f t="shared" si="19"/>
        <v>811</v>
      </c>
      <c r="AA37" s="272">
        <f t="shared" si="19"/>
        <v>10624070</v>
      </c>
      <c r="AB37" s="272">
        <f t="shared" si="19"/>
        <v>25299952</v>
      </c>
      <c r="AC37" s="272">
        <f t="shared" si="19"/>
        <v>152748125</v>
      </c>
      <c r="AD37" s="272">
        <f t="shared" si="19"/>
        <v>141287200</v>
      </c>
      <c r="AE37" s="272">
        <f t="shared" si="19"/>
        <v>11460925</v>
      </c>
      <c r="AF37" s="272">
        <f t="shared" si="19"/>
        <v>1000194</v>
      </c>
      <c r="AG37" s="272">
        <f t="shared" si="19"/>
        <v>16136017</v>
      </c>
      <c r="AH37" s="455">
        <f t="shared" si="3"/>
        <v>36655519</v>
      </c>
      <c r="AI37" s="272">
        <f>SUM(AI6:AI36)</f>
        <v>29108322</v>
      </c>
      <c r="AJ37" s="272">
        <f>SUM(AJ6:AJ36)</f>
        <v>7547197</v>
      </c>
      <c r="AK37" s="272">
        <f>SUM(AK6:AK36)</f>
        <v>208969681</v>
      </c>
      <c r="AL37" s="455">
        <f t="shared" si="4"/>
        <v>125004832</v>
      </c>
      <c r="AM37" s="272">
        <f t="shared" ref="AM37:BN37" si="20">SUM(AM6:AM36)</f>
        <v>107578064</v>
      </c>
      <c r="AN37" s="272">
        <f t="shared" si="20"/>
        <v>16635335</v>
      </c>
      <c r="AO37" s="272">
        <f t="shared" si="20"/>
        <v>66246</v>
      </c>
      <c r="AP37" s="272">
        <f t="shared" si="20"/>
        <v>725187</v>
      </c>
      <c r="AQ37" s="272">
        <f t="shared" si="20"/>
        <v>14540286</v>
      </c>
      <c r="AR37" s="272">
        <f t="shared" si="20"/>
        <v>31347</v>
      </c>
      <c r="AS37" s="272">
        <f t="shared" si="20"/>
        <v>334835</v>
      </c>
      <c r="AT37" s="272">
        <f t="shared" si="20"/>
        <v>67552849</v>
      </c>
      <c r="AU37" s="272">
        <f t="shared" si="20"/>
        <v>38795380</v>
      </c>
      <c r="AV37" s="272">
        <f t="shared" si="20"/>
        <v>5786843</v>
      </c>
      <c r="AW37" s="272">
        <f t="shared" si="20"/>
        <v>845547</v>
      </c>
      <c r="AX37" s="272">
        <f t="shared" si="20"/>
        <v>28757469</v>
      </c>
      <c r="AY37" s="272">
        <f t="shared" si="20"/>
        <v>2012881</v>
      </c>
      <c r="AZ37" s="272">
        <f t="shared" si="20"/>
        <v>6543814</v>
      </c>
      <c r="BA37" s="272">
        <f t="shared" si="20"/>
        <v>5697685</v>
      </c>
      <c r="BB37" s="272">
        <f t="shared" si="20"/>
        <v>3423861</v>
      </c>
      <c r="BC37" s="272">
        <f t="shared" si="20"/>
        <v>31862220</v>
      </c>
      <c r="BD37" s="272">
        <f t="shared" si="20"/>
        <v>6810894</v>
      </c>
      <c r="BE37" s="272">
        <f t="shared" si="20"/>
        <v>1545648</v>
      </c>
      <c r="BF37" s="272">
        <f t="shared" si="20"/>
        <v>12942311</v>
      </c>
      <c r="BG37" s="272">
        <f t="shared" si="20"/>
        <v>4982163</v>
      </c>
      <c r="BH37" s="272">
        <f t="shared" si="20"/>
        <v>7704949</v>
      </c>
      <c r="BI37" s="272">
        <f t="shared" si="20"/>
        <v>4388248</v>
      </c>
      <c r="BJ37" s="272">
        <f t="shared" si="20"/>
        <v>44988753</v>
      </c>
      <c r="BK37" s="272">
        <f t="shared" si="20"/>
        <v>29705600</v>
      </c>
      <c r="BL37" s="272">
        <f t="shared" si="20"/>
        <v>273508</v>
      </c>
      <c r="BM37" s="272">
        <f t="shared" si="20"/>
        <v>2808704</v>
      </c>
      <c r="BN37" s="272">
        <f t="shared" si="20"/>
        <v>130687460</v>
      </c>
      <c r="BO37" s="455">
        <f t="shared" si="5"/>
        <v>54165660</v>
      </c>
      <c r="BP37" s="455">
        <f t="shared" si="6"/>
        <v>75882800</v>
      </c>
      <c r="BQ37" s="272">
        <f>SUM(BQ6:BQ36)</f>
        <v>9814000</v>
      </c>
      <c r="BR37" s="272">
        <f>SUM(BR6:BR36)</f>
        <v>0</v>
      </c>
      <c r="BS37" s="272">
        <f>SUM(BS6:BS36)</f>
        <v>66068800</v>
      </c>
      <c r="BT37" s="272">
        <f>SUM(BT6:BT36)</f>
        <v>639000</v>
      </c>
      <c r="BU37" s="272">
        <f>SUM(BU6:BU36)</f>
        <v>1547299932</v>
      </c>
      <c r="BV37" s="272"/>
      <c r="BW37" s="272">
        <f t="shared" ref="BW37:CI37" si="21">SUM(BW6:BW36)</f>
        <v>391480024</v>
      </c>
      <c r="BX37" s="272">
        <f t="shared" si="21"/>
        <v>267395739</v>
      </c>
      <c r="BY37" s="272">
        <f t="shared" si="21"/>
        <v>45525679</v>
      </c>
      <c r="BZ37" s="272">
        <f t="shared" si="21"/>
        <v>15987284</v>
      </c>
      <c r="CA37" s="272">
        <f t="shared" si="21"/>
        <v>310915409</v>
      </c>
      <c r="CB37" s="272">
        <f t="shared" si="21"/>
        <v>45329844</v>
      </c>
      <c r="CC37" s="272">
        <f t="shared" si="21"/>
        <v>14057156</v>
      </c>
      <c r="CD37" s="272">
        <f t="shared" si="21"/>
        <v>98644963</v>
      </c>
      <c r="CE37" s="272">
        <f t="shared" si="21"/>
        <v>140454699</v>
      </c>
      <c r="CF37" s="272">
        <f t="shared" si="21"/>
        <v>6447579</v>
      </c>
      <c r="CG37" s="272">
        <f t="shared" si="21"/>
        <v>5954928</v>
      </c>
      <c r="CH37" s="272">
        <f t="shared" si="21"/>
        <v>159821043</v>
      </c>
      <c r="CI37" s="272">
        <f t="shared" si="21"/>
        <v>121462373</v>
      </c>
      <c r="CJ37" s="455">
        <f t="shared" si="7"/>
        <v>38358670</v>
      </c>
      <c r="CK37" s="272">
        <f t="shared" ref="CK37:CS37" si="22">SUM(CK6:CK36)</f>
        <v>178879984</v>
      </c>
      <c r="CL37" s="272">
        <f t="shared" si="22"/>
        <v>102767508</v>
      </c>
      <c r="CM37" s="272">
        <f t="shared" si="22"/>
        <v>11802649</v>
      </c>
      <c r="CN37" s="272">
        <f t="shared" si="22"/>
        <v>34860219</v>
      </c>
      <c r="CO37" s="272">
        <f t="shared" si="22"/>
        <v>13392113</v>
      </c>
      <c r="CP37" s="272">
        <f t="shared" si="22"/>
        <v>114998621</v>
      </c>
      <c r="CQ37" s="272">
        <f t="shared" si="22"/>
        <v>41329543</v>
      </c>
      <c r="CR37" s="272">
        <f t="shared" si="22"/>
        <v>35726555</v>
      </c>
      <c r="CS37" s="272">
        <f t="shared" si="22"/>
        <v>26311319</v>
      </c>
      <c r="CT37" s="272">
        <f t="shared" si="8"/>
        <v>16668821</v>
      </c>
      <c r="CU37" s="272">
        <f>SUM(CU6:CU36)</f>
        <v>11793873</v>
      </c>
      <c r="CV37" s="272">
        <f>SUM(CV6:CV36)</f>
        <v>4874948</v>
      </c>
      <c r="CW37" s="455">
        <f t="shared" si="9"/>
        <v>13494824</v>
      </c>
      <c r="CX37" s="272">
        <f>SUM(CX6:CX36)</f>
        <v>10515809</v>
      </c>
      <c r="CY37" s="272">
        <f>SUM(CY6:CY36)</f>
        <v>2979015</v>
      </c>
      <c r="CZ37" s="455">
        <f t="shared" si="10"/>
        <v>551230</v>
      </c>
      <c r="DA37" s="272">
        <f t="shared" ref="DA37:DU37" si="23">SUM(DA6:DA36)</f>
        <v>493730</v>
      </c>
      <c r="DB37" s="272">
        <f t="shared" si="23"/>
        <v>57500</v>
      </c>
      <c r="DC37" s="272">
        <f t="shared" si="23"/>
        <v>123464150</v>
      </c>
      <c r="DD37" s="272">
        <f t="shared" si="23"/>
        <v>29085452</v>
      </c>
      <c r="DE37" s="272">
        <f t="shared" si="23"/>
        <v>89216356</v>
      </c>
      <c r="DF37" s="272">
        <f t="shared" si="23"/>
        <v>1867813</v>
      </c>
      <c r="DG37" s="272">
        <f t="shared" si="23"/>
        <v>3294529</v>
      </c>
      <c r="DH37" s="272">
        <f t="shared" si="23"/>
        <v>327627</v>
      </c>
      <c r="DI37" s="272">
        <f t="shared" si="23"/>
        <v>16260566</v>
      </c>
      <c r="DJ37" s="272">
        <f t="shared" si="23"/>
        <v>3697610</v>
      </c>
      <c r="DK37" s="272">
        <f t="shared" si="23"/>
        <v>2187368</v>
      </c>
      <c r="DL37" s="272">
        <f t="shared" si="23"/>
        <v>10373290</v>
      </c>
      <c r="DM37" s="272">
        <f t="shared" si="23"/>
        <v>1993383</v>
      </c>
      <c r="DN37" s="272">
        <f t="shared" si="23"/>
        <v>1510285</v>
      </c>
      <c r="DO37" s="272">
        <f t="shared" si="23"/>
        <v>152656</v>
      </c>
      <c r="DP37" s="272">
        <f t="shared" si="23"/>
        <v>1357629</v>
      </c>
      <c r="DQ37" s="272">
        <f t="shared" si="23"/>
        <v>30811340</v>
      </c>
      <c r="DR37" s="272">
        <f t="shared" si="23"/>
        <v>550000</v>
      </c>
      <c r="DS37" s="272">
        <f t="shared" si="23"/>
        <v>550000</v>
      </c>
      <c r="DT37" s="272">
        <f t="shared" si="23"/>
        <v>191064574</v>
      </c>
      <c r="DU37" s="272">
        <f t="shared" si="23"/>
        <v>83044933</v>
      </c>
      <c r="DV37" s="455">
        <f t="shared" si="11"/>
        <v>1167117</v>
      </c>
      <c r="DW37" s="272">
        <f t="shared" ref="DW37:ED37" si="24">SUM(DW6:DW36)</f>
        <v>1167117</v>
      </c>
      <c r="DX37" s="272">
        <f t="shared" si="24"/>
        <v>0</v>
      </c>
      <c r="DY37" s="272">
        <f t="shared" si="24"/>
        <v>342039</v>
      </c>
      <c r="DZ37" s="272">
        <f t="shared" si="24"/>
        <v>47394289</v>
      </c>
      <c r="EA37" s="272">
        <f t="shared" si="24"/>
        <v>24004655</v>
      </c>
      <c r="EB37" s="272">
        <f t="shared" si="24"/>
        <v>31531252</v>
      </c>
      <c r="EC37" s="272">
        <f t="shared" si="24"/>
        <v>12054766</v>
      </c>
      <c r="ED37" s="272">
        <f t="shared" si="24"/>
        <v>1545463600</v>
      </c>
      <c r="EE37" s="89"/>
      <c r="EF37" s="272">
        <f>SUM(EF6:EF36)</f>
        <v>1836332</v>
      </c>
      <c r="EG37" s="272">
        <f>SUM(EG6:EG36)</f>
        <v>2946189</v>
      </c>
      <c r="EH37" s="272">
        <f>SUM(EH6:EH36)</f>
        <v>-1109857</v>
      </c>
      <c r="EI37" s="272">
        <f>SUM(EI6:EI36)</f>
        <v>6971337</v>
      </c>
      <c r="EJ37" s="272">
        <f>SUM(EJ6:EJ36)</f>
        <v>4294152</v>
      </c>
      <c r="EL37" s="272"/>
      <c r="EM37" s="272">
        <f>SUM(EM6:EM36)</f>
        <v>5131505</v>
      </c>
      <c r="EN37" s="272">
        <f>SUM(EN6:EN36)</f>
        <v>18375546</v>
      </c>
      <c r="EO37" s="272">
        <f>SUM(EO6:EO36)</f>
        <v>5097823</v>
      </c>
      <c r="EP37" s="455">
        <f t="shared" si="12"/>
        <v>26199459</v>
      </c>
      <c r="EQ37" s="272">
        <f t="shared" ref="EQ37:EV37" si="25">SUM(EQ6:EQ36)</f>
        <v>992774809</v>
      </c>
      <c r="ER37" s="272">
        <f t="shared" si="25"/>
        <v>-124220599</v>
      </c>
      <c r="ES37" s="272">
        <f t="shared" si="25"/>
        <v>365941802</v>
      </c>
      <c r="ET37" s="272">
        <f t="shared" si="25"/>
        <v>246751240</v>
      </c>
      <c r="EU37" s="272">
        <f t="shared" si="25"/>
        <v>93164878</v>
      </c>
      <c r="EV37" s="272">
        <f t="shared" si="25"/>
        <v>156347415</v>
      </c>
      <c r="EW37" s="455">
        <f t="shared" si="13"/>
        <v>40463332</v>
      </c>
      <c r="EX37" s="272">
        <f>SUM(EX6:EX36)</f>
        <v>40291584</v>
      </c>
      <c r="EY37" s="272">
        <f>SUM(EY6:EY36)</f>
        <v>2576002</v>
      </c>
      <c r="EZ37" s="272">
        <f>SUM(EZ6:EZ36)</f>
        <v>37378237</v>
      </c>
      <c r="FA37" s="272">
        <f>SUM(FA6:FA36)</f>
        <v>171748</v>
      </c>
      <c r="FB37" s="272"/>
      <c r="FC37" s="272">
        <f>SUM(FC6:FC36)</f>
        <v>142755433</v>
      </c>
      <c r="FD37" s="272">
        <f>SUM(FD6:FD36)</f>
        <v>104308280</v>
      </c>
      <c r="FE37" s="272">
        <f>SUM(FE6:FE36)</f>
        <v>41079543</v>
      </c>
      <c r="FF37" s="272">
        <f>SUM(FF6:FF36)</f>
        <v>172056976</v>
      </c>
      <c r="FG37" s="455">
        <f t="shared" si="14"/>
        <v>40488270</v>
      </c>
      <c r="FH37" s="272">
        <f>SUM(FH6:FH36)</f>
        <v>1115526386</v>
      </c>
      <c r="FI37" s="384">
        <f t="shared" si="15"/>
        <v>-0.1</v>
      </c>
      <c r="FJ37" s="272">
        <f>SUM(FJ6:FJ36)</f>
        <v>903708307</v>
      </c>
      <c r="FK37" s="272">
        <f>SUM(FK6:FK36)</f>
        <v>66383746</v>
      </c>
      <c r="FL37" s="272">
        <f>SUM(FL6:FL36)</f>
        <v>575450225</v>
      </c>
      <c r="FM37" s="272">
        <f>SUM(FM6:FM36)</f>
        <v>710981103</v>
      </c>
      <c r="FN37" s="468">
        <v>0.80400000000000005</v>
      </c>
      <c r="FO37" s="469">
        <v>96.9</v>
      </c>
      <c r="FP37" s="469">
        <v>33.700000000000003</v>
      </c>
      <c r="FQ37" s="469">
        <v>9.6999999999999993</v>
      </c>
      <c r="FR37" s="469">
        <v>15.9</v>
      </c>
      <c r="FS37" s="469">
        <v>13.6</v>
      </c>
      <c r="FT37" s="469">
        <v>10.3</v>
      </c>
      <c r="FU37" s="469">
        <v>12.5</v>
      </c>
      <c r="FV37" s="469">
        <v>10.3</v>
      </c>
      <c r="FW37" s="272">
        <f>SUM(FW6:FW36)</f>
        <v>1567578516</v>
      </c>
      <c r="FX37" s="384">
        <f t="shared" si="16"/>
        <v>173.5</v>
      </c>
      <c r="FY37" s="272">
        <f t="shared" ref="FY37:GD37" si="26">SUM(FY6:FY36)</f>
        <v>247731290</v>
      </c>
      <c r="FZ37" s="272">
        <f t="shared" si="26"/>
        <v>70092974</v>
      </c>
      <c r="GA37" s="272">
        <f t="shared" si="26"/>
        <v>22267518</v>
      </c>
      <c r="GB37" s="272">
        <f t="shared" si="26"/>
        <v>155370798</v>
      </c>
      <c r="GC37" s="272">
        <f t="shared" si="26"/>
        <v>15082819</v>
      </c>
      <c r="GD37" s="272">
        <f t="shared" si="26"/>
        <v>265503750</v>
      </c>
      <c r="GE37" s="384">
        <f t="shared" si="17"/>
        <v>29.4</v>
      </c>
      <c r="GF37" s="469">
        <v>97.9</v>
      </c>
      <c r="GG37" s="469">
        <v>21.3</v>
      </c>
      <c r="GH37" s="469">
        <v>91.8</v>
      </c>
      <c r="GI37" s="272">
        <f>SUM(GI6:GI36)</f>
        <v>36495</v>
      </c>
    </row>
    <row r="38" spans="2:191" x14ac:dyDescent="0.15">
      <c r="B38" s="89" t="s">
        <v>69</v>
      </c>
      <c r="C38" s="272">
        <v>4477359</v>
      </c>
      <c r="D38" s="455">
        <f t="shared" si="0"/>
        <v>1348642</v>
      </c>
      <c r="E38" s="272">
        <v>32685</v>
      </c>
      <c r="F38" s="272">
        <v>1315957</v>
      </c>
      <c r="G38" s="455">
        <f t="shared" si="1"/>
        <v>707492</v>
      </c>
      <c r="H38" s="272">
        <v>56319</v>
      </c>
      <c r="I38" s="272">
        <v>651173</v>
      </c>
      <c r="J38" s="272">
        <v>1963297</v>
      </c>
      <c r="K38" s="272">
        <v>752048</v>
      </c>
      <c r="L38" s="272">
        <v>761593</v>
      </c>
      <c r="M38" s="272">
        <v>422544</v>
      </c>
      <c r="N38" s="272">
        <v>102544</v>
      </c>
      <c r="O38" s="272">
        <v>338125</v>
      </c>
      <c r="P38" s="272">
        <v>185694</v>
      </c>
      <c r="Q38" s="272">
        <v>152431</v>
      </c>
      <c r="R38" s="272">
        <v>125160</v>
      </c>
      <c r="S38" s="272">
        <v>50422</v>
      </c>
      <c r="T38" s="455">
        <f t="shared" si="2"/>
        <v>449421</v>
      </c>
      <c r="U38" s="272">
        <v>42134</v>
      </c>
      <c r="V38" s="272">
        <v>10877</v>
      </c>
      <c r="W38" s="272">
        <v>9028</v>
      </c>
      <c r="X38" s="272">
        <v>257859</v>
      </c>
      <c r="Y38" s="272">
        <v>60051</v>
      </c>
      <c r="Z38" s="272">
        <v>0</v>
      </c>
      <c r="AA38" s="272">
        <v>69472</v>
      </c>
      <c r="AB38" s="272">
        <v>190218</v>
      </c>
      <c r="AC38" s="272">
        <v>1241815</v>
      </c>
      <c r="AD38" s="272">
        <v>997272</v>
      </c>
      <c r="AE38" s="272">
        <v>244543</v>
      </c>
      <c r="AF38" s="272">
        <v>4234</v>
      </c>
      <c r="AG38" s="272">
        <v>44700</v>
      </c>
      <c r="AH38" s="455">
        <f t="shared" si="3"/>
        <v>222585</v>
      </c>
      <c r="AI38" s="272">
        <v>187623</v>
      </c>
      <c r="AJ38" s="272">
        <v>34962</v>
      </c>
      <c r="AK38" s="272">
        <v>685826</v>
      </c>
      <c r="AL38" s="455">
        <f t="shared" si="4"/>
        <v>123014</v>
      </c>
      <c r="AM38" s="272">
        <v>91018</v>
      </c>
      <c r="AN38" s="272">
        <v>29271</v>
      </c>
      <c r="AO38" s="272">
        <v>0</v>
      </c>
      <c r="AP38" s="272">
        <v>2725</v>
      </c>
      <c r="AQ38" s="272">
        <v>252443</v>
      </c>
      <c r="AR38" s="272">
        <v>0</v>
      </c>
      <c r="AS38" s="272">
        <v>0</v>
      </c>
      <c r="AT38" s="272">
        <v>337034</v>
      </c>
      <c r="AU38" s="272">
        <v>189297</v>
      </c>
      <c r="AV38" s="272">
        <v>14536</v>
      </c>
      <c r="AW38" s="272">
        <v>1596</v>
      </c>
      <c r="AX38" s="272">
        <v>147737</v>
      </c>
      <c r="AY38" s="272">
        <v>21862</v>
      </c>
      <c r="AZ38" s="272">
        <v>4351</v>
      </c>
      <c r="BA38" s="272">
        <v>0</v>
      </c>
      <c r="BB38" s="272">
        <v>379</v>
      </c>
      <c r="BC38" s="272">
        <v>327273</v>
      </c>
      <c r="BD38" s="272">
        <v>0</v>
      </c>
      <c r="BE38" s="272">
        <v>0</v>
      </c>
      <c r="BF38" s="272">
        <v>33071</v>
      </c>
      <c r="BG38" s="272">
        <v>0</v>
      </c>
      <c r="BH38" s="272">
        <v>52483</v>
      </c>
      <c r="BI38" s="272">
        <v>52483</v>
      </c>
      <c r="BJ38" s="272">
        <v>105332</v>
      </c>
      <c r="BK38" s="272">
        <v>53514</v>
      </c>
      <c r="BL38" s="272">
        <v>0</v>
      </c>
      <c r="BM38" s="272">
        <v>0</v>
      </c>
      <c r="BN38" s="272">
        <v>838500</v>
      </c>
      <c r="BO38" s="455">
        <f t="shared" si="5"/>
        <v>223700</v>
      </c>
      <c r="BP38" s="455">
        <f t="shared" si="6"/>
        <v>614800</v>
      </c>
      <c r="BQ38" s="272">
        <v>103400</v>
      </c>
      <c r="BR38" s="272"/>
      <c r="BS38" s="272">
        <v>511400</v>
      </c>
      <c r="BT38" s="272">
        <v>0</v>
      </c>
      <c r="BU38" s="272">
        <v>9106670</v>
      </c>
      <c r="BV38" s="272"/>
      <c r="BW38" s="272">
        <v>2468961</v>
      </c>
      <c r="BX38" s="272">
        <v>1780065</v>
      </c>
      <c r="BY38" s="272">
        <v>162592</v>
      </c>
      <c r="BZ38" s="272">
        <v>38851</v>
      </c>
      <c r="CA38" s="272">
        <v>1003707</v>
      </c>
      <c r="CB38" s="272">
        <v>314252</v>
      </c>
      <c r="CC38" s="272">
        <v>66774</v>
      </c>
      <c r="CD38" s="272">
        <v>478209</v>
      </c>
      <c r="CE38" s="272">
        <v>117947</v>
      </c>
      <c r="CF38" s="272">
        <v>0</v>
      </c>
      <c r="CG38" s="272">
        <v>26525</v>
      </c>
      <c r="CH38" s="272">
        <v>1326504</v>
      </c>
      <c r="CI38" s="272">
        <v>1011999</v>
      </c>
      <c r="CJ38" s="455">
        <f t="shared" si="7"/>
        <v>314505</v>
      </c>
      <c r="CK38" s="272">
        <v>1415129</v>
      </c>
      <c r="CL38" s="272">
        <v>731299</v>
      </c>
      <c r="CM38" s="272">
        <v>175069</v>
      </c>
      <c r="CN38" s="272">
        <v>312018</v>
      </c>
      <c r="CO38" s="272">
        <v>83064</v>
      </c>
      <c r="CP38" s="272">
        <v>301764</v>
      </c>
      <c r="CQ38" s="272">
        <v>2252</v>
      </c>
      <c r="CR38" s="272">
        <v>144812</v>
      </c>
      <c r="CS38" s="272">
        <v>123212</v>
      </c>
      <c r="CT38" s="272">
        <f t="shared" si="8"/>
        <v>2616</v>
      </c>
      <c r="CU38" s="272">
        <v>0</v>
      </c>
      <c r="CV38" s="272">
        <v>2616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950530</v>
      </c>
      <c r="DD38" s="272">
        <v>392699</v>
      </c>
      <c r="DE38" s="272">
        <v>535141</v>
      </c>
      <c r="DF38" s="272">
        <v>0</v>
      </c>
      <c r="DG38" s="272">
        <v>19992</v>
      </c>
      <c r="DH38" s="272">
        <v>13992</v>
      </c>
      <c r="DI38" s="272">
        <v>54904</v>
      </c>
      <c r="DJ38" s="272">
        <v>38665</v>
      </c>
      <c r="DK38" s="272">
        <v>34</v>
      </c>
      <c r="DL38" s="272">
        <v>16205</v>
      </c>
      <c r="DM38" s="272">
        <v>0</v>
      </c>
      <c r="DN38" s="272">
        <v>0</v>
      </c>
      <c r="DO38" s="272">
        <v>0</v>
      </c>
      <c r="DP38" s="272">
        <v>0</v>
      </c>
      <c r="DQ38" s="272">
        <v>53168</v>
      </c>
      <c r="DR38" s="272">
        <v>0</v>
      </c>
      <c r="DS38" s="272">
        <v>0</v>
      </c>
      <c r="DT38" s="272">
        <v>1203700</v>
      </c>
      <c r="DU38" s="272">
        <v>449250</v>
      </c>
      <c r="DV38" s="455">
        <f t="shared" si="11"/>
        <v>0</v>
      </c>
      <c r="DW38" s="272">
        <v>0</v>
      </c>
      <c r="DX38" s="272">
        <v>0</v>
      </c>
      <c r="DY38" s="272">
        <v>0</v>
      </c>
      <c r="DZ38" s="272">
        <v>171635</v>
      </c>
      <c r="EA38" s="272">
        <v>127231</v>
      </c>
      <c r="EB38" s="272">
        <v>184922</v>
      </c>
      <c r="EC38" s="272">
        <v>0</v>
      </c>
      <c r="ED38" s="272">
        <v>8875423</v>
      </c>
      <c r="EE38" s="89"/>
      <c r="EF38" s="272">
        <v>231247</v>
      </c>
      <c r="EG38" s="272">
        <v>36950</v>
      </c>
      <c r="EH38" s="272">
        <v>194297</v>
      </c>
      <c r="EI38" s="272">
        <v>141814</v>
      </c>
      <c r="EJ38" s="272">
        <v>180479</v>
      </c>
      <c r="EL38" s="272"/>
      <c r="EM38" s="272">
        <v>29362</v>
      </c>
      <c r="EN38" s="272">
        <v>308211</v>
      </c>
      <c r="EO38" s="272">
        <v>3362</v>
      </c>
      <c r="EP38" s="455">
        <f t="shared" si="12"/>
        <v>142732</v>
      </c>
      <c r="EQ38" s="272">
        <v>6488207</v>
      </c>
      <c r="ER38" s="272">
        <v>-1064871</v>
      </c>
      <c r="ES38" s="272">
        <v>2307241</v>
      </c>
      <c r="ET38" s="272">
        <v>1643718</v>
      </c>
      <c r="EU38" s="272">
        <v>476647</v>
      </c>
      <c r="EV38" s="272">
        <v>1295590</v>
      </c>
      <c r="EW38" s="455">
        <f t="shared" si="13"/>
        <v>485910</v>
      </c>
      <c r="EX38" s="272">
        <v>472149</v>
      </c>
      <c r="EY38" s="272">
        <v>18951</v>
      </c>
      <c r="EZ38" s="272">
        <v>450500</v>
      </c>
      <c r="FA38" s="272">
        <v>13761</v>
      </c>
      <c r="FB38" s="272"/>
      <c r="FC38" s="272">
        <v>1225428</v>
      </c>
      <c r="FD38" s="272">
        <v>268176</v>
      </c>
      <c r="FE38" s="272">
        <v>2252</v>
      </c>
      <c r="FF38" s="272">
        <v>1131027</v>
      </c>
      <c r="FG38" s="455">
        <f t="shared" si="14"/>
        <v>131812</v>
      </c>
      <c r="FH38" s="272">
        <v>7321831</v>
      </c>
      <c r="FI38" s="384">
        <f t="shared" si="15"/>
        <v>3.3</v>
      </c>
      <c r="FJ38" s="272">
        <v>5801331</v>
      </c>
      <c r="FK38" s="272">
        <v>511438</v>
      </c>
      <c r="FL38" s="272">
        <v>3622310</v>
      </c>
      <c r="FM38" s="272">
        <v>4619640</v>
      </c>
      <c r="FN38" s="460">
        <v>0.76400000000000001</v>
      </c>
      <c r="FO38" s="388">
        <v>94.8</v>
      </c>
      <c r="FP38" s="388">
        <v>34</v>
      </c>
      <c r="FQ38" s="388">
        <v>7.3</v>
      </c>
      <c r="FR38" s="388">
        <v>19.8</v>
      </c>
      <c r="FS38" s="388">
        <v>17.399999999999999</v>
      </c>
      <c r="FT38" s="388">
        <v>3.6</v>
      </c>
      <c r="FU38" s="388">
        <v>11.5</v>
      </c>
      <c r="FV38" s="388">
        <v>9.3000000000000007</v>
      </c>
      <c r="FW38" s="272">
        <v>14984376</v>
      </c>
      <c r="FX38" s="384">
        <f t="shared" si="16"/>
        <v>258.3</v>
      </c>
      <c r="FY38" s="272">
        <v>3698211</v>
      </c>
      <c r="FZ38" s="272">
        <v>1545535</v>
      </c>
      <c r="GA38" s="272">
        <v>90803</v>
      </c>
      <c r="GB38" s="272">
        <v>2061873</v>
      </c>
      <c r="GC38" s="272"/>
      <c r="GD38" s="272"/>
      <c r="GE38" s="384">
        <f t="shared" si="17"/>
        <v>0</v>
      </c>
      <c r="GF38" s="388">
        <v>99.3</v>
      </c>
      <c r="GG38" s="388">
        <v>7.3</v>
      </c>
      <c r="GH38" s="388">
        <v>92</v>
      </c>
      <c r="GI38" s="272">
        <v>243</v>
      </c>
    </row>
    <row r="39" spans="2:191" x14ac:dyDescent="0.15">
      <c r="B39" s="89" t="s">
        <v>71</v>
      </c>
      <c r="C39" s="272">
        <v>2568896</v>
      </c>
      <c r="D39" s="455">
        <f t="shared" si="0"/>
        <v>1519499</v>
      </c>
      <c r="E39" s="272">
        <v>27274</v>
      </c>
      <c r="F39" s="272">
        <v>1492225</v>
      </c>
      <c r="G39" s="455">
        <f t="shared" si="1"/>
        <v>26319</v>
      </c>
      <c r="H39" s="272">
        <v>17905</v>
      </c>
      <c r="I39" s="272">
        <v>8414</v>
      </c>
      <c r="J39" s="272">
        <v>939435</v>
      </c>
      <c r="K39" s="272">
        <v>327133</v>
      </c>
      <c r="L39" s="272">
        <v>479212</v>
      </c>
      <c r="M39" s="272">
        <v>132960</v>
      </c>
      <c r="N39" s="272">
        <v>61130</v>
      </c>
      <c r="O39" s="272">
        <v>0</v>
      </c>
      <c r="P39" s="272">
        <v>0</v>
      </c>
      <c r="Q39" s="272">
        <v>0</v>
      </c>
      <c r="R39" s="272">
        <v>136973</v>
      </c>
      <c r="S39" s="272">
        <v>43052</v>
      </c>
      <c r="T39" s="455">
        <f t="shared" si="2"/>
        <v>344022</v>
      </c>
      <c r="U39" s="272">
        <v>43991</v>
      </c>
      <c r="V39" s="272">
        <v>11378</v>
      </c>
      <c r="W39" s="272">
        <v>9401</v>
      </c>
      <c r="X39" s="272">
        <v>180496</v>
      </c>
      <c r="Y39" s="272">
        <v>11454</v>
      </c>
      <c r="Z39" s="272">
        <v>0</v>
      </c>
      <c r="AA39" s="272">
        <v>87302</v>
      </c>
      <c r="AB39" s="272">
        <v>142346</v>
      </c>
      <c r="AC39" s="272">
        <v>1797692</v>
      </c>
      <c r="AD39" s="272">
        <v>1476658</v>
      </c>
      <c r="AE39" s="272">
        <v>321034</v>
      </c>
      <c r="AF39" s="272">
        <v>4750</v>
      </c>
      <c r="AG39" s="272">
        <v>9190</v>
      </c>
      <c r="AH39" s="455">
        <f t="shared" si="3"/>
        <v>159036</v>
      </c>
      <c r="AI39" s="272">
        <v>143568</v>
      </c>
      <c r="AJ39" s="272">
        <v>15468</v>
      </c>
      <c r="AK39" s="272">
        <v>146288</v>
      </c>
      <c r="AL39" s="455">
        <f t="shared" si="4"/>
        <v>1999</v>
      </c>
      <c r="AM39" s="272">
        <v>0</v>
      </c>
      <c r="AN39" s="272">
        <v>856</v>
      </c>
      <c r="AO39" s="272">
        <v>0</v>
      </c>
      <c r="AP39" s="272">
        <v>1143</v>
      </c>
      <c r="AQ39" s="272">
        <v>0</v>
      </c>
      <c r="AR39" s="272">
        <v>0</v>
      </c>
      <c r="AS39" s="272">
        <v>0</v>
      </c>
      <c r="AT39" s="272">
        <v>335190</v>
      </c>
      <c r="AU39" s="272">
        <v>191760</v>
      </c>
      <c r="AV39" s="272">
        <v>428</v>
      </c>
      <c r="AW39" s="272">
        <v>55629</v>
      </c>
      <c r="AX39" s="272">
        <v>143430</v>
      </c>
      <c r="AY39" s="272">
        <v>18403</v>
      </c>
      <c r="AZ39" s="272">
        <v>1520</v>
      </c>
      <c r="BA39" s="272">
        <v>110</v>
      </c>
      <c r="BB39" s="272">
        <v>1287</v>
      </c>
      <c r="BC39" s="272">
        <v>563642</v>
      </c>
      <c r="BD39" s="272">
        <v>215000</v>
      </c>
      <c r="BE39" s="272">
        <v>38936</v>
      </c>
      <c r="BF39" s="272">
        <v>247401</v>
      </c>
      <c r="BG39" s="272">
        <v>0</v>
      </c>
      <c r="BH39" s="272">
        <v>743194</v>
      </c>
      <c r="BI39" s="272">
        <v>210855</v>
      </c>
      <c r="BJ39" s="272">
        <v>148303</v>
      </c>
      <c r="BK39" s="272">
        <v>2491</v>
      </c>
      <c r="BL39" s="272">
        <v>0</v>
      </c>
      <c r="BM39" s="272">
        <v>0</v>
      </c>
      <c r="BN39" s="272">
        <v>535100</v>
      </c>
      <c r="BO39" s="455">
        <f t="shared" si="5"/>
        <v>39700</v>
      </c>
      <c r="BP39" s="455">
        <f t="shared" si="6"/>
        <v>495400</v>
      </c>
      <c r="BQ39" s="272">
        <v>47600</v>
      </c>
      <c r="BR39" s="272"/>
      <c r="BS39" s="272">
        <v>447800</v>
      </c>
      <c r="BT39" s="272">
        <v>0</v>
      </c>
      <c r="BU39" s="272">
        <v>7637429</v>
      </c>
      <c r="BV39" s="272"/>
      <c r="BW39" s="272">
        <v>2486891</v>
      </c>
      <c r="BX39" s="272">
        <v>1689721</v>
      </c>
      <c r="BY39" s="272">
        <v>118729</v>
      </c>
      <c r="BZ39" s="272">
        <v>223314</v>
      </c>
      <c r="CA39" s="272">
        <v>240889</v>
      </c>
      <c r="CB39" s="272">
        <v>137681</v>
      </c>
      <c r="CC39" s="272">
        <v>32550</v>
      </c>
      <c r="CD39" s="272">
        <v>65659</v>
      </c>
      <c r="CE39" s="272">
        <v>0</v>
      </c>
      <c r="CF39" s="272">
        <v>0</v>
      </c>
      <c r="CG39" s="272">
        <v>4999</v>
      </c>
      <c r="CH39" s="272">
        <v>653715</v>
      </c>
      <c r="CI39" s="272">
        <v>537104</v>
      </c>
      <c r="CJ39" s="455">
        <f t="shared" si="7"/>
        <v>116611</v>
      </c>
      <c r="CK39" s="272">
        <v>1312366</v>
      </c>
      <c r="CL39" s="272">
        <v>697244</v>
      </c>
      <c r="CM39" s="272">
        <v>60103</v>
      </c>
      <c r="CN39" s="272">
        <v>330540</v>
      </c>
      <c r="CO39" s="272">
        <v>159718</v>
      </c>
      <c r="CP39" s="272">
        <v>1072979</v>
      </c>
      <c r="CQ39" s="272">
        <v>805987</v>
      </c>
      <c r="CR39" s="272">
        <v>67934</v>
      </c>
      <c r="CS39" s="272">
        <v>62908</v>
      </c>
      <c r="CT39" s="272">
        <f t="shared" si="8"/>
        <v>57601</v>
      </c>
      <c r="CU39" s="272">
        <v>24727</v>
      </c>
      <c r="CV39" s="272">
        <v>32874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433815</v>
      </c>
      <c r="DD39" s="272">
        <v>84165</v>
      </c>
      <c r="DE39" s="272">
        <v>349650</v>
      </c>
      <c r="DF39" s="272">
        <v>0</v>
      </c>
      <c r="DG39" s="272">
        <v>0</v>
      </c>
      <c r="DH39" s="272">
        <v>12585</v>
      </c>
      <c r="DI39" s="272">
        <v>114542</v>
      </c>
      <c r="DJ39" s="272">
        <v>110200</v>
      </c>
      <c r="DK39" s="272">
        <v>10</v>
      </c>
      <c r="DL39" s="272">
        <v>4332</v>
      </c>
      <c r="DM39" s="272">
        <v>0</v>
      </c>
      <c r="DN39" s="272">
        <v>0</v>
      </c>
      <c r="DO39" s="272">
        <v>0</v>
      </c>
      <c r="DP39" s="272">
        <v>0</v>
      </c>
      <c r="DQ39" s="272">
        <v>5076</v>
      </c>
      <c r="DR39" s="272">
        <v>0</v>
      </c>
      <c r="DS39" s="272">
        <v>0</v>
      </c>
      <c r="DT39" s="272">
        <v>841150</v>
      </c>
      <c r="DU39" s="272">
        <v>334845</v>
      </c>
      <c r="DV39" s="455">
        <f t="shared" si="11"/>
        <v>0</v>
      </c>
      <c r="DW39" s="272">
        <v>0</v>
      </c>
      <c r="DX39" s="272">
        <v>0</v>
      </c>
      <c r="DY39" s="272">
        <v>0</v>
      </c>
      <c r="DZ39" s="272">
        <v>114430</v>
      </c>
      <c r="EA39" s="272">
        <v>121168</v>
      </c>
      <c r="EB39" s="272">
        <v>184841</v>
      </c>
      <c r="EC39" s="272">
        <v>0</v>
      </c>
      <c r="ED39" s="272">
        <v>7333726</v>
      </c>
      <c r="EE39" s="89"/>
      <c r="EF39" s="272">
        <v>303703</v>
      </c>
      <c r="EG39" s="272">
        <v>55578</v>
      </c>
      <c r="EH39" s="272">
        <v>248125</v>
      </c>
      <c r="EI39" s="272">
        <v>37270</v>
      </c>
      <c r="EJ39" s="272">
        <v>-67028</v>
      </c>
      <c r="EL39" s="272"/>
      <c r="EM39" s="272">
        <v>25259</v>
      </c>
      <c r="EN39" s="272">
        <v>386035</v>
      </c>
      <c r="EO39" s="272">
        <v>1361</v>
      </c>
      <c r="EP39" s="455">
        <f t="shared" si="12"/>
        <v>381059</v>
      </c>
      <c r="EQ39" s="272">
        <v>4994679</v>
      </c>
      <c r="ER39" s="272">
        <v>-1259105</v>
      </c>
      <c r="ES39" s="272">
        <v>2303818</v>
      </c>
      <c r="ET39" s="272">
        <v>1566417</v>
      </c>
      <c r="EU39" s="272">
        <v>80594</v>
      </c>
      <c r="EV39" s="272">
        <v>645226</v>
      </c>
      <c r="EW39" s="455">
        <f t="shared" si="13"/>
        <v>224337</v>
      </c>
      <c r="EX39" s="272">
        <v>223079</v>
      </c>
      <c r="EY39" s="272">
        <v>27874</v>
      </c>
      <c r="EZ39" s="272">
        <v>195205</v>
      </c>
      <c r="FA39" s="272">
        <v>1258</v>
      </c>
      <c r="FB39" s="272"/>
      <c r="FC39" s="272">
        <v>1044402</v>
      </c>
      <c r="FD39" s="272">
        <v>619028</v>
      </c>
      <c r="FE39" s="272">
        <v>396980</v>
      </c>
      <c r="FF39" s="272">
        <v>759557</v>
      </c>
      <c r="FG39" s="455">
        <f t="shared" si="14"/>
        <v>273119</v>
      </c>
      <c r="FH39" s="272">
        <v>5950081</v>
      </c>
      <c r="FI39" s="384">
        <f t="shared" si="15"/>
        <v>5.3</v>
      </c>
      <c r="FJ39" s="272">
        <v>4711113</v>
      </c>
      <c r="FK39" s="272">
        <v>447869</v>
      </c>
      <c r="FL39" s="272">
        <v>2450161</v>
      </c>
      <c r="FM39" s="272">
        <v>3926648</v>
      </c>
      <c r="FN39" s="460">
        <v>0.621</v>
      </c>
      <c r="FO39" s="388">
        <v>92.3</v>
      </c>
      <c r="FP39" s="388">
        <v>42.7</v>
      </c>
      <c r="FQ39" s="388">
        <v>1.6</v>
      </c>
      <c r="FR39" s="388">
        <v>12.4</v>
      </c>
      <c r="FS39" s="388">
        <v>17.7</v>
      </c>
      <c r="FT39" s="388">
        <v>6</v>
      </c>
      <c r="FU39" s="388">
        <v>8.8000000000000007</v>
      </c>
      <c r="FV39" s="388">
        <v>5.6</v>
      </c>
      <c r="FW39" s="272">
        <v>5423573</v>
      </c>
      <c r="FX39" s="384">
        <f t="shared" si="16"/>
        <v>115.1</v>
      </c>
      <c r="FY39" s="272">
        <v>2615584</v>
      </c>
      <c r="FZ39" s="272">
        <v>1004277</v>
      </c>
      <c r="GA39" s="272">
        <v>367305</v>
      </c>
      <c r="GB39" s="272">
        <v>1244002</v>
      </c>
      <c r="GC39" s="272"/>
      <c r="GD39" s="272"/>
      <c r="GE39" s="384"/>
      <c r="GF39" s="388">
        <v>99.1</v>
      </c>
      <c r="GG39" s="388">
        <v>19.7</v>
      </c>
      <c r="GH39" s="388">
        <v>95.4</v>
      </c>
      <c r="GI39" s="272">
        <v>248</v>
      </c>
    </row>
    <row r="40" spans="2:191" x14ac:dyDescent="0.15">
      <c r="B40" s="89" t="s">
        <v>73</v>
      </c>
      <c r="C40" s="272">
        <v>1355894</v>
      </c>
      <c r="D40" s="455">
        <f t="shared" si="0"/>
        <v>433196</v>
      </c>
      <c r="E40" s="272">
        <v>12855</v>
      </c>
      <c r="F40" s="272">
        <v>420341</v>
      </c>
      <c r="G40" s="455">
        <f t="shared" si="1"/>
        <v>61302</v>
      </c>
      <c r="H40" s="272">
        <v>17982</v>
      </c>
      <c r="I40" s="272">
        <v>43320</v>
      </c>
      <c r="J40" s="272">
        <v>783845</v>
      </c>
      <c r="K40" s="272">
        <v>180631</v>
      </c>
      <c r="L40" s="272">
        <v>315844</v>
      </c>
      <c r="M40" s="272">
        <v>287080</v>
      </c>
      <c r="N40" s="272">
        <v>50438</v>
      </c>
      <c r="O40" s="272">
        <v>0</v>
      </c>
      <c r="P40" s="272">
        <v>0</v>
      </c>
      <c r="Q40" s="272">
        <v>0</v>
      </c>
      <c r="R40" s="272">
        <v>104908</v>
      </c>
      <c r="S40" s="272">
        <v>23744</v>
      </c>
      <c r="T40" s="455">
        <f t="shared" si="2"/>
        <v>250101</v>
      </c>
      <c r="U40" s="272">
        <v>13919</v>
      </c>
      <c r="V40" s="272">
        <v>3596</v>
      </c>
      <c r="W40" s="272">
        <v>2977</v>
      </c>
      <c r="X40" s="272">
        <v>128161</v>
      </c>
      <c r="Y40" s="272">
        <v>26010</v>
      </c>
      <c r="Z40" s="272">
        <v>0</v>
      </c>
      <c r="AA40" s="272">
        <v>75438</v>
      </c>
      <c r="AB40" s="272">
        <v>47115</v>
      </c>
      <c r="AC40" s="272">
        <v>1414315</v>
      </c>
      <c r="AD40" s="272">
        <v>1116525</v>
      </c>
      <c r="AE40" s="272">
        <v>297790</v>
      </c>
      <c r="AF40" s="272">
        <v>2881</v>
      </c>
      <c r="AG40" s="272">
        <v>9479</v>
      </c>
      <c r="AH40" s="455">
        <f t="shared" si="3"/>
        <v>145383</v>
      </c>
      <c r="AI40" s="272">
        <v>91040</v>
      </c>
      <c r="AJ40" s="272">
        <v>54343</v>
      </c>
      <c r="AK40" s="272">
        <v>127025</v>
      </c>
      <c r="AL40" s="455">
        <f t="shared" si="4"/>
        <v>3649</v>
      </c>
      <c r="AM40" s="272">
        <v>0</v>
      </c>
      <c r="AN40" s="272">
        <v>0</v>
      </c>
      <c r="AO40" s="272">
        <v>0</v>
      </c>
      <c r="AP40" s="272">
        <v>3649</v>
      </c>
      <c r="AQ40" s="272">
        <v>0</v>
      </c>
      <c r="AR40" s="272">
        <v>8331</v>
      </c>
      <c r="AS40" s="272">
        <v>0</v>
      </c>
      <c r="AT40" s="272">
        <v>256188</v>
      </c>
      <c r="AU40" s="272">
        <v>134939</v>
      </c>
      <c r="AV40" s="272">
        <v>0</v>
      </c>
      <c r="AW40" s="272">
        <v>0</v>
      </c>
      <c r="AX40" s="272">
        <v>121249</v>
      </c>
      <c r="AY40" s="272">
        <v>31538</v>
      </c>
      <c r="AZ40" s="272">
        <v>28463</v>
      </c>
      <c r="BA40" s="272">
        <v>27524</v>
      </c>
      <c r="BB40" s="272">
        <v>7230</v>
      </c>
      <c r="BC40" s="272">
        <v>257482</v>
      </c>
      <c r="BD40" s="272">
        <v>48987</v>
      </c>
      <c r="BE40" s="272">
        <v>0</v>
      </c>
      <c r="BF40" s="272">
        <v>184011</v>
      </c>
      <c r="BG40" s="272">
        <v>0</v>
      </c>
      <c r="BH40" s="272">
        <v>326343</v>
      </c>
      <c r="BI40" s="272">
        <v>145721</v>
      </c>
      <c r="BJ40" s="272">
        <v>94146</v>
      </c>
      <c r="BK40" s="272">
        <v>0</v>
      </c>
      <c r="BL40" s="272">
        <v>3244</v>
      </c>
      <c r="BM40" s="272">
        <v>0</v>
      </c>
      <c r="BN40" s="272">
        <v>424600</v>
      </c>
      <c r="BO40" s="455">
        <f t="shared" si="5"/>
        <v>108600</v>
      </c>
      <c r="BP40" s="455">
        <f t="shared" si="6"/>
        <v>316000</v>
      </c>
      <c r="BQ40" s="272">
        <v>21000</v>
      </c>
      <c r="BR40" s="272"/>
      <c r="BS40" s="272">
        <v>295000</v>
      </c>
      <c r="BT40" s="272">
        <v>0</v>
      </c>
      <c r="BU40" s="272">
        <v>4851553</v>
      </c>
      <c r="BV40" s="272"/>
      <c r="BW40" s="272">
        <v>1319473</v>
      </c>
      <c r="BX40" s="272">
        <v>713749</v>
      </c>
      <c r="BY40" s="272">
        <v>189643</v>
      </c>
      <c r="BZ40" s="272">
        <v>144436</v>
      </c>
      <c r="CA40" s="272">
        <v>223457</v>
      </c>
      <c r="CB40" s="272">
        <v>97411</v>
      </c>
      <c r="CC40" s="272">
        <v>25997</v>
      </c>
      <c r="CD40" s="272">
        <v>79180</v>
      </c>
      <c r="CE40" s="272">
        <v>0</v>
      </c>
      <c r="CF40" s="272">
        <v>5360</v>
      </c>
      <c r="CG40" s="272">
        <v>15509</v>
      </c>
      <c r="CH40" s="272">
        <v>381176</v>
      </c>
      <c r="CI40" s="272">
        <v>304543</v>
      </c>
      <c r="CJ40" s="455">
        <f t="shared" si="7"/>
        <v>76633</v>
      </c>
      <c r="CK40" s="272">
        <v>819062</v>
      </c>
      <c r="CL40" s="272">
        <v>513036</v>
      </c>
      <c r="CM40" s="272">
        <v>8931</v>
      </c>
      <c r="CN40" s="272">
        <v>167951</v>
      </c>
      <c r="CO40" s="272">
        <v>50646</v>
      </c>
      <c r="CP40" s="272">
        <v>628937</v>
      </c>
      <c r="CQ40" s="272">
        <v>353087</v>
      </c>
      <c r="CR40" s="272">
        <v>139141</v>
      </c>
      <c r="CS40" s="272">
        <v>103619</v>
      </c>
      <c r="CT40" s="272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337966</v>
      </c>
      <c r="DD40" s="272">
        <v>0</v>
      </c>
      <c r="DE40" s="272">
        <v>320488</v>
      </c>
      <c r="DF40" s="272">
        <v>17478</v>
      </c>
      <c r="DG40" s="272">
        <v>0</v>
      </c>
      <c r="DH40" s="272">
        <v>20246</v>
      </c>
      <c r="DI40" s="272">
        <v>242967</v>
      </c>
      <c r="DJ40" s="272">
        <v>150163</v>
      </c>
      <c r="DK40" s="272">
        <v>0</v>
      </c>
      <c r="DL40" s="272">
        <v>92804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629375</v>
      </c>
      <c r="DU40" s="272">
        <v>156126</v>
      </c>
      <c r="DV40" s="455">
        <f t="shared" si="11"/>
        <v>0</v>
      </c>
      <c r="DW40" s="272">
        <v>0</v>
      </c>
      <c r="DX40" s="272">
        <v>0</v>
      </c>
      <c r="DY40" s="272">
        <v>0</v>
      </c>
      <c r="DZ40" s="272">
        <v>93663</v>
      </c>
      <c r="EA40" s="272">
        <v>173768</v>
      </c>
      <c r="EB40" s="272">
        <v>105372</v>
      </c>
      <c r="EC40" s="272">
        <v>0</v>
      </c>
      <c r="ED40" s="272">
        <v>4653305</v>
      </c>
      <c r="EE40" s="89"/>
      <c r="EF40" s="272">
        <v>198248</v>
      </c>
      <c r="EG40" s="272">
        <v>18811</v>
      </c>
      <c r="EH40" s="272">
        <v>179437</v>
      </c>
      <c r="EI40" s="272">
        <v>33716</v>
      </c>
      <c r="EJ40" s="272">
        <v>134892</v>
      </c>
      <c r="EL40" s="272"/>
      <c r="EM40" s="272">
        <v>13643</v>
      </c>
      <c r="EN40" s="272">
        <v>252419</v>
      </c>
      <c r="EO40" s="272">
        <v>27806</v>
      </c>
      <c r="EP40" s="455">
        <f t="shared" si="12"/>
        <v>227064</v>
      </c>
      <c r="EQ40" s="272">
        <v>3175214</v>
      </c>
      <c r="ER40" s="272">
        <v>-820408</v>
      </c>
      <c r="ES40" s="272">
        <v>1235564</v>
      </c>
      <c r="ET40" s="272">
        <v>642708</v>
      </c>
      <c r="EU40" s="272">
        <v>81210</v>
      </c>
      <c r="EV40" s="272">
        <v>371464</v>
      </c>
      <c r="EW40" s="455">
        <f t="shared" si="13"/>
        <v>209891</v>
      </c>
      <c r="EX40" s="272">
        <v>204018</v>
      </c>
      <c r="EY40" s="272">
        <v>0</v>
      </c>
      <c r="EZ40" s="272">
        <v>188900</v>
      </c>
      <c r="FA40" s="272">
        <v>5873</v>
      </c>
      <c r="FB40" s="272"/>
      <c r="FC40" s="272">
        <v>660303</v>
      </c>
      <c r="FD40" s="272">
        <v>384685</v>
      </c>
      <c r="FE40" s="272">
        <v>214781</v>
      </c>
      <c r="FF40" s="272">
        <v>580172</v>
      </c>
      <c r="FG40" s="455">
        <f t="shared" si="14"/>
        <v>274085</v>
      </c>
      <c r="FH40" s="272">
        <v>3797374</v>
      </c>
      <c r="FI40" s="384">
        <f t="shared" si="15"/>
        <v>6.1</v>
      </c>
      <c r="FJ40" s="272">
        <v>2932076</v>
      </c>
      <c r="FK40" s="272">
        <v>295063</v>
      </c>
      <c r="FL40" s="272">
        <v>1382323</v>
      </c>
      <c r="FM40" s="272">
        <v>2498848</v>
      </c>
      <c r="FN40" s="460">
        <v>0.52700000000000002</v>
      </c>
      <c r="FO40" s="388">
        <v>88.7</v>
      </c>
      <c r="FP40" s="388">
        <v>35.799999999999997</v>
      </c>
      <c r="FQ40" s="388">
        <v>2.5</v>
      </c>
      <c r="FR40" s="388">
        <v>11.6</v>
      </c>
      <c r="FS40" s="388">
        <v>16.600000000000001</v>
      </c>
      <c r="FT40" s="388">
        <v>7.5</v>
      </c>
      <c r="FU40" s="388">
        <v>13.4</v>
      </c>
      <c r="FV40" s="388">
        <v>3.8</v>
      </c>
      <c r="FW40" s="272">
        <v>4331972</v>
      </c>
      <c r="FX40" s="384">
        <f t="shared" si="16"/>
        <v>147.69999999999999</v>
      </c>
      <c r="FY40" s="272">
        <v>2030293</v>
      </c>
      <c r="FZ40" s="272">
        <v>1189189</v>
      </c>
      <c r="GA40" s="272"/>
      <c r="GB40" s="272">
        <v>841104</v>
      </c>
      <c r="GC40" s="272"/>
      <c r="GD40" s="272"/>
      <c r="GE40" s="384"/>
      <c r="GF40" s="388">
        <v>95.1</v>
      </c>
      <c r="GG40" s="388">
        <v>12.8</v>
      </c>
      <c r="GH40" s="388">
        <v>82.8</v>
      </c>
      <c r="GI40" s="272">
        <v>121</v>
      </c>
    </row>
    <row r="41" spans="2:191" x14ac:dyDescent="0.15">
      <c r="B41" s="89" t="s">
        <v>75</v>
      </c>
      <c r="C41" s="272">
        <v>2276908</v>
      </c>
      <c r="D41" s="455">
        <f t="shared" si="0"/>
        <v>515549</v>
      </c>
      <c r="E41" s="272">
        <v>17074</v>
      </c>
      <c r="F41" s="272">
        <v>498475</v>
      </c>
      <c r="G41" s="455">
        <f t="shared" si="1"/>
        <v>172258</v>
      </c>
      <c r="H41" s="272">
        <v>44525</v>
      </c>
      <c r="I41" s="272">
        <v>127733</v>
      </c>
      <c r="J41" s="272">
        <v>1211220</v>
      </c>
      <c r="K41" s="272">
        <v>644455</v>
      </c>
      <c r="L41" s="272">
        <v>395271</v>
      </c>
      <c r="M41" s="272">
        <v>156700</v>
      </c>
      <c r="N41" s="272">
        <v>98815</v>
      </c>
      <c r="O41" s="272">
        <v>258317</v>
      </c>
      <c r="P41" s="272">
        <v>167736</v>
      </c>
      <c r="Q41" s="272">
        <v>90581</v>
      </c>
      <c r="R41" s="272">
        <v>75553</v>
      </c>
      <c r="S41" s="272">
        <v>29305</v>
      </c>
      <c r="T41" s="455">
        <f t="shared" si="2"/>
        <v>256780</v>
      </c>
      <c r="U41" s="272">
        <v>16877</v>
      </c>
      <c r="V41" s="272">
        <v>4359</v>
      </c>
      <c r="W41" s="272">
        <v>3612</v>
      </c>
      <c r="X41" s="272">
        <v>188943</v>
      </c>
      <c r="Y41" s="272">
        <v>0</v>
      </c>
      <c r="Z41" s="272">
        <v>0</v>
      </c>
      <c r="AA41" s="272">
        <v>42989</v>
      </c>
      <c r="AB41" s="272">
        <v>55401</v>
      </c>
      <c r="AC41" s="272">
        <v>1799849</v>
      </c>
      <c r="AD41" s="272">
        <v>1511812</v>
      </c>
      <c r="AE41" s="272">
        <v>288037</v>
      </c>
      <c r="AF41" s="272">
        <v>3705</v>
      </c>
      <c r="AG41" s="272">
        <v>4278</v>
      </c>
      <c r="AH41" s="455">
        <f t="shared" si="3"/>
        <v>179471</v>
      </c>
      <c r="AI41" s="272">
        <v>163064</v>
      </c>
      <c r="AJ41" s="272">
        <v>16407</v>
      </c>
      <c r="AK41" s="272">
        <v>209170</v>
      </c>
      <c r="AL41" s="455">
        <f t="shared" si="4"/>
        <v>25754</v>
      </c>
      <c r="AM41" s="272">
        <v>0</v>
      </c>
      <c r="AN41" s="272">
        <v>24875</v>
      </c>
      <c r="AO41" s="272">
        <v>0</v>
      </c>
      <c r="AP41" s="272">
        <v>879</v>
      </c>
      <c r="AQ41" s="272">
        <v>0</v>
      </c>
      <c r="AR41" s="272">
        <v>0</v>
      </c>
      <c r="AS41" s="272">
        <v>0</v>
      </c>
      <c r="AT41" s="272">
        <v>242672</v>
      </c>
      <c r="AU41" s="272">
        <v>128581</v>
      </c>
      <c r="AV41" s="272">
        <v>12302</v>
      </c>
      <c r="AW41" s="272">
        <v>0</v>
      </c>
      <c r="AX41" s="272">
        <v>114091</v>
      </c>
      <c r="AY41" s="272">
        <v>10656</v>
      </c>
      <c r="AZ41" s="272">
        <v>73898</v>
      </c>
      <c r="BA41" s="272">
        <v>73243</v>
      </c>
      <c r="BB41" s="272">
        <v>1784</v>
      </c>
      <c r="BC41" s="272">
        <v>296925</v>
      </c>
      <c r="BD41" s="272">
        <v>230000</v>
      </c>
      <c r="BE41" s="272">
        <v>0</v>
      </c>
      <c r="BF41" s="272">
        <v>66924</v>
      </c>
      <c r="BG41" s="272">
        <v>0</v>
      </c>
      <c r="BH41" s="272">
        <v>9716</v>
      </c>
      <c r="BI41" s="272">
        <v>9716</v>
      </c>
      <c r="BJ41" s="272">
        <v>333020</v>
      </c>
      <c r="BK41" s="272">
        <v>207730</v>
      </c>
      <c r="BL41" s="272">
        <v>0</v>
      </c>
      <c r="BM41" s="272">
        <v>0</v>
      </c>
      <c r="BN41" s="272">
        <v>367300</v>
      </c>
      <c r="BO41" s="455">
        <f t="shared" si="5"/>
        <v>0</v>
      </c>
      <c r="BP41" s="455">
        <f t="shared" si="6"/>
        <v>367300</v>
      </c>
      <c r="BQ41" s="272">
        <v>20200</v>
      </c>
      <c r="BR41" s="272"/>
      <c r="BS41" s="272">
        <v>347100</v>
      </c>
      <c r="BT41" s="272">
        <v>0</v>
      </c>
      <c r="BU41" s="272">
        <v>6186430</v>
      </c>
      <c r="BV41" s="272"/>
      <c r="BW41" s="272">
        <v>1711503</v>
      </c>
      <c r="BX41" s="272">
        <v>1173507</v>
      </c>
      <c r="BY41" s="272">
        <v>189505</v>
      </c>
      <c r="BZ41" s="272">
        <v>14501</v>
      </c>
      <c r="CA41" s="272">
        <v>542838</v>
      </c>
      <c r="CB41" s="272">
        <v>184213</v>
      </c>
      <c r="CC41" s="272">
        <v>61815</v>
      </c>
      <c r="CD41" s="272">
        <v>283824</v>
      </c>
      <c r="CE41" s="272">
        <v>0</v>
      </c>
      <c r="CF41" s="272">
        <v>0</v>
      </c>
      <c r="CG41" s="272">
        <v>12986</v>
      </c>
      <c r="CH41" s="272">
        <v>927677</v>
      </c>
      <c r="CI41" s="272">
        <v>760350</v>
      </c>
      <c r="CJ41" s="455">
        <f t="shared" si="7"/>
        <v>167327</v>
      </c>
      <c r="CK41" s="272">
        <v>1069505</v>
      </c>
      <c r="CL41" s="272">
        <v>664455</v>
      </c>
      <c r="CM41" s="272">
        <v>75611</v>
      </c>
      <c r="CN41" s="272">
        <v>207915</v>
      </c>
      <c r="CO41" s="272">
        <v>121891</v>
      </c>
      <c r="CP41" s="272">
        <v>394623</v>
      </c>
      <c r="CQ41" s="272">
        <v>2778</v>
      </c>
      <c r="CR41" s="272">
        <v>59027</v>
      </c>
      <c r="CS41" s="272">
        <v>43077</v>
      </c>
      <c r="CT41" s="272">
        <f t="shared" si="8"/>
        <v>155933</v>
      </c>
      <c r="CU41" s="272">
        <v>113600</v>
      </c>
      <c r="CV41" s="272">
        <v>42333</v>
      </c>
      <c r="CW41" s="455">
        <f t="shared" si="9"/>
        <v>135933</v>
      </c>
      <c r="CX41" s="272">
        <v>113186</v>
      </c>
      <c r="CY41" s="272">
        <v>22747</v>
      </c>
      <c r="CZ41" s="455">
        <f t="shared" si="10"/>
        <v>0</v>
      </c>
      <c r="DA41" s="272">
        <v>0</v>
      </c>
      <c r="DB41" s="272">
        <v>0</v>
      </c>
      <c r="DC41" s="272">
        <v>151331</v>
      </c>
      <c r="DD41" s="272">
        <v>0</v>
      </c>
      <c r="DE41" s="272">
        <v>151331</v>
      </c>
      <c r="DF41" s="272">
        <v>0</v>
      </c>
      <c r="DG41" s="272">
        <v>0</v>
      </c>
      <c r="DH41" s="272">
        <v>0</v>
      </c>
      <c r="DI41" s="272">
        <v>116282</v>
      </c>
      <c r="DJ41" s="272">
        <v>109013</v>
      </c>
      <c r="DK41" s="272">
        <v>0</v>
      </c>
      <c r="DL41" s="272">
        <v>7269</v>
      </c>
      <c r="DM41" s="272">
        <v>0</v>
      </c>
      <c r="DN41" s="272">
        <v>0</v>
      </c>
      <c r="DO41" s="272">
        <v>0</v>
      </c>
      <c r="DP41" s="272">
        <v>0</v>
      </c>
      <c r="DQ41" s="272">
        <v>0</v>
      </c>
      <c r="DR41" s="272">
        <v>0</v>
      </c>
      <c r="DS41" s="272">
        <v>0</v>
      </c>
      <c r="DT41" s="272">
        <v>1149325</v>
      </c>
      <c r="DU41" s="272">
        <v>705754</v>
      </c>
      <c r="DV41" s="455">
        <f t="shared" si="11"/>
        <v>0</v>
      </c>
      <c r="DW41" s="272">
        <v>0</v>
      </c>
      <c r="DX41" s="272">
        <v>0</v>
      </c>
      <c r="DY41" s="272">
        <v>0</v>
      </c>
      <c r="DZ41" s="272">
        <v>187664</v>
      </c>
      <c r="EA41" s="272">
        <v>104942</v>
      </c>
      <c r="EB41" s="272">
        <v>150965</v>
      </c>
      <c r="EC41" s="272">
        <v>0</v>
      </c>
      <c r="ED41" s="272">
        <v>6184975</v>
      </c>
      <c r="EE41" s="89"/>
      <c r="EF41" s="272">
        <v>1455</v>
      </c>
      <c r="EG41" s="272">
        <v>0</v>
      </c>
      <c r="EH41" s="272">
        <v>1455</v>
      </c>
      <c r="EI41" s="272">
        <v>-8261</v>
      </c>
      <c r="EJ41" s="272">
        <v>-129248</v>
      </c>
      <c r="EL41" s="272"/>
      <c r="EM41" s="272">
        <v>17556</v>
      </c>
      <c r="EN41" s="272">
        <v>266044</v>
      </c>
      <c r="EO41" s="272">
        <v>227</v>
      </c>
      <c r="EP41" s="455">
        <f t="shared" si="12"/>
        <v>68244</v>
      </c>
      <c r="EQ41" s="272">
        <v>4468196</v>
      </c>
      <c r="ER41" s="272">
        <v>-698110</v>
      </c>
      <c r="ES41" s="272">
        <v>1587301</v>
      </c>
      <c r="ET41" s="272">
        <v>1067518</v>
      </c>
      <c r="EU41" s="272">
        <v>272505</v>
      </c>
      <c r="EV41" s="272">
        <v>719972</v>
      </c>
      <c r="EW41" s="455">
        <f t="shared" si="13"/>
        <v>50630</v>
      </c>
      <c r="EX41" s="272">
        <v>50630</v>
      </c>
      <c r="EY41" s="272">
        <v>0</v>
      </c>
      <c r="EZ41" s="272">
        <v>50630</v>
      </c>
      <c r="FA41" s="272">
        <v>0</v>
      </c>
      <c r="FB41" s="272"/>
      <c r="FC41" s="272">
        <v>918548</v>
      </c>
      <c r="FD41" s="272">
        <v>366650</v>
      </c>
      <c r="FE41" s="272">
        <v>2778</v>
      </c>
      <c r="FF41" s="272">
        <v>1088480</v>
      </c>
      <c r="FG41" s="455">
        <f t="shared" si="14"/>
        <v>160765</v>
      </c>
      <c r="FH41" s="272">
        <v>5164851</v>
      </c>
      <c r="FI41" s="384">
        <f t="shared" si="15"/>
        <v>0</v>
      </c>
      <c r="FJ41" s="272">
        <v>3860674</v>
      </c>
      <c r="FK41" s="272">
        <v>347163</v>
      </c>
      <c r="FL41" s="272">
        <v>1773983</v>
      </c>
      <c r="FM41" s="272">
        <v>3288985</v>
      </c>
      <c r="FN41" s="460">
        <v>0.54400000000000004</v>
      </c>
      <c r="FO41" s="388">
        <v>107.2</v>
      </c>
      <c r="FP41" s="388">
        <v>33.299999999999997</v>
      </c>
      <c r="FQ41" s="388">
        <v>6.3</v>
      </c>
      <c r="FR41" s="388">
        <v>16.7</v>
      </c>
      <c r="FS41" s="388">
        <v>20.6</v>
      </c>
      <c r="FT41" s="388">
        <v>7.4</v>
      </c>
      <c r="FU41" s="388">
        <v>20</v>
      </c>
      <c r="FV41" s="388">
        <v>8.1</v>
      </c>
      <c r="FW41" s="272">
        <v>7713480</v>
      </c>
      <c r="FX41" s="384">
        <f t="shared" si="16"/>
        <v>199.8</v>
      </c>
      <c r="FY41" s="272">
        <v>1121461</v>
      </c>
      <c r="FZ41" s="272">
        <v>604731</v>
      </c>
      <c r="GA41" s="272"/>
      <c r="GB41" s="272">
        <v>516730</v>
      </c>
      <c r="GC41" s="272"/>
      <c r="GD41" s="272"/>
      <c r="GE41" s="384"/>
      <c r="GF41" s="388">
        <v>97.4</v>
      </c>
      <c r="GG41" s="388">
        <v>14</v>
      </c>
      <c r="GH41" s="388">
        <v>87.6</v>
      </c>
      <c r="GI41" s="272">
        <v>177</v>
      </c>
    </row>
    <row r="42" spans="2:191" x14ac:dyDescent="0.15">
      <c r="B42" s="89" t="s">
        <v>77</v>
      </c>
      <c r="C42" s="272">
        <v>4254497</v>
      </c>
      <c r="D42" s="455">
        <f t="shared" si="0"/>
        <v>1915273</v>
      </c>
      <c r="E42" s="272">
        <v>45633</v>
      </c>
      <c r="F42" s="272">
        <v>1869640</v>
      </c>
      <c r="G42" s="455">
        <f t="shared" si="1"/>
        <v>166863</v>
      </c>
      <c r="H42" s="272">
        <v>46352</v>
      </c>
      <c r="I42" s="272">
        <v>120511</v>
      </c>
      <c r="J42" s="272">
        <v>1933645</v>
      </c>
      <c r="K42" s="272">
        <v>858453</v>
      </c>
      <c r="L42" s="272">
        <v>838998</v>
      </c>
      <c r="M42" s="272">
        <v>221473</v>
      </c>
      <c r="N42" s="272">
        <v>179628</v>
      </c>
      <c r="O42" s="272">
        <v>0</v>
      </c>
      <c r="P42" s="272">
        <v>0</v>
      </c>
      <c r="Q42" s="272">
        <v>0</v>
      </c>
      <c r="R42" s="272">
        <v>186758</v>
      </c>
      <c r="S42" s="272">
        <v>71827</v>
      </c>
      <c r="T42" s="455">
        <f t="shared" si="2"/>
        <v>557549</v>
      </c>
      <c r="U42" s="272">
        <v>57521</v>
      </c>
      <c r="V42" s="272">
        <v>14798</v>
      </c>
      <c r="W42" s="272">
        <v>12381</v>
      </c>
      <c r="X42" s="272">
        <v>353454</v>
      </c>
      <c r="Y42" s="272">
        <v>12564</v>
      </c>
      <c r="Z42" s="272">
        <v>0</v>
      </c>
      <c r="AA42" s="272">
        <v>106831</v>
      </c>
      <c r="AB42" s="272">
        <v>196348</v>
      </c>
      <c r="AC42" s="272">
        <v>2129075</v>
      </c>
      <c r="AD42" s="272">
        <v>1916453</v>
      </c>
      <c r="AE42" s="272">
        <v>212622</v>
      </c>
      <c r="AF42" s="272">
        <v>8515</v>
      </c>
      <c r="AG42" s="272">
        <v>7976</v>
      </c>
      <c r="AH42" s="455">
        <f t="shared" si="3"/>
        <v>273982</v>
      </c>
      <c r="AI42" s="272">
        <v>244266</v>
      </c>
      <c r="AJ42" s="272">
        <v>29716</v>
      </c>
      <c r="AK42" s="272">
        <v>792634</v>
      </c>
      <c r="AL42" s="455">
        <f t="shared" si="4"/>
        <v>33705</v>
      </c>
      <c r="AM42" s="272">
        <v>0</v>
      </c>
      <c r="AN42" s="272">
        <v>30314</v>
      </c>
      <c r="AO42" s="272">
        <v>0</v>
      </c>
      <c r="AP42" s="272">
        <v>3391</v>
      </c>
      <c r="AQ42" s="272">
        <v>330520</v>
      </c>
      <c r="AR42" s="272">
        <v>0</v>
      </c>
      <c r="AS42" s="272">
        <v>0</v>
      </c>
      <c r="AT42" s="272">
        <v>501461</v>
      </c>
      <c r="AU42" s="272">
        <v>112566</v>
      </c>
      <c r="AV42" s="272">
        <v>15081</v>
      </c>
      <c r="AW42" s="272">
        <v>44905</v>
      </c>
      <c r="AX42" s="272">
        <v>388895</v>
      </c>
      <c r="AY42" s="272">
        <v>20192</v>
      </c>
      <c r="AZ42" s="272">
        <v>7050</v>
      </c>
      <c r="BA42" s="272">
        <v>0</v>
      </c>
      <c r="BB42" s="272">
        <v>50</v>
      </c>
      <c r="BC42" s="272">
        <v>1683170</v>
      </c>
      <c r="BD42" s="272">
        <v>300000</v>
      </c>
      <c r="BE42" s="272">
        <v>0</v>
      </c>
      <c r="BF42" s="272">
        <v>1383112</v>
      </c>
      <c r="BG42" s="272">
        <v>0</v>
      </c>
      <c r="BH42" s="272">
        <v>194984</v>
      </c>
      <c r="BI42" s="272">
        <v>167644</v>
      </c>
      <c r="BJ42" s="272">
        <v>218539</v>
      </c>
      <c r="BK42" s="272">
        <v>0</v>
      </c>
      <c r="BL42" s="272">
        <v>0</v>
      </c>
      <c r="BM42" s="272">
        <v>0</v>
      </c>
      <c r="BN42" s="272">
        <v>1122400</v>
      </c>
      <c r="BO42" s="455">
        <f t="shared" si="5"/>
        <v>395400</v>
      </c>
      <c r="BP42" s="455">
        <f t="shared" si="6"/>
        <v>727000</v>
      </c>
      <c r="BQ42" s="272">
        <v>67000</v>
      </c>
      <c r="BR42" s="272"/>
      <c r="BS42" s="272">
        <v>660000</v>
      </c>
      <c r="BT42" s="272">
        <v>0</v>
      </c>
      <c r="BU42" s="272">
        <v>12134988</v>
      </c>
      <c r="BV42" s="272"/>
      <c r="BW42" s="272">
        <v>3102027</v>
      </c>
      <c r="BX42" s="272">
        <v>2288276</v>
      </c>
      <c r="BY42" s="272">
        <v>151512</v>
      </c>
      <c r="BZ42" s="272">
        <v>77502</v>
      </c>
      <c r="CA42" s="272">
        <v>957709</v>
      </c>
      <c r="CB42" s="272">
        <v>308090</v>
      </c>
      <c r="CC42" s="272">
        <v>85860</v>
      </c>
      <c r="CD42" s="272">
        <v>508536</v>
      </c>
      <c r="CE42" s="272">
        <v>0</v>
      </c>
      <c r="CF42" s="272">
        <v>0</v>
      </c>
      <c r="CG42" s="272">
        <v>55223</v>
      </c>
      <c r="CH42" s="272">
        <v>1396527</v>
      </c>
      <c r="CI42" s="272">
        <v>1114949</v>
      </c>
      <c r="CJ42" s="455">
        <f t="shared" si="7"/>
        <v>281578</v>
      </c>
      <c r="CK42" s="272">
        <v>1856201</v>
      </c>
      <c r="CL42" s="272">
        <v>862981</v>
      </c>
      <c r="CM42" s="272">
        <v>158552</v>
      </c>
      <c r="CN42" s="272">
        <v>445037</v>
      </c>
      <c r="CO42" s="272">
        <v>178561</v>
      </c>
      <c r="CP42" s="272">
        <v>456453</v>
      </c>
      <c r="CQ42" s="272">
        <v>1032</v>
      </c>
      <c r="CR42" s="272">
        <v>261321</v>
      </c>
      <c r="CS42" s="272">
        <v>100123</v>
      </c>
      <c r="CT42" s="272">
        <f t="shared" si="8"/>
        <v>6864</v>
      </c>
      <c r="CU42" s="272">
        <v>3905</v>
      </c>
      <c r="CV42" s="272">
        <v>2959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2631738</v>
      </c>
      <c r="DD42" s="272">
        <v>945774</v>
      </c>
      <c r="DE42" s="272">
        <v>1648623</v>
      </c>
      <c r="DF42" s="272">
        <v>37341</v>
      </c>
      <c r="DG42" s="272">
        <v>0</v>
      </c>
      <c r="DH42" s="272">
        <v>10498</v>
      </c>
      <c r="DI42" s="272">
        <v>91204</v>
      </c>
      <c r="DJ42" s="272">
        <v>85000</v>
      </c>
      <c r="DK42" s="272">
        <v>221</v>
      </c>
      <c r="DL42" s="272">
        <v>5983</v>
      </c>
      <c r="DM42" s="272">
        <v>0</v>
      </c>
      <c r="DN42" s="272">
        <v>0</v>
      </c>
      <c r="DO42" s="272">
        <v>0</v>
      </c>
      <c r="DP42" s="272">
        <v>0</v>
      </c>
      <c r="DQ42" s="272">
        <v>0</v>
      </c>
      <c r="DR42" s="272">
        <v>0</v>
      </c>
      <c r="DS42" s="272">
        <v>0</v>
      </c>
      <c r="DT42" s="272">
        <v>1322908</v>
      </c>
      <c r="DU42" s="272">
        <v>591500</v>
      </c>
      <c r="DV42" s="455">
        <f t="shared" si="11"/>
        <v>0</v>
      </c>
      <c r="DW42" s="272">
        <v>0</v>
      </c>
      <c r="DX42" s="272">
        <v>0</v>
      </c>
      <c r="DY42" s="272">
        <v>0</v>
      </c>
      <c r="DZ42" s="272">
        <v>232998</v>
      </c>
      <c r="EA42" s="272">
        <v>203638</v>
      </c>
      <c r="EB42" s="272">
        <v>293730</v>
      </c>
      <c r="EC42" s="272">
        <v>0</v>
      </c>
      <c r="ED42" s="272">
        <v>12003826</v>
      </c>
      <c r="EE42" s="89"/>
      <c r="EF42" s="272">
        <v>131162</v>
      </c>
      <c r="EG42" s="272">
        <v>35727</v>
      </c>
      <c r="EH42" s="272">
        <v>95435</v>
      </c>
      <c r="EI42" s="272">
        <v>-72209</v>
      </c>
      <c r="EJ42" s="272">
        <v>-287209</v>
      </c>
      <c r="EL42" s="272"/>
      <c r="EM42" s="272">
        <v>43724</v>
      </c>
      <c r="EN42" s="272">
        <v>318075</v>
      </c>
      <c r="EO42" s="272">
        <v>1480</v>
      </c>
      <c r="EP42" s="455">
        <f t="shared" si="12"/>
        <v>391901</v>
      </c>
      <c r="EQ42" s="272">
        <v>7332742</v>
      </c>
      <c r="ER42" s="272">
        <v>-1429941</v>
      </c>
      <c r="ES42" s="272">
        <v>2905792</v>
      </c>
      <c r="ET42" s="272">
        <v>2097634</v>
      </c>
      <c r="EU42" s="272">
        <v>453953</v>
      </c>
      <c r="EV42" s="272">
        <v>1396527</v>
      </c>
      <c r="EW42" s="455">
        <f t="shared" si="13"/>
        <v>421181</v>
      </c>
      <c r="EX42" s="272">
        <v>412065</v>
      </c>
      <c r="EY42" s="272">
        <v>15033</v>
      </c>
      <c r="EZ42" s="272">
        <v>385291</v>
      </c>
      <c r="FA42" s="272">
        <v>9116</v>
      </c>
      <c r="FB42" s="272"/>
      <c r="FC42" s="272">
        <v>1559562</v>
      </c>
      <c r="FD42" s="272">
        <v>403882</v>
      </c>
      <c r="FE42" s="272">
        <v>1032</v>
      </c>
      <c r="FF42" s="272">
        <v>1225841</v>
      </c>
      <c r="FG42" s="455">
        <f t="shared" si="14"/>
        <v>264783</v>
      </c>
      <c r="FH42" s="272">
        <v>8631521</v>
      </c>
      <c r="FI42" s="384">
        <f t="shared" si="15"/>
        <v>1.3</v>
      </c>
      <c r="FJ42" s="272">
        <v>7225775</v>
      </c>
      <c r="FK42" s="272">
        <v>667662</v>
      </c>
      <c r="FL42" s="272">
        <v>4012208</v>
      </c>
      <c r="FM42" s="272">
        <v>5928661</v>
      </c>
      <c r="FN42" s="460">
        <v>0.66700000000000004</v>
      </c>
      <c r="FO42" s="388">
        <v>93.5</v>
      </c>
      <c r="FP42" s="388">
        <v>34.9</v>
      </c>
      <c r="FQ42" s="388">
        <v>5.6</v>
      </c>
      <c r="FR42" s="388">
        <v>17.5</v>
      </c>
      <c r="FS42" s="388">
        <v>18.899999999999999</v>
      </c>
      <c r="FT42" s="388">
        <v>4.5</v>
      </c>
      <c r="FU42" s="388">
        <v>9.8000000000000007</v>
      </c>
      <c r="FV42" s="388">
        <v>8.6999999999999993</v>
      </c>
      <c r="FW42" s="272">
        <v>11028645</v>
      </c>
      <c r="FX42" s="384">
        <f t="shared" si="16"/>
        <v>152.6</v>
      </c>
      <c r="FY42" s="272">
        <v>6797727</v>
      </c>
      <c r="FZ42" s="272">
        <v>1849158</v>
      </c>
      <c r="GA42" s="272">
        <v>608277</v>
      </c>
      <c r="GB42" s="272">
        <v>4340292</v>
      </c>
      <c r="GC42" s="272"/>
      <c r="GD42" s="272">
        <v>1376827</v>
      </c>
      <c r="GE42" s="384">
        <f t="shared" ref="GE42:GE47" si="27">ROUND(GD42/FJ42*100,1)</f>
        <v>19.100000000000001</v>
      </c>
      <c r="GF42" s="388">
        <v>97.7</v>
      </c>
      <c r="GG42" s="388">
        <v>16.600000000000001</v>
      </c>
      <c r="GH42" s="388">
        <v>90.5</v>
      </c>
      <c r="GI42" s="272">
        <v>365</v>
      </c>
    </row>
    <row r="43" spans="2:191" x14ac:dyDescent="0.15">
      <c r="B43" s="89" t="s">
        <v>79</v>
      </c>
      <c r="C43" s="272">
        <v>4464882</v>
      </c>
      <c r="D43" s="455">
        <f t="shared" si="0"/>
        <v>243026</v>
      </c>
      <c r="E43" s="272">
        <v>7275</v>
      </c>
      <c r="F43" s="272">
        <v>235751</v>
      </c>
      <c r="G43" s="455">
        <f t="shared" si="1"/>
        <v>111290</v>
      </c>
      <c r="H43" s="272">
        <v>37476</v>
      </c>
      <c r="I43" s="272">
        <v>73814</v>
      </c>
      <c r="J43" s="272">
        <v>2285271</v>
      </c>
      <c r="K43" s="272">
        <v>1226727</v>
      </c>
      <c r="L43" s="272">
        <v>794240</v>
      </c>
      <c r="M43" s="272">
        <v>228581</v>
      </c>
      <c r="N43" s="272">
        <v>1816358</v>
      </c>
      <c r="O43" s="272">
        <v>0</v>
      </c>
      <c r="P43" s="272">
        <v>0</v>
      </c>
      <c r="Q43" s="272">
        <v>0</v>
      </c>
      <c r="R43" s="272">
        <v>57727</v>
      </c>
      <c r="S43" s="272">
        <v>11356</v>
      </c>
      <c r="T43" s="455">
        <f t="shared" si="2"/>
        <v>140797</v>
      </c>
      <c r="U43" s="272">
        <v>7732</v>
      </c>
      <c r="V43" s="272">
        <v>1995</v>
      </c>
      <c r="W43" s="272">
        <v>1656</v>
      </c>
      <c r="X43" s="272">
        <v>111437</v>
      </c>
      <c r="Y43" s="272">
        <v>0</v>
      </c>
      <c r="Z43" s="272">
        <v>0</v>
      </c>
      <c r="AA43" s="272">
        <v>17977</v>
      </c>
      <c r="AB43" s="272">
        <v>0</v>
      </c>
      <c r="AC43" s="272">
        <v>14663</v>
      </c>
      <c r="AD43" s="272">
        <v>0</v>
      </c>
      <c r="AE43" s="272">
        <v>14663</v>
      </c>
      <c r="AF43" s="272">
        <v>1325</v>
      </c>
      <c r="AG43" s="272">
        <v>2120</v>
      </c>
      <c r="AH43" s="455">
        <f t="shared" si="3"/>
        <v>63970</v>
      </c>
      <c r="AI43" s="272">
        <v>59209</v>
      </c>
      <c r="AJ43" s="272">
        <v>4761</v>
      </c>
      <c r="AK43" s="272">
        <v>321670</v>
      </c>
      <c r="AL43" s="455">
        <f t="shared" si="4"/>
        <v>1788</v>
      </c>
      <c r="AM43" s="272">
        <v>0</v>
      </c>
      <c r="AN43" s="272">
        <v>0</v>
      </c>
      <c r="AO43" s="272">
        <v>0</v>
      </c>
      <c r="AP43" s="272">
        <v>1788</v>
      </c>
      <c r="AQ43" s="272">
        <v>232746</v>
      </c>
      <c r="AR43" s="272">
        <v>0</v>
      </c>
      <c r="AS43" s="272">
        <v>0</v>
      </c>
      <c r="AT43" s="272">
        <v>124333</v>
      </c>
      <c r="AU43" s="272">
        <v>77564</v>
      </c>
      <c r="AV43" s="272">
        <v>0</v>
      </c>
      <c r="AW43" s="272">
        <v>0</v>
      </c>
      <c r="AX43" s="272">
        <v>46769</v>
      </c>
      <c r="AY43" s="272">
        <v>5255</v>
      </c>
      <c r="AZ43" s="272">
        <v>3106</v>
      </c>
      <c r="BA43" s="272">
        <v>122</v>
      </c>
      <c r="BB43" s="272">
        <v>21050</v>
      </c>
      <c r="BC43" s="272">
        <v>63018</v>
      </c>
      <c r="BD43" s="272">
        <v>0</v>
      </c>
      <c r="BE43" s="272">
        <v>0</v>
      </c>
      <c r="BF43" s="272">
        <v>63018</v>
      </c>
      <c r="BG43" s="272">
        <v>0</v>
      </c>
      <c r="BH43" s="272">
        <v>266728</v>
      </c>
      <c r="BI43" s="272">
        <v>266728</v>
      </c>
      <c r="BJ43" s="272">
        <v>36381</v>
      </c>
      <c r="BK43" s="272">
        <v>0</v>
      </c>
      <c r="BL43" s="272">
        <v>0</v>
      </c>
      <c r="BM43" s="272">
        <v>0</v>
      </c>
      <c r="BN43" s="272">
        <v>1200800</v>
      </c>
      <c r="BO43" s="455">
        <f t="shared" si="5"/>
        <v>1200800</v>
      </c>
      <c r="BP43" s="455">
        <f t="shared" si="6"/>
        <v>0</v>
      </c>
      <c r="BQ43" s="272">
        <v>0</v>
      </c>
      <c r="BR43" s="272"/>
      <c r="BS43" s="272">
        <v>0</v>
      </c>
      <c r="BT43" s="272">
        <v>0</v>
      </c>
      <c r="BU43" s="272">
        <v>6782570</v>
      </c>
      <c r="BV43" s="272"/>
      <c r="BW43" s="272">
        <v>1263265</v>
      </c>
      <c r="BX43" s="272">
        <v>883434</v>
      </c>
      <c r="BY43" s="272">
        <v>80203</v>
      </c>
      <c r="BZ43" s="272">
        <v>8467</v>
      </c>
      <c r="CA43" s="272">
        <v>226180</v>
      </c>
      <c r="CB43" s="272">
        <v>66059</v>
      </c>
      <c r="CC43" s="272">
        <v>53309</v>
      </c>
      <c r="CD43" s="272">
        <v>102718</v>
      </c>
      <c r="CE43" s="272">
        <v>0</v>
      </c>
      <c r="CF43" s="272">
        <v>0</v>
      </c>
      <c r="CG43" s="272">
        <v>4094</v>
      </c>
      <c r="CH43" s="272">
        <v>625330</v>
      </c>
      <c r="CI43" s="272">
        <v>518007</v>
      </c>
      <c r="CJ43" s="455">
        <f t="shared" si="7"/>
        <v>107323</v>
      </c>
      <c r="CK43" s="272">
        <v>633251</v>
      </c>
      <c r="CL43" s="272">
        <v>283995</v>
      </c>
      <c r="CM43" s="272">
        <v>139811</v>
      </c>
      <c r="CN43" s="272">
        <v>122804</v>
      </c>
      <c r="CO43" s="272">
        <v>16458</v>
      </c>
      <c r="CP43" s="272">
        <v>525248</v>
      </c>
      <c r="CQ43" s="272">
        <v>122797</v>
      </c>
      <c r="CR43" s="272">
        <v>63240</v>
      </c>
      <c r="CS43" s="272">
        <v>63240</v>
      </c>
      <c r="CT43" s="272">
        <f t="shared" si="8"/>
        <v>16827</v>
      </c>
      <c r="CU43" s="272">
        <v>0</v>
      </c>
      <c r="CV43" s="272">
        <v>16827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2128685</v>
      </c>
      <c r="DD43" s="272">
        <v>606643</v>
      </c>
      <c r="DE43" s="272">
        <v>1522042</v>
      </c>
      <c r="DF43" s="272">
        <v>0</v>
      </c>
      <c r="DG43" s="272">
        <v>0</v>
      </c>
      <c r="DH43" s="272">
        <v>0</v>
      </c>
      <c r="DI43" s="272">
        <v>560182</v>
      </c>
      <c r="DJ43" s="272">
        <v>554227</v>
      </c>
      <c r="DK43" s="272">
        <v>0</v>
      </c>
      <c r="DL43" s="272">
        <v>5955</v>
      </c>
      <c r="DM43" s="272">
        <v>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638867</v>
      </c>
      <c r="DU43" s="272">
        <v>456451</v>
      </c>
      <c r="DV43" s="455">
        <f t="shared" si="11"/>
        <v>0</v>
      </c>
      <c r="DW43" s="272">
        <v>0</v>
      </c>
      <c r="DX43" s="272">
        <v>0</v>
      </c>
      <c r="DY43" s="272">
        <v>0</v>
      </c>
      <c r="DZ43" s="272">
        <v>62275</v>
      </c>
      <c r="EA43" s="272">
        <v>52306</v>
      </c>
      <c r="EB43" s="272">
        <v>67833</v>
      </c>
      <c r="EC43" s="272">
        <v>0</v>
      </c>
      <c r="ED43" s="272">
        <v>6617466</v>
      </c>
      <c r="EE43" s="89"/>
      <c r="EF43" s="272">
        <v>165104</v>
      </c>
      <c r="EG43" s="272">
        <v>13350</v>
      </c>
      <c r="EH43" s="272">
        <v>151754</v>
      </c>
      <c r="EI43" s="272">
        <v>-114974</v>
      </c>
      <c r="EJ43" s="272">
        <v>439253</v>
      </c>
      <c r="EL43" s="272"/>
      <c r="EM43" s="272">
        <v>7290</v>
      </c>
      <c r="EN43" s="272">
        <v>30987</v>
      </c>
      <c r="EO43" s="272">
        <v>155</v>
      </c>
      <c r="EP43" s="455">
        <f t="shared" si="12"/>
        <v>287338</v>
      </c>
      <c r="EQ43" s="272">
        <v>4679394</v>
      </c>
      <c r="ER43" s="272">
        <v>-317155</v>
      </c>
      <c r="ES43" s="272">
        <v>1230405</v>
      </c>
      <c r="ET43" s="272">
        <v>852507</v>
      </c>
      <c r="EU43" s="272">
        <v>116511</v>
      </c>
      <c r="EV43" s="272">
        <v>625330</v>
      </c>
      <c r="EW43" s="455">
        <f t="shared" si="13"/>
        <v>632658</v>
      </c>
      <c r="EX43" s="272">
        <v>632658</v>
      </c>
      <c r="EY43" s="272">
        <v>64927</v>
      </c>
      <c r="EZ43" s="272">
        <v>567731</v>
      </c>
      <c r="FA43" s="272">
        <v>0</v>
      </c>
      <c r="FB43" s="272"/>
      <c r="FC43" s="272">
        <v>519753</v>
      </c>
      <c r="FD43" s="272">
        <v>520206</v>
      </c>
      <c r="FE43" s="272">
        <v>122797</v>
      </c>
      <c r="FF43" s="272">
        <v>613566</v>
      </c>
      <c r="FG43" s="455">
        <f t="shared" si="14"/>
        <v>573016</v>
      </c>
      <c r="FH43" s="272">
        <v>4831445</v>
      </c>
      <c r="FI43" s="384">
        <f t="shared" si="15"/>
        <v>3.3</v>
      </c>
      <c r="FJ43" s="272">
        <v>4547906</v>
      </c>
      <c r="FK43" s="272">
        <v>213290</v>
      </c>
      <c r="FL43" s="272">
        <v>3423684</v>
      </c>
      <c r="FM43" s="272">
        <v>1649866</v>
      </c>
      <c r="FN43" s="460">
        <v>3.0049999999999999</v>
      </c>
      <c r="FO43" s="388">
        <v>69.2</v>
      </c>
      <c r="FP43" s="388">
        <v>25.3</v>
      </c>
      <c r="FQ43" s="388">
        <v>2.5</v>
      </c>
      <c r="FR43" s="388">
        <v>13.4</v>
      </c>
      <c r="FS43" s="388">
        <v>9.8000000000000007</v>
      </c>
      <c r="FT43" s="388">
        <v>8.6999999999999993</v>
      </c>
      <c r="FU43" s="388">
        <v>9.1</v>
      </c>
      <c r="FV43" s="388">
        <v>7</v>
      </c>
      <c r="FW43" s="272">
        <v>5712476</v>
      </c>
      <c r="FX43" s="384">
        <f t="shared" si="16"/>
        <v>125.6</v>
      </c>
      <c r="FY43" s="272">
        <v>3985475</v>
      </c>
      <c r="FZ43" s="272">
        <v>3539615</v>
      </c>
      <c r="GA43" s="272"/>
      <c r="GB43" s="272">
        <v>445860</v>
      </c>
      <c r="GC43" s="272"/>
      <c r="GD43" s="272">
        <v>823438</v>
      </c>
      <c r="GE43" s="384">
        <f t="shared" si="27"/>
        <v>18.100000000000001</v>
      </c>
      <c r="GF43" s="388">
        <v>99.8</v>
      </c>
      <c r="GG43" s="388">
        <v>20.9</v>
      </c>
      <c r="GH43" s="388">
        <v>98.6</v>
      </c>
      <c r="GI43" s="272">
        <v>141</v>
      </c>
    </row>
    <row r="44" spans="2:191" x14ac:dyDescent="0.15">
      <c r="B44" s="89" t="s">
        <v>81</v>
      </c>
      <c r="C44" s="272">
        <v>2272532</v>
      </c>
      <c r="D44" s="455">
        <f t="shared" si="0"/>
        <v>607010</v>
      </c>
      <c r="E44" s="272">
        <v>18929</v>
      </c>
      <c r="F44" s="272">
        <v>588081</v>
      </c>
      <c r="G44" s="455">
        <f t="shared" si="1"/>
        <v>161078</v>
      </c>
      <c r="H44" s="272">
        <v>33662</v>
      </c>
      <c r="I44" s="272">
        <v>127416</v>
      </c>
      <c r="J44" s="272">
        <v>1384955</v>
      </c>
      <c r="K44" s="272">
        <v>568826</v>
      </c>
      <c r="L44" s="272">
        <v>444389</v>
      </c>
      <c r="M44" s="272">
        <v>364932</v>
      </c>
      <c r="N44" s="272">
        <v>92155</v>
      </c>
      <c r="O44" s="272">
        <v>0</v>
      </c>
      <c r="P44" s="272">
        <v>0</v>
      </c>
      <c r="Q44" s="272">
        <v>0</v>
      </c>
      <c r="R44" s="272">
        <v>95522</v>
      </c>
      <c r="S44" s="272">
        <v>33122</v>
      </c>
      <c r="T44" s="455">
        <f t="shared" si="2"/>
        <v>314979</v>
      </c>
      <c r="U44" s="272">
        <v>21220</v>
      </c>
      <c r="V44" s="272">
        <v>5539</v>
      </c>
      <c r="W44" s="272">
        <v>4478</v>
      </c>
      <c r="X44" s="272">
        <v>168566</v>
      </c>
      <c r="Y44" s="272">
        <v>57176</v>
      </c>
      <c r="Z44" s="272">
        <v>0</v>
      </c>
      <c r="AA44" s="272">
        <v>58000</v>
      </c>
      <c r="AB44" s="272">
        <v>66590</v>
      </c>
      <c r="AC44" s="272">
        <v>1666734</v>
      </c>
      <c r="AD44" s="272">
        <v>1387853</v>
      </c>
      <c r="AE44" s="272">
        <v>278881</v>
      </c>
      <c r="AF44" s="272">
        <v>4420</v>
      </c>
      <c r="AG44" s="272">
        <v>4170</v>
      </c>
      <c r="AH44" s="455">
        <f t="shared" si="3"/>
        <v>244311</v>
      </c>
      <c r="AI44" s="272">
        <v>231488</v>
      </c>
      <c r="AJ44" s="272">
        <v>12823</v>
      </c>
      <c r="AK44" s="272">
        <v>210338</v>
      </c>
      <c r="AL44" s="455">
        <f t="shared" si="4"/>
        <v>2603</v>
      </c>
      <c r="AM44" s="272">
        <v>0</v>
      </c>
      <c r="AN44" s="272">
        <v>158</v>
      </c>
      <c r="AO44" s="272">
        <v>0</v>
      </c>
      <c r="AP44" s="272">
        <v>2445</v>
      </c>
      <c r="AQ44" s="272">
        <v>13863</v>
      </c>
      <c r="AR44" s="272">
        <v>0</v>
      </c>
      <c r="AS44" s="272">
        <v>0</v>
      </c>
      <c r="AT44" s="272">
        <v>416625</v>
      </c>
      <c r="AU44" s="272">
        <v>200183</v>
      </c>
      <c r="AV44" s="272">
        <v>79</v>
      </c>
      <c r="AW44" s="272">
        <v>0</v>
      </c>
      <c r="AX44" s="272">
        <v>216442</v>
      </c>
      <c r="AY44" s="272">
        <v>25990</v>
      </c>
      <c r="AZ44" s="272">
        <v>1447</v>
      </c>
      <c r="BA44" s="272">
        <v>0</v>
      </c>
      <c r="BB44" s="272">
        <v>230</v>
      </c>
      <c r="BC44" s="272">
        <v>464429</v>
      </c>
      <c r="BD44" s="272">
        <v>311000</v>
      </c>
      <c r="BE44" s="272">
        <v>0</v>
      </c>
      <c r="BF44" s="272">
        <v>133502</v>
      </c>
      <c r="BG44" s="272">
        <v>0</v>
      </c>
      <c r="BH44" s="272">
        <v>14186</v>
      </c>
      <c r="BI44" s="272">
        <v>14186</v>
      </c>
      <c r="BJ44" s="272">
        <v>164288</v>
      </c>
      <c r="BK44" s="272">
        <v>12024</v>
      </c>
      <c r="BL44" s="272">
        <v>0</v>
      </c>
      <c r="BM44" s="272">
        <v>0</v>
      </c>
      <c r="BN44" s="272">
        <v>689000</v>
      </c>
      <c r="BO44" s="455">
        <f t="shared" si="5"/>
        <v>250400</v>
      </c>
      <c r="BP44" s="455">
        <f t="shared" si="6"/>
        <v>438600</v>
      </c>
      <c r="BQ44" s="272">
        <v>86500</v>
      </c>
      <c r="BR44" s="272"/>
      <c r="BS44" s="272">
        <v>352100</v>
      </c>
      <c r="BT44" s="272">
        <v>0</v>
      </c>
      <c r="BU44" s="272">
        <v>6629801</v>
      </c>
      <c r="BV44" s="272"/>
      <c r="BW44" s="272">
        <v>1844814</v>
      </c>
      <c r="BX44" s="272">
        <v>1243062</v>
      </c>
      <c r="BY44" s="272">
        <v>209803</v>
      </c>
      <c r="BZ44" s="272">
        <v>18814</v>
      </c>
      <c r="CA44" s="272">
        <v>438289</v>
      </c>
      <c r="CB44" s="272">
        <v>211977</v>
      </c>
      <c r="CC44" s="272">
        <v>57058</v>
      </c>
      <c r="CD44" s="272">
        <v>158797</v>
      </c>
      <c r="CE44" s="272">
        <v>0</v>
      </c>
      <c r="CF44" s="272">
        <v>0</v>
      </c>
      <c r="CG44" s="272">
        <v>10377</v>
      </c>
      <c r="CH44" s="272">
        <v>1157843</v>
      </c>
      <c r="CI44" s="272">
        <v>862487</v>
      </c>
      <c r="CJ44" s="455">
        <f t="shared" si="7"/>
        <v>295356</v>
      </c>
      <c r="CK44" s="272">
        <v>1268490</v>
      </c>
      <c r="CL44" s="272">
        <v>590303</v>
      </c>
      <c r="CM44" s="272">
        <v>156746</v>
      </c>
      <c r="CN44" s="272">
        <v>365869</v>
      </c>
      <c r="CO44" s="272">
        <v>95744</v>
      </c>
      <c r="CP44" s="272">
        <v>503463</v>
      </c>
      <c r="CQ44" s="272">
        <v>279707</v>
      </c>
      <c r="CR44" s="272">
        <v>103855</v>
      </c>
      <c r="CS44" s="272">
        <v>87438</v>
      </c>
      <c r="CT44" s="272">
        <f t="shared" si="8"/>
        <v>1672</v>
      </c>
      <c r="CU44" s="272">
        <v>1672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485566</v>
      </c>
      <c r="DD44" s="272">
        <v>22621</v>
      </c>
      <c r="DE44" s="272">
        <v>410477</v>
      </c>
      <c r="DF44" s="272">
        <v>52468</v>
      </c>
      <c r="DG44" s="272">
        <v>0</v>
      </c>
      <c r="DH44" s="272">
        <v>13580</v>
      </c>
      <c r="DI44" s="272">
        <v>15122</v>
      </c>
      <c r="DJ44" s="272">
        <v>8747</v>
      </c>
      <c r="DK44" s="272">
        <v>34</v>
      </c>
      <c r="DL44" s="272">
        <v>6341</v>
      </c>
      <c r="DM44" s="272">
        <v>7000</v>
      </c>
      <c r="DN44" s="272">
        <v>7000</v>
      </c>
      <c r="DO44" s="272">
        <v>7000</v>
      </c>
      <c r="DP44" s="272">
        <v>0</v>
      </c>
      <c r="DQ44" s="272">
        <v>0</v>
      </c>
      <c r="DR44" s="272">
        <v>0</v>
      </c>
      <c r="DS44" s="272">
        <v>0</v>
      </c>
      <c r="DT44" s="272">
        <v>784132</v>
      </c>
      <c r="DU44" s="272">
        <v>260026</v>
      </c>
      <c r="DV44" s="455">
        <f t="shared" si="11"/>
        <v>0</v>
      </c>
      <c r="DW44" s="272">
        <v>0</v>
      </c>
      <c r="DX44" s="272">
        <v>0</v>
      </c>
      <c r="DY44" s="272">
        <v>0</v>
      </c>
      <c r="DZ44" s="272">
        <v>156222</v>
      </c>
      <c r="EA44" s="272">
        <v>150714</v>
      </c>
      <c r="EB44" s="272">
        <v>217170</v>
      </c>
      <c r="EC44" s="272">
        <v>0</v>
      </c>
      <c r="ED44" s="272">
        <v>6614043</v>
      </c>
      <c r="EE44" s="89"/>
      <c r="EF44" s="272">
        <v>15758</v>
      </c>
      <c r="EG44" s="272">
        <v>1300</v>
      </c>
      <c r="EH44" s="272">
        <v>14458</v>
      </c>
      <c r="EI44" s="272">
        <v>272</v>
      </c>
      <c r="EJ44" s="272">
        <v>-301981</v>
      </c>
      <c r="EL44" s="272"/>
      <c r="EM44" s="272">
        <v>19148</v>
      </c>
      <c r="EN44" s="272">
        <v>344327</v>
      </c>
      <c r="EO44" s="272">
        <v>56</v>
      </c>
      <c r="EP44" s="455">
        <f t="shared" si="12"/>
        <v>139421</v>
      </c>
      <c r="EQ44" s="272">
        <v>4420777</v>
      </c>
      <c r="ER44" s="272">
        <v>-917984</v>
      </c>
      <c r="ES44" s="272">
        <v>1740648</v>
      </c>
      <c r="ET44" s="272">
        <v>1142354</v>
      </c>
      <c r="EU44" s="272">
        <v>191074</v>
      </c>
      <c r="EV44" s="272">
        <v>1083777</v>
      </c>
      <c r="EW44" s="455">
        <f t="shared" si="13"/>
        <v>95942</v>
      </c>
      <c r="EX44" s="272">
        <v>87962</v>
      </c>
      <c r="EY44" s="272">
        <v>4413</v>
      </c>
      <c r="EZ44" s="272">
        <v>81581</v>
      </c>
      <c r="FA44" s="272">
        <v>7980</v>
      </c>
      <c r="FB44" s="272"/>
      <c r="FC44" s="272">
        <v>982989</v>
      </c>
      <c r="FD44" s="272">
        <v>470056</v>
      </c>
      <c r="FE44" s="272">
        <v>279707</v>
      </c>
      <c r="FF44" s="272">
        <v>715752</v>
      </c>
      <c r="FG44" s="455">
        <f t="shared" si="14"/>
        <v>42765</v>
      </c>
      <c r="FH44" s="272">
        <v>5323003</v>
      </c>
      <c r="FI44" s="384">
        <f t="shared" si="15"/>
        <v>0.3</v>
      </c>
      <c r="FJ44" s="272">
        <v>4205974</v>
      </c>
      <c r="FK44" s="272">
        <v>352143</v>
      </c>
      <c r="FL44" s="272">
        <v>2131173</v>
      </c>
      <c r="FM44" s="272">
        <v>3519026</v>
      </c>
      <c r="FN44" s="460">
        <v>0.61299999999999999</v>
      </c>
      <c r="FO44" s="388">
        <v>100.1</v>
      </c>
      <c r="FP44" s="388">
        <v>32.799999999999997</v>
      </c>
      <c r="FQ44" s="388">
        <v>4.0999999999999996</v>
      </c>
      <c r="FR44" s="388">
        <v>23.1</v>
      </c>
      <c r="FS44" s="388">
        <v>19.3</v>
      </c>
      <c r="FT44" s="388">
        <v>8.9</v>
      </c>
      <c r="FU44" s="388">
        <v>11.3</v>
      </c>
      <c r="FV44" s="388">
        <v>10.9</v>
      </c>
      <c r="FW44" s="272">
        <v>12141838</v>
      </c>
      <c r="FX44" s="384">
        <f t="shared" si="16"/>
        <v>288.7</v>
      </c>
      <c r="FY44" s="272">
        <v>1142604</v>
      </c>
      <c r="FZ44" s="272">
        <v>531490</v>
      </c>
      <c r="GA44" s="272">
        <v>37942</v>
      </c>
      <c r="GB44" s="272">
        <v>573172</v>
      </c>
      <c r="GC44" s="272"/>
      <c r="GD44" s="272"/>
      <c r="GE44" s="384">
        <f t="shared" si="27"/>
        <v>0</v>
      </c>
      <c r="GF44" s="388">
        <v>98.2</v>
      </c>
      <c r="GG44" s="388">
        <v>11.4</v>
      </c>
      <c r="GH44" s="388">
        <v>91.8</v>
      </c>
      <c r="GI44" s="272">
        <v>179</v>
      </c>
    </row>
    <row r="45" spans="2:191" x14ac:dyDescent="0.15">
      <c r="B45" s="89" t="s">
        <v>83</v>
      </c>
      <c r="C45" s="272">
        <v>1633239</v>
      </c>
      <c r="D45" s="455">
        <f t="shared" si="0"/>
        <v>624065</v>
      </c>
      <c r="E45" s="272">
        <v>13922</v>
      </c>
      <c r="F45" s="272">
        <v>610143</v>
      </c>
      <c r="G45" s="455">
        <f t="shared" si="1"/>
        <v>31741</v>
      </c>
      <c r="H45" s="272">
        <v>14423</v>
      </c>
      <c r="I45" s="272">
        <v>17318</v>
      </c>
      <c r="J45" s="272">
        <v>661485</v>
      </c>
      <c r="K45" s="272">
        <v>284940</v>
      </c>
      <c r="L45" s="272">
        <v>299849</v>
      </c>
      <c r="M45" s="272">
        <v>76659</v>
      </c>
      <c r="N45" s="272">
        <v>294397</v>
      </c>
      <c r="O45" s="272">
        <v>0</v>
      </c>
      <c r="P45" s="272">
        <v>0</v>
      </c>
      <c r="Q45" s="272">
        <v>0</v>
      </c>
      <c r="R45" s="272">
        <v>70096</v>
      </c>
      <c r="S45" s="272">
        <v>23750</v>
      </c>
      <c r="T45" s="455">
        <f t="shared" si="2"/>
        <v>207303</v>
      </c>
      <c r="U45" s="272">
        <v>17590</v>
      </c>
      <c r="V45" s="272">
        <v>4517</v>
      </c>
      <c r="W45" s="272">
        <v>3793</v>
      </c>
      <c r="X45" s="272">
        <v>115039</v>
      </c>
      <c r="Y45" s="272">
        <v>23283</v>
      </c>
      <c r="Z45" s="272">
        <v>0</v>
      </c>
      <c r="AA45" s="272">
        <v>43081</v>
      </c>
      <c r="AB45" s="272">
        <v>42810</v>
      </c>
      <c r="AC45" s="272">
        <v>1230580</v>
      </c>
      <c r="AD45" s="272">
        <v>1015997</v>
      </c>
      <c r="AE45" s="272">
        <v>214583</v>
      </c>
      <c r="AF45" s="272">
        <v>2762</v>
      </c>
      <c r="AG45" s="272">
        <v>52582</v>
      </c>
      <c r="AH45" s="455">
        <f t="shared" si="3"/>
        <v>47256</v>
      </c>
      <c r="AI45" s="272">
        <v>28246</v>
      </c>
      <c r="AJ45" s="272">
        <v>19010</v>
      </c>
      <c r="AK45" s="272">
        <v>181312</v>
      </c>
      <c r="AL45" s="455">
        <f t="shared" si="4"/>
        <v>59275</v>
      </c>
      <c r="AM45" s="272">
        <v>0</v>
      </c>
      <c r="AN45" s="272">
        <v>58030</v>
      </c>
      <c r="AO45" s="272">
        <v>0</v>
      </c>
      <c r="AP45" s="272">
        <v>1245</v>
      </c>
      <c r="AQ45" s="272">
        <v>0</v>
      </c>
      <c r="AR45" s="272">
        <v>0</v>
      </c>
      <c r="AS45" s="272">
        <v>0</v>
      </c>
      <c r="AT45" s="272">
        <v>366924</v>
      </c>
      <c r="AU45" s="272">
        <v>229181</v>
      </c>
      <c r="AV45" s="272">
        <v>29013</v>
      </c>
      <c r="AW45" s="272">
        <v>0</v>
      </c>
      <c r="AX45" s="272">
        <v>137743</v>
      </c>
      <c r="AY45" s="272">
        <v>41852</v>
      </c>
      <c r="AZ45" s="272">
        <v>2260</v>
      </c>
      <c r="BA45" s="272">
        <v>0</v>
      </c>
      <c r="BB45" s="272">
        <v>0</v>
      </c>
      <c r="BC45" s="272">
        <v>111298</v>
      </c>
      <c r="BD45" s="272">
        <v>80000</v>
      </c>
      <c r="BE45" s="272">
        <v>0</v>
      </c>
      <c r="BF45" s="272">
        <v>31297</v>
      </c>
      <c r="BG45" s="272">
        <v>0</v>
      </c>
      <c r="BH45" s="272">
        <v>124751</v>
      </c>
      <c r="BI45" s="272">
        <v>124751</v>
      </c>
      <c r="BJ45" s="272">
        <v>18381</v>
      </c>
      <c r="BK45" s="272">
        <v>0</v>
      </c>
      <c r="BL45" s="272">
        <v>0</v>
      </c>
      <c r="BM45" s="272">
        <v>0</v>
      </c>
      <c r="BN45" s="272">
        <v>223600</v>
      </c>
      <c r="BO45" s="455">
        <f t="shared" si="5"/>
        <v>0</v>
      </c>
      <c r="BP45" s="455">
        <f t="shared" si="6"/>
        <v>223600</v>
      </c>
      <c r="BQ45" s="272">
        <v>19600</v>
      </c>
      <c r="BR45" s="272"/>
      <c r="BS45" s="272">
        <v>204000</v>
      </c>
      <c r="BT45" s="272">
        <v>0</v>
      </c>
      <c r="BU45" s="272">
        <v>4315154</v>
      </c>
      <c r="BV45" s="272"/>
      <c r="BW45" s="272">
        <v>1138828</v>
      </c>
      <c r="BX45" s="272">
        <v>760086</v>
      </c>
      <c r="BY45" s="272">
        <v>86183</v>
      </c>
      <c r="BZ45" s="272">
        <v>15844</v>
      </c>
      <c r="CA45" s="272">
        <v>425344</v>
      </c>
      <c r="CB45" s="272">
        <v>73817</v>
      </c>
      <c r="CC45" s="272">
        <v>37423</v>
      </c>
      <c r="CD45" s="272">
        <v>294034</v>
      </c>
      <c r="CE45" s="272">
        <v>0</v>
      </c>
      <c r="CF45" s="272">
        <v>0</v>
      </c>
      <c r="CG45" s="272">
        <v>20070</v>
      </c>
      <c r="CH45" s="272">
        <v>667467</v>
      </c>
      <c r="CI45" s="272">
        <v>512012</v>
      </c>
      <c r="CJ45" s="455">
        <f t="shared" si="7"/>
        <v>155455</v>
      </c>
      <c r="CK45" s="272">
        <v>578530</v>
      </c>
      <c r="CL45" s="272">
        <v>308730</v>
      </c>
      <c r="CM45" s="272">
        <v>85177</v>
      </c>
      <c r="CN45" s="272">
        <v>111982</v>
      </c>
      <c r="CO45" s="272">
        <v>20315</v>
      </c>
      <c r="CP45" s="272">
        <v>525288</v>
      </c>
      <c r="CQ45" s="272">
        <v>134404</v>
      </c>
      <c r="CR45" s="272">
        <v>137029</v>
      </c>
      <c r="CS45" s="272">
        <v>99821</v>
      </c>
      <c r="CT45" s="272">
        <f t="shared" si="8"/>
        <v>4333</v>
      </c>
      <c r="CU45" s="272">
        <v>1251</v>
      </c>
      <c r="CV45" s="272">
        <v>3082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265916</v>
      </c>
      <c r="DD45" s="272">
        <v>0</v>
      </c>
      <c r="DE45" s="272">
        <v>125120</v>
      </c>
      <c r="DF45" s="272">
        <v>22837</v>
      </c>
      <c r="DG45" s="272">
        <v>117959</v>
      </c>
      <c r="DH45" s="272">
        <v>0</v>
      </c>
      <c r="DI45" s="272">
        <v>70735</v>
      </c>
      <c r="DJ45" s="272">
        <v>64335</v>
      </c>
      <c r="DK45" s="272">
        <v>1</v>
      </c>
      <c r="DL45" s="272">
        <v>6399</v>
      </c>
      <c r="DM45" s="272">
        <v>0</v>
      </c>
      <c r="DN45" s="272">
        <v>0</v>
      </c>
      <c r="DO45" s="272">
        <v>0</v>
      </c>
      <c r="DP45" s="272">
        <v>0</v>
      </c>
      <c r="DQ45" s="272">
        <v>0</v>
      </c>
      <c r="DR45" s="272">
        <v>0</v>
      </c>
      <c r="DS45" s="272">
        <v>0</v>
      </c>
      <c r="DT45" s="272">
        <v>563915</v>
      </c>
      <c r="DU45" s="272">
        <v>278775</v>
      </c>
      <c r="DV45" s="455">
        <f t="shared" si="11"/>
        <v>0</v>
      </c>
      <c r="DW45" s="272">
        <v>0</v>
      </c>
      <c r="DX45" s="272">
        <v>0</v>
      </c>
      <c r="DY45" s="272">
        <v>0</v>
      </c>
      <c r="DZ45" s="272">
        <v>104750</v>
      </c>
      <c r="EA45" s="272">
        <v>66148</v>
      </c>
      <c r="EB45" s="272">
        <v>106774</v>
      </c>
      <c r="EC45" s="272">
        <v>0</v>
      </c>
      <c r="ED45" s="272">
        <v>4256338</v>
      </c>
      <c r="EE45" s="89"/>
      <c r="EF45" s="272">
        <v>58816</v>
      </c>
      <c r="EG45" s="272">
        <v>0</v>
      </c>
      <c r="EH45" s="272">
        <v>58816</v>
      </c>
      <c r="EI45" s="272">
        <v>-65935</v>
      </c>
      <c r="EJ45" s="272">
        <v>-81600</v>
      </c>
      <c r="EL45" s="272"/>
      <c r="EM45" s="272">
        <v>14497</v>
      </c>
      <c r="EN45" s="272">
        <v>111134</v>
      </c>
      <c r="EO45" s="272">
        <v>385</v>
      </c>
      <c r="EP45" s="455">
        <f t="shared" si="12"/>
        <v>145160</v>
      </c>
      <c r="EQ45" s="272">
        <v>3186790</v>
      </c>
      <c r="ER45" s="272">
        <v>-477517</v>
      </c>
      <c r="ES45" s="272">
        <v>1089437</v>
      </c>
      <c r="ET45" s="272">
        <v>713157</v>
      </c>
      <c r="EU45" s="272">
        <v>143723</v>
      </c>
      <c r="EV45" s="272">
        <v>667467</v>
      </c>
      <c r="EW45" s="455">
        <f t="shared" si="13"/>
        <v>101498</v>
      </c>
      <c r="EX45" s="272">
        <v>101498</v>
      </c>
      <c r="EY45" s="272">
        <v>0</v>
      </c>
      <c r="EZ45" s="272">
        <v>82618</v>
      </c>
      <c r="FA45" s="272">
        <v>0</v>
      </c>
      <c r="FB45" s="272"/>
      <c r="FC45" s="272">
        <v>510590</v>
      </c>
      <c r="FD45" s="272">
        <v>483833</v>
      </c>
      <c r="FE45" s="272">
        <v>134404</v>
      </c>
      <c r="FF45" s="272">
        <v>520903</v>
      </c>
      <c r="FG45" s="455">
        <f t="shared" si="14"/>
        <v>88040</v>
      </c>
      <c r="FH45" s="272">
        <v>3605491</v>
      </c>
      <c r="FI45" s="384">
        <f t="shared" si="15"/>
        <v>2</v>
      </c>
      <c r="FJ45" s="272">
        <v>2872083</v>
      </c>
      <c r="FK45" s="272">
        <v>307659</v>
      </c>
      <c r="FL45" s="272">
        <v>1404153</v>
      </c>
      <c r="FM45" s="272">
        <v>2420150</v>
      </c>
      <c r="FN45" s="460">
        <v>0.53800000000000003</v>
      </c>
      <c r="FO45" s="388">
        <v>95.3</v>
      </c>
      <c r="FP45" s="388">
        <v>31.5</v>
      </c>
      <c r="FQ45" s="388">
        <v>4.5</v>
      </c>
      <c r="FR45" s="388">
        <v>20.8</v>
      </c>
      <c r="FS45" s="388">
        <v>14.3</v>
      </c>
      <c r="FT45" s="388">
        <v>14.5</v>
      </c>
      <c r="FU45" s="388">
        <v>9.1</v>
      </c>
      <c r="FV45" s="388">
        <v>13.1</v>
      </c>
      <c r="FW45" s="272">
        <v>5888453</v>
      </c>
      <c r="FX45" s="384">
        <f t="shared" si="16"/>
        <v>205</v>
      </c>
      <c r="FY45" s="272">
        <v>896919</v>
      </c>
      <c r="FZ45" s="272">
        <v>619582</v>
      </c>
      <c r="GA45" s="272">
        <v>7676</v>
      </c>
      <c r="GB45" s="272">
        <v>269661</v>
      </c>
      <c r="GC45" s="272"/>
      <c r="GD45" s="272">
        <v>544171</v>
      </c>
      <c r="GE45" s="384">
        <f t="shared" si="27"/>
        <v>18.899999999999999</v>
      </c>
      <c r="GF45" s="388">
        <v>98.1</v>
      </c>
      <c r="GG45" s="388">
        <v>43.7</v>
      </c>
      <c r="GH45" s="388">
        <v>93.5</v>
      </c>
      <c r="GI45" s="272">
        <v>109</v>
      </c>
    </row>
    <row r="46" spans="2:191" x14ac:dyDescent="0.15">
      <c r="B46" s="89" t="s">
        <v>85</v>
      </c>
      <c r="C46" s="272">
        <v>1629175</v>
      </c>
      <c r="D46" s="455">
        <f t="shared" si="0"/>
        <v>698731</v>
      </c>
      <c r="E46" s="272">
        <v>16486</v>
      </c>
      <c r="F46" s="272">
        <v>682245</v>
      </c>
      <c r="G46" s="455">
        <f t="shared" si="1"/>
        <v>58558</v>
      </c>
      <c r="H46" s="272">
        <v>17280</v>
      </c>
      <c r="I46" s="272">
        <v>41278</v>
      </c>
      <c r="J46" s="272">
        <v>752113</v>
      </c>
      <c r="K46" s="272">
        <v>315631</v>
      </c>
      <c r="L46" s="272">
        <v>345618</v>
      </c>
      <c r="M46" s="272">
        <v>89811</v>
      </c>
      <c r="N46" s="272">
        <v>91404</v>
      </c>
      <c r="O46" s="272">
        <v>0</v>
      </c>
      <c r="P46" s="272">
        <v>0</v>
      </c>
      <c r="Q46" s="272">
        <v>0</v>
      </c>
      <c r="R46" s="272">
        <v>94420</v>
      </c>
      <c r="S46" s="272">
        <v>29024</v>
      </c>
      <c r="T46" s="455">
        <f t="shared" si="2"/>
        <v>284380</v>
      </c>
      <c r="U46" s="272">
        <v>20481</v>
      </c>
      <c r="V46" s="272">
        <v>5284</v>
      </c>
      <c r="W46" s="272">
        <v>4390</v>
      </c>
      <c r="X46" s="272">
        <v>151706</v>
      </c>
      <c r="Y46" s="272">
        <v>41732</v>
      </c>
      <c r="Z46" s="272">
        <v>0</v>
      </c>
      <c r="AA46" s="272">
        <v>60787</v>
      </c>
      <c r="AB46" s="272">
        <v>66711</v>
      </c>
      <c r="AC46" s="272">
        <v>1596541</v>
      </c>
      <c r="AD46" s="272">
        <v>1396271</v>
      </c>
      <c r="AE46" s="272">
        <v>200270</v>
      </c>
      <c r="AF46" s="272">
        <v>3148</v>
      </c>
      <c r="AG46" s="272">
        <v>10747</v>
      </c>
      <c r="AH46" s="455">
        <f t="shared" si="3"/>
        <v>112214</v>
      </c>
      <c r="AI46" s="272">
        <v>63257</v>
      </c>
      <c r="AJ46" s="272">
        <v>48957</v>
      </c>
      <c r="AK46" s="272">
        <v>204595</v>
      </c>
      <c r="AL46" s="455">
        <f t="shared" si="4"/>
        <v>3841</v>
      </c>
      <c r="AM46" s="272">
        <v>0</v>
      </c>
      <c r="AN46" s="272">
        <v>2954</v>
      </c>
      <c r="AO46" s="272">
        <v>0</v>
      </c>
      <c r="AP46" s="272">
        <v>887</v>
      </c>
      <c r="AQ46" s="272">
        <v>28681</v>
      </c>
      <c r="AR46" s="272">
        <v>0</v>
      </c>
      <c r="AS46" s="272">
        <v>0</v>
      </c>
      <c r="AT46" s="272">
        <v>231973</v>
      </c>
      <c r="AU46" s="272">
        <v>117330</v>
      </c>
      <c r="AV46" s="272">
        <v>1477</v>
      </c>
      <c r="AW46" s="272">
        <v>26047</v>
      </c>
      <c r="AX46" s="272">
        <v>114643</v>
      </c>
      <c r="AY46" s="272">
        <v>45668</v>
      </c>
      <c r="AZ46" s="272">
        <v>5875</v>
      </c>
      <c r="BA46" s="272">
        <v>5</v>
      </c>
      <c r="BB46" s="272">
        <v>20</v>
      </c>
      <c r="BC46" s="272">
        <v>464646</v>
      </c>
      <c r="BD46" s="272">
        <v>60000</v>
      </c>
      <c r="BE46" s="272">
        <v>250000</v>
      </c>
      <c r="BF46" s="272">
        <v>44646</v>
      </c>
      <c r="BG46" s="272">
        <v>0</v>
      </c>
      <c r="BH46" s="272">
        <v>59366</v>
      </c>
      <c r="BI46" s="272">
        <v>53295</v>
      </c>
      <c r="BJ46" s="272">
        <v>134399</v>
      </c>
      <c r="BK46" s="272">
        <v>0</v>
      </c>
      <c r="BL46" s="272">
        <v>0</v>
      </c>
      <c r="BM46" s="272">
        <v>0</v>
      </c>
      <c r="BN46" s="272">
        <v>1219300</v>
      </c>
      <c r="BO46" s="455">
        <f t="shared" si="5"/>
        <v>856200</v>
      </c>
      <c r="BP46" s="455">
        <f t="shared" si="6"/>
        <v>363100</v>
      </c>
      <c r="BQ46" s="272">
        <v>26400</v>
      </c>
      <c r="BR46" s="272"/>
      <c r="BS46" s="272">
        <v>336700</v>
      </c>
      <c r="BT46" s="272">
        <v>0</v>
      </c>
      <c r="BU46" s="272">
        <v>6117510</v>
      </c>
      <c r="BV46" s="272"/>
      <c r="BW46" s="272">
        <v>1473242</v>
      </c>
      <c r="BX46" s="272">
        <v>1022146</v>
      </c>
      <c r="BY46" s="272">
        <v>17237</v>
      </c>
      <c r="BZ46" s="272">
        <v>80177</v>
      </c>
      <c r="CA46" s="272">
        <v>291358</v>
      </c>
      <c r="CB46" s="272">
        <v>119867</v>
      </c>
      <c r="CC46" s="272">
        <v>33608</v>
      </c>
      <c r="CD46" s="272">
        <v>132180</v>
      </c>
      <c r="CE46" s="272">
        <v>0</v>
      </c>
      <c r="CF46" s="272">
        <v>0</v>
      </c>
      <c r="CG46" s="272">
        <v>5703</v>
      </c>
      <c r="CH46" s="272">
        <v>704050</v>
      </c>
      <c r="CI46" s="272">
        <v>538936</v>
      </c>
      <c r="CJ46" s="455">
        <f t="shared" si="7"/>
        <v>165114</v>
      </c>
      <c r="CK46" s="272">
        <v>795430</v>
      </c>
      <c r="CL46" s="272">
        <v>437856</v>
      </c>
      <c r="CM46" s="272">
        <v>73721</v>
      </c>
      <c r="CN46" s="272">
        <v>175249</v>
      </c>
      <c r="CO46" s="272">
        <v>13795</v>
      </c>
      <c r="CP46" s="272">
        <v>404902</v>
      </c>
      <c r="CQ46" s="272">
        <v>187177</v>
      </c>
      <c r="CR46" s="272">
        <v>93124</v>
      </c>
      <c r="CS46" s="272">
        <v>89067</v>
      </c>
      <c r="CT46" s="272">
        <f t="shared" si="8"/>
        <v>9292</v>
      </c>
      <c r="CU46" s="272">
        <v>3121</v>
      </c>
      <c r="CV46" s="272">
        <v>6171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1761164</v>
      </c>
      <c r="DD46" s="272">
        <v>95748</v>
      </c>
      <c r="DE46" s="272">
        <v>1626423</v>
      </c>
      <c r="DF46" s="272">
        <v>38993</v>
      </c>
      <c r="DG46" s="272">
        <v>0</v>
      </c>
      <c r="DH46" s="272">
        <v>0</v>
      </c>
      <c r="DI46" s="272">
        <v>9683</v>
      </c>
      <c r="DJ46" s="272">
        <v>1772</v>
      </c>
      <c r="DK46" s="272">
        <v>653</v>
      </c>
      <c r="DL46" s="272">
        <v>7258</v>
      </c>
      <c r="DM46" s="272">
        <v>0</v>
      </c>
      <c r="DN46" s="272">
        <v>0</v>
      </c>
      <c r="DO46" s="272">
        <v>0</v>
      </c>
      <c r="DP46" s="272">
        <v>0</v>
      </c>
      <c r="DQ46" s="272">
        <v>0</v>
      </c>
      <c r="DR46" s="272">
        <v>0</v>
      </c>
      <c r="DS46" s="272">
        <v>0</v>
      </c>
      <c r="DT46" s="272">
        <v>545175</v>
      </c>
      <c r="DU46" s="272">
        <v>181661</v>
      </c>
      <c r="DV46" s="455">
        <f t="shared" si="11"/>
        <v>0</v>
      </c>
      <c r="DW46" s="272">
        <v>0</v>
      </c>
      <c r="DX46" s="272">
        <v>0</v>
      </c>
      <c r="DY46" s="272">
        <v>0</v>
      </c>
      <c r="DZ46" s="272">
        <v>119965</v>
      </c>
      <c r="EA46" s="272">
        <v>91998</v>
      </c>
      <c r="EB46" s="272">
        <v>140563</v>
      </c>
      <c r="EC46" s="272">
        <v>0</v>
      </c>
      <c r="ED46" s="272">
        <v>5998799</v>
      </c>
      <c r="EE46" s="89"/>
      <c r="EF46" s="272">
        <v>118711</v>
      </c>
      <c r="EG46" s="272">
        <v>0</v>
      </c>
      <c r="EH46" s="272">
        <v>118711</v>
      </c>
      <c r="EI46" s="272">
        <v>10416</v>
      </c>
      <c r="EJ46" s="272">
        <v>-47812</v>
      </c>
      <c r="EL46" s="272"/>
      <c r="EM46" s="272">
        <v>16814</v>
      </c>
      <c r="EN46" s="272">
        <v>464278</v>
      </c>
      <c r="EO46" s="272">
        <v>5</v>
      </c>
      <c r="EP46" s="455">
        <f t="shared" si="12"/>
        <v>121053</v>
      </c>
      <c r="EQ46" s="272">
        <v>3674375</v>
      </c>
      <c r="ER46" s="272">
        <v>-945288</v>
      </c>
      <c r="ES46" s="272">
        <v>1404375</v>
      </c>
      <c r="ET46" s="272">
        <v>961854</v>
      </c>
      <c r="EU46" s="272">
        <v>124289</v>
      </c>
      <c r="EV46" s="272">
        <v>704050</v>
      </c>
      <c r="EW46" s="455">
        <f t="shared" si="13"/>
        <v>692680</v>
      </c>
      <c r="EX46" s="272">
        <v>692680</v>
      </c>
      <c r="EY46" s="272">
        <v>18220</v>
      </c>
      <c r="EZ46" s="272">
        <v>664060</v>
      </c>
      <c r="FA46" s="272">
        <v>0</v>
      </c>
      <c r="FB46" s="272"/>
      <c r="FC46" s="272">
        <v>668998</v>
      </c>
      <c r="FD46" s="272">
        <v>387800</v>
      </c>
      <c r="FE46" s="272">
        <v>187177</v>
      </c>
      <c r="FF46" s="272">
        <v>499993</v>
      </c>
      <c r="FG46" s="455">
        <f t="shared" si="14"/>
        <v>18767</v>
      </c>
      <c r="FH46" s="272">
        <v>4500952</v>
      </c>
      <c r="FI46" s="384">
        <f t="shared" si="15"/>
        <v>3.5</v>
      </c>
      <c r="FJ46" s="272">
        <v>3430704</v>
      </c>
      <c r="FK46" s="272">
        <v>336743</v>
      </c>
      <c r="FL46" s="272">
        <v>1542643</v>
      </c>
      <c r="FM46" s="272">
        <v>2938914</v>
      </c>
      <c r="FN46" s="460">
        <v>0.52600000000000002</v>
      </c>
      <c r="FO46" s="388">
        <v>90</v>
      </c>
      <c r="FP46" s="388">
        <v>35.799999999999997</v>
      </c>
      <c r="FQ46" s="388">
        <v>3.2</v>
      </c>
      <c r="FR46" s="388">
        <v>18.3</v>
      </c>
      <c r="FS46" s="388">
        <v>14.8</v>
      </c>
      <c r="FT46" s="388">
        <v>9.1</v>
      </c>
      <c r="FU46" s="388">
        <v>8.5</v>
      </c>
      <c r="FV46" s="388">
        <v>9.9</v>
      </c>
      <c r="FW46" s="272">
        <v>7835686</v>
      </c>
      <c r="FX46" s="384">
        <f t="shared" si="16"/>
        <v>228.4</v>
      </c>
      <c r="FY46" s="272">
        <v>2558198</v>
      </c>
      <c r="FZ46" s="272">
        <v>1352399</v>
      </c>
      <c r="GA46" s="272">
        <v>142903</v>
      </c>
      <c r="GB46" s="272">
        <v>1062896</v>
      </c>
      <c r="GC46" s="272"/>
      <c r="GD46" s="272">
        <v>32793</v>
      </c>
      <c r="GE46" s="384">
        <f t="shared" si="27"/>
        <v>1</v>
      </c>
      <c r="GF46" s="388">
        <v>95.9</v>
      </c>
      <c r="GG46" s="388">
        <v>42.6</v>
      </c>
      <c r="GH46" s="388">
        <v>89.1</v>
      </c>
      <c r="GI46" s="272">
        <v>155</v>
      </c>
    </row>
    <row r="47" spans="2:191" x14ac:dyDescent="0.15">
      <c r="B47" s="89" t="s">
        <v>87</v>
      </c>
      <c r="C47" s="272">
        <v>636188</v>
      </c>
      <c r="D47" s="455">
        <f t="shared" si="0"/>
        <v>270742</v>
      </c>
      <c r="E47" s="272">
        <v>6890</v>
      </c>
      <c r="F47" s="272">
        <v>263852</v>
      </c>
      <c r="G47" s="455">
        <f t="shared" si="1"/>
        <v>30836</v>
      </c>
      <c r="H47" s="272">
        <v>12067</v>
      </c>
      <c r="I47" s="272">
        <v>18769</v>
      </c>
      <c r="J47" s="272">
        <v>308640</v>
      </c>
      <c r="K47" s="272">
        <v>112273</v>
      </c>
      <c r="L47" s="272">
        <v>143600</v>
      </c>
      <c r="M47" s="272">
        <v>52743</v>
      </c>
      <c r="N47" s="272">
        <v>13136</v>
      </c>
      <c r="O47" s="272">
        <v>0</v>
      </c>
      <c r="P47" s="272">
        <v>0</v>
      </c>
      <c r="Q47" s="272">
        <v>0</v>
      </c>
      <c r="R47" s="272">
        <v>38726</v>
      </c>
      <c r="S47" s="272">
        <v>11662</v>
      </c>
      <c r="T47" s="455">
        <f t="shared" si="2"/>
        <v>122606</v>
      </c>
      <c r="U47" s="272">
        <v>8464</v>
      </c>
      <c r="V47" s="272">
        <v>2192</v>
      </c>
      <c r="W47" s="272">
        <v>1803</v>
      </c>
      <c r="X47" s="272">
        <v>60689</v>
      </c>
      <c r="Y47" s="272">
        <v>24304</v>
      </c>
      <c r="Z47" s="272">
        <v>0</v>
      </c>
      <c r="AA47" s="272">
        <v>25154</v>
      </c>
      <c r="AB47" s="272">
        <v>27469</v>
      </c>
      <c r="AC47" s="272">
        <v>1003294</v>
      </c>
      <c r="AD47" s="272">
        <v>791234</v>
      </c>
      <c r="AE47" s="272">
        <v>212060</v>
      </c>
      <c r="AF47" s="272">
        <v>1171</v>
      </c>
      <c r="AG47" s="272">
        <v>26081</v>
      </c>
      <c r="AH47" s="455">
        <f t="shared" si="3"/>
        <v>29556</v>
      </c>
      <c r="AI47" s="272">
        <v>19571</v>
      </c>
      <c r="AJ47" s="272">
        <v>9985</v>
      </c>
      <c r="AK47" s="272">
        <v>69845</v>
      </c>
      <c r="AL47" s="455">
        <f t="shared" si="4"/>
        <v>21135</v>
      </c>
      <c r="AM47" s="272">
        <v>0</v>
      </c>
      <c r="AN47" s="272">
        <v>21135</v>
      </c>
      <c r="AO47" s="272">
        <v>0</v>
      </c>
      <c r="AP47" s="272">
        <v>0</v>
      </c>
      <c r="AQ47" s="272">
        <v>647</v>
      </c>
      <c r="AR47" s="272">
        <v>0</v>
      </c>
      <c r="AS47" s="272">
        <v>0</v>
      </c>
      <c r="AT47" s="272">
        <v>182275</v>
      </c>
      <c r="AU47" s="272">
        <v>92994</v>
      </c>
      <c r="AV47" s="272">
        <v>10389</v>
      </c>
      <c r="AW47" s="272">
        <v>33047</v>
      </c>
      <c r="AX47" s="272">
        <v>89281</v>
      </c>
      <c r="AY47" s="272">
        <v>43729</v>
      </c>
      <c r="AZ47" s="272">
        <v>1873</v>
      </c>
      <c r="BA47" s="272">
        <v>0</v>
      </c>
      <c r="BB47" s="272">
        <v>20</v>
      </c>
      <c r="BC47" s="272">
        <v>149339</v>
      </c>
      <c r="BD47" s="272">
        <v>0</v>
      </c>
      <c r="BE47" s="272">
        <v>5000</v>
      </c>
      <c r="BF47" s="272">
        <v>44339</v>
      </c>
      <c r="BG47" s="272">
        <v>0</v>
      </c>
      <c r="BH47" s="272">
        <v>67103</v>
      </c>
      <c r="BI47" s="272">
        <v>52231</v>
      </c>
      <c r="BJ47" s="272">
        <v>24486</v>
      </c>
      <c r="BK47" s="272">
        <v>0</v>
      </c>
      <c r="BL47" s="272">
        <v>0</v>
      </c>
      <c r="BM47" s="272">
        <v>0</v>
      </c>
      <c r="BN47" s="272">
        <v>304600</v>
      </c>
      <c r="BO47" s="455">
        <f t="shared" si="5"/>
        <v>79900</v>
      </c>
      <c r="BP47" s="455">
        <f t="shared" si="6"/>
        <v>224700</v>
      </c>
      <c r="BQ47" s="272">
        <v>14000</v>
      </c>
      <c r="BR47" s="272"/>
      <c r="BS47" s="272">
        <v>210700</v>
      </c>
      <c r="BT47" s="272">
        <v>0</v>
      </c>
      <c r="BU47" s="272">
        <v>2684632</v>
      </c>
      <c r="BV47" s="272"/>
      <c r="BW47" s="272">
        <v>854985</v>
      </c>
      <c r="BX47" s="272">
        <v>548886</v>
      </c>
      <c r="BY47" s="272">
        <v>83219</v>
      </c>
      <c r="BZ47" s="272">
        <v>21837</v>
      </c>
      <c r="CA47" s="272">
        <v>145243</v>
      </c>
      <c r="CB47" s="272">
        <v>48697</v>
      </c>
      <c r="CC47" s="272">
        <v>12946</v>
      </c>
      <c r="CD47" s="272">
        <v>81606</v>
      </c>
      <c r="CE47" s="272">
        <v>0</v>
      </c>
      <c r="CF47" s="272">
        <v>0</v>
      </c>
      <c r="CG47" s="272">
        <v>1994</v>
      </c>
      <c r="CH47" s="272">
        <v>311033</v>
      </c>
      <c r="CI47" s="272">
        <v>246990</v>
      </c>
      <c r="CJ47" s="455">
        <f t="shared" si="7"/>
        <v>64043</v>
      </c>
      <c r="CK47" s="272">
        <v>543130</v>
      </c>
      <c r="CL47" s="272">
        <v>332408</v>
      </c>
      <c r="CM47" s="272">
        <v>25443</v>
      </c>
      <c r="CN47" s="272">
        <v>82787</v>
      </c>
      <c r="CO47" s="272">
        <v>7676</v>
      </c>
      <c r="CP47" s="272">
        <v>227742</v>
      </c>
      <c r="CQ47" s="272">
        <v>92046</v>
      </c>
      <c r="CR47" s="272">
        <v>9213</v>
      </c>
      <c r="CS47" s="272">
        <v>9213</v>
      </c>
      <c r="CT47" s="272">
        <f t="shared" si="8"/>
        <v>7448</v>
      </c>
      <c r="CU47" s="272">
        <v>6869</v>
      </c>
      <c r="CV47" s="272">
        <v>579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115077</v>
      </c>
      <c r="DD47" s="272">
        <v>48001</v>
      </c>
      <c r="DE47" s="272">
        <v>60643</v>
      </c>
      <c r="DF47" s="272">
        <v>6433</v>
      </c>
      <c r="DG47" s="272">
        <v>0</v>
      </c>
      <c r="DH47" s="272">
        <v>0</v>
      </c>
      <c r="DI47" s="272">
        <v>61968</v>
      </c>
      <c r="DJ47" s="272">
        <v>44254</v>
      </c>
      <c r="DK47" s="272">
        <v>143</v>
      </c>
      <c r="DL47" s="272">
        <v>17571</v>
      </c>
      <c r="DM47" s="272">
        <v>3100</v>
      </c>
      <c r="DN47" s="272">
        <v>3100</v>
      </c>
      <c r="DO47" s="272">
        <v>3100</v>
      </c>
      <c r="DP47" s="272">
        <v>0</v>
      </c>
      <c r="DQ47" s="272">
        <v>0</v>
      </c>
      <c r="DR47" s="272">
        <v>0</v>
      </c>
      <c r="DS47" s="272">
        <v>0</v>
      </c>
      <c r="DT47" s="272">
        <v>350797</v>
      </c>
      <c r="DU47" s="272">
        <v>115682</v>
      </c>
      <c r="DV47" s="455">
        <f t="shared" si="11"/>
        <v>0</v>
      </c>
      <c r="DW47" s="272">
        <v>0</v>
      </c>
      <c r="DX47" s="272">
        <v>0</v>
      </c>
      <c r="DY47" s="272">
        <v>0</v>
      </c>
      <c r="DZ47" s="272">
        <v>66050</v>
      </c>
      <c r="EA47" s="272">
        <v>52483</v>
      </c>
      <c r="EB47" s="272">
        <v>84628</v>
      </c>
      <c r="EC47" s="272">
        <v>0</v>
      </c>
      <c r="ED47" s="272">
        <v>2620751</v>
      </c>
      <c r="EE47" s="89"/>
      <c r="EF47" s="272">
        <v>63881</v>
      </c>
      <c r="EG47" s="272">
        <v>5693</v>
      </c>
      <c r="EH47" s="272">
        <v>58188</v>
      </c>
      <c r="EI47" s="272">
        <v>5957</v>
      </c>
      <c r="EJ47" s="272">
        <v>50211</v>
      </c>
      <c r="EL47" s="272"/>
      <c r="EM47" s="272">
        <v>6767</v>
      </c>
      <c r="EN47" s="272">
        <v>127421</v>
      </c>
      <c r="EO47" s="272">
        <v>454</v>
      </c>
      <c r="EP47" s="455">
        <f t="shared" si="12"/>
        <v>64668</v>
      </c>
      <c r="EQ47" s="272">
        <v>1829454</v>
      </c>
      <c r="ER47" s="272">
        <v>-416072</v>
      </c>
      <c r="ES47" s="272">
        <v>817859</v>
      </c>
      <c r="ET47" s="272">
        <v>520751</v>
      </c>
      <c r="EU47" s="272">
        <v>33914</v>
      </c>
      <c r="EV47" s="272">
        <v>311033</v>
      </c>
      <c r="EW47" s="455">
        <f t="shared" si="13"/>
        <v>8780</v>
      </c>
      <c r="EX47" s="272">
        <v>8780</v>
      </c>
      <c r="EY47" s="272">
        <v>1012</v>
      </c>
      <c r="EZ47" s="272">
        <v>6809</v>
      </c>
      <c r="FA47" s="272">
        <v>0</v>
      </c>
      <c r="FB47" s="272"/>
      <c r="FC47" s="272">
        <v>449578</v>
      </c>
      <c r="FD47" s="272">
        <v>187895</v>
      </c>
      <c r="FE47" s="272">
        <v>83046</v>
      </c>
      <c r="FF47" s="272">
        <v>304637</v>
      </c>
      <c r="FG47" s="455">
        <f t="shared" si="14"/>
        <v>67949</v>
      </c>
      <c r="FH47" s="272">
        <v>2181645</v>
      </c>
      <c r="FI47" s="384">
        <f t="shared" si="15"/>
        <v>3.6</v>
      </c>
      <c r="FJ47" s="272">
        <v>1613665</v>
      </c>
      <c r="FK47" s="272">
        <v>210756</v>
      </c>
      <c r="FL47" s="272">
        <v>623775</v>
      </c>
      <c r="FM47" s="272">
        <v>1415009</v>
      </c>
      <c r="FN47" s="460">
        <v>0.42499999999999999</v>
      </c>
      <c r="FO47" s="388">
        <v>101.9</v>
      </c>
      <c r="FP47" s="388">
        <v>41.2</v>
      </c>
      <c r="FQ47" s="388">
        <v>1.8</v>
      </c>
      <c r="FR47" s="388">
        <v>16.8</v>
      </c>
      <c r="FS47" s="388">
        <v>22.6</v>
      </c>
      <c r="FT47" s="388">
        <v>8.6999999999999993</v>
      </c>
      <c r="FU47" s="388">
        <v>10.4</v>
      </c>
      <c r="FV47" s="388">
        <v>12.8</v>
      </c>
      <c r="FW47" s="272">
        <v>3128909</v>
      </c>
      <c r="FX47" s="384">
        <f t="shared" si="16"/>
        <v>193.9</v>
      </c>
      <c r="FY47" s="272">
        <v>417834</v>
      </c>
      <c r="FZ47" s="272">
        <v>146498</v>
      </c>
      <c r="GA47" s="272">
        <v>52578</v>
      </c>
      <c r="GB47" s="272">
        <v>218758</v>
      </c>
      <c r="GC47" s="272"/>
      <c r="GD47" s="272"/>
      <c r="GE47" s="384">
        <f t="shared" si="27"/>
        <v>0</v>
      </c>
      <c r="GF47" s="388">
        <v>98.4</v>
      </c>
      <c r="GG47" s="388">
        <v>39.299999999999997</v>
      </c>
      <c r="GH47" s="388">
        <v>93.5</v>
      </c>
      <c r="GI47" s="272">
        <v>90</v>
      </c>
    </row>
    <row r="48" spans="2:191" x14ac:dyDescent="0.15">
      <c r="B48" s="21" t="s">
        <v>89</v>
      </c>
      <c r="C48" s="272">
        <f>SUM(C38:C47)</f>
        <v>25569570</v>
      </c>
      <c r="D48" s="455">
        <f t="shared" si="0"/>
        <v>8175733</v>
      </c>
      <c r="E48" s="272">
        <f>SUM(E38:E47)</f>
        <v>199023</v>
      </c>
      <c r="F48" s="272">
        <f>SUM(F38:F47)</f>
        <v>7976710</v>
      </c>
      <c r="G48" s="455">
        <f t="shared" si="1"/>
        <v>1527737</v>
      </c>
      <c r="H48" s="272">
        <f t="shared" ref="H48:S48" si="28">SUM(H38:H47)</f>
        <v>297991</v>
      </c>
      <c r="I48" s="272">
        <f t="shared" si="28"/>
        <v>1229746</v>
      </c>
      <c r="J48" s="272">
        <f t="shared" si="28"/>
        <v>12223906</v>
      </c>
      <c r="K48" s="272">
        <f t="shared" si="28"/>
        <v>5271117</v>
      </c>
      <c r="L48" s="272">
        <f t="shared" si="28"/>
        <v>4818614</v>
      </c>
      <c r="M48" s="272">
        <f t="shared" si="28"/>
        <v>2033483</v>
      </c>
      <c r="N48" s="272">
        <f t="shared" si="28"/>
        <v>2800005</v>
      </c>
      <c r="O48" s="272">
        <f t="shared" si="28"/>
        <v>596442</v>
      </c>
      <c r="P48" s="272">
        <f t="shared" si="28"/>
        <v>353430</v>
      </c>
      <c r="Q48" s="272">
        <f t="shared" si="28"/>
        <v>243012</v>
      </c>
      <c r="R48" s="272">
        <f t="shared" si="28"/>
        <v>985843</v>
      </c>
      <c r="S48" s="272">
        <f t="shared" si="28"/>
        <v>327264</v>
      </c>
      <c r="T48" s="455">
        <f t="shared" si="2"/>
        <v>2927938</v>
      </c>
      <c r="U48" s="272">
        <f t="shared" ref="U48:AG48" si="29">SUM(U38:U47)</f>
        <v>249929</v>
      </c>
      <c r="V48" s="272">
        <f t="shared" si="29"/>
        <v>64535</v>
      </c>
      <c r="W48" s="272">
        <f t="shared" si="29"/>
        <v>53519</v>
      </c>
      <c r="X48" s="272">
        <f t="shared" si="29"/>
        <v>1716350</v>
      </c>
      <c r="Y48" s="272">
        <f t="shared" si="29"/>
        <v>256574</v>
      </c>
      <c r="Z48" s="272">
        <f t="shared" si="29"/>
        <v>0</v>
      </c>
      <c r="AA48" s="272">
        <f t="shared" si="29"/>
        <v>587031</v>
      </c>
      <c r="AB48" s="272">
        <f t="shared" si="29"/>
        <v>835008</v>
      </c>
      <c r="AC48" s="272">
        <f t="shared" si="29"/>
        <v>13894558</v>
      </c>
      <c r="AD48" s="272">
        <f t="shared" si="29"/>
        <v>11610075</v>
      </c>
      <c r="AE48" s="272">
        <f t="shared" si="29"/>
        <v>2284483</v>
      </c>
      <c r="AF48" s="272">
        <f t="shared" si="29"/>
        <v>36911</v>
      </c>
      <c r="AG48" s="272">
        <f t="shared" si="29"/>
        <v>171323</v>
      </c>
      <c r="AH48" s="455">
        <f t="shared" si="3"/>
        <v>1477764</v>
      </c>
      <c r="AI48" s="272">
        <f>SUM(AI38:AI47)</f>
        <v>1231332</v>
      </c>
      <c r="AJ48" s="272">
        <f>SUM(AJ38:AJ47)</f>
        <v>246432</v>
      </c>
      <c r="AK48" s="272">
        <f>SUM(AK38:AK47)</f>
        <v>2948703</v>
      </c>
      <c r="AL48" s="455">
        <f t="shared" si="4"/>
        <v>276763</v>
      </c>
      <c r="AM48" s="272">
        <f t="shared" ref="AM48:BN48" si="30">SUM(AM38:AM47)</f>
        <v>91018</v>
      </c>
      <c r="AN48" s="272">
        <f t="shared" si="30"/>
        <v>167593</v>
      </c>
      <c r="AO48" s="272">
        <f t="shared" si="30"/>
        <v>0</v>
      </c>
      <c r="AP48" s="272">
        <f t="shared" si="30"/>
        <v>18152</v>
      </c>
      <c r="AQ48" s="272">
        <f t="shared" si="30"/>
        <v>858900</v>
      </c>
      <c r="AR48" s="272">
        <f t="shared" si="30"/>
        <v>8331</v>
      </c>
      <c r="AS48" s="272">
        <f t="shared" si="30"/>
        <v>0</v>
      </c>
      <c r="AT48" s="272">
        <f t="shared" si="30"/>
        <v>2994675</v>
      </c>
      <c r="AU48" s="272">
        <f t="shared" si="30"/>
        <v>1474395</v>
      </c>
      <c r="AV48" s="272">
        <f t="shared" si="30"/>
        <v>83305</v>
      </c>
      <c r="AW48" s="272">
        <f t="shared" si="30"/>
        <v>161224</v>
      </c>
      <c r="AX48" s="272">
        <f t="shared" si="30"/>
        <v>1520280</v>
      </c>
      <c r="AY48" s="272">
        <f t="shared" si="30"/>
        <v>265145</v>
      </c>
      <c r="AZ48" s="272">
        <f t="shared" si="30"/>
        <v>129843</v>
      </c>
      <c r="BA48" s="272">
        <f t="shared" si="30"/>
        <v>101004</v>
      </c>
      <c r="BB48" s="272">
        <f t="shared" si="30"/>
        <v>32050</v>
      </c>
      <c r="BC48" s="272">
        <f t="shared" si="30"/>
        <v>4381222</v>
      </c>
      <c r="BD48" s="272">
        <f t="shared" si="30"/>
        <v>1244987</v>
      </c>
      <c r="BE48" s="272">
        <f t="shared" si="30"/>
        <v>293936</v>
      </c>
      <c r="BF48" s="272">
        <f t="shared" si="30"/>
        <v>2231321</v>
      </c>
      <c r="BG48" s="272">
        <f t="shared" si="30"/>
        <v>0</v>
      </c>
      <c r="BH48" s="272">
        <f t="shared" si="30"/>
        <v>1858854</v>
      </c>
      <c r="BI48" s="272">
        <f t="shared" si="30"/>
        <v>1097610</v>
      </c>
      <c r="BJ48" s="272">
        <f t="shared" si="30"/>
        <v>1277275</v>
      </c>
      <c r="BK48" s="272">
        <f t="shared" si="30"/>
        <v>275759</v>
      </c>
      <c r="BL48" s="272">
        <f t="shared" si="30"/>
        <v>3244</v>
      </c>
      <c r="BM48" s="272">
        <f t="shared" si="30"/>
        <v>0</v>
      </c>
      <c r="BN48" s="272">
        <f t="shared" si="30"/>
        <v>6925200</v>
      </c>
      <c r="BO48" s="455">
        <f t="shared" si="5"/>
        <v>3154700</v>
      </c>
      <c r="BP48" s="455">
        <f t="shared" si="6"/>
        <v>3770500</v>
      </c>
      <c r="BQ48" s="272">
        <f>SUM(BQ38:BQ47)</f>
        <v>405700</v>
      </c>
      <c r="BR48" s="272">
        <f>SUM(BR38:BR47)</f>
        <v>0</v>
      </c>
      <c r="BS48" s="272">
        <f>SUM(BS38:BS47)</f>
        <v>3364800</v>
      </c>
      <c r="BT48" s="272">
        <f>SUM(BT38:BT47)</f>
        <v>0</v>
      </c>
      <c r="BU48" s="272">
        <f>SUM(BU38:BU47)</f>
        <v>66446737</v>
      </c>
      <c r="BV48" s="272"/>
      <c r="BW48" s="272">
        <f t="shared" ref="BW48:CI48" si="31">SUM(BW38:BW47)</f>
        <v>17663989</v>
      </c>
      <c r="BX48" s="272">
        <f t="shared" si="31"/>
        <v>12102932</v>
      </c>
      <c r="BY48" s="272">
        <f t="shared" si="31"/>
        <v>1288626</v>
      </c>
      <c r="BZ48" s="272">
        <f t="shared" si="31"/>
        <v>643743</v>
      </c>
      <c r="CA48" s="272">
        <f t="shared" si="31"/>
        <v>4495014</v>
      </c>
      <c r="CB48" s="272">
        <f t="shared" si="31"/>
        <v>1562064</v>
      </c>
      <c r="CC48" s="272">
        <f t="shared" si="31"/>
        <v>467340</v>
      </c>
      <c r="CD48" s="272">
        <f t="shared" si="31"/>
        <v>2184743</v>
      </c>
      <c r="CE48" s="272">
        <f t="shared" si="31"/>
        <v>117947</v>
      </c>
      <c r="CF48" s="272">
        <f t="shared" si="31"/>
        <v>5360</v>
      </c>
      <c r="CG48" s="272">
        <f t="shared" si="31"/>
        <v>157480</v>
      </c>
      <c r="CH48" s="272">
        <f t="shared" si="31"/>
        <v>8151322</v>
      </c>
      <c r="CI48" s="272">
        <f t="shared" si="31"/>
        <v>6407377</v>
      </c>
      <c r="CJ48" s="455">
        <f t="shared" si="7"/>
        <v>1743945</v>
      </c>
      <c r="CK48" s="272">
        <f t="shared" ref="CK48:CS48" si="32">SUM(CK38:CK47)</f>
        <v>10291094</v>
      </c>
      <c r="CL48" s="272">
        <f t="shared" si="32"/>
        <v>5422307</v>
      </c>
      <c r="CM48" s="272">
        <f t="shared" si="32"/>
        <v>959164</v>
      </c>
      <c r="CN48" s="272">
        <f t="shared" si="32"/>
        <v>2322152</v>
      </c>
      <c r="CO48" s="272">
        <f t="shared" si="32"/>
        <v>747868</v>
      </c>
      <c r="CP48" s="272">
        <f t="shared" si="32"/>
        <v>5041399</v>
      </c>
      <c r="CQ48" s="272">
        <f t="shared" si="32"/>
        <v>1981267</v>
      </c>
      <c r="CR48" s="272">
        <f t="shared" si="32"/>
        <v>1078696</v>
      </c>
      <c r="CS48" s="272">
        <f t="shared" si="32"/>
        <v>781718</v>
      </c>
      <c r="CT48" s="272">
        <f t="shared" si="8"/>
        <v>262586</v>
      </c>
      <c r="CU48" s="272">
        <f>SUM(CU38:CU47)</f>
        <v>155145</v>
      </c>
      <c r="CV48" s="272">
        <f>SUM(CV38:CV47)</f>
        <v>107441</v>
      </c>
      <c r="CW48" s="455">
        <f t="shared" si="9"/>
        <v>135933</v>
      </c>
      <c r="CX48" s="272">
        <f>SUM(CX38:CX47)</f>
        <v>113186</v>
      </c>
      <c r="CY48" s="272">
        <f>SUM(CY38:CY47)</f>
        <v>22747</v>
      </c>
      <c r="CZ48" s="455">
        <f t="shared" si="10"/>
        <v>0</v>
      </c>
      <c r="DA48" s="272">
        <f t="shared" ref="DA48:DU48" si="33">SUM(DA38:DA47)</f>
        <v>0</v>
      </c>
      <c r="DB48" s="272">
        <f t="shared" si="33"/>
        <v>0</v>
      </c>
      <c r="DC48" s="272">
        <f t="shared" si="33"/>
        <v>9261788</v>
      </c>
      <c r="DD48" s="272">
        <f t="shared" si="33"/>
        <v>2195651</v>
      </c>
      <c r="DE48" s="272">
        <f t="shared" si="33"/>
        <v>6749938</v>
      </c>
      <c r="DF48" s="272">
        <f t="shared" si="33"/>
        <v>175550</v>
      </c>
      <c r="DG48" s="272">
        <f t="shared" si="33"/>
        <v>137951</v>
      </c>
      <c r="DH48" s="272">
        <f t="shared" si="33"/>
        <v>70901</v>
      </c>
      <c r="DI48" s="272">
        <f t="shared" si="33"/>
        <v>1337589</v>
      </c>
      <c r="DJ48" s="272">
        <f t="shared" si="33"/>
        <v>1166376</v>
      </c>
      <c r="DK48" s="272">
        <f t="shared" si="33"/>
        <v>1096</v>
      </c>
      <c r="DL48" s="272">
        <f t="shared" si="33"/>
        <v>170117</v>
      </c>
      <c r="DM48" s="272">
        <f t="shared" si="33"/>
        <v>10100</v>
      </c>
      <c r="DN48" s="272">
        <f t="shared" si="33"/>
        <v>10100</v>
      </c>
      <c r="DO48" s="272">
        <f t="shared" si="33"/>
        <v>10100</v>
      </c>
      <c r="DP48" s="272">
        <f t="shared" si="33"/>
        <v>0</v>
      </c>
      <c r="DQ48" s="272">
        <f t="shared" si="33"/>
        <v>58244</v>
      </c>
      <c r="DR48" s="272">
        <f t="shared" si="33"/>
        <v>0</v>
      </c>
      <c r="DS48" s="272">
        <f t="shared" si="33"/>
        <v>0</v>
      </c>
      <c r="DT48" s="272">
        <f t="shared" si="33"/>
        <v>8029344</v>
      </c>
      <c r="DU48" s="272">
        <f t="shared" si="33"/>
        <v>3530070</v>
      </c>
      <c r="DV48" s="455">
        <f t="shared" si="11"/>
        <v>0</v>
      </c>
      <c r="DW48" s="272">
        <f t="shared" ref="DW48:ED48" si="34">SUM(DW38:DW47)</f>
        <v>0</v>
      </c>
      <c r="DX48" s="272">
        <f t="shared" si="34"/>
        <v>0</v>
      </c>
      <c r="DY48" s="272">
        <f t="shared" si="34"/>
        <v>0</v>
      </c>
      <c r="DZ48" s="272">
        <f t="shared" si="34"/>
        <v>1309652</v>
      </c>
      <c r="EA48" s="272">
        <f t="shared" si="34"/>
        <v>1144396</v>
      </c>
      <c r="EB48" s="272">
        <f t="shared" si="34"/>
        <v>1536798</v>
      </c>
      <c r="EC48" s="272">
        <f t="shared" si="34"/>
        <v>0</v>
      </c>
      <c r="ED48" s="272">
        <f t="shared" si="34"/>
        <v>65158652</v>
      </c>
      <c r="EE48" s="89"/>
      <c r="EF48" s="272">
        <f>SUM(EF38:EF47)</f>
        <v>1288085</v>
      </c>
      <c r="EG48" s="272">
        <f>SUM(EG38:EG47)</f>
        <v>167409</v>
      </c>
      <c r="EH48" s="272">
        <f>SUM(EH38:EH47)</f>
        <v>1120676</v>
      </c>
      <c r="EI48" s="272">
        <f>SUM(EI38:EI47)</f>
        <v>-31934</v>
      </c>
      <c r="EJ48" s="272">
        <f>SUM(EJ38:EJ47)</f>
        <v>-110043</v>
      </c>
      <c r="EL48" s="272"/>
      <c r="EM48" s="272">
        <f>SUM(EM38:EM47)</f>
        <v>194060</v>
      </c>
      <c r="EN48" s="272">
        <f>SUM(EN38:EN47)</f>
        <v>2608931</v>
      </c>
      <c r="EO48" s="272">
        <f>SUM(EO38:EO47)</f>
        <v>35291</v>
      </c>
      <c r="EP48" s="455">
        <f t="shared" si="12"/>
        <v>1968640</v>
      </c>
      <c r="EQ48" s="272">
        <f t="shared" ref="EQ48:EV48" si="35">SUM(EQ38:EQ47)</f>
        <v>44249828</v>
      </c>
      <c r="ER48" s="272">
        <f t="shared" si="35"/>
        <v>-8346451</v>
      </c>
      <c r="ES48" s="272">
        <f t="shared" si="35"/>
        <v>16622440</v>
      </c>
      <c r="ET48" s="272">
        <f t="shared" si="35"/>
        <v>11208618</v>
      </c>
      <c r="EU48" s="272">
        <f t="shared" si="35"/>
        <v>1974420</v>
      </c>
      <c r="EV48" s="272">
        <f t="shared" si="35"/>
        <v>7820436</v>
      </c>
      <c r="EW48" s="455">
        <f t="shared" si="13"/>
        <v>2923507</v>
      </c>
      <c r="EX48" s="272">
        <f>SUM(EX38:EX47)</f>
        <v>2885519</v>
      </c>
      <c r="EY48" s="272">
        <f>SUM(EY38:EY47)</f>
        <v>150430</v>
      </c>
      <c r="EZ48" s="272">
        <f>SUM(EZ38:EZ47)</f>
        <v>2673325</v>
      </c>
      <c r="FA48" s="272">
        <f>SUM(FA38:FA47)</f>
        <v>37988</v>
      </c>
      <c r="FB48" s="272"/>
      <c r="FC48" s="272">
        <f>SUM(FC38:FC47)</f>
        <v>8540151</v>
      </c>
      <c r="FD48" s="272">
        <f>SUM(FD38:FD47)</f>
        <v>4092211</v>
      </c>
      <c r="FE48" s="272">
        <f>SUM(FE38:FE47)</f>
        <v>1424954</v>
      </c>
      <c r="FF48" s="272">
        <f>SUM(FF38:FF47)</f>
        <v>7439928</v>
      </c>
      <c r="FG48" s="455">
        <f t="shared" si="14"/>
        <v>1895101</v>
      </c>
      <c r="FH48" s="272">
        <f>SUM(FH38:FH47)</f>
        <v>51308194</v>
      </c>
      <c r="FI48" s="384">
        <f t="shared" si="15"/>
        <v>2.7</v>
      </c>
      <c r="FJ48" s="272">
        <f>SUM(FJ38:FJ47)</f>
        <v>41201301</v>
      </c>
      <c r="FK48" s="272">
        <f>SUM(FK38:FK47)</f>
        <v>3689786</v>
      </c>
      <c r="FL48" s="272">
        <f>SUM(FL38:FL47)</f>
        <v>22366413</v>
      </c>
      <c r="FM48" s="272">
        <f>SUM(FM38:FM47)</f>
        <v>32205747</v>
      </c>
      <c r="FN48" s="468">
        <v>0.73399999999999999</v>
      </c>
      <c r="FO48" s="469">
        <v>92.9</v>
      </c>
      <c r="FP48" s="469">
        <v>34.5</v>
      </c>
      <c r="FQ48" s="469">
        <v>4.3</v>
      </c>
      <c r="FR48" s="469">
        <v>17.2</v>
      </c>
      <c r="FS48" s="469">
        <v>17.100000000000001</v>
      </c>
      <c r="FT48" s="469">
        <v>7.2</v>
      </c>
      <c r="FU48" s="469">
        <v>11.1</v>
      </c>
      <c r="FV48" s="469">
        <v>8.5</v>
      </c>
      <c r="FW48" s="272">
        <f>SUM(FW38:FW47)</f>
        <v>78189408</v>
      </c>
      <c r="FX48" s="384">
        <f t="shared" si="16"/>
        <v>189.8</v>
      </c>
      <c r="FY48" s="272">
        <f t="shared" ref="FY48:GD48" si="36">SUM(FY38:FY47)</f>
        <v>25264306</v>
      </c>
      <c r="FZ48" s="272">
        <f t="shared" si="36"/>
        <v>12382474</v>
      </c>
      <c r="GA48" s="272">
        <f t="shared" si="36"/>
        <v>1307484</v>
      </c>
      <c r="GB48" s="272">
        <f t="shared" si="36"/>
        <v>11574348</v>
      </c>
      <c r="GC48" s="272">
        <f t="shared" si="36"/>
        <v>0</v>
      </c>
      <c r="GD48" s="272">
        <f t="shared" si="36"/>
        <v>2777229</v>
      </c>
      <c r="GE48" s="465">
        <f>ROUND(GD48/FJ51*100,1)</f>
        <v>15.4</v>
      </c>
      <c r="GF48" s="469">
        <v>98.3</v>
      </c>
      <c r="GG48" s="469">
        <v>19.2</v>
      </c>
      <c r="GH48" s="469">
        <v>92.1</v>
      </c>
      <c r="GI48" s="272">
        <f>SUM(GI38:GI47)</f>
        <v>1828</v>
      </c>
    </row>
    <row r="49" spans="2:191" x14ac:dyDescent="0.15">
      <c r="B49" s="21" t="s">
        <v>91</v>
      </c>
      <c r="C49" s="272">
        <f>C37+C48</f>
        <v>744030230</v>
      </c>
      <c r="D49" s="455">
        <f t="shared" si="0"/>
        <v>240014462</v>
      </c>
      <c r="E49" s="272">
        <f>E37+E48</f>
        <v>5671245</v>
      </c>
      <c r="F49" s="272">
        <f>F37+F48</f>
        <v>234343217</v>
      </c>
      <c r="G49" s="455">
        <f t="shared" si="1"/>
        <v>56580008</v>
      </c>
      <c r="H49" s="272">
        <f t="shared" ref="H49:S49" si="37">H37+H48</f>
        <v>12543583</v>
      </c>
      <c r="I49" s="272">
        <f t="shared" si="37"/>
        <v>44036425</v>
      </c>
      <c r="J49" s="272">
        <f t="shared" si="37"/>
        <v>332076922</v>
      </c>
      <c r="K49" s="272">
        <f t="shared" si="37"/>
        <v>153755935</v>
      </c>
      <c r="L49" s="272">
        <f t="shared" si="37"/>
        <v>128143221</v>
      </c>
      <c r="M49" s="272">
        <f t="shared" si="37"/>
        <v>44210227</v>
      </c>
      <c r="N49" s="272">
        <f t="shared" si="37"/>
        <v>35488474</v>
      </c>
      <c r="O49" s="272">
        <f t="shared" si="37"/>
        <v>68369217</v>
      </c>
      <c r="P49" s="272">
        <f t="shared" si="37"/>
        <v>41054452</v>
      </c>
      <c r="Q49" s="272">
        <f t="shared" si="37"/>
        <v>27314765</v>
      </c>
      <c r="R49" s="272">
        <f t="shared" si="37"/>
        <v>23711593</v>
      </c>
      <c r="S49" s="272">
        <f t="shared" si="37"/>
        <v>8999306</v>
      </c>
      <c r="T49" s="455">
        <f t="shared" si="2"/>
        <v>75133231</v>
      </c>
      <c r="U49" s="272">
        <f t="shared" ref="U49:AG49" si="38">U37+U48</f>
        <v>7172637</v>
      </c>
      <c r="V49" s="272">
        <f t="shared" si="38"/>
        <v>1848753</v>
      </c>
      <c r="W49" s="272">
        <f t="shared" si="38"/>
        <v>1540321</v>
      </c>
      <c r="X49" s="272">
        <f t="shared" si="38"/>
        <v>52288035</v>
      </c>
      <c r="Y49" s="272">
        <f t="shared" si="38"/>
        <v>1071573</v>
      </c>
      <c r="Z49" s="272">
        <f t="shared" si="38"/>
        <v>811</v>
      </c>
      <c r="AA49" s="272">
        <f t="shared" si="38"/>
        <v>11211101</v>
      </c>
      <c r="AB49" s="272">
        <f t="shared" si="38"/>
        <v>26134960</v>
      </c>
      <c r="AC49" s="272">
        <f t="shared" si="38"/>
        <v>166642683</v>
      </c>
      <c r="AD49" s="272">
        <f t="shared" si="38"/>
        <v>152897275</v>
      </c>
      <c r="AE49" s="272">
        <f t="shared" si="38"/>
        <v>13745408</v>
      </c>
      <c r="AF49" s="272">
        <f t="shared" si="38"/>
        <v>1037105</v>
      </c>
      <c r="AG49" s="272">
        <f t="shared" si="38"/>
        <v>16307340</v>
      </c>
      <c r="AH49" s="455">
        <f t="shared" si="3"/>
        <v>38133283</v>
      </c>
      <c r="AI49" s="272">
        <f>AI37+AI48</f>
        <v>30339654</v>
      </c>
      <c r="AJ49" s="272">
        <f>AJ37+AJ48</f>
        <v>7793629</v>
      </c>
      <c r="AK49" s="272">
        <f>AK37+AK48</f>
        <v>211918384</v>
      </c>
      <c r="AL49" s="455">
        <f t="shared" si="4"/>
        <v>125281595</v>
      </c>
      <c r="AM49" s="272">
        <f t="shared" ref="AM49:BN49" si="39">AM37+AM48</f>
        <v>107669082</v>
      </c>
      <c r="AN49" s="272">
        <f t="shared" si="39"/>
        <v>16802928</v>
      </c>
      <c r="AO49" s="272">
        <f t="shared" si="39"/>
        <v>66246</v>
      </c>
      <c r="AP49" s="272">
        <f t="shared" si="39"/>
        <v>743339</v>
      </c>
      <c r="AQ49" s="272">
        <f t="shared" si="39"/>
        <v>15399186</v>
      </c>
      <c r="AR49" s="272">
        <f t="shared" si="39"/>
        <v>39678</v>
      </c>
      <c r="AS49" s="272">
        <f t="shared" si="39"/>
        <v>334835</v>
      </c>
      <c r="AT49" s="272">
        <f t="shared" si="39"/>
        <v>70547524</v>
      </c>
      <c r="AU49" s="272">
        <f t="shared" si="39"/>
        <v>40269775</v>
      </c>
      <c r="AV49" s="272">
        <f t="shared" si="39"/>
        <v>5870148</v>
      </c>
      <c r="AW49" s="272">
        <f t="shared" si="39"/>
        <v>1006771</v>
      </c>
      <c r="AX49" s="272">
        <f t="shared" si="39"/>
        <v>30277749</v>
      </c>
      <c r="AY49" s="272">
        <f t="shared" si="39"/>
        <v>2278026</v>
      </c>
      <c r="AZ49" s="272">
        <f t="shared" si="39"/>
        <v>6673657</v>
      </c>
      <c r="BA49" s="272">
        <f t="shared" si="39"/>
        <v>5798689</v>
      </c>
      <c r="BB49" s="272">
        <f t="shared" si="39"/>
        <v>3455911</v>
      </c>
      <c r="BC49" s="272">
        <f t="shared" si="39"/>
        <v>36243442</v>
      </c>
      <c r="BD49" s="272">
        <f t="shared" si="39"/>
        <v>8055881</v>
      </c>
      <c r="BE49" s="272">
        <f t="shared" si="39"/>
        <v>1839584</v>
      </c>
      <c r="BF49" s="272">
        <f t="shared" si="39"/>
        <v>15173632</v>
      </c>
      <c r="BG49" s="272">
        <f t="shared" si="39"/>
        <v>4982163</v>
      </c>
      <c r="BH49" s="272">
        <f t="shared" si="39"/>
        <v>9563803</v>
      </c>
      <c r="BI49" s="272">
        <f t="shared" si="39"/>
        <v>5485858</v>
      </c>
      <c r="BJ49" s="272">
        <f t="shared" si="39"/>
        <v>46266028</v>
      </c>
      <c r="BK49" s="272">
        <f t="shared" si="39"/>
        <v>29981359</v>
      </c>
      <c r="BL49" s="272">
        <f t="shared" si="39"/>
        <v>276752</v>
      </c>
      <c r="BM49" s="272">
        <f t="shared" si="39"/>
        <v>2808704</v>
      </c>
      <c r="BN49" s="272">
        <f t="shared" si="39"/>
        <v>137612660</v>
      </c>
      <c r="BO49" s="455">
        <f t="shared" si="5"/>
        <v>57320360</v>
      </c>
      <c r="BP49" s="455">
        <f t="shared" si="6"/>
        <v>79653300</v>
      </c>
      <c r="BQ49" s="272">
        <f>BQ37+BQ48</f>
        <v>10219700</v>
      </c>
      <c r="BR49" s="272">
        <f>BR37+BR48</f>
        <v>0</v>
      </c>
      <c r="BS49" s="272">
        <f>BS37+BS48</f>
        <v>69433600</v>
      </c>
      <c r="BT49" s="272">
        <f>BT37+BT48</f>
        <v>639000</v>
      </c>
      <c r="BU49" s="272">
        <f>BU37+BU48</f>
        <v>1613746669</v>
      </c>
      <c r="BV49" s="272"/>
      <c r="BW49" s="272">
        <f t="shared" ref="BW49:CI49" si="40">BW37+BW48</f>
        <v>409144013</v>
      </c>
      <c r="BX49" s="272">
        <f t="shared" si="40"/>
        <v>279498671</v>
      </c>
      <c r="BY49" s="272">
        <f t="shared" si="40"/>
        <v>46814305</v>
      </c>
      <c r="BZ49" s="272">
        <f t="shared" si="40"/>
        <v>16631027</v>
      </c>
      <c r="CA49" s="272">
        <f t="shared" si="40"/>
        <v>315410423</v>
      </c>
      <c r="CB49" s="272">
        <f t="shared" si="40"/>
        <v>46891908</v>
      </c>
      <c r="CC49" s="272">
        <f t="shared" si="40"/>
        <v>14524496</v>
      </c>
      <c r="CD49" s="272">
        <f t="shared" si="40"/>
        <v>100829706</v>
      </c>
      <c r="CE49" s="272">
        <f t="shared" si="40"/>
        <v>140572646</v>
      </c>
      <c r="CF49" s="272">
        <f t="shared" si="40"/>
        <v>6452939</v>
      </c>
      <c r="CG49" s="272">
        <f t="shared" si="40"/>
        <v>6112408</v>
      </c>
      <c r="CH49" s="272">
        <f t="shared" si="40"/>
        <v>167972365</v>
      </c>
      <c r="CI49" s="272">
        <f t="shared" si="40"/>
        <v>127869750</v>
      </c>
      <c r="CJ49" s="455">
        <f t="shared" si="7"/>
        <v>40102615</v>
      </c>
      <c r="CK49" s="272">
        <f t="shared" ref="CK49:CS49" si="41">CK37+CK48</f>
        <v>189171078</v>
      </c>
      <c r="CL49" s="272">
        <f t="shared" si="41"/>
        <v>108189815</v>
      </c>
      <c r="CM49" s="272">
        <f t="shared" si="41"/>
        <v>12761813</v>
      </c>
      <c r="CN49" s="272">
        <f t="shared" si="41"/>
        <v>37182371</v>
      </c>
      <c r="CO49" s="272">
        <f t="shared" si="41"/>
        <v>14139981</v>
      </c>
      <c r="CP49" s="272">
        <f t="shared" si="41"/>
        <v>120040020</v>
      </c>
      <c r="CQ49" s="272">
        <f t="shared" si="41"/>
        <v>43310810</v>
      </c>
      <c r="CR49" s="272">
        <f t="shared" si="41"/>
        <v>36805251</v>
      </c>
      <c r="CS49" s="272">
        <f t="shared" si="41"/>
        <v>27093037</v>
      </c>
      <c r="CT49" s="272">
        <f t="shared" si="8"/>
        <v>16931407</v>
      </c>
      <c r="CU49" s="272">
        <f>CU37+CU48</f>
        <v>11949018</v>
      </c>
      <c r="CV49" s="272">
        <f>CV37+CV48</f>
        <v>4982389</v>
      </c>
      <c r="CW49" s="455">
        <f t="shared" si="9"/>
        <v>13630757</v>
      </c>
      <c r="CX49" s="272">
        <f>CX37+CX48</f>
        <v>10628995</v>
      </c>
      <c r="CY49" s="272">
        <f>CY37+CY48</f>
        <v>3001762</v>
      </c>
      <c r="CZ49" s="455">
        <f t="shared" si="10"/>
        <v>551230</v>
      </c>
      <c r="DA49" s="272">
        <f t="shared" ref="DA49:DU49" si="42">DA37+DA48</f>
        <v>493730</v>
      </c>
      <c r="DB49" s="272">
        <f t="shared" si="42"/>
        <v>57500</v>
      </c>
      <c r="DC49" s="272">
        <f t="shared" si="42"/>
        <v>132725938</v>
      </c>
      <c r="DD49" s="272">
        <f t="shared" si="42"/>
        <v>31281103</v>
      </c>
      <c r="DE49" s="272">
        <f t="shared" si="42"/>
        <v>95966294</v>
      </c>
      <c r="DF49" s="272">
        <f t="shared" si="42"/>
        <v>2043363</v>
      </c>
      <c r="DG49" s="272">
        <f t="shared" si="42"/>
        <v>3432480</v>
      </c>
      <c r="DH49" s="272">
        <f t="shared" si="42"/>
        <v>398528</v>
      </c>
      <c r="DI49" s="272">
        <f t="shared" si="42"/>
        <v>17598155</v>
      </c>
      <c r="DJ49" s="272">
        <f t="shared" si="42"/>
        <v>4863986</v>
      </c>
      <c r="DK49" s="272">
        <f t="shared" si="42"/>
        <v>2188464</v>
      </c>
      <c r="DL49" s="272">
        <f t="shared" si="42"/>
        <v>10543407</v>
      </c>
      <c r="DM49" s="272">
        <f t="shared" si="42"/>
        <v>2003483</v>
      </c>
      <c r="DN49" s="272">
        <f t="shared" si="42"/>
        <v>1520385</v>
      </c>
      <c r="DO49" s="272">
        <f t="shared" si="42"/>
        <v>162756</v>
      </c>
      <c r="DP49" s="272">
        <f t="shared" si="42"/>
        <v>1357629</v>
      </c>
      <c r="DQ49" s="272">
        <f t="shared" si="42"/>
        <v>30869584</v>
      </c>
      <c r="DR49" s="272">
        <f t="shared" si="42"/>
        <v>550000</v>
      </c>
      <c r="DS49" s="272">
        <f t="shared" si="42"/>
        <v>550000</v>
      </c>
      <c r="DT49" s="272">
        <f t="shared" si="42"/>
        <v>199093918</v>
      </c>
      <c r="DU49" s="272">
        <f t="shared" si="42"/>
        <v>86575003</v>
      </c>
      <c r="DV49" s="455">
        <f t="shared" si="11"/>
        <v>1167117</v>
      </c>
      <c r="DW49" s="272">
        <f t="shared" ref="DW49:ED49" si="43">DW37+DW48</f>
        <v>1167117</v>
      </c>
      <c r="DX49" s="272">
        <f t="shared" si="43"/>
        <v>0</v>
      </c>
      <c r="DY49" s="272">
        <f t="shared" si="43"/>
        <v>342039</v>
      </c>
      <c r="DZ49" s="272">
        <f t="shared" si="43"/>
        <v>48703941</v>
      </c>
      <c r="EA49" s="272">
        <f t="shared" si="43"/>
        <v>25149051</v>
      </c>
      <c r="EB49" s="272">
        <f t="shared" si="43"/>
        <v>33068050</v>
      </c>
      <c r="EC49" s="272">
        <f t="shared" si="43"/>
        <v>12054766</v>
      </c>
      <c r="ED49" s="272">
        <f t="shared" si="43"/>
        <v>1610622252</v>
      </c>
      <c r="EE49" s="89"/>
      <c r="EF49" s="272">
        <f>EF37+EF48</f>
        <v>3124417</v>
      </c>
      <c r="EG49" s="272">
        <f>EG37+EG48</f>
        <v>3113598</v>
      </c>
      <c r="EH49" s="272">
        <f>EH37+EH48</f>
        <v>10819</v>
      </c>
      <c r="EI49" s="272">
        <f>EI37+EI48</f>
        <v>6939403</v>
      </c>
      <c r="EJ49" s="272">
        <f>EJ37+EJ48</f>
        <v>4184109</v>
      </c>
      <c r="EL49" s="272"/>
      <c r="EM49" s="272">
        <f>EM37+EM48</f>
        <v>5325565</v>
      </c>
      <c r="EN49" s="272">
        <f>EN37+EN48</f>
        <v>20984477</v>
      </c>
      <c r="EO49" s="272">
        <f>EO37+EO48</f>
        <v>5133114</v>
      </c>
      <c r="EP49" s="455">
        <f t="shared" si="12"/>
        <v>28168099</v>
      </c>
      <c r="EQ49" s="272">
        <f t="shared" ref="EQ49:EV49" si="44">EQ37+EQ48</f>
        <v>1037024637</v>
      </c>
      <c r="ER49" s="272">
        <f t="shared" si="44"/>
        <v>-132567050</v>
      </c>
      <c r="ES49" s="272">
        <f t="shared" si="44"/>
        <v>382564242</v>
      </c>
      <c r="ET49" s="272">
        <f t="shared" si="44"/>
        <v>257959858</v>
      </c>
      <c r="EU49" s="272">
        <f t="shared" si="44"/>
        <v>95139298</v>
      </c>
      <c r="EV49" s="272">
        <f t="shared" si="44"/>
        <v>164167851</v>
      </c>
      <c r="EW49" s="455">
        <f t="shared" si="13"/>
        <v>43386839</v>
      </c>
      <c r="EX49" s="272">
        <f>EX37+EX48</f>
        <v>43177103</v>
      </c>
      <c r="EY49" s="272">
        <f>EY37+EY48</f>
        <v>2726432</v>
      </c>
      <c r="EZ49" s="272">
        <f>EZ37+EZ48</f>
        <v>40051562</v>
      </c>
      <c r="FA49" s="272">
        <f>FA37+FA48</f>
        <v>209736</v>
      </c>
      <c r="FB49" s="272"/>
      <c r="FC49" s="272">
        <f>FC37+FC48</f>
        <v>151295584</v>
      </c>
      <c r="FD49" s="272">
        <f>FD37+FD48</f>
        <v>108400491</v>
      </c>
      <c r="FE49" s="272">
        <f>FE37+FE48</f>
        <v>42504497</v>
      </c>
      <c r="FF49" s="272">
        <f>FF37+FF48</f>
        <v>179496904</v>
      </c>
      <c r="FG49" s="455">
        <f t="shared" si="14"/>
        <v>42383371</v>
      </c>
      <c r="FH49" s="272">
        <f>FH37+FH48</f>
        <v>1166834580</v>
      </c>
      <c r="FI49" s="384">
        <f t="shared" si="15"/>
        <v>0</v>
      </c>
      <c r="FJ49" s="272">
        <f>FJ37+FJ48</f>
        <v>944909608</v>
      </c>
      <c r="FK49" s="272">
        <f>FK37+FK48</f>
        <v>70073532</v>
      </c>
      <c r="FL49" s="272">
        <f>FL37+FL48</f>
        <v>597816638</v>
      </c>
      <c r="FM49" s="272">
        <f>FM37+FM48</f>
        <v>743186850</v>
      </c>
      <c r="FN49" s="468">
        <v>0.80200000000000005</v>
      </c>
      <c r="FO49" s="469">
        <v>96.7</v>
      </c>
      <c r="FP49" s="469">
        <v>33.799999999999997</v>
      </c>
      <c r="FQ49" s="469">
        <v>9.5</v>
      </c>
      <c r="FR49" s="469">
        <v>15.9</v>
      </c>
      <c r="FS49" s="469">
        <v>13.7</v>
      </c>
      <c r="FT49" s="469">
        <v>10.199999999999999</v>
      </c>
      <c r="FU49" s="469">
        <v>12.4</v>
      </c>
      <c r="FV49" s="469">
        <v>10.3</v>
      </c>
      <c r="FW49" s="272">
        <f>FW37+FW48</f>
        <v>1645767924</v>
      </c>
      <c r="FX49" s="384">
        <f t="shared" si="16"/>
        <v>174.2</v>
      </c>
      <c r="FY49" s="272">
        <f t="shared" ref="FY49:GD49" si="45">FY37+FY48</f>
        <v>272995596</v>
      </c>
      <c r="FZ49" s="272">
        <f t="shared" si="45"/>
        <v>82475448</v>
      </c>
      <c r="GA49" s="272">
        <f t="shared" si="45"/>
        <v>23575002</v>
      </c>
      <c r="GB49" s="272">
        <f t="shared" si="45"/>
        <v>166945146</v>
      </c>
      <c r="GC49" s="272">
        <f t="shared" si="45"/>
        <v>15082819</v>
      </c>
      <c r="GD49" s="272">
        <f t="shared" si="45"/>
        <v>268280979</v>
      </c>
      <c r="GE49" s="465">
        <f>ROUND(GD49/FJ52*100,1)</f>
        <v>29.1</v>
      </c>
      <c r="GF49" s="469">
        <v>97.9</v>
      </c>
      <c r="GG49" s="469">
        <v>21.3</v>
      </c>
      <c r="GH49" s="469">
        <v>91.8</v>
      </c>
      <c r="GI49" s="272">
        <f>GI37+GI48</f>
        <v>38323</v>
      </c>
    </row>
    <row r="50" spans="2:191" x14ac:dyDescent="0.15">
      <c r="C50" s="89"/>
      <c r="E50" s="89"/>
      <c r="F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AI50" s="89"/>
      <c r="AJ50" s="89"/>
      <c r="AK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X50" s="89"/>
      <c r="CY50" s="89"/>
      <c r="EW50" s="272"/>
      <c r="GE50" s="31" t="s">
        <v>647</v>
      </c>
    </row>
    <row r="51" spans="2:191" x14ac:dyDescent="0.15">
      <c r="C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AI51" s="89"/>
      <c r="AJ51" s="89"/>
      <c r="AK51" s="89"/>
      <c r="FJ51" s="394">
        <f>FJ42+FJ45+FJ46+FJ43</f>
        <v>18076468</v>
      </c>
      <c r="FO51" s="33"/>
      <c r="FP51" s="89" t="s">
        <v>816</v>
      </c>
    </row>
    <row r="52" spans="2:191" x14ac:dyDescent="0.15">
      <c r="C52" s="89"/>
      <c r="FJ52" s="394">
        <f>FJ37+FJ51</f>
        <v>921784775</v>
      </c>
    </row>
    <row r="53" spans="2:191" x14ac:dyDescent="0.15">
      <c r="C53" s="89"/>
    </row>
    <row r="54" spans="2:191" x14ac:dyDescent="0.15">
      <c r="C54" s="89"/>
    </row>
    <row r="55" spans="2:191" x14ac:dyDescent="0.15">
      <c r="C55" s="89"/>
    </row>
    <row r="56" spans="2:191" x14ac:dyDescent="0.15">
      <c r="C56" s="89"/>
    </row>
    <row r="57" spans="2:191" x14ac:dyDescent="0.15">
      <c r="C57" s="89"/>
    </row>
  </sheetData>
  <phoneticPr fontId="3"/>
  <pageMargins left="0.75" right="0.75" top="1" bottom="1" header="0.51200000000000001" footer="0.51200000000000001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indexed="15"/>
  </sheetPr>
  <dimension ref="A1:GI58"/>
  <sheetViews>
    <sheetView workbookViewId="0">
      <pane xSplit="2" ySplit="5" topLeftCell="FX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</cols>
  <sheetData>
    <row r="1" spans="2:191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191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830</v>
      </c>
      <c r="O2" s="28" t="s">
        <v>831</v>
      </c>
      <c r="P2" s="28" t="s">
        <v>832</v>
      </c>
      <c r="Q2" s="28" t="s">
        <v>348</v>
      </c>
      <c r="R2" s="28" t="s">
        <v>351</v>
      </c>
      <c r="S2" s="28"/>
      <c r="U2" s="28" t="s">
        <v>794</v>
      </c>
      <c r="V2" s="28"/>
      <c r="W2" s="28"/>
      <c r="X2" s="28" t="s">
        <v>725</v>
      </c>
      <c r="Y2" s="28" t="s">
        <v>354</v>
      </c>
      <c r="Z2" s="28" t="s">
        <v>355</v>
      </c>
      <c r="AA2" s="28" t="s">
        <v>664</v>
      </c>
      <c r="AB2" s="28" t="s">
        <v>357</v>
      </c>
      <c r="AC2" s="28" t="s">
        <v>653</v>
      </c>
      <c r="AD2" s="28" t="s">
        <v>358</v>
      </c>
      <c r="AE2" s="28" t="s">
        <v>359</v>
      </c>
      <c r="AF2" s="28" t="s">
        <v>360</v>
      </c>
      <c r="AG2" s="28" t="s">
        <v>361</v>
      </c>
      <c r="AI2" s="28" t="s">
        <v>362</v>
      </c>
      <c r="AJ2" s="28" t="s">
        <v>668</v>
      </c>
      <c r="AK2" s="28" t="s">
        <v>685</v>
      </c>
      <c r="AL2" s="29"/>
      <c r="AM2" s="28" t="s">
        <v>669</v>
      </c>
      <c r="AN2" s="28" t="s">
        <v>796</v>
      </c>
      <c r="AO2" s="28" t="s">
        <v>727</v>
      </c>
      <c r="AP2" s="28" t="s">
        <v>833</v>
      </c>
      <c r="AQ2" s="28" t="s">
        <v>797</v>
      </c>
      <c r="AR2" s="28" t="s">
        <v>368</v>
      </c>
      <c r="AS2" s="28" t="s">
        <v>374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817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 t="s">
        <v>834</v>
      </c>
      <c r="BR2" s="28" t="s">
        <v>780</v>
      </c>
      <c r="BS2" s="28" t="s">
        <v>818</v>
      </c>
      <c r="BT2" s="28" t="s">
        <v>835</v>
      </c>
      <c r="BU2" s="28" t="s">
        <v>806</v>
      </c>
      <c r="BW2" s="28" t="s">
        <v>402</v>
      </c>
      <c r="BX2" s="28" t="s">
        <v>403</v>
      </c>
      <c r="BY2" s="28" t="s">
        <v>786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836</v>
      </c>
      <c r="CM2" s="28" t="s">
        <v>837</v>
      </c>
      <c r="CN2" s="28" t="s">
        <v>838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820</v>
      </c>
      <c r="CV2" s="28" t="s">
        <v>821</v>
      </c>
      <c r="CX2" s="28" t="s">
        <v>426</v>
      </c>
      <c r="CY2" s="28" t="s">
        <v>812</v>
      </c>
      <c r="DA2" s="28" t="s">
        <v>822</v>
      </c>
      <c r="DB2" s="28" t="s">
        <v>823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824</v>
      </c>
      <c r="DW2" s="28" t="s">
        <v>449</v>
      </c>
      <c r="DX2" s="28" t="s">
        <v>448</v>
      </c>
      <c r="DY2" s="28" t="s">
        <v>451</v>
      </c>
      <c r="DZ2" s="28" t="s">
        <v>825</v>
      </c>
      <c r="EA2" s="28" t="s">
        <v>826</v>
      </c>
      <c r="EB2" s="28" t="s">
        <v>453</v>
      </c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191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827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191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203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191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828</v>
      </c>
      <c r="DX5" s="30" t="s">
        <v>829</v>
      </c>
      <c r="DY5" s="30"/>
      <c r="DZ5" s="30"/>
      <c r="EA5" s="30"/>
      <c r="EB5" s="30"/>
      <c r="EC5" s="30"/>
      <c r="ED5" s="3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191" x14ac:dyDescent="0.15">
      <c r="B6" s="89" t="s">
        <v>5</v>
      </c>
      <c r="C6" s="272">
        <v>24087265</v>
      </c>
      <c r="D6" s="455">
        <f t="shared" ref="D6:D50" si="0">E6+F6</f>
        <v>7261176</v>
      </c>
      <c r="E6" s="272">
        <v>167979</v>
      </c>
      <c r="F6" s="272">
        <v>7093197</v>
      </c>
      <c r="G6" s="455">
        <f t="shared" ref="G6:G50" si="1">H6+I6</f>
        <v>1568944</v>
      </c>
      <c r="H6" s="272">
        <v>419905</v>
      </c>
      <c r="I6" s="272">
        <v>1149039</v>
      </c>
      <c r="J6" s="272">
        <v>11035373</v>
      </c>
      <c r="K6" s="272">
        <v>5435321</v>
      </c>
      <c r="L6" s="272">
        <v>4076215</v>
      </c>
      <c r="M6" s="272">
        <v>1216967</v>
      </c>
      <c r="N6" s="272">
        <v>1725699</v>
      </c>
      <c r="O6" s="272">
        <v>2266474</v>
      </c>
      <c r="P6" s="272">
        <v>1422951</v>
      </c>
      <c r="Q6" s="272">
        <v>843523</v>
      </c>
      <c r="R6" s="272">
        <v>440133</v>
      </c>
      <c r="S6" s="272"/>
      <c r="T6" s="455">
        <f t="shared" ref="T6:T50" si="2">SUM(U6:AA6)</f>
        <v>2491512</v>
      </c>
      <c r="U6" s="272">
        <v>258847</v>
      </c>
      <c r="V6" s="272"/>
      <c r="W6" s="272"/>
      <c r="X6" s="272">
        <v>1788344</v>
      </c>
      <c r="Y6" s="272">
        <v>61069</v>
      </c>
      <c r="Z6" s="272">
        <v>0</v>
      </c>
      <c r="AA6" s="272">
        <v>383252</v>
      </c>
      <c r="AB6" s="272">
        <v>763735</v>
      </c>
      <c r="AC6" s="272">
        <v>11993829</v>
      </c>
      <c r="AD6" s="272">
        <v>11863006</v>
      </c>
      <c r="AE6" s="272">
        <v>130823</v>
      </c>
      <c r="AF6" s="272">
        <v>44313</v>
      </c>
      <c r="AG6" s="272">
        <v>360963</v>
      </c>
      <c r="AH6" s="455">
        <f t="shared" ref="AH6:AH50" si="3">AI6+AJ6</f>
        <v>1880958</v>
      </c>
      <c r="AI6" s="272">
        <v>1686742</v>
      </c>
      <c r="AJ6" s="272">
        <v>194216</v>
      </c>
      <c r="AK6" s="272">
        <v>8434590</v>
      </c>
      <c r="AL6" s="455">
        <f t="shared" ref="AL6:AL50" si="4">SUM(AM6:AP6)</f>
        <v>5243346</v>
      </c>
      <c r="AM6" s="272">
        <v>4257860</v>
      </c>
      <c r="AN6" s="272">
        <v>973837</v>
      </c>
      <c r="AO6" s="272">
        <v>0</v>
      </c>
      <c r="AP6" s="272">
        <v>11649</v>
      </c>
      <c r="AQ6" s="272">
        <v>538173</v>
      </c>
      <c r="AR6" s="272">
        <v>0</v>
      </c>
      <c r="AS6" s="272">
        <v>0</v>
      </c>
      <c r="AT6" s="272">
        <v>2946696</v>
      </c>
      <c r="AU6" s="272">
        <v>1848895</v>
      </c>
      <c r="AV6" s="272">
        <v>486918</v>
      </c>
      <c r="AW6" s="272">
        <v>129003</v>
      </c>
      <c r="AX6" s="272">
        <v>1097801</v>
      </c>
      <c r="AY6" s="272">
        <v>20276</v>
      </c>
      <c r="AZ6" s="272">
        <v>81559</v>
      </c>
      <c r="BA6" s="272">
        <v>31767</v>
      </c>
      <c r="BB6" s="272">
        <v>40593</v>
      </c>
      <c r="BC6" s="272">
        <v>1289652</v>
      </c>
      <c r="BD6" s="272">
        <v>0</v>
      </c>
      <c r="BE6" s="272">
        <v>0</v>
      </c>
      <c r="BF6" s="272">
        <v>352340</v>
      </c>
      <c r="BG6" s="272">
        <v>817128</v>
      </c>
      <c r="BH6" s="272">
        <v>337228</v>
      </c>
      <c r="BI6" s="272">
        <v>192976</v>
      </c>
      <c r="BJ6" s="272">
        <v>1072508</v>
      </c>
      <c r="BK6" s="272">
        <v>65758</v>
      </c>
      <c r="BL6" s="272">
        <v>0</v>
      </c>
      <c r="BM6" s="272">
        <v>364751</v>
      </c>
      <c r="BN6" s="272">
        <v>5542600</v>
      </c>
      <c r="BO6" s="455">
        <f t="shared" ref="BO6:BO50" si="5">BN6-BP6-BT6</f>
        <v>1811200</v>
      </c>
      <c r="BP6" s="455">
        <f t="shared" ref="BP6:BP50" si="6">BQ6+BR6+BS6</f>
        <v>3731400</v>
      </c>
      <c r="BQ6" s="272">
        <v>289400</v>
      </c>
      <c r="BR6" s="272">
        <v>0</v>
      </c>
      <c r="BS6" s="272">
        <v>3442000</v>
      </c>
      <c r="BT6" s="272">
        <v>0</v>
      </c>
      <c r="BU6" s="272">
        <v>61808134</v>
      </c>
      <c r="BV6" s="272"/>
      <c r="BW6" s="272">
        <v>15209256</v>
      </c>
      <c r="BX6" s="272">
        <v>10774106</v>
      </c>
      <c r="BY6" s="272">
        <v>1557673</v>
      </c>
      <c r="BZ6" s="272">
        <v>415318</v>
      </c>
      <c r="CA6" s="272">
        <v>12783896</v>
      </c>
      <c r="CB6" s="272">
        <v>1608377</v>
      </c>
      <c r="CC6" s="272">
        <v>651503</v>
      </c>
      <c r="CD6" s="272">
        <v>4410230</v>
      </c>
      <c r="CE6" s="272">
        <v>5778755</v>
      </c>
      <c r="CF6" s="272">
        <v>530</v>
      </c>
      <c r="CG6" s="272">
        <v>334021</v>
      </c>
      <c r="CH6" s="272">
        <v>8741483</v>
      </c>
      <c r="CI6" s="272">
        <v>6353133</v>
      </c>
      <c r="CJ6" s="455">
        <f t="shared" ref="CJ6:CJ50" si="7">CH6-CI6</f>
        <v>2388350</v>
      </c>
      <c r="CK6" s="272">
        <v>6311728</v>
      </c>
      <c r="CL6" s="272">
        <v>3685302</v>
      </c>
      <c r="CM6" s="272">
        <v>260951</v>
      </c>
      <c r="CN6" s="272">
        <v>930752</v>
      </c>
      <c r="CO6" s="272">
        <v>330027</v>
      </c>
      <c r="CP6" s="272">
        <v>4453990</v>
      </c>
      <c r="CQ6" s="272">
        <v>1273275</v>
      </c>
      <c r="CR6" s="272">
        <v>947430</v>
      </c>
      <c r="CS6" s="272">
        <v>598785</v>
      </c>
      <c r="CT6" s="455">
        <f t="shared" ref="CT6:CT50" si="8">CU6+CV6</f>
        <v>1282283</v>
      </c>
      <c r="CU6" s="272">
        <v>1202936</v>
      </c>
      <c r="CV6" s="272">
        <v>79347</v>
      </c>
      <c r="CW6" s="455">
        <f t="shared" ref="CW6:CW50" si="9">CX6+CY6</f>
        <v>1234000</v>
      </c>
      <c r="CX6" s="272">
        <v>1176450</v>
      </c>
      <c r="CY6" s="272">
        <v>57550</v>
      </c>
      <c r="CZ6" s="455">
        <f t="shared" ref="CZ6:CZ50" si="10">DA6+DB6</f>
        <v>0</v>
      </c>
      <c r="DA6" s="272">
        <v>0</v>
      </c>
      <c r="DB6" s="272">
        <v>0</v>
      </c>
      <c r="DC6" s="272">
        <v>2797438</v>
      </c>
      <c r="DD6" s="272">
        <v>860778</v>
      </c>
      <c r="DE6" s="272">
        <v>1917241</v>
      </c>
      <c r="DF6" s="272">
        <v>8797</v>
      </c>
      <c r="DG6" s="272">
        <v>10622</v>
      </c>
      <c r="DH6" s="272">
        <v>0</v>
      </c>
      <c r="DI6" s="272">
        <v>549123</v>
      </c>
      <c r="DJ6" s="272">
        <v>816</v>
      </c>
      <c r="DK6" s="272">
        <v>661</v>
      </c>
      <c r="DL6" s="272">
        <v>547646</v>
      </c>
      <c r="DM6" s="272">
        <v>0</v>
      </c>
      <c r="DN6" s="272">
        <v>0</v>
      </c>
      <c r="DO6" s="272">
        <v>0</v>
      </c>
      <c r="DP6" s="272">
        <v>0</v>
      </c>
      <c r="DQ6" s="272">
        <v>64100</v>
      </c>
      <c r="DR6" s="272">
        <v>0</v>
      </c>
      <c r="DS6" s="272">
        <v>0</v>
      </c>
      <c r="DT6" s="272">
        <v>10100815</v>
      </c>
      <c r="DU6" s="272">
        <v>5145056</v>
      </c>
      <c r="DV6" s="455">
        <f t="shared" ref="DV6:DV50" si="11">DW6+DX6</f>
        <v>0</v>
      </c>
      <c r="DW6" s="272">
        <v>0</v>
      </c>
      <c r="DX6" s="272">
        <v>0</v>
      </c>
      <c r="DY6" s="272">
        <v>0</v>
      </c>
      <c r="DZ6" s="272">
        <v>1871366</v>
      </c>
      <c r="EA6" s="272">
        <v>952035</v>
      </c>
      <c r="EB6" s="272">
        <v>1292526</v>
      </c>
      <c r="EC6" s="272">
        <v>0</v>
      </c>
      <c r="ED6" s="272">
        <v>61341856</v>
      </c>
      <c r="EF6" s="272">
        <v>466278</v>
      </c>
      <c r="EG6" s="272">
        <v>8558</v>
      </c>
      <c r="EH6" s="272">
        <v>457720</v>
      </c>
      <c r="EI6" s="272">
        <v>264744</v>
      </c>
      <c r="EJ6" s="272">
        <v>357879</v>
      </c>
      <c r="EL6" s="272"/>
      <c r="EM6" s="272">
        <v>202194</v>
      </c>
      <c r="EN6" s="272">
        <v>1132218</v>
      </c>
      <c r="EO6" s="272">
        <v>78887</v>
      </c>
      <c r="EP6" s="455">
        <f t="shared" ref="EP6:EP50" si="12">EQ6-ER6-C6-R6-T6-AB6-AC6-BP6-EN6-EO6</f>
        <v>1866524</v>
      </c>
      <c r="EQ6" s="272">
        <v>39820787</v>
      </c>
      <c r="ER6" s="272">
        <v>-6764716</v>
      </c>
      <c r="ES6" s="272">
        <v>13614662</v>
      </c>
      <c r="ET6" s="272">
        <v>9193878</v>
      </c>
      <c r="EU6" s="272">
        <v>3885703</v>
      </c>
      <c r="EV6" s="272">
        <v>8626801</v>
      </c>
      <c r="EW6" s="455">
        <f t="shared" ref="EW6:EW50" si="13">EX6+FA6+FB6</f>
        <v>562635</v>
      </c>
      <c r="EX6" s="272">
        <v>562635</v>
      </c>
      <c r="EY6" s="272">
        <v>56820</v>
      </c>
      <c r="EZ6" s="272">
        <v>504177</v>
      </c>
      <c r="FA6" s="272">
        <v>0</v>
      </c>
      <c r="FB6" s="272"/>
      <c r="FC6" s="272">
        <v>5273507</v>
      </c>
      <c r="FD6" s="272">
        <v>4206080</v>
      </c>
      <c r="FE6" s="272">
        <v>1273275</v>
      </c>
      <c r="FF6" s="272">
        <v>9391000</v>
      </c>
      <c r="FG6" s="455">
        <f t="shared" ref="FG6:FG50" si="14">FH6-ES6-EU6-EV6-EW6-FC6-FD6-FF6</f>
        <v>558837</v>
      </c>
      <c r="FH6" s="272">
        <v>46119225</v>
      </c>
      <c r="FI6" s="384">
        <f t="shared" ref="FI6:FI50" si="15">ROUND(EH6/FJ6*100,1)</f>
        <v>1.2</v>
      </c>
      <c r="FJ6" s="272">
        <v>37314228</v>
      </c>
      <c r="FK6" s="272">
        <v>3442094</v>
      </c>
      <c r="FL6" s="272">
        <v>19208622</v>
      </c>
      <c r="FM6" s="272">
        <v>31130796</v>
      </c>
      <c r="FN6" s="460">
        <v>0.63400000000000001</v>
      </c>
      <c r="FO6" s="388">
        <v>95.7</v>
      </c>
      <c r="FP6" s="388">
        <v>31.4</v>
      </c>
      <c r="FQ6" s="388">
        <v>9.1999999999999993</v>
      </c>
      <c r="FR6" s="388">
        <v>20.6</v>
      </c>
      <c r="FS6" s="388">
        <v>11.9</v>
      </c>
      <c r="FT6" s="388">
        <v>8</v>
      </c>
      <c r="FU6" s="388">
        <v>13.8</v>
      </c>
      <c r="FV6" s="388">
        <v>13.5</v>
      </c>
      <c r="FW6" s="272">
        <v>91563557</v>
      </c>
      <c r="FX6" s="384">
        <f t="shared" ref="FX6:FX50" si="16">ROUND(FW6/FJ6*100,1)</f>
        <v>245.4</v>
      </c>
      <c r="FY6" s="272">
        <v>4919507</v>
      </c>
      <c r="FZ6" s="272">
        <v>953480</v>
      </c>
      <c r="GA6" s="272">
        <v>1292033</v>
      </c>
      <c r="GB6" s="272">
        <v>2673994</v>
      </c>
      <c r="GC6" s="272"/>
      <c r="GD6" s="272">
        <v>14274812</v>
      </c>
      <c r="GE6" s="384">
        <f t="shared" ref="GE6:GE37" si="17">ROUND(GD6/FJ6*100,1)</f>
        <v>38.299999999999997</v>
      </c>
      <c r="GF6" s="388">
        <v>97.3</v>
      </c>
      <c r="GG6" s="388">
        <v>23.8</v>
      </c>
      <c r="GH6" s="388">
        <v>90.1</v>
      </c>
      <c r="GI6" s="272">
        <v>1517</v>
      </c>
    </row>
    <row r="7" spans="2:191" x14ac:dyDescent="0.15">
      <c r="B7" s="89" t="s">
        <v>7</v>
      </c>
      <c r="C7" s="272">
        <v>61101143</v>
      </c>
      <c r="D7" s="455">
        <f t="shared" si="0"/>
        <v>24766164</v>
      </c>
      <c r="E7" s="272">
        <v>354363</v>
      </c>
      <c r="F7" s="272">
        <v>24411801</v>
      </c>
      <c r="G7" s="455">
        <f t="shared" si="1"/>
        <v>3609953</v>
      </c>
      <c r="H7" s="272">
        <v>974817</v>
      </c>
      <c r="I7" s="272">
        <v>2635136</v>
      </c>
      <c r="J7" s="272">
        <v>23673613</v>
      </c>
      <c r="K7" s="272">
        <v>10686648</v>
      </c>
      <c r="L7" s="272">
        <v>9712085</v>
      </c>
      <c r="M7" s="272">
        <v>2829784</v>
      </c>
      <c r="N7" s="272">
        <v>2198578</v>
      </c>
      <c r="O7" s="272">
        <v>5730898</v>
      </c>
      <c r="P7" s="272">
        <v>3505946</v>
      </c>
      <c r="Q7" s="272">
        <v>2224952</v>
      </c>
      <c r="R7" s="272">
        <v>2732448</v>
      </c>
      <c r="S7" s="272"/>
      <c r="T7" s="455">
        <f t="shared" si="2"/>
        <v>4776843</v>
      </c>
      <c r="U7" s="272">
        <v>787241</v>
      </c>
      <c r="V7" s="272"/>
      <c r="W7" s="272"/>
      <c r="X7" s="272">
        <v>3308897</v>
      </c>
      <c r="Y7" s="272">
        <v>0</v>
      </c>
      <c r="Z7" s="272">
        <v>0</v>
      </c>
      <c r="AA7" s="272">
        <v>680705</v>
      </c>
      <c r="AB7" s="272">
        <v>2706979</v>
      </c>
      <c r="AC7" s="272">
        <v>2756221</v>
      </c>
      <c r="AD7" s="272">
        <v>2222011</v>
      </c>
      <c r="AE7" s="272">
        <v>534210</v>
      </c>
      <c r="AF7" s="272">
        <v>68806</v>
      </c>
      <c r="AG7" s="272">
        <v>724098</v>
      </c>
      <c r="AH7" s="455">
        <f t="shared" si="3"/>
        <v>2642639</v>
      </c>
      <c r="AI7" s="272">
        <v>2380625</v>
      </c>
      <c r="AJ7" s="272">
        <v>262014</v>
      </c>
      <c r="AK7" s="272">
        <v>15618555</v>
      </c>
      <c r="AL7" s="455">
        <f t="shared" si="4"/>
        <v>10783997</v>
      </c>
      <c r="AM7" s="272">
        <v>7746879</v>
      </c>
      <c r="AN7" s="272">
        <v>2948720</v>
      </c>
      <c r="AO7" s="272">
        <v>0</v>
      </c>
      <c r="AP7" s="272">
        <v>88398</v>
      </c>
      <c r="AQ7" s="272">
        <v>1150272</v>
      </c>
      <c r="AR7" s="272">
        <v>0</v>
      </c>
      <c r="AS7" s="272">
        <v>0</v>
      </c>
      <c r="AT7" s="272">
        <v>5199324</v>
      </c>
      <c r="AU7" s="272">
        <v>2907929</v>
      </c>
      <c r="AV7" s="272">
        <v>508474</v>
      </c>
      <c r="AW7" s="272">
        <v>53955</v>
      </c>
      <c r="AX7" s="272">
        <v>2291395</v>
      </c>
      <c r="AY7" s="272">
        <v>97492</v>
      </c>
      <c r="AZ7" s="272">
        <v>1030532</v>
      </c>
      <c r="BA7" s="272">
        <v>987603</v>
      </c>
      <c r="BB7" s="272">
        <v>449481</v>
      </c>
      <c r="BC7" s="272">
        <v>3095959</v>
      </c>
      <c r="BD7" s="272">
        <v>0</v>
      </c>
      <c r="BE7" s="272">
        <v>0</v>
      </c>
      <c r="BF7" s="272">
        <v>88673</v>
      </c>
      <c r="BG7" s="272">
        <v>2683691</v>
      </c>
      <c r="BH7" s="272">
        <v>0</v>
      </c>
      <c r="BI7" s="272">
        <v>0</v>
      </c>
      <c r="BJ7" s="272">
        <v>2989966</v>
      </c>
      <c r="BK7" s="272">
        <v>1968764</v>
      </c>
      <c r="BL7" s="272">
        <v>0</v>
      </c>
      <c r="BM7" s="272">
        <v>78348</v>
      </c>
      <c r="BN7" s="272">
        <v>9374400</v>
      </c>
      <c r="BO7" s="455">
        <f t="shared" si="5"/>
        <v>2070500</v>
      </c>
      <c r="BP7" s="455">
        <f t="shared" si="6"/>
        <v>7303900</v>
      </c>
      <c r="BQ7" s="272">
        <v>946800</v>
      </c>
      <c r="BR7" s="272">
        <v>0</v>
      </c>
      <c r="BS7" s="272">
        <v>6357100</v>
      </c>
      <c r="BT7" s="272">
        <v>0</v>
      </c>
      <c r="BU7" s="272">
        <v>115267394</v>
      </c>
      <c r="BV7" s="272"/>
      <c r="BW7" s="272">
        <v>33420290</v>
      </c>
      <c r="BX7" s="272">
        <v>23069655</v>
      </c>
      <c r="BY7" s="272">
        <v>3822029</v>
      </c>
      <c r="BZ7" s="272">
        <v>1465617</v>
      </c>
      <c r="CA7" s="272">
        <v>19895977</v>
      </c>
      <c r="CB7" s="272">
        <v>2484411</v>
      </c>
      <c r="CC7" s="272">
        <v>1396197</v>
      </c>
      <c r="CD7" s="272">
        <v>4938407</v>
      </c>
      <c r="CE7" s="272">
        <v>10626162</v>
      </c>
      <c r="CF7" s="272">
        <v>10</v>
      </c>
      <c r="CG7" s="272">
        <v>449153</v>
      </c>
      <c r="CH7" s="272">
        <v>13430735</v>
      </c>
      <c r="CI7" s="272">
        <v>10104450</v>
      </c>
      <c r="CJ7" s="455">
        <f t="shared" si="7"/>
        <v>3326285</v>
      </c>
      <c r="CK7" s="272">
        <v>11425921</v>
      </c>
      <c r="CL7" s="272">
        <v>5063166</v>
      </c>
      <c r="CM7" s="272">
        <v>678950</v>
      </c>
      <c r="CN7" s="272">
        <v>2897182</v>
      </c>
      <c r="CO7" s="272">
        <v>863013</v>
      </c>
      <c r="CP7" s="272">
        <v>12956326</v>
      </c>
      <c r="CQ7" s="272">
        <v>2915171</v>
      </c>
      <c r="CR7" s="272">
        <v>4175617</v>
      </c>
      <c r="CS7" s="272">
        <v>2825230</v>
      </c>
      <c r="CT7" s="455">
        <f t="shared" si="8"/>
        <v>1335835</v>
      </c>
      <c r="CU7" s="272">
        <v>1078537</v>
      </c>
      <c r="CV7" s="272">
        <v>257298</v>
      </c>
      <c r="CW7" s="455">
        <f t="shared" si="9"/>
        <v>1164883</v>
      </c>
      <c r="CX7" s="272">
        <v>1043435</v>
      </c>
      <c r="CY7" s="272">
        <v>121448</v>
      </c>
      <c r="CZ7" s="455">
        <f t="shared" si="10"/>
        <v>0</v>
      </c>
      <c r="DA7" s="272">
        <v>0</v>
      </c>
      <c r="DB7" s="272">
        <v>0</v>
      </c>
      <c r="DC7" s="272">
        <v>7144425</v>
      </c>
      <c r="DD7" s="272">
        <v>2333301</v>
      </c>
      <c r="DE7" s="272">
        <v>4773015</v>
      </c>
      <c r="DF7" s="272">
        <v>38109</v>
      </c>
      <c r="DG7" s="272">
        <v>0</v>
      </c>
      <c r="DH7" s="272">
        <v>0</v>
      </c>
      <c r="DI7" s="272">
        <v>164577</v>
      </c>
      <c r="DJ7" s="272">
        <v>3</v>
      </c>
      <c r="DK7" s="272">
        <v>35429</v>
      </c>
      <c r="DL7" s="272">
        <v>129145</v>
      </c>
      <c r="DM7" s="272">
        <v>412886</v>
      </c>
      <c r="DN7" s="272">
        <v>412886</v>
      </c>
      <c r="DO7" s="272">
        <v>59157</v>
      </c>
      <c r="DP7" s="272">
        <v>353729</v>
      </c>
      <c r="DQ7" s="272">
        <v>1872248</v>
      </c>
      <c r="DR7" s="272">
        <v>0</v>
      </c>
      <c r="DS7" s="272">
        <v>0</v>
      </c>
      <c r="DT7" s="272">
        <v>13677120</v>
      </c>
      <c r="DU7" s="272">
        <v>4450000</v>
      </c>
      <c r="DV7" s="455">
        <f t="shared" si="11"/>
        <v>0</v>
      </c>
      <c r="DW7" s="272">
        <v>0</v>
      </c>
      <c r="DX7" s="272">
        <v>0</v>
      </c>
      <c r="DY7" s="272">
        <v>0</v>
      </c>
      <c r="DZ7" s="272">
        <v>4563552</v>
      </c>
      <c r="EA7" s="272">
        <v>1531732</v>
      </c>
      <c r="EB7" s="272">
        <v>2044409</v>
      </c>
      <c r="EC7" s="272">
        <v>2232988</v>
      </c>
      <c r="ED7" s="272">
        <v>117496506</v>
      </c>
      <c r="EF7" s="272">
        <v>-2229112</v>
      </c>
      <c r="EG7" s="272">
        <v>517769</v>
      </c>
      <c r="EH7" s="272">
        <v>-2746881</v>
      </c>
      <c r="EI7" s="272">
        <v>-156288</v>
      </c>
      <c r="EJ7" s="272">
        <v>-156285</v>
      </c>
      <c r="EL7" s="272"/>
      <c r="EM7" s="272">
        <v>387223</v>
      </c>
      <c r="EN7" s="272">
        <v>2683691</v>
      </c>
      <c r="EO7" s="272">
        <v>1023576</v>
      </c>
      <c r="EP7" s="455">
        <f t="shared" si="12"/>
        <v>1950149</v>
      </c>
      <c r="EQ7" s="272">
        <v>74142440</v>
      </c>
      <c r="ER7" s="272">
        <v>-12892510</v>
      </c>
      <c r="ES7" s="272">
        <v>30851836</v>
      </c>
      <c r="ET7" s="272">
        <v>20869009</v>
      </c>
      <c r="EU7" s="272">
        <v>6401090</v>
      </c>
      <c r="EV7" s="272">
        <v>13220089</v>
      </c>
      <c r="EW7" s="455">
        <f t="shared" si="13"/>
        <v>3493522</v>
      </c>
      <c r="EX7" s="272">
        <v>3493522</v>
      </c>
      <c r="EY7" s="272">
        <v>332535</v>
      </c>
      <c r="EZ7" s="272">
        <v>3122878</v>
      </c>
      <c r="FA7" s="272">
        <v>0</v>
      </c>
      <c r="FB7" s="272"/>
      <c r="FC7" s="272">
        <v>8582916</v>
      </c>
      <c r="FD7" s="272">
        <v>11248950</v>
      </c>
      <c r="FE7" s="272">
        <v>2915171</v>
      </c>
      <c r="FF7" s="272">
        <v>12102041</v>
      </c>
      <c r="FG7" s="455">
        <f t="shared" si="14"/>
        <v>3383507</v>
      </c>
      <c r="FH7" s="272">
        <v>89283951</v>
      </c>
      <c r="FI7" s="384">
        <f t="shared" si="15"/>
        <v>-4</v>
      </c>
      <c r="FJ7" s="272">
        <v>67856648</v>
      </c>
      <c r="FK7" s="272">
        <v>6357125</v>
      </c>
      <c r="FL7" s="272">
        <v>49966846</v>
      </c>
      <c r="FM7" s="272">
        <v>52261931</v>
      </c>
      <c r="FN7" s="460">
        <v>0.95699999999999996</v>
      </c>
      <c r="FO7" s="388">
        <v>101.3</v>
      </c>
      <c r="FP7" s="388">
        <v>39.200000000000003</v>
      </c>
      <c r="FQ7" s="388">
        <v>8.4</v>
      </c>
      <c r="FR7" s="388">
        <v>17.5</v>
      </c>
      <c r="FS7" s="388">
        <v>11.1</v>
      </c>
      <c r="FT7" s="388">
        <v>12.3</v>
      </c>
      <c r="FU7" s="388">
        <v>11.8</v>
      </c>
      <c r="FV7" s="388">
        <v>11.9</v>
      </c>
      <c r="FW7" s="272">
        <v>126660482</v>
      </c>
      <c r="FX7" s="384">
        <f t="shared" si="16"/>
        <v>186.7</v>
      </c>
      <c r="FY7" s="272">
        <v>7796613</v>
      </c>
      <c r="FZ7" s="272">
        <v>9269</v>
      </c>
      <c r="GA7" s="272">
        <v>345369</v>
      </c>
      <c r="GB7" s="272">
        <v>7441975</v>
      </c>
      <c r="GC7" s="272">
        <v>4723019</v>
      </c>
      <c r="GD7" s="272">
        <v>24406833</v>
      </c>
      <c r="GE7" s="384">
        <f t="shared" si="17"/>
        <v>36</v>
      </c>
      <c r="GF7" s="388">
        <v>97.8</v>
      </c>
      <c r="GG7" s="388">
        <v>15.4</v>
      </c>
      <c r="GH7" s="388">
        <v>89.5</v>
      </c>
      <c r="GI7" s="272">
        <v>3154</v>
      </c>
    </row>
    <row r="8" spans="2:191" x14ac:dyDescent="0.15">
      <c r="B8" s="89" t="s">
        <v>9</v>
      </c>
      <c r="C8" s="272">
        <v>16220229</v>
      </c>
      <c r="D8" s="455">
        <f t="shared" si="0"/>
        <v>6135300</v>
      </c>
      <c r="E8" s="272">
        <v>94589</v>
      </c>
      <c r="F8" s="272">
        <v>6040711</v>
      </c>
      <c r="G8" s="455">
        <f t="shared" si="1"/>
        <v>1276435</v>
      </c>
      <c r="H8" s="272">
        <v>249774</v>
      </c>
      <c r="I8" s="272">
        <v>1026661</v>
      </c>
      <c r="J8" s="272">
        <v>6657766</v>
      </c>
      <c r="K8" s="272">
        <v>3233440</v>
      </c>
      <c r="L8" s="272">
        <v>2346950</v>
      </c>
      <c r="M8" s="272">
        <v>988484</v>
      </c>
      <c r="N8" s="272">
        <v>575164</v>
      </c>
      <c r="O8" s="272">
        <v>1507517</v>
      </c>
      <c r="P8" s="272">
        <v>991070</v>
      </c>
      <c r="Q8" s="272">
        <v>516447</v>
      </c>
      <c r="R8" s="272">
        <v>270191</v>
      </c>
      <c r="S8" s="272"/>
      <c r="T8" s="455">
        <f t="shared" si="2"/>
        <v>1443443</v>
      </c>
      <c r="U8" s="272">
        <v>192928</v>
      </c>
      <c r="V8" s="272"/>
      <c r="W8" s="272"/>
      <c r="X8" s="272">
        <v>974177</v>
      </c>
      <c r="Y8" s="272">
        <v>89255</v>
      </c>
      <c r="Z8" s="272">
        <v>0</v>
      </c>
      <c r="AA8" s="272">
        <v>187083</v>
      </c>
      <c r="AB8" s="272">
        <v>681806</v>
      </c>
      <c r="AC8" s="272">
        <v>1513265</v>
      </c>
      <c r="AD8" s="272">
        <v>1042215</v>
      </c>
      <c r="AE8" s="272">
        <v>471050</v>
      </c>
      <c r="AF8" s="272">
        <v>19770</v>
      </c>
      <c r="AG8" s="272">
        <v>133122</v>
      </c>
      <c r="AH8" s="455">
        <f t="shared" si="3"/>
        <v>877739</v>
      </c>
      <c r="AI8" s="272">
        <v>713715</v>
      </c>
      <c r="AJ8" s="272">
        <v>164024</v>
      </c>
      <c r="AK8" s="272">
        <v>2675272</v>
      </c>
      <c r="AL8" s="455">
        <f t="shared" si="4"/>
        <v>1103146</v>
      </c>
      <c r="AM8" s="272">
        <v>766929</v>
      </c>
      <c r="AN8" s="272">
        <v>317027</v>
      </c>
      <c r="AO8" s="272">
        <v>0</v>
      </c>
      <c r="AP8" s="272">
        <v>19190</v>
      </c>
      <c r="AQ8" s="272">
        <v>442309</v>
      </c>
      <c r="AR8" s="272">
        <v>0</v>
      </c>
      <c r="AS8" s="272">
        <v>0</v>
      </c>
      <c r="AT8" s="272">
        <v>1428987</v>
      </c>
      <c r="AU8" s="272">
        <v>851289</v>
      </c>
      <c r="AV8" s="272">
        <v>216301</v>
      </c>
      <c r="AW8" s="272">
        <v>39931</v>
      </c>
      <c r="AX8" s="272">
        <v>577698</v>
      </c>
      <c r="AY8" s="272">
        <v>18838</v>
      </c>
      <c r="AZ8" s="272">
        <v>284203</v>
      </c>
      <c r="BA8" s="272">
        <v>268144</v>
      </c>
      <c r="BB8" s="272">
        <v>86956</v>
      </c>
      <c r="BC8" s="272">
        <v>214241</v>
      </c>
      <c r="BD8" s="272">
        <v>0</v>
      </c>
      <c r="BE8" s="272">
        <v>0</v>
      </c>
      <c r="BF8" s="272">
        <v>214241</v>
      </c>
      <c r="BG8" s="272">
        <v>0</v>
      </c>
      <c r="BH8" s="272">
        <v>173707</v>
      </c>
      <c r="BI8" s="272">
        <v>110815</v>
      </c>
      <c r="BJ8" s="272">
        <v>2659390</v>
      </c>
      <c r="BK8" s="272">
        <v>2364324</v>
      </c>
      <c r="BL8" s="272">
        <v>14726</v>
      </c>
      <c r="BM8" s="272">
        <v>57755</v>
      </c>
      <c r="BN8" s="272">
        <v>3621530</v>
      </c>
      <c r="BO8" s="455">
        <f t="shared" si="5"/>
        <v>1315530</v>
      </c>
      <c r="BP8" s="455">
        <f t="shared" si="6"/>
        <v>2306000</v>
      </c>
      <c r="BQ8" s="272">
        <v>289900</v>
      </c>
      <c r="BR8" s="272">
        <v>0</v>
      </c>
      <c r="BS8" s="272">
        <v>2016100</v>
      </c>
      <c r="BT8" s="272">
        <v>0</v>
      </c>
      <c r="BU8" s="272">
        <v>32303851</v>
      </c>
      <c r="BV8" s="272"/>
      <c r="BW8" s="272">
        <v>9610093</v>
      </c>
      <c r="BX8" s="272">
        <v>6526537</v>
      </c>
      <c r="BY8" s="272">
        <v>1247660</v>
      </c>
      <c r="BZ8" s="272">
        <v>253384</v>
      </c>
      <c r="CA8" s="272">
        <v>3561680</v>
      </c>
      <c r="CB8" s="272">
        <v>926612</v>
      </c>
      <c r="CC8" s="272">
        <v>193555</v>
      </c>
      <c r="CD8" s="272">
        <v>1344014</v>
      </c>
      <c r="CE8" s="272">
        <v>1043049</v>
      </c>
      <c r="CF8" s="272">
        <v>2686</v>
      </c>
      <c r="CG8" s="272">
        <v>49664</v>
      </c>
      <c r="CH8" s="272">
        <v>3718962</v>
      </c>
      <c r="CI8" s="272">
        <v>2766975</v>
      </c>
      <c r="CJ8" s="455">
        <f t="shared" si="7"/>
        <v>951987</v>
      </c>
      <c r="CK8" s="272">
        <v>4703448</v>
      </c>
      <c r="CL8" s="272">
        <v>2936162</v>
      </c>
      <c r="CM8" s="272">
        <v>296330</v>
      </c>
      <c r="CN8" s="272">
        <v>650673</v>
      </c>
      <c r="CO8" s="272">
        <v>191610</v>
      </c>
      <c r="CP8" s="272">
        <v>1833919</v>
      </c>
      <c r="CQ8" s="272">
        <v>0</v>
      </c>
      <c r="CR8" s="272">
        <v>687077</v>
      </c>
      <c r="CS8" s="272">
        <v>452922</v>
      </c>
      <c r="CT8" s="455">
        <f t="shared" si="8"/>
        <v>737235</v>
      </c>
      <c r="CU8" s="272">
        <v>624883</v>
      </c>
      <c r="CV8" s="272">
        <v>112352</v>
      </c>
      <c r="CW8" s="455">
        <f t="shared" si="9"/>
        <v>711389</v>
      </c>
      <c r="CX8" s="272">
        <v>621053</v>
      </c>
      <c r="CY8" s="272">
        <v>90336</v>
      </c>
      <c r="CZ8" s="455">
        <f t="shared" si="10"/>
        <v>0</v>
      </c>
      <c r="DA8" s="272">
        <v>0</v>
      </c>
      <c r="DB8" s="272">
        <v>0</v>
      </c>
      <c r="DC8" s="272">
        <v>2812305</v>
      </c>
      <c r="DD8" s="272">
        <v>1056800</v>
      </c>
      <c r="DE8" s="272">
        <v>1740779</v>
      </c>
      <c r="DF8" s="272">
        <v>0</v>
      </c>
      <c r="DG8" s="272">
        <v>14726</v>
      </c>
      <c r="DH8" s="272">
        <v>4883</v>
      </c>
      <c r="DI8" s="272">
        <v>100865</v>
      </c>
      <c r="DJ8" s="272">
        <v>346</v>
      </c>
      <c r="DK8" s="272">
        <v>0</v>
      </c>
      <c r="DL8" s="272">
        <v>100519</v>
      </c>
      <c r="DM8" s="272">
        <v>337659</v>
      </c>
      <c r="DN8" s="272">
        <v>337659</v>
      </c>
      <c r="DO8" s="272">
        <v>68260</v>
      </c>
      <c r="DP8" s="272">
        <v>269399</v>
      </c>
      <c r="DQ8" s="272">
        <v>2367870</v>
      </c>
      <c r="DR8" s="272">
        <v>0</v>
      </c>
      <c r="DS8" s="272">
        <v>0</v>
      </c>
      <c r="DT8" s="272">
        <v>2897465</v>
      </c>
      <c r="DU8" s="272">
        <v>1053375</v>
      </c>
      <c r="DV8" s="455">
        <f t="shared" si="11"/>
        <v>0</v>
      </c>
      <c r="DW8" s="272">
        <v>0</v>
      </c>
      <c r="DX8" s="272">
        <v>0</v>
      </c>
      <c r="DY8" s="272">
        <v>4714</v>
      </c>
      <c r="DZ8" s="272">
        <v>848319</v>
      </c>
      <c r="EA8" s="272">
        <v>428545</v>
      </c>
      <c r="EB8" s="272">
        <v>562512</v>
      </c>
      <c r="EC8" s="272">
        <v>0</v>
      </c>
      <c r="ED8" s="272">
        <v>32140759</v>
      </c>
      <c r="EF8" s="272">
        <v>163092</v>
      </c>
      <c r="EG8" s="272">
        <v>14542</v>
      </c>
      <c r="EH8" s="272">
        <v>148550</v>
      </c>
      <c r="EI8" s="272">
        <v>-92265</v>
      </c>
      <c r="EJ8" s="272">
        <v>-91919</v>
      </c>
      <c r="EL8" s="272"/>
      <c r="EM8" s="272">
        <v>99340</v>
      </c>
      <c r="EN8" s="272">
        <v>0</v>
      </c>
      <c r="EO8" s="272">
        <v>276708</v>
      </c>
      <c r="EP8" s="455">
        <f t="shared" si="12"/>
        <v>421718</v>
      </c>
      <c r="EQ8" s="272">
        <v>20148704</v>
      </c>
      <c r="ER8" s="272">
        <v>-2984656</v>
      </c>
      <c r="ES8" s="272">
        <v>8891334</v>
      </c>
      <c r="ET8" s="272">
        <v>5876118</v>
      </c>
      <c r="EU8" s="272">
        <v>1243501</v>
      </c>
      <c r="EV8" s="272">
        <v>3717359</v>
      </c>
      <c r="EW8" s="455">
        <f t="shared" si="13"/>
        <v>932700</v>
      </c>
      <c r="EX8" s="272">
        <v>927817</v>
      </c>
      <c r="EY8" s="272">
        <v>32029</v>
      </c>
      <c r="EZ8" s="272">
        <v>895788</v>
      </c>
      <c r="FA8" s="272">
        <v>4883</v>
      </c>
      <c r="FB8" s="272"/>
      <c r="FC8" s="272">
        <v>3612501</v>
      </c>
      <c r="FD8" s="272">
        <v>1616776</v>
      </c>
      <c r="FE8" s="272">
        <v>0</v>
      </c>
      <c r="FF8" s="272">
        <v>2610611</v>
      </c>
      <c r="FG8" s="455">
        <f t="shared" si="14"/>
        <v>345486</v>
      </c>
      <c r="FH8" s="272">
        <v>22970268</v>
      </c>
      <c r="FI8" s="384">
        <f t="shared" si="15"/>
        <v>0.8</v>
      </c>
      <c r="FJ8" s="272">
        <v>18166145</v>
      </c>
      <c r="FK8" s="272">
        <v>2016105</v>
      </c>
      <c r="FL8" s="272">
        <v>12918007</v>
      </c>
      <c r="FM8" s="272">
        <v>13986805</v>
      </c>
      <c r="FN8" s="460">
        <v>0.93</v>
      </c>
      <c r="FO8" s="388">
        <v>102.2</v>
      </c>
      <c r="FP8" s="388">
        <v>42.2</v>
      </c>
      <c r="FQ8" s="388">
        <v>6</v>
      </c>
      <c r="FR8" s="388">
        <v>18</v>
      </c>
      <c r="FS8" s="388">
        <v>16.899999999999999</v>
      </c>
      <c r="FT8" s="388">
        <v>7</v>
      </c>
      <c r="FU8" s="388">
        <v>11.3</v>
      </c>
      <c r="FV8" s="388">
        <v>12.3</v>
      </c>
      <c r="FW8" s="272">
        <v>35593773</v>
      </c>
      <c r="FX8" s="384">
        <f t="shared" si="16"/>
        <v>195.9</v>
      </c>
      <c r="FY8" s="272">
        <v>2402026</v>
      </c>
      <c r="FZ8" s="272">
        <v>1111713</v>
      </c>
      <c r="GA8" s="272"/>
      <c r="GB8" s="272">
        <v>1290313</v>
      </c>
      <c r="GC8" s="272"/>
      <c r="GD8" s="272">
        <v>5037454</v>
      </c>
      <c r="GE8" s="384">
        <f t="shared" si="17"/>
        <v>27.7</v>
      </c>
      <c r="GF8" s="388">
        <v>98</v>
      </c>
      <c r="GG8" s="388">
        <v>19.5</v>
      </c>
      <c r="GH8" s="388">
        <v>91.7</v>
      </c>
      <c r="GI8" s="272">
        <v>913</v>
      </c>
    </row>
    <row r="9" spans="2:191" x14ac:dyDescent="0.15">
      <c r="B9" s="89" t="s">
        <v>11</v>
      </c>
      <c r="C9" s="272">
        <v>61237461</v>
      </c>
      <c r="D9" s="455">
        <f t="shared" si="0"/>
        <v>23094302</v>
      </c>
      <c r="E9" s="272">
        <v>328418</v>
      </c>
      <c r="F9" s="272">
        <v>22765884</v>
      </c>
      <c r="G9" s="455">
        <f t="shared" si="1"/>
        <v>4970780</v>
      </c>
      <c r="H9" s="272">
        <v>1033106</v>
      </c>
      <c r="I9" s="272">
        <v>3937674</v>
      </c>
      <c r="J9" s="272">
        <v>24406231</v>
      </c>
      <c r="K9" s="272">
        <v>10792185</v>
      </c>
      <c r="L9" s="272">
        <v>9975917</v>
      </c>
      <c r="M9" s="272">
        <v>3126768</v>
      </c>
      <c r="N9" s="272">
        <v>1891329</v>
      </c>
      <c r="O9" s="272">
        <v>5672256</v>
      </c>
      <c r="P9" s="272">
        <v>3336792</v>
      </c>
      <c r="Q9" s="272">
        <v>2335464</v>
      </c>
      <c r="R9" s="272">
        <v>686877</v>
      </c>
      <c r="S9" s="272"/>
      <c r="T9" s="455">
        <f t="shared" si="2"/>
        <v>4498168</v>
      </c>
      <c r="U9" s="272">
        <v>709257</v>
      </c>
      <c r="V9" s="272"/>
      <c r="W9" s="272"/>
      <c r="X9" s="272">
        <v>3183691</v>
      </c>
      <c r="Y9" s="272">
        <v>0</v>
      </c>
      <c r="Z9" s="272">
        <v>149</v>
      </c>
      <c r="AA9" s="272">
        <v>605071</v>
      </c>
      <c r="AB9" s="272">
        <v>2691321</v>
      </c>
      <c r="AC9" s="272">
        <v>200183</v>
      </c>
      <c r="AD9" s="272">
        <v>0</v>
      </c>
      <c r="AE9" s="272">
        <v>200183</v>
      </c>
      <c r="AF9" s="272">
        <v>62584</v>
      </c>
      <c r="AG9" s="272">
        <v>965086</v>
      </c>
      <c r="AH9" s="455">
        <f t="shared" si="3"/>
        <v>2541518</v>
      </c>
      <c r="AI9" s="272">
        <v>2146363</v>
      </c>
      <c r="AJ9" s="272">
        <v>395155</v>
      </c>
      <c r="AK9" s="272">
        <v>11090495</v>
      </c>
      <c r="AL9" s="455">
        <f t="shared" si="4"/>
        <v>6406250</v>
      </c>
      <c r="AM9" s="272">
        <v>5455739</v>
      </c>
      <c r="AN9" s="272">
        <v>918730</v>
      </c>
      <c r="AO9" s="272">
        <v>0</v>
      </c>
      <c r="AP9" s="272">
        <v>31781</v>
      </c>
      <c r="AQ9" s="272">
        <v>819195</v>
      </c>
      <c r="AR9" s="272">
        <v>0</v>
      </c>
      <c r="AS9" s="272">
        <v>0</v>
      </c>
      <c r="AT9" s="272">
        <v>4939433</v>
      </c>
      <c r="AU9" s="272">
        <v>2487012</v>
      </c>
      <c r="AV9" s="272">
        <v>463131</v>
      </c>
      <c r="AW9" s="272">
        <v>108820</v>
      </c>
      <c r="AX9" s="272">
        <v>2452421</v>
      </c>
      <c r="AY9" s="272">
        <v>305779</v>
      </c>
      <c r="AZ9" s="272">
        <v>186604</v>
      </c>
      <c r="BA9" s="272">
        <v>162867</v>
      </c>
      <c r="BB9" s="272">
        <v>12866</v>
      </c>
      <c r="BC9" s="272">
        <v>988317</v>
      </c>
      <c r="BD9" s="272">
        <v>700000</v>
      </c>
      <c r="BE9" s="272">
        <v>0</v>
      </c>
      <c r="BF9" s="272">
        <v>262000</v>
      </c>
      <c r="BG9" s="272">
        <v>0</v>
      </c>
      <c r="BH9" s="272">
        <v>314490</v>
      </c>
      <c r="BI9" s="272">
        <v>83407</v>
      </c>
      <c r="BJ9" s="272">
        <v>1966117</v>
      </c>
      <c r="BK9" s="272">
        <v>1138565</v>
      </c>
      <c r="BL9" s="272">
        <v>265810</v>
      </c>
      <c r="BM9" s="272">
        <v>78899</v>
      </c>
      <c r="BN9" s="272">
        <v>10079600</v>
      </c>
      <c r="BO9" s="455">
        <f t="shared" si="5"/>
        <v>3427600</v>
      </c>
      <c r="BP9" s="455">
        <f t="shared" si="6"/>
        <v>6652000</v>
      </c>
      <c r="BQ9" s="272">
        <v>1052000</v>
      </c>
      <c r="BR9" s="272">
        <v>0</v>
      </c>
      <c r="BS9" s="272">
        <v>5600000</v>
      </c>
      <c r="BT9" s="272">
        <v>0</v>
      </c>
      <c r="BU9" s="272">
        <v>102461120</v>
      </c>
      <c r="BV9" s="272"/>
      <c r="BW9" s="272">
        <v>30329984</v>
      </c>
      <c r="BX9" s="272">
        <v>20799527</v>
      </c>
      <c r="BY9" s="272">
        <v>3331918</v>
      </c>
      <c r="BZ9" s="272">
        <v>1599226</v>
      </c>
      <c r="CA9" s="272">
        <v>18407915</v>
      </c>
      <c r="CB9" s="272">
        <v>3237221</v>
      </c>
      <c r="CC9" s="272">
        <v>1209887</v>
      </c>
      <c r="CD9" s="272">
        <v>5581421</v>
      </c>
      <c r="CE9" s="272">
        <v>7455346</v>
      </c>
      <c r="CF9" s="272">
        <v>463579</v>
      </c>
      <c r="CG9" s="272">
        <v>460461</v>
      </c>
      <c r="CH9" s="272">
        <v>8319849</v>
      </c>
      <c r="CI9" s="272">
        <v>6204832</v>
      </c>
      <c r="CJ9" s="455">
        <f t="shared" si="7"/>
        <v>2115017</v>
      </c>
      <c r="CK9" s="272">
        <v>14319006</v>
      </c>
      <c r="CL9" s="272">
        <v>8645790</v>
      </c>
      <c r="CM9" s="272">
        <v>710313</v>
      </c>
      <c r="CN9" s="272">
        <v>2770299</v>
      </c>
      <c r="CO9" s="272">
        <v>3124734</v>
      </c>
      <c r="CP9" s="272">
        <v>4823062</v>
      </c>
      <c r="CQ9" s="272">
        <v>1211</v>
      </c>
      <c r="CR9" s="272">
        <v>2685862</v>
      </c>
      <c r="CS9" s="272">
        <v>1911932</v>
      </c>
      <c r="CT9" s="455">
        <f t="shared" si="8"/>
        <v>1123457</v>
      </c>
      <c r="CU9" s="272">
        <v>755573</v>
      </c>
      <c r="CV9" s="272">
        <v>367884</v>
      </c>
      <c r="CW9" s="455">
        <f t="shared" si="9"/>
        <v>1099820</v>
      </c>
      <c r="CX9" s="272">
        <v>731936</v>
      </c>
      <c r="CY9" s="272">
        <v>367884</v>
      </c>
      <c r="CZ9" s="455">
        <f t="shared" si="10"/>
        <v>0</v>
      </c>
      <c r="DA9" s="272">
        <v>0</v>
      </c>
      <c r="DB9" s="272">
        <v>0</v>
      </c>
      <c r="DC9" s="272">
        <v>8416590</v>
      </c>
      <c r="DD9" s="272">
        <v>2009605</v>
      </c>
      <c r="DE9" s="272">
        <v>5946704</v>
      </c>
      <c r="DF9" s="272">
        <v>5270</v>
      </c>
      <c r="DG9" s="272">
        <v>455011</v>
      </c>
      <c r="DH9" s="272">
        <v>0</v>
      </c>
      <c r="DI9" s="272">
        <v>1328193</v>
      </c>
      <c r="DJ9" s="272">
        <v>20572</v>
      </c>
      <c r="DK9" s="272">
        <v>0</v>
      </c>
      <c r="DL9" s="272">
        <v>1307621</v>
      </c>
      <c r="DM9" s="272">
        <v>315280</v>
      </c>
      <c r="DN9" s="272">
        <v>241180</v>
      </c>
      <c r="DO9" s="272">
        <v>0</v>
      </c>
      <c r="DP9" s="272">
        <v>241180</v>
      </c>
      <c r="DQ9" s="272">
        <v>1182500</v>
      </c>
      <c r="DR9" s="272">
        <v>0</v>
      </c>
      <c r="DS9" s="272">
        <v>0</v>
      </c>
      <c r="DT9" s="272">
        <v>11346153</v>
      </c>
      <c r="DU9" s="272">
        <v>4612823</v>
      </c>
      <c r="DV9" s="455">
        <f t="shared" si="11"/>
        <v>0</v>
      </c>
      <c r="DW9" s="272">
        <v>0</v>
      </c>
      <c r="DX9" s="272">
        <v>0</v>
      </c>
      <c r="DY9" s="272">
        <v>108568</v>
      </c>
      <c r="DZ9" s="272">
        <v>3457713</v>
      </c>
      <c r="EA9" s="272">
        <v>1381730</v>
      </c>
      <c r="EB9" s="272">
        <v>1532880</v>
      </c>
      <c r="EC9" s="272">
        <v>0</v>
      </c>
      <c r="ED9" s="272">
        <v>101913266</v>
      </c>
      <c r="EF9" s="272">
        <v>547854</v>
      </c>
      <c r="EG9" s="272">
        <v>278654</v>
      </c>
      <c r="EH9" s="272">
        <v>269200</v>
      </c>
      <c r="EI9" s="272">
        <v>185793</v>
      </c>
      <c r="EJ9" s="272">
        <v>-493635</v>
      </c>
      <c r="EL9" s="272"/>
      <c r="EM9" s="272">
        <v>345456</v>
      </c>
      <c r="EN9" s="272">
        <v>726317</v>
      </c>
      <c r="EO9" s="272">
        <v>182409</v>
      </c>
      <c r="EP9" s="455">
        <f t="shared" si="12"/>
        <v>891748</v>
      </c>
      <c r="EQ9" s="272">
        <v>69376594</v>
      </c>
      <c r="ER9" s="272">
        <v>-8389890</v>
      </c>
      <c r="ES9" s="272">
        <v>27992544</v>
      </c>
      <c r="ET9" s="272">
        <v>18610722</v>
      </c>
      <c r="EU9" s="272">
        <v>6848671</v>
      </c>
      <c r="EV9" s="272">
        <v>8126895</v>
      </c>
      <c r="EW9" s="455">
        <f t="shared" si="13"/>
        <v>3276701</v>
      </c>
      <c r="EX9" s="272">
        <v>3276701</v>
      </c>
      <c r="EY9" s="272">
        <v>325008</v>
      </c>
      <c r="EZ9" s="272">
        <v>2946423</v>
      </c>
      <c r="FA9" s="272">
        <v>0</v>
      </c>
      <c r="FB9" s="272"/>
      <c r="FC9" s="272">
        <v>12028222</v>
      </c>
      <c r="FD9" s="272">
        <v>4096831</v>
      </c>
      <c r="FE9" s="272">
        <v>1211</v>
      </c>
      <c r="FF9" s="272">
        <v>10284938</v>
      </c>
      <c r="FG9" s="455">
        <f t="shared" si="14"/>
        <v>4563828</v>
      </c>
      <c r="FH9" s="272">
        <v>77218630</v>
      </c>
      <c r="FI9" s="384">
        <f t="shared" si="15"/>
        <v>0.4</v>
      </c>
      <c r="FJ9" s="272">
        <v>63212544</v>
      </c>
      <c r="FK9" s="272">
        <v>5743106</v>
      </c>
      <c r="FL9" s="272">
        <v>47595208</v>
      </c>
      <c r="FM9" s="272">
        <v>43836076</v>
      </c>
      <c r="FN9" s="460">
        <v>1.075</v>
      </c>
      <c r="FO9" s="388">
        <v>95.7</v>
      </c>
      <c r="FP9" s="388">
        <v>37.4</v>
      </c>
      <c r="FQ9" s="388">
        <v>9.6999999999999993</v>
      </c>
      <c r="FR9" s="388">
        <v>11.5</v>
      </c>
      <c r="FS9" s="388">
        <v>16.3</v>
      </c>
      <c r="FT9" s="388">
        <v>4.8</v>
      </c>
      <c r="FU9" s="388">
        <v>11.7</v>
      </c>
      <c r="FV9" s="388">
        <v>7.6</v>
      </c>
      <c r="FW9" s="272">
        <v>68028663</v>
      </c>
      <c r="FX9" s="384">
        <f t="shared" si="16"/>
        <v>107.6</v>
      </c>
      <c r="FY9" s="272">
        <v>33999567</v>
      </c>
      <c r="FZ9" s="272">
        <v>10796169</v>
      </c>
      <c r="GA9" s="272"/>
      <c r="GB9" s="272">
        <v>23203398</v>
      </c>
      <c r="GC9" s="272"/>
      <c r="GD9" s="272">
        <v>12982819</v>
      </c>
      <c r="GE9" s="384">
        <f t="shared" si="17"/>
        <v>20.5</v>
      </c>
      <c r="GF9" s="388">
        <v>98.6</v>
      </c>
      <c r="GG9" s="388">
        <v>24.1</v>
      </c>
      <c r="GH9" s="388">
        <v>94.3</v>
      </c>
      <c r="GI9" s="272">
        <v>2712</v>
      </c>
    </row>
    <row r="10" spans="2:191" x14ac:dyDescent="0.15">
      <c r="B10" s="89" t="s">
        <v>13</v>
      </c>
      <c r="C10" s="272">
        <v>11331936</v>
      </c>
      <c r="D10" s="455">
        <f t="shared" si="0"/>
        <v>2890092</v>
      </c>
      <c r="E10" s="272">
        <v>64191</v>
      </c>
      <c r="F10" s="272">
        <v>2825901</v>
      </c>
      <c r="G10" s="455">
        <f t="shared" si="1"/>
        <v>791083</v>
      </c>
      <c r="H10" s="272">
        <v>201322</v>
      </c>
      <c r="I10" s="272">
        <v>589761</v>
      </c>
      <c r="J10" s="272">
        <v>5812576</v>
      </c>
      <c r="K10" s="272">
        <v>2653716</v>
      </c>
      <c r="L10" s="272">
        <v>1963149</v>
      </c>
      <c r="M10" s="272">
        <v>736795</v>
      </c>
      <c r="N10" s="272">
        <v>604053</v>
      </c>
      <c r="O10" s="272">
        <v>1175938</v>
      </c>
      <c r="P10" s="272">
        <v>720809</v>
      </c>
      <c r="Q10" s="272">
        <v>455129</v>
      </c>
      <c r="R10" s="272">
        <v>252965</v>
      </c>
      <c r="S10" s="272"/>
      <c r="T10" s="455">
        <f t="shared" si="2"/>
        <v>956104</v>
      </c>
      <c r="U10" s="272">
        <v>100201</v>
      </c>
      <c r="V10" s="272"/>
      <c r="W10" s="272"/>
      <c r="X10" s="272">
        <v>708673</v>
      </c>
      <c r="Y10" s="272">
        <v>0</v>
      </c>
      <c r="Z10" s="272">
        <v>0</v>
      </c>
      <c r="AA10" s="272">
        <v>147230</v>
      </c>
      <c r="AB10" s="272">
        <v>309792</v>
      </c>
      <c r="AC10" s="272">
        <v>3295157</v>
      </c>
      <c r="AD10" s="272">
        <v>2908100</v>
      </c>
      <c r="AE10" s="272">
        <v>387057</v>
      </c>
      <c r="AF10" s="272">
        <v>16552</v>
      </c>
      <c r="AG10" s="272">
        <v>154512</v>
      </c>
      <c r="AH10" s="455">
        <f t="shared" si="3"/>
        <v>468183</v>
      </c>
      <c r="AI10" s="272">
        <v>423244</v>
      </c>
      <c r="AJ10" s="272">
        <v>44939</v>
      </c>
      <c r="AK10" s="272">
        <v>2909865</v>
      </c>
      <c r="AL10" s="455">
        <f t="shared" si="4"/>
        <v>1772277</v>
      </c>
      <c r="AM10" s="272">
        <v>1465857</v>
      </c>
      <c r="AN10" s="272">
        <v>301679</v>
      </c>
      <c r="AO10" s="272">
        <v>0</v>
      </c>
      <c r="AP10" s="272">
        <v>4741</v>
      </c>
      <c r="AQ10" s="272">
        <v>15000</v>
      </c>
      <c r="AR10" s="272">
        <v>0</v>
      </c>
      <c r="AS10" s="272">
        <v>0</v>
      </c>
      <c r="AT10" s="272">
        <v>1329312</v>
      </c>
      <c r="AU10" s="272">
        <v>568649</v>
      </c>
      <c r="AV10" s="272">
        <v>150840</v>
      </c>
      <c r="AW10" s="272">
        <v>0</v>
      </c>
      <c r="AX10" s="272">
        <v>760663</v>
      </c>
      <c r="AY10" s="272">
        <v>280542</v>
      </c>
      <c r="AZ10" s="272">
        <v>251619</v>
      </c>
      <c r="BA10" s="272">
        <v>242426</v>
      </c>
      <c r="BB10" s="272">
        <v>8042</v>
      </c>
      <c r="BC10" s="272">
        <v>53685</v>
      </c>
      <c r="BD10" s="272">
        <v>0</v>
      </c>
      <c r="BE10" s="272">
        <v>0</v>
      </c>
      <c r="BF10" s="272">
        <v>27485</v>
      </c>
      <c r="BG10" s="272">
        <v>0</v>
      </c>
      <c r="BH10" s="272">
        <v>0</v>
      </c>
      <c r="BI10" s="272">
        <v>0</v>
      </c>
      <c r="BJ10" s="272">
        <v>314638</v>
      </c>
      <c r="BK10" s="272">
        <v>42190</v>
      </c>
      <c r="BL10" s="272">
        <v>0</v>
      </c>
      <c r="BM10" s="272">
        <v>55880</v>
      </c>
      <c r="BN10" s="272">
        <v>3130900</v>
      </c>
      <c r="BO10" s="455">
        <f t="shared" si="5"/>
        <v>1490700</v>
      </c>
      <c r="BP10" s="455">
        <f t="shared" si="6"/>
        <v>1640200</v>
      </c>
      <c r="BQ10" s="272">
        <v>116300</v>
      </c>
      <c r="BR10" s="272">
        <v>0</v>
      </c>
      <c r="BS10" s="272">
        <v>1523900</v>
      </c>
      <c r="BT10" s="272">
        <v>0</v>
      </c>
      <c r="BU10" s="272">
        <v>24783262</v>
      </c>
      <c r="BV10" s="272"/>
      <c r="BW10" s="272">
        <v>5666329</v>
      </c>
      <c r="BX10" s="272">
        <v>3840822</v>
      </c>
      <c r="BY10" s="272">
        <v>544791</v>
      </c>
      <c r="BZ10" s="272">
        <v>270741</v>
      </c>
      <c r="CA10" s="272">
        <v>4509826</v>
      </c>
      <c r="CB10" s="272">
        <v>629086</v>
      </c>
      <c r="CC10" s="272">
        <v>271547</v>
      </c>
      <c r="CD10" s="272">
        <v>1561409</v>
      </c>
      <c r="CE10" s="272">
        <v>1983508</v>
      </c>
      <c r="CF10" s="272">
        <v>0</v>
      </c>
      <c r="CG10" s="272">
        <v>64196</v>
      </c>
      <c r="CH10" s="272">
        <v>2743410</v>
      </c>
      <c r="CI10" s="272">
        <v>1986953</v>
      </c>
      <c r="CJ10" s="455">
        <f t="shared" si="7"/>
        <v>756457</v>
      </c>
      <c r="CK10" s="272">
        <v>2131981</v>
      </c>
      <c r="CL10" s="272">
        <v>1127019</v>
      </c>
      <c r="CM10" s="272">
        <v>168032</v>
      </c>
      <c r="CN10" s="272">
        <v>368097</v>
      </c>
      <c r="CO10" s="272">
        <v>102487</v>
      </c>
      <c r="CP10" s="272">
        <v>2404636</v>
      </c>
      <c r="CQ10" s="272">
        <v>1227590</v>
      </c>
      <c r="CR10" s="272">
        <v>356016</v>
      </c>
      <c r="CS10" s="272">
        <v>339518</v>
      </c>
      <c r="CT10" s="455">
        <f t="shared" si="8"/>
        <v>603269</v>
      </c>
      <c r="CU10" s="272">
        <v>603269</v>
      </c>
      <c r="CV10" s="272">
        <v>0</v>
      </c>
      <c r="CW10" s="455">
        <f t="shared" si="9"/>
        <v>599736</v>
      </c>
      <c r="CX10" s="272">
        <v>599736</v>
      </c>
      <c r="CY10" s="272">
        <v>0</v>
      </c>
      <c r="CZ10" s="455">
        <f t="shared" si="10"/>
        <v>0</v>
      </c>
      <c r="DA10" s="272">
        <v>0</v>
      </c>
      <c r="DB10" s="272">
        <v>0</v>
      </c>
      <c r="DC10" s="272">
        <v>2201585</v>
      </c>
      <c r="DD10" s="272">
        <v>30000</v>
      </c>
      <c r="DE10" s="272">
        <v>1648950</v>
      </c>
      <c r="DF10" s="272">
        <v>200000</v>
      </c>
      <c r="DG10" s="272">
        <v>322635</v>
      </c>
      <c r="DH10" s="272">
        <v>0</v>
      </c>
      <c r="DI10" s="272">
        <v>14419</v>
      </c>
      <c r="DJ10" s="272">
        <v>0</v>
      </c>
      <c r="DK10" s="272">
        <v>0</v>
      </c>
      <c r="DL10" s="272">
        <v>14419</v>
      </c>
      <c r="DM10" s="272">
        <v>0</v>
      </c>
      <c r="DN10" s="272">
        <v>0</v>
      </c>
      <c r="DO10" s="272">
        <v>0</v>
      </c>
      <c r="DP10" s="272">
        <v>0</v>
      </c>
      <c r="DQ10" s="272">
        <v>30351</v>
      </c>
      <c r="DR10" s="272">
        <v>0</v>
      </c>
      <c r="DS10" s="272">
        <v>0</v>
      </c>
      <c r="DT10" s="272">
        <v>3773778</v>
      </c>
      <c r="DU10" s="272">
        <v>2068613</v>
      </c>
      <c r="DV10" s="455">
        <f t="shared" si="11"/>
        <v>0</v>
      </c>
      <c r="DW10" s="272">
        <v>0</v>
      </c>
      <c r="DX10" s="272">
        <v>0</v>
      </c>
      <c r="DY10" s="272">
        <v>26399</v>
      </c>
      <c r="DZ10" s="272">
        <v>605108</v>
      </c>
      <c r="EA10" s="272">
        <v>354260</v>
      </c>
      <c r="EB10" s="272">
        <v>450858</v>
      </c>
      <c r="EC10" s="272">
        <v>1550680</v>
      </c>
      <c r="ED10" s="272">
        <v>25129482</v>
      </c>
      <c r="EF10" s="272">
        <v>-346220</v>
      </c>
      <c r="EG10" s="272">
        <v>1760</v>
      </c>
      <c r="EH10" s="272">
        <v>-347980</v>
      </c>
      <c r="EI10" s="272">
        <v>1204445</v>
      </c>
      <c r="EJ10" s="272">
        <v>1204445</v>
      </c>
      <c r="EL10" s="272"/>
      <c r="EM10" s="272">
        <v>76440</v>
      </c>
      <c r="EN10" s="272">
        <v>28355</v>
      </c>
      <c r="EO10" s="272">
        <v>209061</v>
      </c>
      <c r="EP10" s="455">
        <f t="shared" si="12"/>
        <v>321665</v>
      </c>
      <c r="EQ10" s="272">
        <v>16162506</v>
      </c>
      <c r="ER10" s="272">
        <v>-2182729</v>
      </c>
      <c r="ES10" s="272">
        <v>4921095</v>
      </c>
      <c r="ET10" s="272">
        <v>3153603</v>
      </c>
      <c r="EU10" s="272">
        <v>1445625</v>
      </c>
      <c r="EV10" s="272">
        <v>2731592</v>
      </c>
      <c r="EW10" s="455">
        <f t="shared" si="13"/>
        <v>260779</v>
      </c>
      <c r="EX10" s="272">
        <v>260779</v>
      </c>
      <c r="EY10" s="272">
        <v>0</v>
      </c>
      <c r="EZ10" s="272">
        <v>260779</v>
      </c>
      <c r="FA10" s="272">
        <v>0</v>
      </c>
      <c r="FB10" s="272"/>
      <c r="FC10" s="272">
        <v>1879066</v>
      </c>
      <c r="FD10" s="272">
        <v>2318016</v>
      </c>
      <c r="FE10" s="272">
        <v>1227590</v>
      </c>
      <c r="FF10" s="272">
        <v>3483897</v>
      </c>
      <c r="FG10" s="455">
        <f t="shared" si="14"/>
        <v>1651385</v>
      </c>
      <c r="FH10" s="272">
        <v>18691455</v>
      </c>
      <c r="FI10" s="384">
        <f t="shared" si="15"/>
        <v>-2.4</v>
      </c>
      <c r="FJ10" s="272">
        <v>14357890</v>
      </c>
      <c r="FK10" s="272">
        <v>1523917</v>
      </c>
      <c r="FL10" s="272">
        <v>8652528</v>
      </c>
      <c r="FM10" s="272">
        <v>11594780</v>
      </c>
      <c r="FN10" s="460">
        <v>0.747</v>
      </c>
      <c r="FO10" s="388">
        <v>93.2</v>
      </c>
      <c r="FP10" s="388">
        <v>28.6</v>
      </c>
      <c r="FQ10" s="388">
        <v>8.9</v>
      </c>
      <c r="FR10" s="388">
        <v>16.7</v>
      </c>
      <c r="FS10" s="388">
        <v>8.6999999999999993</v>
      </c>
      <c r="FT10" s="388">
        <v>12.5</v>
      </c>
      <c r="FU10" s="388">
        <v>17.3</v>
      </c>
      <c r="FV10" s="388">
        <v>12</v>
      </c>
      <c r="FW10" s="272">
        <v>31020812</v>
      </c>
      <c r="FX10" s="384">
        <f t="shared" si="16"/>
        <v>216.1</v>
      </c>
      <c r="FY10" s="272">
        <v>889019</v>
      </c>
      <c r="FZ10" s="272">
        <v>0</v>
      </c>
      <c r="GA10" s="272">
        <v>0</v>
      </c>
      <c r="GB10" s="272">
        <v>889019</v>
      </c>
      <c r="GC10" s="272"/>
      <c r="GD10" s="272">
        <v>6174585</v>
      </c>
      <c r="GE10" s="384">
        <f t="shared" si="17"/>
        <v>43</v>
      </c>
      <c r="GF10" s="388">
        <v>98.2</v>
      </c>
      <c r="GG10" s="388">
        <v>23.1</v>
      </c>
      <c r="GH10" s="388">
        <v>92</v>
      </c>
      <c r="GI10" s="272">
        <v>546</v>
      </c>
    </row>
    <row r="11" spans="2:191" x14ac:dyDescent="0.15">
      <c r="B11" s="89" t="s">
        <v>15</v>
      </c>
      <c r="C11" s="272">
        <v>47494406</v>
      </c>
      <c r="D11" s="455">
        <f t="shared" si="0"/>
        <v>17019925</v>
      </c>
      <c r="E11" s="272">
        <v>332591</v>
      </c>
      <c r="F11" s="272">
        <v>16687334</v>
      </c>
      <c r="G11" s="455">
        <f t="shared" si="1"/>
        <v>2694786</v>
      </c>
      <c r="H11" s="272">
        <v>732235</v>
      </c>
      <c r="I11" s="272">
        <v>1962551</v>
      </c>
      <c r="J11" s="272">
        <v>20510095</v>
      </c>
      <c r="K11" s="272">
        <v>9952064</v>
      </c>
      <c r="L11" s="272">
        <v>7473821</v>
      </c>
      <c r="M11" s="272">
        <v>2835630</v>
      </c>
      <c r="N11" s="272">
        <v>1712618</v>
      </c>
      <c r="O11" s="272">
        <v>4232677</v>
      </c>
      <c r="P11" s="272">
        <v>2656116</v>
      </c>
      <c r="Q11" s="272">
        <v>1576561</v>
      </c>
      <c r="R11" s="272">
        <v>777967</v>
      </c>
      <c r="S11" s="272"/>
      <c r="T11" s="455">
        <f t="shared" si="2"/>
        <v>4233803</v>
      </c>
      <c r="U11" s="272">
        <v>587758</v>
      </c>
      <c r="V11" s="272"/>
      <c r="W11" s="272"/>
      <c r="X11" s="272">
        <v>2886389</v>
      </c>
      <c r="Y11" s="272">
        <v>74257</v>
      </c>
      <c r="Z11" s="272">
        <v>228</v>
      </c>
      <c r="AA11" s="272">
        <v>685171</v>
      </c>
      <c r="AB11" s="272">
        <v>1872452</v>
      </c>
      <c r="AC11" s="272">
        <v>11818336</v>
      </c>
      <c r="AD11" s="272">
        <v>11412256</v>
      </c>
      <c r="AE11" s="272">
        <v>406080</v>
      </c>
      <c r="AF11" s="272">
        <v>71545</v>
      </c>
      <c r="AG11" s="272">
        <v>701267</v>
      </c>
      <c r="AH11" s="455">
        <f t="shared" si="3"/>
        <v>3346930</v>
      </c>
      <c r="AI11" s="272">
        <v>2265760</v>
      </c>
      <c r="AJ11" s="272">
        <v>1081170</v>
      </c>
      <c r="AK11" s="272">
        <v>14174940</v>
      </c>
      <c r="AL11" s="455">
        <f t="shared" si="4"/>
        <v>5544373</v>
      </c>
      <c r="AM11" s="272">
        <v>4486304</v>
      </c>
      <c r="AN11" s="272">
        <v>945692</v>
      </c>
      <c r="AO11" s="272">
        <v>13937</v>
      </c>
      <c r="AP11" s="272">
        <v>98440</v>
      </c>
      <c r="AQ11" s="272">
        <v>3047126</v>
      </c>
      <c r="AR11" s="272">
        <v>0</v>
      </c>
      <c r="AS11" s="272">
        <v>0</v>
      </c>
      <c r="AT11" s="272">
        <v>3098282</v>
      </c>
      <c r="AU11" s="272">
        <v>1014646</v>
      </c>
      <c r="AV11" s="272">
        <v>0</v>
      </c>
      <c r="AW11" s="272">
        <v>46974</v>
      </c>
      <c r="AX11" s="272">
        <v>2083636</v>
      </c>
      <c r="AY11" s="272">
        <v>139800</v>
      </c>
      <c r="AZ11" s="272">
        <v>42495</v>
      </c>
      <c r="BA11" s="272">
        <v>27436</v>
      </c>
      <c r="BB11" s="272">
        <v>60042</v>
      </c>
      <c r="BC11" s="272">
        <v>2218936</v>
      </c>
      <c r="BD11" s="272">
        <v>0</v>
      </c>
      <c r="BE11" s="272">
        <v>0</v>
      </c>
      <c r="BF11" s="272">
        <v>1710616</v>
      </c>
      <c r="BG11" s="272">
        <v>0</v>
      </c>
      <c r="BH11" s="272">
        <v>523808</v>
      </c>
      <c r="BI11" s="272">
        <v>184998</v>
      </c>
      <c r="BJ11" s="272">
        <v>2431938</v>
      </c>
      <c r="BK11" s="272">
        <v>1848965</v>
      </c>
      <c r="BL11" s="272">
        <v>0</v>
      </c>
      <c r="BM11" s="272">
        <v>85820</v>
      </c>
      <c r="BN11" s="272">
        <v>7498200</v>
      </c>
      <c r="BO11" s="455">
        <f t="shared" si="5"/>
        <v>2998200</v>
      </c>
      <c r="BP11" s="455">
        <f t="shared" si="6"/>
        <v>4500000</v>
      </c>
      <c r="BQ11" s="272">
        <v>0</v>
      </c>
      <c r="BR11" s="272">
        <v>0</v>
      </c>
      <c r="BS11" s="272">
        <v>4500000</v>
      </c>
      <c r="BT11" s="272">
        <v>0</v>
      </c>
      <c r="BU11" s="272">
        <v>100365347</v>
      </c>
      <c r="BV11" s="272"/>
      <c r="BW11" s="272">
        <v>26345859</v>
      </c>
      <c r="BX11" s="272">
        <v>18124476</v>
      </c>
      <c r="BY11" s="272">
        <v>2891803</v>
      </c>
      <c r="BZ11" s="272">
        <v>1359620</v>
      </c>
      <c r="CA11" s="272">
        <v>15111512</v>
      </c>
      <c r="CB11" s="272">
        <v>2786454</v>
      </c>
      <c r="CC11" s="272">
        <v>915979</v>
      </c>
      <c r="CD11" s="272">
        <v>5064740</v>
      </c>
      <c r="CE11" s="272">
        <v>5860246</v>
      </c>
      <c r="CF11" s="272">
        <v>142472</v>
      </c>
      <c r="CG11" s="272">
        <v>339941</v>
      </c>
      <c r="CH11" s="272">
        <v>9077468</v>
      </c>
      <c r="CI11" s="272">
        <v>7078120</v>
      </c>
      <c r="CJ11" s="455">
        <f t="shared" si="7"/>
        <v>1999348</v>
      </c>
      <c r="CK11" s="272">
        <v>12049520</v>
      </c>
      <c r="CL11" s="272">
        <v>6909478</v>
      </c>
      <c r="CM11" s="272">
        <v>464650</v>
      </c>
      <c r="CN11" s="272">
        <v>2980525</v>
      </c>
      <c r="CO11" s="272">
        <v>1579531</v>
      </c>
      <c r="CP11" s="272">
        <v>4103901</v>
      </c>
      <c r="CQ11" s="272">
        <v>20878</v>
      </c>
      <c r="CR11" s="272">
        <v>2111481</v>
      </c>
      <c r="CS11" s="272">
        <v>1661810</v>
      </c>
      <c r="CT11" s="455">
        <f t="shared" si="8"/>
        <v>1101911</v>
      </c>
      <c r="CU11" s="272">
        <v>98217</v>
      </c>
      <c r="CV11" s="272">
        <v>1003694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13925868</v>
      </c>
      <c r="DD11" s="272">
        <v>6203520</v>
      </c>
      <c r="DE11" s="272">
        <v>7656287</v>
      </c>
      <c r="DF11" s="272">
        <v>66061</v>
      </c>
      <c r="DG11" s="272">
        <v>0</v>
      </c>
      <c r="DH11" s="272">
        <v>34443</v>
      </c>
      <c r="DI11" s="272">
        <v>3721614</v>
      </c>
      <c r="DJ11" s="272">
        <v>854725</v>
      </c>
      <c r="DK11" s="272">
        <v>4751</v>
      </c>
      <c r="DL11" s="272">
        <v>2862138</v>
      </c>
      <c r="DM11" s="272">
        <v>0</v>
      </c>
      <c r="DN11" s="272">
        <v>0</v>
      </c>
      <c r="DO11" s="272">
        <v>0</v>
      </c>
      <c r="DP11" s="272">
        <v>0</v>
      </c>
      <c r="DQ11" s="272">
        <v>1870409</v>
      </c>
      <c r="DR11" s="272">
        <v>0</v>
      </c>
      <c r="DS11" s="272">
        <v>0</v>
      </c>
      <c r="DT11" s="272">
        <v>11937230</v>
      </c>
      <c r="DU11" s="272">
        <v>4629600</v>
      </c>
      <c r="DV11" s="455">
        <f t="shared" si="11"/>
        <v>0</v>
      </c>
      <c r="DW11" s="272">
        <v>0</v>
      </c>
      <c r="DX11" s="272">
        <v>0</v>
      </c>
      <c r="DY11" s="272">
        <v>1255000</v>
      </c>
      <c r="DZ11" s="272">
        <v>2707566</v>
      </c>
      <c r="EA11" s="272">
        <v>1584126</v>
      </c>
      <c r="EB11" s="272">
        <v>1758705</v>
      </c>
      <c r="EC11" s="272">
        <v>0</v>
      </c>
      <c r="ED11" s="272">
        <v>99757355</v>
      </c>
      <c r="EF11" s="272">
        <v>607992</v>
      </c>
      <c r="EG11" s="272">
        <v>346093</v>
      </c>
      <c r="EH11" s="272">
        <v>261899</v>
      </c>
      <c r="EI11" s="272">
        <v>76901</v>
      </c>
      <c r="EJ11" s="272">
        <v>957277</v>
      </c>
      <c r="EL11" s="272"/>
      <c r="EM11" s="272">
        <v>352415</v>
      </c>
      <c r="EN11" s="272">
        <v>41607</v>
      </c>
      <c r="EO11" s="272">
        <v>36708</v>
      </c>
      <c r="EP11" s="455">
        <f t="shared" si="12"/>
        <v>2709775</v>
      </c>
      <c r="EQ11" s="272">
        <v>66268509</v>
      </c>
      <c r="ER11" s="272">
        <v>-7216545</v>
      </c>
      <c r="ES11" s="272">
        <v>24350206</v>
      </c>
      <c r="ET11" s="272">
        <v>16252949</v>
      </c>
      <c r="EU11" s="272">
        <v>5340087</v>
      </c>
      <c r="EV11" s="272">
        <v>8935447</v>
      </c>
      <c r="EW11" s="455">
        <f t="shared" si="13"/>
        <v>6406770</v>
      </c>
      <c r="EX11" s="272">
        <v>6387130</v>
      </c>
      <c r="EY11" s="272">
        <v>2698233</v>
      </c>
      <c r="EZ11" s="272">
        <v>3626143</v>
      </c>
      <c r="FA11" s="272">
        <v>19640</v>
      </c>
      <c r="FB11" s="272"/>
      <c r="FC11" s="272">
        <v>9658756</v>
      </c>
      <c r="FD11" s="272">
        <v>3726055</v>
      </c>
      <c r="FE11" s="272">
        <v>20878</v>
      </c>
      <c r="FF11" s="272">
        <v>9745594</v>
      </c>
      <c r="FG11" s="455">
        <f t="shared" si="14"/>
        <v>4736414</v>
      </c>
      <c r="FH11" s="272">
        <v>72899329</v>
      </c>
      <c r="FI11" s="384">
        <f t="shared" si="15"/>
        <v>0.4</v>
      </c>
      <c r="FJ11" s="272">
        <v>62282696</v>
      </c>
      <c r="FK11" s="272">
        <v>5837954</v>
      </c>
      <c r="FL11" s="272">
        <v>38363542</v>
      </c>
      <c r="FM11" s="272">
        <v>49870583</v>
      </c>
      <c r="FN11" s="460">
        <v>0.80700000000000005</v>
      </c>
      <c r="FO11" s="388">
        <v>89.2</v>
      </c>
      <c r="FP11" s="388">
        <v>34.9</v>
      </c>
      <c r="FQ11" s="388">
        <v>8</v>
      </c>
      <c r="FR11" s="388">
        <v>13.4</v>
      </c>
      <c r="FS11" s="388">
        <v>14</v>
      </c>
      <c r="FT11" s="388">
        <v>5</v>
      </c>
      <c r="FU11" s="388">
        <v>11.5</v>
      </c>
      <c r="FV11" s="388">
        <v>7</v>
      </c>
      <c r="FW11" s="272">
        <v>65288431</v>
      </c>
      <c r="FX11" s="384">
        <f t="shared" si="16"/>
        <v>104.8</v>
      </c>
      <c r="FY11" s="272">
        <v>32017140</v>
      </c>
      <c r="FZ11" s="272">
        <v>9794034</v>
      </c>
      <c r="GA11" s="272">
        <v>2462008</v>
      </c>
      <c r="GB11" s="272">
        <v>19761098</v>
      </c>
      <c r="GC11" s="272"/>
      <c r="GD11" s="272">
        <v>2416700</v>
      </c>
      <c r="GE11" s="384">
        <f t="shared" si="17"/>
        <v>3.9</v>
      </c>
      <c r="GF11" s="388">
        <v>98.7</v>
      </c>
      <c r="GG11" s="388">
        <v>22.3</v>
      </c>
      <c r="GH11" s="388">
        <v>94.5</v>
      </c>
      <c r="GI11" s="272">
        <v>2249</v>
      </c>
    </row>
    <row r="12" spans="2:191" x14ac:dyDescent="0.15">
      <c r="B12" s="89" t="s">
        <v>17</v>
      </c>
      <c r="C12" s="272">
        <v>10567569</v>
      </c>
      <c r="D12" s="455">
        <f t="shared" si="0"/>
        <v>3017826</v>
      </c>
      <c r="E12" s="272">
        <v>73733</v>
      </c>
      <c r="F12" s="272">
        <v>2944093</v>
      </c>
      <c r="G12" s="455">
        <f t="shared" si="1"/>
        <v>556003</v>
      </c>
      <c r="H12" s="272">
        <v>179418</v>
      </c>
      <c r="I12" s="272">
        <v>376585</v>
      </c>
      <c r="J12" s="272">
        <v>5175598</v>
      </c>
      <c r="K12" s="272">
        <v>2404301</v>
      </c>
      <c r="L12" s="272">
        <v>1960925</v>
      </c>
      <c r="M12" s="272">
        <v>675531</v>
      </c>
      <c r="N12" s="272">
        <v>668304</v>
      </c>
      <c r="O12" s="272">
        <v>1039763</v>
      </c>
      <c r="P12" s="272">
        <v>621402</v>
      </c>
      <c r="Q12" s="272">
        <v>418361</v>
      </c>
      <c r="R12" s="272">
        <v>198101</v>
      </c>
      <c r="S12" s="272"/>
      <c r="T12" s="455">
        <f t="shared" si="2"/>
        <v>1061655</v>
      </c>
      <c r="U12" s="272">
        <v>107625</v>
      </c>
      <c r="V12" s="272"/>
      <c r="W12" s="272"/>
      <c r="X12" s="272">
        <v>769789</v>
      </c>
      <c r="Y12" s="272">
        <v>0</v>
      </c>
      <c r="Z12" s="272">
        <v>0</v>
      </c>
      <c r="AA12" s="272">
        <v>184241</v>
      </c>
      <c r="AB12" s="272">
        <v>287631</v>
      </c>
      <c r="AC12" s="272">
        <v>4131216</v>
      </c>
      <c r="AD12" s="272">
        <v>3675122</v>
      </c>
      <c r="AE12" s="272">
        <v>456094</v>
      </c>
      <c r="AF12" s="272">
        <v>19960</v>
      </c>
      <c r="AG12" s="272">
        <v>243376</v>
      </c>
      <c r="AH12" s="455">
        <f t="shared" si="3"/>
        <v>544656</v>
      </c>
      <c r="AI12" s="272">
        <v>455145</v>
      </c>
      <c r="AJ12" s="272">
        <v>89511</v>
      </c>
      <c r="AK12" s="272">
        <v>3485616</v>
      </c>
      <c r="AL12" s="455">
        <f t="shared" si="4"/>
        <v>2166058</v>
      </c>
      <c r="AM12" s="272">
        <v>1652943</v>
      </c>
      <c r="AN12" s="272">
        <v>508081</v>
      </c>
      <c r="AO12" s="272">
        <v>0</v>
      </c>
      <c r="AP12" s="272">
        <v>5034</v>
      </c>
      <c r="AQ12" s="272">
        <v>206627</v>
      </c>
      <c r="AR12" s="272">
        <v>0</v>
      </c>
      <c r="AS12" s="272">
        <v>0</v>
      </c>
      <c r="AT12" s="272">
        <v>1529710</v>
      </c>
      <c r="AU12" s="272">
        <v>936543</v>
      </c>
      <c r="AV12" s="272">
        <v>339779</v>
      </c>
      <c r="AW12" s="272">
        <v>50818</v>
      </c>
      <c r="AX12" s="272">
        <v>593167</v>
      </c>
      <c r="AY12" s="272">
        <v>71439</v>
      </c>
      <c r="AZ12" s="272">
        <v>17695</v>
      </c>
      <c r="BA12" s="272">
        <v>525</v>
      </c>
      <c r="BB12" s="272">
        <v>9915</v>
      </c>
      <c r="BC12" s="272">
        <v>94223</v>
      </c>
      <c r="BD12" s="272">
        <v>0</v>
      </c>
      <c r="BE12" s="272">
        <v>0</v>
      </c>
      <c r="BF12" s="272">
        <v>85490</v>
      </c>
      <c r="BG12" s="272">
        <v>0</v>
      </c>
      <c r="BH12" s="272">
        <v>0</v>
      </c>
      <c r="BI12" s="272">
        <v>0</v>
      </c>
      <c r="BJ12" s="272">
        <v>271331</v>
      </c>
      <c r="BK12" s="272">
        <v>30634</v>
      </c>
      <c r="BL12" s="272">
        <v>0</v>
      </c>
      <c r="BM12" s="272">
        <v>56834</v>
      </c>
      <c r="BN12" s="272">
        <v>2660700</v>
      </c>
      <c r="BO12" s="455">
        <f t="shared" si="5"/>
        <v>808000</v>
      </c>
      <c r="BP12" s="455">
        <f t="shared" si="6"/>
        <v>1852700</v>
      </c>
      <c r="BQ12" s="272">
        <v>117800</v>
      </c>
      <c r="BR12" s="272">
        <v>0</v>
      </c>
      <c r="BS12" s="272">
        <v>1734900</v>
      </c>
      <c r="BT12" s="272">
        <v>0</v>
      </c>
      <c r="BU12" s="272">
        <v>25123354</v>
      </c>
      <c r="BV12" s="272"/>
      <c r="BW12" s="272">
        <v>7176431</v>
      </c>
      <c r="BX12" s="272">
        <v>4577137</v>
      </c>
      <c r="BY12" s="272">
        <v>899124</v>
      </c>
      <c r="BZ12" s="272">
        <v>473173</v>
      </c>
      <c r="CA12" s="272">
        <v>5235010</v>
      </c>
      <c r="CB12" s="272">
        <v>580429</v>
      </c>
      <c r="CC12" s="272">
        <v>251472</v>
      </c>
      <c r="CD12" s="272">
        <v>2088065</v>
      </c>
      <c r="CE12" s="272">
        <v>2237989</v>
      </c>
      <c r="CF12" s="272">
        <v>233</v>
      </c>
      <c r="CG12" s="272">
        <v>76822</v>
      </c>
      <c r="CH12" s="272">
        <v>2869465</v>
      </c>
      <c r="CI12" s="272">
        <v>2181669</v>
      </c>
      <c r="CJ12" s="455">
        <f t="shared" si="7"/>
        <v>687796</v>
      </c>
      <c r="CK12" s="272">
        <v>2508719</v>
      </c>
      <c r="CL12" s="272">
        <v>1180663</v>
      </c>
      <c r="CM12" s="272">
        <v>247220</v>
      </c>
      <c r="CN12" s="272">
        <v>562220</v>
      </c>
      <c r="CO12" s="272">
        <v>56967</v>
      </c>
      <c r="CP12" s="272">
        <v>2327740</v>
      </c>
      <c r="CQ12" s="272">
        <v>671725</v>
      </c>
      <c r="CR12" s="272">
        <v>640396</v>
      </c>
      <c r="CS12" s="272">
        <v>416385</v>
      </c>
      <c r="CT12" s="455">
        <f t="shared" si="8"/>
        <v>708513</v>
      </c>
      <c r="CU12" s="272">
        <v>708513</v>
      </c>
      <c r="CV12" s="272">
        <v>0</v>
      </c>
      <c r="CW12" s="455">
        <f t="shared" si="9"/>
        <v>700000</v>
      </c>
      <c r="CX12" s="272">
        <v>700000</v>
      </c>
      <c r="CY12" s="272">
        <v>0</v>
      </c>
      <c r="CZ12" s="455">
        <f t="shared" si="10"/>
        <v>0</v>
      </c>
      <c r="DA12" s="272">
        <v>0</v>
      </c>
      <c r="DB12" s="272">
        <v>0</v>
      </c>
      <c r="DC12" s="272">
        <v>1877440</v>
      </c>
      <c r="DD12" s="272">
        <v>623627</v>
      </c>
      <c r="DE12" s="272">
        <v>1154825</v>
      </c>
      <c r="DF12" s="272">
        <v>57788</v>
      </c>
      <c r="DG12" s="272">
        <v>41200</v>
      </c>
      <c r="DH12" s="272">
        <v>7652</v>
      </c>
      <c r="DI12" s="272">
        <v>379288</v>
      </c>
      <c r="DJ12" s="272">
        <v>0</v>
      </c>
      <c r="DK12" s="272">
        <v>0</v>
      </c>
      <c r="DL12" s="272">
        <v>379288</v>
      </c>
      <c r="DM12" s="272">
        <v>0</v>
      </c>
      <c r="DN12" s="272">
        <v>0</v>
      </c>
      <c r="DO12" s="272">
        <v>0</v>
      </c>
      <c r="DP12" s="272">
        <v>0</v>
      </c>
      <c r="DQ12" s="272">
        <v>40237</v>
      </c>
      <c r="DR12" s="272">
        <v>0</v>
      </c>
      <c r="DS12" s="272">
        <v>0</v>
      </c>
      <c r="DT12" s="272">
        <v>3342401</v>
      </c>
      <c r="DU12" s="272">
        <v>1669418</v>
      </c>
      <c r="DV12" s="455">
        <f t="shared" si="11"/>
        <v>0</v>
      </c>
      <c r="DW12" s="272">
        <v>0</v>
      </c>
      <c r="DX12" s="272">
        <v>0</v>
      </c>
      <c r="DY12" s="272">
        <v>0</v>
      </c>
      <c r="DZ12" s="272">
        <v>701578</v>
      </c>
      <c r="EA12" s="272">
        <v>409613</v>
      </c>
      <c r="EB12" s="272">
        <v>552782</v>
      </c>
      <c r="EC12" s="272">
        <v>1751447</v>
      </c>
      <c r="ED12" s="272">
        <v>27572797</v>
      </c>
      <c r="EF12" s="272">
        <v>-2449443</v>
      </c>
      <c r="EG12" s="272">
        <v>99</v>
      </c>
      <c r="EH12" s="272">
        <v>-2449542</v>
      </c>
      <c r="EI12" s="272">
        <v>-660864</v>
      </c>
      <c r="EJ12" s="272">
        <v>-660864</v>
      </c>
      <c r="EL12" s="272"/>
      <c r="EM12" s="272">
        <v>88948</v>
      </c>
      <c r="EN12" s="272">
        <v>5756</v>
      </c>
      <c r="EO12" s="272">
        <v>245</v>
      </c>
      <c r="EP12" s="455">
        <f t="shared" si="12"/>
        <v>257866</v>
      </c>
      <c r="EQ12" s="272">
        <v>16266132</v>
      </c>
      <c r="ER12" s="272">
        <v>-2096607</v>
      </c>
      <c r="ES12" s="272">
        <v>6554980</v>
      </c>
      <c r="ET12" s="272">
        <v>4104339</v>
      </c>
      <c r="EU12" s="272">
        <v>1471510</v>
      </c>
      <c r="EV12" s="272">
        <v>2801800</v>
      </c>
      <c r="EW12" s="455">
        <f t="shared" si="13"/>
        <v>687087</v>
      </c>
      <c r="EX12" s="272">
        <v>686264</v>
      </c>
      <c r="EY12" s="272">
        <v>80882</v>
      </c>
      <c r="EZ12" s="272">
        <v>578618</v>
      </c>
      <c r="FA12" s="272">
        <v>823</v>
      </c>
      <c r="FB12" s="272"/>
      <c r="FC12" s="272">
        <v>2016508</v>
      </c>
      <c r="FD12" s="272">
        <v>2102357</v>
      </c>
      <c r="FE12" s="272">
        <v>610725</v>
      </c>
      <c r="FF12" s="272">
        <v>3027771</v>
      </c>
      <c r="FG12" s="455">
        <f t="shared" si="14"/>
        <v>2150169</v>
      </c>
      <c r="FH12" s="272">
        <v>20812182</v>
      </c>
      <c r="FI12" s="384">
        <f t="shared" si="15"/>
        <v>-16.2</v>
      </c>
      <c r="FJ12" s="272">
        <v>15163532</v>
      </c>
      <c r="FK12" s="272">
        <v>1734989</v>
      </c>
      <c r="FL12" s="272">
        <v>8672297</v>
      </c>
      <c r="FM12" s="272">
        <v>12370931</v>
      </c>
      <c r="FN12" s="460">
        <v>0.67300000000000004</v>
      </c>
      <c r="FO12" s="388">
        <v>99.2</v>
      </c>
      <c r="FP12" s="388">
        <v>37.5</v>
      </c>
      <c r="FQ12" s="388">
        <v>8.8000000000000007</v>
      </c>
      <c r="FR12" s="388">
        <v>16.8</v>
      </c>
      <c r="FS12" s="388">
        <v>11.2</v>
      </c>
      <c r="FT12" s="388">
        <v>12.2</v>
      </c>
      <c r="FU12" s="388">
        <v>12.3</v>
      </c>
      <c r="FV12" s="388">
        <v>12.7</v>
      </c>
      <c r="FW12" s="272">
        <v>22772931</v>
      </c>
      <c r="FX12" s="384">
        <f t="shared" si="16"/>
        <v>150.19999999999999</v>
      </c>
      <c r="FY12" s="272">
        <v>3291748</v>
      </c>
      <c r="FZ12" s="272">
        <v>503697</v>
      </c>
      <c r="GA12" s="272">
        <v>188585</v>
      </c>
      <c r="GB12" s="272">
        <v>2599466</v>
      </c>
      <c r="GC12" s="272"/>
      <c r="GD12" s="272">
        <v>4009775</v>
      </c>
      <c r="GE12" s="384">
        <f t="shared" si="17"/>
        <v>26.4</v>
      </c>
      <c r="GF12" s="388">
        <v>96.8</v>
      </c>
      <c r="GG12" s="388">
        <v>17.100000000000001</v>
      </c>
      <c r="GH12" s="388">
        <v>86.3</v>
      </c>
      <c r="GI12" s="272">
        <v>637</v>
      </c>
    </row>
    <row r="13" spans="2:191" x14ac:dyDescent="0.15">
      <c r="B13" s="89" t="s">
        <v>19</v>
      </c>
      <c r="C13" s="272">
        <v>22825043</v>
      </c>
      <c r="D13" s="455">
        <f t="shared" si="0"/>
        <v>5419412</v>
      </c>
      <c r="E13" s="272">
        <v>131830</v>
      </c>
      <c r="F13" s="272">
        <v>5287582</v>
      </c>
      <c r="G13" s="455">
        <f t="shared" si="1"/>
        <v>1923153</v>
      </c>
      <c r="H13" s="272">
        <v>385605</v>
      </c>
      <c r="I13" s="272">
        <v>1537548</v>
      </c>
      <c r="J13" s="272">
        <v>11201054</v>
      </c>
      <c r="K13" s="272">
        <v>4873091</v>
      </c>
      <c r="L13" s="272">
        <v>3926893</v>
      </c>
      <c r="M13" s="272">
        <v>2043096</v>
      </c>
      <c r="N13" s="272">
        <v>1102334</v>
      </c>
      <c r="O13" s="272">
        <v>2240506</v>
      </c>
      <c r="P13" s="272">
        <v>1363764</v>
      </c>
      <c r="Q13" s="272">
        <v>876742</v>
      </c>
      <c r="R13" s="272">
        <v>289190</v>
      </c>
      <c r="S13" s="272"/>
      <c r="T13" s="455">
        <f t="shared" si="2"/>
        <v>2031990</v>
      </c>
      <c r="U13" s="272">
        <v>203114</v>
      </c>
      <c r="V13" s="272"/>
      <c r="W13" s="272"/>
      <c r="X13" s="272">
        <v>1574140</v>
      </c>
      <c r="Y13" s="272">
        <v>0</v>
      </c>
      <c r="Z13" s="272">
        <v>0</v>
      </c>
      <c r="AA13" s="272">
        <v>254736</v>
      </c>
      <c r="AB13" s="272">
        <v>693031</v>
      </c>
      <c r="AC13" s="272">
        <v>4292562</v>
      </c>
      <c r="AD13" s="272">
        <v>3685486</v>
      </c>
      <c r="AE13" s="272">
        <v>607076</v>
      </c>
      <c r="AF13" s="272">
        <v>29308</v>
      </c>
      <c r="AG13" s="272">
        <v>2146835</v>
      </c>
      <c r="AH13" s="455">
        <f t="shared" si="3"/>
        <v>891088</v>
      </c>
      <c r="AI13" s="272">
        <v>723414</v>
      </c>
      <c r="AJ13" s="272">
        <v>167674</v>
      </c>
      <c r="AK13" s="272">
        <v>7809486</v>
      </c>
      <c r="AL13" s="455">
        <f t="shared" si="4"/>
        <v>6502644</v>
      </c>
      <c r="AM13" s="272">
        <v>4982550</v>
      </c>
      <c r="AN13" s="272">
        <v>1494733</v>
      </c>
      <c r="AO13" s="272">
        <v>0</v>
      </c>
      <c r="AP13" s="272">
        <v>25361</v>
      </c>
      <c r="AQ13" s="272">
        <v>137097</v>
      </c>
      <c r="AR13" s="272">
        <v>0</v>
      </c>
      <c r="AS13" s="272">
        <v>0</v>
      </c>
      <c r="AT13" s="272">
        <v>2170640</v>
      </c>
      <c r="AU13" s="272">
        <v>1154673</v>
      </c>
      <c r="AV13" s="272">
        <v>351572</v>
      </c>
      <c r="AW13" s="272">
        <v>0</v>
      </c>
      <c r="AX13" s="272">
        <v>1015967</v>
      </c>
      <c r="AY13" s="272">
        <v>86420</v>
      </c>
      <c r="AZ13" s="272">
        <v>78147</v>
      </c>
      <c r="BA13" s="272">
        <v>2962</v>
      </c>
      <c r="BB13" s="272">
        <v>7199</v>
      </c>
      <c r="BC13" s="272">
        <v>4240</v>
      </c>
      <c r="BD13" s="272">
        <v>0</v>
      </c>
      <c r="BE13" s="272">
        <v>0</v>
      </c>
      <c r="BF13" s="272">
        <v>4240</v>
      </c>
      <c r="BG13" s="272">
        <v>0</v>
      </c>
      <c r="BH13" s="272">
        <v>30292</v>
      </c>
      <c r="BI13" s="272">
        <v>21206</v>
      </c>
      <c r="BJ13" s="272">
        <v>350543</v>
      </c>
      <c r="BK13" s="272">
        <v>52239</v>
      </c>
      <c r="BL13" s="272">
        <v>3627</v>
      </c>
      <c r="BM13" s="272">
        <v>61359</v>
      </c>
      <c r="BN13" s="272">
        <v>5470800</v>
      </c>
      <c r="BO13" s="455">
        <f t="shared" si="5"/>
        <v>2303000</v>
      </c>
      <c r="BP13" s="455">
        <f t="shared" si="6"/>
        <v>3167800</v>
      </c>
      <c r="BQ13" s="272">
        <v>344300</v>
      </c>
      <c r="BR13" s="272">
        <v>0</v>
      </c>
      <c r="BS13" s="272">
        <v>2823500</v>
      </c>
      <c r="BT13" s="272">
        <v>0</v>
      </c>
      <c r="BU13" s="272">
        <v>49120394</v>
      </c>
      <c r="BV13" s="272"/>
      <c r="BW13" s="272">
        <v>14994787</v>
      </c>
      <c r="BX13" s="272">
        <v>10436618</v>
      </c>
      <c r="BY13" s="272">
        <v>1490774</v>
      </c>
      <c r="BZ13" s="272">
        <v>568880</v>
      </c>
      <c r="CA13" s="272">
        <v>13311010</v>
      </c>
      <c r="CB13" s="272">
        <v>1144040</v>
      </c>
      <c r="CC13" s="272">
        <v>580061</v>
      </c>
      <c r="CD13" s="272">
        <v>2725968</v>
      </c>
      <c r="CE13" s="272">
        <v>6689513</v>
      </c>
      <c r="CF13" s="272">
        <v>1987395</v>
      </c>
      <c r="CG13" s="272">
        <v>183596</v>
      </c>
      <c r="CH13" s="272">
        <v>4823169</v>
      </c>
      <c r="CI13" s="272">
        <v>3356738</v>
      </c>
      <c r="CJ13" s="455">
        <f t="shared" si="7"/>
        <v>1466431</v>
      </c>
      <c r="CK13" s="272">
        <v>3921428</v>
      </c>
      <c r="CL13" s="272">
        <v>2121364</v>
      </c>
      <c r="CM13" s="272">
        <v>214243</v>
      </c>
      <c r="CN13" s="272">
        <v>822559</v>
      </c>
      <c r="CO13" s="272">
        <v>114893</v>
      </c>
      <c r="CP13" s="272">
        <v>3790589</v>
      </c>
      <c r="CQ13" s="272">
        <v>2165146</v>
      </c>
      <c r="CR13" s="272">
        <v>833697</v>
      </c>
      <c r="CS13" s="272">
        <v>718486</v>
      </c>
      <c r="CT13" s="455">
        <f t="shared" si="8"/>
        <v>20919</v>
      </c>
      <c r="CU13" s="272">
        <v>20919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2997830</v>
      </c>
      <c r="DD13" s="272">
        <v>318143</v>
      </c>
      <c r="DE13" s="272">
        <v>2679687</v>
      </c>
      <c r="DF13" s="272">
        <v>0</v>
      </c>
      <c r="DG13" s="272">
        <v>0</v>
      </c>
      <c r="DH13" s="272">
        <v>0</v>
      </c>
      <c r="DI13" s="272">
        <v>75490</v>
      </c>
      <c r="DJ13" s="272">
        <v>65083</v>
      </c>
      <c r="DK13" s="272">
        <v>89</v>
      </c>
      <c r="DL13" s="272">
        <v>10318</v>
      </c>
      <c r="DM13" s="272">
        <v>31098</v>
      </c>
      <c r="DN13" s="272">
        <v>31098</v>
      </c>
      <c r="DO13" s="272">
        <v>31098</v>
      </c>
      <c r="DP13" s="272">
        <v>0</v>
      </c>
      <c r="DQ13" s="272">
        <v>48095</v>
      </c>
      <c r="DR13" s="272">
        <v>0</v>
      </c>
      <c r="DS13" s="272">
        <v>0</v>
      </c>
      <c r="DT13" s="272">
        <v>5860144</v>
      </c>
      <c r="DU13" s="272">
        <v>2673000</v>
      </c>
      <c r="DV13" s="455">
        <f t="shared" si="11"/>
        <v>0</v>
      </c>
      <c r="DW13" s="272">
        <v>0</v>
      </c>
      <c r="DX13" s="272">
        <v>0</v>
      </c>
      <c r="DY13" s="272">
        <v>0</v>
      </c>
      <c r="DZ13" s="272">
        <v>1656842</v>
      </c>
      <c r="EA13" s="272">
        <v>736879</v>
      </c>
      <c r="EB13" s="272">
        <v>791767</v>
      </c>
      <c r="EC13" s="272">
        <v>0</v>
      </c>
      <c r="ED13" s="272">
        <v>49968533</v>
      </c>
      <c r="EF13" s="272">
        <v>-848139</v>
      </c>
      <c r="EG13" s="272">
        <v>31824</v>
      </c>
      <c r="EH13" s="272">
        <v>-879963</v>
      </c>
      <c r="EI13" s="272">
        <v>-914169</v>
      </c>
      <c r="EJ13" s="272">
        <v>-849086</v>
      </c>
      <c r="EL13" s="272"/>
      <c r="EM13" s="272">
        <v>147024</v>
      </c>
      <c r="EN13" s="272">
        <v>0</v>
      </c>
      <c r="EO13" s="272">
        <v>70693</v>
      </c>
      <c r="EP13" s="455">
        <f t="shared" si="12"/>
        <v>408128</v>
      </c>
      <c r="EQ13" s="272">
        <v>30161124</v>
      </c>
      <c r="ER13" s="272">
        <v>-3617313</v>
      </c>
      <c r="ES13" s="272">
        <v>13795801</v>
      </c>
      <c r="ET13" s="272">
        <v>9602124</v>
      </c>
      <c r="EU13" s="272">
        <v>3507447</v>
      </c>
      <c r="EV13" s="272">
        <v>4717336</v>
      </c>
      <c r="EW13" s="455">
        <f t="shared" si="13"/>
        <v>471376</v>
      </c>
      <c r="EX13" s="272">
        <v>471376</v>
      </c>
      <c r="EY13" s="272">
        <v>6641</v>
      </c>
      <c r="EZ13" s="272">
        <v>464735</v>
      </c>
      <c r="FA13" s="272">
        <v>0</v>
      </c>
      <c r="FB13" s="272"/>
      <c r="FC13" s="272">
        <v>3248427</v>
      </c>
      <c r="FD13" s="272">
        <v>3578673</v>
      </c>
      <c r="FE13" s="272">
        <v>2165146</v>
      </c>
      <c r="FF13" s="272">
        <v>5145513</v>
      </c>
      <c r="FG13" s="455">
        <f t="shared" si="14"/>
        <v>162003</v>
      </c>
      <c r="FH13" s="272">
        <v>34626576</v>
      </c>
      <c r="FI13" s="384">
        <f t="shared" si="15"/>
        <v>-3.2</v>
      </c>
      <c r="FJ13" s="272">
        <v>27837477</v>
      </c>
      <c r="FK13" s="272">
        <v>2823523</v>
      </c>
      <c r="FL13" s="272">
        <v>18193224</v>
      </c>
      <c r="FM13" s="272">
        <v>21920372</v>
      </c>
      <c r="FN13" s="460">
        <v>0.82899999999999996</v>
      </c>
      <c r="FO13" s="388">
        <v>106.1</v>
      </c>
      <c r="FP13" s="388">
        <v>43.3</v>
      </c>
      <c r="FQ13" s="388">
        <v>11.3</v>
      </c>
      <c r="FR13" s="388">
        <v>15.4</v>
      </c>
      <c r="FS13" s="388">
        <v>10</v>
      </c>
      <c r="FT13" s="388">
        <v>11.1</v>
      </c>
      <c r="FU13" s="388">
        <v>14.7</v>
      </c>
      <c r="FV13" s="388">
        <v>12.1</v>
      </c>
      <c r="FW13" s="272">
        <v>50883879</v>
      </c>
      <c r="FX13" s="384">
        <f t="shared" si="16"/>
        <v>182.8</v>
      </c>
      <c r="FY13" s="272">
        <v>3404514</v>
      </c>
      <c r="FZ13" s="272">
        <v>110692</v>
      </c>
      <c r="GA13" s="272">
        <v>3393</v>
      </c>
      <c r="GB13" s="272">
        <v>3290429</v>
      </c>
      <c r="GC13" s="272">
        <v>1758800</v>
      </c>
      <c r="GD13" s="272">
        <v>7949416</v>
      </c>
      <c r="GE13" s="384">
        <f t="shared" si="17"/>
        <v>28.6</v>
      </c>
      <c r="GF13" s="388">
        <v>97.8</v>
      </c>
      <c r="GG13" s="388">
        <v>16.399999999999999</v>
      </c>
      <c r="GH13" s="388">
        <v>89.9</v>
      </c>
      <c r="GI13" s="272">
        <v>1277</v>
      </c>
    </row>
    <row r="14" spans="2:191" x14ac:dyDescent="0.15">
      <c r="B14" s="89" t="s">
        <v>21</v>
      </c>
      <c r="C14" s="272">
        <v>54515140</v>
      </c>
      <c r="D14" s="455">
        <f t="shared" si="0"/>
        <v>19922845</v>
      </c>
      <c r="E14" s="272">
        <v>369140</v>
      </c>
      <c r="F14" s="272">
        <v>19553705</v>
      </c>
      <c r="G14" s="455">
        <f t="shared" si="1"/>
        <v>2917511</v>
      </c>
      <c r="H14" s="272">
        <v>619635</v>
      </c>
      <c r="I14" s="272">
        <v>2297876</v>
      </c>
      <c r="J14" s="272">
        <v>22893009</v>
      </c>
      <c r="K14" s="272">
        <v>11148498</v>
      </c>
      <c r="L14" s="272">
        <v>8780827</v>
      </c>
      <c r="M14" s="272">
        <v>2385725</v>
      </c>
      <c r="N14" s="272">
        <v>2048028</v>
      </c>
      <c r="O14" s="272">
        <v>5185495</v>
      </c>
      <c r="P14" s="272">
        <v>3219962</v>
      </c>
      <c r="Q14" s="272">
        <v>1965533</v>
      </c>
      <c r="R14" s="272">
        <v>805135</v>
      </c>
      <c r="S14" s="272"/>
      <c r="T14" s="455">
        <f t="shared" si="2"/>
        <v>4746270</v>
      </c>
      <c r="U14" s="272">
        <v>690605</v>
      </c>
      <c r="V14" s="272"/>
      <c r="W14" s="272"/>
      <c r="X14" s="272">
        <v>3232747</v>
      </c>
      <c r="Y14" s="272">
        <v>113776</v>
      </c>
      <c r="Z14" s="272">
        <v>0</v>
      </c>
      <c r="AA14" s="272">
        <v>709142</v>
      </c>
      <c r="AB14" s="272">
        <v>2154239</v>
      </c>
      <c r="AC14" s="272">
        <v>9044485</v>
      </c>
      <c r="AD14" s="272">
        <v>8866468</v>
      </c>
      <c r="AE14" s="272">
        <v>178017</v>
      </c>
      <c r="AF14" s="272">
        <v>79898</v>
      </c>
      <c r="AG14" s="272">
        <v>800740</v>
      </c>
      <c r="AH14" s="455">
        <f t="shared" si="3"/>
        <v>2225561</v>
      </c>
      <c r="AI14" s="272">
        <v>1725022</v>
      </c>
      <c r="AJ14" s="272">
        <v>500539</v>
      </c>
      <c r="AK14" s="272">
        <v>12408763</v>
      </c>
      <c r="AL14" s="455">
        <f t="shared" si="4"/>
        <v>7523550</v>
      </c>
      <c r="AM14" s="272">
        <v>5956789</v>
      </c>
      <c r="AN14" s="272">
        <v>1523693</v>
      </c>
      <c r="AO14" s="272">
        <v>0</v>
      </c>
      <c r="AP14" s="272">
        <v>43068</v>
      </c>
      <c r="AQ14" s="272">
        <v>332213</v>
      </c>
      <c r="AR14" s="272">
        <v>0</v>
      </c>
      <c r="AS14" s="272">
        <v>0</v>
      </c>
      <c r="AT14" s="272">
        <v>4694763</v>
      </c>
      <c r="AU14" s="272">
        <v>2911729</v>
      </c>
      <c r="AV14" s="272">
        <v>761846</v>
      </c>
      <c r="AW14" s="272">
        <v>0</v>
      </c>
      <c r="AX14" s="272">
        <v>1783034</v>
      </c>
      <c r="AY14" s="272">
        <v>21246</v>
      </c>
      <c r="AZ14" s="272">
        <v>330650</v>
      </c>
      <c r="BA14" s="272">
        <v>296228</v>
      </c>
      <c r="BB14" s="272">
        <v>18359</v>
      </c>
      <c r="BC14" s="272">
        <v>447374</v>
      </c>
      <c r="BD14" s="272">
        <v>0</v>
      </c>
      <c r="BE14" s="272">
        <v>303742</v>
      </c>
      <c r="BF14" s="272">
        <v>21462</v>
      </c>
      <c r="BG14" s="272">
        <v>0</v>
      </c>
      <c r="BH14" s="272">
        <v>157510</v>
      </c>
      <c r="BI14" s="272">
        <v>70149</v>
      </c>
      <c r="BJ14" s="272">
        <v>473915</v>
      </c>
      <c r="BK14" s="272">
        <v>0</v>
      </c>
      <c r="BL14" s="272">
        <v>0</v>
      </c>
      <c r="BM14" s="272">
        <v>79117</v>
      </c>
      <c r="BN14" s="272">
        <v>9277000</v>
      </c>
      <c r="BO14" s="455">
        <f t="shared" si="5"/>
        <v>2360100</v>
      </c>
      <c r="BP14" s="455">
        <f t="shared" si="6"/>
        <v>6916900</v>
      </c>
      <c r="BQ14" s="272">
        <v>796900</v>
      </c>
      <c r="BR14" s="272">
        <v>0</v>
      </c>
      <c r="BS14" s="272">
        <v>6120000</v>
      </c>
      <c r="BT14" s="272">
        <v>0</v>
      </c>
      <c r="BU14" s="272">
        <v>102179802</v>
      </c>
      <c r="BV14" s="272"/>
      <c r="BW14" s="272">
        <v>27673900</v>
      </c>
      <c r="BX14" s="272">
        <v>18738251</v>
      </c>
      <c r="BY14" s="272">
        <v>2967332</v>
      </c>
      <c r="BZ14" s="272">
        <v>1724746</v>
      </c>
      <c r="CA14" s="272">
        <v>19764547</v>
      </c>
      <c r="CB14" s="272">
        <v>3212344</v>
      </c>
      <c r="CC14" s="272">
        <v>851134</v>
      </c>
      <c r="CD14" s="272">
        <v>7266804</v>
      </c>
      <c r="CE14" s="272">
        <v>8063153</v>
      </c>
      <c r="CF14" s="272">
        <v>358</v>
      </c>
      <c r="CG14" s="272">
        <v>368389</v>
      </c>
      <c r="CH14" s="272">
        <v>12998026</v>
      </c>
      <c r="CI14" s="272">
        <v>10012786</v>
      </c>
      <c r="CJ14" s="455">
        <f t="shared" si="7"/>
        <v>2985240</v>
      </c>
      <c r="CK14" s="272">
        <v>9380076</v>
      </c>
      <c r="CL14" s="272">
        <v>4694703</v>
      </c>
      <c r="CM14" s="272">
        <v>779542</v>
      </c>
      <c r="CN14" s="272">
        <v>2162877</v>
      </c>
      <c r="CO14" s="272">
        <v>681064</v>
      </c>
      <c r="CP14" s="272">
        <v>11471437</v>
      </c>
      <c r="CQ14" s="272">
        <v>5086619</v>
      </c>
      <c r="CR14" s="272">
        <v>2612386</v>
      </c>
      <c r="CS14" s="272">
        <v>1933232</v>
      </c>
      <c r="CT14" s="455">
        <f t="shared" si="8"/>
        <v>1583456</v>
      </c>
      <c r="CU14" s="272">
        <v>1212770</v>
      </c>
      <c r="CV14" s="272">
        <v>370686</v>
      </c>
      <c r="CW14" s="455">
        <f t="shared" si="9"/>
        <v>1191598</v>
      </c>
      <c r="CX14" s="272">
        <v>1061370</v>
      </c>
      <c r="CY14" s="272">
        <v>130228</v>
      </c>
      <c r="CZ14" s="455">
        <f t="shared" si="10"/>
        <v>0</v>
      </c>
      <c r="DA14" s="272">
        <v>0</v>
      </c>
      <c r="DB14" s="272">
        <v>0</v>
      </c>
      <c r="DC14" s="272">
        <v>5516003</v>
      </c>
      <c r="DD14" s="272">
        <v>497744</v>
      </c>
      <c r="DE14" s="272">
        <v>5013060</v>
      </c>
      <c r="DF14" s="272">
        <v>5199</v>
      </c>
      <c r="DG14" s="272">
        <v>0</v>
      </c>
      <c r="DH14" s="272">
        <v>0</v>
      </c>
      <c r="DI14" s="272">
        <v>438278</v>
      </c>
      <c r="DJ14" s="272">
        <v>70000</v>
      </c>
      <c r="DK14" s="272">
        <v>44469</v>
      </c>
      <c r="DL14" s="272">
        <v>323809</v>
      </c>
      <c r="DM14" s="272">
        <v>0</v>
      </c>
      <c r="DN14" s="272">
        <v>0</v>
      </c>
      <c r="DO14" s="272">
        <v>0</v>
      </c>
      <c r="DP14" s="272">
        <v>0</v>
      </c>
      <c r="DQ14" s="272">
        <v>0</v>
      </c>
      <c r="DR14" s="272">
        <v>0</v>
      </c>
      <c r="DS14" s="272">
        <v>0</v>
      </c>
      <c r="DT14" s="272">
        <v>13895770</v>
      </c>
      <c r="DU14" s="272">
        <v>7412068</v>
      </c>
      <c r="DV14" s="455">
        <f t="shared" si="11"/>
        <v>0</v>
      </c>
      <c r="DW14" s="272">
        <v>0</v>
      </c>
      <c r="DX14" s="272">
        <v>0</v>
      </c>
      <c r="DY14" s="272">
        <v>40617</v>
      </c>
      <c r="DZ14" s="272">
        <v>3003916</v>
      </c>
      <c r="EA14" s="272">
        <v>1520593</v>
      </c>
      <c r="EB14" s="272">
        <v>1918576</v>
      </c>
      <c r="EC14" s="272">
        <v>0</v>
      </c>
      <c r="ED14" s="272">
        <v>101819101</v>
      </c>
      <c r="EF14" s="272">
        <v>360701</v>
      </c>
      <c r="EG14" s="272">
        <v>203887</v>
      </c>
      <c r="EH14" s="272">
        <v>156814</v>
      </c>
      <c r="EI14" s="272">
        <v>86665</v>
      </c>
      <c r="EJ14" s="272">
        <v>317185</v>
      </c>
      <c r="EL14" s="272"/>
      <c r="EM14" s="272">
        <v>403905</v>
      </c>
      <c r="EN14" s="272">
        <v>425913</v>
      </c>
      <c r="EO14" s="272">
        <v>322148</v>
      </c>
      <c r="EP14" s="455">
        <f t="shared" si="12"/>
        <v>857361</v>
      </c>
      <c r="EQ14" s="272">
        <v>71345167</v>
      </c>
      <c r="ER14" s="272">
        <v>-8442424</v>
      </c>
      <c r="ES14" s="272">
        <v>25086500</v>
      </c>
      <c r="ET14" s="272">
        <v>16430619</v>
      </c>
      <c r="EU14" s="272">
        <v>6157686</v>
      </c>
      <c r="EV14" s="272">
        <v>12996592</v>
      </c>
      <c r="EW14" s="455">
        <f t="shared" si="13"/>
        <v>2724383</v>
      </c>
      <c r="EX14" s="272">
        <v>2724383</v>
      </c>
      <c r="EY14" s="272">
        <v>79569</v>
      </c>
      <c r="EZ14" s="272">
        <v>2639615</v>
      </c>
      <c r="FA14" s="272">
        <v>0</v>
      </c>
      <c r="FB14" s="272"/>
      <c r="FC14" s="272">
        <v>7706571</v>
      </c>
      <c r="FD14" s="272">
        <v>10794402</v>
      </c>
      <c r="FE14" s="272">
        <v>5086619</v>
      </c>
      <c r="FF14" s="272">
        <v>12861435</v>
      </c>
      <c r="FG14" s="455">
        <f t="shared" si="14"/>
        <v>1099321</v>
      </c>
      <c r="FH14" s="272">
        <v>79426890</v>
      </c>
      <c r="FI14" s="384">
        <f t="shared" si="15"/>
        <v>0.2</v>
      </c>
      <c r="FJ14" s="272">
        <v>65840437</v>
      </c>
      <c r="FK14" s="272">
        <v>6449047</v>
      </c>
      <c r="FL14" s="272">
        <v>42949348</v>
      </c>
      <c r="FM14" s="272">
        <v>51939200</v>
      </c>
      <c r="FN14" s="460">
        <v>0.83899999999999997</v>
      </c>
      <c r="FO14" s="388">
        <v>90.5</v>
      </c>
      <c r="FP14" s="388">
        <v>31.8</v>
      </c>
      <c r="FQ14" s="388">
        <v>8.4</v>
      </c>
      <c r="FR14" s="388">
        <v>17.5</v>
      </c>
      <c r="FS14" s="388">
        <v>9.9</v>
      </c>
      <c r="FT14" s="388">
        <v>12.5</v>
      </c>
      <c r="FU14" s="388">
        <v>9.5</v>
      </c>
      <c r="FV14" s="388">
        <v>11.1</v>
      </c>
      <c r="FW14" s="272">
        <v>99169370</v>
      </c>
      <c r="FX14" s="384">
        <f t="shared" si="16"/>
        <v>150.6</v>
      </c>
      <c r="FY14" s="272">
        <v>13869066</v>
      </c>
      <c r="FZ14" s="272">
        <v>70000</v>
      </c>
      <c r="GA14" s="272">
        <v>3051353</v>
      </c>
      <c r="GB14" s="272">
        <v>10747713</v>
      </c>
      <c r="GC14" s="272"/>
      <c r="GD14" s="272">
        <v>26028598</v>
      </c>
      <c r="GE14" s="384">
        <f t="shared" si="17"/>
        <v>39.5</v>
      </c>
      <c r="GF14" s="388">
        <v>97.9</v>
      </c>
      <c r="GG14" s="388">
        <v>20.7</v>
      </c>
      <c r="GH14" s="388">
        <v>90.8</v>
      </c>
      <c r="GI14" s="272">
        <v>2534</v>
      </c>
    </row>
    <row r="15" spans="2:191" x14ac:dyDescent="0.15">
      <c r="B15" s="89" t="s">
        <v>23</v>
      </c>
      <c r="C15" s="272">
        <v>41824421</v>
      </c>
      <c r="D15" s="455">
        <f t="shared" si="0"/>
        <v>14156231</v>
      </c>
      <c r="E15" s="272">
        <v>244765</v>
      </c>
      <c r="F15" s="272">
        <v>13911466</v>
      </c>
      <c r="G15" s="455">
        <f t="shared" si="1"/>
        <v>3096928</v>
      </c>
      <c r="H15" s="272">
        <v>697588</v>
      </c>
      <c r="I15" s="272">
        <v>2399340</v>
      </c>
      <c r="J15" s="272">
        <v>18945847</v>
      </c>
      <c r="K15" s="272">
        <v>8919205</v>
      </c>
      <c r="L15" s="272">
        <v>6799846</v>
      </c>
      <c r="M15" s="272">
        <v>2948241</v>
      </c>
      <c r="N15" s="272">
        <v>1610264</v>
      </c>
      <c r="O15" s="272">
        <v>3858596</v>
      </c>
      <c r="P15" s="272">
        <v>2364228</v>
      </c>
      <c r="Q15" s="272">
        <v>1494368</v>
      </c>
      <c r="R15" s="272">
        <v>548590</v>
      </c>
      <c r="S15" s="272"/>
      <c r="T15" s="455">
        <f t="shared" si="2"/>
        <v>3462974</v>
      </c>
      <c r="U15" s="272">
        <v>464724</v>
      </c>
      <c r="V15" s="272"/>
      <c r="W15" s="272"/>
      <c r="X15" s="272">
        <v>2400291</v>
      </c>
      <c r="Y15" s="272">
        <v>114740</v>
      </c>
      <c r="Z15" s="272">
        <v>0</v>
      </c>
      <c r="AA15" s="272">
        <v>483219</v>
      </c>
      <c r="AB15" s="272">
        <v>1572902</v>
      </c>
      <c r="AC15" s="272">
        <v>1216775</v>
      </c>
      <c r="AD15" s="272">
        <v>944647</v>
      </c>
      <c r="AE15" s="272">
        <v>272128</v>
      </c>
      <c r="AF15" s="272">
        <v>56085</v>
      </c>
      <c r="AG15" s="272">
        <v>464352</v>
      </c>
      <c r="AH15" s="455">
        <f t="shared" si="3"/>
        <v>2265055</v>
      </c>
      <c r="AI15" s="272">
        <v>1898313</v>
      </c>
      <c r="AJ15" s="272">
        <v>366742</v>
      </c>
      <c r="AK15" s="272">
        <v>7576706</v>
      </c>
      <c r="AL15" s="455">
        <f t="shared" si="4"/>
        <v>4059930</v>
      </c>
      <c r="AM15" s="272">
        <v>3188888</v>
      </c>
      <c r="AN15" s="272">
        <v>852538</v>
      </c>
      <c r="AO15" s="272">
        <v>0</v>
      </c>
      <c r="AP15" s="272">
        <v>18504</v>
      </c>
      <c r="AQ15" s="272">
        <v>661876</v>
      </c>
      <c r="AR15" s="272">
        <v>0</v>
      </c>
      <c r="AS15" s="272">
        <v>0</v>
      </c>
      <c r="AT15" s="272">
        <v>3692139</v>
      </c>
      <c r="AU15" s="272">
        <v>2161437</v>
      </c>
      <c r="AV15" s="272">
        <v>426270</v>
      </c>
      <c r="AW15" s="272">
        <v>239060</v>
      </c>
      <c r="AX15" s="272">
        <v>1530702</v>
      </c>
      <c r="AY15" s="272">
        <v>24014</v>
      </c>
      <c r="AZ15" s="272">
        <v>21083</v>
      </c>
      <c r="BA15" s="272">
        <v>8701</v>
      </c>
      <c r="BB15" s="272">
        <v>150303</v>
      </c>
      <c r="BC15" s="272">
        <v>876909</v>
      </c>
      <c r="BD15" s="272">
        <v>400000</v>
      </c>
      <c r="BE15" s="272">
        <v>0</v>
      </c>
      <c r="BF15" s="272">
        <v>230487</v>
      </c>
      <c r="BG15" s="272">
        <v>0</v>
      </c>
      <c r="BH15" s="272">
        <v>1029874</v>
      </c>
      <c r="BI15" s="272">
        <v>412430</v>
      </c>
      <c r="BJ15" s="272">
        <v>2061545</v>
      </c>
      <c r="BK15" s="272">
        <v>408722</v>
      </c>
      <c r="BL15" s="272">
        <v>163797</v>
      </c>
      <c r="BM15" s="272">
        <v>72326</v>
      </c>
      <c r="BN15" s="272">
        <v>7570400</v>
      </c>
      <c r="BO15" s="455">
        <f t="shared" si="5"/>
        <v>2512300</v>
      </c>
      <c r="BP15" s="455">
        <f t="shared" si="6"/>
        <v>5058100</v>
      </c>
      <c r="BQ15" s="272">
        <v>565500</v>
      </c>
      <c r="BR15" s="272">
        <v>0</v>
      </c>
      <c r="BS15" s="272">
        <v>4492600</v>
      </c>
      <c r="BT15" s="272">
        <v>0</v>
      </c>
      <c r="BU15" s="272">
        <v>74390113</v>
      </c>
      <c r="BV15" s="272"/>
      <c r="BW15" s="272">
        <v>18905362</v>
      </c>
      <c r="BX15" s="272">
        <v>12860796</v>
      </c>
      <c r="BY15" s="272">
        <v>2519907</v>
      </c>
      <c r="BZ15" s="272">
        <v>518999</v>
      </c>
      <c r="CA15" s="272">
        <v>12002970</v>
      </c>
      <c r="CB15" s="272">
        <v>2093731</v>
      </c>
      <c r="CC15" s="272">
        <v>811315</v>
      </c>
      <c r="CD15" s="272">
        <v>4476497</v>
      </c>
      <c r="CE15" s="272">
        <v>4375938</v>
      </c>
      <c r="CF15" s="272">
        <v>0</v>
      </c>
      <c r="CG15" s="272">
        <v>244889</v>
      </c>
      <c r="CH15" s="272">
        <v>5916791</v>
      </c>
      <c r="CI15" s="272">
        <v>4493182</v>
      </c>
      <c r="CJ15" s="455">
        <f t="shared" si="7"/>
        <v>1423609</v>
      </c>
      <c r="CK15" s="272">
        <v>12351235</v>
      </c>
      <c r="CL15" s="272">
        <v>6545528</v>
      </c>
      <c r="CM15" s="272">
        <v>856257</v>
      </c>
      <c r="CN15" s="272">
        <v>2891001</v>
      </c>
      <c r="CO15" s="272">
        <v>979866</v>
      </c>
      <c r="CP15" s="272">
        <v>2523034</v>
      </c>
      <c r="CQ15" s="272">
        <v>1568</v>
      </c>
      <c r="CR15" s="272">
        <v>1462530</v>
      </c>
      <c r="CS15" s="272">
        <v>944116</v>
      </c>
      <c r="CT15" s="455">
        <f t="shared" si="8"/>
        <v>80774</v>
      </c>
      <c r="CU15" s="272">
        <v>9108</v>
      </c>
      <c r="CV15" s="272">
        <v>71666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10551148</v>
      </c>
      <c r="DD15" s="272">
        <v>1867376</v>
      </c>
      <c r="DE15" s="272">
        <v>8370614</v>
      </c>
      <c r="DF15" s="272">
        <v>99922</v>
      </c>
      <c r="DG15" s="272">
        <v>213236</v>
      </c>
      <c r="DH15" s="272">
        <v>23818</v>
      </c>
      <c r="DI15" s="272">
        <v>14177</v>
      </c>
      <c r="DJ15" s="272">
        <v>1340</v>
      </c>
      <c r="DK15" s="272">
        <v>0</v>
      </c>
      <c r="DL15" s="272">
        <v>12837</v>
      </c>
      <c r="DM15" s="272">
        <v>5902</v>
      </c>
      <c r="DN15" s="272">
        <v>5454</v>
      </c>
      <c r="DO15" s="272">
        <v>5454</v>
      </c>
      <c r="DP15" s="272">
        <v>0</v>
      </c>
      <c r="DQ15" s="272">
        <v>408500</v>
      </c>
      <c r="DR15" s="272">
        <v>0</v>
      </c>
      <c r="DS15" s="272">
        <v>0</v>
      </c>
      <c r="DT15" s="272">
        <v>9640756</v>
      </c>
      <c r="DU15" s="272">
        <v>4988000</v>
      </c>
      <c r="DV15" s="455">
        <f t="shared" si="11"/>
        <v>0</v>
      </c>
      <c r="DW15" s="272">
        <v>0</v>
      </c>
      <c r="DX15" s="272">
        <v>0</v>
      </c>
      <c r="DY15" s="272">
        <v>0</v>
      </c>
      <c r="DZ15" s="272">
        <v>2380000</v>
      </c>
      <c r="EA15" s="272">
        <v>1090338</v>
      </c>
      <c r="EB15" s="272">
        <v>951695</v>
      </c>
      <c r="EC15" s="272">
        <v>0</v>
      </c>
      <c r="ED15" s="272">
        <v>73323559</v>
      </c>
      <c r="EF15" s="272">
        <v>1066554</v>
      </c>
      <c r="EG15" s="272">
        <v>839063</v>
      </c>
      <c r="EH15" s="272">
        <v>227491</v>
      </c>
      <c r="EI15" s="272">
        <v>-184939</v>
      </c>
      <c r="EJ15" s="272">
        <v>-583563</v>
      </c>
      <c r="EL15" s="272"/>
      <c r="EM15" s="272">
        <v>262692</v>
      </c>
      <c r="EN15" s="272">
        <v>641051</v>
      </c>
      <c r="EO15" s="272">
        <v>18169</v>
      </c>
      <c r="EP15" s="455">
        <f t="shared" si="12"/>
        <v>1776378</v>
      </c>
      <c r="EQ15" s="272">
        <v>48681747</v>
      </c>
      <c r="ER15" s="272">
        <v>-7437613</v>
      </c>
      <c r="ES15" s="272">
        <v>16888572</v>
      </c>
      <c r="ET15" s="272">
        <v>10863935</v>
      </c>
      <c r="EU15" s="272">
        <v>4346390</v>
      </c>
      <c r="EV15" s="272">
        <v>5870878</v>
      </c>
      <c r="EW15" s="455">
        <f t="shared" si="13"/>
        <v>5988244</v>
      </c>
      <c r="EX15" s="272">
        <v>5971755</v>
      </c>
      <c r="EY15" s="272">
        <v>732095</v>
      </c>
      <c r="EZ15" s="272">
        <v>5139738</v>
      </c>
      <c r="FA15" s="272">
        <v>16489</v>
      </c>
      <c r="FB15" s="272"/>
      <c r="FC15" s="272">
        <v>9977975</v>
      </c>
      <c r="FD15" s="272">
        <v>2050073</v>
      </c>
      <c r="FE15" s="272">
        <v>1568</v>
      </c>
      <c r="FF15" s="272">
        <v>8992391</v>
      </c>
      <c r="FG15" s="455">
        <f t="shared" si="14"/>
        <v>938283</v>
      </c>
      <c r="FH15" s="272">
        <v>55052806</v>
      </c>
      <c r="FI15" s="384">
        <f t="shared" si="15"/>
        <v>0.5</v>
      </c>
      <c r="FJ15" s="272">
        <v>44434948</v>
      </c>
      <c r="FK15" s="272">
        <v>4492603</v>
      </c>
      <c r="FL15" s="272">
        <v>32766477</v>
      </c>
      <c r="FM15" s="272">
        <v>33840407</v>
      </c>
      <c r="FN15" s="460">
        <v>0.96199999999999997</v>
      </c>
      <c r="FO15" s="388">
        <v>87.1</v>
      </c>
      <c r="FP15" s="388">
        <v>32.1</v>
      </c>
      <c r="FQ15" s="388">
        <v>8.6999999999999993</v>
      </c>
      <c r="FR15" s="388">
        <v>11.8</v>
      </c>
      <c r="FS15" s="388">
        <v>18.8</v>
      </c>
      <c r="FT15" s="388">
        <v>3.2</v>
      </c>
      <c r="FU15" s="388">
        <v>10.7</v>
      </c>
      <c r="FV15" s="388">
        <v>5.8</v>
      </c>
      <c r="FW15" s="272">
        <v>49619576</v>
      </c>
      <c r="FX15" s="384">
        <f t="shared" si="16"/>
        <v>111.7</v>
      </c>
      <c r="FY15" s="272">
        <v>10307923</v>
      </c>
      <c r="FZ15" s="272">
        <v>3674033</v>
      </c>
      <c r="GA15" s="272"/>
      <c r="GB15" s="272">
        <v>6633890</v>
      </c>
      <c r="GC15" s="272"/>
      <c r="GD15" s="272">
        <v>13190380</v>
      </c>
      <c r="GE15" s="384">
        <f t="shared" si="17"/>
        <v>29.7</v>
      </c>
      <c r="GF15" s="388">
        <v>98.5</v>
      </c>
      <c r="GG15" s="388">
        <v>19.2</v>
      </c>
      <c r="GH15" s="388">
        <v>94.1</v>
      </c>
      <c r="GI15" s="272">
        <v>1785</v>
      </c>
    </row>
    <row r="16" spans="2:191" x14ac:dyDescent="0.15">
      <c r="B16" s="89" t="s">
        <v>25</v>
      </c>
      <c r="C16" s="272">
        <v>38898378</v>
      </c>
      <c r="D16" s="455">
        <f t="shared" si="0"/>
        <v>11721222</v>
      </c>
      <c r="E16" s="272">
        <v>242774</v>
      </c>
      <c r="F16" s="272">
        <v>11478448</v>
      </c>
      <c r="G16" s="455">
        <f t="shared" si="1"/>
        <v>3302650</v>
      </c>
      <c r="H16" s="272">
        <v>637297</v>
      </c>
      <c r="I16" s="272">
        <v>2665353</v>
      </c>
      <c r="J16" s="272">
        <v>17921792</v>
      </c>
      <c r="K16" s="272">
        <v>9368927</v>
      </c>
      <c r="L16" s="272">
        <v>5962272</v>
      </c>
      <c r="M16" s="272">
        <v>2318549</v>
      </c>
      <c r="N16" s="272">
        <v>1928798</v>
      </c>
      <c r="O16" s="272">
        <v>3828293</v>
      </c>
      <c r="P16" s="272">
        <v>2507420</v>
      </c>
      <c r="Q16" s="272">
        <v>1320873</v>
      </c>
      <c r="R16" s="272">
        <v>568316</v>
      </c>
      <c r="S16" s="272"/>
      <c r="T16" s="455">
        <f t="shared" si="2"/>
        <v>3507517</v>
      </c>
      <c r="U16" s="272">
        <v>408626</v>
      </c>
      <c r="V16" s="272"/>
      <c r="W16" s="272"/>
      <c r="X16" s="272">
        <v>2599142</v>
      </c>
      <c r="Y16" s="272">
        <v>0</v>
      </c>
      <c r="Z16" s="272">
        <v>0</v>
      </c>
      <c r="AA16" s="272">
        <v>499749</v>
      </c>
      <c r="AB16" s="272">
        <v>1363230</v>
      </c>
      <c r="AC16" s="272">
        <v>8317664</v>
      </c>
      <c r="AD16" s="272">
        <v>7440440</v>
      </c>
      <c r="AE16" s="272">
        <v>877224</v>
      </c>
      <c r="AF16" s="272">
        <v>54171</v>
      </c>
      <c r="AG16" s="272">
        <v>1729965</v>
      </c>
      <c r="AH16" s="455">
        <f t="shared" si="3"/>
        <v>2241847</v>
      </c>
      <c r="AI16" s="272">
        <v>1476858</v>
      </c>
      <c r="AJ16" s="272">
        <v>764989</v>
      </c>
      <c r="AK16" s="272">
        <v>11881075</v>
      </c>
      <c r="AL16" s="455">
        <f t="shared" si="4"/>
        <v>7566560</v>
      </c>
      <c r="AM16" s="272">
        <v>6668997</v>
      </c>
      <c r="AN16" s="272">
        <v>841649</v>
      </c>
      <c r="AO16" s="272">
        <v>0</v>
      </c>
      <c r="AP16" s="272">
        <v>55914</v>
      </c>
      <c r="AQ16" s="272">
        <v>800294</v>
      </c>
      <c r="AR16" s="272">
        <v>0</v>
      </c>
      <c r="AS16" s="272">
        <v>48886</v>
      </c>
      <c r="AT16" s="272">
        <v>3941722</v>
      </c>
      <c r="AU16" s="272">
        <v>2140560</v>
      </c>
      <c r="AV16" s="272">
        <v>420825</v>
      </c>
      <c r="AW16" s="272">
        <v>221538</v>
      </c>
      <c r="AX16" s="272">
        <v>1801162</v>
      </c>
      <c r="AY16" s="272">
        <v>54487</v>
      </c>
      <c r="AZ16" s="272">
        <v>62749</v>
      </c>
      <c r="BA16" s="272">
        <v>3259</v>
      </c>
      <c r="BB16" s="272">
        <v>94725</v>
      </c>
      <c r="BC16" s="272">
        <v>4094162</v>
      </c>
      <c r="BD16" s="272">
        <v>0</v>
      </c>
      <c r="BE16" s="272">
        <v>0</v>
      </c>
      <c r="BF16" s="272">
        <v>4094128</v>
      </c>
      <c r="BG16" s="272">
        <v>0</v>
      </c>
      <c r="BH16" s="272">
        <v>752075</v>
      </c>
      <c r="BI16" s="272">
        <v>258786</v>
      </c>
      <c r="BJ16" s="272">
        <v>1150791</v>
      </c>
      <c r="BK16" s="272">
        <v>481011</v>
      </c>
      <c r="BL16" s="272">
        <v>0</v>
      </c>
      <c r="BM16" s="272">
        <v>70050</v>
      </c>
      <c r="BN16" s="272">
        <v>7931900</v>
      </c>
      <c r="BO16" s="455">
        <f t="shared" si="5"/>
        <v>2870400</v>
      </c>
      <c r="BP16" s="455">
        <f t="shared" si="6"/>
        <v>5061500</v>
      </c>
      <c r="BQ16" s="272">
        <v>492500</v>
      </c>
      <c r="BR16" s="272">
        <v>0</v>
      </c>
      <c r="BS16" s="272">
        <v>4569000</v>
      </c>
      <c r="BT16" s="272">
        <v>0</v>
      </c>
      <c r="BU16" s="272">
        <v>86639173</v>
      </c>
      <c r="BV16" s="272"/>
      <c r="BW16" s="272">
        <v>19948109</v>
      </c>
      <c r="BX16" s="272">
        <v>13594774</v>
      </c>
      <c r="BY16" s="272">
        <v>2162247</v>
      </c>
      <c r="BZ16" s="272">
        <v>1075375</v>
      </c>
      <c r="CA16" s="272">
        <v>18603381</v>
      </c>
      <c r="CB16" s="272">
        <v>2237424</v>
      </c>
      <c r="CC16" s="272">
        <v>790189</v>
      </c>
      <c r="CD16" s="272">
        <v>4978519</v>
      </c>
      <c r="CE16" s="272">
        <v>8886997</v>
      </c>
      <c r="CF16" s="272">
        <v>1300982</v>
      </c>
      <c r="CG16" s="272">
        <v>408630</v>
      </c>
      <c r="CH16" s="272">
        <v>9350844</v>
      </c>
      <c r="CI16" s="272">
        <v>7039925</v>
      </c>
      <c r="CJ16" s="455">
        <f t="shared" si="7"/>
        <v>2310919</v>
      </c>
      <c r="CK16" s="272">
        <v>9954406</v>
      </c>
      <c r="CL16" s="272">
        <v>6105308</v>
      </c>
      <c r="CM16" s="272">
        <v>620604</v>
      </c>
      <c r="CN16" s="272">
        <v>1912466</v>
      </c>
      <c r="CO16" s="272">
        <v>440586</v>
      </c>
      <c r="CP16" s="272">
        <v>3703066</v>
      </c>
      <c r="CQ16" s="272">
        <v>44794</v>
      </c>
      <c r="CR16" s="272">
        <v>1615132</v>
      </c>
      <c r="CS16" s="272">
        <v>907336</v>
      </c>
      <c r="CT16" s="455">
        <f t="shared" si="8"/>
        <v>1024809</v>
      </c>
      <c r="CU16" s="272">
        <v>1024809</v>
      </c>
      <c r="CV16" s="272">
        <v>0</v>
      </c>
      <c r="CW16" s="455">
        <f t="shared" si="9"/>
        <v>942936</v>
      </c>
      <c r="CX16" s="272">
        <v>942936</v>
      </c>
      <c r="CY16" s="272">
        <v>0</v>
      </c>
      <c r="CZ16" s="455">
        <f t="shared" si="10"/>
        <v>0</v>
      </c>
      <c r="DA16" s="272">
        <v>0</v>
      </c>
      <c r="DB16" s="272">
        <v>0</v>
      </c>
      <c r="DC16" s="272">
        <v>7692339</v>
      </c>
      <c r="DD16" s="272">
        <v>1970986</v>
      </c>
      <c r="DE16" s="272">
        <v>5460733</v>
      </c>
      <c r="DF16" s="272">
        <v>202453</v>
      </c>
      <c r="DG16" s="272">
        <v>58167</v>
      </c>
      <c r="DH16" s="272">
        <v>0</v>
      </c>
      <c r="DI16" s="272">
        <v>974905</v>
      </c>
      <c r="DJ16" s="272">
        <v>144550</v>
      </c>
      <c r="DK16" s="272">
        <v>0</v>
      </c>
      <c r="DL16" s="272">
        <v>830355</v>
      </c>
      <c r="DM16" s="272">
        <v>3424438</v>
      </c>
      <c r="DN16" s="272">
        <v>3350338</v>
      </c>
      <c r="DO16" s="272">
        <v>0</v>
      </c>
      <c r="DP16" s="272">
        <v>3350338</v>
      </c>
      <c r="DQ16" s="272">
        <v>522500</v>
      </c>
      <c r="DR16" s="272">
        <v>0</v>
      </c>
      <c r="DS16" s="272">
        <v>0</v>
      </c>
      <c r="DT16" s="272">
        <v>11514665</v>
      </c>
      <c r="DU16" s="272">
        <v>5646533</v>
      </c>
      <c r="DV16" s="455">
        <f t="shared" si="11"/>
        <v>0</v>
      </c>
      <c r="DW16" s="272">
        <v>0</v>
      </c>
      <c r="DX16" s="272">
        <v>0</v>
      </c>
      <c r="DY16" s="272">
        <v>0</v>
      </c>
      <c r="DZ16" s="272">
        <v>3095770</v>
      </c>
      <c r="EA16" s="272">
        <v>1186003</v>
      </c>
      <c r="EB16" s="272">
        <v>1580771</v>
      </c>
      <c r="EC16" s="272">
        <v>0</v>
      </c>
      <c r="ED16" s="272">
        <v>86129239</v>
      </c>
      <c r="EF16" s="272">
        <v>509934</v>
      </c>
      <c r="EG16" s="272">
        <v>373382</v>
      </c>
      <c r="EH16" s="272">
        <v>136552</v>
      </c>
      <c r="EI16" s="272">
        <v>-122234</v>
      </c>
      <c r="EJ16" s="272">
        <v>22316</v>
      </c>
      <c r="EL16" s="272"/>
      <c r="EM16" s="272">
        <v>266998</v>
      </c>
      <c r="EN16" s="272">
        <v>655034</v>
      </c>
      <c r="EO16" s="272">
        <v>20211</v>
      </c>
      <c r="EP16" s="455">
        <f t="shared" si="12"/>
        <v>1187209</v>
      </c>
      <c r="EQ16" s="272">
        <v>52758162</v>
      </c>
      <c r="ER16" s="272">
        <v>-6820897</v>
      </c>
      <c r="ES16" s="272">
        <v>18267110</v>
      </c>
      <c r="ET16" s="272">
        <v>12263642</v>
      </c>
      <c r="EU16" s="272">
        <v>5405030</v>
      </c>
      <c r="EV16" s="272">
        <v>9228526</v>
      </c>
      <c r="EW16" s="455">
        <f t="shared" si="13"/>
        <v>3274202</v>
      </c>
      <c r="EX16" s="272">
        <v>3274202</v>
      </c>
      <c r="EY16" s="272">
        <v>140648</v>
      </c>
      <c r="EZ16" s="272">
        <v>3096144</v>
      </c>
      <c r="FA16" s="272">
        <v>0</v>
      </c>
      <c r="FB16" s="272"/>
      <c r="FC16" s="272">
        <v>7782178</v>
      </c>
      <c r="FD16" s="272">
        <v>3192436</v>
      </c>
      <c r="FE16" s="272">
        <v>44794</v>
      </c>
      <c r="FF16" s="272">
        <v>10570064</v>
      </c>
      <c r="FG16" s="455">
        <f t="shared" si="14"/>
        <v>1349579</v>
      </c>
      <c r="FH16" s="272">
        <v>59069125</v>
      </c>
      <c r="FI16" s="384">
        <f t="shared" si="15"/>
        <v>0.3</v>
      </c>
      <c r="FJ16" s="272">
        <v>47546977</v>
      </c>
      <c r="FK16" s="272">
        <v>4569035</v>
      </c>
      <c r="FL16" s="272">
        <v>30239229</v>
      </c>
      <c r="FM16" s="272">
        <v>37733726</v>
      </c>
      <c r="FN16" s="460">
        <v>0.81</v>
      </c>
      <c r="FO16" s="388">
        <v>95.9</v>
      </c>
      <c r="FP16" s="388">
        <v>33</v>
      </c>
      <c r="FQ16" s="388">
        <v>10.1</v>
      </c>
      <c r="FR16" s="388">
        <v>17.3</v>
      </c>
      <c r="FS16" s="388">
        <v>13.9</v>
      </c>
      <c r="FT16" s="388">
        <v>4.9000000000000004</v>
      </c>
      <c r="FU16" s="388">
        <v>16.100000000000001</v>
      </c>
      <c r="FV16" s="388">
        <v>10.8</v>
      </c>
      <c r="FW16" s="272">
        <v>94150352</v>
      </c>
      <c r="FX16" s="384">
        <f t="shared" si="16"/>
        <v>198</v>
      </c>
      <c r="FY16" s="272">
        <v>12785913</v>
      </c>
      <c r="FZ16" s="272">
        <v>4707659</v>
      </c>
      <c r="GA16" s="272"/>
      <c r="GB16" s="272">
        <v>8078254</v>
      </c>
      <c r="GC16" s="272"/>
      <c r="GD16" s="272">
        <v>13200172</v>
      </c>
      <c r="GE16" s="384">
        <f t="shared" si="17"/>
        <v>27.8</v>
      </c>
      <c r="GF16" s="388">
        <v>98.1</v>
      </c>
      <c r="GG16" s="388">
        <v>29.7</v>
      </c>
      <c r="GH16" s="388">
        <v>93.9</v>
      </c>
      <c r="GI16" s="272">
        <v>1820</v>
      </c>
    </row>
    <row r="17" spans="2:191" x14ac:dyDescent="0.15">
      <c r="B17" s="89" t="s">
        <v>27</v>
      </c>
      <c r="C17" s="272">
        <v>19391659</v>
      </c>
      <c r="D17" s="455">
        <f t="shared" si="0"/>
        <v>3286431</v>
      </c>
      <c r="E17" s="272">
        <v>85308</v>
      </c>
      <c r="F17" s="272">
        <v>3201123</v>
      </c>
      <c r="G17" s="455">
        <f t="shared" si="1"/>
        <v>1267829</v>
      </c>
      <c r="H17" s="272">
        <v>405573</v>
      </c>
      <c r="I17" s="272">
        <v>862256</v>
      </c>
      <c r="J17" s="272">
        <v>12144632</v>
      </c>
      <c r="K17" s="272">
        <v>4334803</v>
      </c>
      <c r="L17" s="272">
        <v>3776637</v>
      </c>
      <c r="M17" s="272">
        <v>3574658</v>
      </c>
      <c r="N17" s="272">
        <v>767720</v>
      </c>
      <c r="O17" s="272">
        <v>1791430</v>
      </c>
      <c r="P17" s="272">
        <v>993047</v>
      </c>
      <c r="Q17" s="272">
        <v>798383</v>
      </c>
      <c r="R17" s="272">
        <v>255980</v>
      </c>
      <c r="S17" s="272"/>
      <c r="T17" s="455">
        <f t="shared" si="2"/>
        <v>1381330</v>
      </c>
      <c r="U17" s="272">
        <v>116818</v>
      </c>
      <c r="V17" s="272"/>
      <c r="W17" s="272"/>
      <c r="X17" s="272">
        <v>988382</v>
      </c>
      <c r="Y17" s="272">
        <v>80223</v>
      </c>
      <c r="Z17" s="272">
        <v>0</v>
      </c>
      <c r="AA17" s="272">
        <v>195907</v>
      </c>
      <c r="AB17" s="272">
        <v>379930</v>
      </c>
      <c r="AC17" s="272">
        <v>795123</v>
      </c>
      <c r="AD17" s="272">
        <v>87056</v>
      </c>
      <c r="AE17" s="272">
        <v>708067</v>
      </c>
      <c r="AF17" s="272">
        <v>22308</v>
      </c>
      <c r="AG17" s="272">
        <v>596646</v>
      </c>
      <c r="AH17" s="455">
        <f t="shared" si="3"/>
        <v>838014</v>
      </c>
      <c r="AI17" s="272">
        <v>720714</v>
      </c>
      <c r="AJ17" s="272">
        <v>117300</v>
      </c>
      <c r="AK17" s="272">
        <v>5535119</v>
      </c>
      <c r="AL17" s="455">
        <f t="shared" si="4"/>
        <v>2077753</v>
      </c>
      <c r="AM17" s="272">
        <v>1593713</v>
      </c>
      <c r="AN17" s="272">
        <v>482449</v>
      </c>
      <c r="AO17" s="272">
        <v>0</v>
      </c>
      <c r="AP17" s="272">
        <v>1591</v>
      </c>
      <c r="AQ17" s="272">
        <v>1964434</v>
      </c>
      <c r="AR17" s="272">
        <v>0</v>
      </c>
      <c r="AS17" s="272">
        <v>0</v>
      </c>
      <c r="AT17" s="272">
        <v>2158821</v>
      </c>
      <c r="AU17" s="272">
        <v>1158436</v>
      </c>
      <c r="AV17" s="272">
        <v>241224</v>
      </c>
      <c r="AW17" s="272">
        <v>170349</v>
      </c>
      <c r="AX17" s="272">
        <v>1000385</v>
      </c>
      <c r="AY17" s="272">
        <v>151208</v>
      </c>
      <c r="AZ17" s="272">
        <v>11814</v>
      </c>
      <c r="BA17" s="272">
        <v>10198</v>
      </c>
      <c r="BB17" s="272">
        <v>50107</v>
      </c>
      <c r="BC17" s="272">
        <v>176460</v>
      </c>
      <c r="BD17" s="272">
        <v>0</v>
      </c>
      <c r="BE17" s="272">
        <v>0</v>
      </c>
      <c r="BF17" s="272">
        <v>176460</v>
      </c>
      <c r="BG17" s="272">
        <v>0</v>
      </c>
      <c r="BH17" s="272">
        <v>0</v>
      </c>
      <c r="BI17" s="272">
        <v>0</v>
      </c>
      <c r="BJ17" s="272">
        <v>883850</v>
      </c>
      <c r="BK17" s="272">
        <v>501203</v>
      </c>
      <c r="BL17" s="272">
        <v>0</v>
      </c>
      <c r="BM17" s="272">
        <v>57368</v>
      </c>
      <c r="BN17" s="272">
        <v>5228400</v>
      </c>
      <c r="BO17" s="455">
        <f t="shared" si="5"/>
        <v>2753200</v>
      </c>
      <c r="BP17" s="455">
        <f t="shared" si="6"/>
        <v>1984200</v>
      </c>
      <c r="BQ17" s="272">
        <v>143200</v>
      </c>
      <c r="BR17" s="272">
        <v>0</v>
      </c>
      <c r="BS17" s="272">
        <v>1841000</v>
      </c>
      <c r="BT17" s="272">
        <v>491000</v>
      </c>
      <c r="BU17" s="272">
        <v>37705561</v>
      </c>
      <c r="BV17" s="272"/>
      <c r="BW17" s="272">
        <v>8907734</v>
      </c>
      <c r="BX17" s="272">
        <v>5803390</v>
      </c>
      <c r="BY17" s="272">
        <v>1041062</v>
      </c>
      <c r="BZ17" s="272">
        <v>610510</v>
      </c>
      <c r="CA17" s="272">
        <v>5563685</v>
      </c>
      <c r="CB17" s="272">
        <v>788761</v>
      </c>
      <c r="CC17" s="272">
        <v>300320</v>
      </c>
      <c r="CD17" s="272">
        <v>2071134</v>
      </c>
      <c r="CE17" s="272">
        <v>2301322</v>
      </c>
      <c r="CF17" s="272">
        <v>3005</v>
      </c>
      <c r="CG17" s="272">
        <v>99143</v>
      </c>
      <c r="CH17" s="272">
        <v>5996043</v>
      </c>
      <c r="CI17" s="272">
        <v>3819086</v>
      </c>
      <c r="CJ17" s="455">
        <f t="shared" si="7"/>
        <v>2176957</v>
      </c>
      <c r="CK17" s="272">
        <v>3482549</v>
      </c>
      <c r="CL17" s="272">
        <v>2183769</v>
      </c>
      <c r="CM17" s="272">
        <v>135963</v>
      </c>
      <c r="CN17" s="272">
        <v>626138</v>
      </c>
      <c r="CO17" s="272">
        <v>259250</v>
      </c>
      <c r="CP17" s="272">
        <v>3441377</v>
      </c>
      <c r="CQ17" s="272">
        <v>1154946</v>
      </c>
      <c r="CR17" s="272">
        <v>940528</v>
      </c>
      <c r="CS17" s="272">
        <v>633940</v>
      </c>
      <c r="CT17" s="455">
        <f t="shared" si="8"/>
        <v>956410</v>
      </c>
      <c r="CU17" s="272">
        <v>840391</v>
      </c>
      <c r="CV17" s="272">
        <v>116019</v>
      </c>
      <c r="CW17" s="455">
        <f t="shared" si="9"/>
        <v>950000</v>
      </c>
      <c r="CX17" s="272">
        <v>833981</v>
      </c>
      <c r="CY17" s="272">
        <v>116019</v>
      </c>
      <c r="CZ17" s="455">
        <f t="shared" si="10"/>
        <v>0</v>
      </c>
      <c r="DA17" s="272">
        <v>0</v>
      </c>
      <c r="DB17" s="272">
        <v>0</v>
      </c>
      <c r="DC17" s="272">
        <v>6340795</v>
      </c>
      <c r="DD17" s="272">
        <v>4160771</v>
      </c>
      <c r="DE17" s="272">
        <v>1868659</v>
      </c>
      <c r="DF17" s="272">
        <v>280575</v>
      </c>
      <c r="DG17" s="272">
        <v>30790</v>
      </c>
      <c r="DH17" s="272">
        <v>1846</v>
      </c>
      <c r="DI17" s="272">
        <v>69582</v>
      </c>
      <c r="DJ17" s="272">
        <v>1</v>
      </c>
      <c r="DK17" s="272">
        <v>25</v>
      </c>
      <c r="DL17" s="272">
        <v>69556</v>
      </c>
      <c r="DM17" s="272">
        <v>0</v>
      </c>
      <c r="DN17" s="272">
        <v>0</v>
      </c>
      <c r="DO17" s="272">
        <v>0</v>
      </c>
      <c r="DP17" s="272">
        <v>0</v>
      </c>
      <c r="DQ17" s="272">
        <v>234167</v>
      </c>
      <c r="DR17" s="272">
        <v>0</v>
      </c>
      <c r="DS17" s="272">
        <v>0</v>
      </c>
      <c r="DT17" s="272">
        <v>3906616</v>
      </c>
      <c r="DU17" s="272">
        <v>1927436</v>
      </c>
      <c r="DV17" s="455">
        <f t="shared" si="11"/>
        <v>0</v>
      </c>
      <c r="DW17" s="272">
        <v>0</v>
      </c>
      <c r="DX17" s="272">
        <v>0</v>
      </c>
      <c r="DY17" s="272">
        <v>0</v>
      </c>
      <c r="DZ17" s="272">
        <v>822418</v>
      </c>
      <c r="EA17" s="272">
        <v>497493</v>
      </c>
      <c r="EB17" s="272">
        <v>648969</v>
      </c>
      <c r="EC17" s="272">
        <v>2491291</v>
      </c>
      <c r="ED17" s="272">
        <v>40694935</v>
      </c>
      <c r="EF17" s="272">
        <v>-2989374</v>
      </c>
      <c r="EG17" s="272">
        <v>3998</v>
      </c>
      <c r="EH17" s="272">
        <v>-2993372</v>
      </c>
      <c r="EI17" s="272">
        <v>-485444</v>
      </c>
      <c r="EJ17" s="272">
        <v>-485443</v>
      </c>
      <c r="EL17" s="272"/>
      <c r="EM17" s="272">
        <v>100467</v>
      </c>
      <c r="EN17" s="272">
        <v>0</v>
      </c>
      <c r="EO17" s="272">
        <v>10595</v>
      </c>
      <c r="EP17" s="455">
        <f t="shared" si="12"/>
        <v>384454</v>
      </c>
      <c r="EQ17" s="272">
        <v>22226330</v>
      </c>
      <c r="ER17" s="272">
        <v>-2356941</v>
      </c>
      <c r="ES17" s="272">
        <v>7152487</v>
      </c>
      <c r="ET17" s="272">
        <v>4576361</v>
      </c>
      <c r="EU17" s="272">
        <v>1890059</v>
      </c>
      <c r="EV17" s="272">
        <v>5729180</v>
      </c>
      <c r="EW17" s="455">
        <f t="shared" si="13"/>
        <v>645183</v>
      </c>
      <c r="EX17" s="272">
        <v>643337</v>
      </c>
      <c r="EY17" s="272">
        <v>106953</v>
      </c>
      <c r="EZ17" s="272">
        <v>530552</v>
      </c>
      <c r="FA17" s="272">
        <v>1846</v>
      </c>
      <c r="FB17" s="272"/>
      <c r="FC17" s="272">
        <v>2768064</v>
      </c>
      <c r="FD17" s="272">
        <v>3082056</v>
      </c>
      <c r="FE17" s="272">
        <v>1154946</v>
      </c>
      <c r="FF17" s="272">
        <v>3516783</v>
      </c>
      <c r="FG17" s="455">
        <f t="shared" si="14"/>
        <v>2788833</v>
      </c>
      <c r="FH17" s="272">
        <v>27572645</v>
      </c>
      <c r="FI17" s="384">
        <f t="shared" si="15"/>
        <v>-15</v>
      </c>
      <c r="FJ17" s="272">
        <v>19934826</v>
      </c>
      <c r="FK17" s="272">
        <v>1841069</v>
      </c>
      <c r="FL17" s="272">
        <v>14957212</v>
      </c>
      <c r="FM17" s="272">
        <v>15072916</v>
      </c>
      <c r="FN17" s="460">
        <v>1.0169999999999999</v>
      </c>
      <c r="FO17" s="388">
        <v>106.6</v>
      </c>
      <c r="FP17" s="388">
        <v>32.4</v>
      </c>
      <c r="FQ17" s="388">
        <v>8.6</v>
      </c>
      <c r="FR17" s="388">
        <v>26.3</v>
      </c>
      <c r="FS17" s="388">
        <v>12.2</v>
      </c>
      <c r="FT17" s="388">
        <v>11.9</v>
      </c>
      <c r="FU17" s="388">
        <v>14.2</v>
      </c>
      <c r="FV17" s="388">
        <v>17.899999999999999</v>
      </c>
      <c r="FW17" s="272">
        <v>76697295</v>
      </c>
      <c r="FX17" s="384">
        <f t="shared" si="16"/>
        <v>384.7</v>
      </c>
      <c r="FY17" s="272">
        <v>3023601</v>
      </c>
      <c r="FZ17" s="272">
        <v>841</v>
      </c>
      <c r="GA17" s="272">
        <v>51314</v>
      </c>
      <c r="GB17" s="272">
        <v>2971446</v>
      </c>
      <c r="GC17" s="272">
        <v>600000</v>
      </c>
      <c r="GD17" s="272">
        <v>9016946</v>
      </c>
      <c r="GE17" s="384">
        <f t="shared" si="17"/>
        <v>45.2</v>
      </c>
      <c r="GF17" s="388">
        <v>97.9</v>
      </c>
      <c r="GG17" s="388">
        <v>16.600000000000001</v>
      </c>
      <c r="GH17" s="388">
        <v>89</v>
      </c>
      <c r="GI17" s="272">
        <v>895</v>
      </c>
    </row>
    <row r="18" spans="2:191" x14ac:dyDescent="0.15">
      <c r="B18" s="89" t="s">
        <v>29</v>
      </c>
      <c r="C18" s="272">
        <v>14035942</v>
      </c>
      <c r="D18" s="455">
        <f t="shared" si="0"/>
        <v>5701589</v>
      </c>
      <c r="E18" s="272">
        <v>106116</v>
      </c>
      <c r="F18" s="272">
        <v>5595473</v>
      </c>
      <c r="G18" s="455">
        <f t="shared" si="1"/>
        <v>524601</v>
      </c>
      <c r="H18" s="272">
        <v>172673</v>
      </c>
      <c r="I18" s="272">
        <v>351928</v>
      </c>
      <c r="J18" s="272">
        <v>5882327</v>
      </c>
      <c r="K18" s="272">
        <v>2691326</v>
      </c>
      <c r="L18" s="272">
        <v>2499012</v>
      </c>
      <c r="M18" s="272">
        <v>598076</v>
      </c>
      <c r="N18" s="272">
        <v>601352</v>
      </c>
      <c r="O18" s="272">
        <v>1202018</v>
      </c>
      <c r="P18" s="272">
        <v>723002</v>
      </c>
      <c r="Q18" s="272">
        <v>479016</v>
      </c>
      <c r="R18" s="272">
        <v>281298</v>
      </c>
      <c r="S18" s="272"/>
      <c r="T18" s="455">
        <f t="shared" si="2"/>
        <v>1508394</v>
      </c>
      <c r="U18" s="272">
        <v>187140</v>
      </c>
      <c r="V18" s="272"/>
      <c r="W18" s="272"/>
      <c r="X18" s="272">
        <v>1023533</v>
      </c>
      <c r="Y18" s="272">
        <v>49924</v>
      </c>
      <c r="Z18" s="272">
        <v>0</v>
      </c>
      <c r="AA18" s="272">
        <v>247797</v>
      </c>
      <c r="AB18" s="272">
        <v>580372</v>
      </c>
      <c r="AC18" s="272">
        <v>5078007</v>
      </c>
      <c r="AD18" s="272">
        <v>4810915</v>
      </c>
      <c r="AE18" s="272">
        <v>267092</v>
      </c>
      <c r="AF18" s="272">
        <v>25701</v>
      </c>
      <c r="AG18" s="272">
        <v>469215</v>
      </c>
      <c r="AH18" s="455">
        <f t="shared" si="3"/>
        <v>1218503</v>
      </c>
      <c r="AI18" s="272">
        <v>900105</v>
      </c>
      <c r="AJ18" s="272">
        <v>318398</v>
      </c>
      <c r="AK18" s="272">
        <v>4244075</v>
      </c>
      <c r="AL18" s="455">
        <f t="shared" si="4"/>
        <v>2418305</v>
      </c>
      <c r="AM18" s="272">
        <v>1991872</v>
      </c>
      <c r="AN18" s="272">
        <v>400362</v>
      </c>
      <c r="AO18" s="272">
        <v>0</v>
      </c>
      <c r="AP18" s="272">
        <v>26071</v>
      </c>
      <c r="AQ18" s="272">
        <v>298768</v>
      </c>
      <c r="AR18" s="272">
        <v>8725</v>
      </c>
      <c r="AS18" s="272">
        <v>0</v>
      </c>
      <c r="AT18" s="272">
        <v>1608707</v>
      </c>
      <c r="AU18" s="272">
        <v>685994</v>
      </c>
      <c r="AV18" s="272">
        <v>72645</v>
      </c>
      <c r="AW18" s="272">
        <v>2890</v>
      </c>
      <c r="AX18" s="272">
        <v>922713</v>
      </c>
      <c r="AY18" s="272">
        <v>31567</v>
      </c>
      <c r="AZ18" s="272">
        <v>3168</v>
      </c>
      <c r="BA18" s="272">
        <v>0</v>
      </c>
      <c r="BB18" s="272">
        <v>760</v>
      </c>
      <c r="BC18" s="272">
        <v>339057</v>
      </c>
      <c r="BD18" s="272">
        <v>0</v>
      </c>
      <c r="BE18" s="272">
        <v>0</v>
      </c>
      <c r="BF18" s="272">
        <v>305360</v>
      </c>
      <c r="BG18" s="272">
        <v>0</v>
      </c>
      <c r="BH18" s="272">
        <v>635458</v>
      </c>
      <c r="BI18" s="272">
        <v>424971</v>
      </c>
      <c r="BJ18" s="272">
        <v>1595054</v>
      </c>
      <c r="BK18" s="272">
        <v>1217102</v>
      </c>
      <c r="BL18" s="272">
        <v>0</v>
      </c>
      <c r="BM18" s="272">
        <v>66747</v>
      </c>
      <c r="BN18" s="272">
        <v>3002400</v>
      </c>
      <c r="BO18" s="455">
        <f t="shared" si="5"/>
        <v>447100</v>
      </c>
      <c r="BP18" s="455">
        <f t="shared" si="6"/>
        <v>2555300</v>
      </c>
      <c r="BQ18" s="272">
        <v>204600</v>
      </c>
      <c r="BR18" s="272">
        <v>0</v>
      </c>
      <c r="BS18" s="272">
        <v>2350700</v>
      </c>
      <c r="BT18" s="272">
        <v>0</v>
      </c>
      <c r="BU18" s="272">
        <v>34626111</v>
      </c>
      <c r="BV18" s="272"/>
      <c r="BW18" s="272">
        <v>8585204</v>
      </c>
      <c r="BX18" s="272">
        <v>6169301</v>
      </c>
      <c r="BY18" s="272">
        <v>906618</v>
      </c>
      <c r="BZ18" s="272">
        <v>56809</v>
      </c>
      <c r="CA18" s="272">
        <v>6498579</v>
      </c>
      <c r="CB18" s="272">
        <v>1191711</v>
      </c>
      <c r="CC18" s="272">
        <v>321102</v>
      </c>
      <c r="CD18" s="272">
        <v>2095484</v>
      </c>
      <c r="CE18" s="272">
        <v>2756501</v>
      </c>
      <c r="CF18" s="272">
        <v>0</v>
      </c>
      <c r="CG18" s="272">
        <v>133781</v>
      </c>
      <c r="CH18" s="272">
        <v>2356162</v>
      </c>
      <c r="CI18" s="272">
        <v>1785548</v>
      </c>
      <c r="CJ18" s="455">
        <f t="shared" si="7"/>
        <v>570614</v>
      </c>
      <c r="CK18" s="272">
        <v>5264902</v>
      </c>
      <c r="CL18" s="272">
        <v>3018292</v>
      </c>
      <c r="CM18" s="272">
        <v>690877</v>
      </c>
      <c r="CN18" s="272">
        <v>682885</v>
      </c>
      <c r="CO18" s="272">
        <v>332223</v>
      </c>
      <c r="CP18" s="272">
        <v>3228976</v>
      </c>
      <c r="CQ18" s="272">
        <v>1058172</v>
      </c>
      <c r="CR18" s="272">
        <v>1585044</v>
      </c>
      <c r="CS18" s="272">
        <v>1320183</v>
      </c>
      <c r="CT18" s="455">
        <f t="shared" si="8"/>
        <v>7817</v>
      </c>
      <c r="CU18" s="272">
        <v>1614</v>
      </c>
      <c r="CV18" s="272">
        <v>6203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2481983</v>
      </c>
      <c r="DD18" s="272">
        <v>611081</v>
      </c>
      <c r="DE18" s="272">
        <v>1870902</v>
      </c>
      <c r="DF18" s="272">
        <v>0</v>
      </c>
      <c r="DG18" s="272">
        <v>0</v>
      </c>
      <c r="DH18" s="272">
        <v>33847</v>
      </c>
      <c r="DI18" s="272">
        <v>470908</v>
      </c>
      <c r="DJ18" s="272">
        <v>219816</v>
      </c>
      <c r="DK18" s="272">
        <v>0</v>
      </c>
      <c r="DL18" s="272">
        <v>251092</v>
      </c>
      <c r="DM18" s="272">
        <v>0</v>
      </c>
      <c r="DN18" s="272">
        <v>0</v>
      </c>
      <c r="DO18" s="272">
        <v>0</v>
      </c>
      <c r="DP18" s="272">
        <v>0</v>
      </c>
      <c r="DQ18" s="272">
        <v>1196020</v>
      </c>
      <c r="DR18" s="272">
        <v>0</v>
      </c>
      <c r="DS18" s="272">
        <v>0</v>
      </c>
      <c r="DT18" s="272">
        <v>3749268</v>
      </c>
      <c r="DU18" s="272">
        <v>1501944</v>
      </c>
      <c r="DV18" s="455">
        <f t="shared" si="11"/>
        <v>0</v>
      </c>
      <c r="DW18" s="272">
        <v>0</v>
      </c>
      <c r="DX18" s="272">
        <v>0</v>
      </c>
      <c r="DY18" s="272">
        <v>0</v>
      </c>
      <c r="DZ18" s="272">
        <v>1024448</v>
      </c>
      <c r="EA18" s="272">
        <v>472530</v>
      </c>
      <c r="EB18" s="272">
        <v>750346</v>
      </c>
      <c r="EC18" s="272">
        <v>0</v>
      </c>
      <c r="ED18" s="272">
        <v>34198072</v>
      </c>
      <c r="EF18" s="272">
        <v>428039</v>
      </c>
      <c r="EG18" s="272">
        <v>12991</v>
      </c>
      <c r="EH18" s="272">
        <v>415048</v>
      </c>
      <c r="EI18" s="272">
        <v>-9923</v>
      </c>
      <c r="EJ18" s="272">
        <v>209893</v>
      </c>
      <c r="EL18" s="272"/>
      <c r="EM18" s="272">
        <v>124689</v>
      </c>
      <c r="EN18" s="272">
        <v>142558</v>
      </c>
      <c r="EO18" s="272">
        <v>1</v>
      </c>
      <c r="EP18" s="455">
        <f t="shared" si="12"/>
        <v>770227</v>
      </c>
      <c r="EQ18" s="272">
        <v>21509714</v>
      </c>
      <c r="ER18" s="272">
        <v>-3442385</v>
      </c>
      <c r="ES18" s="272">
        <v>7754654</v>
      </c>
      <c r="ET18" s="272">
        <v>5357740</v>
      </c>
      <c r="EU18" s="272">
        <v>2276571</v>
      </c>
      <c r="EV18" s="272">
        <v>2249078</v>
      </c>
      <c r="EW18" s="455">
        <f t="shared" si="13"/>
        <v>1364002</v>
      </c>
      <c r="EX18" s="272">
        <v>1347580</v>
      </c>
      <c r="EY18" s="272">
        <v>165863</v>
      </c>
      <c r="EZ18" s="272">
        <v>1181717</v>
      </c>
      <c r="FA18" s="272">
        <v>16422</v>
      </c>
      <c r="FB18" s="272"/>
      <c r="FC18" s="272">
        <v>4026723</v>
      </c>
      <c r="FD18" s="272">
        <v>2910976</v>
      </c>
      <c r="FE18" s="272">
        <v>1058172</v>
      </c>
      <c r="FF18" s="272">
        <v>3336436</v>
      </c>
      <c r="FG18" s="455">
        <f t="shared" si="14"/>
        <v>605620</v>
      </c>
      <c r="FH18" s="272">
        <v>24524060</v>
      </c>
      <c r="FI18" s="384">
        <f t="shared" si="15"/>
        <v>2.1</v>
      </c>
      <c r="FJ18" s="272">
        <v>20051944</v>
      </c>
      <c r="FK18" s="272">
        <v>2350721</v>
      </c>
      <c r="FL18" s="272">
        <v>11506238</v>
      </c>
      <c r="FM18" s="272">
        <v>16350291</v>
      </c>
      <c r="FN18" s="460">
        <v>0.69699999999999995</v>
      </c>
      <c r="FO18" s="388">
        <v>92.7</v>
      </c>
      <c r="FP18" s="388">
        <v>32.1</v>
      </c>
      <c r="FQ18" s="388">
        <v>10</v>
      </c>
      <c r="FR18" s="388">
        <v>9.9</v>
      </c>
      <c r="FS18" s="388">
        <v>17.600000000000001</v>
      </c>
      <c r="FT18" s="388">
        <v>12.5</v>
      </c>
      <c r="FU18" s="388">
        <v>9.1999999999999993</v>
      </c>
      <c r="FV18" s="388">
        <v>5.5</v>
      </c>
      <c r="FW18" s="272">
        <v>23652757</v>
      </c>
      <c r="FX18" s="384">
        <f t="shared" si="16"/>
        <v>118</v>
      </c>
      <c r="FY18" s="272">
        <v>10517959</v>
      </c>
      <c r="FZ18" s="272">
        <v>3529379</v>
      </c>
      <c r="GA18" s="272"/>
      <c r="GB18" s="272">
        <v>6988580</v>
      </c>
      <c r="GC18" s="272"/>
      <c r="GD18" s="272">
        <v>835804</v>
      </c>
      <c r="GE18" s="384">
        <f t="shared" si="17"/>
        <v>4.2</v>
      </c>
      <c r="GF18" s="388">
        <v>97.6</v>
      </c>
      <c r="GG18" s="388">
        <v>19.7</v>
      </c>
      <c r="GH18" s="388">
        <v>89</v>
      </c>
      <c r="GI18" s="272">
        <v>885</v>
      </c>
    </row>
    <row r="19" spans="2:191" x14ac:dyDescent="0.15">
      <c r="B19" s="89" t="s">
        <v>31</v>
      </c>
      <c r="C19" s="272">
        <v>27802137</v>
      </c>
      <c r="D19" s="455">
        <f t="shared" si="0"/>
        <v>9744256</v>
      </c>
      <c r="E19" s="272">
        <v>221654</v>
      </c>
      <c r="F19" s="272">
        <v>9522602</v>
      </c>
      <c r="G19" s="455">
        <f t="shared" si="1"/>
        <v>1776228</v>
      </c>
      <c r="H19" s="272">
        <v>510849</v>
      </c>
      <c r="I19" s="272">
        <v>1265379</v>
      </c>
      <c r="J19" s="272">
        <v>11776118</v>
      </c>
      <c r="K19" s="272">
        <v>5811057</v>
      </c>
      <c r="L19" s="272">
        <v>4511375</v>
      </c>
      <c r="M19" s="272">
        <v>1172341</v>
      </c>
      <c r="N19" s="272">
        <v>1576662</v>
      </c>
      <c r="O19" s="272">
        <v>2780491</v>
      </c>
      <c r="P19" s="272">
        <v>1759918</v>
      </c>
      <c r="Q19" s="272">
        <v>1020573</v>
      </c>
      <c r="R19" s="272">
        <v>456086</v>
      </c>
      <c r="S19" s="272"/>
      <c r="T19" s="455">
        <f t="shared" si="2"/>
        <v>2821249</v>
      </c>
      <c r="U19" s="272">
        <v>363051</v>
      </c>
      <c r="V19" s="272"/>
      <c r="W19" s="272"/>
      <c r="X19" s="272">
        <v>2056512</v>
      </c>
      <c r="Y19" s="272">
        <v>0</v>
      </c>
      <c r="Z19" s="272">
        <v>0</v>
      </c>
      <c r="AA19" s="272">
        <v>401686</v>
      </c>
      <c r="AB19" s="272">
        <v>1047556</v>
      </c>
      <c r="AC19" s="272">
        <v>11161190</v>
      </c>
      <c r="AD19" s="272">
        <v>10608932</v>
      </c>
      <c r="AE19" s="272">
        <v>552258</v>
      </c>
      <c r="AF19" s="272">
        <v>42729</v>
      </c>
      <c r="AG19" s="272">
        <v>386957</v>
      </c>
      <c r="AH19" s="455">
        <f t="shared" si="3"/>
        <v>1592667</v>
      </c>
      <c r="AI19" s="272">
        <v>1050736</v>
      </c>
      <c r="AJ19" s="272">
        <v>541931</v>
      </c>
      <c r="AK19" s="272">
        <v>10173990</v>
      </c>
      <c r="AL19" s="455">
        <f t="shared" si="4"/>
        <v>6022378</v>
      </c>
      <c r="AM19" s="272">
        <v>4930314</v>
      </c>
      <c r="AN19" s="272">
        <v>1059684</v>
      </c>
      <c r="AO19" s="272">
        <v>0</v>
      </c>
      <c r="AP19" s="272">
        <v>32380</v>
      </c>
      <c r="AQ19" s="272">
        <v>728843</v>
      </c>
      <c r="AR19" s="272">
        <v>0</v>
      </c>
      <c r="AS19" s="272">
        <v>0</v>
      </c>
      <c r="AT19" s="272">
        <v>3401177</v>
      </c>
      <c r="AU19" s="272">
        <v>1911139</v>
      </c>
      <c r="AV19" s="272">
        <v>529842</v>
      </c>
      <c r="AW19" s="272">
        <v>3750</v>
      </c>
      <c r="AX19" s="272">
        <v>1490038</v>
      </c>
      <c r="AY19" s="272">
        <v>90864</v>
      </c>
      <c r="AZ19" s="272">
        <v>61831</v>
      </c>
      <c r="BA19" s="272">
        <v>55766</v>
      </c>
      <c r="BB19" s="272">
        <v>9755</v>
      </c>
      <c r="BC19" s="272">
        <v>1389920</v>
      </c>
      <c r="BD19" s="272">
        <v>0</v>
      </c>
      <c r="BE19" s="272">
        <v>995</v>
      </c>
      <c r="BF19" s="272">
        <v>610016</v>
      </c>
      <c r="BG19" s="272">
        <v>710000</v>
      </c>
      <c r="BH19" s="272">
        <v>0</v>
      </c>
      <c r="BI19" s="272">
        <v>0</v>
      </c>
      <c r="BJ19" s="272">
        <v>4382340</v>
      </c>
      <c r="BK19" s="272">
        <v>3876933</v>
      </c>
      <c r="BL19" s="272">
        <v>1494</v>
      </c>
      <c r="BM19" s="272">
        <v>68349</v>
      </c>
      <c r="BN19" s="272">
        <v>6082200</v>
      </c>
      <c r="BO19" s="455">
        <f t="shared" si="5"/>
        <v>1347600</v>
      </c>
      <c r="BP19" s="455">
        <f t="shared" si="6"/>
        <v>4734600</v>
      </c>
      <c r="BQ19" s="272">
        <v>381200</v>
      </c>
      <c r="BR19" s="272">
        <v>0</v>
      </c>
      <c r="BS19" s="272">
        <v>4353400</v>
      </c>
      <c r="BT19" s="272">
        <v>0</v>
      </c>
      <c r="BU19" s="272">
        <v>70811784</v>
      </c>
      <c r="BV19" s="272"/>
      <c r="BW19" s="272">
        <v>19712634</v>
      </c>
      <c r="BX19" s="272">
        <v>13315938</v>
      </c>
      <c r="BY19" s="272">
        <v>3016877</v>
      </c>
      <c r="BZ19" s="272">
        <v>341837</v>
      </c>
      <c r="CA19" s="272">
        <v>13778758</v>
      </c>
      <c r="CB19" s="272">
        <v>1994029</v>
      </c>
      <c r="CC19" s="272">
        <v>573486</v>
      </c>
      <c r="CD19" s="272">
        <v>4259083</v>
      </c>
      <c r="CE19" s="272">
        <v>6709903</v>
      </c>
      <c r="CF19" s="272">
        <v>6684</v>
      </c>
      <c r="CG19" s="272">
        <v>234853</v>
      </c>
      <c r="CH19" s="272">
        <v>6834542</v>
      </c>
      <c r="CI19" s="272">
        <v>5039418</v>
      </c>
      <c r="CJ19" s="455">
        <f t="shared" si="7"/>
        <v>1795124</v>
      </c>
      <c r="CK19" s="272">
        <v>7874251</v>
      </c>
      <c r="CL19" s="272">
        <v>3379156</v>
      </c>
      <c r="CM19" s="272">
        <v>1059590</v>
      </c>
      <c r="CN19" s="272">
        <v>1887521</v>
      </c>
      <c r="CO19" s="272">
        <v>381645</v>
      </c>
      <c r="CP19" s="272">
        <v>5952083</v>
      </c>
      <c r="CQ19" s="272">
        <v>3585744</v>
      </c>
      <c r="CR19" s="272">
        <v>1383326</v>
      </c>
      <c r="CS19" s="272">
        <v>1227961</v>
      </c>
      <c r="CT19" s="455">
        <f t="shared" si="8"/>
        <v>5127</v>
      </c>
      <c r="CU19" s="272">
        <v>5127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4061500</v>
      </c>
      <c r="DD19" s="272">
        <v>1627527</v>
      </c>
      <c r="DE19" s="272">
        <v>2272947</v>
      </c>
      <c r="DF19" s="272">
        <v>0</v>
      </c>
      <c r="DG19" s="272">
        <v>161026</v>
      </c>
      <c r="DH19" s="272">
        <v>0</v>
      </c>
      <c r="DI19" s="272">
        <v>372209</v>
      </c>
      <c r="DJ19" s="272">
        <v>9</v>
      </c>
      <c r="DK19" s="272">
        <v>463</v>
      </c>
      <c r="DL19" s="272">
        <v>371737</v>
      </c>
      <c r="DM19" s="272">
        <v>0</v>
      </c>
      <c r="DN19" s="272">
        <v>0</v>
      </c>
      <c r="DO19" s="272">
        <v>0</v>
      </c>
      <c r="DP19" s="272">
        <v>0</v>
      </c>
      <c r="DQ19" s="272">
        <v>3855200</v>
      </c>
      <c r="DR19" s="272">
        <v>0</v>
      </c>
      <c r="DS19" s="272">
        <v>0</v>
      </c>
      <c r="DT19" s="272">
        <v>8232021</v>
      </c>
      <c r="DU19" s="272">
        <v>3835874</v>
      </c>
      <c r="DV19" s="455">
        <f t="shared" si="11"/>
        <v>0</v>
      </c>
      <c r="DW19" s="272">
        <v>0</v>
      </c>
      <c r="DX19" s="272">
        <v>0</v>
      </c>
      <c r="DY19" s="272">
        <v>0</v>
      </c>
      <c r="DZ19" s="272">
        <v>2276772</v>
      </c>
      <c r="EA19" s="272">
        <v>924412</v>
      </c>
      <c r="EB19" s="272">
        <v>1194963</v>
      </c>
      <c r="EC19" s="272">
        <v>915719</v>
      </c>
      <c r="ED19" s="272">
        <v>71970562</v>
      </c>
      <c r="EF19" s="272">
        <v>-1158778</v>
      </c>
      <c r="EG19" s="272">
        <v>62732</v>
      </c>
      <c r="EH19" s="272">
        <v>-1221510</v>
      </c>
      <c r="EI19" s="272">
        <v>-260139</v>
      </c>
      <c r="EJ19" s="272">
        <v>-260130</v>
      </c>
      <c r="EL19" s="272"/>
      <c r="EM19" s="272">
        <v>245583</v>
      </c>
      <c r="EN19" s="272">
        <v>778909</v>
      </c>
      <c r="EO19" s="272">
        <v>31271</v>
      </c>
      <c r="EP19" s="455">
        <f t="shared" si="12"/>
        <v>520555</v>
      </c>
      <c r="EQ19" s="272">
        <v>43330947</v>
      </c>
      <c r="ER19" s="272">
        <v>-6022606</v>
      </c>
      <c r="ES19" s="272">
        <v>17978241</v>
      </c>
      <c r="ET19" s="272">
        <v>11601337</v>
      </c>
      <c r="EU19" s="272">
        <v>4153647</v>
      </c>
      <c r="EV19" s="272">
        <v>6795532</v>
      </c>
      <c r="EW19" s="455">
        <f t="shared" si="13"/>
        <v>1115889</v>
      </c>
      <c r="EX19" s="272">
        <v>1115889</v>
      </c>
      <c r="EY19" s="272">
        <v>47999</v>
      </c>
      <c r="EZ19" s="272">
        <v>1067890</v>
      </c>
      <c r="FA19" s="272">
        <v>0</v>
      </c>
      <c r="FB19" s="272"/>
      <c r="FC19" s="272">
        <v>6078128</v>
      </c>
      <c r="FD19" s="272">
        <v>5387891</v>
      </c>
      <c r="FE19" s="272">
        <v>3585744</v>
      </c>
      <c r="FF19" s="272">
        <v>7390134</v>
      </c>
      <c r="FG19" s="455">
        <f t="shared" si="14"/>
        <v>1639571</v>
      </c>
      <c r="FH19" s="272">
        <v>50539033</v>
      </c>
      <c r="FI19" s="384">
        <f t="shared" si="15"/>
        <v>-3.1</v>
      </c>
      <c r="FJ19" s="272">
        <v>39994974</v>
      </c>
      <c r="FK19" s="272">
        <v>4353464</v>
      </c>
      <c r="FL19" s="272">
        <v>22163200</v>
      </c>
      <c r="FM19" s="272">
        <v>32834538</v>
      </c>
      <c r="FN19" s="460">
        <v>0.68100000000000005</v>
      </c>
      <c r="FO19" s="388">
        <v>96.3</v>
      </c>
      <c r="FP19" s="388">
        <v>35.9</v>
      </c>
      <c r="FQ19" s="388">
        <v>9.1999999999999993</v>
      </c>
      <c r="FR19" s="388">
        <v>15.1</v>
      </c>
      <c r="FS19" s="388">
        <v>12.9</v>
      </c>
      <c r="FT19" s="388">
        <v>10.8</v>
      </c>
      <c r="FU19" s="388">
        <v>11.5</v>
      </c>
      <c r="FV19" s="388">
        <v>9.1</v>
      </c>
      <c r="FW19" s="272">
        <v>62602178</v>
      </c>
      <c r="FX19" s="384">
        <f t="shared" si="16"/>
        <v>156.5</v>
      </c>
      <c r="FY19" s="272">
        <v>4946865</v>
      </c>
      <c r="FZ19" s="272">
        <v>1515</v>
      </c>
      <c r="GA19" s="272">
        <v>3115</v>
      </c>
      <c r="GB19" s="272">
        <v>4942235</v>
      </c>
      <c r="GC19" s="272">
        <v>710000</v>
      </c>
      <c r="GD19" s="272">
        <v>7344701</v>
      </c>
      <c r="GE19" s="384">
        <f t="shared" si="17"/>
        <v>18.399999999999999</v>
      </c>
      <c r="GF19" s="388">
        <v>97.2</v>
      </c>
      <c r="GG19" s="388">
        <v>14.6</v>
      </c>
      <c r="GH19" s="388">
        <v>87.8</v>
      </c>
      <c r="GI19" s="272">
        <v>1800</v>
      </c>
    </row>
    <row r="20" spans="2:191" x14ac:dyDescent="0.15">
      <c r="B20" s="89" t="s">
        <v>33</v>
      </c>
      <c r="C20" s="272">
        <v>14176901</v>
      </c>
      <c r="D20" s="455">
        <f t="shared" si="0"/>
        <v>6190748</v>
      </c>
      <c r="E20" s="272">
        <v>107153</v>
      </c>
      <c r="F20" s="272">
        <v>6083595</v>
      </c>
      <c r="G20" s="455">
        <f t="shared" si="1"/>
        <v>599267</v>
      </c>
      <c r="H20" s="272">
        <v>199830</v>
      </c>
      <c r="I20" s="272">
        <v>399437</v>
      </c>
      <c r="J20" s="272">
        <v>5527674</v>
      </c>
      <c r="K20" s="272">
        <v>2391673</v>
      </c>
      <c r="L20" s="272">
        <v>2381279</v>
      </c>
      <c r="M20" s="272">
        <v>667733</v>
      </c>
      <c r="N20" s="272">
        <v>506143</v>
      </c>
      <c r="O20" s="272">
        <v>1204544</v>
      </c>
      <c r="P20" s="272">
        <v>711524</v>
      </c>
      <c r="Q20" s="272">
        <v>493020</v>
      </c>
      <c r="R20" s="272">
        <v>325319</v>
      </c>
      <c r="S20" s="272"/>
      <c r="T20" s="455">
        <f t="shared" si="2"/>
        <v>1404879</v>
      </c>
      <c r="U20" s="272">
        <v>206162</v>
      </c>
      <c r="V20" s="272"/>
      <c r="W20" s="272"/>
      <c r="X20" s="272">
        <v>893706</v>
      </c>
      <c r="Y20" s="272">
        <v>18368</v>
      </c>
      <c r="Z20" s="272">
        <v>0</v>
      </c>
      <c r="AA20" s="272">
        <v>286643</v>
      </c>
      <c r="AB20" s="272">
        <v>620634</v>
      </c>
      <c r="AC20" s="272">
        <v>4647123</v>
      </c>
      <c r="AD20" s="272">
        <v>4372092</v>
      </c>
      <c r="AE20" s="272">
        <v>275031</v>
      </c>
      <c r="AF20" s="272">
        <v>23708</v>
      </c>
      <c r="AG20" s="272">
        <v>241146</v>
      </c>
      <c r="AH20" s="455">
        <f t="shared" si="3"/>
        <v>1116658</v>
      </c>
      <c r="AI20" s="272">
        <v>784920</v>
      </c>
      <c r="AJ20" s="272">
        <v>331738</v>
      </c>
      <c r="AK20" s="272">
        <v>3429976</v>
      </c>
      <c r="AL20" s="455">
        <f t="shared" si="4"/>
        <v>1681514</v>
      </c>
      <c r="AM20" s="272">
        <v>1302972</v>
      </c>
      <c r="AN20" s="272">
        <v>364976</v>
      </c>
      <c r="AO20" s="272">
        <v>0</v>
      </c>
      <c r="AP20" s="272">
        <v>13566</v>
      </c>
      <c r="AQ20" s="272">
        <v>206210</v>
      </c>
      <c r="AR20" s="272">
        <v>0</v>
      </c>
      <c r="AS20" s="272">
        <v>0</v>
      </c>
      <c r="AT20" s="272">
        <v>1494124</v>
      </c>
      <c r="AU20" s="272">
        <v>850650</v>
      </c>
      <c r="AV20" s="272">
        <v>180722</v>
      </c>
      <c r="AW20" s="272">
        <v>93122</v>
      </c>
      <c r="AX20" s="272">
        <v>643474</v>
      </c>
      <c r="AY20" s="272">
        <v>2200</v>
      </c>
      <c r="AZ20" s="272">
        <v>321816</v>
      </c>
      <c r="BA20" s="272">
        <v>308073</v>
      </c>
      <c r="BB20" s="272">
        <v>13660</v>
      </c>
      <c r="BC20" s="272">
        <v>1269130</v>
      </c>
      <c r="BD20" s="272">
        <v>121400</v>
      </c>
      <c r="BE20" s="272">
        <v>0</v>
      </c>
      <c r="BF20" s="272">
        <v>1134373</v>
      </c>
      <c r="BG20" s="272">
        <v>0</v>
      </c>
      <c r="BH20" s="272">
        <v>534914</v>
      </c>
      <c r="BI20" s="272">
        <v>141117</v>
      </c>
      <c r="BJ20" s="272">
        <v>1007442</v>
      </c>
      <c r="BK20" s="272">
        <v>822552</v>
      </c>
      <c r="BL20" s="272">
        <v>0</v>
      </c>
      <c r="BM20" s="272">
        <v>0</v>
      </c>
      <c r="BN20" s="272">
        <v>4572000</v>
      </c>
      <c r="BO20" s="455">
        <f t="shared" si="5"/>
        <v>2069800</v>
      </c>
      <c r="BP20" s="455">
        <f t="shared" si="6"/>
        <v>2502200</v>
      </c>
      <c r="BQ20" s="272">
        <v>229400</v>
      </c>
      <c r="BR20" s="272">
        <v>0</v>
      </c>
      <c r="BS20" s="272">
        <v>2272800</v>
      </c>
      <c r="BT20" s="272">
        <v>0</v>
      </c>
      <c r="BU20" s="272">
        <v>35199430</v>
      </c>
      <c r="BV20" s="272"/>
      <c r="BW20" s="272">
        <v>6941797</v>
      </c>
      <c r="BX20" s="272">
        <v>4499133</v>
      </c>
      <c r="BY20" s="272">
        <v>433376</v>
      </c>
      <c r="BZ20" s="272">
        <v>769319</v>
      </c>
      <c r="CA20" s="272">
        <v>5183130</v>
      </c>
      <c r="CB20" s="272">
        <v>1252103</v>
      </c>
      <c r="CC20" s="272">
        <v>371872</v>
      </c>
      <c r="CD20" s="272">
        <v>1726873</v>
      </c>
      <c r="CE20" s="272">
        <v>1781673</v>
      </c>
      <c r="CF20" s="272">
        <v>0</v>
      </c>
      <c r="CG20" s="272">
        <v>50609</v>
      </c>
      <c r="CH20" s="272">
        <v>3748757</v>
      </c>
      <c r="CI20" s="272">
        <v>2921092</v>
      </c>
      <c r="CJ20" s="455">
        <f t="shared" si="7"/>
        <v>827665</v>
      </c>
      <c r="CK20" s="272">
        <v>5252492</v>
      </c>
      <c r="CL20" s="272">
        <v>3622273</v>
      </c>
      <c r="CM20" s="272">
        <v>125547</v>
      </c>
      <c r="CN20" s="272">
        <v>735160</v>
      </c>
      <c r="CO20" s="272">
        <v>335175</v>
      </c>
      <c r="CP20" s="272">
        <v>2615867</v>
      </c>
      <c r="CQ20" s="272">
        <v>792386</v>
      </c>
      <c r="CR20" s="272">
        <v>1188399</v>
      </c>
      <c r="CS20" s="272">
        <v>830820</v>
      </c>
      <c r="CT20" s="455">
        <f t="shared" si="8"/>
        <v>162268</v>
      </c>
      <c r="CU20" s="272">
        <v>3552</v>
      </c>
      <c r="CV20" s="272">
        <v>158716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4555499</v>
      </c>
      <c r="DD20" s="272">
        <v>654761</v>
      </c>
      <c r="DE20" s="272">
        <v>3796743</v>
      </c>
      <c r="DF20" s="272">
        <v>94139</v>
      </c>
      <c r="DG20" s="272">
        <v>9856</v>
      </c>
      <c r="DH20" s="272">
        <v>7318</v>
      </c>
      <c r="DI20" s="272">
        <v>1282710</v>
      </c>
      <c r="DJ20" s="272">
        <v>155000</v>
      </c>
      <c r="DK20" s="272">
        <v>2000</v>
      </c>
      <c r="DL20" s="272">
        <v>1125710</v>
      </c>
      <c r="DM20" s="272">
        <v>0</v>
      </c>
      <c r="DN20" s="272">
        <v>0</v>
      </c>
      <c r="DO20" s="272">
        <v>0</v>
      </c>
      <c r="DP20" s="272">
        <v>0</v>
      </c>
      <c r="DQ20" s="272">
        <v>832128</v>
      </c>
      <c r="DR20" s="272">
        <v>0</v>
      </c>
      <c r="DS20" s="272">
        <v>0</v>
      </c>
      <c r="DT20" s="272">
        <v>3747932</v>
      </c>
      <c r="DU20" s="272">
        <v>1601643</v>
      </c>
      <c r="DV20" s="455">
        <f t="shared" si="11"/>
        <v>82118</v>
      </c>
      <c r="DW20" s="272">
        <v>82118</v>
      </c>
      <c r="DX20" s="272">
        <v>0</v>
      </c>
      <c r="DY20" s="272">
        <v>0</v>
      </c>
      <c r="DZ20" s="272">
        <v>797352</v>
      </c>
      <c r="EA20" s="272">
        <v>555315</v>
      </c>
      <c r="EB20" s="272">
        <v>711504</v>
      </c>
      <c r="EC20" s="272">
        <v>0</v>
      </c>
      <c r="ED20" s="272">
        <v>34502805</v>
      </c>
      <c r="EF20" s="272">
        <v>696625</v>
      </c>
      <c r="EG20" s="272">
        <v>268292</v>
      </c>
      <c r="EH20" s="272">
        <v>428333</v>
      </c>
      <c r="EI20" s="272">
        <v>287216</v>
      </c>
      <c r="EJ20" s="272">
        <v>320816</v>
      </c>
      <c r="EL20" s="272"/>
      <c r="EM20" s="272">
        <v>121006</v>
      </c>
      <c r="EN20" s="272">
        <v>121400</v>
      </c>
      <c r="EO20" s="272">
        <v>27205</v>
      </c>
      <c r="EP20" s="455">
        <f t="shared" si="12"/>
        <v>734747</v>
      </c>
      <c r="EQ20" s="272">
        <v>21198564</v>
      </c>
      <c r="ER20" s="272">
        <v>-3361844</v>
      </c>
      <c r="ES20" s="272">
        <v>6536685</v>
      </c>
      <c r="ET20" s="272">
        <v>4190833</v>
      </c>
      <c r="EU20" s="272">
        <v>1809544</v>
      </c>
      <c r="EV20" s="272">
        <v>3748757</v>
      </c>
      <c r="EW20" s="455">
        <f t="shared" si="13"/>
        <v>1502086</v>
      </c>
      <c r="EX20" s="272">
        <v>1495011</v>
      </c>
      <c r="EY20" s="272">
        <v>92589</v>
      </c>
      <c r="EZ20" s="272">
        <v>1376583</v>
      </c>
      <c r="FA20" s="272">
        <v>7075</v>
      </c>
      <c r="FB20" s="272"/>
      <c r="FC20" s="272">
        <v>4039848</v>
      </c>
      <c r="FD20" s="272">
        <v>2305134</v>
      </c>
      <c r="FE20" s="272">
        <v>792386</v>
      </c>
      <c r="FF20" s="272">
        <v>3438535</v>
      </c>
      <c r="FG20" s="455">
        <f t="shared" si="14"/>
        <v>483194</v>
      </c>
      <c r="FH20" s="272">
        <v>23863783</v>
      </c>
      <c r="FI20" s="384">
        <f t="shared" si="15"/>
        <v>2.2000000000000002</v>
      </c>
      <c r="FJ20" s="272">
        <v>19614958</v>
      </c>
      <c r="FK20" s="272">
        <v>2272852</v>
      </c>
      <c r="FL20" s="272">
        <v>11518814</v>
      </c>
      <c r="FM20" s="272">
        <v>15921166</v>
      </c>
      <c r="FN20" s="460">
        <v>0.746</v>
      </c>
      <c r="FO20" s="388">
        <v>91.2</v>
      </c>
      <c r="FP20" s="388">
        <v>28.9</v>
      </c>
      <c r="FQ20" s="388">
        <v>8.1</v>
      </c>
      <c r="FR20" s="388">
        <v>15.9</v>
      </c>
      <c r="FS20" s="388">
        <v>17.8</v>
      </c>
      <c r="FT20" s="388">
        <v>9.6999999999999993</v>
      </c>
      <c r="FU20" s="388">
        <v>9.5</v>
      </c>
      <c r="FV20" s="388">
        <v>10.7</v>
      </c>
      <c r="FW20" s="272">
        <v>39004198</v>
      </c>
      <c r="FX20" s="384">
        <f t="shared" si="16"/>
        <v>198.8</v>
      </c>
      <c r="FY20" s="272">
        <v>14237306</v>
      </c>
      <c r="FZ20" s="272">
        <v>7980177</v>
      </c>
      <c r="GA20" s="272">
        <v>2785993</v>
      </c>
      <c r="GB20" s="272">
        <v>3471136</v>
      </c>
      <c r="GC20" s="272"/>
      <c r="GD20" s="272">
        <v>7475932</v>
      </c>
      <c r="GE20" s="384">
        <f t="shared" si="17"/>
        <v>38.1</v>
      </c>
      <c r="GF20" s="388">
        <v>98</v>
      </c>
      <c r="GG20" s="388">
        <v>23.1</v>
      </c>
      <c r="GH20" s="388">
        <v>91.6</v>
      </c>
      <c r="GI20" s="272">
        <v>625</v>
      </c>
    </row>
    <row r="21" spans="2:191" x14ac:dyDescent="0.15">
      <c r="B21" s="89" t="s">
        <v>35</v>
      </c>
      <c r="C21" s="272">
        <v>13882889</v>
      </c>
      <c r="D21" s="455">
        <f t="shared" si="0"/>
        <v>4756413</v>
      </c>
      <c r="E21" s="272">
        <v>108136</v>
      </c>
      <c r="F21" s="272">
        <v>4648277</v>
      </c>
      <c r="G21" s="455">
        <f t="shared" si="1"/>
        <v>906549</v>
      </c>
      <c r="H21" s="272">
        <v>223627</v>
      </c>
      <c r="I21" s="272">
        <v>682922</v>
      </c>
      <c r="J21" s="272">
        <v>5955956</v>
      </c>
      <c r="K21" s="272">
        <v>3162078</v>
      </c>
      <c r="L21" s="272">
        <v>2158251</v>
      </c>
      <c r="M21" s="272">
        <v>600011</v>
      </c>
      <c r="N21" s="272">
        <v>802063</v>
      </c>
      <c r="O21" s="272">
        <v>1359576</v>
      </c>
      <c r="P21" s="272">
        <v>877305</v>
      </c>
      <c r="Q21" s="272">
        <v>482271</v>
      </c>
      <c r="R21" s="272">
        <v>250200</v>
      </c>
      <c r="S21" s="272"/>
      <c r="T21" s="455">
        <f t="shared" si="2"/>
        <v>1499125</v>
      </c>
      <c r="U21" s="272">
        <v>166611</v>
      </c>
      <c r="V21" s="272"/>
      <c r="W21" s="272"/>
      <c r="X21" s="272">
        <v>1112195</v>
      </c>
      <c r="Y21" s="272">
        <v>0</v>
      </c>
      <c r="Z21" s="272">
        <v>0</v>
      </c>
      <c r="AA21" s="272">
        <v>220319</v>
      </c>
      <c r="AB21" s="272">
        <v>491482</v>
      </c>
      <c r="AC21" s="272">
        <v>8331856</v>
      </c>
      <c r="AD21" s="272">
        <v>7843687</v>
      </c>
      <c r="AE21" s="272">
        <v>488169</v>
      </c>
      <c r="AF21" s="272">
        <v>25296</v>
      </c>
      <c r="AG21" s="272">
        <v>111856</v>
      </c>
      <c r="AH21" s="455">
        <f t="shared" si="3"/>
        <v>587771</v>
      </c>
      <c r="AI21" s="272">
        <v>533647</v>
      </c>
      <c r="AJ21" s="272">
        <v>54124</v>
      </c>
      <c r="AK21" s="272">
        <v>5313085</v>
      </c>
      <c r="AL21" s="455">
        <f t="shared" si="4"/>
        <v>3302239</v>
      </c>
      <c r="AM21" s="272">
        <v>2923348</v>
      </c>
      <c r="AN21" s="272">
        <v>371964</v>
      </c>
      <c r="AO21" s="272">
        <v>0</v>
      </c>
      <c r="AP21" s="272">
        <v>6927</v>
      </c>
      <c r="AQ21" s="272">
        <v>263559</v>
      </c>
      <c r="AR21" s="272">
        <v>0</v>
      </c>
      <c r="AS21" s="272">
        <v>0</v>
      </c>
      <c r="AT21" s="272">
        <v>1739915</v>
      </c>
      <c r="AU21" s="272">
        <v>999018</v>
      </c>
      <c r="AV21" s="272">
        <v>185982</v>
      </c>
      <c r="AW21" s="272">
        <v>54848</v>
      </c>
      <c r="AX21" s="272">
        <v>740897</v>
      </c>
      <c r="AY21" s="272">
        <v>60897</v>
      </c>
      <c r="AZ21" s="272">
        <v>124677</v>
      </c>
      <c r="BA21" s="272">
        <v>18</v>
      </c>
      <c r="BB21" s="272">
        <v>162357</v>
      </c>
      <c r="BC21" s="272">
        <v>906817</v>
      </c>
      <c r="BD21" s="272">
        <v>100000</v>
      </c>
      <c r="BE21" s="272">
        <v>0</v>
      </c>
      <c r="BF21" s="272">
        <v>806817</v>
      </c>
      <c r="BG21" s="272">
        <v>0</v>
      </c>
      <c r="BH21" s="272">
        <v>138862</v>
      </c>
      <c r="BI21" s="272">
        <v>61725</v>
      </c>
      <c r="BJ21" s="272">
        <v>231019</v>
      </c>
      <c r="BK21" s="272">
        <v>60513</v>
      </c>
      <c r="BL21" s="272">
        <v>0</v>
      </c>
      <c r="BM21" s="272">
        <v>0</v>
      </c>
      <c r="BN21" s="272">
        <v>3869500</v>
      </c>
      <c r="BO21" s="455">
        <f t="shared" si="5"/>
        <v>1199200</v>
      </c>
      <c r="BP21" s="455">
        <f t="shared" si="6"/>
        <v>2670300</v>
      </c>
      <c r="BQ21" s="272">
        <v>180500</v>
      </c>
      <c r="BR21" s="272">
        <v>0</v>
      </c>
      <c r="BS21" s="272">
        <v>2489800</v>
      </c>
      <c r="BT21" s="272">
        <v>0</v>
      </c>
      <c r="BU21" s="272">
        <v>37666707</v>
      </c>
      <c r="BV21" s="272"/>
      <c r="BW21" s="272">
        <v>9437102</v>
      </c>
      <c r="BX21" s="272">
        <v>6673110</v>
      </c>
      <c r="BY21" s="272">
        <v>873453</v>
      </c>
      <c r="BZ21" s="272">
        <v>299646</v>
      </c>
      <c r="CA21" s="272">
        <v>7745346</v>
      </c>
      <c r="CB21" s="272">
        <v>997175</v>
      </c>
      <c r="CC21" s="272">
        <v>374015</v>
      </c>
      <c r="CD21" s="272">
        <v>2238917</v>
      </c>
      <c r="CE21" s="272">
        <v>3968958</v>
      </c>
      <c r="CF21" s="272">
        <v>0</v>
      </c>
      <c r="CG21" s="272">
        <v>165806</v>
      </c>
      <c r="CH21" s="272">
        <v>3687487</v>
      </c>
      <c r="CI21" s="272">
        <v>2875354</v>
      </c>
      <c r="CJ21" s="455">
        <f t="shared" si="7"/>
        <v>812133</v>
      </c>
      <c r="CK21" s="272">
        <v>5213578</v>
      </c>
      <c r="CL21" s="272">
        <v>3434252</v>
      </c>
      <c r="CM21" s="272">
        <v>221459</v>
      </c>
      <c r="CN21" s="272">
        <v>825617</v>
      </c>
      <c r="CO21" s="272">
        <v>249833</v>
      </c>
      <c r="CP21" s="272">
        <v>2443994</v>
      </c>
      <c r="CQ21" s="272">
        <v>153</v>
      </c>
      <c r="CR21" s="272">
        <v>1172686</v>
      </c>
      <c r="CS21" s="272">
        <v>869982</v>
      </c>
      <c r="CT21" s="455">
        <f t="shared" si="8"/>
        <v>655319</v>
      </c>
      <c r="CU21" s="272">
        <v>12000</v>
      </c>
      <c r="CV21" s="272">
        <v>643319</v>
      </c>
      <c r="CW21" s="455">
        <f t="shared" si="9"/>
        <v>632375</v>
      </c>
      <c r="CX21" s="272">
        <v>0</v>
      </c>
      <c r="CY21" s="272">
        <v>632375</v>
      </c>
      <c r="CZ21" s="455">
        <f t="shared" si="10"/>
        <v>0</v>
      </c>
      <c r="DA21" s="272">
        <v>0</v>
      </c>
      <c r="DB21" s="272">
        <v>0</v>
      </c>
      <c r="DC21" s="272">
        <v>2088480</v>
      </c>
      <c r="DD21" s="272">
        <v>685497</v>
      </c>
      <c r="DE21" s="272">
        <v>1402983</v>
      </c>
      <c r="DF21" s="272">
        <v>0</v>
      </c>
      <c r="DG21" s="272">
        <v>0</v>
      </c>
      <c r="DH21" s="272">
        <v>0</v>
      </c>
      <c r="DI21" s="272">
        <v>323172</v>
      </c>
      <c r="DJ21" s="272">
        <v>50859</v>
      </c>
      <c r="DK21" s="272">
        <v>10</v>
      </c>
      <c r="DL21" s="272">
        <v>272303</v>
      </c>
      <c r="DM21" s="272">
        <v>0</v>
      </c>
      <c r="DN21" s="272">
        <v>0</v>
      </c>
      <c r="DO21" s="272">
        <v>0</v>
      </c>
      <c r="DP21" s="272">
        <v>0</v>
      </c>
      <c r="DQ21" s="272">
        <v>60000</v>
      </c>
      <c r="DR21" s="272">
        <v>0</v>
      </c>
      <c r="DS21" s="272">
        <v>0</v>
      </c>
      <c r="DT21" s="272">
        <v>6348068</v>
      </c>
      <c r="DU21" s="272">
        <v>3703000</v>
      </c>
      <c r="DV21" s="455">
        <f t="shared" si="11"/>
        <v>0</v>
      </c>
      <c r="DW21" s="272">
        <v>0</v>
      </c>
      <c r="DX21" s="272">
        <v>0</v>
      </c>
      <c r="DY21" s="272">
        <v>0</v>
      </c>
      <c r="DZ21" s="272">
        <v>1241743</v>
      </c>
      <c r="EA21" s="272">
        <v>559797</v>
      </c>
      <c r="EB21" s="272">
        <v>839171</v>
      </c>
      <c r="EC21" s="272">
        <v>0</v>
      </c>
      <c r="ED21" s="272">
        <v>37597060</v>
      </c>
      <c r="EF21" s="272">
        <v>69647</v>
      </c>
      <c r="EG21" s="272">
        <v>21924</v>
      </c>
      <c r="EH21" s="272">
        <v>47723</v>
      </c>
      <c r="EI21" s="272">
        <v>-14002</v>
      </c>
      <c r="EJ21" s="272">
        <v>-63143</v>
      </c>
      <c r="EL21" s="272"/>
      <c r="EM21" s="272">
        <v>129099</v>
      </c>
      <c r="EN21" s="272">
        <v>377000</v>
      </c>
      <c r="EO21" s="272">
        <v>118820</v>
      </c>
      <c r="EP21" s="455">
        <f t="shared" si="12"/>
        <v>384568</v>
      </c>
      <c r="EQ21" s="272">
        <v>24480848</v>
      </c>
      <c r="ER21" s="272">
        <v>-3525392</v>
      </c>
      <c r="ES21" s="272">
        <v>8561311</v>
      </c>
      <c r="ET21" s="272">
        <v>5872974</v>
      </c>
      <c r="EU21" s="272">
        <v>2518534</v>
      </c>
      <c r="EV21" s="272">
        <v>3668127</v>
      </c>
      <c r="EW21" s="455">
        <f t="shared" si="13"/>
        <v>189315</v>
      </c>
      <c r="EX21" s="272">
        <v>189315</v>
      </c>
      <c r="EY21" s="272">
        <v>1818</v>
      </c>
      <c r="EZ21" s="272">
        <v>187497</v>
      </c>
      <c r="FA21" s="272">
        <v>0</v>
      </c>
      <c r="FB21" s="272"/>
      <c r="FC21" s="272">
        <v>4668330</v>
      </c>
      <c r="FD21" s="272">
        <v>2129080</v>
      </c>
      <c r="FE21" s="272">
        <v>153</v>
      </c>
      <c r="FF21" s="272">
        <v>5671013</v>
      </c>
      <c r="FG21" s="455">
        <f t="shared" si="14"/>
        <v>530883</v>
      </c>
      <c r="FH21" s="272">
        <v>27936593</v>
      </c>
      <c r="FI21" s="384">
        <f t="shared" si="15"/>
        <v>0.2</v>
      </c>
      <c r="FJ21" s="272">
        <v>22505254</v>
      </c>
      <c r="FK21" s="272">
        <v>2489877</v>
      </c>
      <c r="FL21" s="272">
        <v>11064500</v>
      </c>
      <c r="FM21" s="272">
        <v>18939102</v>
      </c>
      <c r="FN21" s="460">
        <v>0.58799999999999997</v>
      </c>
      <c r="FO21" s="388">
        <v>99.2</v>
      </c>
      <c r="FP21" s="388">
        <v>32.4</v>
      </c>
      <c r="FQ21" s="388">
        <v>9.9</v>
      </c>
      <c r="FR21" s="388">
        <v>14.4</v>
      </c>
      <c r="FS21" s="388">
        <v>17.7</v>
      </c>
      <c r="FT21" s="388">
        <v>7.9</v>
      </c>
      <c r="FU21" s="388">
        <v>16</v>
      </c>
      <c r="FV21" s="388">
        <v>10</v>
      </c>
      <c r="FW21" s="272">
        <v>31627945</v>
      </c>
      <c r="FX21" s="384">
        <f t="shared" si="16"/>
        <v>140.5</v>
      </c>
      <c r="FY21" s="272">
        <v>2877979</v>
      </c>
      <c r="FZ21" s="272">
        <v>1434500</v>
      </c>
      <c r="GA21" s="272">
        <v>51038</v>
      </c>
      <c r="GB21" s="272">
        <v>1392441</v>
      </c>
      <c r="GC21" s="272"/>
      <c r="GD21" s="272">
        <v>2848965</v>
      </c>
      <c r="GE21" s="384">
        <f t="shared" si="17"/>
        <v>12.7</v>
      </c>
      <c r="GF21" s="388">
        <v>97.6</v>
      </c>
      <c r="GG21" s="388">
        <v>23.1</v>
      </c>
      <c r="GH21" s="388">
        <v>90.3</v>
      </c>
      <c r="GI21" s="272">
        <v>887</v>
      </c>
    </row>
    <row r="22" spans="2:191" x14ac:dyDescent="0.15">
      <c r="B22" s="89" t="s">
        <v>37</v>
      </c>
      <c r="C22" s="272">
        <v>18140590</v>
      </c>
      <c r="D22" s="455">
        <f t="shared" si="0"/>
        <v>4481539</v>
      </c>
      <c r="E22" s="272">
        <v>113742</v>
      </c>
      <c r="F22" s="272">
        <v>4367797</v>
      </c>
      <c r="G22" s="455">
        <f t="shared" si="1"/>
        <v>2537476</v>
      </c>
      <c r="H22" s="272">
        <v>317532</v>
      </c>
      <c r="I22" s="272">
        <v>2219944</v>
      </c>
      <c r="J22" s="272">
        <v>8428635</v>
      </c>
      <c r="K22" s="272">
        <v>4267082</v>
      </c>
      <c r="L22" s="272">
        <v>2956818</v>
      </c>
      <c r="M22" s="272">
        <v>1052052</v>
      </c>
      <c r="N22" s="272">
        <v>827046</v>
      </c>
      <c r="O22" s="272">
        <v>1774732</v>
      </c>
      <c r="P22" s="272">
        <v>1120056</v>
      </c>
      <c r="Q22" s="272">
        <v>654676</v>
      </c>
      <c r="R22" s="272">
        <v>250451</v>
      </c>
      <c r="S22" s="272"/>
      <c r="T22" s="455">
        <f t="shared" si="2"/>
        <v>1666631</v>
      </c>
      <c r="U22" s="272">
        <v>167983</v>
      </c>
      <c r="V22" s="272"/>
      <c r="W22" s="272"/>
      <c r="X22" s="272">
        <v>1243685</v>
      </c>
      <c r="Y22" s="272">
        <v>34365</v>
      </c>
      <c r="Z22" s="272">
        <v>0</v>
      </c>
      <c r="AA22" s="272">
        <v>220598</v>
      </c>
      <c r="AB22" s="272">
        <v>614054</v>
      </c>
      <c r="AC22" s="272">
        <v>2602393</v>
      </c>
      <c r="AD22" s="272">
        <v>2210083</v>
      </c>
      <c r="AE22" s="272">
        <v>392310</v>
      </c>
      <c r="AF22" s="272">
        <v>25154</v>
      </c>
      <c r="AG22" s="272">
        <v>316483</v>
      </c>
      <c r="AH22" s="455">
        <f t="shared" si="3"/>
        <v>895936</v>
      </c>
      <c r="AI22" s="272">
        <v>589160</v>
      </c>
      <c r="AJ22" s="272">
        <v>306776</v>
      </c>
      <c r="AK22" s="272">
        <v>4346054</v>
      </c>
      <c r="AL22" s="455">
        <f t="shared" si="4"/>
        <v>1776841</v>
      </c>
      <c r="AM22" s="272">
        <v>1176744</v>
      </c>
      <c r="AN22" s="272">
        <v>574774</v>
      </c>
      <c r="AO22" s="272">
        <v>0</v>
      </c>
      <c r="AP22" s="272">
        <v>25323</v>
      </c>
      <c r="AQ22" s="272">
        <v>782288</v>
      </c>
      <c r="AR22" s="272">
        <v>0</v>
      </c>
      <c r="AS22" s="272">
        <v>0</v>
      </c>
      <c r="AT22" s="272">
        <v>1956261</v>
      </c>
      <c r="AU22" s="272">
        <v>1164268</v>
      </c>
      <c r="AV22" s="272">
        <v>287386</v>
      </c>
      <c r="AW22" s="272">
        <v>55297</v>
      </c>
      <c r="AX22" s="272">
        <v>791993</v>
      </c>
      <c r="AY22" s="272">
        <v>31960</v>
      </c>
      <c r="AZ22" s="272">
        <v>172717</v>
      </c>
      <c r="BA22" s="272">
        <v>140250</v>
      </c>
      <c r="BB22" s="272">
        <v>9633</v>
      </c>
      <c r="BC22" s="272">
        <v>36458</v>
      </c>
      <c r="BD22" s="272">
        <v>0</v>
      </c>
      <c r="BE22" s="272">
        <v>0</v>
      </c>
      <c r="BF22" s="272">
        <v>19913</v>
      </c>
      <c r="BG22" s="272">
        <v>11164</v>
      </c>
      <c r="BH22" s="272">
        <v>293289</v>
      </c>
      <c r="BI22" s="272">
        <v>276387</v>
      </c>
      <c r="BJ22" s="272">
        <v>3414725</v>
      </c>
      <c r="BK22" s="272">
        <v>3047724</v>
      </c>
      <c r="BL22" s="272">
        <v>0</v>
      </c>
      <c r="BM22" s="272">
        <v>0</v>
      </c>
      <c r="BN22" s="272">
        <v>4731600</v>
      </c>
      <c r="BO22" s="455">
        <f t="shared" si="5"/>
        <v>2097400</v>
      </c>
      <c r="BP22" s="455">
        <f t="shared" si="6"/>
        <v>2634200</v>
      </c>
      <c r="BQ22" s="272">
        <v>235200</v>
      </c>
      <c r="BR22" s="272">
        <v>0</v>
      </c>
      <c r="BS22" s="272">
        <v>2399000</v>
      </c>
      <c r="BT22" s="272">
        <v>0</v>
      </c>
      <c r="BU22" s="272">
        <v>39472429</v>
      </c>
      <c r="BV22" s="272"/>
      <c r="BW22" s="272">
        <v>10373978</v>
      </c>
      <c r="BX22" s="272">
        <v>7376596</v>
      </c>
      <c r="BY22" s="272">
        <v>1116912</v>
      </c>
      <c r="BZ22" s="272">
        <v>215494</v>
      </c>
      <c r="CA22" s="272">
        <v>5953439</v>
      </c>
      <c r="CB22" s="272">
        <v>922880</v>
      </c>
      <c r="CC22" s="272">
        <v>344019</v>
      </c>
      <c r="CD22" s="272">
        <v>2905316</v>
      </c>
      <c r="CE22" s="272">
        <v>1590883</v>
      </c>
      <c r="CF22" s="272">
        <v>202</v>
      </c>
      <c r="CG22" s="272">
        <v>189679</v>
      </c>
      <c r="CH22" s="272">
        <v>3342262</v>
      </c>
      <c r="CI22" s="272">
        <v>2627937</v>
      </c>
      <c r="CJ22" s="455">
        <f t="shared" si="7"/>
        <v>714325</v>
      </c>
      <c r="CK22" s="272">
        <v>4434872</v>
      </c>
      <c r="CL22" s="272">
        <v>2853966</v>
      </c>
      <c r="CM22" s="272">
        <v>184207</v>
      </c>
      <c r="CN22" s="272">
        <v>772802</v>
      </c>
      <c r="CO22" s="272">
        <v>218415</v>
      </c>
      <c r="CP22" s="272">
        <v>2405977</v>
      </c>
      <c r="CQ22" s="272">
        <v>1376884</v>
      </c>
      <c r="CR22" s="272">
        <v>586592</v>
      </c>
      <c r="CS22" s="272">
        <v>225853</v>
      </c>
      <c r="CT22" s="455">
        <f t="shared" si="8"/>
        <v>20777</v>
      </c>
      <c r="CU22" s="272">
        <v>20777</v>
      </c>
      <c r="CV22" s="272">
        <v>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3848025</v>
      </c>
      <c r="DD22" s="272">
        <v>1431005</v>
      </c>
      <c r="DE22" s="272">
        <v>2417020</v>
      </c>
      <c r="DF22" s="272">
        <v>0</v>
      </c>
      <c r="DG22" s="272">
        <v>0</v>
      </c>
      <c r="DH22" s="272">
        <v>0</v>
      </c>
      <c r="DI22" s="272">
        <v>886931</v>
      </c>
      <c r="DJ22" s="272">
        <v>547246</v>
      </c>
      <c r="DK22" s="272">
        <v>4779</v>
      </c>
      <c r="DL22" s="272">
        <v>334906</v>
      </c>
      <c r="DM22" s="272">
        <v>0</v>
      </c>
      <c r="DN22" s="272">
        <v>0</v>
      </c>
      <c r="DO22" s="272">
        <v>0</v>
      </c>
      <c r="DP22" s="272">
        <v>0</v>
      </c>
      <c r="DQ22" s="272">
        <v>3020000</v>
      </c>
      <c r="DR22" s="272">
        <v>0</v>
      </c>
      <c r="DS22" s="272">
        <v>0</v>
      </c>
      <c r="DT22" s="272">
        <v>4622567</v>
      </c>
      <c r="DU22" s="272">
        <v>2276916</v>
      </c>
      <c r="DV22" s="455">
        <f t="shared" si="11"/>
        <v>0</v>
      </c>
      <c r="DW22" s="272">
        <v>0</v>
      </c>
      <c r="DX22" s="272">
        <v>0</v>
      </c>
      <c r="DY22" s="272">
        <v>0</v>
      </c>
      <c r="DZ22" s="272">
        <v>1211944</v>
      </c>
      <c r="EA22" s="272">
        <v>445624</v>
      </c>
      <c r="EB22" s="272">
        <v>639370</v>
      </c>
      <c r="EC22" s="272">
        <v>0</v>
      </c>
      <c r="ED22" s="272">
        <v>39106466</v>
      </c>
      <c r="EF22" s="272">
        <v>365963</v>
      </c>
      <c r="EG22" s="272">
        <v>86893</v>
      </c>
      <c r="EH22" s="272">
        <v>279070</v>
      </c>
      <c r="EI22" s="272">
        <v>2683</v>
      </c>
      <c r="EJ22" s="272">
        <v>549929</v>
      </c>
      <c r="EL22" s="272"/>
      <c r="EM22" s="272">
        <v>126142</v>
      </c>
      <c r="EN22" s="272">
        <v>10400</v>
      </c>
      <c r="EO22" s="272">
        <v>140356</v>
      </c>
      <c r="EP22" s="455">
        <f t="shared" si="12"/>
        <v>899073</v>
      </c>
      <c r="EQ22" s="272">
        <v>23299273</v>
      </c>
      <c r="ER22" s="272">
        <v>-3658875</v>
      </c>
      <c r="ES22" s="272">
        <v>9486070</v>
      </c>
      <c r="ET22" s="272">
        <v>6516493</v>
      </c>
      <c r="EU22" s="272">
        <v>2004563</v>
      </c>
      <c r="EV22" s="272">
        <v>3254225</v>
      </c>
      <c r="EW22" s="455">
        <f t="shared" si="13"/>
        <v>1238111</v>
      </c>
      <c r="EX22" s="272">
        <v>1238111</v>
      </c>
      <c r="EY22" s="272">
        <v>24433</v>
      </c>
      <c r="EZ22" s="272">
        <v>1213678</v>
      </c>
      <c r="FA22" s="272">
        <v>0</v>
      </c>
      <c r="FB22" s="272"/>
      <c r="FC22" s="272">
        <v>3297214</v>
      </c>
      <c r="FD22" s="272">
        <v>2168282</v>
      </c>
      <c r="FE22" s="272">
        <v>1376884</v>
      </c>
      <c r="FF22" s="272">
        <v>4123151</v>
      </c>
      <c r="FG22" s="455">
        <f t="shared" si="14"/>
        <v>1020569</v>
      </c>
      <c r="FH22" s="272">
        <v>26592185</v>
      </c>
      <c r="FI22" s="384">
        <f t="shared" si="15"/>
        <v>1.3</v>
      </c>
      <c r="FJ22" s="272">
        <v>20791693</v>
      </c>
      <c r="FK22" s="272">
        <v>2399010</v>
      </c>
      <c r="FL22" s="272">
        <v>14003915</v>
      </c>
      <c r="FM22" s="272">
        <v>16208905</v>
      </c>
      <c r="FN22" s="460">
        <v>0.83499999999999996</v>
      </c>
      <c r="FO22" s="388">
        <v>97.5</v>
      </c>
      <c r="FP22" s="388">
        <v>38</v>
      </c>
      <c r="FQ22" s="388">
        <v>8.4</v>
      </c>
      <c r="FR22" s="388">
        <v>13.7</v>
      </c>
      <c r="FS22" s="388">
        <v>13.2</v>
      </c>
      <c r="FT22" s="388">
        <v>8</v>
      </c>
      <c r="FU22" s="388">
        <v>15.5</v>
      </c>
      <c r="FV22" s="388">
        <v>9.1999999999999993</v>
      </c>
      <c r="FW22" s="272">
        <v>31471812</v>
      </c>
      <c r="FX22" s="384">
        <f t="shared" si="16"/>
        <v>151.4</v>
      </c>
      <c r="FY22" s="272">
        <v>10599316</v>
      </c>
      <c r="FZ22" s="272">
        <v>4308503</v>
      </c>
      <c r="GA22" s="272">
        <v>642856</v>
      </c>
      <c r="GB22" s="272">
        <v>5647957</v>
      </c>
      <c r="GC22" s="272"/>
      <c r="GD22" s="272">
        <v>8309855</v>
      </c>
      <c r="GE22" s="384">
        <f t="shared" si="17"/>
        <v>40</v>
      </c>
      <c r="GF22" s="388">
        <v>98.1</v>
      </c>
      <c r="GG22" s="388">
        <v>20</v>
      </c>
      <c r="GH22" s="388">
        <v>93.3</v>
      </c>
      <c r="GI22" s="272">
        <v>974</v>
      </c>
    </row>
    <row r="23" spans="2:191" x14ac:dyDescent="0.15">
      <c r="B23" s="89" t="s">
        <v>39</v>
      </c>
      <c r="C23" s="272">
        <v>19790003</v>
      </c>
      <c r="D23" s="455">
        <f t="shared" si="0"/>
        <v>7074682</v>
      </c>
      <c r="E23" s="272">
        <v>146329</v>
      </c>
      <c r="F23" s="272">
        <v>6928353</v>
      </c>
      <c r="G23" s="455">
        <f t="shared" si="1"/>
        <v>876456</v>
      </c>
      <c r="H23" s="272">
        <v>298856</v>
      </c>
      <c r="I23" s="272">
        <v>577600</v>
      </c>
      <c r="J23" s="272">
        <v>8789473</v>
      </c>
      <c r="K23" s="272">
        <v>4440355</v>
      </c>
      <c r="L23" s="272">
        <v>3527371</v>
      </c>
      <c r="M23" s="272">
        <v>752392</v>
      </c>
      <c r="N23" s="272">
        <v>889943</v>
      </c>
      <c r="O23" s="272">
        <v>1942610</v>
      </c>
      <c r="P23" s="272">
        <v>1194803</v>
      </c>
      <c r="Q23" s="272">
        <v>747807</v>
      </c>
      <c r="R23" s="272">
        <v>377353</v>
      </c>
      <c r="S23" s="272"/>
      <c r="T23" s="455">
        <f t="shared" si="2"/>
        <v>1972491</v>
      </c>
      <c r="U23" s="272">
        <v>239757</v>
      </c>
      <c r="V23" s="272"/>
      <c r="W23" s="272"/>
      <c r="X23" s="272">
        <v>1375726</v>
      </c>
      <c r="Y23" s="272">
        <v>24545</v>
      </c>
      <c r="Z23" s="272">
        <v>0</v>
      </c>
      <c r="AA23" s="272">
        <v>332463</v>
      </c>
      <c r="AB23" s="272">
        <v>726487</v>
      </c>
      <c r="AC23" s="272">
        <v>7882423</v>
      </c>
      <c r="AD23" s="272">
        <v>6889390</v>
      </c>
      <c r="AE23" s="272">
        <v>993033</v>
      </c>
      <c r="AF23" s="272">
        <v>29835</v>
      </c>
      <c r="AG23" s="272">
        <v>247719</v>
      </c>
      <c r="AH23" s="455">
        <f t="shared" si="3"/>
        <v>1143054</v>
      </c>
      <c r="AI23" s="272">
        <v>1054393</v>
      </c>
      <c r="AJ23" s="272">
        <v>88661</v>
      </c>
      <c r="AK23" s="272">
        <v>7627466</v>
      </c>
      <c r="AL23" s="455">
        <f t="shared" si="4"/>
        <v>4334067</v>
      </c>
      <c r="AM23" s="272">
        <v>3738727</v>
      </c>
      <c r="AN23" s="272">
        <v>586918</v>
      </c>
      <c r="AO23" s="272">
        <v>0</v>
      </c>
      <c r="AP23" s="272">
        <v>8422</v>
      </c>
      <c r="AQ23" s="272">
        <v>855226</v>
      </c>
      <c r="AR23" s="272">
        <v>0</v>
      </c>
      <c r="AS23" s="272">
        <v>275595</v>
      </c>
      <c r="AT23" s="272">
        <v>2320021</v>
      </c>
      <c r="AU23" s="272">
        <v>1364462</v>
      </c>
      <c r="AV23" s="272">
        <v>293460</v>
      </c>
      <c r="AW23" s="272">
        <v>74411</v>
      </c>
      <c r="AX23" s="272">
        <v>955559</v>
      </c>
      <c r="AY23" s="272">
        <v>25048</v>
      </c>
      <c r="AZ23" s="272">
        <v>726463</v>
      </c>
      <c r="BA23" s="272">
        <v>639805</v>
      </c>
      <c r="BB23" s="272">
        <v>29145</v>
      </c>
      <c r="BC23" s="272">
        <v>1660767</v>
      </c>
      <c r="BD23" s="272">
        <v>0</v>
      </c>
      <c r="BE23" s="272">
        <v>0</v>
      </c>
      <c r="BF23" s="272">
        <v>1600000</v>
      </c>
      <c r="BG23" s="272">
        <v>0</v>
      </c>
      <c r="BH23" s="272">
        <v>490381</v>
      </c>
      <c r="BI23" s="272">
        <v>472928</v>
      </c>
      <c r="BJ23" s="272">
        <v>1160625</v>
      </c>
      <c r="BK23" s="272">
        <v>133829</v>
      </c>
      <c r="BL23" s="272">
        <v>19105</v>
      </c>
      <c r="BM23" s="272">
        <v>0</v>
      </c>
      <c r="BN23" s="272">
        <v>4981100</v>
      </c>
      <c r="BO23" s="455">
        <f t="shared" si="5"/>
        <v>1571900</v>
      </c>
      <c r="BP23" s="455">
        <f t="shared" si="6"/>
        <v>3409200</v>
      </c>
      <c r="BQ23" s="272">
        <v>340700</v>
      </c>
      <c r="BR23" s="272">
        <v>0</v>
      </c>
      <c r="BS23" s="272">
        <v>3068500</v>
      </c>
      <c r="BT23" s="272">
        <v>0</v>
      </c>
      <c r="BU23" s="272">
        <v>51440928</v>
      </c>
      <c r="BV23" s="272"/>
      <c r="BW23" s="272">
        <v>12467514</v>
      </c>
      <c r="BX23" s="272">
        <v>8481363</v>
      </c>
      <c r="BY23" s="272">
        <v>1340394</v>
      </c>
      <c r="BZ23" s="272">
        <v>657496</v>
      </c>
      <c r="CA23" s="272">
        <v>10584025</v>
      </c>
      <c r="CB23" s="272">
        <v>1460429</v>
      </c>
      <c r="CC23" s="272">
        <v>481736</v>
      </c>
      <c r="CD23" s="272">
        <v>3287799</v>
      </c>
      <c r="CE23" s="272">
        <v>5114336</v>
      </c>
      <c r="CF23" s="272">
        <v>0</v>
      </c>
      <c r="CG23" s="272">
        <v>239453</v>
      </c>
      <c r="CH23" s="272">
        <v>5616290</v>
      </c>
      <c r="CI23" s="272">
        <v>4157552</v>
      </c>
      <c r="CJ23" s="455">
        <f t="shared" si="7"/>
        <v>1458738</v>
      </c>
      <c r="CK23" s="272">
        <v>6364252</v>
      </c>
      <c r="CL23" s="272">
        <v>4115212</v>
      </c>
      <c r="CM23" s="272">
        <v>325903</v>
      </c>
      <c r="CN23" s="272">
        <v>775954</v>
      </c>
      <c r="CO23" s="272">
        <v>307816</v>
      </c>
      <c r="CP23" s="272">
        <v>4666118</v>
      </c>
      <c r="CQ23" s="272">
        <v>1802720</v>
      </c>
      <c r="CR23" s="272">
        <v>1281671</v>
      </c>
      <c r="CS23" s="272">
        <v>1124878</v>
      </c>
      <c r="CT23" s="455">
        <f t="shared" si="8"/>
        <v>907900</v>
      </c>
      <c r="CU23" s="272">
        <v>15000</v>
      </c>
      <c r="CV23" s="272">
        <v>892900</v>
      </c>
      <c r="CW23" s="455">
        <f t="shared" si="9"/>
        <v>887000</v>
      </c>
      <c r="CX23" s="272">
        <v>0</v>
      </c>
      <c r="CY23" s="272">
        <v>887000</v>
      </c>
      <c r="CZ23" s="455">
        <f t="shared" si="10"/>
        <v>0</v>
      </c>
      <c r="DA23" s="272">
        <v>0</v>
      </c>
      <c r="DB23" s="272">
        <v>0</v>
      </c>
      <c r="DC23" s="272">
        <v>5330789</v>
      </c>
      <c r="DD23" s="272">
        <v>1858266</v>
      </c>
      <c r="DE23" s="272">
        <v>3469235</v>
      </c>
      <c r="DF23" s="272">
        <v>3288</v>
      </c>
      <c r="DG23" s="272">
        <v>0</v>
      </c>
      <c r="DH23" s="272">
        <v>0</v>
      </c>
      <c r="DI23" s="272">
        <v>1042505</v>
      </c>
      <c r="DJ23" s="272">
        <v>245970</v>
      </c>
      <c r="DK23" s="272">
        <v>400</v>
      </c>
      <c r="DL23" s="272">
        <v>796135</v>
      </c>
      <c r="DM23" s="272">
        <v>0</v>
      </c>
      <c r="DN23" s="272">
        <v>0</v>
      </c>
      <c r="DO23" s="272">
        <v>0</v>
      </c>
      <c r="DP23" s="272">
        <v>0</v>
      </c>
      <c r="DQ23" s="272">
        <v>327600</v>
      </c>
      <c r="DR23" s="272">
        <v>200000</v>
      </c>
      <c r="DS23" s="272">
        <v>200000</v>
      </c>
      <c r="DT23" s="272">
        <v>4481022</v>
      </c>
      <c r="DU23" s="272">
        <v>1362148</v>
      </c>
      <c r="DV23" s="455">
        <f t="shared" si="11"/>
        <v>337975</v>
      </c>
      <c r="DW23" s="272">
        <v>337975</v>
      </c>
      <c r="DX23" s="272">
        <v>0</v>
      </c>
      <c r="DY23" s="272">
        <v>0</v>
      </c>
      <c r="DZ23" s="272">
        <v>1118613</v>
      </c>
      <c r="EA23" s="272">
        <v>672115</v>
      </c>
      <c r="EB23" s="272">
        <v>990171</v>
      </c>
      <c r="EC23" s="272">
        <v>0</v>
      </c>
      <c r="ED23" s="272">
        <v>51187931</v>
      </c>
      <c r="EF23" s="272">
        <v>252997</v>
      </c>
      <c r="EG23" s="272">
        <v>32636</v>
      </c>
      <c r="EH23" s="272">
        <v>220361</v>
      </c>
      <c r="EI23" s="272">
        <v>-252567</v>
      </c>
      <c r="EJ23" s="272">
        <v>84919</v>
      </c>
      <c r="EL23" s="272"/>
      <c r="EM23" s="272">
        <v>178140</v>
      </c>
      <c r="EN23" s="272">
        <v>60767</v>
      </c>
      <c r="EO23" s="272">
        <v>724730</v>
      </c>
      <c r="EP23" s="455">
        <f t="shared" si="12"/>
        <v>1137039</v>
      </c>
      <c r="EQ23" s="272">
        <v>31054187</v>
      </c>
      <c r="ER23" s="272">
        <v>-5026306</v>
      </c>
      <c r="ES23" s="272">
        <v>11210362</v>
      </c>
      <c r="ET23" s="272">
        <v>7531522</v>
      </c>
      <c r="EU23" s="272">
        <v>3651031</v>
      </c>
      <c r="EV23" s="272">
        <v>5112937</v>
      </c>
      <c r="EW23" s="455">
        <f t="shared" si="13"/>
        <v>684612</v>
      </c>
      <c r="EX23" s="272">
        <v>684612</v>
      </c>
      <c r="EY23" s="272">
        <v>52896</v>
      </c>
      <c r="EZ23" s="272">
        <v>630072</v>
      </c>
      <c r="FA23" s="272">
        <v>0</v>
      </c>
      <c r="FB23" s="272"/>
      <c r="FC23" s="272">
        <v>5386159</v>
      </c>
      <c r="FD23" s="272">
        <v>4381929</v>
      </c>
      <c r="FE23" s="272">
        <v>1802720</v>
      </c>
      <c r="FF23" s="272">
        <v>4071675</v>
      </c>
      <c r="FG23" s="455">
        <f t="shared" si="14"/>
        <v>1340341</v>
      </c>
      <c r="FH23" s="272">
        <v>35839046</v>
      </c>
      <c r="FI23" s="384">
        <f t="shared" si="15"/>
        <v>0.8</v>
      </c>
      <c r="FJ23" s="272">
        <v>27938535</v>
      </c>
      <c r="FK23" s="272">
        <v>3068570</v>
      </c>
      <c r="FL23" s="272">
        <v>15892582</v>
      </c>
      <c r="FM23" s="272">
        <v>22825354</v>
      </c>
      <c r="FN23" s="460">
        <v>0.69599999999999995</v>
      </c>
      <c r="FO23" s="388">
        <v>98.4</v>
      </c>
      <c r="FP23" s="388">
        <v>32.6</v>
      </c>
      <c r="FQ23" s="388">
        <v>11.5</v>
      </c>
      <c r="FR23" s="388">
        <v>15.9</v>
      </c>
      <c r="FS23" s="388">
        <v>15.5</v>
      </c>
      <c r="FT23" s="388">
        <v>12.3</v>
      </c>
      <c r="FU23" s="388">
        <v>9.6999999999999993</v>
      </c>
      <c r="FV23" s="388">
        <v>9.5</v>
      </c>
      <c r="FW23" s="272">
        <v>56062806</v>
      </c>
      <c r="FX23" s="384">
        <f t="shared" si="16"/>
        <v>200.7</v>
      </c>
      <c r="FY23" s="272">
        <v>9049487</v>
      </c>
      <c r="FZ23" s="272">
        <v>1951590</v>
      </c>
      <c r="GA23" s="272">
        <v>1212790</v>
      </c>
      <c r="GB23" s="272">
        <v>5885107</v>
      </c>
      <c r="GC23" s="272"/>
      <c r="GD23" s="272">
        <v>8722339</v>
      </c>
      <c r="GE23" s="384">
        <f t="shared" si="17"/>
        <v>31.2</v>
      </c>
      <c r="GF23" s="388">
        <v>97.5</v>
      </c>
      <c r="GG23" s="388">
        <v>24.1</v>
      </c>
      <c r="GH23" s="388">
        <v>92</v>
      </c>
      <c r="GI23" s="272">
        <v>1172</v>
      </c>
    </row>
    <row r="24" spans="2:191" x14ac:dyDescent="0.15">
      <c r="B24" s="89" t="s">
        <v>41</v>
      </c>
      <c r="C24" s="272">
        <v>21645845</v>
      </c>
      <c r="D24" s="455">
        <f t="shared" si="0"/>
        <v>9233315</v>
      </c>
      <c r="E24" s="272">
        <v>113782</v>
      </c>
      <c r="F24" s="272">
        <v>9119533</v>
      </c>
      <c r="G24" s="455">
        <f t="shared" si="1"/>
        <v>801616</v>
      </c>
      <c r="H24" s="272">
        <v>304517</v>
      </c>
      <c r="I24" s="272">
        <v>497099</v>
      </c>
      <c r="J24" s="272">
        <v>8404348</v>
      </c>
      <c r="K24" s="272">
        <v>4346741</v>
      </c>
      <c r="L24" s="272">
        <v>3359071</v>
      </c>
      <c r="M24" s="272">
        <v>654899</v>
      </c>
      <c r="N24" s="272">
        <v>961916</v>
      </c>
      <c r="O24" s="272">
        <v>2170624</v>
      </c>
      <c r="P24" s="272">
        <v>1432778</v>
      </c>
      <c r="Q24" s="272">
        <v>737846</v>
      </c>
      <c r="R24" s="272">
        <v>291718</v>
      </c>
      <c r="S24" s="272"/>
      <c r="T24" s="455">
        <f t="shared" si="2"/>
        <v>1581057</v>
      </c>
      <c r="U24" s="272">
        <v>288546</v>
      </c>
      <c r="V24" s="272"/>
      <c r="W24" s="272"/>
      <c r="X24" s="272">
        <v>1031749</v>
      </c>
      <c r="Y24" s="272">
        <v>3787</v>
      </c>
      <c r="Z24" s="272">
        <v>0</v>
      </c>
      <c r="AA24" s="272">
        <v>256975</v>
      </c>
      <c r="AB24" s="272">
        <v>916141</v>
      </c>
      <c r="AC24" s="272">
        <v>162133</v>
      </c>
      <c r="AD24" s="272">
        <v>0</v>
      </c>
      <c r="AE24" s="272">
        <v>162133</v>
      </c>
      <c r="AF24" s="272">
        <v>26345</v>
      </c>
      <c r="AG24" s="272">
        <v>184645</v>
      </c>
      <c r="AH24" s="455">
        <f t="shared" si="3"/>
        <v>1039537</v>
      </c>
      <c r="AI24" s="272">
        <v>807788</v>
      </c>
      <c r="AJ24" s="272">
        <v>231749</v>
      </c>
      <c r="AK24" s="272">
        <v>3550630</v>
      </c>
      <c r="AL24" s="455">
        <f t="shared" si="4"/>
        <v>1699620</v>
      </c>
      <c r="AM24" s="272">
        <v>891138</v>
      </c>
      <c r="AN24" s="272">
        <v>775172</v>
      </c>
      <c r="AO24" s="272">
        <v>0</v>
      </c>
      <c r="AP24" s="272">
        <v>33310</v>
      </c>
      <c r="AQ24" s="272">
        <v>688971</v>
      </c>
      <c r="AR24" s="272">
        <v>0</v>
      </c>
      <c r="AS24" s="272">
        <v>0</v>
      </c>
      <c r="AT24" s="272">
        <v>1619975</v>
      </c>
      <c r="AU24" s="272">
        <v>883850</v>
      </c>
      <c r="AV24" s="272">
        <v>144609</v>
      </c>
      <c r="AW24" s="272">
        <v>17313</v>
      </c>
      <c r="AX24" s="272">
        <v>736125</v>
      </c>
      <c r="AY24" s="272">
        <v>50513</v>
      </c>
      <c r="AZ24" s="272">
        <v>104576</v>
      </c>
      <c r="BA24" s="272">
        <v>13814</v>
      </c>
      <c r="BB24" s="272">
        <v>96798</v>
      </c>
      <c r="BC24" s="272">
        <v>1851917</v>
      </c>
      <c r="BD24" s="272">
        <v>0</v>
      </c>
      <c r="BE24" s="272">
        <v>450000</v>
      </c>
      <c r="BF24" s="272">
        <v>1123215</v>
      </c>
      <c r="BG24" s="272">
        <v>0</v>
      </c>
      <c r="BH24" s="272">
        <v>1292277</v>
      </c>
      <c r="BI24" s="272">
        <v>289649</v>
      </c>
      <c r="BJ24" s="272">
        <v>7688413</v>
      </c>
      <c r="BK24" s="272">
        <v>6028496</v>
      </c>
      <c r="BL24" s="272">
        <v>868</v>
      </c>
      <c r="BM24" s="272">
        <v>1000000</v>
      </c>
      <c r="BN24" s="272">
        <v>7602000</v>
      </c>
      <c r="BO24" s="455">
        <f t="shared" si="5"/>
        <v>4839600</v>
      </c>
      <c r="BP24" s="455">
        <f t="shared" si="6"/>
        <v>2762400</v>
      </c>
      <c r="BQ24" s="272">
        <v>334100</v>
      </c>
      <c r="BR24" s="272">
        <v>0</v>
      </c>
      <c r="BS24" s="272">
        <v>2428300</v>
      </c>
      <c r="BT24" s="272">
        <v>0</v>
      </c>
      <c r="BU24" s="272">
        <v>49654007</v>
      </c>
      <c r="BV24" s="272"/>
      <c r="BW24" s="272">
        <v>10467505</v>
      </c>
      <c r="BX24" s="272">
        <v>7513261</v>
      </c>
      <c r="BY24" s="272">
        <v>602075</v>
      </c>
      <c r="BZ24" s="272">
        <v>596237</v>
      </c>
      <c r="CA24" s="272">
        <v>3645036</v>
      </c>
      <c r="CB24" s="272">
        <v>861063</v>
      </c>
      <c r="CC24" s="272">
        <v>319839</v>
      </c>
      <c r="CD24" s="272">
        <v>1198699</v>
      </c>
      <c r="CE24" s="272">
        <v>1204117</v>
      </c>
      <c r="CF24" s="272">
        <v>0</v>
      </c>
      <c r="CG24" s="272">
        <v>61318</v>
      </c>
      <c r="CH24" s="272">
        <v>4195715</v>
      </c>
      <c r="CI24" s="272">
        <v>3305980</v>
      </c>
      <c r="CJ24" s="455">
        <f t="shared" si="7"/>
        <v>889735</v>
      </c>
      <c r="CK24" s="272">
        <v>6292197</v>
      </c>
      <c r="CL24" s="272">
        <v>3762187</v>
      </c>
      <c r="CM24" s="272">
        <v>323045</v>
      </c>
      <c r="CN24" s="272">
        <v>1339939</v>
      </c>
      <c r="CO24" s="272">
        <v>247497</v>
      </c>
      <c r="CP24" s="272">
        <v>3839803</v>
      </c>
      <c r="CQ24" s="272">
        <v>87694</v>
      </c>
      <c r="CR24" s="272">
        <v>1452971</v>
      </c>
      <c r="CS24" s="272">
        <v>1353430</v>
      </c>
      <c r="CT24" s="455">
        <f t="shared" si="8"/>
        <v>1791097</v>
      </c>
      <c r="CU24" s="272">
        <v>1417333</v>
      </c>
      <c r="CV24" s="272">
        <v>373764</v>
      </c>
      <c r="CW24" s="455">
        <f t="shared" si="9"/>
        <v>897346</v>
      </c>
      <c r="CX24" s="272">
        <v>897346</v>
      </c>
      <c r="CY24" s="272">
        <v>0</v>
      </c>
      <c r="CZ24" s="455">
        <f t="shared" si="10"/>
        <v>861229</v>
      </c>
      <c r="DA24" s="272">
        <v>512828</v>
      </c>
      <c r="DB24" s="272">
        <v>348401</v>
      </c>
      <c r="DC24" s="272">
        <v>9233875</v>
      </c>
      <c r="DD24" s="272">
        <v>1927041</v>
      </c>
      <c r="DE24" s="272">
        <v>7295165</v>
      </c>
      <c r="DF24" s="272">
        <v>0</v>
      </c>
      <c r="DG24" s="272">
        <v>11669</v>
      </c>
      <c r="DH24" s="272">
        <v>6100</v>
      </c>
      <c r="DI24" s="272">
        <v>250853</v>
      </c>
      <c r="DJ24" s="272">
        <v>2833</v>
      </c>
      <c r="DK24" s="272">
        <v>1357</v>
      </c>
      <c r="DL24" s="272">
        <v>246663</v>
      </c>
      <c r="DM24" s="272">
        <v>431125</v>
      </c>
      <c r="DN24" s="272">
        <v>231125</v>
      </c>
      <c r="DO24" s="272">
        <v>0</v>
      </c>
      <c r="DP24" s="272">
        <v>231125</v>
      </c>
      <c r="DQ24" s="272">
        <v>7570865</v>
      </c>
      <c r="DR24" s="272">
        <v>440000</v>
      </c>
      <c r="DS24" s="272">
        <v>0</v>
      </c>
      <c r="DT24" s="272">
        <v>2586423</v>
      </c>
      <c r="DU24" s="272">
        <v>0</v>
      </c>
      <c r="DV24" s="455">
        <f t="shared" si="11"/>
        <v>0</v>
      </c>
      <c r="DW24" s="272">
        <v>0</v>
      </c>
      <c r="DX24" s="272">
        <v>0</v>
      </c>
      <c r="DY24" s="272">
        <v>0</v>
      </c>
      <c r="DZ24" s="272">
        <v>808991</v>
      </c>
      <c r="EA24" s="272">
        <v>489910</v>
      </c>
      <c r="EB24" s="272">
        <v>591945</v>
      </c>
      <c r="EC24" s="272">
        <v>0</v>
      </c>
      <c r="ED24" s="272">
        <v>48766994</v>
      </c>
      <c r="EF24" s="272">
        <v>887013</v>
      </c>
      <c r="EG24" s="272">
        <v>154199</v>
      </c>
      <c r="EH24" s="272">
        <v>732814</v>
      </c>
      <c r="EI24" s="272">
        <v>-156835</v>
      </c>
      <c r="EJ24" s="272">
        <v>-154002</v>
      </c>
      <c r="EL24" s="272"/>
      <c r="EM24" s="272">
        <v>122897</v>
      </c>
      <c r="EN24" s="272">
        <v>525625</v>
      </c>
      <c r="EO24" s="272">
        <v>91958</v>
      </c>
      <c r="EP24" s="455">
        <f t="shared" si="12"/>
        <v>2399957</v>
      </c>
      <c r="EQ24" s="272">
        <v>24623239</v>
      </c>
      <c r="ER24" s="272">
        <v>-5753595</v>
      </c>
      <c r="ES24" s="272">
        <v>9769357</v>
      </c>
      <c r="ET24" s="272">
        <v>6931735</v>
      </c>
      <c r="EU24" s="272">
        <v>1121169</v>
      </c>
      <c r="EV24" s="272">
        <v>4154772</v>
      </c>
      <c r="EW24" s="455">
        <f t="shared" si="13"/>
        <v>2111992</v>
      </c>
      <c r="EX24" s="272">
        <v>2105892</v>
      </c>
      <c r="EY24" s="272">
        <v>141716</v>
      </c>
      <c r="EZ24" s="272">
        <v>1964176</v>
      </c>
      <c r="FA24" s="272">
        <v>6100</v>
      </c>
      <c r="FB24" s="272"/>
      <c r="FC24" s="272">
        <v>4611363</v>
      </c>
      <c r="FD24" s="272">
        <v>3559492</v>
      </c>
      <c r="FE24" s="272">
        <v>87694</v>
      </c>
      <c r="FF24" s="272">
        <v>1930645</v>
      </c>
      <c r="FG24" s="455">
        <f t="shared" si="14"/>
        <v>2231031</v>
      </c>
      <c r="FH24" s="272">
        <v>29489821</v>
      </c>
      <c r="FI24" s="384">
        <f t="shared" si="15"/>
        <v>3.2</v>
      </c>
      <c r="FJ24" s="272">
        <v>22984256</v>
      </c>
      <c r="FK24" s="272">
        <v>2428382</v>
      </c>
      <c r="FL24" s="272">
        <v>17316953</v>
      </c>
      <c r="FM24" s="272">
        <v>16237143</v>
      </c>
      <c r="FN24" s="460">
        <v>1.0329999999999999</v>
      </c>
      <c r="FO24" s="388">
        <v>93.8</v>
      </c>
      <c r="FP24" s="388">
        <v>38.200000000000003</v>
      </c>
      <c r="FQ24" s="388">
        <v>4.4000000000000004</v>
      </c>
      <c r="FR24" s="388">
        <v>16.399999999999999</v>
      </c>
      <c r="FS24" s="388">
        <v>17.3</v>
      </c>
      <c r="FT24" s="388">
        <v>10.9</v>
      </c>
      <c r="FU24" s="388">
        <v>5.7</v>
      </c>
      <c r="FV24" s="388">
        <v>10.1</v>
      </c>
      <c r="FW24" s="272">
        <v>35221463</v>
      </c>
      <c r="FX24" s="384">
        <f t="shared" si="16"/>
        <v>153.19999999999999</v>
      </c>
      <c r="FY24" s="272">
        <v>20032098</v>
      </c>
      <c r="FZ24" s="272">
        <v>6441271</v>
      </c>
      <c r="GA24" s="272">
        <v>2806366</v>
      </c>
      <c r="GB24" s="272">
        <v>10784461</v>
      </c>
      <c r="GC24" s="272"/>
      <c r="GD24" s="272">
        <v>6039532</v>
      </c>
      <c r="GE24" s="384">
        <f t="shared" si="17"/>
        <v>26.3</v>
      </c>
      <c r="GF24" s="388">
        <v>97.6</v>
      </c>
      <c r="GG24" s="388">
        <v>22.7</v>
      </c>
      <c r="GH24" s="388">
        <v>92.6</v>
      </c>
      <c r="GI24" s="272">
        <v>1076</v>
      </c>
    </row>
    <row r="25" spans="2:191" x14ac:dyDescent="0.15">
      <c r="B25" s="89" t="s">
        <v>43</v>
      </c>
      <c r="C25" s="272">
        <v>9105634</v>
      </c>
      <c r="D25" s="455">
        <f t="shared" si="0"/>
        <v>3144217</v>
      </c>
      <c r="E25" s="272">
        <v>67627</v>
      </c>
      <c r="F25" s="272">
        <v>3076590</v>
      </c>
      <c r="G25" s="455">
        <f t="shared" si="1"/>
        <v>642176</v>
      </c>
      <c r="H25" s="272">
        <v>125410</v>
      </c>
      <c r="I25" s="272">
        <v>516766</v>
      </c>
      <c r="J25" s="272">
        <v>3992758</v>
      </c>
      <c r="K25" s="272">
        <v>1899799</v>
      </c>
      <c r="L25" s="272">
        <v>1395431</v>
      </c>
      <c r="M25" s="272">
        <v>664284</v>
      </c>
      <c r="N25" s="272">
        <v>402547</v>
      </c>
      <c r="O25" s="272">
        <v>862317</v>
      </c>
      <c r="P25" s="272">
        <v>551840</v>
      </c>
      <c r="Q25" s="272">
        <v>310477</v>
      </c>
      <c r="R25" s="272">
        <v>166807</v>
      </c>
      <c r="S25" s="272"/>
      <c r="T25" s="455">
        <f t="shared" si="2"/>
        <v>918117</v>
      </c>
      <c r="U25" s="272">
        <v>109244</v>
      </c>
      <c r="V25" s="272"/>
      <c r="W25" s="272"/>
      <c r="X25" s="272">
        <v>661968</v>
      </c>
      <c r="Y25" s="272">
        <v>0</v>
      </c>
      <c r="Z25" s="272">
        <v>0</v>
      </c>
      <c r="AA25" s="272">
        <v>146905</v>
      </c>
      <c r="AB25" s="272">
        <v>341548</v>
      </c>
      <c r="AC25" s="272">
        <v>4601937</v>
      </c>
      <c r="AD25" s="272">
        <v>4251693</v>
      </c>
      <c r="AE25" s="272">
        <v>350244</v>
      </c>
      <c r="AF25" s="272">
        <v>16146</v>
      </c>
      <c r="AG25" s="272">
        <v>169274</v>
      </c>
      <c r="AH25" s="455">
        <f t="shared" si="3"/>
        <v>465150</v>
      </c>
      <c r="AI25" s="272">
        <v>381614</v>
      </c>
      <c r="AJ25" s="272">
        <v>83536</v>
      </c>
      <c r="AK25" s="272">
        <v>2684265</v>
      </c>
      <c r="AL25" s="455">
        <f t="shared" si="4"/>
        <v>1841913</v>
      </c>
      <c r="AM25" s="272">
        <v>1133451</v>
      </c>
      <c r="AN25" s="272">
        <v>694051</v>
      </c>
      <c r="AO25" s="272">
        <v>0</v>
      </c>
      <c r="AP25" s="272">
        <v>14411</v>
      </c>
      <c r="AQ25" s="272">
        <v>338342</v>
      </c>
      <c r="AR25" s="272">
        <v>0</v>
      </c>
      <c r="AS25" s="272">
        <v>0</v>
      </c>
      <c r="AT25" s="272">
        <v>946240</v>
      </c>
      <c r="AU25" s="272">
        <v>525725</v>
      </c>
      <c r="AV25" s="272">
        <v>163011</v>
      </c>
      <c r="AW25" s="272">
        <v>9172</v>
      </c>
      <c r="AX25" s="272">
        <v>420515</v>
      </c>
      <c r="AY25" s="272">
        <v>10903</v>
      </c>
      <c r="AZ25" s="272">
        <v>28803</v>
      </c>
      <c r="BA25" s="272">
        <v>2994</v>
      </c>
      <c r="BB25" s="272">
        <v>60174</v>
      </c>
      <c r="BC25" s="272">
        <v>1351580</v>
      </c>
      <c r="BD25" s="272">
        <v>370000</v>
      </c>
      <c r="BE25" s="272">
        <v>30799</v>
      </c>
      <c r="BF25" s="272">
        <v>950781</v>
      </c>
      <c r="BG25" s="272">
        <v>0</v>
      </c>
      <c r="BH25" s="272">
        <v>63368</v>
      </c>
      <c r="BI25" s="272">
        <v>45084</v>
      </c>
      <c r="BJ25" s="272">
        <v>1590202</v>
      </c>
      <c r="BK25" s="272">
        <v>1418015</v>
      </c>
      <c r="BL25" s="272">
        <v>0</v>
      </c>
      <c r="BM25" s="272">
        <v>0</v>
      </c>
      <c r="BN25" s="272">
        <v>2199900</v>
      </c>
      <c r="BO25" s="455">
        <f t="shared" si="5"/>
        <v>478800</v>
      </c>
      <c r="BP25" s="455">
        <f t="shared" si="6"/>
        <v>1721100</v>
      </c>
      <c r="BQ25" s="272">
        <v>121500</v>
      </c>
      <c r="BR25" s="272">
        <v>0</v>
      </c>
      <c r="BS25" s="272">
        <v>1599600</v>
      </c>
      <c r="BT25" s="272">
        <v>0</v>
      </c>
      <c r="BU25" s="272">
        <v>24709145</v>
      </c>
      <c r="BV25" s="272"/>
      <c r="BW25" s="272">
        <v>4825178</v>
      </c>
      <c r="BX25" s="272">
        <v>3306114</v>
      </c>
      <c r="BY25" s="272">
        <v>546085</v>
      </c>
      <c r="BZ25" s="272">
        <v>105128</v>
      </c>
      <c r="CA25" s="272">
        <v>4229458</v>
      </c>
      <c r="CB25" s="272">
        <v>569585</v>
      </c>
      <c r="CC25" s="272">
        <v>268621</v>
      </c>
      <c r="CD25" s="272">
        <v>1557785</v>
      </c>
      <c r="CE25" s="272">
        <v>1545124</v>
      </c>
      <c r="CF25" s="272">
        <v>168428</v>
      </c>
      <c r="CG25" s="272">
        <v>119735</v>
      </c>
      <c r="CH25" s="272">
        <v>2136035</v>
      </c>
      <c r="CI25" s="272">
        <v>1634283</v>
      </c>
      <c r="CJ25" s="455">
        <f t="shared" si="7"/>
        <v>501752</v>
      </c>
      <c r="CK25" s="272">
        <v>2667411</v>
      </c>
      <c r="CL25" s="272">
        <v>1526009</v>
      </c>
      <c r="CM25" s="272">
        <v>194816</v>
      </c>
      <c r="CN25" s="272">
        <v>398190</v>
      </c>
      <c r="CO25" s="272">
        <v>161872</v>
      </c>
      <c r="CP25" s="272">
        <v>4055239</v>
      </c>
      <c r="CQ25" s="272">
        <v>2321958</v>
      </c>
      <c r="CR25" s="272">
        <v>517859</v>
      </c>
      <c r="CS25" s="272">
        <v>226927</v>
      </c>
      <c r="CT25" s="455">
        <f t="shared" si="8"/>
        <v>988900</v>
      </c>
      <c r="CU25" s="272">
        <v>543162</v>
      </c>
      <c r="CV25" s="272">
        <v>445738</v>
      </c>
      <c r="CW25" s="455">
        <f t="shared" si="9"/>
        <v>981323</v>
      </c>
      <c r="CX25" s="272">
        <v>539333</v>
      </c>
      <c r="CY25" s="272">
        <v>441990</v>
      </c>
      <c r="CZ25" s="455">
        <f t="shared" si="10"/>
        <v>0</v>
      </c>
      <c r="DA25" s="272">
        <v>0</v>
      </c>
      <c r="DB25" s="272">
        <v>0</v>
      </c>
      <c r="DC25" s="272">
        <v>1969860</v>
      </c>
      <c r="DD25" s="272">
        <v>757955</v>
      </c>
      <c r="DE25" s="272">
        <v>1204905</v>
      </c>
      <c r="DF25" s="272">
        <v>0</v>
      </c>
      <c r="DG25" s="272">
        <v>7000</v>
      </c>
      <c r="DH25" s="272">
        <v>0</v>
      </c>
      <c r="DI25" s="272">
        <v>66462</v>
      </c>
      <c r="DJ25" s="272">
        <v>5465</v>
      </c>
      <c r="DK25" s="272">
        <v>213</v>
      </c>
      <c r="DL25" s="272">
        <v>60784</v>
      </c>
      <c r="DM25" s="272">
        <v>0</v>
      </c>
      <c r="DN25" s="272">
        <v>0</v>
      </c>
      <c r="DO25" s="272">
        <v>0</v>
      </c>
      <c r="DP25" s="272">
        <v>0</v>
      </c>
      <c r="DQ25" s="272">
        <v>1416373</v>
      </c>
      <c r="DR25" s="272">
        <v>0</v>
      </c>
      <c r="DS25" s="272">
        <v>0</v>
      </c>
      <c r="DT25" s="272">
        <v>3142249</v>
      </c>
      <c r="DU25" s="272">
        <v>1482198</v>
      </c>
      <c r="DV25" s="455">
        <f t="shared" si="11"/>
        <v>0</v>
      </c>
      <c r="DW25" s="272">
        <v>0</v>
      </c>
      <c r="DX25" s="272">
        <v>0</v>
      </c>
      <c r="DY25" s="272">
        <v>0</v>
      </c>
      <c r="DZ25" s="272">
        <v>762911</v>
      </c>
      <c r="EA25" s="272">
        <v>322419</v>
      </c>
      <c r="EB25" s="272">
        <v>478376</v>
      </c>
      <c r="EC25" s="272">
        <v>0</v>
      </c>
      <c r="ED25" s="272">
        <v>24670137</v>
      </c>
      <c r="EF25" s="272">
        <v>39008</v>
      </c>
      <c r="EG25" s="272">
        <v>29787</v>
      </c>
      <c r="EH25" s="272">
        <v>9221</v>
      </c>
      <c r="EI25" s="272">
        <v>-85863</v>
      </c>
      <c r="EJ25" s="272">
        <v>-450398</v>
      </c>
      <c r="EL25" s="272"/>
      <c r="EM25" s="272">
        <v>76476</v>
      </c>
      <c r="EN25" s="272">
        <v>400799</v>
      </c>
      <c r="EO25" s="272">
        <v>9413</v>
      </c>
      <c r="EP25" s="455">
        <f t="shared" si="12"/>
        <v>270082</v>
      </c>
      <c r="EQ25" s="272">
        <v>15150189</v>
      </c>
      <c r="ER25" s="272">
        <v>-2385248</v>
      </c>
      <c r="ES25" s="272">
        <v>4422216</v>
      </c>
      <c r="ET25" s="272">
        <v>2966139</v>
      </c>
      <c r="EU25" s="272">
        <v>1595702</v>
      </c>
      <c r="EV25" s="272">
        <v>2076177</v>
      </c>
      <c r="EW25" s="455">
        <f t="shared" si="13"/>
        <v>374898</v>
      </c>
      <c r="EX25" s="272">
        <v>374898</v>
      </c>
      <c r="EY25" s="272">
        <v>156041</v>
      </c>
      <c r="EZ25" s="272">
        <v>218857</v>
      </c>
      <c r="FA25" s="272">
        <v>0</v>
      </c>
      <c r="FB25" s="272"/>
      <c r="FC25" s="272">
        <v>2205400</v>
      </c>
      <c r="FD25" s="272">
        <v>3991744</v>
      </c>
      <c r="FE25" s="272">
        <v>2321958</v>
      </c>
      <c r="FF25" s="272">
        <v>2777727</v>
      </c>
      <c r="FG25" s="455">
        <f t="shared" si="14"/>
        <v>52565</v>
      </c>
      <c r="FH25" s="272">
        <v>17496429</v>
      </c>
      <c r="FI25" s="384">
        <f t="shared" si="15"/>
        <v>0.1</v>
      </c>
      <c r="FJ25" s="272">
        <v>13874158</v>
      </c>
      <c r="FK25" s="272">
        <v>1599605</v>
      </c>
      <c r="FL25" s="272">
        <v>7263439</v>
      </c>
      <c r="FM25" s="272">
        <v>11537059</v>
      </c>
      <c r="FN25" s="460">
        <v>0.628</v>
      </c>
      <c r="FO25" s="388">
        <v>97.7</v>
      </c>
      <c r="FP25" s="388">
        <v>27.9</v>
      </c>
      <c r="FQ25" s="388">
        <v>10.1</v>
      </c>
      <c r="FR25" s="388">
        <v>13.2</v>
      </c>
      <c r="FS25" s="388">
        <v>13.6</v>
      </c>
      <c r="FT25" s="388">
        <v>20.9</v>
      </c>
      <c r="FU25" s="388">
        <v>12</v>
      </c>
      <c r="FV25" s="388">
        <v>6.5</v>
      </c>
      <c r="FW25" s="272">
        <v>19266622</v>
      </c>
      <c r="FX25" s="384">
        <f t="shared" si="16"/>
        <v>138.9</v>
      </c>
      <c r="FY25" s="272">
        <v>4685071</v>
      </c>
      <c r="FZ25" s="272">
        <v>1340015</v>
      </c>
      <c r="GA25" s="272">
        <v>55850</v>
      </c>
      <c r="GB25" s="272">
        <v>3289206</v>
      </c>
      <c r="GC25" s="272"/>
      <c r="GD25" s="272">
        <v>1709668</v>
      </c>
      <c r="GE25" s="384">
        <f t="shared" si="17"/>
        <v>12.3</v>
      </c>
      <c r="GF25" s="388">
        <v>97.3</v>
      </c>
      <c r="GG25" s="388">
        <v>25.9</v>
      </c>
      <c r="GH25" s="388">
        <v>89.5</v>
      </c>
      <c r="GI25" s="272">
        <v>449</v>
      </c>
    </row>
    <row r="26" spans="2:191" x14ac:dyDescent="0.15">
      <c r="B26" s="89" t="s">
        <v>45</v>
      </c>
      <c r="C26" s="272">
        <v>12636894</v>
      </c>
      <c r="D26" s="455">
        <f t="shared" si="0"/>
        <v>4911882</v>
      </c>
      <c r="E26" s="272">
        <v>104082</v>
      </c>
      <c r="F26" s="272">
        <v>4807800</v>
      </c>
      <c r="G26" s="455">
        <f t="shared" si="1"/>
        <v>752879</v>
      </c>
      <c r="H26" s="272">
        <v>168772</v>
      </c>
      <c r="I26" s="272">
        <v>584107</v>
      </c>
      <c r="J26" s="272">
        <v>5071362</v>
      </c>
      <c r="K26" s="272">
        <v>2580540</v>
      </c>
      <c r="L26" s="272">
        <v>1985985</v>
      </c>
      <c r="M26" s="272">
        <v>462417</v>
      </c>
      <c r="N26" s="272">
        <v>616059</v>
      </c>
      <c r="O26" s="272">
        <v>1176230</v>
      </c>
      <c r="P26" s="272">
        <v>752481</v>
      </c>
      <c r="Q26" s="272">
        <v>423749</v>
      </c>
      <c r="R26" s="272">
        <v>252368</v>
      </c>
      <c r="S26" s="272"/>
      <c r="T26" s="455">
        <f t="shared" si="2"/>
        <v>1351394</v>
      </c>
      <c r="U26" s="272">
        <v>171603</v>
      </c>
      <c r="V26" s="272"/>
      <c r="W26" s="272"/>
      <c r="X26" s="272">
        <v>957543</v>
      </c>
      <c r="Y26" s="272">
        <v>0</v>
      </c>
      <c r="Z26" s="272">
        <v>0</v>
      </c>
      <c r="AA26" s="272">
        <v>222248</v>
      </c>
      <c r="AB26" s="272">
        <v>527026</v>
      </c>
      <c r="AC26" s="272">
        <v>7593853</v>
      </c>
      <c r="AD26" s="272">
        <v>7228835</v>
      </c>
      <c r="AE26" s="272">
        <v>365018</v>
      </c>
      <c r="AF26" s="272">
        <v>23273</v>
      </c>
      <c r="AG26" s="272">
        <v>210420</v>
      </c>
      <c r="AH26" s="455">
        <f t="shared" si="3"/>
        <v>621618</v>
      </c>
      <c r="AI26" s="272">
        <v>588946</v>
      </c>
      <c r="AJ26" s="272">
        <v>32672</v>
      </c>
      <c r="AK26" s="272">
        <v>4710608</v>
      </c>
      <c r="AL26" s="455">
        <f t="shared" si="4"/>
        <v>2706933</v>
      </c>
      <c r="AM26" s="272">
        <v>2267941</v>
      </c>
      <c r="AN26" s="272">
        <v>428202</v>
      </c>
      <c r="AO26" s="272">
        <v>0</v>
      </c>
      <c r="AP26" s="272">
        <v>10790</v>
      </c>
      <c r="AQ26" s="272">
        <v>330179</v>
      </c>
      <c r="AR26" s="272">
        <v>0</v>
      </c>
      <c r="AS26" s="272">
        <v>0</v>
      </c>
      <c r="AT26" s="272">
        <v>1882353</v>
      </c>
      <c r="AU26" s="272">
        <v>1162865</v>
      </c>
      <c r="AV26" s="272">
        <v>214280</v>
      </c>
      <c r="AW26" s="272">
        <v>193560</v>
      </c>
      <c r="AX26" s="272">
        <v>719488</v>
      </c>
      <c r="AY26" s="272">
        <v>36040</v>
      </c>
      <c r="AZ26" s="272">
        <v>1555557</v>
      </c>
      <c r="BA26" s="272">
        <v>1542066</v>
      </c>
      <c r="BB26" s="272">
        <v>168732</v>
      </c>
      <c r="BC26" s="272">
        <v>458548</v>
      </c>
      <c r="BD26" s="272">
        <v>50000</v>
      </c>
      <c r="BE26" s="272">
        <v>54000</v>
      </c>
      <c r="BF26" s="272">
        <v>299278</v>
      </c>
      <c r="BG26" s="272">
        <v>0</v>
      </c>
      <c r="BH26" s="272">
        <v>0</v>
      </c>
      <c r="BI26" s="272">
        <v>0</v>
      </c>
      <c r="BJ26" s="272">
        <v>1744623</v>
      </c>
      <c r="BK26" s="272">
        <v>1047731</v>
      </c>
      <c r="BL26" s="272">
        <v>0</v>
      </c>
      <c r="BM26" s="272">
        <v>0</v>
      </c>
      <c r="BN26" s="272">
        <v>3992700</v>
      </c>
      <c r="BO26" s="455">
        <f t="shared" si="5"/>
        <v>1517800</v>
      </c>
      <c r="BP26" s="455">
        <f t="shared" si="6"/>
        <v>2474900</v>
      </c>
      <c r="BQ26" s="272">
        <v>187500</v>
      </c>
      <c r="BR26" s="272">
        <v>0</v>
      </c>
      <c r="BS26" s="272">
        <v>2287400</v>
      </c>
      <c r="BT26" s="272">
        <v>0</v>
      </c>
      <c r="BU26" s="272">
        <v>37729967</v>
      </c>
      <c r="BV26" s="272"/>
      <c r="BW26" s="272">
        <v>7001410</v>
      </c>
      <c r="BX26" s="272">
        <v>4881461</v>
      </c>
      <c r="BY26" s="272">
        <v>887484</v>
      </c>
      <c r="BZ26" s="272">
        <v>88850</v>
      </c>
      <c r="CA26" s="272">
        <v>7424496</v>
      </c>
      <c r="CB26" s="272">
        <v>1249306</v>
      </c>
      <c r="CC26" s="272">
        <v>681181</v>
      </c>
      <c r="CD26" s="272">
        <v>2262849</v>
      </c>
      <c r="CE26" s="272">
        <v>3106208</v>
      </c>
      <c r="CF26" s="272">
        <v>0</v>
      </c>
      <c r="CG26" s="272">
        <v>124787</v>
      </c>
      <c r="CH26" s="272">
        <v>4049545</v>
      </c>
      <c r="CI26" s="272">
        <v>2935763</v>
      </c>
      <c r="CJ26" s="455">
        <f t="shared" si="7"/>
        <v>1113782</v>
      </c>
      <c r="CK26" s="272">
        <v>4121353</v>
      </c>
      <c r="CL26" s="272">
        <v>2319818</v>
      </c>
      <c r="CM26" s="272">
        <v>480307</v>
      </c>
      <c r="CN26" s="272">
        <v>647328</v>
      </c>
      <c r="CO26" s="272">
        <v>106064</v>
      </c>
      <c r="CP26" s="272">
        <v>4376986</v>
      </c>
      <c r="CQ26" s="272">
        <v>2677906</v>
      </c>
      <c r="CR26" s="272">
        <v>1189856</v>
      </c>
      <c r="CS26" s="272">
        <v>1110294</v>
      </c>
      <c r="CT26" s="455">
        <f t="shared" si="8"/>
        <v>16609</v>
      </c>
      <c r="CU26" s="272">
        <v>11439</v>
      </c>
      <c r="CV26" s="272">
        <v>5170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4228762</v>
      </c>
      <c r="DD26" s="272">
        <v>1123889</v>
      </c>
      <c r="DE26" s="272">
        <v>3052979</v>
      </c>
      <c r="DF26" s="272">
        <v>49438</v>
      </c>
      <c r="DG26" s="272">
        <v>2456</v>
      </c>
      <c r="DH26" s="272">
        <v>0</v>
      </c>
      <c r="DI26" s="272">
        <v>641400</v>
      </c>
      <c r="DJ26" s="272">
        <v>21</v>
      </c>
      <c r="DK26" s="272">
        <v>10</v>
      </c>
      <c r="DL26" s="272">
        <v>641369</v>
      </c>
      <c r="DM26" s="272">
        <v>0</v>
      </c>
      <c r="DN26" s="272">
        <v>0</v>
      </c>
      <c r="DO26" s="272">
        <v>0</v>
      </c>
      <c r="DP26" s="272">
        <v>0</v>
      </c>
      <c r="DQ26" s="272">
        <v>1046162</v>
      </c>
      <c r="DR26" s="272">
        <v>0</v>
      </c>
      <c r="DS26" s="272">
        <v>0</v>
      </c>
      <c r="DT26" s="272">
        <v>4473494</v>
      </c>
      <c r="DU26" s="272">
        <v>1809485</v>
      </c>
      <c r="DV26" s="455">
        <f t="shared" si="11"/>
        <v>0</v>
      </c>
      <c r="DW26" s="272">
        <v>0</v>
      </c>
      <c r="DX26" s="272">
        <v>0</v>
      </c>
      <c r="DY26" s="272">
        <v>0</v>
      </c>
      <c r="DZ26" s="272">
        <v>1165280</v>
      </c>
      <c r="EA26" s="272">
        <v>512661</v>
      </c>
      <c r="EB26" s="272">
        <v>820256</v>
      </c>
      <c r="EC26" s="272">
        <v>1012659</v>
      </c>
      <c r="ED26" s="272">
        <v>38482331</v>
      </c>
      <c r="EF26" s="272">
        <v>-752364</v>
      </c>
      <c r="EG26" s="272">
        <v>180382</v>
      </c>
      <c r="EH26" s="272">
        <v>-932746</v>
      </c>
      <c r="EI26" s="272">
        <v>154082</v>
      </c>
      <c r="EJ26" s="272">
        <v>104103</v>
      </c>
      <c r="EL26" s="272"/>
      <c r="EM26" s="272">
        <v>120398</v>
      </c>
      <c r="EN26" s="272">
        <v>159270</v>
      </c>
      <c r="EO26" s="272">
        <v>507039</v>
      </c>
      <c r="EP26" s="455">
        <f t="shared" si="12"/>
        <v>813819</v>
      </c>
      <c r="EQ26" s="272">
        <v>22384808</v>
      </c>
      <c r="ER26" s="272">
        <v>-3931755</v>
      </c>
      <c r="ES26" s="272">
        <v>6321912</v>
      </c>
      <c r="ET26" s="272">
        <v>4361433</v>
      </c>
      <c r="EU26" s="272">
        <v>2644254</v>
      </c>
      <c r="EV26" s="272">
        <v>3806363</v>
      </c>
      <c r="EW26" s="455">
        <f t="shared" si="13"/>
        <v>910253</v>
      </c>
      <c r="EX26" s="272">
        <v>910253</v>
      </c>
      <c r="EY26" s="272">
        <v>11886</v>
      </c>
      <c r="EZ26" s="272">
        <v>883729</v>
      </c>
      <c r="FA26" s="272">
        <v>0</v>
      </c>
      <c r="FB26" s="272"/>
      <c r="FC26" s="272">
        <v>3467073</v>
      </c>
      <c r="FD26" s="272">
        <v>4188963</v>
      </c>
      <c r="FE26" s="272">
        <v>2677906</v>
      </c>
      <c r="FF26" s="272">
        <v>4000434</v>
      </c>
      <c r="FG26" s="455">
        <f t="shared" si="14"/>
        <v>1729675</v>
      </c>
      <c r="FH26" s="272">
        <v>27068927</v>
      </c>
      <c r="FI26" s="384">
        <f t="shared" si="15"/>
        <v>-4.5</v>
      </c>
      <c r="FJ26" s="272">
        <v>20887734</v>
      </c>
      <c r="FK26" s="272">
        <v>2287425</v>
      </c>
      <c r="FL26" s="272">
        <v>10311545</v>
      </c>
      <c r="FM26" s="272">
        <v>17573781</v>
      </c>
      <c r="FN26" s="460">
        <v>0.59799999999999998</v>
      </c>
      <c r="FO26" s="388">
        <v>95.1</v>
      </c>
      <c r="FP26" s="388">
        <v>25.9</v>
      </c>
      <c r="FQ26" s="388">
        <v>11.3</v>
      </c>
      <c r="FR26" s="388">
        <v>16.2</v>
      </c>
      <c r="FS26" s="388">
        <v>13.9</v>
      </c>
      <c r="FT26" s="388">
        <v>16.100000000000001</v>
      </c>
      <c r="FU26" s="388">
        <v>11.3</v>
      </c>
      <c r="FV26" s="388">
        <v>8.1999999999999993</v>
      </c>
      <c r="FW26" s="272">
        <v>49252237</v>
      </c>
      <c r="FX26" s="384">
        <f t="shared" si="16"/>
        <v>235.8</v>
      </c>
      <c r="FY26" s="272">
        <v>2042244</v>
      </c>
      <c r="FZ26" s="272">
        <v>687851</v>
      </c>
      <c r="GA26" s="272">
        <v>171505</v>
      </c>
      <c r="GB26" s="272">
        <v>1182888</v>
      </c>
      <c r="GC26" s="272"/>
      <c r="GD26" s="272">
        <v>8984005</v>
      </c>
      <c r="GE26" s="384">
        <f t="shared" si="17"/>
        <v>43</v>
      </c>
      <c r="GF26" s="388">
        <v>97.8</v>
      </c>
      <c r="GG26" s="388">
        <v>24.9</v>
      </c>
      <c r="GH26" s="388">
        <v>93.1</v>
      </c>
      <c r="GI26" s="272">
        <v>660</v>
      </c>
    </row>
    <row r="27" spans="2:191" x14ac:dyDescent="0.15">
      <c r="B27" s="89" t="s">
        <v>47</v>
      </c>
      <c r="C27" s="272">
        <v>19019782</v>
      </c>
      <c r="D27" s="455">
        <f t="shared" si="0"/>
        <v>4406143</v>
      </c>
      <c r="E27" s="272">
        <v>117485</v>
      </c>
      <c r="F27" s="272">
        <v>4288658</v>
      </c>
      <c r="G27" s="455">
        <f t="shared" si="1"/>
        <v>1555941</v>
      </c>
      <c r="H27" s="272">
        <v>436537</v>
      </c>
      <c r="I27" s="272">
        <v>1119404</v>
      </c>
      <c r="J27" s="272">
        <v>9793525</v>
      </c>
      <c r="K27" s="272">
        <v>5178312</v>
      </c>
      <c r="L27" s="272">
        <v>3149928</v>
      </c>
      <c r="M27" s="272">
        <v>1354514</v>
      </c>
      <c r="N27" s="272">
        <v>1133703</v>
      </c>
      <c r="O27" s="272">
        <v>2041440</v>
      </c>
      <c r="P27" s="272">
        <v>1336508</v>
      </c>
      <c r="Q27" s="272">
        <v>704932</v>
      </c>
      <c r="R27" s="272">
        <v>248387</v>
      </c>
      <c r="S27" s="272"/>
      <c r="T27" s="455">
        <f t="shared" si="2"/>
        <v>1851724</v>
      </c>
      <c r="U27" s="272">
        <v>169317</v>
      </c>
      <c r="V27" s="272"/>
      <c r="W27" s="272"/>
      <c r="X27" s="272">
        <v>1463624</v>
      </c>
      <c r="Y27" s="272">
        <v>0</v>
      </c>
      <c r="Z27" s="272">
        <v>0</v>
      </c>
      <c r="AA27" s="272">
        <v>218783</v>
      </c>
      <c r="AB27" s="272">
        <v>500857</v>
      </c>
      <c r="AC27" s="272">
        <v>4933876</v>
      </c>
      <c r="AD27" s="272">
        <v>4734848</v>
      </c>
      <c r="AE27" s="272">
        <v>199028</v>
      </c>
      <c r="AF27" s="272">
        <v>25006</v>
      </c>
      <c r="AG27" s="272">
        <v>180622</v>
      </c>
      <c r="AH27" s="455">
        <f t="shared" si="3"/>
        <v>713808</v>
      </c>
      <c r="AI27" s="272">
        <v>548510</v>
      </c>
      <c r="AJ27" s="272">
        <v>165298</v>
      </c>
      <c r="AK27" s="272">
        <v>8659704</v>
      </c>
      <c r="AL27" s="455">
        <f t="shared" si="4"/>
        <v>6043493</v>
      </c>
      <c r="AM27" s="272">
        <v>5560953</v>
      </c>
      <c r="AN27" s="272">
        <v>450776</v>
      </c>
      <c r="AO27" s="272">
        <v>0</v>
      </c>
      <c r="AP27" s="272">
        <v>31764</v>
      </c>
      <c r="AQ27" s="272">
        <v>575564</v>
      </c>
      <c r="AR27" s="272">
        <v>0</v>
      </c>
      <c r="AS27" s="272">
        <v>0</v>
      </c>
      <c r="AT27" s="272">
        <v>2006038</v>
      </c>
      <c r="AU27" s="272">
        <v>1131693</v>
      </c>
      <c r="AV27" s="272">
        <v>225388</v>
      </c>
      <c r="AW27" s="272">
        <v>0</v>
      </c>
      <c r="AX27" s="272">
        <v>874345</v>
      </c>
      <c r="AY27" s="272">
        <v>237065</v>
      </c>
      <c r="AZ27" s="272">
        <v>21845</v>
      </c>
      <c r="BA27" s="272">
        <v>4736</v>
      </c>
      <c r="BB27" s="272">
        <v>10252</v>
      </c>
      <c r="BC27" s="272">
        <v>905961</v>
      </c>
      <c r="BD27" s="272">
        <v>200000</v>
      </c>
      <c r="BE27" s="272">
        <v>200000</v>
      </c>
      <c r="BF27" s="272">
        <v>505961</v>
      </c>
      <c r="BG27" s="272">
        <v>0</v>
      </c>
      <c r="BH27" s="272">
        <v>493564</v>
      </c>
      <c r="BI27" s="272">
        <v>371081</v>
      </c>
      <c r="BJ27" s="272">
        <v>277276</v>
      </c>
      <c r="BK27" s="272">
        <v>93031</v>
      </c>
      <c r="BL27" s="272">
        <v>0</v>
      </c>
      <c r="BM27" s="272">
        <v>0</v>
      </c>
      <c r="BN27" s="272">
        <v>5454500</v>
      </c>
      <c r="BO27" s="455">
        <f t="shared" si="5"/>
        <v>2702700</v>
      </c>
      <c r="BP27" s="455">
        <f t="shared" si="6"/>
        <v>2751800</v>
      </c>
      <c r="BQ27" s="272">
        <v>192200</v>
      </c>
      <c r="BR27" s="272">
        <v>0</v>
      </c>
      <c r="BS27" s="272">
        <v>2559600</v>
      </c>
      <c r="BT27" s="272">
        <v>0</v>
      </c>
      <c r="BU27" s="272">
        <v>45303202</v>
      </c>
      <c r="BV27" s="272"/>
      <c r="BW27" s="272">
        <v>11523301</v>
      </c>
      <c r="BX27" s="272">
        <v>7887896</v>
      </c>
      <c r="BY27" s="272">
        <v>1619778</v>
      </c>
      <c r="BZ27" s="272">
        <v>123325</v>
      </c>
      <c r="CA27" s="272">
        <v>11934950</v>
      </c>
      <c r="CB27" s="272">
        <v>1003954</v>
      </c>
      <c r="CC27" s="272">
        <v>311776</v>
      </c>
      <c r="CD27" s="272">
        <v>2874163</v>
      </c>
      <c r="CE27" s="272">
        <v>7556010</v>
      </c>
      <c r="CF27" s="272">
        <v>336</v>
      </c>
      <c r="CG27" s="272">
        <v>188316</v>
      </c>
      <c r="CH27" s="272">
        <v>4042887</v>
      </c>
      <c r="CI27" s="272">
        <v>2987546</v>
      </c>
      <c r="CJ27" s="455">
        <f t="shared" si="7"/>
        <v>1055341</v>
      </c>
      <c r="CK27" s="272">
        <v>4033534</v>
      </c>
      <c r="CL27" s="272">
        <v>2363965</v>
      </c>
      <c r="CM27" s="272">
        <v>154873</v>
      </c>
      <c r="CN27" s="272">
        <v>1001047</v>
      </c>
      <c r="CO27" s="272">
        <v>169957</v>
      </c>
      <c r="CP27" s="272">
        <v>3278021</v>
      </c>
      <c r="CQ27" s="272">
        <v>2009300</v>
      </c>
      <c r="CR27" s="272">
        <v>565322</v>
      </c>
      <c r="CS27" s="272">
        <v>401028</v>
      </c>
      <c r="CT27" s="455">
        <f t="shared" si="8"/>
        <v>16427</v>
      </c>
      <c r="CU27" s="272">
        <v>6731</v>
      </c>
      <c r="CV27" s="272">
        <v>9696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5263884</v>
      </c>
      <c r="DD27" s="272">
        <v>1279472</v>
      </c>
      <c r="DE27" s="272">
        <v>3984412</v>
      </c>
      <c r="DF27" s="272">
        <v>0</v>
      </c>
      <c r="DG27" s="272">
        <v>0</v>
      </c>
      <c r="DH27" s="272">
        <v>0</v>
      </c>
      <c r="DI27" s="272">
        <v>192958</v>
      </c>
      <c r="DJ27" s="272">
        <v>189878</v>
      </c>
      <c r="DK27" s="272">
        <v>226</v>
      </c>
      <c r="DL27" s="272">
        <v>2854</v>
      </c>
      <c r="DM27" s="272">
        <v>0</v>
      </c>
      <c r="DN27" s="272">
        <v>0</v>
      </c>
      <c r="DO27" s="272">
        <v>0</v>
      </c>
      <c r="DP27" s="272">
        <v>0</v>
      </c>
      <c r="DQ27" s="272">
        <v>93000</v>
      </c>
      <c r="DR27" s="272">
        <v>0</v>
      </c>
      <c r="DS27" s="272">
        <v>0</v>
      </c>
      <c r="DT27" s="272">
        <v>4460405</v>
      </c>
      <c r="DU27" s="272">
        <v>2042000</v>
      </c>
      <c r="DV27" s="455">
        <f t="shared" si="11"/>
        <v>0</v>
      </c>
      <c r="DW27" s="272">
        <v>0</v>
      </c>
      <c r="DX27" s="272">
        <v>0</v>
      </c>
      <c r="DY27" s="272">
        <v>0</v>
      </c>
      <c r="DZ27" s="272">
        <v>1369517</v>
      </c>
      <c r="EA27" s="272">
        <v>440024</v>
      </c>
      <c r="EB27" s="272">
        <v>608864</v>
      </c>
      <c r="EC27" s="272">
        <v>0</v>
      </c>
      <c r="ED27" s="272">
        <v>44992897</v>
      </c>
      <c r="EF27" s="272">
        <v>310305</v>
      </c>
      <c r="EG27" s="272">
        <v>21124</v>
      </c>
      <c r="EH27" s="272">
        <v>289181</v>
      </c>
      <c r="EI27" s="272">
        <v>-81900</v>
      </c>
      <c r="EJ27" s="272">
        <v>-92022</v>
      </c>
      <c r="EL27" s="272"/>
      <c r="EM27" s="272">
        <v>133338</v>
      </c>
      <c r="EN27" s="272">
        <v>792718</v>
      </c>
      <c r="EO27" s="272">
        <v>4750</v>
      </c>
      <c r="EP27" s="455">
        <f t="shared" si="12"/>
        <v>638167</v>
      </c>
      <c r="EQ27" s="272">
        <v>26579632</v>
      </c>
      <c r="ER27" s="272">
        <v>-4162429</v>
      </c>
      <c r="ES27" s="272">
        <v>10803949</v>
      </c>
      <c r="ET27" s="272">
        <v>7185693</v>
      </c>
      <c r="EU27" s="272">
        <v>3552369</v>
      </c>
      <c r="EV27" s="272">
        <v>3975262</v>
      </c>
      <c r="EW27" s="455">
        <f t="shared" si="13"/>
        <v>1553490</v>
      </c>
      <c r="EX27" s="272">
        <v>1553490</v>
      </c>
      <c r="EY27" s="272">
        <v>18750</v>
      </c>
      <c r="EZ27" s="272">
        <v>1534740</v>
      </c>
      <c r="FA27" s="272">
        <v>0</v>
      </c>
      <c r="FB27" s="272"/>
      <c r="FC27" s="272">
        <v>3349517</v>
      </c>
      <c r="FD27" s="272">
        <v>3027894</v>
      </c>
      <c r="FE27" s="272">
        <v>2009300</v>
      </c>
      <c r="FF27" s="272">
        <v>3869372</v>
      </c>
      <c r="FG27" s="455">
        <f t="shared" si="14"/>
        <v>299903</v>
      </c>
      <c r="FH27" s="272">
        <v>30431756</v>
      </c>
      <c r="FI27" s="384">
        <f t="shared" si="15"/>
        <v>1.2</v>
      </c>
      <c r="FJ27" s="272">
        <v>23661234</v>
      </c>
      <c r="FK27" s="272">
        <v>2559611</v>
      </c>
      <c r="FL27" s="272">
        <v>14265275</v>
      </c>
      <c r="FM27" s="272">
        <v>19036304</v>
      </c>
      <c r="FN27" s="460">
        <v>0.78200000000000003</v>
      </c>
      <c r="FO27" s="388">
        <v>100.8</v>
      </c>
      <c r="FP27" s="388">
        <v>37.700000000000003</v>
      </c>
      <c r="FQ27" s="388">
        <v>13</v>
      </c>
      <c r="FR27" s="388">
        <v>14.6</v>
      </c>
      <c r="FS27" s="388">
        <v>11.8</v>
      </c>
      <c r="FT27" s="388">
        <v>10.199999999999999</v>
      </c>
      <c r="FU27" s="388">
        <v>13.1</v>
      </c>
      <c r="FV27" s="388">
        <v>9.5</v>
      </c>
      <c r="FW27" s="272">
        <v>45790634</v>
      </c>
      <c r="FX27" s="384">
        <f t="shared" si="16"/>
        <v>193.5</v>
      </c>
      <c r="FY27" s="272">
        <v>9389625</v>
      </c>
      <c r="FZ27" s="272">
        <v>7083916</v>
      </c>
      <c r="GA27" s="272">
        <v>482529</v>
      </c>
      <c r="GB27" s="272">
        <v>1823180</v>
      </c>
      <c r="GC27" s="272"/>
      <c r="GD27" s="272">
        <v>8354607</v>
      </c>
      <c r="GE27" s="384">
        <f t="shared" si="17"/>
        <v>35.299999999999997</v>
      </c>
      <c r="GF27" s="388">
        <v>97</v>
      </c>
      <c r="GG27" s="388">
        <v>16.100000000000001</v>
      </c>
      <c r="GH27" s="388">
        <v>87.4</v>
      </c>
      <c r="GI27" s="272">
        <v>1080</v>
      </c>
    </row>
    <row r="28" spans="2:191" x14ac:dyDescent="0.15">
      <c r="B28" s="89" t="s">
        <v>49</v>
      </c>
      <c r="C28" s="272">
        <v>17340687</v>
      </c>
      <c r="D28" s="455">
        <f t="shared" si="0"/>
        <v>3494748</v>
      </c>
      <c r="E28" s="272">
        <v>83612</v>
      </c>
      <c r="F28" s="272">
        <v>3411136</v>
      </c>
      <c r="G28" s="455">
        <f t="shared" si="1"/>
        <v>1782284</v>
      </c>
      <c r="H28" s="272">
        <v>344120</v>
      </c>
      <c r="I28" s="272">
        <v>1438164</v>
      </c>
      <c r="J28" s="272">
        <v>9545503</v>
      </c>
      <c r="K28" s="272">
        <v>4942861</v>
      </c>
      <c r="L28" s="272">
        <v>2391967</v>
      </c>
      <c r="M28" s="272">
        <v>2111016</v>
      </c>
      <c r="N28" s="272">
        <v>642672</v>
      </c>
      <c r="O28" s="272">
        <v>1809793</v>
      </c>
      <c r="P28" s="272">
        <v>1269183</v>
      </c>
      <c r="Q28" s="272">
        <v>540610</v>
      </c>
      <c r="R28" s="272">
        <v>189918</v>
      </c>
      <c r="S28" s="272"/>
      <c r="T28" s="455">
        <f t="shared" si="2"/>
        <v>1237493</v>
      </c>
      <c r="U28" s="272">
        <v>127700</v>
      </c>
      <c r="V28" s="272"/>
      <c r="W28" s="272"/>
      <c r="X28" s="272">
        <v>939444</v>
      </c>
      <c r="Y28" s="272">
        <v>3047</v>
      </c>
      <c r="Z28" s="272">
        <v>0</v>
      </c>
      <c r="AA28" s="272">
        <v>167302</v>
      </c>
      <c r="AB28" s="272">
        <v>477159</v>
      </c>
      <c r="AC28" s="272">
        <v>660524</v>
      </c>
      <c r="AD28" s="272">
        <v>286199</v>
      </c>
      <c r="AE28" s="272">
        <v>374325</v>
      </c>
      <c r="AF28" s="272">
        <v>19137</v>
      </c>
      <c r="AG28" s="272">
        <v>234355</v>
      </c>
      <c r="AH28" s="455">
        <f t="shared" si="3"/>
        <v>800891</v>
      </c>
      <c r="AI28" s="272">
        <v>629377</v>
      </c>
      <c r="AJ28" s="272">
        <v>171514</v>
      </c>
      <c r="AK28" s="272">
        <v>2618684</v>
      </c>
      <c r="AL28" s="455">
        <f t="shared" si="4"/>
        <v>1494869</v>
      </c>
      <c r="AM28" s="272">
        <v>1099771</v>
      </c>
      <c r="AN28" s="272">
        <v>384170</v>
      </c>
      <c r="AO28" s="272">
        <v>0</v>
      </c>
      <c r="AP28" s="272">
        <v>10928</v>
      </c>
      <c r="AQ28" s="272">
        <v>46833</v>
      </c>
      <c r="AR28" s="272">
        <v>0</v>
      </c>
      <c r="AS28" s="272">
        <v>0</v>
      </c>
      <c r="AT28" s="272">
        <v>1302313</v>
      </c>
      <c r="AU28" s="272">
        <v>812404</v>
      </c>
      <c r="AV28" s="272">
        <v>192085</v>
      </c>
      <c r="AW28" s="272">
        <v>16124</v>
      </c>
      <c r="AX28" s="272">
        <v>489909</v>
      </c>
      <c r="AY28" s="272">
        <v>46865</v>
      </c>
      <c r="AZ28" s="272">
        <v>448169</v>
      </c>
      <c r="BA28" s="272">
        <v>424191</v>
      </c>
      <c r="BB28" s="272">
        <v>68204</v>
      </c>
      <c r="BC28" s="272">
        <v>1715101</v>
      </c>
      <c r="BD28" s="272">
        <v>580000</v>
      </c>
      <c r="BE28" s="272">
        <v>977647</v>
      </c>
      <c r="BF28" s="272">
        <v>116678</v>
      </c>
      <c r="BG28" s="272">
        <v>0</v>
      </c>
      <c r="BH28" s="272">
        <v>77116</v>
      </c>
      <c r="BI28" s="272">
        <v>72759</v>
      </c>
      <c r="BJ28" s="272">
        <v>573536</v>
      </c>
      <c r="BK28" s="272">
        <v>102790</v>
      </c>
      <c r="BL28" s="272">
        <v>0</v>
      </c>
      <c r="BM28" s="272">
        <v>0</v>
      </c>
      <c r="BN28" s="272">
        <v>2223700</v>
      </c>
      <c r="BO28" s="455">
        <f t="shared" si="5"/>
        <v>329100</v>
      </c>
      <c r="BP28" s="455">
        <f t="shared" si="6"/>
        <v>1894600</v>
      </c>
      <c r="BQ28" s="272">
        <v>180200</v>
      </c>
      <c r="BR28" s="272">
        <v>0</v>
      </c>
      <c r="BS28" s="272">
        <v>1714400</v>
      </c>
      <c r="BT28" s="272">
        <v>0</v>
      </c>
      <c r="BU28" s="272">
        <v>29986987</v>
      </c>
      <c r="BV28" s="272"/>
      <c r="BW28" s="272">
        <v>7621596</v>
      </c>
      <c r="BX28" s="272">
        <v>5314675</v>
      </c>
      <c r="BY28" s="272">
        <v>862735</v>
      </c>
      <c r="BZ28" s="272">
        <v>140702</v>
      </c>
      <c r="CA28" s="272">
        <v>4165512</v>
      </c>
      <c r="CB28" s="272">
        <v>463389</v>
      </c>
      <c r="CC28" s="272">
        <v>287996</v>
      </c>
      <c r="CD28" s="272">
        <v>1762817</v>
      </c>
      <c r="CE28" s="272">
        <v>1539710</v>
      </c>
      <c r="CF28" s="272">
        <v>0</v>
      </c>
      <c r="CG28" s="272">
        <v>111600</v>
      </c>
      <c r="CH28" s="272">
        <v>4669063</v>
      </c>
      <c r="CI28" s="272">
        <v>3481343</v>
      </c>
      <c r="CJ28" s="455">
        <f t="shared" si="7"/>
        <v>1187720</v>
      </c>
      <c r="CK28" s="272">
        <v>4239771</v>
      </c>
      <c r="CL28" s="272">
        <v>2390669</v>
      </c>
      <c r="CM28" s="272">
        <v>302858</v>
      </c>
      <c r="CN28" s="272">
        <v>890920</v>
      </c>
      <c r="CO28" s="272">
        <v>440038</v>
      </c>
      <c r="CP28" s="272">
        <v>1200599</v>
      </c>
      <c r="CQ28" s="272">
        <v>6908</v>
      </c>
      <c r="CR28" s="272">
        <v>572336</v>
      </c>
      <c r="CS28" s="272">
        <v>225962</v>
      </c>
      <c r="CT28" s="455">
        <f t="shared" si="8"/>
        <v>32722</v>
      </c>
      <c r="CU28" s="272">
        <v>3065</v>
      </c>
      <c r="CV28" s="272">
        <v>29657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939393</v>
      </c>
      <c r="DD28" s="272">
        <v>121869</v>
      </c>
      <c r="DE28" s="272">
        <v>648852</v>
      </c>
      <c r="DF28" s="272">
        <v>0</v>
      </c>
      <c r="DG28" s="272">
        <v>168672</v>
      </c>
      <c r="DH28" s="272">
        <v>0</v>
      </c>
      <c r="DI28" s="272">
        <v>1102380</v>
      </c>
      <c r="DJ28" s="272">
        <v>146023</v>
      </c>
      <c r="DK28" s="272">
        <v>918093</v>
      </c>
      <c r="DL28" s="272">
        <v>38264</v>
      </c>
      <c r="DM28" s="272">
        <v>0</v>
      </c>
      <c r="DN28" s="272">
        <v>0</v>
      </c>
      <c r="DO28" s="272">
        <v>0</v>
      </c>
      <c r="DP28" s="272">
        <v>0</v>
      </c>
      <c r="DQ28" s="272">
        <v>104896</v>
      </c>
      <c r="DR28" s="272">
        <v>0</v>
      </c>
      <c r="DS28" s="272">
        <v>0</v>
      </c>
      <c r="DT28" s="272">
        <v>5411814</v>
      </c>
      <c r="DU28" s="272">
        <v>3619567</v>
      </c>
      <c r="DV28" s="455">
        <f t="shared" si="11"/>
        <v>0</v>
      </c>
      <c r="DW28" s="272">
        <v>0</v>
      </c>
      <c r="DX28" s="272">
        <v>0</v>
      </c>
      <c r="DY28" s="272">
        <v>165888</v>
      </c>
      <c r="DZ28" s="272">
        <v>880567</v>
      </c>
      <c r="EA28" s="272">
        <v>280530</v>
      </c>
      <c r="EB28" s="272">
        <v>394905</v>
      </c>
      <c r="EC28" s="272">
        <v>0</v>
      </c>
      <c r="ED28" s="272">
        <v>29895062</v>
      </c>
      <c r="EF28" s="272">
        <v>91925</v>
      </c>
      <c r="EG28" s="272">
        <v>24959</v>
      </c>
      <c r="EH28" s="272">
        <v>66966</v>
      </c>
      <c r="EI28" s="272">
        <v>-5793</v>
      </c>
      <c r="EJ28" s="272">
        <v>-439770</v>
      </c>
      <c r="EL28" s="272"/>
      <c r="EM28" s="272">
        <v>84076</v>
      </c>
      <c r="EN28" s="272">
        <v>1598423</v>
      </c>
      <c r="EO28" s="272">
        <v>446118</v>
      </c>
      <c r="EP28" s="455">
        <f t="shared" si="12"/>
        <v>400846</v>
      </c>
      <c r="EQ28" s="272">
        <v>19924918</v>
      </c>
      <c r="ER28" s="272">
        <v>-4320850</v>
      </c>
      <c r="ES28" s="272">
        <v>7005929</v>
      </c>
      <c r="ET28" s="272">
        <v>4810346</v>
      </c>
      <c r="EU28" s="272">
        <v>1417309</v>
      </c>
      <c r="EV28" s="272">
        <v>4607815</v>
      </c>
      <c r="EW28" s="455">
        <f t="shared" si="13"/>
        <v>220894</v>
      </c>
      <c r="EX28" s="272">
        <v>220894</v>
      </c>
      <c r="EY28" s="272">
        <v>4667</v>
      </c>
      <c r="EZ28" s="272">
        <v>216227</v>
      </c>
      <c r="FA28" s="272">
        <v>0</v>
      </c>
      <c r="FB28" s="272"/>
      <c r="FC28" s="272">
        <v>3137520</v>
      </c>
      <c r="FD28" s="272">
        <v>1063119</v>
      </c>
      <c r="FE28" s="272">
        <v>6908</v>
      </c>
      <c r="FF28" s="272">
        <v>5174643</v>
      </c>
      <c r="FG28" s="455">
        <f t="shared" si="14"/>
        <v>1526614</v>
      </c>
      <c r="FH28" s="272">
        <v>24153843</v>
      </c>
      <c r="FI28" s="384">
        <f t="shared" si="15"/>
        <v>0.4</v>
      </c>
      <c r="FJ28" s="272">
        <v>17771242</v>
      </c>
      <c r="FK28" s="272">
        <v>1714496</v>
      </c>
      <c r="FL28" s="272">
        <v>13165570</v>
      </c>
      <c r="FM28" s="272">
        <v>13477384</v>
      </c>
      <c r="FN28" s="460">
        <v>0.98899999999999999</v>
      </c>
      <c r="FO28" s="388">
        <v>105.4</v>
      </c>
      <c r="FP28" s="388">
        <v>34.200000000000003</v>
      </c>
      <c r="FQ28" s="388">
        <v>7.2</v>
      </c>
      <c r="FR28" s="388">
        <v>23.4</v>
      </c>
      <c r="FS28" s="388">
        <v>15.3</v>
      </c>
      <c r="FT28" s="388">
        <v>4.9000000000000004</v>
      </c>
      <c r="FU28" s="388">
        <v>18.2</v>
      </c>
      <c r="FV28" s="388">
        <v>15.3</v>
      </c>
      <c r="FW28" s="272">
        <v>38774402</v>
      </c>
      <c r="FX28" s="384">
        <f t="shared" si="16"/>
        <v>218.2</v>
      </c>
      <c r="FY28" s="272">
        <v>6495624</v>
      </c>
      <c r="FZ28" s="272">
        <v>783586</v>
      </c>
      <c r="GA28" s="272">
        <v>2163892</v>
      </c>
      <c r="GB28" s="272">
        <v>3548146</v>
      </c>
      <c r="GC28" s="272"/>
      <c r="GD28" s="272">
        <v>2479032</v>
      </c>
      <c r="GE28" s="384">
        <f t="shared" si="17"/>
        <v>13.9</v>
      </c>
      <c r="GF28" s="388">
        <v>98.1</v>
      </c>
      <c r="GG28" s="388">
        <v>21.1</v>
      </c>
      <c r="GH28" s="388">
        <v>93.3</v>
      </c>
      <c r="GI28" s="272">
        <v>688</v>
      </c>
    </row>
    <row r="29" spans="2:191" x14ac:dyDescent="0.15">
      <c r="B29" s="89" t="s">
        <v>51</v>
      </c>
      <c r="C29" s="272">
        <v>10958101</v>
      </c>
      <c r="D29" s="455">
        <f t="shared" si="0"/>
        <v>2685164</v>
      </c>
      <c r="E29" s="272">
        <v>54606</v>
      </c>
      <c r="F29" s="272">
        <v>2630558</v>
      </c>
      <c r="G29" s="455">
        <f t="shared" si="1"/>
        <v>666205</v>
      </c>
      <c r="H29" s="272">
        <v>150302</v>
      </c>
      <c r="I29" s="272">
        <v>515903</v>
      </c>
      <c r="J29" s="272">
        <v>6083192</v>
      </c>
      <c r="K29" s="272">
        <v>3140595</v>
      </c>
      <c r="L29" s="272">
        <v>1301600</v>
      </c>
      <c r="M29" s="272">
        <v>1606908</v>
      </c>
      <c r="N29" s="272">
        <v>382604</v>
      </c>
      <c r="O29" s="272">
        <v>1099420</v>
      </c>
      <c r="P29" s="272">
        <v>799442</v>
      </c>
      <c r="Q29" s="272">
        <v>299978</v>
      </c>
      <c r="R29" s="272">
        <v>159200</v>
      </c>
      <c r="S29" s="272"/>
      <c r="T29" s="455">
        <f t="shared" si="2"/>
        <v>743605</v>
      </c>
      <c r="U29" s="272">
        <v>93973</v>
      </c>
      <c r="V29" s="272"/>
      <c r="W29" s="272"/>
      <c r="X29" s="272">
        <v>539165</v>
      </c>
      <c r="Y29" s="272">
        <v>0</v>
      </c>
      <c r="Z29" s="272">
        <v>0</v>
      </c>
      <c r="AA29" s="272">
        <v>110467</v>
      </c>
      <c r="AB29" s="272">
        <v>321318</v>
      </c>
      <c r="AC29" s="272">
        <v>378906</v>
      </c>
      <c r="AD29" s="272">
        <v>326904</v>
      </c>
      <c r="AE29" s="272">
        <v>52002</v>
      </c>
      <c r="AF29" s="272">
        <v>10789</v>
      </c>
      <c r="AG29" s="272">
        <v>73115</v>
      </c>
      <c r="AH29" s="455">
        <f t="shared" si="3"/>
        <v>523834</v>
      </c>
      <c r="AI29" s="272">
        <v>478213</v>
      </c>
      <c r="AJ29" s="272">
        <v>45621</v>
      </c>
      <c r="AK29" s="272">
        <v>1861250</v>
      </c>
      <c r="AL29" s="455">
        <f t="shared" si="4"/>
        <v>1077491</v>
      </c>
      <c r="AM29" s="272">
        <v>856291</v>
      </c>
      <c r="AN29" s="272">
        <v>218560</v>
      </c>
      <c r="AO29" s="272">
        <v>0</v>
      </c>
      <c r="AP29" s="272">
        <v>2640</v>
      </c>
      <c r="AQ29" s="272">
        <v>29740</v>
      </c>
      <c r="AR29" s="272">
        <v>0</v>
      </c>
      <c r="AS29" s="272">
        <v>0</v>
      </c>
      <c r="AT29" s="272">
        <v>1590350</v>
      </c>
      <c r="AU29" s="272">
        <v>1124173</v>
      </c>
      <c r="AV29" s="272">
        <v>113113</v>
      </c>
      <c r="AW29" s="272">
        <v>0</v>
      </c>
      <c r="AX29" s="272">
        <v>466177</v>
      </c>
      <c r="AY29" s="272">
        <v>19231</v>
      </c>
      <c r="AZ29" s="272">
        <v>68658</v>
      </c>
      <c r="BA29" s="272">
        <v>32400</v>
      </c>
      <c r="BB29" s="272">
        <v>8885</v>
      </c>
      <c r="BC29" s="272">
        <v>2825698</v>
      </c>
      <c r="BD29" s="272">
        <v>0</v>
      </c>
      <c r="BE29" s="272">
        <v>0</v>
      </c>
      <c r="BF29" s="272">
        <v>993031</v>
      </c>
      <c r="BG29" s="272">
        <v>1800000</v>
      </c>
      <c r="BH29" s="272">
        <v>215745</v>
      </c>
      <c r="BI29" s="272">
        <v>106745</v>
      </c>
      <c r="BJ29" s="272">
        <v>367503</v>
      </c>
      <c r="BK29" s="272">
        <v>59959</v>
      </c>
      <c r="BL29" s="272">
        <v>0</v>
      </c>
      <c r="BM29" s="272">
        <v>0</v>
      </c>
      <c r="BN29" s="272">
        <v>1639700</v>
      </c>
      <c r="BO29" s="455">
        <f t="shared" si="5"/>
        <v>231000</v>
      </c>
      <c r="BP29" s="455">
        <f t="shared" si="6"/>
        <v>1408700</v>
      </c>
      <c r="BQ29" s="272">
        <v>113900</v>
      </c>
      <c r="BR29" s="272">
        <v>0</v>
      </c>
      <c r="BS29" s="272">
        <v>1294800</v>
      </c>
      <c r="BT29" s="272">
        <v>0</v>
      </c>
      <c r="BU29" s="272">
        <v>21746657</v>
      </c>
      <c r="BV29" s="272"/>
      <c r="BW29" s="272">
        <v>6050552</v>
      </c>
      <c r="BX29" s="272">
        <v>3937225</v>
      </c>
      <c r="BY29" s="272">
        <v>1057343</v>
      </c>
      <c r="BZ29" s="272">
        <v>128711</v>
      </c>
      <c r="CA29" s="272">
        <v>2910367</v>
      </c>
      <c r="CB29" s="272">
        <v>431754</v>
      </c>
      <c r="CC29" s="272">
        <v>211069</v>
      </c>
      <c r="CD29" s="272">
        <v>1073132</v>
      </c>
      <c r="CE29" s="272">
        <v>1142583</v>
      </c>
      <c r="CF29" s="272">
        <v>0</v>
      </c>
      <c r="CG29" s="272">
        <v>51829</v>
      </c>
      <c r="CH29" s="272">
        <v>2064600</v>
      </c>
      <c r="CI29" s="272">
        <v>1441913</v>
      </c>
      <c r="CJ29" s="455">
        <f t="shared" si="7"/>
        <v>622687</v>
      </c>
      <c r="CK29" s="272">
        <v>2370584</v>
      </c>
      <c r="CL29" s="272">
        <v>1456166</v>
      </c>
      <c r="CM29" s="272">
        <v>105783</v>
      </c>
      <c r="CN29" s="272">
        <v>446430</v>
      </c>
      <c r="CO29" s="272">
        <v>20824</v>
      </c>
      <c r="CP29" s="272">
        <v>3745938</v>
      </c>
      <c r="CQ29" s="272">
        <v>1943952</v>
      </c>
      <c r="CR29" s="272">
        <v>343666</v>
      </c>
      <c r="CS29" s="272">
        <v>209397</v>
      </c>
      <c r="CT29" s="455">
        <f t="shared" si="8"/>
        <v>91083</v>
      </c>
      <c r="CU29" s="272">
        <v>848</v>
      </c>
      <c r="CV29" s="272">
        <v>90235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1216114</v>
      </c>
      <c r="DD29" s="272">
        <v>69255</v>
      </c>
      <c r="DE29" s="272">
        <v>526229</v>
      </c>
      <c r="DF29" s="272">
        <v>0</v>
      </c>
      <c r="DG29" s="272">
        <v>620630</v>
      </c>
      <c r="DH29" s="272">
        <v>0</v>
      </c>
      <c r="DI29" s="272">
        <v>78963</v>
      </c>
      <c r="DJ29" s="272">
        <v>51283</v>
      </c>
      <c r="DK29" s="272">
        <v>0</v>
      </c>
      <c r="DL29" s="272">
        <v>27680</v>
      </c>
      <c r="DM29" s="272">
        <v>0</v>
      </c>
      <c r="DN29" s="272">
        <v>0</v>
      </c>
      <c r="DO29" s="272">
        <v>0</v>
      </c>
      <c r="DP29" s="272">
        <v>0</v>
      </c>
      <c r="DQ29" s="272">
        <v>73030</v>
      </c>
      <c r="DR29" s="272">
        <v>0</v>
      </c>
      <c r="DS29" s="272">
        <v>0</v>
      </c>
      <c r="DT29" s="272">
        <v>3123829</v>
      </c>
      <c r="DU29" s="272">
        <v>1803685</v>
      </c>
      <c r="DV29" s="455">
        <f t="shared" si="11"/>
        <v>0</v>
      </c>
      <c r="DW29" s="272">
        <v>0</v>
      </c>
      <c r="DX29" s="272">
        <v>0</v>
      </c>
      <c r="DY29" s="272">
        <v>0</v>
      </c>
      <c r="DZ29" s="272">
        <v>588887</v>
      </c>
      <c r="EA29" s="272">
        <v>314551</v>
      </c>
      <c r="EB29" s="272">
        <v>416706</v>
      </c>
      <c r="EC29" s="272">
        <v>36002</v>
      </c>
      <c r="ED29" s="272">
        <v>21690803</v>
      </c>
      <c r="EF29" s="272">
        <v>55854</v>
      </c>
      <c r="EG29" s="272">
        <v>808</v>
      </c>
      <c r="EH29" s="272">
        <v>55046</v>
      </c>
      <c r="EI29" s="272">
        <v>-15697</v>
      </c>
      <c r="EJ29" s="272">
        <v>35586</v>
      </c>
      <c r="EL29" s="272"/>
      <c r="EM29" s="272">
        <v>61400</v>
      </c>
      <c r="EN29" s="272">
        <v>2507805</v>
      </c>
      <c r="EO29" s="272">
        <v>47499</v>
      </c>
      <c r="EP29" s="455">
        <f t="shared" si="12"/>
        <v>445094</v>
      </c>
      <c r="EQ29" s="272">
        <v>12571919</v>
      </c>
      <c r="ER29" s="272">
        <v>-4398309</v>
      </c>
      <c r="ES29" s="272">
        <v>5528907</v>
      </c>
      <c r="ET29" s="272">
        <v>3429171</v>
      </c>
      <c r="EU29" s="272">
        <v>947127</v>
      </c>
      <c r="EV29" s="272">
        <v>1861678</v>
      </c>
      <c r="EW29" s="455">
        <f t="shared" si="13"/>
        <v>244231</v>
      </c>
      <c r="EX29" s="272">
        <v>244231</v>
      </c>
      <c r="EY29" s="272">
        <v>10315</v>
      </c>
      <c r="EZ29" s="272">
        <v>233916</v>
      </c>
      <c r="FA29" s="272">
        <v>0</v>
      </c>
      <c r="FB29" s="272"/>
      <c r="FC29" s="272">
        <v>1851349</v>
      </c>
      <c r="FD29" s="272">
        <v>3476575</v>
      </c>
      <c r="FE29" s="272">
        <v>1943952</v>
      </c>
      <c r="FF29" s="272">
        <v>2901067</v>
      </c>
      <c r="FG29" s="455">
        <f t="shared" si="14"/>
        <v>103440</v>
      </c>
      <c r="FH29" s="272">
        <v>16914374</v>
      </c>
      <c r="FI29" s="384">
        <f t="shared" si="15"/>
        <v>0.5</v>
      </c>
      <c r="FJ29" s="272">
        <v>11556561</v>
      </c>
      <c r="FK29" s="272">
        <v>1294898</v>
      </c>
      <c r="FL29" s="272">
        <v>8465151</v>
      </c>
      <c r="FM29" s="272">
        <v>8809718</v>
      </c>
      <c r="FN29" s="460">
        <v>0.97599999999999998</v>
      </c>
      <c r="FO29" s="388">
        <v>109.7</v>
      </c>
      <c r="FP29" s="388">
        <v>37.1</v>
      </c>
      <c r="FQ29" s="388">
        <v>7.3</v>
      </c>
      <c r="FR29" s="388">
        <v>14.4</v>
      </c>
      <c r="FS29" s="388">
        <v>14.2</v>
      </c>
      <c r="FT29" s="388">
        <v>20.100000000000001</v>
      </c>
      <c r="FU29" s="388">
        <v>16.3</v>
      </c>
      <c r="FV29" s="388">
        <v>9.1999999999999993</v>
      </c>
      <c r="FW29" s="272">
        <v>30943432</v>
      </c>
      <c r="FX29" s="384">
        <f t="shared" si="16"/>
        <v>267.8</v>
      </c>
      <c r="FY29" s="272">
        <v>5848746</v>
      </c>
      <c r="FZ29" s="272">
        <v>161405</v>
      </c>
      <c r="GA29" s="272"/>
      <c r="GB29" s="272">
        <v>5687341</v>
      </c>
      <c r="GC29" s="272">
        <v>2690000</v>
      </c>
      <c r="GD29" s="272">
        <v>12385049</v>
      </c>
      <c r="GE29" s="384">
        <f t="shared" si="17"/>
        <v>107.2</v>
      </c>
      <c r="GF29" s="388">
        <v>98.5</v>
      </c>
      <c r="GG29" s="388">
        <v>18.2</v>
      </c>
      <c r="GH29" s="388">
        <v>92.6</v>
      </c>
      <c r="GI29" s="272">
        <v>528</v>
      </c>
    </row>
    <row r="30" spans="2:191" x14ac:dyDescent="0.15">
      <c r="B30" s="89" t="s">
        <v>53</v>
      </c>
      <c r="C30" s="272">
        <v>7904481</v>
      </c>
      <c r="D30" s="455">
        <f t="shared" si="0"/>
        <v>2964203</v>
      </c>
      <c r="E30" s="272">
        <v>57461</v>
      </c>
      <c r="F30" s="272">
        <v>2906742</v>
      </c>
      <c r="G30" s="455">
        <f t="shared" si="1"/>
        <v>479886</v>
      </c>
      <c r="H30" s="272">
        <v>145945</v>
      </c>
      <c r="I30" s="272">
        <v>333941</v>
      </c>
      <c r="J30" s="272">
        <v>3233761</v>
      </c>
      <c r="K30" s="272">
        <v>1661232</v>
      </c>
      <c r="L30" s="272">
        <v>1246129</v>
      </c>
      <c r="M30" s="272">
        <v>297861</v>
      </c>
      <c r="N30" s="272">
        <v>372722</v>
      </c>
      <c r="O30" s="272">
        <v>800899</v>
      </c>
      <c r="P30" s="272">
        <v>518685</v>
      </c>
      <c r="Q30" s="272">
        <v>282214</v>
      </c>
      <c r="R30" s="272">
        <v>136965</v>
      </c>
      <c r="S30" s="272"/>
      <c r="T30" s="455">
        <f t="shared" si="2"/>
        <v>782189</v>
      </c>
      <c r="U30" s="272">
        <v>98985</v>
      </c>
      <c r="V30" s="272"/>
      <c r="W30" s="272"/>
      <c r="X30" s="272">
        <v>562585</v>
      </c>
      <c r="Y30" s="272">
        <v>0</v>
      </c>
      <c r="Z30" s="272">
        <v>0</v>
      </c>
      <c r="AA30" s="272">
        <v>120619</v>
      </c>
      <c r="AB30" s="272">
        <v>313267</v>
      </c>
      <c r="AC30" s="272">
        <v>3765942</v>
      </c>
      <c r="AD30" s="272">
        <v>3518926</v>
      </c>
      <c r="AE30" s="272">
        <v>247016</v>
      </c>
      <c r="AF30" s="272">
        <v>13580</v>
      </c>
      <c r="AG30" s="272">
        <v>51130</v>
      </c>
      <c r="AH30" s="455">
        <f t="shared" si="3"/>
        <v>464067</v>
      </c>
      <c r="AI30" s="272">
        <v>413855</v>
      </c>
      <c r="AJ30" s="272">
        <v>50212</v>
      </c>
      <c r="AK30" s="272">
        <v>2671210</v>
      </c>
      <c r="AL30" s="455">
        <f t="shared" si="4"/>
        <v>1533220</v>
      </c>
      <c r="AM30" s="272">
        <v>1313059</v>
      </c>
      <c r="AN30" s="272">
        <v>214846</v>
      </c>
      <c r="AO30" s="272">
        <v>0</v>
      </c>
      <c r="AP30" s="272">
        <v>5315</v>
      </c>
      <c r="AQ30" s="272">
        <v>134489</v>
      </c>
      <c r="AR30" s="272">
        <v>0</v>
      </c>
      <c r="AS30" s="272">
        <v>0</v>
      </c>
      <c r="AT30" s="272">
        <v>854181</v>
      </c>
      <c r="AU30" s="272">
        <v>465818</v>
      </c>
      <c r="AV30" s="272">
        <v>107411</v>
      </c>
      <c r="AW30" s="272">
        <v>0</v>
      </c>
      <c r="AX30" s="272">
        <v>388363</v>
      </c>
      <c r="AY30" s="272">
        <v>36280</v>
      </c>
      <c r="AZ30" s="272">
        <v>6851</v>
      </c>
      <c r="BA30" s="272">
        <v>1248</v>
      </c>
      <c r="BB30" s="272">
        <v>73886</v>
      </c>
      <c r="BC30" s="272">
        <v>777808</v>
      </c>
      <c r="BD30" s="272">
        <v>35200</v>
      </c>
      <c r="BE30" s="272">
        <v>150000</v>
      </c>
      <c r="BF30" s="272">
        <v>592608</v>
      </c>
      <c r="BG30" s="272">
        <v>0</v>
      </c>
      <c r="BH30" s="272">
        <v>37445</v>
      </c>
      <c r="BI30" s="272">
        <v>4325</v>
      </c>
      <c r="BJ30" s="272">
        <v>202850</v>
      </c>
      <c r="BK30" s="272">
        <v>20000</v>
      </c>
      <c r="BL30" s="272">
        <v>0</v>
      </c>
      <c r="BM30" s="272">
        <v>0</v>
      </c>
      <c r="BN30" s="272">
        <v>1532100</v>
      </c>
      <c r="BO30" s="455">
        <f t="shared" si="5"/>
        <v>38000</v>
      </c>
      <c r="BP30" s="455">
        <f t="shared" si="6"/>
        <v>1494100</v>
      </c>
      <c r="BQ30" s="272">
        <v>111700</v>
      </c>
      <c r="BR30" s="272">
        <v>0</v>
      </c>
      <c r="BS30" s="272">
        <v>1382400</v>
      </c>
      <c r="BT30" s="272">
        <v>0</v>
      </c>
      <c r="BU30" s="272">
        <v>19587952</v>
      </c>
      <c r="BV30" s="272"/>
      <c r="BW30" s="272">
        <v>5313277</v>
      </c>
      <c r="BX30" s="272">
        <v>3642184</v>
      </c>
      <c r="BY30" s="272">
        <v>467617</v>
      </c>
      <c r="BZ30" s="272">
        <v>260118</v>
      </c>
      <c r="CA30" s="272">
        <v>3622877</v>
      </c>
      <c r="CB30" s="272">
        <v>517090</v>
      </c>
      <c r="CC30" s="272">
        <v>198510</v>
      </c>
      <c r="CD30" s="272">
        <v>1060001</v>
      </c>
      <c r="CE30" s="272">
        <v>1795762</v>
      </c>
      <c r="CF30" s="272">
        <v>0</v>
      </c>
      <c r="CG30" s="272">
        <v>51149</v>
      </c>
      <c r="CH30" s="272">
        <v>1474462</v>
      </c>
      <c r="CI30" s="272">
        <v>1162005</v>
      </c>
      <c r="CJ30" s="455">
        <f t="shared" si="7"/>
        <v>312457</v>
      </c>
      <c r="CK30" s="272">
        <v>2183722</v>
      </c>
      <c r="CL30" s="272">
        <v>1074894</v>
      </c>
      <c r="CM30" s="272">
        <v>251792</v>
      </c>
      <c r="CN30" s="272">
        <v>409451</v>
      </c>
      <c r="CO30" s="272">
        <v>98540</v>
      </c>
      <c r="CP30" s="272">
        <v>2850937</v>
      </c>
      <c r="CQ30" s="272">
        <v>2120811</v>
      </c>
      <c r="CR30" s="272">
        <v>323288</v>
      </c>
      <c r="CS30" s="272">
        <v>238348</v>
      </c>
      <c r="CT30" s="455">
        <f t="shared" si="8"/>
        <v>121770</v>
      </c>
      <c r="CU30" s="272">
        <v>78310</v>
      </c>
      <c r="CV30" s="272">
        <v>43460</v>
      </c>
      <c r="CW30" s="455">
        <f t="shared" si="9"/>
        <v>111295</v>
      </c>
      <c r="CX30" s="272">
        <v>72472</v>
      </c>
      <c r="CY30" s="272">
        <v>38823</v>
      </c>
      <c r="CZ30" s="455">
        <f t="shared" si="10"/>
        <v>0</v>
      </c>
      <c r="DA30" s="272">
        <v>0</v>
      </c>
      <c r="DB30" s="272">
        <v>0</v>
      </c>
      <c r="DC30" s="272">
        <v>777241</v>
      </c>
      <c r="DD30" s="272">
        <v>196030</v>
      </c>
      <c r="DE30" s="272">
        <v>552712</v>
      </c>
      <c r="DF30" s="272">
        <v>11710</v>
      </c>
      <c r="DG30" s="272">
        <v>16789</v>
      </c>
      <c r="DH30" s="272">
        <v>0</v>
      </c>
      <c r="DI30" s="272">
        <v>124449</v>
      </c>
      <c r="DJ30" s="272">
        <v>2103</v>
      </c>
      <c r="DK30" s="272">
        <v>160</v>
      </c>
      <c r="DL30" s="272">
        <v>122186</v>
      </c>
      <c r="DM30" s="272">
        <v>2700</v>
      </c>
      <c r="DN30" s="272">
        <v>2700</v>
      </c>
      <c r="DO30" s="272">
        <v>2700</v>
      </c>
      <c r="DP30" s="272">
        <v>0</v>
      </c>
      <c r="DQ30" s="272">
        <v>20000</v>
      </c>
      <c r="DR30" s="272">
        <v>0</v>
      </c>
      <c r="DS30" s="272">
        <v>0</v>
      </c>
      <c r="DT30" s="272">
        <v>3109025</v>
      </c>
      <c r="DU30" s="272">
        <v>1841918</v>
      </c>
      <c r="DV30" s="455">
        <f t="shared" si="11"/>
        <v>0</v>
      </c>
      <c r="DW30" s="272">
        <v>0</v>
      </c>
      <c r="DX30" s="272">
        <v>0</v>
      </c>
      <c r="DY30" s="272">
        <v>0</v>
      </c>
      <c r="DZ30" s="272">
        <v>495980</v>
      </c>
      <c r="EA30" s="272">
        <v>295453</v>
      </c>
      <c r="EB30" s="272">
        <v>475674</v>
      </c>
      <c r="EC30" s="272">
        <v>0</v>
      </c>
      <c r="ED30" s="272">
        <v>19577230</v>
      </c>
      <c r="EF30" s="272">
        <v>10722</v>
      </c>
      <c r="EG30" s="272">
        <v>302</v>
      </c>
      <c r="EH30" s="272">
        <v>10420</v>
      </c>
      <c r="EI30" s="272">
        <v>-8905</v>
      </c>
      <c r="EJ30" s="272">
        <v>-42002</v>
      </c>
      <c r="EL30" s="272"/>
      <c r="EM30" s="272">
        <v>65886</v>
      </c>
      <c r="EN30" s="272">
        <v>185200</v>
      </c>
      <c r="EO30" s="272">
        <v>3110</v>
      </c>
      <c r="EP30" s="455">
        <f t="shared" si="12"/>
        <v>179981</v>
      </c>
      <c r="EQ30" s="272">
        <v>12916424</v>
      </c>
      <c r="ER30" s="272">
        <v>-1848811</v>
      </c>
      <c r="ES30" s="272">
        <v>4807680</v>
      </c>
      <c r="ET30" s="272">
        <v>3262107</v>
      </c>
      <c r="EU30" s="272">
        <v>1025114</v>
      </c>
      <c r="EV30" s="272">
        <v>1314251</v>
      </c>
      <c r="EW30" s="455">
        <f t="shared" si="13"/>
        <v>277502</v>
      </c>
      <c r="EX30" s="272">
        <v>277502</v>
      </c>
      <c r="EY30" s="272">
        <v>36441</v>
      </c>
      <c r="EZ30" s="272">
        <v>239551</v>
      </c>
      <c r="FA30" s="272">
        <v>0</v>
      </c>
      <c r="FB30" s="272"/>
      <c r="FC30" s="272">
        <v>1519206</v>
      </c>
      <c r="FD30" s="272">
        <v>2685347</v>
      </c>
      <c r="FE30" s="272">
        <v>2060811</v>
      </c>
      <c r="FF30" s="272">
        <v>2906165</v>
      </c>
      <c r="FG30" s="455">
        <f t="shared" si="14"/>
        <v>219248</v>
      </c>
      <c r="FH30" s="272">
        <v>14754513</v>
      </c>
      <c r="FI30" s="384">
        <f t="shared" si="15"/>
        <v>0.1</v>
      </c>
      <c r="FJ30" s="272">
        <v>11774185</v>
      </c>
      <c r="FK30" s="272">
        <v>1382477</v>
      </c>
      <c r="FL30" s="272">
        <v>6228813</v>
      </c>
      <c r="FM30" s="272">
        <v>9763175</v>
      </c>
      <c r="FN30" s="460">
        <v>0.64600000000000002</v>
      </c>
      <c r="FO30" s="388">
        <v>92.6</v>
      </c>
      <c r="FP30" s="388">
        <v>33.5</v>
      </c>
      <c r="FQ30" s="388">
        <v>7.5</v>
      </c>
      <c r="FR30" s="388">
        <v>9.8000000000000007</v>
      </c>
      <c r="FS30" s="388">
        <v>9.3000000000000007</v>
      </c>
      <c r="FT30" s="388">
        <v>18.5</v>
      </c>
      <c r="FU30" s="388">
        <v>13.2</v>
      </c>
      <c r="FV30" s="388">
        <v>6.2</v>
      </c>
      <c r="FW30" s="272">
        <v>12186244</v>
      </c>
      <c r="FX30" s="384">
        <f t="shared" si="16"/>
        <v>103.5</v>
      </c>
      <c r="FY30" s="272">
        <v>2501760</v>
      </c>
      <c r="FZ30" s="272">
        <v>1072819</v>
      </c>
      <c r="GA30" s="272">
        <v>22139</v>
      </c>
      <c r="GB30" s="272">
        <v>1406802</v>
      </c>
      <c r="GC30" s="272"/>
      <c r="GD30" s="272">
        <v>546230</v>
      </c>
      <c r="GE30" s="384">
        <f t="shared" si="17"/>
        <v>4.5999999999999996</v>
      </c>
      <c r="GF30" s="388">
        <v>97.7</v>
      </c>
      <c r="GG30" s="388">
        <v>23.4</v>
      </c>
      <c r="GH30" s="388">
        <v>92</v>
      </c>
      <c r="GI30" s="272">
        <v>507</v>
      </c>
    </row>
    <row r="31" spans="2:191" x14ac:dyDescent="0.15">
      <c r="B31" s="89" t="s">
        <v>55</v>
      </c>
      <c r="C31" s="272">
        <v>76180543</v>
      </c>
      <c r="D31" s="455">
        <f t="shared" si="0"/>
        <v>19567944</v>
      </c>
      <c r="E31" s="272">
        <v>530595</v>
      </c>
      <c r="F31" s="272">
        <v>19037349</v>
      </c>
      <c r="G31" s="455">
        <f t="shared" si="1"/>
        <v>6347147</v>
      </c>
      <c r="H31" s="272">
        <v>1503603</v>
      </c>
      <c r="I31" s="272">
        <v>4843544</v>
      </c>
      <c r="J31" s="272">
        <v>35989152</v>
      </c>
      <c r="K31" s="272">
        <v>19914263</v>
      </c>
      <c r="L31" s="272">
        <v>12041801</v>
      </c>
      <c r="M31" s="272">
        <v>3745192</v>
      </c>
      <c r="N31" s="272">
        <v>3875454</v>
      </c>
      <c r="O31" s="272">
        <v>8003734</v>
      </c>
      <c r="P31" s="272">
        <v>5253757</v>
      </c>
      <c r="Q31" s="272">
        <v>2749977</v>
      </c>
      <c r="R31" s="272">
        <v>1009102</v>
      </c>
      <c r="S31" s="272"/>
      <c r="T31" s="455">
        <f t="shared" si="2"/>
        <v>6713971</v>
      </c>
      <c r="U31" s="272">
        <v>698210</v>
      </c>
      <c r="V31" s="272"/>
      <c r="W31" s="272"/>
      <c r="X31" s="272">
        <v>5126976</v>
      </c>
      <c r="Y31" s="272">
        <v>0</v>
      </c>
      <c r="Z31" s="272">
        <v>0</v>
      </c>
      <c r="AA31" s="272">
        <v>888785</v>
      </c>
      <c r="AB31" s="272">
        <v>2312471</v>
      </c>
      <c r="AC31" s="272">
        <v>15807735</v>
      </c>
      <c r="AD31" s="272">
        <v>14862419</v>
      </c>
      <c r="AE31" s="272">
        <v>945316</v>
      </c>
      <c r="AF31" s="272">
        <v>106433</v>
      </c>
      <c r="AG31" s="272">
        <v>3328205</v>
      </c>
      <c r="AH31" s="455">
        <f t="shared" si="3"/>
        <v>3357133</v>
      </c>
      <c r="AI31" s="272">
        <v>2701343</v>
      </c>
      <c r="AJ31" s="272">
        <v>655790</v>
      </c>
      <c r="AK31" s="272">
        <v>27261688</v>
      </c>
      <c r="AL31" s="455">
        <f t="shared" si="4"/>
        <v>18862593</v>
      </c>
      <c r="AM31" s="272">
        <v>17032026</v>
      </c>
      <c r="AN31" s="272">
        <v>1690877</v>
      </c>
      <c r="AO31" s="272">
        <v>46623</v>
      </c>
      <c r="AP31" s="272">
        <v>93067</v>
      </c>
      <c r="AQ31" s="272">
        <v>1211403</v>
      </c>
      <c r="AR31" s="272">
        <v>0</v>
      </c>
      <c r="AS31" s="272">
        <v>0</v>
      </c>
      <c r="AT31" s="272">
        <v>8997773</v>
      </c>
      <c r="AU31" s="272">
        <v>4921563</v>
      </c>
      <c r="AV31" s="272">
        <v>845438</v>
      </c>
      <c r="AW31" s="272">
        <v>267736</v>
      </c>
      <c r="AX31" s="272">
        <v>4076210</v>
      </c>
      <c r="AY31" s="272">
        <v>1162117</v>
      </c>
      <c r="AZ31" s="272">
        <v>242828</v>
      </c>
      <c r="BA31" s="272">
        <v>166352</v>
      </c>
      <c r="BB31" s="272">
        <v>28358</v>
      </c>
      <c r="BC31" s="272">
        <v>5943186</v>
      </c>
      <c r="BD31" s="272">
        <v>4645454</v>
      </c>
      <c r="BE31" s="272">
        <v>0</v>
      </c>
      <c r="BF31" s="272">
        <v>799240</v>
      </c>
      <c r="BG31" s="272">
        <v>0</v>
      </c>
      <c r="BH31" s="272">
        <v>808084</v>
      </c>
      <c r="BI31" s="272">
        <v>401380</v>
      </c>
      <c r="BJ31" s="272">
        <v>3941395</v>
      </c>
      <c r="BK31" s="272">
        <v>2928564</v>
      </c>
      <c r="BL31" s="272">
        <v>51581</v>
      </c>
      <c r="BM31" s="272">
        <v>91488</v>
      </c>
      <c r="BN31" s="272">
        <v>20051800</v>
      </c>
      <c r="BO31" s="455">
        <f t="shared" si="5"/>
        <v>10344500</v>
      </c>
      <c r="BP31" s="455">
        <f t="shared" si="6"/>
        <v>9707300</v>
      </c>
      <c r="BQ31" s="272">
        <v>1070700</v>
      </c>
      <c r="BR31" s="272">
        <v>0</v>
      </c>
      <c r="BS31" s="272">
        <v>8636600</v>
      </c>
      <c r="BT31" s="272">
        <v>0</v>
      </c>
      <c r="BU31" s="272">
        <v>176090705</v>
      </c>
      <c r="BV31" s="272"/>
      <c r="BW31" s="272">
        <v>43698955</v>
      </c>
      <c r="BX31" s="272">
        <v>29780864</v>
      </c>
      <c r="BY31" s="272">
        <v>6879137</v>
      </c>
      <c r="BZ31" s="272">
        <v>859603</v>
      </c>
      <c r="CA31" s="272">
        <v>41714914</v>
      </c>
      <c r="CB31" s="272">
        <v>4242260</v>
      </c>
      <c r="CC31" s="272">
        <v>1727523</v>
      </c>
      <c r="CD31" s="272">
        <v>9592998</v>
      </c>
      <c r="CE31" s="272">
        <v>23153011</v>
      </c>
      <c r="CF31" s="272">
        <v>2539425</v>
      </c>
      <c r="CG31" s="272">
        <v>459697</v>
      </c>
      <c r="CH31" s="272">
        <v>15467384</v>
      </c>
      <c r="CI31" s="272">
        <v>11675349</v>
      </c>
      <c r="CJ31" s="455">
        <f t="shared" si="7"/>
        <v>3792035</v>
      </c>
      <c r="CK31" s="272">
        <v>15163292</v>
      </c>
      <c r="CL31" s="272">
        <v>9325872</v>
      </c>
      <c r="CM31" s="272">
        <v>476673</v>
      </c>
      <c r="CN31" s="272">
        <v>2711976</v>
      </c>
      <c r="CO31" s="272">
        <v>1479971</v>
      </c>
      <c r="CP31" s="272">
        <v>11120421</v>
      </c>
      <c r="CQ31" s="272">
        <v>4102238</v>
      </c>
      <c r="CR31" s="272">
        <v>4091552</v>
      </c>
      <c r="CS31" s="272">
        <v>3025792</v>
      </c>
      <c r="CT31" s="455">
        <f t="shared" si="8"/>
        <v>1372901</v>
      </c>
      <c r="CU31" s="272">
        <v>1085672</v>
      </c>
      <c r="CV31" s="272">
        <v>287229</v>
      </c>
      <c r="CW31" s="455">
        <f t="shared" si="9"/>
        <v>1252684</v>
      </c>
      <c r="CX31" s="272">
        <v>965455</v>
      </c>
      <c r="CY31" s="272">
        <v>287229</v>
      </c>
      <c r="CZ31" s="455">
        <f t="shared" si="10"/>
        <v>0</v>
      </c>
      <c r="DA31" s="272">
        <v>0</v>
      </c>
      <c r="DB31" s="272">
        <v>0</v>
      </c>
      <c r="DC31" s="272">
        <v>17942570</v>
      </c>
      <c r="DD31" s="272">
        <v>2523812</v>
      </c>
      <c r="DE31" s="272">
        <v>12965480</v>
      </c>
      <c r="DF31" s="272">
        <v>546104</v>
      </c>
      <c r="DG31" s="272">
        <v>1907174</v>
      </c>
      <c r="DH31" s="272">
        <v>0</v>
      </c>
      <c r="DI31" s="272">
        <v>706492</v>
      </c>
      <c r="DJ31" s="272">
        <v>618607</v>
      </c>
      <c r="DK31" s="272">
        <v>10200</v>
      </c>
      <c r="DL31" s="272">
        <v>77685</v>
      </c>
      <c r="DM31" s="272">
        <v>775506</v>
      </c>
      <c r="DN31" s="272">
        <v>479306</v>
      </c>
      <c r="DO31" s="272">
        <v>0</v>
      </c>
      <c r="DP31" s="272">
        <v>479306</v>
      </c>
      <c r="DQ31" s="272">
        <v>3042118</v>
      </c>
      <c r="DR31" s="272">
        <v>0</v>
      </c>
      <c r="DS31" s="272">
        <v>0</v>
      </c>
      <c r="DT31" s="272">
        <v>24050406</v>
      </c>
      <c r="DU31" s="272">
        <v>11769814</v>
      </c>
      <c r="DV31" s="455">
        <f t="shared" si="11"/>
        <v>0</v>
      </c>
      <c r="DW31" s="272">
        <v>0</v>
      </c>
      <c r="DX31" s="272">
        <v>0</v>
      </c>
      <c r="DY31" s="272">
        <v>0</v>
      </c>
      <c r="DZ31" s="272">
        <v>6419947</v>
      </c>
      <c r="EA31" s="272">
        <v>2151794</v>
      </c>
      <c r="EB31" s="272">
        <v>3202912</v>
      </c>
      <c r="EC31" s="272">
        <v>0</v>
      </c>
      <c r="ED31" s="272">
        <v>175162029</v>
      </c>
      <c r="EF31" s="272">
        <v>928676</v>
      </c>
      <c r="EG31" s="272">
        <v>572164</v>
      </c>
      <c r="EH31" s="272">
        <v>356512</v>
      </c>
      <c r="EI31" s="272">
        <v>-44868</v>
      </c>
      <c r="EJ31" s="272">
        <v>-4070866</v>
      </c>
      <c r="EL31" s="272"/>
      <c r="EM31" s="272">
        <v>496242</v>
      </c>
      <c r="EN31" s="272">
        <v>4650594</v>
      </c>
      <c r="EO31" s="272">
        <v>152537</v>
      </c>
      <c r="EP31" s="455">
        <f t="shared" si="12"/>
        <v>2357606</v>
      </c>
      <c r="EQ31" s="272">
        <v>102130255</v>
      </c>
      <c r="ER31" s="272">
        <v>-16761604</v>
      </c>
      <c r="ES31" s="272">
        <v>41187275</v>
      </c>
      <c r="ET31" s="272">
        <v>27528684</v>
      </c>
      <c r="EU31" s="272">
        <v>11499298</v>
      </c>
      <c r="EV31" s="272">
        <v>15404571</v>
      </c>
      <c r="EW31" s="455">
        <f t="shared" si="13"/>
        <v>3884133</v>
      </c>
      <c r="EX31" s="272">
        <v>3884133</v>
      </c>
      <c r="EY31" s="272">
        <v>127634</v>
      </c>
      <c r="EZ31" s="272">
        <v>3749795</v>
      </c>
      <c r="FA31" s="272">
        <v>0</v>
      </c>
      <c r="FB31" s="272"/>
      <c r="FC31" s="272">
        <v>11438561</v>
      </c>
      <c r="FD31" s="272">
        <v>10128420</v>
      </c>
      <c r="FE31" s="272">
        <v>4102238</v>
      </c>
      <c r="FF31" s="272">
        <v>21956449</v>
      </c>
      <c r="FG31" s="455">
        <f t="shared" si="14"/>
        <v>2464476</v>
      </c>
      <c r="FH31" s="272">
        <v>117963183</v>
      </c>
      <c r="FI31" s="384">
        <f t="shared" si="15"/>
        <v>0.4</v>
      </c>
      <c r="FJ31" s="272">
        <v>93269278</v>
      </c>
      <c r="FK31" s="272">
        <v>8636657</v>
      </c>
      <c r="FL31" s="272">
        <v>59082241</v>
      </c>
      <c r="FM31" s="272">
        <v>74085468</v>
      </c>
      <c r="FN31" s="460">
        <v>0.81699999999999995</v>
      </c>
      <c r="FO31" s="388">
        <v>100.2</v>
      </c>
      <c r="FP31" s="388">
        <v>38.4</v>
      </c>
      <c r="FQ31" s="388">
        <v>11.1</v>
      </c>
      <c r="FR31" s="388">
        <v>14.3</v>
      </c>
      <c r="FS31" s="388">
        <v>9.5</v>
      </c>
      <c r="FT31" s="388">
        <v>8.5</v>
      </c>
      <c r="FU31" s="388">
        <v>17</v>
      </c>
      <c r="FV31" s="388">
        <v>9.9</v>
      </c>
      <c r="FW31" s="272">
        <v>153940296</v>
      </c>
      <c r="FX31" s="384">
        <f t="shared" si="16"/>
        <v>165</v>
      </c>
      <c r="FY31" s="272">
        <v>8705914</v>
      </c>
      <c r="FZ31" s="272">
        <v>1486516</v>
      </c>
      <c r="GA31" s="272">
        <v>2496305</v>
      </c>
      <c r="GB31" s="272">
        <v>4723093</v>
      </c>
      <c r="GC31" s="272"/>
      <c r="GD31" s="272">
        <v>27005587</v>
      </c>
      <c r="GE31" s="384">
        <f t="shared" si="17"/>
        <v>29</v>
      </c>
      <c r="GF31" s="388">
        <v>96.5</v>
      </c>
      <c r="GG31" s="388">
        <v>29.5</v>
      </c>
      <c r="GH31" s="388">
        <v>90.3</v>
      </c>
      <c r="GI31" s="272">
        <v>3494</v>
      </c>
    </row>
    <row r="32" spans="2:191" x14ac:dyDescent="0.15">
      <c r="B32" s="89" t="s">
        <v>57</v>
      </c>
      <c r="C32" s="272">
        <v>8958901</v>
      </c>
      <c r="D32" s="455">
        <f t="shared" si="0"/>
        <v>2026575</v>
      </c>
      <c r="E32" s="272">
        <v>50226</v>
      </c>
      <c r="F32" s="272">
        <v>1976349</v>
      </c>
      <c r="G32" s="455">
        <f t="shared" si="1"/>
        <v>437149</v>
      </c>
      <c r="H32" s="272">
        <v>146546</v>
      </c>
      <c r="I32" s="272">
        <v>290603</v>
      </c>
      <c r="J32" s="272">
        <v>5202702</v>
      </c>
      <c r="K32" s="272">
        <v>2532490</v>
      </c>
      <c r="L32" s="272">
        <v>1507575</v>
      </c>
      <c r="M32" s="272">
        <v>1148095</v>
      </c>
      <c r="N32" s="272">
        <v>351559</v>
      </c>
      <c r="O32" s="272">
        <v>859596</v>
      </c>
      <c r="P32" s="272">
        <v>557513</v>
      </c>
      <c r="Q32" s="272">
        <v>302083</v>
      </c>
      <c r="R32" s="272">
        <v>178298</v>
      </c>
      <c r="S32" s="272"/>
      <c r="T32" s="455">
        <f t="shared" si="2"/>
        <v>818359</v>
      </c>
      <c r="U32" s="272">
        <v>74735</v>
      </c>
      <c r="V32" s="272"/>
      <c r="W32" s="272"/>
      <c r="X32" s="272">
        <v>555910</v>
      </c>
      <c r="Y32" s="272">
        <v>54915</v>
      </c>
      <c r="Z32" s="272">
        <v>0</v>
      </c>
      <c r="AA32" s="272">
        <v>132799</v>
      </c>
      <c r="AB32" s="272">
        <v>204492</v>
      </c>
      <c r="AC32" s="272">
        <v>2462039</v>
      </c>
      <c r="AD32" s="272">
        <v>1987014</v>
      </c>
      <c r="AE32" s="272">
        <v>475025</v>
      </c>
      <c r="AF32" s="272">
        <v>12046</v>
      </c>
      <c r="AG32" s="272">
        <v>35005</v>
      </c>
      <c r="AH32" s="455">
        <f t="shared" si="3"/>
        <v>372132</v>
      </c>
      <c r="AI32" s="272">
        <v>270101</v>
      </c>
      <c r="AJ32" s="272">
        <v>102031</v>
      </c>
      <c r="AK32" s="272">
        <v>2380263</v>
      </c>
      <c r="AL32" s="455">
        <f t="shared" si="4"/>
        <v>1409066</v>
      </c>
      <c r="AM32" s="272">
        <v>1218787</v>
      </c>
      <c r="AN32" s="272">
        <v>187179</v>
      </c>
      <c r="AO32" s="272">
        <v>0</v>
      </c>
      <c r="AP32" s="272">
        <v>3100</v>
      </c>
      <c r="AQ32" s="272">
        <v>15616</v>
      </c>
      <c r="AR32" s="272">
        <v>0</v>
      </c>
      <c r="AS32" s="272">
        <v>0</v>
      </c>
      <c r="AT32" s="272">
        <v>1084145</v>
      </c>
      <c r="AU32" s="272">
        <v>662634</v>
      </c>
      <c r="AV32" s="272">
        <v>93590</v>
      </c>
      <c r="AW32" s="272">
        <v>96808</v>
      </c>
      <c r="AX32" s="272">
        <v>421511</v>
      </c>
      <c r="AY32" s="272">
        <v>31278</v>
      </c>
      <c r="AZ32" s="272">
        <v>3853</v>
      </c>
      <c r="BA32" s="272">
        <v>1813</v>
      </c>
      <c r="BB32" s="272">
        <v>54161</v>
      </c>
      <c r="BC32" s="272">
        <v>627453</v>
      </c>
      <c r="BD32" s="272">
        <v>0</v>
      </c>
      <c r="BE32" s="272">
        <v>345357</v>
      </c>
      <c r="BF32" s="272">
        <v>49763</v>
      </c>
      <c r="BG32" s="272">
        <v>200000</v>
      </c>
      <c r="BH32" s="272">
        <v>0</v>
      </c>
      <c r="BI32" s="272">
        <v>0</v>
      </c>
      <c r="BJ32" s="272">
        <v>244418</v>
      </c>
      <c r="BK32" s="272">
        <v>3412</v>
      </c>
      <c r="BL32" s="272">
        <v>0</v>
      </c>
      <c r="BM32" s="272">
        <v>0</v>
      </c>
      <c r="BN32" s="272">
        <v>2730400</v>
      </c>
      <c r="BO32" s="455">
        <f t="shared" si="5"/>
        <v>1374300</v>
      </c>
      <c r="BP32" s="455">
        <f t="shared" si="6"/>
        <v>1356100</v>
      </c>
      <c r="BQ32" s="272">
        <v>75400</v>
      </c>
      <c r="BR32" s="272">
        <v>0</v>
      </c>
      <c r="BS32" s="272">
        <v>1280700</v>
      </c>
      <c r="BT32" s="272">
        <v>0</v>
      </c>
      <c r="BU32" s="272">
        <v>20165965</v>
      </c>
      <c r="BV32" s="272"/>
      <c r="BW32" s="272">
        <v>5947689</v>
      </c>
      <c r="BX32" s="272">
        <v>4137281</v>
      </c>
      <c r="BY32" s="272">
        <v>310837</v>
      </c>
      <c r="BZ32" s="272">
        <v>393537</v>
      </c>
      <c r="CA32" s="272">
        <v>3218395</v>
      </c>
      <c r="CB32" s="272">
        <v>527436</v>
      </c>
      <c r="CC32" s="272">
        <v>161505</v>
      </c>
      <c r="CD32" s="272">
        <v>792154</v>
      </c>
      <c r="CE32" s="272">
        <v>1670395</v>
      </c>
      <c r="CF32" s="272">
        <v>0</v>
      </c>
      <c r="CG32" s="272">
        <v>66835</v>
      </c>
      <c r="CH32" s="272">
        <v>2482936</v>
      </c>
      <c r="CI32" s="272">
        <v>1745912</v>
      </c>
      <c r="CJ32" s="455">
        <f t="shared" si="7"/>
        <v>737024</v>
      </c>
      <c r="CK32" s="272">
        <v>2171898</v>
      </c>
      <c r="CL32" s="272">
        <v>1232127</v>
      </c>
      <c r="CM32" s="272">
        <v>143660</v>
      </c>
      <c r="CN32" s="272">
        <v>419901</v>
      </c>
      <c r="CO32" s="272">
        <v>158615</v>
      </c>
      <c r="CP32" s="272">
        <v>1165016</v>
      </c>
      <c r="CQ32" s="272">
        <v>548527</v>
      </c>
      <c r="CR32" s="272">
        <v>369599</v>
      </c>
      <c r="CS32" s="272">
        <v>190659</v>
      </c>
      <c r="CT32" s="455">
        <f t="shared" si="8"/>
        <v>2243</v>
      </c>
      <c r="CU32" s="272">
        <v>2243</v>
      </c>
      <c r="CV32" s="272">
        <v>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1936970</v>
      </c>
      <c r="DD32" s="272">
        <v>203521</v>
      </c>
      <c r="DE32" s="272">
        <v>1719651</v>
      </c>
      <c r="DF32" s="272">
        <v>13798</v>
      </c>
      <c r="DG32" s="272">
        <v>0</v>
      </c>
      <c r="DH32" s="272">
        <v>25323</v>
      </c>
      <c r="DI32" s="272">
        <v>49361</v>
      </c>
      <c r="DJ32" s="272">
        <v>0</v>
      </c>
      <c r="DK32" s="272">
        <v>5166</v>
      </c>
      <c r="DL32" s="272">
        <v>44195</v>
      </c>
      <c r="DM32" s="272">
        <v>11000</v>
      </c>
      <c r="DN32" s="272">
        <v>11000</v>
      </c>
      <c r="DO32" s="272">
        <v>11000</v>
      </c>
      <c r="DP32" s="272">
        <v>0</v>
      </c>
      <c r="DQ32" s="272">
        <v>2400</v>
      </c>
      <c r="DR32" s="272">
        <v>0</v>
      </c>
      <c r="DS32" s="272">
        <v>0</v>
      </c>
      <c r="DT32" s="272">
        <v>2531907</v>
      </c>
      <c r="DU32" s="272">
        <v>1326911</v>
      </c>
      <c r="DV32" s="455">
        <f t="shared" si="11"/>
        <v>0</v>
      </c>
      <c r="DW32" s="272">
        <v>0</v>
      </c>
      <c r="DX32" s="272">
        <v>0</v>
      </c>
      <c r="DY32" s="272">
        <v>0</v>
      </c>
      <c r="DZ32" s="272">
        <v>534080</v>
      </c>
      <c r="EA32" s="272">
        <v>276281</v>
      </c>
      <c r="EB32" s="272">
        <v>394635</v>
      </c>
      <c r="EC32" s="272">
        <v>784969</v>
      </c>
      <c r="ED32" s="272">
        <v>20486479</v>
      </c>
      <c r="EF32" s="272">
        <v>-320514</v>
      </c>
      <c r="EG32" s="272">
        <v>90975</v>
      </c>
      <c r="EH32" s="272">
        <v>-411489</v>
      </c>
      <c r="EI32" s="272">
        <v>373626</v>
      </c>
      <c r="EJ32" s="272">
        <v>373626</v>
      </c>
      <c r="EL32" s="272"/>
      <c r="EM32" s="272">
        <v>65036</v>
      </c>
      <c r="EN32" s="272">
        <v>545357</v>
      </c>
      <c r="EO32" s="272">
        <v>1867</v>
      </c>
      <c r="EP32" s="455">
        <f t="shared" si="12"/>
        <v>226551</v>
      </c>
      <c r="EQ32" s="272">
        <v>12634135</v>
      </c>
      <c r="ER32" s="272">
        <v>-2117829</v>
      </c>
      <c r="ES32" s="272">
        <v>5423048</v>
      </c>
      <c r="ET32" s="272">
        <v>3707119</v>
      </c>
      <c r="EU32" s="272">
        <v>1033432</v>
      </c>
      <c r="EV32" s="272">
        <v>2427500</v>
      </c>
      <c r="EW32" s="455">
        <f t="shared" si="13"/>
        <v>235634</v>
      </c>
      <c r="EX32" s="272">
        <v>217009</v>
      </c>
      <c r="EY32" s="272">
        <v>9882</v>
      </c>
      <c r="EZ32" s="272">
        <v>207038</v>
      </c>
      <c r="FA32" s="272">
        <v>18625</v>
      </c>
      <c r="FB32" s="272"/>
      <c r="FC32" s="272">
        <v>1693582</v>
      </c>
      <c r="FD32" s="272">
        <v>1016772</v>
      </c>
      <c r="FE32" s="272">
        <v>548527</v>
      </c>
      <c r="FF32" s="272">
        <v>2315847</v>
      </c>
      <c r="FG32" s="455">
        <f t="shared" si="14"/>
        <v>926813</v>
      </c>
      <c r="FH32" s="272">
        <v>15072628</v>
      </c>
      <c r="FI32" s="384">
        <f t="shared" si="15"/>
        <v>-3.6</v>
      </c>
      <c r="FJ32" s="272">
        <v>11374751</v>
      </c>
      <c r="FK32" s="272">
        <v>1280740</v>
      </c>
      <c r="FL32" s="272">
        <v>7090492</v>
      </c>
      <c r="FM32" s="272">
        <v>9125647</v>
      </c>
      <c r="FN32" s="460">
        <v>0.79300000000000004</v>
      </c>
      <c r="FO32" s="388">
        <v>100.9</v>
      </c>
      <c r="FP32" s="388">
        <v>41.2</v>
      </c>
      <c r="FQ32" s="388">
        <v>8.1</v>
      </c>
      <c r="FR32" s="388">
        <v>19.100000000000001</v>
      </c>
      <c r="FS32" s="388">
        <v>12.5</v>
      </c>
      <c r="FT32" s="388">
        <v>7.6</v>
      </c>
      <c r="FU32" s="388">
        <v>11.4</v>
      </c>
      <c r="FV32" s="388">
        <v>13.6</v>
      </c>
      <c r="FW32" s="272">
        <v>24149527</v>
      </c>
      <c r="FX32" s="384">
        <f t="shared" si="16"/>
        <v>212.3</v>
      </c>
      <c r="FY32" s="272">
        <v>1619646</v>
      </c>
      <c r="FZ32" s="272"/>
      <c r="GA32" s="272">
        <v>5267</v>
      </c>
      <c r="GB32" s="272">
        <v>1614379</v>
      </c>
      <c r="GC32" s="272">
        <v>200000</v>
      </c>
      <c r="GD32" s="272">
        <v>10744032</v>
      </c>
      <c r="GE32" s="384">
        <f t="shared" si="17"/>
        <v>94.5</v>
      </c>
      <c r="GF32" s="388">
        <v>94.2</v>
      </c>
      <c r="GG32" s="388">
        <v>15.2</v>
      </c>
      <c r="GH32" s="388">
        <v>81.5</v>
      </c>
      <c r="GI32" s="272">
        <v>602</v>
      </c>
    </row>
    <row r="33" spans="2:191" x14ac:dyDescent="0.15">
      <c r="B33" s="89" t="s">
        <v>59</v>
      </c>
      <c r="C33" s="272">
        <v>6543367</v>
      </c>
      <c r="D33" s="455">
        <f t="shared" si="0"/>
        <v>2318389</v>
      </c>
      <c r="E33" s="272">
        <v>49628</v>
      </c>
      <c r="F33" s="272">
        <v>2268761</v>
      </c>
      <c r="G33" s="455">
        <f t="shared" si="1"/>
        <v>236297</v>
      </c>
      <c r="H33" s="272">
        <v>95381</v>
      </c>
      <c r="I33" s="272">
        <v>140916</v>
      </c>
      <c r="J33" s="272">
        <v>2990283</v>
      </c>
      <c r="K33" s="272">
        <v>1609861</v>
      </c>
      <c r="L33" s="272">
        <v>1132382</v>
      </c>
      <c r="M33" s="272">
        <v>231822</v>
      </c>
      <c r="N33" s="272">
        <v>283868</v>
      </c>
      <c r="O33" s="272">
        <v>670960</v>
      </c>
      <c r="P33" s="272">
        <v>424652</v>
      </c>
      <c r="Q33" s="272">
        <v>246308</v>
      </c>
      <c r="R33" s="272">
        <v>129915</v>
      </c>
      <c r="S33" s="272"/>
      <c r="T33" s="455">
        <f t="shared" si="2"/>
        <v>649999</v>
      </c>
      <c r="U33" s="272">
        <v>81294</v>
      </c>
      <c r="V33" s="272"/>
      <c r="W33" s="272"/>
      <c r="X33" s="272">
        <v>427404</v>
      </c>
      <c r="Y33" s="272">
        <v>26878</v>
      </c>
      <c r="Z33" s="272">
        <v>0</v>
      </c>
      <c r="AA33" s="272">
        <v>114423</v>
      </c>
      <c r="AB33" s="272">
        <v>244019</v>
      </c>
      <c r="AC33" s="272">
        <v>3474929</v>
      </c>
      <c r="AD33" s="272">
        <v>3098788</v>
      </c>
      <c r="AE33" s="272">
        <v>376141</v>
      </c>
      <c r="AF33" s="272">
        <v>11397</v>
      </c>
      <c r="AG33" s="272">
        <v>272646</v>
      </c>
      <c r="AH33" s="455">
        <f t="shared" si="3"/>
        <v>305008</v>
      </c>
      <c r="AI33" s="272">
        <v>192760</v>
      </c>
      <c r="AJ33" s="272">
        <v>112248</v>
      </c>
      <c r="AK33" s="272">
        <v>1759041</v>
      </c>
      <c r="AL33" s="455">
        <f t="shared" si="4"/>
        <v>1309940</v>
      </c>
      <c r="AM33" s="272">
        <v>752843</v>
      </c>
      <c r="AN33" s="272">
        <v>547693</v>
      </c>
      <c r="AO33" s="272">
        <v>0</v>
      </c>
      <c r="AP33" s="272">
        <v>9404</v>
      </c>
      <c r="AQ33" s="272">
        <v>91497</v>
      </c>
      <c r="AR33" s="272">
        <v>0</v>
      </c>
      <c r="AS33" s="272">
        <v>0</v>
      </c>
      <c r="AT33" s="272">
        <v>778549</v>
      </c>
      <c r="AU33" s="272">
        <v>455206</v>
      </c>
      <c r="AV33" s="272">
        <v>132693</v>
      </c>
      <c r="AW33" s="272">
        <v>0</v>
      </c>
      <c r="AX33" s="272">
        <v>323343</v>
      </c>
      <c r="AY33" s="272">
        <v>2679</v>
      </c>
      <c r="AZ33" s="272">
        <v>187757</v>
      </c>
      <c r="BA33" s="272">
        <v>178327</v>
      </c>
      <c r="BB33" s="272">
        <v>13168</v>
      </c>
      <c r="BC33" s="272">
        <v>810437</v>
      </c>
      <c r="BD33" s="272">
        <v>128000</v>
      </c>
      <c r="BE33" s="272">
        <v>20000</v>
      </c>
      <c r="BF33" s="272">
        <v>12437</v>
      </c>
      <c r="BG33" s="272">
        <v>650000</v>
      </c>
      <c r="BH33" s="272">
        <v>0</v>
      </c>
      <c r="BI33" s="272">
        <v>0</v>
      </c>
      <c r="BJ33" s="272">
        <v>190646</v>
      </c>
      <c r="BK33" s="272">
        <v>5000</v>
      </c>
      <c r="BL33" s="272">
        <v>0</v>
      </c>
      <c r="BM33" s="272">
        <v>0</v>
      </c>
      <c r="BN33" s="272">
        <v>1770700</v>
      </c>
      <c r="BO33" s="455">
        <f t="shared" si="5"/>
        <v>513200</v>
      </c>
      <c r="BP33" s="455">
        <f t="shared" si="6"/>
        <v>1257500</v>
      </c>
      <c r="BQ33" s="272">
        <v>86900</v>
      </c>
      <c r="BR33" s="272">
        <v>0</v>
      </c>
      <c r="BS33" s="272">
        <v>1170600</v>
      </c>
      <c r="BT33" s="272">
        <v>0</v>
      </c>
      <c r="BU33" s="272">
        <v>17141578</v>
      </c>
      <c r="BV33" s="272"/>
      <c r="BW33" s="272">
        <v>5379649</v>
      </c>
      <c r="BX33" s="272">
        <v>3536884</v>
      </c>
      <c r="BY33" s="272">
        <v>871412</v>
      </c>
      <c r="BZ33" s="272">
        <v>88655</v>
      </c>
      <c r="CA33" s="272">
        <v>2621651</v>
      </c>
      <c r="CB33" s="272">
        <v>355309</v>
      </c>
      <c r="CC33" s="272">
        <v>160845</v>
      </c>
      <c r="CD33" s="272">
        <v>1011015</v>
      </c>
      <c r="CE33" s="272">
        <v>1023409</v>
      </c>
      <c r="CF33" s="272">
        <v>10311</v>
      </c>
      <c r="CG33" s="272">
        <v>60728</v>
      </c>
      <c r="CH33" s="272">
        <v>1884611</v>
      </c>
      <c r="CI33" s="272">
        <v>1374934</v>
      </c>
      <c r="CJ33" s="455">
        <f t="shared" si="7"/>
        <v>509677</v>
      </c>
      <c r="CK33" s="272">
        <v>2590565</v>
      </c>
      <c r="CL33" s="272">
        <v>1566408</v>
      </c>
      <c r="CM33" s="272">
        <v>320720</v>
      </c>
      <c r="CN33" s="272">
        <v>307731</v>
      </c>
      <c r="CO33" s="272">
        <v>54665</v>
      </c>
      <c r="CP33" s="272">
        <v>1138880</v>
      </c>
      <c r="CQ33" s="272">
        <v>449486</v>
      </c>
      <c r="CR33" s="272">
        <v>353323</v>
      </c>
      <c r="CS33" s="272">
        <v>257750</v>
      </c>
      <c r="CT33" s="455">
        <f t="shared" si="8"/>
        <v>15293</v>
      </c>
      <c r="CU33" s="272">
        <v>3037</v>
      </c>
      <c r="CV33" s="272">
        <v>12256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774319</v>
      </c>
      <c r="DD33" s="272">
        <v>217078</v>
      </c>
      <c r="DE33" s="272">
        <v>548001</v>
      </c>
      <c r="DF33" s="272">
        <v>0</v>
      </c>
      <c r="DG33" s="272">
        <v>9240</v>
      </c>
      <c r="DH33" s="272">
        <v>0</v>
      </c>
      <c r="DI33" s="272">
        <v>77012</v>
      </c>
      <c r="DJ33" s="272">
        <v>796</v>
      </c>
      <c r="DK33" s="272">
        <v>68</v>
      </c>
      <c r="DL33" s="272">
        <v>76148</v>
      </c>
      <c r="DM33" s="272">
        <v>0</v>
      </c>
      <c r="DN33" s="272">
        <v>0</v>
      </c>
      <c r="DO33" s="272">
        <v>0</v>
      </c>
      <c r="DP33" s="272">
        <v>0</v>
      </c>
      <c r="DQ33" s="272">
        <v>5000</v>
      </c>
      <c r="DR33" s="272">
        <v>0</v>
      </c>
      <c r="DS33" s="272">
        <v>0</v>
      </c>
      <c r="DT33" s="272">
        <v>2408936</v>
      </c>
      <c r="DU33" s="272">
        <v>1437184</v>
      </c>
      <c r="DV33" s="455">
        <f t="shared" si="11"/>
        <v>0</v>
      </c>
      <c r="DW33" s="272">
        <v>0</v>
      </c>
      <c r="DX33" s="272">
        <v>0</v>
      </c>
      <c r="DY33" s="272">
        <v>0</v>
      </c>
      <c r="DZ33" s="272">
        <v>527622</v>
      </c>
      <c r="EA33" s="272">
        <v>196946</v>
      </c>
      <c r="EB33" s="272">
        <v>245611</v>
      </c>
      <c r="EC33" s="272">
        <v>1167112</v>
      </c>
      <c r="ED33" s="272">
        <v>18102400</v>
      </c>
      <c r="EF33" s="272">
        <v>-960822</v>
      </c>
      <c r="EG33" s="272">
        <v>17137</v>
      </c>
      <c r="EH33" s="272">
        <v>-977959</v>
      </c>
      <c r="EI33" s="272">
        <v>219325</v>
      </c>
      <c r="EJ33" s="272">
        <v>92121</v>
      </c>
      <c r="EL33" s="272"/>
      <c r="EM33" s="272">
        <v>56891</v>
      </c>
      <c r="EN33" s="272">
        <v>798000</v>
      </c>
      <c r="EO33" s="272">
        <v>183485</v>
      </c>
      <c r="EP33" s="455">
        <f t="shared" si="12"/>
        <v>211153</v>
      </c>
      <c r="EQ33" s="272">
        <v>11053626</v>
      </c>
      <c r="ER33" s="272">
        <v>-2438741</v>
      </c>
      <c r="ES33" s="272">
        <v>5002272</v>
      </c>
      <c r="ET33" s="272">
        <v>3238460</v>
      </c>
      <c r="EU33" s="272">
        <v>838621</v>
      </c>
      <c r="EV33" s="272">
        <v>1882437</v>
      </c>
      <c r="EW33" s="455">
        <f t="shared" si="13"/>
        <v>148043</v>
      </c>
      <c r="EX33" s="272">
        <v>148043</v>
      </c>
      <c r="EY33" s="272">
        <v>13981</v>
      </c>
      <c r="EZ33" s="272">
        <v>134062</v>
      </c>
      <c r="FA33" s="272">
        <v>0</v>
      </c>
      <c r="FB33" s="272"/>
      <c r="FC33" s="272">
        <v>2059121</v>
      </c>
      <c r="FD33" s="272">
        <v>1020040</v>
      </c>
      <c r="FE33" s="272">
        <v>449486</v>
      </c>
      <c r="FF33" s="272">
        <v>2210878</v>
      </c>
      <c r="FG33" s="455">
        <f t="shared" si="14"/>
        <v>1291777</v>
      </c>
      <c r="FH33" s="272">
        <v>14453189</v>
      </c>
      <c r="FI33" s="384">
        <f t="shared" si="15"/>
        <v>-9.6999999999999993</v>
      </c>
      <c r="FJ33" s="272">
        <v>10076024</v>
      </c>
      <c r="FK33" s="272">
        <v>1170679</v>
      </c>
      <c r="FL33" s="272">
        <v>5267187</v>
      </c>
      <c r="FM33" s="272">
        <v>8367317</v>
      </c>
      <c r="FN33" s="460">
        <v>0.62</v>
      </c>
      <c r="FO33" s="388">
        <v>104.3</v>
      </c>
      <c r="FP33" s="388">
        <v>37.9</v>
      </c>
      <c r="FQ33" s="388">
        <v>7.4</v>
      </c>
      <c r="FR33" s="388">
        <v>16.600000000000001</v>
      </c>
      <c r="FS33" s="388">
        <v>17.399999999999999</v>
      </c>
      <c r="FT33" s="388">
        <v>7.6</v>
      </c>
      <c r="FU33" s="388">
        <v>16.899999999999999</v>
      </c>
      <c r="FV33" s="388">
        <v>9.3000000000000007</v>
      </c>
      <c r="FW33" s="272">
        <v>21299516</v>
      </c>
      <c r="FX33" s="384">
        <f t="shared" si="16"/>
        <v>211.4</v>
      </c>
      <c r="FY33" s="272">
        <v>1786977</v>
      </c>
      <c r="FZ33" s="272">
        <v>205524</v>
      </c>
      <c r="GA33" s="272">
        <v>25465</v>
      </c>
      <c r="GB33" s="272">
        <v>1555988</v>
      </c>
      <c r="GC33" s="272">
        <v>655000</v>
      </c>
      <c r="GD33" s="272">
        <v>5789783</v>
      </c>
      <c r="GE33" s="384">
        <f t="shared" si="17"/>
        <v>57.5</v>
      </c>
      <c r="GF33" s="388">
        <v>97.5</v>
      </c>
      <c r="GG33" s="388">
        <v>18.2</v>
      </c>
      <c r="GH33" s="388">
        <v>89.6</v>
      </c>
      <c r="GI33" s="272">
        <v>476</v>
      </c>
    </row>
    <row r="34" spans="2:191" x14ac:dyDescent="0.15">
      <c r="B34" s="89" t="s">
        <v>61</v>
      </c>
      <c r="C34" s="272">
        <v>8938203</v>
      </c>
      <c r="D34" s="455">
        <f t="shared" si="0"/>
        <v>3884692</v>
      </c>
      <c r="E34" s="272">
        <v>70096</v>
      </c>
      <c r="F34" s="272">
        <v>3814596</v>
      </c>
      <c r="G34" s="455">
        <f t="shared" si="1"/>
        <v>339608</v>
      </c>
      <c r="H34" s="272">
        <v>106425</v>
      </c>
      <c r="I34" s="272">
        <v>233183</v>
      </c>
      <c r="J34" s="272">
        <v>3487482</v>
      </c>
      <c r="K34" s="272">
        <v>1625312</v>
      </c>
      <c r="L34" s="272">
        <v>1408900</v>
      </c>
      <c r="M34" s="272">
        <v>411179</v>
      </c>
      <c r="N34" s="272">
        <v>334130</v>
      </c>
      <c r="O34" s="272">
        <v>830690</v>
      </c>
      <c r="P34" s="272">
        <v>519457</v>
      </c>
      <c r="Q34" s="272">
        <v>311233</v>
      </c>
      <c r="R34" s="272">
        <v>172632</v>
      </c>
      <c r="S34" s="272"/>
      <c r="T34" s="455">
        <f t="shared" si="2"/>
        <v>963325</v>
      </c>
      <c r="U34" s="272">
        <v>135099</v>
      </c>
      <c r="V34" s="272"/>
      <c r="W34" s="272"/>
      <c r="X34" s="272">
        <v>583794</v>
      </c>
      <c r="Y34" s="272">
        <v>92373</v>
      </c>
      <c r="Z34" s="272">
        <v>0</v>
      </c>
      <c r="AA34" s="272">
        <v>152059</v>
      </c>
      <c r="AB34" s="272">
        <v>408029</v>
      </c>
      <c r="AC34" s="272">
        <v>3565673</v>
      </c>
      <c r="AD34" s="272">
        <v>3309419</v>
      </c>
      <c r="AE34" s="272">
        <v>256254</v>
      </c>
      <c r="AF34" s="272">
        <v>13150</v>
      </c>
      <c r="AG34" s="272">
        <v>146136</v>
      </c>
      <c r="AH34" s="455">
        <f t="shared" si="3"/>
        <v>266288</v>
      </c>
      <c r="AI34" s="272">
        <v>175923</v>
      </c>
      <c r="AJ34" s="272">
        <v>90365</v>
      </c>
      <c r="AK34" s="272">
        <v>1590861</v>
      </c>
      <c r="AL34" s="455">
        <f t="shared" si="4"/>
        <v>751898</v>
      </c>
      <c r="AM34" s="272">
        <v>480110</v>
      </c>
      <c r="AN34" s="272">
        <v>263862</v>
      </c>
      <c r="AO34" s="272">
        <v>0</v>
      </c>
      <c r="AP34" s="272">
        <v>7926</v>
      </c>
      <c r="AQ34" s="272">
        <v>61914</v>
      </c>
      <c r="AR34" s="272">
        <v>0</v>
      </c>
      <c r="AS34" s="272">
        <v>0</v>
      </c>
      <c r="AT34" s="272">
        <v>880933</v>
      </c>
      <c r="AU34" s="272">
        <v>476677</v>
      </c>
      <c r="AV34" s="272">
        <v>132175</v>
      </c>
      <c r="AW34" s="272">
        <v>0</v>
      </c>
      <c r="AX34" s="272">
        <v>404256</v>
      </c>
      <c r="AY34" s="272">
        <v>26848</v>
      </c>
      <c r="AZ34" s="272">
        <v>314641</v>
      </c>
      <c r="BA34" s="272">
        <v>305810</v>
      </c>
      <c r="BB34" s="272">
        <v>31743</v>
      </c>
      <c r="BC34" s="272">
        <v>4480</v>
      </c>
      <c r="BD34" s="272">
        <v>0</v>
      </c>
      <c r="BE34" s="272">
        <v>0</v>
      </c>
      <c r="BF34" s="272">
        <v>0</v>
      </c>
      <c r="BG34" s="272">
        <v>0</v>
      </c>
      <c r="BH34" s="272">
        <v>0</v>
      </c>
      <c r="BI34" s="272">
        <v>0</v>
      </c>
      <c r="BJ34" s="272">
        <v>185253</v>
      </c>
      <c r="BK34" s="272">
        <v>0</v>
      </c>
      <c r="BL34" s="272">
        <v>0</v>
      </c>
      <c r="BM34" s="272">
        <v>0</v>
      </c>
      <c r="BN34" s="272">
        <v>2235000</v>
      </c>
      <c r="BO34" s="455">
        <f t="shared" si="5"/>
        <v>530100</v>
      </c>
      <c r="BP34" s="455">
        <f t="shared" si="6"/>
        <v>1704900</v>
      </c>
      <c r="BQ34" s="272">
        <v>141300</v>
      </c>
      <c r="BR34" s="272">
        <v>0</v>
      </c>
      <c r="BS34" s="272">
        <v>1563600</v>
      </c>
      <c r="BT34" s="272">
        <v>0</v>
      </c>
      <c r="BU34" s="272">
        <v>19716347</v>
      </c>
      <c r="BV34" s="272"/>
      <c r="BW34" s="272">
        <v>5804843</v>
      </c>
      <c r="BX34" s="272">
        <v>3976785</v>
      </c>
      <c r="BY34" s="272">
        <v>504010</v>
      </c>
      <c r="BZ34" s="272">
        <v>292076</v>
      </c>
      <c r="CA34" s="272">
        <v>2803057</v>
      </c>
      <c r="CB34" s="272">
        <v>617622</v>
      </c>
      <c r="CC34" s="272">
        <v>168950</v>
      </c>
      <c r="CD34" s="272">
        <v>1224077</v>
      </c>
      <c r="CE34" s="272">
        <v>650152</v>
      </c>
      <c r="CF34" s="272">
        <v>20</v>
      </c>
      <c r="CG34" s="272">
        <v>142236</v>
      </c>
      <c r="CH34" s="272">
        <v>3709906</v>
      </c>
      <c r="CI34" s="272">
        <v>2718284</v>
      </c>
      <c r="CJ34" s="455">
        <f t="shared" si="7"/>
        <v>991622</v>
      </c>
      <c r="CK34" s="272">
        <v>2463197</v>
      </c>
      <c r="CL34" s="272">
        <v>1296032</v>
      </c>
      <c r="CM34" s="272">
        <v>217781</v>
      </c>
      <c r="CN34" s="272">
        <v>485515</v>
      </c>
      <c r="CO34" s="272">
        <v>121160</v>
      </c>
      <c r="CP34" s="272">
        <v>1044334</v>
      </c>
      <c r="CQ34" s="272">
        <v>450019</v>
      </c>
      <c r="CR34" s="272">
        <v>318177</v>
      </c>
      <c r="CS34" s="272">
        <v>318177</v>
      </c>
      <c r="CT34" s="455">
        <f t="shared" si="8"/>
        <v>9439</v>
      </c>
      <c r="CU34" s="272">
        <v>9439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1203692</v>
      </c>
      <c r="DD34" s="272">
        <v>185741</v>
      </c>
      <c r="DE34" s="272">
        <v>1010391</v>
      </c>
      <c r="DF34" s="272">
        <v>0</v>
      </c>
      <c r="DG34" s="272">
        <v>7560</v>
      </c>
      <c r="DH34" s="272">
        <v>641</v>
      </c>
      <c r="DI34" s="272">
        <v>94397</v>
      </c>
      <c r="DJ34" s="272">
        <v>32</v>
      </c>
      <c r="DK34" s="272">
        <v>80043</v>
      </c>
      <c r="DL34" s="272">
        <v>14322</v>
      </c>
      <c r="DM34" s="272">
        <v>0</v>
      </c>
      <c r="DN34" s="272">
        <v>0</v>
      </c>
      <c r="DO34" s="272">
        <v>0</v>
      </c>
      <c r="DP34" s="272">
        <v>0</v>
      </c>
      <c r="DQ34" s="272">
        <v>0</v>
      </c>
      <c r="DR34" s="272">
        <v>0</v>
      </c>
      <c r="DS34" s="272">
        <v>0</v>
      </c>
      <c r="DT34" s="272">
        <v>1920609</v>
      </c>
      <c r="DU34" s="272">
        <v>720000</v>
      </c>
      <c r="DV34" s="455">
        <f t="shared" si="11"/>
        <v>0</v>
      </c>
      <c r="DW34" s="272">
        <v>0</v>
      </c>
      <c r="DX34" s="272">
        <v>0</v>
      </c>
      <c r="DY34" s="272">
        <v>0</v>
      </c>
      <c r="DZ34" s="272">
        <v>449432</v>
      </c>
      <c r="EA34" s="272">
        <v>296011</v>
      </c>
      <c r="EB34" s="272">
        <v>455166</v>
      </c>
      <c r="EC34" s="272">
        <v>397884</v>
      </c>
      <c r="ED34" s="272">
        <v>19563720</v>
      </c>
      <c r="EF34" s="272">
        <v>152627</v>
      </c>
      <c r="EG34" s="272">
        <v>7203</v>
      </c>
      <c r="EH34" s="272">
        <v>145424</v>
      </c>
      <c r="EI34" s="272">
        <v>569703</v>
      </c>
      <c r="EJ34" s="272">
        <v>569735</v>
      </c>
      <c r="EL34" s="272"/>
      <c r="EM34" s="272">
        <v>78013</v>
      </c>
      <c r="EN34" s="272">
        <v>4480</v>
      </c>
      <c r="EO34" s="272">
        <v>314432</v>
      </c>
      <c r="EP34" s="455">
        <f t="shared" si="12"/>
        <v>226258</v>
      </c>
      <c r="EQ34" s="272">
        <v>14061012</v>
      </c>
      <c r="ER34" s="272">
        <v>-2236920</v>
      </c>
      <c r="ES34" s="272">
        <v>5531401</v>
      </c>
      <c r="ET34" s="272">
        <v>3738574</v>
      </c>
      <c r="EU34" s="272">
        <v>964260</v>
      </c>
      <c r="EV34" s="272">
        <v>3709906</v>
      </c>
      <c r="EW34" s="455">
        <f t="shared" si="13"/>
        <v>575723</v>
      </c>
      <c r="EX34" s="272">
        <v>575082</v>
      </c>
      <c r="EY34" s="272">
        <v>6027</v>
      </c>
      <c r="EZ34" s="272">
        <v>569055</v>
      </c>
      <c r="FA34" s="272">
        <v>641</v>
      </c>
      <c r="FB34" s="272"/>
      <c r="FC34" s="272">
        <v>2058359</v>
      </c>
      <c r="FD34" s="272">
        <v>973641</v>
      </c>
      <c r="FE34" s="272">
        <v>450019</v>
      </c>
      <c r="FF34" s="272">
        <v>1720400</v>
      </c>
      <c r="FG34" s="455">
        <f t="shared" si="14"/>
        <v>612783</v>
      </c>
      <c r="FH34" s="272">
        <v>16146473</v>
      </c>
      <c r="FI34" s="384">
        <f t="shared" si="15"/>
        <v>1.1000000000000001</v>
      </c>
      <c r="FJ34" s="272">
        <v>13243188</v>
      </c>
      <c r="FK34" s="272">
        <v>1563691</v>
      </c>
      <c r="FL34" s="272">
        <v>7495811</v>
      </c>
      <c r="FM34" s="272">
        <v>10824188</v>
      </c>
      <c r="FN34" s="460">
        <v>0.67900000000000005</v>
      </c>
      <c r="FO34" s="388">
        <v>94.9</v>
      </c>
      <c r="FP34" s="388">
        <v>35.4</v>
      </c>
      <c r="FQ34" s="388">
        <v>6.5</v>
      </c>
      <c r="FR34" s="388">
        <v>25.1</v>
      </c>
      <c r="FS34" s="388">
        <v>13.1</v>
      </c>
      <c r="FT34" s="388">
        <v>6.2</v>
      </c>
      <c r="FU34" s="388">
        <v>7.8</v>
      </c>
      <c r="FV34" s="388">
        <v>14.2</v>
      </c>
      <c r="FW34" s="272">
        <v>36908268</v>
      </c>
      <c r="FX34" s="384">
        <f t="shared" si="16"/>
        <v>278.7</v>
      </c>
      <c r="FY34" s="272">
        <v>3933146</v>
      </c>
      <c r="FZ34" s="272">
        <v>443803</v>
      </c>
      <c r="GA34" s="272">
        <v>870370</v>
      </c>
      <c r="GB34" s="272">
        <v>2618973</v>
      </c>
      <c r="GC34" s="272"/>
      <c r="GD34" s="272">
        <v>26442501</v>
      </c>
      <c r="GE34" s="384">
        <f t="shared" si="17"/>
        <v>199.7</v>
      </c>
      <c r="GF34" s="388">
        <v>97.1</v>
      </c>
      <c r="GG34" s="388">
        <v>19.8</v>
      </c>
      <c r="GH34" s="388">
        <v>89.4</v>
      </c>
      <c r="GI34" s="272">
        <v>556</v>
      </c>
    </row>
    <row r="35" spans="2:191" x14ac:dyDescent="0.15">
      <c r="B35" s="89" t="s">
        <v>63</v>
      </c>
      <c r="C35" s="272">
        <v>7264376</v>
      </c>
      <c r="D35" s="455">
        <f t="shared" si="0"/>
        <v>3320461</v>
      </c>
      <c r="E35" s="272">
        <v>51647</v>
      </c>
      <c r="F35" s="272">
        <v>3268814</v>
      </c>
      <c r="G35" s="455">
        <f t="shared" si="1"/>
        <v>360234</v>
      </c>
      <c r="H35" s="272">
        <v>94064</v>
      </c>
      <c r="I35" s="272">
        <v>266170</v>
      </c>
      <c r="J35" s="272">
        <v>2857302</v>
      </c>
      <c r="K35" s="272">
        <v>1359208</v>
      </c>
      <c r="L35" s="272">
        <v>1162874</v>
      </c>
      <c r="M35" s="272">
        <v>303468</v>
      </c>
      <c r="N35" s="272">
        <v>273712</v>
      </c>
      <c r="O35" s="272">
        <v>403687</v>
      </c>
      <c r="P35" s="272">
        <v>250845</v>
      </c>
      <c r="Q35" s="272">
        <v>152842</v>
      </c>
      <c r="R35" s="272">
        <v>134643</v>
      </c>
      <c r="S35" s="272"/>
      <c r="T35" s="455">
        <f t="shared" si="2"/>
        <v>697185</v>
      </c>
      <c r="U35" s="272">
        <v>103702</v>
      </c>
      <c r="V35" s="272"/>
      <c r="W35" s="272"/>
      <c r="X35" s="272">
        <v>474876</v>
      </c>
      <c r="Y35" s="272">
        <v>0</v>
      </c>
      <c r="Z35" s="272">
        <v>0</v>
      </c>
      <c r="AA35" s="272">
        <v>118607</v>
      </c>
      <c r="AB35" s="272">
        <v>355204</v>
      </c>
      <c r="AC35" s="272">
        <v>2850945</v>
      </c>
      <c r="AD35" s="272">
        <v>2484799</v>
      </c>
      <c r="AE35" s="272">
        <v>366146</v>
      </c>
      <c r="AF35" s="272">
        <v>12731</v>
      </c>
      <c r="AG35" s="272">
        <v>89186</v>
      </c>
      <c r="AH35" s="455">
        <f t="shared" si="3"/>
        <v>287694</v>
      </c>
      <c r="AI35" s="272">
        <v>250635</v>
      </c>
      <c r="AJ35" s="272">
        <v>37059</v>
      </c>
      <c r="AK35" s="272">
        <v>1429287</v>
      </c>
      <c r="AL35" s="455">
        <f t="shared" si="4"/>
        <v>764685</v>
      </c>
      <c r="AM35" s="272">
        <v>638300</v>
      </c>
      <c r="AN35" s="272">
        <v>125916</v>
      </c>
      <c r="AO35" s="272">
        <v>0</v>
      </c>
      <c r="AP35" s="272">
        <v>469</v>
      </c>
      <c r="AQ35" s="272">
        <v>122880</v>
      </c>
      <c r="AR35" s="272">
        <v>0</v>
      </c>
      <c r="AS35" s="272">
        <v>0</v>
      </c>
      <c r="AT35" s="272">
        <v>771372</v>
      </c>
      <c r="AU35" s="272">
        <v>458488</v>
      </c>
      <c r="AV35" s="272">
        <v>62958</v>
      </c>
      <c r="AW35" s="272">
        <v>92171</v>
      </c>
      <c r="AX35" s="272">
        <v>312884</v>
      </c>
      <c r="AY35" s="272">
        <v>13288</v>
      </c>
      <c r="AZ35" s="272">
        <v>24439</v>
      </c>
      <c r="BA35" s="272">
        <v>20107</v>
      </c>
      <c r="BB35" s="272">
        <v>190690</v>
      </c>
      <c r="BC35" s="272">
        <v>661000</v>
      </c>
      <c r="BD35" s="272">
        <v>140000</v>
      </c>
      <c r="BE35" s="272">
        <v>200000</v>
      </c>
      <c r="BF35" s="272">
        <v>321000</v>
      </c>
      <c r="BG35" s="272">
        <v>0</v>
      </c>
      <c r="BH35" s="272">
        <v>232066</v>
      </c>
      <c r="BI35" s="272">
        <v>120946</v>
      </c>
      <c r="BJ35" s="272">
        <v>67692</v>
      </c>
      <c r="BK35" s="272">
        <v>269</v>
      </c>
      <c r="BL35" s="272">
        <v>0</v>
      </c>
      <c r="BM35" s="272">
        <v>0</v>
      </c>
      <c r="BN35" s="272">
        <v>1965700</v>
      </c>
      <c r="BO35" s="455">
        <f t="shared" si="5"/>
        <v>640700</v>
      </c>
      <c r="BP35" s="455">
        <f t="shared" si="6"/>
        <v>1325000</v>
      </c>
      <c r="BQ35" s="272">
        <v>122800</v>
      </c>
      <c r="BR35" s="272">
        <v>0</v>
      </c>
      <c r="BS35" s="272">
        <v>1202200</v>
      </c>
      <c r="BT35" s="272">
        <v>0</v>
      </c>
      <c r="BU35" s="272">
        <v>17034210</v>
      </c>
      <c r="BV35" s="272"/>
      <c r="BW35" s="272">
        <v>4763505</v>
      </c>
      <c r="BX35" s="272">
        <v>3302493</v>
      </c>
      <c r="BY35" s="272">
        <v>589757</v>
      </c>
      <c r="BZ35" s="272">
        <v>37827</v>
      </c>
      <c r="CA35" s="272">
        <v>2086476</v>
      </c>
      <c r="CB35" s="272">
        <v>396896</v>
      </c>
      <c r="CC35" s="272">
        <v>112985</v>
      </c>
      <c r="CD35" s="272">
        <v>656559</v>
      </c>
      <c r="CE35" s="272">
        <v>878561</v>
      </c>
      <c r="CF35" s="272">
        <v>0</v>
      </c>
      <c r="CG35" s="272">
        <v>41475</v>
      </c>
      <c r="CH35" s="272">
        <v>2503128</v>
      </c>
      <c r="CI35" s="272">
        <v>1827025</v>
      </c>
      <c r="CJ35" s="455">
        <f t="shared" si="7"/>
        <v>676103</v>
      </c>
      <c r="CK35" s="272">
        <v>2326831</v>
      </c>
      <c r="CL35" s="272">
        <v>1399518</v>
      </c>
      <c r="CM35" s="272">
        <v>108444</v>
      </c>
      <c r="CN35" s="272">
        <v>349889</v>
      </c>
      <c r="CO35" s="272">
        <v>25930</v>
      </c>
      <c r="CP35" s="272">
        <v>1401385</v>
      </c>
      <c r="CQ35" s="272">
        <v>473792</v>
      </c>
      <c r="CR35" s="272">
        <v>434644</v>
      </c>
      <c r="CS35" s="272">
        <v>331293</v>
      </c>
      <c r="CT35" s="455">
        <f t="shared" si="8"/>
        <v>6940</v>
      </c>
      <c r="CU35" s="272">
        <v>6940</v>
      </c>
      <c r="CV35" s="272">
        <v>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1756839</v>
      </c>
      <c r="DD35" s="272">
        <v>288640</v>
      </c>
      <c r="DE35" s="272">
        <v>1447237</v>
      </c>
      <c r="DF35" s="272">
        <v>20962</v>
      </c>
      <c r="DG35" s="272">
        <v>0</v>
      </c>
      <c r="DH35" s="272">
        <v>0</v>
      </c>
      <c r="DI35" s="272">
        <v>215100</v>
      </c>
      <c r="DJ35" s="272">
        <v>10000</v>
      </c>
      <c r="DK35" s="272">
        <v>1000</v>
      </c>
      <c r="DL35" s="272">
        <v>204100</v>
      </c>
      <c r="DM35" s="272">
        <v>0</v>
      </c>
      <c r="DN35" s="272">
        <v>0</v>
      </c>
      <c r="DO35" s="272">
        <v>0</v>
      </c>
      <c r="DP35" s="272">
        <v>0</v>
      </c>
      <c r="DQ35" s="272">
        <v>720</v>
      </c>
      <c r="DR35" s="272">
        <v>0</v>
      </c>
      <c r="DS35" s="272">
        <v>0</v>
      </c>
      <c r="DT35" s="272">
        <v>1883538</v>
      </c>
      <c r="DU35" s="272">
        <v>851475</v>
      </c>
      <c r="DV35" s="455">
        <f t="shared" si="11"/>
        <v>0</v>
      </c>
      <c r="DW35" s="272">
        <v>0</v>
      </c>
      <c r="DX35" s="272">
        <v>0</v>
      </c>
      <c r="DY35" s="272">
        <v>0</v>
      </c>
      <c r="DZ35" s="272">
        <v>418906</v>
      </c>
      <c r="EA35" s="272">
        <v>211285</v>
      </c>
      <c r="EB35" s="272">
        <v>399566</v>
      </c>
      <c r="EC35" s="272">
        <v>0</v>
      </c>
      <c r="ED35" s="272">
        <v>16963452</v>
      </c>
      <c r="EF35" s="272">
        <v>70758</v>
      </c>
      <c r="EG35" s="272">
        <v>0</v>
      </c>
      <c r="EH35" s="272">
        <v>70758</v>
      </c>
      <c r="EI35" s="272">
        <v>-50188</v>
      </c>
      <c r="EJ35" s="272">
        <v>-180188</v>
      </c>
      <c r="EL35" s="272"/>
      <c r="EM35" s="272">
        <v>56608</v>
      </c>
      <c r="EN35" s="272">
        <v>540000</v>
      </c>
      <c r="EO35" s="272">
        <v>10151</v>
      </c>
      <c r="EP35" s="455">
        <f t="shared" si="12"/>
        <v>426908</v>
      </c>
      <c r="EQ35" s="272">
        <v>11315084</v>
      </c>
      <c r="ER35" s="272">
        <v>-2289328</v>
      </c>
      <c r="ES35" s="272">
        <v>4457941</v>
      </c>
      <c r="ET35" s="272">
        <v>3004950</v>
      </c>
      <c r="EU35" s="272">
        <v>689737</v>
      </c>
      <c r="EV35" s="272">
        <v>2503128</v>
      </c>
      <c r="EW35" s="455">
        <f t="shared" si="13"/>
        <v>651127</v>
      </c>
      <c r="EX35" s="272">
        <v>651127</v>
      </c>
      <c r="EY35" s="272">
        <v>20000</v>
      </c>
      <c r="EZ35" s="272">
        <v>610165</v>
      </c>
      <c r="FA35" s="272">
        <v>0</v>
      </c>
      <c r="FB35" s="272"/>
      <c r="FC35" s="272">
        <v>1932123</v>
      </c>
      <c r="FD35" s="272">
        <v>1339591</v>
      </c>
      <c r="FE35" s="272">
        <v>473792</v>
      </c>
      <c r="FF35" s="272">
        <v>1721207</v>
      </c>
      <c r="FG35" s="455">
        <f t="shared" si="14"/>
        <v>238800</v>
      </c>
      <c r="FH35" s="272">
        <v>13533654</v>
      </c>
      <c r="FI35" s="384">
        <f t="shared" si="15"/>
        <v>0.7</v>
      </c>
      <c r="FJ35" s="272">
        <v>10569587</v>
      </c>
      <c r="FK35" s="272">
        <v>1202248</v>
      </c>
      <c r="FL35" s="272">
        <v>6099968</v>
      </c>
      <c r="FM35" s="272">
        <v>8598553</v>
      </c>
      <c r="FN35" s="460">
        <v>0.70899999999999996</v>
      </c>
      <c r="FO35" s="388">
        <v>96.3</v>
      </c>
      <c r="FP35" s="388">
        <v>34.6</v>
      </c>
      <c r="FQ35" s="388">
        <v>5.8</v>
      </c>
      <c r="FR35" s="388">
        <v>21</v>
      </c>
      <c r="FS35" s="388">
        <v>15.9</v>
      </c>
      <c r="FT35" s="388">
        <v>10.6</v>
      </c>
      <c r="FU35" s="388">
        <v>8.1999999999999993</v>
      </c>
      <c r="FV35" s="388">
        <v>12.5</v>
      </c>
      <c r="FW35" s="272">
        <v>22900740</v>
      </c>
      <c r="FX35" s="384">
        <f t="shared" si="16"/>
        <v>216.7</v>
      </c>
      <c r="FY35" s="272">
        <v>2613758</v>
      </c>
      <c r="FZ35" s="272">
        <v>1570000</v>
      </c>
      <c r="GA35" s="272">
        <v>36000</v>
      </c>
      <c r="GB35" s="272">
        <v>1007758</v>
      </c>
      <c r="GC35" s="272"/>
      <c r="GD35" s="272">
        <v>2501658</v>
      </c>
      <c r="GE35" s="384">
        <f t="shared" si="17"/>
        <v>23.7</v>
      </c>
      <c r="GF35" s="388">
        <v>97.4</v>
      </c>
      <c r="GG35" s="388">
        <v>16.3</v>
      </c>
      <c r="GH35" s="388">
        <v>87.9</v>
      </c>
      <c r="GI35" s="272">
        <v>452</v>
      </c>
    </row>
    <row r="36" spans="2:191" x14ac:dyDescent="0.15">
      <c r="B36" s="89" t="s">
        <v>65</v>
      </c>
      <c r="C36" s="272">
        <v>5666496</v>
      </c>
      <c r="D36" s="455">
        <f t="shared" si="0"/>
        <v>2245286</v>
      </c>
      <c r="E36" s="272">
        <v>51265</v>
      </c>
      <c r="F36" s="272">
        <v>2194021</v>
      </c>
      <c r="G36" s="455">
        <f t="shared" si="1"/>
        <v>143587</v>
      </c>
      <c r="H36" s="272">
        <v>63270</v>
      </c>
      <c r="I36" s="272">
        <v>80317</v>
      </c>
      <c r="J36" s="272">
        <v>2521285</v>
      </c>
      <c r="K36" s="272">
        <v>1241578</v>
      </c>
      <c r="L36" s="272">
        <v>1007595</v>
      </c>
      <c r="M36" s="272">
        <v>228117</v>
      </c>
      <c r="N36" s="272">
        <v>304177</v>
      </c>
      <c r="O36" s="272">
        <v>377925</v>
      </c>
      <c r="P36" s="272">
        <v>236508</v>
      </c>
      <c r="Q36" s="272">
        <v>141417</v>
      </c>
      <c r="R36" s="272">
        <v>146618</v>
      </c>
      <c r="S36" s="272"/>
      <c r="T36" s="455">
        <f t="shared" si="2"/>
        <v>645252</v>
      </c>
      <c r="U36" s="272">
        <v>79940</v>
      </c>
      <c r="V36" s="272"/>
      <c r="W36" s="272"/>
      <c r="X36" s="272">
        <v>431442</v>
      </c>
      <c r="Y36" s="272">
        <v>4730</v>
      </c>
      <c r="Z36" s="272">
        <v>0</v>
      </c>
      <c r="AA36" s="272">
        <v>129140</v>
      </c>
      <c r="AB36" s="272">
        <v>214539</v>
      </c>
      <c r="AC36" s="272">
        <v>3668248</v>
      </c>
      <c r="AD36" s="272">
        <v>3334098</v>
      </c>
      <c r="AE36" s="272">
        <v>334150</v>
      </c>
      <c r="AF36" s="272">
        <v>12582</v>
      </c>
      <c r="AG36" s="272">
        <v>56127</v>
      </c>
      <c r="AH36" s="455">
        <f t="shared" si="3"/>
        <v>269787</v>
      </c>
      <c r="AI36" s="272">
        <v>236123</v>
      </c>
      <c r="AJ36" s="272">
        <v>33664</v>
      </c>
      <c r="AK36" s="272">
        <v>1753605</v>
      </c>
      <c r="AL36" s="455">
        <f t="shared" si="4"/>
        <v>1020475</v>
      </c>
      <c r="AM36" s="272">
        <v>517749</v>
      </c>
      <c r="AN36" s="272">
        <v>496774</v>
      </c>
      <c r="AO36" s="272">
        <v>0</v>
      </c>
      <c r="AP36" s="272">
        <v>5952</v>
      </c>
      <c r="AQ36" s="272">
        <v>386401</v>
      </c>
      <c r="AR36" s="272">
        <v>0</v>
      </c>
      <c r="AS36" s="272">
        <v>0</v>
      </c>
      <c r="AT36" s="272">
        <v>699290</v>
      </c>
      <c r="AU36" s="272">
        <v>366738</v>
      </c>
      <c r="AV36" s="272">
        <v>131434</v>
      </c>
      <c r="AW36" s="272">
        <v>7345</v>
      </c>
      <c r="AX36" s="272">
        <v>332552</v>
      </c>
      <c r="AY36" s="272">
        <v>21109</v>
      </c>
      <c r="AZ36" s="272">
        <v>6737</v>
      </c>
      <c r="BA36" s="272">
        <v>383</v>
      </c>
      <c r="BB36" s="272">
        <v>18111</v>
      </c>
      <c r="BC36" s="272">
        <v>1129730</v>
      </c>
      <c r="BD36" s="272">
        <v>522386</v>
      </c>
      <c r="BE36" s="272">
        <v>3418</v>
      </c>
      <c r="BF36" s="272">
        <v>302892</v>
      </c>
      <c r="BG36" s="470">
        <v>300000</v>
      </c>
      <c r="BH36" s="272">
        <v>147384</v>
      </c>
      <c r="BI36" s="272">
        <v>137537</v>
      </c>
      <c r="BJ36" s="272">
        <v>1190031</v>
      </c>
      <c r="BK36" s="272">
        <v>549833</v>
      </c>
      <c r="BL36" s="272">
        <v>0</v>
      </c>
      <c r="BM36" s="272">
        <v>0</v>
      </c>
      <c r="BN36" s="272">
        <v>1537100</v>
      </c>
      <c r="BO36" s="455">
        <f t="shared" si="5"/>
        <v>277500</v>
      </c>
      <c r="BP36" s="455">
        <f t="shared" si="6"/>
        <v>1259600</v>
      </c>
      <c r="BQ36" s="272">
        <v>77700</v>
      </c>
      <c r="BR36" s="272">
        <v>0</v>
      </c>
      <c r="BS36" s="272">
        <v>1181900</v>
      </c>
      <c r="BT36" s="272">
        <v>0</v>
      </c>
      <c r="BU36" s="272">
        <v>17161637</v>
      </c>
      <c r="BV36" s="272"/>
      <c r="BW36" s="272">
        <v>5575604</v>
      </c>
      <c r="BX36" s="272">
        <v>2964871</v>
      </c>
      <c r="BY36" s="272">
        <v>1801384</v>
      </c>
      <c r="BZ36" s="272">
        <v>35726</v>
      </c>
      <c r="CA36" s="272">
        <v>2006194</v>
      </c>
      <c r="CB36" s="272">
        <v>440404</v>
      </c>
      <c r="CC36" s="272">
        <v>143419</v>
      </c>
      <c r="CD36" s="272">
        <v>625925</v>
      </c>
      <c r="CE36" s="272">
        <v>738680</v>
      </c>
      <c r="CF36" s="272">
        <v>3732</v>
      </c>
      <c r="CG36" s="272">
        <v>54034</v>
      </c>
      <c r="CH36" s="272">
        <v>1828376</v>
      </c>
      <c r="CI36" s="272">
        <v>1309054</v>
      </c>
      <c r="CJ36" s="455">
        <f t="shared" si="7"/>
        <v>519322</v>
      </c>
      <c r="CK36" s="272">
        <v>2250321</v>
      </c>
      <c r="CL36" s="272">
        <v>1171826</v>
      </c>
      <c r="CM36" s="272">
        <v>366292</v>
      </c>
      <c r="CN36" s="272">
        <v>422875</v>
      </c>
      <c r="CO36" s="272">
        <v>113565</v>
      </c>
      <c r="CP36" s="272">
        <v>1585829</v>
      </c>
      <c r="CQ36" s="272">
        <v>1085840</v>
      </c>
      <c r="CR36" s="272">
        <v>170489</v>
      </c>
      <c r="CS36" s="272">
        <v>170489</v>
      </c>
      <c r="CT36" s="455">
        <f t="shared" si="8"/>
        <v>139000</v>
      </c>
      <c r="CU36" s="272">
        <v>89640</v>
      </c>
      <c r="CV36" s="272">
        <v>49360</v>
      </c>
      <c r="CW36" s="455">
        <f t="shared" si="9"/>
        <v>131000</v>
      </c>
      <c r="CX36" s="272">
        <v>81640</v>
      </c>
      <c r="CY36" s="272">
        <v>49360</v>
      </c>
      <c r="CZ36" s="455">
        <f t="shared" si="10"/>
        <v>0</v>
      </c>
      <c r="DA36" s="272">
        <v>0</v>
      </c>
      <c r="DB36" s="272">
        <v>0</v>
      </c>
      <c r="DC36" s="272">
        <v>1501705</v>
      </c>
      <c r="DD36" s="272">
        <v>894447</v>
      </c>
      <c r="DE36" s="272">
        <v>604266</v>
      </c>
      <c r="DF36" s="272">
        <v>2992</v>
      </c>
      <c r="DG36" s="272">
        <v>0</v>
      </c>
      <c r="DH36" s="272">
        <v>1691</v>
      </c>
      <c r="DI36" s="272">
        <v>293613</v>
      </c>
      <c r="DJ36" s="272">
        <v>1131</v>
      </c>
      <c r="DK36" s="272">
        <v>1</v>
      </c>
      <c r="DL36" s="272">
        <v>292481</v>
      </c>
      <c r="DM36" s="272">
        <v>0</v>
      </c>
      <c r="DN36" s="272">
        <v>0</v>
      </c>
      <c r="DO36" s="272">
        <v>0</v>
      </c>
      <c r="DP36" s="272">
        <v>0</v>
      </c>
      <c r="DQ36" s="272">
        <v>14100</v>
      </c>
      <c r="DR36" s="272">
        <v>0</v>
      </c>
      <c r="DS36" s="272">
        <v>0</v>
      </c>
      <c r="DT36" s="272">
        <v>1876254</v>
      </c>
      <c r="DU36" s="272">
        <v>899853</v>
      </c>
      <c r="DV36" s="455">
        <f t="shared" si="11"/>
        <v>0</v>
      </c>
      <c r="DW36" s="272">
        <v>0</v>
      </c>
      <c r="DX36" s="272">
        <v>0</v>
      </c>
      <c r="DY36" s="272">
        <v>0</v>
      </c>
      <c r="DZ36" s="272">
        <v>330716</v>
      </c>
      <c r="EA36" s="272">
        <v>280786</v>
      </c>
      <c r="EB36" s="272">
        <v>364898</v>
      </c>
      <c r="EC36" s="272">
        <v>0</v>
      </c>
      <c r="ED36" s="272">
        <v>17047252</v>
      </c>
      <c r="EF36" s="272">
        <v>114385</v>
      </c>
      <c r="EG36" s="272">
        <v>19240</v>
      </c>
      <c r="EH36" s="272">
        <v>95145</v>
      </c>
      <c r="EI36" s="272">
        <v>-42392</v>
      </c>
      <c r="EJ36" s="272">
        <v>-563647</v>
      </c>
      <c r="EL36" s="272"/>
      <c r="EM36" s="272">
        <v>59748</v>
      </c>
      <c r="EN36" s="272">
        <v>846078</v>
      </c>
      <c r="EO36" s="272">
        <v>3527</v>
      </c>
      <c r="EP36" s="455">
        <f t="shared" si="12"/>
        <v>882065</v>
      </c>
      <c r="EQ36" s="272">
        <v>10353735</v>
      </c>
      <c r="ER36" s="272">
        <v>-2978688</v>
      </c>
      <c r="ES36" s="272">
        <v>5044798</v>
      </c>
      <c r="ET36" s="272">
        <v>2451573</v>
      </c>
      <c r="EU36" s="272">
        <v>627573</v>
      </c>
      <c r="EV36" s="272">
        <v>1828376</v>
      </c>
      <c r="EW36" s="455">
        <f t="shared" si="13"/>
        <v>383015</v>
      </c>
      <c r="EX36" s="272">
        <v>383015</v>
      </c>
      <c r="EY36" s="272">
        <v>36448</v>
      </c>
      <c r="EZ36" s="272">
        <v>345071</v>
      </c>
      <c r="FA36" s="272">
        <v>0</v>
      </c>
      <c r="FB36" s="272"/>
      <c r="FC36" s="272">
        <v>1994505</v>
      </c>
      <c r="FD36" s="272">
        <v>1506245</v>
      </c>
      <c r="FE36" s="272">
        <v>1085840</v>
      </c>
      <c r="FF36" s="272">
        <v>1719961</v>
      </c>
      <c r="FG36" s="455">
        <f t="shared" si="14"/>
        <v>113565</v>
      </c>
      <c r="FH36" s="272">
        <v>13218038</v>
      </c>
      <c r="FI36" s="384">
        <f t="shared" si="15"/>
        <v>1</v>
      </c>
      <c r="FJ36" s="272">
        <v>9747816</v>
      </c>
      <c r="FK36" s="272">
        <v>1181998</v>
      </c>
      <c r="FL36" s="272">
        <v>4849998</v>
      </c>
      <c r="FM36" s="272">
        <v>8199680</v>
      </c>
      <c r="FN36" s="460">
        <v>0.59399999999999997</v>
      </c>
      <c r="FO36" s="388">
        <v>95.5</v>
      </c>
      <c r="FP36" s="388">
        <v>30.8</v>
      </c>
      <c r="FQ36" s="388">
        <v>5.7</v>
      </c>
      <c r="FR36" s="388">
        <v>16.7</v>
      </c>
      <c r="FS36" s="388">
        <v>17.399999999999999</v>
      </c>
      <c r="FT36" s="388">
        <v>13.2</v>
      </c>
      <c r="FU36" s="388">
        <v>10.6</v>
      </c>
      <c r="FV36" s="388">
        <v>10.8</v>
      </c>
      <c r="FW36" s="272">
        <v>14574566</v>
      </c>
      <c r="FX36" s="384">
        <f t="shared" si="16"/>
        <v>149.5</v>
      </c>
      <c r="FY36" s="272">
        <v>1675638</v>
      </c>
      <c r="FZ36" s="272">
        <v>899568</v>
      </c>
      <c r="GA36" s="272">
        <v>70</v>
      </c>
      <c r="GB36" s="272">
        <v>776000</v>
      </c>
      <c r="GC36" s="272">
        <v>300000</v>
      </c>
      <c r="GD36" s="272">
        <v>124833</v>
      </c>
      <c r="GE36" s="384">
        <f t="shared" si="17"/>
        <v>1.3</v>
      </c>
      <c r="GF36" s="388">
        <v>97</v>
      </c>
      <c r="GG36" s="388">
        <v>19.7</v>
      </c>
      <c r="GH36" s="388">
        <v>88.2</v>
      </c>
      <c r="GI36" s="272">
        <v>433</v>
      </c>
    </row>
    <row r="37" spans="2:191" x14ac:dyDescent="0.15">
      <c r="B37" s="21" t="s">
        <v>67</v>
      </c>
      <c r="C37" s="272">
        <f>SUM(C6:C36)</f>
        <v>729486422</v>
      </c>
      <c r="D37" s="455">
        <f t="shared" si="0"/>
        <v>240843172</v>
      </c>
      <c r="E37" s="272">
        <f>SUM(E6:E36)</f>
        <v>4694923</v>
      </c>
      <c r="F37" s="272">
        <f>SUM(F6:F36)</f>
        <v>236148249</v>
      </c>
      <c r="G37" s="455">
        <f t="shared" si="1"/>
        <v>49741641</v>
      </c>
      <c r="H37" s="272">
        <f t="shared" ref="H37:R37" si="18">SUM(H6:H36)</f>
        <v>11944534</v>
      </c>
      <c r="I37" s="272">
        <f t="shared" si="18"/>
        <v>37797107</v>
      </c>
      <c r="J37" s="272">
        <f t="shared" si="18"/>
        <v>325910424</v>
      </c>
      <c r="K37" s="272">
        <f t="shared" si="18"/>
        <v>158598562</v>
      </c>
      <c r="L37" s="272">
        <f t="shared" si="18"/>
        <v>117880881</v>
      </c>
      <c r="M37" s="272">
        <f t="shared" si="18"/>
        <v>43742605</v>
      </c>
      <c r="N37" s="272">
        <f t="shared" si="18"/>
        <v>31971221</v>
      </c>
      <c r="O37" s="272">
        <f t="shared" si="18"/>
        <v>69901129</v>
      </c>
      <c r="P37" s="272">
        <f t="shared" si="18"/>
        <v>43993764</v>
      </c>
      <c r="Q37" s="272">
        <f t="shared" si="18"/>
        <v>25907365</v>
      </c>
      <c r="R37" s="272">
        <f t="shared" si="18"/>
        <v>12983171</v>
      </c>
      <c r="S37" s="272"/>
      <c r="T37" s="455">
        <f t="shared" si="2"/>
        <v>64418048</v>
      </c>
      <c r="U37" s="272">
        <f>SUM(U6:U36)</f>
        <v>8190796</v>
      </c>
      <c r="V37" s="272"/>
      <c r="W37" s="272"/>
      <c r="X37" s="272">
        <f t="shared" ref="X37:AG37" si="19">SUM(X6:X36)</f>
        <v>45876499</v>
      </c>
      <c r="Y37" s="272">
        <f t="shared" si="19"/>
        <v>846252</v>
      </c>
      <c r="Z37" s="272">
        <f t="shared" si="19"/>
        <v>377</v>
      </c>
      <c r="AA37" s="272">
        <f t="shared" si="19"/>
        <v>9504124</v>
      </c>
      <c r="AB37" s="272">
        <f t="shared" si="19"/>
        <v>26693703</v>
      </c>
      <c r="AC37" s="272">
        <f t="shared" si="19"/>
        <v>153004548</v>
      </c>
      <c r="AD37" s="272">
        <f t="shared" si="19"/>
        <v>140305848</v>
      </c>
      <c r="AE37" s="272">
        <f t="shared" si="19"/>
        <v>12698700</v>
      </c>
      <c r="AF37" s="272">
        <f t="shared" si="19"/>
        <v>1020338</v>
      </c>
      <c r="AG37" s="272">
        <f t="shared" si="19"/>
        <v>15825204</v>
      </c>
      <c r="AH37" s="455">
        <f t="shared" si="3"/>
        <v>36805724</v>
      </c>
      <c r="AI37" s="272">
        <f>SUM(AI6:AI36)</f>
        <v>29204064</v>
      </c>
      <c r="AJ37" s="272">
        <f>SUM(AJ6:AJ36)</f>
        <v>7601660</v>
      </c>
      <c r="AK37" s="272">
        <f>SUM(AK6:AK36)</f>
        <v>201666224</v>
      </c>
      <c r="AL37" s="455">
        <f t="shared" si="4"/>
        <v>120801424</v>
      </c>
      <c r="AM37" s="272">
        <f t="shared" ref="AM37:BN37" si="20">SUM(AM6:AM36)</f>
        <v>98049844</v>
      </c>
      <c r="AN37" s="272">
        <f t="shared" si="20"/>
        <v>21945584</v>
      </c>
      <c r="AO37" s="272">
        <f t="shared" si="20"/>
        <v>60560</v>
      </c>
      <c r="AP37" s="272">
        <f t="shared" si="20"/>
        <v>745436</v>
      </c>
      <c r="AQ37" s="272">
        <f t="shared" si="20"/>
        <v>17283339</v>
      </c>
      <c r="AR37" s="272">
        <f t="shared" si="20"/>
        <v>8725</v>
      </c>
      <c r="AS37" s="272">
        <f t="shared" si="20"/>
        <v>324481</v>
      </c>
      <c r="AT37" s="272">
        <f t="shared" si="20"/>
        <v>73063546</v>
      </c>
      <c r="AU37" s="272">
        <f t="shared" si="20"/>
        <v>40565163</v>
      </c>
      <c r="AV37" s="272">
        <f t="shared" si="20"/>
        <v>8475402</v>
      </c>
      <c r="AW37" s="272">
        <f t="shared" si="20"/>
        <v>2044995</v>
      </c>
      <c r="AX37" s="272">
        <f t="shared" si="20"/>
        <v>32498383</v>
      </c>
      <c r="AY37" s="272">
        <f t="shared" si="20"/>
        <v>3208293</v>
      </c>
      <c r="AZ37" s="272">
        <f t="shared" si="20"/>
        <v>6824536</v>
      </c>
      <c r="BA37" s="272">
        <f t="shared" si="20"/>
        <v>5880269</v>
      </c>
      <c r="BB37" s="272">
        <f t="shared" si="20"/>
        <v>2037060</v>
      </c>
      <c r="BC37" s="272">
        <f t="shared" si="20"/>
        <v>38219206</v>
      </c>
      <c r="BD37" s="272">
        <f t="shared" si="20"/>
        <v>7992440</v>
      </c>
      <c r="BE37" s="272">
        <f t="shared" si="20"/>
        <v>2735958</v>
      </c>
      <c r="BF37" s="272">
        <f t="shared" si="20"/>
        <v>17810985</v>
      </c>
      <c r="BG37" s="272">
        <f t="shared" si="20"/>
        <v>7171983</v>
      </c>
      <c r="BH37" s="272">
        <f t="shared" si="20"/>
        <v>8778937</v>
      </c>
      <c r="BI37" s="272">
        <f t="shared" si="20"/>
        <v>4261401</v>
      </c>
      <c r="BJ37" s="272">
        <f t="shared" si="20"/>
        <v>46681575</v>
      </c>
      <c r="BK37" s="272">
        <f t="shared" si="20"/>
        <v>30318128</v>
      </c>
      <c r="BL37" s="272">
        <f t="shared" si="20"/>
        <v>521008</v>
      </c>
      <c r="BM37" s="272">
        <f t="shared" si="20"/>
        <v>2345091</v>
      </c>
      <c r="BN37" s="272">
        <f t="shared" si="20"/>
        <v>159560530</v>
      </c>
      <c r="BO37" s="455">
        <f t="shared" si="5"/>
        <v>59271030</v>
      </c>
      <c r="BP37" s="455">
        <f t="shared" si="6"/>
        <v>99798500</v>
      </c>
      <c r="BQ37" s="272">
        <f>SUM(BQ6:BQ36)</f>
        <v>9542100</v>
      </c>
      <c r="BR37" s="272">
        <f>SUM(BR6:BR36)</f>
        <v>0</v>
      </c>
      <c r="BS37" s="272">
        <f>SUM(BS6:BS36)</f>
        <v>90256400</v>
      </c>
      <c r="BT37" s="272">
        <f>SUM(BT6:BT36)</f>
        <v>491000</v>
      </c>
      <c r="BU37" s="272">
        <f>SUM(BU6:BU36)</f>
        <v>1577393253</v>
      </c>
      <c r="BV37" s="272"/>
      <c r="BW37" s="272">
        <f t="shared" ref="BW37:CI37" si="21">SUM(BW6:BW36)</f>
        <v>409679427</v>
      </c>
      <c r="BX37" s="272">
        <f t="shared" si="21"/>
        <v>279843524</v>
      </c>
      <c r="BY37" s="272">
        <f t="shared" si="21"/>
        <v>49163604</v>
      </c>
      <c r="BZ37" s="272">
        <f t="shared" si="21"/>
        <v>15826685</v>
      </c>
      <c r="CA37" s="272">
        <f t="shared" si="21"/>
        <v>290878069</v>
      </c>
      <c r="CB37" s="272">
        <f t="shared" si="21"/>
        <v>41223285</v>
      </c>
      <c r="CC37" s="272">
        <f t="shared" si="21"/>
        <v>15443608</v>
      </c>
      <c r="CD37" s="272">
        <f t="shared" si="21"/>
        <v>88712854</v>
      </c>
      <c r="CE37" s="272">
        <f t="shared" si="21"/>
        <v>133227954</v>
      </c>
      <c r="CF37" s="272">
        <f t="shared" si="21"/>
        <v>6630388</v>
      </c>
      <c r="CG37" s="272">
        <f t="shared" si="21"/>
        <v>5626825</v>
      </c>
      <c r="CH37" s="272">
        <f t="shared" si="21"/>
        <v>164080393</v>
      </c>
      <c r="CI37" s="272">
        <f t="shared" si="21"/>
        <v>122404141</v>
      </c>
      <c r="CJ37" s="455">
        <f t="shared" si="7"/>
        <v>41676252</v>
      </c>
      <c r="CK37" s="272">
        <f t="shared" ref="CK37:CS37" si="22">SUM(CK6:CK36)</f>
        <v>179819040</v>
      </c>
      <c r="CL37" s="272">
        <f t="shared" si="22"/>
        <v>102506894</v>
      </c>
      <c r="CM37" s="272">
        <f t="shared" si="22"/>
        <v>11487682</v>
      </c>
      <c r="CN37" s="272">
        <f t="shared" si="22"/>
        <v>35085920</v>
      </c>
      <c r="CO37" s="272">
        <f t="shared" si="22"/>
        <v>13747833</v>
      </c>
      <c r="CP37" s="272">
        <f t="shared" si="22"/>
        <v>119949480</v>
      </c>
      <c r="CQ37" s="272">
        <f t="shared" si="22"/>
        <v>41457413</v>
      </c>
      <c r="CR37" s="272">
        <f t="shared" si="22"/>
        <v>36968952</v>
      </c>
      <c r="CS37" s="272">
        <f t="shared" si="22"/>
        <v>27002915</v>
      </c>
      <c r="CT37" s="455">
        <f t="shared" si="8"/>
        <v>16922503</v>
      </c>
      <c r="CU37" s="272">
        <f>SUM(CU6:CU36)</f>
        <v>11495854</v>
      </c>
      <c r="CV37" s="272">
        <f>SUM(CV6:CV36)</f>
        <v>5426649</v>
      </c>
      <c r="CW37" s="455">
        <f t="shared" si="9"/>
        <v>13487385</v>
      </c>
      <c r="CX37" s="272">
        <f>SUM(CX6:CX36)</f>
        <v>10267143</v>
      </c>
      <c r="CY37" s="272">
        <f>SUM(CY6:CY36)</f>
        <v>3220242</v>
      </c>
      <c r="CZ37" s="455">
        <f t="shared" si="10"/>
        <v>861229</v>
      </c>
      <c r="DA37" s="272">
        <f t="shared" ref="DA37:DU37" si="23">SUM(DA6:DA36)</f>
        <v>512828</v>
      </c>
      <c r="DB37" s="272">
        <f t="shared" si="23"/>
        <v>348401</v>
      </c>
      <c r="DC37" s="272">
        <f t="shared" si="23"/>
        <v>143385266</v>
      </c>
      <c r="DD37" s="272">
        <f t="shared" si="23"/>
        <v>38589538</v>
      </c>
      <c r="DE37" s="272">
        <f t="shared" si="23"/>
        <v>99020664</v>
      </c>
      <c r="DF37" s="272">
        <f t="shared" si="23"/>
        <v>1706605</v>
      </c>
      <c r="DG37" s="272">
        <f t="shared" si="23"/>
        <v>4068459</v>
      </c>
      <c r="DH37" s="272">
        <f t="shared" si="23"/>
        <v>147562</v>
      </c>
      <c r="DI37" s="272">
        <f t="shared" si="23"/>
        <v>16102386</v>
      </c>
      <c r="DJ37" s="272">
        <f t="shared" si="23"/>
        <v>3404508</v>
      </c>
      <c r="DK37" s="272">
        <f t="shared" si="23"/>
        <v>1109613</v>
      </c>
      <c r="DL37" s="272">
        <f t="shared" si="23"/>
        <v>11588265</v>
      </c>
      <c r="DM37" s="272">
        <f t="shared" si="23"/>
        <v>5747594</v>
      </c>
      <c r="DN37" s="272">
        <f t="shared" si="23"/>
        <v>5102746</v>
      </c>
      <c r="DO37" s="272">
        <f t="shared" si="23"/>
        <v>177669</v>
      </c>
      <c r="DP37" s="272">
        <f t="shared" si="23"/>
        <v>4925077</v>
      </c>
      <c r="DQ37" s="272">
        <f t="shared" si="23"/>
        <v>31320589</v>
      </c>
      <c r="DR37" s="272">
        <f t="shared" si="23"/>
        <v>640000</v>
      </c>
      <c r="DS37" s="272">
        <f t="shared" si="23"/>
        <v>200000</v>
      </c>
      <c r="DT37" s="272">
        <f t="shared" si="23"/>
        <v>194052680</v>
      </c>
      <c r="DU37" s="272">
        <f t="shared" si="23"/>
        <v>90161537</v>
      </c>
      <c r="DV37" s="455">
        <f t="shared" si="11"/>
        <v>420093</v>
      </c>
      <c r="DW37" s="272">
        <f t="shared" ref="DW37:ED37" si="24">SUM(DW6:DW36)</f>
        <v>420093</v>
      </c>
      <c r="DX37" s="272">
        <f t="shared" si="24"/>
        <v>0</v>
      </c>
      <c r="DY37" s="272">
        <f t="shared" si="24"/>
        <v>1601186</v>
      </c>
      <c r="DZ37" s="272">
        <f t="shared" si="24"/>
        <v>48137856</v>
      </c>
      <c r="EA37" s="272">
        <f t="shared" si="24"/>
        <v>21371791</v>
      </c>
      <c r="EB37" s="272">
        <f t="shared" si="24"/>
        <v>28061489</v>
      </c>
      <c r="EC37" s="272">
        <f t="shared" si="24"/>
        <v>12340751</v>
      </c>
      <c r="ED37" s="272">
        <f t="shared" si="24"/>
        <v>1581251070</v>
      </c>
      <c r="EE37" s="89"/>
      <c r="EF37" s="272">
        <f>SUM(EF6:EF36)</f>
        <v>-3857817</v>
      </c>
      <c r="EG37" s="272">
        <f>SUM(EG6:EG36)</f>
        <v>4223377</v>
      </c>
      <c r="EH37" s="272">
        <f>SUM(EH6:EH36)</f>
        <v>-8081194</v>
      </c>
      <c r="EI37" s="272">
        <f>SUM(EI6:EI36)</f>
        <v>-220092</v>
      </c>
      <c r="EJ37" s="272">
        <f>SUM(EJ6:EJ36)</f>
        <v>-4437133</v>
      </c>
      <c r="EK37" s="89"/>
      <c r="EL37" s="272"/>
      <c r="EM37" s="272">
        <f>SUM(EM6:EM36)</f>
        <v>5134770</v>
      </c>
      <c r="EN37" s="272">
        <f>SUM(EN6:EN36)</f>
        <v>21385325</v>
      </c>
      <c r="EO37" s="272">
        <f>SUM(EO6:EO36)</f>
        <v>5067679</v>
      </c>
      <c r="EP37" s="455">
        <f t="shared" si="12"/>
        <v>26957671</v>
      </c>
      <c r="EQ37" s="272">
        <f t="shared" ref="EQ37:EV37" si="25">SUM(EQ6:EQ36)</f>
        <v>987930711</v>
      </c>
      <c r="ER37" s="272">
        <f t="shared" si="25"/>
        <v>-151864356</v>
      </c>
      <c r="ES37" s="272">
        <f t="shared" si="25"/>
        <v>375201135</v>
      </c>
      <c r="ET37" s="272">
        <f t="shared" si="25"/>
        <v>249484182</v>
      </c>
      <c r="EU37" s="272">
        <f t="shared" si="25"/>
        <v>92312654</v>
      </c>
      <c r="EV37" s="272">
        <f t="shared" si="25"/>
        <v>161083387</v>
      </c>
      <c r="EW37" s="455">
        <f t="shared" si="13"/>
        <v>46388532</v>
      </c>
      <c r="EX37" s="272">
        <f>SUM(EX6:EX36)</f>
        <v>46295988</v>
      </c>
      <c r="EY37" s="272">
        <f>SUM(EY6:EY36)</f>
        <v>5570799</v>
      </c>
      <c r="EZ37" s="272">
        <f>SUM(EZ6:EZ36)</f>
        <v>40369409</v>
      </c>
      <c r="FA37" s="272">
        <f>SUM(FA6:FA36)</f>
        <v>92544</v>
      </c>
      <c r="FB37" s="272"/>
      <c r="FC37" s="272">
        <f>SUM(FC6:FC36)</f>
        <v>143348772</v>
      </c>
      <c r="FD37" s="272">
        <f>SUM(FD6:FD36)</f>
        <v>109273840</v>
      </c>
      <c r="FE37" s="272">
        <f>SUM(FE6:FE36)</f>
        <v>41336413</v>
      </c>
      <c r="FF37" s="272">
        <f>SUM(FF6:FF36)</f>
        <v>174967777</v>
      </c>
      <c r="FG37" s="455">
        <f t="shared" si="14"/>
        <v>41158513</v>
      </c>
      <c r="FH37" s="272">
        <f>SUM(FH6:FH36)</f>
        <v>1143734610</v>
      </c>
      <c r="FI37" s="384">
        <f t="shared" si="15"/>
        <v>-0.9</v>
      </c>
      <c r="FJ37" s="272">
        <f>SUM(FJ6:FJ36)</f>
        <v>905635720</v>
      </c>
      <c r="FK37" s="272">
        <f>SUM(FK6:FK36)</f>
        <v>92067968</v>
      </c>
      <c r="FL37" s="272">
        <f>SUM(FL6:FL36)</f>
        <v>577534232</v>
      </c>
      <c r="FM37" s="272">
        <f>SUM(FM6:FM36)</f>
        <v>714273296</v>
      </c>
      <c r="FN37" s="468">
        <v>0.81100000000000005</v>
      </c>
      <c r="FO37" s="469">
        <v>96.6</v>
      </c>
      <c r="FP37" s="469">
        <v>34.200000000000003</v>
      </c>
      <c r="FQ37" s="469">
        <v>9.5</v>
      </c>
      <c r="FR37" s="469">
        <v>16.100000000000001</v>
      </c>
      <c r="FS37" s="469">
        <v>13.4</v>
      </c>
      <c r="FT37" s="469">
        <v>10.4</v>
      </c>
      <c r="FU37" s="469">
        <v>11.8</v>
      </c>
      <c r="FV37" s="469">
        <v>10.4</v>
      </c>
      <c r="FW37" s="272">
        <f>SUM(FW6:FW36)</f>
        <v>1561078764</v>
      </c>
      <c r="FX37" s="384">
        <f t="shared" si="16"/>
        <v>172.4</v>
      </c>
      <c r="FY37" s="272">
        <f t="shared" ref="FY37:GD37" si="26">SUM(FY6:FY36)</f>
        <v>252265796</v>
      </c>
      <c r="FZ37" s="272">
        <f t="shared" si="26"/>
        <v>73113525</v>
      </c>
      <c r="GA37" s="272">
        <f t="shared" si="26"/>
        <v>21225605</v>
      </c>
      <c r="GB37" s="272">
        <f t="shared" si="26"/>
        <v>157926666</v>
      </c>
      <c r="GC37" s="272">
        <f t="shared" si="26"/>
        <v>11636819</v>
      </c>
      <c r="GD37" s="272">
        <f t="shared" si="26"/>
        <v>287332603</v>
      </c>
      <c r="GE37" s="384">
        <f t="shared" si="17"/>
        <v>31.7</v>
      </c>
      <c r="GF37" s="469">
        <v>97.7</v>
      </c>
      <c r="GG37" s="469">
        <v>21.2</v>
      </c>
      <c r="GH37" s="469">
        <v>91.3</v>
      </c>
      <c r="GI37" s="272">
        <f>SUM(GI6:GI36)</f>
        <v>37383</v>
      </c>
    </row>
    <row r="38" spans="2:191" x14ac:dyDescent="0.15">
      <c r="B38" s="89" t="s">
        <v>69</v>
      </c>
      <c r="C38" s="272">
        <v>4577576</v>
      </c>
      <c r="D38" s="455">
        <f t="shared" si="0"/>
        <v>1447649</v>
      </c>
      <c r="E38" s="272">
        <v>22259</v>
      </c>
      <c r="F38" s="272">
        <v>1425390</v>
      </c>
      <c r="G38" s="455">
        <f t="shared" si="1"/>
        <v>659843</v>
      </c>
      <c r="H38" s="272">
        <v>56722</v>
      </c>
      <c r="I38" s="272">
        <v>603121</v>
      </c>
      <c r="J38" s="272">
        <v>2000242</v>
      </c>
      <c r="K38" s="272">
        <v>795631</v>
      </c>
      <c r="L38" s="272">
        <v>739776</v>
      </c>
      <c r="M38" s="272">
        <v>437798</v>
      </c>
      <c r="N38" s="272">
        <v>103659</v>
      </c>
      <c r="O38" s="272">
        <v>349608</v>
      </c>
      <c r="P38" s="272">
        <v>198339</v>
      </c>
      <c r="Q38" s="272">
        <v>151269</v>
      </c>
      <c r="R38" s="272">
        <v>70021</v>
      </c>
      <c r="S38" s="272"/>
      <c r="T38" s="455">
        <f t="shared" si="2"/>
        <v>406454</v>
      </c>
      <c r="U38" s="272">
        <v>50398</v>
      </c>
      <c r="V38" s="272"/>
      <c r="W38" s="272"/>
      <c r="X38" s="272">
        <v>233919</v>
      </c>
      <c r="Y38" s="272">
        <v>60452</v>
      </c>
      <c r="Z38" s="272">
        <v>0</v>
      </c>
      <c r="AA38" s="272">
        <v>61685</v>
      </c>
      <c r="AB38" s="272">
        <v>201597</v>
      </c>
      <c r="AC38" s="272">
        <v>1477077</v>
      </c>
      <c r="AD38" s="272">
        <v>1222345</v>
      </c>
      <c r="AE38" s="272">
        <v>254732</v>
      </c>
      <c r="AF38" s="272">
        <v>4439</v>
      </c>
      <c r="AG38" s="272">
        <v>44651</v>
      </c>
      <c r="AH38" s="455">
        <f t="shared" si="3"/>
        <v>209920</v>
      </c>
      <c r="AI38" s="272">
        <v>171232</v>
      </c>
      <c r="AJ38" s="272">
        <v>38688</v>
      </c>
      <c r="AK38" s="272">
        <v>1652411</v>
      </c>
      <c r="AL38" s="455">
        <f t="shared" si="4"/>
        <v>156138</v>
      </c>
      <c r="AM38" s="272">
        <v>80904</v>
      </c>
      <c r="AN38" s="272">
        <v>72934</v>
      </c>
      <c r="AO38" s="272">
        <v>0</v>
      </c>
      <c r="AP38" s="272">
        <v>2300</v>
      </c>
      <c r="AQ38" s="272">
        <v>1211604</v>
      </c>
      <c r="AR38" s="272">
        <v>0</v>
      </c>
      <c r="AS38" s="272">
        <v>0</v>
      </c>
      <c r="AT38" s="272">
        <v>352597</v>
      </c>
      <c r="AU38" s="272">
        <v>190370</v>
      </c>
      <c r="AV38" s="272">
        <v>36468</v>
      </c>
      <c r="AW38" s="272">
        <v>0</v>
      </c>
      <c r="AX38" s="272">
        <v>162227</v>
      </c>
      <c r="AY38" s="272">
        <v>22566</v>
      </c>
      <c r="AZ38" s="272">
        <v>4070</v>
      </c>
      <c r="BA38" s="272">
        <v>0</v>
      </c>
      <c r="BB38" s="272">
        <v>507</v>
      </c>
      <c r="BC38" s="272">
        <v>372813</v>
      </c>
      <c r="BD38" s="272">
        <v>0</v>
      </c>
      <c r="BE38" s="272">
        <v>23300</v>
      </c>
      <c r="BF38" s="272">
        <v>340000</v>
      </c>
      <c r="BG38" s="272">
        <v>0</v>
      </c>
      <c r="BH38" s="272">
        <v>57697</v>
      </c>
      <c r="BI38" s="272">
        <v>50903</v>
      </c>
      <c r="BJ38" s="272">
        <v>113661</v>
      </c>
      <c r="BK38" s="272">
        <v>56562</v>
      </c>
      <c r="BL38" s="272">
        <v>0</v>
      </c>
      <c r="BM38" s="272">
        <v>0</v>
      </c>
      <c r="BN38" s="272">
        <v>1848400</v>
      </c>
      <c r="BO38" s="455">
        <f t="shared" si="5"/>
        <v>1041100</v>
      </c>
      <c r="BP38" s="455">
        <f t="shared" si="6"/>
        <v>807300</v>
      </c>
      <c r="BQ38" s="272">
        <v>89700</v>
      </c>
      <c r="BR38" s="272">
        <v>0</v>
      </c>
      <c r="BS38" s="272">
        <v>717600</v>
      </c>
      <c r="BT38" s="272">
        <v>0</v>
      </c>
      <c r="BU38" s="272">
        <v>11393891</v>
      </c>
      <c r="BV38" s="272"/>
      <c r="BW38" s="272">
        <v>2866993</v>
      </c>
      <c r="BX38" s="272">
        <v>1909408</v>
      </c>
      <c r="BY38" s="272">
        <v>400066</v>
      </c>
      <c r="BZ38" s="272">
        <v>39875</v>
      </c>
      <c r="CA38" s="272">
        <v>943933</v>
      </c>
      <c r="CB38" s="272">
        <v>289147</v>
      </c>
      <c r="CC38" s="272">
        <v>72552</v>
      </c>
      <c r="CD38" s="272">
        <v>454370</v>
      </c>
      <c r="CE38" s="272">
        <v>105278</v>
      </c>
      <c r="CF38" s="272">
        <v>0</v>
      </c>
      <c r="CG38" s="272">
        <v>22586</v>
      </c>
      <c r="CH38" s="272">
        <v>1258067</v>
      </c>
      <c r="CI38" s="272">
        <v>906868</v>
      </c>
      <c r="CJ38" s="455">
        <f t="shared" si="7"/>
        <v>351199</v>
      </c>
      <c r="CK38" s="272">
        <v>1507458</v>
      </c>
      <c r="CL38" s="272">
        <v>774984</v>
      </c>
      <c r="CM38" s="272">
        <v>177603</v>
      </c>
      <c r="CN38" s="272">
        <v>303161</v>
      </c>
      <c r="CO38" s="272">
        <v>80354</v>
      </c>
      <c r="CP38" s="272">
        <v>335206</v>
      </c>
      <c r="CQ38" s="272">
        <v>2349</v>
      </c>
      <c r="CR38" s="272">
        <v>146479</v>
      </c>
      <c r="CS38" s="272">
        <v>124589</v>
      </c>
      <c r="CT38" s="455">
        <f t="shared" si="8"/>
        <v>24680</v>
      </c>
      <c r="CU38" s="272">
        <v>0</v>
      </c>
      <c r="CV38" s="272">
        <v>24680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3067890</v>
      </c>
      <c r="DD38" s="272">
        <v>2514340</v>
      </c>
      <c r="DE38" s="272">
        <v>526435</v>
      </c>
      <c r="DF38" s="272">
        <v>0</v>
      </c>
      <c r="DG38" s="272">
        <v>19994</v>
      </c>
      <c r="DH38" s="272">
        <v>0</v>
      </c>
      <c r="DI38" s="272">
        <v>168043</v>
      </c>
      <c r="DJ38" s="272">
        <v>101612</v>
      </c>
      <c r="DK38" s="272">
        <v>8</v>
      </c>
      <c r="DL38" s="272">
        <v>66423</v>
      </c>
      <c r="DM38" s="272">
        <v>0</v>
      </c>
      <c r="DN38" s="272">
        <v>0</v>
      </c>
      <c r="DO38" s="272">
        <v>0</v>
      </c>
      <c r="DP38" s="272">
        <v>0</v>
      </c>
      <c r="DQ38" s="272">
        <v>56176</v>
      </c>
      <c r="DR38" s="272">
        <v>0</v>
      </c>
      <c r="DS38" s="272">
        <v>0</v>
      </c>
      <c r="DT38" s="272">
        <v>1057375</v>
      </c>
      <c r="DU38" s="272">
        <v>600000</v>
      </c>
      <c r="DV38" s="455">
        <f t="shared" si="11"/>
        <v>0</v>
      </c>
      <c r="DW38" s="272">
        <v>0</v>
      </c>
      <c r="DX38" s="272">
        <v>0</v>
      </c>
      <c r="DY38" s="272">
        <v>0</v>
      </c>
      <c r="DZ38" s="272">
        <v>168552</v>
      </c>
      <c r="EA38" s="272">
        <v>116687</v>
      </c>
      <c r="EB38" s="272">
        <v>172103</v>
      </c>
      <c r="EC38" s="272">
        <v>0</v>
      </c>
      <c r="ED38" s="272">
        <v>11341495</v>
      </c>
      <c r="EE38" s="89"/>
      <c r="EF38" s="272">
        <v>52396</v>
      </c>
      <c r="EG38" s="272">
        <v>0</v>
      </c>
      <c r="EH38" s="272">
        <v>52396</v>
      </c>
      <c r="EI38" s="272">
        <v>1493</v>
      </c>
      <c r="EJ38" s="272">
        <v>103105</v>
      </c>
      <c r="EK38" s="89"/>
      <c r="EL38" s="272"/>
      <c r="EM38" s="272">
        <v>29341</v>
      </c>
      <c r="EN38" s="272">
        <v>132813</v>
      </c>
      <c r="EO38" s="272">
        <v>3116</v>
      </c>
      <c r="EP38" s="455">
        <f t="shared" si="12"/>
        <v>96587</v>
      </c>
      <c r="EQ38" s="272">
        <v>6737164</v>
      </c>
      <c r="ER38" s="272">
        <v>-1035377</v>
      </c>
      <c r="ES38" s="272">
        <v>2658446</v>
      </c>
      <c r="ET38" s="272">
        <v>1711200</v>
      </c>
      <c r="EU38" s="272">
        <v>446513</v>
      </c>
      <c r="EV38" s="272">
        <v>1235686</v>
      </c>
      <c r="EW38" s="455">
        <f t="shared" si="13"/>
        <v>526996</v>
      </c>
      <c r="EX38" s="272">
        <v>526996</v>
      </c>
      <c r="EY38" s="272">
        <v>49632</v>
      </c>
      <c r="EZ38" s="272">
        <v>470243</v>
      </c>
      <c r="FA38" s="272">
        <v>0</v>
      </c>
      <c r="FB38" s="272"/>
      <c r="FC38" s="272">
        <v>1316483</v>
      </c>
      <c r="FD38" s="272">
        <v>304442</v>
      </c>
      <c r="FE38" s="272">
        <v>2349</v>
      </c>
      <c r="FF38" s="272">
        <v>988449</v>
      </c>
      <c r="FG38" s="455">
        <f t="shared" si="14"/>
        <v>243130</v>
      </c>
      <c r="FH38" s="272">
        <v>7720145</v>
      </c>
      <c r="FI38" s="384">
        <f t="shared" si="15"/>
        <v>0.9</v>
      </c>
      <c r="FJ38" s="272">
        <v>6025072</v>
      </c>
      <c r="FK38" s="272">
        <v>717624</v>
      </c>
      <c r="FL38" s="272">
        <v>3620244</v>
      </c>
      <c r="FM38" s="272">
        <v>4851810</v>
      </c>
      <c r="FN38" s="460">
        <v>0.755</v>
      </c>
      <c r="FO38" s="388">
        <v>90.5</v>
      </c>
      <c r="FP38" s="388">
        <v>34.200000000000003</v>
      </c>
      <c r="FQ38" s="388">
        <v>6.4</v>
      </c>
      <c r="FR38" s="388">
        <v>17.7</v>
      </c>
      <c r="FS38" s="388">
        <v>17.3</v>
      </c>
      <c r="FT38" s="388">
        <v>3.5</v>
      </c>
      <c r="FU38" s="388">
        <v>10.4</v>
      </c>
      <c r="FV38" s="388">
        <v>8.6</v>
      </c>
      <c r="FW38" s="272">
        <v>15304857</v>
      </c>
      <c r="FX38" s="384">
        <f t="shared" si="16"/>
        <v>254</v>
      </c>
      <c r="FY38" s="272">
        <v>3649299</v>
      </c>
      <c r="FZ38" s="272">
        <v>1506870</v>
      </c>
      <c r="GA38" s="272">
        <v>90769</v>
      </c>
      <c r="GB38" s="272">
        <v>2051660</v>
      </c>
      <c r="GC38" s="272"/>
      <c r="GD38" s="272"/>
      <c r="GE38" s="384"/>
      <c r="GF38" s="388">
        <v>99.3</v>
      </c>
      <c r="GG38" s="388">
        <v>8</v>
      </c>
      <c r="GH38" s="388">
        <v>91.8</v>
      </c>
      <c r="GI38" s="272">
        <v>264</v>
      </c>
    </row>
    <row r="39" spans="2:191" x14ac:dyDescent="0.15">
      <c r="B39" s="89" t="s">
        <v>71</v>
      </c>
      <c r="C39" s="272">
        <v>2659120</v>
      </c>
      <c r="D39" s="455">
        <f t="shared" si="0"/>
        <v>1586396</v>
      </c>
      <c r="E39" s="272">
        <v>18767</v>
      </c>
      <c r="F39" s="272">
        <v>1567629</v>
      </c>
      <c r="G39" s="455">
        <f t="shared" si="1"/>
        <v>26669</v>
      </c>
      <c r="H39" s="272">
        <v>17096</v>
      </c>
      <c r="I39" s="272">
        <v>9573</v>
      </c>
      <c r="J39" s="272">
        <v>962881</v>
      </c>
      <c r="K39" s="272">
        <v>360063</v>
      </c>
      <c r="L39" s="272">
        <v>473263</v>
      </c>
      <c r="M39" s="272">
        <v>129511</v>
      </c>
      <c r="N39" s="272">
        <v>61359</v>
      </c>
      <c r="O39" s="272">
        <v>0</v>
      </c>
      <c r="P39" s="272">
        <v>0</v>
      </c>
      <c r="Q39" s="272">
        <v>0</v>
      </c>
      <c r="R39" s="272">
        <v>88941</v>
      </c>
      <c r="S39" s="272"/>
      <c r="T39" s="455">
        <f t="shared" si="2"/>
        <v>305384</v>
      </c>
      <c r="U39" s="272">
        <v>52833</v>
      </c>
      <c r="V39" s="272"/>
      <c r="W39" s="272"/>
      <c r="X39" s="272">
        <v>163738</v>
      </c>
      <c r="Y39" s="272">
        <v>10466</v>
      </c>
      <c r="Z39" s="272">
        <v>0</v>
      </c>
      <c r="AA39" s="272">
        <v>78347</v>
      </c>
      <c r="AB39" s="272">
        <v>155946</v>
      </c>
      <c r="AC39" s="272">
        <v>1817019</v>
      </c>
      <c r="AD39" s="272">
        <v>1506094</v>
      </c>
      <c r="AE39" s="272">
        <v>310925</v>
      </c>
      <c r="AF39" s="272">
        <v>5010</v>
      </c>
      <c r="AG39" s="272">
        <v>9540</v>
      </c>
      <c r="AH39" s="455">
        <f t="shared" si="3"/>
        <v>164940</v>
      </c>
      <c r="AI39" s="272">
        <v>148405</v>
      </c>
      <c r="AJ39" s="272">
        <v>16535</v>
      </c>
      <c r="AK39" s="272">
        <v>151634</v>
      </c>
      <c r="AL39" s="455">
        <f t="shared" si="4"/>
        <v>30113</v>
      </c>
      <c r="AM39" s="272">
        <v>0</v>
      </c>
      <c r="AN39" s="272">
        <v>29016</v>
      </c>
      <c r="AO39" s="272">
        <v>0</v>
      </c>
      <c r="AP39" s="272">
        <v>1097</v>
      </c>
      <c r="AQ39" s="272">
        <v>0</v>
      </c>
      <c r="AR39" s="272">
        <v>0</v>
      </c>
      <c r="AS39" s="272">
        <v>0</v>
      </c>
      <c r="AT39" s="272">
        <v>389387</v>
      </c>
      <c r="AU39" s="272">
        <v>231250</v>
      </c>
      <c r="AV39" s="272">
        <v>14508</v>
      </c>
      <c r="AW39" s="272">
        <v>89778</v>
      </c>
      <c r="AX39" s="272">
        <v>158137</v>
      </c>
      <c r="AY39" s="272">
        <v>5373</v>
      </c>
      <c r="AZ39" s="272">
        <v>1611</v>
      </c>
      <c r="BA39" s="272">
        <v>147</v>
      </c>
      <c r="BB39" s="272">
        <v>1118</v>
      </c>
      <c r="BC39" s="272">
        <v>302939</v>
      </c>
      <c r="BD39" s="272">
        <v>62000</v>
      </c>
      <c r="BE39" s="272">
        <v>38936</v>
      </c>
      <c r="BF39" s="272">
        <v>184000</v>
      </c>
      <c r="BG39" s="272">
        <v>0</v>
      </c>
      <c r="BH39" s="272">
        <v>698895</v>
      </c>
      <c r="BI39" s="272">
        <v>175563</v>
      </c>
      <c r="BJ39" s="272">
        <v>178193</v>
      </c>
      <c r="BK39" s="272">
        <v>6326</v>
      </c>
      <c r="BL39" s="272">
        <v>0</v>
      </c>
      <c r="BM39" s="272">
        <v>0</v>
      </c>
      <c r="BN39" s="272">
        <v>683700</v>
      </c>
      <c r="BO39" s="455">
        <f t="shared" si="5"/>
        <v>0</v>
      </c>
      <c r="BP39" s="455">
        <f t="shared" si="6"/>
        <v>683700</v>
      </c>
      <c r="BQ39" s="272">
        <v>52200</v>
      </c>
      <c r="BR39" s="272">
        <v>0</v>
      </c>
      <c r="BS39" s="272">
        <v>631500</v>
      </c>
      <c r="BT39" s="272">
        <v>0</v>
      </c>
      <c r="BU39" s="272">
        <v>7613377</v>
      </c>
      <c r="BV39" s="272"/>
      <c r="BW39" s="272">
        <v>2564895</v>
      </c>
      <c r="BX39" s="272">
        <v>1733720</v>
      </c>
      <c r="BY39" s="272">
        <v>138160</v>
      </c>
      <c r="BZ39" s="272">
        <v>217227</v>
      </c>
      <c r="CA39" s="272">
        <v>202122</v>
      </c>
      <c r="CB39" s="272">
        <v>116168</v>
      </c>
      <c r="CC39" s="272">
        <v>33896</v>
      </c>
      <c r="CD39" s="272">
        <v>47938</v>
      </c>
      <c r="CE39" s="272">
        <v>0</v>
      </c>
      <c r="CF39" s="272">
        <v>0</v>
      </c>
      <c r="CG39" s="272">
        <v>4120</v>
      </c>
      <c r="CH39" s="272">
        <v>750542</v>
      </c>
      <c r="CI39" s="272">
        <v>612139</v>
      </c>
      <c r="CJ39" s="455">
        <f t="shared" si="7"/>
        <v>138403</v>
      </c>
      <c r="CK39" s="272">
        <v>1257503</v>
      </c>
      <c r="CL39" s="272">
        <v>661569</v>
      </c>
      <c r="CM39" s="272">
        <v>58548</v>
      </c>
      <c r="CN39" s="272">
        <v>329756</v>
      </c>
      <c r="CO39" s="272">
        <v>151942</v>
      </c>
      <c r="CP39" s="272">
        <v>602767</v>
      </c>
      <c r="CQ39" s="272">
        <v>355854</v>
      </c>
      <c r="CR39" s="272">
        <v>98517</v>
      </c>
      <c r="CS39" s="272">
        <v>94414</v>
      </c>
      <c r="CT39" s="455">
        <f t="shared" si="8"/>
        <v>57597</v>
      </c>
      <c r="CU39" s="272">
        <v>24637</v>
      </c>
      <c r="CV39" s="272">
        <v>32960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448676</v>
      </c>
      <c r="DD39" s="272">
        <v>125696</v>
      </c>
      <c r="DE39" s="272">
        <v>322980</v>
      </c>
      <c r="DF39" s="272">
        <v>0</v>
      </c>
      <c r="DG39" s="272">
        <v>0</v>
      </c>
      <c r="DH39" s="272">
        <v>5561</v>
      </c>
      <c r="DI39" s="272">
        <v>90735</v>
      </c>
      <c r="DJ39" s="272">
        <v>90200</v>
      </c>
      <c r="DK39" s="272">
        <v>10</v>
      </c>
      <c r="DL39" s="272">
        <v>525</v>
      </c>
      <c r="DM39" s="272">
        <v>0</v>
      </c>
      <c r="DN39" s="272">
        <v>0</v>
      </c>
      <c r="DO39" s="272">
        <v>0</v>
      </c>
      <c r="DP39" s="272">
        <v>0</v>
      </c>
      <c r="DQ39" s="272">
        <v>9020</v>
      </c>
      <c r="DR39" s="272">
        <v>0</v>
      </c>
      <c r="DS39" s="272">
        <v>0</v>
      </c>
      <c r="DT39" s="272">
        <v>786483</v>
      </c>
      <c r="DU39" s="272">
        <v>322418</v>
      </c>
      <c r="DV39" s="455">
        <f t="shared" si="11"/>
        <v>0</v>
      </c>
      <c r="DW39" s="272">
        <v>0</v>
      </c>
      <c r="DX39" s="272">
        <v>0</v>
      </c>
      <c r="DY39" s="272">
        <v>0</v>
      </c>
      <c r="DZ39" s="272">
        <v>113488</v>
      </c>
      <c r="EA39" s="272">
        <v>105031</v>
      </c>
      <c r="EB39" s="272">
        <v>167050</v>
      </c>
      <c r="EC39" s="272">
        <v>0</v>
      </c>
      <c r="ED39" s="272">
        <v>6870246</v>
      </c>
      <c r="EE39" s="89"/>
      <c r="EF39" s="272">
        <v>743131</v>
      </c>
      <c r="EG39" s="272">
        <v>532339</v>
      </c>
      <c r="EH39" s="272">
        <v>210792</v>
      </c>
      <c r="EI39" s="272">
        <v>35229</v>
      </c>
      <c r="EJ39" s="272">
        <v>63429</v>
      </c>
      <c r="EK39" s="89"/>
      <c r="EL39" s="272"/>
      <c r="EM39" s="272">
        <v>25635</v>
      </c>
      <c r="EN39" s="272">
        <v>183939</v>
      </c>
      <c r="EO39" s="272">
        <v>1444</v>
      </c>
      <c r="EP39" s="455">
        <f t="shared" si="12"/>
        <v>781757</v>
      </c>
      <c r="EQ39" s="272">
        <v>5031420</v>
      </c>
      <c r="ER39" s="272">
        <v>-1645830</v>
      </c>
      <c r="ES39" s="272">
        <v>2332591</v>
      </c>
      <c r="ET39" s="272">
        <v>1553399</v>
      </c>
      <c r="EU39" s="272">
        <v>65178</v>
      </c>
      <c r="EV39" s="272">
        <v>742053</v>
      </c>
      <c r="EW39" s="455">
        <f t="shared" si="13"/>
        <v>283970</v>
      </c>
      <c r="EX39" s="272">
        <v>282695</v>
      </c>
      <c r="EY39" s="272">
        <v>26918</v>
      </c>
      <c r="EZ39" s="272">
        <v>255777</v>
      </c>
      <c r="FA39" s="272">
        <v>1275</v>
      </c>
      <c r="FB39" s="272"/>
      <c r="FC39" s="272">
        <v>994468</v>
      </c>
      <c r="FD39" s="272">
        <v>556272</v>
      </c>
      <c r="FE39" s="272">
        <v>352754</v>
      </c>
      <c r="FF39" s="272">
        <v>716513</v>
      </c>
      <c r="FG39" s="455">
        <f t="shared" si="14"/>
        <v>243074</v>
      </c>
      <c r="FH39" s="272">
        <v>5934119</v>
      </c>
      <c r="FI39" s="384">
        <f t="shared" si="15"/>
        <v>4.4000000000000004</v>
      </c>
      <c r="FJ39" s="272">
        <v>4830376</v>
      </c>
      <c r="FK39" s="272">
        <v>631500</v>
      </c>
      <c r="FL39" s="272">
        <v>2516700</v>
      </c>
      <c r="FM39" s="272">
        <v>4030454</v>
      </c>
      <c r="FN39" s="460">
        <v>0.61799999999999999</v>
      </c>
      <c r="FO39" s="388">
        <v>91.4</v>
      </c>
      <c r="FP39" s="388">
        <v>42.7</v>
      </c>
      <c r="FQ39" s="388">
        <v>1.2</v>
      </c>
      <c r="FR39" s="388">
        <v>13.7</v>
      </c>
      <c r="FS39" s="388">
        <v>16.399999999999999</v>
      </c>
      <c r="FT39" s="388">
        <v>6.8</v>
      </c>
      <c r="FU39" s="388">
        <v>7.9</v>
      </c>
      <c r="FV39" s="388">
        <v>5.8</v>
      </c>
      <c r="FW39" s="272">
        <v>5425577</v>
      </c>
      <c r="FX39" s="384">
        <f t="shared" si="16"/>
        <v>112.3</v>
      </c>
      <c r="FY39" s="272">
        <v>2982565</v>
      </c>
      <c r="FZ39" s="272">
        <v>1109077</v>
      </c>
      <c r="GA39" s="272">
        <v>406231</v>
      </c>
      <c r="GB39" s="272">
        <v>1467257</v>
      </c>
      <c r="GC39" s="272"/>
      <c r="GD39" s="272"/>
      <c r="GE39" s="384"/>
      <c r="GF39" s="388">
        <v>99.1</v>
      </c>
      <c r="GG39" s="388">
        <v>19.2</v>
      </c>
      <c r="GH39" s="388">
        <v>94.3</v>
      </c>
      <c r="GI39" s="272">
        <v>260</v>
      </c>
    </row>
    <row r="40" spans="2:191" x14ac:dyDescent="0.15">
      <c r="B40" s="89" t="s">
        <v>73</v>
      </c>
      <c r="C40" s="272">
        <v>1397030</v>
      </c>
      <c r="D40" s="455">
        <f t="shared" si="0"/>
        <v>470536</v>
      </c>
      <c r="E40" s="272">
        <v>8903</v>
      </c>
      <c r="F40" s="272">
        <v>461633</v>
      </c>
      <c r="G40" s="455">
        <f t="shared" si="1"/>
        <v>52250</v>
      </c>
      <c r="H40" s="272">
        <v>17228</v>
      </c>
      <c r="I40" s="272">
        <v>35022</v>
      </c>
      <c r="J40" s="272">
        <v>794996</v>
      </c>
      <c r="K40" s="272">
        <v>180590</v>
      </c>
      <c r="L40" s="272">
        <v>305837</v>
      </c>
      <c r="M40" s="272">
        <v>308368</v>
      </c>
      <c r="N40" s="272">
        <v>52052</v>
      </c>
      <c r="O40" s="272">
        <v>0</v>
      </c>
      <c r="P40" s="272">
        <v>0</v>
      </c>
      <c r="Q40" s="272">
        <v>0</v>
      </c>
      <c r="R40" s="272">
        <v>76814</v>
      </c>
      <c r="S40" s="272"/>
      <c r="T40" s="455">
        <f t="shared" si="2"/>
        <v>228268</v>
      </c>
      <c r="U40" s="272">
        <v>16738</v>
      </c>
      <c r="V40" s="272"/>
      <c r="W40" s="272"/>
      <c r="X40" s="272">
        <v>116261</v>
      </c>
      <c r="Y40" s="272">
        <v>27649</v>
      </c>
      <c r="Z40" s="272">
        <v>0</v>
      </c>
      <c r="AA40" s="272">
        <v>67620</v>
      </c>
      <c r="AB40" s="272">
        <v>49522</v>
      </c>
      <c r="AC40" s="272">
        <v>1518045</v>
      </c>
      <c r="AD40" s="272">
        <v>1223203</v>
      </c>
      <c r="AE40" s="272">
        <v>294842</v>
      </c>
      <c r="AF40" s="272">
        <v>2906</v>
      </c>
      <c r="AG40" s="272">
        <v>6785</v>
      </c>
      <c r="AH40" s="455">
        <f t="shared" si="3"/>
        <v>145659</v>
      </c>
      <c r="AI40" s="272">
        <v>95667</v>
      </c>
      <c r="AJ40" s="272">
        <v>49992</v>
      </c>
      <c r="AK40" s="272">
        <v>145929</v>
      </c>
      <c r="AL40" s="455">
        <f t="shared" si="4"/>
        <v>4115</v>
      </c>
      <c r="AM40" s="272">
        <v>0</v>
      </c>
      <c r="AN40" s="272">
        <v>0</v>
      </c>
      <c r="AO40" s="272">
        <v>0</v>
      </c>
      <c r="AP40" s="272">
        <v>4115</v>
      </c>
      <c r="AQ40" s="272">
        <v>0</v>
      </c>
      <c r="AR40" s="272">
        <v>0</v>
      </c>
      <c r="AS40" s="272">
        <v>0</v>
      </c>
      <c r="AT40" s="272">
        <v>318754</v>
      </c>
      <c r="AU40" s="272">
        <v>181626</v>
      </c>
      <c r="AV40" s="272">
        <v>0</v>
      </c>
      <c r="AW40" s="272">
        <v>0</v>
      </c>
      <c r="AX40" s="272">
        <v>137128</v>
      </c>
      <c r="AY40" s="272">
        <v>44090</v>
      </c>
      <c r="AZ40" s="272">
        <v>800</v>
      </c>
      <c r="BA40" s="272">
        <v>0</v>
      </c>
      <c r="BB40" s="272">
        <v>11210</v>
      </c>
      <c r="BC40" s="272">
        <v>116057</v>
      </c>
      <c r="BD40" s="272">
        <v>0</v>
      </c>
      <c r="BE40" s="272">
        <v>0</v>
      </c>
      <c r="BF40" s="272">
        <v>87700</v>
      </c>
      <c r="BG40" s="272">
        <v>0</v>
      </c>
      <c r="BH40" s="272">
        <v>353519</v>
      </c>
      <c r="BI40" s="272">
        <v>122777</v>
      </c>
      <c r="BJ40" s="272">
        <v>95537</v>
      </c>
      <c r="BK40" s="272">
        <v>11345</v>
      </c>
      <c r="BL40" s="272">
        <v>0</v>
      </c>
      <c r="BM40" s="272">
        <v>0</v>
      </c>
      <c r="BN40" s="272">
        <v>713300</v>
      </c>
      <c r="BO40" s="455">
        <f t="shared" si="5"/>
        <v>273000</v>
      </c>
      <c r="BP40" s="455">
        <f t="shared" si="6"/>
        <v>440300</v>
      </c>
      <c r="BQ40" s="272">
        <v>17400</v>
      </c>
      <c r="BR40" s="272">
        <v>0</v>
      </c>
      <c r="BS40" s="272">
        <v>422900</v>
      </c>
      <c r="BT40" s="272">
        <v>0</v>
      </c>
      <c r="BU40" s="272">
        <v>5180135</v>
      </c>
      <c r="BV40" s="272"/>
      <c r="BW40" s="272">
        <v>1484888</v>
      </c>
      <c r="BX40" s="272">
        <v>824498</v>
      </c>
      <c r="BY40" s="272">
        <v>250201</v>
      </c>
      <c r="BZ40" s="272">
        <v>104713</v>
      </c>
      <c r="CA40" s="272">
        <v>205846</v>
      </c>
      <c r="CB40" s="272">
        <v>92682</v>
      </c>
      <c r="CC40" s="272">
        <v>27237</v>
      </c>
      <c r="CD40" s="272">
        <v>67242</v>
      </c>
      <c r="CE40" s="272">
        <v>0</v>
      </c>
      <c r="CF40" s="272">
        <v>5392</v>
      </c>
      <c r="CG40" s="272">
        <v>13293</v>
      </c>
      <c r="CH40" s="272">
        <v>424260</v>
      </c>
      <c r="CI40" s="272">
        <v>344427</v>
      </c>
      <c r="CJ40" s="455">
        <f t="shared" si="7"/>
        <v>79833</v>
      </c>
      <c r="CK40" s="272">
        <v>874939</v>
      </c>
      <c r="CL40" s="272">
        <v>527517</v>
      </c>
      <c r="CM40" s="272">
        <v>9988</v>
      </c>
      <c r="CN40" s="272">
        <v>184610</v>
      </c>
      <c r="CO40" s="272">
        <v>45173</v>
      </c>
      <c r="CP40" s="272">
        <v>475485</v>
      </c>
      <c r="CQ40" s="272">
        <v>190335</v>
      </c>
      <c r="CR40" s="272">
        <v>162584</v>
      </c>
      <c r="CS40" s="272">
        <v>160494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534254</v>
      </c>
      <c r="DD40" s="272">
        <v>0</v>
      </c>
      <c r="DE40" s="272">
        <v>501310</v>
      </c>
      <c r="DF40" s="272">
        <v>21125</v>
      </c>
      <c r="DG40" s="272">
        <v>11819</v>
      </c>
      <c r="DH40" s="272">
        <v>0</v>
      </c>
      <c r="DI40" s="272">
        <v>325353</v>
      </c>
      <c r="DJ40" s="272">
        <v>120225</v>
      </c>
      <c r="DK40" s="272">
        <v>0</v>
      </c>
      <c r="DL40" s="272">
        <v>205128</v>
      </c>
      <c r="DM40" s="272">
        <v>0</v>
      </c>
      <c r="DN40" s="272">
        <v>0</v>
      </c>
      <c r="DO40" s="272">
        <v>0</v>
      </c>
      <c r="DP40" s="272">
        <v>0</v>
      </c>
      <c r="DQ40" s="272">
        <v>11200</v>
      </c>
      <c r="DR40" s="272">
        <v>0</v>
      </c>
      <c r="DS40" s="272">
        <v>0</v>
      </c>
      <c r="DT40" s="272">
        <v>472475</v>
      </c>
      <c r="DU40" s="272">
        <v>121844</v>
      </c>
      <c r="DV40" s="455">
        <f t="shared" si="11"/>
        <v>0</v>
      </c>
      <c r="DW40" s="272">
        <v>0</v>
      </c>
      <c r="DX40" s="272">
        <v>0</v>
      </c>
      <c r="DY40" s="272">
        <v>0</v>
      </c>
      <c r="DZ40" s="272">
        <v>83344</v>
      </c>
      <c r="EA40" s="272">
        <v>101921</v>
      </c>
      <c r="EB40" s="272">
        <v>96059</v>
      </c>
      <c r="EC40" s="272">
        <v>0</v>
      </c>
      <c r="ED40" s="272">
        <v>4853873</v>
      </c>
      <c r="EE40" s="89"/>
      <c r="EF40" s="272">
        <v>326262</v>
      </c>
      <c r="EG40" s="272">
        <v>180622</v>
      </c>
      <c r="EH40" s="272">
        <v>145640</v>
      </c>
      <c r="EI40" s="272">
        <v>22863</v>
      </c>
      <c r="EJ40" s="272">
        <v>143088</v>
      </c>
      <c r="EK40" s="89"/>
      <c r="EL40" s="272"/>
      <c r="EM40" s="272">
        <v>13864</v>
      </c>
      <c r="EN40" s="272">
        <v>108357</v>
      </c>
      <c r="EO40" s="272">
        <v>68</v>
      </c>
      <c r="EP40" s="455">
        <f t="shared" si="12"/>
        <v>386602</v>
      </c>
      <c r="EQ40" s="272">
        <v>3272585</v>
      </c>
      <c r="ER40" s="272">
        <v>-932421</v>
      </c>
      <c r="ES40" s="272">
        <v>1362485</v>
      </c>
      <c r="ET40" s="272">
        <v>709136</v>
      </c>
      <c r="EU40" s="272">
        <v>72393</v>
      </c>
      <c r="EV40" s="272">
        <v>412686</v>
      </c>
      <c r="EW40" s="455">
        <f t="shared" si="13"/>
        <v>183031</v>
      </c>
      <c r="EX40" s="272">
        <v>183031</v>
      </c>
      <c r="EY40" s="272">
        <v>0</v>
      </c>
      <c r="EZ40" s="272">
        <v>163150</v>
      </c>
      <c r="FA40" s="272">
        <v>0</v>
      </c>
      <c r="FB40" s="272"/>
      <c r="FC40" s="272">
        <v>705223</v>
      </c>
      <c r="FD40" s="272">
        <v>366341</v>
      </c>
      <c r="FE40" s="272">
        <v>188635</v>
      </c>
      <c r="FF40" s="272">
        <v>412777</v>
      </c>
      <c r="FG40" s="455">
        <f t="shared" si="14"/>
        <v>363808</v>
      </c>
      <c r="FH40" s="272">
        <v>3878744</v>
      </c>
      <c r="FI40" s="384">
        <f t="shared" si="15"/>
        <v>4.8</v>
      </c>
      <c r="FJ40" s="272">
        <v>3009560</v>
      </c>
      <c r="FK40" s="272">
        <v>422973</v>
      </c>
      <c r="FL40" s="272">
        <v>1358861</v>
      </c>
      <c r="FM40" s="272">
        <v>2579331</v>
      </c>
      <c r="FN40" s="460">
        <v>0.48699999999999999</v>
      </c>
      <c r="FO40" s="388">
        <v>87.3</v>
      </c>
      <c r="FP40" s="388">
        <v>38</v>
      </c>
      <c r="FQ40" s="388">
        <v>2.1</v>
      </c>
      <c r="FR40" s="388">
        <v>12</v>
      </c>
      <c r="FS40" s="388">
        <v>17.3</v>
      </c>
      <c r="FT40" s="388">
        <v>7.6</v>
      </c>
      <c r="FU40" s="388">
        <v>8.9</v>
      </c>
      <c r="FV40" s="388">
        <v>4.5999999999999996</v>
      </c>
      <c r="FW40" s="272">
        <v>4309215</v>
      </c>
      <c r="FX40" s="384">
        <f t="shared" si="16"/>
        <v>143.19999999999999</v>
      </c>
      <c r="FY40" s="272">
        <v>1994747</v>
      </c>
      <c r="FZ40" s="272">
        <v>1088013</v>
      </c>
      <c r="GA40" s="272"/>
      <c r="GB40" s="272">
        <v>906734</v>
      </c>
      <c r="GC40" s="272"/>
      <c r="GD40" s="272"/>
      <c r="GE40" s="384"/>
      <c r="GF40" s="388">
        <v>95.1</v>
      </c>
      <c r="GG40" s="388">
        <v>10.7</v>
      </c>
      <c r="GH40" s="388">
        <v>84</v>
      </c>
      <c r="GI40" s="272">
        <v>137</v>
      </c>
    </row>
    <row r="41" spans="2:191" x14ac:dyDescent="0.15">
      <c r="B41" s="89" t="s">
        <v>75</v>
      </c>
      <c r="C41" s="272">
        <v>2304021</v>
      </c>
      <c r="D41" s="455">
        <f t="shared" si="0"/>
        <v>521007</v>
      </c>
      <c r="E41" s="272">
        <v>11493</v>
      </c>
      <c r="F41" s="272">
        <v>509514</v>
      </c>
      <c r="G41" s="455">
        <f t="shared" si="1"/>
        <v>129579</v>
      </c>
      <c r="H41" s="272">
        <v>42425</v>
      </c>
      <c r="I41" s="272">
        <v>87154</v>
      </c>
      <c r="J41" s="272">
        <v>1262255</v>
      </c>
      <c r="K41" s="272">
        <v>714243</v>
      </c>
      <c r="L41" s="272">
        <v>380748</v>
      </c>
      <c r="M41" s="272">
        <v>148405</v>
      </c>
      <c r="N41" s="272">
        <v>98121</v>
      </c>
      <c r="O41" s="272">
        <v>273126</v>
      </c>
      <c r="P41" s="272">
        <v>186212</v>
      </c>
      <c r="Q41" s="272">
        <v>86914</v>
      </c>
      <c r="R41" s="272">
        <v>43780</v>
      </c>
      <c r="S41" s="272"/>
      <c r="T41" s="455">
        <f t="shared" si="2"/>
        <v>230063</v>
      </c>
      <c r="U41" s="272">
        <v>20094</v>
      </c>
      <c r="V41" s="272"/>
      <c r="W41" s="272"/>
      <c r="X41" s="272">
        <v>171402</v>
      </c>
      <c r="Y41" s="272">
        <v>0</v>
      </c>
      <c r="Z41" s="272">
        <v>0</v>
      </c>
      <c r="AA41" s="272">
        <v>38567</v>
      </c>
      <c r="AB41" s="272">
        <v>57531</v>
      </c>
      <c r="AC41" s="272">
        <v>1872848</v>
      </c>
      <c r="AD41" s="272">
        <v>1545533</v>
      </c>
      <c r="AE41" s="272">
        <v>327315</v>
      </c>
      <c r="AF41" s="272">
        <v>3978</v>
      </c>
      <c r="AG41" s="272">
        <v>3903</v>
      </c>
      <c r="AH41" s="455">
        <f t="shared" si="3"/>
        <v>167386</v>
      </c>
      <c r="AI41" s="272">
        <v>150742</v>
      </c>
      <c r="AJ41" s="272">
        <v>16644</v>
      </c>
      <c r="AK41" s="272">
        <v>247905</v>
      </c>
      <c r="AL41" s="455">
        <f t="shared" si="4"/>
        <v>55848</v>
      </c>
      <c r="AM41" s="272">
        <v>0</v>
      </c>
      <c r="AN41" s="272">
        <v>54294</v>
      </c>
      <c r="AO41" s="272">
        <v>0</v>
      </c>
      <c r="AP41" s="272">
        <v>1554</v>
      </c>
      <c r="AQ41" s="272">
        <v>40365</v>
      </c>
      <c r="AR41" s="272">
        <v>0</v>
      </c>
      <c r="AS41" s="272">
        <v>0</v>
      </c>
      <c r="AT41" s="272">
        <v>263119</v>
      </c>
      <c r="AU41" s="272">
        <v>126566</v>
      </c>
      <c r="AV41" s="272">
        <v>26087</v>
      </c>
      <c r="AW41" s="272">
        <v>67</v>
      </c>
      <c r="AX41" s="272">
        <v>136553</v>
      </c>
      <c r="AY41" s="272">
        <v>36372</v>
      </c>
      <c r="AZ41" s="272">
        <v>1012</v>
      </c>
      <c r="BA41" s="272">
        <v>0</v>
      </c>
      <c r="BB41" s="272">
        <v>1419</v>
      </c>
      <c r="BC41" s="272">
        <v>431470</v>
      </c>
      <c r="BD41" s="272">
        <v>420000</v>
      </c>
      <c r="BE41" s="272">
        <v>0</v>
      </c>
      <c r="BF41" s="272">
        <v>10055</v>
      </c>
      <c r="BG41" s="272">
        <v>0</v>
      </c>
      <c r="BH41" s="272">
        <v>39000</v>
      </c>
      <c r="BI41" s="272">
        <v>8373</v>
      </c>
      <c r="BJ41" s="272">
        <v>292172</v>
      </c>
      <c r="BK41" s="272">
        <v>207857</v>
      </c>
      <c r="BL41" s="272">
        <v>0</v>
      </c>
      <c r="BM41" s="272">
        <v>0</v>
      </c>
      <c r="BN41" s="272">
        <v>766900</v>
      </c>
      <c r="BO41" s="455">
        <f t="shared" si="5"/>
        <v>250900</v>
      </c>
      <c r="BP41" s="455">
        <f t="shared" si="6"/>
        <v>516000</v>
      </c>
      <c r="BQ41" s="272">
        <v>21400</v>
      </c>
      <c r="BR41" s="272">
        <v>0</v>
      </c>
      <c r="BS41" s="272">
        <v>494600</v>
      </c>
      <c r="BT41" s="272">
        <v>0</v>
      </c>
      <c r="BU41" s="272">
        <v>6726507</v>
      </c>
      <c r="BV41" s="272"/>
      <c r="BW41" s="272">
        <v>1771213</v>
      </c>
      <c r="BX41" s="272">
        <v>1189164</v>
      </c>
      <c r="BY41" s="272">
        <v>206856</v>
      </c>
      <c r="BZ41" s="272">
        <v>14787</v>
      </c>
      <c r="CA41" s="272">
        <v>318723</v>
      </c>
      <c r="CB41" s="272">
        <v>170753</v>
      </c>
      <c r="CC41" s="272">
        <v>65359</v>
      </c>
      <c r="CD41" s="272">
        <v>72325</v>
      </c>
      <c r="CE41" s="272">
        <v>0</v>
      </c>
      <c r="CF41" s="272">
        <v>0</v>
      </c>
      <c r="CG41" s="272">
        <v>10286</v>
      </c>
      <c r="CH41" s="272">
        <v>972839</v>
      </c>
      <c r="CI41" s="272">
        <v>793421</v>
      </c>
      <c r="CJ41" s="455">
        <f t="shared" si="7"/>
        <v>179418</v>
      </c>
      <c r="CK41" s="272">
        <v>1181839</v>
      </c>
      <c r="CL41" s="272">
        <v>660130</v>
      </c>
      <c r="CM41" s="272">
        <v>125537</v>
      </c>
      <c r="CN41" s="272">
        <v>247065</v>
      </c>
      <c r="CO41" s="272">
        <v>111252</v>
      </c>
      <c r="CP41" s="272">
        <v>474132</v>
      </c>
      <c r="CQ41" s="272">
        <v>5525</v>
      </c>
      <c r="CR41" s="272">
        <v>53588</v>
      </c>
      <c r="CS41" s="272">
        <v>43903</v>
      </c>
      <c r="CT41" s="455">
        <f t="shared" si="8"/>
        <v>240149</v>
      </c>
      <c r="CU41" s="272">
        <v>199088</v>
      </c>
      <c r="CV41" s="272">
        <v>41061</v>
      </c>
      <c r="CW41" s="455">
        <f t="shared" si="9"/>
        <v>220149</v>
      </c>
      <c r="CX41" s="272">
        <v>198650</v>
      </c>
      <c r="CY41" s="272">
        <v>21499</v>
      </c>
      <c r="CZ41" s="455">
        <f t="shared" si="10"/>
        <v>0</v>
      </c>
      <c r="DA41" s="272">
        <v>0</v>
      </c>
      <c r="DB41" s="272">
        <v>0</v>
      </c>
      <c r="DC41" s="272">
        <v>473442</v>
      </c>
      <c r="DD41" s="272">
        <v>117434</v>
      </c>
      <c r="DE41" s="272">
        <v>356008</v>
      </c>
      <c r="DF41" s="272">
        <v>0</v>
      </c>
      <c r="DG41" s="272">
        <v>0</v>
      </c>
      <c r="DH41" s="272">
        <v>0</v>
      </c>
      <c r="DI41" s="272">
        <v>5924</v>
      </c>
      <c r="DJ41" s="272">
        <v>4551</v>
      </c>
      <c r="DK41" s="272">
        <v>0</v>
      </c>
      <c r="DL41" s="272">
        <v>1373</v>
      </c>
      <c r="DM41" s="272">
        <v>0</v>
      </c>
      <c r="DN41" s="272">
        <v>0</v>
      </c>
      <c r="DO41" s="272">
        <v>0</v>
      </c>
      <c r="DP41" s="272">
        <v>0</v>
      </c>
      <c r="DQ41" s="272">
        <v>0</v>
      </c>
      <c r="DR41" s="272">
        <v>0</v>
      </c>
      <c r="DS41" s="272">
        <v>0</v>
      </c>
      <c r="DT41" s="272">
        <v>1407522</v>
      </c>
      <c r="DU41" s="272">
        <v>999000</v>
      </c>
      <c r="DV41" s="455">
        <f t="shared" si="11"/>
        <v>0</v>
      </c>
      <c r="DW41" s="272">
        <v>0</v>
      </c>
      <c r="DX41" s="272">
        <v>0</v>
      </c>
      <c r="DY41" s="272">
        <v>0</v>
      </c>
      <c r="DZ41" s="272">
        <v>178106</v>
      </c>
      <c r="EA41" s="272">
        <v>93100</v>
      </c>
      <c r="EB41" s="272">
        <v>137316</v>
      </c>
      <c r="EC41" s="272">
        <v>0</v>
      </c>
      <c r="ED41" s="272">
        <v>6716886</v>
      </c>
      <c r="EE41" s="89"/>
      <c r="EF41" s="272">
        <v>9621</v>
      </c>
      <c r="EG41" s="272">
        <v>0</v>
      </c>
      <c r="EH41" s="272">
        <v>9621</v>
      </c>
      <c r="EI41" s="272">
        <v>1248</v>
      </c>
      <c r="EJ41" s="272">
        <v>-414201</v>
      </c>
      <c r="EK41" s="89"/>
      <c r="EL41" s="272"/>
      <c r="EM41" s="272">
        <v>17277</v>
      </c>
      <c r="EN41" s="272">
        <v>421415</v>
      </c>
      <c r="EO41" s="272">
        <v>488</v>
      </c>
      <c r="EP41" s="455">
        <f t="shared" si="12"/>
        <v>58919</v>
      </c>
      <c r="EQ41" s="272">
        <v>4512221</v>
      </c>
      <c r="ER41" s="272">
        <v>-992844</v>
      </c>
      <c r="ES41" s="272">
        <v>1591675</v>
      </c>
      <c r="ET41" s="272">
        <v>1036144</v>
      </c>
      <c r="EU41" s="272">
        <v>130289</v>
      </c>
      <c r="EV41" s="272">
        <v>765134</v>
      </c>
      <c r="EW41" s="455">
        <f t="shared" si="13"/>
        <v>74178</v>
      </c>
      <c r="EX41" s="272">
        <v>74178</v>
      </c>
      <c r="EY41" s="272">
        <v>0</v>
      </c>
      <c r="EZ41" s="272">
        <v>74178</v>
      </c>
      <c r="FA41" s="272">
        <v>0</v>
      </c>
      <c r="FB41" s="272"/>
      <c r="FC41" s="272">
        <v>1021824</v>
      </c>
      <c r="FD41" s="272">
        <v>440175</v>
      </c>
      <c r="FE41" s="272">
        <v>5525</v>
      </c>
      <c r="FF41" s="272">
        <v>1357452</v>
      </c>
      <c r="FG41" s="455">
        <f t="shared" si="14"/>
        <v>114717</v>
      </c>
      <c r="FH41" s="272">
        <v>5495444</v>
      </c>
      <c r="FI41" s="384">
        <f t="shared" si="15"/>
        <v>0.2</v>
      </c>
      <c r="FJ41" s="272">
        <v>3947117</v>
      </c>
      <c r="FK41" s="272">
        <v>494680</v>
      </c>
      <c r="FL41" s="272">
        <v>1812867</v>
      </c>
      <c r="FM41" s="272">
        <v>3364795</v>
      </c>
      <c r="FN41" s="460">
        <v>0.54800000000000004</v>
      </c>
      <c r="FO41" s="388">
        <v>105.6</v>
      </c>
      <c r="FP41" s="388">
        <v>34.4</v>
      </c>
      <c r="FQ41" s="388">
        <v>2.9</v>
      </c>
      <c r="FR41" s="388">
        <v>16.3</v>
      </c>
      <c r="FS41" s="388">
        <v>22.5</v>
      </c>
      <c r="FT41" s="388">
        <v>7.3</v>
      </c>
      <c r="FU41" s="388">
        <v>19.600000000000001</v>
      </c>
      <c r="FV41" s="388">
        <v>8</v>
      </c>
      <c r="FW41" s="272">
        <v>8106530</v>
      </c>
      <c r="FX41" s="384">
        <f t="shared" si="16"/>
        <v>205.4</v>
      </c>
      <c r="FY41" s="272">
        <v>1272315</v>
      </c>
      <c r="FZ41" s="272">
        <v>725718</v>
      </c>
      <c r="GA41" s="272"/>
      <c r="GB41" s="272">
        <v>546597</v>
      </c>
      <c r="GC41" s="272"/>
      <c r="GD41" s="272"/>
      <c r="GE41" s="384"/>
      <c r="GF41" s="388">
        <v>97</v>
      </c>
      <c r="GG41" s="388">
        <v>14.3</v>
      </c>
      <c r="GH41" s="388">
        <v>87.6</v>
      </c>
      <c r="GI41" s="272">
        <v>178</v>
      </c>
    </row>
    <row r="42" spans="2:191" x14ac:dyDescent="0.15">
      <c r="B42" s="89" t="s">
        <v>77</v>
      </c>
      <c r="C42" s="272">
        <v>4374164</v>
      </c>
      <c r="D42" s="455">
        <f t="shared" si="0"/>
        <v>2035359</v>
      </c>
      <c r="E42" s="272">
        <v>30364</v>
      </c>
      <c r="F42" s="272">
        <v>2004995</v>
      </c>
      <c r="G42" s="455">
        <f t="shared" si="1"/>
        <v>173632</v>
      </c>
      <c r="H42" s="272">
        <v>45150</v>
      </c>
      <c r="I42" s="272">
        <v>128482</v>
      </c>
      <c r="J42" s="272">
        <v>1946273</v>
      </c>
      <c r="K42" s="272">
        <v>896256</v>
      </c>
      <c r="L42" s="272">
        <v>804232</v>
      </c>
      <c r="M42" s="272">
        <v>232477</v>
      </c>
      <c r="N42" s="272">
        <v>162371</v>
      </c>
      <c r="O42" s="272">
        <v>0</v>
      </c>
      <c r="P42" s="272">
        <v>0</v>
      </c>
      <c r="Q42" s="272">
        <v>0</v>
      </c>
      <c r="R42" s="272">
        <v>108433</v>
      </c>
      <c r="S42" s="272"/>
      <c r="T42" s="455">
        <f t="shared" si="2"/>
        <v>497257</v>
      </c>
      <c r="U42" s="272">
        <v>67352</v>
      </c>
      <c r="V42" s="272"/>
      <c r="W42" s="272"/>
      <c r="X42" s="272">
        <v>320639</v>
      </c>
      <c r="Y42" s="272">
        <v>13748</v>
      </c>
      <c r="Z42" s="272">
        <v>0</v>
      </c>
      <c r="AA42" s="272">
        <v>95518</v>
      </c>
      <c r="AB42" s="272">
        <v>201860</v>
      </c>
      <c r="AC42" s="272">
        <v>2232125</v>
      </c>
      <c r="AD42" s="272">
        <v>2001014</v>
      </c>
      <c r="AE42" s="272">
        <v>231111</v>
      </c>
      <c r="AF42" s="272">
        <v>8450</v>
      </c>
      <c r="AG42" s="272">
        <v>3504</v>
      </c>
      <c r="AH42" s="455">
        <f t="shared" si="3"/>
        <v>277585</v>
      </c>
      <c r="AI42" s="272">
        <v>247992</v>
      </c>
      <c r="AJ42" s="272">
        <v>29593</v>
      </c>
      <c r="AK42" s="272">
        <v>829278</v>
      </c>
      <c r="AL42" s="455">
        <f t="shared" si="4"/>
        <v>149933</v>
      </c>
      <c r="AM42" s="272">
        <v>0</v>
      </c>
      <c r="AN42" s="272">
        <v>147109</v>
      </c>
      <c r="AO42" s="272">
        <v>0</v>
      </c>
      <c r="AP42" s="272">
        <v>2824</v>
      </c>
      <c r="AQ42" s="272">
        <v>295222</v>
      </c>
      <c r="AR42" s="272">
        <v>0</v>
      </c>
      <c r="AS42" s="272">
        <v>0</v>
      </c>
      <c r="AT42" s="272">
        <v>525859</v>
      </c>
      <c r="AU42" s="272">
        <v>290173</v>
      </c>
      <c r="AV42" s="272">
        <v>73554</v>
      </c>
      <c r="AW42" s="272">
        <v>18619</v>
      </c>
      <c r="AX42" s="272">
        <v>235686</v>
      </c>
      <c r="AY42" s="272">
        <v>10056</v>
      </c>
      <c r="AZ42" s="272">
        <v>7570</v>
      </c>
      <c r="BA42" s="272">
        <v>230</v>
      </c>
      <c r="BB42" s="272">
        <v>7913</v>
      </c>
      <c r="BC42" s="272">
        <v>1432852</v>
      </c>
      <c r="BD42" s="272">
        <v>0</v>
      </c>
      <c r="BE42" s="272">
        <v>625000</v>
      </c>
      <c r="BF42" s="272">
        <v>800000</v>
      </c>
      <c r="BG42" s="272">
        <v>0</v>
      </c>
      <c r="BH42" s="272">
        <v>318522</v>
      </c>
      <c r="BI42" s="272">
        <v>130965</v>
      </c>
      <c r="BJ42" s="272">
        <v>194701</v>
      </c>
      <c r="BK42" s="272">
        <v>0</v>
      </c>
      <c r="BL42" s="272">
        <v>0</v>
      </c>
      <c r="BM42" s="272">
        <v>0</v>
      </c>
      <c r="BN42" s="272">
        <v>1188500</v>
      </c>
      <c r="BO42" s="455">
        <f t="shared" si="5"/>
        <v>188900</v>
      </c>
      <c r="BP42" s="455">
        <f t="shared" si="6"/>
        <v>999600</v>
      </c>
      <c r="BQ42" s="272">
        <v>69600</v>
      </c>
      <c r="BR42" s="272">
        <v>0</v>
      </c>
      <c r="BS42" s="272">
        <v>930000</v>
      </c>
      <c r="BT42" s="272">
        <v>0</v>
      </c>
      <c r="BU42" s="272">
        <v>12208573</v>
      </c>
      <c r="BV42" s="272"/>
      <c r="BW42" s="272">
        <v>3183235</v>
      </c>
      <c r="BX42" s="272">
        <v>2331009</v>
      </c>
      <c r="BY42" s="272">
        <v>207703</v>
      </c>
      <c r="BZ42" s="272">
        <v>61233</v>
      </c>
      <c r="CA42" s="272">
        <v>867638</v>
      </c>
      <c r="CB42" s="272">
        <v>287340</v>
      </c>
      <c r="CC42" s="272">
        <v>96739</v>
      </c>
      <c r="CD42" s="272">
        <v>434258</v>
      </c>
      <c r="CE42" s="272">
        <v>0</v>
      </c>
      <c r="CF42" s="272">
        <v>0</v>
      </c>
      <c r="CG42" s="272">
        <v>49301</v>
      </c>
      <c r="CH42" s="272">
        <v>2064998</v>
      </c>
      <c r="CI42" s="272">
        <v>1719716</v>
      </c>
      <c r="CJ42" s="455">
        <f t="shared" si="7"/>
        <v>345282</v>
      </c>
      <c r="CK42" s="272">
        <v>1852787</v>
      </c>
      <c r="CL42" s="272">
        <v>828011</v>
      </c>
      <c r="CM42" s="272">
        <v>162212</v>
      </c>
      <c r="CN42" s="272">
        <v>460593</v>
      </c>
      <c r="CO42" s="272">
        <v>182634</v>
      </c>
      <c r="CP42" s="272">
        <v>431773</v>
      </c>
      <c r="CQ42" s="272">
        <v>1006</v>
      </c>
      <c r="CR42" s="272">
        <v>228910</v>
      </c>
      <c r="CS42" s="272">
        <v>98992</v>
      </c>
      <c r="CT42" s="455">
        <f t="shared" si="8"/>
        <v>5397</v>
      </c>
      <c r="CU42" s="272">
        <v>4355</v>
      </c>
      <c r="CV42" s="272">
        <v>1042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2009463</v>
      </c>
      <c r="DD42" s="272">
        <v>864991</v>
      </c>
      <c r="DE42" s="272">
        <v>1118410</v>
      </c>
      <c r="DF42" s="272">
        <v>26062</v>
      </c>
      <c r="DG42" s="272">
        <v>0</v>
      </c>
      <c r="DH42" s="272">
        <v>34175</v>
      </c>
      <c r="DI42" s="272">
        <v>105392</v>
      </c>
      <c r="DJ42" s="272">
        <v>93000</v>
      </c>
      <c r="DK42" s="272">
        <v>331</v>
      </c>
      <c r="DL42" s="272">
        <v>12061</v>
      </c>
      <c r="DM42" s="272">
        <v>2200</v>
      </c>
      <c r="DN42" s="272">
        <v>2200</v>
      </c>
      <c r="DO42" s="272">
        <v>2200</v>
      </c>
      <c r="DP42" s="272">
        <v>0</v>
      </c>
      <c r="DQ42" s="272">
        <v>0</v>
      </c>
      <c r="DR42" s="272">
        <v>0</v>
      </c>
      <c r="DS42" s="272">
        <v>0</v>
      </c>
      <c r="DT42" s="272">
        <v>1279341</v>
      </c>
      <c r="DU42" s="272">
        <v>603400</v>
      </c>
      <c r="DV42" s="455">
        <f t="shared" si="11"/>
        <v>0</v>
      </c>
      <c r="DW42" s="272">
        <v>0</v>
      </c>
      <c r="DX42" s="272">
        <v>0</v>
      </c>
      <c r="DY42" s="272">
        <v>0</v>
      </c>
      <c r="DZ42" s="272">
        <v>239907</v>
      </c>
      <c r="EA42" s="272">
        <v>182216</v>
      </c>
      <c r="EB42" s="272">
        <v>253169</v>
      </c>
      <c r="EC42" s="272">
        <v>0</v>
      </c>
      <c r="ED42" s="272">
        <v>12013636</v>
      </c>
      <c r="EE42" s="89"/>
      <c r="EF42" s="272">
        <v>194937</v>
      </c>
      <c r="EG42" s="272">
        <v>27340</v>
      </c>
      <c r="EH42" s="272">
        <v>167597</v>
      </c>
      <c r="EI42" s="272">
        <v>36632</v>
      </c>
      <c r="EJ42" s="272">
        <v>129632</v>
      </c>
      <c r="EK42" s="89"/>
      <c r="EL42" s="272"/>
      <c r="EM42" s="272">
        <v>43473</v>
      </c>
      <c r="EN42" s="272">
        <v>632852</v>
      </c>
      <c r="EO42" s="272">
        <v>1710</v>
      </c>
      <c r="EP42" s="455">
        <f t="shared" si="12"/>
        <v>340378</v>
      </c>
      <c r="EQ42" s="272">
        <v>7422289</v>
      </c>
      <c r="ER42" s="272">
        <v>-1966090</v>
      </c>
      <c r="ES42" s="272">
        <v>2837743</v>
      </c>
      <c r="ET42" s="272">
        <v>1992326</v>
      </c>
      <c r="EU42" s="272">
        <v>379756</v>
      </c>
      <c r="EV42" s="272">
        <v>2064998</v>
      </c>
      <c r="EW42" s="455">
        <f t="shared" si="13"/>
        <v>497330</v>
      </c>
      <c r="EX42" s="272">
        <v>470670</v>
      </c>
      <c r="EY42" s="272">
        <v>4125</v>
      </c>
      <c r="EZ42" s="272">
        <v>458083</v>
      </c>
      <c r="FA42" s="272">
        <v>26660</v>
      </c>
      <c r="FB42" s="272"/>
      <c r="FC42" s="272">
        <v>1557216</v>
      </c>
      <c r="FD42" s="272">
        <v>392922</v>
      </c>
      <c r="FE42" s="272">
        <v>1006</v>
      </c>
      <c r="FF42" s="272">
        <v>1180562</v>
      </c>
      <c r="FG42" s="455">
        <f t="shared" si="14"/>
        <v>282915</v>
      </c>
      <c r="FH42" s="272">
        <v>9193442</v>
      </c>
      <c r="FI42" s="384">
        <f t="shared" si="15"/>
        <v>2.2999999999999998</v>
      </c>
      <c r="FJ42" s="272">
        <v>7181769</v>
      </c>
      <c r="FK42" s="272">
        <v>930565</v>
      </c>
      <c r="FL42" s="272">
        <v>3914680</v>
      </c>
      <c r="FM42" s="272">
        <v>5903826</v>
      </c>
      <c r="FN42" s="460">
        <v>0.66</v>
      </c>
      <c r="FO42" s="388">
        <v>95.7</v>
      </c>
      <c r="FP42" s="388">
        <v>33.299999999999997</v>
      </c>
      <c r="FQ42" s="388">
        <v>4.5999999999999996</v>
      </c>
      <c r="FR42" s="388">
        <v>24.9</v>
      </c>
      <c r="FS42" s="388">
        <v>17.5</v>
      </c>
      <c r="FT42" s="388">
        <v>4.4000000000000004</v>
      </c>
      <c r="FU42" s="388">
        <v>8.9</v>
      </c>
      <c r="FV42" s="388">
        <v>8.4</v>
      </c>
      <c r="FW42" s="272">
        <v>11021194</v>
      </c>
      <c r="FX42" s="384">
        <f t="shared" si="16"/>
        <v>153.5</v>
      </c>
      <c r="FY42" s="272">
        <v>8374744</v>
      </c>
      <c r="FZ42" s="272">
        <v>2064158</v>
      </c>
      <c r="GA42" s="272">
        <v>608055</v>
      </c>
      <c r="GB42" s="272">
        <v>5702531</v>
      </c>
      <c r="GC42" s="272"/>
      <c r="GD42" s="272">
        <v>1994559</v>
      </c>
      <c r="GE42" s="384">
        <f>ROUND(GD42/FJ42*100,1)</f>
        <v>27.8</v>
      </c>
      <c r="GF42" s="388">
        <v>97.8</v>
      </c>
      <c r="GG42" s="388">
        <v>19.3</v>
      </c>
      <c r="GH42" s="388">
        <v>91.1</v>
      </c>
      <c r="GI42" s="272">
        <v>368</v>
      </c>
    </row>
    <row r="43" spans="2:191" x14ac:dyDescent="0.15">
      <c r="B43" s="89" t="s">
        <v>79</v>
      </c>
      <c r="C43" s="272">
        <v>4360895</v>
      </c>
      <c r="D43" s="455">
        <f t="shared" si="0"/>
        <v>259677</v>
      </c>
      <c r="E43" s="272">
        <v>5018</v>
      </c>
      <c r="F43" s="272">
        <v>254659</v>
      </c>
      <c r="G43" s="455">
        <f t="shared" si="1"/>
        <v>125851</v>
      </c>
      <c r="H43" s="272">
        <v>37977</v>
      </c>
      <c r="I43" s="272">
        <v>87874</v>
      </c>
      <c r="J43" s="272">
        <v>2463645</v>
      </c>
      <c r="K43" s="272">
        <v>1377294</v>
      </c>
      <c r="L43" s="272">
        <v>789922</v>
      </c>
      <c r="M43" s="272">
        <v>260742</v>
      </c>
      <c r="N43" s="272">
        <v>1503392</v>
      </c>
      <c r="O43" s="272">
        <v>0</v>
      </c>
      <c r="P43" s="272">
        <v>0</v>
      </c>
      <c r="Q43" s="272">
        <v>0</v>
      </c>
      <c r="R43" s="272">
        <v>46999</v>
      </c>
      <c r="S43" s="272"/>
      <c r="T43" s="455">
        <f t="shared" si="2"/>
        <v>126385</v>
      </c>
      <c r="U43" s="272">
        <v>9165</v>
      </c>
      <c r="V43" s="272"/>
      <c r="W43" s="272"/>
      <c r="X43" s="272">
        <v>101091</v>
      </c>
      <c r="Y43" s="272">
        <v>0</v>
      </c>
      <c r="Z43" s="272">
        <v>0</v>
      </c>
      <c r="AA43" s="272">
        <v>16129</v>
      </c>
      <c r="AB43" s="272">
        <v>299</v>
      </c>
      <c r="AC43" s="272">
        <v>16437</v>
      </c>
      <c r="AD43" s="272">
        <v>0</v>
      </c>
      <c r="AE43" s="272">
        <v>16437</v>
      </c>
      <c r="AF43" s="272">
        <v>1337</v>
      </c>
      <c r="AG43" s="272">
        <v>1325</v>
      </c>
      <c r="AH43" s="455">
        <f t="shared" si="3"/>
        <v>54099</v>
      </c>
      <c r="AI43" s="272">
        <v>49613</v>
      </c>
      <c r="AJ43" s="272">
        <v>4486</v>
      </c>
      <c r="AK43" s="272">
        <v>186594</v>
      </c>
      <c r="AL43" s="455">
        <f t="shared" si="4"/>
        <v>20116</v>
      </c>
      <c r="AM43" s="272">
        <v>0</v>
      </c>
      <c r="AN43" s="272">
        <v>18408</v>
      </c>
      <c r="AO43" s="272">
        <v>0</v>
      </c>
      <c r="AP43" s="272">
        <v>1708</v>
      </c>
      <c r="AQ43" s="272">
        <v>80687</v>
      </c>
      <c r="AR43" s="272">
        <v>0</v>
      </c>
      <c r="AS43" s="272">
        <v>0</v>
      </c>
      <c r="AT43" s="272">
        <v>157696</v>
      </c>
      <c r="AU43" s="272">
        <v>110500</v>
      </c>
      <c r="AV43" s="272">
        <v>9204</v>
      </c>
      <c r="AW43" s="272">
        <v>38863</v>
      </c>
      <c r="AX43" s="272">
        <v>47196</v>
      </c>
      <c r="AY43" s="272">
        <v>2598</v>
      </c>
      <c r="AZ43" s="272">
        <v>3967</v>
      </c>
      <c r="BA43" s="272">
        <v>0</v>
      </c>
      <c r="BB43" s="272">
        <v>20100</v>
      </c>
      <c r="BC43" s="272">
        <v>0</v>
      </c>
      <c r="BD43" s="272">
        <v>0</v>
      </c>
      <c r="BE43" s="272">
        <v>0</v>
      </c>
      <c r="BF43" s="272">
        <v>0</v>
      </c>
      <c r="BG43" s="272">
        <v>0</v>
      </c>
      <c r="BH43" s="272">
        <v>284302</v>
      </c>
      <c r="BI43" s="272">
        <v>284302</v>
      </c>
      <c r="BJ43" s="272">
        <v>56349</v>
      </c>
      <c r="BK43" s="272">
        <v>0</v>
      </c>
      <c r="BL43" s="272">
        <v>0</v>
      </c>
      <c r="BM43" s="272">
        <v>0</v>
      </c>
      <c r="BN43" s="272">
        <v>311800</v>
      </c>
      <c r="BO43" s="455">
        <f t="shared" si="5"/>
        <v>311800</v>
      </c>
      <c r="BP43" s="455">
        <f t="shared" si="6"/>
        <v>0</v>
      </c>
      <c r="BQ43" s="272">
        <v>0</v>
      </c>
      <c r="BR43" s="272">
        <v>0</v>
      </c>
      <c r="BS43" s="272">
        <v>0</v>
      </c>
      <c r="BT43" s="272">
        <v>0</v>
      </c>
      <c r="BU43" s="272">
        <v>5628584</v>
      </c>
      <c r="BV43" s="272"/>
      <c r="BW43" s="272">
        <v>1285947</v>
      </c>
      <c r="BX43" s="272">
        <v>896973</v>
      </c>
      <c r="BY43" s="272">
        <v>91307</v>
      </c>
      <c r="BZ43" s="272">
        <v>9207</v>
      </c>
      <c r="CA43" s="272">
        <v>198566</v>
      </c>
      <c r="CB43" s="272">
        <v>63362</v>
      </c>
      <c r="CC43" s="272">
        <v>56901</v>
      </c>
      <c r="CD43" s="272">
        <v>74742</v>
      </c>
      <c r="CE43" s="272">
        <v>0</v>
      </c>
      <c r="CF43" s="272">
        <v>0</v>
      </c>
      <c r="CG43" s="272">
        <v>3561</v>
      </c>
      <c r="CH43" s="272">
        <v>930468</v>
      </c>
      <c r="CI43" s="272">
        <v>802925</v>
      </c>
      <c r="CJ43" s="455">
        <f t="shared" si="7"/>
        <v>127543</v>
      </c>
      <c r="CK43" s="272">
        <v>649697</v>
      </c>
      <c r="CL43" s="272">
        <v>260213</v>
      </c>
      <c r="CM43" s="272">
        <v>133237</v>
      </c>
      <c r="CN43" s="272">
        <v>127103</v>
      </c>
      <c r="CO43" s="272">
        <v>13009</v>
      </c>
      <c r="CP43" s="272">
        <v>590374</v>
      </c>
      <c r="CQ43" s="272">
        <v>128018</v>
      </c>
      <c r="CR43" s="272">
        <v>70668</v>
      </c>
      <c r="CS43" s="272">
        <v>70668</v>
      </c>
      <c r="CT43" s="455">
        <f t="shared" si="8"/>
        <v>17143</v>
      </c>
      <c r="CU43" s="272">
        <v>0</v>
      </c>
      <c r="CV43" s="272">
        <v>17143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802076</v>
      </c>
      <c r="DD43" s="272">
        <v>168717</v>
      </c>
      <c r="DE43" s="272">
        <v>633359</v>
      </c>
      <c r="DF43" s="272">
        <v>0</v>
      </c>
      <c r="DG43" s="272">
        <v>0</v>
      </c>
      <c r="DH43" s="272">
        <v>0</v>
      </c>
      <c r="DI43" s="272">
        <v>166548</v>
      </c>
      <c r="DJ43" s="272">
        <v>145712</v>
      </c>
      <c r="DK43" s="272">
        <v>0</v>
      </c>
      <c r="DL43" s="272">
        <v>20836</v>
      </c>
      <c r="DM43" s="272">
        <v>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725253</v>
      </c>
      <c r="DU43" s="272">
        <v>551531</v>
      </c>
      <c r="DV43" s="455">
        <f t="shared" si="11"/>
        <v>0</v>
      </c>
      <c r="DW43" s="272">
        <v>0</v>
      </c>
      <c r="DX43" s="272">
        <v>0</v>
      </c>
      <c r="DY43" s="272">
        <v>0</v>
      </c>
      <c r="DZ43" s="272">
        <v>70793</v>
      </c>
      <c r="EA43" s="272">
        <v>46902</v>
      </c>
      <c r="EB43" s="272">
        <v>56025</v>
      </c>
      <c r="EC43" s="272">
        <v>0</v>
      </c>
      <c r="ED43" s="272">
        <v>5361938</v>
      </c>
      <c r="EE43" s="89"/>
      <c r="EF43" s="272">
        <v>266646</v>
      </c>
      <c r="EG43" s="272">
        <v>0</v>
      </c>
      <c r="EH43" s="272">
        <v>266646</v>
      </c>
      <c r="EI43" s="272">
        <v>-17656</v>
      </c>
      <c r="EJ43" s="272">
        <v>429216</v>
      </c>
      <c r="EK43" s="89"/>
      <c r="EL43" s="272"/>
      <c r="EM43" s="272">
        <v>7169</v>
      </c>
      <c r="EN43" s="272">
        <v>0</v>
      </c>
      <c r="EO43" s="272">
        <v>34</v>
      </c>
      <c r="EP43" s="455">
        <f t="shared" si="12"/>
        <v>296797</v>
      </c>
      <c r="EQ43" s="272">
        <v>4552352</v>
      </c>
      <c r="ER43" s="272">
        <v>-295494</v>
      </c>
      <c r="ES43" s="272">
        <v>1211694</v>
      </c>
      <c r="ET43" s="272">
        <v>825078</v>
      </c>
      <c r="EU43" s="272">
        <v>111260</v>
      </c>
      <c r="EV43" s="272">
        <v>930468</v>
      </c>
      <c r="EW43" s="455">
        <f t="shared" si="13"/>
        <v>356998</v>
      </c>
      <c r="EX43" s="272">
        <v>356998</v>
      </c>
      <c r="EY43" s="272">
        <v>22567</v>
      </c>
      <c r="EZ43" s="272">
        <v>334431</v>
      </c>
      <c r="FA43" s="272">
        <v>0</v>
      </c>
      <c r="FB43" s="272"/>
      <c r="FC43" s="272">
        <v>558218</v>
      </c>
      <c r="FD43" s="272">
        <v>555029</v>
      </c>
      <c r="FE43" s="272">
        <v>128018</v>
      </c>
      <c r="FF43" s="272">
        <v>701927</v>
      </c>
      <c r="FG43" s="455">
        <f t="shared" si="14"/>
        <v>155606</v>
      </c>
      <c r="FH43" s="272">
        <v>4581200</v>
      </c>
      <c r="FI43" s="384">
        <f t="shared" si="15"/>
        <v>3.3</v>
      </c>
      <c r="FJ43" s="272">
        <v>8034022</v>
      </c>
      <c r="FK43" s="272">
        <v>302509</v>
      </c>
      <c r="FL43" s="272">
        <v>6040091</v>
      </c>
      <c r="FM43" s="272">
        <v>1690503</v>
      </c>
      <c r="FN43" s="460">
        <v>2.8530000000000002</v>
      </c>
      <c r="FO43" s="388">
        <v>71.599999999999994</v>
      </c>
      <c r="FP43" s="388">
        <v>26.6</v>
      </c>
      <c r="FQ43" s="388">
        <v>2.2000000000000002</v>
      </c>
      <c r="FR43" s="388">
        <v>13.9</v>
      </c>
      <c r="FS43" s="388">
        <v>10.4</v>
      </c>
      <c r="FT43" s="388">
        <v>9.1999999999999993</v>
      </c>
      <c r="FU43" s="388">
        <v>9</v>
      </c>
      <c r="FV43" s="388">
        <v>7.6</v>
      </c>
      <c r="FW43" s="272">
        <v>5029683</v>
      </c>
      <c r="FX43" s="384">
        <f t="shared" si="16"/>
        <v>62.6</v>
      </c>
      <c r="FY43" s="272">
        <v>3462702</v>
      </c>
      <c r="FZ43" s="272">
        <v>2985388</v>
      </c>
      <c r="GA43" s="272"/>
      <c r="GB43" s="272">
        <v>477314</v>
      </c>
      <c r="GC43" s="272"/>
      <c r="GD43" s="272">
        <v>2579220</v>
      </c>
      <c r="GE43" s="384">
        <f>ROUND(GD43/FJ43*100,1)</f>
        <v>32.1</v>
      </c>
      <c r="GF43" s="388">
        <v>99.7</v>
      </c>
      <c r="GG43" s="388">
        <v>24.7</v>
      </c>
      <c r="GH43" s="388">
        <v>98.3</v>
      </c>
      <c r="GI43" s="272">
        <v>142</v>
      </c>
    </row>
    <row r="44" spans="2:191" x14ac:dyDescent="0.15">
      <c r="B44" s="89" t="s">
        <v>81</v>
      </c>
      <c r="C44" s="272">
        <v>2373277</v>
      </c>
      <c r="D44" s="455">
        <f t="shared" si="0"/>
        <v>650397</v>
      </c>
      <c r="E44" s="272">
        <v>13318</v>
      </c>
      <c r="F44" s="272">
        <v>637079</v>
      </c>
      <c r="G44" s="455">
        <f t="shared" si="1"/>
        <v>128760</v>
      </c>
      <c r="H44" s="272">
        <v>34335</v>
      </c>
      <c r="I44" s="272">
        <v>94425</v>
      </c>
      <c r="J44" s="272">
        <v>1473719</v>
      </c>
      <c r="K44" s="272">
        <v>635847</v>
      </c>
      <c r="L44" s="272">
        <v>451227</v>
      </c>
      <c r="M44" s="272">
        <v>381219</v>
      </c>
      <c r="N44" s="272">
        <v>94444</v>
      </c>
      <c r="O44" s="272">
        <v>0</v>
      </c>
      <c r="P44" s="272">
        <v>0</v>
      </c>
      <c r="Q44" s="272">
        <v>0</v>
      </c>
      <c r="R44" s="272">
        <v>63693</v>
      </c>
      <c r="S44" s="272"/>
      <c r="T44" s="455">
        <f t="shared" si="2"/>
        <v>298892</v>
      </c>
      <c r="U44" s="272">
        <v>26480</v>
      </c>
      <c r="V44" s="272"/>
      <c r="W44" s="272"/>
      <c r="X44" s="272">
        <v>152916</v>
      </c>
      <c r="Y44" s="272">
        <v>63407</v>
      </c>
      <c r="Z44" s="272">
        <v>0</v>
      </c>
      <c r="AA44" s="272">
        <v>56089</v>
      </c>
      <c r="AB44" s="272">
        <v>79261</v>
      </c>
      <c r="AC44" s="272">
        <v>1619942</v>
      </c>
      <c r="AD44" s="272">
        <v>1332436</v>
      </c>
      <c r="AE44" s="272">
        <v>287506</v>
      </c>
      <c r="AF44" s="272">
        <v>4275</v>
      </c>
      <c r="AG44" s="272">
        <v>5140</v>
      </c>
      <c r="AH44" s="455">
        <f t="shared" si="3"/>
        <v>246829</v>
      </c>
      <c r="AI44" s="272">
        <v>233977</v>
      </c>
      <c r="AJ44" s="272">
        <v>12852</v>
      </c>
      <c r="AK44" s="272">
        <v>247286</v>
      </c>
      <c r="AL44" s="455">
        <f t="shared" si="4"/>
        <v>53175</v>
      </c>
      <c r="AM44" s="272">
        <v>0</v>
      </c>
      <c r="AN44" s="272">
        <v>50819</v>
      </c>
      <c r="AO44" s="272">
        <v>0</v>
      </c>
      <c r="AP44" s="272">
        <v>2356</v>
      </c>
      <c r="AQ44" s="272">
        <v>1568</v>
      </c>
      <c r="AR44" s="272">
        <v>0</v>
      </c>
      <c r="AS44" s="272">
        <v>0</v>
      </c>
      <c r="AT44" s="272">
        <v>419887</v>
      </c>
      <c r="AU44" s="272">
        <v>193310</v>
      </c>
      <c r="AV44" s="272">
        <v>25409</v>
      </c>
      <c r="AW44" s="272">
        <v>0</v>
      </c>
      <c r="AX44" s="272">
        <v>226577</v>
      </c>
      <c r="AY44" s="272">
        <v>30372</v>
      </c>
      <c r="AZ44" s="272">
        <v>2615</v>
      </c>
      <c r="BA44" s="272">
        <v>124</v>
      </c>
      <c r="BB44" s="272">
        <v>909</v>
      </c>
      <c r="BC44" s="272">
        <v>487295</v>
      </c>
      <c r="BD44" s="272">
        <v>355000</v>
      </c>
      <c r="BE44" s="272">
        <v>0</v>
      </c>
      <c r="BF44" s="272">
        <v>100000</v>
      </c>
      <c r="BG44" s="272">
        <v>0</v>
      </c>
      <c r="BH44" s="272">
        <v>13545</v>
      </c>
      <c r="BI44" s="272">
        <v>13545</v>
      </c>
      <c r="BJ44" s="272">
        <v>184942</v>
      </c>
      <c r="BK44" s="272">
        <v>25081</v>
      </c>
      <c r="BL44" s="272">
        <v>0</v>
      </c>
      <c r="BM44" s="272">
        <v>0</v>
      </c>
      <c r="BN44" s="272">
        <v>963100</v>
      </c>
      <c r="BO44" s="455">
        <f t="shared" si="5"/>
        <v>373300</v>
      </c>
      <c r="BP44" s="455">
        <f t="shared" si="6"/>
        <v>589800</v>
      </c>
      <c r="BQ44" s="272">
        <v>88500</v>
      </c>
      <c r="BR44" s="272">
        <v>0</v>
      </c>
      <c r="BS44" s="272">
        <v>501300</v>
      </c>
      <c r="BT44" s="272">
        <v>0</v>
      </c>
      <c r="BU44" s="272">
        <v>7010888</v>
      </c>
      <c r="BV44" s="272"/>
      <c r="BW44" s="272">
        <v>1903342</v>
      </c>
      <c r="BX44" s="272">
        <v>1293764</v>
      </c>
      <c r="BY44" s="272">
        <v>208214</v>
      </c>
      <c r="BZ44" s="272">
        <v>23858</v>
      </c>
      <c r="CA44" s="272">
        <v>402609</v>
      </c>
      <c r="CB44" s="272">
        <v>199152</v>
      </c>
      <c r="CC44" s="272">
        <v>58917</v>
      </c>
      <c r="CD44" s="272">
        <v>136617</v>
      </c>
      <c r="CE44" s="272">
        <v>0</v>
      </c>
      <c r="CF44" s="272">
        <v>0</v>
      </c>
      <c r="CG44" s="272">
        <v>7923</v>
      </c>
      <c r="CH44" s="272">
        <v>1148883</v>
      </c>
      <c r="CI44" s="272">
        <v>825672</v>
      </c>
      <c r="CJ44" s="455">
        <f t="shared" si="7"/>
        <v>323211</v>
      </c>
      <c r="CK44" s="272">
        <v>1255086</v>
      </c>
      <c r="CL44" s="272">
        <v>559664</v>
      </c>
      <c r="CM44" s="272">
        <v>144094</v>
      </c>
      <c r="CN44" s="272">
        <v>373170</v>
      </c>
      <c r="CO44" s="272">
        <v>91929</v>
      </c>
      <c r="CP44" s="272">
        <v>514269</v>
      </c>
      <c r="CQ44" s="272">
        <v>288949</v>
      </c>
      <c r="CR44" s="272">
        <v>105769</v>
      </c>
      <c r="CS44" s="272">
        <v>92514</v>
      </c>
      <c r="CT44" s="455">
        <f t="shared" si="8"/>
        <v>3033</v>
      </c>
      <c r="CU44" s="272">
        <v>3033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679459</v>
      </c>
      <c r="DD44" s="272">
        <v>4704</v>
      </c>
      <c r="DE44" s="272">
        <v>624755</v>
      </c>
      <c r="DF44" s="272">
        <v>50000</v>
      </c>
      <c r="DG44" s="272">
        <v>0</v>
      </c>
      <c r="DH44" s="272">
        <v>4844</v>
      </c>
      <c r="DI44" s="272">
        <v>13090</v>
      </c>
      <c r="DJ44" s="272">
        <v>12413</v>
      </c>
      <c r="DK44" s="272">
        <v>45</v>
      </c>
      <c r="DL44" s="272">
        <v>632</v>
      </c>
      <c r="DM44" s="272">
        <v>1000</v>
      </c>
      <c r="DN44" s="272">
        <v>1000</v>
      </c>
      <c r="DO44" s="272">
        <v>1000</v>
      </c>
      <c r="DP44" s="272">
        <v>0</v>
      </c>
      <c r="DQ44" s="272">
        <v>3300</v>
      </c>
      <c r="DR44" s="272">
        <v>0</v>
      </c>
      <c r="DS44" s="272">
        <v>0</v>
      </c>
      <c r="DT44" s="272">
        <v>978979</v>
      </c>
      <c r="DU44" s="272">
        <v>461287</v>
      </c>
      <c r="DV44" s="455">
        <f t="shared" si="11"/>
        <v>0</v>
      </c>
      <c r="DW44" s="272">
        <v>0</v>
      </c>
      <c r="DX44" s="272">
        <v>0</v>
      </c>
      <c r="DY44" s="272">
        <v>0</v>
      </c>
      <c r="DZ44" s="272">
        <v>177828</v>
      </c>
      <c r="EA44" s="272">
        <v>136443</v>
      </c>
      <c r="EB44" s="272">
        <v>203421</v>
      </c>
      <c r="EC44" s="272">
        <v>0</v>
      </c>
      <c r="ED44" s="272">
        <v>6996790</v>
      </c>
      <c r="EE44" s="89"/>
      <c r="EF44" s="272">
        <v>14098</v>
      </c>
      <c r="EG44" s="272">
        <v>0</v>
      </c>
      <c r="EH44" s="272">
        <v>14098</v>
      </c>
      <c r="EI44" s="272">
        <v>553</v>
      </c>
      <c r="EJ44" s="272">
        <v>-342034</v>
      </c>
      <c r="EK44" s="89"/>
      <c r="EL44" s="272"/>
      <c r="EM44" s="272">
        <v>19327</v>
      </c>
      <c r="EN44" s="272">
        <v>355001</v>
      </c>
      <c r="EO44" s="272">
        <v>106</v>
      </c>
      <c r="EP44" s="455">
        <f t="shared" si="12"/>
        <v>133212</v>
      </c>
      <c r="EQ44" s="272">
        <v>4439340</v>
      </c>
      <c r="ER44" s="272">
        <v>-1073844</v>
      </c>
      <c r="ES44" s="272">
        <v>1722228</v>
      </c>
      <c r="ET44" s="272">
        <v>1117405</v>
      </c>
      <c r="EU44" s="272">
        <v>172385</v>
      </c>
      <c r="EV44" s="272">
        <v>1065306</v>
      </c>
      <c r="EW44" s="455">
        <f t="shared" si="13"/>
        <v>123163</v>
      </c>
      <c r="EX44" s="272">
        <v>118319</v>
      </c>
      <c r="EY44" s="272">
        <v>1568</v>
      </c>
      <c r="EZ44" s="272">
        <v>116751</v>
      </c>
      <c r="FA44" s="272">
        <v>4844</v>
      </c>
      <c r="FB44" s="272"/>
      <c r="FC44" s="272">
        <v>990543</v>
      </c>
      <c r="FD44" s="272">
        <v>465944</v>
      </c>
      <c r="FE44" s="272">
        <v>288949</v>
      </c>
      <c r="FF44" s="272">
        <v>895927</v>
      </c>
      <c r="FG44" s="455">
        <f t="shared" si="14"/>
        <v>63590</v>
      </c>
      <c r="FH44" s="272">
        <v>5499086</v>
      </c>
      <c r="FI44" s="384">
        <f t="shared" si="15"/>
        <v>0.3</v>
      </c>
      <c r="FJ44" s="272">
        <v>4297508</v>
      </c>
      <c r="FK44" s="272">
        <v>501309</v>
      </c>
      <c r="FL44" s="272">
        <v>2240762</v>
      </c>
      <c r="FM44" s="272">
        <v>3577691</v>
      </c>
      <c r="FN44" s="460">
        <v>0.63</v>
      </c>
      <c r="FO44" s="388">
        <v>97.3</v>
      </c>
      <c r="FP44" s="388">
        <v>32.700000000000003</v>
      </c>
      <c r="FQ44" s="388">
        <v>3.5</v>
      </c>
      <c r="FR44" s="388">
        <v>21.9</v>
      </c>
      <c r="FS44" s="388">
        <v>17.600000000000001</v>
      </c>
      <c r="FT44" s="388">
        <v>8.8000000000000007</v>
      </c>
      <c r="FU44" s="388">
        <v>11.6</v>
      </c>
      <c r="FV44" s="388">
        <v>10.199999999999999</v>
      </c>
      <c r="FW44" s="272">
        <v>12315325</v>
      </c>
      <c r="FX44" s="384">
        <f t="shared" si="16"/>
        <v>286.60000000000002</v>
      </c>
      <c r="FY44" s="272">
        <v>1544441</v>
      </c>
      <c r="FZ44" s="272">
        <v>833743</v>
      </c>
      <c r="GA44" s="272">
        <v>37908</v>
      </c>
      <c r="GB44" s="272">
        <v>672790</v>
      </c>
      <c r="GC44" s="272"/>
      <c r="GD44" s="272"/>
      <c r="GE44" s="384"/>
      <c r="GF44" s="388">
        <v>97.9</v>
      </c>
      <c r="GG44" s="388">
        <v>27.5</v>
      </c>
      <c r="GH44" s="388">
        <v>92.4</v>
      </c>
      <c r="GI44" s="272">
        <v>183</v>
      </c>
    </row>
    <row r="45" spans="2:191" x14ac:dyDescent="0.15">
      <c r="B45" s="89" t="s">
        <v>83</v>
      </c>
      <c r="C45" s="272">
        <v>1546526</v>
      </c>
      <c r="D45" s="455">
        <f t="shared" si="0"/>
        <v>634667</v>
      </c>
      <c r="E45" s="272">
        <v>9675</v>
      </c>
      <c r="F45" s="272">
        <v>624992</v>
      </c>
      <c r="G45" s="455">
        <f t="shared" si="1"/>
        <v>31297</v>
      </c>
      <c r="H45" s="272">
        <v>13238</v>
      </c>
      <c r="I45" s="272">
        <v>18059</v>
      </c>
      <c r="J45" s="272">
        <v>663317</v>
      </c>
      <c r="K45" s="272">
        <v>301693</v>
      </c>
      <c r="L45" s="272">
        <v>278748</v>
      </c>
      <c r="M45" s="272">
        <v>82876</v>
      </c>
      <c r="N45" s="272">
        <v>196404</v>
      </c>
      <c r="O45" s="272">
        <v>0</v>
      </c>
      <c r="P45" s="272">
        <v>0</v>
      </c>
      <c r="Q45" s="272">
        <v>0</v>
      </c>
      <c r="R45" s="272">
        <v>43888</v>
      </c>
      <c r="S45" s="272"/>
      <c r="T45" s="455">
        <f t="shared" si="2"/>
        <v>188199</v>
      </c>
      <c r="U45" s="272">
        <v>20630</v>
      </c>
      <c r="V45" s="272"/>
      <c r="W45" s="272"/>
      <c r="X45" s="272">
        <v>104359</v>
      </c>
      <c r="Y45" s="272">
        <v>24550</v>
      </c>
      <c r="Z45" s="272">
        <v>0</v>
      </c>
      <c r="AA45" s="272">
        <v>38660</v>
      </c>
      <c r="AB45" s="272">
        <v>55929</v>
      </c>
      <c r="AC45" s="272">
        <v>1410371</v>
      </c>
      <c r="AD45" s="272">
        <v>1186847</v>
      </c>
      <c r="AE45" s="272">
        <v>223524</v>
      </c>
      <c r="AF45" s="272">
        <v>2837</v>
      </c>
      <c r="AG45" s="272">
        <v>44742</v>
      </c>
      <c r="AH45" s="455">
        <f t="shared" si="3"/>
        <v>50425</v>
      </c>
      <c r="AI45" s="272">
        <v>27243</v>
      </c>
      <c r="AJ45" s="272">
        <v>23182</v>
      </c>
      <c r="AK45" s="272">
        <v>246634</v>
      </c>
      <c r="AL45" s="455">
        <f t="shared" si="4"/>
        <v>56544</v>
      </c>
      <c r="AM45" s="272">
        <v>0</v>
      </c>
      <c r="AN45" s="272">
        <v>55531</v>
      </c>
      <c r="AO45" s="272">
        <v>0</v>
      </c>
      <c r="AP45" s="272">
        <v>1013</v>
      </c>
      <c r="AQ45" s="272">
        <v>86377</v>
      </c>
      <c r="AR45" s="272">
        <v>0</v>
      </c>
      <c r="AS45" s="272">
        <v>0</v>
      </c>
      <c r="AT45" s="272">
        <v>290788</v>
      </c>
      <c r="AU45" s="272">
        <v>155086</v>
      </c>
      <c r="AV45" s="272">
        <v>42893</v>
      </c>
      <c r="AW45" s="272">
        <v>0</v>
      </c>
      <c r="AX45" s="272">
        <v>135702</v>
      </c>
      <c r="AY45" s="272">
        <v>51455</v>
      </c>
      <c r="AZ45" s="272">
        <v>2291</v>
      </c>
      <c r="BA45" s="272">
        <v>0</v>
      </c>
      <c r="BB45" s="272">
        <v>0</v>
      </c>
      <c r="BC45" s="272">
        <v>2</v>
      </c>
      <c r="BD45" s="272">
        <v>0</v>
      </c>
      <c r="BE45" s="272">
        <v>0</v>
      </c>
      <c r="BF45" s="272">
        <v>0</v>
      </c>
      <c r="BG45" s="272">
        <v>0</v>
      </c>
      <c r="BH45" s="272">
        <v>73747</v>
      </c>
      <c r="BI45" s="272">
        <v>73747</v>
      </c>
      <c r="BJ45" s="272">
        <v>125223</v>
      </c>
      <c r="BK45" s="272">
        <v>1418</v>
      </c>
      <c r="BL45" s="272">
        <v>0</v>
      </c>
      <c r="BM45" s="272">
        <v>0</v>
      </c>
      <c r="BN45" s="272">
        <v>637100</v>
      </c>
      <c r="BO45" s="455">
        <f t="shared" si="5"/>
        <v>177700</v>
      </c>
      <c r="BP45" s="455">
        <f t="shared" si="6"/>
        <v>459400</v>
      </c>
      <c r="BQ45" s="272">
        <v>20600</v>
      </c>
      <c r="BR45" s="272">
        <v>0</v>
      </c>
      <c r="BS45" s="272">
        <v>438800</v>
      </c>
      <c r="BT45" s="272">
        <v>0</v>
      </c>
      <c r="BU45" s="272">
        <v>4718702</v>
      </c>
      <c r="BV45" s="272"/>
      <c r="BW45" s="272">
        <v>1121762</v>
      </c>
      <c r="BX45" s="272">
        <v>772072</v>
      </c>
      <c r="BY45" s="272">
        <v>56468</v>
      </c>
      <c r="BZ45" s="272">
        <v>14556</v>
      </c>
      <c r="CA45" s="272">
        <v>386596</v>
      </c>
      <c r="CB45" s="272">
        <v>71022</v>
      </c>
      <c r="CC45" s="272">
        <v>37817</v>
      </c>
      <c r="CD45" s="272">
        <v>258809</v>
      </c>
      <c r="CE45" s="272">
        <v>0</v>
      </c>
      <c r="CF45" s="272">
        <v>0</v>
      </c>
      <c r="CG45" s="272">
        <v>18948</v>
      </c>
      <c r="CH45" s="272">
        <v>684739</v>
      </c>
      <c r="CI45" s="272">
        <v>516613</v>
      </c>
      <c r="CJ45" s="455">
        <f t="shared" si="7"/>
        <v>168126</v>
      </c>
      <c r="CK45" s="272">
        <v>585125</v>
      </c>
      <c r="CL45" s="272">
        <v>291673</v>
      </c>
      <c r="CM45" s="272">
        <v>80853</v>
      </c>
      <c r="CN45" s="272">
        <v>112793</v>
      </c>
      <c r="CO45" s="272">
        <v>18483</v>
      </c>
      <c r="CP45" s="272">
        <v>532463</v>
      </c>
      <c r="CQ45" s="272">
        <v>127576</v>
      </c>
      <c r="CR45" s="272">
        <v>146975</v>
      </c>
      <c r="CS45" s="272">
        <v>108963</v>
      </c>
      <c r="CT45" s="455">
        <f t="shared" si="8"/>
        <v>5677</v>
      </c>
      <c r="CU45" s="272">
        <v>2594</v>
      </c>
      <c r="CV45" s="272">
        <v>3083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582009</v>
      </c>
      <c r="DD45" s="272">
        <v>187562</v>
      </c>
      <c r="DE45" s="272">
        <v>325436</v>
      </c>
      <c r="DF45" s="272">
        <v>36166</v>
      </c>
      <c r="DG45" s="272">
        <v>32040</v>
      </c>
      <c r="DH45" s="272">
        <v>0</v>
      </c>
      <c r="DI45" s="272">
        <v>72207</v>
      </c>
      <c r="DJ45" s="272">
        <v>16555</v>
      </c>
      <c r="DK45" s="272">
        <v>2</v>
      </c>
      <c r="DL45" s="272">
        <v>55650</v>
      </c>
      <c r="DM45" s="272">
        <v>30000</v>
      </c>
      <c r="DN45" s="272">
        <v>30000</v>
      </c>
      <c r="DO45" s="272">
        <v>30000</v>
      </c>
      <c r="DP45" s="272">
        <v>0</v>
      </c>
      <c r="DQ45" s="272">
        <v>1400</v>
      </c>
      <c r="DR45" s="272">
        <v>0</v>
      </c>
      <c r="DS45" s="272">
        <v>0</v>
      </c>
      <c r="DT45" s="272">
        <v>579249</v>
      </c>
      <c r="DU45" s="272">
        <v>312122</v>
      </c>
      <c r="DV45" s="455">
        <f t="shared" si="11"/>
        <v>0</v>
      </c>
      <c r="DW45" s="272">
        <v>0</v>
      </c>
      <c r="DX45" s="272">
        <v>0</v>
      </c>
      <c r="DY45" s="272">
        <v>0</v>
      </c>
      <c r="DZ45" s="272">
        <v>107675</v>
      </c>
      <c r="EA45" s="272">
        <v>58327</v>
      </c>
      <c r="EB45" s="272">
        <v>92982</v>
      </c>
      <c r="EC45" s="272">
        <v>0</v>
      </c>
      <c r="ED45" s="272">
        <v>4594033</v>
      </c>
      <c r="EE45" s="89"/>
      <c r="EF45" s="272">
        <v>124669</v>
      </c>
      <c r="EG45" s="272">
        <v>0</v>
      </c>
      <c r="EH45" s="272">
        <v>124669</v>
      </c>
      <c r="EI45" s="272">
        <v>50922</v>
      </c>
      <c r="EJ45" s="272">
        <v>67477</v>
      </c>
      <c r="EK45" s="89"/>
      <c r="EL45" s="272"/>
      <c r="EM45" s="272">
        <v>14433</v>
      </c>
      <c r="EN45" s="272">
        <v>2</v>
      </c>
      <c r="EO45" s="272">
        <v>384</v>
      </c>
      <c r="EP45" s="455">
        <f t="shared" si="12"/>
        <v>95615</v>
      </c>
      <c r="EQ45" s="272">
        <v>3247750</v>
      </c>
      <c r="ER45" s="272">
        <v>-552564</v>
      </c>
      <c r="ES45" s="272">
        <v>1065857</v>
      </c>
      <c r="ET45" s="272">
        <v>720229</v>
      </c>
      <c r="EU45" s="272">
        <v>139291</v>
      </c>
      <c r="EV45" s="272">
        <v>684739</v>
      </c>
      <c r="EW45" s="455">
        <f t="shared" si="13"/>
        <v>154965</v>
      </c>
      <c r="EX45" s="272">
        <v>154965</v>
      </c>
      <c r="EY45" s="272">
        <v>10285</v>
      </c>
      <c r="EZ45" s="272">
        <v>110747</v>
      </c>
      <c r="FA45" s="272">
        <v>0</v>
      </c>
      <c r="FB45" s="272"/>
      <c r="FC45" s="272">
        <v>506527</v>
      </c>
      <c r="FD45" s="272">
        <v>495200</v>
      </c>
      <c r="FE45" s="272">
        <v>127576</v>
      </c>
      <c r="FF45" s="272">
        <v>538883</v>
      </c>
      <c r="FG45" s="455">
        <f t="shared" si="14"/>
        <v>90183</v>
      </c>
      <c r="FH45" s="272">
        <v>3675645</v>
      </c>
      <c r="FI45" s="384">
        <f t="shared" si="15"/>
        <v>4.3</v>
      </c>
      <c r="FJ45" s="272">
        <v>2916620</v>
      </c>
      <c r="FK45" s="272">
        <v>438862</v>
      </c>
      <c r="FL45" s="272">
        <v>1309132</v>
      </c>
      <c r="FM45" s="272">
        <v>2501682</v>
      </c>
      <c r="FN45" s="460">
        <v>0.50700000000000001</v>
      </c>
      <c r="FO45" s="388">
        <v>88.6</v>
      </c>
      <c r="FP45" s="388">
        <v>29.6</v>
      </c>
      <c r="FQ45" s="388">
        <v>4</v>
      </c>
      <c r="FR45" s="388">
        <v>19.600000000000001</v>
      </c>
      <c r="FS45" s="388">
        <v>13.8</v>
      </c>
      <c r="FT45" s="388">
        <v>13.6</v>
      </c>
      <c r="FU45" s="388">
        <v>7.5</v>
      </c>
      <c r="FV45" s="388">
        <v>12.2</v>
      </c>
      <c r="FW45" s="272">
        <v>6176865</v>
      </c>
      <c r="FX45" s="384">
        <f t="shared" si="16"/>
        <v>211.8</v>
      </c>
      <c r="FY45" s="272">
        <v>911753</v>
      </c>
      <c r="FZ45" s="272">
        <v>635247</v>
      </c>
      <c r="GA45" s="272">
        <v>7675</v>
      </c>
      <c r="GB45" s="272">
        <v>268831</v>
      </c>
      <c r="GC45" s="272"/>
      <c r="GD45" s="272">
        <v>541635</v>
      </c>
      <c r="GE45" s="384">
        <f>ROUND(GD45/FJ45*100,1)</f>
        <v>18.600000000000001</v>
      </c>
      <c r="GF45" s="388">
        <v>97.8</v>
      </c>
      <c r="GG45" s="388">
        <v>23.2</v>
      </c>
      <c r="GH45" s="388">
        <v>90.7</v>
      </c>
      <c r="GI45" s="272">
        <v>112</v>
      </c>
    </row>
    <row r="46" spans="2:191" x14ac:dyDescent="0.15">
      <c r="B46" s="89" t="s">
        <v>85</v>
      </c>
      <c r="C46" s="272">
        <v>1602182</v>
      </c>
      <c r="D46" s="455">
        <f t="shared" si="0"/>
        <v>709504</v>
      </c>
      <c r="E46" s="272">
        <v>11243</v>
      </c>
      <c r="F46" s="272">
        <v>698261</v>
      </c>
      <c r="G46" s="455">
        <f t="shared" si="1"/>
        <v>54663</v>
      </c>
      <c r="H46" s="272">
        <v>17359</v>
      </c>
      <c r="I46" s="272">
        <v>37304</v>
      </c>
      <c r="J46" s="272">
        <v>725179</v>
      </c>
      <c r="K46" s="272">
        <v>329449</v>
      </c>
      <c r="L46" s="272">
        <v>315451</v>
      </c>
      <c r="M46" s="272">
        <v>80279</v>
      </c>
      <c r="N46" s="272">
        <v>85332</v>
      </c>
      <c r="O46" s="272">
        <v>0</v>
      </c>
      <c r="P46" s="272">
        <v>0</v>
      </c>
      <c r="Q46" s="272">
        <v>0</v>
      </c>
      <c r="R46" s="272">
        <v>61752</v>
      </c>
      <c r="S46" s="272"/>
      <c r="T46" s="455">
        <f t="shared" si="2"/>
        <v>260768</v>
      </c>
      <c r="U46" s="272">
        <v>24286</v>
      </c>
      <c r="V46" s="272"/>
      <c r="W46" s="272"/>
      <c r="X46" s="272">
        <v>137621</v>
      </c>
      <c r="Y46" s="272">
        <v>44458</v>
      </c>
      <c r="Z46" s="272">
        <v>0</v>
      </c>
      <c r="AA46" s="272">
        <v>54403</v>
      </c>
      <c r="AB46" s="272">
        <v>73070</v>
      </c>
      <c r="AC46" s="272">
        <v>1512884</v>
      </c>
      <c r="AD46" s="272">
        <v>1300596</v>
      </c>
      <c r="AE46" s="272">
        <v>212288</v>
      </c>
      <c r="AF46" s="272">
        <v>3204</v>
      </c>
      <c r="AG46" s="272">
        <v>12334</v>
      </c>
      <c r="AH46" s="455">
        <f t="shared" si="3"/>
        <v>114846</v>
      </c>
      <c r="AI46" s="272">
        <v>63174</v>
      </c>
      <c r="AJ46" s="272">
        <v>51672</v>
      </c>
      <c r="AK46" s="272">
        <v>146771</v>
      </c>
      <c r="AL46" s="455">
        <f t="shared" si="4"/>
        <v>28524</v>
      </c>
      <c r="AM46" s="272">
        <v>0</v>
      </c>
      <c r="AN46" s="272">
        <v>27387</v>
      </c>
      <c r="AO46" s="272">
        <v>0</v>
      </c>
      <c r="AP46" s="272">
        <v>1137</v>
      </c>
      <c r="AQ46" s="272">
        <v>647</v>
      </c>
      <c r="AR46" s="272">
        <v>0</v>
      </c>
      <c r="AS46" s="272">
        <v>0</v>
      </c>
      <c r="AT46" s="272">
        <v>380554</v>
      </c>
      <c r="AU46" s="272">
        <v>239029</v>
      </c>
      <c r="AV46" s="272">
        <v>13694</v>
      </c>
      <c r="AW46" s="272">
        <v>51771</v>
      </c>
      <c r="AX46" s="272">
        <v>141525</v>
      </c>
      <c r="AY46" s="272">
        <v>24354</v>
      </c>
      <c r="AZ46" s="272">
        <v>6728</v>
      </c>
      <c r="BA46" s="272">
        <v>0</v>
      </c>
      <c r="BB46" s="272">
        <v>0</v>
      </c>
      <c r="BC46" s="272">
        <v>626107</v>
      </c>
      <c r="BD46" s="272">
        <v>200000</v>
      </c>
      <c r="BE46" s="272">
        <v>218870</v>
      </c>
      <c r="BF46" s="272">
        <v>7237</v>
      </c>
      <c r="BG46" s="272">
        <v>0</v>
      </c>
      <c r="BH46" s="272">
        <v>115619</v>
      </c>
      <c r="BI46" s="272">
        <v>57915</v>
      </c>
      <c r="BJ46" s="272">
        <v>32670</v>
      </c>
      <c r="BK46" s="272">
        <v>2331</v>
      </c>
      <c r="BL46" s="272">
        <v>0</v>
      </c>
      <c r="BM46" s="272">
        <v>0</v>
      </c>
      <c r="BN46" s="272">
        <v>1023000</v>
      </c>
      <c r="BO46" s="455">
        <f t="shared" si="5"/>
        <v>517800</v>
      </c>
      <c r="BP46" s="455">
        <f t="shared" si="6"/>
        <v>505200</v>
      </c>
      <c r="BQ46" s="272">
        <v>25900</v>
      </c>
      <c r="BR46" s="272">
        <v>0</v>
      </c>
      <c r="BS46" s="272">
        <v>479300</v>
      </c>
      <c r="BT46" s="272">
        <v>0</v>
      </c>
      <c r="BU46" s="272">
        <v>5972489</v>
      </c>
      <c r="BV46" s="272"/>
      <c r="BW46" s="272">
        <v>1611703</v>
      </c>
      <c r="BX46" s="272">
        <v>1039974</v>
      </c>
      <c r="BY46" s="272">
        <v>128845</v>
      </c>
      <c r="BZ46" s="272">
        <v>75933</v>
      </c>
      <c r="CA46" s="272">
        <v>275659</v>
      </c>
      <c r="CB46" s="272">
        <v>109802</v>
      </c>
      <c r="CC46" s="272">
        <v>37011</v>
      </c>
      <c r="CD46" s="272">
        <v>123506</v>
      </c>
      <c r="CE46" s="272">
        <v>0</v>
      </c>
      <c r="CF46" s="272">
        <v>0</v>
      </c>
      <c r="CG46" s="272">
        <v>5340</v>
      </c>
      <c r="CH46" s="272">
        <v>753315</v>
      </c>
      <c r="CI46" s="272">
        <v>570683</v>
      </c>
      <c r="CJ46" s="455">
        <f t="shared" si="7"/>
        <v>182632</v>
      </c>
      <c r="CK46" s="272">
        <v>829841</v>
      </c>
      <c r="CL46" s="272">
        <v>431724</v>
      </c>
      <c r="CM46" s="272">
        <v>82293</v>
      </c>
      <c r="CN46" s="272">
        <v>177724</v>
      </c>
      <c r="CO46" s="272">
        <v>13804</v>
      </c>
      <c r="CP46" s="272">
        <v>380591</v>
      </c>
      <c r="CQ46" s="272">
        <v>161047</v>
      </c>
      <c r="CR46" s="272">
        <v>97173</v>
      </c>
      <c r="CS46" s="272">
        <v>93202</v>
      </c>
      <c r="CT46" s="455">
        <f t="shared" si="8"/>
        <v>6610</v>
      </c>
      <c r="CU46" s="272">
        <v>787</v>
      </c>
      <c r="CV46" s="272">
        <v>5823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1439542</v>
      </c>
      <c r="DD46" s="272">
        <v>66105</v>
      </c>
      <c r="DE46" s="272">
        <v>1182060</v>
      </c>
      <c r="DF46" s="272">
        <v>107406</v>
      </c>
      <c r="DG46" s="272">
        <v>83971</v>
      </c>
      <c r="DH46" s="272">
        <v>0</v>
      </c>
      <c r="DI46" s="272">
        <v>5756</v>
      </c>
      <c r="DJ46" s="272">
        <v>2018</v>
      </c>
      <c r="DK46" s="272">
        <v>830</v>
      </c>
      <c r="DL46" s="272">
        <v>2908</v>
      </c>
      <c r="DM46" s="272">
        <v>0</v>
      </c>
      <c r="DN46" s="272">
        <v>0</v>
      </c>
      <c r="DO46" s="272">
        <v>0</v>
      </c>
      <c r="DP46" s="272">
        <v>0</v>
      </c>
      <c r="DQ46" s="272">
        <v>2300</v>
      </c>
      <c r="DR46" s="272">
        <v>0</v>
      </c>
      <c r="DS46" s="272">
        <v>0</v>
      </c>
      <c r="DT46" s="272">
        <v>545683</v>
      </c>
      <c r="DU46" s="272">
        <v>207198</v>
      </c>
      <c r="DV46" s="455">
        <f t="shared" si="11"/>
        <v>0</v>
      </c>
      <c r="DW46" s="272">
        <v>0</v>
      </c>
      <c r="DX46" s="272">
        <v>0</v>
      </c>
      <c r="DY46" s="272">
        <v>0</v>
      </c>
      <c r="DZ46" s="272">
        <v>113981</v>
      </c>
      <c r="EA46" s="272">
        <v>87195</v>
      </c>
      <c r="EB46" s="272">
        <v>117397</v>
      </c>
      <c r="EC46" s="272">
        <v>0</v>
      </c>
      <c r="ED46" s="272">
        <v>5858194</v>
      </c>
      <c r="EE46" s="89"/>
      <c r="EF46" s="272">
        <v>114295</v>
      </c>
      <c r="EG46" s="272">
        <v>6071</v>
      </c>
      <c r="EH46" s="272">
        <v>108224</v>
      </c>
      <c r="EI46" s="272">
        <v>-9691</v>
      </c>
      <c r="EJ46" s="272">
        <v>-138803</v>
      </c>
      <c r="EK46" s="89"/>
      <c r="EL46" s="272"/>
      <c r="EM46" s="272">
        <v>16770</v>
      </c>
      <c r="EN46" s="272">
        <v>625109</v>
      </c>
      <c r="EO46" s="272">
        <v>0</v>
      </c>
      <c r="EP46" s="455">
        <f t="shared" si="12"/>
        <v>84551</v>
      </c>
      <c r="EQ46" s="272">
        <v>3513860</v>
      </c>
      <c r="ER46" s="272">
        <v>-1211656</v>
      </c>
      <c r="ES46" s="272">
        <v>1506907</v>
      </c>
      <c r="ET46" s="272">
        <v>946489</v>
      </c>
      <c r="EU46" s="272">
        <v>124019</v>
      </c>
      <c r="EV46" s="272">
        <v>753315</v>
      </c>
      <c r="EW46" s="455">
        <f t="shared" si="13"/>
        <v>694342</v>
      </c>
      <c r="EX46" s="272">
        <v>694342</v>
      </c>
      <c r="EY46" s="272">
        <v>13040</v>
      </c>
      <c r="EZ46" s="272">
        <v>611519</v>
      </c>
      <c r="FA46" s="272">
        <v>0</v>
      </c>
      <c r="FB46" s="272"/>
      <c r="FC46" s="272">
        <v>661081</v>
      </c>
      <c r="FD46" s="272">
        <v>354378</v>
      </c>
      <c r="FE46" s="272">
        <v>161047</v>
      </c>
      <c r="FF46" s="272">
        <v>500811</v>
      </c>
      <c r="FG46" s="455">
        <f t="shared" si="14"/>
        <v>17139</v>
      </c>
      <c r="FH46" s="272">
        <v>4611992</v>
      </c>
      <c r="FI46" s="384">
        <f t="shared" si="15"/>
        <v>3.3</v>
      </c>
      <c r="FJ46" s="272">
        <v>3313154</v>
      </c>
      <c r="FK46" s="272">
        <v>479380</v>
      </c>
      <c r="FL46" s="272">
        <v>1525672</v>
      </c>
      <c r="FM46" s="272">
        <v>2831029</v>
      </c>
      <c r="FN46" s="460">
        <v>0.51700000000000002</v>
      </c>
      <c r="FO46" s="388">
        <v>90.7</v>
      </c>
      <c r="FP46" s="388">
        <v>38.1</v>
      </c>
      <c r="FQ46" s="388">
        <v>3.2</v>
      </c>
      <c r="FR46" s="388">
        <v>17.899999999999999</v>
      </c>
      <c r="FS46" s="388">
        <v>15</v>
      </c>
      <c r="FT46" s="388">
        <v>8.4</v>
      </c>
      <c r="FU46" s="388">
        <v>7.7</v>
      </c>
      <c r="FV46" s="388">
        <v>9.1999999999999993</v>
      </c>
      <c r="FW46" s="272">
        <v>7155322</v>
      </c>
      <c r="FX46" s="384">
        <f t="shared" si="16"/>
        <v>216</v>
      </c>
      <c r="FY46" s="272">
        <v>2825814</v>
      </c>
      <c r="FZ46" s="272">
        <v>1355627</v>
      </c>
      <c r="GA46" s="272">
        <v>392251</v>
      </c>
      <c r="GB46" s="272">
        <v>1077936</v>
      </c>
      <c r="GC46" s="272"/>
      <c r="GD46" s="272">
        <v>51028</v>
      </c>
      <c r="GE46" s="384">
        <f>ROUND(GD46/FJ46*100,1)</f>
        <v>1.5</v>
      </c>
      <c r="GF46" s="388">
        <v>95.5</v>
      </c>
      <c r="GG46" s="388">
        <v>29.7</v>
      </c>
      <c r="GH46" s="388">
        <v>87</v>
      </c>
      <c r="GI46" s="272">
        <v>157</v>
      </c>
    </row>
    <row r="47" spans="2:191" x14ac:dyDescent="0.15">
      <c r="B47" s="89" t="s">
        <v>87</v>
      </c>
      <c r="C47" s="272">
        <v>660155</v>
      </c>
      <c r="D47" s="455">
        <f t="shared" si="0"/>
        <v>296263</v>
      </c>
      <c r="E47" s="272">
        <v>4786</v>
      </c>
      <c r="F47" s="272">
        <v>291477</v>
      </c>
      <c r="G47" s="455">
        <f t="shared" si="1"/>
        <v>30968</v>
      </c>
      <c r="H47" s="272">
        <v>10565</v>
      </c>
      <c r="I47" s="272">
        <v>20403</v>
      </c>
      <c r="J47" s="272">
        <v>306778</v>
      </c>
      <c r="K47" s="272">
        <v>112881</v>
      </c>
      <c r="L47" s="272">
        <v>137965</v>
      </c>
      <c r="M47" s="272">
        <v>55932</v>
      </c>
      <c r="N47" s="272">
        <v>13541</v>
      </c>
      <c r="O47" s="272">
        <v>0</v>
      </c>
      <c r="P47" s="272">
        <v>0</v>
      </c>
      <c r="Q47" s="272">
        <v>0</v>
      </c>
      <c r="R47" s="272">
        <v>25626</v>
      </c>
      <c r="S47" s="272"/>
      <c r="T47" s="455">
        <f t="shared" si="2"/>
        <v>113677</v>
      </c>
      <c r="U47" s="272">
        <v>10245</v>
      </c>
      <c r="V47" s="272"/>
      <c r="W47" s="272"/>
      <c r="X47" s="272">
        <v>55055</v>
      </c>
      <c r="Y47" s="272">
        <v>25809</v>
      </c>
      <c r="Z47" s="272">
        <v>0</v>
      </c>
      <c r="AA47" s="272">
        <v>22568</v>
      </c>
      <c r="AB47" s="272">
        <v>30598</v>
      </c>
      <c r="AC47" s="272">
        <v>1052205</v>
      </c>
      <c r="AD47" s="272">
        <v>831309</v>
      </c>
      <c r="AE47" s="272">
        <v>220896</v>
      </c>
      <c r="AF47" s="272">
        <v>1215</v>
      </c>
      <c r="AG47" s="272">
        <v>12629</v>
      </c>
      <c r="AH47" s="455">
        <f t="shared" si="3"/>
        <v>28740</v>
      </c>
      <c r="AI47" s="272">
        <v>18996</v>
      </c>
      <c r="AJ47" s="272">
        <v>9744</v>
      </c>
      <c r="AK47" s="272">
        <v>66070</v>
      </c>
      <c r="AL47" s="455">
        <f t="shared" si="4"/>
        <v>24231</v>
      </c>
      <c r="AM47" s="272">
        <v>0</v>
      </c>
      <c r="AN47" s="272">
        <v>24231</v>
      </c>
      <c r="AO47" s="272">
        <v>0</v>
      </c>
      <c r="AP47" s="272">
        <v>0</v>
      </c>
      <c r="AQ47" s="272">
        <v>1705</v>
      </c>
      <c r="AR47" s="272">
        <v>0</v>
      </c>
      <c r="AS47" s="272">
        <v>0</v>
      </c>
      <c r="AT47" s="272">
        <v>187644</v>
      </c>
      <c r="AU47" s="272">
        <v>87663</v>
      </c>
      <c r="AV47" s="272">
        <v>12101</v>
      </c>
      <c r="AW47" s="272">
        <v>22760</v>
      </c>
      <c r="AX47" s="272">
        <v>99981</v>
      </c>
      <c r="AY47" s="272">
        <v>7035</v>
      </c>
      <c r="AZ47" s="272">
        <v>1935</v>
      </c>
      <c r="BA47" s="272">
        <v>0</v>
      </c>
      <c r="BB47" s="272">
        <v>0</v>
      </c>
      <c r="BC47" s="272">
        <v>488847</v>
      </c>
      <c r="BD47" s="272">
        <v>279000</v>
      </c>
      <c r="BE47" s="272">
        <v>35346</v>
      </c>
      <c r="BF47" s="272">
        <v>174500</v>
      </c>
      <c r="BG47" s="272">
        <v>0</v>
      </c>
      <c r="BH47" s="272">
        <v>57394</v>
      </c>
      <c r="BI47" s="272">
        <v>57394</v>
      </c>
      <c r="BJ47" s="272">
        <v>37092</v>
      </c>
      <c r="BK47" s="272">
        <v>4558</v>
      </c>
      <c r="BL47" s="272">
        <v>0</v>
      </c>
      <c r="BM47" s="272">
        <v>0</v>
      </c>
      <c r="BN47" s="272">
        <v>321400</v>
      </c>
      <c r="BO47" s="455">
        <f t="shared" si="5"/>
        <v>8600</v>
      </c>
      <c r="BP47" s="455">
        <f t="shared" si="6"/>
        <v>312800</v>
      </c>
      <c r="BQ47" s="272">
        <v>13300</v>
      </c>
      <c r="BR47" s="272">
        <v>0</v>
      </c>
      <c r="BS47" s="272">
        <v>299500</v>
      </c>
      <c r="BT47" s="272">
        <v>0</v>
      </c>
      <c r="BU47" s="272">
        <v>3085227</v>
      </c>
      <c r="BV47" s="272"/>
      <c r="BW47" s="272">
        <v>1123114</v>
      </c>
      <c r="BX47" s="272">
        <v>614043</v>
      </c>
      <c r="BY47" s="272">
        <v>266128</v>
      </c>
      <c r="BZ47" s="272">
        <v>17177</v>
      </c>
      <c r="CA47" s="272">
        <v>134083</v>
      </c>
      <c r="CB47" s="272">
        <v>38811</v>
      </c>
      <c r="CC47" s="272">
        <v>13189</v>
      </c>
      <c r="CD47" s="272">
        <v>80252</v>
      </c>
      <c r="CE47" s="272">
        <v>0</v>
      </c>
      <c r="CF47" s="272">
        <v>0</v>
      </c>
      <c r="CG47" s="272">
        <v>1831</v>
      </c>
      <c r="CH47" s="272">
        <v>318294</v>
      </c>
      <c r="CI47" s="272">
        <v>251103</v>
      </c>
      <c r="CJ47" s="455">
        <f t="shared" si="7"/>
        <v>67191</v>
      </c>
      <c r="CK47" s="272">
        <v>599848</v>
      </c>
      <c r="CL47" s="272">
        <v>390127</v>
      </c>
      <c r="CM47" s="272">
        <v>36702</v>
      </c>
      <c r="CN47" s="272">
        <v>82512</v>
      </c>
      <c r="CO47" s="272">
        <v>10358</v>
      </c>
      <c r="CP47" s="272">
        <v>262280</v>
      </c>
      <c r="CQ47" s="272">
        <v>82907</v>
      </c>
      <c r="CR47" s="272">
        <v>15316</v>
      </c>
      <c r="CS47" s="272">
        <v>15316</v>
      </c>
      <c r="CT47" s="455">
        <f t="shared" si="8"/>
        <v>7415</v>
      </c>
      <c r="CU47" s="272">
        <v>6836</v>
      </c>
      <c r="CV47" s="272">
        <v>579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106318</v>
      </c>
      <c r="DD47" s="272">
        <v>36713</v>
      </c>
      <c r="DE47" s="272">
        <v>61019</v>
      </c>
      <c r="DF47" s="272">
        <v>8586</v>
      </c>
      <c r="DG47" s="272">
        <v>0</v>
      </c>
      <c r="DH47" s="272">
        <v>0</v>
      </c>
      <c r="DI47" s="272">
        <v>33216</v>
      </c>
      <c r="DJ47" s="272">
        <v>30513</v>
      </c>
      <c r="DK47" s="272">
        <v>132</v>
      </c>
      <c r="DL47" s="272">
        <v>2571</v>
      </c>
      <c r="DM47" s="272">
        <v>4600</v>
      </c>
      <c r="DN47" s="272">
        <v>4600</v>
      </c>
      <c r="DO47" s="272">
        <v>4600</v>
      </c>
      <c r="DP47" s="272">
        <v>0</v>
      </c>
      <c r="DQ47" s="272">
        <v>4500</v>
      </c>
      <c r="DR47" s="272">
        <v>0</v>
      </c>
      <c r="DS47" s="272">
        <v>0</v>
      </c>
      <c r="DT47" s="272">
        <v>421572</v>
      </c>
      <c r="DU47" s="272">
        <v>129631</v>
      </c>
      <c r="DV47" s="455">
        <f t="shared" si="11"/>
        <v>0</v>
      </c>
      <c r="DW47" s="272">
        <v>0</v>
      </c>
      <c r="DX47" s="272">
        <v>0</v>
      </c>
      <c r="DY47" s="272">
        <v>0</v>
      </c>
      <c r="DZ47" s="272">
        <v>69290</v>
      </c>
      <c r="EA47" s="272">
        <v>48124</v>
      </c>
      <c r="EB47" s="272">
        <v>81961</v>
      </c>
      <c r="EC47" s="272">
        <v>0</v>
      </c>
      <c r="ED47" s="272">
        <v>3018183</v>
      </c>
      <c r="EE47" s="89"/>
      <c r="EF47" s="272">
        <v>67044</v>
      </c>
      <c r="EG47" s="272">
        <v>14872</v>
      </c>
      <c r="EH47" s="272">
        <v>52172</v>
      </c>
      <c r="EI47" s="272">
        <v>-5222</v>
      </c>
      <c r="EJ47" s="272">
        <v>-253709</v>
      </c>
      <c r="EK47" s="89"/>
      <c r="EL47" s="272"/>
      <c r="EM47" s="272">
        <v>6767</v>
      </c>
      <c r="EN47" s="272">
        <v>371346</v>
      </c>
      <c r="EO47" s="272">
        <v>454</v>
      </c>
      <c r="EP47" s="455">
        <f t="shared" si="12"/>
        <v>70042</v>
      </c>
      <c r="EQ47" s="272">
        <v>1883476</v>
      </c>
      <c r="ER47" s="272">
        <v>-753427</v>
      </c>
      <c r="ES47" s="272">
        <v>1084647</v>
      </c>
      <c r="ET47" s="272">
        <v>577543</v>
      </c>
      <c r="EU47" s="272">
        <v>36646</v>
      </c>
      <c r="EV47" s="272">
        <v>318294</v>
      </c>
      <c r="EW47" s="455">
        <f t="shared" si="13"/>
        <v>66818</v>
      </c>
      <c r="EX47" s="272">
        <v>66818</v>
      </c>
      <c r="EY47" s="272">
        <v>3143</v>
      </c>
      <c r="EZ47" s="272">
        <v>59089</v>
      </c>
      <c r="FA47" s="272">
        <v>0</v>
      </c>
      <c r="FB47" s="272"/>
      <c r="FC47" s="272">
        <v>513058</v>
      </c>
      <c r="FD47" s="272">
        <v>213819</v>
      </c>
      <c r="FE47" s="272">
        <v>82907</v>
      </c>
      <c r="FF47" s="272">
        <v>294971</v>
      </c>
      <c r="FG47" s="455">
        <f t="shared" si="14"/>
        <v>41606</v>
      </c>
      <c r="FH47" s="272">
        <v>2569859</v>
      </c>
      <c r="FI47" s="384">
        <f t="shared" si="15"/>
        <v>3.1</v>
      </c>
      <c r="FJ47" s="272">
        <v>1663969</v>
      </c>
      <c r="FK47" s="272">
        <v>299532</v>
      </c>
      <c r="FL47" s="272">
        <v>631208</v>
      </c>
      <c r="FM47" s="272">
        <v>1467264</v>
      </c>
      <c r="FN47" s="460">
        <v>0.40899999999999997</v>
      </c>
      <c r="FO47" s="388">
        <v>104.5</v>
      </c>
      <c r="FP47" s="388">
        <v>45.8</v>
      </c>
      <c r="FQ47" s="388">
        <v>1.8</v>
      </c>
      <c r="FR47" s="388">
        <v>16.100000000000001</v>
      </c>
      <c r="FS47" s="388">
        <v>23.8</v>
      </c>
      <c r="FT47" s="388">
        <v>8.6999999999999993</v>
      </c>
      <c r="FU47" s="388">
        <v>7.9</v>
      </c>
      <c r="FV47" s="388">
        <v>11.4</v>
      </c>
      <c r="FW47" s="272">
        <v>3071299</v>
      </c>
      <c r="FX47" s="384">
        <f t="shared" si="16"/>
        <v>184.6</v>
      </c>
      <c r="FY47" s="272">
        <v>386675</v>
      </c>
      <c r="FZ47" s="272">
        <v>102244</v>
      </c>
      <c r="GA47" s="272">
        <v>57435</v>
      </c>
      <c r="GB47" s="272">
        <v>226996</v>
      </c>
      <c r="GC47" s="272"/>
      <c r="GD47" s="272"/>
      <c r="GE47" s="384"/>
      <c r="GF47" s="388">
        <v>97.7</v>
      </c>
      <c r="GG47" s="388">
        <v>24.7</v>
      </c>
      <c r="GH47" s="388">
        <v>91.5</v>
      </c>
      <c r="GI47" s="272">
        <v>94</v>
      </c>
    </row>
    <row r="48" spans="2:191" x14ac:dyDescent="0.15">
      <c r="B48" s="89" t="s">
        <v>839</v>
      </c>
      <c r="C48" s="272">
        <v>5907731</v>
      </c>
      <c r="D48" s="455">
        <f t="shared" si="0"/>
        <v>1630683</v>
      </c>
      <c r="E48" s="272">
        <v>27425</v>
      </c>
      <c r="F48" s="272">
        <v>1603258</v>
      </c>
      <c r="G48" s="455">
        <f t="shared" si="1"/>
        <v>429615</v>
      </c>
      <c r="H48" s="272">
        <v>127148</v>
      </c>
      <c r="I48" s="272">
        <v>302467</v>
      </c>
      <c r="J48" s="272">
        <v>3153598</v>
      </c>
      <c r="K48" s="272">
        <v>1755015</v>
      </c>
      <c r="L48" s="272">
        <v>985453</v>
      </c>
      <c r="M48" s="272">
        <v>382994</v>
      </c>
      <c r="N48" s="272">
        <v>254048</v>
      </c>
      <c r="O48" s="272">
        <v>387984</v>
      </c>
      <c r="P48" s="272">
        <v>258943</v>
      </c>
      <c r="Q48" s="272">
        <v>129041</v>
      </c>
      <c r="R48" s="272">
        <v>98772</v>
      </c>
      <c r="S48" s="272"/>
      <c r="T48" s="455">
        <f t="shared" si="2"/>
        <v>552678</v>
      </c>
      <c r="U48" s="272">
        <v>58256</v>
      </c>
      <c r="V48" s="272"/>
      <c r="W48" s="272"/>
      <c r="X48" s="272">
        <v>395335</v>
      </c>
      <c r="Y48" s="272">
        <v>12071</v>
      </c>
      <c r="Z48" s="272">
        <v>0</v>
      </c>
      <c r="AA48" s="272">
        <v>87016</v>
      </c>
      <c r="AB48" s="272">
        <v>190046</v>
      </c>
      <c r="AC48" s="272">
        <v>1184558</v>
      </c>
      <c r="AD48" s="272">
        <v>859825</v>
      </c>
      <c r="AE48" s="272">
        <v>324733</v>
      </c>
      <c r="AF48" s="272">
        <v>10630</v>
      </c>
      <c r="AG48" s="272">
        <v>20535</v>
      </c>
      <c r="AH48" s="455">
        <f t="shared" si="3"/>
        <v>249951</v>
      </c>
      <c r="AI48" s="272">
        <v>161955</v>
      </c>
      <c r="AJ48" s="272">
        <v>87996</v>
      </c>
      <c r="AK48" s="272">
        <v>914464</v>
      </c>
      <c r="AL48" s="455">
        <f t="shared" si="4"/>
        <v>430723</v>
      </c>
      <c r="AM48" s="272">
        <v>307888</v>
      </c>
      <c r="AN48" s="272">
        <v>111047</v>
      </c>
      <c r="AO48" s="272">
        <v>0</v>
      </c>
      <c r="AP48" s="272">
        <v>11788</v>
      </c>
      <c r="AQ48" s="272">
        <v>7674</v>
      </c>
      <c r="AR48" s="272">
        <v>0</v>
      </c>
      <c r="AS48" s="272">
        <v>0</v>
      </c>
      <c r="AT48" s="272">
        <v>553717</v>
      </c>
      <c r="AU48" s="272">
        <v>320152</v>
      </c>
      <c r="AV48" s="272">
        <v>55524</v>
      </c>
      <c r="AW48" s="272">
        <v>0</v>
      </c>
      <c r="AX48" s="272">
        <v>233565</v>
      </c>
      <c r="AY48" s="272">
        <v>36589</v>
      </c>
      <c r="AZ48" s="272">
        <v>17694</v>
      </c>
      <c r="BA48" s="272">
        <v>0</v>
      </c>
      <c r="BB48" s="272">
        <v>53621</v>
      </c>
      <c r="BC48" s="272">
        <v>605146</v>
      </c>
      <c r="BD48" s="272">
        <v>295000</v>
      </c>
      <c r="BE48" s="272">
        <v>0</v>
      </c>
      <c r="BF48" s="272">
        <v>290000</v>
      </c>
      <c r="BG48" s="272">
        <v>0</v>
      </c>
      <c r="BH48" s="272">
        <v>94644</v>
      </c>
      <c r="BI48" s="272">
        <v>84083</v>
      </c>
      <c r="BJ48" s="272">
        <v>104307</v>
      </c>
      <c r="BK48" s="272">
        <v>194</v>
      </c>
      <c r="BL48" s="272">
        <v>0</v>
      </c>
      <c r="BM48" s="272">
        <v>0</v>
      </c>
      <c r="BN48" s="272">
        <v>1144000</v>
      </c>
      <c r="BO48" s="455">
        <f t="shared" si="5"/>
        <v>225900</v>
      </c>
      <c r="BP48" s="455">
        <f t="shared" si="6"/>
        <v>918100</v>
      </c>
      <c r="BQ48" s="272">
        <v>67800</v>
      </c>
      <c r="BR48" s="272">
        <v>0</v>
      </c>
      <c r="BS48" s="272">
        <v>850300</v>
      </c>
      <c r="BT48" s="272">
        <v>0</v>
      </c>
      <c r="BU48" s="272">
        <v>11702494</v>
      </c>
      <c r="BV48" s="272"/>
      <c r="BW48" s="272">
        <v>3175712</v>
      </c>
      <c r="BX48" s="272">
        <v>2364975</v>
      </c>
      <c r="BY48" s="272">
        <v>142433</v>
      </c>
      <c r="BZ48" s="272">
        <v>34812</v>
      </c>
      <c r="CA48" s="272">
        <v>1479544</v>
      </c>
      <c r="CB48" s="272">
        <v>476741</v>
      </c>
      <c r="CC48" s="272">
        <v>120604</v>
      </c>
      <c r="CD48" s="272">
        <v>424789</v>
      </c>
      <c r="CE48" s="272">
        <v>425101</v>
      </c>
      <c r="CF48" s="272">
        <v>0</v>
      </c>
      <c r="CG48" s="272">
        <v>32279</v>
      </c>
      <c r="CH48" s="272">
        <v>1063711</v>
      </c>
      <c r="CI48" s="272">
        <v>786646</v>
      </c>
      <c r="CJ48" s="455">
        <f t="shared" si="7"/>
        <v>277065</v>
      </c>
      <c r="CK48" s="272">
        <v>1986258</v>
      </c>
      <c r="CL48" s="272">
        <v>1075500</v>
      </c>
      <c r="CM48" s="272">
        <v>241449</v>
      </c>
      <c r="CN48" s="272">
        <v>274540</v>
      </c>
      <c r="CO48" s="272">
        <v>67489</v>
      </c>
      <c r="CP48" s="272">
        <v>873137</v>
      </c>
      <c r="CQ48" s="272">
        <v>405048</v>
      </c>
      <c r="CR48" s="272">
        <v>205705</v>
      </c>
      <c r="CS48" s="272">
        <v>181311</v>
      </c>
      <c r="CT48" s="455">
        <f t="shared" si="8"/>
        <v>57899</v>
      </c>
      <c r="CU48" s="272">
        <v>57899</v>
      </c>
      <c r="CV48" s="272">
        <v>0</v>
      </c>
      <c r="CW48" s="455">
        <f t="shared" si="9"/>
        <v>0</v>
      </c>
      <c r="CX48" s="272">
        <v>0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1103618</v>
      </c>
      <c r="DD48" s="272">
        <v>15349</v>
      </c>
      <c r="DE48" s="272">
        <v>1086366</v>
      </c>
      <c r="DF48" s="272">
        <v>1903</v>
      </c>
      <c r="DG48" s="272">
        <v>0</v>
      </c>
      <c r="DH48" s="272">
        <v>0</v>
      </c>
      <c r="DI48" s="272">
        <v>146089</v>
      </c>
      <c r="DJ48" s="272">
        <v>83146</v>
      </c>
      <c r="DK48" s="272">
        <v>1482</v>
      </c>
      <c r="DL48" s="272">
        <v>61461</v>
      </c>
      <c r="DM48" s="272">
        <v>0</v>
      </c>
      <c r="DN48" s="272">
        <v>0</v>
      </c>
      <c r="DO48" s="272">
        <v>0</v>
      </c>
      <c r="DP48" s="272">
        <v>0</v>
      </c>
      <c r="DQ48" s="272">
        <v>0</v>
      </c>
      <c r="DR48" s="272">
        <v>0</v>
      </c>
      <c r="DS48" s="272">
        <v>0</v>
      </c>
      <c r="DT48" s="272">
        <v>1734290</v>
      </c>
      <c r="DU48" s="272">
        <v>921373</v>
      </c>
      <c r="DV48" s="455">
        <f t="shared" si="11"/>
        <v>0</v>
      </c>
      <c r="DW48" s="272">
        <v>0</v>
      </c>
      <c r="DX48" s="272">
        <v>0</v>
      </c>
      <c r="DY48" s="272">
        <v>0</v>
      </c>
      <c r="DZ48" s="272">
        <v>354000</v>
      </c>
      <c r="EA48" s="272">
        <v>200982</v>
      </c>
      <c r="EB48" s="272">
        <v>256574</v>
      </c>
      <c r="EC48" s="272">
        <v>0</v>
      </c>
      <c r="ED48" s="272">
        <v>11629848</v>
      </c>
      <c r="EE48" s="89"/>
      <c r="EF48" s="272">
        <v>72646</v>
      </c>
      <c r="EG48" s="272">
        <v>0</v>
      </c>
      <c r="EH48" s="272">
        <v>72646</v>
      </c>
      <c r="EI48" s="272">
        <v>-11437</v>
      </c>
      <c r="EJ48" s="272">
        <v>-223291</v>
      </c>
      <c r="EK48" s="89"/>
      <c r="EL48" s="272"/>
      <c r="EM48" s="272">
        <v>39188</v>
      </c>
      <c r="EN48" s="272">
        <v>605146</v>
      </c>
      <c r="EO48" s="272">
        <v>3632</v>
      </c>
      <c r="EP48" s="455">
        <f t="shared" si="12"/>
        <v>266394</v>
      </c>
      <c r="EQ48" s="272">
        <v>7944415</v>
      </c>
      <c r="ER48" s="272">
        <v>-1782642</v>
      </c>
      <c r="ES48" s="272">
        <v>2839019</v>
      </c>
      <c r="ET48" s="272">
        <v>2038892</v>
      </c>
      <c r="EU48" s="272">
        <v>536334</v>
      </c>
      <c r="EV48" s="272">
        <v>1063711</v>
      </c>
      <c r="EW48" s="455">
        <f t="shared" si="13"/>
        <v>825350</v>
      </c>
      <c r="EX48" s="272">
        <v>825350</v>
      </c>
      <c r="EY48" s="272">
        <v>775</v>
      </c>
      <c r="EZ48" s="272">
        <v>822672</v>
      </c>
      <c r="FA48" s="272">
        <v>0</v>
      </c>
      <c r="FB48" s="272"/>
      <c r="FC48" s="272">
        <v>1742157</v>
      </c>
      <c r="FD48" s="272">
        <v>835217</v>
      </c>
      <c r="FE48" s="272">
        <v>405048</v>
      </c>
      <c r="FF48" s="272">
        <v>1611106</v>
      </c>
      <c r="FG48" s="455">
        <f t="shared" si="14"/>
        <v>201517</v>
      </c>
      <c r="FH48" s="272">
        <v>9654411</v>
      </c>
      <c r="FI48" s="384">
        <f t="shared" si="15"/>
        <v>1</v>
      </c>
      <c r="FJ48" s="272">
        <v>7180841</v>
      </c>
      <c r="FK48" s="272">
        <v>850359</v>
      </c>
      <c r="FL48" s="272">
        <v>4767513</v>
      </c>
      <c r="FM48" s="272">
        <v>5638054</v>
      </c>
      <c r="FN48" s="460">
        <v>0.85099999999999998</v>
      </c>
      <c r="FO48" s="388">
        <v>93</v>
      </c>
      <c r="FP48" s="388">
        <v>33.700000000000003</v>
      </c>
      <c r="FQ48" s="388">
        <v>6.6</v>
      </c>
      <c r="FR48" s="388">
        <v>13</v>
      </c>
      <c r="FS48" s="388">
        <v>19.399999999999999</v>
      </c>
      <c r="FT48" s="388">
        <v>8.5</v>
      </c>
      <c r="FU48" s="388">
        <v>11</v>
      </c>
      <c r="FV48" s="388">
        <v>8.1</v>
      </c>
      <c r="FW48" s="272">
        <v>10529539</v>
      </c>
      <c r="FX48" s="384">
        <f t="shared" si="16"/>
        <v>146.6</v>
      </c>
      <c r="FY48" s="272">
        <v>7001761</v>
      </c>
      <c r="FZ48" s="272">
        <v>1926577</v>
      </c>
      <c r="GA48" s="272">
        <v>583546</v>
      </c>
      <c r="GB48" s="272">
        <v>4491638</v>
      </c>
      <c r="GC48" s="272"/>
      <c r="GD48" s="272">
        <v>5265624</v>
      </c>
      <c r="GE48" s="384">
        <f>ROUND(GD48/FJ48*100,1)</f>
        <v>73.3</v>
      </c>
      <c r="GF48" s="388">
        <v>96.8</v>
      </c>
      <c r="GG48" s="388">
        <v>26.9</v>
      </c>
      <c r="GH48" s="388">
        <v>89.7</v>
      </c>
      <c r="GI48" s="272">
        <v>359</v>
      </c>
    </row>
    <row r="49" spans="2:191" x14ac:dyDescent="0.15">
      <c r="B49" s="21" t="s">
        <v>89</v>
      </c>
      <c r="C49" s="272">
        <f>SUM(C38:C48)</f>
        <v>31762677</v>
      </c>
      <c r="D49" s="455">
        <f t="shared" si="0"/>
        <v>10242138</v>
      </c>
      <c r="E49" s="272">
        <f>SUM(E38:E48)</f>
        <v>163251</v>
      </c>
      <c r="F49" s="272">
        <f>SUM(F38:F48)</f>
        <v>10078887</v>
      </c>
      <c r="G49" s="455">
        <f t="shared" si="1"/>
        <v>1843127</v>
      </c>
      <c r="H49" s="272">
        <f t="shared" ref="H49:R49" si="27">SUM(H38:H48)</f>
        <v>419243</v>
      </c>
      <c r="I49" s="272">
        <f t="shared" si="27"/>
        <v>1423884</v>
      </c>
      <c r="J49" s="272">
        <f t="shared" si="27"/>
        <v>15752883</v>
      </c>
      <c r="K49" s="272">
        <f t="shared" si="27"/>
        <v>7458962</v>
      </c>
      <c r="L49" s="272">
        <f t="shared" si="27"/>
        <v>5662622</v>
      </c>
      <c r="M49" s="272">
        <f t="shared" si="27"/>
        <v>2500601</v>
      </c>
      <c r="N49" s="272">
        <f t="shared" si="27"/>
        <v>2624723</v>
      </c>
      <c r="O49" s="272">
        <f t="shared" si="27"/>
        <v>1010718</v>
      </c>
      <c r="P49" s="272">
        <f t="shared" si="27"/>
        <v>643494</v>
      </c>
      <c r="Q49" s="272">
        <f t="shared" si="27"/>
        <v>367224</v>
      </c>
      <c r="R49" s="272">
        <f t="shared" si="27"/>
        <v>728719</v>
      </c>
      <c r="S49" s="272"/>
      <c r="T49" s="455">
        <f t="shared" si="2"/>
        <v>3208025</v>
      </c>
      <c r="U49" s="272">
        <f>SUM(U38:U48)</f>
        <v>356477</v>
      </c>
      <c r="V49" s="272"/>
      <c r="W49" s="272"/>
      <c r="X49" s="272">
        <f t="shared" ref="X49:AG49" si="28">SUM(X38:X48)</f>
        <v>1952336</v>
      </c>
      <c r="Y49" s="272">
        <f t="shared" si="28"/>
        <v>282610</v>
      </c>
      <c r="Z49" s="272">
        <f t="shared" si="28"/>
        <v>0</v>
      </c>
      <c r="AA49" s="272">
        <f t="shared" si="28"/>
        <v>616602</v>
      </c>
      <c r="AB49" s="272">
        <f t="shared" si="28"/>
        <v>1095659</v>
      </c>
      <c r="AC49" s="272">
        <f t="shared" si="28"/>
        <v>15713511</v>
      </c>
      <c r="AD49" s="272">
        <f t="shared" si="28"/>
        <v>13009202</v>
      </c>
      <c r="AE49" s="272">
        <f t="shared" si="28"/>
        <v>2704309</v>
      </c>
      <c r="AF49" s="272">
        <f t="shared" si="28"/>
        <v>48281</v>
      </c>
      <c r="AG49" s="272">
        <f t="shared" si="28"/>
        <v>165088</v>
      </c>
      <c r="AH49" s="455">
        <f t="shared" si="3"/>
        <v>1710380</v>
      </c>
      <c r="AI49" s="272">
        <f>SUM(AI38:AI48)</f>
        <v>1368996</v>
      </c>
      <c r="AJ49" s="272">
        <f>SUM(AJ38:AJ48)</f>
        <v>341384</v>
      </c>
      <c r="AK49" s="272">
        <f>SUM(AK38:AK48)</f>
        <v>4834976</v>
      </c>
      <c r="AL49" s="455">
        <f t="shared" si="4"/>
        <v>1009460</v>
      </c>
      <c r="AM49" s="272">
        <f t="shared" ref="AM49:BN49" si="29">SUM(AM38:AM48)</f>
        <v>388792</v>
      </c>
      <c r="AN49" s="272">
        <f t="shared" si="29"/>
        <v>590776</v>
      </c>
      <c r="AO49" s="272">
        <f t="shared" si="29"/>
        <v>0</v>
      </c>
      <c r="AP49" s="272">
        <f t="shared" si="29"/>
        <v>29892</v>
      </c>
      <c r="AQ49" s="272">
        <f t="shared" si="29"/>
        <v>1725849</v>
      </c>
      <c r="AR49" s="272">
        <f t="shared" si="29"/>
        <v>0</v>
      </c>
      <c r="AS49" s="272">
        <f t="shared" si="29"/>
        <v>0</v>
      </c>
      <c r="AT49" s="272">
        <f t="shared" si="29"/>
        <v>3840002</v>
      </c>
      <c r="AU49" s="272">
        <f t="shared" si="29"/>
        <v>2125725</v>
      </c>
      <c r="AV49" s="272">
        <f t="shared" si="29"/>
        <v>309442</v>
      </c>
      <c r="AW49" s="272">
        <f t="shared" si="29"/>
        <v>221858</v>
      </c>
      <c r="AX49" s="272">
        <f t="shared" si="29"/>
        <v>1714277</v>
      </c>
      <c r="AY49" s="272">
        <f t="shared" si="29"/>
        <v>270860</v>
      </c>
      <c r="AZ49" s="272">
        <f t="shared" si="29"/>
        <v>50293</v>
      </c>
      <c r="BA49" s="272">
        <f t="shared" si="29"/>
        <v>501</v>
      </c>
      <c r="BB49" s="272">
        <f t="shared" si="29"/>
        <v>96797</v>
      </c>
      <c r="BC49" s="272">
        <f t="shared" si="29"/>
        <v>4863528</v>
      </c>
      <c r="BD49" s="272">
        <f t="shared" si="29"/>
        <v>1611000</v>
      </c>
      <c r="BE49" s="272">
        <f t="shared" si="29"/>
        <v>941452</v>
      </c>
      <c r="BF49" s="272">
        <f t="shared" si="29"/>
        <v>1993492</v>
      </c>
      <c r="BG49" s="272">
        <f t="shared" si="29"/>
        <v>0</v>
      </c>
      <c r="BH49" s="272">
        <f t="shared" si="29"/>
        <v>2106884</v>
      </c>
      <c r="BI49" s="272">
        <f t="shared" si="29"/>
        <v>1059567</v>
      </c>
      <c r="BJ49" s="272">
        <f t="shared" si="29"/>
        <v>1414847</v>
      </c>
      <c r="BK49" s="272">
        <f t="shared" si="29"/>
        <v>315672</v>
      </c>
      <c r="BL49" s="272">
        <f t="shared" si="29"/>
        <v>0</v>
      </c>
      <c r="BM49" s="272">
        <f t="shared" si="29"/>
        <v>0</v>
      </c>
      <c r="BN49" s="272">
        <f t="shared" si="29"/>
        <v>9601200</v>
      </c>
      <c r="BO49" s="455">
        <f t="shared" si="5"/>
        <v>3369000</v>
      </c>
      <c r="BP49" s="455">
        <f t="shared" si="6"/>
        <v>6232200</v>
      </c>
      <c r="BQ49" s="272">
        <f>SUM(BQ38:BQ48)</f>
        <v>466400</v>
      </c>
      <c r="BR49" s="272">
        <f>SUM(BR38:BR48)</f>
        <v>0</v>
      </c>
      <c r="BS49" s="272">
        <f>SUM(BS38:BS48)</f>
        <v>5765800</v>
      </c>
      <c r="BT49" s="272">
        <f>SUM(BT38:BT48)</f>
        <v>0</v>
      </c>
      <c r="BU49" s="272">
        <f>SUM(BU38:BU48)</f>
        <v>81240867</v>
      </c>
      <c r="BV49" s="272"/>
      <c r="BW49" s="272">
        <f t="shared" ref="BW49:CI49" si="30">SUM(BW38:BW48)</f>
        <v>22092804</v>
      </c>
      <c r="BX49" s="272">
        <f t="shared" si="30"/>
        <v>14969600</v>
      </c>
      <c r="BY49" s="272">
        <f t="shared" si="30"/>
        <v>2096381</v>
      </c>
      <c r="BZ49" s="272">
        <f t="shared" si="30"/>
        <v>613378</v>
      </c>
      <c r="CA49" s="272">
        <f t="shared" si="30"/>
        <v>5415319</v>
      </c>
      <c r="CB49" s="272">
        <f t="shared" si="30"/>
        <v>1914980</v>
      </c>
      <c r="CC49" s="272">
        <f t="shared" si="30"/>
        <v>620222</v>
      </c>
      <c r="CD49" s="272">
        <f t="shared" si="30"/>
        <v>2174848</v>
      </c>
      <c r="CE49" s="272">
        <f t="shared" si="30"/>
        <v>530379</v>
      </c>
      <c r="CF49" s="272">
        <f t="shared" si="30"/>
        <v>5392</v>
      </c>
      <c r="CG49" s="272">
        <f t="shared" si="30"/>
        <v>169468</v>
      </c>
      <c r="CH49" s="272">
        <f t="shared" si="30"/>
        <v>10370116</v>
      </c>
      <c r="CI49" s="272">
        <f t="shared" si="30"/>
        <v>8130213</v>
      </c>
      <c r="CJ49" s="455">
        <f t="shared" si="7"/>
        <v>2239903</v>
      </c>
      <c r="CK49" s="272">
        <f t="shared" ref="CK49:CS49" si="31">SUM(CK38:CK48)</f>
        <v>12580381</v>
      </c>
      <c r="CL49" s="272">
        <f t="shared" si="31"/>
        <v>6461112</v>
      </c>
      <c r="CM49" s="272">
        <f t="shared" si="31"/>
        <v>1252516</v>
      </c>
      <c r="CN49" s="272">
        <f t="shared" si="31"/>
        <v>2673027</v>
      </c>
      <c r="CO49" s="272">
        <f t="shared" si="31"/>
        <v>786427</v>
      </c>
      <c r="CP49" s="272">
        <f t="shared" si="31"/>
        <v>5472477</v>
      </c>
      <c r="CQ49" s="272">
        <f t="shared" si="31"/>
        <v>1748614</v>
      </c>
      <c r="CR49" s="272">
        <f t="shared" si="31"/>
        <v>1331684</v>
      </c>
      <c r="CS49" s="272">
        <f t="shared" si="31"/>
        <v>1084366</v>
      </c>
      <c r="CT49" s="455">
        <f t="shared" si="8"/>
        <v>425600</v>
      </c>
      <c r="CU49" s="272">
        <f>SUM(CU38:CU48)</f>
        <v>299229</v>
      </c>
      <c r="CV49" s="272">
        <f>SUM(CV38:CV48)</f>
        <v>126371</v>
      </c>
      <c r="CW49" s="455">
        <f t="shared" si="9"/>
        <v>220149</v>
      </c>
      <c r="CX49" s="272">
        <f>SUM(CX38:CX48)</f>
        <v>198650</v>
      </c>
      <c r="CY49" s="272">
        <f>SUM(CY38:CY48)</f>
        <v>21499</v>
      </c>
      <c r="CZ49" s="455">
        <f t="shared" si="10"/>
        <v>0</v>
      </c>
      <c r="DA49" s="272">
        <f t="shared" ref="DA49:DU49" si="32">SUM(DA38:DA48)</f>
        <v>0</v>
      </c>
      <c r="DB49" s="272">
        <f t="shared" si="32"/>
        <v>0</v>
      </c>
      <c r="DC49" s="272">
        <f t="shared" si="32"/>
        <v>11246747</v>
      </c>
      <c r="DD49" s="272">
        <f t="shared" si="32"/>
        <v>4101611</v>
      </c>
      <c r="DE49" s="272">
        <f t="shared" si="32"/>
        <v>6738138</v>
      </c>
      <c r="DF49" s="272">
        <f t="shared" si="32"/>
        <v>251248</v>
      </c>
      <c r="DG49" s="272">
        <f t="shared" si="32"/>
        <v>147824</v>
      </c>
      <c r="DH49" s="272">
        <f t="shared" si="32"/>
        <v>44580</v>
      </c>
      <c r="DI49" s="272">
        <f t="shared" si="32"/>
        <v>1132353</v>
      </c>
      <c r="DJ49" s="272">
        <f t="shared" si="32"/>
        <v>699945</v>
      </c>
      <c r="DK49" s="272">
        <f t="shared" si="32"/>
        <v>2840</v>
      </c>
      <c r="DL49" s="272">
        <f t="shared" si="32"/>
        <v>429568</v>
      </c>
      <c r="DM49" s="272">
        <f t="shared" si="32"/>
        <v>37800</v>
      </c>
      <c r="DN49" s="272">
        <f t="shared" si="32"/>
        <v>37800</v>
      </c>
      <c r="DO49" s="272">
        <f t="shared" si="32"/>
        <v>37800</v>
      </c>
      <c r="DP49" s="272">
        <f t="shared" si="32"/>
        <v>0</v>
      </c>
      <c r="DQ49" s="272">
        <f t="shared" si="32"/>
        <v>87896</v>
      </c>
      <c r="DR49" s="272">
        <f t="shared" si="32"/>
        <v>0</v>
      </c>
      <c r="DS49" s="272">
        <f t="shared" si="32"/>
        <v>0</v>
      </c>
      <c r="DT49" s="272">
        <f t="shared" si="32"/>
        <v>9988222</v>
      </c>
      <c r="DU49" s="272">
        <f t="shared" si="32"/>
        <v>5229804</v>
      </c>
      <c r="DV49" s="455">
        <f t="shared" si="11"/>
        <v>0</v>
      </c>
      <c r="DW49" s="272">
        <f t="shared" ref="DW49:ED49" si="33">SUM(DW38:DW48)</f>
        <v>0</v>
      </c>
      <c r="DX49" s="272">
        <f t="shared" si="33"/>
        <v>0</v>
      </c>
      <c r="DY49" s="272">
        <f t="shared" si="33"/>
        <v>0</v>
      </c>
      <c r="DZ49" s="272">
        <f t="shared" si="33"/>
        <v>1676964</v>
      </c>
      <c r="EA49" s="272">
        <f t="shared" si="33"/>
        <v>1176928</v>
      </c>
      <c r="EB49" s="272">
        <f t="shared" si="33"/>
        <v>1634057</v>
      </c>
      <c r="EC49" s="272">
        <f t="shared" si="33"/>
        <v>0</v>
      </c>
      <c r="ED49" s="272">
        <f t="shared" si="33"/>
        <v>79255122</v>
      </c>
      <c r="EE49" s="89"/>
      <c r="EF49" s="272">
        <f>SUM(EF38:EF48)</f>
        <v>1985745</v>
      </c>
      <c r="EG49" s="272">
        <f>SUM(EG38:EG48)</f>
        <v>761244</v>
      </c>
      <c r="EH49" s="272">
        <f>SUM(EH38:EH48)</f>
        <v>1224501</v>
      </c>
      <c r="EI49" s="272">
        <f>SUM(EI38:EI48)</f>
        <v>104934</v>
      </c>
      <c r="EJ49" s="272">
        <f>SUM(EJ38:EJ48)</f>
        <v>-436091</v>
      </c>
      <c r="EK49" s="89"/>
      <c r="EL49" s="272"/>
      <c r="EM49" s="272">
        <f>SUM(EM38:EM48)</f>
        <v>233244</v>
      </c>
      <c r="EN49" s="272">
        <f>SUM(EN38:EN48)</f>
        <v>3435980</v>
      </c>
      <c r="EO49" s="272">
        <f>SUM(EO38:EO48)</f>
        <v>11436</v>
      </c>
      <c r="EP49" s="455">
        <f t="shared" si="12"/>
        <v>2610854</v>
      </c>
      <c r="EQ49" s="272">
        <f t="shared" ref="EQ49:EV49" si="34">SUM(EQ38:EQ48)</f>
        <v>52556872</v>
      </c>
      <c r="ER49" s="272">
        <f t="shared" si="34"/>
        <v>-12242189</v>
      </c>
      <c r="ES49" s="272">
        <f t="shared" si="34"/>
        <v>20213292</v>
      </c>
      <c r="ET49" s="272">
        <f t="shared" si="34"/>
        <v>13227841</v>
      </c>
      <c r="EU49" s="272">
        <f t="shared" si="34"/>
        <v>2214064</v>
      </c>
      <c r="EV49" s="272">
        <f t="shared" si="34"/>
        <v>10036390</v>
      </c>
      <c r="EW49" s="455">
        <f t="shared" si="13"/>
        <v>3787141</v>
      </c>
      <c r="EX49" s="272">
        <f>SUM(EX38:EX48)</f>
        <v>3754362</v>
      </c>
      <c r="EY49" s="272">
        <f>SUM(EY38:EY48)</f>
        <v>132053</v>
      </c>
      <c r="EZ49" s="272">
        <f>SUM(EZ38:EZ48)</f>
        <v>3476640</v>
      </c>
      <c r="FA49" s="272">
        <f>SUM(FA38:FA48)</f>
        <v>32779</v>
      </c>
      <c r="FB49" s="272"/>
      <c r="FC49" s="272">
        <f>SUM(FC38:FC48)</f>
        <v>10566798</v>
      </c>
      <c r="FD49" s="272">
        <f>SUM(FD38:FD48)</f>
        <v>4979739</v>
      </c>
      <c r="FE49" s="272">
        <f>SUM(FE38:FE48)</f>
        <v>1743814</v>
      </c>
      <c r="FF49" s="272">
        <f>SUM(FF38:FF48)</f>
        <v>9199378</v>
      </c>
      <c r="FG49" s="455">
        <f t="shared" si="14"/>
        <v>1817285</v>
      </c>
      <c r="FH49" s="272">
        <f>SUM(FH38:FH48)</f>
        <v>62814087</v>
      </c>
      <c r="FI49" s="384">
        <f t="shared" si="15"/>
        <v>2.2999999999999998</v>
      </c>
      <c r="FJ49" s="272">
        <f>SUM(FJ38:FJ48)</f>
        <v>52400008</v>
      </c>
      <c r="FK49" s="272">
        <f>SUM(FK38:FK48)</f>
        <v>6069293</v>
      </c>
      <c r="FL49" s="272">
        <f>SUM(FL38:FL48)</f>
        <v>29737730</v>
      </c>
      <c r="FM49" s="272">
        <f>SUM(FM38:FM48)</f>
        <v>38436439</v>
      </c>
      <c r="FN49" s="468">
        <v>0.73799999999999999</v>
      </c>
      <c r="FO49" s="469">
        <v>92.2</v>
      </c>
      <c r="FP49" s="469">
        <v>34.700000000000003</v>
      </c>
      <c r="FQ49" s="469">
        <v>4</v>
      </c>
      <c r="FR49" s="469">
        <v>17.399999999999999</v>
      </c>
      <c r="FS49" s="469">
        <v>17.3</v>
      </c>
      <c r="FT49" s="469">
        <v>7.3</v>
      </c>
      <c r="FU49" s="469">
        <v>10.199999999999999</v>
      </c>
      <c r="FV49" s="469">
        <v>8.1999999999999993</v>
      </c>
      <c r="FW49" s="272">
        <f>SUM(FW38:FW48)</f>
        <v>88445406</v>
      </c>
      <c r="FX49" s="384">
        <f t="shared" si="16"/>
        <v>168.8</v>
      </c>
      <c r="FY49" s="272">
        <f t="shared" ref="FY49:GD49" si="35">SUM(FY38:FY48)</f>
        <v>34406816</v>
      </c>
      <c r="FZ49" s="272">
        <f t="shared" si="35"/>
        <v>14332662</v>
      </c>
      <c r="GA49" s="272">
        <f t="shared" si="35"/>
        <v>2183870</v>
      </c>
      <c r="GB49" s="272">
        <f t="shared" si="35"/>
        <v>17890284</v>
      </c>
      <c r="GC49" s="272">
        <f t="shared" si="35"/>
        <v>0</v>
      </c>
      <c r="GD49" s="272">
        <f t="shared" si="35"/>
        <v>10432066</v>
      </c>
      <c r="GE49" s="465">
        <f>ROUND(GD49/FJ52*100,1)</f>
        <v>36.4</v>
      </c>
      <c r="GF49" s="469">
        <v>97.9</v>
      </c>
      <c r="GG49" s="469">
        <v>20.2</v>
      </c>
      <c r="GH49" s="469">
        <v>91.4</v>
      </c>
      <c r="GI49" s="272">
        <f>SUM(GI38:GI48)</f>
        <v>2254</v>
      </c>
    </row>
    <row r="50" spans="2:191" x14ac:dyDescent="0.15">
      <c r="B50" s="21" t="s">
        <v>91</v>
      </c>
      <c r="C50" s="272">
        <f>C37+C49</f>
        <v>761249099</v>
      </c>
      <c r="D50" s="455">
        <f t="shared" si="0"/>
        <v>251085310</v>
      </c>
      <c r="E50" s="272">
        <f>E37+E49</f>
        <v>4858174</v>
      </c>
      <c r="F50" s="272">
        <f>F37+F49</f>
        <v>246227136</v>
      </c>
      <c r="G50" s="455">
        <f t="shared" si="1"/>
        <v>51584768</v>
      </c>
      <c r="H50" s="272">
        <f t="shared" ref="H50:R50" si="36">H37+H49</f>
        <v>12363777</v>
      </c>
      <c r="I50" s="272">
        <f t="shared" si="36"/>
        <v>39220991</v>
      </c>
      <c r="J50" s="272">
        <f t="shared" si="36"/>
        <v>341663307</v>
      </c>
      <c r="K50" s="272">
        <f t="shared" si="36"/>
        <v>166057524</v>
      </c>
      <c r="L50" s="272">
        <f t="shared" si="36"/>
        <v>123543503</v>
      </c>
      <c r="M50" s="272">
        <f t="shared" si="36"/>
        <v>46243206</v>
      </c>
      <c r="N50" s="272">
        <f t="shared" si="36"/>
        <v>34595944</v>
      </c>
      <c r="O50" s="272">
        <f t="shared" si="36"/>
        <v>70911847</v>
      </c>
      <c r="P50" s="272">
        <f t="shared" si="36"/>
        <v>44637258</v>
      </c>
      <c r="Q50" s="272">
        <f t="shared" si="36"/>
        <v>26274589</v>
      </c>
      <c r="R50" s="272">
        <f t="shared" si="36"/>
        <v>13711890</v>
      </c>
      <c r="S50" s="272"/>
      <c r="T50" s="455">
        <f t="shared" si="2"/>
        <v>67626073</v>
      </c>
      <c r="U50" s="272">
        <f>U37+U49</f>
        <v>8547273</v>
      </c>
      <c r="V50" s="272"/>
      <c r="W50" s="272"/>
      <c r="X50" s="272">
        <f t="shared" ref="X50:AG50" si="37">X37+X49</f>
        <v>47828835</v>
      </c>
      <c r="Y50" s="272">
        <f t="shared" si="37"/>
        <v>1128862</v>
      </c>
      <c r="Z50" s="272">
        <f t="shared" si="37"/>
        <v>377</v>
      </c>
      <c r="AA50" s="272">
        <f t="shared" si="37"/>
        <v>10120726</v>
      </c>
      <c r="AB50" s="272">
        <f t="shared" si="37"/>
        <v>27789362</v>
      </c>
      <c r="AC50" s="272">
        <f t="shared" si="37"/>
        <v>168718059</v>
      </c>
      <c r="AD50" s="272">
        <f t="shared" si="37"/>
        <v>153315050</v>
      </c>
      <c r="AE50" s="272">
        <f t="shared" si="37"/>
        <v>15403009</v>
      </c>
      <c r="AF50" s="272">
        <f t="shared" si="37"/>
        <v>1068619</v>
      </c>
      <c r="AG50" s="272">
        <f t="shared" si="37"/>
        <v>15990292</v>
      </c>
      <c r="AH50" s="455">
        <f t="shared" si="3"/>
        <v>38516104</v>
      </c>
      <c r="AI50" s="272">
        <f>AI37+AI49</f>
        <v>30573060</v>
      </c>
      <c r="AJ50" s="272">
        <f>AJ37+AJ49</f>
        <v>7943044</v>
      </c>
      <c r="AK50" s="272">
        <f>AK37+AK49</f>
        <v>206501200</v>
      </c>
      <c r="AL50" s="455">
        <f t="shared" si="4"/>
        <v>121810884</v>
      </c>
      <c r="AM50" s="272">
        <f t="shared" ref="AM50:BN50" si="38">AM37+AM49</f>
        <v>98438636</v>
      </c>
      <c r="AN50" s="272">
        <f t="shared" si="38"/>
        <v>22536360</v>
      </c>
      <c r="AO50" s="272">
        <f t="shared" si="38"/>
        <v>60560</v>
      </c>
      <c r="AP50" s="272">
        <f t="shared" si="38"/>
        <v>775328</v>
      </c>
      <c r="AQ50" s="272">
        <f t="shared" si="38"/>
        <v>19009188</v>
      </c>
      <c r="AR50" s="272">
        <f t="shared" si="38"/>
        <v>8725</v>
      </c>
      <c r="AS50" s="272">
        <f t="shared" si="38"/>
        <v>324481</v>
      </c>
      <c r="AT50" s="272">
        <f t="shared" si="38"/>
        <v>76903548</v>
      </c>
      <c r="AU50" s="272">
        <f t="shared" si="38"/>
        <v>42690888</v>
      </c>
      <c r="AV50" s="272">
        <f t="shared" si="38"/>
        <v>8784844</v>
      </c>
      <c r="AW50" s="272">
        <f t="shared" si="38"/>
        <v>2266853</v>
      </c>
      <c r="AX50" s="272">
        <f t="shared" si="38"/>
        <v>34212660</v>
      </c>
      <c r="AY50" s="272">
        <f t="shared" si="38"/>
        <v>3479153</v>
      </c>
      <c r="AZ50" s="272">
        <f t="shared" si="38"/>
        <v>6874829</v>
      </c>
      <c r="BA50" s="272">
        <f t="shared" si="38"/>
        <v>5880770</v>
      </c>
      <c r="BB50" s="272">
        <f t="shared" si="38"/>
        <v>2133857</v>
      </c>
      <c r="BC50" s="272">
        <f t="shared" si="38"/>
        <v>43082734</v>
      </c>
      <c r="BD50" s="272">
        <f t="shared" si="38"/>
        <v>9603440</v>
      </c>
      <c r="BE50" s="272">
        <f t="shared" si="38"/>
        <v>3677410</v>
      </c>
      <c r="BF50" s="272">
        <f t="shared" si="38"/>
        <v>19804477</v>
      </c>
      <c r="BG50" s="272">
        <f t="shared" si="38"/>
        <v>7171983</v>
      </c>
      <c r="BH50" s="272">
        <f t="shared" si="38"/>
        <v>10885821</v>
      </c>
      <c r="BI50" s="272">
        <f t="shared" si="38"/>
        <v>5320968</v>
      </c>
      <c r="BJ50" s="272">
        <f t="shared" si="38"/>
        <v>48096422</v>
      </c>
      <c r="BK50" s="272">
        <f t="shared" si="38"/>
        <v>30633800</v>
      </c>
      <c r="BL50" s="272">
        <f t="shared" si="38"/>
        <v>521008</v>
      </c>
      <c r="BM50" s="272">
        <f t="shared" si="38"/>
        <v>2345091</v>
      </c>
      <c r="BN50" s="272">
        <f t="shared" si="38"/>
        <v>169161730</v>
      </c>
      <c r="BO50" s="455">
        <f t="shared" si="5"/>
        <v>62640030</v>
      </c>
      <c r="BP50" s="455">
        <f t="shared" si="6"/>
        <v>106030700</v>
      </c>
      <c r="BQ50" s="272">
        <f>BQ37+BQ49</f>
        <v>10008500</v>
      </c>
      <c r="BR50" s="272">
        <f>BR37+BR49</f>
        <v>0</v>
      </c>
      <c r="BS50" s="272">
        <f>BS37+BS49</f>
        <v>96022200</v>
      </c>
      <c r="BT50" s="272">
        <f>BT37+BT49</f>
        <v>491000</v>
      </c>
      <c r="BU50" s="272">
        <f>BU37+BU49</f>
        <v>1658634120</v>
      </c>
      <c r="BV50" s="272"/>
      <c r="BW50" s="272">
        <f t="shared" ref="BW50:CI50" si="39">BW37+BW49</f>
        <v>431772231</v>
      </c>
      <c r="BX50" s="272">
        <f t="shared" si="39"/>
        <v>294813124</v>
      </c>
      <c r="BY50" s="272">
        <f t="shared" si="39"/>
        <v>51259985</v>
      </c>
      <c r="BZ50" s="272">
        <f t="shared" si="39"/>
        <v>16440063</v>
      </c>
      <c r="CA50" s="272">
        <f t="shared" si="39"/>
        <v>296293388</v>
      </c>
      <c r="CB50" s="272">
        <f t="shared" si="39"/>
        <v>43138265</v>
      </c>
      <c r="CC50" s="272">
        <f t="shared" si="39"/>
        <v>16063830</v>
      </c>
      <c r="CD50" s="272">
        <f t="shared" si="39"/>
        <v>90887702</v>
      </c>
      <c r="CE50" s="272">
        <f t="shared" si="39"/>
        <v>133758333</v>
      </c>
      <c r="CF50" s="272">
        <f t="shared" si="39"/>
        <v>6635780</v>
      </c>
      <c r="CG50" s="272">
        <f t="shared" si="39"/>
        <v>5796293</v>
      </c>
      <c r="CH50" s="272">
        <f t="shared" si="39"/>
        <v>174450509</v>
      </c>
      <c r="CI50" s="272">
        <f t="shared" si="39"/>
        <v>130534354</v>
      </c>
      <c r="CJ50" s="455">
        <f t="shared" si="7"/>
        <v>43916155</v>
      </c>
      <c r="CK50" s="272">
        <f t="shared" ref="CK50:CS50" si="40">CK37+CK49</f>
        <v>192399421</v>
      </c>
      <c r="CL50" s="272">
        <f t="shared" si="40"/>
        <v>108968006</v>
      </c>
      <c r="CM50" s="272">
        <f t="shared" si="40"/>
        <v>12740198</v>
      </c>
      <c r="CN50" s="272">
        <f t="shared" si="40"/>
        <v>37758947</v>
      </c>
      <c r="CO50" s="272">
        <f t="shared" si="40"/>
        <v>14534260</v>
      </c>
      <c r="CP50" s="272">
        <f t="shared" si="40"/>
        <v>125421957</v>
      </c>
      <c r="CQ50" s="272">
        <f t="shared" si="40"/>
        <v>43206027</v>
      </c>
      <c r="CR50" s="272">
        <f t="shared" si="40"/>
        <v>38300636</v>
      </c>
      <c r="CS50" s="272">
        <f t="shared" si="40"/>
        <v>28087281</v>
      </c>
      <c r="CT50" s="455">
        <f t="shared" si="8"/>
        <v>17348103</v>
      </c>
      <c r="CU50" s="272">
        <f>CU37+CU49</f>
        <v>11795083</v>
      </c>
      <c r="CV50" s="272">
        <f>CV37+CV49</f>
        <v>5553020</v>
      </c>
      <c r="CW50" s="455">
        <f t="shared" si="9"/>
        <v>13707534</v>
      </c>
      <c r="CX50" s="272">
        <f>CX37+CX49</f>
        <v>10465793</v>
      </c>
      <c r="CY50" s="272">
        <f>CY37+CY49</f>
        <v>3241741</v>
      </c>
      <c r="CZ50" s="455">
        <f t="shared" si="10"/>
        <v>861229</v>
      </c>
      <c r="DA50" s="272">
        <f t="shared" ref="DA50:DU50" si="41">DA37+DA49</f>
        <v>512828</v>
      </c>
      <c r="DB50" s="272">
        <f t="shared" si="41"/>
        <v>348401</v>
      </c>
      <c r="DC50" s="272">
        <f t="shared" si="41"/>
        <v>154632013</v>
      </c>
      <c r="DD50" s="272">
        <f t="shared" si="41"/>
        <v>42691149</v>
      </c>
      <c r="DE50" s="272">
        <f t="shared" si="41"/>
        <v>105758802</v>
      </c>
      <c r="DF50" s="272">
        <f t="shared" si="41"/>
        <v>1957853</v>
      </c>
      <c r="DG50" s="272">
        <f t="shared" si="41"/>
        <v>4216283</v>
      </c>
      <c r="DH50" s="272">
        <f t="shared" si="41"/>
        <v>192142</v>
      </c>
      <c r="DI50" s="272">
        <f t="shared" si="41"/>
        <v>17234739</v>
      </c>
      <c r="DJ50" s="272">
        <f t="shared" si="41"/>
        <v>4104453</v>
      </c>
      <c r="DK50" s="272">
        <f t="shared" si="41"/>
        <v>1112453</v>
      </c>
      <c r="DL50" s="272">
        <f t="shared" si="41"/>
        <v>12017833</v>
      </c>
      <c r="DM50" s="272">
        <f t="shared" si="41"/>
        <v>5785394</v>
      </c>
      <c r="DN50" s="272">
        <f t="shared" si="41"/>
        <v>5140546</v>
      </c>
      <c r="DO50" s="272">
        <f t="shared" si="41"/>
        <v>215469</v>
      </c>
      <c r="DP50" s="272">
        <f t="shared" si="41"/>
        <v>4925077</v>
      </c>
      <c r="DQ50" s="272">
        <f t="shared" si="41"/>
        <v>31408485</v>
      </c>
      <c r="DR50" s="272">
        <f t="shared" si="41"/>
        <v>640000</v>
      </c>
      <c r="DS50" s="272">
        <f t="shared" si="41"/>
        <v>200000</v>
      </c>
      <c r="DT50" s="272">
        <f t="shared" si="41"/>
        <v>204040902</v>
      </c>
      <c r="DU50" s="272">
        <f t="shared" si="41"/>
        <v>95391341</v>
      </c>
      <c r="DV50" s="455">
        <f t="shared" si="11"/>
        <v>420093</v>
      </c>
      <c r="DW50" s="272">
        <f t="shared" ref="DW50:ED50" si="42">DW37+DW49</f>
        <v>420093</v>
      </c>
      <c r="DX50" s="272">
        <f t="shared" si="42"/>
        <v>0</v>
      </c>
      <c r="DY50" s="272">
        <f t="shared" si="42"/>
        <v>1601186</v>
      </c>
      <c r="DZ50" s="272">
        <f t="shared" si="42"/>
        <v>49814820</v>
      </c>
      <c r="EA50" s="272">
        <f t="shared" si="42"/>
        <v>22548719</v>
      </c>
      <c r="EB50" s="272">
        <f t="shared" si="42"/>
        <v>29695546</v>
      </c>
      <c r="EC50" s="272">
        <f t="shared" si="42"/>
        <v>12340751</v>
      </c>
      <c r="ED50" s="272">
        <f t="shared" si="42"/>
        <v>1660506192</v>
      </c>
      <c r="EE50" s="89"/>
      <c r="EF50" s="272">
        <f>EF37+EF49</f>
        <v>-1872072</v>
      </c>
      <c r="EG50" s="272">
        <f>EG37+EG49</f>
        <v>4984621</v>
      </c>
      <c r="EH50" s="272">
        <f>EH37+EH49</f>
        <v>-6856693</v>
      </c>
      <c r="EI50" s="272">
        <f>EI37+EI49</f>
        <v>-115158</v>
      </c>
      <c r="EJ50" s="272">
        <f>EJ37+EJ49</f>
        <v>-4873224</v>
      </c>
      <c r="EK50" s="89"/>
      <c r="EL50" s="272"/>
      <c r="EM50" s="272">
        <f>EM37+EM49</f>
        <v>5368014</v>
      </c>
      <c r="EN50" s="272">
        <f>EN37+EN49</f>
        <v>24821305</v>
      </c>
      <c r="EO50" s="272">
        <f>EO37+EO49</f>
        <v>5079115</v>
      </c>
      <c r="EP50" s="455">
        <f t="shared" si="12"/>
        <v>29568525</v>
      </c>
      <c r="EQ50" s="272">
        <f t="shared" ref="EQ50:EV50" si="43">EQ37+EQ49</f>
        <v>1040487583</v>
      </c>
      <c r="ER50" s="272">
        <f t="shared" si="43"/>
        <v>-164106545</v>
      </c>
      <c r="ES50" s="272">
        <f t="shared" si="43"/>
        <v>395414427</v>
      </c>
      <c r="ET50" s="272">
        <f t="shared" si="43"/>
        <v>262712023</v>
      </c>
      <c r="EU50" s="272">
        <f t="shared" si="43"/>
        <v>94526718</v>
      </c>
      <c r="EV50" s="272">
        <f t="shared" si="43"/>
        <v>171119777</v>
      </c>
      <c r="EW50" s="455">
        <f t="shared" si="13"/>
        <v>50175673</v>
      </c>
      <c r="EX50" s="272">
        <f>EX37+EX49</f>
        <v>50050350</v>
      </c>
      <c r="EY50" s="272">
        <f>EY37+EY49</f>
        <v>5702852</v>
      </c>
      <c r="EZ50" s="272">
        <f>EZ37+EZ49</f>
        <v>43846049</v>
      </c>
      <c r="FA50" s="272">
        <f>FA37+FA49</f>
        <v>125323</v>
      </c>
      <c r="FB50" s="272"/>
      <c r="FC50" s="272">
        <f>FC37+FC49</f>
        <v>153915570</v>
      </c>
      <c r="FD50" s="272">
        <f>FD37+FD49</f>
        <v>114253579</v>
      </c>
      <c r="FE50" s="272">
        <f>FE37+FE49</f>
        <v>43080227</v>
      </c>
      <c r="FF50" s="272">
        <f>FF37+FF49</f>
        <v>184167155</v>
      </c>
      <c r="FG50" s="455">
        <f t="shared" si="14"/>
        <v>42975798</v>
      </c>
      <c r="FH50" s="272">
        <f>FH37+FH49</f>
        <v>1206548697</v>
      </c>
      <c r="FI50" s="384">
        <f t="shared" si="15"/>
        <v>-0.7</v>
      </c>
      <c r="FJ50" s="272">
        <f>FJ37+FJ49</f>
        <v>958035728</v>
      </c>
      <c r="FK50" s="272">
        <f>FK37+FK49</f>
        <v>98137261</v>
      </c>
      <c r="FL50" s="272">
        <f>FL37+FL49</f>
        <v>607271962</v>
      </c>
      <c r="FM50" s="272">
        <f>FM37+FM49</f>
        <v>752709735</v>
      </c>
      <c r="FN50" s="468">
        <v>0.80800000000000005</v>
      </c>
      <c r="FO50" s="469">
        <v>96.4</v>
      </c>
      <c r="FP50" s="469">
        <v>34.200000000000003</v>
      </c>
      <c r="FQ50" s="469">
        <v>9.1999999999999993</v>
      </c>
      <c r="FR50" s="469">
        <v>16.2</v>
      </c>
      <c r="FS50" s="469">
        <v>13.6</v>
      </c>
      <c r="FT50" s="469">
        <v>10.199999999999999</v>
      </c>
      <c r="FU50" s="469">
        <v>11.8</v>
      </c>
      <c r="FV50" s="469">
        <v>10.3</v>
      </c>
      <c r="FW50" s="272">
        <f>FW37+FW49</f>
        <v>1649524170</v>
      </c>
      <c r="FX50" s="384">
        <f t="shared" si="16"/>
        <v>172.2</v>
      </c>
      <c r="FY50" s="272">
        <f t="shared" ref="FY50:GD50" si="44">FY37+FY49</f>
        <v>286672612</v>
      </c>
      <c r="FZ50" s="272">
        <f t="shared" si="44"/>
        <v>87446187</v>
      </c>
      <c r="GA50" s="272">
        <f t="shared" si="44"/>
        <v>23409475</v>
      </c>
      <c r="GB50" s="272">
        <f t="shared" si="44"/>
        <v>175816950</v>
      </c>
      <c r="GC50" s="272">
        <f t="shared" si="44"/>
        <v>11636819</v>
      </c>
      <c r="GD50" s="272">
        <f t="shared" si="44"/>
        <v>297764669</v>
      </c>
      <c r="GE50" s="465">
        <f>ROUND(GD50/FJ53*100,1)</f>
        <v>31.9</v>
      </c>
      <c r="GF50" s="469">
        <v>97.7</v>
      </c>
      <c r="GG50" s="469">
        <v>21.2</v>
      </c>
      <c r="GH50" s="469">
        <v>91.3</v>
      </c>
      <c r="GI50" s="272">
        <f>GI37+GI49</f>
        <v>39637</v>
      </c>
    </row>
    <row r="51" spans="2:191" x14ac:dyDescent="0.15">
      <c r="C51" s="89"/>
      <c r="E51" s="89"/>
      <c r="F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U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I51" s="89"/>
      <c r="AJ51" s="89"/>
      <c r="AK51" s="89"/>
      <c r="CK51" s="89"/>
      <c r="CL51" s="89"/>
      <c r="CM51" s="89"/>
      <c r="CN51" s="89"/>
      <c r="CO51" s="89"/>
      <c r="CP51" s="89"/>
      <c r="CQ51" s="89"/>
      <c r="CR51" s="89"/>
      <c r="CS51" s="89"/>
      <c r="CU51" s="89"/>
      <c r="CV51" s="89"/>
      <c r="CX51" s="89"/>
      <c r="CY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GE51" s="31" t="s">
        <v>647</v>
      </c>
    </row>
    <row r="52" spans="2:191" x14ac:dyDescent="0.15">
      <c r="C52" s="89"/>
      <c r="E52" s="89"/>
      <c r="F52" s="89"/>
      <c r="U52" s="89"/>
      <c r="CK52" s="89"/>
      <c r="CL52" s="89"/>
      <c r="CM52" s="89"/>
      <c r="CN52" s="89"/>
      <c r="CO52" s="89"/>
      <c r="CP52" s="89"/>
      <c r="CQ52" s="89"/>
      <c r="CR52" s="89"/>
      <c r="CS52" s="89"/>
      <c r="CX52" s="89"/>
      <c r="CY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FJ52" s="394">
        <f>FJ42+FJ43+FJ45+FJ46+FJ48</f>
        <v>28626406</v>
      </c>
      <c r="FO52" s="33"/>
      <c r="FP52" s="89" t="s">
        <v>816</v>
      </c>
    </row>
    <row r="53" spans="2:191" x14ac:dyDescent="0.15">
      <c r="C53" s="89"/>
      <c r="CX53" s="89"/>
      <c r="CY53" s="89"/>
      <c r="FJ53" s="394">
        <f>FJ37+FJ52</f>
        <v>934262126</v>
      </c>
    </row>
    <row r="54" spans="2:191" x14ac:dyDescent="0.15">
      <c r="C54" s="89"/>
    </row>
    <row r="55" spans="2:191" x14ac:dyDescent="0.15">
      <c r="C55" s="89"/>
    </row>
    <row r="56" spans="2:191" x14ac:dyDescent="0.15">
      <c r="C56" s="89"/>
    </row>
    <row r="57" spans="2:191" x14ac:dyDescent="0.15">
      <c r="C57" s="89"/>
    </row>
    <row r="58" spans="2:191" x14ac:dyDescent="0.15">
      <c r="C58" s="89"/>
    </row>
  </sheetData>
  <phoneticPr fontId="3"/>
  <pageMargins left="0.75" right="0.75" top="1" bottom="1" header="0.51200000000000001" footer="0.51200000000000001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>
    <tabColor indexed="15"/>
  </sheetPr>
  <dimension ref="A1:GI54"/>
  <sheetViews>
    <sheetView workbookViewId="0">
      <pane xSplit="2" ySplit="5" topLeftCell="FV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</cols>
  <sheetData>
    <row r="1" spans="2:191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191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830</v>
      </c>
      <c r="O2" s="28" t="s">
        <v>831</v>
      </c>
      <c r="P2" s="28" t="s">
        <v>832</v>
      </c>
      <c r="Q2" s="28" t="s">
        <v>348</v>
      </c>
      <c r="R2" s="28" t="s">
        <v>351</v>
      </c>
      <c r="S2" s="28"/>
      <c r="U2" s="28" t="s">
        <v>794</v>
      </c>
      <c r="V2" s="28"/>
      <c r="W2" s="28"/>
      <c r="X2" s="28" t="s">
        <v>725</v>
      </c>
      <c r="Y2" s="28" t="s">
        <v>354</v>
      </c>
      <c r="Z2" s="28" t="s">
        <v>355</v>
      </c>
      <c r="AA2" s="28" t="s">
        <v>664</v>
      </c>
      <c r="AB2" s="28" t="s">
        <v>357</v>
      </c>
      <c r="AC2" s="28" t="s">
        <v>653</v>
      </c>
      <c r="AD2" s="28" t="s">
        <v>358</v>
      </c>
      <c r="AE2" s="28" t="s">
        <v>359</v>
      </c>
      <c r="AF2" s="28" t="s">
        <v>360</v>
      </c>
      <c r="AG2" s="28" t="s">
        <v>361</v>
      </c>
      <c r="AI2" s="28" t="s">
        <v>362</v>
      </c>
      <c r="AJ2" s="28" t="s">
        <v>668</v>
      </c>
      <c r="AK2" s="28" t="s">
        <v>685</v>
      </c>
      <c r="AL2" s="29"/>
      <c r="AM2" s="28" t="s">
        <v>669</v>
      </c>
      <c r="AN2" s="28" t="s">
        <v>796</v>
      </c>
      <c r="AO2" s="28" t="s">
        <v>727</v>
      </c>
      <c r="AP2" s="28" t="s">
        <v>833</v>
      </c>
      <c r="AQ2" s="28" t="s">
        <v>797</v>
      </c>
      <c r="AR2" s="28" t="s">
        <v>368</v>
      </c>
      <c r="AS2" s="28" t="s">
        <v>374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817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 t="s">
        <v>834</v>
      </c>
      <c r="BR2" s="28" t="s">
        <v>780</v>
      </c>
      <c r="BS2" s="28" t="s">
        <v>818</v>
      </c>
      <c r="BT2" s="28" t="s">
        <v>835</v>
      </c>
      <c r="BU2" s="28" t="s">
        <v>806</v>
      </c>
      <c r="BW2" s="28" t="s">
        <v>402</v>
      </c>
      <c r="BX2" s="28" t="s">
        <v>403</v>
      </c>
      <c r="BY2" s="28" t="s">
        <v>786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836</v>
      </c>
      <c r="CM2" s="28" t="s">
        <v>837</v>
      </c>
      <c r="CN2" s="28" t="s">
        <v>838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820</v>
      </c>
      <c r="CV2" s="28" t="s">
        <v>821</v>
      </c>
      <c r="CX2" s="28" t="s">
        <v>426</v>
      </c>
      <c r="CY2" s="28" t="s">
        <v>812</v>
      </c>
      <c r="DA2" s="28" t="s">
        <v>822</v>
      </c>
      <c r="DB2" s="28" t="s">
        <v>823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824</v>
      </c>
      <c r="DW2" s="28" t="s">
        <v>449</v>
      </c>
      <c r="DX2" s="28" t="s">
        <v>448</v>
      </c>
      <c r="DY2" s="28" t="s">
        <v>451</v>
      </c>
      <c r="DZ2" s="28" t="s">
        <v>825</v>
      </c>
      <c r="EA2" s="28" t="s">
        <v>826</v>
      </c>
      <c r="EB2" s="28" t="s">
        <v>453</v>
      </c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191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827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191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203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191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828</v>
      </c>
      <c r="DX5" s="30" t="s">
        <v>829</v>
      </c>
      <c r="DY5" s="30"/>
      <c r="DZ5" s="30"/>
      <c r="EA5" s="30"/>
      <c r="EB5" s="30"/>
      <c r="EC5" s="30"/>
      <c r="ED5" s="3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191" x14ac:dyDescent="0.15">
      <c r="B6" s="89" t="s">
        <v>5</v>
      </c>
      <c r="C6" s="272">
        <v>25213486</v>
      </c>
      <c r="D6" s="455">
        <f t="shared" ref="D6:D50" si="0">E6+F6</f>
        <v>7826041</v>
      </c>
      <c r="E6" s="272">
        <v>171615</v>
      </c>
      <c r="F6" s="272">
        <v>7654426</v>
      </c>
      <c r="G6" s="455">
        <f t="shared" ref="G6:G50" si="1">H6+I6</f>
        <v>1525555</v>
      </c>
      <c r="H6" s="272">
        <v>437355</v>
      </c>
      <c r="I6" s="272">
        <v>1088200</v>
      </c>
      <c r="J6" s="272">
        <v>11683905</v>
      </c>
      <c r="K6" s="272">
        <v>5885803</v>
      </c>
      <c r="L6" s="272">
        <v>4263441</v>
      </c>
      <c r="M6" s="272">
        <v>1242421</v>
      </c>
      <c r="N6" s="272">
        <v>1477026</v>
      </c>
      <c r="O6" s="272">
        <v>2454465</v>
      </c>
      <c r="P6" s="272">
        <v>1567737</v>
      </c>
      <c r="Q6" s="272">
        <v>886728</v>
      </c>
      <c r="R6" s="272">
        <v>417706</v>
      </c>
      <c r="S6" s="272"/>
      <c r="T6" s="455">
        <f t="shared" ref="T6:T50" si="2">SUM(U6:AA6)</f>
        <v>2355297</v>
      </c>
      <c r="U6" s="272">
        <v>349479</v>
      </c>
      <c r="V6" s="272"/>
      <c r="W6" s="272"/>
      <c r="X6" s="272">
        <v>1573132</v>
      </c>
      <c r="Y6" s="272">
        <v>72705</v>
      </c>
      <c r="Z6" s="272">
        <v>0</v>
      </c>
      <c r="AA6" s="272">
        <v>359981</v>
      </c>
      <c r="AB6" s="272">
        <v>788021</v>
      </c>
      <c r="AC6" s="272">
        <v>12325445</v>
      </c>
      <c r="AD6" s="272">
        <v>12180353</v>
      </c>
      <c r="AE6" s="272">
        <v>145092</v>
      </c>
      <c r="AF6" s="272">
        <v>41246</v>
      </c>
      <c r="AG6" s="272">
        <v>409318</v>
      </c>
      <c r="AH6" s="455">
        <f t="shared" ref="AH6:AH50" si="3">AI6+AJ6</f>
        <v>1968362</v>
      </c>
      <c r="AI6" s="272">
        <v>1772328</v>
      </c>
      <c r="AJ6" s="272">
        <v>196034</v>
      </c>
      <c r="AK6" s="272">
        <v>7072334</v>
      </c>
      <c r="AL6" s="455">
        <f t="shared" ref="AL6:AL50" si="4">SUM(AM6:AP6)</f>
        <v>4720299</v>
      </c>
      <c r="AM6" s="272">
        <v>3749833</v>
      </c>
      <c r="AN6" s="272">
        <v>959204</v>
      </c>
      <c r="AO6" s="272">
        <v>0</v>
      </c>
      <c r="AP6" s="272">
        <v>11262</v>
      </c>
      <c r="AQ6" s="272">
        <v>325132</v>
      </c>
      <c r="AR6" s="272">
        <v>0</v>
      </c>
      <c r="AS6" s="272">
        <v>0</v>
      </c>
      <c r="AT6" s="272">
        <v>2993915</v>
      </c>
      <c r="AU6" s="272">
        <v>1750115</v>
      </c>
      <c r="AV6" s="272">
        <v>479602</v>
      </c>
      <c r="AW6" s="272">
        <v>212925</v>
      </c>
      <c r="AX6" s="272">
        <v>1243800</v>
      </c>
      <c r="AY6" s="272">
        <v>132203</v>
      </c>
      <c r="AZ6" s="272">
        <v>102264</v>
      </c>
      <c r="BA6" s="272">
        <v>63030</v>
      </c>
      <c r="BB6" s="272">
        <v>27551</v>
      </c>
      <c r="BC6" s="272">
        <v>2212217</v>
      </c>
      <c r="BD6" s="272">
        <v>400000</v>
      </c>
      <c r="BE6" s="272">
        <v>523218</v>
      </c>
      <c r="BF6" s="272">
        <v>361755</v>
      </c>
      <c r="BG6" s="272">
        <v>825348</v>
      </c>
      <c r="BH6" s="272">
        <v>347861</v>
      </c>
      <c r="BI6" s="272">
        <v>135741</v>
      </c>
      <c r="BJ6" s="272">
        <v>1595506</v>
      </c>
      <c r="BK6" s="272">
        <v>109609</v>
      </c>
      <c r="BL6" s="272">
        <v>0</v>
      </c>
      <c r="BM6" s="272">
        <v>867766</v>
      </c>
      <c r="BN6" s="272">
        <v>3624300</v>
      </c>
      <c r="BO6" s="455">
        <f t="shared" ref="BO6:BO50" si="5">BN6-BP6-BT6</f>
        <v>1675900</v>
      </c>
      <c r="BP6" s="455">
        <f t="shared" ref="BP6:BP50" si="6">BQ6+BR6+BS6</f>
        <v>1948400</v>
      </c>
      <c r="BQ6" s="272">
        <v>307800</v>
      </c>
      <c r="BR6" s="272">
        <v>0</v>
      </c>
      <c r="BS6" s="272">
        <v>1640600</v>
      </c>
      <c r="BT6" s="272">
        <v>0</v>
      </c>
      <c r="BU6" s="272">
        <v>61494829</v>
      </c>
      <c r="BV6" s="272"/>
      <c r="BW6" s="272">
        <v>16364647</v>
      </c>
      <c r="BX6" s="272">
        <v>11364523</v>
      </c>
      <c r="BY6" s="272">
        <v>2143930</v>
      </c>
      <c r="BZ6" s="272">
        <v>377447</v>
      </c>
      <c r="CA6" s="272">
        <v>11255726</v>
      </c>
      <c r="CB6" s="272">
        <v>1539700</v>
      </c>
      <c r="CC6" s="272">
        <v>733240</v>
      </c>
      <c r="CD6" s="272">
        <v>3553555</v>
      </c>
      <c r="CE6" s="272">
        <v>5121923</v>
      </c>
      <c r="CF6" s="272">
        <v>709</v>
      </c>
      <c r="CG6" s="272">
        <v>303659</v>
      </c>
      <c r="CH6" s="272">
        <v>8411029</v>
      </c>
      <c r="CI6" s="272">
        <v>5892898</v>
      </c>
      <c r="CJ6" s="455">
        <f t="shared" ref="CJ6:CJ50" si="7">CH6-CI6</f>
        <v>2518131</v>
      </c>
      <c r="CK6" s="272">
        <v>6394817</v>
      </c>
      <c r="CL6" s="272">
        <v>3647250</v>
      </c>
      <c r="CM6" s="272">
        <v>252826</v>
      </c>
      <c r="CN6" s="272">
        <v>960517</v>
      </c>
      <c r="CO6" s="272">
        <v>255043</v>
      </c>
      <c r="CP6" s="272">
        <v>4904925</v>
      </c>
      <c r="CQ6" s="272">
        <v>1243816</v>
      </c>
      <c r="CR6" s="272">
        <v>1339799</v>
      </c>
      <c r="CS6" s="272">
        <v>970016</v>
      </c>
      <c r="CT6" s="455">
        <f t="shared" ref="CT6:CT50" si="8">CU6+CV6</f>
        <v>1324396</v>
      </c>
      <c r="CU6" s="272">
        <v>1237965</v>
      </c>
      <c r="CV6" s="272">
        <v>86431</v>
      </c>
      <c r="CW6" s="455">
        <f t="shared" ref="CW6:CW50" si="9">CX6+CY6</f>
        <v>1269000</v>
      </c>
      <c r="CX6" s="272">
        <v>1211639</v>
      </c>
      <c r="CY6" s="272">
        <v>57361</v>
      </c>
      <c r="CZ6" s="455">
        <f t="shared" ref="CZ6:CZ50" si="10">DA6+DB6</f>
        <v>0</v>
      </c>
      <c r="DA6" s="272">
        <v>0</v>
      </c>
      <c r="DB6" s="272">
        <v>0</v>
      </c>
      <c r="DC6" s="272">
        <v>2702384</v>
      </c>
      <c r="DD6" s="272">
        <v>518085</v>
      </c>
      <c r="DE6" s="272">
        <v>2064613</v>
      </c>
      <c r="DF6" s="272">
        <v>9650</v>
      </c>
      <c r="DG6" s="272">
        <v>110036</v>
      </c>
      <c r="DH6" s="272">
        <v>3722</v>
      </c>
      <c r="DI6" s="272">
        <v>1254545</v>
      </c>
      <c r="DJ6" s="272">
        <v>500312</v>
      </c>
      <c r="DK6" s="272">
        <v>668</v>
      </c>
      <c r="DL6" s="272">
        <v>753565</v>
      </c>
      <c r="DM6" s="272">
        <v>35000</v>
      </c>
      <c r="DN6" s="272">
        <v>0</v>
      </c>
      <c r="DO6" s="272">
        <v>0</v>
      </c>
      <c r="DP6" s="272">
        <v>0</v>
      </c>
      <c r="DQ6" s="272">
        <v>105100</v>
      </c>
      <c r="DR6" s="272">
        <v>0</v>
      </c>
      <c r="DS6" s="272">
        <v>0</v>
      </c>
      <c r="DT6" s="272">
        <v>9470663</v>
      </c>
      <c r="DU6" s="272">
        <v>4883162</v>
      </c>
      <c r="DV6" s="455">
        <f t="shared" ref="DV6:DV50" si="11">DW6+DX6</f>
        <v>0</v>
      </c>
      <c r="DW6" s="272">
        <v>0</v>
      </c>
      <c r="DX6" s="272">
        <v>0</v>
      </c>
      <c r="DY6" s="272">
        <v>0</v>
      </c>
      <c r="DZ6" s="272">
        <v>1630018</v>
      </c>
      <c r="EA6" s="272">
        <v>881893</v>
      </c>
      <c r="EB6" s="272">
        <v>1210252</v>
      </c>
      <c r="EC6" s="272">
        <v>0</v>
      </c>
      <c r="ED6" s="272">
        <v>61157601</v>
      </c>
      <c r="EF6" s="272">
        <v>337228</v>
      </c>
      <c r="EG6" s="272">
        <v>144252</v>
      </c>
      <c r="EH6" s="272">
        <v>192976</v>
      </c>
      <c r="EI6" s="272">
        <v>57235</v>
      </c>
      <c r="EJ6" s="272">
        <v>233427</v>
      </c>
      <c r="EL6" s="272"/>
      <c r="EM6" s="272">
        <v>202120</v>
      </c>
      <c r="EN6" s="272">
        <v>1997203</v>
      </c>
      <c r="EO6" s="272">
        <v>99275</v>
      </c>
      <c r="EP6" s="455">
        <f t="shared" ref="EP6:EP50" si="12">EQ6-ER6-C6-R6-T6-AB6-AC6-BP6-EN6-EO6</f>
        <v>2618485</v>
      </c>
      <c r="EQ6" s="272">
        <v>41141201</v>
      </c>
      <c r="ER6" s="272">
        <v>-6622117</v>
      </c>
      <c r="ES6" s="272">
        <v>14654037</v>
      </c>
      <c r="ET6" s="272">
        <v>9669660</v>
      </c>
      <c r="EU6" s="272">
        <v>3528215</v>
      </c>
      <c r="EV6" s="272">
        <v>8298025</v>
      </c>
      <c r="EW6" s="455">
        <f t="shared" ref="EW6:EW50" si="13">EX6+FA6+FB6</f>
        <v>771572</v>
      </c>
      <c r="EX6" s="272">
        <v>771570</v>
      </c>
      <c r="EY6" s="272">
        <v>67860</v>
      </c>
      <c r="EZ6" s="272">
        <v>698897</v>
      </c>
      <c r="FA6" s="272">
        <v>2</v>
      </c>
      <c r="FB6" s="272"/>
      <c r="FC6" s="272">
        <v>5461058</v>
      </c>
      <c r="FD6" s="272">
        <v>4543710</v>
      </c>
      <c r="FE6" s="272">
        <v>1243816</v>
      </c>
      <c r="FF6" s="272">
        <v>8939823</v>
      </c>
      <c r="FG6" s="455">
        <f t="shared" ref="FG6:FG50" si="14">FH6-ES6-EU6-EV6-EW6-FC6-FD6-FF6</f>
        <v>1229650</v>
      </c>
      <c r="FH6" s="272">
        <v>47426090</v>
      </c>
      <c r="FI6" s="384">
        <f t="shared" ref="FI6:FI50" si="15">ROUND(EH6/FJ6*100,1)</f>
        <v>0.5</v>
      </c>
      <c r="FJ6" s="272">
        <v>39179921</v>
      </c>
      <c r="FK6" s="272">
        <v>1640623</v>
      </c>
      <c r="FL6" s="272">
        <v>20368596</v>
      </c>
      <c r="FM6" s="272">
        <v>32561365</v>
      </c>
      <c r="FN6" s="460">
        <v>0.64800000000000002</v>
      </c>
      <c r="FO6" s="388">
        <v>97.5</v>
      </c>
      <c r="FP6" s="388">
        <v>34.200000000000003</v>
      </c>
      <c r="FQ6" s="388">
        <v>8.6</v>
      </c>
      <c r="FR6" s="388">
        <v>20.2</v>
      </c>
      <c r="FS6" s="388">
        <v>12</v>
      </c>
      <c r="FT6" s="388">
        <v>8.6999999999999993</v>
      </c>
      <c r="FU6" s="388">
        <v>13.2</v>
      </c>
      <c r="FV6" s="388">
        <v>13</v>
      </c>
      <c r="FW6" s="272">
        <v>92374090</v>
      </c>
      <c r="FX6" s="384">
        <f t="shared" ref="FX6:FX50" si="16">ROUND(FW6/FJ6*100,1)</f>
        <v>235.8</v>
      </c>
      <c r="FY6" s="272">
        <v>4734195</v>
      </c>
      <c r="FZ6" s="272">
        <v>952664</v>
      </c>
      <c r="GA6" s="272">
        <v>1291372</v>
      </c>
      <c r="GB6" s="272">
        <v>2490159</v>
      </c>
      <c r="GC6" s="272"/>
      <c r="GD6" s="272">
        <v>14788528</v>
      </c>
      <c r="GE6" s="384">
        <f t="shared" ref="GE6:GE37" si="17">ROUND(GD6/FJ6*100,1)</f>
        <v>37.700000000000003</v>
      </c>
      <c r="GF6" s="388">
        <v>97.1</v>
      </c>
      <c r="GG6" s="388">
        <v>19.399999999999999</v>
      </c>
      <c r="GH6" s="388">
        <v>89.9</v>
      </c>
      <c r="GI6" s="272">
        <v>1546</v>
      </c>
    </row>
    <row r="7" spans="2:191" x14ac:dyDescent="0.15">
      <c r="B7" s="89" t="s">
        <v>7</v>
      </c>
      <c r="C7" s="272">
        <v>63614308</v>
      </c>
      <c r="D7" s="455">
        <f t="shared" si="0"/>
        <v>26423092</v>
      </c>
      <c r="E7" s="272">
        <v>358996</v>
      </c>
      <c r="F7" s="272">
        <v>26064096</v>
      </c>
      <c r="G7" s="455">
        <f t="shared" si="1"/>
        <v>3359826</v>
      </c>
      <c r="H7" s="272">
        <v>958792</v>
      </c>
      <c r="I7" s="272">
        <v>2401034</v>
      </c>
      <c r="J7" s="272">
        <v>24490870</v>
      </c>
      <c r="K7" s="272">
        <v>10909872</v>
      </c>
      <c r="L7" s="272">
        <v>10217913</v>
      </c>
      <c r="M7" s="272">
        <v>2923407</v>
      </c>
      <c r="N7" s="272">
        <v>2150994</v>
      </c>
      <c r="O7" s="272">
        <v>6034170</v>
      </c>
      <c r="P7" s="272">
        <v>3668471</v>
      </c>
      <c r="Q7" s="272">
        <v>2365699</v>
      </c>
      <c r="R7" s="272">
        <v>2888406</v>
      </c>
      <c r="S7" s="272"/>
      <c r="T7" s="455">
        <f t="shared" si="2"/>
        <v>4710097</v>
      </c>
      <c r="U7" s="272">
        <v>1058794</v>
      </c>
      <c r="V7" s="272"/>
      <c r="W7" s="272"/>
      <c r="X7" s="272">
        <v>2986080</v>
      </c>
      <c r="Y7" s="272">
        <v>0</v>
      </c>
      <c r="Z7" s="272">
        <v>123</v>
      </c>
      <c r="AA7" s="272">
        <v>665100</v>
      </c>
      <c r="AB7" s="272">
        <v>2871961</v>
      </c>
      <c r="AC7" s="272">
        <v>3350046</v>
      </c>
      <c r="AD7" s="272">
        <v>2496983</v>
      </c>
      <c r="AE7" s="272">
        <v>853063</v>
      </c>
      <c r="AF7" s="272">
        <v>64706</v>
      </c>
      <c r="AG7" s="272">
        <v>789944</v>
      </c>
      <c r="AH7" s="455">
        <f t="shared" si="3"/>
        <v>2656189</v>
      </c>
      <c r="AI7" s="272">
        <v>2378775</v>
      </c>
      <c r="AJ7" s="272">
        <v>277414</v>
      </c>
      <c r="AK7" s="272">
        <v>14552527</v>
      </c>
      <c r="AL7" s="455">
        <f t="shared" si="4"/>
        <v>8540593</v>
      </c>
      <c r="AM7" s="272">
        <v>7351399</v>
      </c>
      <c r="AN7" s="272">
        <v>1101213</v>
      </c>
      <c r="AO7" s="272">
        <v>0</v>
      </c>
      <c r="AP7" s="272">
        <v>87981</v>
      </c>
      <c r="AQ7" s="272">
        <v>2009782</v>
      </c>
      <c r="AR7" s="272">
        <v>0</v>
      </c>
      <c r="AS7" s="272">
        <v>0</v>
      </c>
      <c r="AT7" s="272">
        <v>5491393</v>
      </c>
      <c r="AU7" s="272">
        <v>2524776</v>
      </c>
      <c r="AV7" s="272">
        <v>496893</v>
      </c>
      <c r="AW7" s="272">
        <v>0</v>
      </c>
      <c r="AX7" s="272">
        <v>2966617</v>
      </c>
      <c r="AY7" s="272">
        <v>215640</v>
      </c>
      <c r="AZ7" s="272">
        <v>106476</v>
      </c>
      <c r="BA7" s="272">
        <v>63580</v>
      </c>
      <c r="BB7" s="272">
        <v>703906</v>
      </c>
      <c r="BC7" s="272">
        <v>2801720</v>
      </c>
      <c r="BD7" s="272">
        <v>0</v>
      </c>
      <c r="BE7" s="272">
        <v>0</v>
      </c>
      <c r="BF7" s="272">
        <v>83259</v>
      </c>
      <c r="BG7" s="272">
        <v>1839328</v>
      </c>
      <c r="BH7" s="272">
        <v>405664</v>
      </c>
      <c r="BI7" s="272">
        <v>0</v>
      </c>
      <c r="BJ7" s="272">
        <v>2949829</v>
      </c>
      <c r="BK7" s="272">
        <v>2169393</v>
      </c>
      <c r="BL7" s="272">
        <v>0</v>
      </c>
      <c r="BM7" s="272">
        <v>82197</v>
      </c>
      <c r="BN7" s="272">
        <v>18230037</v>
      </c>
      <c r="BO7" s="455">
        <f t="shared" si="5"/>
        <v>13728037</v>
      </c>
      <c r="BP7" s="455">
        <f t="shared" si="6"/>
        <v>4502000</v>
      </c>
      <c r="BQ7" s="272">
        <v>1013700</v>
      </c>
      <c r="BR7" s="272">
        <v>0</v>
      </c>
      <c r="BS7" s="272">
        <v>3488300</v>
      </c>
      <c r="BT7" s="272">
        <v>0</v>
      </c>
      <c r="BU7" s="272">
        <v>126187209</v>
      </c>
      <c r="BV7" s="272"/>
      <c r="BW7" s="272">
        <v>34578776</v>
      </c>
      <c r="BX7" s="272">
        <v>24288395</v>
      </c>
      <c r="BY7" s="272">
        <v>3916580</v>
      </c>
      <c r="BZ7" s="272">
        <v>1339378</v>
      </c>
      <c r="CA7" s="272">
        <v>17307297</v>
      </c>
      <c r="CB7" s="272">
        <v>1816968</v>
      </c>
      <c r="CC7" s="272">
        <v>1403227</v>
      </c>
      <c r="CD7" s="272">
        <v>3855808</v>
      </c>
      <c r="CE7" s="272">
        <v>9732950</v>
      </c>
      <c r="CF7" s="272">
        <v>6</v>
      </c>
      <c r="CG7" s="272">
        <v>444418</v>
      </c>
      <c r="CH7" s="272">
        <v>12402761</v>
      </c>
      <c r="CI7" s="272">
        <v>8904493</v>
      </c>
      <c r="CJ7" s="455">
        <f t="shared" si="7"/>
        <v>3498268</v>
      </c>
      <c r="CK7" s="272">
        <v>12498110</v>
      </c>
      <c r="CL7" s="272">
        <v>5888846</v>
      </c>
      <c r="CM7" s="272">
        <v>559977</v>
      </c>
      <c r="CN7" s="272">
        <v>3236987</v>
      </c>
      <c r="CO7" s="272">
        <v>1007856</v>
      </c>
      <c r="CP7" s="272">
        <v>13542385</v>
      </c>
      <c r="CQ7" s="272">
        <v>2879872</v>
      </c>
      <c r="CR7" s="272">
        <v>4517048</v>
      </c>
      <c r="CS7" s="272">
        <v>2273205</v>
      </c>
      <c r="CT7" s="455">
        <f t="shared" si="8"/>
        <v>1673396</v>
      </c>
      <c r="CU7" s="272">
        <v>1464763</v>
      </c>
      <c r="CV7" s="272">
        <v>208633</v>
      </c>
      <c r="CW7" s="455">
        <f t="shared" si="9"/>
        <v>1500000</v>
      </c>
      <c r="CX7" s="272">
        <v>1430671</v>
      </c>
      <c r="CY7" s="272">
        <v>69329</v>
      </c>
      <c r="CZ7" s="455">
        <f t="shared" si="10"/>
        <v>0</v>
      </c>
      <c r="DA7" s="272">
        <v>0</v>
      </c>
      <c r="DB7" s="272">
        <v>0</v>
      </c>
      <c r="DC7" s="272">
        <v>19904928</v>
      </c>
      <c r="DD7" s="272">
        <v>5376481</v>
      </c>
      <c r="DE7" s="272">
        <v>14481928</v>
      </c>
      <c r="DF7" s="272">
        <v>46519</v>
      </c>
      <c r="DG7" s="272">
        <v>0</v>
      </c>
      <c r="DH7" s="272">
        <v>0</v>
      </c>
      <c r="DI7" s="272">
        <v>268997</v>
      </c>
      <c r="DJ7" s="272">
        <v>6</v>
      </c>
      <c r="DK7" s="272">
        <v>55</v>
      </c>
      <c r="DL7" s="272">
        <v>268936</v>
      </c>
      <c r="DM7" s="272">
        <v>56957</v>
      </c>
      <c r="DN7" s="272">
        <v>56957</v>
      </c>
      <c r="DO7" s="272">
        <v>56957</v>
      </c>
      <c r="DP7" s="272">
        <v>0</v>
      </c>
      <c r="DQ7" s="272">
        <v>2127119</v>
      </c>
      <c r="DR7" s="272">
        <v>0</v>
      </c>
      <c r="DS7" s="272">
        <v>0</v>
      </c>
      <c r="DT7" s="272">
        <v>14725011</v>
      </c>
      <c r="DU7" s="272">
        <v>4500000</v>
      </c>
      <c r="DV7" s="455">
        <f t="shared" si="11"/>
        <v>0</v>
      </c>
      <c r="DW7" s="272">
        <v>0</v>
      </c>
      <c r="DX7" s="272">
        <v>0</v>
      </c>
      <c r="DY7" s="272">
        <v>1654237</v>
      </c>
      <c r="DZ7" s="272">
        <v>4373216</v>
      </c>
      <c r="EA7" s="272">
        <v>1405379</v>
      </c>
      <c r="EB7" s="272">
        <v>1749566</v>
      </c>
      <c r="EC7" s="272">
        <v>0</v>
      </c>
      <c r="ED7" s="272">
        <v>128420197</v>
      </c>
      <c r="EF7" s="272">
        <v>-2232988</v>
      </c>
      <c r="EG7" s="272">
        <v>357605</v>
      </c>
      <c r="EH7" s="272">
        <v>-2590593</v>
      </c>
      <c r="EI7" s="272">
        <v>-1881486</v>
      </c>
      <c r="EJ7" s="272">
        <v>-1881480</v>
      </c>
      <c r="EL7" s="272"/>
      <c r="EM7" s="272">
        <v>387630</v>
      </c>
      <c r="EN7" s="272">
        <v>2370672</v>
      </c>
      <c r="EO7" s="272">
        <v>98516</v>
      </c>
      <c r="EP7" s="455">
        <f t="shared" si="12"/>
        <v>1442218</v>
      </c>
      <c r="EQ7" s="272">
        <v>77499524</v>
      </c>
      <c r="ER7" s="272">
        <v>-8348700</v>
      </c>
      <c r="ES7" s="272">
        <v>32429391</v>
      </c>
      <c r="ET7" s="272">
        <v>22291003</v>
      </c>
      <c r="EU7" s="272">
        <v>5403719</v>
      </c>
      <c r="EV7" s="272">
        <v>12188215</v>
      </c>
      <c r="EW7" s="455">
        <f t="shared" si="13"/>
        <v>4769188</v>
      </c>
      <c r="EX7" s="272">
        <v>4769188</v>
      </c>
      <c r="EY7" s="272">
        <v>949977</v>
      </c>
      <c r="EZ7" s="272">
        <v>3772692</v>
      </c>
      <c r="FA7" s="272">
        <v>0</v>
      </c>
      <c r="FB7" s="272"/>
      <c r="FC7" s="272">
        <v>9321197</v>
      </c>
      <c r="FD7" s="272">
        <v>11185722</v>
      </c>
      <c r="FE7" s="272">
        <v>2879872</v>
      </c>
      <c r="FF7" s="272">
        <v>11890862</v>
      </c>
      <c r="FG7" s="455">
        <f t="shared" si="14"/>
        <v>913706</v>
      </c>
      <c r="FH7" s="272">
        <v>88102000</v>
      </c>
      <c r="FI7" s="384">
        <f t="shared" si="15"/>
        <v>-3.6</v>
      </c>
      <c r="FJ7" s="272">
        <v>72038962</v>
      </c>
      <c r="FK7" s="272">
        <v>3488394</v>
      </c>
      <c r="FL7" s="272">
        <v>52885910</v>
      </c>
      <c r="FM7" s="272">
        <v>55416995</v>
      </c>
      <c r="FN7" s="460">
        <v>0.96399999999999997</v>
      </c>
      <c r="FO7" s="388">
        <v>101.6</v>
      </c>
      <c r="FP7" s="388">
        <v>41.3</v>
      </c>
      <c r="FQ7" s="388">
        <v>7.1</v>
      </c>
      <c r="FR7" s="388">
        <v>15.9</v>
      </c>
      <c r="FS7" s="388">
        <v>12.2</v>
      </c>
      <c r="FT7" s="388">
        <v>12.9</v>
      </c>
      <c r="FU7" s="388">
        <v>11.2</v>
      </c>
      <c r="FV7" s="388">
        <v>10.9</v>
      </c>
      <c r="FW7" s="272">
        <v>127390532</v>
      </c>
      <c r="FX7" s="384">
        <f t="shared" si="16"/>
        <v>176.8</v>
      </c>
      <c r="FY7" s="272">
        <v>7718460</v>
      </c>
      <c r="FZ7" s="272">
        <v>9267</v>
      </c>
      <c r="GA7" s="272">
        <v>309940</v>
      </c>
      <c r="GB7" s="272">
        <v>7399253</v>
      </c>
      <c r="GC7" s="272">
        <v>3514475</v>
      </c>
      <c r="GD7" s="272">
        <v>29435026</v>
      </c>
      <c r="GE7" s="384">
        <f t="shared" si="17"/>
        <v>40.9</v>
      </c>
      <c r="GF7" s="388">
        <v>97.6</v>
      </c>
      <c r="GG7" s="388">
        <v>15</v>
      </c>
      <c r="GH7" s="388">
        <v>89.7</v>
      </c>
      <c r="GI7" s="272">
        <v>3259</v>
      </c>
    </row>
    <row r="8" spans="2:191" x14ac:dyDescent="0.15">
      <c r="B8" s="89" t="s">
        <v>9</v>
      </c>
      <c r="C8" s="272">
        <v>16804608</v>
      </c>
      <c r="D8" s="455">
        <f t="shared" si="0"/>
        <v>6385504</v>
      </c>
      <c r="E8" s="272">
        <v>95862</v>
      </c>
      <c r="F8" s="272">
        <v>6289642</v>
      </c>
      <c r="G8" s="455">
        <f t="shared" si="1"/>
        <v>1243417</v>
      </c>
      <c r="H8" s="272">
        <v>250208</v>
      </c>
      <c r="I8" s="272">
        <v>993209</v>
      </c>
      <c r="J8" s="272">
        <v>6814612</v>
      </c>
      <c r="K8" s="272">
        <v>3330422</v>
      </c>
      <c r="L8" s="272">
        <v>2502432</v>
      </c>
      <c r="M8" s="272">
        <v>893532</v>
      </c>
      <c r="N8" s="272">
        <v>552758</v>
      </c>
      <c r="O8" s="272">
        <v>1595572</v>
      </c>
      <c r="P8" s="272">
        <v>1042195</v>
      </c>
      <c r="Q8" s="272">
        <v>553377</v>
      </c>
      <c r="R8" s="272">
        <v>272947</v>
      </c>
      <c r="S8" s="272"/>
      <c r="T8" s="455">
        <f t="shared" si="2"/>
        <v>1368112</v>
      </c>
      <c r="U8" s="272">
        <v>258721</v>
      </c>
      <c r="V8" s="272"/>
      <c r="W8" s="272"/>
      <c r="X8" s="272">
        <v>824540</v>
      </c>
      <c r="Y8" s="272">
        <v>108871</v>
      </c>
      <c r="Z8" s="272">
        <v>0</v>
      </c>
      <c r="AA8" s="272">
        <v>175980</v>
      </c>
      <c r="AB8" s="272">
        <v>744664</v>
      </c>
      <c r="AC8" s="272">
        <v>1521436</v>
      </c>
      <c r="AD8" s="272">
        <v>1014430</v>
      </c>
      <c r="AE8" s="272">
        <v>507006</v>
      </c>
      <c r="AF8" s="272">
        <v>18086</v>
      </c>
      <c r="AG8" s="272">
        <v>154863</v>
      </c>
      <c r="AH8" s="455">
        <f t="shared" si="3"/>
        <v>886461</v>
      </c>
      <c r="AI8" s="272">
        <v>713622</v>
      </c>
      <c r="AJ8" s="272">
        <v>172839</v>
      </c>
      <c r="AK8" s="272">
        <v>2136613</v>
      </c>
      <c r="AL8" s="455">
        <f t="shared" si="4"/>
        <v>1008207</v>
      </c>
      <c r="AM8" s="272">
        <v>688474</v>
      </c>
      <c r="AN8" s="272">
        <v>300000</v>
      </c>
      <c r="AO8" s="272">
        <v>0</v>
      </c>
      <c r="AP8" s="272">
        <v>19733</v>
      </c>
      <c r="AQ8" s="272">
        <v>231364</v>
      </c>
      <c r="AR8" s="272">
        <v>0</v>
      </c>
      <c r="AS8" s="272">
        <v>0</v>
      </c>
      <c r="AT8" s="272">
        <v>1330188</v>
      </c>
      <c r="AU8" s="272">
        <v>734576</v>
      </c>
      <c r="AV8" s="272">
        <v>202486</v>
      </c>
      <c r="AW8" s="272">
        <v>22863</v>
      </c>
      <c r="AX8" s="272">
        <v>595612</v>
      </c>
      <c r="AY8" s="272">
        <v>19662</v>
      </c>
      <c r="AZ8" s="272">
        <v>219391</v>
      </c>
      <c r="BA8" s="272">
        <v>203453</v>
      </c>
      <c r="BB8" s="272">
        <v>169219</v>
      </c>
      <c r="BC8" s="272">
        <v>566606</v>
      </c>
      <c r="BD8" s="272">
        <v>95495</v>
      </c>
      <c r="BE8" s="272">
        <v>0</v>
      </c>
      <c r="BF8" s="272">
        <v>416911</v>
      </c>
      <c r="BG8" s="272">
        <v>0</v>
      </c>
      <c r="BH8" s="272">
        <v>101992</v>
      </c>
      <c r="BI8" s="272">
        <v>90341</v>
      </c>
      <c r="BJ8" s="272">
        <v>2632128</v>
      </c>
      <c r="BK8" s="272">
        <v>2343301</v>
      </c>
      <c r="BL8" s="272">
        <v>20694</v>
      </c>
      <c r="BM8" s="272">
        <v>60341</v>
      </c>
      <c r="BN8" s="272">
        <v>2865003</v>
      </c>
      <c r="BO8" s="455">
        <f t="shared" si="5"/>
        <v>1691503</v>
      </c>
      <c r="BP8" s="455">
        <f t="shared" si="6"/>
        <v>1173500</v>
      </c>
      <c r="BQ8" s="272">
        <v>265900</v>
      </c>
      <c r="BR8" s="272">
        <v>0</v>
      </c>
      <c r="BS8" s="272">
        <v>907600</v>
      </c>
      <c r="BT8" s="272">
        <v>0</v>
      </c>
      <c r="BU8" s="272">
        <v>31792317</v>
      </c>
      <c r="BV8" s="272"/>
      <c r="BW8" s="272">
        <v>9828284</v>
      </c>
      <c r="BX8" s="272">
        <v>7024132</v>
      </c>
      <c r="BY8" s="272">
        <v>878064</v>
      </c>
      <c r="BZ8" s="272">
        <v>266142</v>
      </c>
      <c r="CA8" s="272">
        <v>3057617</v>
      </c>
      <c r="CB8" s="272">
        <v>739383</v>
      </c>
      <c r="CC8" s="272">
        <v>227650</v>
      </c>
      <c r="CD8" s="272">
        <v>1110734</v>
      </c>
      <c r="CE8" s="272">
        <v>933696</v>
      </c>
      <c r="CF8" s="272">
        <v>147</v>
      </c>
      <c r="CG8" s="272">
        <v>45127</v>
      </c>
      <c r="CH8" s="272">
        <v>3513309</v>
      </c>
      <c r="CI8" s="272">
        <v>2480615</v>
      </c>
      <c r="CJ8" s="455">
        <f t="shared" si="7"/>
        <v>1032694</v>
      </c>
      <c r="CK8" s="272">
        <v>4779671</v>
      </c>
      <c r="CL8" s="272">
        <v>3088149</v>
      </c>
      <c r="CM8" s="272">
        <v>250954</v>
      </c>
      <c r="CN8" s="272">
        <v>686747</v>
      </c>
      <c r="CO8" s="272">
        <v>218110</v>
      </c>
      <c r="CP8" s="272">
        <v>2231901</v>
      </c>
      <c r="CQ8" s="272">
        <v>0</v>
      </c>
      <c r="CR8" s="272">
        <v>729737</v>
      </c>
      <c r="CS8" s="272">
        <v>634386</v>
      </c>
      <c r="CT8" s="455">
        <f t="shared" si="8"/>
        <v>970102</v>
      </c>
      <c r="CU8" s="272">
        <v>845911</v>
      </c>
      <c r="CV8" s="272">
        <v>124191</v>
      </c>
      <c r="CW8" s="455">
        <f t="shared" si="9"/>
        <v>938737</v>
      </c>
      <c r="CX8" s="272">
        <v>841596</v>
      </c>
      <c r="CY8" s="272">
        <v>97141</v>
      </c>
      <c r="CZ8" s="455">
        <f t="shared" si="10"/>
        <v>0</v>
      </c>
      <c r="DA8" s="272">
        <v>0</v>
      </c>
      <c r="DB8" s="272">
        <v>0</v>
      </c>
      <c r="DC8" s="272">
        <v>2124607</v>
      </c>
      <c r="DD8" s="272">
        <v>629164</v>
      </c>
      <c r="DE8" s="272">
        <v>1474749</v>
      </c>
      <c r="DF8" s="272">
        <v>0</v>
      </c>
      <c r="DG8" s="272">
        <v>20694</v>
      </c>
      <c r="DH8" s="272">
        <v>0</v>
      </c>
      <c r="DI8" s="272">
        <v>187616</v>
      </c>
      <c r="DJ8" s="272">
        <v>300</v>
      </c>
      <c r="DK8" s="272">
        <v>0</v>
      </c>
      <c r="DL8" s="272">
        <v>187316</v>
      </c>
      <c r="DM8" s="272">
        <v>337697</v>
      </c>
      <c r="DN8" s="272">
        <v>327197</v>
      </c>
      <c r="DO8" s="272">
        <v>65571</v>
      </c>
      <c r="DP8" s="272">
        <v>261626</v>
      </c>
      <c r="DQ8" s="272">
        <v>2339440</v>
      </c>
      <c r="DR8" s="272">
        <v>0</v>
      </c>
      <c r="DS8" s="272">
        <v>0</v>
      </c>
      <c r="DT8" s="272">
        <v>2870358</v>
      </c>
      <c r="DU8" s="272">
        <v>1130841</v>
      </c>
      <c r="DV8" s="455">
        <f t="shared" si="11"/>
        <v>0</v>
      </c>
      <c r="DW8" s="272">
        <v>0</v>
      </c>
      <c r="DX8" s="272">
        <v>0</v>
      </c>
      <c r="DY8" s="272">
        <v>8951</v>
      </c>
      <c r="DZ8" s="272">
        <v>776418</v>
      </c>
      <c r="EA8" s="272">
        <v>409641</v>
      </c>
      <c r="EB8" s="272">
        <v>544507</v>
      </c>
      <c r="EC8" s="272">
        <v>0</v>
      </c>
      <c r="ED8" s="272">
        <v>31488610</v>
      </c>
      <c r="EF8" s="272">
        <v>303707</v>
      </c>
      <c r="EG8" s="272">
        <v>62892</v>
      </c>
      <c r="EH8" s="272">
        <v>240815</v>
      </c>
      <c r="EI8" s="272">
        <v>40474</v>
      </c>
      <c r="EJ8" s="272">
        <v>-54721</v>
      </c>
      <c r="EL8" s="272"/>
      <c r="EM8" s="272">
        <v>99511</v>
      </c>
      <c r="EN8" s="272">
        <v>145495</v>
      </c>
      <c r="EO8" s="272">
        <v>217500</v>
      </c>
      <c r="EP8" s="455">
        <f t="shared" si="12"/>
        <v>743783</v>
      </c>
      <c r="EQ8" s="272">
        <v>20729853</v>
      </c>
      <c r="ER8" s="272">
        <v>-2262192</v>
      </c>
      <c r="ES8" s="272">
        <v>9118357</v>
      </c>
      <c r="ET8" s="272">
        <v>6344727</v>
      </c>
      <c r="EU8" s="272">
        <v>1088409</v>
      </c>
      <c r="EV8" s="272">
        <v>3487687</v>
      </c>
      <c r="EW8" s="455">
        <f t="shared" si="13"/>
        <v>500066</v>
      </c>
      <c r="EX8" s="272">
        <v>500066</v>
      </c>
      <c r="EY8" s="272">
        <v>22634</v>
      </c>
      <c r="EZ8" s="272">
        <v>477432</v>
      </c>
      <c r="FA8" s="272">
        <v>0</v>
      </c>
      <c r="FB8" s="272"/>
      <c r="FC8" s="272">
        <v>3667218</v>
      </c>
      <c r="FD8" s="272">
        <v>1746202</v>
      </c>
      <c r="FE8" s="272">
        <v>0</v>
      </c>
      <c r="FF8" s="272">
        <v>2653911</v>
      </c>
      <c r="FG8" s="455">
        <f t="shared" si="14"/>
        <v>426488</v>
      </c>
      <c r="FH8" s="272">
        <v>22688338</v>
      </c>
      <c r="FI8" s="384">
        <f t="shared" si="15"/>
        <v>1.2</v>
      </c>
      <c r="FJ8" s="272">
        <v>19363757</v>
      </c>
      <c r="FK8" s="272">
        <v>907628</v>
      </c>
      <c r="FL8" s="272">
        <v>13835313</v>
      </c>
      <c r="FM8" s="272">
        <v>14856164</v>
      </c>
      <c r="FN8" s="460">
        <v>0.91700000000000004</v>
      </c>
      <c r="FO8" s="388">
        <v>106.3</v>
      </c>
      <c r="FP8" s="388">
        <v>45.1</v>
      </c>
      <c r="FQ8" s="388">
        <v>5.5</v>
      </c>
      <c r="FR8" s="388">
        <v>17.5</v>
      </c>
      <c r="FS8" s="388">
        <v>17.7</v>
      </c>
      <c r="FT8" s="388">
        <v>7.8</v>
      </c>
      <c r="FU8" s="388">
        <v>11.8</v>
      </c>
      <c r="FV8" s="388">
        <v>12.5</v>
      </c>
      <c r="FW8" s="272">
        <v>34739218</v>
      </c>
      <c r="FX8" s="384">
        <f t="shared" si="16"/>
        <v>179.4</v>
      </c>
      <c r="FY8" s="272">
        <v>2385402</v>
      </c>
      <c r="FZ8" s="272">
        <v>981367</v>
      </c>
      <c r="GA8" s="272"/>
      <c r="GB8" s="272">
        <v>1404035</v>
      </c>
      <c r="GC8" s="272"/>
      <c r="GD8" s="272">
        <v>5766342</v>
      </c>
      <c r="GE8" s="384">
        <f t="shared" si="17"/>
        <v>29.8</v>
      </c>
      <c r="GF8" s="388">
        <v>98</v>
      </c>
      <c r="GG8" s="388">
        <v>24.5</v>
      </c>
      <c r="GH8" s="388">
        <v>91.7</v>
      </c>
      <c r="GI8" s="272">
        <v>937</v>
      </c>
    </row>
    <row r="9" spans="2:191" x14ac:dyDescent="0.15">
      <c r="B9" s="89" t="s">
        <v>11</v>
      </c>
      <c r="C9" s="272">
        <v>63281789</v>
      </c>
      <c r="D9" s="455">
        <f t="shared" si="0"/>
        <v>23920549</v>
      </c>
      <c r="E9" s="272">
        <v>329179</v>
      </c>
      <c r="F9" s="272">
        <v>23591370</v>
      </c>
      <c r="G9" s="455">
        <f t="shared" si="1"/>
        <v>5008665</v>
      </c>
      <c r="H9" s="272">
        <v>1024701</v>
      </c>
      <c r="I9" s="272">
        <v>3983964</v>
      </c>
      <c r="J9" s="272">
        <v>25299595</v>
      </c>
      <c r="K9" s="272">
        <v>11089108</v>
      </c>
      <c r="L9" s="272">
        <v>10440057</v>
      </c>
      <c r="M9" s="272">
        <v>3265494</v>
      </c>
      <c r="N9" s="272">
        <v>1851138</v>
      </c>
      <c r="O9" s="272">
        <v>5947058</v>
      </c>
      <c r="P9" s="272">
        <v>3491521</v>
      </c>
      <c r="Q9" s="272">
        <v>2455537</v>
      </c>
      <c r="R9" s="272">
        <v>653166</v>
      </c>
      <c r="S9" s="272"/>
      <c r="T9" s="455">
        <f t="shared" si="2"/>
        <v>4342320</v>
      </c>
      <c r="U9" s="272">
        <v>952575</v>
      </c>
      <c r="V9" s="272"/>
      <c r="W9" s="272"/>
      <c r="X9" s="272">
        <v>2819293</v>
      </c>
      <c r="Y9" s="272">
        <v>0</v>
      </c>
      <c r="Z9" s="272">
        <v>307</v>
      </c>
      <c r="AA9" s="272">
        <v>570145</v>
      </c>
      <c r="AB9" s="272">
        <v>2766577</v>
      </c>
      <c r="AC9" s="272">
        <v>222058</v>
      </c>
      <c r="AD9" s="272">
        <v>0</v>
      </c>
      <c r="AE9" s="272">
        <v>222058</v>
      </c>
      <c r="AF9" s="272">
        <v>57293</v>
      </c>
      <c r="AG9" s="272">
        <v>996481</v>
      </c>
      <c r="AH9" s="455">
        <f t="shared" si="3"/>
        <v>2524518</v>
      </c>
      <c r="AI9" s="272">
        <v>2103533</v>
      </c>
      <c r="AJ9" s="272">
        <v>420985</v>
      </c>
      <c r="AK9" s="272">
        <v>10106736</v>
      </c>
      <c r="AL9" s="455">
        <f t="shared" si="4"/>
        <v>6937548</v>
      </c>
      <c r="AM9" s="272">
        <v>4941420</v>
      </c>
      <c r="AN9" s="272">
        <v>1964202</v>
      </c>
      <c r="AO9" s="272">
        <v>0</v>
      </c>
      <c r="AP9" s="272">
        <v>31926</v>
      </c>
      <c r="AQ9" s="272">
        <v>1100015</v>
      </c>
      <c r="AR9" s="272">
        <v>0</v>
      </c>
      <c r="AS9" s="272">
        <v>0</v>
      </c>
      <c r="AT9" s="272">
        <v>4929281</v>
      </c>
      <c r="AU9" s="272">
        <v>2806142</v>
      </c>
      <c r="AV9" s="272">
        <v>712757</v>
      </c>
      <c r="AW9" s="272">
        <v>161032</v>
      </c>
      <c r="AX9" s="272">
        <v>2123139</v>
      </c>
      <c r="AY9" s="272">
        <v>82878</v>
      </c>
      <c r="AZ9" s="272">
        <v>78748</v>
      </c>
      <c r="BA9" s="272">
        <v>59367</v>
      </c>
      <c r="BB9" s="272">
        <v>6157</v>
      </c>
      <c r="BC9" s="272">
        <v>3622121</v>
      </c>
      <c r="BD9" s="272">
        <v>2562000</v>
      </c>
      <c r="BE9" s="272">
        <v>0</v>
      </c>
      <c r="BF9" s="272">
        <v>1030000</v>
      </c>
      <c r="BG9" s="272">
        <v>0</v>
      </c>
      <c r="BH9" s="272">
        <v>504526</v>
      </c>
      <c r="BI9" s="272">
        <v>84043</v>
      </c>
      <c r="BJ9" s="272">
        <v>1986919</v>
      </c>
      <c r="BK9" s="272">
        <v>1154639</v>
      </c>
      <c r="BL9" s="272">
        <v>246129</v>
      </c>
      <c r="BM9" s="272">
        <v>66816</v>
      </c>
      <c r="BN9" s="272">
        <v>4512782</v>
      </c>
      <c r="BO9" s="455">
        <f t="shared" si="5"/>
        <v>3532782</v>
      </c>
      <c r="BP9" s="455">
        <f t="shared" si="6"/>
        <v>980000</v>
      </c>
      <c r="BQ9" s="272">
        <v>980000</v>
      </c>
      <c r="BR9" s="272">
        <v>0</v>
      </c>
      <c r="BS9" s="272">
        <v>0</v>
      </c>
      <c r="BT9" s="272">
        <v>0</v>
      </c>
      <c r="BU9" s="272">
        <v>100591472</v>
      </c>
      <c r="BV9" s="272"/>
      <c r="BW9" s="272">
        <v>31356500</v>
      </c>
      <c r="BX9" s="272">
        <v>21867476</v>
      </c>
      <c r="BY9" s="272">
        <v>3367709</v>
      </c>
      <c r="BZ9" s="272">
        <v>1560523</v>
      </c>
      <c r="CA9" s="272">
        <v>16024084</v>
      </c>
      <c r="CB9" s="272">
        <v>2604163</v>
      </c>
      <c r="CC9" s="272">
        <v>1298168</v>
      </c>
      <c r="CD9" s="272">
        <v>4559373</v>
      </c>
      <c r="CE9" s="272">
        <v>6662859</v>
      </c>
      <c r="CF9" s="272">
        <v>477957</v>
      </c>
      <c r="CG9" s="272">
        <v>421564</v>
      </c>
      <c r="CH9" s="272">
        <v>8346540</v>
      </c>
      <c r="CI9" s="272">
        <v>5981363</v>
      </c>
      <c r="CJ9" s="455">
        <f t="shared" si="7"/>
        <v>2365177</v>
      </c>
      <c r="CK9" s="272">
        <v>14661434</v>
      </c>
      <c r="CL9" s="272">
        <v>8932227</v>
      </c>
      <c r="CM9" s="272">
        <v>631295</v>
      </c>
      <c r="CN9" s="272">
        <v>2982636</v>
      </c>
      <c r="CO9" s="272">
        <v>3079887</v>
      </c>
      <c r="CP9" s="272">
        <v>4740072</v>
      </c>
      <c r="CQ9" s="272">
        <v>1171</v>
      </c>
      <c r="CR9" s="272">
        <v>2344229</v>
      </c>
      <c r="CS9" s="272">
        <v>1813104</v>
      </c>
      <c r="CT9" s="455">
        <f t="shared" si="8"/>
        <v>1139843</v>
      </c>
      <c r="CU9" s="272">
        <v>780186</v>
      </c>
      <c r="CV9" s="272">
        <v>359657</v>
      </c>
      <c r="CW9" s="455">
        <f t="shared" si="9"/>
        <v>1108420</v>
      </c>
      <c r="CX9" s="272">
        <v>748763</v>
      </c>
      <c r="CY9" s="272">
        <v>359657</v>
      </c>
      <c r="CZ9" s="455">
        <f t="shared" si="10"/>
        <v>0</v>
      </c>
      <c r="DA9" s="272">
        <v>0</v>
      </c>
      <c r="DB9" s="272">
        <v>0</v>
      </c>
      <c r="DC9" s="272">
        <v>9595789</v>
      </c>
      <c r="DD9" s="272">
        <v>3180734</v>
      </c>
      <c r="DE9" s="272">
        <v>5691240</v>
      </c>
      <c r="DF9" s="272">
        <v>5270</v>
      </c>
      <c r="DG9" s="272">
        <v>718545</v>
      </c>
      <c r="DH9" s="272">
        <v>0</v>
      </c>
      <c r="DI9" s="272">
        <v>12853</v>
      </c>
      <c r="DJ9" s="272">
        <v>5852</v>
      </c>
      <c r="DK9" s="272">
        <v>0</v>
      </c>
      <c r="DL9" s="272">
        <v>7001</v>
      </c>
      <c r="DM9" s="272">
        <v>219580</v>
      </c>
      <c r="DN9" s="272">
        <v>202580</v>
      </c>
      <c r="DO9" s="272">
        <v>0</v>
      </c>
      <c r="DP9" s="272">
        <v>202580</v>
      </c>
      <c r="DQ9" s="272">
        <v>1197000</v>
      </c>
      <c r="DR9" s="272">
        <v>0</v>
      </c>
      <c r="DS9" s="272">
        <v>0</v>
      </c>
      <c r="DT9" s="272">
        <v>11043243</v>
      </c>
      <c r="DU9" s="272">
        <v>4685928</v>
      </c>
      <c r="DV9" s="455">
        <f t="shared" si="11"/>
        <v>0</v>
      </c>
      <c r="DW9" s="272">
        <v>0</v>
      </c>
      <c r="DX9" s="272">
        <v>0</v>
      </c>
      <c r="DY9" s="272">
        <v>111955</v>
      </c>
      <c r="DZ9" s="272">
        <v>3258279</v>
      </c>
      <c r="EA9" s="272">
        <v>1309264</v>
      </c>
      <c r="EB9" s="272">
        <v>1435669</v>
      </c>
      <c r="EC9" s="272">
        <v>0</v>
      </c>
      <c r="ED9" s="272">
        <v>100276982</v>
      </c>
      <c r="EF9" s="272">
        <v>314490</v>
      </c>
      <c r="EG9" s="272">
        <v>231083</v>
      </c>
      <c r="EH9" s="272">
        <v>83407</v>
      </c>
      <c r="EI9" s="272">
        <v>-636</v>
      </c>
      <c r="EJ9" s="272">
        <v>-2551997</v>
      </c>
      <c r="EL9" s="272"/>
      <c r="EM9" s="272">
        <v>343903</v>
      </c>
      <c r="EN9" s="272">
        <v>2592121</v>
      </c>
      <c r="EO9" s="272">
        <v>74266</v>
      </c>
      <c r="EP9" s="455">
        <f t="shared" si="12"/>
        <v>973257</v>
      </c>
      <c r="EQ9" s="272">
        <v>71323203</v>
      </c>
      <c r="ER9" s="272">
        <v>-4562351</v>
      </c>
      <c r="ES9" s="272">
        <v>28744600</v>
      </c>
      <c r="ET9" s="272">
        <v>19413347</v>
      </c>
      <c r="EU9" s="272">
        <v>6151248</v>
      </c>
      <c r="EV9" s="272">
        <v>8143055</v>
      </c>
      <c r="EW9" s="455">
        <f t="shared" si="13"/>
        <v>2857179</v>
      </c>
      <c r="EX9" s="272">
        <v>2857179</v>
      </c>
      <c r="EY9" s="272">
        <v>413521</v>
      </c>
      <c r="EZ9" s="272">
        <v>2438388</v>
      </c>
      <c r="FA9" s="272">
        <v>0</v>
      </c>
      <c r="FB9" s="272"/>
      <c r="FC9" s="272">
        <v>12398767</v>
      </c>
      <c r="FD9" s="272">
        <v>4037401</v>
      </c>
      <c r="FE9" s="272">
        <v>1171</v>
      </c>
      <c r="FF9" s="272">
        <v>10105455</v>
      </c>
      <c r="FG9" s="455">
        <f t="shared" si="14"/>
        <v>3133359</v>
      </c>
      <c r="FH9" s="272">
        <v>75571064</v>
      </c>
      <c r="FI9" s="384">
        <f t="shared" si="15"/>
        <v>0.1</v>
      </c>
      <c r="FJ9" s="272">
        <v>66801665</v>
      </c>
      <c r="FK9" s="272">
        <v>3118050</v>
      </c>
      <c r="FL9" s="272">
        <v>50280997</v>
      </c>
      <c r="FM9" s="272">
        <v>46745642</v>
      </c>
      <c r="FN9" s="460">
        <v>1.0740000000000001</v>
      </c>
      <c r="FO9" s="388">
        <v>102</v>
      </c>
      <c r="FP9" s="388">
        <v>41.2</v>
      </c>
      <c r="FQ9" s="388">
        <v>9.1999999999999993</v>
      </c>
      <c r="FR9" s="388">
        <v>12.2</v>
      </c>
      <c r="FS9" s="388">
        <v>18</v>
      </c>
      <c r="FT9" s="388">
        <v>5</v>
      </c>
      <c r="FU9" s="388">
        <v>12</v>
      </c>
      <c r="FV9" s="388">
        <v>7.5</v>
      </c>
      <c r="FW9" s="272">
        <v>64153895</v>
      </c>
      <c r="FX9" s="384">
        <f t="shared" si="16"/>
        <v>96</v>
      </c>
      <c r="FY9" s="272">
        <v>33633374</v>
      </c>
      <c r="FZ9" s="272">
        <v>11475597</v>
      </c>
      <c r="GA9" s="272"/>
      <c r="GB9" s="272">
        <v>22157777</v>
      </c>
      <c r="GC9" s="272"/>
      <c r="GD9" s="272">
        <v>13667893</v>
      </c>
      <c r="GE9" s="384">
        <f t="shared" si="17"/>
        <v>20.5</v>
      </c>
      <c r="GF9" s="388">
        <v>98.5</v>
      </c>
      <c r="GG9" s="388">
        <v>17.899999999999999</v>
      </c>
      <c r="GH9" s="388">
        <v>93.2</v>
      </c>
      <c r="GI9" s="272">
        <v>2746</v>
      </c>
    </row>
    <row r="10" spans="2:191" x14ac:dyDescent="0.15">
      <c r="B10" s="89" t="s">
        <v>13</v>
      </c>
      <c r="C10" s="272">
        <v>11663657</v>
      </c>
      <c r="D10" s="455">
        <f t="shared" si="0"/>
        <v>3107077</v>
      </c>
      <c r="E10" s="272">
        <v>65379</v>
      </c>
      <c r="F10" s="272">
        <v>3041698</v>
      </c>
      <c r="G10" s="455">
        <f t="shared" si="1"/>
        <v>676485</v>
      </c>
      <c r="H10" s="272">
        <v>206696</v>
      </c>
      <c r="I10" s="272">
        <v>469789</v>
      </c>
      <c r="J10" s="272">
        <v>5989393</v>
      </c>
      <c r="K10" s="272">
        <v>2806027</v>
      </c>
      <c r="L10" s="272">
        <v>2052592</v>
      </c>
      <c r="M10" s="272">
        <v>695691</v>
      </c>
      <c r="N10" s="272">
        <v>575770</v>
      </c>
      <c r="O10" s="272">
        <v>1258642</v>
      </c>
      <c r="P10" s="272">
        <v>774982</v>
      </c>
      <c r="Q10" s="272">
        <v>483660</v>
      </c>
      <c r="R10" s="272">
        <v>252965</v>
      </c>
      <c r="S10" s="272"/>
      <c r="T10" s="455">
        <f t="shared" si="2"/>
        <v>907737</v>
      </c>
      <c r="U10" s="272">
        <v>133995</v>
      </c>
      <c r="V10" s="272"/>
      <c r="W10" s="272"/>
      <c r="X10" s="272">
        <v>634292</v>
      </c>
      <c r="Y10" s="272">
        <v>0</v>
      </c>
      <c r="Z10" s="272">
        <v>0</v>
      </c>
      <c r="AA10" s="272">
        <v>139450</v>
      </c>
      <c r="AB10" s="272">
        <v>320087</v>
      </c>
      <c r="AC10" s="272">
        <v>3626911</v>
      </c>
      <c r="AD10" s="272">
        <v>3218837</v>
      </c>
      <c r="AE10" s="272">
        <v>408074</v>
      </c>
      <c r="AF10" s="272">
        <v>14985</v>
      </c>
      <c r="AG10" s="272">
        <v>170529</v>
      </c>
      <c r="AH10" s="455">
        <f t="shared" si="3"/>
        <v>424503</v>
      </c>
      <c r="AI10" s="272">
        <v>375963</v>
      </c>
      <c r="AJ10" s="272">
        <v>48540</v>
      </c>
      <c r="AK10" s="272">
        <v>2534754</v>
      </c>
      <c r="AL10" s="455">
        <f t="shared" si="4"/>
        <v>1618524</v>
      </c>
      <c r="AM10" s="272">
        <v>1317822</v>
      </c>
      <c r="AN10" s="272">
        <v>296051</v>
      </c>
      <c r="AO10" s="272">
        <v>0</v>
      </c>
      <c r="AP10" s="272">
        <v>4651</v>
      </c>
      <c r="AQ10" s="272">
        <v>102821</v>
      </c>
      <c r="AR10" s="272">
        <v>0</v>
      </c>
      <c r="AS10" s="272">
        <v>0</v>
      </c>
      <c r="AT10" s="272">
        <v>1442881</v>
      </c>
      <c r="AU10" s="272">
        <v>549732</v>
      </c>
      <c r="AV10" s="272">
        <v>148026</v>
      </c>
      <c r="AW10" s="272">
        <v>0</v>
      </c>
      <c r="AX10" s="272">
        <v>893149</v>
      </c>
      <c r="AY10" s="272">
        <v>410352</v>
      </c>
      <c r="AZ10" s="272">
        <v>50602</v>
      </c>
      <c r="BA10" s="272">
        <v>42753</v>
      </c>
      <c r="BB10" s="272">
        <v>73895</v>
      </c>
      <c r="BC10" s="272">
        <v>683930</v>
      </c>
      <c r="BD10" s="272">
        <v>0</v>
      </c>
      <c r="BE10" s="272">
        <v>0</v>
      </c>
      <c r="BF10" s="272">
        <v>9000</v>
      </c>
      <c r="BG10" s="272">
        <v>0</v>
      </c>
      <c r="BH10" s="272">
        <v>0</v>
      </c>
      <c r="BI10" s="272">
        <v>0</v>
      </c>
      <c r="BJ10" s="272">
        <v>395240</v>
      </c>
      <c r="BK10" s="272">
        <v>62224</v>
      </c>
      <c r="BL10" s="272">
        <v>0</v>
      </c>
      <c r="BM10" s="272">
        <v>58351</v>
      </c>
      <c r="BN10" s="272">
        <v>2829900</v>
      </c>
      <c r="BO10" s="455">
        <f t="shared" si="5"/>
        <v>1970000</v>
      </c>
      <c r="BP10" s="455">
        <f t="shared" si="6"/>
        <v>859900</v>
      </c>
      <c r="BQ10" s="272">
        <v>124700</v>
      </c>
      <c r="BR10" s="272">
        <v>0</v>
      </c>
      <c r="BS10" s="272">
        <v>735200</v>
      </c>
      <c r="BT10" s="272">
        <v>0</v>
      </c>
      <c r="BU10" s="272">
        <v>25392576</v>
      </c>
      <c r="BV10" s="272"/>
      <c r="BW10" s="272">
        <v>6186874</v>
      </c>
      <c r="BX10" s="272">
        <v>4031251</v>
      </c>
      <c r="BY10" s="272">
        <v>853493</v>
      </c>
      <c r="BZ10" s="272">
        <v>258145</v>
      </c>
      <c r="CA10" s="272">
        <v>3984711</v>
      </c>
      <c r="CB10" s="272">
        <v>557120</v>
      </c>
      <c r="CC10" s="272">
        <v>292591</v>
      </c>
      <c r="CD10" s="272">
        <v>1287926</v>
      </c>
      <c r="CE10" s="272">
        <v>1790160</v>
      </c>
      <c r="CF10" s="272">
        <v>0</v>
      </c>
      <c r="CG10" s="272">
        <v>56804</v>
      </c>
      <c r="CH10" s="272">
        <v>2661851</v>
      </c>
      <c r="CI10" s="272">
        <v>1801808</v>
      </c>
      <c r="CJ10" s="455">
        <f t="shared" si="7"/>
        <v>860043</v>
      </c>
      <c r="CK10" s="272">
        <v>2157490</v>
      </c>
      <c r="CL10" s="272">
        <v>1124709</v>
      </c>
      <c r="CM10" s="272">
        <v>180014</v>
      </c>
      <c r="CN10" s="272">
        <v>389531</v>
      </c>
      <c r="CO10" s="272">
        <v>89419</v>
      </c>
      <c r="CP10" s="272">
        <v>2367679</v>
      </c>
      <c r="CQ10" s="272">
        <v>1101594</v>
      </c>
      <c r="CR10" s="272">
        <v>347340</v>
      </c>
      <c r="CS10" s="272">
        <v>332174</v>
      </c>
      <c r="CT10" s="455">
        <f t="shared" si="8"/>
        <v>653011</v>
      </c>
      <c r="CU10" s="272">
        <v>653011</v>
      </c>
      <c r="CV10" s="272">
        <v>0</v>
      </c>
      <c r="CW10" s="455">
        <f t="shared" si="9"/>
        <v>632615</v>
      </c>
      <c r="CX10" s="272">
        <v>632615</v>
      </c>
      <c r="CY10" s="272">
        <v>0</v>
      </c>
      <c r="CZ10" s="455">
        <f t="shared" si="10"/>
        <v>0</v>
      </c>
      <c r="DA10" s="272">
        <v>0</v>
      </c>
      <c r="DB10" s="272">
        <v>0</v>
      </c>
      <c r="DC10" s="272">
        <v>3451267</v>
      </c>
      <c r="DD10" s="272">
        <v>211294</v>
      </c>
      <c r="DE10" s="272">
        <v>2449750</v>
      </c>
      <c r="DF10" s="272">
        <v>305833</v>
      </c>
      <c r="DG10" s="272">
        <v>484390</v>
      </c>
      <c r="DH10" s="272">
        <v>0</v>
      </c>
      <c r="DI10" s="272">
        <v>71124</v>
      </c>
      <c r="DJ10" s="272">
        <v>0</v>
      </c>
      <c r="DK10" s="272">
        <v>0</v>
      </c>
      <c r="DL10" s="272">
        <v>71124</v>
      </c>
      <c r="DM10" s="272">
        <v>0</v>
      </c>
      <c r="DN10" s="272">
        <v>0</v>
      </c>
      <c r="DO10" s="272">
        <v>0</v>
      </c>
      <c r="DP10" s="272">
        <v>0</v>
      </c>
      <c r="DQ10" s="272">
        <v>30384</v>
      </c>
      <c r="DR10" s="272">
        <v>0</v>
      </c>
      <c r="DS10" s="272">
        <v>0</v>
      </c>
      <c r="DT10" s="272">
        <v>3402971</v>
      </c>
      <c r="DU10" s="272">
        <v>1860433</v>
      </c>
      <c r="DV10" s="455">
        <f t="shared" si="11"/>
        <v>0</v>
      </c>
      <c r="DW10" s="272">
        <v>0</v>
      </c>
      <c r="DX10" s="272">
        <v>0</v>
      </c>
      <c r="DY10" s="272">
        <v>28004</v>
      </c>
      <c r="DZ10" s="272">
        <v>519655</v>
      </c>
      <c r="EA10" s="272">
        <v>357908</v>
      </c>
      <c r="EB10" s="272">
        <v>407432</v>
      </c>
      <c r="EC10" s="272">
        <v>2539486</v>
      </c>
      <c r="ED10" s="272">
        <v>26943256</v>
      </c>
      <c r="EF10" s="272">
        <v>-1550680</v>
      </c>
      <c r="EG10" s="272">
        <v>1745</v>
      </c>
      <c r="EH10" s="272">
        <v>-1552425</v>
      </c>
      <c r="EI10" s="272">
        <v>987090</v>
      </c>
      <c r="EJ10" s="272">
        <v>987090</v>
      </c>
      <c r="EL10" s="272"/>
      <c r="EM10" s="272">
        <v>76052</v>
      </c>
      <c r="EN10" s="272">
        <v>674930</v>
      </c>
      <c r="EO10" s="272">
        <v>48259</v>
      </c>
      <c r="EP10" s="455">
        <f t="shared" si="12"/>
        <v>463327</v>
      </c>
      <c r="EQ10" s="272">
        <v>16786342</v>
      </c>
      <c r="ER10" s="272">
        <v>-2031431</v>
      </c>
      <c r="ES10" s="272">
        <v>5487617</v>
      </c>
      <c r="ET10" s="272">
        <v>3369184</v>
      </c>
      <c r="EU10" s="272">
        <v>1292888</v>
      </c>
      <c r="EV10" s="272">
        <v>2650033</v>
      </c>
      <c r="EW10" s="455">
        <f t="shared" si="13"/>
        <v>850995</v>
      </c>
      <c r="EX10" s="272">
        <v>850995</v>
      </c>
      <c r="EY10" s="272">
        <v>2473</v>
      </c>
      <c r="EZ10" s="272">
        <v>848389</v>
      </c>
      <c r="FA10" s="272">
        <v>0</v>
      </c>
      <c r="FB10" s="272"/>
      <c r="FC10" s="272">
        <v>1948605</v>
      </c>
      <c r="FD10" s="272">
        <v>2254588</v>
      </c>
      <c r="FE10" s="272">
        <v>1101594</v>
      </c>
      <c r="FF10" s="272">
        <v>3192187</v>
      </c>
      <c r="FG10" s="455">
        <f t="shared" si="14"/>
        <v>2691540</v>
      </c>
      <c r="FH10" s="272">
        <v>20368453</v>
      </c>
      <c r="FI10" s="384">
        <f t="shared" si="15"/>
        <v>-10.1</v>
      </c>
      <c r="FJ10" s="272">
        <v>15336572</v>
      </c>
      <c r="FK10" s="272">
        <v>735233</v>
      </c>
      <c r="FL10" s="272">
        <v>9156434</v>
      </c>
      <c r="FM10" s="272">
        <v>12382891</v>
      </c>
      <c r="FN10" s="460">
        <v>0.74399999999999999</v>
      </c>
      <c r="FO10" s="388">
        <v>94.2</v>
      </c>
      <c r="FP10" s="388">
        <v>31.7</v>
      </c>
      <c r="FQ10" s="388">
        <v>8.1</v>
      </c>
      <c r="FR10" s="388">
        <v>16.5</v>
      </c>
      <c r="FS10" s="388">
        <v>9</v>
      </c>
      <c r="FT10" s="388">
        <v>11.7</v>
      </c>
      <c r="FU10" s="388">
        <v>16.8</v>
      </c>
      <c r="FV10" s="388">
        <v>12.2</v>
      </c>
      <c r="FW10" s="272">
        <v>29876865</v>
      </c>
      <c r="FX10" s="384">
        <f t="shared" si="16"/>
        <v>194.8</v>
      </c>
      <c r="FY10" s="272">
        <v>902085</v>
      </c>
      <c r="FZ10" s="272">
        <v>0</v>
      </c>
      <c r="GA10" s="272">
        <v>0</v>
      </c>
      <c r="GB10" s="272">
        <v>902085</v>
      </c>
      <c r="GC10" s="272"/>
      <c r="GD10" s="272">
        <v>7884268</v>
      </c>
      <c r="GE10" s="384">
        <f t="shared" si="17"/>
        <v>51.4</v>
      </c>
      <c r="GF10" s="388">
        <v>98.1</v>
      </c>
      <c r="GG10" s="388">
        <v>19.3</v>
      </c>
      <c r="GH10" s="388">
        <v>91.1</v>
      </c>
      <c r="GI10" s="272">
        <v>564</v>
      </c>
    </row>
    <row r="11" spans="2:191" x14ac:dyDescent="0.15">
      <c r="B11" s="89" t="s">
        <v>15</v>
      </c>
      <c r="C11" s="272">
        <v>50484714</v>
      </c>
      <c r="D11" s="455">
        <f t="shared" si="0"/>
        <v>18389233</v>
      </c>
      <c r="E11" s="272">
        <v>337758</v>
      </c>
      <c r="F11" s="272">
        <v>18051475</v>
      </c>
      <c r="G11" s="455">
        <f t="shared" si="1"/>
        <v>2808423</v>
      </c>
      <c r="H11" s="272">
        <v>713398</v>
      </c>
      <c r="I11" s="272">
        <v>2095025</v>
      </c>
      <c r="J11" s="272">
        <v>21630284</v>
      </c>
      <c r="K11" s="272">
        <v>10405987</v>
      </c>
      <c r="L11" s="272">
        <v>8060002</v>
      </c>
      <c r="M11" s="272">
        <v>2916118</v>
      </c>
      <c r="N11" s="272">
        <v>1683545</v>
      </c>
      <c r="O11" s="272">
        <v>4595548</v>
      </c>
      <c r="P11" s="272">
        <v>2882768</v>
      </c>
      <c r="Q11" s="272">
        <v>1712780</v>
      </c>
      <c r="R11" s="272">
        <v>739611</v>
      </c>
      <c r="S11" s="272"/>
      <c r="T11" s="455">
        <f t="shared" si="2"/>
        <v>4173829</v>
      </c>
      <c r="U11" s="272">
        <v>793341</v>
      </c>
      <c r="V11" s="272"/>
      <c r="W11" s="272"/>
      <c r="X11" s="272">
        <v>2645066</v>
      </c>
      <c r="Y11" s="272">
        <v>88836</v>
      </c>
      <c r="Z11" s="272">
        <v>559</v>
      </c>
      <c r="AA11" s="272">
        <v>646027</v>
      </c>
      <c r="AB11" s="272">
        <v>1928447</v>
      </c>
      <c r="AC11" s="272">
        <v>9248228</v>
      </c>
      <c r="AD11" s="272">
        <v>8819193</v>
      </c>
      <c r="AE11" s="272">
        <v>429035</v>
      </c>
      <c r="AF11" s="272">
        <v>66062</v>
      </c>
      <c r="AG11" s="272">
        <v>760272</v>
      </c>
      <c r="AH11" s="455">
        <f t="shared" si="3"/>
        <v>2444806</v>
      </c>
      <c r="AI11" s="272">
        <v>1508676</v>
      </c>
      <c r="AJ11" s="272">
        <v>936130</v>
      </c>
      <c r="AK11" s="272">
        <v>11667873</v>
      </c>
      <c r="AL11" s="455">
        <f t="shared" si="4"/>
        <v>5127340</v>
      </c>
      <c r="AM11" s="272">
        <v>4084046</v>
      </c>
      <c r="AN11" s="272">
        <v>989510</v>
      </c>
      <c r="AO11" s="272">
        <v>0</v>
      </c>
      <c r="AP11" s="272">
        <v>53784</v>
      </c>
      <c r="AQ11" s="272">
        <v>3051325</v>
      </c>
      <c r="AR11" s="272">
        <v>0</v>
      </c>
      <c r="AS11" s="272">
        <v>0</v>
      </c>
      <c r="AT11" s="272">
        <v>4349614</v>
      </c>
      <c r="AU11" s="272">
        <v>2329400</v>
      </c>
      <c r="AV11" s="272">
        <v>494755</v>
      </c>
      <c r="AW11" s="272">
        <v>342410</v>
      </c>
      <c r="AX11" s="272">
        <v>2020214</v>
      </c>
      <c r="AY11" s="272">
        <v>130772</v>
      </c>
      <c r="AZ11" s="272">
        <v>551738</v>
      </c>
      <c r="BA11" s="272">
        <v>537003</v>
      </c>
      <c r="BB11" s="272">
        <v>110919</v>
      </c>
      <c r="BC11" s="272">
        <v>1903973</v>
      </c>
      <c r="BD11" s="272">
        <v>100000</v>
      </c>
      <c r="BE11" s="272">
        <v>0</v>
      </c>
      <c r="BF11" s="272">
        <v>1673930</v>
      </c>
      <c r="BG11" s="272">
        <v>0</v>
      </c>
      <c r="BH11" s="272">
        <v>605172</v>
      </c>
      <c r="BI11" s="272">
        <v>474742</v>
      </c>
      <c r="BJ11" s="272">
        <v>2288010</v>
      </c>
      <c r="BK11" s="272">
        <v>1859862</v>
      </c>
      <c r="BL11" s="272">
        <v>0</v>
      </c>
      <c r="BM11" s="272">
        <v>67394</v>
      </c>
      <c r="BN11" s="272">
        <v>6961924</v>
      </c>
      <c r="BO11" s="455">
        <f t="shared" si="5"/>
        <v>3861924</v>
      </c>
      <c r="BP11" s="455">
        <f t="shared" si="6"/>
        <v>3100000</v>
      </c>
      <c r="BQ11" s="272">
        <v>0</v>
      </c>
      <c r="BR11" s="272">
        <v>0</v>
      </c>
      <c r="BS11" s="272">
        <v>3100000</v>
      </c>
      <c r="BT11" s="272">
        <v>0</v>
      </c>
      <c r="BU11" s="272">
        <v>98285192</v>
      </c>
      <c r="BV11" s="272"/>
      <c r="BW11" s="272">
        <v>26181420</v>
      </c>
      <c r="BX11" s="272">
        <v>18334237</v>
      </c>
      <c r="BY11" s="272">
        <v>2676646</v>
      </c>
      <c r="BZ11" s="272">
        <v>1267434</v>
      </c>
      <c r="CA11" s="272">
        <v>13194790</v>
      </c>
      <c r="CB11" s="272">
        <v>2234498</v>
      </c>
      <c r="CC11" s="272">
        <v>966169</v>
      </c>
      <c r="CD11" s="272">
        <v>4134119</v>
      </c>
      <c r="CE11" s="272">
        <v>5546437</v>
      </c>
      <c r="CF11" s="272">
        <v>8265</v>
      </c>
      <c r="CG11" s="272">
        <v>303332</v>
      </c>
      <c r="CH11" s="272">
        <v>9742965</v>
      </c>
      <c r="CI11" s="272">
        <v>7500619</v>
      </c>
      <c r="CJ11" s="455">
        <f t="shared" si="7"/>
        <v>2242346</v>
      </c>
      <c r="CK11" s="272">
        <v>12376373</v>
      </c>
      <c r="CL11" s="272">
        <v>6999206</v>
      </c>
      <c r="CM11" s="272">
        <v>460383</v>
      </c>
      <c r="CN11" s="272">
        <v>3149657</v>
      </c>
      <c r="CO11" s="272">
        <v>1601627</v>
      </c>
      <c r="CP11" s="272">
        <v>3916610</v>
      </c>
      <c r="CQ11" s="272">
        <v>20342</v>
      </c>
      <c r="CR11" s="272">
        <v>1809317</v>
      </c>
      <c r="CS11" s="272">
        <v>1592495</v>
      </c>
      <c r="CT11" s="455">
        <f t="shared" si="8"/>
        <v>1119928</v>
      </c>
      <c r="CU11" s="272">
        <v>95895</v>
      </c>
      <c r="CV11" s="272">
        <v>1024033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16754650</v>
      </c>
      <c r="DD11" s="272">
        <v>6532781</v>
      </c>
      <c r="DE11" s="272">
        <v>10144040</v>
      </c>
      <c r="DF11" s="272">
        <v>77829</v>
      </c>
      <c r="DG11" s="272">
        <v>0</v>
      </c>
      <c r="DH11" s="272">
        <v>0</v>
      </c>
      <c r="DI11" s="272">
        <v>1244106</v>
      </c>
      <c r="DJ11" s="272">
        <v>262208</v>
      </c>
      <c r="DK11" s="272">
        <v>1085</v>
      </c>
      <c r="DL11" s="272">
        <v>980813</v>
      </c>
      <c r="DM11" s="272">
        <v>200</v>
      </c>
      <c r="DN11" s="272">
        <v>0</v>
      </c>
      <c r="DO11" s="272">
        <v>0</v>
      </c>
      <c r="DP11" s="272">
        <v>0</v>
      </c>
      <c r="DQ11" s="272">
        <v>1857810</v>
      </c>
      <c r="DR11" s="272">
        <v>0</v>
      </c>
      <c r="DS11" s="272">
        <v>0</v>
      </c>
      <c r="DT11" s="272">
        <v>10890833</v>
      </c>
      <c r="DU11" s="272">
        <v>5146000</v>
      </c>
      <c r="DV11" s="455">
        <f t="shared" si="11"/>
        <v>0</v>
      </c>
      <c r="DW11" s="272">
        <v>0</v>
      </c>
      <c r="DX11" s="272">
        <v>0</v>
      </c>
      <c r="DY11" s="272">
        <v>220000</v>
      </c>
      <c r="DZ11" s="272">
        <v>2443101</v>
      </c>
      <c r="EA11" s="272">
        <v>1482119</v>
      </c>
      <c r="EB11" s="272">
        <v>1597351</v>
      </c>
      <c r="EC11" s="272">
        <v>0</v>
      </c>
      <c r="ED11" s="272">
        <v>97761384</v>
      </c>
      <c r="EF11" s="272">
        <v>523808</v>
      </c>
      <c r="EG11" s="272">
        <v>338810</v>
      </c>
      <c r="EH11" s="272">
        <v>184998</v>
      </c>
      <c r="EI11" s="272">
        <v>-289744</v>
      </c>
      <c r="EJ11" s="272">
        <v>302489</v>
      </c>
      <c r="EL11" s="272"/>
      <c r="EM11" s="272">
        <v>352338</v>
      </c>
      <c r="EN11" s="272">
        <v>122411</v>
      </c>
      <c r="EO11" s="272">
        <v>545855</v>
      </c>
      <c r="EP11" s="455">
        <f t="shared" si="12"/>
        <v>1857661</v>
      </c>
      <c r="EQ11" s="272">
        <v>66640891</v>
      </c>
      <c r="ER11" s="272">
        <v>-5559865</v>
      </c>
      <c r="ES11" s="272">
        <v>23976861</v>
      </c>
      <c r="ET11" s="272">
        <v>16245077</v>
      </c>
      <c r="EU11" s="272">
        <v>4165647</v>
      </c>
      <c r="EV11" s="272">
        <v>9579062</v>
      </c>
      <c r="EW11" s="455">
        <f t="shared" si="13"/>
        <v>7496938</v>
      </c>
      <c r="EX11" s="272">
        <v>7496938</v>
      </c>
      <c r="EY11" s="272">
        <v>1427905</v>
      </c>
      <c r="EZ11" s="272">
        <v>6000339</v>
      </c>
      <c r="FA11" s="272">
        <v>0</v>
      </c>
      <c r="FB11" s="272"/>
      <c r="FC11" s="272">
        <v>9944210</v>
      </c>
      <c r="FD11" s="272">
        <v>3557643</v>
      </c>
      <c r="FE11" s="272">
        <v>20342</v>
      </c>
      <c r="FF11" s="272">
        <v>10187636</v>
      </c>
      <c r="FG11" s="455">
        <f t="shared" si="14"/>
        <v>2768951</v>
      </c>
      <c r="FH11" s="272">
        <v>71676948</v>
      </c>
      <c r="FI11" s="384">
        <f t="shared" si="15"/>
        <v>0.3</v>
      </c>
      <c r="FJ11" s="272">
        <v>62561702</v>
      </c>
      <c r="FK11" s="272">
        <v>3111177</v>
      </c>
      <c r="FL11" s="272">
        <v>40507199</v>
      </c>
      <c r="FM11" s="272">
        <v>49336893</v>
      </c>
      <c r="FN11" s="460">
        <v>0.82799999999999996</v>
      </c>
      <c r="FO11" s="388">
        <v>88.4</v>
      </c>
      <c r="FP11" s="388">
        <v>35.4</v>
      </c>
      <c r="FQ11" s="388">
        <v>6.4</v>
      </c>
      <c r="FR11" s="388">
        <v>14</v>
      </c>
      <c r="FS11" s="388">
        <v>14.4</v>
      </c>
      <c r="FT11" s="388">
        <v>4.8</v>
      </c>
      <c r="FU11" s="388">
        <v>11</v>
      </c>
      <c r="FV11" s="388">
        <v>7.3</v>
      </c>
      <c r="FW11" s="272">
        <v>64868351</v>
      </c>
      <c r="FX11" s="384">
        <f t="shared" si="16"/>
        <v>103.7</v>
      </c>
      <c r="FY11" s="272">
        <v>30006142</v>
      </c>
      <c r="FZ11" s="272">
        <v>8939309</v>
      </c>
      <c r="GA11" s="272">
        <v>2457257</v>
      </c>
      <c r="GB11" s="272">
        <v>18609576</v>
      </c>
      <c r="GC11" s="272"/>
      <c r="GD11" s="272">
        <v>3710346</v>
      </c>
      <c r="GE11" s="384">
        <f t="shared" si="17"/>
        <v>5.9</v>
      </c>
      <c r="GF11" s="388">
        <v>98.5</v>
      </c>
      <c r="GG11" s="388">
        <v>20.6</v>
      </c>
      <c r="GH11" s="388">
        <v>94.5</v>
      </c>
      <c r="GI11" s="272">
        <v>2243</v>
      </c>
    </row>
    <row r="12" spans="2:191" x14ac:dyDescent="0.15">
      <c r="B12" s="89" t="s">
        <v>17</v>
      </c>
      <c r="C12" s="272">
        <v>11270975</v>
      </c>
      <c r="D12" s="455">
        <f t="shared" si="0"/>
        <v>3221965</v>
      </c>
      <c r="E12" s="272">
        <v>74417</v>
      </c>
      <c r="F12" s="272">
        <v>3147548</v>
      </c>
      <c r="G12" s="455">
        <f t="shared" si="1"/>
        <v>547680</v>
      </c>
      <c r="H12" s="272">
        <v>173662</v>
      </c>
      <c r="I12" s="272">
        <v>374018</v>
      </c>
      <c r="J12" s="272">
        <v>5422362</v>
      </c>
      <c r="K12" s="272">
        <v>2525944</v>
      </c>
      <c r="L12" s="272">
        <v>2062011</v>
      </c>
      <c r="M12" s="272">
        <v>699748</v>
      </c>
      <c r="N12" s="272">
        <v>830085</v>
      </c>
      <c r="O12" s="272">
        <v>1108445</v>
      </c>
      <c r="P12" s="272">
        <v>665677</v>
      </c>
      <c r="Q12" s="272">
        <v>442768</v>
      </c>
      <c r="R12" s="272">
        <v>195672</v>
      </c>
      <c r="S12" s="272"/>
      <c r="T12" s="455">
        <f t="shared" si="2"/>
        <v>990692</v>
      </c>
      <c r="U12" s="272">
        <v>143610</v>
      </c>
      <c r="V12" s="272"/>
      <c r="W12" s="272"/>
      <c r="X12" s="272">
        <v>676957</v>
      </c>
      <c r="Y12" s="272">
        <v>0</v>
      </c>
      <c r="Z12" s="272">
        <v>0</v>
      </c>
      <c r="AA12" s="272">
        <v>170125</v>
      </c>
      <c r="AB12" s="272">
        <v>312961</v>
      </c>
      <c r="AC12" s="272">
        <v>4937824</v>
      </c>
      <c r="AD12" s="272">
        <v>4435792</v>
      </c>
      <c r="AE12" s="272">
        <v>502032</v>
      </c>
      <c r="AF12" s="272">
        <v>18283</v>
      </c>
      <c r="AG12" s="272">
        <v>243806</v>
      </c>
      <c r="AH12" s="455">
        <f t="shared" si="3"/>
        <v>510600</v>
      </c>
      <c r="AI12" s="272">
        <v>440230</v>
      </c>
      <c r="AJ12" s="272">
        <v>70370</v>
      </c>
      <c r="AK12" s="272">
        <v>3165425</v>
      </c>
      <c r="AL12" s="455">
        <f t="shared" si="4"/>
        <v>2063693</v>
      </c>
      <c r="AM12" s="272">
        <v>1592662</v>
      </c>
      <c r="AN12" s="272">
        <v>465051</v>
      </c>
      <c r="AO12" s="272">
        <v>0</v>
      </c>
      <c r="AP12" s="272">
        <v>5980</v>
      </c>
      <c r="AQ12" s="272">
        <v>218177</v>
      </c>
      <c r="AR12" s="272">
        <v>0</v>
      </c>
      <c r="AS12" s="272">
        <v>0</v>
      </c>
      <c r="AT12" s="272">
        <v>1430500</v>
      </c>
      <c r="AU12" s="272">
        <v>830205</v>
      </c>
      <c r="AV12" s="272">
        <v>331997</v>
      </c>
      <c r="AW12" s="272">
        <v>43865</v>
      </c>
      <c r="AX12" s="272">
        <v>600295</v>
      </c>
      <c r="AY12" s="272">
        <v>47187</v>
      </c>
      <c r="AZ12" s="272">
        <v>23869</v>
      </c>
      <c r="BA12" s="272">
        <v>7253</v>
      </c>
      <c r="BB12" s="272">
        <v>256493</v>
      </c>
      <c r="BC12" s="272">
        <v>150050</v>
      </c>
      <c r="BD12" s="272">
        <v>0</v>
      </c>
      <c r="BE12" s="272">
        <v>0</v>
      </c>
      <c r="BF12" s="272">
        <v>51236</v>
      </c>
      <c r="BG12" s="272">
        <v>0</v>
      </c>
      <c r="BH12" s="272">
        <v>0</v>
      </c>
      <c r="BI12" s="272">
        <v>0</v>
      </c>
      <c r="BJ12" s="272">
        <v>331467</v>
      </c>
      <c r="BK12" s="272">
        <v>35362</v>
      </c>
      <c r="BL12" s="272">
        <v>0</v>
      </c>
      <c r="BM12" s="272">
        <v>59363</v>
      </c>
      <c r="BN12" s="272">
        <v>1726933</v>
      </c>
      <c r="BO12" s="455">
        <f t="shared" si="5"/>
        <v>747933</v>
      </c>
      <c r="BP12" s="455">
        <f t="shared" si="6"/>
        <v>979000</v>
      </c>
      <c r="BQ12" s="272">
        <v>128700</v>
      </c>
      <c r="BR12" s="272">
        <v>0</v>
      </c>
      <c r="BS12" s="272">
        <v>850300</v>
      </c>
      <c r="BT12" s="272">
        <v>0</v>
      </c>
      <c r="BU12" s="272">
        <v>25565550</v>
      </c>
      <c r="BV12" s="272"/>
      <c r="BW12" s="272">
        <v>7126633</v>
      </c>
      <c r="BX12" s="272">
        <v>4727020</v>
      </c>
      <c r="BY12" s="272">
        <v>721458</v>
      </c>
      <c r="BZ12" s="272">
        <v>467126</v>
      </c>
      <c r="CA12" s="272">
        <v>4892443</v>
      </c>
      <c r="CB12" s="272">
        <v>650526</v>
      </c>
      <c r="CC12" s="272">
        <v>265760</v>
      </c>
      <c r="CD12" s="272">
        <v>1802634</v>
      </c>
      <c r="CE12" s="272">
        <v>2104000</v>
      </c>
      <c r="CF12" s="272">
        <v>193</v>
      </c>
      <c r="CG12" s="272">
        <v>69330</v>
      </c>
      <c r="CH12" s="272">
        <v>3323553</v>
      </c>
      <c r="CI12" s="272">
        <v>2506169</v>
      </c>
      <c r="CJ12" s="455">
        <f t="shared" si="7"/>
        <v>817384</v>
      </c>
      <c r="CK12" s="272">
        <v>2700931</v>
      </c>
      <c r="CL12" s="272">
        <v>1326396</v>
      </c>
      <c r="CM12" s="272">
        <v>212442</v>
      </c>
      <c r="CN12" s="272">
        <v>596226</v>
      </c>
      <c r="CO12" s="272">
        <v>87993</v>
      </c>
      <c r="CP12" s="272">
        <v>2699905</v>
      </c>
      <c r="CQ12" s="272">
        <v>656184</v>
      </c>
      <c r="CR12" s="272">
        <v>674154</v>
      </c>
      <c r="CS12" s="272">
        <v>601942</v>
      </c>
      <c r="CT12" s="455">
        <f t="shared" si="8"/>
        <v>808545</v>
      </c>
      <c r="CU12" s="272">
        <v>808545</v>
      </c>
      <c r="CV12" s="272">
        <v>0</v>
      </c>
      <c r="CW12" s="455">
        <f t="shared" si="9"/>
        <v>801074</v>
      </c>
      <c r="CX12" s="272">
        <v>801074</v>
      </c>
      <c r="CY12" s="272">
        <v>0</v>
      </c>
      <c r="CZ12" s="455">
        <f t="shared" si="10"/>
        <v>0</v>
      </c>
      <c r="DA12" s="272">
        <v>0</v>
      </c>
      <c r="DB12" s="272">
        <v>0</v>
      </c>
      <c r="DC12" s="272">
        <v>1763717</v>
      </c>
      <c r="DD12" s="272">
        <v>691427</v>
      </c>
      <c r="DE12" s="272">
        <v>950745</v>
      </c>
      <c r="DF12" s="272">
        <v>104756</v>
      </c>
      <c r="DG12" s="272">
        <v>16789</v>
      </c>
      <c r="DH12" s="272">
        <v>0</v>
      </c>
      <c r="DI12" s="272">
        <v>89426</v>
      </c>
      <c r="DJ12" s="272">
        <v>0</v>
      </c>
      <c r="DK12" s="272">
        <v>0</v>
      </c>
      <c r="DL12" s="272">
        <v>89426</v>
      </c>
      <c r="DM12" s="272">
        <v>0</v>
      </c>
      <c r="DN12" s="272">
        <v>0</v>
      </c>
      <c r="DO12" s="272">
        <v>0</v>
      </c>
      <c r="DP12" s="272">
        <v>0</v>
      </c>
      <c r="DQ12" s="272">
        <v>45781</v>
      </c>
      <c r="DR12" s="272">
        <v>0</v>
      </c>
      <c r="DS12" s="272">
        <v>0</v>
      </c>
      <c r="DT12" s="272">
        <v>3113072</v>
      </c>
      <c r="DU12" s="272">
        <v>1618924</v>
      </c>
      <c r="DV12" s="455">
        <f t="shared" si="11"/>
        <v>0</v>
      </c>
      <c r="DW12" s="272">
        <v>0</v>
      </c>
      <c r="DX12" s="272">
        <v>0</v>
      </c>
      <c r="DY12" s="272">
        <v>0</v>
      </c>
      <c r="DZ12" s="272">
        <v>596489</v>
      </c>
      <c r="EA12" s="272">
        <v>378689</v>
      </c>
      <c r="EB12" s="272">
        <v>514500</v>
      </c>
      <c r="EC12" s="272">
        <v>1473543</v>
      </c>
      <c r="ED12" s="272">
        <v>27316997</v>
      </c>
      <c r="EF12" s="272">
        <v>-1751447</v>
      </c>
      <c r="EG12" s="272">
        <v>37231</v>
      </c>
      <c r="EH12" s="272">
        <v>-1788678</v>
      </c>
      <c r="EI12" s="272">
        <v>-269354</v>
      </c>
      <c r="EJ12" s="272">
        <v>-269354</v>
      </c>
      <c r="EL12" s="272"/>
      <c r="EM12" s="272">
        <v>88734</v>
      </c>
      <c r="EN12" s="272">
        <v>103341</v>
      </c>
      <c r="EO12" s="272">
        <v>142</v>
      </c>
      <c r="EP12" s="455">
        <f t="shared" si="12"/>
        <v>357414</v>
      </c>
      <c r="EQ12" s="272">
        <v>17726407</v>
      </c>
      <c r="ER12" s="272">
        <v>-1421614</v>
      </c>
      <c r="ES12" s="272">
        <v>6503270</v>
      </c>
      <c r="ET12" s="272">
        <v>4230119</v>
      </c>
      <c r="EU12" s="272">
        <v>1468957</v>
      </c>
      <c r="EV12" s="272">
        <v>3214882</v>
      </c>
      <c r="EW12" s="455">
        <f t="shared" si="13"/>
        <v>680637</v>
      </c>
      <c r="EX12" s="272">
        <v>680637</v>
      </c>
      <c r="EY12" s="272">
        <v>230697</v>
      </c>
      <c r="EZ12" s="272">
        <v>400125</v>
      </c>
      <c r="FA12" s="272">
        <v>0</v>
      </c>
      <c r="FB12" s="272"/>
      <c r="FC12" s="272">
        <v>2249157</v>
      </c>
      <c r="FD12" s="272">
        <v>2292529</v>
      </c>
      <c r="FE12" s="272">
        <v>637275</v>
      </c>
      <c r="FF12" s="272">
        <v>2874667</v>
      </c>
      <c r="FG12" s="455">
        <f t="shared" si="14"/>
        <v>1615369</v>
      </c>
      <c r="FH12" s="272">
        <v>20899468</v>
      </c>
      <c r="FI12" s="384">
        <f t="shared" si="15"/>
        <v>-10.9</v>
      </c>
      <c r="FJ12" s="272">
        <v>16441086</v>
      </c>
      <c r="FK12" s="272">
        <v>850337</v>
      </c>
      <c r="FL12" s="272">
        <v>9056317</v>
      </c>
      <c r="FM12" s="272">
        <v>13495565</v>
      </c>
      <c r="FN12" s="460">
        <v>0.65300000000000002</v>
      </c>
      <c r="FO12" s="388">
        <v>98.3</v>
      </c>
      <c r="FP12" s="388">
        <v>35.700000000000003</v>
      </c>
      <c r="FQ12" s="388">
        <v>8.5</v>
      </c>
      <c r="FR12" s="388">
        <v>18.7</v>
      </c>
      <c r="FS12" s="388">
        <v>11.9</v>
      </c>
      <c r="FT12" s="388">
        <v>12.5</v>
      </c>
      <c r="FU12" s="388">
        <v>10.4</v>
      </c>
      <c r="FV12" s="388">
        <v>12.7</v>
      </c>
      <c r="FW12" s="272">
        <v>22293900</v>
      </c>
      <c r="FX12" s="384">
        <f t="shared" si="16"/>
        <v>135.6</v>
      </c>
      <c r="FY12" s="272">
        <v>2997950</v>
      </c>
      <c r="FZ12" s="272">
        <v>503697</v>
      </c>
      <c r="GA12" s="272">
        <v>188585</v>
      </c>
      <c r="GB12" s="272">
        <v>2305668</v>
      </c>
      <c r="GC12" s="272"/>
      <c r="GD12" s="272">
        <v>4481359</v>
      </c>
      <c r="GE12" s="384">
        <f t="shared" si="17"/>
        <v>27.3</v>
      </c>
      <c r="GF12" s="388">
        <v>96.5</v>
      </c>
      <c r="GG12" s="388">
        <v>15</v>
      </c>
      <c r="GH12" s="388">
        <v>86.4</v>
      </c>
      <c r="GI12" s="272">
        <v>638</v>
      </c>
    </row>
    <row r="13" spans="2:191" x14ac:dyDescent="0.15">
      <c r="B13" s="89" t="s">
        <v>19</v>
      </c>
      <c r="C13" s="272">
        <v>24420245</v>
      </c>
      <c r="D13" s="455">
        <f t="shared" si="0"/>
        <v>5949338</v>
      </c>
      <c r="E13" s="272">
        <v>135833</v>
      </c>
      <c r="F13" s="272">
        <v>5813505</v>
      </c>
      <c r="G13" s="455">
        <f t="shared" si="1"/>
        <v>2164685</v>
      </c>
      <c r="H13" s="272">
        <v>401169</v>
      </c>
      <c r="I13" s="272">
        <v>1763516</v>
      </c>
      <c r="J13" s="272">
        <v>11846450</v>
      </c>
      <c r="K13" s="272">
        <v>5085418</v>
      </c>
      <c r="L13" s="272">
        <v>4254106</v>
      </c>
      <c r="M13" s="272">
        <v>2148335</v>
      </c>
      <c r="N13" s="272">
        <v>1093900</v>
      </c>
      <c r="O13" s="272">
        <v>2417200</v>
      </c>
      <c r="P13" s="272">
        <v>1458286</v>
      </c>
      <c r="Q13" s="272">
        <v>958914</v>
      </c>
      <c r="R13" s="272">
        <v>275298</v>
      </c>
      <c r="S13" s="272"/>
      <c r="T13" s="455">
        <f t="shared" si="2"/>
        <v>1914377</v>
      </c>
      <c r="U13" s="272">
        <v>275431</v>
      </c>
      <c r="V13" s="272"/>
      <c r="W13" s="272"/>
      <c r="X13" s="272">
        <v>1398483</v>
      </c>
      <c r="Y13" s="272">
        <v>0</v>
      </c>
      <c r="Z13" s="272">
        <v>122</v>
      </c>
      <c r="AA13" s="272">
        <v>240341</v>
      </c>
      <c r="AB13" s="272">
        <v>728300</v>
      </c>
      <c r="AC13" s="272">
        <v>4695206</v>
      </c>
      <c r="AD13" s="272">
        <v>4057184</v>
      </c>
      <c r="AE13" s="272">
        <v>638022</v>
      </c>
      <c r="AF13" s="272">
        <v>27538</v>
      </c>
      <c r="AG13" s="272">
        <v>2136046</v>
      </c>
      <c r="AH13" s="455">
        <f t="shared" si="3"/>
        <v>974639</v>
      </c>
      <c r="AI13" s="272">
        <v>800869</v>
      </c>
      <c r="AJ13" s="272">
        <v>173770</v>
      </c>
      <c r="AK13" s="272">
        <v>7272531</v>
      </c>
      <c r="AL13" s="455">
        <f t="shared" si="4"/>
        <v>5736051</v>
      </c>
      <c r="AM13" s="272">
        <v>4607355</v>
      </c>
      <c r="AN13" s="272">
        <v>1099981</v>
      </c>
      <c r="AO13" s="272">
        <v>0</v>
      </c>
      <c r="AP13" s="272">
        <v>28715</v>
      </c>
      <c r="AQ13" s="272">
        <v>88574</v>
      </c>
      <c r="AR13" s="272">
        <v>0</v>
      </c>
      <c r="AS13" s="272">
        <v>0</v>
      </c>
      <c r="AT13" s="272">
        <v>2045977</v>
      </c>
      <c r="AU13" s="272">
        <v>1062405</v>
      </c>
      <c r="AV13" s="272">
        <v>345296</v>
      </c>
      <c r="AW13" s="272">
        <v>18008</v>
      </c>
      <c r="AX13" s="272">
        <v>983572</v>
      </c>
      <c r="AY13" s="272">
        <v>89358</v>
      </c>
      <c r="AZ13" s="272">
        <v>67585</v>
      </c>
      <c r="BA13" s="272">
        <v>629</v>
      </c>
      <c r="BB13" s="272">
        <v>11152</v>
      </c>
      <c r="BC13" s="272">
        <v>1393888</v>
      </c>
      <c r="BD13" s="272">
        <v>710000</v>
      </c>
      <c r="BE13" s="272">
        <v>350000</v>
      </c>
      <c r="BF13" s="272">
        <v>53888</v>
      </c>
      <c r="BG13" s="272">
        <v>250000</v>
      </c>
      <c r="BH13" s="272">
        <v>85975</v>
      </c>
      <c r="BI13" s="272">
        <v>84789</v>
      </c>
      <c r="BJ13" s="272">
        <v>340909</v>
      </c>
      <c r="BK13" s="272">
        <v>66739</v>
      </c>
      <c r="BL13" s="272">
        <v>0</v>
      </c>
      <c r="BM13" s="272">
        <v>64166</v>
      </c>
      <c r="BN13" s="272">
        <v>4003600</v>
      </c>
      <c r="BO13" s="455">
        <f t="shared" si="5"/>
        <v>2071900</v>
      </c>
      <c r="BP13" s="455">
        <f t="shared" si="6"/>
        <v>1931700</v>
      </c>
      <c r="BQ13" s="272">
        <v>276300</v>
      </c>
      <c r="BR13" s="272">
        <v>0</v>
      </c>
      <c r="BS13" s="272">
        <v>1655400</v>
      </c>
      <c r="BT13" s="272">
        <v>0</v>
      </c>
      <c r="BU13" s="272">
        <v>50393266</v>
      </c>
      <c r="BV13" s="272"/>
      <c r="BW13" s="272">
        <v>15870117</v>
      </c>
      <c r="BX13" s="272">
        <v>11092344</v>
      </c>
      <c r="BY13" s="272">
        <v>1667318</v>
      </c>
      <c r="BZ13" s="272">
        <v>563875</v>
      </c>
      <c r="CA13" s="272">
        <v>12006248</v>
      </c>
      <c r="CB13" s="272">
        <v>882975</v>
      </c>
      <c r="CC13" s="272">
        <v>612389</v>
      </c>
      <c r="CD13" s="272">
        <v>2102452</v>
      </c>
      <c r="CE13" s="272">
        <v>6217258</v>
      </c>
      <c r="CF13" s="272">
        <v>2024679</v>
      </c>
      <c r="CG13" s="272">
        <v>165812</v>
      </c>
      <c r="CH13" s="272">
        <v>5532044</v>
      </c>
      <c r="CI13" s="272">
        <v>3864573</v>
      </c>
      <c r="CJ13" s="455">
        <f t="shared" si="7"/>
        <v>1667471</v>
      </c>
      <c r="CK13" s="272">
        <v>4184627</v>
      </c>
      <c r="CL13" s="272">
        <v>2149557</v>
      </c>
      <c r="CM13" s="272">
        <v>279828</v>
      </c>
      <c r="CN13" s="272">
        <v>931249</v>
      </c>
      <c r="CO13" s="272">
        <v>249797</v>
      </c>
      <c r="CP13" s="272">
        <v>3989487</v>
      </c>
      <c r="CQ13" s="272">
        <v>2342688</v>
      </c>
      <c r="CR13" s="272">
        <v>945471</v>
      </c>
      <c r="CS13" s="272">
        <v>592495</v>
      </c>
      <c r="CT13" s="455">
        <f t="shared" si="8"/>
        <v>18250</v>
      </c>
      <c r="CU13" s="272">
        <v>18250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2831550</v>
      </c>
      <c r="DD13" s="272">
        <v>239846</v>
      </c>
      <c r="DE13" s="272">
        <v>2591704</v>
      </c>
      <c r="DF13" s="272">
        <v>0</v>
      </c>
      <c r="DG13" s="272">
        <v>0</v>
      </c>
      <c r="DH13" s="272">
        <v>0</v>
      </c>
      <c r="DI13" s="272">
        <v>14975</v>
      </c>
      <c r="DJ13" s="272">
        <v>2729</v>
      </c>
      <c r="DK13" s="272">
        <v>466</v>
      </c>
      <c r="DL13" s="272">
        <v>11780</v>
      </c>
      <c r="DM13" s="272">
        <v>23265</v>
      </c>
      <c r="DN13" s="272">
        <v>18165</v>
      </c>
      <c r="DO13" s="272">
        <v>18165</v>
      </c>
      <c r="DP13" s="272">
        <v>0</v>
      </c>
      <c r="DQ13" s="272">
        <v>58905</v>
      </c>
      <c r="DR13" s="272">
        <v>0</v>
      </c>
      <c r="DS13" s="272">
        <v>0</v>
      </c>
      <c r="DT13" s="272">
        <v>5588959</v>
      </c>
      <c r="DU13" s="272">
        <v>2753000</v>
      </c>
      <c r="DV13" s="455">
        <f t="shared" si="11"/>
        <v>0</v>
      </c>
      <c r="DW13" s="272">
        <v>0</v>
      </c>
      <c r="DX13" s="272">
        <v>0</v>
      </c>
      <c r="DY13" s="272">
        <v>0</v>
      </c>
      <c r="DZ13" s="272">
        <v>1384269</v>
      </c>
      <c r="EA13" s="272">
        <v>698188</v>
      </c>
      <c r="EB13" s="272">
        <v>731633</v>
      </c>
      <c r="EC13" s="272">
        <v>0</v>
      </c>
      <c r="ED13" s="272">
        <v>50349974</v>
      </c>
      <c r="EF13" s="272">
        <v>43292</v>
      </c>
      <c r="EG13" s="272">
        <v>9086</v>
      </c>
      <c r="EH13" s="272">
        <v>34206</v>
      </c>
      <c r="EI13" s="272">
        <v>-150583</v>
      </c>
      <c r="EJ13" s="272">
        <v>-857854</v>
      </c>
      <c r="EL13" s="272"/>
      <c r="EM13" s="272">
        <v>148385</v>
      </c>
      <c r="EN13" s="272">
        <v>1340000</v>
      </c>
      <c r="EO13" s="272">
        <v>60331</v>
      </c>
      <c r="EP13" s="455">
        <f t="shared" si="12"/>
        <v>1234269</v>
      </c>
      <c r="EQ13" s="272">
        <v>32060964</v>
      </c>
      <c r="ER13" s="272">
        <v>-4538762</v>
      </c>
      <c r="ES13" s="272">
        <v>14636535</v>
      </c>
      <c r="ET13" s="272">
        <v>10230137</v>
      </c>
      <c r="EU13" s="272">
        <v>3161563</v>
      </c>
      <c r="EV13" s="272">
        <v>5424381</v>
      </c>
      <c r="EW13" s="455">
        <f t="shared" si="13"/>
        <v>903293</v>
      </c>
      <c r="EX13" s="272">
        <v>903293</v>
      </c>
      <c r="EY13" s="272">
        <v>6347</v>
      </c>
      <c r="EZ13" s="272">
        <v>896946</v>
      </c>
      <c r="FA13" s="272">
        <v>0</v>
      </c>
      <c r="FB13" s="272"/>
      <c r="FC13" s="272">
        <v>3386540</v>
      </c>
      <c r="FD13" s="272">
        <v>3762167</v>
      </c>
      <c r="FE13" s="272">
        <v>2342688</v>
      </c>
      <c r="FF13" s="272">
        <v>5042008</v>
      </c>
      <c r="FG13" s="455">
        <f t="shared" si="14"/>
        <v>239947</v>
      </c>
      <c r="FH13" s="272">
        <v>36556434</v>
      </c>
      <c r="FI13" s="384">
        <f t="shared" si="15"/>
        <v>0.1</v>
      </c>
      <c r="FJ13" s="272">
        <v>29733923</v>
      </c>
      <c r="FK13" s="272">
        <v>1655490</v>
      </c>
      <c r="FL13" s="272">
        <v>19332467</v>
      </c>
      <c r="FM13" s="272">
        <v>23408705</v>
      </c>
      <c r="FN13" s="460">
        <v>0.82</v>
      </c>
      <c r="FO13" s="388">
        <v>109.4</v>
      </c>
      <c r="FP13" s="388">
        <v>45.3</v>
      </c>
      <c r="FQ13" s="388">
        <v>10</v>
      </c>
      <c r="FR13" s="388">
        <v>17.399999999999999</v>
      </c>
      <c r="FS13" s="388">
        <v>10.4</v>
      </c>
      <c r="FT13" s="388">
        <v>11.3</v>
      </c>
      <c r="FU13" s="388">
        <v>14.2</v>
      </c>
      <c r="FV13" s="388">
        <v>13.3</v>
      </c>
      <c r="FW13" s="272">
        <v>48769817</v>
      </c>
      <c r="FX13" s="384">
        <f t="shared" si="16"/>
        <v>164</v>
      </c>
      <c r="FY13" s="272">
        <v>3320263</v>
      </c>
      <c r="FZ13" s="272">
        <v>32610</v>
      </c>
      <c r="GA13" s="272">
        <v>3304</v>
      </c>
      <c r="GB13" s="272">
        <v>3284349</v>
      </c>
      <c r="GC13" s="272">
        <v>1758800</v>
      </c>
      <c r="GD13" s="272">
        <v>9638137</v>
      </c>
      <c r="GE13" s="384">
        <f t="shared" si="17"/>
        <v>32.4</v>
      </c>
      <c r="GF13" s="388">
        <v>97.8</v>
      </c>
      <c r="GG13" s="388">
        <v>15.6</v>
      </c>
      <c r="GH13" s="388">
        <v>90.1</v>
      </c>
      <c r="GI13" s="272">
        <v>1330</v>
      </c>
    </row>
    <row r="14" spans="2:191" x14ac:dyDescent="0.15">
      <c r="B14" s="89" t="s">
        <v>21</v>
      </c>
      <c r="C14" s="272">
        <v>57749158</v>
      </c>
      <c r="D14" s="455">
        <f t="shared" si="0"/>
        <v>21981962</v>
      </c>
      <c r="E14" s="272">
        <v>372718</v>
      </c>
      <c r="F14" s="272">
        <v>21609244</v>
      </c>
      <c r="G14" s="455">
        <f t="shared" si="1"/>
        <v>2421055</v>
      </c>
      <c r="H14" s="272">
        <v>598442</v>
      </c>
      <c r="I14" s="272">
        <v>1822613</v>
      </c>
      <c r="J14" s="272">
        <v>24207575</v>
      </c>
      <c r="K14" s="272">
        <v>11704540</v>
      </c>
      <c r="L14" s="272">
        <v>9595196</v>
      </c>
      <c r="M14" s="272">
        <v>2338392</v>
      </c>
      <c r="N14" s="272">
        <v>1909726</v>
      </c>
      <c r="O14" s="272">
        <v>5624459</v>
      </c>
      <c r="P14" s="272">
        <v>3465349</v>
      </c>
      <c r="Q14" s="272">
        <v>2159110</v>
      </c>
      <c r="R14" s="272">
        <v>764836</v>
      </c>
      <c r="S14" s="272"/>
      <c r="T14" s="455">
        <f t="shared" si="2"/>
        <v>4607751</v>
      </c>
      <c r="U14" s="272">
        <v>925085</v>
      </c>
      <c r="V14" s="272"/>
      <c r="W14" s="272"/>
      <c r="X14" s="272">
        <v>2873182</v>
      </c>
      <c r="Y14" s="272">
        <v>141569</v>
      </c>
      <c r="Z14" s="272">
        <v>0</v>
      </c>
      <c r="AA14" s="272">
        <v>667915</v>
      </c>
      <c r="AB14" s="272">
        <v>2245636</v>
      </c>
      <c r="AC14" s="272">
        <v>9223965</v>
      </c>
      <c r="AD14" s="272">
        <v>9033963</v>
      </c>
      <c r="AE14" s="272">
        <v>190002</v>
      </c>
      <c r="AF14" s="272">
        <v>71901</v>
      </c>
      <c r="AG14" s="272">
        <v>821437</v>
      </c>
      <c r="AH14" s="455">
        <f t="shared" si="3"/>
        <v>2285797</v>
      </c>
      <c r="AI14" s="272">
        <v>1767021</v>
      </c>
      <c r="AJ14" s="272">
        <v>518776</v>
      </c>
      <c r="AK14" s="272">
        <v>11100267</v>
      </c>
      <c r="AL14" s="455">
        <f t="shared" si="4"/>
        <v>7100380</v>
      </c>
      <c r="AM14" s="272">
        <v>5549425</v>
      </c>
      <c r="AN14" s="272">
        <v>1505206</v>
      </c>
      <c r="AO14" s="272">
        <v>0</v>
      </c>
      <c r="AP14" s="272">
        <v>45749</v>
      </c>
      <c r="AQ14" s="272">
        <v>600154</v>
      </c>
      <c r="AR14" s="272">
        <v>0</v>
      </c>
      <c r="AS14" s="272">
        <v>0</v>
      </c>
      <c r="AT14" s="272">
        <v>4751364</v>
      </c>
      <c r="AU14" s="272">
        <v>2887346</v>
      </c>
      <c r="AV14" s="272">
        <v>752603</v>
      </c>
      <c r="AW14" s="272">
        <v>73500</v>
      </c>
      <c r="AX14" s="272">
        <v>1864018</v>
      </c>
      <c r="AY14" s="272">
        <v>36246</v>
      </c>
      <c r="AZ14" s="272">
        <v>405326</v>
      </c>
      <c r="BA14" s="272">
        <v>370710</v>
      </c>
      <c r="BB14" s="272">
        <v>15614</v>
      </c>
      <c r="BC14" s="272">
        <v>184762</v>
      </c>
      <c r="BD14" s="272">
        <v>0</v>
      </c>
      <c r="BE14" s="272">
        <v>145075</v>
      </c>
      <c r="BF14" s="272">
        <v>1911</v>
      </c>
      <c r="BG14" s="272">
        <v>0</v>
      </c>
      <c r="BH14" s="272">
        <v>0</v>
      </c>
      <c r="BI14" s="272">
        <v>0</v>
      </c>
      <c r="BJ14" s="272">
        <v>1582295</v>
      </c>
      <c r="BK14" s="272">
        <v>1000000</v>
      </c>
      <c r="BL14" s="272">
        <v>0</v>
      </c>
      <c r="BM14" s="272">
        <v>83013</v>
      </c>
      <c r="BN14" s="272">
        <v>8981767</v>
      </c>
      <c r="BO14" s="455">
        <f t="shared" si="5"/>
        <v>4672667</v>
      </c>
      <c r="BP14" s="455">
        <f t="shared" si="6"/>
        <v>4309100</v>
      </c>
      <c r="BQ14" s="272">
        <v>811900</v>
      </c>
      <c r="BR14" s="272">
        <v>0</v>
      </c>
      <c r="BS14" s="272">
        <v>3497200</v>
      </c>
      <c r="BT14" s="272">
        <v>0</v>
      </c>
      <c r="BU14" s="272">
        <v>104791876</v>
      </c>
      <c r="BV14" s="272"/>
      <c r="BW14" s="272">
        <v>28481617</v>
      </c>
      <c r="BX14" s="272">
        <v>19717766</v>
      </c>
      <c r="BY14" s="272">
        <v>2755558</v>
      </c>
      <c r="BZ14" s="272">
        <v>1746085</v>
      </c>
      <c r="CA14" s="272">
        <v>17039376</v>
      </c>
      <c r="CB14" s="272">
        <v>2022130</v>
      </c>
      <c r="CC14" s="272">
        <v>1022533</v>
      </c>
      <c r="CD14" s="272">
        <v>6182645</v>
      </c>
      <c r="CE14" s="272">
        <v>7477430</v>
      </c>
      <c r="CF14" s="272">
        <v>298</v>
      </c>
      <c r="CG14" s="272">
        <v>332767</v>
      </c>
      <c r="CH14" s="272">
        <v>13333735</v>
      </c>
      <c r="CI14" s="272">
        <v>9929021</v>
      </c>
      <c r="CJ14" s="455">
        <f t="shared" si="7"/>
        <v>3404714</v>
      </c>
      <c r="CK14" s="272">
        <v>9950569</v>
      </c>
      <c r="CL14" s="272">
        <v>5139580</v>
      </c>
      <c r="CM14" s="272">
        <v>700567</v>
      </c>
      <c r="CN14" s="272">
        <v>2324647</v>
      </c>
      <c r="CO14" s="272">
        <v>849867</v>
      </c>
      <c r="CP14" s="272">
        <v>11306422</v>
      </c>
      <c r="CQ14" s="272">
        <v>4847196</v>
      </c>
      <c r="CR14" s="272">
        <v>2416910</v>
      </c>
      <c r="CS14" s="272">
        <v>1769369</v>
      </c>
      <c r="CT14" s="455">
        <f t="shared" si="8"/>
        <v>1625134</v>
      </c>
      <c r="CU14" s="272">
        <v>1159031</v>
      </c>
      <c r="CV14" s="272">
        <v>466103</v>
      </c>
      <c r="CW14" s="455">
        <f t="shared" si="9"/>
        <v>1184113</v>
      </c>
      <c r="CX14" s="272">
        <v>1014891</v>
      </c>
      <c r="CY14" s="272">
        <v>169222</v>
      </c>
      <c r="CZ14" s="455">
        <f t="shared" si="10"/>
        <v>0</v>
      </c>
      <c r="DA14" s="272">
        <v>0</v>
      </c>
      <c r="DB14" s="272">
        <v>0</v>
      </c>
      <c r="DC14" s="272">
        <v>8446921</v>
      </c>
      <c r="DD14" s="272">
        <v>1572605</v>
      </c>
      <c r="DE14" s="272">
        <v>6539889</v>
      </c>
      <c r="DF14" s="272">
        <v>1864</v>
      </c>
      <c r="DG14" s="272">
        <v>145063</v>
      </c>
      <c r="DH14" s="272">
        <v>0</v>
      </c>
      <c r="DI14" s="272">
        <v>316542</v>
      </c>
      <c r="DJ14" s="272">
        <v>0</v>
      </c>
      <c r="DK14" s="272">
        <v>1968</v>
      </c>
      <c r="DL14" s="272">
        <v>314574</v>
      </c>
      <c r="DM14" s="272">
        <v>0</v>
      </c>
      <c r="DN14" s="272">
        <v>0</v>
      </c>
      <c r="DO14" s="272">
        <v>0</v>
      </c>
      <c r="DP14" s="272">
        <v>0</v>
      </c>
      <c r="DQ14" s="272">
        <v>1000000</v>
      </c>
      <c r="DR14" s="272">
        <v>0</v>
      </c>
      <c r="DS14" s="272">
        <v>0</v>
      </c>
      <c r="DT14" s="272">
        <v>13158112</v>
      </c>
      <c r="DU14" s="272">
        <v>6969887</v>
      </c>
      <c r="DV14" s="455">
        <f t="shared" si="11"/>
        <v>0</v>
      </c>
      <c r="DW14" s="272">
        <v>0</v>
      </c>
      <c r="DX14" s="272">
        <v>0</v>
      </c>
      <c r="DY14" s="272">
        <v>43844</v>
      </c>
      <c r="DZ14" s="272">
        <v>2913451</v>
      </c>
      <c r="EA14" s="272">
        <v>1423116</v>
      </c>
      <c r="EB14" s="272">
        <v>1807814</v>
      </c>
      <c r="EC14" s="272">
        <v>751205</v>
      </c>
      <c r="ED14" s="272">
        <v>104634366</v>
      </c>
      <c r="EF14" s="272">
        <v>157510</v>
      </c>
      <c r="EG14" s="272">
        <v>87361</v>
      </c>
      <c r="EH14" s="272">
        <v>70149</v>
      </c>
      <c r="EI14" s="272">
        <v>1069325</v>
      </c>
      <c r="EJ14" s="272">
        <v>1069325</v>
      </c>
      <c r="EL14" s="272"/>
      <c r="EM14" s="272">
        <v>403069</v>
      </c>
      <c r="EN14" s="272">
        <v>182851</v>
      </c>
      <c r="EO14" s="272">
        <v>397549</v>
      </c>
      <c r="EP14" s="455">
        <f t="shared" si="12"/>
        <v>828692</v>
      </c>
      <c r="EQ14" s="272">
        <v>74663247</v>
      </c>
      <c r="ER14" s="272">
        <v>-5646291</v>
      </c>
      <c r="ES14" s="272">
        <v>25885202</v>
      </c>
      <c r="ET14" s="272">
        <v>17350606</v>
      </c>
      <c r="EU14" s="272">
        <v>5335566</v>
      </c>
      <c r="EV14" s="272">
        <v>13332766</v>
      </c>
      <c r="EW14" s="455">
        <f t="shared" si="13"/>
        <v>2999541</v>
      </c>
      <c r="EX14" s="272">
        <v>2999541</v>
      </c>
      <c r="EY14" s="272">
        <v>99289</v>
      </c>
      <c r="EZ14" s="272">
        <v>2710884</v>
      </c>
      <c r="FA14" s="272">
        <v>0</v>
      </c>
      <c r="FB14" s="272"/>
      <c r="FC14" s="272">
        <v>8006602</v>
      </c>
      <c r="FD14" s="272">
        <v>10425525</v>
      </c>
      <c r="FE14" s="272">
        <v>4847196</v>
      </c>
      <c r="FF14" s="272">
        <v>12336070</v>
      </c>
      <c r="FG14" s="455">
        <f t="shared" si="14"/>
        <v>1843761</v>
      </c>
      <c r="FH14" s="272">
        <v>80165033</v>
      </c>
      <c r="FI14" s="384">
        <f t="shared" si="15"/>
        <v>0.1</v>
      </c>
      <c r="FJ14" s="272">
        <v>70166980</v>
      </c>
      <c r="FK14" s="272">
        <v>3497283</v>
      </c>
      <c r="FL14" s="272">
        <v>46055102</v>
      </c>
      <c r="FM14" s="272">
        <v>55122986</v>
      </c>
      <c r="FN14" s="460">
        <v>0.84799999999999998</v>
      </c>
      <c r="FO14" s="388">
        <v>92.6</v>
      </c>
      <c r="FP14" s="388">
        <v>33.700000000000003</v>
      </c>
      <c r="FQ14" s="388">
        <v>7.2</v>
      </c>
      <c r="FR14" s="388">
        <v>18.100000000000001</v>
      </c>
      <c r="FS14" s="388">
        <v>10.199999999999999</v>
      </c>
      <c r="FT14" s="388">
        <v>13.1</v>
      </c>
      <c r="FU14" s="388">
        <v>9</v>
      </c>
      <c r="FV14" s="388">
        <v>11.3</v>
      </c>
      <c r="FW14" s="272">
        <v>99905156</v>
      </c>
      <c r="FX14" s="384">
        <f t="shared" si="16"/>
        <v>142.4</v>
      </c>
      <c r="FY14" s="272">
        <v>13755993</v>
      </c>
      <c r="FZ14" s="272">
        <v>0</v>
      </c>
      <c r="GA14" s="272">
        <v>3310627</v>
      </c>
      <c r="GB14" s="272">
        <v>10445366</v>
      </c>
      <c r="GC14" s="272"/>
      <c r="GD14" s="272">
        <v>27943256</v>
      </c>
      <c r="GE14" s="384">
        <f t="shared" si="17"/>
        <v>39.799999999999997</v>
      </c>
      <c r="GF14" s="388">
        <v>97.7</v>
      </c>
      <c r="GG14" s="388">
        <v>21.3</v>
      </c>
      <c r="GH14" s="388">
        <v>90.3</v>
      </c>
      <c r="GI14" s="272">
        <v>2599</v>
      </c>
    </row>
    <row r="15" spans="2:191" x14ac:dyDescent="0.15">
      <c r="B15" s="89" t="s">
        <v>23</v>
      </c>
      <c r="C15" s="272">
        <v>44200902</v>
      </c>
      <c r="D15" s="455">
        <f t="shared" si="0"/>
        <v>14952281</v>
      </c>
      <c r="E15" s="272">
        <v>249045</v>
      </c>
      <c r="F15" s="272">
        <v>14703236</v>
      </c>
      <c r="G15" s="455">
        <f t="shared" si="1"/>
        <v>3136026</v>
      </c>
      <c r="H15" s="272">
        <v>717296</v>
      </c>
      <c r="I15" s="272">
        <v>2418730</v>
      </c>
      <c r="J15" s="272">
        <v>20229351</v>
      </c>
      <c r="K15" s="272">
        <v>9492516</v>
      </c>
      <c r="L15" s="272">
        <v>7274442</v>
      </c>
      <c r="M15" s="272">
        <v>3185851</v>
      </c>
      <c r="N15" s="272">
        <v>1539180</v>
      </c>
      <c r="O15" s="272">
        <v>4172761</v>
      </c>
      <c r="P15" s="272">
        <v>2558926</v>
      </c>
      <c r="Q15" s="272">
        <v>1613835</v>
      </c>
      <c r="R15" s="272">
        <v>517723</v>
      </c>
      <c r="S15" s="272"/>
      <c r="T15" s="455">
        <f t="shared" si="2"/>
        <v>3341796</v>
      </c>
      <c r="U15" s="272">
        <v>621865</v>
      </c>
      <c r="V15" s="272"/>
      <c r="W15" s="272"/>
      <c r="X15" s="272">
        <v>2132600</v>
      </c>
      <c r="Y15" s="272">
        <v>135289</v>
      </c>
      <c r="Z15" s="272">
        <v>0</v>
      </c>
      <c r="AA15" s="272">
        <v>452042</v>
      </c>
      <c r="AB15" s="272">
        <v>1634614</v>
      </c>
      <c r="AC15" s="272">
        <v>1812620</v>
      </c>
      <c r="AD15" s="272">
        <v>1518584</v>
      </c>
      <c r="AE15" s="272">
        <v>294036</v>
      </c>
      <c r="AF15" s="272">
        <v>50866</v>
      </c>
      <c r="AG15" s="272">
        <v>478773</v>
      </c>
      <c r="AH15" s="455">
        <f t="shared" si="3"/>
        <v>2113937</v>
      </c>
      <c r="AI15" s="272">
        <v>1802141</v>
      </c>
      <c r="AJ15" s="272">
        <v>311796</v>
      </c>
      <c r="AK15" s="272">
        <v>7011859</v>
      </c>
      <c r="AL15" s="455">
        <f t="shared" si="4"/>
        <v>3892631</v>
      </c>
      <c r="AM15" s="272">
        <v>3036521</v>
      </c>
      <c r="AN15" s="272">
        <v>838219</v>
      </c>
      <c r="AO15" s="272">
        <v>0</v>
      </c>
      <c r="AP15" s="272">
        <v>17891</v>
      </c>
      <c r="AQ15" s="272">
        <v>1079623</v>
      </c>
      <c r="AR15" s="272">
        <v>0</v>
      </c>
      <c r="AS15" s="272">
        <v>0</v>
      </c>
      <c r="AT15" s="272">
        <v>3509725</v>
      </c>
      <c r="AU15" s="272">
        <v>1864257</v>
      </c>
      <c r="AV15" s="272">
        <v>419037</v>
      </c>
      <c r="AW15" s="272">
        <v>233792</v>
      </c>
      <c r="AX15" s="272">
        <v>1645468</v>
      </c>
      <c r="AY15" s="272">
        <v>54427</v>
      </c>
      <c r="AZ15" s="272">
        <v>14496</v>
      </c>
      <c r="BA15" s="272">
        <v>1675</v>
      </c>
      <c r="BB15" s="272">
        <v>15922</v>
      </c>
      <c r="BC15" s="272">
        <v>1683910</v>
      </c>
      <c r="BD15" s="272">
        <v>400000</v>
      </c>
      <c r="BE15" s="272">
        <v>0</v>
      </c>
      <c r="BF15" s="272">
        <v>1090900</v>
      </c>
      <c r="BG15" s="272">
        <v>0</v>
      </c>
      <c r="BH15" s="272">
        <v>2156048</v>
      </c>
      <c r="BI15" s="272">
        <v>783672</v>
      </c>
      <c r="BJ15" s="272">
        <v>2097931</v>
      </c>
      <c r="BK15" s="272">
        <v>410155</v>
      </c>
      <c r="BL15" s="272">
        <v>42732</v>
      </c>
      <c r="BM15" s="272">
        <v>61497</v>
      </c>
      <c r="BN15" s="272">
        <v>3062700</v>
      </c>
      <c r="BO15" s="455">
        <f t="shared" si="5"/>
        <v>690300</v>
      </c>
      <c r="BP15" s="455">
        <f t="shared" si="6"/>
        <v>2372400</v>
      </c>
      <c r="BQ15" s="272">
        <v>350000</v>
      </c>
      <c r="BR15" s="272">
        <v>0</v>
      </c>
      <c r="BS15" s="272">
        <v>2022400</v>
      </c>
      <c r="BT15" s="272">
        <v>0</v>
      </c>
      <c r="BU15" s="272">
        <v>73703822</v>
      </c>
      <c r="BV15" s="272"/>
      <c r="BW15" s="272">
        <v>18972208</v>
      </c>
      <c r="BX15" s="272">
        <v>13453732</v>
      </c>
      <c r="BY15" s="272">
        <v>1980521</v>
      </c>
      <c r="BZ15" s="272">
        <v>515278</v>
      </c>
      <c r="CA15" s="272">
        <v>10516352</v>
      </c>
      <c r="CB15" s="272">
        <v>1738838</v>
      </c>
      <c r="CC15" s="272">
        <v>795159</v>
      </c>
      <c r="CD15" s="272">
        <v>3678889</v>
      </c>
      <c r="CE15" s="272">
        <v>4095939</v>
      </c>
      <c r="CF15" s="272">
        <v>0</v>
      </c>
      <c r="CG15" s="272">
        <v>206977</v>
      </c>
      <c r="CH15" s="272">
        <v>5984942</v>
      </c>
      <c r="CI15" s="272">
        <v>4408236</v>
      </c>
      <c r="CJ15" s="455">
        <f t="shared" si="7"/>
        <v>1576706</v>
      </c>
      <c r="CK15" s="272">
        <v>12384244</v>
      </c>
      <c r="CL15" s="272">
        <v>6530001</v>
      </c>
      <c r="CM15" s="272">
        <v>695196</v>
      </c>
      <c r="CN15" s="272">
        <v>3170770</v>
      </c>
      <c r="CO15" s="272">
        <v>1141325</v>
      </c>
      <c r="CP15" s="272">
        <v>2514422</v>
      </c>
      <c r="CQ15" s="272">
        <v>1516</v>
      </c>
      <c r="CR15" s="272">
        <v>1500487</v>
      </c>
      <c r="CS15" s="272">
        <v>976787</v>
      </c>
      <c r="CT15" s="455">
        <f t="shared" si="8"/>
        <v>58875</v>
      </c>
      <c r="CU15" s="272">
        <v>7735</v>
      </c>
      <c r="CV15" s="272">
        <v>51140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11235231</v>
      </c>
      <c r="DD15" s="272">
        <v>3116812</v>
      </c>
      <c r="DE15" s="272">
        <v>8016024</v>
      </c>
      <c r="DF15" s="272">
        <v>18185</v>
      </c>
      <c r="DG15" s="272">
        <v>84210</v>
      </c>
      <c r="DH15" s="272">
        <v>2951</v>
      </c>
      <c r="DI15" s="272">
        <v>16240</v>
      </c>
      <c r="DJ15" s="272">
        <v>1600</v>
      </c>
      <c r="DK15" s="272">
        <v>0</v>
      </c>
      <c r="DL15" s="272">
        <v>14640</v>
      </c>
      <c r="DM15" s="272">
        <v>6140</v>
      </c>
      <c r="DN15" s="272">
        <v>5240</v>
      </c>
      <c r="DO15" s="272">
        <v>5240</v>
      </c>
      <c r="DP15" s="272">
        <v>0</v>
      </c>
      <c r="DQ15" s="272">
        <v>410000</v>
      </c>
      <c r="DR15" s="272">
        <v>0</v>
      </c>
      <c r="DS15" s="272">
        <v>0</v>
      </c>
      <c r="DT15" s="272">
        <v>9489893</v>
      </c>
      <c r="DU15" s="272">
        <v>5299340</v>
      </c>
      <c r="DV15" s="455">
        <f t="shared" si="11"/>
        <v>0</v>
      </c>
      <c r="DW15" s="272">
        <v>0</v>
      </c>
      <c r="DX15" s="272">
        <v>0</v>
      </c>
      <c r="DY15" s="272">
        <v>0</v>
      </c>
      <c r="DZ15" s="272">
        <v>2122000</v>
      </c>
      <c r="EA15" s="272">
        <v>946669</v>
      </c>
      <c r="EB15" s="272">
        <v>871734</v>
      </c>
      <c r="EC15" s="272">
        <v>0</v>
      </c>
      <c r="ED15" s="272">
        <v>72673948</v>
      </c>
      <c r="EF15" s="272">
        <v>1029874</v>
      </c>
      <c r="EG15" s="272">
        <v>617444</v>
      </c>
      <c r="EH15" s="272">
        <v>412430</v>
      </c>
      <c r="EI15" s="272">
        <v>-371242</v>
      </c>
      <c r="EJ15" s="272">
        <v>-769549</v>
      </c>
      <c r="EL15" s="272"/>
      <c r="EM15" s="272">
        <v>259121</v>
      </c>
      <c r="EN15" s="272">
        <v>587829</v>
      </c>
      <c r="EO15" s="272">
        <v>11253</v>
      </c>
      <c r="EP15" s="455">
        <f t="shared" si="12"/>
        <v>2245351</v>
      </c>
      <c r="EQ15" s="272">
        <v>51558521</v>
      </c>
      <c r="ER15" s="272">
        <v>-5165967</v>
      </c>
      <c r="ES15" s="272">
        <v>17102796</v>
      </c>
      <c r="ET15" s="272">
        <v>11603200</v>
      </c>
      <c r="EU15" s="272">
        <v>3739714</v>
      </c>
      <c r="EV15" s="272">
        <v>5936554</v>
      </c>
      <c r="EW15" s="455">
        <f t="shared" si="13"/>
        <v>6706884</v>
      </c>
      <c r="EX15" s="272">
        <v>6704510</v>
      </c>
      <c r="EY15" s="272">
        <v>1025097</v>
      </c>
      <c r="EZ15" s="272">
        <v>5661228</v>
      </c>
      <c r="FA15" s="272">
        <v>2374</v>
      </c>
      <c r="FB15" s="272"/>
      <c r="FC15" s="272">
        <v>10021791</v>
      </c>
      <c r="FD15" s="272">
        <v>2097336</v>
      </c>
      <c r="FE15" s="272">
        <v>1516</v>
      </c>
      <c r="FF15" s="272">
        <v>8999674</v>
      </c>
      <c r="FG15" s="455">
        <f t="shared" si="14"/>
        <v>1089865</v>
      </c>
      <c r="FH15" s="272">
        <v>55694614</v>
      </c>
      <c r="FI15" s="384">
        <f t="shared" si="15"/>
        <v>0.9</v>
      </c>
      <c r="FJ15" s="272">
        <v>47825475</v>
      </c>
      <c r="FK15" s="272">
        <v>2022427</v>
      </c>
      <c r="FL15" s="272">
        <v>34869936</v>
      </c>
      <c r="FM15" s="272">
        <v>36410926</v>
      </c>
      <c r="FN15" s="460">
        <v>0.96</v>
      </c>
      <c r="FO15" s="388">
        <v>86.7</v>
      </c>
      <c r="FP15" s="388">
        <v>33.1</v>
      </c>
      <c r="FQ15" s="388">
        <v>7.5</v>
      </c>
      <c r="FR15" s="388">
        <v>11.9</v>
      </c>
      <c r="FS15" s="388">
        <v>18.600000000000001</v>
      </c>
      <c r="FT15" s="388">
        <v>3.3</v>
      </c>
      <c r="FU15" s="388">
        <v>10</v>
      </c>
      <c r="FV15" s="388">
        <v>5.6</v>
      </c>
      <c r="FW15" s="272">
        <v>46542358</v>
      </c>
      <c r="FX15" s="384">
        <f t="shared" si="16"/>
        <v>97.3</v>
      </c>
      <c r="FY15" s="272">
        <v>10924233</v>
      </c>
      <c r="FZ15" s="272">
        <v>4072693</v>
      </c>
      <c r="GA15" s="272"/>
      <c r="GB15" s="272">
        <v>6851540</v>
      </c>
      <c r="GC15" s="272"/>
      <c r="GD15" s="272">
        <v>11880122</v>
      </c>
      <c r="GE15" s="384">
        <f t="shared" si="17"/>
        <v>24.8</v>
      </c>
      <c r="GF15" s="388">
        <v>98.5</v>
      </c>
      <c r="GG15" s="388">
        <v>19</v>
      </c>
      <c r="GH15" s="388">
        <v>94.3</v>
      </c>
      <c r="GI15" s="272">
        <v>1846</v>
      </c>
    </row>
    <row r="16" spans="2:191" x14ac:dyDescent="0.15">
      <c r="B16" s="89" t="s">
        <v>25</v>
      </c>
      <c r="C16" s="272">
        <v>40576397</v>
      </c>
      <c r="D16" s="455">
        <f t="shared" si="0"/>
        <v>12723094</v>
      </c>
      <c r="E16" s="272">
        <v>247700</v>
      </c>
      <c r="F16" s="272">
        <v>12475394</v>
      </c>
      <c r="G16" s="455">
        <f t="shared" si="1"/>
        <v>3116684</v>
      </c>
      <c r="H16" s="272">
        <v>634393</v>
      </c>
      <c r="I16" s="272">
        <v>2482291</v>
      </c>
      <c r="J16" s="272">
        <v>18665750</v>
      </c>
      <c r="K16" s="272">
        <v>9655991</v>
      </c>
      <c r="L16" s="272">
        <v>6384771</v>
      </c>
      <c r="M16" s="272">
        <v>2353087</v>
      </c>
      <c r="N16" s="272">
        <v>1834689</v>
      </c>
      <c r="O16" s="272">
        <v>4045646</v>
      </c>
      <c r="P16" s="272">
        <v>2631904</v>
      </c>
      <c r="Q16" s="272">
        <v>1413742</v>
      </c>
      <c r="R16" s="272">
        <v>556753</v>
      </c>
      <c r="S16" s="272"/>
      <c r="T16" s="455">
        <f t="shared" si="2"/>
        <v>3364954</v>
      </c>
      <c r="U16" s="272">
        <v>549900</v>
      </c>
      <c r="V16" s="272"/>
      <c r="W16" s="272"/>
      <c r="X16" s="272">
        <v>2329734</v>
      </c>
      <c r="Y16" s="272">
        <v>0</v>
      </c>
      <c r="Z16" s="272">
        <v>0</v>
      </c>
      <c r="AA16" s="272">
        <v>485320</v>
      </c>
      <c r="AB16" s="272">
        <v>1394860</v>
      </c>
      <c r="AC16" s="272">
        <v>8901013</v>
      </c>
      <c r="AD16" s="272">
        <v>7936968</v>
      </c>
      <c r="AE16" s="272">
        <v>964045</v>
      </c>
      <c r="AF16" s="272">
        <v>52401</v>
      </c>
      <c r="AG16" s="272">
        <v>1784623</v>
      </c>
      <c r="AH16" s="455">
        <f t="shared" si="3"/>
        <v>2158122</v>
      </c>
      <c r="AI16" s="272">
        <v>1393353</v>
      </c>
      <c r="AJ16" s="272">
        <v>764769</v>
      </c>
      <c r="AK16" s="272">
        <v>10507103</v>
      </c>
      <c r="AL16" s="455">
        <f t="shared" si="4"/>
        <v>7050696</v>
      </c>
      <c r="AM16" s="272">
        <v>6142549</v>
      </c>
      <c r="AN16" s="272">
        <v>848201</v>
      </c>
      <c r="AO16" s="272">
        <v>0</v>
      </c>
      <c r="AP16" s="272">
        <v>59946</v>
      </c>
      <c r="AQ16" s="272">
        <v>887893</v>
      </c>
      <c r="AR16" s="272">
        <v>0</v>
      </c>
      <c r="AS16" s="272">
        <v>48886</v>
      </c>
      <c r="AT16" s="272">
        <v>3533288</v>
      </c>
      <c r="AU16" s="272">
        <v>1674546</v>
      </c>
      <c r="AV16" s="272">
        <v>424100</v>
      </c>
      <c r="AW16" s="272">
        <v>77167</v>
      </c>
      <c r="AX16" s="272">
        <v>1858742</v>
      </c>
      <c r="AY16" s="272">
        <v>104074</v>
      </c>
      <c r="AZ16" s="272">
        <v>65746</v>
      </c>
      <c r="BA16" s="272">
        <v>5177</v>
      </c>
      <c r="BB16" s="272">
        <v>195069</v>
      </c>
      <c r="BC16" s="272">
        <v>879663</v>
      </c>
      <c r="BD16" s="272">
        <v>0</v>
      </c>
      <c r="BE16" s="272">
        <v>0</v>
      </c>
      <c r="BF16" s="272">
        <v>837459</v>
      </c>
      <c r="BG16" s="272">
        <v>0</v>
      </c>
      <c r="BH16" s="272">
        <v>452449</v>
      </c>
      <c r="BI16" s="272">
        <v>313006</v>
      </c>
      <c r="BJ16" s="272">
        <v>1005154</v>
      </c>
      <c r="BK16" s="272">
        <v>511574</v>
      </c>
      <c r="BL16" s="272">
        <v>0</v>
      </c>
      <c r="BM16" s="272">
        <v>73390</v>
      </c>
      <c r="BN16" s="272">
        <v>8670839</v>
      </c>
      <c r="BO16" s="455">
        <f t="shared" si="5"/>
        <v>5910939</v>
      </c>
      <c r="BP16" s="455">
        <f t="shared" si="6"/>
        <v>2759900</v>
      </c>
      <c r="BQ16" s="272">
        <v>522300</v>
      </c>
      <c r="BR16" s="272">
        <v>0</v>
      </c>
      <c r="BS16" s="272">
        <v>2237600</v>
      </c>
      <c r="BT16" s="272">
        <v>0</v>
      </c>
      <c r="BU16" s="272">
        <v>84147320</v>
      </c>
      <c r="BV16" s="272"/>
      <c r="BW16" s="272">
        <v>20182644</v>
      </c>
      <c r="BX16" s="272">
        <v>14030908</v>
      </c>
      <c r="BY16" s="272">
        <v>1930213</v>
      </c>
      <c r="BZ16" s="272">
        <v>1130561</v>
      </c>
      <c r="CA16" s="272">
        <v>16403671</v>
      </c>
      <c r="CB16" s="272">
        <v>1574739</v>
      </c>
      <c r="CC16" s="272">
        <v>863858</v>
      </c>
      <c r="CD16" s="272">
        <v>3959299</v>
      </c>
      <c r="CE16" s="272">
        <v>8322370</v>
      </c>
      <c r="CF16" s="272">
        <v>1310284</v>
      </c>
      <c r="CG16" s="272">
        <v>372221</v>
      </c>
      <c r="CH16" s="272">
        <v>9256037</v>
      </c>
      <c r="CI16" s="272">
        <v>6730889</v>
      </c>
      <c r="CJ16" s="455">
        <f t="shared" si="7"/>
        <v>2525148</v>
      </c>
      <c r="CK16" s="272">
        <v>10330611</v>
      </c>
      <c r="CL16" s="272">
        <v>6416099</v>
      </c>
      <c r="CM16" s="272">
        <v>640438</v>
      </c>
      <c r="CN16" s="272">
        <v>2013228</v>
      </c>
      <c r="CO16" s="272">
        <v>424628</v>
      </c>
      <c r="CP16" s="272">
        <v>3400205</v>
      </c>
      <c r="CQ16" s="272">
        <v>44171</v>
      </c>
      <c r="CR16" s="272">
        <v>1522158</v>
      </c>
      <c r="CS16" s="272">
        <v>725947</v>
      </c>
      <c r="CT16" s="455">
        <f t="shared" si="8"/>
        <v>864516</v>
      </c>
      <c r="CU16" s="272">
        <v>864516</v>
      </c>
      <c r="CV16" s="272">
        <v>0</v>
      </c>
      <c r="CW16" s="455">
        <f t="shared" si="9"/>
        <v>771401</v>
      </c>
      <c r="CX16" s="272">
        <v>771401</v>
      </c>
      <c r="CY16" s="272">
        <v>0</v>
      </c>
      <c r="CZ16" s="455">
        <f t="shared" si="10"/>
        <v>0</v>
      </c>
      <c r="DA16" s="272">
        <v>0</v>
      </c>
      <c r="DB16" s="272">
        <v>0</v>
      </c>
      <c r="DC16" s="272">
        <v>10626039</v>
      </c>
      <c r="DD16" s="272">
        <v>2415886</v>
      </c>
      <c r="DE16" s="272">
        <v>8048704</v>
      </c>
      <c r="DF16" s="272">
        <v>84890</v>
      </c>
      <c r="DG16" s="272">
        <v>76559</v>
      </c>
      <c r="DH16" s="272">
        <v>0</v>
      </c>
      <c r="DI16" s="272">
        <v>1140669</v>
      </c>
      <c r="DJ16" s="272">
        <v>170729</v>
      </c>
      <c r="DK16" s="272">
        <v>0</v>
      </c>
      <c r="DL16" s="272">
        <v>969940</v>
      </c>
      <c r="DM16" s="272">
        <v>349940</v>
      </c>
      <c r="DN16" s="272">
        <v>332940</v>
      </c>
      <c r="DO16" s="272">
        <v>61200</v>
      </c>
      <c r="DP16" s="272">
        <v>271740</v>
      </c>
      <c r="DQ16" s="272">
        <v>674500</v>
      </c>
      <c r="DR16" s="272">
        <v>0</v>
      </c>
      <c r="DS16" s="272">
        <v>0</v>
      </c>
      <c r="DT16" s="272">
        <v>10606301</v>
      </c>
      <c r="DU16" s="272">
        <v>5347549</v>
      </c>
      <c r="DV16" s="455">
        <f t="shared" si="11"/>
        <v>0</v>
      </c>
      <c r="DW16" s="272">
        <v>0</v>
      </c>
      <c r="DX16" s="272">
        <v>0</v>
      </c>
      <c r="DY16" s="272">
        <v>0</v>
      </c>
      <c r="DZ16" s="272">
        <v>2634734</v>
      </c>
      <c r="EA16" s="272">
        <v>1138353</v>
      </c>
      <c r="EB16" s="272">
        <v>1482489</v>
      </c>
      <c r="EC16" s="272">
        <v>0</v>
      </c>
      <c r="ED16" s="272">
        <v>83395245</v>
      </c>
      <c r="EF16" s="272">
        <v>752075</v>
      </c>
      <c r="EG16" s="272">
        <v>493289</v>
      </c>
      <c r="EH16" s="272">
        <v>258786</v>
      </c>
      <c r="EI16" s="272">
        <v>-54220</v>
      </c>
      <c r="EJ16" s="272">
        <v>276642</v>
      </c>
      <c r="EL16" s="272"/>
      <c r="EM16" s="272">
        <v>267465</v>
      </c>
      <c r="EN16" s="272">
        <v>375954</v>
      </c>
      <c r="EO16" s="272">
        <v>20185</v>
      </c>
      <c r="EP16" s="455">
        <f t="shared" si="12"/>
        <v>1275135</v>
      </c>
      <c r="EQ16" s="272">
        <v>54895264</v>
      </c>
      <c r="ER16" s="272">
        <v>-4329887</v>
      </c>
      <c r="ES16" s="272">
        <v>18533362</v>
      </c>
      <c r="ET16" s="272">
        <v>12731342</v>
      </c>
      <c r="EU16" s="272">
        <v>4727843</v>
      </c>
      <c r="EV16" s="272">
        <v>9146304</v>
      </c>
      <c r="EW16" s="455">
        <f t="shared" si="13"/>
        <v>3514571</v>
      </c>
      <c r="EX16" s="272">
        <v>3514571</v>
      </c>
      <c r="EY16" s="272">
        <v>330145</v>
      </c>
      <c r="EZ16" s="272">
        <v>3170236</v>
      </c>
      <c r="FA16" s="272">
        <v>0</v>
      </c>
      <c r="FB16" s="272"/>
      <c r="FC16" s="272">
        <v>8140243</v>
      </c>
      <c r="FD16" s="272">
        <v>2880361</v>
      </c>
      <c r="FE16" s="272">
        <v>44171</v>
      </c>
      <c r="FF16" s="272">
        <v>9885841</v>
      </c>
      <c r="FG16" s="455">
        <f t="shared" si="14"/>
        <v>1644551</v>
      </c>
      <c r="FH16" s="272">
        <v>58473076</v>
      </c>
      <c r="FI16" s="384">
        <f t="shared" si="15"/>
        <v>0.5</v>
      </c>
      <c r="FJ16" s="272">
        <v>50523928</v>
      </c>
      <c r="FK16" s="272">
        <v>2237629</v>
      </c>
      <c r="FL16" s="272">
        <v>32092407</v>
      </c>
      <c r="FM16" s="272">
        <v>40054023</v>
      </c>
      <c r="FN16" s="460">
        <v>0.82099999999999995</v>
      </c>
      <c r="FO16" s="388">
        <v>94</v>
      </c>
      <c r="FP16" s="388">
        <v>33.5</v>
      </c>
      <c r="FQ16" s="388">
        <v>8.9</v>
      </c>
      <c r="FR16" s="388">
        <v>17</v>
      </c>
      <c r="FS16" s="388">
        <v>14.3</v>
      </c>
      <c r="FT16" s="388">
        <v>4.5</v>
      </c>
      <c r="FU16" s="388">
        <v>15.1</v>
      </c>
      <c r="FV16" s="388">
        <v>10.8</v>
      </c>
      <c r="FW16" s="272">
        <v>93258377</v>
      </c>
      <c r="FX16" s="384">
        <f t="shared" si="16"/>
        <v>184.6</v>
      </c>
      <c r="FY16" s="272">
        <v>15905137</v>
      </c>
      <c r="FZ16" s="272">
        <v>4563108</v>
      </c>
      <c r="GA16" s="272"/>
      <c r="GB16" s="272">
        <v>11342029</v>
      </c>
      <c r="GC16" s="272"/>
      <c r="GD16" s="272">
        <v>13406137</v>
      </c>
      <c r="GE16" s="384">
        <f t="shared" si="17"/>
        <v>26.5</v>
      </c>
      <c r="GF16" s="388">
        <v>97.8</v>
      </c>
      <c r="GG16" s="388">
        <v>23.7</v>
      </c>
      <c r="GH16" s="388">
        <v>93.5</v>
      </c>
      <c r="GI16" s="272">
        <v>1843</v>
      </c>
    </row>
    <row r="17" spans="2:191" x14ac:dyDescent="0.15">
      <c r="B17" s="89" t="s">
        <v>27</v>
      </c>
      <c r="C17" s="272">
        <v>20718224</v>
      </c>
      <c r="D17" s="455">
        <f t="shared" si="0"/>
        <v>3436501</v>
      </c>
      <c r="E17" s="272">
        <v>85777</v>
      </c>
      <c r="F17" s="272">
        <v>3350724</v>
      </c>
      <c r="G17" s="455">
        <f t="shared" si="1"/>
        <v>1364199</v>
      </c>
      <c r="H17" s="272">
        <v>422644</v>
      </c>
      <c r="I17" s="272">
        <v>941555</v>
      </c>
      <c r="J17" s="272">
        <v>13093632</v>
      </c>
      <c r="K17" s="272">
        <v>4782885</v>
      </c>
      <c r="L17" s="272">
        <v>4055588</v>
      </c>
      <c r="M17" s="272">
        <v>3736485</v>
      </c>
      <c r="N17" s="272">
        <v>747031</v>
      </c>
      <c r="O17" s="272">
        <v>1953313</v>
      </c>
      <c r="P17" s="272">
        <v>1096518</v>
      </c>
      <c r="Q17" s="272">
        <v>856795</v>
      </c>
      <c r="R17" s="272">
        <v>255202</v>
      </c>
      <c r="S17" s="272"/>
      <c r="T17" s="455">
        <f t="shared" si="2"/>
        <v>1269293</v>
      </c>
      <c r="U17" s="272">
        <v>154888</v>
      </c>
      <c r="V17" s="272"/>
      <c r="W17" s="272"/>
      <c r="X17" s="272">
        <v>868385</v>
      </c>
      <c r="Y17" s="272">
        <v>63633</v>
      </c>
      <c r="Z17" s="272">
        <v>0</v>
      </c>
      <c r="AA17" s="272">
        <v>182387</v>
      </c>
      <c r="AB17" s="272">
        <v>423564</v>
      </c>
      <c r="AC17" s="272">
        <v>746008</v>
      </c>
      <c r="AD17" s="272">
        <v>0</v>
      </c>
      <c r="AE17" s="272">
        <v>746008</v>
      </c>
      <c r="AF17" s="272">
        <v>20309</v>
      </c>
      <c r="AG17" s="272">
        <v>666513</v>
      </c>
      <c r="AH17" s="455">
        <f t="shared" si="3"/>
        <v>790379</v>
      </c>
      <c r="AI17" s="272">
        <v>675537</v>
      </c>
      <c r="AJ17" s="272">
        <v>114842</v>
      </c>
      <c r="AK17" s="272">
        <v>3749748</v>
      </c>
      <c r="AL17" s="455">
        <f t="shared" si="4"/>
        <v>2032285</v>
      </c>
      <c r="AM17" s="272">
        <v>1528866</v>
      </c>
      <c r="AN17" s="272">
        <v>501758</v>
      </c>
      <c r="AO17" s="272">
        <v>0</v>
      </c>
      <c r="AP17" s="272">
        <v>1661</v>
      </c>
      <c r="AQ17" s="272">
        <v>549809</v>
      </c>
      <c r="AR17" s="272">
        <v>0</v>
      </c>
      <c r="AS17" s="272">
        <v>0</v>
      </c>
      <c r="AT17" s="272">
        <v>2112639</v>
      </c>
      <c r="AU17" s="272">
        <v>1161860</v>
      </c>
      <c r="AV17" s="272">
        <v>250880</v>
      </c>
      <c r="AW17" s="272">
        <v>314151</v>
      </c>
      <c r="AX17" s="272">
        <v>950779</v>
      </c>
      <c r="AY17" s="272">
        <v>108197</v>
      </c>
      <c r="AZ17" s="272">
        <v>820923</v>
      </c>
      <c r="BA17" s="272">
        <v>817295</v>
      </c>
      <c r="BB17" s="272">
        <v>123903</v>
      </c>
      <c r="BC17" s="272">
        <v>2389784</v>
      </c>
      <c r="BD17" s="272">
        <v>32000</v>
      </c>
      <c r="BE17" s="272">
        <v>536000</v>
      </c>
      <c r="BF17" s="272">
        <v>1090725</v>
      </c>
      <c r="BG17" s="470">
        <v>600000</v>
      </c>
      <c r="BH17" s="272">
        <v>0</v>
      </c>
      <c r="BI17" s="272">
        <v>0</v>
      </c>
      <c r="BJ17" s="272">
        <v>400481</v>
      </c>
      <c r="BK17" s="272">
        <v>53303</v>
      </c>
      <c r="BL17" s="272">
        <v>0</v>
      </c>
      <c r="BM17" s="272">
        <v>59930</v>
      </c>
      <c r="BN17" s="272">
        <v>2904985</v>
      </c>
      <c r="BO17" s="455">
        <f t="shared" si="5"/>
        <v>1828785</v>
      </c>
      <c r="BP17" s="455">
        <f t="shared" si="6"/>
        <v>1076200</v>
      </c>
      <c r="BQ17" s="272">
        <v>164000</v>
      </c>
      <c r="BR17" s="272">
        <v>0</v>
      </c>
      <c r="BS17" s="272">
        <v>912200</v>
      </c>
      <c r="BT17" s="272">
        <v>0</v>
      </c>
      <c r="BU17" s="272">
        <v>37391955</v>
      </c>
      <c r="BV17" s="272"/>
      <c r="BW17" s="272">
        <v>9782465</v>
      </c>
      <c r="BX17" s="272">
        <v>6388495</v>
      </c>
      <c r="BY17" s="272">
        <v>1325622</v>
      </c>
      <c r="BZ17" s="272">
        <v>606934</v>
      </c>
      <c r="CA17" s="272">
        <v>5124450</v>
      </c>
      <c r="CB17" s="272">
        <v>797166</v>
      </c>
      <c r="CC17" s="272">
        <v>376144</v>
      </c>
      <c r="CD17" s="272">
        <v>1797585</v>
      </c>
      <c r="CE17" s="272">
        <v>2060538</v>
      </c>
      <c r="CF17" s="272">
        <v>3055</v>
      </c>
      <c r="CG17" s="272">
        <v>89962</v>
      </c>
      <c r="CH17" s="272">
        <v>5968122</v>
      </c>
      <c r="CI17" s="272">
        <v>3580563</v>
      </c>
      <c r="CJ17" s="455">
        <f t="shared" si="7"/>
        <v>2387559</v>
      </c>
      <c r="CK17" s="272">
        <v>3525451</v>
      </c>
      <c r="CL17" s="272">
        <v>2133141</v>
      </c>
      <c r="CM17" s="272">
        <v>160480</v>
      </c>
      <c r="CN17" s="272">
        <v>648548</v>
      </c>
      <c r="CO17" s="272">
        <v>269624</v>
      </c>
      <c r="CP17" s="272">
        <v>4137721</v>
      </c>
      <c r="CQ17" s="272">
        <v>1200440</v>
      </c>
      <c r="CR17" s="272">
        <v>943931</v>
      </c>
      <c r="CS17" s="272">
        <v>708483</v>
      </c>
      <c r="CT17" s="455">
        <f t="shared" si="8"/>
        <v>1383625</v>
      </c>
      <c r="CU17" s="272">
        <v>1253074</v>
      </c>
      <c r="CV17" s="272">
        <v>130551</v>
      </c>
      <c r="CW17" s="455">
        <f t="shared" si="9"/>
        <v>1342000</v>
      </c>
      <c r="CX17" s="272">
        <v>1211449</v>
      </c>
      <c r="CY17" s="272">
        <v>130551</v>
      </c>
      <c r="CZ17" s="455">
        <f t="shared" si="10"/>
        <v>0</v>
      </c>
      <c r="DA17" s="272">
        <v>0</v>
      </c>
      <c r="DB17" s="272">
        <v>0</v>
      </c>
      <c r="DC17" s="272">
        <v>3389368</v>
      </c>
      <c r="DD17" s="272">
        <v>1592890</v>
      </c>
      <c r="DE17" s="272">
        <v>1517164</v>
      </c>
      <c r="DF17" s="272">
        <v>238629</v>
      </c>
      <c r="DG17" s="272">
        <v>40685</v>
      </c>
      <c r="DH17" s="272">
        <v>7749</v>
      </c>
      <c r="DI17" s="272">
        <v>1014447</v>
      </c>
      <c r="DJ17" s="272">
        <v>29</v>
      </c>
      <c r="DK17" s="272">
        <v>556</v>
      </c>
      <c r="DL17" s="272">
        <v>1013862</v>
      </c>
      <c r="DM17" s="272">
        <v>0</v>
      </c>
      <c r="DN17" s="272">
        <v>0</v>
      </c>
      <c r="DO17" s="272">
        <v>0</v>
      </c>
      <c r="DP17" s="272">
        <v>0</v>
      </c>
      <c r="DQ17" s="272">
        <v>195100</v>
      </c>
      <c r="DR17" s="272">
        <v>0</v>
      </c>
      <c r="DS17" s="272">
        <v>0</v>
      </c>
      <c r="DT17" s="272">
        <v>3690888</v>
      </c>
      <c r="DU17" s="272">
        <v>1773629</v>
      </c>
      <c r="DV17" s="455">
        <f t="shared" si="11"/>
        <v>0</v>
      </c>
      <c r="DW17" s="272">
        <v>0</v>
      </c>
      <c r="DX17" s="272">
        <v>0</v>
      </c>
      <c r="DY17" s="272">
        <v>0</v>
      </c>
      <c r="DZ17" s="272">
        <v>827334</v>
      </c>
      <c r="EA17" s="272">
        <v>462689</v>
      </c>
      <c r="EB17" s="272">
        <v>611536</v>
      </c>
      <c r="EC17" s="272">
        <v>2777861</v>
      </c>
      <c r="ED17" s="272">
        <v>39883246</v>
      </c>
      <c r="EF17" s="272">
        <v>-2491291</v>
      </c>
      <c r="EG17" s="272">
        <v>16637</v>
      </c>
      <c r="EH17" s="272">
        <v>-2507928</v>
      </c>
      <c r="EI17" s="272">
        <v>328267</v>
      </c>
      <c r="EJ17" s="272">
        <v>296296</v>
      </c>
      <c r="EL17" s="272"/>
      <c r="EM17" s="272">
        <v>100023</v>
      </c>
      <c r="EN17" s="272">
        <v>1666776</v>
      </c>
      <c r="EO17" s="272">
        <v>817692</v>
      </c>
      <c r="EP17" s="455">
        <f t="shared" si="12"/>
        <v>418335</v>
      </c>
      <c r="EQ17" s="272">
        <v>23432600</v>
      </c>
      <c r="ER17" s="272">
        <v>-3958694</v>
      </c>
      <c r="ES17" s="272">
        <v>8539118</v>
      </c>
      <c r="ET17" s="272">
        <v>5178905</v>
      </c>
      <c r="EU17" s="272">
        <v>1768800</v>
      </c>
      <c r="EV17" s="272">
        <v>5725121</v>
      </c>
      <c r="EW17" s="455">
        <f t="shared" si="13"/>
        <v>463659</v>
      </c>
      <c r="EX17" s="272">
        <v>455910</v>
      </c>
      <c r="EY17" s="272">
        <v>65006</v>
      </c>
      <c r="EZ17" s="272">
        <v>389554</v>
      </c>
      <c r="FA17" s="272">
        <v>7749</v>
      </c>
      <c r="FB17" s="272"/>
      <c r="FC17" s="272">
        <v>2824669</v>
      </c>
      <c r="FD17" s="272">
        <v>3848891</v>
      </c>
      <c r="FE17" s="272">
        <v>1200440</v>
      </c>
      <c r="FF17" s="272">
        <v>2799243</v>
      </c>
      <c r="FG17" s="455">
        <f t="shared" si="14"/>
        <v>3913084</v>
      </c>
      <c r="FH17" s="272">
        <v>29882585</v>
      </c>
      <c r="FI17" s="384">
        <f t="shared" si="15"/>
        <v>-11.6</v>
      </c>
      <c r="FJ17" s="272">
        <v>21619523</v>
      </c>
      <c r="FK17" s="272">
        <v>912219</v>
      </c>
      <c r="FL17" s="272">
        <v>16282674</v>
      </c>
      <c r="FM17" s="272">
        <v>15885244</v>
      </c>
      <c r="FN17" s="460">
        <v>1.018</v>
      </c>
      <c r="FO17" s="388">
        <v>107.4</v>
      </c>
      <c r="FP17" s="388">
        <v>35</v>
      </c>
      <c r="FQ17" s="388">
        <v>8</v>
      </c>
      <c r="FR17" s="388">
        <v>26.2</v>
      </c>
      <c r="FS17" s="388">
        <v>12.3</v>
      </c>
      <c r="FT17" s="388">
        <v>14.1</v>
      </c>
      <c r="FU17" s="388">
        <v>10.7</v>
      </c>
      <c r="FV17" s="388">
        <v>17.7</v>
      </c>
      <c r="FW17" s="272">
        <v>75287981</v>
      </c>
      <c r="FX17" s="384">
        <f t="shared" si="16"/>
        <v>348.2</v>
      </c>
      <c r="FY17" s="272">
        <v>3130479</v>
      </c>
      <c r="FZ17" s="272">
        <v>840</v>
      </c>
      <c r="GA17" s="272">
        <v>51289</v>
      </c>
      <c r="GB17" s="272">
        <v>3078350</v>
      </c>
      <c r="GC17" s="272">
        <v>600000</v>
      </c>
      <c r="GD17" s="272">
        <v>9146076</v>
      </c>
      <c r="GE17" s="384">
        <f t="shared" si="17"/>
        <v>42.3</v>
      </c>
      <c r="GF17" s="388">
        <v>97.6</v>
      </c>
      <c r="GG17" s="388">
        <v>16.399999999999999</v>
      </c>
      <c r="GH17" s="388">
        <v>89.2</v>
      </c>
      <c r="GI17" s="272">
        <v>909</v>
      </c>
    </row>
    <row r="18" spans="2:191" x14ac:dyDescent="0.15">
      <c r="B18" s="89" t="s">
        <v>29</v>
      </c>
      <c r="C18" s="272">
        <v>14678405</v>
      </c>
      <c r="D18" s="455">
        <f t="shared" si="0"/>
        <v>5959940</v>
      </c>
      <c r="E18" s="272">
        <v>106493</v>
      </c>
      <c r="F18" s="272">
        <v>5853447</v>
      </c>
      <c r="G18" s="455">
        <f t="shared" si="1"/>
        <v>519768</v>
      </c>
      <c r="H18" s="272">
        <v>175985</v>
      </c>
      <c r="I18" s="272">
        <v>343783</v>
      </c>
      <c r="J18" s="272">
        <v>6196647</v>
      </c>
      <c r="K18" s="272">
        <v>2817898</v>
      </c>
      <c r="L18" s="272">
        <v>2686771</v>
      </c>
      <c r="M18" s="272">
        <v>606606</v>
      </c>
      <c r="N18" s="272">
        <v>591737</v>
      </c>
      <c r="O18" s="272">
        <v>1292578</v>
      </c>
      <c r="P18" s="272">
        <v>768546</v>
      </c>
      <c r="Q18" s="272">
        <v>524032</v>
      </c>
      <c r="R18" s="272">
        <v>263938</v>
      </c>
      <c r="S18" s="272"/>
      <c r="T18" s="455">
        <f t="shared" si="2"/>
        <v>1437595</v>
      </c>
      <c r="U18" s="272">
        <v>251863</v>
      </c>
      <c r="V18" s="272"/>
      <c r="W18" s="272"/>
      <c r="X18" s="272">
        <v>897695</v>
      </c>
      <c r="Y18" s="272">
        <v>57652</v>
      </c>
      <c r="Z18" s="272">
        <v>0</v>
      </c>
      <c r="AA18" s="272">
        <v>230385</v>
      </c>
      <c r="AB18" s="272">
        <v>597964</v>
      </c>
      <c r="AC18" s="272">
        <v>5711064</v>
      </c>
      <c r="AD18" s="272">
        <v>5417015</v>
      </c>
      <c r="AE18" s="272">
        <v>294049</v>
      </c>
      <c r="AF18" s="272">
        <v>24576</v>
      </c>
      <c r="AG18" s="272">
        <v>481472</v>
      </c>
      <c r="AH18" s="455">
        <f t="shared" si="3"/>
        <v>1293617</v>
      </c>
      <c r="AI18" s="272">
        <v>972299</v>
      </c>
      <c r="AJ18" s="272">
        <v>321318</v>
      </c>
      <c r="AK18" s="272">
        <v>3833766</v>
      </c>
      <c r="AL18" s="455">
        <f t="shared" si="4"/>
        <v>2344706</v>
      </c>
      <c r="AM18" s="272">
        <v>1941339</v>
      </c>
      <c r="AN18" s="272">
        <v>380160</v>
      </c>
      <c r="AO18" s="272">
        <v>0</v>
      </c>
      <c r="AP18" s="272">
        <v>23207</v>
      </c>
      <c r="AQ18" s="272">
        <v>345250</v>
      </c>
      <c r="AR18" s="272">
        <v>0</v>
      </c>
      <c r="AS18" s="272">
        <v>0</v>
      </c>
      <c r="AT18" s="272">
        <v>1574114</v>
      </c>
      <c r="AU18" s="272">
        <v>795832</v>
      </c>
      <c r="AV18" s="272">
        <v>308010</v>
      </c>
      <c r="AW18" s="272">
        <v>10919</v>
      </c>
      <c r="AX18" s="272">
        <v>778282</v>
      </c>
      <c r="AY18" s="272">
        <v>73709</v>
      </c>
      <c r="AZ18" s="272">
        <v>3684</v>
      </c>
      <c r="BA18" s="272">
        <v>0</v>
      </c>
      <c r="BB18" s="272">
        <v>52101</v>
      </c>
      <c r="BC18" s="272">
        <v>1208511</v>
      </c>
      <c r="BD18" s="272">
        <v>0</v>
      </c>
      <c r="BE18" s="272">
        <v>0</v>
      </c>
      <c r="BF18" s="272">
        <v>1202011</v>
      </c>
      <c r="BG18" s="272">
        <v>0</v>
      </c>
      <c r="BH18" s="272">
        <v>485984</v>
      </c>
      <c r="BI18" s="272">
        <v>433718</v>
      </c>
      <c r="BJ18" s="272">
        <v>1493083</v>
      </c>
      <c r="BK18" s="272">
        <v>1203931</v>
      </c>
      <c r="BL18" s="272">
        <v>0</v>
      </c>
      <c r="BM18" s="272">
        <v>22176</v>
      </c>
      <c r="BN18" s="272">
        <v>3049509</v>
      </c>
      <c r="BO18" s="455">
        <f t="shared" si="5"/>
        <v>1713109</v>
      </c>
      <c r="BP18" s="455">
        <f t="shared" si="6"/>
        <v>1336400</v>
      </c>
      <c r="BQ18" s="272">
        <v>218100</v>
      </c>
      <c r="BR18" s="272">
        <v>0</v>
      </c>
      <c r="BS18" s="272">
        <v>1118300</v>
      </c>
      <c r="BT18" s="272">
        <v>0</v>
      </c>
      <c r="BU18" s="272">
        <v>36189383</v>
      </c>
      <c r="BV18" s="272"/>
      <c r="BW18" s="272">
        <v>8608746</v>
      </c>
      <c r="BX18" s="272">
        <v>6336000</v>
      </c>
      <c r="BY18" s="272">
        <v>742663</v>
      </c>
      <c r="BZ18" s="272">
        <v>48638</v>
      </c>
      <c r="CA18" s="272">
        <v>5841342</v>
      </c>
      <c r="CB18" s="272">
        <v>1079306</v>
      </c>
      <c r="CC18" s="272">
        <v>341629</v>
      </c>
      <c r="CD18" s="272">
        <v>1729813</v>
      </c>
      <c r="CE18" s="272">
        <v>2573058</v>
      </c>
      <c r="CF18" s="272">
        <v>0</v>
      </c>
      <c r="CG18" s="272">
        <v>117536</v>
      </c>
      <c r="CH18" s="272">
        <v>2437500</v>
      </c>
      <c r="CI18" s="272">
        <v>1808727</v>
      </c>
      <c r="CJ18" s="455">
        <f t="shared" si="7"/>
        <v>628773</v>
      </c>
      <c r="CK18" s="272">
        <v>5209190</v>
      </c>
      <c r="CL18" s="272">
        <v>3036790</v>
      </c>
      <c r="CM18" s="272">
        <v>633468</v>
      </c>
      <c r="CN18" s="272">
        <v>670496</v>
      </c>
      <c r="CO18" s="272">
        <v>373099</v>
      </c>
      <c r="CP18" s="272">
        <v>2989644</v>
      </c>
      <c r="CQ18" s="272">
        <v>796726</v>
      </c>
      <c r="CR18" s="272">
        <v>1573134</v>
      </c>
      <c r="CS18" s="272">
        <v>1309348</v>
      </c>
      <c r="CT18" s="455">
        <f t="shared" si="8"/>
        <v>1831</v>
      </c>
      <c r="CU18" s="272">
        <v>1831</v>
      </c>
      <c r="CV18" s="272">
        <v>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4288887</v>
      </c>
      <c r="DD18" s="272">
        <v>779792</v>
      </c>
      <c r="DE18" s="272">
        <v>3509095</v>
      </c>
      <c r="DF18" s="272">
        <v>0</v>
      </c>
      <c r="DG18" s="272">
        <v>0</v>
      </c>
      <c r="DH18" s="272">
        <v>0</v>
      </c>
      <c r="DI18" s="272">
        <v>876444</v>
      </c>
      <c r="DJ18" s="272">
        <v>315434</v>
      </c>
      <c r="DK18" s="272">
        <v>0</v>
      </c>
      <c r="DL18" s="272">
        <v>561010</v>
      </c>
      <c r="DM18" s="272">
        <v>0</v>
      </c>
      <c r="DN18" s="272">
        <v>0</v>
      </c>
      <c r="DO18" s="272">
        <v>0</v>
      </c>
      <c r="DP18" s="272">
        <v>0</v>
      </c>
      <c r="DQ18" s="272">
        <v>1185420</v>
      </c>
      <c r="DR18" s="272">
        <v>0</v>
      </c>
      <c r="DS18" s="272">
        <v>0</v>
      </c>
      <c r="DT18" s="272">
        <v>3743653</v>
      </c>
      <c r="DU18" s="272">
        <v>1369620</v>
      </c>
      <c r="DV18" s="455">
        <f t="shared" si="11"/>
        <v>0</v>
      </c>
      <c r="DW18" s="272">
        <v>0</v>
      </c>
      <c r="DX18" s="272">
        <v>0</v>
      </c>
      <c r="DY18" s="272">
        <v>0</v>
      </c>
      <c r="DZ18" s="272">
        <v>1185926</v>
      </c>
      <c r="EA18" s="272">
        <v>493295</v>
      </c>
      <c r="EB18" s="272">
        <v>694812</v>
      </c>
      <c r="EC18" s="272">
        <v>0</v>
      </c>
      <c r="ED18" s="272">
        <v>35553925</v>
      </c>
      <c r="EF18" s="272">
        <v>635458</v>
      </c>
      <c r="EG18" s="272">
        <v>210487</v>
      </c>
      <c r="EH18" s="272">
        <v>424971</v>
      </c>
      <c r="EI18" s="272">
        <v>-8747</v>
      </c>
      <c r="EJ18" s="272">
        <v>306687</v>
      </c>
      <c r="EL18" s="272"/>
      <c r="EM18" s="272">
        <v>125368</v>
      </c>
      <c r="EN18" s="272">
        <v>138475</v>
      </c>
      <c r="EO18" s="272">
        <v>1</v>
      </c>
      <c r="EP18" s="455">
        <f t="shared" si="12"/>
        <v>645351</v>
      </c>
      <c r="EQ18" s="272">
        <v>22713542</v>
      </c>
      <c r="ER18" s="272">
        <v>-2095651</v>
      </c>
      <c r="ES18" s="272">
        <v>7756165</v>
      </c>
      <c r="ET18" s="272">
        <v>5521553</v>
      </c>
      <c r="EU18" s="272">
        <v>2006252</v>
      </c>
      <c r="EV18" s="272">
        <v>2241578</v>
      </c>
      <c r="EW18" s="455">
        <f t="shared" si="13"/>
        <v>1010150</v>
      </c>
      <c r="EX18" s="272">
        <v>1010150</v>
      </c>
      <c r="EY18" s="272">
        <v>244679</v>
      </c>
      <c r="EZ18" s="272">
        <v>765471</v>
      </c>
      <c r="FA18" s="272">
        <v>0</v>
      </c>
      <c r="FB18" s="272"/>
      <c r="FC18" s="272">
        <v>4074086</v>
      </c>
      <c r="FD18" s="272">
        <v>2685202</v>
      </c>
      <c r="FE18" s="272">
        <v>796726</v>
      </c>
      <c r="FF18" s="272">
        <v>3421794</v>
      </c>
      <c r="FG18" s="455">
        <f t="shared" si="14"/>
        <v>978508</v>
      </c>
      <c r="FH18" s="272">
        <v>24173735</v>
      </c>
      <c r="FI18" s="384">
        <f t="shared" si="15"/>
        <v>2</v>
      </c>
      <c r="FJ18" s="272">
        <v>21637131</v>
      </c>
      <c r="FK18" s="272">
        <v>1118359</v>
      </c>
      <c r="FL18" s="272">
        <v>12236876</v>
      </c>
      <c r="FM18" s="272">
        <v>17664761</v>
      </c>
      <c r="FN18" s="460">
        <v>0.68899999999999995</v>
      </c>
      <c r="FO18" s="388">
        <v>91.8</v>
      </c>
      <c r="FP18" s="388">
        <v>32.6</v>
      </c>
      <c r="FQ18" s="388">
        <v>8.9</v>
      </c>
      <c r="FR18" s="388">
        <v>9.9</v>
      </c>
      <c r="FS18" s="388">
        <v>18</v>
      </c>
      <c r="FT18" s="388">
        <v>11.3</v>
      </c>
      <c r="FU18" s="388">
        <v>9.5</v>
      </c>
      <c r="FV18" s="388">
        <v>7.2</v>
      </c>
      <c r="FW18" s="272">
        <v>22435905</v>
      </c>
      <c r="FX18" s="384">
        <f t="shared" si="16"/>
        <v>103.7</v>
      </c>
      <c r="FY18" s="272">
        <v>10352625</v>
      </c>
      <c r="FZ18" s="272">
        <v>3309563</v>
      </c>
      <c r="GA18" s="272"/>
      <c r="GB18" s="272">
        <v>7043062</v>
      </c>
      <c r="GC18" s="272"/>
      <c r="GD18" s="272">
        <v>967556</v>
      </c>
      <c r="GE18" s="384">
        <f t="shared" si="17"/>
        <v>4.5</v>
      </c>
      <c r="GF18" s="388">
        <v>97.2</v>
      </c>
      <c r="GG18" s="388">
        <v>16.7</v>
      </c>
      <c r="GH18" s="388">
        <v>89.1</v>
      </c>
      <c r="GI18" s="272">
        <v>889</v>
      </c>
    </row>
    <row r="19" spans="2:191" x14ac:dyDescent="0.15">
      <c r="B19" s="89" t="s">
        <v>31</v>
      </c>
      <c r="C19" s="272">
        <v>29297375</v>
      </c>
      <c r="D19" s="455">
        <f t="shared" si="0"/>
        <v>10782786</v>
      </c>
      <c r="E19" s="272">
        <v>226404</v>
      </c>
      <c r="F19" s="272">
        <v>10556382</v>
      </c>
      <c r="G19" s="455">
        <f t="shared" si="1"/>
        <v>1644497</v>
      </c>
      <c r="H19" s="272">
        <v>523677</v>
      </c>
      <c r="I19" s="272">
        <v>1120820</v>
      </c>
      <c r="J19" s="272">
        <v>12228903</v>
      </c>
      <c r="K19" s="272">
        <v>5907270</v>
      </c>
      <c r="L19" s="272">
        <v>4821923</v>
      </c>
      <c r="M19" s="272">
        <v>1215048</v>
      </c>
      <c r="N19" s="272">
        <v>1532371</v>
      </c>
      <c r="O19" s="272">
        <v>2955444</v>
      </c>
      <c r="P19" s="272">
        <v>1860874</v>
      </c>
      <c r="Q19" s="272">
        <v>1094570</v>
      </c>
      <c r="R19" s="272">
        <v>432643</v>
      </c>
      <c r="S19" s="272"/>
      <c r="T19" s="455">
        <f t="shared" si="2"/>
        <v>2715452</v>
      </c>
      <c r="U19" s="272">
        <v>495721</v>
      </c>
      <c r="V19" s="272"/>
      <c r="W19" s="272"/>
      <c r="X19" s="272">
        <v>1841836</v>
      </c>
      <c r="Y19" s="272">
        <v>0</v>
      </c>
      <c r="Z19" s="272">
        <v>0</v>
      </c>
      <c r="AA19" s="272">
        <v>377895</v>
      </c>
      <c r="AB19" s="272">
        <v>1107987</v>
      </c>
      <c r="AC19" s="272">
        <v>12105489</v>
      </c>
      <c r="AD19" s="272">
        <v>11517458</v>
      </c>
      <c r="AE19" s="272">
        <v>588031</v>
      </c>
      <c r="AF19" s="272">
        <v>40157</v>
      </c>
      <c r="AG19" s="272">
        <v>426859</v>
      </c>
      <c r="AH19" s="455">
        <f t="shared" si="3"/>
        <v>1539836</v>
      </c>
      <c r="AI19" s="272">
        <v>982370</v>
      </c>
      <c r="AJ19" s="272">
        <v>557466</v>
      </c>
      <c r="AK19" s="272">
        <v>8949273</v>
      </c>
      <c r="AL19" s="455">
        <f t="shared" si="4"/>
        <v>5736018</v>
      </c>
      <c r="AM19" s="272">
        <v>4625753</v>
      </c>
      <c r="AN19" s="272">
        <v>1077775</v>
      </c>
      <c r="AO19" s="272">
        <v>0</v>
      </c>
      <c r="AP19" s="272">
        <v>32490</v>
      </c>
      <c r="AQ19" s="272">
        <v>752622</v>
      </c>
      <c r="AR19" s="272">
        <v>0</v>
      </c>
      <c r="AS19" s="272">
        <v>0</v>
      </c>
      <c r="AT19" s="272">
        <v>3356595</v>
      </c>
      <c r="AU19" s="272">
        <v>1783831</v>
      </c>
      <c r="AV19" s="272">
        <v>538888</v>
      </c>
      <c r="AW19" s="272">
        <v>39230</v>
      </c>
      <c r="AX19" s="272">
        <v>1572764</v>
      </c>
      <c r="AY19" s="272">
        <v>189492</v>
      </c>
      <c r="AZ19" s="272">
        <v>131984</v>
      </c>
      <c r="BA19" s="272">
        <v>118409</v>
      </c>
      <c r="BB19" s="272">
        <v>8951</v>
      </c>
      <c r="BC19" s="272">
        <v>809267</v>
      </c>
      <c r="BD19" s="272">
        <v>50000</v>
      </c>
      <c r="BE19" s="272">
        <v>1120</v>
      </c>
      <c r="BF19" s="272">
        <v>735771</v>
      </c>
      <c r="BG19" s="272">
        <v>0</v>
      </c>
      <c r="BH19" s="272">
        <v>0</v>
      </c>
      <c r="BI19" s="272">
        <v>0</v>
      </c>
      <c r="BJ19" s="272">
        <v>4492398</v>
      </c>
      <c r="BK19" s="272">
        <v>3761030</v>
      </c>
      <c r="BL19" s="272">
        <v>7268</v>
      </c>
      <c r="BM19" s="272">
        <v>71584</v>
      </c>
      <c r="BN19" s="272">
        <v>4705666</v>
      </c>
      <c r="BO19" s="455">
        <f t="shared" si="5"/>
        <v>2277366</v>
      </c>
      <c r="BP19" s="455">
        <f t="shared" si="6"/>
        <v>2428300</v>
      </c>
      <c r="BQ19" s="272">
        <v>416600</v>
      </c>
      <c r="BR19" s="272">
        <v>0</v>
      </c>
      <c r="BS19" s="272">
        <v>2011700</v>
      </c>
      <c r="BT19" s="272">
        <v>0</v>
      </c>
      <c r="BU19" s="272">
        <v>70119932</v>
      </c>
      <c r="BV19" s="272"/>
      <c r="BW19" s="272">
        <v>19928045</v>
      </c>
      <c r="BX19" s="272">
        <v>14318716</v>
      </c>
      <c r="BY19" s="272">
        <v>2125475</v>
      </c>
      <c r="BZ19" s="272">
        <v>350575</v>
      </c>
      <c r="CA19" s="272">
        <v>12119776</v>
      </c>
      <c r="CB19" s="272">
        <v>1625048</v>
      </c>
      <c r="CC19" s="272">
        <v>630363</v>
      </c>
      <c r="CD19" s="272">
        <v>3487094</v>
      </c>
      <c r="CE19" s="272">
        <v>6156565</v>
      </c>
      <c r="CF19" s="272">
        <v>5979</v>
      </c>
      <c r="CG19" s="272">
        <v>213947</v>
      </c>
      <c r="CH19" s="272">
        <v>7132664</v>
      </c>
      <c r="CI19" s="272">
        <v>5108246</v>
      </c>
      <c r="CJ19" s="455">
        <f t="shared" si="7"/>
        <v>2024418</v>
      </c>
      <c r="CK19" s="272">
        <v>8112354</v>
      </c>
      <c r="CL19" s="272">
        <v>3533091</v>
      </c>
      <c r="CM19" s="272">
        <v>980521</v>
      </c>
      <c r="CN19" s="272">
        <v>2054564</v>
      </c>
      <c r="CO19" s="272">
        <v>368228</v>
      </c>
      <c r="CP19" s="272">
        <v>5789741</v>
      </c>
      <c r="CQ19" s="272">
        <v>3473586</v>
      </c>
      <c r="CR19" s="272">
        <v>1331409</v>
      </c>
      <c r="CS19" s="272">
        <v>1180484</v>
      </c>
      <c r="CT19" s="455">
        <f t="shared" si="8"/>
        <v>9460</v>
      </c>
      <c r="CU19" s="272">
        <v>9460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5381023</v>
      </c>
      <c r="DD19" s="272">
        <v>2019825</v>
      </c>
      <c r="DE19" s="272">
        <v>3297457</v>
      </c>
      <c r="DF19" s="272">
        <v>0</v>
      </c>
      <c r="DG19" s="272">
        <v>63741</v>
      </c>
      <c r="DH19" s="272">
        <v>0</v>
      </c>
      <c r="DI19" s="272">
        <v>396874</v>
      </c>
      <c r="DJ19" s="272">
        <v>46</v>
      </c>
      <c r="DK19" s="272">
        <v>996</v>
      </c>
      <c r="DL19" s="272">
        <v>395832</v>
      </c>
      <c r="DM19" s="272">
        <v>0</v>
      </c>
      <c r="DN19" s="272">
        <v>0</v>
      </c>
      <c r="DO19" s="272">
        <v>0</v>
      </c>
      <c r="DP19" s="272">
        <v>0</v>
      </c>
      <c r="DQ19" s="272">
        <v>3864915</v>
      </c>
      <c r="DR19" s="272">
        <v>0</v>
      </c>
      <c r="DS19" s="272">
        <v>0</v>
      </c>
      <c r="DT19" s="272">
        <v>7492700</v>
      </c>
      <c r="DU19" s="272">
        <v>3383280</v>
      </c>
      <c r="DV19" s="455">
        <f t="shared" si="11"/>
        <v>0</v>
      </c>
      <c r="DW19" s="272">
        <v>0</v>
      </c>
      <c r="DX19" s="272">
        <v>0</v>
      </c>
      <c r="DY19" s="272">
        <v>0</v>
      </c>
      <c r="DZ19" s="272">
        <v>2073706</v>
      </c>
      <c r="EA19" s="272">
        <v>910603</v>
      </c>
      <c r="EB19" s="272">
        <v>1124928</v>
      </c>
      <c r="EC19" s="272">
        <v>449331</v>
      </c>
      <c r="ED19" s="272">
        <v>71035651</v>
      </c>
      <c r="EF19" s="272">
        <v>-915719</v>
      </c>
      <c r="EG19" s="272">
        <v>45652</v>
      </c>
      <c r="EH19" s="272">
        <v>-961371</v>
      </c>
      <c r="EI19" s="272">
        <v>-491580</v>
      </c>
      <c r="EJ19" s="272">
        <v>-541534</v>
      </c>
      <c r="EL19" s="272"/>
      <c r="EM19" s="272">
        <v>247453</v>
      </c>
      <c r="EN19" s="272">
        <v>72376</v>
      </c>
      <c r="EO19" s="272">
        <v>9236</v>
      </c>
      <c r="EP19" s="455">
        <f t="shared" si="12"/>
        <v>418203</v>
      </c>
      <c r="EQ19" s="272">
        <v>45699103</v>
      </c>
      <c r="ER19" s="272">
        <v>-2887958</v>
      </c>
      <c r="ES19" s="272">
        <v>18142911</v>
      </c>
      <c r="ET19" s="272">
        <v>12542663</v>
      </c>
      <c r="EU19" s="272">
        <v>3341504</v>
      </c>
      <c r="EV19" s="272">
        <v>7085539</v>
      </c>
      <c r="EW19" s="455">
        <f t="shared" si="13"/>
        <v>1560916</v>
      </c>
      <c r="EX19" s="272">
        <v>1560916</v>
      </c>
      <c r="EY19" s="272">
        <v>207727</v>
      </c>
      <c r="EZ19" s="272">
        <v>1353189</v>
      </c>
      <c r="FA19" s="272">
        <v>0</v>
      </c>
      <c r="FB19" s="272"/>
      <c r="FC19" s="272">
        <v>6190222</v>
      </c>
      <c r="FD19" s="272">
        <v>5199825</v>
      </c>
      <c r="FE19" s="272">
        <v>3473586</v>
      </c>
      <c r="FF19" s="272">
        <v>6826420</v>
      </c>
      <c r="FG19" s="455">
        <f t="shared" si="14"/>
        <v>1155443</v>
      </c>
      <c r="FH19" s="272">
        <v>49502780</v>
      </c>
      <c r="FI19" s="384">
        <f t="shared" si="15"/>
        <v>-2.2000000000000002</v>
      </c>
      <c r="FJ19" s="272">
        <v>43041956</v>
      </c>
      <c r="FK19" s="272">
        <v>2011726</v>
      </c>
      <c r="FL19" s="272">
        <v>23761898</v>
      </c>
      <c r="FM19" s="272">
        <v>35198246</v>
      </c>
      <c r="FN19" s="460">
        <v>0.68899999999999995</v>
      </c>
      <c r="FO19" s="388">
        <v>97.6</v>
      </c>
      <c r="FP19" s="388">
        <v>38.6</v>
      </c>
      <c r="FQ19" s="388">
        <v>7.5</v>
      </c>
      <c r="FR19" s="388">
        <v>15.8</v>
      </c>
      <c r="FS19" s="388">
        <v>13.1</v>
      </c>
      <c r="FT19" s="388">
        <v>10.9</v>
      </c>
      <c r="FU19" s="388">
        <v>11</v>
      </c>
      <c r="FV19" s="388">
        <v>9.3000000000000007</v>
      </c>
      <c r="FW19" s="272">
        <v>61559396</v>
      </c>
      <c r="FX19" s="384">
        <f t="shared" si="16"/>
        <v>143</v>
      </c>
      <c r="FY19" s="272">
        <v>5185667</v>
      </c>
      <c r="FZ19" s="272">
        <v>1506</v>
      </c>
      <c r="GA19" s="272">
        <v>3647</v>
      </c>
      <c r="GB19" s="272">
        <v>5180514</v>
      </c>
      <c r="GC19" s="272"/>
      <c r="GD19" s="272">
        <v>7638273</v>
      </c>
      <c r="GE19" s="384">
        <f t="shared" si="17"/>
        <v>17.7</v>
      </c>
      <c r="GF19" s="388">
        <v>97.2</v>
      </c>
      <c r="GG19" s="388">
        <v>13.4</v>
      </c>
      <c r="GH19" s="388">
        <v>88.5</v>
      </c>
      <c r="GI19" s="272">
        <v>1880</v>
      </c>
    </row>
    <row r="20" spans="2:191" x14ac:dyDescent="0.15">
      <c r="B20" s="89" t="s">
        <v>33</v>
      </c>
      <c r="C20" s="272">
        <v>15099825</v>
      </c>
      <c r="D20" s="455">
        <f t="shared" si="0"/>
        <v>6655577</v>
      </c>
      <c r="E20" s="272">
        <v>108523</v>
      </c>
      <c r="F20" s="272">
        <v>6547054</v>
      </c>
      <c r="G20" s="455">
        <f t="shared" si="1"/>
        <v>469100</v>
      </c>
      <c r="H20" s="272">
        <v>189828</v>
      </c>
      <c r="I20" s="272">
        <v>279272</v>
      </c>
      <c r="J20" s="272">
        <v>5966308</v>
      </c>
      <c r="K20" s="272">
        <v>2528519</v>
      </c>
      <c r="L20" s="272">
        <v>2663259</v>
      </c>
      <c r="M20" s="272">
        <v>687355</v>
      </c>
      <c r="N20" s="272">
        <v>492209</v>
      </c>
      <c r="O20" s="272">
        <v>1334893</v>
      </c>
      <c r="P20" s="272">
        <v>780518</v>
      </c>
      <c r="Q20" s="272">
        <v>554375</v>
      </c>
      <c r="R20" s="272">
        <v>310179</v>
      </c>
      <c r="S20" s="272"/>
      <c r="T20" s="455">
        <f t="shared" si="2"/>
        <v>1355198</v>
      </c>
      <c r="U20" s="272">
        <v>276559</v>
      </c>
      <c r="V20" s="272"/>
      <c r="W20" s="272"/>
      <c r="X20" s="272">
        <v>792716</v>
      </c>
      <c r="Y20" s="272">
        <v>15371</v>
      </c>
      <c r="Z20" s="272">
        <v>0</v>
      </c>
      <c r="AA20" s="272">
        <v>270552</v>
      </c>
      <c r="AB20" s="272">
        <v>661775</v>
      </c>
      <c r="AC20" s="272">
        <v>4588040</v>
      </c>
      <c r="AD20" s="272">
        <v>4283969</v>
      </c>
      <c r="AE20" s="272">
        <v>304071</v>
      </c>
      <c r="AF20" s="272">
        <v>21423</v>
      </c>
      <c r="AG20" s="272">
        <v>260161</v>
      </c>
      <c r="AH20" s="455">
        <f t="shared" si="3"/>
        <v>1150096</v>
      </c>
      <c r="AI20" s="272">
        <v>812321</v>
      </c>
      <c r="AJ20" s="272">
        <v>337775</v>
      </c>
      <c r="AK20" s="272">
        <v>3581703</v>
      </c>
      <c r="AL20" s="455">
        <f t="shared" si="4"/>
        <v>1602221</v>
      </c>
      <c r="AM20" s="272">
        <v>1221821</v>
      </c>
      <c r="AN20" s="272">
        <v>366018</v>
      </c>
      <c r="AO20" s="272">
        <v>0</v>
      </c>
      <c r="AP20" s="272">
        <v>14382</v>
      </c>
      <c r="AQ20" s="272">
        <v>766704</v>
      </c>
      <c r="AR20" s="272">
        <v>0</v>
      </c>
      <c r="AS20" s="272">
        <v>0</v>
      </c>
      <c r="AT20" s="272">
        <v>1339463</v>
      </c>
      <c r="AU20" s="272">
        <v>708098</v>
      </c>
      <c r="AV20" s="272">
        <v>181571</v>
      </c>
      <c r="AW20" s="272">
        <v>40180</v>
      </c>
      <c r="AX20" s="272">
        <v>631365</v>
      </c>
      <c r="AY20" s="272">
        <v>23451</v>
      </c>
      <c r="AZ20" s="272">
        <v>12569</v>
      </c>
      <c r="BA20" s="272">
        <v>0</v>
      </c>
      <c r="BB20" s="272">
        <v>13098</v>
      </c>
      <c r="BC20" s="272">
        <v>1337822</v>
      </c>
      <c r="BD20" s="272">
        <v>997900</v>
      </c>
      <c r="BE20" s="272">
        <v>0</v>
      </c>
      <c r="BF20" s="272">
        <v>303727</v>
      </c>
      <c r="BG20" s="272">
        <v>0</v>
      </c>
      <c r="BH20" s="272">
        <v>907150</v>
      </c>
      <c r="BI20" s="272">
        <v>347567</v>
      </c>
      <c r="BJ20" s="272">
        <v>1013163</v>
      </c>
      <c r="BK20" s="272">
        <v>816553</v>
      </c>
      <c r="BL20" s="272">
        <v>0</v>
      </c>
      <c r="BM20" s="272">
        <v>0</v>
      </c>
      <c r="BN20" s="272">
        <v>3431900</v>
      </c>
      <c r="BO20" s="455">
        <f t="shared" si="5"/>
        <v>2114700</v>
      </c>
      <c r="BP20" s="455">
        <f t="shared" si="6"/>
        <v>1317200</v>
      </c>
      <c r="BQ20" s="272">
        <v>236600</v>
      </c>
      <c r="BR20" s="272">
        <v>0</v>
      </c>
      <c r="BS20" s="272">
        <v>1080600</v>
      </c>
      <c r="BT20" s="272">
        <v>0</v>
      </c>
      <c r="BU20" s="272">
        <v>35083565</v>
      </c>
      <c r="BV20" s="272"/>
      <c r="BW20" s="272">
        <v>7374567</v>
      </c>
      <c r="BX20" s="272">
        <v>4642638</v>
      </c>
      <c r="BY20" s="272">
        <v>731071</v>
      </c>
      <c r="BZ20" s="272">
        <v>764689</v>
      </c>
      <c r="CA20" s="272">
        <v>4732828</v>
      </c>
      <c r="CB20" s="272">
        <v>1049023</v>
      </c>
      <c r="CC20" s="272">
        <v>447352</v>
      </c>
      <c r="CD20" s="272">
        <v>1500220</v>
      </c>
      <c r="CE20" s="272">
        <v>1689817</v>
      </c>
      <c r="CF20" s="272">
        <v>0</v>
      </c>
      <c r="CG20" s="272">
        <v>46416</v>
      </c>
      <c r="CH20" s="272">
        <v>4029171</v>
      </c>
      <c r="CI20" s="272">
        <v>3096866</v>
      </c>
      <c r="CJ20" s="455">
        <f t="shared" si="7"/>
        <v>932305</v>
      </c>
      <c r="CK20" s="272">
        <v>5250377</v>
      </c>
      <c r="CL20" s="272">
        <v>3606985</v>
      </c>
      <c r="CM20" s="272">
        <v>104195</v>
      </c>
      <c r="CN20" s="272">
        <v>805344</v>
      </c>
      <c r="CO20" s="272">
        <v>369891</v>
      </c>
      <c r="CP20" s="272">
        <v>2663223</v>
      </c>
      <c r="CQ20" s="272">
        <v>550556</v>
      </c>
      <c r="CR20" s="272">
        <v>1145389</v>
      </c>
      <c r="CS20" s="272">
        <v>964106</v>
      </c>
      <c r="CT20" s="455">
        <f t="shared" si="8"/>
        <v>282463</v>
      </c>
      <c r="CU20" s="272">
        <v>1570</v>
      </c>
      <c r="CV20" s="272">
        <v>280893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5540332</v>
      </c>
      <c r="DD20" s="272">
        <v>1738298</v>
      </c>
      <c r="DE20" s="272">
        <v>3702817</v>
      </c>
      <c r="DF20" s="272">
        <v>92217</v>
      </c>
      <c r="DG20" s="272">
        <v>7000</v>
      </c>
      <c r="DH20" s="272">
        <v>13958</v>
      </c>
      <c r="DI20" s="272">
        <v>367460</v>
      </c>
      <c r="DJ20" s="272">
        <v>359000</v>
      </c>
      <c r="DK20" s="272">
        <v>2000</v>
      </c>
      <c r="DL20" s="272">
        <v>6460</v>
      </c>
      <c r="DM20" s="272">
        <v>0</v>
      </c>
      <c r="DN20" s="272">
        <v>0</v>
      </c>
      <c r="DO20" s="272">
        <v>0</v>
      </c>
      <c r="DP20" s="272">
        <v>0</v>
      </c>
      <c r="DQ20" s="272">
        <v>804491</v>
      </c>
      <c r="DR20" s="272">
        <v>0</v>
      </c>
      <c r="DS20" s="272">
        <v>0</v>
      </c>
      <c r="DT20" s="272">
        <v>3402353</v>
      </c>
      <c r="DU20" s="272">
        <v>1586082</v>
      </c>
      <c r="DV20" s="455">
        <f t="shared" si="11"/>
        <v>27253</v>
      </c>
      <c r="DW20" s="272">
        <v>27253</v>
      </c>
      <c r="DX20" s="272">
        <v>0</v>
      </c>
      <c r="DY20" s="272">
        <v>0</v>
      </c>
      <c r="DZ20" s="272">
        <v>635731</v>
      </c>
      <c r="EA20" s="272">
        <v>520640</v>
      </c>
      <c r="EB20" s="272">
        <v>632647</v>
      </c>
      <c r="EC20" s="272">
        <v>0</v>
      </c>
      <c r="ED20" s="272">
        <v>34548651</v>
      </c>
      <c r="EF20" s="272">
        <v>534914</v>
      </c>
      <c r="EG20" s="272">
        <v>393797</v>
      </c>
      <c r="EH20" s="272">
        <v>141117</v>
      </c>
      <c r="EI20" s="272">
        <v>-206450</v>
      </c>
      <c r="EJ20" s="272">
        <v>-845350</v>
      </c>
      <c r="EL20" s="272"/>
      <c r="EM20" s="272">
        <v>121241</v>
      </c>
      <c r="EN20" s="272">
        <v>1017900</v>
      </c>
      <c r="EO20" s="272">
        <v>4941</v>
      </c>
      <c r="EP20" s="455">
        <f t="shared" si="12"/>
        <v>811033</v>
      </c>
      <c r="EQ20" s="272">
        <v>22036440</v>
      </c>
      <c r="ER20" s="272">
        <v>-3129651</v>
      </c>
      <c r="ES20" s="272">
        <v>6880749</v>
      </c>
      <c r="ET20" s="272">
        <v>4260161</v>
      </c>
      <c r="EU20" s="272">
        <v>1709492</v>
      </c>
      <c r="EV20" s="272">
        <v>4029171</v>
      </c>
      <c r="EW20" s="455">
        <f t="shared" si="13"/>
        <v>1982090</v>
      </c>
      <c r="EX20" s="272">
        <v>1968263</v>
      </c>
      <c r="EY20" s="272">
        <v>98763</v>
      </c>
      <c r="EZ20" s="272">
        <v>1863783</v>
      </c>
      <c r="FA20" s="272">
        <v>13827</v>
      </c>
      <c r="FB20" s="272"/>
      <c r="FC20" s="272">
        <v>4042408</v>
      </c>
      <c r="FD20" s="272">
        <v>2193009</v>
      </c>
      <c r="FE20" s="272">
        <v>550556</v>
      </c>
      <c r="FF20" s="272">
        <v>3174726</v>
      </c>
      <c r="FG20" s="455">
        <f t="shared" si="14"/>
        <v>712591</v>
      </c>
      <c r="FH20" s="272">
        <v>24724236</v>
      </c>
      <c r="FI20" s="384">
        <f t="shared" si="15"/>
        <v>0.7</v>
      </c>
      <c r="FJ20" s="272">
        <v>20899789</v>
      </c>
      <c r="FK20" s="272">
        <v>1080661</v>
      </c>
      <c r="FL20" s="272">
        <v>12544274</v>
      </c>
      <c r="FM20" s="272">
        <v>16832737</v>
      </c>
      <c r="FN20" s="460">
        <v>0.754</v>
      </c>
      <c r="FO20" s="388">
        <v>91</v>
      </c>
      <c r="FP20" s="388">
        <v>29.7</v>
      </c>
      <c r="FQ20" s="388">
        <v>7.8</v>
      </c>
      <c r="FR20" s="388">
        <v>15.9</v>
      </c>
      <c r="FS20" s="388">
        <v>18.3</v>
      </c>
      <c r="FT20" s="388">
        <v>8.9</v>
      </c>
      <c r="FU20" s="388">
        <v>8.6</v>
      </c>
      <c r="FV20" s="388">
        <v>11.2</v>
      </c>
      <c r="FW20" s="272">
        <v>37353290</v>
      </c>
      <c r="FX20" s="384">
        <f t="shared" si="16"/>
        <v>178.7</v>
      </c>
      <c r="FY20" s="272">
        <v>14210369</v>
      </c>
      <c r="FZ20" s="272">
        <v>7946577</v>
      </c>
      <c r="GA20" s="272">
        <v>2783993</v>
      </c>
      <c r="GB20" s="272">
        <v>3479799</v>
      </c>
      <c r="GC20" s="272"/>
      <c r="GD20" s="272">
        <v>8338811</v>
      </c>
      <c r="GE20" s="384">
        <f t="shared" si="17"/>
        <v>39.9</v>
      </c>
      <c r="GF20" s="388">
        <v>97.7</v>
      </c>
      <c r="GG20" s="388">
        <v>22.8</v>
      </c>
      <c r="GH20" s="388">
        <v>90.9</v>
      </c>
      <c r="GI20" s="272">
        <v>635</v>
      </c>
    </row>
    <row r="21" spans="2:191" x14ac:dyDescent="0.15">
      <c r="B21" s="89" t="s">
        <v>35</v>
      </c>
      <c r="C21" s="272">
        <v>14480897</v>
      </c>
      <c r="D21" s="455">
        <f t="shared" si="0"/>
        <v>5016450</v>
      </c>
      <c r="E21" s="272">
        <v>111179</v>
      </c>
      <c r="F21" s="272">
        <v>4905271</v>
      </c>
      <c r="G21" s="455">
        <f t="shared" si="1"/>
        <v>838811</v>
      </c>
      <c r="H21" s="272">
        <v>221395</v>
      </c>
      <c r="I21" s="272">
        <v>617416</v>
      </c>
      <c r="J21" s="272">
        <v>6289545</v>
      </c>
      <c r="K21" s="272">
        <v>3301647</v>
      </c>
      <c r="L21" s="272">
        <v>2334445</v>
      </c>
      <c r="M21" s="272">
        <v>617827</v>
      </c>
      <c r="N21" s="272">
        <v>775757</v>
      </c>
      <c r="O21" s="272">
        <v>1461067</v>
      </c>
      <c r="P21" s="272">
        <v>941222</v>
      </c>
      <c r="Q21" s="272">
        <v>519845</v>
      </c>
      <c r="R21" s="272">
        <v>237433</v>
      </c>
      <c r="S21" s="272"/>
      <c r="T21" s="455">
        <f t="shared" si="2"/>
        <v>1428049</v>
      </c>
      <c r="U21" s="272">
        <v>224976</v>
      </c>
      <c r="V21" s="272"/>
      <c r="W21" s="272"/>
      <c r="X21" s="272">
        <v>995582</v>
      </c>
      <c r="Y21" s="272">
        <v>0</v>
      </c>
      <c r="Z21" s="272">
        <v>0</v>
      </c>
      <c r="AA21" s="272">
        <v>207491</v>
      </c>
      <c r="AB21" s="272">
        <v>520076</v>
      </c>
      <c r="AC21" s="272">
        <v>8885694</v>
      </c>
      <c r="AD21" s="272">
        <v>8361624</v>
      </c>
      <c r="AE21" s="272">
        <v>524070</v>
      </c>
      <c r="AF21" s="272">
        <v>23720</v>
      </c>
      <c r="AG21" s="272">
        <v>130868</v>
      </c>
      <c r="AH21" s="455">
        <f t="shared" si="3"/>
        <v>589464</v>
      </c>
      <c r="AI21" s="272">
        <v>534053</v>
      </c>
      <c r="AJ21" s="272">
        <v>55411</v>
      </c>
      <c r="AK21" s="272">
        <v>4766722</v>
      </c>
      <c r="AL21" s="455">
        <f t="shared" si="4"/>
        <v>3185796</v>
      </c>
      <c r="AM21" s="272">
        <v>2803528</v>
      </c>
      <c r="AN21" s="272">
        <v>375148</v>
      </c>
      <c r="AO21" s="272">
        <v>0</v>
      </c>
      <c r="AP21" s="272">
        <v>7120</v>
      </c>
      <c r="AQ21" s="272">
        <v>249072</v>
      </c>
      <c r="AR21" s="272">
        <v>0</v>
      </c>
      <c r="AS21" s="272">
        <v>0</v>
      </c>
      <c r="AT21" s="272">
        <v>1661036</v>
      </c>
      <c r="AU21" s="272">
        <v>882347</v>
      </c>
      <c r="AV21" s="272">
        <v>187574</v>
      </c>
      <c r="AW21" s="272">
        <v>45869</v>
      </c>
      <c r="AX21" s="272">
        <v>778689</v>
      </c>
      <c r="AY21" s="272">
        <v>71361</v>
      </c>
      <c r="AZ21" s="272">
        <v>214774</v>
      </c>
      <c r="BA21" s="272">
        <v>90226</v>
      </c>
      <c r="BB21" s="272">
        <v>77662</v>
      </c>
      <c r="BC21" s="272">
        <v>1100354</v>
      </c>
      <c r="BD21" s="272">
        <v>0</v>
      </c>
      <c r="BE21" s="272">
        <v>150000</v>
      </c>
      <c r="BF21" s="272">
        <v>950354</v>
      </c>
      <c r="BG21" s="272">
        <v>0</v>
      </c>
      <c r="BH21" s="272">
        <v>268901</v>
      </c>
      <c r="BI21" s="272">
        <v>130325</v>
      </c>
      <c r="BJ21" s="272">
        <v>234692</v>
      </c>
      <c r="BK21" s="272">
        <v>60145</v>
      </c>
      <c r="BL21" s="272">
        <v>0</v>
      </c>
      <c r="BM21" s="272">
        <v>0</v>
      </c>
      <c r="BN21" s="272">
        <v>3279043</v>
      </c>
      <c r="BO21" s="455">
        <f t="shared" si="5"/>
        <v>1891543</v>
      </c>
      <c r="BP21" s="455">
        <f t="shared" si="6"/>
        <v>1387500</v>
      </c>
      <c r="BQ21" s="272">
        <v>197100</v>
      </c>
      <c r="BR21" s="272">
        <v>0</v>
      </c>
      <c r="BS21" s="272">
        <v>1190400</v>
      </c>
      <c r="BT21" s="272">
        <v>0</v>
      </c>
      <c r="BU21" s="272">
        <v>37899385</v>
      </c>
      <c r="BV21" s="272"/>
      <c r="BW21" s="272">
        <v>9780207</v>
      </c>
      <c r="BX21" s="272">
        <v>7064143</v>
      </c>
      <c r="BY21" s="272">
        <v>865355</v>
      </c>
      <c r="BZ21" s="272">
        <v>257934</v>
      </c>
      <c r="CA21" s="272">
        <v>6991468</v>
      </c>
      <c r="CB21" s="272">
        <v>852768</v>
      </c>
      <c r="CC21" s="272">
        <v>431493</v>
      </c>
      <c r="CD21" s="272">
        <v>1782719</v>
      </c>
      <c r="CE21" s="272">
        <v>3782334</v>
      </c>
      <c r="CF21" s="272">
        <v>0</v>
      </c>
      <c r="CG21" s="272">
        <v>141359</v>
      </c>
      <c r="CH21" s="272">
        <v>3828675</v>
      </c>
      <c r="CI21" s="272">
        <v>2915193</v>
      </c>
      <c r="CJ21" s="455">
        <f t="shared" si="7"/>
        <v>913482</v>
      </c>
      <c r="CK21" s="272">
        <v>4893487</v>
      </c>
      <c r="CL21" s="272">
        <v>3086395</v>
      </c>
      <c r="CM21" s="272">
        <v>191538</v>
      </c>
      <c r="CN21" s="272">
        <v>901001</v>
      </c>
      <c r="CO21" s="272">
        <v>259773</v>
      </c>
      <c r="CP21" s="272">
        <v>2534617</v>
      </c>
      <c r="CQ21" s="272">
        <v>154</v>
      </c>
      <c r="CR21" s="272">
        <v>1218274</v>
      </c>
      <c r="CS21" s="272">
        <v>947564</v>
      </c>
      <c r="CT21" s="455">
        <f t="shared" si="8"/>
        <v>654463</v>
      </c>
      <c r="CU21" s="272">
        <v>12000</v>
      </c>
      <c r="CV21" s="272">
        <v>642463</v>
      </c>
      <c r="CW21" s="455">
        <f t="shared" si="9"/>
        <v>630278</v>
      </c>
      <c r="CX21" s="272">
        <v>0</v>
      </c>
      <c r="CY21" s="272">
        <v>630278</v>
      </c>
      <c r="CZ21" s="455">
        <f t="shared" si="10"/>
        <v>0</v>
      </c>
      <c r="DA21" s="272">
        <v>0</v>
      </c>
      <c r="DB21" s="272">
        <v>0</v>
      </c>
      <c r="DC21" s="272">
        <v>3107844</v>
      </c>
      <c r="DD21" s="272">
        <v>1178404</v>
      </c>
      <c r="DE21" s="272">
        <v>1929440</v>
      </c>
      <c r="DF21" s="272">
        <v>0</v>
      </c>
      <c r="DG21" s="272">
        <v>0</v>
      </c>
      <c r="DH21" s="272">
        <v>0</v>
      </c>
      <c r="DI21" s="272">
        <v>289255</v>
      </c>
      <c r="DJ21" s="272">
        <v>92210</v>
      </c>
      <c r="DK21" s="272">
        <v>49</v>
      </c>
      <c r="DL21" s="272">
        <v>196996</v>
      </c>
      <c r="DM21" s="272">
        <v>0</v>
      </c>
      <c r="DN21" s="272">
        <v>0</v>
      </c>
      <c r="DO21" s="272">
        <v>0</v>
      </c>
      <c r="DP21" s="272">
        <v>0</v>
      </c>
      <c r="DQ21" s="272">
        <v>60000</v>
      </c>
      <c r="DR21" s="272">
        <v>0</v>
      </c>
      <c r="DS21" s="272">
        <v>0</v>
      </c>
      <c r="DT21" s="272">
        <v>6015197</v>
      </c>
      <c r="DU21" s="272">
        <v>3584000</v>
      </c>
      <c r="DV21" s="455">
        <f t="shared" si="11"/>
        <v>0</v>
      </c>
      <c r="DW21" s="272">
        <v>0</v>
      </c>
      <c r="DX21" s="272">
        <v>0</v>
      </c>
      <c r="DY21" s="272">
        <v>0</v>
      </c>
      <c r="DZ21" s="272">
        <v>1097780</v>
      </c>
      <c r="EA21" s="272">
        <v>547361</v>
      </c>
      <c r="EB21" s="272">
        <v>779133</v>
      </c>
      <c r="EC21" s="272">
        <v>0</v>
      </c>
      <c r="ED21" s="272">
        <v>37760523</v>
      </c>
      <c r="EF21" s="272">
        <v>138862</v>
      </c>
      <c r="EG21" s="272">
        <v>77137</v>
      </c>
      <c r="EH21" s="272">
        <v>61725</v>
      </c>
      <c r="EI21" s="272">
        <v>-68600</v>
      </c>
      <c r="EJ21" s="272">
        <v>42238</v>
      </c>
      <c r="EL21" s="272"/>
      <c r="EM21" s="272">
        <v>130311</v>
      </c>
      <c r="EN21" s="272">
        <v>527000</v>
      </c>
      <c r="EO21" s="272">
        <v>209028</v>
      </c>
      <c r="EP21" s="455">
        <f t="shared" si="12"/>
        <v>416212</v>
      </c>
      <c r="EQ21" s="272">
        <v>25575869</v>
      </c>
      <c r="ER21" s="272">
        <v>-2516020</v>
      </c>
      <c r="ES21" s="272">
        <v>8934984</v>
      </c>
      <c r="ET21" s="272">
        <v>6267241</v>
      </c>
      <c r="EU21" s="272">
        <v>2259207</v>
      </c>
      <c r="EV21" s="272">
        <v>3809315</v>
      </c>
      <c r="EW21" s="455">
        <f t="shared" si="13"/>
        <v>273643</v>
      </c>
      <c r="EX21" s="272">
        <v>273643</v>
      </c>
      <c r="EY21" s="272">
        <v>20690</v>
      </c>
      <c r="EZ21" s="272">
        <v>252953</v>
      </c>
      <c r="FA21" s="272">
        <v>0</v>
      </c>
      <c r="FB21" s="272"/>
      <c r="FC21" s="272">
        <v>4346416</v>
      </c>
      <c r="FD21" s="272">
        <v>2336561</v>
      </c>
      <c r="FE21" s="272">
        <v>154</v>
      </c>
      <c r="FF21" s="272">
        <v>5494951</v>
      </c>
      <c r="FG21" s="455">
        <f t="shared" si="14"/>
        <v>497950</v>
      </c>
      <c r="FH21" s="272">
        <v>27953027</v>
      </c>
      <c r="FI21" s="384">
        <f t="shared" si="15"/>
        <v>0.3</v>
      </c>
      <c r="FJ21" s="272">
        <v>24040813</v>
      </c>
      <c r="FK21" s="272">
        <v>1190409</v>
      </c>
      <c r="FL21" s="272">
        <v>11823946</v>
      </c>
      <c r="FM21" s="272">
        <v>20197999</v>
      </c>
      <c r="FN21" s="460">
        <v>0.59199999999999997</v>
      </c>
      <c r="FO21" s="388">
        <v>98.6</v>
      </c>
      <c r="FP21" s="388">
        <v>33.200000000000003</v>
      </c>
      <c r="FQ21" s="388">
        <v>9</v>
      </c>
      <c r="FR21" s="388">
        <v>15.1</v>
      </c>
      <c r="FS21" s="388">
        <v>16.8</v>
      </c>
      <c r="FT21" s="388">
        <v>8.6999999999999993</v>
      </c>
      <c r="FU21" s="388">
        <v>15</v>
      </c>
      <c r="FV21" s="388">
        <v>10.3</v>
      </c>
      <c r="FW21" s="272">
        <v>30633799</v>
      </c>
      <c r="FX21" s="384">
        <f t="shared" si="16"/>
        <v>127.4</v>
      </c>
      <c r="FY21" s="272">
        <v>3461624</v>
      </c>
      <c r="FZ21" s="272">
        <v>1483641</v>
      </c>
      <c r="GA21" s="272">
        <v>51028</v>
      </c>
      <c r="GB21" s="272">
        <v>1926955</v>
      </c>
      <c r="GC21" s="272"/>
      <c r="GD21" s="272">
        <v>2714090</v>
      </c>
      <c r="GE21" s="384">
        <f t="shared" si="17"/>
        <v>11.3</v>
      </c>
      <c r="GF21" s="388">
        <v>97.2</v>
      </c>
      <c r="GG21" s="388">
        <v>18.899999999999999</v>
      </c>
      <c r="GH21" s="388">
        <v>89.7</v>
      </c>
      <c r="GI21" s="272">
        <v>904</v>
      </c>
    </row>
    <row r="22" spans="2:191" x14ac:dyDescent="0.15">
      <c r="B22" s="89" t="s">
        <v>37</v>
      </c>
      <c r="C22" s="272">
        <v>18896338</v>
      </c>
      <c r="D22" s="455">
        <f t="shared" si="0"/>
        <v>4901414</v>
      </c>
      <c r="E22" s="272">
        <v>116643</v>
      </c>
      <c r="F22" s="272">
        <v>4784771</v>
      </c>
      <c r="G22" s="455">
        <f t="shared" si="1"/>
        <v>2083302</v>
      </c>
      <c r="H22" s="272">
        <v>296180</v>
      </c>
      <c r="I22" s="272">
        <v>1787122</v>
      </c>
      <c r="J22" s="272">
        <v>9068173</v>
      </c>
      <c r="K22" s="272">
        <v>4643585</v>
      </c>
      <c r="L22" s="272">
        <v>3177632</v>
      </c>
      <c r="M22" s="272">
        <v>1094580</v>
      </c>
      <c r="N22" s="272">
        <v>812639</v>
      </c>
      <c r="O22" s="272">
        <v>1941598</v>
      </c>
      <c r="P22" s="272">
        <v>1231508</v>
      </c>
      <c r="Q22" s="272">
        <v>710090</v>
      </c>
      <c r="R22" s="272">
        <v>236171</v>
      </c>
      <c r="S22" s="272"/>
      <c r="T22" s="455">
        <f t="shared" si="2"/>
        <v>1568924</v>
      </c>
      <c r="U22" s="272">
        <v>227417</v>
      </c>
      <c r="V22" s="272"/>
      <c r="W22" s="272"/>
      <c r="X22" s="272">
        <v>1101906</v>
      </c>
      <c r="Y22" s="272">
        <v>33358</v>
      </c>
      <c r="Z22" s="272">
        <v>0</v>
      </c>
      <c r="AA22" s="272">
        <v>206243</v>
      </c>
      <c r="AB22" s="272">
        <v>574548</v>
      </c>
      <c r="AC22" s="272">
        <v>3809020</v>
      </c>
      <c r="AD22" s="272">
        <v>3386951</v>
      </c>
      <c r="AE22" s="272">
        <v>422069</v>
      </c>
      <c r="AF22" s="272">
        <v>22654</v>
      </c>
      <c r="AG22" s="272">
        <v>333996</v>
      </c>
      <c r="AH22" s="455">
        <f t="shared" si="3"/>
        <v>907927</v>
      </c>
      <c r="AI22" s="272">
        <v>596236</v>
      </c>
      <c r="AJ22" s="272">
        <v>311691</v>
      </c>
      <c r="AK22" s="272">
        <v>4091512</v>
      </c>
      <c r="AL22" s="455">
        <f t="shared" si="4"/>
        <v>1625872</v>
      </c>
      <c r="AM22" s="272">
        <v>1039514</v>
      </c>
      <c r="AN22" s="272">
        <v>561061</v>
      </c>
      <c r="AO22" s="272">
        <v>0</v>
      </c>
      <c r="AP22" s="272">
        <v>25297</v>
      </c>
      <c r="AQ22" s="272">
        <v>1052420</v>
      </c>
      <c r="AR22" s="272">
        <v>0</v>
      </c>
      <c r="AS22" s="272">
        <v>0</v>
      </c>
      <c r="AT22" s="272">
        <v>1817866</v>
      </c>
      <c r="AU22" s="272">
        <v>1018096</v>
      </c>
      <c r="AV22" s="272">
        <v>280531</v>
      </c>
      <c r="AW22" s="272">
        <v>45450</v>
      </c>
      <c r="AX22" s="272">
        <v>799770</v>
      </c>
      <c r="AY22" s="272">
        <v>80365</v>
      </c>
      <c r="AZ22" s="272">
        <v>158376</v>
      </c>
      <c r="BA22" s="272">
        <v>119400</v>
      </c>
      <c r="BB22" s="272">
        <v>3268</v>
      </c>
      <c r="BC22" s="272">
        <v>179983</v>
      </c>
      <c r="BD22" s="272">
        <v>0</v>
      </c>
      <c r="BE22" s="272">
        <v>0</v>
      </c>
      <c r="BF22" s="272">
        <v>124008</v>
      </c>
      <c r="BG22" s="272">
        <v>36388</v>
      </c>
      <c r="BH22" s="272">
        <v>150733</v>
      </c>
      <c r="BI22" s="272">
        <v>56379</v>
      </c>
      <c r="BJ22" s="272">
        <v>3453524</v>
      </c>
      <c r="BK22" s="272">
        <v>3058688</v>
      </c>
      <c r="BL22" s="272">
        <v>0</v>
      </c>
      <c r="BM22" s="272">
        <v>0</v>
      </c>
      <c r="BN22" s="272">
        <v>3363700</v>
      </c>
      <c r="BO22" s="455">
        <f t="shared" si="5"/>
        <v>2067700</v>
      </c>
      <c r="BP22" s="455">
        <f t="shared" si="6"/>
        <v>1296000</v>
      </c>
      <c r="BQ22" s="272">
        <v>212400</v>
      </c>
      <c r="BR22" s="272">
        <v>0</v>
      </c>
      <c r="BS22" s="272">
        <v>1083600</v>
      </c>
      <c r="BT22" s="272">
        <v>0</v>
      </c>
      <c r="BU22" s="272">
        <v>39568540</v>
      </c>
      <c r="BV22" s="272"/>
      <c r="BW22" s="272">
        <v>11154246</v>
      </c>
      <c r="BX22" s="272">
        <v>7957447</v>
      </c>
      <c r="BY22" s="272">
        <v>1287941</v>
      </c>
      <c r="BZ22" s="272">
        <v>219938</v>
      </c>
      <c r="CA22" s="272">
        <v>5167965</v>
      </c>
      <c r="CB22" s="272">
        <v>781093</v>
      </c>
      <c r="CC22" s="272">
        <v>351895</v>
      </c>
      <c r="CD22" s="272">
        <v>2442256</v>
      </c>
      <c r="CE22" s="272">
        <v>1416223</v>
      </c>
      <c r="CF22" s="272">
        <v>318</v>
      </c>
      <c r="CG22" s="272">
        <v>175310</v>
      </c>
      <c r="CH22" s="272">
        <v>3312613</v>
      </c>
      <c r="CI22" s="272">
        <v>2514143</v>
      </c>
      <c r="CJ22" s="455">
        <f t="shared" si="7"/>
        <v>798470</v>
      </c>
      <c r="CK22" s="272">
        <v>4283995</v>
      </c>
      <c r="CL22" s="272">
        <v>2684802</v>
      </c>
      <c r="CM22" s="272">
        <v>165615</v>
      </c>
      <c r="CN22" s="272">
        <v>828466</v>
      </c>
      <c r="CO22" s="272">
        <v>200836</v>
      </c>
      <c r="CP22" s="272">
        <v>2524869</v>
      </c>
      <c r="CQ22" s="272">
        <v>1389663</v>
      </c>
      <c r="CR22" s="272">
        <v>539441</v>
      </c>
      <c r="CS22" s="272">
        <v>206659</v>
      </c>
      <c r="CT22" s="455">
        <f t="shared" si="8"/>
        <v>20892</v>
      </c>
      <c r="CU22" s="272">
        <v>20892</v>
      </c>
      <c r="CV22" s="272">
        <v>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4370832</v>
      </c>
      <c r="DD22" s="272">
        <v>2203998</v>
      </c>
      <c r="DE22" s="272">
        <v>2166834</v>
      </c>
      <c r="DF22" s="272">
        <v>0</v>
      </c>
      <c r="DG22" s="272">
        <v>0</v>
      </c>
      <c r="DH22" s="272">
        <v>37758</v>
      </c>
      <c r="DI22" s="272">
        <v>241244</v>
      </c>
      <c r="DJ22" s="272">
        <v>47065</v>
      </c>
      <c r="DK22" s="272">
        <v>5079</v>
      </c>
      <c r="DL22" s="272">
        <v>189100</v>
      </c>
      <c r="DM22" s="272">
        <v>0</v>
      </c>
      <c r="DN22" s="272">
        <v>0</v>
      </c>
      <c r="DO22" s="272">
        <v>0</v>
      </c>
      <c r="DP22" s="272">
        <v>0</v>
      </c>
      <c r="DQ22" s="272">
        <v>3024600</v>
      </c>
      <c r="DR22" s="272">
        <v>0</v>
      </c>
      <c r="DS22" s="272">
        <v>0</v>
      </c>
      <c r="DT22" s="272">
        <v>4956293</v>
      </c>
      <c r="DU22" s="272">
        <v>2295160</v>
      </c>
      <c r="DV22" s="455">
        <f t="shared" si="11"/>
        <v>0</v>
      </c>
      <c r="DW22" s="272">
        <v>0</v>
      </c>
      <c r="DX22" s="272">
        <v>0</v>
      </c>
      <c r="DY22" s="272">
        <v>0</v>
      </c>
      <c r="DZ22" s="272">
        <v>1474831</v>
      </c>
      <c r="EA22" s="272">
        <v>404695</v>
      </c>
      <c r="EB22" s="272">
        <v>639254</v>
      </c>
      <c r="EC22" s="272">
        <v>0</v>
      </c>
      <c r="ED22" s="272">
        <v>39275251</v>
      </c>
      <c r="EF22" s="272">
        <v>293289</v>
      </c>
      <c r="EG22" s="272">
        <v>16902</v>
      </c>
      <c r="EH22" s="272">
        <v>276387</v>
      </c>
      <c r="EI22" s="272">
        <v>220008</v>
      </c>
      <c r="EJ22" s="272">
        <v>267073</v>
      </c>
      <c r="EL22" s="272"/>
      <c r="EM22" s="272">
        <v>126857</v>
      </c>
      <c r="EN22" s="272">
        <v>29667</v>
      </c>
      <c r="EO22" s="272">
        <v>119751</v>
      </c>
      <c r="EP22" s="455">
        <f t="shared" si="12"/>
        <v>608239</v>
      </c>
      <c r="EQ22" s="272">
        <v>25107655</v>
      </c>
      <c r="ER22" s="272">
        <v>-2031003</v>
      </c>
      <c r="ES22" s="272">
        <v>10176843</v>
      </c>
      <c r="ET22" s="272">
        <v>7014491</v>
      </c>
      <c r="EU22" s="272">
        <v>1779791</v>
      </c>
      <c r="EV22" s="272">
        <v>3201305</v>
      </c>
      <c r="EW22" s="455">
        <f t="shared" si="13"/>
        <v>1235393</v>
      </c>
      <c r="EX22" s="272">
        <v>1225913</v>
      </c>
      <c r="EY22" s="272">
        <v>96902</v>
      </c>
      <c r="EZ22" s="272">
        <v>1129011</v>
      </c>
      <c r="FA22" s="272">
        <v>9480</v>
      </c>
      <c r="FB22" s="272"/>
      <c r="FC22" s="272">
        <v>3234423</v>
      </c>
      <c r="FD22" s="272">
        <v>2274260</v>
      </c>
      <c r="FE22" s="272">
        <v>1389663</v>
      </c>
      <c r="FF22" s="272">
        <v>4571178</v>
      </c>
      <c r="FG22" s="455">
        <f t="shared" si="14"/>
        <v>372176</v>
      </c>
      <c r="FH22" s="272">
        <v>26845369</v>
      </c>
      <c r="FI22" s="384">
        <f t="shared" si="15"/>
        <v>1.2</v>
      </c>
      <c r="FJ22" s="272">
        <v>22183622</v>
      </c>
      <c r="FK22" s="272">
        <v>1083684</v>
      </c>
      <c r="FL22" s="272">
        <v>14161959</v>
      </c>
      <c r="FM22" s="272">
        <v>17559716</v>
      </c>
      <c r="FN22" s="460">
        <v>0.82399999999999995</v>
      </c>
      <c r="FO22" s="388">
        <v>97.6</v>
      </c>
      <c r="FP22" s="388">
        <v>40.4</v>
      </c>
      <c r="FQ22" s="388">
        <v>7.4</v>
      </c>
      <c r="FR22" s="388">
        <v>13.3</v>
      </c>
      <c r="FS22" s="388">
        <v>12.8</v>
      </c>
      <c r="FT22" s="388">
        <v>8.1999999999999993</v>
      </c>
      <c r="FU22" s="388">
        <v>14.8</v>
      </c>
      <c r="FV22" s="388">
        <v>8.8000000000000007</v>
      </c>
      <c r="FW22" s="272">
        <v>29368149</v>
      </c>
      <c r="FX22" s="384">
        <f t="shared" si="16"/>
        <v>132.4</v>
      </c>
      <c r="FY22" s="272">
        <v>9732298</v>
      </c>
      <c r="FZ22" s="272">
        <v>3761257</v>
      </c>
      <c r="GA22" s="272">
        <v>638077</v>
      </c>
      <c r="GB22" s="272">
        <v>5332964</v>
      </c>
      <c r="GC22" s="272"/>
      <c r="GD22" s="272">
        <v>9308500</v>
      </c>
      <c r="GE22" s="384">
        <f t="shared" si="17"/>
        <v>42</v>
      </c>
      <c r="GF22" s="388">
        <v>98.1</v>
      </c>
      <c r="GG22" s="388">
        <v>21.6</v>
      </c>
      <c r="GH22" s="388">
        <v>93.6</v>
      </c>
      <c r="GI22" s="272">
        <v>1013</v>
      </c>
    </row>
    <row r="23" spans="2:191" x14ac:dyDescent="0.15">
      <c r="B23" s="89" t="s">
        <v>39</v>
      </c>
      <c r="C23" s="272">
        <v>20758334</v>
      </c>
      <c r="D23" s="455">
        <f t="shared" si="0"/>
        <v>7480598</v>
      </c>
      <c r="E23" s="272">
        <v>146903</v>
      </c>
      <c r="F23" s="272">
        <v>7333695</v>
      </c>
      <c r="G23" s="455">
        <f t="shared" si="1"/>
        <v>897716</v>
      </c>
      <c r="H23" s="272">
        <v>282314</v>
      </c>
      <c r="I23" s="272">
        <v>615402</v>
      </c>
      <c r="J23" s="272">
        <v>9155794</v>
      </c>
      <c r="K23" s="272">
        <v>4515792</v>
      </c>
      <c r="L23" s="272">
        <v>3816833</v>
      </c>
      <c r="M23" s="272">
        <v>753732</v>
      </c>
      <c r="N23" s="272">
        <v>855327</v>
      </c>
      <c r="O23" s="272">
        <v>2077717</v>
      </c>
      <c r="P23" s="272">
        <v>1257507</v>
      </c>
      <c r="Q23" s="272">
        <v>820210</v>
      </c>
      <c r="R23" s="272">
        <v>376786</v>
      </c>
      <c r="S23" s="272"/>
      <c r="T23" s="455">
        <f t="shared" si="2"/>
        <v>1881349</v>
      </c>
      <c r="U23" s="272">
        <v>316944</v>
      </c>
      <c r="V23" s="272"/>
      <c r="W23" s="272"/>
      <c r="X23" s="272">
        <v>1210368</v>
      </c>
      <c r="Y23" s="272">
        <v>25236</v>
      </c>
      <c r="Z23" s="272">
        <v>0</v>
      </c>
      <c r="AA23" s="272">
        <v>328801</v>
      </c>
      <c r="AB23" s="272">
        <v>738405</v>
      </c>
      <c r="AC23" s="272">
        <v>8366129</v>
      </c>
      <c r="AD23" s="272">
        <v>7292125</v>
      </c>
      <c r="AE23" s="272">
        <v>1074004</v>
      </c>
      <c r="AF23" s="272">
        <v>27678</v>
      </c>
      <c r="AG23" s="272">
        <v>268696</v>
      </c>
      <c r="AH23" s="455">
        <f t="shared" si="3"/>
        <v>1124193</v>
      </c>
      <c r="AI23" s="272">
        <v>1036285</v>
      </c>
      <c r="AJ23" s="272">
        <v>87908</v>
      </c>
      <c r="AK23" s="272">
        <v>7631800</v>
      </c>
      <c r="AL23" s="455">
        <f t="shared" si="4"/>
        <v>4170438</v>
      </c>
      <c r="AM23" s="272">
        <v>3559196</v>
      </c>
      <c r="AN23" s="272">
        <v>601420</v>
      </c>
      <c r="AO23" s="272">
        <v>0</v>
      </c>
      <c r="AP23" s="272">
        <v>9822</v>
      </c>
      <c r="AQ23" s="272">
        <v>1456104</v>
      </c>
      <c r="AR23" s="272">
        <v>0</v>
      </c>
      <c r="AS23" s="272">
        <v>277429</v>
      </c>
      <c r="AT23" s="272">
        <v>2310199</v>
      </c>
      <c r="AU23" s="272">
        <v>1240524</v>
      </c>
      <c r="AV23" s="272">
        <v>300710</v>
      </c>
      <c r="AW23" s="272">
        <v>26210</v>
      </c>
      <c r="AX23" s="272">
        <v>1069675</v>
      </c>
      <c r="AY23" s="272">
        <v>107917</v>
      </c>
      <c r="AZ23" s="272">
        <v>348261</v>
      </c>
      <c r="BA23" s="272">
        <v>316577</v>
      </c>
      <c r="BB23" s="272">
        <v>8111</v>
      </c>
      <c r="BC23" s="272">
        <v>2253322</v>
      </c>
      <c r="BD23" s="272">
        <v>0</v>
      </c>
      <c r="BE23" s="272">
        <v>0</v>
      </c>
      <c r="BF23" s="272">
        <v>2250000</v>
      </c>
      <c r="BG23" s="272">
        <v>0</v>
      </c>
      <c r="BH23" s="272">
        <v>511803</v>
      </c>
      <c r="BI23" s="272">
        <v>382233</v>
      </c>
      <c r="BJ23" s="272">
        <v>1643138</v>
      </c>
      <c r="BK23" s="272">
        <v>320294</v>
      </c>
      <c r="BL23" s="272">
        <v>17684</v>
      </c>
      <c r="BM23" s="272">
        <v>0</v>
      </c>
      <c r="BN23" s="272">
        <v>8774700</v>
      </c>
      <c r="BO23" s="455">
        <f t="shared" si="5"/>
        <v>7044700</v>
      </c>
      <c r="BP23" s="455">
        <f t="shared" si="6"/>
        <v>1730000</v>
      </c>
      <c r="BQ23" s="272">
        <v>273300</v>
      </c>
      <c r="BR23" s="272">
        <v>0</v>
      </c>
      <c r="BS23" s="272">
        <v>1456700</v>
      </c>
      <c r="BT23" s="272">
        <v>0</v>
      </c>
      <c r="BU23" s="272">
        <v>57300333</v>
      </c>
      <c r="BV23" s="272"/>
      <c r="BW23" s="272">
        <v>12747376</v>
      </c>
      <c r="BX23" s="272">
        <v>8827765</v>
      </c>
      <c r="BY23" s="272">
        <v>1336951</v>
      </c>
      <c r="BZ23" s="272">
        <v>619578</v>
      </c>
      <c r="CA23" s="272">
        <v>9278742</v>
      </c>
      <c r="CB23" s="272">
        <v>1154895</v>
      </c>
      <c r="CC23" s="272">
        <v>507471</v>
      </c>
      <c r="CD23" s="272">
        <v>2652236</v>
      </c>
      <c r="CE23" s="272">
        <v>4766082</v>
      </c>
      <c r="CF23" s="272">
        <v>405</v>
      </c>
      <c r="CG23" s="272">
        <v>196823</v>
      </c>
      <c r="CH23" s="272">
        <v>5356385</v>
      </c>
      <c r="CI23" s="272">
        <v>3874824</v>
      </c>
      <c r="CJ23" s="455">
        <f t="shared" si="7"/>
        <v>1481561</v>
      </c>
      <c r="CK23" s="272">
        <v>6285259</v>
      </c>
      <c r="CL23" s="272">
        <v>4242826</v>
      </c>
      <c r="CM23" s="272">
        <v>282301</v>
      </c>
      <c r="CN23" s="272">
        <v>804948</v>
      </c>
      <c r="CO23" s="272">
        <v>283429</v>
      </c>
      <c r="CP23" s="272">
        <v>4415250</v>
      </c>
      <c r="CQ23" s="272">
        <v>1615853</v>
      </c>
      <c r="CR23" s="272">
        <v>1194290</v>
      </c>
      <c r="CS23" s="272">
        <v>1045434</v>
      </c>
      <c r="CT23" s="455">
        <f t="shared" si="8"/>
        <v>937000</v>
      </c>
      <c r="CU23" s="272">
        <v>15000</v>
      </c>
      <c r="CV23" s="272">
        <v>922000</v>
      </c>
      <c r="CW23" s="455">
        <f t="shared" si="9"/>
        <v>916000</v>
      </c>
      <c r="CX23" s="272">
        <v>0</v>
      </c>
      <c r="CY23" s="272">
        <v>916000</v>
      </c>
      <c r="CZ23" s="455">
        <f t="shared" si="10"/>
        <v>0</v>
      </c>
      <c r="DA23" s="272">
        <v>0</v>
      </c>
      <c r="DB23" s="272">
        <v>0</v>
      </c>
      <c r="DC23" s="272">
        <v>13710249</v>
      </c>
      <c r="DD23" s="272">
        <v>2974586</v>
      </c>
      <c r="DE23" s="272">
        <v>10722538</v>
      </c>
      <c r="DF23" s="272">
        <v>13125</v>
      </c>
      <c r="DG23" s="272">
        <v>0</v>
      </c>
      <c r="DH23" s="272">
        <v>0</v>
      </c>
      <c r="DI23" s="272">
        <v>340817</v>
      </c>
      <c r="DJ23" s="272">
        <v>200990</v>
      </c>
      <c r="DK23" s="272">
        <v>410</v>
      </c>
      <c r="DL23" s="272">
        <v>139417</v>
      </c>
      <c r="DM23" s="272">
        <v>500</v>
      </c>
      <c r="DN23" s="272">
        <v>0</v>
      </c>
      <c r="DO23" s="272">
        <v>0</v>
      </c>
      <c r="DP23" s="272">
        <v>0</v>
      </c>
      <c r="DQ23" s="272">
        <v>428800</v>
      </c>
      <c r="DR23" s="272">
        <v>300000</v>
      </c>
      <c r="DS23" s="272">
        <v>300000</v>
      </c>
      <c r="DT23" s="272">
        <v>3963145</v>
      </c>
      <c r="DU23" s="272">
        <v>1320857</v>
      </c>
      <c r="DV23" s="455">
        <f t="shared" si="11"/>
        <v>112737</v>
      </c>
      <c r="DW23" s="272">
        <v>112737</v>
      </c>
      <c r="DX23" s="272">
        <v>0</v>
      </c>
      <c r="DY23" s="272">
        <v>0</v>
      </c>
      <c r="DZ23" s="272">
        <v>975991</v>
      </c>
      <c r="EA23" s="272">
        <v>620507</v>
      </c>
      <c r="EB23" s="272">
        <v>933053</v>
      </c>
      <c r="EC23" s="272">
        <v>0</v>
      </c>
      <c r="ED23" s="272">
        <v>56809952</v>
      </c>
      <c r="EF23" s="272">
        <v>490381</v>
      </c>
      <c r="EG23" s="272">
        <v>17453</v>
      </c>
      <c r="EH23" s="272">
        <v>472928</v>
      </c>
      <c r="EI23" s="272">
        <v>90695</v>
      </c>
      <c r="EJ23" s="272">
        <v>328962</v>
      </c>
      <c r="EL23" s="272"/>
      <c r="EM23" s="272">
        <v>176362</v>
      </c>
      <c r="EN23" s="272">
        <v>3322</v>
      </c>
      <c r="EO23" s="272">
        <v>346360</v>
      </c>
      <c r="EP23" s="455">
        <f t="shared" si="12"/>
        <v>1148936</v>
      </c>
      <c r="EQ23" s="272">
        <v>32426110</v>
      </c>
      <c r="ER23" s="272">
        <v>-2923511</v>
      </c>
      <c r="ES23" s="272">
        <v>11539124</v>
      </c>
      <c r="ET23" s="272">
        <v>7891995</v>
      </c>
      <c r="EU23" s="272">
        <v>3089070</v>
      </c>
      <c r="EV23" s="272">
        <v>4795297</v>
      </c>
      <c r="EW23" s="455">
        <f t="shared" si="13"/>
        <v>1911943</v>
      </c>
      <c r="EX23" s="272">
        <v>1911943</v>
      </c>
      <c r="EY23" s="272">
        <v>209024</v>
      </c>
      <c r="EZ23" s="272">
        <v>1699956</v>
      </c>
      <c r="FA23" s="272">
        <v>0</v>
      </c>
      <c r="FB23" s="272"/>
      <c r="FC23" s="272">
        <v>5183848</v>
      </c>
      <c r="FD23" s="272">
        <v>4068373</v>
      </c>
      <c r="FE23" s="272">
        <v>1615853</v>
      </c>
      <c r="FF23" s="272">
        <v>3655752</v>
      </c>
      <c r="FG23" s="455">
        <f t="shared" si="14"/>
        <v>615833</v>
      </c>
      <c r="FH23" s="272">
        <v>34859240</v>
      </c>
      <c r="FI23" s="384">
        <f t="shared" si="15"/>
        <v>1.6</v>
      </c>
      <c r="FJ23" s="272">
        <v>29634570</v>
      </c>
      <c r="FK23" s="272">
        <v>1456786</v>
      </c>
      <c r="FL23" s="272">
        <v>16857699</v>
      </c>
      <c r="FM23" s="272">
        <v>24118741</v>
      </c>
      <c r="FN23" s="460">
        <v>0.68899999999999995</v>
      </c>
      <c r="FO23" s="388">
        <v>95.1</v>
      </c>
      <c r="FP23" s="388">
        <v>34.200000000000003</v>
      </c>
      <c r="FQ23" s="388">
        <v>9.9</v>
      </c>
      <c r="FR23" s="388">
        <v>15.3</v>
      </c>
      <c r="FS23" s="388">
        <v>14.4</v>
      </c>
      <c r="FT23" s="388">
        <v>11.7</v>
      </c>
      <c r="FU23" s="388">
        <v>8.6999999999999993</v>
      </c>
      <c r="FV23" s="388">
        <v>9.1</v>
      </c>
      <c r="FW23" s="272">
        <v>55239258</v>
      </c>
      <c r="FX23" s="384">
        <f t="shared" si="16"/>
        <v>186.4</v>
      </c>
      <c r="FY23" s="272">
        <v>9606982</v>
      </c>
      <c r="FZ23" s="272">
        <v>1705620</v>
      </c>
      <c r="GA23" s="272">
        <v>1212390</v>
      </c>
      <c r="GB23" s="272">
        <v>6688972</v>
      </c>
      <c r="GC23" s="272"/>
      <c r="GD23" s="272">
        <v>6747933</v>
      </c>
      <c r="GE23" s="384">
        <f t="shared" si="17"/>
        <v>22.8</v>
      </c>
      <c r="GF23" s="388">
        <v>97.3</v>
      </c>
      <c r="GG23" s="388">
        <v>23.5</v>
      </c>
      <c r="GH23" s="388">
        <v>91.7</v>
      </c>
      <c r="GI23" s="272">
        <v>1193</v>
      </c>
    </row>
    <row r="24" spans="2:191" x14ac:dyDescent="0.15">
      <c r="B24" s="89" t="s">
        <v>41</v>
      </c>
      <c r="C24" s="272">
        <v>22637296</v>
      </c>
      <c r="D24" s="455">
        <f t="shared" si="0"/>
        <v>9731905</v>
      </c>
      <c r="E24" s="272">
        <v>114270</v>
      </c>
      <c r="F24" s="272">
        <v>9617635</v>
      </c>
      <c r="G24" s="455">
        <f t="shared" si="1"/>
        <v>822528</v>
      </c>
      <c r="H24" s="272">
        <v>302850</v>
      </c>
      <c r="I24" s="272">
        <v>519678</v>
      </c>
      <c r="J24" s="272">
        <v>8707476</v>
      </c>
      <c r="K24" s="272">
        <v>4385185</v>
      </c>
      <c r="L24" s="272">
        <v>3638552</v>
      </c>
      <c r="M24" s="272">
        <v>639303</v>
      </c>
      <c r="N24" s="272">
        <v>1001950</v>
      </c>
      <c r="O24" s="272">
        <v>2286535</v>
      </c>
      <c r="P24" s="272">
        <v>1484527</v>
      </c>
      <c r="Q24" s="272">
        <v>802008</v>
      </c>
      <c r="R24" s="272">
        <v>277335</v>
      </c>
      <c r="S24" s="272"/>
      <c r="T24" s="455">
        <f t="shared" si="2"/>
        <v>1552209</v>
      </c>
      <c r="U24" s="272">
        <v>387921</v>
      </c>
      <c r="V24" s="272"/>
      <c r="W24" s="272"/>
      <c r="X24" s="272">
        <v>917219</v>
      </c>
      <c r="Y24" s="272">
        <v>4987</v>
      </c>
      <c r="Z24" s="272">
        <v>0</v>
      </c>
      <c r="AA24" s="272">
        <v>242082</v>
      </c>
      <c r="AB24" s="272">
        <v>989704</v>
      </c>
      <c r="AC24" s="272">
        <v>175016</v>
      </c>
      <c r="AD24" s="272">
        <v>0</v>
      </c>
      <c r="AE24" s="272">
        <v>175016</v>
      </c>
      <c r="AF24" s="272">
        <v>23849</v>
      </c>
      <c r="AG24" s="272">
        <v>189467</v>
      </c>
      <c r="AH24" s="455">
        <f t="shared" si="3"/>
        <v>1069464</v>
      </c>
      <c r="AI24" s="272">
        <v>902782</v>
      </c>
      <c r="AJ24" s="272">
        <v>166682</v>
      </c>
      <c r="AK24" s="272">
        <v>3000195</v>
      </c>
      <c r="AL24" s="455">
        <f t="shared" si="4"/>
        <v>1487789</v>
      </c>
      <c r="AM24" s="272">
        <v>854985</v>
      </c>
      <c r="AN24" s="272">
        <v>601015</v>
      </c>
      <c r="AO24" s="272">
        <v>0</v>
      </c>
      <c r="AP24" s="272">
        <v>31789</v>
      </c>
      <c r="AQ24" s="272">
        <v>354828</v>
      </c>
      <c r="AR24" s="272">
        <v>0</v>
      </c>
      <c r="AS24" s="272">
        <v>0</v>
      </c>
      <c r="AT24" s="272">
        <v>1554669</v>
      </c>
      <c r="AU24" s="272">
        <v>801903</v>
      </c>
      <c r="AV24" s="272">
        <v>145416</v>
      </c>
      <c r="AW24" s="272">
        <v>9360</v>
      </c>
      <c r="AX24" s="272">
        <v>752766</v>
      </c>
      <c r="AY24" s="272">
        <v>52524</v>
      </c>
      <c r="AZ24" s="272">
        <v>251510</v>
      </c>
      <c r="BA24" s="272">
        <v>177940</v>
      </c>
      <c r="BB24" s="272">
        <v>175633</v>
      </c>
      <c r="BC24" s="272">
        <v>4483115</v>
      </c>
      <c r="BD24" s="272">
        <v>700000</v>
      </c>
      <c r="BE24" s="272">
        <v>500000</v>
      </c>
      <c r="BF24" s="272">
        <v>2967327</v>
      </c>
      <c r="BG24" s="272">
        <v>0</v>
      </c>
      <c r="BH24" s="272">
        <v>1098190</v>
      </c>
      <c r="BI24" s="272">
        <v>188342</v>
      </c>
      <c r="BJ24" s="272">
        <v>7289154</v>
      </c>
      <c r="BK24" s="272">
        <v>6032593</v>
      </c>
      <c r="BL24" s="272">
        <v>8116</v>
      </c>
      <c r="BM24" s="272">
        <v>600000</v>
      </c>
      <c r="BN24" s="272">
        <v>3632957</v>
      </c>
      <c r="BO24" s="455">
        <f t="shared" si="5"/>
        <v>2196257</v>
      </c>
      <c r="BP24" s="455">
        <f t="shared" si="6"/>
        <v>1436700</v>
      </c>
      <c r="BQ24" s="272">
        <v>353400</v>
      </c>
      <c r="BR24" s="272">
        <v>0</v>
      </c>
      <c r="BS24" s="272">
        <v>1083300</v>
      </c>
      <c r="BT24" s="272">
        <v>0</v>
      </c>
      <c r="BU24" s="272">
        <v>48399763</v>
      </c>
      <c r="BV24" s="272"/>
      <c r="BW24" s="272">
        <v>11302520</v>
      </c>
      <c r="BX24" s="272">
        <v>7895553</v>
      </c>
      <c r="BY24" s="272">
        <v>995281</v>
      </c>
      <c r="BZ24" s="272">
        <v>636340</v>
      </c>
      <c r="CA24" s="272">
        <v>2978533</v>
      </c>
      <c r="CB24" s="272">
        <v>473988</v>
      </c>
      <c r="CC24" s="272">
        <v>326783</v>
      </c>
      <c r="CD24" s="272">
        <v>978842</v>
      </c>
      <c r="CE24" s="272">
        <v>1141739</v>
      </c>
      <c r="CF24" s="272">
        <v>0</v>
      </c>
      <c r="CG24" s="272">
        <v>57181</v>
      </c>
      <c r="CH24" s="272">
        <v>3751344</v>
      </c>
      <c r="CI24" s="272">
        <v>2803607</v>
      </c>
      <c r="CJ24" s="455">
        <f t="shared" si="7"/>
        <v>947737</v>
      </c>
      <c r="CK24" s="272">
        <v>6906128</v>
      </c>
      <c r="CL24" s="272">
        <v>4222861</v>
      </c>
      <c r="CM24" s="272">
        <v>313174</v>
      </c>
      <c r="CN24" s="272">
        <v>1397946</v>
      </c>
      <c r="CO24" s="272">
        <v>295602</v>
      </c>
      <c r="CP24" s="272">
        <v>2902600</v>
      </c>
      <c r="CQ24" s="272">
        <v>85054</v>
      </c>
      <c r="CR24" s="272">
        <v>1355509</v>
      </c>
      <c r="CS24" s="272">
        <v>1270457</v>
      </c>
      <c r="CT24" s="455">
        <f t="shared" si="8"/>
        <v>980036</v>
      </c>
      <c r="CU24" s="272">
        <v>845512</v>
      </c>
      <c r="CV24" s="272">
        <v>134524</v>
      </c>
      <c r="CW24" s="455">
        <f t="shared" si="9"/>
        <v>912097</v>
      </c>
      <c r="CX24" s="272">
        <v>836942</v>
      </c>
      <c r="CY24" s="272">
        <v>75155</v>
      </c>
      <c r="CZ24" s="455">
        <f t="shared" si="10"/>
        <v>0</v>
      </c>
      <c r="DA24" s="272">
        <v>0</v>
      </c>
      <c r="DB24" s="272">
        <v>0</v>
      </c>
      <c r="DC24" s="272">
        <v>8126557</v>
      </c>
      <c r="DD24" s="272">
        <v>1171411</v>
      </c>
      <c r="DE24" s="272">
        <v>6955146</v>
      </c>
      <c r="DF24" s="272">
        <v>0</v>
      </c>
      <c r="DG24" s="272">
        <v>0</v>
      </c>
      <c r="DH24" s="272">
        <v>118486</v>
      </c>
      <c r="DI24" s="272">
        <v>108523</v>
      </c>
      <c r="DJ24" s="272">
        <v>4904</v>
      </c>
      <c r="DK24" s="272">
        <v>1221</v>
      </c>
      <c r="DL24" s="272">
        <v>102398</v>
      </c>
      <c r="DM24" s="272">
        <v>226430</v>
      </c>
      <c r="DN24" s="272">
        <v>221430</v>
      </c>
      <c r="DO24" s="272">
        <v>820</v>
      </c>
      <c r="DP24" s="272">
        <v>220610</v>
      </c>
      <c r="DQ24" s="272">
        <v>6027519</v>
      </c>
      <c r="DR24" s="272">
        <v>6389</v>
      </c>
      <c r="DS24" s="272">
        <v>0</v>
      </c>
      <c r="DT24" s="272">
        <v>3763244</v>
      </c>
      <c r="DU24" s="272">
        <v>1140264</v>
      </c>
      <c r="DV24" s="455">
        <f t="shared" si="11"/>
        <v>0</v>
      </c>
      <c r="DW24" s="272">
        <v>0</v>
      </c>
      <c r="DX24" s="272">
        <v>0</v>
      </c>
      <c r="DY24" s="272">
        <v>0</v>
      </c>
      <c r="DZ24" s="272">
        <v>899215</v>
      </c>
      <c r="EA24" s="272">
        <v>504117</v>
      </c>
      <c r="EB24" s="272">
        <v>572510</v>
      </c>
      <c r="EC24" s="272">
        <v>0</v>
      </c>
      <c r="ED24" s="272">
        <v>46507486</v>
      </c>
      <c r="EF24" s="272">
        <v>1892277</v>
      </c>
      <c r="EG24" s="272">
        <v>1002628</v>
      </c>
      <c r="EH24" s="272">
        <v>889649</v>
      </c>
      <c r="EI24" s="272">
        <v>201307</v>
      </c>
      <c r="EJ24" s="272">
        <v>-493789</v>
      </c>
      <c r="EL24" s="272"/>
      <c r="EM24" s="272">
        <v>121847</v>
      </c>
      <c r="EN24" s="272">
        <v>1826098</v>
      </c>
      <c r="EO24" s="272">
        <v>139388</v>
      </c>
      <c r="EP24" s="455">
        <f t="shared" si="12"/>
        <v>1878245</v>
      </c>
      <c r="EQ24" s="272">
        <v>25655409</v>
      </c>
      <c r="ER24" s="272">
        <v>-5256582</v>
      </c>
      <c r="ES24" s="272">
        <v>10629553</v>
      </c>
      <c r="ET24" s="272">
        <v>7344812</v>
      </c>
      <c r="EU24" s="272">
        <v>881031</v>
      </c>
      <c r="EV24" s="272">
        <v>3677404</v>
      </c>
      <c r="EW24" s="455">
        <f t="shared" si="13"/>
        <v>2811365</v>
      </c>
      <c r="EX24" s="272">
        <v>2787509</v>
      </c>
      <c r="EY24" s="272">
        <v>170028</v>
      </c>
      <c r="EZ24" s="272">
        <v>2617481</v>
      </c>
      <c r="FA24" s="272">
        <v>23856</v>
      </c>
      <c r="FB24" s="272"/>
      <c r="FC24" s="272">
        <v>4794728</v>
      </c>
      <c r="FD24" s="272">
        <v>2537442</v>
      </c>
      <c r="FE24" s="272">
        <v>85054</v>
      </c>
      <c r="FF24" s="272">
        <v>3098387</v>
      </c>
      <c r="FG24" s="455">
        <f t="shared" si="14"/>
        <v>591355</v>
      </c>
      <c r="FH24" s="272">
        <v>29021265</v>
      </c>
      <c r="FI24" s="384">
        <f t="shared" si="15"/>
        <v>3.7</v>
      </c>
      <c r="FJ24" s="272">
        <v>23728226</v>
      </c>
      <c r="FK24" s="272">
        <v>1083380</v>
      </c>
      <c r="FL24" s="272">
        <v>17870627</v>
      </c>
      <c r="FM24" s="272">
        <v>17555137</v>
      </c>
      <c r="FN24" s="460">
        <v>1.0109999999999999</v>
      </c>
      <c r="FO24" s="388">
        <v>94.2</v>
      </c>
      <c r="FP24" s="388">
        <v>41.2</v>
      </c>
      <c r="FQ24" s="388">
        <v>3.5</v>
      </c>
      <c r="FR24" s="388">
        <v>14.8</v>
      </c>
      <c r="FS24" s="388">
        <v>17.7</v>
      </c>
      <c r="FT24" s="388">
        <v>8.3000000000000007</v>
      </c>
      <c r="FU24" s="388">
        <v>7.5</v>
      </c>
      <c r="FV24" s="388">
        <v>9.3000000000000007</v>
      </c>
      <c r="FW24" s="272">
        <v>30925443</v>
      </c>
      <c r="FX24" s="384">
        <f t="shared" si="16"/>
        <v>130.30000000000001</v>
      </c>
      <c r="FY24" s="272">
        <v>20754460</v>
      </c>
      <c r="FZ24" s="272">
        <v>6438438</v>
      </c>
      <c r="GA24" s="272">
        <v>2655009</v>
      </c>
      <c r="GB24" s="272">
        <v>11661013</v>
      </c>
      <c r="GC24" s="272"/>
      <c r="GD24" s="272">
        <v>9341378</v>
      </c>
      <c r="GE24" s="384">
        <f t="shared" si="17"/>
        <v>39.4</v>
      </c>
      <c r="GF24" s="388">
        <v>97.7</v>
      </c>
      <c r="GG24" s="388">
        <v>21.8</v>
      </c>
      <c r="GH24" s="388">
        <v>92.7</v>
      </c>
      <c r="GI24" s="272">
        <v>1104</v>
      </c>
    </row>
    <row r="25" spans="2:191" x14ac:dyDescent="0.15">
      <c r="B25" s="89" t="s">
        <v>43</v>
      </c>
      <c r="C25" s="272">
        <v>9561957</v>
      </c>
      <c r="D25" s="455">
        <f t="shared" si="0"/>
        <v>3313305</v>
      </c>
      <c r="E25" s="272">
        <v>67357</v>
      </c>
      <c r="F25" s="272">
        <v>3245948</v>
      </c>
      <c r="G25" s="455">
        <f t="shared" si="1"/>
        <v>618974</v>
      </c>
      <c r="H25" s="272">
        <v>120187</v>
      </c>
      <c r="I25" s="272">
        <v>498787</v>
      </c>
      <c r="J25" s="272">
        <v>4247688</v>
      </c>
      <c r="K25" s="272">
        <v>1990413</v>
      </c>
      <c r="L25" s="272">
        <v>1528954</v>
      </c>
      <c r="M25" s="272">
        <v>695163</v>
      </c>
      <c r="N25" s="272">
        <v>392414</v>
      </c>
      <c r="O25" s="272">
        <v>930908</v>
      </c>
      <c r="P25" s="272">
        <v>592521</v>
      </c>
      <c r="Q25" s="272">
        <v>338387</v>
      </c>
      <c r="R25" s="272">
        <v>163720</v>
      </c>
      <c r="S25" s="272"/>
      <c r="T25" s="455">
        <f t="shared" si="2"/>
        <v>884994</v>
      </c>
      <c r="U25" s="272">
        <v>147361</v>
      </c>
      <c r="V25" s="272"/>
      <c r="W25" s="272"/>
      <c r="X25" s="272">
        <v>594684</v>
      </c>
      <c r="Y25" s="272">
        <v>0</v>
      </c>
      <c r="Z25" s="272">
        <v>0</v>
      </c>
      <c r="AA25" s="272">
        <v>142949</v>
      </c>
      <c r="AB25" s="272">
        <v>344323</v>
      </c>
      <c r="AC25" s="272">
        <v>5065617</v>
      </c>
      <c r="AD25" s="272">
        <v>4682569</v>
      </c>
      <c r="AE25" s="272">
        <v>383048</v>
      </c>
      <c r="AF25" s="272">
        <v>14429</v>
      </c>
      <c r="AG25" s="272">
        <v>179456</v>
      </c>
      <c r="AH25" s="455">
        <f t="shared" si="3"/>
        <v>457767</v>
      </c>
      <c r="AI25" s="272">
        <v>375640</v>
      </c>
      <c r="AJ25" s="272">
        <v>82127</v>
      </c>
      <c r="AK25" s="272">
        <v>2506872</v>
      </c>
      <c r="AL25" s="455">
        <f t="shared" si="4"/>
        <v>1604766</v>
      </c>
      <c r="AM25" s="272">
        <v>1034455</v>
      </c>
      <c r="AN25" s="272">
        <v>559611</v>
      </c>
      <c r="AO25" s="272">
        <v>0</v>
      </c>
      <c r="AP25" s="272">
        <v>10700</v>
      </c>
      <c r="AQ25" s="272">
        <v>405189</v>
      </c>
      <c r="AR25" s="272">
        <v>0</v>
      </c>
      <c r="AS25" s="272">
        <v>0</v>
      </c>
      <c r="AT25" s="272">
        <v>922047</v>
      </c>
      <c r="AU25" s="272">
        <v>482386</v>
      </c>
      <c r="AV25" s="272">
        <v>173829</v>
      </c>
      <c r="AW25" s="272">
        <v>14398</v>
      </c>
      <c r="AX25" s="272">
        <v>439661</v>
      </c>
      <c r="AY25" s="272">
        <v>27042</v>
      </c>
      <c r="AZ25" s="272">
        <v>40143</v>
      </c>
      <c r="BA25" s="272">
        <v>1239</v>
      </c>
      <c r="BB25" s="272">
        <v>83802</v>
      </c>
      <c r="BC25" s="272">
        <v>1330237</v>
      </c>
      <c r="BD25" s="272">
        <v>818000</v>
      </c>
      <c r="BE25" s="272">
        <v>33839</v>
      </c>
      <c r="BF25" s="272">
        <v>463398</v>
      </c>
      <c r="BG25" s="272">
        <v>0</v>
      </c>
      <c r="BH25" s="272">
        <v>206153</v>
      </c>
      <c r="BI25" s="272">
        <v>11102</v>
      </c>
      <c r="BJ25" s="272">
        <v>1096271</v>
      </c>
      <c r="BK25" s="272">
        <v>919493</v>
      </c>
      <c r="BL25" s="272">
        <v>0</v>
      </c>
      <c r="BM25" s="272">
        <v>0</v>
      </c>
      <c r="BN25" s="272">
        <v>1296960</v>
      </c>
      <c r="BO25" s="455">
        <f t="shared" si="5"/>
        <v>426060</v>
      </c>
      <c r="BP25" s="455">
        <f t="shared" si="6"/>
        <v>870900</v>
      </c>
      <c r="BQ25" s="272">
        <v>127000</v>
      </c>
      <c r="BR25" s="272">
        <v>0</v>
      </c>
      <c r="BS25" s="272">
        <v>743900</v>
      </c>
      <c r="BT25" s="272">
        <v>0</v>
      </c>
      <c r="BU25" s="272">
        <v>24154748</v>
      </c>
      <c r="BV25" s="272"/>
      <c r="BW25" s="272">
        <v>4683862</v>
      </c>
      <c r="BX25" s="272">
        <v>3415257</v>
      </c>
      <c r="BY25" s="272">
        <v>293104</v>
      </c>
      <c r="BZ25" s="272">
        <v>99627</v>
      </c>
      <c r="CA25" s="272">
        <v>3800111</v>
      </c>
      <c r="CB25" s="272">
        <v>514026</v>
      </c>
      <c r="CC25" s="272">
        <v>284824</v>
      </c>
      <c r="CD25" s="272">
        <v>1381528</v>
      </c>
      <c r="CE25" s="272">
        <v>1395301</v>
      </c>
      <c r="CF25" s="272">
        <v>118359</v>
      </c>
      <c r="CG25" s="272">
        <v>105947</v>
      </c>
      <c r="CH25" s="272">
        <v>2166562</v>
      </c>
      <c r="CI25" s="272">
        <v>1620564</v>
      </c>
      <c r="CJ25" s="455">
        <f t="shared" si="7"/>
        <v>545998</v>
      </c>
      <c r="CK25" s="272">
        <v>2702379</v>
      </c>
      <c r="CL25" s="272">
        <v>1537739</v>
      </c>
      <c r="CM25" s="272">
        <v>128597</v>
      </c>
      <c r="CN25" s="272">
        <v>456153</v>
      </c>
      <c r="CO25" s="272">
        <v>177366</v>
      </c>
      <c r="CP25" s="272">
        <v>4259789</v>
      </c>
      <c r="CQ25" s="272">
        <v>2415065</v>
      </c>
      <c r="CR25" s="272">
        <v>525103</v>
      </c>
      <c r="CS25" s="272">
        <v>256971</v>
      </c>
      <c r="CT25" s="455">
        <f t="shared" si="8"/>
        <v>1023726</v>
      </c>
      <c r="CU25" s="272">
        <v>323380</v>
      </c>
      <c r="CV25" s="272">
        <v>700346</v>
      </c>
      <c r="CW25" s="455">
        <f t="shared" si="9"/>
        <v>1021614</v>
      </c>
      <c r="CX25" s="272">
        <v>321373</v>
      </c>
      <c r="CY25" s="272">
        <v>700241</v>
      </c>
      <c r="CZ25" s="455">
        <f t="shared" si="10"/>
        <v>0</v>
      </c>
      <c r="DA25" s="272">
        <v>0</v>
      </c>
      <c r="DB25" s="272">
        <v>0</v>
      </c>
      <c r="DC25" s="272">
        <v>2304482</v>
      </c>
      <c r="DD25" s="272">
        <v>1040492</v>
      </c>
      <c r="DE25" s="272">
        <v>1257560</v>
      </c>
      <c r="DF25" s="272">
        <v>0</v>
      </c>
      <c r="DG25" s="272">
        <v>6430</v>
      </c>
      <c r="DH25" s="272">
        <v>0</v>
      </c>
      <c r="DI25" s="272">
        <v>110220</v>
      </c>
      <c r="DJ25" s="272">
        <v>8495</v>
      </c>
      <c r="DK25" s="272">
        <v>515</v>
      </c>
      <c r="DL25" s="272">
        <v>101210</v>
      </c>
      <c r="DM25" s="272">
        <v>0</v>
      </c>
      <c r="DN25" s="272">
        <v>0</v>
      </c>
      <c r="DO25" s="272">
        <v>0</v>
      </c>
      <c r="DP25" s="272">
        <v>0</v>
      </c>
      <c r="DQ25" s="272">
        <v>917099</v>
      </c>
      <c r="DR25" s="272">
        <v>0</v>
      </c>
      <c r="DS25" s="272">
        <v>0</v>
      </c>
      <c r="DT25" s="272">
        <v>2919510</v>
      </c>
      <c r="DU25" s="272">
        <v>1405000</v>
      </c>
      <c r="DV25" s="455">
        <f t="shared" si="11"/>
        <v>0</v>
      </c>
      <c r="DW25" s="272">
        <v>0</v>
      </c>
      <c r="DX25" s="272">
        <v>0</v>
      </c>
      <c r="DY25" s="272">
        <v>0</v>
      </c>
      <c r="DZ25" s="272">
        <v>705840</v>
      </c>
      <c r="EA25" s="272">
        <v>315922</v>
      </c>
      <c r="EB25" s="272">
        <v>452123</v>
      </c>
      <c r="EC25" s="272">
        <v>0</v>
      </c>
      <c r="ED25" s="272">
        <v>24041380</v>
      </c>
      <c r="EF25" s="272">
        <v>113368</v>
      </c>
      <c r="EG25" s="272">
        <v>18284</v>
      </c>
      <c r="EH25" s="272">
        <v>95084</v>
      </c>
      <c r="EI25" s="272">
        <v>70982</v>
      </c>
      <c r="EJ25" s="272">
        <v>-738523</v>
      </c>
      <c r="EL25" s="272"/>
      <c r="EM25" s="272">
        <v>76881</v>
      </c>
      <c r="EN25" s="272">
        <v>866839</v>
      </c>
      <c r="EO25" s="272">
        <v>7045</v>
      </c>
      <c r="EP25" s="455">
        <f t="shared" si="12"/>
        <v>409466</v>
      </c>
      <c r="EQ25" s="272">
        <v>16035040</v>
      </c>
      <c r="ER25" s="272">
        <v>-2139821</v>
      </c>
      <c r="ES25" s="272">
        <v>4322597</v>
      </c>
      <c r="ET25" s="272">
        <v>3059579</v>
      </c>
      <c r="EU25" s="272">
        <v>1437331</v>
      </c>
      <c r="EV25" s="272">
        <v>2105048</v>
      </c>
      <c r="EW25" s="455">
        <f t="shared" si="13"/>
        <v>860802</v>
      </c>
      <c r="EX25" s="272">
        <v>860802</v>
      </c>
      <c r="EY25" s="272">
        <v>36768</v>
      </c>
      <c r="EZ25" s="272">
        <v>824034</v>
      </c>
      <c r="FA25" s="272">
        <v>0</v>
      </c>
      <c r="FB25" s="272"/>
      <c r="FC25" s="272">
        <v>2233150</v>
      </c>
      <c r="FD25" s="272">
        <v>4155557</v>
      </c>
      <c r="FE25" s="272">
        <v>2415065</v>
      </c>
      <c r="FF25" s="272">
        <v>2695047</v>
      </c>
      <c r="FG25" s="455">
        <f t="shared" si="14"/>
        <v>251961</v>
      </c>
      <c r="FH25" s="272">
        <v>18061493</v>
      </c>
      <c r="FI25" s="384">
        <f t="shared" si="15"/>
        <v>0.6</v>
      </c>
      <c r="FJ25" s="272">
        <v>14787731</v>
      </c>
      <c r="FK25" s="272">
        <v>743905</v>
      </c>
      <c r="FL25" s="272">
        <v>7622144</v>
      </c>
      <c r="FM25" s="272">
        <v>12293615</v>
      </c>
      <c r="FN25" s="460">
        <v>0.629</v>
      </c>
      <c r="FO25" s="388">
        <v>95.7</v>
      </c>
      <c r="FP25" s="388">
        <v>27.3</v>
      </c>
      <c r="FQ25" s="388">
        <v>9.1</v>
      </c>
      <c r="FR25" s="388">
        <v>13.4</v>
      </c>
      <c r="FS25" s="388">
        <v>13.7</v>
      </c>
      <c r="FT25" s="388">
        <v>19.3</v>
      </c>
      <c r="FU25" s="388">
        <v>11.7</v>
      </c>
      <c r="FV25" s="388">
        <v>6.9</v>
      </c>
      <c r="FW25" s="272">
        <v>18701005</v>
      </c>
      <c r="FX25" s="384">
        <f t="shared" si="16"/>
        <v>126.5</v>
      </c>
      <c r="FY25" s="272">
        <v>5920189</v>
      </c>
      <c r="FZ25" s="272">
        <v>1654550</v>
      </c>
      <c r="GA25" s="272">
        <v>86436</v>
      </c>
      <c r="GB25" s="272">
        <v>4179203</v>
      </c>
      <c r="GC25" s="272"/>
      <c r="GD25" s="272">
        <v>1404910</v>
      </c>
      <c r="GE25" s="384">
        <f t="shared" si="17"/>
        <v>9.5</v>
      </c>
      <c r="GF25" s="388">
        <v>97.1</v>
      </c>
      <c r="GG25" s="388">
        <v>21.8</v>
      </c>
      <c r="GH25" s="388">
        <v>89.1</v>
      </c>
      <c r="GI25" s="272">
        <v>452</v>
      </c>
    </row>
    <row r="26" spans="2:191" x14ac:dyDescent="0.15">
      <c r="B26" s="89" t="s">
        <v>45</v>
      </c>
      <c r="C26" s="272">
        <v>13299703</v>
      </c>
      <c r="D26" s="455">
        <f t="shared" si="0"/>
        <v>5267859</v>
      </c>
      <c r="E26" s="272">
        <v>105599</v>
      </c>
      <c r="F26" s="272">
        <v>5162260</v>
      </c>
      <c r="G26" s="455">
        <f t="shared" si="1"/>
        <v>758440</v>
      </c>
      <c r="H26" s="272">
        <v>161480</v>
      </c>
      <c r="I26" s="272">
        <v>596960</v>
      </c>
      <c r="J26" s="272">
        <v>5297036</v>
      </c>
      <c r="K26" s="272">
        <v>2625265</v>
      </c>
      <c r="L26" s="272">
        <v>2170921</v>
      </c>
      <c r="M26" s="272">
        <v>462040</v>
      </c>
      <c r="N26" s="272">
        <v>598725</v>
      </c>
      <c r="O26" s="272">
        <v>1255036</v>
      </c>
      <c r="P26" s="272">
        <v>789655</v>
      </c>
      <c r="Q26" s="272">
        <v>465381</v>
      </c>
      <c r="R26" s="272">
        <v>236093</v>
      </c>
      <c r="S26" s="272"/>
      <c r="T26" s="455">
        <f t="shared" si="2"/>
        <v>1280367</v>
      </c>
      <c r="U26" s="272">
        <v>230868</v>
      </c>
      <c r="V26" s="272"/>
      <c r="W26" s="272"/>
      <c r="X26" s="272">
        <v>843223</v>
      </c>
      <c r="Y26" s="272">
        <v>0</v>
      </c>
      <c r="Z26" s="272">
        <v>0</v>
      </c>
      <c r="AA26" s="272">
        <v>206276</v>
      </c>
      <c r="AB26" s="272">
        <v>535593</v>
      </c>
      <c r="AC26" s="272">
        <v>8025770</v>
      </c>
      <c r="AD26" s="272">
        <v>7621764</v>
      </c>
      <c r="AE26" s="272">
        <v>404006</v>
      </c>
      <c r="AF26" s="272">
        <v>21490</v>
      </c>
      <c r="AG26" s="272">
        <v>238287</v>
      </c>
      <c r="AH26" s="455">
        <f t="shared" si="3"/>
        <v>608720</v>
      </c>
      <c r="AI26" s="272">
        <v>576029</v>
      </c>
      <c r="AJ26" s="272">
        <v>32691</v>
      </c>
      <c r="AK26" s="272">
        <v>3958580</v>
      </c>
      <c r="AL26" s="455">
        <f t="shared" si="4"/>
        <v>2487080</v>
      </c>
      <c r="AM26" s="272">
        <v>2035238</v>
      </c>
      <c r="AN26" s="272">
        <v>442942</v>
      </c>
      <c r="AO26" s="272">
        <v>0</v>
      </c>
      <c r="AP26" s="272">
        <v>8900</v>
      </c>
      <c r="AQ26" s="272">
        <v>210288</v>
      </c>
      <c r="AR26" s="272">
        <v>0</v>
      </c>
      <c r="AS26" s="272">
        <v>0</v>
      </c>
      <c r="AT26" s="272">
        <v>1932181</v>
      </c>
      <c r="AU26" s="272">
        <v>1135007</v>
      </c>
      <c r="AV26" s="272">
        <v>221302</v>
      </c>
      <c r="AW26" s="272">
        <v>269575</v>
      </c>
      <c r="AX26" s="272">
        <v>797174</v>
      </c>
      <c r="AY26" s="272">
        <v>181904</v>
      </c>
      <c r="AZ26" s="272">
        <v>382125</v>
      </c>
      <c r="BA26" s="272">
        <v>364738</v>
      </c>
      <c r="BB26" s="272">
        <v>74551</v>
      </c>
      <c r="BC26" s="272">
        <v>1032023</v>
      </c>
      <c r="BD26" s="272">
        <v>250000</v>
      </c>
      <c r="BE26" s="272">
        <v>14000</v>
      </c>
      <c r="BF26" s="272">
        <v>1196</v>
      </c>
      <c r="BG26" s="272">
        <v>512487</v>
      </c>
      <c r="BH26" s="272">
        <v>0</v>
      </c>
      <c r="BI26" s="272">
        <v>0</v>
      </c>
      <c r="BJ26" s="272">
        <v>416686</v>
      </c>
      <c r="BK26" s="272">
        <v>28481</v>
      </c>
      <c r="BL26" s="272">
        <v>0</v>
      </c>
      <c r="BM26" s="272">
        <v>0</v>
      </c>
      <c r="BN26" s="272">
        <v>2763400</v>
      </c>
      <c r="BO26" s="455">
        <f t="shared" si="5"/>
        <v>1479200</v>
      </c>
      <c r="BP26" s="455">
        <f t="shared" si="6"/>
        <v>1284200</v>
      </c>
      <c r="BQ26" s="272">
        <v>197000</v>
      </c>
      <c r="BR26" s="272">
        <v>0</v>
      </c>
      <c r="BS26" s="272">
        <v>1087200</v>
      </c>
      <c r="BT26" s="272">
        <v>0</v>
      </c>
      <c r="BU26" s="272">
        <v>34805569</v>
      </c>
      <c r="BV26" s="272"/>
      <c r="BW26" s="272">
        <v>7405100</v>
      </c>
      <c r="BX26" s="272">
        <v>5158789</v>
      </c>
      <c r="BY26" s="272">
        <v>982145</v>
      </c>
      <c r="BZ26" s="272">
        <v>80209</v>
      </c>
      <c r="CA26" s="272">
        <v>6570708</v>
      </c>
      <c r="CB26" s="272">
        <v>1079685</v>
      </c>
      <c r="CC26" s="272">
        <v>802192</v>
      </c>
      <c r="CD26" s="272">
        <v>1884070</v>
      </c>
      <c r="CE26" s="272">
        <v>2694934</v>
      </c>
      <c r="CF26" s="272">
        <v>0</v>
      </c>
      <c r="CG26" s="272">
        <v>109512</v>
      </c>
      <c r="CH26" s="272">
        <v>4550259</v>
      </c>
      <c r="CI26" s="272">
        <v>3328120</v>
      </c>
      <c r="CJ26" s="455">
        <f t="shared" si="7"/>
        <v>1222139</v>
      </c>
      <c r="CK26" s="272">
        <v>4155433</v>
      </c>
      <c r="CL26" s="272">
        <v>2348106</v>
      </c>
      <c r="CM26" s="272">
        <v>436580</v>
      </c>
      <c r="CN26" s="272">
        <v>715610</v>
      </c>
      <c r="CO26" s="272">
        <v>121925</v>
      </c>
      <c r="CP26" s="272">
        <v>4690879</v>
      </c>
      <c r="CQ26" s="272">
        <v>2840851</v>
      </c>
      <c r="CR26" s="272">
        <v>1197170</v>
      </c>
      <c r="CS26" s="272">
        <v>1075588</v>
      </c>
      <c r="CT26" s="455">
        <f t="shared" si="8"/>
        <v>10767</v>
      </c>
      <c r="CU26" s="272">
        <v>5580</v>
      </c>
      <c r="CV26" s="272">
        <v>5187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3297433</v>
      </c>
      <c r="DD26" s="272">
        <v>985673</v>
      </c>
      <c r="DE26" s="272">
        <v>2110058</v>
      </c>
      <c r="DF26" s="272">
        <v>73904</v>
      </c>
      <c r="DG26" s="272">
        <v>127798</v>
      </c>
      <c r="DH26" s="272">
        <v>0</v>
      </c>
      <c r="DI26" s="272">
        <v>254940</v>
      </c>
      <c r="DJ26" s="272">
        <v>201476</v>
      </c>
      <c r="DK26" s="272">
        <v>431</v>
      </c>
      <c r="DL26" s="272">
        <v>53033</v>
      </c>
      <c r="DM26" s="272">
        <v>0</v>
      </c>
      <c r="DN26" s="272">
        <v>0</v>
      </c>
      <c r="DO26" s="272">
        <v>0</v>
      </c>
      <c r="DP26" s="272">
        <v>0</v>
      </c>
      <c r="DQ26" s="272">
        <v>0</v>
      </c>
      <c r="DR26" s="272">
        <v>0</v>
      </c>
      <c r="DS26" s="272">
        <v>0</v>
      </c>
      <c r="DT26" s="272">
        <v>4064543</v>
      </c>
      <c r="DU26" s="272">
        <v>1700063</v>
      </c>
      <c r="DV26" s="455">
        <f t="shared" si="11"/>
        <v>0</v>
      </c>
      <c r="DW26" s="272">
        <v>0</v>
      </c>
      <c r="DX26" s="272">
        <v>0</v>
      </c>
      <c r="DY26" s="272">
        <v>0</v>
      </c>
      <c r="DZ26" s="272">
        <v>947180</v>
      </c>
      <c r="EA26" s="272">
        <v>542070</v>
      </c>
      <c r="EB26" s="272">
        <v>760728</v>
      </c>
      <c r="EC26" s="272">
        <v>707008</v>
      </c>
      <c r="ED26" s="272">
        <v>35818228</v>
      </c>
      <c r="EF26" s="272">
        <v>-1012659</v>
      </c>
      <c r="EG26" s="272">
        <v>74169</v>
      </c>
      <c r="EH26" s="272">
        <v>-1086828</v>
      </c>
      <c r="EI26" s="272">
        <v>-254886</v>
      </c>
      <c r="EJ26" s="272">
        <v>209077</v>
      </c>
      <c r="EL26" s="272"/>
      <c r="EM26" s="272">
        <v>120774</v>
      </c>
      <c r="EN26" s="272">
        <v>1030827</v>
      </c>
      <c r="EO26" s="272">
        <v>267065</v>
      </c>
      <c r="EP26" s="455">
        <f t="shared" si="12"/>
        <v>475180</v>
      </c>
      <c r="EQ26" s="272">
        <v>23399016</v>
      </c>
      <c r="ER26" s="272">
        <v>-3035782</v>
      </c>
      <c r="ES26" s="272">
        <v>6739452</v>
      </c>
      <c r="ET26" s="272">
        <v>4598123</v>
      </c>
      <c r="EU26" s="272">
        <v>2427387</v>
      </c>
      <c r="EV26" s="272">
        <v>4289375</v>
      </c>
      <c r="EW26" s="455">
        <f t="shared" si="13"/>
        <v>1017530</v>
      </c>
      <c r="EX26" s="272">
        <v>1017530</v>
      </c>
      <c r="EY26" s="272">
        <v>25184</v>
      </c>
      <c r="EZ26" s="272">
        <v>967042</v>
      </c>
      <c r="FA26" s="272">
        <v>0</v>
      </c>
      <c r="FB26" s="272"/>
      <c r="FC26" s="272">
        <v>3563206</v>
      </c>
      <c r="FD26" s="272">
        <v>4536211</v>
      </c>
      <c r="FE26" s="272">
        <v>2840851</v>
      </c>
      <c r="FF26" s="272">
        <v>3808219</v>
      </c>
      <c r="FG26" s="455">
        <f t="shared" si="14"/>
        <v>1066077</v>
      </c>
      <c r="FH26" s="272">
        <v>27447457</v>
      </c>
      <c r="FI26" s="384">
        <f t="shared" si="15"/>
        <v>-4.9000000000000004</v>
      </c>
      <c r="FJ26" s="272">
        <v>21985891</v>
      </c>
      <c r="FK26" s="272">
        <v>1087247</v>
      </c>
      <c r="FL26" s="272">
        <v>10837376</v>
      </c>
      <c r="FM26" s="272">
        <v>18468169</v>
      </c>
      <c r="FN26" s="460">
        <v>0.60899999999999999</v>
      </c>
      <c r="FO26" s="388">
        <v>96</v>
      </c>
      <c r="FP26" s="388">
        <v>27.1</v>
      </c>
      <c r="FQ26" s="388">
        <v>10.5</v>
      </c>
      <c r="FR26" s="388">
        <v>16.3</v>
      </c>
      <c r="FS26" s="388">
        <v>14.3</v>
      </c>
      <c r="FT26" s="388">
        <v>16.399999999999999</v>
      </c>
      <c r="FU26" s="388">
        <v>10.9</v>
      </c>
      <c r="FV26" s="388">
        <v>8.5</v>
      </c>
      <c r="FW26" s="272">
        <v>48195300</v>
      </c>
      <c r="FX26" s="384">
        <f t="shared" si="16"/>
        <v>219.2</v>
      </c>
      <c r="FY26" s="272">
        <v>1802692</v>
      </c>
      <c r="FZ26" s="272">
        <v>736927</v>
      </c>
      <c r="GA26" s="272">
        <v>225293</v>
      </c>
      <c r="GB26" s="272">
        <v>840472</v>
      </c>
      <c r="GC26" s="272"/>
      <c r="GD26" s="272">
        <v>9995141</v>
      </c>
      <c r="GE26" s="384">
        <f t="shared" si="17"/>
        <v>45.5</v>
      </c>
      <c r="GF26" s="388">
        <v>97.8</v>
      </c>
      <c r="GG26" s="388">
        <v>23.1</v>
      </c>
      <c r="GH26" s="388">
        <v>93.2</v>
      </c>
      <c r="GI26" s="272">
        <v>694</v>
      </c>
    </row>
    <row r="27" spans="2:191" x14ac:dyDescent="0.15">
      <c r="B27" s="89" t="s">
        <v>47</v>
      </c>
      <c r="C27" s="272">
        <v>20123114</v>
      </c>
      <c r="D27" s="455">
        <f t="shared" si="0"/>
        <v>4843536</v>
      </c>
      <c r="E27" s="272">
        <v>120646</v>
      </c>
      <c r="F27" s="272">
        <v>4722890</v>
      </c>
      <c r="G27" s="455">
        <f t="shared" si="1"/>
        <v>1409403</v>
      </c>
      <c r="H27" s="272">
        <v>414698</v>
      </c>
      <c r="I27" s="272">
        <v>994705</v>
      </c>
      <c r="J27" s="272">
        <v>10471924</v>
      </c>
      <c r="K27" s="272">
        <v>5527556</v>
      </c>
      <c r="L27" s="272">
        <v>3416501</v>
      </c>
      <c r="M27" s="272">
        <v>1417508</v>
      </c>
      <c r="N27" s="272">
        <v>1087230</v>
      </c>
      <c r="O27" s="272">
        <v>2224005</v>
      </c>
      <c r="P27" s="272">
        <v>1456220</v>
      </c>
      <c r="Q27" s="272">
        <v>767785</v>
      </c>
      <c r="R27" s="272">
        <v>245870</v>
      </c>
      <c r="S27" s="272"/>
      <c r="T27" s="455">
        <f t="shared" si="2"/>
        <v>1718874</v>
      </c>
      <c r="U27" s="272">
        <v>231549</v>
      </c>
      <c r="V27" s="272"/>
      <c r="W27" s="272"/>
      <c r="X27" s="272">
        <v>1272672</v>
      </c>
      <c r="Y27" s="272">
        <v>0</v>
      </c>
      <c r="Z27" s="272">
        <v>0</v>
      </c>
      <c r="AA27" s="272">
        <v>214653</v>
      </c>
      <c r="AB27" s="272">
        <v>540053</v>
      </c>
      <c r="AC27" s="272">
        <v>4797083</v>
      </c>
      <c r="AD27" s="272">
        <v>4587026</v>
      </c>
      <c r="AE27" s="272">
        <v>210057</v>
      </c>
      <c r="AF27" s="272">
        <v>23576</v>
      </c>
      <c r="AG27" s="272">
        <v>212996</v>
      </c>
      <c r="AH27" s="455">
        <f t="shared" si="3"/>
        <v>707916</v>
      </c>
      <c r="AI27" s="272">
        <v>530918</v>
      </c>
      <c r="AJ27" s="272">
        <v>176998</v>
      </c>
      <c r="AK27" s="272">
        <v>7490664</v>
      </c>
      <c r="AL27" s="455">
        <f t="shared" si="4"/>
        <v>5428399</v>
      </c>
      <c r="AM27" s="272">
        <v>4954957</v>
      </c>
      <c r="AN27" s="272">
        <v>445287</v>
      </c>
      <c r="AO27" s="272">
        <v>0</v>
      </c>
      <c r="AP27" s="272">
        <v>28155</v>
      </c>
      <c r="AQ27" s="272">
        <v>563771</v>
      </c>
      <c r="AR27" s="272">
        <v>0</v>
      </c>
      <c r="AS27" s="272">
        <v>0</v>
      </c>
      <c r="AT27" s="272">
        <v>1722111</v>
      </c>
      <c r="AU27" s="272">
        <v>964057</v>
      </c>
      <c r="AV27" s="272">
        <v>222644</v>
      </c>
      <c r="AW27" s="272">
        <v>41831</v>
      </c>
      <c r="AX27" s="272">
        <v>758054</v>
      </c>
      <c r="AY27" s="272">
        <v>59385</v>
      </c>
      <c r="AZ27" s="272">
        <v>505314</v>
      </c>
      <c r="BA27" s="272">
        <v>482298</v>
      </c>
      <c r="BB27" s="272">
        <v>4593</v>
      </c>
      <c r="BC27" s="272">
        <v>8898548</v>
      </c>
      <c r="BD27" s="272">
        <v>1328376</v>
      </c>
      <c r="BE27" s="272">
        <v>200000</v>
      </c>
      <c r="BF27" s="272">
        <v>7171772</v>
      </c>
      <c r="BG27" s="272">
        <v>0</v>
      </c>
      <c r="BH27" s="272">
        <v>575372</v>
      </c>
      <c r="BI27" s="272">
        <v>530084</v>
      </c>
      <c r="BJ27" s="272">
        <v>238828</v>
      </c>
      <c r="BK27" s="272">
        <v>93046</v>
      </c>
      <c r="BL27" s="272">
        <v>0</v>
      </c>
      <c r="BM27" s="272">
        <v>0</v>
      </c>
      <c r="BN27" s="272">
        <v>5042892</v>
      </c>
      <c r="BO27" s="455">
        <f t="shared" si="5"/>
        <v>3527092</v>
      </c>
      <c r="BP27" s="455">
        <f t="shared" si="6"/>
        <v>1515800</v>
      </c>
      <c r="BQ27" s="272">
        <v>212700</v>
      </c>
      <c r="BR27" s="272">
        <v>0</v>
      </c>
      <c r="BS27" s="272">
        <v>1303100</v>
      </c>
      <c r="BT27" s="272">
        <v>0</v>
      </c>
      <c r="BU27" s="272">
        <v>52847804</v>
      </c>
      <c r="BV27" s="272"/>
      <c r="BW27" s="272">
        <v>12590164</v>
      </c>
      <c r="BX27" s="272">
        <v>8746767</v>
      </c>
      <c r="BY27" s="272">
        <v>1753481</v>
      </c>
      <c r="BZ27" s="272">
        <v>116394</v>
      </c>
      <c r="CA27" s="272">
        <v>10330405</v>
      </c>
      <c r="CB27" s="272">
        <v>937185</v>
      </c>
      <c r="CC27" s="272">
        <v>341694</v>
      </c>
      <c r="CD27" s="272">
        <v>2207123</v>
      </c>
      <c r="CE27" s="272">
        <v>6669901</v>
      </c>
      <c r="CF27" s="272">
        <v>460</v>
      </c>
      <c r="CG27" s="272">
        <v>173357</v>
      </c>
      <c r="CH27" s="272">
        <v>4012256</v>
      </c>
      <c r="CI27" s="272">
        <v>2889532</v>
      </c>
      <c r="CJ27" s="455">
        <f t="shared" si="7"/>
        <v>1122724</v>
      </c>
      <c r="CK27" s="272">
        <v>4239577</v>
      </c>
      <c r="CL27" s="272">
        <v>2501244</v>
      </c>
      <c r="CM27" s="272">
        <v>127221</v>
      </c>
      <c r="CN27" s="272">
        <v>1087167</v>
      </c>
      <c r="CO27" s="272">
        <v>192890</v>
      </c>
      <c r="CP27" s="272">
        <v>3528018</v>
      </c>
      <c r="CQ27" s="272">
        <v>2160315</v>
      </c>
      <c r="CR27" s="272">
        <v>572643</v>
      </c>
      <c r="CS27" s="272">
        <v>416953</v>
      </c>
      <c r="CT27" s="455">
        <f t="shared" si="8"/>
        <v>15457</v>
      </c>
      <c r="CU27" s="272">
        <v>4479</v>
      </c>
      <c r="CV27" s="272">
        <v>10978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6845808</v>
      </c>
      <c r="DD27" s="272">
        <v>2480932</v>
      </c>
      <c r="DE27" s="272">
        <v>4363537</v>
      </c>
      <c r="DF27" s="272">
        <v>0</v>
      </c>
      <c r="DG27" s="272">
        <v>0</v>
      </c>
      <c r="DH27" s="272">
        <v>0</v>
      </c>
      <c r="DI27" s="272">
        <v>6210444</v>
      </c>
      <c r="DJ27" s="272">
        <v>5115299</v>
      </c>
      <c r="DK27" s="272">
        <v>1540</v>
      </c>
      <c r="DL27" s="272">
        <v>1093605</v>
      </c>
      <c r="DM27" s="272">
        <v>20000</v>
      </c>
      <c r="DN27" s="272">
        <v>0</v>
      </c>
      <c r="DO27" s="272">
        <v>0</v>
      </c>
      <c r="DP27" s="272">
        <v>0</v>
      </c>
      <c r="DQ27" s="272">
        <v>93000</v>
      </c>
      <c r="DR27" s="272">
        <v>0</v>
      </c>
      <c r="DS27" s="272">
        <v>0</v>
      </c>
      <c r="DT27" s="272">
        <v>4291678</v>
      </c>
      <c r="DU27" s="272">
        <v>2086000</v>
      </c>
      <c r="DV27" s="455">
        <f t="shared" si="11"/>
        <v>0</v>
      </c>
      <c r="DW27" s="272">
        <v>0</v>
      </c>
      <c r="DX27" s="272">
        <v>0</v>
      </c>
      <c r="DY27" s="272">
        <v>0</v>
      </c>
      <c r="DZ27" s="272">
        <v>1216224</v>
      </c>
      <c r="EA27" s="272">
        <v>438576</v>
      </c>
      <c r="EB27" s="272">
        <v>550878</v>
      </c>
      <c r="EC27" s="272">
        <v>0</v>
      </c>
      <c r="ED27" s="272">
        <v>52354240</v>
      </c>
      <c r="EF27" s="272">
        <v>493564</v>
      </c>
      <c r="EG27" s="272">
        <v>122483</v>
      </c>
      <c r="EH27" s="272">
        <v>371081</v>
      </c>
      <c r="EI27" s="272">
        <v>-159003</v>
      </c>
      <c r="EJ27" s="272">
        <v>3627920</v>
      </c>
      <c r="EL27" s="272"/>
      <c r="EM27" s="272">
        <v>133928</v>
      </c>
      <c r="EN27" s="272">
        <v>7425271</v>
      </c>
      <c r="EO27" s="272">
        <v>485617</v>
      </c>
      <c r="EP27" s="455">
        <f t="shared" si="12"/>
        <v>739928</v>
      </c>
      <c r="EQ27" s="272">
        <v>27448570</v>
      </c>
      <c r="ER27" s="272">
        <v>-10143040</v>
      </c>
      <c r="ES27" s="272">
        <v>11850549</v>
      </c>
      <c r="ET27" s="272">
        <v>8045786</v>
      </c>
      <c r="EU27" s="272">
        <v>3009376</v>
      </c>
      <c r="EV27" s="272">
        <v>3951206</v>
      </c>
      <c r="EW27" s="455">
        <f t="shared" si="13"/>
        <v>1300280</v>
      </c>
      <c r="EX27" s="272">
        <v>1300280</v>
      </c>
      <c r="EY27" s="272">
        <v>29125</v>
      </c>
      <c r="EZ27" s="272">
        <v>1269816</v>
      </c>
      <c r="FA27" s="272">
        <v>0</v>
      </c>
      <c r="FB27" s="272"/>
      <c r="FC27" s="272">
        <v>3627543</v>
      </c>
      <c r="FD27" s="272">
        <v>3251045</v>
      </c>
      <c r="FE27" s="272">
        <v>2160315</v>
      </c>
      <c r="FF27" s="272">
        <v>3825401</v>
      </c>
      <c r="FG27" s="455">
        <f t="shared" si="14"/>
        <v>6401208</v>
      </c>
      <c r="FH27" s="272">
        <v>37216608</v>
      </c>
      <c r="FI27" s="384">
        <f t="shared" si="15"/>
        <v>1.5</v>
      </c>
      <c r="FJ27" s="272">
        <v>25149755</v>
      </c>
      <c r="FK27" s="272">
        <v>1303161</v>
      </c>
      <c r="FL27" s="272">
        <v>15488773</v>
      </c>
      <c r="FM27" s="272">
        <v>20086303</v>
      </c>
      <c r="FN27" s="460">
        <v>0.80800000000000005</v>
      </c>
      <c r="FO27" s="388">
        <v>104.4</v>
      </c>
      <c r="FP27" s="388">
        <v>42.1</v>
      </c>
      <c r="FQ27" s="388">
        <v>11.3</v>
      </c>
      <c r="FR27" s="388">
        <v>14.8</v>
      </c>
      <c r="FS27" s="388">
        <v>12</v>
      </c>
      <c r="FT27" s="388">
        <v>10.7</v>
      </c>
      <c r="FU27" s="388">
        <v>12.9</v>
      </c>
      <c r="FV27" s="388">
        <v>9.3000000000000007</v>
      </c>
      <c r="FW27" s="272">
        <v>43323680</v>
      </c>
      <c r="FX27" s="384">
        <f t="shared" si="16"/>
        <v>172.3</v>
      </c>
      <c r="FY27" s="272">
        <v>10102628</v>
      </c>
      <c r="FZ27" s="272">
        <v>7094038</v>
      </c>
      <c r="GA27" s="272">
        <v>682303</v>
      </c>
      <c r="GB27" s="272">
        <v>2326287</v>
      </c>
      <c r="GC27" s="272"/>
      <c r="GD27" s="272">
        <v>10391291</v>
      </c>
      <c r="GE27" s="384">
        <f t="shared" si="17"/>
        <v>41.3</v>
      </c>
      <c r="GF27" s="388">
        <v>96.8</v>
      </c>
      <c r="GG27" s="388">
        <v>16.2</v>
      </c>
      <c r="GH27" s="388">
        <v>87.9</v>
      </c>
      <c r="GI27" s="272">
        <v>1161</v>
      </c>
    </row>
    <row r="28" spans="2:191" x14ac:dyDescent="0.15">
      <c r="B28" s="89" t="s">
        <v>49</v>
      </c>
      <c r="C28" s="272">
        <v>18124536</v>
      </c>
      <c r="D28" s="455">
        <f t="shared" si="0"/>
        <v>3774883</v>
      </c>
      <c r="E28" s="272">
        <v>84307</v>
      </c>
      <c r="F28" s="272">
        <v>3690576</v>
      </c>
      <c r="G28" s="455">
        <f t="shared" si="1"/>
        <v>1777815</v>
      </c>
      <c r="H28" s="272">
        <v>339777</v>
      </c>
      <c r="I28" s="272">
        <v>1438038</v>
      </c>
      <c r="J28" s="272">
        <v>9955561</v>
      </c>
      <c r="K28" s="272">
        <v>5090632</v>
      </c>
      <c r="L28" s="272">
        <v>2601814</v>
      </c>
      <c r="M28" s="272">
        <v>2164019</v>
      </c>
      <c r="N28" s="272">
        <v>643795</v>
      </c>
      <c r="O28" s="272">
        <v>1909361</v>
      </c>
      <c r="P28" s="272">
        <v>1321860</v>
      </c>
      <c r="Q28" s="272">
        <v>587501</v>
      </c>
      <c r="R28" s="272">
        <v>180851</v>
      </c>
      <c r="S28" s="272"/>
      <c r="T28" s="455">
        <f t="shared" si="2"/>
        <v>1190266</v>
      </c>
      <c r="U28" s="272">
        <v>173191</v>
      </c>
      <c r="V28" s="272"/>
      <c r="W28" s="272"/>
      <c r="X28" s="272">
        <v>855706</v>
      </c>
      <c r="Y28" s="272">
        <v>3516</v>
      </c>
      <c r="Z28" s="272">
        <v>0</v>
      </c>
      <c r="AA28" s="272">
        <v>157853</v>
      </c>
      <c r="AB28" s="272">
        <v>550434</v>
      </c>
      <c r="AC28" s="272">
        <v>398039</v>
      </c>
      <c r="AD28" s="272">
        <v>0</v>
      </c>
      <c r="AE28" s="272">
        <v>398039</v>
      </c>
      <c r="AF28" s="272">
        <v>17128</v>
      </c>
      <c r="AG28" s="272">
        <v>218551</v>
      </c>
      <c r="AH28" s="455">
        <f t="shared" si="3"/>
        <v>783659</v>
      </c>
      <c r="AI28" s="272">
        <v>616756</v>
      </c>
      <c r="AJ28" s="272">
        <v>166903</v>
      </c>
      <c r="AK28" s="272">
        <v>2375689</v>
      </c>
      <c r="AL28" s="455">
        <f t="shared" si="4"/>
        <v>1410491</v>
      </c>
      <c r="AM28" s="272">
        <v>1014621</v>
      </c>
      <c r="AN28" s="272">
        <v>384451</v>
      </c>
      <c r="AO28" s="272">
        <v>0</v>
      </c>
      <c r="AP28" s="272">
        <v>11419</v>
      </c>
      <c r="AQ28" s="272">
        <v>108254</v>
      </c>
      <c r="AR28" s="272">
        <v>0</v>
      </c>
      <c r="AS28" s="272">
        <v>0</v>
      </c>
      <c r="AT28" s="272">
        <v>1120753</v>
      </c>
      <c r="AU28" s="272">
        <v>649051</v>
      </c>
      <c r="AV28" s="272">
        <v>192226</v>
      </c>
      <c r="AW28" s="272">
        <v>4300</v>
      </c>
      <c r="AX28" s="272">
        <v>471702</v>
      </c>
      <c r="AY28" s="272">
        <v>9483</v>
      </c>
      <c r="AZ28" s="272">
        <v>165658</v>
      </c>
      <c r="BA28" s="272">
        <v>153112</v>
      </c>
      <c r="BB28" s="272">
        <v>130259</v>
      </c>
      <c r="BC28" s="272">
        <v>1821695</v>
      </c>
      <c r="BD28" s="272">
        <v>935475</v>
      </c>
      <c r="BE28" s="272">
        <v>300777</v>
      </c>
      <c r="BF28" s="272">
        <v>540855</v>
      </c>
      <c r="BG28" s="272">
        <v>0</v>
      </c>
      <c r="BH28" s="272">
        <v>55306</v>
      </c>
      <c r="BI28" s="272">
        <v>54313</v>
      </c>
      <c r="BJ28" s="272">
        <v>466381</v>
      </c>
      <c r="BK28" s="272">
        <v>143072</v>
      </c>
      <c r="BL28" s="272">
        <v>0</v>
      </c>
      <c r="BM28" s="272">
        <v>0</v>
      </c>
      <c r="BN28" s="272">
        <v>2401164</v>
      </c>
      <c r="BO28" s="455">
        <f t="shared" si="5"/>
        <v>1386564</v>
      </c>
      <c r="BP28" s="455">
        <f t="shared" si="6"/>
        <v>1014600</v>
      </c>
      <c r="BQ28" s="272">
        <v>204500</v>
      </c>
      <c r="BR28" s="272">
        <v>0</v>
      </c>
      <c r="BS28" s="272">
        <v>810100</v>
      </c>
      <c r="BT28" s="272">
        <v>0</v>
      </c>
      <c r="BU28" s="272">
        <v>30000369</v>
      </c>
      <c r="BV28" s="272"/>
      <c r="BW28" s="272">
        <v>8246595</v>
      </c>
      <c r="BX28" s="272">
        <v>5750983</v>
      </c>
      <c r="BY28" s="272">
        <v>1046785</v>
      </c>
      <c r="BZ28" s="272">
        <v>131659</v>
      </c>
      <c r="CA28" s="272">
        <v>3644069</v>
      </c>
      <c r="CB28" s="272">
        <v>396889</v>
      </c>
      <c r="CC28" s="272">
        <v>268448</v>
      </c>
      <c r="CD28" s="272">
        <v>1536687</v>
      </c>
      <c r="CE28" s="272">
        <v>1343026</v>
      </c>
      <c r="CF28" s="272">
        <v>0</v>
      </c>
      <c r="CG28" s="272">
        <v>99019</v>
      </c>
      <c r="CH28" s="272">
        <v>4566771</v>
      </c>
      <c r="CI28" s="272">
        <v>3244398</v>
      </c>
      <c r="CJ28" s="455">
        <f t="shared" si="7"/>
        <v>1322373</v>
      </c>
      <c r="CK28" s="272">
        <v>4169848</v>
      </c>
      <c r="CL28" s="272">
        <v>2476994</v>
      </c>
      <c r="CM28" s="272">
        <v>274029</v>
      </c>
      <c r="CN28" s="272">
        <v>763023</v>
      </c>
      <c r="CO28" s="272">
        <v>449208</v>
      </c>
      <c r="CP28" s="272">
        <v>1326950</v>
      </c>
      <c r="CQ28" s="272">
        <v>6681</v>
      </c>
      <c r="CR28" s="272">
        <v>574577</v>
      </c>
      <c r="CS28" s="272">
        <v>225215</v>
      </c>
      <c r="CT28" s="455">
        <f t="shared" si="8"/>
        <v>46311</v>
      </c>
      <c r="CU28" s="272">
        <v>3985</v>
      </c>
      <c r="CV28" s="272">
        <v>42326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1138356</v>
      </c>
      <c r="DD28" s="272">
        <v>535482</v>
      </c>
      <c r="DE28" s="272">
        <v>532200</v>
      </c>
      <c r="DF28" s="272">
        <v>0</v>
      </c>
      <c r="DG28" s="272">
        <v>70674</v>
      </c>
      <c r="DH28" s="272">
        <v>0</v>
      </c>
      <c r="DI28" s="272">
        <v>1081456</v>
      </c>
      <c r="DJ28" s="272">
        <v>39654</v>
      </c>
      <c r="DK28" s="272">
        <v>967531</v>
      </c>
      <c r="DL28" s="272">
        <v>74271</v>
      </c>
      <c r="DM28" s="272">
        <v>0</v>
      </c>
      <c r="DN28" s="272">
        <v>0</v>
      </c>
      <c r="DO28" s="272">
        <v>0</v>
      </c>
      <c r="DP28" s="272">
        <v>0</v>
      </c>
      <c r="DQ28" s="272">
        <v>142520</v>
      </c>
      <c r="DR28" s="272">
        <v>0</v>
      </c>
      <c r="DS28" s="272">
        <v>0</v>
      </c>
      <c r="DT28" s="272">
        <v>5157480</v>
      </c>
      <c r="DU28" s="272">
        <v>3474487</v>
      </c>
      <c r="DV28" s="455">
        <f t="shared" si="11"/>
        <v>0</v>
      </c>
      <c r="DW28" s="272">
        <v>0</v>
      </c>
      <c r="DX28" s="272">
        <v>0</v>
      </c>
      <c r="DY28" s="272">
        <v>163296</v>
      </c>
      <c r="DZ28" s="272">
        <v>849573</v>
      </c>
      <c r="EA28" s="272">
        <v>186657</v>
      </c>
      <c r="EB28" s="272">
        <v>413110</v>
      </c>
      <c r="EC28" s="272">
        <v>0</v>
      </c>
      <c r="ED28" s="272">
        <v>29923253</v>
      </c>
      <c r="EF28" s="272">
        <v>77116</v>
      </c>
      <c r="EG28" s="272">
        <v>4357</v>
      </c>
      <c r="EH28" s="272">
        <v>72759</v>
      </c>
      <c r="EI28" s="272">
        <v>18446</v>
      </c>
      <c r="EJ28" s="272">
        <v>-823626</v>
      </c>
      <c r="EL28" s="272"/>
      <c r="EM28" s="272">
        <v>84365</v>
      </c>
      <c r="EN28" s="272">
        <v>1280840</v>
      </c>
      <c r="EO28" s="272">
        <v>162264</v>
      </c>
      <c r="EP28" s="455">
        <f t="shared" si="12"/>
        <v>1153677</v>
      </c>
      <c r="EQ28" s="272">
        <v>20461254</v>
      </c>
      <c r="ER28" s="272">
        <v>-3594253</v>
      </c>
      <c r="ES28" s="272">
        <v>7709613</v>
      </c>
      <c r="ET28" s="272">
        <v>5256506</v>
      </c>
      <c r="EU28" s="272">
        <v>1147862</v>
      </c>
      <c r="EV28" s="272">
        <v>4508393</v>
      </c>
      <c r="EW28" s="455">
        <f t="shared" si="13"/>
        <v>204899</v>
      </c>
      <c r="EX28" s="272">
        <v>204899</v>
      </c>
      <c r="EY28" s="272">
        <v>7200</v>
      </c>
      <c r="EZ28" s="272">
        <v>197699</v>
      </c>
      <c r="FA28" s="272">
        <v>0</v>
      </c>
      <c r="FB28" s="272"/>
      <c r="FC28" s="272">
        <v>3242686</v>
      </c>
      <c r="FD28" s="272">
        <v>1171057</v>
      </c>
      <c r="FE28" s="272">
        <v>6681</v>
      </c>
      <c r="FF28" s="272">
        <v>4986034</v>
      </c>
      <c r="FG28" s="455">
        <f t="shared" si="14"/>
        <v>1007847</v>
      </c>
      <c r="FH28" s="272">
        <v>23978391</v>
      </c>
      <c r="FI28" s="384">
        <f t="shared" si="15"/>
        <v>0.4</v>
      </c>
      <c r="FJ28" s="272">
        <v>19121901</v>
      </c>
      <c r="FK28" s="272">
        <v>810179</v>
      </c>
      <c r="FL28" s="272">
        <v>14390663</v>
      </c>
      <c r="FM28" s="272">
        <v>14370604</v>
      </c>
      <c r="FN28" s="460">
        <v>0.98199999999999998</v>
      </c>
      <c r="FO28" s="388">
        <v>108.9</v>
      </c>
      <c r="FP28" s="388">
        <v>38.200000000000003</v>
      </c>
      <c r="FQ28" s="388">
        <v>6</v>
      </c>
      <c r="FR28" s="388">
        <v>23.1</v>
      </c>
      <c r="FS28" s="388">
        <v>16.2</v>
      </c>
      <c r="FT28" s="388">
        <v>5.4</v>
      </c>
      <c r="FU28" s="388">
        <v>17.899999999999999</v>
      </c>
      <c r="FV28" s="388">
        <v>14.7</v>
      </c>
      <c r="FW28" s="272">
        <v>40032045</v>
      </c>
      <c r="FX28" s="384">
        <f t="shared" si="16"/>
        <v>209.4</v>
      </c>
      <c r="FY28" s="272">
        <v>7067568</v>
      </c>
      <c r="FZ28" s="272">
        <v>1217562</v>
      </c>
      <c r="GA28" s="272">
        <v>2223447</v>
      </c>
      <c r="GB28" s="272">
        <v>3626559</v>
      </c>
      <c r="GC28" s="272"/>
      <c r="GD28" s="272">
        <v>2729143</v>
      </c>
      <c r="GE28" s="384">
        <f t="shared" si="17"/>
        <v>14.3</v>
      </c>
      <c r="GF28" s="388">
        <v>98.2</v>
      </c>
      <c r="GG28" s="388">
        <v>17.8</v>
      </c>
      <c r="GH28" s="388">
        <v>93.7</v>
      </c>
      <c r="GI28" s="272">
        <v>707</v>
      </c>
    </row>
    <row r="29" spans="2:191" x14ac:dyDescent="0.15">
      <c r="B29" s="89" t="s">
        <v>51</v>
      </c>
      <c r="C29" s="272">
        <v>12160868</v>
      </c>
      <c r="D29" s="455">
        <f t="shared" si="0"/>
        <v>2891345</v>
      </c>
      <c r="E29" s="272">
        <v>53820</v>
      </c>
      <c r="F29" s="272">
        <v>2837525</v>
      </c>
      <c r="G29" s="455">
        <f t="shared" si="1"/>
        <v>804515</v>
      </c>
      <c r="H29" s="272">
        <v>148513</v>
      </c>
      <c r="I29" s="272">
        <v>656002</v>
      </c>
      <c r="J29" s="272">
        <v>6803443</v>
      </c>
      <c r="K29" s="272">
        <v>3630999</v>
      </c>
      <c r="L29" s="272">
        <v>1414156</v>
      </c>
      <c r="M29" s="272">
        <v>1723236</v>
      </c>
      <c r="N29" s="272">
        <v>374019</v>
      </c>
      <c r="O29" s="272">
        <v>1247786</v>
      </c>
      <c r="P29" s="272">
        <v>921743</v>
      </c>
      <c r="Q29" s="272">
        <v>326043</v>
      </c>
      <c r="R29" s="272">
        <v>156152</v>
      </c>
      <c r="S29" s="272"/>
      <c r="T29" s="455">
        <f t="shared" si="2"/>
        <v>719351</v>
      </c>
      <c r="U29" s="272">
        <v>126594</v>
      </c>
      <c r="V29" s="272"/>
      <c r="W29" s="272"/>
      <c r="X29" s="272">
        <v>488922</v>
      </c>
      <c r="Y29" s="272">
        <v>0</v>
      </c>
      <c r="Z29" s="272">
        <v>0</v>
      </c>
      <c r="AA29" s="272">
        <v>103835</v>
      </c>
      <c r="AB29" s="272">
        <v>316230</v>
      </c>
      <c r="AC29" s="272">
        <v>436901</v>
      </c>
      <c r="AD29" s="272">
        <v>380893</v>
      </c>
      <c r="AE29" s="272">
        <v>56008</v>
      </c>
      <c r="AF29" s="272">
        <v>10050</v>
      </c>
      <c r="AG29" s="272">
        <v>83999</v>
      </c>
      <c r="AH29" s="455">
        <f t="shared" si="3"/>
        <v>489759</v>
      </c>
      <c r="AI29" s="272">
        <v>439128</v>
      </c>
      <c r="AJ29" s="272">
        <v>50631</v>
      </c>
      <c r="AK29" s="272">
        <v>3353341</v>
      </c>
      <c r="AL29" s="455">
        <f t="shared" si="4"/>
        <v>1080334</v>
      </c>
      <c r="AM29" s="272">
        <v>846691</v>
      </c>
      <c r="AN29" s="272">
        <v>231058</v>
      </c>
      <c r="AO29" s="272">
        <v>0</v>
      </c>
      <c r="AP29" s="272">
        <v>2585</v>
      </c>
      <c r="AQ29" s="272">
        <v>1679925</v>
      </c>
      <c r="AR29" s="272">
        <v>0</v>
      </c>
      <c r="AS29" s="272">
        <v>0</v>
      </c>
      <c r="AT29" s="272">
        <v>1826955</v>
      </c>
      <c r="AU29" s="272">
        <v>1163888</v>
      </c>
      <c r="AV29" s="272">
        <v>118021</v>
      </c>
      <c r="AW29" s="272">
        <v>0</v>
      </c>
      <c r="AX29" s="272">
        <v>663067</v>
      </c>
      <c r="AY29" s="272">
        <v>209057</v>
      </c>
      <c r="AZ29" s="272">
        <v>88083</v>
      </c>
      <c r="BA29" s="272">
        <v>67116</v>
      </c>
      <c r="BB29" s="272">
        <v>14470</v>
      </c>
      <c r="BC29" s="272">
        <v>4073525</v>
      </c>
      <c r="BD29" s="272">
        <v>357000</v>
      </c>
      <c r="BE29" s="272">
        <v>0</v>
      </c>
      <c r="BF29" s="272">
        <v>2462264</v>
      </c>
      <c r="BG29" s="272">
        <v>1220000</v>
      </c>
      <c r="BH29" s="272">
        <v>986260</v>
      </c>
      <c r="BI29" s="272">
        <v>10363</v>
      </c>
      <c r="BJ29" s="272">
        <v>240542</v>
      </c>
      <c r="BK29" s="272">
        <v>63044</v>
      </c>
      <c r="BL29" s="272">
        <v>0</v>
      </c>
      <c r="BM29" s="272">
        <v>0</v>
      </c>
      <c r="BN29" s="272">
        <v>6321000</v>
      </c>
      <c r="BO29" s="455">
        <f t="shared" si="5"/>
        <v>5591000</v>
      </c>
      <c r="BP29" s="455">
        <f t="shared" si="6"/>
        <v>730000</v>
      </c>
      <c r="BQ29" s="272">
        <v>116600</v>
      </c>
      <c r="BR29" s="272">
        <v>0</v>
      </c>
      <c r="BS29" s="272">
        <v>613400</v>
      </c>
      <c r="BT29" s="272">
        <v>0</v>
      </c>
      <c r="BU29" s="272">
        <v>31277486</v>
      </c>
      <c r="BV29" s="272"/>
      <c r="BW29" s="272">
        <v>6173068</v>
      </c>
      <c r="BX29" s="272">
        <v>4204194</v>
      </c>
      <c r="BY29" s="272">
        <v>814144</v>
      </c>
      <c r="BZ29" s="272">
        <v>128066</v>
      </c>
      <c r="CA29" s="272">
        <v>2726590</v>
      </c>
      <c r="CB29" s="272">
        <v>409147</v>
      </c>
      <c r="CC29" s="272">
        <v>234094</v>
      </c>
      <c r="CD29" s="272">
        <v>909451</v>
      </c>
      <c r="CE29" s="272">
        <v>1123425</v>
      </c>
      <c r="CF29" s="272">
        <v>0</v>
      </c>
      <c r="CG29" s="272">
        <v>50473</v>
      </c>
      <c r="CH29" s="272">
        <v>1802703</v>
      </c>
      <c r="CI29" s="272">
        <v>1200201</v>
      </c>
      <c r="CJ29" s="455">
        <f t="shared" si="7"/>
        <v>602502</v>
      </c>
      <c r="CK29" s="272">
        <v>2422613</v>
      </c>
      <c r="CL29" s="272">
        <v>1459741</v>
      </c>
      <c r="CM29" s="272">
        <v>93721</v>
      </c>
      <c r="CN29" s="272">
        <v>499046</v>
      </c>
      <c r="CO29" s="272">
        <v>23833</v>
      </c>
      <c r="CP29" s="272">
        <v>2811936</v>
      </c>
      <c r="CQ29" s="272">
        <v>1856332</v>
      </c>
      <c r="CR29" s="272">
        <v>323605</v>
      </c>
      <c r="CS29" s="272">
        <v>203781</v>
      </c>
      <c r="CT29" s="455">
        <f t="shared" si="8"/>
        <v>36340</v>
      </c>
      <c r="CU29" s="272">
        <v>1060</v>
      </c>
      <c r="CV29" s="272">
        <v>35280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11266754</v>
      </c>
      <c r="DD29" s="272">
        <v>4031567</v>
      </c>
      <c r="DE29" s="272">
        <v>6446730</v>
      </c>
      <c r="DF29" s="272">
        <v>0</v>
      </c>
      <c r="DG29" s="272">
        <v>788457</v>
      </c>
      <c r="DH29" s="272">
        <v>0</v>
      </c>
      <c r="DI29" s="272">
        <v>44510</v>
      </c>
      <c r="DJ29" s="272">
        <v>12157</v>
      </c>
      <c r="DK29" s="272">
        <v>0</v>
      </c>
      <c r="DL29" s="272">
        <v>32353</v>
      </c>
      <c r="DM29" s="272">
        <v>134100</v>
      </c>
      <c r="DN29" s="272">
        <v>0</v>
      </c>
      <c r="DO29" s="272">
        <v>0</v>
      </c>
      <c r="DP29" s="272">
        <v>0</v>
      </c>
      <c r="DQ29" s="272">
        <v>627770</v>
      </c>
      <c r="DR29" s="272">
        <v>0</v>
      </c>
      <c r="DS29" s="272">
        <v>0</v>
      </c>
      <c r="DT29" s="272">
        <v>3053763</v>
      </c>
      <c r="DU29" s="272">
        <v>1765834</v>
      </c>
      <c r="DV29" s="455">
        <f t="shared" si="11"/>
        <v>0</v>
      </c>
      <c r="DW29" s="272">
        <v>0</v>
      </c>
      <c r="DX29" s="272">
        <v>0</v>
      </c>
      <c r="DY29" s="272">
        <v>0</v>
      </c>
      <c r="DZ29" s="272">
        <v>577468</v>
      </c>
      <c r="EA29" s="272">
        <v>315275</v>
      </c>
      <c r="EB29" s="272">
        <v>395166</v>
      </c>
      <c r="EC29" s="272">
        <v>10103</v>
      </c>
      <c r="ED29" s="272">
        <v>31097743</v>
      </c>
      <c r="EF29" s="272">
        <v>179743</v>
      </c>
      <c r="EG29" s="272">
        <v>109000</v>
      </c>
      <c r="EH29" s="272">
        <v>70743</v>
      </c>
      <c r="EI29" s="272">
        <v>70483</v>
      </c>
      <c r="EJ29" s="272">
        <v>-274360</v>
      </c>
      <c r="EL29" s="272"/>
      <c r="EM29" s="272">
        <v>61518</v>
      </c>
      <c r="EN29" s="272">
        <v>2924579</v>
      </c>
      <c r="EO29" s="272">
        <v>79108</v>
      </c>
      <c r="EP29" s="455">
        <f t="shared" si="12"/>
        <v>286416</v>
      </c>
      <c r="EQ29" s="272">
        <v>13799552</v>
      </c>
      <c r="ER29" s="272">
        <v>-4010053</v>
      </c>
      <c r="ES29" s="272">
        <v>5638212</v>
      </c>
      <c r="ET29" s="272">
        <v>3711836</v>
      </c>
      <c r="EU29" s="272">
        <v>847136</v>
      </c>
      <c r="EV29" s="272">
        <v>1651912</v>
      </c>
      <c r="EW29" s="455">
        <f t="shared" si="13"/>
        <v>1505477</v>
      </c>
      <c r="EX29" s="272">
        <v>1505477</v>
      </c>
      <c r="EY29" s="272">
        <v>287150</v>
      </c>
      <c r="EZ29" s="272">
        <v>1218327</v>
      </c>
      <c r="FA29" s="272">
        <v>0</v>
      </c>
      <c r="FB29" s="272"/>
      <c r="FC29" s="272">
        <v>1922774</v>
      </c>
      <c r="FD29" s="272">
        <v>2719843</v>
      </c>
      <c r="FE29" s="272">
        <v>1856332</v>
      </c>
      <c r="FF29" s="272">
        <v>2882585</v>
      </c>
      <c r="FG29" s="455">
        <f t="shared" si="14"/>
        <v>461923</v>
      </c>
      <c r="FH29" s="272">
        <v>17629862</v>
      </c>
      <c r="FI29" s="384">
        <f t="shared" si="15"/>
        <v>0.6</v>
      </c>
      <c r="FJ29" s="272">
        <v>12488867</v>
      </c>
      <c r="FK29" s="272">
        <v>613478</v>
      </c>
      <c r="FL29" s="272">
        <v>9121169</v>
      </c>
      <c r="FM29" s="272">
        <v>9507913</v>
      </c>
      <c r="FN29" s="460">
        <v>0.98799999999999999</v>
      </c>
      <c r="FO29" s="388">
        <v>106.7</v>
      </c>
      <c r="FP29" s="388">
        <v>39.299999999999997</v>
      </c>
      <c r="FQ29" s="388">
        <v>6.4</v>
      </c>
      <c r="FR29" s="388">
        <v>12.4</v>
      </c>
      <c r="FS29" s="388">
        <v>14.1</v>
      </c>
      <c r="FT29" s="388">
        <v>19</v>
      </c>
      <c r="FU29" s="388">
        <v>15.3</v>
      </c>
      <c r="FV29" s="388">
        <v>8.1</v>
      </c>
      <c r="FW29" s="272">
        <v>30745645</v>
      </c>
      <c r="FX29" s="384">
        <f t="shared" si="16"/>
        <v>246.2</v>
      </c>
      <c r="FY29" s="272">
        <v>6760581</v>
      </c>
      <c r="FZ29" s="272">
        <v>110122</v>
      </c>
      <c r="GA29" s="272"/>
      <c r="GB29" s="272">
        <v>6650459</v>
      </c>
      <c r="GC29" s="272">
        <v>1563000</v>
      </c>
      <c r="GD29" s="272">
        <v>12185753</v>
      </c>
      <c r="GE29" s="384">
        <f t="shared" si="17"/>
        <v>97.6</v>
      </c>
      <c r="GF29" s="388">
        <v>98.2</v>
      </c>
      <c r="GG29" s="388">
        <v>18.600000000000001</v>
      </c>
      <c r="GH29" s="388">
        <v>93.1</v>
      </c>
      <c r="GI29" s="272">
        <v>555</v>
      </c>
    </row>
    <row r="30" spans="2:191" x14ac:dyDescent="0.15">
      <c r="B30" s="89" t="s">
        <v>53</v>
      </c>
      <c r="C30" s="272">
        <v>8333839</v>
      </c>
      <c r="D30" s="455">
        <f t="shared" si="0"/>
        <v>3160162</v>
      </c>
      <c r="E30" s="272">
        <v>59005</v>
      </c>
      <c r="F30" s="272">
        <v>3101157</v>
      </c>
      <c r="G30" s="455">
        <f t="shared" si="1"/>
        <v>485915</v>
      </c>
      <c r="H30" s="272">
        <v>145273</v>
      </c>
      <c r="I30" s="272">
        <v>340642</v>
      </c>
      <c r="J30" s="272">
        <v>3403151</v>
      </c>
      <c r="K30" s="272">
        <v>1746514</v>
      </c>
      <c r="L30" s="272">
        <v>1328409</v>
      </c>
      <c r="M30" s="272">
        <v>298786</v>
      </c>
      <c r="N30" s="272">
        <v>376934</v>
      </c>
      <c r="O30" s="272">
        <v>859354</v>
      </c>
      <c r="P30" s="272">
        <v>555919</v>
      </c>
      <c r="Q30" s="272">
        <v>303435</v>
      </c>
      <c r="R30" s="272">
        <v>129635</v>
      </c>
      <c r="S30" s="272"/>
      <c r="T30" s="455">
        <f t="shared" si="2"/>
        <v>754464</v>
      </c>
      <c r="U30" s="272">
        <v>132556</v>
      </c>
      <c r="V30" s="272"/>
      <c r="W30" s="272"/>
      <c r="X30" s="272">
        <v>508653</v>
      </c>
      <c r="Y30" s="272">
        <v>0</v>
      </c>
      <c r="Z30" s="272">
        <v>0</v>
      </c>
      <c r="AA30" s="272">
        <v>113255</v>
      </c>
      <c r="AB30" s="272">
        <v>328960</v>
      </c>
      <c r="AC30" s="272">
        <v>3980677</v>
      </c>
      <c r="AD30" s="272">
        <v>3706670</v>
      </c>
      <c r="AE30" s="272">
        <v>274007</v>
      </c>
      <c r="AF30" s="272">
        <v>13188</v>
      </c>
      <c r="AG30" s="272">
        <v>59872</v>
      </c>
      <c r="AH30" s="455">
        <f t="shared" si="3"/>
        <v>431412</v>
      </c>
      <c r="AI30" s="272">
        <v>397055</v>
      </c>
      <c r="AJ30" s="272">
        <v>34357</v>
      </c>
      <c r="AK30" s="272">
        <v>2325914</v>
      </c>
      <c r="AL30" s="455">
        <f t="shared" si="4"/>
        <v>1330883</v>
      </c>
      <c r="AM30" s="272">
        <v>1126317</v>
      </c>
      <c r="AN30" s="272">
        <v>200043</v>
      </c>
      <c r="AO30" s="272">
        <v>0</v>
      </c>
      <c r="AP30" s="272">
        <v>4523</v>
      </c>
      <c r="AQ30" s="272">
        <v>213667</v>
      </c>
      <c r="AR30" s="272">
        <v>0</v>
      </c>
      <c r="AS30" s="272">
        <v>0</v>
      </c>
      <c r="AT30" s="272">
        <v>788620</v>
      </c>
      <c r="AU30" s="272">
        <v>359839</v>
      </c>
      <c r="AV30" s="272">
        <v>99918</v>
      </c>
      <c r="AW30" s="272">
        <v>0</v>
      </c>
      <c r="AX30" s="272">
        <v>428781</v>
      </c>
      <c r="AY30" s="272">
        <v>60563</v>
      </c>
      <c r="AZ30" s="272">
        <v>9126</v>
      </c>
      <c r="BA30" s="272">
        <v>388</v>
      </c>
      <c r="BB30" s="272">
        <v>48317</v>
      </c>
      <c r="BC30" s="272">
        <v>973124</v>
      </c>
      <c r="BD30" s="272">
        <v>90000</v>
      </c>
      <c r="BE30" s="272">
        <v>200000</v>
      </c>
      <c r="BF30" s="272">
        <v>653124</v>
      </c>
      <c r="BG30" s="272">
        <v>0</v>
      </c>
      <c r="BH30" s="272">
        <v>43458</v>
      </c>
      <c r="BI30" s="272">
        <v>41237</v>
      </c>
      <c r="BJ30" s="272">
        <v>201510</v>
      </c>
      <c r="BK30" s="272">
        <v>20010</v>
      </c>
      <c r="BL30" s="272">
        <v>0</v>
      </c>
      <c r="BM30" s="272">
        <v>0</v>
      </c>
      <c r="BN30" s="272">
        <v>1337458</v>
      </c>
      <c r="BO30" s="455">
        <f t="shared" si="5"/>
        <v>554358</v>
      </c>
      <c r="BP30" s="455">
        <f t="shared" si="6"/>
        <v>783100</v>
      </c>
      <c r="BQ30" s="272">
        <v>121400</v>
      </c>
      <c r="BR30" s="272">
        <v>0</v>
      </c>
      <c r="BS30" s="272">
        <v>661700</v>
      </c>
      <c r="BT30" s="272">
        <v>0</v>
      </c>
      <c r="BU30" s="272">
        <v>19759574</v>
      </c>
      <c r="BV30" s="272"/>
      <c r="BW30" s="272">
        <v>5199268</v>
      </c>
      <c r="BX30" s="272">
        <v>3710602</v>
      </c>
      <c r="BY30" s="272">
        <v>313444</v>
      </c>
      <c r="BZ30" s="272">
        <v>240153</v>
      </c>
      <c r="CA30" s="272">
        <v>3013900</v>
      </c>
      <c r="CB30" s="272">
        <v>459703</v>
      </c>
      <c r="CC30" s="272">
        <v>217124</v>
      </c>
      <c r="CD30" s="272">
        <v>762495</v>
      </c>
      <c r="CE30" s="272">
        <v>1528529</v>
      </c>
      <c r="CF30" s="272">
        <v>0</v>
      </c>
      <c r="CG30" s="272">
        <v>45824</v>
      </c>
      <c r="CH30" s="272">
        <v>1596555</v>
      </c>
      <c r="CI30" s="272">
        <v>1245270</v>
      </c>
      <c r="CJ30" s="455">
        <f t="shared" si="7"/>
        <v>351285</v>
      </c>
      <c r="CK30" s="272">
        <v>2130662</v>
      </c>
      <c r="CL30" s="272">
        <v>1046397</v>
      </c>
      <c r="CM30" s="272">
        <v>229380</v>
      </c>
      <c r="CN30" s="272">
        <v>398286</v>
      </c>
      <c r="CO30" s="272">
        <v>144512</v>
      </c>
      <c r="CP30" s="272">
        <v>2902966</v>
      </c>
      <c r="CQ30" s="272">
        <v>2226770</v>
      </c>
      <c r="CR30" s="272">
        <v>226087</v>
      </c>
      <c r="CS30" s="272">
        <v>178732</v>
      </c>
      <c r="CT30" s="455">
        <f t="shared" si="8"/>
        <v>119458</v>
      </c>
      <c r="CU30" s="272">
        <v>79604</v>
      </c>
      <c r="CV30" s="272">
        <v>39854</v>
      </c>
      <c r="CW30" s="455">
        <f t="shared" si="9"/>
        <v>113189</v>
      </c>
      <c r="CX30" s="272">
        <v>73335</v>
      </c>
      <c r="CY30" s="272">
        <v>39854</v>
      </c>
      <c r="CZ30" s="455">
        <f t="shared" si="10"/>
        <v>0</v>
      </c>
      <c r="DA30" s="272">
        <v>0</v>
      </c>
      <c r="DB30" s="272">
        <v>0</v>
      </c>
      <c r="DC30" s="272">
        <v>1512117</v>
      </c>
      <c r="DD30" s="272">
        <v>431769</v>
      </c>
      <c r="DE30" s="272">
        <v>1027012</v>
      </c>
      <c r="DF30" s="272">
        <v>13083</v>
      </c>
      <c r="DG30" s="272">
        <v>40253</v>
      </c>
      <c r="DH30" s="272">
        <v>0</v>
      </c>
      <c r="DI30" s="272">
        <v>134134</v>
      </c>
      <c r="DJ30" s="272">
        <v>3216</v>
      </c>
      <c r="DK30" s="272">
        <v>647</v>
      </c>
      <c r="DL30" s="272">
        <v>130271</v>
      </c>
      <c r="DM30" s="272">
        <v>0</v>
      </c>
      <c r="DN30" s="272">
        <v>0</v>
      </c>
      <c r="DO30" s="272">
        <v>0</v>
      </c>
      <c r="DP30" s="272">
        <v>0</v>
      </c>
      <c r="DQ30" s="272">
        <v>20000</v>
      </c>
      <c r="DR30" s="272">
        <v>0</v>
      </c>
      <c r="DS30" s="272">
        <v>0</v>
      </c>
      <c r="DT30" s="272">
        <v>3053015</v>
      </c>
      <c r="DU30" s="272">
        <v>1846473</v>
      </c>
      <c r="DV30" s="455">
        <f t="shared" si="11"/>
        <v>0</v>
      </c>
      <c r="DW30" s="272">
        <v>0</v>
      </c>
      <c r="DX30" s="272">
        <v>0</v>
      </c>
      <c r="DY30" s="272">
        <v>0</v>
      </c>
      <c r="DZ30" s="272">
        <v>473856</v>
      </c>
      <c r="EA30" s="272">
        <v>274952</v>
      </c>
      <c r="EB30" s="272">
        <v>457734</v>
      </c>
      <c r="EC30" s="272">
        <v>0</v>
      </c>
      <c r="ED30" s="272">
        <v>19707129</v>
      </c>
      <c r="EF30" s="272">
        <v>52445</v>
      </c>
      <c r="EG30" s="272">
        <v>33120</v>
      </c>
      <c r="EH30" s="272">
        <v>19325</v>
      </c>
      <c r="EI30" s="272">
        <v>-121912</v>
      </c>
      <c r="EJ30" s="272">
        <v>-208696</v>
      </c>
      <c r="EL30" s="272"/>
      <c r="EM30" s="272">
        <v>66231</v>
      </c>
      <c r="EN30" s="272">
        <v>320000</v>
      </c>
      <c r="EO30" s="272">
        <v>2252</v>
      </c>
      <c r="EP30" s="455">
        <f t="shared" si="12"/>
        <v>184209</v>
      </c>
      <c r="EQ30" s="272">
        <v>13540763</v>
      </c>
      <c r="ER30" s="272">
        <v>-1276373</v>
      </c>
      <c r="ES30" s="272">
        <v>4699432</v>
      </c>
      <c r="ET30" s="272">
        <v>3314552</v>
      </c>
      <c r="EU30" s="272">
        <v>950333</v>
      </c>
      <c r="EV30" s="272">
        <v>1401610</v>
      </c>
      <c r="EW30" s="455">
        <f t="shared" si="13"/>
        <v>261901</v>
      </c>
      <c r="EX30" s="272">
        <v>261901</v>
      </c>
      <c r="EY30" s="272">
        <v>70971</v>
      </c>
      <c r="EZ30" s="272">
        <v>184286</v>
      </c>
      <c r="FA30" s="272">
        <v>0</v>
      </c>
      <c r="FB30" s="272"/>
      <c r="FC30" s="272">
        <v>1601991</v>
      </c>
      <c r="FD30" s="272">
        <v>2710894</v>
      </c>
      <c r="FE30" s="272">
        <v>2157770</v>
      </c>
      <c r="FF30" s="272">
        <v>2894418</v>
      </c>
      <c r="FG30" s="455">
        <f t="shared" si="14"/>
        <v>271112</v>
      </c>
      <c r="FH30" s="272">
        <v>14791691</v>
      </c>
      <c r="FI30" s="384">
        <f t="shared" si="15"/>
        <v>0.2</v>
      </c>
      <c r="FJ30" s="272">
        <v>12616025</v>
      </c>
      <c r="FK30" s="272">
        <v>661788</v>
      </c>
      <c r="FL30" s="272">
        <v>6717539</v>
      </c>
      <c r="FM30" s="272">
        <v>10430628</v>
      </c>
      <c r="FN30" s="460">
        <v>0.64600000000000002</v>
      </c>
      <c r="FO30" s="388">
        <v>93.9</v>
      </c>
      <c r="FP30" s="388">
        <v>34.9</v>
      </c>
      <c r="FQ30" s="388">
        <v>6.8</v>
      </c>
      <c r="FR30" s="388">
        <v>10.6</v>
      </c>
      <c r="FS30" s="388">
        <v>9.8000000000000007</v>
      </c>
      <c r="FT30" s="388">
        <v>18.2</v>
      </c>
      <c r="FU30" s="388">
        <v>12.6</v>
      </c>
      <c r="FV30" s="388">
        <v>6.6</v>
      </c>
      <c r="FW30" s="272">
        <v>11816149</v>
      </c>
      <c r="FX30" s="384">
        <f t="shared" si="16"/>
        <v>93.7</v>
      </c>
      <c r="FY30" s="272">
        <v>3140119</v>
      </c>
      <c r="FZ30" s="272">
        <v>1090916</v>
      </c>
      <c r="GA30" s="272">
        <v>171979</v>
      </c>
      <c r="GB30" s="272">
        <v>1877224</v>
      </c>
      <c r="GC30" s="272"/>
      <c r="GD30" s="272">
        <v>551311</v>
      </c>
      <c r="GE30" s="384">
        <f t="shared" si="17"/>
        <v>4.4000000000000004</v>
      </c>
      <c r="GF30" s="388">
        <v>97.6</v>
      </c>
      <c r="GG30" s="388">
        <v>21.8</v>
      </c>
      <c r="GH30" s="388">
        <v>91.9</v>
      </c>
      <c r="GI30" s="272">
        <v>517</v>
      </c>
    </row>
    <row r="31" spans="2:191" x14ac:dyDescent="0.15">
      <c r="B31" s="89" t="s">
        <v>55</v>
      </c>
      <c r="C31" s="272">
        <v>80754955</v>
      </c>
      <c r="D31" s="455">
        <f t="shared" si="0"/>
        <v>21012608</v>
      </c>
      <c r="E31" s="272">
        <v>540319</v>
      </c>
      <c r="F31" s="272">
        <v>20472289</v>
      </c>
      <c r="G31" s="455">
        <f t="shared" si="1"/>
        <v>6104123</v>
      </c>
      <c r="H31" s="272">
        <v>1487317</v>
      </c>
      <c r="I31" s="272">
        <v>4616806</v>
      </c>
      <c r="J31" s="272">
        <v>38682443</v>
      </c>
      <c r="K31" s="272">
        <v>21474274</v>
      </c>
      <c r="L31" s="272">
        <v>12993798</v>
      </c>
      <c r="M31" s="272">
        <v>3930823</v>
      </c>
      <c r="N31" s="272">
        <v>3743716</v>
      </c>
      <c r="O31" s="272">
        <v>8715688</v>
      </c>
      <c r="P31" s="272">
        <v>5735108</v>
      </c>
      <c r="Q31" s="272">
        <v>2980580</v>
      </c>
      <c r="R31" s="272">
        <v>960157</v>
      </c>
      <c r="S31" s="272"/>
      <c r="T31" s="455">
        <f t="shared" si="2"/>
        <v>6424783</v>
      </c>
      <c r="U31" s="272">
        <v>945733</v>
      </c>
      <c r="V31" s="272"/>
      <c r="W31" s="272"/>
      <c r="X31" s="272">
        <v>4640541</v>
      </c>
      <c r="Y31" s="272">
        <v>0</v>
      </c>
      <c r="Z31" s="272">
        <v>0</v>
      </c>
      <c r="AA31" s="272">
        <v>838509</v>
      </c>
      <c r="AB31" s="272">
        <v>2408897</v>
      </c>
      <c r="AC31" s="272">
        <v>15550820</v>
      </c>
      <c r="AD31" s="272">
        <v>14524764</v>
      </c>
      <c r="AE31" s="272">
        <v>1026056</v>
      </c>
      <c r="AF31" s="272">
        <v>98858</v>
      </c>
      <c r="AG31" s="272">
        <v>3496427</v>
      </c>
      <c r="AH31" s="455">
        <f t="shared" si="3"/>
        <v>3304999</v>
      </c>
      <c r="AI31" s="272">
        <v>2607905</v>
      </c>
      <c r="AJ31" s="272">
        <v>697094</v>
      </c>
      <c r="AK31" s="272">
        <v>24570709</v>
      </c>
      <c r="AL31" s="455">
        <f t="shared" si="4"/>
        <v>17503659</v>
      </c>
      <c r="AM31" s="272">
        <v>15686757</v>
      </c>
      <c r="AN31" s="272">
        <v>1671774</v>
      </c>
      <c r="AO31" s="272">
        <v>64247</v>
      </c>
      <c r="AP31" s="272">
        <v>80881</v>
      </c>
      <c r="AQ31" s="272">
        <v>1688026</v>
      </c>
      <c r="AR31" s="272">
        <v>0</v>
      </c>
      <c r="AS31" s="272">
        <v>0</v>
      </c>
      <c r="AT31" s="272">
        <v>7395007</v>
      </c>
      <c r="AU31" s="272">
        <v>3837280</v>
      </c>
      <c r="AV31" s="272">
        <v>835887</v>
      </c>
      <c r="AW31" s="272">
        <v>244383</v>
      </c>
      <c r="AX31" s="272">
        <v>3557727</v>
      </c>
      <c r="AY31" s="272">
        <v>449663</v>
      </c>
      <c r="AZ31" s="272">
        <v>202890</v>
      </c>
      <c r="BA31" s="272">
        <v>98667</v>
      </c>
      <c r="BB31" s="272">
        <v>276342</v>
      </c>
      <c r="BC31" s="272">
        <v>15392871</v>
      </c>
      <c r="BD31" s="272">
        <v>1748537</v>
      </c>
      <c r="BE31" s="272">
        <v>1543895</v>
      </c>
      <c r="BF31" s="272">
        <v>10561469</v>
      </c>
      <c r="BG31" s="272">
        <v>0</v>
      </c>
      <c r="BH31" s="272">
        <v>1548003</v>
      </c>
      <c r="BI31" s="272">
        <v>643535</v>
      </c>
      <c r="BJ31" s="272">
        <v>3985474</v>
      </c>
      <c r="BK31" s="272">
        <v>3040763</v>
      </c>
      <c r="BL31" s="272">
        <v>48598</v>
      </c>
      <c r="BM31" s="272">
        <v>76999</v>
      </c>
      <c r="BN31" s="272">
        <v>24477763</v>
      </c>
      <c r="BO31" s="455">
        <f t="shared" si="5"/>
        <v>18720263</v>
      </c>
      <c r="BP31" s="455">
        <f t="shared" si="6"/>
        <v>5757500</v>
      </c>
      <c r="BQ31" s="272">
        <v>918300</v>
      </c>
      <c r="BR31" s="272">
        <v>0</v>
      </c>
      <c r="BS31" s="272">
        <v>4839200</v>
      </c>
      <c r="BT31" s="272">
        <v>0</v>
      </c>
      <c r="BU31" s="272">
        <v>190848955</v>
      </c>
      <c r="BV31" s="272"/>
      <c r="BW31" s="272">
        <v>42647564</v>
      </c>
      <c r="BX31" s="272">
        <v>30674212</v>
      </c>
      <c r="BY31" s="272">
        <v>5049170</v>
      </c>
      <c r="BZ31" s="272">
        <v>836370</v>
      </c>
      <c r="CA31" s="272">
        <v>37213518</v>
      </c>
      <c r="CB31" s="272">
        <v>3065510</v>
      </c>
      <c r="CC31" s="272">
        <v>1796101</v>
      </c>
      <c r="CD31" s="272">
        <v>8091548</v>
      </c>
      <c r="CE31" s="272">
        <v>21192989</v>
      </c>
      <c r="CF31" s="272">
        <v>2650708</v>
      </c>
      <c r="CG31" s="272">
        <v>416662</v>
      </c>
      <c r="CH31" s="272">
        <v>17677805</v>
      </c>
      <c r="CI31" s="272">
        <v>13522981</v>
      </c>
      <c r="CJ31" s="455">
        <f t="shared" si="7"/>
        <v>4154824</v>
      </c>
      <c r="CK31" s="272">
        <v>15773620</v>
      </c>
      <c r="CL31" s="272">
        <v>9330081</v>
      </c>
      <c r="CM31" s="272">
        <v>1086054</v>
      </c>
      <c r="CN31" s="272">
        <v>2723879</v>
      </c>
      <c r="CO31" s="272">
        <v>1412820</v>
      </c>
      <c r="CP31" s="272">
        <v>11131453</v>
      </c>
      <c r="CQ31" s="272">
        <v>4200708</v>
      </c>
      <c r="CR31" s="272">
        <v>3830808</v>
      </c>
      <c r="CS31" s="272">
        <v>2873617</v>
      </c>
      <c r="CT31" s="455">
        <f t="shared" si="8"/>
        <v>1416231</v>
      </c>
      <c r="CU31" s="272">
        <v>1145537</v>
      </c>
      <c r="CV31" s="272">
        <v>270694</v>
      </c>
      <c r="CW31" s="455">
        <f t="shared" si="9"/>
        <v>1301909</v>
      </c>
      <c r="CX31" s="272">
        <v>1031215</v>
      </c>
      <c r="CY31" s="272">
        <v>270694</v>
      </c>
      <c r="CZ31" s="455">
        <f t="shared" si="10"/>
        <v>0</v>
      </c>
      <c r="DA31" s="272">
        <v>0</v>
      </c>
      <c r="DB31" s="272">
        <v>0</v>
      </c>
      <c r="DC31" s="272">
        <v>37358854</v>
      </c>
      <c r="DD31" s="272">
        <v>3400001</v>
      </c>
      <c r="DE31" s="272">
        <v>32851691</v>
      </c>
      <c r="DF31" s="272">
        <v>610988</v>
      </c>
      <c r="DG31" s="272">
        <v>496174</v>
      </c>
      <c r="DH31" s="272">
        <v>0</v>
      </c>
      <c r="DI31" s="272">
        <v>615870</v>
      </c>
      <c r="DJ31" s="272">
        <v>24300</v>
      </c>
      <c r="DK31" s="272">
        <v>328600</v>
      </c>
      <c r="DL31" s="272">
        <v>262970</v>
      </c>
      <c r="DM31" s="272">
        <v>809881</v>
      </c>
      <c r="DN31" s="272">
        <v>741881</v>
      </c>
      <c r="DO31" s="272">
        <v>0</v>
      </c>
      <c r="DP31" s="272">
        <v>741881</v>
      </c>
      <c r="DQ31" s="272">
        <v>3120504</v>
      </c>
      <c r="DR31" s="272">
        <v>0</v>
      </c>
      <c r="DS31" s="272">
        <v>0</v>
      </c>
      <c r="DT31" s="272">
        <v>22278982</v>
      </c>
      <c r="DU31" s="272">
        <v>11762866</v>
      </c>
      <c r="DV31" s="455">
        <f t="shared" si="11"/>
        <v>0</v>
      </c>
      <c r="DW31" s="272">
        <v>0</v>
      </c>
      <c r="DX31" s="272">
        <v>0</v>
      </c>
      <c r="DY31" s="272">
        <v>0</v>
      </c>
      <c r="DZ31" s="272">
        <v>5706851</v>
      </c>
      <c r="EA31" s="272">
        <v>1752964</v>
      </c>
      <c r="EB31" s="272">
        <v>2570621</v>
      </c>
      <c r="EC31" s="272">
        <v>0</v>
      </c>
      <c r="ED31" s="272">
        <v>190040871</v>
      </c>
      <c r="EF31" s="272">
        <v>808084</v>
      </c>
      <c r="EG31" s="272">
        <v>406704</v>
      </c>
      <c r="EH31" s="272">
        <v>401380</v>
      </c>
      <c r="EI31" s="272">
        <v>-242155</v>
      </c>
      <c r="EJ31" s="272">
        <v>-421608</v>
      </c>
      <c r="EL31" s="272"/>
      <c r="EM31" s="272">
        <v>496206</v>
      </c>
      <c r="EN31" s="272">
        <v>3332133</v>
      </c>
      <c r="EO31" s="272">
        <v>89430</v>
      </c>
      <c r="EP31" s="455">
        <f t="shared" si="12"/>
        <v>3237886</v>
      </c>
      <c r="EQ31" s="272">
        <v>106198470</v>
      </c>
      <c r="ER31" s="272">
        <v>-12318091</v>
      </c>
      <c r="ES31" s="272">
        <v>40098378</v>
      </c>
      <c r="ET31" s="272">
        <v>28360731</v>
      </c>
      <c r="EU31" s="272">
        <v>10447662</v>
      </c>
      <c r="EV31" s="272">
        <v>17388618</v>
      </c>
      <c r="EW31" s="455">
        <f t="shared" si="13"/>
        <v>4871979</v>
      </c>
      <c r="EX31" s="272">
        <v>4871979</v>
      </c>
      <c r="EY31" s="272">
        <v>102731</v>
      </c>
      <c r="EZ31" s="272">
        <v>4749885</v>
      </c>
      <c r="FA31" s="272">
        <v>0</v>
      </c>
      <c r="FB31" s="272"/>
      <c r="FC31" s="272">
        <v>11810414</v>
      </c>
      <c r="FD31" s="272">
        <v>10122384</v>
      </c>
      <c r="FE31" s="272">
        <v>4200708</v>
      </c>
      <c r="FF31" s="272">
        <v>20673296</v>
      </c>
      <c r="FG31" s="455">
        <f t="shared" si="14"/>
        <v>2303651</v>
      </c>
      <c r="FH31" s="272">
        <v>117716382</v>
      </c>
      <c r="FI31" s="384">
        <f t="shared" si="15"/>
        <v>0.4</v>
      </c>
      <c r="FJ31" s="272">
        <v>98660754</v>
      </c>
      <c r="FK31" s="272">
        <v>4839233</v>
      </c>
      <c r="FL31" s="272">
        <v>63364990</v>
      </c>
      <c r="FM31" s="272">
        <v>77871576</v>
      </c>
      <c r="FN31" s="460">
        <v>0.82699999999999996</v>
      </c>
      <c r="FO31" s="388">
        <v>97.9</v>
      </c>
      <c r="FP31" s="388">
        <v>37.299999999999997</v>
      </c>
      <c r="FQ31" s="388">
        <v>10.199999999999999</v>
      </c>
      <c r="FR31" s="388">
        <v>14.9</v>
      </c>
      <c r="FS31" s="388">
        <v>10.1</v>
      </c>
      <c r="FT31" s="388">
        <v>8.6999999999999993</v>
      </c>
      <c r="FU31" s="388">
        <v>15.6</v>
      </c>
      <c r="FV31" s="388">
        <v>9.9</v>
      </c>
      <c r="FW31" s="272">
        <v>145563845</v>
      </c>
      <c r="FX31" s="384">
        <f t="shared" si="16"/>
        <v>147.5</v>
      </c>
      <c r="FY31" s="272">
        <v>13444116</v>
      </c>
      <c r="FZ31" s="272">
        <v>5513363</v>
      </c>
      <c r="GA31" s="272">
        <v>2486105</v>
      </c>
      <c r="GB31" s="272">
        <v>5444648</v>
      </c>
      <c r="GC31" s="272"/>
      <c r="GD31" s="272">
        <v>30438877</v>
      </c>
      <c r="GE31" s="384">
        <f t="shared" si="17"/>
        <v>30.9</v>
      </c>
      <c r="GF31" s="388">
        <v>96.2</v>
      </c>
      <c r="GG31" s="388">
        <v>27.7</v>
      </c>
      <c r="GH31" s="388">
        <v>89.8</v>
      </c>
      <c r="GI31" s="272">
        <v>3541</v>
      </c>
    </row>
    <row r="32" spans="2:191" x14ac:dyDescent="0.15">
      <c r="B32" s="89" t="s">
        <v>57</v>
      </c>
      <c r="C32" s="272">
        <v>9462001</v>
      </c>
      <c r="D32" s="455">
        <f t="shared" si="0"/>
        <v>2194173</v>
      </c>
      <c r="E32" s="272">
        <v>51872</v>
      </c>
      <c r="F32" s="272">
        <v>2142301</v>
      </c>
      <c r="G32" s="455">
        <f t="shared" si="1"/>
        <v>347067</v>
      </c>
      <c r="H32" s="272">
        <v>144540</v>
      </c>
      <c r="I32" s="272">
        <v>202527</v>
      </c>
      <c r="J32" s="272">
        <v>5549043</v>
      </c>
      <c r="K32" s="272">
        <v>2747405</v>
      </c>
      <c r="L32" s="272">
        <v>1606024</v>
      </c>
      <c r="M32" s="272">
        <v>1181158</v>
      </c>
      <c r="N32" s="272">
        <v>348081</v>
      </c>
      <c r="O32" s="272">
        <v>938856</v>
      </c>
      <c r="P32" s="272">
        <v>612505</v>
      </c>
      <c r="Q32" s="272">
        <v>326351</v>
      </c>
      <c r="R32" s="272">
        <v>180777</v>
      </c>
      <c r="S32" s="272"/>
      <c r="T32" s="455">
        <f t="shared" si="2"/>
        <v>776757</v>
      </c>
      <c r="U32" s="272">
        <v>100078</v>
      </c>
      <c r="V32" s="272"/>
      <c r="W32" s="272"/>
      <c r="X32" s="272">
        <v>495389</v>
      </c>
      <c r="Y32" s="272">
        <v>56295</v>
      </c>
      <c r="Z32" s="272">
        <v>0</v>
      </c>
      <c r="AA32" s="272">
        <v>124995</v>
      </c>
      <c r="AB32" s="272">
        <v>223870</v>
      </c>
      <c r="AC32" s="272">
        <v>2513515</v>
      </c>
      <c r="AD32" s="272">
        <v>2009509</v>
      </c>
      <c r="AE32" s="272">
        <v>504006</v>
      </c>
      <c r="AF32" s="272">
        <v>11393</v>
      </c>
      <c r="AG32" s="272">
        <v>52996</v>
      </c>
      <c r="AH32" s="455">
        <f t="shared" si="3"/>
        <v>380376</v>
      </c>
      <c r="AI32" s="272">
        <v>279701</v>
      </c>
      <c r="AJ32" s="272">
        <v>100675</v>
      </c>
      <c r="AK32" s="272">
        <v>2069129</v>
      </c>
      <c r="AL32" s="455">
        <f t="shared" si="4"/>
        <v>1345516</v>
      </c>
      <c r="AM32" s="272">
        <v>1165091</v>
      </c>
      <c r="AN32" s="272">
        <v>177231</v>
      </c>
      <c r="AO32" s="272">
        <v>0</v>
      </c>
      <c r="AP32" s="272">
        <v>3194</v>
      </c>
      <c r="AQ32" s="272">
        <v>37772</v>
      </c>
      <c r="AR32" s="272">
        <v>0</v>
      </c>
      <c r="AS32" s="272">
        <v>0</v>
      </c>
      <c r="AT32" s="272">
        <v>1073857</v>
      </c>
      <c r="AU32" s="272">
        <v>646987</v>
      </c>
      <c r="AV32" s="272">
        <v>88615</v>
      </c>
      <c r="AW32" s="272">
        <v>197888</v>
      </c>
      <c r="AX32" s="272">
        <v>426870</v>
      </c>
      <c r="AY32" s="272">
        <v>44585</v>
      </c>
      <c r="AZ32" s="272">
        <v>16379</v>
      </c>
      <c r="BA32" s="272">
        <v>12263</v>
      </c>
      <c r="BB32" s="272">
        <v>71644</v>
      </c>
      <c r="BC32" s="272">
        <v>933737</v>
      </c>
      <c r="BD32" s="272">
        <v>0</v>
      </c>
      <c r="BE32" s="272">
        <v>520138</v>
      </c>
      <c r="BF32" s="272">
        <v>386656</v>
      </c>
      <c r="BG32" s="272">
        <v>0</v>
      </c>
      <c r="BH32" s="272">
        <v>0</v>
      </c>
      <c r="BI32" s="272">
        <v>0</v>
      </c>
      <c r="BJ32" s="272">
        <v>236255</v>
      </c>
      <c r="BK32" s="272">
        <v>3754</v>
      </c>
      <c r="BL32" s="272">
        <v>0</v>
      </c>
      <c r="BM32" s="272">
        <v>0</v>
      </c>
      <c r="BN32" s="272">
        <v>1654100</v>
      </c>
      <c r="BO32" s="455">
        <f t="shared" si="5"/>
        <v>920900</v>
      </c>
      <c r="BP32" s="455">
        <f t="shared" si="6"/>
        <v>733200</v>
      </c>
      <c r="BQ32" s="272">
        <v>85800</v>
      </c>
      <c r="BR32" s="272">
        <v>0</v>
      </c>
      <c r="BS32" s="272">
        <v>647400</v>
      </c>
      <c r="BT32" s="272">
        <v>0</v>
      </c>
      <c r="BU32" s="272">
        <v>19656786</v>
      </c>
      <c r="BV32" s="272"/>
      <c r="BW32" s="272">
        <v>6589290</v>
      </c>
      <c r="BX32" s="272">
        <v>4424620</v>
      </c>
      <c r="BY32" s="272">
        <v>717938</v>
      </c>
      <c r="BZ32" s="272">
        <v>353011</v>
      </c>
      <c r="CA32" s="272">
        <v>2804282</v>
      </c>
      <c r="CB32" s="272">
        <v>397675</v>
      </c>
      <c r="CC32" s="272">
        <v>173114</v>
      </c>
      <c r="CD32" s="272">
        <v>600553</v>
      </c>
      <c r="CE32" s="272">
        <v>1572775</v>
      </c>
      <c r="CF32" s="272">
        <v>448</v>
      </c>
      <c r="CG32" s="272">
        <v>59717</v>
      </c>
      <c r="CH32" s="272">
        <v>2600524</v>
      </c>
      <c r="CI32" s="272">
        <v>1799522</v>
      </c>
      <c r="CJ32" s="455">
        <f t="shared" si="7"/>
        <v>801002</v>
      </c>
      <c r="CK32" s="272">
        <v>2322316</v>
      </c>
      <c r="CL32" s="272">
        <v>1271655</v>
      </c>
      <c r="CM32" s="272">
        <v>141710</v>
      </c>
      <c r="CN32" s="272">
        <v>483292</v>
      </c>
      <c r="CO32" s="272">
        <v>176724</v>
      </c>
      <c r="CP32" s="272">
        <v>1229933</v>
      </c>
      <c r="CQ32" s="272">
        <v>523537</v>
      </c>
      <c r="CR32" s="272">
        <v>276687</v>
      </c>
      <c r="CS32" s="272">
        <v>183692</v>
      </c>
      <c r="CT32" s="455">
        <f t="shared" si="8"/>
        <v>1651</v>
      </c>
      <c r="CU32" s="272">
        <v>1651</v>
      </c>
      <c r="CV32" s="272">
        <v>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1812051</v>
      </c>
      <c r="DD32" s="272">
        <v>402130</v>
      </c>
      <c r="DE32" s="272">
        <v>1386009</v>
      </c>
      <c r="DF32" s="272">
        <v>23912</v>
      </c>
      <c r="DG32" s="272">
        <v>0</v>
      </c>
      <c r="DH32" s="272">
        <v>26597</v>
      </c>
      <c r="DI32" s="272">
        <v>92229</v>
      </c>
      <c r="DJ32" s="272">
        <v>0</v>
      </c>
      <c r="DK32" s="272">
        <v>10251</v>
      </c>
      <c r="DL32" s="272">
        <v>81978</v>
      </c>
      <c r="DM32" s="272">
        <v>26000</v>
      </c>
      <c r="DN32" s="272">
        <v>26000</v>
      </c>
      <c r="DO32" s="272">
        <v>26000</v>
      </c>
      <c r="DP32" s="272">
        <v>0</v>
      </c>
      <c r="DQ32" s="272">
        <v>3200</v>
      </c>
      <c r="DR32" s="272">
        <v>0</v>
      </c>
      <c r="DS32" s="272">
        <v>0</v>
      </c>
      <c r="DT32" s="272">
        <v>2502464</v>
      </c>
      <c r="DU32" s="272">
        <v>1355640</v>
      </c>
      <c r="DV32" s="455">
        <f t="shared" si="11"/>
        <v>0</v>
      </c>
      <c r="DW32" s="272">
        <v>0</v>
      </c>
      <c r="DX32" s="272">
        <v>0</v>
      </c>
      <c r="DY32" s="272">
        <v>0</v>
      </c>
      <c r="DZ32" s="272">
        <v>530330</v>
      </c>
      <c r="EA32" s="272">
        <v>253117</v>
      </c>
      <c r="EB32" s="272">
        <v>363377</v>
      </c>
      <c r="EC32" s="272">
        <v>256145</v>
      </c>
      <c r="ED32" s="272">
        <v>20441755</v>
      </c>
      <c r="EF32" s="272">
        <v>-784969</v>
      </c>
      <c r="EG32" s="272">
        <v>146</v>
      </c>
      <c r="EH32" s="272">
        <v>-785115</v>
      </c>
      <c r="EI32" s="272">
        <v>-527101</v>
      </c>
      <c r="EJ32" s="272">
        <v>-521328</v>
      </c>
      <c r="EL32" s="272"/>
      <c r="EM32" s="272">
        <v>64844</v>
      </c>
      <c r="EN32" s="272">
        <v>531027</v>
      </c>
      <c r="EO32" s="272">
        <v>12407</v>
      </c>
      <c r="EP32" s="455">
        <f t="shared" si="12"/>
        <v>194810</v>
      </c>
      <c r="EQ32" s="272">
        <v>13168313</v>
      </c>
      <c r="ER32" s="272">
        <v>-1460051</v>
      </c>
      <c r="ES32" s="272">
        <v>6083069</v>
      </c>
      <c r="ET32" s="272">
        <v>3997811</v>
      </c>
      <c r="EU32" s="272">
        <v>873521</v>
      </c>
      <c r="EV32" s="272">
        <v>2537192</v>
      </c>
      <c r="EW32" s="455">
        <f t="shared" si="13"/>
        <v>156530</v>
      </c>
      <c r="EX32" s="272">
        <v>147492</v>
      </c>
      <c r="EY32" s="272">
        <v>24664</v>
      </c>
      <c r="EZ32" s="272">
        <v>121158</v>
      </c>
      <c r="FA32" s="272">
        <v>9038</v>
      </c>
      <c r="FB32" s="272"/>
      <c r="FC32" s="272">
        <v>1836519</v>
      </c>
      <c r="FD32" s="272">
        <v>1146715</v>
      </c>
      <c r="FE32" s="272">
        <v>523537</v>
      </c>
      <c r="FF32" s="272">
        <v>2332508</v>
      </c>
      <c r="FG32" s="455">
        <f t="shared" si="14"/>
        <v>447279</v>
      </c>
      <c r="FH32" s="272">
        <v>15413333</v>
      </c>
      <c r="FI32" s="384">
        <f t="shared" si="15"/>
        <v>-6.4</v>
      </c>
      <c r="FJ32" s="272">
        <v>12213935</v>
      </c>
      <c r="FK32" s="272">
        <v>647468</v>
      </c>
      <c r="FL32" s="272">
        <v>7701659</v>
      </c>
      <c r="FM32" s="272">
        <v>9717148</v>
      </c>
      <c r="FN32" s="460">
        <v>0.79700000000000004</v>
      </c>
      <c r="FO32" s="388">
        <v>104.6</v>
      </c>
      <c r="FP32" s="388">
        <v>44.3</v>
      </c>
      <c r="FQ32" s="388">
        <v>6.9</v>
      </c>
      <c r="FR32" s="388">
        <v>20.2</v>
      </c>
      <c r="FS32" s="388">
        <v>13.6</v>
      </c>
      <c r="FT32" s="388">
        <v>7.8</v>
      </c>
      <c r="FU32" s="388">
        <v>10.9</v>
      </c>
      <c r="FV32" s="388">
        <v>13.7</v>
      </c>
      <c r="FW32" s="272">
        <v>23165039</v>
      </c>
      <c r="FX32" s="384">
        <f t="shared" si="16"/>
        <v>189.7</v>
      </c>
      <c r="FY32" s="272">
        <v>1965405</v>
      </c>
      <c r="FZ32" s="272"/>
      <c r="GA32" s="272">
        <v>345458</v>
      </c>
      <c r="GB32" s="272">
        <v>1619947</v>
      </c>
      <c r="GC32" s="272"/>
      <c r="GD32" s="272">
        <v>11591959</v>
      </c>
      <c r="GE32" s="384">
        <f t="shared" si="17"/>
        <v>94.9</v>
      </c>
      <c r="GF32" s="388">
        <v>94.5</v>
      </c>
      <c r="GG32" s="388">
        <v>14.6</v>
      </c>
      <c r="GH32" s="388">
        <v>82.6</v>
      </c>
      <c r="GI32" s="272">
        <v>622</v>
      </c>
    </row>
    <row r="33" spans="2:191" x14ac:dyDescent="0.15">
      <c r="B33" s="89" t="s">
        <v>59</v>
      </c>
      <c r="C33" s="272">
        <v>6913845</v>
      </c>
      <c r="D33" s="455">
        <f t="shared" si="0"/>
        <v>2514569</v>
      </c>
      <c r="E33" s="272">
        <v>49954</v>
      </c>
      <c r="F33" s="272">
        <v>2464615</v>
      </c>
      <c r="G33" s="455">
        <f t="shared" si="1"/>
        <v>241274</v>
      </c>
      <c r="H33" s="272">
        <v>98029</v>
      </c>
      <c r="I33" s="272">
        <v>143245</v>
      </c>
      <c r="J33" s="272">
        <v>3127275</v>
      </c>
      <c r="K33" s="272">
        <v>1678220</v>
      </c>
      <c r="L33" s="272">
        <v>1196388</v>
      </c>
      <c r="M33" s="272">
        <v>237069</v>
      </c>
      <c r="N33" s="272">
        <v>281809</v>
      </c>
      <c r="O33" s="272">
        <v>708406</v>
      </c>
      <c r="P33" s="272">
        <v>448887</v>
      </c>
      <c r="Q33" s="272">
        <v>259519</v>
      </c>
      <c r="R33" s="272">
        <v>120986</v>
      </c>
      <c r="S33" s="272"/>
      <c r="T33" s="455">
        <f t="shared" si="2"/>
        <v>634320</v>
      </c>
      <c r="U33" s="272">
        <v>109097</v>
      </c>
      <c r="V33" s="272"/>
      <c r="W33" s="272"/>
      <c r="X33" s="272">
        <v>387613</v>
      </c>
      <c r="Y33" s="272">
        <v>31941</v>
      </c>
      <c r="Z33" s="272">
        <v>0</v>
      </c>
      <c r="AA33" s="272">
        <v>105669</v>
      </c>
      <c r="AB33" s="272">
        <v>246984</v>
      </c>
      <c r="AC33" s="272">
        <v>3939708</v>
      </c>
      <c r="AD33" s="272">
        <v>3542671</v>
      </c>
      <c r="AE33" s="272">
        <v>397037</v>
      </c>
      <c r="AF33" s="272">
        <v>10040</v>
      </c>
      <c r="AG33" s="272">
        <v>105646</v>
      </c>
      <c r="AH33" s="455">
        <f t="shared" si="3"/>
        <v>306472</v>
      </c>
      <c r="AI33" s="272">
        <v>190466</v>
      </c>
      <c r="AJ33" s="272">
        <v>116006</v>
      </c>
      <c r="AK33" s="272">
        <v>1449632</v>
      </c>
      <c r="AL33" s="455">
        <f t="shared" si="4"/>
        <v>1143087</v>
      </c>
      <c r="AM33" s="272">
        <v>707903</v>
      </c>
      <c r="AN33" s="272">
        <v>424801</v>
      </c>
      <c r="AO33" s="272">
        <v>0</v>
      </c>
      <c r="AP33" s="272">
        <v>10383</v>
      </c>
      <c r="AQ33" s="272">
        <v>9310</v>
      </c>
      <c r="AR33" s="272">
        <v>0</v>
      </c>
      <c r="AS33" s="272">
        <v>0</v>
      </c>
      <c r="AT33" s="272">
        <v>749161</v>
      </c>
      <c r="AU33" s="272">
        <v>422733</v>
      </c>
      <c r="AV33" s="272">
        <v>126530</v>
      </c>
      <c r="AW33" s="272">
        <v>0</v>
      </c>
      <c r="AX33" s="272">
        <v>326428</v>
      </c>
      <c r="AY33" s="272">
        <v>6136</v>
      </c>
      <c r="AZ33" s="272">
        <v>10354</v>
      </c>
      <c r="BA33" s="272">
        <v>0</v>
      </c>
      <c r="BB33" s="272">
        <v>4570</v>
      </c>
      <c r="BC33" s="272">
        <v>165180</v>
      </c>
      <c r="BD33" s="272">
        <v>61000</v>
      </c>
      <c r="BE33" s="272">
        <v>40000</v>
      </c>
      <c r="BF33" s="272">
        <v>30181</v>
      </c>
      <c r="BG33" s="272">
        <v>14000</v>
      </c>
      <c r="BH33" s="272">
        <v>0</v>
      </c>
      <c r="BI33" s="272">
        <v>0</v>
      </c>
      <c r="BJ33" s="272">
        <v>135935</v>
      </c>
      <c r="BK33" s="272">
        <v>9000</v>
      </c>
      <c r="BL33" s="272">
        <v>0</v>
      </c>
      <c r="BM33" s="272">
        <v>0</v>
      </c>
      <c r="BN33" s="272">
        <v>1086429</v>
      </c>
      <c r="BO33" s="455">
        <f t="shared" si="5"/>
        <v>452229</v>
      </c>
      <c r="BP33" s="455">
        <f t="shared" si="6"/>
        <v>634200</v>
      </c>
      <c r="BQ33" s="272">
        <v>91000</v>
      </c>
      <c r="BR33" s="272">
        <v>0</v>
      </c>
      <c r="BS33" s="272">
        <v>543200</v>
      </c>
      <c r="BT33" s="272">
        <v>0</v>
      </c>
      <c r="BU33" s="272">
        <v>15879262</v>
      </c>
      <c r="BV33" s="272"/>
      <c r="BW33" s="272">
        <v>5032997</v>
      </c>
      <c r="BX33" s="272">
        <v>3784033</v>
      </c>
      <c r="BY33" s="272">
        <v>307406</v>
      </c>
      <c r="BZ33" s="272">
        <v>79446</v>
      </c>
      <c r="CA33" s="272">
        <v>2345503</v>
      </c>
      <c r="CB33" s="272">
        <v>312901</v>
      </c>
      <c r="CC33" s="272">
        <v>168600</v>
      </c>
      <c r="CD33" s="272">
        <v>851711</v>
      </c>
      <c r="CE33" s="272">
        <v>946098</v>
      </c>
      <c r="CF33" s="272">
        <v>10394</v>
      </c>
      <c r="CG33" s="272">
        <v>55468</v>
      </c>
      <c r="CH33" s="272">
        <v>1918886</v>
      </c>
      <c r="CI33" s="272">
        <v>1333450</v>
      </c>
      <c r="CJ33" s="455">
        <f t="shared" si="7"/>
        <v>585436</v>
      </c>
      <c r="CK33" s="272">
        <v>2392983</v>
      </c>
      <c r="CL33" s="272">
        <v>1406159</v>
      </c>
      <c r="CM33" s="272">
        <v>287089</v>
      </c>
      <c r="CN33" s="272">
        <v>313637</v>
      </c>
      <c r="CO33" s="272">
        <v>44788</v>
      </c>
      <c r="CP33" s="272">
        <v>1067348</v>
      </c>
      <c r="CQ33" s="272">
        <v>410935</v>
      </c>
      <c r="CR33" s="272">
        <v>332346</v>
      </c>
      <c r="CS33" s="272">
        <v>266626</v>
      </c>
      <c r="CT33" s="455">
        <f t="shared" si="8"/>
        <v>14798</v>
      </c>
      <c r="CU33" s="272">
        <v>2250</v>
      </c>
      <c r="CV33" s="272">
        <v>12548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616846</v>
      </c>
      <c r="DD33" s="272">
        <v>182630</v>
      </c>
      <c r="DE33" s="272">
        <v>418039</v>
      </c>
      <c r="DF33" s="272">
        <v>13513</v>
      </c>
      <c r="DG33" s="272">
        <v>0</v>
      </c>
      <c r="DH33" s="272">
        <v>0</v>
      </c>
      <c r="DI33" s="272">
        <v>76397</v>
      </c>
      <c r="DJ33" s="272">
        <v>1094</v>
      </c>
      <c r="DK33" s="272">
        <v>231</v>
      </c>
      <c r="DL33" s="272">
        <v>75072</v>
      </c>
      <c r="DM33" s="272">
        <v>0</v>
      </c>
      <c r="DN33" s="272">
        <v>0</v>
      </c>
      <c r="DO33" s="272">
        <v>0</v>
      </c>
      <c r="DP33" s="272">
        <v>0</v>
      </c>
      <c r="DQ33" s="272">
        <v>9000</v>
      </c>
      <c r="DR33" s="272">
        <v>0</v>
      </c>
      <c r="DS33" s="272">
        <v>0</v>
      </c>
      <c r="DT33" s="272">
        <v>2234951</v>
      </c>
      <c r="DU33" s="272">
        <v>1372722</v>
      </c>
      <c r="DV33" s="455">
        <f t="shared" si="11"/>
        <v>0</v>
      </c>
      <c r="DW33" s="272">
        <v>0</v>
      </c>
      <c r="DX33" s="272">
        <v>0</v>
      </c>
      <c r="DY33" s="272">
        <v>0</v>
      </c>
      <c r="DZ33" s="272">
        <v>443805</v>
      </c>
      <c r="EA33" s="272">
        <v>190529</v>
      </c>
      <c r="EB33" s="272">
        <v>222895</v>
      </c>
      <c r="EC33" s="272">
        <v>1306675</v>
      </c>
      <c r="ED33" s="272">
        <v>17046374</v>
      </c>
      <c r="EF33" s="272">
        <v>-1167112</v>
      </c>
      <c r="EG33" s="272">
        <v>30172</v>
      </c>
      <c r="EH33" s="272">
        <v>-1197284</v>
      </c>
      <c r="EI33" s="272">
        <v>130439</v>
      </c>
      <c r="EJ33" s="272">
        <v>70533</v>
      </c>
      <c r="EL33" s="272"/>
      <c r="EM33" s="272">
        <v>56272</v>
      </c>
      <c r="EN33" s="272">
        <v>152000</v>
      </c>
      <c r="EO33" s="272">
        <v>5076</v>
      </c>
      <c r="EP33" s="455">
        <f t="shared" si="12"/>
        <v>114739</v>
      </c>
      <c r="EQ33" s="272">
        <v>11865883</v>
      </c>
      <c r="ER33" s="272">
        <v>-895975</v>
      </c>
      <c r="ES33" s="272">
        <v>4619892</v>
      </c>
      <c r="ET33" s="272">
        <v>3480968</v>
      </c>
      <c r="EU33" s="272">
        <v>753895</v>
      </c>
      <c r="EV33" s="272">
        <v>1916712</v>
      </c>
      <c r="EW33" s="455">
        <f t="shared" si="13"/>
        <v>124986</v>
      </c>
      <c r="EX33" s="272">
        <v>124986</v>
      </c>
      <c r="EY33" s="272">
        <v>4694</v>
      </c>
      <c r="EZ33" s="272">
        <v>104115</v>
      </c>
      <c r="FA33" s="272">
        <v>0</v>
      </c>
      <c r="FB33" s="272"/>
      <c r="FC33" s="272">
        <v>2057912</v>
      </c>
      <c r="FD33" s="272">
        <v>953051</v>
      </c>
      <c r="FE33" s="272">
        <v>410935</v>
      </c>
      <c r="FF33" s="272">
        <v>2081059</v>
      </c>
      <c r="FG33" s="455">
        <f t="shared" si="14"/>
        <v>1421463</v>
      </c>
      <c r="FH33" s="272">
        <v>13928970</v>
      </c>
      <c r="FI33" s="384">
        <f t="shared" si="15"/>
        <v>-11</v>
      </c>
      <c r="FJ33" s="272">
        <v>10901450</v>
      </c>
      <c r="FK33" s="272">
        <v>543298</v>
      </c>
      <c r="FL33" s="272">
        <v>5551681</v>
      </c>
      <c r="FM33" s="272">
        <v>9099952</v>
      </c>
      <c r="FN33" s="460">
        <v>0.61299999999999999</v>
      </c>
      <c r="FO33" s="388">
        <v>103.4</v>
      </c>
      <c r="FP33" s="388">
        <v>39.700000000000003</v>
      </c>
      <c r="FQ33" s="388">
        <v>6.6</v>
      </c>
      <c r="FR33" s="388">
        <v>16.7</v>
      </c>
      <c r="FS33" s="388">
        <v>17</v>
      </c>
      <c r="FT33" s="388">
        <v>7.1</v>
      </c>
      <c r="FU33" s="388">
        <v>15.8</v>
      </c>
      <c r="FV33" s="388">
        <v>9.4</v>
      </c>
      <c r="FW33" s="272">
        <v>20903750</v>
      </c>
      <c r="FX33" s="384">
        <f t="shared" si="16"/>
        <v>191.8</v>
      </c>
      <c r="FY33" s="272">
        <v>1870339</v>
      </c>
      <c r="FZ33" s="272">
        <v>332728</v>
      </c>
      <c r="GA33" s="272">
        <v>45397</v>
      </c>
      <c r="GB33" s="272">
        <v>1492214</v>
      </c>
      <c r="GC33" s="272">
        <v>14000</v>
      </c>
      <c r="GD33" s="272">
        <v>5837437</v>
      </c>
      <c r="GE33" s="384">
        <f t="shared" si="17"/>
        <v>53.5</v>
      </c>
      <c r="GF33" s="388">
        <v>97.3</v>
      </c>
      <c r="GG33" s="388">
        <v>14.9</v>
      </c>
      <c r="GH33" s="388">
        <v>89.3</v>
      </c>
      <c r="GI33" s="272">
        <v>485</v>
      </c>
    </row>
    <row r="34" spans="2:191" x14ac:dyDescent="0.15">
      <c r="B34" s="89" t="s">
        <v>61</v>
      </c>
      <c r="C34" s="272">
        <v>9548734</v>
      </c>
      <c r="D34" s="455">
        <f t="shared" si="0"/>
        <v>4341598</v>
      </c>
      <c r="E34" s="272">
        <v>71202</v>
      </c>
      <c r="F34" s="272">
        <v>4270396</v>
      </c>
      <c r="G34" s="455">
        <f t="shared" si="1"/>
        <v>322700</v>
      </c>
      <c r="H34" s="272">
        <v>108902</v>
      </c>
      <c r="I34" s="272">
        <v>213798</v>
      </c>
      <c r="J34" s="272">
        <v>3628913</v>
      </c>
      <c r="K34" s="272">
        <v>1644175</v>
      </c>
      <c r="L34" s="272">
        <v>1525956</v>
      </c>
      <c r="M34" s="272">
        <v>413224</v>
      </c>
      <c r="N34" s="272">
        <v>325538</v>
      </c>
      <c r="O34" s="272">
        <v>870362</v>
      </c>
      <c r="P34" s="272">
        <v>529484</v>
      </c>
      <c r="Q34" s="272">
        <v>340878</v>
      </c>
      <c r="R34" s="272">
        <v>162144</v>
      </c>
      <c r="S34" s="272"/>
      <c r="T34" s="455">
        <f t="shared" si="2"/>
        <v>945311</v>
      </c>
      <c r="U34" s="272">
        <v>181066</v>
      </c>
      <c r="V34" s="272"/>
      <c r="W34" s="272"/>
      <c r="X34" s="272">
        <v>517880</v>
      </c>
      <c r="Y34" s="272">
        <v>104799</v>
      </c>
      <c r="Z34" s="272">
        <v>0</v>
      </c>
      <c r="AA34" s="272">
        <v>141566</v>
      </c>
      <c r="AB34" s="272">
        <v>416478</v>
      </c>
      <c r="AC34" s="272">
        <v>4017256</v>
      </c>
      <c r="AD34" s="272">
        <v>3744206</v>
      </c>
      <c r="AE34" s="272">
        <v>273050</v>
      </c>
      <c r="AF34" s="272">
        <v>11866</v>
      </c>
      <c r="AG34" s="272">
        <v>156561</v>
      </c>
      <c r="AH34" s="455">
        <f t="shared" si="3"/>
        <v>255569</v>
      </c>
      <c r="AI34" s="272">
        <v>160392</v>
      </c>
      <c r="AJ34" s="272">
        <v>95177</v>
      </c>
      <c r="AK34" s="272">
        <v>1328492</v>
      </c>
      <c r="AL34" s="455">
        <f t="shared" si="4"/>
        <v>742547</v>
      </c>
      <c r="AM34" s="272">
        <v>485833</v>
      </c>
      <c r="AN34" s="272">
        <v>247517</v>
      </c>
      <c r="AO34" s="272">
        <v>0</v>
      </c>
      <c r="AP34" s="272">
        <v>9197</v>
      </c>
      <c r="AQ34" s="272">
        <v>1944</v>
      </c>
      <c r="AR34" s="272">
        <v>0</v>
      </c>
      <c r="AS34" s="272">
        <v>0</v>
      </c>
      <c r="AT34" s="272">
        <v>828292</v>
      </c>
      <c r="AU34" s="272">
        <v>423717</v>
      </c>
      <c r="AV34" s="272">
        <v>123759</v>
      </c>
      <c r="AW34" s="272">
        <v>0</v>
      </c>
      <c r="AX34" s="272">
        <v>404575</v>
      </c>
      <c r="AY34" s="272">
        <v>37809</v>
      </c>
      <c r="AZ34" s="272">
        <v>143080</v>
      </c>
      <c r="BA34" s="272">
        <v>133957</v>
      </c>
      <c r="BB34" s="272">
        <v>36089</v>
      </c>
      <c r="BC34" s="272">
        <v>595656</v>
      </c>
      <c r="BD34" s="272">
        <v>0</v>
      </c>
      <c r="BE34" s="272">
        <v>195259</v>
      </c>
      <c r="BF34" s="272">
        <v>100000</v>
      </c>
      <c r="BG34" s="272">
        <v>0</v>
      </c>
      <c r="BH34" s="272">
        <v>0</v>
      </c>
      <c r="BI34" s="272">
        <v>0</v>
      </c>
      <c r="BJ34" s="272">
        <v>96038</v>
      </c>
      <c r="BK34" s="272">
        <v>0</v>
      </c>
      <c r="BL34" s="272">
        <v>0</v>
      </c>
      <c r="BM34" s="272">
        <v>0</v>
      </c>
      <c r="BN34" s="272">
        <v>2916564</v>
      </c>
      <c r="BO34" s="455">
        <f t="shared" si="5"/>
        <v>2051164</v>
      </c>
      <c r="BP34" s="455">
        <f t="shared" si="6"/>
        <v>865400</v>
      </c>
      <c r="BQ34" s="272">
        <v>149400</v>
      </c>
      <c r="BR34" s="272">
        <v>0</v>
      </c>
      <c r="BS34" s="272">
        <v>716000</v>
      </c>
      <c r="BT34" s="272">
        <v>0</v>
      </c>
      <c r="BU34" s="272">
        <v>21458130</v>
      </c>
      <c r="BV34" s="272"/>
      <c r="BW34" s="272">
        <v>6515560</v>
      </c>
      <c r="BX34" s="272">
        <v>4350040</v>
      </c>
      <c r="BY34" s="272">
        <v>832450</v>
      </c>
      <c r="BZ34" s="272">
        <v>280907</v>
      </c>
      <c r="CA34" s="272">
        <v>2504053</v>
      </c>
      <c r="CB34" s="272">
        <v>497505</v>
      </c>
      <c r="CC34" s="272">
        <v>178429</v>
      </c>
      <c r="CD34" s="272">
        <v>1079259</v>
      </c>
      <c r="CE34" s="272">
        <v>617020</v>
      </c>
      <c r="CF34" s="272">
        <v>31</v>
      </c>
      <c r="CG34" s="272">
        <v>131809</v>
      </c>
      <c r="CH34" s="272">
        <v>4010504</v>
      </c>
      <c r="CI34" s="272">
        <v>2930336</v>
      </c>
      <c r="CJ34" s="455">
        <f t="shared" si="7"/>
        <v>1080168</v>
      </c>
      <c r="CK34" s="272">
        <v>2559007</v>
      </c>
      <c r="CL34" s="272">
        <v>1418480</v>
      </c>
      <c r="CM34" s="272">
        <v>204707</v>
      </c>
      <c r="CN34" s="272">
        <v>516381</v>
      </c>
      <c r="CO34" s="272">
        <v>109765</v>
      </c>
      <c r="CP34" s="272">
        <v>998092</v>
      </c>
      <c r="CQ34" s="272">
        <v>406852</v>
      </c>
      <c r="CR34" s="272">
        <v>349219</v>
      </c>
      <c r="CS34" s="272">
        <v>349219</v>
      </c>
      <c r="CT34" s="455">
        <f t="shared" si="8"/>
        <v>9046</v>
      </c>
      <c r="CU34" s="272">
        <v>9046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3060324</v>
      </c>
      <c r="DD34" s="272">
        <v>144760</v>
      </c>
      <c r="DE34" s="272">
        <v>2915564</v>
      </c>
      <c r="DF34" s="272">
        <v>0</v>
      </c>
      <c r="DG34" s="272">
        <v>0</v>
      </c>
      <c r="DH34" s="272">
        <v>1176</v>
      </c>
      <c r="DI34" s="272">
        <v>170867</v>
      </c>
      <c r="DJ34" s="272">
        <v>5189</v>
      </c>
      <c r="DK34" s="272">
        <v>99</v>
      </c>
      <c r="DL34" s="272">
        <v>165579</v>
      </c>
      <c r="DM34" s="272">
        <v>0</v>
      </c>
      <c r="DN34" s="272">
        <v>0</v>
      </c>
      <c r="DO34" s="272">
        <v>0</v>
      </c>
      <c r="DP34" s="272">
        <v>0</v>
      </c>
      <c r="DQ34" s="272">
        <v>0</v>
      </c>
      <c r="DR34" s="272">
        <v>0</v>
      </c>
      <c r="DS34" s="272">
        <v>0</v>
      </c>
      <c r="DT34" s="272">
        <v>1872052</v>
      </c>
      <c r="DU34" s="272">
        <v>740000</v>
      </c>
      <c r="DV34" s="455">
        <f t="shared" si="11"/>
        <v>0</v>
      </c>
      <c r="DW34" s="272">
        <v>0</v>
      </c>
      <c r="DX34" s="272">
        <v>0</v>
      </c>
      <c r="DY34" s="272">
        <v>0</v>
      </c>
      <c r="DZ34" s="272">
        <v>405147</v>
      </c>
      <c r="EA34" s="272">
        <v>295627</v>
      </c>
      <c r="EB34" s="272">
        <v>428278</v>
      </c>
      <c r="EC34" s="272">
        <v>54614</v>
      </c>
      <c r="ED34" s="272">
        <v>21856014</v>
      </c>
      <c r="EF34" s="272">
        <v>-397884</v>
      </c>
      <c r="EG34" s="272">
        <v>26395</v>
      </c>
      <c r="EH34" s="272">
        <v>-424279</v>
      </c>
      <c r="EI34" s="272">
        <v>-360243</v>
      </c>
      <c r="EJ34" s="272">
        <v>-159795</v>
      </c>
      <c r="EL34" s="272"/>
      <c r="EM34" s="272">
        <v>77796</v>
      </c>
      <c r="EN34" s="272">
        <v>495656</v>
      </c>
      <c r="EO34" s="272">
        <v>142581</v>
      </c>
      <c r="EP34" s="455">
        <f t="shared" si="12"/>
        <v>156144</v>
      </c>
      <c r="EQ34" s="272">
        <v>15101789</v>
      </c>
      <c r="ER34" s="272">
        <v>-1647915</v>
      </c>
      <c r="ES34" s="272">
        <v>6262801</v>
      </c>
      <c r="ET34" s="272">
        <v>4113028</v>
      </c>
      <c r="EU34" s="272">
        <v>882886</v>
      </c>
      <c r="EV34" s="272">
        <v>4010504</v>
      </c>
      <c r="EW34" s="455">
        <f t="shared" si="13"/>
        <v>970583</v>
      </c>
      <c r="EX34" s="272">
        <v>969407</v>
      </c>
      <c r="EY34" s="272">
        <v>13052</v>
      </c>
      <c r="EZ34" s="272">
        <v>956355</v>
      </c>
      <c r="FA34" s="272">
        <v>1176</v>
      </c>
      <c r="FB34" s="272"/>
      <c r="FC34" s="272">
        <v>2058059</v>
      </c>
      <c r="FD34" s="272">
        <v>908690</v>
      </c>
      <c r="FE34" s="272">
        <v>406852</v>
      </c>
      <c r="FF34" s="272">
        <v>1721254</v>
      </c>
      <c r="FG34" s="455">
        <f t="shared" si="14"/>
        <v>332811</v>
      </c>
      <c r="FH34" s="272">
        <v>17147588</v>
      </c>
      <c r="FI34" s="384">
        <f t="shared" si="15"/>
        <v>-3</v>
      </c>
      <c r="FJ34" s="272">
        <v>14243145</v>
      </c>
      <c r="FK34" s="272">
        <v>716083</v>
      </c>
      <c r="FL34" s="272">
        <v>7917188</v>
      </c>
      <c r="FM34" s="272">
        <v>11668575</v>
      </c>
      <c r="FN34" s="460">
        <v>0.67</v>
      </c>
      <c r="FO34" s="388">
        <v>96.8</v>
      </c>
      <c r="FP34" s="388">
        <v>38.6</v>
      </c>
      <c r="FQ34" s="388">
        <v>5.9</v>
      </c>
      <c r="FR34" s="388">
        <v>25.6</v>
      </c>
      <c r="FS34" s="388">
        <v>12.9</v>
      </c>
      <c r="FT34" s="388">
        <v>5.7</v>
      </c>
      <c r="FU34" s="388">
        <v>7.3</v>
      </c>
      <c r="FV34" s="388">
        <v>13.6</v>
      </c>
      <c r="FW34" s="272">
        <v>37391552</v>
      </c>
      <c r="FX34" s="384">
        <f t="shared" si="16"/>
        <v>262.5</v>
      </c>
      <c r="FY34" s="272">
        <v>3838749</v>
      </c>
      <c r="FZ34" s="272">
        <v>443771</v>
      </c>
      <c r="GA34" s="272">
        <v>790327</v>
      </c>
      <c r="GB34" s="272">
        <v>2604651</v>
      </c>
      <c r="GC34" s="272"/>
      <c r="GD34" s="272">
        <v>26671840</v>
      </c>
      <c r="GE34" s="384">
        <f t="shared" si="17"/>
        <v>187.3</v>
      </c>
      <c r="GF34" s="388">
        <v>97</v>
      </c>
      <c r="GG34" s="388">
        <v>18.2</v>
      </c>
      <c r="GH34" s="388">
        <v>89.5</v>
      </c>
      <c r="GI34" s="272">
        <v>572</v>
      </c>
    </row>
    <row r="35" spans="2:191" x14ac:dyDescent="0.15">
      <c r="B35" s="89" t="s">
        <v>63</v>
      </c>
      <c r="C35" s="272">
        <v>7539809</v>
      </c>
      <c r="D35" s="455">
        <f t="shared" si="0"/>
        <v>3474981</v>
      </c>
      <c r="E35" s="272">
        <v>52150</v>
      </c>
      <c r="F35" s="272">
        <v>3422831</v>
      </c>
      <c r="G35" s="455">
        <f t="shared" si="1"/>
        <v>344445</v>
      </c>
      <c r="H35" s="272">
        <v>85967</v>
      </c>
      <c r="I35" s="272">
        <v>258478</v>
      </c>
      <c r="J35" s="272">
        <v>2972288</v>
      </c>
      <c r="K35" s="272">
        <v>1377831</v>
      </c>
      <c r="L35" s="272">
        <v>1241872</v>
      </c>
      <c r="M35" s="272">
        <v>320833</v>
      </c>
      <c r="N35" s="272">
        <v>273054</v>
      </c>
      <c r="O35" s="272">
        <v>427583</v>
      </c>
      <c r="P35" s="272">
        <v>264719</v>
      </c>
      <c r="Q35" s="272">
        <v>162864</v>
      </c>
      <c r="R35" s="272">
        <v>127307</v>
      </c>
      <c r="S35" s="272"/>
      <c r="T35" s="455">
        <f t="shared" si="2"/>
        <v>675474</v>
      </c>
      <c r="U35" s="272">
        <v>139493</v>
      </c>
      <c r="V35" s="272"/>
      <c r="W35" s="272"/>
      <c r="X35" s="272">
        <v>424855</v>
      </c>
      <c r="Y35" s="272">
        <v>0</v>
      </c>
      <c r="Z35" s="272">
        <v>0</v>
      </c>
      <c r="AA35" s="272">
        <v>111126</v>
      </c>
      <c r="AB35" s="272">
        <v>372799</v>
      </c>
      <c r="AC35" s="272">
        <v>3108142</v>
      </c>
      <c r="AD35" s="272">
        <v>2712092</v>
      </c>
      <c r="AE35" s="272">
        <v>396050</v>
      </c>
      <c r="AF35" s="272">
        <v>11770</v>
      </c>
      <c r="AG35" s="272">
        <v>140704</v>
      </c>
      <c r="AH35" s="455">
        <f t="shared" si="3"/>
        <v>286878</v>
      </c>
      <c r="AI35" s="272">
        <v>250262</v>
      </c>
      <c r="AJ35" s="272">
        <v>36616</v>
      </c>
      <c r="AK35" s="272">
        <v>1231388</v>
      </c>
      <c r="AL35" s="455">
        <f t="shared" si="4"/>
        <v>704511</v>
      </c>
      <c r="AM35" s="272">
        <v>578208</v>
      </c>
      <c r="AN35" s="272">
        <v>125267</v>
      </c>
      <c r="AO35" s="272">
        <v>0</v>
      </c>
      <c r="AP35" s="272">
        <v>1036</v>
      </c>
      <c r="AQ35" s="272">
        <v>116505</v>
      </c>
      <c r="AR35" s="272">
        <v>0</v>
      </c>
      <c r="AS35" s="272">
        <v>0</v>
      </c>
      <c r="AT35" s="272">
        <v>621453</v>
      </c>
      <c r="AU35" s="272">
        <v>319658</v>
      </c>
      <c r="AV35" s="272">
        <v>62634</v>
      </c>
      <c r="AW35" s="272">
        <v>17955</v>
      </c>
      <c r="AX35" s="272">
        <v>301795</v>
      </c>
      <c r="AY35" s="272">
        <v>23419</v>
      </c>
      <c r="AZ35" s="272">
        <v>6011</v>
      </c>
      <c r="BA35" s="272">
        <v>32</v>
      </c>
      <c r="BB35" s="272">
        <v>128804</v>
      </c>
      <c r="BC35" s="272">
        <v>1245305</v>
      </c>
      <c r="BD35" s="272">
        <v>370000</v>
      </c>
      <c r="BE35" s="272">
        <v>405000</v>
      </c>
      <c r="BF35" s="272">
        <v>400305</v>
      </c>
      <c r="BG35" s="272">
        <v>0</v>
      </c>
      <c r="BH35" s="272">
        <v>184088</v>
      </c>
      <c r="BI35" s="272">
        <v>118427</v>
      </c>
      <c r="BJ35" s="272">
        <v>112924</v>
      </c>
      <c r="BK35" s="272">
        <v>220</v>
      </c>
      <c r="BL35" s="272">
        <v>0</v>
      </c>
      <c r="BM35" s="272">
        <v>0</v>
      </c>
      <c r="BN35" s="272">
        <v>1870610</v>
      </c>
      <c r="BO35" s="455">
        <f t="shared" si="5"/>
        <v>1181110</v>
      </c>
      <c r="BP35" s="455">
        <f t="shared" si="6"/>
        <v>689500</v>
      </c>
      <c r="BQ35" s="272">
        <v>132900</v>
      </c>
      <c r="BR35" s="272">
        <v>0</v>
      </c>
      <c r="BS35" s="272">
        <v>556600</v>
      </c>
      <c r="BT35" s="272">
        <v>0</v>
      </c>
      <c r="BU35" s="272">
        <v>17663466</v>
      </c>
      <c r="BV35" s="272"/>
      <c r="BW35" s="272">
        <v>4571146</v>
      </c>
      <c r="BX35" s="272">
        <v>3446733</v>
      </c>
      <c r="BY35" s="272">
        <v>238987</v>
      </c>
      <c r="BZ35" s="272">
        <v>33528</v>
      </c>
      <c r="CA35" s="272">
        <v>1803685</v>
      </c>
      <c r="CB35" s="272">
        <v>348482</v>
      </c>
      <c r="CC35" s="272">
        <v>132338</v>
      </c>
      <c r="CD35" s="272">
        <v>519754</v>
      </c>
      <c r="CE35" s="272">
        <v>765119</v>
      </c>
      <c r="CF35" s="272">
        <v>0</v>
      </c>
      <c r="CG35" s="272">
        <v>37992</v>
      </c>
      <c r="CH35" s="272">
        <v>2831931</v>
      </c>
      <c r="CI35" s="272">
        <v>2046185</v>
      </c>
      <c r="CJ35" s="455">
        <f t="shared" si="7"/>
        <v>785746</v>
      </c>
      <c r="CK35" s="272">
        <v>2407842</v>
      </c>
      <c r="CL35" s="272">
        <v>1459712</v>
      </c>
      <c r="CM35" s="272">
        <v>102220</v>
      </c>
      <c r="CN35" s="272">
        <v>357323</v>
      </c>
      <c r="CO35" s="272">
        <v>26838</v>
      </c>
      <c r="CP35" s="272">
        <v>1210210</v>
      </c>
      <c r="CQ35" s="272">
        <v>352896</v>
      </c>
      <c r="CR35" s="272">
        <v>396000</v>
      </c>
      <c r="CS35" s="272">
        <v>314974</v>
      </c>
      <c r="CT35" s="455">
        <f t="shared" si="8"/>
        <v>6080</v>
      </c>
      <c r="CU35" s="272">
        <v>6080</v>
      </c>
      <c r="CV35" s="272">
        <v>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2612707</v>
      </c>
      <c r="DD35" s="272">
        <v>330189</v>
      </c>
      <c r="DE35" s="272">
        <v>2272464</v>
      </c>
      <c r="DF35" s="272">
        <v>10054</v>
      </c>
      <c r="DG35" s="272">
        <v>0</v>
      </c>
      <c r="DH35" s="272">
        <v>0</v>
      </c>
      <c r="DI35" s="272">
        <v>261405</v>
      </c>
      <c r="DJ35" s="272">
        <v>60000</v>
      </c>
      <c r="DK35" s="272">
        <v>10000</v>
      </c>
      <c r="DL35" s="272">
        <v>191405</v>
      </c>
      <c r="DM35" s="272">
        <v>0</v>
      </c>
      <c r="DN35" s="272">
        <v>0</v>
      </c>
      <c r="DO35" s="272">
        <v>0</v>
      </c>
      <c r="DP35" s="272">
        <v>0</v>
      </c>
      <c r="DQ35" s="272">
        <v>432</v>
      </c>
      <c r="DR35" s="272">
        <v>0</v>
      </c>
      <c r="DS35" s="272">
        <v>0</v>
      </c>
      <c r="DT35" s="272">
        <v>1705204</v>
      </c>
      <c r="DU35" s="272">
        <v>786064</v>
      </c>
      <c r="DV35" s="455">
        <f t="shared" si="11"/>
        <v>0</v>
      </c>
      <c r="DW35" s="272">
        <v>0</v>
      </c>
      <c r="DX35" s="272">
        <v>0</v>
      </c>
      <c r="DY35" s="272">
        <v>0</v>
      </c>
      <c r="DZ35" s="272">
        <v>357399</v>
      </c>
      <c r="EA35" s="272">
        <v>196662</v>
      </c>
      <c r="EB35" s="272">
        <v>362018</v>
      </c>
      <c r="EC35" s="272">
        <v>0</v>
      </c>
      <c r="ED35" s="272">
        <v>17431400</v>
      </c>
      <c r="EF35" s="272">
        <v>232066</v>
      </c>
      <c r="EG35" s="272">
        <v>111120</v>
      </c>
      <c r="EH35" s="272">
        <v>120946</v>
      </c>
      <c r="EI35" s="272">
        <v>2519</v>
      </c>
      <c r="EJ35" s="272">
        <v>-307481</v>
      </c>
      <c r="EL35" s="272"/>
      <c r="EM35" s="272">
        <v>56298</v>
      </c>
      <c r="EN35" s="272">
        <v>845000</v>
      </c>
      <c r="EO35" s="272">
        <v>1185</v>
      </c>
      <c r="EP35" s="455">
        <f t="shared" si="12"/>
        <v>392176</v>
      </c>
      <c r="EQ35" s="272">
        <v>11835301</v>
      </c>
      <c r="ER35" s="272">
        <v>-1916091</v>
      </c>
      <c r="ES35" s="272">
        <v>4295546</v>
      </c>
      <c r="ET35" s="272">
        <v>3175778</v>
      </c>
      <c r="EU35" s="272">
        <v>596220</v>
      </c>
      <c r="EV35" s="272">
        <v>2831931</v>
      </c>
      <c r="EW35" s="455">
        <f t="shared" si="13"/>
        <v>767951</v>
      </c>
      <c r="EX35" s="272">
        <v>767951</v>
      </c>
      <c r="EY35" s="272">
        <v>2752</v>
      </c>
      <c r="EZ35" s="272">
        <v>755145</v>
      </c>
      <c r="FA35" s="272">
        <v>0</v>
      </c>
      <c r="FB35" s="272"/>
      <c r="FC35" s="272">
        <v>2020136</v>
      </c>
      <c r="FD35" s="272">
        <v>1154354</v>
      </c>
      <c r="FE35" s="272">
        <v>352896</v>
      </c>
      <c r="FF35" s="272">
        <v>1580481</v>
      </c>
      <c r="FG35" s="455">
        <f t="shared" si="14"/>
        <v>284212</v>
      </c>
      <c r="FH35" s="272">
        <v>13530831</v>
      </c>
      <c r="FI35" s="384">
        <f t="shared" si="15"/>
        <v>1.1000000000000001</v>
      </c>
      <c r="FJ35" s="272">
        <v>11356971</v>
      </c>
      <c r="FK35" s="272">
        <v>556690</v>
      </c>
      <c r="FL35" s="272">
        <v>6518077</v>
      </c>
      <c r="FM35" s="272">
        <v>9235852</v>
      </c>
      <c r="FN35" s="460">
        <v>0.70099999999999996</v>
      </c>
      <c r="FO35" s="388">
        <v>99.2</v>
      </c>
      <c r="FP35" s="388">
        <v>35.9</v>
      </c>
      <c r="FQ35" s="388">
        <v>5.0999999999999996</v>
      </c>
      <c r="FR35" s="388">
        <v>24.1</v>
      </c>
      <c r="FS35" s="388">
        <v>16.899999999999999</v>
      </c>
      <c r="FT35" s="388">
        <v>9.3000000000000007</v>
      </c>
      <c r="FU35" s="388">
        <v>7.6</v>
      </c>
      <c r="FV35" s="388">
        <v>12.2</v>
      </c>
      <c r="FW35" s="272">
        <v>22762065</v>
      </c>
      <c r="FX35" s="384">
        <f t="shared" si="16"/>
        <v>200.4</v>
      </c>
      <c r="FY35" s="272">
        <v>3059658</v>
      </c>
      <c r="FZ35" s="272">
        <v>1700000</v>
      </c>
      <c r="GA35" s="272">
        <v>235000</v>
      </c>
      <c r="GB35" s="272">
        <v>1124658</v>
      </c>
      <c r="GC35" s="272"/>
      <c r="GD35" s="272">
        <v>3051817</v>
      </c>
      <c r="GE35" s="384">
        <f t="shared" si="17"/>
        <v>26.9</v>
      </c>
      <c r="GF35" s="388">
        <v>97.2</v>
      </c>
      <c r="GG35" s="388">
        <v>14.8</v>
      </c>
      <c r="GH35" s="388">
        <v>88.2</v>
      </c>
      <c r="GI35" s="272">
        <v>463</v>
      </c>
    </row>
    <row r="36" spans="2:191" x14ac:dyDescent="0.15">
      <c r="B36" s="89" t="s">
        <v>65</v>
      </c>
      <c r="C36" s="272">
        <v>6036979</v>
      </c>
      <c r="D36" s="455">
        <f t="shared" si="0"/>
        <v>2431814</v>
      </c>
      <c r="E36" s="272">
        <v>52026</v>
      </c>
      <c r="F36" s="272">
        <v>2379788</v>
      </c>
      <c r="G36" s="455">
        <f t="shared" si="1"/>
        <v>137596</v>
      </c>
      <c r="H36" s="272">
        <v>65728</v>
      </c>
      <c r="I36" s="272">
        <v>71868</v>
      </c>
      <c r="J36" s="272">
        <v>2673679</v>
      </c>
      <c r="K36" s="272">
        <v>1284031</v>
      </c>
      <c r="L36" s="272">
        <v>1116534</v>
      </c>
      <c r="M36" s="272">
        <v>229078</v>
      </c>
      <c r="N36" s="272">
        <v>292336</v>
      </c>
      <c r="O36" s="272">
        <v>413373</v>
      </c>
      <c r="P36" s="272">
        <v>261211</v>
      </c>
      <c r="Q36" s="272">
        <v>152162</v>
      </c>
      <c r="R36" s="272">
        <v>139830</v>
      </c>
      <c r="S36" s="272"/>
      <c r="T36" s="455">
        <f t="shared" si="2"/>
        <v>621843</v>
      </c>
      <c r="U36" s="272">
        <v>107276</v>
      </c>
      <c r="V36" s="272"/>
      <c r="W36" s="272"/>
      <c r="X36" s="272">
        <v>387073</v>
      </c>
      <c r="Y36" s="272">
        <v>5390</v>
      </c>
      <c r="Z36" s="272">
        <v>0</v>
      </c>
      <c r="AA36" s="272">
        <v>122104</v>
      </c>
      <c r="AB36" s="272">
        <v>228952</v>
      </c>
      <c r="AC36" s="272">
        <v>3986147</v>
      </c>
      <c r="AD36" s="272">
        <v>3630098</v>
      </c>
      <c r="AE36" s="272">
        <v>356049</v>
      </c>
      <c r="AF36" s="272">
        <v>12018</v>
      </c>
      <c r="AG36" s="272">
        <v>71704</v>
      </c>
      <c r="AH36" s="455">
        <f t="shared" si="3"/>
        <v>239961</v>
      </c>
      <c r="AI36" s="272">
        <v>215483</v>
      </c>
      <c r="AJ36" s="272">
        <v>24478</v>
      </c>
      <c r="AK36" s="272">
        <v>1510636</v>
      </c>
      <c r="AL36" s="455">
        <f t="shared" si="4"/>
        <v>895218</v>
      </c>
      <c r="AM36" s="272">
        <v>521899</v>
      </c>
      <c r="AN36" s="272">
        <v>366810</v>
      </c>
      <c r="AO36" s="272">
        <v>0</v>
      </c>
      <c r="AP36" s="272">
        <v>6509</v>
      </c>
      <c r="AQ36" s="272">
        <v>326237</v>
      </c>
      <c r="AR36" s="272">
        <v>1276</v>
      </c>
      <c r="AS36" s="272">
        <v>0</v>
      </c>
      <c r="AT36" s="272">
        <v>643928</v>
      </c>
      <c r="AU36" s="272">
        <v>273659</v>
      </c>
      <c r="AV36" s="272">
        <v>132849</v>
      </c>
      <c r="AW36" s="272">
        <v>1300</v>
      </c>
      <c r="AX36" s="272">
        <v>370269</v>
      </c>
      <c r="AY36" s="272">
        <v>25754</v>
      </c>
      <c r="AZ36" s="272">
        <v>14113</v>
      </c>
      <c r="BA36" s="272">
        <v>6165</v>
      </c>
      <c r="BB36" s="272">
        <v>220</v>
      </c>
      <c r="BC36" s="272">
        <v>1361241</v>
      </c>
      <c r="BD36" s="272">
        <v>422009</v>
      </c>
      <c r="BE36" s="272">
        <v>26068</v>
      </c>
      <c r="BF36" s="272">
        <v>911932</v>
      </c>
      <c r="BG36" s="470">
        <v>0</v>
      </c>
      <c r="BH36" s="272">
        <v>266563</v>
      </c>
      <c r="BI36" s="272">
        <v>206634</v>
      </c>
      <c r="BJ36" s="272">
        <v>882495</v>
      </c>
      <c r="BK36" s="272">
        <v>14842</v>
      </c>
      <c r="BL36" s="272">
        <v>0</v>
      </c>
      <c r="BM36" s="272">
        <v>0</v>
      </c>
      <c r="BN36" s="272">
        <v>936022</v>
      </c>
      <c r="BO36" s="455">
        <f t="shared" si="5"/>
        <v>289522</v>
      </c>
      <c r="BP36" s="455">
        <f t="shared" si="6"/>
        <v>646500</v>
      </c>
      <c r="BQ36" s="272">
        <v>84800</v>
      </c>
      <c r="BR36" s="272">
        <v>0</v>
      </c>
      <c r="BS36" s="272">
        <v>561700</v>
      </c>
      <c r="BT36" s="272">
        <v>0</v>
      </c>
      <c r="BU36" s="272">
        <v>16952652</v>
      </c>
      <c r="BV36" s="272"/>
      <c r="BW36" s="272">
        <v>4407222</v>
      </c>
      <c r="BX36" s="272">
        <v>3136494</v>
      </c>
      <c r="BY36" s="272">
        <v>442250</v>
      </c>
      <c r="BZ36" s="272">
        <v>42466</v>
      </c>
      <c r="CA36" s="272">
        <v>1788284</v>
      </c>
      <c r="CB36" s="272">
        <v>414855</v>
      </c>
      <c r="CC36" s="272">
        <v>164607</v>
      </c>
      <c r="CD36" s="272">
        <v>460898</v>
      </c>
      <c r="CE36" s="272">
        <v>700907</v>
      </c>
      <c r="CF36" s="272">
        <v>3395</v>
      </c>
      <c r="CG36" s="272">
        <v>43622</v>
      </c>
      <c r="CH36" s="272">
        <v>1836930</v>
      </c>
      <c r="CI36" s="272">
        <v>1262570</v>
      </c>
      <c r="CJ36" s="455">
        <f t="shared" si="7"/>
        <v>574360</v>
      </c>
      <c r="CK36" s="272">
        <v>2724749</v>
      </c>
      <c r="CL36" s="272">
        <v>1492833</v>
      </c>
      <c r="CM36" s="272">
        <v>407525</v>
      </c>
      <c r="CN36" s="272">
        <v>471581</v>
      </c>
      <c r="CO36" s="272">
        <v>110793</v>
      </c>
      <c r="CP36" s="272">
        <v>1766072</v>
      </c>
      <c r="CQ36" s="272">
        <v>1070992</v>
      </c>
      <c r="CR36" s="272">
        <v>176039</v>
      </c>
      <c r="CS36" s="272">
        <v>176039</v>
      </c>
      <c r="CT36" s="455">
        <f t="shared" si="8"/>
        <v>268837</v>
      </c>
      <c r="CU36" s="272">
        <v>211320</v>
      </c>
      <c r="CV36" s="272">
        <v>57517</v>
      </c>
      <c r="CW36" s="455">
        <f t="shared" si="9"/>
        <v>260837</v>
      </c>
      <c r="CX36" s="272">
        <v>203320</v>
      </c>
      <c r="CY36" s="272">
        <v>57517</v>
      </c>
      <c r="CZ36" s="455">
        <f t="shared" si="10"/>
        <v>0</v>
      </c>
      <c r="DA36" s="272">
        <v>0</v>
      </c>
      <c r="DB36" s="272">
        <v>0</v>
      </c>
      <c r="DC36" s="272">
        <v>1777533</v>
      </c>
      <c r="DD36" s="272">
        <v>972658</v>
      </c>
      <c r="DE36" s="272">
        <v>804875</v>
      </c>
      <c r="DF36" s="272">
        <v>0</v>
      </c>
      <c r="DG36" s="272">
        <v>0</v>
      </c>
      <c r="DH36" s="272">
        <v>0</v>
      </c>
      <c r="DI36" s="272">
        <v>636490</v>
      </c>
      <c r="DJ36" s="272">
        <v>1900</v>
      </c>
      <c r="DK36" s="272">
        <v>68</v>
      </c>
      <c r="DL36" s="272">
        <v>634522</v>
      </c>
      <c r="DM36" s="272">
        <v>0</v>
      </c>
      <c r="DN36" s="272">
        <v>0</v>
      </c>
      <c r="DO36" s="272">
        <v>0</v>
      </c>
      <c r="DP36" s="272">
        <v>0</v>
      </c>
      <c r="DQ36" s="272">
        <v>74800</v>
      </c>
      <c r="DR36" s="272">
        <v>60000</v>
      </c>
      <c r="DS36" s="272">
        <v>60000</v>
      </c>
      <c r="DT36" s="272">
        <v>1682395</v>
      </c>
      <c r="DU36" s="272">
        <v>855847</v>
      </c>
      <c r="DV36" s="455">
        <f t="shared" si="11"/>
        <v>0</v>
      </c>
      <c r="DW36" s="272">
        <v>0</v>
      </c>
      <c r="DX36" s="272">
        <v>0</v>
      </c>
      <c r="DY36" s="272">
        <v>0</v>
      </c>
      <c r="DZ36" s="272">
        <v>226076</v>
      </c>
      <c r="EA36" s="272">
        <v>254477</v>
      </c>
      <c r="EB36" s="272">
        <v>345993</v>
      </c>
      <c r="EC36" s="272">
        <v>0</v>
      </c>
      <c r="ED36" s="272">
        <v>16805268</v>
      </c>
      <c r="EF36" s="272">
        <v>147384</v>
      </c>
      <c r="EG36" s="272">
        <v>9847</v>
      </c>
      <c r="EH36" s="272">
        <v>137537</v>
      </c>
      <c r="EI36" s="272">
        <v>-69097</v>
      </c>
      <c r="EJ36" s="272">
        <v>-489206</v>
      </c>
      <c r="EL36" s="272"/>
      <c r="EM36" s="272">
        <v>59877</v>
      </c>
      <c r="EN36" s="272">
        <v>449309</v>
      </c>
      <c r="EO36" s="272">
        <v>8982</v>
      </c>
      <c r="EP36" s="455">
        <f t="shared" si="12"/>
        <v>434676</v>
      </c>
      <c r="EQ36" s="272">
        <v>11025769</v>
      </c>
      <c r="ER36" s="272">
        <v>-1527449</v>
      </c>
      <c r="ES36" s="272">
        <v>3935176</v>
      </c>
      <c r="ET36" s="272">
        <v>2668293</v>
      </c>
      <c r="EU36" s="272">
        <v>587958</v>
      </c>
      <c r="EV36" s="272">
        <v>1836930</v>
      </c>
      <c r="EW36" s="455">
        <f t="shared" si="13"/>
        <v>526087</v>
      </c>
      <c r="EX36" s="272">
        <v>526087</v>
      </c>
      <c r="EY36" s="272">
        <v>23876</v>
      </c>
      <c r="EZ36" s="272">
        <v>502211</v>
      </c>
      <c r="FA36" s="272">
        <v>0</v>
      </c>
      <c r="FB36" s="272"/>
      <c r="FC36" s="272">
        <v>2172402</v>
      </c>
      <c r="FD36" s="272">
        <v>1669526</v>
      </c>
      <c r="FE36" s="272">
        <v>1059468</v>
      </c>
      <c r="FF36" s="272">
        <v>1519850</v>
      </c>
      <c r="FG36" s="455">
        <f t="shared" si="14"/>
        <v>157905</v>
      </c>
      <c r="FH36" s="272">
        <v>12405834</v>
      </c>
      <c r="FI36" s="384">
        <f t="shared" si="15"/>
        <v>1.3</v>
      </c>
      <c r="FJ36" s="272">
        <v>10485276</v>
      </c>
      <c r="FK36" s="272">
        <v>561742</v>
      </c>
      <c r="FL36" s="272">
        <v>5179271</v>
      </c>
      <c r="FM36" s="272">
        <v>8815555</v>
      </c>
      <c r="FN36" s="460">
        <v>0.59199999999999997</v>
      </c>
      <c r="FO36" s="388">
        <v>99.9</v>
      </c>
      <c r="FP36" s="388">
        <v>34.6</v>
      </c>
      <c r="FQ36" s="388">
        <v>5.4</v>
      </c>
      <c r="FR36" s="388">
        <v>16.8</v>
      </c>
      <c r="FS36" s="388">
        <v>18.3</v>
      </c>
      <c r="FT36" s="388">
        <v>14.2</v>
      </c>
      <c r="FU36" s="388">
        <v>9.8000000000000007</v>
      </c>
      <c r="FV36" s="388">
        <v>10.7</v>
      </c>
      <c r="FW36" s="272">
        <v>14346520</v>
      </c>
      <c r="FX36" s="384">
        <f t="shared" si="16"/>
        <v>136.80000000000001</v>
      </c>
      <c r="FY36" s="272">
        <v>2210720</v>
      </c>
      <c r="FZ36" s="272">
        <v>1420822</v>
      </c>
      <c r="GA36" s="272">
        <v>3487</v>
      </c>
      <c r="GB36" s="272">
        <v>786411</v>
      </c>
      <c r="GC36" s="272"/>
      <c r="GD36" s="272">
        <v>288381</v>
      </c>
      <c r="GE36" s="384">
        <f t="shared" si="17"/>
        <v>2.8</v>
      </c>
      <c r="GF36" s="388">
        <v>96.7</v>
      </c>
      <c r="GG36" s="388">
        <v>20.399999999999999</v>
      </c>
      <c r="GH36" s="388">
        <v>88.1</v>
      </c>
      <c r="GI36" s="272">
        <v>450</v>
      </c>
    </row>
    <row r="37" spans="2:191" x14ac:dyDescent="0.15">
      <c r="B37" s="21" t="s">
        <v>67</v>
      </c>
      <c r="C37" s="272">
        <f>SUM(C6:C36)</f>
        <v>767707273</v>
      </c>
      <c r="D37" s="455">
        <f t="shared" si="0"/>
        <v>258066140</v>
      </c>
      <c r="E37" s="272">
        <f>SUM(E6:E36)</f>
        <v>4762951</v>
      </c>
      <c r="F37" s="272">
        <f>SUM(F6:F36)</f>
        <v>253303189</v>
      </c>
      <c r="G37" s="455">
        <f t="shared" si="1"/>
        <v>48000689</v>
      </c>
      <c r="H37" s="272">
        <f t="shared" ref="H37:R37" si="18">SUM(H6:H36)</f>
        <v>11851396</v>
      </c>
      <c r="I37" s="272">
        <f t="shared" si="18"/>
        <v>36149293</v>
      </c>
      <c r="J37" s="272">
        <f t="shared" si="18"/>
        <v>343799069</v>
      </c>
      <c r="K37" s="272">
        <f t="shared" si="18"/>
        <v>166591724</v>
      </c>
      <c r="L37" s="272">
        <f t="shared" si="18"/>
        <v>126443293</v>
      </c>
      <c r="M37" s="272">
        <f t="shared" si="18"/>
        <v>45085949</v>
      </c>
      <c r="N37" s="272">
        <f t="shared" si="18"/>
        <v>31045483</v>
      </c>
      <c r="O37" s="272">
        <f t="shared" si="18"/>
        <v>75057829</v>
      </c>
      <c r="P37" s="272">
        <f t="shared" si="18"/>
        <v>47118868</v>
      </c>
      <c r="Q37" s="272">
        <f t="shared" si="18"/>
        <v>27938961</v>
      </c>
      <c r="R37" s="272">
        <f t="shared" si="18"/>
        <v>12728292</v>
      </c>
      <c r="S37" s="272"/>
      <c r="T37" s="455">
        <f t="shared" si="2"/>
        <v>61911835</v>
      </c>
      <c r="U37" s="272">
        <f>SUM(U6:U36)</f>
        <v>11023947</v>
      </c>
      <c r="V37" s="272"/>
      <c r="W37" s="272"/>
      <c r="X37" s="272">
        <f t="shared" ref="X37:AG37" si="19">SUM(X6:X36)</f>
        <v>40936277</v>
      </c>
      <c r="Y37" s="272">
        <f t="shared" si="19"/>
        <v>949448</v>
      </c>
      <c r="Z37" s="272">
        <f t="shared" si="19"/>
        <v>1111</v>
      </c>
      <c r="AA37" s="272">
        <f t="shared" si="19"/>
        <v>9001052</v>
      </c>
      <c r="AB37" s="272">
        <f t="shared" si="19"/>
        <v>27863724</v>
      </c>
      <c r="AC37" s="272">
        <f t="shared" si="19"/>
        <v>160070887</v>
      </c>
      <c r="AD37" s="272">
        <f t="shared" si="19"/>
        <v>146113691</v>
      </c>
      <c r="AE37" s="272">
        <f t="shared" si="19"/>
        <v>13957196</v>
      </c>
      <c r="AF37" s="272">
        <f t="shared" si="19"/>
        <v>943539</v>
      </c>
      <c r="AG37" s="272">
        <f t="shared" si="19"/>
        <v>16521323</v>
      </c>
      <c r="AH37" s="455">
        <f t="shared" si="3"/>
        <v>35666398</v>
      </c>
      <c r="AI37" s="272">
        <f>SUM(AI6:AI36)</f>
        <v>28208129</v>
      </c>
      <c r="AJ37" s="272">
        <f>SUM(AJ6:AJ36)</f>
        <v>7458269</v>
      </c>
      <c r="AK37" s="272">
        <f>SUM(AK6:AK36)</f>
        <v>180903787</v>
      </c>
      <c r="AL37" s="455">
        <f t="shared" si="4"/>
        <v>111657578</v>
      </c>
      <c r="AM37" s="272">
        <f t="shared" ref="AM37:BN37" si="20">SUM(AM6:AM36)</f>
        <v>90794478</v>
      </c>
      <c r="AN37" s="272">
        <f t="shared" si="20"/>
        <v>20107985</v>
      </c>
      <c r="AO37" s="272">
        <f t="shared" si="20"/>
        <v>64247</v>
      </c>
      <c r="AP37" s="272">
        <f t="shared" si="20"/>
        <v>690868</v>
      </c>
      <c r="AQ37" s="272">
        <f t="shared" si="20"/>
        <v>20582557</v>
      </c>
      <c r="AR37" s="272">
        <f t="shared" si="20"/>
        <v>1276</v>
      </c>
      <c r="AS37" s="272">
        <f t="shared" si="20"/>
        <v>326315</v>
      </c>
      <c r="AT37" s="272">
        <f t="shared" si="20"/>
        <v>71159072</v>
      </c>
      <c r="AU37" s="272">
        <f t="shared" si="20"/>
        <v>38084253</v>
      </c>
      <c r="AV37" s="272">
        <f t="shared" si="20"/>
        <v>9399346</v>
      </c>
      <c r="AW37" s="272">
        <f t="shared" si="20"/>
        <v>2508561</v>
      </c>
      <c r="AX37" s="272">
        <f t="shared" si="20"/>
        <v>33074819</v>
      </c>
      <c r="AY37" s="272">
        <f t="shared" si="20"/>
        <v>3164615</v>
      </c>
      <c r="AZ37" s="272">
        <f t="shared" si="20"/>
        <v>5211598</v>
      </c>
      <c r="BA37" s="272">
        <f t="shared" si="20"/>
        <v>4314452</v>
      </c>
      <c r="BB37" s="272">
        <f t="shared" si="20"/>
        <v>2922285</v>
      </c>
      <c r="BC37" s="272">
        <f t="shared" si="20"/>
        <v>67668140</v>
      </c>
      <c r="BD37" s="272">
        <f t="shared" si="20"/>
        <v>12427792</v>
      </c>
      <c r="BE37" s="272">
        <f t="shared" si="20"/>
        <v>5684389</v>
      </c>
      <c r="BF37" s="272">
        <f t="shared" si="20"/>
        <v>38917324</v>
      </c>
      <c r="BG37" s="272">
        <f t="shared" si="20"/>
        <v>5297551</v>
      </c>
      <c r="BH37" s="272">
        <f t="shared" si="20"/>
        <v>11947651</v>
      </c>
      <c r="BI37" s="272">
        <f t="shared" si="20"/>
        <v>5120593</v>
      </c>
      <c r="BJ37" s="272">
        <f t="shared" si="20"/>
        <v>45334360</v>
      </c>
      <c r="BK37" s="272">
        <f t="shared" si="20"/>
        <v>29365120</v>
      </c>
      <c r="BL37" s="272">
        <f t="shared" si="20"/>
        <v>391221</v>
      </c>
      <c r="BM37" s="272">
        <f t="shared" si="20"/>
        <v>2374983</v>
      </c>
      <c r="BN37" s="272">
        <f t="shared" si="20"/>
        <v>150716607</v>
      </c>
      <c r="BO37" s="455">
        <f t="shared" si="5"/>
        <v>98267507</v>
      </c>
      <c r="BP37" s="455">
        <f t="shared" si="6"/>
        <v>52449100</v>
      </c>
      <c r="BQ37" s="272">
        <f>SUM(BQ6:BQ36)</f>
        <v>9294200</v>
      </c>
      <c r="BR37" s="272">
        <f>SUM(BR6:BR36)</f>
        <v>0</v>
      </c>
      <c r="BS37" s="272">
        <f>SUM(BS6:BS36)</f>
        <v>43154900</v>
      </c>
      <c r="BT37" s="272">
        <v>0</v>
      </c>
      <c r="BU37" s="272">
        <f>SUM(BU6:BU36)</f>
        <v>1619603086</v>
      </c>
      <c r="BV37" s="272"/>
      <c r="BW37" s="272">
        <f t="shared" ref="BW37:CI37" si="21">SUM(BW6:BW36)</f>
        <v>419869728</v>
      </c>
      <c r="BX37" s="272">
        <f t="shared" si="21"/>
        <v>294165265</v>
      </c>
      <c r="BY37" s="272">
        <f t="shared" si="21"/>
        <v>45093153</v>
      </c>
      <c r="BZ37" s="272">
        <f t="shared" si="21"/>
        <v>15418456</v>
      </c>
      <c r="CA37" s="272">
        <f t="shared" si="21"/>
        <v>256462527</v>
      </c>
      <c r="CB37" s="272">
        <f t="shared" si="21"/>
        <v>33007890</v>
      </c>
      <c r="CC37" s="272">
        <f t="shared" si="21"/>
        <v>16655439</v>
      </c>
      <c r="CD37" s="272">
        <f t="shared" si="21"/>
        <v>72883276</v>
      </c>
      <c r="CE37" s="272">
        <f t="shared" si="21"/>
        <v>122141402</v>
      </c>
      <c r="CF37" s="272">
        <f t="shared" si="21"/>
        <v>6616090</v>
      </c>
      <c r="CG37" s="272">
        <f t="shared" si="21"/>
        <v>5089947</v>
      </c>
      <c r="CH37" s="272">
        <f t="shared" si="21"/>
        <v>167896926</v>
      </c>
      <c r="CI37" s="272">
        <f t="shared" si="21"/>
        <v>122125982</v>
      </c>
      <c r="CJ37" s="455">
        <f t="shared" si="7"/>
        <v>45770944</v>
      </c>
      <c r="CK37" s="272">
        <f t="shared" ref="CK37:CS37" si="22">SUM(CK6:CK36)</f>
        <v>184886147</v>
      </c>
      <c r="CL37" s="272">
        <f t="shared" si="22"/>
        <v>105538052</v>
      </c>
      <c r="CM37" s="272">
        <f t="shared" si="22"/>
        <v>11214045</v>
      </c>
      <c r="CN37" s="272">
        <f t="shared" si="22"/>
        <v>37338886</v>
      </c>
      <c r="CO37" s="272">
        <f t="shared" si="22"/>
        <v>14417496</v>
      </c>
      <c r="CP37" s="272">
        <f t="shared" si="22"/>
        <v>120495324</v>
      </c>
      <c r="CQ37" s="272">
        <f t="shared" si="22"/>
        <v>40722516</v>
      </c>
      <c r="CR37" s="272">
        <f t="shared" si="22"/>
        <v>36228311</v>
      </c>
      <c r="CS37" s="272">
        <f t="shared" si="22"/>
        <v>26435862</v>
      </c>
      <c r="CT37" s="455">
        <f t="shared" si="8"/>
        <v>17494468</v>
      </c>
      <c r="CU37" s="272">
        <f>SUM(CU6:CU36)</f>
        <v>11889119</v>
      </c>
      <c r="CV37" s="272">
        <f>SUM(CV6:CV36)</f>
        <v>5605349</v>
      </c>
      <c r="CW37" s="455">
        <f t="shared" si="9"/>
        <v>14703284</v>
      </c>
      <c r="CX37" s="272">
        <f>SUM(CX6:CX36)</f>
        <v>11130284</v>
      </c>
      <c r="CY37" s="272">
        <f>SUM(CY6:CY36)</f>
        <v>3573000</v>
      </c>
      <c r="CZ37" s="455">
        <f t="shared" si="10"/>
        <v>0</v>
      </c>
      <c r="DA37" s="272">
        <f t="shared" ref="DA37:DU37" si="23">SUM(DA6:DA36)</f>
        <v>0</v>
      </c>
      <c r="DB37" s="272">
        <f t="shared" si="23"/>
        <v>0</v>
      </c>
      <c r="DC37" s="272">
        <f t="shared" si="23"/>
        <v>210955440</v>
      </c>
      <c r="DD37" s="272">
        <f t="shared" si="23"/>
        <v>53082602</v>
      </c>
      <c r="DE37" s="272">
        <f t="shared" si="23"/>
        <v>152639616</v>
      </c>
      <c r="DF37" s="272">
        <f t="shared" si="23"/>
        <v>1744221</v>
      </c>
      <c r="DG37" s="272">
        <f t="shared" si="23"/>
        <v>3297498</v>
      </c>
      <c r="DH37" s="272">
        <f t="shared" si="23"/>
        <v>212397</v>
      </c>
      <c r="DI37" s="272">
        <f t="shared" si="23"/>
        <v>17941119</v>
      </c>
      <c r="DJ37" s="272">
        <f t="shared" si="23"/>
        <v>7436194</v>
      </c>
      <c r="DK37" s="272">
        <f t="shared" si="23"/>
        <v>1334466</v>
      </c>
      <c r="DL37" s="272">
        <f t="shared" si="23"/>
        <v>9170459</v>
      </c>
      <c r="DM37" s="272">
        <f t="shared" si="23"/>
        <v>2245690</v>
      </c>
      <c r="DN37" s="272">
        <f t="shared" si="23"/>
        <v>1932390</v>
      </c>
      <c r="DO37" s="272">
        <f t="shared" si="23"/>
        <v>233953</v>
      </c>
      <c r="DP37" s="272">
        <f t="shared" si="23"/>
        <v>1698437</v>
      </c>
      <c r="DQ37" s="272">
        <f t="shared" si="23"/>
        <v>30445209</v>
      </c>
      <c r="DR37" s="272">
        <f t="shared" si="23"/>
        <v>366389</v>
      </c>
      <c r="DS37" s="272">
        <f t="shared" si="23"/>
        <v>360000</v>
      </c>
      <c r="DT37" s="272">
        <f t="shared" si="23"/>
        <v>186202926</v>
      </c>
      <c r="DU37" s="272">
        <f t="shared" si="23"/>
        <v>89798952</v>
      </c>
      <c r="DV37" s="455">
        <f t="shared" si="11"/>
        <v>139990</v>
      </c>
      <c r="DW37" s="272">
        <f t="shared" ref="DW37:ED37" si="24">SUM(DW6:DW36)</f>
        <v>139990</v>
      </c>
      <c r="DX37" s="272">
        <f t="shared" si="24"/>
        <v>0</v>
      </c>
      <c r="DY37" s="272">
        <f t="shared" si="24"/>
        <v>2230287</v>
      </c>
      <c r="DZ37" s="272">
        <f t="shared" si="24"/>
        <v>44261893</v>
      </c>
      <c r="EA37" s="272">
        <f t="shared" si="24"/>
        <v>19911954</v>
      </c>
      <c r="EB37" s="272">
        <f t="shared" si="24"/>
        <v>25663741</v>
      </c>
      <c r="EC37" s="272">
        <f t="shared" si="24"/>
        <v>10325971</v>
      </c>
      <c r="ED37" s="272">
        <f t="shared" si="24"/>
        <v>1622356900</v>
      </c>
      <c r="EE37" s="89"/>
      <c r="EF37" s="272">
        <f>SUM(EF6:EF36)</f>
        <v>-2753814</v>
      </c>
      <c r="EG37" s="272">
        <f>SUM(EG6:EG36)</f>
        <v>5107288</v>
      </c>
      <c r="EH37" s="272">
        <f>SUM(EH6:EH36)</f>
        <v>-7861102</v>
      </c>
      <c r="EI37" s="272">
        <f>SUM(EI6:EI36)</f>
        <v>-2239769</v>
      </c>
      <c r="EJ37" s="272">
        <f>SUM(EJ6:EJ36)</f>
        <v>-4192492</v>
      </c>
      <c r="EK37" s="89"/>
      <c r="EL37" s="272"/>
      <c r="EM37" s="272">
        <f>SUM(EM6:EM36)</f>
        <v>5132780</v>
      </c>
      <c r="EN37" s="272">
        <f>SUM(EN6:EN36)</f>
        <v>35427902</v>
      </c>
      <c r="EO37" s="272">
        <f>SUM(EO6:EO36)</f>
        <v>4482540</v>
      </c>
      <c r="EP37" s="455">
        <f t="shared" si="12"/>
        <v>28163453</v>
      </c>
      <c r="EQ37" s="272">
        <f t="shared" ref="EQ37:EV37" si="25">SUM(EQ6:EQ36)</f>
        <v>1031551865</v>
      </c>
      <c r="ER37" s="272">
        <f t="shared" si="25"/>
        <v>-119253141</v>
      </c>
      <c r="ES37" s="272">
        <f t="shared" si="25"/>
        <v>385926192</v>
      </c>
      <c r="ET37" s="272">
        <f t="shared" si="25"/>
        <v>263283214</v>
      </c>
      <c r="EU37" s="272">
        <f t="shared" si="25"/>
        <v>80860483</v>
      </c>
      <c r="EV37" s="272">
        <f t="shared" si="25"/>
        <v>164395125</v>
      </c>
      <c r="EW37" s="455">
        <f t="shared" si="13"/>
        <v>55869028</v>
      </c>
      <c r="EX37" s="272">
        <f>SUM(EX6:EX36)</f>
        <v>55801526</v>
      </c>
      <c r="EY37" s="272">
        <f>SUM(EY6:EY36)</f>
        <v>6316931</v>
      </c>
      <c r="EZ37" s="272">
        <f>SUM(EZ6:EZ36)</f>
        <v>48997027</v>
      </c>
      <c r="FA37" s="272">
        <f>SUM(FA6:FA36)</f>
        <v>67502</v>
      </c>
      <c r="FB37" s="272"/>
      <c r="FC37" s="272">
        <f>SUM(FC6:FC36)</f>
        <v>147382980</v>
      </c>
      <c r="FD37" s="272">
        <f>SUM(FD6:FD36)</f>
        <v>108426074</v>
      </c>
      <c r="FE37" s="272">
        <f>SUM(FE6:FE36)</f>
        <v>40623083</v>
      </c>
      <c r="FF37" s="272">
        <f>SUM(FF6:FF36)</f>
        <v>170150737</v>
      </c>
      <c r="FG37" s="455">
        <f t="shared" si="14"/>
        <v>40841576</v>
      </c>
      <c r="FH37" s="272">
        <f>SUM(FH6:FH36)</f>
        <v>1153852195</v>
      </c>
      <c r="FI37" s="384">
        <f t="shared" si="15"/>
        <v>-0.8</v>
      </c>
      <c r="FJ37" s="272">
        <f>SUM(FJ6:FJ36)</f>
        <v>960771302</v>
      </c>
      <c r="FK37" s="272">
        <f>SUM(FK6:FK36)</f>
        <v>46285767</v>
      </c>
      <c r="FL37" s="272">
        <f>SUM(FL6:FL36)</f>
        <v>614391161</v>
      </c>
      <c r="FM37" s="272">
        <f>SUM(FM6:FM36)</f>
        <v>756370626</v>
      </c>
      <c r="FN37" s="468">
        <v>0.81699999999999995</v>
      </c>
      <c r="FO37" s="469">
        <v>97.5</v>
      </c>
      <c r="FP37" s="469">
        <v>36.1</v>
      </c>
      <c r="FQ37" s="469">
        <v>8.4</v>
      </c>
      <c r="FR37" s="469">
        <v>16.3</v>
      </c>
      <c r="FS37" s="469">
        <v>13.7</v>
      </c>
      <c r="FT37" s="469">
        <v>10.5</v>
      </c>
      <c r="FU37" s="469">
        <v>11.2</v>
      </c>
      <c r="FV37" s="469">
        <v>10.3</v>
      </c>
      <c r="FW37" s="272">
        <f>SUM(FW6:FW36)</f>
        <v>1523922375</v>
      </c>
      <c r="FX37" s="384">
        <f t="shared" si="16"/>
        <v>158.6</v>
      </c>
      <c r="FY37" s="272">
        <f t="shared" ref="FY37:GD37" si="26">SUM(FY6:FY36)</f>
        <v>263900502</v>
      </c>
      <c r="FZ37" s="272">
        <f t="shared" si="26"/>
        <v>77492553</v>
      </c>
      <c r="GA37" s="272">
        <f t="shared" si="26"/>
        <v>22251750</v>
      </c>
      <c r="GB37" s="272">
        <f t="shared" si="26"/>
        <v>164156199</v>
      </c>
      <c r="GC37" s="272">
        <f t="shared" si="26"/>
        <v>7450275</v>
      </c>
      <c r="GD37" s="272">
        <f t="shared" si="26"/>
        <v>311941891</v>
      </c>
      <c r="GE37" s="384">
        <f t="shared" si="17"/>
        <v>32.5</v>
      </c>
      <c r="GF37" s="469">
        <v>97.6</v>
      </c>
      <c r="GG37" s="469">
        <v>19.5</v>
      </c>
      <c r="GH37" s="469">
        <v>91.2</v>
      </c>
      <c r="GI37" s="272">
        <f>SUM(GI6:GI36)</f>
        <v>38297</v>
      </c>
    </row>
    <row r="38" spans="2:191" x14ac:dyDescent="0.15">
      <c r="B38" s="89" t="s">
        <v>69</v>
      </c>
      <c r="C38" s="272">
        <v>4819318</v>
      </c>
      <c r="D38" s="455">
        <f t="shared" si="0"/>
        <v>1548726</v>
      </c>
      <c r="E38" s="272">
        <v>22352</v>
      </c>
      <c r="F38" s="272">
        <v>1526374</v>
      </c>
      <c r="G38" s="455">
        <f t="shared" si="1"/>
        <v>636573</v>
      </c>
      <c r="H38" s="272">
        <v>53890</v>
      </c>
      <c r="I38" s="272">
        <v>582683</v>
      </c>
      <c r="J38" s="272">
        <v>2132101</v>
      </c>
      <c r="K38" s="272">
        <v>860257</v>
      </c>
      <c r="L38" s="272">
        <v>788042</v>
      </c>
      <c r="M38" s="272">
        <v>456765</v>
      </c>
      <c r="N38" s="272">
        <v>101199</v>
      </c>
      <c r="O38" s="272">
        <v>384633</v>
      </c>
      <c r="P38" s="272">
        <v>220305</v>
      </c>
      <c r="Q38" s="272">
        <v>164328</v>
      </c>
      <c r="R38" s="272">
        <v>65299</v>
      </c>
      <c r="S38" s="272"/>
      <c r="T38" s="455">
        <f t="shared" si="2"/>
        <v>402426</v>
      </c>
      <c r="U38" s="272">
        <v>68112</v>
      </c>
      <c r="V38" s="272"/>
      <c r="W38" s="272"/>
      <c r="X38" s="272">
        <v>207122</v>
      </c>
      <c r="Y38" s="272">
        <v>70193</v>
      </c>
      <c r="Z38" s="272">
        <v>0</v>
      </c>
      <c r="AA38" s="272">
        <v>56999</v>
      </c>
      <c r="AB38" s="272">
        <v>223340</v>
      </c>
      <c r="AC38" s="272">
        <v>1485860</v>
      </c>
      <c r="AD38" s="272">
        <v>1215731</v>
      </c>
      <c r="AE38" s="272">
        <v>270129</v>
      </c>
      <c r="AF38" s="272">
        <v>4341</v>
      </c>
      <c r="AG38" s="272">
        <v>49106</v>
      </c>
      <c r="AH38" s="455">
        <f t="shared" si="3"/>
        <v>194507</v>
      </c>
      <c r="AI38" s="272">
        <v>156925</v>
      </c>
      <c r="AJ38" s="272">
        <v>37582</v>
      </c>
      <c r="AK38" s="272">
        <v>452404</v>
      </c>
      <c r="AL38" s="455">
        <f t="shared" si="4"/>
        <v>147247</v>
      </c>
      <c r="AM38" s="272">
        <v>80373</v>
      </c>
      <c r="AN38" s="272">
        <v>64598</v>
      </c>
      <c r="AO38" s="272">
        <v>0</v>
      </c>
      <c r="AP38" s="272">
        <v>2276</v>
      </c>
      <c r="AQ38" s="272">
        <v>77073</v>
      </c>
      <c r="AR38" s="272">
        <v>0</v>
      </c>
      <c r="AS38" s="272">
        <v>0</v>
      </c>
      <c r="AT38" s="272">
        <v>326074</v>
      </c>
      <c r="AU38" s="272">
        <v>169736</v>
      </c>
      <c r="AV38" s="272">
        <v>32299</v>
      </c>
      <c r="AW38" s="272">
        <v>0</v>
      </c>
      <c r="AX38" s="272">
        <v>156338</v>
      </c>
      <c r="AY38" s="272">
        <v>24618</v>
      </c>
      <c r="AZ38" s="272">
        <v>26434</v>
      </c>
      <c r="BA38" s="272">
        <v>22333</v>
      </c>
      <c r="BB38" s="272">
        <v>225</v>
      </c>
      <c r="BC38" s="272">
        <v>1675579</v>
      </c>
      <c r="BD38" s="272">
        <v>457000</v>
      </c>
      <c r="BE38" s="272">
        <v>26205</v>
      </c>
      <c r="BF38" s="272">
        <v>1150000</v>
      </c>
      <c r="BG38" s="272">
        <v>0</v>
      </c>
      <c r="BH38" s="272">
        <v>275348</v>
      </c>
      <c r="BI38" s="272">
        <v>234880</v>
      </c>
      <c r="BJ38" s="272">
        <v>208562</v>
      </c>
      <c r="BK38" s="272">
        <v>57407</v>
      </c>
      <c r="BL38" s="272">
        <v>0</v>
      </c>
      <c r="BM38" s="272">
        <v>0</v>
      </c>
      <c r="BN38" s="272">
        <v>4687682</v>
      </c>
      <c r="BO38" s="455">
        <f t="shared" si="5"/>
        <v>4299882</v>
      </c>
      <c r="BP38" s="455">
        <f t="shared" si="6"/>
        <v>387800</v>
      </c>
      <c r="BQ38" s="272">
        <v>77800</v>
      </c>
      <c r="BR38" s="272">
        <v>0</v>
      </c>
      <c r="BS38" s="272">
        <v>310000</v>
      </c>
      <c r="BT38" s="272">
        <v>0</v>
      </c>
      <c r="BU38" s="272">
        <v>14896505</v>
      </c>
      <c r="BV38" s="272"/>
      <c r="BW38" s="272">
        <v>2973515</v>
      </c>
      <c r="BX38" s="272">
        <v>2023948</v>
      </c>
      <c r="BY38" s="272">
        <v>394496</v>
      </c>
      <c r="BZ38" s="272">
        <v>29559</v>
      </c>
      <c r="CA38" s="272">
        <v>879492</v>
      </c>
      <c r="CB38" s="272">
        <v>282776</v>
      </c>
      <c r="CC38" s="272">
        <v>81371</v>
      </c>
      <c r="CD38" s="272">
        <v>383092</v>
      </c>
      <c r="CE38" s="272">
        <v>111305</v>
      </c>
      <c r="CF38" s="272">
        <v>0</v>
      </c>
      <c r="CG38" s="272">
        <v>20948</v>
      </c>
      <c r="CH38" s="272">
        <v>6090501</v>
      </c>
      <c r="CI38" s="272">
        <v>5609338</v>
      </c>
      <c r="CJ38" s="455">
        <f t="shared" si="7"/>
        <v>481163</v>
      </c>
      <c r="CK38" s="272">
        <v>1555132</v>
      </c>
      <c r="CL38" s="272">
        <v>784812</v>
      </c>
      <c r="CM38" s="272">
        <v>156019</v>
      </c>
      <c r="CN38" s="272">
        <v>355032</v>
      </c>
      <c r="CO38" s="272">
        <v>82561</v>
      </c>
      <c r="CP38" s="272">
        <v>292437</v>
      </c>
      <c r="CQ38" s="272">
        <v>2784</v>
      </c>
      <c r="CR38" s="272">
        <v>144538</v>
      </c>
      <c r="CS38" s="272">
        <v>122642</v>
      </c>
      <c r="CT38" s="455">
        <f t="shared" si="8"/>
        <v>2317</v>
      </c>
      <c r="CU38" s="272">
        <v>2317</v>
      </c>
      <c r="CV38" s="272">
        <v>0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1759308</v>
      </c>
      <c r="DD38" s="272">
        <v>677493</v>
      </c>
      <c r="DE38" s="272">
        <v>1053813</v>
      </c>
      <c r="DF38" s="272">
        <v>5906</v>
      </c>
      <c r="DG38" s="272">
        <v>15608</v>
      </c>
      <c r="DH38" s="272">
        <v>0</v>
      </c>
      <c r="DI38" s="272">
        <v>175780</v>
      </c>
      <c r="DJ38" s="272">
        <v>119614</v>
      </c>
      <c r="DK38" s="272">
        <v>21</v>
      </c>
      <c r="DL38" s="272">
        <v>56145</v>
      </c>
      <c r="DM38" s="272">
        <v>0</v>
      </c>
      <c r="DN38" s="272">
        <v>0</v>
      </c>
      <c r="DO38" s="272">
        <v>0</v>
      </c>
      <c r="DP38" s="272">
        <v>0</v>
      </c>
      <c r="DQ38" s="272">
        <v>57056</v>
      </c>
      <c r="DR38" s="272">
        <v>0</v>
      </c>
      <c r="DS38" s="272">
        <v>0</v>
      </c>
      <c r="DT38" s="272">
        <v>973026</v>
      </c>
      <c r="DU38" s="272">
        <v>550000</v>
      </c>
      <c r="DV38" s="455">
        <f t="shared" si="11"/>
        <v>0</v>
      </c>
      <c r="DW38" s="272">
        <v>0</v>
      </c>
      <c r="DX38" s="272">
        <v>0</v>
      </c>
      <c r="DY38" s="272">
        <v>0</v>
      </c>
      <c r="DZ38" s="272">
        <v>151764</v>
      </c>
      <c r="EA38" s="272">
        <v>105414</v>
      </c>
      <c r="EB38" s="272">
        <v>165832</v>
      </c>
      <c r="EC38" s="272">
        <v>0</v>
      </c>
      <c r="ED38" s="272">
        <v>14838808</v>
      </c>
      <c r="EE38" s="89"/>
      <c r="EF38" s="272">
        <v>57697</v>
      </c>
      <c r="EG38" s="272">
        <v>6794</v>
      </c>
      <c r="EH38" s="272">
        <v>50903</v>
      </c>
      <c r="EI38" s="272">
        <v>-183977</v>
      </c>
      <c r="EJ38" s="272">
        <v>-521363</v>
      </c>
      <c r="EK38" s="89"/>
      <c r="EL38" s="272"/>
      <c r="EM38" s="272">
        <v>29816</v>
      </c>
      <c r="EN38" s="272">
        <v>1483205</v>
      </c>
      <c r="EO38" s="272">
        <v>25355</v>
      </c>
      <c r="EP38" s="455">
        <f t="shared" si="12"/>
        <v>3689808</v>
      </c>
      <c r="EQ38" s="272">
        <v>7000584</v>
      </c>
      <c r="ER38" s="272">
        <v>-5581827</v>
      </c>
      <c r="ES38" s="272">
        <v>2761873</v>
      </c>
      <c r="ET38" s="272">
        <v>1824310</v>
      </c>
      <c r="EU38" s="272">
        <v>441487</v>
      </c>
      <c r="EV38" s="272">
        <v>6088445</v>
      </c>
      <c r="EW38" s="455">
        <f t="shared" si="13"/>
        <v>459119</v>
      </c>
      <c r="EX38" s="272">
        <v>459119</v>
      </c>
      <c r="EY38" s="272">
        <v>42785</v>
      </c>
      <c r="EZ38" s="272">
        <v>406302</v>
      </c>
      <c r="FA38" s="272">
        <v>0</v>
      </c>
      <c r="FB38" s="272"/>
      <c r="FC38" s="272">
        <v>1374279</v>
      </c>
      <c r="FD38" s="272">
        <v>265851</v>
      </c>
      <c r="FE38" s="272">
        <v>2784</v>
      </c>
      <c r="FF38" s="272">
        <v>880050</v>
      </c>
      <c r="FG38" s="455">
        <f t="shared" si="14"/>
        <v>253610</v>
      </c>
      <c r="FH38" s="272">
        <v>12524714</v>
      </c>
      <c r="FI38" s="384">
        <f t="shared" si="15"/>
        <v>0.8</v>
      </c>
      <c r="FJ38" s="272">
        <v>6592192</v>
      </c>
      <c r="FK38" s="272">
        <v>310096</v>
      </c>
      <c r="FL38" s="272">
        <v>4049690</v>
      </c>
      <c r="FM38" s="272">
        <v>5309147</v>
      </c>
      <c r="FN38" s="460">
        <v>0.752</v>
      </c>
      <c r="FO38" s="388">
        <v>97.9</v>
      </c>
      <c r="FP38" s="388">
        <v>37.700000000000003</v>
      </c>
      <c r="FQ38" s="388">
        <v>6.5</v>
      </c>
      <c r="FR38" s="388">
        <v>21.8</v>
      </c>
      <c r="FS38" s="388">
        <v>17.7</v>
      </c>
      <c r="FT38" s="388">
        <v>3.6</v>
      </c>
      <c r="FU38" s="388">
        <v>9.6</v>
      </c>
      <c r="FV38" s="388">
        <v>8.6</v>
      </c>
      <c r="FW38" s="272">
        <v>14363325</v>
      </c>
      <c r="FX38" s="384">
        <f t="shared" si="16"/>
        <v>217.9</v>
      </c>
      <c r="FY38" s="272">
        <v>3844556</v>
      </c>
      <c r="FZ38" s="272">
        <v>1405258</v>
      </c>
      <c r="GA38" s="272">
        <v>114061</v>
      </c>
      <c r="GB38" s="272">
        <v>2325237</v>
      </c>
      <c r="GC38" s="272"/>
      <c r="GD38" s="272"/>
      <c r="GE38" s="384"/>
      <c r="GF38" s="388">
        <v>99.1</v>
      </c>
      <c r="GG38" s="388">
        <v>7.3</v>
      </c>
      <c r="GH38" s="388">
        <v>91.9</v>
      </c>
      <c r="GI38" s="272">
        <v>271</v>
      </c>
    </row>
    <row r="39" spans="2:191" x14ac:dyDescent="0.15">
      <c r="B39" s="89" t="s">
        <v>71</v>
      </c>
      <c r="C39" s="272">
        <v>2913913</v>
      </c>
      <c r="D39" s="455">
        <f t="shared" si="0"/>
        <v>1758305</v>
      </c>
      <c r="E39" s="272">
        <v>18901</v>
      </c>
      <c r="F39" s="272">
        <v>1739404</v>
      </c>
      <c r="G39" s="455">
        <f t="shared" si="1"/>
        <v>25999</v>
      </c>
      <c r="H39" s="272">
        <v>16454</v>
      </c>
      <c r="I39" s="272">
        <v>9545</v>
      </c>
      <c r="J39" s="272">
        <v>1048511</v>
      </c>
      <c r="K39" s="272">
        <v>369868</v>
      </c>
      <c r="L39" s="272">
        <v>545360</v>
      </c>
      <c r="M39" s="272">
        <v>133239</v>
      </c>
      <c r="N39" s="272">
        <v>60202</v>
      </c>
      <c r="O39" s="272">
        <v>0</v>
      </c>
      <c r="P39" s="272">
        <v>0</v>
      </c>
      <c r="Q39" s="272">
        <v>0</v>
      </c>
      <c r="R39" s="272">
        <v>85057</v>
      </c>
      <c r="S39" s="272"/>
      <c r="T39" s="455">
        <f t="shared" si="2"/>
        <v>304719</v>
      </c>
      <c r="U39" s="272">
        <v>71585</v>
      </c>
      <c r="V39" s="272"/>
      <c r="W39" s="272"/>
      <c r="X39" s="272">
        <v>146008</v>
      </c>
      <c r="Y39" s="272">
        <v>12878</v>
      </c>
      <c r="Z39" s="272">
        <v>0</v>
      </c>
      <c r="AA39" s="272">
        <v>74248</v>
      </c>
      <c r="AB39" s="272">
        <v>163610</v>
      </c>
      <c r="AC39" s="272">
        <v>2058511</v>
      </c>
      <c r="AD39" s="272">
        <v>1726866</v>
      </c>
      <c r="AE39" s="272">
        <v>331645</v>
      </c>
      <c r="AF39" s="272">
        <v>4854</v>
      </c>
      <c r="AG39" s="272">
        <v>11332</v>
      </c>
      <c r="AH39" s="455">
        <f t="shared" si="3"/>
        <v>173081</v>
      </c>
      <c r="AI39" s="272">
        <v>154732</v>
      </c>
      <c r="AJ39" s="272">
        <v>18349</v>
      </c>
      <c r="AK39" s="272">
        <v>140242</v>
      </c>
      <c r="AL39" s="455">
        <f t="shared" si="4"/>
        <v>35071</v>
      </c>
      <c r="AM39" s="272">
        <v>0</v>
      </c>
      <c r="AN39" s="272">
        <v>33988</v>
      </c>
      <c r="AO39" s="272">
        <v>0</v>
      </c>
      <c r="AP39" s="272">
        <v>1083</v>
      </c>
      <c r="AQ39" s="272">
        <v>0</v>
      </c>
      <c r="AR39" s="272">
        <v>0</v>
      </c>
      <c r="AS39" s="272">
        <v>0</v>
      </c>
      <c r="AT39" s="272">
        <v>293157</v>
      </c>
      <c r="AU39" s="272">
        <v>128793</v>
      </c>
      <c r="AV39" s="272">
        <v>16994</v>
      </c>
      <c r="AW39" s="272">
        <v>11786</v>
      </c>
      <c r="AX39" s="272">
        <v>164364</v>
      </c>
      <c r="AY39" s="272">
        <v>5514</v>
      </c>
      <c r="AZ39" s="272">
        <v>6287</v>
      </c>
      <c r="BA39" s="272">
        <v>0</v>
      </c>
      <c r="BB39" s="272">
        <v>1093</v>
      </c>
      <c r="BC39" s="272">
        <v>708870</v>
      </c>
      <c r="BD39" s="272">
        <v>530000</v>
      </c>
      <c r="BE39" s="272">
        <v>3936</v>
      </c>
      <c r="BF39" s="272">
        <v>124370</v>
      </c>
      <c r="BG39" s="272">
        <v>0</v>
      </c>
      <c r="BH39" s="272">
        <v>121580</v>
      </c>
      <c r="BI39" s="272">
        <v>118058</v>
      </c>
      <c r="BJ39" s="272">
        <v>237043</v>
      </c>
      <c r="BK39" s="272">
        <v>6154</v>
      </c>
      <c r="BL39" s="272">
        <v>0</v>
      </c>
      <c r="BM39" s="272">
        <v>0</v>
      </c>
      <c r="BN39" s="272">
        <v>329800</v>
      </c>
      <c r="BO39" s="455">
        <f t="shared" si="5"/>
        <v>900</v>
      </c>
      <c r="BP39" s="455">
        <f t="shared" si="6"/>
        <v>328900</v>
      </c>
      <c r="BQ39" s="272">
        <v>56600</v>
      </c>
      <c r="BR39" s="272">
        <v>0</v>
      </c>
      <c r="BS39" s="272">
        <v>272300</v>
      </c>
      <c r="BT39" s="272">
        <v>0</v>
      </c>
      <c r="BU39" s="272">
        <v>7553149</v>
      </c>
      <c r="BV39" s="272"/>
      <c r="BW39" s="272">
        <v>2569242</v>
      </c>
      <c r="BX39" s="272">
        <v>1769085</v>
      </c>
      <c r="BY39" s="272">
        <v>82284</v>
      </c>
      <c r="BZ39" s="272">
        <v>246791</v>
      </c>
      <c r="CA39" s="272">
        <v>193350</v>
      </c>
      <c r="CB39" s="272">
        <v>78658</v>
      </c>
      <c r="CC39" s="272">
        <v>62283</v>
      </c>
      <c r="CD39" s="272">
        <v>48210</v>
      </c>
      <c r="CE39" s="272">
        <v>0</v>
      </c>
      <c r="CF39" s="272">
        <v>0</v>
      </c>
      <c r="CG39" s="272">
        <v>4199</v>
      </c>
      <c r="CH39" s="272">
        <v>824222</v>
      </c>
      <c r="CI39" s="272">
        <v>662250</v>
      </c>
      <c r="CJ39" s="455">
        <f t="shared" si="7"/>
        <v>161972</v>
      </c>
      <c r="CK39" s="272">
        <v>1215143</v>
      </c>
      <c r="CL39" s="272">
        <v>604241</v>
      </c>
      <c r="CM39" s="272">
        <v>64667</v>
      </c>
      <c r="CN39" s="272">
        <v>354016</v>
      </c>
      <c r="CO39" s="272">
        <v>167291</v>
      </c>
      <c r="CP39" s="272">
        <v>686960</v>
      </c>
      <c r="CQ39" s="272">
        <v>413176</v>
      </c>
      <c r="CR39" s="272">
        <v>100471</v>
      </c>
      <c r="CS39" s="272">
        <v>99112</v>
      </c>
      <c r="CT39" s="455">
        <f t="shared" si="8"/>
        <v>68687</v>
      </c>
      <c r="CU39" s="272">
        <v>24678</v>
      </c>
      <c r="CV39" s="272">
        <v>44009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367835</v>
      </c>
      <c r="DD39" s="272">
        <v>11989</v>
      </c>
      <c r="DE39" s="272">
        <v>354925</v>
      </c>
      <c r="DF39" s="272">
        <v>921</v>
      </c>
      <c r="DG39" s="272">
        <v>0</v>
      </c>
      <c r="DH39" s="272">
        <v>0</v>
      </c>
      <c r="DI39" s="272">
        <v>64820</v>
      </c>
      <c r="DJ39" s="272">
        <v>62320</v>
      </c>
      <c r="DK39" s="272">
        <v>700</v>
      </c>
      <c r="DL39" s="272">
        <v>1800</v>
      </c>
      <c r="DM39" s="272">
        <v>0</v>
      </c>
      <c r="DN39" s="272">
        <v>0</v>
      </c>
      <c r="DO39" s="272">
        <v>0</v>
      </c>
      <c r="DP39" s="272">
        <v>0</v>
      </c>
      <c r="DQ39" s="272">
        <v>10292</v>
      </c>
      <c r="DR39" s="272">
        <v>0</v>
      </c>
      <c r="DS39" s="272">
        <v>0</v>
      </c>
      <c r="DT39" s="272">
        <v>755099</v>
      </c>
      <c r="DU39" s="272">
        <v>310312</v>
      </c>
      <c r="DV39" s="455">
        <f t="shared" si="11"/>
        <v>0</v>
      </c>
      <c r="DW39" s="272">
        <v>0</v>
      </c>
      <c r="DX39" s="272">
        <v>0</v>
      </c>
      <c r="DY39" s="272">
        <v>0</v>
      </c>
      <c r="DZ39" s="272">
        <v>102881</v>
      </c>
      <c r="EA39" s="272">
        <v>95465</v>
      </c>
      <c r="EB39" s="272">
        <v>165889</v>
      </c>
      <c r="EC39" s="272">
        <v>0</v>
      </c>
      <c r="ED39" s="272">
        <v>6854254</v>
      </c>
      <c r="EE39" s="89"/>
      <c r="EF39" s="272">
        <v>698895</v>
      </c>
      <c r="EG39" s="272">
        <v>523332</v>
      </c>
      <c r="EH39" s="272">
        <v>175563</v>
      </c>
      <c r="EI39" s="272">
        <v>57505</v>
      </c>
      <c r="EJ39" s="272">
        <v>-410175</v>
      </c>
      <c r="EK39" s="89"/>
      <c r="EL39" s="272"/>
      <c r="EM39" s="272">
        <v>26005</v>
      </c>
      <c r="EN39" s="272">
        <v>620870</v>
      </c>
      <c r="EO39" s="272">
        <v>1753</v>
      </c>
      <c r="EP39" s="455">
        <f t="shared" si="12"/>
        <v>265137</v>
      </c>
      <c r="EQ39" s="272">
        <v>5530664</v>
      </c>
      <c r="ER39" s="272">
        <v>-1211806</v>
      </c>
      <c r="ES39" s="272">
        <v>2335223</v>
      </c>
      <c r="ET39" s="272">
        <v>1607947</v>
      </c>
      <c r="EU39" s="272">
        <v>81956</v>
      </c>
      <c r="EV39" s="272">
        <v>809148</v>
      </c>
      <c r="EW39" s="455">
        <f t="shared" si="13"/>
        <v>311929</v>
      </c>
      <c r="EX39" s="272">
        <v>311929</v>
      </c>
      <c r="EY39" s="272">
        <v>203</v>
      </c>
      <c r="EZ39" s="272">
        <v>311726</v>
      </c>
      <c r="FA39" s="272">
        <v>0</v>
      </c>
      <c r="FB39" s="272"/>
      <c r="FC39" s="272">
        <v>932707</v>
      </c>
      <c r="FD39" s="272">
        <v>647846</v>
      </c>
      <c r="FE39" s="272">
        <v>408476</v>
      </c>
      <c r="FF39" s="272">
        <v>694978</v>
      </c>
      <c r="FG39" s="455">
        <f t="shared" si="14"/>
        <v>229788</v>
      </c>
      <c r="FH39" s="272">
        <v>6043575</v>
      </c>
      <c r="FI39" s="384">
        <f t="shared" si="15"/>
        <v>3.3</v>
      </c>
      <c r="FJ39" s="272">
        <v>5356608</v>
      </c>
      <c r="FK39" s="272">
        <v>272371</v>
      </c>
      <c r="FL39" s="272">
        <v>2744421</v>
      </c>
      <c r="FM39" s="272">
        <v>4466514</v>
      </c>
      <c r="FN39" s="460">
        <v>0.61299999999999999</v>
      </c>
      <c r="FO39" s="388">
        <v>92.5</v>
      </c>
      <c r="FP39" s="388">
        <v>41.2</v>
      </c>
      <c r="FQ39" s="388">
        <v>1.5</v>
      </c>
      <c r="FR39" s="388">
        <v>14.6</v>
      </c>
      <c r="FS39" s="388">
        <v>16.2</v>
      </c>
      <c r="FT39" s="388">
        <v>8.5</v>
      </c>
      <c r="FU39" s="388">
        <v>7.5</v>
      </c>
      <c r="FV39" s="388">
        <v>5.9</v>
      </c>
      <c r="FW39" s="272">
        <v>5354016</v>
      </c>
      <c r="FX39" s="384">
        <f t="shared" si="16"/>
        <v>100</v>
      </c>
      <c r="FY39" s="272">
        <v>3176766</v>
      </c>
      <c r="FZ39" s="272">
        <v>1080877</v>
      </c>
      <c r="GA39" s="272">
        <v>445157</v>
      </c>
      <c r="GB39" s="272">
        <v>1650732</v>
      </c>
      <c r="GC39" s="272"/>
      <c r="GD39" s="272"/>
      <c r="GE39" s="384"/>
      <c r="GF39" s="388">
        <v>98.8</v>
      </c>
      <c r="GG39" s="388">
        <v>16.7</v>
      </c>
      <c r="GH39" s="388">
        <v>94.3</v>
      </c>
      <c r="GI39" s="272">
        <v>263</v>
      </c>
    </row>
    <row r="40" spans="2:191" x14ac:dyDescent="0.15">
      <c r="B40" s="89" t="s">
        <v>73</v>
      </c>
      <c r="C40" s="272">
        <v>1483142</v>
      </c>
      <c r="D40" s="455">
        <f t="shared" si="0"/>
        <v>487469</v>
      </c>
      <c r="E40" s="272">
        <v>9157</v>
      </c>
      <c r="F40" s="272">
        <v>478312</v>
      </c>
      <c r="G40" s="455">
        <f t="shared" si="1"/>
        <v>54150</v>
      </c>
      <c r="H40" s="272">
        <v>18780</v>
      </c>
      <c r="I40" s="272">
        <v>35370</v>
      </c>
      <c r="J40" s="272">
        <v>859475</v>
      </c>
      <c r="K40" s="272">
        <v>180308</v>
      </c>
      <c r="L40" s="272">
        <v>342779</v>
      </c>
      <c r="M40" s="272">
        <v>336187</v>
      </c>
      <c r="N40" s="272">
        <v>53423</v>
      </c>
      <c r="O40" s="272">
        <v>0</v>
      </c>
      <c r="P40" s="272">
        <v>0</v>
      </c>
      <c r="Q40" s="272">
        <v>0</v>
      </c>
      <c r="R40" s="272">
        <v>70480</v>
      </c>
      <c r="S40" s="272"/>
      <c r="T40" s="455">
        <f t="shared" si="2"/>
        <v>211322</v>
      </c>
      <c r="U40" s="272">
        <v>22552</v>
      </c>
      <c r="V40" s="272"/>
      <c r="W40" s="272"/>
      <c r="X40" s="272">
        <v>102296</v>
      </c>
      <c r="Y40" s="272">
        <v>24802</v>
      </c>
      <c r="Z40" s="272">
        <v>0</v>
      </c>
      <c r="AA40" s="272">
        <v>61672</v>
      </c>
      <c r="AB40" s="272">
        <v>48211</v>
      </c>
      <c r="AC40" s="272">
        <v>1733257</v>
      </c>
      <c r="AD40" s="272">
        <v>1424522</v>
      </c>
      <c r="AE40" s="272">
        <v>308735</v>
      </c>
      <c r="AF40" s="272">
        <v>2661</v>
      </c>
      <c r="AG40" s="272">
        <v>4499</v>
      </c>
      <c r="AH40" s="455">
        <f t="shared" si="3"/>
        <v>145136</v>
      </c>
      <c r="AI40" s="272">
        <v>93578</v>
      </c>
      <c r="AJ40" s="272">
        <v>51558</v>
      </c>
      <c r="AK40" s="272">
        <v>157639</v>
      </c>
      <c r="AL40" s="455">
        <f t="shared" si="4"/>
        <v>4614</v>
      </c>
      <c r="AM40" s="272">
        <v>0</v>
      </c>
      <c r="AN40" s="272">
        <v>0</v>
      </c>
      <c r="AO40" s="272">
        <v>0</v>
      </c>
      <c r="AP40" s="272">
        <v>4614</v>
      </c>
      <c r="AQ40" s="272">
        <v>44519</v>
      </c>
      <c r="AR40" s="272">
        <v>0</v>
      </c>
      <c r="AS40" s="272">
        <v>0</v>
      </c>
      <c r="AT40" s="272">
        <v>314163</v>
      </c>
      <c r="AU40" s="272">
        <v>131797</v>
      </c>
      <c r="AV40" s="272">
        <v>12727</v>
      </c>
      <c r="AW40" s="272">
        <v>31976</v>
      </c>
      <c r="AX40" s="272">
        <v>182366</v>
      </c>
      <c r="AY40" s="272">
        <v>65372</v>
      </c>
      <c r="AZ40" s="272">
        <v>2588</v>
      </c>
      <c r="BA40" s="272">
        <v>0</v>
      </c>
      <c r="BB40" s="272">
        <v>1500</v>
      </c>
      <c r="BC40" s="272">
        <v>315152</v>
      </c>
      <c r="BD40" s="272">
        <v>176000</v>
      </c>
      <c r="BE40" s="272">
        <v>0</v>
      </c>
      <c r="BF40" s="272">
        <v>107105</v>
      </c>
      <c r="BG40" s="272">
        <v>0</v>
      </c>
      <c r="BH40" s="272">
        <v>280632</v>
      </c>
      <c r="BI40" s="272">
        <v>160651</v>
      </c>
      <c r="BJ40" s="272">
        <v>92603</v>
      </c>
      <c r="BK40" s="272">
        <v>15194</v>
      </c>
      <c r="BL40" s="272">
        <v>2426</v>
      </c>
      <c r="BM40" s="272">
        <v>0</v>
      </c>
      <c r="BN40" s="272">
        <v>700900</v>
      </c>
      <c r="BO40" s="455">
        <f t="shared" si="5"/>
        <v>482000</v>
      </c>
      <c r="BP40" s="455">
        <f t="shared" si="6"/>
        <v>218900</v>
      </c>
      <c r="BQ40" s="272">
        <v>17800</v>
      </c>
      <c r="BR40" s="272">
        <v>0</v>
      </c>
      <c r="BS40" s="272">
        <v>201100</v>
      </c>
      <c r="BT40" s="272">
        <v>0</v>
      </c>
      <c r="BU40" s="272">
        <v>5563885</v>
      </c>
      <c r="BV40" s="272"/>
      <c r="BW40" s="272">
        <v>1592481</v>
      </c>
      <c r="BX40" s="272">
        <v>919095</v>
      </c>
      <c r="BY40" s="272">
        <v>257046</v>
      </c>
      <c r="BZ40" s="272">
        <v>94437</v>
      </c>
      <c r="CA40" s="272">
        <v>165835</v>
      </c>
      <c r="CB40" s="272">
        <v>48825</v>
      </c>
      <c r="CC40" s="272">
        <v>31277</v>
      </c>
      <c r="CD40" s="272">
        <v>68229</v>
      </c>
      <c r="CE40" s="272">
        <v>0</v>
      </c>
      <c r="CF40" s="272">
        <v>4331</v>
      </c>
      <c r="CG40" s="272">
        <v>13173</v>
      </c>
      <c r="CH40" s="272">
        <v>442816</v>
      </c>
      <c r="CI40" s="272">
        <v>354297</v>
      </c>
      <c r="CJ40" s="455">
        <f t="shared" si="7"/>
        <v>88519</v>
      </c>
      <c r="CK40" s="272">
        <v>929463</v>
      </c>
      <c r="CL40" s="272">
        <v>557038</v>
      </c>
      <c r="CM40" s="272">
        <v>11349</v>
      </c>
      <c r="CN40" s="272">
        <v>211017</v>
      </c>
      <c r="CO40" s="272">
        <v>25895</v>
      </c>
      <c r="CP40" s="272">
        <v>457428</v>
      </c>
      <c r="CQ40" s="272">
        <v>214568</v>
      </c>
      <c r="CR40" s="272">
        <v>128886</v>
      </c>
      <c r="CS40" s="272">
        <v>127986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1032985</v>
      </c>
      <c r="DD40" s="272">
        <v>479917</v>
      </c>
      <c r="DE40" s="272">
        <v>539218</v>
      </c>
      <c r="DF40" s="272">
        <v>13850</v>
      </c>
      <c r="DG40" s="272">
        <v>0</v>
      </c>
      <c r="DH40" s="272">
        <v>0</v>
      </c>
      <c r="DI40" s="272">
        <v>141891</v>
      </c>
      <c r="DJ40" s="272">
        <v>91451</v>
      </c>
      <c r="DK40" s="272">
        <v>0</v>
      </c>
      <c r="DL40" s="272">
        <v>50440</v>
      </c>
      <c r="DM40" s="272">
        <v>0</v>
      </c>
      <c r="DN40" s="272">
        <v>0</v>
      </c>
      <c r="DO40" s="272">
        <v>0</v>
      </c>
      <c r="DP40" s="272">
        <v>0</v>
      </c>
      <c r="DQ40" s="272">
        <v>15000</v>
      </c>
      <c r="DR40" s="272">
        <v>0</v>
      </c>
      <c r="DS40" s="272">
        <v>0</v>
      </c>
      <c r="DT40" s="272">
        <v>406572</v>
      </c>
      <c r="DU40" s="272">
        <v>69764</v>
      </c>
      <c r="DV40" s="455">
        <f t="shared" si="11"/>
        <v>0</v>
      </c>
      <c r="DW40" s="272">
        <v>0</v>
      </c>
      <c r="DX40" s="272">
        <v>0</v>
      </c>
      <c r="DY40" s="272">
        <v>0</v>
      </c>
      <c r="DZ40" s="272">
        <v>83264</v>
      </c>
      <c r="EA40" s="272">
        <v>96343</v>
      </c>
      <c r="EB40" s="272">
        <v>96716</v>
      </c>
      <c r="EC40" s="272">
        <v>0</v>
      </c>
      <c r="ED40" s="272">
        <v>5210366</v>
      </c>
      <c r="EE40" s="89"/>
      <c r="EF40" s="272">
        <v>353519</v>
      </c>
      <c r="EG40" s="272">
        <v>230742</v>
      </c>
      <c r="EH40" s="272">
        <v>122777</v>
      </c>
      <c r="EI40" s="272">
        <v>-37874</v>
      </c>
      <c r="EJ40" s="272">
        <v>-122423</v>
      </c>
      <c r="EK40" s="89"/>
      <c r="EL40" s="272"/>
      <c r="EM40" s="272">
        <v>14217</v>
      </c>
      <c r="EN40" s="272">
        <v>297047</v>
      </c>
      <c r="EO40" s="272">
        <v>150</v>
      </c>
      <c r="EP40" s="455">
        <f t="shared" si="12"/>
        <v>251883</v>
      </c>
      <c r="EQ40" s="272">
        <v>3549073</v>
      </c>
      <c r="ER40" s="272">
        <v>-765319</v>
      </c>
      <c r="ES40" s="272">
        <v>1484809</v>
      </c>
      <c r="ET40" s="272">
        <v>816135</v>
      </c>
      <c r="EU40" s="272">
        <v>62313</v>
      </c>
      <c r="EV40" s="272">
        <v>434662</v>
      </c>
      <c r="EW40" s="455">
        <f t="shared" si="13"/>
        <v>287418</v>
      </c>
      <c r="EX40" s="272">
        <v>287418</v>
      </c>
      <c r="EY40" s="272">
        <v>1365</v>
      </c>
      <c r="EZ40" s="272">
        <v>273571</v>
      </c>
      <c r="FA40" s="272">
        <v>0</v>
      </c>
      <c r="FB40" s="272"/>
      <c r="FC40" s="272">
        <v>745010</v>
      </c>
      <c r="FD40" s="272">
        <v>396013</v>
      </c>
      <c r="FE40" s="272">
        <v>212068</v>
      </c>
      <c r="FF40" s="272">
        <v>371724</v>
      </c>
      <c r="FG40" s="455">
        <f t="shared" si="14"/>
        <v>178924</v>
      </c>
      <c r="FH40" s="272">
        <v>3960873</v>
      </c>
      <c r="FI40" s="384">
        <f t="shared" si="15"/>
        <v>3.7</v>
      </c>
      <c r="FJ40" s="272">
        <v>3314332</v>
      </c>
      <c r="FK40" s="272">
        <v>201135</v>
      </c>
      <c r="FL40" s="272">
        <v>1435401</v>
      </c>
      <c r="FM40" s="272">
        <v>2861684</v>
      </c>
      <c r="FN40" s="460">
        <v>0.45100000000000001</v>
      </c>
      <c r="FO40" s="388">
        <v>89.4</v>
      </c>
      <c r="FP40" s="388">
        <v>38.700000000000003</v>
      </c>
      <c r="FQ40" s="388">
        <v>1.8</v>
      </c>
      <c r="FR40" s="388">
        <v>12.5</v>
      </c>
      <c r="FS40" s="388">
        <v>18.7</v>
      </c>
      <c r="FT40" s="388">
        <v>8.6999999999999993</v>
      </c>
      <c r="FU40" s="388">
        <v>8.4</v>
      </c>
      <c r="FV40" s="388">
        <v>5</v>
      </c>
      <c r="FW40" s="272">
        <v>3940342</v>
      </c>
      <c r="FX40" s="384">
        <f t="shared" si="16"/>
        <v>118.9</v>
      </c>
      <c r="FY40" s="272">
        <v>1757094</v>
      </c>
      <c r="FZ40" s="272">
        <v>967788</v>
      </c>
      <c r="GA40" s="272"/>
      <c r="GB40" s="272">
        <v>789306</v>
      </c>
      <c r="GC40" s="272"/>
      <c r="GD40" s="272"/>
      <c r="GE40" s="384"/>
      <c r="GF40" s="388">
        <v>95</v>
      </c>
      <c r="GG40" s="388">
        <v>10.9</v>
      </c>
      <c r="GH40" s="388">
        <v>85.7</v>
      </c>
      <c r="GI40" s="272">
        <v>151</v>
      </c>
    </row>
    <row r="41" spans="2:191" x14ac:dyDescent="0.15">
      <c r="B41" s="89" t="s">
        <v>75</v>
      </c>
      <c r="C41" s="272">
        <v>2550317</v>
      </c>
      <c r="D41" s="455">
        <f t="shared" si="0"/>
        <v>581766</v>
      </c>
      <c r="E41" s="272">
        <v>11730</v>
      </c>
      <c r="F41" s="272">
        <v>570036</v>
      </c>
      <c r="G41" s="455">
        <f t="shared" si="1"/>
        <v>149864</v>
      </c>
      <c r="H41" s="272">
        <v>47891</v>
      </c>
      <c r="I41" s="272">
        <v>101973</v>
      </c>
      <c r="J41" s="272">
        <v>1386188</v>
      </c>
      <c r="K41" s="272">
        <v>788715</v>
      </c>
      <c r="L41" s="272">
        <v>422995</v>
      </c>
      <c r="M41" s="272">
        <v>156719</v>
      </c>
      <c r="N41" s="272">
        <v>107720</v>
      </c>
      <c r="O41" s="272">
        <v>305773</v>
      </c>
      <c r="P41" s="272">
        <v>209451</v>
      </c>
      <c r="Q41" s="272">
        <v>96322</v>
      </c>
      <c r="R41" s="272">
        <v>40951</v>
      </c>
      <c r="S41" s="272"/>
      <c r="T41" s="455">
        <f t="shared" si="2"/>
        <v>221477</v>
      </c>
      <c r="U41" s="272">
        <v>26921</v>
      </c>
      <c r="V41" s="272"/>
      <c r="W41" s="272"/>
      <c r="X41" s="272">
        <v>158818</v>
      </c>
      <c r="Y41" s="272">
        <v>0</v>
      </c>
      <c r="Z41" s="272">
        <v>0</v>
      </c>
      <c r="AA41" s="272">
        <v>35738</v>
      </c>
      <c r="AB41" s="272">
        <v>61479</v>
      </c>
      <c r="AC41" s="272">
        <v>1980105</v>
      </c>
      <c r="AD41" s="272">
        <v>1629285</v>
      </c>
      <c r="AE41" s="272">
        <v>350820</v>
      </c>
      <c r="AF41" s="272">
        <v>3703</v>
      </c>
      <c r="AG41" s="272">
        <v>4487</v>
      </c>
      <c r="AH41" s="455">
        <f t="shared" si="3"/>
        <v>292834</v>
      </c>
      <c r="AI41" s="272">
        <v>273959</v>
      </c>
      <c r="AJ41" s="272">
        <v>18875</v>
      </c>
      <c r="AK41" s="272">
        <v>167246</v>
      </c>
      <c r="AL41" s="455">
        <f t="shared" si="4"/>
        <v>59036</v>
      </c>
      <c r="AM41" s="272">
        <v>0</v>
      </c>
      <c r="AN41" s="272">
        <v>57203</v>
      </c>
      <c r="AO41" s="272">
        <v>0</v>
      </c>
      <c r="AP41" s="272">
        <v>1833</v>
      </c>
      <c r="AQ41" s="272">
        <v>0</v>
      </c>
      <c r="AR41" s="272">
        <v>0</v>
      </c>
      <c r="AS41" s="272">
        <v>0</v>
      </c>
      <c r="AT41" s="272">
        <v>253062</v>
      </c>
      <c r="AU41" s="272">
        <v>113955</v>
      </c>
      <c r="AV41" s="272">
        <v>28601</v>
      </c>
      <c r="AW41" s="272">
        <v>2526</v>
      </c>
      <c r="AX41" s="272">
        <v>139107</v>
      </c>
      <c r="AY41" s="272">
        <v>24150</v>
      </c>
      <c r="AZ41" s="272">
        <v>282717</v>
      </c>
      <c r="BA41" s="272">
        <v>281446</v>
      </c>
      <c r="BB41" s="272">
        <v>6226</v>
      </c>
      <c r="BC41" s="272">
        <v>402105</v>
      </c>
      <c r="BD41" s="272">
        <v>320000</v>
      </c>
      <c r="BE41" s="272">
        <v>0</v>
      </c>
      <c r="BF41" s="272">
        <v>80259</v>
      </c>
      <c r="BG41" s="272">
        <v>0</v>
      </c>
      <c r="BH41" s="272">
        <v>16476</v>
      </c>
      <c r="BI41" s="272">
        <v>14476</v>
      </c>
      <c r="BJ41" s="272">
        <v>344183</v>
      </c>
      <c r="BK41" s="272">
        <v>207809</v>
      </c>
      <c r="BL41" s="272">
        <v>0</v>
      </c>
      <c r="BM41" s="272">
        <v>0</v>
      </c>
      <c r="BN41" s="272">
        <v>579500</v>
      </c>
      <c r="BO41" s="455">
        <f t="shared" si="5"/>
        <v>334900</v>
      </c>
      <c r="BP41" s="455">
        <f t="shared" si="6"/>
        <v>244600</v>
      </c>
      <c r="BQ41" s="272">
        <v>23700</v>
      </c>
      <c r="BR41" s="272">
        <v>0</v>
      </c>
      <c r="BS41" s="272">
        <v>220900</v>
      </c>
      <c r="BT41" s="272">
        <v>0</v>
      </c>
      <c r="BU41" s="272">
        <v>7206868</v>
      </c>
      <c r="BV41" s="272"/>
      <c r="BW41" s="272">
        <v>1762772</v>
      </c>
      <c r="BX41" s="272">
        <v>1242304</v>
      </c>
      <c r="BY41" s="272">
        <v>141463</v>
      </c>
      <c r="BZ41" s="272">
        <v>13120</v>
      </c>
      <c r="CA41" s="272">
        <v>252894</v>
      </c>
      <c r="CB41" s="272">
        <v>103644</v>
      </c>
      <c r="CC41" s="272">
        <v>68994</v>
      </c>
      <c r="CD41" s="272">
        <v>70340</v>
      </c>
      <c r="CE41" s="272">
        <v>0</v>
      </c>
      <c r="CF41" s="272">
        <v>0</v>
      </c>
      <c r="CG41" s="272">
        <v>9916</v>
      </c>
      <c r="CH41" s="272">
        <v>1112311</v>
      </c>
      <c r="CI41" s="272">
        <v>914130</v>
      </c>
      <c r="CJ41" s="455">
        <f t="shared" si="7"/>
        <v>198181</v>
      </c>
      <c r="CK41" s="272">
        <v>1238263</v>
      </c>
      <c r="CL41" s="272">
        <v>686587</v>
      </c>
      <c r="CM41" s="272">
        <v>122394</v>
      </c>
      <c r="CN41" s="272">
        <v>253709</v>
      </c>
      <c r="CO41" s="272">
        <v>146728</v>
      </c>
      <c r="CP41" s="272">
        <v>471791</v>
      </c>
      <c r="CQ41" s="272">
        <v>3497</v>
      </c>
      <c r="CR41" s="272">
        <v>43379</v>
      </c>
      <c r="CS41" s="272">
        <v>43379</v>
      </c>
      <c r="CT41" s="455">
        <f t="shared" si="8"/>
        <v>242722</v>
      </c>
      <c r="CU41" s="272">
        <v>122300</v>
      </c>
      <c r="CV41" s="272">
        <v>120422</v>
      </c>
      <c r="CW41" s="455">
        <f t="shared" si="9"/>
        <v>140617</v>
      </c>
      <c r="CX41" s="272">
        <v>121786</v>
      </c>
      <c r="CY41" s="272">
        <v>18831</v>
      </c>
      <c r="CZ41" s="455">
        <f t="shared" si="10"/>
        <v>0</v>
      </c>
      <c r="DA41" s="272">
        <v>0</v>
      </c>
      <c r="DB41" s="272">
        <v>0</v>
      </c>
      <c r="DC41" s="272">
        <v>578653</v>
      </c>
      <c r="DD41" s="272">
        <v>0</v>
      </c>
      <c r="DE41" s="272">
        <v>578653</v>
      </c>
      <c r="DF41" s="272">
        <v>0</v>
      </c>
      <c r="DG41" s="272">
        <v>0</v>
      </c>
      <c r="DH41" s="272">
        <v>0</v>
      </c>
      <c r="DI41" s="272">
        <v>280417</v>
      </c>
      <c r="DJ41" s="272">
        <v>277397</v>
      </c>
      <c r="DK41" s="272">
        <v>0</v>
      </c>
      <c r="DL41" s="272">
        <v>3020</v>
      </c>
      <c r="DM41" s="272">
        <v>0</v>
      </c>
      <c r="DN41" s="272">
        <v>0</v>
      </c>
      <c r="DO41" s="272">
        <v>0</v>
      </c>
      <c r="DP41" s="272">
        <v>0</v>
      </c>
      <c r="DQ41" s="272">
        <v>58000</v>
      </c>
      <c r="DR41" s="272">
        <v>58000</v>
      </c>
      <c r="DS41" s="272">
        <v>0</v>
      </c>
      <c r="DT41" s="272">
        <v>1266039</v>
      </c>
      <c r="DU41" s="272">
        <v>888000</v>
      </c>
      <c r="DV41" s="455">
        <f t="shared" si="11"/>
        <v>0</v>
      </c>
      <c r="DW41" s="272">
        <v>0</v>
      </c>
      <c r="DX41" s="272">
        <v>0</v>
      </c>
      <c r="DY41" s="272">
        <v>0</v>
      </c>
      <c r="DZ41" s="272">
        <v>155242</v>
      </c>
      <c r="EA41" s="272">
        <v>90754</v>
      </c>
      <c r="EB41" s="272">
        <v>132043</v>
      </c>
      <c r="EC41" s="272">
        <v>0</v>
      </c>
      <c r="ED41" s="272">
        <v>7167868</v>
      </c>
      <c r="EE41" s="89"/>
      <c r="EF41" s="272">
        <v>39000</v>
      </c>
      <c r="EG41" s="272">
        <v>30627</v>
      </c>
      <c r="EH41" s="272">
        <v>8373</v>
      </c>
      <c r="EI41" s="272">
        <v>-6103</v>
      </c>
      <c r="EJ41" s="272">
        <v>-48706</v>
      </c>
      <c r="EK41" s="89"/>
      <c r="EL41" s="272"/>
      <c r="EM41" s="272">
        <v>17139</v>
      </c>
      <c r="EN41" s="272">
        <v>321846</v>
      </c>
      <c r="EO41" s="272">
        <v>643</v>
      </c>
      <c r="EP41" s="455">
        <f t="shared" si="12"/>
        <v>65555</v>
      </c>
      <c r="EQ41" s="272">
        <v>4858032</v>
      </c>
      <c r="ER41" s="272">
        <v>-628941</v>
      </c>
      <c r="ES41" s="272">
        <v>1585268</v>
      </c>
      <c r="ET41" s="272">
        <v>1084749</v>
      </c>
      <c r="EU41" s="272">
        <v>113079</v>
      </c>
      <c r="EV41" s="272">
        <v>780367</v>
      </c>
      <c r="EW41" s="455">
        <f t="shared" si="13"/>
        <v>103077</v>
      </c>
      <c r="EX41" s="272">
        <v>103077</v>
      </c>
      <c r="EY41" s="272">
        <v>0</v>
      </c>
      <c r="EZ41" s="272">
        <v>103077</v>
      </c>
      <c r="FA41" s="272">
        <v>0</v>
      </c>
      <c r="FB41" s="272"/>
      <c r="FC41" s="272">
        <v>1055356</v>
      </c>
      <c r="FD41" s="272">
        <v>419915</v>
      </c>
      <c r="FE41" s="272">
        <v>3497</v>
      </c>
      <c r="FF41" s="272">
        <v>1225661</v>
      </c>
      <c r="FG41" s="455">
        <f t="shared" si="14"/>
        <v>165250</v>
      </c>
      <c r="FH41" s="272">
        <v>5447973</v>
      </c>
      <c r="FI41" s="384">
        <f t="shared" si="15"/>
        <v>0.2</v>
      </c>
      <c r="FJ41" s="272">
        <v>4308608</v>
      </c>
      <c r="FK41" s="272">
        <v>220922</v>
      </c>
      <c r="FL41" s="272">
        <v>2020597</v>
      </c>
      <c r="FM41" s="272">
        <v>3649342</v>
      </c>
      <c r="FN41" s="460">
        <v>0.55400000000000005</v>
      </c>
      <c r="FO41" s="388">
        <v>103.9</v>
      </c>
      <c r="FP41" s="388">
        <v>34.4</v>
      </c>
      <c r="FQ41" s="388">
        <v>2.5</v>
      </c>
      <c r="FR41" s="388">
        <v>16.899999999999999</v>
      </c>
      <c r="FS41" s="388">
        <v>23.3</v>
      </c>
      <c r="FT41" s="388">
        <v>6.8</v>
      </c>
      <c r="FU41" s="388">
        <v>17.8</v>
      </c>
      <c r="FV41" s="388">
        <v>8.5</v>
      </c>
      <c r="FW41" s="272">
        <v>8133051</v>
      </c>
      <c r="FX41" s="384">
        <f t="shared" si="16"/>
        <v>188.8</v>
      </c>
      <c r="FY41" s="272">
        <v>1696446</v>
      </c>
      <c r="FZ41" s="272">
        <v>1141167</v>
      </c>
      <c r="GA41" s="272"/>
      <c r="GB41" s="272">
        <v>555279</v>
      </c>
      <c r="GC41" s="272"/>
      <c r="GD41" s="272"/>
      <c r="GE41" s="384"/>
      <c r="GF41" s="388">
        <v>96.8</v>
      </c>
      <c r="GG41" s="388">
        <v>17.100000000000001</v>
      </c>
      <c r="GH41" s="388">
        <v>88.2</v>
      </c>
      <c r="GI41" s="272">
        <v>185</v>
      </c>
    </row>
    <row r="42" spans="2:191" x14ac:dyDescent="0.15">
      <c r="B42" s="89" t="s">
        <v>77</v>
      </c>
      <c r="C42" s="272">
        <v>4621901</v>
      </c>
      <c r="D42" s="455">
        <f t="shared" si="0"/>
        <v>2139998</v>
      </c>
      <c r="E42" s="272">
        <v>30657</v>
      </c>
      <c r="F42" s="272">
        <v>2109341</v>
      </c>
      <c r="G42" s="455">
        <f t="shared" si="1"/>
        <v>127298</v>
      </c>
      <c r="H42" s="272">
        <v>43728</v>
      </c>
      <c r="I42" s="272">
        <v>83570</v>
      </c>
      <c r="J42" s="272">
        <v>2138604</v>
      </c>
      <c r="K42" s="272">
        <v>996338</v>
      </c>
      <c r="L42" s="272">
        <v>895422</v>
      </c>
      <c r="M42" s="272">
        <v>233927</v>
      </c>
      <c r="N42" s="272">
        <v>158141</v>
      </c>
      <c r="O42" s="272">
        <v>0</v>
      </c>
      <c r="P42" s="272">
        <v>0</v>
      </c>
      <c r="Q42" s="272">
        <v>0</v>
      </c>
      <c r="R42" s="272">
        <v>103582</v>
      </c>
      <c r="S42" s="272"/>
      <c r="T42" s="455">
        <f t="shared" si="2"/>
        <v>473564</v>
      </c>
      <c r="U42" s="272">
        <v>89122</v>
      </c>
      <c r="V42" s="272"/>
      <c r="W42" s="272"/>
      <c r="X42" s="272">
        <v>280823</v>
      </c>
      <c r="Y42" s="272">
        <v>13201</v>
      </c>
      <c r="Z42" s="272">
        <v>0</v>
      </c>
      <c r="AA42" s="272">
        <v>90418</v>
      </c>
      <c r="AB42" s="272">
        <v>203801</v>
      </c>
      <c r="AC42" s="272">
        <v>2430997</v>
      </c>
      <c r="AD42" s="272">
        <v>2174776</v>
      </c>
      <c r="AE42" s="272">
        <v>256221</v>
      </c>
      <c r="AF42" s="272">
        <v>7790</v>
      </c>
      <c r="AG42" s="272">
        <v>4711</v>
      </c>
      <c r="AH42" s="455">
        <f t="shared" si="3"/>
        <v>251471</v>
      </c>
      <c r="AI42" s="272">
        <v>221021</v>
      </c>
      <c r="AJ42" s="272">
        <v>30450</v>
      </c>
      <c r="AK42" s="272">
        <v>602633</v>
      </c>
      <c r="AL42" s="455">
        <f t="shared" si="4"/>
        <v>148335</v>
      </c>
      <c r="AM42" s="272">
        <v>0</v>
      </c>
      <c r="AN42" s="272">
        <v>148335</v>
      </c>
      <c r="AO42" s="272">
        <v>0</v>
      </c>
      <c r="AP42" s="272">
        <v>0</v>
      </c>
      <c r="AQ42" s="272">
        <v>219936</v>
      </c>
      <c r="AR42" s="272">
        <v>0</v>
      </c>
      <c r="AS42" s="272">
        <v>0</v>
      </c>
      <c r="AT42" s="272">
        <v>487457</v>
      </c>
      <c r="AU42" s="272">
        <v>259186</v>
      </c>
      <c r="AV42" s="272">
        <v>74168</v>
      </c>
      <c r="AW42" s="272">
        <v>30294</v>
      </c>
      <c r="AX42" s="272">
        <v>228271</v>
      </c>
      <c r="AY42" s="272">
        <v>18911</v>
      </c>
      <c r="AZ42" s="272">
        <v>147972</v>
      </c>
      <c r="BA42" s="272">
        <v>55368</v>
      </c>
      <c r="BB42" s="272">
        <v>7863</v>
      </c>
      <c r="BC42" s="272">
        <v>1143756</v>
      </c>
      <c r="BD42" s="272">
        <v>130000</v>
      </c>
      <c r="BE42" s="272">
        <v>62500</v>
      </c>
      <c r="BF42" s="272">
        <v>890000</v>
      </c>
      <c r="BG42" s="272">
        <v>0</v>
      </c>
      <c r="BH42" s="272">
        <v>333085</v>
      </c>
      <c r="BI42" s="272">
        <v>280490</v>
      </c>
      <c r="BJ42" s="272">
        <v>120796</v>
      </c>
      <c r="BK42" s="272">
        <v>0</v>
      </c>
      <c r="BL42" s="272">
        <v>0</v>
      </c>
      <c r="BM42" s="272">
        <v>0</v>
      </c>
      <c r="BN42" s="272">
        <v>700200</v>
      </c>
      <c r="BO42" s="455">
        <f t="shared" si="5"/>
        <v>220200</v>
      </c>
      <c r="BP42" s="455">
        <f t="shared" si="6"/>
        <v>480000</v>
      </c>
      <c r="BQ42" s="272">
        <v>70000</v>
      </c>
      <c r="BR42" s="272">
        <v>0</v>
      </c>
      <c r="BS42" s="272">
        <v>410000</v>
      </c>
      <c r="BT42" s="272">
        <v>0</v>
      </c>
      <c r="BU42" s="272">
        <v>11641579</v>
      </c>
      <c r="BV42" s="272"/>
      <c r="BW42" s="272">
        <v>3166503</v>
      </c>
      <c r="BX42" s="272">
        <v>2358475</v>
      </c>
      <c r="BY42" s="272">
        <v>185475</v>
      </c>
      <c r="BZ42" s="272">
        <v>51390</v>
      </c>
      <c r="CA42" s="272">
        <v>638887</v>
      </c>
      <c r="CB42" s="272">
        <v>142395</v>
      </c>
      <c r="CC42" s="272">
        <v>101199</v>
      </c>
      <c r="CD42" s="272">
        <v>354377</v>
      </c>
      <c r="CE42" s="272">
        <v>0</v>
      </c>
      <c r="CF42" s="272">
        <v>0</v>
      </c>
      <c r="CG42" s="272">
        <v>40916</v>
      </c>
      <c r="CH42" s="272">
        <v>1463541</v>
      </c>
      <c r="CI42" s="272">
        <v>1075888</v>
      </c>
      <c r="CJ42" s="455">
        <f t="shared" si="7"/>
        <v>387653</v>
      </c>
      <c r="CK42" s="272">
        <v>1982724</v>
      </c>
      <c r="CL42" s="272">
        <v>904952</v>
      </c>
      <c r="CM42" s="272">
        <v>154485</v>
      </c>
      <c r="CN42" s="272">
        <v>488837</v>
      </c>
      <c r="CO42" s="272">
        <v>250365</v>
      </c>
      <c r="CP42" s="272">
        <v>404597</v>
      </c>
      <c r="CQ42" s="272">
        <v>1592</v>
      </c>
      <c r="CR42" s="272">
        <v>223234</v>
      </c>
      <c r="CS42" s="272">
        <v>112402</v>
      </c>
      <c r="CT42" s="455">
        <f t="shared" si="8"/>
        <v>7625</v>
      </c>
      <c r="CU42" s="272">
        <v>4727</v>
      </c>
      <c r="CV42" s="272">
        <v>2898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1998644</v>
      </c>
      <c r="DD42" s="272">
        <v>638171</v>
      </c>
      <c r="DE42" s="272">
        <v>1338887</v>
      </c>
      <c r="DF42" s="272">
        <v>21586</v>
      </c>
      <c r="DG42" s="272">
        <v>0</v>
      </c>
      <c r="DH42" s="272">
        <v>955</v>
      </c>
      <c r="DI42" s="272">
        <v>170097</v>
      </c>
      <c r="DJ42" s="272">
        <v>141000</v>
      </c>
      <c r="DK42" s="272">
        <v>347</v>
      </c>
      <c r="DL42" s="272">
        <v>28750</v>
      </c>
      <c r="DM42" s="272">
        <v>6000</v>
      </c>
      <c r="DN42" s="272">
        <v>6000</v>
      </c>
      <c r="DO42" s="272">
        <v>6000</v>
      </c>
      <c r="DP42" s="272">
        <v>0</v>
      </c>
      <c r="DQ42" s="272">
        <v>0</v>
      </c>
      <c r="DR42" s="272">
        <v>0</v>
      </c>
      <c r="DS42" s="272">
        <v>0</v>
      </c>
      <c r="DT42" s="272">
        <v>1240744</v>
      </c>
      <c r="DU42" s="272">
        <v>573800</v>
      </c>
      <c r="DV42" s="455">
        <f t="shared" si="11"/>
        <v>0</v>
      </c>
      <c r="DW42" s="272">
        <v>0</v>
      </c>
      <c r="DX42" s="272">
        <v>0</v>
      </c>
      <c r="DY42" s="272">
        <v>0</v>
      </c>
      <c r="DZ42" s="272">
        <v>229241</v>
      </c>
      <c r="EA42" s="272">
        <v>169821</v>
      </c>
      <c r="EB42" s="272">
        <v>235443</v>
      </c>
      <c r="EC42" s="272">
        <v>0</v>
      </c>
      <c r="ED42" s="272">
        <v>11323057</v>
      </c>
      <c r="EE42" s="89"/>
      <c r="EF42" s="272">
        <v>318522</v>
      </c>
      <c r="EG42" s="272">
        <v>187557</v>
      </c>
      <c r="EH42" s="272">
        <v>130965</v>
      </c>
      <c r="EI42" s="272">
        <v>-149525</v>
      </c>
      <c r="EJ42" s="272">
        <v>-138525</v>
      </c>
      <c r="EK42" s="89"/>
      <c r="EL42" s="272"/>
      <c r="EM42" s="272">
        <v>43205</v>
      </c>
      <c r="EN42" s="272">
        <v>253756</v>
      </c>
      <c r="EO42" s="272">
        <v>141774</v>
      </c>
      <c r="EP42" s="455">
        <f t="shared" si="12"/>
        <v>344598</v>
      </c>
      <c r="EQ42" s="272">
        <v>7841635</v>
      </c>
      <c r="ER42" s="272">
        <v>-1212338</v>
      </c>
      <c r="ES42" s="272">
        <v>2822125</v>
      </c>
      <c r="ET42" s="272">
        <v>2017977</v>
      </c>
      <c r="EU42" s="272">
        <v>289940</v>
      </c>
      <c r="EV42" s="272">
        <v>1463541</v>
      </c>
      <c r="EW42" s="455">
        <f t="shared" si="13"/>
        <v>537484</v>
      </c>
      <c r="EX42" s="272">
        <v>536529</v>
      </c>
      <c r="EY42" s="272">
        <v>36645</v>
      </c>
      <c r="EZ42" s="272">
        <v>498298</v>
      </c>
      <c r="FA42" s="272">
        <v>955</v>
      </c>
      <c r="FB42" s="272"/>
      <c r="FC42" s="272">
        <v>1667650</v>
      </c>
      <c r="FD42" s="272">
        <v>378295</v>
      </c>
      <c r="FE42" s="272">
        <v>1592</v>
      </c>
      <c r="FF42" s="272">
        <v>1162026</v>
      </c>
      <c r="FG42" s="455">
        <f t="shared" si="14"/>
        <v>414390</v>
      </c>
      <c r="FH42" s="272">
        <v>8735451</v>
      </c>
      <c r="FI42" s="384">
        <f t="shared" si="15"/>
        <v>1.7</v>
      </c>
      <c r="FJ42" s="272">
        <v>7765127</v>
      </c>
      <c r="FK42" s="272">
        <v>415026</v>
      </c>
      <c r="FL42" s="272">
        <v>4220483</v>
      </c>
      <c r="FM42" s="272">
        <v>6399197</v>
      </c>
      <c r="FN42" s="460">
        <v>0.65200000000000002</v>
      </c>
      <c r="FO42" s="388">
        <v>87.8</v>
      </c>
      <c r="FP42" s="388">
        <v>32.299999999999997</v>
      </c>
      <c r="FQ42" s="388">
        <v>3.5</v>
      </c>
      <c r="FR42" s="388">
        <v>17.899999999999999</v>
      </c>
      <c r="FS42" s="388">
        <v>18.3</v>
      </c>
      <c r="FT42" s="388">
        <v>4.3</v>
      </c>
      <c r="FU42" s="388">
        <v>8.4</v>
      </c>
      <c r="FV42" s="388">
        <v>5.4</v>
      </c>
      <c r="FW42" s="272">
        <v>11552410</v>
      </c>
      <c r="FX42" s="384">
        <f t="shared" si="16"/>
        <v>148.80000000000001</v>
      </c>
      <c r="FY42" s="272">
        <v>9694352</v>
      </c>
      <c r="FZ42" s="272">
        <v>1971158</v>
      </c>
      <c r="GA42" s="272">
        <v>1232724</v>
      </c>
      <c r="GB42" s="272">
        <v>6490470</v>
      </c>
      <c r="GC42" s="272"/>
      <c r="GD42" s="272">
        <v>1887226</v>
      </c>
      <c r="GE42" s="384">
        <f>ROUND(GD42/FJ42*100,1)</f>
        <v>24.3</v>
      </c>
      <c r="GF42" s="388">
        <v>97.7</v>
      </c>
      <c r="GG42" s="388">
        <v>19.8</v>
      </c>
      <c r="GH42" s="388">
        <v>91</v>
      </c>
      <c r="GI42" s="272">
        <v>369</v>
      </c>
    </row>
    <row r="43" spans="2:191" x14ac:dyDescent="0.15">
      <c r="B43" s="89" t="s">
        <v>79</v>
      </c>
      <c r="C43" s="272">
        <v>4824279</v>
      </c>
      <c r="D43" s="455">
        <f t="shared" si="0"/>
        <v>274586</v>
      </c>
      <c r="E43" s="272">
        <v>4987</v>
      </c>
      <c r="F43" s="272">
        <v>269599</v>
      </c>
      <c r="G43" s="455">
        <f t="shared" si="1"/>
        <v>114233</v>
      </c>
      <c r="H43" s="272">
        <v>40518</v>
      </c>
      <c r="I43" s="272">
        <v>73715</v>
      </c>
      <c r="J43" s="272">
        <v>3215317</v>
      </c>
      <c r="K43" s="272">
        <v>1570837</v>
      </c>
      <c r="L43" s="272">
        <v>869042</v>
      </c>
      <c r="M43" s="272">
        <v>735241</v>
      </c>
      <c r="N43" s="272">
        <v>1189892</v>
      </c>
      <c r="O43" s="272">
        <v>0</v>
      </c>
      <c r="P43" s="272">
        <v>0</v>
      </c>
      <c r="Q43" s="272">
        <v>0</v>
      </c>
      <c r="R43" s="272">
        <v>56824</v>
      </c>
      <c r="S43" s="272"/>
      <c r="T43" s="455">
        <f t="shared" si="2"/>
        <v>118346</v>
      </c>
      <c r="U43" s="272">
        <v>12040</v>
      </c>
      <c r="V43" s="272"/>
      <c r="W43" s="272"/>
      <c r="X43" s="272">
        <v>91015</v>
      </c>
      <c r="Y43" s="272">
        <v>0</v>
      </c>
      <c r="Z43" s="272">
        <v>0</v>
      </c>
      <c r="AA43" s="272">
        <v>15291</v>
      </c>
      <c r="AB43" s="272">
        <v>0</v>
      </c>
      <c r="AC43" s="272">
        <v>19338</v>
      </c>
      <c r="AD43" s="272">
        <v>0</v>
      </c>
      <c r="AE43" s="272">
        <v>19338</v>
      </c>
      <c r="AF43" s="272">
        <v>1141</v>
      </c>
      <c r="AG43" s="272">
        <v>2652</v>
      </c>
      <c r="AH43" s="455">
        <f t="shared" si="3"/>
        <v>53709</v>
      </c>
      <c r="AI43" s="272">
        <v>49492</v>
      </c>
      <c r="AJ43" s="272">
        <v>4217</v>
      </c>
      <c r="AK43" s="272">
        <v>176977</v>
      </c>
      <c r="AL43" s="455">
        <f t="shared" si="4"/>
        <v>11604</v>
      </c>
      <c r="AM43" s="272">
        <v>0</v>
      </c>
      <c r="AN43" s="272">
        <v>9907</v>
      </c>
      <c r="AO43" s="272">
        <v>0</v>
      </c>
      <c r="AP43" s="272">
        <v>1697</v>
      </c>
      <c r="AQ43" s="272">
        <v>104935</v>
      </c>
      <c r="AR43" s="272">
        <v>0</v>
      </c>
      <c r="AS43" s="272">
        <v>0</v>
      </c>
      <c r="AT43" s="272">
        <v>101685</v>
      </c>
      <c r="AU43" s="272">
        <v>57986</v>
      </c>
      <c r="AV43" s="272">
        <v>4953</v>
      </c>
      <c r="AW43" s="272">
        <v>3327</v>
      </c>
      <c r="AX43" s="272">
        <v>43699</v>
      </c>
      <c r="AY43" s="272">
        <v>5847</v>
      </c>
      <c r="AZ43" s="272">
        <v>4683</v>
      </c>
      <c r="BA43" s="272">
        <v>0</v>
      </c>
      <c r="BB43" s="272">
        <v>20475</v>
      </c>
      <c r="BC43" s="272">
        <v>0</v>
      </c>
      <c r="BD43" s="272">
        <v>0</v>
      </c>
      <c r="BE43" s="272">
        <v>0</v>
      </c>
      <c r="BF43" s="272">
        <v>0</v>
      </c>
      <c r="BG43" s="272">
        <v>0</v>
      </c>
      <c r="BH43" s="272">
        <v>312572</v>
      </c>
      <c r="BI43" s="272">
        <v>312572</v>
      </c>
      <c r="BJ43" s="272">
        <v>29071</v>
      </c>
      <c r="BK43" s="272">
        <v>0</v>
      </c>
      <c r="BL43" s="272">
        <v>0</v>
      </c>
      <c r="BM43" s="272">
        <v>0</v>
      </c>
      <c r="BN43" s="272">
        <v>288655</v>
      </c>
      <c r="BO43" s="455">
        <f t="shared" si="5"/>
        <v>288655</v>
      </c>
      <c r="BP43" s="455">
        <f t="shared" si="6"/>
        <v>0</v>
      </c>
      <c r="BQ43" s="272">
        <v>0</v>
      </c>
      <c r="BR43" s="272">
        <v>0</v>
      </c>
      <c r="BS43" s="272">
        <v>0</v>
      </c>
      <c r="BT43" s="272">
        <v>0</v>
      </c>
      <c r="BU43" s="272">
        <v>6010407</v>
      </c>
      <c r="BV43" s="272"/>
      <c r="BW43" s="272">
        <v>1241653</v>
      </c>
      <c r="BX43" s="272">
        <v>885448</v>
      </c>
      <c r="BY43" s="272">
        <v>61599</v>
      </c>
      <c r="BZ43" s="272">
        <v>7764</v>
      </c>
      <c r="CA43" s="272">
        <v>148987</v>
      </c>
      <c r="CB43" s="272">
        <v>32658</v>
      </c>
      <c r="CC43" s="272">
        <v>62112</v>
      </c>
      <c r="CD43" s="272">
        <v>51050</v>
      </c>
      <c r="CE43" s="272">
        <v>0</v>
      </c>
      <c r="CF43" s="272">
        <v>0</v>
      </c>
      <c r="CG43" s="272">
        <v>3167</v>
      </c>
      <c r="CH43" s="272">
        <v>682249</v>
      </c>
      <c r="CI43" s="272">
        <v>526762</v>
      </c>
      <c r="CJ43" s="455">
        <f t="shared" si="7"/>
        <v>155487</v>
      </c>
      <c r="CK43" s="272">
        <v>679382</v>
      </c>
      <c r="CL43" s="272">
        <v>301308</v>
      </c>
      <c r="CM43" s="272">
        <v>126277</v>
      </c>
      <c r="CN43" s="272">
        <v>133019</v>
      </c>
      <c r="CO43" s="272">
        <v>13068</v>
      </c>
      <c r="CP43" s="272">
        <v>562400</v>
      </c>
      <c r="CQ43" s="272">
        <v>136741</v>
      </c>
      <c r="CR43" s="272">
        <v>67839</v>
      </c>
      <c r="CS43" s="272">
        <v>67839</v>
      </c>
      <c r="CT43" s="455">
        <f t="shared" si="8"/>
        <v>18957</v>
      </c>
      <c r="CU43" s="272">
        <v>0</v>
      </c>
      <c r="CV43" s="272">
        <v>18957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811449</v>
      </c>
      <c r="DD43" s="272">
        <v>367390</v>
      </c>
      <c r="DE43" s="272">
        <v>417186</v>
      </c>
      <c r="DF43" s="272">
        <v>26873</v>
      </c>
      <c r="DG43" s="272">
        <v>0</v>
      </c>
      <c r="DH43" s="272">
        <v>0</v>
      </c>
      <c r="DI43" s="272">
        <v>559991</v>
      </c>
      <c r="DJ43" s="272">
        <v>538402</v>
      </c>
      <c r="DK43" s="272">
        <v>0</v>
      </c>
      <c r="DL43" s="272">
        <v>21589</v>
      </c>
      <c r="DM43" s="272">
        <v>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1026926</v>
      </c>
      <c r="DU43" s="272">
        <v>552954</v>
      </c>
      <c r="DV43" s="455">
        <f t="shared" si="11"/>
        <v>0</v>
      </c>
      <c r="DW43" s="272">
        <v>0</v>
      </c>
      <c r="DX43" s="272">
        <v>0</v>
      </c>
      <c r="DY43" s="272">
        <v>0</v>
      </c>
      <c r="DZ43" s="272">
        <v>83989</v>
      </c>
      <c r="EA43" s="272">
        <v>41254</v>
      </c>
      <c r="EB43" s="272">
        <v>59535</v>
      </c>
      <c r="EC43" s="272">
        <v>0</v>
      </c>
      <c r="ED43" s="272">
        <v>5726105</v>
      </c>
      <c r="EE43" s="89"/>
      <c r="EF43" s="272">
        <v>284302</v>
      </c>
      <c r="EG43" s="272">
        <v>0</v>
      </c>
      <c r="EH43" s="272">
        <v>284302</v>
      </c>
      <c r="EI43" s="272">
        <v>-28270</v>
      </c>
      <c r="EJ43" s="272">
        <v>510132</v>
      </c>
      <c r="EK43" s="89"/>
      <c r="EL43" s="272"/>
      <c r="EM43" s="272">
        <v>7096</v>
      </c>
      <c r="EN43" s="272">
        <v>0</v>
      </c>
      <c r="EO43" s="272">
        <v>34</v>
      </c>
      <c r="EP43" s="455">
        <f t="shared" si="12"/>
        <v>332384</v>
      </c>
      <c r="EQ43" s="272">
        <v>5019928</v>
      </c>
      <c r="ER43" s="272">
        <v>-331277</v>
      </c>
      <c r="ES43" s="272">
        <v>1186243</v>
      </c>
      <c r="ET43" s="272">
        <v>831070</v>
      </c>
      <c r="EU43" s="272">
        <v>89634</v>
      </c>
      <c r="EV43" s="272">
        <v>682249</v>
      </c>
      <c r="EW43" s="455">
        <f t="shared" si="13"/>
        <v>402194</v>
      </c>
      <c r="EX43" s="272">
        <v>402194</v>
      </c>
      <c r="EY43" s="272">
        <v>83473</v>
      </c>
      <c r="EZ43" s="272">
        <v>291848</v>
      </c>
      <c r="FA43" s="272">
        <v>0</v>
      </c>
      <c r="FB43" s="272"/>
      <c r="FC43" s="272">
        <v>591035</v>
      </c>
      <c r="FD43" s="272">
        <v>557582</v>
      </c>
      <c r="FE43" s="272">
        <v>136741</v>
      </c>
      <c r="FF43" s="272">
        <v>1009993</v>
      </c>
      <c r="FG43" s="455">
        <f t="shared" si="14"/>
        <v>547973</v>
      </c>
      <c r="FH43" s="272">
        <v>5066903</v>
      </c>
      <c r="FI43" s="384">
        <f t="shared" si="15"/>
        <v>3.3</v>
      </c>
      <c r="FJ43" s="272">
        <v>8540678</v>
      </c>
      <c r="FK43" s="272">
        <v>142507</v>
      </c>
      <c r="FL43" s="272">
        <v>6420656</v>
      </c>
      <c r="FM43" s="272">
        <v>1906554</v>
      </c>
      <c r="FN43" s="460">
        <v>2.1629999999999998</v>
      </c>
      <c r="FO43" s="388">
        <v>65.400000000000006</v>
      </c>
      <c r="FP43" s="388">
        <v>23.7</v>
      </c>
      <c r="FQ43" s="388">
        <v>1.8</v>
      </c>
      <c r="FR43" s="388">
        <v>13.6</v>
      </c>
      <c r="FS43" s="388">
        <v>9.6</v>
      </c>
      <c r="FT43" s="388">
        <v>8.6</v>
      </c>
      <c r="FU43" s="388">
        <v>7.9</v>
      </c>
      <c r="FV43" s="388">
        <v>10.8</v>
      </c>
      <c r="FW43" s="272">
        <v>5520808</v>
      </c>
      <c r="FX43" s="384">
        <f t="shared" si="16"/>
        <v>64.599999999999994</v>
      </c>
      <c r="FY43" s="272">
        <v>3296154</v>
      </c>
      <c r="FZ43" s="272">
        <v>2839676</v>
      </c>
      <c r="GA43" s="272"/>
      <c r="GB43" s="272">
        <v>456478</v>
      </c>
      <c r="GC43" s="272"/>
      <c r="GD43" s="272">
        <v>2560100</v>
      </c>
      <c r="GE43" s="384">
        <f>ROUND(GD43/FJ43*100,1)</f>
        <v>30</v>
      </c>
      <c r="GF43" s="388">
        <v>99.5</v>
      </c>
      <c r="GG43" s="388">
        <v>20.3</v>
      </c>
      <c r="GH43" s="388">
        <v>98.3</v>
      </c>
      <c r="GI43" s="272">
        <v>143</v>
      </c>
    </row>
    <row r="44" spans="2:191" x14ac:dyDescent="0.15">
      <c r="B44" s="89" t="s">
        <v>81</v>
      </c>
      <c r="C44" s="272">
        <v>2593393</v>
      </c>
      <c r="D44" s="455">
        <f t="shared" si="0"/>
        <v>717931</v>
      </c>
      <c r="E44" s="272">
        <v>12360</v>
      </c>
      <c r="F44" s="272">
        <v>705571</v>
      </c>
      <c r="G44" s="455">
        <f t="shared" si="1"/>
        <v>196140</v>
      </c>
      <c r="H44" s="272">
        <v>34893</v>
      </c>
      <c r="I44" s="272">
        <v>161247</v>
      </c>
      <c r="J44" s="272">
        <v>1505175</v>
      </c>
      <c r="K44" s="272">
        <v>645979</v>
      </c>
      <c r="L44" s="272">
        <v>480788</v>
      </c>
      <c r="M44" s="272">
        <v>372978</v>
      </c>
      <c r="N44" s="272">
        <v>95836</v>
      </c>
      <c r="O44" s="272">
        <v>0</v>
      </c>
      <c r="P44" s="272">
        <v>0</v>
      </c>
      <c r="Q44" s="272">
        <v>0</v>
      </c>
      <c r="R44" s="272">
        <v>60838</v>
      </c>
      <c r="S44" s="272"/>
      <c r="T44" s="455">
        <f t="shared" si="2"/>
        <v>292207</v>
      </c>
      <c r="U44" s="272">
        <v>35919</v>
      </c>
      <c r="V44" s="272"/>
      <c r="W44" s="272"/>
      <c r="X44" s="272">
        <v>141813</v>
      </c>
      <c r="Y44" s="272">
        <v>61065</v>
      </c>
      <c r="Z44" s="272">
        <v>252</v>
      </c>
      <c r="AA44" s="272">
        <v>53158</v>
      </c>
      <c r="AB44" s="272">
        <v>77572</v>
      </c>
      <c r="AC44" s="272">
        <v>1807737</v>
      </c>
      <c r="AD44" s="272">
        <v>1502853</v>
      </c>
      <c r="AE44" s="272">
        <v>304884</v>
      </c>
      <c r="AF44" s="272">
        <v>4053</v>
      </c>
      <c r="AG44" s="272">
        <v>5176</v>
      </c>
      <c r="AH44" s="455">
        <f t="shared" si="3"/>
        <v>257607</v>
      </c>
      <c r="AI44" s="272">
        <v>244579</v>
      </c>
      <c r="AJ44" s="272">
        <v>13028</v>
      </c>
      <c r="AK44" s="272">
        <v>182198</v>
      </c>
      <c r="AL44" s="455">
        <f t="shared" si="4"/>
        <v>56615</v>
      </c>
      <c r="AM44" s="272">
        <v>0</v>
      </c>
      <c r="AN44" s="272">
        <v>54205</v>
      </c>
      <c r="AO44" s="272">
        <v>0</v>
      </c>
      <c r="AP44" s="272">
        <v>2410</v>
      </c>
      <c r="AQ44" s="272">
        <v>921</v>
      </c>
      <c r="AR44" s="272">
        <v>0</v>
      </c>
      <c r="AS44" s="272">
        <v>0</v>
      </c>
      <c r="AT44" s="272">
        <v>375365</v>
      </c>
      <c r="AU44" s="272">
        <v>143591</v>
      </c>
      <c r="AV44" s="272">
        <v>27103</v>
      </c>
      <c r="AW44" s="272">
        <v>0</v>
      </c>
      <c r="AX44" s="272">
        <v>231774</v>
      </c>
      <c r="AY44" s="272">
        <v>29899</v>
      </c>
      <c r="AZ44" s="272">
        <v>9663</v>
      </c>
      <c r="BA44" s="272">
        <v>7659</v>
      </c>
      <c r="BB44" s="272">
        <v>122550</v>
      </c>
      <c r="BC44" s="272">
        <v>303353</v>
      </c>
      <c r="BD44" s="272">
        <v>105000</v>
      </c>
      <c r="BE44" s="272">
        <v>83266</v>
      </c>
      <c r="BF44" s="272">
        <v>100000</v>
      </c>
      <c r="BG44" s="272">
        <v>0</v>
      </c>
      <c r="BH44" s="272">
        <v>240866</v>
      </c>
      <c r="BI44" s="272">
        <v>13066</v>
      </c>
      <c r="BJ44" s="272">
        <v>194028</v>
      </c>
      <c r="BK44" s="272">
        <v>40021</v>
      </c>
      <c r="BL44" s="272">
        <v>0</v>
      </c>
      <c r="BM44" s="272">
        <v>0</v>
      </c>
      <c r="BN44" s="272">
        <v>924700</v>
      </c>
      <c r="BO44" s="455">
        <f t="shared" si="5"/>
        <v>659600</v>
      </c>
      <c r="BP44" s="455">
        <f t="shared" si="6"/>
        <v>265100</v>
      </c>
      <c r="BQ44" s="272">
        <v>28800</v>
      </c>
      <c r="BR44" s="272">
        <v>0</v>
      </c>
      <c r="BS44" s="272">
        <v>236300</v>
      </c>
      <c r="BT44" s="272">
        <v>0</v>
      </c>
      <c r="BU44" s="272">
        <v>7451306</v>
      </c>
      <c r="BV44" s="272"/>
      <c r="BW44" s="272">
        <v>1846408</v>
      </c>
      <c r="BX44" s="272">
        <v>1322519</v>
      </c>
      <c r="BY44" s="272">
        <v>102888</v>
      </c>
      <c r="BZ44" s="272">
        <v>22465</v>
      </c>
      <c r="CA44" s="272">
        <v>262169</v>
      </c>
      <c r="CB44" s="272">
        <v>60599</v>
      </c>
      <c r="CC44" s="272">
        <v>67884</v>
      </c>
      <c r="CD44" s="272">
        <v>126036</v>
      </c>
      <c r="CE44" s="272">
        <v>0</v>
      </c>
      <c r="CF44" s="272">
        <v>0</v>
      </c>
      <c r="CG44" s="272">
        <v>7650</v>
      </c>
      <c r="CH44" s="272">
        <v>1219851</v>
      </c>
      <c r="CI44" s="272">
        <v>861532</v>
      </c>
      <c r="CJ44" s="455">
        <f t="shared" si="7"/>
        <v>358319</v>
      </c>
      <c r="CK44" s="272">
        <v>1348297</v>
      </c>
      <c r="CL44" s="272">
        <v>613375</v>
      </c>
      <c r="CM44" s="272">
        <v>145546</v>
      </c>
      <c r="CN44" s="272">
        <v>404944</v>
      </c>
      <c r="CO44" s="272">
        <v>104543</v>
      </c>
      <c r="CP44" s="272">
        <v>528130</v>
      </c>
      <c r="CQ44" s="272">
        <v>296362</v>
      </c>
      <c r="CR44" s="272">
        <v>106917</v>
      </c>
      <c r="CS44" s="272">
        <v>96155</v>
      </c>
      <c r="CT44" s="455">
        <f t="shared" si="8"/>
        <v>5859</v>
      </c>
      <c r="CU44" s="272">
        <v>5859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1091376</v>
      </c>
      <c r="DD44" s="272">
        <v>2763</v>
      </c>
      <c r="DE44" s="272">
        <v>1033613</v>
      </c>
      <c r="DF44" s="272">
        <v>55000</v>
      </c>
      <c r="DG44" s="272">
        <v>0</v>
      </c>
      <c r="DH44" s="272">
        <v>0</v>
      </c>
      <c r="DI44" s="272">
        <v>126370</v>
      </c>
      <c r="DJ44" s="272">
        <v>7720</v>
      </c>
      <c r="DK44" s="272">
        <v>62</v>
      </c>
      <c r="DL44" s="272">
        <v>118588</v>
      </c>
      <c r="DM44" s="272">
        <v>7500</v>
      </c>
      <c r="DN44" s="272">
        <v>7500</v>
      </c>
      <c r="DO44" s="272">
        <v>7500</v>
      </c>
      <c r="DP44" s="272">
        <v>0</v>
      </c>
      <c r="DQ44" s="272">
        <v>4300</v>
      </c>
      <c r="DR44" s="272">
        <v>0</v>
      </c>
      <c r="DS44" s="272">
        <v>0</v>
      </c>
      <c r="DT44" s="272">
        <v>898817</v>
      </c>
      <c r="DU44" s="272">
        <v>410615</v>
      </c>
      <c r="DV44" s="455">
        <f t="shared" si="11"/>
        <v>0</v>
      </c>
      <c r="DW44" s="272">
        <v>0</v>
      </c>
      <c r="DX44" s="272">
        <v>0</v>
      </c>
      <c r="DY44" s="272">
        <v>0</v>
      </c>
      <c r="DZ44" s="272">
        <v>168783</v>
      </c>
      <c r="EA44" s="272">
        <v>131160</v>
      </c>
      <c r="EB44" s="272">
        <v>188259</v>
      </c>
      <c r="EC44" s="272">
        <v>0</v>
      </c>
      <c r="ED44" s="272">
        <v>7437761</v>
      </c>
      <c r="EE44" s="89"/>
      <c r="EF44" s="272">
        <v>13545</v>
      </c>
      <c r="EG44" s="272">
        <v>0</v>
      </c>
      <c r="EH44" s="272">
        <v>13545</v>
      </c>
      <c r="EI44" s="272">
        <v>479</v>
      </c>
      <c r="EJ44" s="272">
        <v>-23501</v>
      </c>
      <c r="EK44" s="89"/>
      <c r="EL44" s="272"/>
      <c r="EM44" s="272">
        <v>19609</v>
      </c>
      <c r="EN44" s="272">
        <v>188279</v>
      </c>
      <c r="EO44" s="272">
        <v>8273</v>
      </c>
      <c r="EP44" s="455">
        <f t="shared" si="12"/>
        <v>314737</v>
      </c>
      <c r="EQ44" s="272">
        <v>4835800</v>
      </c>
      <c r="ER44" s="272">
        <v>-772336</v>
      </c>
      <c r="ES44" s="272">
        <v>1671821</v>
      </c>
      <c r="ET44" s="272">
        <v>1148851</v>
      </c>
      <c r="EU44" s="272">
        <v>125426</v>
      </c>
      <c r="EV44" s="272">
        <v>1121605</v>
      </c>
      <c r="EW44" s="455">
        <f t="shared" si="13"/>
        <v>44975</v>
      </c>
      <c r="EX44" s="272">
        <v>44975</v>
      </c>
      <c r="EY44" s="272">
        <v>921</v>
      </c>
      <c r="EZ44" s="272">
        <v>44054</v>
      </c>
      <c r="FA44" s="272">
        <v>0</v>
      </c>
      <c r="FB44" s="272"/>
      <c r="FC44" s="272">
        <v>1093444</v>
      </c>
      <c r="FD44" s="272">
        <v>485864</v>
      </c>
      <c r="FE44" s="272">
        <v>296362</v>
      </c>
      <c r="FF44" s="272">
        <v>830444</v>
      </c>
      <c r="FG44" s="455">
        <f t="shared" si="14"/>
        <v>221012</v>
      </c>
      <c r="FH44" s="272">
        <v>5594591</v>
      </c>
      <c r="FI44" s="384">
        <f t="shared" si="15"/>
        <v>0.3</v>
      </c>
      <c r="FJ44" s="272">
        <v>4565108</v>
      </c>
      <c r="FK44" s="272">
        <v>236377</v>
      </c>
      <c r="FL44" s="272">
        <v>2312861</v>
      </c>
      <c r="FM44" s="272">
        <v>3818064</v>
      </c>
      <c r="FN44" s="460">
        <v>0.63400000000000001</v>
      </c>
      <c r="FO44" s="388">
        <v>97.3</v>
      </c>
      <c r="FP44" s="388">
        <v>33.299999999999997</v>
      </c>
      <c r="FQ44" s="388">
        <v>2.5</v>
      </c>
      <c r="FR44" s="388">
        <v>21.1</v>
      </c>
      <c r="FS44" s="388">
        <v>18.7</v>
      </c>
      <c r="FT44" s="388">
        <v>8.9</v>
      </c>
      <c r="FU44" s="388">
        <v>10.8</v>
      </c>
      <c r="FV44" s="388">
        <v>10.199999999999999</v>
      </c>
      <c r="FW44" s="272">
        <v>12177897</v>
      </c>
      <c r="FX44" s="384">
        <f t="shared" si="16"/>
        <v>266.8</v>
      </c>
      <c r="FY44" s="272">
        <v>1986351</v>
      </c>
      <c r="FZ44" s="272">
        <v>1176330</v>
      </c>
      <c r="GA44" s="272">
        <v>37863</v>
      </c>
      <c r="GB44" s="272">
        <v>772158</v>
      </c>
      <c r="GC44" s="272"/>
      <c r="GD44" s="272"/>
      <c r="GE44" s="384"/>
      <c r="GF44" s="388">
        <v>98.1</v>
      </c>
      <c r="GG44" s="388">
        <v>13.8</v>
      </c>
      <c r="GH44" s="388">
        <v>92.2</v>
      </c>
      <c r="GI44" s="272">
        <v>187</v>
      </c>
    </row>
    <row r="45" spans="2:191" x14ac:dyDescent="0.15">
      <c r="B45" s="89" t="s">
        <v>83</v>
      </c>
      <c r="C45" s="272">
        <v>1482078</v>
      </c>
      <c r="D45" s="455">
        <f t="shared" si="0"/>
        <v>636312</v>
      </c>
      <c r="E45" s="272">
        <v>9488</v>
      </c>
      <c r="F45" s="272">
        <v>626824</v>
      </c>
      <c r="G45" s="455">
        <f t="shared" si="1"/>
        <v>24698</v>
      </c>
      <c r="H45" s="272">
        <v>12917</v>
      </c>
      <c r="I45" s="272">
        <v>11781</v>
      </c>
      <c r="J45" s="272">
        <v>705951</v>
      </c>
      <c r="K45" s="272">
        <v>321942</v>
      </c>
      <c r="L45" s="272">
        <v>307466</v>
      </c>
      <c r="M45" s="272">
        <v>76543</v>
      </c>
      <c r="N45" s="272">
        <v>94957</v>
      </c>
      <c r="O45" s="272">
        <v>0</v>
      </c>
      <c r="P45" s="272">
        <v>0</v>
      </c>
      <c r="Q45" s="272">
        <v>0</v>
      </c>
      <c r="R45" s="272">
        <v>42366</v>
      </c>
      <c r="S45" s="272"/>
      <c r="T45" s="455">
        <f t="shared" si="2"/>
        <v>186031</v>
      </c>
      <c r="U45" s="272">
        <v>27648</v>
      </c>
      <c r="V45" s="272"/>
      <c r="W45" s="272"/>
      <c r="X45" s="272">
        <v>91380</v>
      </c>
      <c r="Y45" s="272">
        <v>30044</v>
      </c>
      <c r="Z45" s="272">
        <v>0</v>
      </c>
      <c r="AA45" s="272">
        <v>36959</v>
      </c>
      <c r="AB45" s="272">
        <v>51641</v>
      </c>
      <c r="AC45" s="272">
        <v>1592579</v>
      </c>
      <c r="AD45" s="272">
        <v>1353003</v>
      </c>
      <c r="AE45" s="272">
        <v>239576</v>
      </c>
      <c r="AF45" s="272">
        <v>2797</v>
      </c>
      <c r="AG45" s="272">
        <v>47565</v>
      </c>
      <c r="AH45" s="455">
        <f t="shared" si="3"/>
        <v>54040</v>
      </c>
      <c r="AI45" s="272">
        <v>27778</v>
      </c>
      <c r="AJ45" s="272">
        <v>26262</v>
      </c>
      <c r="AK45" s="272">
        <v>150488</v>
      </c>
      <c r="AL45" s="455">
        <f t="shared" si="4"/>
        <v>57267</v>
      </c>
      <c r="AM45" s="272">
        <v>0</v>
      </c>
      <c r="AN45" s="272">
        <v>56245</v>
      </c>
      <c r="AO45" s="272">
        <v>0</v>
      </c>
      <c r="AP45" s="272">
        <v>1022</v>
      </c>
      <c r="AQ45" s="272">
        <v>0</v>
      </c>
      <c r="AR45" s="272">
        <v>0</v>
      </c>
      <c r="AS45" s="272">
        <v>0</v>
      </c>
      <c r="AT45" s="272">
        <v>307239</v>
      </c>
      <c r="AU45" s="272">
        <v>168880</v>
      </c>
      <c r="AV45" s="272">
        <v>44063</v>
      </c>
      <c r="AW45" s="272">
        <v>24997</v>
      </c>
      <c r="AX45" s="272">
        <v>138359</v>
      </c>
      <c r="AY45" s="272">
        <v>59618</v>
      </c>
      <c r="AZ45" s="272">
        <v>26165</v>
      </c>
      <c r="BA45" s="272">
        <v>23596</v>
      </c>
      <c r="BB45" s="272">
        <v>0</v>
      </c>
      <c r="BC45" s="272">
        <v>280474</v>
      </c>
      <c r="BD45" s="272">
        <v>100000</v>
      </c>
      <c r="BE45" s="272">
        <v>0</v>
      </c>
      <c r="BF45" s="272">
        <v>79326</v>
      </c>
      <c r="BG45" s="272">
        <v>61178</v>
      </c>
      <c r="BH45" s="272">
        <v>84476</v>
      </c>
      <c r="BI45" s="272">
        <v>84476</v>
      </c>
      <c r="BJ45" s="272">
        <v>21650</v>
      </c>
      <c r="BK45" s="272">
        <v>1925</v>
      </c>
      <c r="BL45" s="272">
        <v>0</v>
      </c>
      <c r="BM45" s="272">
        <v>0</v>
      </c>
      <c r="BN45" s="272">
        <v>399200</v>
      </c>
      <c r="BO45" s="455">
        <f t="shared" si="5"/>
        <v>187000</v>
      </c>
      <c r="BP45" s="455">
        <f t="shared" si="6"/>
        <v>212200</v>
      </c>
      <c r="BQ45" s="272">
        <v>21700</v>
      </c>
      <c r="BR45" s="272">
        <v>0</v>
      </c>
      <c r="BS45" s="272">
        <v>190500</v>
      </c>
      <c r="BT45" s="272">
        <v>0</v>
      </c>
      <c r="BU45" s="272">
        <v>4728789</v>
      </c>
      <c r="BV45" s="272"/>
      <c r="BW45" s="272">
        <v>1136678</v>
      </c>
      <c r="BX45" s="272">
        <v>787811</v>
      </c>
      <c r="BY45" s="272">
        <v>46684</v>
      </c>
      <c r="BZ45" s="272">
        <v>12204</v>
      </c>
      <c r="CA45" s="272">
        <v>366940</v>
      </c>
      <c r="CB45" s="272">
        <v>42425</v>
      </c>
      <c r="CC45" s="272">
        <v>40076</v>
      </c>
      <c r="CD45" s="272">
        <v>265900</v>
      </c>
      <c r="CE45" s="272">
        <v>0</v>
      </c>
      <c r="CF45" s="272">
        <v>0</v>
      </c>
      <c r="CG45" s="272">
        <v>18539</v>
      </c>
      <c r="CH45" s="272">
        <v>666859</v>
      </c>
      <c r="CI45" s="272">
        <v>484868</v>
      </c>
      <c r="CJ45" s="455">
        <f t="shared" si="7"/>
        <v>181991</v>
      </c>
      <c r="CK45" s="272">
        <v>641751</v>
      </c>
      <c r="CL45" s="272">
        <v>323657</v>
      </c>
      <c r="CM45" s="272">
        <v>85405</v>
      </c>
      <c r="CN45" s="272">
        <v>135526</v>
      </c>
      <c r="CO45" s="272">
        <v>18912</v>
      </c>
      <c r="CP45" s="272">
        <v>522601</v>
      </c>
      <c r="CQ45" s="272">
        <v>102379</v>
      </c>
      <c r="CR45" s="272">
        <v>141767</v>
      </c>
      <c r="CS45" s="272">
        <v>117981</v>
      </c>
      <c r="CT45" s="455">
        <f t="shared" si="8"/>
        <v>18861</v>
      </c>
      <c r="CU45" s="272">
        <v>2384</v>
      </c>
      <c r="CV45" s="272">
        <v>16477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681219</v>
      </c>
      <c r="DD45" s="272">
        <v>33330</v>
      </c>
      <c r="DE45" s="272">
        <v>538708</v>
      </c>
      <c r="DF45" s="272">
        <v>63306</v>
      </c>
      <c r="DG45" s="272">
        <v>45000</v>
      </c>
      <c r="DH45" s="272">
        <v>0</v>
      </c>
      <c r="DI45" s="272">
        <v>47613</v>
      </c>
      <c r="DJ45" s="272">
        <v>46698</v>
      </c>
      <c r="DK45" s="272">
        <v>2</v>
      </c>
      <c r="DL45" s="272">
        <v>913</v>
      </c>
      <c r="DM45" s="272">
        <v>10000</v>
      </c>
      <c r="DN45" s="272">
        <v>10000</v>
      </c>
      <c r="DO45" s="272">
        <v>10000</v>
      </c>
      <c r="DP45" s="272">
        <v>0</v>
      </c>
      <c r="DQ45" s="272">
        <v>1900</v>
      </c>
      <c r="DR45" s="272">
        <v>0</v>
      </c>
      <c r="DS45" s="272">
        <v>0</v>
      </c>
      <c r="DT45" s="272">
        <v>560569</v>
      </c>
      <c r="DU45" s="272">
        <v>275157</v>
      </c>
      <c r="DV45" s="455">
        <f t="shared" si="11"/>
        <v>0</v>
      </c>
      <c r="DW45" s="272">
        <v>0</v>
      </c>
      <c r="DX45" s="272">
        <v>0</v>
      </c>
      <c r="DY45" s="272">
        <v>0</v>
      </c>
      <c r="DZ45" s="272">
        <v>96456</v>
      </c>
      <c r="EA45" s="272">
        <v>56033</v>
      </c>
      <c r="EB45" s="272">
        <v>95359</v>
      </c>
      <c r="EC45" s="272">
        <v>0</v>
      </c>
      <c r="ED45" s="272">
        <v>4655042</v>
      </c>
      <c r="EE45" s="89"/>
      <c r="EF45" s="272">
        <v>73747</v>
      </c>
      <c r="EG45" s="272">
        <v>0</v>
      </c>
      <c r="EH45" s="272">
        <v>73747</v>
      </c>
      <c r="EI45" s="272">
        <v>-10729</v>
      </c>
      <c r="EJ45" s="272">
        <v>-64031</v>
      </c>
      <c r="EK45" s="89"/>
      <c r="EL45" s="272"/>
      <c r="EM45" s="272">
        <v>14349</v>
      </c>
      <c r="EN45" s="272">
        <v>156654</v>
      </c>
      <c r="EO45" s="272">
        <v>24052</v>
      </c>
      <c r="EP45" s="455">
        <f t="shared" si="12"/>
        <v>97906</v>
      </c>
      <c r="EQ45" s="272">
        <v>3357492</v>
      </c>
      <c r="ER45" s="272">
        <v>-488015</v>
      </c>
      <c r="ES45" s="272">
        <v>1089218</v>
      </c>
      <c r="ET45" s="272">
        <v>742977</v>
      </c>
      <c r="EU45" s="272">
        <v>119860</v>
      </c>
      <c r="EV45" s="272">
        <v>666859</v>
      </c>
      <c r="EW45" s="455">
        <f t="shared" si="13"/>
        <v>304768</v>
      </c>
      <c r="EX45" s="272">
        <v>304768</v>
      </c>
      <c r="EY45" s="272">
        <v>6901</v>
      </c>
      <c r="EZ45" s="272">
        <v>234727</v>
      </c>
      <c r="FA45" s="272">
        <v>0</v>
      </c>
      <c r="FB45" s="272"/>
      <c r="FC45" s="272">
        <v>546481</v>
      </c>
      <c r="FD45" s="272">
        <v>475459</v>
      </c>
      <c r="FE45" s="272">
        <v>102379</v>
      </c>
      <c r="FF45" s="272">
        <v>502803</v>
      </c>
      <c r="FG45" s="455">
        <f t="shared" si="14"/>
        <v>66312</v>
      </c>
      <c r="FH45" s="272">
        <v>3771760</v>
      </c>
      <c r="FI45" s="384">
        <f t="shared" si="15"/>
        <v>2.2999999999999998</v>
      </c>
      <c r="FJ45" s="272">
        <v>3218483</v>
      </c>
      <c r="FK45" s="272">
        <v>190515</v>
      </c>
      <c r="FL45" s="272">
        <v>1410407</v>
      </c>
      <c r="FM45" s="272">
        <v>2765112</v>
      </c>
      <c r="FN45" s="460">
        <v>0.495</v>
      </c>
      <c r="FO45" s="388">
        <v>92</v>
      </c>
      <c r="FP45" s="388">
        <v>31.8</v>
      </c>
      <c r="FQ45" s="388">
        <v>3.6</v>
      </c>
      <c r="FR45" s="388">
        <v>20</v>
      </c>
      <c r="FS45" s="388">
        <v>15.1</v>
      </c>
      <c r="FT45" s="388">
        <v>13.3</v>
      </c>
      <c r="FU45" s="388">
        <v>7.7</v>
      </c>
      <c r="FV45" s="388">
        <v>11.6</v>
      </c>
      <c r="FW45" s="272">
        <v>6056378</v>
      </c>
      <c r="FX45" s="384">
        <f t="shared" si="16"/>
        <v>188.2</v>
      </c>
      <c r="FY45" s="272">
        <v>839545</v>
      </c>
      <c r="FZ45" s="272">
        <v>618691</v>
      </c>
      <c r="GA45" s="272">
        <v>7673</v>
      </c>
      <c r="GB45" s="272">
        <v>213181</v>
      </c>
      <c r="GC45" s="272"/>
      <c r="GD45" s="272">
        <v>539092</v>
      </c>
      <c r="GE45" s="384">
        <f>ROUND(GD45/FJ45*100,1)</f>
        <v>16.7</v>
      </c>
      <c r="GF45" s="388">
        <v>97.7</v>
      </c>
      <c r="GG45" s="388">
        <v>16.100000000000001</v>
      </c>
      <c r="GH45" s="388">
        <v>89.8</v>
      </c>
      <c r="GI45" s="272">
        <v>119</v>
      </c>
    </row>
    <row r="46" spans="2:191" x14ac:dyDescent="0.15">
      <c r="B46" s="89" t="s">
        <v>85</v>
      </c>
      <c r="C46" s="272">
        <v>1700599</v>
      </c>
      <c r="D46" s="455">
        <f t="shared" si="0"/>
        <v>752910</v>
      </c>
      <c r="E46" s="272">
        <v>11211</v>
      </c>
      <c r="F46" s="272">
        <v>741699</v>
      </c>
      <c r="G46" s="455">
        <f t="shared" si="1"/>
        <v>70157</v>
      </c>
      <c r="H46" s="272">
        <v>16796</v>
      </c>
      <c r="I46" s="272">
        <v>53361</v>
      </c>
      <c r="J46" s="272">
        <v>772574</v>
      </c>
      <c r="K46" s="272">
        <v>360019</v>
      </c>
      <c r="L46" s="272">
        <v>334680</v>
      </c>
      <c r="M46" s="272">
        <v>77875</v>
      </c>
      <c r="N46" s="272">
        <v>77574</v>
      </c>
      <c r="O46" s="272">
        <v>0</v>
      </c>
      <c r="P46" s="272">
        <v>0</v>
      </c>
      <c r="Q46" s="272">
        <v>0</v>
      </c>
      <c r="R46" s="272">
        <v>59061</v>
      </c>
      <c r="S46" s="272"/>
      <c r="T46" s="455">
        <f t="shared" si="2"/>
        <v>245485</v>
      </c>
      <c r="U46" s="272">
        <v>32321</v>
      </c>
      <c r="V46" s="272"/>
      <c r="W46" s="272"/>
      <c r="X46" s="272">
        <v>119442</v>
      </c>
      <c r="Y46" s="272">
        <v>42180</v>
      </c>
      <c r="Z46" s="272">
        <v>0</v>
      </c>
      <c r="AA46" s="272">
        <v>51542</v>
      </c>
      <c r="AB46" s="272">
        <v>75631</v>
      </c>
      <c r="AC46" s="272">
        <v>1756133</v>
      </c>
      <c r="AD46" s="272">
        <v>1531013</v>
      </c>
      <c r="AE46" s="272">
        <v>225120</v>
      </c>
      <c r="AF46" s="272">
        <v>3162</v>
      </c>
      <c r="AG46" s="272">
        <v>13357</v>
      </c>
      <c r="AH46" s="455">
        <f t="shared" si="3"/>
        <v>89546</v>
      </c>
      <c r="AI46" s="272">
        <v>62286</v>
      </c>
      <c r="AJ46" s="272">
        <v>27260</v>
      </c>
      <c r="AK46" s="272">
        <v>165535</v>
      </c>
      <c r="AL46" s="455">
        <f t="shared" si="4"/>
        <v>25671</v>
      </c>
      <c r="AM46" s="272">
        <v>0</v>
      </c>
      <c r="AN46" s="272">
        <v>22990</v>
      </c>
      <c r="AO46" s="272">
        <v>0</v>
      </c>
      <c r="AP46" s="272">
        <v>2681</v>
      </c>
      <c r="AQ46" s="272">
        <v>15386</v>
      </c>
      <c r="AR46" s="272">
        <v>0</v>
      </c>
      <c r="AS46" s="272">
        <v>0</v>
      </c>
      <c r="AT46" s="272">
        <v>239259</v>
      </c>
      <c r="AU46" s="272">
        <v>99116</v>
      </c>
      <c r="AV46" s="272">
        <v>11495</v>
      </c>
      <c r="AW46" s="272">
        <v>25467</v>
      </c>
      <c r="AX46" s="272">
        <v>140143</v>
      </c>
      <c r="AY46" s="272">
        <v>48275</v>
      </c>
      <c r="AZ46" s="272">
        <v>6062</v>
      </c>
      <c r="BA46" s="272">
        <v>157</v>
      </c>
      <c r="BB46" s="272">
        <v>3300</v>
      </c>
      <c r="BC46" s="272">
        <v>811153</v>
      </c>
      <c r="BD46" s="272">
        <v>170000</v>
      </c>
      <c r="BE46" s="272">
        <v>118237</v>
      </c>
      <c r="BF46" s="272">
        <v>422916</v>
      </c>
      <c r="BG46" s="272">
        <v>0</v>
      </c>
      <c r="BH46" s="272">
        <v>90403</v>
      </c>
      <c r="BI46" s="272">
        <v>61724</v>
      </c>
      <c r="BJ46" s="272">
        <v>33000</v>
      </c>
      <c r="BK46" s="272">
        <v>3142</v>
      </c>
      <c r="BL46" s="272">
        <v>0</v>
      </c>
      <c r="BM46" s="272">
        <v>0</v>
      </c>
      <c r="BN46" s="272">
        <v>408400</v>
      </c>
      <c r="BO46" s="455">
        <f t="shared" si="5"/>
        <v>169500</v>
      </c>
      <c r="BP46" s="455">
        <f t="shared" si="6"/>
        <v>238900</v>
      </c>
      <c r="BQ46" s="272">
        <v>25000</v>
      </c>
      <c r="BR46" s="272">
        <v>0</v>
      </c>
      <c r="BS46" s="272">
        <v>213900</v>
      </c>
      <c r="BT46" s="272">
        <v>0</v>
      </c>
      <c r="BU46" s="272">
        <v>5700086</v>
      </c>
      <c r="BV46" s="272"/>
      <c r="BW46" s="272">
        <v>1526530</v>
      </c>
      <c r="BX46" s="272">
        <v>1076972</v>
      </c>
      <c r="BY46" s="272">
        <v>5775</v>
      </c>
      <c r="BZ46" s="272">
        <v>67554</v>
      </c>
      <c r="CA46" s="272">
        <v>215649</v>
      </c>
      <c r="CB46" s="272">
        <v>39650</v>
      </c>
      <c r="CC46" s="272">
        <v>49552</v>
      </c>
      <c r="CD46" s="272">
        <v>121346</v>
      </c>
      <c r="CE46" s="272">
        <v>0</v>
      </c>
      <c r="CF46" s="272">
        <v>0</v>
      </c>
      <c r="CG46" s="272">
        <v>5101</v>
      </c>
      <c r="CH46" s="272">
        <v>818046</v>
      </c>
      <c r="CI46" s="272">
        <v>606311</v>
      </c>
      <c r="CJ46" s="455">
        <f t="shared" si="7"/>
        <v>211735</v>
      </c>
      <c r="CK46" s="272">
        <v>844474</v>
      </c>
      <c r="CL46" s="272">
        <v>416089</v>
      </c>
      <c r="CM46" s="272">
        <v>75685</v>
      </c>
      <c r="CN46" s="272">
        <v>187865</v>
      </c>
      <c r="CO46" s="272">
        <v>13548</v>
      </c>
      <c r="CP46" s="272">
        <v>385553</v>
      </c>
      <c r="CQ46" s="272">
        <v>121064</v>
      </c>
      <c r="CR46" s="272">
        <v>127977</v>
      </c>
      <c r="CS46" s="272">
        <v>126416</v>
      </c>
      <c r="CT46" s="455">
        <f t="shared" si="8"/>
        <v>7299</v>
      </c>
      <c r="CU46" s="272">
        <v>762</v>
      </c>
      <c r="CV46" s="272">
        <v>6537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1121278</v>
      </c>
      <c r="DD46" s="272">
        <v>79486</v>
      </c>
      <c r="DE46" s="272">
        <v>969753</v>
      </c>
      <c r="DF46" s="272">
        <v>72039</v>
      </c>
      <c r="DG46" s="272">
        <v>0</v>
      </c>
      <c r="DH46" s="272">
        <v>0</v>
      </c>
      <c r="DI46" s="272">
        <v>8186</v>
      </c>
      <c r="DJ46" s="272">
        <v>1475</v>
      </c>
      <c r="DK46" s="272">
        <v>978</v>
      </c>
      <c r="DL46" s="272">
        <v>5733</v>
      </c>
      <c r="DM46" s="272">
        <v>0</v>
      </c>
      <c r="DN46" s="272">
        <v>0</v>
      </c>
      <c r="DO46" s="272">
        <v>0</v>
      </c>
      <c r="DP46" s="272">
        <v>0</v>
      </c>
      <c r="DQ46" s="272">
        <v>3100</v>
      </c>
      <c r="DR46" s="272">
        <v>0</v>
      </c>
      <c r="DS46" s="272">
        <v>0</v>
      </c>
      <c r="DT46" s="272">
        <v>588103</v>
      </c>
      <c r="DU46" s="272">
        <v>214392</v>
      </c>
      <c r="DV46" s="455">
        <f t="shared" si="11"/>
        <v>0</v>
      </c>
      <c r="DW46" s="272">
        <v>0</v>
      </c>
      <c r="DX46" s="272">
        <v>0</v>
      </c>
      <c r="DY46" s="272">
        <v>0</v>
      </c>
      <c r="DZ46" s="272">
        <v>98456</v>
      </c>
      <c r="EA46" s="272">
        <v>79880</v>
      </c>
      <c r="EB46" s="272">
        <v>119884</v>
      </c>
      <c r="EC46" s="272">
        <v>0</v>
      </c>
      <c r="ED46" s="272">
        <v>5524467</v>
      </c>
      <c r="EE46" s="89"/>
      <c r="EF46" s="272">
        <v>175619</v>
      </c>
      <c r="EG46" s="272">
        <v>57704</v>
      </c>
      <c r="EH46" s="272">
        <v>117915</v>
      </c>
      <c r="EI46" s="272">
        <v>-6809</v>
      </c>
      <c r="EJ46" s="272">
        <v>-57097</v>
      </c>
      <c r="EK46" s="89"/>
      <c r="EL46" s="272"/>
      <c r="EM46" s="272">
        <v>16690</v>
      </c>
      <c r="EN46" s="272">
        <v>388237</v>
      </c>
      <c r="EO46" s="272">
        <v>157</v>
      </c>
      <c r="EP46" s="455">
        <f t="shared" si="12"/>
        <v>138398</v>
      </c>
      <c r="EQ46" s="272">
        <v>3840071</v>
      </c>
      <c r="ER46" s="272">
        <v>-762530</v>
      </c>
      <c r="ES46" s="272">
        <v>1436442</v>
      </c>
      <c r="ET46" s="272">
        <v>991036</v>
      </c>
      <c r="EU46" s="272">
        <v>108732</v>
      </c>
      <c r="EV46" s="272">
        <v>818046</v>
      </c>
      <c r="EW46" s="455">
        <f t="shared" si="13"/>
        <v>427512</v>
      </c>
      <c r="EX46" s="272">
        <v>427512</v>
      </c>
      <c r="EY46" s="272">
        <v>11196</v>
      </c>
      <c r="EZ46" s="272">
        <v>400236</v>
      </c>
      <c r="FA46" s="272">
        <v>0</v>
      </c>
      <c r="FB46" s="272"/>
      <c r="FC46" s="272">
        <v>727725</v>
      </c>
      <c r="FD46" s="272">
        <v>357536</v>
      </c>
      <c r="FE46" s="272">
        <v>121064</v>
      </c>
      <c r="FF46" s="272">
        <v>556850</v>
      </c>
      <c r="FG46" s="455">
        <f t="shared" si="14"/>
        <v>20702</v>
      </c>
      <c r="FH46" s="272">
        <v>4453545</v>
      </c>
      <c r="FI46" s="384">
        <f t="shared" si="15"/>
        <v>3.2</v>
      </c>
      <c r="FJ46" s="272">
        <v>3669158</v>
      </c>
      <c r="FK46" s="272">
        <v>213935</v>
      </c>
      <c r="FL46" s="272">
        <v>1618555</v>
      </c>
      <c r="FM46" s="272">
        <v>3151507</v>
      </c>
      <c r="FN46" s="460">
        <v>0.499</v>
      </c>
      <c r="FO46" s="388">
        <v>88.9</v>
      </c>
      <c r="FP46" s="388">
        <v>37</v>
      </c>
      <c r="FQ46" s="388">
        <v>2.8</v>
      </c>
      <c r="FR46" s="388">
        <v>18.100000000000001</v>
      </c>
      <c r="FS46" s="388">
        <v>16</v>
      </c>
      <c r="FT46" s="388">
        <v>7.5</v>
      </c>
      <c r="FU46" s="388">
        <v>7.2</v>
      </c>
      <c r="FV46" s="388">
        <v>9.3000000000000007</v>
      </c>
      <c r="FW46" s="272">
        <v>6703005</v>
      </c>
      <c r="FX46" s="384">
        <f t="shared" si="16"/>
        <v>182.7</v>
      </c>
      <c r="FY46" s="272">
        <v>3186164</v>
      </c>
      <c r="FZ46" s="272">
        <v>1493609</v>
      </c>
      <c r="GA46" s="272">
        <v>610291</v>
      </c>
      <c r="GB46" s="272">
        <v>1082264</v>
      </c>
      <c r="GC46" s="272"/>
      <c r="GD46" s="272">
        <v>75599</v>
      </c>
      <c r="GE46" s="384">
        <f>ROUND(GD46/FJ46*100,1)</f>
        <v>2.1</v>
      </c>
      <c r="GF46" s="388">
        <v>95.1</v>
      </c>
      <c r="GG46" s="388">
        <v>27.7</v>
      </c>
      <c r="GH46" s="388">
        <v>87.5</v>
      </c>
      <c r="GI46" s="272">
        <v>159</v>
      </c>
    </row>
    <row r="47" spans="2:191" x14ac:dyDescent="0.15">
      <c r="B47" s="89" t="s">
        <v>87</v>
      </c>
      <c r="C47" s="272">
        <v>682108</v>
      </c>
      <c r="D47" s="455">
        <f t="shared" si="0"/>
        <v>309252</v>
      </c>
      <c r="E47" s="272">
        <v>4873</v>
      </c>
      <c r="F47" s="272">
        <v>304379</v>
      </c>
      <c r="G47" s="455">
        <f t="shared" si="1"/>
        <v>36229</v>
      </c>
      <c r="H47" s="272">
        <v>10513</v>
      </c>
      <c r="I47" s="272">
        <v>25716</v>
      </c>
      <c r="J47" s="272">
        <v>310764</v>
      </c>
      <c r="K47" s="272">
        <v>113098</v>
      </c>
      <c r="L47" s="272">
        <v>143359</v>
      </c>
      <c r="M47" s="272">
        <v>54307</v>
      </c>
      <c r="N47" s="272">
        <v>13384</v>
      </c>
      <c r="O47" s="272">
        <v>0</v>
      </c>
      <c r="P47" s="272">
        <v>0</v>
      </c>
      <c r="Q47" s="272">
        <v>0</v>
      </c>
      <c r="R47" s="272">
        <v>24501</v>
      </c>
      <c r="S47" s="272"/>
      <c r="T47" s="455">
        <f t="shared" si="2"/>
        <v>112103</v>
      </c>
      <c r="U47" s="272">
        <v>13949</v>
      </c>
      <c r="V47" s="272"/>
      <c r="W47" s="272"/>
      <c r="X47" s="272">
        <v>48431</v>
      </c>
      <c r="Y47" s="272">
        <v>28323</v>
      </c>
      <c r="Z47" s="272">
        <v>0</v>
      </c>
      <c r="AA47" s="272">
        <v>21400</v>
      </c>
      <c r="AB47" s="272">
        <v>32324</v>
      </c>
      <c r="AC47" s="272">
        <v>1242992</v>
      </c>
      <c r="AD47" s="272">
        <v>1006233</v>
      </c>
      <c r="AE47" s="272">
        <v>236759</v>
      </c>
      <c r="AF47" s="272">
        <v>1204</v>
      </c>
      <c r="AG47" s="272">
        <v>24450</v>
      </c>
      <c r="AH47" s="455">
        <f t="shared" si="3"/>
        <v>30639</v>
      </c>
      <c r="AI47" s="272">
        <v>20135</v>
      </c>
      <c r="AJ47" s="272">
        <v>10504</v>
      </c>
      <c r="AK47" s="272">
        <v>87919</v>
      </c>
      <c r="AL47" s="455">
        <f t="shared" si="4"/>
        <v>19767</v>
      </c>
      <c r="AM47" s="272">
        <v>0</v>
      </c>
      <c r="AN47" s="272">
        <v>19767</v>
      </c>
      <c r="AO47" s="272">
        <v>0</v>
      </c>
      <c r="AP47" s="272">
        <v>0</v>
      </c>
      <c r="AQ47" s="272">
        <v>30308</v>
      </c>
      <c r="AR47" s="272">
        <v>0</v>
      </c>
      <c r="AS47" s="272">
        <v>0</v>
      </c>
      <c r="AT47" s="272">
        <v>340169</v>
      </c>
      <c r="AU47" s="272">
        <v>239208</v>
      </c>
      <c r="AV47" s="272">
        <v>9884</v>
      </c>
      <c r="AW47" s="272">
        <v>186040</v>
      </c>
      <c r="AX47" s="272">
        <v>100961</v>
      </c>
      <c r="AY47" s="272">
        <v>41220</v>
      </c>
      <c r="AZ47" s="272">
        <v>3045</v>
      </c>
      <c r="BA47" s="272">
        <v>0</v>
      </c>
      <c r="BB47" s="272">
        <v>300</v>
      </c>
      <c r="BC47" s="272">
        <v>254833</v>
      </c>
      <c r="BD47" s="272">
        <v>148000</v>
      </c>
      <c r="BE47" s="272">
        <v>6530</v>
      </c>
      <c r="BF47" s="272">
        <v>90300</v>
      </c>
      <c r="BG47" s="272">
        <v>0</v>
      </c>
      <c r="BH47" s="272">
        <v>71046</v>
      </c>
      <c r="BI47" s="272">
        <v>59739</v>
      </c>
      <c r="BJ47" s="272">
        <v>133662</v>
      </c>
      <c r="BK47" s="272">
        <v>6078</v>
      </c>
      <c r="BL47" s="272">
        <v>0</v>
      </c>
      <c r="BM47" s="272">
        <v>0</v>
      </c>
      <c r="BN47" s="272">
        <v>162500</v>
      </c>
      <c r="BO47" s="455">
        <f t="shared" si="5"/>
        <v>12700</v>
      </c>
      <c r="BP47" s="455">
        <f t="shared" si="6"/>
        <v>149800</v>
      </c>
      <c r="BQ47" s="272">
        <v>11200</v>
      </c>
      <c r="BR47" s="272">
        <v>0</v>
      </c>
      <c r="BS47" s="272">
        <v>138600</v>
      </c>
      <c r="BT47" s="272">
        <v>0</v>
      </c>
      <c r="BU47" s="272">
        <v>3203795</v>
      </c>
      <c r="BV47" s="272"/>
      <c r="BW47" s="272">
        <v>890424</v>
      </c>
      <c r="BX47" s="272">
        <v>638665</v>
      </c>
      <c r="BY47" s="272">
        <v>5527</v>
      </c>
      <c r="BZ47" s="272">
        <v>18281</v>
      </c>
      <c r="CA47" s="272">
        <v>130800</v>
      </c>
      <c r="CB47" s="272">
        <v>37202</v>
      </c>
      <c r="CC47" s="272">
        <v>16576</v>
      </c>
      <c r="CD47" s="272">
        <v>75149</v>
      </c>
      <c r="CE47" s="272">
        <v>0</v>
      </c>
      <c r="CF47" s="272">
        <v>0</v>
      </c>
      <c r="CG47" s="272">
        <v>1773</v>
      </c>
      <c r="CH47" s="272">
        <v>329664</v>
      </c>
      <c r="CI47" s="272">
        <v>241044</v>
      </c>
      <c r="CJ47" s="455">
        <f t="shared" si="7"/>
        <v>88620</v>
      </c>
      <c r="CK47" s="272">
        <v>639643</v>
      </c>
      <c r="CL47" s="272">
        <v>387273</v>
      </c>
      <c r="CM47" s="272">
        <v>31781</v>
      </c>
      <c r="CN47" s="272">
        <v>103017</v>
      </c>
      <c r="CO47" s="272">
        <v>14462</v>
      </c>
      <c r="CP47" s="272">
        <v>249637</v>
      </c>
      <c r="CQ47" s="272">
        <v>63946</v>
      </c>
      <c r="CR47" s="272">
        <v>37415</v>
      </c>
      <c r="CS47" s="272">
        <v>37415</v>
      </c>
      <c r="CT47" s="455">
        <f t="shared" si="8"/>
        <v>7958</v>
      </c>
      <c r="CU47" s="272">
        <v>7380</v>
      </c>
      <c r="CV47" s="272">
        <v>578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387384</v>
      </c>
      <c r="DD47" s="272">
        <v>237665</v>
      </c>
      <c r="DE47" s="272">
        <v>141010</v>
      </c>
      <c r="DF47" s="272">
        <v>8709</v>
      </c>
      <c r="DG47" s="272">
        <v>0</v>
      </c>
      <c r="DH47" s="272">
        <v>0</v>
      </c>
      <c r="DI47" s="272">
        <v>34208</v>
      </c>
      <c r="DJ47" s="272">
        <v>30981</v>
      </c>
      <c r="DK47" s="272">
        <v>207</v>
      </c>
      <c r="DL47" s="272">
        <v>3020</v>
      </c>
      <c r="DM47" s="272">
        <v>7500</v>
      </c>
      <c r="DN47" s="272">
        <v>7500</v>
      </c>
      <c r="DO47" s="272">
        <v>7500</v>
      </c>
      <c r="DP47" s="272">
        <v>0</v>
      </c>
      <c r="DQ47" s="272">
        <v>6000</v>
      </c>
      <c r="DR47" s="272">
        <v>0</v>
      </c>
      <c r="DS47" s="272">
        <v>0</v>
      </c>
      <c r="DT47" s="272">
        <v>456679</v>
      </c>
      <c r="DU47" s="272">
        <v>120116</v>
      </c>
      <c r="DV47" s="455">
        <f t="shared" si="11"/>
        <v>0</v>
      </c>
      <c r="DW47" s="272">
        <v>0</v>
      </c>
      <c r="DX47" s="272">
        <v>0</v>
      </c>
      <c r="DY47" s="272">
        <v>0</v>
      </c>
      <c r="DZ47" s="272">
        <v>62837</v>
      </c>
      <c r="EA47" s="272">
        <v>40135</v>
      </c>
      <c r="EB47" s="272">
        <v>85707</v>
      </c>
      <c r="EC47" s="272">
        <v>0</v>
      </c>
      <c r="ED47" s="272">
        <v>3146401</v>
      </c>
      <c r="EE47" s="89"/>
      <c r="EF47" s="272">
        <v>57394</v>
      </c>
      <c r="EG47" s="272">
        <v>0</v>
      </c>
      <c r="EH47" s="272">
        <v>57394</v>
      </c>
      <c r="EI47" s="272">
        <v>-2345</v>
      </c>
      <c r="EJ47" s="272">
        <v>-119364</v>
      </c>
      <c r="EK47" s="89"/>
      <c r="EL47" s="272"/>
      <c r="EM47" s="272">
        <v>6864</v>
      </c>
      <c r="EN47" s="272">
        <v>164530</v>
      </c>
      <c r="EO47" s="272">
        <v>455</v>
      </c>
      <c r="EP47" s="455">
        <f t="shared" si="12"/>
        <v>68620</v>
      </c>
      <c r="EQ47" s="272">
        <v>2095232</v>
      </c>
      <c r="ER47" s="272">
        <v>-382201</v>
      </c>
      <c r="ES47" s="272">
        <v>856927</v>
      </c>
      <c r="ET47" s="272">
        <v>605511</v>
      </c>
      <c r="EU47" s="272">
        <v>51050</v>
      </c>
      <c r="EV47" s="272">
        <v>329664</v>
      </c>
      <c r="EW47" s="455">
        <f t="shared" si="13"/>
        <v>39264</v>
      </c>
      <c r="EX47" s="272">
        <v>39264</v>
      </c>
      <c r="EY47" s="272">
        <v>2416</v>
      </c>
      <c r="EZ47" s="272">
        <v>35923</v>
      </c>
      <c r="FA47" s="272">
        <v>0</v>
      </c>
      <c r="FB47" s="272"/>
      <c r="FC47" s="272">
        <v>560110</v>
      </c>
      <c r="FD47" s="272">
        <v>208728</v>
      </c>
      <c r="FE47" s="272">
        <v>63946</v>
      </c>
      <c r="FF47" s="272">
        <v>328782</v>
      </c>
      <c r="FG47" s="455">
        <f t="shared" si="14"/>
        <v>45514</v>
      </c>
      <c r="FH47" s="272">
        <v>2420039</v>
      </c>
      <c r="FI47" s="384">
        <f t="shared" si="15"/>
        <v>3</v>
      </c>
      <c r="FJ47" s="272">
        <v>1912932</v>
      </c>
      <c r="FK47" s="272">
        <v>138642</v>
      </c>
      <c r="FL47" s="272">
        <v>686433</v>
      </c>
      <c r="FM47" s="272">
        <v>1693708</v>
      </c>
      <c r="FN47" s="460">
        <v>0.39100000000000001</v>
      </c>
      <c r="FO47" s="388">
        <v>103.5</v>
      </c>
      <c r="FP47" s="388">
        <v>42.5</v>
      </c>
      <c r="FQ47" s="388">
        <v>2.5</v>
      </c>
      <c r="FR47" s="388">
        <v>16.399999999999999</v>
      </c>
      <c r="FS47" s="388">
        <v>23.5</v>
      </c>
      <c r="FT47" s="388">
        <v>8.3000000000000007</v>
      </c>
      <c r="FU47" s="388">
        <v>10</v>
      </c>
      <c r="FV47" s="388">
        <v>10.5</v>
      </c>
      <c r="FW47" s="272">
        <v>3001002</v>
      </c>
      <c r="FX47" s="384">
        <f t="shared" si="16"/>
        <v>156.9</v>
      </c>
      <c r="FY47" s="272">
        <v>842305</v>
      </c>
      <c r="FZ47" s="272">
        <v>350731</v>
      </c>
      <c r="GA47" s="272">
        <v>92649</v>
      </c>
      <c r="GB47" s="272">
        <v>398925</v>
      </c>
      <c r="GC47" s="272"/>
      <c r="GD47" s="272"/>
      <c r="GE47" s="384"/>
      <c r="GF47" s="388">
        <v>97.4</v>
      </c>
      <c r="GG47" s="388">
        <v>14.2</v>
      </c>
      <c r="GH47" s="388">
        <v>91.5</v>
      </c>
      <c r="GI47" s="272">
        <v>98</v>
      </c>
    </row>
    <row r="48" spans="2:191" x14ac:dyDescent="0.15">
      <c r="B48" s="89" t="s">
        <v>839</v>
      </c>
      <c r="C48" s="272">
        <v>6229865</v>
      </c>
      <c r="D48" s="455">
        <f t="shared" si="0"/>
        <v>1762444</v>
      </c>
      <c r="E48" s="272">
        <v>28018</v>
      </c>
      <c r="F48" s="272">
        <v>1734426</v>
      </c>
      <c r="G48" s="455">
        <f t="shared" si="1"/>
        <v>420116</v>
      </c>
      <c r="H48" s="272">
        <v>120146</v>
      </c>
      <c r="I48" s="272">
        <v>299970</v>
      </c>
      <c r="J48" s="272">
        <v>3350478</v>
      </c>
      <c r="K48" s="272">
        <v>1800407</v>
      </c>
      <c r="L48" s="272">
        <v>1109015</v>
      </c>
      <c r="M48" s="272">
        <v>411026</v>
      </c>
      <c r="N48" s="272">
        <v>230916</v>
      </c>
      <c r="O48" s="272">
        <v>415267</v>
      </c>
      <c r="P48" s="272">
        <v>269679</v>
      </c>
      <c r="Q48" s="272">
        <v>145588</v>
      </c>
      <c r="R48" s="272">
        <v>92472</v>
      </c>
      <c r="S48" s="272"/>
      <c r="T48" s="455">
        <f t="shared" si="2"/>
        <v>524053</v>
      </c>
      <c r="U48" s="272">
        <v>80173</v>
      </c>
      <c r="V48" s="272"/>
      <c r="W48" s="272"/>
      <c r="X48" s="272">
        <v>347672</v>
      </c>
      <c r="Y48" s="272">
        <v>15497</v>
      </c>
      <c r="Z48" s="272">
        <v>0</v>
      </c>
      <c r="AA48" s="272">
        <v>80711</v>
      </c>
      <c r="AB48" s="272">
        <v>202854</v>
      </c>
      <c r="AC48" s="272">
        <v>1116496</v>
      </c>
      <c r="AD48" s="272">
        <v>760230</v>
      </c>
      <c r="AE48" s="272">
        <v>356266</v>
      </c>
      <c r="AF48" s="272">
        <v>9757</v>
      </c>
      <c r="AG48" s="272">
        <v>33505</v>
      </c>
      <c r="AH48" s="455">
        <f t="shared" si="3"/>
        <v>246461</v>
      </c>
      <c r="AI48" s="272">
        <v>159037</v>
      </c>
      <c r="AJ48" s="272">
        <v>87424</v>
      </c>
      <c r="AK48" s="272">
        <v>786909</v>
      </c>
      <c r="AL48" s="455">
        <f t="shared" si="4"/>
        <v>434594</v>
      </c>
      <c r="AM48" s="272">
        <v>327152</v>
      </c>
      <c r="AN48" s="272">
        <v>95286</v>
      </c>
      <c r="AO48" s="272">
        <v>0</v>
      </c>
      <c r="AP48" s="272">
        <v>12156</v>
      </c>
      <c r="AQ48" s="272">
        <v>0</v>
      </c>
      <c r="AR48" s="272">
        <v>0</v>
      </c>
      <c r="AS48" s="272">
        <v>0</v>
      </c>
      <c r="AT48" s="272">
        <v>486155</v>
      </c>
      <c r="AU48" s="272">
        <v>221149</v>
      </c>
      <c r="AV48" s="272">
        <v>47964</v>
      </c>
      <c r="AW48" s="272">
        <v>0</v>
      </c>
      <c r="AX48" s="272">
        <v>265006</v>
      </c>
      <c r="AY48" s="272">
        <v>38328</v>
      </c>
      <c r="AZ48" s="272">
        <v>157560</v>
      </c>
      <c r="BA48" s="272">
        <v>140364</v>
      </c>
      <c r="BB48" s="272">
        <v>58413</v>
      </c>
      <c r="BC48" s="272">
        <v>655232</v>
      </c>
      <c r="BD48" s="272">
        <v>146339</v>
      </c>
      <c r="BE48" s="272">
        <v>0</v>
      </c>
      <c r="BF48" s="272">
        <v>453000</v>
      </c>
      <c r="BG48" s="272">
        <v>0</v>
      </c>
      <c r="BH48" s="272">
        <v>98465</v>
      </c>
      <c r="BI48" s="272">
        <v>98465</v>
      </c>
      <c r="BJ48" s="272">
        <v>146831</v>
      </c>
      <c r="BK48" s="272">
        <v>63</v>
      </c>
      <c r="BL48" s="272">
        <v>0</v>
      </c>
      <c r="BM48" s="272">
        <v>0</v>
      </c>
      <c r="BN48" s="272">
        <v>892900</v>
      </c>
      <c r="BO48" s="455">
        <f t="shared" si="5"/>
        <v>452500</v>
      </c>
      <c r="BP48" s="455">
        <f t="shared" si="6"/>
        <v>440400</v>
      </c>
      <c r="BQ48" s="272">
        <v>75000</v>
      </c>
      <c r="BR48" s="272">
        <v>0</v>
      </c>
      <c r="BS48" s="272">
        <v>365400</v>
      </c>
      <c r="BT48" s="272">
        <v>0</v>
      </c>
      <c r="BU48" s="272">
        <v>11737928</v>
      </c>
      <c r="BV48" s="272"/>
      <c r="BW48" s="272">
        <v>3218378</v>
      </c>
      <c r="BX48" s="272">
        <v>2428602</v>
      </c>
      <c r="BY48" s="272">
        <v>148916</v>
      </c>
      <c r="BZ48" s="272">
        <v>29837</v>
      </c>
      <c r="CA48" s="272">
        <v>1285679</v>
      </c>
      <c r="CB48" s="272">
        <v>395498</v>
      </c>
      <c r="CC48" s="272">
        <v>132570</v>
      </c>
      <c r="CD48" s="272">
        <v>302813</v>
      </c>
      <c r="CE48" s="272">
        <v>429381</v>
      </c>
      <c r="CF48" s="272">
        <v>0</v>
      </c>
      <c r="CG48" s="272">
        <v>25367</v>
      </c>
      <c r="CH48" s="272">
        <v>1113157</v>
      </c>
      <c r="CI48" s="272">
        <v>796917</v>
      </c>
      <c r="CJ48" s="455">
        <f t="shared" si="7"/>
        <v>316240</v>
      </c>
      <c r="CK48" s="272">
        <v>1883410</v>
      </c>
      <c r="CL48" s="272">
        <v>1074192</v>
      </c>
      <c r="CM48" s="272">
        <v>194930</v>
      </c>
      <c r="CN48" s="272">
        <v>281632</v>
      </c>
      <c r="CO48" s="272">
        <v>69203</v>
      </c>
      <c r="CP48" s="272">
        <v>717748</v>
      </c>
      <c r="CQ48" s="272">
        <v>304755</v>
      </c>
      <c r="CR48" s="272">
        <v>205755</v>
      </c>
      <c r="CS48" s="272">
        <v>189882</v>
      </c>
      <c r="CT48" s="455">
        <f t="shared" si="8"/>
        <v>32132</v>
      </c>
      <c r="CU48" s="272">
        <v>32132</v>
      </c>
      <c r="CV48" s="272">
        <v>0</v>
      </c>
      <c r="CW48" s="455">
        <f t="shared" si="9"/>
        <v>0</v>
      </c>
      <c r="CX48" s="272">
        <v>0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1325377</v>
      </c>
      <c r="DD48" s="272">
        <v>0</v>
      </c>
      <c r="DE48" s="272">
        <v>1324202</v>
      </c>
      <c r="DF48" s="272">
        <v>1175</v>
      </c>
      <c r="DG48" s="272">
        <v>0</v>
      </c>
      <c r="DH48" s="272">
        <v>0</v>
      </c>
      <c r="DI48" s="272">
        <v>275202</v>
      </c>
      <c r="DJ48" s="272">
        <v>53087</v>
      </c>
      <c r="DK48" s="272">
        <v>1145</v>
      </c>
      <c r="DL48" s="272">
        <v>220970</v>
      </c>
      <c r="DM48" s="272">
        <v>0</v>
      </c>
      <c r="DN48" s="272">
        <v>0</v>
      </c>
      <c r="DO48" s="272">
        <v>0</v>
      </c>
      <c r="DP48" s="272">
        <v>0</v>
      </c>
      <c r="DQ48" s="272">
        <v>0</v>
      </c>
      <c r="DR48" s="272">
        <v>0</v>
      </c>
      <c r="DS48" s="272">
        <v>0</v>
      </c>
      <c r="DT48" s="272">
        <v>1755130</v>
      </c>
      <c r="DU48" s="272">
        <v>923060</v>
      </c>
      <c r="DV48" s="455">
        <f t="shared" si="11"/>
        <v>0</v>
      </c>
      <c r="DW48" s="272">
        <v>0</v>
      </c>
      <c r="DX48" s="272">
        <v>0</v>
      </c>
      <c r="DY48" s="272">
        <v>0</v>
      </c>
      <c r="DZ48" s="272">
        <v>350000</v>
      </c>
      <c r="EA48" s="272">
        <v>181614</v>
      </c>
      <c r="EB48" s="272">
        <v>234074</v>
      </c>
      <c r="EC48" s="272">
        <v>0</v>
      </c>
      <c r="ED48" s="272">
        <v>11643284</v>
      </c>
      <c r="EE48" s="89"/>
      <c r="EF48" s="272">
        <v>94644</v>
      </c>
      <c r="EG48" s="272">
        <v>10561</v>
      </c>
      <c r="EH48" s="272">
        <v>84083</v>
      </c>
      <c r="EI48" s="272">
        <v>-14382</v>
      </c>
      <c r="EJ48" s="272">
        <v>-107634</v>
      </c>
      <c r="EK48" s="89"/>
      <c r="EL48" s="272"/>
      <c r="EM48" s="272">
        <v>38361</v>
      </c>
      <c r="EN48" s="272">
        <v>398232</v>
      </c>
      <c r="EO48" s="272">
        <v>143931</v>
      </c>
      <c r="EP48" s="455">
        <f t="shared" si="12"/>
        <v>317244</v>
      </c>
      <c r="EQ48" s="272">
        <v>8175497</v>
      </c>
      <c r="ER48" s="272">
        <v>-1290050</v>
      </c>
      <c r="ES48" s="272">
        <v>2896265</v>
      </c>
      <c r="ET48" s="272">
        <v>2108315</v>
      </c>
      <c r="EU48" s="272">
        <v>451400</v>
      </c>
      <c r="EV48" s="272">
        <v>1113157</v>
      </c>
      <c r="EW48" s="455">
        <f t="shared" si="13"/>
        <v>578516</v>
      </c>
      <c r="EX48" s="272">
        <v>578516</v>
      </c>
      <c r="EY48" s="272">
        <v>0</v>
      </c>
      <c r="EZ48" s="272">
        <v>577341</v>
      </c>
      <c r="FA48" s="272">
        <v>0</v>
      </c>
      <c r="FB48" s="272"/>
      <c r="FC48" s="272">
        <v>1638618</v>
      </c>
      <c r="FD48" s="272">
        <v>687796</v>
      </c>
      <c r="FE48" s="272">
        <v>304755</v>
      </c>
      <c r="FF48" s="272">
        <v>1672465</v>
      </c>
      <c r="FG48" s="455">
        <f t="shared" si="14"/>
        <v>332686</v>
      </c>
      <c r="FH48" s="272">
        <v>9370903</v>
      </c>
      <c r="FI48" s="384">
        <f t="shared" si="15"/>
        <v>1.1000000000000001</v>
      </c>
      <c r="FJ48" s="272">
        <v>7701408</v>
      </c>
      <c r="FK48" s="272">
        <v>365488</v>
      </c>
      <c r="FL48" s="272">
        <v>5230959</v>
      </c>
      <c r="FM48" s="272">
        <v>6073673</v>
      </c>
      <c r="FN48" s="460">
        <v>0.84899999999999998</v>
      </c>
      <c r="FO48" s="388">
        <v>94.9</v>
      </c>
      <c r="FP48" s="388">
        <v>36.4</v>
      </c>
      <c r="FQ48" s="388">
        <v>5.7</v>
      </c>
      <c r="FR48" s="388">
        <v>14.1</v>
      </c>
      <c r="FS48" s="388">
        <v>19.100000000000001</v>
      </c>
      <c r="FT48" s="388">
        <v>7.7</v>
      </c>
      <c r="FU48" s="388">
        <v>10.9</v>
      </c>
      <c r="FV48" s="388">
        <v>8.5</v>
      </c>
      <c r="FW48" s="272">
        <v>10172185</v>
      </c>
      <c r="FX48" s="384">
        <f t="shared" si="16"/>
        <v>132.1</v>
      </c>
      <c r="FY48" s="272">
        <v>7440672</v>
      </c>
      <c r="FZ48" s="272">
        <v>2138431</v>
      </c>
      <c r="GA48" s="272">
        <v>582064</v>
      </c>
      <c r="GB48" s="272">
        <v>4720177</v>
      </c>
      <c r="GC48" s="272"/>
      <c r="GD48" s="272">
        <v>5347913</v>
      </c>
      <c r="GE48" s="384">
        <f>ROUND(GD48/FJ48*100,1)</f>
        <v>69.400000000000006</v>
      </c>
      <c r="GF48" s="388">
        <v>96.7</v>
      </c>
      <c r="GG48" s="388">
        <v>23.8</v>
      </c>
      <c r="GH48" s="388">
        <v>89.7</v>
      </c>
      <c r="GI48" s="272">
        <v>366</v>
      </c>
    </row>
    <row r="49" spans="2:191" x14ac:dyDescent="0.15">
      <c r="B49" s="21" t="s">
        <v>89</v>
      </c>
      <c r="C49" s="272">
        <f>SUM(C38:C48)</f>
        <v>33900913</v>
      </c>
      <c r="D49" s="455">
        <f t="shared" si="0"/>
        <v>10969699</v>
      </c>
      <c r="E49" s="272">
        <f>SUM(E38:E48)</f>
        <v>163734</v>
      </c>
      <c r="F49" s="272">
        <f>SUM(F38:F48)</f>
        <v>10805965</v>
      </c>
      <c r="G49" s="455">
        <f t="shared" si="1"/>
        <v>1855457</v>
      </c>
      <c r="H49" s="272">
        <f t="shared" ref="H49:R49" si="27">SUM(H38:H48)</f>
        <v>416526</v>
      </c>
      <c r="I49" s="272">
        <f t="shared" si="27"/>
        <v>1438931</v>
      </c>
      <c r="J49" s="272">
        <f t="shared" si="27"/>
        <v>17425138</v>
      </c>
      <c r="K49" s="272">
        <f t="shared" si="27"/>
        <v>8007768</v>
      </c>
      <c r="L49" s="272">
        <f t="shared" si="27"/>
        <v>6238948</v>
      </c>
      <c r="M49" s="272">
        <f t="shared" si="27"/>
        <v>3044807</v>
      </c>
      <c r="N49" s="272">
        <f t="shared" si="27"/>
        <v>2183244</v>
      </c>
      <c r="O49" s="272">
        <f t="shared" si="27"/>
        <v>1105673</v>
      </c>
      <c r="P49" s="272">
        <f t="shared" si="27"/>
        <v>699435</v>
      </c>
      <c r="Q49" s="272">
        <f t="shared" si="27"/>
        <v>406238</v>
      </c>
      <c r="R49" s="272">
        <f t="shared" si="27"/>
        <v>701431</v>
      </c>
      <c r="S49" s="272"/>
      <c r="T49" s="455">
        <f t="shared" si="2"/>
        <v>3091733</v>
      </c>
      <c r="U49" s="272">
        <f>SUM(U38:U48)</f>
        <v>480342</v>
      </c>
      <c r="V49" s="272"/>
      <c r="W49" s="272"/>
      <c r="X49" s="272">
        <f t="shared" ref="X49:AG49" si="28">SUM(X38:X48)</f>
        <v>1734820</v>
      </c>
      <c r="Y49" s="272">
        <f t="shared" si="28"/>
        <v>298183</v>
      </c>
      <c r="Z49" s="272">
        <f t="shared" si="28"/>
        <v>252</v>
      </c>
      <c r="AA49" s="272">
        <f t="shared" si="28"/>
        <v>578136</v>
      </c>
      <c r="AB49" s="272">
        <f t="shared" si="28"/>
        <v>1140463</v>
      </c>
      <c r="AC49" s="272">
        <f t="shared" si="28"/>
        <v>17224005</v>
      </c>
      <c r="AD49" s="272">
        <f t="shared" si="28"/>
        <v>14324512</v>
      </c>
      <c r="AE49" s="272">
        <f t="shared" si="28"/>
        <v>2899493</v>
      </c>
      <c r="AF49" s="272">
        <f t="shared" si="28"/>
        <v>45463</v>
      </c>
      <c r="AG49" s="272">
        <f t="shared" si="28"/>
        <v>200840</v>
      </c>
      <c r="AH49" s="455">
        <f t="shared" si="3"/>
        <v>1789031</v>
      </c>
      <c r="AI49" s="272">
        <f>SUM(AI38:AI48)</f>
        <v>1463522</v>
      </c>
      <c r="AJ49" s="272">
        <f>SUM(AJ38:AJ48)</f>
        <v>325509</v>
      </c>
      <c r="AK49" s="272">
        <f>SUM(AK38:AK48)</f>
        <v>3070190</v>
      </c>
      <c r="AL49" s="455">
        <f t="shared" si="4"/>
        <v>999821</v>
      </c>
      <c r="AM49" s="272">
        <f t="shared" ref="AM49:BN49" si="29">SUM(AM38:AM48)</f>
        <v>407525</v>
      </c>
      <c r="AN49" s="272">
        <f t="shared" si="29"/>
        <v>562524</v>
      </c>
      <c r="AO49" s="272">
        <f t="shared" si="29"/>
        <v>0</v>
      </c>
      <c r="AP49" s="272">
        <f t="shared" si="29"/>
        <v>29772</v>
      </c>
      <c r="AQ49" s="272">
        <f t="shared" si="29"/>
        <v>493078</v>
      </c>
      <c r="AR49" s="272">
        <f t="shared" si="29"/>
        <v>0</v>
      </c>
      <c r="AS49" s="272">
        <f t="shared" si="29"/>
        <v>0</v>
      </c>
      <c r="AT49" s="272">
        <f t="shared" si="29"/>
        <v>3523785</v>
      </c>
      <c r="AU49" s="272">
        <f t="shared" si="29"/>
        <v>1733397</v>
      </c>
      <c r="AV49" s="272">
        <f t="shared" si="29"/>
        <v>310251</v>
      </c>
      <c r="AW49" s="272">
        <f t="shared" si="29"/>
        <v>316413</v>
      </c>
      <c r="AX49" s="272">
        <f t="shared" si="29"/>
        <v>1790388</v>
      </c>
      <c r="AY49" s="272">
        <f t="shared" si="29"/>
        <v>361752</v>
      </c>
      <c r="AZ49" s="272">
        <f t="shared" si="29"/>
        <v>673176</v>
      </c>
      <c r="BA49" s="272">
        <f t="shared" si="29"/>
        <v>530923</v>
      </c>
      <c r="BB49" s="272">
        <f t="shared" si="29"/>
        <v>221945</v>
      </c>
      <c r="BC49" s="272">
        <f t="shared" si="29"/>
        <v>6550507</v>
      </c>
      <c r="BD49" s="272">
        <f t="shared" si="29"/>
        <v>2282339</v>
      </c>
      <c r="BE49" s="272">
        <f t="shared" si="29"/>
        <v>300674</v>
      </c>
      <c r="BF49" s="272">
        <f t="shared" si="29"/>
        <v>3497276</v>
      </c>
      <c r="BG49" s="272">
        <f t="shared" si="29"/>
        <v>61178</v>
      </c>
      <c r="BH49" s="272">
        <f t="shared" si="29"/>
        <v>1924949</v>
      </c>
      <c r="BI49" s="272">
        <f t="shared" si="29"/>
        <v>1438597</v>
      </c>
      <c r="BJ49" s="272">
        <f t="shared" si="29"/>
        <v>1561429</v>
      </c>
      <c r="BK49" s="272">
        <f t="shared" si="29"/>
        <v>337793</v>
      </c>
      <c r="BL49" s="272">
        <f t="shared" si="29"/>
        <v>2426</v>
      </c>
      <c r="BM49" s="272">
        <f t="shared" si="29"/>
        <v>0</v>
      </c>
      <c r="BN49" s="272">
        <f t="shared" si="29"/>
        <v>10074437</v>
      </c>
      <c r="BO49" s="455">
        <f t="shared" si="5"/>
        <v>7107837</v>
      </c>
      <c r="BP49" s="455">
        <f t="shared" si="6"/>
        <v>2966600</v>
      </c>
      <c r="BQ49" s="272">
        <f>SUM(BQ38:BQ48)</f>
        <v>407600</v>
      </c>
      <c r="BR49" s="272">
        <f>SUM(BR38:BR48)</f>
        <v>0</v>
      </c>
      <c r="BS49" s="272">
        <f>SUM(BS38:BS48)</f>
        <v>2559000</v>
      </c>
      <c r="BT49" s="272">
        <v>0</v>
      </c>
      <c r="BU49" s="272">
        <f>SUM(BU38:BU48)</f>
        <v>85694297</v>
      </c>
      <c r="BV49" s="272"/>
      <c r="BW49" s="272">
        <f t="shared" ref="BW49:CI49" si="30">SUM(BW38:BW48)</f>
        <v>21924584</v>
      </c>
      <c r="BX49" s="272">
        <f t="shared" si="30"/>
        <v>15452924</v>
      </c>
      <c r="BY49" s="272">
        <f t="shared" si="30"/>
        <v>1432153</v>
      </c>
      <c r="BZ49" s="272">
        <f t="shared" si="30"/>
        <v>593402</v>
      </c>
      <c r="CA49" s="272">
        <f t="shared" si="30"/>
        <v>4540682</v>
      </c>
      <c r="CB49" s="272">
        <f t="shared" si="30"/>
        <v>1264330</v>
      </c>
      <c r="CC49" s="272">
        <f t="shared" si="30"/>
        <v>713894</v>
      </c>
      <c r="CD49" s="272">
        <f t="shared" si="30"/>
        <v>1866542</v>
      </c>
      <c r="CE49" s="272">
        <f t="shared" si="30"/>
        <v>540686</v>
      </c>
      <c r="CF49" s="272">
        <f t="shared" si="30"/>
        <v>4331</v>
      </c>
      <c r="CG49" s="272">
        <f t="shared" si="30"/>
        <v>150749</v>
      </c>
      <c r="CH49" s="272">
        <f t="shared" si="30"/>
        <v>14763217</v>
      </c>
      <c r="CI49" s="272">
        <f t="shared" si="30"/>
        <v>12133337</v>
      </c>
      <c r="CJ49" s="455">
        <f t="shared" si="7"/>
        <v>2629880</v>
      </c>
      <c r="CK49" s="272">
        <f t="shared" ref="CK49:CS49" si="31">SUM(CK38:CK48)</f>
        <v>12957682</v>
      </c>
      <c r="CL49" s="272">
        <f t="shared" si="31"/>
        <v>6653524</v>
      </c>
      <c r="CM49" s="272">
        <f t="shared" si="31"/>
        <v>1168538</v>
      </c>
      <c r="CN49" s="272">
        <f t="shared" si="31"/>
        <v>2908614</v>
      </c>
      <c r="CO49" s="272">
        <f t="shared" si="31"/>
        <v>906576</v>
      </c>
      <c r="CP49" s="272">
        <f t="shared" si="31"/>
        <v>5279282</v>
      </c>
      <c r="CQ49" s="272">
        <f t="shared" si="31"/>
        <v>1660864</v>
      </c>
      <c r="CR49" s="272">
        <f t="shared" si="31"/>
        <v>1328178</v>
      </c>
      <c r="CS49" s="272">
        <f t="shared" si="31"/>
        <v>1141209</v>
      </c>
      <c r="CT49" s="455">
        <f t="shared" si="8"/>
        <v>412417</v>
      </c>
      <c r="CU49" s="272">
        <f>SUM(CU38:CU48)</f>
        <v>202539</v>
      </c>
      <c r="CV49" s="272">
        <f>SUM(CV38:CV48)</f>
        <v>209878</v>
      </c>
      <c r="CW49" s="455">
        <f t="shared" si="9"/>
        <v>140617</v>
      </c>
      <c r="CX49" s="272">
        <f>SUM(CX38:CX48)</f>
        <v>121786</v>
      </c>
      <c r="CY49" s="272">
        <f>SUM(CY38:CY48)</f>
        <v>18831</v>
      </c>
      <c r="CZ49" s="455">
        <f t="shared" si="10"/>
        <v>0</v>
      </c>
      <c r="DA49" s="272">
        <f t="shared" ref="DA49:DU49" si="32">SUM(DA38:DA48)</f>
        <v>0</v>
      </c>
      <c r="DB49" s="272">
        <f t="shared" si="32"/>
        <v>0</v>
      </c>
      <c r="DC49" s="272">
        <f t="shared" si="32"/>
        <v>11155508</v>
      </c>
      <c r="DD49" s="272">
        <f t="shared" si="32"/>
        <v>2528204</v>
      </c>
      <c r="DE49" s="272">
        <f t="shared" si="32"/>
        <v>8289968</v>
      </c>
      <c r="DF49" s="272">
        <f t="shared" si="32"/>
        <v>269365</v>
      </c>
      <c r="DG49" s="272">
        <f t="shared" si="32"/>
        <v>60608</v>
      </c>
      <c r="DH49" s="272">
        <f t="shared" si="32"/>
        <v>955</v>
      </c>
      <c r="DI49" s="272">
        <f t="shared" si="32"/>
        <v>1884575</v>
      </c>
      <c r="DJ49" s="272">
        <f t="shared" si="32"/>
        <v>1370145</v>
      </c>
      <c r="DK49" s="272">
        <f t="shared" si="32"/>
        <v>3462</v>
      </c>
      <c r="DL49" s="272">
        <f t="shared" si="32"/>
        <v>510968</v>
      </c>
      <c r="DM49" s="272">
        <f t="shared" si="32"/>
        <v>31000</v>
      </c>
      <c r="DN49" s="272">
        <f t="shared" si="32"/>
        <v>31000</v>
      </c>
      <c r="DO49" s="272">
        <f t="shared" si="32"/>
        <v>31000</v>
      </c>
      <c r="DP49" s="272">
        <f t="shared" si="32"/>
        <v>0</v>
      </c>
      <c r="DQ49" s="272">
        <f t="shared" si="32"/>
        <v>155648</v>
      </c>
      <c r="DR49" s="272">
        <f t="shared" si="32"/>
        <v>58000</v>
      </c>
      <c r="DS49" s="272">
        <f t="shared" si="32"/>
        <v>0</v>
      </c>
      <c r="DT49" s="272">
        <f t="shared" si="32"/>
        <v>9927704</v>
      </c>
      <c r="DU49" s="272">
        <f t="shared" si="32"/>
        <v>4888170</v>
      </c>
      <c r="DV49" s="455">
        <f t="shared" si="11"/>
        <v>0</v>
      </c>
      <c r="DW49" s="272">
        <f t="shared" ref="DW49:ED49" si="33">SUM(DW38:DW48)</f>
        <v>0</v>
      </c>
      <c r="DX49" s="272">
        <f t="shared" si="33"/>
        <v>0</v>
      </c>
      <c r="DY49" s="272">
        <f t="shared" si="33"/>
        <v>0</v>
      </c>
      <c r="DZ49" s="272">
        <f t="shared" si="33"/>
        <v>1582913</v>
      </c>
      <c r="EA49" s="272">
        <f t="shared" si="33"/>
        <v>1087873</v>
      </c>
      <c r="EB49" s="272">
        <f t="shared" si="33"/>
        <v>1578741</v>
      </c>
      <c r="EC49" s="272">
        <f t="shared" si="33"/>
        <v>0</v>
      </c>
      <c r="ED49" s="272">
        <f t="shared" si="33"/>
        <v>83527413</v>
      </c>
      <c r="EE49" s="89"/>
      <c r="EF49" s="272">
        <f>SUM(EF38:EF48)</f>
        <v>2166884</v>
      </c>
      <c r="EG49" s="272">
        <f>SUM(EG38:EG48)</f>
        <v>1047317</v>
      </c>
      <c r="EH49" s="272">
        <f>SUM(EH38:EH48)</f>
        <v>1119567</v>
      </c>
      <c r="EI49" s="272">
        <f>SUM(EI38:EI48)</f>
        <v>-382030</v>
      </c>
      <c r="EJ49" s="272">
        <f>SUM(EJ38:EJ48)</f>
        <v>-1102687</v>
      </c>
      <c r="EK49" s="89"/>
      <c r="EL49" s="272"/>
      <c r="EM49" s="272">
        <f>SUM(EM38:EM48)</f>
        <v>233351</v>
      </c>
      <c r="EN49" s="272">
        <f>SUM(EN38:EN48)</f>
        <v>4272656</v>
      </c>
      <c r="EO49" s="272">
        <f>SUM(EO38:EO48)</f>
        <v>346577</v>
      </c>
      <c r="EP49" s="455">
        <f t="shared" si="12"/>
        <v>5886270</v>
      </c>
      <c r="EQ49" s="272">
        <f t="shared" ref="EQ49:EV49" si="34">SUM(EQ38:EQ48)</f>
        <v>56104008</v>
      </c>
      <c r="ER49" s="272">
        <f t="shared" si="34"/>
        <v>-13426640</v>
      </c>
      <c r="ES49" s="272">
        <f t="shared" si="34"/>
        <v>20126214</v>
      </c>
      <c r="ET49" s="272">
        <f t="shared" si="34"/>
        <v>13778878</v>
      </c>
      <c r="EU49" s="272">
        <f t="shared" si="34"/>
        <v>1934877</v>
      </c>
      <c r="EV49" s="272">
        <f t="shared" si="34"/>
        <v>14307743</v>
      </c>
      <c r="EW49" s="455">
        <f t="shared" si="13"/>
        <v>3496256</v>
      </c>
      <c r="EX49" s="272">
        <f>SUM(EX38:EX48)</f>
        <v>3495301</v>
      </c>
      <c r="EY49" s="272">
        <f>SUM(EY38:EY48)</f>
        <v>185905</v>
      </c>
      <c r="EZ49" s="272">
        <f>SUM(EZ38:EZ48)</f>
        <v>3177103</v>
      </c>
      <c r="FA49" s="272">
        <f>SUM(FA38:FA48)</f>
        <v>955</v>
      </c>
      <c r="FB49" s="272"/>
      <c r="FC49" s="272">
        <f>SUM(FC38:FC48)</f>
        <v>10932415</v>
      </c>
      <c r="FD49" s="272">
        <f>SUM(FD38:FD48)</f>
        <v>4880885</v>
      </c>
      <c r="FE49" s="272">
        <f>SUM(FE38:FE48)</f>
        <v>1653664</v>
      </c>
      <c r="FF49" s="272">
        <f>SUM(FF38:FF48)</f>
        <v>9235776</v>
      </c>
      <c r="FG49" s="455">
        <f t="shared" si="14"/>
        <v>2476161</v>
      </c>
      <c r="FH49" s="272">
        <f>SUM(FH38:FH48)</f>
        <v>67390327</v>
      </c>
      <c r="FI49" s="384">
        <f t="shared" si="15"/>
        <v>2</v>
      </c>
      <c r="FJ49" s="272">
        <f>SUM(FJ38:FJ48)</f>
        <v>56944634</v>
      </c>
      <c r="FK49" s="272">
        <f>SUM(FK38:FK48)</f>
        <v>2707014</v>
      </c>
      <c r="FL49" s="272">
        <f>SUM(FL38:FL48)</f>
        <v>32150463</v>
      </c>
      <c r="FM49" s="272">
        <f>SUM(FM38:FM48)</f>
        <v>42094502</v>
      </c>
      <c r="FN49" s="468">
        <v>0.7</v>
      </c>
      <c r="FO49" s="469">
        <v>91.6</v>
      </c>
      <c r="FP49" s="469">
        <v>35</v>
      </c>
      <c r="FQ49" s="469">
        <v>3.5</v>
      </c>
      <c r="FR49" s="469">
        <v>17.100000000000001</v>
      </c>
      <c r="FS49" s="469">
        <v>17.600000000000001</v>
      </c>
      <c r="FT49" s="469">
        <v>7.3</v>
      </c>
      <c r="FU49" s="469">
        <v>9.6999999999999993</v>
      </c>
      <c r="FV49" s="469">
        <v>8.1999999999999993</v>
      </c>
      <c r="FW49" s="272">
        <f>SUM(FW38:FW48)</f>
        <v>86974419</v>
      </c>
      <c r="FX49" s="384">
        <f t="shared" si="16"/>
        <v>152.69999999999999</v>
      </c>
      <c r="FY49" s="272">
        <f t="shared" ref="FY49:GD49" si="35">SUM(FY38:FY48)</f>
        <v>37760405</v>
      </c>
      <c r="FZ49" s="272">
        <f t="shared" si="35"/>
        <v>15183716</v>
      </c>
      <c r="GA49" s="272">
        <f t="shared" si="35"/>
        <v>3122482</v>
      </c>
      <c r="GB49" s="272">
        <f t="shared" si="35"/>
        <v>19454207</v>
      </c>
      <c r="GC49" s="272">
        <f t="shared" si="35"/>
        <v>0</v>
      </c>
      <c r="GD49" s="272">
        <f t="shared" si="35"/>
        <v>10409930</v>
      </c>
      <c r="GE49" s="465">
        <f>ROUND(GD49/FJ52*100,1)</f>
        <v>33.700000000000003</v>
      </c>
      <c r="GF49" s="469">
        <v>97.8</v>
      </c>
      <c r="GG49" s="469">
        <v>17.8</v>
      </c>
      <c r="GH49" s="469">
        <v>91.5</v>
      </c>
      <c r="GI49" s="272">
        <f>SUM(GI38:GI48)</f>
        <v>2311</v>
      </c>
    </row>
    <row r="50" spans="2:191" x14ac:dyDescent="0.15">
      <c r="B50" s="21" t="s">
        <v>91</v>
      </c>
      <c r="C50" s="272">
        <f>C37+C49</f>
        <v>801608186</v>
      </c>
      <c r="D50" s="455">
        <f t="shared" si="0"/>
        <v>269035839</v>
      </c>
      <c r="E50" s="272">
        <f>E37+E49</f>
        <v>4926685</v>
      </c>
      <c r="F50" s="272">
        <f>F37+F49</f>
        <v>264109154</v>
      </c>
      <c r="G50" s="455">
        <f t="shared" si="1"/>
        <v>49856146</v>
      </c>
      <c r="H50" s="272">
        <f t="shared" ref="H50:R50" si="36">H37+H49</f>
        <v>12267922</v>
      </c>
      <c r="I50" s="272">
        <f t="shared" si="36"/>
        <v>37588224</v>
      </c>
      <c r="J50" s="272">
        <f t="shared" si="36"/>
        <v>361224207</v>
      </c>
      <c r="K50" s="272">
        <f t="shared" si="36"/>
        <v>174599492</v>
      </c>
      <c r="L50" s="272">
        <f t="shared" si="36"/>
        <v>132682241</v>
      </c>
      <c r="M50" s="272">
        <f t="shared" si="36"/>
        <v>48130756</v>
      </c>
      <c r="N50" s="272">
        <f t="shared" si="36"/>
        <v>33228727</v>
      </c>
      <c r="O50" s="272">
        <f t="shared" si="36"/>
        <v>76163502</v>
      </c>
      <c r="P50" s="272">
        <f t="shared" si="36"/>
        <v>47818303</v>
      </c>
      <c r="Q50" s="272">
        <f t="shared" si="36"/>
        <v>28345199</v>
      </c>
      <c r="R50" s="272">
        <f t="shared" si="36"/>
        <v>13429723</v>
      </c>
      <c r="S50" s="272"/>
      <c r="T50" s="455">
        <f t="shared" si="2"/>
        <v>65003568</v>
      </c>
      <c r="U50" s="272">
        <f>U37+U49</f>
        <v>11504289</v>
      </c>
      <c r="V50" s="272"/>
      <c r="W50" s="272"/>
      <c r="X50" s="272">
        <f t="shared" ref="X50:AG50" si="37">X37+X49</f>
        <v>42671097</v>
      </c>
      <c r="Y50" s="272">
        <f t="shared" si="37"/>
        <v>1247631</v>
      </c>
      <c r="Z50" s="272">
        <f t="shared" si="37"/>
        <v>1363</v>
      </c>
      <c r="AA50" s="272">
        <f t="shared" si="37"/>
        <v>9579188</v>
      </c>
      <c r="AB50" s="272">
        <f t="shared" si="37"/>
        <v>29004187</v>
      </c>
      <c r="AC50" s="272">
        <f t="shared" si="37"/>
        <v>177294892</v>
      </c>
      <c r="AD50" s="272">
        <f t="shared" si="37"/>
        <v>160438203</v>
      </c>
      <c r="AE50" s="272">
        <f t="shared" si="37"/>
        <v>16856689</v>
      </c>
      <c r="AF50" s="272">
        <f t="shared" si="37"/>
        <v>989002</v>
      </c>
      <c r="AG50" s="272">
        <f t="shared" si="37"/>
        <v>16722163</v>
      </c>
      <c r="AH50" s="455">
        <f t="shared" si="3"/>
        <v>37455429</v>
      </c>
      <c r="AI50" s="272">
        <f>AI37+AI49</f>
        <v>29671651</v>
      </c>
      <c r="AJ50" s="272">
        <f>AJ37+AJ49</f>
        <v>7783778</v>
      </c>
      <c r="AK50" s="272">
        <f>AK37+AK49</f>
        <v>183973977</v>
      </c>
      <c r="AL50" s="455">
        <f t="shared" si="4"/>
        <v>112657399</v>
      </c>
      <c r="AM50" s="272">
        <f t="shared" ref="AM50:BN50" si="38">AM37+AM49</f>
        <v>91202003</v>
      </c>
      <c r="AN50" s="272">
        <f t="shared" si="38"/>
        <v>20670509</v>
      </c>
      <c r="AO50" s="272">
        <f t="shared" si="38"/>
        <v>64247</v>
      </c>
      <c r="AP50" s="272">
        <f t="shared" si="38"/>
        <v>720640</v>
      </c>
      <c r="AQ50" s="272">
        <f t="shared" si="38"/>
        <v>21075635</v>
      </c>
      <c r="AR50" s="272">
        <f t="shared" si="38"/>
        <v>1276</v>
      </c>
      <c r="AS50" s="272">
        <f t="shared" si="38"/>
        <v>326315</v>
      </c>
      <c r="AT50" s="272">
        <f t="shared" si="38"/>
        <v>74682857</v>
      </c>
      <c r="AU50" s="272">
        <f t="shared" si="38"/>
        <v>39817650</v>
      </c>
      <c r="AV50" s="272">
        <f t="shared" si="38"/>
        <v>9709597</v>
      </c>
      <c r="AW50" s="272">
        <f t="shared" si="38"/>
        <v>2824974</v>
      </c>
      <c r="AX50" s="272">
        <f t="shared" si="38"/>
        <v>34865207</v>
      </c>
      <c r="AY50" s="272">
        <f t="shared" si="38"/>
        <v>3526367</v>
      </c>
      <c r="AZ50" s="272">
        <f t="shared" si="38"/>
        <v>5884774</v>
      </c>
      <c r="BA50" s="272">
        <f t="shared" si="38"/>
        <v>4845375</v>
      </c>
      <c r="BB50" s="272">
        <f t="shared" si="38"/>
        <v>3144230</v>
      </c>
      <c r="BC50" s="272">
        <f t="shared" si="38"/>
        <v>74218647</v>
      </c>
      <c r="BD50" s="272">
        <f t="shared" si="38"/>
        <v>14710131</v>
      </c>
      <c r="BE50" s="272">
        <f t="shared" si="38"/>
        <v>5985063</v>
      </c>
      <c r="BF50" s="272">
        <f t="shared" si="38"/>
        <v>42414600</v>
      </c>
      <c r="BG50" s="272">
        <f t="shared" si="38"/>
        <v>5358729</v>
      </c>
      <c r="BH50" s="272">
        <f t="shared" si="38"/>
        <v>13872600</v>
      </c>
      <c r="BI50" s="272">
        <f t="shared" si="38"/>
        <v>6559190</v>
      </c>
      <c r="BJ50" s="272">
        <f t="shared" si="38"/>
        <v>46895789</v>
      </c>
      <c r="BK50" s="272">
        <f t="shared" si="38"/>
        <v>29702913</v>
      </c>
      <c r="BL50" s="272">
        <f t="shared" si="38"/>
        <v>393647</v>
      </c>
      <c r="BM50" s="272">
        <f t="shared" si="38"/>
        <v>2374983</v>
      </c>
      <c r="BN50" s="272">
        <f t="shared" si="38"/>
        <v>160791044</v>
      </c>
      <c r="BO50" s="455">
        <f t="shared" si="5"/>
        <v>105375344</v>
      </c>
      <c r="BP50" s="455">
        <f t="shared" si="6"/>
        <v>55415700</v>
      </c>
      <c r="BQ50" s="272">
        <f>BQ37+BQ49</f>
        <v>9701800</v>
      </c>
      <c r="BR50" s="272">
        <f>BR37+BR49</f>
        <v>0</v>
      </c>
      <c r="BS50" s="272">
        <f>BS37+BS49</f>
        <v>45713900</v>
      </c>
      <c r="BT50" s="272">
        <v>0</v>
      </c>
      <c r="BU50" s="272">
        <f>BU37+BU49</f>
        <v>1705297383</v>
      </c>
      <c r="BV50" s="272"/>
      <c r="BW50" s="272">
        <f t="shared" ref="BW50:CI50" si="39">BW37+BW49</f>
        <v>441794312</v>
      </c>
      <c r="BX50" s="272">
        <f t="shared" si="39"/>
        <v>309618189</v>
      </c>
      <c r="BY50" s="272">
        <f t="shared" si="39"/>
        <v>46525306</v>
      </c>
      <c r="BZ50" s="272">
        <f t="shared" si="39"/>
        <v>16011858</v>
      </c>
      <c r="CA50" s="272">
        <f t="shared" si="39"/>
        <v>261003209</v>
      </c>
      <c r="CB50" s="272">
        <f t="shared" si="39"/>
        <v>34272220</v>
      </c>
      <c r="CC50" s="272">
        <f t="shared" si="39"/>
        <v>17369333</v>
      </c>
      <c r="CD50" s="272">
        <f t="shared" si="39"/>
        <v>74749818</v>
      </c>
      <c r="CE50" s="272">
        <f t="shared" si="39"/>
        <v>122682088</v>
      </c>
      <c r="CF50" s="272">
        <f t="shared" si="39"/>
        <v>6620421</v>
      </c>
      <c r="CG50" s="272">
        <f t="shared" si="39"/>
        <v>5240696</v>
      </c>
      <c r="CH50" s="272">
        <f t="shared" si="39"/>
        <v>182660143</v>
      </c>
      <c r="CI50" s="272">
        <f t="shared" si="39"/>
        <v>134259319</v>
      </c>
      <c r="CJ50" s="455">
        <f t="shared" si="7"/>
        <v>48400824</v>
      </c>
      <c r="CK50" s="272">
        <f t="shared" ref="CK50:CS50" si="40">CK37+CK49</f>
        <v>197843829</v>
      </c>
      <c r="CL50" s="272">
        <f t="shared" si="40"/>
        <v>112191576</v>
      </c>
      <c r="CM50" s="272">
        <f t="shared" si="40"/>
        <v>12382583</v>
      </c>
      <c r="CN50" s="272">
        <f t="shared" si="40"/>
        <v>40247500</v>
      </c>
      <c r="CO50" s="272">
        <f t="shared" si="40"/>
        <v>15324072</v>
      </c>
      <c r="CP50" s="272">
        <f t="shared" si="40"/>
        <v>125774606</v>
      </c>
      <c r="CQ50" s="272">
        <f t="shared" si="40"/>
        <v>42383380</v>
      </c>
      <c r="CR50" s="272">
        <f t="shared" si="40"/>
        <v>37556489</v>
      </c>
      <c r="CS50" s="272">
        <f t="shared" si="40"/>
        <v>27577071</v>
      </c>
      <c r="CT50" s="455">
        <f t="shared" si="8"/>
        <v>17906885</v>
      </c>
      <c r="CU50" s="272">
        <f>CU37+CU49</f>
        <v>12091658</v>
      </c>
      <c r="CV50" s="272">
        <f>CV37+CV49</f>
        <v>5815227</v>
      </c>
      <c r="CW50" s="455">
        <f t="shared" si="9"/>
        <v>14843901</v>
      </c>
      <c r="CX50" s="272">
        <f>CX37+CX49</f>
        <v>11252070</v>
      </c>
      <c r="CY50" s="272">
        <f>CY37+CY49</f>
        <v>3591831</v>
      </c>
      <c r="CZ50" s="455">
        <f t="shared" si="10"/>
        <v>0</v>
      </c>
      <c r="DA50" s="272">
        <f t="shared" ref="DA50:DU50" si="41">DA37+DA49</f>
        <v>0</v>
      </c>
      <c r="DB50" s="272">
        <f t="shared" si="41"/>
        <v>0</v>
      </c>
      <c r="DC50" s="272">
        <f t="shared" si="41"/>
        <v>222110948</v>
      </c>
      <c r="DD50" s="272">
        <f t="shared" si="41"/>
        <v>55610806</v>
      </c>
      <c r="DE50" s="272">
        <f t="shared" si="41"/>
        <v>160929584</v>
      </c>
      <c r="DF50" s="272">
        <f t="shared" si="41"/>
        <v>2013586</v>
      </c>
      <c r="DG50" s="272">
        <f t="shared" si="41"/>
        <v>3358106</v>
      </c>
      <c r="DH50" s="272">
        <f t="shared" si="41"/>
        <v>213352</v>
      </c>
      <c r="DI50" s="272">
        <f t="shared" si="41"/>
        <v>19825694</v>
      </c>
      <c r="DJ50" s="272">
        <f t="shared" si="41"/>
        <v>8806339</v>
      </c>
      <c r="DK50" s="272">
        <f t="shared" si="41"/>
        <v>1337928</v>
      </c>
      <c r="DL50" s="272">
        <f t="shared" si="41"/>
        <v>9681427</v>
      </c>
      <c r="DM50" s="272">
        <f t="shared" si="41"/>
        <v>2276690</v>
      </c>
      <c r="DN50" s="272">
        <f t="shared" si="41"/>
        <v>1963390</v>
      </c>
      <c r="DO50" s="272">
        <f t="shared" si="41"/>
        <v>264953</v>
      </c>
      <c r="DP50" s="272">
        <f t="shared" si="41"/>
        <v>1698437</v>
      </c>
      <c r="DQ50" s="272">
        <f t="shared" si="41"/>
        <v>30600857</v>
      </c>
      <c r="DR50" s="272">
        <f t="shared" si="41"/>
        <v>424389</v>
      </c>
      <c r="DS50" s="272">
        <f t="shared" si="41"/>
        <v>360000</v>
      </c>
      <c r="DT50" s="272">
        <f t="shared" si="41"/>
        <v>196130630</v>
      </c>
      <c r="DU50" s="272">
        <f t="shared" si="41"/>
        <v>94687122</v>
      </c>
      <c r="DV50" s="455">
        <f t="shared" si="11"/>
        <v>139990</v>
      </c>
      <c r="DW50" s="272">
        <f t="shared" ref="DW50:ED50" si="42">DW37+DW49</f>
        <v>139990</v>
      </c>
      <c r="DX50" s="272">
        <f t="shared" si="42"/>
        <v>0</v>
      </c>
      <c r="DY50" s="272">
        <f t="shared" si="42"/>
        <v>2230287</v>
      </c>
      <c r="DZ50" s="272">
        <f t="shared" si="42"/>
        <v>45844806</v>
      </c>
      <c r="EA50" s="272">
        <f t="shared" si="42"/>
        <v>20999827</v>
      </c>
      <c r="EB50" s="272">
        <f t="shared" si="42"/>
        <v>27242482</v>
      </c>
      <c r="EC50" s="272">
        <f t="shared" si="42"/>
        <v>10325971</v>
      </c>
      <c r="ED50" s="272">
        <f t="shared" si="42"/>
        <v>1705884313</v>
      </c>
      <c r="EE50" s="89"/>
      <c r="EF50" s="272">
        <f>EF37+EF49</f>
        <v>-586930</v>
      </c>
      <c r="EG50" s="272">
        <f>EG37+EG49</f>
        <v>6154605</v>
      </c>
      <c r="EH50" s="272">
        <f>EH37+EH49</f>
        <v>-6741535</v>
      </c>
      <c r="EI50" s="272">
        <f>EI37+EI49</f>
        <v>-2621799</v>
      </c>
      <c r="EJ50" s="272">
        <f>EJ37+EJ49</f>
        <v>-5295179</v>
      </c>
      <c r="EK50" s="89"/>
      <c r="EL50" s="272"/>
      <c r="EM50" s="272">
        <f>EM37+EM49</f>
        <v>5366131</v>
      </c>
      <c r="EN50" s="272">
        <f>EN37+EN49</f>
        <v>39700558</v>
      </c>
      <c r="EO50" s="272">
        <f>EO37+EO49</f>
        <v>4829117</v>
      </c>
      <c r="EP50" s="455">
        <f t="shared" si="12"/>
        <v>34049723</v>
      </c>
      <c r="EQ50" s="272">
        <f t="shared" ref="EQ50:EV50" si="43">EQ37+EQ49</f>
        <v>1087655873</v>
      </c>
      <c r="ER50" s="272">
        <f t="shared" si="43"/>
        <v>-132679781</v>
      </c>
      <c r="ES50" s="272">
        <f t="shared" si="43"/>
        <v>406052406</v>
      </c>
      <c r="ET50" s="272">
        <f t="shared" si="43"/>
        <v>277062092</v>
      </c>
      <c r="EU50" s="272">
        <f t="shared" si="43"/>
        <v>82795360</v>
      </c>
      <c r="EV50" s="272">
        <f t="shared" si="43"/>
        <v>178702868</v>
      </c>
      <c r="EW50" s="455">
        <f t="shared" si="13"/>
        <v>59365284</v>
      </c>
      <c r="EX50" s="272">
        <f>EX37+EX49</f>
        <v>59296827</v>
      </c>
      <c r="EY50" s="272">
        <f>EY37+EY49</f>
        <v>6502836</v>
      </c>
      <c r="EZ50" s="272">
        <f>EZ37+EZ49</f>
        <v>52174130</v>
      </c>
      <c r="FA50" s="272">
        <f>FA37+FA49</f>
        <v>68457</v>
      </c>
      <c r="FB50" s="272"/>
      <c r="FC50" s="272">
        <f>FC37+FC49</f>
        <v>158315395</v>
      </c>
      <c r="FD50" s="272">
        <f>FD37+FD49</f>
        <v>113306959</v>
      </c>
      <c r="FE50" s="272">
        <f>FE37+FE49</f>
        <v>42276747</v>
      </c>
      <c r="FF50" s="272">
        <f>FF37+FF49</f>
        <v>179386513</v>
      </c>
      <c r="FG50" s="455">
        <f t="shared" si="14"/>
        <v>43317737</v>
      </c>
      <c r="FH50" s="272">
        <f>FH37+FH49</f>
        <v>1221242522</v>
      </c>
      <c r="FI50" s="384">
        <f t="shared" si="15"/>
        <v>-0.7</v>
      </c>
      <c r="FJ50" s="272">
        <f>FJ37+FJ49</f>
        <v>1017715936</v>
      </c>
      <c r="FK50" s="272">
        <f>FK37+FK49</f>
        <v>48992781</v>
      </c>
      <c r="FL50" s="272">
        <f>FL37+FL49</f>
        <v>646541624</v>
      </c>
      <c r="FM50" s="272">
        <f>FM37+FM49</f>
        <v>798465128</v>
      </c>
      <c r="FN50" s="468">
        <v>0.81200000000000006</v>
      </c>
      <c r="FO50" s="469">
        <v>97.3</v>
      </c>
      <c r="FP50" s="469">
        <v>36</v>
      </c>
      <c r="FQ50" s="469">
        <v>8.1999999999999993</v>
      </c>
      <c r="FR50" s="469">
        <v>16.399999999999999</v>
      </c>
      <c r="FS50" s="469">
        <v>13.9</v>
      </c>
      <c r="FT50" s="469">
        <v>10.3</v>
      </c>
      <c r="FU50" s="469">
        <v>11.2</v>
      </c>
      <c r="FV50" s="469">
        <v>10.199999999999999</v>
      </c>
      <c r="FW50" s="272">
        <f>FW37+FW49</f>
        <v>1610896794</v>
      </c>
      <c r="FX50" s="384">
        <f t="shared" si="16"/>
        <v>158.30000000000001</v>
      </c>
      <c r="FY50" s="272">
        <f t="shared" ref="FY50:GD50" si="44">FY37+FY49</f>
        <v>301660907</v>
      </c>
      <c r="FZ50" s="272">
        <f t="shared" si="44"/>
        <v>92676269</v>
      </c>
      <c r="GA50" s="272">
        <f t="shared" si="44"/>
        <v>25374232</v>
      </c>
      <c r="GB50" s="272">
        <f t="shared" si="44"/>
        <v>183610406</v>
      </c>
      <c r="GC50" s="272">
        <f t="shared" si="44"/>
        <v>7450275</v>
      </c>
      <c r="GD50" s="272">
        <f t="shared" si="44"/>
        <v>322351821</v>
      </c>
      <c r="GE50" s="465">
        <f>ROUND(GD50/FJ53*100,1)</f>
        <v>32.5</v>
      </c>
      <c r="GF50" s="469">
        <v>97.6</v>
      </c>
      <c r="GG50" s="469">
        <v>19.399999999999999</v>
      </c>
      <c r="GH50" s="469">
        <v>91.2</v>
      </c>
      <c r="GI50" s="272">
        <f>GI37+GI49</f>
        <v>40608</v>
      </c>
    </row>
    <row r="51" spans="2:191" x14ac:dyDescent="0.15">
      <c r="C51" s="89"/>
      <c r="E51" s="89"/>
      <c r="F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I51" s="89"/>
      <c r="AJ51" s="89"/>
      <c r="AK51" s="89"/>
      <c r="CX51" s="89"/>
      <c r="CY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GE51" s="31" t="s">
        <v>647</v>
      </c>
    </row>
    <row r="52" spans="2:191" x14ac:dyDescent="0.15">
      <c r="C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FJ52" s="394">
        <f>FJ42+FJ43+FJ45+FJ46+FJ48</f>
        <v>30894854</v>
      </c>
      <c r="FO52" s="33"/>
      <c r="FP52" s="89" t="s">
        <v>816</v>
      </c>
    </row>
    <row r="53" spans="2:191" x14ac:dyDescent="0.15">
      <c r="C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W53" s="89"/>
      <c r="DX53" s="89"/>
      <c r="DY53" s="89"/>
      <c r="DZ53" s="89"/>
      <c r="EA53" s="89"/>
      <c r="EB53" s="89"/>
      <c r="EC53" s="89"/>
      <c r="ED53" s="89"/>
      <c r="EE53" s="89"/>
      <c r="EF53" s="89"/>
      <c r="EG53" s="89"/>
      <c r="EH53" s="89"/>
      <c r="EI53" s="89"/>
      <c r="EJ53" s="89"/>
      <c r="EK53" s="89"/>
      <c r="EL53" s="89"/>
      <c r="EM53" s="89"/>
      <c r="EN53" s="89"/>
      <c r="EO53" s="89"/>
      <c r="FJ53" s="394">
        <f>FJ37+FJ52</f>
        <v>991666156</v>
      </c>
    </row>
    <row r="54" spans="2:191" x14ac:dyDescent="0.15">
      <c r="C54" s="89"/>
    </row>
  </sheetData>
  <phoneticPr fontId="3"/>
  <pageMargins left="0.75" right="0.75" top="1" bottom="1" header="0.51200000000000001" footer="0.51200000000000001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0">
    <tabColor indexed="15"/>
  </sheetPr>
  <dimension ref="A1:GI54"/>
  <sheetViews>
    <sheetView workbookViewId="0">
      <pane xSplit="2" ySplit="5" topLeftCell="FO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</cols>
  <sheetData>
    <row r="1" spans="2:191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191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830</v>
      </c>
      <c r="O2" s="28" t="s">
        <v>840</v>
      </c>
      <c r="P2" s="28" t="s">
        <v>831</v>
      </c>
      <c r="Q2" s="28" t="s">
        <v>832</v>
      </c>
      <c r="R2" s="28" t="s">
        <v>351</v>
      </c>
      <c r="S2" s="28"/>
      <c r="U2" s="28" t="s">
        <v>794</v>
      </c>
      <c r="V2" s="28"/>
      <c r="W2" s="28"/>
      <c r="X2" s="28" t="s">
        <v>725</v>
      </c>
      <c r="Y2" s="28" t="s">
        <v>354</v>
      </c>
      <c r="Z2" s="28" t="s">
        <v>355</v>
      </c>
      <c r="AA2" s="28" t="s">
        <v>664</v>
      </c>
      <c r="AB2" s="28" t="s">
        <v>357</v>
      </c>
      <c r="AC2" s="28" t="s">
        <v>653</v>
      </c>
      <c r="AD2" s="28" t="s">
        <v>358</v>
      </c>
      <c r="AE2" s="28" t="s">
        <v>359</v>
      </c>
      <c r="AF2" s="28" t="s">
        <v>360</v>
      </c>
      <c r="AG2" s="28" t="s">
        <v>361</v>
      </c>
      <c r="AI2" s="28" t="s">
        <v>362</v>
      </c>
      <c r="AJ2" s="28" t="s">
        <v>668</v>
      </c>
      <c r="AK2" s="28" t="s">
        <v>685</v>
      </c>
      <c r="AL2" s="29"/>
      <c r="AM2" s="28" t="s">
        <v>669</v>
      </c>
      <c r="AN2" s="28" t="s">
        <v>796</v>
      </c>
      <c r="AO2" s="28" t="s">
        <v>727</v>
      </c>
      <c r="AP2" s="28" t="s">
        <v>833</v>
      </c>
      <c r="AQ2" s="28" t="s">
        <v>797</v>
      </c>
      <c r="AR2" s="28" t="s">
        <v>368</v>
      </c>
      <c r="AS2" s="28" t="s">
        <v>374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817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 t="s">
        <v>841</v>
      </c>
      <c r="BR2" s="28" t="s">
        <v>784</v>
      </c>
      <c r="BS2" s="28" t="s">
        <v>842</v>
      </c>
      <c r="BT2" s="28" t="s">
        <v>843</v>
      </c>
      <c r="BU2" s="28" t="s">
        <v>806</v>
      </c>
      <c r="BW2" s="28" t="s">
        <v>402</v>
      </c>
      <c r="BX2" s="28" t="s">
        <v>403</v>
      </c>
      <c r="BY2" s="28" t="s">
        <v>786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836</v>
      </c>
      <c r="CM2" s="28" t="s">
        <v>837</v>
      </c>
      <c r="CN2" s="28" t="s">
        <v>838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820</v>
      </c>
      <c r="CV2" s="28" t="s">
        <v>821</v>
      </c>
      <c r="CX2" s="28" t="s">
        <v>426</v>
      </c>
      <c r="CY2" s="28" t="s">
        <v>812</v>
      </c>
      <c r="DA2" s="28" t="s">
        <v>822</v>
      </c>
      <c r="DB2" s="28" t="s">
        <v>823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824</v>
      </c>
      <c r="DW2" s="28" t="s">
        <v>449</v>
      </c>
      <c r="DX2" s="28" t="s">
        <v>448</v>
      </c>
      <c r="DY2" s="28" t="s">
        <v>451</v>
      </c>
      <c r="DZ2" s="28" t="s">
        <v>825</v>
      </c>
      <c r="EA2" s="28" t="s">
        <v>826</v>
      </c>
      <c r="EB2" s="28" t="s">
        <v>453</v>
      </c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191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827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191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203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191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828</v>
      </c>
      <c r="DX5" s="30" t="s">
        <v>829</v>
      </c>
      <c r="DY5" s="30"/>
      <c r="DZ5" s="30"/>
      <c r="EA5" s="30"/>
      <c r="EB5" s="30"/>
      <c r="EC5" s="30"/>
      <c r="ED5" s="3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191" x14ac:dyDescent="0.15">
      <c r="B6" s="89" t="s">
        <v>5</v>
      </c>
      <c r="C6" s="272">
        <v>25789923</v>
      </c>
      <c r="D6" s="455">
        <f t="shared" ref="D6:D50" si="0">E6+F6</f>
        <v>8103817</v>
      </c>
      <c r="E6" s="272">
        <v>172949</v>
      </c>
      <c r="F6" s="272">
        <v>7930868</v>
      </c>
      <c r="G6" s="455">
        <f t="shared" ref="G6:G50" si="1">H6+I6</f>
        <v>1596539</v>
      </c>
      <c r="H6" s="272">
        <v>448445</v>
      </c>
      <c r="I6" s="272">
        <v>1148094</v>
      </c>
      <c r="J6" s="272">
        <v>11845257</v>
      </c>
      <c r="K6" s="272">
        <v>6259095</v>
      </c>
      <c r="L6" s="272">
        <v>4050035</v>
      </c>
      <c r="M6" s="272">
        <v>1258245</v>
      </c>
      <c r="N6" s="272">
        <v>1469990</v>
      </c>
      <c r="O6" s="272">
        <v>2560281</v>
      </c>
      <c r="P6" s="272">
        <v>1705504</v>
      </c>
      <c r="Q6" s="272">
        <v>854777</v>
      </c>
      <c r="R6" s="272">
        <v>434762</v>
      </c>
      <c r="S6" s="272"/>
      <c r="T6" s="455">
        <f t="shared" ref="T6:T50" si="2">SUM(U6:AA6)</f>
        <v>3361569</v>
      </c>
      <c r="U6" s="272">
        <v>1089406</v>
      </c>
      <c r="V6" s="272"/>
      <c r="W6" s="272"/>
      <c r="X6" s="272">
        <v>1765683</v>
      </c>
      <c r="Y6" s="272">
        <v>77656</v>
      </c>
      <c r="Z6" s="272">
        <v>260</v>
      </c>
      <c r="AA6" s="272">
        <v>428564</v>
      </c>
      <c r="AB6" s="272">
        <v>844606</v>
      </c>
      <c r="AC6" s="272">
        <v>11230077</v>
      </c>
      <c r="AD6" s="272">
        <v>11081946</v>
      </c>
      <c r="AE6" s="272">
        <v>148131</v>
      </c>
      <c r="AF6" s="272">
        <v>41857</v>
      </c>
      <c r="AG6" s="272">
        <v>426239</v>
      </c>
      <c r="AH6" s="455">
        <f t="shared" ref="AH6:AH50" si="3">AI6+AJ6</f>
        <v>1746308</v>
      </c>
      <c r="AI6" s="272">
        <v>1545756</v>
      </c>
      <c r="AJ6" s="272">
        <v>200552</v>
      </c>
      <c r="AK6" s="272">
        <v>6358656</v>
      </c>
      <c r="AL6" s="455">
        <f t="shared" ref="AL6:AL50" si="4">SUM(AM6:AP6)</f>
        <v>4431236</v>
      </c>
      <c r="AM6" s="272">
        <v>3463656</v>
      </c>
      <c r="AN6" s="272">
        <v>955415</v>
      </c>
      <c r="AO6" s="272">
        <v>0</v>
      </c>
      <c r="AP6" s="272">
        <v>12165</v>
      </c>
      <c r="AQ6" s="272">
        <v>151995</v>
      </c>
      <c r="AR6" s="272">
        <v>3453</v>
      </c>
      <c r="AS6" s="272">
        <v>0</v>
      </c>
      <c r="AT6" s="272">
        <v>2938748</v>
      </c>
      <c r="AU6" s="272">
        <v>1778665</v>
      </c>
      <c r="AV6" s="272">
        <v>455248</v>
      </c>
      <c r="AW6" s="272">
        <v>180851</v>
      </c>
      <c r="AX6" s="272">
        <v>1160083</v>
      </c>
      <c r="AY6" s="272">
        <v>62668</v>
      </c>
      <c r="AZ6" s="272">
        <v>310340</v>
      </c>
      <c r="BA6" s="272">
        <v>179302</v>
      </c>
      <c r="BB6" s="272">
        <v>22028</v>
      </c>
      <c r="BC6" s="272">
        <v>3315493</v>
      </c>
      <c r="BD6" s="272">
        <v>400000</v>
      </c>
      <c r="BE6" s="272">
        <v>0</v>
      </c>
      <c r="BF6" s="272">
        <v>1699055</v>
      </c>
      <c r="BG6" s="272">
        <v>830894</v>
      </c>
      <c r="BH6" s="272">
        <v>337191</v>
      </c>
      <c r="BI6" s="272">
        <v>35341</v>
      </c>
      <c r="BJ6" s="272">
        <v>483713</v>
      </c>
      <c r="BK6" s="272">
        <v>121132</v>
      </c>
      <c r="BL6" s="272">
        <v>0</v>
      </c>
      <c r="BM6" s="272">
        <v>26608</v>
      </c>
      <c r="BN6" s="272">
        <v>10746500</v>
      </c>
      <c r="BO6" s="455">
        <f t="shared" ref="BO6:BO50" si="5">BN6-BP6-BT6</f>
        <v>9675600</v>
      </c>
      <c r="BP6" s="455">
        <f t="shared" ref="BP6:BP50" si="6">BQ6+BR6+BS6</f>
        <v>1070900</v>
      </c>
      <c r="BQ6" s="272">
        <v>328900</v>
      </c>
      <c r="BR6" s="272">
        <v>0</v>
      </c>
      <c r="BS6" s="272">
        <v>742000</v>
      </c>
      <c r="BT6" s="272">
        <v>0</v>
      </c>
      <c r="BU6" s="272">
        <v>68388010</v>
      </c>
      <c r="BV6" s="272"/>
      <c r="BW6" s="272">
        <v>16484372</v>
      </c>
      <c r="BX6" s="272">
        <v>11710699</v>
      </c>
      <c r="BY6" s="272">
        <v>1781286</v>
      </c>
      <c r="BZ6" s="272">
        <v>415522</v>
      </c>
      <c r="CA6" s="272">
        <v>10455457</v>
      </c>
      <c r="CB6" s="272">
        <v>1537964</v>
      </c>
      <c r="CC6" s="272">
        <v>919247</v>
      </c>
      <c r="CD6" s="272">
        <v>3102529</v>
      </c>
      <c r="CE6" s="272">
        <v>4610336</v>
      </c>
      <c r="CF6" s="272">
        <v>441</v>
      </c>
      <c r="CG6" s="272">
        <v>280440</v>
      </c>
      <c r="CH6" s="272">
        <v>7903036</v>
      </c>
      <c r="CI6" s="272">
        <v>5329304</v>
      </c>
      <c r="CJ6" s="455">
        <f t="shared" ref="CJ6:CJ50" si="7">CH6-CI6</f>
        <v>2573732</v>
      </c>
      <c r="CK6" s="272">
        <v>6179847</v>
      </c>
      <c r="CL6" s="272">
        <v>3326138</v>
      </c>
      <c r="CM6" s="272">
        <v>220609</v>
      </c>
      <c r="CN6" s="272">
        <v>1047352</v>
      </c>
      <c r="CO6" s="272">
        <v>194159</v>
      </c>
      <c r="CP6" s="272">
        <v>4654811</v>
      </c>
      <c r="CQ6" s="272">
        <v>1315826</v>
      </c>
      <c r="CR6" s="272">
        <v>1148133</v>
      </c>
      <c r="CS6" s="272">
        <v>896593</v>
      </c>
      <c r="CT6" s="455">
        <f t="shared" ref="CT6:CT50" si="8">CU6+CV6</f>
        <v>1325099</v>
      </c>
      <c r="CU6" s="272">
        <v>1241126</v>
      </c>
      <c r="CV6" s="272">
        <v>83973</v>
      </c>
      <c r="CW6" s="455">
        <f t="shared" ref="CW6:CW50" si="9">CX6+CY6</f>
        <v>1269000</v>
      </c>
      <c r="CX6" s="272">
        <v>1210762</v>
      </c>
      <c r="CY6" s="272">
        <v>58238</v>
      </c>
      <c r="CZ6" s="455">
        <f t="shared" ref="CZ6:CZ50" si="10">DA6+DB6</f>
        <v>0</v>
      </c>
      <c r="DA6" s="272">
        <v>0</v>
      </c>
      <c r="DB6" s="272">
        <v>0</v>
      </c>
      <c r="DC6" s="272">
        <v>11651215</v>
      </c>
      <c r="DD6" s="272">
        <v>472801</v>
      </c>
      <c r="DE6" s="272">
        <v>11053919</v>
      </c>
      <c r="DF6" s="272">
        <v>78325</v>
      </c>
      <c r="DG6" s="272">
        <v>46170</v>
      </c>
      <c r="DH6" s="272">
        <v>4154</v>
      </c>
      <c r="DI6" s="272">
        <v>1535062</v>
      </c>
      <c r="DJ6" s="272">
        <v>605944</v>
      </c>
      <c r="DK6" s="272">
        <v>806008</v>
      </c>
      <c r="DL6" s="272">
        <v>123110</v>
      </c>
      <c r="DM6" s="272">
        <v>82000</v>
      </c>
      <c r="DN6" s="272">
        <v>82000</v>
      </c>
      <c r="DO6" s="272">
        <v>82000</v>
      </c>
      <c r="DP6" s="272">
        <v>0</v>
      </c>
      <c r="DQ6" s="272">
        <v>118000</v>
      </c>
      <c r="DR6" s="272">
        <v>0</v>
      </c>
      <c r="DS6" s="272">
        <v>0</v>
      </c>
      <c r="DT6" s="272">
        <v>8778036</v>
      </c>
      <c r="DU6" s="272">
        <v>4723871</v>
      </c>
      <c r="DV6" s="455">
        <f t="shared" ref="DV6:DV50" si="11">DW6+DX6</f>
        <v>0</v>
      </c>
      <c r="DW6" s="272">
        <v>0</v>
      </c>
      <c r="DX6" s="272">
        <v>0</v>
      </c>
      <c r="DY6" s="272">
        <v>0</v>
      </c>
      <c r="DZ6" s="272">
        <v>1514461</v>
      </c>
      <c r="EA6" s="272">
        <v>855918</v>
      </c>
      <c r="EB6" s="272">
        <v>1086388</v>
      </c>
      <c r="EC6" s="272">
        <v>0</v>
      </c>
      <c r="ED6" s="272">
        <v>68040149</v>
      </c>
      <c r="EF6" s="272">
        <v>347861</v>
      </c>
      <c r="EG6" s="272">
        <v>212120</v>
      </c>
      <c r="EH6" s="272">
        <v>135741</v>
      </c>
      <c r="EI6" s="272">
        <v>100400</v>
      </c>
      <c r="EJ6" s="272">
        <v>306344</v>
      </c>
      <c r="EL6" s="272"/>
      <c r="EM6" s="272">
        <v>201689</v>
      </c>
      <c r="EN6" s="272">
        <v>2220608</v>
      </c>
      <c r="EO6" s="272">
        <v>284447</v>
      </c>
      <c r="EP6" s="455">
        <f t="shared" ref="EP6:EP50" si="12">EQ6-ER6-C6-R6-T6-AB6-AC6-BP6-EN6-EO6</f>
        <v>1215212</v>
      </c>
      <c r="EQ6" s="272">
        <v>41702794</v>
      </c>
      <c r="ER6" s="272">
        <v>-4749310</v>
      </c>
      <c r="ES6" s="272">
        <v>14792221</v>
      </c>
      <c r="ET6" s="272">
        <v>10037327</v>
      </c>
      <c r="EU6" s="272">
        <v>3367227</v>
      </c>
      <c r="EV6" s="272">
        <v>7804751</v>
      </c>
      <c r="EW6" s="455">
        <f t="shared" ref="EW6:EW50" si="13">EX6+FA6+FB6</f>
        <v>1071141</v>
      </c>
      <c r="EX6" s="272">
        <v>1070440</v>
      </c>
      <c r="EY6" s="272">
        <v>60028</v>
      </c>
      <c r="EZ6" s="272">
        <v>984687</v>
      </c>
      <c r="FA6" s="272">
        <v>701</v>
      </c>
      <c r="FB6" s="272"/>
      <c r="FC6" s="272">
        <v>5173246</v>
      </c>
      <c r="FD6" s="272">
        <v>4026935</v>
      </c>
      <c r="FE6" s="272">
        <v>1315826</v>
      </c>
      <c r="FF6" s="272">
        <v>8288493</v>
      </c>
      <c r="FG6" s="455">
        <f t="shared" ref="FG6:FG50" si="14">FH6-ES6-EU6-EV6-EW6-FC6-FD6-FF6</f>
        <v>1580229</v>
      </c>
      <c r="FH6" s="272">
        <v>46104243</v>
      </c>
      <c r="FI6" s="384">
        <f t="shared" ref="FI6:FI50" si="15">ROUND(EH6/FJ6*100,1)</f>
        <v>0.3</v>
      </c>
      <c r="FJ6" s="272">
        <v>39455409</v>
      </c>
      <c r="FK6" s="272">
        <v>742074</v>
      </c>
      <c r="FL6" s="272">
        <v>21395453</v>
      </c>
      <c r="FM6" s="272">
        <v>32501472</v>
      </c>
      <c r="FN6" s="460">
        <v>0.66700000000000004</v>
      </c>
      <c r="FO6" s="388">
        <v>95.5</v>
      </c>
      <c r="FP6" s="388">
        <v>34.9</v>
      </c>
      <c r="FQ6" s="388">
        <v>8.3000000000000007</v>
      </c>
      <c r="FR6" s="388">
        <v>19.399999999999999</v>
      </c>
      <c r="FS6" s="388">
        <v>11.3</v>
      </c>
      <c r="FT6" s="388">
        <v>8.1999999999999993</v>
      </c>
      <c r="FU6" s="388">
        <v>13</v>
      </c>
      <c r="FV6" s="388">
        <v>12.6</v>
      </c>
      <c r="FW6" s="272">
        <v>94642688</v>
      </c>
      <c r="FX6" s="384">
        <f t="shared" ref="FX6:FX50" si="16">ROUND(FW6/FJ6*100,1)</f>
        <v>239.9</v>
      </c>
      <c r="FY6" s="272">
        <v>4764623</v>
      </c>
      <c r="FZ6" s="272">
        <v>852352</v>
      </c>
      <c r="GA6" s="272">
        <v>1813922</v>
      </c>
      <c r="GB6" s="272">
        <v>2098349</v>
      </c>
      <c r="GC6" s="272"/>
      <c r="GD6" s="272">
        <v>15285283</v>
      </c>
      <c r="GE6" s="384">
        <f t="shared" ref="GE6:GE37" si="17">ROUND(GD6/FJ6*100,1)</f>
        <v>38.700000000000003</v>
      </c>
      <c r="GF6" s="388">
        <v>97.1</v>
      </c>
      <c r="GG6" s="388">
        <v>18.3</v>
      </c>
      <c r="GH6" s="388">
        <v>90.1</v>
      </c>
      <c r="GI6" s="272">
        <v>1590</v>
      </c>
    </row>
    <row r="7" spans="2:191" x14ac:dyDescent="0.15">
      <c r="B7" s="89" t="s">
        <v>7</v>
      </c>
      <c r="C7" s="272">
        <v>65535058</v>
      </c>
      <c r="D7" s="455">
        <f t="shared" si="0"/>
        <v>27336563</v>
      </c>
      <c r="E7" s="272">
        <v>363184</v>
      </c>
      <c r="F7" s="272">
        <v>26973379</v>
      </c>
      <c r="G7" s="455">
        <f t="shared" si="1"/>
        <v>3889248</v>
      </c>
      <c r="H7" s="272">
        <v>989417</v>
      </c>
      <c r="I7" s="272">
        <v>2899831</v>
      </c>
      <c r="J7" s="272">
        <v>24661130</v>
      </c>
      <c r="K7" s="272">
        <v>11259568</v>
      </c>
      <c r="L7" s="272">
        <v>9857224</v>
      </c>
      <c r="M7" s="272">
        <v>3062896</v>
      </c>
      <c r="N7" s="272">
        <v>2205897</v>
      </c>
      <c r="O7" s="272">
        <v>6147185</v>
      </c>
      <c r="P7" s="272">
        <v>3856166</v>
      </c>
      <c r="Q7" s="272">
        <v>2291019</v>
      </c>
      <c r="R7" s="272">
        <v>2786736</v>
      </c>
      <c r="S7" s="272"/>
      <c r="T7" s="455">
        <f t="shared" si="2"/>
        <v>7476501</v>
      </c>
      <c r="U7" s="272">
        <v>3288548</v>
      </c>
      <c r="V7" s="272"/>
      <c r="W7" s="272"/>
      <c r="X7" s="272">
        <v>3435242</v>
      </c>
      <c r="Y7" s="272">
        <v>0</v>
      </c>
      <c r="Z7" s="272">
        <v>876</v>
      </c>
      <c r="AA7" s="272">
        <v>751835</v>
      </c>
      <c r="AB7" s="272">
        <v>2889752</v>
      </c>
      <c r="AC7" s="272">
        <v>3025668</v>
      </c>
      <c r="AD7" s="272">
        <v>2129580</v>
      </c>
      <c r="AE7" s="272">
        <v>896088</v>
      </c>
      <c r="AF7" s="272">
        <v>66883</v>
      </c>
      <c r="AG7" s="272">
        <v>742921</v>
      </c>
      <c r="AH7" s="455">
        <f t="shared" si="3"/>
        <v>2666326</v>
      </c>
      <c r="AI7" s="272">
        <v>2351070</v>
      </c>
      <c r="AJ7" s="272">
        <v>315256</v>
      </c>
      <c r="AK7" s="272">
        <v>13146973</v>
      </c>
      <c r="AL7" s="455">
        <f t="shared" si="4"/>
        <v>7702465</v>
      </c>
      <c r="AM7" s="272">
        <v>6738316</v>
      </c>
      <c r="AN7" s="272">
        <v>869156</v>
      </c>
      <c r="AO7" s="272">
        <v>0</v>
      </c>
      <c r="AP7" s="272">
        <v>94993</v>
      </c>
      <c r="AQ7" s="272">
        <v>1585143</v>
      </c>
      <c r="AR7" s="272">
        <v>0</v>
      </c>
      <c r="AS7" s="272">
        <v>0</v>
      </c>
      <c r="AT7" s="272">
        <v>5457636</v>
      </c>
      <c r="AU7" s="272">
        <v>2357873</v>
      </c>
      <c r="AV7" s="272">
        <v>413757</v>
      </c>
      <c r="AW7" s="272">
        <v>1699</v>
      </c>
      <c r="AX7" s="272">
        <v>3099763</v>
      </c>
      <c r="AY7" s="272">
        <v>278883</v>
      </c>
      <c r="AZ7" s="272">
        <v>375705</v>
      </c>
      <c r="BA7" s="272">
        <v>322135</v>
      </c>
      <c r="BB7" s="272">
        <v>545110</v>
      </c>
      <c r="BC7" s="272">
        <v>988135</v>
      </c>
      <c r="BD7" s="272">
        <v>0</v>
      </c>
      <c r="BE7" s="272">
        <v>0</v>
      </c>
      <c r="BF7" s="272">
        <v>343356</v>
      </c>
      <c r="BG7" s="272">
        <v>200000</v>
      </c>
      <c r="BH7" s="272">
        <v>264434</v>
      </c>
      <c r="BI7" s="272">
        <v>0</v>
      </c>
      <c r="BJ7" s="272">
        <v>4778573</v>
      </c>
      <c r="BK7" s="272">
        <v>3658258</v>
      </c>
      <c r="BL7" s="272">
        <v>0</v>
      </c>
      <c r="BM7" s="272">
        <v>69485</v>
      </c>
      <c r="BN7" s="272">
        <v>16906900</v>
      </c>
      <c r="BO7" s="455">
        <f t="shared" si="5"/>
        <v>14304600</v>
      </c>
      <c r="BP7" s="455">
        <f t="shared" si="6"/>
        <v>2602300</v>
      </c>
      <c r="BQ7" s="272">
        <v>1037800</v>
      </c>
      <c r="BR7" s="272">
        <v>0</v>
      </c>
      <c r="BS7" s="272">
        <v>1564500</v>
      </c>
      <c r="BT7" s="272">
        <v>0</v>
      </c>
      <c r="BU7" s="272">
        <v>127653311</v>
      </c>
      <c r="BV7" s="272"/>
      <c r="BW7" s="272">
        <v>35274048</v>
      </c>
      <c r="BX7" s="272">
        <v>24970985</v>
      </c>
      <c r="BY7" s="272">
        <v>3674380</v>
      </c>
      <c r="BZ7" s="272">
        <v>1465452</v>
      </c>
      <c r="CA7" s="272">
        <v>15400549</v>
      </c>
      <c r="CB7" s="272">
        <v>1666305</v>
      </c>
      <c r="CC7" s="272">
        <v>1524549</v>
      </c>
      <c r="CD7" s="272">
        <v>2857182</v>
      </c>
      <c r="CE7" s="272">
        <v>9025420</v>
      </c>
      <c r="CF7" s="272">
        <v>19</v>
      </c>
      <c r="CG7" s="272">
        <v>325024</v>
      </c>
      <c r="CH7" s="272">
        <v>11660213</v>
      </c>
      <c r="CI7" s="272">
        <v>7969398</v>
      </c>
      <c r="CJ7" s="455">
        <f t="shared" si="7"/>
        <v>3690815</v>
      </c>
      <c r="CK7" s="272">
        <v>12678141</v>
      </c>
      <c r="CL7" s="272">
        <v>5986344</v>
      </c>
      <c r="CM7" s="272">
        <v>512976</v>
      </c>
      <c r="CN7" s="272">
        <v>3292835</v>
      </c>
      <c r="CO7" s="272">
        <v>1045707</v>
      </c>
      <c r="CP7" s="272">
        <v>12996221</v>
      </c>
      <c r="CQ7" s="272">
        <v>2868971</v>
      </c>
      <c r="CR7" s="272">
        <v>5032058</v>
      </c>
      <c r="CS7" s="272">
        <v>2652707</v>
      </c>
      <c r="CT7" s="455">
        <f t="shared" si="8"/>
        <v>1675887</v>
      </c>
      <c r="CU7" s="272">
        <v>1533789</v>
      </c>
      <c r="CV7" s="272">
        <v>142098</v>
      </c>
      <c r="CW7" s="455">
        <f t="shared" si="9"/>
        <v>1500000</v>
      </c>
      <c r="CX7" s="272">
        <v>1500000</v>
      </c>
      <c r="CY7" s="272">
        <v>0</v>
      </c>
      <c r="CZ7" s="455">
        <f t="shared" si="10"/>
        <v>0</v>
      </c>
      <c r="DA7" s="272">
        <v>0</v>
      </c>
      <c r="DB7" s="272">
        <v>0</v>
      </c>
      <c r="DC7" s="272">
        <v>18333651</v>
      </c>
      <c r="DD7" s="272">
        <v>3419245</v>
      </c>
      <c r="DE7" s="272">
        <v>14746188</v>
      </c>
      <c r="DF7" s="272">
        <v>7335</v>
      </c>
      <c r="DG7" s="272">
        <v>0</v>
      </c>
      <c r="DH7" s="272">
        <v>0</v>
      </c>
      <c r="DI7" s="272">
        <v>331480</v>
      </c>
      <c r="DJ7" s="272">
        <v>111</v>
      </c>
      <c r="DK7" s="272">
        <v>309885</v>
      </c>
      <c r="DL7" s="272">
        <v>21484</v>
      </c>
      <c r="DM7" s="272">
        <v>54857</v>
      </c>
      <c r="DN7" s="272">
        <v>54857</v>
      </c>
      <c r="DO7" s="272">
        <v>54857</v>
      </c>
      <c r="DP7" s="272">
        <v>0</v>
      </c>
      <c r="DQ7" s="272">
        <v>6192859</v>
      </c>
      <c r="DR7" s="272">
        <v>0</v>
      </c>
      <c r="DS7" s="272">
        <v>0</v>
      </c>
      <c r="DT7" s="272">
        <v>13279921</v>
      </c>
      <c r="DU7" s="272">
        <v>4712500</v>
      </c>
      <c r="DV7" s="455">
        <f t="shared" si="11"/>
        <v>0</v>
      </c>
      <c r="DW7" s="272">
        <v>0</v>
      </c>
      <c r="DX7" s="272">
        <v>0</v>
      </c>
      <c r="DY7" s="272">
        <v>0</v>
      </c>
      <c r="DZ7" s="272">
        <v>4286317</v>
      </c>
      <c r="EA7" s="272">
        <v>1454811</v>
      </c>
      <c r="EB7" s="272">
        <v>1533162</v>
      </c>
      <c r="EC7" s="272">
        <v>0</v>
      </c>
      <c r="ED7" s="272">
        <v>127247647</v>
      </c>
      <c r="EF7" s="272">
        <v>405664</v>
      </c>
      <c r="EG7" s="272">
        <v>1114771</v>
      </c>
      <c r="EH7" s="272">
        <v>-709107</v>
      </c>
      <c r="EI7" s="272">
        <v>-466022</v>
      </c>
      <c r="EJ7" s="272">
        <v>-443951</v>
      </c>
      <c r="EL7" s="272"/>
      <c r="EM7" s="272">
        <v>387869</v>
      </c>
      <c r="EN7" s="272">
        <v>273894</v>
      </c>
      <c r="EO7" s="272">
        <v>42888</v>
      </c>
      <c r="EP7" s="455">
        <f t="shared" si="12"/>
        <v>1989260</v>
      </c>
      <c r="EQ7" s="272">
        <v>81780598</v>
      </c>
      <c r="ER7" s="272">
        <v>-4841459</v>
      </c>
      <c r="ES7" s="272">
        <v>32520608</v>
      </c>
      <c r="ET7" s="272">
        <v>22347859</v>
      </c>
      <c r="EU7" s="272">
        <v>4860845</v>
      </c>
      <c r="EV7" s="272">
        <v>11385224</v>
      </c>
      <c r="EW7" s="455">
        <f t="shared" si="13"/>
        <v>3755145</v>
      </c>
      <c r="EX7" s="272">
        <v>3755145</v>
      </c>
      <c r="EY7" s="272">
        <v>415698</v>
      </c>
      <c r="EZ7" s="272">
        <v>3309114</v>
      </c>
      <c r="FA7" s="272">
        <v>0</v>
      </c>
      <c r="FB7" s="272"/>
      <c r="FC7" s="272">
        <v>9663866</v>
      </c>
      <c r="FD7" s="272">
        <v>10973601</v>
      </c>
      <c r="FE7" s="272">
        <v>2868971</v>
      </c>
      <c r="FF7" s="272">
        <v>12165183</v>
      </c>
      <c r="FG7" s="455">
        <f t="shared" si="14"/>
        <v>891921</v>
      </c>
      <c r="FH7" s="272">
        <v>86216393</v>
      </c>
      <c r="FI7" s="384">
        <f t="shared" si="15"/>
        <v>-0.9</v>
      </c>
      <c r="FJ7" s="272">
        <v>74804440</v>
      </c>
      <c r="FK7" s="272">
        <v>1564574</v>
      </c>
      <c r="FL7" s="272">
        <v>55225380</v>
      </c>
      <c r="FM7" s="272">
        <v>57394954</v>
      </c>
      <c r="FN7" s="460">
        <v>0.97599999999999998</v>
      </c>
      <c r="FO7" s="388">
        <v>98.1</v>
      </c>
      <c r="FP7" s="388">
        <v>40.6</v>
      </c>
      <c r="FQ7" s="388">
        <v>6.2</v>
      </c>
      <c r="FR7" s="388">
        <v>14.6</v>
      </c>
      <c r="FS7" s="388">
        <v>11.6</v>
      </c>
      <c r="FT7" s="388">
        <v>13</v>
      </c>
      <c r="FU7" s="388">
        <v>11</v>
      </c>
      <c r="FV7" s="388">
        <v>10.4</v>
      </c>
      <c r="FW7" s="272">
        <v>118064988</v>
      </c>
      <c r="FX7" s="384">
        <f t="shared" si="16"/>
        <v>157.80000000000001</v>
      </c>
      <c r="FY7" s="272">
        <v>7530149</v>
      </c>
      <c r="FZ7" s="272">
        <v>9260</v>
      </c>
      <c r="GA7" s="272">
        <v>309885</v>
      </c>
      <c r="GB7" s="272">
        <v>7211004</v>
      </c>
      <c r="GC7" s="272">
        <v>2386518</v>
      </c>
      <c r="GD7" s="272">
        <v>37665459</v>
      </c>
      <c r="GE7" s="384">
        <f t="shared" si="17"/>
        <v>50.4</v>
      </c>
      <c r="GF7" s="388">
        <v>97.7</v>
      </c>
      <c r="GG7" s="388">
        <v>15.1</v>
      </c>
      <c r="GH7" s="388">
        <v>90.1</v>
      </c>
      <c r="GI7" s="272">
        <v>3352</v>
      </c>
    </row>
    <row r="8" spans="2:191" x14ac:dyDescent="0.15">
      <c r="B8" s="89" t="s">
        <v>9</v>
      </c>
      <c r="C8" s="272">
        <v>17776359</v>
      </c>
      <c r="D8" s="455">
        <f t="shared" si="0"/>
        <v>6570225</v>
      </c>
      <c r="E8" s="272">
        <v>96037</v>
      </c>
      <c r="F8" s="272">
        <v>6474188</v>
      </c>
      <c r="G8" s="455">
        <f t="shared" si="1"/>
        <v>2029962</v>
      </c>
      <c r="H8" s="272">
        <v>263318</v>
      </c>
      <c r="I8" s="272">
        <v>1766644</v>
      </c>
      <c r="J8" s="272">
        <v>6890116</v>
      </c>
      <c r="K8" s="272">
        <v>3477026</v>
      </c>
      <c r="L8" s="272">
        <v>2415234</v>
      </c>
      <c r="M8" s="272">
        <v>899179</v>
      </c>
      <c r="N8" s="272">
        <v>568902</v>
      </c>
      <c r="O8" s="272">
        <v>1645885</v>
      </c>
      <c r="P8" s="272">
        <v>1111222</v>
      </c>
      <c r="Q8" s="272">
        <v>534663</v>
      </c>
      <c r="R8" s="272">
        <v>272682</v>
      </c>
      <c r="S8" s="272"/>
      <c r="T8" s="455">
        <f t="shared" si="2"/>
        <v>2039836</v>
      </c>
      <c r="U8" s="272">
        <v>800531</v>
      </c>
      <c r="V8" s="272"/>
      <c r="W8" s="272"/>
      <c r="X8" s="272">
        <v>928174</v>
      </c>
      <c r="Y8" s="272">
        <v>111368</v>
      </c>
      <c r="Z8" s="272">
        <v>0</v>
      </c>
      <c r="AA8" s="272">
        <v>199763</v>
      </c>
      <c r="AB8" s="272">
        <v>743897</v>
      </c>
      <c r="AC8" s="272">
        <v>1519619</v>
      </c>
      <c r="AD8" s="272">
        <v>999470</v>
      </c>
      <c r="AE8" s="272">
        <v>520149</v>
      </c>
      <c r="AF8" s="272">
        <v>18481</v>
      </c>
      <c r="AG8" s="272">
        <v>150873</v>
      </c>
      <c r="AH8" s="455">
        <f t="shared" si="3"/>
        <v>861028</v>
      </c>
      <c r="AI8" s="272">
        <v>697147</v>
      </c>
      <c r="AJ8" s="272">
        <v>163881</v>
      </c>
      <c r="AK8" s="272">
        <v>1905698</v>
      </c>
      <c r="AL8" s="455">
        <f t="shared" si="4"/>
        <v>936995</v>
      </c>
      <c r="AM8" s="272">
        <v>600942</v>
      </c>
      <c r="AN8" s="272">
        <v>309268</v>
      </c>
      <c r="AO8" s="272">
        <v>0</v>
      </c>
      <c r="AP8" s="272">
        <v>26785</v>
      </c>
      <c r="AQ8" s="272">
        <v>212002</v>
      </c>
      <c r="AR8" s="272">
        <v>0</v>
      </c>
      <c r="AS8" s="272">
        <v>0</v>
      </c>
      <c r="AT8" s="272">
        <v>1393045</v>
      </c>
      <c r="AU8" s="272">
        <v>697325</v>
      </c>
      <c r="AV8" s="272">
        <v>195298</v>
      </c>
      <c r="AW8" s="272">
        <v>36759</v>
      </c>
      <c r="AX8" s="272">
        <v>695720</v>
      </c>
      <c r="AY8" s="272">
        <v>37723</v>
      </c>
      <c r="AZ8" s="272">
        <v>424691</v>
      </c>
      <c r="BA8" s="272">
        <v>403569</v>
      </c>
      <c r="BB8" s="272">
        <v>177750</v>
      </c>
      <c r="BC8" s="272">
        <v>42338</v>
      </c>
      <c r="BD8" s="272">
        <v>0</v>
      </c>
      <c r="BE8" s="272">
        <v>0</v>
      </c>
      <c r="BF8" s="272">
        <v>33538</v>
      </c>
      <c r="BG8" s="272">
        <v>0</v>
      </c>
      <c r="BH8" s="272">
        <v>0</v>
      </c>
      <c r="BI8" s="272">
        <v>0</v>
      </c>
      <c r="BJ8" s="272">
        <v>2665524</v>
      </c>
      <c r="BK8" s="272">
        <v>2358173</v>
      </c>
      <c r="BL8" s="272">
        <v>24357</v>
      </c>
      <c r="BM8" s="272">
        <v>51805</v>
      </c>
      <c r="BN8" s="272">
        <v>2438400</v>
      </c>
      <c r="BO8" s="455">
        <f t="shared" si="5"/>
        <v>1731600</v>
      </c>
      <c r="BP8" s="455">
        <f t="shared" si="6"/>
        <v>706800</v>
      </c>
      <c r="BQ8" s="272">
        <v>269700</v>
      </c>
      <c r="BR8" s="272">
        <v>0</v>
      </c>
      <c r="BS8" s="272">
        <v>437100</v>
      </c>
      <c r="BT8" s="272">
        <v>0</v>
      </c>
      <c r="BU8" s="272">
        <v>32430221</v>
      </c>
      <c r="BV8" s="272"/>
      <c r="BW8" s="272">
        <v>10026883</v>
      </c>
      <c r="BX8" s="272">
        <v>7102592</v>
      </c>
      <c r="BY8" s="272">
        <v>977264</v>
      </c>
      <c r="BZ8" s="272">
        <v>290312</v>
      </c>
      <c r="CA8" s="272">
        <v>2797022</v>
      </c>
      <c r="CB8" s="272">
        <v>728468</v>
      </c>
      <c r="CC8" s="272">
        <v>264413</v>
      </c>
      <c r="CD8" s="272">
        <v>957962</v>
      </c>
      <c r="CE8" s="272">
        <v>810859</v>
      </c>
      <c r="CF8" s="272">
        <v>390</v>
      </c>
      <c r="CG8" s="272">
        <v>33730</v>
      </c>
      <c r="CH8" s="272">
        <v>3460347</v>
      </c>
      <c r="CI8" s="272">
        <v>2360808</v>
      </c>
      <c r="CJ8" s="455">
        <f t="shared" si="7"/>
        <v>1099539</v>
      </c>
      <c r="CK8" s="272">
        <v>4869224</v>
      </c>
      <c r="CL8" s="272">
        <v>3142462</v>
      </c>
      <c r="CM8" s="272">
        <v>262763</v>
      </c>
      <c r="CN8" s="272">
        <v>704004</v>
      </c>
      <c r="CO8" s="272">
        <v>241226</v>
      </c>
      <c r="CP8" s="272">
        <v>2372985</v>
      </c>
      <c r="CQ8" s="272">
        <v>0</v>
      </c>
      <c r="CR8" s="272">
        <v>757957</v>
      </c>
      <c r="CS8" s="272">
        <v>605767</v>
      </c>
      <c r="CT8" s="455">
        <f t="shared" si="8"/>
        <v>1079712</v>
      </c>
      <c r="CU8" s="272">
        <v>948398</v>
      </c>
      <c r="CV8" s="272">
        <v>131314</v>
      </c>
      <c r="CW8" s="455">
        <f t="shared" si="9"/>
        <v>1044605</v>
      </c>
      <c r="CX8" s="272">
        <v>945066</v>
      </c>
      <c r="CY8" s="272">
        <v>99539</v>
      </c>
      <c r="CZ8" s="455">
        <f t="shared" si="10"/>
        <v>0</v>
      </c>
      <c r="DA8" s="272">
        <v>0</v>
      </c>
      <c r="DB8" s="272">
        <v>0</v>
      </c>
      <c r="DC8" s="272">
        <v>2740048</v>
      </c>
      <c r="DD8" s="272">
        <v>580546</v>
      </c>
      <c r="DE8" s="272">
        <v>2135145</v>
      </c>
      <c r="DF8" s="272">
        <v>0</v>
      </c>
      <c r="DG8" s="272">
        <v>24357</v>
      </c>
      <c r="DH8" s="272">
        <v>0</v>
      </c>
      <c r="DI8" s="272">
        <v>243159</v>
      </c>
      <c r="DJ8" s="272">
        <v>1553</v>
      </c>
      <c r="DK8" s="272">
        <v>0</v>
      </c>
      <c r="DL8" s="272">
        <v>241606</v>
      </c>
      <c r="DM8" s="272">
        <v>201551</v>
      </c>
      <c r="DN8" s="272">
        <v>201551</v>
      </c>
      <c r="DO8" s="272">
        <v>61017</v>
      </c>
      <c r="DP8" s="272">
        <v>140534</v>
      </c>
      <c r="DQ8" s="272">
        <v>2350700</v>
      </c>
      <c r="DR8" s="272">
        <v>0</v>
      </c>
      <c r="DS8" s="272">
        <v>0</v>
      </c>
      <c r="DT8" s="272">
        <v>2890242</v>
      </c>
      <c r="DU8" s="272">
        <v>1186294</v>
      </c>
      <c r="DV8" s="455">
        <f t="shared" si="11"/>
        <v>0</v>
      </c>
      <c r="DW8" s="272">
        <v>0</v>
      </c>
      <c r="DX8" s="272">
        <v>0</v>
      </c>
      <c r="DY8" s="272">
        <v>7484</v>
      </c>
      <c r="DZ8" s="272">
        <v>773233</v>
      </c>
      <c r="EA8" s="272">
        <v>406993</v>
      </c>
      <c r="EB8" s="272">
        <v>516238</v>
      </c>
      <c r="EC8" s="272">
        <v>24842</v>
      </c>
      <c r="ED8" s="272">
        <v>32218229</v>
      </c>
      <c r="EF8" s="272">
        <v>211992</v>
      </c>
      <c r="EG8" s="272">
        <v>11651</v>
      </c>
      <c r="EH8" s="272">
        <v>200341</v>
      </c>
      <c r="EI8" s="272">
        <v>229062</v>
      </c>
      <c r="EJ8" s="272">
        <v>230615</v>
      </c>
      <c r="EL8" s="272"/>
      <c r="EM8" s="272">
        <v>99779</v>
      </c>
      <c r="EN8" s="272">
        <v>3152</v>
      </c>
      <c r="EO8" s="272">
        <v>417927</v>
      </c>
      <c r="EP8" s="455">
        <f t="shared" si="12"/>
        <v>220869</v>
      </c>
      <c r="EQ8" s="272">
        <v>22370874</v>
      </c>
      <c r="ER8" s="272">
        <v>-1330267</v>
      </c>
      <c r="ES8" s="272">
        <v>9163638</v>
      </c>
      <c r="ET8" s="272">
        <v>6325083</v>
      </c>
      <c r="EU8" s="272">
        <v>1113078</v>
      </c>
      <c r="EV8" s="272">
        <v>3440798</v>
      </c>
      <c r="EW8" s="455">
        <f t="shared" si="13"/>
        <v>662887</v>
      </c>
      <c r="EX8" s="272">
        <v>662887</v>
      </c>
      <c r="EY8" s="272">
        <v>40562</v>
      </c>
      <c r="EZ8" s="272">
        <v>622325</v>
      </c>
      <c r="FA8" s="272">
        <v>0</v>
      </c>
      <c r="FB8" s="272"/>
      <c r="FC8" s="272">
        <v>3793399</v>
      </c>
      <c r="FD8" s="272">
        <v>2136886</v>
      </c>
      <c r="FE8" s="272">
        <v>0</v>
      </c>
      <c r="FF8" s="272">
        <v>2682693</v>
      </c>
      <c r="FG8" s="455">
        <f t="shared" si="14"/>
        <v>495770</v>
      </c>
      <c r="FH8" s="272">
        <v>23489149</v>
      </c>
      <c r="FI8" s="384">
        <f t="shared" si="15"/>
        <v>1</v>
      </c>
      <c r="FJ8" s="272">
        <v>19920647</v>
      </c>
      <c r="FK8" s="272">
        <v>437109</v>
      </c>
      <c r="FL8" s="272">
        <v>14267210</v>
      </c>
      <c r="FM8" s="272">
        <v>15277996</v>
      </c>
      <c r="FN8" s="460">
        <v>0.90400000000000003</v>
      </c>
      <c r="FO8" s="388">
        <v>101.7</v>
      </c>
      <c r="FP8" s="388">
        <v>42.3</v>
      </c>
      <c r="FQ8" s="388">
        <v>5.3</v>
      </c>
      <c r="FR8" s="388">
        <v>16.399999999999999</v>
      </c>
      <c r="FS8" s="388">
        <v>17</v>
      </c>
      <c r="FT8" s="388">
        <v>9.1999999999999993</v>
      </c>
      <c r="FU8" s="388">
        <v>10.6</v>
      </c>
      <c r="FV8" s="388">
        <v>12.7</v>
      </c>
      <c r="FW8" s="272">
        <v>34354830</v>
      </c>
      <c r="FX8" s="384">
        <f t="shared" si="16"/>
        <v>172.5</v>
      </c>
      <c r="FY8" s="272">
        <v>2600192</v>
      </c>
      <c r="FZ8" s="272">
        <v>966562</v>
      </c>
      <c r="GA8" s="272"/>
      <c r="GB8" s="272">
        <v>1633630</v>
      </c>
      <c r="GC8" s="272"/>
      <c r="GD8" s="272">
        <v>6456956</v>
      </c>
      <c r="GE8" s="384">
        <f t="shared" si="17"/>
        <v>32.4</v>
      </c>
      <c r="GF8" s="388">
        <v>98.1</v>
      </c>
      <c r="GG8" s="388">
        <v>19.3</v>
      </c>
      <c r="GH8" s="388">
        <v>91.3</v>
      </c>
      <c r="GI8" s="272">
        <v>957</v>
      </c>
    </row>
    <row r="9" spans="2:191" x14ac:dyDescent="0.15">
      <c r="B9" s="89" t="s">
        <v>11</v>
      </c>
      <c r="C9" s="272">
        <v>65293347</v>
      </c>
      <c r="D9" s="455">
        <f t="shared" si="0"/>
        <v>24314415</v>
      </c>
      <c r="E9" s="272">
        <v>329648</v>
      </c>
      <c r="F9" s="272">
        <v>23984767</v>
      </c>
      <c r="G9" s="455">
        <f t="shared" si="1"/>
        <v>6106758</v>
      </c>
      <c r="H9" s="272">
        <v>1065921</v>
      </c>
      <c r="I9" s="272">
        <v>5040837</v>
      </c>
      <c r="J9" s="272">
        <v>25584256</v>
      </c>
      <c r="K9" s="272">
        <v>11754715</v>
      </c>
      <c r="L9" s="272">
        <v>10038543</v>
      </c>
      <c r="M9" s="272">
        <v>3282870</v>
      </c>
      <c r="N9" s="272">
        <v>1885820</v>
      </c>
      <c r="O9" s="272">
        <v>6088767</v>
      </c>
      <c r="P9" s="272">
        <v>3714429</v>
      </c>
      <c r="Q9" s="272">
        <v>2374338</v>
      </c>
      <c r="R9" s="272">
        <v>661653</v>
      </c>
      <c r="S9" s="272"/>
      <c r="T9" s="455">
        <f t="shared" si="2"/>
        <v>6756127</v>
      </c>
      <c r="U9" s="272">
        <v>2912064</v>
      </c>
      <c r="V9" s="272"/>
      <c r="W9" s="272"/>
      <c r="X9" s="272">
        <v>3185209</v>
      </c>
      <c r="Y9" s="272">
        <v>0</v>
      </c>
      <c r="Z9" s="272">
        <v>548</v>
      </c>
      <c r="AA9" s="272">
        <v>658306</v>
      </c>
      <c r="AB9" s="272">
        <v>2727919</v>
      </c>
      <c r="AC9" s="272">
        <v>244081</v>
      </c>
      <c r="AD9" s="272">
        <v>0</v>
      </c>
      <c r="AE9" s="272">
        <v>244081</v>
      </c>
      <c r="AF9" s="272">
        <v>58158</v>
      </c>
      <c r="AG9" s="272">
        <v>1006577</v>
      </c>
      <c r="AH9" s="455">
        <f t="shared" si="3"/>
        <v>2525112</v>
      </c>
      <c r="AI9" s="272">
        <v>2087492</v>
      </c>
      <c r="AJ9" s="272">
        <v>437620</v>
      </c>
      <c r="AK9" s="272">
        <v>8996330</v>
      </c>
      <c r="AL9" s="455">
        <f t="shared" si="4"/>
        <v>6269981</v>
      </c>
      <c r="AM9" s="272">
        <v>4614230</v>
      </c>
      <c r="AN9" s="272">
        <v>1621529</v>
      </c>
      <c r="AO9" s="272">
        <v>0</v>
      </c>
      <c r="AP9" s="272">
        <v>34222</v>
      </c>
      <c r="AQ9" s="272">
        <v>574769</v>
      </c>
      <c r="AR9" s="272">
        <v>0</v>
      </c>
      <c r="AS9" s="272">
        <v>0</v>
      </c>
      <c r="AT9" s="272">
        <v>4507160</v>
      </c>
      <c r="AU9" s="272">
        <v>2323734</v>
      </c>
      <c r="AV9" s="272">
        <v>683896</v>
      </c>
      <c r="AW9" s="272">
        <v>143651</v>
      </c>
      <c r="AX9" s="272">
        <v>2183426</v>
      </c>
      <c r="AY9" s="272">
        <v>88884</v>
      </c>
      <c r="AZ9" s="272">
        <v>175762</v>
      </c>
      <c r="BA9" s="272">
        <v>141037</v>
      </c>
      <c r="BB9" s="272">
        <v>8949</v>
      </c>
      <c r="BC9" s="272">
        <v>2964065</v>
      </c>
      <c r="BD9" s="272">
        <v>1400000</v>
      </c>
      <c r="BE9" s="272">
        <v>0</v>
      </c>
      <c r="BF9" s="272">
        <v>1499263</v>
      </c>
      <c r="BG9" s="272">
        <v>0</v>
      </c>
      <c r="BH9" s="272">
        <v>467391</v>
      </c>
      <c r="BI9" s="272">
        <v>92339</v>
      </c>
      <c r="BJ9" s="272">
        <v>2102800</v>
      </c>
      <c r="BK9" s="272">
        <v>1226296</v>
      </c>
      <c r="BL9" s="272">
        <v>252278</v>
      </c>
      <c r="BM9" s="272">
        <v>0</v>
      </c>
      <c r="BN9" s="272">
        <v>2726200</v>
      </c>
      <c r="BO9" s="455">
        <f t="shared" si="5"/>
        <v>1786200</v>
      </c>
      <c r="BP9" s="455">
        <f t="shared" si="6"/>
        <v>940000</v>
      </c>
      <c r="BQ9" s="272">
        <v>940000</v>
      </c>
      <c r="BR9" s="272">
        <v>0</v>
      </c>
      <c r="BS9" s="272">
        <v>0</v>
      </c>
      <c r="BT9" s="272">
        <v>0</v>
      </c>
      <c r="BU9" s="272">
        <v>101221631</v>
      </c>
      <c r="BV9" s="272"/>
      <c r="BW9" s="272">
        <v>31273017</v>
      </c>
      <c r="BX9" s="272">
        <v>22377767</v>
      </c>
      <c r="BY9" s="272">
        <v>2627768</v>
      </c>
      <c r="BZ9" s="272">
        <v>1578963</v>
      </c>
      <c r="CA9" s="272">
        <v>15248314</v>
      </c>
      <c r="CB9" s="272">
        <v>2403821</v>
      </c>
      <c r="CC9" s="272">
        <v>1735196</v>
      </c>
      <c r="CD9" s="272">
        <v>4022704</v>
      </c>
      <c r="CE9" s="272">
        <v>6191539</v>
      </c>
      <c r="CF9" s="272">
        <v>486058</v>
      </c>
      <c r="CG9" s="272">
        <v>408996</v>
      </c>
      <c r="CH9" s="272">
        <v>8347232</v>
      </c>
      <c r="CI9" s="272">
        <v>5742918</v>
      </c>
      <c r="CJ9" s="455">
        <f t="shared" si="7"/>
        <v>2604314</v>
      </c>
      <c r="CK9" s="272">
        <v>14512647</v>
      </c>
      <c r="CL9" s="272">
        <v>8869445</v>
      </c>
      <c r="CM9" s="272">
        <v>516060</v>
      </c>
      <c r="CN9" s="272">
        <v>3048985</v>
      </c>
      <c r="CO9" s="272">
        <v>3265951</v>
      </c>
      <c r="CP9" s="272">
        <v>4588451</v>
      </c>
      <c r="CQ9" s="272">
        <v>1193</v>
      </c>
      <c r="CR9" s="272">
        <v>2265776</v>
      </c>
      <c r="CS9" s="272">
        <v>1884907</v>
      </c>
      <c r="CT9" s="455">
        <f t="shared" si="8"/>
        <v>1189701</v>
      </c>
      <c r="CU9" s="272">
        <v>830813</v>
      </c>
      <c r="CV9" s="272">
        <v>358888</v>
      </c>
      <c r="CW9" s="455">
        <f t="shared" si="9"/>
        <v>1154830</v>
      </c>
      <c r="CX9" s="272">
        <v>795942</v>
      </c>
      <c r="CY9" s="272">
        <v>358888</v>
      </c>
      <c r="CZ9" s="455">
        <f t="shared" si="10"/>
        <v>0</v>
      </c>
      <c r="DA9" s="272">
        <v>0</v>
      </c>
      <c r="DB9" s="272">
        <v>0</v>
      </c>
      <c r="DC9" s="272">
        <v>7284949</v>
      </c>
      <c r="DD9" s="272">
        <v>1855605</v>
      </c>
      <c r="DE9" s="272">
        <v>5182464</v>
      </c>
      <c r="DF9" s="272">
        <v>2213</v>
      </c>
      <c r="DG9" s="272">
        <v>244667</v>
      </c>
      <c r="DH9" s="272">
        <v>0</v>
      </c>
      <c r="DI9" s="272">
        <v>3934970</v>
      </c>
      <c r="DJ9" s="272">
        <v>2918084</v>
      </c>
      <c r="DK9" s="272">
        <v>0</v>
      </c>
      <c r="DL9" s="272">
        <v>1016886</v>
      </c>
      <c r="DM9" s="272">
        <v>226970</v>
      </c>
      <c r="DN9" s="272">
        <v>207170</v>
      </c>
      <c r="DO9" s="272">
        <v>5000</v>
      </c>
      <c r="DP9" s="272">
        <v>202170</v>
      </c>
      <c r="DQ9" s="272">
        <v>1248282</v>
      </c>
      <c r="DR9" s="272">
        <v>0</v>
      </c>
      <c r="DS9" s="272">
        <v>0</v>
      </c>
      <c r="DT9" s="272">
        <v>10786322</v>
      </c>
      <c r="DU9" s="272">
        <v>4747293</v>
      </c>
      <c r="DV9" s="455">
        <f t="shared" si="11"/>
        <v>0</v>
      </c>
      <c r="DW9" s="272">
        <v>0</v>
      </c>
      <c r="DX9" s="272">
        <v>0</v>
      </c>
      <c r="DY9" s="272">
        <v>76857</v>
      </c>
      <c r="DZ9" s="272">
        <v>3115474</v>
      </c>
      <c r="EA9" s="272">
        <v>1313073</v>
      </c>
      <c r="EB9" s="272">
        <v>1266044</v>
      </c>
      <c r="EC9" s="272">
        <v>0</v>
      </c>
      <c r="ED9" s="272">
        <v>100717105</v>
      </c>
      <c r="EF9" s="272">
        <v>504526</v>
      </c>
      <c r="EG9" s="272">
        <v>420483</v>
      </c>
      <c r="EH9" s="272">
        <v>84043</v>
      </c>
      <c r="EI9" s="272">
        <v>-8296</v>
      </c>
      <c r="EJ9" s="272">
        <v>1552286</v>
      </c>
      <c r="EL9" s="272"/>
      <c r="EM9" s="272">
        <v>342112</v>
      </c>
      <c r="EN9" s="272">
        <v>1672002</v>
      </c>
      <c r="EO9" s="272">
        <v>156471</v>
      </c>
      <c r="EP9" s="455">
        <f t="shared" si="12"/>
        <v>1026285</v>
      </c>
      <c r="EQ9" s="272">
        <v>75741285</v>
      </c>
      <c r="ER9" s="272">
        <v>-3736600</v>
      </c>
      <c r="ES9" s="272">
        <v>28704202</v>
      </c>
      <c r="ET9" s="272">
        <v>19982861</v>
      </c>
      <c r="EU9" s="272">
        <v>5993206</v>
      </c>
      <c r="EV9" s="272">
        <v>8151469</v>
      </c>
      <c r="EW9" s="455">
        <f t="shared" si="13"/>
        <v>2994355</v>
      </c>
      <c r="EX9" s="272">
        <v>2994355</v>
      </c>
      <c r="EY9" s="272">
        <v>458769</v>
      </c>
      <c r="EZ9" s="272">
        <v>2533373</v>
      </c>
      <c r="FA9" s="272">
        <v>0</v>
      </c>
      <c r="FB9" s="272"/>
      <c r="FC9" s="272">
        <v>12087191</v>
      </c>
      <c r="FD9" s="272">
        <v>3925345</v>
      </c>
      <c r="FE9" s="272">
        <v>1193</v>
      </c>
      <c r="FF9" s="272">
        <v>9895832</v>
      </c>
      <c r="FG9" s="455">
        <f t="shared" si="14"/>
        <v>7221759</v>
      </c>
      <c r="FH9" s="272">
        <v>78973359</v>
      </c>
      <c r="FI9" s="384">
        <f t="shared" si="15"/>
        <v>0.1</v>
      </c>
      <c r="FJ9" s="272">
        <v>68548834</v>
      </c>
      <c r="FK9" s="272">
        <v>1420016</v>
      </c>
      <c r="FL9" s="272">
        <v>51590144</v>
      </c>
      <c r="FM9" s="272">
        <v>48542764</v>
      </c>
      <c r="FN9" s="460">
        <v>1.071</v>
      </c>
      <c r="FO9" s="388">
        <v>95.6</v>
      </c>
      <c r="FP9" s="388">
        <v>39.200000000000003</v>
      </c>
      <c r="FQ9" s="388">
        <v>8.5</v>
      </c>
      <c r="FR9" s="388">
        <v>11.5</v>
      </c>
      <c r="FS9" s="388">
        <v>16.5</v>
      </c>
      <c r="FT9" s="388">
        <v>4.7</v>
      </c>
      <c r="FU9" s="388">
        <v>10.8</v>
      </c>
      <c r="FV9" s="388">
        <v>7.7</v>
      </c>
      <c r="FW9" s="272">
        <v>65622476</v>
      </c>
      <c r="FX9" s="384">
        <f t="shared" si="16"/>
        <v>95.7</v>
      </c>
      <c r="FY9" s="272">
        <v>37212521</v>
      </c>
      <c r="FZ9" s="272">
        <v>14031745</v>
      </c>
      <c r="GA9" s="272"/>
      <c r="GB9" s="272">
        <v>23180776</v>
      </c>
      <c r="GC9" s="272"/>
      <c r="GD9" s="272">
        <v>16024612</v>
      </c>
      <c r="GE9" s="384">
        <f t="shared" si="17"/>
        <v>23.4</v>
      </c>
      <c r="GF9" s="388">
        <v>98.5</v>
      </c>
      <c r="GG9" s="388">
        <v>16.100000000000001</v>
      </c>
      <c r="GH9" s="388">
        <v>92.8</v>
      </c>
      <c r="GI9" s="272">
        <v>2780</v>
      </c>
    </row>
    <row r="10" spans="2:191" x14ac:dyDescent="0.15">
      <c r="B10" s="89" t="s">
        <v>13</v>
      </c>
      <c r="C10" s="272">
        <v>11847389</v>
      </c>
      <c r="D10" s="455">
        <f t="shared" si="0"/>
        <v>3120107</v>
      </c>
      <c r="E10" s="272">
        <v>65564</v>
      </c>
      <c r="F10" s="272">
        <v>3054543</v>
      </c>
      <c r="G10" s="455">
        <f t="shared" si="1"/>
        <v>771695</v>
      </c>
      <c r="H10" s="272">
        <v>203080</v>
      </c>
      <c r="I10" s="272">
        <v>568615</v>
      </c>
      <c r="J10" s="272">
        <v>6027989</v>
      </c>
      <c r="K10" s="272">
        <v>2930115</v>
      </c>
      <c r="L10" s="272">
        <v>1974082</v>
      </c>
      <c r="M10" s="272">
        <v>686214</v>
      </c>
      <c r="N10" s="272">
        <v>584715</v>
      </c>
      <c r="O10" s="272">
        <v>1288052</v>
      </c>
      <c r="P10" s="272">
        <v>820207</v>
      </c>
      <c r="Q10" s="272">
        <v>467845</v>
      </c>
      <c r="R10" s="272">
        <v>254278</v>
      </c>
      <c r="S10" s="272"/>
      <c r="T10" s="455">
        <f t="shared" si="2"/>
        <v>1270550</v>
      </c>
      <c r="U10" s="272">
        <v>410589</v>
      </c>
      <c r="V10" s="272"/>
      <c r="W10" s="272"/>
      <c r="X10" s="272">
        <v>704277</v>
      </c>
      <c r="Y10" s="272">
        <v>0</v>
      </c>
      <c r="Z10" s="272">
        <v>0</v>
      </c>
      <c r="AA10" s="272">
        <v>155684</v>
      </c>
      <c r="AB10" s="272">
        <v>329672</v>
      </c>
      <c r="AC10" s="272">
        <v>3521191</v>
      </c>
      <c r="AD10" s="272">
        <v>3106086</v>
      </c>
      <c r="AE10" s="272">
        <v>415105</v>
      </c>
      <c r="AF10" s="272">
        <v>15558</v>
      </c>
      <c r="AG10" s="272">
        <v>131268</v>
      </c>
      <c r="AH10" s="455">
        <f t="shared" si="3"/>
        <v>401984</v>
      </c>
      <c r="AI10" s="272">
        <v>350894</v>
      </c>
      <c r="AJ10" s="272">
        <v>51090</v>
      </c>
      <c r="AK10" s="272">
        <v>2397566</v>
      </c>
      <c r="AL10" s="455">
        <f t="shared" si="4"/>
        <v>1513194</v>
      </c>
      <c r="AM10" s="272">
        <v>1208501</v>
      </c>
      <c r="AN10" s="272">
        <v>301172</v>
      </c>
      <c r="AO10" s="272">
        <v>0</v>
      </c>
      <c r="AP10" s="272">
        <v>3521</v>
      </c>
      <c r="AQ10" s="272">
        <v>77088</v>
      </c>
      <c r="AR10" s="272">
        <v>0</v>
      </c>
      <c r="AS10" s="272">
        <v>0</v>
      </c>
      <c r="AT10" s="272">
        <v>1895478</v>
      </c>
      <c r="AU10" s="272">
        <v>952800</v>
      </c>
      <c r="AV10" s="272">
        <v>139074</v>
      </c>
      <c r="AW10" s="272">
        <v>17500</v>
      </c>
      <c r="AX10" s="272">
        <v>942678</v>
      </c>
      <c r="AY10" s="272">
        <v>440690</v>
      </c>
      <c r="AZ10" s="272">
        <v>235928</v>
      </c>
      <c r="BA10" s="272">
        <v>221684</v>
      </c>
      <c r="BB10" s="272">
        <v>7496</v>
      </c>
      <c r="BC10" s="272">
        <v>151514</v>
      </c>
      <c r="BD10" s="272">
        <v>15394</v>
      </c>
      <c r="BE10" s="272">
        <v>13533</v>
      </c>
      <c r="BF10" s="272">
        <v>78119</v>
      </c>
      <c r="BG10" s="272">
        <v>0</v>
      </c>
      <c r="BH10" s="272">
        <v>0</v>
      </c>
      <c r="BI10" s="272">
        <v>0</v>
      </c>
      <c r="BJ10" s="272">
        <v>999072</v>
      </c>
      <c r="BK10" s="272">
        <v>758452</v>
      </c>
      <c r="BL10" s="272">
        <v>0</v>
      </c>
      <c r="BM10" s="272">
        <v>18990</v>
      </c>
      <c r="BN10" s="272">
        <v>2359100</v>
      </c>
      <c r="BO10" s="455">
        <f t="shared" si="5"/>
        <v>1889200</v>
      </c>
      <c r="BP10" s="455">
        <f t="shared" si="6"/>
        <v>469900</v>
      </c>
      <c r="BQ10" s="272">
        <v>130100</v>
      </c>
      <c r="BR10" s="272">
        <v>0</v>
      </c>
      <c r="BS10" s="272">
        <v>339800</v>
      </c>
      <c r="BT10" s="272">
        <v>0</v>
      </c>
      <c r="BU10" s="272">
        <v>25818044</v>
      </c>
      <c r="BV10" s="272"/>
      <c r="BW10" s="272">
        <v>6889108</v>
      </c>
      <c r="BX10" s="272">
        <v>4474769</v>
      </c>
      <c r="BY10" s="272">
        <v>1022090</v>
      </c>
      <c r="BZ10" s="272">
        <v>268302</v>
      </c>
      <c r="CA10" s="272">
        <v>3739526</v>
      </c>
      <c r="CB10" s="272">
        <v>582437</v>
      </c>
      <c r="CC10" s="272">
        <v>366759</v>
      </c>
      <c r="CD10" s="272">
        <v>1107518</v>
      </c>
      <c r="CE10" s="272">
        <v>1637481</v>
      </c>
      <c r="CF10" s="272">
        <v>0</v>
      </c>
      <c r="CG10" s="272">
        <v>45321</v>
      </c>
      <c r="CH10" s="272">
        <v>2729203</v>
      </c>
      <c r="CI10" s="272">
        <v>1774035</v>
      </c>
      <c r="CJ10" s="455">
        <f t="shared" si="7"/>
        <v>955168</v>
      </c>
      <c r="CK10" s="272">
        <v>2335275</v>
      </c>
      <c r="CL10" s="272">
        <v>1243904</v>
      </c>
      <c r="CM10" s="272">
        <v>178857</v>
      </c>
      <c r="CN10" s="272">
        <v>399625</v>
      </c>
      <c r="CO10" s="272">
        <v>114826</v>
      </c>
      <c r="CP10" s="272">
        <v>2638337</v>
      </c>
      <c r="CQ10" s="272">
        <v>1176420</v>
      </c>
      <c r="CR10" s="272">
        <v>429773</v>
      </c>
      <c r="CS10" s="272">
        <v>426769</v>
      </c>
      <c r="CT10" s="455">
        <f t="shared" si="8"/>
        <v>750001</v>
      </c>
      <c r="CU10" s="272">
        <v>747455</v>
      </c>
      <c r="CV10" s="272">
        <v>2546</v>
      </c>
      <c r="CW10" s="455">
        <f t="shared" si="9"/>
        <v>742160</v>
      </c>
      <c r="CX10" s="272">
        <v>742160</v>
      </c>
      <c r="CY10" s="272">
        <v>0</v>
      </c>
      <c r="CZ10" s="455">
        <f t="shared" si="10"/>
        <v>0</v>
      </c>
      <c r="DA10" s="272">
        <v>0</v>
      </c>
      <c r="DB10" s="272">
        <v>0</v>
      </c>
      <c r="DC10" s="272">
        <v>3684180</v>
      </c>
      <c r="DD10" s="272">
        <v>211781</v>
      </c>
      <c r="DE10" s="272">
        <v>2176159</v>
      </c>
      <c r="DF10" s="272">
        <v>418000</v>
      </c>
      <c r="DG10" s="272">
        <v>878240</v>
      </c>
      <c r="DH10" s="272">
        <v>0</v>
      </c>
      <c r="DI10" s="272">
        <v>20772</v>
      </c>
      <c r="DJ10" s="272">
        <v>136</v>
      </c>
      <c r="DK10" s="272">
        <v>120</v>
      </c>
      <c r="DL10" s="272">
        <v>20516</v>
      </c>
      <c r="DM10" s="272">
        <v>0</v>
      </c>
      <c r="DN10" s="272">
        <v>0</v>
      </c>
      <c r="DO10" s="272">
        <v>0</v>
      </c>
      <c r="DP10" s="272">
        <v>0</v>
      </c>
      <c r="DQ10" s="272">
        <v>868305</v>
      </c>
      <c r="DR10" s="272">
        <v>0</v>
      </c>
      <c r="DS10" s="272">
        <v>0</v>
      </c>
      <c r="DT10" s="272">
        <v>3169751</v>
      </c>
      <c r="DU10" s="272">
        <v>1843191</v>
      </c>
      <c r="DV10" s="455">
        <f t="shared" si="11"/>
        <v>0</v>
      </c>
      <c r="DW10" s="272">
        <v>0</v>
      </c>
      <c r="DX10" s="272">
        <v>0</v>
      </c>
      <c r="DY10" s="272">
        <v>29543</v>
      </c>
      <c r="DZ10" s="272">
        <v>491463</v>
      </c>
      <c r="EA10" s="272">
        <v>337140</v>
      </c>
      <c r="EB10" s="272">
        <v>392495</v>
      </c>
      <c r="EC10" s="272">
        <v>2168247</v>
      </c>
      <c r="ED10" s="272">
        <v>28357530</v>
      </c>
      <c r="EF10" s="272">
        <v>-2539486</v>
      </c>
      <c r="EG10" s="272">
        <v>29</v>
      </c>
      <c r="EH10" s="272">
        <v>-2539515</v>
      </c>
      <c r="EI10" s="272">
        <v>-370067</v>
      </c>
      <c r="EJ10" s="272">
        <v>-385325</v>
      </c>
      <c r="EL10" s="272"/>
      <c r="EM10" s="272">
        <v>75905</v>
      </c>
      <c r="EN10" s="272">
        <v>84063</v>
      </c>
      <c r="EO10" s="272">
        <v>44125</v>
      </c>
      <c r="EP10" s="455">
        <f t="shared" si="12"/>
        <v>421054</v>
      </c>
      <c r="EQ10" s="272">
        <v>17238638</v>
      </c>
      <c r="ER10" s="272">
        <v>-1003584</v>
      </c>
      <c r="ES10" s="272">
        <v>6177042</v>
      </c>
      <c r="ET10" s="272">
        <v>3803354</v>
      </c>
      <c r="EU10" s="272">
        <v>1377947</v>
      </c>
      <c r="EV10" s="272">
        <v>2729203</v>
      </c>
      <c r="EW10" s="455">
        <f t="shared" si="13"/>
        <v>654112</v>
      </c>
      <c r="EX10" s="272">
        <v>654112</v>
      </c>
      <c r="EY10" s="272">
        <v>3129</v>
      </c>
      <c r="EZ10" s="272">
        <v>628583</v>
      </c>
      <c r="FA10" s="272">
        <v>0</v>
      </c>
      <c r="FB10" s="272"/>
      <c r="FC10" s="272">
        <v>2079757</v>
      </c>
      <c r="FD10" s="272">
        <v>2503601</v>
      </c>
      <c r="FE10" s="272">
        <v>1176420</v>
      </c>
      <c r="FF10" s="272">
        <v>2979045</v>
      </c>
      <c r="FG10" s="455">
        <f t="shared" si="14"/>
        <v>2281001</v>
      </c>
      <c r="FH10" s="272">
        <v>20781708</v>
      </c>
      <c r="FI10" s="384">
        <f t="shared" si="15"/>
        <v>-16.2</v>
      </c>
      <c r="FJ10" s="272">
        <v>15691776</v>
      </c>
      <c r="FK10" s="272">
        <v>339849</v>
      </c>
      <c r="FL10" s="272">
        <v>9508043</v>
      </c>
      <c r="FM10" s="272">
        <v>12600196</v>
      </c>
      <c r="FN10" s="460">
        <v>0.75</v>
      </c>
      <c r="FO10" s="388">
        <v>99.7</v>
      </c>
      <c r="FP10" s="388">
        <v>35.200000000000003</v>
      </c>
      <c r="FQ10" s="388">
        <v>8.6</v>
      </c>
      <c r="FR10" s="388">
        <v>17</v>
      </c>
      <c r="FS10" s="388">
        <v>9.3000000000000007</v>
      </c>
      <c r="FT10" s="388">
        <v>12.8</v>
      </c>
      <c r="FU10" s="388">
        <v>16.3</v>
      </c>
      <c r="FV10" s="388">
        <v>12.8</v>
      </c>
      <c r="FW10" s="272">
        <v>28848773</v>
      </c>
      <c r="FX10" s="384">
        <f t="shared" si="16"/>
        <v>183.8</v>
      </c>
      <c r="FY10" s="272">
        <v>839961</v>
      </c>
      <c r="FZ10" s="272">
        <v>0</v>
      </c>
      <c r="GA10" s="272">
        <v>0</v>
      </c>
      <c r="GB10" s="272">
        <v>839961</v>
      </c>
      <c r="GC10" s="272"/>
      <c r="GD10" s="272">
        <v>9208454</v>
      </c>
      <c r="GE10" s="384">
        <f t="shared" si="17"/>
        <v>58.7</v>
      </c>
      <c r="GF10" s="388">
        <v>98</v>
      </c>
      <c r="GG10" s="388">
        <v>16.8</v>
      </c>
      <c r="GH10" s="388">
        <v>90.6</v>
      </c>
      <c r="GI10" s="272">
        <v>602</v>
      </c>
    </row>
    <row r="11" spans="2:191" x14ac:dyDescent="0.15">
      <c r="B11" s="89" t="s">
        <v>15</v>
      </c>
      <c r="C11" s="272">
        <v>52302339</v>
      </c>
      <c r="D11" s="455">
        <f t="shared" si="0"/>
        <v>19083348</v>
      </c>
      <c r="E11" s="272">
        <v>341129</v>
      </c>
      <c r="F11" s="272">
        <v>18742219</v>
      </c>
      <c r="G11" s="455">
        <f t="shared" si="1"/>
        <v>3342902</v>
      </c>
      <c r="H11" s="272">
        <v>719197</v>
      </c>
      <c r="I11" s="272">
        <v>2623705</v>
      </c>
      <c r="J11" s="272">
        <v>21988924</v>
      </c>
      <c r="K11" s="272">
        <v>11089221</v>
      </c>
      <c r="L11" s="272">
        <v>7727287</v>
      </c>
      <c r="M11" s="272">
        <v>2927522</v>
      </c>
      <c r="N11" s="272">
        <v>1694001</v>
      </c>
      <c r="O11" s="272">
        <v>4779906</v>
      </c>
      <c r="P11" s="272">
        <v>3138231</v>
      </c>
      <c r="Q11" s="272">
        <v>1641675</v>
      </c>
      <c r="R11" s="272">
        <v>733457</v>
      </c>
      <c r="S11" s="272"/>
      <c r="T11" s="455">
        <f t="shared" si="2"/>
        <v>6341532</v>
      </c>
      <c r="U11" s="272">
        <v>2463725</v>
      </c>
      <c r="V11" s="272"/>
      <c r="W11" s="272"/>
      <c r="X11" s="272">
        <v>3055171</v>
      </c>
      <c r="Y11" s="272">
        <v>91830</v>
      </c>
      <c r="Z11" s="272">
        <v>723</v>
      </c>
      <c r="AA11" s="272">
        <v>730083</v>
      </c>
      <c r="AB11" s="272">
        <v>2004172</v>
      </c>
      <c r="AC11" s="272">
        <v>9022888</v>
      </c>
      <c r="AD11" s="272">
        <v>8581720</v>
      </c>
      <c r="AE11" s="272">
        <v>441168</v>
      </c>
      <c r="AF11" s="272">
        <v>68463</v>
      </c>
      <c r="AG11" s="272">
        <v>760692</v>
      </c>
      <c r="AH11" s="455">
        <f t="shared" si="3"/>
        <v>2472834</v>
      </c>
      <c r="AI11" s="272">
        <v>1516138</v>
      </c>
      <c r="AJ11" s="272">
        <v>956696</v>
      </c>
      <c r="AK11" s="272">
        <v>10382931</v>
      </c>
      <c r="AL11" s="455">
        <f t="shared" si="4"/>
        <v>4895273</v>
      </c>
      <c r="AM11" s="272">
        <v>3776557</v>
      </c>
      <c r="AN11" s="272">
        <v>1063236</v>
      </c>
      <c r="AO11" s="272">
        <v>0</v>
      </c>
      <c r="AP11" s="272">
        <v>55480</v>
      </c>
      <c r="AQ11" s="272">
        <v>1496303</v>
      </c>
      <c r="AR11" s="272">
        <v>0</v>
      </c>
      <c r="AS11" s="272">
        <v>0</v>
      </c>
      <c r="AT11" s="272">
        <v>4408403</v>
      </c>
      <c r="AU11" s="272">
        <v>2344121</v>
      </c>
      <c r="AV11" s="272">
        <v>472161</v>
      </c>
      <c r="AW11" s="272">
        <v>560806</v>
      </c>
      <c r="AX11" s="272">
        <v>2064282</v>
      </c>
      <c r="AY11" s="272">
        <v>65927</v>
      </c>
      <c r="AZ11" s="272">
        <v>525412</v>
      </c>
      <c r="BA11" s="272">
        <v>498861</v>
      </c>
      <c r="BB11" s="272">
        <v>389018</v>
      </c>
      <c r="BC11" s="272">
        <v>1147627</v>
      </c>
      <c r="BD11" s="272">
        <v>0</v>
      </c>
      <c r="BE11" s="272">
        <v>0</v>
      </c>
      <c r="BF11" s="272">
        <v>972693</v>
      </c>
      <c r="BG11" s="272">
        <v>0</v>
      </c>
      <c r="BH11" s="272">
        <v>467469</v>
      </c>
      <c r="BI11" s="272">
        <v>234350</v>
      </c>
      <c r="BJ11" s="272">
        <v>3077618</v>
      </c>
      <c r="BK11" s="272">
        <v>2640707</v>
      </c>
      <c r="BL11" s="272">
        <v>0</v>
      </c>
      <c r="BM11" s="272">
        <v>0</v>
      </c>
      <c r="BN11" s="272">
        <v>4672000</v>
      </c>
      <c r="BO11" s="455">
        <f t="shared" si="5"/>
        <v>3143000</v>
      </c>
      <c r="BP11" s="455">
        <f t="shared" si="6"/>
        <v>1529000</v>
      </c>
      <c r="BQ11" s="272">
        <v>83300</v>
      </c>
      <c r="BR11" s="272">
        <v>0</v>
      </c>
      <c r="BS11" s="272">
        <v>1445700</v>
      </c>
      <c r="BT11" s="272">
        <v>0</v>
      </c>
      <c r="BU11" s="272">
        <v>98776855</v>
      </c>
      <c r="BV11" s="272"/>
      <c r="BW11" s="272">
        <v>25942755</v>
      </c>
      <c r="BX11" s="272">
        <v>17885429</v>
      </c>
      <c r="BY11" s="272">
        <v>3072170</v>
      </c>
      <c r="BZ11" s="272">
        <v>1163048</v>
      </c>
      <c r="CA11" s="272">
        <v>12173578</v>
      </c>
      <c r="CB11" s="272">
        <v>2086946</v>
      </c>
      <c r="CC11" s="272">
        <v>1083681</v>
      </c>
      <c r="CD11" s="272">
        <v>3727781</v>
      </c>
      <c r="CE11" s="272">
        <v>4996434</v>
      </c>
      <c r="CF11" s="272">
        <v>7990</v>
      </c>
      <c r="CG11" s="272">
        <v>269666</v>
      </c>
      <c r="CH11" s="272">
        <v>10099512</v>
      </c>
      <c r="CI11" s="272">
        <v>7598627</v>
      </c>
      <c r="CJ11" s="455">
        <f t="shared" si="7"/>
        <v>2500885</v>
      </c>
      <c r="CK11" s="272">
        <v>13113141</v>
      </c>
      <c r="CL11" s="272">
        <v>7811996</v>
      </c>
      <c r="CM11" s="272">
        <v>431238</v>
      </c>
      <c r="CN11" s="272">
        <v>3165890</v>
      </c>
      <c r="CO11" s="272">
        <v>1728665</v>
      </c>
      <c r="CP11" s="272">
        <v>4385518</v>
      </c>
      <c r="CQ11" s="272">
        <v>20714</v>
      </c>
      <c r="CR11" s="272">
        <v>2097542</v>
      </c>
      <c r="CS11" s="272">
        <v>1874383</v>
      </c>
      <c r="CT11" s="455">
        <f t="shared" si="8"/>
        <v>1068496</v>
      </c>
      <c r="CU11" s="272">
        <v>64564</v>
      </c>
      <c r="CV11" s="272">
        <v>1003932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14668303</v>
      </c>
      <c r="DD11" s="272">
        <v>4003057</v>
      </c>
      <c r="DE11" s="272">
        <v>10622487</v>
      </c>
      <c r="DF11" s="272">
        <v>42759</v>
      </c>
      <c r="DG11" s="272">
        <v>0</v>
      </c>
      <c r="DH11" s="272">
        <v>0</v>
      </c>
      <c r="DI11" s="272">
        <v>3217938</v>
      </c>
      <c r="DJ11" s="272">
        <v>1160597</v>
      </c>
      <c r="DK11" s="272">
        <v>2143</v>
      </c>
      <c r="DL11" s="272">
        <v>2055198</v>
      </c>
      <c r="DM11" s="272">
        <v>0</v>
      </c>
      <c r="DN11" s="272">
        <v>0</v>
      </c>
      <c r="DO11" s="272">
        <v>0</v>
      </c>
      <c r="DP11" s="272">
        <v>0</v>
      </c>
      <c r="DQ11" s="272">
        <v>2636483</v>
      </c>
      <c r="DR11" s="272">
        <v>0</v>
      </c>
      <c r="DS11" s="272">
        <v>0</v>
      </c>
      <c r="DT11" s="272">
        <v>10205790</v>
      </c>
      <c r="DU11" s="272">
        <v>5025000</v>
      </c>
      <c r="DV11" s="455">
        <f t="shared" si="11"/>
        <v>0</v>
      </c>
      <c r="DW11" s="272">
        <v>0</v>
      </c>
      <c r="DX11" s="272">
        <v>0</v>
      </c>
      <c r="DY11" s="272">
        <v>0</v>
      </c>
      <c r="DZ11" s="272">
        <v>2357871</v>
      </c>
      <c r="EA11" s="272">
        <v>1409513</v>
      </c>
      <c r="EB11" s="272">
        <v>1410641</v>
      </c>
      <c r="EC11" s="272">
        <v>0</v>
      </c>
      <c r="ED11" s="272">
        <v>98171683</v>
      </c>
      <c r="EF11" s="272">
        <v>605172</v>
      </c>
      <c r="EG11" s="272">
        <v>130430</v>
      </c>
      <c r="EH11" s="272">
        <v>474742</v>
      </c>
      <c r="EI11" s="272">
        <v>240392</v>
      </c>
      <c r="EJ11" s="272">
        <v>1690741</v>
      </c>
      <c r="EL11" s="272"/>
      <c r="EM11" s="272">
        <v>353362</v>
      </c>
      <c r="EN11" s="272">
        <v>94520</v>
      </c>
      <c r="EO11" s="272">
        <v>508107</v>
      </c>
      <c r="EP11" s="455">
        <f t="shared" si="12"/>
        <v>2458653</v>
      </c>
      <c r="EQ11" s="272">
        <v>70472851</v>
      </c>
      <c r="ER11" s="272">
        <v>-4521817</v>
      </c>
      <c r="ES11" s="272">
        <v>23598712</v>
      </c>
      <c r="ET11" s="272">
        <v>15651075</v>
      </c>
      <c r="EU11" s="272">
        <v>3788378</v>
      </c>
      <c r="EV11" s="272">
        <v>9908366</v>
      </c>
      <c r="EW11" s="455">
        <f t="shared" si="13"/>
        <v>8190730</v>
      </c>
      <c r="EX11" s="272">
        <v>8190730</v>
      </c>
      <c r="EY11" s="272">
        <v>1643016</v>
      </c>
      <c r="EZ11" s="272">
        <v>6520955</v>
      </c>
      <c r="FA11" s="272">
        <v>0</v>
      </c>
      <c r="FB11" s="272"/>
      <c r="FC11" s="272">
        <v>10805270</v>
      </c>
      <c r="FD11" s="272">
        <v>4049924</v>
      </c>
      <c r="FE11" s="272">
        <v>20714</v>
      </c>
      <c r="FF11" s="272">
        <v>9563672</v>
      </c>
      <c r="FG11" s="455">
        <f t="shared" si="14"/>
        <v>4484444</v>
      </c>
      <c r="FH11" s="272">
        <v>74389496</v>
      </c>
      <c r="FI11" s="384">
        <f t="shared" si="15"/>
        <v>0.7</v>
      </c>
      <c r="FJ11" s="272">
        <v>65366359</v>
      </c>
      <c r="FK11" s="272">
        <v>1445703</v>
      </c>
      <c r="FL11" s="272">
        <v>42791942</v>
      </c>
      <c r="FM11" s="272">
        <v>51411742</v>
      </c>
      <c r="FN11" s="460">
        <v>0.83299999999999996</v>
      </c>
      <c r="FO11" s="388">
        <v>87.5</v>
      </c>
      <c r="FP11" s="388">
        <v>34.200000000000003</v>
      </c>
      <c r="FQ11" s="388">
        <v>5.6</v>
      </c>
      <c r="FR11" s="388">
        <v>14</v>
      </c>
      <c r="FS11" s="388">
        <v>15.6</v>
      </c>
      <c r="FT11" s="388">
        <v>5.6</v>
      </c>
      <c r="FU11" s="388">
        <v>10</v>
      </c>
      <c r="FV11" s="388">
        <v>7.9</v>
      </c>
      <c r="FW11" s="272">
        <v>65407046</v>
      </c>
      <c r="FX11" s="384">
        <f t="shared" si="16"/>
        <v>100.1</v>
      </c>
      <c r="FY11" s="272">
        <v>30535966</v>
      </c>
      <c r="FZ11" s="272">
        <v>8777101</v>
      </c>
      <c r="GA11" s="272">
        <v>2456172</v>
      </c>
      <c r="GB11" s="272">
        <v>19302693</v>
      </c>
      <c r="GC11" s="272"/>
      <c r="GD11" s="272">
        <v>3978354</v>
      </c>
      <c r="GE11" s="384">
        <f t="shared" si="17"/>
        <v>6.1</v>
      </c>
      <c r="GF11" s="388">
        <v>98.4</v>
      </c>
      <c r="GG11" s="388">
        <v>23.5</v>
      </c>
      <c r="GH11" s="388">
        <v>94.8</v>
      </c>
      <c r="GI11" s="272">
        <v>2261</v>
      </c>
    </row>
    <row r="12" spans="2:191" x14ac:dyDescent="0.15">
      <c r="B12" s="89" t="s">
        <v>17</v>
      </c>
      <c r="C12" s="272">
        <v>11537761</v>
      </c>
      <c r="D12" s="455">
        <f t="shared" si="0"/>
        <v>3391819</v>
      </c>
      <c r="E12" s="272">
        <v>76351</v>
      </c>
      <c r="F12" s="272">
        <v>3315468</v>
      </c>
      <c r="G12" s="455">
        <f t="shared" si="1"/>
        <v>659376</v>
      </c>
      <c r="H12" s="272">
        <v>177298</v>
      </c>
      <c r="I12" s="272">
        <v>482078</v>
      </c>
      <c r="J12" s="272">
        <v>5435046</v>
      </c>
      <c r="K12" s="272">
        <v>2606058</v>
      </c>
      <c r="L12" s="272">
        <v>1969741</v>
      </c>
      <c r="M12" s="272">
        <v>716670</v>
      </c>
      <c r="N12" s="272">
        <v>786161</v>
      </c>
      <c r="O12" s="272">
        <v>1124302</v>
      </c>
      <c r="P12" s="272">
        <v>698547</v>
      </c>
      <c r="Q12" s="272">
        <v>425755</v>
      </c>
      <c r="R12" s="272">
        <v>190899</v>
      </c>
      <c r="S12" s="272"/>
      <c r="T12" s="455">
        <f t="shared" si="2"/>
        <v>1383901</v>
      </c>
      <c r="U12" s="272">
        <v>439582</v>
      </c>
      <c r="V12" s="272"/>
      <c r="W12" s="272"/>
      <c r="X12" s="272">
        <v>754976</v>
      </c>
      <c r="Y12" s="272">
        <v>0</v>
      </c>
      <c r="Z12" s="272">
        <v>0</v>
      </c>
      <c r="AA12" s="272">
        <v>189343</v>
      </c>
      <c r="AB12" s="272">
        <v>317800</v>
      </c>
      <c r="AC12" s="272">
        <v>5539851</v>
      </c>
      <c r="AD12" s="272">
        <v>5023807</v>
      </c>
      <c r="AE12" s="272">
        <v>516044</v>
      </c>
      <c r="AF12" s="272">
        <v>18423</v>
      </c>
      <c r="AG12" s="272">
        <v>225027</v>
      </c>
      <c r="AH12" s="455">
        <f t="shared" si="3"/>
        <v>540479</v>
      </c>
      <c r="AI12" s="272">
        <v>473077</v>
      </c>
      <c r="AJ12" s="272">
        <v>67402</v>
      </c>
      <c r="AK12" s="272">
        <v>2814312</v>
      </c>
      <c r="AL12" s="455">
        <f t="shared" si="4"/>
        <v>1928585</v>
      </c>
      <c r="AM12" s="272">
        <v>1497450</v>
      </c>
      <c r="AN12" s="272">
        <v>424892</v>
      </c>
      <c r="AO12" s="272">
        <v>0</v>
      </c>
      <c r="AP12" s="272">
        <v>6243</v>
      </c>
      <c r="AQ12" s="272">
        <v>130532</v>
      </c>
      <c r="AR12" s="272">
        <v>0</v>
      </c>
      <c r="AS12" s="272">
        <v>0</v>
      </c>
      <c r="AT12" s="272">
        <v>1538799</v>
      </c>
      <c r="AU12" s="272">
        <v>781917</v>
      </c>
      <c r="AV12" s="272">
        <v>276507</v>
      </c>
      <c r="AW12" s="272">
        <v>34313</v>
      </c>
      <c r="AX12" s="272">
        <v>756882</v>
      </c>
      <c r="AY12" s="272">
        <v>192026</v>
      </c>
      <c r="AZ12" s="272">
        <v>18071</v>
      </c>
      <c r="BA12" s="272">
        <v>701</v>
      </c>
      <c r="BB12" s="272">
        <v>49755</v>
      </c>
      <c r="BC12" s="272">
        <v>110924</v>
      </c>
      <c r="BD12" s="272">
        <v>0</v>
      </c>
      <c r="BE12" s="272">
        <v>0</v>
      </c>
      <c r="BF12" s="272">
        <v>21143</v>
      </c>
      <c r="BG12" s="272">
        <v>0</v>
      </c>
      <c r="BH12" s="272">
        <v>0</v>
      </c>
      <c r="BI12" s="272">
        <v>0</v>
      </c>
      <c r="BJ12" s="272">
        <v>341745</v>
      </c>
      <c r="BK12" s="272">
        <v>19214</v>
      </c>
      <c r="BL12" s="272">
        <v>0</v>
      </c>
      <c r="BM12" s="272">
        <v>19808</v>
      </c>
      <c r="BN12" s="272">
        <v>1271800</v>
      </c>
      <c r="BO12" s="455">
        <f t="shared" si="5"/>
        <v>752500</v>
      </c>
      <c r="BP12" s="455">
        <f t="shared" si="6"/>
        <v>519300</v>
      </c>
      <c r="BQ12" s="272">
        <v>129800</v>
      </c>
      <c r="BR12" s="272">
        <v>0</v>
      </c>
      <c r="BS12" s="272">
        <v>389500</v>
      </c>
      <c r="BT12" s="272">
        <v>0</v>
      </c>
      <c r="BU12" s="272">
        <v>25899547</v>
      </c>
      <c r="BV12" s="272"/>
      <c r="BW12" s="272">
        <v>7440981</v>
      </c>
      <c r="BX12" s="272">
        <v>4947839</v>
      </c>
      <c r="BY12" s="272">
        <v>812416</v>
      </c>
      <c r="BZ12" s="272">
        <v>431020</v>
      </c>
      <c r="CA12" s="272">
        <v>4547021</v>
      </c>
      <c r="CB12" s="272">
        <v>650827</v>
      </c>
      <c r="CC12" s="272">
        <v>317736</v>
      </c>
      <c r="CD12" s="272">
        <v>1557456</v>
      </c>
      <c r="CE12" s="272">
        <v>1959748</v>
      </c>
      <c r="CF12" s="272">
        <v>142</v>
      </c>
      <c r="CG12" s="272">
        <v>61112</v>
      </c>
      <c r="CH12" s="272">
        <v>3447750</v>
      </c>
      <c r="CI12" s="272">
        <v>2511226</v>
      </c>
      <c r="CJ12" s="455">
        <f t="shared" si="7"/>
        <v>936524</v>
      </c>
      <c r="CK12" s="272">
        <v>2672030</v>
      </c>
      <c r="CL12" s="272">
        <v>1324133</v>
      </c>
      <c r="CM12" s="272">
        <v>212758</v>
      </c>
      <c r="CN12" s="272">
        <v>593467</v>
      </c>
      <c r="CO12" s="272">
        <v>89923</v>
      </c>
      <c r="CP12" s="272">
        <v>2945135</v>
      </c>
      <c r="CQ12" s="272">
        <v>694174</v>
      </c>
      <c r="CR12" s="272">
        <v>684841</v>
      </c>
      <c r="CS12" s="272">
        <v>611484</v>
      </c>
      <c r="CT12" s="455">
        <f t="shared" si="8"/>
        <v>1212825</v>
      </c>
      <c r="CU12" s="272">
        <v>1212810</v>
      </c>
      <c r="CV12" s="272">
        <v>15</v>
      </c>
      <c r="CW12" s="455">
        <f t="shared" si="9"/>
        <v>1205302</v>
      </c>
      <c r="CX12" s="272">
        <v>1205287</v>
      </c>
      <c r="CY12" s="272">
        <v>15</v>
      </c>
      <c r="CZ12" s="455">
        <f t="shared" si="10"/>
        <v>0</v>
      </c>
      <c r="DA12" s="272">
        <v>0</v>
      </c>
      <c r="DB12" s="272">
        <v>0</v>
      </c>
      <c r="DC12" s="272">
        <v>1925292</v>
      </c>
      <c r="DD12" s="272">
        <v>375678</v>
      </c>
      <c r="DE12" s="272">
        <v>1363109</v>
      </c>
      <c r="DF12" s="272">
        <v>44533</v>
      </c>
      <c r="DG12" s="272">
        <v>141972</v>
      </c>
      <c r="DH12" s="272">
        <v>12937</v>
      </c>
      <c r="DI12" s="272">
        <v>411158</v>
      </c>
      <c r="DJ12" s="272">
        <v>341069</v>
      </c>
      <c r="DK12" s="272">
        <v>0</v>
      </c>
      <c r="DL12" s="272">
        <v>70089</v>
      </c>
      <c r="DM12" s="272">
        <v>0</v>
      </c>
      <c r="DN12" s="272">
        <v>0</v>
      </c>
      <c r="DO12" s="272">
        <v>0</v>
      </c>
      <c r="DP12" s="272">
        <v>0</v>
      </c>
      <c r="DQ12" s="272">
        <v>26380</v>
      </c>
      <c r="DR12" s="272">
        <v>0</v>
      </c>
      <c r="DS12" s="272">
        <v>0</v>
      </c>
      <c r="DT12" s="272">
        <v>3169225</v>
      </c>
      <c r="DU12" s="272">
        <v>1634820</v>
      </c>
      <c r="DV12" s="455">
        <f t="shared" si="11"/>
        <v>0</v>
      </c>
      <c r="DW12" s="272">
        <v>0</v>
      </c>
      <c r="DX12" s="272">
        <v>0</v>
      </c>
      <c r="DY12" s="272">
        <v>0</v>
      </c>
      <c r="DZ12" s="272">
        <v>625795</v>
      </c>
      <c r="EA12" s="272">
        <v>367491</v>
      </c>
      <c r="EB12" s="272">
        <v>466840</v>
      </c>
      <c r="EC12" s="272">
        <v>685258</v>
      </c>
      <c r="ED12" s="272">
        <v>27373090</v>
      </c>
      <c r="EF12" s="272">
        <v>-1473543</v>
      </c>
      <c r="EG12" s="272">
        <v>45781</v>
      </c>
      <c r="EH12" s="272">
        <v>-1519324</v>
      </c>
      <c r="EI12" s="272">
        <v>-830218</v>
      </c>
      <c r="EJ12" s="272">
        <v>-433861</v>
      </c>
      <c r="EL12" s="272"/>
      <c r="EM12" s="272">
        <v>88326</v>
      </c>
      <c r="EN12" s="272">
        <v>83032</v>
      </c>
      <c r="EO12" s="272">
        <v>584</v>
      </c>
      <c r="EP12" s="455">
        <f t="shared" si="12"/>
        <v>288159</v>
      </c>
      <c r="EQ12" s="272">
        <v>18988635</v>
      </c>
      <c r="ER12" s="272">
        <v>-872652</v>
      </c>
      <c r="ES12" s="272">
        <v>6772814</v>
      </c>
      <c r="ET12" s="272">
        <v>4396292</v>
      </c>
      <c r="EU12" s="272">
        <v>1486915</v>
      </c>
      <c r="EV12" s="272">
        <v>3284143</v>
      </c>
      <c r="EW12" s="455">
        <f t="shared" si="13"/>
        <v>731320</v>
      </c>
      <c r="EX12" s="272">
        <v>722751</v>
      </c>
      <c r="EY12" s="272">
        <v>25396</v>
      </c>
      <c r="EZ12" s="272">
        <v>678373</v>
      </c>
      <c r="FA12" s="272">
        <v>8569</v>
      </c>
      <c r="FB12" s="272"/>
      <c r="FC12" s="272">
        <v>2215720</v>
      </c>
      <c r="FD12" s="272">
        <v>2729643</v>
      </c>
      <c r="FE12" s="272">
        <v>694174</v>
      </c>
      <c r="FF12" s="272">
        <v>2947141</v>
      </c>
      <c r="FG12" s="455">
        <f t="shared" si="14"/>
        <v>1167134</v>
      </c>
      <c r="FH12" s="272">
        <v>21334830</v>
      </c>
      <c r="FI12" s="384">
        <f t="shared" si="15"/>
        <v>-8.8000000000000007</v>
      </c>
      <c r="FJ12" s="272">
        <v>17233457</v>
      </c>
      <c r="FK12" s="272">
        <v>389531</v>
      </c>
      <c r="FL12" s="272">
        <v>9209748</v>
      </c>
      <c r="FM12" s="272">
        <v>14244105</v>
      </c>
      <c r="FN12" s="460">
        <v>0.64700000000000002</v>
      </c>
      <c r="FO12" s="388">
        <v>99</v>
      </c>
      <c r="FP12" s="388">
        <v>35.700000000000003</v>
      </c>
      <c r="FQ12" s="388">
        <v>8.3000000000000007</v>
      </c>
      <c r="FR12" s="388">
        <v>18</v>
      </c>
      <c r="FS12" s="388">
        <v>11.1</v>
      </c>
      <c r="FT12" s="388">
        <v>14.5</v>
      </c>
      <c r="FU12" s="388">
        <v>10.8</v>
      </c>
      <c r="FV12" s="388">
        <v>12.9</v>
      </c>
      <c r="FW12" s="272">
        <v>23073136</v>
      </c>
      <c r="FX12" s="384">
        <f t="shared" si="16"/>
        <v>133.9</v>
      </c>
      <c r="FY12" s="272">
        <v>2959760</v>
      </c>
      <c r="FZ12" s="272">
        <v>503697</v>
      </c>
      <c r="GA12" s="272">
        <v>188585</v>
      </c>
      <c r="GB12" s="272">
        <v>2267478</v>
      </c>
      <c r="GC12" s="272"/>
      <c r="GD12" s="272">
        <v>4913973</v>
      </c>
      <c r="GE12" s="384">
        <f t="shared" si="17"/>
        <v>28.5</v>
      </c>
      <c r="GF12" s="388">
        <v>96.5</v>
      </c>
      <c r="GG12" s="388">
        <v>15.2</v>
      </c>
      <c r="GH12" s="388">
        <v>87</v>
      </c>
      <c r="GI12" s="272">
        <v>648</v>
      </c>
    </row>
    <row r="13" spans="2:191" x14ac:dyDescent="0.15">
      <c r="B13" s="89" t="s">
        <v>19</v>
      </c>
      <c r="C13" s="272">
        <v>25377748</v>
      </c>
      <c r="D13" s="455">
        <f t="shared" si="0"/>
        <v>6331308</v>
      </c>
      <c r="E13" s="272">
        <v>139676</v>
      </c>
      <c r="F13" s="272">
        <v>6191632</v>
      </c>
      <c r="G13" s="455">
        <f t="shared" si="1"/>
        <v>2574853</v>
      </c>
      <c r="H13" s="272">
        <v>402719</v>
      </c>
      <c r="I13" s="272">
        <v>2172134</v>
      </c>
      <c r="J13" s="272">
        <v>11786573</v>
      </c>
      <c r="K13" s="272">
        <v>5360452</v>
      </c>
      <c r="L13" s="272">
        <v>4120062</v>
      </c>
      <c r="M13" s="272">
        <v>1946916</v>
      </c>
      <c r="N13" s="272">
        <v>1119522</v>
      </c>
      <c r="O13" s="272">
        <v>2484645</v>
      </c>
      <c r="P13" s="272">
        <v>1556174</v>
      </c>
      <c r="Q13" s="272">
        <v>928471</v>
      </c>
      <c r="R13" s="272">
        <v>271489</v>
      </c>
      <c r="S13" s="272"/>
      <c r="T13" s="455">
        <f t="shared" si="2"/>
        <v>2733531</v>
      </c>
      <c r="U13" s="272">
        <v>859018</v>
      </c>
      <c r="V13" s="272"/>
      <c r="W13" s="272"/>
      <c r="X13" s="272">
        <v>1604469</v>
      </c>
      <c r="Y13" s="272">
        <v>0</v>
      </c>
      <c r="Z13" s="272">
        <v>0</v>
      </c>
      <c r="AA13" s="272">
        <v>270044</v>
      </c>
      <c r="AB13" s="272">
        <v>791810</v>
      </c>
      <c r="AC13" s="272">
        <v>4752114</v>
      </c>
      <c r="AD13" s="272">
        <v>4065084</v>
      </c>
      <c r="AE13" s="272">
        <v>687030</v>
      </c>
      <c r="AF13" s="272">
        <v>28219</v>
      </c>
      <c r="AG13" s="272">
        <v>2182447</v>
      </c>
      <c r="AH13" s="455">
        <f t="shared" si="3"/>
        <v>1020691</v>
      </c>
      <c r="AI13" s="272">
        <v>856168</v>
      </c>
      <c r="AJ13" s="272">
        <v>164523</v>
      </c>
      <c r="AK13" s="272">
        <v>6472742</v>
      </c>
      <c r="AL13" s="455">
        <f t="shared" si="4"/>
        <v>4903968</v>
      </c>
      <c r="AM13" s="272">
        <v>3949674</v>
      </c>
      <c r="AN13" s="272">
        <v>918795</v>
      </c>
      <c r="AO13" s="272">
        <v>0</v>
      </c>
      <c r="AP13" s="272">
        <v>35499</v>
      </c>
      <c r="AQ13" s="272">
        <v>374114</v>
      </c>
      <c r="AR13" s="272">
        <v>0</v>
      </c>
      <c r="AS13" s="272">
        <v>0</v>
      </c>
      <c r="AT13" s="272">
        <v>2071647</v>
      </c>
      <c r="AU13" s="272">
        <v>1054828</v>
      </c>
      <c r="AV13" s="272">
        <v>314712</v>
      </c>
      <c r="AW13" s="272">
        <v>24450</v>
      </c>
      <c r="AX13" s="272">
        <v>1016819</v>
      </c>
      <c r="AY13" s="272">
        <v>77442</v>
      </c>
      <c r="AZ13" s="272">
        <v>91446</v>
      </c>
      <c r="BA13" s="272">
        <v>602</v>
      </c>
      <c r="BB13" s="272">
        <v>28585</v>
      </c>
      <c r="BC13" s="272">
        <v>1373263</v>
      </c>
      <c r="BD13" s="272">
        <v>450000</v>
      </c>
      <c r="BE13" s="272">
        <v>0</v>
      </c>
      <c r="BF13" s="272">
        <v>26263</v>
      </c>
      <c r="BG13" s="272">
        <v>897000</v>
      </c>
      <c r="BH13" s="272">
        <v>357993</v>
      </c>
      <c r="BI13" s="272">
        <v>343257</v>
      </c>
      <c r="BJ13" s="272">
        <v>339874</v>
      </c>
      <c r="BK13" s="272">
        <v>67020</v>
      </c>
      <c r="BL13" s="272">
        <v>0</v>
      </c>
      <c r="BM13" s="272">
        <v>54878</v>
      </c>
      <c r="BN13" s="272">
        <v>3274000</v>
      </c>
      <c r="BO13" s="455">
        <f t="shared" si="5"/>
        <v>2236200</v>
      </c>
      <c r="BP13" s="455">
        <f t="shared" si="6"/>
        <v>1037800</v>
      </c>
      <c r="BQ13" s="272">
        <v>302400</v>
      </c>
      <c r="BR13" s="272">
        <v>0</v>
      </c>
      <c r="BS13" s="272">
        <v>735400</v>
      </c>
      <c r="BT13" s="272">
        <v>0</v>
      </c>
      <c r="BU13" s="272">
        <v>51167599</v>
      </c>
      <c r="BV13" s="272"/>
      <c r="BW13" s="272">
        <v>15825122</v>
      </c>
      <c r="BX13" s="272">
        <v>11412450</v>
      </c>
      <c r="BY13" s="272">
        <v>1187953</v>
      </c>
      <c r="BZ13" s="272">
        <v>579529</v>
      </c>
      <c r="CA13" s="272">
        <v>10801316</v>
      </c>
      <c r="CB13" s="272">
        <v>859599</v>
      </c>
      <c r="CC13" s="272">
        <v>655952</v>
      </c>
      <c r="CD13" s="272">
        <v>1704598</v>
      </c>
      <c r="CE13" s="272">
        <v>5298802</v>
      </c>
      <c r="CF13" s="272">
        <v>2125464</v>
      </c>
      <c r="CG13" s="272">
        <v>156147</v>
      </c>
      <c r="CH13" s="272">
        <v>6675368</v>
      </c>
      <c r="CI13" s="272">
        <v>4803352</v>
      </c>
      <c r="CJ13" s="455">
        <f t="shared" si="7"/>
        <v>1872016</v>
      </c>
      <c r="CK13" s="272">
        <v>4257132</v>
      </c>
      <c r="CL13" s="272">
        <v>2119961</v>
      </c>
      <c r="CM13" s="272">
        <v>278811</v>
      </c>
      <c r="CN13" s="272">
        <v>975589</v>
      </c>
      <c r="CO13" s="272">
        <v>239129</v>
      </c>
      <c r="CP13" s="272">
        <v>3948598</v>
      </c>
      <c r="CQ13" s="272">
        <v>2329892</v>
      </c>
      <c r="CR13" s="272">
        <v>893108</v>
      </c>
      <c r="CS13" s="272">
        <v>733264</v>
      </c>
      <c r="CT13" s="455">
        <f t="shared" si="8"/>
        <v>71940</v>
      </c>
      <c r="CU13" s="272">
        <v>71940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3677832</v>
      </c>
      <c r="DD13" s="272">
        <v>816294</v>
      </c>
      <c r="DE13" s="272">
        <v>2861538</v>
      </c>
      <c r="DF13" s="272">
        <v>0</v>
      </c>
      <c r="DG13" s="272">
        <v>0</v>
      </c>
      <c r="DH13" s="272">
        <v>0</v>
      </c>
      <c r="DI13" s="272">
        <v>50275</v>
      </c>
      <c r="DJ13" s="272">
        <v>9156</v>
      </c>
      <c r="DK13" s="272">
        <v>139</v>
      </c>
      <c r="DL13" s="272">
        <v>40980</v>
      </c>
      <c r="DM13" s="272">
        <v>108</v>
      </c>
      <c r="DN13" s="272">
        <v>108</v>
      </c>
      <c r="DO13" s="272">
        <v>108</v>
      </c>
      <c r="DP13" s="272">
        <v>0</v>
      </c>
      <c r="DQ13" s="272">
        <v>59240</v>
      </c>
      <c r="DR13" s="272">
        <v>0</v>
      </c>
      <c r="DS13" s="272">
        <v>0</v>
      </c>
      <c r="DT13" s="272">
        <v>5447504</v>
      </c>
      <c r="DU13" s="272">
        <v>2773000</v>
      </c>
      <c r="DV13" s="455">
        <f t="shared" si="11"/>
        <v>0</v>
      </c>
      <c r="DW13" s="272">
        <v>0</v>
      </c>
      <c r="DX13" s="272">
        <v>0</v>
      </c>
      <c r="DY13" s="272">
        <v>0</v>
      </c>
      <c r="DZ13" s="272">
        <v>1343960</v>
      </c>
      <c r="EA13" s="272">
        <v>685784</v>
      </c>
      <c r="EB13" s="272">
        <v>621115</v>
      </c>
      <c r="EC13" s="272">
        <v>0</v>
      </c>
      <c r="ED13" s="272">
        <v>50981624</v>
      </c>
      <c r="EF13" s="272">
        <v>185975</v>
      </c>
      <c r="EG13" s="272">
        <v>1186</v>
      </c>
      <c r="EH13" s="272">
        <v>184789</v>
      </c>
      <c r="EI13" s="272">
        <v>-758468</v>
      </c>
      <c r="EJ13" s="272">
        <v>-302287</v>
      </c>
      <c r="EL13" s="272"/>
      <c r="EM13" s="272">
        <v>149649</v>
      </c>
      <c r="EN13" s="272">
        <v>1347000</v>
      </c>
      <c r="EO13" s="272">
        <v>65450</v>
      </c>
      <c r="EP13" s="455">
        <f t="shared" si="12"/>
        <v>893520</v>
      </c>
      <c r="EQ13" s="272">
        <v>33954911</v>
      </c>
      <c r="ER13" s="272">
        <v>-3315551</v>
      </c>
      <c r="ES13" s="272">
        <v>14365311</v>
      </c>
      <c r="ET13" s="272">
        <v>10359692</v>
      </c>
      <c r="EU13" s="272">
        <v>2936084</v>
      </c>
      <c r="EV13" s="272">
        <v>6554565</v>
      </c>
      <c r="EW13" s="455">
        <f t="shared" si="13"/>
        <v>938966</v>
      </c>
      <c r="EX13" s="272">
        <v>938966</v>
      </c>
      <c r="EY13" s="272">
        <v>31399</v>
      </c>
      <c r="EZ13" s="272">
        <v>907567</v>
      </c>
      <c r="FA13" s="272">
        <v>0</v>
      </c>
      <c r="FB13" s="272"/>
      <c r="FC13" s="272">
        <v>3416847</v>
      </c>
      <c r="FD13" s="272">
        <v>3715511</v>
      </c>
      <c r="FE13" s="272">
        <v>2329892</v>
      </c>
      <c r="FF13" s="272">
        <v>4932659</v>
      </c>
      <c r="FG13" s="455">
        <f t="shared" si="14"/>
        <v>224544</v>
      </c>
      <c r="FH13" s="272">
        <v>37084487</v>
      </c>
      <c r="FI13" s="384">
        <f t="shared" si="15"/>
        <v>0.6</v>
      </c>
      <c r="FJ13" s="272">
        <v>30850379</v>
      </c>
      <c r="FK13" s="272">
        <v>735451</v>
      </c>
      <c r="FL13" s="272">
        <v>20169221</v>
      </c>
      <c r="FM13" s="272">
        <v>24252268</v>
      </c>
      <c r="FN13" s="460">
        <v>0.81299999999999994</v>
      </c>
      <c r="FO13" s="388">
        <v>106.5</v>
      </c>
      <c r="FP13" s="388">
        <v>44.2</v>
      </c>
      <c r="FQ13" s="388">
        <v>8.1999999999999993</v>
      </c>
      <c r="FR13" s="388">
        <v>17.7</v>
      </c>
      <c r="FS13" s="388">
        <v>10.6</v>
      </c>
      <c r="FT13" s="388">
        <v>11.1</v>
      </c>
      <c r="FU13" s="388">
        <v>14.1</v>
      </c>
      <c r="FV13" s="388">
        <v>13.6</v>
      </c>
      <c r="FW13" s="272">
        <v>48630790</v>
      </c>
      <c r="FX13" s="384">
        <f t="shared" si="16"/>
        <v>157.6</v>
      </c>
      <c r="FY13" s="272">
        <v>4319178</v>
      </c>
      <c r="FZ13" s="272">
        <v>639881</v>
      </c>
      <c r="GA13" s="272">
        <v>352839</v>
      </c>
      <c r="GB13" s="272">
        <v>3326458</v>
      </c>
      <c r="GC13" s="272">
        <v>1508800</v>
      </c>
      <c r="GD13" s="272">
        <v>10191327</v>
      </c>
      <c r="GE13" s="384">
        <f t="shared" si="17"/>
        <v>33</v>
      </c>
      <c r="GF13" s="388">
        <v>97.8</v>
      </c>
      <c r="GG13" s="388">
        <v>15</v>
      </c>
      <c r="GH13" s="388">
        <v>90</v>
      </c>
      <c r="GI13" s="272">
        <v>1354</v>
      </c>
    </row>
    <row r="14" spans="2:191" x14ac:dyDescent="0.15">
      <c r="B14" s="89" t="s">
        <v>21</v>
      </c>
      <c r="C14" s="272">
        <v>59669808</v>
      </c>
      <c r="D14" s="455">
        <f t="shared" si="0"/>
        <v>22943200</v>
      </c>
      <c r="E14" s="272">
        <v>374904</v>
      </c>
      <c r="F14" s="272">
        <v>22568296</v>
      </c>
      <c r="G14" s="455">
        <f t="shared" si="1"/>
        <v>3113495</v>
      </c>
      <c r="H14" s="272">
        <v>613605</v>
      </c>
      <c r="I14" s="272">
        <v>2499890</v>
      </c>
      <c r="J14" s="272">
        <v>24230047</v>
      </c>
      <c r="K14" s="272">
        <v>12222561</v>
      </c>
      <c r="L14" s="272">
        <v>9049684</v>
      </c>
      <c r="M14" s="272">
        <v>2387305</v>
      </c>
      <c r="N14" s="272">
        <v>2044462</v>
      </c>
      <c r="O14" s="272">
        <v>5717980</v>
      </c>
      <c r="P14" s="272">
        <v>3679061</v>
      </c>
      <c r="Q14" s="272">
        <v>2038919</v>
      </c>
      <c r="R14" s="272">
        <v>750086</v>
      </c>
      <c r="S14" s="272"/>
      <c r="T14" s="455">
        <f t="shared" si="2"/>
        <v>6990659</v>
      </c>
      <c r="U14" s="272">
        <v>2851661</v>
      </c>
      <c r="V14" s="272"/>
      <c r="W14" s="272"/>
      <c r="X14" s="272">
        <v>3259162</v>
      </c>
      <c r="Y14" s="272">
        <v>133395</v>
      </c>
      <c r="Z14" s="272">
        <v>0</v>
      </c>
      <c r="AA14" s="272">
        <v>746441</v>
      </c>
      <c r="AB14" s="272">
        <v>2287864</v>
      </c>
      <c r="AC14" s="272">
        <v>8509234</v>
      </c>
      <c r="AD14" s="272">
        <v>8302231</v>
      </c>
      <c r="AE14" s="272">
        <v>207003</v>
      </c>
      <c r="AF14" s="272">
        <v>71821</v>
      </c>
      <c r="AG14" s="272">
        <v>776779</v>
      </c>
      <c r="AH14" s="455">
        <f t="shared" si="3"/>
        <v>2226639</v>
      </c>
      <c r="AI14" s="272">
        <v>1755525</v>
      </c>
      <c r="AJ14" s="272">
        <v>471114</v>
      </c>
      <c r="AK14" s="272">
        <v>10190026</v>
      </c>
      <c r="AL14" s="455">
        <f t="shared" si="4"/>
        <v>6632562</v>
      </c>
      <c r="AM14" s="272">
        <v>5063356</v>
      </c>
      <c r="AN14" s="272">
        <v>1514925</v>
      </c>
      <c r="AO14" s="272">
        <v>0</v>
      </c>
      <c r="AP14" s="272">
        <v>54281</v>
      </c>
      <c r="AQ14" s="272">
        <v>710515</v>
      </c>
      <c r="AR14" s="272">
        <v>0</v>
      </c>
      <c r="AS14" s="272">
        <v>0</v>
      </c>
      <c r="AT14" s="272">
        <v>4638382</v>
      </c>
      <c r="AU14" s="272">
        <v>2646229</v>
      </c>
      <c r="AV14" s="272">
        <v>723733</v>
      </c>
      <c r="AW14" s="272">
        <v>90200</v>
      </c>
      <c r="AX14" s="272">
        <v>1992153</v>
      </c>
      <c r="AY14" s="272">
        <v>60678</v>
      </c>
      <c r="AZ14" s="272">
        <v>215478</v>
      </c>
      <c r="BA14" s="272">
        <v>188830</v>
      </c>
      <c r="BB14" s="272">
        <v>19499</v>
      </c>
      <c r="BC14" s="272">
        <v>279826</v>
      </c>
      <c r="BD14" s="272">
        <v>0</v>
      </c>
      <c r="BE14" s="272">
        <v>0</v>
      </c>
      <c r="BF14" s="272">
        <v>196614</v>
      </c>
      <c r="BG14" s="272">
        <v>0</v>
      </c>
      <c r="BH14" s="272">
        <v>0</v>
      </c>
      <c r="BI14" s="272">
        <v>0</v>
      </c>
      <c r="BJ14" s="272">
        <v>1483946</v>
      </c>
      <c r="BK14" s="272">
        <v>1000000</v>
      </c>
      <c r="BL14" s="272">
        <v>0</v>
      </c>
      <c r="BM14" s="272">
        <v>70146</v>
      </c>
      <c r="BN14" s="272">
        <v>5825400</v>
      </c>
      <c r="BO14" s="455">
        <f t="shared" si="5"/>
        <v>3376200</v>
      </c>
      <c r="BP14" s="455">
        <f t="shared" si="6"/>
        <v>2449200</v>
      </c>
      <c r="BQ14" s="272">
        <v>843100</v>
      </c>
      <c r="BR14" s="272">
        <v>0</v>
      </c>
      <c r="BS14" s="272">
        <v>1606100</v>
      </c>
      <c r="BT14" s="272">
        <v>0</v>
      </c>
      <c r="BU14" s="272">
        <v>103935447</v>
      </c>
      <c r="BV14" s="272"/>
      <c r="BW14" s="272">
        <v>29801134</v>
      </c>
      <c r="BX14" s="272">
        <v>20564605</v>
      </c>
      <c r="BY14" s="272">
        <v>2627650</v>
      </c>
      <c r="BZ14" s="272">
        <v>2210879</v>
      </c>
      <c r="CA14" s="272">
        <v>15650257</v>
      </c>
      <c r="CB14" s="272">
        <v>1979304</v>
      </c>
      <c r="CC14" s="272">
        <v>1204450</v>
      </c>
      <c r="CD14" s="272">
        <v>5385604</v>
      </c>
      <c r="CE14" s="272">
        <v>6773196</v>
      </c>
      <c r="CF14" s="272">
        <v>280</v>
      </c>
      <c r="CG14" s="272">
        <v>304978</v>
      </c>
      <c r="CH14" s="272">
        <v>13576256</v>
      </c>
      <c r="CI14" s="272">
        <v>9759763</v>
      </c>
      <c r="CJ14" s="455">
        <f t="shared" si="7"/>
        <v>3816493</v>
      </c>
      <c r="CK14" s="272">
        <v>9522219</v>
      </c>
      <c r="CL14" s="272">
        <v>4838857</v>
      </c>
      <c r="CM14" s="272">
        <v>625350</v>
      </c>
      <c r="CN14" s="272">
        <v>2322576</v>
      </c>
      <c r="CO14" s="272">
        <v>870951</v>
      </c>
      <c r="CP14" s="272">
        <v>11051917</v>
      </c>
      <c r="CQ14" s="272">
        <v>4923031</v>
      </c>
      <c r="CR14" s="272">
        <v>2213880</v>
      </c>
      <c r="CS14" s="272">
        <v>1985201</v>
      </c>
      <c r="CT14" s="455">
        <f t="shared" si="8"/>
        <v>1377230</v>
      </c>
      <c r="CU14" s="272">
        <v>1038414</v>
      </c>
      <c r="CV14" s="272">
        <v>338816</v>
      </c>
      <c r="CW14" s="455">
        <f t="shared" si="9"/>
        <v>977566</v>
      </c>
      <c r="CX14" s="272">
        <v>881296</v>
      </c>
      <c r="CY14" s="272">
        <v>96270</v>
      </c>
      <c r="CZ14" s="455">
        <f t="shared" si="10"/>
        <v>0</v>
      </c>
      <c r="DA14" s="272">
        <v>0</v>
      </c>
      <c r="DB14" s="272">
        <v>0</v>
      </c>
      <c r="DC14" s="272">
        <v>7792550</v>
      </c>
      <c r="DD14" s="272">
        <v>1346058</v>
      </c>
      <c r="DE14" s="272">
        <v>6114448</v>
      </c>
      <c r="DF14" s="272">
        <v>38049</v>
      </c>
      <c r="DG14" s="272">
        <v>93995</v>
      </c>
      <c r="DH14" s="272">
        <v>0</v>
      </c>
      <c r="DI14" s="272">
        <v>215249</v>
      </c>
      <c r="DJ14" s="272">
        <v>0</v>
      </c>
      <c r="DK14" s="272">
        <v>1612</v>
      </c>
      <c r="DL14" s="272">
        <v>213637</v>
      </c>
      <c r="DM14" s="272">
        <v>0</v>
      </c>
      <c r="DN14" s="272">
        <v>0</v>
      </c>
      <c r="DO14" s="272">
        <v>0</v>
      </c>
      <c r="DP14" s="272">
        <v>0</v>
      </c>
      <c r="DQ14" s="272">
        <v>1000000</v>
      </c>
      <c r="DR14" s="272">
        <v>0</v>
      </c>
      <c r="DS14" s="272">
        <v>0</v>
      </c>
      <c r="DT14" s="272">
        <v>13027338</v>
      </c>
      <c r="DU14" s="272">
        <v>7113899</v>
      </c>
      <c r="DV14" s="455">
        <f t="shared" si="11"/>
        <v>0</v>
      </c>
      <c r="DW14" s="272">
        <v>0</v>
      </c>
      <c r="DX14" s="272">
        <v>0</v>
      </c>
      <c r="DY14" s="272">
        <v>46979</v>
      </c>
      <c r="DZ14" s="272">
        <v>2907847</v>
      </c>
      <c r="EA14" s="272">
        <v>1372382</v>
      </c>
      <c r="EB14" s="272">
        <v>1586231</v>
      </c>
      <c r="EC14" s="272">
        <v>2178781</v>
      </c>
      <c r="ED14" s="272">
        <v>104686652</v>
      </c>
      <c r="EF14" s="272">
        <v>-751205</v>
      </c>
      <c r="EG14" s="272">
        <v>247971</v>
      </c>
      <c r="EH14" s="272">
        <v>-999176</v>
      </c>
      <c r="EI14" s="272">
        <v>1491038</v>
      </c>
      <c r="EJ14" s="272">
        <v>1853860</v>
      </c>
      <c r="EL14" s="272"/>
      <c r="EM14" s="272">
        <v>401753</v>
      </c>
      <c r="EN14" s="272">
        <v>83212</v>
      </c>
      <c r="EO14" s="272">
        <v>206973</v>
      </c>
      <c r="EP14" s="455">
        <f t="shared" si="12"/>
        <v>866406</v>
      </c>
      <c r="EQ14" s="272">
        <v>78279472</v>
      </c>
      <c r="ER14" s="272">
        <v>-3533970</v>
      </c>
      <c r="ES14" s="272">
        <v>27075533</v>
      </c>
      <c r="ET14" s="272">
        <v>18034261</v>
      </c>
      <c r="EU14" s="272">
        <v>4992669</v>
      </c>
      <c r="EV14" s="272">
        <v>13575566</v>
      </c>
      <c r="EW14" s="455">
        <f t="shared" si="13"/>
        <v>3497787</v>
      </c>
      <c r="EX14" s="272">
        <v>3497787</v>
      </c>
      <c r="EY14" s="272">
        <v>145736</v>
      </c>
      <c r="EZ14" s="272">
        <v>3114002</v>
      </c>
      <c r="FA14" s="272">
        <v>0</v>
      </c>
      <c r="FB14" s="272"/>
      <c r="FC14" s="272">
        <v>7607860</v>
      </c>
      <c r="FD14" s="272">
        <v>10297040</v>
      </c>
      <c r="FE14" s="272">
        <v>4923031</v>
      </c>
      <c r="FF14" s="272">
        <v>12290046</v>
      </c>
      <c r="FG14" s="455">
        <f t="shared" si="14"/>
        <v>3228146</v>
      </c>
      <c r="FH14" s="272">
        <v>82564647</v>
      </c>
      <c r="FI14" s="384">
        <f t="shared" si="15"/>
        <v>-1.4</v>
      </c>
      <c r="FJ14" s="272">
        <v>72841998</v>
      </c>
      <c r="FK14" s="272">
        <v>1606159</v>
      </c>
      <c r="FL14" s="272">
        <v>48612867</v>
      </c>
      <c r="FM14" s="272">
        <v>56925687</v>
      </c>
      <c r="FN14" s="460">
        <v>0.85099999999999998</v>
      </c>
      <c r="FO14" s="388">
        <v>90.7</v>
      </c>
      <c r="FP14" s="388">
        <v>35</v>
      </c>
      <c r="FQ14" s="388">
        <v>6.6</v>
      </c>
      <c r="FR14" s="388">
        <v>17.600000000000001</v>
      </c>
      <c r="FS14" s="388">
        <v>9.3000000000000007</v>
      </c>
      <c r="FT14" s="388">
        <v>12.9</v>
      </c>
      <c r="FU14" s="388">
        <v>8.1999999999999993</v>
      </c>
      <c r="FV14" s="388">
        <v>11.3</v>
      </c>
      <c r="FW14" s="272">
        <v>100852410</v>
      </c>
      <c r="FX14" s="384">
        <f t="shared" si="16"/>
        <v>138.5</v>
      </c>
      <c r="FY14" s="272">
        <v>13586437</v>
      </c>
      <c r="FZ14" s="272"/>
      <c r="GA14" s="272">
        <v>3453734</v>
      </c>
      <c r="GB14" s="272">
        <v>10132703</v>
      </c>
      <c r="GC14" s="272"/>
      <c r="GD14" s="272">
        <v>28136577</v>
      </c>
      <c r="GE14" s="384">
        <f t="shared" si="17"/>
        <v>38.6</v>
      </c>
      <c r="GF14" s="388">
        <v>97.5</v>
      </c>
      <c r="GG14" s="388">
        <v>20.2</v>
      </c>
      <c r="GH14" s="388">
        <v>89.9</v>
      </c>
      <c r="GI14" s="272">
        <v>2676</v>
      </c>
    </row>
    <row r="15" spans="2:191" x14ac:dyDescent="0.15">
      <c r="B15" s="89" t="s">
        <v>23</v>
      </c>
      <c r="C15" s="272">
        <v>45320555</v>
      </c>
      <c r="D15" s="455">
        <f t="shared" si="0"/>
        <v>15531610</v>
      </c>
      <c r="E15" s="272">
        <v>249393</v>
      </c>
      <c r="F15" s="272">
        <v>15282217</v>
      </c>
      <c r="G15" s="455">
        <f t="shared" si="1"/>
        <v>3541814</v>
      </c>
      <c r="H15" s="272">
        <v>713158</v>
      </c>
      <c r="I15" s="272">
        <v>2828656</v>
      </c>
      <c r="J15" s="272">
        <v>20204003</v>
      </c>
      <c r="K15" s="272">
        <v>10060289</v>
      </c>
      <c r="L15" s="272">
        <v>6999711</v>
      </c>
      <c r="M15" s="272">
        <v>2884671</v>
      </c>
      <c r="N15" s="272">
        <v>1526973</v>
      </c>
      <c r="O15" s="272">
        <v>4322640</v>
      </c>
      <c r="P15" s="272">
        <v>2761177</v>
      </c>
      <c r="Q15" s="272">
        <v>1561463</v>
      </c>
      <c r="R15" s="272">
        <v>508588</v>
      </c>
      <c r="S15" s="272"/>
      <c r="T15" s="455">
        <f t="shared" si="2"/>
        <v>4975880</v>
      </c>
      <c r="U15" s="272">
        <v>1913280</v>
      </c>
      <c r="V15" s="272"/>
      <c r="W15" s="272"/>
      <c r="X15" s="272">
        <v>2416837</v>
      </c>
      <c r="Y15" s="272">
        <v>139569</v>
      </c>
      <c r="Z15" s="272">
        <v>212</v>
      </c>
      <c r="AA15" s="272">
        <v>505982</v>
      </c>
      <c r="AB15" s="272">
        <v>1669305</v>
      </c>
      <c r="AC15" s="272">
        <v>1724084</v>
      </c>
      <c r="AD15" s="272">
        <v>1424034</v>
      </c>
      <c r="AE15" s="272">
        <v>300050</v>
      </c>
      <c r="AF15" s="272">
        <v>50727</v>
      </c>
      <c r="AG15" s="272">
        <v>480071</v>
      </c>
      <c r="AH15" s="455">
        <f t="shared" si="3"/>
        <v>2113372</v>
      </c>
      <c r="AI15" s="272">
        <v>1772373</v>
      </c>
      <c r="AJ15" s="272">
        <v>340999</v>
      </c>
      <c r="AK15" s="272">
        <v>6462147</v>
      </c>
      <c r="AL15" s="455">
        <f t="shared" si="4"/>
        <v>3827890</v>
      </c>
      <c r="AM15" s="272">
        <v>2938394</v>
      </c>
      <c r="AN15" s="272">
        <v>869733</v>
      </c>
      <c r="AO15" s="272">
        <v>0</v>
      </c>
      <c r="AP15" s="272">
        <v>19763</v>
      </c>
      <c r="AQ15" s="272">
        <v>863378</v>
      </c>
      <c r="AR15" s="272">
        <v>0</v>
      </c>
      <c r="AS15" s="272">
        <v>0</v>
      </c>
      <c r="AT15" s="272">
        <v>3738649</v>
      </c>
      <c r="AU15" s="272">
        <v>1941368</v>
      </c>
      <c r="AV15" s="272">
        <v>502094</v>
      </c>
      <c r="AW15" s="272">
        <v>98847</v>
      </c>
      <c r="AX15" s="272">
        <v>1797281</v>
      </c>
      <c r="AY15" s="272">
        <v>157363</v>
      </c>
      <c r="AZ15" s="272">
        <v>23726</v>
      </c>
      <c r="BA15" s="272">
        <v>664</v>
      </c>
      <c r="BB15" s="272">
        <v>209004</v>
      </c>
      <c r="BC15" s="272">
        <v>515294</v>
      </c>
      <c r="BD15" s="272">
        <v>100000</v>
      </c>
      <c r="BE15" s="272">
        <v>0</v>
      </c>
      <c r="BF15" s="272">
        <v>123600</v>
      </c>
      <c r="BG15" s="272">
        <v>0</v>
      </c>
      <c r="BH15" s="272">
        <v>1310725</v>
      </c>
      <c r="BI15" s="272">
        <v>877331</v>
      </c>
      <c r="BJ15" s="272">
        <v>1554226</v>
      </c>
      <c r="BK15" s="272">
        <v>404000</v>
      </c>
      <c r="BL15" s="272">
        <v>15700</v>
      </c>
      <c r="BM15" s="272">
        <v>0</v>
      </c>
      <c r="BN15" s="272">
        <v>2195200</v>
      </c>
      <c r="BO15" s="455">
        <f t="shared" si="5"/>
        <v>625200</v>
      </c>
      <c r="BP15" s="455">
        <f t="shared" si="6"/>
        <v>1570000</v>
      </c>
      <c r="BQ15" s="272">
        <v>614000</v>
      </c>
      <c r="BR15" s="272">
        <v>0</v>
      </c>
      <c r="BS15" s="272">
        <v>956000</v>
      </c>
      <c r="BT15" s="272">
        <v>0</v>
      </c>
      <c r="BU15" s="272">
        <v>72851553</v>
      </c>
      <c r="BV15" s="272"/>
      <c r="BW15" s="272">
        <v>19420233</v>
      </c>
      <c r="BX15" s="272">
        <v>13958461</v>
      </c>
      <c r="BY15" s="272">
        <v>1819396</v>
      </c>
      <c r="BZ15" s="272">
        <v>552858</v>
      </c>
      <c r="CA15" s="272">
        <v>9842894</v>
      </c>
      <c r="CB15" s="272">
        <v>1660027</v>
      </c>
      <c r="CC15" s="272">
        <v>843607</v>
      </c>
      <c r="CD15" s="272">
        <v>3239573</v>
      </c>
      <c r="CE15" s="272">
        <v>3909338</v>
      </c>
      <c r="CF15" s="272">
        <v>0</v>
      </c>
      <c r="CG15" s="272">
        <v>189299</v>
      </c>
      <c r="CH15" s="272">
        <v>5605533</v>
      </c>
      <c r="CI15" s="272">
        <v>3880609</v>
      </c>
      <c r="CJ15" s="455">
        <f t="shared" si="7"/>
        <v>1724924</v>
      </c>
      <c r="CK15" s="272">
        <v>12515021</v>
      </c>
      <c r="CL15" s="272">
        <v>6737731</v>
      </c>
      <c r="CM15" s="272">
        <v>661520</v>
      </c>
      <c r="CN15" s="272">
        <v>3108237</v>
      </c>
      <c r="CO15" s="272">
        <v>2053723</v>
      </c>
      <c r="CP15" s="272">
        <v>2585276</v>
      </c>
      <c r="CQ15" s="272">
        <v>1544</v>
      </c>
      <c r="CR15" s="272">
        <v>1512965</v>
      </c>
      <c r="CS15" s="272">
        <v>1065927</v>
      </c>
      <c r="CT15" s="455">
        <f t="shared" si="8"/>
        <v>62046</v>
      </c>
      <c r="CU15" s="272">
        <v>7884</v>
      </c>
      <c r="CV15" s="272">
        <v>54162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9230896</v>
      </c>
      <c r="DD15" s="272">
        <v>2208094</v>
      </c>
      <c r="DE15" s="272">
        <v>6747125</v>
      </c>
      <c r="DF15" s="272">
        <v>18852</v>
      </c>
      <c r="DG15" s="272">
        <v>256825</v>
      </c>
      <c r="DH15" s="272">
        <v>4158</v>
      </c>
      <c r="DI15" s="272">
        <v>154093</v>
      </c>
      <c r="DJ15" s="272">
        <v>12493</v>
      </c>
      <c r="DK15" s="272">
        <v>0</v>
      </c>
      <c r="DL15" s="272">
        <v>141600</v>
      </c>
      <c r="DM15" s="272">
        <v>29036</v>
      </c>
      <c r="DN15" s="272">
        <v>5036</v>
      </c>
      <c r="DO15" s="272">
        <v>5036</v>
      </c>
      <c r="DP15" s="272">
        <v>0</v>
      </c>
      <c r="DQ15" s="272">
        <v>404000</v>
      </c>
      <c r="DR15" s="272">
        <v>0</v>
      </c>
      <c r="DS15" s="272">
        <v>0</v>
      </c>
      <c r="DT15" s="272">
        <v>8850642</v>
      </c>
      <c r="DU15" s="272">
        <v>5008000</v>
      </c>
      <c r="DV15" s="455">
        <f t="shared" si="11"/>
        <v>0</v>
      </c>
      <c r="DW15" s="272">
        <v>0</v>
      </c>
      <c r="DX15" s="272">
        <v>0</v>
      </c>
      <c r="DY15" s="272">
        <v>0</v>
      </c>
      <c r="DZ15" s="272">
        <v>2092000</v>
      </c>
      <c r="EA15" s="272">
        <v>911099</v>
      </c>
      <c r="EB15" s="272">
        <v>791080</v>
      </c>
      <c r="EC15" s="272">
        <v>0</v>
      </c>
      <c r="ED15" s="272">
        <v>70695505</v>
      </c>
      <c r="EF15" s="272">
        <v>2156048</v>
      </c>
      <c r="EG15" s="272">
        <v>1372376</v>
      </c>
      <c r="EH15" s="272">
        <v>783672</v>
      </c>
      <c r="EI15" s="272">
        <v>-93659</v>
      </c>
      <c r="EJ15" s="272">
        <v>-150608</v>
      </c>
      <c r="EL15" s="272"/>
      <c r="EM15" s="272">
        <v>257577</v>
      </c>
      <c r="EN15" s="272">
        <v>376390</v>
      </c>
      <c r="EO15" s="272">
        <v>10471</v>
      </c>
      <c r="EP15" s="455">
        <f t="shared" si="12"/>
        <v>1901608</v>
      </c>
      <c r="EQ15" s="272">
        <v>54249139</v>
      </c>
      <c r="ER15" s="272">
        <v>-3807742</v>
      </c>
      <c r="ES15" s="272">
        <v>17452095</v>
      </c>
      <c r="ET15" s="272">
        <v>12000323</v>
      </c>
      <c r="EU15" s="272">
        <v>3471053</v>
      </c>
      <c r="EV15" s="272">
        <v>5547434</v>
      </c>
      <c r="EW15" s="455">
        <f t="shared" si="13"/>
        <v>6626134</v>
      </c>
      <c r="EX15" s="272">
        <v>6622798</v>
      </c>
      <c r="EY15" s="272">
        <v>915889</v>
      </c>
      <c r="EZ15" s="272">
        <v>5688057</v>
      </c>
      <c r="FA15" s="272">
        <v>3336</v>
      </c>
      <c r="FB15" s="272"/>
      <c r="FC15" s="272">
        <v>10041612</v>
      </c>
      <c r="FD15" s="272">
        <v>2198382</v>
      </c>
      <c r="FE15" s="272">
        <v>1544</v>
      </c>
      <c r="FF15" s="272">
        <v>8408835</v>
      </c>
      <c r="FG15" s="455">
        <f t="shared" si="14"/>
        <v>2155288</v>
      </c>
      <c r="FH15" s="272">
        <v>55900833</v>
      </c>
      <c r="FI15" s="384">
        <f t="shared" si="15"/>
        <v>1.6</v>
      </c>
      <c r="FJ15" s="272">
        <v>49343529</v>
      </c>
      <c r="FK15" s="272">
        <v>956043</v>
      </c>
      <c r="FL15" s="272">
        <v>36080485</v>
      </c>
      <c r="FM15" s="272">
        <v>37532375</v>
      </c>
      <c r="FN15" s="460">
        <v>0.96399999999999997</v>
      </c>
      <c r="FO15" s="388">
        <v>85.5</v>
      </c>
      <c r="FP15" s="388">
        <v>32.5</v>
      </c>
      <c r="FQ15" s="388">
        <v>6.7</v>
      </c>
      <c r="FR15" s="388">
        <v>10.7</v>
      </c>
      <c r="FS15" s="388">
        <v>18.8</v>
      </c>
      <c r="FT15" s="388">
        <v>3.5</v>
      </c>
      <c r="FU15" s="388">
        <v>9.4</v>
      </c>
      <c r="FV15" s="388">
        <v>5.5</v>
      </c>
      <c r="FW15" s="272">
        <v>47887894</v>
      </c>
      <c r="FX15" s="384">
        <f t="shared" si="16"/>
        <v>97</v>
      </c>
      <c r="FY15" s="272">
        <v>12398893</v>
      </c>
      <c r="FZ15" s="272">
        <v>4471093</v>
      </c>
      <c r="GA15" s="272"/>
      <c r="GB15" s="272">
        <v>7927800</v>
      </c>
      <c r="GC15" s="272"/>
      <c r="GD15" s="272">
        <v>10713202</v>
      </c>
      <c r="GE15" s="384">
        <f t="shared" si="17"/>
        <v>21.7</v>
      </c>
      <c r="GF15" s="388">
        <v>98.7</v>
      </c>
      <c r="GG15" s="388">
        <v>17.899999999999999</v>
      </c>
      <c r="GH15" s="388">
        <v>94.6</v>
      </c>
      <c r="GI15" s="272">
        <v>1890</v>
      </c>
    </row>
    <row r="16" spans="2:191" x14ac:dyDescent="0.15">
      <c r="B16" s="89" t="s">
        <v>25</v>
      </c>
      <c r="C16" s="272">
        <v>41880757</v>
      </c>
      <c r="D16" s="455">
        <f t="shared" si="0"/>
        <v>13294083</v>
      </c>
      <c r="E16" s="272">
        <v>250912</v>
      </c>
      <c r="F16" s="272">
        <v>13043171</v>
      </c>
      <c r="G16" s="455">
        <f t="shared" si="1"/>
        <v>3516030</v>
      </c>
      <c r="H16" s="272">
        <v>646255</v>
      </c>
      <c r="I16" s="272">
        <v>2869775</v>
      </c>
      <c r="J16" s="272">
        <v>18848440</v>
      </c>
      <c r="K16" s="272">
        <v>10025892</v>
      </c>
      <c r="L16" s="272">
        <v>6144774</v>
      </c>
      <c r="M16" s="272">
        <v>2386124</v>
      </c>
      <c r="N16" s="272">
        <v>1902952</v>
      </c>
      <c r="O16" s="272">
        <v>4106233</v>
      </c>
      <c r="P16" s="272">
        <v>2750338</v>
      </c>
      <c r="Q16" s="272">
        <v>1355895</v>
      </c>
      <c r="R16" s="272">
        <v>553370</v>
      </c>
      <c r="S16" s="272"/>
      <c r="T16" s="455">
        <f t="shared" si="2"/>
        <v>4913646</v>
      </c>
      <c r="U16" s="272">
        <v>1702296</v>
      </c>
      <c r="V16" s="272"/>
      <c r="W16" s="272"/>
      <c r="X16" s="272">
        <v>2662392</v>
      </c>
      <c r="Y16" s="272">
        <v>0</v>
      </c>
      <c r="Z16" s="272">
        <v>0</v>
      </c>
      <c r="AA16" s="272">
        <v>548958</v>
      </c>
      <c r="AB16" s="272">
        <v>1469048</v>
      </c>
      <c r="AC16" s="272">
        <v>8008212</v>
      </c>
      <c r="AD16" s="272">
        <v>6999008</v>
      </c>
      <c r="AE16" s="272">
        <v>1009204</v>
      </c>
      <c r="AF16" s="272">
        <v>55552</v>
      </c>
      <c r="AG16" s="272">
        <v>1871412</v>
      </c>
      <c r="AH16" s="455">
        <f t="shared" si="3"/>
        <v>2101525</v>
      </c>
      <c r="AI16" s="272">
        <v>1339187</v>
      </c>
      <c r="AJ16" s="272">
        <v>762338</v>
      </c>
      <c r="AK16" s="272">
        <v>10099770</v>
      </c>
      <c r="AL16" s="455">
        <f t="shared" si="4"/>
        <v>6682007</v>
      </c>
      <c r="AM16" s="272">
        <v>5833704</v>
      </c>
      <c r="AN16" s="272">
        <v>790093</v>
      </c>
      <c r="AO16" s="272">
        <v>0</v>
      </c>
      <c r="AP16" s="272">
        <v>58210</v>
      </c>
      <c r="AQ16" s="272">
        <v>965408</v>
      </c>
      <c r="AR16" s="272">
        <v>0</v>
      </c>
      <c r="AS16" s="272">
        <v>49181</v>
      </c>
      <c r="AT16" s="272">
        <v>3718558</v>
      </c>
      <c r="AU16" s="272">
        <v>1715796</v>
      </c>
      <c r="AV16" s="272">
        <v>381770</v>
      </c>
      <c r="AW16" s="272">
        <v>74592</v>
      </c>
      <c r="AX16" s="272">
        <v>2002762</v>
      </c>
      <c r="AY16" s="272">
        <v>156287</v>
      </c>
      <c r="AZ16" s="272">
        <v>120414</v>
      </c>
      <c r="BA16" s="272">
        <v>12716</v>
      </c>
      <c r="BB16" s="272">
        <v>20620</v>
      </c>
      <c r="BC16" s="272">
        <v>6282354</v>
      </c>
      <c r="BD16" s="272">
        <v>0</v>
      </c>
      <c r="BE16" s="272">
        <v>0</v>
      </c>
      <c r="BF16" s="272">
        <v>6141386</v>
      </c>
      <c r="BG16" s="272">
        <v>0</v>
      </c>
      <c r="BH16" s="272">
        <v>1273874</v>
      </c>
      <c r="BI16" s="272">
        <v>1055824</v>
      </c>
      <c r="BJ16" s="272">
        <v>1020026</v>
      </c>
      <c r="BK16" s="272">
        <v>520376</v>
      </c>
      <c r="BL16" s="272">
        <v>0</v>
      </c>
      <c r="BM16" s="272">
        <v>62358</v>
      </c>
      <c r="BN16" s="272">
        <v>14329500</v>
      </c>
      <c r="BO16" s="455">
        <f t="shared" si="5"/>
        <v>12793100</v>
      </c>
      <c r="BP16" s="455">
        <f t="shared" si="6"/>
        <v>1536400</v>
      </c>
      <c r="BQ16" s="272">
        <v>555100</v>
      </c>
      <c r="BR16" s="272">
        <v>0</v>
      </c>
      <c r="BS16" s="272">
        <v>981300</v>
      </c>
      <c r="BT16" s="272">
        <v>0</v>
      </c>
      <c r="BU16" s="272">
        <v>97767819</v>
      </c>
      <c r="BV16" s="272"/>
      <c r="BW16" s="272">
        <v>21407085</v>
      </c>
      <c r="BX16" s="272">
        <v>14653549</v>
      </c>
      <c r="BY16" s="272">
        <v>2397770</v>
      </c>
      <c r="BZ16" s="272">
        <v>1130760</v>
      </c>
      <c r="CA16" s="272">
        <v>15583098</v>
      </c>
      <c r="CB16" s="272">
        <v>1477058</v>
      </c>
      <c r="CC16" s="272">
        <v>970843</v>
      </c>
      <c r="CD16" s="272">
        <v>3458657</v>
      </c>
      <c r="CE16" s="272">
        <v>7908651</v>
      </c>
      <c r="CF16" s="272">
        <v>1414718</v>
      </c>
      <c r="CG16" s="272">
        <v>352841</v>
      </c>
      <c r="CH16" s="272">
        <v>9762388</v>
      </c>
      <c r="CI16" s="272">
        <v>7079897</v>
      </c>
      <c r="CJ16" s="455">
        <f t="shared" si="7"/>
        <v>2682491</v>
      </c>
      <c r="CK16" s="272">
        <v>10150909</v>
      </c>
      <c r="CL16" s="272">
        <v>6188544</v>
      </c>
      <c r="CM16" s="272">
        <v>614860</v>
      </c>
      <c r="CN16" s="272">
        <v>2015496</v>
      </c>
      <c r="CO16" s="272">
        <v>468257</v>
      </c>
      <c r="CP16" s="272">
        <v>3538410</v>
      </c>
      <c r="CQ16" s="272">
        <v>47486</v>
      </c>
      <c r="CR16" s="272">
        <v>1509675</v>
      </c>
      <c r="CS16" s="272">
        <v>728762</v>
      </c>
      <c r="CT16" s="455">
        <f t="shared" si="8"/>
        <v>919030</v>
      </c>
      <c r="CU16" s="272">
        <v>919030</v>
      </c>
      <c r="CV16" s="272">
        <v>0</v>
      </c>
      <c r="CW16" s="455">
        <f t="shared" si="9"/>
        <v>832534</v>
      </c>
      <c r="CX16" s="272">
        <v>832534</v>
      </c>
      <c r="CY16" s="272">
        <v>0</v>
      </c>
      <c r="CZ16" s="455">
        <f t="shared" si="10"/>
        <v>0</v>
      </c>
      <c r="DA16" s="272">
        <v>0</v>
      </c>
      <c r="DB16" s="272">
        <v>0</v>
      </c>
      <c r="DC16" s="272">
        <v>12498441</v>
      </c>
      <c r="DD16" s="272">
        <v>2362059</v>
      </c>
      <c r="DE16" s="272">
        <v>9971162</v>
      </c>
      <c r="DF16" s="272">
        <v>74230</v>
      </c>
      <c r="DG16" s="272">
        <v>90990</v>
      </c>
      <c r="DH16" s="272">
        <v>0</v>
      </c>
      <c r="DI16" s="272">
        <v>7114700</v>
      </c>
      <c r="DJ16" s="272">
        <v>543350</v>
      </c>
      <c r="DK16" s="272">
        <v>0</v>
      </c>
      <c r="DL16" s="272">
        <v>6571350</v>
      </c>
      <c r="DM16" s="272">
        <v>301500</v>
      </c>
      <c r="DN16" s="272">
        <v>281700</v>
      </c>
      <c r="DO16" s="272">
        <v>163900</v>
      </c>
      <c r="DP16" s="272">
        <v>117800</v>
      </c>
      <c r="DQ16" s="272">
        <v>6472600</v>
      </c>
      <c r="DR16" s="272">
        <v>0</v>
      </c>
      <c r="DS16" s="272">
        <v>0</v>
      </c>
      <c r="DT16" s="272">
        <v>10017982</v>
      </c>
      <c r="DU16" s="272">
        <v>5017230</v>
      </c>
      <c r="DV16" s="455">
        <f t="shared" si="11"/>
        <v>0</v>
      </c>
      <c r="DW16" s="272">
        <v>0</v>
      </c>
      <c r="DX16" s="272">
        <v>0</v>
      </c>
      <c r="DY16" s="272">
        <v>0</v>
      </c>
      <c r="DZ16" s="272">
        <v>2554946</v>
      </c>
      <c r="EA16" s="272">
        <v>1139680</v>
      </c>
      <c r="EB16" s="272">
        <v>1291126</v>
      </c>
      <c r="EC16" s="272">
        <v>0</v>
      </c>
      <c r="ED16" s="272">
        <v>97315370</v>
      </c>
      <c r="EF16" s="272">
        <v>452449</v>
      </c>
      <c r="EG16" s="272">
        <v>139443</v>
      </c>
      <c r="EH16" s="272">
        <v>313006</v>
      </c>
      <c r="EI16" s="272">
        <v>-742818</v>
      </c>
      <c r="EJ16" s="272">
        <v>398411</v>
      </c>
      <c r="EL16" s="272"/>
      <c r="EM16" s="272">
        <v>268012</v>
      </c>
      <c r="EN16" s="272">
        <v>140968</v>
      </c>
      <c r="EO16" s="272">
        <v>62858</v>
      </c>
      <c r="EP16" s="455">
        <f t="shared" si="12"/>
        <v>1941162</v>
      </c>
      <c r="EQ16" s="272">
        <v>56929766</v>
      </c>
      <c r="ER16" s="272">
        <v>-3576655</v>
      </c>
      <c r="ES16" s="272">
        <v>19626431</v>
      </c>
      <c r="ET16" s="272">
        <v>13227755</v>
      </c>
      <c r="EU16" s="272">
        <v>4613197</v>
      </c>
      <c r="EV16" s="272">
        <v>9646301</v>
      </c>
      <c r="EW16" s="455">
        <f t="shared" si="13"/>
        <v>4174477</v>
      </c>
      <c r="EX16" s="272">
        <v>4174477</v>
      </c>
      <c r="EY16" s="272">
        <v>494915</v>
      </c>
      <c r="EZ16" s="272">
        <v>3666997</v>
      </c>
      <c r="FA16" s="272">
        <v>0</v>
      </c>
      <c r="FB16" s="272"/>
      <c r="FC16" s="272">
        <v>7894918</v>
      </c>
      <c r="FD16" s="272">
        <v>3019136</v>
      </c>
      <c r="FE16" s="272">
        <v>47486</v>
      </c>
      <c r="FF16" s="272">
        <v>9354331</v>
      </c>
      <c r="FG16" s="455">
        <f t="shared" si="14"/>
        <v>1725210</v>
      </c>
      <c r="FH16" s="272">
        <v>60054001</v>
      </c>
      <c r="FI16" s="384">
        <f t="shared" si="15"/>
        <v>0.6</v>
      </c>
      <c r="FJ16" s="272">
        <v>51775711</v>
      </c>
      <c r="FK16" s="272">
        <v>981392</v>
      </c>
      <c r="FL16" s="272">
        <v>33736804</v>
      </c>
      <c r="FM16" s="272">
        <v>40740243</v>
      </c>
      <c r="FN16" s="460">
        <v>0.83099999999999996</v>
      </c>
      <c r="FO16" s="388">
        <v>93.2</v>
      </c>
      <c r="FP16" s="388">
        <v>35.200000000000003</v>
      </c>
      <c r="FQ16" s="388">
        <v>8.6</v>
      </c>
      <c r="FR16" s="388">
        <v>16.899999999999999</v>
      </c>
      <c r="FS16" s="388">
        <v>13.9</v>
      </c>
      <c r="FT16" s="388">
        <v>4.5999999999999996</v>
      </c>
      <c r="FU16" s="388">
        <v>13.4</v>
      </c>
      <c r="FV16" s="388">
        <v>11.3</v>
      </c>
      <c r="FW16" s="272">
        <v>91318427</v>
      </c>
      <c r="FX16" s="384">
        <f t="shared" si="16"/>
        <v>176.4</v>
      </c>
      <c r="FY16" s="272">
        <v>15601927</v>
      </c>
      <c r="FZ16" s="272">
        <v>4392379</v>
      </c>
      <c r="GA16" s="272"/>
      <c r="GB16" s="272">
        <v>11209548</v>
      </c>
      <c r="GC16" s="272"/>
      <c r="GD16" s="272">
        <v>17007241</v>
      </c>
      <c r="GE16" s="384">
        <f t="shared" si="17"/>
        <v>32.799999999999997</v>
      </c>
      <c r="GF16" s="388">
        <v>97.8</v>
      </c>
      <c r="GG16" s="388">
        <v>24.9</v>
      </c>
      <c r="GH16" s="388">
        <v>93.8</v>
      </c>
      <c r="GI16" s="272">
        <v>1863</v>
      </c>
    </row>
    <row r="17" spans="2:191" x14ac:dyDescent="0.15">
      <c r="B17" s="89" t="s">
        <v>27</v>
      </c>
      <c r="C17" s="272">
        <v>21754951</v>
      </c>
      <c r="D17" s="455">
        <f t="shared" si="0"/>
        <v>3583904</v>
      </c>
      <c r="E17" s="272">
        <v>86816</v>
      </c>
      <c r="F17" s="272">
        <v>3497088</v>
      </c>
      <c r="G17" s="455">
        <f t="shared" si="1"/>
        <v>1727143</v>
      </c>
      <c r="H17" s="272">
        <v>440042</v>
      </c>
      <c r="I17" s="272">
        <v>1287101</v>
      </c>
      <c r="J17" s="272">
        <v>13548846</v>
      </c>
      <c r="K17" s="272">
        <v>5204891</v>
      </c>
      <c r="L17" s="272">
        <v>3930844</v>
      </c>
      <c r="M17" s="272">
        <v>3978413</v>
      </c>
      <c r="N17" s="272">
        <v>740394</v>
      </c>
      <c r="O17" s="272">
        <v>2036743</v>
      </c>
      <c r="P17" s="272">
        <v>1202831</v>
      </c>
      <c r="Q17" s="272">
        <v>833912</v>
      </c>
      <c r="R17" s="272">
        <v>250425</v>
      </c>
      <c r="S17" s="272"/>
      <c r="T17" s="455">
        <f t="shared" si="2"/>
        <v>1706202</v>
      </c>
      <c r="U17" s="272">
        <v>471624</v>
      </c>
      <c r="V17" s="272"/>
      <c r="W17" s="272"/>
      <c r="X17" s="272">
        <v>972505</v>
      </c>
      <c r="Y17" s="272">
        <v>59990</v>
      </c>
      <c r="Z17" s="272">
        <v>0</v>
      </c>
      <c r="AA17" s="272">
        <v>202083</v>
      </c>
      <c r="AB17" s="272">
        <v>409303</v>
      </c>
      <c r="AC17" s="272">
        <v>757152</v>
      </c>
      <c r="AD17" s="272">
        <v>0</v>
      </c>
      <c r="AE17" s="272">
        <v>757152</v>
      </c>
      <c r="AF17" s="272">
        <v>19949</v>
      </c>
      <c r="AG17" s="272">
        <v>617012</v>
      </c>
      <c r="AH17" s="455">
        <f t="shared" si="3"/>
        <v>753976</v>
      </c>
      <c r="AI17" s="272">
        <v>640470</v>
      </c>
      <c r="AJ17" s="272">
        <v>113506</v>
      </c>
      <c r="AK17" s="272">
        <v>3061387</v>
      </c>
      <c r="AL17" s="455">
        <f t="shared" si="4"/>
        <v>1879369</v>
      </c>
      <c r="AM17" s="272">
        <v>1375470</v>
      </c>
      <c r="AN17" s="272">
        <v>500752</v>
      </c>
      <c r="AO17" s="272">
        <v>0</v>
      </c>
      <c r="AP17" s="272">
        <v>3147</v>
      </c>
      <c r="AQ17" s="272">
        <v>101333</v>
      </c>
      <c r="AR17" s="272">
        <v>0</v>
      </c>
      <c r="AS17" s="272">
        <v>0</v>
      </c>
      <c r="AT17" s="272">
        <v>1900979</v>
      </c>
      <c r="AU17" s="272">
        <v>948536</v>
      </c>
      <c r="AV17" s="272">
        <v>249504</v>
      </c>
      <c r="AW17" s="272">
        <v>129381</v>
      </c>
      <c r="AX17" s="272">
        <v>952443</v>
      </c>
      <c r="AY17" s="272">
        <v>102426</v>
      </c>
      <c r="AZ17" s="272">
        <v>71910</v>
      </c>
      <c r="BA17" s="272">
        <v>66877</v>
      </c>
      <c r="BB17" s="272">
        <v>199097</v>
      </c>
      <c r="BC17" s="272">
        <v>558368</v>
      </c>
      <c r="BD17" s="272">
        <v>0</v>
      </c>
      <c r="BE17" s="272">
        <v>300000</v>
      </c>
      <c r="BF17" s="272">
        <v>48368</v>
      </c>
      <c r="BG17" s="272">
        <v>0</v>
      </c>
      <c r="BH17" s="272">
        <v>0</v>
      </c>
      <c r="BI17" s="272">
        <v>0</v>
      </c>
      <c r="BJ17" s="272">
        <v>485040</v>
      </c>
      <c r="BK17" s="272">
        <v>125098</v>
      </c>
      <c r="BL17" s="272">
        <v>0</v>
      </c>
      <c r="BM17" s="272">
        <v>20268</v>
      </c>
      <c r="BN17" s="272">
        <v>1717789</v>
      </c>
      <c r="BO17" s="455">
        <f t="shared" si="5"/>
        <v>1135889</v>
      </c>
      <c r="BP17" s="455">
        <f t="shared" si="6"/>
        <v>581900</v>
      </c>
      <c r="BQ17" s="272">
        <v>161700</v>
      </c>
      <c r="BR17" s="272">
        <v>0</v>
      </c>
      <c r="BS17" s="272">
        <v>420200</v>
      </c>
      <c r="BT17" s="272">
        <v>0</v>
      </c>
      <c r="BU17" s="272">
        <v>34263540</v>
      </c>
      <c r="BV17" s="272"/>
      <c r="BW17" s="272">
        <v>9550398</v>
      </c>
      <c r="BX17" s="272">
        <v>6566094</v>
      </c>
      <c r="BY17" s="272">
        <v>863112</v>
      </c>
      <c r="BZ17" s="272">
        <v>610011</v>
      </c>
      <c r="CA17" s="272">
        <v>4773599</v>
      </c>
      <c r="CB17" s="272">
        <v>781018</v>
      </c>
      <c r="CC17" s="272">
        <v>415926</v>
      </c>
      <c r="CD17" s="272">
        <v>1620964</v>
      </c>
      <c r="CE17" s="272">
        <v>1864135</v>
      </c>
      <c r="CF17" s="272">
        <v>3041</v>
      </c>
      <c r="CG17" s="272">
        <v>88515</v>
      </c>
      <c r="CH17" s="272">
        <v>5764478</v>
      </c>
      <c r="CI17" s="272">
        <v>3232856</v>
      </c>
      <c r="CJ17" s="455">
        <f t="shared" si="7"/>
        <v>2531622</v>
      </c>
      <c r="CK17" s="272">
        <v>3413742</v>
      </c>
      <c r="CL17" s="272">
        <v>1901429</v>
      </c>
      <c r="CM17" s="272">
        <v>153940</v>
      </c>
      <c r="CN17" s="272">
        <v>716929</v>
      </c>
      <c r="CO17" s="272">
        <v>282849</v>
      </c>
      <c r="CP17" s="272">
        <v>4305309</v>
      </c>
      <c r="CQ17" s="272">
        <v>1160833</v>
      </c>
      <c r="CR17" s="272">
        <v>1205126</v>
      </c>
      <c r="CS17" s="272">
        <v>1110692</v>
      </c>
      <c r="CT17" s="455">
        <f t="shared" si="8"/>
        <v>1412362</v>
      </c>
      <c r="CU17" s="272">
        <v>1270829</v>
      </c>
      <c r="CV17" s="272">
        <v>141533</v>
      </c>
      <c r="CW17" s="455">
        <f t="shared" si="9"/>
        <v>1370000</v>
      </c>
      <c r="CX17" s="272">
        <v>1228467</v>
      </c>
      <c r="CY17" s="272">
        <v>141533</v>
      </c>
      <c r="CZ17" s="455">
        <f t="shared" si="10"/>
        <v>0</v>
      </c>
      <c r="DA17" s="272">
        <v>0</v>
      </c>
      <c r="DB17" s="272">
        <v>0</v>
      </c>
      <c r="DC17" s="272">
        <v>2226219</v>
      </c>
      <c r="DD17" s="272">
        <v>431252</v>
      </c>
      <c r="DE17" s="272">
        <v>1496744</v>
      </c>
      <c r="DF17" s="272">
        <v>266022</v>
      </c>
      <c r="DG17" s="272">
        <v>32201</v>
      </c>
      <c r="DH17" s="272">
        <v>9062</v>
      </c>
      <c r="DI17" s="272">
        <v>283055</v>
      </c>
      <c r="DJ17" s="272">
        <v>29</v>
      </c>
      <c r="DK17" s="272">
        <v>686</v>
      </c>
      <c r="DL17" s="272">
        <v>282340</v>
      </c>
      <c r="DM17" s="272">
        <v>0</v>
      </c>
      <c r="DN17" s="272">
        <v>0</v>
      </c>
      <c r="DO17" s="272">
        <v>0</v>
      </c>
      <c r="DP17" s="272">
        <v>0</v>
      </c>
      <c r="DQ17" s="272">
        <v>190000</v>
      </c>
      <c r="DR17" s="272">
        <v>0</v>
      </c>
      <c r="DS17" s="272">
        <v>0</v>
      </c>
      <c r="DT17" s="272">
        <v>3510447</v>
      </c>
      <c r="DU17" s="272">
        <v>1689702</v>
      </c>
      <c r="DV17" s="455">
        <f t="shared" si="11"/>
        <v>0</v>
      </c>
      <c r="DW17" s="272">
        <v>0</v>
      </c>
      <c r="DX17" s="272">
        <v>0</v>
      </c>
      <c r="DY17" s="272">
        <v>0</v>
      </c>
      <c r="DZ17" s="272">
        <v>819499</v>
      </c>
      <c r="EA17" s="272">
        <v>453504</v>
      </c>
      <c r="EB17" s="272">
        <v>547442</v>
      </c>
      <c r="EC17" s="272">
        <v>2732243</v>
      </c>
      <c r="ED17" s="272">
        <v>37041401</v>
      </c>
      <c r="EF17" s="272">
        <v>-2777861</v>
      </c>
      <c r="EG17" s="272">
        <v>58334</v>
      </c>
      <c r="EH17" s="272">
        <v>-2836195</v>
      </c>
      <c r="EI17" s="272">
        <v>-45956</v>
      </c>
      <c r="EJ17" s="272">
        <v>-45927</v>
      </c>
      <c r="EL17" s="272"/>
      <c r="EM17" s="272">
        <v>99208</v>
      </c>
      <c r="EN17" s="272">
        <v>510000</v>
      </c>
      <c r="EO17" s="272">
        <v>67445</v>
      </c>
      <c r="EP17" s="455">
        <f t="shared" si="12"/>
        <v>489033</v>
      </c>
      <c r="EQ17" s="272">
        <v>24897982</v>
      </c>
      <c r="ER17" s="272">
        <v>-1628429</v>
      </c>
      <c r="ES17" s="272">
        <v>8298582</v>
      </c>
      <c r="ET17" s="272">
        <v>5344304</v>
      </c>
      <c r="EU17" s="272">
        <v>1696641</v>
      </c>
      <c r="EV17" s="272">
        <v>5508481</v>
      </c>
      <c r="EW17" s="455">
        <f t="shared" si="13"/>
        <v>731120</v>
      </c>
      <c r="EX17" s="272">
        <v>722242</v>
      </c>
      <c r="EY17" s="272">
        <v>60308</v>
      </c>
      <c r="EZ17" s="272">
        <v>660411</v>
      </c>
      <c r="FA17" s="272">
        <v>8878</v>
      </c>
      <c r="FB17" s="272"/>
      <c r="FC17" s="272">
        <v>2615312</v>
      </c>
      <c r="FD17" s="272">
        <v>4007079</v>
      </c>
      <c r="FE17" s="272">
        <v>1160833</v>
      </c>
      <c r="FF17" s="272">
        <v>3228369</v>
      </c>
      <c r="FG17" s="455">
        <f t="shared" si="14"/>
        <v>3218688</v>
      </c>
      <c r="FH17" s="272">
        <v>29304272</v>
      </c>
      <c r="FI17" s="384">
        <f t="shared" si="15"/>
        <v>-12.7</v>
      </c>
      <c r="FJ17" s="272">
        <v>22248451</v>
      </c>
      <c r="FK17" s="272">
        <v>420231</v>
      </c>
      <c r="FL17" s="272">
        <v>16752735</v>
      </c>
      <c r="FM17" s="272">
        <v>16185650</v>
      </c>
      <c r="FN17" s="460">
        <v>1.0489999999999999</v>
      </c>
      <c r="FO17" s="388">
        <v>105</v>
      </c>
      <c r="FP17" s="388">
        <v>34.200000000000003</v>
      </c>
      <c r="FQ17" s="388">
        <v>7.4</v>
      </c>
      <c r="FR17" s="388">
        <v>24.2</v>
      </c>
      <c r="FS17" s="388">
        <v>11</v>
      </c>
      <c r="FT17" s="388">
        <v>14.8</v>
      </c>
      <c r="FU17" s="388">
        <v>12.2</v>
      </c>
      <c r="FV17" s="388">
        <v>16.3</v>
      </c>
      <c r="FW17" s="272">
        <v>75963559</v>
      </c>
      <c r="FX17" s="384">
        <f t="shared" si="16"/>
        <v>341.4</v>
      </c>
      <c r="FY17" s="272">
        <v>3774757</v>
      </c>
      <c r="FZ17" s="272">
        <v>32811</v>
      </c>
      <c r="GA17" s="272">
        <v>586733</v>
      </c>
      <c r="GB17" s="272">
        <v>3155213</v>
      </c>
      <c r="GC17" s="272"/>
      <c r="GD17" s="272">
        <v>9237837</v>
      </c>
      <c r="GE17" s="384">
        <f t="shared" si="17"/>
        <v>41.5</v>
      </c>
      <c r="GF17" s="388">
        <v>97.6</v>
      </c>
      <c r="GG17" s="388">
        <v>15.7</v>
      </c>
      <c r="GH17" s="388">
        <v>89.3</v>
      </c>
      <c r="GI17" s="272">
        <v>925</v>
      </c>
    </row>
    <row r="18" spans="2:191" x14ac:dyDescent="0.15">
      <c r="B18" s="89" t="s">
        <v>29</v>
      </c>
      <c r="C18" s="272">
        <v>14962387</v>
      </c>
      <c r="D18" s="455">
        <f t="shared" si="0"/>
        <v>6172702</v>
      </c>
      <c r="E18" s="272">
        <v>107118</v>
      </c>
      <c r="F18" s="272">
        <v>6065584</v>
      </c>
      <c r="G18" s="455">
        <f t="shared" si="1"/>
        <v>609435</v>
      </c>
      <c r="H18" s="272">
        <v>178280</v>
      </c>
      <c r="I18" s="272">
        <v>431155</v>
      </c>
      <c r="J18" s="272">
        <v>6142877</v>
      </c>
      <c r="K18" s="272">
        <v>2881826</v>
      </c>
      <c r="L18" s="272">
        <v>2568265</v>
      </c>
      <c r="M18" s="272">
        <v>616803</v>
      </c>
      <c r="N18" s="272">
        <v>600557</v>
      </c>
      <c r="O18" s="272">
        <v>1316529</v>
      </c>
      <c r="P18" s="272">
        <v>805400</v>
      </c>
      <c r="Q18" s="272">
        <v>511129</v>
      </c>
      <c r="R18" s="272">
        <v>261406</v>
      </c>
      <c r="S18" s="272"/>
      <c r="T18" s="455">
        <f t="shared" si="2"/>
        <v>2103118</v>
      </c>
      <c r="U18" s="272">
        <v>778070</v>
      </c>
      <c r="V18" s="272"/>
      <c r="W18" s="272"/>
      <c r="X18" s="272">
        <v>1000940</v>
      </c>
      <c r="Y18" s="272">
        <v>64153</v>
      </c>
      <c r="Z18" s="272">
        <v>0</v>
      </c>
      <c r="AA18" s="272">
        <v>259955</v>
      </c>
      <c r="AB18" s="272">
        <v>616395</v>
      </c>
      <c r="AC18" s="272">
        <v>5958825</v>
      </c>
      <c r="AD18" s="272">
        <v>5654583</v>
      </c>
      <c r="AE18" s="272">
        <v>304242</v>
      </c>
      <c r="AF18" s="272">
        <v>25886</v>
      </c>
      <c r="AG18" s="272">
        <v>494269</v>
      </c>
      <c r="AH18" s="455">
        <f t="shared" si="3"/>
        <v>1289649</v>
      </c>
      <c r="AI18" s="272">
        <v>925983</v>
      </c>
      <c r="AJ18" s="272">
        <v>363666</v>
      </c>
      <c r="AK18" s="272">
        <v>3477476</v>
      </c>
      <c r="AL18" s="455">
        <f t="shared" si="4"/>
        <v>2188123</v>
      </c>
      <c r="AM18" s="272">
        <v>1785658</v>
      </c>
      <c r="AN18" s="272">
        <v>382494</v>
      </c>
      <c r="AO18" s="272">
        <v>0</v>
      </c>
      <c r="AP18" s="272">
        <v>19971</v>
      </c>
      <c r="AQ18" s="272">
        <v>298281</v>
      </c>
      <c r="AR18" s="272">
        <v>0</v>
      </c>
      <c r="AS18" s="272">
        <v>0</v>
      </c>
      <c r="AT18" s="272">
        <v>1624468</v>
      </c>
      <c r="AU18" s="272">
        <v>744686</v>
      </c>
      <c r="AV18" s="272">
        <v>250753</v>
      </c>
      <c r="AW18" s="272">
        <v>81888</v>
      </c>
      <c r="AX18" s="272">
        <v>879782</v>
      </c>
      <c r="AY18" s="272">
        <v>77264</v>
      </c>
      <c r="AZ18" s="272">
        <v>8547</v>
      </c>
      <c r="BA18" s="272">
        <v>0</v>
      </c>
      <c r="BB18" s="272">
        <v>80109</v>
      </c>
      <c r="BC18" s="272">
        <v>537743</v>
      </c>
      <c r="BD18" s="272">
        <v>0</v>
      </c>
      <c r="BE18" s="272">
        <v>0</v>
      </c>
      <c r="BF18" s="272">
        <v>503543</v>
      </c>
      <c r="BG18" s="272">
        <v>0</v>
      </c>
      <c r="BH18" s="272">
        <v>590864</v>
      </c>
      <c r="BI18" s="272">
        <v>428814</v>
      </c>
      <c r="BJ18" s="272">
        <v>1651496</v>
      </c>
      <c r="BK18" s="272">
        <v>1207884</v>
      </c>
      <c r="BL18" s="272">
        <v>0</v>
      </c>
      <c r="BM18" s="272">
        <v>0</v>
      </c>
      <c r="BN18" s="272">
        <v>1104900</v>
      </c>
      <c r="BO18" s="455">
        <f t="shared" si="5"/>
        <v>372000</v>
      </c>
      <c r="BP18" s="455">
        <f t="shared" si="6"/>
        <v>732900</v>
      </c>
      <c r="BQ18" s="272">
        <v>226900</v>
      </c>
      <c r="BR18" s="272">
        <v>0</v>
      </c>
      <c r="BS18" s="272">
        <v>506000</v>
      </c>
      <c r="BT18" s="272">
        <v>0</v>
      </c>
      <c r="BU18" s="272">
        <v>34787538</v>
      </c>
      <c r="BV18" s="272"/>
      <c r="BW18" s="272">
        <v>8546223</v>
      </c>
      <c r="BX18" s="272">
        <v>6440512</v>
      </c>
      <c r="BY18" s="272">
        <v>542661</v>
      </c>
      <c r="BZ18" s="272">
        <v>49017</v>
      </c>
      <c r="CA18" s="272">
        <v>5407719</v>
      </c>
      <c r="CB18" s="272">
        <v>971703</v>
      </c>
      <c r="CC18" s="272">
        <v>370704</v>
      </c>
      <c r="CD18" s="272">
        <v>1556182</v>
      </c>
      <c r="CE18" s="272">
        <v>2398815</v>
      </c>
      <c r="CF18" s="272">
        <v>0</v>
      </c>
      <c r="CG18" s="272">
        <v>110315</v>
      </c>
      <c r="CH18" s="272">
        <v>3315212</v>
      </c>
      <c r="CI18" s="272">
        <v>2587420</v>
      </c>
      <c r="CJ18" s="455">
        <f t="shared" si="7"/>
        <v>727792</v>
      </c>
      <c r="CK18" s="272">
        <v>5358262</v>
      </c>
      <c r="CL18" s="272">
        <v>3027927</v>
      </c>
      <c r="CM18" s="272">
        <v>635968</v>
      </c>
      <c r="CN18" s="272">
        <v>797551</v>
      </c>
      <c r="CO18" s="272">
        <v>376690</v>
      </c>
      <c r="CP18" s="272">
        <v>2904034</v>
      </c>
      <c r="CQ18" s="272">
        <v>857544</v>
      </c>
      <c r="CR18" s="272">
        <v>1552357</v>
      </c>
      <c r="CS18" s="272">
        <v>1257465</v>
      </c>
      <c r="CT18" s="455">
        <f t="shared" si="8"/>
        <v>2224</v>
      </c>
      <c r="CU18" s="272">
        <v>2224</v>
      </c>
      <c r="CV18" s="272">
        <v>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2615251</v>
      </c>
      <c r="DD18" s="272">
        <v>772572</v>
      </c>
      <c r="DE18" s="272">
        <v>1812643</v>
      </c>
      <c r="DF18" s="272">
        <v>30036</v>
      </c>
      <c r="DG18" s="272">
        <v>0</v>
      </c>
      <c r="DH18" s="272">
        <v>34055</v>
      </c>
      <c r="DI18" s="272">
        <v>924403</v>
      </c>
      <c r="DJ18" s="272">
        <v>357268</v>
      </c>
      <c r="DK18" s="272">
        <v>0</v>
      </c>
      <c r="DL18" s="272">
        <v>567135</v>
      </c>
      <c r="DM18" s="272">
        <v>0</v>
      </c>
      <c r="DN18" s="272">
        <v>0</v>
      </c>
      <c r="DO18" s="272">
        <v>0</v>
      </c>
      <c r="DP18" s="272">
        <v>0</v>
      </c>
      <c r="DQ18" s="272">
        <v>1182880</v>
      </c>
      <c r="DR18" s="272">
        <v>0</v>
      </c>
      <c r="DS18" s="272">
        <v>0</v>
      </c>
      <c r="DT18" s="272">
        <v>3636825</v>
      </c>
      <c r="DU18" s="272">
        <v>1310527</v>
      </c>
      <c r="DV18" s="455">
        <f t="shared" si="11"/>
        <v>0</v>
      </c>
      <c r="DW18" s="272">
        <v>0</v>
      </c>
      <c r="DX18" s="272">
        <v>0</v>
      </c>
      <c r="DY18" s="272">
        <v>0</v>
      </c>
      <c r="DZ18" s="272">
        <v>1106899</v>
      </c>
      <c r="EA18" s="272">
        <v>459266</v>
      </c>
      <c r="EB18" s="272">
        <v>634883</v>
      </c>
      <c r="EC18" s="272">
        <v>0</v>
      </c>
      <c r="ED18" s="272">
        <v>34301554</v>
      </c>
      <c r="EF18" s="272">
        <v>485984</v>
      </c>
      <c r="EG18" s="272">
        <v>52266</v>
      </c>
      <c r="EH18" s="272">
        <v>433718</v>
      </c>
      <c r="EI18" s="272">
        <v>4904</v>
      </c>
      <c r="EJ18" s="272">
        <v>406141</v>
      </c>
      <c r="EL18" s="272"/>
      <c r="EM18" s="272">
        <v>125447</v>
      </c>
      <c r="EN18" s="272">
        <v>34200</v>
      </c>
      <c r="EO18" s="272">
        <v>8</v>
      </c>
      <c r="EP18" s="455">
        <f t="shared" si="12"/>
        <v>827476</v>
      </c>
      <c r="EQ18" s="272">
        <v>23928017</v>
      </c>
      <c r="ER18" s="272">
        <v>-1568698</v>
      </c>
      <c r="ES18" s="272">
        <v>7423102</v>
      </c>
      <c r="ET18" s="272">
        <v>5355364</v>
      </c>
      <c r="EU18" s="272">
        <v>2108790</v>
      </c>
      <c r="EV18" s="272">
        <v>2991157</v>
      </c>
      <c r="EW18" s="455">
        <f t="shared" si="13"/>
        <v>1381157</v>
      </c>
      <c r="EX18" s="272">
        <v>1365141</v>
      </c>
      <c r="EY18" s="272">
        <v>149177</v>
      </c>
      <c r="EZ18" s="272">
        <v>1195115</v>
      </c>
      <c r="FA18" s="272">
        <v>16016</v>
      </c>
      <c r="FB18" s="272"/>
      <c r="FC18" s="272">
        <v>4148107</v>
      </c>
      <c r="FD18" s="272">
        <v>2653651</v>
      </c>
      <c r="FE18" s="272">
        <v>857544</v>
      </c>
      <c r="FF18" s="272">
        <v>3374214</v>
      </c>
      <c r="FG18" s="455">
        <f t="shared" si="14"/>
        <v>930553</v>
      </c>
      <c r="FH18" s="272">
        <v>25010731</v>
      </c>
      <c r="FI18" s="384">
        <f t="shared" si="15"/>
        <v>1.9</v>
      </c>
      <c r="FJ18" s="272">
        <v>22554206</v>
      </c>
      <c r="FK18" s="272">
        <v>506444</v>
      </c>
      <c r="FL18" s="272">
        <v>12746990</v>
      </c>
      <c r="FM18" s="272">
        <v>18401983</v>
      </c>
      <c r="FN18" s="460">
        <v>0.68600000000000005</v>
      </c>
      <c r="FO18" s="388">
        <v>91.8</v>
      </c>
      <c r="FP18" s="388">
        <v>31.1</v>
      </c>
      <c r="FQ18" s="388">
        <v>9.1</v>
      </c>
      <c r="FR18" s="388">
        <v>12.7</v>
      </c>
      <c r="FS18" s="388">
        <v>17.8</v>
      </c>
      <c r="FT18" s="388">
        <v>10.9</v>
      </c>
      <c r="FU18" s="388">
        <v>8.6</v>
      </c>
      <c r="FV18" s="388">
        <v>9.6999999999999993</v>
      </c>
      <c r="FW18" s="272">
        <v>21195123</v>
      </c>
      <c r="FX18" s="384">
        <f t="shared" si="16"/>
        <v>94</v>
      </c>
      <c r="FY18" s="272">
        <v>10678192</v>
      </c>
      <c r="FZ18" s="272">
        <v>2994129</v>
      </c>
      <c r="GA18" s="272"/>
      <c r="GB18" s="272">
        <v>7684063</v>
      </c>
      <c r="GC18" s="272"/>
      <c r="GD18" s="272">
        <v>1258297</v>
      </c>
      <c r="GE18" s="384">
        <f t="shared" si="17"/>
        <v>5.6</v>
      </c>
      <c r="GF18" s="388">
        <v>97.3</v>
      </c>
      <c r="GG18" s="388">
        <v>17.399999999999999</v>
      </c>
      <c r="GH18" s="388">
        <v>89.7</v>
      </c>
      <c r="GI18" s="272">
        <v>883</v>
      </c>
    </row>
    <row r="19" spans="2:191" x14ac:dyDescent="0.15">
      <c r="B19" s="89" t="s">
        <v>31</v>
      </c>
      <c r="C19" s="272">
        <v>30349783</v>
      </c>
      <c r="D19" s="455">
        <f t="shared" si="0"/>
        <v>11390349</v>
      </c>
      <c r="E19" s="272">
        <v>231314</v>
      </c>
      <c r="F19" s="272">
        <v>11159035</v>
      </c>
      <c r="G19" s="455">
        <f t="shared" si="1"/>
        <v>1914618</v>
      </c>
      <c r="H19" s="272">
        <v>522791</v>
      </c>
      <c r="I19" s="272">
        <v>1391827</v>
      </c>
      <c r="J19" s="272">
        <v>12275677</v>
      </c>
      <c r="K19" s="272">
        <v>6063853</v>
      </c>
      <c r="L19" s="272">
        <v>4686462</v>
      </c>
      <c r="M19" s="272">
        <v>1245154</v>
      </c>
      <c r="N19" s="272">
        <v>1582492</v>
      </c>
      <c r="O19" s="272">
        <v>3035888</v>
      </c>
      <c r="P19" s="272">
        <v>1970378</v>
      </c>
      <c r="Q19" s="272">
        <v>1065510</v>
      </c>
      <c r="R19" s="272">
        <v>433505</v>
      </c>
      <c r="S19" s="272"/>
      <c r="T19" s="455">
        <f t="shared" si="2"/>
        <v>4110177</v>
      </c>
      <c r="U19" s="272">
        <v>1556132</v>
      </c>
      <c r="V19" s="272"/>
      <c r="W19" s="272"/>
      <c r="X19" s="272">
        <v>2122634</v>
      </c>
      <c r="Y19" s="272">
        <v>0</v>
      </c>
      <c r="Z19" s="272">
        <v>0</v>
      </c>
      <c r="AA19" s="272">
        <v>431411</v>
      </c>
      <c r="AB19" s="272">
        <v>1148703</v>
      </c>
      <c r="AC19" s="272">
        <v>11686958</v>
      </c>
      <c r="AD19" s="272">
        <v>11075774</v>
      </c>
      <c r="AE19" s="272">
        <v>611184</v>
      </c>
      <c r="AF19" s="272">
        <v>40946</v>
      </c>
      <c r="AG19" s="272">
        <v>423804</v>
      </c>
      <c r="AH19" s="455">
        <f t="shared" si="3"/>
        <v>1581278</v>
      </c>
      <c r="AI19" s="272">
        <v>1027325</v>
      </c>
      <c r="AJ19" s="272">
        <v>553953</v>
      </c>
      <c r="AK19" s="272">
        <v>8089557</v>
      </c>
      <c r="AL19" s="455">
        <f t="shared" si="4"/>
        <v>5296826</v>
      </c>
      <c r="AM19" s="272">
        <v>4116216</v>
      </c>
      <c r="AN19" s="272">
        <v>1146672</v>
      </c>
      <c r="AO19" s="272">
        <v>0</v>
      </c>
      <c r="AP19" s="272">
        <v>33938</v>
      </c>
      <c r="AQ19" s="272">
        <v>652204</v>
      </c>
      <c r="AR19" s="272">
        <v>0</v>
      </c>
      <c r="AS19" s="272">
        <v>0</v>
      </c>
      <c r="AT19" s="272">
        <v>3656523</v>
      </c>
      <c r="AU19" s="272">
        <v>1994551</v>
      </c>
      <c r="AV19" s="272">
        <v>535873</v>
      </c>
      <c r="AW19" s="272">
        <v>65364</v>
      </c>
      <c r="AX19" s="272">
        <v>1661972</v>
      </c>
      <c r="AY19" s="272">
        <v>305240</v>
      </c>
      <c r="AZ19" s="272">
        <v>153669</v>
      </c>
      <c r="BA19" s="272">
        <v>60771</v>
      </c>
      <c r="BB19" s="272">
        <v>8518</v>
      </c>
      <c r="BC19" s="272">
        <v>584497</v>
      </c>
      <c r="BD19" s="272">
        <v>0</v>
      </c>
      <c r="BE19" s="272">
        <v>0</v>
      </c>
      <c r="BF19" s="272">
        <v>503030</v>
      </c>
      <c r="BG19" s="272">
        <v>0</v>
      </c>
      <c r="BH19" s="272">
        <v>0</v>
      </c>
      <c r="BI19" s="272">
        <v>0</v>
      </c>
      <c r="BJ19" s="272">
        <v>3470308</v>
      </c>
      <c r="BK19" s="272">
        <v>2813662</v>
      </c>
      <c r="BL19" s="272">
        <v>13813</v>
      </c>
      <c r="BM19" s="272">
        <v>60899</v>
      </c>
      <c r="BN19" s="272">
        <v>3885300</v>
      </c>
      <c r="BO19" s="455">
        <f t="shared" si="5"/>
        <v>2540800</v>
      </c>
      <c r="BP19" s="455">
        <f t="shared" si="6"/>
        <v>1344500</v>
      </c>
      <c r="BQ19" s="272">
        <v>437100</v>
      </c>
      <c r="BR19" s="272">
        <v>0</v>
      </c>
      <c r="BS19" s="272">
        <v>907400</v>
      </c>
      <c r="BT19" s="272">
        <v>0</v>
      </c>
      <c r="BU19" s="272">
        <v>69623526</v>
      </c>
      <c r="BV19" s="272"/>
      <c r="BW19" s="272">
        <v>20734158</v>
      </c>
      <c r="BX19" s="272">
        <v>14981094</v>
      </c>
      <c r="BY19" s="272">
        <v>2136503</v>
      </c>
      <c r="BZ19" s="272">
        <v>382984</v>
      </c>
      <c r="CA19" s="272">
        <v>11029936</v>
      </c>
      <c r="CB19" s="272">
        <v>1554247</v>
      </c>
      <c r="CC19" s="272">
        <v>727693</v>
      </c>
      <c r="CD19" s="272">
        <v>3068205</v>
      </c>
      <c r="CE19" s="272">
        <v>5476167</v>
      </c>
      <c r="CF19" s="272">
        <v>5933</v>
      </c>
      <c r="CG19" s="272">
        <v>196581</v>
      </c>
      <c r="CH19" s="272">
        <v>7146534</v>
      </c>
      <c r="CI19" s="272">
        <v>4914647</v>
      </c>
      <c r="CJ19" s="455">
        <f t="shared" si="7"/>
        <v>2231887</v>
      </c>
      <c r="CK19" s="272">
        <v>7989205</v>
      </c>
      <c r="CL19" s="272">
        <v>3618099</v>
      </c>
      <c r="CM19" s="272">
        <v>857919</v>
      </c>
      <c r="CN19" s="272">
        <v>2020670</v>
      </c>
      <c r="CO19" s="272">
        <v>391261</v>
      </c>
      <c r="CP19" s="272">
        <v>5933004</v>
      </c>
      <c r="CQ19" s="272">
        <v>3536571</v>
      </c>
      <c r="CR19" s="272">
        <v>1389060</v>
      </c>
      <c r="CS19" s="272">
        <v>1252371</v>
      </c>
      <c r="CT19" s="455">
        <f t="shared" si="8"/>
        <v>6904</v>
      </c>
      <c r="CU19" s="272">
        <v>6904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5662255</v>
      </c>
      <c r="DD19" s="272">
        <v>1698422</v>
      </c>
      <c r="DE19" s="272">
        <v>3929039</v>
      </c>
      <c r="DF19" s="272">
        <v>0</v>
      </c>
      <c r="DG19" s="272">
        <v>34794</v>
      </c>
      <c r="DH19" s="272">
        <v>0</v>
      </c>
      <c r="DI19" s="272">
        <v>316909</v>
      </c>
      <c r="DJ19" s="272">
        <v>155</v>
      </c>
      <c r="DK19" s="272">
        <v>1122</v>
      </c>
      <c r="DL19" s="272">
        <v>315632</v>
      </c>
      <c r="DM19" s="272">
        <v>0</v>
      </c>
      <c r="DN19" s="272">
        <v>0</v>
      </c>
      <c r="DO19" s="272">
        <v>0</v>
      </c>
      <c r="DP19" s="272">
        <v>0</v>
      </c>
      <c r="DQ19" s="272">
        <v>2805355</v>
      </c>
      <c r="DR19" s="272">
        <v>0</v>
      </c>
      <c r="DS19" s="272">
        <v>0</v>
      </c>
      <c r="DT19" s="272">
        <v>7491669</v>
      </c>
      <c r="DU19" s="272">
        <v>3523146</v>
      </c>
      <c r="DV19" s="455">
        <f t="shared" si="11"/>
        <v>0</v>
      </c>
      <c r="DW19" s="272">
        <v>0</v>
      </c>
      <c r="DX19" s="272">
        <v>0</v>
      </c>
      <c r="DY19" s="272">
        <v>0</v>
      </c>
      <c r="DZ19" s="272">
        <v>2065923</v>
      </c>
      <c r="EA19" s="272">
        <v>857743</v>
      </c>
      <c r="EB19" s="272">
        <v>1044687</v>
      </c>
      <c r="EC19" s="272">
        <v>572571</v>
      </c>
      <c r="ED19" s="272">
        <v>70072857</v>
      </c>
      <c r="EF19" s="272">
        <v>-449331</v>
      </c>
      <c r="EG19" s="272">
        <v>20460</v>
      </c>
      <c r="EH19" s="272">
        <v>-469791</v>
      </c>
      <c r="EI19" s="272">
        <v>111463</v>
      </c>
      <c r="EJ19" s="272">
        <v>152477</v>
      </c>
      <c r="EL19" s="272"/>
      <c r="EM19" s="272">
        <v>248464</v>
      </c>
      <c r="EN19" s="272">
        <v>81467</v>
      </c>
      <c r="EO19" s="272">
        <v>57843</v>
      </c>
      <c r="EP19" s="455">
        <f t="shared" si="12"/>
        <v>405711</v>
      </c>
      <c r="EQ19" s="272">
        <v>47770072</v>
      </c>
      <c r="ER19" s="272">
        <v>-1848575</v>
      </c>
      <c r="ES19" s="272">
        <v>18601605</v>
      </c>
      <c r="ET19" s="272">
        <v>12892578</v>
      </c>
      <c r="EU19" s="272">
        <v>3345906</v>
      </c>
      <c r="EV19" s="272">
        <v>7030569</v>
      </c>
      <c r="EW19" s="455">
        <f t="shared" si="13"/>
        <v>1585136</v>
      </c>
      <c r="EX19" s="272">
        <v>1585136</v>
      </c>
      <c r="EY19" s="272">
        <v>155488</v>
      </c>
      <c r="EZ19" s="272">
        <v>1429648</v>
      </c>
      <c r="FA19" s="272">
        <v>0</v>
      </c>
      <c r="FB19" s="272"/>
      <c r="FC19" s="272">
        <v>5953856</v>
      </c>
      <c r="FD19" s="272">
        <v>5411875</v>
      </c>
      <c r="FE19" s="272">
        <v>3536571</v>
      </c>
      <c r="FF19" s="272">
        <v>6867125</v>
      </c>
      <c r="FG19" s="455">
        <f t="shared" si="14"/>
        <v>1271906</v>
      </c>
      <c r="FH19" s="272">
        <v>50067978</v>
      </c>
      <c r="FI19" s="384">
        <f t="shared" si="15"/>
        <v>-1.1000000000000001</v>
      </c>
      <c r="FJ19" s="272">
        <v>44123636</v>
      </c>
      <c r="FK19" s="272">
        <v>907419</v>
      </c>
      <c r="FL19" s="272">
        <v>24907648</v>
      </c>
      <c r="FM19" s="272">
        <v>36010094</v>
      </c>
      <c r="FN19" s="460">
        <v>0.69699999999999995</v>
      </c>
      <c r="FO19" s="388">
        <v>95.6</v>
      </c>
      <c r="FP19" s="388">
        <v>38.6</v>
      </c>
      <c r="FQ19" s="388">
        <v>7.3</v>
      </c>
      <c r="FR19" s="388">
        <v>15.3</v>
      </c>
      <c r="FS19" s="388">
        <v>12.2</v>
      </c>
      <c r="FT19" s="388">
        <v>11</v>
      </c>
      <c r="FU19" s="388">
        <v>10.3</v>
      </c>
      <c r="FV19" s="388">
        <v>9.6999999999999993</v>
      </c>
      <c r="FW19" s="272">
        <v>61961976</v>
      </c>
      <c r="FX19" s="384">
        <f t="shared" si="16"/>
        <v>140.4</v>
      </c>
      <c r="FY19" s="272">
        <v>5575684</v>
      </c>
      <c r="FZ19" s="272">
        <v>51460</v>
      </c>
      <c r="GA19" s="272">
        <v>3771</v>
      </c>
      <c r="GB19" s="272">
        <v>5520453</v>
      </c>
      <c r="GC19" s="272"/>
      <c r="GD19" s="272">
        <v>8900695</v>
      </c>
      <c r="GE19" s="384">
        <f t="shared" si="17"/>
        <v>20.2</v>
      </c>
      <c r="GF19" s="388">
        <v>97.3</v>
      </c>
      <c r="GG19" s="388">
        <v>18.2</v>
      </c>
      <c r="GH19" s="388">
        <v>89</v>
      </c>
      <c r="GI19" s="272">
        <v>1934</v>
      </c>
    </row>
    <row r="20" spans="2:191" x14ac:dyDescent="0.15">
      <c r="B20" s="89" t="s">
        <v>33</v>
      </c>
      <c r="C20" s="272">
        <v>15644807</v>
      </c>
      <c r="D20" s="455">
        <f t="shared" si="0"/>
        <v>6974296</v>
      </c>
      <c r="E20" s="272">
        <v>108840</v>
      </c>
      <c r="F20" s="272">
        <v>6865456</v>
      </c>
      <c r="G20" s="455">
        <f t="shared" si="1"/>
        <v>620829</v>
      </c>
      <c r="H20" s="272">
        <v>186653</v>
      </c>
      <c r="I20" s="272">
        <v>434176</v>
      </c>
      <c r="J20" s="272">
        <v>6047721</v>
      </c>
      <c r="K20" s="272">
        <v>2635390</v>
      </c>
      <c r="L20" s="272">
        <v>2610975</v>
      </c>
      <c r="M20" s="272">
        <v>713530</v>
      </c>
      <c r="N20" s="272">
        <v>503655</v>
      </c>
      <c r="O20" s="272">
        <v>1387900</v>
      </c>
      <c r="P20" s="272">
        <v>840874</v>
      </c>
      <c r="Q20" s="272">
        <v>547026</v>
      </c>
      <c r="R20" s="272">
        <v>308396</v>
      </c>
      <c r="S20" s="272"/>
      <c r="T20" s="455">
        <f t="shared" si="2"/>
        <v>2060738</v>
      </c>
      <c r="U20" s="272">
        <v>848812</v>
      </c>
      <c r="V20" s="272"/>
      <c r="W20" s="272"/>
      <c r="X20" s="272">
        <v>888834</v>
      </c>
      <c r="Y20" s="272">
        <v>16710</v>
      </c>
      <c r="Z20" s="272">
        <v>0</v>
      </c>
      <c r="AA20" s="272">
        <v>306382</v>
      </c>
      <c r="AB20" s="272">
        <v>684851</v>
      </c>
      <c r="AC20" s="272">
        <v>4317318</v>
      </c>
      <c r="AD20" s="272">
        <v>4003219</v>
      </c>
      <c r="AE20" s="272">
        <v>314099</v>
      </c>
      <c r="AF20" s="272">
        <v>21951</v>
      </c>
      <c r="AG20" s="272">
        <v>255333</v>
      </c>
      <c r="AH20" s="455">
        <f t="shared" si="3"/>
        <v>1124144</v>
      </c>
      <c r="AI20" s="272">
        <v>780488</v>
      </c>
      <c r="AJ20" s="272">
        <v>343656</v>
      </c>
      <c r="AK20" s="272">
        <v>2938292</v>
      </c>
      <c r="AL20" s="455">
        <f t="shared" si="4"/>
        <v>1556539</v>
      </c>
      <c r="AM20" s="272">
        <v>1189649</v>
      </c>
      <c r="AN20" s="272">
        <v>349937</v>
      </c>
      <c r="AO20" s="272">
        <v>0</v>
      </c>
      <c r="AP20" s="272">
        <v>16953</v>
      </c>
      <c r="AQ20" s="272">
        <v>200877</v>
      </c>
      <c r="AR20" s="272">
        <v>0</v>
      </c>
      <c r="AS20" s="272">
        <v>0</v>
      </c>
      <c r="AT20" s="272">
        <v>1516155</v>
      </c>
      <c r="AU20" s="272">
        <v>801338</v>
      </c>
      <c r="AV20" s="272">
        <v>165813</v>
      </c>
      <c r="AW20" s="272">
        <v>87150</v>
      </c>
      <c r="AX20" s="272">
        <v>714817</v>
      </c>
      <c r="AY20" s="272">
        <v>64831</v>
      </c>
      <c r="AZ20" s="272">
        <v>198587</v>
      </c>
      <c r="BA20" s="272">
        <v>137279</v>
      </c>
      <c r="BB20" s="272">
        <v>33238</v>
      </c>
      <c r="BC20" s="272">
        <v>2347524</v>
      </c>
      <c r="BD20" s="272">
        <v>454700</v>
      </c>
      <c r="BE20" s="272">
        <v>0</v>
      </c>
      <c r="BF20" s="272">
        <v>1878470</v>
      </c>
      <c r="BG20" s="272">
        <v>0</v>
      </c>
      <c r="BH20" s="272">
        <v>1399640</v>
      </c>
      <c r="BI20" s="272">
        <v>295000</v>
      </c>
      <c r="BJ20" s="272">
        <v>903081</v>
      </c>
      <c r="BK20" s="272">
        <v>745821</v>
      </c>
      <c r="BL20" s="272">
        <v>0</v>
      </c>
      <c r="BM20" s="272">
        <v>0</v>
      </c>
      <c r="BN20" s="272">
        <v>6081700</v>
      </c>
      <c r="BO20" s="455">
        <f t="shared" si="5"/>
        <v>5332000</v>
      </c>
      <c r="BP20" s="455">
        <f t="shared" si="6"/>
        <v>749700</v>
      </c>
      <c r="BQ20" s="272">
        <v>247800</v>
      </c>
      <c r="BR20" s="272">
        <v>0</v>
      </c>
      <c r="BS20" s="272">
        <v>501900</v>
      </c>
      <c r="BT20" s="272">
        <v>0</v>
      </c>
      <c r="BU20" s="272">
        <v>39835755</v>
      </c>
      <c r="BV20" s="272"/>
      <c r="BW20" s="272">
        <v>7012609</v>
      </c>
      <c r="BX20" s="272">
        <v>4727554</v>
      </c>
      <c r="BY20" s="272">
        <v>279093</v>
      </c>
      <c r="BZ20" s="272">
        <v>728269</v>
      </c>
      <c r="CA20" s="272">
        <v>4333912</v>
      </c>
      <c r="CB20" s="272">
        <v>887951</v>
      </c>
      <c r="CC20" s="272">
        <v>518034</v>
      </c>
      <c r="CD20" s="272">
        <v>1324239</v>
      </c>
      <c r="CE20" s="272">
        <v>1561965</v>
      </c>
      <c r="CF20" s="272">
        <v>0</v>
      </c>
      <c r="CG20" s="272">
        <v>41723</v>
      </c>
      <c r="CH20" s="272">
        <v>4417541</v>
      </c>
      <c r="CI20" s="272">
        <v>3407618</v>
      </c>
      <c r="CJ20" s="455">
        <f t="shared" si="7"/>
        <v>1009923</v>
      </c>
      <c r="CK20" s="272">
        <v>5418082</v>
      </c>
      <c r="CL20" s="272">
        <v>3673587</v>
      </c>
      <c r="CM20" s="272">
        <v>84372</v>
      </c>
      <c r="CN20" s="272">
        <v>854865</v>
      </c>
      <c r="CO20" s="272">
        <v>126456</v>
      </c>
      <c r="CP20" s="272">
        <v>2661468</v>
      </c>
      <c r="CQ20" s="272">
        <v>569260</v>
      </c>
      <c r="CR20" s="272">
        <v>1161416</v>
      </c>
      <c r="CS20" s="272">
        <v>1001309</v>
      </c>
      <c r="CT20" s="455">
        <f t="shared" si="8"/>
        <v>215281</v>
      </c>
      <c r="CU20" s="272">
        <v>5019</v>
      </c>
      <c r="CV20" s="272">
        <v>210262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10546950</v>
      </c>
      <c r="DD20" s="272">
        <v>651870</v>
      </c>
      <c r="DE20" s="272">
        <v>9605600</v>
      </c>
      <c r="DF20" s="272">
        <v>280119</v>
      </c>
      <c r="DG20" s="272">
        <v>9361</v>
      </c>
      <c r="DH20" s="272">
        <v>72349</v>
      </c>
      <c r="DI20" s="272">
        <v>438805</v>
      </c>
      <c r="DJ20" s="272">
        <v>292000</v>
      </c>
      <c r="DK20" s="272">
        <v>137275</v>
      </c>
      <c r="DL20" s="272">
        <v>9530</v>
      </c>
      <c r="DM20" s="272">
        <v>0</v>
      </c>
      <c r="DN20" s="272">
        <v>0</v>
      </c>
      <c r="DO20" s="272">
        <v>0</v>
      </c>
      <c r="DP20" s="272">
        <v>0</v>
      </c>
      <c r="DQ20" s="272">
        <v>735220</v>
      </c>
      <c r="DR20" s="272">
        <v>0</v>
      </c>
      <c r="DS20" s="272">
        <v>0</v>
      </c>
      <c r="DT20" s="272">
        <v>3165213</v>
      </c>
      <c r="DU20" s="272">
        <v>1414273</v>
      </c>
      <c r="DV20" s="455">
        <f t="shared" si="11"/>
        <v>70732</v>
      </c>
      <c r="DW20" s="272">
        <v>70732</v>
      </c>
      <c r="DX20" s="272">
        <v>0</v>
      </c>
      <c r="DY20" s="272">
        <v>0</v>
      </c>
      <c r="DZ20" s="272">
        <v>641407</v>
      </c>
      <c r="EA20" s="272">
        <v>517876</v>
      </c>
      <c r="EB20" s="272">
        <v>520925</v>
      </c>
      <c r="EC20" s="272">
        <v>0</v>
      </c>
      <c r="ED20" s="272">
        <v>38928605</v>
      </c>
      <c r="EF20" s="272">
        <v>907150</v>
      </c>
      <c r="EG20" s="272">
        <v>559583</v>
      </c>
      <c r="EH20" s="272">
        <v>347567</v>
      </c>
      <c r="EI20" s="272">
        <v>52567</v>
      </c>
      <c r="EJ20" s="272">
        <v>-110133</v>
      </c>
      <c r="EL20" s="272"/>
      <c r="EM20" s="272">
        <v>121717</v>
      </c>
      <c r="EN20" s="272">
        <v>454700</v>
      </c>
      <c r="EO20" s="272">
        <v>122629</v>
      </c>
      <c r="EP20" s="455">
        <f t="shared" si="12"/>
        <v>1022090</v>
      </c>
      <c r="EQ20" s="272">
        <v>23038061</v>
      </c>
      <c r="ER20" s="272">
        <v>-2327168</v>
      </c>
      <c r="ES20" s="272">
        <v>6540139</v>
      </c>
      <c r="ET20" s="272">
        <v>4274079</v>
      </c>
      <c r="EU20" s="272">
        <v>1484858</v>
      </c>
      <c r="EV20" s="272">
        <v>4417541</v>
      </c>
      <c r="EW20" s="455">
        <f t="shared" si="13"/>
        <v>2355964</v>
      </c>
      <c r="EX20" s="272">
        <v>2284110</v>
      </c>
      <c r="EY20" s="272">
        <v>113226</v>
      </c>
      <c r="EZ20" s="272">
        <v>2156823</v>
      </c>
      <c r="FA20" s="272">
        <v>71854</v>
      </c>
      <c r="FB20" s="272"/>
      <c r="FC20" s="272">
        <v>4169997</v>
      </c>
      <c r="FD20" s="272">
        <v>2232973</v>
      </c>
      <c r="FE20" s="272">
        <v>569260</v>
      </c>
      <c r="FF20" s="272">
        <v>2942950</v>
      </c>
      <c r="FG20" s="455">
        <f t="shared" si="14"/>
        <v>485357</v>
      </c>
      <c r="FH20" s="272">
        <v>24629779</v>
      </c>
      <c r="FI20" s="384">
        <f t="shared" si="15"/>
        <v>1.6</v>
      </c>
      <c r="FJ20" s="272">
        <v>21708848</v>
      </c>
      <c r="FK20" s="272">
        <v>501914</v>
      </c>
      <c r="FL20" s="272">
        <v>13362930</v>
      </c>
      <c r="FM20" s="272">
        <v>17379021</v>
      </c>
      <c r="FN20" s="460">
        <v>0.752</v>
      </c>
      <c r="FO20" s="388">
        <v>92</v>
      </c>
      <c r="FP20" s="388">
        <v>29</v>
      </c>
      <c r="FQ20" s="388">
        <v>6.7</v>
      </c>
      <c r="FR20" s="388">
        <v>19.899999999999999</v>
      </c>
      <c r="FS20" s="388">
        <v>18.600000000000001</v>
      </c>
      <c r="FT20" s="388">
        <v>9.4</v>
      </c>
      <c r="FU20" s="388">
        <v>8</v>
      </c>
      <c r="FV20" s="388">
        <v>11.2</v>
      </c>
      <c r="FW20" s="272">
        <v>37018256</v>
      </c>
      <c r="FX20" s="384">
        <f t="shared" si="16"/>
        <v>170.5</v>
      </c>
      <c r="FY20" s="272">
        <v>15144535</v>
      </c>
      <c r="FZ20" s="272">
        <v>8585477</v>
      </c>
      <c r="GA20" s="272">
        <v>2781993</v>
      </c>
      <c r="GB20" s="272">
        <v>3777065</v>
      </c>
      <c r="GC20" s="272"/>
      <c r="GD20" s="272">
        <v>9225374</v>
      </c>
      <c r="GE20" s="384">
        <f t="shared" si="17"/>
        <v>42.5</v>
      </c>
      <c r="GF20" s="388">
        <v>97.7</v>
      </c>
      <c r="GG20" s="388">
        <v>21.3</v>
      </c>
      <c r="GH20" s="388">
        <v>90.5</v>
      </c>
      <c r="GI20" s="272">
        <v>641</v>
      </c>
    </row>
    <row r="21" spans="2:191" x14ac:dyDescent="0.15">
      <c r="B21" s="89" t="s">
        <v>35</v>
      </c>
      <c r="C21" s="272">
        <v>14963236</v>
      </c>
      <c r="D21" s="455">
        <f t="shared" si="0"/>
        <v>5167715</v>
      </c>
      <c r="E21" s="272">
        <v>113640</v>
      </c>
      <c r="F21" s="272">
        <v>5054075</v>
      </c>
      <c r="G21" s="455">
        <f t="shared" si="1"/>
        <v>1044816</v>
      </c>
      <c r="H21" s="272">
        <v>229550</v>
      </c>
      <c r="I21" s="272">
        <v>815266</v>
      </c>
      <c r="J21" s="272">
        <v>6374456</v>
      </c>
      <c r="K21" s="272">
        <v>3466528</v>
      </c>
      <c r="L21" s="272">
        <v>2249663</v>
      </c>
      <c r="M21" s="272">
        <v>621560</v>
      </c>
      <c r="N21" s="272">
        <v>785158</v>
      </c>
      <c r="O21" s="272">
        <v>1493827</v>
      </c>
      <c r="P21" s="272">
        <v>989280</v>
      </c>
      <c r="Q21" s="272">
        <v>504547</v>
      </c>
      <c r="R21" s="272">
        <v>234428</v>
      </c>
      <c r="S21" s="272"/>
      <c r="T21" s="455">
        <f t="shared" si="2"/>
        <v>2074584</v>
      </c>
      <c r="U21" s="272">
        <v>700600</v>
      </c>
      <c r="V21" s="272"/>
      <c r="W21" s="272"/>
      <c r="X21" s="272">
        <v>1140473</v>
      </c>
      <c r="Y21" s="272">
        <v>0</v>
      </c>
      <c r="Z21" s="272">
        <v>0</v>
      </c>
      <c r="AA21" s="272">
        <v>233511</v>
      </c>
      <c r="AB21" s="272">
        <v>535796</v>
      </c>
      <c r="AC21" s="272">
        <v>8920069</v>
      </c>
      <c r="AD21" s="272">
        <v>8370831</v>
      </c>
      <c r="AE21" s="272">
        <v>549238</v>
      </c>
      <c r="AF21" s="272">
        <v>23869</v>
      </c>
      <c r="AG21" s="272">
        <v>129512</v>
      </c>
      <c r="AH21" s="455">
        <f t="shared" si="3"/>
        <v>580325</v>
      </c>
      <c r="AI21" s="272">
        <v>523242</v>
      </c>
      <c r="AJ21" s="272">
        <v>57083</v>
      </c>
      <c r="AK21" s="272">
        <v>4388061</v>
      </c>
      <c r="AL21" s="455">
        <f t="shared" si="4"/>
        <v>2986835</v>
      </c>
      <c r="AM21" s="272">
        <v>2599411</v>
      </c>
      <c r="AN21" s="272">
        <v>380135</v>
      </c>
      <c r="AO21" s="272">
        <v>0</v>
      </c>
      <c r="AP21" s="272">
        <v>7289</v>
      </c>
      <c r="AQ21" s="272">
        <v>278076</v>
      </c>
      <c r="AR21" s="272">
        <v>0</v>
      </c>
      <c r="AS21" s="272">
        <v>0</v>
      </c>
      <c r="AT21" s="272">
        <v>1763564</v>
      </c>
      <c r="AU21" s="272">
        <v>847073</v>
      </c>
      <c r="AV21" s="272">
        <v>187076</v>
      </c>
      <c r="AW21" s="272">
        <v>10000</v>
      </c>
      <c r="AX21" s="272">
        <v>916491</v>
      </c>
      <c r="AY21" s="272">
        <v>151045</v>
      </c>
      <c r="AZ21" s="272">
        <v>140712</v>
      </c>
      <c r="BA21" s="272">
        <v>21</v>
      </c>
      <c r="BB21" s="272">
        <v>198712</v>
      </c>
      <c r="BC21" s="272">
        <v>752081</v>
      </c>
      <c r="BD21" s="272">
        <v>0</v>
      </c>
      <c r="BE21" s="272">
        <v>150000</v>
      </c>
      <c r="BF21" s="272">
        <v>571636</v>
      </c>
      <c r="BG21" s="272">
        <v>0</v>
      </c>
      <c r="BH21" s="272">
        <v>490108</v>
      </c>
      <c r="BI21" s="272">
        <v>424552</v>
      </c>
      <c r="BJ21" s="272">
        <v>258203</v>
      </c>
      <c r="BK21" s="272">
        <v>60563</v>
      </c>
      <c r="BL21" s="272">
        <v>0</v>
      </c>
      <c r="BM21" s="272">
        <v>0</v>
      </c>
      <c r="BN21" s="272">
        <v>1284200</v>
      </c>
      <c r="BO21" s="455">
        <f t="shared" si="5"/>
        <v>547500</v>
      </c>
      <c r="BP21" s="455">
        <f t="shared" si="6"/>
        <v>736700</v>
      </c>
      <c r="BQ21" s="272">
        <v>205000</v>
      </c>
      <c r="BR21" s="272">
        <v>0</v>
      </c>
      <c r="BS21" s="272">
        <v>531700</v>
      </c>
      <c r="BT21" s="272">
        <v>0</v>
      </c>
      <c r="BU21" s="272">
        <v>36737460</v>
      </c>
      <c r="BV21" s="272"/>
      <c r="BW21" s="272">
        <v>10168793</v>
      </c>
      <c r="BX21" s="272">
        <v>7357044</v>
      </c>
      <c r="BY21" s="272">
        <v>925092</v>
      </c>
      <c r="BZ21" s="272">
        <v>259823</v>
      </c>
      <c r="CA21" s="272">
        <v>6435002</v>
      </c>
      <c r="CB21" s="272">
        <v>808999</v>
      </c>
      <c r="CC21" s="272">
        <v>488959</v>
      </c>
      <c r="CD21" s="272">
        <v>1558630</v>
      </c>
      <c r="CE21" s="272">
        <v>3447276</v>
      </c>
      <c r="CF21" s="272">
        <v>0</v>
      </c>
      <c r="CG21" s="272">
        <v>130428</v>
      </c>
      <c r="CH21" s="272">
        <v>3844053</v>
      </c>
      <c r="CI21" s="272">
        <v>2825014</v>
      </c>
      <c r="CJ21" s="455">
        <f t="shared" si="7"/>
        <v>1019039</v>
      </c>
      <c r="CK21" s="272">
        <v>4718936</v>
      </c>
      <c r="CL21" s="272">
        <v>2921847</v>
      </c>
      <c r="CM21" s="272">
        <v>182182</v>
      </c>
      <c r="CN21" s="272">
        <v>879215</v>
      </c>
      <c r="CO21" s="272">
        <v>272495</v>
      </c>
      <c r="CP21" s="272">
        <v>2637262</v>
      </c>
      <c r="CQ21" s="272">
        <v>151</v>
      </c>
      <c r="CR21" s="272">
        <v>1298268</v>
      </c>
      <c r="CS21" s="272">
        <v>971574</v>
      </c>
      <c r="CT21" s="455">
        <f t="shared" si="8"/>
        <v>665492</v>
      </c>
      <c r="CU21" s="272">
        <v>12000</v>
      </c>
      <c r="CV21" s="272">
        <v>653492</v>
      </c>
      <c r="CW21" s="455">
        <f t="shared" si="9"/>
        <v>651552</v>
      </c>
      <c r="CX21" s="272">
        <v>0</v>
      </c>
      <c r="CY21" s="272">
        <v>651552</v>
      </c>
      <c r="CZ21" s="455">
        <f t="shared" si="10"/>
        <v>0</v>
      </c>
      <c r="DA21" s="272">
        <v>0</v>
      </c>
      <c r="DB21" s="272">
        <v>0</v>
      </c>
      <c r="DC21" s="272">
        <v>1612400</v>
      </c>
      <c r="DD21" s="272">
        <v>622248</v>
      </c>
      <c r="DE21" s="272">
        <v>990152</v>
      </c>
      <c r="DF21" s="272">
        <v>0</v>
      </c>
      <c r="DG21" s="272">
        <v>0</v>
      </c>
      <c r="DH21" s="272">
        <v>0</v>
      </c>
      <c r="DI21" s="272">
        <v>659666</v>
      </c>
      <c r="DJ21" s="272">
        <v>334411</v>
      </c>
      <c r="DK21" s="272">
        <v>377</v>
      </c>
      <c r="DL21" s="272">
        <v>324878</v>
      </c>
      <c r="DM21" s="272">
        <v>0</v>
      </c>
      <c r="DN21" s="272">
        <v>0</v>
      </c>
      <c r="DO21" s="272">
        <v>0</v>
      </c>
      <c r="DP21" s="272">
        <v>0</v>
      </c>
      <c r="DQ21" s="272">
        <v>60000</v>
      </c>
      <c r="DR21" s="272">
        <v>0</v>
      </c>
      <c r="DS21" s="272">
        <v>0</v>
      </c>
      <c r="DT21" s="272">
        <v>6059952</v>
      </c>
      <c r="DU21" s="272">
        <v>3520000</v>
      </c>
      <c r="DV21" s="455">
        <f t="shared" si="11"/>
        <v>0</v>
      </c>
      <c r="DW21" s="272">
        <v>0</v>
      </c>
      <c r="DX21" s="272">
        <v>0</v>
      </c>
      <c r="DY21" s="272">
        <v>0</v>
      </c>
      <c r="DZ21" s="272">
        <v>1313000</v>
      </c>
      <c r="EA21" s="272">
        <v>523915</v>
      </c>
      <c r="EB21" s="272">
        <v>700979</v>
      </c>
      <c r="EC21" s="272">
        <v>0</v>
      </c>
      <c r="ED21" s="272">
        <v>36468559</v>
      </c>
      <c r="EF21" s="272">
        <v>268901</v>
      </c>
      <c r="EG21" s="272">
        <v>138576</v>
      </c>
      <c r="EH21" s="272">
        <v>130325</v>
      </c>
      <c r="EI21" s="272">
        <v>-294227</v>
      </c>
      <c r="EJ21" s="272">
        <v>80147</v>
      </c>
      <c r="EL21" s="272"/>
      <c r="EM21" s="272">
        <v>131043</v>
      </c>
      <c r="EN21" s="272">
        <v>406045</v>
      </c>
      <c r="EO21" s="272">
        <v>118844</v>
      </c>
      <c r="EP21" s="455">
        <f t="shared" si="12"/>
        <v>801361</v>
      </c>
      <c r="EQ21" s="272">
        <v>26751982</v>
      </c>
      <c r="ER21" s="272">
        <v>-2039081</v>
      </c>
      <c r="ES21" s="272">
        <v>9273725</v>
      </c>
      <c r="ET21" s="272">
        <v>6559955</v>
      </c>
      <c r="EU21" s="272">
        <v>2097102</v>
      </c>
      <c r="EV21" s="272">
        <v>3825461</v>
      </c>
      <c r="EW21" s="455">
        <f t="shared" si="13"/>
        <v>259445</v>
      </c>
      <c r="EX21" s="272">
        <v>259445</v>
      </c>
      <c r="EY21" s="272">
        <v>17197</v>
      </c>
      <c r="EZ21" s="272">
        <v>242248</v>
      </c>
      <c r="FA21" s="272">
        <v>0</v>
      </c>
      <c r="FB21" s="272"/>
      <c r="FC21" s="272">
        <v>4141346</v>
      </c>
      <c r="FD21" s="272">
        <v>2405766</v>
      </c>
      <c r="FE21" s="272">
        <v>151</v>
      </c>
      <c r="FF21" s="272">
        <v>5644276</v>
      </c>
      <c r="FG21" s="455">
        <f t="shared" si="14"/>
        <v>907041</v>
      </c>
      <c r="FH21" s="272">
        <v>28554162</v>
      </c>
      <c r="FI21" s="384">
        <f t="shared" si="15"/>
        <v>0.5</v>
      </c>
      <c r="FJ21" s="272">
        <v>24658808</v>
      </c>
      <c r="FK21" s="272">
        <v>531721</v>
      </c>
      <c r="FL21" s="272">
        <v>12282214</v>
      </c>
      <c r="FM21" s="272">
        <v>20670541</v>
      </c>
      <c r="FN21" s="460">
        <v>0.59799999999999998</v>
      </c>
      <c r="FO21" s="388">
        <v>97.2</v>
      </c>
      <c r="FP21" s="388">
        <v>34.700000000000003</v>
      </c>
      <c r="FQ21" s="388">
        <v>8.1999999999999993</v>
      </c>
      <c r="FR21" s="388">
        <v>14.8</v>
      </c>
      <c r="FS21" s="388">
        <v>15.7</v>
      </c>
      <c r="FT21" s="388">
        <v>8.6999999999999993</v>
      </c>
      <c r="FU21" s="388">
        <v>14.1</v>
      </c>
      <c r="FV21" s="388">
        <v>10.5</v>
      </c>
      <c r="FW21" s="272">
        <v>30269949</v>
      </c>
      <c r="FX21" s="384">
        <f t="shared" si="16"/>
        <v>122.8</v>
      </c>
      <c r="FY21" s="272">
        <v>4272723</v>
      </c>
      <c r="FZ21" s="272">
        <v>1391431</v>
      </c>
      <c r="GA21" s="272">
        <v>200979</v>
      </c>
      <c r="GB21" s="272">
        <v>2680313</v>
      </c>
      <c r="GC21" s="272"/>
      <c r="GD21" s="272">
        <v>2754126</v>
      </c>
      <c r="GE21" s="384">
        <f t="shared" si="17"/>
        <v>11.2</v>
      </c>
      <c r="GF21" s="388">
        <v>97.2</v>
      </c>
      <c r="GG21" s="388">
        <v>19.8</v>
      </c>
      <c r="GH21" s="388">
        <v>89.8</v>
      </c>
      <c r="GI21" s="272">
        <v>929</v>
      </c>
    </row>
    <row r="22" spans="2:191" x14ac:dyDescent="0.15">
      <c r="B22" s="89" t="s">
        <v>37</v>
      </c>
      <c r="C22" s="272">
        <v>18920374</v>
      </c>
      <c r="D22" s="455">
        <f t="shared" si="0"/>
        <v>5124489</v>
      </c>
      <c r="E22" s="272">
        <v>118698</v>
      </c>
      <c r="F22" s="272">
        <v>5005791</v>
      </c>
      <c r="G22" s="455">
        <f t="shared" si="1"/>
        <v>1551985</v>
      </c>
      <c r="H22" s="272">
        <v>295660</v>
      </c>
      <c r="I22" s="272">
        <v>1256325</v>
      </c>
      <c r="J22" s="272">
        <v>9310787</v>
      </c>
      <c r="K22" s="272">
        <v>5036919</v>
      </c>
      <c r="L22" s="272">
        <v>3001287</v>
      </c>
      <c r="M22" s="272">
        <v>1123174</v>
      </c>
      <c r="N22" s="272">
        <v>823723</v>
      </c>
      <c r="O22" s="272">
        <v>2022223</v>
      </c>
      <c r="P22" s="272">
        <v>1346985</v>
      </c>
      <c r="Q22" s="272">
        <v>675238</v>
      </c>
      <c r="R22" s="272">
        <v>234778</v>
      </c>
      <c r="S22" s="272"/>
      <c r="T22" s="455">
        <f t="shared" si="2"/>
        <v>2231472</v>
      </c>
      <c r="U22" s="272">
        <v>708139</v>
      </c>
      <c r="V22" s="272"/>
      <c r="W22" s="272"/>
      <c r="X22" s="272">
        <v>1250942</v>
      </c>
      <c r="Y22" s="272">
        <v>38670</v>
      </c>
      <c r="Z22" s="272">
        <v>0</v>
      </c>
      <c r="AA22" s="272">
        <v>233721</v>
      </c>
      <c r="AB22" s="272">
        <v>626294</v>
      </c>
      <c r="AC22" s="272">
        <v>3427789</v>
      </c>
      <c r="AD22" s="272">
        <v>2959693</v>
      </c>
      <c r="AE22" s="272">
        <v>468096</v>
      </c>
      <c r="AF22" s="272">
        <v>23172</v>
      </c>
      <c r="AG22" s="272">
        <v>326088</v>
      </c>
      <c r="AH22" s="455">
        <f t="shared" si="3"/>
        <v>901256</v>
      </c>
      <c r="AI22" s="272">
        <v>583795</v>
      </c>
      <c r="AJ22" s="272">
        <v>317461</v>
      </c>
      <c r="AK22" s="272">
        <v>3961729</v>
      </c>
      <c r="AL22" s="455">
        <f t="shared" si="4"/>
        <v>1674181</v>
      </c>
      <c r="AM22" s="272">
        <v>1084673</v>
      </c>
      <c r="AN22" s="272">
        <v>564158</v>
      </c>
      <c r="AO22" s="272">
        <v>0</v>
      </c>
      <c r="AP22" s="272">
        <v>25350</v>
      </c>
      <c r="AQ22" s="272">
        <v>1099122</v>
      </c>
      <c r="AR22" s="272">
        <v>0</v>
      </c>
      <c r="AS22" s="272">
        <v>0</v>
      </c>
      <c r="AT22" s="272">
        <v>2146210</v>
      </c>
      <c r="AU22" s="272">
        <v>1012770</v>
      </c>
      <c r="AV22" s="272">
        <v>286474</v>
      </c>
      <c r="AW22" s="272">
        <v>90432</v>
      </c>
      <c r="AX22" s="272">
        <v>1133440</v>
      </c>
      <c r="AY22" s="272">
        <v>336203</v>
      </c>
      <c r="AZ22" s="272">
        <v>56862</v>
      </c>
      <c r="BA22" s="272">
        <v>33388</v>
      </c>
      <c r="BB22" s="272">
        <v>2999</v>
      </c>
      <c r="BC22" s="272">
        <v>1567386</v>
      </c>
      <c r="BD22" s="272">
        <v>350000</v>
      </c>
      <c r="BE22" s="272">
        <v>210000</v>
      </c>
      <c r="BF22" s="272">
        <v>15302</v>
      </c>
      <c r="BG22" s="470">
        <v>52385</v>
      </c>
      <c r="BH22" s="272">
        <v>222245</v>
      </c>
      <c r="BI22" s="272">
        <v>40793</v>
      </c>
      <c r="BJ22" s="272">
        <v>2733602</v>
      </c>
      <c r="BK22" s="272">
        <v>2462606</v>
      </c>
      <c r="BL22" s="272">
        <v>0</v>
      </c>
      <c r="BM22" s="272">
        <v>0</v>
      </c>
      <c r="BN22" s="272">
        <v>3757000</v>
      </c>
      <c r="BO22" s="455">
        <f t="shared" si="5"/>
        <v>3016000</v>
      </c>
      <c r="BP22" s="455">
        <f t="shared" si="6"/>
        <v>741000</v>
      </c>
      <c r="BQ22" s="272">
        <v>227900</v>
      </c>
      <c r="BR22" s="272">
        <v>0</v>
      </c>
      <c r="BS22" s="272">
        <v>513100</v>
      </c>
      <c r="BT22" s="272">
        <v>0</v>
      </c>
      <c r="BU22" s="272">
        <v>41139256</v>
      </c>
      <c r="BV22" s="272"/>
      <c r="BW22" s="272">
        <v>11505099</v>
      </c>
      <c r="BX22" s="272">
        <v>8243897</v>
      </c>
      <c r="BY22" s="272">
        <v>1290407</v>
      </c>
      <c r="BZ22" s="272">
        <v>223017</v>
      </c>
      <c r="CA22" s="272">
        <v>4918796</v>
      </c>
      <c r="CB22" s="272">
        <v>726197</v>
      </c>
      <c r="CC22" s="272">
        <v>378615</v>
      </c>
      <c r="CD22" s="272">
        <v>2228204</v>
      </c>
      <c r="CE22" s="272">
        <v>1426888</v>
      </c>
      <c r="CF22" s="272">
        <v>589</v>
      </c>
      <c r="CG22" s="272">
        <v>157763</v>
      </c>
      <c r="CH22" s="272">
        <v>3386086</v>
      </c>
      <c r="CI22" s="272">
        <v>2521404</v>
      </c>
      <c r="CJ22" s="455">
        <f t="shared" si="7"/>
        <v>864682</v>
      </c>
      <c r="CK22" s="272">
        <v>4072729</v>
      </c>
      <c r="CL22" s="272">
        <v>2517160</v>
      </c>
      <c r="CM22" s="272">
        <v>159910</v>
      </c>
      <c r="CN22" s="272">
        <v>814627</v>
      </c>
      <c r="CO22" s="272">
        <v>245983</v>
      </c>
      <c r="CP22" s="272">
        <v>2645960</v>
      </c>
      <c r="CQ22" s="272">
        <v>1443600</v>
      </c>
      <c r="CR22" s="272">
        <v>613341</v>
      </c>
      <c r="CS22" s="272">
        <v>316294</v>
      </c>
      <c r="CT22" s="455">
        <f t="shared" si="8"/>
        <v>21351</v>
      </c>
      <c r="CU22" s="272">
        <v>21351</v>
      </c>
      <c r="CV22" s="272">
        <v>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6936220</v>
      </c>
      <c r="DD22" s="272">
        <v>2989661</v>
      </c>
      <c r="DE22" s="272">
        <v>3946559</v>
      </c>
      <c r="DF22" s="272">
        <v>0</v>
      </c>
      <c r="DG22" s="272">
        <v>0</v>
      </c>
      <c r="DH22" s="272">
        <v>0</v>
      </c>
      <c r="DI22" s="272">
        <v>284644</v>
      </c>
      <c r="DJ22" s="272">
        <v>6668</v>
      </c>
      <c r="DK22" s="272">
        <v>4518</v>
      </c>
      <c r="DL22" s="272">
        <v>273458</v>
      </c>
      <c r="DM22" s="272">
        <v>0</v>
      </c>
      <c r="DN22" s="272">
        <v>0</v>
      </c>
      <c r="DO22" s="272">
        <v>0</v>
      </c>
      <c r="DP22" s="272">
        <v>0</v>
      </c>
      <c r="DQ22" s="272">
        <v>2420000</v>
      </c>
      <c r="DR22" s="272">
        <v>0</v>
      </c>
      <c r="DS22" s="272">
        <v>0</v>
      </c>
      <c r="DT22" s="272">
        <v>4573006</v>
      </c>
      <c r="DU22" s="272">
        <v>2256386</v>
      </c>
      <c r="DV22" s="455">
        <f t="shared" si="11"/>
        <v>0</v>
      </c>
      <c r="DW22" s="272">
        <v>0</v>
      </c>
      <c r="DX22" s="272">
        <v>0</v>
      </c>
      <c r="DY22" s="272">
        <v>0</v>
      </c>
      <c r="DZ22" s="272">
        <v>1327400</v>
      </c>
      <c r="EA22" s="272">
        <v>396137</v>
      </c>
      <c r="EB22" s="272">
        <v>547742</v>
      </c>
      <c r="EC22" s="272">
        <v>0</v>
      </c>
      <c r="ED22" s="272">
        <v>40988523</v>
      </c>
      <c r="EF22" s="272">
        <v>150733</v>
      </c>
      <c r="EG22" s="272">
        <v>94354</v>
      </c>
      <c r="EH22" s="272">
        <v>56379</v>
      </c>
      <c r="EI22" s="272">
        <v>15586</v>
      </c>
      <c r="EJ22" s="272">
        <v>-72206</v>
      </c>
      <c r="EL22" s="272"/>
      <c r="EM22" s="272">
        <v>126833</v>
      </c>
      <c r="EN22" s="272">
        <v>619602</v>
      </c>
      <c r="EO22" s="272">
        <v>22441</v>
      </c>
      <c r="EP22" s="455">
        <f t="shared" si="12"/>
        <v>456048</v>
      </c>
      <c r="EQ22" s="272">
        <v>25463879</v>
      </c>
      <c r="ER22" s="272">
        <v>-1815919</v>
      </c>
      <c r="ES22" s="272">
        <v>10476422</v>
      </c>
      <c r="ET22" s="272">
        <v>7229516</v>
      </c>
      <c r="EU22" s="272">
        <v>1733027</v>
      </c>
      <c r="EV22" s="272">
        <v>3263770</v>
      </c>
      <c r="EW22" s="455">
        <f t="shared" si="13"/>
        <v>1521066</v>
      </c>
      <c r="EX22" s="272">
        <v>1521066</v>
      </c>
      <c r="EY22" s="272">
        <v>140658</v>
      </c>
      <c r="EZ22" s="272">
        <v>1380408</v>
      </c>
      <c r="FA22" s="272">
        <v>0</v>
      </c>
      <c r="FB22" s="272"/>
      <c r="FC22" s="272">
        <v>3077286</v>
      </c>
      <c r="FD22" s="272">
        <v>2376839</v>
      </c>
      <c r="FE22" s="272">
        <v>1443600</v>
      </c>
      <c r="FF22" s="272">
        <v>4209163</v>
      </c>
      <c r="FG22" s="455">
        <f t="shared" si="14"/>
        <v>471492</v>
      </c>
      <c r="FH22" s="272">
        <v>27129065</v>
      </c>
      <c r="FI22" s="384">
        <f t="shared" si="15"/>
        <v>0.2</v>
      </c>
      <c r="FJ22" s="272">
        <v>22837940</v>
      </c>
      <c r="FK22" s="272">
        <v>513136</v>
      </c>
      <c r="FL22" s="272">
        <v>14973692</v>
      </c>
      <c r="FM22" s="272">
        <v>17930514</v>
      </c>
      <c r="FN22" s="460">
        <v>0.86599999999999999</v>
      </c>
      <c r="FO22" s="388">
        <v>97.5</v>
      </c>
      <c r="FP22" s="388">
        <v>41.4</v>
      </c>
      <c r="FQ22" s="388">
        <v>7.3</v>
      </c>
      <c r="FR22" s="388">
        <v>12.6</v>
      </c>
      <c r="FS22" s="388">
        <v>12.6</v>
      </c>
      <c r="FT22" s="388">
        <v>8.5</v>
      </c>
      <c r="FU22" s="388">
        <v>14.2</v>
      </c>
      <c r="FV22" s="388">
        <v>8.6</v>
      </c>
      <c r="FW22" s="272">
        <v>28518592</v>
      </c>
      <c r="FX22" s="384">
        <f t="shared" si="16"/>
        <v>124.9</v>
      </c>
      <c r="FY22" s="272">
        <v>9615062</v>
      </c>
      <c r="FZ22" s="272">
        <v>3714192</v>
      </c>
      <c r="GA22" s="272">
        <v>632998</v>
      </c>
      <c r="GB22" s="272">
        <v>5267872</v>
      </c>
      <c r="GC22" s="272"/>
      <c r="GD22" s="272">
        <v>10465339</v>
      </c>
      <c r="GE22" s="384">
        <f t="shared" si="17"/>
        <v>45.8</v>
      </c>
      <c r="GF22" s="388">
        <v>98.2</v>
      </c>
      <c r="GG22" s="388">
        <v>18.899999999999999</v>
      </c>
      <c r="GH22" s="388">
        <v>93.7</v>
      </c>
      <c r="GI22" s="272">
        <v>1034</v>
      </c>
    </row>
    <row r="23" spans="2:191" x14ac:dyDescent="0.15">
      <c r="B23" s="89" t="s">
        <v>39</v>
      </c>
      <c r="C23" s="272">
        <v>20868903</v>
      </c>
      <c r="D23" s="455">
        <f t="shared" si="0"/>
        <v>7694053</v>
      </c>
      <c r="E23" s="272">
        <v>148137</v>
      </c>
      <c r="F23" s="272">
        <v>7545916</v>
      </c>
      <c r="G23" s="455">
        <f t="shared" si="1"/>
        <v>931941</v>
      </c>
      <c r="H23" s="272">
        <v>298073</v>
      </c>
      <c r="I23" s="272">
        <v>633868</v>
      </c>
      <c r="J23" s="272">
        <v>8858947</v>
      </c>
      <c r="K23" s="272">
        <v>4514847</v>
      </c>
      <c r="L23" s="272">
        <v>3527276</v>
      </c>
      <c r="M23" s="272">
        <v>751806</v>
      </c>
      <c r="N23" s="272">
        <v>882071</v>
      </c>
      <c r="O23" s="272">
        <v>2054304</v>
      </c>
      <c r="P23" s="272">
        <v>1284773</v>
      </c>
      <c r="Q23" s="272">
        <v>769531</v>
      </c>
      <c r="R23" s="272">
        <v>375998</v>
      </c>
      <c r="S23" s="272"/>
      <c r="T23" s="455">
        <f t="shared" si="2"/>
        <v>2677951</v>
      </c>
      <c r="U23" s="272">
        <v>955919</v>
      </c>
      <c r="V23" s="272"/>
      <c r="W23" s="272"/>
      <c r="X23" s="272">
        <v>1323991</v>
      </c>
      <c r="Y23" s="272">
        <v>24581</v>
      </c>
      <c r="Z23" s="272">
        <v>0</v>
      </c>
      <c r="AA23" s="272">
        <v>373460</v>
      </c>
      <c r="AB23" s="272">
        <v>745587</v>
      </c>
      <c r="AC23" s="272">
        <v>8583914</v>
      </c>
      <c r="AD23" s="272">
        <v>7478768</v>
      </c>
      <c r="AE23" s="272">
        <v>1105146</v>
      </c>
      <c r="AF23" s="272">
        <v>28235</v>
      </c>
      <c r="AG23" s="272">
        <v>265310</v>
      </c>
      <c r="AH23" s="455">
        <f t="shared" si="3"/>
        <v>1091237</v>
      </c>
      <c r="AI23" s="272">
        <v>1018981</v>
      </c>
      <c r="AJ23" s="272">
        <v>72256</v>
      </c>
      <c r="AK23" s="272">
        <v>6724423</v>
      </c>
      <c r="AL23" s="455">
        <f t="shared" si="4"/>
        <v>3766988</v>
      </c>
      <c r="AM23" s="272">
        <v>3051555</v>
      </c>
      <c r="AN23" s="272">
        <v>702428</v>
      </c>
      <c r="AO23" s="272">
        <v>0</v>
      </c>
      <c r="AP23" s="272">
        <v>13005</v>
      </c>
      <c r="AQ23" s="272">
        <v>961725</v>
      </c>
      <c r="AR23" s="272">
        <v>0</v>
      </c>
      <c r="AS23" s="272">
        <v>278823</v>
      </c>
      <c r="AT23" s="272">
        <v>2302570</v>
      </c>
      <c r="AU23" s="272">
        <v>1104245</v>
      </c>
      <c r="AV23" s="272">
        <v>307260</v>
      </c>
      <c r="AW23" s="272">
        <v>15705</v>
      </c>
      <c r="AX23" s="272">
        <v>1198325</v>
      </c>
      <c r="AY23" s="272">
        <v>95970</v>
      </c>
      <c r="AZ23" s="272">
        <v>150143</v>
      </c>
      <c r="BA23" s="272">
        <v>94700</v>
      </c>
      <c r="BB23" s="272">
        <v>2087</v>
      </c>
      <c r="BC23" s="272">
        <v>1094826</v>
      </c>
      <c r="BD23" s="272">
        <v>0</v>
      </c>
      <c r="BE23" s="272">
        <v>0</v>
      </c>
      <c r="BF23" s="272">
        <v>1001731</v>
      </c>
      <c r="BG23" s="272">
        <v>0</v>
      </c>
      <c r="BH23" s="272">
        <v>496510</v>
      </c>
      <c r="BI23" s="272">
        <v>336095</v>
      </c>
      <c r="BJ23" s="272">
        <v>2219487</v>
      </c>
      <c r="BK23" s="272">
        <v>210085</v>
      </c>
      <c r="BL23" s="272">
        <v>10794</v>
      </c>
      <c r="BM23" s="272">
        <v>0</v>
      </c>
      <c r="BN23" s="272">
        <v>9464200</v>
      </c>
      <c r="BO23" s="455">
        <f t="shared" si="5"/>
        <v>8532500</v>
      </c>
      <c r="BP23" s="455">
        <f t="shared" si="6"/>
        <v>931700</v>
      </c>
      <c r="BQ23" s="272">
        <v>278400</v>
      </c>
      <c r="BR23" s="272">
        <v>0</v>
      </c>
      <c r="BS23" s="272">
        <v>653300</v>
      </c>
      <c r="BT23" s="272">
        <v>0</v>
      </c>
      <c r="BU23" s="272">
        <v>57370204</v>
      </c>
      <c r="BV23" s="272"/>
      <c r="BW23" s="272">
        <v>13434584</v>
      </c>
      <c r="BX23" s="272">
        <v>9279618</v>
      </c>
      <c r="BY23" s="272">
        <v>1586297</v>
      </c>
      <c r="BZ23" s="272">
        <v>542587</v>
      </c>
      <c r="CA23" s="272">
        <v>8558054</v>
      </c>
      <c r="CB23" s="272">
        <v>1120229</v>
      </c>
      <c r="CC23" s="272">
        <v>625874</v>
      </c>
      <c r="CD23" s="272">
        <v>2447157</v>
      </c>
      <c r="CE23" s="272">
        <v>4183968</v>
      </c>
      <c r="CF23" s="272">
        <v>466</v>
      </c>
      <c r="CG23" s="272">
        <v>179190</v>
      </c>
      <c r="CH23" s="272">
        <v>5085343</v>
      </c>
      <c r="CI23" s="272">
        <v>3550856</v>
      </c>
      <c r="CJ23" s="455">
        <f t="shared" si="7"/>
        <v>1534487</v>
      </c>
      <c r="CK23" s="272">
        <v>6072907</v>
      </c>
      <c r="CL23" s="272">
        <v>3986905</v>
      </c>
      <c r="CM23" s="272">
        <v>267682</v>
      </c>
      <c r="CN23" s="272">
        <v>777564</v>
      </c>
      <c r="CO23" s="272">
        <v>361918</v>
      </c>
      <c r="CP23" s="272">
        <v>4545315</v>
      </c>
      <c r="CQ23" s="272">
        <v>1740892</v>
      </c>
      <c r="CR23" s="272">
        <v>1167821</v>
      </c>
      <c r="CS23" s="272">
        <v>1031053</v>
      </c>
      <c r="CT23" s="455">
        <f t="shared" si="8"/>
        <v>973546</v>
      </c>
      <c r="CU23" s="272">
        <v>15000</v>
      </c>
      <c r="CV23" s="272">
        <v>958546</v>
      </c>
      <c r="CW23" s="455">
        <f t="shared" si="9"/>
        <v>956000</v>
      </c>
      <c r="CX23" s="272">
        <v>0</v>
      </c>
      <c r="CY23" s="272">
        <v>956000</v>
      </c>
      <c r="CZ23" s="455">
        <f t="shared" si="10"/>
        <v>0</v>
      </c>
      <c r="DA23" s="272">
        <v>0</v>
      </c>
      <c r="DB23" s="272">
        <v>0</v>
      </c>
      <c r="DC23" s="272">
        <v>14243508</v>
      </c>
      <c r="DD23" s="272">
        <v>2169942</v>
      </c>
      <c r="DE23" s="272">
        <v>12040997</v>
      </c>
      <c r="DF23" s="272">
        <v>32569</v>
      </c>
      <c r="DG23" s="272">
        <v>0</v>
      </c>
      <c r="DH23" s="272">
        <v>0</v>
      </c>
      <c r="DI23" s="272">
        <v>212849</v>
      </c>
      <c r="DJ23" s="272">
        <v>172270</v>
      </c>
      <c r="DK23" s="272">
        <v>1500</v>
      </c>
      <c r="DL23" s="272">
        <v>39079</v>
      </c>
      <c r="DM23" s="272">
        <v>0</v>
      </c>
      <c r="DN23" s="272">
        <v>0</v>
      </c>
      <c r="DO23" s="272">
        <v>0</v>
      </c>
      <c r="DP23" s="272">
        <v>0</v>
      </c>
      <c r="DQ23" s="272">
        <v>522700</v>
      </c>
      <c r="DR23" s="272">
        <v>400000</v>
      </c>
      <c r="DS23" s="272">
        <v>400000</v>
      </c>
      <c r="DT23" s="272">
        <v>3821223</v>
      </c>
      <c r="DU23" s="272">
        <v>1397159</v>
      </c>
      <c r="DV23" s="455">
        <f t="shared" si="11"/>
        <v>54072</v>
      </c>
      <c r="DW23" s="272">
        <v>54072</v>
      </c>
      <c r="DX23" s="272">
        <v>0</v>
      </c>
      <c r="DY23" s="272">
        <v>0</v>
      </c>
      <c r="DZ23" s="272">
        <v>937815</v>
      </c>
      <c r="EA23" s="272">
        <v>600269</v>
      </c>
      <c r="EB23" s="272">
        <v>831908</v>
      </c>
      <c r="EC23" s="272">
        <v>0</v>
      </c>
      <c r="ED23" s="272">
        <v>56858401</v>
      </c>
      <c r="EF23" s="272">
        <v>511803</v>
      </c>
      <c r="EG23" s="272">
        <v>129570</v>
      </c>
      <c r="EH23" s="272">
        <v>382233</v>
      </c>
      <c r="EI23" s="272">
        <v>46138</v>
      </c>
      <c r="EJ23" s="272">
        <v>266815</v>
      </c>
      <c r="EL23" s="272"/>
      <c r="EM23" s="272">
        <v>174775</v>
      </c>
      <c r="EN23" s="272">
        <v>93095</v>
      </c>
      <c r="EO23" s="272">
        <v>144552</v>
      </c>
      <c r="EP23" s="455">
        <f t="shared" si="12"/>
        <v>1056520</v>
      </c>
      <c r="EQ23" s="272">
        <v>33559411</v>
      </c>
      <c r="ER23" s="272">
        <v>-1918809</v>
      </c>
      <c r="ES23" s="272">
        <v>12076452</v>
      </c>
      <c r="ET23" s="272">
        <v>8341521</v>
      </c>
      <c r="EU23" s="272">
        <v>2987474</v>
      </c>
      <c r="EV23" s="272">
        <v>4484448</v>
      </c>
      <c r="EW23" s="455">
        <f t="shared" si="13"/>
        <v>2050546</v>
      </c>
      <c r="EX23" s="272">
        <v>2050546</v>
      </c>
      <c r="EY23" s="272">
        <v>126246</v>
      </c>
      <c r="EZ23" s="272">
        <v>1915070</v>
      </c>
      <c r="FA23" s="272">
        <v>0</v>
      </c>
      <c r="FB23" s="272"/>
      <c r="FC23" s="272">
        <v>5086982</v>
      </c>
      <c r="FD23" s="272">
        <v>4199408</v>
      </c>
      <c r="FE23" s="272">
        <v>1740892</v>
      </c>
      <c r="FF23" s="272">
        <v>3540293</v>
      </c>
      <c r="FG23" s="455">
        <f t="shared" si="14"/>
        <v>540814</v>
      </c>
      <c r="FH23" s="272">
        <v>34966417</v>
      </c>
      <c r="FI23" s="384">
        <f t="shared" si="15"/>
        <v>1.3</v>
      </c>
      <c r="FJ23" s="272">
        <v>30014497</v>
      </c>
      <c r="FK23" s="272">
        <v>653362</v>
      </c>
      <c r="FL23" s="272">
        <v>16989366</v>
      </c>
      <c r="FM23" s="272">
        <v>24486271</v>
      </c>
      <c r="FN23" s="460">
        <v>0.68200000000000005</v>
      </c>
      <c r="FO23" s="388">
        <v>93.1</v>
      </c>
      <c r="FP23" s="388">
        <v>34.6</v>
      </c>
      <c r="FQ23" s="388">
        <v>9.5</v>
      </c>
      <c r="FR23" s="388">
        <v>14.1</v>
      </c>
      <c r="FS23" s="388">
        <v>14.2</v>
      </c>
      <c r="FT23" s="388">
        <v>11.6</v>
      </c>
      <c r="FU23" s="388">
        <v>8.1</v>
      </c>
      <c r="FV23" s="388">
        <v>9</v>
      </c>
      <c r="FW23" s="272">
        <v>50339382</v>
      </c>
      <c r="FX23" s="384">
        <f t="shared" si="16"/>
        <v>167.7</v>
      </c>
      <c r="FY23" s="272">
        <v>11516165</v>
      </c>
      <c r="FZ23" s="272">
        <v>1504630</v>
      </c>
      <c r="GA23" s="272">
        <v>1211980</v>
      </c>
      <c r="GB23" s="272">
        <v>8799555</v>
      </c>
      <c r="GC23" s="272"/>
      <c r="GD23" s="272">
        <v>6775884</v>
      </c>
      <c r="GE23" s="384">
        <f t="shared" si="17"/>
        <v>22.6</v>
      </c>
      <c r="GF23" s="388">
        <v>97.4</v>
      </c>
      <c r="GG23" s="388">
        <v>20.8</v>
      </c>
      <c r="GH23" s="388">
        <v>91.8</v>
      </c>
      <c r="GI23" s="272">
        <v>1212</v>
      </c>
    </row>
    <row r="24" spans="2:191" x14ac:dyDescent="0.15">
      <c r="B24" s="89" t="s">
        <v>41</v>
      </c>
      <c r="C24" s="272">
        <v>23168947</v>
      </c>
      <c r="D24" s="455">
        <f t="shared" si="0"/>
        <v>10208840</v>
      </c>
      <c r="E24" s="272">
        <v>113986</v>
      </c>
      <c r="F24" s="272">
        <v>10094854</v>
      </c>
      <c r="G24" s="455">
        <f t="shared" si="1"/>
        <v>957536</v>
      </c>
      <c r="H24" s="272">
        <v>320194</v>
      </c>
      <c r="I24" s="272">
        <v>637342</v>
      </c>
      <c r="J24" s="272">
        <v>8793087</v>
      </c>
      <c r="K24" s="272">
        <v>4579732</v>
      </c>
      <c r="L24" s="272">
        <v>3564448</v>
      </c>
      <c r="M24" s="272">
        <v>601692</v>
      </c>
      <c r="N24" s="272">
        <v>688378</v>
      </c>
      <c r="O24" s="272">
        <v>2360863</v>
      </c>
      <c r="P24" s="272">
        <v>1575077</v>
      </c>
      <c r="Q24" s="272">
        <v>785786</v>
      </c>
      <c r="R24" s="272">
        <v>274125</v>
      </c>
      <c r="S24" s="272"/>
      <c r="T24" s="455">
        <f t="shared" si="2"/>
        <v>2519535</v>
      </c>
      <c r="U24" s="272">
        <v>1190565</v>
      </c>
      <c r="V24" s="272"/>
      <c r="W24" s="272"/>
      <c r="X24" s="272">
        <v>1050729</v>
      </c>
      <c r="Y24" s="272">
        <v>5021</v>
      </c>
      <c r="Z24" s="272">
        <v>603</v>
      </c>
      <c r="AA24" s="272">
        <v>272617</v>
      </c>
      <c r="AB24" s="272">
        <v>1024654</v>
      </c>
      <c r="AC24" s="272">
        <v>184022</v>
      </c>
      <c r="AD24" s="272">
        <v>0</v>
      </c>
      <c r="AE24" s="272">
        <v>184022</v>
      </c>
      <c r="AF24" s="272">
        <v>24047</v>
      </c>
      <c r="AG24" s="272">
        <v>171500</v>
      </c>
      <c r="AH24" s="455">
        <f t="shared" si="3"/>
        <v>867828</v>
      </c>
      <c r="AI24" s="272">
        <v>701927</v>
      </c>
      <c r="AJ24" s="272">
        <v>165901</v>
      </c>
      <c r="AK24" s="272">
        <v>2465044</v>
      </c>
      <c r="AL24" s="455">
        <f t="shared" si="4"/>
        <v>1324262</v>
      </c>
      <c r="AM24" s="272">
        <v>763565</v>
      </c>
      <c r="AN24" s="272">
        <v>524266</v>
      </c>
      <c r="AO24" s="272">
        <v>0</v>
      </c>
      <c r="AP24" s="272">
        <v>36431</v>
      </c>
      <c r="AQ24" s="272">
        <v>140412</v>
      </c>
      <c r="AR24" s="272">
        <v>0</v>
      </c>
      <c r="AS24" s="272">
        <v>0</v>
      </c>
      <c r="AT24" s="272">
        <v>1571576</v>
      </c>
      <c r="AU24" s="272">
        <v>784871</v>
      </c>
      <c r="AV24" s="272">
        <v>134214</v>
      </c>
      <c r="AW24" s="272">
        <v>12802</v>
      </c>
      <c r="AX24" s="272">
        <v>786705</v>
      </c>
      <c r="AY24" s="272">
        <v>27638</v>
      </c>
      <c r="AZ24" s="272">
        <v>78178</v>
      </c>
      <c r="BA24" s="272">
        <v>11567</v>
      </c>
      <c r="BB24" s="272">
        <v>59407</v>
      </c>
      <c r="BC24" s="272">
        <v>2282832</v>
      </c>
      <c r="BD24" s="272">
        <v>350000</v>
      </c>
      <c r="BE24" s="272">
        <v>550000</v>
      </c>
      <c r="BF24" s="272">
        <v>1291038</v>
      </c>
      <c r="BG24" s="272">
        <v>0</v>
      </c>
      <c r="BH24" s="272">
        <v>482480</v>
      </c>
      <c r="BI24" s="272">
        <v>395072</v>
      </c>
      <c r="BJ24" s="272">
        <v>6876724</v>
      </c>
      <c r="BK24" s="272">
        <v>6028850</v>
      </c>
      <c r="BL24" s="272">
        <v>1700</v>
      </c>
      <c r="BM24" s="272">
        <v>400000</v>
      </c>
      <c r="BN24" s="272">
        <v>4042500</v>
      </c>
      <c r="BO24" s="455">
        <f t="shared" si="5"/>
        <v>3154800</v>
      </c>
      <c r="BP24" s="455">
        <f t="shared" si="6"/>
        <v>887700</v>
      </c>
      <c r="BQ24" s="272">
        <v>366100</v>
      </c>
      <c r="BR24" s="272">
        <v>0</v>
      </c>
      <c r="BS24" s="272">
        <v>521600</v>
      </c>
      <c r="BT24" s="272">
        <v>0</v>
      </c>
      <c r="BU24" s="272">
        <v>46093399</v>
      </c>
      <c r="BV24" s="272"/>
      <c r="BW24" s="272">
        <v>11644761</v>
      </c>
      <c r="BX24" s="272">
        <v>8224611</v>
      </c>
      <c r="BY24" s="272">
        <v>899998</v>
      </c>
      <c r="BZ24" s="272">
        <v>698313</v>
      </c>
      <c r="CA24" s="272">
        <v>2675707</v>
      </c>
      <c r="CB24" s="272">
        <v>426734</v>
      </c>
      <c r="CC24" s="272">
        <v>370903</v>
      </c>
      <c r="CD24" s="272">
        <v>802881</v>
      </c>
      <c r="CE24" s="272">
        <v>1024793</v>
      </c>
      <c r="CF24" s="272">
        <v>0</v>
      </c>
      <c r="CG24" s="272">
        <v>50396</v>
      </c>
      <c r="CH24" s="272">
        <v>3621911</v>
      </c>
      <c r="CI24" s="272">
        <v>2607785</v>
      </c>
      <c r="CJ24" s="455">
        <f t="shared" si="7"/>
        <v>1014126</v>
      </c>
      <c r="CK24" s="272">
        <v>6790448</v>
      </c>
      <c r="CL24" s="272">
        <v>4127520</v>
      </c>
      <c r="CM24" s="272">
        <v>277813</v>
      </c>
      <c r="CN24" s="272">
        <v>1439409</v>
      </c>
      <c r="CO24" s="272">
        <v>280055</v>
      </c>
      <c r="CP24" s="272">
        <v>3194847</v>
      </c>
      <c r="CQ24" s="272">
        <v>74348</v>
      </c>
      <c r="CR24" s="272">
        <v>1324089</v>
      </c>
      <c r="CS24" s="272">
        <v>1154461</v>
      </c>
      <c r="CT24" s="455">
        <f t="shared" si="8"/>
        <v>1256663</v>
      </c>
      <c r="CU24" s="272">
        <v>805085</v>
      </c>
      <c r="CV24" s="272">
        <v>451578</v>
      </c>
      <c r="CW24" s="455">
        <f t="shared" si="9"/>
        <v>1153704</v>
      </c>
      <c r="CX24" s="272">
        <v>796072</v>
      </c>
      <c r="CY24" s="272">
        <v>357632</v>
      </c>
      <c r="CZ24" s="455">
        <f t="shared" si="10"/>
        <v>0</v>
      </c>
      <c r="DA24" s="272">
        <v>0</v>
      </c>
      <c r="DB24" s="272">
        <v>0</v>
      </c>
      <c r="DC24" s="272">
        <v>6290477</v>
      </c>
      <c r="DD24" s="272">
        <v>444403</v>
      </c>
      <c r="DE24" s="272">
        <v>5846074</v>
      </c>
      <c r="DF24" s="272">
        <v>0</v>
      </c>
      <c r="DG24" s="272">
        <v>0</v>
      </c>
      <c r="DH24" s="272">
        <v>955</v>
      </c>
      <c r="DI24" s="272">
        <v>298437</v>
      </c>
      <c r="DJ24" s="272">
        <v>36666</v>
      </c>
      <c r="DK24" s="272">
        <v>219152</v>
      </c>
      <c r="DL24" s="272">
        <v>42619</v>
      </c>
      <c r="DM24" s="272">
        <v>1053</v>
      </c>
      <c r="DN24" s="272">
        <v>553</v>
      </c>
      <c r="DO24" s="272">
        <v>553</v>
      </c>
      <c r="DP24" s="272">
        <v>0</v>
      </c>
      <c r="DQ24" s="272">
        <v>6023064</v>
      </c>
      <c r="DR24" s="272">
        <v>4308</v>
      </c>
      <c r="DS24" s="272">
        <v>0</v>
      </c>
      <c r="DT24" s="272">
        <v>3673494</v>
      </c>
      <c r="DU24" s="272">
        <v>825839</v>
      </c>
      <c r="DV24" s="455">
        <f t="shared" si="11"/>
        <v>0</v>
      </c>
      <c r="DW24" s="272">
        <v>0</v>
      </c>
      <c r="DX24" s="272">
        <v>0</v>
      </c>
      <c r="DY24" s="272">
        <v>0</v>
      </c>
      <c r="DZ24" s="272">
        <v>980659</v>
      </c>
      <c r="EA24" s="272">
        <v>494057</v>
      </c>
      <c r="EB24" s="272">
        <v>508200</v>
      </c>
      <c r="EC24" s="272">
        <v>0</v>
      </c>
      <c r="ED24" s="272">
        <v>44495209</v>
      </c>
      <c r="EF24" s="272">
        <v>1598190</v>
      </c>
      <c r="EG24" s="272">
        <v>909848</v>
      </c>
      <c r="EH24" s="272">
        <v>688342</v>
      </c>
      <c r="EI24" s="272">
        <v>-306730</v>
      </c>
      <c r="EJ24" s="272">
        <v>-610633</v>
      </c>
      <c r="EL24" s="272"/>
      <c r="EM24" s="272">
        <v>121232</v>
      </c>
      <c r="EN24" s="272">
        <v>991794</v>
      </c>
      <c r="EO24" s="272">
        <v>36262</v>
      </c>
      <c r="EP24" s="455">
        <f t="shared" si="12"/>
        <v>1496095</v>
      </c>
      <c r="EQ24" s="272">
        <v>27195330</v>
      </c>
      <c r="ER24" s="272">
        <v>-3387804</v>
      </c>
      <c r="ES24" s="272">
        <v>10878608</v>
      </c>
      <c r="ET24" s="272">
        <v>7570712</v>
      </c>
      <c r="EU24" s="272">
        <v>857676</v>
      </c>
      <c r="EV24" s="272">
        <v>3547306</v>
      </c>
      <c r="EW24" s="455">
        <f t="shared" si="13"/>
        <v>2118829</v>
      </c>
      <c r="EX24" s="272">
        <v>2117874</v>
      </c>
      <c r="EY24" s="272">
        <v>82188</v>
      </c>
      <c r="EZ24" s="272">
        <v>2035686</v>
      </c>
      <c r="FA24" s="272">
        <v>955</v>
      </c>
      <c r="FB24" s="272"/>
      <c r="FC24" s="272">
        <v>4961864</v>
      </c>
      <c r="FD24" s="272">
        <v>2888372</v>
      </c>
      <c r="FE24" s="272">
        <v>74348</v>
      </c>
      <c r="FF24" s="272">
        <v>3227108</v>
      </c>
      <c r="FG24" s="455">
        <f t="shared" si="14"/>
        <v>505181</v>
      </c>
      <c r="FH24" s="272">
        <v>28984944</v>
      </c>
      <c r="FI24" s="384">
        <f t="shared" si="15"/>
        <v>2.8</v>
      </c>
      <c r="FJ24" s="272">
        <v>24576036</v>
      </c>
      <c r="FK24" s="272">
        <v>521601</v>
      </c>
      <c r="FL24" s="272">
        <v>18507422</v>
      </c>
      <c r="FM24" s="272">
        <v>18261195</v>
      </c>
      <c r="FN24" s="460">
        <v>0.999</v>
      </c>
      <c r="FO24" s="388">
        <v>91.6</v>
      </c>
      <c r="FP24" s="388">
        <v>41.2</v>
      </c>
      <c r="FQ24" s="388">
        <v>3.3</v>
      </c>
      <c r="FR24" s="388">
        <v>13.8</v>
      </c>
      <c r="FS24" s="388">
        <v>17.399999999999999</v>
      </c>
      <c r="FT24" s="388">
        <v>8.1999999999999993</v>
      </c>
      <c r="FU24" s="388">
        <v>6.8</v>
      </c>
      <c r="FV24" s="388">
        <v>8.9</v>
      </c>
      <c r="FW24" s="272">
        <v>30096093</v>
      </c>
      <c r="FX24" s="384">
        <f t="shared" si="16"/>
        <v>122.5</v>
      </c>
      <c r="FY24" s="272">
        <v>24313264</v>
      </c>
      <c r="FZ24" s="272">
        <v>7133534</v>
      </c>
      <c r="GA24" s="272">
        <v>2653788</v>
      </c>
      <c r="GB24" s="272">
        <v>14525942</v>
      </c>
      <c r="GC24" s="272"/>
      <c r="GD24" s="272">
        <v>11700711</v>
      </c>
      <c r="GE24" s="384">
        <f t="shared" si="17"/>
        <v>47.6</v>
      </c>
      <c r="GF24" s="388">
        <v>97.9</v>
      </c>
      <c r="GG24" s="388">
        <v>23.6</v>
      </c>
      <c r="GH24" s="388">
        <v>92.3</v>
      </c>
      <c r="GI24" s="272">
        <v>1132</v>
      </c>
    </row>
    <row r="25" spans="2:191" x14ac:dyDescent="0.15">
      <c r="B25" s="89" t="s">
        <v>43</v>
      </c>
      <c r="C25" s="272">
        <v>9642311</v>
      </c>
      <c r="D25" s="455">
        <f t="shared" si="0"/>
        <v>3422634</v>
      </c>
      <c r="E25" s="272">
        <v>67980</v>
      </c>
      <c r="F25" s="272">
        <v>3354654</v>
      </c>
      <c r="G25" s="455">
        <f t="shared" si="1"/>
        <v>633016</v>
      </c>
      <c r="H25" s="272">
        <v>121437</v>
      </c>
      <c r="I25" s="272">
        <v>511579</v>
      </c>
      <c r="J25" s="272">
        <v>4193391</v>
      </c>
      <c r="K25" s="272">
        <v>2017216</v>
      </c>
      <c r="L25" s="272">
        <v>1437395</v>
      </c>
      <c r="M25" s="272">
        <v>708350</v>
      </c>
      <c r="N25" s="272">
        <v>398631</v>
      </c>
      <c r="O25" s="272">
        <v>937774</v>
      </c>
      <c r="P25" s="272">
        <v>614111</v>
      </c>
      <c r="Q25" s="272">
        <v>323663</v>
      </c>
      <c r="R25" s="272">
        <v>159154</v>
      </c>
      <c r="S25" s="272"/>
      <c r="T25" s="455">
        <f t="shared" si="2"/>
        <v>1296959</v>
      </c>
      <c r="U25" s="272">
        <v>456651</v>
      </c>
      <c r="V25" s="272"/>
      <c r="W25" s="272"/>
      <c r="X25" s="272">
        <v>681953</v>
      </c>
      <c r="Y25" s="272">
        <v>0</v>
      </c>
      <c r="Z25" s="272">
        <v>0</v>
      </c>
      <c r="AA25" s="272">
        <v>158355</v>
      </c>
      <c r="AB25" s="272">
        <v>362034</v>
      </c>
      <c r="AC25" s="272">
        <v>4990151</v>
      </c>
      <c r="AD25" s="272">
        <v>4565084</v>
      </c>
      <c r="AE25" s="272">
        <v>425067</v>
      </c>
      <c r="AF25" s="272">
        <v>14125</v>
      </c>
      <c r="AG25" s="272">
        <v>183608</v>
      </c>
      <c r="AH25" s="455">
        <f t="shared" si="3"/>
        <v>446020</v>
      </c>
      <c r="AI25" s="272">
        <v>366697</v>
      </c>
      <c r="AJ25" s="272">
        <v>79323</v>
      </c>
      <c r="AK25" s="272">
        <v>2010203</v>
      </c>
      <c r="AL25" s="455">
        <f t="shared" si="4"/>
        <v>1348461</v>
      </c>
      <c r="AM25" s="272">
        <v>865959</v>
      </c>
      <c r="AN25" s="272">
        <v>468487</v>
      </c>
      <c r="AO25" s="272">
        <v>0</v>
      </c>
      <c r="AP25" s="272">
        <v>14015</v>
      </c>
      <c r="AQ25" s="272">
        <v>170046</v>
      </c>
      <c r="AR25" s="272">
        <v>0</v>
      </c>
      <c r="AS25" s="272">
        <v>0</v>
      </c>
      <c r="AT25" s="272">
        <v>925124</v>
      </c>
      <c r="AU25" s="272">
        <v>481127</v>
      </c>
      <c r="AV25" s="272">
        <v>163222</v>
      </c>
      <c r="AW25" s="272">
        <v>14026</v>
      </c>
      <c r="AX25" s="272">
        <v>443997</v>
      </c>
      <c r="AY25" s="272">
        <v>19133</v>
      </c>
      <c r="AZ25" s="272">
        <v>81891</v>
      </c>
      <c r="BA25" s="272">
        <v>36136</v>
      </c>
      <c r="BB25" s="272">
        <v>148314</v>
      </c>
      <c r="BC25" s="272">
        <v>266025</v>
      </c>
      <c r="BD25" s="272">
        <v>0</v>
      </c>
      <c r="BE25" s="272">
        <v>35725</v>
      </c>
      <c r="BF25" s="272">
        <v>230300</v>
      </c>
      <c r="BG25" s="272">
        <v>0</v>
      </c>
      <c r="BH25" s="272">
        <v>163371</v>
      </c>
      <c r="BI25" s="272">
        <v>116000</v>
      </c>
      <c r="BJ25" s="272">
        <v>1525336</v>
      </c>
      <c r="BK25" s="272">
        <v>1167621</v>
      </c>
      <c r="BL25" s="272">
        <v>0</v>
      </c>
      <c r="BM25" s="272">
        <v>0</v>
      </c>
      <c r="BN25" s="272">
        <v>1073000</v>
      </c>
      <c r="BO25" s="455">
        <f t="shared" si="5"/>
        <v>588700</v>
      </c>
      <c r="BP25" s="455">
        <f t="shared" si="6"/>
        <v>484300</v>
      </c>
      <c r="BQ25" s="272">
        <v>134600</v>
      </c>
      <c r="BR25" s="272">
        <v>0</v>
      </c>
      <c r="BS25" s="272">
        <v>349700</v>
      </c>
      <c r="BT25" s="272">
        <v>0</v>
      </c>
      <c r="BU25" s="272">
        <v>23287626</v>
      </c>
      <c r="BV25" s="272"/>
      <c r="BW25" s="272">
        <v>5013832</v>
      </c>
      <c r="BX25" s="272">
        <v>3494352</v>
      </c>
      <c r="BY25" s="272">
        <v>523816</v>
      </c>
      <c r="BZ25" s="272">
        <v>94913</v>
      </c>
      <c r="CA25" s="272">
        <v>3187719</v>
      </c>
      <c r="CB25" s="272">
        <v>441321</v>
      </c>
      <c r="CC25" s="272">
        <v>320759</v>
      </c>
      <c r="CD25" s="272">
        <v>1067628</v>
      </c>
      <c r="CE25" s="272">
        <v>1166032</v>
      </c>
      <c r="CF25" s="272">
        <v>97991</v>
      </c>
      <c r="CG25" s="272">
        <v>93929</v>
      </c>
      <c r="CH25" s="272">
        <v>2161060</v>
      </c>
      <c r="CI25" s="272">
        <v>1560348</v>
      </c>
      <c r="CJ25" s="455">
        <f t="shared" si="7"/>
        <v>600712</v>
      </c>
      <c r="CK25" s="272">
        <v>2910609</v>
      </c>
      <c r="CL25" s="272">
        <v>1696456</v>
      </c>
      <c r="CM25" s="272">
        <v>190410</v>
      </c>
      <c r="CN25" s="272">
        <v>460073</v>
      </c>
      <c r="CO25" s="272">
        <v>180985</v>
      </c>
      <c r="CP25" s="272">
        <v>3375634</v>
      </c>
      <c r="CQ25" s="272">
        <v>2257968</v>
      </c>
      <c r="CR25" s="272">
        <v>528706</v>
      </c>
      <c r="CS25" s="272">
        <v>416670</v>
      </c>
      <c r="CT25" s="455">
        <f t="shared" si="8"/>
        <v>344899</v>
      </c>
      <c r="CU25" s="272">
        <v>275274</v>
      </c>
      <c r="CV25" s="272">
        <v>69625</v>
      </c>
      <c r="CW25" s="455">
        <f t="shared" si="9"/>
        <v>338223</v>
      </c>
      <c r="CX25" s="272">
        <v>273122</v>
      </c>
      <c r="CY25" s="272">
        <v>65101</v>
      </c>
      <c r="CZ25" s="455">
        <f t="shared" si="10"/>
        <v>0</v>
      </c>
      <c r="DA25" s="272">
        <v>0</v>
      </c>
      <c r="DB25" s="272">
        <v>0</v>
      </c>
      <c r="DC25" s="272">
        <v>2131974</v>
      </c>
      <c r="DD25" s="272">
        <v>420285</v>
      </c>
      <c r="DE25" s="272">
        <v>1703589</v>
      </c>
      <c r="DF25" s="272">
        <v>0</v>
      </c>
      <c r="DG25" s="272">
        <v>8100</v>
      </c>
      <c r="DH25" s="272">
        <v>119</v>
      </c>
      <c r="DI25" s="272">
        <v>181415</v>
      </c>
      <c r="DJ25" s="272">
        <v>12228</v>
      </c>
      <c r="DK25" s="272">
        <v>639</v>
      </c>
      <c r="DL25" s="272">
        <v>168548</v>
      </c>
      <c r="DM25" s="272">
        <v>0</v>
      </c>
      <c r="DN25" s="272">
        <v>0</v>
      </c>
      <c r="DO25" s="272">
        <v>0</v>
      </c>
      <c r="DP25" s="272">
        <v>0</v>
      </c>
      <c r="DQ25" s="272">
        <v>1165750</v>
      </c>
      <c r="DR25" s="272">
        <v>0</v>
      </c>
      <c r="DS25" s="272">
        <v>0</v>
      </c>
      <c r="DT25" s="272">
        <v>2759376</v>
      </c>
      <c r="DU25" s="272">
        <v>1380000</v>
      </c>
      <c r="DV25" s="455">
        <f t="shared" si="11"/>
        <v>0</v>
      </c>
      <c r="DW25" s="272">
        <v>0</v>
      </c>
      <c r="DX25" s="272">
        <v>0</v>
      </c>
      <c r="DY25" s="272">
        <v>0</v>
      </c>
      <c r="DZ25" s="272">
        <v>625526</v>
      </c>
      <c r="EA25" s="272">
        <v>318884</v>
      </c>
      <c r="EB25" s="272">
        <v>413828</v>
      </c>
      <c r="EC25" s="272">
        <v>0</v>
      </c>
      <c r="ED25" s="272">
        <v>23068473</v>
      </c>
      <c r="EF25" s="272">
        <v>219153</v>
      </c>
      <c r="EG25" s="272">
        <v>195051</v>
      </c>
      <c r="EH25" s="272">
        <v>24102</v>
      </c>
      <c r="EI25" s="272">
        <v>-211898</v>
      </c>
      <c r="EJ25" s="272">
        <v>-199670</v>
      </c>
      <c r="EL25" s="272"/>
      <c r="EM25" s="272">
        <v>76861</v>
      </c>
      <c r="EN25" s="272">
        <v>35725</v>
      </c>
      <c r="EO25" s="272">
        <v>42322</v>
      </c>
      <c r="EP25" s="455">
        <f t="shared" si="12"/>
        <v>637479</v>
      </c>
      <c r="EQ25" s="272">
        <v>16464734</v>
      </c>
      <c r="ER25" s="272">
        <v>-1185701</v>
      </c>
      <c r="ES25" s="272">
        <v>4594707</v>
      </c>
      <c r="ET25" s="272">
        <v>3075227</v>
      </c>
      <c r="EU25" s="272">
        <v>1159788</v>
      </c>
      <c r="EV25" s="272">
        <v>2097888</v>
      </c>
      <c r="EW25" s="455">
        <f t="shared" si="13"/>
        <v>1063385</v>
      </c>
      <c r="EX25" s="272">
        <v>1063266</v>
      </c>
      <c r="EY25" s="272">
        <v>40311</v>
      </c>
      <c r="EZ25" s="272">
        <v>1022955</v>
      </c>
      <c r="FA25" s="272">
        <v>119</v>
      </c>
      <c r="FB25" s="272"/>
      <c r="FC25" s="272">
        <v>2427435</v>
      </c>
      <c r="FD25" s="272">
        <v>3194551</v>
      </c>
      <c r="FE25" s="272">
        <v>2257968</v>
      </c>
      <c r="FF25" s="272">
        <v>2570829</v>
      </c>
      <c r="FG25" s="455">
        <f t="shared" si="14"/>
        <v>322699</v>
      </c>
      <c r="FH25" s="272">
        <v>17431282</v>
      </c>
      <c r="FI25" s="384">
        <f t="shared" si="15"/>
        <v>0.2</v>
      </c>
      <c r="FJ25" s="272">
        <v>15098886</v>
      </c>
      <c r="FK25" s="272">
        <v>349736</v>
      </c>
      <c r="FL25" s="272">
        <v>7945291</v>
      </c>
      <c r="FM25" s="272">
        <v>12519648</v>
      </c>
      <c r="FN25" s="460">
        <v>0.63200000000000001</v>
      </c>
      <c r="FO25" s="388">
        <v>94.5</v>
      </c>
      <c r="FP25" s="388">
        <v>28.9</v>
      </c>
      <c r="FQ25" s="388">
        <v>7.4</v>
      </c>
      <c r="FR25" s="388">
        <v>13.4</v>
      </c>
      <c r="FS25" s="388">
        <v>14.8</v>
      </c>
      <c r="FT25" s="388">
        <v>18.3</v>
      </c>
      <c r="FU25" s="388">
        <v>10.7</v>
      </c>
      <c r="FV25" s="388">
        <v>6.8</v>
      </c>
      <c r="FW25" s="272">
        <v>19024609</v>
      </c>
      <c r="FX25" s="384">
        <f t="shared" si="16"/>
        <v>126</v>
      </c>
      <c r="FY25" s="272">
        <v>7112206</v>
      </c>
      <c r="FZ25" s="272">
        <v>2451055</v>
      </c>
      <c r="GA25" s="272">
        <v>119760</v>
      </c>
      <c r="GB25" s="272">
        <v>4541391</v>
      </c>
      <c r="GC25" s="272"/>
      <c r="GD25" s="272">
        <v>1604167</v>
      </c>
      <c r="GE25" s="384">
        <f t="shared" si="17"/>
        <v>10.6</v>
      </c>
      <c r="GF25" s="388">
        <v>96.6</v>
      </c>
      <c r="GG25" s="388">
        <v>20.9</v>
      </c>
      <c r="GH25" s="388">
        <v>88.9</v>
      </c>
      <c r="GI25" s="272">
        <v>457</v>
      </c>
    </row>
    <row r="26" spans="2:191" x14ac:dyDescent="0.15">
      <c r="B26" s="89" t="s">
        <v>45</v>
      </c>
      <c r="C26" s="272">
        <v>13479795</v>
      </c>
      <c r="D26" s="455">
        <f t="shared" si="0"/>
        <v>5587192</v>
      </c>
      <c r="E26" s="272">
        <v>106425</v>
      </c>
      <c r="F26" s="272">
        <v>5480767</v>
      </c>
      <c r="G26" s="455">
        <f t="shared" si="1"/>
        <v>713887</v>
      </c>
      <c r="H26" s="272">
        <v>164545</v>
      </c>
      <c r="I26" s="272">
        <v>549342</v>
      </c>
      <c r="J26" s="272">
        <v>5220543</v>
      </c>
      <c r="K26" s="272">
        <v>2664199</v>
      </c>
      <c r="L26" s="272">
        <v>2046848</v>
      </c>
      <c r="M26" s="272">
        <v>470082</v>
      </c>
      <c r="N26" s="272">
        <v>595146</v>
      </c>
      <c r="O26" s="272">
        <v>1259537</v>
      </c>
      <c r="P26" s="272">
        <v>822674</v>
      </c>
      <c r="Q26" s="272">
        <v>436863</v>
      </c>
      <c r="R26" s="272">
        <v>235595</v>
      </c>
      <c r="S26" s="272"/>
      <c r="T26" s="455">
        <f t="shared" si="2"/>
        <v>1902409</v>
      </c>
      <c r="U26" s="272">
        <v>717126</v>
      </c>
      <c r="V26" s="272"/>
      <c r="W26" s="272"/>
      <c r="X26" s="272">
        <v>950804</v>
      </c>
      <c r="Y26" s="272">
        <v>0</v>
      </c>
      <c r="Z26" s="272">
        <v>0</v>
      </c>
      <c r="AA26" s="272">
        <v>234479</v>
      </c>
      <c r="AB26" s="272">
        <v>548379</v>
      </c>
      <c r="AC26" s="272">
        <v>7430693</v>
      </c>
      <c r="AD26" s="272">
        <v>7006684</v>
      </c>
      <c r="AE26" s="272">
        <v>424009</v>
      </c>
      <c r="AF26" s="272">
        <v>21754</v>
      </c>
      <c r="AG26" s="272">
        <v>203625</v>
      </c>
      <c r="AH26" s="455">
        <f t="shared" si="3"/>
        <v>577303</v>
      </c>
      <c r="AI26" s="272">
        <v>536186</v>
      </c>
      <c r="AJ26" s="272">
        <v>41117</v>
      </c>
      <c r="AK26" s="272">
        <v>4408747</v>
      </c>
      <c r="AL26" s="455">
        <f t="shared" si="4"/>
        <v>2252853</v>
      </c>
      <c r="AM26" s="272">
        <v>1802922</v>
      </c>
      <c r="AN26" s="272">
        <v>442861</v>
      </c>
      <c r="AO26" s="272">
        <v>0</v>
      </c>
      <c r="AP26" s="272">
        <v>7070</v>
      </c>
      <c r="AQ26" s="272">
        <v>634300</v>
      </c>
      <c r="AR26" s="272">
        <v>0</v>
      </c>
      <c r="AS26" s="272">
        <v>0</v>
      </c>
      <c r="AT26" s="272">
        <v>1975055</v>
      </c>
      <c r="AU26" s="272">
        <v>1196064</v>
      </c>
      <c r="AV26" s="272">
        <v>203909</v>
      </c>
      <c r="AW26" s="272">
        <v>55685</v>
      </c>
      <c r="AX26" s="272">
        <v>778991</v>
      </c>
      <c r="AY26" s="272">
        <v>90381</v>
      </c>
      <c r="AZ26" s="272">
        <v>54358</v>
      </c>
      <c r="BA26" s="272">
        <v>40023</v>
      </c>
      <c r="BB26" s="272">
        <v>52949</v>
      </c>
      <c r="BC26" s="272">
        <v>425968</v>
      </c>
      <c r="BD26" s="272">
        <v>0</v>
      </c>
      <c r="BE26" s="272">
        <v>0</v>
      </c>
      <c r="BF26" s="272">
        <v>402182</v>
      </c>
      <c r="BG26" s="272">
        <v>0</v>
      </c>
      <c r="BH26" s="272">
        <v>257303</v>
      </c>
      <c r="BI26" s="272">
        <v>41814</v>
      </c>
      <c r="BJ26" s="272">
        <v>861005</v>
      </c>
      <c r="BK26" s="272">
        <v>24613</v>
      </c>
      <c r="BL26" s="272">
        <v>0</v>
      </c>
      <c r="BM26" s="272">
        <v>0</v>
      </c>
      <c r="BN26" s="272">
        <v>2238314</v>
      </c>
      <c r="BO26" s="455">
        <f t="shared" si="5"/>
        <v>1539714</v>
      </c>
      <c r="BP26" s="455">
        <f t="shared" si="6"/>
        <v>698600</v>
      </c>
      <c r="BQ26" s="272">
        <v>203900</v>
      </c>
      <c r="BR26" s="272">
        <v>0</v>
      </c>
      <c r="BS26" s="272">
        <v>494700</v>
      </c>
      <c r="BT26" s="272">
        <v>0</v>
      </c>
      <c r="BU26" s="272">
        <v>34673252</v>
      </c>
      <c r="BV26" s="272"/>
      <c r="BW26" s="272">
        <v>7853005</v>
      </c>
      <c r="BX26" s="272">
        <v>5515678</v>
      </c>
      <c r="BY26" s="272">
        <v>1037165</v>
      </c>
      <c r="BZ26" s="272">
        <v>84337</v>
      </c>
      <c r="CA26" s="272">
        <v>5993826</v>
      </c>
      <c r="CB26" s="272">
        <v>986892</v>
      </c>
      <c r="CC26" s="272">
        <v>876804</v>
      </c>
      <c r="CD26" s="272">
        <v>1587145</v>
      </c>
      <c r="CE26" s="272">
        <v>2429753</v>
      </c>
      <c r="CF26" s="272">
        <v>0</v>
      </c>
      <c r="CG26" s="272">
        <v>112932</v>
      </c>
      <c r="CH26" s="272">
        <v>3615474</v>
      </c>
      <c r="CI26" s="272">
        <v>2335714</v>
      </c>
      <c r="CJ26" s="455">
        <f t="shared" si="7"/>
        <v>1279760</v>
      </c>
      <c r="CK26" s="272">
        <v>4000888</v>
      </c>
      <c r="CL26" s="272">
        <v>2127864</v>
      </c>
      <c r="CM26" s="272">
        <v>437543</v>
      </c>
      <c r="CN26" s="272">
        <v>752536</v>
      </c>
      <c r="CO26" s="272">
        <v>155155</v>
      </c>
      <c r="CP26" s="272">
        <v>4325608</v>
      </c>
      <c r="CQ26" s="272">
        <v>2527947</v>
      </c>
      <c r="CR26" s="272">
        <v>1425384</v>
      </c>
      <c r="CS26" s="272">
        <v>1334580</v>
      </c>
      <c r="CT26" s="455">
        <f t="shared" si="8"/>
        <v>41125</v>
      </c>
      <c r="CU26" s="272">
        <v>7389</v>
      </c>
      <c r="CV26" s="272">
        <v>33736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4950619</v>
      </c>
      <c r="DD26" s="272">
        <v>1499246</v>
      </c>
      <c r="DE26" s="272">
        <v>2629539</v>
      </c>
      <c r="DF26" s="272">
        <v>50320</v>
      </c>
      <c r="DG26" s="272">
        <v>771514</v>
      </c>
      <c r="DH26" s="272">
        <v>0</v>
      </c>
      <c r="DI26" s="272">
        <v>626697</v>
      </c>
      <c r="DJ26" s="272">
        <v>494305</v>
      </c>
      <c r="DK26" s="272">
        <v>100385</v>
      </c>
      <c r="DL26" s="272">
        <v>32007</v>
      </c>
      <c r="DM26" s="272">
        <v>0</v>
      </c>
      <c r="DN26" s="272">
        <v>0</v>
      </c>
      <c r="DO26" s="272">
        <v>0</v>
      </c>
      <c r="DP26" s="272">
        <v>0</v>
      </c>
      <c r="DQ26" s="272">
        <v>86000</v>
      </c>
      <c r="DR26" s="272">
        <v>0</v>
      </c>
      <c r="DS26" s="272">
        <v>0</v>
      </c>
      <c r="DT26" s="272">
        <v>3772988</v>
      </c>
      <c r="DU26" s="272">
        <v>1523573</v>
      </c>
      <c r="DV26" s="455">
        <f t="shared" si="11"/>
        <v>0</v>
      </c>
      <c r="DW26" s="272">
        <v>0</v>
      </c>
      <c r="DX26" s="272">
        <v>0</v>
      </c>
      <c r="DY26" s="272">
        <v>0</v>
      </c>
      <c r="DZ26" s="272">
        <v>915783</v>
      </c>
      <c r="EA26" s="272">
        <v>545364</v>
      </c>
      <c r="EB26" s="272">
        <v>674441</v>
      </c>
      <c r="EC26" s="272">
        <v>0</v>
      </c>
      <c r="ED26" s="272">
        <v>35380260</v>
      </c>
      <c r="EF26" s="272">
        <v>-707008</v>
      </c>
      <c r="EG26" s="272">
        <v>124934</v>
      </c>
      <c r="EH26" s="272">
        <v>-831942</v>
      </c>
      <c r="EI26" s="272">
        <v>-873756</v>
      </c>
      <c r="EJ26" s="272">
        <v>-379451</v>
      </c>
      <c r="EL26" s="272"/>
      <c r="EM26" s="272">
        <v>120976</v>
      </c>
      <c r="EN26" s="272">
        <v>295710</v>
      </c>
      <c r="EO26" s="272">
        <v>34135</v>
      </c>
      <c r="EP26" s="455">
        <f t="shared" si="12"/>
        <v>1028136</v>
      </c>
      <c r="EQ26" s="272">
        <v>23618625</v>
      </c>
      <c r="ER26" s="272">
        <v>-2034827</v>
      </c>
      <c r="ES26" s="272">
        <v>7193703</v>
      </c>
      <c r="ET26" s="272">
        <v>4921125</v>
      </c>
      <c r="EU26" s="272">
        <v>2258578</v>
      </c>
      <c r="EV26" s="272">
        <v>3362080</v>
      </c>
      <c r="EW26" s="455">
        <f t="shared" si="13"/>
        <v>1572044</v>
      </c>
      <c r="EX26" s="272">
        <v>1572044</v>
      </c>
      <c r="EY26" s="272">
        <v>19795</v>
      </c>
      <c r="EZ26" s="272">
        <v>1545327</v>
      </c>
      <c r="FA26" s="272">
        <v>0</v>
      </c>
      <c r="FB26" s="272"/>
      <c r="FC26" s="272">
        <v>3468185</v>
      </c>
      <c r="FD26" s="272">
        <v>4124167</v>
      </c>
      <c r="FE26" s="272">
        <v>2527947</v>
      </c>
      <c r="FF26" s="272">
        <v>3537623</v>
      </c>
      <c r="FG26" s="455">
        <f t="shared" si="14"/>
        <v>844080</v>
      </c>
      <c r="FH26" s="272">
        <v>26360460</v>
      </c>
      <c r="FI26" s="384">
        <f t="shared" si="15"/>
        <v>-3.8</v>
      </c>
      <c r="FJ26" s="272">
        <v>22140130</v>
      </c>
      <c r="FK26" s="272">
        <v>494770</v>
      </c>
      <c r="FL26" s="272">
        <v>11414616</v>
      </c>
      <c r="FM26" s="272">
        <v>18434955</v>
      </c>
      <c r="FN26" s="460">
        <v>0.62</v>
      </c>
      <c r="FO26" s="388">
        <v>96.7</v>
      </c>
      <c r="FP26" s="388">
        <v>30</v>
      </c>
      <c r="FQ26" s="388">
        <v>9.9</v>
      </c>
      <c r="FR26" s="388">
        <v>14.8</v>
      </c>
      <c r="FS26" s="388">
        <v>13.9</v>
      </c>
      <c r="FT26" s="388">
        <v>17.2</v>
      </c>
      <c r="FU26" s="388">
        <v>10.3</v>
      </c>
      <c r="FV26" s="388">
        <v>8.1999999999999993</v>
      </c>
      <c r="FW26" s="272">
        <v>48760020</v>
      </c>
      <c r="FX26" s="384">
        <f t="shared" si="16"/>
        <v>220.2</v>
      </c>
      <c r="FY26" s="272">
        <v>1812948</v>
      </c>
      <c r="FZ26" s="272">
        <v>785451</v>
      </c>
      <c r="GA26" s="272">
        <v>238862</v>
      </c>
      <c r="GB26" s="272">
        <v>788635</v>
      </c>
      <c r="GC26" s="272"/>
      <c r="GD26" s="272">
        <v>8563564</v>
      </c>
      <c r="GE26" s="384">
        <f t="shared" si="17"/>
        <v>38.700000000000003</v>
      </c>
      <c r="GF26" s="388">
        <v>97.7</v>
      </c>
      <c r="GG26" s="388">
        <v>23.7</v>
      </c>
      <c r="GH26" s="388">
        <v>93.5</v>
      </c>
      <c r="GI26" s="272">
        <v>712</v>
      </c>
    </row>
    <row r="27" spans="2:191" x14ac:dyDescent="0.15">
      <c r="B27" s="89" t="s">
        <v>47</v>
      </c>
      <c r="C27" s="272">
        <v>21166919</v>
      </c>
      <c r="D27" s="455">
        <f t="shared" si="0"/>
        <v>5014769</v>
      </c>
      <c r="E27" s="272">
        <v>122640</v>
      </c>
      <c r="F27" s="272">
        <v>4892129</v>
      </c>
      <c r="G27" s="455">
        <f t="shared" si="1"/>
        <v>2123029</v>
      </c>
      <c r="H27" s="272">
        <v>420098</v>
      </c>
      <c r="I27" s="272">
        <v>1702931</v>
      </c>
      <c r="J27" s="272">
        <v>10573147</v>
      </c>
      <c r="K27" s="272">
        <v>5714470</v>
      </c>
      <c r="L27" s="272">
        <v>3293015</v>
      </c>
      <c r="M27" s="272">
        <v>1457349</v>
      </c>
      <c r="N27" s="272">
        <v>1103255</v>
      </c>
      <c r="O27" s="272">
        <v>2269314</v>
      </c>
      <c r="P27" s="272">
        <v>1527662</v>
      </c>
      <c r="Q27" s="272">
        <v>741652</v>
      </c>
      <c r="R27" s="272">
        <v>242504</v>
      </c>
      <c r="S27" s="272"/>
      <c r="T27" s="455">
        <f t="shared" si="2"/>
        <v>2422810</v>
      </c>
      <c r="U27" s="272">
        <v>732269</v>
      </c>
      <c r="V27" s="272"/>
      <c r="W27" s="272"/>
      <c r="X27" s="272">
        <v>1449324</v>
      </c>
      <c r="Y27" s="272">
        <v>0</v>
      </c>
      <c r="Z27" s="272">
        <v>0</v>
      </c>
      <c r="AA27" s="272">
        <v>241217</v>
      </c>
      <c r="AB27" s="272">
        <v>672816</v>
      </c>
      <c r="AC27" s="272">
        <v>3769277</v>
      </c>
      <c r="AD27" s="272">
        <v>3540198</v>
      </c>
      <c r="AE27" s="272">
        <v>229079</v>
      </c>
      <c r="AF27" s="272">
        <v>24496</v>
      </c>
      <c r="AG27" s="272">
        <v>217331</v>
      </c>
      <c r="AH27" s="455">
        <f t="shared" si="3"/>
        <v>702994</v>
      </c>
      <c r="AI27" s="272">
        <v>509371</v>
      </c>
      <c r="AJ27" s="272">
        <v>193623</v>
      </c>
      <c r="AK27" s="272">
        <v>7852229</v>
      </c>
      <c r="AL27" s="455">
        <f t="shared" si="4"/>
        <v>4892361</v>
      </c>
      <c r="AM27" s="272">
        <v>4443073</v>
      </c>
      <c r="AN27" s="272">
        <v>422380</v>
      </c>
      <c r="AO27" s="272">
        <v>0</v>
      </c>
      <c r="AP27" s="272">
        <v>26908</v>
      </c>
      <c r="AQ27" s="272">
        <v>1676924</v>
      </c>
      <c r="AR27" s="272">
        <v>0</v>
      </c>
      <c r="AS27" s="272">
        <v>0</v>
      </c>
      <c r="AT27" s="272">
        <v>1855493</v>
      </c>
      <c r="AU27" s="272">
        <v>976164</v>
      </c>
      <c r="AV27" s="272">
        <v>208801</v>
      </c>
      <c r="AW27" s="272">
        <v>543</v>
      </c>
      <c r="AX27" s="272">
        <v>879329</v>
      </c>
      <c r="AY27" s="272">
        <v>184524</v>
      </c>
      <c r="AZ27" s="272">
        <v>42568</v>
      </c>
      <c r="BA27" s="272">
        <v>2749</v>
      </c>
      <c r="BB27" s="272">
        <v>2220</v>
      </c>
      <c r="BC27" s="272">
        <v>2148450</v>
      </c>
      <c r="BD27" s="272">
        <v>1184067</v>
      </c>
      <c r="BE27" s="272">
        <v>300000</v>
      </c>
      <c r="BF27" s="272">
        <v>664383</v>
      </c>
      <c r="BG27" s="272">
        <v>0</v>
      </c>
      <c r="BH27" s="272">
        <v>913759</v>
      </c>
      <c r="BI27" s="272">
        <v>806429</v>
      </c>
      <c r="BJ27" s="272">
        <v>215530</v>
      </c>
      <c r="BK27" s="272">
        <v>93076</v>
      </c>
      <c r="BL27" s="272">
        <v>0</v>
      </c>
      <c r="BM27" s="272">
        <v>0</v>
      </c>
      <c r="BN27" s="272">
        <v>4528800</v>
      </c>
      <c r="BO27" s="455">
        <f t="shared" si="5"/>
        <v>3726900</v>
      </c>
      <c r="BP27" s="455">
        <f t="shared" si="6"/>
        <v>801900</v>
      </c>
      <c r="BQ27" s="272">
        <v>261000</v>
      </c>
      <c r="BR27" s="272">
        <v>0</v>
      </c>
      <c r="BS27" s="272">
        <v>540900</v>
      </c>
      <c r="BT27" s="272">
        <v>0</v>
      </c>
      <c r="BU27" s="272">
        <v>46778196</v>
      </c>
      <c r="BV27" s="272"/>
      <c r="BW27" s="272">
        <v>12634824</v>
      </c>
      <c r="BX27" s="272">
        <v>8978825</v>
      </c>
      <c r="BY27" s="272">
        <v>1508864</v>
      </c>
      <c r="BZ27" s="272">
        <v>121554</v>
      </c>
      <c r="CA27" s="272">
        <v>9209697</v>
      </c>
      <c r="CB27" s="272">
        <v>923338</v>
      </c>
      <c r="CC27" s="272">
        <v>370874</v>
      </c>
      <c r="CD27" s="272">
        <v>1830731</v>
      </c>
      <c r="CE27" s="272">
        <v>5923296</v>
      </c>
      <c r="CF27" s="272">
        <v>569</v>
      </c>
      <c r="CG27" s="272">
        <v>160054</v>
      </c>
      <c r="CH27" s="272">
        <v>3791037</v>
      </c>
      <c r="CI27" s="272">
        <v>2585813</v>
      </c>
      <c r="CJ27" s="455">
        <f t="shared" si="7"/>
        <v>1205224</v>
      </c>
      <c r="CK27" s="272">
        <v>4338634</v>
      </c>
      <c r="CL27" s="272">
        <v>2567037</v>
      </c>
      <c r="CM27" s="272">
        <v>146708</v>
      </c>
      <c r="CN27" s="272">
        <v>1024620</v>
      </c>
      <c r="CO27" s="272">
        <v>207231</v>
      </c>
      <c r="CP27" s="272">
        <v>3491819</v>
      </c>
      <c r="CQ27" s="272">
        <v>2160901</v>
      </c>
      <c r="CR27" s="272">
        <v>627572</v>
      </c>
      <c r="CS27" s="272">
        <v>488958</v>
      </c>
      <c r="CT27" s="455">
        <f t="shared" si="8"/>
        <v>25885</v>
      </c>
      <c r="CU27" s="272">
        <v>15126</v>
      </c>
      <c r="CV27" s="272">
        <v>10759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7809766</v>
      </c>
      <c r="DD27" s="272">
        <v>3383723</v>
      </c>
      <c r="DE27" s="272">
        <v>4426043</v>
      </c>
      <c r="DF27" s="272">
        <v>0</v>
      </c>
      <c r="DG27" s="272">
        <v>0</v>
      </c>
      <c r="DH27" s="272">
        <v>0</v>
      </c>
      <c r="DI27" s="272">
        <v>432344</v>
      </c>
      <c r="DJ27" s="272">
        <v>406694</v>
      </c>
      <c r="DK27" s="272">
        <v>4733</v>
      </c>
      <c r="DL27" s="272">
        <v>20917</v>
      </c>
      <c r="DM27" s="272">
        <v>500</v>
      </c>
      <c r="DN27" s="272">
        <v>0</v>
      </c>
      <c r="DO27" s="272">
        <v>0</v>
      </c>
      <c r="DP27" s="272">
        <v>0</v>
      </c>
      <c r="DQ27" s="272">
        <v>93000</v>
      </c>
      <c r="DR27" s="272">
        <v>0</v>
      </c>
      <c r="DS27" s="272">
        <v>0</v>
      </c>
      <c r="DT27" s="272">
        <v>4193972</v>
      </c>
      <c r="DU27" s="272">
        <v>2022000</v>
      </c>
      <c r="DV27" s="455">
        <f t="shared" si="11"/>
        <v>0</v>
      </c>
      <c r="DW27" s="272">
        <v>0</v>
      </c>
      <c r="DX27" s="272">
        <v>0</v>
      </c>
      <c r="DY27" s="272">
        <v>0</v>
      </c>
      <c r="DZ27" s="272">
        <v>1289779</v>
      </c>
      <c r="EA27" s="272">
        <v>423281</v>
      </c>
      <c r="EB27" s="272">
        <v>458912</v>
      </c>
      <c r="EC27" s="272">
        <v>0</v>
      </c>
      <c r="ED27" s="272">
        <v>46202824</v>
      </c>
      <c r="EF27" s="272">
        <v>575372</v>
      </c>
      <c r="EG27" s="272">
        <v>45288</v>
      </c>
      <c r="EH27" s="272">
        <v>530084</v>
      </c>
      <c r="EI27" s="272">
        <v>-276345</v>
      </c>
      <c r="EJ27" s="272">
        <v>-1053718</v>
      </c>
      <c r="EL27" s="272"/>
      <c r="EM27" s="272">
        <v>134291</v>
      </c>
      <c r="EN27" s="272">
        <v>1484067</v>
      </c>
      <c r="EO27" s="272">
        <v>3568</v>
      </c>
      <c r="EP27" s="455">
        <f t="shared" si="12"/>
        <v>958789</v>
      </c>
      <c r="EQ27" s="272">
        <v>28298822</v>
      </c>
      <c r="ER27" s="272">
        <v>-3223828</v>
      </c>
      <c r="ES27" s="272">
        <v>11812606</v>
      </c>
      <c r="ET27" s="272">
        <v>8178932</v>
      </c>
      <c r="EU27" s="272">
        <v>2670084</v>
      </c>
      <c r="EV27" s="272">
        <v>3735894</v>
      </c>
      <c r="EW27" s="455">
        <f t="shared" si="13"/>
        <v>1539043</v>
      </c>
      <c r="EX27" s="272">
        <v>1539043</v>
      </c>
      <c r="EY27" s="272">
        <v>95386</v>
      </c>
      <c r="EZ27" s="272">
        <v>1443657</v>
      </c>
      <c r="FA27" s="272">
        <v>0</v>
      </c>
      <c r="FB27" s="272"/>
      <c r="FC27" s="272">
        <v>3606700</v>
      </c>
      <c r="FD27" s="272">
        <v>3263747</v>
      </c>
      <c r="FE27" s="272">
        <v>2160901</v>
      </c>
      <c r="FF27" s="272">
        <v>3762234</v>
      </c>
      <c r="FG27" s="455">
        <f t="shared" si="14"/>
        <v>595641</v>
      </c>
      <c r="FH27" s="272">
        <v>30985949</v>
      </c>
      <c r="FI27" s="384">
        <f t="shared" si="15"/>
        <v>2</v>
      </c>
      <c r="FJ27" s="272">
        <v>26067879</v>
      </c>
      <c r="FK27" s="272">
        <v>540900</v>
      </c>
      <c r="FL27" s="272">
        <v>16965274</v>
      </c>
      <c r="FM27" s="272">
        <v>20520671</v>
      </c>
      <c r="FN27" s="460">
        <v>0.83099999999999996</v>
      </c>
      <c r="FO27" s="388">
        <v>103.4</v>
      </c>
      <c r="FP27" s="388">
        <v>43</v>
      </c>
      <c r="FQ27" s="388">
        <v>10</v>
      </c>
      <c r="FR27" s="388">
        <v>14</v>
      </c>
      <c r="FS27" s="388">
        <v>12.5</v>
      </c>
      <c r="FT27" s="388">
        <v>11.4</v>
      </c>
      <c r="FU27" s="388">
        <v>11.8</v>
      </c>
      <c r="FV27" s="388">
        <v>8.9</v>
      </c>
      <c r="FW27" s="272">
        <v>41170320</v>
      </c>
      <c r="FX27" s="384">
        <f t="shared" si="16"/>
        <v>157.9</v>
      </c>
      <c r="FY27" s="272">
        <v>12592334</v>
      </c>
      <c r="FZ27" s="272">
        <v>3307115</v>
      </c>
      <c r="GA27" s="272">
        <v>880763</v>
      </c>
      <c r="GB27" s="272">
        <v>8404456</v>
      </c>
      <c r="GC27" s="272"/>
      <c r="GD27" s="272">
        <v>12260833</v>
      </c>
      <c r="GE27" s="384">
        <f t="shared" si="17"/>
        <v>47</v>
      </c>
      <c r="GF27" s="388">
        <v>96.6</v>
      </c>
      <c r="GG27" s="388">
        <v>15.2</v>
      </c>
      <c r="GH27" s="388">
        <v>88.3</v>
      </c>
      <c r="GI27" s="272">
        <v>1181</v>
      </c>
    </row>
    <row r="28" spans="2:191" x14ac:dyDescent="0.15">
      <c r="B28" s="89" t="s">
        <v>49</v>
      </c>
      <c r="C28" s="272">
        <v>19187151</v>
      </c>
      <c r="D28" s="455">
        <f t="shared" si="0"/>
        <v>3931651</v>
      </c>
      <c r="E28" s="272">
        <v>84755</v>
      </c>
      <c r="F28" s="272">
        <v>3846896</v>
      </c>
      <c r="G28" s="455">
        <f t="shared" si="1"/>
        <v>2597376</v>
      </c>
      <c r="H28" s="272">
        <v>339349</v>
      </c>
      <c r="I28" s="272">
        <v>2258027</v>
      </c>
      <c r="J28" s="272">
        <v>9972094</v>
      </c>
      <c r="K28" s="272">
        <v>5230175</v>
      </c>
      <c r="L28" s="272">
        <v>2526198</v>
      </c>
      <c r="M28" s="272">
        <v>2116499</v>
      </c>
      <c r="N28" s="272">
        <v>682670</v>
      </c>
      <c r="O28" s="272">
        <v>1940338</v>
      </c>
      <c r="P28" s="272">
        <v>1369723</v>
      </c>
      <c r="Q28" s="272">
        <v>570615</v>
      </c>
      <c r="R28" s="272">
        <v>179428</v>
      </c>
      <c r="S28" s="272"/>
      <c r="T28" s="455">
        <f t="shared" si="2"/>
        <v>1713558</v>
      </c>
      <c r="U28" s="272">
        <v>543087</v>
      </c>
      <c r="V28" s="272"/>
      <c r="W28" s="272"/>
      <c r="X28" s="272">
        <v>988266</v>
      </c>
      <c r="Y28" s="272">
        <v>3783</v>
      </c>
      <c r="Z28" s="272">
        <v>0</v>
      </c>
      <c r="AA28" s="272">
        <v>178422</v>
      </c>
      <c r="AB28" s="272">
        <v>539119</v>
      </c>
      <c r="AC28" s="272">
        <v>568946</v>
      </c>
      <c r="AD28" s="272">
        <v>156850</v>
      </c>
      <c r="AE28" s="272">
        <v>412096</v>
      </c>
      <c r="AF28" s="272">
        <v>17623</v>
      </c>
      <c r="AG28" s="272">
        <v>210779</v>
      </c>
      <c r="AH28" s="455">
        <f t="shared" si="3"/>
        <v>767827</v>
      </c>
      <c r="AI28" s="272">
        <v>607040</v>
      </c>
      <c r="AJ28" s="272">
        <v>160787</v>
      </c>
      <c r="AK28" s="272">
        <v>2669917</v>
      </c>
      <c r="AL28" s="455">
        <f t="shared" si="4"/>
        <v>1350296</v>
      </c>
      <c r="AM28" s="272">
        <v>921920</v>
      </c>
      <c r="AN28" s="272">
        <v>416040</v>
      </c>
      <c r="AO28" s="272">
        <v>0</v>
      </c>
      <c r="AP28" s="272">
        <v>12336</v>
      </c>
      <c r="AQ28" s="272">
        <v>545799</v>
      </c>
      <c r="AR28" s="272">
        <v>0</v>
      </c>
      <c r="AS28" s="272">
        <v>0</v>
      </c>
      <c r="AT28" s="272">
        <v>1269254</v>
      </c>
      <c r="AU28" s="272">
        <v>821407</v>
      </c>
      <c r="AV28" s="272">
        <v>181948</v>
      </c>
      <c r="AW28" s="272">
        <v>150102</v>
      </c>
      <c r="AX28" s="272">
        <v>447847</v>
      </c>
      <c r="AY28" s="272">
        <v>9885</v>
      </c>
      <c r="AZ28" s="272">
        <v>16804</v>
      </c>
      <c r="BA28" s="272">
        <v>8386</v>
      </c>
      <c r="BB28" s="272">
        <v>153793</v>
      </c>
      <c r="BC28" s="272">
        <v>538358</v>
      </c>
      <c r="BD28" s="272">
        <v>450000</v>
      </c>
      <c r="BE28" s="272">
        <v>0</v>
      </c>
      <c r="BF28" s="272">
        <v>22501</v>
      </c>
      <c r="BG28" s="272">
        <v>0</v>
      </c>
      <c r="BH28" s="272">
        <v>265001</v>
      </c>
      <c r="BI28" s="272">
        <v>171410</v>
      </c>
      <c r="BJ28" s="272">
        <v>383331</v>
      </c>
      <c r="BK28" s="272">
        <v>142966</v>
      </c>
      <c r="BL28" s="272">
        <v>0</v>
      </c>
      <c r="BM28" s="272">
        <v>0</v>
      </c>
      <c r="BN28" s="272">
        <v>2113200</v>
      </c>
      <c r="BO28" s="455">
        <f t="shared" si="5"/>
        <v>1531300</v>
      </c>
      <c r="BP28" s="455">
        <f t="shared" si="6"/>
        <v>581900</v>
      </c>
      <c r="BQ28" s="272">
        <v>203200</v>
      </c>
      <c r="BR28" s="272">
        <v>0</v>
      </c>
      <c r="BS28" s="272">
        <v>378700</v>
      </c>
      <c r="BT28" s="272">
        <v>0</v>
      </c>
      <c r="BU28" s="272">
        <v>30594089</v>
      </c>
      <c r="BV28" s="272"/>
      <c r="BW28" s="272">
        <v>8382935</v>
      </c>
      <c r="BX28" s="272">
        <v>5955225</v>
      </c>
      <c r="BY28" s="272">
        <v>903903</v>
      </c>
      <c r="BZ28" s="272">
        <v>141451</v>
      </c>
      <c r="CA28" s="272">
        <v>3326470</v>
      </c>
      <c r="CB28" s="272">
        <v>367085</v>
      </c>
      <c r="CC28" s="272">
        <v>281169</v>
      </c>
      <c r="CD28" s="272">
        <v>1354260</v>
      </c>
      <c r="CE28" s="272">
        <v>1234256</v>
      </c>
      <c r="CF28" s="272">
        <v>0</v>
      </c>
      <c r="CG28" s="272">
        <v>89700</v>
      </c>
      <c r="CH28" s="272">
        <v>4405630</v>
      </c>
      <c r="CI28" s="272">
        <v>2979286</v>
      </c>
      <c r="CJ28" s="455">
        <f t="shared" si="7"/>
        <v>1426344</v>
      </c>
      <c r="CK28" s="272">
        <v>4186070</v>
      </c>
      <c r="CL28" s="272">
        <v>2458967</v>
      </c>
      <c r="CM28" s="272">
        <v>268442</v>
      </c>
      <c r="CN28" s="272">
        <v>796381</v>
      </c>
      <c r="CO28" s="272">
        <v>363444</v>
      </c>
      <c r="CP28" s="272">
        <v>1374875</v>
      </c>
      <c r="CQ28" s="272">
        <v>6804</v>
      </c>
      <c r="CR28" s="272">
        <v>634524</v>
      </c>
      <c r="CS28" s="272">
        <v>313976</v>
      </c>
      <c r="CT28" s="455">
        <f t="shared" si="8"/>
        <v>31186</v>
      </c>
      <c r="CU28" s="272">
        <v>4017</v>
      </c>
      <c r="CV28" s="272">
        <v>27169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2937635</v>
      </c>
      <c r="DD28" s="272">
        <v>1110594</v>
      </c>
      <c r="DE28" s="272">
        <v>1749790</v>
      </c>
      <c r="DF28" s="272">
        <v>0</v>
      </c>
      <c r="DG28" s="272">
        <v>77251</v>
      </c>
      <c r="DH28" s="272">
        <v>0</v>
      </c>
      <c r="DI28" s="272">
        <v>127174</v>
      </c>
      <c r="DJ28" s="272">
        <v>36247</v>
      </c>
      <c r="DK28" s="272">
        <v>870</v>
      </c>
      <c r="DL28" s="272">
        <v>90057</v>
      </c>
      <c r="DM28" s="272">
        <v>0</v>
      </c>
      <c r="DN28" s="272">
        <v>0</v>
      </c>
      <c r="DO28" s="272">
        <v>0</v>
      </c>
      <c r="DP28" s="272">
        <v>0</v>
      </c>
      <c r="DQ28" s="272">
        <v>142736</v>
      </c>
      <c r="DR28" s="272">
        <v>0</v>
      </c>
      <c r="DS28" s="272">
        <v>0</v>
      </c>
      <c r="DT28" s="272">
        <v>5291814</v>
      </c>
      <c r="DU28" s="272">
        <v>3565699</v>
      </c>
      <c r="DV28" s="455">
        <f t="shared" si="11"/>
        <v>0</v>
      </c>
      <c r="DW28" s="272">
        <v>0</v>
      </c>
      <c r="DX28" s="272">
        <v>0</v>
      </c>
      <c r="DY28" s="272">
        <v>174543</v>
      </c>
      <c r="DZ28" s="272">
        <v>831263</v>
      </c>
      <c r="EA28" s="272">
        <v>260759</v>
      </c>
      <c r="EB28" s="272">
        <v>389127</v>
      </c>
      <c r="EC28" s="272">
        <v>0</v>
      </c>
      <c r="ED28" s="272">
        <v>30538783</v>
      </c>
      <c r="EF28" s="272">
        <v>55306</v>
      </c>
      <c r="EG28" s="272">
        <v>993</v>
      </c>
      <c r="EH28" s="272">
        <v>54313</v>
      </c>
      <c r="EI28" s="272">
        <v>-117097</v>
      </c>
      <c r="EJ28" s="272">
        <v>-530850</v>
      </c>
      <c r="EL28" s="272"/>
      <c r="EM28" s="272">
        <v>84039</v>
      </c>
      <c r="EN28" s="272">
        <v>523806</v>
      </c>
      <c r="EO28" s="272">
        <v>9273</v>
      </c>
      <c r="EP28" s="455">
        <f t="shared" si="12"/>
        <v>641922</v>
      </c>
      <c r="EQ28" s="272">
        <v>22205825</v>
      </c>
      <c r="ER28" s="272">
        <v>-1739278</v>
      </c>
      <c r="ES28" s="272">
        <v>7824082</v>
      </c>
      <c r="ET28" s="272">
        <v>5432517</v>
      </c>
      <c r="EU28" s="272">
        <v>1095307</v>
      </c>
      <c r="EV28" s="272">
        <v>4373707</v>
      </c>
      <c r="EW28" s="455">
        <f t="shared" si="13"/>
        <v>540615</v>
      </c>
      <c r="EX28" s="272">
        <v>540615</v>
      </c>
      <c r="EY28" s="272">
        <v>125012</v>
      </c>
      <c r="EZ28" s="272">
        <v>415603</v>
      </c>
      <c r="FA28" s="272">
        <v>0</v>
      </c>
      <c r="FB28" s="272"/>
      <c r="FC28" s="272">
        <v>3211428</v>
      </c>
      <c r="FD28" s="272">
        <v>1242284</v>
      </c>
      <c r="FE28" s="272">
        <v>6804</v>
      </c>
      <c r="FF28" s="272">
        <v>5135899</v>
      </c>
      <c r="FG28" s="455">
        <f t="shared" si="14"/>
        <v>466475</v>
      </c>
      <c r="FH28" s="272">
        <v>23889797</v>
      </c>
      <c r="FI28" s="384">
        <f t="shared" si="15"/>
        <v>0.3</v>
      </c>
      <c r="FJ28" s="272">
        <v>19546031</v>
      </c>
      <c r="FK28" s="272">
        <v>378715</v>
      </c>
      <c r="FL28" s="272">
        <v>14591988</v>
      </c>
      <c r="FM28" s="272">
        <v>14759770</v>
      </c>
      <c r="FN28" s="460">
        <v>0.97</v>
      </c>
      <c r="FO28" s="388">
        <v>103.4</v>
      </c>
      <c r="FP28" s="388">
        <v>36.9</v>
      </c>
      <c r="FQ28" s="388">
        <v>5.3</v>
      </c>
      <c r="FR28" s="388">
        <v>21.3</v>
      </c>
      <c r="FS28" s="388">
        <v>14.8</v>
      </c>
      <c r="FT28" s="388">
        <v>5.6</v>
      </c>
      <c r="FU28" s="388">
        <v>17.8</v>
      </c>
      <c r="FV28" s="388">
        <v>14.4</v>
      </c>
      <c r="FW28" s="272">
        <v>40875279</v>
      </c>
      <c r="FX28" s="384">
        <f t="shared" si="16"/>
        <v>209.1</v>
      </c>
      <c r="FY28" s="272">
        <v>7763220</v>
      </c>
      <c r="FZ28" s="272">
        <v>2113384</v>
      </c>
      <c r="GA28" s="272">
        <v>1556693</v>
      </c>
      <c r="GB28" s="272">
        <v>4093143</v>
      </c>
      <c r="GC28" s="272"/>
      <c r="GD28" s="272">
        <v>2990765</v>
      </c>
      <c r="GE28" s="384">
        <f t="shared" si="17"/>
        <v>15.3</v>
      </c>
      <c r="GF28" s="388">
        <v>98.2</v>
      </c>
      <c r="GG28" s="388">
        <v>20.8</v>
      </c>
      <c r="GH28" s="388">
        <v>94.4</v>
      </c>
      <c r="GI28" s="272">
        <v>722</v>
      </c>
    </row>
    <row r="29" spans="2:191" x14ac:dyDescent="0.15">
      <c r="B29" s="89" t="s">
        <v>51</v>
      </c>
      <c r="C29" s="272">
        <v>12914842</v>
      </c>
      <c r="D29" s="455">
        <f t="shared" si="0"/>
        <v>3035179</v>
      </c>
      <c r="E29" s="272">
        <v>56150</v>
      </c>
      <c r="F29" s="272">
        <v>2979029</v>
      </c>
      <c r="G29" s="455">
        <f t="shared" si="1"/>
        <v>703999</v>
      </c>
      <c r="H29" s="272">
        <v>162623</v>
      </c>
      <c r="I29" s="272">
        <v>541376</v>
      </c>
      <c r="J29" s="272">
        <v>7387801</v>
      </c>
      <c r="K29" s="272">
        <v>4105060</v>
      </c>
      <c r="L29" s="272">
        <v>1375661</v>
      </c>
      <c r="M29" s="272">
        <v>1865891</v>
      </c>
      <c r="N29" s="272">
        <v>386207</v>
      </c>
      <c r="O29" s="272">
        <v>1360718</v>
      </c>
      <c r="P29" s="272">
        <v>1042038</v>
      </c>
      <c r="Q29" s="272">
        <v>318680</v>
      </c>
      <c r="R29" s="272">
        <v>154649</v>
      </c>
      <c r="S29" s="272"/>
      <c r="T29" s="455">
        <f t="shared" si="2"/>
        <v>1080631</v>
      </c>
      <c r="U29" s="272">
        <v>393571</v>
      </c>
      <c r="V29" s="272"/>
      <c r="W29" s="272"/>
      <c r="X29" s="272">
        <v>566006</v>
      </c>
      <c r="Y29" s="272">
        <v>0</v>
      </c>
      <c r="Z29" s="272">
        <v>755</v>
      </c>
      <c r="AA29" s="272">
        <v>120299</v>
      </c>
      <c r="AB29" s="272">
        <v>321816</v>
      </c>
      <c r="AC29" s="272">
        <v>58039</v>
      </c>
      <c r="AD29" s="272">
        <v>0</v>
      </c>
      <c r="AE29" s="272">
        <v>58039</v>
      </c>
      <c r="AF29" s="272">
        <v>10798</v>
      </c>
      <c r="AG29" s="272">
        <v>66446</v>
      </c>
      <c r="AH29" s="455">
        <f t="shared" si="3"/>
        <v>458784</v>
      </c>
      <c r="AI29" s="272">
        <v>406205</v>
      </c>
      <c r="AJ29" s="272">
        <v>52579</v>
      </c>
      <c r="AK29" s="272">
        <v>2404619</v>
      </c>
      <c r="AL29" s="455">
        <f t="shared" si="4"/>
        <v>1003120</v>
      </c>
      <c r="AM29" s="272">
        <v>781154</v>
      </c>
      <c r="AN29" s="272">
        <v>218348</v>
      </c>
      <c r="AO29" s="272">
        <v>0</v>
      </c>
      <c r="AP29" s="272">
        <v>3618</v>
      </c>
      <c r="AQ29" s="272">
        <v>879648</v>
      </c>
      <c r="AR29" s="272">
        <v>0</v>
      </c>
      <c r="AS29" s="272">
        <v>0</v>
      </c>
      <c r="AT29" s="272">
        <v>2594000</v>
      </c>
      <c r="AU29" s="272">
        <v>1533422</v>
      </c>
      <c r="AV29" s="272">
        <v>108356</v>
      </c>
      <c r="AW29" s="272">
        <v>13376</v>
      </c>
      <c r="AX29" s="272">
        <v>1060578</v>
      </c>
      <c r="AY29" s="272">
        <v>617633</v>
      </c>
      <c r="AZ29" s="272">
        <v>138805</v>
      </c>
      <c r="BA29" s="272">
        <v>37504</v>
      </c>
      <c r="BB29" s="272">
        <v>2170</v>
      </c>
      <c r="BC29" s="272">
        <v>2506049</v>
      </c>
      <c r="BD29" s="272">
        <v>14039</v>
      </c>
      <c r="BE29" s="272">
        <v>0</v>
      </c>
      <c r="BF29" s="272">
        <v>1556031</v>
      </c>
      <c r="BG29" s="470">
        <v>933000</v>
      </c>
      <c r="BH29" s="272">
        <v>440768</v>
      </c>
      <c r="BI29" s="272">
        <v>23248</v>
      </c>
      <c r="BJ29" s="272">
        <v>231586</v>
      </c>
      <c r="BK29" s="272">
        <v>58622</v>
      </c>
      <c r="BL29" s="272">
        <v>0</v>
      </c>
      <c r="BM29" s="272">
        <v>0</v>
      </c>
      <c r="BN29" s="272">
        <v>2664000</v>
      </c>
      <c r="BO29" s="455">
        <f t="shared" si="5"/>
        <v>2250600</v>
      </c>
      <c r="BP29" s="455">
        <f t="shared" si="6"/>
        <v>413400</v>
      </c>
      <c r="BQ29" s="272">
        <v>122500</v>
      </c>
      <c r="BR29" s="272">
        <v>0</v>
      </c>
      <c r="BS29" s="272">
        <v>290900</v>
      </c>
      <c r="BT29" s="272">
        <v>0</v>
      </c>
      <c r="BU29" s="272">
        <v>26048002</v>
      </c>
      <c r="BV29" s="272"/>
      <c r="BW29" s="272">
        <v>6099541</v>
      </c>
      <c r="BX29" s="272">
        <v>4444295</v>
      </c>
      <c r="BY29" s="272">
        <v>450817</v>
      </c>
      <c r="BZ29" s="272">
        <v>130758</v>
      </c>
      <c r="CA29" s="272">
        <v>2506341</v>
      </c>
      <c r="CB29" s="272">
        <v>382795</v>
      </c>
      <c r="CC29" s="272">
        <v>262629</v>
      </c>
      <c r="CD29" s="272">
        <v>782863</v>
      </c>
      <c r="CE29" s="272">
        <v>1033235</v>
      </c>
      <c r="CF29" s="272">
        <v>114</v>
      </c>
      <c r="CG29" s="272">
        <v>44705</v>
      </c>
      <c r="CH29" s="272">
        <v>1679974</v>
      </c>
      <c r="CI29" s="272">
        <v>1085070</v>
      </c>
      <c r="CJ29" s="455">
        <f t="shared" si="7"/>
        <v>594904</v>
      </c>
      <c r="CK29" s="272">
        <v>2356839</v>
      </c>
      <c r="CL29" s="272">
        <v>1420535</v>
      </c>
      <c r="CM29" s="272">
        <v>94417</v>
      </c>
      <c r="CN29" s="272">
        <v>503464</v>
      </c>
      <c r="CO29" s="272">
        <v>28044</v>
      </c>
      <c r="CP29" s="272">
        <v>2968832</v>
      </c>
      <c r="CQ29" s="272">
        <v>1909440</v>
      </c>
      <c r="CR29" s="272">
        <v>472224</v>
      </c>
      <c r="CS29" s="272">
        <v>326111</v>
      </c>
      <c r="CT29" s="455">
        <f t="shared" si="8"/>
        <v>75078</v>
      </c>
      <c r="CU29" s="272">
        <v>1355</v>
      </c>
      <c r="CV29" s="272">
        <v>73723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6260190</v>
      </c>
      <c r="DD29" s="272">
        <v>2100623</v>
      </c>
      <c r="DE29" s="272">
        <v>2554167</v>
      </c>
      <c r="DF29" s="272">
        <v>0</v>
      </c>
      <c r="DG29" s="272">
        <v>1605400</v>
      </c>
      <c r="DH29" s="272">
        <v>0</v>
      </c>
      <c r="DI29" s="272">
        <v>117736</v>
      </c>
      <c r="DJ29" s="272">
        <v>28952</v>
      </c>
      <c r="DK29" s="272">
        <v>0</v>
      </c>
      <c r="DL29" s="272">
        <v>88784</v>
      </c>
      <c r="DM29" s="272">
        <v>0</v>
      </c>
      <c r="DN29" s="272">
        <v>0</v>
      </c>
      <c r="DO29" s="272">
        <v>0</v>
      </c>
      <c r="DP29" s="272">
        <v>0</v>
      </c>
      <c r="DQ29" s="272">
        <v>76585</v>
      </c>
      <c r="DR29" s="272">
        <v>0</v>
      </c>
      <c r="DS29" s="272">
        <v>0</v>
      </c>
      <c r="DT29" s="272">
        <v>2977763</v>
      </c>
      <c r="DU29" s="272">
        <v>1785926</v>
      </c>
      <c r="DV29" s="455">
        <f t="shared" si="11"/>
        <v>0</v>
      </c>
      <c r="DW29" s="272">
        <v>0</v>
      </c>
      <c r="DX29" s="272">
        <v>0</v>
      </c>
      <c r="DY29" s="272">
        <v>0</v>
      </c>
      <c r="DZ29" s="272">
        <v>556722</v>
      </c>
      <c r="EA29" s="272">
        <v>273189</v>
      </c>
      <c r="EB29" s="272">
        <v>359739</v>
      </c>
      <c r="EC29" s="272">
        <v>0</v>
      </c>
      <c r="ED29" s="272">
        <v>25071845</v>
      </c>
      <c r="EF29" s="272">
        <v>976157</v>
      </c>
      <c r="EG29" s="272">
        <v>975897</v>
      </c>
      <c r="EH29" s="272">
        <v>260</v>
      </c>
      <c r="EI29" s="272">
        <v>-22988</v>
      </c>
      <c r="EJ29" s="272">
        <v>-8075</v>
      </c>
      <c r="EL29" s="272"/>
      <c r="EM29" s="272">
        <v>62005</v>
      </c>
      <c r="EN29" s="272">
        <v>2081300</v>
      </c>
      <c r="EO29" s="272">
        <v>51834</v>
      </c>
      <c r="EP29" s="455">
        <f t="shared" si="12"/>
        <v>295132</v>
      </c>
      <c r="EQ29" s="272">
        <v>14540775</v>
      </c>
      <c r="ER29" s="272">
        <v>-2830868</v>
      </c>
      <c r="ES29" s="272">
        <v>5528342</v>
      </c>
      <c r="ET29" s="272">
        <v>3884394</v>
      </c>
      <c r="EU29" s="272">
        <v>878209</v>
      </c>
      <c r="EV29" s="272">
        <v>1531489</v>
      </c>
      <c r="EW29" s="455">
        <f t="shared" si="13"/>
        <v>841241</v>
      </c>
      <c r="EX29" s="272">
        <v>841241</v>
      </c>
      <c r="EY29" s="272">
        <v>272066</v>
      </c>
      <c r="EZ29" s="272">
        <v>569175</v>
      </c>
      <c r="FA29" s="272">
        <v>0</v>
      </c>
      <c r="FB29" s="272"/>
      <c r="FC29" s="272">
        <v>1877965</v>
      </c>
      <c r="FD29" s="272">
        <v>2869706</v>
      </c>
      <c r="FE29" s="272">
        <v>1909440</v>
      </c>
      <c r="FF29" s="272">
        <v>2818876</v>
      </c>
      <c r="FG29" s="455">
        <f t="shared" si="14"/>
        <v>49658</v>
      </c>
      <c r="FH29" s="272">
        <v>16395486</v>
      </c>
      <c r="FI29" s="384">
        <f t="shared" si="15"/>
        <v>0</v>
      </c>
      <c r="FJ29" s="272">
        <v>13177035</v>
      </c>
      <c r="FK29" s="272">
        <v>290920</v>
      </c>
      <c r="FL29" s="272">
        <v>9927827</v>
      </c>
      <c r="FM29" s="272">
        <v>9858487</v>
      </c>
      <c r="FN29" s="460">
        <v>1.026</v>
      </c>
      <c r="FO29" s="388">
        <v>104.1</v>
      </c>
      <c r="FP29" s="388">
        <v>38.700000000000003</v>
      </c>
      <c r="FQ29" s="388">
        <v>6.5</v>
      </c>
      <c r="FR29" s="388">
        <v>11.3</v>
      </c>
      <c r="FS29" s="388">
        <v>13.7</v>
      </c>
      <c r="FT29" s="388">
        <v>19.7</v>
      </c>
      <c r="FU29" s="388">
        <v>14.1</v>
      </c>
      <c r="FV29" s="388">
        <v>7.1</v>
      </c>
      <c r="FW29" s="272">
        <v>25624846</v>
      </c>
      <c r="FX29" s="384">
        <f t="shared" si="16"/>
        <v>194.5</v>
      </c>
      <c r="FY29" s="272">
        <v>9534481</v>
      </c>
      <c r="FZ29" s="272">
        <v>454966</v>
      </c>
      <c r="GA29" s="272"/>
      <c r="GB29" s="272">
        <v>9079515</v>
      </c>
      <c r="GC29" s="272">
        <v>343000</v>
      </c>
      <c r="GD29" s="272">
        <v>12307967</v>
      </c>
      <c r="GE29" s="384">
        <f t="shared" si="17"/>
        <v>93.4</v>
      </c>
      <c r="GF29" s="388">
        <v>98.4</v>
      </c>
      <c r="GG29" s="388">
        <v>21.2</v>
      </c>
      <c r="GH29" s="388">
        <v>93.5</v>
      </c>
      <c r="GI29" s="272">
        <v>572</v>
      </c>
    </row>
    <row r="30" spans="2:191" x14ac:dyDescent="0.15">
      <c r="B30" s="89" t="s">
        <v>53</v>
      </c>
      <c r="C30" s="272">
        <v>8587947</v>
      </c>
      <c r="D30" s="455">
        <f t="shared" si="0"/>
        <v>3207847</v>
      </c>
      <c r="E30" s="272">
        <v>58986</v>
      </c>
      <c r="F30" s="272">
        <v>3148861</v>
      </c>
      <c r="G30" s="455">
        <f t="shared" si="1"/>
        <v>586535</v>
      </c>
      <c r="H30" s="272">
        <v>152906</v>
      </c>
      <c r="I30" s="272">
        <v>433629</v>
      </c>
      <c r="J30" s="272">
        <v>3468290</v>
      </c>
      <c r="K30" s="272">
        <v>1831791</v>
      </c>
      <c r="L30" s="272">
        <v>1293550</v>
      </c>
      <c r="M30" s="272">
        <v>312494</v>
      </c>
      <c r="N30" s="272">
        <v>386951</v>
      </c>
      <c r="O30" s="272">
        <v>890906</v>
      </c>
      <c r="P30" s="272">
        <v>593273</v>
      </c>
      <c r="Q30" s="272">
        <v>297633</v>
      </c>
      <c r="R30" s="272">
        <v>128169</v>
      </c>
      <c r="S30" s="272"/>
      <c r="T30" s="455">
        <f t="shared" si="2"/>
        <v>1121986</v>
      </c>
      <c r="U30" s="272">
        <v>411919</v>
      </c>
      <c r="V30" s="272"/>
      <c r="W30" s="272"/>
      <c r="X30" s="272">
        <v>582451</v>
      </c>
      <c r="Y30" s="272">
        <v>0</v>
      </c>
      <c r="Z30" s="272">
        <v>0</v>
      </c>
      <c r="AA30" s="272">
        <v>127616</v>
      </c>
      <c r="AB30" s="272">
        <v>338178</v>
      </c>
      <c r="AC30" s="272">
        <v>3964860</v>
      </c>
      <c r="AD30" s="272">
        <v>3680767</v>
      </c>
      <c r="AE30" s="272">
        <v>284093</v>
      </c>
      <c r="AF30" s="272">
        <v>13912</v>
      </c>
      <c r="AG30" s="272">
        <v>54833</v>
      </c>
      <c r="AH30" s="455">
        <f t="shared" si="3"/>
        <v>416045</v>
      </c>
      <c r="AI30" s="272">
        <v>381546</v>
      </c>
      <c r="AJ30" s="272">
        <v>34499</v>
      </c>
      <c r="AK30" s="272">
        <v>2051145</v>
      </c>
      <c r="AL30" s="455">
        <f t="shared" si="4"/>
        <v>1203472</v>
      </c>
      <c r="AM30" s="272">
        <v>983274</v>
      </c>
      <c r="AN30" s="272">
        <v>215103</v>
      </c>
      <c r="AO30" s="272">
        <v>0</v>
      </c>
      <c r="AP30" s="272">
        <v>5095</v>
      </c>
      <c r="AQ30" s="272">
        <v>134220</v>
      </c>
      <c r="AR30" s="272">
        <v>0</v>
      </c>
      <c r="AS30" s="272">
        <v>0</v>
      </c>
      <c r="AT30" s="272">
        <v>809013</v>
      </c>
      <c r="AU30" s="272">
        <v>390783</v>
      </c>
      <c r="AV30" s="272">
        <v>99759</v>
      </c>
      <c r="AW30" s="272">
        <v>0</v>
      </c>
      <c r="AX30" s="272">
        <v>418230</v>
      </c>
      <c r="AY30" s="272">
        <v>16125</v>
      </c>
      <c r="AZ30" s="272">
        <v>12013</v>
      </c>
      <c r="BA30" s="272">
        <v>960</v>
      </c>
      <c r="BB30" s="272">
        <v>89873</v>
      </c>
      <c r="BC30" s="272">
        <v>283105</v>
      </c>
      <c r="BD30" s="272">
        <v>0</v>
      </c>
      <c r="BE30" s="272">
        <v>0</v>
      </c>
      <c r="BF30" s="272">
        <v>283105</v>
      </c>
      <c r="BG30" s="272">
        <v>0</v>
      </c>
      <c r="BH30" s="272">
        <v>18371</v>
      </c>
      <c r="BI30" s="272">
        <v>5708</v>
      </c>
      <c r="BJ30" s="272">
        <v>214980</v>
      </c>
      <c r="BK30" s="272">
        <v>20026</v>
      </c>
      <c r="BL30" s="272">
        <v>0</v>
      </c>
      <c r="BM30" s="272">
        <v>0</v>
      </c>
      <c r="BN30" s="272">
        <v>835000</v>
      </c>
      <c r="BO30" s="455">
        <f t="shared" si="5"/>
        <v>404600</v>
      </c>
      <c r="BP30" s="455">
        <f t="shared" si="6"/>
        <v>430400</v>
      </c>
      <c r="BQ30" s="272">
        <v>126400</v>
      </c>
      <c r="BR30" s="272">
        <v>0</v>
      </c>
      <c r="BS30" s="272">
        <v>304000</v>
      </c>
      <c r="BT30" s="272">
        <v>0</v>
      </c>
      <c r="BU30" s="272">
        <v>18939430</v>
      </c>
      <c r="BV30" s="272"/>
      <c r="BW30" s="272">
        <v>5430888</v>
      </c>
      <c r="BX30" s="272">
        <v>3863835</v>
      </c>
      <c r="BY30" s="272">
        <v>362492</v>
      </c>
      <c r="BZ30" s="272">
        <v>251003</v>
      </c>
      <c r="CA30" s="272">
        <v>2644290</v>
      </c>
      <c r="CB30" s="272">
        <v>422598</v>
      </c>
      <c r="CC30" s="272">
        <v>253743</v>
      </c>
      <c r="CD30" s="272">
        <v>614739</v>
      </c>
      <c r="CE30" s="272">
        <v>1307446</v>
      </c>
      <c r="CF30" s="272">
        <v>0</v>
      </c>
      <c r="CG30" s="272">
        <v>45634</v>
      </c>
      <c r="CH30" s="272">
        <v>1615353</v>
      </c>
      <c r="CI30" s="272">
        <v>1230560</v>
      </c>
      <c r="CJ30" s="455">
        <f t="shared" si="7"/>
        <v>384793</v>
      </c>
      <c r="CK30" s="272">
        <v>2108360</v>
      </c>
      <c r="CL30" s="272">
        <v>1025569</v>
      </c>
      <c r="CM30" s="272">
        <v>211096</v>
      </c>
      <c r="CN30" s="272">
        <v>428862</v>
      </c>
      <c r="CO30" s="272">
        <v>132667</v>
      </c>
      <c r="CP30" s="272">
        <v>2651685</v>
      </c>
      <c r="CQ30" s="272">
        <v>2037664</v>
      </c>
      <c r="CR30" s="272">
        <v>228887</v>
      </c>
      <c r="CS30" s="272">
        <v>184620</v>
      </c>
      <c r="CT30" s="455">
        <f t="shared" si="8"/>
        <v>122217</v>
      </c>
      <c r="CU30" s="272">
        <v>78612</v>
      </c>
      <c r="CV30" s="272">
        <v>43605</v>
      </c>
      <c r="CW30" s="455">
        <f t="shared" si="9"/>
        <v>116442</v>
      </c>
      <c r="CX30" s="272">
        <v>72837</v>
      </c>
      <c r="CY30" s="272">
        <v>43605</v>
      </c>
      <c r="CZ30" s="455">
        <f t="shared" si="10"/>
        <v>0</v>
      </c>
      <c r="DA30" s="272">
        <v>0</v>
      </c>
      <c r="DB30" s="272">
        <v>0</v>
      </c>
      <c r="DC30" s="272">
        <v>1014186</v>
      </c>
      <c r="DD30" s="272">
        <v>232935</v>
      </c>
      <c r="DE30" s="272">
        <v>765672</v>
      </c>
      <c r="DF30" s="272">
        <v>15579</v>
      </c>
      <c r="DG30" s="272">
        <v>0</v>
      </c>
      <c r="DH30" s="272">
        <v>0</v>
      </c>
      <c r="DI30" s="272">
        <v>222310</v>
      </c>
      <c r="DJ30" s="272">
        <v>5329</v>
      </c>
      <c r="DK30" s="272">
        <v>212</v>
      </c>
      <c r="DL30" s="272">
        <v>216769</v>
      </c>
      <c r="DM30" s="272">
        <v>0</v>
      </c>
      <c r="DN30" s="272">
        <v>0</v>
      </c>
      <c r="DO30" s="272">
        <v>0</v>
      </c>
      <c r="DP30" s="272">
        <v>0</v>
      </c>
      <c r="DQ30" s="272">
        <v>20000</v>
      </c>
      <c r="DR30" s="272">
        <v>0</v>
      </c>
      <c r="DS30" s="272">
        <v>0</v>
      </c>
      <c r="DT30" s="272">
        <v>2956233</v>
      </c>
      <c r="DU30" s="272">
        <v>1669975</v>
      </c>
      <c r="DV30" s="455">
        <f t="shared" si="11"/>
        <v>0</v>
      </c>
      <c r="DW30" s="272">
        <v>0</v>
      </c>
      <c r="DX30" s="272">
        <v>0</v>
      </c>
      <c r="DY30" s="272">
        <v>0</v>
      </c>
      <c r="DZ30" s="272">
        <v>563295</v>
      </c>
      <c r="EA30" s="272">
        <v>280194</v>
      </c>
      <c r="EB30" s="272">
        <v>442766</v>
      </c>
      <c r="EC30" s="272">
        <v>0</v>
      </c>
      <c r="ED30" s="272">
        <v>18795972</v>
      </c>
      <c r="EF30" s="272">
        <v>143458</v>
      </c>
      <c r="EG30" s="272">
        <v>2221</v>
      </c>
      <c r="EH30" s="272">
        <v>141237</v>
      </c>
      <c r="EI30" s="272">
        <v>125529</v>
      </c>
      <c r="EJ30" s="272">
        <v>130858</v>
      </c>
      <c r="EL30" s="272"/>
      <c r="EM30" s="272">
        <v>66401</v>
      </c>
      <c r="EN30" s="272">
        <v>0</v>
      </c>
      <c r="EO30" s="272">
        <v>2848</v>
      </c>
      <c r="EP30" s="455">
        <f t="shared" si="12"/>
        <v>197199</v>
      </c>
      <c r="EQ30" s="272">
        <v>14155052</v>
      </c>
      <c r="ER30" s="272">
        <v>-616535</v>
      </c>
      <c r="ES30" s="272">
        <v>4875711</v>
      </c>
      <c r="ET30" s="272">
        <v>3417624</v>
      </c>
      <c r="EU30" s="272">
        <v>866112</v>
      </c>
      <c r="EV30" s="272">
        <v>1400336</v>
      </c>
      <c r="EW30" s="455">
        <f t="shared" si="13"/>
        <v>278779</v>
      </c>
      <c r="EX30" s="272">
        <v>278779</v>
      </c>
      <c r="EY30" s="272">
        <v>30233</v>
      </c>
      <c r="EZ30" s="272">
        <v>243317</v>
      </c>
      <c r="FA30" s="272">
        <v>0</v>
      </c>
      <c r="FB30" s="272"/>
      <c r="FC30" s="272">
        <v>1569602</v>
      </c>
      <c r="FD30" s="272">
        <v>2514952</v>
      </c>
      <c r="FE30" s="272">
        <v>2037664</v>
      </c>
      <c r="FF30" s="272">
        <v>2789670</v>
      </c>
      <c r="FG30" s="455">
        <f t="shared" si="14"/>
        <v>332967</v>
      </c>
      <c r="FH30" s="272">
        <v>14628129</v>
      </c>
      <c r="FI30" s="384">
        <f t="shared" si="15"/>
        <v>1.1000000000000001</v>
      </c>
      <c r="FJ30" s="272">
        <v>13042171</v>
      </c>
      <c r="FK30" s="272">
        <v>304079</v>
      </c>
      <c r="FL30" s="272">
        <v>7057015</v>
      </c>
      <c r="FM30" s="272">
        <v>10741239</v>
      </c>
      <c r="FN30" s="460">
        <v>0.64600000000000002</v>
      </c>
      <c r="FO30" s="388">
        <v>88.1</v>
      </c>
      <c r="FP30" s="388">
        <v>34.9</v>
      </c>
      <c r="FQ30" s="388">
        <v>5.9</v>
      </c>
      <c r="FR30" s="388">
        <v>10.4</v>
      </c>
      <c r="FS30" s="388">
        <v>8.6999999999999993</v>
      </c>
      <c r="FT30" s="388">
        <v>17</v>
      </c>
      <c r="FU30" s="388">
        <v>10.4</v>
      </c>
      <c r="FV30" s="388">
        <v>6.9</v>
      </c>
      <c r="FW30" s="272">
        <v>11723960</v>
      </c>
      <c r="FX30" s="384">
        <f t="shared" si="16"/>
        <v>89.9</v>
      </c>
      <c r="FY30" s="272">
        <v>3849109</v>
      </c>
      <c r="FZ30" s="272">
        <v>1077700</v>
      </c>
      <c r="GA30" s="272">
        <v>371332</v>
      </c>
      <c r="GB30" s="272">
        <v>2400077</v>
      </c>
      <c r="GC30" s="272"/>
      <c r="GD30" s="272">
        <v>292085</v>
      </c>
      <c r="GE30" s="384">
        <f t="shared" si="17"/>
        <v>2.2000000000000002</v>
      </c>
      <c r="GF30" s="388">
        <v>97.5</v>
      </c>
      <c r="GG30" s="388">
        <v>27.9</v>
      </c>
      <c r="GH30" s="388">
        <v>92.1</v>
      </c>
      <c r="GI30" s="272">
        <v>517</v>
      </c>
    </row>
    <row r="31" spans="2:191" x14ac:dyDescent="0.15">
      <c r="B31" s="89" t="s">
        <v>55</v>
      </c>
      <c r="C31" s="272">
        <v>83827779</v>
      </c>
      <c r="D31" s="455">
        <f t="shared" si="0"/>
        <v>21985489</v>
      </c>
      <c r="E31" s="272">
        <v>554193</v>
      </c>
      <c r="F31" s="272">
        <v>21431296</v>
      </c>
      <c r="G31" s="455">
        <f t="shared" si="1"/>
        <v>7029731</v>
      </c>
      <c r="H31" s="272">
        <v>1522053</v>
      </c>
      <c r="I31" s="272">
        <v>5507678</v>
      </c>
      <c r="J31" s="272">
        <v>39397321</v>
      </c>
      <c r="K31" s="272">
        <v>22663796</v>
      </c>
      <c r="L31" s="272">
        <v>12444552</v>
      </c>
      <c r="M31" s="272">
        <v>3992647</v>
      </c>
      <c r="N31" s="272">
        <v>3833307</v>
      </c>
      <c r="O31" s="272">
        <v>9010402</v>
      </c>
      <c r="P31" s="272">
        <v>6145730</v>
      </c>
      <c r="Q31" s="272">
        <v>2864672</v>
      </c>
      <c r="R31" s="272">
        <v>949971</v>
      </c>
      <c r="S31" s="272"/>
      <c r="T31" s="455">
        <f t="shared" si="2"/>
        <v>9217765</v>
      </c>
      <c r="U31" s="272">
        <v>2955000</v>
      </c>
      <c r="V31" s="272"/>
      <c r="W31" s="272"/>
      <c r="X31" s="272">
        <v>5317100</v>
      </c>
      <c r="Y31" s="272">
        <v>0</v>
      </c>
      <c r="Z31" s="272">
        <v>321</v>
      </c>
      <c r="AA31" s="272">
        <v>945344</v>
      </c>
      <c r="AB31" s="272">
        <v>2503049</v>
      </c>
      <c r="AC31" s="272">
        <v>13719309</v>
      </c>
      <c r="AD31" s="272">
        <v>12582083</v>
      </c>
      <c r="AE31" s="272">
        <v>1137226</v>
      </c>
      <c r="AF31" s="272">
        <v>102009</v>
      </c>
      <c r="AG31" s="272">
        <v>3603047</v>
      </c>
      <c r="AH31" s="455">
        <f t="shared" si="3"/>
        <v>3334855</v>
      </c>
      <c r="AI31" s="272">
        <v>2597772</v>
      </c>
      <c r="AJ31" s="272">
        <v>737083</v>
      </c>
      <c r="AK31" s="272">
        <v>23503415</v>
      </c>
      <c r="AL31" s="455">
        <f t="shared" si="4"/>
        <v>16319376</v>
      </c>
      <c r="AM31" s="272">
        <v>14414571</v>
      </c>
      <c r="AN31" s="272">
        <v>1735343</v>
      </c>
      <c r="AO31" s="272">
        <v>65442</v>
      </c>
      <c r="AP31" s="272">
        <v>104020</v>
      </c>
      <c r="AQ31" s="272">
        <v>2336284</v>
      </c>
      <c r="AR31" s="272">
        <v>0</v>
      </c>
      <c r="AS31" s="272">
        <v>0</v>
      </c>
      <c r="AT31" s="272">
        <v>8611861</v>
      </c>
      <c r="AU31" s="272">
        <v>3968598</v>
      </c>
      <c r="AV31" s="272">
        <v>779057</v>
      </c>
      <c r="AW31" s="272">
        <v>210623</v>
      </c>
      <c r="AX31" s="272">
        <v>4643263</v>
      </c>
      <c r="AY31" s="272">
        <v>1261160</v>
      </c>
      <c r="AZ31" s="272">
        <v>429893</v>
      </c>
      <c r="BA31" s="272">
        <v>172291</v>
      </c>
      <c r="BB31" s="272">
        <v>317051</v>
      </c>
      <c r="BC31" s="272">
        <v>4696517</v>
      </c>
      <c r="BD31" s="272">
        <v>0</v>
      </c>
      <c r="BE31" s="272">
        <v>563000</v>
      </c>
      <c r="BF31" s="272">
        <v>3509728</v>
      </c>
      <c r="BG31" s="272">
        <v>0</v>
      </c>
      <c r="BH31" s="272">
        <v>2780155</v>
      </c>
      <c r="BI31" s="272">
        <v>1078517</v>
      </c>
      <c r="BJ31" s="272">
        <v>4392493</v>
      </c>
      <c r="BK31" s="272">
        <v>3385647</v>
      </c>
      <c r="BL31" s="272">
        <v>49993</v>
      </c>
      <c r="BM31" s="272">
        <v>0</v>
      </c>
      <c r="BN31" s="272">
        <v>14884700</v>
      </c>
      <c r="BO31" s="455">
        <f t="shared" si="5"/>
        <v>11838900</v>
      </c>
      <c r="BP31" s="455">
        <f t="shared" si="6"/>
        <v>3045800</v>
      </c>
      <c r="BQ31" s="272">
        <v>963800</v>
      </c>
      <c r="BR31" s="272">
        <v>0</v>
      </c>
      <c r="BS31" s="272">
        <v>2082000</v>
      </c>
      <c r="BT31" s="272">
        <v>0</v>
      </c>
      <c r="BU31" s="272">
        <v>176873869</v>
      </c>
      <c r="BV31" s="272"/>
      <c r="BW31" s="272">
        <v>43760075</v>
      </c>
      <c r="BX31" s="272">
        <v>31339458</v>
      </c>
      <c r="BY31" s="272">
        <v>5289035</v>
      </c>
      <c r="BZ31" s="272">
        <v>794379</v>
      </c>
      <c r="CA31" s="272">
        <v>34267359</v>
      </c>
      <c r="CB31" s="272">
        <v>2872706</v>
      </c>
      <c r="CC31" s="272">
        <v>2050200</v>
      </c>
      <c r="CD31" s="272">
        <v>6828899</v>
      </c>
      <c r="CE31" s="272">
        <v>19332982</v>
      </c>
      <c r="CF31" s="272">
        <v>2787992</v>
      </c>
      <c r="CG31" s="272">
        <v>394580</v>
      </c>
      <c r="CH31" s="272">
        <v>17161034</v>
      </c>
      <c r="CI31" s="272">
        <v>12563218</v>
      </c>
      <c r="CJ31" s="455">
        <f t="shared" si="7"/>
        <v>4597816</v>
      </c>
      <c r="CK31" s="272">
        <v>15680540</v>
      </c>
      <c r="CL31" s="272">
        <v>9221398</v>
      </c>
      <c r="CM31" s="272">
        <v>1188031</v>
      </c>
      <c r="CN31" s="272">
        <v>2654985</v>
      </c>
      <c r="CO31" s="272">
        <v>1306189</v>
      </c>
      <c r="CP31" s="272">
        <v>11007255</v>
      </c>
      <c r="CQ31" s="272">
        <v>4243693</v>
      </c>
      <c r="CR31" s="272">
        <v>3766455</v>
      </c>
      <c r="CS31" s="272">
        <v>2898574</v>
      </c>
      <c r="CT31" s="455">
        <f t="shared" si="8"/>
        <v>1391826</v>
      </c>
      <c r="CU31" s="272">
        <v>1105998</v>
      </c>
      <c r="CV31" s="272">
        <v>285828</v>
      </c>
      <c r="CW31" s="455">
        <f t="shared" si="9"/>
        <v>1282315</v>
      </c>
      <c r="CX31" s="272">
        <v>996487</v>
      </c>
      <c r="CY31" s="272">
        <v>285828</v>
      </c>
      <c r="CZ31" s="455">
        <f t="shared" si="10"/>
        <v>0</v>
      </c>
      <c r="DA31" s="272">
        <v>0</v>
      </c>
      <c r="DB31" s="272">
        <v>0</v>
      </c>
      <c r="DC31" s="272">
        <v>23433252</v>
      </c>
      <c r="DD31" s="272">
        <v>5364910</v>
      </c>
      <c r="DE31" s="272">
        <v>16388964</v>
      </c>
      <c r="DF31" s="272">
        <v>260165</v>
      </c>
      <c r="DG31" s="272">
        <v>1419213</v>
      </c>
      <c r="DH31" s="272">
        <v>0</v>
      </c>
      <c r="DI31" s="272">
        <v>2020363</v>
      </c>
      <c r="DJ31" s="272">
        <v>228800</v>
      </c>
      <c r="DK31" s="272">
        <v>562800</v>
      </c>
      <c r="DL31" s="272">
        <v>1228763</v>
      </c>
      <c r="DM31" s="272">
        <v>758285</v>
      </c>
      <c r="DN31" s="272">
        <v>678685</v>
      </c>
      <c r="DO31" s="272">
        <v>0</v>
      </c>
      <c r="DP31" s="272">
        <v>678685</v>
      </c>
      <c r="DQ31" s="272">
        <v>3366450</v>
      </c>
      <c r="DR31" s="272">
        <v>0</v>
      </c>
      <c r="DS31" s="272">
        <v>0</v>
      </c>
      <c r="DT31" s="272">
        <v>22565064</v>
      </c>
      <c r="DU31" s="272">
        <v>11080523</v>
      </c>
      <c r="DV31" s="455">
        <f t="shared" si="11"/>
        <v>0</v>
      </c>
      <c r="DW31" s="272">
        <v>0</v>
      </c>
      <c r="DX31" s="272">
        <v>0</v>
      </c>
      <c r="DY31" s="272">
        <v>0</v>
      </c>
      <c r="DZ31" s="272">
        <v>6219382</v>
      </c>
      <c r="EA31" s="272">
        <v>2056093</v>
      </c>
      <c r="EB31" s="272">
        <v>2742221</v>
      </c>
      <c r="EC31" s="272">
        <v>0</v>
      </c>
      <c r="ED31" s="272">
        <v>175325866</v>
      </c>
      <c r="EF31" s="272">
        <v>1548003</v>
      </c>
      <c r="EG31" s="272">
        <v>904468</v>
      </c>
      <c r="EH31" s="272">
        <v>643535</v>
      </c>
      <c r="EI31" s="272">
        <v>-434982</v>
      </c>
      <c r="EJ31" s="272">
        <v>860355</v>
      </c>
      <c r="EL31" s="272"/>
      <c r="EM31" s="272">
        <v>496747</v>
      </c>
      <c r="EN31" s="272">
        <v>726206</v>
      </c>
      <c r="EO31" s="272">
        <v>246079</v>
      </c>
      <c r="EP31" s="455">
        <f t="shared" si="12"/>
        <v>4866930</v>
      </c>
      <c r="EQ31" s="272">
        <v>110319882</v>
      </c>
      <c r="ER31" s="272">
        <v>-8783006</v>
      </c>
      <c r="ES31" s="272">
        <v>40999474</v>
      </c>
      <c r="ET31" s="272">
        <v>28797698</v>
      </c>
      <c r="EU31" s="272">
        <v>9539514</v>
      </c>
      <c r="EV31" s="272">
        <v>16727764</v>
      </c>
      <c r="EW31" s="455">
        <f t="shared" si="13"/>
        <v>4342511</v>
      </c>
      <c r="EX31" s="272">
        <v>4342511</v>
      </c>
      <c r="EY31" s="272">
        <v>422865</v>
      </c>
      <c r="EZ31" s="272">
        <v>3821306</v>
      </c>
      <c r="FA31" s="272">
        <v>0</v>
      </c>
      <c r="FB31" s="272"/>
      <c r="FC31" s="272">
        <v>11416950</v>
      </c>
      <c r="FD31" s="272">
        <v>10040428</v>
      </c>
      <c r="FE31" s="272">
        <v>4243693</v>
      </c>
      <c r="FF31" s="272">
        <v>21090854</v>
      </c>
      <c r="FG31" s="455">
        <f t="shared" si="14"/>
        <v>3481596</v>
      </c>
      <c r="FH31" s="272">
        <v>117639091</v>
      </c>
      <c r="FI31" s="384">
        <f t="shared" si="15"/>
        <v>0.6</v>
      </c>
      <c r="FJ31" s="272">
        <v>101113858</v>
      </c>
      <c r="FK31" s="272">
        <v>2082049</v>
      </c>
      <c r="FL31" s="272">
        <v>66672229</v>
      </c>
      <c r="FM31" s="272">
        <v>79313058</v>
      </c>
      <c r="FN31" s="460">
        <v>0.83699999999999997</v>
      </c>
      <c r="FO31" s="388">
        <v>96</v>
      </c>
      <c r="FP31" s="388">
        <v>38.299999999999997</v>
      </c>
      <c r="FQ31" s="388">
        <v>9.1999999999999993</v>
      </c>
      <c r="FR31" s="388">
        <v>14.6</v>
      </c>
      <c r="FS31" s="388">
        <v>9.6999999999999993</v>
      </c>
      <c r="FT31" s="388">
        <v>8.1999999999999993</v>
      </c>
      <c r="FU31" s="388">
        <v>14.9</v>
      </c>
      <c r="FV31" s="388">
        <v>10.1</v>
      </c>
      <c r="FW31" s="272">
        <v>134609063</v>
      </c>
      <c r="FX31" s="384">
        <f t="shared" si="16"/>
        <v>133.1</v>
      </c>
      <c r="FY31" s="272">
        <v>26682147</v>
      </c>
      <c r="FZ31" s="272">
        <v>7237600</v>
      </c>
      <c r="GA31" s="272">
        <v>3701400</v>
      </c>
      <c r="GB31" s="272">
        <v>15743147</v>
      </c>
      <c r="GC31" s="272"/>
      <c r="GD31" s="272">
        <v>33568862</v>
      </c>
      <c r="GE31" s="384">
        <f t="shared" si="17"/>
        <v>33.200000000000003</v>
      </c>
      <c r="GF31" s="388">
        <v>96.3</v>
      </c>
      <c r="GG31" s="388">
        <v>27.3</v>
      </c>
      <c r="GH31" s="388">
        <v>89.6</v>
      </c>
      <c r="GI31" s="272">
        <v>3637</v>
      </c>
    </row>
    <row r="32" spans="2:191" x14ac:dyDescent="0.15">
      <c r="B32" s="89" t="s">
        <v>57</v>
      </c>
      <c r="C32" s="272">
        <v>10051915</v>
      </c>
      <c r="D32" s="455">
        <f t="shared" si="0"/>
        <v>2338749</v>
      </c>
      <c r="E32" s="272">
        <v>52341</v>
      </c>
      <c r="F32" s="272">
        <v>2286408</v>
      </c>
      <c r="G32" s="455">
        <f t="shared" si="1"/>
        <v>478915</v>
      </c>
      <c r="H32" s="272">
        <v>165082</v>
      </c>
      <c r="I32" s="272">
        <v>313833</v>
      </c>
      <c r="J32" s="272">
        <v>5795215</v>
      </c>
      <c r="K32" s="272">
        <v>2924202</v>
      </c>
      <c r="L32" s="272">
        <v>1560191</v>
      </c>
      <c r="M32" s="272">
        <v>1296088</v>
      </c>
      <c r="N32" s="272">
        <v>372842</v>
      </c>
      <c r="O32" s="272">
        <v>979510</v>
      </c>
      <c r="P32" s="272">
        <v>660686</v>
      </c>
      <c r="Q32" s="272">
        <v>318824</v>
      </c>
      <c r="R32" s="272">
        <v>180269</v>
      </c>
      <c r="S32" s="272"/>
      <c r="T32" s="455">
        <f t="shared" si="2"/>
        <v>1058980</v>
      </c>
      <c r="U32" s="272">
        <v>306401</v>
      </c>
      <c r="V32" s="272"/>
      <c r="W32" s="272"/>
      <c r="X32" s="272">
        <v>556367</v>
      </c>
      <c r="Y32" s="272">
        <v>55610</v>
      </c>
      <c r="Z32" s="272">
        <v>0</v>
      </c>
      <c r="AA32" s="272">
        <v>140602</v>
      </c>
      <c r="AB32" s="272">
        <v>229554</v>
      </c>
      <c r="AC32" s="272">
        <v>2413439</v>
      </c>
      <c r="AD32" s="272">
        <v>1896290</v>
      </c>
      <c r="AE32" s="272">
        <v>517149</v>
      </c>
      <c r="AF32" s="272">
        <v>12041</v>
      </c>
      <c r="AG32" s="272">
        <v>49799</v>
      </c>
      <c r="AH32" s="455">
        <f t="shared" si="3"/>
        <v>361676</v>
      </c>
      <c r="AI32" s="272">
        <v>250752</v>
      </c>
      <c r="AJ32" s="272">
        <v>110924</v>
      </c>
      <c r="AK32" s="272">
        <v>2274118</v>
      </c>
      <c r="AL32" s="455">
        <f t="shared" si="4"/>
        <v>1254878</v>
      </c>
      <c r="AM32" s="272">
        <v>1074082</v>
      </c>
      <c r="AN32" s="272">
        <v>174952</v>
      </c>
      <c r="AO32" s="272">
        <v>0</v>
      </c>
      <c r="AP32" s="272">
        <v>5844</v>
      </c>
      <c r="AQ32" s="272">
        <v>78337</v>
      </c>
      <c r="AR32" s="272">
        <v>0</v>
      </c>
      <c r="AS32" s="272">
        <v>0</v>
      </c>
      <c r="AT32" s="272">
        <v>1118670</v>
      </c>
      <c r="AU32" s="272">
        <v>684375</v>
      </c>
      <c r="AV32" s="272">
        <v>84142</v>
      </c>
      <c r="AW32" s="272">
        <v>173711</v>
      </c>
      <c r="AX32" s="272">
        <v>434295</v>
      </c>
      <c r="AY32" s="272">
        <v>38693</v>
      </c>
      <c r="AZ32" s="272">
        <v>24047</v>
      </c>
      <c r="BA32" s="272">
        <v>16309</v>
      </c>
      <c r="BB32" s="272">
        <v>92712</v>
      </c>
      <c r="BC32" s="272">
        <v>543575</v>
      </c>
      <c r="BD32" s="272">
        <v>0</v>
      </c>
      <c r="BE32" s="272">
        <v>0</v>
      </c>
      <c r="BF32" s="272">
        <v>537466</v>
      </c>
      <c r="BG32" s="272">
        <v>0</v>
      </c>
      <c r="BH32" s="272">
        <v>268462</v>
      </c>
      <c r="BI32" s="272">
        <v>0</v>
      </c>
      <c r="BJ32" s="272">
        <v>333322</v>
      </c>
      <c r="BK32" s="272">
        <v>271</v>
      </c>
      <c r="BL32" s="272">
        <v>0</v>
      </c>
      <c r="BM32" s="272">
        <v>0</v>
      </c>
      <c r="BN32" s="272">
        <v>1209300</v>
      </c>
      <c r="BO32" s="455">
        <f t="shared" si="5"/>
        <v>826000</v>
      </c>
      <c r="BP32" s="455">
        <f t="shared" si="6"/>
        <v>383300</v>
      </c>
      <c r="BQ32" s="272">
        <v>89200</v>
      </c>
      <c r="BR32" s="272">
        <v>0</v>
      </c>
      <c r="BS32" s="272">
        <v>294100</v>
      </c>
      <c r="BT32" s="272">
        <v>0</v>
      </c>
      <c r="BU32" s="272">
        <v>20221879</v>
      </c>
      <c r="BV32" s="272"/>
      <c r="BW32" s="272">
        <v>6577898</v>
      </c>
      <c r="BX32" s="272">
        <v>4546246</v>
      </c>
      <c r="BY32" s="272">
        <v>598675</v>
      </c>
      <c r="BZ32" s="272">
        <v>317263</v>
      </c>
      <c r="CA32" s="272">
        <v>2633732</v>
      </c>
      <c r="CB32" s="272">
        <v>410828</v>
      </c>
      <c r="CC32" s="272">
        <v>210876</v>
      </c>
      <c r="CD32" s="272">
        <v>503393</v>
      </c>
      <c r="CE32" s="272">
        <v>1440280</v>
      </c>
      <c r="CF32" s="272">
        <v>0</v>
      </c>
      <c r="CG32" s="272">
        <v>67775</v>
      </c>
      <c r="CH32" s="272">
        <v>2558090</v>
      </c>
      <c r="CI32" s="272">
        <v>1707190</v>
      </c>
      <c r="CJ32" s="455">
        <f t="shared" si="7"/>
        <v>850900</v>
      </c>
      <c r="CK32" s="272">
        <v>2278999</v>
      </c>
      <c r="CL32" s="272">
        <v>1262126</v>
      </c>
      <c r="CM32" s="272">
        <v>137319</v>
      </c>
      <c r="CN32" s="272">
        <v>438854</v>
      </c>
      <c r="CO32" s="272">
        <v>162244</v>
      </c>
      <c r="CP32" s="272">
        <v>1468273</v>
      </c>
      <c r="CQ32" s="272">
        <v>427687</v>
      </c>
      <c r="CR32" s="272">
        <v>641217</v>
      </c>
      <c r="CS32" s="272">
        <v>439298</v>
      </c>
      <c r="CT32" s="455">
        <f t="shared" si="8"/>
        <v>3350</v>
      </c>
      <c r="CU32" s="272">
        <v>3350</v>
      </c>
      <c r="CV32" s="272">
        <v>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2340385</v>
      </c>
      <c r="DD32" s="272">
        <v>456813</v>
      </c>
      <c r="DE32" s="272">
        <v>1862020</v>
      </c>
      <c r="DF32" s="272">
        <v>21552</v>
      </c>
      <c r="DG32" s="272">
        <v>0</v>
      </c>
      <c r="DH32" s="272">
        <v>0</v>
      </c>
      <c r="DI32" s="272">
        <v>101342</v>
      </c>
      <c r="DJ32" s="272">
        <v>0</v>
      </c>
      <c r="DK32" s="272">
        <v>2146</v>
      </c>
      <c r="DL32" s="272">
        <v>99196</v>
      </c>
      <c r="DM32" s="272">
        <v>12000</v>
      </c>
      <c r="DN32" s="272">
        <v>12000</v>
      </c>
      <c r="DO32" s="272">
        <v>12000</v>
      </c>
      <c r="DP32" s="272">
        <v>0</v>
      </c>
      <c r="DQ32" s="272">
        <v>0</v>
      </c>
      <c r="DR32" s="272">
        <v>0</v>
      </c>
      <c r="DS32" s="272">
        <v>0</v>
      </c>
      <c r="DT32" s="272">
        <v>2345061</v>
      </c>
      <c r="DU32" s="272">
        <v>1253631</v>
      </c>
      <c r="DV32" s="455">
        <f t="shared" si="11"/>
        <v>0</v>
      </c>
      <c r="DW32" s="272">
        <v>0</v>
      </c>
      <c r="DX32" s="272">
        <v>0</v>
      </c>
      <c r="DY32" s="272">
        <v>0</v>
      </c>
      <c r="DZ32" s="272">
        <v>532433</v>
      </c>
      <c r="EA32" s="272">
        <v>247377</v>
      </c>
      <c r="EB32" s="272">
        <v>311620</v>
      </c>
      <c r="EC32" s="272">
        <v>0</v>
      </c>
      <c r="ED32" s="272">
        <v>20478024</v>
      </c>
      <c r="EF32" s="272">
        <v>-256145</v>
      </c>
      <c r="EG32" s="272">
        <v>1869</v>
      </c>
      <c r="EH32" s="272">
        <v>-258014</v>
      </c>
      <c r="EI32" s="272">
        <v>-142619</v>
      </c>
      <c r="EJ32" s="272">
        <v>-142619</v>
      </c>
      <c r="EL32" s="272"/>
      <c r="EM32" s="272">
        <v>64577</v>
      </c>
      <c r="EN32" s="272">
        <v>0</v>
      </c>
      <c r="EO32" s="272">
        <v>16519</v>
      </c>
      <c r="EP32" s="455">
        <f t="shared" si="12"/>
        <v>646854</v>
      </c>
      <c r="EQ32" s="272">
        <v>13946198</v>
      </c>
      <c r="ER32" s="272">
        <v>-1034632</v>
      </c>
      <c r="ES32" s="272">
        <v>6062079</v>
      </c>
      <c r="ET32" s="272">
        <v>4069300</v>
      </c>
      <c r="EU32" s="272">
        <v>863784</v>
      </c>
      <c r="EV32" s="272">
        <v>2493053</v>
      </c>
      <c r="EW32" s="455">
        <f t="shared" si="13"/>
        <v>564303</v>
      </c>
      <c r="EX32" s="272">
        <v>564303</v>
      </c>
      <c r="EY32" s="272">
        <v>14734</v>
      </c>
      <c r="EZ32" s="272">
        <v>549506</v>
      </c>
      <c r="FA32" s="272">
        <v>0</v>
      </c>
      <c r="FB32" s="272"/>
      <c r="FC32" s="272">
        <v>1798315</v>
      </c>
      <c r="FD32" s="272">
        <v>1074496</v>
      </c>
      <c r="FE32" s="272">
        <v>427687</v>
      </c>
      <c r="FF32" s="272">
        <v>2187189</v>
      </c>
      <c r="FG32" s="455">
        <f t="shared" si="14"/>
        <v>193756</v>
      </c>
      <c r="FH32" s="272">
        <v>15236975</v>
      </c>
      <c r="FI32" s="384">
        <f t="shared" si="15"/>
        <v>-2</v>
      </c>
      <c r="FJ32" s="272">
        <v>12619231</v>
      </c>
      <c r="FK32" s="272">
        <v>294137</v>
      </c>
      <c r="FL32" s="272">
        <v>8090803</v>
      </c>
      <c r="FM32" s="272">
        <v>9998037</v>
      </c>
      <c r="FN32" s="460">
        <v>0.80400000000000005</v>
      </c>
      <c r="FO32" s="388">
        <v>100.7</v>
      </c>
      <c r="FP32" s="388">
        <v>43.8</v>
      </c>
      <c r="FQ32" s="388">
        <v>6.7</v>
      </c>
      <c r="FR32" s="388">
        <v>19.3</v>
      </c>
      <c r="FS32" s="388">
        <v>13</v>
      </c>
      <c r="FT32" s="388">
        <v>6.7</v>
      </c>
      <c r="FU32" s="388">
        <v>10.199999999999999</v>
      </c>
      <c r="FV32" s="388">
        <v>13.6</v>
      </c>
      <c r="FW32" s="272">
        <v>23310461</v>
      </c>
      <c r="FX32" s="384">
        <f t="shared" si="16"/>
        <v>184.7</v>
      </c>
      <c r="FY32" s="272">
        <v>2777675</v>
      </c>
      <c r="FZ32" s="272"/>
      <c r="GA32" s="272">
        <v>855345</v>
      </c>
      <c r="GB32" s="272">
        <v>1922330</v>
      </c>
      <c r="GC32" s="272"/>
      <c r="GD32" s="272">
        <v>12046051</v>
      </c>
      <c r="GE32" s="384">
        <f t="shared" si="17"/>
        <v>95.5</v>
      </c>
      <c r="GF32" s="388">
        <v>95.3</v>
      </c>
      <c r="GG32" s="388">
        <v>12.7</v>
      </c>
      <c r="GH32" s="388">
        <v>82.4</v>
      </c>
      <c r="GI32" s="272">
        <v>630</v>
      </c>
    </row>
    <row r="33" spans="2:191" x14ac:dyDescent="0.15">
      <c r="B33" s="89" t="s">
        <v>59</v>
      </c>
      <c r="C33" s="272">
        <v>7048389</v>
      </c>
      <c r="D33" s="455">
        <f t="shared" si="0"/>
        <v>2577446</v>
      </c>
      <c r="E33" s="272">
        <v>51134</v>
      </c>
      <c r="F33" s="272">
        <v>2526312</v>
      </c>
      <c r="G33" s="455">
        <f t="shared" si="1"/>
        <v>280426</v>
      </c>
      <c r="H33" s="272">
        <v>104628</v>
      </c>
      <c r="I33" s="272">
        <v>175798</v>
      </c>
      <c r="J33" s="272">
        <v>3145182</v>
      </c>
      <c r="K33" s="272">
        <v>1742724</v>
      </c>
      <c r="L33" s="272">
        <v>1138572</v>
      </c>
      <c r="M33" s="272">
        <v>248264</v>
      </c>
      <c r="N33" s="272">
        <v>281147</v>
      </c>
      <c r="O33" s="272">
        <v>723116</v>
      </c>
      <c r="P33" s="272">
        <v>476573</v>
      </c>
      <c r="Q33" s="272">
        <v>246543</v>
      </c>
      <c r="R33" s="272">
        <v>120039</v>
      </c>
      <c r="S33" s="272"/>
      <c r="T33" s="455">
        <f t="shared" si="2"/>
        <v>931961</v>
      </c>
      <c r="U33" s="272">
        <v>338335</v>
      </c>
      <c r="V33" s="272"/>
      <c r="W33" s="272"/>
      <c r="X33" s="272">
        <v>439839</v>
      </c>
      <c r="Y33" s="272">
        <v>34316</v>
      </c>
      <c r="Z33" s="272">
        <v>0</v>
      </c>
      <c r="AA33" s="272">
        <v>119471</v>
      </c>
      <c r="AB33" s="272">
        <v>252723</v>
      </c>
      <c r="AC33" s="272">
        <v>3958468</v>
      </c>
      <c r="AD33" s="272">
        <v>3534416</v>
      </c>
      <c r="AE33" s="272">
        <v>424052</v>
      </c>
      <c r="AF33" s="272">
        <v>10501</v>
      </c>
      <c r="AG33" s="272">
        <v>104039</v>
      </c>
      <c r="AH33" s="455">
        <f t="shared" si="3"/>
        <v>298655</v>
      </c>
      <c r="AI33" s="272">
        <v>182387</v>
      </c>
      <c r="AJ33" s="272">
        <v>116268</v>
      </c>
      <c r="AK33" s="272">
        <v>1486761</v>
      </c>
      <c r="AL33" s="455">
        <f t="shared" si="4"/>
        <v>1073999</v>
      </c>
      <c r="AM33" s="272">
        <v>705709</v>
      </c>
      <c r="AN33" s="272">
        <v>358231</v>
      </c>
      <c r="AO33" s="272">
        <v>0</v>
      </c>
      <c r="AP33" s="272">
        <v>10059</v>
      </c>
      <c r="AQ33" s="272">
        <v>115796</v>
      </c>
      <c r="AR33" s="272">
        <v>0</v>
      </c>
      <c r="AS33" s="272">
        <v>0</v>
      </c>
      <c r="AT33" s="272">
        <v>762110</v>
      </c>
      <c r="AU33" s="272">
        <v>390316</v>
      </c>
      <c r="AV33" s="272">
        <v>121868</v>
      </c>
      <c r="AW33" s="272">
        <v>0</v>
      </c>
      <c r="AX33" s="272">
        <v>371794</v>
      </c>
      <c r="AY33" s="272">
        <v>20749</v>
      </c>
      <c r="AZ33" s="272">
        <v>61731</v>
      </c>
      <c r="BA33" s="272">
        <v>50735</v>
      </c>
      <c r="BB33" s="272">
        <v>5800</v>
      </c>
      <c r="BC33" s="272">
        <v>112450</v>
      </c>
      <c r="BD33" s="272">
        <v>80000</v>
      </c>
      <c r="BE33" s="272">
        <v>28560</v>
      </c>
      <c r="BF33" s="272">
        <v>3890</v>
      </c>
      <c r="BG33" s="272">
        <v>0</v>
      </c>
      <c r="BH33" s="272">
        <v>0</v>
      </c>
      <c r="BI33" s="272">
        <v>0</v>
      </c>
      <c r="BJ33" s="272">
        <v>439098</v>
      </c>
      <c r="BK33" s="272">
        <v>5000</v>
      </c>
      <c r="BL33" s="272">
        <v>0</v>
      </c>
      <c r="BM33" s="272">
        <v>0</v>
      </c>
      <c r="BN33" s="272">
        <v>1411500</v>
      </c>
      <c r="BO33" s="455">
        <f t="shared" si="5"/>
        <v>1064100</v>
      </c>
      <c r="BP33" s="455">
        <f t="shared" si="6"/>
        <v>347400</v>
      </c>
      <c r="BQ33" s="272">
        <v>94000</v>
      </c>
      <c r="BR33" s="272">
        <v>0</v>
      </c>
      <c r="BS33" s="272">
        <v>253400</v>
      </c>
      <c r="BT33" s="272">
        <v>0</v>
      </c>
      <c r="BU33" s="272">
        <v>17004225</v>
      </c>
      <c r="BV33" s="272"/>
      <c r="BW33" s="272">
        <v>5112896</v>
      </c>
      <c r="BX33" s="272">
        <v>3731592</v>
      </c>
      <c r="BY33" s="272">
        <v>408098</v>
      </c>
      <c r="BZ33" s="272">
        <v>81169</v>
      </c>
      <c r="CA33" s="272">
        <v>2212282</v>
      </c>
      <c r="CB33" s="272">
        <v>287890</v>
      </c>
      <c r="CC33" s="272">
        <v>182158</v>
      </c>
      <c r="CD33" s="272">
        <v>727273</v>
      </c>
      <c r="CE33" s="272">
        <v>958573</v>
      </c>
      <c r="CF33" s="272">
        <v>10394</v>
      </c>
      <c r="CG33" s="272">
        <v>45800</v>
      </c>
      <c r="CH33" s="272">
        <v>1888830</v>
      </c>
      <c r="CI33" s="272">
        <v>1282553</v>
      </c>
      <c r="CJ33" s="455">
        <f t="shared" si="7"/>
        <v>606277</v>
      </c>
      <c r="CK33" s="272">
        <v>2463552</v>
      </c>
      <c r="CL33" s="272">
        <v>1434395</v>
      </c>
      <c r="CM33" s="272">
        <v>339822</v>
      </c>
      <c r="CN33" s="272">
        <v>333822</v>
      </c>
      <c r="CO33" s="272">
        <v>47463</v>
      </c>
      <c r="CP33" s="272">
        <v>1629094</v>
      </c>
      <c r="CQ33" s="272">
        <v>487688</v>
      </c>
      <c r="CR33" s="272">
        <v>392922</v>
      </c>
      <c r="CS33" s="272">
        <v>332234</v>
      </c>
      <c r="CT33" s="455">
        <f t="shared" si="8"/>
        <v>28237</v>
      </c>
      <c r="CU33" s="272">
        <v>15032</v>
      </c>
      <c r="CV33" s="272">
        <v>13205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1591311</v>
      </c>
      <c r="DD33" s="272">
        <v>294312</v>
      </c>
      <c r="DE33" s="272">
        <v>1276019</v>
      </c>
      <c r="DF33" s="272">
        <v>10112</v>
      </c>
      <c r="DG33" s="272">
        <v>0</v>
      </c>
      <c r="DH33" s="272">
        <v>0</v>
      </c>
      <c r="DI33" s="272">
        <v>146220</v>
      </c>
      <c r="DJ33" s="272">
        <v>1208</v>
      </c>
      <c r="DK33" s="272">
        <v>246</v>
      </c>
      <c r="DL33" s="272">
        <v>144766</v>
      </c>
      <c r="DM33" s="272">
        <v>0</v>
      </c>
      <c r="DN33" s="272">
        <v>0</v>
      </c>
      <c r="DO33" s="272">
        <v>0</v>
      </c>
      <c r="DP33" s="272">
        <v>0</v>
      </c>
      <c r="DQ33" s="272">
        <v>5000</v>
      </c>
      <c r="DR33" s="272">
        <v>0</v>
      </c>
      <c r="DS33" s="272">
        <v>0</v>
      </c>
      <c r="DT33" s="272">
        <v>2099808</v>
      </c>
      <c r="DU33" s="272">
        <v>1298273</v>
      </c>
      <c r="DV33" s="455">
        <f t="shared" si="11"/>
        <v>0</v>
      </c>
      <c r="DW33" s="272">
        <v>0</v>
      </c>
      <c r="DX33" s="272">
        <v>0</v>
      </c>
      <c r="DY33" s="272">
        <v>0</v>
      </c>
      <c r="DZ33" s="272">
        <v>428242</v>
      </c>
      <c r="EA33" s="272">
        <v>184478</v>
      </c>
      <c r="EB33" s="272">
        <v>187130</v>
      </c>
      <c r="EC33" s="272">
        <v>1114444</v>
      </c>
      <c r="ED33" s="272">
        <v>18310900</v>
      </c>
      <c r="EF33" s="272">
        <v>-1306675</v>
      </c>
      <c r="EG33" s="272">
        <v>21048</v>
      </c>
      <c r="EH33" s="272">
        <v>-1327723</v>
      </c>
      <c r="EI33" s="272">
        <v>-209637</v>
      </c>
      <c r="EJ33" s="272">
        <v>-288429</v>
      </c>
      <c r="EL33" s="272"/>
      <c r="EM33" s="272">
        <v>56000</v>
      </c>
      <c r="EN33" s="272">
        <v>108560</v>
      </c>
      <c r="EO33" s="272">
        <v>57324</v>
      </c>
      <c r="EP33" s="455">
        <f t="shared" si="12"/>
        <v>428709</v>
      </c>
      <c r="EQ33" s="272">
        <v>12322081</v>
      </c>
      <c r="ER33" s="272">
        <v>-931492</v>
      </c>
      <c r="ES33" s="272">
        <v>4706802</v>
      </c>
      <c r="ET33" s="272">
        <v>3422612</v>
      </c>
      <c r="EU33" s="272">
        <v>688535</v>
      </c>
      <c r="EV33" s="272">
        <v>1888510</v>
      </c>
      <c r="EW33" s="455">
        <f t="shared" si="13"/>
        <v>384084</v>
      </c>
      <c r="EX33" s="272">
        <v>384084</v>
      </c>
      <c r="EY33" s="272">
        <v>20616</v>
      </c>
      <c r="EZ33" s="272">
        <v>347888</v>
      </c>
      <c r="FA33" s="272">
        <v>0</v>
      </c>
      <c r="FB33" s="272"/>
      <c r="FC33" s="272">
        <v>2125220</v>
      </c>
      <c r="FD33" s="272">
        <v>1503261</v>
      </c>
      <c r="FE33" s="272">
        <v>487688</v>
      </c>
      <c r="FF33" s="272">
        <v>1962232</v>
      </c>
      <c r="FG33" s="455">
        <f t="shared" si="14"/>
        <v>1301604</v>
      </c>
      <c r="FH33" s="272">
        <v>14560248</v>
      </c>
      <c r="FI33" s="384">
        <f t="shared" si="15"/>
        <v>-11.9</v>
      </c>
      <c r="FJ33" s="272">
        <v>11172233</v>
      </c>
      <c r="FK33" s="272">
        <v>253419</v>
      </c>
      <c r="FL33" s="272">
        <v>5760361</v>
      </c>
      <c r="FM33" s="272">
        <v>9285556</v>
      </c>
      <c r="FN33" s="460">
        <v>0.60799999999999998</v>
      </c>
      <c r="FO33" s="388">
        <v>101.5</v>
      </c>
      <c r="FP33" s="388">
        <v>39.200000000000003</v>
      </c>
      <c r="FQ33" s="388">
        <v>5.9</v>
      </c>
      <c r="FR33" s="388">
        <v>16.100000000000001</v>
      </c>
      <c r="FS33" s="388">
        <v>17.100000000000001</v>
      </c>
      <c r="FT33" s="388">
        <v>8.4</v>
      </c>
      <c r="FU33" s="388">
        <v>14.6</v>
      </c>
      <c r="FV33" s="388">
        <v>9.6999999999999993</v>
      </c>
      <c r="FW33" s="272">
        <v>21150771</v>
      </c>
      <c r="FX33" s="384">
        <f t="shared" si="16"/>
        <v>189.3</v>
      </c>
      <c r="FY33" s="272">
        <v>1925122</v>
      </c>
      <c r="FZ33" s="272">
        <v>392634</v>
      </c>
      <c r="GA33" s="272">
        <v>85166</v>
      </c>
      <c r="GB33" s="272">
        <v>1447322</v>
      </c>
      <c r="GC33" s="272"/>
      <c r="GD33" s="272">
        <v>5974376</v>
      </c>
      <c r="GE33" s="384">
        <f t="shared" si="17"/>
        <v>53.5</v>
      </c>
      <c r="GF33" s="388">
        <v>97.1</v>
      </c>
      <c r="GG33" s="388">
        <v>20.6</v>
      </c>
      <c r="GH33" s="388">
        <v>89.3</v>
      </c>
      <c r="GI33" s="272">
        <v>494</v>
      </c>
    </row>
    <row r="34" spans="2:191" x14ac:dyDescent="0.15">
      <c r="B34" s="89" t="s">
        <v>61</v>
      </c>
      <c r="C34" s="272">
        <v>9589434</v>
      </c>
      <c r="D34" s="455">
        <f t="shared" si="0"/>
        <v>4458015</v>
      </c>
      <c r="E34" s="272">
        <v>69457</v>
      </c>
      <c r="F34" s="272">
        <v>4388558</v>
      </c>
      <c r="G34" s="455">
        <f t="shared" si="1"/>
        <v>332860</v>
      </c>
      <c r="H34" s="272">
        <v>107513</v>
      </c>
      <c r="I34" s="272">
        <v>225347</v>
      </c>
      <c r="J34" s="272">
        <v>3550531</v>
      </c>
      <c r="K34" s="272">
        <v>1657220</v>
      </c>
      <c r="L34" s="272">
        <v>1425979</v>
      </c>
      <c r="M34" s="272">
        <v>420435</v>
      </c>
      <c r="N34" s="272">
        <v>332743</v>
      </c>
      <c r="O34" s="272">
        <v>857655</v>
      </c>
      <c r="P34" s="272">
        <v>536012</v>
      </c>
      <c r="Q34" s="272">
        <v>321643</v>
      </c>
      <c r="R34" s="272">
        <v>160021</v>
      </c>
      <c r="S34" s="272"/>
      <c r="T34" s="455">
        <f t="shared" si="2"/>
        <v>1394443</v>
      </c>
      <c r="U34" s="272">
        <v>556888</v>
      </c>
      <c r="V34" s="272"/>
      <c r="W34" s="272"/>
      <c r="X34" s="272">
        <v>574866</v>
      </c>
      <c r="Y34" s="272">
        <v>103475</v>
      </c>
      <c r="Z34" s="272">
        <v>0</v>
      </c>
      <c r="AA34" s="272">
        <v>159214</v>
      </c>
      <c r="AB34" s="272">
        <v>426289</v>
      </c>
      <c r="AC34" s="272">
        <v>4398512</v>
      </c>
      <c r="AD34" s="272">
        <v>4099371</v>
      </c>
      <c r="AE34" s="272">
        <v>299141</v>
      </c>
      <c r="AF34" s="272">
        <v>12228</v>
      </c>
      <c r="AG34" s="272">
        <v>156362</v>
      </c>
      <c r="AH34" s="455">
        <f t="shared" si="3"/>
        <v>233028</v>
      </c>
      <c r="AI34" s="272">
        <v>152856</v>
      </c>
      <c r="AJ34" s="272">
        <v>80172</v>
      </c>
      <c r="AK34" s="272">
        <v>1253602</v>
      </c>
      <c r="AL34" s="455">
        <f t="shared" si="4"/>
        <v>657509</v>
      </c>
      <c r="AM34" s="272">
        <v>403632</v>
      </c>
      <c r="AN34" s="272">
        <v>246045</v>
      </c>
      <c r="AO34" s="272">
        <v>0</v>
      </c>
      <c r="AP34" s="272">
        <v>7832</v>
      </c>
      <c r="AQ34" s="272">
        <v>51582</v>
      </c>
      <c r="AR34" s="272">
        <v>0</v>
      </c>
      <c r="AS34" s="272">
        <v>0</v>
      </c>
      <c r="AT34" s="272">
        <v>844718</v>
      </c>
      <c r="AU34" s="272">
        <v>459179</v>
      </c>
      <c r="AV34" s="272">
        <v>121174</v>
      </c>
      <c r="AW34" s="272">
        <v>17158</v>
      </c>
      <c r="AX34" s="272">
        <v>385539</v>
      </c>
      <c r="AY34" s="272">
        <v>19017</v>
      </c>
      <c r="AZ34" s="272">
        <v>215324</v>
      </c>
      <c r="BA34" s="272">
        <v>197204</v>
      </c>
      <c r="BB34" s="272">
        <v>56258</v>
      </c>
      <c r="BC34" s="272">
        <v>31483</v>
      </c>
      <c r="BD34" s="272">
        <v>0</v>
      </c>
      <c r="BE34" s="272">
        <v>0</v>
      </c>
      <c r="BF34" s="272">
        <v>27655</v>
      </c>
      <c r="BG34" s="272">
        <v>0</v>
      </c>
      <c r="BH34" s="272">
        <v>0</v>
      </c>
      <c r="BI34" s="272">
        <v>0</v>
      </c>
      <c r="BJ34" s="272">
        <v>68160</v>
      </c>
      <c r="BK34" s="272">
        <v>0</v>
      </c>
      <c r="BL34" s="272">
        <v>0</v>
      </c>
      <c r="BM34" s="272">
        <v>0</v>
      </c>
      <c r="BN34" s="272">
        <v>2001100</v>
      </c>
      <c r="BO34" s="455">
        <f t="shared" si="5"/>
        <v>1504100</v>
      </c>
      <c r="BP34" s="455">
        <f t="shared" si="6"/>
        <v>497000</v>
      </c>
      <c r="BQ34" s="272">
        <v>154700</v>
      </c>
      <c r="BR34" s="272">
        <v>0</v>
      </c>
      <c r="BS34" s="272">
        <v>342300</v>
      </c>
      <c r="BT34" s="272">
        <v>0</v>
      </c>
      <c r="BU34" s="272">
        <v>20840962</v>
      </c>
      <c r="BV34" s="272"/>
      <c r="BW34" s="272">
        <v>6318391</v>
      </c>
      <c r="BX34" s="272">
        <v>4410161</v>
      </c>
      <c r="BY34" s="272">
        <v>561141</v>
      </c>
      <c r="BZ34" s="272">
        <v>263722</v>
      </c>
      <c r="CA34" s="272">
        <v>2396733</v>
      </c>
      <c r="CB34" s="272">
        <v>468785</v>
      </c>
      <c r="CC34" s="272">
        <v>229808</v>
      </c>
      <c r="CD34" s="272">
        <v>989224</v>
      </c>
      <c r="CE34" s="272">
        <v>585614</v>
      </c>
      <c r="CF34" s="272">
        <v>8</v>
      </c>
      <c r="CG34" s="272">
        <v>123294</v>
      </c>
      <c r="CH34" s="272">
        <v>3777492</v>
      </c>
      <c r="CI34" s="272">
        <v>2636402</v>
      </c>
      <c r="CJ34" s="455">
        <f t="shared" si="7"/>
        <v>1141090</v>
      </c>
      <c r="CK34" s="272">
        <v>2646714</v>
      </c>
      <c r="CL34" s="272">
        <v>1507065</v>
      </c>
      <c r="CM34" s="272">
        <v>200586</v>
      </c>
      <c r="CN34" s="272">
        <v>499483</v>
      </c>
      <c r="CO34" s="272">
        <v>109812</v>
      </c>
      <c r="CP34" s="272">
        <v>1111269</v>
      </c>
      <c r="CQ34" s="272">
        <v>488033</v>
      </c>
      <c r="CR34" s="272">
        <v>362285</v>
      </c>
      <c r="CS34" s="272">
        <v>362285</v>
      </c>
      <c r="CT34" s="455">
        <f t="shared" si="8"/>
        <v>8481</v>
      </c>
      <c r="CU34" s="272">
        <v>8481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2148508</v>
      </c>
      <c r="DD34" s="272">
        <v>181122</v>
      </c>
      <c r="DE34" s="272">
        <v>1962661</v>
      </c>
      <c r="DF34" s="272">
        <v>4725</v>
      </c>
      <c r="DG34" s="272">
        <v>0</v>
      </c>
      <c r="DH34" s="272">
        <v>1197</v>
      </c>
      <c r="DI34" s="272">
        <v>233169</v>
      </c>
      <c r="DJ34" s="272">
        <v>1021</v>
      </c>
      <c r="DK34" s="272">
        <v>10181</v>
      </c>
      <c r="DL34" s="272">
        <v>221967</v>
      </c>
      <c r="DM34" s="272">
        <v>0</v>
      </c>
      <c r="DN34" s="272">
        <v>0</v>
      </c>
      <c r="DO34" s="272">
        <v>0</v>
      </c>
      <c r="DP34" s="272">
        <v>0</v>
      </c>
      <c r="DQ34" s="272">
        <v>0</v>
      </c>
      <c r="DR34" s="272">
        <v>0</v>
      </c>
      <c r="DS34" s="272">
        <v>0</v>
      </c>
      <c r="DT34" s="272">
        <v>1820891</v>
      </c>
      <c r="DU34" s="272">
        <v>780000</v>
      </c>
      <c r="DV34" s="455">
        <f t="shared" si="11"/>
        <v>0</v>
      </c>
      <c r="DW34" s="272">
        <v>0</v>
      </c>
      <c r="DX34" s="272">
        <v>0</v>
      </c>
      <c r="DY34" s="272">
        <v>0</v>
      </c>
      <c r="DZ34" s="272">
        <v>354179</v>
      </c>
      <c r="EA34" s="272">
        <v>280240</v>
      </c>
      <c r="EB34" s="272">
        <v>406472</v>
      </c>
      <c r="EC34" s="272">
        <v>331400</v>
      </c>
      <c r="ED34" s="272">
        <v>20895576</v>
      </c>
      <c r="EF34" s="272">
        <v>-54614</v>
      </c>
      <c r="EG34" s="272">
        <v>9422</v>
      </c>
      <c r="EH34" s="272">
        <v>-64036</v>
      </c>
      <c r="EI34" s="272">
        <v>304191</v>
      </c>
      <c r="EJ34" s="272">
        <v>305212</v>
      </c>
      <c r="EL34" s="272"/>
      <c r="EM34" s="272">
        <v>77782</v>
      </c>
      <c r="EN34" s="272">
        <v>3828</v>
      </c>
      <c r="EO34" s="272">
        <v>206534</v>
      </c>
      <c r="EP34" s="455">
        <f t="shared" si="12"/>
        <v>118944</v>
      </c>
      <c r="EQ34" s="272">
        <v>15980927</v>
      </c>
      <c r="ER34" s="272">
        <v>-814078</v>
      </c>
      <c r="ES34" s="272">
        <v>6040369</v>
      </c>
      <c r="ET34" s="272">
        <v>4155226</v>
      </c>
      <c r="EU34" s="272">
        <v>933008</v>
      </c>
      <c r="EV34" s="272">
        <v>3777492</v>
      </c>
      <c r="EW34" s="455">
        <f t="shared" si="13"/>
        <v>521818</v>
      </c>
      <c r="EX34" s="272">
        <v>520621</v>
      </c>
      <c r="EY34" s="272">
        <v>5298</v>
      </c>
      <c r="EZ34" s="272">
        <v>512960</v>
      </c>
      <c r="FA34" s="272">
        <v>1197</v>
      </c>
      <c r="FB34" s="272"/>
      <c r="FC34" s="272">
        <v>2196312</v>
      </c>
      <c r="FD34" s="272">
        <v>1032378</v>
      </c>
      <c r="FE34" s="272">
        <v>488033</v>
      </c>
      <c r="FF34" s="272">
        <v>1686651</v>
      </c>
      <c r="FG34" s="455">
        <f t="shared" si="14"/>
        <v>661591</v>
      </c>
      <c r="FH34" s="272">
        <v>16849619</v>
      </c>
      <c r="FI34" s="384">
        <f t="shared" si="15"/>
        <v>-0.4</v>
      </c>
      <c r="FJ34" s="272">
        <v>14928747</v>
      </c>
      <c r="FK34" s="272">
        <v>342321</v>
      </c>
      <c r="FL34" s="272">
        <v>8163379</v>
      </c>
      <c r="FM34" s="272">
        <v>12268412</v>
      </c>
      <c r="FN34" s="460">
        <v>0.66500000000000004</v>
      </c>
      <c r="FO34" s="388">
        <v>92.8</v>
      </c>
      <c r="FP34" s="388">
        <v>35.9</v>
      </c>
      <c r="FQ34" s="388">
        <v>6.1</v>
      </c>
      <c r="FR34" s="388">
        <v>24.6</v>
      </c>
      <c r="FS34" s="388">
        <v>13</v>
      </c>
      <c r="FT34" s="388">
        <v>5.9</v>
      </c>
      <c r="FU34" s="388">
        <v>6.7</v>
      </c>
      <c r="FV34" s="388">
        <v>12.6</v>
      </c>
      <c r="FW34" s="272">
        <v>37405324</v>
      </c>
      <c r="FX34" s="384">
        <f t="shared" si="16"/>
        <v>250.6</v>
      </c>
      <c r="FY34" s="272">
        <v>3963141</v>
      </c>
      <c r="FZ34" s="272">
        <v>438582</v>
      </c>
      <c r="GA34" s="272">
        <v>985487</v>
      </c>
      <c r="GB34" s="272">
        <v>2539072</v>
      </c>
      <c r="GC34" s="272"/>
      <c r="GD34" s="272">
        <v>28692743</v>
      </c>
      <c r="GE34" s="384">
        <f t="shared" si="17"/>
        <v>192.2</v>
      </c>
      <c r="GF34" s="388">
        <v>97.1</v>
      </c>
      <c r="GG34" s="388">
        <v>19.5</v>
      </c>
      <c r="GH34" s="388">
        <v>89.8</v>
      </c>
      <c r="GI34" s="272">
        <v>581</v>
      </c>
    </row>
    <row r="35" spans="2:191" x14ac:dyDescent="0.15">
      <c r="B35" s="89" t="s">
        <v>63</v>
      </c>
      <c r="C35" s="272">
        <v>7724722</v>
      </c>
      <c r="D35" s="455">
        <f t="shared" si="0"/>
        <v>3564318</v>
      </c>
      <c r="E35" s="272">
        <v>52375</v>
      </c>
      <c r="F35" s="272">
        <v>3511943</v>
      </c>
      <c r="G35" s="455">
        <f t="shared" si="1"/>
        <v>431884</v>
      </c>
      <c r="H35" s="272">
        <v>89215</v>
      </c>
      <c r="I35" s="272">
        <v>342669</v>
      </c>
      <c r="J35" s="272">
        <v>2973120</v>
      </c>
      <c r="K35" s="272">
        <v>1412602</v>
      </c>
      <c r="L35" s="272">
        <v>1205513</v>
      </c>
      <c r="M35" s="272">
        <v>323245</v>
      </c>
      <c r="N35" s="272">
        <v>274630</v>
      </c>
      <c r="O35" s="272">
        <v>434972</v>
      </c>
      <c r="P35" s="272">
        <v>276103</v>
      </c>
      <c r="Q35" s="272">
        <v>158869</v>
      </c>
      <c r="R35" s="272">
        <v>126064</v>
      </c>
      <c r="S35" s="272"/>
      <c r="T35" s="455">
        <f t="shared" si="2"/>
        <v>1045203</v>
      </c>
      <c r="U35" s="272">
        <v>433717</v>
      </c>
      <c r="V35" s="272"/>
      <c r="W35" s="272"/>
      <c r="X35" s="272">
        <v>486119</v>
      </c>
      <c r="Y35" s="272">
        <v>0</v>
      </c>
      <c r="Z35" s="272">
        <v>0</v>
      </c>
      <c r="AA35" s="272">
        <v>125367</v>
      </c>
      <c r="AB35" s="272">
        <v>372368</v>
      </c>
      <c r="AC35" s="272">
        <v>3140919</v>
      </c>
      <c r="AD35" s="272">
        <v>2731708</v>
      </c>
      <c r="AE35" s="272">
        <v>409211</v>
      </c>
      <c r="AF35" s="272">
        <v>11723</v>
      </c>
      <c r="AG35" s="272">
        <v>107900</v>
      </c>
      <c r="AH35" s="455">
        <f t="shared" si="3"/>
        <v>289074</v>
      </c>
      <c r="AI35" s="272">
        <v>251348</v>
      </c>
      <c r="AJ35" s="272">
        <v>37726</v>
      </c>
      <c r="AK35" s="272">
        <v>1106903</v>
      </c>
      <c r="AL35" s="455">
        <f t="shared" si="4"/>
        <v>642291</v>
      </c>
      <c r="AM35" s="272">
        <v>508535</v>
      </c>
      <c r="AN35" s="272">
        <v>132589</v>
      </c>
      <c r="AO35" s="272">
        <v>0</v>
      </c>
      <c r="AP35" s="272">
        <v>1167</v>
      </c>
      <c r="AQ35" s="272">
        <v>114673</v>
      </c>
      <c r="AR35" s="272">
        <v>0</v>
      </c>
      <c r="AS35" s="272">
        <v>0</v>
      </c>
      <c r="AT35" s="272">
        <v>570340</v>
      </c>
      <c r="AU35" s="272">
        <v>270124</v>
      </c>
      <c r="AV35" s="272">
        <v>57625</v>
      </c>
      <c r="AW35" s="272">
        <v>143</v>
      </c>
      <c r="AX35" s="272">
        <v>300216</v>
      </c>
      <c r="AY35" s="272">
        <v>38670</v>
      </c>
      <c r="AZ35" s="272">
        <v>60235</v>
      </c>
      <c r="BA35" s="272">
        <v>53619</v>
      </c>
      <c r="BB35" s="272">
        <v>118189</v>
      </c>
      <c r="BC35" s="272">
        <v>282298</v>
      </c>
      <c r="BD35" s="272">
        <v>115000</v>
      </c>
      <c r="BE35" s="272">
        <v>0</v>
      </c>
      <c r="BF35" s="272">
        <v>154095</v>
      </c>
      <c r="BG35" s="272">
        <v>0</v>
      </c>
      <c r="BH35" s="272">
        <v>141602</v>
      </c>
      <c r="BI35" s="272">
        <v>123358</v>
      </c>
      <c r="BJ35" s="272">
        <v>96908</v>
      </c>
      <c r="BK35" s="272">
        <v>148</v>
      </c>
      <c r="BL35" s="272">
        <v>0</v>
      </c>
      <c r="BM35" s="272">
        <v>0</v>
      </c>
      <c r="BN35" s="272">
        <v>1144800</v>
      </c>
      <c r="BO35" s="455">
        <f t="shared" si="5"/>
        <v>746700</v>
      </c>
      <c r="BP35" s="455">
        <f t="shared" si="6"/>
        <v>398100</v>
      </c>
      <c r="BQ35" s="272">
        <v>134900</v>
      </c>
      <c r="BR35" s="272">
        <v>0</v>
      </c>
      <c r="BS35" s="272">
        <v>263200</v>
      </c>
      <c r="BT35" s="272">
        <v>0</v>
      </c>
      <c r="BU35" s="272">
        <v>16339248</v>
      </c>
      <c r="BV35" s="272"/>
      <c r="BW35" s="272">
        <v>4564791</v>
      </c>
      <c r="BX35" s="272">
        <v>3524665</v>
      </c>
      <c r="BY35" s="272">
        <v>153115</v>
      </c>
      <c r="BZ35" s="272">
        <v>33235</v>
      </c>
      <c r="CA35" s="272">
        <v>1589467</v>
      </c>
      <c r="CB35" s="272">
        <v>337484</v>
      </c>
      <c r="CC35" s="272">
        <v>145587</v>
      </c>
      <c r="CD35" s="272">
        <v>396832</v>
      </c>
      <c r="CE35" s="272">
        <v>676678</v>
      </c>
      <c r="CF35" s="272">
        <v>242</v>
      </c>
      <c r="CG35" s="272">
        <v>32644</v>
      </c>
      <c r="CH35" s="272">
        <v>2424947</v>
      </c>
      <c r="CI35" s="272">
        <v>1589577</v>
      </c>
      <c r="CJ35" s="455">
        <f t="shared" si="7"/>
        <v>835370</v>
      </c>
      <c r="CK35" s="272">
        <v>2423743</v>
      </c>
      <c r="CL35" s="272">
        <v>1397646</v>
      </c>
      <c r="CM35" s="272">
        <v>104977</v>
      </c>
      <c r="CN35" s="272">
        <v>389393</v>
      </c>
      <c r="CO35" s="272">
        <v>28806</v>
      </c>
      <c r="CP35" s="272">
        <v>1209250</v>
      </c>
      <c r="CQ35" s="272">
        <v>373436</v>
      </c>
      <c r="CR35" s="272">
        <v>400102</v>
      </c>
      <c r="CS35" s="272">
        <v>318459</v>
      </c>
      <c r="CT35" s="455">
        <f t="shared" si="8"/>
        <v>14073</v>
      </c>
      <c r="CU35" s="272">
        <v>4073</v>
      </c>
      <c r="CV35" s="272">
        <v>10000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1909103</v>
      </c>
      <c r="DD35" s="272">
        <v>318321</v>
      </c>
      <c r="DE35" s="272">
        <v>1546127</v>
      </c>
      <c r="DF35" s="272">
        <v>44655</v>
      </c>
      <c r="DG35" s="272">
        <v>0</v>
      </c>
      <c r="DH35" s="272">
        <v>0</v>
      </c>
      <c r="DI35" s="272">
        <v>442163</v>
      </c>
      <c r="DJ35" s="272">
        <v>170000</v>
      </c>
      <c r="DK35" s="272">
        <v>100000</v>
      </c>
      <c r="DL35" s="272">
        <v>172163</v>
      </c>
      <c r="DM35" s="272">
        <v>0</v>
      </c>
      <c r="DN35" s="272">
        <v>0</v>
      </c>
      <c r="DO35" s="272">
        <v>0</v>
      </c>
      <c r="DP35" s="272">
        <v>0</v>
      </c>
      <c r="DQ35" s="272">
        <v>360</v>
      </c>
      <c r="DR35" s="272">
        <v>0</v>
      </c>
      <c r="DS35" s="272">
        <v>0</v>
      </c>
      <c r="DT35" s="272">
        <v>1562530</v>
      </c>
      <c r="DU35" s="272">
        <v>725638</v>
      </c>
      <c r="DV35" s="455">
        <f t="shared" si="11"/>
        <v>0</v>
      </c>
      <c r="DW35" s="272">
        <v>0</v>
      </c>
      <c r="DX35" s="272">
        <v>0</v>
      </c>
      <c r="DY35" s="272">
        <v>0</v>
      </c>
      <c r="DZ35" s="272">
        <v>318316</v>
      </c>
      <c r="EA35" s="272">
        <v>194695</v>
      </c>
      <c r="EB35" s="272">
        <v>321895</v>
      </c>
      <c r="EC35" s="272">
        <v>0</v>
      </c>
      <c r="ED35" s="272">
        <v>16155160</v>
      </c>
      <c r="EF35" s="272">
        <v>184088</v>
      </c>
      <c r="EG35" s="272">
        <v>65661</v>
      </c>
      <c r="EH35" s="272">
        <v>118427</v>
      </c>
      <c r="EI35" s="272">
        <v>-4931</v>
      </c>
      <c r="EJ35" s="272">
        <v>50069</v>
      </c>
      <c r="EL35" s="272"/>
      <c r="EM35" s="272">
        <v>56100</v>
      </c>
      <c r="EN35" s="272">
        <v>128203</v>
      </c>
      <c r="EO35" s="272">
        <v>54808</v>
      </c>
      <c r="EP35" s="455">
        <f t="shared" si="12"/>
        <v>345076</v>
      </c>
      <c r="EQ35" s="272">
        <v>12420999</v>
      </c>
      <c r="ER35" s="272">
        <v>-914464</v>
      </c>
      <c r="ES35" s="272">
        <v>4257547</v>
      </c>
      <c r="ET35" s="272">
        <v>3222043</v>
      </c>
      <c r="EU35" s="272">
        <v>528973</v>
      </c>
      <c r="EV35" s="272">
        <v>2424947</v>
      </c>
      <c r="EW35" s="455">
        <f t="shared" si="13"/>
        <v>787947</v>
      </c>
      <c r="EX35" s="272">
        <v>787947</v>
      </c>
      <c r="EY35" s="272">
        <v>17672</v>
      </c>
      <c r="EZ35" s="272">
        <v>746120</v>
      </c>
      <c r="FA35" s="272">
        <v>0</v>
      </c>
      <c r="FB35" s="272"/>
      <c r="FC35" s="272">
        <v>2078029</v>
      </c>
      <c r="FD35" s="272">
        <v>1162445</v>
      </c>
      <c r="FE35" s="272">
        <v>373436</v>
      </c>
      <c r="FF35" s="272">
        <v>1445169</v>
      </c>
      <c r="FG35" s="455">
        <f t="shared" si="14"/>
        <v>466318</v>
      </c>
      <c r="FH35" s="272">
        <v>13151375</v>
      </c>
      <c r="FI35" s="384">
        <f t="shared" si="15"/>
        <v>1</v>
      </c>
      <c r="FJ35" s="272">
        <v>11714921</v>
      </c>
      <c r="FK35" s="272">
        <v>263275</v>
      </c>
      <c r="FL35" s="272">
        <v>6772246</v>
      </c>
      <c r="FM35" s="272">
        <v>9510380</v>
      </c>
      <c r="FN35" s="460">
        <v>0.69199999999999995</v>
      </c>
      <c r="FO35" s="388">
        <v>92.6</v>
      </c>
      <c r="FP35" s="388">
        <v>35.4</v>
      </c>
      <c r="FQ35" s="388">
        <v>4.4000000000000004</v>
      </c>
      <c r="FR35" s="388">
        <v>20.2</v>
      </c>
      <c r="FS35" s="388">
        <v>16.600000000000001</v>
      </c>
      <c r="FT35" s="388">
        <v>9.1</v>
      </c>
      <c r="FU35" s="388">
        <v>6.8</v>
      </c>
      <c r="FV35" s="388">
        <v>11.1</v>
      </c>
      <c r="FW35" s="272">
        <v>22937640</v>
      </c>
      <c r="FX35" s="384">
        <f t="shared" si="16"/>
        <v>195.8</v>
      </c>
      <c r="FY35" s="272">
        <v>3973558</v>
      </c>
      <c r="FZ35" s="272">
        <v>2010000</v>
      </c>
      <c r="GA35" s="272">
        <v>630000</v>
      </c>
      <c r="GB35" s="272">
        <v>1333558</v>
      </c>
      <c r="GC35" s="272"/>
      <c r="GD35" s="272">
        <v>3257381</v>
      </c>
      <c r="GE35" s="384">
        <f t="shared" si="17"/>
        <v>27.8</v>
      </c>
      <c r="GF35" s="388">
        <v>97.2</v>
      </c>
      <c r="GG35" s="388">
        <v>15.2</v>
      </c>
      <c r="GH35" s="388">
        <v>88.8</v>
      </c>
      <c r="GI35" s="272">
        <v>468</v>
      </c>
    </row>
    <row r="36" spans="2:191" x14ac:dyDescent="0.15">
      <c r="B36" s="89" t="s">
        <v>65</v>
      </c>
      <c r="C36" s="272">
        <v>6157657</v>
      </c>
      <c r="D36" s="455">
        <f t="shared" si="0"/>
        <v>2567162</v>
      </c>
      <c r="E36" s="272">
        <v>52441</v>
      </c>
      <c r="F36" s="272">
        <v>2514721</v>
      </c>
      <c r="G36" s="455">
        <f t="shared" si="1"/>
        <v>145196</v>
      </c>
      <c r="H36" s="272">
        <v>72946</v>
      </c>
      <c r="I36" s="272">
        <v>72250</v>
      </c>
      <c r="J36" s="272">
        <v>2650595</v>
      </c>
      <c r="K36" s="272">
        <v>1321351</v>
      </c>
      <c r="L36" s="272">
        <v>1055199</v>
      </c>
      <c r="M36" s="272">
        <v>230376</v>
      </c>
      <c r="N36" s="272">
        <v>277173</v>
      </c>
      <c r="O36" s="272">
        <v>421977</v>
      </c>
      <c r="P36" s="272">
        <v>274302</v>
      </c>
      <c r="Q36" s="272">
        <v>147675</v>
      </c>
      <c r="R36" s="272">
        <v>138655</v>
      </c>
      <c r="S36" s="272"/>
      <c r="T36" s="455">
        <f t="shared" si="2"/>
        <v>905860</v>
      </c>
      <c r="U36" s="272">
        <v>327990</v>
      </c>
      <c r="V36" s="272"/>
      <c r="W36" s="272"/>
      <c r="X36" s="272">
        <v>433916</v>
      </c>
      <c r="Y36" s="272">
        <v>5988</v>
      </c>
      <c r="Z36" s="272">
        <v>0</v>
      </c>
      <c r="AA36" s="272">
        <v>137966</v>
      </c>
      <c r="AB36" s="272">
        <v>239026</v>
      </c>
      <c r="AC36" s="272">
        <v>3991680</v>
      </c>
      <c r="AD36" s="272">
        <v>3621611</v>
      </c>
      <c r="AE36" s="272">
        <v>370069</v>
      </c>
      <c r="AF36" s="272">
        <v>13012</v>
      </c>
      <c r="AG36" s="272">
        <v>69318</v>
      </c>
      <c r="AH36" s="455">
        <f t="shared" si="3"/>
        <v>227087</v>
      </c>
      <c r="AI36" s="272">
        <v>200762</v>
      </c>
      <c r="AJ36" s="272">
        <v>26325</v>
      </c>
      <c r="AK36" s="272">
        <v>1173975</v>
      </c>
      <c r="AL36" s="455">
        <f t="shared" si="4"/>
        <v>847664</v>
      </c>
      <c r="AM36" s="272">
        <v>552771</v>
      </c>
      <c r="AN36" s="272">
        <v>286768</v>
      </c>
      <c r="AO36" s="272">
        <v>0</v>
      </c>
      <c r="AP36" s="272">
        <v>8125</v>
      </c>
      <c r="AQ36" s="272">
        <v>24547</v>
      </c>
      <c r="AR36" s="272">
        <v>0</v>
      </c>
      <c r="AS36" s="272">
        <v>0</v>
      </c>
      <c r="AT36" s="272">
        <v>762031</v>
      </c>
      <c r="AU36" s="272">
        <v>385830</v>
      </c>
      <c r="AV36" s="272">
        <v>122338</v>
      </c>
      <c r="AW36" s="272">
        <v>10171</v>
      </c>
      <c r="AX36" s="272">
        <v>376201</v>
      </c>
      <c r="AY36" s="272">
        <v>22463</v>
      </c>
      <c r="AZ36" s="272">
        <v>13067</v>
      </c>
      <c r="BA36" s="272">
        <v>3228</v>
      </c>
      <c r="BB36" s="272">
        <v>7618</v>
      </c>
      <c r="BC36" s="272">
        <v>351520</v>
      </c>
      <c r="BD36" s="272">
        <v>0</v>
      </c>
      <c r="BE36" s="272">
        <v>27145</v>
      </c>
      <c r="BF36" s="272">
        <v>322590</v>
      </c>
      <c r="BG36" s="272">
        <v>0</v>
      </c>
      <c r="BH36" s="272">
        <v>147126</v>
      </c>
      <c r="BI36" s="272">
        <v>147126</v>
      </c>
      <c r="BJ36" s="272">
        <v>459159</v>
      </c>
      <c r="BK36" s="272">
        <v>12008</v>
      </c>
      <c r="BL36" s="272">
        <v>0</v>
      </c>
      <c r="BM36" s="272">
        <v>0</v>
      </c>
      <c r="BN36" s="272">
        <v>422100</v>
      </c>
      <c r="BO36" s="455">
        <f t="shared" si="5"/>
        <v>70000</v>
      </c>
      <c r="BP36" s="455">
        <f t="shared" si="6"/>
        <v>352100</v>
      </c>
      <c r="BQ36" s="272">
        <v>89300</v>
      </c>
      <c r="BR36" s="272">
        <v>0</v>
      </c>
      <c r="BS36" s="272">
        <v>262800</v>
      </c>
      <c r="BT36" s="272">
        <v>0</v>
      </c>
      <c r="BU36" s="272">
        <v>15078891</v>
      </c>
      <c r="BV36" s="272"/>
      <c r="BW36" s="272">
        <v>4335522</v>
      </c>
      <c r="BX36" s="272">
        <v>3306496</v>
      </c>
      <c r="BY36" s="272">
        <v>182994</v>
      </c>
      <c r="BZ36" s="272">
        <v>46635</v>
      </c>
      <c r="CA36" s="272">
        <v>1750467</v>
      </c>
      <c r="CB36" s="272">
        <v>403605</v>
      </c>
      <c r="CC36" s="272">
        <v>192160</v>
      </c>
      <c r="CD36" s="272">
        <v>374524</v>
      </c>
      <c r="CE36" s="272">
        <v>739898</v>
      </c>
      <c r="CF36" s="272">
        <v>3395</v>
      </c>
      <c r="CG36" s="272">
        <v>36885</v>
      </c>
      <c r="CH36" s="272">
        <v>1833743</v>
      </c>
      <c r="CI36" s="272">
        <v>1205282</v>
      </c>
      <c r="CJ36" s="455">
        <f t="shared" si="7"/>
        <v>628461</v>
      </c>
      <c r="CK36" s="272">
        <v>2446827</v>
      </c>
      <c r="CL36" s="272">
        <v>1267911</v>
      </c>
      <c r="CM36" s="272">
        <v>365360</v>
      </c>
      <c r="CN36" s="272">
        <v>488866</v>
      </c>
      <c r="CO36" s="272">
        <v>128408</v>
      </c>
      <c r="CP36" s="272">
        <v>1771573</v>
      </c>
      <c r="CQ36" s="272">
        <v>985889</v>
      </c>
      <c r="CR36" s="272">
        <v>176747</v>
      </c>
      <c r="CS36" s="272">
        <v>103341</v>
      </c>
      <c r="CT36" s="455">
        <f t="shared" si="8"/>
        <v>335092</v>
      </c>
      <c r="CU36" s="272">
        <v>278609</v>
      </c>
      <c r="CV36" s="272">
        <v>56483</v>
      </c>
      <c r="CW36" s="455">
        <f t="shared" si="9"/>
        <v>327092</v>
      </c>
      <c r="CX36" s="272">
        <v>270609</v>
      </c>
      <c r="CY36" s="272">
        <v>56483</v>
      </c>
      <c r="CZ36" s="455">
        <f t="shared" si="10"/>
        <v>0</v>
      </c>
      <c r="DA36" s="272">
        <v>0</v>
      </c>
      <c r="DB36" s="272">
        <v>0</v>
      </c>
      <c r="DC36" s="272">
        <v>806943</v>
      </c>
      <c r="DD36" s="272">
        <v>77815</v>
      </c>
      <c r="DE36" s="272">
        <v>661982</v>
      </c>
      <c r="DF36" s="272">
        <v>7350</v>
      </c>
      <c r="DG36" s="272">
        <v>59796</v>
      </c>
      <c r="DH36" s="272">
        <v>4848</v>
      </c>
      <c r="DI36" s="272">
        <v>32789</v>
      </c>
      <c r="DJ36" s="272">
        <v>2477</v>
      </c>
      <c r="DK36" s="272">
        <v>143</v>
      </c>
      <c r="DL36" s="272">
        <v>30169</v>
      </c>
      <c r="DM36" s="272">
        <v>0</v>
      </c>
      <c r="DN36" s="272">
        <v>0</v>
      </c>
      <c r="DO36" s="272">
        <v>0</v>
      </c>
      <c r="DP36" s="272">
        <v>0</v>
      </c>
      <c r="DQ36" s="272">
        <v>106000</v>
      </c>
      <c r="DR36" s="272">
        <v>94000</v>
      </c>
      <c r="DS36" s="272">
        <v>94000</v>
      </c>
      <c r="DT36" s="272">
        <v>1595208</v>
      </c>
      <c r="DU36" s="272">
        <v>806083</v>
      </c>
      <c r="DV36" s="455">
        <f t="shared" si="11"/>
        <v>0</v>
      </c>
      <c r="DW36" s="272">
        <v>0</v>
      </c>
      <c r="DX36" s="272">
        <v>0</v>
      </c>
      <c r="DY36" s="272">
        <v>0</v>
      </c>
      <c r="DZ36" s="272">
        <v>246805</v>
      </c>
      <c r="EA36" s="272">
        <v>248964</v>
      </c>
      <c r="EB36" s="272">
        <v>293352</v>
      </c>
      <c r="EC36" s="272">
        <v>0</v>
      </c>
      <c r="ED36" s="272">
        <v>14812328</v>
      </c>
      <c r="EF36" s="272">
        <v>266563</v>
      </c>
      <c r="EG36" s="272">
        <v>59929</v>
      </c>
      <c r="EH36" s="272">
        <v>206634</v>
      </c>
      <c r="EI36" s="272">
        <v>59508</v>
      </c>
      <c r="EJ36" s="272">
        <v>61985</v>
      </c>
      <c r="EL36" s="272"/>
      <c r="EM36" s="272">
        <v>59866</v>
      </c>
      <c r="EN36" s="272">
        <v>58035</v>
      </c>
      <c r="EO36" s="272">
        <v>2817</v>
      </c>
      <c r="EP36" s="455">
        <f t="shared" si="12"/>
        <v>387024</v>
      </c>
      <c r="EQ36" s="272">
        <v>11445890</v>
      </c>
      <c r="ER36" s="272">
        <v>-786964</v>
      </c>
      <c r="ES36" s="272">
        <v>3871300</v>
      </c>
      <c r="ET36" s="272">
        <v>2847111</v>
      </c>
      <c r="EU36" s="272">
        <v>561187</v>
      </c>
      <c r="EV36" s="272">
        <v>1833743</v>
      </c>
      <c r="EW36" s="455">
        <f t="shared" si="13"/>
        <v>383378</v>
      </c>
      <c r="EX36" s="272">
        <v>382492</v>
      </c>
      <c r="EY36" s="272">
        <v>11489</v>
      </c>
      <c r="EZ36" s="272">
        <v>367328</v>
      </c>
      <c r="FA36" s="272">
        <v>886</v>
      </c>
      <c r="FB36" s="272"/>
      <c r="FC36" s="272">
        <v>2154762</v>
      </c>
      <c r="FD36" s="272">
        <v>1594590</v>
      </c>
      <c r="FE36" s="272">
        <v>967079</v>
      </c>
      <c r="FF36" s="272">
        <v>1358165</v>
      </c>
      <c r="FG36" s="455">
        <f t="shared" si="14"/>
        <v>209166</v>
      </c>
      <c r="FH36" s="272">
        <v>11966291</v>
      </c>
      <c r="FI36" s="384">
        <f t="shared" si="15"/>
        <v>1.9</v>
      </c>
      <c r="FJ36" s="272">
        <v>10882559</v>
      </c>
      <c r="FK36" s="272">
        <v>262829</v>
      </c>
      <c r="FL36" s="272">
        <v>5484174</v>
      </c>
      <c r="FM36" s="272">
        <v>9112535</v>
      </c>
      <c r="FN36" s="460">
        <v>0.58699999999999997</v>
      </c>
      <c r="FO36" s="388">
        <v>98.1</v>
      </c>
      <c r="FP36" s="388">
        <v>34.5</v>
      </c>
      <c r="FQ36" s="388">
        <v>5.0999999999999996</v>
      </c>
      <c r="FR36" s="388">
        <v>16.600000000000001</v>
      </c>
      <c r="FS36" s="388">
        <v>18.399999999999999</v>
      </c>
      <c r="FT36" s="388">
        <v>13.6</v>
      </c>
      <c r="FU36" s="388">
        <v>9</v>
      </c>
      <c r="FV36" s="388">
        <v>11.4</v>
      </c>
      <c r="FW36" s="272">
        <v>14673068</v>
      </c>
      <c r="FX36" s="384">
        <f t="shared" si="16"/>
        <v>134.80000000000001</v>
      </c>
      <c r="FY36" s="272">
        <v>2934239</v>
      </c>
      <c r="FZ36" s="272">
        <v>1840931</v>
      </c>
      <c r="GA36" s="272">
        <v>29487</v>
      </c>
      <c r="GB36" s="272">
        <v>1063821</v>
      </c>
      <c r="GC36" s="272"/>
      <c r="GD36" s="272">
        <v>203812</v>
      </c>
      <c r="GE36" s="384">
        <f t="shared" si="17"/>
        <v>1.9</v>
      </c>
      <c r="GF36" s="388">
        <v>96.6</v>
      </c>
      <c r="GG36" s="388">
        <v>20.6</v>
      </c>
      <c r="GH36" s="388">
        <v>88.1</v>
      </c>
      <c r="GI36" s="272">
        <v>466</v>
      </c>
    </row>
    <row r="37" spans="2:191" x14ac:dyDescent="0.15">
      <c r="B37" s="21" t="s">
        <v>67</v>
      </c>
      <c r="C37" s="272">
        <f>SUM(C6:C36)</f>
        <v>792343293</v>
      </c>
      <c r="D37" s="455">
        <f t="shared" si="0"/>
        <v>268027294</v>
      </c>
      <c r="E37" s="272">
        <f>SUM(E6:E36)</f>
        <v>4817173</v>
      </c>
      <c r="F37" s="272">
        <f>SUM(F6:F36)</f>
        <v>263210121</v>
      </c>
      <c r="G37" s="455">
        <f t="shared" si="1"/>
        <v>56557829</v>
      </c>
      <c r="H37" s="272">
        <f t="shared" ref="H37:R37" si="18">SUM(H6:H36)</f>
        <v>12136051</v>
      </c>
      <c r="I37" s="272">
        <f t="shared" si="18"/>
        <v>44421778</v>
      </c>
      <c r="J37" s="272">
        <f t="shared" si="18"/>
        <v>347181409</v>
      </c>
      <c r="K37" s="272">
        <f t="shared" si="18"/>
        <v>174713784</v>
      </c>
      <c r="L37" s="272">
        <f t="shared" si="18"/>
        <v>121288270</v>
      </c>
      <c r="M37" s="272">
        <f t="shared" si="18"/>
        <v>45532464</v>
      </c>
      <c r="N37" s="272">
        <f t="shared" si="18"/>
        <v>31320525</v>
      </c>
      <c r="O37" s="272">
        <f t="shared" si="18"/>
        <v>77060372</v>
      </c>
      <c r="P37" s="272">
        <f t="shared" si="18"/>
        <v>50145541</v>
      </c>
      <c r="Q37" s="272">
        <f t="shared" si="18"/>
        <v>26914831</v>
      </c>
      <c r="R37" s="272">
        <f t="shared" si="18"/>
        <v>12565579</v>
      </c>
      <c r="S37" s="272"/>
      <c r="T37" s="455">
        <f t="shared" si="2"/>
        <v>91820074</v>
      </c>
      <c r="U37" s="272">
        <f>SUM(U6:U36)</f>
        <v>34113515</v>
      </c>
      <c r="V37" s="272"/>
      <c r="W37" s="272"/>
      <c r="X37" s="272">
        <f t="shared" ref="X37:AG37" si="19">SUM(X6:X36)</f>
        <v>46549651</v>
      </c>
      <c r="Y37" s="272">
        <f t="shared" si="19"/>
        <v>966115</v>
      </c>
      <c r="Z37" s="272">
        <f t="shared" si="19"/>
        <v>4298</v>
      </c>
      <c r="AA37" s="272">
        <f t="shared" si="19"/>
        <v>10186495</v>
      </c>
      <c r="AB37" s="272">
        <f t="shared" si="19"/>
        <v>28672779</v>
      </c>
      <c r="AC37" s="272">
        <f t="shared" si="19"/>
        <v>153337359</v>
      </c>
      <c r="AD37" s="272">
        <f t="shared" si="19"/>
        <v>138670896</v>
      </c>
      <c r="AE37" s="272">
        <f t="shared" si="19"/>
        <v>14666463</v>
      </c>
      <c r="AF37" s="272">
        <f t="shared" si="19"/>
        <v>966419</v>
      </c>
      <c r="AG37" s="272">
        <f t="shared" si="19"/>
        <v>16464221</v>
      </c>
      <c r="AH37" s="455">
        <f t="shared" si="3"/>
        <v>34979339</v>
      </c>
      <c r="AI37" s="272">
        <f>SUM(AI6:AI36)</f>
        <v>27389960</v>
      </c>
      <c r="AJ37" s="272">
        <f>SUM(AJ6:AJ36)</f>
        <v>7589379</v>
      </c>
      <c r="AK37" s="272">
        <f>SUM(AK6:AK36)</f>
        <v>166528754</v>
      </c>
      <c r="AL37" s="455">
        <f t="shared" si="4"/>
        <v>103243559</v>
      </c>
      <c r="AM37" s="272">
        <f t="shared" ref="AM37:BN37" si="20">SUM(AM6:AM36)</f>
        <v>83108579</v>
      </c>
      <c r="AN37" s="272">
        <f t="shared" si="20"/>
        <v>19306203</v>
      </c>
      <c r="AO37" s="272">
        <f t="shared" si="20"/>
        <v>65442</v>
      </c>
      <c r="AP37" s="272">
        <f t="shared" si="20"/>
        <v>763335</v>
      </c>
      <c r="AQ37" s="272">
        <f t="shared" si="20"/>
        <v>17635433</v>
      </c>
      <c r="AR37" s="272">
        <f t="shared" si="20"/>
        <v>3453</v>
      </c>
      <c r="AS37" s="272">
        <f t="shared" si="20"/>
        <v>328004</v>
      </c>
      <c r="AT37" s="272">
        <f t="shared" si="20"/>
        <v>74886219</v>
      </c>
      <c r="AU37" s="272">
        <f t="shared" si="20"/>
        <v>38390115</v>
      </c>
      <c r="AV37" s="272">
        <f t="shared" si="20"/>
        <v>8927416</v>
      </c>
      <c r="AW37" s="272">
        <f t="shared" si="20"/>
        <v>2401928</v>
      </c>
      <c r="AX37" s="272">
        <f t="shared" si="20"/>
        <v>36496104</v>
      </c>
      <c r="AY37" s="272">
        <f t="shared" si="20"/>
        <v>5117621</v>
      </c>
      <c r="AZ37" s="272">
        <f t="shared" si="20"/>
        <v>4526317</v>
      </c>
      <c r="BA37" s="272">
        <f t="shared" si="20"/>
        <v>2993848</v>
      </c>
      <c r="BB37" s="272">
        <f t="shared" si="20"/>
        <v>3108928</v>
      </c>
      <c r="BC37" s="272">
        <f t="shared" si="20"/>
        <v>39081888</v>
      </c>
      <c r="BD37" s="272">
        <f t="shared" si="20"/>
        <v>5363200</v>
      </c>
      <c r="BE37" s="272">
        <f t="shared" si="20"/>
        <v>2177963</v>
      </c>
      <c r="BF37" s="272">
        <f t="shared" si="20"/>
        <v>24662074</v>
      </c>
      <c r="BG37" s="272">
        <f t="shared" si="20"/>
        <v>2913279</v>
      </c>
      <c r="BH37" s="272">
        <f t="shared" si="20"/>
        <v>13556842</v>
      </c>
      <c r="BI37" s="272">
        <f t="shared" si="20"/>
        <v>7072378</v>
      </c>
      <c r="BJ37" s="272">
        <f t="shared" si="20"/>
        <v>46665966</v>
      </c>
      <c r="BK37" s="272">
        <f t="shared" si="20"/>
        <v>31338195</v>
      </c>
      <c r="BL37" s="272">
        <f t="shared" si="20"/>
        <v>368635</v>
      </c>
      <c r="BM37" s="272">
        <f t="shared" si="20"/>
        <v>855245</v>
      </c>
      <c r="BN37" s="272">
        <f t="shared" si="20"/>
        <v>132608403</v>
      </c>
      <c r="BO37" s="455">
        <f t="shared" si="5"/>
        <v>103036503</v>
      </c>
      <c r="BP37" s="455">
        <f t="shared" si="6"/>
        <v>29571900</v>
      </c>
      <c r="BQ37" s="272">
        <f>SUM(BQ6:BQ36)</f>
        <v>9962600</v>
      </c>
      <c r="BR37" s="272">
        <f>SUM(BR6:BR36)</f>
        <v>0</v>
      </c>
      <c r="BS37" s="272">
        <f>SUM(BS6:BS36)</f>
        <v>19609300</v>
      </c>
      <c r="BT37" s="272">
        <v>0</v>
      </c>
      <c r="BU37" s="272">
        <f>SUM(BU6:BU36)</f>
        <v>1612440384</v>
      </c>
      <c r="BV37" s="272"/>
      <c r="BW37" s="272">
        <f t="shared" ref="BW37:CI37" si="21">SUM(BW6:BW36)</f>
        <v>428465961</v>
      </c>
      <c r="BX37" s="272">
        <f t="shared" si="21"/>
        <v>302990397</v>
      </c>
      <c r="BY37" s="272">
        <f t="shared" si="21"/>
        <v>42503421</v>
      </c>
      <c r="BZ37" s="272">
        <f t="shared" si="21"/>
        <v>15941085</v>
      </c>
      <c r="CA37" s="272">
        <f t="shared" si="21"/>
        <v>236090140</v>
      </c>
      <c r="CB37" s="272">
        <f t="shared" si="21"/>
        <v>31215161</v>
      </c>
      <c r="CC37" s="272">
        <f t="shared" si="21"/>
        <v>19159908</v>
      </c>
      <c r="CD37" s="272">
        <f t="shared" si="21"/>
        <v>62785537</v>
      </c>
      <c r="CE37" s="272">
        <f t="shared" si="21"/>
        <v>111333854</v>
      </c>
      <c r="CF37" s="272">
        <f t="shared" si="21"/>
        <v>6946236</v>
      </c>
      <c r="CG37" s="272">
        <f t="shared" si="21"/>
        <v>4630397</v>
      </c>
      <c r="CH37" s="272">
        <f t="shared" si="21"/>
        <v>166760660</v>
      </c>
      <c r="CI37" s="272">
        <f t="shared" si="21"/>
        <v>117218550</v>
      </c>
      <c r="CJ37" s="455">
        <f t="shared" si="7"/>
        <v>49542110</v>
      </c>
      <c r="CK37" s="272">
        <f t="shared" ref="CK37:CS37" si="22">SUM(CK6:CK36)</f>
        <v>184481672</v>
      </c>
      <c r="CL37" s="272">
        <f t="shared" si="22"/>
        <v>104750958</v>
      </c>
      <c r="CM37" s="272">
        <f t="shared" si="22"/>
        <v>10820299</v>
      </c>
      <c r="CN37" s="272">
        <f t="shared" si="22"/>
        <v>37746225</v>
      </c>
      <c r="CO37" s="272">
        <f t="shared" si="22"/>
        <v>15500672</v>
      </c>
      <c r="CP37" s="272">
        <f t="shared" si="22"/>
        <v>120918025</v>
      </c>
      <c r="CQ37" s="272">
        <f t="shared" si="22"/>
        <v>40669600</v>
      </c>
      <c r="CR37" s="272">
        <f t="shared" si="22"/>
        <v>37914211</v>
      </c>
      <c r="CS37" s="272">
        <f t="shared" si="22"/>
        <v>29080089</v>
      </c>
      <c r="CT37" s="455">
        <f t="shared" si="8"/>
        <v>17707239</v>
      </c>
      <c r="CU37" s="272">
        <f>SUM(CU6:CU36)</f>
        <v>12551951</v>
      </c>
      <c r="CV37" s="272">
        <f>SUM(CV6:CV36)</f>
        <v>5155288</v>
      </c>
      <c r="CW37" s="455">
        <f t="shared" si="9"/>
        <v>14921325</v>
      </c>
      <c r="CX37" s="272">
        <f>SUM(CX6:CX36)</f>
        <v>11750641</v>
      </c>
      <c r="CY37" s="272">
        <f>SUM(CY6:CY36)</f>
        <v>3170684</v>
      </c>
      <c r="CZ37" s="455">
        <f t="shared" si="10"/>
        <v>0</v>
      </c>
      <c r="DA37" s="272">
        <f t="shared" ref="DA37:DU37" si="23">SUM(DA6:DA36)</f>
        <v>0</v>
      </c>
      <c r="DB37" s="272">
        <f t="shared" si="23"/>
        <v>0</v>
      </c>
      <c r="DC37" s="272">
        <f t="shared" si="23"/>
        <v>200954509</v>
      </c>
      <c r="DD37" s="272">
        <f t="shared" si="23"/>
        <v>42872287</v>
      </c>
      <c r="DE37" s="272">
        <f t="shared" si="23"/>
        <v>150168125</v>
      </c>
      <c r="DF37" s="272">
        <f t="shared" si="23"/>
        <v>1747500</v>
      </c>
      <c r="DG37" s="272">
        <f t="shared" si="23"/>
        <v>5794846</v>
      </c>
      <c r="DH37" s="272">
        <f t="shared" si="23"/>
        <v>143834</v>
      </c>
      <c r="DI37" s="272">
        <f t="shared" si="23"/>
        <v>25331346</v>
      </c>
      <c r="DJ37" s="272">
        <f t="shared" si="23"/>
        <v>8179221</v>
      </c>
      <c r="DK37" s="272">
        <f t="shared" si="23"/>
        <v>2266892</v>
      </c>
      <c r="DL37" s="272">
        <f t="shared" si="23"/>
        <v>14885233</v>
      </c>
      <c r="DM37" s="272">
        <f t="shared" si="23"/>
        <v>1667860</v>
      </c>
      <c r="DN37" s="272">
        <f t="shared" si="23"/>
        <v>1523660</v>
      </c>
      <c r="DO37" s="272">
        <f t="shared" si="23"/>
        <v>384471</v>
      </c>
      <c r="DP37" s="272">
        <f t="shared" si="23"/>
        <v>1139189</v>
      </c>
      <c r="DQ37" s="272">
        <f t="shared" si="23"/>
        <v>40377949</v>
      </c>
      <c r="DR37" s="272">
        <f t="shared" si="23"/>
        <v>498308</v>
      </c>
      <c r="DS37" s="272">
        <f t="shared" si="23"/>
        <v>494000</v>
      </c>
      <c r="DT37" s="272">
        <f t="shared" si="23"/>
        <v>179495290</v>
      </c>
      <c r="DU37" s="272">
        <f t="shared" si="23"/>
        <v>87613451</v>
      </c>
      <c r="DV37" s="455">
        <f t="shared" si="11"/>
        <v>124804</v>
      </c>
      <c r="DW37" s="272">
        <f t="shared" ref="DW37:ED37" si="24">SUM(DW6:DW36)</f>
        <v>124804</v>
      </c>
      <c r="DX37" s="272">
        <f t="shared" si="24"/>
        <v>0</v>
      </c>
      <c r="DY37" s="272">
        <f t="shared" si="24"/>
        <v>335406</v>
      </c>
      <c r="DZ37" s="272">
        <f t="shared" si="24"/>
        <v>44137694</v>
      </c>
      <c r="EA37" s="272">
        <f t="shared" si="24"/>
        <v>19870169</v>
      </c>
      <c r="EB37" s="272">
        <f t="shared" si="24"/>
        <v>23299629</v>
      </c>
      <c r="EC37" s="272">
        <f t="shared" si="24"/>
        <v>9807786</v>
      </c>
      <c r="ED37" s="272">
        <f t="shared" si="24"/>
        <v>1609995704</v>
      </c>
      <c r="EE37" s="89"/>
      <c r="EF37" s="272">
        <f>SUM(EF6:EF36)</f>
        <v>2444680</v>
      </c>
      <c r="EG37" s="272">
        <f>SUM(EG6:EG36)</f>
        <v>8066013</v>
      </c>
      <c r="EH37" s="272">
        <f>SUM(EH6:EH36)</f>
        <v>-5621333</v>
      </c>
      <c r="EI37" s="272">
        <f>SUM(EI6:EI36)</f>
        <v>-3429936</v>
      </c>
      <c r="EJ37" s="272">
        <f>SUM(EJ6:EJ36)</f>
        <v>3188573</v>
      </c>
      <c r="EL37" s="272"/>
      <c r="EM37" s="272">
        <f>SUM(EM6:EM36)</f>
        <v>5130397</v>
      </c>
      <c r="EN37" s="272">
        <f>SUM(EN6:EN36)</f>
        <v>15015184</v>
      </c>
      <c r="EO37" s="272">
        <f>SUM(EO6:EO36)</f>
        <v>3098386</v>
      </c>
      <c r="EP37" s="455">
        <f t="shared" si="12"/>
        <v>30328716</v>
      </c>
      <c r="EQ37" s="272">
        <f t="shared" ref="EQ37:EV37" si="25">SUM(EQ6:EQ36)</f>
        <v>1080033507</v>
      </c>
      <c r="ER37" s="272">
        <f t="shared" si="25"/>
        <v>-76719763</v>
      </c>
      <c r="ES37" s="272">
        <f t="shared" si="25"/>
        <v>391583964</v>
      </c>
      <c r="ET37" s="272">
        <f t="shared" si="25"/>
        <v>269157720</v>
      </c>
      <c r="EU37" s="272">
        <f t="shared" si="25"/>
        <v>76355152</v>
      </c>
      <c r="EV37" s="272">
        <f t="shared" si="25"/>
        <v>162743456</v>
      </c>
      <c r="EW37" s="455">
        <f t="shared" si="13"/>
        <v>58119465</v>
      </c>
      <c r="EX37" s="272">
        <f>SUM(EX6:EX36)</f>
        <v>58006954</v>
      </c>
      <c r="EY37" s="272">
        <f>SUM(EY6:EY36)</f>
        <v>6154502</v>
      </c>
      <c r="EZ37" s="272">
        <f>SUM(EZ6:EZ36)</f>
        <v>51254584</v>
      </c>
      <c r="FA37" s="272">
        <f>SUM(FA6:FA36)</f>
        <v>112511</v>
      </c>
      <c r="FB37" s="272"/>
      <c r="FC37" s="272">
        <f>SUM(FC6:FC36)</f>
        <v>146865339</v>
      </c>
      <c r="FD37" s="272">
        <f>SUM(FD6:FD36)</f>
        <v>109368972</v>
      </c>
      <c r="FE37" s="272">
        <f>SUM(FE6:FE36)</f>
        <v>40650790</v>
      </c>
      <c r="FF37" s="272">
        <f>SUM(FF6:FF36)</f>
        <v>166886819</v>
      </c>
      <c r="FG37" s="455">
        <f t="shared" si="14"/>
        <v>42712029</v>
      </c>
      <c r="FH37" s="272">
        <f>SUM(FH6:FH36)</f>
        <v>1154635196</v>
      </c>
      <c r="FI37" s="384">
        <f t="shared" si="15"/>
        <v>-0.6</v>
      </c>
      <c r="FJ37" s="272">
        <f>SUM(FJ6:FJ36)</f>
        <v>990058642</v>
      </c>
      <c r="FK37" s="272">
        <f>SUM(FK6:FK36)</f>
        <v>21030879</v>
      </c>
      <c r="FL37" s="272">
        <f>SUM(FL6:FL36)</f>
        <v>641955497</v>
      </c>
      <c r="FM37" s="272">
        <f>SUM(FM6:FM36)</f>
        <v>777071819</v>
      </c>
      <c r="FN37" s="468">
        <v>0.82399999999999995</v>
      </c>
      <c r="FO37" s="469">
        <v>95.5</v>
      </c>
      <c r="FP37" s="469">
        <v>36.200000000000003</v>
      </c>
      <c r="FQ37" s="469">
        <v>7.8</v>
      </c>
      <c r="FR37" s="469">
        <v>15.7</v>
      </c>
      <c r="FS37" s="469">
        <v>13.5</v>
      </c>
      <c r="FT37" s="469">
        <v>10.5</v>
      </c>
      <c r="FU37" s="469">
        <v>10.5</v>
      </c>
      <c r="FV37" s="469">
        <v>10.3</v>
      </c>
      <c r="FW37" s="272">
        <f>SUM(FW6:FW36)</f>
        <v>1495331749</v>
      </c>
      <c r="FX37" s="384">
        <f t="shared" si="16"/>
        <v>151</v>
      </c>
      <c r="FY37" s="272">
        <f t="shared" ref="FY37:GD37" si="26">SUM(FY6:FY36)</f>
        <v>302160169</v>
      </c>
      <c r="FZ37" s="272">
        <f t="shared" si="26"/>
        <v>82161152</v>
      </c>
      <c r="GA37" s="272">
        <f t="shared" si="26"/>
        <v>26101674</v>
      </c>
      <c r="GB37" s="272">
        <f t="shared" si="26"/>
        <v>193897343</v>
      </c>
      <c r="GC37" s="272">
        <f t="shared" si="26"/>
        <v>4238318</v>
      </c>
      <c r="GD37" s="272">
        <f t="shared" si="26"/>
        <v>341662307</v>
      </c>
      <c r="GE37" s="384">
        <f t="shared" si="17"/>
        <v>34.5</v>
      </c>
      <c r="GF37" s="469">
        <v>97.6</v>
      </c>
      <c r="GG37" s="469">
        <v>19.3</v>
      </c>
      <c r="GH37" s="469">
        <v>91.3</v>
      </c>
      <c r="GI37" s="272">
        <f>SUM(GI6:GI36)</f>
        <v>39100</v>
      </c>
    </row>
    <row r="38" spans="2:191" x14ac:dyDescent="0.15">
      <c r="B38" s="89" t="s">
        <v>69</v>
      </c>
      <c r="C38" s="272">
        <v>5151469</v>
      </c>
      <c r="D38" s="455">
        <f t="shared" si="0"/>
        <v>1634994</v>
      </c>
      <c r="E38" s="272">
        <v>22619</v>
      </c>
      <c r="F38" s="272">
        <v>1612375</v>
      </c>
      <c r="G38" s="455">
        <f t="shared" si="1"/>
        <v>844031</v>
      </c>
      <c r="H38" s="272">
        <v>55406</v>
      </c>
      <c r="I38" s="272">
        <v>788625</v>
      </c>
      <c r="J38" s="272">
        <v>2161199</v>
      </c>
      <c r="K38" s="272">
        <v>899806</v>
      </c>
      <c r="L38" s="272">
        <v>772698</v>
      </c>
      <c r="M38" s="272">
        <v>461656</v>
      </c>
      <c r="N38" s="272">
        <v>102423</v>
      </c>
      <c r="O38" s="272">
        <v>393377</v>
      </c>
      <c r="P38" s="272">
        <v>237207</v>
      </c>
      <c r="Q38" s="272">
        <v>156170</v>
      </c>
      <c r="R38" s="272">
        <v>65103</v>
      </c>
      <c r="S38" s="272"/>
      <c r="T38" s="455">
        <f t="shared" si="2"/>
        <v>591503</v>
      </c>
      <c r="U38" s="272">
        <v>219357</v>
      </c>
      <c r="V38" s="272"/>
      <c r="W38" s="272"/>
      <c r="X38" s="272">
        <v>235777</v>
      </c>
      <c r="Y38" s="272">
        <v>71625</v>
      </c>
      <c r="Z38" s="272">
        <v>0</v>
      </c>
      <c r="AA38" s="272">
        <v>64744</v>
      </c>
      <c r="AB38" s="272">
        <v>221091</v>
      </c>
      <c r="AC38" s="272">
        <v>1622740</v>
      </c>
      <c r="AD38" s="272">
        <v>1352528</v>
      </c>
      <c r="AE38" s="272">
        <v>270212</v>
      </c>
      <c r="AF38" s="272">
        <v>4436</v>
      </c>
      <c r="AG38" s="272">
        <v>43391</v>
      </c>
      <c r="AH38" s="455">
        <f t="shared" si="3"/>
        <v>200976</v>
      </c>
      <c r="AI38" s="272">
        <v>166591</v>
      </c>
      <c r="AJ38" s="272">
        <v>34385</v>
      </c>
      <c r="AK38" s="272">
        <v>512397</v>
      </c>
      <c r="AL38" s="455">
        <f t="shared" si="4"/>
        <v>132342</v>
      </c>
      <c r="AM38" s="272">
        <v>66341</v>
      </c>
      <c r="AN38" s="272">
        <v>63276</v>
      </c>
      <c r="AO38" s="272">
        <v>0</v>
      </c>
      <c r="AP38" s="272">
        <v>2725</v>
      </c>
      <c r="AQ38" s="272">
        <v>183615</v>
      </c>
      <c r="AR38" s="272">
        <v>0</v>
      </c>
      <c r="AS38" s="272">
        <v>0</v>
      </c>
      <c r="AT38" s="272">
        <v>334087</v>
      </c>
      <c r="AU38" s="272">
        <v>155045</v>
      </c>
      <c r="AV38" s="272">
        <v>28623</v>
      </c>
      <c r="AW38" s="272">
        <v>0</v>
      </c>
      <c r="AX38" s="272">
        <v>179042</v>
      </c>
      <c r="AY38" s="272">
        <v>39923</v>
      </c>
      <c r="AZ38" s="272">
        <v>17496</v>
      </c>
      <c r="BA38" s="272">
        <v>38</v>
      </c>
      <c r="BB38" s="272">
        <v>1435</v>
      </c>
      <c r="BC38" s="272">
        <v>34356</v>
      </c>
      <c r="BD38" s="272">
        <v>0</v>
      </c>
      <c r="BE38" s="272">
        <v>30200</v>
      </c>
      <c r="BF38" s="272">
        <v>0</v>
      </c>
      <c r="BG38" s="272">
        <v>0</v>
      </c>
      <c r="BH38" s="272">
        <v>312998</v>
      </c>
      <c r="BI38" s="272">
        <v>305250</v>
      </c>
      <c r="BJ38" s="272">
        <v>127843</v>
      </c>
      <c r="BK38" s="272">
        <v>54892</v>
      </c>
      <c r="BL38" s="272">
        <v>0</v>
      </c>
      <c r="BM38" s="272">
        <v>0</v>
      </c>
      <c r="BN38" s="272">
        <v>868000</v>
      </c>
      <c r="BO38" s="455">
        <f t="shared" si="5"/>
        <v>630600</v>
      </c>
      <c r="BP38" s="455">
        <f t="shared" si="6"/>
        <v>237400</v>
      </c>
      <c r="BQ38" s="272">
        <v>78100</v>
      </c>
      <c r="BR38" s="272">
        <v>0</v>
      </c>
      <c r="BS38" s="272">
        <v>159300</v>
      </c>
      <c r="BT38" s="272">
        <v>0</v>
      </c>
      <c r="BU38" s="272">
        <v>10109321</v>
      </c>
      <c r="BV38" s="272"/>
      <c r="BW38" s="272">
        <v>3032077</v>
      </c>
      <c r="BX38" s="272">
        <v>2107571</v>
      </c>
      <c r="BY38" s="272">
        <v>364777</v>
      </c>
      <c r="BZ38" s="272">
        <v>29422</v>
      </c>
      <c r="CA38" s="272">
        <v>818998</v>
      </c>
      <c r="CB38" s="272">
        <v>275855</v>
      </c>
      <c r="CC38" s="272">
        <v>105277</v>
      </c>
      <c r="CD38" s="272">
        <v>328192</v>
      </c>
      <c r="CE38" s="272">
        <v>88383</v>
      </c>
      <c r="CF38" s="272">
        <v>0</v>
      </c>
      <c r="CG38" s="272">
        <v>21291</v>
      </c>
      <c r="CH38" s="272">
        <v>1366668</v>
      </c>
      <c r="CI38" s="272">
        <v>892605</v>
      </c>
      <c r="CJ38" s="455">
        <f t="shared" si="7"/>
        <v>474063</v>
      </c>
      <c r="CK38" s="272">
        <v>1430072</v>
      </c>
      <c r="CL38" s="272">
        <v>723918</v>
      </c>
      <c r="CM38" s="272">
        <v>140001</v>
      </c>
      <c r="CN38" s="272">
        <v>315372</v>
      </c>
      <c r="CO38" s="272">
        <v>101199</v>
      </c>
      <c r="CP38" s="272">
        <v>316905</v>
      </c>
      <c r="CQ38" s="272">
        <v>2792</v>
      </c>
      <c r="CR38" s="272">
        <v>153745</v>
      </c>
      <c r="CS38" s="272">
        <v>137475</v>
      </c>
      <c r="CT38" s="455">
        <f t="shared" si="8"/>
        <v>679</v>
      </c>
      <c r="CU38" s="272">
        <v>679</v>
      </c>
      <c r="CV38" s="272">
        <v>0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1410801</v>
      </c>
      <c r="DD38" s="272">
        <v>537505</v>
      </c>
      <c r="DE38" s="272">
        <v>864581</v>
      </c>
      <c r="DF38" s="272">
        <v>1995</v>
      </c>
      <c r="DG38" s="272">
        <v>6720</v>
      </c>
      <c r="DH38" s="272">
        <v>0</v>
      </c>
      <c r="DI38" s="272">
        <v>311535</v>
      </c>
      <c r="DJ38" s="272">
        <v>297916</v>
      </c>
      <c r="DK38" s="272">
        <v>235</v>
      </c>
      <c r="DL38" s="272">
        <v>13384</v>
      </c>
      <c r="DM38" s="272">
        <v>0</v>
      </c>
      <c r="DN38" s="272">
        <v>0</v>
      </c>
      <c r="DO38" s="272">
        <v>0</v>
      </c>
      <c r="DP38" s="272">
        <v>0</v>
      </c>
      <c r="DQ38" s="272">
        <v>54016</v>
      </c>
      <c r="DR38" s="272">
        <v>0</v>
      </c>
      <c r="DS38" s="272">
        <v>0</v>
      </c>
      <c r="DT38" s="272">
        <v>991702</v>
      </c>
      <c r="DU38" s="272">
        <v>551000</v>
      </c>
      <c r="DV38" s="455">
        <f t="shared" si="11"/>
        <v>0</v>
      </c>
      <c r="DW38" s="272">
        <v>0</v>
      </c>
      <c r="DX38" s="272">
        <v>0</v>
      </c>
      <c r="DY38" s="272">
        <v>0</v>
      </c>
      <c r="DZ38" s="272">
        <v>155787</v>
      </c>
      <c r="EA38" s="272">
        <v>135220</v>
      </c>
      <c r="EB38" s="272">
        <v>147404</v>
      </c>
      <c r="EC38" s="272">
        <v>0</v>
      </c>
      <c r="ED38" s="272">
        <v>9833973</v>
      </c>
      <c r="EE38" s="89"/>
      <c r="EF38" s="272">
        <v>275348</v>
      </c>
      <c r="EG38" s="272">
        <v>40468</v>
      </c>
      <c r="EH38" s="272">
        <v>234880</v>
      </c>
      <c r="EI38" s="272">
        <v>-70370</v>
      </c>
      <c r="EJ38" s="272">
        <v>227546</v>
      </c>
      <c r="EL38" s="272"/>
      <c r="EM38" s="272">
        <v>29979</v>
      </c>
      <c r="EN38" s="272">
        <v>32566</v>
      </c>
      <c r="EO38" s="272">
        <v>4341</v>
      </c>
      <c r="EP38" s="455">
        <f t="shared" si="12"/>
        <v>350334</v>
      </c>
      <c r="EQ38" s="272">
        <v>7656342</v>
      </c>
      <c r="ER38" s="272">
        <v>-620205</v>
      </c>
      <c r="ES38" s="272">
        <v>2770710</v>
      </c>
      <c r="ET38" s="272">
        <v>1887110</v>
      </c>
      <c r="EU38" s="272">
        <v>431527</v>
      </c>
      <c r="EV38" s="272">
        <v>1364612</v>
      </c>
      <c r="EW38" s="455">
        <f t="shared" si="13"/>
        <v>546646</v>
      </c>
      <c r="EX38" s="272">
        <v>546646</v>
      </c>
      <c r="EY38" s="272">
        <v>142834</v>
      </c>
      <c r="EZ38" s="272">
        <v>402615</v>
      </c>
      <c r="FA38" s="272">
        <v>0</v>
      </c>
      <c r="FB38" s="272"/>
      <c r="FC38" s="272">
        <v>1266434</v>
      </c>
      <c r="FD38" s="272">
        <v>287373</v>
      </c>
      <c r="FE38" s="272">
        <v>2792</v>
      </c>
      <c r="FF38" s="272">
        <v>939948</v>
      </c>
      <c r="FG38" s="455">
        <f t="shared" si="14"/>
        <v>393949</v>
      </c>
      <c r="FH38" s="272">
        <v>8001199</v>
      </c>
      <c r="FI38" s="384">
        <f t="shared" si="15"/>
        <v>3.4</v>
      </c>
      <c r="FJ38" s="272">
        <v>6938812</v>
      </c>
      <c r="FK38" s="272">
        <v>159333</v>
      </c>
      <c r="FL38" s="272">
        <v>4207931</v>
      </c>
      <c r="FM38" s="272">
        <v>5564581</v>
      </c>
      <c r="FN38" s="460">
        <v>0.74</v>
      </c>
      <c r="FO38" s="388">
        <v>90.8</v>
      </c>
      <c r="FP38" s="388">
        <v>35.4</v>
      </c>
      <c r="FQ38" s="388">
        <v>5.9</v>
      </c>
      <c r="FR38" s="388">
        <v>18.8</v>
      </c>
      <c r="FS38" s="388">
        <v>16.100000000000001</v>
      </c>
      <c r="FT38" s="388">
        <v>3.7</v>
      </c>
      <c r="FU38" s="388">
        <v>9.4</v>
      </c>
      <c r="FV38" s="388">
        <v>11.2</v>
      </c>
      <c r="FW38" s="272">
        <v>15284981</v>
      </c>
      <c r="FX38" s="384">
        <f t="shared" si="16"/>
        <v>220.3</v>
      </c>
      <c r="FY38" s="272">
        <v>5301981</v>
      </c>
      <c r="FZ38" s="272">
        <v>1742644</v>
      </c>
      <c r="GA38" s="272">
        <v>140245</v>
      </c>
      <c r="GB38" s="272">
        <v>3419092</v>
      </c>
      <c r="GC38" s="272"/>
      <c r="GD38" s="272"/>
      <c r="GE38" s="384"/>
      <c r="GF38" s="388">
        <v>99.2</v>
      </c>
      <c r="GG38" s="388">
        <v>8.1</v>
      </c>
      <c r="GH38" s="388">
        <v>92.5</v>
      </c>
      <c r="GI38" s="272">
        <v>286</v>
      </c>
    </row>
    <row r="39" spans="2:191" x14ac:dyDescent="0.15">
      <c r="B39" s="89" t="s">
        <v>71</v>
      </c>
      <c r="C39" s="272">
        <v>2971363</v>
      </c>
      <c r="D39" s="455">
        <f t="shared" si="0"/>
        <v>1850301</v>
      </c>
      <c r="E39" s="272">
        <v>18947</v>
      </c>
      <c r="F39" s="272">
        <v>1831354</v>
      </c>
      <c r="G39" s="455">
        <f t="shared" si="1"/>
        <v>30827</v>
      </c>
      <c r="H39" s="272">
        <v>20500</v>
      </c>
      <c r="I39" s="272">
        <v>10327</v>
      </c>
      <c r="J39" s="272">
        <v>1007506</v>
      </c>
      <c r="K39" s="272">
        <v>374211</v>
      </c>
      <c r="L39" s="272">
        <v>532377</v>
      </c>
      <c r="M39" s="272">
        <v>100900</v>
      </c>
      <c r="N39" s="272">
        <v>62668</v>
      </c>
      <c r="O39" s="272">
        <v>0</v>
      </c>
      <c r="P39" s="272">
        <v>0</v>
      </c>
      <c r="Q39" s="272">
        <v>0</v>
      </c>
      <c r="R39" s="272">
        <v>83750</v>
      </c>
      <c r="S39" s="272"/>
      <c r="T39" s="455">
        <f t="shared" si="2"/>
        <v>487915</v>
      </c>
      <c r="U39" s="272">
        <v>221737</v>
      </c>
      <c r="V39" s="272"/>
      <c r="W39" s="272"/>
      <c r="X39" s="272">
        <v>168882</v>
      </c>
      <c r="Y39" s="272">
        <v>13987</v>
      </c>
      <c r="Z39" s="272">
        <v>0</v>
      </c>
      <c r="AA39" s="272">
        <v>83309</v>
      </c>
      <c r="AB39" s="272">
        <v>167903</v>
      </c>
      <c r="AC39" s="272">
        <v>2145737</v>
      </c>
      <c r="AD39" s="272">
        <v>1785253</v>
      </c>
      <c r="AE39" s="272">
        <v>360484</v>
      </c>
      <c r="AF39" s="272">
        <v>4965</v>
      </c>
      <c r="AG39" s="272">
        <v>10601</v>
      </c>
      <c r="AH39" s="455">
        <f t="shared" si="3"/>
        <v>171754</v>
      </c>
      <c r="AI39" s="272">
        <v>152098</v>
      </c>
      <c r="AJ39" s="272">
        <v>19656</v>
      </c>
      <c r="AK39" s="272">
        <v>128892</v>
      </c>
      <c r="AL39" s="455">
        <f t="shared" si="4"/>
        <v>21320</v>
      </c>
      <c r="AM39" s="272">
        <v>0</v>
      </c>
      <c r="AN39" s="272">
        <v>19979</v>
      </c>
      <c r="AO39" s="272">
        <v>0</v>
      </c>
      <c r="AP39" s="272">
        <v>1341</v>
      </c>
      <c r="AQ39" s="272">
        <v>2375</v>
      </c>
      <c r="AR39" s="272">
        <v>0</v>
      </c>
      <c r="AS39" s="272">
        <v>0</v>
      </c>
      <c r="AT39" s="272">
        <v>320805</v>
      </c>
      <c r="AU39" s="272">
        <v>136007</v>
      </c>
      <c r="AV39" s="272">
        <v>9990</v>
      </c>
      <c r="AW39" s="272">
        <v>10107</v>
      </c>
      <c r="AX39" s="272">
        <v>184798</v>
      </c>
      <c r="AY39" s="272">
        <v>10502</v>
      </c>
      <c r="AZ39" s="272">
        <v>10304</v>
      </c>
      <c r="BA39" s="272">
        <v>0</v>
      </c>
      <c r="BB39" s="272">
        <v>1301</v>
      </c>
      <c r="BC39" s="272">
        <v>268550</v>
      </c>
      <c r="BD39" s="272">
        <v>200000</v>
      </c>
      <c r="BE39" s="272">
        <v>3936</v>
      </c>
      <c r="BF39" s="272">
        <v>30000</v>
      </c>
      <c r="BG39" s="272">
        <v>0</v>
      </c>
      <c r="BH39" s="272">
        <v>227677</v>
      </c>
      <c r="BI39" s="272">
        <v>184999</v>
      </c>
      <c r="BJ39" s="272">
        <v>120866</v>
      </c>
      <c r="BK39" s="272">
        <v>1117</v>
      </c>
      <c r="BL39" s="272">
        <v>0</v>
      </c>
      <c r="BM39" s="272">
        <v>0</v>
      </c>
      <c r="BN39" s="272">
        <v>305600</v>
      </c>
      <c r="BO39" s="455">
        <f t="shared" si="5"/>
        <v>106600</v>
      </c>
      <c r="BP39" s="455">
        <f t="shared" si="6"/>
        <v>199000</v>
      </c>
      <c r="BQ39" s="272">
        <v>58900</v>
      </c>
      <c r="BR39" s="272">
        <v>0</v>
      </c>
      <c r="BS39" s="272">
        <v>140100</v>
      </c>
      <c r="BT39" s="272">
        <v>0</v>
      </c>
      <c r="BU39" s="272">
        <v>7427983</v>
      </c>
      <c r="BV39" s="272"/>
      <c r="BW39" s="272">
        <v>2557570</v>
      </c>
      <c r="BX39" s="272">
        <v>1781547</v>
      </c>
      <c r="BY39" s="272">
        <v>47712</v>
      </c>
      <c r="BZ39" s="272">
        <v>255092</v>
      </c>
      <c r="CA39" s="272">
        <v>185546</v>
      </c>
      <c r="CB39" s="272">
        <v>70093</v>
      </c>
      <c r="CC39" s="272">
        <v>69654</v>
      </c>
      <c r="CD39" s="272">
        <v>42234</v>
      </c>
      <c r="CE39" s="272">
        <v>0</v>
      </c>
      <c r="CF39" s="272">
        <v>237</v>
      </c>
      <c r="CG39" s="272">
        <v>3328</v>
      </c>
      <c r="CH39" s="272">
        <v>813691</v>
      </c>
      <c r="CI39" s="272">
        <v>627717</v>
      </c>
      <c r="CJ39" s="455">
        <f t="shared" si="7"/>
        <v>185974</v>
      </c>
      <c r="CK39" s="272">
        <v>1201365</v>
      </c>
      <c r="CL39" s="272">
        <v>607856</v>
      </c>
      <c r="CM39" s="272">
        <v>64509</v>
      </c>
      <c r="CN39" s="272">
        <v>353157</v>
      </c>
      <c r="CO39" s="272">
        <v>203782</v>
      </c>
      <c r="CP39" s="272">
        <v>888719</v>
      </c>
      <c r="CQ39" s="272">
        <v>586515</v>
      </c>
      <c r="CR39" s="272">
        <v>120791</v>
      </c>
      <c r="CS39" s="272">
        <v>117679</v>
      </c>
      <c r="CT39" s="455">
        <f t="shared" si="8"/>
        <v>65602</v>
      </c>
      <c r="CU39" s="272">
        <v>24837</v>
      </c>
      <c r="CV39" s="272">
        <v>40765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564322</v>
      </c>
      <c r="DD39" s="272">
        <v>20497</v>
      </c>
      <c r="DE39" s="272">
        <v>540325</v>
      </c>
      <c r="DF39" s="272">
        <v>3500</v>
      </c>
      <c r="DG39" s="272">
        <v>0</v>
      </c>
      <c r="DH39" s="272">
        <v>0</v>
      </c>
      <c r="DI39" s="272">
        <v>104000</v>
      </c>
      <c r="DJ39" s="272">
        <v>98800</v>
      </c>
      <c r="DK39" s="272">
        <v>1000</v>
      </c>
      <c r="DL39" s="272">
        <v>4200</v>
      </c>
      <c r="DM39" s="272">
        <v>0</v>
      </c>
      <c r="DN39" s="272">
        <v>0</v>
      </c>
      <c r="DO39" s="272">
        <v>0</v>
      </c>
      <c r="DP39" s="272">
        <v>0</v>
      </c>
      <c r="DQ39" s="272">
        <v>7335</v>
      </c>
      <c r="DR39" s="272">
        <v>0</v>
      </c>
      <c r="DS39" s="272">
        <v>0</v>
      </c>
      <c r="DT39" s="272">
        <v>780073</v>
      </c>
      <c r="DU39" s="272">
        <v>363580</v>
      </c>
      <c r="DV39" s="455">
        <f t="shared" si="11"/>
        <v>0</v>
      </c>
      <c r="DW39" s="272">
        <v>0</v>
      </c>
      <c r="DX39" s="272">
        <v>0</v>
      </c>
      <c r="DY39" s="272">
        <v>0</v>
      </c>
      <c r="DZ39" s="272">
        <v>100514</v>
      </c>
      <c r="EA39" s="272">
        <v>90572</v>
      </c>
      <c r="EB39" s="272">
        <v>142210</v>
      </c>
      <c r="EC39" s="272">
        <v>0</v>
      </c>
      <c r="ED39" s="272">
        <v>7306403</v>
      </c>
      <c r="EE39" s="89"/>
      <c r="EF39" s="272">
        <v>121580</v>
      </c>
      <c r="EG39" s="272">
        <v>3522</v>
      </c>
      <c r="EH39" s="272">
        <v>118058</v>
      </c>
      <c r="EI39" s="272">
        <v>-66941</v>
      </c>
      <c r="EJ39" s="272">
        <v>-158741</v>
      </c>
      <c r="EL39" s="272"/>
      <c r="EM39" s="272">
        <v>26309</v>
      </c>
      <c r="EN39" s="272">
        <v>238550</v>
      </c>
      <c r="EO39" s="272">
        <v>2218</v>
      </c>
      <c r="EP39" s="455">
        <f t="shared" si="12"/>
        <v>219792</v>
      </c>
      <c r="EQ39" s="272">
        <v>5861633</v>
      </c>
      <c r="ER39" s="272">
        <v>-654595</v>
      </c>
      <c r="ES39" s="272">
        <v>2329483</v>
      </c>
      <c r="ET39" s="272">
        <v>1622362</v>
      </c>
      <c r="EU39" s="272">
        <v>81398</v>
      </c>
      <c r="EV39" s="272">
        <v>797206</v>
      </c>
      <c r="EW39" s="455">
        <f t="shared" si="13"/>
        <v>389657</v>
      </c>
      <c r="EX39" s="272">
        <v>389657</v>
      </c>
      <c r="EY39" s="272">
        <v>5600</v>
      </c>
      <c r="EZ39" s="272">
        <v>384057</v>
      </c>
      <c r="FA39" s="272">
        <v>0</v>
      </c>
      <c r="FB39" s="272"/>
      <c r="FC39" s="272">
        <v>916842</v>
      </c>
      <c r="FD39" s="272">
        <v>823188</v>
      </c>
      <c r="FE39" s="272">
        <v>548615</v>
      </c>
      <c r="FF39" s="272">
        <v>751865</v>
      </c>
      <c r="FG39" s="455">
        <f t="shared" si="14"/>
        <v>305009</v>
      </c>
      <c r="FH39" s="272">
        <v>6394648</v>
      </c>
      <c r="FI39" s="384">
        <f t="shared" si="15"/>
        <v>2.1</v>
      </c>
      <c r="FJ39" s="272">
        <v>5603872</v>
      </c>
      <c r="FK39" s="272">
        <v>140116</v>
      </c>
      <c r="FL39" s="272">
        <v>2886417</v>
      </c>
      <c r="FM39" s="272">
        <v>4675133</v>
      </c>
      <c r="FN39" s="460">
        <v>0.60899999999999999</v>
      </c>
      <c r="FO39" s="388">
        <v>89.6</v>
      </c>
      <c r="FP39" s="388">
        <v>40.6</v>
      </c>
      <c r="FQ39" s="388">
        <v>1.4</v>
      </c>
      <c r="FR39" s="388">
        <v>13.8</v>
      </c>
      <c r="FS39" s="388">
        <v>14.9</v>
      </c>
      <c r="FT39" s="388">
        <v>8.5</v>
      </c>
      <c r="FU39" s="388">
        <v>6.6</v>
      </c>
      <c r="FV39" s="388">
        <v>6</v>
      </c>
      <c r="FW39" s="272">
        <v>5686466</v>
      </c>
      <c r="FX39" s="384">
        <f t="shared" si="16"/>
        <v>101.5</v>
      </c>
      <c r="FY39" s="272">
        <v>3770252</v>
      </c>
      <c r="FZ39" s="272">
        <v>1548557</v>
      </c>
      <c r="GA39" s="272">
        <v>448393</v>
      </c>
      <c r="GB39" s="272">
        <v>1773302</v>
      </c>
      <c r="GC39" s="272"/>
      <c r="GD39" s="272"/>
      <c r="GE39" s="384"/>
      <c r="GF39" s="388">
        <v>99.1</v>
      </c>
      <c r="GG39" s="388">
        <v>13.5</v>
      </c>
      <c r="GH39" s="388">
        <v>94.4</v>
      </c>
      <c r="GI39" s="272">
        <v>266</v>
      </c>
    </row>
    <row r="40" spans="2:191" x14ac:dyDescent="0.15">
      <c r="B40" s="89" t="s">
        <v>73</v>
      </c>
      <c r="C40" s="272">
        <v>1278581</v>
      </c>
      <c r="D40" s="455">
        <f t="shared" si="0"/>
        <v>499805</v>
      </c>
      <c r="E40" s="272">
        <v>9146</v>
      </c>
      <c r="F40" s="272">
        <v>490659</v>
      </c>
      <c r="G40" s="455">
        <f t="shared" si="1"/>
        <v>46857</v>
      </c>
      <c r="H40" s="272">
        <v>18552</v>
      </c>
      <c r="I40" s="272">
        <v>28305</v>
      </c>
      <c r="J40" s="272">
        <v>644987</v>
      </c>
      <c r="K40" s="272">
        <v>192140</v>
      </c>
      <c r="L40" s="272">
        <v>351085</v>
      </c>
      <c r="M40" s="272">
        <v>101695</v>
      </c>
      <c r="N40" s="272">
        <v>58073</v>
      </c>
      <c r="O40" s="272">
        <v>0</v>
      </c>
      <c r="P40" s="272">
        <v>0</v>
      </c>
      <c r="Q40" s="272">
        <v>0</v>
      </c>
      <c r="R40" s="272">
        <v>69906</v>
      </c>
      <c r="S40" s="272"/>
      <c r="T40" s="455">
        <f t="shared" si="2"/>
        <v>279903</v>
      </c>
      <c r="U40" s="272">
        <v>68315</v>
      </c>
      <c r="V40" s="272"/>
      <c r="W40" s="272"/>
      <c r="X40" s="272">
        <v>114931</v>
      </c>
      <c r="Y40" s="272">
        <v>26897</v>
      </c>
      <c r="Z40" s="272">
        <v>0</v>
      </c>
      <c r="AA40" s="272">
        <v>69760</v>
      </c>
      <c r="AB40" s="272">
        <v>51254</v>
      </c>
      <c r="AC40" s="272">
        <v>2061417</v>
      </c>
      <c r="AD40" s="272">
        <v>1731219</v>
      </c>
      <c r="AE40" s="272">
        <v>330198</v>
      </c>
      <c r="AF40" s="272">
        <v>2584</v>
      </c>
      <c r="AG40" s="272">
        <v>6982</v>
      </c>
      <c r="AH40" s="455">
        <f t="shared" si="3"/>
        <v>155004</v>
      </c>
      <c r="AI40" s="272">
        <v>101623</v>
      </c>
      <c r="AJ40" s="272">
        <v>53381</v>
      </c>
      <c r="AK40" s="272">
        <v>240061</v>
      </c>
      <c r="AL40" s="455">
        <f t="shared" si="4"/>
        <v>35050</v>
      </c>
      <c r="AM40" s="272">
        <v>0</v>
      </c>
      <c r="AN40" s="272">
        <v>30678</v>
      </c>
      <c r="AO40" s="272">
        <v>0</v>
      </c>
      <c r="AP40" s="272">
        <v>4372</v>
      </c>
      <c r="AQ40" s="272">
        <v>110121</v>
      </c>
      <c r="AR40" s="272">
        <v>0</v>
      </c>
      <c r="AS40" s="272">
        <v>0</v>
      </c>
      <c r="AT40" s="272">
        <v>317503</v>
      </c>
      <c r="AU40" s="272">
        <v>140058</v>
      </c>
      <c r="AV40" s="272">
        <v>15339</v>
      </c>
      <c r="AW40" s="272">
        <v>39757</v>
      </c>
      <c r="AX40" s="272">
        <v>177445</v>
      </c>
      <c r="AY40" s="272">
        <v>62970</v>
      </c>
      <c r="AZ40" s="272">
        <v>5379</v>
      </c>
      <c r="BA40" s="272">
        <v>160</v>
      </c>
      <c r="BB40" s="272">
        <v>3556</v>
      </c>
      <c r="BC40" s="272">
        <v>426015</v>
      </c>
      <c r="BD40" s="272">
        <v>200000</v>
      </c>
      <c r="BE40" s="272">
        <v>0</v>
      </c>
      <c r="BF40" s="272">
        <v>212834</v>
      </c>
      <c r="BG40" s="272">
        <v>0</v>
      </c>
      <c r="BH40" s="272">
        <v>236017</v>
      </c>
      <c r="BI40" s="272">
        <v>187760</v>
      </c>
      <c r="BJ40" s="272">
        <v>69524</v>
      </c>
      <c r="BK40" s="272">
        <v>0</v>
      </c>
      <c r="BL40" s="272">
        <v>0</v>
      </c>
      <c r="BM40" s="272">
        <v>0</v>
      </c>
      <c r="BN40" s="272">
        <v>403600</v>
      </c>
      <c r="BO40" s="455">
        <f t="shared" si="5"/>
        <v>284500</v>
      </c>
      <c r="BP40" s="455">
        <f t="shared" si="6"/>
        <v>119100</v>
      </c>
      <c r="BQ40" s="272">
        <v>19100</v>
      </c>
      <c r="BR40" s="272">
        <v>0</v>
      </c>
      <c r="BS40" s="272">
        <v>100000</v>
      </c>
      <c r="BT40" s="272">
        <v>0</v>
      </c>
      <c r="BU40" s="272">
        <v>5607286</v>
      </c>
      <c r="BV40" s="272"/>
      <c r="BW40" s="272">
        <v>1503862</v>
      </c>
      <c r="BX40" s="272">
        <v>964274</v>
      </c>
      <c r="BY40" s="272">
        <v>104752</v>
      </c>
      <c r="BZ40" s="272">
        <v>104465</v>
      </c>
      <c r="CA40" s="272">
        <v>164809</v>
      </c>
      <c r="CB40" s="272">
        <v>41779</v>
      </c>
      <c r="CC40" s="272">
        <v>35758</v>
      </c>
      <c r="CD40" s="272">
        <v>68061</v>
      </c>
      <c r="CE40" s="272">
        <v>0</v>
      </c>
      <c r="CF40" s="272">
        <v>5839</v>
      </c>
      <c r="CG40" s="272">
        <v>13372</v>
      </c>
      <c r="CH40" s="272">
        <v>430752</v>
      </c>
      <c r="CI40" s="272">
        <v>337040</v>
      </c>
      <c r="CJ40" s="455">
        <f t="shared" si="7"/>
        <v>93712</v>
      </c>
      <c r="CK40" s="272">
        <v>1003629</v>
      </c>
      <c r="CL40" s="272">
        <v>576597</v>
      </c>
      <c r="CM40" s="272">
        <v>30238</v>
      </c>
      <c r="CN40" s="272">
        <v>219967</v>
      </c>
      <c r="CO40" s="272">
        <v>32712</v>
      </c>
      <c r="CP40" s="272">
        <v>556082</v>
      </c>
      <c r="CQ40" s="272">
        <v>267647</v>
      </c>
      <c r="CR40" s="272">
        <v>146546</v>
      </c>
      <c r="CS40" s="272">
        <v>138678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867441</v>
      </c>
      <c r="DD40" s="272">
        <v>240753</v>
      </c>
      <c r="DE40" s="272">
        <v>623930</v>
      </c>
      <c r="DF40" s="272">
        <v>2758</v>
      </c>
      <c r="DG40" s="272">
        <v>0</v>
      </c>
      <c r="DH40" s="272">
        <v>0</v>
      </c>
      <c r="DI40" s="272">
        <v>224527</v>
      </c>
      <c r="DJ40" s="272">
        <v>102818</v>
      </c>
      <c r="DK40" s="272">
        <v>0</v>
      </c>
      <c r="DL40" s="272">
        <v>121709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542840</v>
      </c>
      <c r="DU40" s="272">
        <v>215845</v>
      </c>
      <c r="DV40" s="455">
        <f t="shared" si="11"/>
        <v>0</v>
      </c>
      <c r="DW40" s="272">
        <v>0</v>
      </c>
      <c r="DX40" s="272">
        <v>0</v>
      </c>
      <c r="DY40" s="272">
        <v>0</v>
      </c>
      <c r="DZ40" s="272">
        <v>80049</v>
      </c>
      <c r="EA40" s="272">
        <v>91298</v>
      </c>
      <c r="EB40" s="272">
        <v>86311</v>
      </c>
      <c r="EC40" s="272">
        <v>0</v>
      </c>
      <c r="ED40" s="272">
        <v>5326654</v>
      </c>
      <c r="EE40" s="89"/>
      <c r="EF40" s="272">
        <v>280632</v>
      </c>
      <c r="EG40" s="272">
        <v>119981</v>
      </c>
      <c r="EH40" s="272">
        <v>160651</v>
      </c>
      <c r="EI40" s="272">
        <v>-27109</v>
      </c>
      <c r="EJ40" s="272">
        <v>-114523</v>
      </c>
      <c r="EL40" s="272"/>
      <c r="EM40" s="272">
        <v>14445</v>
      </c>
      <c r="EN40" s="272">
        <v>323712</v>
      </c>
      <c r="EO40" s="272">
        <v>870</v>
      </c>
      <c r="EP40" s="455">
        <f t="shared" si="12"/>
        <v>250158</v>
      </c>
      <c r="EQ40" s="272">
        <v>3743645</v>
      </c>
      <c r="ER40" s="272">
        <v>-691256</v>
      </c>
      <c r="ES40" s="272">
        <v>1362472</v>
      </c>
      <c r="ET40" s="272">
        <v>830085</v>
      </c>
      <c r="EU40" s="272">
        <v>66311</v>
      </c>
      <c r="EV40" s="272">
        <v>425301</v>
      </c>
      <c r="EW40" s="455">
        <f t="shared" si="13"/>
        <v>327939</v>
      </c>
      <c r="EX40" s="272">
        <v>327939</v>
      </c>
      <c r="EY40" s="272">
        <v>12119</v>
      </c>
      <c r="EZ40" s="272">
        <v>314055</v>
      </c>
      <c r="FA40" s="272">
        <v>0</v>
      </c>
      <c r="FB40" s="272"/>
      <c r="FC40" s="272">
        <v>817800</v>
      </c>
      <c r="FD40" s="272">
        <v>473038</v>
      </c>
      <c r="FE40" s="272">
        <v>254947</v>
      </c>
      <c r="FF40" s="272">
        <v>478717</v>
      </c>
      <c r="FG40" s="455">
        <f t="shared" si="14"/>
        <v>202691</v>
      </c>
      <c r="FH40" s="272">
        <v>4154269</v>
      </c>
      <c r="FI40" s="384">
        <f t="shared" si="15"/>
        <v>4.5999999999999996</v>
      </c>
      <c r="FJ40" s="272">
        <v>3466068</v>
      </c>
      <c r="FK40" s="272">
        <v>100221</v>
      </c>
      <c r="FL40" s="272">
        <v>1319395</v>
      </c>
      <c r="FM40" s="272">
        <v>3046748</v>
      </c>
      <c r="FN40" s="460">
        <v>0.42</v>
      </c>
      <c r="FO40" s="388">
        <v>89.7</v>
      </c>
      <c r="FP40" s="388">
        <v>38.299999999999997</v>
      </c>
      <c r="FQ40" s="388">
        <v>1.9</v>
      </c>
      <c r="FR40" s="388">
        <v>11.7</v>
      </c>
      <c r="FS40" s="388">
        <v>20.2</v>
      </c>
      <c r="FT40" s="388">
        <v>9.1</v>
      </c>
      <c r="FU40" s="388">
        <v>7.7</v>
      </c>
      <c r="FV40" s="388">
        <v>4.9000000000000004</v>
      </c>
      <c r="FW40" s="272">
        <v>3593739</v>
      </c>
      <c r="FX40" s="384">
        <f t="shared" si="16"/>
        <v>103.7</v>
      </c>
      <c r="FY40" s="272">
        <v>1898368</v>
      </c>
      <c r="FZ40" s="272">
        <v>1052337</v>
      </c>
      <c r="GA40" s="272"/>
      <c r="GB40" s="272">
        <v>846031</v>
      </c>
      <c r="GC40" s="272"/>
      <c r="GD40" s="272"/>
      <c r="GE40" s="384"/>
      <c r="GF40" s="388">
        <v>95.2</v>
      </c>
      <c r="GG40" s="388">
        <v>18.8</v>
      </c>
      <c r="GH40" s="388">
        <v>85.4</v>
      </c>
      <c r="GI40" s="272">
        <v>157</v>
      </c>
    </row>
    <row r="41" spans="2:191" x14ac:dyDescent="0.15">
      <c r="B41" s="89" t="s">
        <v>75</v>
      </c>
      <c r="C41" s="272">
        <v>2603794</v>
      </c>
      <c r="D41" s="455">
        <f t="shared" si="0"/>
        <v>599748</v>
      </c>
      <c r="E41" s="272">
        <v>12003</v>
      </c>
      <c r="F41" s="272">
        <v>587745</v>
      </c>
      <c r="G41" s="455">
        <f t="shared" si="1"/>
        <v>179675</v>
      </c>
      <c r="H41" s="272">
        <v>45898</v>
      </c>
      <c r="I41" s="272">
        <v>133777</v>
      </c>
      <c r="J41" s="272">
        <v>1383453</v>
      </c>
      <c r="K41" s="272">
        <v>800817</v>
      </c>
      <c r="L41" s="272">
        <v>405982</v>
      </c>
      <c r="M41" s="272">
        <v>164096</v>
      </c>
      <c r="N41" s="272">
        <v>112349</v>
      </c>
      <c r="O41" s="272">
        <v>309843</v>
      </c>
      <c r="P41" s="272">
        <v>217116</v>
      </c>
      <c r="Q41" s="272">
        <v>92727</v>
      </c>
      <c r="R41" s="272">
        <v>40797</v>
      </c>
      <c r="S41" s="272"/>
      <c r="T41" s="455">
        <f t="shared" si="2"/>
        <v>305828</v>
      </c>
      <c r="U41" s="272">
        <v>83210</v>
      </c>
      <c r="V41" s="272"/>
      <c r="W41" s="272"/>
      <c r="X41" s="272">
        <v>182055</v>
      </c>
      <c r="Y41" s="272">
        <v>0</v>
      </c>
      <c r="Z41" s="272">
        <v>0</v>
      </c>
      <c r="AA41" s="272">
        <v>40563</v>
      </c>
      <c r="AB41" s="272">
        <v>64376</v>
      </c>
      <c r="AC41" s="272">
        <v>2024554</v>
      </c>
      <c r="AD41" s="272">
        <v>1659116</v>
      </c>
      <c r="AE41" s="272">
        <v>365438</v>
      </c>
      <c r="AF41" s="272">
        <v>3666</v>
      </c>
      <c r="AG41" s="272">
        <v>5001</v>
      </c>
      <c r="AH41" s="455">
        <f t="shared" si="3"/>
        <v>179099</v>
      </c>
      <c r="AI41" s="272">
        <v>161692</v>
      </c>
      <c r="AJ41" s="272">
        <v>17407</v>
      </c>
      <c r="AK41" s="272">
        <v>173707</v>
      </c>
      <c r="AL41" s="455">
        <f t="shared" si="4"/>
        <v>62384</v>
      </c>
      <c r="AM41" s="272">
        <v>0</v>
      </c>
      <c r="AN41" s="272">
        <v>60006</v>
      </c>
      <c r="AO41" s="272">
        <v>0</v>
      </c>
      <c r="AP41" s="272">
        <v>2378</v>
      </c>
      <c r="AQ41" s="272">
        <v>456</v>
      </c>
      <c r="AR41" s="272">
        <v>0</v>
      </c>
      <c r="AS41" s="272">
        <v>0</v>
      </c>
      <c r="AT41" s="272">
        <v>249218</v>
      </c>
      <c r="AU41" s="272">
        <v>104218</v>
      </c>
      <c r="AV41" s="272">
        <v>26930</v>
      </c>
      <c r="AW41" s="272">
        <v>228</v>
      </c>
      <c r="AX41" s="272">
        <v>145000</v>
      </c>
      <c r="AY41" s="272">
        <v>38250</v>
      </c>
      <c r="AZ41" s="272">
        <v>18956</v>
      </c>
      <c r="BA41" s="272">
        <v>9475</v>
      </c>
      <c r="BB41" s="272">
        <v>15351</v>
      </c>
      <c r="BC41" s="272">
        <v>33710</v>
      </c>
      <c r="BD41" s="272">
        <v>0</v>
      </c>
      <c r="BE41" s="272">
        <v>0</v>
      </c>
      <c r="BF41" s="272">
        <v>32657</v>
      </c>
      <c r="BG41" s="272">
        <v>0</v>
      </c>
      <c r="BH41" s="272">
        <v>111635</v>
      </c>
      <c r="BI41" s="272">
        <v>109010</v>
      </c>
      <c r="BJ41" s="272">
        <v>304474</v>
      </c>
      <c r="BK41" s="272">
        <v>207832</v>
      </c>
      <c r="BL41" s="272">
        <v>0</v>
      </c>
      <c r="BM41" s="272">
        <v>0</v>
      </c>
      <c r="BN41" s="272">
        <v>501700</v>
      </c>
      <c r="BO41" s="455">
        <f t="shared" si="5"/>
        <v>363900</v>
      </c>
      <c r="BP41" s="455">
        <f t="shared" si="6"/>
        <v>137800</v>
      </c>
      <c r="BQ41" s="272">
        <v>25100</v>
      </c>
      <c r="BR41" s="272">
        <v>0</v>
      </c>
      <c r="BS41" s="272">
        <v>112700</v>
      </c>
      <c r="BT41" s="272">
        <v>0</v>
      </c>
      <c r="BU41" s="272">
        <v>6635866</v>
      </c>
      <c r="BV41" s="272"/>
      <c r="BW41" s="272">
        <v>1796283</v>
      </c>
      <c r="BX41" s="272">
        <v>1233926</v>
      </c>
      <c r="BY41" s="272">
        <v>188244</v>
      </c>
      <c r="BZ41" s="272">
        <v>14032</v>
      </c>
      <c r="CA41" s="272">
        <v>259000</v>
      </c>
      <c r="CB41" s="272">
        <v>111043</v>
      </c>
      <c r="CC41" s="272">
        <v>74216</v>
      </c>
      <c r="CD41" s="272">
        <v>65505</v>
      </c>
      <c r="CE41" s="272">
        <v>0</v>
      </c>
      <c r="CF41" s="272">
        <v>0</v>
      </c>
      <c r="CG41" s="272">
        <v>8236</v>
      </c>
      <c r="CH41" s="272">
        <v>893588</v>
      </c>
      <c r="CI41" s="272">
        <v>680067</v>
      </c>
      <c r="CJ41" s="455">
        <f t="shared" si="7"/>
        <v>213521</v>
      </c>
      <c r="CK41" s="272">
        <v>1254528</v>
      </c>
      <c r="CL41" s="272">
        <v>695579</v>
      </c>
      <c r="CM41" s="272">
        <v>114686</v>
      </c>
      <c r="CN41" s="272">
        <v>270160</v>
      </c>
      <c r="CO41" s="272">
        <v>80505</v>
      </c>
      <c r="CP41" s="272">
        <v>371947</v>
      </c>
      <c r="CQ41" s="272">
        <v>3620</v>
      </c>
      <c r="CR41" s="272">
        <v>48650</v>
      </c>
      <c r="CS41" s="272">
        <v>44650</v>
      </c>
      <c r="CT41" s="455">
        <f t="shared" si="8"/>
        <v>162795</v>
      </c>
      <c r="CU41" s="272">
        <v>121260</v>
      </c>
      <c r="CV41" s="272">
        <v>41535</v>
      </c>
      <c r="CW41" s="455">
        <f t="shared" si="9"/>
        <v>142388</v>
      </c>
      <c r="CX41" s="272">
        <v>120804</v>
      </c>
      <c r="CY41" s="272">
        <v>21584</v>
      </c>
      <c r="CZ41" s="455">
        <f t="shared" si="10"/>
        <v>0</v>
      </c>
      <c r="DA41" s="272">
        <v>0</v>
      </c>
      <c r="DB41" s="272">
        <v>0</v>
      </c>
      <c r="DC41" s="272">
        <v>703273</v>
      </c>
      <c r="DD41" s="272">
        <v>913</v>
      </c>
      <c r="DE41" s="272">
        <v>702360</v>
      </c>
      <c r="DF41" s="272">
        <v>0</v>
      </c>
      <c r="DG41" s="272">
        <v>0</v>
      </c>
      <c r="DH41" s="272">
        <v>0</v>
      </c>
      <c r="DI41" s="272">
        <v>67110</v>
      </c>
      <c r="DJ41" s="272">
        <v>60739</v>
      </c>
      <c r="DK41" s="272">
        <v>0</v>
      </c>
      <c r="DL41" s="272">
        <v>6371</v>
      </c>
      <c r="DM41" s="272">
        <v>0</v>
      </c>
      <c r="DN41" s="272">
        <v>0</v>
      </c>
      <c r="DO41" s="272">
        <v>0</v>
      </c>
      <c r="DP41" s="272">
        <v>0</v>
      </c>
      <c r="DQ41" s="272">
        <v>0</v>
      </c>
      <c r="DR41" s="272">
        <v>0</v>
      </c>
      <c r="DS41" s="272">
        <v>0</v>
      </c>
      <c r="DT41" s="272">
        <v>1193156</v>
      </c>
      <c r="DU41" s="272">
        <v>830761</v>
      </c>
      <c r="DV41" s="455">
        <f t="shared" si="11"/>
        <v>0</v>
      </c>
      <c r="DW41" s="272">
        <v>0</v>
      </c>
      <c r="DX41" s="272">
        <v>0</v>
      </c>
      <c r="DY41" s="272">
        <v>0</v>
      </c>
      <c r="DZ41" s="272">
        <v>164444</v>
      </c>
      <c r="EA41" s="272">
        <v>86577</v>
      </c>
      <c r="EB41" s="272">
        <v>111374</v>
      </c>
      <c r="EC41" s="272">
        <v>0</v>
      </c>
      <c r="ED41" s="272">
        <v>6619390</v>
      </c>
      <c r="EE41" s="89"/>
      <c r="EF41" s="272">
        <v>16476</v>
      </c>
      <c r="EG41" s="272">
        <v>2000</v>
      </c>
      <c r="EH41" s="272">
        <v>14476</v>
      </c>
      <c r="EI41" s="272">
        <v>-94534</v>
      </c>
      <c r="EJ41" s="272">
        <v>-33795</v>
      </c>
      <c r="EL41" s="272"/>
      <c r="EM41" s="272">
        <v>16998</v>
      </c>
      <c r="EN41" s="272">
        <v>1053</v>
      </c>
      <c r="EO41" s="272">
        <v>633</v>
      </c>
      <c r="EP41" s="455">
        <f t="shared" si="12"/>
        <v>148023</v>
      </c>
      <c r="EQ41" s="272">
        <v>5043015</v>
      </c>
      <c r="ER41" s="272">
        <v>-283843</v>
      </c>
      <c r="ES41" s="272">
        <v>1608276</v>
      </c>
      <c r="ET41" s="272">
        <v>1066122</v>
      </c>
      <c r="EU41" s="272">
        <v>116581</v>
      </c>
      <c r="EV41" s="272">
        <v>685883</v>
      </c>
      <c r="EW41" s="455">
        <f t="shared" si="13"/>
        <v>215669</v>
      </c>
      <c r="EX41" s="272">
        <v>215669</v>
      </c>
      <c r="EY41" s="272">
        <v>229</v>
      </c>
      <c r="EZ41" s="272">
        <v>215440</v>
      </c>
      <c r="FA41" s="272">
        <v>0</v>
      </c>
      <c r="FB41" s="272"/>
      <c r="FC41" s="272">
        <v>1057083</v>
      </c>
      <c r="FD41" s="272">
        <v>331786</v>
      </c>
      <c r="FE41" s="272">
        <v>3620</v>
      </c>
      <c r="FF41" s="272">
        <v>1160649</v>
      </c>
      <c r="FG41" s="455">
        <f t="shared" si="14"/>
        <v>134455</v>
      </c>
      <c r="FH41" s="272">
        <v>5310382</v>
      </c>
      <c r="FI41" s="384">
        <f t="shared" si="15"/>
        <v>0.3</v>
      </c>
      <c r="FJ41" s="272">
        <v>4375508</v>
      </c>
      <c r="FK41" s="272">
        <v>112783</v>
      </c>
      <c r="FL41" s="272">
        <v>2048535</v>
      </c>
      <c r="FM41" s="272">
        <v>3710399</v>
      </c>
      <c r="FN41" s="460">
        <v>0.55100000000000005</v>
      </c>
      <c r="FO41" s="388">
        <v>99.1</v>
      </c>
      <c r="FP41" s="388">
        <v>34.4</v>
      </c>
      <c r="FQ41" s="388">
        <v>2.6</v>
      </c>
      <c r="FR41" s="388">
        <v>15.1</v>
      </c>
      <c r="FS41" s="388">
        <v>22.3</v>
      </c>
      <c r="FT41" s="388">
        <v>6.4</v>
      </c>
      <c r="FU41" s="388">
        <v>16.5</v>
      </c>
      <c r="FV41" s="388">
        <v>9.1</v>
      </c>
      <c r="FW41" s="272">
        <v>8467681</v>
      </c>
      <c r="FX41" s="384">
        <f t="shared" si="16"/>
        <v>193.5</v>
      </c>
      <c r="FY41" s="272">
        <v>1816288</v>
      </c>
      <c r="FZ41" s="272">
        <v>1183770</v>
      </c>
      <c r="GA41" s="272"/>
      <c r="GB41" s="272">
        <v>632518</v>
      </c>
      <c r="GC41" s="272"/>
      <c r="GD41" s="272"/>
      <c r="GE41" s="384"/>
      <c r="GF41" s="388">
        <v>97</v>
      </c>
      <c r="GG41" s="388">
        <v>18.3</v>
      </c>
      <c r="GH41" s="388">
        <v>88.5</v>
      </c>
      <c r="GI41" s="272">
        <v>182</v>
      </c>
    </row>
    <row r="42" spans="2:191" x14ac:dyDescent="0.15">
      <c r="B42" s="89" t="s">
        <v>77</v>
      </c>
      <c r="C42" s="272">
        <v>4676430</v>
      </c>
      <c r="D42" s="455">
        <f t="shared" si="0"/>
        <v>2238657</v>
      </c>
      <c r="E42" s="272">
        <v>30691</v>
      </c>
      <c r="F42" s="272">
        <v>2207966</v>
      </c>
      <c r="G42" s="455">
        <f t="shared" si="1"/>
        <v>139399</v>
      </c>
      <c r="H42" s="272">
        <v>48777</v>
      </c>
      <c r="I42" s="272">
        <v>90622</v>
      </c>
      <c r="J42" s="272">
        <v>2069173</v>
      </c>
      <c r="K42" s="272">
        <v>1012873</v>
      </c>
      <c r="L42" s="272">
        <v>810659</v>
      </c>
      <c r="M42" s="272">
        <v>232364</v>
      </c>
      <c r="N42" s="272">
        <v>173887</v>
      </c>
      <c r="O42" s="272">
        <v>0</v>
      </c>
      <c r="P42" s="272">
        <v>0</v>
      </c>
      <c r="Q42" s="272">
        <v>0</v>
      </c>
      <c r="R42" s="272">
        <v>103085</v>
      </c>
      <c r="S42" s="272"/>
      <c r="T42" s="455">
        <f t="shared" si="2"/>
        <v>693081</v>
      </c>
      <c r="U42" s="272">
        <v>268704</v>
      </c>
      <c r="V42" s="272"/>
      <c r="W42" s="272"/>
      <c r="X42" s="272">
        <v>311343</v>
      </c>
      <c r="Y42" s="272">
        <v>10511</v>
      </c>
      <c r="Z42" s="272">
        <v>0</v>
      </c>
      <c r="AA42" s="272">
        <v>102523</v>
      </c>
      <c r="AB42" s="272">
        <v>212398</v>
      </c>
      <c r="AC42" s="272">
        <v>2555248</v>
      </c>
      <c r="AD42" s="272">
        <v>2288351</v>
      </c>
      <c r="AE42" s="272">
        <v>266897</v>
      </c>
      <c r="AF42" s="272">
        <v>7990</v>
      </c>
      <c r="AG42" s="272">
        <v>4934</v>
      </c>
      <c r="AH42" s="455">
        <f t="shared" si="3"/>
        <v>221413</v>
      </c>
      <c r="AI42" s="272">
        <v>190417</v>
      </c>
      <c r="AJ42" s="272">
        <v>30996</v>
      </c>
      <c r="AK42" s="272">
        <v>462259</v>
      </c>
      <c r="AL42" s="455">
        <f t="shared" si="4"/>
        <v>116262</v>
      </c>
      <c r="AM42" s="272">
        <v>0</v>
      </c>
      <c r="AN42" s="272">
        <v>116262</v>
      </c>
      <c r="AO42" s="272">
        <v>0</v>
      </c>
      <c r="AP42" s="272">
        <v>0</v>
      </c>
      <c r="AQ42" s="272">
        <v>117530</v>
      </c>
      <c r="AR42" s="272">
        <v>0</v>
      </c>
      <c r="AS42" s="272">
        <v>0</v>
      </c>
      <c r="AT42" s="272">
        <v>438374</v>
      </c>
      <c r="AU42" s="272">
        <v>254211</v>
      </c>
      <c r="AV42" s="272">
        <v>50936</v>
      </c>
      <c r="AW42" s="272">
        <v>6549</v>
      </c>
      <c r="AX42" s="272">
        <v>184163</v>
      </c>
      <c r="AY42" s="272">
        <v>18659</v>
      </c>
      <c r="AZ42" s="272">
        <v>133017</v>
      </c>
      <c r="BA42" s="272">
        <v>8056</v>
      </c>
      <c r="BB42" s="272">
        <v>19234</v>
      </c>
      <c r="BC42" s="272">
        <v>124501</v>
      </c>
      <c r="BD42" s="272">
        <v>0</v>
      </c>
      <c r="BE42" s="272">
        <v>0</v>
      </c>
      <c r="BF42" s="272">
        <v>120000</v>
      </c>
      <c r="BG42" s="272">
        <v>0</v>
      </c>
      <c r="BH42" s="272">
        <v>341052</v>
      </c>
      <c r="BI42" s="272">
        <v>301225</v>
      </c>
      <c r="BJ42" s="272">
        <v>125517</v>
      </c>
      <c r="BK42" s="272">
        <v>0</v>
      </c>
      <c r="BL42" s="272">
        <v>0</v>
      </c>
      <c r="BM42" s="272">
        <v>0</v>
      </c>
      <c r="BN42" s="272">
        <v>458700</v>
      </c>
      <c r="BO42" s="455">
        <f t="shared" si="5"/>
        <v>172200</v>
      </c>
      <c r="BP42" s="455">
        <f t="shared" si="6"/>
        <v>286500</v>
      </c>
      <c r="BQ42" s="272">
        <v>77300</v>
      </c>
      <c r="BR42" s="272">
        <v>0</v>
      </c>
      <c r="BS42" s="272">
        <v>209200</v>
      </c>
      <c r="BT42" s="272">
        <v>0</v>
      </c>
      <c r="BU42" s="272">
        <v>10577233</v>
      </c>
      <c r="BV42" s="272"/>
      <c r="BW42" s="272">
        <v>3224417</v>
      </c>
      <c r="BX42" s="272">
        <v>2428628</v>
      </c>
      <c r="BY42" s="272">
        <v>168004</v>
      </c>
      <c r="BZ42" s="272">
        <v>41050</v>
      </c>
      <c r="CA42" s="272">
        <v>627067</v>
      </c>
      <c r="CB42" s="272">
        <v>134813</v>
      </c>
      <c r="CC42" s="272">
        <v>125664</v>
      </c>
      <c r="CD42" s="272">
        <v>332910</v>
      </c>
      <c r="CE42" s="272">
        <v>0</v>
      </c>
      <c r="CF42" s="272">
        <v>0</v>
      </c>
      <c r="CG42" s="272">
        <v>33680</v>
      </c>
      <c r="CH42" s="272">
        <v>1388304</v>
      </c>
      <c r="CI42" s="272">
        <v>960819</v>
      </c>
      <c r="CJ42" s="455">
        <f t="shared" si="7"/>
        <v>427485</v>
      </c>
      <c r="CK42" s="272">
        <v>1869461</v>
      </c>
      <c r="CL42" s="272">
        <v>836085</v>
      </c>
      <c r="CM42" s="272">
        <v>133255</v>
      </c>
      <c r="CN42" s="272">
        <v>483145</v>
      </c>
      <c r="CO42" s="272">
        <v>291537</v>
      </c>
      <c r="CP42" s="272">
        <v>439128</v>
      </c>
      <c r="CQ42" s="272">
        <v>1594</v>
      </c>
      <c r="CR42" s="272">
        <v>247919</v>
      </c>
      <c r="CS42" s="272">
        <v>132468</v>
      </c>
      <c r="CT42" s="455">
        <f t="shared" si="8"/>
        <v>8062</v>
      </c>
      <c r="CU42" s="272">
        <v>5249</v>
      </c>
      <c r="CV42" s="272">
        <v>2813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836777</v>
      </c>
      <c r="DD42" s="272">
        <v>243763</v>
      </c>
      <c r="DE42" s="272">
        <v>573017</v>
      </c>
      <c r="DF42" s="272">
        <v>19997</v>
      </c>
      <c r="DG42" s="272">
        <v>0</v>
      </c>
      <c r="DH42" s="272">
        <v>9193</v>
      </c>
      <c r="DI42" s="272">
        <v>400317</v>
      </c>
      <c r="DJ42" s="272">
        <v>150000</v>
      </c>
      <c r="DK42" s="272">
        <v>200000</v>
      </c>
      <c r="DL42" s="272">
        <v>50317</v>
      </c>
      <c r="DM42" s="272">
        <v>15000</v>
      </c>
      <c r="DN42" s="272">
        <v>15000</v>
      </c>
      <c r="DO42" s="272">
        <v>15000</v>
      </c>
      <c r="DP42" s="272">
        <v>0</v>
      </c>
      <c r="DQ42" s="272">
        <v>0</v>
      </c>
      <c r="DR42" s="272">
        <v>0</v>
      </c>
      <c r="DS42" s="272">
        <v>0</v>
      </c>
      <c r="DT42" s="272">
        <v>1142947</v>
      </c>
      <c r="DU42" s="272">
        <v>535100</v>
      </c>
      <c r="DV42" s="455">
        <f t="shared" si="11"/>
        <v>0</v>
      </c>
      <c r="DW42" s="272">
        <v>0</v>
      </c>
      <c r="DX42" s="272">
        <v>0</v>
      </c>
      <c r="DY42" s="272">
        <v>0</v>
      </c>
      <c r="DZ42" s="272">
        <v>230249</v>
      </c>
      <c r="EA42" s="272">
        <v>164077</v>
      </c>
      <c r="EB42" s="272">
        <v>211854</v>
      </c>
      <c r="EC42" s="272">
        <v>0</v>
      </c>
      <c r="ED42" s="272">
        <v>10244148</v>
      </c>
      <c r="EE42" s="89"/>
      <c r="EF42" s="272">
        <v>333085</v>
      </c>
      <c r="EG42" s="272">
        <v>52595</v>
      </c>
      <c r="EH42" s="272">
        <v>280490</v>
      </c>
      <c r="EI42" s="272">
        <v>-20735</v>
      </c>
      <c r="EJ42" s="272">
        <v>129265</v>
      </c>
      <c r="EL42" s="272"/>
      <c r="EM42" s="272">
        <v>43064</v>
      </c>
      <c r="EN42" s="272">
        <v>4501</v>
      </c>
      <c r="EO42" s="272">
        <v>94677</v>
      </c>
      <c r="EP42" s="455">
        <f t="shared" si="12"/>
        <v>368998</v>
      </c>
      <c r="EQ42" s="272">
        <v>8248232</v>
      </c>
      <c r="ER42" s="272">
        <v>-746686</v>
      </c>
      <c r="ES42" s="272">
        <v>2898307</v>
      </c>
      <c r="ET42" s="272">
        <v>2106385</v>
      </c>
      <c r="EU42" s="272">
        <v>307218</v>
      </c>
      <c r="EV42" s="272">
        <v>1388304</v>
      </c>
      <c r="EW42" s="455">
        <f t="shared" si="13"/>
        <v>346428</v>
      </c>
      <c r="EX42" s="272">
        <v>337235</v>
      </c>
      <c r="EY42" s="272">
        <v>23175</v>
      </c>
      <c r="EZ42" s="272">
        <v>300563</v>
      </c>
      <c r="FA42" s="272">
        <v>9193</v>
      </c>
      <c r="FB42" s="272"/>
      <c r="FC42" s="272">
        <v>1588985</v>
      </c>
      <c r="FD42" s="272">
        <v>414628</v>
      </c>
      <c r="FE42" s="272">
        <v>1594</v>
      </c>
      <c r="FF42" s="272">
        <v>1068284</v>
      </c>
      <c r="FG42" s="455">
        <f t="shared" si="14"/>
        <v>649679</v>
      </c>
      <c r="FH42" s="272">
        <v>8661833</v>
      </c>
      <c r="FI42" s="384">
        <f t="shared" si="15"/>
        <v>3.5</v>
      </c>
      <c r="FJ42" s="272">
        <v>8088983</v>
      </c>
      <c r="FK42" s="272">
        <v>209217</v>
      </c>
      <c r="FL42" s="272">
        <v>4376339</v>
      </c>
      <c r="FM42" s="272">
        <v>6665708</v>
      </c>
      <c r="FN42" s="460">
        <v>0.64600000000000002</v>
      </c>
      <c r="FO42" s="388">
        <v>84.1</v>
      </c>
      <c r="FP42" s="388">
        <v>32.9</v>
      </c>
      <c r="FQ42" s="388">
        <v>3.6</v>
      </c>
      <c r="FR42" s="388">
        <v>16.5</v>
      </c>
      <c r="FS42" s="388">
        <v>15.7</v>
      </c>
      <c r="FT42" s="388">
        <v>4.3</v>
      </c>
      <c r="FU42" s="388">
        <v>7.7</v>
      </c>
      <c r="FV42" s="388">
        <v>5.9</v>
      </c>
      <c r="FW42" s="272">
        <v>11928098</v>
      </c>
      <c r="FX42" s="384">
        <f t="shared" si="16"/>
        <v>147.5</v>
      </c>
      <c r="FY42" s="272">
        <v>10606755</v>
      </c>
      <c r="FZ42" s="272">
        <v>1960158</v>
      </c>
      <c r="GA42" s="272">
        <v>1294877</v>
      </c>
      <c r="GB42" s="272">
        <v>7351720</v>
      </c>
      <c r="GC42" s="272"/>
      <c r="GD42" s="272">
        <v>2454086</v>
      </c>
      <c r="GE42" s="384">
        <f>ROUND(GD42/FJ42*100,1)</f>
        <v>30.3</v>
      </c>
      <c r="GF42" s="388">
        <v>97.6</v>
      </c>
      <c r="GG42" s="388">
        <v>18</v>
      </c>
      <c r="GH42" s="388">
        <v>90.3</v>
      </c>
      <c r="GI42" s="272">
        <v>373</v>
      </c>
    </row>
    <row r="43" spans="2:191" x14ac:dyDescent="0.15">
      <c r="B43" s="89" t="s">
        <v>79</v>
      </c>
      <c r="C43" s="272">
        <v>5110868</v>
      </c>
      <c r="D43" s="455">
        <f t="shared" si="0"/>
        <v>275966</v>
      </c>
      <c r="E43" s="272">
        <v>5139</v>
      </c>
      <c r="F43" s="272">
        <v>270827</v>
      </c>
      <c r="G43" s="455">
        <f t="shared" si="1"/>
        <v>115319</v>
      </c>
      <c r="H43" s="272">
        <v>38803</v>
      </c>
      <c r="I43" s="272">
        <v>76516</v>
      </c>
      <c r="J43" s="272">
        <v>3477612</v>
      </c>
      <c r="K43" s="272">
        <v>1791466</v>
      </c>
      <c r="L43" s="272">
        <v>868589</v>
      </c>
      <c r="M43" s="272">
        <v>777358</v>
      </c>
      <c r="N43" s="272">
        <v>1207468</v>
      </c>
      <c r="O43" s="272">
        <v>0</v>
      </c>
      <c r="P43" s="272">
        <v>0</v>
      </c>
      <c r="Q43" s="272">
        <v>0</v>
      </c>
      <c r="R43" s="272">
        <v>58138</v>
      </c>
      <c r="S43" s="272"/>
      <c r="T43" s="455">
        <f t="shared" si="2"/>
        <v>154572</v>
      </c>
      <c r="U43" s="272">
        <v>35118</v>
      </c>
      <c r="V43" s="272"/>
      <c r="W43" s="272"/>
      <c r="X43" s="272">
        <v>102457</v>
      </c>
      <c r="Y43" s="272">
        <v>0</v>
      </c>
      <c r="Z43" s="272">
        <v>0</v>
      </c>
      <c r="AA43" s="272">
        <v>16997</v>
      </c>
      <c r="AB43" s="272">
        <v>31347</v>
      </c>
      <c r="AC43" s="272">
        <v>21020</v>
      </c>
      <c r="AD43" s="272">
        <v>0</v>
      </c>
      <c r="AE43" s="272">
        <v>21020</v>
      </c>
      <c r="AF43" s="272">
        <v>1179</v>
      </c>
      <c r="AG43" s="272">
        <v>2779</v>
      </c>
      <c r="AH43" s="455">
        <f t="shared" si="3"/>
        <v>49867</v>
      </c>
      <c r="AI43" s="272">
        <v>45594</v>
      </c>
      <c r="AJ43" s="272">
        <v>4273</v>
      </c>
      <c r="AK43" s="272">
        <v>61197</v>
      </c>
      <c r="AL43" s="455">
        <f t="shared" si="4"/>
        <v>12507</v>
      </c>
      <c r="AM43" s="272">
        <v>0</v>
      </c>
      <c r="AN43" s="272">
        <v>10631</v>
      </c>
      <c r="AO43" s="272">
        <v>0</v>
      </c>
      <c r="AP43" s="272">
        <v>1876</v>
      </c>
      <c r="AQ43" s="272">
        <v>0</v>
      </c>
      <c r="AR43" s="272">
        <v>0</v>
      </c>
      <c r="AS43" s="272">
        <v>0</v>
      </c>
      <c r="AT43" s="272">
        <v>113872</v>
      </c>
      <c r="AU43" s="272">
        <v>65431</v>
      </c>
      <c r="AV43" s="272">
        <v>4872</v>
      </c>
      <c r="AW43" s="272">
        <v>3269</v>
      </c>
      <c r="AX43" s="272">
        <v>48441</v>
      </c>
      <c r="AY43" s="272">
        <v>0</v>
      </c>
      <c r="AZ43" s="272">
        <v>10835</v>
      </c>
      <c r="BA43" s="272">
        <v>1950</v>
      </c>
      <c r="BB43" s="272">
        <v>21050</v>
      </c>
      <c r="BC43" s="272">
        <v>2767</v>
      </c>
      <c r="BD43" s="272">
        <v>0</v>
      </c>
      <c r="BE43" s="272">
        <v>0</v>
      </c>
      <c r="BF43" s="272">
        <v>2767</v>
      </c>
      <c r="BG43" s="272">
        <v>0</v>
      </c>
      <c r="BH43" s="272">
        <v>245395</v>
      </c>
      <c r="BI43" s="272">
        <v>190785</v>
      </c>
      <c r="BJ43" s="272">
        <v>62990</v>
      </c>
      <c r="BK43" s="272">
        <v>0</v>
      </c>
      <c r="BL43" s="272">
        <v>0</v>
      </c>
      <c r="BM43" s="272">
        <v>0</v>
      </c>
      <c r="BN43" s="272">
        <v>80000</v>
      </c>
      <c r="BO43" s="455">
        <f t="shared" si="5"/>
        <v>80000</v>
      </c>
      <c r="BP43" s="455">
        <f t="shared" si="6"/>
        <v>0</v>
      </c>
      <c r="BQ43" s="272">
        <v>0</v>
      </c>
      <c r="BR43" s="272">
        <v>0</v>
      </c>
      <c r="BS43" s="272">
        <v>0</v>
      </c>
      <c r="BT43" s="272">
        <v>0</v>
      </c>
      <c r="BU43" s="272">
        <v>6027876</v>
      </c>
      <c r="BV43" s="272"/>
      <c r="BW43" s="272">
        <v>1265574</v>
      </c>
      <c r="BX43" s="272">
        <v>913011</v>
      </c>
      <c r="BY43" s="272">
        <v>54354</v>
      </c>
      <c r="BZ43" s="272">
        <v>8003</v>
      </c>
      <c r="CA43" s="272">
        <v>150559</v>
      </c>
      <c r="CB43" s="272">
        <v>28878</v>
      </c>
      <c r="CC43" s="272">
        <v>70176</v>
      </c>
      <c r="CD43" s="272">
        <v>48956</v>
      </c>
      <c r="CE43" s="272">
        <v>0</v>
      </c>
      <c r="CF43" s="272">
        <v>0</v>
      </c>
      <c r="CG43" s="272">
        <v>2549</v>
      </c>
      <c r="CH43" s="272">
        <v>976585</v>
      </c>
      <c r="CI43" s="272">
        <v>745593</v>
      </c>
      <c r="CJ43" s="455">
        <f t="shared" si="7"/>
        <v>230992</v>
      </c>
      <c r="CK43" s="272">
        <v>681573</v>
      </c>
      <c r="CL43" s="272">
        <v>315780</v>
      </c>
      <c r="CM43" s="272">
        <v>117041</v>
      </c>
      <c r="CN43" s="272">
        <v>136868</v>
      </c>
      <c r="CO43" s="272">
        <v>15520</v>
      </c>
      <c r="CP43" s="272">
        <v>572792</v>
      </c>
      <c r="CQ43" s="272">
        <v>130919</v>
      </c>
      <c r="CR43" s="272">
        <v>56941</v>
      </c>
      <c r="CS43" s="272">
        <v>56941</v>
      </c>
      <c r="CT43" s="455">
        <f t="shared" si="8"/>
        <v>19197</v>
      </c>
      <c r="CU43" s="272">
        <v>0</v>
      </c>
      <c r="CV43" s="272">
        <v>19197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616599</v>
      </c>
      <c r="DD43" s="272">
        <v>1208</v>
      </c>
      <c r="DE43" s="272">
        <v>532161</v>
      </c>
      <c r="DF43" s="272">
        <v>83230</v>
      </c>
      <c r="DG43" s="272">
        <v>0</v>
      </c>
      <c r="DH43" s="272">
        <v>0</v>
      </c>
      <c r="DI43" s="272">
        <v>618050</v>
      </c>
      <c r="DJ43" s="272">
        <v>595553</v>
      </c>
      <c r="DK43" s="272">
        <v>0</v>
      </c>
      <c r="DL43" s="272">
        <v>22497</v>
      </c>
      <c r="DM43" s="272">
        <v>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818052</v>
      </c>
      <c r="DU43" s="272">
        <v>666468</v>
      </c>
      <c r="DV43" s="455">
        <f t="shared" si="11"/>
        <v>0</v>
      </c>
      <c r="DW43" s="272">
        <v>0</v>
      </c>
      <c r="DX43" s="272">
        <v>0</v>
      </c>
      <c r="DY43" s="272">
        <v>0</v>
      </c>
      <c r="DZ43" s="272">
        <v>59923</v>
      </c>
      <c r="EA43" s="272">
        <v>42398</v>
      </c>
      <c r="EB43" s="272">
        <v>49197</v>
      </c>
      <c r="EC43" s="272">
        <v>0</v>
      </c>
      <c r="ED43" s="272">
        <v>5715304</v>
      </c>
      <c r="EE43" s="89"/>
      <c r="EF43" s="272">
        <v>312572</v>
      </c>
      <c r="EG43" s="272">
        <v>0</v>
      </c>
      <c r="EH43" s="272">
        <v>312572</v>
      </c>
      <c r="EI43" s="272">
        <v>121787</v>
      </c>
      <c r="EJ43" s="272">
        <v>993594</v>
      </c>
      <c r="EL43" s="272"/>
      <c r="EM43" s="272">
        <v>7038</v>
      </c>
      <c r="EN43" s="272">
        <v>0</v>
      </c>
      <c r="EO43" s="272">
        <v>1984</v>
      </c>
      <c r="EP43" s="455">
        <f t="shared" si="12"/>
        <v>221825</v>
      </c>
      <c r="EQ43" s="272">
        <v>5377124</v>
      </c>
      <c r="ER43" s="272">
        <v>-222630</v>
      </c>
      <c r="ES43" s="272">
        <v>1200979</v>
      </c>
      <c r="ET43" s="272">
        <v>849502</v>
      </c>
      <c r="EU43" s="272">
        <v>91220</v>
      </c>
      <c r="EV43" s="272">
        <v>976585</v>
      </c>
      <c r="EW43" s="455">
        <f t="shared" si="13"/>
        <v>453766</v>
      </c>
      <c r="EX43" s="272">
        <v>453766</v>
      </c>
      <c r="EY43" s="272">
        <v>0</v>
      </c>
      <c r="EZ43" s="272">
        <v>397367</v>
      </c>
      <c r="FA43" s="272">
        <v>0</v>
      </c>
      <c r="FB43" s="272"/>
      <c r="FC43" s="272">
        <v>592411</v>
      </c>
      <c r="FD43" s="272">
        <v>566048</v>
      </c>
      <c r="FE43" s="272">
        <v>130919</v>
      </c>
      <c r="FF43" s="272">
        <v>801777</v>
      </c>
      <c r="FG43" s="455">
        <f t="shared" si="14"/>
        <v>604396</v>
      </c>
      <c r="FH43" s="272">
        <v>5287182</v>
      </c>
      <c r="FI43" s="384">
        <f t="shared" si="15"/>
        <v>7.2</v>
      </c>
      <c r="FJ43" s="272">
        <v>4315460</v>
      </c>
      <c r="FK43" s="272">
        <v>71262</v>
      </c>
      <c r="FL43" s="272">
        <v>3251457</v>
      </c>
      <c r="FM43" s="272">
        <v>2011216</v>
      </c>
      <c r="FN43" s="460">
        <v>1.5760000000000001</v>
      </c>
      <c r="FO43" s="388">
        <v>60.9</v>
      </c>
      <c r="FP43" s="388">
        <v>21.9</v>
      </c>
      <c r="FQ43" s="388">
        <v>1.7</v>
      </c>
      <c r="FR43" s="388">
        <v>13.1</v>
      </c>
      <c r="FS43" s="388">
        <v>9</v>
      </c>
      <c r="FT43" s="388">
        <v>8</v>
      </c>
      <c r="FU43" s="388">
        <v>6.9</v>
      </c>
      <c r="FV43" s="388">
        <v>12.9</v>
      </c>
      <c r="FW43" s="272">
        <v>5758915</v>
      </c>
      <c r="FX43" s="384">
        <f t="shared" si="16"/>
        <v>133.4</v>
      </c>
      <c r="FY43" s="272">
        <v>2736163</v>
      </c>
      <c r="FZ43" s="272">
        <v>2301274</v>
      </c>
      <c r="GA43" s="272"/>
      <c r="GB43" s="272">
        <v>434889</v>
      </c>
      <c r="GC43" s="272"/>
      <c r="GD43" s="272">
        <v>2569880</v>
      </c>
      <c r="GE43" s="384">
        <f>ROUND(GD43/FJ43*100,1)</f>
        <v>59.6</v>
      </c>
      <c r="GF43" s="388">
        <v>99.6</v>
      </c>
      <c r="GG43" s="388">
        <v>19.2</v>
      </c>
      <c r="GH43" s="388">
        <v>97.9</v>
      </c>
      <c r="GI43" s="272">
        <v>145</v>
      </c>
    </row>
    <row r="44" spans="2:191" x14ac:dyDescent="0.15">
      <c r="B44" s="89" t="s">
        <v>81</v>
      </c>
      <c r="C44" s="272">
        <v>2762499</v>
      </c>
      <c r="D44" s="455">
        <f t="shared" si="0"/>
        <v>840093</v>
      </c>
      <c r="E44" s="272">
        <v>13862</v>
      </c>
      <c r="F44" s="272">
        <v>826231</v>
      </c>
      <c r="G44" s="455">
        <f t="shared" si="1"/>
        <v>123274</v>
      </c>
      <c r="H44" s="272">
        <v>35447</v>
      </c>
      <c r="I44" s="272">
        <v>87827</v>
      </c>
      <c r="J44" s="272">
        <v>1614890</v>
      </c>
      <c r="K44" s="272">
        <v>673868</v>
      </c>
      <c r="L44" s="272">
        <v>464809</v>
      </c>
      <c r="M44" s="272">
        <v>470747</v>
      </c>
      <c r="N44" s="272">
        <v>101086</v>
      </c>
      <c r="O44" s="272">
        <v>0</v>
      </c>
      <c r="P44" s="272">
        <v>0</v>
      </c>
      <c r="Q44" s="272">
        <v>0</v>
      </c>
      <c r="R44" s="272">
        <v>60456</v>
      </c>
      <c r="S44" s="272"/>
      <c r="T44" s="455">
        <f t="shared" si="2"/>
        <v>399833</v>
      </c>
      <c r="U44" s="272">
        <v>109859</v>
      </c>
      <c r="V44" s="272"/>
      <c r="W44" s="272"/>
      <c r="X44" s="272">
        <v>166774</v>
      </c>
      <c r="Y44" s="272">
        <v>62796</v>
      </c>
      <c r="Z44" s="272">
        <v>195</v>
      </c>
      <c r="AA44" s="272">
        <v>60209</v>
      </c>
      <c r="AB44" s="272">
        <v>92203</v>
      </c>
      <c r="AC44" s="272">
        <v>1662305</v>
      </c>
      <c r="AD44" s="272">
        <v>1354809</v>
      </c>
      <c r="AE44" s="272">
        <v>307496</v>
      </c>
      <c r="AF44" s="272">
        <v>4360</v>
      </c>
      <c r="AG44" s="272">
        <v>7354</v>
      </c>
      <c r="AH44" s="455">
        <f t="shared" si="3"/>
        <v>258323</v>
      </c>
      <c r="AI44" s="272">
        <v>244005</v>
      </c>
      <c r="AJ44" s="272">
        <v>14318</v>
      </c>
      <c r="AK44" s="272">
        <v>217021</v>
      </c>
      <c r="AL44" s="455">
        <f t="shared" si="4"/>
        <v>59305</v>
      </c>
      <c r="AM44" s="272">
        <v>0</v>
      </c>
      <c r="AN44" s="272">
        <v>57201</v>
      </c>
      <c r="AO44" s="272">
        <v>0</v>
      </c>
      <c r="AP44" s="272">
        <v>2104</v>
      </c>
      <c r="AQ44" s="272">
        <v>34886</v>
      </c>
      <c r="AR44" s="272">
        <v>0</v>
      </c>
      <c r="AS44" s="272">
        <v>0</v>
      </c>
      <c r="AT44" s="272">
        <v>413824</v>
      </c>
      <c r="AU44" s="272">
        <v>156605</v>
      </c>
      <c r="AV44" s="272">
        <v>24478</v>
      </c>
      <c r="AW44" s="272">
        <v>13562</v>
      </c>
      <c r="AX44" s="272">
        <v>257219</v>
      </c>
      <c r="AY44" s="272">
        <v>48280</v>
      </c>
      <c r="AZ44" s="272">
        <v>14962</v>
      </c>
      <c r="BA44" s="272">
        <v>11213</v>
      </c>
      <c r="BB44" s="272">
        <v>175410</v>
      </c>
      <c r="BC44" s="272">
        <v>660591</v>
      </c>
      <c r="BD44" s="272">
        <v>162000</v>
      </c>
      <c r="BE44" s="272">
        <v>0</v>
      </c>
      <c r="BF44" s="272">
        <v>184235</v>
      </c>
      <c r="BG44" s="272">
        <v>0</v>
      </c>
      <c r="BH44" s="272">
        <v>32957</v>
      </c>
      <c r="BI44" s="272">
        <v>12391</v>
      </c>
      <c r="BJ44" s="272">
        <v>721721</v>
      </c>
      <c r="BK44" s="272">
        <v>15418</v>
      </c>
      <c r="BL44" s="272">
        <v>0</v>
      </c>
      <c r="BM44" s="272">
        <v>0</v>
      </c>
      <c r="BN44" s="272">
        <v>421000</v>
      </c>
      <c r="BO44" s="455">
        <f t="shared" si="5"/>
        <v>268000</v>
      </c>
      <c r="BP44" s="455">
        <f t="shared" si="6"/>
        <v>153000</v>
      </c>
      <c r="BQ44" s="272">
        <v>34300</v>
      </c>
      <c r="BR44" s="272">
        <v>0</v>
      </c>
      <c r="BS44" s="272">
        <v>118700</v>
      </c>
      <c r="BT44" s="272">
        <v>0</v>
      </c>
      <c r="BU44" s="272">
        <v>7904819</v>
      </c>
      <c r="BV44" s="272"/>
      <c r="BW44" s="272">
        <v>1846604</v>
      </c>
      <c r="BX44" s="272">
        <v>1360594</v>
      </c>
      <c r="BY44" s="272">
        <v>60825</v>
      </c>
      <c r="BZ44" s="272">
        <v>18346</v>
      </c>
      <c r="CA44" s="272">
        <v>276692</v>
      </c>
      <c r="CB44" s="272">
        <v>73961</v>
      </c>
      <c r="CC44" s="272">
        <v>81886</v>
      </c>
      <c r="CD44" s="272">
        <v>110666</v>
      </c>
      <c r="CE44" s="272">
        <v>0</v>
      </c>
      <c r="CF44" s="272">
        <v>0</v>
      </c>
      <c r="CG44" s="272">
        <v>10179</v>
      </c>
      <c r="CH44" s="272">
        <v>1047152</v>
      </c>
      <c r="CI44" s="272">
        <v>681965</v>
      </c>
      <c r="CJ44" s="455">
        <f t="shared" si="7"/>
        <v>365187</v>
      </c>
      <c r="CK44" s="272">
        <v>1305561</v>
      </c>
      <c r="CL44" s="272">
        <v>588180</v>
      </c>
      <c r="CM44" s="272">
        <v>137651</v>
      </c>
      <c r="CN44" s="272">
        <v>406907</v>
      </c>
      <c r="CO44" s="272">
        <v>107865</v>
      </c>
      <c r="CP44" s="272">
        <v>547955</v>
      </c>
      <c r="CQ44" s="272">
        <v>301352</v>
      </c>
      <c r="CR44" s="272">
        <v>100725</v>
      </c>
      <c r="CS44" s="272">
        <v>81690</v>
      </c>
      <c r="CT44" s="455">
        <f t="shared" si="8"/>
        <v>30593</v>
      </c>
      <c r="CU44" s="272">
        <v>30593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778928</v>
      </c>
      <c r="DD44" s="272">
        <v>106385</v>
      </c>
      <c r="DE44" s="272">
        <v>607781</v>
      </c>
      <c r="DF44" s="272">
        <v>54870</v>
      </c>
      <c r="DG44" s="272">
        <v>9892</v>
      </c>
      <c r="DH44" s="272">
        <v>13324</v>
      </c>
      <c r="DI44" s="272">
        <v>906686</v>
      </c>
      <c r="DJ44" s="272">
        <v>528931</v>
      </c>
      <c r="DK44" s="272">
        <v>257</v>
      </c>
      <c r="DL44" s="272">
        <v>377498</v>
      </c>
      <c r="DM44" s="272">
        <v>0</v>
      </c>
      <c r="DN44" s="272">
        <v>0</v>
      </c>
      <c r="DO44" s="272">
        <v>0</v>
      </c>
      <c r="DP44" s="272">
        <v>0</v>
      </c>
      <c r="DQ44" s="272">
        <v>0</v>
      </c>
      <c r="DR44" s="272">
        <v>0</v>
      </c>
      <c r="DS44" s="272">
        <v>0</v>
      </c>
      <c r="DT44" s="272">
        <v>833186</v>
      </c>
      <c r="DU44" s="272">
        <v>384975</v>
      </c>
      <c r="DV44" s="455">
        <f t="shared" si="11"/>
        <v>0</v>
      </c>
      <c r="DW44" s="272">
        <v>0</v>
      </c>
      <c r="DX44" s="272">
        <v>0</v>
      </c>
      <c r="DY44" s="272">
        <v>0</v>
      </c>
      <c r="DZ44" s="272">
        <v>158165</v>
      </c>
      <c r="EA44" s="272">
        <v>126681</v>
      </c>
      <c r="EB44" s="272">
        <v>163365</v>
      </c>
      <c r="EC44" s="272">
        <v>0</v>
      </c>
      <c r="ED44" s="272">
        <v>7663953</v>
      </c>
      <c r="EE44" s="89"/>
      <c r="EF44" s="272">
        <v>240866</v>
      </c>
      <c r="EG44" s="272">
        <v>227800</v>
      </c>
      <c r="EH44" s="272">
        <v>13066</v>
      </c>
      <c r="EI44" s="272">
        <v>675</v>
      </c>
      <c r="EJ44" s="272">
        <v>395149</v>
      </c>
      <c r="EL44" s="272"/>
      <c r="EM44" s="272">
        <v>19765</v>
      </c>
      <c r="EN44" s="272">
        <v>406125</v>
      </c>
      <c r="EO44" s="272">
        <v>11421</v>
      </c>
      <c r="EP44" s="455">
        <f t="shared" si="12"/>
        <v>848683</v>
      </c>
      <c r="EQ44" s="272">
        <v>4981656</v>
      </c>
      <c r="ER44" s="272">
        <v>-1414869</v>
      </c>
      <c r="ES44" s="272">
        <v>1615126</v>
      </c>
      <c r="ET44" s="272">
        <v>1136388</v>
      </c>
      <c r="EU44" s="272">
        <v>130774</v>
      </c>
      <c r="EV44" s="272">
        <v>976602</v>
      </c>
      <c r="EW44" s="455">
        <f t="shared" si="13"/>
        <v>153386</v>
      </c>
      <c r="EX44" s="272">
        <v>146412</v>
      </c>
      <c r="EY44" s="272">
        <v>3621</v>
      </c>
      <c r="EZ44" s="272">
        <v>136617</v>
      </c>
      <c r="FA44" s="272">
        <v>6974</v>
      </c>
      <c r="FB44" s="272"/>
      <c r="FC44" s="272">
        <v>988394</v>
      </c>
      <c r="FD44" s="272">
        <v>512755</v>
      </c>
      <c r="FE44" s="272">
        <v>298752</v>
      </c>
      <c r="FF44" s="272">
        <v>775161</v>
      </c>
      <c r="FG44" s="455">
        <f t="shared" si="14"/>
        <v>1003461</v>
      </c>
      <c r="FH44" s="272">
        <v>6155659</v>
      </c>
      <c r="FI44" s="384">
        <f t="shared" si="15"/>
        <v>0.3</v>
      </c>
      <c r="FJ44" s="272">
        <v>4801223</v>
      </c>
      <c r="FK44" s="272">
        <v>118762</v>
      </c>
      <c r="FL44" s="272">
        <v>2601186</v>
      </c>
      <c r="FM44" s="272">
        <v>3953633</v>
      </c>
      <c r="FN44" s="460">
        <v>0.65</v>
      </c>
      <c r="FO44" s="388">
        <v>92.3</v>
      </c>
      <c r="FP44" s="388">
        <v>32.200000000000003</v>
      </c>
      <c r="FQ44" s="388">
        <v>2.6</v>
      </c>
      <c r="FR44" s="388">
        <v>19.2</v>
      </c>
      <c r="FS44" s="388">
        <v>17.7</v>
      </c>
      <c r="FT44" s="388">
        <v>8.4</v>
      </c>
      <c r="FU44" s="388">
        <v>10.1</v>
      </c>
      <c r="FV44" s="388">
        <v>10</v>
      </c>
      <c r="FW44" s="272">
        <v>12114729</v>
      </c>
      <c r="FX44" s="384">
        <f t="shared" si="16"/>
        <v>252.3</v>
      </c>
      <c r="FY44" s="272">
        <v>2148247</v>
      </c>
      <c r="FZ44" s="272">
        <v>1273610</v>
      </c>
      <c r="GA44" s="272">
        <v>121067</v>
      </c>
      <c r="GB44" s="272">
        <v>753570</v>
      </c>
      <c r="GC44" s="272"/>
      <c r="GD44" s="272"/>
      <c r="GE44" s="384"/>
      <c r="GF44" s="388">
        <v>98.3</v>
      </c>
      <c r="GG44" s="388">
        <v>11</v>
      </c>
      <c r="GH44" s="388">
        <v>92.9</v>
      </c>
      <c r="GI44" s="272">
        <v>190</v>
      </c>
    </row>
    <row r="45" spans="2:191" x14ac:dyDescent="0.15">
      <c r="B45" s="89" t="s">
        <v>83</v>
      </c>
      <c r="C45" s="272">
        <v>1559249</v>
      </c>
      <c r="D45" s="455">
        <f t="shared" si="0"/>
        <v>676797</v>
      </c>
      <c r="E45" s="272">
        <v>9475</v>
      </c>
      <c r="F45" s="272">
        <v>667322</v>
      </c>
      <c r="G45" s="455">
        <f t="shared" si="1"/>
        <v>23899</v>
      </c>
      <c r="H45" s="272">
        <v>14157</v>
      </c>
      <c r="I45" s="272">
        <v>9742</v>
      </c>
      <c r="J45" s="272">
        <v>696041</v>
      </c>
      <c r="K45" s="272">
        <v>323666</v>
      </c>
      <c r="L45" s="272">
        <v>295672</v>
      </c>
      <c r="M45" s="272">
        <v>76703</v>
      </c>
      <c r="N45" s="272">
        <v>142288</v>
      </c>
      <c r="O45" s="272">
        <v>0</v>
      </c>
      <c r="P45" s="272">
        <v>0</v>
      </c>
      <c r="Q45" s="272">
        <v>0</v>
      </c>
      <c r="R45" s="272">
        <v>42246</v>
      </c>
      <c r="S45" s="272"/>
      <c r="T45" s="455">
        <f t="shared" si="2"/>
        <v>252887</v>
      </c>
      <c r="U45" s="272">
        <v>84350</v>
      </c>
      <c r="V45" s="272"/>
      <c r="W45" s="272"/>
      <c r="X45" s="272">
        <v>99372</v>
      </c>
      <c r="Y45" s="272">
        <v>27187</v>
      </c>
      <c r="Z45" s="272">
        <v>0</v>
      </c>
      <c r="AA45" s="272">
        <v>41978</v>
      </c>
      <c r="AB45" s="272">
        <v>56668</v>
      </c>
      <c r="AC45" s="272">
        <v>1748353</v>
      </c>
      <c r="AD45" s="272">
        <v>1493192</v>
      </c>
      <c r="AE45" s="272">
        <v>255161</v>
      </c>
      <c r="AF45" s="272">
        <v>3038</v>
      </c>
      <c r="AG45" s="272">
        <v>45081</v>
      </c>
      <c r="AH45" s="455">
        <f t="shared" si="3"/>
        <v>46472</v>
      </c>
      <c r="AI45" s="272">
        <v>22174</v>
      </c>
      <c r="AJ45" s="272">
        <v>24298</v>
      </c>
      <c r="AK45" s="272">
        <v>241834</v>
      </c>
      <c r="AL45" s="455">
        <f t="shared" si="4"/>
        <v>52341</v>
      </c>
      <c r="AM45" s="272">
        <v>0</v>
      </c>
      <c r="AN45" s="272">
        <v>51218</v>
      </c>
      <c r="AO45" s="272">
        <v>0</v>
      </c>
      <c r="AP45" s="272">
        <v>1123</v>
      </c>
      <c r="AQ45" s="272">
        <v>101357</v>
      </c>
      <c r="AR45" s="272">
        <v>738</v>
      </c>
      <c r="AS45" s="272">
        <v>0</v>
      </c>
      <c r="AT45" s="272">
        <v>311807</v>
      </c>
      <c r="AU45" s="272">
        <v>157982</v>
      </c>
      <c r="AV45" s="272">
        <v>34544</v>
      </c>
      <c r="AW45" s="272">
        <v>0</v>
      </c>
      <c r="AX45" s="272">
        <v>153825</v>
      </c>
      <c r="AY45" s="272">
        <v>66400</v>
      </c>
      <c r="AZ45" s="272">
        <v>2334</v>
      </c>
      <c r="BA45" s="272">
        <v>0</v>
      </c>
      <c r="BB45" s="272">
        <v>14804</v>
      </c>
      <c r="BC45" s="272">
        <v>262452</v>
      </c>
      <c r="BD45" s="272">
        <v>0</v>
      </c>
      <c r="BE45" s="272">
        <v>49748</v>
      </c>
      <c r="BF45" s="272">
        <v>203964</v>
      </c>
      <c r="BG45" s="272">
        <v>0</v>
      </c>
      <c r="BH45" s="272">
        <v>87730</v>
      </c>
      <c r="BI45" s="272">
        <v>33340</v>
      </c>
      <c r="BJ45" s="272">
        <v>20065</v>
      </c>
      <c r="BK45" s="272">
        <v>0</v>
      </c>
      <c r="BL45" s="272">
        <v>0</v>
      </c>
      <c r="BM45" s="272">
        <v>0</v>
      </c>
      <c r="BN45" s="272">
        <v>533200</v>
      </c>
      <c r="BO45" s="455">
        <f t="shared" si="5"/>
        <v>414000</v>
      </c>
      <c r="BP45" s="455">
        <f t="shared" si="6"/>
        <v>119200</v>
      </c>
      <c r="BQ45" s="272">
        <v>22400</v>
      </c>
      <c r="BR45" s="272">
        <v>0</v>
      </c>
      <c r="BS45" s="272">
        <v>96800</v>
      </c>
      <c r="BT45" s="272">
        <v>0</v>
      </c>
      <c r="BU45" s="272">
        <v>5228220</v>
      </c>
      <c r="BV45" s="272"/>
      <c r="BW45" s="272">
        <v>1177574</v>
      </c>
      <c r="BX45" s="272">
        <v>808649</v>
      </c>
      <c r="BY45" s="272">
        <v>64785</v>
      </c>
      <c r="BZ45" s="272">
        <v>13018</v>
      </c>
      <c r="CA45" s="272">
        <v>337535</v>
      </c>
      <c r="CB45" s="272">
        <v>36485</v>
      </c>
      <c r="CC45" s="272">
        <v>42617</v>
      </c>
      <c r="CD45" s="272">
        <v>241224</v>
      </c>
      <c r="CE45" s="272">
        <v>0</v>
      </c>
      <c r="CF45" s="272">
        <v>0</v>
      </c>
      <c r="CG45" s="272">
        <v>17209</v>
      </c>
      <c r="CH45" s="272">
        <v>748601</v>
      </c>
      <c r="CI45" s="272">
        <v>554133</v>
      </c>
      <c r="CJ45" s="455">
        <f t="shared" si="7"/>
        <v>194468</v>
      </c>
      <c r="CK45" s="272">
        <v>647135</v>
      </c>
      <c r="CL45" s="272">
        <v>326307</v>
      </c>
      <c r="CM45" s="272">
        <v>74658</v>
      </c>
      <c r="CN45" s="272">
        <v>135073</v>
      </c>
      <c r="CO45" s="272">
        <v>18851</v>
      </c>
      <c r="CP45" s="272">
        <v>527436</v>
      </c>
      <c r="CQ45" s="272">
        <v>124979</v>
      </c>
      <c r="CR45" s="272">
        <v>139659</v>
      </c>
      <c r="CS45" s="272">
        <v>113832</v>
      </c>
      <c r="CT45" s="455">
        <f t="shared" si="8"/>
        <v>17003</v>
      </c>
      <c r="CU45" s="272">
        <v>2994</v>
      </c>
      <c r="CV45" s="272">
        <v>14009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1133830</v>
      </c>
      <c r="DD45" s="272">
        <v>219473</v>
      </c>
      <c r="DE45" s="272">
        <v>790864</v>
      </c>
      <c r="DF45" s="272">
        <v>51993</v>
      </c>
      <c r="DG45" s="272">
        <v>70000</v>
      </c>
      <c r="DH45" s="272">
        <v>2069</v>
      </c>
      <c r="DI45" s="272">
        <v>49001</v>
      </c>
      <c r="DJ45" s="272">
        <v>31910</v>
      </c>
      <c r="DK45" s="272">
        <v>118</v>
      </c>
      <c r="DL45" s="272">
        <v>16973</v>
      </c>
      <c r="DM45" s="272">
        <v>0</v>
      </c>
      <c r="DN45" s="272">
        <v>0</v>
      </c>
      <c r="DO45" s="272">
        <v>0</v>
      </c>
      <c r="DP45" s="272">
        <v>0</v>
      </c>
      <c r="DQ45" s="272">
        <v>0</v>
      </c>
      <c r="DR45" s="272">
        <v>0</v>
      </c>
      <c r="DS45" s="272">
        <v>0</v>
      </c>
      <c r="DT45" s="272">
        <v>501712</v>
      </c>
      <c r="DU45" s="272">
        <v>252524</v>
      </c>
      <c r="DV45" s="455">
        <f t="shared" si="11"/>
        <v>0</v>
      </c>
      <c r="DW45" s="272">
        <v>0</v>
      </c>
      <c r="DX45" s="272">
        <v>0</v>
      </c>
      <c r="DY45" s="272">
        <v>0</v>
      </c>
      <c r="DZ45" s="272">
        <v>97152</v>
      </c>
      <c r="EA45" s="272">
        <v>54150</v>
      </c>
      <c r="EB45" s="272">
        <v>87575</v>
      </c>
      <c r="EC45" s="272">
        <v>0</v>
      </c>
      <c r="ED45" s="272">
        <v>5143744</v>
      </c>
      <c r="EE45" s="89"/>
      <c r="EF45" s="272">
        <v>84476</v>
      </c>
      <c r="EG45" s="272">
        <v>0</v>
      </c>
      <c r="EH45" s="272">
        <v>84476</v>
      </c>
      <c r="EI45" s="272">
        <v>51136</v>
      </c>
      <c r="EJ45" s="272">
        <v>132794</v>
      </c>
      <c r="EL45" s="272"/>
      <c r="EM45" s="272">
        <v>14214</v>
      </c>
      <c r="EN45" s="272">
        <v>250635</v>
      </c>
      <c r="EO45" s="272">
        <v>307</v>
      </c>
      <c r="EP45" s="455">
        <f t="shared" si="12"/>
        <v>78863</v>
      </c>
      <c r="EQ45" s="272">
        <v>3662441</v>
      </c>
      <c r="ER45" s="272">
        <v>-445967</v>
      </c>
      <c r="ES45" s="272">
        <v>1121490</v>
      </c>
      <c r="ET45" s="272">
        <v>753626</v>
      </c>
      <c r="EU45" s="272">
        <v>121483</v>
      </c>
      <c r="EV45" s="272">
        <v>748601</v>
      </c>
      <c r="EW45" s="455">
        <f t="shared" si="13"/>
        <v>448374</v>
      </c>
      <c r="EX45" s="272">
        <v>447123</v>
      </c>
      <c r="EY45" s="272">
        <v>16704</v>
      </c>
      <c r="EZ45" s="272">
        <v>386941</v>
      </c>
      <c r="FA45" s="272">
        <v>1251</v>
      </c>
      <c r="FB45" s="272"/>
      <c r="FC45" s="272">
        <v>558783</v>
      </c>
      <c r="FD45" s="272">
        <v>491410</v>
      </c>
      <c r="FE45" s="272">
        <v>124979</v>
      </c>
      <c r="FF45" s="272">
        <v>474966</v>
      </c>
      <c r="FG45" s="455">
        <f t="shared" si="14"/>
        <v>58825</v>
      </c>
      <c r="FH45" s="272">
        <v>4023932</v>
      </c>
      <c r="FI45" s="384">
        <f t="shared" si="15"/>
        <v>2.5</v>
      </c>
      <c r="FJ45" s="272">
        <v>3386316</v>
      </c>
      <c r="FK45" s="272">
        <v>96856</v>
      </c>
      <c r="FL45" s="272">
        <v>1430683</v>
      </c>
      <c r="FM45" s="272">
        <v>2925089</v>
      </c>
      <c r="FN45" s="460">
        <v>0.49</v>
      </c>
      <c r="FO45" s="388">
        <v>88.7</v>
      </c>
      <c r="FP45" s="388">
        <v>31.7</v>
      </c>
      <c r="FQ45" s="388">
        <v>3.4</v>
      </c>
      <c r="FR45" s="388">
        <v>19.8</v>
      </c>
      <c r="FS45" s="388">
        <v>14.4</v>
      </c>
      <c r="FT45" s="388">
        <v>11.9</v>
      </c>
      <c r="FU45" s="388">
        <v>6.9</v>
      </c>
      <c r="FV45" s="388">
        <v>11.7</v>
      </c>
      <c r="FW45" s="272">
        <v>6142046</v>
      </c>
      <c r="FX45" s="384">
        <f t="shared" si="16"/>
        <v>181.4</v>
      </c>
      <c r="FY45" s="272">
        <v>971258</v>
      </c>
      <c r="FZ45" s="272">
        <v>671993</v>
      </c>
      <c r="GA45" s="272">
        <v>7671</v>
      </c>
      <c r="GB45" s="272">
        <v>291594</v>
      </c>
      <c r="GC45" s="272"/>
      <c r="GD45" s="272">
        <v>578404</v>
      </c>
      <c r="GE45" s="384">
        <f>ROUND(GD45/FJ45*100,1)</f>
        <v>17.100000000000001</v>
      </c>
      <c r="GF45" s="388">
        <v>97.4</v>
      </c>
      <c r="GG45" s="388">
        <v>26.6</v>
      </c>
      <c r="GH45" s="388">
        <v>89.9</v>
      </c>
      <c r="GI45" s="272">
        <v>116</v>
      </c>
    </row>
    <row r="46" spans="2:191" x14ac:dyDescent="0.15">
      <c r="B46" s="89" t="s">
        <v>85</v>
      </c>
      <c r="C46" s="272">
        <v>1731884</v>
      </c>
      <c r="D46" s="455">
        <f t="shared" si="0"/>
        <v>793279</v>
      </c>
      <c r="E46" s="272">
        <v>11245</v>
      </c>
      <c r="F46" s="272">
        <v>782034</v>
      </c>
      <c r="G46" s="455">
        <f t="shared" si="1"/>
        <v>62490</v>
      </c>
      <c r="H46" s="272">
        <v>17437</v>
      </c>
      <c r="I46" s="272">
        <v>45053</v>
      </c>
      <c r="J46" s="272">
        <v>774319</v>
      </c>
      <c r="K46" s="272">
        <v>369890</v>
      </c>
      <c r="L46" s="272">
        <v>327274</v>
      </c>
      <c r="M46" s="272">
        <v>77155</v>
      </c>
      <c r="N46" s="272">
        <v>74394</v>
      </c>
      <c r="O46" s="272">
        <v>0</v>
      </c>
      <c r="P46" s="272">
        <v>0</v>
      </c>
      <c r="Q46" s="272">
        <v>0</v>
      </c>
      <c r="R46" s="272">
        <v>56818</v>
      </c>
      <c r="S46" s="272"/>
      <c r="T46" s="455">
        <f t="shared" si="2"/>
        <v>338403</v>
      </c>
      <c r="U46" s="272">
        <v>98176</v>
      </c>
      <c r="V46" s="272"/>
      <c r="W46" s="272"/>
      <c r="X46" s="272">
        <v>130310</v>
      </c>
      <c r="Y46" s="272">
        <v>53427</v>
      </c>
      <c r="Z46" s="272">
        <v>0</v>
      </c>
      <c r="AA46" s="272">
        <v>56490</v>
      </c>
      <c r="AB46" s="272">
        <v>79316</v>
      </c>
      <c r="AC46" s="272">
        <v>1936609</v>
      </c>
      <c r="AD46" s="272">
        <v>1711454</v>
      </c>
      <c r="AE46" s="272">
        <v>225155</v>
      </c>
      <c r="AF46" s="272">
        <v>3154</v>
      </c>
      <c r="AG46" s="272">
        <v>19784</v>
      </c>
      <c r="AH46" s="455">
        <f t="shared" si="3"/>
        <v>84084</v>
      </c>
      <c r="AI46" s="272">
        <v>57157</v>
      </c>
      <c r="AJ46" s="272">
        <v>26927</v>
      </c>
      <c r="AK46" s="272">
        <v>342394</v>
      </c>
      <c r="AL46" s="455">
        <f t="shared" si="4"/>
        <v>33374</v>
      </c>
      <c r="AM46" s="272">
        <v>0</v>
      </c>
      <c r="AN46" s="272">
        <v>28358</v>
      </c>
      <c r="AO46" s="272">
        <v>0</v>
      </c>
      <c r="AP46" s="272">
        <v>5016</v>
      </c>
      <c r="AQ46" s="272">
        <v>180510</v>
      </c>
      <c r="AR46" s="272">
        <v>0</v>
      </c>
      <c r="AS46" s="272">
        <v>0</v>
      </c>
      <c r="AT46" s="272">
        <v>224130</v>
      </c>
      <c r="AU46" s="272">
        <v>78491</v>
      </c>
      <c r="AV46" s="272">
        <v>11750</v>
      </c>
      <c r="AW46" s="272">
        <v>3745</v>
      </c>
      <c r="AX46" s="272">
        <v>145639</v>
      </c>
      <c r="AY46" s="272">
        <v>56261</v>
      </c>
      <c r="AZ46" s="272">
        <v>9345</v>
      </c>
      <c r="BA46" s="272">
        <v>0</v>
      </c>
      <c r="BB46" s="272">
        <v>4760</v>
      </c>
      <c r="BC46" s="272">
        <v>257178</v>
      </c>
      <c r="BD46" s="272">
        <v>60000</v>
      </c>
      <c r="BE46" s="272">
        <v>110181</v>
      </c>
      <c r="BF46" s="272">
        <v>86997</v>
      </c>
      <c r="BG46" s="272">
        <v>0</v>
      </c>
      <c r="BH46" s="272">
        <v>97219</v>
      </c>
      <c r="BI46" s="272">
        <v>92620</v>
      </c>
      <c r="BJ46" s="272">
        <v>40441</v>
      </c>
      <c r="BK46" s="272">
        <v>0</v>
      </c>
      <c r="BL46" s="272">
        <v>0</v>
      </c>
      <c r="BM46" s="272">
        <v>0</v>
      </c>
      <c r="BN46" s="272">
        <v>508300</v>
      </c>
      <c r="BO46" s="455">
        <f t="shared" si="5"/>
        <v>400800</v>
      </c>
      <c r="BP46" s="455">
        <f t="shared" si="6"/>
        <v>107500</v>
      </c>
      <c r="BQ46" s="272">
        <v>0</v>
      </c>
      <c r="BR46" s="272">
        <v>0</v>
      </c>
      <c r="BS46" s="272">
        <v>107500</v>
      </c>
      <c r="BT46" s="272">
        <v>0</v>
      </c>
      <c r="BU46" s="272">
        <v>5733819</v>
      </c>
      <c r="BV46" s="272"/>
      <c r="BW46" s="272">
        <v>1616982</v>
      </c>
      <c r="BX46" s="272">
        <v>1079166</v>
      </c>
      <c r="BY46" s="272">
        <v>90596</v>
      </c>
      <c r="BZ46" s="272">
        <v>69947</v>
      </c>
      <c r="CA46" s="272">
        <v>226684</v>
      </c>
      <c r="CB46" s="272">
        <v>42176</v>
      </c>
      <c r="CC46" s="272">
        <v>60607</v>
      </c>
      <c r="CD46" s="272">
        <v>119454</v>
      </c>
      <c r="CE46" s="272">
        <v>0</v>
      </c>
      <c r="CF46" s="272">
        <v>0</v>
      </c>
      <c r="CG46" s="272">
        <v>4447</v>
      </c>
      <c r="CH46" s="272">
        <v>838865</v>
      </c>
      <c r="CI46" s="272">
        <v>604196</v>
      </c>
      <c r="CJ46" s="455">
        <f t="shared" si="7"/>
        <v>234669</v>
      </c>
      <c r="CK46" s="272">
        <v>823128</v>
      </c>
      <c r="CL46" s="272">
        <v>425564</v>
      </c>
      <c r="CM46" s="272">
        <v>72198</v>
      </c>
      <c r="CN46" s="272">
        <v>185088</v>
      </c>
      <c r="CO46" s="272">
        <v>12923</v>
      </c>
      <c r="CP46" s="272">
        <v>387625</v>
      </c>
      <c r="CQ46" s="272">
        <v>144792</v>
      </c>
      <c r="CR46" s="272">
        <v>122464</v>
      </c>
      <c r="CS46" s="272">
        <v>122464</v>
      </c>
      <c r="CT46" s="455">
        <f t="shared" si="8"/>
        <v>8129</v>
      </c>
      <c r="CU46" s="272">
        <v>920</v>
      </c>
      <c r="CV46" s="272">
        <v>7209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1183783</v>
      </c>
      <c r="DD46" s="272">
        <v>512417</v>
      </c>
      <c r="DE46" s="272">
        <v>626284</v>
      </c>
      <c r="DF46" s="272">
        <v>45082</v>
      </c>
      <c r="DG46" s="272">
        <v>0</v>
      </c>
      <c r="DH46" s="272">
        <v>0</v>
      </c>
      <c r="DI46" s="272">
        <v>12102</v>
      </c>
      <c r="DJ46" s="272">
        <v>3260</v>
      </c>
      <c r="DK46" s="272">
        <v>1646</v>
      </c>
      <c r="DL46" s="272">
        <v>7196</v>
      </c>
      <c r="DM46" s="272">
        <v>0</v>
      </c>
      <c r="DN46" s="272">
        <v>0</v>
      </c>
      <c r="DO46" s="272">
        <v>0</v>
      </c>
      <c r="DP46" s="272">
        <v>0</v>
      </c>
      <c r="DQ46" s="272">
        <v>0</v>
      </c>
      <c r="DR46" s="272">
        <v>0</v>
      </c>
      <c r="DS46" s="272">
        <v>0</v>
      </c>
      <c r="DT46" s="272">
        <v>478324</v>
      </c>
      <c r="DU46" s="272">
        <v>196983</v>
      </c>
      <c r="DV46" s="455">
        <f t="shared" si="11"/>
        <v>0</v>
      </c>
      <c r="DW46" s="272">
        <v>0</v>
      </c>
      <c r="DX46" s="272">
        <v>0</v>
      </c>
      <c r="DY46" s="272">
        <v>0</v>
      </c>
      <c r="DZ46" s="272">
        <v>88377</v>
      </c>
      <c r="EA46" s="272">
        <v>71646</v>
      </c>
      <c r="EB46" s="272">
        <v>88298</v>
      </c>
      <c r="EC46" s="272">
        <v>0</v>
      </c>
      <c r="ED46" s="272">
        <v>5580416</v>
      </c>
      <c r="EE46" s="89"/>
      <c r="EF46" s="272">
        <v>153403</v>
      </c>
      <c r="EG46" s="272">
        <v>28679</v>
      </c>
      <c r="EH46" s="272">
        <v>124724</v>
      </c>
      <c r="EI46" s="272">
        <v>-87896</v>
      </c>
      <c r="EJ46" s="272">
        <v>-47819</v>
      </c>
      <c r="EL46" s="272"/>
      <c r="EM46" s="272">
        <v>16559</v>
      </c>
      <c r="EN46" s="272">
        <v>170181</v>
      </c>
      <c r="EO46" s="272">
        <v>0</v>
      </c>
      <c r="EP46" s="455">
        <f t="shared" si="12"/>
        <v>173275</v>
      </c>
      <c r="EQ46" s="272">
        <v>4146184</v>
      </c>
      <c r="ER46" s="272">
        <v>-447802</v>
      </c>
      <c r="ES46" s="272">
        <v>1517787</v>
      </c>
      <c r="ET46" s="272">
        <v>985072</v>
      </c>
      <c r="EU46" s="272">
        <v>111517</v>
      </c>
      <c r="EV46" s="272">
        <v>838865</v>
      </c>
      <c r="EW46" s="455">
        <f t="shared" si="13"/>
        <v>429910</v>
      </c>
      <c r="EX46" s="272">
        <v>429910</v>
      </c>
      <c r="EY46" s="272">
        <v>22925</v>
      </c>
      <c r="EZ46" s="272">
        <v>400928</v>
      </c>
      <c r="FA46" s="272">
        <v>0</v>
      </c>
      <c r="FB46" s="272"/>
      <c r="FC46" s="272">
        <v>713535</v>
      </c>
      <c r="FD46" s="272">
        <v>369681</v>
      </c>
      <c r="FE46" s="272">
        <v>144792</v>
      </c>
      <c r="FF46" s="272">
        <v>446650</v>
      </c>
      <c r="FG46" s="455">
        <f t="shared" si="14"/>
        <v>17352</v>
      </c>
      <c r="FH46" s="272">
        <v>4445297</v>
      </c>
      <c r="FI46" s="384">
        <f t="shared" si="15"/>
        <v>3.2</v>
      </c>
      <c r="FJ46" s="272">
        <v>3948257</v>
      </c>
      <c r="FK46" s="272">
        <v>107526</v>
      </c>
      <c r="FL46" s="272">
        <v>1691819</v>
      </c>
      <c r="FM46" s="272">
        <v>3406461</v>
      </c>
      <c r="FN46" s="460">
        <v>0.48899999999999999</v>
      </c>
      <c r="FO46" s="388">
        <v>86.3</v>
      </c>
      <c r="FP46" s="388">
        <v>36.4</v>
      </c>
      <c r="FQ46" s="388">
        <v>2.8</v>
      </c>
      <c r="FR46" s="388">
        <v>18.3</v>
      </c>
      <c r="FS46" s="388">
        <v>15</v>
      </c>
      <c r="FT46" s="388">
        <v>7.6</v>
      </c>
      <c r="FU46" s="388">
        <v>5.8</v>
      </c>
      <c r="FV46" s="388">
        <v>9.6</v>
      </c>
      <c r="FW46" s="272">
        <v>6900916</v>
      </c>
      <c r="FX46" s="384">
        <f t="shared" si="16"/>
        <v>174.8</v>
      </c>
      <c r="FY46" s="272">
        <v>3826131</v>
      </c>
      <c r="FZ46" s="272">
        <v>1599134</v>
      </c>
      <c r="GA46" s="272">
        <v>727550</v>
      </c>
      <c r="GB46" s="272">
        <v>1499447</v>
      </c>
      <c r="GC46" s="272"/>
      <c r="GD46" s="272">
        <v>339279</v>
      </c>
      <c r="GE46" s="384">
        <f>ROUND(GD46/FJ46*100,1)</f>
        <v>8.6</v>
      </c>
      <c r="GF46" s="388">
        <v>95</v>
      </c>
      <c r="GG46" s="388">
        <v>36.299999999999997</v>
      </c>
      <c r="GH46" s="388">
        <v>88.7</v>
      </c>
      <c r="GI46" s="272">
        <v>159</v>
      </c>
    </row>
    <row r="47" spans="2:191" x14ac:dyDescent="0.15">
      <c r="B47" s="89" t="s">
        <v>87</v>
      </c>
      <c r="C47" s="272">
        <v>710607</v>
      </c>
      <c r="D47" s="455">
        <f t="shared" si="0"/>
        <v>327518</v>
      </c>
      <c r="E47" s="272">
        <v>4982</v>
      </c>
      <c r="F47" s="272">
        <v>322536</v>
      </c>
      <c r="G47" s="455">
        <f t="shared" si="1"/>
        <v>40753</v>
      </c>
      <c r="H47" s="272">
        <v>10861</v>
      </c>
      <c r="I47" s="272">
        <v>29892</v>
      </c>
      <c r="J47" s="272">
        <v>314663</v>
      </c>
      <c r="K47" s="272">
        <v>116070</v>
      </c>
      <c r="L47" s="272">
        <v>141657</v>
      </c>
      <c r="M47" s="272">
        <v>56936</v>
      </c>
      <c r="N47" s="272">
        <v>14740</v>
      </c>
      <c r="O47" s="272">
        <v>0</v>
      </c>
      <c r="P47" s="272">
        <v>0</v>
      </c>
      <c r="Q47" s="272">
        <v>0</v>
      </c>
      <c r="R47" s="272">
        <v>24424</v>
      </c>
      <c r="S47" s="272"/>
      <c r="T47" s="455">
        <f t="shared" si="2"/>
        <v>154569</v>
      </c>
      <c r="U47" s="272">
        <v>43215</v>
      </c>
      <c r="V47" s="272"/>
      <c r="W47" s="272"/>
      <c r="X47" s="272">
        <v>56313</v>
      </c>
      <c r="Y47" s="272">
        <v>30731</v>
      </c>
      <c r="Z47" s="272">
        <v>0</v>
      </c>
      <c r="AA47" s="272">
        <v>24310</v>
      </c>
      <c r="AB47" s="272">
        <v>32926</v>
      </c>
      <c r="AC47" s="272">
        <v>1379792</v>
      </c>
      <c r="AD47" s="272">
        <v>1127643</v>
      </c>
      <c r="AE47" s="272">
        <v>252149</v>
      </c>
      <c r="AF47" s="272">
        <v>1297</v>
      </c>
      <c r="AG47" s="272">
        <v>26326</v>
      </c>
      <c r="AH47" s="455">
        <f t="shared" si="3"/>
        <v>29647</v>
      </c>
      <c r="AI47" s="272">
        <v>19166</v>
      </c>
      <c r="AJ47" s="272">
        <v>10481</v>
      </c>
      <c r="AK47" s="272">
        <v>52571</v>
      </c>
      <c r="AL47" s="455">
        <f t="shared" si="4"/>
        <v>19366</v>
      </c>
      <c r="AM47" s="272">
        <v>0</v>
      </c>
      <c r="AN47" s="272">
        <v>19366</v>
      </c>
      <c r="AO47" s="272">
        <v>0</v>
      </c>
      <c r="AP47" s="272">
        <v>0</v>
      </c>
      <c r="AQ47" s="272">
        <v>1678</v>
      </c>
      <c r="AR47" s="272">
        <v>0</v>
      </c>
      <c r="AS47" s="272">
        <v>0</v>
      </c>
      <c r="AT47" s="272">
        <v>204957</v>
      </c>
      <c r="AU47" s="272">
        <v>94771</v>
      </c>
      <c r="AV47" s="272">
        <v>8474</v>
      </c>
      <c r="AW47" s="272">
        <v>40347</v>
      </c>
      <c r="AX47" s="272">
        <v>110186</v>
      </c>
      <c r="AY47" s="272">
        <v>55531</v>
      </c>
      <c r="AZ47" s="272">
        <v>5737</v>
      </c>
      <c r="BA47" s="272">
        <v>0</v>
      </c>
      <c r="BB47" s="272">
        <v>102</v>
      </c>
      <c r="BC47" s="272">
        <v>235791</v>
      </c>
      <c r="BD47" s="272">
        <v>105000</v>
      </c>
      <c r="BE47" s="272">
        <v>6530</v>
      </c>
      <c r="BF47" s="272">
        <v>124255</v>
      </c>
      <c r="BG47" s="272">
        <v>0</v>
      </c>
      <c r="BH47" s="272">
        <v>69784</v>
      </c>
      <c r="BI47" s="272">
        <v>59459</v>
      </c>
      <c r="BJ47" s="272">
        <v>19428</v>
      </c>
      <c r="BK47" s="272">
        <v>0</v>
      </c>
      <c r="BL47" s="272">
        <v>0</v>
      </c>
      <c r="BM47" s="272">
        <v>0</v>
      </c>
      <c r="BN47" s="272">
        <v>263900</v>
      </c>
      <c r="BO47" s="455">
        <f t="shared" si="5"/>
        <v>183100</v>
      </c>
      <c r="BP47" s="455">
        <f t="shared" si="6"/>
        <v>80800</v>
      </c>
      <c r="BQ47" s="272">
        <v>11600</v>
      </c>
      <c r="BR47" s="272">
        <v>0</v>
      </c>
      <c r="BS47" s="272">
        <v>69200</v>
      </c>
      <c r="BT47" s="272">
        <v>0</v>
      </c>
      <c r="BU47" s="272">
        <v>3211858</v>
      </c>
      <c r="BV47" s="272"/>
      <c r="BW47" s="272">
        <v>972124</v>
      </c>
      <c r="BX47" s="272">
        <v>656153</v>
      </c>
      <c r="BY47" s="272">
        <v>64305</v>
      </c>
      <c r="BZ47" s="272">
        <v>20750</v>
      </c>
      <c r="CA47" s="272">
        <v>124236</v>
      </c>
      <c r="CB47" s="272">
        <v>34020</v>
      </c>
      <c r="CC47" s="272">
        <v>21126</v>
      </c>
      <c r="CD47" s="272">
        <v>67020</v>
      </c>
      <c r="CE47" s="272">
        <v>0</v>
      </c>
      <c r="CF47" s="272">
        <v>0</v>
      </c>
      <c r="CG47" s="272">
        <v>2070</v>
      </c>
      <c r="CH47" s="272">
        <v>341605</v>
      </c>
      <c r="CI47" s="272">
        <v>240489</v>
      </c>
      <c r="CJ47" s="455">
        <f t="shared" si="7"/>
        <v>101116</v>
      </c>
      <c r="CK47" s="272">
        <v>654555</v>
      </c>
      <c r="CL47" s="272">
        <v>412390</v>
      </c>
      <c r="CM47" s="272">
        <v>33114</v>
      </c>
      <c r="CN47" s="272">
        <v>107547</v>
      </c>
      <c r="CO47" s="272">
        <v>16333</v>
      </c>
      <c r="CP47" s="272">
        <v>229954</v>
      </c>
      <c r="CQ47" s="272">
        <v>84050</v>
      </c>
      <c r="CR47" s="272">
        <v>25625</v>
      </c>
      <c r="CS47" s="272">
        <v>25625</v>
      </c>
      <c r="CT47" s="455">
        <f t="shared" si="8"/>
        <v>12676</v>
      </c>
      <c r="CU47" s="272">
        <v>7272</v>
      </c>
      <c r="CV47" s="272">
        <v>5404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414414</v>
      </c>
      <c r="DD47" s="272">
        <v>78087</v>
      </c>
      <c r="DE47" s="272">
        <v>322164</v>
      </c>
      <c r="DF47" s="272">
        <v>14163</v>
      </c>
      <c r="DG47" s="272">
        <v>0</v>
      </c>
      <c r="DH47" s="272">
        <v>0</v>
      </c>
      <c r="DI47" s="272">
        <v>63059</v>
      </c>
      <c r="DJ47" s="272">
        <v>32042</v>
      </c>
      <c r="DK47" s="272">
        <v>397</v>
      </c>
      <c r="DL47" s="272">
        <v>30620</v>
      </c>
      <c r="DM47" s="272">
        <v>7500</v>
      </c>
      <c r="DN47" s="272">
        <v>7500</v>
      </c>
      <c r="DO47" s="272">
        <v>7500</v>
      </c>
      <c r="DP47" s="272">
        <v>0</v>
      </c>
      <c r="DQ47" s="272">
        <v>0</v>
      </c>
      <c r="DR47" s="272">
        <v>0</v>
      </c>
      <c r="DS47" s="272">
        <v>0</v>
      </c>
      <c r="DT47" s="272">
        <v>317032</v>
      </c>
      <c r="DU47" s="272">
        <v>104540</v>
      </c>
      <c r="DV47" s="455">
        <f t="shared" si="11"/>
        <v>0</v>
      </c>
      <c r="DW47" s="272">
        <v>0</v>
      </c>
      <c r="DX47" s="272">
        <v>0</v>
      </c>
      <c r="DY47" s="272">
        <v>0</v>
      </c>
      <c r="DZ47" s="272">
        <v>58150</v>
      </c>
      <c r="EA47" s="272">
        <v>39621</v>
      </c>
      <c r="EB47" s="272">
        <v>79097</v>
      </c>
      <c r="EC47" s="272">
        <v>0</v>
      </c>
      <c r="ED47" s="272">
        <v>3140812</v>
      </c>
      <c r="EE47" s="89"/>
      <c r="EF47" s="272">
        <v>71046</v>
      </c>
      <c r="EG47" s="272">
        <v>11307</v>
      </c>
      <c r="EH47" s="272">
        <v>59739</v>
      </c>
      <c r="EI47" s="272">
        <v>280</v>
      </c>
      <c r="EJ47" s="272">
        <v>-72678</v>
      </c>
      <c r="EL47" s="272"/>
      <c r="EM47" s="272">
        <v>7001</v>
      </c>
      <c r="EN47" s="272">
        <v>148285</v>
      </c>
      <c r="EO47" s="272">
        <v>445</v>
      </c>
      <c r="EP47" s="455">
        <f t="shared" si="12"/>
        <v>70308</v>
      </c>
      <c r="EQ47" s="272">
        <v>2303615</v>
      </c>
      <c r="ER47" s="272">
        <v>-298541</v>
      </c>
      <c r="ES47" s="272">
        <v>931853</v>
      </c>
      <c r="ET47" s="272">
        <v>617017</v>
      </c>
      <c r="EU47" s="272">
        <v>45087</v>
      </c>
      <c r="EV47" s="272">
        <v>341605</v>
      </c>
      <c r="EW47" s="455">
        <f t="shared" si="13"/>
        <v>36790</v>
      </c>
      <c r="EX47" s="272">
        <v>36790</v>
      </c>
      <c r="EY47" s="272">
        <v>1678</v>
      </c>
      <c r="EZ47" s="272">
        <v>31374</v>
      </c>
      <c r="FA47" s="272">
        <v>0</v>
      </c>
      <c r="FB47" s="272"/>
      <c r="FC47" s="272">
        <v>588304</v>
      </c>
      <c r="FD47" s="272">
        <v>208475</v>
      </c>
      <c r="FE47" s="272">
        <v>84050</v>
      </c>
      <c r="FF47" s="272">
        <v>303895</v>
      </c>
      <c r="FG47" s="455">
        <f t="shared" si="14"/>
        <v>75101</v>
      </c>
      <c r="FH47" s="272">
        <v>2531110</v>
      </c>
      <c r="FI47" s="384">
        <f t="shared" si="15"/>
        <v>2.9</v>
      </c>
      <c r="FJ47" s="272">
        <v>2080720</v>
      </c>
      <c r="FK47" s="272">
        <v>69244</v>
      </c>
      <c r="FL47" s="272">
        <v>721712</v>
      </c>
      <c r="FM47" s="272">
        <v>1844196</v>
      </c>
      <c r="FN47" s="460">
        <v>0.38200000000000001</v>
      </c>
      <c r="FO47" s="388">
        <v>101.7</v>
      </c>
      <c r="FP47" s="388">
        <v>42.9</v>
      </c>
      <c r="FQ47" s="388">
        <v>2.1</v>
      </c>
      <c r="FR47" s="388">
        <v>16</v>
      </c>
      <c r="FS47" s="388">
        <v>22.8</v>
      </c>
      <c r="FT47" s="388">
        <v>8</v>
      </c>
      <c r="FU47" s="388">
        <v>9.4</v>
      </c>
      <c r="FV47" s="388">
        <v>9.6999999999999993</v>
      </c>
      <c r="FW47" s="272">
        <v>3079546</v>
      </c>
      <c r="FX47" s="384">
        <f t="shared" si="16"/>
        <v>148</v>
      </c>
      <c r="FY47" s="272">
        <v>1052926</v>
      </c>
      <c r="FZ47" s="272">
        <v>467749</v>
      </c>
      <c r="GA47" s="272">
        <v>98972</v>
      </c>
      <c r="GB47" s="272">
        <v>486205</v>
      </c>
      <c r="GC47" s="272"/>
      <c r="GD47" s="272"/>
      <c r="GE47" s="384"/>
      <c r="GF47" s="388">
        <v>97.2</v>
      </c>
      <c r="GG47" s="388">
        <v>21.6</v>
      </c>
      <c r="GH47" s="388">
        <v>92.9</v>
      </c>
      <c r="GI47" s="272">
        <v>93</v>
      </c>
    </row>
    <row r="48" spans="2:191" x14ac:dyDescent="0.15">
      <c r="B48" s="89" t="s">
        <v>839</v>
      </c>
      <c r="C48" s="272">
        <v>6442728</v>
      </c>
      <c r="D48" s="455">
        <f t="shared" si="0"/>
        <v>1862756</v>
      </c>
      <c r="E48" s="272">
        <v>28389</v>
      </c>
      <c r="F48" s="272">
        <v>1834367</v>
      </c>
      <c r="G48" s="455">
        <f t="shared" si="1"/>
        <v>491699</v>
      </c>
      <c r="H48" s="272">
        <v>127777</v>
      </c>
      <c r="I48" s="272">
        <v>363922</v>
      </c>
      <c r="J48" s="272">
        <v>3388645</v>
      </c>
      <c r="K48" s="272">
        <v>1856783</v>
      </c>
      <c r="L48" s="272">
        <v>1091753</v>
      </c>
      <c r="M48" s="272">
        <v>421804</v>
      </c>
      <c r="N48" s="272">
        <v>240192</v>
      </c>
      <c r="O48" s="272">
        <v>409935</v>
      </c>
      <c r="P48" s="272">
        <v>270836</v>
      </c>
      <c r="Q48" s="272">
        <v>139099</v>
      </c>
      <c r="R48" s="272">
        <v>90509</v>
      </c>
      <c r="S48" s="272"/>
      <c r="T48" s="455">
        <f t="shared" si="2"/>
        <v>751679</v>
      </c>
      <c r="U48" s="272">
        <v>251438</v>
      </c>
      <c r="V48" s="272"/>
      <c r="W48" s="272"/>
      <c r="X48" s="272">
        <v>392985</v>
      </c>
      <c r="Y48" s="272">
        <v>16722</v>
      </c>
      <c r="Z48" s="272">
        <v>0</v>
      </c>
      <c r="AA48" s="272">
        <v>90534</v>
      </c>
      <c r="AB48" s="272">
        <v>196342</v>
      </c>
      <c r="AC48" s="272">
        <v>1326636</v>
      </c>
      <c r="AD48" s="272">
        <v>961850</v>
      </c>
      <c r="AE48" s="272">
        <v>364786</v>
      </c>
      <c r="AF48" s="272">
        <v>9789</v>
      </c>
      <c r="AG48" s="272">
        <v>36396</v>
      </c>
      <c r="AH48" s="455">
        <f t="shared" si="3"/>
        <v>233456</v>
      </c>
      <c r="AI48" s="272">
        <v>144496</v>
      </c>
      <c r="AJ48" s="272">
        <v>88960</v>
      </c>
      <c r="AK48" s="272">
        <v>854246</v>
      </c>
      <c r="AL48" s="455">
        <f t="shared" si="4"/>
        <v>415312</v>
      </c>
      <c r="AM48" s="272">
        <v>292769</v>
      </c>
      <c r="AN48" s="272">
        <v>110148</v>
      </c>
      <c r="AO48" s="272">
        <v>0</v>
      </c>
      <c r="AP48" s="272">
        <v>12395</v>
      </c>
      <c r="AQ48" s="272">
        <v>159221</v>
      </c>
      <c r="AR48" s="272">
        <v>0</v>
      </c>
      <c r="AS48" s="272">
        <v>0</v>
      </c>
      <c r="AT48" s="272">
        <v>558076</v>
      </c>
      <c r="AU48" s="272">
        <v>313870</v>
      </c>
      <c r="AV48" s="272">
        <v>50907</v>
      </c>
      <c r="AW48" s="272">
        <v>66734</v>
      </c>
      <c r="AX48" s="272">
        <v>244206</v>
      </c>
      <c r="AY48" s="272">
        <v>32646</v>
      </c>
      <c r="AZ48" s="272">
        <v>37697</v>
      </c>
      <c r="BA48" s="272">
        <v>0</v>
      </c>
      <c r="BB48" s="272">
        <v>23376</v>
      </c>
      <c r="BC48" s="272">
        <v>698200</v>
      </c>
      <c r="BD48" s="272">
        <v>68000</v>
      </c>
      <c r="BE48" s="272">
        <v>0</v>
      </c>
      <c r="BF48" s="272">
        <v>630200</v>
      </c>
      <c r="BG48" s="272">
        <v>0</v>
      </c>
      <c r="BH48" s="272">
        <v>105743</v>
      </c>
      <c r="BI48" s="272">
        <v>105743</v>
      </c>
      <c r="BJ48" s="272">
        <v>120253</v>
      </c>
      <c r="BK48" s="272">
        <v>348</v>
      </c>
      <c r="BL48" s="272">
        <v>0</v>
      </c>
      <c r="BM48" s="272">
        <v>0</v>
      </c>
      <c r="BN48" s="272">
        <v>1258200</v>
      </c>
      <c r="BO48" s="455">
        <f t="shared" si="5"/>
        <v>1071400</v>
      </c>
      <c r="BP48" s="455">
        <f t="shared" si="6"/>
        <v>186800</v>
      </c>
      <c r="BQ48" s="272">
        <v>0</v>
      </c>
      <c r="BR48" s="272">
        <v>0</v>
      </c>
      <c r="BS48" s="272">
        <v>186800</v>
      </c>
      <c r="BT48" s="272">
        <v>0</v>
      </c>
      <c r="BU48" s="272">
        <v>12743326</v>
      </c>
      <c r="BV48" s="272"/>
      <c r="BW48" s="272">
        <v>3395220</v>
      </c>
      <c r="BX48" s="272">
        <v>2475308</v>
      </c>
      <c r="BY48" s="272">
        <v>268607</v>
      </c>
      <c r="BZ48" s="272">
        <v>31360</v>
      </c>
      <c r="CA48" s="272">
        <v>1114673</v>
      </c>
      <c r="CB48" s="272">
        <v>306508</v>
      </c>
      <c r="CC48" s="272">
        <v>145394</v>
      </c>
      <c r="CD48" s="272">
        <v>241575</v>
      </c>
      <c r="CE48" s="272">
        <v>399978</v>
      </c>
      <c r="CF48" s="272">
        <v>0</v>
      </c>
      <c r="CG48" s="272">
        <v>21168</v>
      </c>
      <c r="CH48" s="272">
        <v>1094019</v>
      </c>
      <c r="CI48" s="272">
        <v>759522</v>
      </c>
      <c r="CJ48" s="455">
        <f t="shared" si="7"/>
        <v>334497</v>
      </c>
      <c r="CK48" s="272">
        <v>1961070</v>
      </c>
      <c r="CL48" s="272">
        <v>1138437</v>
      </c>
      <c r="CM48" s="272">
        <v>187175</v>
      </c>
      <c r="CN48" s="272">
        <v>290744</v>
      </c>
      <c r="CO48" s="272">
        <v>58876</v>
      </c>
      <c r="CP48" s="272">
        <v>735844</v>
      </c>
      <c r="CQ48" s="272">
        <v>338128</v>
      </c>
      <c r="CR48" s="272">
        <v>184980</v>
      </c>
      <c r="CS48" s="272">
        <v>155130</v>
      </c>
      <c r="CT48" s="455">
        <f t="shared" si="8"/>
        <v>1783</v>
      </c>
      <c r="CU48" s="272">
        <v>1783</v>
      </c>
      <c r="CV48" s="272">
        <v>0</v>
      </c>
      <c r="CW48" s="455">
        <f t="shared" si="9"/>
        <v>0</v>
      </c>
      <c r="CX48" s="272">
        <v>0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2475729</v>
      </c>
      <c r="DD48" s="272">
        <v>344192</v>
      </c>
      <c r="DE48" s="272">
        <v>2131537</v>
      </c>
      <c r="DF48" s="272">
        <v>0</v>
      </c>
      <c r="DG48" s="272">
        <v>0</v>
      </c>
      <c r="DH48" s="272">
        <v>0</v>
      </c>
      <c r="DI48" s="272">
        <v>225376</v>
      </c>
      <c r="DJ48" s="272">
        <v>104949</v>
      </c>
      <c r="DK48" s="272">
        <v>2163</v>
      </c>
      <c r="DL48" s="272">
        <v>118264</v>
      </c>
      <c r="DM48" s="272">
        <v>0</v>
      </c>
      <c r="DN48" s="272">
        <v>0</v>
      </c>
      <c r="DO48" s="272">
        <v>0</v>
      </c>
      <c r="DP48" s="272">
        <v>0</v>
      </c>
      <c r="DQ48" s="272">
        <v>0</v>
      </c>
      <c r="DR48" s="272">
        <v>0</v>
      </c>
      <c r="DS48" s="272">
        <v>0</v>
      </c>
      <c r="DT48" s="272">
        <v>1584054</v>
      </c>
      <c r="DU48" s="272">
        <v>828403</v>
      </c>
      <c r="DV48" s="455">
        <f t="shared" si="11"/>
        <v>0</v>
      </c>
      <c r="DW48" s="272">
        <v>0</v>
      </c>
      <c r="DX48" s="272">
        <v>0</v>
      </c>
      <c r="DY48" s="272">
        <v>0</v>
      </c>
      <c r="DZ48" s="272">
        <v>388000</v>
      </c>
      <c r="EA48" s="272">
        <v>161483</v>
      </c>
      <c r="EB48" s="272">
        <v>203850</v>
      </c>
      <c r="EC48" s="272">
        <v>0</v>
      </c>
      <c r="ED48" s="272">
        <v>12644861</v>
      </c>
      <c r="EE48" s="89"/>
      <c r="EF48" s="272">
        <v>98465</v>
      </c>
      <c r="EG48" s="272">
        <v>0</v>
      </c>
      <c r="EH48" s="272">
        <v>98465</v>
      </c>
      <c r="EI48" s="272">
        <v>-7278</v>
      </c>
      <c r="EJ48" s="272">
        <v>29671</v>
      </c>
      <c r="EL48" s="272"/>
      <c r="EM48" s="272">
        <v>38289</v>
      </c>
      <c r="EN48" s="272">
        <v>543000</v>
      </c>
      <c r="EO48" s="272">
        <v>3462</v>
      </c>
      <c r="EP48" s="455">
        <f t="shared" si="12"/>
        <v>192922</v>
      </c>
      <c r="EQ48" s="272">
        <v>8817683</v>
      </c>
      <c r="ER48" s="272">
        <v>-916395</v>
      </c>
      <c r="ES48" s="272">
        <v>3048506</v>
      </c>
      <c r="ET48" s="272">
        <v>2144397</v>
      </c>
      <c r="EU48" s="272">
        <v>380587</v>
      </c>
      <c r="EV48" s="272">
        <v>1094019</v>
      </c>
      <c r="EW48" s="455">
        <f t="shared" si="13"/>
        <v>946529</v>
      </c>
      <c r="EX48" s="272">
        <v>946529</v>
      </c>
      <c r="EY48" s="272">
        <v>28437</v>
      </c>
      <c r="EZ48" s="272">
        <v>918092</v>
      </c>
      <c r="FA48" s="272">
        <v>0</v>
      </c>
      <c r="FB48" s="272"/>
      <c r="FC48" s="272">
        <v>1697321</v>
      </c>
      <c r="FD48" s="272">
        <v>711308</v>
      </c>
      <c r="FE48" s="272">
        <v>338128</v>
      </c>
      <c r="FF48" s="272">
        <v>1504424</v>
      </c>
      <c r="FG48" s="455">
        <f t="shared" si="14"/>
        <v>252919</v>
      </c>
      <c r="FH48" s="272">
        <v>9635613</v>
      </c>
      <c r="FI48" s="384">
        <f t="shared" si="15"/>
        <v>1.2</v>
      </c>
      <c r="FJ48" s="272">
        <v>7971890</v>
      </c>
      <c r="FK48" s="272">
        <v>186883</v>
      </c>
      <c r="FL48" s="272">
        <v>5282982</v>
      </c>
      <c r="FM48" s="272">
        <v>6249461</v>
      </c>
      <c r="FN48" s="460">
        <v>0.84499999999999997</v>
      </c>
      <c r="FO48" s="388">
        <v>88.4</v>
      </c>
      <c r="FP48" s="388">
        <v>35.200000000000003</v>
      </c>
      <c r="FQ48" s="388">
        <v>4.5999999999999996</v>
      </c>
      <c r="FR48" s="388">
        <v>13.2</v>
      </c>
      <c r="FS48" s="388">
        <v>19</v>
      </c>
      <c r="FT48" s="388">
        <v>6.4</v>
      </c>
      <c r="FU48" s="388">
        <v>9.1999999999999993</v>
      </c>
      <c r="FV48" s="388">
        <v>8.8000000000000007</v>
      </c>
      <c r="FW48" s="272">
        <v>10076202</v>
      </c>
      <c r="FX48" s="384">
        <f t="shared" si="16"/>
        <v>126.4</v>
      </c>
      <c r="FY48" s="272">
        <v>7764809</v>
      </c>
      <c r="FZ48" s="272">
        <v>2231683</v>
      </c>
      <c r="GA48" s="272">
        <v>580919</v>
      </c>
      <c r="GB48" s="272">
        <v>4952207</v>
      </c>
      <c r="GC48" s="272"/>
      <c r="GD48" s="272">
        <v>5243212</v>
      </c>
      <c r="GE48" s="384">
        <f>ROUND(GD48/FJ48*100,1)</f>
        <v>65.8</v>
      </c>
      <c r="GF48" s="388">
        <v>97.3</v>
      </c>
      <c r="GG48" s="388">
        <v>24.7</v>
      </c>
      <c r="GH48" s="388">
        <v>90</v>
      </c>
      <c r="GI48" s="272">
        <v>362</v>
      </c>
    </row>
    <row r="49" spans="2:191" x14ac:dyDescent="0.15">
      <c r="B49" s="21" t="s">
        <v>89</v>
      </c>
      <c r="C49" s="272">
        <f>SUM(C38:C48)</f>
        <v>34999472</v>
      </c>
      <c r="D49" s="455">
        <f t="shared" si="0"/>
        <v>11599914</v>
      </c>
      <c r="E49" s="272">
        <f>SUM(E38:E48)</f>
        <v>166498</v>
      </c>
      <c r="F49" s="272">
        <f>SUM(F38:F48)</f>
        <v>11433416</v>
      </c>
      <c r="G49" s="455">
        <f t="shared" si="1"/>
        <v>2098223</v>
      </c>
      <c r="H49" s="272">
        <f t="shared" ref="H49:R49" si="27">SUM(H38:H48)</f>
        <v>433615</v>
      </c>
      <c r="I49" s="272">
        <f t="shared" si="27"/>
        <v>1664608</v>
      </c>
      <c r="J49" s="272">
        <f t="shared" si="27"/>
        <v>17532488</v>
      </c>
      <c r="K49" s="272">
        <f t="shared" si="27"/>
        <v>8411590</v>
      </c>
      <c r="L49" s="272">
        <f t="shared" si="27"/>
        <v>6062555</v>
      </c>
      <c r="M49" s="272">
        <f t="shared" si="27"/>
        <v>2941414</v>
      </c>
      <c r="N49" s="272">
        <f t="shared" si="27"/>
        <v>2289568</v>
      </c>
      <c r="O49" s="272">
        <f t="shared" si="27"/>
        <v>1113155</v>
      </c>
      <c r="P49" s="272">
        <f t="shared" si="27"/>
        <v>725159</v>
      </c>
      <c r="Q49" s="272">
        <f t="shared" si="27"/>
        <v>387996</v>
      </c>
      <c r="R49" s="272">
        <f t="shared" si="27"/>
        <v>695232</v>
      </c>
      <c r="S49" s="272"/>
      <c r="T49" s="455">
        <f t="shared" si="2"/>
        <v>4410173</v>
      </c>
      <c r="U49" s="272">
        <f>SUM(U38:U48)</f>
        <v>1483479</v>
      </c>
      <c r="V49" s="272"/>
      <c r="W49" s="272"/>
      <c r="X49" s="272">
        <f t="shared" ref="X49:AG49" si="28">SUM(X38:X48)</f>
        <v>1961199</v>
      </c>
      <c r="Y49" s="272">
        <f t="shared" si="28"/>
        <v>313883</v>
      </c>
      <c r="Z49" s="272">
        <f t="shared" si="28"/>
        <v>195</v>
      </c>
      <c r="AA49" s="272">
        <f t="shared" si="28"/>
        <v>651417</v>
      </c>
      <c r="AB49" s="272">
        <f t="shared" si="28"/>
        <v>1205824</v>
      </c>
      <c r="AC49" s="272">
        <f t="shared" si="28"/>
        <v>18484411</v>
      </c>
      <c r="AD49" s="272">
        <f t="shared" si="28"/>
        <v>15465415</v>
      </c>
      <c r="AE49" s="272">
        <f t="shared" si="28"/>
        <v>3018996</v>
      </c>
      <c r="AF49" s="272">
        <f t="shared" si="28"/>
        <v>46458</v>
      </c>
      <c r="AG49" s="272">
        <f t="shared" si="28"/>
        <v>208629</v>
      </c>
      <c r="AH49" s="455">
        <f t="shared" si="3"/>
        <v>1630095</v>
      </c>
      <c r="AI49" s="272">
        <f>SUM(AI38:AI48)</f>
        <v>1305013</v>
      </c>
      <c r="AJ49" s="272">
        <f>SUM(AJ38:AJ48)</f>
        <v>325082</v>
      </c>
      <c r="AK49" s="272">
        <f>SUM(AK38:AK48)</f>
        <v>3286579</v>
      </c>
      <c r="AL49" s="455">
        <f t="shared" si="4"/>
        <v>959563</v>
      </c>
      <c r="AM49" s="272">
        <f t="shared" ref="AM49:BN49" si="29">SUM(AM38:AM48)</f>
        <v>359110</v>
      </c>
      <c r="AN49" s="272">
        <f t="shared" si="29"/>
        <v>567123</v>
      </c>
      <c r="AO49" s="272">
        <f t="shared" si="29"/>
        <v>0</v>
      </c>
      <c r="AP49" s="272">
        <f t="shared" si="29"/>
        <v>33330</v>
      </c>
      <c r="AQ49" s="272">
        <f t="shared" si="29"/>
        <v>891749</v>
      </c>
      <c r="AR49" s="272">
        <f t="shared" si="29"/>
        <v>738</v>
      </c>
      <c r="AS49" s="272">
        <f t="shared" si="29"/>
        <v>0</v>
      </c>
      <c r="AT49" s="272">
        <f t="shared" si="29"/>
        <v>3486653</v>
      </c>
      <c r="AU49" s="272">
        <f t="shared" si="29"/>
        <v>1656689</v>
      </c>
      <c r="AV49" s="272">
        <f t="shared" si="29"/>
        <v>266843</v>
      </c>
      <c r="AW49" s="272">
        <f t="shared" si="29"/>
        <v>184298</v>
      </c>
      <c r="AX49" s="272">
        <f t="shared" si="29"/>
        <v>1829964</v>
      </c>
      <c r="AY49" s="272">
        <f t="shared" si="29"/>
        <v>429422</v>
      </c>
      <c r="AZ49" s="272">
        <f t="shared" si="29"/>
        <v>266062</v>
      </c>
      <c r="BA49" s="272">
        <f t="shared" si="29"/>
        <v>30892</v>
      </c>
      <c r="BB49" s="272">
        <f t="shared" si="29"/>
        <v>280379</v>
      </c>
      <c r="BC49" s="272">
        <f t="shared" si="29"/>
        <v>3004111</v>
      </c>
      <c r="BD49" s="272">
        <f t="shared" si="29"/>
        <v>795000</v>
      </c>
      <c r="BE49" s="272">
        <f t="shared" si="29"/>
        <v>200595</v>
      </c>
      <c r="BF49" s="272">
        <f t="shared" si="29"/>
        <v>1627909</v>
      </c>
      <c r="BG49" s="272">
        <f t="shared" si="29"/>
        <v>0</v>
      </c>
      <c r="BH49" s="272">
        <f t="shared" si="29"/>
        <v>1868207</v>
      </c>
      <c r="BI49" s="272">
        <f t="shared" si="29"/>
        <v>1582582</v>
      </c>
      <c r="BJ49" s="272">
        <f t="shared" si="29"/>
        <v>1733122</v>
      </c>
      <c r="BK49" s="272">
        <f t="shared" si="29"/>
        <v>279607</v>
      </c>
      <c r="BL49" s="272">
        <f t="shared" si="29"/>
        <v>0</v>
      </c>
      <c r="BM49" s="272">
        <f t="shared" si="29"/>
        <v>0</v>
      </c>
      <c r="BN49" s="272">
        <f t="shared" si="29"/>
        <v>5602200</v>
      </c>
      <c r="BO49" s="455">
        <f t="shared" si="5"/>
        <v>3975100</v>
      </c>
      <c r="BP49" s="455">
        <f t="shared" si="6"/>
        <v>1627100</v>
      </c>
      <c r="BQ49" s="272">
        <f>SUM(BQ38:BQ48)</f>
        <v>326800</v>
      </c>
      <c r="BR49" s="272">
        <f>SUM(BR38:BR48)</f>
        <v>0</v>
      </c>
      <c r="BS49" s="272">
        <f>SUM(BS38:BS48)</f>
        <v>1300300</v>
      </c>
      <c r="BT49" s="272">
        <v>0</v>
      </c>
      <c r="BU49" s="272">
        <f>SUM(BU38:BU48)</f>
        <v>81207607</v>
      </c>
      <c r="BV49" s="272"/>
      <c r="BW49" s="272">
        <f t="shared" ref="BW49:CI49" si="30">SUM(BW38:BW48)</f>
        <v>22388287</v>
      </c>
      <c r="BX49" s="272">
        <f t="shared" si="30"/>
        <v>15808827</v>
      </c>
      <c r="BY49" s="272">
        <f t="shared" si="30"/>
        <v>1476961</v>
      </c>
      <c r="BZ49" s="272">
        <f t="shared" si="30"/>
        <v>605485</v>
      </c>
      <c r="CA49" s="272">
        <f t="shared" si="30"/>
        <v>4285799</v>
      </c>
      <c r="CB49" s="272">
        <f t="shared" si="30"/>
        <v>1155611</v>
      </c>
      <c r="CC49" s="272">
        <f t="shared" si="30"/>
        <v>832375</v>
      </c>
      <c r="CD49" s="272">
        <f t="shared" si="30"/>
        <v>1665797</v>
      </c>
      <c r="CE49" s="272">
        <f t="shared" si="30"/>
        <v>488361</v>
      </c>
      <c r="CF49" s="272">
        <f t="shared" si="30"/>
        <v>6076</v>
      </c>
      <c r="CG49" s="272">
        <f t="shared" si="30"/>
        <v>137529</v>
      </c>
      <c r="CH49" s="272">
        <f t="shared" si="30"/>
        <v>9939830</v>
      </c>
      <c r="CI49" s="272">
        <f t="shared" si="30"/>
        <v>7084146</v>
      </c>
      <c r="CJ49" s="455">
        <f t="shared" si="7"/>
        <v>2855684</v>
      </c>
      <c r="CK49" s="272">
        <f t="shared" ref="CK49:CS49" si="31">SUM(CK38:CK48)</f>
        <v>12832077</v>
      </c>
      <c r="CL49" s="272">
        <f t="shared" si="31"/>
        <v>6646693</v>
      </c>
      <c r="CM49" s="272">
        <f t="shared" si="31"/>
        <v>1104526</v>
      </c>
      <c r="CN49" s="272">
        <f t="shared" si="31"/>
        <v>2904028</v>
      </c>
      <c r="CO49" s="272">
        <f t="shared" si="31"/>
        <v>940103</v>
      </c>
      <c r="CP49" s="272">
        <f t="shared" si="31"/>
        <v>5574387</v>
      </c>
      <c r="CQ49" s="272">
        <f t="shared" si="31"/>
        <v>1986388</v>
      </c>
      <c r="CR49" s="272">
        <f t="shared" si="31"/>
        <v>1348045</v>
      </c>
      <c r="CS49" s="272">
        <f t="shared" si="31"/>
        <v>1126632</v>
      </c>
      <c r="CT49" s="455">
        <f t="shared" si="8"/>
        <v>326519</v>
      </c>
      <c r="CU49" s="272">
        <f>SUM(CU38:CU48)</f>
        <v>195587</v>
      </c>
      <c r="CV49" s="272">
        <f>SUM(CV38:CV48)</f>
        <v>130932</v>
      </c>
      <c r="CW49" s="455">
        <f t="shared" si="9"/>
        <v>142388</v>
      </c>
      <c r="CX49" s="272">
        <f>SUM(CX38:CX48)</f>
        <v>120804</v>
      </c>
      <c r="CY49" s="272">
        <f>SUM(CY38:CY48)</f>
        <v>21584</v>
      </c>
      <c r="CZ49" s="455">
        <f t="shared" si="10"/>
        <v>0</v>
      </c>
      <c r="DA49" s="272">
        <f t="shared" ref="DA49:DU49" si="32">SUM(DA38:DA48)</f>
        <v>0</v>
      </c>
      <c r="DB49" s="272">
        <f t="shared" si="32"/>
        <v>0</v>
      </c>
      <c r="DC49" s="272">
        <f t="shared" si="32"/>
        <v>10985897</v>
      </c>
      <c r="DD49" s="272">
        <f t="shared" si="32"/>
        <v>2305193</v>
      </c>
      <c r="DE49" s="272">
        <f t="shared" si="32"/>
        <v>8315004</v>
      </c>
      <c r="DF49" s="272">
        <f t="shared" si="32"/>
        <v>277588</v>
      </c>
      <c r="DG49" s="272">
        <f t="shared" si="32"/>
        <v>86612</v>
      </c>
      <c r="DH49" s="272">
        <f t="shared" si="32"/>
        <v>24586</v>
      </c>
      <c r="DI49" s="272">
        <f t="shared" si="32"/>
        <v>2981763</v>
      </c>
      <c r="DJ49" s="272">
        <f t="shared" si="32"/>
        <v>2006918</v>
      </c>
      <c r="DK49" s="272">
        <f t="shared" si="32"/>
        <v>205816</v>
      </c>
      <c r="DL49" s="272">
        <f t="shared" si="32"/>
        <v>769029</v>
      </c>
      <c r="DM49" s="272">
        <f t="shared" si="32"/>
        <v>22500</v>
      </c>
      <c r="DN49" s="272">
        <f t="shared" si="32"/>
        <v>22500</v>
      </c>
      <c r="DO49" s="272">
        <f t="shared" si="32"/>
        <v>22500</v>
      </c>
      <c r="DP49" s="272">
        <f t="shared" si="32"/>
        <v>0</v>
      </c>
      <c r="DQ49" s="272">
        <f t="shared" si="32"/>
        <v>61351</v>
      </c>
      <c r="DR49" s="272">
        <f t="shared" si="32"/>
        <v>0</v>
      </c>
      <c r="DS49" s="272">
        <f t="shared" si="32"/>
        <v>0</v>
      </c>
      <c r="DT49" s="272">
        <f t="shared" si="32"/>
        <v>9183078</v>
      </c>
      <c r="DU49" s="272">
        <f t="shared" si="32"/>
        <v>4930179</v>
      </c>
      <c r="DV49" s="455">
        <f t="shared" si="11"/>
        <v>0</v>
      </c>
      <c r="DW49" s="272">
        <f t="shared" ref="DW49:ED49" si="33">SUM(DW38:DW48)</f>
        <v>0</v>
      </c>
      <c r="DX49" s="272">
        <f t="shared" si="33"/>
        <v>0</v>
      </c>
      <c r="DY49" s="272">
        <f t="shared" si="33"/>
        <v>0</v>
      </c>
      <c r="DZ49" s="272">
        <f t="shared" si="33"/>
        <v>1580810</v>
      </c>
      <c r="EA49" s="272">
        <f t="shared" si="33"/>
        <v>1063723</v>
      </c>
      <c r="EB49" s="272">
        <f t="shared" si="33"/>
        <v>1370535</v>
      </c>
      <c r="EC49" s="272">
        <f t="shared" si="33"/>
        <v>0</v>
      </c>
      <c r="ED49" s="272">
        <f t="shared" si="33"/>
        <v>79219658</v>
      </c>
      <c r="EE49" s="89"/>
      <c r="EF49" s="272">
        <f>SUM(EF38:EF48)</f>
        <v>1987949</v>
      </c>
      <c r="EG49" s="272">
        <f>SUM(EG38:EG48)</f>
        <v>486352</v>
      </c>
      <c r="EH49" s="272">
        <f>SUM(EH38:EH48)</f>
        <v>1501597</v>
      </c>
      <c r="EI49" s="272">
        <f>SUM(EI38:EI48)</f>
        <v>-200985</v>
      </c>
      <c r="EJ49" s="272">
        <f>SUM(EJ38:EJ48)</f>
        <v>1480463</v>
      </c>
      <c r="EL49" s="272"/>
      <c r="EM49" s="272">
        <f>SUM(EM38:EM48)</f>
        <v>233661</v>
      </c>
      <c r="EN49" s="272">
        <f>SUM(EN38:EN48)</f>
        <v>2118608</v>
      </c>
      <c r="EO49" s="272">
        <f>SUM(EO38:EO48)</f>
        <v>120358</v>
      </c>
      <c r="EP49" s="455">
        <f t="shared" si="12"/>
        <v>2923181</v>
      </c>
      <c r="EQ49" s="272">
        <f t="shared" ref="EQ49:EV49" si="34">SUM(EQ38:EQ48)</f>
        <v>59841570</v>
      </c>
      <c r="ER49" s="272">
        <f t="shared" si="34"/>
        <v>-6742789</v>
      </c>
      <c r="ES49" s="272">
        <f t="shared" si="34"/>
        <v>20404989</v>
      </c>
      <c r="ET49" s="272">
        <f t="shared" si="34"/>
        <v>13998066</v>
      </c>
      <c r="EU49" s="272">
        <f t="shared" si="34"/>
        <v>1883703</v>
      </c>
      <c r="EV49" s="272">
        <f t="shared" si="34"/>
        <v>9637583</v>
      </c>
      <c r="EW49" s="455">
        <f t="shared" si="13"/>
        <v>4295094</v>
      </c>
      <c r="EX49" s="272">
        <f>SUM(EX38:EX48)</f>
        <v>4277676</v>
      </c>
      <c r="EY49" s="272">
        <f>SUM(EY38:EY48)</f>
        <v>257322</v>
      </c>
      <c r="EZ49" s="272">
        <f>SUM(EZ38:EZ48)</f>
        <v>3888049</v>
      </c>
      <c r="FA49" s="272">
        <f>SUM(FA38:FA48)</f>
        <v>17418</v>
      </c>
      <c r="FB49" s="272"/>
      <c r="FC49" s="272">
        <f>SUM(FC38:FC48)</f>
        <v>10785892</v>
      </c>
      <c r="FD49" s="272">
        <f>SUM(FD38:FD48)</f>
        <v>5189690</v>
      </c>
      <c r="FE49" s="272">
        <f>SUM(FE38:FE48)</f>
        <v>1933188</v>
      </c>
      <c r="FF49" s="272">
        <f>SUM(FF38:FF48)</f>
        <v>8706336</v>
      </c>
      <c r="FG49" s="455">
        <f t="shared" si="14"/>
        <v>3697837</v>
      </c>
      <c r="FH49" s="272">
        <f>SUM(FH38:FH48)</f>
        <v>64601124</v>
      </c>
      <c r="FI49" s="384">
        <f t="shared" si="15"/>
        <v>2.7</v>
      </c>
      <c r="FJ49" s="272">
        <f>SUM(FJ38:FJ48)</f>
        <v>54977109</v>
      </c>
      <c r="FK49" s="272">
        <f>SUM(FK38:FK48)</f>
        <v>1372203</v>
      </c>
      <c r="FL49" s="272">
        <f>SUM(FL38:FL48)</f>
        <v>29818456</v>
      </c>
      <c r="FM49" s="272">
        <f>SUM(FM38:FM48)</f>
        <v>44052625</v>
      </c>
      <c r="FN49" s="468">
        <v>0.66800000000000004</v>
      </c>
      <c r="FO49" s="469">
        <v>87.2</v>
      </c>
      <c r="FP49" s="469">
        <v>34.200000000000003</v>
      </c>
      <c r="FQ49" s="469">
        <v>3.2</v>
      </c>
      <c r="FR49" s="469">
        <v>15.9</v>
      </c>
      <c r="FS49" s="469">
        <v>16.600000000000001</v>
      </c>
      <c r="FT49" s="469">
        <v>6.9</v>
      </c>
      <c r="FU49" s="469">
        <v>8.8000000000000007</v>
      </c>
      <c r="FV49" s="469">
        <v>8.9</v>
      </c>
      <c r="FW49" s="272">
        <f>SUM(FW38:FW48)</f>
        <v>89033319</v>
      </c>
      <c r="FX49" s="384">
        <f t="shared" si="16"/>
        <v>161.9</v>
      </c>
      <c r="FY49" s="272">
        <f t="shared" ref="FY49:GD49" si="35">SUM(FY38:FY48)</f>
        <v>41893178</v>
      </c>
      <c r="FZ49" s="272">
        <f t="shared" si="35"/>
        <v>16032909</v>
      </c>
      <c r="GA49" s="272">
        <f t="shared" si="35"/>
        <v>3419694</v>
      </c>
      <c r="GB49" s="272">
        <f t="shared" si="35"/>
        <v>22440575</v>
      </c>
      <c r="GC49" s="272">
        <f t="shared" si="35"/>
        <v>0</v>
      </c>
      <c r="GD49" s="272">
        <f t="shared" si="35"/>
        <v>11184861</v>
      </c>
      <c r="GE49" s="465">
        <f>ROUND(GD49/FJ52*100,1)</f>
        <v>40.4</v>
      </c>
      <c r="GF49" s="469">
        <v>98</v>
      </c>
      <c r="GG49" s="469">
        <v>19.5</v>
      </c>
      <c r="GH49" s="469">
        <v>91.8</v>
      </c>
      <c r="GI49" s="272">
        <f>SUM(GI38:GI48)</f>
        <v>2329</v>
      </c>
    </row>
    <row r="50" spans="2:191" x14ac:dyDescent="0.15">
      <c r="B50" s="21" t="s">
        <v>91</v>
      </c>
      <c r="C50" s="272">
        <f>C37+C49</f>
        <v>827342765</v>
      </c>
      <c r="D50" s="455">
        <f t="shared" si="0"/>
        <v>279627208</v>
      </c>
      <c r="E50" s="272">
        <f>E37+E49</f>
        <v>4983671</v>
      </c>
      <c r="F50" s="272">
        <f>F37+F49</f>
        <v>274643537</v>
      </c>
      <c r="G50" s="455">
        <f t="shared" si="1"/>
        <v>58656052</v>
      </c>
      <c r="H50" s="272">
        <f t="shared" ref="H50:R50" si="36">H37+H49</f>
        <v>12569666</v>
      </c>
      <c r="I50" s="272">
        <f t="shared" si="36"/>
        <v>46086386</v>
      </c>
      <c r="J50" s="272">
        <f t="shared" si="36"/>
        <v>364713897</v>
      </c>
      <c r="K50" s="272">
        <f t="shared" si="36"/>
        <v>183125374</v>
      </c>
      <c r="L50" s="272">
        <f t="shared" si="36"/>
        <v>127350825</v>
      </c>
      <c r="M50" s="272">
        <f t="shared" si="36"/>
        <v>48473878</v>
      </c>
      <c r="N50" s="272">
        <f t="shared" si="36"/>
        <v>33610093</v>
      </c>
      <c r="O50" s="272">
        <f t="shared" si="36"/>
        <v>78173527</v>
      </c>
      <c r="P50" s="272">
        <f t="shared" si="36"/>
        <v>50870700</v>
      </c>
      <c r="Q50" s="272">
        <f t="shared" si="36"/>
        <v>27302827</v>
      </c>
      <c r="R50" s="272">
        <f t="shared" si="36"/>
        <v>13260811</v>
      </c>
      <c r="S50" s="272"/>
      <c r="T50" s="455">
        <f t="shared" si="2"/>
        <v>96230247</v>
      </c>
      <c r="U50" s="272">
        <f>U37+U49</f>
        <v>35596994</v>
      </c>
      <c r="V50" s="272"/>
      <c r="W50" s="272"/>
      <c r="X50" s="272">
        <f t="shared" ref="X50:AG50" si="37">X37+X49</f>
        <v>48510850</v>
      </c>
      <c r="Y50" s="272">
        <f t="shared" si="37"/>
        <v>1279998</v>
      </c>
      <c r="Z50" s="272">
        <f t="shared" si="37"/>
        <v>4493</v>
      </c>
      <c r="AA50" s="272">
        <f t="shared" si="37"/>
        <v>10837912</v>
      </c>
      <c r="AB50" s="272">
        <f t="shared" si="37"/>
        <v>29878603</v>
      </c>
      <c r="AC50" s="272">
        <f t="shared" si="37"/>
        <v>171821770</v>
      </c>
      <c r="AD50" s="272">
        <f t="shared" si="37"/>
        <v>154136311</v>
      </c>
      <c r="AE50" s="272">
        <f t="shared" si="37"/>
        <v>17685459</v>
      </c>
      <c r="AF50" s="272">
        <f t="shared" si="37"/>
        <v>1012877</v>
      </c>
      <c r="AG50" s="272">
        <f t="shared" si="37"/>
        <v>16672850</v>
      </c>
      <c r="AH50" s="455">
        <f t="shared" si="3"/>
        <v>36609434</v>
      </c>
      <c r="AI50" s="272">
        <f>AI37+AI49</f>
        <v>28694973</v>
      </c>
      <c r="AJ50" s="272">
        <f>AJ37+AJ49</f>
        <v>7914461</v>
      </c>
      <c r="AK50" s="272">
        <f>AK37+AK49</f>
        <v>169815333</v>
      </c>
      <c r="AL50" s="455">
        <f t="shared" si="4"/>
        <v>104203122</v>
      </c>
      <c r="AM50" s="272">
        <f t="shared" ref="AM50:BN50" si="38">AM37+AM49</f>
        <v>83467689</v>
      </c>
      <c r="AN50" s="272">
        <f t="shared" si="38"/>
        <v>19873326</v>
      </c>
      <c r="AO50" s="272">
        <f t="shared" si="38"/>
        <v>65442</v>
      </c>
      <c r="AP50" s="272">
        <f t="shared" si="38"/>
        <v>796665</v>
      </c>
      <c r="AQ50" s="272">
        <f t="shared" si="38"/>
        <v>18527182</v>
      </c>
      <c r="AR50" s="272">
        <f t="shared" si="38"/>
        <v>4191</v>
      </c>
      <c r="AS50" s="272">
        <f t="shared" si="38"/>
        <v>328004</v>
      </c>
      <c r="AT50" s="272">
        <f t="shared" si="38"/>
        <v>78372872</v>
      </c>
      <c r="AU50" s="272">
        <f t="shared" si="38"/>
        <v>40046804</v>
      </c>
      <c r="AV50" s="272">
        <f t="shared" si="38"/>
        <v>9194259</v>
      </c>
      <c r="AW50" s="272">
        <f t="shared" si="38"/>
        <v>2586226</v>
      </c>
      <c r="AX50" s="272">
        <f t="shared" si="38"/>
        <v>38326068</v>
      </c>
      <c r="AY50" s="272">
        <f t="shared" si="38"/>
        <v>5547043</v>
      </c>
      <c r="AZ50" s="272">
        <f t="shared" si="38"/>
        <v>4792379</v>
      </c>
      <c r="BA50" s="272">
        <f t="shared" si="38"/>
        <v>3024740</v>
      </c>
      <c r="BB50" s="272">
        <f t="shared" si="38"/>
        <v>3389307</v>
      </c>
      <c r="BC50" s="272">
        <f t="shared" si="38"/>
        <v>42085999</v>
      </c>
      <c r="BD50" s="272">
        <f t="shared" si="38"/>
        <v>6158200</v>
      </c>
      <c r="BE50" s="272">
        <f t="shared" si="38"/>
        <v>2378558</v>
      </c>
      <c r="BF50" s="272">
        <f t="shared" si="38"/>
        <v>26289983</v>
      </c>
      <c r="BG50" s="272">
        <f t="shared" si="38"/>
        <v>2913279</v>
      </c>
      <c r="BH50" s="272">
        <f t="shared" si="38"/>
        <v>15425049</v>
      </c>
      <c r="BI50" s="272">
        <f t="shared" si="38"/>
        <v>8654960</v>
      </c>
      <c r="BJ50" s="272">
        <f t="shared" si="38"/>
        <v>48399088</v>
      </c>
      <c r="BK50" s="272">
        <f t="shared" si="38"/>
        <v>31617802</v>
      </c>
      <c r="BL50" s="272">
        <f t="shared" si="38"/>
        <v>368635</v>
      </c>
      <c r="BM50" s="272">
        <f t="shared" si="38"/>
        <v>855245</v>
      </c>
      <c r="BN50" s="272">
        <f t="shared" si="38"/>
        <v>138210603</v>
      </c>
      <c r="BO50" s="455">
        <f t="shared" si="5"/>
        <v>107011603</v>
      </c>
      <c r="BP50" s="455">
        <f t="shared" si="6"/>
        <v>31199000</v>
      </c>
      <c r="BQ50" s="272">
        <f>BQ37+BQ49</f>
        <v>10289400</v>
      </c>
      <c r="BR50" s="272">
        <f>BR37+BR49</f>
        <v>0</v>
      </c>
      <c r="BS50" s="272">
        <f>BS37+BS49</f>
        <v>20909600</v>
      </c>
      <c r="BT50" s="272">
        <v>0</v>
      </c>
      <c r="BU50" s="272">
        <f>BU37+BU49</f>
        <v>1693647991</v>
      </c>
      <c r="BV50" s="272"/>
      <c r="BW50" s="272">
        <f t="shared" ref="BW50:CI50" si="39">BW37+BW49</f>
        <v>450854248</v>
      </c>
      <c r="BX50" s="272">
        <f t="shared" si="39"/>
        <v>318799224</v>
      </c>
      <c r="BY50" s="272">
        <f t="shared" si="39"/>
        <v>43980382</v>
      </c>
      <c r="BZ50" s="272">
        <f t="shared" si="39"/>
        <v>16546570</v>
      </c>
      <c r="CA50" s="272">
        <f t="shared" si="39"/>
        <v>240375939</v>
      </c>
      <c r="CB50" s="272">
        <f t="shared" si="39"/>
        <v>32370772</v>
      </c>
      <c r="CC50" s="272">
        <f t="shared" si="39"/>
        <v>19992283</v>
      </c>
      <c r="CD50" s="272">
        <f t="shared" si="39"/>
        <v>64451334</v>
      </c>
      <c r="CE50" s="272">
        <f t="shared" si="39"/>
        <v>111822215</v>
      </c>
      <c r="CF50" s="272">
        <f t="shared" si="39"/>
        <v>6952312</v>
      </c>
      <c r="CG50" s="272">
        <f t="shared" si="39"/>
        <v>4767926</v>
      </c>
      <c r="CH50" s="272">
        <f t="shared" si="39"/>
        <v>176700490</v>
      </c>
      <c r="CI50" s="272">
        <f t="shared" si="39"/>
        <v>124302696</v>
      </c>
      <c r="CJ50" s="455">
        <f t="shared" si="7"/>
        <v>52397794</v>
      </c>
      <c r="CK50" s="272">
        <f t="shared" ref="CK50:CS50" si="40">CK37+CK49</f>
        <v>197313749</v>
      </c>
      <c r="CL50" s="272">
        <f t="shared" si="40"/>
        <v>111397651</v>
      </c>
      <c r="CM50" s="272">
        <f t="shared" si="40"/>
        <v>11924825</v>
      </c>
      <c r="CN50" s="272">
        <f t="shared" si="40"/>
        <v>40650253</v>
      </c>
      <c r="CO50" s="272">
        <f t="shared" si="40"/>
        <v>16440775</v>
      </c>
      <c r="CP50" s="272">
        <f t="shared" si="40"/>
        <v>126492412</v>
      </c>
      <c r="CQ50" s="272">
        <f t="shared" si="40"/>
        <v>42655988</v>
      </c>
      <c r="CR50" s="272">
        <f t="shared" si="40"/>
        <v>39262256</v>
      </c>
      <c r="CS50" s="272">
        <f t="shared" si="40"/>
        <v>30206721</v>
      </c>
      <c r="CT50" s="455">
        <f t="shared" si="8"/>
        <v>18033758</v>
      </c>
      <c r="CU50" s="272">
        <f>CU37+CU49</f>
        <v>12747538</v>
      </c>
      <c r="CV50" s="272">
        <f>CV37+CV49</f>
        <v>5286220</v>
      </c>
      <c r="CW50" s="455">
        <f t="shared" si="9"/>
        <v>15063713</v>
      </c>
      <c r="CX50" s="272">
        <f>CX37+CX49</f>
        <v>11871445</v>
      </c>
      <c r="CY50" s="272">
        <f>CY37+CY49</f>
        <v>3192268</v>
      </c>
      <c r="CZ50" s="455">
        <f t="shared" si="10"/>
        <v>0</v>
      </c>
      <c r="DA50" s="272">
        <f t="shared" ref="DA50:DU50" si="41">DA37+DA49</f>
        <v>0</v>
      </c>
      <c r="DB50" s="272">
        <f t="shared" si="41"/>
        <v>0</v>
      </c>
      <c r="DC50" s="272">
        <f t="shared" si="41"/>
        <v>211940406</v>
      </c>
      <c r="DD50" s="272">
        <f t="shared" si="41"/>
        <v>45177480</v>
      </c>
      <c r="DE50" s="272">
        <f t="shared" si="41"/>
        <v>158483129</v>
      </c>
      <c r="DF50" s="272">
        <f t="shared" si="41"/>
        <v>2025088</v>
      </c>
      <c r="DG50" s="272">
        <f t="shared" si="41"/>
        <v>5881458</v>
      </c>
      <c r="DH50" s="272">
        <f t="shared" si="41"/>
        <v>168420</v>
      </c>
      <c r="DI50" s="272">
        <f t="shared" si="41"/>
        <v>28313109</v>
      </c>
      <c r="DJ50" s="272">
        <f t="shared" si="41"/>
        <v>10186139</v>
      </c>
      <c r="DK50" s="272">
        <f t="shared" si="41"/>
        <v>2472708</v>
      </c>
      <c r="DL50" s="272">
        <f t="shared" si="41"/>
        <v>15654262</v>
      </c>
      <c r="DM50" s="272">
        <f t="shared" si="41"/>
        <v>1690360</v>
      </c>
      <c r="DN50" s="272">
        <f t="shared" si="41"/>
        <v>1546160</v>
      </c>
      <c r="DO50" s="272">
        <f t="shared" si="41"/>
        <v>406971</v>
      </c>
      <c r="DP50" s="272">
        <f t="shared" si="41"/>
        <v>1139189</v>
      </c>
      <c r="DQ50" s="272">
        <f t="shared" si="41"/>
        <v>40439300</v>
      </c>
      <c r="DR50" s="272">
        <f t="shared" si="41"/>
        <v>498308</v>
      </c>
      <c r="DS50" s="272">
        <f t="shared" si="41"/>
        <v>494000</v>
      </c>
      <c r="DT50" s="272">
        <f t="shared" si="41"/>
        <v>188678368</v>
      </c>
      <c r="DU50" s="272">
        <f t="shared" si="41"/>
        <v>92543630</v>
      </c>
      <c r="DV50" s="455">
        <f t="shared" si="11"/>
        <v>124804</v>
      </c>
      <c r="DW50" s="272">
        <f t="shared" ref="DW50:ED50" si="42">DW37+DW49</f>
        <v>124804</v>
      </c>
      <c r="DX50" s="272">
        <f t="shared" si="42"/>
        <v>0</v>
      </c>
      <c r="DY50" s="272">
        <f t="shared" si="42"/>
        <v>335406</v>
      </c>
      <c r="DZ50" s="272">
        <f t="shared" si="42"/>
        <v>45718504</v>
      </c>
      <c r="EA50" s="272">
        <f t="shared" si="42"/>
        <v>20933892</v>
      </c>
      <c r="EB50" s="272">
        <f t="shared" si="42"/>
        <v>24670164</v>
      </c>
      <c r="EC50" s="272">
        <f t="shared" si="42"/>
        <v>9807786</v>
      </c>
      <c r="ED50" s="272">
        <f t="shared" si="42"/>
        <v>1689215362</v>
      </c>
      <c r="EE50" s="89"/>
      <c r="EF50" s="272">
        <f>EF37+EF49</f>
        <v>4432629</v>
      </c>
      <c r="EG50" s="272">
        <f>EG37+EG49</f>
        <v>8552365</v>
      </c>
      <c r="EH50" s="272">
        <f>EH37+EH49</f>
        <v>-4119736</v>
      </c>
      <c r="EI50" s="272">
        <f>EI37+EI49</f>
        <v>-3630921</v>
      </c>
      <c r="EJ50" s="272">
        <f>EJ37+EJ49</f>
        <v>4669036</v>
      </c>
      <c r="EL50" s="272"/>
      <c r="EM50" s="272">
        <f>EM37+EM49</f>
        <v>5364058</v>
      </c>
      <c r="EN50" s="272">
        <f>EN37+EN49</f>
        <v>17133792</v>
      </c>
      <c r="EO50" s="272">
        <f>EO37+EO49</f>
        <v>3218744</v>
      </c>
      <c r="EP50" s="455">
        <f t="shared" si="12"/>
        <v>33251897</v>
      </c>
      <c r="EQ50" s="272">
        <f t="shared" ref="EQ50:EV50" si="43">EQ37+EQ49</f>
        <v>1139875077</v>
      </c>
      <c r="ER50" s="272">
        <f t="shared" si="43"/>
        <v>-83462552</v>
      </c>
      <c r="ES50" s="272">
        <f t="shared" si="43"/>
        <v>411988953</v>
      </c>
      <c r="ET50" s="272">
        <f t="shared" si="43"/>
        <v>283155786</v>
      </c>
      <c r="EU50" s="272">
        <f t="shared" si="43"/>
        <v>78238855</v>
      </c>
      <c r="EV50" s="272">
        <f t="shared" si="43"/>
        <v>172381039</v>
      </c>
      <c r="EW50" s="455">
        <f t="shared" si="13"/>
        <v>62414559</v>
      </c>
      <c r="EX50" s="272">
        <f>EX37+EX49</f>
        <v>62284630</v>
      </c>
      <c r="EY50" s="272">
        <f>EY37+EY49</f>
        <v>6411824</v>
      </c>
      <c r="EZ50" s="272">
        <f>EZ37+EZ49</f>
        <v>55142633</v>
      </c>
      <c r="FA50" s="272">
        <f>FA37+FA49</f>
        <v>129929</v>
      </c>
      <c r="FB50" s="272"/>
      <c r="FC50" s="272">
        <f>FC37+FC49</f>
        <v>157651231</v>
      </c>
      <c r="FD50" s="272">
        <f>FD37+FD49</f>
        <v>114558662</v>
      </c>
      <c r="FE50" s="272">
        <f>FE37+FE49</f>
        <v>42583978</v>
      </c>
      <c r="FF50" s="272">
        <f>FF37+FF49</f>
        <v>175593155</v>
      </c>
      <c r="FG50" s="455">
        <f t="shared" si="14"/>
        <v>46409866</v>
      </c>
      <c r="FH50" s="272">
        <f>FH37+FH49</f>
        <v>1219236320</v>
      </c>
      <c r="FI50" s="384">
        <f t="shared" si="15"/>
        <v>-0.4</v>
      </c>
      <c r="FJ50" s="272">
        <f>FJ37+FJ49</f>
        <v>1045035751</v>
      </c>
      <c r="FK50" s="272">
        <f>FK37+FK49</f>
        <v>22403082</v>
      </c>
      <c r="FL50" s="272">
        <f>FL37+FL49</f>
        <v>671773953</v>
      </c>
      <c r="FM50" s="272">
        <f>FM37+FM49</f>
        <v>821124444</v>
      </c>
      <c r="FN50" s="468">
        <v>0.81699999999999995</v>
      </c>
      <c r="FO50" s="469">
        <v>95.1</v>
      </c>
      <c r="FP50" s="469">
        <v>36.1</v>
      </c>
      <c r="FQ50" s="469">
        <v>7.6</v>
      </c>
      <c r="FR50" s="469">
        <v>15.7</v>
      </c>
      <c r="FS50" s="469">
        <v>13.6</v>
      </c>
      <c r="FT50" s="469">
        <v>10.4</v>
      </c>
      <c r="FU50" s="469">
        <v>10.4</v>
      </c>
      <c r="FV50" s="469">
        <v>10.199999999999999</v>
      </c>
      <c r="FW50" s="272">
        <f>FW37+FW49</f>
        <v>1584365068</v>
      </c>
      <c r="FX50" s="384">
        <f t="shared" si="16"/>
        <v>151.6</v>
      </c>
      <c r="FY50" s="272">
        <f t="shared" ref="FY50:GD50" si="44">FY37+FY49</f>
        <v>344053347</v>
      </c>
      <c r="FZ50" s="272">
        <f t="shared" si="44"/>
        <v>98194061</v>
      </c>
      <c r="GA50" s="272">
        <f t="shared" si="44"/>
        <v>29521368</v>
      </c>
      <c r="GB50" s="272">
        <f t="shared" si="44"/>
        <v>216337918</v>
      </c>
      <c r="GC50" s="272">
        <f t="shared" si="44"/>
        <v>4238318</v>
      </c>
      <c r="GD50" s="272">
        <f t="shared" si="44"/>
        <v>352847168</v>
      </c>
      <c r="GE50" s="465">
        <f>ROUND(GD50/FJ53*100,1)</f>
        <v>34.700000000000003</v>
      </c>
      <c r="GF50" s="469">
        <v>97.6</v>
      </c>
      <c r="GG50" s="469">
        <v>19.3</v>
      </c>
      <c r="GH50" s="469">
        <v>91.3</v>
      </c>
      <c r="GI50" s="272">
        <f>GI37+GI49</f>
        <v>41429</v>
      </c>
    </row>
    <row r="51" spans="2:191" x14ac:dyDescent="0.15">
      <c r="E51" s="89"/>
      <c r="F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U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I51" s="89"/>
      <c r="AJ51" s="89"/>
      <c r="AK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K51" s="89"/>
      <c r="CL51" s="89"/>
      <c r="CM51" s="89"/>
      <c r="CN51" s="89"/>
      <c r="CO51" s="89"/>
      <c r="CP51" s="89"/>
      <c r="CQ51" s="89"/>
      <c r="CR51" s="89"/>
      <c r="CS51" s="89"/>
      <c r="CU51" s="89"/>
      <c r="CV51" s="89"/>
      <c r="CX51" s="89"/>
      <c r="CY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GE51" s="31" t="s">
        <v>647</v>
      </c>
    </row>
    <row r="52" spans="2:191" x14ac:dyDescent="0.15">
      <c r="E52" s="89"/>
      <c r="F52" s="89"/>
      <c r="U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X52" s="89"/>
      <c r="CY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FJ52" s="394">
        <f>FJ42+FJ43+FJ45+FJ46+FJ48</f>
        <v>27710906</v>
      </c>
      <c r="FO52" s="33"/>
      <c r="FP52" s="89" t="s">
        <v>816</v>
      </c>
    </row>
    <row r="53" spans="2:191" x14ac:dyDescent="0.15">
      <c r="U53" s="89"/>
      <c r="CX53" s="89"/>
      <c r="CY53" s="89"/>
      <c r="FJ53" s="394">
        <f>FJ37+FJ52</f>
        <v>1017769548</v>
      </c>
    </row>
    <row r="54" spans="2:191" x14ac:dyDescent="0.15">
      <c r="U54" s="89"/>
    </row>
  </sheetData>
  <phoneticPr fontId="3"/>
  <pageMargins left="0.75" right="0.75" top="1" bottom="1" header="0.51200000000000001" footer="0.51200000000000001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indexed="15"/>
  </sheetPr>
  <dimension ref="A1:GI56"/>
  <sheetViews>
    <sheetView workbookViewId="0">
      <pane xSplit="2" ySplit="5" topLeftCell="FV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</cols>
  <sheetData>
    <row r="1" spans="2:191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191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830</v>
      </c>
      <c r="O2" s="28" t="s">
        <v>840</v>
      </c>
      <c r="P2" s="28" t="s">
        <v>831</v>
      </c>
      <c r="Q2" s="28" t="s">
        <v>832</v>
      </c>
      <c r="R2" s="28" t="s">
        <v>351</v>
      </c>
      <c r="S2" s="28"/>
      <c r="U2" s="28" t="s">
        <v>794</v>
      </c>
      <c r="V2" s="28"/>
      <c r="W2" s="28"/>
      <c r="X2" s="28" t="s">
        <v>725</v>
      </c>
      <c r="Y2" s="28" t="s">
        <v>354</v>
      </c>
      <c r="Z2" s="28" t="s">
        <v>355</v>
      </c>
      <c r="AA2" s="28" t="s">
        <v>664</v>
      </c>
      <c r="AB2" s="28" t="s">
        <v>357</v>
      </c>
      <c r="AC2" s="28" t="s">
        <v>653</v>
      </c>
      <c r="AD2" s="28" t="s">
        <v>358</v>
      </c>
      <c r="AE2" s="28" t="s">
        <v>359</v>
      </c>
      <c r="AF2" s="28" t="s">
        <v>360</v>
      </c>
      <c r="AG2" s="28" t="s">
        <v>361</v>
      </c>
      <c r="AI2" s="28" t="s">
        <v>362</v>
      </c>
      <c r="AJ2" s="28" t="s">
        <v>668</v>
      </c>
      <c r="AK2" s="28" t="s">
        <v>685</v>
      </c>
      <c r="AL2" s="29"/>
      <c r="AM2" s="28" t="s">
        <v>669</v>
      </c>
      <c r="AN2" s="28" t="s">
        <v>796</v>
      </c>
      <c r="AO2" s="28" t="s">
        <v>727</v>
      </c>
      <c r="AP2" s="28" t="s">
        <v>833</v>
      </c>
      <c r="AQ2" s="28" t="s">
        <v>797</v>
      </c>
      <c r="AR2" s="28" t="s">
        <v>368</v>
      </c>
      <c r="AS2" s="28" t="s">
        <v>374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817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 t="s">
        <v>844</v>
      </c>
      <c r="BR2" s="28" t="s">
        <v>841</v>
      </c>
      <c r="BS2" s="28"/>
      <c r="BT2" s="28" t="s">
        <v>845</v>
      </c>
      <c r="BU2" s="28" t="s">
        <v>806</v>
      </c>
      <c r="BW2" s="28" t="s">
        <v>402</v>
      </c>
      <c r="BX2" s="28" t="s">
        <v>403</v>
      </c>
      <c r="BY2" s="28" t="s">
        <v>786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836</v>
      </c>
      <c r="CM2" s="28" t="s">
        <v>837</v>
      </c>
      <c r="CN2" s="28" t="s">
        <v>838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820</v>
      </c>
      <c r="CV2" s="28" t="s">
        <v>821</v>
      </c>
      <c r="CX2" s="28" t="s">
        <v>426</v>
      </c>
      <c r="CY2" s="28" t="s">
        <v>812</v>
      </c>
      <c r="DA2" s="28" t="s">
        <v>822</v>
      </c>
      <c r="DB2" s="28" t="s">
        <v>823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824</v>
      </c>
      <c r="DW2" s="28" t="s">
        <v>449</v>
      </c>
      <c r="DX2" s="28" t="s">
        <v>448</v>
      </c>
      <c r="DY2" s="28" t="s">
        <v>451</v>
      </c>
      <c r="DZ2" s="28" t="s">
        <v>825</v>
      </c>
      <c r="EA2" s="28" t="s">
        <v>826</v>
      </c>
      <c r="EB2" s="28" t="s">
        <v>453</v>
      </c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191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827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191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203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191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828</v>
      </c>
      <c r="DX5" s="30" t="s">
        <v>829</v>
      </c>
      <c r="DY5" s="30"/>
      <c r="DZ5" s="30"/>
      <c r="EA5" s="30"/>
      <c r="EB5" s="30"/>
      <c r="EC5" s="30"/>
      <c r="ED5" s="3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191" x14ac:dyDescent="0.15">
      <c r="B6" s="89" t="s">
        <v>5</v>
      </c>
      <c r="C6" s="272">
        <v>26407373</v>
      </c>
      <c r="D6" s="455">
        <f t="shared" ref="D6:D50" si="0">E6+F6</f>
        <v>8333311</v>
      </c>
      <c r="E6" s="272">
        <v>174242</v>
      </c>
      <c r="F6" s="272">
        <v>8159069</v>
      </c>
      <c r="G6" s="455">
        <f t="shared" ref="G6:G50" si="1">H6+I6</f>
        <v>1885469</v>
      </c>
      <c r="H6" s="272">
        <v>439853</v>
      </c>
      <c r="I6" s="272">
        <v>1445616</v>
      </c>
      <c r="J6" s="272">
        <v>11962578</v>
      </c>
      <c r="K6" s="272">
        <v>6439071</v>
      </c>
      <c r="L6" s="272">
        <v>3896656</v>
      </c>
      <c r="M6" s="272">
        <v>1352600</v>
      </c>
      <c r="N6" s="272">
        <v>1427993</v>
      </c>
      <c r="O6" s="272">
        <v>2595885</v>
      </c>
      <c r="P6" s="272">
        <v>1780836</v>
      </c>
      <c r="Q6" s="272">
        <v>815049</v>
      </c>
      <c r="R6" s="272">
        <v>416297</v>
      </c>
      <c r="S6" s="272"/>
      <c r="T6" s="455">
        <f t="shared" ref="T6:T50" si="2">SUM(U6:AA6)</f>
        <v>3362968</v>
      </c>
      <c r="U6" s="272">
        <v>1083318</v>
      </c>
      <c r="V6" s="272"/>
      <c r="W6" s="272"/>
      <c r="X6" s="272">
        <v>1787486</v>
      </c>
      <c r="Y6" s="272">
        <v>77735</v>
      </c>
      <c r="Z6" s="272">
        <v>5467</v>
      </c>
      <c r="AA6" s="272">
        <v>408962</v>
      </c>
      <c r="AB6" s="272">
        <v>853461</v>
      </c>
      <c r="AC6" s="272">
        <v>11171541</v>
      </c>
      <c r="AD6" s="272">
        <v>11017476</v>
      </c>
      <c r="AE6" s="272">
        <v>154065</v>
      </c>
      <c r="AF6" s="272">
        <v>39675</v>
      </c>
      <c r="AG6" s="272">
        <v>350119</v>
      </c>
      <c r="AH6" s="455">
        <f t="shared" ref="AH6:AH50" si="3">AI6+AJ6</f>
        <v>1622537</v>
      </c>
      <c r="AI6" s="272">
        <v>1432376</v>
      </c>
      <c r="AJ6" s="272">
        <v>190161</v>
      </c>
      <c r="AK6" s="272">
        <v>6109079</v>
      </c>
      <c r="AL6" s="455">
        <f t="shared" ref="AL6:AL50" si="4">SUM(AM6:AP6)</f>
        <v>3895804</v>
      </c>
      <c r="AM6" s="272">
        <v>3060458</v>
      </c>
      <c r="AN6" s="272">
        <v>798920</v>
      </c>
      <c r="AO6" s="272">
        <v>0</v>
      </c>
      <c r="AP6" s="272">
        <v>36426</v>
      </c>
      <c r="AQ6" s="272">
        <v>547362</v>
      </c>
      <c r="AR6" s="272">
        <v>0</v>
      </c>
      <c r="AS6" s="272">
        <v>0</v>
      </c>
      <c r="AT6" s="272">
        <v>3460874</v>
      </c>
      <c r="AU6" s="272">
        <v>1867352</v>
      </c>
      <c r="AV6" s="272">
        <v>425029</v>
      </c>
      <c r="AW6" s="272">
        <v>354088</v>
      </c>
      <c r="AX6" s="272">
        <v>1593522</v>
      </c>
      <c r="AY6" s="272">
        <v>202474</v>
      </c>
      <c r="AZ6" s="272">
        <v>88224</v>
      </c>
      <c r="BA6" s="272">
        <v>32822</v>
      </c>
      <c r="BB6" s="272">
        <v>17024</v>
      </c>
      <c r="BC6" s="272">
        <v>3595462</v>
      </c>
      <c r="BD6" s="272">
        <v>800000</v>
      </c>
      <c r="BE6" s="272">
        <v>685798</v>
      </c>
      <c r="BF6" s="272">
        <v>1386076</v>
      </c>
      <c r="BG6" s="272">
        <v>527005</v>
      </c>
      <c r="BH6" s="272">
        <v>555416</v>
      </c>
      <c r="BI6" s="272">
        <v>63640</v>
      </c>
      <c r="BJ6" s="272">
        <v>503911</v>
      </c>
      <c r="BK6" s="272">
        <v>121253</v>
      </c>
      <c r="BL6" s="272">
        <v>0</v>
      </c>
      <c r="BM6" s="272">
        <v>0</v>
      </c>
      <c r="BN6" s="272">
        <v>13336700</v>
      </c>
      <c r="BO6" s="455">
        <f t="shared" ref="BO6:BO50" si="5">BN6-BP6-BT6</f>
        <v>13013500</v>
      </c>
      <c r="BP6" s="455">
        <f t="shared" ref="BP6:BP50" si="6">BQ6+BR6+BS6</f>
        <v>323200</v>
      </c>
      <c r="BQ6" s="272">
        <v>323200</v>
      </c>
      <c r="BR6" s="272">
        <v>0</v>
      </c>
      <c r="BS6" s="272">
        <v>0</v>
      </c>
      <c r="BT6" s="272">
        <v>0</v>
      </c>
      <c r="BU6" s="272">
        <v>71890661</v>
      </c>
      <c r="BV6" s="272"/>
      <c r="BW6" s="272">
        <v>16909486</v>
      </c>
      <c r="BX6" s="272">
        <v>11984066</v>
      </c>
      <c r="BY6" s="272">
        <v>1866204</v>
      </c>
      <c r="BZ6" s="272">
        <v>423865</v>
      </c>
      <c r="CA6" s="272">
        <v>9812633</v>
      </c>
      <c r="CB6" s="272">
        <v>1523058</v>
      </c>
      <c r="CC6" s="272">
        <v>1093046</v>
      </c>
      <c r="CD6" s="272">
        <v>2826178</v>
      </c>
      <c r="CE6" s="272">
        <v>4102796</v>
      </c>
      <c r="CF6" s="272">
        <v>493</v>
      </c>
      <c r="CG6" s="272">
        <v>262537</v>
      </c>
      <c r="CH6" s="272">
        <v>7337996</v>
      </c>
      <c r="CI6" s="272">
        <v>4766538</v>
      </c>
      <c r="CJ6" s="455">
        <f t="shared" ref="CJ6:CJ50" si="7">CH6-CI6</f>
        <v>2571458</v>
      </c>
      <c r="CK6" s="272">
        <v>5910947</v>
      </c>
      <c r="CL6" s="272">
        <v>3059092</v>
      </c>
      <c r="CM6" s="272">
        <v>223108</v>
      </c>
      <c r="CN6" s="272">
        <v>1080085</v>
      </c>
      <c r="CO6" s="272">
        <v>211045</v>
      </c>
      <c r="CP6" s="272">
        <v>4996163</v>
      </c>
      <c r="CQ6" s="272">
        <v>1216708</v>
      </c>
      <c r="CR6" s="272">
        <v>1132379</v>
      </c>
      <c r="CS6" s="272">
        <v>978356</v>
      </c>
      <c r="CT6" s="455">
        <f t="shared" ref="CT6:CT50" si="8">CU6+CV6</f>
        <v>1725999</v>
      </c>
      <c r="CU6" s="272">
        <v>1636445</v>
      </c>
      <c r="CV6" s="272">
        <v>89554</v>
      </c>
      <c r="CW6" s="455">
        <f t="shared" ref="CW6:CW50" si="9">CX6+CY6</f>
        <v>1670000</v>
      </c>
      <c r="CX6" s="272">
        <v>1607944</v>
      </c>
      <c r="CY6" s="272">
        <v>62056</v>
      </c>
      <c r="CZ6" s="455">
        <f t="shared" ref="CZ6:CZ50" si="10">DA6+DB6</f>
        <v>0</v>
      </c>
      <c r="DA6" s="272">
        <v>0</v>
      </c>
      <c r="DB6" s="272">
        <v>0</v>
      </c>
      <c r="DC6" s="272">
        <v>16823709</v>
      </c>
      <c r="DD6" s="272">
        <v>1455688</v>
      </c>
      <c r="DE6" s="272">
        <v>15167410</v>
      </c>
      <c r="DF6" s="272">
        <v>84811</v>
      </c>
      <c r="DG6" s="272">
        <v>115800</v>
      </c>
      <c r="DH6" s="272">
        <v>0</v>
      </c>
      <c r="DI6" s="272">
        <v>139973</v>
      </c>
      <c r="DJ6" s="272">
        <v>7760</v>
      </c>
      <c r="DK6" s="272">
        <v>7466</v>
      </c>
      <c r="DL6" s="272">
        <v>124747</v>
      </c>
      <c r="DM6" s="272">
        <v>1101500</v>
      </c>
      <c r="DN6" s="272">
        <v>87500</v>
      </c>
      <c r="DO6" s="272">
        <v>87500</v>
      </c>
      <c r="DP6" s="272">
        <v>0</v>
      </c>
      <c r="DQ6" s="272">
        <v>118000</v>
      </c>
      <c r="DR6" s="272">
        <v>0</v>
      </c>
      <c r="DS6" s="272">
        <v>0</v>
      </c>
      <c r="DT6" s="272">
        <v>8192018</v>
      </c>
      <c r="DU6" s="272">
        <v>4480199</v>
      </c>
      <c r="DV6" s="455">
        <f t="shared" ref="DV6:DV50" si="11">DW6+DX6</f>
        <v>0</v>
      </c>
      <c r="DW6" s="272">
        <v>0</v>
      </c>
      <c r="DX6" s="272">
        <v>0</v>
      </c>
      <c r="DY6" s="272">
        <v>0</v>
      </c>
      <c r="DZ6" s="272">
        <v>1578870</v>
      </c>
      <c r="EA6" s="272">
        <v>844081</v>
      </c>
      <c r="EB6" s="272">
        <v>907043</v>
      </c>
      <c r="EC6" s="272">
        <v>0</v>
      </c>
      <c r="ED6" s="272">
        <v>71553470</v>
      </c>
      <c r="EF6" s="272">
        <v>337191</v>
      </c>
      <c r="EG6" s="272">
        <v>301850</v>
      </c>
      <c r="EH6" s="272">
        <v>35341</v>
      </c>
      <c r="EI6" s="272">
        <v>-28299</v>
      </c>
      <c r="EJ6" s="272">
        <v>-819349</v>
      </c>
      <c r="EL6" s="272">
        <v>200104</v>
      </c>
      <c r="EM6" s="272">
        <v>200777</v>
      </c>
      <c r="EN6" s="272">
        <v>2209386</v>
      </c>
      <c r="EO6" s="272">
        <v>51005</v>
      </c>
      <c r="EP6" s="455">
        <f t="shared" ref="EP6:EP50" si="12">EQ6-ER6-C6-R6-T6-AB6-AC6-BP6-EN6-EO6</f>
        <v>1551519</v>
      </c>
      <c r="EQ6" s="272">
        <v>42251315</v>
      </c>
      <c r="ER6" s="272">
        <v>-4095435</v>
      </c>
      <c r="ES6" s="272">
        <v>15328811</v>
      </c>
      <c r="ET6" s="272">
        <v>10420416</v>
      </c>
      <c r="EU6" s="272">
        <v>3267706</v>
      </c>
      <c r="EV6" s="272">
        <v>7249968</v>
      </c>
      <c r="EW6" s="455">
        <f t="shared" ref="EW6:EW50" si="13">EX6+FA6+FB6</f>
        <v>2299791</v>
      </c>
      <c r="EX6" s="272">
        <v>2299791</v>
      </c>
      <c r="EY6" s="272">
        <v>160853</v>
      </c>
      <c r="EZ6" s="272">
        <v>2111613</v>
      </c>
      <c r="FA6" s="272">
        <v>0</v>
      </c>
      <c r="FB6" s="272"/>
      <c r="FC6" s="272">
        <v>4921869</v>
      </c>
      <c r="FD6" s="272">
        <v>4094879</v>
      </c>
      <c r="FE6" s="272">
        <v>1216708</v>
      </c>
      <c r="FF6" s="272">
        <v>7742081</v>
      </c>
      <c r="FG6" s="455">
        <f t="shared" ref="FG6:FG50" si="14">FH6-ES6-EU6-EV6-EW6-FC6-FD6-FF6</f>
        <v>1104454</v>
      </c>
      <c r="FH6" s="272">
        <v>46009559</v>
      </c>
      <c r="FI6" s="384">
        <f t="shared" ref="FI6:FI50" si="15">ROUND(EH6/FJ6*100,1)</f>
        <v>0.1</v>
      </c>
      <c r="FJ6" s="272">
        <v>39535810</v>
      </c>
      <c r="FK6" s="272"/>
      <c r="FL6" s="272">
        <v>21506302</v>
      </c>
      <c r="FM6" s="272">
        <v>32532961</v>
      </c>
      <c r="FN6" s="460">
        <v>0.70199999999999996</v>
      </c>
      <c r="FO6" s="388">
        <v>95.5</v>
      </c>
      <c r="FP6" s="388">
        <v>36.4</v>
      </c>
      <c r="FQ6" s="388">
        <v>8.1999999999999993</v>
      </c>
      <c r="FR6" s="388">
        <v>17.600000000000001</v>
      </c>
      <c r="FS6" s="388">
        <v>11.3</v>
      </c>
      <c r="FT6" s="388">
        <v>9</v>
      </c>
      <c r="FU6" s="388">
        <v>12.5</v>
      </c>
      <c r="FV6" s="388">
        <v>11.8</v>
      </c>
      <c r="FW6" s="272">
        <v>89225492</v>
      </c>
      <c r="FX6" s="384">
        <f t="shared" ref="FX6:FX50" si="16">ROUND(FW6/FJ6*100,1)</f>
        <v>225.7</v>
      </c>
      <c r="FY6" s="272">
        <v>5328616</v>
      </c>
      <c r="FZ6" s="272">
        <v>646408</v>
      </c>
      <c r="GA6" s="272">
        <v>1007914</v>
      </c>
      <c r="GB6" s="272">
        <v>3674294</v>
      </c>
      <c r="GC6" s="272"/>
      <c r="GD6" s="272">
        <v>15433427</v>
      </c>
      <c r="GE6" s="384">
        <f t="shared" ref="GE6:GE37" si="17">ROUND(GD6/FJ6*100,1)</f>
        <v>39</v>
      </c>
      <c r="GF6" s="388">
        <v>97.2</v>
      </c>
      <c r="GG6" s="388">
        <v>19.7</v>
      </c>
      <c r="GH6" s="388">
        <v>90.7</v>
      </c>
      <c r="GI6" s="272">
        <v>1621</v>
      </c>
    </row>
    <row r="7" spans="2:191" x14ac:dyDescent="0.15">
      <c r="B7" s="89" t="s">
        <v>7</v>
      </c>
      <c r="C7" s="272">
        <v>66332567</v>
      </c>
      <c r="D7" s="455">
        <f t="shared" si="0"/>
        <v>27569876</v>
      </c>
      <c r="E7" s="272">
        <v>367365</v>
      </c>
      <c r="F7" s="272">
        <v>27202511</v>
      </c>
      <c r="G7" s="455">
        <f t="shared" si="1"/>
        <v>4226487</v>
      </c>
      <c r="H7" s="272">
        <v>980103</v>
      </c>
      <c r="I7" s="272">
        <v>3246384</v>
      </c>
      <c r="J7" s="272">
        <v>24626334</v>
      </c>
      <c r="K7" s="272">
        <v>11463899</v>
      </c>
      <c r="L7" s="272">
        <v>9518926</v>
      </c>
      <c r="M7" s="272">
        <v>3130115</v>
      </c>
      <c r="N7" s="272">
        <v>2447079</v>
      </c>
      <c r="O7" s="272">
        <v>6223788</v>
      </c>
      <c r="P7" s="272">
        <v>4011143</v>
      </c>
      <c r="Q7" s="272">
        <v>2212645</v>
      </c>
      <c r="R7" s="272">
        <v>2768089</v>
      </c>
      <c r="S7" s="272"/>
      <c r="T7" s="455">
        <f t="shared" si="2"/>
        <v>7555941</v>
      </c>
      <c r="U7" s="272">
        <v>3270611</v>
      </c>
      <c r="V7" s="272"/>
      <c r="W7" s="272"/>
      <c r="X7" s="272">
        <v>3519914</v>
      </c>
      <c r="Y7" s="272">
        <v>0</v>
      </c>
      <c r="Z7" s="272">
        <v>13523</v>
      </c>
      <c r="AA7" s="272">
        <v>751893</v>
      </c>
      <c r="AB7" s="272">
        <v>2850032</v>
      </c>
      <c r="AC7" s="272">
        <v>2268099</v>
      </c>
      <c r="AD7" s="272">
        <v>1324067</v>
      </c>
      <c r="AE7" s="272">
        <v>944032</v>
      </c>
      <c r="AF7" s="272">
        <v>65349</v>
      </c>
      <c r="AG7" s="272">
        <v>724210</v>
      </c>
      <c r="AH7" s="455">
        <f t="shared" si="3"/>
        <v>2529403</v>
      </c>
      <c r="AI7" s="272">
        <v>2251672</v>
      </c>
      <c r="AJ7" s="272">
        <v>277731</v>
      </c>
      <c r="AK7" s="272">
        <v>12680797</v>
      </c>
      <c r="AL7" s="455">
        <f t="shared" si="4"/>
        <v>7022117</v>
      </c>
      <c r="AM7" s="272">
        <v>6257156</v>
      </c>
      <c r="AN7" s="272">
        <v>657816</v>
      </c>
      <c r="AO7" s="272">
        <v>0</v>
      </c>
      <c r="AP7" s="272">
        <v>107145</v>
      </c>
      <c r="AQ7" s="272">
        <v>2302559</v>
      </c>
      <c r="AR7" s="272">
        <v>0</v>
      </c>
      <c r="AS7" s="272">
        <v>0</v>
      </c>
      <c r="AT7" s="272">
        <v>6108723</v>
      </c>
      <c r="AU7" s="272">
        <v>2275604</v>
      </c>
      <c r="AV7" s="272">
        <v>342807</v>
      </c>
      <c r="AW7" s="272">
        <v>0</v>
      </c>
      <c r="AX7" s="272">
        <v>3833119</v>
      </c>
      <c r="AY7" s="272">
        <v>454399</v>
      </c>
      <c r="AZ7" s="272">
        <v>193432</v>
      </c>
      <c r="BA7" s="272">
        <v>100781</v>
      </c>
      <c r="BB7" s="272">
        <v>498668</v>
      </c>
      <c r="BC7" s="272">
        <v>4896503</v>
      </c>
      <c r="BD7" s="272">
        <v>480000</v>
      </c>
      <c r="BE7" s="272">
        <v>0</v>
      </c>
      <c r="BF7" s="272">
        <v>2546895</v>
      </c>
      <c r="BG7" s="272">
        <v>1475147</v>
      </c>
      <c r="BH7" s="272">
        <v>1282105</v>
      </c>
      <c r="BI7" s="272">
        <v>0</v>
      </c>
      <c r="BJ7" s="272">
        <v>4814260</v>
      </c>
      <c r="BK7" s="272">
        <v>4129814</v>
      </c>
      <c r="BL7" s="272">
        <v>23196</v>
      </c>
      <c r="BM7" s="272">
        <v>0</v>
      </c>
      <c r="BN7" s="272">
        <v>11320300</v>
      </c>
      <c r="BO7" s="455">
        <f t="shared" si="5"/>
        <v>10278200</v>
      </c>
      <c r="BP7" s="455">
        <f t="shared" si="6"/>
        <v>1042100</v>
      </c>
      <c r="BQ7" s="272">
        <v>1042100</v>
      </c>
      <c r="BR7" s="272">
        <v>0</v>
      </c>
      <c r="BS7" s="272">
        <v>0</v>
      </c>
      <c r="BT7" s="272">
        <v>0</v>
      </c>
      <c r="BU7" s="272">
        <v>126888478</v>
      </c>
      <c r="BV7" s="272"/>
      <c r="BW7" s="272">
        <v>36279135</v>
      </c>
      <c r="BX7" s="272">
        <v>25656767</v>
      </c>
      <c r="BY7" s="272">
        <v>3967384</v>
      </c>
      <c r="BZ7" s="272">
        <v>1392701</v>
      </c>
      <c r="CA7" s="272">
        <v>14828688</v>
      </c>
      <c r="CB7" s="272">
        <v>1637471</v>
      </c>
      <c r="CC7" s="272">
        <v>1929928</v>
      </c>
      <c r="CD7" s="272">
        <v>2360728</v>
      </c>
      <c r="CE7" s="272">
        <v>8597085</v>
      </c>
      <c r="CF7" s="272">
        <v>0</v>
      </c>
      <c r="CG7" s="272">
        <v>302034</v>
      </c>
      <c r="CH7" s="272">
        <v>11290527</v>
      </c>
      <c r="CI7" s="272">
        <v>7378805</v>
      </c>
      <c r="CJ7" s="455">
        <f t="shared" si="7"/>
        <v>3911722</v>
      </c>
      <c r="CK7" s="272">
        <v>12707567</v>
      </c>
      <c r="CL7" s="272">
        <v>5847200</v>
      </c>
      <c r="CM7" s="272">
        <v>468020</v>
      </c>
      <c r="CN7" s="272">
        <v>3362207</v>
      </c>
      <c r="CO7" s="272">
        <v>1109989</v>
      </c>
      <c r="CP7" s="272">
        <v>14383962</v>
      </c>
      <c r="CQ7" s="272">
        <v>2839510</v>
      </c>
      <c r="CR7" s="272">
        <v>5035410</v>
      </c>
      <c r="CS7" s="272">
        <v>2841773</v>
      </c>
      <c r="CT7" s="455">
        <f t="shared" si="8"/>
        <v>2204765</v>
      </c>
      <c r="CU7" s="272">
        <v>1889243</v>
      </c>
      <c r="CV7" s="272">
        <v>315522</v>
      </c>
      <c r="CW7" s="455">
        <f t="shared" si="9"/>
        <v>2025730</v>
      </c>
      <c r="CX7" s="272">
        <v>1854517</v>
      </c>
      <c r="CY7" s="272">
        <v>171213</v>
      </c>
      <c r="CZ7" s="455">
        <f t="shared" si="10"/>
        <v>0</v>
      </c>
      <c r="DA7" s="272">
        <v>0</v>
      </c>
      <c r="DB7" s="272">
        <v>0</v>
      </c>
      <c r="DC7" s="272">
        <v>18492388</v>
      </c>
      <c r="DD7" s="272">
        <v>4815696</v>
      </c>
      <c r="DE7" s="272">
        <v>13413873</v>
      </c>
      <c r="DF7" s="272">
        <v>107941</v>
      </c>
      <c r="DG7" s="272">
        <v>21000</v>
      </c>
      <c r="DH7" s="272">
        <v>0</v>
      </c>
      <c r="DI7" s="272">
        <v>220648</v>
      </c>
      <c r="DJ7" s="272">
        <v>3639</v>
      </c>
      <c r="DK7" s="272">
        <v>0</v>
      </c>
      <c r="DL7" s="272">
        <v>217009</v>
      </c>
      <c r="DM7" s="272">
        <v>500270</v>
      </c>
      <c r="DN7" s="272">
        <v>260270</v>
      </c>
      <c r="DO7" s="272">
        <v>66000</v>
      </c>
      <c r="DP7" s="272">
        <v>194270</v>
      </c>
      <c r="DQ7" s="272">
        <v>3984185</v>
      </c>
      <c r="DR7" s="272">
        <v>0</v>
      </c>
      <c r="DS7" s="272">
        <v>0</v>
      </c>
      <c r="DT7" s="272">
        <v>12826685</v>
      </c>
      <c r="DU7" s="272">
        <v>4500000</v>
      </c>
      <c r="DV7" s="455">
        <f t="shared" si="11"/>
        <v>0</v>
      </c>
      <c r="DW7" s="272">
        <v>0</v>
      </c>
      <c r="DX7" s="272">
        <v>0</v>
      </c>
      <c r="DY7" s="272">
        <v>0</v>
      </c>
      <c r="DZ7" s="272">
        <v>4310575</v>
      </c>
      <c r="EA7" s="272">
        <v>1359638</v>
      </c>
      <c r="EB7" s="272">
        <v>1490000</v>
      </c>
      <c r="EC7" s="272">
        <v>0</v>
      </c>
      <c r="ED7" s="272">
        <v>126624044</v>
      </c>
      <c r="EF7" s="272">
        <v>264434</v>
      </c>
      <c r="EG7" s="272">
        <v>507519</v>
      </c>
      <c r="EH7" s="272">
        <v>-243085</v>
      </c>
      <c r="EI7" s="272">
        <v>415682</v>
      </c>
      <c r="EJ7" s="272">
        <v>-60679</v>
      </c>
      <c r="EL7" s="272">
        <v>391726</v>
      </c>
      <c r="EM7" s="272">
        <v>389352</v>
      </c>
      <c r="EN7" s="272">
        <v>4109896</v>
      </c>
      <c r="EO7" s="272">
        <v>49375</v>
      </c>
      <c r="EP7" s="455">
        <f t="shared" si="12"/>
        <v>1543747</v>
      </c>
      <c r="EQ7" s="272">
        <v>81840077</v>
      </c>
      <c r="ER7" s="272">
        <v>-6679769</v>
      </c>
      <c r="ES7" s="272">
        <v>33676438</v>
      </c>
      <c r="ET7" s="272">
        <v>23193029</v>
      </c>
      <c r="EU7" s="272">
        <v>4715164</v>
      </c>
      <c r="EV7" s="272">
        <v>10876848</v>
      </c>
      <c r="EW7" s="455">
        <f t="shared" si="13"/>
        <v>3716119</v>
      </c>
      <c r="EX7" s="272">
        <v>3716119</v>
      </c>
      <c r="EY7" s="272">
        <v>166175</v>
      </c>
      <c r="EZ7" s="272">
        <v>3515125</v>
      </c>
      <c r="FA7" s="272">
        <v>0</v>
      </c>
      <c r="FB7" s="272"/>
      <c r="FC7" s="272">
        <v>9799857</v>
      </c>
      <c r="FD7" s="272">
        <v>12458006</v>
      </c>
      <c r="FE7" s="272">
        <v>2839510</v>
      </c>
      <c r="FF7" s="272">
        <v>11845259</v>
      </c>
      <c r="FG7" s="455">
        <f t="shared" si="14"/>
        <v>1179518</v>
      </c>
      <c r="FH7" s="272">
        <v>88267209</v>
      </c>
      <c r="FI7" s="384">
        <f t="shared" si="15"/>
        <v>-0.3</v>
      </c>
      <c r="FJ7" s="272">
        <v>76581834</v>
      </c>
      <c r="FK7" s="272"/>
      <c r="FL7" s="272">
        <v>57136677</v>
      </c>
      <c r="FM7" s="272">
        <v>58460744</v>
      </c>
      <c r="FN7" s="460">
        <v>1.0049999999999999</v>
      </c>
      <c r="FO7" s="388">
        <v>103.6</v>
      </c>
      <c r="FP7" s="388">
        <v>43.6</v>
      </c>
      <c r="FQ7" s="388">
        <v>6.3</v>
      </c>
      <c r="FR7" s="388">
        <v>14.5</v>
      </c>
      <c r="FS7" s="388">
        <v>12.7</v>
      </c>
      <c r="FT7" s="388">
        <v>14.8</v>
      </c>
      <c r="FU7" s="388">
        <v>10.7</v>
      </c>
      <c r="FV7" s="388">
        <v>10.1</v>
      </c>
      <c r="FW7" s="272">
        <v>109127481</v>
      </c>
      <c r="FX7" s="384">
        <f t="shared" si="16"/>
        <v>142.5</v>
      </c>
      <c r="FY7" s="272">
        <v>7542027</v>
      </c>
      <c r="FZ7" s="272">
        <v>9149</v>
      </c>
      <c r="GA7" s="272">
        <v>0</v>
      </c>
      <c r="GB7" s="272">
        <v>7532878</v>
      </c>
      <c r="GC7" s="272">
        <v>2186518</v>
      </c>
      <c r="GD7" s="272">
        <v>46744103</v>
      </c>
      <c r="GE7" s="384">
        <f t="shared" si="17"/>
        <v>61</v>
      </c>
      <c r="GF7" s="388">
        <v>97.5</v>
      </c>
      <c r="GG7" s="388">
        <v>16.600000000000001</v>
      </c>
      <c r="GH7" s="388">
        <v>90.1</v>
      </c>
      <c r="GI7" s="272">
        <v>3464</v>
      </c>
    </row>
    <row r="8" spans="2:191" x14ac:dyDescent="0.15">
      <c r="B8" s="89" t="s">
        <v>9</v>
      </c>
      <c r="C8" s="272">
        <v>17577765</v>
      </c>
      <c r="D8" s="455">
        <f t="shared" si="0"/>
        <v>6723143</v>
      </c>
      <c r="E8" s="272">
        <v>96846</v>
      </c>
      <c r="F8" s="272">
        <v>6626297</v>
      </c>
      <c r="G8" s="455">
        <f t="shared" si="1"/>
        <v>1678311</v>
      </c>
      <c r="H8" s="272">
        <v>265143</v>
      </c>
      <c r="I8" s="272">
        <v>1413168</v>
      </c>
      <c r="J8" s="272">
        <v>6848926</v>
      </c>
      <c r="K8" s="272">
        <v>3530691</v>
      </c>
      <c r="L8" s="272">
        <v>2315265</v>
      </c>
      <c r="M8" s="272">
        <v>905410</v>
      </c>
      <c r="N8" s="272">
        <v>589656</v>
      </c>
      <c r="O8" s="272">
        <v>1669451</v>
      </c>
      <c r="P8" s="272">
        <v>1156696</v>
      </c>
      <c r="Q8" s="272">
        <v>512755</v>
      </c>
      <c r="R8" s="272">
        <v>282321</v>
      </c>
      <c r="S8" s="272"/>
      <c r="T8" s="455">
        <f t="shared" si="2"/>
        <v>2086476</v>
      </c>
      <c r="U8" s="272">
        <v>794873</v>
      </c>
      <c r="V8" s="272"/>
      <c r="W8" s="272"/>
      <c r="X8" s="272">
        <v>953065</v>
      </c>
      <c r="Y8" s="272">
        <v>124851</v>
      </c>
      <c r="Z8" s="272">
        <v>4045</v>
      </c>
      <c r="AA8" s="272">
        <v>209642</v>
      </c>
      <c r="AB8" s="272">
        <v>731556</v>
      </c>
      <c r="AC8" s="272">
        <v>2357276</v>
      </c>
      <c r="AD8" s="272">
        <v>1841222</v>
      </c>
      <c r="AE8" s="272">
        <v>516054</v>
      </c>
      <c r="AF8" s="272">
        <v>18632</v>
      </c>
      <c r="AG8" s="272">
        <v>103830</v>
      </c>
      <c r="AH8" s="455">
        <f t="shared" si="3"/>
        <v>832311</v>
      </c>
      <c r="AI8" s="272">
        <v>710594</v>
      </c>
      <c r="AJ8" s="272">
        <v>121717</v>
      </c>
      <c r="AK8" s="272">
        <v>2159204</v>
      </c>
      <c r="AL8" s="455">
        <f t="shared" si="4"/>
        <v>838927</v>
      </c>
      <c r="AM8" s="272">
        <v>579628</v>
      </c>
      <c r="AN8" s="272">
        <v>216073</v>
      </c>
      <c r="AO8" s="272">
        <v>0</v>
      </c>
      <c r="AP8" s="272">
        <v>43226</v>
      </c>
      <c r="AQ8" s="272">
        <v>669348</v>
      </c>
      <c r="AR8" s="272">
        <v>0</v>
      </c>
      <c r="AS8" s="272">
        <v>0</v>
      </c>
      <c r="AT8" s="272">
        <v>1415791</v>
      </c>
      <c r="AU8" s="272">
        <v>659489</v>
      </c>
      <c r="AV8" s="272">
        <v>182684</v>
      </c>
      <c r="AW8" s="272">
        <v>28586</v>
      </c>
      <c r="AX8" s="272">
        <v>756302</v>
      </c>
      <c r="AY8" s="272">
        <v>40675</v>
      </c>
      <c r="AZ8" s="272">
        <v>1217510</v>
      </c>
      <c r="BA8" s="272">
        <v>1194829</v>
      </c>
      <c r="BB8" s="272">
        <v>234690</v>
      </c>
      <c r="BC8" s="272">
        <v>38184</v>
      </c>
      <c r="BD8" s="272">
        <v>0</v>
      </c>
      <c r="BE8" s="272">
        <v>0</v>
      </c>
      <c r="BF8" s="272">
        <v>35384</v>
      </c>
      <c r="BG8" s="272">
        <v>0</v>
      </c>
      <c r="BH8" s="272">
        <v>0</v>
      </c>
      <c r="BI8" s="272">
        <v>0</v>
      </c>
      <c r="BJ8" s="272">
        <v>1737482</v>
      </c>
      <c r="BK8" s="272">
        <v>1462246</v>
      </c>
      <c r="BL8" s="272">
        <v>30934</v>
      </c>
      <c r="BM8" s="272">
        <v>0</v>
      </c>
      <c r="BN8" s="272">
        <v>4208900</v>
      </c>
      <c r="BO8" s="455">
        <f t="shared" si="5"/>
        <v>3950100</v>
      </c>
      <c r="BP8" s="455">
        <f t="shared" si="6"/>
        <v>258800</v>
      </c>
      <c r="BQ8" s="272">
        <v>258800</v>
      </c>
      <c r="BR8" s="272">
        <v>0</v>
      </c>
      <c r="BS8" s="272">
        <v>0</v>
      </c>
      <c r="BT8" s="272">
        <v>0</v>
      </c>
      <c r="BU8" s="272">
        <v>35001928</v>
      </c>
      <c r="BV8" s="272"/>
      <c r="BW8" s="272">
        <v>10346681</v>
      </c>
      <c r="BX8" s="272">
        <v>7341088</v>
      </c>
      <c r="BY8" s="272">
        <v>1040059</v>
      </c>
      <c r="BZ8" s="272">
        <v>276901</v>
      </c>
      <c r="CA8" s="272">
        <v>2577757</v>
      </c>
      <c r="CB8" s="272">
        <v>656639</v>
      </c>
      <c r="CC8" s="272">
        <v>333861</v>
      </c>
      <c r="CD8" s="272">
        <v>777610</v>
      </c>
      <c r="CE8" s="272">
        <v>773163</v>
      </c>
      <c r="CF8" s="272">
        <v>158</v>
      </c>
      <c r="CG8" s="272">
        <v>35276</v>
      </c>
      <c r="CH8" s="272">
        <v>3519201</v>
      </c>
      <c r="CI8" s="272">
        <v>2394418</v>
      </c>
      <c r="CJ8" s="455">
        <f t="shared" si="7"/>
        <v>1124783</v>
      </c>
      <c r="CK8" s="272">
        <v>4648658</v>
      </c>
      <c r="CL8" s="272">
        <v>2898792</v>
      </c>
      <c r="CM8" s="272">
        <v>268953</v>
      </c>
      <c r="CN8" s="272">
        <v>786595</v>
      </c>
      <c r="CO8" s="272">
        <v>200034</v>
      </c>
      <c r="CP8" s="272">
        <v>2359986</v>
      </c>
      <c r="CQ8" s="272">
        <v>0</v>
      </c>
      <c r="CR8" s="272">
        <v>646158</v>
      </c>
      <c r="CS8" s="272">
        <v>603735</v>
      </c>
      <c r="CT8" s="455">
        <f t="shared" si="8"/>
        <v>1136944</v>
      </c>
      <c r="CU8" s="272">
        <v>1010272</v>
      </c>
      <c r="CV8" s="272">
        <v>126672</v>
      </c>
      <c r="CW8" s="455">
        <f t="shared" si="9"/>
        <v>1097081</v>
      </c>
      <c r="CX8" s="272">
        <v>1006581</v>
      </c>
      <c r="CY8" s="272">
        <v>90500</v>
      </c>
      <c r="CZ8" s="455">
        <f t="shared" si="10"/>
        <v>0</v>
      </c>
      <c r="DA8" s="272">
        <v>0</v>
      </c>
      <c r="DB8" s="272">
        <v>0</v>
      </c>
      <c r="DC8" s="272">
        <v>6493077</v>
      </c>
      <c r="DD8" s="272">
        <v>1449330</v>
      </c>
      <c r="DE8" s="272">
        <v>4999688</v>
      </c>
      <c r="DF8" s="272">
        <v>13125</v>
      </c>
      <c r="DG8" s="272">
        <v>30934</v>
      </c>
      <c r="DH8" s="272">
        <v>0</v>
      </c>
      <c r="DI8" s="272">
        <v>258060</v>
      </c>
      <c r="DJ8" s="272">
        <v>2535</v>
      </c>
      <c r="DK8" s="272">
        <v>0</v>
      </c>
      <c r="DL8" s="272">
        <v>255525</v>
      </c>
      <c r="DM8" s="272">
        <v>162537</v>
      </c>
      <c r="DN8" s="272">
        <v>162537</v>
      </c>
      <c r="DO8" s="272">
        <v>56791</v>
      </c>
      <c r="DP8" s="272">
        <v>105746</v>
      </c>
      <c r="DQ8" s="272">
        <v>1428850</v>
      </c>
      <c r="DR8" s="272">
        <v>0</v>
      </c>
      <c r="DS8" s="272">
        <v>0</v>
      </c>
      <c r="DT8" s="272">
        <v>2895603</v>
      </c>
      <c r="DU8" s="272">
        <v>1331498</v>
      </c>
      <c r="DV8" s="455">
        <f t="shared" si="11"/>
        <v>0</v>
      </c>
      <c r="DW8" s="272">
        <v>0</v>
      </c>
      <c r="DX8" s="272">
        <v>0</v>
      </c>
      <c r="DY8" s="272">
        <v>4173</v>
      </c>
      <c r="DZ8" s="272">
        <v>725894</v>
      </c>
      <c r="EA8" s="272">
        <v>397565</v>
      </c>
      <c r="EB8" s="272">
        <v>436473</v>
      </c>
      <c r="EC8" s="272">
        <v>136326</v>
      </c>
      <c r="ED8" s="272">
        <v>35026770</v>
      </c>
      <c r="EF8" s="272">
        <v>-24842</v>
      </c>
      <c r="EG8" s="272">
        <v>3879</v>
      </c>
      <c r="EH8" s="272">
        <v>-28721</v>
      </c>
      <c r="EI8" s="272">
        <v>119119</v>
      </c>
      <c r="EJ8" s="272">
        <v>121654</v>
      </c>
      <c r="EL8" s="272">
        <v>101516</v>
      </c>
      <c r="EM8" s="272">
        <v>99963</v>
      </c>
      <c r="EN8" s="272">
        <v>180</v>
      </c>
      <c r="EO8" s="272">
        <v>1209654</v>
      </c>
      <c r="EP8" s="455">
        <f t="shared" si="12"/>
        <v>200614</v>
      </c>
      <c r="EQ8" s="272">
        <v>23054026</v>
      </c>
      <c r="ER8" s="272">
        <v>-1650616</v>
      </c>
      <c r="ES8" s="272">
        <v>9571649</v>
      </c>
      <c r="ET8" s="272">
        <v>6586906</v>
      </c>
      <c r="EU8" s="272">
        <v>963564</v>
      </c>
      <c r="EV8" s="272">
        <v>3500742</v>
      </c>
      <c r="EW8" s="455">
        <f t="shared" si="13"/>
        <v>1711962</v>
      </c>
      <c r="EX8" s="272">
        <v>1711962</v>
      </c>
      <c r="EY8" s="272">
        <v>99650</v>
      </c>
      <c r="EZ8" s="272">
        <v>1605749</v>
      </c>
      <c r="FA8" s="272">
        <v>0</v>
      </c>
      <c r="FB8" s="272"/>
      <c r="FC8" s="272">
        <v>3627364</v>
      </c>
      <c r="FD8" s="272">
        <v>2166258</v>
      </c>
      <c r="FE8" s="272"/>
      <c r="FF8" s="272">
        <v>2709471</v>
      </c>
      <c r="FG8" s="455">
        <f t="shared" si="14"/>
        <v>478474</v>
      </c>
      <c r="FH8" s="272">
        <v>24729484</v>
      </c>
      <c r="FI8" s="384">
        <f t="shared" si="15"/>
        <v>-0.1</v>
      </c>
      <c r="FJ8" s="272">
        <v>20492845</v>
      </c>
      <c r="FK8" s="272"/>
      <c r="FL8" s="272">
        <v>14063593</v>
      </c>
      <c r="FM8" s="272">
        <v>15899066</v>
      </c>
      <c r="FN8" s="460">
        <v>0.91</v>
      </c>
      <c r="FO8" s="388">
        <v>103.4</v>
      </c>
      <c r="FP8" s="388">
        <v>44.8</v>
      </c>
      <c r="FQ8" s="388">
        <v>4.5999999999999996</v>
      </c>
      <c r="FR8" s="388">
        <v>16.7</v>
      </c>
      <c r="FS8" s="388">
        <v>16.8</v>
      </c>
      <c r="FT8" s="388">
        <v>9.6999999999999993</v>
      </c>
      <c r="FU8" s="388">
        <v>10.1</v>
      </c>
      <c r="FV8" s="388">
        <v>12.9</v>
      </c>
      <c r="FW8" s="272">
        <v>34277238</v>
      </c>
      <c r="FX8" s="384">
        <f t="shared" si="16"/>
        <v>167.3</v>
      </c>
      <c r="FY8" s="272">
        <v>2390571</v>
      </c>
      <c r="FZ8" s="272">
        <v>965009</v>
      </c>
      <c r="GA8" s="272"/>
      <c r="GB8" s="272">
        <v>1425562</v>
      </c>
      <c r="GC8" s="272"/>
      <c r="GD8" s="272">
        <v>6204838</v>
      </c>
      <c r="GE8" s="384">
        <f t="shared" si="17"/>
        <v>30.3</v>
      </c>
      <c r="GF8" s="388">
        <v>97.3</v>
      </c>
      <c r="GG8" s="388">
        <v>20.9</v>
      </c>
      <c r="GH8" s="388">
        <v>90.8</v>
      </c>
      <c r="GI8" s="272">
        <v>996</v>
      </c>
    </row>
    <row r="9" spans="2:191" x14ac:dyDescent="0.15">
      <c r="B9" s="89" t="s">
        <v>11</v>
      </c>
      <c r="C9" s="272">
        <v>65083053</v>
      </c>
      <c r="D9" s="455">
        <f t="shared" si="0"/>
        <v>24333676</v>
      </c>
      <c r="E9" s="272">
        <v>329505</v>
      </c>
      <c r="F9" s="272">
        <v>24004171</v>
      </c>
      <c r="G9" s="455">
        <f t="shared" si="1"/>
        <v>5829551</v>
      </c>
      <c r="H9" s="272">
        <v>1067334</v>
      </c>
      <c r="I9" s="272">
        <v>4762217</v>
      </c>
      <c r="J9" s="272">
        <v>25578009</v>
      </c>
      <c r="K9" s="272">
        <v>12093980</v>
      </c>
      <c r="L9" s="272">
        <v>9576863</v>
      </c>
      <c r="M9" s="272">
        <v>3387282</v>
      </c>
      <c r="N9" s="272">
        <v>1950552</v>
      </c>
      <c r="O9" s="272">
        <v>6105872</v>
      </c>
      <c r="P9" s="272">
        <v>3853614</v>
      </c>
      <c r="Q9" s="272">
        <v>2252258</v>
      </c>
      <c r="R9" s="272">
        <v>647413</v>
      </c>
      <c r="S9" s="272"/>
      <c r="T9" s="455">
        <f t="shared" si="2"/>
        <v>6727750</v>
      </c>
      <c r="U9" s="272">
        <v>2838827</v>
      </c>
      <c r="V9" s="272"/>
      <c r="W9" s="272"/>
      <c r="X9" s="272">
        <v>3235073</v>
      </c>
      <c r="Y9" s="272">
        <v>0</v>
      </c>
      <c r="Z9" s="272">
        <v>10509</v>
      </c>
      <c r="AA9" s="272">
        <v>643341</v>
      </c>
      <c r="AB9" s="272">
        <v>2932652</v>
      </c>
      <c r="AC9" s="272">
        <v>260078</v>
      </c>
      <c r="AD9" s="272">
        <v>0</v>
      </c>
      <c r="AE9" s="272">
        <v>260078</v>
      </c>
      <c r="AF9" s="272">
        <v>56845</v>
      </c>
      <c r="AG9" s="272">
        <v>1026893</v>
      </c>
      <c r="AH9" s="455">
        <f t="shared" si="3"/>
        <v>2503190</v>
      </c>
      <c r="AI9" s="272">
        <v>2058120</v>
      </c>
      <c r="AJ9" s="272">
        <v>445070</v>
      </c>
      <c r="AK9" s="272">
        <v>7899705</v>
      </c>
      <c r="AL9" s="455">
        <f t="shared" si="4"/>
        <v>5676370</v>
      </c>
      <c r="AM9" s="272">
        <v>4307181</v>
      </c>
      <c r="AN9" s="272">
        <v>1315393</v>
      </c>
      <c r="AO9" s="272">
        <v>0</v>
      </c>
      <c r="AP9" s="272">
        <v>53796</v>
      </c>
      <c r="AQ9" s="272">
        <v>441389</v>
      </c>
      <c r="AR9" s="272">
        <v>0</v>
      </c>
      <c r="AS9" s="272">
        <v>0</v>
      </c>
      <c r="AT9" s="272">
        <v>4937671</v>
      </c>
      <c r="AU9" s="272">
        <v>2346487</v>
      </c>
      <c r="AV9" s="272">
        <v>616151</v>
      </c>
      <c r="AW9" s="272">
        <v>353957</v>
      </c>
      <c r="AX9" s="272">
        <v>2591184</v>
      </c>
      <c r="AY9" s="272">
        <v>114161</v>
      </c>
      <c r="AZ9" s="272">
        <v>168182</v>
      </c>
      <c r="BA9" s="272">
        <v>46576</v>
      </c>
      <c r="BB9" s="272">
        <v>13331</v>
      </c>
      <c r="BC9" s="272">
        <v>3693338</v>
      </c>
      <c r="BD9" s="272">
        <v>1100000</v>
      </c>
      <c r="BE9" s="272">
        <v>0</v>
      </c>
      <c r="BF9" s="272">
        <v>2579197</v>
      </c>
      <c r="BG9" s="272">
        <v>0</v>
      </c>
      <c r="BH9" s="272">
        <v>328423</v>
      </c>
      <c r="BI9" s="272">
        <v>275623</v>
      </c>
      <c r="BJ9" s="272">
        <v>2187474</v>
      </c>
      <c r="BK9" s="272">
        <v>1254330</v>
      </c>
      <c r="BL9" s="272">
        <v>307125</v>
      </c>
      <c r="BM9" s="272">
        <v>40568</v>
      </c>
      <c r="BN9" s="272">
        <v>2575800</v>
      </c>
      <c r="BO9" s="455">
        <f t="shared" si="5"/>
        <v>1615800</v>
      </c>
      <c r="BP9" s="455">
        <f t="shared" si="6"/>
        <v>960000</v>
      </c>
      <c r="BQ9" s="272">
        <v>960000</v>
      </c>
      <c r="BR9" s="272">
        <v>0</v>
      </c>
      <c r="BS9" s="272">
        <v>0</v>
      </c>
      <c r="BT9" s="272">
        <v>0</v>
      </c>
      <c r="BU9" s="272">
        <v>101041798</v>
      </c>
      <c r="BV9" s="272"/>
      <c r="BW9" s="272">
        <v>31834997</v>
      </c>
      <c r="BX9" s="272">
        <v>22905843</v>
      </c>
      <c r="BY9" s="272">
        <v>2485297</v>
      </c>
      <c r="BZ9" s="272">
        <v>1689124</v>
      </c>
      <c r="CA9" s="272">
        <v>14407761</v>
      </c>
      <c r="CB9" s="272">
        <v>2190818</v>
      </c>
      <c r="CC9" s="272">
        <v>1978181</v>
      </c>
      <c r="CD9" s="272">
        <v>3621757</v>
      </c>
      <c r="CE9" s="272">
        <v>5694652</v>
      </c>
      <c r="CF9" s="272">
        <v>521423</v>
      </c>
      <c r="CG9" s="272">
        <v>400930</v>
      </c>
      <c r="CH9" s="272">
        <v>8260385</v>
      </c>
      <c r="CI9" s="272">
        <v>5436792</v>
      </c>
      <c r="CJ9" s="455">
        <f t="shared" si="7"/>
        <v>2823593</v>
      </c>
      <c r="CK9" s="272">
        <v>14051809</v>
      </c>
      <c r="CL9" s="272">
        <v>8442919</v>
      </c>
      <c r="CM9" s="272">
        <v>454882</v>
      </c>
      <c r="CN9" s="272">
        <v>2981372</v>
      </c>
      <c r="CO9" s="272">
        <v>3410194</v>
      </c>
      <c r="CP9" s="272">
        <v>5009540</v>
      </c>
      <c r="CQ9" s="272">
        <v>1229</v>
      </c>
      <c r="CR9" s="272">
        <v>2320662</v>
      </c>
      <c r="CS9" s="272">
        <v>2203515</v>
      </c>
      <c r="CT9" s="455">
        <f t="shared" si="8"/>
        <v>1254889</v>
      </c>
      <c r="CU9" s="272">
        <v>881399</v>
      </c>
      <c r="CV9" s="272">
        <v>373490</v>
      </c>
      <c r="CW9" s="455">
        <f t="shared" si="9"/>
        <v>1211080</v>
      </c>
      <c r="CX9" s="272">
        <v>837590</v>
      </c>
      <c r="CY9" s="272">
        <v>373490</v>
      </c>
      <c r="CZ9" s="455">
        <f t="shared" si="10"/>
        <v>0</v>
      </c>
      <c r="DA9" s="272">
        <v>0</v>
      </c>
      <c r="DB9" s="272">
        <v>0</v>
      </c>
      <c r="DC9" s="272">
        <v>7461190</v>
      </c>
      <c r="DD9" s="272">
        <v>1222785</v>
      </c>
      <c r="DE9" s="272">
        <v>5943159</v>
      </c>
      <c r="DF9" s="272">
        <v>0</v>
      </c>
      <c r="DG9" s="272">
        <v>295246</v>
      </c>
      <c r="DH9" s="272">
        <v>10500</v>
      </c>
      <c r="DI9" s="272">
        <v>3329930</v>
      </c>
      <c r="DJ9" s="272">
        <v>3274065</v>
      </c>
      <c r="DK9" s="272">
        <v>0</v>
      </c>
      <c r="DL9" s="272">
        <v>55865</v>
      </c>
      <c r="DM9" s="272">
        <v>315720</v>
      </c>
      <c r="DN9" s="272">
        <v>298720</v>
      </c>
      <c r="DO9" s="272">
        <v>61800</v>
      </c>
      <c r="DP9" s="272">
        <v>236920</v>
      </c>
      <c r="DQ9" s="272">
        <v>1281498</v>
      </c>
      <c r="DR9" s="272">
        <v>0</v>
      </c>
      <c r="DS9" s="272">
        <v>0</v>
      </c>
      <c r="DT9" s="272">
        <v>11200883</v>
      </c>
      <c r="DU9" s="272">
        <v>5414636</v>
      </c>
      <c r="DV9" s="455">
        <f t="shared" si="11"/>
        <v>0</v>
      </c>
      <c r="DW9" s="272">
        <v>0</v>
      </c>
      <c r="DX9" s="272">
        <v>0</v>
      </c>
      <c r="DY9" s="272">
        <v>91314</v>
      </c>
      <c r="DZ9" s="272">
        <v>3004224</v>
      </c>
      <c r="EA9" s="272">
        <v>1234457</v>
      </c>
      <c r="EB9" s="272">
        <v>1024623</v>
      </c>
      <c r="EC9" s="272">
        <v>0</v>
      </c>
      <c r="ED9" s="272">
        <v>100574407</v>
      </c>
      <c r="EF9" s="272">
        <v>467391</v>
      </c>
      <c r="EG9" s="272">
        <v>375052</v>
      </c>
      <c r="EH9" s="272">
        <v>92339</v>
      </c>
      <c r="EI9" s="272">
        <v>-183284</v>
      </c>
      <c r="EJ9" s="272">
        <v>1990781</v>
      </c>
      <c r="EL9" s="272">
        <v>347929</v>
      </c>
      <c r="EM9" s="272">
        <v>341366</v>
      </c>
      <c r="EN9" s="272">
        <v>1114141</v>
      </c>
      <c r="EO9" s="272">
        <v>63861</v>
      </c>
      <c r="EP9" s="455">
        <f t="shared" si="12"/>
        <v>1100733</v>
      </c>
      <c r="EQ9" s="272">
        <v>75707791</v>
      </c>
      <c r="ER9" s="272">
        <v>-3181890</v>
      </c>
      <c r="ES9" s="272">
        <v>29159262</v>
      </c>
      <c r="ET9" s="272">
        <v>20468082</v>
      </c>
      <c r="EU9" s="272">
        <v>5576871</v>
      </c>
      <c r="EV9" s="272">
        <v>8061128</v>
      </c>
      <c r="EW9" s="455">
        <f t="shared" si="13"/>
        <v>2487100</v>
      </c>
      <c r="EX9" s="272">
        <v>2476600</v>
      </c>
      <c r="EY9" s="272">
        <v>348434</v>
      </c>
      <c r="EZ9" s="272">
        <v>2128166</v>
      </c>
      <c r="FA9" s="272">
        <v>10500</v>
      </c>
      <c r="FB9" s="272"/>
      <c r="FC9" s="272">
        <v>11829975</v>
      </c>
      <c r="FD9" s="272">
        <v>4305935</v>
      </c>
      <c r="FE9" s="272">
        <v>1229</v>
      </c>
      <c r="FF9" s="272">
        <v>10300409</v>
      </c>
      <c r="FG9" s="455">
        <f t="shared" si="14"/>
        <v>6701610</v>
      </c>
      <c r="FH9" s="272">
        <v>78422290</v>
      </c>
      <c r="FI9" s="384">
        <f t="shared" si="15"/>
        <v>0.1</v>
      </c>
      <c r="FJ9" s="272">
        <v>70883942</v>
      </c>
      <c r="FK9" s="272"/>
      <c r="FL9" s="272">
        <v>53338694</v>
      </c>
      <c r="FM9" s="272">
        <v>49229651</v>
      </c>
      <c r="FN9" s="460">
        <v>1.091</v>
      </c>
      <c r="FO9" s="388">
        <v>96.3</v>
      </c>
      <c r="FP9" s="388">
        <v>40.299999999999997</v>
      </c>
      <c r="FQ9" s="388">
        <v>8</v>
      </c>
      <c r="FR9" s="388">
        <v>11.6</v>
      </c>
      <c r="FS9" s="388">
        <v>16.3</v>
      </c>
      <c r="FT9" s="388">
        <v>4.9000000000000004</v>
      </c>
      <c r="FU9" s="388">
        <v>10.6</v>
      </c>
      <c r="FV9" s="388">
        <v>7.7</v>
      </c>
      <c r="FW9" s="272">
        <v>68236328</v>
      </c>
      <c r="FX9" s="384">
        <f t="shared" si="16"/>
        <v>96.3</v>
      </c>
      <c r="FY9" s="272">
        <v>36176814</v>
      </c>
      <c r="FZ9" s="272">
        <v>12513661</v>
      </c>
      <c r="GA9" s="272"/>
      <c r="GB9" s="272">
        <v>23663153</v>
      </c>
      <c r="GC9" s="272"/>
      <c r="GD9" s="272">
        <v>16395507</v>
      </c>
      <c r="GE9" s="384">
        <f t="shared" si="17"/>
        <v>23.1</v>
      </c>
      <c r="GF9" s="388">
        <v>98.3</v>
      </c>
      <c r="GG9" s="388">
        <v>14.4</v>
      </c>
      <c r="GH9" s="388">
        <v>92.2</v>
      </c>
      <c r="GI9" s="272">
        <v>2839</v>
      </c>
    </row>
    <row r="10" spans="2:191" x14ac:dyDescent="0.15">
      <c r="B10" s="89" t="s">
        <v>13</v>
      </c>
      <c r="C10" s="272">
        <v>11879038</v>
      </c>
      <c r="D10" s="455">
        <f t="shared" si="0"/>
        <v>3194778</v>
      </c>
      <c r="E10" s="272">
        <v>65812</v>
      </c>
      <c r="F10" s="272">
        <v>3128966</v>
      </c>
      <c r="G10" s="455">
        <f t="shared" si="1"/>
        <v>796435</v>
      </c>
      <c r="H10" s="272">
        <v>207266</v>
      </c>
      <c r="I10" s="272">
        <v>589169</v>
      </c>
      <c r="J10" s="272">
        <v>5958457</v>
      </c>
      <c r="K10" s="272">
        <v>2951803</v>
      </c>
      <c r="L10" s="272">
        <v>1869087</v>
      </c>
      <c r="M10" s="272">
        <v>728655</v>
      </c>
      <c r="N10" s="272">
        <v>585632</v>
      </c>
      <c r="O10" s="272">
        <v>1291943</v>
      </c>
      <c r="P10" s="272">
        <v>848290</v>
      </c>
      <c r="Q10" s="272">
        <v>443653</v>
      </c>
      <c r="R10" s="272">
        <v>239693</v>
      </c>
      <c r="S10" s="272"/>
      <c r="T10" s="455">
        <f t="shared" si="2"/>
        <v>1249519</v>
      </c>
      <c r="U10" s="272">
        <v>400200</v>
      </c>
      <c r="V10" s="272"/>
      <c r="W10" s="272"/>
      <c r="X10" s="272">
        <v>702948</v>
      </c>
      <c r="Y10" s="272">
        <v>0</v>
      </c>
      <c r="Z10" s="272">
        <v>3040</v>
      </c>
      <c r="AA10" s="272">
        <v>143331</v>
      </c>
      <c r="AB10" s="272">
        <v>324821</v>
      </c>
      <c r="AC10" s="272">
        <v>3783684</v>
      </c>
      <c r="AD10" s="272">
        <v>3352646</v>
      </c>
      <c r="AE10" s="272">
        <v>431038</v>
      </c>
      <c r="AF10" s="272">
        <v>15127</v>
      </c>
      <c r="AG10" s="272">
        <v>115168</v>
      </c>
      <c r="AH10" s="455">
        <f t="shared" si="3"/>
        <v>382432</v>
      </c>
      <c r="AI10" s="272">
        <v>342484</v>
      </c>
      <c r="AJ10" s="272">
        <v>39948</v>
      </c>
      <c r="AK10" s="272">
        <v>2178150</v>
      </c>
      <c r="AL10" s="455">
        <f t="shared" si="4"/>
        <v>1333379</v>
      </c>
      <c r="AM10" s="272">
        <v>1123383</v>
      </c>
      <c r="AN10" s="272">
        <v>206548</v>
      </c>
      <c r="AO10" s="272">
        <v>0</v>
      </c>
      <c r="AP10" s="272">
        <v>3448</v>
      </c>
      <c r="AQ10" s="272">
        <v>220482</v>
      </c>
      <c r="AR10" s="272">
        <v>0</v>
      </c>
      <c r="AS10" s="272">
        <v>0</v>
      </c>
      <c r="AT10" s="272">
        <v>2587376</v>
      </c>
      <c r="AU10" s="272">
        <v>952348</v>
      </c>
      <c r="AV10" s="272">
        <v>114176</v>
      </c>
      <c r="AW10" s="272">
        <v>14361</v>
      </c>
      <c r="AX10" s="272">
        <v>1635028</v>
      </c>
      <c r="AY10" s="272">
        <v>1047957</v>
      </c>
      <c r="AZ10" s="272">
        <v>67091</v>
      </c>
      <c r="BA10" s="272">
        <v>53243</v>
      </c>
      <c r="BB10" s="272">
        <v>1349</v>
      </c>
      <c r="BC10" s="272">
        <v>132426</v>
      </c>
      <c r="BD10" s="272">
        <v>0</v>
      </c>
      <c r="BE10" s="272">
        <v>0</v>
      </c>
      <c r="BF10" s="272">
        <v>130696</v>
      </c>
      <c r="BG10" s="272">
        <v>0</v>
      </c>
      <c r="BH10" s="272">
        <v>0</v>
      </c>
      <c r="BI10" s="272">
        <v>0</v>
      </c>
      <c r="BJ10" s="272">
        <v>939140</v>
      </c>
      <c r="BK10" s="272">
        <v>752842</v>
      </c>
      <c r="BL10" s="272">
        <v>0</v>
      </c>
      <c r="BM10" s="272">
        <v>0</v>
      </c>
      <c r="BN10" s="272">
        <v>2148800</v>
      </c>
      <c r="BO10" s="455">
        <f t="shared" si="5"/>
        <v>2024500</v>
      </c>
      <c r="BP10" s="455">
        <f t="shared" si="6"/>
        <v>124300</v>
      </c>
      <c r="BQ10" s="272">
        <v>124300</v>
      </c>
      <c r="BR10" s="272">
        <v>0</v>
      </c>
      <c r="BS10" s="272">
        <v>0</v>
      </c>
      <c r="BT10" s="272">
        <v>0</v>
      </c>
      <c r="BU10" s="272">
        <v>26043814</v>
      </c>
      <c r="BV10" s="272"/>
      <c r="BW10" s="272">
        <v>6841413</v>
      </c>
      <c r="BX10" s="272">
        <v>4704051</v>
      </c>
      <c r="BY10" s="272">
        <v>715376</v>
      </c>
      <c r="BZ10" s="272">
        <v>275921</v>
      </c>
      <c r="CA10" s="272">
        <v>3530233</v>
      </c>
      <c r="CB10" s="272">
        <v>557440</v>
      </c>
      <c r="CC10" s="272">
        <v>500246</v>
      </c>
      <c r="CD10" s="272">
        <v>940251</v>
      </c>
      <c r="CE10" s="272">
        <v>1488990</v>
      </c>
      <c r="CF10" s="272">
        <v>0</v>
      </c>
      <c r="CG10" s="272">
        <v>43266</v>
      </c>
      <c r="CH10" s="272">
        <v>2607380</v>
      </c>
      <c r="CI10" s="272">
        <v>1616734</v>
      </c>
      <c r="CJ10" s="455">
        <f t="shared" si="7"/>
        <v>990646</v>
      </c>
      <c r="CK10" s="272">
        <v>2398267</v>
      </c>
      <c r="CL10" s="272">
        <v>1204121</v>
      </c>
      <c r="CM10" s="272">
        <v>198781</v>
      </c>
      <c r="CN10" s="272">
        <v>445423</v>
      </c>
      <c r="CO10" s="272">
        <v>120021</v>
      </c>
      <c r="CP10" s="272">
        <v>2802706</v>
      </c>
      <c r="CQ10" s="272">
        <v>1265808</v>
      </c>
      <c r="CR10" s="272">
        <v>430089</v>
      </c>
      <c r="CS10" s="272">
        <v>418930</v>
      </c>
      <c r="CT10" s="455">
        <f t="shared" si="8"/>
        <v>808985</v>
      </c>
      <c r="CU10" s="272">
        <v>195805</v>
      </c>
      <c r="CV10" s="272">
        <v>613180</v>
      </c>
      <c r="CW10" s="455">
        <f t="shared" si="9"/>
        <v>800576</v>
      </c>
      <c r="CX10" s="272">
        <v>190681</v>
      </c>
      <c r="CY10" s="272">
        <v>609895</v>
      </c>
      <c r="CZ10" s="455">
        <f t="shared" si="10"/>
        <v>0</v>
      </c>
      <c r="DA10" s="272">
        <v>0</v>
      </c>
      <c r="DB10" s="272">
        <v>0</v>
      </c>
      <c r="DC10" s="272">
        <v>4609887</v>
      </c>
      <c r="DD10" s="272">
        <v>540860</v>
      </c>
      <c r="DE10" s="272">
        <v>2140676</v>
      </c>
      <c r="DF10" s="272">
        <v>500510</v>
      </c>
      <c r="DG10" s="272">
        <v>1427841</v>
      </c>
      <c r="DH10" s="272">
        <v>0</v>
      </c>
      <c r="DI10" s="272">
        <v>6556</v>
      </c>
      <c r="DJ10" s="272">
        <v>106</v>
      </c>
      <c r="DK10" s="272">
        <v>93</v>
      </c>
      <c r="DL10" s="272">
        <v>6357</v>
      </c>
      <c r="DM10" s="272">
        <v>0</v>
      </c>
      <c r="DN10" s="272">
        <v>0</v>
      </c>
      <c r="DO10" s="272">
        <v>0</v>
      </c>
      <c r="DP10" s="272">
        <v>0</v>
      </c>
      <c r="DQ10" s="272">
        <v>732594</v>
      </c>
      <c r="DR10" s="272">
        <v>0</v>
      </c>
      <c r="DS10" s="272">
        <v>0</v>
      </c>
      <c r="DT10" s="272">
        <v>3050558</v>
      </c>
      <c r="DU10" s="272">
        <v>1846898</v>
      </c>
      <c r="DV10" s="455">
        <f t="shared" si="11"/>
        <v>0</v>
      </c>
      <c r="DW10" s="272">
        <v>0</v>
      </c>
      <c r="DX10" s="272">
        <v>0</v>
      </c>
      <c r="DY10" s="272">
        <v>31019</v>
      </c>
      <c r="DZ10" s="272">
        <v>469619</v>
      </c>
      <c r="EA10" s="272">
        <v>326761</v>
      </c>
      <c r="EB10" s="272">
        <v>321518</v>
      </c>
      <c r="EC10" s="272">
        <v>1512446</v>
      </c>
      <c r="ED10" s="272">
        <v>28212061</v>
      </c>
      <c r="EF10" s="272">
        <v>-2168247</v>
      </c>
      <c r="EG10" s="272">
        <v>1201</v>
      </c>
      <c r="EH10" s="272">
        <v>-2169448</v>
      </c>
      <c r="EI10" s="272">
        <v>-636028</v>
      </c>
      <c r="EJ10" s="272">
        <v>-635922</v>
      </c>
      <c r="EL10" s="272">
        <v>75091</v>
      </c>
      <c r="EM10" s="272">
        <v>75160</v>
      </c>
      <c r="EN10" s="272">
        <v>1730</v>
      </c>
      <c r="EO10" s="272">
        <v>6027</v>
      </c>
      <c r="EP10" s="455">
        <f t="shared" si="12"/>
        <v>247682</v>
      </c>
      <c r="EQ10" s="272">
        <v>17491882</v>
      </c>
      <c r="ER10" s="272">
        <v>-364612</v>
      </c>
      <c r="ES10" s="272">
        <v>6129605</v>
      </c>
      <c r="ET10" s="272">
        <v>4060126</v>
      </c>
      <c r="EU10" s="272">
        <v>1336888</v>
      </c>
      <c r="EV10" s="272">
        <v>2607380</v>
      </c>
      <c r="EW10" s="455">
        <f t="shared" si="13"/>
        <v>613725</v>
      </c>
      <c r="EX10" s="272">
        <v>613725</v>
      </c>
      <c r="EY10" s="272">
        <v>32207</v>
      </c>
      <c r="EZ10" s="272">
        <v>575108</v>
      </c>
      <c r="FA10" s="272">
        <v>0</v>
      </c>
      <c r="FB10" s="272"/>
      <c r="FC10" s="272">
        <v>2167942</v>
      </c>
      <c r="FD10" s="272">
        <v>2643459</v>
      </c>
      <c r="FE10" s="272">
        <v>1265808</v>
      </c>
      <c r="FF10" s="272">
        <v>2899896</v>
      </c>
      <c r="FG10" s="455">
        <f t="shared" si="14"/>
        <v>1625846</v>
      </c>
      <c r="FH10" s="272">
        <v>20024741</v>
      </c>
      <c r="FI10" s="384">
        <f t="shared" si="15"/>
        <v>-13.7</v>
      </c>
      <c r="FJ10" s="272">
        <v>15794783</v>
      </c>
      <c r="FK10" s="272"/>
      <c r="FL10" s="272">
        <v>9392682</v>
      </c>
      <c r="FM10" s="272">
        <v>12745134</v>
      </c>
      <c r="FN10" s="460">
        <v>0.77300000000000002</v>
      </c>
      <c r="FO10" s="388">
        <v>101.6</v>
      </c>
      <c r="FP10" s="388">
        <v>36.799999999999997</v>
      </c>
      <c r="FQ10" s="388">
        <v>8.4</v>
      </c>
      <c r="FR10" s="388">
        <v>16.5</v>
      </c>
      <c r="FS10" s="388">
        <v>9.9</v>
      </c>
      <c r="FT10" s="388">
        <v>13.9</v>
      </c>
      <c r="FU10" s="388">
        <v>15.4</v>
      </c>
      <c r="FV10" s="388">
        <v>12.8</v>
      </c>
      <c r="FW10" s="272">
        <v>28263708</v>
      </c>
      <c r="FX10" s="384">
        <f t="shared" si="16"/>
        <v>178.9</v>
      </c>
      <c r="FY10" s="272">
        <v>926235</v>
      </c>
      <c r="FZ10" s="272">
        <v>15258</v>
      </c>
      <c r="GA10" s="272">
        <v>13413</v>
      </c>
      <c r="GB10" s="272">
        <v>897564</v>
      </c>
      <c r="GC10" s="272"/>
      <c r="GD10" s="272">
        <v>10370342</v>
      </c>
      <c r="GE10" s="384">
        <f t="shared" si="17"/>
        <v>65.7</v>
      </c>
      <c r="GF10" s="388">
        <v>97.7</v>
      </c>
      <c r="GG10" s="388">
        <v>13.4</v>
      </c>
      <c r="GH10" s="388">
        <v>90.3</v>
      </c>
      <c r="GI10" s="272">
        <v>620</v>
      </c>
    </row>
    <row r="11" spans="2:191" x14ac:dyDescent="0.15">
      <c r="B11" s="89" t="s">
        <v>15</v>
      </c>
      <c r="C11" s="272">
        <v>52937142</v>
      </c>
      <c r="D11" s="455">
        <f t="shared" si="0"/>
        <v>19473136</v>
      </c>
      <c r="E11" s="272">
        <v>345182</v>
      </c>
      <c r="F11" s="272">
        <v>19127954</v>
      </c>
      <c r="G11" s="455">
        <f t="shared" si="1"/>
        <v>3361745</v>
      </c>
      <c r="H11" s="272">
        <v>746784</v>
      </c>
      <c r="I11" s="272">
        <v>2614961</v>
      </c>
      <c r="J11" s="272">
        <v>21946355</v>
      </c>
      <c r="K11" s="272">
        <v>11268298</v>
      </c>
      <c r="L11" s="272">
        <v>7418859</v>
      </c>
      <c r="M11" s="272">
        <v>3015898</v>
      </c>
      <c r="N11" s="272">
        <v>1736414</v>
      </c>
      <c r="O11" s="272">
        <v>4871041</v>
      </c>
      <c r="P11" s="272">
        <v>3286180</v>
      </c>
      <c r="Q11" s="272">
        <v>1584861</v>
      </c>
      <c r="R11" s="272">
        <v>731685</v>
      </c>
      <c r="S11" s="272"/>
      <c r="T11" s="455">
        <f t="shared" si="2"/>
        <v>6420780</v>
      </c>
      <c r="U11" s="272">
        <v>2446562</v>
      </c>
      <c r="V11" s="272"/>
      <c r="W11" s="272"/>
      <c r="X11" s="272">
        <v>3126733</v>
      </c>
      <c r="Y11" s="272">
        <v>108020</v>
      </c>
      <c r="Z11" s="272">
        <v>11724</v>
      </c>
      <c r="AA11" s="272">
        <v>727741</v>
      </c>
      <c r="AB11" s="272">
        <v>2047731</v>
      </c>
      <c r="AC11" s="272">
        <v>9397716</v>
      </c>
      <c r="AD11" s="272">
        <v>8929631</v>
      </c>
      <c r="AE11" s="272">
        <v>468085</v>
      </c>
      <c r="AF11" s="272">
        <v>70225</v>
      </c>
      <c r="AG11" s="272">
        <v>713899</v>
      </c>
      <c r="AH11" s="455">
        <f t="shared" si="3"/>
        <v>2522111</v>
      </c>
      <c r="AI11" s="272">
        <v>1638455</v>
      </c>
      <c r="AJ11" s="272">
        <v>883656</v>
      </c>
      <c r="AK11" s="272">
        <v>7699151</v>
      </c>
      <c r="AL11" s="455">
        <f t="shared" si="4"/>
        <v>4354760</v>
      </c>
      <c r="AM11" s="272">
        <v>3498058</v>
      </c>
      <c r="AN11" s="272">
        <v>781255</v>
      </c>
      <c r="AO11" s="272">
        <v>0</v>
      </c>
      <c r="AP11" s="272">
        <v>75447</v>
      </c>
      <c r="AQ11" s="272">
        <v>768852</v>
      </c>
      <c r="AR11" s="272">
        <v>0</v>
      </c>
      <c r="AS11" s="272">
        <v>0</v>
      </c>
      <c r="AT11" s="272">
        <v>4509165</v>
      </c>
      <c r="AU11" s="272">
        <v>1957136</v>
      </c>
      <c r="AV11" s="272">
        <v>446759</v>
      </c>
      <c r="AW11" s="272">
        <v>120616</v>
      </c>
      <c r="AX11" s="272">
        <v>2552029</v>
      </c>
      <c r="AY11" s="272">
        <v>77273</v>
      </c>
      <c r="AZ11" s="272">
        <v>103047</v>
      </c>
      <c r="BA11" s="272">
        <v>44321</v>
      </c>
      <c r="BB11" s="272">
        <v>25369</v>
      </c>
      <c r="BC11" s="272">
        <v>815294</v>
      </c>
      <c r="BD11" s="272">
        <v>437672</v>
      </c>
      <c r="BE11" s="272">
        <v>108000</v>
      </c>
      <c r="BF11" s="272">
        <v>206891</v>
      </c>
      <c r="BG11" s="272">
        <v>0</v>
      </c>
      <c r="BH11" s="272">
        <v>534077</v>
      </c>
      <c r="BI11" s="272">
        <v>360382</v>
      </c>
      <c r="BJ11" s="272">
        <v>3599908</v>
      </c>
      <c r="BK11" s="272">
        <v>3218319</v>
      </c>
      <c r="BL11" s="272">
        <v>0</v>
      </c>
      <c r="BM11" s="272">
        <v>41151</v>
      </c>
      <c r="BN11" s="272">
        <v>2114000</v>
      </c>
      <c r="BO11" s="455">
        <f t="shared" si="5"/>
        <v>2114000</v>
      </c>
      <c r="BP11" s="455">
        <f t="shared" si="6"/>
        <v>0</v>
      </c>
      <c r="BQ11" s="272">
        <v>0</v>
      </c>
      <c r="BR11" s="272">
        <v>0</v>
      </c>
      <c r="BS11" s="272">
        <v>0</v>
      </c>
      <c r="BT11" s="272">
        <v>0</v>
      </c>
      <c r="BU11" s="272">
        <v>94241300</v>
      </c>
      <c r="BV11" s="272"/>
      <c r="BW11" s="272">
        <v>26405343</v>
      </c>
      <c r="BX11" s="272">
        <v>18747542</v>
      </c>
      <c r="BY11" s="272">
        <v>2625432</v>
      </c>
      <c r="BZ11" s="272">
        <v>1072541</v>
      </c>
      <c r="CA11" s="272">
        <v>11489012</v>
      </c>
      <c r="CB11" s="272">
        <v>2008615</v>
      </c>
      <c r="CC11" s="272">
        <v>1323176</v>
      </c>
      <c r="CD11" s="272">
        <v>3263599</v>
      </c>
      <c r="CE11" s="272">
        <v>4666959</v>
      </c>
      <c r="CF11" s="272">
        <v>7990</v>
      </c>
      <c r="CG11" s="272">
        <v>217373</v>
      </c>
      <c r="CH11" s="272">
        <v>9701980</v>
      </c>
      <c r="CI11" s="272">
        <v>6913587</v>
      </c>
      <c r="CJ11" s="455">
        <f t="shared" si="7"/>
        <v>2788393</v>
      </c>
      <c r="CK11" s="272">
        <v>13024385</v>
      </c>
      <c r="CL11" s="272">
        <v>7876421</v>
      </c>
      <c r="CM11" s="272">
        <v>381610</v>
      </c>
      <c r="CN11" s="272">
        <v>3144404</v>
      </c>
      <c r="CO11" s="272">
        <v>1581698</v>
      </c>
      <c r="CP11" s="272">
        <v>4583953</v>
      </c>
      <c r="CQ11" s="272">
        <v>21343</v>
      </c>
      <c r="CR11" s="272">
        <v>2140237</v>
      </c>
      <c r="CS11" s="272">
        <v>2110090</v>
      </c>
      <c r="CT11" s="455">
        <f t="shared" si="8"/>
        <v>1091026</v>
      </c>
      <c r="CU11" s="272">
        <v>51714</v>
      </c>
      <c r="CV11" s="272">
        <v>1039312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9551215</v>
      </c>
      <c r="DD11" s="272">
        <v>1737559</v>
      </c>
      <c r="DE11" s="272">
        <v>7746919</v>
      </c>
      <c r="DF11" s="272">
        <v>66737</v>
      </c>
      <c r="DG11" s="272">
        <v>0</v>
      </c>
      <c r="DH11" s="272">
        <v>0</v>
      </c>
      <c r="DI11" s="272">
        <v>3458758</v>
      </c>
      <c r="DJ11" s="272">
        <v>1412261</v>
      </c>
      <c r="DK11" s="272">
        <v>4761</v>
      </c>
      <c r="DL11" s="272">
        <v>2041736</v>
      </c>
      <c r="DM11" s="272">
        <v>300814</v>
      </c>
      <c r="DN11" s="272">
        <v>0</v>
      </c>
      <c r="DO11" s="272">
        <v>0</v>
      </c>
      <c r="DP11" s="272">
        <v>0</v>
      </c>
      <c r="DQ11" s="272">
        <v>3199194</v>
      </c>
      <c r="DR11" s="272">
        <v>0</v>
      </c>
      <c r="DS11" s="272">
        <v>0</v>
      </c>
      <c r="DT11" s="272">
        <v>10477479</v>
      </c>
      <c r="DU11" s="272">
        <v>5561000</v>
      </c>
      <c r="DV11" s="455">
        <f t="shared" si="11"/>
        <v>0</v>
      </c>
      <c r="DW11" s="272">
        <v>0</v>
      </c>
      <c r="DX11" s="272">
        <v>0</v>
      </c>
      <c r="DY11" s="272">
        <v>0</v>
      </c>
      <c r="DZ11" s="272">
        <v>2404457</v>
      </c>
      <c r="EA11" s="272">
        <v>1339629</v>
      </c>
      <c r="EB11" s="272">
        <v>1168972</v>
      </c>
      <c r="EC11" s="272">
        <v>0</v>
      </c>
      <c r="ED11" s="272">
        <v>93773831</v>
      </c>
      <c r="EF11" s="272">
        <v>467469</v>
      </c>
      <c r="EG11" s="272">
        <v>233119</v>
      </c>
      <c r="EH11" s="272">
        <v>234350</v>
      </c>
      <c r="EI11" s="272">
        <v>-126032</v>
      </c>
      <c r="EJ11" s="272">
        <v>1016317</v>
      </c>
      <c r="EL11" s="272">
        <v>357438</v>
      </c>
      <c r="EM11" s="272">
        <v>354977</v>
      </c>
      <c r="EN11" s="272">
        <v>556970</v>
      </c>
      <c r="EO11" s="272">
        <v>54903</v>
      </c>
      <c r="EP11" s="455">
        <f t="shared" si="12"/>
        <v>1270131</v>
      </c>
      <c r="EQ11" s="272">
        <v>71605279</v>
      </c>
      <c r="ER11" s="272">
        <v>-1811779</v>
      </c>
      <c r="ES11" s="272">
        <v>24041192</v>
      </c>
      <c r="ET11" s="272">
        <v>16488828</v>
      </c>
      <c r="EU11" s="272">
        <v>3466136</v>
      </c>
      <c r="EV11" s="272">
        <v>9441251</v>
      </c>
      <c r="EW11" s="455">
        <f t="shared" si="13"/>
        <v>6213956</v>
      </c>
      <c r="EX11" s="272">
        <v>6213956</v>
      </c>
      <c r="EY11" s="272">
        <v>749812</v>
      </c>
      <c r="EZ11" s="272">
        <v>5428975</v>
      </c>
      <c r="FA11" s="272">
        <v>0</v>
      </c>
      <c r="FB11" s="272"/>
      <c r="FC11" s="272">
        <v>10689276</v>
      </c>
      <c r="FD11" s="272">
        <v>4134448</v>
      </c>
      <c r="FE11" s="272">
        <v>21343</v>
      </c>
      <c r="FF11" s="272">
        <v>9882475</v>
      </c>
      <c r="FG11" s="455">
        <f t="shared" si="14"/>
        <v>5080855</v>
      </c>
      <c r="FH11" s="272">
        <v>72949589</v>
      </c>
      <c r="FI11" s="384">
        <f t="shared" si="15"/>
        <v>0.4</v>
      </c>
      <c r="FJ11" s="272">
        <v>66592439</v>
      </c>
      <c r="FK11" s="272"/>
      <c r="FL11" s="272">
        <v>43453262</v>
      </c>
      <c r="FM11" s="272">
        <v>52357005</v>
      </c>
      <c r="FN11" s="460">
        <v>0.85299999999999998</v>
      </c>
      <c r="FO11" s="388">
        <v>87.5</v>
      </c>
      <c r="FP11" s="388">
        <v>35.4</v>
      </c>
      <c r="FQ11" s="388">
        <v>5.2</v>
      </c>
      <c r="FR11" s="388">
        <v>13.9</v>
      </c>
      <c r="FS11" s="388">
        <v>15.8</v>
      </c>
      <c r="FT11" s="388">
        <v>5.7</v>
      </c>
      <c r="FU11" s="388">
        <v>9</v>
      </c>
      <c r="FV11" s="388">
        <v>8.6</v>
      </c>
      <c r="FW11" s="272">
        <v>68333673</v>
      </c>
      <c r="FX11" s="384">
        <f t="shared" si="16"/>
        <v>102.6</v>
      </c>
      <c r="FY11" s="272">
        <v>28290721</v>
      </c>
      <c r="FZ11" s="272">
        <v>7616504</v>
      </c>
      <c r="GA11" s="272">
        <v>2454029</v>
      </c>
      <c r="GB11" s="272">
        <v>18220188</v>
      </c>
      <c r="GC11" s="272"/>
      <c r="GD11" s="272">
        <v>4564220</v>
      </c>
      <c r="GE11" s="384">
        <f t="shared" si="17"/>
        <v>6.9</v>
      </c>
      <c r="GF11" s="388">
        <v>98.5</v>
      </c>
      <c r="GG11" s="388">
        <v>24.3</v>
      </c>
      <c r="GH11" s="388">
        <v>95</v>
      </c>
      <c r="GI11" s="272">
        <v>2334</v>
      </c>
    </row>
    <row r="12" spans="2:191" x14ac:dyDescent="0.15">
      <c r="B12" s="89" t="s">
        <v>17</v>
      </c>
      <c r="C12" s="272">
        <v>11330156</v>
      </c>
      <c r="D12" s="455">
        <f t="shared" si="0"/>
        <v>3418749</v>
      </c>
      <c r="E12" s="272">
        <v>76214</v>
      </c>
      <c r="F12" s="272">
        <v>3342535</v>
      </c>
      <c r="G12" s="455">
        <f t="shared" si="1"/>
        <v>559823</v>
      </c>
      <c r="H12" s="272">
        <v>173890</v>
      </c>
      <c r="I12" s="272">
        <v>385933</v>
      </c>
      <c r="J12" s="272">
        <v>5344885</v>
      </c>
      <c r="K12" s="272">
        <v>2618653</v>
      </c>
      <c r="L12" s="272">
        <v>1873193</v>
      </c>
      <c r="M12" s="272">
        <v>702328</v>
      </c>
      <c r="N12" s="272">
        <v>741967</v>
      </c>
      <c r="O12" s="272">
        <v>1122561</v>
      </c>
      <c r="P12" s="272">
        <v>714992</v>
      </c>
      <c r="Q12" s="272">
        <v>407569</v>
      </c>
      <c r="R12" s="272">
        <v>188301</v>
      </c>
      <c r="S12" s="272"/>
      <c r="T12" s="455">
        <f t="shared" si="2"/>
        <v>1381114</v>
      </c>
      <c r="U12" s="272">
        <v>432124</v>
      </c>
      <c r="V12" s="272"/>
      <c r="W12" s="272"/>
      <c r="X12" s="272">
        <v>760410</v>
      </c>
      <c r="Y12" s="272">
        <v>0</v>
      </c>
      <c r="Z12" s="272">
        <v>1795</v>
      </c>
      <c r="AA12" s="272">
        <v>186785</v>
      </c>
      <c r="AB12" s="272">
        <v>321495</v>
      </c>
      <c r="AC12" s="272">
        <v>5706780</v>
      </c>
      <c r="AD12" s="272">
        <v>5157764</v>
      </c>
      <c r="AE12" s="272">
        <v>549016</v>
      </c>
      <c r="AF12" s="272">
        <v>18560</v>
      </c>
      <c r="AG12" s="272">
        <v>178439</v>
      </c>
      <c r="AH12" s="455">
        <f t="shared" si="3"/>
        <v>576605</v>
      </c>
      <c r="AI12" s="272">
        <v>509229</v>
      </c>
      <c r="AJ12" s="272">
        <v>67376</v>
      </c>
      <c r="AK12" s="272">
        <v>2493235</v>
      </c>
      <c r="AL12" s="455">
        <f t="shared" si="4"/>
        <v>1647445</v>
      </c>
      <c r="AM12" s="272">
        <v>1267343</v>
      </c>
      <c r="AN12" s="272">
        <v>372660</v>
      </c>
      <c r="AO12" s="272">
        <v>0</v>
      </c>
      <c r="AP12" s="272">
        <v>7442</v>
      </c>
      <c r="AQ12" s="272">
        <v>141269</v>
      </c>
      <c r="AR12" s="272">
        <v>0</v>
      </c>
      <c r="AS12" s="272">
        <v>0</v>
      </c>
      <c r="AT12" s="272">
        <v>1542469</v>
      </c>
      <c r="AU12" s="272">
        <v>794804</v>
      </c>
      <c r="AV12" s="272">
        <v>268860</v>
      </c>
      <c r="AW12" s="272">
        <v>71895</v>
      </c>
      <c r="AX12" s="272">
        <v>747665</v>
      </c>
      <c r="AY12" s="272">
        <v>60799</v>
      </c>
      <c r="AZ12" s="272">
        <v>148931</v>
      </c>
      <c r="BA12" s="272">
        <v>66381</v>
      </c>
      <c r="BB12" s="272">
        <v>164048</v>
      </c>
      <c r="BC12" s="272">
        <v>413228</v>
      </c>
      <c r="BD12" s="272">
        <v>0</v>
      </c>
      <c r="BE12" s="272">
        <v>0</v>
      </c>
      <c r="BF12" s="272">
        <v>125299</v>
      </c>
      <c r="BG12" s="272">
        <v>0</v>
      </c>
      <c r="BH12" s="272">
        <v>0</v>
      </c>
      <c r="BI12" s="272">
        <v>0</v>
      </c>
      <c r="BJ12" s="272">
        <v>339250</v>
      </c>
      <c r="BK12" s="272">
        <v>9575</v>
      </c>
      <c r="BL12" s="272">
        <v>81190</v>
      </c>
      <c r="BM12" s="272">
        <v>0</v>
      </c>
      <c r="BN12" s="272">
        <v>817200</v>
      </c>
      <c r="BO12" s="455">
        <f t="shared" si="5"/>
        <v>689300</v>
      </c>
      <c r="BP12" s="455">
        <f t="shared" si="6"/>
        <v>127900</v>
      </c>
      <c r="BQ12" s="272">
        <v>127900</v>
      </c>
      <c r="BR12" s="272">
        <v>0</v>
      </c>
      <c r="BS12" s="272">
        <v>0</v>
      </c>
      <c r="BT12" s="272">
        <v>0</v>
      </c>
      <c r="BU12" s="272">
        <v>25619811</v>
      </c>
      <c r="BV12" s="272"/>
      <c r="BW12" s="272">
        <v>7417369</v>
      </c>
      <c r="BX12" s="272">
        <v>5051928</v>
      </c>
      <c r="BY12" s="272">
        <v>643738</v>
      </c>
      <c r="BZ12" s="272">
        <v>460222</v>
      </c>
      <c r="CA12" s="272">
        <v>4137468</v>
      </c>
      <c r="CB12" s="272">
        <v>575348</v>
      </c>
      <c r="CC12" s="272">
        <v>369370</v>
      </c>
      <c r="CD12" s="272">
        <v>1340806</v>
      </c>
      <c r="CE12" s="272">
        <v>1799588</v>
      </c>
      <c r="CF12" s="272">
        <v>137</v>
      </c>
      <c r="CG12" s="272">
        <v>52219</v>
      </c>
      <c r="CH12" s="272">
        <v>3563590</v>
      </c>
      <c r="CI12" s="272">
        <v>2532090</v>
      </c>
      <c r="CJ12" s="455">
        <f t="shared" si="7"/>
        <v>1031500</v>
      </c>
      <c r="CK12" s="272">
        <v>2508457</v>
      </c>
      <c r="CL12" s="272">
        <v>1143979</v>
      </c>
      <c r="CM12" s="272">
        <v>215216</v>
      </c>
      <c r="CN12" s="272">
        <v>606671</v>
      </c>
      <c r="CO12" s="272">
        <v>101335</v>
      </c>
      <c r="CP12" s="272">
        <v>2873399</v>
      </c>
      <c r="CQ12" s="272">
        <v>633292</v>
      </c>
      <c r="CR12" s="272">
        <v>699274</v>
      </c>
      <c r="CS12" s="272">
        <v>521182</v>
      </c>
      <c r="CT12" s="455">
        <f t="shared" si="8"/>
        <v>1164640</v>
      </c>
      <c r="CU12" s="272">
        <v>1163271</v>
      </c>
      <c r="CV12" s="272">
        <v>1369</v>
      </c>
      <c r="CW12" s="455">
        <f t="shared" si="9"/>
        <v>1155471</v>
      </c>
      <c r="CX12" s="272">
        <v>1154102</v>
      </c>
      <c r="CY12" s="272">
        <v>1369</v>
      </c>
      <c r="CZ12" s="455">
        <f t="shared" si="10"/>
        <v>0</v>
      </c>
      <c r="DA12" s="272">
        <v>0</v>
      </c>
      <c r="DB12" s="272">
        <v>0</v>
      </c>
      <c r="DC12" s="272">
        <v>1874325</v>
      </c>
      <c r="DD12" s="272">
        <v>442549</v>
      </c>
      <c r="DE12" s="272">
        <v>1306515</v>
      </c>
      <c r="DF12" s="272">
        <v>44071</v>
      </c>
      <c r="DG12" s="272">
        <v>81190</v>
      </c>
      <c r="DH12" s="272">
        <v>0</v>
      </c>
      <c r="DI12" s="272">
        <v>597195</v>
      </c>
      <c r="DJ12" s="272">
        <v>24693</v>
      </c>
      <c r="DK12" s="272">
        <v>0</v>
      </c>
      <c r="DL12" s="272">
        <v>572502</v>
      </c>
      <c r="DM12" s="272">
        <v>0</v>
      </c>
      <c r="DN12" s="272">
        <v>0</v>
      </c>
      <c r="DO12" s="272">
        <v>0</v>
      </c>
      <c r="DP12" s="272">
        <v>0</v>
      </c>
      <c r="DQ12" s="272">
        <v>13160</v>
      </c>
      <c r="DR12" s="272">
        <v>0</v>
      </c>
      <c r="DS12" s="272">
        <v>0</v>
      </c>
      <c r="DT12" s="272">
        <v>2837692</v>
      </c>
      <c r="DU12" s="272">
        <v>1509069</v>
      </c>
      <c r="DV12" s="455">
        <f t="shared" si="11"/>
        <v>0</v>
      </c>
      <c r="DW12" s="272">
        <v>0</v>
      </c>
      <c r="DX12" s="272">
        <v>0</v>
      </c>
      <c r="DY12" s="272">
        <v>0</v>
      </c>
      <c r="DZ12" s="272">
        <v>579145</v>
      </c>
      <c r="EA12" s="272">
        <v>364446</v>
      </c>
      <c r="EB12" s="272">
        <v>381332</v>
      </c>
      <c r="EC12" s="272">
        <v>381079</v>
      </c>
      <c r="ED12" s="272">
        <v>26305069</v>
      </c>
      <c r="EF12" s="272">
        <v>-685258</v>
      </c>
      <c r="EG12" s="272">
        <v>3848</v>
      </c>
      <c r="EH12" s="272">
        <v>-689106</v>
      </c>
      <c r="EI12" s="272">
        <v>-250173</v>
      </c>
      <c r="EJ12" s="272">
        <v>-131097</v>
      </c>
      <c r="EL12" s="272">
        <v>88523</v>
      </c>
      <c r="EM12" s="272">
        <v>87870</v>
      </c>
      <c r="EN12" s="272">
        <v>45000</v>
      </c>
      <c r="EO12" s="272">
        <v>26411</v>
      </c>
      <c r="EP12" s="455">
        <f t="shared" si="12"/>
        <v>295516</v>
      </c>
      <c r="EQ12" s="272">
        <v>18946406</v>
      </c>
      <c r="ER12" s="272">
        <v>-476267</v>
      </c>
      <c r="ES12" s="272">
        <v>6762445</v>
      </c>
      <c r="ET12" s="272">
        <v>4538342</v>
      </c>
      <c r="EU12" s="272">
        <v>1353206</v>
      </c>
      <c r="EV12" s="272">
        <v>3315673</v>
      </c>
      <c r="EW12" s="455">
        <f t="shared" si="13"/>
        <v>751798</v>
      </c>
      <c r="EX12" s="272">
        <v>751798</v>
      </c>
      <c r="EY12" s="272">
        <v>56596</v>
      </c>
      <c r="EZ12" s="272">
        <v>684988</v>
      </c>
      <c r="FA12" s="272">
        <v>0</v>
      </c>
      <c r="FB12" s="272"/>
      <c r="FC12" s="272">
        <v>2015456</v>
      </c>
      <c r="FD12" s="272">
        <v>2631882</v>
      </c>
      <c r="FE12" s="272">
        <v>633292</v>
      </c>
      <c r="FF12" s="272">
        <v>2630278</v>
      </c>
      <c r="FG12" s="455">
        <f t="shared" si="14"/>
        <v>647193</v>
      </c>
      <c r="FH12" s="272">
        <v>20107931</v>
      </c>
      <c r="FI12" s="384">
        <f t="shared" si="15"/>
        <v>-4</v>
      </c>
      <c r="FJ12" s="272">
        <v>17399949</v>
      </c>
      <c r="FK12" s="272"/>
      <c r="FL12" s="272">
        <v>9233396</v>
      </c>
      <c r="FM12" s="272">
        <v>14391997</v>
      </c>
      <c r="FN12" s="460">
        <v>0.65900000000000003</v>
      </c>
      <c r="FO12" s="388">
        <v>100.1</v>
      </c>
      <c r="FP12" s="388">
        <v>37.6</v>
      </c>
      <c r="FQ12" s="388">
        <v>7.8</v>
      </c>
      <c r="FR12" s="388">
        <v>18.600000000000001</v>
      </c>
      <c r="FS12" s="388">
        <v>10.9</v>
      </c>
      <c r="FT12" s="388">
        <v>14.5</v>
      </c>
      <c r="FU12" s="388">
        <v>10.1</v>
      </c>
      <c r="FV12" s="388">
        <v>14.5</v>
      </c>
      <c r="FW12" s="272">
        <v>24312562</v>
      </c>
      <c r="FX12" s="384">
        <f t="shared" si="16"/>
        <v>139.69999999999999</v>
      </c>
      <c r="FY12" s="272">
        <v>2569746</v>
      </c>
      <c r="FZ12" s="272">
        <v>162628</v>
      </c>
      <c r="GA12" s="272">
        <v>188585</v>
      </c>
      <c r="GB12" s="272">
        <v>2218533</v>
      </c>
      <c r="GC12" s="272"/>
      <c r="GD12" s="272">
        <v>5430570</v>
      </c>
      <c r="GE12" s="384">
        <f t="shared" si="17"/>
        <v>31.2</v>
      </c>
      <c r="GF12" s="388">
        <v>96.4</v>
      </c>
      <c r="GG12" s="388">
        <v>16.2</v>
      </c>
      <c r="GH12" s="388">
        <v>87.5</v>
      </c>
      <c r="GI12" s="272">
        <v>672</v>
      </c>
    </row>
    <row r="13" spans="2:191" x14ac:dyDescent="0.15">
      <c r="B13" s="89" t="s">
        <v>19</v>
      </c>
      <c r="C13" s="272">
        <v>26806159</v>
      </c>
      <c r="D13" s="455">
        <f t="shared" si="0"/>
        <v>6482008</v>
      </c>
      <c r="E13" s="272">
        <v>142638</v>
      </c>
      <c r="F13" s="272">
        <v>6339370</v>
      </c>
      <c r="G13" s="455">
        <f t="shared" si="1"/>
        <v>3949646</v>
      </c>
      <c r="H13" s="272">
        <v>405015</v>
      </c>
      <c r="I13" s="272">
        <v>3544631</v>
      </c>
      <c r="J13" s="272">
        <v>11595173</v>
      </c>
      <c r="K13" s="272">
        <v>5487110</v>
      </c>
      <c r="L13" s="272">
        <v>3936312</v>
      </c>
      <c r="M13" s="272">
        <v>1818531</v>
      </c>
      <c r="N13" s="272">
        <v>1155078</v>
      </c>
      <c r="O13" s="272">
        <v>2495220</v>
      </c>
      <c r="P13" s="272">
        <v>1610257</v>
      </c>
      <c r="Q13" s="272">
        <v>884963</v>
      </c>
      <c r="R13" s="272">
        <v>287904</v>
      </c>
      <c r="S13" s="272"/>
      <c r="T13" s="455">
        <f t="shared" si="2"/>
        <v>2797298</v>
      </c>
      <c r="U13" s="272">
        <v>857537</v>
      </c>
      <c r="V13" s="272"/>
      <c r="W13" s="272"/>
      <c r="X13" s="272">
        <v>1647949</v>
      </c>
      <c r="Y13" s="272">
        <v>0</v>
      </c>
      <c r="Z13" s="272">
        <v>5672</v>
      </c>
      <c r="AA13" s="272">
        <v>286140</v>
      </c>
      <c r="AB13" s="272">
        <v>822866</v>
      </c>
      <c r="AC13" s="272">
        <v>5714033</v>
      </c>
      <c r="AD13" s="272">
        <v>5000975</v>
      </c>
      <c r="AE13" s="272">
        <v>713058</v>
      </c>
      <c r="AF13" s="272">
        <v>28301</v>
      </c>
      <c r="AG13" s="272">
        <v>2210821</v>
      </c>
      <c r="AH13" s="455">
        <f t="shared" si="3"/>
        <v>1005077</v>
      </c>
      <c r="AI13" s="272">
        <v>835182</v>
      </c>
      <c r="AJ13" s="272">
        <v>169895</v>
      </c>
      <c r="AK13" s="272">
        <v>5560852</v>
      </c>
      <c r="AL13" s="455">
        <f t="shared" si="4"/>
        <v>4236097</v>
      </c>
      <c r="AM13" s="272">
        <v>3488853</v>
      </c>
      <c r="AN13" s="272">
        <v>697931</v>
      </c>
      <c r="AO13" s="272">
        <v>0</v>
      </c>
      <c r="AP13" s="272">
        <v>49313</v>
      </c>
      <c r="AQ13" s="272">
        <v>408329</v>
      </c>
      <c r="AR13" s="272">
        <v>0</v>
      </c>
      <c r="AS13" s="272">
        <v>0</v>
      </c>
      <c r="AT13" s="272">
        <v>2260009</v>
      </c>
      <c r="AU13" s="272">
        <v>941223</v>
      </c>
      <c r="AV13" s="272">
        <v>281867</v>
      </c>
      <c r="AW13" s="272">
        <v>12883</v>
      </c>
      <c r="AX13" s="272">
        <v>1318786</v>
      </c>
      <c r="AY13" s="272">
        <v>82984</v>
      </c>
      <c r="AZ13" s="272">
        <v>328561</v>
      </c>
      <c r="BA13" s="272">
        <v>240296</v>
      </c>
      <c r="BB13" s="272">
        <v>141077</v>
      </c>
      <c r="BC13" s="272">
        <v>215217</v>
      </c>
      <c r="BD13" s="272">
        <v>0</v>
      </c>
      <c r="BE13" s="272">
        <v>0</v>
      </c>
      <c r="BF13" s="272">
        <v>205217</v>
      </c>
      <c r="BG13" s="272">
        <v>0</v>
      </c>
      <c r="BH13" s="272">
        <v>53262</v>
      </c>
      <c r="BI13" s="272">
        <v>51194</v>
      </c>
      <c r="BJ13" s="272">
        <v>284045</v>
      </c>
      <c r="BK13" s="272">
        <v>64552</v>
      </c>
      <c r="BL13" s="272">
        <v>0</v>
      </c>
      <c r="BM13" s="272">
        <v>0</v>
      </c>
      <c r="BN13" s="272">
        <v>1461100</v>
      </c>
      <c r="BO13" s="455">
        <f t="shared" si="5"/>
        <v>1156000</v>
      </c>
      <c r="BP13" s="455">
        <f t="shared" si="6"/>
        <v>305100</v>
      </c>
      <c r="BQ13" s="272">
        <v>305100</v>
      </c>
      <c r="BR13" s="272">
        <v>0</v>
      </c>
      <c r="BS13" s="272">
        <v>0</v>
      </c>
      <c r="BT13" s="272">
        <v>0</v>
      </c>
      <c r="BU13" s="272">
        <v>49976582</v>
      </c>
      <c r="BV13" s="272"/>
      <c r="BW13" s="272">
        <v>16122608</v>
      </c>
      <c r="BX13" s="272">
        <v>11705483</v>
      </c>
      <c r="BY13" s="272">
        <v>1082938</v>
      </c>
      <c r="BZ13" s="272">
        <v>668694</v>
      </c>
      <c r="CA13" s="272">
        <v>10065046</v>
      </c>
      <c r="CB13" s="272">
        <v>880174</v>
      </c>
      <c r="CC13" s="272">
        <v>768776</v>
      </c>
      <c r="CD13" s="272">
        <v>1424171</v>
      </c>
      <c r="CE13" s="272">
        <v>4690314</v>
      </c>
      <c r="CF13" s="272">
        <v>2146732</v>
      </c>
      <c r="CG13" s="272">
        <v>154483</v>
      </c>
      <c r="CH13" s="272">
        <v>6136712</v>
      </c>
      <c r="CI13" s="272">
        <v>4125618</v>
      </c>
      <c r="CJ13" s="455">
        <f t="shared" si="7"/>
        <v>2011094</v>
      </c>
      <c r="CK13" s="272">
        <v>4181479</v>
      </c>
      <c r="CL13" s="272">
        <v>1974016</v>
      </c>
      <c r="CM13" s="272">
        <v>302371</v>
      </c>
      <c r="CN13" s="272">
        <v>999644</v>
      </c>
      <c r="CO13" s="272">
        <v>267824</v>
      </c>
      <c r="CP13" s="272">
        <v>4063976</v>
      </c>
      <c r="CQ13" s="272">
        <v>2309938</v>
      </c>
      <c r="CR13" s="272">
        <v>934000</v>
      </c>
      <c r="CS13" s="272">
        <v>744397</v>
      </c>
      <c r="CT13" s="455">
        <f t="shared" si="8"/>
        <v>67526</v>
      </c>
      <c r="CU13" s="272">
        <v>67526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2583807</v>
      </c>
      <c r="DD13" s="272">
        <v>988368</v>
      </c>
      <c r="DE13" s="272">
        <v>1595439</v>
      </c>
      <c r="DF13" s="272">
        <v>0</v>
      </c>
      <c r="DG13" s="272">
        <v>0</v>
      </c>
      <c r="DH13" s="272">
        <v>0</v>
      </c>
      <c r="DI13" s="272">
        <v>495552</v>
      </c>
      <c r="DJ13" s="272">
        <v>439163</v>
      </c>
      <c r="DK13" s="272">
        <v>124</v>
      </c>
      <c r="DL13" s="272">
        <v>56265</v>
      </c>
      <c r="DM13" s="272">
        <v>2424</v>
      </c>
      <c r="DN13" s="272">
        <v>2424</v>
      </c>
      <c r="DO13" s="272">
        <v>2424</v>
      </c>
      <c r="DP13" s="272">
        <v>0</v>
      </c>
      <c r="DQ13" s="272">
        <v>53983</v>
      </c>
      <c r="DR13" s="272">
        <v>0</v>
      </c>
      <c r="DS13" s="272">
        <v>0</v>
      </c>
      <c r="DT13" s="272">
        <v>5045178</v>
      </c>
      <c r="DU13" s="272">
        <v>2639804</v>
      </c>
      <c r="DV13" s="455">
        <f t="shared" si="11"/>
        <v>0</v>
      </c>
      <c r="DW13" s="272">
        <v>0</v>
      </c>
      <c r="DX13" s="272">
        <v>0</v>
      </c>
      <c r="DY13" s="272">
        <v>0</v>
      </c>
      <c r="DZ13" s="272">
        <v>1217710</v>
      </c>
      <c r="EA13" s="272">
        <v>663265</v>
      </c>
      <c r="EB13" s="272">
        <v>499681</v>
      </c>
      <c r="EC13" s="272">
        <v>0</v>
      </c>
      <c r="ED13" s="272">
        <v>49018589</v>
      </c>
      <c r="EF13" s="272">
        <v>957993</v>
      </c>
      <c r="EG13" s="272">
        <v>14736</v>
      </c>
      <c r="EH13" s="272">
        <v>943257</v>
      </c>
      <c r="EI13" s="272">
        <v>792063</v>
      </c>
      <c r="EJ13" s="272">
        <v>1231226</v>
      </c>
      <c r="EL13" s="272">
        <v>152298</v>
      </c>
      <c r="EM13" s="272">
        <v>150697</v>
      </c>
      <c r="EN13" s="272">
        <v>10000</v>
      </c>
      <c r="EO13" s="272">
        <v>308452</v>
      </c>
      <c r="EP13" s="455">
        <f t="shared" si="12"/>
        <v>384703</v>
      </c>
      <c r="EQ13" s="272">
        <v>36456561</v>
      </c>
      <c r="ER13" s="272">
        <v>-979954</v>
      </c>
      <c r="ES13" s="272">
        <v>14706789</v>
      </c>
      <c r="ET13" s="272">
        <v>10677560</v>
      </c>
      <c r="EU13" s="272">
        <v>2578589</v>
      </c>
      <c r="EV13" s="272">
        <v>6011163</v>
      </c>
      <c r="EW13" s="455">
        <f t="shared" si="13"/>
        <v>830896</v>
      </c>
      <c r="EX13" s="272">
        <v>830896</v>
      </c>
      <c r="EY13" s="272">
        <v>72641</v>
      </c>
      <c r="EZ13" s="272">
        <v>758255</v>
      </c>
      <c r="FA13" s="272">
        <v>0</v>
      </c>
      <c r="FB13" s="272"/>
      <c r="FC13" s="272">
        <v>3317681</v>
      </c>
      <c r="FD13" s="272">
        <v>3763359</v>
      </c>
      <c r="FE13" s="272">
        <v>2309938</v>
      </c>
      <c r="FF13" s="272">
        <v>4558645</v>
      </c>
      <c r="FG13" s="455">
        <f t="shared" si="14"/>
        <v>711400</v>
      </c>
      <c r="FH13" s="272">
        <v>36478522</v>
      </c>
      <c r="FI13" s="384">
        <f t="shared" si="15"/>
        <v>3</v>
      </c>
      <c r="FJ13" s="272">
        <v>31919264</v>
      </c>
      <c r="FK13" s="272"/>
      <c r="FL13" s="272">
        <v>20268400</v>
      </c>
      <c r="FM13" s="272">
        <v>25279852</v>
      </c>
      <c r="FN13" s="460">
        <v>0.83299999999999996</v>
      </c>
      <c r="FO13" s="388">
        <v>101.4</v>
      </c>
      <c r="FP13" s="388">
        <v>43.3</v>
      </c>
      <c r="FQ13" s="388">
        <v>6.5</v>
      </c>
      <c r="FR13" s="388">
        <v>18</v>
      </c>
      <c r="FS13" s="388">
        <v>9.9</v>
      </c>
      <c r="FT13" s="388">
        <v>10.4</v>
      </c>
      <c r="FU13" s="388">
        <v>12.6</v>
      </c>
      <c r="FV13" s="388">
        <v>13.6</v>
      </c>
      <c r="FW13" s="272">
        <v>50160142</v>
      </c>
      <c r="FX13" s="384">
        <f t="shared" si="16"/>
        <v>157.1</v>
      </c>
      <c r="FY13" s="272">
        <v>4145166</v>
      </c>
      <c r="FZ13" s="272">
        <v>780725</v>
      </c>
      <c r="GA13" s="272">
        <v>52700</v>
      </c>
      <c r="GB13" s="272">
        <v>3311741</v>
      </c>
      <c r="GC13" s="272"/>
      <c r="GD13" s="272">
        <v>10856198</v>
      </c>
      <c r="GE13" s="384">
        <f t="shared" si="17"/>
        <v>34</v>
      </c>
      <c r="GF13" s="388">
        <v>97.8</v>
      </c>
      <c r="GG13" s="388">
        <v>16</v>
      </c>
      <c r="GH13" s="388">
        <v>90.3</v>
      </c>
      <c r="GI13" s="272">
        <v>1401</v>
      </c>
    </row>
    <row r="14" spans="2:191" x14ac:dyDescent="0.15">
      <c r="B14" s="89" t="s">
        <v>21</v>
      </c>
      <c r="C14" s="272">
        <v>59903531</v>
      </c>
      <c r="D14" s="455">
        <f t="shared" si="0"/>
        <v>23327735</v>
      </c>
      <c r="E14" s="272">
        <v>377847</v>
      </c>
      <c r="F14" s="272">
        <v>22949888</v>
      </c>
      <c r="G14" s="455">
        <f t="shared" si="1"/>
        <v>3169376</v>
      </c>
      <c r="H14" s="272">
        <v>624627</v>
      </c>
      <c r="I14" s="272">
        <v>2544749</v>
      </c>
      <c r="J14" s="272">
        <v>23917428</v>
      </c>
      <c r="K14" s="272">
        <v>12334577</v>
      </c>
      <c r="L14" s="272">
        <v>8564274</v>
      </c>
      <c r="M14" s="272">
        <v>2464758</v>
      </c>
      <c r="N14" s="272">
        <v>2189015</v>
      </c>
      <c r="O14" s="272">
        <v>5750588</v>
      </c>
      <c r="P14" s="272">
        <v>3819647</v>
      </c>
      <c r="Q14" s="272">
        <v>1930941</v>
      </c>
      <c r="R14" s="272">
        <v>747797</v>
      </c>
      <c r="S14" s="272"/>
      <c r="T14" s="455">
        <f t="shared" si="2"/>
        <v>7034869</v>
      </c>
      <c r="U14" s="272">
        <v>2817657</v>
      </c>
      <c r="V14" s="272"/>
      <c r="W14" s="272"/>
      <c r="X14" s="272">
        <v>3317228</v>
      </c>
      <c r="Y14" s="272">
        <v>145698</v>
      </c>
      <c r="Z14" s="272">
        <v>10728</v>
      </c>
      <c r="AA14" s="272">
        <v>743558</v>
      </c>
      <c r="AB14" s="272">
        <v>2373005</v>
      </c>
      <c r="AC14" s="272">
        <v>8648517</v>
      </c>
      <c r="AD14" s="272">
        <v>8433516</v>
      </c>
      <c r="AE14" s="272">
        <v>215001</v>
      </c>
      <c r="AF14" s="272">
        <v>72116</v>
      </c>
      <c r="AG14" s="272">
        <v>740817</v>
      </c>
      <c r="AH14" s="455">
        <f t="shared" si="3"/>
        <v>2150888</v>
      </c>
      <c r="AI14" s="272">
        <v>1638208</v>
      </c>
      <c r="AJ14" s="272">
        <v>512680</v>
      </c>
      <c r="AK14" s="272">
        <v>9271741</v>
      </c>
      <c r="AL14" s="455">
        <f t="shared" si="4"/>
        <v>5888214</v>
      </c>
      <c r="AM14" s="272">
        <v>4498113</v>
      </c>
      <c r="AN14" s="272">
        <v>1310009</v>
      </c>
      <c r="AO14" s="272">
        <v>0</v>
      </c>
      <c r="AP14" s="272">
        <v>80092</v>
      </c>
      <c r="AQ14" s="272">
        <v>845138</v>
      </c>
      <c r="AR14" s="272">
        <v>0</v>
      </c>
      <c r="AS14" s="272">
        <v>0</v>
      </c>
      <c r="AT14" s="272">
        <v>5122639</v>
      </c>
      <c r="AU14" s="272">
        <v>2666153</v>
      </c>
      <c r="AV14" s="272">
        <v>683811</v>
      </c>
      <c r="AW14" s="272">
        <v>0</v>
      </c>
      <c r="AX14" s="272">
        <v>2456486</v>
      </c>
      <c r="AY14" s="272">
        <v>114510</v>
      </c>
      <c r="AZ14" s="272">
        <v>210512</v>
      </c>
      <c r="BA14" s="272">
        <v>156486</v>
      </c>
      <c r="BB14" s="272">
        <v>45734</v>
      </c>
      <c r="BC14" s="272">
        <v>1526436</v>
      </c>
      <c r="BD14" s="272">
        <v>0</v>
      </c>
      <c r="BE14" s="272">
        <v>0</v>
      </c>
      <c r="BF14" s="272">
        <v>1519854</v>
      </c>
      <c r="BG14" s="272">
        <v>0</v>
      </c>
      <c r="BH14" s="272">
        <v>0</v>
      </c>
      <c r="BI14" s="272">
        <v>0</v>
      </c>
      <c r="BJ14" s="272">
        <v>480800</v>
      </c>
      <c r="BK14" s="272">
        <v>0</v>
      </c>
      <c r="BL14" s="272">
        <v>1797</v>
      </c>
      <c r="BM14" s="272">
        <v>0</v>
      </c>
      <c r="BN14" s="272">
        <v>3580300</v>
      </c>
      <c r="BO14" s="455">
        <f t="shared" si="5"/>
        <v>2734400</v>
      </c>
      <c r="BP14" s="455">
        <f t="shared" si="6"/>
        <v>845900</v>
      </c>
      <c r="BQ14" s="272">
        <v>845900</v>
      </c>
      <c r="BR14" s="272">
        <v>0</v>
      </c>
      <c r="BS14" s="272">
        <v>0</v>
      </c>
      <c r="BT14" s="272">
        <v>0</v>
      </c>
      <c r="BU14" s="272">
        <v>101909702</v>
      </c>
      <c r="BV14" s="272"/>
      <c r="BW14" s="272">
        <v>30536332</v>
      </c>
      <c r="BX14" s="272">
        <v>21160605</v>
      </c>
      <c r="BY14" s="272">
        <v>2556685</v>
      </c>
      <c r="BZ14" s="272">
        <v>2333501</v>
      </c>
      <c r="CA14" s="272">
        <v>14708744</v>
      </c>
      <c r="CB14" s="272">
        <v>1918033</v>
      </c>
      <c r="CC14" s="272">
        <v>1486358</v>
      </c>
      <c r="CD14" s="272">
        <v>4870989</v>
      </c>
      <c r="CE14" s="272">
        <v>6148238</v>
      </c>
      <c r="CF14" s="272">
        <v>3666</v>
      </c>
      <c r="CG14" s="272">
        <v>279811</v>
      </c>
      <c r="CH14" s="272">
        <v>12931447</v>
      </c>
      <c r="CI14" s="272">
        <v>8728466</v>
      </c>
      <c r="CJ14" s="455">
        <f t="shared" si="7"/>
        <v>4202981</v>
      </c>
      <c r="CK14" s="272">
        <v>9057613</v>
      </c>
      <c r="CL14" s="272">
        <v>4542942</v>
      </c>
      <c r="CM14" s="272">
        <v>593317</v>
      </c>
      <c r="CN14" s="272">
        <v>2247842</v>
      </c>
      <c r="CO14" s="272">
        <v>958687</v>
      </c>
      <c r="CP14" s="272">
        <v>11216584</v>
      </c>
      <c r="CQ14" s="272">
        <v>5009981</v>
      </c>
      <c r="CR14" s="272">
        <v>2269552</v>
      </c>
      <c r="CS14" s="272">
        <v>2050836</v>
      </c>
      <c r="CT14" s="455">
        <f t="shared" si="8"/>
        <v>1494408</v>
      </c>
      <c r="CU14" s="272">
        <v>1043569</v>
      </c>
      <c r="CV14" s="272">
        <v>450839</v>
      </c>
      <c r="CW14" s="455">
        <f t="shared" si="9"/>
        <v>1028158</v>
      </c>
      <c r="CX14" s="272">
        <v>881511</v>
      </c>
      <c r="CY14" s="272">
        <v>146647</v>
      </c>
      <c r="CZ14" s="455">
        <f t="shared" si="10"/>
        <v>0</v>
      </c>
      <c r="DA14" s="272">
        <v>0</v>
      </c>
      <c r="DB14" s="272">
        <v>0</v>
      </c>
      <c r="DC14" s="272">
        <v>7394471</v>
      </c>
      <c r="DD14" s="272">
        <v>1358744</v>
      </c>
      <c r="DE14" s="272">
        <v>5487531</v>
      </c>
      <c r="DF14" s="272">
        <v>22303</v>
      </c>
      <c r="DG14" s="272">
        <v>325893</v>
      </c>
      <c r="DH14" s="272">
        <v>0</v>
      </c>
      <c r="DI14" s="272">
        <v>1491697</v>
      </c>
      <c r="DJ14" s="272">
        <v>0</v>
      </c>
      <c r="DK14" s="272">
        <v>8993</v>
      </c>
      <c r="DL14" s="272">
        <v>1482704</v>
      </c>
      <c r="DM14" s="272">
        <v>24900</v>
      </c>
      <c r="DN14" s="272">
        <v>24900</v>
      </c>
      <c r="DO14" s="272">
        <v>24900</v>
      </c>
      <c r="DP14" s="272">
        <v>0</v>
      </c>
      <c r="DQ14" s="272">
        <v>1000000</v>
      </c>
      <c r="DR14" s="272">
        <v>0</v>
      </c>
      <c r="DS14" s="272">
        <v>0</v>
      </c>
      <c r="DT14" s="272">
        <v>12454903</v>
      </c>
      <c r="DU14" s="272">
        <v>6959451</v>
      </c>
      <c r="DV14" s="455">
        <f t="shared" si="11"/>
        <v>0</v>
      </c>
      <c r="DW14" s="272">
        <v>0</v>
      </c>
      <c r="DX14" s="272">
        <v>0</v>
      </c>
      <c r="DY14" s="272">
        <v>50025</v>
      </c>
      <c r="DZ14" s="272">
        <v>2816103</v>
      </c>
      <c r="EA14" s="272">
        <v>1338351</v>
      </c>
      <c r="EB14" s="272">
        <v>1270973</v>
      </c>
      <c r="EC14" s="272">
        <v>2313105</v>
      </c>
      <c r="ED14" s="272">
        <v>104088483</v>
      </c>
      <c r="EF14" s="272">
        <v>-2178781</v>
      </c>
      <c r="EG14" s="272">
        <v>311433</v>
      </c>
      <c r="EH14" s="272">
        <v>-2490214</v>
      </c>
      <c r="EI14" s="272">
        <v>486095</v>
      </c>
      <c r="EJ14" s="272">
        <v>486095</v>
      </c>
      <c r="EL14" s="272">
        <v>402563</v>
      </c>
      <c r="EM14" s="272">
        <v>401250</v>
      </c>
      <c r="EN14" s="272">
        <v>1251671</v>
      </c>
      <c r="EO14" s="272">
        <v>176875</v>
      </c>
      <c r="EP14" s="455">
        <f t="shared" si="12"/>
        <v>872195</v>
      </c>
      <c r="EQ14" s="272">
        <v>78779835</v>
      </c>
      <c r="ER14" s="272">
        <v>-3074525</v>
      </c>
      <c r="ES14" s="272">
        <v>27722705</v>
      </c>
      <c r="ET14" s="272">
        <v>18669414</v>
      </c>
      <c r="EU14" s="272">
        <v>4773802</v>
      </c>
      <c r="EV14" s="272">
        <v>12928915</v>
      </c>
      <c r="EW14" s="455">
        <f t="shared" si="13"/>
        <v>3569886</v>
      </c>
      <c r="EX14" s="272">
        <v>3569886</v>
      </c>
      <c r="EY14" s="272">
        <v>214638</v>
      </c>
      <c r="EZ14" s="272">
        <v>3132945</v>
      </c>
      <c r="FA14" s="272">
        <v>0</v>
      </c>
      <c r="FB14" s="272"/>
      <c r="FC14" s="272">
        <v>7149116</v>
      </c>
      <c r="FD14" s="272">
        <v>10442790</v>
      </c>
      <c r="FE14" s="272">
        <v>5006378</v>
      </c>
      <c r="FF14" s="272">
        <v>11793937</v>
      </c>
      <c r="FG14" s="455">
        <f t="shared" si="14"/>
        <v>5687990</v>
      </c>
      <c r="FH14" s="272">
        <v>84069141</v>
      </c>
      <c r="FI14" s="384">
        <f t="shared" si="15"/>
        <v>-3.4</v>
      </c>
      <c r="FJ14" s="272">
        <v>73932349</v>
      </c>
      <c r="FK14" s="272"/>
      <c r="FL14" s="272">
        <v>49329542</v>
      </c>
      <c r="FM14" s="272">
        <v>57763058</v>
      </c>
      <c r="FN14" s="460">
        <v>0.871</v>
      </c>
      <c r="FO14" s="388">
        <v>92.2</v>
      </c>
      <c r="FP14" s="388">
        <v>36.700000000000003</v>
      </c>
      <c r="FQ14" s="388">
        <v>6.5</v>
      </c>
      <c r="FR14" s="388">
        <v>17.7</v>
      </c>
      <c r="FS14" s="388">
        <v>8.9</v>
      </c>
      <c r="FT14" s="388">
        <v>13.3</v>
      </c>
      <c r="FU14" s="388">
        <v>7.9</v>
      </c>
      <c r="FV14" s="388">
        <v>10.9</v>
      </c>
      <c r="FW14" s="272">
        <v>104786773</v>
      </c>
      <c r="FX14" s="384">
        <f t="shared" si="16"/>
        <v>141.69999999999999</v>
      </c>
      <c r="FY14" s="272">
        <v>13567802</v>
      </c>
      <c r="FZ14" s="272">
        <v>0</v>
      </c>
      <c r="GA14" s="272">
        <v>3452122</v>
      </c>
      <c r="GB14" s="272">
        <v>10115680</v>
      </c>
      <c r="GC14" s="272"/>
      <c r="GD14" s="272">
        <v>29534531</v>
      </c>
      <c r="GE14" s="384">
        <f t="shared" si="17"/>
        <v>39.9</v>
      </c>
      <c r="GF14" s="388">
        <v>97.5</v>
      </c>
      <c r="GG14" s="388">
        <v>17</v>
      </c>
      <c r="GH14" s="388">
        <v>89.4</v>
      </c>
      <c r="GI14" s="272">
        <v>2760</v>
      </c>
    </row>
    <row r="15" spans="2:191" x14ac:dyDescent="0.15">
      <c r="B15" s="89" t="s">
        <v>23</v>
      </c>
      <c r="C15" s="272">
        <v>45813192</v>
      </c>
      <c r="D15" s="455">
        <f t="shared" si="0"/>
        <v>15631324</v>
      </c>
      <c r="E15" s="272">
        <v>249916</v>
      </c>
      <c r="F15" s="272">
        <v>15381408</v>
      </c>
      <c r="G15" s="455">
        <f t="shared" si="1"/>
        <v>4103352</v>
      </c>
      <c r="H15" s="272">
        <v>685816</v>
      </c>
      <c r="I15" s="272">
        <v>3417536</v>
      </c>
      <c r="J15" s="272">
        <v>19993293</v>
      </c>
      <c r="K15" s="272">
        <v>10264242</v>
      </c>
      <c r="L15" s="272">
        <v>6570505</v>
      </c>
      <c r="M15" s="272">
        <v>2900426</v>
      </c>
      <c r="N15" s="272">
        <v>1572429</v>
      </c>
      <c r="O15" s="272">
        <v>4336241</v>
      </c>
      <c r="P15" s="272">
        <v>2869231</v>
      </c>
      <c r="Q15" s="272">
        <v>1467010</v>
      </c>
      <c r="R15" s="272">
        <v>506444</v>
      </c>
      <c r="S15" s="272"/>
      <c r="T15" s="455">
        <f t="shared" si="2"/>
        <v>5003439</v>
      </c>
      <c r="U15" s="272">
        <v>1885158</v>
      </c>
      <c r="V15" s="272"/>
      <c r="W15" s="272"/>
      <c r="X15" s="272">
        <v>2458311</v>
      </c>
      <c r="Y15" s="272">
        <v>151666</v>
      </c>
      <c r="Z15" s="272">
        <v>4869</v>
      </c>
      <c r="AA15" s="272">
        <v>503435</v>
      </c>
      <c r="AB15" s="272">
        <v>1724059</v>
      </c>
      <c r="AC15" s="272">
        <v>1798456</v>
      </c>
      <c r="AD15" s="272">
        <v>1472438</v>
      </c>
      <c r="AE15" s="272">
        <v>326018</v>
      </c>
      <c r="AF15" s="272">
        <v>48728</v>
      </c>
      <c r="AG15" s="272">
        <v>418561</v>
      </c>
      <c r="AH15" s="455">
        <f t="shared" si="3"/>
        <v>2038655</v>
      </c>
      <c r="AI15" s="272">
        <v>1686703</v>
      </c>
      <c r="AJ15" s="272">
        <v>351952</v>
      </c>
      <c r="AK15" s="272">
        <v>6025132</v>
      </c>
      <c r="AL15" s="455">
        <f t="shared" si="4"/>
        <v>3229906</v>
      </c>
      <c r="AM15" s="272">
        <v>2541466</v>
      </c>
      <c r="AN15" s="272">
        <v>662923</v>
      </c>
      <c r="AO15" s="272">
        <v>0</v>
      </c>
      <c r="AP15" s="272">
        <v>25517</v>
      </c>
      <c r="AQ15" s="272">
        <v>1223163</v>
      </c>
      <c r="AR15" s="272">
        <v>5963</v>
      </c>
      <c r="AS15" s="272">
        <v>0</v>
      </c>
      <c r="AT15" s="272">
        <v>3683539</v>
      </c>
      <c r="AU15" s="272">
        <v>1688415</v>
      </c>
      <c r="AV15" s="272">
        <v>483151</v>
      </c>
      <c r="AW15" s="272">
        <v>189429</v>
      </c>
      <c r="AX15" s="272">
        <v>1995124</v>
      </c>
      <c r="AY15" s="272">
        <v>120614</v>
      </c>
      <c r="AZ15" s="272">
        <v>58303</v>
      </c>
      <c r="BA15" s="272">
        <v>14058</v>
      </c>
      <c r="BB15" s="272">
        <v>29671</v>
      </c>
      <c r="BC15" s="272">
        <v>728843</v>
      </c>
      <c r="BD15" s="272">
        <v>265082</v>
      </c>
      <c r="BE15" s="272">
        <v>0</v>
      </c>
      <c r="BF15" s="272">
        <v>304300</v>
      </c>
      <c r="BG15" s="272">
        <v>0</v>
      </c>
      <c r="BH15" s="272">
        <v>966571</v>
      </c>
      <c r="BI15" s="272">
        <v>658203</v>
      </c>
      <c r="BJ15" s="272">
        <v>1774348</v>
      </c>
      <c r="BK15" s="272">
        <v>408340</v>
      </c>
      <c r="BL15" s="272">
        <v>82985</v>
      </c>
      <c r="BM15" s="272">
        <v>38045</v>
      </c>
      <c r="BN15" s="272">
        <v>2080400</v>
      </c>
      <c r="BO15" s="455">
        <f t="shared" si="5"/>
        <v>1465800</v>
      </c>
      <c r="BP15" s="455">
        <f t="shared" si="6"/>
        <v>614600</v>
      </c>
      <c r="BQ15" s="272">
        <v>614600</v>
      </c>
      <c r="BR15" s="272">
        <v>0</v>
      </c>
      <c r="BS15" s="272">
        <v>0</v>
      </c>
      <c r="BT15" s="272">
        <v>0</v>
      </c>
      <c r="BU15" s="272">
        <v>72698341</v>
      </c>
      <c r="BV15" s="272"/>
      <c r="BW15" s="272">
        <v>19721548</v>
      </c>
      <c r="BX15" s="272">
        <v>14311398</v>
      </c>
      <c r="BY15" s="272">
        <v>1586865</v>
      </c>
      <c r="BZ15" s="272">
        <v>657724</v>
      </c>
      <c r="CA15" s="272">
        <v>8938196</v>
      </c>
      <c r="CB15" s="272">
        <v>1523570</v>
      </c>
      <c r="CC15" s="272">
        <v>922337</v>
      </c>
      <c r="CD15" s="272">
        <v>2841442</v>
      </c>
      <c r="CE15" s="272">
        <v>3479331</v>
      </c>
      <c r="CF15" s="272">
        <v>0</v>
      </c>
      <c r="CG15" s="272">
        <v>169380</v>
      </c>
      <c r="CH15" s="272">
        <v>5401820</v>
      </c>
      <c r="CI15" s="272">
        <v>3535134</v>
      </c>
      <c r="CJ15" s="455">
        <f t="shared" si="7"/>
        <v>1866686</v>
      </c>
      <c r="CK15" s="272">
        <v>11865018</v>
      </c>
      <c r="CL15" s="272">
        <v>6312313</v>
      </c>
      <c r="CM15" s="272">
        <v>625716</v>
      </c>
      <c r="CN15" s="272">
        <v>2986818</v>
      </c>
      <c r="CO15" s="272">
        <v>1489245</v>
      </c>
      <c r="CP15" s="272">
        <v>2531862</v>
      </c>
      <c r="CQ15" s="272">
        <v>1592</v>
      </c>
      <c r="CR15" s="272">
        <v>1435853</v>
      </c>
      <c r="CS15" s="272">
        <v>998769</v>
      </c>
      <c r="CT15" s="455">
        <f t="shared" si="8"/>
        <v>17830</v>
      </c>
      <c r="CU15" s="272">
        <v>9792</v>
      </c>
      <c r="CV15" s="272">
        <v>8038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12015412</v>
      </c>
      <c r="DD15" s="272">
        <v>3226198</v>
      </c>
      <c r="DE15" s="272">
        <v>8664228</v>
      </c>
      <c r="DF15" s="272">
        <v>3467</v>
      </c>
      <c r="DG15" s="272">
        <v>121519</v>
      </c>
      <c r="DH15" s="272">
        <v>108499</v>
      </c>
      <c r="DI15" s="272">
        <v>149000</v>
      </c>
      <c r="DJ15" s="272">
        <v>11800</v>
      </c>
      <c r="DK15" s="272">
        <v>0</v>
      </c>
      <c r="DL15" s="272">
        <v>137200</v>
      </c>
      <c r="DM15" s="272">
        <v>30373</v>
      </c>
      <c r="DN15" s="272">
        <v>4373</v>
      </c>
      <c r="DO15" s="272">
        <v>4373</v>
      </c>
      <c r="DP15" s="272">
        <v>0</v>
      </c>
      <c r="DQ15" s="272">
        <v>404000</v>
      </c>
      <c r="DR15" s="272">
        <v>0</v>
      </c>
      <c r="DS15" s="272">
        <v>0</v>
      </c>
      <c r="DT15" s="272">
        <v>8732643</v>
      </c>
      <c r="DU15" s="272">
        <v>5080000</v>
      </c>
      <c r="DV15" s="455">
        <f t="shared" si="11"/>
        <v>0</v>
      </c>
      <c r="DW15" s="272">
        <v>0</v>
      </c>
      <c r="DX15" s="272">
        <v>0</v>
      </c>
      <c r="DY15" s="272">
        <v>0</v>
      </c>
      <c r="DZ15" s="272">
        <v>2054000</v>
      </c>
      <c r="EA15" s="272">
        <v>888659</v>
      </c>
      <c r="EB15" s="272">
        <v>664682</v>
      </c>
      <c r="EC15" s="272">
        <v>0</v>
      </c>
      <c r="ED15" s="272">
        <v>71387616</v>
      </c>
      <c r="EF15" s="272">
        <v>1310725</v>
      </c>
      <c r="EG15" s="272">
        <v>433394</v>
      </c>
      <c r="EH15" s="272">
        <v>877331</v>
      </c>
      <c r="EI15" s="272">
        <v>219128</v>
      </c>
      <c r="EJ15" s="272">
        <v>-34154</v>
      </c>
      <c r="EL15" s="272">
        <v>260648</v>
      </c>
      <c r="EM15" s="272">
        <v>257781</v>
      </c>
      <c r="EN15" s="272">
        <v>354519</v>
      </c>
      <c r="EO15" s="272">
        <v>24116</v>
      </c>
      <c r="EP15" s="455">
        <f t="shared" si="12"/>
        <v>1598955</v>
      </c>
      <c r="EQ15" s="272">
        <v>54894318</v>
      </c>
      <c r="ER15" s="272">
        <v>-2543462</v>
      </c>
      <c r="ES15" s="272">
        <v>17684040</v>
      </c>
      <c r="ET15" s="272">
        <v>12315022</v>
      </c>
      <c r="EU15" s="272">
        <v>3280905</v>
      </c>
      <c r="EV15" s="272">
        <v>5343589</v>
      </c>
      <c r="EW15" s="455">
        <f t="shared" si="13"/>
        <v>8090593</v>
      </c>
      <c r="EX15" s="272">
        <v>8077801</v>
      </c>
      <c r="EY15" s="272">
        <v>786030</v>
      </c>
      <c r="EZ15" s="272">
        <v>7287198</v>
      </c>
      <c r="FA15" s="272">
        <v>12792</v>
      </c>
      <c r="FB15" s="272"/>
      <c r="FC15" s="272">
        <v>9682713</v>
      </c>
      <c r="FD15" s="272">
        <v>2148043</v>
      </c>
      <c r="FE15" s="272">
        <v>1592</v>
      </c>
      <c r="FF15" s="272">
        <v>8347794</v>
      </c>
      <c r="FG15" s="455">
        <f t="shared" si="14"/>
        <v>1549378</v>
      </c>
      <c r="FH15" s="272">
        <v>56127055</v>
      </c>
      <c r="FI15" s="384">
        <f t="shared" si="15"/>
        <v>1.8</v>
      </c>
      <c r="FJ15" s="272">
        <v>50015303</v>
      </c>
      <c r="FK15" s="272"/>
      <c r="FL15" s="272">
        <v>36555298</v>
      </c>
      <c r="FM15" s="272">
        <v>38027736</v>
      </c>
      <c r="FN15" s="460">
        <v>0.98699999999999999</v>
      </c>
      <c r="FO15" s="388">
        <v>86.1</v>
      </c>
      <c r="FP15" s="388">
        <v>34.200000000000003</v>
      </c>
      <c r="FQ15" s="388">
        <v>6.5</v>
      </c>
      <c r="FR15" s="388">
        <v>10.6</v>
      </c>
      <c r="FS15" s="388">
        <v>18.5</v>
      </c>
      <c r="FT15" s="388">
        <v>3.6</v>
      </c>
      <c r="FU15" s="388">
        <v>9.9</v>
      </c>
      <c r="FV15" s="388">
        <v>5.2</v>
      </c>
      <c r="FW15" s="272">
        <v>49573303</v>
      </c>
      <c r="FX15" s="384">
        <f t="shared" si="16"/>
        <v>99.1</v>
      </c>
      <c r="FY15" s="272">
        <v>12468400</v>
      </c>
      <c r="FZ15" s="272">
        <v>4558600</v>
      </c>
      <c r="GA15" s="272"/>
      <c r="GB15" s="272">
        <v>7909800</v>
      </c>
      <c r="GC15" s="272"/>
      <c r="GD15" s="272">
        <v>8214570</v>
      </c>
      <c r="GE15" s="384">
        <f t="shared" si="17"/>
        <v>16.399999999999999</v>
      </c>
      <c r="GF15" s="388">
        <v>98.5</v>
      </c>
      <c r="GG15" s="388">
        <v>17.3</v>
      </c>
      <c r="GH15" s="388">
        <v>94.7</v>
      </c>
      <c r="GI15" s="272">
        <v>1916</v>
      </c>
    </row>
    <row r="16" spans="2:191" x14ac:dyDescent="0.15">
      <c r="B16" s="89" t="s">
        <v>25</v>
      </c>
      <c r="C16" s="272">
        <v>42470781</v>
      </c>
      <c r="D16" s="455">
        <f t="shared" si="0"/>
        <v>13448558</v>
      </c>
      <c r="E16" s="272">
        <v>254144</v>
      </c>
      <c r="F16" s="272">
        <v>13194414</v>
      </c>
      <c r="G16" s="455">
        <f t="shared" si="1"/>
        <v>3896213</v>
      </c>
      <c r="H16" s="272">
        <v>661353</v>
      </c>
      <c r="I16" s="272">
        <v>3234860</v>
      </c>
      <c r="J16" s="272">
        <v>18800562</v>
      </c>
      <c r="K16" s="272">
        <v>10162246</v>
      </c>
      <c r="L16" s="272">
        <v>5912337</v>
      </c>
      <c r="M16" s="272">
        <v>2434997</v>
      </c>
      <c r="N16" s="272">
        <v>1941030</v>
      </c>
      <c r="O16" s="272">
        <v>4173405</v>
      </c>
      <c r="P16" s="272">
        <v>2864904</v>
      </c>
      <c r="Q16" s="272">
        <v>1308501</v>
      </c>
      <c r="R16" s="272">
        <v>551064</v>
      </c>
      <c r="S16" s="272"/>
      <c r="T16" s="455">
        <f t="shared" si="2"/>
        <v>4958184</v>
      </c>
      <c r="U16" s="272">
        <v>1688963</v>
      </c>
      <c r="V16" s="272"/>
      <c r="W16" s="272"/>
      <c r="X16" s="272">
        <v>2719053</v>
      </c>
      <c r="Y16" s="272">
        <v>0</v>
      </c>
      <c r="Z16" s="272">
        <v>3164</v>
      </c>
      <c r="AA16" s="272">
        <v>547004</v>
      </c>
      <c r="AB16" s="272">
        <v>1494026</v>
      </c>
      <c r="AC16" s="272">
        <v>7931499</v>
      </c>
      <c r="AD16" s="272">
        <v>6823425</v>
      </c>
      <c r="AE16" s="272">
        <v>1108074</v>
      </c>
      <c r="AF16" s="272">
        <v>56520</v>
      </c>
      <c r="AG16" s="272">
        <v>1833063</v>
      </c>
      <c r="AH16" s="455">
        <f t="shared" si="3"/>
        <v>2093302</v>
      </c>
      <c r="AI16" s="272">
        <v>1353114</v>
      </c>
      <c r="AJ16" s="272">
        <v>740188</v>
      </c>
      <c r="AK16" s="272">
        <v>8811462</v>
      </c>
      <c r="AL16" s="455">
        <f t="shared" si="4"/>
        <v>6131174</v>
      </c>
      <c r="AM16" s="272">
        <v>5333090</v>
      </c>
      <c r="AN16" s="272">
        <v>746138</v>
      </c>
      <c r="AO16" s="272">
        <v>0</v>
      </c>
      <c r="AP16" s="272">
        <v>51946</v>
      </c>
      <c r="AQ16" s="272">
        <v>484259</v>
      </c>
      <c r="AR16" s="272">
        <v>0</v>
      </c>
      <c r="AS16" s="272">
        <v>47228</v>
      </c>
      <c r="AT16" s="272">
        <v>3952654</v>
      </c>
      <c r="AU16" s="272">
        <v>1727961</v>
      </c>
      <c r="AV16" s="272">
        <v>387943</v>
      </c>
      <c r="AW16" s="272">
        <v>77818</v>
      </c>
      <c r="AX16" s="272">
        <v>2224693</v>
      </c>
      <c r="AY16" s="272">
        <v>80941</v>
      </c>
      <c r="AZ16" s="272">
        <v>881481</v>
      </c>
      <c r="BA16" s="272">
        <v>799849</v>
      </c>
      <c r="BB16" s="272">
        <v>367175</v>
      </c>
      <c r="BC16" s="272">
        <v>1061559</v>
      </c>
      <c r="BD16" s="272">
        <v>0</v>
      </c>
      <c r="BE16" s="272">
        <v>0</v>
      </c>
      <c r="BF16" s="272">
        <v>1033700</v>
      </c>
      <c r="BG16" s="272">
        <v>0</v>
      </c>
      <c r="BH16" s="272">
        <v>931786</v>
      </c>
      <c r="BI16" s="272">
        <v>831188</v>
      </c>
      <c r="BJ16" s="272">
        <v>934968</v>
      </c>
      <c r="BK16" s="272">
        <v>546957</v>
      </c>
      <c r="BL16" s="272">
        <v>0</v>
      </c>
      <c r="BM16" s="272">
        <v>0</v>
      </c>
      <c r="BN16" s="272">
        <v>5260400</v>
      </c>
      <c r="BO16" s="455">
        <f t="shared" si="5"/>
        <v>4711200</v>
      </c>
      <c r="BP16" s="455">
        <f t="shared" si="6"/>
        <v>549200</v>
      </c>
      <c r="BQ16" s="272">
        <v>549200</v>
      </c>
      <c r="BR16" s="272">
        <v>0</v>
      </c>
      <c r="BS16" s="272">
        <v>0</v>
      </c>
      <c r="BT16" s="272">
        <v>0</v>
      </c>
      <c r="BU16" s="272">
        <v>83637152</v>
      </c>
      <c r="BV16" s="272"/>
      <c r="BW16" s="272">
        <v>21172456</v>
      </c>
      <c r="BX16" s="272">
        <v>14914329</v>
      </c>
      <c r="BY16" s="272">
        <v>1775263</v>
      </c>
      <c r="BZ16" s="272">
        <v>1228597</v>
      </c>
      <c r="CA16" s="272">
        <v>14504360</v>
      </c>
      <c r="CB16" s="272">
        <v>1435718</v>
      </c>
      <c r="CC16" s="272">
        <v>1184205</v>
      </c>
      <c r="CD16" s="272">
        <v>3023844</v>
      </c>
      <c r="CE16" s="272">
        <v>7104726</v>
      </c>
      <c r="CF16" s="272">
        <v>1424595</v>
      </c>
      <c r="CG16" s="272">
        <v>330872</v>
      </c>
      <c r="CH16" s="272">
        <v>9642856</v>
      </c>
      <c r="CI16" s="272">
        <v>6715943</v>
      </c>
      <c r="CJ16" s="455">
        <f t="shared" si="7"/>
        <v>2926913</v>
      </c>
      <c r="CK16" s="272">
        <v>9941881</v>
      </c>
      <c r="CL16" s="272">
        <v>5852813</v>
      </c>
      <c r="CM16" s="272">
        <v>645586</v>
      </c>
      <c r="CN16" s="272">
        <v>2036455</v>
      </c>
      <c r="CO16" s="272">
        <v>462340</v>
      </c>
      <c r="CP16" s="272">
        <v>3575769</v>
      </c>
      <c r="CQ16" s="272">
        <v>50524</v>
      </c>
      <c r="CR16" s="272">
        <v>1406031</v>
      </c>
      <c r="CS16" s="272">
        <v>709422</v>
      </c>
      <c r="CT16" s="455">
        <f t="shared" si="8"/>
        <v>972173</v>
      </c>
      <c r="CU16" s="272">
        <v>972173</v>
      </c>
      <c r="CV16" s="272">
        <v>0</v>
      </c>
      <c r="CW16" s="455">
        <f t="shared" si="9"/>
        <v>892428</v>
      </c>
      <c r="CX16" s="272">
        <v>892428</v>
      </c>
      <c r="CY16" s="272">
        <v>0</v>
      </c>
      <c r="CZ16" s="455">
        <f t="shared" si="10"/>
        <v>0</v>
      </c>
      <c r="DA16" s="272">
        <v>0</v>
      </c>
      <c r="DB16" s="272">
        <v>0</v>
      </c>
      <c r="DC16" s="272">
        <v>10686839</v>
      </c>
      <c r="DD16" s="272">
        <v>1576281</v>
      </c>
      <c r="DE16" s="272">
        <v>9011825</v>
      </c>
      <c r="DF16" s="272">
        <v>77775</v>
      </c>
      <c r="DG16" s="272">
        <v>18333</v>
      </c>
      <c r="DH16" s="272">
        <v>0</v>
      </c>
      <c r="DI16" s="272">
        <v>1621215</v>
      </c>
      <c r="DJ16" s="272">
        <v>437649</v>
      </c>
      <c r="DK16" s="272">
        <v>0</v>
      </c>
      <c r="DL16" s="272">
        <v>1183566</v>
      </c>
      <c r="DM16" s="272">
        <v>782813</v>
      </c>
      <c r="DN16" s="272">
        <v>759813</v>
      </c>
      <c r="DO16" s="272">
        <v>307100</v>
      </c>
      <c r="DP16" s="272">
        <v>452713</v>
      </c>
      <c r="DQ16" s="272">
        <v>572400</v>
      </c>
      <c r="DR16" s="272">
        <v>0</v>
      </c>
      <c r="DS16" s="272">
        <v>0</v>
      </c>
      <c r="DT16" s="272">
        <v>9400349</v>
      </c>
      <c r="DU16" s="272">
        <v>4762000</v>
      </c>
      <c r="DV16" s="455">
        <f t="shared" si="11"/>
        <v>0</v>
      </c>
      <c r="DW16" s="272">
        <v>0</v>
      </c>
      <c r="DX16" s="272">
        <v>0</v>
      </c>
      <c r="DY16" s="272">
        <v>0</v>
      </c>
      <c r="DZ16" s="272">
        <v>2425789</v>
      </c>
      <c r="EA16" s="272">
        <v>1120368</v>
      </c>
      <c r="EB16" s="272">
        <v>1055449</v>
      </c>
      <c r="EC16" s="272">
        <v>0</v>
      </c>
      <c r="ED16" s="272">
        <v>82363278</v>
      </c>
      <c r="EF16" s="272">
        <v>1273874</v>
      </c>
      <c r="EG16" s="272">
        <v>218050</v>
      </c>
      <c r="EH16" s="272">
        <v>1055824</v>
      </c>
      <c r="EI16" s="272">
        <v>224636</v>
      </c>
      <c r="EJ16" s="272">
        <v>1228028</v>
      </c>
      <c r="EL16" s="272">
        <v>274777</v>
      </c>
      <c r="EM16" s="272">
        <v>268029</v>
      </c>
      <c r="EN16" s="272">
        <v>409</v>
      </c>
      <c r="EO16" s="272">
        <v>801882</v>
      </c>
      <c r="EP16" s="455">
        <f t="shared" si="12"/>
        <v>1877810</v>
      </c>
      <c r="EQ16" s="272">
        <v>57509302</v>
      </c>
      <c r="ER16" s="272">
        <v>-3125553</v>
      </c>
      <c r="ES16" s="272">
        <v>19332419</v>
      </c>
      <c r="ET16" s="272">
        <v>13531764</v>
      </c>
      <c r="EU16" s="272">
        <v>3963981</v>
      </c>
      <c r="EV16" s="272">
        <v>9505422</v>
      </c>
      <c r="EW16" s="455">
        <f t="shared" si="13"/>
        <v>5095426</v>
      </c>
      <c r="EX16" s="272">
        <v>5095426</v>
      </c>
      <c r="EY16" s="272">
        <v>239451</v>
      </c>
      <c r="EZ16" s="272">
        <v>4801900</v>
      </c>
      <c r="FA16" s="272">
        <v>0</v>
      </c>
      <c r="FB16" s="272"/>
      <c r="FC16" s="272">
        <v>7712106</v>
      </c>
      <c r="FD16" s="272">
        <v>3060268</v>
      </c>
      <c r="FE16" s="272">
        <v>50524</v>
      </c>
      <c r="FF16" s="272">
        <v>8757356</v>
      </c>
      <c r="FG16" s="455">
        <f t="shared" si="14"/>
        <v>1934003</v>
      </c>
      <c r="FH16" s="272">
        <v>59360981</v>
      </c>
      <c r="FI16" s="384">
        <f t="shared" si="15"/>
        <v>2</v>
      </c>
      <c r="FJ16" s="272">
        <v>52158298</v>
      </c>
      <c r="FK16" s="272"/>
      <c r="FL16" s="272">
        <v>34153754</v>
      </c>
      <c r="FM16" s="272">
        <v>40977179</v>
      </c>
      <c r="FN16" s="460">
        <v>0.85899999999999999</v>
      </c>
      <c r="FO16" s="388">
        <v>90.8</v>
      </c>
      <c r="FP16" s="388">
        <v>35</v>
      </c>
      <c r="FQ16" s="388">
        <v>7.5</v>
      </c>
      <c r="FR16" s="388">
        <v>17</v>
      </c>
      <c r="FS16" s="388">
        <v>13.8</v>
      </c>
      <c r="FT16" s="388">
        <v>4.2</v>
      </c>
      <c r="FU16" s="388">
        <v>12.7</v>
      </c>
      <c r="FV16" s="388">
        <v>12</v>
      </c>
      <c r="FW16" s="272">
        <v>84068824</v>
      </c>
      <c r="FX16" s="384">
        <f t="shared" si="16"/>
        <v>161.19999999999999</v>
      </c>
      <c r="FY16" s="272">
        <v>14628614</v>
      </c>
      <c r="FZ16" s="272">
        <v>3849029</v>
      </c>
      <c r="GA16" s="272"/>
      <c r="GB16" s="272">
        <v>10779585</v>
      </c>
      <c r="GC16" s="272"/>
      <c r="GD16" s="272">
        <v>19395151</v>
      </c>
      <c r="GE16" s="384">
        <f t="shared" si="17"/>
        <v>37.200000000000003</v>
      </c>
      <c r="GF16" s="388">
        <v>98.2</v>
      </c>
      <c r="GG16" s="388">
        <v>24.6</v>
      </c>
      <c r="GH16" s="388">
        <v>93.8</v>
      </c>
      <c r="GI16" s="272">
        <v>1917</v>
      </c>
    </row>
    <row r="17" spans="2:191" x14ac:dyDescent="0.15">
      <c r="B17" s="89" t="s">
        <v>27</v>
      </c>
      <c r="C17" s="272">
        <v>21639876</v>
      </c>
      <c r="D17" s="455">
        <f t="shared" si="0"/>
        <v>3668046</v>
      </c>
      <c r="E17" s="272">
        <v>86710</v>
      </c>
      <c r="F17" s="272">
        <v>3581336</v>
      </c>
      <c r="G17" s="455">
        <f t="shared" si="1"/>
        <v>1589914</v>
      </c>
      <c r="H17" s="272">
        <v>433161</v>
      </c>
      <c r="I17" s="272">
        <v>1156753</v>
      </c>
      <c r="J17" s="272">
        <v>13499722</v>
      </c>
      <c r="K17" s="272">
        <v>5335366</v>
      </c>
      <c r="L17" s="272">
        <v>3636854</v>
      </c>
      <c r="M17" s="272">
        <v>4100834</v>
      </c>
      <c r="N17" s="272">
        <v>754919</v>
      </c>
      <c r="O17" s="272">
        <v>2017760</v>
      </c>
      <c r="P17" s="272">
        <v>1245256</v>
      </c>
      <c r="Q17" s="272">
        <v>772504</v>
      </c>
      <c r="R17" s="272">
        <v>242027</v>
      </c>
      <c r="S17" s="272"/>
      <c r="T17" s="455">
        <f t="shared" si="2"/>
        <v>1719567</v>
      </c>
      <c r="U17" s="272">
        <v>463962</v>
      </c>
      <c r="V17" s="272"/>
      <c r="W17" s="272"/>
      <c r="X17" s="272">
        <v>983106</v>
      </c>
      <c r="Y17" s="272">
        <v>60696</v>
      </c>
      <c r="Z17" s="272">
        <v>17207</v>
      </c>
      <c r="AA17" s="272">
        <v>194596</v>
      </c>
      <c r="AB17" s="272">
        <v>372456</v>
      </c>
      <c r="AC17" s="272">
        <v>915616</v>
      </c>
      <c r="AD17" s="272">
        <v>115561</v>
      </c>
      <c r="AE17" s="272">
        <v>800055</v>
      </c>
      <c r="AF17" s="272">
        <v>19985</v>
      </c>
      <c r="AG17" s="272">
        <v>618624</v>
      </c>
      <c r="AH17" s="455">
        <f t="shared" si="3"/>
        <v>744173</v>
      </c>
      <c r="AI17" s="272">
        <v>628765</v>
      </c>
      <c r="AJ17" s="272">
        <v>115408</v>
      </c>
      <c r="AK17" s="272">
        <v>3567060</v>
      </c>
      <c r="AL17" s="455">
        <f t="shared" si="4"/>
        <v>1683975</v>
      </c>
      <c r="AM17" s="272">
        <v>1182126</v>
      </c>
      <c r="AN17" s="272">
        <v>490581</v>
      </c>
      <c r="AO17" s="272">
        <v>0</v>
      </c>
      <c r="AP17" s="272">
        <v>11268</v>
      </c>
      <c r="AQ17" s="272">
        <v>876549</v>
      </c>
      <c r="AR17" s="272">
        <v>0</v>
      </c>
      <c r="AS17" s="272">
        <v>0</v>
      </c>
      <c r="AT17" s="272">
        <v>2254019</v>
      </c>
      <c r="AU17" s="272">
        <v>1102188</v>
      </c>
      <c r="AV17" s="272">
        <v>244220</v>
      </c>
      <c r="AW17" s="272">
        <v>307359</v>
      </c>
      <c r="AX17" s="272">
        <v>1151831</v>
      </c>
      <c r="AY17" s="272">
        <v>73020</v>
      </c>
      <c r="AZ17" s="272">
        <v>155974</v>
      </c>
      <c r="BA17" s="272">
        <v>141437</v>
      </c>
      <c r="BB17" s="272">
        <v>206593</v>
      </c>
      <c r="BC17" s="272">
        <v>71377</v>
      </c>
      <c r="BD17" s="272">
        <v>0</v>
      </c>
      <c r="BE17" s="272">
        <v>0</v>
      </c>
      <c r="BF17" s="272">
        <v>71377</v>
      </c>
      <c r="BG17" s="272">
        <v>0</v>
      </c>
      <c r="BH17" s="272">
        <v>0</v>
      </c>
      <c r="BI17" s="272">
        <v>0</v>
      </c>
      <c r="BJ17" s="272">
        <v>345998</v>
      </c>
      <c r="BK17" s="272">
        <v>66094</v>
      </c>
      <c r="BL17" s="272">
        <v>0</v>
      </c>
      <c r="BM17" s="272">
        <v>0</v>
      </c>
      <c r="BN17" s="272">
        <v>2854200</v>
      </c>
      <c r="BO17" s="455">
        <f t="shared" si="5"/>
        <v>2710000</v>
      </c>
      <c r="BP17" s="455">
        <f t="shared" si="6"/>
        <v>144200</v>
      </c>
      <c r="BQ17" s="272">
        <v>144200</v>
      </c>
      <c r="BR17" s="272">
        <v>0</v>
      </c>
      <c r="BS17" s="272">
        <v>0</v>
      </c>
      <c r="BT17" s="272">
        <v>0</v>
      </c>
      <c r="BU17" s="272">
        <v>35727545</v>
      </c>
      <c r="BV17" s="272"/>
      <c r="BW17" s="272">
        <v>10069990</v>
      </c>
      <c r="BX17" s="272">
        <v>6802791</v>
      </c>
      <c r="BY17" s="272">
        <v>1031664</v>
      </c>
      <c r="BZ17" s="272">
        <v>647445</v>
      </c>
      <c r="CA17" s="272">
        <v>4402138</v>
      </c>
      <c r="CB17" s="272">
        <v>674864</v>
      </c>
      <c r="CC17" s="272">
        <v>550005</v>
      </c>
      <c r="CD17" s="272">
        <v>1517552</v>
      </c>
      <c r="CE17" s="272">
        <v>1577975</v>
      </c>
      <c r="CF17" s="272">
        <v>3058</v>
      </c>
      <c r="CG17" s="272">
        <v>78684</v>
      </c>
      <c r="CH17" s="272">
        <v>5597465</v>
      </c>
      <c r="CI17" s="272">
        <v>3026791</v>
      </c>
      <c r="CJ17" s="455">
        <f t="shared" si="7"/>
        <v>2570674</v>
      </c>
      <c r="CK17" s="272">
        <v>3429795</v>
      </c>
      <c r="CL17" s="272">
        <v>1834330</v>
      </c>
      <c r="CM17" s="272">
        <v>139178</v>
      </c>
      <c r="CN17" s="272">
        <v>767226</v>
      </c>
      <c r="CO17" s="272">
        <v>279025</v>
      </c>
      <c r="CP17" s="272">
        <v>4358673</v>
      </c>
      <c r="CQ17" s="272">
        <v>1181543</v>
      </c>
      <c r="CR17" s="272">
        <v>1276711</v>
      </c>
      <c r="CS17" s="272">
        <v>1195482</v>
      </c>
      <c r="CT17" s="455">
        <f t="shared" si="8"/>
        <v>1339651</v>
      </c>
      <c r="CU17" s="272">
        <v>1198293</v>
      </c>
      <c r="CV17" s="272">
        <v>141358</v>
      </c>
      <c r="CW17" s="455">
        <f t="shared" si="9"/>
        <v>1300000</v>
      </c>
      <c r="CX17" s="272">
        <v>1158642</v>
      </c>
      <c r="CY17" s="272">
        <v>141358</v>
      </c>
      <c r="CZ17" s="455">
        <f t="shared" si="10"/>
        <v>0</v>
      </c>
      <c r="DA17" s="272">
        <v>0</v>
      </c>
      <c r="DB17" s="272">
        <v>0</v>
      </c>
      <c r="DC17" s="272">
        <v>5314078</v>
      </c>
      <c r="DD17" s="272">
        <v>2537676</v>
      </c>
      <c r="DE17" s="272">
        <v>2314996</v>
      </c>
      <c r="DF17" s="272">
        <v>437207</v>
      </c>
      <c r="DG17" s="272">
        <v>24199</v>
      </c>
      <c r="DH17" s="272">
        <v>0</v>
      </c>
      <c r="DI17" s="272">
        <v>1366768</v>
      </c>
      <c r="DJ17" s="272">
        <v>274</v>
      </c>
      <c r="DK17" s="272">
        <v>800737</v>
      </c>
      <c r="DL17" s="272">
        <v>565757</v>
      </c>
      <c r="DM17" s="272">
        <v>0</v>
      </c>
      <c r="DN17" s="272">
        <v>0</v>
      </c>
      <c r="DO17" s="272">
        <v>0</v>
      </c>
      <c r="DP17" s="272">
        <v>0</v>
      </c>
      <c r="DQ17" s="272">
        <v>40000</v>
      </c>
      <c r="DR17" s="272">
        <v>0</v>
      </c>
      <c r="DS17" s="272">
        <v>0</v>
      </c>
      <c r="DT17" s="272">
        <v>3271915</v>
      </c>
      <c r="DU17" s="272">
        <v>1428803</v>
      </c>
      <c r="DV17" s="455">
        <f t="shared" si="11"/>
        <v>0</v>
      </c>
      <c r="DW17" s="272">
        <v>0</v>
      </c>
      <c r="DX17" s="272">
        <v>0</v>
      </c>
      <c r="DY17" s="272">
        <v>0</v>
      </c>
      <c r="DZ17" s="272">
        <v>941989</v>
      </c>
      <c r="EA17" s="272">
        <v>458280</v>
      </c>
      <c r="EB17" s="272">
        <v>442843</v>
      </c>
      <c r="EC17" s="272">
        <v>329941</v>
      </c>
      <c r="ED17" s="272">
        <v>38459788</v>
      </c>
      <c r="EF17" s="272">
        <v>-2732243</v>
      </c>
      <c r="EG17" s="272">
        <v>57996</v>
      </c>
      <c r="EH17" s="272">
        <v>-2790239</v>
      </c>
      <c r="EI17" s="272">
        <v>-2395671</v>
      </c>
      <c r="EJ17" s="272">
        <v>-2395397</v>
      </c>
      <c r="EL17" s="272">
        <v>96064</v>
      </c>
      <c r="EM17" s="272">
        <v>98289</v>
      </c>
      <c r="EN17" s="272"/>
      <c r="EO17" s="272">
        <v>141943</v>
      </c>
      <c r="EP17" s="455">
        <f t="shared" si="12"/>
        <v>475707</v>
      </c>
      <c r="EQ17" s="272">
        <v>24909527</v>
      </c>
      <c r="ER17" s="272">
        <v>-741865</v>
      </c>
      <c r="ES17" s="272">
        <v>8804968</v>
      </c>
      <c r="ET17" s="272">
        <v>5600461</v>
      </c>
      <c r="EU17" s="272">
        <v>1520016</v>
      </c>
      <c r="EV17" s="272">
        <v>5347505</v>
      </c>
      <c r="EW17" s="455">
        <f t="shared" si="13"/>
        <v>1318324</v>
      </c>
      <c r="EX17" s="272">
        <v>1318324</v>
      </c>
      <c r="EY17" s="272">
        <v>164712</v>
      </c>
      <c r="EZ17" s="272">
        <v>1144486</v>
      </c>
      <c r="FA17" s="272">
        <v>0</v>
      </c>
      <c r="FB17" s="272"/>
      <c r="FC17" s="272">
        <v>2632456</v>
      </c>
      <c r="FD17" s="272">
        <v>4016223</v>
      </c>
      <c r="FE17" s="272">
        <v>1181543</v>
      </c>
      <c r="FF17" s="272">
        <v>3017329</v>
      </c>
      <c r="FG17" s="455">
        <f t="shared" si="14"/>
        <v>1726814</v>
      </c>
      <c r="FH17" s="272">
        <v>28383635</v>
      </c>
      <c r="FI17" s="384">
        <f t="shared" si="15"/>
        <v>-12.7</v>
      </c>
      <c r="FJ17" s="272">
        <v>21940966</v>
      </c>
      <c r="FK17" s="272"/>
      <c r="FL17" s="272">
        <v>16436117</v>
      </c>
      <c r="FM17" s="272">
        <v>16551678</v>
      </c>
      <c r="FN17" s="460">
        <v>1.071</v>
      </c>
      <c r="FO17" s="388">
        <v>107.4</v>
      </c>
      <c r="FP17" s="388">
        <v>37</v>
      </c>
      <c r="FQ17" s="388">
        <v>6.7</v>
      </c>
      <c r="FR17" s="388">
        <v>24.1</v>
      </c>
      <c r="FS17" s="388">
        <v>11.5</v>
      </c>
      <c r="FT17" s="388">
        <v>15</v>
      </c>
      <c r="FU17" s="388">
        <v>11.8</v>
      </c>
      <c r="FV17" s="388">
        <v>15.9</v>
      </c>
      <c r="FW17" s="272">
        <v>77478626</v>
      </c>
      <c r="FX17" s="384">
        <f t="shared" si="16"/>
        <v>353.1</v>
      </c>
      <c r="FY17" s="272">
        <v>3840070</v>
      </c>
      <c r="FZ17" s="272">
        <v>32782</v>
      </c>
      <c r="GA17" s="272">
        <v>886047</v>
      </c>
      <c r="GB17" s="272">
        <v>2921241</v>
      </c>
      <c r="GC17" s="272"/>
      <c r="GD17" s="272">
        <v>9298664</v>
      </c>
      <c r="GE17" s="384">
        <f t="shared" si="17"/>
        <v>42.4</v>
      </c>
      <c r="GF17" s="388">
        <v>97.4</v>
      </c>
      <c r="GG17" s="388">
        <v>14.7</v>
      </c>
      <c r="GH17" s="388">
        <v>89.5</v>
      </c>
      <c r="GI17" s="272">
        <v>967</v>
      </c>
    </row>
    <row r="18" spans="2:191" x14ac:dyDescent="0.15">
      <c r="B18" s="89" t="s">
        <v>29</v>
      </c>
      <c r="C18" s="272">
        <v>15161899</v>
      </c>
      <c r="D18" s="455">
        <f t="shared" si="0"/>
        <v>6397320</v>
      </c>
      <c r="E18" s="272">
        <v>105888</v>
      </c>
      <c r="F18" s="272">
        <v>6291432</v>
      </c>
      <c r="G18" s="455">
        <f t="shared" si="1"/>
        <v>609488</v>
      </c>
      <c r="H18" s="272">
        <v>178992</v>
      </c>
      <c r="I18" s="272">
        <v>430496</v>
      </c>
      <c r="J18" s="272">
        <v>6110029</v>
      </c>
      <c r="K18" s="272">
        <v>2914825</v>
      </c>
      <c r="L18" s="272">
        <v>2480497</v>
      </c>
      <c r="M18" s="272">
        <v>638447</v>
      </c>
      <c r="N18" s="272">
        <v>600842</v>
      </c>
      <c r="O18" s="272">
        <v>1327996</v>
      </c>
      <c r="P18" s="272">
        <v>833926</v>
      </c>
      <c r="Q18" s="272">
        <v>494070</v>
      </c>
      <c r="R18" s="272">
        <v>259507</v>
      </c>
      <c r="S18" s="272"/>
      <c r="T18" s="455">
        <f t="shared" si="2"/>
        <v>2100856</v>
      </c>
      <c r="U18" s="272">
        <v>765537</v>
      </c>
      <c r="V18" s="272"/>
      <c r="W18" s="272"/>
      <c r="X18" s="272">
        <v>1008800</v>
      </c>
      <c r="Y18" s="272">
        <v>66871</v>
      </c>
      <c r="Z18" s="272">
        <v>1801</v>
      </c>
      <c r="AA18" s="272">
        <v>257847</v>
      </c>
      <c r="AB18" s="272">
        <v>625555</v>
      </c>
      <c r="AC18" s="272">
        <v>6331298</v>
      </c>
      <c r="AD18" s="272">
        <v>6013210</v>
      </c>
      <c r="AE18" s="272">
        <v>318088</v>
      </c>
      <c r="AF18" s="272">
        <v>25293</v>
      </c>
      <c r="AG18" s="272">
        <v>450103</v>
      </c>
      <c r="AH18" s="455">
        <f t="shared" si="3"/>
        <v>1520193</v>
      </c>
      <c r="AI18" s="272">
        <v>1128802</v>
      </c>
      <c r="AJ18" s="272">
        <v>391391</v>
      </c>
      <c r="AK18" s="272">
        <v>3255680</v>
      </c>
      <c r="AL18" s="455">
        <f t="shared" si="4"/>
        <v>2009270</v>
      </c>
      <c r="AM18" s="272">
        <v>1654929</v>
      </c>
      <c r="AN18" s="272">
        <v>332836</v>
      </c>
      <c r="AO18" s="272">
        <v>0</v>
      </c>
      <c r="AP18" s="272">
        <v>21505</v>
      </c>
      <c r="AQ18" s="272">
        <v>365426</v>
      </c>
      <c r="AR18" s="272">
        <v>0</v>
      </c>
      <c r="AS18" s="272">
        <v>0</v>
      </c>
      <c r="AT18" s="272">
        <v>1709021</v>
      </c>
      <c r="AU18" s="272">
        <v>756980</v>
      </c>
      <c r="AV18" s="272">
        <v>213706</v>
      </c>
      <c r="AW18" s="272">
        <v>55215</v>
      </c>
      <c r="AX18" s="272">
        <v>952041</v>
      </c>
      <c r="AY18" s="272">
        <v>88724</v>
      </c>
      <c r="AZ18" s="272">
        <v>27581</v>
      </c>
      <c r="BA18" s="272">
        <v>0</v>
      </c>
      <c r="BB18" s="272">
        <v>164379</v>
      </c>
      <c r="BC18" s="272">
        <v>1792279</v>
      </c>
      <c r="BD18" s="272">
        <v>449060</v>
      </c>
      <c r="BE18" s="272">
        <v>0</v>
      </c>
      <c r="BF18" s="272">
        <v>1343219</v>
      </c>
      <c r="BG18" s="272">
        <v>0</v>
      </c>
      <c r="BH18" s="272">
        <v>431649</v>
      </c>
      <c r="BI18" s="272">
        <v>424401</v>
      </c>
      <c r="BJ18" s="272">
        <v>1672853</v>
      </c>
      <c r="BK18" s="272">
        <v>1222844</v>
      </c>
      <c r="BL18" s="272">
        <v>0</v>
      </c>
      <c r="BM18" s="272">
        <v>21361</v>
      </c>
      <c r="BN18" s="272">
        <v>1906500</v>
      </c>
      <c r="BO18" s="455">
        <f t="shared" si="5"/>
        <v>1682400</v>
      </c>
      <c r="BP18" s="455">
        <f t="shared" si="6"/>
        <v>224100</v>
      </c>
      <c r="BQ18" s="272">
        <v>224100</v>
      </c>
      <c r="BR18" s="272">
        <v>0</v>
      </c>
      <c r="BS18" s="272">
        <v>0</v>
      </c>
      <c r="BT18" s="272">
        <v>0</v>
      </c>
      <c r="BU18" s="272">
        <v>37434646</v>
      </c>
      <c r="BV18" s="272"/>
      <c r="BW18" s="272">
        <v>8855067</v>
      </c>
      <c r="BX18" s="272">
        <v>6491894</v>
      </c>
      <c r="BY18" s="272">
        <v>750377</v>
      </c>
      <c r="BZ18" s="272">
        <v>97089</v>
      </c>
      <c r="CA18" s="272">
        <v>5115955</v>
      </c>
      <c r="CB18" s="272">
        <v>921999</v>
      </c>
      <c r="CC18" s="272">
        <v>492048</v>
      </c>
      <c r="CD18" s="272">
        <v>1362094</v>
      </c>
      <c r="CE18" s="272">
        <v>2240333</v>
      </c>
      <c r="CF18" s="272">
        <v>0</v>
      </c>
      <c r="CG18" s="272">
        <v>99481</v>
      </c>
      <c r="CH18" s="272">
        <v>4255176</v>
      </c>
      <c r="CI18" s="272">
        <v>3360777</v>
      </c>
      <c r="CJ18" s="455">
        <f t="shared" si="7"/>
        <v>894399</v>
      </c>
      <c r="CK18" s="272">
        <v>5165234</v>
      </c>
      <c r="CL18" s="272">
        <v>2840527</v>
      </c>
      <c r="CM18" s="272">
        <v>600867</v>
      </c>
      <c r="CN18" s="272">
        <v>865591</v>
      </c>
      <c r="CO18" s="272">
        <v>353746</v>
      </c>
      <c r="CP18" s="272">
        <v>3017835</v>
      </c>
      <c r="CQ18" s="272">
        <v>921186</v>
      </c>
      <c r="CR18" s="272">
        <v>1576746</v>
      </c>
      <c r="CS18" s="272">
        <v>1314953</v>
      </c>
      <c r="CT18" s="455">
        <f t="shared" si="8"/>
        <v>794</v>
      </c>
      <c r="CU18" s="272">
        <v>794</v>
      </c>
      <c r="CV18" s="272">
        <v>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4343206</v>
      </c>
      <c r="DD18" s="272">
        <v>924373</v>
      </c>
      <c r="DE18" s="272">
        <v>3374721</v>
      </c>
      <c r="DF18" s="272">
        <v>44112</v>
      </c>
      <c r="DG18" s="272">
        <v>0</v>
      </c>
      <c r="DH18" s="272">
        <v>1430</v>
      </c>
      <c r="DI18" s="272">
        <v>1407206</v>
      </c>
      <c r="DJ18" s="272">
        <v>443108</v>
      </c>
      <c r="DK18" s="272">
        <v>0</v>
      </c>
      <c r="DL18" s="272">
        <v>964098</v>
      </c>
      <c r="DM18" s="272">
        <v>0</v>
      </c>
      <c r="DN18" s="272">
        <v>0</v>
      </c>
      <c r="DO18" s="272">
        <v>0</v>
      </c>
      <c r="DP18" s="272">
        <v>0</v>
      </c>
      <c r="DQ18" s="272">
        <v>1194140</v>
      </c>
      <c r="DR18" s="272">
        <v>0</v>
      </c>
      <c r="DS18" s="272">
        <v>0</v>
      </c>
      <c r="DT18" s="272">
        <v>3134787</v>
      </c>
      <c r="DU18" s="272">
        <v>1165305</v>
      </c>
      <c r="DV18" s="455">
        <f t="shared" si="11"/>
        <v>0</v>
      </c>
      <c r="DW18" s="272">
        <v>0</v>
      </c>
      <c r="DX18" s="272">
        <v>0</v>
      </c>
      <c r="DY18" s="272">
        <v>0</v>
      </c>
      <c r="DZ18" s="272">
        <v>1105316</v>
      </c>
      <c r="EA18" s="272">
        <v>411663</v>
      </c>
      <c r="EB18" s="272">
        <v>452503</v>
      </c>
      <c r="EC18" s="272">
        <v>0</v>
      </c>
      <c r="ED18" s="272">
        <v>36843782</v>
      </c>
      <c r="EF18" s="272">
        <v>590864</v>
      </c>
      <c r="EG18" s="272">
        <v>162050</v>
      </c>
      <c r="EH18" s="272">
        <v>428814</v>
      </c>
      <c r="EI18" s="272">
        <v>4413</v>
      </c>
      <c r="EJ18" s="272">
        <v>-1539</v>
      </c>
      <c r="EL18" s="272">
        <v>126558</v>
      </c>
      <c r="EM18" s="272">
        <v>125389</v>
      </c>
      <c r="EN18" s="272">
        <v>449060</v>
      </c>
      <c r="EO18" s="272">
        <v>8</v>
      </c>
      <c r="EP18" s="455">
        <f t="shared" si="12"/>
        <v>831416</v>
      </c>
      <c r="EQ18" s="272">
        <v>24504408</v>
      </c>
      <c r="ER18" s="272">
        <v>-1479291</v>
      </c>
      <c r="ES18" s="272">
        <v>7799460</v>
      </c>
      <c r="ET18" s="272">
        <v>5492459</v>
      </c>
      <c r="EU18" s="272">
        <v>1934927</v>
      </c>
      <c r="EV18" s="272">
        <v>3724871</v>
      </c>
      <c r="EW18" s="455">
        <f t="shared" si="13"/>
        <v>1245635</v>
      </c>
      <c r="EX18" s="272">
        <v>1244205</v>
      </c>
      <c r="EY18" s="272">
        <v>91416</v>
      </c>
      <c r="EZ18" s="272">
        <v>1116428</v>
      </c>
      <c r="FA18" s="272">
        <v>1430</v>
      </c>
      <c r="FB18" s="272"/>
      <c r="FC18" s="272">
        <v>3967468</v>
      </c>
      <c r="FD18" s="272">
        <v>2738666</v>
      </c>
      <c r="FE18" s="272">
        <v>921186</v>
      </c>
      <c r="FF18" s="272">
        <v>2885652</v>
      </c>
      <c r="FG18" s="455">
        <f t="shared" si="14"/>
        <v>1096156</v>
      </c>
      <c r="FH18" s="272">
        <v>25392835</v>
      </c>
      <c r="FI18" s="384">
        <f t="shared" si="15"/>
        <v>1.9</v>
      </c>
      <c r="FJ18" s="272">
        <v>23105134</v>
      </c>
      <c r="FK18" s="272"/>
      <c r="FL18" s="272">
        <v>12889782</v>
      </c>
      <c r="FM18" s="272">
        <v>18902992</v>
      </c>
      <c r="FN18" s="460">
        <v>0.69799999999999995</v>
      </c>
      <c r="FO18" s="388">
        <v>95.1</v>
      </c>
      <c r="FP18" s="388">
        <v>33.5</v>
      </c>
      <c r="FQ18" s="388">
        <v>8.4</v>
      </c>
      <c r="FR18" s="388">
        <v>16.2</v>
      </c>
      <c r="FS18" s="388">
        <v>16.7</v>
      </c>
      <c r="FT18" s="388">
        <v>11.1</v>
      </c>
      <c r="FU18" s="388">
        <v>7.6</v>
      </c>
      <c r="FV18" s="388">
        <v>11.6</v>
      </c>
      <c r="FW18" s="272">
        <v>22677643</v>
      </c>
      <c r="FX18" s="384">
        <f t="shared" si="16"/>
        <v>98.1</v>
      </c>
      <c r="FY18" s="272">
        <v>10257332</v>
      </c>
      <c r="FZ18" s="272">
        <v>2636861</v>
      </c>
      <c r="GA18" s="272"/>
      <c r="GB18" s="272">
        <v>7620471</v>
      </c>
      <c r="GC18" s="272"/>
      <c r="GD18" s="272">
        <v>1020734</v>
      </c>
      <c r="GE18" s="384">
        <f t="shared" si="17"/>
        <v>4.4000000000000004</v>
      </c>
      <c r="GF18" s="388">
        <v>97.2</v>
      </c>
      <c r="GG18" s="388">
        <v>19.5</v>
      </c>
      <c r="GH18" s="388">
        <v>90.3</v>
      </c>
      <c r="GI18" s="272">
        <v>900</v>
      </c>
    </row>
    <row r="19" spans="2:191" x14ac:dyDescent="0.15">
      <c r="B19" s="89" t="s">
        <v>31</v>
      </c>
      <c r="C19" s="272">
        <v>30728726</v>
      </c>
      <c r="D19" s="455">
        <f t="shared" si="0"/>
        <v>11886783</v>
      </c>
      <c r="E19" s="272">
        <v>236239</v>
      </c>
      <c r="F19" s="272">
        <v>11650544</v>
      </c>
      <c r="G19" s="455">
        <f t="shared" si="1"/>
        <v>2069095</v>
      </c>
      <c r="H19" s="272">
        <v>536074</v>
      </c>
      <c r="I19" s="272">
        <v>1533021</v>
      </c>
      <c r="J19" s="272">
        <v>11994591</v>
      </c>
      <c r="K19" s="272">
        <v>6025700</v>
      </c>
      <c r="L19" s="272">
        <v>4413763</v>
      </c>
      <c r="M19" s="272">
        <v>1281114</v>
      </c>
      <c r="N19" s="272">
        <v>1625909</v>
      </c>
      <c r="O19" s="272">
        <v>3002269</v>
      </c>
      <c r="P19" s="272">
        <v>2003195</v>
      </c>
      <c r="Q19" s="272">
        <v>999074</v>
      </c>
      <c r="R19" s="272">
        <v>440487</v>
      </c>
      <c r="S19" s="272"/>
      <c r="T19" s="455">
        <f t="shared" si="2"/>
        <v>4179719</v>
      </c>
      <c r="U19" s="272">
        <v>1555145</v>
      </c>
      <c r="V19" s="272"/>
      <c r="W19" s="272"/>
      <c r="X19" s="272">
        <v>2182710</v>
      </c>
      <c r="Y19" s="272">
        <v>0</v>
      </c>
      <c r="Z19" s="272">
        <v>3704</v>
      </c>
      <c r="AA19" s="272">
        <v>438160</v>
      </c>
      <c r="AB19" s="272">
        <v>1218873</v>
      </c>
      <c r="AC19" s="272">
        <v>11694855</v>
      </c>
      <c r="AD19" s="272">
        <v>11041839</v>
      </c>
      <c r="AE19" s="272">
        <v>653016</v>
      </c>
      <c r="AF19" s="272">
        <v>39697</v>
      </c>
      <c r="AG19" s="272">
        <v>406926</v>
      </c>
      <c r="AH19" s="455">
        <f t="shared" si="3"/>
        <v>1511258</v>
      </c>
      <c r="AI19" s="272">
        <v>1035208</v>
      </c>
      <c r="AJ19" s="272">
        <v>476050</v>
      </c>
      <c r="AK19" s="272">
        <v>7250218</v>
      </c>
      <c r="AL19" s="455">
        <f t="shared" si="4"/>
        <v>4616853</v>
      </c>
      <c r="AM19" s="272">
        <v>3546193</v>
      </c>
      <c r="AN19" s="272">
        <v>994019</v>
      </c>
      <c r="AO19" s="272">
        <v>0</v>
      </c>
      <c r="AP19" s="272">
        <v>76641</v>
      </c>
      <c r="AQ19" s="272">
        <v>666814</v>
      </c>
      <c r="AR19" s="272">
        <v>0</v>
      </c>
      <c r="AS19" s="272">
        <v>0</v>
      </c>
      <c r="AT19" s="272">
        <v>4022638</v>
      </c>
      <c r="AU19" s="272">
        <v>1977297</v>
      </c>
      <c r="AV19" s="272">
        <v>529144</v>
      </c>
      <c r="AW19" s="272">
        <v>19903</v>
      </c>
      <c r="AX19" s="272">
        <v>2045341</v>
      </c>
      <c r="AY19" s="272">
        <v>295431</v>
      </c>
      <c r="AZ19" s="272">
        <v>272949</v>
      </c>
      <c r="BA19" s="272">
        <v>172427</v>
      </c>
      <c r="BB19" s="272">
        <v>5254</v>
      </c>
      <c r="BC19" s="272">
        <v>749924</v>
      </c>
      <c r="BD19" s="272">
        <v>0</v>
      </c>
      <c r="BE19" s="272">
        <v>0</v>
      </c>
      <c r="BF19" s="272">
        <v>302633</v>
      </c>
      <c r="BG19" s="272">
        <v>0</v>
      </c>
      <c r="BH19" s="272">
        <v>0</v>
      </c>
      <c r="BI19" s="272">
        <v>0</v>
      </c>
      <c r="BJ19" s="272">
        <v>3211857</v>
      </c>
      <c r="BK19" s="272">
        <v>2569594</v>
      </c>
      <c r="BL19" s="272">
        <v>0</v>
      </c>
      <c r="BM19" s="272">
        <v>0</v>
      </c>
      <c r="BN19" s="272">
        <v>2545100</v>
      </c>
      <c r="BO19" s="455">
        <f t="shared" si="5"/>
        <v>2094700</v>
      </c>
      <c r="BP19" s="455">
        <f t="shared" si="6"/>
        <v>450400</v>
      </c>
      <c r="BQ19" s="272">
        <v>450400</v>
      </c>
      <c r="BR19" s="272">
        <v>0</v>
      </c>
      <c r="BS19" s="272">
        <v>0</v>
      </c>
      <c r="BT19" s="272">
        <v>0</v>
      </c>
      <c r="BU19" s="272">
        <v>68278481</v>
      </c>
      <c r="BV19" s="272"/>
      <c r="BW19" s="272">
        <v>21133870</v>
      </c>
      <c r="BX19" s="272">
        <v>15475441</v>
      </c>
      <c r="BY19" s="272">
        <v>1899620</v>
      </c>
      <c r="BZ19" s="272">
        <v>460759</v>
      </c>
      <c r="CA19" s="272">
        <v>10185213</v>
      </c>
      <c r="CB19" s="272">
        <v>1465568</v>
      </c>
      <c r="CC19" s="272">
        <v>933627</v>
      </c>
      <c r="CD19" s="272">
        <v>2755109</v>
      </c>
      <c r="CE19" s="272">
        <v>4851187</v>
      </c>
      <c r="CF19" s="272">
        <v>5585</v>
      </c>
      <c r="CG19" s="272">
        <v>173097</v>
      </c>
      <c r="CH19" s="272">
        <v>6983644</v>
      </c>
      <c r="CI19" s="272">
        <v>4567045</v>
      </c>
      <c r="CJ19" s="455">
        <f t="shared" si="7"/>
        <v>2416599</v>
      </c>
      <c r="CK19" s="272">
        <v>7820888</v>
      </c>
      <c r="CL19" s="272">
        <v>3438301</v>
      </c>
      <c r="CM19" s="272">
        <v>826137</v>
      </c>
      <c r="CN19" s="272">
        <v>2072051</v>
      </c>
      <c r="CO19" s="272">
        <v>370817</v>
      </c>
      <c r="CP19" s="272">
        <v>6252288</v>
      </c>
      <c r="CQ19" s="272">
        <v>3656391</v>
      </c>
      <c r="CR19" s="272">
        <v>1391679</v>
      </c>
      <c r="CS19" s="272">
        <v>1256335</v>
      </c>
      <c r="CT19" s="455">
        <f t="shared" si="8"/>
        <v>12261</v>
      </c>
      <c r="CU19" s="272">
        <v>12261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5586634</v>
      </c>
      <c r="DD19" s="272">
        <v>2008791</v>
      </c>
      <c r="DE19" s="272">
        <v>3409065</v>
      </c>
      <c r="DF19" s="272">
        <v>0</v>
      </c>
      <c r="DG19" s="272">
        <v>168778</v>
      </c>
      <c r="DH19" s="272">
        <v>0</v>
      </c>
      <c r="DI19" s="272">
        <v>743774</v>
      </c>
      <c r="DJ19" s="272">
        <v>139</v>
      </c>
      <c r="DK19" s="272">
        <v>10</v>
      </c>
      <c r="DL19" s="272">
        <v>743625</v>
      </c>
      <c r="DM19" s="272">
        <v>0</v>
      </c>
      <c r="DN19" s="272">
        <v>0</v>
      </c>
      <c r="DO19" s="272">
        <v>0</v>
      </c>
      <c r="DP19" s="272">
        <v>0</v>
      </c>
      <c r="DQ19" s="272">
        <v>2547160</v>
      </c>
      <c r="DR19" s="272">
        <v>0</v>
      </c>
      <c r="DS19" s="272">
        <v>0</v>
      </c>
      <c r="DT19" s="272">
        <v>6998216</v>
      </c>
      <c r="DU19" s="272">
        <v>3334662</v>
      </c>
      <c r="DV19" s="455">
        <f t="shared" si="11"/>
        <v>0</v>
      </c>
      <c r="DW19" s="272">
        <v>0</v>
      </c>
      <c r="DX19" s="272">
        <v>0</v>
      </c>
      <c r="DY19" s="272">
        <v>0</v>
      </c>
      <c r="DZ19" s="272">
        <v>1971955</v>
      </c>
      <c r="EA19" s="272">
        <v>830044</v>
      </c>
      <c r="EB19" s="272">
        <v>856191</v>
      </c>
      <c r="EC19" s="272">
        <v>228548</v>
      </c>
      <c r="ED19" s="272">
        <v>68851052</v>
      </c>
      <c r="EF19" s="272">
        <v>-572571</v>
      </c>
      <c r="EG19" s="272">
        <v>8683</v>
      </c>
      <c r="EH19" s="272">
        <v>-581254</v>
      </c>
      <c r="EI19" s="272">
        <v>-243361</v>
      </c>
      <c r="EJ19" s="272">
        <v>-243222</v>
      </c>
      <c r="EL19" s="272">
        <v>250806</v>
      </c>
      <c r="EM19" s="272">
        <v>250296</v>
      </c>
      <c r="EN19" s="272">
        <v>445291</v>
      </c>
      <c r="EO19" s="272">
        <v>49630</v>
      </c>
      <c r="EP19" s="455">
        <f t="shared" si="12"/>
        <v>486779</v>
      </c>
      <c r="EQ19" s="272">
        <v>48302357</v>
      </c>
      <c r="ER19" s="272">
        <v>-1392403</v>
      </c>
      <c r="ES19" s="272">
        <v>19028255</v>
      </c>
      <c r="ET19" s="272">
        <v>13504008</v>
      </c>
      <c r="EU19" s="272">
        <v>3074794</v>
      </c>
      <c r="EV19" s="272">
        <v>6867164</v>
      </c>
      <c r="EW19" s="455">
        <f t="shared" si="13"/>
        <v>1976464</v>
      </c>
      <c r="EX19" s="272">
        <v>1976464</v>
      </c>
      <c r="EY19" s="272">
        <v>323007</v>
      </c>
      <c r="EZ19" s="272">
        <v>1653457</v>
      </c>
      <c r="FA19" s="272">
        <v>0</v>
      </c>
      <c r="FB19" s="272"/>
      <c r="FC19" s="272">
        <v>5954077</v>
      </c>
      <c r="FD19" s="272">
        <v>5641645</v>
      </c>
      <c r="FE19" s="272">
        <v>3656391</v>
      </c>
      <c r="FF19" s="272">
        <v>6393283</v>
      </c>
      <c r="FG19" s="455">
        <f t="shared" si="14"/>
        <v>1331649</v>
      </c>
      <c r="FH19" s="272">
        <v>50267331</v>
      </c>
      <c r="FI19" s="384">
        <f t="shared" si="15"/>
        <v>-1.3</v>
      </c>
      <c r="FJ19" s="272">
        <v>45214891</v>
      </c>
      <c r="FK19" s="272"/>
      <c r="FL19" s="272">
        <v>25749726</v>
      </c>
      <c r="FM19" s="272">
        <v>36746794</v>
      </c>
      <c r="FN19" s="460">
        <v>0.71899999999999997</v>
      </c>
      <c r="FO19" s="388">
        <v>98.8</v>
      </c>
      <c r="FP19" s="388">
        <v>41.5</v>
      </c>
      <c r="FQ19" s="388">
        <v>6.9</v>
      </c>
      <c r="FR19" s="388">
        <v>15.3</v>
      </c>
      <c r="FS19" s="388">
        <v>12.4</v>
      </c>
      <c r="FT19" s="388">
        <v>11.6</v>
      </c>
      <c r="FU19" s="388">
        <v>10.199999999999999</v>
      </c>
      <c r="FV19" s="388">
        <v>9.9</v>
      </c>
      <c r="FW19" s="272">
        <v>62991323</v>
      </c>
      <c r="FX19" s="384">
        <f t="shared" si="16"/>
        <v>139.30000000000001</v>
      </c>
      <c r="FY19" s="272">
        <v>5761805</v>
      </c>
      <c r="FZ19" s="272">
        <v>51305</v>
      </c>
      <c r="GA19" s="272">
        <v>2649</v>
      </c>
      <c r="GB19" s="272">
        <v>5707851</v>
      </c>
      <c r="GC19" s="272"/>
      <c r="GD19" s="272">
        <v>9409841</v>
      </c>
      <c r="GE19" s="384">
        <f t="shared" si="17"/>
        <v>20.8</v>
      </c>
      <c r="GF19" s="388">
        <v>97.3</v>
      </c>
      <c r="GG19" s="388">
        <v>16.100000000000001</v>
      </c>
      <c r="GH19" s="388">
        <v>88.8</v>
      </c>
      <c r="GI19" s="272">
        <v>2024</v>
      </c>
    </row>
    <row r="20" spans="2:191" x14ac:dyDescent="0.15">
      <c r="B20" s="89" t="s">
        <v>33</v>
      </c>
      <c r="C20" s="272">
        <v>15979069</v>
      </c>
      <c r="D20" s="455">
        <f t="shared" si="0"/>
        <v>7224653</v>
      </c>
      <c r="E20" s="272">
        <v>110718</v>
      </c>
      <c r="F20" s="272">
        <v>7113935</v>
      </c>
      <c r="G20" s="455">
        <f t="shared" si="1"/>
        <v>690986</v>
      </c>
      <c r="H20" s="272">
        <v>179802</v>
      </c>
      <c r="I20" s="272">
        <v>511184</v>
      </c>
      <c r="J20" s="272">
        <v>6000144</v>
      </c>
      <c r="K20" s="272">
        <v>2650988</v>
      </c>
      <c r="L20" s="272">
        <v>2509178</v>
      </c>
      <c r="M20" s="272">
        <v>750776</v>
      </c>
      <c r="N20" s="272">
        <v>509619</v>
      </c>
      <c r="O20" s="272">
        <v>1417698</v>
      </c>
      <c r="P20" s="272">
        <v>885610</v>
      </c>
      <c r="Q20" s="272">
        <v>532088</v>
      </c>
      <c r="R20" s="272">
        <v>308728</v>
      </c>
      <c r="S20" s="272"/>
      <c r="T20" s="455">
        <f t="shared" si="2"/>
        <v>2054684</v>
      </c>
      <c r="U20" s="272">
        <v>834663</v>
      </c>
      <c r="V20" s="272"/>
      <c r="W20" s="272"/>
      <c r="X20" s="272">
        <v>896792</v>
      </c>
      <c r="Y20" s="272">
        <v>15879</v>
      </c>
      <c r="Z20" s="272">
        <v>903</v>
      </c>
      <c r="AA20" s="272">
        <v>306447</v>
      </c>
      <c r="AB20" s="272">
        <v>699402</v>
      </c>
      <c r="AC20" s="272">
        <v>4869430</v>
      </c>
      <c r="AD20" s="272">
        <v>4528394</v>
      </c>
      <c r="AE20" s="272">
        <v>341036</v>
      </c>
      <c r="AF20" s="272">
        <v>22131</v>
      </c>
      <c r="AG20" s="272">
        <v>234600</v>
      </c>
      <c r="AH20" s="455">
        <f t="shared" si="3"/>
        <v>1110071</v>
      </c>
      <c r="AI20" s="272">
        <v>766860</v>
      </c>
      <c r="AJ20" s="272">
        <v>343211</v>
      </c>
      <c r="AK20" s="272">
        <v>3445959</v>
      </c>
      <c r="AL20" s="455">
        <f t="shared" si="4"/>
        <v>1435173</v>
      </c>
      <c r="AM20" s="272">
        <v>1111710</v>
      </c>
      <c r="AN20" s="272">
        <v>304937</v>
      </c>
      <c r="AO20" s="272">
        <v>0</v>
      </c>
      <c r="AP20" s="272">
        <v>18526</v>
      </c>
      <c r="AQ20" s="272">
        <v>959191</v>
      </c>
      <c r="AR20" s="272">
        <v>0</v>
      </c>
      <c r="AS20" s="272">
        <v>0</v>
      </c>
      <c r="AT20" s="272">
        <v>1714795</v>
      </c>
      <c r="AU20" s="272">
        <v>804541</v>
      </c>
      <c r="AV20" s="272">
        <v>185825</v>
      </c>
      <c r="AW20" s="272">
        <v>54128</v>
      </c>
      <c r="AX20" s="272">
        <v>910254</v>
      </c>
      <c r="AY20" s="272">
        <v>171401</v>
      </c>
      <c r="AZ20" s="272">
        <v>108868</v>
      </c>
      <c r="BA20" s="272">
        <v>36620</v>
      </c>
      <c r="BB20" s="272">
        <v>59850</v>
      </c>
      <c r="BC20" s="272">
        <v>1236818</v>
      </c>
      <c r="BD20" s="272">
        <v>579900</v>
      </c>
      <c r="BE20" s="272">
        <v>0</v>
      </c>
      <c r="BF20" s="272">
        <v>649172</v>
      </c>
      <c r="BG20" s="272">
        <v>0</v>
      </c>
      <c r="BH20" s="272">
        <v>825363</v>
      </c>
      <c r="BI20" s="272">
        <v>335251</v>
      </c>
      <c r="BJ20" s="272">
        <v>857574</v>
      </c>
      <c r="BK20" s="272">
        <v>718889</v>
      </c>
      <c r="BL20" s="272">
        <v>4420</v>
      </c>
      <c r="BM20" s="272">
        <v>0</v>
      </c>
      <c r="BN20" s="272">
        <v>4563600</v>
      </c>
      <c r="BO20" s="455">
        <f t="shared" si="5"/>
        <v>4317700</v>
      </c>
      <c r="BP20" s="455">
        <f t="shared" si="6"/>
        <v>245900</v>
      </c>
      <c r="BQ20" s="272">
        <v>245900</v>
      </c>
      <c r="BR20" s="272">
        <v>0</v>
      </c>
      <c r="BS20" s="272">
        <v>0</v>
      </c>
      <c r="BT20" s="272">
        <v>0</v>
      </c>
      <c r="BU20" s="272">
        <v>38090942</v>
      </c>
      <c r="BV20" s="272"/>
      <c r="BW20" s="272">
        <v>6920539</v>
      </c>
      <c r="BX20" s="272">
        <v>4639879</v>
      </c>
      <c r="BY20" s="272">
        <v>311324</v>
      </c>
      <c r="BZ20" s="272">
        <v>699910</v>
      </c>
      <c r="CA20" s="272">
        <v>4162467</v>
      </c>
      <c r="CB20" s="272">
        <v>832622</v>
      </c>
      <c r="CC20" s="272">
        <v>631741</v>
      </c>
      <c r="CD20" s="272">
        <v>1211159</v>
      </c>
      <c r="CE20" s="272">
        <v>1449868</v>
      </c>
      <c r="CF20" s="272">
        <v>0</v>
      </c>
      <c r="CG20" s="272">
        <v>37077</v>
      </c>
      <c r="CH20" s="272">
        <v>4084793</v>
      </c>
      <c r="CI20" s="272">
        <v>2999379</v>
      </c>
      <c r="CJ20" s="455">
        <f t="shared" si="7"/>
        <v>1085414</v>
      </c>
      <c r="CK20" s="272">
        <v>5317731</v>
      </c>
      <c r="CL20" s="272">
        <v>3512396</v>
      </c>
      <c r="CM20" s="272">
        <v>94558</v>
      </c>
      <c r="CN20" s="272">
        <v>886504</v>
      </c>
      <c r="CO20" s="272">
        <v>183267</v>
      </c>
      <c r="CP20" s="272">
        <v>2723881</v>
      </c>
      <c r="CQ20" s="272">
        <v>629137</v>
      </c>
      <c r="CR20" s="272">
        <v>1211096</v>
      </c>
      <c r="CS20" s="272">
        <v>892795</v>
      </c>
      <c r="CT20" s="455">
        <f t="shared" si="8"/>
        <v>240723</v>
      </c>
      <c r="CU20" s="272">
        <v>9869</v>
      </c>
      <c r="CV20" s="272">
        <v>230854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8306648</v>
      </c>
      <c r="DD20" s="272">
        <v>2074152</v>
      </c>
      <c r="DE20" s="272">
        <v>5895995</v>
      </c>
      <c r="DF20" s="272">
        <v>306501</v>
      </c>
      <c r="DG20" s="272">
        <v>30000</v>
      </c>
      <c r="DH20" s="272">
        <v>95966</v>
      </c>
      <c r="DI20" s="272">
        <v>1051541</v>
      </c>
      <c r="DJ20" s="272">
        <v>430000</v>
      </c>
      <c r="DK20" s="272">
        <v>605000</v>
      </c>
      <c r="DL20" s="272">
        <v>16541</v>
      </c>
      <c r="DM20" s="272">
        <v>1200</v>
      </c>
      <c r="DN20" s="272">
        <v>0</v>
      </c>
      <c r="DO20" s="272">
        <v>0</v>
      </c>
      <c r="DP20" s="272">
        <v>0</v>
      </c>
      <c r="DQ20" s="272">
        <v>717968</v>
      </c>
      <c r="DR20" s="272">
        <v>0</v>
      </c>
      <c r="DS20" s="272">
        <v>0</v>
      </c>
      <c r="DT20" s="272">
        <v>3125301</v>
      </c>
      <c r="DU20" s="272">
        <v>1500492</v>
      </c>
      <c r="DV20" s="455">
        <f t="shared" si="11"/>
        <v>72888</v>
      </c>
      <c r="DW20" s="272">
        <v>72888</v>
      </c>
      <c r="DX20" s="272">
        <v>0</v>
      </c>
      <c r="DY20" s="272">
        <v>0</v>
      </c>
      <c r="DZ20" s="272">
        <v>615099</v>
      </c>
      <c r="EA20" s="272">
        <v>500202</v>
      </c>
      <c r="EB20" s="272">
        <v>436620</v>
      </c>
      <c r="EC20" s="272">
        <v>0</v>
      </c>
      <c r="ED20" s="272">
        <v>36691302</v>
      </c>
      <c r="EF20" s="272">
        <v>1399640</v>
      </c>
      <c r="EG20" s="272">
        <v>1104640</v>
      </c>
      <c r="EH20" s="272">
        <v>295000</v>
      </c>
      <c r="EI20" s="272">
        <v>-40251</v>
      </c>
      <c r="EJ20" s="272">
        <v>157941</v>
      </c>
      <c r="EL20" s="272">
        <v>121008</v>
      </c>
      <c r="EM20" s="272">
        <v>122191</v>
      </c>
      <c r="EN20" s="272">
        <v>579900</v>
      </c>
      <c r="EO20" s="272">
        <v>53439</v>
      </c>
      <c r="EP20" s="455">
        <f t="shared" si="12"/>
        <v>940160</v>
      </c>
      <c r="EQ20" s="272">
        <v>23933444</v>
      </c>
      <c r="ER20" s="272">
        <v>-1797268</v>
      </c>
      <c r="ES20" s="272">
        <v>6493396</v>
      </c>
      <c r="ET20" s="272">
        <v>4219623</v>
      </c>
      <c r="EU20" s="272">
        <v>1376549</v>
      </c>
      <c r="EV20" s="272">
        <v>4084793</v>
      </c>
      <c r="EW20" s="455">
        <f t="shared" si="13"/>
        <v>2406461</v>
      </c>
      <c r="EX20" s="272">
        <v>2310507</v>
      </c>
      <c r="EY20" s="272">
        <v>309271</v>
      </c>
      <c r="EZ20" s="272">
        <v>1964235</v>
      </c>
      <c r="FA20" s="272">
        <v>95954</v>
      </c>
      <c r="FB20" s="272"/>
      <c r="FC20" s="272">
        <v>4069091</v>
      </c>
      <c r="FD20" s="272">
        <v>2271641</v>
      </c>
      <c r="FE20" s="272">
        <v>629137</v>
      </c>
      <c r="FF20" s="272">
        <v>2910083</v>
      </c>
      <c r="FG20" s="455">
        <f t="shared" si="14"/>
        <v>1158806</v>
      </c>
      <c r="FH20" s="272">
        <v>24770820</v>
      </c>
      <c r="FI20" s="384">
        <f t="shared" si="15"/>
        <v>1.3</v>
      </c>
      <c r="FJ20" s="272">
        <v>22371604</v>
      </c>
      <c r="FK20" s="272"/>
      <c r="FL20" s="272">
        <v>13464756</v>
      </c>
      <c r="FM20" s="272">
        <v>17985081</v>
      </c>
      <c r="FN20" s="460">
        <v>0.76100000000000001</v>
      </c>
      <c r="FO20" s="388">
        <v>85.5</v>
      </c>
      <c r="FP20" s="388">
        <v>27.9</v>
      </c>
      <c r="FQ20" s="388">
        <v>6.2</v>
      </c>
      <c r="FR20" s="388">
        <v>16.7</v>
      </c>
      <c r="FS20" s="388">
        <v>17.8</v>
      </c>
      <c r="FT20" s="388">
        <v>9.1</v>
      </c>
      <c r="FU20" s="388">
        <v>7.1</v>
      </c>
      <c r="FV20" s="388">
        <v>9.6999999999999993</v>
      </c>
      <c r="FW20" s="272">
        <v>34344174</v>
      </c>
      <c r="FX20" s="384">
        <f t="shared" si="16"/>
        <v>153.5</v>
      </c>
      <c r="FY20" s="272">
        <v>17038900</v>
      </c>
      <c r="FZ20" s="272">
        <v>8748177</v>
      </c>
      <c r="GA20" s="272">
        <v>2644718</v>
      </c>
      <c r="GB20" s="272">
        <v>5646005</v>
      </c>
      <c r="GC20" s="272"/>
      <c r="GD20" s="272">
        <v>8969067</v>
      </c>
      <c r="GE20" s="384">
        <f t="shared" si="17"/>
        <v>40.1</v>
      </c>
      <c r="GF20" s="388">
        <v>96.8</v>
      </c>
      <c r="GG20" s="388">
        <v>21.4</v>
      </c>
      <c r="GH20" s="388">
        <v>90.4</v>
      </c>
      <c r="GI20" s="272">
        <v>642</v>
      </c>
    </row>
    <row r="21" spans="2:191" x14ac:dyDescent="0.15">
      <c r="B21" s="89" t="s">
        <v>35</v>
      </c>
      <c r="C21" s="272">
        <v>15245812</v>
      </c>
      <c r="D21" s="455">
        <f t="shared" si="0"/>
        <v>5356049</v>
      </c>
      <c r="E21" s="272">
        <v>115188</v>
      </c>
      <c r="F21" s="272">
        <v>5240861</v>
      </c>
      <c r="G21" s="455">
        <f t="shared" si="1"/>
        <v>1062030</v>
      </c>
      <c r="H21" s="272">
        <v>234681</v>
      </c>
      <c r="I21" s="272">
        <v>827349</v>
      </c>
      <c r="J21" s="272">
        <v>6408063</v>
      </c>
      <c r="K21" s="272">
        <v>3572512</v>
      </c>
      <c r="L21" s="272">
        <v>2160390</v>
      </c>
      <c r="M21" s="272">
        <v>637845</v>
      </c>
      <c r="N21" s="272">
        <v>793050</v>
      </c>
      <c r="O21" s="272">
        <v>1532810</v>
      </c>
      <c r="P21" s="272">
        <v>1041906</v>
      </c>
      <c r="Q21" s="272">
        <v>490904</v>
      </c>
      <c r="R21" s="272">
        <v>238221</v>
      </c>
      <c r="S21" s="272"/>
      <c r="T21" s="455">
        <f t="shared" si="2"/>
        <v>2102741</v>
      </c>
      <c r="U21" s="272">
        <v>697930</v>
      </c>
      <c r="V21" s="272"/>
      <c r="W21" s="272"/>
      <c r="X21" s="272">
        <v>1167404</v>
      </c>
      <c r="Y21" s="272">
        <v>0</v>
      </c>
      <c r="Z21" s="272">
        <v>410</v>
      </c>
      <c r="AA21" s="272">
        <v>236997</v>
      </c>
      <c r="AB21" s="272">
        <v>552241</v>
      </c>
      <c r="AC21" s="272">
        <v>8946639</v>
      </c>
      <c r="AD21" s="272">
        <v>8368186</v>
      </c>
      <c r="AE21" s="272">
        <v>578453</v>
      </c>
      <c r="AF21" s="272">
        <v>22822</v>
      </c>
      <c r="AG21" s="272">
        <v>114582</v>
      </c>
      <c r="AH21" s="455">
        <f t="shared" si="3"/>
        <v>545957</v>
      </c>
      <c r="AI21" s="272">
        <v>490625</v>
      </c>
      <c r="AJ21" s="272">
        <v>55332</v>
      </c>
      <c r="AK21" s="272">
        <v>4481363</v>
      </c>
      <c r="AL21" s="455">
        <f t="shared" si="4"/>
        <v>2690756</v>
      </c>
      <c r="AM21" s="272">
        <v>2320333</v>
      </c>
      <c r="AN21" s="272">
        <v>347743</v>
      </c>
      <c r="AO21" s="272">
        <v>0</v>
      </c>
      <c r="AP21" s="272">
        <v>22680</v>
      </c>
      <c r="AQ21" s="272">
        <v>772120</v>
      </c>
      <c r="AR21" s="272">
        <v>0</v>
      </c>
      <c r="AS21" s="272">
        <v>0</v>
      </c>
      <c r="AT21" s="272">
        <v>1936992</v>
      </c>
      <c r="AU21" s="272">
        <v>862476</v>
      </c>
      <c r="AV21" s="272">
        <v>175643</v>
      </c>
      <c r="AW21" s="272">
        <v>28247</v>
      </c>
      <c r="AX21" s="272">
        <v>1074516</v>
      </c>
      <c r="AY21" s="272">
        <v>95875</v>
      </c>
      <c r="AZ21" s="272">
        <v>149400</v>
      </c>
      <c r="BA21" s="272">
        <v>67</v>
      </c>
      <c r="BB21" s="272">
        <v>111966</v>
      </c>
      <c r="BC21" s="272">
        <v>413741</v>
      </c>
      <c r="BD21" s="272">
        <v>0</v>
      </c>
      <c r="BE21" s="272">
        <v>0</v>
      </c>
      <c r="BF21" s="272">
        <v>407751</v>
      </c>
      <c r="BG21" s="272">
        <v>0</v>
      </c>
      <c r="BH21" s="272">
        <v>287805</v>
      </c>
      <c r="BI21" s="272">
        <v>211973</v>
      </c>
      <c r="BJ21" s="272">
        <v>228112</v>
      </c>
      <c r="BK21" s="272">
        <v>64178</v>
      </c>
      <c r="BL21" s="272">
        <v>0</v>
      </c>
      <c r="BM21" s="272">
        <v>0</v>
      </c>
      <c r="BN21" s="272">
        <v>1494700</v>
      </c>
      <c r="BO21" s="455">
        <f t="shared" si="5"/>
        <v>1289300</v>
      </c>
      <c r="BP21" s="455">
        <f t="shared" si="6"/>
        <v>205400</v>
      </c>
      <c r="BQ21" s="272">
        <v>205400</v>
      </c>
      <c r="BR21" s="272">
        <v>0</v>
      </c>
      <c r="BS21" s="272">
        <v>0</v>
      </c>
      <c r="BT21" s="272">
        <v>0</v>
      </c>
      <c r="BU21" s="272">
        <v>36873094</v>
      </c>
      <c r="BV21" s="272"/>
      <c r="BW21" s="272">
        <v>9768309</v>
      </c>
      <c r="BX21" s="272">
        <v>7346607</v>
      </c>
      <c r="BY21" s="272">
        <v>487212</v>
      </c>
      <c r="BZ21" s="272">
        <v>290010</v>
      </c>
      <c r="CA21" s="272">
        <v>5985440</v>
      </c>
      <c r="CB21" s="272">
        <v>785621</v>
      </c>
      <c r="CC21" s="272">
        <v>625131</v>
      </c>
      <c r="CD21" s="272">
        <v>1378047</v>
      </c>
      <c r="CE21" s="272">
        <v>3073402</v>
      </c>
      <c r="CF21" s="272">
        <v>0</v>
      </c>
      <c r="CG21" s="272">
        <v>122754</v>
      </c>
      <c r="CH21" s="272">
        <v>3823232</v>
      </c>
      <c r="CI21" s="272">
        <v>2693257</v>
      </c>
      <c r="CJ21" s="455">
        <f t="shared" si="7"/>
        <v>1129975</v>
      </c>
      <c r="CK21" s="272">
        <v>4548887</v>
      </c>
      <c r="CL21" s="272">
        <v>2707848</v>
      </c>
      <c r="CM21" s="272">
        <v>175771</v>
      </c>
      <c r="CN21" s="272">
        <v>898751</v>
      </c>
      <c r="CO21" s="272">
        <v>247508</v>
      </c>
      <c r="CP21" s="272">
        <v>2668436</v>
      </c>
      <c r="CQ21" s="272">
        <v>161</v>
      </c>
      <c r="CR21" s="272">
        <v>1311028</v>
      </c>
      <c r="CS21" s="272">
        <v>1087271</v>
      </c>
      <c r="CT21" s="455">
        <f t="shared" si="8"/>
        <v>715512</v>
      </c>
      <c r="CU21" s="272">
        <v>12000</v>
      </c>
      <c r="CV21" s="272">
        <v>703512</v>
      </c>
      <c r="CW21" s="455">
        <f t="shared" si="9"/>
        <v>703512</v>
      </c>
      <c r="CX21" s="272">
        <v>0</v>
      </c>
      <c r="CY21" s="272">
        <v>703512</v>
      </c>
      <c r="CZ21" s="455">
        <f t="shared" si="10"/>
        <v>0</v>
      </c>
      <c r="DA21" s="272">
        <v>0</v>
      </c>
      <c r="DB21" s="272">
        <v>0</v>
      </c>
      <c r="DC21" s="272">
        <v>3317340</v>
      </c>
      <c r="DD21" s="272">
        <v>1769620</v>
      </c>
      <c r="DE21" s="272">
        <v>1547720</v>
      </c>
      <c r="DF21" s="272">
        <v>0</v>
      </c>
      <c r="DG21" s="272">
        <v>0</v>
      </c>
      <c r="DH21" s="272">
        <v>0</v>
      </c>
      <c r="DI21" s="272">
        <v>453198</v>
      </c>
      <c r="DJ21" s="272">
        <v>216013</v>
      </c>
      <c r="DK21" s="272">
        <v>1081</v>
      </c>
      <c r="DL21" s="272">
        <v>236104</v>
      </c>
      <c r="DM21" s="272">
        <v>0</v>
      </c>
      <c r="DN21" s="272">
        <v>0</v>
      </c>
      <c r="DO21" s="272">
        <v>0</v>
      </c>
      <c r="DP21" s="272">
        <v>0</v>
      </c>
      <c r="DQ21" s="272">
        <v>60000</v>
      </c>
      <c r="DR21" s="272">
        <v>0</v>
      </c>
      <c r="DS21" s="272">
        <v>0</v>
      </c>
      <c r="DT21" s="272">
        <v>5510636</v>
      </c>
      <c r="DU21" s="272">
        <v>3380000</v>
      </c>
      <c r="DV21" s="455">
        <f t="shared" si="11"/>
        <v>0</v>
      </c>
      <c r="DW21" s="272">
        <v>0</v>
      </c>
      <c r="DX21" s="272">
        <v>0</v>
      </c>
      <c r="DY21" s="272">
        <v>0</v>
      </c>
      <c r="DZ21" s="272">
        <v>1065000</v>
      </c>
      <c r="EA21" s="272">
        <v>519455</v>
      </c>
      <c r="EB21" s="272">
        <v>544752</v>
      </c>
      <c r="EC21" s="272">
        <v>0</v>
      </c>
      <c r="ED21" s="272">
        <v>36382986</v>
      </c>
      <c r="EF21" s="272">
        <v>490108</v>
      </c>
      <c r="EG21" s="272">
        <v>65556</v>
      </c>
      <c r="EH21" s="272">
        <v>424552</v>
      </c>
      <c r="EI21" s="272">
        <v>212579</v>
      </c>
      <c r="EJ21" s="272">
        <v>459111</v>
      </c>
      <c r="EL21" s="272">
        <v>132562</v>
      </c>
      <c r="EM21" s="272">
        <v>131685</v>
      </c>
      <c r="EN21" s="272">
        <v>5990</v>
      </c>
      <c r="EO21" s="272">
        <v>127502</v>
      </c>
      <c r="EP21" s="455">
        <f t="shared" si="12"/>
        <v>476501</v>
      </c>
      <c r="EQ21" s="272">
        <v>27108476</v>
      </c>
      <c r="ER21" s="272">
        <v>-792571</v>
      </c>
      <c r="ES21" s="272">
        <v>8886956</v>
      </c>
      <c r="ET21" s="272">
        <v>6619810</v>
      </c>
      <c r="EU21" s="272">
        <v>1876784</v>
      </c>
      <c r="EV21" s="272">
        <v>3804640</v>
      </c>
      <c r="EW21" s="455">
        <f t="shared" si="13"/>
        <v>742174</v>
      </c>
      <c r="EX21" s="272">
        <v>742174</v>
      </c>
      <c r="EY21" s="272">
        <v>132051</v>
      </c>
      <c r="EZ21" s="272">
        <v>610123</v>
      </c>
      <c r="FA21" s="272">
        <v>0</v>
      </c>
      <c r="FB21" s="272"/>
      <c r="FC21" s="272">
        <v>3949854</v>
      </c>
      <c r="FD21" s="272">
        <v>2420917</v>
      </c>
      <c r="FE21" s="272">
        <v>161</v>
      </c>
      <c r="FF21" s="272">
        <v>5111989</v>
      </c>
      <c r="FG21" s="455">
        <f t="shared" si="14"/>
        <v>677270</v>
      </c>
      <c r="FH21" s="272">
        <v>27470584</v>
      </c>
      <c r="FI21" s="384">
        <f t="shared" si="15"/>
        <v>1.7</v>
      </c>
      <c r="FJ21" s="272">
        <v>24898414</v>
      </c>
      <c r="FK21" s="272"/>
      <c r="FL21" s="272">
        <v>12463308</v>
      </c>
      <c r="FM21" s="272">
        <v>20831494</v>
      </c>
      <c r="FN21" s="460">
        <v>0.61499999999999999</v>
      </c>
      <c r="FO21" s="388">
        <v>96.6</v>
      </c>
      <c r="FP21" s="388">
        <v>35</v>
      </c>
      <c r="FQ21" s="388">
        <v>7.4</v>
      </c>
      <c r="FR21" s="388">
        <v>15</v>
      </c>
      <c r="FS21" s="388">
        <v>15.5</v>
      </c>
      <c r="FT21" s="388">
        <v>8.9</v>
      </c>
      <c r="FU21" s="388">
        <v>13.8</v>
      </c>
      <c r="FV21" s="388">
        <v>10.7</v>
      </c>
      <c r="FW21" s="272">
        <v>31810763</v>
      </c>
      <c r="FX21" s="384">
        <f t="shared" si="16"/>
        <v>127.8</v>
      </c>
      <c r="FY21" s="272">
        <v>4334693</v>
      </c>
      <c r="FZ21" s="272">
        <v>1057020</v>
      </c>
      <c r="GA21" s="272">
        <v>350602</v>
      </c>
      <c r="GB21" s="272">
        <v>2927071</v>
      </c>
      <c r="GC21" s="272"/>
      <c r="GD21" s="272">
        <v>2826333</v>
      </c>
      <c r="GE21" s="384">
        <f t="shared" si="17"/>
        <v>11.4</v>
      </c>
      <c r="GF21" s="388">
        <v>97.1</v>
      </c>
      <c r="GG21" s="388">
        <v>22</v>
      </c>
      <c r="GH21" s="388">
        <v>90.1</v>
      </c>
      <c r="GI21" s="272">
        <v>940</v>
      </c>
    </row>
    <row r="22" spans="2:191" x14ac:dyDescent="0.15">
      <c r="B22" s="89" t="s">
        <v>37</v>
      </c>
      <c r="C22" s="272">
        <v>19568542</v>
      </c>
      <c r="D22" s="455">
        <f t="shared" si="0"/>
        <v>5301158</v>
      </c>
      <c r="E22" s="272">
        <v>119763</v>
      </c>
      <c r="F22" s="272">
        <v>5181395</v>
      </c>
      <c r="G22" s="455">
        <f t="shared" si="1"/>
        <v>1889831</v>
      </c>
      <c r="H22" s="272">
        <v>297916</v>
      </c>
      <c r="I22" s="272">
        <v>1591915</v>
      </c>
      <c r="J22" s="272">
        <v>9359210</v>
      </c>
      <c r="K22" s="272">
        <v>5209635</v>
      </c>
      <c r="L22" s="272">
        <v>2896016</v>
      </c>
      <c r="M22" s="272">
        <v>1104244</v>
      </c>
      <c r="N22" s="272">
        <v>849747</v>
      </c>
      <c r="O22" s="272">
        <v>2079106</v>
      </c>
      <c r="P22" s="272">
        <v>1425686</v>
      </c>
      <c r="Q22" s="272">
        <v>653420</v>
      </c>
      <c r="R22" s="272">
        <v>233359</v>
      </c>
      <c r="S22" s="272"/>
      <c r="T22" s="455">
        <f t="shared" si="2"/>
        <v>2251274</v>
      </c>
      <c r="U22" s="272">
        <v>702905</v>
      </c>
      <c r="V22" s="272"/>
      <c r="W22" s="272"/>
      <c r="X22" s="272">
        <v>1275228</v>
      </c>
      <c r="Y22" s="272">
        <v>38973</v>
      </c>
      <c r="Z22" s="272">
        <v>2133</v>
      </c>
      <c r="AA22" s="272">
        <v>232035</v>
      </c>
      <c r="AB22" s="272">
        <v>576780</v>
      </c>
      <c r="AC22" s="272">
        <v>3618327</v>
      </c>
      <c r="AD22" s="272">
        <v>3141292</v>
      </c>
      <c r="AE22" s="272">
        <v>477035</v>
      </c>
      <c r="AF22" s="272">
        <v>22800</v>
      </c>
      <c r="AG22" s="272">
        <v>309859</v>
      </c>
      <c r="AH22" s="455">
        <f t="shared" si="3"/>
        <v>892300</v>
      </c>
      <c r="AI22" s="272">
        <v>569693</v>
      </c>
      <c r="AJ22" s="272">
        <v>322607</v>
      </c>
      <c r="AK22" s="272">
        <v>3373563</v>
      </c>
      <c r="AL22" s="455">
        <f t="shared" si="4"/>
        <v>1631295</v>
      </c>
      <c r="AM22" s="272">
        <v>1067293</v>
      </c>
      <c r="AN22" s="272">
        <v>538217</v>
      </c>
      <c r="AO22" s="272">
        <v>0</v>
      </c>
      <c r="AP22" s="272">
        <v>25785</v>
      </c>
      <c r="AQ22" s="272">
        <v>605697</v>
      </c>
      <c r="AR22" s="272">
        <v>0</v>
      </c>
      <c r="AS22" s="272">
        <v>0</v>
      </c>
      <c r="AT22" s="272">
        <v>2358102</v>
      </c>
      <c r="AU22" s="272">
        <v>941787</v>
      </c>
      <c r="AV22" s="272">
        <v>272515</v>
      </c>
      <c r="AW22" s="272">
        <v>113852</v>
      </c>
      <c r="AX22" s="272">
        <v>1416315</v>
      </c>
      <c r="AY22" s="272">
        <v>472056</v>
      </c>
      <c r="AZ22" s="272">
        <v>312185</v>
      </c>
      <c r="BA22" s="272">
        <v>281683</v>
      </c>
      <c r="BB22" s="272">
        <v>22169</v>
      </c>
      <c r="BC22" s="272">
        <v>1034007</v>
      </c>
      <c r="BD22" s="272">
        <v>280000</v>
      </c>
      <c r="BE22" s="272">
        <v>400000</v>
      </c>
      <c r="BF22" s="272">
        <v>289903</v>
      </c>
      <c r="BG22" s="272">
        <v>51827</v>
      </c>
      <c r="BH22" s="272">
        <v>118033</v>
      </c>
      <c r="BI22" s="272">
        <v>62055</v>
      </c>
      <c r="BJ22" s="272">
        <v>2725487</v>
      </c>
      <c r="BK22" s="272">
        <v>2356308</v>
      </c>
      <c r="BL22" s="272">
        <v>0</v>
      </c>
      <c r="BM22" s="272">
        <v>0</v>
      </c>
      <c r="BN22" s="272">
        <v>2687000</v>
      </c>
      <c r="BO22" s="455">
        <f t="shared" si="5"/>
        <v>2468400</v>
      </c>
      <c r="BP22" s="455">
        <f t="shared" si="6"/>
        <v>218600</v>
      </c>
      <c r="BQ22" s="272">
        <v>218600</v>
      </c>
      <c r="BR22" s="272">
        <v>0</v>
      </c>
      <c r="BS22" s="272">
        <v>0</v>
      </c>
      <c r="BT22" s="272">
        <v>0</v>
      </c>
      <c r="BU22" s="272">
        <v>40103787</v>
      </c>
      <c r="BV22" s="272"/>
      <c r="BW22" s="272">
        <v>11551059</v>
      </c>
      <c r="BX22" s="272">
        <v>8457533</v>
      </c>
      <c r="BY22" s="272">
        <v>1054910</v>
      </c>
      <c r="BZ22" s="272">
        <v>264136</v>
      </c>
      <c r="CA22" s="272">
        <v>4713636</v>
      </c>
      <c r="CB22" s="272">
        <v>645654</v>
      </c>
      <c r="CC22" s="272">
        <v>471596</v>
      </c>
      <c r="CD22" s="272">
        <v>2037064</v>
      </c>
      <c r="CE22" s="272">
        <v>1410484</v>
      </c>
      <c r="CF22" s="272">
        <v>1129</v>
      </c>
      <c r="CG22" s="272">
        <v>147324</v>
      </c>
      <c r="CH22" s="272">
        <v>3647494</v>
      </c>
      <c r="CI22" s="272">
        <v>2674438</v>
      </c>
      <c r="CJ22" s="455">
        <f t="shared" si="7"/>
        <v>973056</v>
      </c>
      <c r="CK22" s="272">
        <v>3961514</v>
      </c>
      <c r="CL22" s="272">
        <v>2432042</v>
      </c>
      <c r="CM22" s="272">
        <v>130768</v>
      </c>
      <c r="CN22" s="272">
        <v>828279</v>
      </c>
      <c r="CO22" s="272">
        <v>185485</v>
      </c>
      <c r="CP22" s="272">
        <v>2702975</v>
      </c>
      <c r="CQ22" s="272">
        <v>1408866</v>
      </c>
      <c r="CR22" s="272">
        <v>591062</v>
      </c>
      <c r="CS22" s="272">
        <v>323446</v>
      </c>
      <c r="CT22" s="455">
        <f t="shared" si="8"/>
        <v>20822</v>
      </c>
      <c r="CU22" s="272">
        <v>20822</v>
      </c>
      <c r="CV22" s="272">
        <v>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5938882</v>
      </c>
      <c r="DD22" s="272">
        <v>1648090</v>
      </c>
      <c r="DE22" s="272">
        <v>4290792</v>
      </c>
      <c r="DF22" s="272">
        <v>0</v>
      </c>
      <c r="DG22" s="272">
        <v>0</v>
      </c>
      <c r="DH22" s="272">
        <v>0</v>
      </c>
      <c r="DI22" s="272">
        <v>587756</v>
      </c>
      <c r="DJ22" s="272">
        <v>5709</v>
      </c>
      <c r="DK22" s="272">
        <v>255078</v>
      </c>
      <c r="DL22" s="272">
        <v>326969</v>
      </c>
      <c r="DM22" s="272">
        <v>0</v>
      </c>
      <c r="DN22" s="272">
        <v>0</v>
      </c>
      <c r="DO22" s="272">
        <v>0</v>
      </c>
      <c r="DP22" s="272">
        <v>0</v>
      </c>
      <c r="DQ22" s="272">
        <v>2320000</v>
      </c>
      <c r="DR22" s="272">
        <v>0</v>
      </c>
      <c r="DS22" s="272">
        <v>0</v>
      </c>
      <c r="DT22" s="272">
        <v>4272741</v>
      </c>
      <c r="DU22" s="272">
        <v>2245185</v>
      </c>
      <c r="DV22" s="455">
        <f t="shared" si="11"/>
        <v>0</v>
      </c>
      <c r="DW22" s="272">
        <v>0</v>
      </c>
      <c r="DX22" s="272">
        <v>0</v>
      </c>
      <c r="DY22" s="272">
        <v>0</v>
      </c>
      <c r="DZ22" s="272">
        <v>1118442</v>
      </c>
      <c r="EA22" s="272">
        <v>400835</v>
      </c>
      <c r="EB22" s="272">
        <v>460210</v>
      </c>
      <c r="EC22" s="272">
        <v>0</v>
      </c>
      <c r="ED22" s="272">
        <v>39881542</v>
      </c>
      <c r="EF22" s="272">
        <v>222245</v>
      </c>
      <c r="EG22" s="272">
        <v>181452</v>
      </c>
      <c r="EH22" s="272">
        <v>40793</v>
      </c>
      <c r="EI22" s="272">
        <v>-21262</v>
      </c>
      <c r="EJ22" s="272">
        <v>236097</v>
      </c>
      <c r="EL22" s="272">
        <v>128917</v>
      </c>
      <c r="EM22" s="272">
        <v>126735</v>
      </c>
      <c r="EN22" s="272">
        <v>785980</v>
      </c>
      <c r="EO22" s="272">
        <v>21238</v>
      </c>
      <c r="EP22" s="455">
        <f t="shared" si="12"/>
        <v>438723</v>
      </c>
      <c r="EQ22" s="272">
        <v>26271082</v>
      </c>
      <c r="ER22" s="272">
        <v>-1441741</v>
      </c>
      <c r="ES22" s="272">
        <v>10496381</v>
      </c>
      <c r="ET22" s="272">
        <v>7473042</v>
      </c>
      <c r="EU22" s="272">
        <v>1556986</v>
      </c>
      <c r="EV22" s="272">
        <v>3534796</v>
      </c>
      <c r="EW22" s="455">
        <f t="shared" si="13"/>
        <v>1821349</v>
      </c>
      <c r="EX22" s="272">
        <v>1821349</v>
      </c>
      <c r="EY22" s="272">
        <v>250876</v>
      </c>
      <c r="EZ22" s="272">
        <v>1570473</v>
      </c>
      <c r="FA22" s="272">
        <v>0</v>
      </c>
      <c r="FB22" s="272"/>
      <c r="FC22" s="272">
        <v>2974409</v>
      </c>
      <c r="FD22" s="272">
        <v>2457926</v>
      </c>
      <c r="FE22" s="272">
        <v>1408866</v>
      </c>
      <c r="FF22" s="272">
        <v>3941237</v>
      </c>
      <c r="FG22" s="455">
        <f t="shared" si="14"/>
        <v>707494</v>
      </c>
      <c r="FH22" s="272">
        <v>27490578</v>
      </c>
      <c r="FI22" s="384">
        <f t="shared" si="15"/>
        <v>0.2</v>
      </c>
      <c r="FJ22" s="272">
        <v>23310327</v>
      </c>
      <c r="FK22" s="272"/>
      <c r="FL22" s="272">
        <v>15192015</v>
      </c>
      <c r="FM22" s="272">
        <v>18333307</v>
      </c>
      <c r="FN22" s="460">
        <v>0.90900000000000003</v>
      </c>
      <c r="FO22" s="388">
        <v>97.2</v>
      </c>
      <c r="FP22" s="388">
        <v>43.1</v>
      </c>
      <c r="FQ22" s="388">
        <v>6.5</v>
      </c>
      <c r="FR22" s="388">
        <v>12.6</v>
      </c>
      <c r="FS22" s="388">
        <v>12.1</v>
      </c>
      <c r="FT22" s="388">
        <v>8.9</v>
      </c>
      <c r="FU22" s="388">
        <v>13.3</v>
      </c>
      <c r="FV22" s="388">
        <v>8.5</v>
      </c>
      <c r="FW22" s="272">
        <v>27282996</v>
      </c>
      <c r="FX22" s="384">
        <f t="shared" si="16"/>
        <v>117</v>
      </c>
      <c r="FY22" s="272">
        <v>9905720</v>
      </c>
      <c r="FZ22" s="272">
        <v>4057524</v>
      </c>
      <c r="GA22" s="272">
        <v>838480</v>
      </c>
      <c r="GB22" s="272">
        <v>5009716</v>
      </c>
      <c r="GC22" s="272"/>
      <c r="GD22" s="272">
        <v>12471587</v>
      </c>
      <c r="GE22" s="384">
        <f t="shared" si="17"/>
        <v>53.5</v>
      </c>
      <c r="GF22" s="388">
        <v>98.1</v>
      </c>
      <c r="GG22" s="388">
        <v>23.3</v>
      </c>
      <c r="GH22" s="388">
        <v>94.2</v>
      </c>
      <c r="GI22" s="272">
        <v>1071</v>
      </c>
    </row>
    <row r="23" spans="2:191" x14ac:dyDescent="0.15">
      <c r="B23" s="89" t="s">
        <v>39</v>
      </c>
      <c r="C23" s="272">
        <v>20296496</v>
      </c>
      <c r="D23" s="455">
        <f t="shared" si="0"/>
        <v>7913326</v>
      </c>
      <c r="E23" s="272">
        <v>147844</v>
      </c>
      <c r="F23" s="272">
        <v>7765482</v>
      </c>
      <c r="G23" s="455">
        <f t="shared" si="1"/>
        <v>899228</v>
      </c>
      <c r="H23" s="272">
        <v>294962</v>
      </c>
      <c r="I23" s="272">
        <v>604266</v>
      </c>
      <c r="J23" s="272">
        <v>8425203</v>
      </c>
      <c r="K23" s="272">
        <v>4298254</v>
      </c>
      <c r="L23" s="272">
        <v>3294578</v>
      </c>
      <c r="M23" s="272">
        <v>767722</v>
      </c>
      <c r="N23" s="272">
        <v>882344</v>
      </c>
      <c r="O23" s="272">
        <v>1982089</v>
      </c>
      <c r="P23" s="272">
        <v>1264026</v>
      </c>
      <c r="Q23" s="272">
        <v>718063</v>
      </c>
      <c r="R23" s="272">
        <v>320478</v>
      </c>
      <c r="S23" s="272"/>
      <c r="T23" s="455">
        <f t="shared" si="2"/>
        <v>2576812</v>
      </c>
      <c r="U23" s="272">
        <v>923856</v>
      </c>
      <c r="V23" s="272"/>
      <c r="W23" s="272"/>
      <c r="X23" s="272">
        <v>1312064</v>
      </c>
      <c r="Y23" s="272">
        <v>22429</v>
      </c>
      <c r="Z23" s="272">
        <v>161</v>
      </c>
      <c r="AA23" s="272">
        <v>318302</v>
      </c>
      <c r="AB23" s="272">
        <v>748500</v>
      </c>
      <c r="AC23" s="272">
        <v>9212167</v>
      </c>
      <c r="AD23" s="272">
        <v>8050114</v>
      </c>
      <c r="AE23" s="272">
        <v>1162053</v>
      </c>
      <c r="AF23" s="272">
        <v>25339</v>
      </c>
      <c r="AG23" s="272">
        <v>197404</v>
      </c>
      <c r="AH23" s="455">
        <f t="shared" si="3"/>
        <v>1053487</v>
      </c>
      <c r="AI23" s="272">
        <v>980563</v>
      </c>
      <c r="AJ23" s="272">
        <v>72924</v>
      </c>
      <c r="AK23" s="272">
        <v>6325662</v>
      </c>
      <c r="AL23" s="455">
        <f t="shared" si="4"/>
        <v>3211343</v>
      </c>
      <c r="AM23" s="272">
        <v>2724371</v>
      </c>
      <c r="AN23" s="272">
        <v>474770</v>
      </c>
      <c r="AO23" s="272">
        <v>0</v>
      </c>
      <c r="AP23" s="272">
        <v>12202</v>
      </c>
      <c r="AQ23" s="272">
        <v>1379796</v>
      </c>
      <c r="AR23" s="272">
        <v>0</v>
      </c>
      <c r="AS23" s="272">
        <v>257900</v>
      </c>
      <c r="AT23" s="272">
        <v>2542881</v>
      </c>
      <c r="AU23" s="272">
        <v>1142433</v>
      </c>
      <c r="AV23" s="272">
        <v>268696</v>
      </c>
      <c r="AW23" s="272">
        <v>95111</v>
      </c>
      <c r="AX23" s="272">
        <v>1400448</v>
      </c>
      <c r="AY23" s="272">
        <v>150150</v>
      </c>
      <c r="AZ23" s="272">
        <v>929855</v>
      </c>
      <c r="BA23" s="272">
        <v>871951</v>
      </c>
      <c r="BB23" s="272">
        <v>841</v>
      </c>
      <c r="BC23" s="272">
        <v>627427</v>
      </c>
      <c r="BD23" s="272">
        <v>0</v>
      </c>
      <c r="BE23" s="272">
        <v>0</v>
      </c>
      <c r="BF23" s="272">
        <v>615457</v>
      </c>
      <c r="BG23" s="272">
        <v>0</v>
      </c>
      <c r="BH23" s="272">
        <v>818530</v>
      </c>
      <c r="BI23" s="272">
        <v>604360</v>
      </c>
      <c r="BJ23" s="272">
        <v>2606576</v>
      </c>
      <c r="BK23" s="272">
        <v>504761</v>
      </c>
      <c r="BL23" s="272">
        <v>4424</v>
      </c>
      <c r="BM23" s="272">
        <v>0</v>
      </c>
      <c r="BN23" s="272">
        <v>4226800</v>
      </c>
      <c r="BO23" s="455">
        <f t="shared" si="5"/>
        <v>3954400</v>
      </c>
      <c r="BP23" s="455">
        <f t="shared" si="6"/>
        <v>272400</v>
      </c>
      <c r="BQ23" s="272">
        <v>272400</v>
      </c>
      <c r="BR23" s="272">
        <v>0</v>
      </c>
      <c r="BS23" s="272">
        <v>0</v>
      </c>
      <c r="BT23" s="272">
        <v>0</v>
      </c>
      <c r="BU23" s="272">
        <v>52767155</v>
      </c>
      <c r="BV23" s="272"/>
      <c r="BW23" s="272">
        <v>13209967</v>
      </c>
      <c r="BX23" s="272">
        <v>9456420</v>
      </c>
      <c r="BY23" s="272">
        <v>1159813</v>
      </c>
      <c r="BZ23" s="272">
        <v>558075</v>
      </c>
      <c r="CA23" s="272">
        <v>7647755</v>
      </c>
      <c r="CB23" s="272">
        <v>1046840</v>
      </c>
      <c r="CC23" s="272">
        <v>711627</v>
      </c>
      <c r="CD23" s="272">
        <v>2055911</v>
      </c>
      <c r="CE23" s="272">
        <v>3674323</v>
      </c>
      <c r="CF23" s="272">
        <v>287</v>
      </c>
      <c r="CG23" s="272">
        <v>157767</v>
      </c>
      <c r="CH23" s="272">
        <v>5273906</v>
      </c>
      <c r="CI23" s="272">
        <v>3646619</v>
      </c>
      <c r="CJ23" s="455">
        <f t="shared" si="7"/>
        <v>1627287</v>
      </c>
      <c r="CK23" s="272">
        <v>5553918</v>
      </c>
      <c r="CL23" s="272">
        <v>3496499</v>
      </c>
      <c r="CM23" s="272">
        <v>249368</v>
      </c>
      <c r="CN23" s="272">
        <v>840399</v>
      </c>
      <c r="CO23" s="272">
        <v>449397</v>
      </c>
      <c r="CP23" s="272">
        <v>5090545</v>
      </c>
      <c r="CQ23" s="272">
        <v>1864136</v>
      </c>
      <c r="CR23" s="272">
        <v>1131506</v>
      </c>
      <c r="CS23" s="272">
        <v>999903</v>
      </c>
      <c r="CT23" s="455">
        <f t="shared" si="8"/>
        <v>1341285</v>
      </c>
      <c r="CU23" s="272">
        <v>15000</v>
      </c>
      <c r="CV23" s="272">
        <v>1326285</v>
      </c>
      <c r="CW23" s="455">
        <f t="shared" si="9"/>
        <v>1323000</v>
      </c>
      <c r="CX23" s="272">
        <v>0</v>
      </c>
      <c r="CY23" s="272">
        <v>1323000</v>
      </c>
      <c r="CZ23" s="455">
        <f t="shared" si="10"/>
        <v>0</v>
      </c>
      <c r="DA23" s="272">
        <v>0</v>
      </c>
      <c r="DB23" s="272">
        <v>0</v>
      </c>
      <c r="DC23" s="272">
        <v>10491441</v>
      </c>
      <c r="DD23" s="272">
        <v>3448398</v>
      </c>
      <c r="DE23" s="272">
        <v>7008073</v>
      </c>
      <c r="DF23" s="272">
        <v>34970</v>
      </c>
      <c r="DG23" s="272">
        <v>0</v>
      </c>
      <c r="DH23" s="272">
        <v>0</v>
      </c>
      <c r="DI23" s="272">
        <v>327129</v>
      </c>
      <c r="DJ23" s="272">
        <v>305220</v>
      </c>
      <c r="DK23" s="272">
        <v>1530</v>
      </c>
      <c r="DL23" s="272">
        <v>20379</v>
      </c>
      <c r="DM23" s="272">
        <v>50000</v>
      </c>
      <c r="DN23" s="272">
        <v>0</v>
      </c>
      <c r="DO23" s="272">
        <v>0</v>
      </c>
      <c r="DP23" s="272">
        <v>0</v>
      </c>
      <c r="DQ23" s="272">
        <v>620700</v>
      </c>
      <c r="DR23" s="272">
        <v>500000</v>
      </c>
      <c r="DS23" s="272">
        <v>500000</v>
      </c>
      <c r="DT23" s="272">
        <v>3555887</v>
      </c>
      <c r="DU23" s="272">
        <v>1341395</v>
      </c>
      <c r="DV23" s="455">
        <f t="shared" si="11"/>
        <v>32112</v>
      </c>
      <c r="DW23" s="272">
        <v>32112</v>
      </c>
      <c r="DX23" s="272">
        <v>0</v>
      </c>
      <c r="DY23" s="272">
        <v>0</v>
      </c>
      <c r="DZ23" s="272">
        <v>907548</v>
      </c>
      <c r="EA23" s="272">
        <v>590130</v>
      </c>
      <c r="EB23" s="272">
        <v>674702</v>
      </c>
      <c r="EC23" s="272">
        <v>0</v>
      </c>
      <c r="ED23" s="272">
        <v>52270645</v>
      </c>
      <c r="EF23" s="272">
        <v>496510</v>
      </c>
      <c r="EG23" s="272">
        <v>160415</v>
      </c>
      <c r="EH23" s="272">
        <v>336095</v>
      </c>
      <c r="EI23" s="272">
        <v>-268265</v>
      </c>
      <c r="EJ23" s="272">
        <v>36955</v>
      </c>
      <c r="EL23" s="272">
        <v>172974</v>
      </c>
      <c r="EM23" s="272">
        <v>174030</v>
      </c>
      <c r="EN23" s="272">
        <v>11970</v>
      </c>
      <c r="EO23" s="272">
        <v>762650</v>
      </c>
      <c r="EP23" s="455">
        <f t="shared" si="12"/>
        <v>1371826</v>
      </c>
      <c r="EQ23" s="272">
        <v>33437692</v>
      </c>
      <c r="ER23" s="272">
        <v>-2135607</v>
      </c>
      <c r="ES23" s="272">
        <v>11811960</v>
      </c>
      <c r="ET23" s="272">
        <v>8455649</v>
      </c>
      <c r="EU23" s="272">
        <v>2716320</v>
      </c>
      <c r="EV23" s="272">
        <v>4302643</v>
      </c>
      <c r="EW23" s="455">
        <f t="shared" si="13"/>
        <v>2779204</v>
      </c>
      <c r="EX23" s="272">
        <v>2779204</v>
      </c>
      <c r="EY23" s="272">
        <v>252137</v>
      </c>
      <c r="EZ23" s="272">
        <v>2514936</v>
      </c>
      <c r="FA23" s="272">
        <v>0</v>
      </c>
      <c r="FB23" s="272"/>
      <c r="FC23" s="272">
        <v>4602378</v>
      </c>
      <c r="FD23" s="272">
        <v>4763219</v>
      </c>
      <c r="FE23" s="272">
        <v>1864136</v>
      </c>
      <c r="FF23" s="272">
        <v>3301889</v>
      </c>
      <c r="FG23" s="455">
        <f t="shared" si="14"/>
        <v>799176</v>
      </c>
      <c r="FH23" s="272">
        <v>35076789</v>
      </c>
      <c r="FI23" s="384">
        <f t="shared" si="15"/>
        <v>1.1000000000000001</v>
      </c>
      <c r="FJ23" s="272">
        <v>30261857</v>
      </c>
      <c r="FK23" s="272"/>
      <c r="FL23" s="272">
        <v>16745853</v>
      </c>
      <c r="FM23" s="272">
        <v>24844996</v>
      </c>
      <c r="FN23" s="460">
        <v>0.69199999999999995</v>
      </c>
      <c r="FO23" s="388">
        <v>94.7</v>
      </c>
      <c r="FP23" s="388">
        <v>36.5</v>
      </c>
      <c r="FQ23" s="388">
        <v>8.9</v>
      </c>
      <c r="FR23" s="388">
        <v>14.1</v>
      </c>
      <c r="FS23" s="388">
        <v>13.7</v>
      </c>
      <c r="FT23" s="388">
        <v>12.4</v>
      </c>
      <c r="FU23" s="388">
        <v>7.7</v>
      </c>
      <c r="FV23" s="388">
        <v>9</v>
      </c>
      <c r="FW23" s="272">
        <v>44418038</v>
      </c>
      <c r="FX23" s="384">
        <f t="shared" si="16"/>
        <v>146.80000000000001</v>
      </c>
      <c r="FY23" s="272">
        <v>12305046</v>
      </c>
      <c r="FZ23" s="272">
        <v>1332360</v>
      </c>
      <c r="GA23" s="272">
        <v>1210480</v>
      </c>
      <c r="GB23" s="272">
        <v>9762206</v>
      </c>
      <c r="GC23" s="272"/>
      <c r="GD23" s="272">
        <v>6747120</v>
      </c>
      <c r="GE23" s="384">
        <f t="shared" si="17"/>
        <v>22.3</v>
      </c>
      <c r="GF23" s="388">
        <v>97.3</v>
      </c>
      <c r="GG23" s="388">
        <v>21.4</v>
      </c>
      <c r="GH23" s="388">
        <v>92</v>
      </c>
      <c r="GI23" s="272">
        <v>1241</v>
      </c>
    </row>
    <row r="24" spans="2:191" x14ac:dyDescent="0.15">
      <c r="B24" s="89" t="s">
        <v>41</v>
      </c>
      <c r="C24" s="272">
        <v>23042060</v>
      </c>
      <c r="D24" s="455">
        <f t="shared" si="0"/>
        <v>10446170</v>
      </c>
      <c r="E24" s="272">
        <v>114556</v>
      </c>
      <c r="F24" s="272">
        <v>10331614</v>
      </c>
      <c r="G24" s="455">
        <f t="shared" si="1"/>
        <v>972606</v>
      </c>
      <c r="H24" s="272">
        <v>299252</v>
      </c>
      <c r="I24" s="272">
        <v>673354</v>
      </c>
      <c r="J24" s="272">
        <v>8549705</v>
      </c>
      <c r="K24" s="272">
        <v>4511233</v>
      </c>
      <c r="L24" s="272">
        <v>3410353</v>
      </c>
      <c r="M24" s="272">
        <v>578869</v>
      </c>
      <c r="N24" s="272">
        <v>609114</v>
      </c>
      <c r="O24" s="272">
        <v>2347302</v>
      </c>
      <c r="P24" s="272">
        <v>1592434</v>
      </c>
      <c r="Q24" s="272">
        <v>754868</v>
      </c>
      <c r="R24" s="272">
        <v>274008</v>
      </c>
      <c r="S24" s="272"/>
      <c r="T24" s="455">
        <f t="shared" si="2"/>
        <v>2532491</v>
      </c>
      <c r="U24" s="272">
        <v>1173948</v>
      </c>
      <c r="V24" s="272"/>
      <c r="W24" s="272"/>
      <c r="X24" s="272">
        <v>1077720</v>
      </c>
      <c r="Y24" s="272">
        <v>5792</v>
      </c>
      <c r="Z24" s="272">
        <v>2765</v>
      </c>
      <c r="AA24" s="272">
        <v>272266</v>
      </c>
      <c r="AB24" s="272">
        <v>1070209</v>
      </c>
      <c r="AC24" s="272">
        <v>192008</v>
      </c>
      <c r="AD24" s="272">
        <v>0</v>
      </c>
      <c r="AE24" s="272">
        <v>192008</v>
      </c>
      <c r="AF24" s="272">
        <v>23497</v>
      </c>
      <c r="AG24" s="272">
        <v>125995</v>
      </c>
      <c r="AH24" s="455">
        <f t="shared" si="3"/>
        <v>730125</v>
      </c>
      <c r="AI24" s="272">
        <v>604215</v>
      </c>
      <c r="AJ24" s="272">
        <v>125910</v>
      </c>
      <c r="AK24" s="272">
        <v>2528416</v>
      </c>
      <c r="AL24" s="455">
        <f t="shared" si="4"/>
        <v>1071012</v>
      </c>
      <c r="AM24" s="272">
        <v>665389</v>
      </c>
      <c r="AN24" s="272">
        <v>360643</v>
      </c>
      <c r="AO24" s="272">
        <v>0</v>
      </c>
      <c r="AP24" s="272">
        <v>44980</v>
      </c>
      <c r="AQ24" s="272">
        <v>643476</v>
      </c>
      <c r="AR24" s="272">
        <v>0</v>
      </c>
      <c r="AS24" s="272">
        <v>0</v>
      </c>
      <c r="AT24" s="272">
        <v>1654844</v>
      </c>
      <c r="AU24" s="272">
        <v>752587</v>
      </c>
      <c r="AV24" s="272">
        <v>123464</v>
      </c>
      <c r="AW24" s="272">
        <v>12628</v>
      </c>
      <c r="AX24" s="272">
        <v>902257</v>
      </c>
      <c r="AY24" s="272">
        <v>44706</v>
      </c>
      <c r="AZ24" s="272">
        <v>132095</v>
      </c>
      <c r="BA24" s="272">
        <v>1009</v>
      </c>
      <c r="BB24" s="272">
        <v>293849</v>
      </c>
      <c r="BC24" s="272">
        <v>3468809</v>
      </c>
      <c r="BD24" s="272">
        <v>600000</v>
      </c>
      <c r="BE24" s="272">
        <v>580000</v>
      </c>
      <c r="BF24" s="272">
        <v>2216563</v>
      </c>
      <c r="BG24" s="272">
        <v>0</v>
      </c>
      <c r="BH24" s="272">
        <v>2222725</v>
      </c>
      <c r="BI24" s="272">
        <v>360564</v>
      </c>
      <c r="BJ24" s="272">
        <v>6978760</v>
      </c>
      <c r="BK24" s="272">
        <v>6041662</v>
      </c>
      <c r="BL24" s="272">
        <v>0</v>
      </c>
      <c r="BM24" s="272">
        <v>600000</v>
      </c>
      <c r="BN24" s="272">
        <v>4533900</v>
      </c>
      <c r="BO24" s="455">
        <f t="shared" si="5"/>
        <v>4163200</v>
      </c>
      <c r="BP24" s="455">
        <f t="shared" si="6"/>
        <v>370700</v>
      </c>
      <c r="BQ24" s="272">
        <v>370700</v>
      </c>
      <c r="BR24" s="272">
        <v>0</v>
      </c>
      <c r="BS24" s="272">
        <v>0</v>
      </c>
      <c r="BT24" s="272">
        <v>0</v>
      </c>
      <c r="BU24" s="272">
        <v>49803791</v>
      </c>
      <c r="BV24" s="272"/>
      <c r="BW24" s="272">
        <v>11720225</v>
      </c>
      <c r="BX24" s="272">
        <v>8361328</v>
      </c>
      <c r="BY24" s="272">
        <v>769142</v>
      </c>
      <c r="BZ24" s="272">
        <v>696834</v>
      </c>
      <c r="CA24" s="272">
        <v>2481732</v>
      </c>
      <c r="CB24" s="272">
        <v>395174</v>
      </c>
      <c r="CC24" s="272">
        <v>419877</v>
      </c>
      <c r="CD24" s="272">
        <v>683630</v>
      </c>
      <c r="CE24" s="272">
        <v>939851</v>
      </c>
      <c r="CF24" s="272">
        <v>0</v>
      </c>
      <c r="CG24" s="272">
        <v>43200</v>
      </c>
      <c r="CH24" s="272">
        <v>3535202</v>
      </c>
      <c r="CI24" s="272">
        <v>2458053</v>
      </c>
      <c r="CJ24" s="455">
        <f t="shared" si="7"/>
        <v>1077149</v>
      </c>
      <c r="CK24" s="272">
        <v>6312771</v>
      </c>
      <c r="CL24" s="272">
        <v>3707736</v>
      </c>
      <c r="CM24" s="272">
        <v>233731</v>
      </c>
      <c r="CN24" s="272">
        <v>1330891</v>
      </c>
      <c r="CO24" s="272">
        <v>232112</v>
      </c>
      <c r="CP24" s="272">
        <v>3293613</v>
      </c>
      <c r="CQ24" s="272">
        <v>76637</v>
      </c>
      <c r="CR24" s="272">
        <v>1199379</v>
      </c>
      <c r="CS24" s="272">
        <v>1116261</v>
      </c>
      <c r="CT24" s="455">
        <f t="shared" si="8"/>
        <v>1412243</v>
      </c>
      <c r="CU24" s="272">
        <v>843186</v>
      </c>
      <c r="CV24" s="272">
        <v>569057</v>
      </c>
      <c r="CW24" s="455">
        <f t="shared" si="9"/>
        <v>1245557</v>
      </c>
      <c r="CX24" s="272">
        <v>833337</v>
      </c>
      <c r="CY24" s="272">
        <v>412220</v>
      </c>
      <c r="CZ24" s="455">
        <f t="shared" si="10"/>
        <v>0</v>
      </c>
      <c r="DA24" s="272">
        <v>0</v>
      </c>
      <c r="DB24" s="272">
        <v>0</v>
      </c>
      <c r="DC24" s="272">
        <v>10363233</v>
      </c>
      <c r="DD24" s="272">
        <v>1488439</v>
      </c>
      <c r="DE24" s="272">
        <v>8874794</v>
      </c>
      <c r="DF24" s="272">
        <v>0</v>
      </c>
      <c r="DG24" s="272">
        <v>0</v>
      </c>
      <c r="DH24" s="272">
        <v>360</v>
      </c>
      <c r="DI24" s="272">
        <v>795639</v>
      </c>
      <c r="DJ24" s="272">
        <v>130246</v>
      </c>
      <c r="DK24" s="272">
        <v>9709</v>
      </c>
      <c r="DL24" s="272">
        <v>655684</v>
      </c>
      <c r="DM24" s="272">
        <v>25635</v>
      </c>
      <c r="DN24" s="272">
        <v>25635</v>
      </c>
      <c r="DO24" s="272">
        <v>635</v>
      </c>
      <c r="DP24" s="272">
        <v>25000</v>
      </c>
      <c r="DQ24" s="272">
        <v>6023534</v>
      </c>
      <c r="DR24" s="272">
        <v>4948</v>
      </c>
      <c r="DS24" s="272">
        <v>0</v>
      </c>
      <c r="DT24" s="272">
        <v>3937255</v>
      </c>
      <c r="DU24" s="272">
        <v>1052988</v>
      </c>
      <c r="DV24" s="455">
        <f t="shared" si="11"/>
        <v>0</v>
      </c>
      <c r="DW24" s="272">
        <v>0</v>
      </c>
      <c r="DX24" s="272">
        <v>0</v>
      </c>
      <c r="DY24" s="272">
        <v>0</v>
      </c>
      <c r="DZ24" s="272">
        <v>1272209</v>
      </c>
      <c r="EA24" s="272">
        <v>481512</v>
      </c>
      <c r="EB24" s="272">
        <v>399650</v>
      </c>
      <c r="EC24" s="272">
        <v>0</v>
      </c>
      <c r="ED24" s="272">
        <v>48721311</v>
      </c>
      <c r="EF24" s="272">
        <v>1082480</v>
      </c>
      <c r="EG24" s="272">
        <v>87408</v>
      </c>
      <c r="EH24" s="272">
        <v>995072</v>
      </c>
      <c r="EI24" s="272">
        <v>184508</v>
      </c>
      <c r="EJ24" s="272">
        <v>-285246</v>
      </c>
      <c r="EL24" s="272">
        <v>124898</v>
      </c>
      <c r="EM24" s="272">
        <v>121103</v>
      </c>
      <c r="EN24" s="272">
        <v>1256409</v>
      </c>
      <c r="EO24" s="272">
        <v>26618</v>
      </c>
      <c r="EP24" s="455">
        <f t="shared" si="12"/>
        <v>1586220</v>
      </c>
      <c r="EQ24" s="272">
        <v>27134273</v>
      </c>
      <c r="ER24" s="272">
        <v>-3216450</v>
      </c>
      <c r="ES24" s="272">
        <v>11067188</v>
      </c>
      <c r="ET24" s="272">
        <v>7834110</v>
      </c>
      <c r="EU24" s="272">
        <v>801144</v>
      </c>
      <c r="EV24" s="272">
        <v>3445775</v>
      </c>
      <c r="EW24" s="455">
        <f t="shared" si="13"/>
        <v>2229930</v>
      </c>
      <c r="EX24" s="272">
        <v>2229570</v>
      </c>
      <c r="EY24" s="272">
        <v>134482</v>
      </c>
      <c r="EZ24" s="272">
        <v>2095088</v>
      </c>
      <c r="FA24" s="272">
        <v>360</v>
      </c>
      <c r="FB24" s="272"/>
      <c r="FC24" s="272">
        <v>4773121</v>
      </c>
      <c r="FD24" s="272">
        <v>3067753</v>
      </c>
      <c r="FE24" s="272">
        <v>76637</v>
      </c>
      <c r="FF24" s="272">
        <v>3192378</v>
      </c>
      <c r="FG24" s="455">
        <f t="shared" si="14"/>
        <v>691417</v>
      </c>
      <c r="FH24" s="272">
        <v>29268706</v>
      </c>
      <c r="FI24" s="384">
        <f t="shared" si="15"/>
        <v>3.9</v>
      </c>
      <c r="FJ24" s="272">
        <v>25323032</v>
      </c>
      <c r="FK24" s="272"/>
      <c r="FL24" s="272">
        <v>19069325</v>
      </c>
      <c r="FM24" s="272">
        <v>19019635</v>
      </c>
      <c r="FN24" s="460">
        <v>1.0069999999999999</v>
      </c>
      <c r="FO24" s="388">
        <v>93.6</v>
      </c>
      <c r="FP24" s="388">
        <v>43.7</v>
      </c>
      <c r="FQ24" s="388">
        <v>3.2</v>
      </c>
      <c r="FR24" s="388">
        <v>13.9</v>
      </c>
      <c r="FS24" s="388">
        <v>16.8</v>
      </c>
      <c r="FT24" s="388">
        <v>8.6999999999999993</v>
      </c>
      <c r="FU24" s="388">
        <v>6.4</v>
      </c>
      <c r="FV24" s="388">
        <v>8.3000000000000007</v>
      </c>
      <c r="FW24" s="272">
        <v>28648048</v>
      </c>
      <c r="FX24" s="384">
        <f t="shared" si="16"/>
        <v>113.1</v>
      </c>
      <c r="FY24" s="272">
        <v>25605865</v>
      </c>
      <c r="FZ24" s="272">
        <v>7446868</v>
      </c>
      <c r="GA24" s="272">
        <v>2384636</v>
      </c>
      <c r="GB24" s="272">
        <v>15774361</v>
      </c>
      <c r="GC24" s="272"/>
      <c r="GD24" s="272">
        <v>15623763</v>
      </c>
      <c r="GE24" s="384">
        <f t="shared" si="17"/>
        <v>61.7</v>
      </c>
      <c r="GF24" s="388">
        <v>98.1</v>
      </c>
      <c r="GG24" s="388">
        <v>12.8</v>
      </c>
      <c r="GH24" s="388">
        <v>91.4</v>
      </c>
      <c r="GI24" s="272">
        <v>1156</v>
      </c>
    </row>
    <row r="25" spans="2:191" x14ac:dyDescent="0.15">
      <c r="B25" s="89" t="s">
        <v>43</v>
      </c>
      <c r="C25" s="272">
        <v>9871091</v>
      </c>
      <c r="D25" s="455">
        <f t="shared" si="0"/>
        <v>3557940</v>
      </c>
      <c r="E25" s="272">
        <v>70174</v>
      </c>
      <c r="F25" s="272">
        <v>3487766</v>
      </c>
      <c r="G25" s="455">
        <f t="shared" si="1"/>
        <v>666785</v>
      </c>
      <c r="H25" s="272">
        <v>122927</v>
      </c>
      <c r="I25" s="272">
        <v>543858</v>
      </c>
      <c r="J25" s="272">
        <v>4230731</v>
      </c>
      <c r="K25" s="272">
        <v>2069684</v>
      </c>
      <c r="L25" s="272">
        <v>1393642</v>
      </c>
      <c r="M25" s="272">
        <v>736951</v>
      </c>
      <c r="N25" s="272">
        <v>401400</v>
      </c>
      <c r="O25" s="272">
        <v>958751</v>
      </c>
      <c r="P25" s="272">
        <v>641309</v>
      </c>
      <c r="Q25" s="272">
        <v>317442</v>
      </c>
      <c r="R25" s="272">
        <v>163572</v>
      </c>
      <c r="S25" s="272"/>
      <c r="T25" s="455">
        <f t="shared" si="2"/>
        <v>1312173</v>
      </c>
      <c r="U25" s="272">
        <v>450951</v>
      </c>
      <c r="V25" s="272"/>
      <c r="W25" s="272"/>
      <c r="X25" s="272">
        <v>697918</v>
      </c>
      <c r="Y25" s="272">
        <v>0</v>
      </c>
      <c r="Z25" s="272">
        <v>586</v>
      </c>
      <c r="AA25" s="272">
        <v>162718</v>
      </c>
      <c r="AB25" s="272">
        <v>369654</v>
      </c>
      <c r="AC25" s="272">
        <v>5136282</v>
      </c>
      <c r="AD25" s="272">
        <v>4679258</v>
      </c>
      <c r="AE25" s="272">
        <v>457024</v>
      </c>
      <c r="AF25" s="272">
        <v>13789</v>
      </c>
      <c r="AG25" s="272">
        <v>167020</v>
      </c>
      <c r="AH25" s="455">
        <f t="shared" si="3"/>
        <v>442947</v>
      </c>
      <c r="AI25" s="272">
        <v>362784</v>
      </c>
      <c r="AJ25" s="272">
        <v>80163</v>
      </c>
      <c r="AK25" s="272">
        <v>1734786</v>
      </c>
      <c r="AL25" s="455">
        <f t="shared" si="4"/>
        <v>1126878</v>
      </c>
      <c r="AM25" s="272">
        <v>704260</v>
      </c>
      <c r="AN25" s="272">
        <v>408212</v>
      </c>
      <c r="AO25" s="272">
        <v>0</v>
      </c>
      <c r="AP25" s="272">
        <v>14406</v>
      </c>
      <c r="AQ25" s="272">
        <v>142823</v>
      </c>
      <c r="AR25" s="272">
        <v>0</v>
      </c>
      <c r="AS25" s="272">
        <v>0</v>
      </c>
      <c r="AT25" s="272">
        <v>1044329</v>
      </c>
      <c r="AU25" s="272">
        <v>483703</v>
      </c>
      <c r="AV25" s="272">
        <v>143631</v>
      </c>
      <c r="AW25" s="272">
        <v>19366</v>
      </c>
      <c r="AX25" s="272">
        <v>560626</v>
      </c>
      <c r="AY25" s="272">
        <v>39900</v>
      </c>
      <c r="AZ25" s="272">
        <v>55366</v>
      </c>
      <c r="BA25" s="272">
        <v>2495</v>
      </c>
      <c r="BB25" s="272">
        <v>177749</v>
      </c>
      <c r="BC25" s="272">
        <v>0</v>
      </c>
      <c r="BD25" s="272">
        <v>0</v>
      </c>
      <c r="BE25" s="272">
        <v>0</v>
      </c>
      <c r="BF25" s="272">
        <v>0</v>
      </c>
      <c r="BG25" s="272">
        <v>0</v>
      </c>
      <c r="BH25" s="272">
        <v>32229</v>
      </c>
      <c r="BI25" s="272">
        <v>7762</v>
      </c>
      <c r="BJ25" s="272">
        <v>1273252</v>
      </c>
      <c r="BK25" s="272">
        <v>1076325</v>
      </c>
      <c r="BL25" s="272">
        <v>0</v>
      </c>
      <c r="BM25" s="272">
        <v>0</v>
      </c>
      <c r="BN25" s="272">
        <v>320600</v>
      </c>
      <c r="BO25" s="455">
        <f t="shared" si="5"/>
        <v>186800</v>
      </c>
      <c r="BP25" s="455">
        <f t="shared" si="6"/>
        <v>133800</v>
      </c>
      <c r="BQ25" s="272">
        <v>133800</v>
      </c>
      <c r="BR25" s="272">
        <v>0</v>
      </c>
      <c r="BS25" s="272">
        <v>0</v>
      </c>
      <c r="BT25" s="272">
        <v>0</v>
      </c>
      <c r="BU25" s="272">
        <v>22114839</v>
      </c>
      <c r="BV25" s="272"/>
      <c r="BW25" s="272">
        <v>4831888</v>
      </c>
      <c r="BX25" s="272">
        <v>3497677</v>
      </c>
      <c r="BY25" s="272">
        <v>296326</v>
      </c>
      <c r="BZ25" s="272">
        <v>130693</v>
      </c>
      <c r="CA25" s="272">
        <v>2767636</v>
      </c>
      <c r="CB25" s="272">
        <v>386090</v>
      </c>
      <c r="CC25" s="272">
        <v>419153</v>
      </c>
      <c r="CD25" s="272">
        <v>941444</v>
      </c>
      <c r="CE25" s="272">
        <v>925384</v>
      </c>
      <c r="CF25" s="272">
        <v>1500</v>
      </c>
      <c r="CG25" s="272">
        <v>93924</v>
      </c>
      <c r="CH25" s="272">
        <v>2049942</v>
      </c>
      <c r="CI25" s="272">
        <v>1388693</v>
      </c>
      <c r="CJ25" s="455">
        <f t="shared" si="7"/>
        <v>661249</v>
      </c>
      <c r="CK25" s="272">
        <v>2737103</v>
      </c>
      <c r="CL25" s="272">
        <v>1498832</v>
      </c>
      <c r="CM25" s="272">
        <v>171123</v>
      </c>
      <c r="CN25" s="272">
        <v>496248</v>
      </c>
      <c r="CO25" s="272">
        <v>162830</v>
      </c>
      <c r="CP25" s="272">
        <v>3812564</v>
      </c>
      <c r="CQ25" s="272">
        <v>2226381</v>
      </c>
      <c r="CR25" s="272">
        <v>510324</v>
      </c>
      <c r="CS25" s="272">
        <v>405808</v>
      </c>
      <c r="CT25" s="455">
        <f t="shared" si="8"/>
        <v>409358</v>
      </c>
      <c r="CU25" s="272">
        <v>342530</v>
      </c>
      <c r="CV25" s="272">
        <v>66828</v>
      </c>
      <c r="CW25" s="455">
        <f t="shared" si="9"/>
        <v>402398</v>
      </c>
      <c r="CX25" s="272">
        <v>339682</v>
      </c>
      <c r="CY25" s="272">
        <v>62716</v>
      </c>
      <c r="CZ25" s="455">
        <f t="shared" si="10"/>
        <v>0</v>
      </c>
      <c r="DA25" s="272">
        <v>0</v>
      </c>
      <c r="DB25" s="272">
        <v>0</v>
      </c>
      <c r="DC25" s="272">
        <v>1521989</v>
      </c>
      <c r="DD25" s="272">
        <v>314331</v>
      </c>
      <c r="DE25" s="272">
        <v>1200658</v>
      </c>
      <c r="DF25" s="272">
        <v>0</v>
      </c>
      <c r="DG25" s="272">
        <v>7000</v>
      </c>
      <c r="DH25" s="272">
        <v>497</v>
      </c>
      <c r="DI25" s="272">
        <v>196451</v>
      </c>
      <c r="DJ25" s="272">
        <v>16240</v>
      </c>
      <c r="DK25" s="272">
        <v>849</v>
      </c>
      <c r="DL25" s="272">
        <v>179362</v>
      </c>
      <c r="DM25" s="272">
        <v>0</v>
      </c>
      <c r="DN25" s="272">
        <v>0</v>
      </c>
      <c r="DO25" s="272">
        <v>0</v>
      </c>
      <c r="DP25" s="272">
        <v>0</v>
      </c>
      <c r="DQ25" s="272">
        <v>1069150</v>
      </c>
      <c r="DR25" s="272">
        <v>0</v>
      </c>
      <c r="DS25" s="272">
        <v>0</v>
      </c>
      <c r="DT25" s="272">
        <v>2681418</v>
      </c>
      <c r="DU25" s="272">
        <v>1370000</v>
      </c>
      <c r="DV25" s="455">
        <f t="shared" si="11"/>
        <v>0</v>
      </c>
      <c r="DW25" s="272">
        <v>0</v>
      </c>
      <c r="DX25" s="272">
        <v>0</v>
      </c>
      <c r="DY25" s="272">
        <v>0</v>
      </c>
      <c r="DZ25" s="272">
        <v>601158</v>
      </c>
      <c r="EA25" s="272">
        <v>313914</v>
      </c>
      <c r="EB25" s="272">
        <v>392093</v>
      </c>
      <c r="EC25" s="272">
        <v>0</v>
      </c>
      <c r="ED25" s="272">
        <v>21831468</v>
      </c>
      <c r="EF25" s="272">
        <v>283371</v>
      </c>
      <c r="EG25" s="272">
        <v>47371</v>
      </c>
      <c r="EH25" s="272">
        <v>236000</v>
      </c>
      <c r="EI25" s="272">
        <v>218238</v>
      </c>
      <c r="EJ25" s="272">
        <v>289467</v>
      </c>
      <c r="EL25" s="272">
        <v>79227</v>
      </c>
      <c r="EM25" s="272">
        <v>77292</v>
      </c>
      <c r="EN25" s="272"/>
      <c r="EO25" s="272">
        <v>9854</v>
      </c>
      <c r="EP25" s="455">
        <f t="shared" si="12"/>
        <v>412171</v>
      </c>
      <c r="EQ25" s="272">
        <v>16866561</v>
      </c>
      <c r="ER25" s="272">
        <v>-542036</v>
      </c>
      <c r="ES25" s="272">
        <v>4406206</v>
      </c>
      <c r="ET25" s="272">
        <v>3072604</v>
      </c>
      <c r="EU25" s="272">
        <v>943796</v>
      </c>
      <c r="EV25" s="272">
        <v>1985055</v>
      </c>
      <c r="EW25" s="455">
        <f t="shared" si="13"/>
        <v>1108333</v>
      </c>
      <c r="EX25" s="272">
        <v>1107836</v>
      </c>
      <c r="EY25" s="272">
        <v>41808</v>
      </c>
      <c r="EZ25" s="272">
        <v>1066028</v>
      </c>
      <c r="FA25" s="272">
        <v>497</v>
      </c>
      <c r="FB25" s="272"/>
      <c r="FC25" s="272">
        <v>2263235</v>
      </c>
      <c r="FD25" s="272">
        <v>3602140</v>
      </c>
      <c r="FE25" s="272">
        <v>2226381</v>
      </c>
      <c r="FF25" s="272">
        <v>2503131</v>
      </c>
      <c r="FG25" s="455">
        <f t="shared" si="14"/>
        <v>313330</v>
      </c>
      <c r="FH25" s="272">
        <v>17125226</v>
      </c>
      <c r="FI25" s="384">
        <f t="shared" si="15"/>
        <v>1.5</v>
      </c>
      <c r="FJ25" s="272">
        <v>15337069</v>
      </c>
      <c r="FK25" s="272"/>
      <c r="FL25" s="272">
        <v>8037542</v>
      </c>
      <c r="FM25" s="272">
        <v>12712726</v>
      </c>
      <c r="FN25" s="460">
        <v>0.65</v>
      </c>
      <c r="FO25" s="388">
        <v>91.5</v>
      </c>
      <c r="FP25" s="388">
        <v>28.1</v>
      </c>
      <c r="FQ25" s="388">
        <v>6.1</v>
      </c>
      <c r="FR25" s="388">
        <v>12.4</v>
      </c>
      <c r="FS25" s="388">
        <v>13.9</v>
      </c>
      <c r="FT25" s="388">
        <v>19.7</v>
      </c>
      <c r="FU25" s="388">
        <v>10.199999999999999</v>
      </c>
      <c r="FV25" s="388">
        <v>6.4</v>
      </c>
      <c r="FW25" s="272">
        <v>19511957</v>
      </c>
      <c r="FX25" s="384">
        <f t="shared" si="16"/>
        <v>127.2</v>
      </c>
      <c r="FY25" s="272">
        <v>7076816</v>
      </c>
      <c r="FZ25" s="272">
        <v>2318827</v>
      </c>
      <c r="GA25" s="272">
        <v>154846</v>
      </c>
      <c r="GB25" s="272">
        <v>4603143</v>
      </c>
      <c r="GC25" s="272"/>
      <c r="GD25" s="272">
        <v>2937979</v>
      </c>
      <c r="GE25" s="384">
        <f t="shared" si="17"/>
        <v>19.2</v>
      </c>
      <c r="GF25" s="388">
        <v>96.9</v>
      </c>
      <c r="GG25" s="388">
        <v>27.8</v>
      </c>
      <c r="GH25" s="388">
        <v>89.7</v>
      </c>
      <c r="GI25" s="272">
        <v>470</v>
      </c>
    </row>
    <row r="26" spans="2:191" x14ac:dyDescent="0.15">
      <c r="B26" s="89" t="s">
        <v>45</v>
      </c>
      <c r="C26" s="272">
        <v>13534770</v>
      </c>
      <c r="D26" s="455">
        <f t="shared" si="0"/>
        <v>5660000</v>
      </c>
      <c r="E26" s="272">
        <v>107604</v>
      </c>
      <c r="F26" s="272">
        <v>5552396</v>
      </c>
      <c r="G26" s="455">
        <f t="shared" si="1"/>
        <v>758128</v>
      </c>
      <c r="H26" s="272">
        <v>167158</v>
      </c>
      <c r="I26" s="272">
        <v>590970</v>
      </c>
      <c r="J26" s="272">
        <v>5157853</v>
      </c>
      <c r="K26" s="272">
        <v>2666354</v>
      </c>
      <c r="L26" s="272">
        <v>1961499</v>
      </c>
      <c r="M26" s="272">
        <v>490630</v>
      </c>
      <c r="N26" s="272">
        <v>597131</v>
      </c>
      <c r="O26" s="272">
        <v>1261155</v>
      </c>
      <c r="P26" s="272">
        <v>843330</v>
      </c>
      <c r="Q26" s="272">
        <v>417825</v>
      </c>
      <c r="R26" s="272">
        <v>232946</v>
      </c>
      <c r="S26" s="272"/>
      <c r="T26" s="455">
        <f t="shared" si="2"/>
        <v>1912753</v>
      </c>
      <c r="U26" s="272">
        <v>715283</v>
      </c>
      <c r="V26" s="272"/>
      <c r="W26" s="272"/>
      <c r="X26" s="272">
        <v>965800</v>
      </c>
      <c r="Y26" s="272">
        <v>0</v>
      </c>
      <c r="Z26" s="272">
        <v>0</v>
      </c>
      <c r="AA26" s="272">
        <v>231670</v>
      </c>
      <c r="AB26" s="272">
        <v>568586</v>
      </c>
      <c r="AC26" s="272">
        <v>7392427</v>
      </c>
      <c r="AD26" s="272">
        <v>6952373</v>
      </c>
      <c r="AE26" s="272">
        <v>440054</v>
      </c>
      <c r="AF26" s="272">
        <v>21499</v>
      </c>
      <c r="AG26" s="272">
        <v>190302</v>
      </c>
      <c r="AH26" s="455">
        <f t="shared" si="3"/>
        <v>547655</v>
      </c>
      <c r="AI26" s="272">
        <v>505937</v>
      </c>
      <c r="AJ26" s="272">
        <v>41718</v>
      </c>
      <c r="AK26" s="272">
        <v>7042584</v>
      </c>
      <c r="AL26" s="455">
        <f t="shared" si="4"/>
        <v>2019287</v>
      </c>
      <c r="AM26" s="272">
        <v>1661662</v>
      </c>
      <c r="AN26" s="272">
        <v>351011</v>
      </c>
      <c r="AO26" s="272">
        <v>0</v>
      </c>
      <c r="AP26" s="272">
        <v>6614</v>
      </c>
      <c r="AQ26" s="272">
        <v>491865</v>
      </c>
      <c r="AR26" s="272">
        <v>0</v>
      </c>
      <c r="AS26" s="272">
        <v>0</v>
      </c>
      <c r="AT26" s="272">
        <v>2448523</v>
      </c>
      <c r="AU26" s="272">
        <v>1383767</v>
      </c>
      <c r="AV26" s="272">
        <v>191511</v>
      </c>
      <c r="AW26" s="272">
        <v>45599</v>
      </c>
      <c r="AX26" s="272">
        <v>1064756</v>
      </c>
      <c r="AY26" s="272">
        <v>213229</v>
      </c>
      <c r="AZ26" s="272">
        <v>1188882</v>
      </c>
      <c r="BA26" s="272">
        <v>1171095</v>
      </c>
      <c r="BB26" s="272">
        <v>94057</v>
      </c>
      <c r="BC26" s="272">
        <v>1363366</v>
      </c>
      <c r="BD26" s="272">
        <v>380000</v>
      </c>
      <c r="BE26" s="272">
        <v>0</v>
      </c>
      <c r="BF26" s="272">
        <v>537521</v>
      </c>
      <c r="BG26" s="272">
        <v>0</v>
      </c>
      <c r="BH26" s="272">
        <v>409426</v>
      </c>
      <c r="BI26" s="272">
        <v>320050</v>
      </c>
      <c r="BJ26" s="272">
        <v>996891</v>
      </c>
      <c r="BK26" s="272">
        <v>22806</v>
      </c>
      <c r="BL26" s="272">
        <v>0</v>
      </c>
      <c r="BM26" s="272">
        <v>0</v>
      </c>
      <c r="BN26" s="272">
        <v>8347200</v>
      </c>
      <c r="BO26" s="455">
        <f t="shared" si="5"/>
        <v>8142200</v>
      </c>
      <c r="BP26" s="455">
        <f t="shared" si="6"/>
        <v>205000</v>
      </c>
      <c r="BQ26" s="272">
        <v>205000</v>
      </c>
      <c r="BR26" s="272">
        <v>0</v>
      </c>
      <c r="BS26" s="272">
        <v>0</v>
      </c>
      <c r="BT26" s="272">
        <v>0</v>
      </c>
      <c r="BU26" s="272">
        <v>46291867</v>
      </c>
      <c r="BV26" s="272"/>
      <c r="BW26" s="272">
        <v>7319102</v>
      </c>
      <c r="BX26" s="272">
        <v>5450305</v>
      </c>
      <c r="BY26" s="272">
        <v>529652</v>
      </c>
      <c r="BZ26" s="272">
        <v>122179</v>
      </c>
      <c r="CA26" s="272">
        <v>5486452</v>
      </c>
      <c r="CB26" s="272">
        <v>957621</v>
      </c>
      <c r="CC26" s="272">
        <v>798388</v>
      </c>
      <c r="CD26" s="272">
        <v>1435782</v>
      </c>
      <c r="CE26" s="272">
        <v>2195989</v>
      </c>
      <c r="CF26" s="272">
        <v>0</v>
      </c>
      <c r="CG26" s="272">
        <v>98537</v>
      </c>
      <c r="CH26" s="272">
        <v>3328148</v>
      </c>
      <c r="CI26" s="272">
        <v>2062366</v>
      </c>
      <c r="CJ26" s="455">
        <f t="shared" si="7"/>
        <v>1265782</v>
      </c>
      <c r="CK26" s="272">
        <v>3740224</v>
      </c>
      <c r="CL26" s="272">
        <v>1921040</v>
      </c>
      <c r="CM26" s="272">
        <v>413384</v>
      </c>
      <c r="CN26" s="272">
        <v>718508</v>
      </c>
      <c r="CO26" s="272">
        <v>178129</v>
      </c>
      <c r="CP26" s="272">
        <v>4351523</v>
      </c>
      <c r="CQ26" s="272">
        <v>2554947</v>
      </c>
      <c r="CR26" s="272">
        <v>1416710</v>
      </c>
      <c r="CS26" s="272">
        <v>1338304</v>
      </c>
      <c r="CT26" s="455">
        <f t="shared" si="8"/>
        <v>16246</v>
      </c>
      <c r="CU26" s="272">
        <v>5499</v>
      </c>
      <c r="CV26" s="272">
        <v>10747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17562936</v>
      </c>
      <c r="DD26" s="272">
        <v>1190531</v>
      </c>
      <c r="DE26" s="272">
        <v>12261457</v>
      </c>
      <c r="DF26" s="272">
        <v>47516</v>
      </c>
      <c r="DG26" s="272">
        <v>4063432</v>
      </c>
      <c r="DH26" s="272">
        <v>0</v>
      </c>
      <c r="DI26" s="272">
        <v>470427</v>
      </c>
      <c r="DJ26" s="272">
        <v>412531</v>
      </c>
      <c r="DK26" s="272">
        <v>514</v>
      </c>
      <c r="DL26" s="272">
        <v>57382</v>
      </c>
      <c r="DM26" s="272">
        <v>15200</v>
      </c>
      <c r="DN26" s="272">
        <v>0</v>
      </c>
      <c r="DO26" s="272">
        <v>0</v>
      </c>
      <c r="DP26" s="272">
        <v>0</v>
      </c>
      <c r="DQ26" s="272">
        <v>0</v>
      </c>
      <c r="DR26" s="272">
        <v>0</v>
      </c>
      <c r="DS26" s="272">
        <v>0</v>
      </c>
      <c r="DT26" s="272">
        <v>3582423</v>
      </c>
      <c r="DU26" s="272">
        <v>1572536</v>
      </c>
      <c r="DV26" s="455">
        <f t="shared" si="11"/>
        <v>0</v>
      </c>
      <c r="DW26" s="272">
        <v>0</v>
      </c>
      <c r="DX26" s="272">
        <v>0</v>
      </c>
      <c r="DY26" s="272">
        <v>0</v>
      </c>
      <c r="DZ26" s="272">
        <v>920646</v>
      </c>
      <c r="EA26" s="272">
        <v>411667</v>
      </c>
      <c r="EB26" s="272">
        <v>557282</v>
      </c>
      <c r="EC26" s="272">
        <v>0</v>
      </c>
      <c r="ED26" s="272">
        <v>46034564</v>
      </c>
      <c r="EF26" s="272">
        <v>257303</v>
      </c>
      <c r="EG26" s="272">
        <v>215489</v>
      </c>
      <c r="EH26" s="272">
        <v>41814</v>
      </c>
      <c r="EI26" s="272">
        <v>-278236</v>
      </c>
      <c r="EJ26" s="272">
        <v>-245705</v>
      </c>
      <c r="EL26" s="272">
        <v>119246</v>
      </c>
      <c r="EM26" s="272">
        <v>120450</v>
      </c>
      <c r="EN26" s="272">
        <v>575845</v>
      </c>
      <c r="EO26" s="272">
        <v>194117</v>
      </c>
      <c r="EP26" s="455">
        <f t="shared" si="12"/>
        <v>605614</v>
      </c>
      <c r="EQ26" s="272">
        <v>23662981</v>
      </c>
      <c r="ER26" s="272">
        <v>-1559077</v>
      </c>
      <c r="ES26" s="272">
        <v>6668506</v>
      </c>
      <c r="ET26" s="272">
        <v>4899046</v>
      </c>
      <c r="EU26" s="272">
        <v>1960336</v>
      </c>
      <c r="EV26" s="272">
        <v>3084232</v>
      </c>
      <c r="EW26" s="455">
        <f t="shared" si="13"/>
        <v>2284904</v>
      </c>
      <c r="EX26" s="272">
        <v>2284904</v>
      </c>
      <c r="EY26" s="272">
        <v>204667</v>
      </c>
      <c r="EZ26" s="272">
        <v>2069946</v>
      </c>
      <c r="FA26" s="272">
        <v>0</v>
      </c>
      <c r="FB26" s="272"/>
      <c r="FC26" s="272">
        <v>3070686</v>
      </c>
      <c r="FD26" s="272">
        <v>4149416</v>
      </c>
      <c r="FE26" s="272">
        <v>2554947</v>
      </c>
      <c r="FF26" s="272">
        <v>3358600</v>
      </c>
      <c r="FG26" s="455">
        <f t="shared" si="14"/>
        <v>388075</v>
      </c>
      <c r="FH26" s="272">
        <v>24964755</v>
      </c>
      <c r="FI26" s="384">
        <f t="shared" si="15"/>
        <v>0.2</v>
      </c>
      <c r="FJ26" s="272">
        <v>22128968</v>
      </c>
      <c r="FK26" s="272"/>
      <c r="FL26" s="272">
        <v>11445264</v>
      </c>
      <c r="FM26" s="272">
        <v>18392788</v>
      </c>
      <c r="FN26" s="460">
        <v>0.63900000000000001</v>
      </c>
      <c r="FO26" s="388">
        <v>93.2</v>
      </c>
      <c r="FP26" s="388">
        <v>29.8</v>
      </c>
      <c r="FQ26" s="388">
        <v>8.9</v>
      </c>
      <c r="FR26" s="388">
        <v>14</v>
      </c>
      <c r="FS26" s="388">
        <v>13</v>
      </c>
      <c r="FT26" s="388">
        <v>17.600000000000001</v>
      </c>
      <c r="FU26" s="388">
        <v>9.3000000000000007</v>
      </c>
      <c r="FV26" s="388">
        <v>7.8</v>
      </c>
      <c r="FW26" s="272">
        <v>48857420</v>
      </c>
      <c r="FX26" s="384">
        <f t="shared" si="16"/>
        <v>220.8</v>
      </c>
      <c r="FY26" s="272">
        <v>1588433</v>
      </c>
      <c r="FZ26" s="272">
        <v>291146</v>
      </c>
      <c r="GA26" s="272">
        <v>138477</v>
      </c>
      <c r="GB26" s="272">
        <v>1158810</v>
      </c>
      <c r="GC26" s="272"/>
      <c r="GD26" s="272">
        <v>9376671</v>
      </c>
      <c r="GE26" s="384">
        <f t="shared" si="17"/>
        <v>42.4</v>
      </c>
      <c r="GF26" s="388">
        <v>98.1</v>
      </c>
      <c r="GG26" s="388">
        <v>28</v>
      </c>
      <c r="GH26" s="388">
        <v>93.9</v>
      </c>
      <c r="GI26" s="272">
        <v>722</v>
      </c>
    </row>
    <row r="27" spans="2:191" x14ac:dyDescent="0.15">
      <c r="B27" s="89" t="s">
        <v>47</v>
      </c>
      <c r="C27" s="272">
        <v>22481288</v>
      </c>
      <c r="D27" s="455">
        <f t="shared" si="0"/>
        <v>5356229</v>
      </c>
      <c r="E27" s="272">
        <v>126821</v>
      </c>
      <c r="F27" s="272">
        <v>5229408</v>
      </c>
      <c r="G27" s="455">
        <f t="shared" si="1"/>
        <v>3040767</v>
      </c>
      <c r="H27" s="272">
        <v>413507</v>
      </c>
      <c r="I27" s="272">
        <v>2627260</v>
      </c>
      <c r="J27" s="272">
        <v>10585229</v>
      </c>
      <c r="K27" s="272">
        <v>5789642</v>
      </c>
      <c r="L27" s="272">
        <v>3199942</v>
      </c>
      <c r="M27" s="272">
        <v>1486063</v>
      </c>
      <c r="N27" s="272">
        <v>1121241</v>
      </c>
      <c r="O27" s="272">
        <v>2296432</v>
      </c>
      <c r="P27" s="272">
        <v>1576406</v>
      </c>
      <c r="Q27" s="272">
        <v>720026</v>
      </c>
      <c r="R27" s="272">
        <v>249545</v>
      </c>
      <c r="S27" s="272"/>
      <c r="T27" s="455">
        <f t="shared" si="2"/>
        <v>2476527</v>
      </c>
      <c r="U27" s="272">
        <v>736994</v>
      </c>
      <c r="V27" s="272"/>
      <c r="W27" s="272"/>
      <c r="X27" s="272">
        <v>1489404</v>
      </c>
      <c r="Y27" s="272">
        <v>0</v>
      </c>
      <c r="Z27" s="272">
        <v>2140</v>
      </c>
      <c r="AA27" s="272">
        <v>247989</v>
      </c>
      <c r="AB27" s="272">
        <v>691832</v>
      </c>
      <c r="AC27" s="272">
        <v>3909697</v>
      </c>
      <c r="AD27" s="272">
        <v>3671443</v>
      </c>
      <c r="AE27" s="272">
        <v>238254</v>
      </c>
      <c r="AF27" s="272">
        <v>24375</v>
      </c>
      <c r="AG27" s="272">
        <v>248003</v>
      </c>
      <c r="AH27" s="455">
        <f t="shared" si="3"/>
        <v>641928</v>
      </c>
      <c r="AI27" s="272">
        <v>489186</v>
      </c>
      <c r="AJ27" s="272">
        <v>152742</v>
      </c>
      <c r="AK27" s="272">
        <v>7568313</v>
      </c>
      <c r="AL27" s="455">
        <f t="shared" si="4"/>
        <v>4162686</v>
      </c>
      <c r="AM27" s="272">
        <v>3741408</v>
      </c>
      <c r="AN27" s="272">
        <v>389654</v>
      </c>
      <c r="AO27" s="272">
        <v>0</v>
      </c>
      <c r="AP27" s="272">
        <v>31624</v>
      </c>
      <c r="AQ27" s="272">
        <v>2187452</v>
      </c>
      <c r="AR27" s="272">
        <v>0</v>
      </c>
      <c r="AS27" s="272">
        <v>0</v>
      </c>
      <c r="AT27" s="272">
        <v>1813987</v>
      </c>
      <c r="AU27" s="272">
        <v>844648</v>
      </c>
      <c r="AV27" s="272">
        <v>195713</v>
      </c>
      <c r="AW27" s="272">
        <v>296</v>
      </c>
      <c r="AX27" s="272">
        <v>969339</v>
      </c>
      <c r="AY27" s="272">
        <v>139825</v>
      </c>
      <c r="AZ27" s="272">
        <v>93214</v>
      </c>
      <c r="BA27" s="272">
        <v>27285</v>
      </c>
      <c r="BB27" s="272">
        <v>28540</v>
      </c>
      <c r="BC27" s="272">
        <v>1512289</v>
      </c>
      <c r="BD27" s="272">
        <v>700000</v>
      </c>
      <c r="BE27" s="272">
        <v>0</v>
      </c>
      <c r="BF27" s="272">
        <v>812289</v>
      </c>
      <c r="BG27" s="272">
        <v>0</v>
      </c>
      <c r="BH27" s="272">
        <v>737045</v>
      </c>
      <c r="BI27" s="272">
        <v>640638</v>
      </c>
      <c r="BJ27" s="272">
        <v>235515</v>
      </c>
      <c r="BK27" s="272">
        <v>101089</v>
      </c>
      <c r="BL27" s="272">
        <v>0</v>
      </c>
      <c r="BM27" s="272">
        <v>0</v>
      </c>
      <c r="BN27" s="272">
        <v>2967400</v>
      </c>
      <c r="BO27" s="455">
        <f t="shared" si="5"/>
        <v>2706000</v>
      </c>
      <c r="BP27" s="455">
        <f t="shared" si="6"/>
        <v>261400</v>
      </c>
      <c r="BQ27" s="272">
        <v>261400</v>
      </c>
      <c r="BR27" s="272">
        <v>0</v>
      </c>
      <c r="BS27" s="272">
        <v>0</v>
      </c>
      <c r="BT27" s="272">
        <v>0</v>
      </c>
      <c r="BU27" s="272">
        <v>45679498</v>
      </c>
      <c r="BV27" s="272"/>
      <c r="BW27" s="272">
        <v>13165636</v>
      </c>
      <c r="BX27" s="272">
        <v>9558997</v>
      </c>
      <c r="BY27" s="272">
        <v>1360572</v>
      </c>
      <c r="BZ27" s="272">
        <v>159599</v>
      </c>
      <c r="CA27" s="272">
        <v>8132694</v>
      </c>
      <c r="CB27" s="272">
        <v>868441</v>
      </c>
      <c r="CC27" s="272">
        <v>457495</v>
      </c>
      <c r="CD27" s="272">
        <v>1613400</v>
      </c>
      <c r="CE27" s="272">
        <v>5047729</v>
      </c>
      <c r="CF27" s="272">
        <v>330</v>
      </c>
      <c r="CG27" s="272">
        <v>144529</v>
      </c>
      <c r="CH27" s="272">
        <v>3635592</v>
      </c>
      <c r="CI27" s="272">
        <v>2364715</v>
      </c>
      <c r="CJ27" s="455">
        <f t="shared" si="7"/>
        <v>1270877</v>
      </c>
      <c r="CK27" s="272">
        <v>4168193</v>
      </c>
      <c r="CL27" s="272">
        <v>2356346</v>
      </c>
      <c r="CM27" s="272">
        <v>118209</v>
      </c>
      <c r="CN27" s="272">
        <v>1055184</v>
      </c>
      <c r="CO27" s="272">
        <v>428588</v>
      </c>
      <c r="CP27" s="272">
        <v>3560123</v>
      </c>
      <c r="CQ27" s="272">
        <v>2137578</v>
      </c>
      <c r="CR27" s="272">
        <v>641765</v>
      </c>
      <c r="CS27" s="272">
        <v>500852</v>
      </c>
      <c r="CT27" s="455">
        <f t="shared" si="8"/>
        <v>26181</v>
      </c>
      <c r="CU27" s="272">
        <v>15612</v>
      </c>
      <c r="CV27" s="272">
        <v>10569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6903505</v>
      </c>
      <c r="DD27" s="272">
        <v>4874496</v>
      </c>
      <c r="DE27" s="272">
        <v>2029009</v>
      </c>
      <c r="DF27" s="272">
        <v>0</v>
      </c>
      <c r="DG27" s="272">
        <v>0</v>
      </c>
      <c r="DH27" s="272">
        <v>0</v>
      </c>
      <c r="DI27" s="272">
        <v>491503</v>
      </c>
      <c r="DJ27" s="272">
        <v>338248</v>
      </c>
      <c r="DK27" s="272">
        <v>12357</v>
      </c>
      <c r="DL27" s="272">
        <v>140898</v>
      </c>
      <c r="DM27" s="272">
        <v>0</v>
      </c>
      <c r="DN27" s="272">
        <v>0</v>
      </c>
      <c r="DO27" s="272">
        <v>0</v>
      </c>
      <c r="DP27" s="272">
        <v>0</v>
      </c>
      <c r="DQ27" s="272">
        <v>101000</v>
      </c>
      <c r="DR27" s="272">
        <v>0</v>
      </c>
      <c r="DS27" s="272">
        <v>0</v>
      </c>
      <c r="DT27" s="272">
        <v>4178905</v>
      </c>
      <c r="DU27" s="272">
        <v>2076000</v>
      </c>
      <c r="DV27" s="455">
        <f t="shared" si="11"/>
        <v>0</v>
      </c>
      <c r="DW27" s="272">
        <v>0</v>
      </c>
      <c r="DX27" s="272">
        <v>0</v>
      </c>
      <c r="DY27" s="272">
        <v>0</v>
      </c>
      <c r="DZ27" s="272">
        <v>1339148</v>
      </c>
      <c r="EA27" s="272">
        <v>399074</v>
      </c>
      <c r="EB27" s="272">
        <v>364683</v>
      </c>
      <c r="EC27" s="272">
        <v>0</v>
      </c>
      <c r="ED27" s="272">
        <v>44765739</v>
      </c>
      <c r="EF27" s="272">
        <v>913759</v>
      </c>
      <c r="EG27" s="272">
        <v>107330</v>
      </c>
      <c r="EH27" s="272">
        <v>806429</v>
      </c>
      <c r="EI27" s="272">
        <v>165791</v>
      </c>
      <c r="EJ27" s="272">
        <v>-195961</v>
      </c>
      <c r="EL27" s="272">
        <v>135648</v>
      </c>
      <c r="EM27" s="272">
        <v>134885</v>
      </c>
      <c r="EN27" s="272">
        <v>700000</v>
      </c>
      <c r="EO27" s="272">
        <v>28430</v>
      </c>
      <c r="EP27" s="455">
        <f t="shared" si="12"/>
        <v>809932</v>
      </c>
      <c r="EQ27" s="272">
        <v>29833264</v>
      </c>
      <c r="ER27" s="272">
        <v>-1775387</v>
      </c>
      <c r="ES27" s="272">
        <v>12303984</v>
      </c>
      <c r="ET27" s="272">
        <v>8775210</v>
      </c>
      <c r="EU27" s="272">
        <v>2395395</v>
      </c>
      <c r="EV27" s="272">
        <v>3592297</v>
      </c>
      <c r="EW27" s="455">
        <f t="shared" si="13"/>
        <v>1050899</v>
      </c>
      <c r="EX27" s="272">
        <v>1050899</v>
      </c>
      <c r="EY27" s="272">
        <v>141793</v>
      </c>
      <c r="EZ27" s="272">
        <v>909106</v>
      </c>
      <c r="FA27" s="272">
        <v>0</v>
      </c>
      <c r="FB27" s="272"/>
      <c r="FC27" s="272">
        <v>3483342</v>
      </c>
      <c r="FD27" s="272">
        <v>3344317</v>
      </c>
      <c r="FE27" s="272">
        <v>2137578</v>
      </c>
      <c r="FF27" s="272">
        <v>3767842</v>
      </c>
      <c r="FG27" s="455">
        <f t="shared" si="14"/>
        <v>845212</v>
      </c>
      <c r="FH27" s="272">
        <v>30783288</v>
      </c>
      <c r="FI27" s="384">
        <f t="shared" si="15"/>
        <v>3</v>
      </c>
      <c r="FJ27" s="272">
        <v>26774690</v>
      </c>
      <c r="FK27" s="272"/>
      <c r="FL27" s="272">
        <v>17396118</v>
      </c>
      <c r="FM27" s="272">
        <v>21094344</v>
      </c>
      <c r="FN27" s="460">
        <v>0.871</v>
      </c>
      <c r="FO27" s="388">
        <v>101.9</v>
      </c>
      <c r="FP27" s="388">
        <v>44.5</v>
      </c>
      <c r="FQ27" s="388">
        <v>8.6999999999999993</v>
      </c>
      <c r="FR27" s="388">
        <v>13.1</v>
      </c>
      <c r="FS27" s="388">
        <v>12.2</v>
      </c>
      <c r="FT27" s="388">
        <v>11</v>
      </c>
      <c r="FU27" s="388">
        <v>10.8</v>
      </c>
      <c r="FV27" s="388">
        <v>8.8000000000000007</v>
      </c>
      <c r="FW27" s="272">
        <v>39227333</v>
      </c>
      <c r="FX27" s="384">
        <f t="shared" si="16"/>
        <v>146.5</v>
      </c>
      <c r="FY27" s="272">
        <v>14308440</v>
      </c>
      <c r="FZ27" s="272">
        <v>4084488</v>
      </c>
      <c r="GA27" s="272">
        <v>1176030</v>
      </c>
      <c r="GB27" s="272">
        <v>9047922</v>
      </c>
      <c r="GC27" s="272"/>
      <c r="GD27" s="272">
        <v>14176296</v>
      </c>
      <c r="GE27" s="384">
        <f t="shared" si="17"/>
        <v>52.9</v>
      </c>
      <c r="GF27" s="388">
        <v>97.1</v>
      </c>
      <c r="GG27" s="388">
        <v>17.2</v>
      </c>
      <c r="GH27" s="388">
        <v>89.4</v>
      </c>
      <c r="GI27" s="272">
        <v>1213</v>
      </c>
    </row>
    <row r="28" spans="2:191" x14ac:dyDescent="0.15">
      <c r="B28" s="89" t="s">
        <v>49</v>
      </c>
      <c r="C28" s="272">
        <v>18977826</v>
      </c>
      <c r="D28" s="455">
        <f t="shared" si="0"/>
        <v>4062279</v>
      </c>
      <c r="E28" s="272">
        <v>86191</v>
      </c>
      <c r="F28" s="272">
        <v>3976088</v>
      </c>
      <c r="G28" s="455">
        <f t="shared" si="1"/>
        <v>2299946</v>
      </c>
      <c r="H28" s="272">
        <v>343908</v>
      </c>
      <c r="I28" s="272">
        <v>1956038</v>
      </c>
      <c r="J28" s="272">
        <v>9932307</v>
      </c>
      <c r="K28" s="272">
        <v>5198476</v>
      </c>
      <c r="L28" s="272">
        <v>2452293</v>
      </c>
      <c r="M28" s="272">
        <v>2182879</v>
      </c>
      <c r="N28" s="272">
        <v>684717</v>
      </c>
      <c r="O28" s="272">
        <v>1938463</v>
      </c>
      <c r="P28" s="272">
        <v>1382178</v>
      </c>
      <c r="Q28" s="272">
        <v>556285</v>
      </c>
      <c r="R28" s="272">
        <v>179427</v>
      </c>
      <c r="S28" s="272"/>
      <c r="T28" s="455">
        <f t="shared" si="2"/>
        <v>1740336</v>
      </c>
      <c r="U28" s="272">
        <v>544102</v>
      </c>
      <c r="V28" s="272"/>
      <c r="W28" s="272"/>
      <c r="X28" s="272">
        <v>1013047</v>
      </c>
      <c r="Y28" s="272">
        <v>4483</v>
      </c>
      <c r="Z28" s="272">
        <v>429</v>
      </c>
      <c r="AA28" s="272">
        <v>178275</v>
      </c>
      <c r="AB28" s="272">
        <v>524596</v>
      </c>
      <c r="AC28" s="272">
        <v>1116338</v>
      </c>
      <c r="AD28" s="272">
        <v>686303</v>
      </c>
      <c r="AE28" s="272">
        <v>430035</v>
      </c>
      <c r="AF28" s="272">
        <v>17951</v>
      </c>
      <c r="AG28" s="272">
        <v>188752</v>
      </c>
      <c r="AH28" s="455">
        <f t="shared" si="3"/>
        <v>761358</v>
      </c>
      <c r="AI28" s="272">
        <v>585431</v>
      </c>
      <c r="AJ28" s="272">
        <v>175927</v>
      </c>
      <c r="AK28" s="272">
        <v>2432096</v>
      </c>
      <c r="AL28" s="455">
        <f t="shared" si="4"/>
        <v>1162378</v>
      </c>
      <c r="AM28" s="272">
        <v>859450</v>
      </c>
      <c r="AN28" s="272">
        <v>293907</v>
      </c>
      <c r="AO28" s="272">
        <v>0</v>
      </c>
      <c r="AP28" s="272">
        <v>9021</v>
      </c>
      <c r="AQ28" s="272">
        <v>556485</v>
      </c>
      <c r="AR28" s="272">
        <v>0</v>
      </c>
      <c r="AS28" s="272">
        <v>0</v>
      </c>
      <c r="AT28" s="272">
        <v>1300444</v>
      </c>
      <c r="AU28" s="272">
        <v>770723</v>
      </c>
      <c r="AV28" s="272">
        <v>171725</v>
      </c>
      <c r="AW28" s="272">
        <v>0</v>
      </c>
      <c r="AX28" s="272">
        <v>529721</v>
      </c>
      <c r="AY28" s="272">
        <v>48808</v>
      </c>
      <c r="AZ28" s="272">
        <v>24799</v>
      </c>
      <c r="BA28" s="272">
        <v>3438</v>
      </c>
      <c r="BB28" s="272">
        <v>115853</v>
      </c>
      <c r="BC28" s="272">
        <v>224839</v>
      </c>
      <c r="BD28" s="272">
        <v>200000</v>
      </c>
      <c r="BE28" s="272">
        <v>0</v>
      </c>
      <c r="BF28" s="272">
        <v>12925</v>
      </c>
      <c r="BG28" s="272">
        <v>0</v>
      </c>
      <c r="BH28" s="272">
        <v>287950</v>
      </c>
      <c r="BI28" s="272">
        <v>250703</v>
      </c>
      <c r="BJ28" s="272">
        <v>367022</v>
      </c>
      <c r="BK28" s="272">
        <v>146536</v>
      </c>
      <c r="BL28" s="272">
        <v>0</v>
      </c>
      <c r="BM28" s="272">
        <v>0</v>
      </c>
      <c r="BN28" s="272">
        <v>2620400</v>
      </c>
      <c r="BO28" s="455">
        <f t="shared" si="5"/>
        <v>2427200</v>
      </c>
      <c r="BP28" s="455">
        <f t="shared" si="6"/>
        <v>193200</v>
      </c>
      <c r="BQ28" s="272">
        <v>193200</v>
      </c>
      <c r="BR28" s="272">
        <v>0</v>
      </c>
      <c r="BS28" s="272">
        <v>0</v>
      </c>
      <c r="BT28" s="272">
        <v>0</v>
      </c>
      <c r="BU28" s="272">
        <v>30879987</v>
      </c>
      <c r="BV28" s="272"/>
      <c r="BW28" s="272">
        <v>8062855</v>
      </c>
      <c r="BX28" s="272">
        <v>5998910</v>
      </c>
      <c r="BY28" s="272">
        <v>501457</v>
      </c>
      <c r="BZ28" s="272">
        <v>168914</v>
      </c>
      <c r="CA28" s="272">
        <v>3131164</v>
      </c>
      <c r="CB28" s="272">
        <v>361462</v>
      </c>
      <c r="CC28" s="272">
        <v>303918</v>
      </c>
      <c r="CD28" s="272">
        <v>1222001</v>
      </c>
      <c r="CE28" s="272">
        <v>1168001</v>
      </c>
      <c r="CF28" s="272">
        <v>0</v>
      </c>
      <c r="CG28" s="272">
        <v>75782</v>
      </c>
      <c r="CH28" s="272">
        <v>4248662</v>
      </c>
      <c r="CI28" s="272">
        <v>2723781</v>
      </c>
      <c r="CJ28" s="455">
        <f t="shared" si="7"/>
        <v>1524881</v>
      </c>
      <c r="CK28" s="272">
        <v>4099087</v>
      </c>
      <c r="CL28" s="272">
        <v>2368134</v>
      </c>
      <c r="CM28" s="272">
        <v>248735</v>
      </c>
      <c r="CN28" s="272">
        <v>821083</v>
      </c>
      <c r="CO28" s="272">
        <v>427553</v>
      </c>
      <c r="CP28" s="272">
        <v>1427371</v>
      </c>
      <c r="CQ28" s="272">
        <v>7013</v>
      </c>
      <c r="CR28" s="272">
        <v>618337</v>
      </c>
      <c r="CS28" s="272">
        <v>328476</v>
      </c>
      <c r="CT28" s="455">
        <f t="shared" si="8"/>
        <v>28498</v>
      </c>
      <c r="CU28" s="272">
        <v>3995</v>
      </c>
      <c r="CV28" s="272">
        <v>24503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3712693</v>
      </c>
      <c r="DD28" s="272">
        <v>1083837</v>
      </c>
      <c r="DE28" s="272">
        <v>2403320</v>
      </c>
      <c r="DF28" s="272">
        <v>0</v>
      </c>
      <c r="DG28" s="272">
        <v>225536</v>
      </c>
      <c r="DH28" s="272">
        <v>0</v>
      </c>
      <c r="DI28" s="272">
        <v>216031</v>
      </c>
      <c r="DJ28" s="272">
        <v>95460</v>
      </c>
      <c r="DK28" s="272">
        <v>3916</v>
      </c>
      <c r="DL28" s="272">
        <v>116655</v>
      </c>
      <c r="DM28" s="272">
        <v>20000</v>
      </c>
      <c r="DN28" s="272">
        <v>20000</v>
      </c>
      <c r="DO28" s="272">
        <v>20000</v>
      </c>
      <c r="DP28" s="272">
        <v>0</v>
      </c>
      <c r="DQ28" s="272">
        <v>142160</v>
      </c>
      <c r="DR28" s="272">
        <v>0</v>
      </c>
      <c r="DS28" s="272">
        <v>0</v>
      </c>
      <c r="DT28" s="272">
        <v>5127410</v>
      </c>
      <c r="DU28" s="272">
        <v>3465216</v>
      </c>
      <c r="DV28" s="455">
        <f t="shared" si="11"/>
        <v>0</v>
      </c>
      <c r="DW28" s="272">
        <v>0</v>
      </c>
      <c r="DX28" s="272">
        <v>0</v>
      </c>
      <c r="DY28" s="272">
        <v>172131</v>
      </c>
      <c r="DZ28" s="272">
        <v>810989</v>
      </c>
      <c r="EA28" s="272">
        <v>249803</v>
      </c>
      <c r="EB28" s="272">
        <v>358510</v>
      </c>
      <c r="EC28" s="272">
        <v>0</v>
      </c>
      <c r="ED28" s="272">
        <v>30614986</v>
      </c>
      <c r="EF28" s="272">
        <v>265001</v>
      </c>
      <c r="EG28" s="272">
        <v>93591</v>
      </c>
      <c r="EH28" s="272">
        <v>171410</v>
      </c>
      <c r="EI28" s="272">
        <v>-79293</v>
      </c>
      <c r="EJ28" s="272">
        <v>-183833</v>
      </c>
      <c r="EL28" s="272">
        <v>85065</v>
      </c>
      <c r="EM28" s="272">
        <v>84199</v>
      </c>
      <c r="EN28" s="272">
        <v>211914</v>
      </c>
      <c r="EO28" s="272">
        <v>4200</v>
      </c>
      <c r="EP28" s="455">
        <f t="shared" si="12"/>
        <v>693748</v>
      </c>
      <c r="EQ28" s="272">
        <v>22556474</v>
      </c>
      <c r="ER28" s="272">
        <v>-1085111</v>
      </c>
      <c r="ES28" s="272">
        <v>7480295</v>
      </c>
      <c r="ET28" s="272">
        <v>5483018</v>
      </c>
      <c r="EU28" s="272">
        <v>1124616</v>
      </c>
      <c r="EV28" s="272">
        <v>4228117</v>
      </c>
      <c r="EW28" s="455">
        <f t="shared" si="13"/>
        <v>491640</v>
      </c>
      <c r="EX28" s="272">
        <v>491640</v>
      </c>
      <c r="EY28" s="272">
        <v>82552</v>
      </c>
      <c r="EZ28" s="272">
        <v>409088</v>
      </c>
      <c r="FA28" s="272">
        <v>0</v>
      </c>
      <c r="FB28" s="272"/>
      <c r="FC28" s="272">
        <v>3193409</v>
      </c>
      <c r="FD28" s="272">
        <v>1291873</v>
      </c>
      <c r="FE28" s="272">
        <v>7013</v>
      </c>
      <c r="FF28" s="272">
        <v>4977025</v>
      </c>
      <c r="FG28" s="455">
        <f t="shared" si="14"/>
        <v>596009</v>
      </c>
      <c r="FH28" s="272">
        <v>23382984</v>
      </c>
      <c r="FI28" s="384">
        <f t="shared" si="15"/>
        <v>0.9</v>
      </c>
      <c r="FJ28" s="272">
        <v>19985618</v>
      </c>
      <c r="FK28" s="272"/>
      <c r="FL28" s="272">
        <v>14527639</v>
      </c>
      <c r="FM28" s="272">
        <v>15213942</v>
      </c>
      <c r="FN28" s="460">
        <v>0.98299999999999998</v>
      </c>
      <c r="FO28" s="388">
        <v>102.7</v>
      </c>
      <c r="FP28" s="388">
        <v>35.700000000000003</v>
      </c>
      <c r="FQ28" s="388">
        <v>5.5</v>
      </c>
      <c r="FR28" s="388">
        <v>20.8</v>
      </c>
      <c r="FS28" s="388">
        <v>15.5</v>
      </c>
      <c r="FT28" s="388">
        <v>5.9</v>
      </c>
      <c r="FU28" s="388">
        <v>17.2</v>
      </c>
      <c r="FV28" s="388">
        <v>13.9</v>
      </c>
      <c r="FW28" s="272">
        <v>41741365</v>
      </c>
      <c r="FX28" s="384">
        <f t="shared" si="16"/>
        <v>208.9</v>
      </c>
      <c r="FY28" s="272">
        <v>8108547</v>
      </c>
      <c r="FZ28" s="272">
        <v>2527136</v>
      </c>
      <c r="GA28" s="272">
        <v>1555823</v>
      </c>
      <c r="GB28" s="272">
        <v>4025588</v>
      </c>
      <c r="GC28" s="272"/>
      <c r="GD28" s="272">
        <v>3557987</v>
      </c>
      <c r="GE28" s="384">
        <f t="shared" si="17"/>
        <v>17.8</v>
      </c>
      <c r="GF28" s="388">
        <v>98.4</v>
      </c>
      <c r="GG28" s="388">
        <v>22.8</v>
      </c>
      <c r="GH28" s="388">
        <v>94.8</v>
      </c>
      <c r="GI28" s="272">
        <v>741</v>
      </c>
    </row>
    <row r="29" spans="2:191" x14ac:dyDescent="0.15">
      <c r="B29" s="89" t="s">
        <v>51</v>
      </c>
      <c r="C29" s="272">
        <v>13328400</v>
      </c>
      <c r="D29" s="455">
        <f t="shared" si="0"/>
        <v>3067600</v>
      </c>
      <c r="E29" s="272">
        <v>57364</v>
      </c>
      <c r="F29" s="272">
        <v>3010236</v>
      </c>
      <c r="G29" s="455">
        <f t="shared" si="1"/>
        <v>761942</v>
      </c>
      <c r="H29" s="272">
        <v>165494</v>
      </c>
      <c r="I29" s="272">
        <v>596448</v>
      </c>
      <c r="J29" s="272">
        <v>7612074</v>
      </c>
      <c r="K29" s="272">
        <v>4304936</v>
      </c>
      <c r="L29" s="272">
        <v>1309953</v>
      </c>
      <c r="M29" s="272">
        <v>1959909</v>
      </c>
      <c r="N29" s="272">
        <v>437846</v>
      </c>
      <c r="O29" s="272">
        <v>1411085</v>
      </c>
      <c r="P29" s="272">
        <v>1106009</v>
      </c>
      <c r="Q29" s="272">
        <v>305076</v>
      </c>
      <c r="R29" s="272">
        <v>160832</v>
      </c>
      <c r="S29" s="272"/>
      <c r="T29" s="455">
        <f t="shared" si="2"/>
        <v>1096784</v>
      </c>
      <c r="U29" s="272">
        <v>392498</v>
      </c>
      <c r="V29" s="272"/>
      <c r="W29" s="272"/>
      <c r="X29" s="272">
        <v>582012</v>
      </c>
      <c r="Y29" s="272">
        <v>0</v>
      </c>
      <c r="Z29" s="272">
        <v>346</v>
      </c>
      <c r="AA29" s="272">
        <v>121928</v>
      </c>
      <c r="AB29" s="272">
        <v>321024</v>
      </c>
      <c r="AC29" s="272">
        <v>79138</v>
      </c>
      <c r="AD29" s="272">
        <v>18075</v>
      </c>
      <c r="AE29" s="272">
        <v>61063</v>
      </c>
      <c r="AF29" s="272">
        <v>10917</v>
      </c>
      <c r="AG29" s="272">
        <v>52347</v>
      </c>
      <c r="AH29" s="455">
        <f t="shared" si="3"/>
        <v>423543</v>
      </c>
      <c r="AI29" s="272">
        <v>373037</v>
      </c>
      <c r="AJ29" s="272">
        <v>50506</v>
      </c>
      <c r="AK29" s="272">
        <v>1991108</v>
      </c>
      <c r="AL29" s="455">
        <f t="shared" si="4"/>
        <v>879370</v>
      </c>
      <c r="AM29" s="272">
        <v>681765</v>
      </c>
      <c r="AN29" s="272">
        <v>190287</v>
      </c>
      <c r="AO29" s="272">
        <v>0</v>
      </c>
      <c r="AP29" s="272">
        <v>7318</v>
      </c>
      <c r="AQ29" s="272">
        <v>601653</v>
      </c>
      <c r="AR29" s="272">
        <v>0</v>
      </c>
      <c r="AS29" s="272">
        <v>0</v>
      </c>
      <c r="AT29" s="272">
        <v>2412776</v>
      </c>
      <c r="AU29" s="272">
        <v>1036473</v>
      </c>
      <c r="AV29" s="272">
        <v>109146</v>
      </c>
      <c r="AW29" s="272">
        <v>9450</v>
      </c>
      <c r="AX29" s="272">
        <v>1376303</v>
      </c>
      <c r="AY29" s="272">
        <v>815926</v>
      </c>
      <c r="AZ29" s="272">
        <v>508144</v>
      </c>
      <c r="BA29" s="272">
        <v>143592</v>
      </c>
      <c r="BB29" s="272">
        <v>2906</v>
      </c>
      <c r="BC29" s="272">
        <v>2388683</v>
      </c>
      <c r="BD29" s="272">
        <v>1100000</v>
      </c>
      <c r="BE29" s="272">
        <v>0</v>
      </c>
      <c r="BF29" s="272">
        <v>1278086</v>
      </c>
      <c r="BG29" s="272">
        <v>0</v>
      </c>
      <c r="BH29" s="272">
        <v>163272</v>
      </c>
      <c r="BI29" s="272">
        <v>65438</v>
      </c>
      <c r="BJ29" s="272">
        <v>230384</v>
      </c>
      <c r="BK29" s="272">
        <v>57120</v>
      </c>
      <c r="BL29" s="272">
        <v>0</v>
      </c>
      <c r="BM29" s="272">
        <v>0</v>
      </c>
      <c r="BN29" s="272">
        <v>4508200</v>
      </c>
      <c r="BO29" s="455">
        <f t="shared" si="5"/>
        <v>4389000</v>
      </c>
      <c r="BP29" s="455">
        <f t="shared" si="6"/>
        <v>119200</v>
      </c>
      <c r="BQ29" s="272">
        <v>119200</v>
      </c>
      <c r="BR29" s="272">
        <v>0</v>
      </c>
      <c r="BS29" s="272">
        <v>0</v>
      </c>
      <c r="BT29" s="272">
        <v>0</v>
      </c>
      <c r="BU29" s="272">
        <v>27678458</v>
      </c>
      <c r="BV29" s="272"/>
      <c r="BW29" s="272">
        <v>6077888</v>
      </c>
      <c r="BX29" s="272">
        <v>4497105</v>
      </c>
      <c r="BY29" s="272">
        <v>344894</v>
      </c>
      <c r="BZ29" s="272">
        <v>157733</v>
      </c>
      <c r="CA29" s="272">
        <v>2361600</v>
      </c>
      <c r="CB29" s="272">
        <v>352457</v>
      </c>
      <c r="CC29" s="272">
        <v>311833</v>
      </c>
      <c r="CD29" s="272">
        <v>742977</v>
      </c>
      <c r="CE29" s="272">
        <v>906208</v>
      </c>
      <c r="CF29" s="272">
        <v>75</v>
      </c>
      <c r="CG29" s="272">
        <v>48050</v>
      </c>
      <c r="CH29" s="272">
        <v>1422496</v>
      </c>
      <c r="CI29" s="272">
        <v>867286</v>
      </c>
      <c r="CJ29" s="455">
        <f t="shared" si="7"/>
        <v>555210</v>
      </c>
      <c r="CK29" s="272">
        <v>2370527</v>
      </c>
      <c r="CL29" s="272">
        <v>1409560</v>
      </c>
      <c r="CM29" s="272">
        <v>85903</v>
      </c>
      <c r="CN29" s="272">
        <v>528160</v>
      </c>
      <c r="CO29" s="272">
        <v>36179</v>
      </c>
      <c r="CP29" s="272">
        <v>3204535</v>
      </c>
      <c r="CQ29" s="272">
        <v>2008193</v>
      </c>
      <c r="CR29" s="272">
        <v>562740</v>
      </c>
      <c r="CS29" s="272">
        <v>510821</v>
      </c>
      <c r="CT29" s="455">
        <f t="shared" si="8"/>
        <v>60113</v>
      </c>
      <c r="CU29" s="272">
        <v>4217</v>
      </c>
      <c r="CV29" s="272">
        <v>55896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8463759</v>
      </c>
      <c r="DD29" s="272">
        <v>569143</v>
      </c>
      <c r="DE29" s="272">
        <v>6598261</v>
      </c>
      <c r="DF29" s="272">
        <v>0</v>
      </c>
      <c r="DG29" s="272">
        <v>1296355</v>
      </c>
      <c r="DH29" s="272">
        <v>0</v>
      </c>
      <c r="DI29" s="272">
        <v>424388</v>
      </c>
      <c r="DJ29" s="272">
        <v>125169</v>
      </c>
      <c r="DK29" s="272">
        <v>0</v>
      </c>
      <c r="DL29" s="272">
        <v>299219</v>
      </c>
      <c r="DM29" s="272">
        <v>14900</v>
      </c>
      <c r="DN29" s="272">
        <v>0</v>
      </c>
      <c r="DO29" s="272">
        <v>0</v>
      </c>
      <c r="DP29" s="272">
        <v>0</v>
      </c>
      <c r="DQ29" s="272">
        <v>78975</v>
      </c>
      <c r="DR29" s="272">
        <v>0</v>
      </c>
      <c r="DS29" s="272">
        <v>0</v>
      </c>
      <c r="DT29" s="272">
        <v>2782443</v>
      </c>
      <c r="DU29" s="272">
        <v>1621661</v>
      </c>
      <c r="DV29" s="455">
        <f t="shared" si="11"/>
        <v>0</v>
      </c>
      <c r="DW29" s="272">
        <v>0</v>
      </c>
      <c r="DX29" s="272">
        <v>0</v>
      </c>
      <c r="DY29" s="272">
        <v>0</v>
      </c>
      <c r="DZ29" s="272">
        <v>581837</v>
      </c>
      <c r="EA29" s="272">
        <v>268771</v>
      </c>
      <c r="EB29" s="272">
        <v>308499</v>
      </c>
      <c r="EC29" s="272">
        <v>0</v>
      </c>
      <c r="ED29" s="272">
        <v>27237690</v>
      </c>
      <c r="EF29" s="272">
        <v>440768</v>
      </c>
      <c r="EG29" s="272">
        <v>417520</v>
      </c>
      <c r="EH29" s="272">
        <v>23248</v>
      </c>
      <c r="EI29" s="272">
        <v>-42190</v>
      </c>
      <c r="EJ29" s="272">
        <v>-1017021</v>
      </c>
      <c r="EL29" s="272">
        <v>62260</v>
      </c>
      <c r="EM29" s="272">
        <v>62349</v>
      </c>
      <c r="EN29" s="272">
        <v>1264507</v>
      </c>
      <c r="EO29" s="272">
        <v>315398</v>
      </c>
      <c r="EP29" s="455">
        <f t="shared" si="12"/>
        <v>648337</v>
      </c>
      <c r="EQ29" s="272">
        <v>14997095</v>
      </c>
      <c r="ER29" s="272">
        <v>-2336525</v>
      </c>
      <c r="ES29" s="272">
        <v>5518859</v>
      </c>
      <c r="ET29" s="272">
        <v>3972126</v>
      </c>
      <c r="EU29" s="272">
        <v>800139</v>
      </c>
      <c r="EV29" s="272">
        <v>1374534</v>
      </c>
      <c r="EW29" s="455">
        <f t="shared" si="13"/>
        <v>1278828</v>
      </c>
      <c r="EX29" s="272">
        <v>1278828</v>
      </c>
      <c r="EY29" s="272">
        <v>52348</v>
      </c>
      <c r="EZ29" s="272">
        <v>1226480</v>
      </c>
      <c r="FA29" s="272">
        <v>0</v>
      </c>
      <c r="FB29" s="272"/>
      <c r="FC29" s="272">
        <v>1881573</v>
      </c>
      <c r="FD29" s="272">
        <v>3121874</v>
      </c>
      <c r="FE29" s="272">
        <v>2008193</v>
      </c>
      <c r="FF29" s="272">
        <v>2644391</v>
      </c>
      <c r="FG29" s="455">
        <f t="shared" si="14"/>
        <v>272654</v>
      </c>
      <c r="FH29" s="272">
        <v>16892852</v>
      </c>
      <c r="FI29" s="384">
        <f t="shared" si="15"/>
        <v>0.2</v>
      </c>
      <c r="FJ29" s="272">
        <v>13392170</v>
      </c>
      <c r="FK29" s="272"/>
      <c r="FL29" s="272">
        <v>10070434</v>
      </c>
      <c r="FM29" s="272">
        <v>10088509</v>
      </c>
      <c r="FN29" s="460">
        <v>1.0669999999999999</v>
      </c>
      <c r="FO29" s="388">
        <v>104.4</v>
      </c>
      <c r="FP29" s="388">
        <v>39.6</v>
      </c>
      <c r="FQ29" s="388">
        <v>5.9</v>
      </c>
      <c r="FR29" s="388">
        <v>10.1</v>
      </c>
      <c r="FS29" s="388">
        <v>13.7</v>
      </c>
      <c r="FT29" s="388">
        <v>21.5</v>
      </c>
      <c r="FU29" s="388">
        <v>13.3</v>
      </c>
      <c r="FV29" s="388">
        <v>6</v>
      </c>
      <c r="FW29" s="272">
        <v>24045916</v>
      </c>
      <c r="FX29" s="384">
        <f t="shared" si="16"/>
        <v>179.6</v>
      </c>
      <c r="FY29" s="272">
        <v>10986815</v>
      </c>
      <c r="FZ29" s="272">
        <v>440053</v>
      </c>
      <c r="GA29" s="272"/>
      <c r="GB29" s="272">
        <v>10546762</v>
      </c>
      <c r="GC29" s="272"/>
      <c r="GD29" s="272">
        <v>12459513</v>
      </c>
      <c r="GE29" s="384">
        <f t="shared" si="17"/>
        <v>93</v>
      </c>
      <c r="GF29" s="388">
        <v>98.3</v>
      </c>
      <c r="GG29" s="388">
        <v>20.100000000000001</v>
      </c>
      <c r="GH29" s="388">
        <v>93.6</v>
      </c>
      <c r="GI29" s="272">
        <v>596</v>
      </c>
    </row>
    <row r="30" spans="2:191" x14ac:dyDescent="0.15">
      <c r="B30" s="89" t="s">
        <v>53</v>
      </c>
      <c r="C30" s="272">
        <v>8729910</v>
      </c>
      <c r="D30" s="455">
        <f t="shared" si="0"/>
        <v>3292508</v>
      </c>
      <c r="E30" s="272">
        <v>60826</v>
      </c>
      <c r="F30" s="272">
        <v>3231682</v>
      </c>
      <c r="G30" s="455">
        <f t="shared" si="1"/>
        <v>670865</v>
      </c>
      <c r="H30" s="272">
        <v>154083</v>
      </c>
      <c r="I30" s="272">
        <v>516782</v>
      </c>
      <c r="J30" s="272">
        <v>3425547</v>
      </c>
      <c r="K30" s="272">
        <v>1854250</v>
      </c>
      <c r="L30" s="272">
        <v>1232000</v>
      </c>
      <c r="M30" s="272">
        <v>314623</v>
      </c>
      <c r="N30" s="272">
        <v>400168</v>
      </c>
      <c r="O30" s="272">
        <v>895321</v>
      </c>
      <c r="P30" s="272">
        <v>610084</v>
      </c>
      <c r="Q30" s="272">
        <v>285237</v>
      </c>
      <c r="R30" s="272">
        <v>128069</v>
      </c>
      <c r="S30" s="272"/>
      <c r="T30" s="455">
        <f t="shared" si="2"/>
        <v>1133378</v>
      </c>
      <c r="U30" s="272">
        <v>410795</v>
      </c>
      <c r="V30" s="272"/>
      <c r="W30" s="272"/>
      <c r="X30" s="272">
        <v>594304</v>
      </c>
      <c r="Y30" s="272">
        <v>0</v>
      </c>
      <c r="Z30" s="272">
        <v>861</v>
      </c>
      <c r="AA30" s="272">
        <v>127418</v>
      </c>
      <c r="AB30" s="272">
        <v>335281</v>
      </c>
      <c r="AC30" s="272">
        <v>4293545</v>
      </c>
      <c r="AD30" s="272">
        <v>3994511</v>
      </c>
      <c r="AE30" s="272">
        <v>299034</v>
      </c>
      <c r="AF30" s="272">
        <v>13515</v>
      </c>
      <c r="AG30" s="272">
        <v>55335</v>
      </c>
      <c r="AH30" s="455">
        <f t="shared" si="3"/>
        <v>409709</v>
      </c>
      <c r="AI30" s="272">
        <v>375726</v>
      </c>
      <c r="AJ30" s="272">
        <v>33983</v>
      </c>
      <c r="AK30" s="272">
        <v>1900495</v>
      </c>
      <c r="AL30" s="455">
        <f t="shared" si="4"/>
        <v>1042018</v>
      </c>
      <c r="AM30" s="272">
        <v>856208</v>
      </c>
      <c r="AN30" s="272">
        <v>173274</v>
      </c>
      <c r="AO30" s="272">
        <v>0</v>
      </c>
      <c r="AP30" s="272">
        <v>12536</v>
      </c>
      <c r="AQ30" s="272">
        <v>174187</v>
      </c>
      <c r="AR30" s="272">
        <v>0</v>
      </c>
      <c r="AS30" s="272">
        <v>0</v>
      </c>
      <c r="AT30" s="272">
        <v>835086</v>
      </c>
      <c r="AU30" s="272">
        <v>342570</v>
      </c>
      <c r="AV30" s="272">
        <v>93705</v>
      </c>
      <c r="AW30" s="272">
        <v>1917</v>
      </c>
      <c r="AX30" s="272">
        <v>492516</v>
      </c>
      <c r="AY30" s="272">
        <v>28874</v>
      </c>
      <c r="AZ30" s="272">
        <v>45350</v>
      </c>
      <c r="BA30" s="272">
        <v>30954</v>
      </c>
      <c r="BB30" s="272">
        <v>53245</v>
      </c>
      <c r="BC30" s="272">
        <v>343064</v>
      </c>
      <c r="BD30" s="272">
        <v>0</v>
      </c>
      <c r="BE30" s="272">
        <v>0</v>
      </c>
      <c r="BF30" s="272">
        <v>343064</v>
      </c>
      <c r="BG30" s="272">
        <v>0</v>
      </c>
      <c r="BH30" s="272">
        <v>6639</v>
      </c>
      <c r="BI30" s="272">
        <v>6422</v>
      </c>
      <c r="BJ30" s="272">
        <v>221382</v>
      </c>
      <c r="BK30" s="272">
        <v>20026</v>
      </c>
      <c r="BL30" s="272">
        <v>0</v>
      </c>
      <c r="BM30" s="272">
        <v>0</v>
      </c>
      <c r="BN30" s="272">
        <v>598500</v>
      </c>
      <c r="BO30" s="455">
        <f t="shared" si="5"/>
        <v>476400</v>
      </c>
      <c r="BP30" s="455">
        <f t="shared" si="6"/>
        <v>122100</v>
      </c>
      <c r="BQ30" s="272">
        <v>122100</v>
      </c>
      <c r="BR30" s="272">
        <v>0</v>
      </c>
      <c r="BS30" s="272">
        <v>0</v>
      </c>
      <c r="BT30" s="272">
        <v>0</v>
      </c>
      <c r="BU30" s="272">
        <v>19102503</v>
      </c>
      <c r="BV30" s="272"/>
      <c r="BW30" s="272">
        <v>5632851</v>
      </c>
      <c r="BX30" s="272">
        <v>3949231</v>
      </c>
      <c r="BY30" s="272">
        <v>486776</v>
      </c>
      <c r="BZ30" s="272">
        <v>228574</v>
      </c>
      <c r="CA30" s="272">
        <v>2447313</v>
      </c>
      <c r="CB30" s="272">
        <v>385460</v>
      </c>
      <c r="CC30" s="272">
        <v>300527</v>
      </c>
      <c r="CD30" s="272">
        <v>567354</v>
      </c>
      <c r="CE30" s="272">
        <v>1152860</v>
      </c>
      <c r="CF30" s="272">
        <v>0</v>
      </c>
      <c r="CG30" s="272">
        <v>40767</v>
      </c>
      <c r="CH30" s="272">
        <v>1629417</v>
      </c>
      <c r="CI30" s="272">
        <v>1201232</v>
      </c>
      <c r="CJ30" s="455">
        <f t="shared" si="7"/>
        <v>428185</v>
      </c>
      <c r="CK30" s="272">
        <v>1991062</v>
      </c>
      <c r="CL30" s="272">
        <v>919176</v>
      </c>
      <c r="CM30" s="272">
        <v>206961</v>
      </c>
      <c r="CN30" s="272">
        <v>434782</v>
      </c>
      <c r="CO30" s="272">
        <v>155453</v>
      </c>
      <c r="CP30" s="272">
        <v>2684873</v>
      </c>
      <c r="CQ30" s="272">
        <v>2019103</v>
      </c>
      <c r="CR30" s="272">
        <v>201264</v>
      </c>
      <c r="CS30" s="272">
        <v>172946</v>
      </c>
      <c r="CT30" s="455">
        <f t="shared" si="8"/>
        <v>131937</v>
      </c>
      <c r="CU30" s="272">
        <v>85543</v>
      </c>
      <c r="CV30" s="272">
        <v>46394</v>
      </c>
      <c r="CW30" s="455">
        <f t="shared" si="9"/>
        <v>126170</v>
      </c>
      <c r="CX30" s="272">
        <v>79776</v>
      </c>
      <c r="CY30" s="272">
        <v>46394</v>
      </c>
      <c r="CZ30" s="455">
        <f t="shared" si="10"/>
        <v>0</v>
      </c>
      <c r="DA30" s="272">
        <v>0</v>
      </c>
      <c r="DB30" s="272">
        <v>0</v>
      </c>
      <c r="DC30" s="272">
        <v>1346161</v>
      </c>
      <c r="DD30" s="272">
        <v>341785</v>
      </c>
      <c r="DE30" s="272">
        <v>1002331</v>
      </c>
      <c r="DF30" s="272">
        <v>2045</v>
      </c>
      <c r="DG30" s="272">
        <v>0</v>
      </c>
      <c r="DH30" s="272">
        <v>0</v>
      </c>
      <c r="DI30" s="272">
        <v>431568</v>
      </c>
      <c r="DJ30" s="272">
        <v>124420</v>
      </c>
      <c r="DK30" s="272">
        <v>1159</v>
      </c>
      <c r="DL30" s="272">
        <v>305989</v>
      </c>
      <c r="DM30" s="272">
        <v>13000</v>
      </c>
      <c r="DN30" s="272">
        <v>13000</v>
      </c>
      <c r="DO30" s="272">
        <v>13000</v>
      </c>
      <c r="DP30" s="272">
        <v>0</v>
      </c>
      <c r="DQ30" s="272">
        <v>20000</v>
      </c>
      <c r="DR30" s="272">
        <v>0</v>
      </c>
      <c r="DS30" s="272">
        <v>0</v>
      </c>
      <c r="DT30" s="272">
        <v>2722434</v>
      </c>
      <c r="DU30" s="272">
        <v>1640307</v>
      </c>
      <c r="DV30" s="455">
        <f t="shared" si="11"/>
        <v>0</v>
      </c>
      <c r="DW30" s="272">
        <v>0</v>
      </c>
      <c r="DX30" s="272">
        <v>0</v>
      </c>
      <c r="DY30" s="272">
        <v>0</v>
      </c>
      <c r="DZ30" s="272">
        <v>462567</v>
      </c>
      <c r="EA30" s="272">
        <v>268960</v>
      </c>
      <c r="EB30" s="272">
        <v>345594</v>
      </c>
      <c r="EC30" s="272">
        <v>0</v>
      </c>
      <c r="ED30" s="272">
        <v>19074132</v>
      </c>
      <c r="EF30" s="272">
        <v>28371</v>
      </c>
      <c r="EG30" s="272">
        <v>12663</v>
      </c>
      <c r="EH30" s="272">
        <v>15708</v>
      </c>
      <c r="EI30" s="272">
        <v>-714</v>
      </c>
      <c r="EJ30" s="272">
        <v>123706</v>
      </c>
      <c r="EL30" s="272">
        <v>66806</v>
      </c>
      <c r="EM30" s="272">
        <v>66808</v>
      </c>
      <c r="EN30" s="272"/>
      <c r="EO30" s="272">
        <v>9161</v>
      </c>
      <c r="EP30" s="455">
        <f t="shared" si="12"/>
        <v>156180</v>
      </c>
      <c r="EQ30" s="272">
        <v>14633698</v>
      </c>
      <c r="ER30" s="272">
        <v>-273926</v>
      </c>
      <c r="ES30" s="272">
        <v>5130015</v>
      </c>
      <c r="ET30" s="272">
        <v>3562827</v>
      </c>
      <c r="EU30" s="272">
        <v>780778</v>
      </c>
      <c r="EV30" s="272">
        <v>1431532</v>
      </c>
      <c r="EW30" s="455">
        <f t="shared" si="13"/>
        <v>514468</v>
      </c>
      <c r="EX30" s="272">
        <v>514468</v>
      </c>
      <c r="EY30" s="272">
        <v>88699</v>
      </c>
      <c r="EZ30" s="272">
        <v>424824</v>
      </c>
      <c r="FA30" s="272">
        <v>0</v>
      </c>
      <c r="FB30" s="272"/>
      <c r="FC30" s="272">
        <v>1398421</v>
      </c>
      <c r="FD30" s="272">
        <v>2492853</v>
      </c>
      <c r="FE30" s="272">
        <v>2019103</v>
      </c>
      <c r="FF30" s="272">
        <v>2564771</v>
      </c>
      <c r="FG30" s="455">
        <f t="shared" si="14"/>
        <v>566415</v>
      </c>
      <c r="FH30" s="272">
        <v>14879253</v>
      </c>
      <c r="FI30" s="384">
        <f t="shared" si="15"/>
        <v>0.1</v>
      </c>
      <c r="FJ30" s="272">
        <v>13302482</v>
      </c>
      <c r="FK30" s="272"/>
      <c r="FL30" s="272">
        <v>7016304</v>
      </c>
      <c r="FM30" s="272">
        <v>11010815</v>
      </c>
      <c r="FN30" s="460">
        <v>0.65700000000000003</v>
      </c>
      <c r="FO30" s="388">
        <v>88.4</v>
      </c>
      <c r="FP30" s="388">
        <v>37</v>
      </c>
      <c r="FQ30" s="388">
        <v>5.3</v>
      </c>
      <c r="FR30" s="388">
        <v>10.6</v>
      </c>
      <c r="FS30" s="388">
        <v>7.9</v>
      </c>
      <c r="FT30" s="388">
        <v>16.8</v>
      </c>
      <c r="FU30" s="388">
        <v>9.6999999999999993</v>
      </c>
      <c r="FV30" s="388">
        <v>7.3</v>
      </c>
      <c r="FW30" s="272">
        <v>12119520</v>
      </c>
      <c r="FX30" s="384">
        <f t="shared" si="16"/>
        <v>91.1</v>
      </c>
      <c r="FY30" s="272">
        <v>3899904</v>
      </c>
      <c r="FZ30" s="272">
        <v>1062371</v>
      </c>
      <c r="GA30" s="272">
        <v>371120</v>
      </c>
      <c r="GB30" s="272">
        <v>2466413</v>
      </c>
      <c r="GC30" s="272"/>
      <c r="GD30" s="272">
        <v>288120</v>
      </c>
      <c r="GE30" s="384">
        <f t="shared" si="17"/>
        <v>2.2000000000000002</v>
      </c>
      <c r="GF30" s="388">
        <v>97.5</v>
      </c>
      <c r="GG30" s="388">
        <v>25.1</v>
      </c>
      <c r="GH30" s="388">
        <v>92</v>
      </c>
      <c r="GI30" s="272">
        <v>549</v>
      </c>
    </row>
    <row r="31" spans="2:191" x14ac:dyDescent="0.15">
      <c r="B31" s="89" t="s">
        <v>55</v>
      </c>
      <c r="C31" s="272">
        <v>85475767</v>
      </c>
      <c r="D31" s="455">
        <f t="shared" si="0"/>
        <v>22713335</v>
      </c>
      <c r="E31" s="272">
        <v>559187</v>
      </c>
      <c r="F31" s="272">
        <v>22154148</v>
      </c>
      <c r="G31" s="455">
        <f t="shared" si="1"/>
        <v>7399568</v>
      </c>
      <c r="H31" s="272">
        <v>1515211</v>
      </c>
      <c r="I31" s="272">
        <v>5884357</v>
      </c>
      <c r="J31" s="272">
        <v>39353938</v>
      </c>
      <c r="K31" s="272">
        <v>22996936</v>
      </c>
      <c r="L31" s="272">
        <v>11923527</v>
      </c>
      <c r="M31" s="272">
        <v>4119163</v>
      </c>
      <c r="N31" s="272">
        <v>3900745</v>
      </c>
      <c r="O31" s="272">
        <v>9152384</v>
      </c>
      <c r="P31" s="272">
        <v>6406145</v>
      </c>
      <c r="Q31" s="272">
        <v>2746239</v>
      </c>
      <c r="R31" s="272">
        <v>975952</v>
      </c>
      <c r="S31" s="272"/>
      <c r="T31" s="455">
        <f t="shared" si="2"/>
        <v>9356245</v>
      </c>
      <c r="U31" s="272">
        <v>2950832</v>
      </c>
      <c r="V31" s="272"/>
      <c r="W31" s="272"/>
      <c r="X31" s="272">
        <v>5426242</v>
      </c>
      <c r="Y31" s="272">
        <v>0</v>
      </c>
      <c r="Z31" s="272">
        <v>9340</v>
      </c>
      <c r="AA31" s="272">
        <v>969831</v>
      </c>
      <c r="AB31" s="272">
        <v>2500777</v>
      </c>
      <c r="AC31" s="272">
        <v>15283092</v>
      </c>
      <c r="AD31" s="272">
        <v>14085010</v>
      </c>
      <c r="AE31" s="272">
        <v>1198082</v>
      </c>
      <c r="AF31" s="272">
        <v>100709</v>
      </c>
      <c r="AG31" s="272">
        <v>3662770</v>
      </c>
      <c r="AH31" s="455">
        <f t="shared" si="3"/>
        <v>3285310</v>
      </c>
      <c r="AI31" s="272">
        <v>2536375</v>
      </c>
      <c r="AJ31" s="272">
        <v>748935</v>
      </c>
      <c r="AK31" s="272">
        <v>21376938</v>
      </c>
      <c r="AL31" s="455">
        <f t="shared" si="4"/>
        <v>14571976</v>
      </c>
      <c r="AM31" s="272">
        <v>13115774</v>
      </c>
      <c r="AN31" s="272">
        <v>1292561</v>
      </c>
      <c r="AO31" s="272">
        <v>59637</v>
      </c>
      <c r="AP31" s="272">
        <v>104004</v>
      </c>
      <c r="AQ31" s="272">
        <v>2258553</v>
      </c>
      <c r="AR31" s="272">
        <v>0</v>
      </c>
      <c r="AS31" s="272">
        <v>0</v>
      </c>
      <c r="AT31" s="272">
        <v>8744640</v>
      </c>
      <c r="AU31" s="272">
        <v>3441773</v>
      </c>
      <c r="AV31" s="272">
        <v>730533</v>
      </c>
      <c r="AW31" s="272">
        <v>335407</v>
      </c>
      <c r="AX31" s="272">
        <v>5302867</v>
      </c>
      <c r="AY31" s="272">
        <v>1132946</v>
      </c>
      <c r="AZ31" s="272">
        <v>553542</v>
      </c>
      <c r="BA31" s="272">
        <v>254937</v>
      </c>
      <c r="BB31" s="272">
        <v>232634</v>
      </c>
      <c r="BC31" s="272">
        <v>3074853</v>
      </c>
      <c r="BD31" s="272">
        <v>0</v>
      </c>
      <c r="BE31" s="272">
        <v>0</v>
      </c>
      <c r="BF31" s="272">
        <v>2193225</v>
      </c>
      <c r="BG31" s="272">
        <v>0</v>
      </c>
      <c r="BH31" s="272">
        <v>1560587</v>
      </c>
      <c r="BI31" s="272">
        <v>815639</v>
      </c>
      <c r="BJ31" s="272">
        <v>4450206</v>
      </c>
      <c r="BK31" s="272">
        <v>3428714</v>
      </c>
      <c r="BL31" s="272">
        <v>48009</v>
      </c>
      <c r="BM31" s="272">
        <v>45777</v>
      </c>
      <c r="BN31" s="272">
        <v>6713900</v>
      </c>
      <c r="BO31" s="455">
        <f t="shared" si="5"/>
        <v>5774400</v>
      </c>
      <c r="BP31" s="455">
        <f t="shared" si="6"/>
        <v>939500</v>
      </c>
      <c r="BQ31" s="272">
        <v>939500</v>
      </c>
      <c r="BR31" s="272">
        <v>0</v>
      </c>
      <c r="BS31" s="272">
        <v>0</v>
      </c>
      <c r="BT31" s="272">
        <v>0</v>
      </c>
      <c r="BU31" s="272">
        <v>167347922</v>
      </c>
      <c r="BV31" s="272"/>
      <c r="BW31" s="272">
        <v>45991923</v>
      </c>
      <c r="BX31" s="272">
        <v>32553414</v>
      </c>
      <c r="BY31" s="272">
        <v>6163968</v>
      </c>
      <c r="BZ31" s="272">
        <v>759304</v>
      </c>
      <c r="CA31" s="272">
        <v>32453619</v>
      </c>
      <c r="CB31" s="272">
        <v>2732647</v>
      </c>
      <c r="CC31" s="272">
        <v>2559593</v>
      </c>
      <c r="CD31" s="272">
        <v>6009070</v>
      </c>
      <c r="CE31" s="272">
        <v>17814843</v>
      </c>
      <c r="CF31" s="272">
        <v>2964735</v>
      </c>
      <c r="CG31" s="272">
        <v>372731</v>
      </c>
      <c r="CH31" s="272">
        <v>16268239</v>
      </c>
      <c r="CI31" s="272">
        <v>11146648</v>
      </c>
      <c r="CJ31" s="455">
        <f t="shared" si="7"/>
        <v>5121591</v>
      </c>
      <c r="CK31" s="272">
        <v>15193233</v>
      </c>
      <c r="CL31" s="272">
        <v>8840132</v>
      </c>
      <c r="CM31" s="272">
        <v>1042857</v>
      </c>
      <c r="CN31" s="272">
        <v>2798830</v>
      </c>
      <c r="CO31" s="272">
        <v>1264191</v>
      </c>
      <c r="CP31" s="272">
        <v>11141091</v>
      </c>
      <c r="CQ31" s="272">
        <v>4221348</v>
      </c>
      <c r="CR31" s="272">
        <v>3595113</v>
      </c>
      <c r="CS31" s="272">
        <v>2954944</v>
      </c>
      <c r="CT31" s="455">
        <f t="shared" si="8"/>
        <v>1457500</v>
      </c>
      <c r="CU31" s="272">
        <v>1105959</v>
      </c>
      <c r="CV31" s="272">
        <v>351541</v>
      </c>
      <c r="CW31" s="455">
        <f t="shared" si="9"/>
        <v>1361042</v>
      </c>
      <c r="CX31" s="272">
        <v>1009501</v>
      </c>
      <c r="CY31" s="272">
        <v>351541</v>
      </c>
      <c r="CZ31" s="455">
        <f t="shared" si="10"/>
        <v>0</v>
      </c>
      <c r="DA31" s="272">
        <v>0</v>
      </c>
      <c r="DB31" s="272">
        <v>0</v>
      </c>
      <c r="DC31" s="272">
        <v>15297474</v>
      </c>
      <c r="DD31" s="272">
        <v>4155144</v>
      </c>
      <c r="DE31" s="272">
        <v>9937571</v>
      </c>
      <c r="DF31" s="272">
        <v>207492</v>
      </c>
      <c r="DG31" s="272">
        <v>997267</v>
      </c>
      <c r="DH31" s="272">
        <v>0</v>
      </c>
      <c r="DI31" s="272">
        <v>1646066</v>
      </c>
      <c r="DJ31" s="272">
        <v>44000</v>
      </c>
      <c r="DK31" s="272">
        <v>1093700</v>
      </c>
      <c r="DL31" s="272">
        <v>508366</v>
      </c>
      <c r="DM31" s="272">
        <v>702558</v>
      </c>
      <c r="DN31" s="272">
        <v>634958</v>
      </c>
      <c r="DO31" s="272">
        <v>0</v>
      </c>
      <c r="DP31" s="272">
        <v>634958</v>
      </c>
      <c r="DQ31" s="272">
        <v>3404648</v>
      </c>
      <c r="DR31" s="272">
        <v>0</v>
      </c>
      <c r="DS31" s="272">
        <v>0</v>
      </c>
      <c r="DT31" s="272">
        <v>21204725</v>
      </c>
      <c r="DU31" s="272">
        <v>10763823</v>
      </c>
      <c r="DV31" s="455">
        <f t="shared" si="11"/>
        <v>0</v>
      </c>
      <c r="DW31" s="272">
        <v>0</v>
      </c>
      <c r="DX31" s="272">
        <v>0</v>
      </c>
      <c r="DY31" s="272">
        <v>0</v>
      </c>
      <c r="DZ31" s="272">
        <v>5816321</v>
      </c>
      <c r="EA31" s="272">
        <v>2025564</v>
      </c>
      <c r="EB31" s="272">
        <v>2024000</v>
      </c>
      <c r="EC31" s="272">
        <v>0</v>
      </c>
      <c r="ED31" s="272">
        <v>164567767</v>
      </c>
      <c r="EF31" s="272">
        <v>2780155</v>
      </c>
      <c r="EG31" s="272">
        <v>1701638</v>
      </c>
      <c r="EH31" s="272">
        <v>1078517</v>
      </c>
      <c r="EI31" s="272">
        <v>262878</v>
      </c>
      <c r="EJ31" s="272">
        <v>1022631</v>
      </c>
      <c r="EL31" s="272">
        <v>515094</v>
      </c>
      <c r="EM31" s="272">
        <v>497043</v>
      </c>
      <c r="EN31" s="272">
        <v>259214</v>
      </c>
      <c r="EO31" s="272">
        <v>283886</v>
      </c>
      <c r="EP31" s="455">
        <f t="shared" si="12"/>
        <v>4143107</v>
      </c>
      <c r="EQ31" s="272">
        <v>113692542</v>
      </c>
      <c r="ER31" s="272">
        <v>-5524998</v>
      </c>
      <c r="ES31" s="272">
        <v>43280457</v>
      </c>
      <c r="ET31" s="272">
        <v>30180112</v>
      </c>
      <c r="EU31" s="272">
        <v>9020112</v>
      </c>
      <c r="EV31" s="272">
        <v>15711992</v>
      </c>
      <c r="EW31" s="455">
        <f t="shared" si="13"/>
        <v>4373947</v>
      </c>
      <c r="EX31" s="272">
        <v>4373947</v>
      </c>
      <c r="EY31" s="272">
        <v>792424</v>
      </c>
      <c r="EZ31" s="272">
        <v>3499931</v>
      </c>
      <c r="FA31" s="272">
        <v>0</v>
      </c>
      <c r="FB31" s="272"/>
      <c r="FC31" s="272">
        <v>11201822</v>
      </c>
      <c r="FD31" s="272">
        <v>10036353</v>
      </c>
      <c r="FE31" s="272">
        <v>4221348</v>
      </c>
      <c r="FF31" s="272">
        <v>19817545</v>
      </c>
      <c r="FG31" s="455">
        <f t="shared" si="14"/>
        <v>3005942</v>
      </c>
      <c r="FH31" s="272">
        <v>116448170</v>
      </c>
      <c r="FI31" s="384">
        <f t="shared" si="15"/>
        <v>1.1000000000000001</v>
      </c>
      <c r="FJ31" s="272">
        <v>102639250</v>
      </c>
      <c r="FK31" s="272"/>
      <c r="FL31" s="272">
        <v>66695348</v>
      </c>
      <c r="FM31" s="272">
        <v>80725566</v>
      </c>
      <c r="FN31" s="460">
        <v>0.85899999999999999</v>
      </c>
      <c r="FO31" s="388">
        <v>96.4</v>
      </c>
      <c r="FP31" s="388">
        <v>40.4</v>
      </c>
      <c r="FQ31" s="388">
        <v>8.6999999999999993</v>
      </c>
      <c r="FR31" s="388">
        <v>13.7</v>
      </c>
      <c r="FS31" s="388">
        <v>9.6</v>
      </c>
      <c r="FT31" s="388">
        <v>8.3000000000000007</v>
      </c>
      <c r="FU31" s="388">
        <v>14.6</v>
      </c>
      <c r="FV31" s="388">
        <v>10.199999999999999</v>
      </c>
      <c r="FW31" s="272">
        <v>132287581</v>
      </c>
      <c r="FX31" s="384">
        <f t="shared" si="16"/>
        <v>128.9</v>
      </c>
      <c r="FY31" s="272">
        <v>28734512</v>
      </c>
      <c r="FZ31" s="272">
        <v>7008800</v>
      </c>
      <c r="GA31" s="272">
        <v>3701600</v>
      </c>
      <c r="GB31" s="272">
        <v>18024112</v>
      </c>
      <c r="GC31" s="272"/>
      <c r="GD31" s="272">
        <v>36499935</v>
      </c>
      <c r="GE31" s="384">
        <f t="shared" si="17"/>
        <v>35.6</v>
      </c>
      <c r="GF31" s="388">
        <v>96.2</v>
      </c>
      <c r="GG31" s="388">
        <v>27.3</v>
      </c>
      <c r="GH31" s="388">
        <v>89.1</v>
      </c>
      <c r="GI31" s="272">
        <v>3788</v>
      </c>
    </row>
    <row r="32" spans="2:191" x14ac:dyDescent="0.15">
      <c r="B32" s="89" t="s">
        <v>57</v>
      </c>
      <c r="C32" s="272">
        <v>10205235</v>
      </c>
      <c r="D32" s="455">
        <f t="shared" si="0"/>
        <v>2419784</v>
      </c>
      <c r="E32" s="272">
        <v>53012</v>
      </c>
      <c r="F32" s="272">
        <v>2366772</v>
      </c>
      <c r="G32" s="455">
        <f t="shared" si="1"/>
        <v>512295</v>
      </c>
      <c r="H32" s="272">
        <v>170432</v>
      </c>
      <c r="I32" s="272">
        <v>341863</v>
      </c>
      <c r="J32" s="272">
        <v>5810971</v>
      </c>
      <c r="K32" s="272">
        <v>2981988</v>
      </c>
      <c r="L32" s="272">
        <v>1485686</v>
      </c>
      <c r="M32" s="272">
        <v>1329386</v>
      </c>
      <c r="N32" s="272">
        <v>377853</v>
      </c>
      <c r="O32" s="272">
        <v>996841</v>
      </c>
      <c r="P32" s="272">
        <v>687311</v>
      </c>
      <c r="Q32" s="272">
        <v>309530</v>
      </c>
      <c r="R32" s="272">
        <v>179926</v>
      </c>
      <c r="S32" s="272"/>
      <c r="T32" s="455">
        <f t="shared" si="2"/>
        <v>1060298</v>
      </c>
      <c r="U32" s="272">
        <v>301565</v>
      </c>
      <c r="V32" s="272"/>
      <c r="W32" s="272"/>
      <c r="X32" s="272">
        <v>561308</v>
      </c>
      <c r="Y32" s="272">
        <v>55791</v>
      </c>
      <c r="Z32" s="272">
        <v>632</v>
      </c>
      <c r="AA32" s="272">
        <v>141002</v>
      </c>
      <c r="AB32" s="272">
        <v>221444</v>
      </c>
      <c r="AC32" s="272">
        <v>2728350</v>
      </c>
      <c r="AD32" s="272">
        <v>2159296</v>
      </c>
      <c r="AE32" s="272">
        <v>569054</v>
      </c>
      <c r="AF32" s="272">
        <v>11795</v>
      </c>
      <c r="AG32" s="272">
        <v>50296</v>
      </c>
      <c r="AH32" s="455">
        <f t="shared" si="3"/>
        <v>349500</v>
      </c>
      <c r="AI32" s="272">
        <v>232324</v>
      </c>
      <c r="AJ32" s="272">
        <v>117176</v>
      </c>
      <c r="AK32" s="272">
        <v>1886638</v>
      </c>
      <c r="AL32" s="455">
        <f t="shared" si="4"/>
        <v>1151854</v>
      </c>
      <c r="AM32" s="272">
        <v>987002</v>
      </c>
      <c r="AN32" s="272">
        <v>155360</v>
      </c>
      <c r="AO32" s="272">
        <v>0</v>
      </c>
      <c r="AP32" s="272">
        <v>9492</v>
      </c>
      <c r="AQ32" s="272">
        <v>191976</v>
      </c>
      <c r="AR32" s="272">
        <v>0</v>
      </c>
      <c r="AS32" s="272">
        <v>0</v>
      </c>
      <c r="AT32" s="272">
        <v>1187157</v>
      </c>
      <c r="AU32" s="272">
        <v>674774</v>
      </c>
      <c r="AV32" s="272">
        <v>80568</v>
      </c>
      <c r="AW32" s="272">
        <v>183297</v>
      </c>
      <c r="AX32" s="272">
        <v>512383</v>
      </c>
      <c r="AY32" s="272">
        <v>42480</v>
      </c>
      <c r="AZ32" s="272">
        <v>18885</v>
      </c>
      <c r="BA32" s="272">
        <v>9637</v>
      </c>
      <c r="BB32" s="272">
        <v>164128</v>
      </c>
      <c r="BC32" s="272">
        <v>309284</v>
      </c>
      <c r="BD32" s="272">
        <v>0</v>
      </c>
      <c r="BE32" s="272">
        <v>0</v>
      </c>
      <c r="BF32" s="272">
        <v>251566</v>
      </c>
      <c r="BG32" s="272">
        <v>0</v>
      </c>
      <c r="BH32" s="272">
        <v>1768</v>
      </c>
      <c r="BI32" s="272">
        <v>0</v>
      </c>
      <c r="BJ32" s="272">
        <v>232992</v>
      </c>
      <c r="BK32" s="272">
        <v>2926</v>
      </c>
      <c r="BL32" s="272">
        <v>22936</v>
      </c>
      <c r="BM32" s="272">
        <v>0</v>
      </c>
      <c r="BN32" s="272">
        <v>1055400</v>
      </c>
      <c r="BO32" s="455">
        <f t="shared" si="5"/>
        <v>971000</v>
      </c>
      <c r="BP32" s="455">
        <f t="shared" si="6"/>
        <v>84400</v>
      </c>
      <c r="BQ32" s="272">
        <v>84400</v>
      </c>
      <c r="BR32" s="272">
        <v>0</v>
      </c>
      <c r="BS32" s="272">
        <v>0</v>
      </c>
      <c r="BT32" s="272">
        <v>0</v>
      </c>
      <c r="BU32" s="272">
        <v>19663096</v>
      </c>
      <c r="BV32" s="272"/>
      <c r="BW32" s="272">
        <v>6490933</v>
      </c>
      <c r="BX32" s="272">
        <v>4609528</v>
      </c>
      <c r="BY32" s="272">
        <v>426627</v>
      </c>
      <c r="BZ32" s="272">
        <v>312999</v>
      </c>
      <c r="CA32" s="272">
        <v>2350679</v>
      </c>
      <c r="CB32" s="272">
        <v>403358</v>
      </c>
      <c r="CC32" s="272">
        <v>246583</v>
      </c>
      <c r="CD32" s="272">
        <v>440976</v>
      </c>
      <c r="CE32" s="272">
        <v>1203457</v>
      </c>
      <c r="CF32" s="272">
        <v>0</v>
      </c>
      <c r="CG32" s="272">
        <v>56245</v>
      </c>
      <c r="CH32" s="272">
        <v>2496144</v>
      </c>
      <c r="CI32" s="272">
        <v>1598339</v>
      </c>
      <c r="CJ32" s="455">
        <f t="shared" si="7"/>
        <v>897805</v>
      </c>
      <c r="CK32" s="272">
        <v>2330924</v>
      </c>
      <c r="CL32" s="272">
        <v>1223484</v>
      </c>
      <c r="CM32" s="272">
        <v>141749</v>
      </c>
      <c r="CN32" s="272">
        <v>486525</v>
      </c>
      <c r="CO32" s="272">
        <v>148669</v>
      </c>
      <c r="CP32" s="272">
        <v>1261016</v>
      </c>
      <c r="CQ32" s="272">
        <v>524787</v>
      </c>
      <c r="CR32" s="272">
        <v>345608</v>
      </c>
      <c r="CS32" s="272">
        <v>137407</v>
      </c>
      <c r="CT32" s="455">
        <f t="shared" si="8"/>
        <v>4016</v>
      </c>
      <c r="CU32" s="272">
        <v>4016</v>
      </c>
      <c r="CV32" s="272">
        <v>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1811953</v>
      </c>
      <c r="DD32" s="272">
        <v>837205</v>
      </c>
      <c r="DE32" s="272">
        <v>922204</v>
      </c>
      <c r="DF32" s="272">
        <v>52544</v>
      </c>
      <c r="DG32" s="272">
        <v>0</v>
      </c>
      <c r="DH32" s="272">
        <v>0</v>
      </c>
      <c r="DI32" s="272">
        <v>395927</v>
      </c>
      <c r="DJ32" s="272">
        <v>0</v>
      </c>
      <c r="DK32" s="272">
        <v>168600</v>
      </c>
      <c r="DL32" s="272">
        <v>227327</v>
      </c>
      <c r="DM32" s="272">
        <v>15300</v>
      </c>
      <c r="DN32" s="272">
        <v>15300</v>
      </c>
      <c r="DO32" s="272">
        <v>15300</v>
      </c>
      <c r="DP32" s="272">
        <v>0</v>
      </c>
      <c r="DQ32" s="272">
        <v>0</v>
      </c>
      <c r="DR32" s="272">
        <v>0</v>
      </c>
      <c r="DS32" s="272">
        <v>0</v>
      </c>
      <c r="DT32" s="272">
        <v>2093089</v>
      </c>
      <c r="DU32" s="272">
        <v>1118223</v>
      </c>
      <c r="DV32" s="455">
        <f t="shared" si="11"/>
        <v>0</v>
      </c>
      <c r="DW32" s="272">
        <v>0</v>
      </c>
      <c r="DX32" s="272">
        <v>0</v>
      </c>
      <c r="DY32" s="272">
        <v>0</v>
      </c>
      <c r="DZ32" s="272">
        <v>485154</v>
      </c>
      <c r="EA32" s="272">
        <v>245527</v>
      </c>
      <c r="EB32" s="272">
        <v>244185</v>
      </c>
      <c r="EC32" s="272">
        <v>0</v>
      </c>
      <c r="ED32" s="272">
        <v>19394634</v>
      </c>
      <c r="EF32" s="272">
        <v>268462</v>
      </c>
      <c r="EG32" s="272">
        <v>383857</v>
      </c>
      <c r="EH32" s="272">
        <v>-115395</v>
      </c>
      <c r="EI32" s="272">
        <v>-14132</v>
      </c>
      <c r="EJ32" s="272">
        <v>-14132</v>
      </c>
      <c r="EL32" s="272">
        <v>64152</v>
      </c>
      <c r="EM32" s="272">
        <v>64360</v>
      </c>
      <c r="EN32" s="272"/>
      <c r="EO32" s="272">
        <v>229</v>
      </c>
      <c r="EP32" s="455">
        <f t="shared" si="12"/>
        <v>294711</v>
      </c>
      <c r="EQ32" s="272">
        <v>14407048</v>
      </c>
      <c r="ER32" s="272">
        <v>-367545</v>
      </c>
      <c r="ES32" s="272">
        <v>5992955</v>
      </c>
      <c r="ET32" s="272">
        <v>4173736</v>
      </c>
      <c r="EU32" s="272">
        <v>650919</v>
      </c>
      <c r="EV32" s="272">
        <v>2425820</v>
      </c>
      <c r="EW32" s="455">
        <f t="shared" si="13"/>
        <v>356762</v>
      </c>
      <c r="EX32" s="272">
        <v>356762</v>
      </c>
      <c r="EY32" s="272">
        <v>94082</v>
      </c>
      <c r="EZ32" s="272">
        <v>241629</v>
      </c>
      <c r="FA32" s="272">
        <v>0</v>
      </c>
      <c r="FB32" s="272"/>
      <c r="FC32" s="272">
        <v>1822744</v>
      </c>
      <c r="FD32" s="272">
        <v>1090453</v>
      </c>
      <c r="FE32" s="272">
        <v>524787</v>
      </c>
      <c r="FF32" s="272">
        <v>1946004</v>
      </c>
      <c r="FG32" s="455">
        <f t="shared" si="14"/>
        <v>455974</v>
      </c>
      <c r="FH32" s="272">
        <v>14741631</v>
      </c>
      <c r="FI32" s="384">
        <f t="shared" si="15"/>
        <v>-0.9</v>
      </c>
      <c r="FJ32" s="272">
        <v>12829950</v>
      </c>
      <c r="FK32" s="272"/>
      <c r="FL32" s="272">
        <v>8051006</v>
      </c>
      <c r="FM32" s="272">
        <v>10213365</v>
      </c>
      <c r="FN32" s="460">
        <v>0.82199999999999995</v>
      </c>
      <c r="FO32" s="388">
        <v>98.2</v>
      </c>
      <c r="FP32" s="388">
        <v>44.6</v>
      </c>
      <c r="FQ32" s="388">
        <v>5</v>
      </c>
      <c r="FR32" s="388">
        <v>18.8</v>
      </c>
      <c r="FS32" s="388">
        <v>12.7</v>
      </c>
      <c r="FT32" s="388">
        <v>7.1</v>
      </c>
      <c r="FU32" s="388">
        <v>9.3000000000000007</v>
      </c>
      <c r="FV32" s="388">
        <v>13.5</v>
      </c>
      <c r="FW32" s="272">
        <v>23808351</v>
      </c>
      <c r="FX32" s="384">
        <f t="shared" si="16"/>
        <v>185.6</v>
      </c>
      <c r="FY32" s="272">
        <v>3213799</v>
      </c>
      <c r="FZ32" s="272"/>
      <c r="GA32" s="272">
        <v>853199</v>
      </c>
      <c r="GB32" s="272">
        <v>2360600</v>
      </c>
      <c r="GC32" s="272"/>
      <c r="GD32" s="272">
        <v>12674061</v>
      </c>
      <c r="GE32" s="384">
        <f t="shared" si="17"/>
        <v>98.8</v>
      </c>
      <c r="GF32" s="388">
        <v>95.1</v>
      </c>
      <c r="GG32" s="388">
        <v>15.7</v>
      </c>
      <c r="GH32" s="388">
        <v>81.5</v>
      </c>
      <c r="GI32" s="272">
        <v>649</v>
      </c>
    </row>
    <row r="33" spans="2:191" x14ac:dyDescent="0.15">
      <c r="B33" s="89" t="s">
        <v>59</v>
      </c>
      <c r="C33" s="272">
        <v>7016099</v>
      </c>
      <c r="D33" s="455">
        <f t="shared" si="0"/>
        <v>2626092</v>
      </c>
      <c r="E33" s="272">
        <v>51318</v>
      </c>
      <c r="F33" s="272">
        <v>2574774</v>
      </c>
      <c r="G33" s="455">
        <f t="shared" si="1"/>
        <v>268964</v>
      </c>
      <c r="H33" s="272">
        <v>101988</v>
      </c>
      <c r="I33" s="272">
        <v>166976</v>
      </c>
      <c r="J33" s="272">
        <v>3079272</v>
      </c>
      <c r="K33" s="272">
        <v>1738200</v>
      </c>
      <c r="L33" s="272">
        <v>1074914</v>
      </c>
      <c r="M33" s="272">
        <v>252205</v>
      </c>
      <c r="N33" s="272">
        <v>282634</v>
      </c>
      <c r="O33" s="272">
        <v>718596</v>
      </c>
      <c r="P33" s="272">
        <v>485754</v>
      </c>
      <c r="Q33" s="272">
        <v>232842</v>
      </c>
      <c r="R33" s="272">
        <v>115837</v>
      </c>
      <c r="S33" s="272"/>
      <c r="T33" s="455">
        <f t="shared" si="2"/>
        <v>930840</v>
      </c>
      <c r="U33" s="272">
        <v>334122</v>
      </c>
      <c r="V33" s="272"/>
      <c r="W33" s="272"/>
      <c r="X33" s="272">
        <v>445145</v>
      </c>
      <c r="Y33" s="272">
        <v>36374</v>
      </c>
      <c r="Z33" s="272">
        <v>0</v>
      </c>
      <c r="AA33" s="272">
        <v>115199</v>
      </c>
      <c r="AB33" s="272">
        <v>257646</v>
      </c>
      <c r="AC33" s="272">
        <v>4132520</v>
      </c>
      <c r="AD33" s="272">
        <v>3691487</v>
      </c>
      <c r="AE33" s="272">
        <v>441033</v>
      </c>
      <c r="AF33" s="272">
        <v>10371</v>
      </c>
      <c r="AG33" s="272">
        <v>84238</v>
      </c>
      <c r="AH33" s="455">
        <f t="shared" si="3"/>
        <v>293055</v>
      </c>
      <c r="AI33" s="272">
        <v>173746</v>
      </c>
      <c r="AJ33" s="272">
        <v>119309</v>
      </c>
      <c r="AK33" s="272">
        <v>1352847</v>
      </c>
      <c r="AL33" s="455">
        <f t="shared" si="4"/>
        <v>922984</v>
      </c>
      <c r="AM33" s="272">
        <v>623073</v>
      </c>
      <c r="AN33" s="272">
        <v>278651</v>
      </c>
      <c r="AO33" s="272">
        <v>0</v>
      </c>
      <c r="AP33" s="272">
        <v>21260</v>
      </c>
      <c r="AQ33" s="272">
        <v>102092</v>
      </c>
      <c r="AR33" s="272">
        <v>1250</v>
      </c>
      <c r="AS33" s="272">
        <v>0</v>
      </c>
      <c r="AT33" s="272">
        <v>735888</v>
      </c>
      <c r="AU33" s="272">
        <v>362012</v>
      </c>
      <c r="AV33" s="272">
        <v>96294</v>
      </c>
      <c r="AW33" s="272">
        <v>0</v>
      </c>
      <c r="AX33" s="272">
        <v>373876</v>
      </c>
      <c r="AY33" s="272">
        <v>53107</v>
      </c>
      <c r="AZ33" s="272">
        <v>460845</v>
      </c>
      <c r="BA33" s="272">
        <v>446675</v>
      </c>
      <c r="BB33" s="272">
        <v>51974</v>
      </c>
      <c r="BC33" s="272">
        <v>2922</v>
      </c>
      <c r="BD33" s="272">
        <v>0</v>
      </c>
      <c r="BE33" s="272">
        <v>0</v>
      </c>
      <c r="BF33" s="272">
        <v>2922</v>
      </c>
      <c r="BG33" s="272">
        <v>0</v>
      </c>
      <c r="BH33" s="272">
        <v>0</v>
      </c>
      <c r="BI33" s="272">
        <v>0</v>
      </c>
      <c r="BJ33" s="272">
        <v>199629</v>
      </c>
      <c r="BK33" s="272">
        <v>9000</v>
      </c>
      <c r="BL33" s="272">
        <v>0</v>
      </c>
      <c r="BM33" s="272">
        <v>0</v>
      </c>
      <c r="BN33" s="272">
        <v>3829100</v>
      </c>
      <c r="BO33" s="455">
        <f t="shared" si="5"/>
        <v>3735900</v>
      </c>
      <c r="BP33" s="455">
        <f t="shared" si="6"/>
        <v>93200</v>
      </c>
      <c r="BQ33" s="272">
        <v>93200</v>
      </c>
      <c r="BR33" s="272">
        <v>0</v>
      </c>
      <c r="BS33" s="272">
        <v>0</v>
      </c>
      <c r="BT33" s="272">
        <v>0</v>
      </c>
      <c r="BU33" s="272">
        <v>19473811</v>
      </c>
      <c r="BV33" s="272"/>
      <c r="BW33" s="272">
        <v>5241982</v>
      </c>
      <c r="BX33" s="272">
        <v>3774424</v>
      </c>
      <c r="BY33" s="272">
        <v>443207</v>
      </c>
      <c r="BZ33" s="272">
        <v>113409</v>
      </c>
      <c r="CA33" s="272">
        <v>1921713</v>
      </c>
      <c r="CB33" s="272">
        <v>260382</v>
      </c>
      <c r="CC33" s="272">
        <v>211597</v>
      </c>
      <c r="CD33" s="272">
        <v>571089</v>
      </c>
      <c r="CE33" s="272">
        <v>828672</v>
      </c>
      <c r="CF33" s="272">
        <v>6521</v>
      </c>
      <c r="CG33" s="272">
        <v>42656</v>
      </c>
      <c r="CH33" s="272">
        <v>2028344</v>
      </c>
      <c r="CI33" s="272">
        <v>1385512</v>
      </c>
      <c r="CJ33" s="455">
        <f t="shared" si="7"/>
        <v>642832</v>
      </c>
      <c r="CK33" s="272">
        <v>2312648</v>
      </c>
      <c r="CL33" s="272">
        <v>1362526</v>
      </c>
      <c r="CM33" s="272">
        <v>272248</v>
      </c>
      <c r="CN33" s="272">
        <v>298533</v>
      </c>
      <c r="CO33" s="272">
        <v>50418</v>
      </c>
      <c r="CP33" s="272">
        <v>1243276</v>
      </c>
      <c r="CQ33" s="272">
        <v>479736</v>
      </c>
      <c r="CR33" s="272">
        <v>361759</v>
      </c>
      <c r="CS33" s="272">
        <v>303763</v>
      </c>
      <c r="CT33" s="455">
        <f t="shared" si="8"/>
        <v>13567</v>
      </c>
      <c r="CU33" s="272">
        <v>2232</v>
      </c>
      <c r="CV33" s="272">
        <v>11335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4334388</v>
      </c>
      <c r="DD33" s="272">
        <v>230262</v>
      </c>
      <c r="DE33" s="272">
        <v>4082384</v>
      </c>
      <c r="DF33" s="272">
        <v>21742</v>
      </c>
      <c r="DG33" s="272">
        <v>0</v>
      </c>
      <c r="DH33" s="272">
        <v>4688</v>
      </c>
      <c r="DI33" s="272">
        <v>463617</v>
      </c>
      <c r="DJ33" s="272">
        <v>293522</v>
      </c>
      <c r="DK33" s="272">
        <v>28896</v>
      </c>
      <c r="DL33" s="272">
        <v>141199</v>
      </c>
      <c r="DM33" s="272">
        <v>0</v>
      </c>
      <c r="DN33" s="272">
        <v>0</v>
      </c>
      <c r="DO33" s="272">
        <v>0</v>
      </c>
      <c r="DP33" s="272">
        <v>0</v>
      </c>
      <c r="DQ33" s="272">
        <v>9000</v>
      </c>
      <c r="DR33" s="272">
        <v>0</v>
      </c>
      <c r="DS33" s="272">
        <v>0</v>
      </c>
      <c r="DT33" s="272">
        <v>2071612</v>
      </c>
      <c r="DU33" s="272">
        <v>1315013</v>
      </c>
      <c r="DV33" s="455">
        <f t="shared" si="11"/>
        <v>0</v>
      </c>
      <c r="DW33" s="272">
        <v>0</v>
      </c>
      <c r="DX33" s="272">
        <v>0</v>
      </c>
      <c r="DY33" s="272">
        <v>0</v>
      </c>
      <c r="DZ33" s="272">
        <v>429687</v>
      </c>
      <c r="EA33" s="272">
        <v>174436</v>
      </c>
      <c r="EB33" s="272">
        <v>151424</v>
      </c>
      <c r="EC33" s="272">
        <v>906569</v>
      </c>
      <c r="ED33" s="272">
        <v>20588255</v>
      </c>
      <c r="EF33" s="272">
        <v>-1114444</v>
      </c>
      <c r="EG33" s="272">
        <v>3642</v>
      </c>
      <c r="EH33" s="272">
        <v>-1118086</v>
      </c>
      <c r="EI33" s="272">
        <v>-159708</v>
      </c>
      <c r="EJ33" s="272">
        <v>133814</v>
      </c>
      <c r="EL33" s="272">
        <v>55136</v>
      </c>
      <c r="EM33" s="272">
        <v>55381</v>
      </c>
      <c r="EN33" s="272"/>
      <c r="EO33" s="272">
        <v>452501</v>
      </c>
      <c r="EP33" s="455">
        <f t="shared" si="12"/>
        <v>224314</v>
      </c>
      <c r="EQ33" s="272">
        <v>12463313</v>
      </c>
      <c r="ER33" s="272">
        <v>-759644</v>
      </c>
      <c r="ES33" s="272">
        <v>4819484</v>
      </c>
      <c r="ET33" s="272">
        <v>3452507</v>
      </c>
      <c r="EU33" s="272">
        <v>584865</v>
      </c>
      <c r="EV33" s="272">
        <v>2028077</v>
      </c>
      <c r="EW33" s="455">
        <f t="shared" si="13"/>
        <v>435187</v>
      </c>
      <c r="EX33" s="272">
        <v>432843</v>
      </c>
      <c r="EY33" s="272">
        <v>13870</v>
      </c>
      <c r="EZ33" s="272">
        <v>397231</v>
      </c>
      <c r="FA33" s="272">
        <v>2344</v>
      </c>
      <c r="FB33" s="272"/>
      <c r="FC33" s="272">
        <v>1980616</v>
      </c>
      <c r="FD33" s="272">
        <v>1139654</v>
      </c>
      <c r="FE33" s="272">
        <v>479736</v>
      </c>
      <c r="FF33" s="272">
        <v>1940626</v>
      </c>
      <c r="FG33" s="455">
        <f t="shared" si="14"/>
        <v>1408892</v>
      </c>
      <c r="FH33" s="272">
        <v>14337401</v>
      </c>
      <c r="FI33" s="384">
        <f t="shared" si="15"/>
        <v>-9.8000000000000007</v>
      </c>
      <c r="FJ33" s="272">
        <v>11359525</v>
      </c>
      <c r="FK33" s="272"/>
      <c r="FL33" s="272">
        <v>5780256</v>
      </c>
      <c r="FM33" s="272">
        <v>9471743</v>
      </c>
      <c r="FN33" s="460">
        <v>0.61299999999999999</v>
      </c>
      <c r="FO33" s="388">
        <v>101.1</v>
      </c>
      <c r="FP33" s="388">
        <v>40</v>
      </c>
      <c r="FQ33" s="388">
        <v>5.0999999999999996</v>
      </c>
      <c r="FR33" s="388">
        <v>16.7</v>
      </c>
      <c r="FS33" s="388">
        <v>16.399999999999999</v>
      </c>
      <c r="FT33" s="388">
        <v>8.4</v>
      </c>
      <c r="FU33" s="388">
        <v>14</v>
      </c>
      <c r="FV33" s="388">
        <v>10.1</v>
      </c>
      <c r="FW33" s="272">
        <v>21021824</v>
      </c>
      <c r="FX33" s="384">
        <f t="shared" si="16"/>
        <v>185.1</v>
      </c>
      <c r="FY33" s="272">
        <v>1891352</v>
      </c>
      <c r="FZ33" s="272">
        <v>471425</v>
      </c>
      <c r="GA33" s="272">
        <v>113480</v>
      </c>
      <c r="GB33" s="272">
        <v>1306447</v>
      </c>
      <c r="GC33" s="272"/>
      <c r="GD33" s="272">
        <v>6040387</v>
      </c>
      <c r="GE33" s="384">
        <f t="shared" si="17"/>
        <v>53.2</v>
      </c>
      <c r="GF33" s="388">
        <v>96.7</v>
      </c>
      <c r="GG33" s="388">
        <v>17.8</v>
      </c>
      <c r="GH33" s="388">
        <v>89.4</v>
      </c>
      <c r="GI33" s="272">
        <v>506</v>
      </c>
    </row>
    <row r="34" spans="2:191" x14ac:dyDescent="0.15">
      <c r="B34" s="89" t="s">
        <v>61</v>
      </c>
      <c r="C34" s="272">
        <v>9664674</v>
      </c>
      <c r="D34" s="455">
        <f t="shared" si="0"/>
        <v>4571836</v>
      </c>
      <c r="E34" s="272">
        <v>71042</v>
      </c>
      <c r="F34" s="272">
        <v>4500794</v>
      </c>
      <c r="G34" s="455">
        <f t="shared" si="1"/>
        <v>378923</v>
      </c>
      <c r="H34" s="272">
        <v>112858</v>
      </c>
      <c r="I34" s="272">
        <v>266065</v>
      </c>
      <c r="J34" s="272">
        <v>3483294</v>
      </c>
      <c r="K34" s="272">
        <v>1648142</v>
      </c>
      <c r="L34" s="272">
        <v>1331872</v>
      </c>
      <c r="M34" s="272">
        <v>457063</v>
      </c>
      <c r="N34" s="272">
        <v>336321</v>
      </c>
      <c r="O34" s="272">
        <v>839009</v>
      </c>
      <c r="P34" s="272">
        <v>536254</v>
      </c>
      <c r="Q34" s="272">
        <v>302755</v>
      </c>
      <c r="R34" s="272">
        <v>151395</v>
      </c>
      <c r="S34" s="272"/>
      <c r="T34" s="455">
        <f t="shared" si="2"/>
        <v>1377446</v>
      </c>
      <c r="U34" s="272">
        <v>548150</v>
      </c>
      <c r="V34" s="272"/>
      <c r="W34" s="272"/>
      <c r="X34" s="272">
        <v>575233</v>
      </c>
      <c r="Y34" s="272">
        <v>103429</v>
      </c>
      <c r="Z34" s="272">
        <v>0</v>
      </c>
      <c r="AA34" s="272">
        <v>150634</v>
      </c>
      <c r="AB34" s="272">
        <v>441695</v>
      </c>
      <c r="AC34" s="272">
        <v>4474230</v>
      </c>
      <c r="AD34" s="272">
        <v>4158178</v>
      </c>
      <c r="AE34" s="272">
        <v>316052</v>
      </c>
      <c r="AF34" s="272">
        <v>11896</v>
      </c>
      <c r="AG34" s="272">
        <v>128403</v>
      </c>
      <c r="AH34" s="455">
        <f t="shared" si="3"/>
        <v>207055</v>
      </c>
      <c r="AI34" s="272">
        <v>138090</v>
      </c>
      <c r="AJ34" s="272">
        <v>68965</v>
      </c>
      <c r="AK34" s="272">
        <v>1172569</v>
      </c>
      <c r="AL34" s="455">
        <f t="shared" si="4"/>
        <v>673241</v>
      </c>
      <c r="AM34" s="272">
        <v>443436</v>
      </c>
      <c r="AN34" s="272">
        <v>219163</v>
      </c>
      <c r="AO34" s="272">
        <v>0</v>
      </c>
      <c r="AP34" s="272">
        <v>10642</v>
      </c>
      <c r="AQ34" s="272">
        <v>37148</v>
      </c>
      <c r="AR34" s="272">
        <v>0</v>
      </c>
      <c r="AS34" s="272">
        <v>0</v>
      </c>
      <c r="AT34" s="272">
        <v>861721</v>
      </c>
      <c r="AU34" s="272">
        <v>398879</v>
      </c>
      <c r="AV34" s="272">
        <v>110628</v>
      </c>
      <c r="AW34" s="272">
        <v>10657</v>
      </c>
      <c r="AX34" s="272">
        <v>462842</v>
      </c>
      <c r="AY34" s="272">
        <v>37830</v>
      </c>
      <c r="AZ34" s="272">
        <v>64070</v>
      </c>
      <c r="BA34" s="272">
        <v>42455</v>
      </c>
      <c r="BB34" s="272">
        <v>42134</v>
      </c>
      <c r="BC34" s="272">
        <v>90322</v>
      </c>
      <c r="BD34" s="272">
        <v>0</v>
      </c>
      <c r="BE34" s="272">
        <v>0</v>
      </c>
      <c r="BF34" s="272">
        <v>90322</v>
      </c>
      <c r="BG34" s="272">
        <v>0</v>
      </c>
      <c r="BH34" s="272">
        <v>0</v>
      </c>
      <c r="BI34" s="272">
        <v>0</v>
      </c>
      <c r="BJ34" s="272">
        <v>94292</v>
      </c>
      <c r="BK34" s="272">
        <v>0</v>
      </c>
      <c r="BL34" s="272">
        <v>27585</v>
      </c>
      <c r="BM34" s="272">
        <v>0</v>
      </c>
      <c r="BN34" s="272">
        <v>5081800</v>
      </c>
      <c r="BO34" s="455">
        <f t="shared" si="5"/>
        <v>4926800</v>
      </c>
      <c r="BP34" s="455">
        <f t="shared" si="6"/>
        <v>155000</v>
      </c>
      <c r="BQ34" s="272">
        <v>155000</v>
      </c>
      <c r="BR34" s="272">
        <v>0</v>
      </c>
      <c r="BS34" s="272">
        <v>0</v>
      </c>
      <c r="BT34" s="272">
        <v>0</v>
      </c>
      <c r="BU34" s="272">
        <v>23863702</v>
      </c>
      <c r="BV34" s="272"/>
      <c r="BW34" s="272">
        <v>6036906</v>
      </c>
      <c r="BX34" s="272">
        <v>4387315</v>
      </c>
      <c r="BY34" s="272">
        <v>331499</v>
      </c>
      <c r="BZ34" s="272">
        <v>252358</v>
      </c>
      <c r="CA34" s="272">
        <v>2253030</v>
      </c>
      <c r="CB34" s="272">
        <v>462277</v>
      </c>
      <c r="CC34" s="272">
        <v>267060</v>
      </c>
      <c r="CD34" s="272">
        <v>848101</v>
      </c>
      <c r="CE34" s="272">
        <v>556040</v>
      </c>
      <c r="CF34" s="272">
        <v>31</v>
      </c>
      <c r="CG34" s="272">
        <v>119521</v>
      </c>
      <c r="CH34" s="272">
        <v>3513787</v>
      </c>
      <c r="CI34" s="272">
        <v>2408190</v>
      </c>
      <c r="CJ34" s="455">
        <f t="shared" si="7"/>
        <v>1105597</v>
      </c>
      <c r="CK34" s="272">
        <v>2409397</v>
      </c>
      <c r="CL34" s="272">
        <v>1362196</v>
      </c>
      <c r="CM34" s="272">
        <v>159913</v>
      </c>
      <c r="CN34" s="272">
        <v>486081</v>
      </c>
      <c r="CO34" s="272">
        <v>108738</v>
      </c>
      <c r="CP34" s="272">
        <v>1079787</v>
      </c>
      <c r="CQ34" s="272">
        <v>471023</v>
      </c>
      <c r="CR34" s="272">
        <v>336569</v>
      </c>
      <c r="CS34" s="272">
        <v>336569</v>
      </c>
      <c r="CT34" s="455">
        <f t="shared" si="8"/>
        <v>8003</v>
      </c>
      <c r="CU34" s="272">
        <v>8003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6168745</v>
      </c>
      <c r="DD34" s="272">
        <v>98509</v>
      </c>
      <c r="DE34" s="272">
        <v>6031626</v>
      </c>
      <c r="DF34" s="272">
        <v>11025</v>
      </c>
      <c r="DG34" s="272">
        <v>27585</v>
      </c>
      <c r="DH34" s="272">
        <v>157</v>
      </c>
      <c r="DI34" s="272">
        <v>638155</v>
      </c>
      <c r="DJ34" s="272">
        <v>1568</v>
      </c>
      <c r="DK34" s="272">
        <v>104867</v>
      </c>
      <c r="DL34" s="272">
        <v>531720</v>
      </c>
      <c r="DM34" s="272">
        <v>0</v>
      </c>
      <c r="DN34" s="272">
        <v>0</v>
      </c>
      <c r="DO34" s="272">
        <v>0</v>
      </c>
      <c r="DP34" s="272">
        <v>0</v>
      </c>
      <c r="DQ34" s="272">
        <v>0</v>
      </c>
      <c r="DR34" s="272">
        <v>0</v>
      </c>
      <c r="DS34" s="272">
        <v>0</v>
      </c>
      <c r="DT34" s="272">
        <v>1745209</v>
      </c>
      <c r="DU34" s="272">
        <v>802582</v>
      </c>
      <c r="DV34" s="455">
        <f t="shared" si="11"/>
        <v>0</v>
      </c>
      <c r="DW34" s="272">
        <v>0</v>
      </c>
      <c r="DX34" s="272">
        <v>0</v>
      </c>
      <c r="DY34" s="272">
        <v>0</v>
      </c>
      <c r="DZ34" s="272">
        <v>323707</v>
      </c>
      <c r="EA34" s="272">
        <v>260947</v>
      </c>
      <c r="EB34" s="272">
        <v>357973</v>
      </c>
      <c r="EC34" s="272">
        <v>241191</v>
      </c>
      <c r="ED34" s="272">
        <v>24195102</v>
      </c>
      <c r="EF34" s="272">
        <v>-331400</v>
      </c>
      <c r="EG34" s="272">
        <v>36827</v>
      </c>
      <c r="EH34" s="272">
        <v>-368227</v>
      </c>
      <c r="EI34" s="272">
        <v>-102406</v>
      </c>
      <c r="EJ34" s="272">
        <v>-100838</v>
      </c>
      <c r="EL34" s="272">
        <v>76919</v>
      </c>
      <c r="EM34" s="272">
        <v>77599</v>
      </c>
      <c r="EN34" s="272"/>
      <c r="EO34" s="272">
        <v>24265</v>
      </c>
      <c r="EP34" s="455">
        <f t="shared" si="12"/>
        <v>103557</v>
      </c>
      <c r="EQ34" s="272">
        <v>16121336</v>
      </c>
      <c r="ER34" s="272">
        <v>-270926</v>
      </c>
      <c r="ES34" s="272">
        <v>5728008</v>
      </c>
      <c r="ET34" s="272">
        <v>4123301</v>
      </c>
      <c r="EU34" s="272">
        <v>824441</v>
      </c>
      <c r="EV34" s="272">
        <v>3513787</v>
      </c>
      <c r="EW34" s="455">
        <f t="shared" si="13"/>
        <v>1009769</v>
      </c>
      <c r="EX34" s="272">
        <v>1009612</v>
      </c>
      <c r="EY34" s="272">
        <v>13821</v>
      </c>
      <c r="EZ34" s="272">
        <v>990278</v>
      </c>
      <c r="FA34" s="272">
        <v>157</v>
      </c>
      <c r="FB34" s="272"/>
      <c r="FC34" s="272">
        <v>2038949</v>
      </c>
      <c r="FD34" s="272">
        <v>1008542</v>
      </c>
      <c r="FE34" s="272">
        <v>471023</v>
      </c>
      <c r="FF34" s="272">
        <v>1625027</v>
      </c>
      <c r="FG34" s="455">
        <f t="shared" si="14"/>
        <v>975139</v>
      </c>
      <c r="FH34" s="272">
        <v>16723662</v>
      </c>
      <c r="FI34" s="384">
        <f t="shared" si="15"/>
        <v>-2.4</v>
      </c>
      <c r="FJ34" s="272">
        <v>15137548</v>
      </c>
      <c r="FK34" s="272"/>
      <c r="FL34" s="272">
        <v>8276967</v>
      </c>
      <c r="FM34" s="272">
        <v>12435145</v>
      </c>
      <c r="FN34" s="460">
        <v>0.67700000000000005</v>
      </c>
      <c r="FO34" s="388">
        <v>91.7</v>
      </c>
      <c r="FP34" s="388">
        <v>36.799999999999997</v>
      </c>
      <c r="FQ34" s="388">
        <v>5.5</v>
      </c>
      <c r="FR34" s="388">
        <v>23.4</v>
      </c>
      <c r="FS34" s="388">
        <v>12.6</v>
      </c>
      <c r="FT34" s="388">
        <v>6.4</v>
      </c>
      <c r="FU34" s="388">
        <v>6.2</v>
      </c>
      <c r="FV34" s="388">
        <v>12.6</v>
      </c>
      <c r="FW34" s="272">
        <v>38040626</v>
      </c>
      <c r="FX34" s="384">
        <f t="shared" si="16"/>
        <v>251.3</v>
      </c>
      <c r="FY34" s="272">
        <v>3757627</v>
      </c>
      <c r="FZ34" s="272">
        <v>437561</v>
      </c>
      <c r="GA34" s="272">
        <v>975306</v>
      </c>
      <c r="GB34" s="272">
        <v>2344760</v>
      </c>
      <c r="GC34" s="272"/>
      <c r="GD34" s="272">
        <v>29572980</v>
      </c>
      <c r="GE34" s="384">
        <f t="shared" si="17"/>
        <v>195.4</v>
      </c>
      <c r="GF34" s="388">
        <v>97.2</v>
      </c>
      <c r="GG34" s="388">
        <v>22.4</v>
      </c>
      <c r="GH34" s="388">
        <v>90.1</v>
      </c>
      <c r="GI34" s="272">
        <v>596</v>
      </c>
    </row>
    <row r="35" spans="2:191" x14ac:dyDescent="0.15">
      <c r="B35" s="89" t="s">
        <v>63</v>
      </c>
      <c r="C35" s="272">
        <v>7684854</v>
      </c>
      <c r="D35" s="455">
        <f t="shared" si="0"/>
        <v>3565155</v>
      </c>
      <c r="E35" s="272">
        <v>52123</v>
      </c>
      <c r="F35" s="272">
        <v>3513032</v>
      </c>
      <c r="G35" s="455">
        <f t="shared" si="1"/>
        <v>433495</v>
      </c>
      <c r="H35" s="272">
        <v>93263</v>
      </c>
      <c r="I35" s="272">
        <v>340232</v>
      </c>
      <c r="J35" s="272">
        <v>2924668</v>
      </c>
      <c r="K35" s="272">
        <v>1408055</v>
      </c>
      <c r="L35" s="272">
        <v>1155028</v>
      </c>
      <c r="M35" s="272">
        <v>329824</v>
      </c>
      <c r="N35" s="272">
        <v>282765</v>
      </c>
      <c r="O35" s="272">
        <v>437143</v>
      </c>
      <c r="P35" s="272">
        <v>284225</v>
      </c>
      <c r="Q35" s="272">
        <v>152918</v>
      </c>
      <c r="R35" s="272">
        <v>125966</v>
      </c>
      <c r="S35" s="272"/>
      <c r="T35" s="455">
        <f t="shared" si="2"/>
        <v>1054292</v>
      </c>
      <c r="U35" s="272">
        <v>431590</v>
      </c>
      <c r="V35" s="272"/>
      <c r="W35" s="272"/>
      <c r="X35" s="272">
        <v>497219</v>
      </c>
      <c r="Y35" s="272">
        <v>0</v>
      </c>
      <c r="Z35" s="272">
        <v>318</v>
      </c>
      <c r="AA35" s="272">
        <v>125165</v>
      </c>
      <c r="AB35" s="272">
        <v>366692</v>
      </c>
      <c r="AC35" s="272">
        <v>3543807</v>
      </c>
      <c r="AD35" s="272">
        <v>3102131</v>
      </c>
      <c r="AE35" s="272">
        <v>441676</v>
      </c>
      <c r="AF35" s="272">
        <v>11419</v>
      </c>
      <c r="AG35" s="272">
        <v>187859</v>
      </c>
      <c r="AH35" s="455">
        <f t="shared" si="3"/>
        <v>276072</v>
      </c>
      <c r="AI35" s="272">
        <v>238898</v>
      </c>
      <c r="AJ35" s="272">
        <v>37174</v>
      </c>
      <c r="AK35" s="272">
        <v>991257</v>
      </c>
      <c r="AL35" s="455">
        <f t="shared" si="4"/>
        <v>538039</v>
      </c>
      <c r="AM35" s="272">
        <v>429228</v>
      </c>
      <c r="AN35" s="272">
        <v>101341</v>
      </c>
      <c r="AO35" s="272">
        <v>0</v>
      </c>
      <c r="AP35" s="272">
        <v>7470</v>
      </c>
      <c r="AQ35" s="272">
        <v>135000</v>
      </c>
      <c r="AR35" s="272">
        <v>0</v>
      </c>
      <c r="AS35" s="272">
        <v>0</v>
      </c>
      <c r="AT35" s="272">
        <v>666586</v>
      </c>
      <c r="AU35" s="272">
        <v>296615</v>
      </c>
      <c r="AV35" s="272">
        <v>59029</v>
      </c>
      <c r="AW35" s="272">
        <v>0</v>
      </c>
      <c r="AX35" s="272">
        <v>369971</v>
      </c>
      <c r="AY35" s="272">
        <v>46184</v>
      </c>
      <c r="AZ35" s="272">
        <v>66103</v>
      </c>
      <c r="BA35" s="272">
        <v>7266</v>
      </c>
      <c r="BB35" s="272">
        <v>100026</v>
      </c>
      <c r="BC35" s="272">
        <v>14981</v>
      </c>
      <c r="BD35" s="272">
        <v>0</v>
      </c>
      <c r="BE35" s="272">
        <v>0</v>
      </c>
      <c r="BF35" s="272">
        <v>14981</v>
      </c>
      <c r="BG35" s="272">
        <v>0</v>
      </c>
      <c r="BH35" s="272">
        <v>129799</v>
      </c>
      <c r="BI35" s="272">
        <v>119799</v>
      </c>
      <c r="BJ35" s="272">
        <v>79064</v>
      </c>
      <c r="BK35" s="272">
        <v>146</v>
      </c>
      <c r="BL35" s="272">
        <v>0</v>
      </c>
      <c r="BM35" s="272">
        <v>0</v>
      </c>
      <c r="BN35" s="272">
        <v>1204800</v>
      </c>
      <c r="BO35" s="455">
        <f t="shared" si="5"/>
        <v>1075300</v>
      </c>
      <c r="BP35" s="455">
        <f t="shared" si="6"/>
        <v>129500</v>
      </c>
      <c r="BQ35" s="272">
        <v>129500</v>
      </c>
      <c r="BR35" s="272">
        <v>0</v>
      </c>
      <c r="BS35" s="272">
        <v>0</v>
      </c>
      <c r="BT35" s="272">
        <v>0</v>
      </c>
      <c r="BU35" s="272">
        <v>16503577</v>
      </c>
      <c r="BV35" s="272"/>
      <c r="BW35" s="272">
        <v>4599964</v>
      </c>
      <c r="BX35" s="272">
        <v>3515692</v>
      </c>
      <c r="BY35" s="272">
        <v>178324</v>
      </c>
      <c r="BZ35" s="272">
        <v>53908</v>
      </c>
      <c r="CA35" s="272">
        <v>1477149</v>
      </c>
      <c r="CB35" s="272">
        <v>316678</v>
      </c>
      <c r="CC35" s="272">
        <v>186406</v>
      </c>
      <c r="CD35" s="272">
        <v>362717</v>
      </c>
      <c r="CE35" s="272">
        <v>583156</v>
      </c>
      <c r="CF35" s="272">
        <v>0</v>
      </c>
      <c r="CG35" s="272">
        <v>28192</v>
      </c>
      <c r="CH35" s="272">
        <v>2371366</v>
      </c>
      <c r="CI35" s="272">
        <v>1489562</v>
      </c>
      <c r="CJ35" s="455">
        <f t="shared" si="7"/>
        <v>881804</v>
      </c>
      <c r="CK35" s="272">
        <v>2358693</v>
      </c>
      <c r="CL35" s="272">
        <v>1390927</v>
      </c>
      <c r="CM35" s="272">
        <v>107576</v>
      </c>
      <c r="CN35" s="272">
        <v>376057</v>
      </c>
      <c r="CO35" s="272">
        <v>23925</v>
      </c>
      <c r="CP35" s="272">
        <v>1184895</v>
      </c>
      <c r="CQ35" s="272">
        <v>399034</v>
      </c>
      <c r="CR35" s="272">
        <v>379925</v>
      </c>
      <c r="CS35" s="272">
        <v>298017</v>
      </c>
      <c r="CT35" s="455">
        <f t="shared" si="8"/>
        <v>14037</v>
      </c>
      <c r="CU35" s="272">
        <v>4037</v>
      </c>
      <c r="CV35" s="272">
        <v>10000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2456698</v>
      </c>
      <c r="DD35" s="272">
        <v>274175</v>
      </c>
      <c r="DE35" s="272">
        <v>2154461</v>
      </c>
      <c r="DF35" s="272">
        <v>28062</v>
      </c>
      <c r="DG35" s="272">
        <v>0</v>
      </c>
      <c r="DH35" s="272">
        <v>0</v>
      </c>
      <c r="DI35" s="272">
        <v>363992</v>
      </c>
      <c r="DJ35" s="272">
        <v>110000</v>
      </c>
      <c r="DK35" s="272">
        <v>100000</v>
      </c>
      <c r="DL35" s="272">
        <v>153992</v>
      </c>
      <c r="DM35" s="272">
        <v>0</v>
      </c>
      <c r="DN35" s="272">
        <v>0</v>
      </c>
      <c r="DO35" s="272">
        <v>0</v>
      </c>
      <c r="DP35" s="272">
        <v>0</v>
      </c>
      <c r="DQ35" s="272">
        <v>432</v>
      </c>
      <c r="DR35" s="272">
        <v>0</v>
      </c>
      <c r="DS35" s="272">
        <v>0</v>
      </c>
      <c r="DT35" s="272">
        <v>1524861</v>
      </c>
      <c r="DU35" s="272">
        <v>715194</v>
      </c>
      <c r="DV35" s="455">
        <f t="shared" si="11"/>
        <v>0</v>
      </c>
      <c r="DW35" s="272">
        <v>0</v>
      </c>
      <c r="DX35" s="272">
        <v>0</v>
      </c>
      <c r="DY35" s="272">
        <v>0</v>
      </c>
      <c r="DZ35" s="272">
        <v>356641</v>
      </c>
      <c r="EA35" s="272">
        <v>185098</v>
      </c>
      <c r="EB35" s="272">
        <v>266928</v>
      </c>
      <c r="EC35" s="272">
        <v>0</v>
      </c>
      <c r="ED35" s="272">
        <v>16361975</v>
      </c>
      <c r="EF35" s="272">
        <v>141602</v>
      </c>
      <c r="EG35" s="272">
        <v>18244</v>
      </c>
      <c r="EH35" s="272">
        <v>123358</v>
      </c>
      <c r="EI35" s="272">
        <v>3559</v>
      </c>
      <c r="EJ35" s="272">
        <v>113559</v>
      </c>
      <c r="EL35" s="272">
        <v>56996</v>
      </c>
      <c r="EM35" s="272">
        <v>56144</v>
      </c>
      <c r="EN35" s="272"/>
      <c r="EO35" s="272">
        <v>8562</v>
      </c>
      <c r="EP35" s="455">
        <f t="shared" si="12"/>
        <v>335381</v>
      </c>
      <c r="EQ35" s="272">
        <v>12787030</v>
      </c>
      <c r="ER35" s="272">
        <v>-462024</v>
      </c>
      <c r="ES35" s="272">
        <v>4275455</v>
      </c>
      <c r="ET35" s="272">
        <v>3216101</v>
      </c>
      <c r="EU35" s="272">
        <v>474216</v>
      </c>
      <c r="EV35" s="272">
        <v>2371366</v>
      </c>
      <c r="EW35" s="455">
        <f t="shared" si="13"/>
        <v>1083565</v>
      </c>
      <c r="EX35" s="272">
        <v>1083565</v>
      </c>
      <c r="EY35" s="272">
        <v>103500</v>
      </c>
      <c r="EZ35" s="272">
        <v>952003</v>
      </c>
      <c r="FA35" s="272">
        <v>0</v>
      </c>
      <c r="FB35" s="272"/>
      <c r="FC35" s="272">
        <v>2005291</v>
      </c>
      <c r="FD35" s="272">
        <v>1126517</v>
      </c>
      <c r="FE35" s="272">
        <v>399034</v>
      </c>
      <c r="FF35" s="272">
        <v>1423959</v>
      </c>
      <c r="FG35" s="455">
        <f t="shared" si="14"/>
        <v>348583</v>
      </c>
      <c r="FH35" s="272">
        <v>13108952</v>
      </c>
      <c r="FI35" s="384">
        <f t="shared" si="15"/>
        <v>1</v>
      </c>
      <c r="FJ35" s="272">
        <v>12001953</v>
      </c>
      <c r="FK35" s="272"/>
      <c r="FL35" s="272">
        <v>6709232</v>
      </c>
      <c r="FM35" s="272">
        <v>9811363</v>
      </c>
      <c r="FN35" s="460">
        <v>0.69199999999999995</v>
      </c>
      <c r="FO35" s="388">
        <v>90.2</v>
      </c>
      <c r="FP35" s="388">
        <v>35</v>
      </c>
      <c r="FQ35" s="388">
        <v>4</v>
      </c>
      <c r="FR35" s="388">
        <v>19.8</v>
      </c>
      <c r="FS35" s="388">
        <v>16.5</v>
      </c>
      <c r="FT35" s="388">
        <v>8.6</v>
      </c>
      <c r="FU35" s="388">
        <v>6.2</v>
      </c>
      <c r="FV35" s="388">
        <v>11.3</v>
      </c>
      <c r="FW35" s="272">
        <v>23382417</v>
      </c>
      <c r="FX35" s="384">
        <f t="shared" si="16"/>
        <v>194.8</v>
      </c>
      <c r="FY35" s="272">
        <v>3800490</v>
      </c>
      <c r="FZ35" s="272">
        <v>1955000</v>
      </c>
      <c r="GA35" s="272">
        <v>530000</v>
      </c>
      <c r="GB35" s="272">
        <v>1315490</v>
      </c>
      <c r="GC35" s="272"/>
      <c r="GD35" s="272">
        <v>3737289</v>
      </c>
      <c r="GE35" s="384">
        <f t="shared" si="17"/>
        <v>31.1</v>
      </c>
      <c r="GF35" s="388">
        <v>97</v>
      </c>
      <c r="GG35" s="388">
        <v>9.8000000000000007</v>
      </c>
      <c r="GH35" s="388">
        <v>89.2</v>
      </c>
      <c r="GI35" s="272">
        <v>486</v>
      </c>
    </row>
    <row r="36" spans="2:191" x14ac:dyDescent="0.15">
      <c r="B36" s="89" t="s">
        <v>65</v>
      </c>
      <c r="C36" s="272">
        <v>6227859</v>
      </c>
      <c r="D36" s="455">
        <f t="shared" si="0"/>
        <v>2646003</v>
      </c>
      <c r="E36" s="272">
        <v>52311</v>
      </c>
      <c r="F36" s="272">
        <v>2593692</v>
      </c>
      <c r="G36" s="455">
        <f t="shared" si="1"/>
        <v>175569</v>
      </c>
      <c r="H36" s="272">
        <v>71756</v>
      </c>
      <c r="I36" s="272">
        <v>103813</v>
      </c>
      <c r="J36" s="272">
        <v>2612185</v>
      </c>
      <c r="K36" s="272">
        <v>1332973</v>
      </c>
      <c r="L36" s="272">
        <v>994681</v>
      </c>
      <c r="M36" s="272">
        <v>240738</v>
      </c>
      <c r="N36" s="272">
        <v>278759</v>
      </c>
      <c r="O36" s="272">
        <v>426580</v>
      </c>
      <c r="P36" s="272">
        <v>282754</v>
      </c>
      <c r="Q36" s="272">
        <v>143826</v>
      </c>
      <c r="R36" s="272">
        <v>138956</v>
      </c>
      <c r="S36" s="272"/>
      <c r="T36" s="455">
        <f t="shared" si="2"/>
        <v>902114</v>
      </c>
      <c r="U36" s="272">
        <v>320731</v>
      </c>
      <c r="V36" s="272"/>
      <c r="W36" s="272"/>
      <c r="X36" s="272">
        <v>436225</v>
      </c>
      <c r="Y36" s="272">
        <v>6223</v>
      </c>
      <c r="Z36" s="272">
        <v>772</v>
      </c>
      <c r="AA36" s="272">
        <v>138163</v>
      </c>
      <c r="AB36" s="272">
        <v>244217</v>
      </c>
      <c r="AC36" s="272">
        <v>4277604</v>
      </c>
      <c r="AD36" s="272">
        <v>3881579</v>
      </c>
      <c r="AE36" s="272">
        <v>396025</v>
      </c>
      <c r="AF36" s="272">
        <v>12716</v>
      </c>
      <c r="AG36" s="272">
        <v>66313</v>
      </c>
      <c r="AH36" s="455">
        <f t="shared" si="3"/>
        <v>225022</v>
      </c>
      <c r="AI36" s="272">
        <v>198520</v>
      </c>
      <c r="AJ36" s="272">
        <v>26502</v>
      </c>
      <c r="AK36" s="272">
        <v>1245613</v>
      </c>
      <c r="AL36" s="455">
        <f t="shared" si="4"/>
        <v>772005</v>
      </c>
      <c r="AM36" s="272">
        <v>523942</v>
      </c>
      <c r="AN36" s="272">
        <v>231017</v>
      </c>
      <c r="AO36" s="272">
        <v>0</v>
      </c>
      <c r="AP36" s="272">
        <v>17046</v>
      </c>
      <c r="AQ36" s="272">
        <v>95644</v>
      </c>
      <c r="AR36" s="272">
        <v>5761</v>
      </c>
      <c r="AS36" s="272">
        <v>0</v>
      </c>
      <c r="AT36" s="272">
        <v>779133</v>
      </c>
      <c r="AU36" s="272">
        <v>332657</v>
      </c>
      <c r="AV36" s="272">
        <v>99232</v>
      </c>
      <c r="AW36" s="272">
        <v>20799</v>
      </c>
      <c r="AX36" s="272">
        <v>446476</v>
      </c>
      <c r="AY36" s="272">
        <v>43434</v>
      </c>
      <c r="AZ36" s="272">
        <v>156355</v>
      </c>
      <c r="BA36" s="272">
        <v>142632</v>
      </c>
      <c r="BB36" s="272">
        <v>173740</v>
      </c>
      <c r="BC36" s="272">
        <v>729056</v>
      </c>
      <c r="BD36" s="272">
        <v>133719</v>
      </c>
      <c r="BE36" s="272">
        <v>29445</v>
      </c>
      <c r="BF36" s="272">
        <v>563971</v>
      </c>
      <c r="BG36" s="272">
        <v>0</v>
      </c>
      <c r="BH36" s="272">
        <v>192365</v>
      </c>
      <c r="BI36" s="272">
        <v>192365</v>
      </c>
      <c r="BJ36" s="272">
        <v>360653</v>
      </c>
      <c r="BK36" s="272">
        <v>12012</v>
      </c>
      <c r="BL36" s="272">
        <v>0</v>
      </c>
      <c r="BM36" s="272">
        <v>0</v>
      </c>
      <c r="BN36" s="272">
        <v>372700</v>
      </c>
      <c r="BO36" s="455">
        <f t="shared" si="5"/>
        <v>284000</v>
      </c>
      <c r="BP36" s="455">
        <f t="shared" si="6"/>
        <v>88700</v>
      </c>
      <c r="BQ36" s="272">
        <v>88700</v>
      </c>
      <c r="BR36" s="272">
        <v>0</v>
      </c>
      <c r="BS36" s="272">
        <v>0</v>
      </c>
      <c r="BT36" s="272">
        <v>0</v>
      </c>
      <c r="BU36" s="272">
        <v>16104416</v>
      </c>
      <c r="BV36" s="272"/>
      <c r="BW36" s="272">
        <v>4815678</v>
      </c>
      <c r="BX36" s="272">
        <v>3699837</v>
      </c>
      <c r="BY36" s="272">
        <v>191183</v>
      </c>
      <c r="BZ36" s="272">
        <v>47978</v>
      </c>
      <c r="CA36" s="272">
        <v>1625932</v>
      </c>
      <c r="CB36" s="272">
        <v>349663</v>
      </c>
      <c r="CC36" s="272">
        <v>243366</v>
      </c>
      <c r="CD36" s="272">
        <v>300308</v>
      </c>
      <c r="CE36" s="272">
        <v>705376</v>
      </c>
      <c r="CF36" s="272">
        <v>3395</v>
      </c>
      <c r="CG36" s="272">
        <v>23824</v>
      </c>
      <c r="CH36" s="272">
        <v>1833625</v>
      </c>
      <c r="CI36" s="272">
        <v>1153980</v>
      </c>
      <c r="CJ36" s="455">
        <f t="shared" si="7"/>
        <v>679645</v>
      </c>
      <c r="CK36" s="272">
        <v>2441137</v>
      </c>
      <c r="CL36" s="272">
        <v>1221395</v>
      </c>
      <c r="CM36" s="272">
        <v>363707</v>
      </c>
      <c r="CN36" s="272">
        <v>526479</v>
      </c>
      <c r="CO36" s="272">
        <v>101616</v>
      </c>
      <c r="CP36" s="272">
        <v>1625224</v>
      </c>
      <c r="CQ36" s="272">
        <v>549146</v>
      </c>
      <c r="CR36" s="272">
        <v>354254</v>
      </c>
      <c r="CS36" s="272">
        <v>278948</v>
      </c>
      <c r="CT36" s="455">
        <f t="shared" si="8"/>
        <v>390415</v>
      </c>
      <c r="CU36" s="272">
        <v>333101</v>
      </c>
      <c r="CV36" s="272">
        <v>57314</v>
      </c>
      <c r="CW36" s="455">
        <f t="shared" si="9"/>
        <v>382415</v>
      </c>
      <c r="CX36" s="272">
        <v>325101</v>
      </c>
      <c r="CY36" s="272">
        <v>57314</v>
      </c>
      <c r="CZ36" s="455">
        <f t="shared" si="10"/>
        <v>0</v>
      </c>
      <c r="DA36" s="272">
        <v>0</v>
      </c>
      <c r="DB36" s="272">
        <v>0</v>
      </c>
      <c r="DC36" s="272">
        <v>1565642</v>
      </c>
      <c r="DD36" s="272">
        <v>235917</v>
      </c>
      <c r="DE36" s="272">
        <v>1295337</v>
      </c>
      <c r="DF36" s="272">
        <v>34388</v>
      </c>
      <c r="DG36" s="272">
        <v>0</v>
      </c>
      <c r="DH36" s="272">
        <v>22374</v>
      </c>
      <c r="DI36" s="272">
        <v>258349</v>
      </c>
      <c r="DJ36" s="272">
        <v>4135</v>
      </c>
      <c r="DK36" s="272">
        <v>240</v>
      </c>
      <c r="DL36" s="272">
        <v>253974</v>
      </c>
      <c r="DM36" s="272">
        <v>0</v>
      </c>
      <c r="DN36" s="272">
        <v>0</v>
      </c>
      <c r="DO36" s="272">
        <v>0</v>
      </c>
      <c r="DP36" s="272">
        <v>0</v>
      </c>
      <c r="DQ36" s="272">
        <v>52000</v>
      </c>
      <c r="DR36" s="272">
        <v>40000</v>
      </c>
      <c r="DS36" s="272">
        <v>40000</v>
      </c>
      <c r="DT36" s="272">
        <v>1615713</v>
      </c>
      <c r="DU36" s="272">
        <v>763684</v>
      </c>
      <c r="DV36" s="455">
        <f t="shared" si="11"/>
        <v>0</v>
      </c>
      <c r="DW36" s="272">
        <v>0</v>
      </c>
      <c r="DX36" s="272">
        <v>0</v>
      </c>
      <c r="DY36" s="272">
        <v>0</v>
      </c>
      <c r="DZ36" s="272">
        <v>394771</v>
      </c>
      <c r="EA36" s="272">
        <v>201124</v>
      </c>
      <c r="EB36" s="272">
        <v>256128</v>
      </c>
      <c r="EC36" s="272">
        <v>0</v>
      </c>
      <c r="ED36" s="272">
        <v>15957290</v>
      </c>
      <c r="EE36" s="89"/>
      <c r="EF36" s="272">
        <v>147126</v>
      </c>
      <c r="EG36" s="272">
        <v>0</v>
      </c>
      <c r="EH36" s="272">
        <v>147126</v>
      </c>
      <c r="EI36" s="272">
        <v>-45239</v>
      </c>
      <c r="EJ36" s="272">
        <v>-174823</v>
      </c>
      <c r="EL36" s="272">
        <v>58193</v>
      </c>
      <c r="EM36" s="272">
        <v>59781</v>
      </c>
      <c r="EN36" s="272">
        <v>165085</v>
      </c>
      <c r="EO36" s="272">
        <v>3882</v>
      </c>
      <c r="EP36" s="455">
        <f t="shared" si="12"/>
        <v>659016</v>
      </c>
      <c r="EQ36" s="272">
        <v>11803466</v>
      </c>
      <c r="ER36" s="272">
        <v>-903967</v>
      </c>
      <c r="ES36" s="272">
        <v>4378293</v>
      </c>
      <c r="ET36" s="272">
        <v>3268828</v>
      </c>
      <c r="EU36" s="272">
        <v>593986</v>
      </c>
      <c r="EV36" s="272">
        <v>1833625</v>
      </c>
      <c r="EW36" s="455">
        <f t="shared" si="13"/>
        <v>673109</v>
      </c>
      <c r="EX36" s="272">
        <v>667208</v>
      </c>
      <c r="EY36" s="272">
        <v>19469</v>
      </c>
      <c r="EZ36" s="272">
        <v>627051</v>
      </c>
      <c r="FA36" s="272">
        <v>5901</v>
      </c>
      <c r="FB36" s="272"/>
      <c r="FC36" s="272">
        <v>2063665</v>
      </c>
      <c r="FD36" s="272">
        <v>1295983</v>
      </c>
      <c r="FE36" s="272">
        <v>532406</v>
      </c>
      <c r="FF36" s="272">
        <v>1449629</v>
      </c>
      <c r="FG36" s="455">
        <f t="shared" si="14"/>
        <v>272017</v>
      </c>
      <c r="FH36" s="272">
        <v>12560307</v>
      </c>
      <c r="FI36" s="384">
        <f t="shared" si="15"/>
        <v>1.3</v>
      </c>
      <c r="FJ36" s="272">
        <v>11197258</v>
      </c>
      <c r="FK36" s="272"/>
      <c r="FL36" s="272">
        <v>5524090</v>
      </c>
      <c r="FM36" s="272">
        <v>9404872</v>
      </c>
      <c r="FN36" s="460">
        <v>0.59199999999999997</v>
      </c>
      <c r="FO36" s="388">
        <v>97.2</v>
      </c>
      <c r="FP36" s="388">
        <v>39.1</v>
      </c>
      <c r="FQ36" s="388">
        <v>5.4</v>
      </c>
      <c r="FR36" s="388">
        <v>16.600000000000001</v>
      </c>
      <c r="FS36" s="388">
        <v>18</v>
      </c>
      <c r="FT36" s="388">
        <v>9.4</v>
      </c>
      <c r="FU36" s="388">
        <v>8</v>
      </c>
      <c r="FV36" s="388">
        <v>12.1</v>
      </c>
      <c r="FW36" s="272">
        <v>15456250</v>
      </c>
      <c r="FX36" s="384">
        <f t="shared" si="16"/>
        <v>138</v>
      </c>
      <c r="FY36" s="272">
        <v>3251185</v>
      </c>
      <c r="FZ36" s="272">
        <v>1838454</v>
      </c>
      <c r="GA36" s="272">
        <v>56489</v>
      </c>
      <c r="GB36" s="272">
        <v>1356242</v>
      </c>
      <c r="GC36" s="272"/>
      <c r="GD36" s="272">
        <v>224416</v>
      </c>
      <c r="GE36" s="384">
        <f t="shared" si="17"/>
        <v>2</v>
      </c>
      <c r="GF36" s="388">
        <v>96.6</v>
      </c>
      <c r="GG36" s="388">
        <v>18.100000000000001</v>
      </c>
      <c r="GH36" s="388">
        <v>87.9</v>
      </c>
      <c r="GI36" s="272">
        <v>531</v>
      </c>
    </row>
    <row r="37" spans="2:191" x14ac:dyDescent="0.15">
      <c r="B37" s="21" t="s">
        <v>67</v>
      </c>
      <c r="C37" s="272">
        <f>SUM(C6:C36)</f>
        <v>801401010</v>
      </c>
      <c r="D37" s="455">
        <f t="shared" si="0"/>
        <v>273668560</v>
      </c>
      <c r="E37" s="272">
        <f>SUM(E6:E36)</f>
        <v>4864590</v>
      </c>
      <c r="F37" s="272">
        <f>SUM(F6:F36)</f>
        <v>268803970</v>
      </c>
      <c r="G37" s="455">
        <f t="shared" si="1"/>
        <v>60606833</v>
      </c>
      <c r="H37" s="272">
        <f t="shared" ref="H37:R37" si="18">SUM(H6:H36)</f>
        <v>12144609</v>
      </c>
      <c r="I37" s="272">
        <f t="shared" si="18"/>
        <v>48462224</v>
      </c>
      <c r="J37" s="272">
        <f t="shared" si="18"/>
        <v>345126736</v>
      </c>
      <c r="K37" s="272">
        <f t="shared" si="18"/>
        <v>177122719</v>
      </c>
      <c r="L37" s="272">
        <f t="shared" si="18"/>
        <v>115768943</v>
      </c>
      <c r="M37" s="272">
        <f t="shared" si="18"/>
        <v>46600285</v>
      </c>
      <c r="N37" s="272">
        <f t="shared" si="18"/>
        <v>32063969</v>
      </c>
      <c r="O37" s="272">
        <f t="shared" si="18"/>
        <v>77674785</v>
      </c>
      <c r="P37" s="272">
        <f t="shared" si="18"/>
        <v>51949588</v>
      </c>
      <c r="Q37" s="272">
        <f t="shared" si="18"/>
        <v>25725197</v>
      </c>
      <c r="R37" s="272">
        <f t="shared" si="18"/>
        <v>12486246</v>
      </c>
      <c r="S37" s="272"/>
      <c r="T37" s="455">
        <f t="shared" si="2"/>
        <v>92449668</v>
      </c>
      <c r="U37" s="272">
        <f>SUM(U6:U36)</f>
        <v>33771389</v>
      </c>
      <c r="V37" s="272"/>
      <c r="W37" s="272"/>
      <c r="X37" s="272">
        <f t="shared" ref="X37:AG37" si="19">SUM(X6:X36)</f>
        <v>47415851</v>
      </c>
      <c r="Y37" s="272">
        <f t="shared" si="19"/>
        <v>1024910</v>
      </c>
      <c r="Z37" s="272">
        <f t="shared" si="19"/>
        <v>119044</v>
      </c>
      <c r="AA37" s="272">
        <f t="shared" si="19"/>
        <v>10118474</v>
      </c>
      <c r="AB37" s="272">
        <f t="shared" si="19"/>
        <v>29183164</v>
      </c>
      <c r="AC37" s="272">
        <f t="shared" si="19"/>
        <v>161185049</v>
      </c>
      <c r="AD37" s="272">
        <f t="shared" si="19"/>
        <v>145691400</v>
      </c>
      <c r="AE37" s="272">
        <f t="shared" si="19"/>
        <v>15493649</v>
      </c>
      <c r="AF37" s="272">
        <f t="shared" si="19"/>
        <v>952594</v>
      </c>
      <c r="AG37" s="272">
        <f t="shared" si="19"/>
        <v>15955551</v>
      </c>
      <c r="AH37" s="455">
        <f t="shared" si="3"/>
        <v>34227229</v>
      </c>
      <c r="AI37" s="272">
        <f>SUM(AI6:AI36)</f>
        <v>26870922</v>
      </c>
      <c r="AJ37" s="272">
        <f>SUM(AJ6:AJ36)</f>
        <v>7356307</v>
      </c>
      <c r="AK37" s="272">
        <f>SUM(AK6:AK36)</f>
        <v>155811673</v>
      </c>
      <c r="AL37" s="455">
        <f t="shared" si="4"/>
        <v>91626586</v>
      </c>
      <c r="AM37" s="272">
        <f t="shared" ref="AM37:BN37" si="20">SUM(AM6:AM36)</f>
        <v>74854281</v>
      </c>
      <c r="AN37" s="272">
        <f t="shared" si="20"/>
        <v>15693850</v>
      </c>
      <c r="AO37" s="272">
        <f t="shared" si="20"/>
        <v>59637</v>
      </c>
      <c r="AP37" s="272">
        <f t="shared" si="20"/>
        <v>1018818</v>
      </c>
      <c r="AQ37" s="272">
        <f t="shared" si="20"/>
        <v>21296097</v>
      </c>
      <c r="AR37" s="272">
        <f t="shared" si="20"/>
        <v>12974</v>
      </c>
      <c r="AS37" s="272">
        <f t="shared" si="20"/>
        <v>305128</v>
      </c>
      <c r="AT37" s="272">
        <f t="shared" si="20"/>
        <v>80604472</v>
      </c>
      <c r="AU37" s="272">
        <f t="shared" si="20"/>
        <v>36585855</v>
      </c>
      <c r="AV37" s="272">
        <f t="shared" si="20"/>
        <v>8328166</v>
      </c>
      <c r="AW37" s="272">
        <f t="shared" si="20"/>
        <v>2536864</v>
      </c>
      <c r="AX37" s="272">
        <f t="shared" si="20"/>
        <v>44018617</v>
      </c>
      <c r="AY37" s="272">
        <f t="shared" si="20"/>
        <v>6430693</v>
      </c>
      <c r="AZ37" s="272">
        <f t="shared" si="20"/>
        <v>8789736</v>
      </c>
      <c r="BA37" s="272">
        <f t="shared" si="20"/>
        <v>6537297</v>
      </c>
      <c r="BB37" s="272">
        <f t="shared" si="20"/>
        <v>3640023</v>
      </c>
      <c r="BC37" s="272">
        <f t="shared" si="20"/>
        <v>36564531</v>
      </c>
      <c r="BD37" s="272">
        <f t="shared" si="20"/>
        <v>7505433</v>
      </c>
      <c r="BE37" s="272">
        <f t="shared" si="20"/>
        <v>1803243</v>
      </c>
      <c r="BF37" s="272">
        <f t="shared" si="20"/>
        <v>22070456</v>
      </c>
      <c r="BG37" s="272">
        <f t="shared" si="20"/>
        <v>2053979</v>
      </c>
      <c r="BH37" s="272">
        <f t="shared" si="20"/>
        <v>12876825</v>
      </c>
      <c r="BI37" s="272">
        <f t="shared" si="20"/>
        <v>6657650</v>
      </c>
      <c r="BJ37" s="272">
        <f t="shared" si="20"/>
        <v>44964085</v>
      </c>
      <c r="BK37" s="272">
        <f t="shared" si="20"/>
        <v>30389258</v>
      </c>
      <c r="BL37" s="272">
        <f t="shared" si="20"/>
        <v>634601</v>
      </c>
      <c r="BM37" s="272">
        <f t="shared" si="20"/>
        <v>786902</v>
      </c>
      <c r="BN37" s="272">
        <f t="shared" si="20"/>
        <v>111335700</v>
      </c>
      <c r="BO37" s="455">
        <f t="shared" si="5"/>
        <v>101527900</v>
      </c>
      <c r="BP37" s="455">
        <f t="shared" si="6"/>
        <v>9807800</v>
      </c>
      <c r="BQ37" s="272">
        <f>SUM(BQ6:BQ36)</f>
        <v>9807800</v>
      </c>
      <c r="BR37" s="272">
        <f>SUM(BR6:BR36)</f>
        <v>0</v>
      </c>
      <c r="BS37" s="272">
        <f>SUM(BS6:BS36)</f>
        <v>0</v>
      </c>
      <c r="BT37" s="272">
        <f>SUM(BT6:BT36)</f>
        <v>0</v>
      </c>
      <c r="BU37" s="272">
        <f>SUM(BU6:BU36)</f>
        <v>1602732684</v>
      </c>
      <c r="BV37" s="272"/>
      <c r="BW37" s="272">
        <f t="shared" ref="BW37:CI37" si="21">SUM(BW6:BW36)</f>
        <v>435084000</v>
      </c>
      <c r="BX37" s="272">
        <f t="shared" si="21"/>
        <v>311007428</v>
      </c>
      <c r="BY37" s="272">
        <f t="shared" si="21"/>
        <v>39063788</v>
      </c>
      <c r="BZ37" s="272">
        <f t="shared" si="21"/>
        <v>16701697</v>
      </c>
      <c r="CA37" s="272">
        <f t="shared" si="21"/>
        <v>220103215</v>
      </c>
      <c r="CB37" s="272">
        <f t="shared" si="21"/>
        <v>29511762</v>
      </c>
      <c r="CC37" s="272">
        <f t="shared" si="21"/>
        <v>23031055</v>
      </c>
      <c r="CD37" s="272">
        <f t="shared" si="21"/>
        <v>55347160</v>
      </c>
      <c r="CE37" s="272">
        <f t="shared" si="21"/>
        <v>100850980</v>
      </c>
      <c r="CF37" s="272">
        <f t="shared" si="21"/>
        <v>7091840</v>
      </c>
      <c r="CG37" s="272">
        <f t="shared" si="21"/>
        <v>4252323</v>
      </c>
      <c r="CH37" s="272">
        <f t="shared" si="21"/>
        <v>162420568</v>
      </c>
      <c r="CI37" s="272">
        <f t="shared" si="21"/>
        <v>109360788</v>
      </c>
      <c r="CJ37" s="455">
        <f t="shared" si="7"/>
        <v>53059780</v>
      </c>
      <c r="CK37" s="272">
        <f t="shared" ref="CK37:CS37" si="22">SUM(CK6:CK36)</f>
        <v>178559047</v>
      </c>
      <c r="CL37" s="272">
        <f t="shared" si="22"/>
        <v>98998035</v>
      </c>
      <c r="CM37" s="272">
        <f t="shared" si="22"/>
        <v>10160303</v>
      </c>
      <c r="CN37" s="272">
        <f t="shared" si="22"/>
        <v>38193678</v>
      </c>
      <c r="CO37" s="272">
        <f t="shared" si="22"/>
        <v>15300058</v>
      </c>
      <c r="CP37" s="272">
        <f t="shared" si="22"/>
        <v>125082424</v>
      </c>
      <c r="CQ37" s="272">
        <f t="shared" si="22"/>
        <v>40686271</v>
      </c>
      <c r="CR37" s="272">
        <f t="shared" si="22"/>
        <v>37463220</v>
      </c>
      <c r="CS37" s="272">
        <f t="shared" si="22"/>
        <v>29934306</v>
      </c>
      <c r="CT37" s="455">
        <f t="shared" si="8"/>
        <v>19582347</v>
      </c>
      <c r="CU37" s="272">
        <f>SUM(CU6:CU36)</f>
        <v>12948178</v>
      </c>
      <c r="CV37" s="272">
        <f>SUM(CV6:CV36)</f>
        <v>6634169</v>
      </c>
      <c r="CW37" s="455">
        <f t="shared" si="9"/>
        <v>16724618</v>
      </c>
      <c r="CX37" s="272">
        <f>SUM(CX6:CX36)</f>
        <v>12171393</v>
      </c>
      <c r="CY37" s="272">
        <f>SUM(CY6:CY36)</f>
        <v>4553225</v>
      </c>
      <c r="CZ37" s="455">
        <f t="shared" si="10"/>
        <v>0</v>
      </c>
      <c r="DA37" s="272">
        <f t="shared" ref="DA37:DU37" si="23">SUM(DA6:DA36)</f>
        <v>0</v>
      </c>
      <c r="DB37" s="272">
        <f t="shared" si="23"/>
        <v>0</v>
      </c>
      <c r="DC37" s="272">
        <f t="shared" si="23"/>
        <v>222793725</v>
      </c>
      <c r="DD37" s="272">
        <f t="shared" si="23"/>
        <v>48918932</v>
      </c>
      <c r="DE37" s="272">
        <f t="shared" si="23"/>
        <v>162112038</v>
      </c>
      <c r="DF37" s="272">
        <f t="shared" si="23"/>
        <v>2148344</v>
      </c>
      <c r="DG37" s="272">
        <f t="shared" si="23"/>
        <v>9277908</v>
      </c>
      <c r="DH37" s="272">
        <f t="shared" si="23"/>
        <v>244471</v>
      </c>
      <c r="DI37" s="272">
        <f t="shared" si="23"/>
        <v>24498069</v>
      </c>
      <c r="DJ37" s="272">
        <f t="shared" si="23"/>
        <v>8709673</v>
      </c>
      <c r="DK37" s="272">
        <f t="shared" si="23"/>
        <v>3209680</v>
      </c>
      <c r="DL37" s="272">
        <f t="shared" si="23"/>
        <v>12578716</v>
      </c>
      <c r="DM37" s="272">
        <f t="shared" si="23"/>
        <v>4079144</v>
      </c>
      <c r="DN37" s="272">
        <f t="shared" si="23"/>
        <v>2309430</v>
      </c>
      <c r="DO37" s="272">
        <f t="shared" si="23"/>
        <v>659823</v>
      </c>
      <c r="DP37" s="272">
        <f t="shared" si="23"/>
        <v>1649607</v>
      </c>
      <c r="DQ37" s="272">
        <f t="shared" si="23"/>
        <v>31188731</v>
      </c>
      <c r="DR37" s="272">
        <f t="shared" si="23"/>
        <v>544948</v>
      </c>
      <c r="DS37" s="272">
        <f t="shared" si="23"/>
        <v>540000</v>
      </c>
      <c r="DT37" s="272">
        <f t="shared" si="23"/>
        <v>172250971</v>
      </c>
      <c r="DU37" s="272">
        <f t="shared" si="23"/>
        <v>86757624</v>
      </c>
      <c r="DV37" s="455">
        <f t="shared" si="11"/>
        <v>105000</v>
      </c>
      <c r="DW37" s="272">
        <f t="shared" ref="DW37:ED37" si="24">SUM(DW6:DW36)</f>
        <v>105000</v>
      </c>
      <c r="DX37" s="272">
        <f t="shared" si="24"/>
        <v>0</v>
      </c>
      <c r="DY37" s="272">
        <f t="shared" si="24"/>
        <v>348662</v>
      </c>
      <c r="DZ37" s="272">
        <f t="shared" si="24"/>
        <v>43106570</v>
      </c>
      <c r="EA37" s="272">
        <f t="shared" si="24"/>
        <v>19074226</v>
      </c>
      <c r="EB37" s="272">
        <f t="shared" si="24"/>
        <v>19115516</v>
      </c>
      <c r="EC37" s="272">
        <f t="shared" si="24"/>
        <v>6049205</v>
      </c>
      <c r="ED37" s="272">
        <f t="shared" si="24"/>
        <v>1597653628</v>
      </c>
      <c r="EE37" s="89"/>
      <c r="EF37" s="272">
        <f>SUM(EF6:EF36)</f>
        <v>5079056</v>
      </c>
      <c r="EG37" s="272">
        <f>SUM(EG6:EG36)</f>
        <v>7270453</v>
      </c>
      <c r="EH37" s="272">
        <f>SUM(EH6:EH36)</f>
        <v>-2191397</v>
      </c>
      <c r="EI37" s="272">
        <f>SUM(EI6:EI36)</f>
        <v>-1605855</v>
      </c>
      <c r="EJ37" s="272">
        <f>SUM(EJ6:EJ36)</f>
        <v>2108464</v>
      </c>
      <c r="EL37" s="272">
        <f>SUM(EL6:EL36)</f>
        <v>5181142</v>
      </c>
      <c r="EM37" s="272">
        <f>SUM(EM6:EM36)</f>
        <v>5133231</v>
      </c>
      <c r="EN37" s="272">
        <f>SUM(EN6:EN36)</f>
        <v>16365067</v>
      </c>
      <c r="EO37" s="272">
        <f>SUM(EO6:EO36)</f>
        <v>5290074</v>
      </c>
      <c r="EP37" s="455">
        <f t="shared" si="12"/>
        <v>26637005</v>
      </c>
      <c r="EQ37" s="272">
        <f t="shared" ref="EQ37:EV37" si="25">SUM(EQ6:EQ36)</f>
        <v>1097962859</v>
      </c>
      <c r="ER37" s="272">
        <f t="shared" si="25"/>
        <v>-56842224</v>
      </c>
      <c r="ES37" s="272">
        <f t="shared" si="25"/>
        <v>398486436</v>
      </c>
      <c r="ET37" s="272">
        <f t="shared" si="25"/>
        <v>278328067</v>
      </c>
      <c r="EU37" s="272">
        <f t="shared" si="25"/>
        <v>70287931</v>
      </c>
      <c r="EV37" s="272">
        <f t="shared" si="25"/>
        <v>157534700</v>
      </c>
      <c r="EW37" s="455">
        <f t="shared" si="13"/>
        <v>64562204</v>
      </c>
      <c r="EX37" s="272">
        <f>SUM(EX6:EX36)</f>
        <v>64432269</v>
      </c>
      <c r="EY37" s="272">
        <f>SUM(EY6:EY36)</f>
        <v>6233472</v>
      </c>
      <c r="EZ37" s="272">
        <f>SUM(EZ6:EZ36)</f>
        <v>57512843</v>
      </c>
      <c r="FA37" s="272">
        <f>SUM(FA6:FA36)</f>
        <v>129935</v>
      </c>
      <c r="FB37" s="272"/>
      <c r="FC37" s="272">
        <f>SUM(FC6:FC36)</f>
        <v>142239962</v>
      </c>
      <c r="FD37" s="272">
        <f>SUM(FD6:FD36)</f>
        <v>112927292</v>
      </c>
      <c r="FE37" s="272">
        <f>SUM(FE6:FE36)</f>
        <v>40665928</v>
      </c>
      <c r="FF37" s="272">
        <f>SUM(FF6:FF36)</f>
        <v>160239991</v>
      </c>
      <c r="FG37" s="455">
        <f t="shared" si="14"/>
        <v>44337745</v>
      </c>
      <c r="FH37" s="272">
        <f>SUM(FH6:FH36)</f>
        <v>1150616261</v>
      </c>
      <c r="FI37" s="384">
        <f t="shared" si="15"/>
        <v>-0.2</v>
      </c>
      <c r="FJ37" s="272">
        <f>SUM(FJ6:FJ36)</f>
        <v>1007819522</v>
      </c>
      <c r="FK37" s="272">
        <f>SUM(FK6:FK36)</f>
        <v>0</v>
      </c>
      <c r="FL37" s="272">
        <f>SUM(FL6:FL36)</f>
        <v>649972682</v>
      </c>
      <c r="FM37" s="272">
        <f>SUM(FM6:FM36)</f>
        <v>791455538</v>
      </c>
      <c r="FN37" s="468">
        <v>0.84599999999999997</v>
      </c>
      <c r="FO37" s="469">
        <v>95.6</v>
      </c>
      <c r="FP37" s="469">
        <v>37.6</v>
      </c>
      <c r="FQ37" s="469">
        <v>7.2</v>
      </c>
      <c r="FR37" s="469">
        <v>15.4</v>
      </c>
      <c r="FS37" s="469">
        <v>13.4</v>
      </c>
      <c r="FT37" s="469">
        <v>10.8</v>
      </c>
      <c r="FU37" s="469">
        <v>10</v>
      </c>
      <c r="FV37" s="469">
        <v>10.3</v>
      </c>
      <c r="FW37" s="272">
        <f>SUM(FW6:FW36)</f>
        <v>1479517695</v>
      </c>
      <c r="FX37" s="384">
        <f t="shared" si="16"/>
        <v>146.80000000000001</v>
      </c>
      <c r="FY37" s="272">
        <f t="shared" ref="FY37:GD37" si="26">SUM(FY6:FY36)</f>
        <v>307702063</v>
      </c>
      <c r="FZ37" s="272">
        <f t="shared" si="26"/>
        <v>78915129</v>
      </c>
      <c r="GA37" s="272">
        <f t="shared" si="26"/>
        <v>25112745</v>
      </c>
      <c r="GB37" s="272">
        <f t="shared" si="26"/>
        <v>203674189</v>
      </c>
      <c r="GC37" s="272">
        <f t="shared" si="26"/>
        <v>2186518</v>
      </c>
      <c r="GD37" s="272">
        <f t="shared" si="26"/>
        <v>371056200</v>
      </c>
      <c r="GE37" s="384">
        <f t="shared" si="17"/>
        <v>36.799999999999997</v>
      </c>
      <c r="GF37" s="469">
        <v>97.6</v>
      </c>
      <c r="GG37" s="469">
        <v>19.5</v>
      </c>
      <c r="GH37" s="469">
        <v>91.2</v>
      </c>
      <c r="GI37" s="272">
        <f>SUM(GI6:GI36)</f>
        <v>40328</v>
      </c>
    </row>
    <row r="38" spans="2:191" x14ac:dyDescent="0.15">
      <c r="B38" s="89" t="s">
        <v>69</v>
      </c>
      <c r="C38" s="272">
        <v>5210701</v>
      </c>
      <c r="D38" s="455">
        <f t="shared" si="0"/>
        <v>1693425</v>
      </c>
      <c r="E38" s="272">
        <v>22904</v>
      </c>
      <c r="F38" s="272">
        <v>1670521</v>
      </c>
      <c r="G38" s="455">
        <f t="shared" si="1"/>
        <v>798760</v>
      </c>
      <c r="H38" s="272">
        <v>61863</v>
      </c>
      <c r="I38" s="272">
        <v>736897</v>
      </c>
      <c r="J38" s="272">
        <v>2203262</v>
      </c>
      <c r="K38" s="272">
        <v>903050</v>
      </c>
      <c r="L38" s="272">
        <v>739994</v>
      </c>
      <c r="M38" s="272">
        <v>533179</v>
      </c>
      <c r="N38" s="272">
        <v>105282</v>
      </c>
      <c r="O38" s="272">
        <v>394860</v>
      </c>
      <c r="P38" s="272">
        <v>241740</v>
      </c>
      <c r="Q38" s="272">
        <v>153120</v>
      </c>
      <c r="R38" s="272">
        <v>67647</v>
      </c>
      <c r="S38" s="272"/>
      <c r="T38" s="455">
        <f t="shared" si="2"/>
        <v>607362</v>
      </c>
      <c r="U38" s="272">
        <v>226338</v>
      </c>
      <c r="V38" s="272"/>
      <c r="W38" s="272"/>
      <c r="X38" s="272">
        <v>240921</v>
      </c>
      <c r="Y38" s="272">
        <v>72932</v>
      </c>
      <c r="Z38" s="272">
        <v>0</v>
      </c>
      <c r="AA38" s="272">
        <v>67171</v>
      </c>
      <c r="AB38" s="272">
        <v>227378</v>
      </c>
      <c r="AC38" s="272">
        <v>1819766</v>
      </c>
      <c r="AD38" s="272">
        <v>1532306</v>
      </c>
      <c r="AE38" s="272">
        <v>287460</v>
      </c>
      <c r="AF38" s="272">
        <v>4416</v>
      </c>
      <c r="AG38" s="272">
        <v>40910</v>
      </c>
      <c r="AH38" s="455">
        <f t="shared" si="3"/>
        <v>202090</v>
      </c>
      <c r="AI38" s="272">
        <v>165867</v>
      </c>
      <c r="AJ38" s="272">
        <v>36223</v>
      </c>
      <c r="AK38" s="272">
        <v>357429</v>
      </c>
      <c r="AL38" s="455">
        <f t="shared" si="4"/>
        <v>112910</v>
      </c>
      <c r="AM38" s="272">
        <v>55453</v>
      </c>
      <c r="AN38" s="272">
        <v>55010</v>
      </c>
      <c r="AO38" s="272">
        <v>0</v>
      </c>
      <c r="AP38" s="272">
        <v>2447</v>
      </c>
      <c r="AQ38" s="272">
        <v>71231</v>
      </c>
      <c r="AR38" s="272">
        <v>0</v>
      </c>
      <c r="AS38" s="272">
        <v>0</v>
      </c>
      <c r="AT38" s="272">
        <v>375934</v>
      </c>
      <c r="AU38" s="272">
        <v>161590</v>
      </c>
      <c r="AV38" s="272">
        <v>30286</v>
      </c>
      <c r="AW38" s="272">
        <v>0</v>
      </c>
      <c r="AX38" s="272">
        <v>214344</v>
      </c>
      <c r="AY38" s="272">
        <v>40703</v>
      </c>
      <c r="AZ38" s="272">
        <v>25174</v>
      </c>
      <c r="BA38" s="272">
        <v>2843</v>
      </c>
      <c r="BB38" s="272">
        <v>186</v>
      </c>
      <c r="BC38" s="272">
        <v>413656</v>
      </c>
      <c r="BD38" s="272">
        <v>0</v>
      </c>
      <c r="BE38" s="272">
        <v>32890</v>
      </c>
      <c r="BF38" s="272">
        <v>373750</v>
      </c>
      <c r="BG38" s="272">
        <v>0</v>
      </c>
      <c r="BH38" s="272">
        <v>103808</v>
      </c>
      <c r="BI38" s="272">
        <v>88651</v>
      </c>
      <c r="BJ38" s="272">
        <v>54620</v>
      </c>
      <c r="BK38" s="272">
        <v>5020</v>
      </c>
      <c r="BL38" s="272">
        <v>0</v>
      </c>
      <c r="BM38" s="272">
        <v>0</v>
      </c>
      <c r="BN38" s="272">
        <v>101500</v>
      </c>
      <c r="BO38" s="455">
        <f t="shared" si="5"/>
        <v>23500</v>
      </c>
      <c r="BP38" s="455">
        <f t="shared" si="6"/>
        <v>78000</v>
      </c>
      <c r="BQ38" s="272">
        <v>78000</v>
      </c>
      <c r="BR38" s="272">
        <v>0</v>
      </c>
      <c r="BS38" s="272">
        <v>0</v>
      </c>
      <c r="BT38" s="272">
        <v>0</v>
      </c>
      <c r="BU38" s="272">
        <v>9612577</v>
      </c>
      <c r="BV38" s="272"/>
      <c r="BW38" s="272">
        <v>2776477</v>
      </c>
      <c r="BX38" s="272">
        <v>2090741</v>
      </c>
      <c r="BY38" s="272">
        <v>103871</v>
      </c>
      <c r="BZ38" s="272">
        <v>39462</v>
      </c>
      <c r="CA38" s="272">
        <v>790527</v>
      </c>
      <c r="CB38" s="272">
        <v>261673</v>
      </c>
      <c r="CC38" s="272">
        <v>120742</v>
      </c>
      <c r="CD38" s="272">
        <v>312216</v>
      </c>
      <c r="CE38" s="272">
        <v>77660</v>
      </c>
      <c r="CF38" s="272">
        <v>0</v>
      </c>
      <c r="CG38" s="272">
        <v>18236</v>
      </c>
      <c r="CH38" s="272">
        <v>1763691</v>
      </c>
      <c r="CI38" s="272">
        <v>1245882</v>
      </c>
      <c r="CJ38" s="455">
        <f t="shared" si="7"/>
        <v>517809</v>
      </c>
      <c r="CK38" s="272">
        <v>1523841</v>
      </c>
      <c r="CL38" s="272">
        <v>768230</v>
      </c>
      <c r="CM38" s="272">
        <v>143757</v>
      </c>
      <c r="CN38" s="272">
        <v>343126</v>
      </c>
      <c r="CO38" s="272">
        <v>97336</v>
      </c>
      <c r="CP38" s="272">
        <v>341317</v>
      </c>
      <c r="CQ38" s="272">
        <v>2770</v>
      </c>
      <c r="CR38" s="272">
        <v>147585</v>
      </c>
      <c r="CS38" s="272">
        <v>138331</v>
      </c>
      <c r="CT38" s="455">
        <f t="shared" si="8"/>
        <v>2631</v>
      </c>
      <c r="CU38" s="272">
        <v>2631</v>
      </c>
      <c r="CV38" s="272">
        <v>0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851764</v>
      </c>
      <c r="DD38" s="272">
        <v>176594</v>
      </c>
      <c r="DE38" s="272">
        <v>642001</v>
      </c>
      <c r="DF38" s="272">
        <v>3650</v>
      </c>
      <c r="DG38" s="272">
        <v>0</v>
      </c>
      <c r="DH38" s="272">
        <v>0</v>
      </c>
      <c r="DI38" s="272">
        <v>150098</v>
      </c>
      <c r="DJ38" s="272">
        <v>97457</v>
      </c>
      <c r="DK38" s="272">
        <v>648</v>
      </c>
      <c r="DL38" s="272">
        <v>51993</v>
      </c>
      <c r="DM38" s="272">
        <v>0</v>
      </c>
      <c r="DN38" s="272">
        <v>0</v>
      </c>
      <c r="DO38" s="272">
        <v>0</v>
      </c>
      <c r="DP38" s="272">
        <v>0</v>
      </c>
      <c r="DQ38" s="272">
        <v>4342</v>
      </c>
      <c r="DR38" s="272">
        <v>0</v>
      </c>
      <c r="DS38" s="272">
        <v>0</v>
      </c>
      <c r="DT38" s="272">
        <v>1000186</v>
      </c>
      <c r="DU38" s="272">
        <v>578257</v>
      </c>
      <c r="DV38" s="455">
        <f t="shared" si="11"/>
        <v>0</v>
      </c>
      <c r="DW38" s="272">
        <v>0</v>
      </c>
      <c r="DX38" s="272">
        <v>0</v>
      </c>
      <c r="DY38" s="272">
        <v>0</v>
      </c>
      <c r="DZ38" s="272">
        <v>174859</v>
      </c>
      <c r="EA38" s="272">
        <v>99310</v>
      </c>
      <c r="EB38" s="272">
        <v>140438</v>
      </c>
      <c r="EC38" s="272">
        <v>0</v>
      </c>
      <c r="ED38" s="272">
        <v>9299579</v>
      </c>
      <c r="EE38" s="89"/>
      <c r="EF38" s="272">
        <v>312998</v>
      </c>
      <c r="EG38" s="272">
        <v>7748</v>
      </c>
      <c r="EH38" s="272">
        <v>305250</v>
      </c>
      <c r="EI38" s="272">
        <v>216599</v>
      </c>
      <c r="EJ38" s="272">
        <v>314056</v>
      </c>
      <c r="EL38" s="272">
        <v>30125</v>
      </c>
      <c r="EM38" s="272">
        <v>30093</v>
      </c>
      <c r="EN38" s="272">
        <v>406640</v>
      </c>
      <c r="EO38" s="272">
        <v>7029</v>
      </c>
      <c r="EP38" s="455">
        <f t="shared" si="12"/>
        <v>131015</v>
      </c>
      <c r="EQ38" s="272">
        <v>7937270</v>
      </c>
      <c r="ER38" s="272">
        <v>-618268</v>
      </c>
      <c r="ES38" s="272">
        <v>2528415</v>
      </c>
      <c r="ET38" s="272">
        <v>1870931</v>
      </c>
      <c r="EU38" s="272">
        <v>424500</v>
      </c>
      <c r="EV38" s="272">
        <v>1761635</v>
      </c>
      <c r="EW38" s="455">
        <f t="shared" si="13"/>
        <v>700888</v>
      </c>
      <c r="EX38" s="272">
        <v>700888</v>
      </c>
      <c r="EY38" s="272">
        <v>103542</v>
      </c>
      <c r="EZ38" s="272">
        <v>579827</v>
      </c>
      <c r="FA38" s="272">
        <v>0</v>
      </c>
      <c r="FB38" s="272"/>
      <c r="FC38" s="272">
        <v>1341831</v>
      </c>
      <c r="FD38" s="272">
        <v>312500</v>
      </c>
      <c r="FE38" s="272">
        <v>2770</v>
      </c>
      <c r="FF38" s="272">
        <v>954325</v>
      </c>
      <c r="FG38" s="455">
        <f t="shared" si="14"/>
        <v>218446</v>
      </c>
      <c r="FH38" s="272">
        <v>8242540</v>
      </c>
      <c r="FI38" s="384">
        <f t="shared" si="15"/>
        <v>4.2</v>
      </c>
      <c r="FJ38" s="272">
        <v>7218494</v>
      </c>
      <c r="FK38" s="272"/>
      <c r="FL38" s="272">
        <v>4282729</v>
      </c>
      <c r="FM38" s="272">
        <v>5815232</v>
      </c>
      <c r="FN38" s="460">
        <v>0.752</v>
      </c>
      <c r="FO38" s="388">
        <v>89.3</v>
      </c>
      <c r="FP38" s="388">
        <v>34.5</v>
      </c>
      <c r="FQ38" s="388">
        <v>5.8</v>
      </c>
      <c r="FR38" s="388">
        <v>19</v>
      </c>
      <c r="FS38" s="388">
        <v>16.8</v>
      </c>
      <c r="FT38" s="388">
        <v>3.7</v>
      </c>
      <c r="FU38" s="388">
        <v>8.4</v>
      </c>
      <c r="FV38" s="388">
        <v>12.8</v>
      </c>
      <c r="FW38" s="272">
        <v>15309586</v>
      </c>
      <c r="FX38" s="384">
        <f t="shared" si="16"/>
        <v>212.1</v>
      </c>
      <c r="FY38" s="272">
        <v>5020646</v>
      </c>
      <c r="FZ38" s="272">
        <v>1444728</v>
      </c>
      <c r="GA38" s="272">
        <v>170210</v>
      </c>
      <c r="GB38" s="272">
        <v>3405708</v>
      </c>
      <c r="GC38" s="272"/>
      <c r="GD38" s="272"/>
      <c r="GE38" s="384"/>
      <c r="GF38" s="388">
        <v>99</v>
      </c>
      <c r="GG38" s="388">
        <v>8.9</v>
      </c>
      <c r="GH38" s="388">
        <v>92.6</v>
      </c>
      <c r="GI38" s="272">
        <v>288</v>
      </c>
    </row>
    <row r="39" spans="2:191" x14ac:dyDescent="0.15">
      <c r="B39" s="89" t="s">
        <v>71</v>
      </c>
      <c r="C39" s="272">
        <v>3038934</v>
      </c>
      <c r="D39" s="455">
        <f t="shared" si="0"/>
        <v>1923957</v>
      </c>
      <c r="E39" s="272">
        <v>18988</v>
      </c>
      <c r="F39" s="272">
        <v>1904969</v>
      </c>
      <c r="G39" s="455">
        <f t="shared" si="1"/>
        <v>27271</v>
      </c>
      <c r="H39" s="272">
        <v>18637</v>
      </c>
      <c r="I39" s="272">
        <v>8634</v>
      </c>
      <c r="J39" s="272">
        <v>1001717</v>
      </c>
      <c r="K39" s="272">
        <v>380453</v>
      </c>
      <c r="L39" s="272">
        <v>517965</v>
      </c>
      <c r="M39" s="272">
        <v>103281</v>
      </c>
      <c r="N39" s="272">
        <v>66186</v>
      </c>
      <c r="O39" s="272">
        <v>0</v>
      </c>
      <c r="P39" s="272">
        <v>0</v>
      </c>
      <c r="Q39" s="272">
        <v>0</v>
      </c>
      <c r="R39" s="272">
        <v>84062</v>
      </c>
      <c r="S39" s="272"/>
      <c r="T39" s="455">
        <f t="shared" si="2"/>
        <v>491225</v>
      </c>
      <c r="U39" s="272">
        <v>218778</v>
      </c>
      <c r="V39" s="272"/>
      <c r="W39" s="272"/>
      <c r="X39" s="272">
        <v>174367</v>
      </c>
      <c r="Y39" s="272">
        <v>14530</v>
      </c>
      <c r="Z39" s="272">
        <v>0</v>
      </c>
      <c r="AA39" s="272">
        <v>83550</v>
      </c>
      <c r="AB39" s="272">
        <v>178525</v>
      </c>
      <c r="AC39" s="272">
        <v>2309157</v>
      </c>
      <c r="AD39" s="272">
        <v>1913021</v>
      </c>
      <c r="AE39" s="272">
        <v>396136</v>
      </c>
      <c r="AF39" s="272">
        <v>4835</v>
      </c>
      <c r="AG39" s="272">
        <v>10307</v>
      </c>
      <c r="AH39" s="455">
        <f t="shared" si="3"/>
        <v>176051</v>
      </c>
      <c r="AI39" s="272">
        <v>155393</v>
      </c>
      <c r="AJ39" s="272">
        <v>20658</v>
      </c>
      <c r="AK39" s="272">
        <v>129407</v>
      </c>
      <c r="AL39" s="455">
        <f t="shared" si="4"/>
        <v>21954</v>
      </c>
      <c r="AM39" s="272">
        <v>0</v>
      </c>
      <c r="AN39" s="272">
        <v>20164</v>
      </c>
      <c r="AO39" s="272">
        <v>0</v>
      </c>
      <c r="AP39" s="272">
        <v>1790</v>
      </c>
      <c r="AQ39" s="272">
        <v>15063</v>
      </c>
      <c r="AR39" s="272">
        <v>0</v>
      </c>
      <c r="AS39" s="272">
        <v>0</v>
      </c>
      <c r="AT39" s="272">
        <v>455968</v>
      </c>
      <c r="AU39" s="272">
        <v>244057</v>
      </c>
      <c r="AV39" s="272">
        <v>10019</v>
      </c>
      <c r="AW39" s="272">
        <v>14457</v>
      </c>
      <c r="AX39" s="272">
        <v>211911</v>
      </c>
      <c r="AY39" s="272">
        <v>29460</v>
      </c>
      <c r="AZ39" s="272">
        <v>4842</v>
      </c>
      <c r="BA39" s="272">
        <v>62</v>
      </c>
      <c r="BB39" s="272">
        <v>3001</v>
      </c>
      <c r="BC39" s="272">
        <v>29627</v>
      </c>
      <c r="BD39" s="272">
        <v>0</v>
      </c>
      <c r="BE39" s="272">
        <v>3936</v>
      </c>
      <c r="BF39" s="272">
        <v>24246</v>
      </c>
      <c r="BG39" s="272">
        <v>0</v>
      </c>
      <c r="BH39" s="272">
        <v>303997</v>
      </c>
      <c r="BI39" s="272">
        <v>214448</v>
      </c>
      <c r="BJ39" s="272">
        <v>111272</v>
      </c>
      <c r="BK39" s="272">
        <v>1426</v>
      </c>
      <c r="BL39" s="272">
        <v>0</v>
      </c>
      <c r="BM39" s="272">
        <v>0</v>
      </c>
      <c r="BN39" s="272">
        <v>64900</v>
      </c>
      <c r="BO39" s="455">
        <f t="shared" si="5"/>
        <v>4100</v>
      </c>
      <c r="BP39" s="455">
        <f t="shared" si="6"/>
        <v>60800</v>
      </c>
      <c r="BQ39" s="272">
        <v>60800</v>
      </c>
      <c r="BR39" s="272">
        <v>0</v>
      </c>
      <c r="BS39" s="272">
        <v>0</v>
      </c>
      <c r="BT39" s="272">
        <v>0</v>
      </c>
      <c r="BU39" s="272">
        <v>7396110</v>
      </c>
      <c r="BV39" s="272"/>
      <c r="BW39" s="272">
        <v>2518255</v>
      </c>
      <c r="BX39" s="272">
        <v>1756613</v>
      </c>
      <c r="BY39" s="272">
        <v>39119</v>
      </c>
      <c r="BZ39" s="272">
        <v>253510</v>
      </c>
      <c r="CA39" s="272">
        <v>170808</v>
      </c>
      <c r="CB39" s="272">
        <v>64510</v>
      </c>
      <c r="CC39" s="272">
        <v>76187</v>
      </c>
      <c r="CD39" s="272">
        <v>26845</v>
      </c>
      <c r="CE39" s="272">
        <v>0</v>
      </c>
      <c r="CF39" s="272">
        <v>154</v>
      </c>
      <c r="CG39" s="272">
        <v>3112</v>
      </c>
      <c r="CH39" s="272">
        <v>796238</v>
      </c>
      <c r="CI39" s="272">
        <v>585240</v>
      </c>
      <c r="CJ39" s="455">
        <f t="shared" si="7"/>
        <v>210998</v>
      </c>
      <c r="CK39" s="272">
        <v>1098307</v>
      </c>
      <c r="CL39" s="272">
        <v>506255</v>
      </c>
      <c r="CM39" s="272">
        <v>55918</v>
      </c>
      <c r="CN39" s="272">
        <v>350735</v>
      </c>
      <c r="CO39" s="272">
        <v>260400</v>
      </c>
      <c r="CP39" s="272">
        <v>894014</v>
      </c>
      <c r="CQ39" s="272">
        <v>573342</v>
      </c>
      <c r="CR39" s="272">
        <v>125951</v>
      </c>
      <c r="CS39" s="272">
        <v>123596</v>
      </c>
      <c r="CT39" s="455">
        <f t="shared" si="8"/>
        <v>39455</v>
      </c>
      <c r="CU39" s="272">
        <v>24497</v>
      </c>
      <c r="CV39" s="272">
        <v>14958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335351</v>
      </c>
      <c r="DD39" s="272">
        <v>36960</v>
      </c>
      <c r="DE39" s="272">
        <v>294191</v>
      </c>
      <c r="DF39" s="272">
        <v>4200</v>
      </c>
      <c r="DG39" s="272">
        <v>0</v>
      </c>
      <c r="DH39" s="272">
        <v>126397</v>
      </c>
      <c r="DI39" s="272">
        <v>277114</v>
      </c>
      <c r="DJ39" s="272">
        <v>273311</v>
      </c>
      <c r="DK39" s="272">
        <v>600</v>
      </c>
      <c r="DL39" s="272">
        <v>3203</v>
      </c>
      <c r="DM39" s="272">
        <v>0</v>
      </c>
      <c r="DN39" s="272">
        <v>0</v>
      </c>
      <c r="DO39" s="272">
        <v>0</v>
      </c>
      <c r="DP39" s="272">
        <v>0</v>
      </c>
      <c r="DQ39" s="272">
        <v>5323</v>
      </c>
      <c r="DR39" s="272">
        <v>0</v>
      </c>
      <c r="DS39" s="272">
        <v>0</v>
      </c>
      <c r="DT39" s="272">
        <v>686226</v>
      </c>
      <c r="DU39" s="272">
        <v>306020</v>
      </c>
      <c r="DV39" s="455">
        <f t="shared" si="11"/>
        <v>0</v>
      </c>
      <c r="DW39" s="272">
        <v>0</v>
      </c>
      <c r="DX39" s="272">
        <v>0</v>
      </c>
      <c r="DY39" s="272">
        <v>0</v>
      </c>
      <c r="DZ39" s="272">
        <v>89562</v>
      </c>
      <c r="EA39" s="272">
        <v>107889</v>
      </c>
      <c r="EB39" s="272">
        <v>95582</v>
      </c>
      <c r="EC39" s="272">
        <v>0</v>
      </c>
      <c r="ED39" s="272">
        <v>7168433</v>
      </c>
      <c r="EE39" s="89"/>
      <c r="EF39" s="272">
        <v>227677</v>
      </c>
      <c r="EG39" s="272">
        <v>42678</v>
      </c>
      <c r="EH39" s="272">
        <v>184999</v>
      </c>
      <c r="EI39" s="272">
        <v>-29449</v>
      </c>
      <c r="EJ39" s="272">
        <v>243862</v>
      </c>
      <c r="EL39" s="272">
        <v>25722</v>
      </c>
      <c r="EM39" s="272">
        <v>26568</v>
      </c>
      <c r="EN39" s="272">
        <v>29397</v>
      </c>
      <c r="EO39" s="272">
        <v>1717</v>
      </c>
      <c r="EP39" s="455">
        <f t="shared" si="12"/>
        <v>269853</v>
      </c>
      <c r="EQ39" s="272">
        <v>6106738</v>
      </c>
      <c r="ER39" s="272">
        <v>-356932</v>
      </c>
      <c r="ES39" s="272">
        <v>2294175</v>
      </c>
      <c r="ET39" s="272">
        <v>1555929</v>
      </c>
      <c r="EU39" s="272">
        <v>60018</v>
      </c>
      <c r="EV39" s="272">
        <v>779753</v>
      </c>
      <c r="EW39" s="455">
        <f t="shared" si="13"/>
        <v>280922</v>
      </c>
      <c r="EX39" s="272">
        <v>272116</v>
      </c>
      <c r="EY39" s="272">
        <v>7440</v>
      </c>
      <c r="EZ39" s="272">
        <v>264626</v>
      </c>
      <c r="FA39" s="272">
        <v>8806</v>
      </c>
      <c r="FB39" s="272"/>
      <c r="FC39" s="272">
        <v>868319</v>
      </c>
      <c r="FD39" s="272">
        <v>755443</v>
      </c>
      <c r="FE39" s="272">
        <v>469098</v>
      </c>
      <c r="FF39" s="272">
        <v>660540</v>
      </c>
      <c r="FG39" s="455">
        <f t="shared" si="14"/>
        <v>536823</v>
      </c>
      <c r="FH39" s="272">
        <v>6235993</v>
      </c>
      <c r="FI39" s="384">
        <f t="shared" si="15"/>
        <v>3.2</v>
      </c>
      <c r="FJ39" s="272">
        <v>5846675</v>
      </c>
      <c r="FK39" s="272"/>
      <c r="FL39" s="272">
        <v>2972553</v>
      </c>
      <c r="FM39" s="272">
        <v>4894382</v>
      </c>
      <c r="FN39" s="460">
        <v>0.621</v>
      </c>
      <c r="FO39" s="388">
        <v>86.9</v>
      </c>
      <c r="FP39" s="388">
        <v>39.5</v>
      </c>
      <c r="FQ39" s="388">
        <v>1</v>
      </c>
      <c r="FR39" s="388">
        <v>13.6</v>
      </c>
      <c r="FS39" s="388">
        <v>14.5</v>
      </c>
      <c r="FT39" s="388">
        <v>7.9</v>
      </c>
      <c r="FU39" s="388">
        <v>5.8</v>
      </c>
      <c r="FV39" s="388">
        <v>6.3</v>
      </c>
      <c r="FW39" s="272">
        <v>6008583</v>
      </c>
      <c r="FX39" s="384">
        <f t="shared" si="16"/>
        <v>102.8</v>
      </c>
      <c r="FY39" s="272">
        <v>3900188</v>
      </c>
      <c r="FZ39" s="272">
        <v>1649757</v>
      </c>
      <c r="GA39" s="272">
        <v>451329</v>
      </c>
      <c r="GB39" s="272">
        <v>1799102</v>
      </c>
      <c r="GC39" s="272"/>
      <c r="GD39" s="272"/>
      <c r="GE39" s="384"/>
      <c r="GF39" s="388">
        <v>98.9</v>
      </c>
      <c r="GG39" s="388">
        <v>14</v>
      </c>
      <c r="GH39" s="388">
        <v>94.5</v>
      </c>
      <c r="GI39" s="272">
        <v>269</v>
      </c>
    </row>
    <row r="40" spans="2:191" x14ac:dyDescent="0.15">
      <c r="B40" s="89" t="s">
        <v>73</v>
      </c>
      <c r="C40" s="272">
        <v>1302642</v>
      </c>
      <c r="D40" s="455">
        <f t="shared" si="0"/>
        <v>546372</v>
      </c>
      <c r="E40" s="272">
        <v>9426</v>
      </c>
      <c r="F40" s="272">
        <v>536946</v>
      </c>
      <c r="G40" s="455">
        <f t="shared" si="1"/>
        <v>43340</v>
      </c>
      <c r="H40" s="272">
        <v>17458</v>
      </c>
      <c r="I40" s="272">
        <v>25882</v>
      </c>
      <c r="J40" s="272">
        <v>625239</v>
      </c>
      <c r="K40" s="272">
        <v>187821</v>
      </c>
      <c r="L40" s="272">
        <v>335495</v>
      </c>
      <c r="M40" s="272">
        <v>101856</v>
      </c>
      <c r="N40" s="272">
        <v>59008</v>
      </c>
      <c r="O40" s="272">
        <v>0</v>
      </c>
      <c r="P40" s="272">
        <v>0</v>
      </c>
      <c r="Q40" s="272">
        <v>0</v>
      </c>
      <c r="R40" s="272">
        <v>70077</v>
      </c>
      <c r="S40" s="272"/>
      <c r="T40" s="455">
        <f t="shared" si="2"/>
        <v>278716</v>
      </c>
      <c r="U40" s="272">
        <v>66779</v>
      </c>
      <c r="V40" s="272"/>
      <c r="W40" s="272"/>
      <c r="X40" s="272">
        <v>116436</v>
      </c>
      <c r="Y40" s="272">
        <v>25014</v>
      </c>
      <c r="Z40" s="272">
        <v>604</v>
      </c>
      <c r="AA40" s="272">
        <v>69883</v>
      </c>
      <c r="AB40" s="272">
        <v>52613</v>
      </c>
      <c r="AC40" s="272">
        <v>2200046</v>
      </c>
      <c r="AD40" s="272">
        <v>1854289</v>
      </c>
      <c r="AE40" s="272">
        <v>345757</v>
      </c>
      <c r="AF40" s="272">
        <v>2422</v>
      </c>
      <c r="AG40" s="272">
        <v>6570</v>
      </c>
      <c r="AH40" s="455">
        <f t="shared" si="3"/>
        <v>146607</v>
      </c>
      <c r="AI40" s="272">
        <v>92564</v>
      </c>
      <c r="AJ40" s="272">
        <v>54043</v>
      </c>
      <c r="AK40" s="272">
        <v>121733</v>
      </c>
      <c r="AL40" s="455">
        <f t="shared" si="4"/>
        <v>41424</v>
      </c>
      <c r="AM40" s="272">
        <v>0</v>
      </c>
      <c r="AN40" s="272">
        <v>36735</v>
      </c>
      <c r="AO40" s="272">
        <v>0</v>
      </c>
      <c r="AP40" s="272">
        <v>4689</v>
      </c>
      <c r="AQ40" s="272">
        <v>12612</v>
      </c>
      <c r="AR40" s="272">
        <v>0</v>
      </c>
      <c r="AS40" s="272">
        <v>0</v>
      </c>
      <c r="AT40" s="272">
        <v>320335</v>
      </c>
      <c r="AU40" s="272">
        <v>124895</v>
      </c>
      <c r="AV40" s="272">
        <v>16740</v>
      </c>
      <c r="AW40" s="272">
        <v>22046</v>
      </c>
      <c r="AX40" s="272">
        <v>195440</v>
      </c>
      <c r="AY40" s="272">
        <v>56937</v>
      </c>
      <c r="AZ40" s="272">
        <v>5245</v>
      </c>
      <c r="BA40" s="272">
        <v>0</v>
      </c>
      <c r="BB40" s="272">
        <v>14650</v>
      </c>
      <c r="BC40" s="272">
        <v>197731</v>
      </c>
      <c r="BD40" s="272">
        <v>100000</v>
      </c>
      <c r="BE40" s="272">
        <v>0</v>
      </c>
      <c r="BF40" s="272">
        <v>90643</v>
      </c>
      <c r="BG40" s="272">
        <v>0</v>
      </c>
      <c r="BH40" s="272">
        <v>320030</v>
      </c>
      <c r="BI40" s="272">
        <v>245713</v>
      </c>
      <c r="BJ40" s="272">
        <v>67654</v>
      </c>
      <c r="BK40" s="272">
        <v>126</v>
      </c>
      <c r="BL40" s="272">
        <v>26457</v>
      </c>
      <c r="BM40" s="272">
        <v>0</v>
      </c>
      <c r="BN40" s="272">
        <v>294000</v>
      </c>
      <c r="BO40" s="455">
        <f t="shared" si="5"/>
        <v>275000</v>
      </c>
      <c r="BP40" s="455">
        <f t="shared" si="6"/>
        <v>19000</v>
      </c>
      <c r="BQ40" s="272">
        <v>19000</v>
      </c>
      <c r="BR40" s="272">
        <v>0</v>
      </c>
      <c r="BS40" s="272">
        <v>0</v>
      </c>
      <c r="BT40" s="272">
        <v>0</v>
      </c>
      <c r="BU40" s="272">
        <v>5401071</v>
      </c>
      <c r="BV40" s="272"/>
      <c r="BW40" s="272">
        <v>1502706</v>
      </c>
      <c r="BX40" s="272">
        <v>998023</v>
      </c>
      <c r="BY40" s="272">
        <v>69867</v>
      </c>
      <c r="BZ40" s="272">
        <v>106170</v>
      </c>
      <c r="CA40" s="272">
        <v>181059</v>
      </c>
      <c r="CB40" s="272">
        <v>46142</v>
      </c>
      <c r="CC40" s="272">
        <v>53758</v>
      </c>
      <c r="CD40" s="272">
        <v>59731</v>
      </c>
      <c r="CE40" s="272">
        <v>0</v>
      </c>
      <c r="CF40" s="272">
        <v>5839</v>
      </c>
      <c r="CG40" s="272">
        <v>15589</v>
      </c>
      <c r="CH40" s="272">
        <v>457114</v>
      </c>
      <c r="CI40" s="272">
        <v>351466</v>
      </c>
      <c r="CJ40" s="455">
        <f t="shared" si="7"/>
        <v>105648</v>
      </c>
      <c r="CK40" s="272">
        <v>965841</v>
      </c>
      <c r="CL40" s="272">
        <v>538912</v>
      </c>
      <c r="CM40" s="272">
        <v>26357</v>
      </c>
      <c r="CN40" s="272">
        <v>222052</v>
      </c>
      <c r="CO40" s="272">
        <v>35434</v>
      </c>
      <c r="CP40" s="272">
        <v>574999</v>
      </c>
      <c r="CQ40" s="272">
        <v>261475</v>
      </c>
      <c r="CR40" s="272">
        <v>142620</v>
      </c>
      <c r="CS40" s="272">
        <v>133259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631974</v>
      </c>
      <c r="DD40" s="272">
        <v>67643</v>
      </c>
      <c r="DE40" s="272">
        <v>527975</v>
      </c>
      <c r="DF40" s="272">
        <v>9899</v>
      </c>
      <c r="DG40" s="272">
        <v>26457</v>
      </c>
      <c r="DH40" s="272">
        <v>0</v>
      </c>
      <c r="DI40" s="272">
        <v>404678</v>
      </c>
      <c r="DJ40" s="272">
        <v>133470</v>
      </c>
      <c r="DK40" s="272">
        <v>0</v>
      </c>
      <c r="DL40" s="272">
        <v>271208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411249</v>
      </c>
      <c r="DU40" s="272">
        <v>146306</v>
      </c>
      <c r="DV40" s="455">
        <f t="shared" si="11"/>
        <v>0</v>
      </c>
      <c r="DW40" s="272">
        <v>0</v>
      </c>
      <c r="DX40" s="272">
        <v>0</v>
      </c>
      <c r="DY40" s="272">
        <v>0</v>
      </c>
      <c r="DZ40" s="272">
        <v>100072</v>
      </c>
      <c r="EA40" s="272">
        <v>58000</v>
      </c>
      <c r="EB40" s="272">
        <v>62474</v>
      </c>
      <c r="EC40" s="272">
        <v>0</v>
      </c>
      <c r="ED40" s="272">
        <v>5165054</v>
      </c>
      <c r="EE40" s="89"/>
      <c r="EF40" s="272">
        <v>236017</v>
      </c>
      <c r="EG40" s="272">
        <v>48257</v>
      </c>
      <c r="EH40" s="272">
        <v>187760</v>
      </c>
      <c r="EI40" s="272">
        <v>-57953</v>
      </c>
      <c r="EJ40" s="272">
        <v>49923</v>
      </c>
      <c r="EL40" s="272">
        <v>14186</v>
      </c>
      <c r="EM40" s="272">
        <v>14621</v>
      </c>
      <c r="EN40" s="272">
        <v>174088</v>
      </c>
      <c r="EO40" s="272">
        <v>322</v>
      </c>
      <c r="EP40" s="455">
        <f t="shared" si="12"/>
        <v>300276</v>
      </c>
      <c r="EQ40" s="272">
        <v>3906516</v>
      </c>
      <c r="ER40" s="272">
        <v>-491264</v>
      </c>
      <c r="ES40" s="272">
        <v>1379977</v>
      </c>
      <c r="ET40" s="272">
        <v>882470</v>
      </c>
      <c r="EU40" s="272">
        <v>78991</v>
      </c>
      <c r="EV40" s="272">
        <v>453281</v>
      </c>
      <c r="EW40" s="455">
        <f t="shared" si="13"/>
        <v>232267</v>
      </c>
      <c r="EX40" s="272">
        <v>232267</v>
      </c>
      <c r="EY40" s="272">
        <v>3574</v>
      </c>
      <c r="EZ40" s="272">
        <v>219738</v>
      </c>
      <c r="FA40" s="272">
        <v>0</v>
      </c>
      <c r="FB40" s="272"/>
      <c r="FC40" s="272">
        <v>769281</v>
      </c>
      <c r="FD40" s="272">
        <v>462655</v>
      </c>
      <c r="FE40" s="272">
        <v>213320</v>
      </c>
      <c r="FF40" s="272">
        <v>361241</v>
      </c>
      <c r="FG40" s="455">
        <f t="shared" si="14"/>
        <v>424070</v>
      </c>
      <c r="FH40" s="272">
        <v>4161763</v>
      </c>
      <c r="FI40" s="384">
        <f t="shared" si="15"/>
        <v>5.2</v>
      </c>
      <c r="FJ40" s="272">
        <v>3604415</v>
      </c>
      <c r="FK40" s="272"/>
      <c r="FL40" s="272">
        <v>1330685</v>
      </c>
      <c r="FM40" s="272">
        <v>3184974</v>
      </c>
      <c r="FN40" s="460">
        <v>0.41499999999999998</v>
      </c>
      <c r="FO40" s="388">
        <v>84.8</v>
      </c>
      <c r="FP40" s="388">
        <v>38</v>
      </c>
      <c r="FQ40" s="388">
        <v>2.2000000000000002</v>
      </c>
      <c r="FR40" s="388">
        <v>10.6</v>
      </c>
      <c r="FS40" s="388">
        <v>18.8</v>
      </c>
      <c r="FT40" s="388">
        <v>8.5</v>
      </c>
      <c r="FU40" s="388">
        <v>5.7</v>
      </c>
      <c r="FV40" s="388">
        <v>4.5999999999999996</v>
      </c>
      <c r="FW40" s="272">
        <v>3527179</v>
      </c>
      <c r="FX40" s="384">
        <f t="shared" si="16"/>
        <v>97.9</v>
      </c>
      <c r="FY40" s="272">
        <v>2086675</v>
      </c>
      <c r="FZ40" s="272">
        <v>1149519</v>
      </c>
      <c r="GA40" s="272"/>
      <c r="GB40" s="272">
        <v>937156</v>
      </c>
      <c r="GC40" s="272"/>
      <c r="GD40" s="272"/>
      <c r="GE40" s="384"/>
      <c r="GF40" s="388">
        <v>95.6</v>
      </c>
      <c r="GG40" s="388">
        <v>18.2</v>
      </c>
      <c r="GH40" s="388">
        <v>85.9</v>
      </c>
      <c r="GI40" s="272">
        <v>162</v>
      </c>
    </row>
    <row r="41" spans="2:191" x14ac:dyDescent="0.15">
      <c r="B41" s="89" t="s">
        <v>75</v>
      </c>
      <c r="C41" s="272">
        <v>2637754</v>
      </c>
      <c r="D41" s="455">
        <f t="shared" si="0"/>
        <v>613137</v>
      </c>
      <c r="E41" s="272">
        <v>12213</v>
      </c>
      <c r="F41" s="272">
        <v>600924</v>
      </c>
      <c r="G41" s="455">
        <f t="shared" si="1"/>
        <v>178432</v>
      </c>
      <c r="H41" s="272">
        <v>48240</v>
      </c>
      <c r="I41" s="272">
        <v>130192</v>
      </c>
      <c r="J41" s="272">
        <v>1395472</v>
      </c>
      <c r="K41" s="272">
        <v>811293</v>
      </c>
      <c r="L41" s="272">
        <v>397042</v>
      </c>
      <c r="M41" s="272">
        <v>175799</v>
      </c>
      <c r="N41" s="272">
        <v>115760</v>
      </c>
      <c r="O41" s="272">
        <v>317058</v>
      </c>
      <c r="P41" s="272">
        <v>226056</v>
      </c>
      <c r="Q41" s="272">
        <v>91002</v>
      </c>
      <c r="R41" s="272">
        <v>40702</v>
      </c>
      <c r="S41" s="272"/>
      <c r="T41" s="455">
        <f t="shared" si="2"/>
        <v>307490</v>
      </c>
      <c r="U41" s="272">
        <v>82436</v>
      </c>
      <c r="V41" s="272"/>
      <c r="W41" s="272"/>
      <c r="X41" s="272">
        <v>184620</v>
      </c>
      <c r="Y41" s="272">
        <v>0</v>
      </c>
      <c r="Z41" s="272">
        <v>0</v>
      </c>
      <c r="AA41" s="272">
        <v>40434</v>
      </c>
      <c r="AB41" s="272">
        <v>61881</v>
      </c>
      <c r="AC41" s="272">
        <v>2022354</v>
      </c>
      <c r="AD41" s="272">
        <v>1620801</v>
      </c>
      <c r="AE41" s="272">
        <v>401553</v>
      </c>
      <c r="AF41" s="272">
        <v>3635</v>
      </c>
      <c r="AG41" s="272">
        <v>4835</v>
      </c>
      <c r="AH41" s="455">
        <f t="shared" si="3"/>
        <v>165458</v>
      </c>
      <c r="AI41" s="272">
        <v>148634</v>
      </c>
      <c r="AJ41" s="272">
        <v>16824</v>
      </c>
      <c r="AK41" s="272">
        <v>159665</v>
      </c>
      <c r="AL41" s="455">
        <f t="shared" si="4"/>
        <v>54664</v>
      </c>
      <c r="AM41" s="272">
        <v>0</v>
      </c>
      <c r="AN41" s="272">
        <v>52712</v>
      </c>
      <c r="AO41" s="272">
        <v>0</v>
      </c>
      <c r="AP41" s="272">
        <v>1952</v>
      </c>
      <c r="AQ41" s="272">
        <v>9695</v>
      </c>
      <c r="AR41" s="272">
        <v>0</v>
      </c>
      <c r="AS41" s="272">
        <v>0</v>
      </c>
      <c r="AT41" s="272">
        <v>285929</v>
      </c>
      <c r="AU41" s="272">
        <v>102113</v>
      </c>
      <c r="AV41" s="272">
        <v>29199</v>
      </c>
      <c r="AW41" s="272">
        <v>0</v>
      </c>
      <c r="AX41" s="272">
        <v>183816</v>
      </c>
      <c r="AY41" s="272">
        <v>47485</v>
      </c>
      <c r="AZ41" s="272">
        <v>9966</v>
      </c>
      <c r="BA41" s="272">
        <v>0</v>
      </c>
      <c r="BB41" s="272">
        <v>8839</v>
      </c>
      <c r="BC41" s="272">
        <v>14583</v>
      </c>
      <c r="BD41" s="272">
        <v>0</v>
      </c>
      <c r="BE41" s="272">
        <v>0</v>
      </c>
      <c r="BF41" s="272">
        <v>14564</v>
      </c>
      <c r="BG41" s="272">
        <v>0</v>
      </c>
      <c r="BH41" s="272">
        <v>101454</v>
      </c>
      <c r="BI41" s="272">
        <v>101454</v>
      </c>
      <c r="BJ41" s="272">
        <v>301999</v>
      </c>
      <c r="BK41" s="272">
        <v>207882</v>
      </c>
      <c r="BL41" s="272">
        <v>0</v>
      </c>
      <c r="BM41" s="272">
        <v>0</v>
      </c>
      <c r="BN41" s="272">
        <v>71500</v>
      </c>
      <c r="BO41" s="455">
        <f t="shared" si="5"/>
        <v>47600</v>
      </c>
      <c r="BP41" s="455">
        <f t="shared" si="6"/>
        <v>23900</v>
      </c>
      <c r="BQ41" s="272">
        <v>23900</v>
      </c>
      <c r="BR41" s="272">
        <v>0</v>
      </c>
      <c r="BS41" s="272">
        <v>0</v>
      </c>
      <c r="BT41" s="272">
        <v>0</v>
      </c>
      <c r="BU41" s="272">
        <v>6198044</v>
      </c>
      <c r="BV41" s="272"/>
      <c r="BW41" s="272">
        <v>1850919</v>
      </c>
      <c r="BX41" s="272">
        <v>1262809</v>
      </c>
      <c r="BY41" s="272">
        <v>182211</v>
      </c>
      <c r="BZ41" s="272">
        <v>21363</v>
      </c>
      <c r="CA41" s="272">
        <v>248627</v>
      </c>
      <c r="CB41" s="272">
        <v>102091</v>
      </c>
      <c r="CC41" s="272">
        <v>91197</v>
      </c>
      <c r="CD41" s="272">
        <v>49165</v>
      </c>
      <c r="CE41" s="272">
        <v>0</v>
      </c>
      <c r="CF41" s="272">
        <v>0</v>
      </c>
      <c r="CG41" s="272">
        <v>6174</v>
      </c>
      <c r="CH41" s="272">
        <v>818370</v>
      </c>
      <c r="CI41" s="272">
        <v>585023</v>
      </c>
      <c r="CJ41" s="455">
        <f t="shared" si="7"/>
        <v>233347</v>
      </c>
      <c r="CK41" s="272">
        <v>1255780</v>
      </c>
      <c r="CL41" s="272">
        <v>689163</v>
      </c>
      <c r="CM41" s="272">
        <v>123809</v>
      </c>
      <c r="CN41" s="272">
        <v>277623</v>
      </c>
      <c r="CO41" s="272">
        <v>76025</v>
      </c>
      <c r="CP41" s="272">
        <v>426777</v>
      </c>
      <c r="CQ41" s="272">
        <v>3881</v>
      </c>
      <c r="CR41" s="272">
        <v>53669</v>
      </c>
      <c r="CS41" s="272">
        <v>53669</v>
      </c>
      <c r="CT41" s="455">
        <f t="shared" si="8"/>
        <v>188951</v>
      </c>
      <c r="CU41" s="272">
        <v>141793</v>
      </c>
      <c r="CV41" s="272">
        <v>47158</v>
      </c>
      <c r="CW41" s="455">
        <f t="shared" si="9"/>
        <v>168951</v>
      </c>
      <c r="CX41" s="272">
        <v>141199</v>
      </c>
      <c r="CY41" s="272">
        <v>27752</v>
      </c>
      <c r="CZ41" s="455">
        <f t="shared" si="10"/>
        <v>0</v>
      </c>
      <c r="DA41" s="272">
        <v>0</v>
      </c>
      <c r="DB41" s="272">
        <v>0</v>
      </c>
      <c r="DC41" s="272">
        <v>219727</v>
      </c>
      <c r="DD41" s="272">
        <v>31374</v>
      </c>
      <c r="DE41" s="272">
        <v>188353</v>
      </c>
      <c r="DF41" s="272">
        <v>0</v>
      </c>
      <c r="DG41" s="272">
        <v>0</v>
      </c>
      <c r="DH41" s="272">
        <v>0</v>
      </c>
      <c r="DI41" s="272">
        <v>65294</v>
      </c>
      <c r="DJ41" s="272">
        <v>56997</v>
      </c>
      <c r="DK41" s="272">
        <v>0</v>
      </c>
      <c r="DL41" s="272">
        <v>8297</v>
      </c>
      <c r="DM41" s="272">
        <v>0</v>
      </c>
      <c r="DN41" s="272">
        <v>0</v>
      </c>
      <c r="DO41" s="272">
        <v>0</v>
      </c>
      <c r="DP41" s="272">
        <v>0</v>
      </c>
      <c r="DQ41" s="272">
        <v>84</v>
      </c>
      <c r="DR41" s="272">
        <v>0</v>
      </c>
      <c r="DS41" s="272">
        <v>0</v>
      </c>
      <c r="DT41" s="272">
        <v>1124806</v>
      </c>
      <c r="DU41" s="272">
        <v>778952</v>
      </c>
      <c r="DV41" s="455">
        <f t="shared" si="11"/>
        <v>0</v>
      </c>
      <c r="DW41" s="272">
        <v>0</v>
      </c>
      <c r="DX41" s="272">
        <v>0</v>
      </c>
      <c r="DY41" s="272">
        <v>0</v>
      </c>
      <c r="DZ41" s="272">
        <v>163011</v>
      </c>
      <c r="EA41" s="272">
        <v>88366</v>
      </c>
      <c r="EB41" s="272">
        <v>94477</v>
      </c>
      <c r="EC41" s="272">
        <v>0</v>
      </c>
      <c r="ED41" s="272">
        <v>6086409</v>
      </c>
      <c r="EE41" s="89"/>
      <c r="EF41" s="272">
        <v>111635</v>
      </c>
      <c r="EG41" s="272">
        <v>2625</v>
      </c>
      <c r="EH41" s="272">
        <v>109010</v>
      </c>
      <c r="EI41" s="272">
        <v>7556</v>
      </c>
      <c r="EJ41" s="272">
        <v>64553</v>
      </c>
      <c r="EL41" s="272">
        <v>17509</v>
      </c>
      <c r="EM41" s="272">
        <v>17014</v>
      </c>
      <c r="EN41" s="272">
        <v>19</v>
      </c>
      <c r="EO41" s="272">
        <v>632</v>
      </c>
      <c r="EP41" s="455">
        <f t="shared" si="12"/>
        <v>144290</v>
      </c>
      <c r="EQ41" s="272">
        <v>5073816</v>
      </c>
      <c r="ER41" s="272">
        <v>-165206</v>
      </c>
      <c r="ES41" s="272">
        <v>1684421</v>
      </c>
      <c r="ET41" s="272">
        <v>1121558</v>
      </c>
      <c r="EU41" s="272">
        <v>103322</v>
      </c>
      <c r="EV41" s="272">
        <v>610665</v>
      </c>
      <c r="EW41" s="455">
        <f t="shared" si="13"/>
        <v>66274</v>
      </c>
      <c r="EX41" s="272">
        <v>66274</v>
      </c>
      <c r="EY41" s="272">
        <v>2229</v>
      </c>
      <c r="EZ41" s="272">
        <v>64045</v>
      </c>
      <c r="FA41" s="272">
        <v>0</v>
      </c>
      <c r="FB41" s="272"/>
      <c r="FC41" s="272">
        <v>1052688</v>
      </c>
      <c r="FD41" s="272">
        <v>387976</v>
      </c>
      <c r="FE41" s="272">
        <v>3881</v>
      </c>
      <c r="FF41" s="272">
        <v>1095088</v>
      </c>
      <c r="FG41" s="455">
        <f t="shared" si="14"/>
        <v>126953</v>
      </c>
      <c r="FH41" s="272">
        <v>5127387</v>
      </c>
      <c r="FI41" s="384">
        <f t="shared" si="15"/>
        <v>2.5</v>
      </c>
      <c r="FJ41" s="272">
        <v>4314483</v>
      </c>
      <c r="FK41" s="272"/>
      <c r="FL41" s="272">
        <v>2031396</v>
      </c>
      <c r="FM41" s="272">
        <v>3651880</v>
      </c>
      <c r="FN41" s="460">
        <v>0.56999999999999995</v>
      </c>
      <c r="FO41" s="388">
        <v>102.8</v>
      </c>
      <c r="FP41" s="388">
        <v>37.200000000000003</v>
      </c>
      <c r="FQ41" s="388">
        <v>2.4</v>
      </c>
      <c r="FR41" s="388">
        <v>13.9</v>
      </c>
      <c r="FS41" s="388">
        <v>23.6</v>
      </c>
      <c r="FT41" s="388">
        <v>7.5</v>
      </c>
      <c r="FU41" s="388">
        <v>16.5</v>
      </c>
      <c r="FV41" s="388">
        <v>9.8000000000000007</v>
      </c>
      <c r="FW41" s="272">
        <v>8646048</v>
      </c>
      <c r="FX41" s="384">
        <f t="shared" si="16"/>
        <v>200.4</v>
      </c>
      <c r="FY41" s="272">
        <v>1781835</v>
      </c>
      <c r="FZ41" s="272">
        <v>1123031</v>
      </c>
      <c r="GA41" s="272"/>
      <c r="GB41" s="272">
        <v>658804</v>
      </c>
      <c r="GC41" s="272"/>
      <c r="GD41" s="272"/>
      <c r="GE41" s="384"/>
      <c r="GF41" s="388">
        <v>97.2</v>
      </c>
      <c r="GG41" s="388">
        <v>20.8</v>
      </c>
      <c r="GH41" s="388">
        <v>88.4</v>
      </c>
      <c r="GI41" s="272">
        <v>189</v>
      </c>
    </row>
    <row r="42" spans="2:191" x14ac:dyDescent="0.15">
      <c r="B42" s="89" t="s">
        <v>77</v>
      </c>
      <c r="C42" s="272">
        <v>4754976</v>
      </c>
      <c r="D42" s="455">
        <f t="shared" si="0"/>
        <v>2278549</v>
      </c>
      <c r="E42" s="272">
        <v>30524</v>
      </c>
      <c r="F42" s="272">
        <v>2248025</v>
      </c>
      <c r="G42" s="455">
        <f t="shared" si="1"/>
        <v>209950</v>
      </c>
      <c r="H42" s="272">
        <v>49045</v>
      </c>
      <c r="I42" s="272">
        <v>160905</v>
      </c>
      <c r="J42" s="272">
        <v>2036902</v>
      </c>
      <c r="K42" s="272">
        <v>987809</v>
      </c>
      <c r="L42" s="272">
        <v>796935</v>
      </c>
      <c r="M42" s="272">
        <v>239061</v>
      </c>
      <c r="N42" s="272">
        <v>172950</v>
      </c>
      <c r="O42" s="272">
        <v>0</v>
      </c>
      <c r="P42" s="272">
        <v>0</v>
      </c>
      <c r="Q42" s="272">
        <v>0</v>
      </c>
      <c r="R42" s="272">
        <v>94189</v>
      </c>
      <c r="S42" s="272"/>
      <c r="T42" s="455">
        <f t="shared" si="2"/>
        <v>679416</v>
      </c>
      <c r="U42" s="272">
        <v>261449</v>
      </c>
      <c r="V42" s="272"/>
      <c r="W42" s="272"/>
      <c r="X42" s="272">
        <v>312465</v>
      </c>
      <c r="Y42" s="272">
        <v>11869</v>
      </c>
      <c r="Z42" s="272">
        <v>0</v>
      </c>
      <c r="AA42" s="272">
        <v>93633</v>
      </c>
      <c r="AB42" s="272">
        <v>222387</v>
      </c>
      <c r="AC42" s="272">
        <v>2771111</v>
      </c>
      <c r="AD42" s="272">
        <v>2487328</v>
      </c>
      <c r="AE42" s="272">
        <v>283783</v>
      </c>
      <c r="AF42" s="272">
        <v>7896</v>
      </c>
      <c r="AG42" s="272">
        <v>24971</v>
      </c>
      <c r="AH42" s="455">
        <f t="shared" si="3"/>
        <v>173026</v>
      </c>
      <c r="AI42" s="272">
        <v>142911</v>
      </c>
      <c r="AJ42" s="272">
        <v>30115</v>
      </c>
      <c r="AK42" s="272">
        <v>997214</v>
      </c>
      <c r="AL42" s="455">
        <f t="shared" si="4"/>
        <v>88023</v>
      </c>
      <c r="AM42" s="272">
        <v>0</v>
      </c>
      <c r="AN42" s="272">
        <v>85324</v>
      </c>
      <c r="AO42" s="272">
        <v>0</v>
      </c>
      <c r="AP42" s="272">
        <v>2699</v>
      </c>
      <c r="AQ42" s="272">
        <v>614917</v>
      </c>
      <c r="AR42" s="272">
        <v>10546</v>
      </c>
      <c r="AS42" s="272">
        <v>0</v>
      </c>
      <c r="AT42" s="272">
        <v>739481</v>
      </c>
      <c r="AU42" s="272">
        <v>188601</v>
      </c>
      <c r="AV42" s="272">
        <v>49486</v>
      </c>
      <c r="AW42" s="272">
        <v>486</v>
      </c>
      <c r="AX42" s="272">
        <v>550880</v>
      </c>
      <c r="AY42" s="272">
        <v>214044</v>
      </c>
      <c r="AZ42" s="272">
        <v>141012</v>
      </c>
      <c r="BA42" s="272">
        <v>10498</v>
      </c>
      <c r="BB42" s="272">
        <v>42911</v>
      </c>
      <c r="BC42" s="272">
        <v>630030</v>
      </c>
      <c r="BD42" s="272">
        <v>0</v>
      </c>
      <c r="BE42" s="272">
        <v>120000</v>
      </c>
      <c r="BF42" s="272">
        <v>510000</v>
      </c>
      <c r="BG42" s="272">
        <v>0</v>
      </c>
      <c r="BH42" s="272">
        <v>337921</v>
      </c>
      <c r="BI42" s="272">
        <v>307871</v>
      </c>
      <c r="BJ42" s="272">
        <v>114824</v>
      </c>
      <c r="BK42" s="272">
        <v>0</v>
      </c>
      <c r="BL42" s="272">
        <v>0</v>
      </c>
      <c r="BM42" s="272">
        <v>0</v>
      </c>
      <c r="BN42" s="272">
        <v>573400</v>
      </c>
      <c r="BO42" s="455">
        <f t="shared" si="5"/>
        <v>495000</v>
      </c>
      <c r="BP42" s="455">
        <f t="shared" si="6"/>
        <v>78400</v>
      </c>
      <c r="BQ42" s="272">
        <v>78400</v>
      </c>
      <c r="BR42" s="272">
        <v>0</v>
      </c>
      <c r="BS42" s="272">
        <v>0</v>
      </c>
      <c r="BT42" s="272">
        <v>0</v>
      </c>
      <c r="BU42" s="272">
        <v>12304765</v>
      </c>
      <c r="BV42" s="272"/>
      <c r="BW42" s="272">
        <v>3162061</v>
      </c>
      <c r="BX42" s="272">
        <v>2378803</v>
      </c>
      <c r="BY42" s="272">
        <v>151415</v>
      </c>
      <c r="BZ42" s="272">
        <v>57258</v>
      </c>
      <c r="CA42" s="272">
        <v>644328</v>
      </c>
      <c r="CB42" s="272">
        <v>84280</v>
      </c>
      <c r="CC42" s="272">
        <v>217886</v>
      </c>
      <c r="CD42" s="272">
        <v>310085</v>
      </c>
      <c r="CE42" s="272">
        <v>0</v>
      </c>
      <c r="CF42" s="272">
        <v>0</v>
      </c>
      <c r="CG42" s="272">
        <v>32077</v>
      </c>
      <c r="CH42" s="272">
        <v>1514172</v>
      </c>
      <c r="CI42" s="272">
        <v>1043783</v>
      </c>
      <c r="CJ42" s="455">
        <f t="shared" si="7"/>
        <v>470389</v>
      </c>
      <c r="CK42" s="272">
        <v>1928373</v>
      </c>
      <c r="CL42" s="272">
        <v>816010</v>
      </c>
      <c r="CM42" s="272">
        <v>135847</v>
      </c>
      <c r="CN42" s="272">
        <v>479937</v>
      </c>
      <c r="CO42" s="272">
        <v>239028</v>
      </c>
      <c r="CP42" s="272">
        <v>446422</v>
      </c>
      <c r="CQ42" s="272">
        <v>1573</v>
      </c>
      <c r="CR42" s="272">
        <v>236226</v>
      </c>
      <c r="CS42" s="272">
        <v>232283</v>
      </c>
      <c r="CT42" s="455">
        <f t="shared" si="8"/>
        <v>7758</v>
      </c>
      <c r="CU42" s="272">
        <v>5195</v>
      </c>
      <c r="CV42" s="272">
        <v>2563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2371978</v>
      </c>
      <c r="DD42" s="272">
        <v>1320548</v>
      </c>
      <c r="DE42" s="272">
        <v>1016995</v>
      </c>
      <c r="DF42" s="272">
        <v>34435</v>
      </c>
      <c r="DG42" s="272">
        <v>0</v>
      </c>
      <c r="DH42" s="272">
        <v>35689</v>
      </c>
      <c r="DI42" s="272">
        <v>235760</v>
      </c>
      <c r="DJ42" s="272">
        <v>150000</v>
      </c>
      <c r="DK42" s="272">
        <v>6033</v>
      </c>
      <c r="DL42" s="272">
        <v>79727</v>
      </c>
      <c r="DM42" s="272">
        <v>2100</v>
      </c>
      <c r="DN42" s="272">
        <v>2100</v>
      </c>
      <c r="DO42" s="272">
        <v>2100</v>
      </c>
      <c r="DP42" s="272">
        <v>0</v>
      </c>
      <c r="DQ42" s="272">
        <v>0</v>
      </c>
      <c r="DR42" s="272">
        <v>0</v>
      </c>
      <c r="DS42" s="272">
        <v>0</v>
      </c>
      <c r="DT42" s="272">
        <v>1383802</v>
      </c>
      <c r="DU42" s="272">
        <v>806300</v>
      </c>
      <c r="DV42" s="455">
        <f t="shared" si="11"/>
        <v>0</v>
      </c>
      <c r="DW42" s="272">
        <v>0</v>
      </c>
      <c r="DX42" s="272">
        <v>0</v>
      </c>
      <c r="DY42" s="272">
        <v>0</v>
      </c>
      <c r="DZ42" s="272">
        <v>231115</v>
      </c>
      <c r="EA42" s="272">
        <v>160312</v>
      </c>
      <c r="EB42" s="272">
        <v>183985</v>
      </c>
      <c r="EC42" s="272">
        <v>0</v>
      </c>
      <c r="ED42" s="272">
        <v>11963713</v>
      </c>
      <c r="EE42" s="89"/>
      <c r="EF42" s="272">
        <v>341052</v>
      </c>
      <c r="EG42" s="272">
        <v>39827</v>
      </c>
      <c r="EH42" s="272">
        <v>301225</v>
      </c>
      <c r="EI42" s="272">
        <v>-6646</v>
      </c>
      <c r="EJ42" s="272">
        <v>264151</v>
      </c>
      <c r="EL42" s="272">
        <v>42914</v>
      </c>
      <c r="EM42" s="272">
        <v>42675</v>
      </c>
      <c r="EN42" s="272">
        <v>120030</v>
      </c>
      <c r="EO42" s="272">
        <v>99311</v>
      </c>
      <c r="EP42" s="455">
        <f t="shared" si="12"/>
        <v>466155</v>
      </c>
      <c r="EQ42" s="272">
        <v>8529975</v>
      </c>
      <c r="ER42" s="272">
        <v>-756000</v>
      </c>
      <c r="ES42" s="272">
        <v>2879373</v>
      </c>
      <c r="ET42" s="272">
        <v>2116996</v>
      </c>
      <c r="EU42" s="272">
        <v>322623</v>
      </c>
      <c r="EV42" s="272">
        <v>1514172</v>
      </c>
      <c r="EW42" s="455">
        <f t="shared" si="13"/>
        <v>520817</v>
      </c>
      <c r="EX42" s="272">
        <v>501808</v>
      </c>
      <c r="EY42" s="272">
        <v>21516</v>
      </c>
      <c r="EZ42" s="272">
        <v>462957</v>
      </c>
      <c r="FA42" s="272">
        <v>19009</v>
      </c>
      <c r="FB42" s="272"/>
      <c r="FC42" s="272">
        <v>1545002</v>
      </c>
      <c r="FD42" s="272">
        <v>414906</v>
      </c>
      <c r="FE42" s="272">
        <v>1573</v>
      </c>
      <c r="FF42" s="272">
        <v>1314126</v>
      </c>
      <c r="FG42" s="455">
        <f t="shared" si="14"/>
        <v>433904</v>
      </c>
      <c r="FH42" s="272">
        <v>8944923</v>
      </c>
      <c r="FI42" s="384">
        <f t="shared" si="15"/>
        <v>3.6</v>
      </c>
      <c r="FJ42" s="272">
        <v>8289206</v>
      </c>
      <c r="FK42" s="272"/>
      <c r="FL42" s="272">
        <v>4376919</v>
      </c>
      <c r="FM42" s="272">
        <v>6864247</v>
      </c>
      <c r="FN42" s="460">
        <v>0.66</v>
      </c>
      <c r="FO42" s="388">
        <v>83.9</v>
      </c>
      <c r="FP42" s="388">
        <v>33.299999999999997</v>
      </c>
      <c r="FQ42" s="388">
        <v>3.9</v>
      </c>
      <c r="FR42" s="388">
        <v>16.7</v>
      </c>
      <c r="FS42" s="388">
        <v>15.6</v>
      </c>
      <c r="FT42" s="388">
        <v>4.5</v>
      </c>
      <c r="FU42" s="388">
        <v>7.2</v>
      </c>
      <c r="FV42" s="388">
        <v>7.9</v>
      </c>
      <c r="FW42" s="272">
        <v>12430217</v>
      </c>
      <c r="FX42" s="384">
        <f t="shared" si="16"/>
        <v>150</v>
      </c>
      <c r="FY42" s="272">
        <v>10326438</v>
      </c>
      <c r="FZ42" s="272">
        <v>1810158</v>
      </c>
      <c r="GA42" s="272">
        <v>1094877</v>
      </c>
      <c r="GB42" s="272">
        <v>7421403</v>
      </c>
      <c r="GC42" s="272"/>
      <c r="GD42" s="272">
        <v>2472073</v>
      </c>
      <c r="GE42" s="384">
        <f>ROUND(GD42/FJ42*100,1)</f>
        <v>29.8</v>
      </c>
      <c r="GF42" s="388">
        <v>97.8</v>
      </c>
      <c r="GG42" s="388">
        <v>22</v>
      </c>
      <c r="GH42" s="388">
        <v>89.8</v>
      </c>
      <c r="GI42" s="272">
        <v>375</v>
      </c>
    </row>
    <row r="43" spans="2:191" x14ac:dyDescent="0.15">
      <c r="B43" s="89" t="s">
        <v>79</v>
      </c>
      <c r="C43" s="272">
        <v>3977727</v>
      </c>
      <c r="D43" s="455">
        <f t="shared" si="0"/>
        <v>295353</v>
      </c>
      <c r="E43" s="272">
        <v>5368</v>
      </c>
      <c r="F43" s="272">
        <v>289985</v>
      </c>
      <c r="G43" s="455">
        <f t="shared" si="1"/>
        <v>138755</v>
      </c>
      <c r="H43" s="272">
        <v>43961</v>
      </c>
      <c r="I43" s="272">
        <v>94794</v>
      </c>
      <c r="J43" s="272">
        <v>3379992</v>
      </c>
      <c r="K43" s="272">
        <v>1954081</v>
      </c>
      <c r="L43" s="272">
        <v>846281</v>
      </c>
      <c r="M43" s="272">
        <v>539566</v>
      </c>
      <c r="N43" s="272">
        <v>75087</v>
      </c>
      <c r="O43" s="272">
        <v>0</v>
      </c>
      <c r="P43" s="272">
        <v>0</v>
      </c>
      <c r="Q43" s="272">
        <v>0</v>
      </c>
      <c r="R43" s="272">
        <v>57282</v>
      </c>
      <c r="S43" s="272"/>
      <c r="T43" s="455">
        <f t="shared" si="2"/>
        <v>154496</v>
      </c>
      <c r="U43" s="272">
        <v>32475</v>
      </c>
      <c r="V43" s="272"/>
      <c r="W43" s="272"/>
      <c r="X43" s="272">
        <v>103244</v>
      </c>
      <c r="Y43" s="272">
        <v>0</v>
      </c>
      <c r="Z43" s="272">
        <v>1733</v>
      </c>
      <c r="AA43" s="272">
        <v>17044</v>
      </c>
      <c r="AB43" s="272">
        <v>27201</v>
      </c>
      <c r="AC43" s="272">
        <v>23099</v>
      </c>
      <c r="AD43" s="272">
        <v>0</v>
      </c>
      <c r="AE43" s="272">
        <v>23099</v>
      </c>
      <c r="AF43" s="272">
        <v>1294</v>
      </c>
      <c r="AG43" s="272">
        <v>3035</v>
      </c>
      <c r="AH43" s="455">
        <f t="shared" si="3"/>
        <v>47305</v>
      </c>
      <c r="AI43" s="272">
        <v>43042</v>
      </c>
      <c r="AJ43" s="272">
        <v>4263</v>
      </c>
      <c r="AK43" s="272">
        <v>59166</v>
      </c>
      <c r="AL43" s="455">
        <f t="shared" si="4"/>
        <v>8298</v>
      </c>
      <c r="AM43" s="272">
        <v>0</v>
      </c>
      <c r="AN43" s="272">
        <v>5513</v>
      </c>
      <c r="AO43" s="272">
        <v>0</v>
      </c>
      <c r="AP43" s="272">
        <v>2785</v>
      </c>
      <c r="AQ43" s="272">
        <v>0</v>
      </c>
      <c r="AR43" s="272">
        <v>0</v>
      </c>
      <c r="AS43" s="272">
        <v>0</v>
      </c>
      <c r="AT43" s="272">
        <v>126635</v>
      </c>
      <c r="AU43" s="272">
        <v>70386</v>
      </c>
      <c r="AV43" s="272">
        <v>3254</v>
      </c>
      <c r="AW43" s="272">
        <v>1235</v>
      </c>
      <c r="AX43" s="272">
        <v>56249</v>
      </c>
      <c r="AY43" s="272">
        <v>1200</v>
      </c>
      <c r="AZ43" s="272">
        <v>12330</v>
      </c>
      <c r="BA43" s="272">
        <v>0</v>
      </c>
      <c r="BB43" s="272">
        <v>20685</v>
      </c>
      <c r="BC43" s="272">
        <v>328479</v>
      </c>
      <c r="BD43" s="272">
        <v>325000</v>
      </c>
      <c r="BE43" s="272">
        <v>0</v>
      </c>
      <c r="BF43" s="272">
        <v>3479</v>
      </c>
      <c r="BG43" s="272">
        <v>0</v>
      </c>
      <c r="BH43" s="272">
        <v>239946</v>
      </c>
      <c r="BI43" s="272">
        <v>199695</v>
      </c>
      <c r="BJ43" s="272">
        <v>66355</v>
      </c>
      <c r="BK43" s="272">
        <v>0</v>
      </c>
      <c r="BL43" s="272">
        <v>0</v>
      </c>
      <c r="BM43" s="272">
        <v>0</v>
      </c>
      <c r="BN43" s="272">
        <v>0</v>
      </c>
      <c r="BO43" s="455">
        <f t="shared" si="5"/>
        <v>0</v>
      </c>
      <c r="BP43" s="455">
        <f t="shared" si="6"/>
        <v>0</v>
      </c>
      <c r="BQ43" s="272">
        <v>0</v>
      </c>
      <c r="BR43" s="272">
        <v>0</v>
      </c>
      <c r="BS43" s="272">
        <v>0</v>
      </c>
      <c r="BT43" s="272">
        <v>0</v>
      </c>
      <c r="BU43" s="272">
        <v>5145035</v>
      </c>
      <c r="BV43" s="272"/>
      <c r="BW43" s="272">
        <v>1289272</v>
      </c>
      <c r="BX43" s="272">
        <v>892480</v>
      </c>
      <c r="BY43" s="272">
        <v>104360</v>
      </c>
      <c r="BZ43" s="272">
        <v>11118</v>
      </c>
      <c r="CA43" s="272">
        <v>127538</v>
      </c>
      <c r="CB43" s="272">
        <v>26487</v>
      </c>
      <c r="CC43" s="272">
        <v>63095</v>
      </c>
      <c r="CD43" s="272">
        <v>36354</v>
      </c>
      <c r="CE43" s="272">
        <v>0</v>
      </c>
      <c r="CF43" s="272">
        <v>0</v>
      </c>
      <c r="CG43" s="272">
        <v>1602</v>
      </c>
      <c r="CH43" s="272">
        <v>994942</v>
      </c>
      <c r="CI43" s="272">
        <v>740380</v>
      </c>
      <c r="CJ43" s="455">
        <f t="shared" si="7"/>
        <v>254562</v>
      </c>
      <c r="CK43" s="272">
        <v>648812</v>
      </c>
      <c r="CL43" s="272">
        <v>287039</v>
      </c>
      <c r="CM43" s="272">
        <v>106699</v>
      </c>
      <c r="CN43" s="272">
        <v>138788</v>
      </c>
      <c r="CO43" s="272">
        <v>18383</v>
      </c>
      <c r="CP43" s="272">
        <v>586527</v>
      </c>
      <c r="CQ43" s="272">
        <v>135574</v>
      </c>
      <c r="CR43" s="272">
        <v>64502</v>
      </c>
      <c r="CS43" s="272">
        <v>64502</v>
      </c>
      <c r="CT43" s="455">
        <f t="shared" si="8"/>
        <v>30148</v>
      </c>
      <c r="CU43" s="272">
        <v>5993</v>
      </c>
      <c r="CV43" s="272">
        <v>24155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436232</v>
      </c>
      <c r="DD43" s="272">
        <v>0</v>
      </c>
      <c r="DE43" s="272">
        <v>373101</v>
      </c>
      <c r="DF43" s="272">
        <v>63131</v>
      </c>
      <c r="DG43" s="272">
        <v>0</v>
      </c>
      <c r="DH43" s="272">
        <v>0</v>
      </c>
      <c r="DI43" s="272">
        <v>132439</v>
      </c>
      <c r="DJ43" s="272">
        <v>109774</v>
      </c>
      <c r="DK43" s="272">
        <v>0</v>
      </c>
      <c r="DL43" s="272">
        <v>22665</v>
      </c>
      <c r="DM43" s="272">
        <v>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665495</v>
      </c>
      <c r="DU43" s="272">
        <v>518838</v>
      </c>
      <c r="DV43" s="455">
        <f t="shared" si="11"/>
        <v>0</v>
      </c>
      <c r="DW43" s="272">
        <v>0</v>
      </c>
      <c r="DX43" s="272">
        <v>0</v>
      </c>
      <c r="DY43" s="272">
        <v>0</v>
      </c>
      <c r="DZ43" s="272">
        <v>55080</v>
      </c>
      <c r="EA43" s="272">
        <v>44601</v>
      </c>
      <c r="EB43" s="272">
        <v>46898</v>
      </c>
      <c r="EC43" s="272">
        <v>0</v>
      </c>
      <c r="ED43" s="272">
        <v>4899640</v>
      </c>
      <c r="EE43" s="89"/>
      <c r="EF43" s="272">
        <v>245395</v>
      </c>
      <c r="EG43" s="272">
        <v>54610</v>
      </c>
      <c r="EH43" s="272">
        <v>190785</v>
      </c>
      <c r="EI43" s="272">
        <v>-8910</v>
      </c>
      <c r="EJ43" s="272">
        <v>11602</v>
      </c>
      <c r="EL43" s="272">
        <v>6785</v>
      </c>
      <c r="EM43" s="272">
        <v>7085</v>
      </c>
      <c r="EN43" s="272">
        <v>325000</v>
      </c>
      <c r="EO43" s="272"/>
      <c r="EP43" s="455">
        <f t="shared" si="12"/>
        <v>212319</v>
      </c>
      <c r="EQ43" s="272">
        <v>4241099</v>
      </c>
      <c r="ER43" s="272">
        <v>-536025</v>
      </c>
      <c r="ES43" s="272">
        <v>1228528</v>
      </c>
      <c r="ET43" s="272">
        <v>833045</v>
      </c>
      <c r="EU43" s="272">
        <v>64307</v>
      </c>
      <c r="EV43" s="272">
        <v>994942</v>
      </c>
      <c r="EW43" s="455">
        <f t="shared" si="13"/>
        <v>343461</v>
      </c>
      <c r="EX43" s="272">
        <v>343461</v>
      </c>
      <c r="EY43" s="272">
        <v>0</v>
      </c>
      <c r="EZ43" s="272">
        <v>285902</v>
      </c>
      <c r="FA43" s="272">
        <v>0</v>
      </c>
      <c r="FB43" s="272"/>
      <c r="FC43" s="272">
        <v>556646</v>
      </c>
      <c r="FD43" s="272">
        <v>574592</v>
      </c>
      <c r="FE43" s="272">
        <v>135574</v>
      </c>
      <c r="FF43" s="272">
        <v>651033</v>
      </c>
      <c r="FG43" s="455">
        <f t="shared" si="14"/>
        <v>118220</v>
      </c>
      <c r="FH43" s="272">
        <v>4531729</v>
      </c>
      <c r="FI43" s="384">
        <f t="shared" si="15"/>
        <v>4.5999999999999996</v>
      </c>
      <c r="FJ43" s="272">
        <v>4128617</v>
      </c>
      <c r="FK43" s="272"/>
      <c r="FL43" s="272">
        <v>3110898</v>
      </c>
      <c r="FM43" s="272">
        <v>2069411</v>
      </c>
      <c r="FN43" s="460">
        <v>1.573</v>
      </c>
      <c r="FO43" s="388">
        <v>80.2</v>
      </c>
      <c r="FP43" s="388">
        <v>28.9</v>
      </c>
      <c r="FQ43" s="388">
        <v>1.5</v>
      </c>
      <c r="FR43" s="388">
        <v>18</v>
      </c>
      <c r="FS43" s="388">
        <v>11.5</v>
      </c>
      <c r="FT43" s="388">
        <v>11</v>
      </c>
      <c r="FU43" s="388">
        <v>8.9</v>
      </c>
      <c r="FV43" s="388">
        <v>12.8</v>
      </c>
      <c r="FW43" s="272">
        <v>6424508</v>
      </c>
      <c r="FX43" s="384">
        <f t="shared" si="16"/>
        <v>155.6</v>
      </c>
      <c r="FY43" s="272">
        <v>2120880</v>
      </c>
      <c r="FZ43" s="272">
        <v>1705721</v>
      </c>
      <c r="GA43" s="272"/>
      <c r="GB43" s="272">
        <v>415159</v>
      </c>
      <c r="GC43" s="272"/>
      <c r="GD43" s="272">
        <v>2632321</v>
      </c>
      <c r="GE43" s="384">
        <f>ROUND(GD43/FJ43*100,1)</f>
        <v>63.8</v>
      </c>
      <c r="GF43" s="388">
        <v>99.4</v>
      </c>
      <c r="GG43" s="388">
        <v>15.6</v>
      </c>
      <c r="GH43" s="388">
        <v>96.9</v>
      </c>
      <c r="GI43" s="272">
        <v>144</v>
      </c>
    </row>
    <row r="44" spans="2:191" x14ac:dyDescent="0.15">
      <c r="B44" s="89" t="s">
        <v>81</v>
      </c>
      <c r="C44" s="272">
        <v>2907724</v>
      </c>
      <c r="D44" s="455">
        <f t="shared" si="0"/>
        <v>912201</v>
      </c>
      <c r="E44" s="272">
        <v>14294</v>
      </c>
      <c r="F44" s="272">
        <v>897907</v>
      </c>
      <c r="G44" s="455">
        <f t="shared" si="1"/>
        <v>189693</v>
      </c>
      <c r="H44" s="272">
        <v>36339</v>
      </c>
      <c r="I44" s="272">
        <v>153354</v>
      </c>
      <c r="J44" s="272">
        <v>1618066</v>
      </c>
      <c r="K44" s="272">
        <v>677019</v>
      </c>
      <c r="L44" s="272">
        <v>443884</v>
      </c>
      <c r="M44" s="272">
        <v>492091</v>
      </c>
      <c r="N44" s="272">
        <v>104711</v>
      </c>
      <c r="O44" s="272">
        <v>0</v>
      </c>
      <c r="P44" s="272">
        <v>0</v>
      </c>
      <c r="Q44" s="272">
        <v>0</v>
      </c>
      <c r="R44" s="272">
        <v>60235</v>
      </c>
      <c r="S44" s="272"/>
      <c r="T44" s="455">
        <f t="shared" si="2"/>
        <v>407591</v>
      </c>
      <c r="U44" s="272">
        <v>108510</v>
      </c>
      <c r="V44" s="272"/>
      <c r="W44" s="272"/>
      <c r="X44" s="272">
        <v>172517</v>
      </c>
      <c r="Y44" s="272">
        <v>66277</v>
      </c>
      <c r="Z44" s="272">
        <v>341</v>
      </c>
      <c r="AA44" s="272">
        <v>59946</v>
      </c>
      <c r="AB44" s="272">
        <v>88876</v>
      </c>
      <c r="AC44" s="272">
        <v>1759487</v>
      </c>
      <c r="AD44" s="272">
        <v>1448885</v>
      </c>
      <c r="AE44" s="272">
        <v>310602</v>
      </c>
      <c r="AF44" s="272">
        <v>4469</v>
      </c>
      <c r="AG44" s="272">
        <v>7906</v>
      </c>
      <c r="AH44" s="455">
        <f t="shared" si="3"/>
        <v>259127</v>
      </c>
      <c r="AI44" s="272">
        <v>246955</v>
      </c>
      <c r="AJ44" s="272">
        <v>12172</v>
      </c>
      <c r="AK44" s="272">
        <v>286885</v>
      </c>
      <c r="AL44" s="455">
        <f t="shared" si="4"/>
        <v>36755</v>
      </c>
      <c r="AM44" s="272">
        <v>0</v>
      </c>
      <c r="AN44" s="272">
        <v>33290</v>
      </c>
      <c r="AO44" s="272">
        <v>0</v>
      </c>
      <c r="AP44" s="272">
        <v>3465</v>
      </c>
      <c r="AQ44" s="272">
        <v>123538</v>
      </c>
      <c r="AR44" s="272">
        <v>0</v>
      </c>
      <c r="AS44" s="272">
        <v>0</v>
      </c>
      <c r="AT44" s="272">
        <v>433570</v>
      </c>
      <c r="AU44" s="272">
        <v>144822</v>
      </c>
      <c r="AV44" s="272">
        <v>20597</v>
      </c>
      <c r="AW44" s="272">
        <v>26072</v>
      </c>
      <c r="AX44" s="272">
        <v>288748</v>
      </c>
      <c r="AY44" s="272">
        <v>55722</v>
      </c>
      <c r="AZ44" s="272">
        <v>13007</v>
      </c>
      <c r="BA44" s="272">
        <v>7942</v>
      </c>
      <c r="BB44" s="272">
        <v>224822</v>
      </c>
      <c r="BC44" s="272">
        <v>187274</v>
      </c>
      <c r="BD44" s="272">
        <v>0</v>
      </c>
      <c r="BE44" s="272">
        <v>0</v>
      </c>
      <c r="BF44" s="272">
        <v>79000</v>
      </c>
      <c r="BG44" s="272">
        <v>0</v>
      </c>
      <c r="BH44" s="272">
        <v>19457</v>
      </c>
      <c r="BI44" s="272">
        <v>11625</v>
      </c>
      <c r="BJ44" s="272">
        <v>251940</v>
      </c>
      <c r="BK44" s="272">
        <v>29330</v>
      </c>
      <c r="BL44" s="272">
        <v>0</v>
      </c>
      <c r="BM44" s="272">
        <v>0</v>
      </c>
      <c r="BN44" s="272">
        <v>1000600</v>
      </c>
      <c r="BO44" s="455">
        <f t="shared" si="5"/>
        <v>968200</v>
      </c>
      <c r="BP44" s="455">
        <f t="shared" si="6"/>
        <v>32400</v>
      </c>
      <c r="BQ44" s="272">
        <v>32400</v>
      </c>
      <c r="BR44" s="272">
        <v>0</v>
      </c>
      <c r="BS44" s="272">
        <v>0</v>
      </c>
      <c r="BT44" s="272">
        <v>0</v>
      </c>
      <c r="BU44" s="272">
        <v>7912970</v>
      </c>
      <c r="BV44" s="272"/>
      <c r="BW44" s="272">
        <v>2383352</v>
      </c>
      <c r="BX44" s="272">
        <v>1600592</v>
      </c>
      <c r="BY44" s="272">
        <v>307163</v>
      </c>
      <c r="BZ44" s="272">
        <v>30980</v>
      </c>
      <c r="CA44" s="272">
        <v>273517</v>
      </c>
      <c r="CB44" s="272">
        <v>77912</v>
      </c>
      <c r="CC44" s="272">
        <v>93520</v>
      </c>
      <c r="CD44" s="272">
        <v>90443</v>
      </c>
      <c r="CE44" s="272">
        <v>0</v>
      </c>
      <c r="CF44" s="272">
        <v>0</v>
      </c>
      <c r="CG44" s="272">
        <v>11562</v>
      </c>
      <c r="CH44" s="272">
        <v>1087426</v>
      </c>
      <c r="CI44" s="272">
        <v>703235</v>
      </c>
      <c r="CJ44" s="455">
        <f t="shared" si="7"/>
        <v>384191</v>
      </c>
      <c r="CK44" s="272">
        <v>1291790</v>
      </c>
      <c r="CL44" s="272">
        <v>532798</v>
      </c>
      <c r="CM44" s="272">
        <v>170064</v>
      </c>
      <c r="CN44" s="272">
        <v>415919</v>
      </c>
      <c r="CO44" s="272">
        <v>80569</v>
      </c>
      <c r="CP44" s="272">
        <v>249159</v>
      </c>
      <c r="CQ44" s="272">
        <v>20075</v>
      </c>
      <c r="CR44" s="272">
        <v>82385</v>
      </c>
      <c r="CS44" s="272">
        <v>71850</v>
      </c>
      <c r="CT44" s="455">
        <f t="shared" si="8"/>
        <v>3257</v>
      </c>
      <c r="CU44" s="272">
        <v>3257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1426820</v>
      </c>
      <c r="DD44" s="272">
        <v>276202</v>
      </c>
      <c r="DE44" s="272">
        <v>1100548</v>
      </c>
      <c r="DF44" s="272">
        <v>50070</v>
      </c>
      <c r="DG44" s="272">
        <v>0</v>
      </c>
      <c r="DH44" s="272">
        <v>14173</v>
      </c>
      <c r="DI44" s="272">
        <v>311873</v>
      </c>
      <c r="DJ44" s="272">
        <v>87372</v>
      </c>
      <c r="DK44" s="272">
        <v>349</v>
      </c>
      <c r="DL44" s="272">
        <v>224152</v>
      </c>
      <c r="DM44" s="272">
        <v>6800</v>
      </c>
      <c r="DN44" s="272">
        <v>6800</v>
      </c>
      <c r="DO44" s="272">
        <v>6800</v>
      </c>
      <c r="DP44" s="272">
        <v>0</v>
      </c>
      <c r="DQ44" s="272">
        <v>0</v>
      </c>
      <c r="DR44" s="272">
        <v>0</v>
      </c>
      <c r="DS44" s="272">
        <v>0</v>
      </c>
      <c r="DT44" s="272">
        <v>754534</v>
      </c>
      <c r="DU44" s="272">
        <v>355945</v>
      </c>
      <c r="DV44" s="455">
        <f t="shared" si="11"/>
        <v>0</v>
      </c>
      <c r="DW44" s="272">
        <v>0</v>
      </c>
      <c r="DX44" s="272">
        <v>0</v>
      </c>
      <c r="DY44" s="272">
        <v>0</v>
      </c>
      <c r="DZ44" s="272">
        <v>148840</v>
      </c>
      <c r="EA44" s="272">
        <v>123526</v>
      </c>
      <c r="EB44" s="272">
        <v>125638</v>
      </c>
      <c r="EC44" s="272">
        <v>0</v>
      </c>
      <c r="ED44" s="272">
        <v>7880013</v>
      </c>
      <c r="EE44" s="89"/>
      <c r="EF44" s="272">
        <v>32957</v>
      </c>
      <c r="EG44" s="272">
        <v>20566</v>
      </c>
      <c r="EH44" s="272">
        <v>12391</v>
      </c>
      <c r="EI44" s="272">
        <v>766</v>
      </c>
      <c r="EJ44" s="272">
        <v>88138</v>
      </c>
      <c r="EL44" s="272">
        <v>19789</v>
      </c>
      <c r="EM44" s="272">
        <v>20033</v>
      </c>
      <c r="EN44" s="272">
        <v>46</v>
      </c>
      <c r="EO44" s="272">
        <v>8498</v>
      </c>
      <c r="EP44" s="455">
        <f t="shared" si="12"/>
        <v>429770</v>
      </c>
      <c r="EQ44" s="272">
        <v>5228382</v>
      </c>
      <c r="ER44" s="272">
        <v>-466245</v>
      </c>
      <c r="ES44" s="272">
        <v>2186046</v>
      </c>
      <c r="ET44" s="272">
        <v>1417084</v>
      </c>
      <c r="EU44" s="272">
        <v>105813</v>
      </c>
      <c r="EV44" s="272">
        <v>1002646</v>
      </c>
      <c r="EW44" s="455">
        <f t="shared" si="13"/>
        <v>108183</v>
      </c>
      <c r="EX44" s="272">
        <v>102695</v>
      </c>
      <c r="EY44" s="272">
        <v>5647</v>
      </c>
      <c r="EZ44" s="272">
        <v>96878</v>
      </c>
      <c r="FA44" s="272">
        <v>5488</v>
      </c>
      <c r="FB44" s="272"/>
      <c r="FC44" s="272">
        <v>954937</v>
      </c>
      <c r="FD44" s="272">
        <v>228349</v>
      </c>
      <c r="FE44" s="272">
        <v>20075</v>
      </c>
      <c r="FF44" s="272">
        <v>705441</v>
      </c>
      <c r="FG44" s="455">
        <f t="shared" si="14"/>
        <v>370255</v>
      </c>
      <c r="FH44" s="272">
        <v>5661670</v>
      </c>
      <c r="FI44" s="384">
        <f t="shared" si="15"/>
        <v>0.3</v>
      </c>
      <c r="FJ44" s="272">
        <v>4840875</v>
      </c>
      <c r="FK44" s="272"/>
      <c r="FL44" s="272">
        <v>2560242</v>
      </c>
      <c r="FM44" s="272">
        <v>4010319</v>
      </c>
      <c r="FN44" s="460">
        <v>0.68200000000000005</v>
      </c>
      <c r="FO44" s="388">
        <v>92.7</v>
      </c>
      <c r="FP44" s="388">
        <v>39.6</v>
      </c>
      <c r="FQ44" s="388">
        <v>2.1</v>
      </c>
      <c r="FR44" s="388">
        <v>19.8</v>
      </c>
      <c r="FS44" s="388">
        <v>17.899999999999999</v>
      </c>
      <c r="FT44" s="388">
        <v>3.3</v>
      </c>
      <c r="FU44" s="388">
        <v>8.9</v>
      </c>
      <c r="FV44" s="388">
        <v>10.199999999999999</v>
      </c>
      <c r="FW44" s="272">
        <v>12375694</v>
      </c>
      <c r="FX44" s="384">
        <f t="shared" si="16"/>
        <v>255.6</v>
      </c>
      <c r="FY44" s="272">
        <v>1587796</v>
      </c>
      <c r="FZ44" s="272">
        <v>906679</v>
      </c>
      <c r="GA44" s="272">
        <v>120810</v>
      </c>
      <c r="GB44" s="272">
        <v>560307</v>
      </c>
      <c r="GC44" s="272"/>
      <c r="GD44" s="272"/>
      <c r="GE44" s="384"/>
      <c r="GF44" s="388">
        <v>98.4</v>
      </c>
      <c r="GG44" s="388">
        <v>9.9</v>
      </c>
      <c r="GH44" s="388">
        <v>93.8</v>
      </c>
      <c r="GI44" s="272">
        <v>234</v>
      </c>
    </row>
    <row r="45" spans="2:191" x14ac:dyDescent="0.15">
      <c r="B45" s="89" t="s">
        <v>83</v>
      </c>
      <c r="C45" s="272">
        <v>1502153</v>
      </c>
      <c r="D45" s="455">
        <f t="shared" si="0"/>
        <v>691192</v>
      </c>
      <c r="E45" s="272">
        <v>9331</v>
      </c>
      <c r="F45" s="272">
        <v>681861</v>
      </c>
      <c r="G45" s="455">
        <f t="shared" si="1"/>
        <v>25357</v>
      </c>
      <c r="H45" s="272">
        <v>13500</v>
      </c>
      <c r="I45" s="272">
        <v>11857</v>
      </c>
      <c r="J45" s="272">
        <v>655996</v>
      </c>
      <c r="K45" s="272">
        <v>310798</v>
      </c>
      <c r="L45" s="272">
        <v>267002</v>
      </c>
      <c r="M45" s="272">
        <v>78196</v>
      </c>
      <c r="N45" s="272">
        <v>107130</v>
      </c>
      <c r="O45" s="272">
        <v>0</v>
      </c>
      <c r="P45" s="272">
        <v>0</v>
      </c>
      <c r="Q45" s="272">
        <v>0</v>
      </c>
      <c r="R45" s="272">
        <v>39924</v>
      </c>
      <c r="S45" s="272"/>
      <c r="T45" s="455">
        <f t="shared" si="2"/>
        <v>246552</v>
      </c>
      <c r="U45" s="272">
        <v>81950</v>
      </c>
      <c r="V45" s="272"/>
      <c r="W45" s="272"/>
      <c r="X45" s="272">
        <v>98137</v>
      </c>
      <c r="Y45" s="272">
        <v>26162</v>
      </c>
      <c r="Z45" s="272">
        <v>624</v>
      </c>
      <c r="AA45" s="272">
        <v>39679</v>
      </c>
      <c r="AB45" s="272">
        <v>55566</v>
      </c>
      <c r="AC45" s="272">
        <v>1812260</v>
      </c>
      <c r="AD45" s="272">
        <v>1553081</v>
      </c>
      <c r="AE45" s="272">
        <v>259179</v>
      </c>
      <c r="AF45" s="272">
        <v>2915</v>
      </c>
      <c r="AG45" s="272">
        <v>47416</v>
      </c>
      <c r="AH45" s="455">
        <f t="shared" si="3"/>
        <v>37760</v>
      </c>
      <c r="AI45" s="272">
        <v>21433</v>
      </c>
      <c r="AJ45" s="272">
        <v>16327</v>
      </c>
      <c r="AK45" s="272">
        <v>263986</v>
      </c>
      <c r="AL45" s="455">
        <f t="shared" si="4"/>
        <v>39541</v>
      </c>
      <c r="AM45" s="272">
        <v>0</v>
      </c>
      <c r="AN45" s="272">
        <v>36967</v>
      </c>
      <c r="AO45" s="272">
        <v>0</v>
      </c>
      <c r="AP45" s="272">
        <v>2574</v>
      </c>
      <c r="AQ45" s="272">
        <v>151326</v>
      </c>
      <c r="AR45" s="272">
        <v>0</v>
      </c>
      <c r="AS45" s="272">
        <v>0</v>
      </c>
      <c r="AT45" s="272">
        <v>412923</v>
      </c>
      <c r="AU45" s="272">
        <v>208284</v>
      </c>
      <c r="AV45" s="272">
        <v>35843</v>
      </c>
      <c r="AW45" s="272">
        <v>0</v>
      </c>
      <c r="AX45" s="272">
        <v>204639</v>
      </c>
      <c r="AY45" s="272">
        <v>107389</v>
      </c>
      <c r="AZ45" s="272">
        <v>4803</v>
      </c>
      <c r="BA45" s="272">
        <v>120</v>
      </c>
      <c r="BB45" s="272">
        <v>2920</v>
      </c>
      <c r="BC45" s="272">
        <v>183241</v>
      </c>
      <c r="BD45" s="272">
        <v>0</v>
      </c>
      <c r="BE45" s="272">
        <v>63531</v>
      </c>
      <c r="BF45" s="272">
        <v>119696</v>
      </c>
      <c r="BG45" s="272">
        <v>0</v>
      </c>
      <c r="BH45" s="272">
        <v>73914</v>
      </c>
      <c r="BI45" s="272">
        <v>53628</v>
      </c>
      <c r="BJ45" s="272">
        <v>19568</v>
      </c>
      <c r="BK45" s="272">
        <v>0</v>
      </c>
      <c r="BL45" s="272">
        <v>0</v>
      </c>
      <c r="BM45" s="272">
        <v>0</v>
      </c>
      <c r="BN45" s="272">
        <v>262600</v>
      </c>
      <c r="BO45" s="455">
        <f t="shared" si="5"/>
        <v>240000</v>
      </c>
      <c r="BP45" s="455">
        <f t="shared" si="6"/>
        <v>22600</v>
      </c>
      <c r="BQ45" s="272">
        <v>22600</v>
      </c>
      <c r="BR45" s="272">
        <v>0</v>
      </c>
      <c r="BS45" s="272">
        <v>0</v>
      </c>
      <c r="BT45" s="272">
        <v>0</v>
      </c>
      <c r="BU45" s="272">
        <v>4968501</v>
      </c>
      <c r="BV45" s="272"/>
      <c r="BW45" s="272">
        <v>1208244</v>
      </c>
      <c r="BX45" s="272">
        <v>794828</v>
      </c>
      <c r="BY45" s="272">
        <v>106565</v>
      </c>
      <c r="BZ45" s="272">
        <v>17983</v>
      </c>
      <c r="CA45" s="272">
        <v>318053</v>
      </c>
      <c r="CB45" s="272">
        <v>33754</v>
      </c>
      <c r="CC45" s="272">
        <v>54106</v>
      </c>
      <c r="CD45" s="272">
        <v>214172</v>
      </c>
      <c r="CE45" s="272">
        <v>0</v>
      </c>
      <c r="CF45" s="272">
        <v>0</v>
      </c>
      <c r="CG45" s="272">
        <v>16021</v>
      </c>
      <c r="CH45" s="272">
        <v>763417</v>
      </c>
      <c r="CI45" s="272">
        <v>552514</v>
      </c>
      <c r="CJ45" s="455">
        <f t="shared" si="7"/>
        <v>210903</v>
      </c>
      <c r="CK45" s="272">
        <v>628646</v>
      </c>
      <c r="CL45" s="272">
        <v>304515</v>
      </c>
      <c r="CM45" s="272">
        <v>66886</v>
      </c>
      <c r="CN45" s="272">
        <v>135741</v>
      </c>
      <c r="CO45" s="272">
        <v>21376</v>
      </c>
      <c r="CP45" s="272">
        <v>555650</v>
      </c>
      <c r="CQ45" s="272">
        <v>129437</v>
      </c>
      <c r="CR45" s="272">
        <v>166204</v>
      </c>
      <c r="CS45" s="272">
        <v>96549</v>
      </c>
      <c r="CT45" s="455">
        <f t="shared" si="8"/>
        <v>18843</v>
      </c>
      <c r="CU45" s="272">
        <v>4975</v>
      </c>
      <c r="CV45" s="272">
        <v>13868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861200</v>
      </c>
      <c r="DD45" s="272">
        <v>201577</v>
      </c>
      <c r="DE45" s="272">
        <v>523020</v>
      </c>
      <c r="DF45" s="272">
        <v>55853</v>
      </c>
      <c r="DG45" s="272">
        <v>80000</v>
      </c>
      <c r="DH45" s="272">
        <v>0</v>
      </c>
      <c r="DI45" s="272">
        <v>35941</v>
      </c>
      <c r="DJ45" s="272">
        <v>29267</v>
      </c>
      <c r="DK45" s="272">
        <v>387</v>
      </c>
      <c r="DL45" s="272">
        <v>6287</v>
      </c>
      <c r="DM45" s="272">
        <v>0</v>
      </c>
      <c r="DN45" s="272">
        <v>0</v>
      </c>
      <c r="DO45" s="272">
        <v>0</v>
      </c>
      <c r="DP45" s="272">
        <v>0</v>
      </c>
      <c r="DQ45" s="272">
        <v>0</v>
      </c>
      <c r="DR45" s="272">
        <v>0</v>
      </c>
      <c r="DS45" s="272">
        <v>0</v>
      </c>
      <c r="DT45" s="272">
        <v>488244</v>
      </c>
      <c r="DU45" s="272">
        <v>254501</v>
      </c>
      <c r="DV45" s="455">
        <f t="shared" si="11"/>
        <v>0</v>
      </c>
      <c r="DW45" s="272">
        <v>0</v>
      </c>
      <c r="DX45" s="272">
        <v>0</v>
      </c>
      <c r="DY45" s="272">
        <v>0</v>
      </c>
      <c r="DZ45" s="272">
        <v>88560</v>
      </c>
      <c r="EA45" s="272">
        <v>56767</v>
      </c>
      <c r="EB45" s="272">
        <v>75120</v>
      </c>
      <c r="EC45" s="272">
        <v>0</v>
      </c>
      <c r="ED45" s="272">
        <v>4880771</v>
      </c>
      <c r="EE45" s="89"/>
      <c r="EF45" s="272">
        <v>87730</v>
      </c>
      <c r="EG45" s="272">
        <v>54390</v>
      </c>
      <c r="EH45" s="272">
        <v>33340</v>
      </c>
      <c r="EI45" s="272">
        <v>-20288</v>
      </c>
      <c r="EJ45" s="272">
        <v>72518</v>
      </c>
      <c r="EL45" s="272">
        <v>14190</v>
      </c>
      <c r="EM45" s="272">
        <v>14132</v>
      </c>
      <c r="EN45" s="272">
        <v>178545</v>
      </c>
      <c r="EO45" s="272">
        <v>282</v>
      </c>
      <c r="EP45" s="455">
        <f t="shared" si="12"/>
        <v>117388</v>
      </c>
      <c r="EQ45" s="272">
        <v>3659370</v>
      </c>
      <c r="ER45" s="272">
        <v>-315900</v>
      </c>
      <c r="ES45" s="272">
        <v>1148619</v>
      </c>
      <c r="ET45" s="272">
        <v>735203</v>
      </c>
      <c r="EU45" s="272">
        <v>121773</v>
      </c>
      <c r="EV45" s="272">
        <v>763417</v>
      </c>
      <c r="EW45" s="455">
        <f t="shared" si="13"/>
        <v>302693</v>
      </c>
      <c r="EX45" s="272">
        <v>302693</v>
      </c>
      <c r="EY45" s="272">
        <v>61350</v>
      </c>
      <c r="EZ45" s="272">
        <v>216945</v>
      </c>
      <c r="FA45" s="272">
        <v>0</v>
      </c>
      <c r="FB45" s="272"/>
      <c r="FC45" s="272">
        <v>552454</v>
      </c>
      <c r="FD45" s="272">
        <v>484097</v>
      </c>
      <c r="FE45" s="272">
        <v>129437</v>
      </c>
      <c r="FF45" s="272">
        <v>461691</v>
      </c>
      <c r="FG45" s="455">
        <f t="shared" si="14"/>
        <v>52796</v>
      </c>
      <c r="FH45" s="272">
        <v>3887540</v>
      </c>
      <c r="FI45" s="384">
        <f t="shared" si="15"/>
        <v>1</v>
      </c>
      <c r="FJ45" s="272">
        <v>3500003</v>
      </c>
      <c r="FK45" s="272"/>
      <c r="FL45" s="272">
        <v>1470917</v>
      </c>
      <c r="FM45" s="272">
        <v>3023998</v>
      </c>
      <c r="FN45" s="460">
        <v>0.49199999999999999</v>
      </c>
      <c r="FO45" s="388">
        <v>91</v>
      </c>
      <c r="FP45" s="388">
        <v>32.4</v>
      </c>
      <c r="FQ45" s="388">
        <v>3.6</v>
      </c>
      <c r="FR45" s="388">
        <v>20.5</v>
      </c>
      <c r="FS45" s="388">
        <v>14.9</v>
      </c>
      <c r="FT45" s="388">
        <v>11.7</v>
      </c>
      <c r="FU45" s="388">
        <v>7.2</v>
      </c>
      <c r="FV45" s="388">
        <v>11.9</v>
      </c>
      <c r="FW45" s="272">
        <v>6162979</v>
      </c>
      <c r="FX45" s="384">
        <f t="shared" si="16"/>
        <v>176.1</v>
      </c>
      <c r="FY45" s="272">
        <v>1175969</v>
      </c>
      <c r="FZ45" s="272">
        <v>640083</v>
      </c>
      <c r="GA45" s="272">
        <v>57301</v>
      </c>
      <c r="GB45" s="272">
        <v>478585</v>
      </c>
      <c r="GC45" s="272"/>
      <c r="GD45" s="272">
        <v>617189</v>
      </c>
      <c r="GE45" s="384">
        <f>ROUND(GD45/FJ45*100,1)</f>
        <v>17.600000000000001</v>
      </c>
      <c r="GF45" s="388">
        <v>96.7</v>
      </c>
      <c r="GG45" s="388">
        <v>13.4</v>
      </c>
      <c r="GH45" s="388">
        <v>88.4</v>
      </c>
      <c r="GI45" s="272">
        <v>122</v>
      </c>
    </row>
    <row r="46" spans="2:191" x14ac:dyDescent="0.15">
      <c r="B46" s="89" t="s">
        <v>85</v>
      </c>
      <c r="C46" s="272">
        <v>1749013</v>
      </c>
      <c r="D46" s="455">
        <f t="shared" si="0"/>
        <v>832382</v>
      </c>
      <c r="E46" s="272">
        <v>11149</v>
      </c>
      <c r="F46" s="272">
        <v>821233</v>
      </c>
      <c r="G46" s="455">
        <f t="shared" si="1"/>
        <v>62390</v>
      </c>
      <c r="H46" s="272">
        <v>15787</v>
      </c>
      <c r="I46" s="272">
        <v>46603</v>
      </c>
      <c r="J46" s="272">
        <v>755831</v>
      </c>
      <c r="K46" s="272">
        <v>367781</v>
      </c>
      <c r="L46" s="272">
        <v>306676</v>
      </c>
      <c r="M46" s="272">
        <v>81374</v>
      </c>
      <c r="N46" s="272">
        <v>71873</v>
      </c>
      <c r="O46" s="272">
        <v>0</v>
      </c>
      <c r="P46" s="272">
        <v>0</v>
      </c>
      <c r="Q46" s="272">
        <v>0</v>
      </c>
      <c r="R46" s="272">
        <v>53385</v>
      </c>
      <c r="S46" s="272"/>
      <c r="T46" s="455">
        <f t="shared" si="2"/>
        <v>356225</v>
      </c>
      <c r="U46" s="272">
        <v>95918</v>
      </c>
      <c r="V46" s="272"/>
      <c r="W46" s="272"/>
      <c r="X46" s="272">
        <v>129414</v>
      </c>
      <c r="Y46" s="272">
        <v>77797</v>
      </c>
      <c r="Z46" s="272">
        <v>0</v>
      </c>
      <c r="AA46" s="272">
        <v>53096</v>
      </c>
      <c r="AB46" s="272">
        <v>81257</v>
      </c>
      <c r="AC46" s="272">
        <v>2065035</v>
      </c>
      <c r="AD46" s="272">
        <v>1833513</v>
      </c>
      <c r="AE46" s="272">
        <v>231522</v>
      </c>
      <c r="AF46" s="272">
        <v>2922</v>
      </c>
      <c r="AG46" s="272">
        <v>14743</v>
      </c>
      <c r="AH46" s="455">
        <f t="shared" si="3"/>
        <v>79198</v>
      </c>
      <c r="AI46" s="272">
        <v>53837</v>
      </c>
      <c r="AJ46" s="272">
        <v>25361</v>
      </c>
      <c r="AK46" s="272">
        <v>207919</v>
      </c>
      <c r="AL46" s="455">
        <f t="shared" si="4"/>
        <v>18016</v>
      </c>
      <c r="AM46" s="272">
        <v>0</v>
      </c>
      <c r="AN46" s="272">
        <v>10949</v>
      </c>
      <c r="AO46" s="272">
        <v>0</v>
      </c>
      <c r="AP46" s="272">
        <v>7067</v>
      </c>
      <c r="AQ46" s="272">
        <v>108593</v>
      </c>
      <c r="AR46" s="272">
        <v>0</v>
      </c>
      <c r="AS46" s="272">
        <v>0</v>
      </c>
      <c r="AT46" s="272">
        <v>265406</v>
      </c>
      <c r="AU46" s="272">
        <v>99684</v>
      </c>
      <c r="AV46" s="272">
        <v>7858</v>
      </c>
      <c r="AW46" s="272">
        <v>22779</v>
      </c>
      <c r="AX46" s="272">
        <v>165722</v>
      </c>
      <c r="AY46" s="272">
        <v>61143</v>
      </c>
      <c r="AZ46" s="272">
        <v>12207</v>
      </c>
      <c r="BA46" s="272">
        <v>0</v>
      </c>
      <c r="BB46" s="272">
        <v>1910</v>
      </c>
      <c r="BC46" s="272">
        <v>676913</v>
      </c>
      <c r="BD46" s="272">
        <v>0</v>
      </c>
      <c r="BE46" s="272">
        <v>0</v>
      </c>
      <c r="BF46" s="272">
        <v>63913</v>
      </c>
      <c r="BG46" s="272">
        <v>0</v>
      </c>
      <c r="BH46" s="272">
        <v>93767</v>
      </c>
      <c r="BI46" s="272">
        <v>90217</v>
      </c>
      <c r="BJ46" s="272">
        <v>21239</v>
      </c>
      <c r="BK46" s="272">
        <v>0</v>
      </c>
      <c r="BL46" s="272">
        <v>0</v>
      </c>
      <c r="BM46" s="272">
        <v>0</v>
      </c>
      <c r="BN46" s="272">
        <v>1044000</v>
      </c>
      <c r="BO46" s="455">
        <f t="shared" si="5"/>
        <v>1019000</v>
      </c>
      <c r="BP46" s="455">
        <f t="shared" si="6"/>
        <v>25000</v>
      </c>
      <c r="BQ46" s="272">
        <v>25000</v>
      </c>
      <c r="BR46" s="272">
        <v>0</v>
      </c>
      <c r="BS46" s="272">
        <v>0</v>
      </c>
      <c r="BT46" s="272">
        <v>0</v>
      </c>
      <c r="BU46" s="272">
        <v>6725139</v>
      </c>
      <c r="BV46" s="272"/>
      <c r="BW46" s="272">
        <v>1476735</v>
      </c>
      <c r="BX46" s="272">
        <v>1024945</v>
      </c>
      <c r="BY46" s="272">
        <v>18747</v>
      </c>
      <c r="BZ46" s="272">
        <v>75041</v>
      </c>
      <c r="CA46" s="272">
        <v>194367</v>
      </c>
      <c r="CB46" s="272">
        <v>37514</v>
      </c>
      <c r="CC46" s="272">
        <v>76530</v>
      </c>
      <c r="CD46" s="272">
        <v>76275</v>
      </c>
      <c r="CE46" s="272">
        <v>0</v>
      </c>
      <c r="CF46" s="272">
        <v>0</v>
      </c>
      <c r="CG46" s="272">
        <v>4048</v>
      </c>
      <c r="CH46" s="272">
        <v>1102535</v>
      </c>
      <c r="CI46" s="272">
        <v>835155</v>
      </c>
      <c r="CJ46" s="455">
        <f t="shared" si="7"/>
        <v>267380</v>
      </c>
      <c r="CK46" s="272">
        <v>828275</v>
      </c>
      <c r="CL46" s="272">
        <v>433826</v>
      </c>
      <c r="CM46" s="272">
        <v>63724</v>
      </c>
      <c r="CN46" s="272">
        <v>194863</v>
      </c>
      <c r="CO46" s="272">
        <v>13086</v>
      </c>
      <c r="CP46" s="272">
        <v>398936</v>
      </c>
      <c r="CQ46" s="272">
        <v>153569</v>
      </c>
      <c r="CR46" s="272">
        <v>118290</v>
      </c>
      <c r="CS46" s="272">
        <v>118290</v>
      </c>
      <c r="CT46" s="455">
        <f t="shared" si="8"/>
        <v>9215</v>
      </c>
      <c r="CU46" s="272">
        <v>916</v>
      </c>
      <c r="CV46" s="272">
        <v>8299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1676416</v>
      </c>
      <c r="DD46" s="272">
        <v>358606</v>
      </c>
      <c r="DE46" s="272">
        <v>1260133</v>
      </c>
      <c r="DF46" s="272">
        <v>57677</v>
      </c>
      <c r="DG46" s="272">
        <v>0</v>
      </c>
      <c r="DH46" s="272">
        <v>0</v>
      </c>
      <c r="DI46" s="272">
        <v>275062</v>
      </c>
      <c r="DJ46" s="272">
        <v>86763</v>
      </c>
      <c r="DK46" s="272">
        <v>181534</v>
      </c>
      <c r="DL46" s="272">
        <v>6765</v>
      </c>
      <c r="DM46" s="272">
        <v>0</v>
      </c>
      <c r="DN46" s="272">
        <v>0</v>
      </c>
      <c r="DO46" s="272">
        <v>0</v>
      </c>
      <c r="DP46" s="272">
        <v>0</v>
      </c>
      <c r="DQ46" s="272">
        <v>0</v>
      </c>
      <c r="DR46" s="272">
        <v>0</v>
      </c>
      <c r="DS46" s="272">
        <v>0</v>
      </c>
      <c r="DT46" s="272">
        <v>542508</v>
      </c>
      <c r="DU46" s="272">
        <v>199287</v>
      </c>
      <c r="DV46" s="455">
        <f t="shared" si="11"/>
        <v>0</v>
      </c>
      <c r="DW46" s="272">
        <v>0</v>
      </c>
      <c r="DX46" s="272">
        <v>0</v>
      </c>
      <c r="DY46" s="272">
        <v>0</v>
      </c>
      <c r="DZ46" s="272">
        <v>93375</v>
      </c>
      <c r="EA46" s="272">
        <v>72710</v>
      </c>
      <c r="EB46" s="272">
        <v>97186</v>
      </c>
      <c r="EC46" s="272">
        <v>0</v>
      </c>
      <c r="ED46" s="272">
        <v>6507920</v>
      </c>
      <c r="EE46" s="89"/>
      <c r="EF46" s="272">
        <v>217219</v>
      </c>
      <c r="EG46" s="272">
        <v>4599</v>
      </c>
      <c r="EH46" s="272">
        <v>212620</v>
      </c>
      <c r="EI46" s="272">
        <v>22403</v>
      </c>
      <c r="EJ46" s="272">
        <v>275411</v>
      </c>
      <c r="EL46" s="272">
        <v>17341</v>
      </c>
      <c r="EM46" s="272">
        <v>16524</v>
      </c>
      <c r="EN46" s="272">
        <v>613000</v>
      </c>
      <c r="EO46" s="272">
        <v>0</v>
      </c>
      <c r="EP46" s="455">
        <f t="shared" si="12"/>
        <v>108416</v>
      </c>
      <c r="EQ46" s="272">
        <v>4307837</v>
      </c>
      <c r="ER46" s="272">
        <v>-743494</v>
      </c>
      <c r="ES46" s="272">
        <v>1392311</v>
      </c>
      <c r="ET46" s="272">
        <v>949843</v>
      </c>
      <c r="EU46" s="272">
        <v>81962</v>
      </c>
      <c r="EV46" s="272">
        <v>1102535</v>
      </c>
      <c r="EW46" s="455">
        <f t="shared" si="13"/>
        <v>390528</v>
      </c>
      <c r="EX46" s="272">
        <v>390528</v>
      </c>
      <c r="EY46" s="272">
        <v>21424</v>
      </c>
      <c r="EZ46" s="272">
        <v>351627</v>
      </c>
      <c r="FA46" s="272">
        <v>0</v>
      </c>
      <c r="FB46" s="272"/>
      <c r="FC46" s="272">
        <v>701542</v>
      </c>
      <c r="FD46" s="272">
        <v>378757</v>
      </c>
      <c r="FE46" s="272">
        <v>153569</v>
      </c>
      <c r="FF46" s="272">
        <v>511225</v>
      </c>
      <c r="FG46" s="455">
        <f t="shared" si="14"/>
        <v>277753</v>
      </c>
      <c r="FH46" s="272">
        <v>4836613</v>
      </c>
      <c r="FI46" s="384">
        <f t="shared" si="15"/>
        <v>5.2</v>
      </c>
      <c r="FJ46" s="272">
        <v>4116595</v>
      </c>
      <c r="FK46" s="272"/>
      <c r="FL46" s="272">
        <v>1726927</v>
      </c>
      <c r="FM46" s="272">
        <v>3560440</v>
      </c>
      <c r="FN46" s="460">
        <v>0.48599999999999999</v>
      </c>
      <c r="FO46" s="388">
        <v>82.6</v>
      </c>
      <c r="FP46" s="388">
        <v>33.5</v>
      </c>
      <c r="FQ46" s="388">
        <v>2</v>
      </c>
      <c r="FR46" s="388">
        <v>19.2</v>
      </c>
      <c r="FS46" s="388">
        <v>14.5</v>
      </c>
      <c r="FT46" s="388">
        <v>7.5</v>
      </c>
      <c r="FU46" s="388">
        <v>5.6</v>
      </c>
      <c r="FV46" s="388">
        <v>10</v>
      </c>
      <c r="FW46" s="272">
        <v>6996812</v>
      </c>
      <c r="FX46" s="384">
        <f t="shared" si="16"/>
        <v>170</v>
      </c>
      <c r="FY46" s="272">
        <v>3951207</v>
      </c>
      <c r="FZ46" s="272">
        <v>1655874</v>
      </c>
      <c r="GA46" s="272">
        <v>716085</v>
      </c>
      <c r="GB46" s="272">
        <v>1579248</v>
      </c>
      <c r="GC46" s="272"/>
      <c r="GD46" s="272">
        <v>341458</v>
      </c>
      <c r="GE46" s="384">
        <f>ROUND(GD46/FJ46*100,1)</f>
        <v>8.3000000000000007</v>
      </c>
      <c r="GF46" s="388">
        <v>95.3</v>
      </c>
      <c r="GG46" s="388">
        <v>36.4</v>
      </c>
      <c r="GH46" s="388">
        <v>89.3</v>
      </c>
      <c r="GI46" s="272">
        <v>156</v>
      </c>
    </row>
    <row r="47" spans="2:191" x14ac:dyDescent="0.15">
      <c r="B47" s="89" t="s">
        <v>87</v>
      </c>
      <c r="C47" s="272">
        <v>742776</v>
      </c>
      <c r="D47" s="455">
        <f t="shared" si="0"/>
        <v>357871</v>
      </c>
      <c r="E47" s="272">
        <v>5065</v>
      </c>
      <c r="F47" s="272">
        <v>352806</v>
      </c>
      <c r="G47" s="455">
        <f t="shared" si="1"/>
        <v>37710</v>
      </c>
      <c r="H47" s="272">
        <v>10476</v>
      </c>
      <c r="I47" s="272">
        <v>27234</v>
      </c>
      <c r="J47" s="272">
        <v>316190</v>
      </c>
      <c r="K47" s="272">
        <v>116667</v>
      </c>
      <c r="L47" s="272">
        <v>140423</v>
      </c>
      <c r="M47" s="272">
        <v>59100</v>
      </c>
      <c r="N47" s="272">
        <v>17632</v>
      </c>
      <c r="O47" s="272">
        <v>0</v>
      </c>
      <c r="P47" s="272">
        <v>0</v>
      </c>
      <c r="Q47" s="272">
        <v>0</v>
      </c>
      <c r="R47" s="272">
        <v>26198</v>
      </c>
      <c r="S47" s="272"/>
      <c r="T47" s="455">
        <f t="shared" si="2"/>
        <v>158456</v>
      </c>
      <c r="U47" s="272">
        <v>42607</v>
      </c>
      <c r="V47" s="272"/>
      <c r="W47" s="272"/>
      <c r="X47" s="272">
        <v>58605</v>
      </c>
      <c r="Y47" s="272">
        <v>31222</v>
      </c>
      <c r="Z47" s="272">
        <v>0</v>
      </c>
      <c r="AA47" s="272">
        <v>26022</v>
      </c>
      <c r="AB47" s="272">
        <v>35106</v>
      </c>
      <c r="AC47" s="272">
        <v>1489426</v>
      </c>
      <c r="AD47" s="272">
        <v>1233307</v>
      </c>
      <c r="AE47" s="272">
        <v>256119</v>
      </c>
      <c r="AF47" s="272">
        <v>1180</v>
      </c>
      <c r="AG47" s="272">
        <v>40580</v>
      </c>
      <c r="AH47" s="455">
        <f t="shared" si="3"/>
        <v>30486</v>
      </c>
      <c r="AI47" s="272">
        <v>19947</v>
      </c>
      <c r="AJ47" s="272">
        <v>10539</v>
      </c>
      <c r="AK47" s="272">
        <v>52110</v>
      </c>
      <c r="AL47" s="455">
        <f t="shared" si="4"/>
        <v>12802</v>
      </c>
      <c r="AM47" s="272">
        <v>0</v>
      </c>
      <c r="AN47" s="272">
        <v>12802</v>
      </c>
      <c r="AO47" s="272">
        <v>0</v>
      </c>
      <c r="AP47" s="272">
        <v>0</v>
      </c>
      <c r="AQ47" s="272">
        <v>7305</v>
      </c>
      <c r="AR47" s="272">
        <v>0</v>
      </c>
      <c r="AS47" s="272">
        <v>0</v>
      </c>
      <c r="AT47" s="272">
        <v>257070</v>
      </c>
      <c r="AU47" s="272">
        <v>129667</v>
      </c>
      <c r="AV47" s="272">
        <v>7544</v>
      </c>
      <c r="AW47" s="272">
        <v>80347</v>
      </c>
      <c r="AX47" s="272">
        <v>127403</v>
      </c>
      <c r="AY47" s="272">
        <v>67600</v>
      </c>
      <c r="AZ47" s="272">
        <v>7198</v>
      </c>
      <c r="BA47" s="272">
        <v>0</v>
      </c>
      <c r="BB47" s="272">
        <v>100111</v>
      </c>
      <c r="BC47" s="272">
        <v>216227</v>
      </c>
      <c r="BD47" s="272">
        <v>0</v>
      </c>
      <c r="BE47" s="272">
        <v>94866</v>
      </c>
      <c r="BF47" s="272">
        <v>121353</v>
      </c>
      <c r="BG47" s="272">
        <v>0</v>
      </c>
      <c r="BH47" s="272">
        <v>42512</v>
      </c>
      <c r="BI47" s="272">
        <v>35872</v>
      </c>
      <c r="BJ47" s="272">
        <v>19432</v>
      </c>
      <c r="BK47" s="272">
        <v>0</v>
      </c>
      <c r="BL47" s="272">
        <v>0</v>
      </c>
      <c r="BM47" s="272">
        <v>0</v>
      </c>
      <c r="BN47" s="272">
        <v>97400</v>
      </c>
      <c r="BO47" s="455">
        <f t="shared" si="5"/>
        <v>85400</v>
      </c>
      <c r="BP47" s="455">
        <f t="shared" si="6"/>
        <v>12000</v>
      </c>
      <c r="BQ47" s="272">
        <v>12000</v>
      </c>
      <c r="BR47" s="272">
        <v>0</v>
      </c>
      <c r="BS47" s="272">
        <v>0</v>
      </c>
      <c r="BT47" s="272">
        <v>0</v>
      </c>
      <c r="BU47" s="272">
        <v>3316268</v>
      </c>
      <c r="BV47" s="272"/>
      <c r="BW47" s="272">
        <v>966705</v>
      </c>
      <c r="BX47" s="272">
        <v>650482</v>
      </c>
      <c r="BY47" s="272">
        <v>62353</v>
      </c>
      <c r="BZ47" s="272">
        <v>24704</v>
      </c>
      <c r="CA47" s="272">
        <v>123010</v>
      </c>
      <c r="CB47" s="272">
        <v>32319</v>
      </c>
      <c r="CC47" s="272">
        <v>25657</v>
      </c>
      <c r="CD47" s="272">
        <v>63457</v>
      </c>
      <c r="CE47" s="272">
        <v>0</v>
      </c>
      <c r="CF47" s="272">
        <v>0</v>
      </c>
      <c r="CG47" s="272">
        <v>1477</v>
      </c>
      <c r="CH47" s="272">
        <v>451358</v>
      </c>
      <c r="CI47" s="272">
        <v>325302</v>
      </c>
      <c r="CJ47" s="455">
        <f t="shared" si="7"/>
        <v>126056</v>
      </c>
      <c r="CK47" s="272">
        <v>606445</v>
      </c>
      <c r="CL47" s="272">
        <v>362232</v>
      </c>
      <c r="CM47" s="272">
        <v>32733</v>
      </c>
      <c r="CN47" s="272">
        <v>112941</v>
      </c>
      <c r="CO47" s="272">
        <v>15387</v>
      </c>
      <c r="CP47" s="272">
        <v>243582</v>
      </c>
      <c r="CQ47" s="272">
        <v>91462</v>
      </c>
      <c r="CR47" s="272">
        <v>33905</v>
      </c>
      <c r="CS47" s="272">
        <v>33905</v>
      </c>
      <c r="CT47" s="455">
        <f t="shared" si="8"/>
        <v>8394</v>
      </c>
      <c r="CU47" s="272">
        <v>7164</v>
      </c>
      <c r="CV47" s="272">
        <v>1230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420346</v>
      </c>
      <c r="DD47" s="272">
        <v>130157</v>
      </c>
      <c r="DE47" s="272">
        <v>270907</v>
      </c>
      <c r="DF47" s="272">
        <v>19282</v>
      </c>
      <c r="DG47" s="272">
        <v>0</v>
      </c>
      <c r="DH47" s="272">
        <v>0</v>
      </c>
      <c r="DI47" s="272">
        <v>125248</v>
      </c>
      <c r="DJ47" s="272">
        <v>20349</v>
      </c>
      <c r="DK47" s="272">
        <v>896</v>
      </c>
      <c r="DL47" s="272">
        <v>104003</v>
      </c>
      <c r="DM47" s="272">
        <v>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294403</v>
      </c>
      <c r="DU47" s="272">
        <v>98141</v>
      </c>
      <c r="DV47" s="455">
        <f t="shared" si="11"/>
        <v>0</v>
      </c>
      <c r="DW47" s="272">
        <v>0</v>
      </c>
      <c r="DX47" s="272">
        <v>0</v>
      </c>
      <c r="DY47" s="272">
        <v>0</v>
      </c>
      <c r="DZ47" s="272">
        <v>52449</v>
      </c>
      <c r="EA47" s="272">
        <v>40005</v>
      </c>
      <c r="EB47" s="272">
        <v>60630</v>
      </c>
      <c r="EC47" s="272">
        <v>0</v>
      </c>
      <c r="ED47" s="272">
        <v>3246484</v>
      </c>
      <c r="EE47" s="89"/>
      <c r="EF47" s="272">
        <v>69784</v>
      </c>
      <c r="EG47" s="272">
        <v>10325</v>
      </c>
      <c r="EH47" s="272">
        <v>59459</v>
      </c>
      <c r="EI47" s="272">
        <v>23587</v>
      </c>
      <c r="EJ47" s="272">
        <v>132272</v>
      </c>
      <c r="EL47" s="272">
        <v>6968</v>
      </c>
      <c r="EM47" s="272">
        <v>7119</v>
      </c>
      <c r="EN47" s="272">
        <v>157219</v>
      </c>
      <c r="EO47" s="272">
        <v>438</v>
      </c>
      <c r="EP47" s="455">
        <f t="shared" si="12"/>
        <v>43135</v>
      </c>
      <c r="EQ47" s="272">
        <v>2453142</v>
      </c>
      <c r="ER47" s="272">
        <v>-211612</v>
      </c>
      <c r="ES47" s="272">
        <v>925812</v>
      </c>
      <c r="ET47" s="272">
        <v>612913</v>
      </c>
      <c r="EU47" s="272">
        <v>44790</v>
      </c>
      <c r="EV47" s="272">
        <v>451358</v>
      </c>
      <c r="EW47" s="455">
        <f t="shared" si="13"/>
        <v>94529</v>
      </c>
      <c r="EX47" s="272">
        <v>94529</v>
      </c>
      <c r="EY47" s="272">
        <v>7432</v>
      </c>
      <c r="EZ47" s="272">
        <v>83865</v>
      </c>
      <c r="FA47" s="272">
        <v>0</v>
      </c>
      <c r="FB47" s="272"/>
      <c r="FC47" s="272">
        <v>546760</v>
      </c>
      <c r="FD47" s="272">
        <v>215019</v>
      </c>
      <c r="FE47" s="272">
        <v>90364</v>
      </c>
      <c r="FF47" s="272">
        <v>282152</v>
      </c>
      <c r="FG47" s="455">
        <f t="shared" si="14"/>
        <v>34550</v>
      </c>
      <c r="FH47" s="272">
        <v>2594970</v>
      </c>
      <c r="FI47" s="384">
        <f t="shared" si="15"/>
        <v>2.7</v>
      </c>
      <c r="FJ47" s="272">
        <v>2215479</v>
      </c>
      <c r="FK47" s="272"/>
      <c r="FL47" s="272">
        <v>743274</v>
      </c>
      <c r="FM47" s="272">
        <v>1976581</v>
      </c>
      <c r="FN47" s="460">
        <v>0.379</v>
      </c>
      <c r="FO47" s="388">
        <v>98.2</v>
      </c>
      <c r="FP47" s="388">
        <v>39.5</v>
      </c>
      <c r="FQ47" s="388">
        <v>2</v>
      </c>
      <c r="FR47" s="388">
        <v>16.5</v>
      </c>
      <c r="FS47" s="388">
        <v>23</v>
      </c>
      <c r="FT47" s="388">
        <v>8.4</v>
      </c>
      <c r="FU47" s="388">
        <v>8.1</v>
      </c>
      <c r="FV47" s="388">
        <v>9.1999999999999993</v>
      </c>
      <c r="FW47" s="272">
        <v>3056135</v>
      </c>
      <c r="FX47" s="384">
        <f t="shared" si="16"/>
        <v>137.9</v>
      </c>
      <c r="FY47" s="272">
        <v>1225652</v>
      </c>
      <c r="FZ47" s="272">
        <v>540707</v>
      </c>
      <c r="GA47" s="272">
        <v>105105</v>
      </c>
      <c r="GB47" s="272">
        <v>579840</v>
      </c>
      <c r="GC47" s="272"/>
      <c r="GD47" s="272"/>
      <c r="GE47" s="384"/>
      <c r="GF47" s="388">
        <v>97.9</v>
      </c>
      <c r="GG47" s="388">
        <v>22.8</v>
      </c>
      <c r="GH47" s="388">
        <v>94.4</v>
      </c>
      <c r="GI47" s="272">
        <v>98</v>
      </c>
    </row>
    <row r="48" spans="2:191" x14ac:dyDescent="0.15">
      <c r="B48" s="89" t="s">
        <v>839</v>
      </c>
      <c r="C48" s="272">
        <v>6508402</v>
      </c>
      <c r="D48" s="455">
        <f t="shared" si="0"/>
        <v>1947176</v>
      </c>
      <c r="E48" s="272">
        <v>28076</v>
      </c>
      <c r="F48" s="272">
        <v>1919100</v>
      </c>
      <c r="G48" s="455">
        <f t="shared" si="1"/>
        <v>441165</v>
      </c>
      <c r="H48" s="272">
        <v>126903</v>
      </c>
      <c r="I48" s="272">
        <v>314262</v>
      </c>
      <c r="J48" s="272">
        <v>3406631</v>
      </c>
      <c r="K48" s="272">
        <v>1881391</v>
      </c>
      <c r="L48" s="272">
        <v>1076470</v>
      </c>
      <c r="M48" s="272">
        <v>430465</v>
      </c>
      <c r="N48" s="272">
        <v>246606</v>
      </c>
      <c r="O48" s="272">
        <v>420501</v>
      </c>
      <c r="P48" s="272">
        <v>283151</v>
      </c>
      <c r="Q48" s="272">
        <v>137350</v>
      </c>
      <c r="R48" s="272">
        <v>90556</v>
      </c>
      <c r="S48" s="272"/>
      <c r="T48" s="455">
        <f t="shared" si="2"/>
        <v>756352</v>
      </c>
      <c r="U48" s="272">
        <v>248269</v>
      </c>
      <c r="V48" s="272"/>
      <c r="W48" s="272"/>
      <c r="X48" s="272">
        <v>400119</v>
      </c>
      <c r="Y48" s="272">
        <v>17989</v>
      </c>
      <c r="Z48" s="272">
        <v>0</v>
      </c>
      <c r="AA48" s="272">
        <v>89975</v>
      </c>
      <c r="AB48" s="272">
        <v>205882</v>
      </c>
      <c r="AC48" s="272">
        <v>1407778</v>
      </c>
      <c r="AD48" s="272">
        <v>1019708</v>
      </c>
      <c r="AE48" s="272">
        <v>388070</v>
      </c>
      <c r="AF48" s="272">
        <v>9640</v>
      </c>
      <c r="AG48" s="272">
        <v>31033</v>
      </c>
      <c r="AH48" s="455">
        <f t="shared" si="3"/>
        <v>218389</v>
      </c>
      <c r="AI48" s="272">
        <v>129013</v>
      </c>
      <c r="AJ48" s="272">
        <v>89376</v>
      </c>
      <c r="AK48" s="272">
        <v>682744</v>
      </c>
      <c r="AL48" s="455">
        <f t="shared" si="4"/>
        <v>338988</v>
      </c>
      <c r="AM48" s="272">
        <v>248384</v>
      </c>
      <c r="AN48" s="272">
        <v>65483</v>
      </c>
      <c r="AO48" s="272">
        <v>0</v>
      </c>
      <c r="AP48" s="272">
        <v>25121</v>
      </c>
      <c r="AQ48" s="272">
        <v>85673</v>
      </c>
      <c r="AR48" s="272">
        <v>0</v>
      </c>
      <c r="AS48" s="272">
        <v>0</v>
      </c>
      <c r="AT48" s="272">
        <v>503250</v>
      </c>
      <c r="AU48" s="272">
        <v>216855</v>
      </c>
      <c r="AV48" s="272">
        <v>36333</v>
      </c>
      <c r="AW48" s="272">
        <v>0</v>
      </c>
      <c r="AX48" s="272">
        <v>286395</v>
      </c>
      <c r="AY48" s="272">
        <v>32205</v>
      </c>
      <c r="AZ48" s="272">
        <v>50458</v>
      </c>
      <c r="BA48" s="272">
        <v>11986</v>
      </c>
      <c r="BB48" s="272">
        <v>22864</v>
      </c>
      <c r="BC48" s="272">
        <v>377566</v>
      </c>
      <c r="BD48" s="272">
        <v>143877</v>
      </c>
      <c r="BE48" s="272">
        <v>0</v>
      </c>
      <c r="BF48" s="272">
        <v>220000</v>
      </c>
      <c r="BG48" s="272">
        <v>0</v>
      </c>
      <c r="BH48" s="272">
        <v>119422</v>
      </c>
      <c r="BI48" s="272">
        <v>119422</v>
      </c>
      <c r="BJ48" s="272">
        <v>109630</v>
      </c>
      <c r="BK48" s="272">
        <v>168</v>
      </c>
      <c r="BL48" s="272">
        <v>0</v>
      </c>
      <c r="BM48" s="272">
        <v>0</v>
      </c>
      <c r="BN48" s="272">
        <v>492300</v>
      </c>
      <c r="BO48" s="455">
        <f t="shared" si="5"/>
        <v>492300</v>
      </c>
      <c r="BP48" s="455">
        <f t="shared" si="6"/>
        <v>0</v>
      </c>
      <c r="BQ48" s="272">
        <v>0</v>
      </c>
      <c r="BR48" s="272">
        <v>0</v>
      </c>
      <c r="BS48" s="272">
        <v>0</v>
      </c>
      <c r="BT48" s="272">
        <v>0</v>
      </c>
      <c r="BU48" s="272">
        <v>11586266</v>
      </c>
      <c r="BV48" s="272"/>
      <c r="BW48" s="272">
        <v>3219194</v>
      </c>
      <c r="BX48" s="272">
        <v>2458164</v>
      </c>
      <c r="BY48" s="272">
        <v>102588</v>
      </c>
      <c r="BZ48" s="272">
        <v>40636</v>
      </c>
      <c r="CA48" s="272">
        <v>982737</v>
      </c>
      <c r="CB48" s="272">
        <v>275447</v>
      </c>
      <c r="CC48" s="272">
        <v>163188</v>
      </c>
      <c r="CD48" s="272">
        <v>190018</v>
      </c>
      <c r="CE48" s="272">
        <v>336590</v>
      </c>
      <c r="CF48" s="272">
        <v>0</v>
      </c>
      <c r="CG48" s="272">
        <v>17264</v>
      </c>
      <c r="CH48" s="272">
        <v>1076489</v>
      </c>
      <c r="CI48" s="272">
        <v>713711</v>
      </c>
      <c r="CJ48" s="455">
        <f t="shared" si="7"/>
        <v>362778</v>
      </c>
      <c r="CK48" s="272">
        <v>1887757</v>
      </c>
      <c r="CL48" s="272">
        <v>1076352</v>
      </c>
      <c r="CM48" s="272">
        <v>181099</v>
      </c>
      <c r="CN48" s="272">
        <v>310273</v>
      </c>
      <c r="CO48" s="272">
        <v>44136</v>
      </c>
      <c r="CP48" s="272">
        <v>711464</v>
      </c>
      <c r="CQ48" s="272">
        <v>361552</v>
      </c>
      <c r="CR48" s="272">
        <v>158675</v>
      </c>
      <c r="CS48" s="272">
        <v>128541</v>
      </c>
      <c r="CT48" s="455">
        <f t="shared" si="8"/>
        <v>30778</v>
      </c>
      <c r="CU48" s="272">
        <v>30778</v>
      </c>
      <c r="CV48" s="272">
        <v>0</v>
      </c>
      <c r="CW48" s="455">
        <f t="shared" si="9"/>
        <v>0</v>
      </c>
      <c r="CX48" s="272">
        <v>0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1855240</v>
      </c>
      <c r="DD48" s="272">
        <v>223184</v>
      </c>
      <c r="DE48" s="272">
        <v>1632056</v>
      </c>
      <c r="DF48" s="272">
        <v>0</v>
      </c>
      <c r="DG48" s="272">
        <v>0</v>
      </c>
      <c r="DH48" s="272">
        <v>0</v>
      </c>
      <c r="DI48" s="272">
        <v>194261</v>
      </c>
      <c r="DJ48" s="272">
        <v>68399</v>
      </c>
      <c r="DK48" s="272">
        <v>2395</v>
      </c>
      <c r="DL48" s="272">
        <v>123467</v>
      </c>
      <c r="DM48" s="272">
        <v>0</v>
      </c>
      <c r="DN48" s="272">
        <v>0</v>
      </c>
      <c r="DO48" s="272">
        <v>0</v>
      </c>
      <c r="DP48" s="272">
        <v>0</v>
      </c>
      <c r="DQ48" s="272">
        <v>0</v>
      </c>
      <c r="DR48" s="272">
        <v>0</v>
      </c>
      <c r="DS48" s="272">
        <v>0</v>
      </c>
      <c r="DT48" s="272">
        <v>1509245</v>
      </c>
      <c r="DU48" s="272">
        <v>868631</v>
      </c>
      <c r="DV48" s="455">
        <f t="shared" si="11"/>
        <v>0</v>
      </c>
      <c r="DW48" s="272">
        <v>0</v>
      </c>
      <c r="DX48" s="272">
        <v>0</v>
      </c>
      <c r="DY48" s="272">
        <v>0</v>
      </c>
      <c r="DZ48" s="272">
        <v>305000</v>
      </c>
      <c r="EA48" s="272">
        <v>144302</v>
      </c>
      <c r="EB48" s="272">
        <v>168446</v>
      </c>
      <c r="EC48" s="272">
        <v>0</v>
      </c>
      <c r="ED48" s="272">
        <v>11480523</v>
      </c>
      <c r="EE48" s="89"/>
      <c r="EF48" s="272">
        <v>105743</v>
      </c>
      <c r="EG48" s="272">
        <v>0</v>
      </c>
      <c r="EH48" s="272">
        <v>105743</v>
      </c>
      <c r="EI48" s="272">
        <v>-13679</v>
      </c>
      <c r="EJ48" s="272">
        <v>-89157</v>
      </c>
      <c r="EL48" s="272">
        <v>37618</v>
      </c>
      <c r="EM48" s="272">
        <v>38045</v>
      </c>
      <c r="EN48" s="272">
        <v>277566</v>
      </c>
      <c r="EO48" s="272">
        <v>15420</v>
      </c>
      <c r="EP48" s="455">
        <f t="shared" si="12"/>
        <v>214833</v>
      </c>
      <c r="EQ48" s="272">
        <v>8978610</v>
      </c>
      <c r="ER48" s="272">
        <v>-498179</v>
      </c>
      <c r="ES48" s="272">
        <v>2897483</v>
      </c>
      <c r="ET48" s="272">
        <v>2168396</v>
      </c>
      <c r="EU48" s="272">
        <v>319779</v>
      </c>
      <c r="EV48" s="272">
        <v>1076489</v>
      </c>
      <c r="EW48" s="455">
        <f t="shared" si="13"/>
        <v>1098054</v>
      </c>
      <c r="EX48" s="272">
        <v>1098054</v>
      </c>
      <c r="EY48" s="272">
        <v>137511</v>
      </c>
      <c r="EZ48" s="272">
        <v>960543</v>
      </c>
      <c r="FA48" s="272">
        <v>0</v>
      </c>
      <c r="FB48" s="272"/>
      <c r="FC48" s="272">
        <v>1653081</v>
      </c>
      <c r="FD48" s="272">
        <v>687237</v>
      </c>
      <c r="FE48" s="272">
        <v>361552</v>
      </c>
      <c r="FF48" s="272">
        <v>1431288</v>
      </c>
      <c r="FG48" s="455">
        <f t="shared" si="14"/>
        <v>207635</v>
      </c>
      <c r="FH48" s="272">
        <v>9371046</v>
      </c>
      <c r="FI48" s="384">
        <f t="shared" si="15"/>
        <v>1.3</v>
      </c>
      <c r="FJ48" s="272">
        <v>8136083</v>
      </c>
      <c r="FK48" s="272"/>
      <c r="FL48" s="272">
        <v>5362353</v>
      </c>
      <c r="FM48" s="272">
        <v>6382247</v>
      </c>
      <c r="FN48" s="460">
        <v>0.86699999999999999</v>
      </c>
      <c r="FO48" s="388">
        <v>86.5</v>
      </c>
      <c r="FP48" s="388">
        <v>35</v>
      </c>
      <c r="FQ48" s="388">
        <v>3.9</v>
      </c>
      <c r="FR48" s="388">
        <v>13.1</v>
      </c>
      <c r="FS48" s="388">
        <v>19.2</v>
      </c>
      <c r="FT48" s="388">
        <v>6.3</v>
      </c>
      <c r="FU48" s="388">
        <v>8.5</v>
      </c>
      <c r="FV48" s="388">
        <v>9.1999999999999993</v>
      </c>
      <c r="FW48" s="272">
        <v>9577524</v>
      </c>
      <c r="FX48" s="384">
        <f t="shared" si="16"/>
        <v>117.7</v>
      </c>
      <c r="FY48" s="272">
        <v>8237633</v>
      </c>
      <c r="FZ48" s="272">
        <v>2194734</v>
      </c>
      <c r="GA48" s="272">
        <v>578756</v>
      </c>
      <c r="GB48" s="272">
        <v>5464143</v>
      </c>
      <c r="GC48" s="272"/>
      <c r="GD48" s="272">
        <v>5276720</v>
      </c>
      <c r="GE48" s="384">
        <f>ROUND(GD48/FJ48*100,1)</f>
        <v>64.900000000000006</v>
      </c>
      <c r="GF48" s="388">
        <v>97</v>
      </c>
      <c r="GG48" s="388">
        <v>31.3</v>
      </c>
      <c r="GH48" s="388">
        <v>89.9</v>
      </c>
      <c r="GI48" s="272">
        <v>369</v>
      </c>
    </row>
    <row r="49" spans="2:191" x14ac:dyDescent="0.15">
      <c r="B49" s="21" t="s">
        <v>89</v>
      </c>
      <c r="C49" s="272">
        <f>SUM(C38:C48)</f>
        <v>34332802</v>
      </c>
      <c r="D49" s="455">
        <f t="shared" si="0"/>
        <v>12091615</v>
      </c>
      <c r="E49" s="272">
        <f>SUM(E38:E48)</f>
        <v>167338</v>
      </c>
      <c r="F49" s="272">
        <f>SUM(F38:F48)</f>
        <v>11924277</v>
      </c>
      <c r="G49" s="455">
        <f t="shared" si="1"/>
        <v>2152823</v>
      </c>
      <c r="H49" s="272">
        <f t="shared" ref="H49:R49" si="27">SUM(H38:H48)</f>
        <v>442209</v>
      </c>
      <c r="I49" s="272">
        <f t="shared" si="27"/>
        <v>1710614</v>
      </c>
      <c r="J49" s="272">
        <f t="shared" si="27"/>
        <v>17395298</v>
      </c>
      <c r="K49" s="272">
        <f t="shared" si="27"/>
        <v>8578163</v>
      </c>
      <c r="L49" s="272">
        <f t="shared" si="27"/>
        <v>5868167</v>
      </c>
      <c r="M49" s="272">
        <f t="shared" si="27"/>
        <v>2833968</v>
      </c>
      <c r="N49" s="272">
        <f t="shared" si="27"/>
        <v>1142225</v>
      </c>
      <c r="O49" s="272">
        <f t="shared" si="27"/>
        <v>1132419</v>
      </c>
      <c r="P49" s="272">
        <f t="shared" si="27"/>
        <v>750947</v>
      </c>
      <c r="Q49" s="272">
        <f t="shared" si="27"/>
        <v>381472</v>
      </c>
      <c r="R49" s="272">
        <f t="shared" si="27"/>
        <v>684257</v>
      </c>
      <c r="S49" s="272"/>
      <c r="T49" s="455">
        <f t="shared" si="2"/>
        <v>4443881</v>
      </c>
      <c r="U49" s="272">
        <f>SUM(U38:U48)</f>
        <v>1465509</v>
      </c>
      <c r="V49" s="272"/>
      <c r="W49" s="272"/>
      <c r="X49" s="272">
        <f t="shared" ref="X49:AG49" si="28">SUM(X38:X48)</f>
        <v>1990845</v>
      </c>
      <c r="Y49" s="272">
        <f t="shared" si="28"/>
        <v>343792</v>
      </c>
      <c r="Z49" s="272">
        <f t="shared" si="28"/>
        <v>3302</v>
      </c>
      <c r="AA49" s="272">
        <f t="shared" si="28"/>
        <v>640433</v>
      </c>
      <c r="AB49" s="272">
        <f t="shared" si="28"/>
        <v>1236672</v>
      </c>
      <c r="AC49" s="272">
        <f t="shared" si="28"/>
        <v>19679519</v>
      </c>
      <c r="AD49" s="272">
        <f t="shared" si="28"/>
        <v>16496239</v>
      </c>
      <c r="AE49" s="272">
        <f t="shared" si="28"/>
        <v>3183280</v>
      </c>
      <c r="AF49" s="272">
        <f t="shared" si="28"/>
        <v>45624</v>
      </c>
      <c r="AG49" s="272">
        <f t="shared" si="28"/>
        <v>232306</v>
      </c>
      <c r="AH49" s="455">
        <f t="shared" si="3"/>
        <v>1535497</v>
      </c>
      <c r="AI49" s="272">
        <f>SUM(AI38:AI48)</f>
        <v>1219596</v>
      </c>
      <c r="AJ49" s="272">
        <f>SUM(AJ38:AJ48)</f>
        <v>315901</v>
      </c>
      <c r="AK49" s="272">
        <f>SUM(AK38:AK48)</f>
        <v>3318258</v>
      </c>
      <c r="AL49" s="455">
        <f t="shared" si="4"/>
        <v>773375</v>
      </c>
      <c r="AM49" s="272">
        <f t="shared" ref="AM49:BN49" si="29">SUM(AM38:AM48)</f>
        <v>303837</v>
      </c>
      <c r="AN49" s="272">
        <f t="shared" si="29"/>
        <v>414949</v>
      </c>
      <c r="AO49" s="272">
        <f t="shared" si="29"/>
        <v>0</v>
      </c>
      <c r="AP49" s="272">
        <f t="shared" si="29"/>
        <v>54589</v>
      </c>
      <c r="AQ49" s="272">
        <f t="shared" si="29"/>
        <v>1199953</v>
      </c>
      <c r="AR49" s="272">
        <f t="shared" si="29"/>
        <v>10546</v>
      </c>
      <c r="AS49" s="272">
        <f t="shared" si="29"/>
        <v>0</v>
      </c>
      <c r="AT49" s="272">
        <f t="shared" si="29"/>
        <v>4176501</v>
      </c>
      <c r="AU49" s="272">
        <f t="shared" si="29"/>
        <v>1690954</v>
      </c>
      <c r="AV49" s="272">
        <f t="shared" si="29"/>
        <v>247159</v>
      </c>
      <c r="AW49" s="272">
        <f t="shared" si="29"/>
        <v>167422</v>
      </c>
      <c r="AX49" s="272">
        <f t="shared" si="29"/>
        <v>2485547</v>
      </c>
      <c r="AY49" s="272">
        <f t="shared" si="29"/>
        <v>713888</v>
      </c>
      <c r="AZ49" s="272">
        <f t="shared" si="29"/>
        <v>286242</v>
      </c>
      <c r="BA49" s="272">
        <f t="shared" si="29"/>
        <v>33451</v>
      </c>
      <c r="BB49" s="272">
        <f t="shared" si="29"/>
        <v>442899</v>
      </c>
      <c r="BC49" s="272">
        <f t="shared" si="29"/>
        <v>3255327</v>
      </c>
      <c r="BD49" s="272">
        <f t="shared" si="29"/>
        <v>568877</v>
      </c>
      <c r="BE49" s="272">
        <f t="shared" si="29"/>
        <v>315223</v>
      </c>
      <c r="BF49" s="272">
        <f t="shared" si="29"/>
        <v>1620644</v>
      </c>
      <c r="BG49" s="272">
        <f t="shared" si="29"/>
        <v>0</v>
      </c>
      <c r="BH49" s="272">
        <f t="shared" si="29"/>
        <v>1756228</v>
      </c>
      <c r="BI49" s="272">
        <f t="shared" si="29"/>
        <v>1468596</v>
      </c>
      <c r="BJ49" s="272">
        <f t="shared" si="29"/>
        <v>1138533</v>
      </c>
      <c r="BK49" s="272">
        <f t="shared" si="29"/>
        <v>243952</v>
      </c>
      <c r="BL49" s="272">
        <f t="shared" si="29"/>
        <v>26457</v>
      </c>
      <c r="BM49" s="272">
        <f t="shared" si="29"/>
        <v>0</v>
      </c>
      <c r="BN49" s="272">
        <f t="shared" si="29"/>
        <v>4002200</v>
      </c>
      <c r="BO49" s="455">
        <f t="shared" si="5"/>
        <v>3650100</v>
      </c>
      <c r="BP49" s="455">
        <f t="shared" si="6"/>
        <v>352100</v>
      </c>
      <c r="BQ49" s="272">
        <f>SUM(BQ38:BQ48)</f>
        <v>352100</v>
      </c>
      <c r="BR49" s="272">
        <f>SUM(BR38:BR48)</f>
        <v>0</v>
      </c>
      <c r="BS49" s="272">
        <f>SUM(BS38:BS48)</f>
        <v>0</v>
      </c>
      <c r="BT49" s="272">
        <f>SUM(BT38:BT48)</f>
        <v>0</v>
      </c>
      <c r="BU49" s="272">
        <f>SUM(BU38:BU48)</f>
        <v>80566746</v>
      </c>
      <c r="BV49" s="272"/>
      <c r="BW49" s="272">
        <f t="shared" ref="BW49:CI49" si="30">SUM(BW38:BW48)</f>
        <v>22353920</v>
      </c>
      <c r="BX49" s="272">
        <f t="shared" si="30"/>
        <v>15908480</v>
      </c>
      <c r="BY49" s="272">
        <f t="shared" si="30"/>
        <v>1248259</v>
      </c>
      <c r="BZ49" s="272">
        <f t="shared" si="30"/>
        <v>678225</v>
      </c>
      <c r="CA49" s="272">
        <f t="shared" si="30"/>
        <v>4054571</v>
      </c>
      <c r="CB49" s="272">
        <f t="shared" si="30"/>
        <v>1042129</v>
      </c>
      <c r="CC49" s="272">
        <f t="shared" si="30"/>
        <v>1035866</v>
      </c>
      <c r="CD49" s="272">
        <f t="shared" si="30"/>
        <v>1428761</v>
      </c>
      <c r="CE49" s="272">
        <f t="shared" si="30"/>
        <v>414250</v>
      </c>
      <c r="CF49" s="272">
        <f t="shared" si="30"/>
        <v>5993</v>
      </c>
      <c r="CG49" s="272">
        <f t="shared" si="30"/>
        <v>127162</v>
      </c>
      <c r="CH49" s="272">
        <f t="shared" si="30"/>
        <v>10825752</v>
      </c>
      <c r="CI49" s="272">
        <f t="shared" si="30"/>
        <v>7681691</v>
      </c>
      <c r="CJ49" s="455">
        <f t="shared" si="7"/>
        <v>3144061</v>
      </c>
      <c r="CK49" s="272">
        <f t="shared" ref="CK49:CS49" si="31">SUM(CK38:CK48)</f>
        <v>12663867</v>
      </c>
      <c r="CL49" s="272">
        <f t="shared" si="31"/>
        <v>6315332</v>
      </c>
      <c r="CM49" s="272">
        <f t="shared" si="31"/>
        <v>1106893</v>
      </c>
      <c r="CN49" s="272">
        <f t="shared" si="31"/>
        <v>2981998</v>
      </c>
      <c r="CO49" s="272">
        <f t="shared" si="31"/>
        <v>901160</v>
      </c>
      <c r="CP49" s="272">
        <f t="shared" si="31"/>
        <v>5428847</v>
      </c>
      <c r="CQ49" s="272">
        <f t="shared" si="31"/>
        <v>1734710</v>
      </c>
      <c r="CR49" s="272">
        <f t="shared" si="31"/>
        <v>1330012</v>
      </c>
      <c r="CS49" s="272">
        <f t="shared" si="31"/>
        <v>1194775</v>
      </c>
      <c r="CT49" s="455">
        <f t="shared" si="8"/>
        <v>339430</v>
      </c>
      <c r="CU49" s="272">
        <f>SUM(CU38:CU48)</f>
        <v>227199</v>
      </c>
      <c r="CV49" s="272">
        <f>SUM(CV38:CV48)</f>
        <v>112231</v>
      </c>
      <c r="CW49" s="455">
        <f t="shared" si="9"/>
        <v>168951</v>
      </c>
      <c r="CX49" s="272">
        <f>SUM(CX38:CX48)</f>
        <v>141199</v>
      </c>
      <c r="CY49" s="272">
        <f>SUM(CY38:CY48)</f>
        <v>27752</v>
      </c>
      <c r="CZ49" s="455">
        <f t="shared" si="10"/>
        <v>0</v>
      </c>
      <c r="DA49" s="272">
        <f t="shared" ref="DA49:DU49" si="32">SUM(DA38:DA48)</f>
        <v>0</v>
      </c>
      <c r="DB49" s="272">
        <f t="shared" si="32"/>
        <v>0</v>
      </c>
      <c r="DC49" s="272">
        <f t="shared" si="32"/>
        <v>11087048</v>
      </c>
      <c r="DD49" s="272">
        <f t="shared" si="32"/>
        <v>2822845</v>
      </c>
      <c r="DE49" s="272">
        <f t="shared" si="32"/>
        <v>7829280</v>
      </c>
      <c r="DF49" s="272">
        <f t="shared" si="32"/>
        <v>298197</v>
      </c>
      <c r="DG49" s="272">
        <f t="shared" si="32"/>
        <v>106457</v>
      </c>
      <c r="DH49" s="272">
        <f t="shared" si="32"/>
        <v>176259</v>
      </c>
      <c r="DI49" s="272">
        <f t="shared" si="32"/>
        <v>2207768</v>
      </c>
      <c r="DJ49" s="272">
        <f t="shared" si="32"/>
        <v>1113159</v>
      </c>
      <c r="DK49" s="272">
        <f t="shared" si="32"/>
        <v>192842</v>
      </c>
      <c r="DL49" s="272">
        <f t="shared" si="32"/>
        <v>901767</v>
      </c>
      <c r="DM49" s="272">
        <f t="shared" si="32"/>
        <v>8900</v>
      </c>
      <c r="DN49" s="272">
        <f t="shared" si="32"/>
        <v>8900</v>
      </c>
      <c r="DO49" s="272">
        <f t="shared" si="32"/>
        <v>8900</v>
      </c>
      <c r="DP49" s="272">
        <f t="shared" si="32"/>
        <v>0</v>
      </c>
      <c r="DQ49" s="272">
        <f t="shared" si="32"/>
        <v>9749</v>
      </c>
      <c r="DR49" s="272">
        <f t="shared" si="32"/>
        <v>0</v>
      </c>
      <c r="DS49" s="272">
        <f t="shared" si="32"/>
        <v>0</v>
      </c>
      <c r="DT49" s="272">
        <f t="shared" si="32"/>
        <v>8860698</v>
      </c>
      <c r="DU49" s="272">
        <f t="shared" si="32"/>
        <v>4911178</v>
      </c>
      <c r="DV49" s="455">
        <f t="shared" si="11"/>
        <v>0</v>
      </c>
      <c r="DW49" s="272">
        <f t="shared" ref="DW49:ED49" si="33">SUM(DW38:DW48)</f>
        <v>0</v>
      </c>
      <c r="DX49" s="272">
        <f t="shared" si="33"/>
        <v>0</v>
      </c>
      <c r="DY49" s="272">
        <f t="shared" si="33"/>
        <v>0</v>
      </c>
      <c r="DZ49" s="272">
        <f t="shared" si="33"/>
        <v>1501923</v>
      </c>
      <c r="EA49" s="272">
        <f t="shared" si="33"/>
        <v>995788</v>
      </c>
      <c r="EB49" s="272">
        <f t="shared" si="33"/>
        <v>1150874</v>
      </c>
      <c r="EC49" s="272">
        <f t="shared" si="33"/>
        <v>0</v>
      </c>
      <c r="ED49" s="272">
        <f t="shared" si="33"/>
        <v>78578539</v>
      </c>
      <c r="EE49" s="89"/>
      <c r="EF49" s="272">
        <f>SUM(EF38:EF48)</f>
        <v>1988207</v>
      </c>
      <c r="EG49" s="272">
        <f>SUM(EG38:EG48)</f>
        <v>285625</v>
      </c>
      <c r="EH49" s="272">
        <f>SUM(EH38:EH48)</f>
        <v>1702582</v>
      </c>
      <c r="EI49" s="272">
        <f>SUM(EI38:EI48)</f>
        <v>133986</v>
      </c>
      <c r="EJ49" s="272">
        <f>SUM(EJ38:EJ48)</f>
        <v>1427329</v>
      </c>
      <c r="EL49" s="272">
        <f>SUM(EL38:EL48)</f>
        <v>233147</v>
      </c>
      <c r="EM49" s="272">
        <f>SUM(EM38:EM48)</f>
        <v>233909</v>
      </c>
      <c r="EN49" s="272">
        <f>SUM(EN38:EN48)</f>
        <v>2281550</v>
      </c>
      <c r="EO49" s="272">
        <f>SUM(EO38:EO48)</f>
        <v>133649</v>
      </c>
      <c r="EP49" s="455">
        <f t="shared" si="12"/>
        <v>2437450</v>
      </c>
      <c r="EQ49" s="272">
        <f t="shared" ref="EQ49:EV49" si="34">SUM(EQ38:EQ48)</f>
        <v>60422755</v>
      </c>
      <c r="ER49" s="272">
        <f t="shared" si="34"/>
        <v>-5159125</v>
      </c>
      <c r="ES49" s="272">
        <f t="shared" si="34"/>
        <v>20545160</v>
      </c>
      <c r="ET49" s="272">
        <f t="shared" si="34"/>
        <v>14264368</v>
      </c>
      <c r="EU49" s="272">
        <f t="shared" si="34"/>
        <v>1727878</v>
      </c>
      <c r="EV49" s="272">
        <f t="shared" si="34"/>
        <v>10510893</v>
      </c>
      <c r="EW49" s="455">
        <f t="shared" si="13"/>
        <v>4138616</v>
      </c>
      <c r="EX49" s="272">
        <f>SUM(EX38:EX48)</f>
        <v>4105313</v>
      </c>
      <c r="EY49" s="272">
        <f>SUM(EY38:EY48)</f>
        <v>371665</v>
      </c>
      <c r="EZ49" s="272">
        <f>SUM(EZ38:EZ48)</f>
        <v>3586953</v>
      </c>
      <c r="FA49" s="272">
        <f>SUM(FA38:FA48)</f>
        <v>33303</v>
      </c>
      <c r="FB49" s="272"/>
      <c r="FC49" s="272">
        <f>SUM(FC38:FC48)</f>
        <v>10542541</v>
      </c>
      <c r="FD49" s="272">
        <f>SUM(FD38:FD48)</f>
        <v>4901531</v>
      </c>
      <c r="FE49" s="272">
        <f>SUM(FE38:FE48)</f>
        <v>1581213</v>
      </c>
      <c r="FF49" s="272">
        <f>SUM(FF38:FF48)</f>
        <v>8428150</v>
      </c>
      <c r="FG49" s="455">
        <f t="shared" si="14"/>
        <v>2801405</v>
      </c>
      <c r="FH49" s="272">
        <f>SUM(FH38:FH48)</f>
        <v>63596174</v>
      </c>
      <c r="FI49" s="384">
        <f t="shared" si="15"/>
        <v>3</v>
      </c>
      <c r="FJ49" s="272">
        <f>SUM(FJ38:FJ48)</f>
        <v>56210925</v>
      </c>
      <c r="FK49" s="272">
        <f>SUM(FK38:FK48)</f>
        <v>0</v>
      </c>
      <c r="FL49" s="272">
        <f>SUM(FL38:FL48)</f>
        <v>29968893</v>
      </c>
      <c r="FM49" s="272">
        <f>SUM(FM38:FM48)</f>
        <v>45433711</v>
      </c>
      <c r="FN49" s="468">
        <v>0.67900000000000005</v>
      </c>
      <c r="FO49" s="469">
        <v>88.2</v>
      </c>
      <c r="FP49" s="469">
        <v>35.299999999999997</v>
      </c>
      <c r="FQ49" s="469">
        <v>3.1</v>
      </c>
      <c r="FR49" s="469">
        <v>16.3</v>
      </c>
      <c r="FS49" s="469">
        <v>17.100000000000001</v>
      </c>
      <c r="FT49" s="469">
        <v>6.7</v>
      </c>
      <c r="FU49" s="469">
        <v>8.1999999999999993</v>
      </c>
      <c r="FV49" s="469">
        <v>9.5</v>
      </c>
      <c r="FW49" s="272">
        <f>SUM(FW38:FW48)</f>
        <v>90515265</v>
      </c>
      <c r="FX49" s="384">
        <f t="shared" si="16"/>
        <v>161</v>
      </c>
      <c r="FY49" s="272">
        <f t="shared" ref="FY49:GD49" si="35">SUM(FY38:FY48)</f>
        <v>41414919</v>
      </c>
      <c r="FZ49" s="272">
        <f t="shared" si="35"/>
        <v>14820991</v>
      </c>
      <c r="GA49" s="272">
        <f t="shared" si="35"/>
        <v>3294473</v>
      </c>
      <c r="GB49" s="272">
        <f t="shared" si="35"/>
        <v>23299455</v>
      </c>
      <c r="GC49" s="272">
        <f t="shared" si="35"/>
        <v>0</v>
      </c>
      <c r="GD49" s="272">
        <f t="shared" si="35"/>
        <v>11339761</v>
      </c>
      <c r="GE49" s="384">
        <f>ROUND(GD49/FJ52*100,1)</f>
        <v>40.299999999999997</v>
      </c>
      <c r="GF49" s="469">
        <v>97.9</v>
      </c>
      <c r="GG49" s="469">
        <v>21.4</v>
      </c>
      <c r="GH49" s="469">
        <v>91.5</v>
      </c>
      <c r="GI49" s="272">
        <f>SUM(GI38:GI48)</f>
        <v>2406</v>
      </c>
    </row>
    <row r="50" spans="2:191" x14ac:dyDescent="0.15">
      <c r="B50" s="21" t="s">
        <v>91</v>
      </c>
      <c r="C50" s="272">
        <f>C37+C49</f>
        <v>835733812</v>
      </c>
      <c r="D50" s="455">
        <f t="shared" si="0"/>
        <v>285760175</v>
      </c>
      <c r="E50" s="272">
        <f>E37+E49</f>
        <v>5031928</v>
      </c>
      <c r="F50" s="272">
        <f>F37+F49</f>
        <v>280728247</v>
      </c>
      <c r="G50" s="455">
        <f t="shared" si="1"/>
        <v>62759656</v>
      </c>
      <c r="H50" s="272">
        <f t="shared" ref="H50:R50" si="36">H37+H49</f>
        <v>12586818</v>
      </c>
      <c r="I50" s="272">
        <f t="shared" si="36"/>
        <v>50172838</v>
      </c>
      <c r="J50" s="272">
        <f t="shared" si="36"/>
        <v>362522034</v>
      </c>
      <c r="K50" s="272">
        <f t="shared" si="36"/>
        <v>185700882</v>
      </c>
      <c r="L50" s="272">
        <f t="shared" si="36"/>
        <v>121637110</v>
      </c>
      <c r="M50" s="272">
        <f t="shared" si="36"/>
        <v>49434253</v>
      </c>
      <c r="N50" s="272">
        <f t="shared" si="36"/>
        <v>33206194</v>
      </c>
      <c r="O50" s="272">
        <f t="shared" si="36"/>
        <v>78807204</v>
      </c>
      <c r="P50" s="272">
        <f t="shared" si="36"/>
        <v>52700535</v>
      </c>
      <c r="Q50" s="272">
        <f t="shared" si="36"/>
        <v>26106669</v>
      </c>
      <c r="R50" s="272">
        <f t="shared" si="36"/>
        <v>13170503</v>
      </c>
      <c r="S50" s="272"/>
      <c r="T50" s="455">
        <f t="shared" si="2"/>
        <v>96893549</v>
      </c>
      <c r="U50" s="272">
        <f>U37+U49</f>
        <v>35236898</v>
      </c>
      <c r="V50" s="272"/>
      <c r="W50" s="272"/>
      <c r="X50" s="272">
        <f t="shared" ref="X50:AG50" si="37">X37+X49</f>
        <v>49406696</v>
      </c>
      <c r="Y50" s="272">
        <f t="shared" si="37"/>
        <v>1368702</v>
      </c>
      <c r="Z50" s="272">
        <f t="shared" si="37"/>
        <v>122346</v>
      </c>
      <c r="AA50" s="272">
        <f t="shared" si="37"/>
        <v>10758907</v>
      </c>
      <c r="AB50" s="272">
        <f t="shared" si="37"/>
        <v>30419836</v>
      </c>
      <c r="AC50" s="272">
        <f t="shared" si="37"/>
        <v>180864568</v>
      </c>
      <c r="AD50" s="272">
        <f t="shared" si="37"/>
        <v>162187639</v>
      </c>
      <c r="AE50" s="272">
        <f t="shared" si="37"/>
        <v>18676929</v>
      </c>
      <c r="AF50" s="272">
        <f t="shared" si="37"/>
        <v>998218</v>
      </c>
      <c r="AG50" s="272">
        <f t="shared" si="37"/>
        <v>16187857</v>
      </c>
      <c r="AH50" s="455">
        <f t="shared" si="3"/>
        <v>35762726</v>
      </c>
      <c r="AI50" s="272">
        <f>AI37+AI49</f>
        <v>28090518</v>
      </c>
      <c r="AJ50" s="272">
        <f>AJ37+AJ49</f>
        <v>7672208</v>
      </c>
      <c r="AK50" s="272">
        <f>AK37+AK49</f>
        <v>159129931</v>
      </c>
      <c r="AL50" s="455">
        <f t="shared" si="4"/>
        <v>92399961</v>
      </c>
      <c r="AM50" s="272">
        <f t="shared" ref="AM50:BN50" si="38">AM37+AM49</f>
        <v>75158118</v>
      </c>
      <c r="AN50" s="272">
        <f t="shared" si="38"/>
        <v>16108799</v>
      </c>
      <c r="AO50" s="272">
        <f t="shared" si="38"/>
        <v>59637</v>
      </c>
      <c r="AP50" s="272">
        <f t="shared" si="38"/>
        <v>1073407</v>
      </c>
      <c r="AQ50" s="272">
        <f t="shared" si="38"/>
        <v>22496050</v>
      </c>
      <c r="AR50" s="272">
        <f t="shared" si="38"/>
        <v>23520</v>
      </c>
      <c r="AS50" s="272">
        <f t="shared" si="38"/>
        <v>305128</v>
      </c>
      <c r="AT50" s="272">
        <f t="shared" si="38"/>
        <v>84780973</v>
      </c>
      <c r="AU50" s="272">
        <f t="shared" si="38"/>
        <v>38276809</v>
      </c>
      <c r="AV50" s="272">
        <f t="shared" si="38"/>
        <v>8575325</v>
      </c>
      <c r="AW50" s="272">
        <f t="shared" si="38"/>
        <v>2704286</v>
      </c>
      <c r="AX50" s="272">
        <f t="shared" si="38"/>
        <v>46504164</v>
      </c>
      <c r="AY50" s="272">
        <f t="shared" si="38"/>
        <v>7144581</v>
      </c>
      <c r="AZ50" s="272">
        <f t="shared" si="38"/>
        <v>9075978</v>
      </c>
      <c r="BA50" s="272">
        <f t="shared" si="38"/>
        <v>6570748</v>
      </c>
      <c r="BB50" s="272">
        <f t="shared" si="38"/>
        <v>4082922</v>
      </c>
      <c r="BC50" s="272">
        <f t="shared" si="38"/>
        <v>39819858</v>
      </c>
      <c r="BD50" s="272">
        <f t="shared" si="38"/>
        <v>8074310</v>
      </c>
      <c r="BE50" s="272">
        <f t="shared" si="38"/>
        <v>2118466</v>
      </c>
      <c r="BF50" s="272">
        <f t="shared" si="38"/>
        <v>23691100</v>
      </c>
      <c r="BG50" s="272">
        <f t="shared" si="38"/>
        <v>2053979</v>
      </c>
      <c r="BH50" s="272">
        <f t="shared" si="38"/>
        <v>14633053</v>
      </c>
      <c r="BI50" s="272">
        <f t="shared" si="38"/>
        <v>8126246</v>
      </c>
      <c r="BJ50" s="272">
        <f t="shared" si="38"/>
        <v>46102618</v>
      </c>
      <c r="BK50" s="272">
        <f t="shared" si="38"/>
        <v>30633210</v>
      </c>
      <c r="BL50" s="272">
        <f t="shared" si="38"/>
        <v>661058</v>
      </c>
      <c r="BM50" s="272">
        <f t="shared" si="38"/>
        <v>786902</v>
      </c>
      <c r="BN50" s="272">
        <f t="shared" si="38"/>
        <v>115337900</v>
      </c>
      <c r="BO50" s="455">
        <f t="shared" si="5"/>
        <v>105178000</v>
      </c>
      <c r="BP50" s="455">
        <f t="shared" si="6"/>
        <v>10159900</v>
      </c>
      <c r="BQ50" s="272">
        <f>BQ37+BQ49</f>
        <v>10159900</v>
      </c>
      <c r="BR50" s="272">
        <f>BR37+BR49</f>
        <v>0</v>
      </c>
      <c r="BS50" s="272">
        <f>BS37+BS49</f>
        <v>0</v>
      </c>
      <c r="BT50" s="272">
        <f>BT37+BT49</f>
        <v>0</v>
      </c>
      <c r="BU50" s="272">
        <f>BU37+BU49</f>
        <v>1683299430</v>
      </c>
      <c r="BV50" s="272"/>
      <c r="BW50" s="272">
        <f t="shared" ref="BW50:CI50" si="39">BW37+BW49</f>
        <v>457437920</v>
      </c>
      <c r="BX50" s="272">
        <f t="shared" si="39"/>
        <v>326915908</v>
      </c>
      <c r="BY50" s="272">
        <f t="shared" si="39"/>
        <v>40312047</v>
      </c>
      <c r="BZ50" s="272">
        <f t="shared" si="39"/>
        <v>17379922</v>
      </c>
      <c r="CA50" s="272">
        <f t="shared" si="39"/>
        <v>224157786</v>
      </c>
      <c r="CB50" s="272">
        <f t="shared" si="39"/>
        <v>30553891</v>
      </c>
      <c r="CC50" s="272">
        <f t="shared" si="39"/>
        <v>24066921</v>
      </c>
      <c r="CD50" s="272">
        <f t="shared" si="39"/>
        <v>56775921</v>
      </c>
      <c r="CE50" s="272">
        <f t="shared" si="39"/>
        <v>101265230</v>
      </c>
      <c r="CF50" s="272">
        <f t="shared" si="39"/>
        <v>7097833</v>
      </c>
      <c r="CG50" s="272">
        <f t="shared" si="39"/>
        <v>4379485</v>
      </c>
      <c r="CH50" s="272">
        <f t="shared" si="39"/>
        <v>173246320</v>
      </c>
      <c r="CI50" s="272">
        <f t="shared" si="39"/>
        <v>117042479</v>
      </c>
      <c r="CJ50" s="455">
        <f t="shared" si="7"/>
        <v>56203841</v>
      </c>
      <c r="CK50" s="272">
        <f t="shared" ref="CK50:CS50" si="40">CK37+CK49</f>
        <v>191222914</v>
      </c>
      <c r="CL50" s="272">
        <f t="shared" si="40"/>
        <v>105313367</v>
      </c>
      <c r="CM50" s="272">
        <f t="shared" si="40"/>
        <v>11267196</v>
      </c>
      <c r="CN50" s="272">
        <f t="shared" si="40"/>
        <v>41175676</v>
      </c>
      <c r="CO50" s="272">
        <f t="shared" si="40"/>
        <v>16201218</v>
      </c>
      <c r="CP50" s="272">
        <f t="shared" si="40"/>
        <v>130511271</v>
      </c>
      <c r="CQ50" s="272">
        <f t="shared" si="40"/>
        <v>42420981</v>
      </c>
      <c r="CR50" s="272">
        <f t="shared" si="40"/>
        <v>38793232</v>
      </c>
      <c r="CS50" s="272">
        <f t="shared" si="40"/>
        <v>31129081</v>
      </c>
      <c r="CT50" s="455">
        <f t="shared" si="8"/>
        <v>19921777</v>
      </c>
      <c r="CU50" s="272">
        <f>CU37+CU49</f>
        <v>13175377</v>
      </c>
      <c r="CV50" s="272">
        <f>CV37+CV49</f>
        <v>6746400</v>
      </c>
      <c r="CW50" s="455">
        <f t="shared" si="9"/>
        <v>16893569</v>
      </c>
      <c r="CX50" s="272">
        <f>CX37+CX49</f>
        <v>12312592</v>
      </c>
      <c r="CY50" s="272">
        <f>CY37+CY49</f>
        <v>4580977</v>
      </c>
      <c r="CZ50" s="455">
        <f t="shared" si="10"/>
        <v>0</v>
      </c>
      <c r="DA50" s="272">
        <f t="shared" ref="DA50:DU50" si="41">DA37+DA49</f>
        <v>0</v>
      </c>
      <c r="DB50" s="272">
        <f t="shared" si="41"/>
        <v>0</v>
      </c>
      <c r="DC50" s="272">
        <f t="shared" si="41"/>
        <v>233880773</v>
      </c>
      <c r="DD50" s="272">
        <f t="shared" si="41"/>
        <v>51741777</v>
      </c>
      <c r="DE50" s="272">
        <f t="shared" si="41"/>
        <v>169941318</v>
      </c>
      <c r="DF50" s="272">
        <f t="shared" si="41"/>
        <v>2446541</v>
      </c>
      <c r="DG50" s="272">
        <f t="shared" si="41"/>
        <v>9384365</v>
      </c>
      <c r="DH50" s="272">
        <f t="shared" si="41"/>
        <v>420730</v>
      </c>
      <c r="DI50" s="272">
        <f t="shared" si="41"/>
        <v>26705837</v>
      </c>
      <c r="DJ50" s="272">
        <f t="shared" si="41"/>
        <v>9822832</v>
      </c>
      <c r="DK50" s="272">
        <f t="shared" si="41"/>
        <v>3402522</v>
      </c>
      <c r="DL50" s="272">
        <f t="shared" si="41"/>
        <v>13480483</v>
      </c>
      <c r="DM50" s="272">
        <f t="shared" si="41"/>
        <v>4088044</v>
      </c>
      <c r="DN50" s="272">
        <f t="shared" si="41"/>
        <v>2318330</v>
      </c>
      <c r="DO50" s="272">
        <f t="shared" si="41"/>
        <v>668723</v>
      </c>
      <c r="DP50" s="272">
        <f t="shared" si="41"/>
        <v>1649607</v>
      </c>
      <c r="DQ50" s="272">
        <f t="shared" si="41"/>
        <v>31198480</v>
      </c>
      <c r="DR50" s="272">
        <f t="shared" si="41"/>
        <v>544948</v>
      </c>
      <c r="DS50" s="272">
        <f t="shared" si="41"/>
        <v>540000</v>
      </c>
      <c r="DT50" s="272">
        <f t="shared" si="41"/>
        <v>181111669</v>
      </c>
      <c r="DU50" s="272">
        <f t="shared" si="41"/>
        <v>91668802</v>
      </c>
      <c r="DV50" s="455">
        <f t="shared" si="11"/>
        <v>105000</v>
      </c>
      <c r="DW50" s="272">
        <f t="shared" ref="DW50:ED50" si="42">DW37+DW49</f>
        <v>105000</v>
      </c>
      <c r="DX50" s="272">
        <f t="shared" si="42"/>
        <v>0</v>
      </c>
      <c r="DY50" s="272">
        <f t="shared" si="42"/>
        <v>348662</v>
      </c>
      <c r="DZ50" s="272">
        <f t="shared" si="42"/>
        <v>44608493</v>
      </c>
      <c r="EA50" s="272">
        <f t="shared" si="42"/>
        <v>20070014</v>
      </c>
      <c r="EB50" s="272">
        <f t="shared" si="42"/>
        <v>20266390</v>
      </c>
      <c r="EC50" s="272">
        <f t="shared" si="42"/>
        <v>6049205</v>
      </c>
      <c r="ED50" s="272">
        <f t="shared" si="42"/>
        <v>1676232167</v>
      </c>
      <c r="EE50" s="89"/>
      <c r="EF50" s="272">
        <f>EF37+EF49</f>
        <v>7067263</v>
      </c>
      <c r="EG50" s="272">
        <f>EG37+EG49</f>
        <v>7556078</v>
      </c>
      <c r="EH50" s="272">
        <f>EH37+EH49</f>
        <v>-488815</v>
      </c>
      <c r="EI50" s="272">
        <f>EI37+EI49</f>
        <v>-1471869</v>
      </c>
      <c r="EJ50" s="272">
        <f>EJ37+EJ49</f>
        <v>3535793</v>
      </c>
      <c r="EL50" s="272">
        <f>EL37+EL49</f>
        <v>5414289</v>
      </c>
      <c r="EM50" s="272">
        <f>EM37+EM49</f>
        <v>5367140</v>
      </c>
      <c r="EN50" s="272">
        <f>EN37+EN49</f>
        <v>18646617</v>
      </c>
      <c r="EO50" s="272">
        <f>EO37+EO49</f>
        <v>5423723</v>
      </c>
      <c r="EP50" s="455">
        <f t="shared" si="12"/>
        <v>29074455</v>
      </c>
      <c r="EQ50" s="272">
        <f t="shared" ref="EQ50:EV50" si="43">EQ37+EQ49</f>
        <v>1158385614</v>
      </c>
      <c r="ER50" s="272">
        <f t="shared" si="43"/>
        <v>-62001349</v>
      </c>
      <c r="ES50" s="272">
        <f t="shared" si="43"/>
        <v>419031596</v>
      </c>
      <c r="ET50" s="272">
        <f t="shared" si="43"/>
        <v>292592435</v>
      </c>
      <c r="EU50" s="272">
        <f t="shared" si="43"/>
        <v>72015809</v>
      </c>
      <c r="EV50" s="272">
        <f t="shared" si="43"/>
        <v>168045593</v>
      </c>
      <c r="EW50" s="455">
        <f t="shared" si="13"/>
        <v>68700820</v>
      </c>
      <c r="EX50" s="272">
        <f>EX37+EX49</f>
        <v>68537582</v>
      </c>
      <c r="EY50" s="272">
        <f>EY37+EY49</f>
        <v>6605137</v>
      </c>
      <c r="EZ50" s="272">
        <f>EZ37+EZ49</f>
        <v>61099796</v>
      </c>
      <c r="FA50" s="272">
        <f>FA37+FA49</f>
        <v>163238</v>
      </c>
      <c r="FB50" s="272"/>
      <c r="FC50" s="272">
        <f>FC37+FC49</f>
        <v>152782503</v>
      </c>
      <c r="FD50" s="272">
        <f>FD37+FD49</f>
        <v>117828823</v>
      </c>
      <c r="FE50" s="272">
        <f>FE37+FE49</f>
        <v>42247141</v>
      </c>
      <c r="FF50" s="272">
        <f>FF37+FF49</f>
        <v>168668141</v>
      </c>
      <c r="FG50" s="455">
        <f t="shared" si="14"/>
        <v>47139150</v>
      </c>
      <c r="FH50" s="272">
        <f>FH37+FH49</f>
        <v>1214212435</v>
      </c>
      <c r="FI50" s="384">
        <f t="shared" si="15"/>
        <v>0</v>
      </c>
      <c r="FJ50" s="272">
        <f>FJ37+FJ49</f>
        <v>1064030447</v>
      </c>
      <c r="FK50" s="272">
        <f>FK37+FK49</f>
        <v>0</v>
      </c>
      <c r="FL50" s="272">
        <f>FL37+FL49</f>
        <v>679941575</v>
      </c>
      <c r="FM50" s="272">
        <f>FM37+FM49</f>
        <v>836889249</v>
      </c>
      <c r="FN50" s="468">
        <v>0.83799999999999997</v>
      </c>
      <c r="FO50" s="469">
        <v>95.3</v>
      </c>
      <c r="FP50" s="469">
        <v>37.5</v>
      </c>
      <c r="FQ50" s="469">
        <v>7</v>
      </c>
      <c r="FR50" s="469">
        <v>15.5</v>
      </c>
      <c r="FS50" s="469">
        <v>13.5</v>
      </c>
      <c r="FT50" s="469">
        <v>10.6</v>
      </c>
      <c r="FU50" s="469">
        <v>9.9</v>
      </c>
      <c r="FV50" s="469">
        <v>10.199999999999999</v>
      </c>
      <c r="FW50" s="272">
        <f>FW37+FW49</f>
        <v>1570032960</v>
      </c>
      <c r="FX50" s="384">
        <f t="shared" si="16"/>
        <v>147.6</v>
      </c>
      <c r="FY50" s="272">
        <f t="shared" ref="FY50:GD50" si="44">FY37+FY49</f>
        <v>349116982</v>
      </c>
      <c r="FZ50" s="272">
        <f t="shared" si="44"/>
        <v>93736120</v>
      </c>
      <c r="GA50" s="272">
        <f t="shared" si="44"/>
        <v>28407218</v>
      </c>
      <c r="GB50" s="272">
        <f t="shared" si="44"/>
        <v>226973644</v>
      </c>
      <c r="GC50" s="272">
        <f t="shared" si="44"/>
        <v>2186518</v>
      </c>
      <c r="GD50" s="272">
        <f t="shared" si="44"/>
        <v>382395961</v>
      </c>
      <c r="GE50" s="384">
        <f>ROUND(GD50/FJ53*100,1)</f>
        <v>36.9</v>
      </c>
      <c r="GF50" s="469">
        <v>97.6</v>
      </c>
      <c r="GG50" s="469">
        <v>19.600000000000001</v>
      </c>
      <c r="GH50" s="469">
        <v>91.2</v>
      </c>
      <c r="GI50" s="272">
        <f>GI37+GI49</f>
        <v>42734</v>
      </c>
    </row>
    <row r="51" spans="2:191" x14ac:dyDescent="0.15">
      <c r="C51" s="89"/>
      <c r="E51" s="89"/>
      <c r="F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I51" s="89"/>
      <c r="AJ51" s="89"/>
      <c r="AK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K51" s="89"/>
      <c r="CL51" s="89"/>
      <c r="CM51" s="89"/>
      <c r="CN51" s="89"/>
      <c r="CO51" s="89"/>
      <c r="CP51" s="89"/>
      <c r="CQ51" s="89"/>
      <c r="CR51" s="89"/>
      <c r="CS51" s="89"/>
      <c r="CU51" s="89"/>
      <c r="CV51" s="89"/>
      <c r="CX51" s="89"/>
      <c r="CY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GE51" s="31" t="s">
        <v>647</v>
      </c>
    </row>
    <row r="52" spans="2:191" x14ac:dyDescent="0.15">
      <c r="C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K52" s="89"/>
      <c r="CL52" s="89"/>
      <c r="CM52" s="89"/>
      <c r="CN52" s="89"/>
      <c r="CO52" s="89"/>
      <c r="CP52" s="89"/>
      <c r="CQ52" s="89"/>
      <c r="CR52" s="89"/>
      <c r="CS52" s="89"/>
      <c r="CU52" s="89"/>
      <c r="CV52" s="89"/>
      <c r="CX52" s="89"/>
      <c r="CY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FJ52" s="394">
        <f>FJ42+FJ43+FJ45+FJ46+FJ48</f>
        <v>28170504</v>
      </c>
      <c r="FO52" s="33"/>
      <c r="FP52" s="89" t="s">
        <v>816</v>
      </c>
    </row>
    <row r="53" spans="2:191" x14ac:dyDescent="0.15">
      <c r="C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Q53" s="89"/>
      <c r="BR53" s="89"/>
      <c r="BS53" s="89"/>
      <c r="BT53" s="89"/>
      <c r="BU53" s="89"/>
      <c r="BV53" s="89"/>
      <c r="FJ53" s="394">
        <f>FJ37+FJ52</f>
        <v>1035990026</v>
      </c>
    </row>
    <row r="54" spans="2:191" x14ac:dyDescent="0.15">
      <c r="C54" s="89"/>
    </row>
    <row r="55" spans="2:191" x14ac:dyDescent="0.15">
      <c r="C55" s="89"/>
    </row>
    <row r="56" spans="2:191" x14ac:dyDescent="0.15">
      <c r="C56" s="89"/>
    </row>
  </sheetData>
  <phoneticPr fontId="3"/>
  <pageMargins left="0.75" right="0.75" top="1" bottom="1" header="0.51200000000000001" footer="0.51200000000000001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FFC000"/>
    <pageSetUpPr autoPageBreaks="0"/>
  </sheetPr>
  <dimension ref="A1:AO71"/>
  <sheetViews>
    <sheetView showGridLines="0" view="pageBreakPreview" zoomScale="80" zoomScaleNormal="100" zoomScaleSheetLayoutView="80" workbookViewId="0">
      <pane xSplit="5" ySplit="4" topLeftCell="F5" activePane="bottomRight" state="frozen"/>
      <selection activeCell="H11" sqref="H11"/>
      <selection pane="topRight" activeCell="H11" sqref="H11"/>
      <selection pane="bottomLeft" activeCell="H11" sqref="H11"/>
      <selection pane="bottomRight"/>
    </sheetView>
  </sheetViews>
  <sheetFormatPr defaultColWidth="9.109375" defaultRowHeight="12" x14ac:dyDescent="0.15"/>
  <cols>
    <col min="1" max="2" width="3.6640625" style="62" customWidth="1"/>
    <col min="3" max="4" width="2.6640625" style="62" customWidth="1"/>
    <col min="5" max="5" width="23.109375" style="62" customWidth="1"/>
    <col min="6" max="31" width="10.6640625" style="62" customWidth="1"/>
    <col min="32" max="33" width="10.44140625" style="62" customWidth="1"/>
    <col min="34" max="39" width="10.33203125" style="62" customWidth="1"/>
    <col min="40" max="41" width="10.6640625" style="62" customWidth="1"/>
    <col min="42" max="42" width="9.109375" style="62" customWidth="1"/>
    <col min="43" max="16384" width="9.109375" style="62"/>
  </cols>
  <sheetData>
    <row r="1" spans="1:41" s="35" customFormat="1" ht="12.6" customHeight="1" thickBot="1" x14ac:dyDescent="0.2"/>
    <row r="2" spans="1:41" ht="15" customHeight="1" thickBot="1" x14ac:dyDescent="0.2">
      <c r="A2" s="35"/>
      <c r="B2" s="9" t="s">
        <v>254</v>
      </c>
      <c r="G2" s="36" t="s">
        <v>255</v>
      </c>
      <c r="H2" s="540" t="str">
        <f>IFERROR(決算推移!H2,"-")</f>
        <v>府計</v>
      </c>
      <c r="I2" s="541"/>
      <c r="J2" s="482" t="s">
        <v>96</v>
      </c>
      <c r="K2" s="483"/>
      <c r="L2" s="483"/>
      <c r="M2" s="483"/>
      <c r="N2" s="483"/>
      <c r="O2" s="483"/>
    </row>
    <row r="3" spans="1:41" ht="15" customHeight="1" x14ac:dyDescent="0.15">
      <c r="J3" s="89" t="s">
        <v>97</v>
      </c>
      <c r="K3" s="130"/>
      <c r="L3" s="130"/>
      <c r="M3" s="130"/>
      <c r="N3" s="130"/>
      <c r="O3" s="130"/>
      <c r="V3" s="58"/>
      <c r="W3" s="58"/>
      <c r="X3" s="58"/>
      <c r="Y3" s="58"/>
      <c r="Z3" s="58"/>
      <c r="AA3" s="67"/>
      <c r="AC3" s="58"/>
      <c r="AD3" s="58"/>
      <c r="AE3" s="58"/>
      <c r="AH3" s="58"/>
      <c r="AI3" s="58"/>
      <c r="AJ3" s="58"/>
      <c r="AK3" s="58"/>
      <c r="AL3" s="58"/>
      <c r="AN3" s="58" t="s">
        <v>256</v>
      </c>
    </row>
    <row r="4" spans="1:41" ht="15" customHeight="1" thickBot="1" x14ac:dyDescent="0.2">
      <c r="B4" s="489" t="s">
        <v>257</v>
      </c>
      <c r="C4" s="490"/>
      <c r="D4" s="490"/>
      <c r="E4" s="481"/>
      <c r="F4" s="161" t="s">
        <v>101</v>
      </c>
      <c r="G4" s="161" t="s">
        <v>102</v>
      </c>
      <c r="H4" s="161" t="s">
        <v>103</v>
      </c>
      <c r="I4" s="161" t="s">
        <v>104</v>
      </c>
      <c r="J4" s="161" t="s">
        <v>105</v>
      </c>
      <c r="K4" s="161" t="s">
        <v>106</v>
      </c>
      <c r="L4" s="161" t="s">
        <v>107</v>
      </c>
      <c r="M4" s="161" t="s">
        <v>108</v>
      </c>
      <c r="N4" s="161" t="s">
        <v>109</v>
      </c>
      <c r="O4" s="161" t="s">
        <v>110</v>
      </c>
      <c r="P4" s="161" t="s">
        <v>111</v>
      </c>
      <c r="Q4" s="161" t="s">
        <v>112</v>
      </c>
      <c r="R4" s="161" t="s">
        <v>113</v>
      </c>
      <c r="S4" s="161" t="s">
        <v>114</v>
      </c>
      <c r="T4" s="161" t="s">
        <v>115</v>
      </c>
      <c r="U4" s="161" t="s">
        <v>116</v>
      </c>
      <c r="V4" s="161" t="s">
        <v>117</v>
      </c>
      <c r="W4" s="161" t="s">
        <v>118</v>
      </c>
      <c r="X4" s="161" t="s">
        <v>119</v>
      </c>
      <c r="Y4" s="161" t="s">
        <v>120</v>
      </c>
      <c r="Z4" s="64" t="s">
        <v>121</v>
      </c>
      <c r="AA4" s="64" t="s">
        <v>122</v>
      </c>
      <c r="AB4" s="64" t="s">
        <v>123</v>
      </c>
      <c r="AC4" s="64" t="s">
        <v>124</v>
      </c>
      <c r="AD4" s="64" t="s">
        <v>125</v>
      </c>
      <c r="AE4" s="64" t="s">
        <v>126</v>
      </c>
      <c r="AF4" s="64" t="s">
        <v>127</v>
      </c>
      <c r="AG4" s="64" t="s">
        <v>128</v>
      </c>
      <c r="AH4" s="118" t="s">
        <v>129</v>
      </c>
      <c r="AI4" s="118" t="s">
        <v>130</v>
      </c>
      <c r="AJ4" s="118" t="s">
        <v>131</v>
      </c>
      <c r="AK4" s="144" t="s">
        <v>132</v>
      </c>
      <c r="AL4" s="118" t="s">
        <v>133</v>
      </c>
      <c r="AM4" s="155" t="s">
        <v>134</v>
      </c>
      <c r="AN4" s="144" t="s">
        <v>135</v>
      </c>
      <c r="AO4" s="144" t="s">
        <v>136</v>
      </c>
    </row>
    <row r="5" spans="1:41" ht="15" customHeight="1" x14ac:dyDescent="0.15">
      <c r="A5" s="17"/>
      <c r="B5" s="515" t="s">
        <v>258</v>
      </c>
      <c r="C5" s="527" t="s">
        <v>259</v>
      </c>
      <c r="D5" s="476"/>
      <c r="E5" s="477"/>
      <c r="F5" s="261"/>
      <c r="G5" s="261" t="str">
        <f>IFERROR(VLOOKUP($H$2,'2年度'!$B$6:$GI$50,141,0),"-")</f>
        <v>-</v>
      </c>
      <c r="H5" s="261"/>
      <c r="I5" s="261"/>
      <c r="J5" s="261"/>
      <c r="K5" s="261"/>
      <c r="L5" s="261" t="str">
        <f>IFERROR(VLOOKUP($H$2,'7年度'!$B$6:$GI$50,141,0),"-")</f>
        <v>-</v>
      </c>
      <c r="M5" s="261"/>
      <c r="N5" s="261"/>
      <c r="O5" s="261"/>
      <c r="P5" s="261"/>
      <c r="Q5" s="261" t="str">
        <f>IFERROR(VLOOKUP($H$2,'12年度'!$B$6:$GI$50,141,0),"-")</f>
        <v>-</v>
      </c>
      <c r="R5" s="261"/>
      <c r="S5" s="261"/>
      <c r="T5" s="262"/>
      <c r="U5" s="261"/>
      <c r="V5" s="263" t="str">
        <f>IFERROR(VLOOKUP($H$2,'17年度'!$B$6:$GI$50,141,0),"-")</f>
        <v>-</v>
      </c>
      <c r="W5" s="262"/>
      <c r="X5" s="262"/>
      <c r="Y5" s="262"/>
      <c r="Z5" s="262"/>
      <c r="AA5" s="261" t="str">
        <f>IFERROR(VLOOKUP($H$2,'22年度'!$B$6:$GI$50,141,0),"-")</f>
        <v>-</v>
      </c>
      <c r="AB5" s="263"/>
      <c r="AC5" s="262"/>
      <c r="AD5" s="262"/>
      <c r="AE5" s="262"/>
      <c r="AF5" s="261">
        <f>IFERROR(VLOOKUP($H$2,'27年度'!$B$6:$GI$52,141,0),"-")</f>
        <v>8839469</v>
      </c>
      <c r="AG5" s="261"/>
      <c r="AH5" s="263"/>
      <c r="AI5" s="262"/>
      <c r="AJ5" s="261"/>
      <c r="AK5" s="261">
        <f>IFERROR(VLOOKUP($H$2,'R2年度'!$B$6:$GJ$52,143,0),"-")</f>
        <v>8842523</v>
      </c>
      <c r="AL5" s="263"/>
      <c r="AM5" s="262"/>
      <c r="AN5" s="264"/>
      <c r="AO5" s="264"/>
    </row>
    <row r="6" spans="1:41" ht="15" customHeight="1" thickBot="1" x14ac:dyDescent="0.2">
      <c r="A6" s="17"/>
      <c r="B6" s="510"/>
      <c r="C6" s="548" t="s">
        <v>260</v>
      </c>
      <c r="D6" s="514"/>
      <c r="E6" s="488"/>
      <c r="F6" s="265" t="str">
        <f>IFERROR(VLOOKUP($H$2,'1年度'!$B$6:$GI$50,142,0),"-")</f>
        <v>-</v>
      </c>
      <c r="G6" s="265" t="str">
        <f>IFERROR(VLOOKUP($H$2,'2年度'!$B$6:$GI$50,142,0),"-")</f>
        <v>-</v>
      </c>
      <c r="H6" s="265" t="str">
        <f>IFERROR(VLOOKUP($H$2,'3年度'!$B$6:$GI$50,142,0),"-")</f>
        <v>-</v>
      </c>
      <c r="I6" s="265" t="str">
        <f>IFERROR(VLOOKUP($H$2,'4年度'!$B$6:$GI$50,142,0),"-")</f>
        <v>-</v>
      </c>
      <c r="J6" s="265" t="str">
        <f>IFERROR(VLOOKUP($H$2,'5年度'!$B$6:$GI$50,142,0),"-")</f>
        <v>-</v>
      </c>
      <c r="K6" s="265" t="str">
        <f>IFERROR(VLOOKUP($H$2,'6年度'!$B$6:$GI$50,142,0),"-")</f>
        <v>-</v>
      </c>
      <c r="L6" s="265" t="str">
        <f>IFERROR(VLOOKUP($H$2,'7年度'!$B$6:$GI$50,142,0),"-")</f>
        <v>-</v>
      </c>
      <c r="M6" s="265" t="str">
        <f>IFERROR(VLOOKUP($H$2,'8年度'!$B$6:$GI$50,142,0),"-")</f>
        <v>-</v>
      </c>
      <c r="N6" s="265" t="str">
        <f>IFERROR(VLOOKUP($H$2,'9年度'!$B$6:$GI$50,142,0),"-")</f>
        <v>-</v>
      </c>
      <c r="O6" s="265" t="str">
        <f>IFERROR(VLOOKUP($H$2,'10年度'!$B$6:$GI$50,142,0),"-")</f>
        <v>-</v>
      </c>
      <c r="P6" s="265" t="str">
        <f>IFERROR(VLOOKUP($H$2,'11年度'!$B$6:$GI$50,142,0),"-")</f>
        <v>-</v>
      </c>
      <c r="Q6" s="265" t="str">
        <f>IFERROR(VLOOKUP($H$2,'12年度'!$B$6:$GI$50,142,0),"-")</f>
        <v>-</v>
      </c>
      <c r="R6" s="265" t="str">
        <f>IFERROR(VLOOKUP($H$2,'13年度'!$B$6:$GI$50,142,0),"-")</f>
        <v>-</v>
      </c>
      <c r="S6" s="265" t="str">
        <f>IFERROR(VLOOKUP($H$2,'14年度'!$B$6:$GI$50,142,0),"-")</f>
        <v>-</v>
      </c>
      <c r="T6" s="266" t="str">
        <f>IFERROR(VLOOKUP($H$2,'15年度'!$B$6:$GI$50,142,0),"-")</f>
        <v>-</v>
      </c>
      <c r="U6" s="265" t="str">
        <f>IFERROR(VLOOKUP($H$2,'16年度'!$B$6:$GI$50,142,0),"-")</f>
        <v>-</v>
      </c>
      <c r="V6" s="267" t="str">
        <f>IFERROR(VLOOKUP($H$2,'17年度'!$B$6:$GI$50,142,0),"-")</f>
        <v>-</v>
      </c>
      <c r="W6" s="266" t="str">
        <f>IFERROR(VLOOKUP($H$2,'18年度'!$B$6:$GI$50,142,0),"-")</f>
        <v>-</v>
      </c>
      <c r="X6" s="266" t="str">
        <f>IFERROR(VLOOKUP($H$2,'19年度'!$B$6:$GI$50,142,0),"-")</f>
        <v>-</v>
      </c>
      <c r="Y6" s="266" t="str">
        <f>IFERROR(VLOOKUP($H$2,'20年度'!$B$6:$GI$50,142,0),"-")</f>
        <v>-</v>
      </c>
      <c r="Z6" s="266" t="str">
        <f>IFERROR(VLOOKUP($H$2,'21年度'!$B$6:$GI$50,142,0),"-")</f>
        <v>-</v>
      </c>
      <c r="AA6" s="265" t="str">
        <f>IFERROR(VLOOKUP($H$2,'22年度'!$B$6:$GI$50,142,0),"-")</f>
        <v>-</v>
      </c>
      <c r="AB6" s="267">
        <f>IFERROR(VLOOKUP($H$2,'23年度'!$B$6:$GI$52,142,0),"-")</f>
        <v>8679933</v>
      </c>
      <c r="AC6" s="266">
        <f>IFERROR(VLOOKUP($H$2,'24年度'!$B$6:$GI$52,142,0),"-")</f>
        <v>8873698</v>
      </c>
      <c r="AD6" s="266">
        <f>IFERROR(VLOOKUP($H$2,'25年度'!$B$6:$GI$52,142,0),"-")</f>
        <v>8878694</v>
      </c>
      <c r="AE6" s="266">
        <f>IFERROR(VLOOKUP($H$2,'26年度'!$B$6:$GI$52,142,0),"-")</f>
        <v>8868870</v>
      </c>
      <c r="AF6" s="265">
        <f>IFERROR(VLOOKUP($H$2,'27年度'!$B$6:$GI$52,142,0),"-")</f>
        <v>8865502</v>
      </c>
      <c r="AG6" s="265">
        <f>IFERROR(VLOOKUP($H$2,'28年度'!$B$6:$GI$52,142,0),"-")</f>
        <v>8861437</v>
      </c>
      <c r="AH6" s="267">
        <f>IFERROR(VLOOKUP($H$2,'29年度'!$B$6:$GI$52,142,0),"-")</f>
        <v>8856444</v>
      </c>
      <c r="AI6" s="266">
        <f>IFERROR(VLOOKUP($H$2,'30年度'!$B$6:$GI$52,142,0),"-")</f>
        <v>8848998</v>
      </c>
      <c r="AJ6" s="265">
        <f>IFERROR(VLOOKUP($H$2,'R1年度'!$B$6:$GJ$52,143,0),"-")</f>
        <v>8849635</v>
      </c>
      <c r="AK6" s="265">
        <f>IFERROR(VLOOKUP($H$2,'R2年度'!$B$6:$GJ$52,144,0),"-")</f>
        <v>8839532</v>
      </c>
      <c r="AL6" s="267">
        <f>IFERROR(VLOOKUP($H$2,'R3年度'!$B$6:$GJ$52,144,0),"-")</f>
        <v>8800753</v>
      </c>
      <c r="AM6" s="266">
        <f>IFERROR(VLOOKUP($H$2,'R4年度'!$B$6:$GJ$52,144,0),"-")</f>
        <v>8784421</v>
      </c>
      <c r="AN6" s="268">
        <f>IFERROR(VLOOKUP($H$2,'R5年度'!$B$6:$GJ$52,144,0),"-")</f>
        <v>8775708</v>
      </c>
      <c r="AO6" s="268">
        <f>IFERROR(VLOOKUP($H$2,'R6年度'!$B$6:$GK$52,144,0),"-")</f>
        <v>8771961</v>
      </c>
    </row>
    <row r="7" spans="1:41" ht="15" customHeight="1" x14ac:dyDescent="0.15">
      <c r="A7" s="17"/>
      <c r="B7" s="515" t="s">
        <v>261</v>
      </c>
      <c r="C7" s="524" t="s">
        <v>262</v>
      </c>
      <c r="D7" s="476"/>
      <c r="E7" s="477"/>
      <c r="F7" s="261" t="str">
        <f>IFERROR(ROUND(VLOOKUP($H$2,'1年度'!$B$6:$GI$50,2,0)/1000,0),"-")</f>
        <v>-</v>
      </c>
      <c r="G7" s="261" t="str">
        <f>IFERROR(ROUND(VLOOKUP($H$2,'2年度'!$B$6:$GI$50,2,0)/1000,0),"-")</f>
        <v>-</v>
      </c>
      <c r="H7" s="261" t="str">
        <f>IFERROR(ROUND(VLOOKUP($H$2,'3年度'!$B$6:$GI$50,2,0)/1000,0),"-")</f>
        <v>-</v>
      </c>
      <c r="I7" s="261" t="str">
        <f>IFERROR(ROUND(VLOOKUP($H$2,'4年度'!$B$6:$GI$50,2,0)/1000,0),"-")</f>
        <v>-</v>
      </c>
      <c r="J7" s="261" t="str">
        <f>IFERROR(ROUND(VLOOKUP($H$2,'5年度'!$B$6:$GI$50,2,0)/1000,0),"-")</f>
        <v>-</v>
      </c>
      <c r="K7" s="261" t="str">
        <f>IFERROR(ROUND(VLOOKUP($H$2,'6年度'!$B$6:$GI$50,2,0)/1000,0),"-")</f>
        <v>-</v>
      </c>
      <c r="L7" s="261" t="str">
        <f>IFERROR(ROUND(VLOOKUP($H$2,'7年度'!$B$6:$GI$50,2,0)/1000,0),"-")</f>
        <v>-</v>
      </c>
      <c r="M7" s="261" t="str">
        <f>IFERROR(ROUND(VLOOKUP($H$2,'8年度'!$B$6:$GI$50,2,0)/1000,0),"-")</f>
        <v>-</v>
      </c>
      <c r="N7" s="261" t="str">
        <f>IFERROR(ROUND(VLOOKUP($H$2,'9年度'!$B$6:$GI$50,2,0)/1000,0),"-")</f>
        <v>-</v>
      </c>
      <c r="O7" s="261" t="str">
        <f>IFERROR(ROUND(VLOOKUP($H$2,'10年度'!$B$6:$GI$50,2,0)/1000,0),"-")</f>
        <v>-</v>
      </c>
      <c r="P7" s="261" t="str">
        <f>IFERROR(ROUND(VLOOKUP($H$2,'11年度'!$B$6:$GI$50,2,0)/1000,0),"-")</f>
        <v>-</v>
      </c>
      <c r="Q7" s="261" t="str">
        <f>IFERROR(ROUND(VLOOKUP($H$2,'12年度'!$B$6:$GI$50,2,0)/1000,0),"-")</f>
        <v>-</v>
      </c>
      <c r="R7" s="261" t="str">
        <f>IFERROR(ROUND(VLOOKUP($H$2,'13年度'!$B$6:$GI$50,2,0)/1000,0),"-")</f>
        <v>-</v>
      </c>
      <c r="S7" s="261" t="str">
        <f>IFERROR(ROUND(VLOOKUP($H$2,'14年度'!$B$6:$GI$50,2,0)/1000,0),"-")</f>
        <v>-</v>
      </c>
      <c r="T7" s="262" t="str">
        <f>IFERROR(ROUND(VLOOKUP($H$2,'15年度'!$B$6:$GI$50,2,0)/1000,0),"-")</f>
        <v>-</v>
      </c>
      <c r="U7" s="261" t="str">
        <f>IFERROR(ROUND(VLOOKUP($H$2,'16年度'!$B$6:$GI$50,2,0)/1000,0),"-")</f>
        <v>-</v>
      </c>
      <c r="V7" s="263" t="str">
        <f>IFERROR(ROUND(VLOOKUP($H$2,'17年度'!$B$6:$GI$50,2,0)/1000,0),"-")</f>
        <v>-</v>
      </c>
      <c r="W7" s="262" t="str">
        <f>IFERROR(ROUND(VLOOKUP($H$2,'18年度'!$B$6:$GI$50,2,0)/1000,0),"-")</f>
        <v>-</v>
      </c>
      <c r="X7" s="262" t="str">
        <f>IFERROR(ROUND(VLOOKUP($H$2,'19年度'!$B$6:$GI$50,2,0)/1000,0),"-")</f>
        <v>-</v>
      </c>
      <c r="Y7" s="262" t="str">
        <f>IFERROR(ROUND(VLOOKUP($H$2,'20年度'!$B$6:$GI$50,2,0)/1000,0),"-")</f>
        <v>-</v>
      </c>
      <c r="Z7" s="262" t="str">
        <f>IFERROR(ROUND(VLOOKUP($H$2,'21年度'!$B$6:$GI$50,2,0)/1000,0),"-")</f>
        <v>-</v>
      </c>
      <c r="AA7" s="261" t="str">
        <f>IFERROR(ROUND(VLOOKUP($H$2,'22年度'!$B$6:$GI$50,2,0)/1000,0),"-")</f>
        <v>-</v>
      </c>
      <c r="AB7" s="263">
        <f>IFERROR(ROUND(VLOOKUP($H$2,'23年度'!$B$6:$GI$52,2,0)/1000,0),"-")</f>
        <v>1529430</v>
      </c>
      <c r="AC7" s="262">
        <f>IFERROR(ROUND(VLOOKUP($H$2,'24年度'!$B$6:$GI$52,2,0)/1000,0),"-")</f>
        <v>1512537</v>
      </c>
      <c r="AD7" s="262">
        <f>IFERROR(ROUND(VLOOKUP($H$2,'25年度'!$B$6:$GI$52,2,0)/1000,0),"-")</f>
        <v>1535098</v>
      </c>
      <c r="AE7" s="262">
        <f>IFERROR(ROUND(VLOOKUP($H$2,'26年度'!$B$6:$GI$52,2,0)/1000,0),"-")</f>
        <v>1560340</v>
      </c>
      <c r="AF7" s="261">
        <f>IFERROR(ROUND(VLOOKUP($H$2,'27年度'!$B$6:$GI$52,2,0)/1000,0),"-")</f>
        <v>1560426</v>
      </c>
      <c r="AG7" s="261">
        <f>IFERROR(ROUND(VLOOKUP($H$2,'28年度'!$B$6:$GI$52,2,0)/1000,0),"-")</f>
        <v>1567331</v>
      </c>
      <c r="AH7" s="263">
        <f>IFERROR(ROUND(VLOOKUP($H$2,'29年度'!$B$6:$GI$52,2,0)/1000,0),"-")</f>
        <v>1588332</v>
      </c>
      <c r="AI7" s="262">
        <f>IFERROR(ROUND(VLOOKUP($H$2,'30年度'!$B$6:$GI$52,2,0)/1000,0),"-")</f>
        <v>1671039</v>
      </c>
      <c r="AJ7" s="261">
        <f>IFERROR(ROUND(VLOOKUP($H$2,'R1年度'!$B$6:$GJ$52,2,0)/1000,0),"-")</f>
        <v>1726833</v>
      </c>
      <c r="AK7" s="261">
        <f>IFERROR(ROUND(VLOOKUP($H$2,'R2年度'!$B$6:$GJ$52,2,0)/1000,0),"-")</f>
        <v>1683990</v>
      </c>
      <c r="AL7" s="263">
        <f>IFERROR(ROUND(VLOOKUP($H$2,'R3年度'!$B$6:$GJ$52,2,0)/1000,0),"-")</f>
        <v>1689449</v>
      </c>
      <c r="AM7" s="262">
        <f>IFERROR(ROUND(VLOOKUP($H$2,'R4年度'!$B$6:$GJ$52,2,0)/1000,0),"-")</f>
        <v>1748457</v>
      </c>
      <c r="AN7" s="264">
        <f>IFERROR(ROUND(VLOOKUP($H$2,'R5年度'!$B$6:$GJ$52,2,0)/1000,0),"-")</f>
        <v>1778816</v>
      </c>
      <c r="AO7" s="264">
        <f>IFERROR(ROUND(VLOOKUP($H$2,'R6年度'!$B$6:$GK$52,2,0)/1000,0),"-")</f>
        <v>1798787</v>
      </c>
    </row>
    <row r="8" spans="1:41" ht="15" customHeight="1" x14ac:dyDescent="0.15">
      <c r="A8" s="17"/>
      <c r="B8" s="509"/>
      <c r="C8" s="534"/>
      <c r="D8" s="516" t="s">
        <v>263</v>
      </c>
      <c r="E8" s="481"/>
      <c r="F8" s="269" t="str">
        <f>IFERROR(ROUND((VLOOKUP($H$2,'1年度'!$B$6:$GI$50,3,0)+VLOOKUP($H$2,'1年度'!$B$6:$GI$50,6,0))/1000,0),"-")</f>
        <v>-</v>
      </c>
      <c r="G8" s="270" t="str">
        <f>IFERROR(ROUND((VLOOKUP($H$2,'2年度'!$B$6:$GI$50,3,0)+VLOOKUP($H$2,'2年度'!$B$6:$GI$50,6,0))/1000,0),"-")</f>
        <v>-</v>
      </c>
      <c r="H8" s="270" t="str">
        <f>IFERROR(ROUND((VLOOKUP($H$2,'3年度'!$B$6:$GI$50,3,0)+VLOOKUP($H$2,'3年度'!$B$6:$GI$50,6,0))/1000,0),"-")</f>
        <v>-</v>
      </c>
      <c r="I8" s="270" t="str">
        <f>IFERROR(ROUND((VLOOKUP($H$2,'4年度'!$B$6:$GI$50,3,0)+VLOOKUP($H$2,'4年度'!$B$6:$GI$50,6,0))/1000,0),"-")</f>
        <v>-</v>
      </c>
      <c r="J8" s="270" t="str">
        <f>IFERROR(ROUND((VLOOKUP($H$2,'5年度'!$B$6:$GI$50,3,0)+VLOOKUP($H$2,'5年度'!$B$6:$GI$50,6,0))/1000,0),"-")</f>
        <v>-</v>
      </c>
      <c r="K8" s="270" t="str">
        <f>IFERROR(ROUND((VLOOKUP($H$2,'6年度'!$B$6:$GI$50,3,0)+VLOOKUP($H$2,'6年度'!$B$6:$GI$50,6,0))/1000,0),"-")</f>
        <v>-</v>
      </c>
      <c r="L8" s="270" t="str">
        <f>IFERROR(ROUND((VLOOKUP($H$2,'7年度'!$B$6:$GI$50,3,0)+VLOOKUP($H$2,'7年度'!$B$6:$GI$50,6,0))/1000,0),"-")</f>
        <v>-</v>
      </c>
      <c r="M8" s="270" t="str">
        <f>IFERROR(ROUND((VLOOKUP($H$2,'8年度'!$B$6:$GI$50,3,0)+VLOOKUP($H$2,'8年度'!$B$6:$GI$50,6,0))/1000,0),"-")</f>
        <v>-</v>
      </c>
      <c r="N8" s="270" t="str">
        <f>IFERROR(ROUND((VLOOKUP($H$2,'9年度'!$B$6:$GI$50,3,0)+VLOOKUP($H$2,'9年度'!$B$6:$GI$50,6,0))/1000,0),"-")</f>
        <v>-</v>
      </c>
      <c r="O8" s="270" t="str">
        <f>IFERROR(ROUND((VLOOKUP($H$2,'10年度'!$B$6:$GI$50,3,0)+VLOOKUP($H$2,'10年度'!$B$6:$GI$50,6,0))/1000,0),"-")</f>
        <v>-</v>
      </c>
      <c r="P8" s="270" t="str">
        <f>IFERROR(ROUND((VLOOKUP($H$2,'11年度'!$B$6:$GI$50,3,0)+VLOOKUP($H$2,'11年度'!$B$6:$GI$50,6,0))/1000,0),"-")</f>
        <v>-</v>
      </c>
      <c r="Q8" s="270" t="str">
        <f>IFERROR(ROUND((VLOOKUP($H$2,'12年度'!$B$6:$GI$50,3,0)+VLOOKUP($H$2,'12年度'!$B$6:$GI$50,6,0))/1000,0),"-")</f>
        <v>-</v>
      </c>
      <c r="R8" s="270" t="str">
        <f>IFERROR(ROUND((VLOOKUP($H$2,'13年度'!$B$6:$GI$50,3,0)+VLOOKUP($H$2,'13年度'!$B$6:$GI$50,6,0))/1000,0),"-")</f>
        <v>-</v>
      </c>
      <c r="S8" s="270" t="str">
        <f>IFERROR(ROUND((VLOOKUP($H$2,'14年度'!$B$6:$GI$50,3,0)+VLOOKUP($H$2,'14年度'!$B$6:$GI$50,6,0))/1000,0),"-")</f>
        <v>-</v>
      </c>
      <c r="T8" s="271" t="str">
        <f>IFERROR(ROUND((VLOOKUP($H$2,'15年度'!$B$6:$GI$50,3,0)+VLOOKUP($H$2,'15年度'!$B$6:$GI$50,6,0))/1000,0),"-")</f>
        <v>-</v>
      </c>
      <c r="U8" s="270" t="str">
        <f>IFERROR(ROUND((VLOOKUP($H$2,'16年度'!$B$6:$GI$50,3,0)+VLOOKUP($H$2,'16年度'!$B$6:$GI$50,6,0))/1000,0),"-")</f>
        <v>-</v>
      </c>
      <c r="V8" s="272" t="str">
        <f>IFERROR(ROUND((VLOOKUP($H$2,'17年度'!$B$6:$GI$50,3,0)+VLOOKUP($H$2,'17年度'!$B$6:$GI$50,6,0))/1000,0),"-")</f>
        <v>-</v>
      </c>
      <c r="W8" s="271" t="str">
        <f>IFERROR(ROUND((VLOOKUP($H$2,'18年度'!$B$6:$GI$50,3,0)+VLOOKUP($H$2,'18年度'!$B$6:$GI$50,6,0))/1000,0),"-")</f>
        <v>-</v>
      </c>
      <c r="X8" s="271" t="str">
        <f>IFERROR(ROUND((VLOOKUP($H$2,'19年度'!$B$6:$GI$50,3,0)+VLOOKUP($H$2,'19年度'!$B$6:$GI$50,6,0))/1000,0),"-")</f>
        <v>-</v>
      </c>
      <c r="Y8" s="271" t="str">
        <f>IFERROR(ROUND((VLOOKUP($H$2,'20年度'!$B$6:$GI$50,3,0)+VLOOKUP($H$2,'20年度'!$B$6:$GI$50,6,0))/1000,0),"-")</f>
        <v>-</v>
      </c>
      <c r="Z8" s="271" t="str">
        <f>IFERROR(ROUND((VLOOKUP($H$2,'21年度'!$B$6:$GI$50,3,0)+VLOOKUP($H$2,'21年度'!$B$6:$GI$50,6,0))/1000,0),"-")</f>
        <v>-</v>
      </c>
      <c r="AA8" s="270" t="str">
        <f>IFERROR(ROUND((VLOOKUP($H$2,'22年度'!$B$6:$GI$50,3,0)+VLOOKUP($H$2,'22年度'!$B$6:$GI$50,6,0))/1000,0),"-")</f>
        <v>-</v>
      </c>
      <c r="AB8" s="272">
        <f>IFERROR(ROUND((VLOOKUP($H$2,'23年度'!$B$6:$GI$52,3,0)+VLOOKUP($H$2,'23年度'!$B$6:$GI$52,6,0))/1000,0),"-")</f>
        <v>622145</v>
      </c>
      <c r="AC8" s="271">
        <f>IFERROR(ROUND((VLOOKUP($H$2,'24年度'!$B$6:$GI$52,3,0)+VLOOKUP($H$2,'24年度'!$B$6:$GI$52,6,0))/1000,0),"-")</f>
        <v>642556</v>
      </c>
      <c r="AD8" s="271">
        <f>IFERROR(ROUND((VLOOKUP($H$2,'25年度'!$B$6:$GI$52,3,0)+VLOOKUP($H$2,'25年度'!$B$6:$GI$52,6,0))/1000,0),"-")</f>
        <v>651341</v>
      </c>
      <c r="AE8" s="271">
        <f>IFERROR(ROUND((VLOOKUP($H$2,'26年度'!$B$6:$GI$52,3,0)+VLOOKUP($H$2,'26年度'!$B$6:$GI$52,6,0))/1000,0),"-")</f>
        <v>671241</v>
      </c>
      <c r="AF8" s="270">
        <f>IFERROR(ROUND((VLOOKUP($H$2,'27年度'!$B$6:$GI$52,3,0)+VLOOKUP($H$2,'27年度'!$B$6:$GI$52,6,0))/1000,0),"-")</f>
        <v>673715</v>
      </c>
      <c r="AG8" s="270">
        <f>IFERROR(ROUND((VLOOKUP($H$2,'28年度'!$B$6:$GI$52,3,0)+VLOOKUP($H$2,'28年度'!$B$6:$GI$52,6,0))/1000,0),"-")</f>
        <v>669811</v>
      </c>
      <c r="AH8" s="272">
        <f>IFERROR(ROUND((VLOOKUP($H$2,'29年度'!$B$6:$GI$52,3,0)+VLOOKUP($H$2,'29年度'!$B$6:$GI$52,6,0))/1000,0),"-")</f>
        <v>686585</v>
      </c>
      <c r="AI8" s="271">
        <f>IFERROR(ROUND((VLOOKUP($H$2,'30年度'!$B$6:$GI$52,3,0)+VLOOKUP($H$2,'30年度'!$B$6:$GI$52,6,0))/1000,0),"-")</f>
        <v>764760</v>
      </c>
      <c r="AJ8" s="270">
        <f>IFERROR(ROUND((VLOOKUP($H$2,'R1年度'!$B$6:$GJ$52,3,0)+VLOOKUP($H$2,'R1年度'!$B$6:$GJ$52,6,0))/1000,0),"-")</f>
        <v>799251</v>
      </c>
      <c r="AK8" s="270">
        <f>IFERROR(ROUND((VLOOKUP($H$2,'R2年度'!$B$6:$GJ$52,3,0)+VLOOKUP($H$2,'R2年度'!$B$6:$GJ$52,6,0))/1000,0),"-")</f>
        <v>755354</v>
      </c>
      <c r="AL8" s="272">
        <f>IFERROR(ROUND((VLOOKUP($H$2,'R3年度'!$B$6:$GJ$52,3,0)+VLOOKUP($H$2,'R3年度'!$B$6:$GJ$52,6,0))/1000,0),"-")</f>
        <v>747085</v>
      </c>
      <c r="AM8" s="271">
        <f>IFERROR(ROUND((VLOOKUP($H$2,'R4年度'!$B$6:$GJ$52,3,0)+VLOOKUP($H$2,'R4年度'!$B$6:$GJ$52,6,0))/1000,0),"-")</f>
        <v>780086</v>
      </c>
      <c r="AN8" s="273">
        <f>IFERROR(ROUND((VLOOKUP($H$2,'R5年度'!$B$6:$GJ$52,3,0)+VLOOKUP($H$2,'R5年度'!$B$6:$GJ$52,6,0))/1000,0),"-")</f>
        <v>785859</v>
      </c>
      <c r="AO8" s="273">
        <f>IFERROR(ROUND((VLOOKUP($H$2,'R6年度'!$B$6:$GK$52,3,0)+VLOOKUP($H$2,'R6年度'!$B$6:$GK$52,6,0))/1000,0),"-")</f>
        <v>788321</v>
      </c>
    </row>
    <row r="9" spans="1:41" ht="15" customHeight="1" x14ac:dyDescent="0.15">
      <c r="A9" s="17"/>
      <c r="B9" s="509"/>
      <c r="C9" s="532"/>
      <c r="D9" s="168"/>
      <c r="E9" s="18" t="s">
        <v>264</v>
      </c>
      <c r="F9" s="274" t="str">
        <f>IFERROR(ROUND(VLOOKUP($H$2,'1年度'!$B$6:$GI$50,3,0)/1000,0),"-")</f>
        <v>-</v>
      </c>
      <c r="G9" s="274" t="str">
        <f>IFERROR(ROUND(VLOOKUP($H$2,'2年度'!$B$6:$GI$50,3,0)/1000,0),"-")</f>
        <v>-</v>
      </c>
      <c r="H9" s="274" t="str">
        <f>IFERROR(ROUND(VLOOKUP($H$2,'3年度'!$B$6:$GI$50,3,0)/1000,0),"-")</f>
        <v>-</v>
      </c>
      <c r="I9" s="274" t="str">
        <f>IFERROR(ROUND(VLOOKUP($H$2,'4年度'!$B$6:$GI$50,3,0)/1000,0),"-")</f>
        <v>-</v>
      </c>
      <c r="J9" s="274" t="str">
        <f>IFERROR(ROUND(VLOOKUP($H$2,'5年度'!$B$6:$GI$50,3,0)/1000,0),"-")</f>
        <v>-</v>
      </c>
      <c r="K9" s="274" t="str">
        <f>IFERROR(ROUND(VLOOKUP($H$2,'6年度'!$B$6:$GI$50,3,0)/1000,0),"-")</f>
        <v>-</v>
      </c>
      <c r="L9" s="274" t="str">
        <f>IFERROR(ROUND(VLOOKUP($H$2,'7年度'!$B$6:$GI$50,3,0)/1000,0),"-")</f>
        <v>-</v>
      </c>
      <c r="M9" s="274" t="str">
        <f>IFERROR(ROUND(VLOOKUP($H$2,'8年度'!$B$6:$GI$50,3,0)/1000,0),"-")</f>
        <v>-</v>
      </c>
      <c r="N9" s="274" t="str">
        <f>IFERROR(ROUND(VLOOKUP($H$2,'9年度'!$B$6:$GI$50,3,0)/1000,0),"-")</f>
        <v>-</v>
      </c>
      <c r="O9" s="274" t="str">
        <f>IFERROR(ROUND(VLOOKUP($H$2,'10年度'!$B$6:$GI$50,3,0)/1000,0),"-")</f>
        <v>-</v>
      </c>
      <c r="P9" s="274" t="str">
        <f>IFERROR(ROUND(VLOOKUP($H$2,'11年度'!$B$6:$GI$50,3,0)/1000,0),"-")</f>
        <v>-</v>
      </c>
      <c r="Q9" s="274" t="str">
        <f>IFERROR(ROUND(VLOOKUP($H$2,'12年度'!$B$6:$GI$50,3,0)/1000,0),"-")</f>
        <v>-</v>
      </c>
      <c r="R9" s="274" t="str">
        <f>IFERROR(ROUND(VLOOKUP($H$2,'13年度'!$B$6:$GI$50,3,0)/1000,0),"-")</f>
        <v>-</v>
      </c>
      <c r="S9" s="274" t="str">
        <f>IFERROR(ROUND(VLOOKUP($H$2,'14年度'!$B$6:$GI$50,3,0)/1000,0),"-")</f>
        <v>-</v>
      </c>
      <c r="T9" s="275" t="str">
        <f>IFERROR(ROUND(VLOOKUP($H$2,'15年度'!$B$6:$GI$50,3,0)/1000,0),"-")</f>
        <v>-</v>
      </c>
      <c r="U9" s="274" t="str">
        <f>IFERROR(ROUND(VLOOKUP($H$2,'16年度'!$B$6:$GI$50,3,0)/1000,0),"-")</f>
        <v>-</v>
      </c>
      <c r="V9" s="276" t="str">
        <f>IFERROR(ROUND(VLOOKUP($H$2,'17年度'!$B$6:$GI$50,3,0)/1000,0),"-")</f>
        <v>-</v>
      </c>
      <c r="W9" s="275" t="str">
        <f>IFERROR(ROUND(VLOOKUP($H$2,'18年度'!$B$6:$GI$50,3,0)/1000,0),"-")</f>
        <v>-</v>
      </c>
      <c r="X9" s="275" t="str">
        <f>IFERROR(ROUND(VLOOKUP($H$2,'19年度'!$B$6:$GI$50,3,0)/1000,0),"-")</f>
        <v>-</v>
      </c>
      <c r="Y9" s="275" t="str">
        <f>IFERROR(ROUND(VLOOKUP($H$2,'20年度'!$B$6:$GI$50,3,0)/1000,0),"-")</f>
        <v>-</v>
      </c>
      <c r="Z9" s="275" t="str">
        <f>IFERROR(ROUND(VLOOKUP($H$2,'21年度'!$B$6:$GI$50,3,0)/1000,0),"-")</f>
        <v>-</v>
      </c>
      <c r="AA9" s="274" t="str">
        <f>IFERROR(ROUND(VLOOKUP($H$2,'22年度'!$B$6:$GI$50,3,0)/1000,0),"-")</f>
        <v>-</v>
      </c>
      <c r="AB9" s="276">
        <f>IFERROR(ROUND(VLOOKUP($H$2,'23年度'!$B$6:$GI$52,3,0)/1000,0),"-")</f>
        <v>441978</v>
      </c>
      <c r="AC9" s="275">
        <f>IFERROR(ROUND(VLOOKUP($H$2,'24年度'!$B$6:$GI$52,3,0)/1000,0),"-")</f>
        <v>458932</v>
      </c>
      <c r="AD9" s="275">
        <f>IFERROR(ROUND(VLOOKUP($H$2,'25年度'!$B$6:$GI$52,3,0)/1000,0),"-")</f>
        <v>461891</v>
      </c>
      <c r="AE9" s="275">
        <f>IFERROR(ROUND(VLOOKUP($H$2,'26年度'!$B$6:$GI$52,3,0)/1000,0),"-")</f>
        <v>465596</v>
      </c>
      <c r="AF9" s="274">
        <f>IFERROR(ROUND(VLOOKUP($H$2,'27年度'!$B$6:$GI$52,3,0)/1000,0),"-")</f>
        <v>475039</v>
      </c>
      <c r="AG9" s="274">
        <f>IFERROR(ROUND(VLOOKUP($H$2,'28年度'!$B$6:$GI$52,3,0)/1000,0),"-")</f>
        <v>483400</v>
      </c>
      <c r="AH9" s="276">
        <f>IFERROR(ROUND(VLOOKUP($H$2,'29年度'!$B$6:$GI$52,3,0)/1000,0),"-")</f>
        <v>489135</v>
      </c>
      <c r="AI9" s="275">
        <f>IFERROR(ROUND(VLOOKUP($H$2,'30年度'!$B$6:$GI$52,3,0)/1000,0),"-")</f>
        <v>555291</v>
      </c>
      <c r="AJ9" s="274">
        <f>IFERROR(ROUND(VLOOKUP($H$2,'R1年度'!$B$6:$GJ$52,3,0)/1000,0),"-")</f>
        <v>576978</v>
      </c>
      <c r="AK9" s="274">
        <f>IFERROR(ROUND(VLOOKUP($H$2,'R2年度'!$B$6:$GJ$52,3,0)/1000,0),"-")</f>
        <v>589758</v>
      </c>
      <c r="AL9" s="276">
        <f>IFERROR(ROUND(VLOOKUP($H$2,'R3年度'!$B$6:$GJ$52,3,0)/1000,0),"-")</f>
        <v>582730</v>
      </c>
      <c r="AM9" s="275">
        <f>IFERROR(ROUND(VLOOKUP($H$2,'R4年度'!$B$6:$GJ$52,3,0)/1000,0),"-")</f>
        <v>604333</v>
      </c>
      <c r="AN9" s="277">
        <f>IFERROR(ROUND(VLOOKUP($H$2,'R5年度'!$B$6:$GJ$52,3,0)/1000,0),"-")</f>
        <v>612991</v>
      </c>
      <c r="AO9" s="277">
        <f>IFERROR(ROUND(VLOOKUP($H$2,'R6年度'!$B$6:$GK$52,3,0)/1000,0),"-")</f>
        <v>589478</v>
      </c>
    </row>
    <row r="10" spans="1:41" ht="15" customHeight="1" x14ac:dyDescent="0.15">
      <c r="A10" s="17"/>
      <c r="B10" s="509"/>
      <c r="C10" s="532"/>
      <c r="D10" s="168"/>
      <c r="E10" s="19" t="s">
        <v>265</v>
      </c>
      <c r="F10" s="270" t="str">
        <f>IFERROR(ROUND(VLOOKUP($H$2,'1年度'!$B$6:$GI$50,6,0)/1000,0),"-")</f>
        <v>-</v>
      </c>
      <c r="G10" s="270" t="str">
        <f>IFERROR(ROUND(VLOOKUP($H$2,'2年度'!$B$6:$GI$50,6,0)/1000,0),"-")</f>
        <v>-</v>
      </c>
      <c r="H10" s="270" t="str">
        <f>IFERROR(ROUND(VLOOKUP($H$2,'3年度'!$B$6:$GI$50,6,0)/1000,0),"-")</f>
        <v>-</v>
      </c>
      <c r="I10" s="270" t="str">
        <f>IFERROR(ROUND(VLOOKUP($H$2,'4年度'!$B$6:$GI$50,6,0)/1000,0),"-")</f>
        <v>-</v>
      </c>
      <c r="J10" s="270" t="str">
        <f>IFERROR(ROUND(VLOOKUP($H$2,'5年度'!$B$6:$GI$50,6,0)/1000,0),"-")</f>
        <v>-</v>
      </c>
      <c r="K10" s="270" t="str">
        <f>IFERROR(ROUND(VLOOKUP($H$2,'6年度'!$B$6:$GI$50,6,0)/1000,0),"-")</f>
        <v>-</v>
      </c>
      <c r="L10" s="270" t="str">
        <f>IFERROR(ROUND(VLOOKUP($H$2,'7年度'!$B$6:$GI$50,6,0)/1000,0),"-")</f>
        <v>-</v>
      </c>
      <c r="M10" s="270" t="str">
        <f>IFERROR(ROUND(VLOOKUP($H$2,'8年度'!$B$6:$GI$50,6,0)/1000,0),"-")</f>
        <v>-</v>
      </c>
      <c r="N10" s="270" t="str">
        <f>IFERROR(ROUND(VLOOKUP($H$2,'9年度'!$B$6:$GI$50,6,0)/1000,0),"-")</f>
        <v>-</v>
      </c>
      <c r="O10" s="270" t="str">
        <f>IFERROR(ROUND(VLOOKUP($H$2,'10年度'!$B$6:$GI$50,6,0)/1000,0),"-")</f>
        <v>-</v>
      </c>
      <c r="P10" s="270" t="str">
        <f>IFERROR(ROUND(VLOOKUP($H$2,'11年度'!$B$6:$GI$50,6,0)/1000,0),"-")</f>
        <v>-</v>
      </c>
      <c r="Q10" s="270" t="str">
        <f>IFERROR(ROUND(VLOOKUP($H$2,'12年度'!$B$6:$GI$50,6,0)/1000,0),"-")</f>
        <v>-</v>
      </c>
      <c r="R10" s="270" t="str">
        <f>IFERROR(ROUND(VLOOKUP($H$2,'13年度'!$B$6:$GI$50,6,0)/1000,0),"-")</f>
        <v>-</v>
      </c>
      <c r="S10" s="270" t="str">
        <f>IFERROR(ROUND(VLOOKUP($H$2,'14年度'!$B$6:$GI$50,6,0)/1000,0),"-")</f>
        <v>-</v>
      </c>
      <c r="T10" s="271" t="str">
        <f>IFERROR(ROUND(VLOOKUP($H$2,'15年度'!$B$6:$GI$50,6,0)/1000,0),"-")</f>
        <v>-</v>
      </c>
      <c r="U10" s="270" t="str">
        <f>IFERROR(ROUND(VLOOKUP($H$2,'16年度'!$B$6:$GI$50,6,0)/1000,0),"-")</f>
        <v>-</v>
      </c>
      <c r="V10" s="272" t="str">
        <f>IFERROR(ROUND(VLOOKUP($H$2,'17年度'!$B$6:$GI$50,6,0)/1000,0),"-")</f>
        <v>-</v>
      </c>
      <c r="W10" s="271" t="str">
        <f>IFERROR(ROUND(VLOOKUP($H$2,'18年度'!$B$6:$GI$50,6,0)/1000,0),"-")</f>
        <v>-</v>
      </c>
      <c r="X10" s="271" t="str">
        <f>IFERROR(ROUND(VLOOKUP($H$2,'19年度'!$B$6:$GI$50,6,0)/1000,0),"-")</f>
        <v>-</v>
      </c>
      <c r="Y10" s="271" t="str">
        <f>IFERROR(ROUND(VLOOKUP($H$2,'20年度'!$B$6:$GI$50,6,0)/1000,0),"-")</f>
        <v>-</v>
      </c>
      <c r="Z10" s="271" t="str">
        <f>IFERROR(ROUND(VLOOKUP($H$2,'21年度'!$B$6:$GI$50,6,0)/1000,0),"-")</f>
        <v>-</v>
      </c>
      <c r="AA10" s="270" t="str">
        <f>IFERROR(ROUND(VLOOKUP($H$2,'22年度'!$B$6:$GI$50,6,0)/1000,0),"-")</f>
        <v>-</v>
      </c>
      <c r="AB10" s="272">
        <f>IFERROR(ROUND(VLOOKUP($H$2,'23年度'!$B$6:$GI$52,6,0)/1000,0),"-")</f>
        <v>180167</v>
      </c>
      <c r="AC10" s="271">
        <f>IFERROR(ROUND(VLOOKUP($H$2,'24年度'!$B$6:$GI$52,6,0)/1000,0),"-")</f>
        <v>183624</v>
      </c>
      <c r="AD10" s="271">
        <f>IFERROR(ROUND(VLOOKUP($H$2,'25年度'!$B$6:$GI$52,6,0)/1000,0),"-")</f>
        <v>189450</v>
      </c>
      <c r="AE10" s="271">
        <f>IFERROR(ROUND(VLOOKUP($H$2,'26年度'!$B$6:$GI$52,6,0)/1000,0),"-")</f>
        <v>205645</v>
      </c>
      <c r="AF10" s="270">
        <f>IFERROR(ROUND(VLOOKUP($H$2,'27年度'!$B$6:$GI$52,6,0)/1000,0),"-")</f>
        <v>198676</v>
      </c>
      <c r="AG10" s="270">
        <f>IFERROR(ROUND(VLOOKUP($H$2,'28年度'!$B$6:$GI$52,6,0)/1000,0),"-")</f>
        <v>186412</v>
      </c>
      <c r="AH10" s="272">
        <f>IFERROR(ROUND(VLOOKUP($H$2,'29年度'!$B$6:$GI$52,6,0)/1000,0),"-")</f>
        <v>197449</v>
      </c>
      <c r="AI10" s="271">
        <f>IFERROR(ROUND(VLOOKUP($H$2,'30年度'!$B$6:$GI$52,6,0)/1000,0),"-")</f>
        <v>209469</v>
      </c>
      <c r="AJ10" s="270">
        <f>IFERROR(ROUND(VLOOKUP($H$2,'R1年度'!$B$6:$GJ$52,6,0)/1000,0),"-")</f>
        <v>222272</v>
      </c>
      <c r="AK10" s="270">
        <f>IFERROR(ROUND(VLOOKUP($H$2,'R2年度'!$B$6:$GJ$52,6,0)/1000,0),"-")</f>
        <v>165596</v>
      </c>
      <c r="AL10" s="272">
        <f>IFERROR(ROUND(VLOOKUP($H$2,'R3年度'!$B$6:$GJ$52,6,0)/1000,0),"-")</f>
        <v>164355</v>
      </c>
      <c r="AM10" s="271">
        <f>IFERROR(ROUND(VLOOKUP($H$2,'R4年度'!$B$6:$GJ$52,6,0)/1000,0),"-")</f>
        <v>175753</v>
      </c>
      <c r="AN10" s="273">
        <f>IFERROR(ROUND(VLOOKUP($H$2,'R5年度'!$B$6:$GJ$52,6,0)/1000,0),"-")</f>
        <v>172869</v>
      </c>
      <c r="AO10" s="273">
        <f>IFERROR(ROUND(VLOOKUP($H$2,'R6年度'!$B$6:$GK$52,6,0)/1000,0),"-")</f>
        <v>198843</v>
      </c>
    </row>
    <row r="11" spans="1:41" ht="15" customHeight="1" x14ac:dyDescent="0.15">
      <c r="A11" s="17"/>
      <c r="B11" s="509"/>
      <c r="C11" s="532"/>
      <c r="D11" s="516" t="s">
        <v>266</v>
      </c>
      <c r="E11" s="481"/>
      <c r="F11" s="269" t="str">
        <f>IFERROR(ROUND(VLOOKUP($H$2,'1年度'!$B$6:$GI$50,9,0)/1000,0),"-")</f>
        <v>-</v>
      </c>
      <c r="G11" s="269" t="str">
        <f>IFERROR(ROUND(VLOOKUP($H$2,'2年度'!$B$6:$GI$50,9,0)/1000,0),"-")</f>
        <v>-</v>
      </c>
      <c r="H11" s="269" t="str">
        <f>IFERROR(ROUND(VLOOKUP($H$2,'3年度'!$B$6:$GI$50,9,0)/1000,0),"-")</f>
        <v>-</v>
      </c>
      <c r="I11" s="269" t="str">
        <f>IFERROR(ROUND(VLOOKUP($H$2,'4年度'!$B$6:$GI$50,9,0)/1000,0),"-")</f>
        <v>-</v>
      </c>
      <c r="J11" s="269" t="str">
        <f>IFERROR(ROUND(VLOOKUP($H$2,'5年度'!$B$6:$GI$50,9,0)/1000,0),"-")</f>
        <v>-</v>
      </c>
      <c r="K11" s="269" t="str">
        <f>IFERROR(ROUND(VLOOKUP($H$2,'6年度'!$B$6:$GI$50,9,0)/1000,0),"-")</f>
        <v>-</v>
      </c>
      <c r="L11" s="269" t="str">
        <f>IFERROR(ROUND(VLOOKUP($H$2,'7年度'!$B$6:$GI$50,9,0)/1000,0),"-")</f>
        <v>-</v>
      </c>
      <c r="M11" s="269" t="str">
        <f>IFERROR(ROUND(VLOOKUP($H$2,'8年度'!$B$6:$GI$50,9,0)/1000,0),"-")</f>
        <v>-</v>
      </c>
      <c r="N11" s="269" t="str">
        <f>IFERROR(ROUND(VLOOKUP($H$2,'9年度'!$B$6:$GI$50,9,0)/1000,0),"-")</f>
        <v>-</v>
      </c>
      <c r="O11" s="269" t="str">
        <f>IFERROR(ROUND(VLOOKUP($H$2,'10年度'!$B$6:$GI$50,9,0)/1000,0),"-")</f>
        <v>-</v>
      </c>
      <c r="P11" s="269" t="str">
        <f>IFERROR(ROUND(VLOOKUP($H$2,'11年度'!$B$6:$GI$50,9,0)/1000,0),"-")</f>
        <v>-</v>
      </c>
      <c r="Q11" s="269" t="str">
        <f>IFERROR(ROUND(VLOOKUP($H$2,'12年度'!$B$6:$GI$50,9,0)/1000,0),"-")</f>
        <v>-</v>
      </c>
      <c r="R11" s="269" t="str">
        <f>IFERROR(ROUND(VLOOKUP($H$2,'13年度'!$B$6:$GI$50,9,0)/1000,0),"-")</f>
        <v>-</v>
      </c>
      <c r="S11" s="269" t="str">
        <f>IFERROR(ROUND(VLOOKUP($H$2,'14年度'!$B$6:$GI$50,9,0)/1000,0),"-")</f>
        <v>-</v>
      </c>
      <c r="T11" s="278" t="str">
        <f>IFERROR(ROUND(VLOOKUP($H$2,'15年度'!$B$6:$GI$50,9,0)/1000,0),"-")</f>
        <v>-</v>
      </c>
      <c r="U11" s="269" t="str">
        <f>IFERROR(ROUND(VLOOKUP($H$2,'16年度'!$B$6:$GI$50,9,0)/1000,0),"-")</f>
        <v>-</v>
      </c>
      <c r="V11" s="279" t="str">
        <f>IFERROR(ROUND(VLOOKUP($H$2,'17年度'!$B$6:$GI$50,9,0)/1000,0),"-")</f>
        <v>-</v>
      </c>
      <c r="W11" s="278" t="str">
        <f>IFERROR(ROUND(VLOOKUP($H$2,'18年度'!$B$6:$GI$50,9,0)/1000,0),"-")</f>
        <v>-</v>
      </c>
      <c r="X11" s="278" t="str">
        <f>IFERROR(ROUND(VLOOKUP($H$2,'19年度'!$B$6:$GI$50,9,0)/1000,0),"-")</f>
        <v>-</v>
      </c>
      <c r="Y11" s="278" t="str">
        <f>IFERROR(ROUND(VLOOKUP($H$2,'20年度'!$B$6:$GI$50,9,0)/1000,0),"-")</f>
        <v>-</v>
      </c>
      <c r="Z11" s="278" t="str">
        <f>IFERROR(ROUND(VLOOKUP($H$2,'21年度'!$B$6:$GI$50,9,0)/1000,0),"-")</f>
        <v>-</v>
      </c>
      <c r="AA11" s="269" t="str">
        <f>IFERROR(ROUND(VLOOKUP($H$2,'22年度'!$B$6:$GI$50,9,0)/1000,0),"-")</f>
        <v>-</v>
      </c>
      <c r="AB11" s="279">
        <f>IFERROR(ROUND(VLOOKUP($H$2,'23年度'!$B$6:$GI$52,9,0)/1000,0),"-")</f>
        <v>658277</v>
      </c>
      <c r="AC11" s="278">
        <f>IFERROR(ROUND(VLOOKUP($H$2,'24年度'!$B$6:$GI$52,9,0)/1000,0),"-")</f>
        <v>628026</v>
      </c>
      <c r="AD11" s="278">
        <f>IFERROR(ROUND(VLOOKUP($H$2,'25年度'!$B$6:$GI$52,9,0)/1000,0),"-")</f>
        <v>633230</v>
      </c>
      <c r="AE11" s="278">
        <f>IFERROR(ROUND(VLOOKUP($H$2,'26年度'!$B$6:$GI$52,9,0)/1000,0),"-")</f>
        <v>638823</v>
      </c>
      <c r="AF11" s="269">
        <f>IFERROR(ROUND(VLOOKUP($H$2,'27年度'!$B$6:$GI$52,9,0)/1000,0),"-")</f>
        <v>636528</v>
      </c>
      <c r="AG11" s="269">
        <f>IFERROR(ROUND(VLOOKUP($H$2,'28年度'!$B$6:$GI$52,9,0)/1000,0),"-")</f>
        <v>644968</v>
      </c>
      <c r="AH11" s="279">
        <f>IFERROR(ROUND(VLOOKUP($H$2,'29年度'!$B$6:$GI$52,9,0)/1000,0),"-")</f>
        <v>650929</v>
      </c>
      <c r="AI11" s="278">
        <f>IFERROR(ROUND(VLOOKUP($H$2,'30年度'!$B$6:$GI$52,9,0)/1000,0),"-")</f>
        <v>655201</v>
      </c>
      <c r="AJ11" s="269">
        <f>IFERROR(ROUND(VLOOKUP($H$2,'R1年度'!$B$6:$GJ$52,9,0)/1000,0),"-")</f>
        <v>672438</v>
      </c>
      <c r="AK11" s="269">
        <f>IFERROR(ROUND(VLOOKUP($H$2,'R2年度'!$B$6:$GJ$52,9,0)/1000,0),"-")</f>
        <v>676641</v>
      </c>
      <c r="AL11" s="279">
        <f>IFERROR(ROUND(VLOOKUP($H$2,'R3年度'!$B$6:$GJ$52,9,0)/1000,0),"-")</f>
        <v>684262</v>
      </c>
      <c r="AM11" s="278">
        <f>IFERROR(ROUND(VLOOKUP($H$2,'R4年度'!$B$6:$GJ$52,9,0)/1000,0),"-")</f>
        <v>701932</v>
      </c>
      <c r="AN11" s="280">
        <f>IFERROR(ROUND(VLOOKUP($H$2,'R5年度'!$B$6:$GJ$52,9,0)/1000,0),"-")</f>
        <v>720079</v>
      </c>
      <c r="AO11" s="280">
        <f>IFERROR(ROUND(VLOOKUP($H$2,'R6年度'!$B$6:$GK$52,9,0)/1000,0),"-")</f>
        <v>733774</v>
      </c>
    </row>
    <row r="12" spans="1:41" ht="15" customHeight="1" x14ac:dyDescent="0.15">
      <c r="A12" s="17"/>
      <c r="B12" s="509"/>
      <c r="C12" s="532"/>
      <c r="D12" s="168"/>
      <c r="E12" s="6" t="s">
        <v>267</v>
      </c>
      <c r="F12" s="274" t="str">
        <f>IFERROR(ROUND(VLOOKUP($H$2,'1年度'!$B$6:$GI$50,10,0)/1000,0),"-")</f>
        <v>-</v>
      </c>
      <c r="G12" s="274" t="str">
        <f>IFERROR(ROUND(VLOOKUP($H$2,'2年度'!$B$6:$GI$50,10,0)/1000,0),"-")</f>
        <v>-</v>
      </c>
      <c r="H12" s="274" t="str">
        <f>IFERROR(ROUND(VLOOKUP($H$2,'3年度'!$B$6:$GI$50,10,0)/1000,0),"-")</f>
        <v>-</v>
      </c>
      <c r="I12" s="274" t="str">
        <f>IFERROR(ROUND(VLOOKUP($H$2,'4年度'!$B$6:$GI$50,10,0)/1000,0),"-")</f>
        <v>-</v>
      </c>
      <c r="J12" s="274" t="str">
        <f>IFERROR(ROUND(VLOOKUP($H$2,'5年度'!$B$6:$GI$50,10,0)/1000,0),"-")</f>
        <v>-</v>
      </c>
      <c r="K12" s="274" t="str">
        <f>IFERROR(ROUND(VLOOKUP($H$2,'6年度'!$B$6:$GI$50,10,0)/1000,0),"-")</f>
        <v>-</v>
      </c>
      <c r="L12" s="274" t="str">
        <f>IFERROR(ROUND(VLOOKUP($H$2,'7年度'!$B$6:$GI$50,10,0)/1000,0),"-")</f>
        <v>-</v>
      </c>
      <c r="M12" s="274" t="str">
        <f>IFERROR(ROUND(VLOOKUP($H$2,'8年度'!$B$6:$GI$50,10,0)/1000,0),"-")</f>
        <v>-</v>
      </c>
      <c r="N12" s="274" t="str">
        <f>IFERROR(ROUND(VLOOKUP($H$2,'9年度'!$B$6:$GI$50,10,0)/1000,0),"-")</f>
        <v>-</v>
      </c>
      <c r="O12" s="274" t="str">
        <f>IFERROR(ROUND(VLOOKUP($H$2,'10年度'!$B$6:$GI$50,10,0)/1000,0),"-")</f>
        <v>-</v>
      </c>
      <c r="P12" s="274" t="str">
        <f>IFERROR(ROUND(VLOOKUP($H$2,'11年度'!$B$6:$GI$50,10,0)/1000,0),"-")</f>
        <v>-</v>
      </c>
      <c r="Q12" s="274" t="str">
        <f>IFERROR(ROUND(VLOOKUP($H$2,'12年度'!$B$6:$GI$50,10,0)/1000,0),"-")</f>
        <v>-</v>
      </c>
      <c r="R12" s="274" t="str">
        <f>IFERROR(ROUND(VLOOKUP($H$2,'13年度'!$B$6:$GI$50,10,0)/1000,0),"-")</f>
        <v>-</v>
      </c>
      <c r="S12" s="274" t="str">
        <f>IFERROR(ROUND(VLOOKUP($H$2,'14年度'!$B$6:$GI$50,10,0)/1000,0),"-")</f>
        <v>-</v>
      </c>
      <c r="T12" s="275" t="str">
        <f>IFERROR(ROUND(VLOOKUP($H$2,'15年度'!$B$6:$GI$50,10,0)/1000,0),"-")</f>
        <v>-</v>
      </c>
      <c r="U12" s="274" t="str">
        <f>IFERROR(ROUND(VLOOKUP($H$2,'16年度'!$B$6:$GI$50,10,0)/1000,0),"-")</f>
        <v>-</v>
      </c>
      <c r="V12" s="276" t="str">
        <f>IFERROR(ROUND(VLOOKUP($H$2,'17年度'!$B$6:$GI$50,10,0)/1000,0),"-")</f>
        <v>-</v>
      </c>
      <c r="W12" s="275" t="str">
        <f>IFERROR(ROUND(VLOOKUP($H$2,'18年度'!$B$6:$GI$50,10,0)/1000,0),"-")</f>
        <v>-</v>
      </c>
      <c r="X12" s="275" t="str">
        <f>IFERROR(ROUND(VLOOKUP($H$2,'19年度'!$B$6:$GI$50,10,0)/1000,0),"-")</f>
        <v>-</v>
      </c>
      <c r="Y12" s="275" t="str">
        <f>IFERROR(ROUND(VLOOKUP($H$2,'20年度'!$B$6:$GI$50,10,0)/1000,0),"-")</f>
        <v>-</v>
      </c>
      <c r="Z12" s="275" t="str">
        <f>IFERROR(ROUND(VLOOKUP($H$2,'21年度'!$B$6:$GI$50,10,0)/1000,0),"-")</f>
        <v>-</v>
      </c>
      <c r="AA12" s="274" t="str">
        <f>IFERROR(ROUND(VLOOKUP($H$2,'22年度'!$B$6:$GI$50,10,0)/1000,0),"-")</f>
        <v>-</v>
      </c>
      <c r="AB12" s="276">
        <f>IFERROR(ROUND(VLOOKUP($H$2,'23年度'!$B$6:$GI$52,10,0)/1000,0),"-")</f>
        <v>266533</v>
      </c>
      <c r="AC12" s="275">
        <f>IFERROR(ROUND(VLOOKUP($H$2,'24年度'!$B$6:$GI$52,10,0)/1000,0),"-")</f>
        <v>261319</v>
      </c>
      <c r="AD12" s="275">
        <f>IFERROR(ROUND(VLOOKUP($H$2,'25年度'!$B$6:$GI$52,10,0)/1000,0),"-")</f>
        <v>259591</v>
      </c>
      <c r="AE12" s="275">
        <f>IFERROR(ROUND(VLOOKUP($H$2,'26年度'!$B$6:$GI$52,10,0)/1000,0),"-")</f>
        <v>258519</v>
      </c>
      <c r="AF12" s="274">
        <f>IFERROR(ROUND(VLOOKUP($H$2,'27年度'!$B$6:$GI$52,10,0)/1000,0),"-")</f>
        <v>258174</v>
      </c>
      <c r="AG12" s="274">
        <f>IFERROR(ROUND(VLOOKUP($H$2,'28年度'!$B$6:$GI$52,10,0)/1000,0),"-")</f>
        <v>258390</v>
      </c>
      <c r="AH12" s="276">
        <f>IFERROR(ROUND(VLOOKUP($H$2,'29年度'!$B$6:$GI$52,10,0)/1000,0),"-")</f>
        <v>258172</v>
      </c>
      <c r="AI12" s="275">
        <f>IFERROR(ROUND(VLOOKUP($H$2,'30年度'!$B$6:$GI$52,10,0)/1000,0),"-")</f>
        <v>263236</v>
      </c>
      <c r="AJ12" s="274">
        <f>IFERROR(ROUND(VLOOKUP($H$2,'R1年度'!$B$6:$GJ$52,10,0)/1000,0),"-")</f>
        <v>267483</v>
      </c>
      <c r="AK12" s="274">
        <f>IFERROR(ROUND(VLOOKUP($H$2,'R2年度'!$B$6:$GJ$52,10,0)/1000,0),"-")</f>
        <v>267081</v>
      </c>
      <c r="AL12" s="276">
        <f>IFERROR(ROUND(VLOOKUP($H$2,'R3年度'!$B$6:$GJ$52,10,0)/1000,0),"-")</f>
        <v>274035</v>
      </c>
      <c r="AM12" s="275">
        <f>IFERROR(ROUND(VLOOKUP($H$2,'R4年度'!$B$6:$GJ$52,10,0)/1000,0),"-")</f>
        <v>275366</v>
      </c>
      <c r="AN12" s="277">
        <f>IFERROR(ROUND(VLOOKUP($H$2,'R5年度'!$B$6:$GJ$52,10,0)/1000,0),"-")</f>
        <v>284050</v>
      </c>
      <c r="AO12" s="277">
        <f>IFERROR(ROUND(VLOOKUP($H$2,'R6年度'!$B$6:$GK$52,10,0)/1000,0),"-")</f>
        <v>294682</v>
      </c>
    </row>
    <row r="13" spans="1:41" ht="15" customHeight="1" x14ac:dyDescent="0.15">
      <c r="A13" s="17"/>
      <c r="B13" s="509"/>
      <c r="C13" s="533"/>
      <c r="D13" s="170"/>
      <c r="E13" s="169" t="s">
        <v>268</v>
      </c>
      <c r="F13" s="270" t="str">
        <f>IFERROR(ROUND(VLOOKUP($H$2,'1年度'!$B$6:$GI$50,11,0)/1000,0),"-")</f>
        <v>-</v>
      </c>
      <c r="G13" s="270" t="str">
        <f>IFERROR(ROUND(VLOOKUP($H$2,'2年度'!$B$6:$GI$50,11,0)/1000,0),"-")</f>
        <v>-</v>
      </c>
      <c r="H13" s="270" t="str">
        <f>IFERROR(ROUND(VLOOKUP($H$2,'3年度'!$B$6:$GI$50,11,0)/1000,0),"-")</f>
        <v>-</v>
      </c>
      <c r="I13" s="270" t="str">
        <f>IFERROR(ROUND(VLOOKUP($H$2,'4年度'!$B$6:$GI$50,11,0)/1000,0),"-")</f>
        <v>-</v>
      </c>
      <c r="J13" s="270" t="str">
        <f>IFERROR(ROUND(VLOOKUP($H$2,'5年度'!$B$6:$GI$50,11,0)/1000,0),"-")</f>
        <v>-</v>
      </c>
      <c r="K13" s="270" t="str">
        <f>IFERROR(ROUND(VLOOKUP($H$2,'6年度'!$B$6:$GI$50,11,0)/1000,0),"-")</f>
        <v>-</v>
      </c>
      <c r="L13" s="270" t="str">
        <f>IFERROR(ROUND(VLOOKUP($H$2,'7年度'!$B$6:$GI$50,11,0)/1000,0),"-")</f>
        <v>-</v>
      </c>
      <c r="M13" s="270" t="str">
        <f>IFERROR(ROUND(VLOOKUP($H$2,'8年度'!$B$6:$GI$50,11,0)/1000,0),"-")</f>
        <v>-</v>
      </c>
      <c r="N13" s="270" t="str">
        <f>IFERROR(ROUND(VLOOKUP($H$2,'9年度'!$B$6:$GI$50,11,0)/1000,0),"-")</f>
        <v>-</v>
      </c>
      <c r="O13" s="270" t="str">
        <f>IFERROR(ROUND(VLOOKUP($H$2,'10年度'!$B$6:$GI$50,11,0)/1000,0),"-")</f>
        <v>-</v>
      </c>
      <c r="P13" s="270" t="str">
        <f>IFERROR(ROUND(VLOOKUP($H$2,'11年度'!$B$6:$GI$50,11,0)/1000,0),"-")</f>
        <v>-</v>
      </c>
      <c r="Q13" s="270" t="str">
        <f>IFERROR(ROUND(VLOOKUP($H$2,'12年度'!$B$6:$GI$50,11,0)/1000,0),"-")</f>
        <v>-</v>
      </c>
      <c r="R13" s="270" t="str">
        <f>IFERROR(ROUND(VLOOKUP($H$2,'13年度'!$B$6:$GI$50,11,0)/1000,0),"-")</f>
        <v>-</v>
      </c>
      <c r="S13" s="270" t="str">
        <f>IFERROR(ROUND(VLOOKUP($H$2,'14年度'!$B$6:$GI$50,11,0)/1000,0),"-")</f>
        <v>-</v>
      </c>
      <c r="T13" s="271" t="str">
        <f>IFERROR(ROUND(VLOOKUP($H$2,'15年度'!$B$6:$GI$50,11,0)/1000,0),"-")</f>
        <v>-</v>
      </c>
      <c r="U13" s="270" t="str">
        <f>IFERROR(ROUND(VLOOKUP($H$2,'16年度'!$B$6:$GI$50,11,0)/1000,0),"-")</f>
        <v>-</v>
      </c>
      <c r="V13" s="272" t="str">
        <f>IFERROR(ROUND(VLOOKUP($H$2,'17年度'!$B$6:$GI$50,11,0)/1000,0),"-")</f>
        <v>-</v>
      </c>
      <c r="W13" s="271" t="str">
        <f>IFERROR(ROUND(VLOOKUP($H$2,'18年度'!$B$6:$GI$50,11,0)/1000,0),"-")</f>
        <v>-</v>
      </c>
      <c r="X13" s="271" t="str">
        <f>IFERROR(ROUND(VLOOKUP($H$2,'19年度'!$B$6:$GI$50,11,0)/1000,0),"-")</f>
        <v>-</v>
      </c>
      <c r="Y13" s="271" t="str">
        <f>IFERROR(ROUND(VLOOKUP($H$2,'20年度'!$B$6:$GI$50,11,0)/1000,0),"-")</f>
        <v>-</v>
      </c>
      <c r="Z13" s="271" t="str">
        <f>IFERROR(ROUND(VLOOKUP($H$2,'21年度'!$B$6:$GI$50,11,0)/1000,0),"-")</f>
        <v>-</v>
      </c>
      <c r="AA13" s="270" t="str">
        <f>IFERROR(ROUND(VLOOKUP($H$2,'22年度'!$B$6:$GI$50,11,0)/1000,0),"-")</f>
        <v>-</v>
      </c>
      <c r="AB13" s="272">
        <f>IFERROR(ROUND(VLOOKUP($H$2,'23年度'!$B$6:$GI$52,11,0)/1000,0),"-")</f>
        <v>295459</v>
      </c>
      <c r="AC13" s="271">
        <f>IFERROR(ROUND(VLOOKUP($H$2,'24年度'!$B$6:$GI$52,11,0)/1000,0),"-")</f>
        <v>272239</v>
      </c>
      <c r="AD13" s="271">
        <f>IFERROR(ROUND(VLOOKUP($H$2,'25年度'!$B$6:$GI$52,11,0)/1000,0),"-")</f>
        <v>279463</v>
      </c>
      <c r="AE13" s="271">
        <f>IFERROR(ROUND(VLOOKUP($H$2,'26年度'!$B$6:$GI$52,11,0)/1000,0),"-")</f>
        <v>286837</v>
      </c>
      <c r="AF13" s="270">
        <f>IFERROR(ROUND(VLOOKUP($H$2,'27年度'!$B$6:$GI$52,11,0)/1000,0),"-")</f>
        <v>284494</v>
      </c>
      <c r="AG13" s="270">
        <f>IFERROR(ROUND(VLOOKUP($H$2,'28年度'!$B$6:$GI$52,11,0)/1000,0),"-")</f>
        <v>291594</v>
      </c>
      <c r="AH13" s="272">
        <f>IFERROR(ROUND(VLOOKUP($H$2,'29年度'!$B$6:$GI$52,11,0)/1000,0),"-")</f>
        <v>297960</v>
      </c>
      <c r="AI13" s="271">
        <f>IFERROR(ROUND(VLOOKUP($H$2,'30年度'!$B$6:$GI$52,11,0)/1000,0),"-")</f>
        <v>296705</v>
      </c>
      <c r="AJ13" s="270">
        <f>IFERROR(ROUND(VLOOKUP($H$2,'R1年度'!$B$6:$GJ$52,11,0)/1000,0),"-")</f>
        <v>306168</v>
      </c>
      <c r="AK13" s="270">
        <f>IFERROR(ROUND(VLOOKUP($H$2,'R2年度'!$B$6:$GJ$52,11,0)/1000,0),"-")</f>
        <v>310413</v>
      </c>
      <c r="AL13" s="272">
        <f>IFERROR(ROUND(VLOOKUP($H$2,'R3年度'!$B$6:$GJ$52,11,0)/1000,0),"-")</f>
        <v>307296</v>
      </c>
      <c r="AM13" s="271">
        <f>IFERROR(ROUND(VLOOKUP($H$2,'R4年度'!$B$6:$GJ$52,11,0)/1000,0),"-")</f>
        <v>321967</v>
      </c>
      <c r="AN13" s="273">
        <f>IFERROR(ROUND(VLOOKUP($H$2,'R5年度'!$B$6:$GJ$52,11,0)/1000,0),"-")</f>
        <v>329632</v>
      </c>
      <c r="AO13" s="273">
        <f>IFERROR(ROUND(VLOOKUP($H$2,'R6年度'!$B$6:$GK$52,11,0)/1000,0),"-")</f>
        <v>331139</v>
      </c>
    </row>
    <row r="14" spans="1:41" ht="15" customHeight="1" x14ac:dyDescent="0.15">
      <c r="A14" s="17"/>
      <c r="B14" s="509"/>
      <c r="C14" s="506" t="s">
        <v>269</v>
      </c>
      <c r="D14" s="507"/>
      <c r="E14" s="479"/>
      <c r="F14" s="281" t="str">
        <f>IFERROR(ROUND((VLOOKUP($H$2,'1年度'!$B$6:$GI$50,17,0)+VLOOKUP($H$2,'1年度'!$B$6:$GI$50,19,0)+VLOOKUP($H$2,'1年度'!$B$6:$GI$50,27,0))/1000,0),"-")</f>
        <v>-</v>
      </c>
      <c r="G14" s="281" t="str">
        <f>IFERROR(ROUND((VLOOKUP($H$2,'2年度'!$B$6:$GI$50,17,0)+VLOOKUP($H$2,'2年度'!$B$6:$GI$50,19,0)+VLOOKUP($H$2,'2年度'!$B$6:$GI$50,27,0))/1000,0),"-")</f>
        <v>-</v>
      </c>
      <c r="H14" s="281" t="str">
        <f>IFERROR(ROUND((VLOOKUP($H$2,'3年度'!$B$6:$GI$50,17,0)+VLOOKUP($H$2,'3年度'!$B$6:$GI$50,19,0)+VLOOKUP($H$2,'3年度'!$B$6:$GI$50,27,0))/1000,0),"-")</f>
        <v>-</v>
      </c>
      <c r="I14" s="281" t="str">
        <f>IFERROR(ROUND((VLOOKUP($H$2,'4年度'!$B$6:$GI$50,17,0)+VLOOKUP($H$2,'4年度'!$B$6:$GI$50,19,0)+VLOOKUP($H$2,'4年度'!$B$6:$GI$50,27,0))/1000,0),"-")</f>
        <v>-</v>
      </c>
      <c r="J14" s="281" t="str">
        <f>IFERROR(ROUND((VLOOKUP($H$2,'5年度'!$B$6:$GI$50,17,0)+VLOOKUP($H$2,'5年度'!$B$6:$GI$50,19,0)+VLOOKUP($H$2,'5年度'!$B$6:$GI$50,27,0))/1000,0),"-")</f>
        <v>-</v>
      </c>
      <c r="K14" s="281" t="str">
        <f>IFERROR(ROUND((VLOOKUP($H$2,'6年度'!$B$6:$GI$50,17,0)+VLOOKUP($H$2,'6年度'!$B$6:$GI$50,19,0)+VLOOKUP($H$2,'6年度'!$B$6:$GI$50,27,0))/1000,0),"-")</f>
        <v>-</v>
      </c>
      <c r="L14" s="281" t="str">
        <f>IFERROR(ROUND((VLOOKUP($H$2,'7年度'!$B$6:$GI$50,17,0)+VLOOKUP($H$2,'7年度'!$B$6:$GI$50,19,0)+VLOOKUP($H$2,'7年度'!$B$6:$GI$50,27,0))/1000,0),"-")</f>
        <v>-</v>
      </c>
      <c r="M14" s="281" t="str">
        <f>IFERROR(ROUND((VLOOKUP($H$2,'8年度'!$B$6:$GI$50,17,0)+VLOOKUP($H$2,'8年度'!$B$6:$GI$50,19,0)+VLOOKUP($H$2,'8年度'!$B$6:$GI$50,27,0))/1000,0),"-")</f>
        <v>-</v>
      </c>
      <c r="N14" s="281" t="str">
        <f>IFERROR(ROUND((VLOOKUP($H$2,'9年度'!$B$6:$GI$50,17,0)+VLOOKUP($H$2,'9年度'!$B$6:$GI$50,19,0)+VLOOKUP($H$2,'9年度'!$B$6:$GI$50,27,0))/1000,0),"-")</f>
        <v>-</v>
      </c>
      <c r="O14" s="281" t="str">
        <f>IFERROR(ROUND((VLOOKUP($H$2,'10年度'!$B$6:$GI$50,17,0)+VLOOKUP($H$2,'10年度'!$B$6:$GI$50,19,0)+VLOOKUP($H$2,'10年度'!$B$6:$GI$50,27,0))/1000,0),"-")</f>
        <v>-</v>
      </c>
      <c r="P14" s="281" t="str">
        <f>IFERROR(ROUND((VLOOKUP($H$2,'11年度'!$B$6:$GI$50,17,0)+VLOOKUP($H$2,'11年度'!$B$6:$GI$50,19,0)+VLOOKUP($H$2,'11年度'!$B$6:$GI$50,27,0))/1000,0),"-")</f>
        <v>-</v>
      </c>
      <c r="Q14" s="281" t="str">
        <f>IFERROR(ROUND((VLOOKUP($H$2,'12年度'!$B$6:$GI$50,17,0)+VLOOKUP($H$2,'12年度'!$B$6:$GI$50,19,0)+VLOOKUP($H$2,'12年度'!$B$6:$GI$50,27,0))/1000,0),"-")</f>
        <v>-</v>
      </c>
      <c r="R14" s="281" t="str">
        <f>IFERROR(ROUND((VLOOKUP($H$2,'13年度'!$B$6:$GI$50,17,0)+VLOOKUP($H$2,'13年度'!$B$6:$GI$50,19,0)+VLOOKUP($H$2,'13年度'!$B$6:$GI$50,27,0))/1000,0),"-")</f>
        <v>-</v>
      </c>
      <c r="S14" s="281" t="str">
        <f>IFERROR(ROUND((VLOOKUP($H$2,'14年度'!$B$6:$GI$50,17,0)+VLOOKUP($H$2,'14年度'!$B$6:$GI$50,19,0)+VLOOKUP($H$2,'14年度'!$B$6:$GI$50,27,0))/1000,0),"-")</f>
        <v>-</v>
      </c>
      <c r="T14" s="282" t="str">
        <f>IFERROR(ROUND((VLOOKUP($H$2,'15年度'!$B$6:$GI$50,17,0)+VLOOKUP($H$2,'15年度'!$B$6:$GI$50,19,0)+VLOOKUP($H$2,'15年度'!$B$6:$GI$50,27,0))/1000,0),"-")</f>
        <v>-</v>
      </c>
      <c r="U14" s="281" t="str">
        <f>IFERROR(ROUND((VLOOKUP($H$2,'16年度'!$B$6:$GI$50,17,0)+VLOOKUP($H$2,'16年度'!$B$6:$GI$50,19,0)+VLOOKUP($H$2,'16年度'!$B$6:$GI$50,27,0))/1000,0),"-")</f>
        <v>-</v>
      </c>
      <c r="V14" s="283" t="str">
        <f>IFERROR(ROUND((VLOOKUP($H$2,'17年度'!$B$6:$GI$50,17,0)+VLOOKUP($H$2,'17年度'!$B$6:$GI$50,19,0)+VLOOKUP($H$2,'17年度'!$B$6:$GI$50,27,0))/1000,0),"-")</f>
        <v>-</v>
      </c>
      <c r="W14" s="282" t="str">
        <f>IFERROR(ROUND((VLOOKUP($H$2,'18年度'!$B$6:$GI$50,17,0)+VLOOKUP($H$2,'18年度'!$B$6:$GI$50,19,0)+VLOOKUP($H$2,'18年度'!$B$6:$GI$50,27,0))/1000,0),"-")</f>
        <v>-</v>
      </c>
      <c r="X14" s="282" t="str">
        <f>IFERROR(ROUND((VLOOKUP($H$2,'19年度'!$B$6:$GI$50,17,0)+VLOOKUP($H$2,'19年度'!$B$6:$GI$50,19,0)+VLOOKUP($H$2,'19年度'!$B$6:$GI$50,27,0))/1000,0),"-")</f>
        <v>-</v>
      </c>
      <c r="Y14" s="282" t="str">
        <f>IFERROR(ROUND((VLOOKUP($H$2,'20年度'!$B$6:$GI$50,17,0)+VLOOKUP($H$2,'20年度'!$B$6:$GI$50,19,0)+VLOOKUP($H$2,'20年度'!$B$6:$GI$50,27,0))/1000,0),"-")</f>
        <v>-</v>
      </c>
      <c r="Z14" s="282" t="str">
        <f>IFERROR(ROUND((VLOOKUP($H$2,'21年度'!$B$6:$GI$50,17,0)+VLOOKUP($H$2,'21年度'!$B$6:$GI$50,19,0)+VLOOKUP($H$2,'21年度'!$B$6:$GI$50,27,0))/1000,0),"-")</f>
        <v>-</v>
      </c>
      <c r="AA14" s="281" t="str">
        <f>IFERROR(ROUND((VLOOKUP($H$2,'22年度'!$B$6:$GI$50,17,0)+VLOOKUP($H$2,'22年度'!$B$6:$GI$50,19,0)+VLOOKUP($H$2,'22年度'!$B$6:$GI$50,27,0))/1000,0),"-")</f>
        <v>-</v>
      </c>
      <c r="AB14" s="283">
        <f>IFERROR(ROUND((VLOOKUP($H$2,'23年度'!$B$6:$GI$52,17,0)+VLOOKUP($H$2,'23年度'!$B$6:$GI$52,19,0)+VLOOKUP($H$2,'23年度'!$B$6:$GI$52,27,0))/1000,0),"-")</f>
        <v>150923</v>
      </c>
      <c r="AC14" s="282">
        <f>IFERROR(ROUND((VLOOKUP($H$2,'24年度'!$B$6:$GI$52,17,0)+VLOOKUP($H$2,'24年度'!$B$6:$GI$52,19,0)+VLOOKUP($H$2,'24年度'!$B$6:$GI$52,27,0))/1000,0),"-")</f>
        <v>141709</v>
      </c>
      <c r="AD14" s="282">
        <f>IFERROR(ROUND((VLOOKUP($H$2,'25年度'!$B$6:$GI$52,17,0)+VLOOKUP($H$2,'25年度'!$B$6:$GI$52,19,0)+VLOOKUP($H$2,'25年度'!$B$6:$GI$52,27,0))/1000,0),"-")</f>
        <v>151971</v>
      </c>
      <c r="AE14" s="282">
        <f>IFERROR(ROUND((VLOOKUP($H$2,'26年度'!$B$6:$GI$52,17,0)+VLOOKUP($H$2,'26年度'!$B$6:$GI$52,19,0)+VLOOKUP($H$2,'26年度'!$B$6:$GI$52,27,0))/1000,0),"-")</f>
        <v>166937</v>
      </c>
      <c r="AF14" s="281">
        <f>IFERROR(ROUND((VLOOKUP($H$2,'27年度'!$B$6:$GI$52,17,0)+VLOOKUP($H$2,'27年度'!$B$6:$GI$52,19,0)+VLOOKUP($H$2,'27年度'!$B$6:$GI$52,27,0))/1000,0),"-")</f>
        <v>241183</v>
      </c>
      <c r="AG14" s="281">
        <f>IFERROR(ROUND((VLOOKUP($H$2,'28年度'!$B$6:$GI$52,17,0)+VLOOKUP($H$2,'28年度'!$B$6:$GI$52,19,0)+VLOOKUP($H$2,'28年度'!$B$6:$GI$52,27,0))/1000,0),"-")</f>
        <v>210158</v>
      </c>
      <c r="AH14" s="283">
        <f>IFERROR(ROUND((VLOOKUP($H$2,'29年度'!$B$6:$GI$52,17,0)+VLOOKUP($H$2,'29年度'!$B$6:$GI$52,19,0)+VLOOKUP($H$2,'29年度'!$B$6:$GI$52,27,0))/1000,0),"-")</f>
        <v>223604</v>
      </c>
      <c r="AI14" s="282">
        <f>IFERROR(ROUND((VLOOKUP($H$2,'30年度'!$B$6:$GI$52,17,0)+VLOOKUP($H$2,'30年度'!$B$6:$GI$52,19,0)+VLOOKUP($H$2,'30年度'!$B$6:$GI$52,27,0))/1000,0),"-")</f>
        <v>216407</v>
      </c>
      <c r="AJ14" s="281">
        <f>IFERROR(ROUND((VLOOKUP($H$2,'R1年度'!$B$6:$GJ$52,17,0)+VLOOKUP($H$2,'R1年度'!$B$6:$GJ$52,19,0)+VLOOKUP($H$2,'R1年度'!$B$6:$GJ$52,28,0))/1000,0),"-")</f>
        <v>217384</v>
      </c>
      <c r="AK14" s="281">
        <f>IFERROR(ROUND((VLOOKUP($H$2,'R2年度'!$B$6:$GJ$52,17,0)+VLOOKUP($H$2,'R2年度'!$B$6:$GJ$52,19,0)+VLOOKUP($H$2,'R2年度'!$B$6:$GJ$52,29,0))/1000,0),"-")</f>
        <v>255855</v>
      </c>
      <c r="AL14" s="283">
        <f>IFERROR(ROUND((VLOOKUP($H$2,'R3年度'!$B$6:$GJ$52,17,0)+VLOOKUP($H$2,'R3年度'!$B$6:$GJ$52,19,0)+VLOOKUP($H$2,'R3年度'!$B$6:$GJ$52,29,0))/1000,0),"-")</f>
        <v>312852</v>
      </c>
      <c r="AM14" s="282">
        <f>IFERROR(ROUND((VLOOKUP($H$2,'R4年度'!$B$6:$GJ$52,17,0)+VLOOKUP($H$2,'R4年度'!$B$6:$GJ$52,19,0)+VLOOKUP($H$2,'R4年度'!$B$6:$GJ$52,29,0))/1000,0),"-")</f>
        <v>303077</v>
      </c>
      <c r="AN14" s="284">
        <f>IFERROR(ROUND((VLOOKUP($H$2,'R5年度'!$B$6:$GJ$52,17,0)+VLOOKUP($H$2,'R5年度'!$B$6:$GJ$52,19,0)+VLOOKUP($H$2,'R5年度'!$B$6:$GJ$52,29,0))/1000,0),"-")</f>
        <v>309101</v>
      </c>
      <c r="AO14" s="284">
        <f>IFERROR(ROUND((VLOOKUP($H$2,'R6年度'!$B$6:$GK$52,17,0)+VLOOKUP($H$2,'R6年度'!$B$6:$GK$52,19,0)+VLOOKUP($H$2,'R6年度'!$B$6:$GK$52,29,0))/1000,0),"-")</f>
        <v>397054</v>
      </c>
    </row>
    <row r="15" spans="1:41" ht="15" customHeight="1" x14ac:dyDescent="0.15">
      <c r="A15" s="17"/>
      <c r="B15" s="509"/>
      <c r="C15" s="530" t="s">
        <v>160</v>
      </c>
      <c r="D15" s="490"/>
      <c r="E15" s="481"/>
      <c r="F15" s="269" t="str">
        <f>IFERROR(ROUND(VLOOKUP($H$2,'1年度'!$B$6:$GI$50,28,0)/1000,0),"-")</f>
        <v>-</v>
      </c>
      <c r="G15" s="269" t="str">
        <f>IFERROR(ROUND(VLOOKUP($H$2,'2年度'!$B$6:$GI$50,28,0)/1000,0),"-")</f>
        <v>-</v>
      </c>
      <c r="H15" s="269" t="str">
        <f>IFERROR(ROUND(VLOOKUP($H$2,'3年度'!$B$6:$GI$50,28,0)/1000,0),"-")</f>
        <v>-</v>
      </c>
      <c r="I15" s="269" t="str">
        <f>IFERROR(ROUND(VLOOKUP($H$2,'4年度'!$B$6:$GI$50,28,0)/1000,0),"-")</f>
        <v>-</v>
      </c>
      <c r="J15" s="269" t="str">
        <f>IFERROR(ROUND(VLOOKUP($H$2,'5年度'!$B$6:$GI$50,28,0)/1000,0),"-")</f>
        <v>-</v>
      </c>
      <c r="K15" s="269" t="str">
        <f>IFERROR(ROUND(VLOOKUP($H$2,'6年度'!$B$6:$GI$50,28,0)/1000,0),"-")</f>
        <v>-</v>
      </c>
      <c r="L15" s="269" t="str">
        <f>IFERROR(ROUND(VLOOKUP($H$2,'7年度'!$B$6:$GI$50,28,0)/1000,0),"-")</f>
        <v>-</v>
      </c>
      <c r="M15" s="269" t="str">
        <f>IFERROR(ROUND(VLOOKUP($H$2,'8年度'!$B$6:$GI$50,28,0)/1000,0),"-")</f>
        <v>-</v>
      </c>
      <c r="N15" s="269" t="str">
        <f>IFERROR(ROUND(VLOOKUP($H$2,'9年度'!$B$6:$GI$50,28,0)/1000,0),"-")</f>
        <v>-</v>
      </c>
      <c r="O15" s="269" t="str">
        <f>IFERROR(ROUND(VLOOKUP($H$2,'10年度'!$B$6:$GI$50,28,0)/1000,0),"-")</f>
        <v>-</v>
      </c>
      <c r="P15" s="269" t="str">
        <f>IFERROR(ROUND(VLOOKUP($H$2,'11年度'!$B$6:$GI$50,28,0)/1000,0),"-")</f>
        <v>-</v>
      </c>
      <c r="Q15" s="269" t="str">
        <f>IFERROR(ROUND(VLOOKUP($H$2,'12年度'!$B$6:$GI$50,28,0)/1000,0),"-")</f>
        <v>-</v>
      </c>
      <c r="R15" s="269" t="str">
        <f>IFERROR(ROUND(VLOOKUP($H$2,'13年度'!$B$6:$GI$50,28,0)/1000,0),"-")</f>
        <v>-</v>
      </c>
      <c r="S15" s="269" t="str">
        <f>IFERROR(ROUND(VLOOKUP($H$2,'14年度'!$B$6:$GI$50,28,0)/1000,0),"-")</f>
        <v>-</v>
      </c>
      <c r="T15" s="278" t="str">
        <f>IFERROR(ROUND(VLOOKUP($H$2,'15年度'!$B$6:$GI$50,28,0)/1000,0),"-")</f>
        <v>-</v>
      </c>
      <c r="U15" s="269" t="str">
        <f>IFERROR(ROUND(VLOOKUP($H$2,'16年度'!$B$6:$GI$50,28,0)/1000,0),"-")</f>
        <v>-</v>
      </c>
      <c r="V15" s="279" t="str">
        <f>IFERROR(ROUND(VLOOKUP($H$2,'17年度'!$B$6:$GI$50,28,0)/1000,0),"-")</f>
        <v>-</v>
      </c>
      <c r="W15" s="278" t="str">
        <f>IFERROR(ROUND(VLOOKUP($H$2,'18年度'!$B$6:$GI$50,28,0)/1000,0),"-")</f>
        <v>-</v>
      </c>
      <c r="X15" s="278" t="str">
        <f>IFERROR(ROUND(VLOOKUP($H$2,'19年度'!$B$6:$GI$50,28,0)/1000,0),"-")</f>
        <v>-</v>
      </c>
      <c r="Y15" s="278" t="str">
        <f>IFERROR(ROUND(VLOOKUP($H$2,'20年度'!$B$6:$GI$50,28,0)/1000,0),"-")</f>
        <v>-</v>
      </c>
      <c r="Z15" s="278" t="str">
        <f>IFERROR(ROUND(VLOOKUP($H$2,'21年度'!$B$6:$GI$50,28,0)/1000,0),"-")</f>
        <v>-</v>
      </c>
      <c r="AA15" s="269" t="str">
        <f>IFERROR(ROUND(VLOOKUP($H$2,'22年度'!$B$6:$GI$50,28,0)/1000,0),"-")</f>
        <v>-</v>
      </c>
      <c r="AB15" s="279">
        <f>IFERROR(ROUND(VLOOKUP($H$2,'23年度'!$B$6:$GI$52,28,0)/1000,0),"-")</f>
        <v>278103</v>
      </c>
      <c r="AC15" s="278">
        <f>IFERROR(ROUND(VLOOKUP($H$2,'24年度'!$B$6:$GI$52,28,0)/1000,0),"-")</f>
        <v>289918</v>
      </c>
      <c r="AD15" s="278">
        <f>IFERROR(ROUND(VLOOKUP($H$2,'25年度'!$B$6:$GI$52,28,0)/1000,0),"-")</f>
        <v>276869</v>
      </c>
      <c r="AE15" s="278">
        <f>IFERROR(ROUND(VLOOKUP($H$2,'26年度'!$B$6:$GI$52,28,0)/1000,0),"-")</f>
        <v>266788</v>
      </c>
      <c r="AF15" s="269">
        <f>IFERROR(ROUND(VLOOKUP($H$2,'27年度'!$B$6:$GI$52,28,0)/1000,0),"-")</f>
        <v>265551</v>
      </c>
      <c r="AG15" s="269">
        <f>IFERROR(ROUND(VLOOKUP($H$2,'28年度'!$B$6:$GI$52,28,0)/1000,0),"-")</f>
        <v>247075</v>
      </c>
      <c r="AH15" s="279">
        <f>IFERROR(ROUND(VLOOKUP($H$2,'29年度'!$B$6:$GI$52,28,0)/1000,0),"-")</f>
        <v>276326</v>
      </c>
      <c r="AI15" s="278">
        <f>IFERROR(ROUND(VLOOKUP($H$2,'30年度'!$B$6:$GI$52,28,0)/1000,0),"-")</f>
        <v>273690</v>
      </c>
      <c r="AJ15" s="269">
        <f>IFERROR(ROUND(VLOOKUP($H$2,'R1年度'!$B$6:$GJ$52,29,0)/1000,0),"-")</f>
        <v>287171</v>
      </c>
      <c r="AK15" s="269">
        <f>IFERROR(ROUND(VLOOKUP($H$2,'R2年度'!$B$6:$GJ$52,30,0)/1000,0),"-")</f>
        <v>277852</v>
      </c>
      <c r="AL15" s="279">
        <f>IFERROR(ROUND(VLOOKUP($H$2,'R3年度'!$B$6:$GJ$52,30,0)/1000,0),"-")</f>
        <v>377006</v>
      </c>
      <c r="AM15" s="278">
        <f>IFERROR(ROUND(VLOOKUP($H$2,'R4年度'!$B$6:$GJ$52,30,0)/1000,0),"-")</f>
        <v>353693</v>
      </c>
      <c r="AN15" s="280">
        <f>IFERROR(ROUND(VLOOKUP($H$2,'R5年度'!$B$6:$GJ$52,30,0)/1000,0),"-")</f>
        <v>370664</v>
      </c>
      <c r="AO15" s="280">
        <f>IFERROR(ROUND(VLOOKUP($H$2,'R6年度'!$B$6:$GK$52,30,0)/1000,0),"-")</f>
        <v>403376</v>
      </c>
    </row>
    <row r="16" spans="1:41" ht="15" customHeight="1" x14ac:dyDescent="0.15">
      <c r="A16" s="17"/>
      <c r="B16" s="509"/>
      <c r="C16" s="69"/>
      <c r="D16" s="525" t="s">
        <v>270</v>
      </c>
      <c r="E16" s="526"/>
      <c r="F16" s="285" t="str">
        <f>IFERROR(ROUND(VLOOKUP($H$2,'1年度'!$B$6:$GI$50,29,0)/1000,0),"-")</f>
        <v>-</v>
      </c>
      <c r="G16" s="285" t="str">
        <f>IFERROR(ROUND(VLOOKUP($H$2,'2年度'!$B$6:$GI$50,29,0)/1000,0),"-")</f>
        <v>-</v>
      </c>
      <c r="H16" s="285" t="str">
        <f>IFERROR(ROUND(VLOOKUP($H$2,'3年度'!$B$6:$GI$50,29,0)/1000,0),"-")</f>
        <v>-</v>
      </c>
      <c r="I16" s="285" t="str">
        <f>IFERROR(ROUND(VLOOKUP($H$2,'4年度'!$B$6:$GI$50,29,0)/1000,0),"-")</f>
        <v>-</v>
      </c>
      <c r="J16" s="285" t="str">
        <f>IFERROR(ROUND(VLOOKUP($H$2,'5年度'!$B$6:$GI$50,29,0)/1000,0),"-")</f>
        <v>-</v>
      </c>
      <c r="K16" s="285" t="str">
        <f>IFERROR(ROUND(VLOOKUP($H$2,'6年度'!$B$6:$GI$50,29,0)/1000,0),"-")</f>
        <v>-</v>
      </c>
      <c r="L16" s="285" t="str">
        <f>IFERROR(ROUND(VLOOKUP($H$2,'7年度'!$B$6:$GI$50,29,0)/1000,0),"-")</f>
        <v>-</v>
      </c>
      <c r="M16" s="285" t="str">
        <f>IFERROR(ROUND(VLOOKUP($H$2,'8年度'!$B$6:$GI$50,29,0)/1000,0),"-")</f>
        <v>-</v>
      </c>
      <c r="N16" s="285" t="str">
        <f>IFERROR(ROUND(VLOOKUP($H$2,'9年度'!$B$6:$GI$50,29,0)/1000,0),"-")</f>
        <v>-</v>
      </c>
      <c r="O16" s="285" t="str">
        <f>IFERROR(ROUND(VLOOKUP($H$2,'10年度'!$B$6:$GI$50,29,0)/1000,0),"-")</f>
        <v>-</v>
      </c>
      <c r="P16" s="285" t="str">
        <f>IFERROR(ROUND(VLOOKUP($H$2,'11年度'!$B$6:$GI$50,29,0)/1000,0),"-")</f>
        <v>-</v>
      </c>
      <c r="Q16" s="285" t="str">
        <f>IFERROR(ROUND(VLOOKUP($H$2,'12年度'!$B$6:$GI$50,29,0)/1000,0),"-")</f>
        <v>-</v>
      </c>
      <c r="R16" s="285" t="str">
        <f>IFERROR(ROUND(VLOOKUP($H$2,'13年度'!$B$6:$GI$50,29,0)/1000,0),"-")</f>
        <v>-</v>
      </c>
      <c r="S16" s="285" t="str">
        <f>IFERROR(ROUND(VLOOKUP($H$2,'14年度'!$B$6:$GI$50,29,0)/1000,0),"-")</f>
        <v>-</v>
      </c>
      <c r="T16" s="286" t="str">
        <f>IFERROR(ROUND(VLOOKUP($H$2,'15年度'!$B$6:$GI$50,29,0)/1000,0),"-")</f>
        <v>-</v>
      </c>
      <c r="U16" s="285" t="str">
        <f>IFERROR(ROUND(VLOOKUP($H$2,'16年度'!$B$6:$GI$50,29,0)/1000,0),"-")</f>
        <v>-</v>
      </c>
      <c r="V16" s="287" t="str">
        <f>IFERROR(ROUND(VLOOKUP($H$2,'17年度'!$B$6:$GI$50,29,0)/1000,0),"-")</f>
        <v>-</v>
      </c>
      <c r="W16" s="286" t="str">
        <f>IFERROR(ROUND(VLOOKUP($H$2,'18年度'!$B$6:$GI$50,29,0)/1000,0),"-")</f>
        <v>-</v>
      </c>
      <c r="X16" s="286" t="str">
        <f>IFERROR(ROUND(VLOOKUP($H$2,'19年度'!$B$6:$GI$50,29,0)/1000,0),"-")</f>
        <v>-</v>
      </c>
      <c r="Y16" s="286" t="str">
        <f>IFERROR(ROUND(VLOOKUP($H$2,'20年度'!$B$6:$GI$50,29,0)/1000,0),"-")</f>
        <v>-</v>
      </c>
      <c r="Z16" s="286" t="str">
        <f>IFERROR(ROUND(VLOOKUP($H$2,'21年度'!$B$6:$GI$50,29,0)/1000,0),"-")</f>
        <v>-</v>
      </c>
      <c r="AA16" s="285" t="str">
        <f>IFERROR(ROUND(VLOOKUP($H$2,'22年度'!$B$6:$GI$50,29,0)/1000,0),"-")</f>
        <v>-</v>
      </c>
      <c r="AB16" s="287">
        <f>IFERROR(ROUND(VLOOKUP($H$2,'23年度'!$B$6:$GI$52,29,0)/1000,0),"-")</f>
        <v>260904</v>
      </c>
      <c r="AC16" s="286">
        <f>IFERROR(ROUND(VLOOKUP($H$2,'24年度'!$B$6:$GI$52,29,0)/1000,0),"-")</f>
        <v>267997</v>
      </c>
      <c r="AD16" s="286">
        <f>IFERROR(ROUND(VLOOKUP($H$2,'25年度'!$B$6:$GI$52,29,0)/1000,0),"-")</f>
        <v>260405</v>
      </c>
      <c r="AE16" s="286">
        <f>IFERROR(ROUND(VLOOKUP($H$2,'26年度'!$B$6:$GI$52,29,0)/1000,0),"-")</f>
        <v>251193</v>
      </c>
      <c r="AF16" s="285">
        <f>IFERROR(ROUND(VLOOKUP($H$2,'27年度'!$B$6:$GI$52,29,0)/1000,0),"-")</f>
        <v>249946</v>
      </c>
      <c r="AG16" s="285">
        <f>IFERROR(ROUND(VLOOKUP($H$2,'28年度'!$B$6:$GI$52,29,0)/1000,0),"-")</f>
        <v>232494</v>
      </c>
      <c r="AH16" s="287">
        <f>IFERROR(ROUND(VLOOKUP($H$2,'29年度'!$B$6:$GI$52,29,0)/1000,0),"-")</f>
        <v>262620</v>
      </c>
      <c r="AI16" s="286">
        <f>IFERROR(ROUND(VLOOKUP($H$2,'30年度'!$B$6:$GI$52,29,0)/1000,0),"-")</f>
        <v>256867</v>
      </c>
      <c r="AJ16" s="285">
        <f>IFERROR(ROUND(VLOOKUP($H$2,'R1年度'!$B$6:$GJ$52,30,0)/1000,0),"-")</f>
        <v>272507</v>
      </c>
      <c r="AK16" s="285">
        <f>IFERROR(ROUND(VLOOKUP($H$2,'R2年度'!$B$6:$GJ$52,31,0)/1000,0),"-")</f>
        <v>263465</v>
      </c>
      <c r="AL16" s="287">
        <f>IFERROR(ROUND(VLOOKUP($H$2,'R3年度'!$B$6:$GJ$52,31,0)/1000,0),"-")</f>
        <v>361459</v>
      </c>
      <c r="AM16" s="286">
        <f>IFERROR(ROUND(VLOOKUP($H$2,'R4年度'!$B$6:$GJ$52,31,0)/1000,0),"-")</f>
        <v>337696</v>
      </c>
      <c r="AN16" s="288">
        <f>IFERROR(ROUND(VLOOKUP($H$2,'R5年度'!$B$6:$GJ$52,31,0)/1000,0),"-")</f>
        <v>354584</v>
      </c>
      <c r="AO16" s="288">
        <f>IFERROR(ROUND(VLOOKUP($H$2,'R6年度'!$B$6:$GK$52,31,0)/1000,0),"-")</f>
        <v>387202</v>
      </c>
    </row>
    <row r="17" spans="1:41" ht="15" customHeight="1" x14ac:dyDescent="0.15">
      <c r="A17" s="17"/>
      <c r="B17" s="509"/>
      <c r="C17" s="480" t="s">
        <v>271</v>
      </c>
      <c r="D17" s="490"/>
      <c r="E17" s="481"/>
      <c r="F17" s="269" t="str">
        <f>IFERROR(ROUND(VLOOKUP($H$2,'1年度'!$B$6:$GI$50,143,0)/1000,0),"-")</f>
        <v>-</v>
      </c>
      <c r="G17" s="269" t="str">
        <f>IFERROR(ROUND(VLOOKUP($H$2,'2年度'!$B$6:$GI$50,143,0)/1000,0),"-")</f>
        <v>-</v>
      </c>
      <c r="H17" s="269" t="str">
        <f>IFERROR(ROUND(VLOOKUP($H$2,'3年度'!$B$6:$GI$50,143,0)/1000,0),"-")</f>
        <v>-</v>
      </c>
      <c r="I17" s="269" t="str">
        <f>IFERROR(ROUND(VLOOKUP($H$2,'4年度'!$B$6:$GI$50,143,0)/1000,0),"-")</f>
        <v>-</v>
      </c>
      <c r="J17" s="269" t="str">
        <f>IFERROR(ROUND(VLOOKUP($H$2,'5年度'!$B$6:$GI$50,143,0)/1000,0),"-")</f>
        <v>-</v>
      </c>
      <c r="K17" s="269" t="str">
        <f>IFERROR(ROUND(VLOOKUP($H$2,'6年度'!$B$6:$GI$50,143,0)/1000,0),"-")</f>
        <v>-</v>
      </c>
      <c r="L17" s="269" t="str">
        <f>IFERROR(ROUND(VLOOKUP($H$2,'7年度'!$B$6:$GI$50,143,0)/1000,0),"-")</f>
        <v>-</v>
      </c>
      <c r="M17" s="269" t="str">
        <f>IFERROR(ROUND(VLOOKUP($H$2,'8年度'!$B$6:$GI$50,143,0)/1000,0),"-")</f>
        <v>-</v>
      </c>
      <c r="N17" s="269" t="str">
        <f>IFERROR(ROUND(VLOOKUP($H$2,'9年度'!$B$6:$GI$50,143,0)/1000,0),"-")</f>
        <v>-</v>
      </c>
      <c r="O17" s="269" t="str">
        <f>IFERROR(ROUND(VLOOKUP($H$2,'10年度'!$B$6:$GI$50,143,0)/1000,0),"-")</f>
        <v>-</v>
      </c>
      <c r="P17" s="269" t="str">
        <f>IFERROR(ROUND(VLOOKUP($H$2,'11年度'!$B$6:$GI$50,143,0)/1000,0),"-")</f>
        <v>-</v>
      </c>
      <c r="Q17" s="269" t="str">
        <f>IFERROR(ROUND(VLOOKUP($H$2,'12年度'!$B$6:$GI$50,143,0)/1000,0),"-")</f>
        <v>-</v>
      </c>
      <c r="R17" s="269" t="str">
        <f>IFERROR(ROUND(VLOOKUP($H$2,'13年度'!$B$6:$GI$50,143,0)/1000,0),"-")</f>
        <v>-</v>
      </c>
      <c r="S17" s="269" t="str">
        <f>IFERROR(ROUND(VLOOKUP($H$2,'14年度'!$B$6:$GI$50,143,0)/1000,0),"-")</f>
        <v>-</v>
      </c>
      <c r="T17" s="278" t="str">
        <f>IFERROR(ROUND(VLOOKUP($H$2,'15年度'!$B$6:$GI$50,143,0)/1000,0),"-")</f>
        <v>-</v>
      </c>
      <c r="U17" s="269" t="str">
        <f>IFERROR(ROUND(VLOOKUP($H$2,'16年度'!$B$6:$GI$50,143,0)/1000,0),"-")</f>
        <v>-</v>
      </c>
      <c r="V17" s="279" t="str">
        <f>IFERROR(ROUND(VLOOKUP($H$2,'17年度'!$B$6:$GI$50,143,0)/1000,0),"-")</f>
        <v>-</v>
      </c>
      <c r="W17" s="278" t="str">
        <f>IFERROR(ROUND(VLOOKUP($H$2,'18年度'!$B$6:$GI$50,143,0)/1000,0),"-")</f>
        <v>-</v>
      </c>
      <c r="X17" s="278" t="str">
        <f>IFERROR(ROUND(VLOOKUP($H$2,'19年度'!$B$6:$GI$50,143,0)/1000,0),"-")</f>
        <v>-</v>
      </c>
      <c r="Y17" s="278" t="str">
        <f>IFERROR(ROUND(VLOOKUP($H$2,'20年度'!$B$6:$GI$50,143,0)/1000,0),"-")</f>
        <v>-</v>
      </c>
      <c r="Z17" s="278" t="str">
        <f>IFERROR(ROUND(VLOOKUP($H$2,'21年度'!$B$6:$GI$50,143,0)/1000,0),"-")</f>
        <v>-</v>
      </c>
      <c r="AA17" s="269" t="str">
        <f>IFERROR(ROUND(VLOOKUP($H$2,'22年度'!$B$6:$GI$50,143,0)/1000,0),"-")</f>
        <v>-</v>
      </c>
      <c r="AB17" s="279">
        <f>IFERROR(ROUND(VLOOKUP($H$2,'23年度'!$B$6:$GI$52,143,0)/1000,0),"-")</f>
        <v>21478</v>
      </c>
      <c r="AC17" s="278">
        <f>IFERROR(ROUND(VLOOKUP($H$2,'24年度'!$B$6:$GI$52,143,0)/1000,0),"-")</f>
        <v>35838</v>
      </c>
      <c r="AD17" s="278">
        <f>IFERROR(ROUND(VLOOKUP($H$2,'25年度'!$B$6:$GI$52,143,0)/1000,0),"-")</f>
        <v>46949</v>
      </c>
      <c r="AE17" s="278">
        <f>IFERROR(ROUND(VLOOKUP($H$2,'26年度'!$B$6:$GI$52,143,0)/1000,0),"-")</f>
        <v>57335</v>
      </c>
      <c r="AF17" s="269">
        <f>IFERROR(ROUND(VLOOKUP($H$2,'27年度'!$B$6:$GI$52,143,0)/1000,0),"-")</f>
        <v>24797</v>
      </c>
      <c r="AG17" s="269">
        <f>IFERROR(ROUND(VLOOKUP($H$2,'28年度'!$B$6:$GI$52,143,0)/1000,0),"-")</f>
        <v>43028</v>
      </c>
      <c r="AH17" s="279">
        <f>IFERROR(ROUND(VLOOKUP($H$2,'29年度'!$B$6:$GI$52,143,0)/1000,0),"-")</f>
        <v>49126</v>
      </c>
      <c r="AI17" s="278">
        <f>IFERROR(ROUND(VLOOKUP($H$2,'30年度'!$B$6:$GI$52,143,0)/1000,0),"-")</f>
        <v>68978</v>
      </c>
      <c r="AJ17" s="269">
        <f>IFERROR(ROUND(VLOOKUP($H$2,'R1年度'!$B$6:$GJ$52,144,0)/1000,0),"-")</f>
        <v>44747</v>
      </c>
      <c r="AK17" s="269">
        <f>IFERROR(ROUND(VLOOKUP($H$2,'R2年度'!$B$6:$GJ$52,145,0)/1000,0),"-")</f>
        <v>25978</v>
      </c>
      <c r="AL17" s="279">
        <f>IFERROR(ROUND(VLOOKUP($H$2,'R3年度'!$B$6:$GJ$52,145,0)/1000,0),"-")</f>
        <v>15464</v>
      </c>
      <c r="AM17" s="278">
        <f>IFERROR(ROUND(VLOOKUP($H$2,'R4年度'!$B$6:$GJ$52,145,0)/1000,0),"-")</f>
        <v>37160</v>
      </c>
      <c r="AN17" s="280">
        <f>IFERROR(ROUND(VLOOKUP($H$2,'R5年度'!$B$6:$GJ$52,145,0)/1000,0),"-")</f>
        <v>35260</v>
      </c>
      <c r="AO17" s="280">
        <f>IFERROR(ROUND(VLOOKUP($H$2,'R6年度'!$B$6:$GK$52,145,0)/1000,0),"-")</f>
        <v>36731</v>
      </c>
    </row>
    <row r="18" spans="1:41" ht="15" customHeight="1" x14ac:dyDescent="0.15">
      <c r="A18" s="17"/>
      <c r="B18" s="509"/>
      <c r="C18" s="59"/>
      <c r="D18" s="525" t="s">
        <v>272</v>
      </c>
      <c r="E18" s="526"/>
      <c r="F18" s="285" t="str">
        <f>IFERROR(ROUND((VLOOKUP($H$2,'1年度'!$B$6:$GI$50,55,0)+VLOOKUP($H$2,'1年度'!$B$6:$GI$50,56,0))/1000,0),"-")</f>
        <v>-</v>
      </c>
      <c r="G18" s="285" t="str">
        <f>IFERROR(ROUND((VLOOKUP($H$2,'2年度'!$B$6:$GI$50,55,0)+VLOOKUP($H$2,'2年度'!$B$6:$GI$50,56,0))/1000,0),"-")</f>
        <v>-</v>
      </c>
      <c r="H18" s="285" t="str">
        <f>IFERROR(ROUND((VLOOKUP($H$2,'3年度'!$B$6:$GI$50,55,0)+VLOOKUP($H$2,'3年度'!$B$6:$GI$50,56,0))/1000,0),"-")</f>
        <v>-</v>
      </c>
      <c r="I18" s="285" t="str">
        <f>IFERROR(ROUND((VLOOKUP($H$2,'4年度'!$B$6:$GI$50,55,0)+VLOOKUP($H$2,'4年度'!$B$6:$GI$50,56,0))/1000,0),"-")</f>
        <v>-</v>
      </c>
      <c r="J18" s="285" t="str">
        <f>IFERROR(ROUND((VLOOKUP($H$2,'5年度'!$B$6:$GI$50,55,0)+VLOOKUP($H$2,'5年度'!$B$6:$GI$50,56,0))/1000,0),"-")</f>
        <v>-</v>
      </c>
      <c r="K18" s="285" t="str">
        <f>IFERROR(ROUND((VLOOKUP($H$2,'6年度'!$B$6:$GI$50,55,0)+VLOOKUP($H$2,'6年度'!$B$6:$GI$50,56,0))/1000,0),"-")</f>
        <v>-</v>
      </c>
      <c r="L18" s="285" t="str">
        <f>IFERROR(ROUND((VLOOKUP($H$2,'7年度'!$B$6:$GI$50,55,0)+VLOOKUP($H$2,'7年度'!$B$6:$GI$50,56,0))/1000,0),"-")</f>
        <v>-</v>
      </c>
      <c r="M18" s="285" t="str">
        <f>IFERROR(ROUND((VLOOKUP($H$2,'8年度'!$B$6:$GI$50,55,0)+VLOOKUP($H$2,'8年度'!$B$6:$GI$50,56,0))/1000,0),"-")</f>
        <v>-</v>
      </c>
      <c r="N18" s="285" t="str">
        <f>IFERROR(ROUND((VLOOKUP($H$2,'9年度'!$B$6:$GI$50,55,0)+VLOOKUP($H$2,'9年度'!$B$6:$GI$50,56,0))/1000,0),"-")</f>
        <v>-</v>
      </c>
      <c r="O18" s="285" t="str">
        <f>IFERROR(ROUND((VLOOKUP($H$2,'10年度'!$B$6:$GI$50,55,0)+VLOOKUP($H$2,'10年度'!$B$6:$GI$50,56,0))/1000,0),"-")</f>
        <v>-</v>
      </c>
      <c r="P18" s="285" t="str">
        <f>IFERROR(ROUND((VLOOKUP($H$2,'11年度'!$B$6:$GI$50,55,0)+VLOOKUP($H$2,'11年度'!$B$6:$GI$50,56,0))/1000,0),"-")</f>
        <v>-</v>
      </c>
      <c r="Q18" s="285" t="str">
        <f>IFERROR(ROUND((VLOOKUP($H$2,'12年度'!$B$6:$GI$50,55,0)+VLOOKUP($H$2,'12年度'!$B$6:$GI$50,56,0))/1000,0),"-")</f>
        <v>-</v>
      </c>
      <c r="R18" s="285" t="str">
        <f>IFERROR(ROUND((VLOOKUP($H$2,'13年度'!$B$6:$GI$50,55,0)+VLOOKUP($H$2,'13年度'!$B$6:$GI$50,56,0))/1000,0),"-")</f>
        <v>-</v>
      </c>
      <c r="S18" s="285" t="str">
        <f>IFERROR(ROUND((VLOOKUP($H$2,'14年度'!$B$6:$GI$50,55,0)+VLOOKUP($H$2,'14年度'!$B$6:$GI$50,56,0))/1000,0),"-")</f>
        <v>-</v>
      </c>
      <c r="T18" s="286" t="str">
        <f>IFERROR(ROUND((VLOOKUP($H$2,'15年度'!$B$6:$GI$50,55,0)+VLOOKUP($H$2,'15年度'!$B$6:$GI$50,56,0))/1000,0),"-")</f>
        <v>-</v>
      </c>
      <c r="U18" s="285" t="str">
        <f>IFERROR(ROUND((VLOOKUP($H$2,'16年度'!$B$6:$GI$50,55,0)+VLOOKUP($H$2,'16年度'!$B$6:$GI$50,56,0))/1000,0),"-")</f>
        <v>-</v>
      </c>
      <c r="V18" s="287" t="str">
        <f>IFERROR(ROUND((VLOOKUP($H$2,'17年度'!$B$6:$GI$50,55,0)+VLOOKUP($H$2,'17年度'!$B$6:$GI$50,56,0))/1000,0),"-")</f>
        <v>-</v>
      </c>
      <c r="W18" s="286" t="str">
        <f>IFERROR(ROUND((VLOOKUP($H$2,'18年度'!$B$6:$GI$50,55,0)+VLOOKUP($H$2,'18年度'!$B$6:$GI$50,56,0))/1000,0),"-")</f>
        <v>-</v>
      </c>
      <c r="X18" s="286" t="str">
        <f>IFERROR(ROUND((VLOOKUP($H$2,'19年度'!$B$6:$GI$50,55,0)+VLOOKUP($H$2,'19年度'!$B$6:$GI$50,56,0))/1000,0),"-")</f>
        <v>-</v>
      </c>
      <c r="Y18" s="286" t="str">
        <f>IFERROR(ROUND((VLOOKUP($H$2,'20年度'!$B$6:$GI$50,55,0)+VLOOKUP($H$2,'20年度'!$B$6:$GI$50,56,0))/1000,0),"-")</f>
        <v>-</v>
      </c>
      <c r="Z18" s="286" t="str">
        <f>IFERROR(ROUND((VLOOKUP($H$2,'21年度'!$B$6:$GI$50,55,0)+VLOOKUP($H$2,'21年度'!$B$6:$GI$50,56,0))/1000,0),"-")</f>
        <v>-</v>
      </c>
      <c r="AA18" s="285" t="str">
        <f>IFERROR(ROUND((VLOOKUP($H$2,'22年度'!$B$6:$GI$50,55,0)+VLOOKUP($H$2,'22年度'!$B$6:$GI$50,56,0))/1000,0),"-")</f>
        <v>-</v>
      </c>
      <c r="AB18" s="287">
        <f>IFERROR(ROUND((VLOOKUP($H$2,'23年度'!$B$6:$GI$52,55,0)+VLOOKUP($H$2,'23年度'!$B$6:$GI$52,56,0))/1000,0),"-")</f>
        <v>15955</v>
      </c>
      <c r="AC18" s="286">
        <f>IFERROR(ROUND((VLOOKUP($H$2,'24年度'!$B$6:$GI$52,55,0)+VLOOKUP($H$2,'24年度'!$B$6:$GI$52,56,0))/1000,0),"-")</f>
        <v>22095</v>
      </c>
      <c r="AD18" s="286">
        <f>IFERROR(ROUND((VLOOKUP($H$2,'25年度'!$B$6:$GI$52,55,0)+VLOOKUP($H$2,'25年度'!$B$6:$GI$52,56,0))/1000,0),"-")</f>
        <v>42115</v>
      </c>
      <c r="AE18" s="286">
        <f>IFERROR(ROUND((VLOOKUP($H$2,'26年度'!$B$6:$GI$52,55,0)+VLOOKUP($H$2,'26年度'!$B$6:$GI$52,56,0))/1000,0),"-")</f>
        <v>49413</v>
      </c>
      <c r="AF18" s="285">
        <f>IFERROR(ROUND((VLOOKUP($H$2,'27年度'!$B$6:$GI$52,55,0)+VLOOKUP($H$2,'27年度'!$B$6:$GI$52,56,0))/1000,0),"-")</f>
        <v>19093</v>
      </c>
      <c r="AG18" s="285">
        <f>IFERROR(ROUND((VLOOKUP($H$2,'28年度'!$B$6:$GI$52,55,0)+VLOOKUP($H$2,'28年度'!$B$6:$GI$52,56,0))/1000,0),"-")</f>
        <v>36685</v>
      </c>
      <c r="AH18" s="287">
        <f>IFERROR(ROUND((VLOOKUP($H$2,'29年度'!$B$6:$GI$52,55,0)+VLOOKUP($H$2,'29年度'!$B$6:$GI$52,56,0))/1000,0),"-")</f>
        <v>32328</v>
      </c>
      <c r="AI18" s="286">
        <f>IFERROR(ROUND((VLOOKUP($H$2,'30年度'!$B$6:$GI$52,55,0)+VLOOKUP($H$2,'30年度'!$B$6:$GI$52,56,0))/1000,0),"-")</f>
        <v>33538</v>
      </c>
      <c r="AJ18" s="285">
        <f>IFERROR(ROUND((VLOOKUP($H$2,'R1年度'!$B$6:$GJ$52,56,0)+VLOOKUP($H$2,'R1年度'!$B$6:$GJ$52,57,0))/1000,0),"-")</f>
        <v>13291</v>
      </c>
      <c r="AK18" s="285">
        <f>IFERROR(ROUND((VLOOKUP($H$2,'R2年度'!$B$6:$GJ$52,57,0)+VLOOKUP($H$2,'R2年度'!$B$6:$GJ$52,58,0))/1000,0),"-")</f>
        <v>18646</v>
      </c>
      <c r="AL18" s="287">
        <f>IFERROR(ROUND((VLOOKUP($H$2,'R3年度'!$B$6:$GJ$52,57,0)+VLOOKUP($H$2,'R3年度'!$B$6:$GJ$52,58,0))/1000,0),"-")</f>
        <v>13053</v>
      </c>
      <c r="AM18" s="286">
        <f>IFERROR(ROUND((VLOOKUP($H$2,'R4年度'!$B$6:$GJ$52,57,0)+VLOOKUP($H$2,'R4年度'!$B$6:$GJ$52,58,0))/1000,0),"-")</f>
        <v>33356</v>
      </c>
      <c r="AN18" s="288">
        <f>IFERROR(ROUND((VLOOKUP($H$2,'R5年度'!$B$6:$GJ$52,57,0)+VLOOKUP($H$2,'R5年度'!$B$6:$GJ$52,58,0))/1000,0),"-")</f>
        <v>28211</v>
      </c>
      <c r="AO18" s="288">
        <f>IFERROR(ROUND((VLOOKUP($H$2,'R6年度'!$B$6:$GK$52,57,0)+VLOOKUP($H$2,'R6年度'!$B$6:$GK$52,58,0))/1000,0),"-")</f>
        <v>25221</v>
      </c>
    </row>
    <row r="19" spans="1:41" ht="15" customHeight="1" x14ac:dyDescent="0.15">
      <c r="A19" s="17"/>
      <c r="B19" s="509"/>
      <c r="C19" s="491" t="s">
        <v>176</v>
      </c>
      <c r="D19" s="507"/>
      <c r="E19" s="479"/>
      <c r="F19" s="281" t="str">
        <f>IFERROR(ROUND(VLOOKUP($H$2,'1年度'!$B$6:$GI$50,144,0)/1000,0),"-")</f>
        <v>-</v>
      </c>
      <c r="G19" s="281" t="str">
        <f>IFERROR(ROUND(VLOOKUP($H$2,'2年度'!$B$6:$GI$50,144,0)/1000,0),"-")</f>
        <v>-</v>
      </c>
      <c r="H19" s="281" t="str">
        <f>IFERROR(ROUND(VLOOKUP($H$2,'3年度'!$B$6:$GI$50,144,0)/1000,0),"-")</f>
        <v>-</v>
      </c>
      <c r="I19" s="281" t="str">
        <f>IFERROR(ROUND(VLOOKUP($H$2,'4年度'!$B$6:$GI$50,144,0)/1000,0),"-")</f>
        <v>-</v>
      </c>
      <c r="J19" s="281" t="str">
        <f>IFERROR(ROUND(VLOOKUP($H$2,'5年度'!$B$6:$GI$50,144,0)/1000,0),"-")</f>
        <v>-</v>
      </c>
      <c r="K19" s="281" t="str">
        <f>IFERROR(ROUND(VLOOKUP($H$2,'6年度'!$B$6:$GI$50,144,0)/1000,0),"-")</f>
        <v>-</v>
      </c>
      <c r="L19" s="281" t="str">
        <f>IFERROR(ROUND(VLOOKUP($H$2,'7年度'!$B$6:$GI$50,144,0)/1000,0),"-")</f>
        <v>-</v>
      </c>
      <c r="M19" s="281" t="str">
        <f>IFERROR(ROUND(VLOOKUP($H$2,'8年度'!$B$6:$GI$50,144,0)/1000,0),"-")</f>
        <v>-</v>
      </c>
      <c r="N19" s="281" t="str">
        <f>IFERROR(ROUND(VLOOKUP($H$2,'9年度'!$B$6:$GI$50,144,0)/1000,0),"-")</f>
        <v>-</v>
      </c>
      <c r="O19" s="281" t="str">
        <f>IFERROR(ROUND(VLOOKUP($H$2,'10年度'!$B$6:$GI$50,144,0)/1000,0),"-")</f>
        <v>-</v>
      </c>
      <c r="P19" s="281" t="str">
        <f>IFERROR(ROUND(VLOOKUP($H$2,'11年度'!$B$6:$GI$50,144,0)/1000,0),"-")</f>
        <v>-</v>
      </c>
      <c r="Q19" s="281" t="str">
        <f>IFERROR(ROUND(VLOOKUP($H$2,'12年度'!$B$6:$GI$50,144,0)/1000,0),"-")</f>
        <v>-</v>
      </c>
      <c r="R19" s="281" t="str">
        <f>IFERROR(ROUND(VLOOKUP($H$2,'13年度'!$B$6:$GI$50,144,0)/1000,0),"-")</f>
        <v>-</v>
      </c>
      <c r="S19" s="281" t="str">
        <f>IFERROR(ROUND(VLOOKUP($H$2,'14年度'!$B$6:$GI$50,144,0)/1000,0),"-")</f>
        <v>-</v>
      </c>
      <c r="T19" s="282" t="str">
        <f>IFERROR(ROUND(VLOOKUP($H$2,'15年度'!$B$6:$GI$50,144,0)/1000,0),"-")</f>
        <v>-</v>
      </c>
      <c r="U19" s="281" t="str">
        <f>IFERROR(ROUND(VLOOKUP($H$2,'16年度'!$B$6:$GI$50,144,0)/1000,0),"-")</f>
        <v>-</v>
      </c>
      <c r="V19" s="283" t="str">
        <f>IFERROR(ROUND(VLOOKUP($H$2,'17年度'!$B$6:$GI$50,144,0)/1000,0),"-")</f>
        <v>-</v>
      </c>
      <c r="W19" s="282" t="str">
        <f>IFERROR(ROUND(VLOOKUP($H$2,'18年度'!$B$6:$GI$50,144,0)/1000,0),"-")</f>
        <v>-</v>
      </c>
      <c r="X19" s="282" t="str">
        <f>IFERROR(ROUND(VLOOKUP($H$2,'19年度'!$B$6:$GI$50,144,0)/1000,0),"-")</f>
        <v>-</v>
      </c>
      <c r="Y19" s="282" t="str">
        <f>IFERROR(ROUND(VLOOKUP($H$2,'20年度'!$B$6:$GI$50,144,0)/1000,0),"-")</f>
        <v>-</v>
      </c>
      <c r="Z19" s="282" t="str">
        <f>IFERROR(ROUND(VLOOKUP($H$2,'21年度'!$B$6:$GI$50,144,0)/1000,0),"-")</f>
        <v>-</v>
      </c>
      <c r="AA19" s="281" t="str">
        <f>IFERROR(ROUND(VLOOKUP($H$2,'22年度'!$B$6:$GI$50,144,0)/1000,0),"-")</f>
        <v>-</v>
      </c>
      <c r="AB19" s="283">
        <f>IFERROR(ROUND(VLOOKUP($H$2,'23年度'!$B$6:$GI$52,144,0)/1000,0),"-")</f>
        <v>22888</v>
      </c>
      <c r="AC19" s="282">
        <f>IFERROR(ROUND(VLOOKUP($H$2,'24年度'!$B$6:$GI$52,144,0)/1000,0),"-")</f>
        <v>22452</v>
      </c>
      <c r="AD19" s="282">
        <f>IFERROR(ROUND(VLOOKUP($H$2,'25年度'!$B$6:$GI$52,144,0)/1000,0),"-")</f>
        <v>25774</v>
      </c>
      <c r="AE19" s="282">
        <f>IFERROR(ROUND(VLOOKUP($H$2,'26年度'!$B$6:$GI$52,144,0)/1000,0),"-")</f>
        <v>14825</v>
      </c>
      <c r="AF19" s="281">
        <f>IFERROR(ROUND(VLOOKUP($H$2,'27年度'!$B$6:$GI$52,144,0)/1000,0),"-")</f>
        <v>63998</v>
      </c>
      <c r="AG19" s="281">
        <f>IFERROR(ROUND(VLOOKUP($H$2,'28年度'!$B$6:$GI$52,144,0)/1000,0),"-")</f>
        <v>26990</v>
      </c>
      <c r="AH19" s="283">
        <f>IFERROR(ROUND(VLOOKUP($H$2,'29年度'!$B$6:$GI$52,144,0)/1000,0),"-")</f>
        <v>25047</v>
      </c>
      <c r="AI19" s="282">
        <f>IFERROR(ROUND(VLOOKUP($H$2,'30年度'!$B$6:$GI$52,144,0)/1000,0),"-")</f>
        <v>26812</v>
      </c>
      <c r="AJ19" s="281">
        <f>IFERROR(ROUND(VLOOKUP($H$2,'R1年度'!$B$6:$GJ$52,145,0)/1000,0),"-")</f>
        <v>34466</v>
      </c>
      <c r="AK19" s="281">
        <f>IFERROR(ROUND(VLOOKUP($H$2,'R2年度'!$B$6:$GJ$52,146,0)/1000,0),"-")</f>
        <v>29489</v>
      </c>
      <c r="AL19" s="283">
        <f>IFERROR(ROUND(VLOOKUP($H$2,'R3年度'!$B$6:$GJ$52,146,0)/1000,0),"-")</f>
        <v>28451</v>
      </c>
      <c r="AM19" s="282">
        <f>IFERROR(ROUND(VLOOKUP($H$2,'R4年度'!$B$6:$GJ$52,146,0)/1000,0),"-")</f>
        <v>30358</v>
      </c>
      <c r="AN19" s="284">
        <f>IFERROR(ROUND(VLOOKUP($H$2,'R5年度'!$B$6:$GJ$52,146,0)/1000,0),"-")</f>
        <v>52090</v>
      </c>
      <c r="AO19" s="284">
        <f>IFERROR(ROUND(VLOOKUP($H$2,'R6年度'!$B$6:$GK$52,146,0)/1000,0),"-")</f>
        <v>46479</v>
      </c>
    </row>
    <row r="20" spans="1:41" ht="15" customHeight="1" x14ac:dyDescent="0.15">
      <c r="A20" s="17"/>
      <c r="B20" s="509"/>
      <c r="C20" s="522" t="s">
        <v>273</v>
      </c>
      <c r="D20" s="529"/>
      <c r="E20" s="523"/>
      <c r="F20" s="289"/>
      <c r="G20" s="289"/>
      <c r="H20" s="289"/>
      <c r="I20" s="289"/>
      <c r="J20" s="289"/>
      <c r="K20" s="281" t="str">
        <f>IFERROR(ROUND(VLOOKUP($H$2,'6年度'!$B$6:$GI$50,67,0)/1000,0),"-")</f>
        <v>-</v>
      </c>
      <c r="L20" s="290" t="str">
        <f>IFERROR(ROUND(VLOOKUP($H$2,'7年度'!$B$6:$GI$50,67,0)/1000,0),"-")</f>
        <v>-</v>
      </c>
      <c r="M20" s="290" t="str">
        <f>IFERROR(ROUND(VLOOKUP($H$2,'8年度'!$B$6:$GI$50,67,0)/1000,0),"-")</f>
        <v>-</v>
      </c>
      <c r="N20" s="290" t="str">
        <f>IFERROR(ROUND(VLOOKUP($H$2,'9年度'!$B$6:$GI$50,67,0)/1000,0),"-")</f>
        <v>-</v>
      </c>
      <c r="O20" s="290" t="str">
        <f>IFERROR(ROUND(VLOOKUP($H$2,'10年度'!$B$6:$GI$50,67,0)/1000,0),"-")</f>
        <v>-</v>
      </c>
      <c r="P20" s="290" t="str">
        <f>IFERROR(ROUND(VLOOKUP($H$2,'11年度'!$B$6:$GI$50,67,0)/1000,0),"-")</f>
        <v>-</v>
      </c>
      <c r="Q20" s="290" t="str">
        <f>IFERROR(ROUND(VLOOKUP($H$2,'12年度'!$B$6:$GI$50,67,0)/1000,0),"-")</f>
        <v>-</v>
      </c>
      <c r="R20" s="290" t="str">
        <f>IFERROR(ROUND(VLOOKUP($H$2,'13年度'!$B$6:$GI$50,67,0)/1000,0),"-")</f>
        <v>-</v>
      </c>
      <c r="S20" s="290" t="str">
        <f>IFERROR(ROUND(VLOOKUP($H$2,'14年度'!$B$6:$GI$50,67,0)/1000,0),"-")</f>
        <v>-</v>
      </c>
      <c r="T20" s="291" t="str">
        <f>IFERROR(ROUND(VLOOKUP($H$2,'15年度'!$B$6:$GI$50,67,0)/1000,0),"-")</f>
        <v>-</v>
      </c>
      <c r="U20" s="290" t="str">
        <f>IFERROR(ROUND(VLOOKUP($H$2,'16年度'!$B$6:$GI$50,67,0)/1000,0),"-")</f>
        <v>-</v>
      </c>
      <c r="V20" s="292" t="str">
        <f>IFERROR(ROUND(VLOOKUP($H$2,'17年度'!$B$6:$GI$50,67,0)/1000,0),"-")</f>
        <v>-</v>
      </c>
      <c r="W20" s="291" t="str">
        <f>IFERROR(ROUND(VLOOKUP($H$2,'18年度'!$B$6:$GI$50,67,0)/1000,0),"-")</f>
        <v>-</v>
      </c>
      <c r="X20" s="291" t="str">
        <f>IFERROR(ROUND(VLOOKUP($H$2,'19年度'!$B$6:$GI$50,67,0)/1000,0),"-")</f>
        <v>-</v>
      </c>
      <c r="Y20" s="291" t="str">
        <f>IFERROR(ROUND(VLOOKUP($H$2,'20年度'!$B$6:$GI$50,67,0)/1000,0),"-")</f>
        <v>-</v>
      </c>
      <c r="Z20" s="291" t="str">
        <f>IFERROR(ROUND(VLOOKUP($H$2,'21年度'!$B$6:$GI$50,67,0)/1000,0),"-")</f>
        <v>-</v>
      </c>
      <c r="AA20" s="290" t="str">
        <f>IFERROR(ROUND(VLOOKUP($H$2,'22年度'!$B$6:$GI$50,67,0)/1000,0),"-")</f>
        <v>-</v>
      </c>
      <c r="AB20" s="292">
        <f>IFERROR(ROUND(VLOOKUP($H$2,'23年度'!$B$6:$GI$52,67,0)/1000,0),"-")</f>
        <v>182862</v>
      </c>
      <c r="AC20" s="291">
        <f>IFERROR(ROUND(VLOOKUP($H$2,'24年度'!$B$6:$GI$52,67,0)/1000,0),"-")</f>
        <v>194087</v>
      </c>
      <c r="AD20" s="291">
        <f>IFERROR(ROUND(VLOOKUP($H$2,'25年度'!$B$6:$GI$52,67,0)/1000,0),"-")</f>
        <v>205947</v>
      </c>
      <c r="AE20" s="291">
        <f>IFERROR(ROUND(VLOOKUP($H$2,'26年度'!$B$6:$GI$52,67,0)/1000,0),"-")</f>
        <v>184618</v>
      </c>
      <c r="AF20" s="290">
        <f>IFERROR(ROUND(VLOOKUP($H$2,'27年度'!$B$6:$GI$52,67,0)/1000,0),"-")</f>
        <v>163244</v>
      </c>
      <c r="AG20" s="290">
        <f>IFERROR(ROUND(VLOOKUP($H$2,'28年度'!$B$6:$GI$52,67,0)/1000,0),"-")</f>
        <v>134363</v>
      </c>
      <c r="AH20" s="292">
        <f>IFERROR(ROUND(VLOOKUP($H$2,'29年度'!$B$6:$GI$52,67,0)/1000,0),"-")</f>
        <v>164819</v>
      </c>
      <c r="AI20" s="291">
        <f>IFERROR(ROUND(VLOOKUP($H$2,'30年度'!$B$6:$GI$52,67,0)/1000,0),"-")</f>
        <v>156520</v>
      </c>
      <c r="AJ20" s="290">
        <f>IFERROR(ROUND(VLOOKUP($H$2,'R1年度'!$B$6:$GJ$52,68,0)/1000,0),"-")</f>
        <v>132953</v>
      </c>
      <c r="AK20" s="290">
        <f>IFERROR(ROUND(VLOOKUP($H$2,'R2年度'!$B$6:$GJ$52,69,0)/1000,0),"-")</f>
        <v>118961</v>
      </c>
      <c r="AL20" s="292">
        <f>IFERROR(ROUND(VLOOKUP($H$2,'R3年度'!$B$6:$GJ$52,69,0)/1000,0),"-")</f>
        <v>156916</v>
      </c>
      <c r="AM20" s="291">
        <f>IFERROR(ROUND(VLOOKUP($H$2,'R4年度'!$B$6:$GJ$52,69,0)/1000,0),"-")</f>
        <v>52157</v>
      </c>
      <c r="AN20" s="293">
        <f>IFERROR(ROUND(VLOOKUP($H$2,'R5年度'!$B$6:$GJ$52,69,0)/1000,0),"-")</f>
        <v>33410</v>
      </c>
      <c r="AO20" s="293">
        <f>IFERROR(ROUND(VLOOKUP($H$2,'R6年度'!$B$6:$GK$52,69,0)/1000,0),"-")</f>
        <v>17770</v>
      </c>
    </row>
    <row r="21" spans="1:41" ht="15" customHeight="1" x14ac:dyDescent="0.15">
      <c r="A21" s="17"/>
      <c r="B21" s="509"/>
      <c r="C21" s="506" t="s">
        <v>274</v>
      </c>
      <c r="D21" s="507"/>
      <c r="E21" s="479"/>
      <c r="F21" s="281" t="str">
        <f>IFERROR(ROUND(VLOOKUP($H$2,'1年度'!$B$6:$GI$50,145,0)/1000,0),"-")</f>
        <v>-</v>
      </c>
      <c r="G21" s="281" t="str">
        <f>IFERROR(ROUND(VLOOKUP($H$2,'2年度'!$B$6:$GI$50,145,0)/1000,0),"-")</f>
        <v>-</v>
      </c>
      <c r="H21" s="281" t="str">
        <f>IFERROR(ROUND(VLOOKUP($H$2,'3年度'!$B$6:$GI$50,145,0)/1000,0),"-")</f>
        <v>-</v>
      </c>
      <c r="I21" s="281" t="str">
        <f>IFERROR(ROUND(VLOOKUP($H$2,'4年度'!$B$6:$GI$50,145,0)/1000,0),"-")</f>
        <v>-</v>
      </c>
      <c r="J21" s="281" t="str">
        <f>IFERROR(ROUND(VLOOKUP($H$2,'5年度'!$B$6:$GI$50,145,0)/1000,0),"-")</f>
        <v>-</v>
      </c>
      <c r="K21" s="281" t="str">
        <f>IFERROR(ROUND(VLOOKUP($H$2,'6年度'!$B$6:$GI$50,145,0)/1000,0),"-")</f>
        <v>-</v>
      </c>
      <c r="L21" s="281" t="str">
        <f>IFERROR(ROUND(VLOOKUP($H$2,'7年度'!$B$6:$GI$50,145,0)/1000,0),"-")</f>
        <v>-</v>
      </c>
      <c r="M21" s="281" t="str">
        <f>IFERROR(ROUND(VLOOKUP($H$2,'8年度'!$B$6:$GI$50,145,0)/1000,0),"-")</f>
        <v>-</v>
      </c>
      <c r="N21" s="281" t="str">
        <f>IFERROR(ROUND(VLOOKUP($H$2,'9年度'!$B$6:$GI$50,145,0)/1000,0),"-")</f>
        <v>-</v>
      </c>
      <c r="O21" s="281" t="str">
        <f>IFERROR(ROUND(VLOOKUP($H$2,'10年度'!$B$6:$GI$50,145,0)/1000,0),"-")</f>
        <v>-</v>
      </c>
      <c r="P21" s="281" t="str">
        <f>IFERROR(ROUND(VLOOKUP($H$2,'11年度'!$B$6:$GI$50,145,0)/1000,0),"-")</f>
        <v>-</v>
      </c>
      <c r="Q21" s="281" t="str">
        <f>IFERROR(ROUND(VLOOKUP($H$2,'12年度'!$B$6:$GI$50,145,0)/1000,0),"-")</f>
        <v>-</v>
      </c>
      <c r="R21" s="281" t="str">
        <f>IFERROR(ROUND(VLOOKUP($H$2,'13年度'!$B$6:$GI$50,145,0)/1000,0),"-")</f>
        <v>-</v>
      </c>
      <c r="S21" s="281" t="str">
        <f>IFERROR(ROUND(VLOOKUP($H$2,'14年度'!$B$6:$GI$50,145,0)/1000,0),"-")</f>
        <v>-</v>
      </c>
      <c r="T21" s="282" t="str">
        <f>IFERROR(ROUND(VLOOKUP($H$2,'15年度'!$B$6:$GI$50,145,0)/1000,0),"-")</f>
        <v>-</v>
      </c>
      <c r="U21" s="281" t="str">
        <f>IFERROR(ROUND(VLOOKUP($H$2,'16年度'!$B$6:$GI$50,145,0)/1000,0),"-")</f>
        <v>-</v>
      </c>
      <c r="V21" s="283" t="str">
        <f>IFERROR(ROUND(VLOOKUP($H$2,'17年度'!$B$6:$GI$50,145,0)/1000,0),"-")</f>
        <v>-</v>
      </c>
      <c r="W21" s="282" t="str">
        <f>IFERROR(ROUND(VLOOKUP($H$2,'18年度'!$B$6:$GI$50,145,0)/1000,0),"-")</f>
        <v>-</v>
      </c>
      <c r="X21" s="282" t="str">
        <f>IFERROR(ROUND(VLOOKUP($H$2,'19年度'!$B$6:$GI$50,145,0)/1000,0),"-")</f>
        <v>-</v>
      </c>
      <c r="Y21" s="282" t="str">
        <f>IFERROR(ROUND(VLOOKUP($H$2,'20年度'!$B$6:$GI$50,145,0)/1000,0),"-")</f>
        <v>-</v>
      </c>
      <c r="Z21" s="282" t="str">
        <f>IFERROR(ROUND(VLOOKUP($H$2,'21年度'!$B$6:$GI$50,145,0)/1000,0),"-")</f>
        <v>-</v>
      </c>
      <c r="AA21" s="281" t="str">
        <f>IFERROR(ROUND(VLOOKUP($H$2,'22年度'!$B$6:$GI$50,145,0)/1000,0),"-")</f>
        <v>-</v>
      </c>
      <c r="AB21" s="283">
        <f>IFERROR(ROUND(VLOOKUP($H$2,'23年度'!$B$6:$GI$52,145,0)/1000,0),"-")</f>
        <v>105643</v>
      </c>
      <c r="AC21" s="282">
        <f>IFERROR(ROUND(VLOOKUP($H$2,'24年度'!$B$6:$GI$52,145,0)/1000,0),"-")</f>
        <v>107171</v>
      </c>
      <c r="AD21" s="282">
        <f>IFERROR(ROUND(VLOOKUP($H$2,'25年度'!$B$6:$GI$52,145,0)/1000,0),"-")</f>
        <v>135296</v>
      </c>
      <c r="AE21" s="282">
        <f>IFERROR(ROUND(VLOOKUP($H$2,'26年度'!$B$6:$GI$52,145,0)/1000,0),"-")</f>
        <v>142783</v>
      </c>
      <c r="AF21" s="281">
        <f>IFERROR(ROUND(VLOOKUP($H$2,'27年度'!$B$6:$GI$52,145,0)/1000,0),"-")</f>
        <v>111741</v>
      </c>
      <c r="AG21" s="281">
        <f>IFERROR(ROUND(VLOOKUP($H$2,'28年度'!$B$6:$GI$52,145,0)/1000,0),"-")</f>
        <v>106219</v>
      </c>
      <c r="AH21" s="283">
        <f>IFERROR(ROUND(VLOOKUP($H$2,'29年度'!$B$6:$GI$52,145,0)/1000,0),"-")</f>
        <v>166019</v>
      </c>
      <c r="AI21" s="282">
        <f>IFERROR(ROUND(VLOOKUP($H$2,'30年度'!$B$6:$GI$52,145,0)/1000,0),"-")</f>
        <v>120799</v>
      </c>
      <c r="AJ21" s="281">
        <f>IFERROR(ROUND(VLOOKUP($H$2,'R1年度'!$B$6:$GJ$52,146,0)/1000,0),"-")</f>
        <v>119181</v>
      </c>
      <c r="AK21" s="281">
        <f>IFERROR(ROUND(VLOOKUP($H$2,'R2年度'!$B$6:$GJ$52,147,0)/1000,0),"-")</f>
        <v>225799</v>
      </c>
      <c r="AL21" s="283">
        <f>IFERROR(ROUND(VLOOKUP($H$2,'R3年度'!$B$6:$GJ$52,147,0)/1000,0),"-")</f>
        <v>219447</v>
      </c>
      <c r="AM21" s="282">
        <f>IFERROR(ROUND(VLOOKUP($H$2,'R4年度'!$B$6:$GJ$52,147,0)/1000,0),"-")</f>
        <v>275950</v>
      </c>
      <c r="AN21" s="284">
        <f>IFERROR(ROUND(VLOOKUP($H$2,'R5年度'!$B$6:$GJ$52,147,0)/1000,0),"-")</f>
        <v>357061</v>
      </c>
      <c r="AO21" s="284">
        <f>IFERROR(ROUND(VLOOKUP($H$2,'R6年度'!$B$6:$GK$52,147,0)/1000,0),"-")</f>
        <v>294649</v>
      </c>
    </row>
    <row r="22" spans="1:41" ht="15" customHeight="1" thickBot="1" x14ac:dyDescent="0.2">
      <c r="A22" s="17"/>
      <c r="B22" s="509"/>
      <c r="C22" s="500" t="s">
        <v>194</v>
      </c>
      <c r="D22" s="501"/>
      <c r="E22" s="502"/>
      <c r="F22" s="294" t="str">
        <f>IFERROR(ROUND((VLOOKUP($H$2,'1年度'!$B$6:$GI$50,146,0)-VLOOKUP($H$2,'1年度'!$B$6:$GI$50,147,0))/1000,0),"-")</f>
        <v>-</v>
      </c>
      <c r="G22" s="294" t="str">
        <f>IFERROR(ROUND((VLOOKUP($H$2,'2年度'!$B$6:$GI$50,146,0)-VLOOKUP($H$2,'2年度'!$B$6:$GI$50,147,0))/1000,0),"-")</f>
        <v>-</v>
      </c>
      <c r="H22" s="294" t="str">
        <f>IFERROR(ROUND((VLOOKUP($H$2,'3年度'!$B$6:$GI$50,146,0)-VLOOKUP($H$2,'3年度'!$B$6:$GI$50,147,0))/1000,0),"-")</f>
        <v>-</v>
      </c>
      <c r="I22" s="294" t="str">
        <f>IFERROR(ROUND((VLOOKUP($H$2,'4年度'!$B$6:$GI$50,146,0)-VLOOKUP($H$2,'4年度'!$B$6:$GI$50,147,0))/1000,0),"-")</f>
        <v>-</v>
      </c>
      <c r="J22" s="294" t="str">
        <f>IFERROR(ROUND((VLOOKUP($H$2,'5年度'!$B$6:$GI$50,146,0)-VLOOKUP($H$2,'5年度'!$B$6:$GI$50,147,0))/1000,0),"-")</f>
        <v>-</v>
      </c>
      <c r="K22" s="294" t="str">
        <f>IFERROR(ROUND((VLOOKUP($H$2,'6年度'!$B$6:$GI$50,146,0)-VLOOKUP($H$2,'6年度'!$B$6:$GI$50,147,0))/1000,0),"-")</f>
        <v>-</v>
      </c>
      <c r="L22" s="294" t="str">
        <f>IFERROR(ROUND((VLOOKUP($H$2,'7年度'!$B$6:$GI$50,146,0)-VLOOKUP($H$2,'7年度'!$B$6:$GI$50,147,0))/1000,0),"-")</f>
        <v>-</v>
      </c>
      <c r="M22" s="294" t="str">
        <f>IFERROR(ROUND((VLOOKUP($H$2,'8年度'!$B$6:$GI$50,146,0)-VLOOKUP($H$2,'8年度'!$B$6:$GI$50,147,0))/1000,0),"-")</f>
        <v>-</v>
      </c>
      <c r="N22" s="294" t="str">
        <f>IFERROR(ROUND((VLOOKUP($H$2,'9年度'!$B$6:$GI$50,146,0)-VLOOKUP($H$2,'9年度'!$B$6:$GI$50,147,0))/1000,0),"-")</f>
        <v>-</v>
      </c>
      <c r="O22" s="294" t="str">
        <f>IFERROR(ROUND((VLOOKUP($H$2,'10年度'!$B$6:$GI$50,146,0)-VLOOKUP($H$2,'10年度'!$B$6:$GI$50,147,0))/1000,0),"-")</f>
        <v>-</v>
      </c>
      <c r="P22" s="294" t="str">
        <f>IFERROR(ROUND((VLOOKUP($H$2,'11年度'!$B$6:$GI$50,146,0)-VLOOKUP($H$2,'11年度'!$B$6:$GI$50,147,0))/1000,0),"-")</f>
        <v>-</v>
      </c>
      <c r="Q22" s="294" t="str">
        <f>IFERROR(ROUND((VLOOKUP($H$2,'12年度'!$B$6:$GI$50,146,0)-VLOOKUP($H$2,'12年度'!$B$6:$GI$50,147,0))/1000,0),"-")</f>
        <v>-</v>
      </c>
      <c r="R22" s="294" t="str">
        <f>IFERROR(ROUND((VLOOKUP($H$2,'13年度'!$B$6:$GI$50,146,0)-VLOOKUP($H$2,'13年度'!$B$6:$GI$50,147,0))/1000,0),"-")</f>
        <v>-</v>
      </c>
      <c r="S22" s="294" t="str">
        <f>IFERROR(ROUND((VLOOKUP($H$2,'14年度'!$B$6:$GI$50,146,0)-VLOOKUP($H$2,'14年度'!$B$6:$GI$50,147,0))/1000,0),"-")</f>
        <v>-</v>
      </c>
      <c r="T22" s="295" t="str">
        <f>IFERROR(ROUND((VLOOKUP($H$2,'15年度'!$B$6:$GI$50,146,0)-VLOOKUP($H$2,'15年度'!$B$6:$GI$50,147,0))/1000,0),"-")</f>
        <v>-</v>
      </c>
      <c r="U22" s="294" t="str">
        <f>IFERROR(ROUND((VLOOKUP($H$2,'16年度'!$B$6:$GI$50,146,0)-VLOOKUP($H$2,'16年度'!$B$6:$GI$50,147,0))/1000,0),"-")</f>
        <v>-</v>
      </c>
      <c r="V22" s="296" t="str">
        <f>IFERROR(ROUND((VLOOKUP($H$2,'17年度'!$B$6:$GI$50,146,0)-VLOOKUP($H$2,'17年度'!$B$6:$GI$50,147,0))/1000,0),"-")</f>
        <v>-</v>
      </c>
      <c r="W22" s="295" t="str">
        <f>IFERROR(ROUND((VLOOKUP($H$2,'18年度'!$B$6:$GI$50,146,0)-VLOOKUP($H$2,'18年度'!$B$6:$GI$50,147,0))/1000,0),"-")</f>
        <v>-</v>
      </c>
      <c r="X22" s="295" t="str">
        <f>IFERROR(ROUND((VLOOKUP($H$2,'19年度'!$B$6:$GI$50,146,0)-VLOOKUP($H$2,'19年度'!$B$6:$GI$50,147,0))/1000,0),"-")</f>
        <v>-</v>
      </c>
      <c r="Y22" s="295" t="str">
        <f>IFERROR(ROUND((VLOOKUP($H$2,'20年度'!$B$6:$GI$50,146,0)-VLOOKUP($H$2,'20年度'!$B$6:$GI$50,147,0))/1000,0),"-")</f>
        <v>-</v>
      </c>
      <c r="Z22" s="295" t="str">
        <f>IFERROR(ROUND((VLOOKUP($H$2,'21年度'!$B$6:$GI$50,146,0)-VLOOKUP($H$2,'21年度'!$B$6:$GI$50,147,0))/1000,0),"-")</f>
        <v>-</v>
      </c>
      <c r="AA22" s="294" t="str">
        <f>IFERROR(ROUND((VLOOKUP($H$2,'22年度'!$B$6:$GI$50,146,0)-VLOOKUP($H$2,'22年度'!$B$6:$GI$50,147,0))/1000,0),"-")</f>
        <v>-</v>
      </c>
      <c r="AB22" s="296">
        <f>IFERROR(ROUND((VLOOKUP($H$2,'23年度'!$B$6:$GI$52,146,0)-VLOOKUP($H$2,'23年度'!$B$6:$GI$52,147,0))/1000,0),"-")</f>
        <v>2291326</v>
      </c>
      <c r="AC22" s="295">
        <f>IFERROR(ROUND((VLOOKUP($H$2,'24年度'!$B$6:$GI$52,146,0)-VLOOKUP($H$2,'24年度'!$B$6:$GI$52,147,0))/1000,0),"-")</f>
        <v>2303712</v>
      </c>
      <c r="AD22" s="295">
        <f>IFERROR(ROUND((VLOOKUP($H$2,'25年度'!$B$6:$GI$52,146,0)-VLOOKUP($H$2,'25年度'!$B$6:$GI$52,147,0))/1000,0),"-")</f>
        <v>2377903</v>
      </c>
      <c r="AE22" s="295">
        <f>IFERROR(ROUND((VLOOKUP($H$2,'26年度'!$B$6:$GI$52,146,0)-VLOOKUP($H$2,'26年度'!$B$6:$GI$52,147,0))/1000,0),"-")</f>
        <v>2393626</v>
      </c>
      <c r="AF22" s="294">
        <f>IFERROR(ROUND((VLOOKUP($H$2,'27年度'!$B$6:$GI$52,146,0)-VLOOKUP($H$2,'27年度'!$B$6:$GI$52,147,0))/1000,0),"-")</f>
        <v>2430941</v>
      </c>
      <c r="AG22" s="294">
        <f>IFERROR(ROUND((VLOOKUP($H$2,'28年度'!$B$6:$GI$52,146,0)-VLOOKUP($H$2,'28年度'!$B$6:$GI$52,147,0))/1000,0),"-")</f>
        <v>2335164</v>
      </c>
      <c r="AH22" s="296">
        <f>IFERROR(ROUND((VLOOKUP($H$2,'29年度'!$B$6:$GI$52,146,0)-VLOOKUP($H$2,'29年度'!$B$6:$GI$52,147,0))/1000,0),"-")</f>
        <v>2493274</v>
      </c>
      <c r="AI22" s="295">
        <f>IFERROR(ROUND((VLOOKUP($H$2,'30年度'!$B$6:$GI$52,146,0)-VLOOKUP($H$2,'30年度'!$B$6:$GI$52,147,0))/1000,0),"-")</f>
        <v>2534245</v>
      </c>
      <c r="AJ22" s="294">
        <f>IFERROR(ROUND((VLOOKUP($H$2,'R1年度'!$B$6:$GJ$52,147,0)-VLOOKUP($H$2,'R1年度'!$B$6:$GJ$52,148,0))/1000,0),"-")</f>
        <v>2562735</v>
      </c>
      <c r="AK22" s="294">
        <f>IFERROR(ROUND((VLOOKUP($H$2,'R2年度'!$B$6:$GJ$52,148,0)-VLOOKUP($H$2,'R2年度'!$B$6:$GJ$52,149,0))/1000,0),"-")</f>
        <v>2617924</v>
      </c>
      <c r="AL22" s="296">
        <f>IFERROR(ROUND((VLOOKUP($H$2,'R3年度'!$B$6:$GJ$52,148,0)-VLOOKUP($H$2,'R3年度'!$B$6:$GJ$52,149,0))/1000,0),"-")</f>
        <v>2799585</v>
      </c>
      <c r="AM22" s="297">
        <f>IFERROR(ROUND((VLOOKUP($H$2,'R4年度'!$B$6:$GJ$52,148,0)-VLOOKUP($H$2,'R4年度'!$B$6:$GJ$52,149,0))/1000,0),"-")</f>
        <v>2800851</v>
      </c>
      <c r="AN22" s="298">
        <f>IFERROR(ROUND((VLOOKUP($H$2,'R5年度'!$B$6:$GJ$52,148,0)-VLOOKUP($H$2,'R5年度'!$B$6:$GJ$52,149,0))/1000,0),"-")</f>
        <v>2936402</v>
      </c>
      <c r="AO22" s="298">
        <f>IFERROR(ROUND((VLOOKUP($H$2,'R6年度'!$B$6:$GK$52,148,0)+VLOOKUP($H$2,'R6年度'!$B$6:$GK$52,149,0))/1000,0),"-")</f>
        <v>2208450</v>
      </c>
    </row>
    <row r="23" spans="1:41" ht="15" customHeight="1" thickTop="1" x14ac:dyDescent="0.15">
      <c r="A23" s="17"/>
      <c r="B23" s="509"/>
      <c r="C23" s="517" t="s">
        <v>275</v>
      </c>
      <c r="D23" s="483"/>
      <c r="E23" s="518"/>
      <c r="F23" s="270" t="str">
        <f>IFERROR(ROUND(VLOOKUP($H$2,'1年度'!$B$6:$GI$50,148,0)/1000,0),"-")</f>
        <v>-</v>
      </c>
      <c r="G23" s="270" t="str">
        <f>IFERROR(ROUND(VLOOKUP($H$2,'2年度'!$B$6:$GI$50,148,0)/1000,0),"-")</f>
        <v>-</v>
      </c>
      <c r="H23" s="270" t="str">
        <f>IFERROR(ROUND(VLOOKUP($H$2,'3年度'!$B$6:$GI$50,148,0)/1000,0),"-")</f>
        <v>-</v>
      </c>
      <c r="I23" s="270" t="str">
        <f>IFERROR(ROUND(VLOOKUP($H$2,'4年度'!$B$6:$GI$50,148,0)/1000,0),"-")</f>
        <v>-</v>
      </c>
      <c r="J23" s="270" t="str">
        <f>IFERROR(ROUND(VLOOKUP($H$2,'5年度'!$B$6:$GI$50,148,0)/1000,0),"-")</f>
        <v>-</v>
      </c>
      <c r="K23" s="270" t="str">
        <f>IFERROR(ROUND(VLOOKUP($H$2,'6年度'!$B$6:$GI$50,148,0)/1000,0),"-")</f>
        <v>-</v>
      </c>
      <c r="L23" s="270" t="str">
        <f>IFERROR(ROUND(VLOOKUP($H$2,'7年度'!$B$6:$GI$50,148,0)/1000,0),"-")</f>
        <v>-</v>
      </c>
      <c r="M23" s="270" t="str">
        <f>IFERROR(ROUND(VLOOKUP($H$2,'8年度'!$B$6:$GI$50,148,0)/1000,0),"-")</f>
        <v>-</v>
      </c>
      <c r="N23" s="270" t="str">
        <f>IFERROR(ROUND(VLOOKUP($H$2,'9年度'!$B$6:$GI$50,148,0)/1000,0),"-")</f>
        <v>-</v>
      </c>
      <c r="O23" s="270" t="str">
        <f>IFERROR(ROUND(VLOOKUP($H$2,'10年度'!$B$6:$GI$50,148,0)/1000,0),"-")</f>
        <v>-</v>
      </c>
      <c r="P23" s="270" t="str">
        <f>IFERROR(ROUND(VLOOKUP($H$2,'11年度'!$B$6:$GI$50,148,0)/1000,0),"-")</f>
        <v>-</v>
      </c>
      <c r="Q23" s="270" t="str">
        <f>IFERROR(ROUND(VLOOKUP($H$2,'12年度'!$B$6:$GI$50,148,0)/1000,0),"-")</f>
        <v>-</v>
      </c>
      <c r="R23" s="270" t="str">
        <f>IFERROR(ROUND(VLOOKUP($H$2,'13年度'!$B$6:$GI$50,148,0)/1000,0),"-")</f>
        <v>-</v>
      </c>
      <c r="S23" s="270" t="str">
        <f>IFERROR(ROUND(VLOOKUP($H$2,'14年度'!$B$6:$GI$50,148,0)/1000,0),"-")</f>
        <v>-</v>
      </c>
      <c r="T23" s="271" t="str">
        <f>IFERROR(ROUND(VLOOKUP($H$2,'15年度'!$B$6:$GI$50,148,0)/1000,0),"-")</f>
        <v>-</v>
      </c>
      <c r="U23" s="270" t="str">
        <f>IFERROR(ROUND(VLOOKUP($H$2,'16年度'!$B$6:$GI$50,148,0)/1000,0),"-")</f>
        <v>-</v>
      </c>
      <c r="V23" s="272" t="str">
        <f>IFERROR(ROUND(VLOOKUP($H$2,'17年度'!$B$6:$GI$50,148,0)/1000,0),"-")</f>
        <v>-</v>
      </c>
      <c r="W23" s="271" t="str">
        <f>IFERROR(ROUND(VLOOKUP($H$2,'18年度'!$B$6:$GI$50,148,0)/1000,0),"-")</f>
        <v>-</v>
      </c>
      <c r="X23" s="271" t="str">
        <f>IFERROR(ROUND(VLOOKUP($H$2,'19年度'!$B$6:$GI$50,148,0)/1000,0),"-")</f>
        <v>-</v>
      </c>
      <c r="Y23" s="271" t="str">
        <f>IFERROR(ROUND(VLOOKUP($H$2,'20年度'!$B$6:$GI$50,148,0)/1000,0),"-")</f>
        <v>-</v>
      </c>
      <c r="Z23" s="271" t="str">
        <f>IFERROR(ROUND(VLOOKUP($H$2,'21年度'!$B$6:$GI$50,148,0)/1000,0),"-")</f>
        <v>-</v>
      </c>
      <c r="AA23" s="270" t="str">
        <f>IFERROR(ROUND(VLOOKUP($H$2,'22年度'!$B$6:$GI$50,148,0)/1000,0),"-")</f>
        <v>-</v>
      </c>
      <c r="AB23" s="272">
        <f>IFERROR(ROUND(VLOOKUP($H$2,'23年度'!$B$6:$GI$52,148,0)/1000,0),"-")</f>
        <v>572408</v>
      </c>
      <c r="AC23" s="271">
        <f>IFERROR(ROUND(VLOOKUP($H$2,'24年度'!$B$6:$GI$52,148,0)/1000,0),"-")</f>
        <v>550329</v>
      </c>
      <c r="AD23" s="271">
        <f>IFERROR(ROUND(VLOOKUP($H$2,'25年度'!$B$6:$GI$52,148,0)/1000,0),"-")</f>
        <v>513717</v>
      </c>
      <c r="AE23" s="271">
        <f>IFERROR(ROUND(VLOOKUP($H$2,'26年度'!$B$6:$GI$52,148,0)/1000,0),"-")</f>
        <v>513427</v>
      </c>
      <c r="AF23" s="270">
        <f>IFERROR(ROUND(VLOOKUP($H$2,'27年度'!$B$6:$GI$52,148,0)/1000,0),"-")</f>
        <v>507256</v>
      </c>
      <c r="AG23" s="270">
        <f>IFERROR(ROUND(VLOOKUP($H$2,'28年度'!$B$6:$GI$52,148,0)/1000,0),"-")</f>
        <v>493362</v>
      </c>
      <c r="AH23" s="272">
        <f>IFERROR(ROUND(VLOOKUP($H$2,'29年度'!$B$6:$GI$52,148,0)/1000,0),"-")</f>
        <v>603697</v>
      </c>
      <c r="AI23" s="271">
        <f>IFERROR(ROUND(VLOOKUP($H$2,'30年度'!$B$6:$GI$52,148,0)/1000,0),"-")</f>
        <v>606603</v>
      </c>
      <c r="AJ23" s="270">
        <f>IFERROR(ROUND(VLOOKUP($H$2,'R1年度'!$B$6:$GJ$52,149,0)/1000,0),"-")</f>
        <v>606408</v>
      </c>
      <c r="AK23" s="270">
        <f>IFERROR(ROUND(VLOOKUP($H$2,'R2年度'!$B$6:$GJ$52,150,0)/1000,0),"-")</f>
        <v>625100</v>
      </c>
      <c r="AL23" s="272">
        <f>IFERROR(ROUND(VLOOKUP($H$2,'R3年度'!$B$6:$GJ$52,150,0)/1000,0),"-")</f>
        <v>624576</v>
      </c>
      <c r="AM23" s="271">
        <f>IFERROR(ROUND(VLOOKUP($H$2,'R4年度'!$B$6:$GJ$52,150,0)/1000,0),"-")</f>
        <v>625476</v>
      </c>
      <c r="AN23" s="299">
        <f>IFERROR(ROUND(VLOOKUP($H$2,'R5年度'!$B$6:$GJ$52,150,0)/1000,0),"-")</f>
        <v>615221</v>
      </c>
      <c r="AO23" s="300">
        <f>IFERROR(ROUND(VLOOKUP($H$2,'R6年度'!$B$6:$GK$52,150,0)/1000,0),"-")</f>
        <v>671638</v>
      </c>
    </row>
    <row r="24" spans="1:41" ht="15" customHeight="1" x14ac:dyDescent="0.15">
      <c r="A24" s="17"/>
      <c r="B24" s="509"/>
      <c r="C24" s="69"/>
      <c r="D24" s="525" t="s">
        <v>276</v>
      </c>
      <c r="E24" s="526"/>
      <c r="F24" s="285" t="str">
        <f>IFERROR(ROUND(VLOOKUP($H$2,'1年度'!$B$6:$GI$50,149,0)/1000,0),"-")</f>
        <v>-</v>
      </c>
      <c r="G24" s="285" t="str">
        <f>IFERROR(ROUND(VLOOKUP($H$2,'2年度'!$B$6:$GI$50,149,0)/1000,0),"-")</f>
        <v>-</v>
      </c>
      <c r="H24" s="285" t="str">
        <f>IFERROR(ROUND(VLOOKUP($H$2,'3年度'!$B$6:$GI$50,149,0)/1000,0),"-")</f>
        <v>-</v>
      </c>
      <c r="I24" s="285" t="str">
        <f>IFERROR(ROUND(VLOOKUP($H$2,'4年度'!$B$6:$GI$50,149,0)/1000,0),"-")</f>
        <v>-</v>
      </c>
      <c r="J24" s="285" t="str">
        <f>IFERROR(ROUND(VLOOKUP($H$2,'5年度'!$B$6:$GI$50,149,0)/1000,0),"-")</f>
        <v>-</v>
      </c>
      <c r="K24" s="285" t="str">
        <f>IFERROR(ROUND(VLOOKUP($H$2,'6年度'!$B$6:$GI$50,149,0)/1000,0),"-")</f>
        <v>-</v>
      </c>
      <c r="L24" s="285" t="str">
        <f>IFERROR(ROUND(VLOOKUP($H$2,'7年度'!$B$6:$GI$50,149,0)/1000,0),"-")</f>
        <v>-</v>
      </c>
      <c r="M24" s="285" t="str">
        <f>IFERROR(ROUND(VLOOKUP($H$2,'8年度'!$B$6:$GI$50,149,0)/1000,0),"-")</f>
        <v>-</v>
      </c>
      <c r="N24" s="285" t="str">
        <f>IFERROR(ROUND(VLOOKUP($H$2,'9年度'!$B$6:$GI$50,149,0)/1000,0),"-")</f>
        <v>-</v>
      </c>
      <c r="O24" s="285" t="str">
        <f>IFERROR(ROUND(VLOOKUP($H$2,'10年度'!$B$6:$GI$50,149,0)/1000,0),"-")</f>
        <v>-</v>
      </c>
      <c r="P24" s="285" t="str">
        <f>IFERROR(ROUND(VLOOKUP($H$2,'11年度'!$B$6:$GI$50,149,0)/1000,0),"-")</f>
        <v>-</v>
      </c>
      <c r="Q24" s="285" t="str">
        <f>IFERROR(ROUND(VLOOKUP($H$2,'12年度'!$B$6:$GI$50,149,0)/1000,0),"-")</f>
        <v>-</v>
      </c>
      <c r="R24" s="285" t="str">
        <f>IFERROR(ROUND(VLOOKUP($H$2,'13年度'!$B$6:$GI$50,149,0)/1000,0),"-")</f>
        <v>-</v>
      </c>
      <c r="S24" s="285" t="str">
        <f>IFERROR(ROUND(VLOOKUP($H$2,'14年度'!$B$6:$GI$50,149,0)/1000,0),"-")</f>
        <v>-</v>
      </c>
      <c r="T24" s="286" t="str">
        <f>IFERROR(ROUND(VLOOKUP($H$2,'15年度'!$B$6:$GI$50,149,0)/1000,0),"-")</f>
        <v>-</v>
      </c>
      <c r="U24" s="285" t="str">
        <f>IFERROR(ROUND(VLOOKUP($H$2,'16年度'!$B$6:$GI$50,149,0)/1000,0),"-")</f>
        <v>-</v>
      </c>
      <c r="V24" s="287" t="str">
        <f>IFERROR(ROUND(VLOOKUP($H$2,'17年度'!$B$6:$GI$50,149,0)/1000,0),"-")</f>
        <v>-</v>
      </c>
      <c r="W24" s="286" t="str">
        <f>IFERROR(ROUND(VLOOKUP($H$2,'18年度'!$B$6:$GI$50,149,0)/1000,0),"-")</f>
        <v>-</v>
      </c>
      <c r="X24" s="286" t="str">
        <f>IFERROR(ROUND(VLOOKUP($H$2,'19年度'!$B$6:$GI$50,149,0)/1000,0),"-")</f>
        <v>-</v>
      </c>
      <c r="Y24" s="286" t="str">
        <f>IFERROR(ROUND(VLOOKUP($H$2,'20年度'!$B$6:$GI$50,149,0)/1000,0),"-")</f>
        <v>-</v>
      </c>
      <c r="Z24" s="286" t="str">
        <f>IFERROR(ROUND(VLOOKUP($H$2,'21年度'!$B$6:$GI$50,149,0)/1000,0),"-")</f>
        <v>-</v>
      </c>
      <c r="AA24" s="285" t="str">
        <f>IFERROR(ROUND(VLOOKUP($H$2,'22年度'!$B$6:$GI$50,149,0)/1000,0),"-")</f>
        <v>-</v>
      </c>
      <c r="AB24" s="287">
        <f>IFERROR(ROUND(VLOOKUP($H$2,'23年度'!$B$6:$GI$52,149,0)/1000,0),"-")</f>
        <v>376589</v>
      </c>
      <c r="AC24" s="286">
        <f>IFERROR(ROUND(VLOOKUP($H$2,'24年度'!$B$6:$GI$52,149,0)/1000,0),"-")</f>
        <v>362134</v>
      </c>
      <c r="AD24" s="286">
        <f>IFERROR(ROUND(VLOOKUP($H$2,'25年度'!$B$6:$GI$52,149,0)/1000,0),"-")</f>
        <v>345219</v>
      </c>
      <c r="AE24" s="286">
        <f>IFERROR(ROUND(VLOOKUP($H$2,'26年度'!$B$6:$GI$52,149,0)/1000,0),"-")</f>
        <v>348202</v>
      </c>
      <c r="AF24" s="285">
        <f>IFERROR(ROUND(VLOOKUP($H$2,'27年度'!$B$6:$GI$52,149,0)/1000,0),"-")</f>
        <v>342296</v>
      </c>
      <c r="AG24" s="285">
        <f>IFERROR(ROUND(VLOOKUP($H$2,'28年度'!$B$6:$GI$52,149,0)/1000,0),"-")</f>
        <v>337362</v>
      </c>
      <c r="AH24" s="287">
        <f>IFERROR(ROUND(VLOOKUP($H$2,'29年度'!$B$6:$GI$52,149,0)/1000,0),"-")</f>
        <v>414951</v>
      </c>
      <c r="AI24" s="286">
        <f>IFERROR(ROUND(VLOOKUP($H$2,'30年度'!$B$6:$GI$52,149,0)/1000,0),"-")</f>
        <v>419927</v>
      </c>
      <c r="AJ24" s="285">
        <f>IFERROR(ROUND(VLOOKUP($H$2,'R1年度'!$B$6:$GJ$52,150,0)/1000,0),"-")</f>
        <v>421272</v>
      </c>
      <c r="AK24" s="285">
        <f>IFERROR(ROUND(VLOOKUP($H$2,'R2年度'!$B$6:$GJ$52,151,0)/1000,0),"-")</f>
        <v>424097</v>
      </c>
      <c r="AL24" s="287">
        <f>IFERROR(ROUND(VLOOKUP($H$2,'R3年度'!$B$6:$GJ$52,151,0)/1000,0),"-")</f>
        <v>420305</v>
      </c>
      <c r="AM24" s="286">
        <f>IFERROR(ROUND(VLOOKUP($H$2,'R4年度'!$B$6:$GJ$52,151,0)/1000,0),"-")</f>
        <v>421114</v>
      </c>
      <c r="AN24" s="285">
        <f>IFERROR(ROUND(VLOOKUP($H$2,'R5年度'!$B$6:$GJ$52,151,0)/1000,0),"-")</f>
        <v>427807</v>
      </c>
      <c r="AO24" s="301">
        <f>IFERROR(ROUND(VLOOKUP($H$2,'R6年度'!$B$6:$GK$52,151,0)/1000,0),"-")</f>
        <v>446454</v>
      </c>
    </row>
    <row r="25" spans="1:41" ht="15" customHeight="1" x14ac:dyDescent="0.15">
      <c r="A25" s="17"/>
      <c r="B25" s="509"/>
      <c r="C25" s="506" t="s">
        <v>277</v>
      </c>
      <c r="D25" s="507"/>
      <c r="E25" s="479"/>
      <c r="F25" s="281" t="str">
        <f>IFERROR(ROUND(VLOOKUP($H$2,'1年度'!$B$6:$GI$50,150,0)/1000,0),"-")</f>
        <v>-</v>
      </c>
      <c r="G25" s="281" t="str">
        <f>IFERROR(ROUND(VLOOKUP($H$2,'2年度'!$B$6:$GI$50,150,0)/1000,0),"-")</f>
        <v>-</v>
      </c>
      <c r="H25" s="281" t="str">
        <f>IFERROR(ROUND(VLOOKUP($H$2,'3年度'!$B$6:$GI$50,150,0)/1000,0),"-")</f>
        <v>-</v>
      </c>
      <c r="I25" s="281" t="str">
        <f>IFERROR(ROUND(VLOOKUP($H$2,'4年度'!$B$6:$GI$50,150,0)/1000,0),"-")</f>
        <v>-</v>
      </c>
      <c r="J25" s="281" t="str">
        <f>IFERROR(ROUND(VLOOKUP($H$2,'5年度'!$B$6:$GI$50,150,0)/1000,0),"-")</f>
        <v>-</v>
      </c>
      <c r="K25" s="281" t="str">
        <f>IFERROR(ROUND(VLOOKUP($H$2,'6年度'!$B$6:$GI$50,150,0)/1000,0),"-")</f>
        <v>-</v>
      </c>
      <c r="L25" s="281" t="str">
        <f>IFERROR(ROUND(VLOOKUP($H$2,'7年度'!$B$6:$GI$50,150,0)/1000,0),"-")</f>
        <v>-</v>
      </c>
      <c r="M25" s="281" t="str">
        <f>IFERROR(ROUND(VLOOKUP($H$2,'8年度'!$B$6:$GI$50,150,0)/1000,0),"-")</f>
        <v>-</v>
      </c>
      <c r="N25" s="281" t="str">
        <f>IFERROR(ROUND(VLOOKUP($H$2,'9年度'!$B$6:$GI$50,150,0)/1000,0),"-")</f>
        <v>-</v>
      </c>
      <c r="O25" s="281" t="str">
        <f>IFERROR(ROUND(VLOOKUP($H$2,'10年度'!$B$6:$GI$50,150,0)/1000,0),"-")</f>
        <v>-</v>
      </c>
      <c r="P25" s="281" t="str">
        <f>IFERROR(ROUND(VLOOKUP($H$2,'11年度'!$B$6:$GI$50,150,0)/1000,0),"-")</f>
        <v>-</v>
      </c>
      <c r="Q25" s="281" t="str">
        <f>IFERROR(ROUND(VLOOKUP($H$2,'12年度'!$B$6:$GI$50,150,0)/1000,0),"-")</f>
        <v>-</v>
      </c>
      <c r="R25" s="281" t="str">
        <f>IFERROR(ROUND(VLOOKUP($H$2,'13年度'!$B$6:$GI$50,150,0)/1000,0),"-")</f>
        <v>-</v>
      </c>
      <c r="S25" s="281" t="str">
        <f>IFERROR(ROUND(VLOOKUP($H$2,'14年度'!$B$6:$GI$50,150,0)/1000,0),"-")</f>
        <v>-</v>
      </c>
      <c r="T25" s="282" t="str">
        <f>IFERROR(ROUND(VLOOKUP($H$2,'15年度'!$B$6:$GI$50,150,0)/1000,0),"-")</f>
        <v>-</v>
      </c>
      <c r="U25" s="281" t="str">
        <f>IFERROR(ROUND(VLOOKUP($H$2,'16年度'!$B$6:$GI$50,150,0)/1000,0),"-")</f>
        <v>-</v>
      </c>
      <c r="V25" s="283" t="str">
        <f>IFERROR(ROUND(VLOOKUP($H$2,'17年度'!$B$6:$GI$50,150,0)/1000,0),"-")</f>
        <v>-</v>
      </c>
      <c r="W25" s="282" t="str">
        <f>IFERROR(ROUND(VLOOKUP($H$2,'18年度'!$B$6:$GI$50,150,0)/1000,0),"-")</f>
        <v>-</v>
      </c>
      <c r="X25" s="282" t="str">
        <f>IFERROR(ROUND(VLOOKUP($H$2,'19年度'!$B$6:$GI$50,150,0)/1000,0),"-")</f>
        <v>-</v>
      </c>
      <c r="Y25" s="282" t="str">
        <f>IFERROR(ROUND(VLOOKUP($H$2,'20年度'!$B$6:$GI$50,150,0)/1000,0),"-")</f>
        <v>-</v>
      </c>
      <c r="Z25" s="282" t="str">
        <f>IFERROR(ROUND(VLOOKUP($H$2,'21年度'!$B$6:$GI$50,150,0)/1000,0),"-")</f>
        <v>-</v>
      </c>
      <c r="AA25" s="281" t="str">
        <f>IFERROR(ROUND(VLOOKUP($H$2,'22年度'!$B$6:$GI$50,150,0)/1000,0),"-")</f>
        <v>-</v>
      </c>
      <c r="AB25" s="283">
        <f>IFERROR(ROUND(VLOOKUP($H$2,'23年度'!$B$6:$GI$52,150,0)/1000,0),"-")</f>
        <v>317439</v>
      </c>
      <c r="AC25" s="282">
        <f>IFERROR(ROUND(VLOOKUP($H$2,'24年度'!$B$6:$GI$52,150,0)/1000,0),"-")</f>
        <v>330412</v>
      </c>
      <c r="AD25" s="282">
        <f>IFERROR(ROUND(VLOOKUP($H$2,'25年度'!$B$6:$GI$52,150,0)/1000,0),"-")</f>
        <v>333550</v>
      </c>
      <c r="AE25" s="282">
        <f>IFERROR(ROUND(VLOOKUP($H$2,'26年度'!$B$6:$GI$52,150,0)/1000,0),"-")</f>
        <v>348628</v>
      </c>
      <c r="AF25" s="281">
        <f>IFERROR(ROUND(VLOOKUP($H$2,'27年度'!$B$6:$GI$52,150,0)/1000,0),"-")</f>
        <v>358214</v>
      </c>
      <c r="AG25" s="281">
        <f>IFERROR(ROUND(VLOOKUP($H$2,'28年度'!$B$6:$GI$52,150,0)/1000,0),"-")</f>
        <v>364385</v>
      </c>
      <c r="AH25" s="283">
        <f>IFERROR(ROUND(VLOOKUP($H$2,'29年度'!$B$6:$GI$52,150,0)/1000,0),"-")</f>
        <v>380240</v>
      </c>
      <c r="AI25" s="282">
        <f>IFERROR(ROUND(VLOOKUP($H$2,'30年度'!$B$6:$GI$52,150,0)/1000,0),"-")</f>
        <v>382542</v>
      </c>
      <c r="AJ25" s="281">
        <f>IFERROR(ROUND(VLOOKUP($H$2,'R1年度'!$B$6:$GJ$52,151,0)/1000,0),"-")</f>
        <v>401434</v>
      </c>
      <c r="AK25" s="281">
        <f>IFERROR(ROUND(VLOOKUP($H$2,'R2年度'!$B$6:$GJ$52,152,0)/1000,0),"-")</f>
        <v>386808</v>
      </c>
      <c r="AL25" s="283">
        <f>IFERROR(ROUND(VLOOKUP($H$2,'R3年度'!$B$6:$GJ$52,152,0)/1000,0),"-")</f>
        <v>403902</v>
      </c>
      <c r="AM25" s="282">
        <f>IFERROR(ROUND(VLOOKUP($H$2,'R4年度'!$B$6:$GJ$52,152,0)/1000,0),"-")</f>
        <v>418711</v>
      </c>
      <c r="AN25" s="281">
        <f>IFERROR(ROUND(VLOOKUP($H$2,'R5年度'!$B$6:$GJ$52,152,0)/1000,0),"-")</f>
        <v>579801</v>
      </c>
      <c r="AO25" s="302">
        <f>IFERROR(ROUND(VLOOKUP($H$2,'R6年度'!$B$6:$GK$52,152,0)/1000,0),"-")</f>
        <v>589657</v>
      </c>
    </row>
    <row r="26" spans="1:41" ht="15" customHeight="1" x14ac:dyDescent="0.15">
      <c r="A26" s="17"/>
      <c r="B26" s="509"/>
      <c r="C26" s="506" t="s">
        <v>278</v>
      </c>
      <c r="D26" s="507"/>
      <c r="E26" s="479"/>
      <c r="F26" s="281" t="str">
        <f>IFERROR(ROUND(VLOOKUP($H$2,'1年度'!$B$6:$GI$50,151,0)/1000,0),"-")</f>
        <v>-</v>
      </c>
      <c r="G26" s="281" t="str">
        <f>IFERROR(ROUND(VLOOKUP($H$2,'2年度'!$B$6:$GI$50,151,0)/1000,0),"-")</f>
        <v>-</v>
      </c>
      <c r="H26" s="281" t="str">
        <f>IFERROR(ROUND(VLOOKUP($H$2,'3年度'!$B$6:$GI$50,151,0)/1000,0),"-")</f>
        <v>-</v>
      </c>
      <c r="I26" s="281" t="str">
        <f>IFERROR(ROUND(VLOOKUP($H$2,'4年度'!$B$6:$GI$50,151,0)/1000,0),"-")</f>
        <v>-</v>
      </c>
      <c r="J26" s="281" t="str">
        <f>IFERROR(ROUND(VLOOKUP($H$2,'5年度'!$B$6:$GI$50,151,0)/1000,0),"-")</f>
        <v>-</v>
      </c>
      <c r="K26" s="281" t="str">
        <f>IFERROR(ROUND(VLOOKUP($H$2,'6年度'!$B$6:$GI$50,151,0)/1000,0),"-")</f>
        <v>-</v>
      </c>
      <c r="L26" s="281" t="str">
        <f>IFERROR(ROUND(VLOOKUP($H$2,'7年度'!$B$6:$GI$50,151,0)/1000,0),"-")</f>
        <v>-</v>
      </c>
      <c r="M26" s="281" t="str">
        <f>IFERROR(ROUND(VLOOKUP($H$2,'8年度'!$B$6:$GI$50,151,0)/1000,0),"-")</f>
        <v>-</v>
      </c>
      <c r="N26" s="281" t="str">
        <f>IFERROR(ROUND(VLOOKUP($H$2,'9年度'!$B$6:$GI$50,151,0)/1000,0),"-")</f>
        <v>-</v>
      </c>
      <c r="O26" s="281" t="str">
        <f>IFERROR(ROUND(VLOOKUP($H$2,'10年度'!$B$6:$GI$50,151,0)/1000,0),"-")</f>
        <v>-</v>
      </c>
      <c r="P26" s="281" t="str">
        <f>IFERROR(ROUND(VLOOKUP($H$2,'11年度'!$B$6:$GI$50,151,0)/1000,0),"-")</f>
        <v>-</v>
      </c>
      <c r="Q26" s="281" t="str">
        <f>IFERROR(ROUND(VLOOKUP($H$2,'12年度'!$B$6:$GI$50,151,0)/1000,0),"-")</f>
        <v>-</v>
      </c>
      <c r="R26" s="281" t="str">
        <f>IFERROR(ROUND(VLOOKUP($H$2,'13年度'!$B$6:$GI$50,151,0)/1000,0),"-")</f>
        <v>-</v>
      </c>
      <c r="S26" s="281" t="str">
        <f>IFERROR(ROUND(VLOOKUP($H$2,'14年度'!$B$6:$GI$50,151,0)/1000,0),"-")</f>
        <v>-</v>
      </c>
      <c r="T26" s="282" t="str">
        <f>IFERROR(ROUND(VLOOKUP($H$2,'15年度'!$B$6:$GI$50,151,0)/1000,0),"-")</f>
        <v>-</v>
      </c>
      <c r="U26" s="281" t="str">
        <f>IFERROR(ROUND(VLOOKUP($H$2,'16年度'!$B$6:$GI$50,151,0)/1000,0),"-")</f>
        <v>-</v>
      </c>
      <c r="V26" s="283" t="str">
        <f>IFERROR(ROUND(VLOOKUP($H$2,'17年度'!$B$6:$GI$50,151,0)/1000,0),"-")</f>
        <v>-</v>
      </c>
      <c r="W26" s="282" t="str">
        <f>IFERROR(ROUND(VLOOKUP($H$2,'18年度'!$B$6:$GI$50,151,0)/1000,0),"-")</f>
        <v>-</v>
      </c>
      <c r="X26" s="282" t="str">
        <f>IFERROR(ROUND(VLOOKUP($H$2,'19年度'!$B$6:$GI$50,151,0)/1000,0),"-")</f>
        <v>-</v>
      </c>
      <c r="Y26" s="282" t="str">
        <f>IFERROR(ROUND(VLOOKUP($H$2,'20年度'!$B$6:$GI$50,151,0)/1000,0),"-")</f>
        <v>-</v>
      </c>
      <c r="Z26" s="282" t="str">
        <f>IFERROR(ROUND(VLOOKUP($H$2,'21年度'!$B$6:$GI$50,151,0)/1000,0),"-")</f>
        <v>-</v>
      </c>
      <c r="AA26" s="281" t="str">
        <f>IFERROR(ROUND(VLOOKUP($H$2,'22年度'!$B$6:$GI$50,151,0)/1000,0),"-")</f>
        <v>-</v>
      </c>
      <c r="AB26" s="283">
        <f>IFERROR(ROUND(VLOOKUP($H$2,'23年度'!$B$6:$GI$52,151,0)/1000,0),"-")</f>
        <v>413247</v>
      </c>
      <c r="AC26" s="282">
        <f>IFERROR(ROUND(VLOOKUP($H$2,'24年度'!$B$6:$GI$52,151,0)/1000,0),"-")</f>
        <v>433509</v>
      </c>
      <c r="AD26" s="282">
        <f>IFERROR(ROUND(VLOOKUP($H$2,'25年度'!$B$6:$GI$52,151,0)/1000,0),"-")</f>
        <v>455670</v>
      </c>
      <c r="AE26" s="282">
        <f>IFERROR(ROUND(VLOOKUP($H$2,'26年度'!$B$6:$GI$52,151,0)/1000,0),"-")</f>
        <v>439759</v>
      </c>
      <c r="AF26" s="281">
        <f>IFERROR(ROUND(VLOOKUP($H$2,'27年度'!$B$6:$GI$52,151,0)/1000,0),"-")</f>
        <v>445476</v>
      </c>
      <c r="AG26" s="281">
        <f>IFERROR(ROUND(VLOOKUP($H$2,'28年度'!$B$6:$GI$52,151,0)/1000,0),"-")</f>
        <v>439077</v>
      </c>
      <c r="AH26" s="283">
        <f>IFERROR(ROUND(VLOOKUP($H$2,'29年度'!$B$6:$GI$52,151,0)/1000,0),"-")</f>
        <v>421790</v>
      </c>
      <c r="AI26" s="282">
        <f>IFERROR(ROUND(VLOOKUP($H$2,'30年度'!$B$6:$GI$52,151,0)/1000,0),"-")</f>
        <v>414819</v>
      </c>
      <c r="AJ26" s="281">
        <f>IFERROR(ROUND(VLOOKUP($H$2,'R1年度'!$B$6:$GJ$52,152,0)/1000,0),"-")</f>
        <v>380638</v>
      </c>
      <c r="AK26" s="281">
        <f>IFERROR(ROUND(VLOOKUP($H$2,'R2年度'!$B$6:$GJ$52,153,0)/1000,0),"-")</f>
        <v>362219</v>
      </c>
      <c r="AL26" s="283">
        <f>IFERROR(ROUND(VLOOKUP($H$2,'R3年度'!$B$6:$GJ$52,153,0)/1000,0),"-")</f>
        <v>377703</v>
      </c>
      <c r="AM26" s="282">
        <f>IFERROR(ROUND(VLOOKUP($H$2,'R4年度'!$B$6:$GJ$52,153,0)/1000,0),"-")</f>
        <v>367779</v>
      </c>
      <c r="AN26" s="281">
        <f>IFERROR(ROUND(VLOOKUP($H$2,'R5年度'!$B$6:$GJ$52,153,0)/1000,0),"-")</f>
        <v>396871</v>
      </c>
      <c r="AO26" s="302">
        <f>IFERROR(ROUND(VLOOKUP($H$2,'R6年度'!$B$6:$GK$52,153,0)/1000,0),"-")</f>
        <v>364285</v>
      </c>
    </row>
    <row r="27" spans="1:41" ht="15" customHeight="1" x14ac:dyDescent="0.15">
      <c r="A27" s="17"/>
      <c r="B27" s="509"/>
      <c r="C27" s="506" t="s">
        <v>279</v>
      </c>
      <c r="D27" s="507"/>
      <c r="E27" s="479"/>
      <c r="F27" s="281" t="str">
        <f>IFERROR(ROUND(VLOOKUP($H$2,'1年度'!$B$6:$GI$50,152,0)/1000,0),"-")</f>
        <v>-</v>
      </c>
      <c r="G27" s="281" t="str">
        <f>IFERROR(ROUND(VLOOKUP($H$2,'2年度'!$B$6:$GI$50,152,0)/1000,0),"-")</f>
        <v>-</v>
      </c>
      <c r="H27" s="281" t="str">
        <f>IFERROR(ROUND(VLOOKUP($H$2,'3年度'!$B$6:$GI$50,152,0)/1000,0),"-")</f>
        <v>-</v>
      </c>
      <c r="I27" s="281" t="str">
        <f>IFERROR(ROUND(VLOOKUP($H$2,'4年度'!$B$6:$GI$50,152,0)/1000,0),"-")</f>
        <v>-</v>
      </c>
      <c r="J27" s="281" t="str">
        <f>IFERROR(ROUND(VLOOKUP($H$2,'5年度'!$B$6:$GI$50,152,0)/1000,0),"-")</f>
        <v>-</v>
      </c>
      <c r="K27" s="281" t="str">
        <f>IFERROR(ROUND(VLOOKUP($H$2,'6年度'!$B$6:$GI$50,152,0)/1000,0),"-")</f>
        <v>-</v>
      </c>
      <c r="L27" s="281" t="str">
        <f>IFERROR(ROUND(VLOOKUP($H$2,'7年度'!$B$6:$GI$50,152,0)/1000,0),"-")</f>
        <v>-</v>
      </c>
      <c r="M27" s="281" t="str">
        <f>IFERROR(ROUND(VLOOKUP($H$2,'8年度'!$B$6:$GI$50,152,0)/1000,0),"-")</f>
        <v>-</v>
      </c>
      <c r="N27" s="281" t="str">
        <f>IFERROR(ROUND(VLOOKUP($H$2,'9年度'!$B$6:$GI$50,152,0)/1000,0),"-")</f>
        <v>-</v>
      </c>
      <c r="O27" s="281" t="str">
        <f>IFERROR(ROUND(VLOOKUP($H$2,'10年度'!$B$6:$GI$50,152,0)/1000,0),"-")</f>
        <v>-</v>
      </c>
      <c r="P27" s="281" t="str">
        <f>IFERROR(ROUND(VLOOKUP($H$2,'11年度'!$B$6:$GI$50,152,0)/1000,0),"-")</f>
        <v>-</v>
      </c>
      <c r="Q27" s="281" t="str">
        <f>IFERROR(ROUND(VLOOKUP($H$2,'12年度'!$B$6:$GI$50,152,0)/1000,0),"-")</f>
        <v>-</v>
      </c>
      <c r="R27" s="281" t="str">
        <f>IFERROR(ROUND(VLOOKUP($H$2,'13年度'!$B$6:$GI$50,152,0)/1000,0),"-")</f>
        <v>-</v>
      </c>
      <c r="S27" s="281" t="str">
        <f>IFERROR(ROUND(VLOOKUP($H$2,'14年度'!$B$6:$GI$50,152,0)/1000,0),"-")</f>
        <v>-</v>
      </c>
      <c r="T27" s="282" t="str">
        <f>IFERROR(ROUND(VLOOKUP($H$2,'15年度'!$B$6:$GI$50,152,0)/1000,0),"-")</f>
        <v>-</v>
      </c>
      <c r="U27" s="281" t="str">
        <f>IFERROR(ROUND(VLOOKUP($H$2,'16年度'!$B$6:$GI$50,152,0)/1000,0),"-")</f>
        <v>-</v>
      </c>
      <c r="V27" s="283" t="str">
        <f>IFERROR(ROUND(VLOOKUP($H$2,'17年度'!$B$6:$GI$50,152,0)/1000,0),"-")</f>
        <v>-</v>
      </c>
      <c r="W27" s="282" t="str">
        <f>IFERROR(ROUND(VLOOKUP($H$2,'18年度'!$B$6:$GI$50,152,0)/1000,0),"-")</f>
        <v>-</v>
      </c>
      <c r="X27" s="282" t="str">
        <f>IFERROR(ROUND(VLOOKUP($H$2,'19年度'!$B$6:$GI$50,152,0)/1000,0),"-")</f>
        <v>-</v>
      </c>
      <c r="Y27" s="282" t="str">
        <f>IFERROR(ROUND(VLOOKUP($H$2,'20年度'!$B$6:$GI$50,152,0)/1000,0),"-")</f>
        <v>-</v>
      </c>
      <c r="Z27" s="282" t="str">
        <f>IFERROR(ROUND(VLOOKUP($H$2,'21年度'!$B$6:$GI$50,152,0)/1000,0),"-")</f>
        <v>-</v>
      </c>
      <c r="AA27" s="281" t="str">
        <f>IFERROR(ROUND(VLOOKUP($H$2,'22年度'!$B$6:$GI$50,152,0)/1000,0),"-")</f>
        <v>-</v>
      </c>
      <c r="AB27" s="283">
        <f>IFERROR(ROUND(VLOOKUP($H$2,'23年度'!$B$6:$GI$52,152,0)/1000,0),"-")</f>
        <v>71749</v>
      </c>
      <c r="AC27" s="282">
        <f>IFERROR(ROUND(VLOOKUP($H$2,'24年度'!$B$6:$GI$52,152,0)/1000,0),"-")</f>
        <v>79932</v>
      </c>
      <c r="AD27" s="282">
        <f>IFERROR(ROUND(VLOOKUP($H$2,'25年度'!$B$6:$GI$52,152,0)/1000,0),"-")</f>
        <v>76664</v>
      </c>
      <c r="AE27" s="282">
        <f>IFERROR(ROUND(VLOOKUP($H$2,'26年度'!$B$6:$GI$52,152,0)/1000,0),"-")</f>
        <v>82916</v>
      </c>
      <c r="AF27" s="281">
        <f>IFERROR(ROUND(VLOOKUP($H$2,'27年度'!$B$6:$GI$52,152,0)/1000,0),"-")</f>
        <v>93601</v>
      </c>
      <c r="AG27" s="281">
        <f>IFERROR(ROUND(VLOOKUP($H$2,'28年度'!$B$6:$GI$52,152,0)/1000,0),"-")</f>
        <v>85280</v>
      </c>
      <c r="AH27" s="283">
        <f>IFERROR(ROUND(VLOOKUP($H$2,'29年度'!$B$6:$GI$52,152,0)/1000,0),"-")</f>
        <v>90101</v>
      </c>
      <c r="AI27" s="282">
        <f>IFERROR(ROUND(VLOOKUP($H$2,'30年度'!$B$6:$GI$52,152,0)/1000,0),"-")</f>
        <v>99141</v>
      </c>
      <c r="AJ27" s="281">
        <f>IFERROR(ROUND(VLOOKUP($H$2,'R1年度'!$B$6:$GJ$52,153,0)/1000,0),"-")</f>
        <v>115748</v>
      </c>
      <c r="AK27" s="281">
        <f>IFERROR(ROUND(VLOOKUP($H$2,'R2年度'!$B$6:$GJ$52,154,0)/1000,0),"-")</f>
        <v>103163</v>
      </c>
      <c r="AL27" s="283">
        <f>IFERROR(ROUND(VLOOKUP($H$2,'R3年度'!$B$6:$GJ$52,154,0)/1000,0),"-")</f>
        <v>112348</v>
      </c>
      <c r="AM27" s="282">
        <f>IFERROR(ROUND(VLOOKUP($H$2,'R4年度'!$B$6:$GJ$52,154,0)/1000,0),"-")</f>
        <v>114583</v>
      </c>
      <c r="AN27" s="281">
        <f>IFERROR(ROUND(VLOOKUP($H$2,'R5年度'!$B$6:$GJ$52,154,0)/1000,0),"-")</f>
        <v>110386</v>
      </c>
      <c r="AO27" s="302">
        <f>IFERROR(ROUND(VLOOKUP($H$2,'R6年度'!$B$6:$GK$52,154,0)/1000,0),"-")</f>
        <v>109447</v>
      </c>
    </row>
    <row r="28" spans="1:41" ht="15" customHeight="1" x14ac:dyDescent="0.15">
      <c r="A28" s="17"/>
      <c r="B28" s="509"/>
      <c r="C28" s="522"/>
      <c r="D28" s="492" t="s">
        <v>174</v>
      </c>
      <c r="E28" s="481"/>
      <c r="F28" s="269" t="str">
        <f>IFERROR(ROUND(VLOOKUP($H$2,'1年度'!$B$6:$GI$50,153,0)/1000,0),"-")</f>
        <v>-</v>
      </c>
      <c r="G28" s="269" t="str">
        <f>IFERROR(ROUND(VLOOKUP($H$2,'2年度'!$B$6:$GI$50,153,0)/1000,0),"-")</f>
        <v>-</v>
      </c>
      <c r="H28" s="269" t="str">
        <f>IFERROR(ROUND(VLOOKUP($H$2,'3年度'!$B$6:$GI$50,153,0)/1000,0),"-")</f>
        <v>-</v>
      </c>
      <c r="I28" s="269" t="str">
        <f>IFERROR(ROUND(VLOOKUP($H$2,'4年度'!$B$6:$GI$50,153,0)/1000,0),"-")</f>
        <v>-</v>
      </c>
      <c r="J28" s="269" t="str">
        <f>IFERROR(ROUND(VLOOKUP($H$2,'5年度'!$B$6:$GI$50,153,0)/1000,0),"-")</f>
        <v>-</v>
      </c>
      <c r="K28" s="269" t="str">
        <f>IFERROR(ROUND(VLOOKUP($H$2,'6年度'!$B$6:$GI$50,153,0)/1000,0),"-")</f>
        <v>-</v>
      </c>
      <c r="L28" s="269" t="str">
        <f>IFERROR(ROUND(VLOOKUP($H$2,'7年度'!$B$6:$GI$50,153,0)/1000,0),"-")</f>
        <v>-</v>
      </c>
      <c r="M28" s="269" t="str">
        <f>IFERROR(ROUND(VLOOKUP($H$2,'8年度'!$B$6:$GI$50,153,0)/1000,0),"-")</f>
        <v>-</v>
      </c>
      <c r="N28" s="269" t="str">
        <f>IFERROR(ROUND(VLOOKUP($H$2,'9年度'!$B$6:$GI$50,153,0)/1000,0),"-")</f>
        <v>-</v>
      </c>
      <c r="O28" s="269" t="str">
        <f>IFERROR(ROUND(VLOOKUP($H$2,'10年度'!$B$6:$GI$50,153,0)/1000,0),"-")</f>
        <v>-</v>
      </c>
      <c r="P28" s="269" t="str">
        <f>IFERROR(ROUND(VLOOKUP($H$2,'11年度'!$B$6:$GI$50,153,0)/1000,0),"-")</f>
        <v>-</v>
      </c>
      <c r="Q28" s="269" t="str">
        <f>IFERROR(ROUND(VLOOKUP($H$2,'12年度'!$B$6:$GI$50,153,0)/1000,0),"-")</f>
        <v>-</v>
      </c>
      <c r="R28" s="269" t="str">
        <f>IFERROR(ROUND(VLOOKUP($H$2,'13年度'!$B$6:$GI$50,153,0)/1000,0),"-")</f>
        <v>-</v>
      </c>
      <c r="S28" s="269" t="str">
        <f>IFERROR(ROUND(VLOOKUP($H$2,'14年度'!$B$6:$GI$50,153,0)/1000,0),"-")</f>
        <v>-</v>
      </c>
      <c r="T28" s="278" t="str">
        <f>IFERROR(ROUND(VLOOKUP($H$2,'15年度'!$B$6:$GI$50,153,0)/1000,0),"-")</f>
        <v>-</v>
      </c>
      <c r="U28" s="269" t="str">
        <f>IFERROR(ROUND(VLOOKUP($H$2,'16年度'!$B$6:$GI$50,153,0)/1000,0),"-")</f>
        <v>-</v>
      </c>
      <c r="V28" s="279" t="str">
        <f>IFERROR(ROUND(VLOOKUP($H$2,'17年度'!$B$6:$GI$50,153,0)/1000,0),"-")</f>
        <v>-</v>
      </c>
      <c r="W28" s="278" t="str">
        <f>IFERROR(ROUND(VLOOKUP($H$2,'18年度'!$B$6:$GI$50,153,0)/1000,0),"-")</f>
        <v>-</v>
      </c>
      <c r="X28" s="278" t="str">
        <f>IFERROR(ROUND(VLOOKUP($H$2,'19年度'!$B$6:$GI$50,153,0)/1000,0),"-")</f>
        <v>-</v>
      </c>
      <c r="Y28" s="278" t="str">
        <f>IFERROR(ROUND(VLOOKUP($H$2,'20年度'!$B$6:$GI$50,153,0)/1000,0),"-")</f>
        <v>-</v>
      </c>
      <c r="Z28" s="278" t="str">
        <f>IFERROR(ROUND(VLOOKUP($H$2,'21年度'!$B$6:$GI$50,153,0)/1000,0),"-")</f>
        <v>-</v>
      </c>
      <c r="AA28" s="269" t="str">
        <f>IFERROR(ROUND(VLOOKUP($H$2,'22年度'!$B$6:$GI$50,153,0)/1000,0),"-")</f>
        <v>-</v>
      </c>
      <c r="AB28" s="279">
        <f>IFERROR(ROUND(VLOOKUP($H$2,'23年度'!$B$6:$GI$52,153,0)/1000,0),"-")</f>
        <v>71677</v>
      </c>
      <c r="AC28" s="278">
        <f>IFERROR(ROUND(VLOOKUP($H$2,'24年度'!$B$6:$GI$52,153,0)/1000,0),"-")</f>
        <v>79638</v>
      </c>
      <c r="AD28" s="278">
        <f>IFERROR(ROUND(VLOOKUP($H$2,'25年度'!$B$6:$GI$52,153,0)/1000,0),"-")</f>
        <v>76221</v>
      </c>
      <c r="AE28" s="278">
        <f>IFERROR(ROUND(VLOOKUP($H$2,'26年度'!$B$6:$GI$52,153,0)/1000,0),"-")</f>
        <v>82675</v>
      </c>
      <c r="AF28" s="269">
        <f>IFERROR(ROUND(VLOOKUP($H$2,'27年度'!$B$6:$GI$52,153,0)/1000,0),"-")</f>
        <v>93456</v>
      </c>
      <c r="AG28" s="269">
        <f>IFERROR(ROUND(VLOOKUP($H$2,'28年度'!$B$6:$GI$52,153,0)/1000,0),"-")</f>
        <v>85203</v>
      </c>
      <c r="AH28" s="279">
        <f>IFERROR(ROUND(VLOOKUP($H$2,'29年度'!$B$6:$GI$52,153,0)/1000,0),"-")</f>
        <v>89654</v>
      </c>
      <c r="AI28" s="278">
        <f>IFERROR(ROUND(VLOOKUP($H$2,'30年度'!$B$6:$GI$52,153,0)/1000,0),"-")</f>
        <v>93627</v>
      </c>
      <c r="AJ28" s="269">
        <f>IFERROR(ROUND(VLOOKUP($H$2,'R1年度'!$B$6:$GJ$52,154,0)/1000,0),"-")</f>
        <v>115192</v>
      </c>
      <c r="AK28" s="269">
        <f>IFERROR(ROUND(VLOOKUP($H$2,'R2年度'!$B$6:$GJ$52,155,0)/1000,0),"-")</f>
        <v>102949</v>
      </c>
      <c r="AL28" s="279">
        <f>IFERROR(ROUND(VLOOKUP($H$2,'R3年度'!$B$6:$GJ$52,155,0)/1000,0),"-")</f>
        <v>112120</v>
      </c>
      <c r="AM28" s="278">
        <f>IFERROR(ROUND(VLOOKUP($H$2,'R4年度'!$B$6:$GJ$52,155,0)/1000,0),"-")</f>
        <v>114518</v>
      </c>
      <c r="AN28" s="269">
        <f>IFERROR(ROUND(VLOOKUP($H$2,'R5年度'!$B$6:$GJ$52,155,0)/1000,0),"-")</f>
        <v>110214</v>
      </c>
      <c r="AO28" s="303">
        <f>IFERROR(ROUND(VLOOKUP($H$2,'R6年度'!$B$6:$GK$52,155,0)/1000,0),"-")</f>
        <v>109301</v>
      </c>
    </row>
    <row r="29" spans="1:41" ht="15" customHeight="1" x14ac:dyDescent="0.15">
      <c r="A29" s="17"/>
      <c r="B29" s="509"/>
      <c r="C29" s="518"/>
      <c r="D29" s="547"/>
      <c r="E29" s="6" t="s">
        <v>280</v>
      </c>
      <c r="F29" s="274" t="str">
        <f>IFERROR(ROUND(VLOOKUP($H$2,'1年度'!$B$6:$GI$50,154,0)/1000,0),"-")</f>
        <v>-</v>
      </c>
      <c r="G29" s="274" t="str">
        <f>IFERROR(ROUND(VLOOKUP($H$2,'2年度'!$B$6:$GI$50,154,0)/1000,0),"-")</f>
        <v>-</v>
      </c>
      <c r="H29" s="274" t="str">
        <f>IFERROR(ROUND(VLOOKUP($H$2,'3年度'!$B$6:$GI$50,154,0)/1000,0),"-")</f>
        <v>-</v>
      </c>
      <c r="I29" s="274" t="str">
        <f>IFERROR(ROUND(VLOOKUP($H$2,'4年度'!$B$6:$GI$50,154,0)/1000,0),"-")</f>
        <v>-</v>
      </c>
      <c r="J29" s="274" t="str">
        <f>IFERROR(ROUND(VLOOKUP($H$2,'5年度'!$B$6:$GI$50,154,0)/1000,0),"-")</f>
        <v>-</v>
      </c>
      <c r="K29" s="274" t="str">
        <f>IFERROR(ROUND(VLOOKUP($H$2,'6年度'!$B$6:$GI$50,154,0)/1000,0),"-")</f>
        <v>-</v>
      </c>
      <c r="L29" s="274" t="str">
        <f>IFERROR(ROUND(VLOOKUP($H$2,'7年度'!$B$6:$GI$50,154,0)/1000,0),"-")</f>
        <v>-</v>
      </c>
      <c r="M29" s="274" t="str">
        <f>IFERROR(ROUND(VLOOKUP($H$2,'8年度'!$B$6:$GI$50,154,0)/1000,0),"-")</f>
        <v>-</v>
      </c>
      <c r="N29" s="274" t="str">
        <f>IFERROR(ROUND(VLOOKUP($H$2,'9年度'!$B$6:$GI$50,154,0)/1000,0),"-")</f>
        <v>-</v>
      </c>
      <c r="O29" s="274" t="str">
        <f>IFERROR(ROUND(VLOOKUP($H$2,'10年度'!$B$6:$GI$50,154,0)/1000,0),"-")</f>
        <v>-</v>
      </c>
      <c r="P29" s="274" t="str">
        <f>IFERROR(ROUND(VLOOKUP($H$2,'11年度'!$B$6:$GI$50,154,0)/1000,0),"-")</f>
        <v>-</v>
      </c>
      <c r="Q29" s="274" t="str">
        <f>IFERROR(ROUND(VLOOKUP($H$2,'12年度'!$B$6:$GI$50,154,0)/1000,0),"-")</f>
        <v>-</v>
      </c>
      <c r="R29" s="274" t="str">
        <f>IFERROR(ROUND(VLOOKUP($H$2,'13年度'!$B$6:$GI$50,154,0)/1000,0),"-")</f>
        <v>-</v>
      </c>
      <c r="S29" s="274" t="str">
        <f>IFERROR(ROUND(VLOOKUP($H$2,'14年度'!$B$6:$GI$50,154,0)/1000,0),"-")</f>
        <v>-</v>
      </c>
      <c r="T29" s="275" t="str">
        <f>IFERROR(ROUND(VLOOKUP($H$2,'15年度'!$B$6:$GI$50,154,0)/1000,0),"-")</f>
        <v>-</v>
      </c>
      <c r="U29" s="274" t="str">
        <f>IFERROR(ROUND(VLOOKUP($H$2,'16年度'!$B$6:$GI$50,154,0)/1000,0),"-")</f>
        <v>-</v>
      </c>
      <c r="V29" s="276" t="str">
        <f>IFERROR(ROUND(VLOOKUP($H$2,'17年度'!$B$6:$GI$50,154,0)/1000,0),"-")</f>
        <v>-</v>
      </c>
      <c r="W29" s="275" t="str">
        <f>IFERROR(ROUND(VLOOKUP($H$2,'18年度'!$B$6:$GI$50,154,0)/1000,0),"-")</f>
        <v>-</v>
      </c>
      <c r="X29" s="275" t="str">
        <f>IFERROR(ROUND(VLOOKUP($H$2,'19年度'!$B$6:$GI$50,154,0)/1000,0),"-")</f>
        <v>-</v>
      </c>
      <c r="Y29" s="275" t="str">
        <f>IFERROR(ROUND(VLOOKUP($H$2,'20年度'!$B$6:$GI$50,154,0)/1000,0),"-")</f>
        <v>-</v>
      </c>
      <c r="Z29" s="275" t="str">
        <f>IFERROR(ROUND(VLOOKUP($H$2,'21年度'!$B$6:$GI$50,154,0)/1000,0),"-")</f>
        <v>-</v>
      </c>
      <c r="AA29" s="274" t="str">
        <f>IFERROR(ROUND(VLOOKUP($H$2,'22年度'!$B$6:$GI$50,154,0)/1000,0),"-")</f>
        <v>-</v>
      </c>
      <c r="AB29" s="276">
        <f>IFERROR(ROUND(VLOOKUP($H$2,'23年度'!$B$6:$GI$52,154,0)/1000,0),"-")</f>
        <v>8425</v>
      </c>
      <c r="AC29" s="275">
        <f>IFERROR(ROUND(VLOOKUP($H$2,'24年度'!$B$6:$GI$52,154,0)/1000,0),"-")</f>
        <v>11538</v>
      </c>
      <c r="AD29" s="275">
        <f>IFERROR(ROUND(VLOOKUP($H$2,'25年度'!$B$6:$GI$52,154,0)/1000,0),"-")</f>
        <v>8033</v>
      </c>
      <c r="AE29" s="275">
        <f>IFERROR(ROUND(VLOOKUP($H$2,'26年度'!$B$6:$GI$52,154,0)/1000,0),"-")</f>
        <v>8791</v>
      </c>
      <c r="AF29" s="274">
        <f>IFERROR(ROUND(VLOOKUP($H$2,'27年度'!$B$6:$GI$52,154,0)/1000,0),"-")</f>
        <v>16917</v>
      </c>
      <c r="AG29" s="274">
        <f>IFERROR(ROUND(VLOOKUP($H$2,'28年度'!$B$6:$GI$52,154,0)/1000,0),"-")</f>
        <v>14816</v>
      </c>
      <c r="AH29" s="276">
        <f>IFERROR(ROUND(VLOOKUP($H$2,'29年度'!$B$6:$GI$52,154,0)/1000,0),"-")</f>
        <v>17140</v>
      </c>
      <c r="AI29" s="275">
        <f>IFERROR(ROUND(VLOOKUP($H$2,'30年度'!$B$6:$GI$52,154,0)/1000,0),"-")</f>
        <v>20481</v>
      </c>
      <c r="AJ29" s="274">
        <f>IFERROR(ROUND(VLOOKUP($H$2,'R1年度'!$B$6:$GJ$52,155,0)/1000,0),"-")</f>
        <v>31345</v>
      </c>
      <c r="AK29" s="274">
        <f>IFERROR(ROUND(VLOOKUP($H$2,'R2年度'!$B$6:$GJ$52,156,0)/1000,0),"-")</f>
        <v>13871</v>
      </c>
      <c r="AL29" s="276">
        <f>IFERROR(ROUND(VLOOKUP($H$2,'R3年度'!$B$6:$GJ$52,156,0)/1000,0),"-")</f>
        <v>12559</v>
      </c>
      <c r="AM29" s="275">
        <f>IFERROR(ROUND(VLOOKUP($H$2,'R4年度'!$B$6:$GJ$52,156,0)/1000,0),"-")</f>
        <v>12990</v>
      </c>
      <c r="AN29" s="274">
        <f>IFERROR(ROUND(VLOOKUP($H$2,'R5年度'!$B$6:$GJ$52,156,0)/1000,0),"-")</f>
        <v>15283</v>
      </c>
      <c r="AO29" s="304">
        <f>IFERROR(ROUND(VLOOKUP($H$2,'R6年度'!$B$6:$GK$52,156,0)/1000,0),"-")</f>
        <v>11360</v>
      </c>
    </row>
    <row r="30" spans="1:41" ht="15" customHeight="1" x14ac:dyDescent="0.15">
      <c r="A30" s="17"/>
      <c r="B30" s="509"/>
      <c r="C30" s="523"/>
      <c r="D30" s="543"/>
      <c r="E30" s="169" t="s">
        <v>281</v>
      </c>
      <c r="F30" s="285" t="str">
        <f>IFERROR(ROUND(VLOOKUP($H$2,'1年度'!$B$6:$GI$50,155,0)/1000,0),"-")</f>
        <v>-</v>
      </c>
      <c r="G30" s="285" t="str">
        <f>IFERROR(ROUND(VLOOKUP($H$2,'2年度'!$B$6:$GI$50,155,0)/1000,0),"-")</f>
        <v>-</v>
      </c>
      <c r="H30" s="285" t="str">
        <f>IFERROR(ROUND(VLOOKUP($H$2,'3年度'!$B$6:$GI$50,155,0)/1000,0),"-")</f>
        <v>-</v>
      </c>
      <c r="I30" s="285" t="str">
        <f>IFERROR(ROUND(VLOOKUP($H$2,'4年度'!$B$6:$GI$50,155,0)/1000,0),"-")</f>
        <v>-</v>
      </c>
      <c r="J30" s="285" t="str">
        <f>IFERROR(ROUND(VLOOKUP($H$2,'5年度'!$B$6:$GI$50,155,0)/1000,0),"-")</f>
        <v>-</v>
      </c>
      <c r="K30" s="285" t="str">
        <f>IFERROR(ROUND(VLOOKUP($H$2,'6年度'!$B$6:$GI$50,155,0)/1000,0),"-")</f>
        <v>-</v>
      </c>
      <c r="L30" s="285" t="str">
        <f>IFERROR(ROUND(VLOOKUP($H$2,'7年度'!$B$6:$GI$50,155,0)/1000,0),"-")</f>
        <v>-</v>
      </c>
      <c r="M30" s="285" t="str">
        <f>IFERROR(ROUND(VLOOKUP($H$2,'8年度'!$B$6:$GI$50,155,0)/1000,0),"-")</f>
        <v>-</v>
      </c>
      <c r="N30" s="285" t="str">
        <f>IFERROR(ROUND(VLOOKUP($H$2,'9年度'!$B$6:$GI$50,155,0)/1000,0),"-")</f>
        <v>-</v>
      </c>
      <c r="O30" s="285" t="str">
        <f>IFERROR(ROUND(VLOOKUP($H$2,'10年度'!$B$6:$GI$50,155,0)/1000,0),"-")</f>
        <v>-</v>
      </c>
      <c r="P30" s="285" t="str">
        <f>IFERROR(ROUND(VLOOKUP($H$2,'11年度'!$B$6:$GI$50,155,0)/1000,0),"-")</f>
        <v>-</v>
      </c>
      <c r="Q30" s="285" t="str">
        <f>IFERROR(ROUND(VLOOKUP($H$2,'12年度'!$B$6:$GI$50,155,0)/1000,0),"-")</f>
        <v>-</v>
      </c>
      <c r="R30" s="285" t="str">
        <f>IFERROR(ROUND(VLOOKUP($H$2,'13年度'!$B$6:$GI$50,155,0)/1000,0),"-")</f>
        <v>-</v>
      </c>
      <c r="S30" s="285" t="str">
        <f>IFERROR(ROUND(VLOOKUP($H$2,'14年度'!$B$6:$GI$50,155,0)/1000,0),"-")</f>
        <v>-</v>
      </c>
      <c r="T30" s="286" t="str">
        <f>IFERROR(ROUND(VLOOKUP($H$2,'15年度'!$B$6:$GI$50,155,0)/1000,0),"-")</f>
        <v>-</v>
      </c>
      <c r="U30" s="285" t="str">
        <f>IFERROR(ROUND(VLOOKUP($H$2,'16年度'!$B$6:$GI$50,155,0)/1000,0),"-")</f>
        <v>-</v>
      </c>
      <c r="V30" s="287" t="str">
        <f>IFERROR(ROUND(VLOOKUP($H$2,'17年度'!$B$6:$GI$50,155,0)/1000,0),"-")</f>
        <v>-</v>
      </c>
      <c r="W30" s="286" t="str">
        <f>IFERROR(ROUND(VLOOKUP($H$2,'18年度'!$B$6:$GI$50,155,0)/1000,0),"-")</f>
        <v>-</v>
      </c>
      <c r="X30" s="286" t="str">
        <f>IFERROR(ROUND(VLOOKUP($H$2,'19年度'!$B$6:$GI$50,155,0)/1000,0),"-")</f>
        <v>-</v>
      </c>
      <c r="Y30" s="286" t="str">
        <f>IFERROR(ROUND(VLOOKUP($H$2,'20年度'!$B$6:$GI$50,155,0)/1000,0),"-")</f>
        <v>-</v>
      </c>
      <c r="Z30" s="286" t="str">
        <f>IFERROR(ROUND(VLOOKUP($H$2,'21年度'!$B$6:$GI$50,155,0)/1000,0),"-")</f>
        <v>-</v>
      </c>
      <c r="AA30" s="285" t="str">
        <f>IFERROR(ROUND(VLOOKUP($H$2,'22年度'!$B$6:$GI$50,155,0)/1000,0),"-")</f>
        <v>-</v>
      </c>
      <c r="AB30" s="287">
        <f>IFERROR(ROUND(VLOOKUP($H$2,'23年度'!$B$6:$GI$52,155,0)/1000,0),"-")</f>
        <v>62655</v>
      </c>
      <c r="AC30" s="286">
        <f>IFERROR(ROUND(VLOOKUP($H$2,'24年度'!$B$6:$GI$52,155,0)/1000,0),"-")</f>
        <v>67522</v>
      </c>
      <c r="AD30" s="286">
        <f>IFERROR(ROUND(VLOOKUP($H$2,'25年度'!$B$6:$GI$52,155,0)/1000,0),"-")</f>
        <v>67247</v>
      </c>
      <c r="AE30" s="286">
        <f>IFERROR(ROUND(VLOOKUP($H$2,'26年度'!$B$6:$GI$52,155,0)/1000,0),"-")</f>
        <v>73041</v>
      </c>
      <c r="AF30" s="285">
        <f>IFERROR(ROUND(VLOOKUP($H$2,'27年度'!$B$6:$GI$52,155,0)/1000,0),"-")</f>
        <v>75809</v>
      </c>
      <c r="AG30" s="285">
        <f>IFERROR(ROUND(VLOOKUP($H$2,'28年度'!$B$6:$GI$52,155,0)/1000,0),"-")</f>
        <v>69637</v>
      </c>
      <c r="AH30" s="287">
        <f>IFERROR(ROUND(VLOOKUP($H$2,'29年度'!$B$6:$GI$52,155,0)/1000,0),"-")</f>
        <v>71628</v>
      </c>
      <c r="AI30" s="286">
        <f>IFERROR(ROUND(VLOOKUP($H$2,'30年度'!$B$6:$GI$52,155,0)/1000,0),"-")</f>
        <v>72126</v>
      </c>
      <c r="AJ30" s="285">
        <f>IFERROR(ROUND(VLOOKUP($H$2,'R1年度'!$B$6:$GJ$52,156,0)/1000,0),"-")</f>
        <v>82840</v>
      </c>
      <c r="AK30" s="285">
        <f>IFERROR(ROUND(VLOOKUP($H$2,'R2年度'!$B$6:$GJ$52,157,0)/1000,0),"-")</f>
        <v>88347</v>
      </c>
      <c r="AL30" s="287">
        <f>IFERROR(ROUND(VLOOKUP($H$2,'R3年度'!$B$6:$GJ$52,157,0)/1000,0),"-")</f>
        <v>98853</v>
      </c>
      <c r="AM30" s="286">
        <f>IFERROR(ROUND(VLOOKUP($H$2,'R4年度'!$B$6:$GJ$52,157,0)/1000,0),"-")</f>
        <v>100898</v>
      </c>
      <c r="AN30" s="285">
        <f>IFERROR(ROUND(VLOOKUP($H$2,'R5年度'!$B$6:$GJ$52,157,0)/1000,0),"-")</f>
        <v>94438</v>
      </c>
      <c r="AO30" s="301">
        <f>IFERROR(ROUND(VLOOKUP($H$2,'R6年度'!$B$6:$GK$52,157,0)/1000,0),"-")</f>
        <v>97650</v>
      </c>
    </row>
    <row r="31" spans="1:41" ht="15" customHeight="1" x14ac:dyDescent="0.15">
      <c r="A31" s="17"/>
      <c r="B31" s="509"/>
      <c r="C31" s="506" t="s">
        <v>282</v>
      </c>
      <c r="D31" s="507"/>
      <c r="E31" s="479"/>
      <c r="F31" s="281" t="str">
        <f>IFERROR(ROUND(VLOOKUP($H$2,'1年度'!$B$6:$GI$50,158,0)/1000,0),"-")</f>
        <v>-</v>
      </c>
      <c r="G31" s="281" t="str">
        <f>IFERROR(ROUND(VLOOKUP($H$2,'2年度'!$B$6:$GI$50,158,0)/1000,0),"-")</f>
        <v>-</v>
      </c>
      <c r="H31" s="281" t="str">
        <f>IFERROR(ROUND(VLOOKUP($H$2,'3年度'!$B$6:$GI$50,158,0)/1000,0),"-")</f>
        <v>-</v>
      </c>
      <c r="I31" s="281" t="str">
        <f>IFERROR(ROUND(VLOOKUP($H$2,'4年度'!$B$6:$GI$50,158,0)/1000,0),"-")</f>
        <v>-</v>
      </c>
      <c r="J31" s="281" t="str">
        <f>IFERROR(ROUND(VLOOKUP($H$2,'5年度'!$B$6:$GI$50,158,0)/1000,0),"-")</f>
        <v>-</v>
      </c>
      <c r="K31" s="281" t="str">
        <f>IFERROR(ROUND(VLOOKUP($H$2,'6年度'!$B$6:$GI$50,158,0)/1000,0),"-")</f>
        <v>-</v>
      </c>
      <c r="L31" s="281" t="str">
        <f>IFERROR(ROUND(VLOOKUP($H$2,'7年度'!$B$6:$GI$50,158,0)/1000,0),"-")</f>
        <v>-</v>
      </c>
      <c r="M31" s="281" t="str">
        <f>IFERROR(ROUND(VLOOKUP($H$2,'8年度'!$B$6:$GI$50,158,0)/1000,0),"-")</f>
        <v>-</v>
      </c>
      <c r="N31" s="281" t="str">
        <f>IFERROR(ROUND(VLOOKUP($H$2,'9年度'!$B$6:$GI$50,158,0)/1000,0),"-")</f>
        <v>-</v>
      </c>
      <c r="O31" s="281" t="str">
        <f>IFERROR(ROUND(VLOOKUP($H$2,'10年度'!$B$6:$GI$50,158,0)/1000,0),"-")</f>
        <v>-</v>
      </c>
      <c r="P31" s="281" t="str">
        <f>IFERROR(ROUND(VLOOKUP($H$2,'11年度'!$B$6:$GI$50,158,0)/1000,0),"-")</f>
        <v>-</v>
      </c>
      <c r="Q31" s="281" t="str">
        <f>IFERROR(ROUND(VLOOKUP($H$2,'12年度'!$B$6:$GI$50,158,0)/1000,0),"-")</f>
        <v>-</v>
      </c>
      <c r="R31" s="281" t="str">
        <f>IFERROR(ROUND(VLOOKUP($H$2,'13年度'!$B$6:$GI$50,158,0)/1000,0),"-")</f>
        <v>-</v>
      </c>
      <c r="S31" s="281" t="str">
        <f>IFERROR(ROUND(VLOOKUP($H$2,'14年度'!$B$6:$GI$50,158,0)/1000,0),"-")</f>
        <v>-</v>
      </c>
      <c r="T31" s="282" t="str">
        <f>IFERROR(ROUND(VLOOKUP($H$2,'15年度'!$B$6:$GI$50,158,0)/1000,0),"-")</f>
        <v>-</v>
      </c>
      <c r="U31" s="281" t="str">
        <f>IFERROR(ROUND(VLOOKUP($H$2,'16年度'!$B$6:$GI$50,158,0)/1000,0),"-")</f>
        <v>-</v>
      </c>
      <c r="V31" s="283" t="str">
        <f>IFERROR(ROUND(VLOOKUP($H$2,'17年度'!$B$6:$GI$50,158,0)/1000,0),"-")</f>
        <v>-</v>
      </c>
      <c r="W31" s="282" t="str">
        <f>IFERROR(ROUND(VLOOKUP($H$2,'18年度'!$B$6:$GI$50,158,0)/1000,0),"-")</f>
        <v>-</v>
      </c>
      <c r="X31" s="282" t="str">
        <f>IFERROR(ROUND(VLOOKUP($H$2,'19年度'!$B$6:$GI$50,158,0)/1000,0),"-")</f>
        <v>-</v>
      </c>
      <c r="Y31" s="282" t="str">
        <f>IFERROR(ROUND(VLOOKUP($H$2,'20年度'!$B$6:$GI$50,158,0)/1000,0),"-")</f>
        <v>-</v>
      </c>
      <c r="Z31" s="282" t="str">
        <f>IFERROR(ROUND(VLOOKUP($H$2,'21年度'!$B$6:$GI$50,158,0)/1000,0),"-")</f>
        <v>-</v>
      </c>
      <c r="AA31" s="281" t="str">
        <f>IFERROR(ROUND(VLOOKUP($H$2,'22年度'!$B$6:$GI$50,158,0)/1000,0),"-")</f>
        <v>-</v>
      </c>
      <c r="AB31" s="283">
        <f>IFERROR(ROUND(VLOOKUP($H$2,'23年度'!$B$6:$GI$52,158,0)/1000,0),"-")</f>
        <v>261213</v>
      </c>
      <c r="AC31" s="282">
        <f>IFERROR(ROUND(VLOOKUP($H$2,'24年度'!$B$6:$GI$52,158,0)/1000,0),"-")</f>
        <v>256139</v>
      </c>
      <c r="AD31" s="282">
        <f>IFERROR(ROUND(VLOOKUP($H$2,'25年度'!$B$6:$GI$52,158,0)/1000,0),"-")</f>
        <v>264129</v>
      </c>
      <c r="AE31" s="282">
        <f>IFERROR(ROUND(VLOOKUP($H$2,'26年度'!$B$6:$GI$52,158,0)/1000,0),"-")</f>
        <v>282590</v>
      </c>
      <c r="AF31" s="281">
        <f>IFERROR(ROUND(VLOOKUP($H$2,'27年度'!$B$6:$GI$52,158,0)/1000,0),"-")</f>
        <v>289572</v>
      </c>
      <c r="AG31" s="281">
        <f>IFERROR(ROUND(VLOOKUP($H$2,'28年度'!$B$6:$GI$52,158,0)/1000,0),"-")</f>
        <v>292889</v>
      </c>
      <c r="AH31" s="283">
        <f>IFERROR(ROUND(VLOOKUP($H$2,'29年度'!$B$6:$GI$52,158,0)/1000,0),"-")</f>
        <v>297109</v>
      </c>
      <c r="AI31" s="282">
        <f>IFERROR(ROUND(VLOOKUP($H$2,'30年度'!$B$6:$GI$52,158,0)/1000,0),"-")</f>
        <v>307763</v>
      </c>
      <c r="AJ31" s="281">
        <f>IFERROR(ROUND(VLOOKUP($H$2,'R1年度'!$B$6:$GJ$52,159,0)/1000,0),"-")</f>
        <v>314991</v>
      </c>
      <c r="AK31" s="281">
        <f>IFERROR(ROUND(VLOOKUP($H$2,'R2年度'!$B$6:$GJ$52,160,0)/1000,0),"-")</f>
        <v>343697</v>
      </c>
      <c r="AL31" s="283">
        <f>IFERROR(ROUND(VLOOKUP($H$2,'R3年度'!$B$6:$GJ$52,160,0)/1000,0),"-")</f>
        <v>348082</v>
      </c>
      <c r="AM31" s="282">
        <f>IFERROR(ROUND(VLOOKUP($H$2,'R4年度'!$B$6:$GJ$52,160,0)/1000,0),"-")</f>
        <v>369399</v>
      </c>
      <c r="AN31" s="281">
        <f>IFERROR(ROUND(VLOOKUP($H$2,'R5年度'!$B$6:$GJ$52,160,0)/1000,0),"-")</f>
        <v>378363</v>
      </c>
      <c r="AO31" s="302">
        <f>IFERROR(ROUND(VLOOKUP($H$2,'R6年度'!$B$6:$GK$52,160,0)/1000,0),"-")</f>
        <v>397487</v>
      </c>
    </row>
    <row r="32" spans="1:41" ht="15" customHeight="1" x14ac:dyDescent="0.15">
      <c r="A32" s="17"/>
      <c r="B32" s="509"/>
      <c r="C32" s="530" t="s">
        <v>283</v>
      </c>
      <c r="D32" s="490"/>
      <c r="E32" s="481"/>
      <c r="F32" s="269" t="str">
        <f>IFERROR(ROUND(VLOOKUP($H$2,'1年度'!$B$6:$GI$50,159,0)/1000,0),"-")</f>
        <v>-</v>
      </c>
      <c r="G32" s="269" t="str">
        <f>IFERROR(ROUND(VLOOKUP($H$2,'2年度'!$B$6:$GI$50,159,0)/1000,0),"-")</f>
        <v>-</v>
      </c>
      <c r="H32" s="269" t="str">
        <f>IFERROR(ROUND(VLOOKUP($H$2,'3年度'!$B$6:$GI$50,159,0)/1000,0),"-")</f>
        <v>-</v>
      </c>
      <c r="I32" s="269" t="str">
        <f>IFERROR(ROUND(VLOOKUP($H$2,'4年度'!$B$6:$GI$50,159,0)/1000,0),"-")</f>
        <v>-</v>
      </c>
      <c r="J32" s="269" t="str">
        <f>IFERROR(ROUND(VLOOKUP($H$2,'5年度'!$B$6:$GI$50,159,0)/1000,0),"-")</f>
        <v>-</v>
      </c>
      <c r="K32" s="269" t="str">
        <f>IFERROR(ROUND(VLOOKUP($H$2,'6年度'!$B$6:$GI$50,159,0)/1000,0),"-")</f>
        <v>-</v>
      </c>
      <c r="L32" s="269" t="str">
        <f>IFERROR(ROUND(VLOOKUP($H$2,'7年度'!$B$6:$GI$50,159,0)/1000,0),"-")</f>
        <v>-</v>
      </c>
      <c r="M32" s="269" t="str">
        <f>IFERROR(ROUND(VLOOKUP($H$2,'8年度'!$B$6:$GI$50,159,0)/1000,0),"-")</f>
        <v>-</v>
      </c>
      <c r="N32" s="269" t="str">
        <f>IFERROR(ROUND(VLOOKUP($H$2,'9年度'!$B$6:$GI$50,159,0)/1000,0),"-")</f>
        <v>-</v>
      </c>
      <c r="O32" s="269" t="str">
        <f>IFERROR(ROUND(VLOOKUP($H$2,'10年度'!$B$6:$GI$50,159,0)/1000,0),"-")</f>
        <v>-</v>
      </c>
      <c r="P32" s="269" t="str">
        <f>IFERROR(ROUND(VLOOKUP($H$2,'11年度'!$B$6:$GI$50,159,0)/1000,0),"-")</f>
        <v>-</v>
      </c>
      <c r="Q32" s="269" t="str">
        <f>IFERROR(ROUND(VLOOKUP($H$2,'12年度'!$B$6:$GI$50,159,0)/1000,0),"-")</f>
        <v>-</v>
      </c>
      <c r="R32" s="269" t="str">
        <f>IFERROR(ROUND(VLOOKUP($H$2,'13年度'!$B$6:$GI$50,159,0)/1000,0),"-")</f>
        <v>-</v>
      </c>
      <c r="S32" s="269" t="str">
        <f>IFERROR(ROUND(VLOOKUP($H$2,'14年度'!$B$6:$GI$50,159,0)/1000,0),"-")</f>
        <v>-</v>
      </c>
      <c r="T32" s="278" t="str">
        <f>IFERROR(ROUND(VLOOKUP($H$2,'15年度'!$B$6:$GI$50,159,0)/1000,0),"-")</f>
        <v>-</v>
      </c>
      <c r="U32" s="269" t="str">
        <f>IFERROR(ROUND(VLOOKUP($H$2,'16年度'!$B$6:$GI$50,159,0)/1000,0),"-")</f>
        <v>-</v>
      </c>
      <c r="V32" s="279" t="str">
        <f>IFERROR(ROUND(VLOOKUP($H$2,'17年度'!$B$6:$GI$50,159,0)/1000,0),"-")</f>
        <v>-</v>
      </c>
      <c r="W32" s="278" t="str">
        <f>IFERROR(ROUND(VLOOKUP($H$2,'18年度'!$B$6:$GI$50,159,0)/1000,0),"-")</f>
        <v>-</v>
      </c>
      <c r="X32" s="278" t="str">
        <f>IFERROR(ROUND(VLOOKUP($H$2,'19年度'!$B$6:$GI$50,159,0)/1000,0),"-")</f>
        <v>-</v>
      </c>
      <c r="Y32" s="278" t="str">
        <f>IFERROR(ROUND(VLOOKUP($H$2,'20年度'!$B$6:$GI$50,159,0)/1000,0),"-")</f>
        <v>-</v>
      </c>
      <c r="Z32" s="278" t="str">
        <f>IFERROR(ROUND(VLOOKUP($H$2,'21年度'!$B$6:$GI$50,159,0)/1000,0),"-")</f>
        <v>-</v>
      </c>
      <c r="AA32" s="269" t="str">
        <f>IFERROR(ROUND(VLOOKUP($H$2,'22年度'!$B$6:$GI$50,159,0)/1000,0),"-")</f>
        <v>-</v>
      </c>
      <c r="AB32" s="279">
        <f>IFERROR(ROUND(VLOOKUP($H$2,'23年度'!$B$6:$GI$52,159,0)/1000,0),"-")</f>
        <v>256022</v>
      </c>
      <c r="AC32" s="278">
        <f>IFERROR(ROUND(VLOOKUP($H$2,'24年度'!$B$6:$GI$52,159,0)/1000,0),"-")</f>
        <v>255464</v>
      </c>
      <c r="AD32" s="278">
        <f>IFERROR(ROUND(VLOOKUP($H$2,'25年度'!$B$6:$GI$52,159,0)/1000,0),"-")</f>
        <v>250196</v>
      </c>
      <c r="AE32" s="278">
        <f>IFERROR(ROUND(VLOOKUP($H$2,'26年度'!$B$6:$GI$52,159,0)/1000,0),"-")</f>
        <v>256879</v>
      </c>
      <c r="AF32" s="269">
        <f>IFERROR(ROUND(VLOOKUP($H$2,'27年度'!$B$6:$GI$52,159,0)/1000,0),"-")</f>
        <v>279204</v>
      </c>
      <c r="AG32" s="269">
        <f>IFERROR(ROUND(VLOOKUP($H$2,'28年度'!$B$6:$GI$52,159,0)/1000,0),"-")</f>
        <v>271639</v>
      </c>
      <c r="AH32" s="279">
        <f>IFERROR(ROUND(VLOOKUP($H$2,'29年度'!$B$6:$GI$52,159,0)/1000,0),"-")</f>
        <v>277239</v>
      </c>
      <c r="AI32" s="278">
        <f>IFERROR(ROUND(VLOOKUP($H$2,'30年度'!$B$6:$GI$52,159,0)/1000,0),"-")</f>
        <v>305656</v>
      </c>
      <c r="AJ32" s="269">
        <f>IFERROR(ROUND(VLOOKUP($H$2,'R1年度'!$B$6:$GJ$52,160,0)/1000,0),"-")</f>
        <v>298829</v>
      </c>
      <c r="AK32" s="269">
        <f>IFERROR(ROUND(VLOOKUP($H$2,'R2年度'!$B$6:$GJ$52,161,0)/1000,0),"-")</f>
        <v>342090</v>
      </c>
      <c r="AL32" s="279">
        <f>IFERROR(ROUND(VLOOKUP($H$2,'R3年度'!$B$6:$GJ$52,161,0)/1000,0),"-")</f>
        <v>358466</v>
      </c>
      <c r="AM32" s="278">
        <f>IFERROR(ROUND(VLOOKUP($H$2,'R4年度'!$B$6:$GJ$52,161,0)/1000,0),"-")</f>
        <v>360315</v>
      </c>
      <c r="AN32" s="269">
        <f>IFERROR(ROUND(VLOOKUP($H$2,'R5年度'!$B$6:$GJ$52,161,0)/1000,0),"-")</f>
        <v>339333</v>
      </c>
      <c r="AO32" s="303">
        <f>IFERROR(ROUND(VLOOKUP($H$2,'R6年度'!$B$6:$GK$52,161,0)/1000,0),"-")</f>
        <v>343528</v>
      </c>
    </row>
    <row r="33" spans="1:41" ht="15" customHeight="1" x14ac:dyDescent="0.15">
      <c r="A33" s="17"/>
      <c r="B33" s="509"/>
      <c r="C33" s="69"/>
      <c r="D33" s="525" t="s">
        <v>216</v>
      </c>
      <c r="E33" s="526"/>
      <c r="F33" s="285" t="str">
        <f>IFERROR(ROUND(VLOOKUP($H$2,'1年度'!$B$6:$GI$50,160,0)/1000,0),"-")</f>
        <v>-</v>
      </c>
      <c r="G33" s="285" t="str">
        <f>IFERROR(ROUND(VLOOKUP($H$2,'2年度'!$B$6:$GI$50,160,0)/1000,0),"-")</f>
        <v>-</v>
      </c>
      <c r="H33" s="285" t="str">
        <f>IFERROR(ROUND(VLOOKUP($H$2,'3年度'!$B$6:$GI$50,160,0)/1000,0),"-")</f>
        <v>-</v>
      </c>
      <c r="I33" s="285" t="str">
        <f>IFERROR(ROUND(VLOOKUP($H$2,'4年度'!$B$6:$GI$50,160,0)/1000,0),"-")</f>
        <v>-</v>
      </c>
      <c r="J33" s="285" t="str">
        <f>IFERROR(ROUND(VLOOKUP($H$2,'5年度'!$B$6:$GI$50,160,0)/1000,0),"-")</f>
        <v>-</v>
      </c>
      <c r="K33" s="285" t="str">
        <f>IFERROR(ROUND(VLOOKUP($H$2,'6年度'!$B$6:$GI$50,160,0)/1000,0),"-")</f>
        <v>-</v>
      </c>
      <c r="L33" s="285" t="str">
        <f>IFERROR(ROUND(VLOOKUP($H$2,'7年度'!$B$6:$GI$50,160,0)/1000,0),"-")</f>
        <v>-</v>
      </c>
      <c r="M33" s="285" t="str">
        <f>IFERROR(ROUND(VLOOKUP($H$2,'8年度'!$B$6:$GI$50,160,0)/1000,0),"-")</f>
        <v>-</v>
      </c>
      <c r="N33" s="285" t="str">
        <f>IFERROR(ROUND(VLOOKUP($H$2,'9年度'!$B$6:$GI$50,160,0)/1000,0),"-")</f>
        <v>-</v>
      </c>
      <c r="O33" s="285" t="str">
        <f>IFERROR(ROUND(VLOOKUP($H$2,'10年度'!$B$6:$GI$50,160,0)/1000,0),"-")</f>
        <v>-</v>
      </c>
      <c r="P33" s="285" t="str">
        <f>IFERROR(ROUND(VLOOKUP($H$2,'11年度'!$B$6:$GI$50,160,0)/1000,0),"-")</f>
        <v>-</v>
      </c>
      <c r="Q33" s="285" t="str">
        <f>IFERROR(ROUND(VLOOKUP($H$2,'12年度'!$B$6:$GI$50,160,0)/1000,0),"-")</f>
        <v>-</v>
      </c>
      <c r="R33" s="285" t="str">
        <f>IFERROR(ROUND(VLOOKUP($H$2,'13年度'!$B$6:$GI$50,160,0)/1000,0),"-")</f>
        <v>-</v>
      </c>
      <c r="S33" s="285" t="str">
        <f>IFERROR(ROUND(VLOOKUP($H$2,'14年度'!$B$6:$GI$50,160,0)/1000,0),"-")</f>
        <v>-</v>
      </c>
      <c r="T33" s="286" t="str">
        <f>IFERROR(ROUND(VLOOKUP($H$2,'15年度'!$B$6:$GI$50,160,0)/1000,0),"-")</f>
        <v>-</v>
      </c>
      <c r="U33" s="285" t="str">
        <f>IFERROR(ROUND(VLOOKUP($H$2,'16年度'!$B$6:$GI$50,160,0)/1000,0),"-")</f>
        <v>-</v>
      </c>
      <c r="V33" s="287" t="str">
        <f>IFERROR(ROUND(VLOOKUP($H$2,'17年度'!$B$6:$GI$50,160,0)/1000,0),"-")</f>
        <v>-</v>
      </c>
      <c r="W33" s="286" t="str">
        <f>IFERROR(ROUND(VLOOKUP($H$2,'18年度'!$B$6:$GI$50,160,0)/1000,0),"-")</f>
        <v>-</v>
      </c>
      <c r="X33" s="286" t="str">
        <f>IFERROR(ROUND(VLOOKUP($H$2,'19年度'!$B$6:$GI$50,160,0)/1000,0),"-")</f>
        <v>-</v>
      </c>
      <c r="Y33" s="286" t="str">
        <f>IFERROR(ROUND(VLOOKUP($H$2,'20年度'!$B$6:$GI$50,160,0)/1000,0),"-")</f>
        <v>-</v>
      </c>
      <c r="Z33" s="286" t="str">
        <f>IFERROR(ROUND(VLOOKUP($H$2,'21年度'!$B$6:$GI$50,160,0)/1000,0),"-")</f>
        <v>-</v>
      </c>
      <c r="AA33" s="285" t="str">
        <f>IFERROR(ROUND(VLOOKUP($H$2,'22年度'!$B$6:$GI$50,160,0)/1000,0),"-")</f>
        <v>-</v>
      </c>
      <c r="AB33" s="287">
        <f>IFERROR(ROUND(VLOOKUP($H$2,'23年度'!$B$6:$GI$52,160,0)/1000,0),"-")</f>
        <v>35179</v>
      </c>
      <c r="AC33" s="286">
        <f>IFERROR(ROUND(VLOOKUP($H$2,'24年度'!$B$6:$GI$52,160,0)/1000,0),"-")</f>
        <v>35011</v>
      </c>
      <c r="AD33" s="286">
        <f>IFERROR(ROUND(VLOOKUP($H$2,'25年度'!$B$6:$GI$52,160,0)/1000,0),"-")</f>
        <v>36489</v>
      </c>
      <c r="AE33" s="286">
        <f>IFERROR(ROUND(VLOOKUP($H$2,'26年度'!$B$6:$GI$52,160,0)/1000,0),"-")</f>
        <v>38128</v>
      </c>
      <c r="AF33" s="285">
        <f>IFERROR(ROUND(VLOOKUP($H$2,'27年度'!$B$6:$GI$52,160,0)/1000,0),"-")</f>
        <v>44308</v>
      </c>
      <c r="AG33" s="285">
        <f>IFERROR(ROUND(VLOOKUP($H$2,'28年度'!$B$6:$GI$52,160,0)/1000,0),"-")</f>
        <v>42482</v>
      </c>
      <c r="AH33" s="287">
        <f>IFERROR(ROUND(VLOOKUP($H$2,'29年度'!$B$6:$GI$52,160,0)/1000,0),"-")</f>
        <v>40121</v>
      </c>
      <c r="AI33" s="286">
        <f>IFERROR(ROUND(VLOOKUP($H$2,'30年度'!$B$6:$GI$52,160,0)/1000,0),"-")</f>
        <v>39379</v>
      </c>
      <c r="AJ33" s="285">
        <f>IFERROR(ROUND(VLOOKUP($H$2,'R1年度'!$B$6:$GJ$52,161,0)/1000,0),"-")</f>
        <v>39021</v>
      </c>
      <c r="AK33" s="285">
        <f>IFERROR(ROUND(VLOOKUP($H$2,'R2年度'!$B$6:$GJ$52,162,0)/1000,0),"-")</f>
        <v>40230</v>
      </c>
      <c r="AL33" s="287">
        <f>IFERROR(ROUND(VLOOKUP($H$2,'R3年度'!$B$6:$GJ$52,162,0)/1000,0),"-")</f>
        <v>42210</v>
      </c>
      <c r="AM33" s="286">
        <f>IFERROR(ROUND(VLOOKUP($H$2,'R4年度'!$B$6:$GJ$52,162,0)/1000,0),"-")</f>
        <v>41182</v>
      </c>
      <c r="AN33" s="285">
        <f>IFERROR(ROUND(VLOOKUP($H$2,'R5年度'!$B$6:$GJ$52,162,0)/1000,0),"-")</f>
        <v>40955</v>
      </c>
      <c r="AO33" s="301">
        <f>IFERROR(ROUND(VLOOKUP($H$2,'R6年度'!$B$6:$GK$52,162,0)/1000,0),"-")</f>
        <v>48987</v>
      </c>
    </row>
    <row r="34" spans="1:41" ht="15" customHeight="1" x14ac:dyDescent="0.15">
      <c r="A34" s="17"/>
      <c r="B34" s="509"/>
      <c r="C34" s="506" t="s">
        <v>284</v>
      </c>
      <c r="D34" s="507"/>
      <c r="E34" s="479"/>
      <c r="F34" s="281" t="str">
        <f>IFERROR(ROUND(VLOOKUP($H$2,'1年度'!$B$6:$GI$50,161,0)/1000,0),"-")</f>
        <v>-</v>
      </c>
      <c r="G34" s="281" t="str">
        <f>IFERROR(ROUND(VLOOKUP($H$2,'2年度'!$B$6:$GI$50,161,0)/1000,0),"-")</f>
        <v>-</v>
      </c>
      <c r="H34" s="281" t="str">
        <f>IFERROR(ROUND(VLOOKUP($H$2,'3年度'!$B$6:$GI$50,161,0)/1000,0),"-")</f>
        <v>-</v>
      </c>
      <c r="I34" s="281" t="str">
        <f>IFERROR(ROUND(VLOOKUP($H$2,'4年度'!$B$6:$GI$50,161,0)/1000,0),"-")</f>
        <v>-</v>
      </c>
      <c r="J34" s="281" t="str">
        <f>IFERROR(ROUND(VLOOKUP($H$2,'5年度'!$B$6:$GI$50,161,0)/1000,0),"-")</f>
        <v>-</v>
      </c>
      <c r="K34" s="281" t="str">
        <f>IFERROR(ROUND(VLOOKUP($H$2,'6年度'!$B$6:$GI$50,161,0)/1000,0),"-")</f>
        <v>-</v>
      </c>
      <c r="L34" s="281" t="str">
        <f>IFERROR(ROUND(VLOOKUP($H$2,'7年度'!$B$6:$GI$50,161,0)/1000,0),"-")</f>
        <v>-</v>
      </c>
      <c r="M34" s="281" t="str">
        <f>IFERROR(ROUND(VLOOKUP($H$2,'8年度'!$B$6:$GI$50,161,0)/1000,0),"-")</f>
        <v>-</v>
      </c>
      <c r="N34" s="281" t="str">
        <f>IFERROR(ROUND(VLOOKUP($H$2,'9年度'!$B$6:$GI$50,161,0)/1000,0),"-")</f>
        <v>-</v>
      </c>
      <c r="O34" s="281" t="str">
        <f>IFERROR(ROUND(VLOOKUP($H$2,'10年度'!$B$6:$GI$50,161,0)/1000,0),"-")</f>
        <v>-</v>
      </c>
      <c r="P34" s="281" t="str">
        <f>IFERROR(ROUND(VLOOKUP($H$2,'11年度'!$B$6:$GI$50,161,0)/1000,0),"-")</f>
        <v>-</v>
      </c>
      <c r="Q34" s="281" t="str">
        <f>IFERROR(ROUND(VLOOKUP($H$2,'12年度'!$B$6:$GI$50,161,0)/1000,0),"-")</f>
        <v>-</v>
      </c>
      <c r="R34" s="281" t="str">
        <f>IFERROR(ROUND(VLOOKUP($H$2,'13年度'!$B$6:$GI$50,161,0)/1000,0),"-")</f>
        <v>-</v>
      </c>
      <c r="S34" s="281" t="str">
        <f>IFERROR(ROUND(VLOOKUP($H$2,'14年度'!$B$6:$GI$50,161,0)/1000,0),"-")</f>
        <v>-</v>
      </c>
      <c r="T34" s="282" t="str">
        <f>IFERROR(ROUND(VLOOKUP($H$2,'15年度'!$B$6:$GI$50,161,0)/1000,0),"-")</f>
        <v>-</v>
      </c>
      <c r="U34" s="281" t="str">
        <f>IFERROR(ROUND(VLOOKUP($H$2,'16年度'!$B$6:$GI$50,161,0)/1000,0),"-")</f>
        <v>-</v>
      </c>
      <c r="V34" s="283" t="str">
        <f>IFERROR(ROUND(VLOOKUP($H$2,'17年度'!$B$6:$GI$50,161,0)/1000,0),"-")</f>
        <v>-</v>
      </c>
      <c r="W34" s="282" t="str">
        <f>IFERROR(ROUND(VLOOKUP($H$2,'18年度'!$B$6:$GI$50,161,0)/1000,0),"-")</f>
        <v>-</v>
      </c>
      <c r="X34" s="282" t="str">
        <f>IFERROR(ROUND(VLOOKUP($H$2,'19年度'!$B$6:$GI$50,161,0)/1000,0),"-")</f>
        <v>-</v>
      </c>
      <c r="Y34" s="282" t="str">
        <f>IFERROR(ROUND(VLOOKUP($H$2,'20年度'!$B$6:$GI$50,161,0)/1000,0),"-")</f>
        <v>-</v>
      </c>
      <c r="Z34" s="282" t="str">
        <f>IFERROR(ROUND(VLOOKUP($H$2,'21年度'!$B$6:$GI$50,161,0)/1000,0),"-")</f>
        <v>-</v>
      </c>
      <c r="AA34" s="281" t="str">
        <f>IFERROR(ROUND(VLOOKUP($H$2,'22年度'!$B$6:$GI$50,161,0)/1000,0),"-")</f>
        <v>-</v>
      </c>
      <c r="AB34" s="283">
        <f>IFERROR(ROUND(VLOOKUP($H$2,'23年度'!$B$6:$GI$52,161,0)/1000,0),"-")</f>
        <v>285990</v>
      </c>
      <c r="AC34" s="282">
        <f>IFERROR(ROUND(VLOOKUP($H$2,'24年度'!$B$6:$GI$52,161,0)/1000,0),"-")</f>
        <v>303741</v>
      </c>
      <c r="AD34" s="282">
        <f>IFERROR(ROUND(VLOOKUP($H$2,'25年度'!$B$6:$GI$52,161,0)/1000,0),"-")</f>
        <v>303825</v>
      </c>
      <c r="AE34" s="282">
        <f>IFERROR(ROUND(VLOOKUP($H$2,'26年度'!$B$6:$GI$52,161,0)/1000,0),"-")</f>
        <v>312804</v>
      </c>
      <c r="AF34" s="281">
        <f>IFERROR(ROUND(VLOOKUP($H$2,'27年度'!$B$6:$GI$52,161,0)/1000,0),"-")</f>
        <v>329693</v>
      </c>
      <c r="AG34" s="281">
        <f>IFERROR(ROUND(VLOOKUP($H$2,'28年度'!$B$6:$GI$52,161,0)/1000,0),"-")</f>
        <v>292570</v>
      </c>
      <c r="AH34" s="283">
        <f>IFERROR(ROUND(VLOOKUP($H$2,'29年度'!$B$6:$GI$52,161,0)/1000,0),"-")</f>
        <v>295169</v>
      </c>
      <c r="AI34" s="282">
        <f>IFERROR(ROUND(VLOOKUP($H$2,'30年度'!$B$6:$GI$52,161,0)/1000,0),"-")</f>
        <v>302093</v>
      </c>
      <c r="AJ34" s="281">
        <f>IFERROR(ROUND(VLOOKUP($H$2,'R1年度'!$B$6:$GJ$52,162,0)/1000,0),"-")</f>
        <v>312982</v>
      </c>
      <c r="AK34" s="281">
        <f>IFERROR(ROUND(VLOOKUP($H$2,'R2年度'!$B$6:$GJ$52,163,0)/1000,0),"-")</f>
        <v>289887</v>
      </c>
      <c r="AL34" s="283">
        <f>IFERROR(ROUND(VLOOKUP($H$2,'R3年度'!$B$6:$GJ$52,163,0)/1000,0),"-")</f>
        <v>293244</v>
      </c>
      <c r="AM34" s="282">
        <f>IFERROR(ROUND(VLOOKUP($H$2,'R4年度'!$B$6:$GJ$52,163,0)/1000,0),"-")</f>
        <v>313278</v>
      </c>
      <c r="AN34" s="281">
        <f>IFERROR(ROUND(VLOOKUP($H$2,'R5年度'!$B$6:$GJ$52,163,0)/1000,0),"-")</f>
        <v>304164</v>
      </c>
      <c r="AO34" s="302">
        <f>IFERROR(ROUND(VLOOKUP($H$2,'R6年度'!$B$6:$GK$52,163,0)/1000,0),"-")</f>
        <v>311031</v>
      </c>
    </row>
    <row r="35" spans="1:41" ht="15" customHeight="1" x14ac:dyDescent="0.15">
      <c r="A35" s="17"/>
      <c r="B35" s="509"/>
      <c r="C35" s="506" t="s">
        <v>274</v>
      </c>
      <c r="D35" s="507"/>
      <c r="E35" s="479"/>
      <c r="F35" s="281" t="str">
        <f>IFERROR(ROUND(VLOOKUP($H$2,'1年度'!$B$6:$GI$50,162,0)/1000,0),"-")</f>
        <v>-</v>
      </c>
      <c r="G35" s="281" t="str">
        <f>IFERROR(ROUND(VLOOKUP($H$2,'2年度'!$B$6:$GI$50,162,0)/1000,0),"-")</f>
        <v>-</v>
      </c>
      <c r="H35" s="281" t="str">
        <f>IFERROR(ROUND(VLOOKUP($H$2,'3年度'!$B$6:$GI$50,162,0)/1000,0),"-")</f>
        <v>-</v>
      </c>
      <c r="I35" s="281" t="str">
        <f>IFERROR(ROUND(VLOOKUP($H$2,'4年度'!$B$6:$GI$50,162,0)/1000,0),"-")</f>
        <v>-</v>
      </c>
      <c r="J35" s="281" t="str">
        <f>IFERROR(ROUND(VLOOKUP($H$2,'5年度'!$B$6:$GI$50,162,0)/1000,0),"-")</f>
        <v>-</v>
      </c>
      <c r="K35" s="281" t="str">
        <f>IFERROR(ROUND(VLOOKUP($H$2,'6年度'!$B$6:$GI$50,162,0)/1000,0),"-")</f>
        <v>-</v>
      </c>
      <c r="L35" s="281" t="str">
        <f>IFERROR(ROUND(VLOOKUP($H$2,'7年度'!$B$6:$GI$50,162,0)/1000,0),"-")</f>
        <v>-</v>
      </c>
      <c r="M35" s="281" t="str">
        <f>IFERROR(ROUND(VLOOKUP($H$2,'8年度'!$B$6:$GI$50,162,0)/1000,0),"-")</f>
        <v>-</v>
      </c>
      <c r="N35" s="281" t="str">
        <f>IFERROR(ROUND(VLOOKUP($H$2,'9年度'!$B$6:$GI$50,162,0)/1000,0),"-")</f>
        <v>-</v>
      </c>
      <c r="O35" s="281" t="str">
        <f>IFERROR(ROUND(VLOOKUP($H$2,'10年度'!$B$6:$GI$50,162,0)/1000,0),"-")</f>
        <v>-</v>
      </c>
      <c r="P35" s="281" t="str">
        <f>IFERROR(ROUND(VLOOKUP($H$2,'11年度'!$B$6:$GI$50,162,0)/1000,0),"-")</f>
        <v>-</v>
      </c>
      <c r="Q35" s="281" t="str">
        <f>IFERROR(ROUND(VLOOKUP($H$2,'12年度'!$B$6:$GI$50,162,0)/1000,0),"-")</f>
        <v>-</v>
      </c>
      <c r="R35" s="281" t="str">
        <f>IFERROR(ROUND(VLOOKUP($H$2,'13年度'!$B$6:$GI$50,162,0)/1000,0),"-")</f>
        <v>-</v>
      </c>
      <c r="S35" s="281" t="str">
        <f>IFERROR(ROUND(VLOOKUP($H$2,'14年度'!$B$6:$GI$50,162,0)/1000,0),"-")</f>
        <v>-</v>
      </c>
      <c r="T35" s="282" t="str">
        <f>IFERROR(ROUND(VLOOKUP($H$2,'15年度'!$B$6:$GI$50,162,0)/1000,0),"-")</f>
        <v>-</v>
      </c>
      <c r="U35" s="281" t="str">
        <f>IFERROR(ROUND(VLOOKUP($H$2,'16年度'!$B$6:$GI$50,162,0)/1000,0),"-")</f>
        <v>-</v>
      </c>
      <c r="V35" s="283" t="str">
        <f>IFERROR(ROUND(VLOOKUP($H$2,'17年度'!$B$6:$GI$50,162,0)/1000,0),"-")</f>
        <v>-</v>
      </c>
      <c r="W35" s="282" t="str">
        <f>IFERROR(ROUND(VLOOKUP($H$2,'18年度'!$B$6:$GI$50,162,0)/1000,0),"-")</f>
        <v>-</v>
      </c>
      <c r="X35" s="282" t="str">
        <f>IFERROR(ROUND(VLOOKUP($H$2,'19年度'!$B$6:$GI$50,162,0)/1000,0),"-")</f>
        <v>-</v>
      </c>
      <c r="Y35" s="282" t="str">
        <f>IFERROR(ROUND(VLOOKUP($H$2,'20年度'!$B$6:$GI$50,162,0)/1000,0),"-")</f>
        <v>-</v>
      </c>
      <c r="Z35" s="282" t="str">
        <f>IFERROR(ROUND(VLOOKUP($H$2,'21年度'!$B$6:$GI$50,162,0)/1000,0),"-")</f>
        <v>-</v>
      </c>
      <c r="AA35" s="281" t="str">
        <f>IFERROR(ROUND(VLOOKUP($H$2,'22年度'!$B$6:$GI$50,162,0)/1000,0),"-")</f>
        <v>-</v>
      </c>
      <c r="AB35" s="283">
        <f>IFERROR(ROUND(VLOOKUP($H$2,'23年度'!$B$6:$GI$52,162,0)/1000,0),"-")</f>
        <v>85483</v>
      </c>
      <c r="AC35" s="282">
        <f>IFERROR(ROUND(VLOOKUP($H$2,'24年度'!$B$6:$GI$52,162,0)/1000,0),"-")</f>
        <v>62566</v>
      </c>
      <c r="AD35" s="282">
        <f>IFERROR(ROUND(VLOOKUP($H$2,'25年度'!$B$6:$GI$52,162,0)/1000,0),"-")</f>
        <v>117089</v>
      </c>
      <c r="AE35" s="282">
        <f>IFERROR(ROUND(VLOOKUP($H$2,'26年度'!$B$6:$GI$52,162,0)/1000,0),"-")</f>
        <v>121293</v>
      </c>
      <c r="AF35" s="281">
        <f>IFERROR(ROUND(VLOOKUP($H$2,'27年度'!$B$6:$GI$52,162,0)/1000,0),"-")</f>
        <v>94126</v>
      </c>
      <c r="AG35" s="281">
        <f>IFERROR(ROUND(VLOOKUP($H$2,'28年度'!$B$6:$GI$52,162,0)/1000,0),"-")</f>
        <v>65927</v>
      </c>
      <c r="AH35" s="283">
        <f>IFERROR(ROUND(VLOOKUP($H$2,'29年度'!$B$6:$GI$52,162,0)/1000,0),"-")</f>
        <v>94695</v>
      </c>
      <c r="AI35" s="282">
        <f>IFERROR(ROUND(VLOOKUP($H$2,'30年度'!$B$6:$GI$52,162,0)/1000,0),"-")</f>
        <v>75645</v>
      </c>
      <c r="AJ35" s="281">
        <f>IFERROR(ROUND(VLOOKUP($H$2,'R1年度'!$B$6:$GJ$52,163,0)/1000,0),"-")</f>
        <v>82984</v>
      </c>
      <c r="AK35" s="281">
        <f>IFERROR(ROUND(VLOOKUP($H$2,'R2年度'!$B$6:$GJ$52,164,0)/1000,0),"-")</f>
        <v>92938</v>
      </c>
      <c r="AL35" s="283">
        <f>IFERROR(ROUND(VLOOKUP($H$2,'R3年度'!$B$6:$GJ$52,164,0)/1000,0),"-")</f>
        <v>177340</v>
      </c>
      <c r="AM35" s="282">
        <f>IFERROR(ROUND(VLOOKUP($H$2,'R4年度'!$B$6:$GJ$52,164,0)/1000,0),"-")</f>
        <v>142968</v>
      </c>
      <c r="AN35" s="281">
        <f>IFERROR(ROUND(VLOOKUP($H$2,'R5年度'!$B$6:$GJ$52,164,0)/1000,0),"-")</f>
        <v>140154</v>
      </c>
      <c r="AO35" s="302">
        <f>IFERROR(ROUND(VLOOKUP($H$2,'R6年度'!$B$6:$GK$52,164,0)/1000,0),"-")</f>
        <v>133325</v>
      </c>
    </row>
    <row r="36" spans="1:41" ht="15" customHeight="1" thickBot="1" x14ac:dyDescent="0.2">
      <c r="A36" s="17"/>
      <c r="B36" s="509"/>
      <c r="C36" s="500" t="s">
        <v>244</v>
      </c>
      <c r="D36" s="501"/>
      <c r="E36" s="502"/>
      <c r="F36" s="294" t="str">
        <f>IFERROR(ROUND(VLOOKUP($H$2,'1年度'!$B$6:$GI$50,163,0)/1000,0),"-")</f>
        <v>-</v>
      </c>
      <c r="G36" s="294" t="str">
        <f>IFERROR(ROUND(VLOOKUP($H$2,'2年度'!$B$6:$GI$50,163,0)/1000,0),"-")</f>
        <v>-</v>
      </c>
      <c r="H36" s="294" t="str">
        <f>IFERROR(ROUND(VLOOKUP($H$2,'3年度'!$B$6:$GI$50,163,0)/1000,0),"-")</f>
        <v>-</v>
      </c>
      <c r="I36" s="294" t="str">
        <f>IFERROR(ROUND(VLOOKUP($H$2,'4年度'!$B$6:$GI$50,163,0)/1000,0),"-")</f>
        <v>-</v>
      </c>
      <c r="J36" s="294" t="str">
        <f>IFERROR(ROUND(VLOOKUP($H$2,'5年度'!$B$6:$GI$50,163,0)/1000,0),"-")</f>
        <v>-</v>
      </c>
      <c r="K36" s="294" t="str">
        <f>IFERROR(ROUND(VLOOKUP($H$2,'6年度'!$B$6:$GI$50,163,0)/1000,0),"-")</f>
        <v>-</v>
      </c>
      <c r="L36" s="294" t="str">
        <f>IFERROR(ROUND(VLOOKUP($H$2,'7年度'!$B$6:$GI$50,163,0)/1000,0),"-")</f>
        <v>-</v>
      </c>
      <c r="M36" s="294" t="str">
        <f>IFERROR(ROUND(VLOOKUP($H$2,'8年度'!$B$6:$GI$50,163,0)/1000,0),"-")</f>
        <v>-</v>
      </c>
      <c r="N36" s="294" t="str">
        <f>IFERROR(ROUND(VLOOKUP($H$2,'9年度'!$B$6:$GI$50,163,0)/1000,0),"-")</f>
        <v>-</v>
      </c>
      <c r="O36" s="294" t="str">
        <f>IFERROR(ROUND(VLOOKUP($H$2,'10年度'!$B$6:$GI$50,163,0)/1000,0),"-")</f>
        <v>-</v>
      </c>
      <c r="P36" s="294" t="str">
        <f>IFERROR(ROUND(VLOOKUP($H$2,'11年度'!$B$6:$GI$50,163,0)/1000,0),"-")</f>
        <v>-</v>
      </c>
      <c r="Q36" s="294" t="str">
        <f>IFERROR(ROUND(VLOOKUP($H$2,'12年度'!$B$6:$GI$50,163,0)/1000,0),"-")</f>
        <v>-</v>
      </c>
      <c r="R36" s="294" t="str">
        <f>IFERROR(ROUND(VLOOKUP($H$2,'13年度'!$B$6:$GI$50,163,0)/1000,0),"-")</f>
        <v>-</v>
      </c>
      <c r="S36" s="294" t="str">
        <f>IFERROR(ROUND(VLOOKUP($H$2,'14年度'!$B$6:$GI$50,163,0)/1000,0),"-")</f>
        <v>-</v>
      </c>
      <c r="T36" s="295" t="str">
        <f>IFERROR(ROUND(VLOOKUP($H$2,'15年度'!$B$6:$GI$50,163,0)/1000,0),"-")</f>
        <v>-</v>
      </c>
      <c r="U36" s="294" t="str">
        <f>IFERROR(ROUND(VLOOKUP($H$2,'16年度'!$B$6:$GI$50,163,0)/1000,0),"-")</f>
        <v>-</v>
      </c>
      <c r="V36" s="296" t="str">
        <f>IFERROR(ROUND(VLOOKUP($H$2,'17年度'!$B$6:$GI$50,163,0)/1000,0),"-")</f>
        <v>-</v>
      </c>
      <c r="W36" s="295" t="str">
        <f>IFERROR(ROUND(VLOOKUP($H$2,'18年度'!$B$6:$GI$50,163,0)/1000,0),"-")</f>
        <v>-</v>
      </c>
      <c r="X36" s="295" t="str">
        <f>IFERROR(ROUND(VLOOKUP($H$2,'19年度'!$B$6:$GI$50,163,0)/1000,0),"-")</f>
        <v>-</v>
      </c>
      <c r="Y36" s="295" t="str">
        <f>IFERROR(ROUND(VLOOKUP($H$2,'20年度'!$B$6:$GI$50,163,0)/1000,0),"-")</f>
        <v>-</v>
      </c>
      <c r="Z36" s="295" t="str">
        <f>IFERROR(ROUND(VLOOKUP($H$2,'21年度'!$B$6:$GI$50,163,0)/1000,0),"-")</f>
        <v>-</v>
      </c>
      <c r="AA36" s="294" t="str">
        <f>IFERROR(ROUND(VLOOKUP($H$2,'22年度'!$B$6:$GI$50,163,0)/1000,0),"-")</f>
        <v>-</v>
      </c>
      <c r="AB36" s="296">
        <f>IFERROR(ROUND(VLOOKUP($H$2,'23年度'!$B$6:$GI$52,163,0)/1000,0),"-")</f>
        <v>2263550</v>
      </c>
      <c r="AC36" s="295">
        <f>IFERROR(ROUND(VLOOKUP($H$2,'24年度'!$B$6:$GI$52,163,0)/1000,0),"-")</f>
        <v>2272092</v>
      </c>
      <c r="AD36" s="295">
        <f>IFERROR(ROUND(VLOOKUP($H$2,'25年度'!$B$6:$GI$52,163,0)/1000,0),"-")</f>
        <v>2314841</v>
      </c>
      <c r="AE36" s="295">
        <f>IFERROR(ROUND(VLOOKUP($H$2,'26年度'!$B$6:$GI$52,163,0)/1000,0),"-")</f>
        <v>2358296</v>
      </c>
      <c r="AF36" s="294">
        <f>IFERROR(ROUND(VLOOKUP($H$2,'27年度'!$B$6:$GI$52,163,0)/1000,0),"-")</f>
        <v>2397142</v>
      </c>
      <c r="AG36" s="294">
        <f>IFERROR(ROUND(VLOOKUP($H$2,'28年度'!$B$6:$GI$52,163,0)/1000,0),"-")</f>
        <v>2305129</v>
      </c>
      <c r="AH36" s="296">
        <f>IFERROR(ROUND(VLOOKUP($H$2,'29年度'!$B$6:$GI$52,163,0)/1000,0),"-")</f>
        <v>2460040</v>
      </c>
      <c r="AI36" s="295">
        <f>IFERROR(ROUND(VLOOKUP($H$2,'30年度'!$B$6:$GI$52,163,0)/1000,0),"-")</f>
        <v>2494262</v>
      </c>
      <c r="AJ36" s="294">
        <f>IFERROR(ROUND(VLOOKUP($H$2,'R1年度'!$B$6:$GJ$52,164,0)/1000,0),"-")</f>
        <v>2514014</v>
      </c>
      <c r="AK36" s="294">
        <f>IFERROR(ROUND(VLOOKUP($H$2,'R2年度'!$B$6:$GJ$52,165,0)/1000,0),"-")</f>
        <v>2545901</v>
      </c>
      <c r="AL36" s="296">
        <f>IFERROR(ROUND(VLOOKUP($H$2,'R3年度'!$B$6:$GJ$52,165,0)/1000,0),"-")</f>
        <v>2695662</v>
      </c>
      <c r="AM36" s="297">
        <f>IFERROR(ROUND(VLOOKUP($H$2,'R4年度'!$B$6:$GJ$52,165,0)/1000,0),"-")</f>
        <v>2712508</v>
      </c>
      <c r="AN36" s="305">
        <f>IFERROR(ROUND(VLOOKUP($H$2,'R5年度'!$B$6:$GJ$52,165,0)/1000,0),"-")</f>
        <v>2864292</v>
      </c>
      <c r="AO36" s="306">
        <f>IFERROR(ROUND(VLOOKUP($H$2,'R6年度'!$B$6:$GK$52,165,0)/1000,0),"-")</f>
        <v>2920397</v>
      </c>
    </row>
    <row r="37" spans="1:41" ht="15" customHeight="1" thickTop="1" x14ac:dyDescent="0.15">
      <c r="A37" s="17"/>
      <c r="B37" s="509"/>
      <c r="C37" s="517" t="s">
        <v>285</v>
      </c>
      <c r="D37" s="483"/>
      <c r="E37" s="518"/>
      <c r="F37" s="270" t="str">
        <f>IFERROR(ROUND(VLOOKUP($H$2,'1年度'!$B$6:$GI$50,137,0)/1000,0),"-")</f>
        <v>-</v>
      </c>
      <c r="G37" s="270" t="str">
        <f>IFERROR(ROUND(VLOOKUP($H$2,'2年度'!$B$6:$GI$50,137,0)/1000,0),"-")</f>
        <v>-</v>
      </c>
      <c r="H37" s="270" t="str">
        <f>IFERROR(ROUND(VLOOKUP($H$2,'3年度'!$B$6:$GI$50,137,0)/1000,0),"-")</f>
        <v>-</v>
      </c>
      <c r="I37" s="270" t="str">
        <f>IFERROR(ROUND(VLOOKUP($H$2,'4年度'!$B$6:$GI$50,137,0)/1000,0),"-")</f>
        <v>-</v>
      </c>
      <c r="J37" s="270" t="str">
        <f>IFERROR(ROUND(VLOOKUP($H$2,'5年度'!$B$6:$GI$50,137,0)/1000,0),"-")</f>
        <v>-</v>
      </c>
      <c r="K37" s="270" t="str">
        <f>IFERROR(ROUND(VLOOKUP($H$2,'6年度'!$B$6:$GI$50,137,0)/1000,0),"-")</f>
        <v>-</v>
      </c>
      <c r="L37" s="270" t="str">
        <f>IFERROR(ROUND(VLOOKUP($H$2,'7年度'!$B$6:$GI$50,137,0)/1000,0),"-")</f>
        <v>-</v>
      </c>
      <c r="M37" s="270" t="str">
        <f>IFERROR(ROUND(VLOOKUP($H$2,'8年度'!$B$6:$GI$50,137,0)/1000,0),"-")</f>
        <v>-</v>
      </c>
      <c r="N37" s="270" t="str">
        <f>IFERROR(ROUND(VLOOKUP($H$2,'9年度'!$B$6:$GI$50,137,0)/1000,0),"-")</f>
        <v>-</v>
      </c>
      <c r="O37" s="270" t="str">
        <f>IFERROR(ROUND(VLOOKUP($H$2,'10年度'!$B$6:$GI$50,137,0)/1000,0),"-")</f>
        <v>-</v>
      </c>
      <c r="P37" s="270" t="str">
        <f>IFERROR(ROUND(VLOOKUP($H$2,'11年度'!$B$6:$GI$50,137,0)/1000,0),"-")</f>
        <v>-</v>
      </c>
      <c r="Q37" s="270" t="str">
        <f>IFERROR(ROUND(VLOOKUP($H$2,'12年度'!$B$6:$GI$50,137,0)/1000,0),"-")</f>
        <v>-</v>
      </c>
      <c r="R37" s="270" t="str">
        <f>IFERROR(ROUND(VLOOKUP($H$2,'13年度'!$B$6:$GI$50,137,0)/1000,0),"-")</f>
        <v>-</v>
      </c>
      <c r="S37" s="270" t="str">
        <f>IFERROR(ROUND(VLOOKUP($H$2,'14年度'!$B$6:$GI$50,137,0)/1000,0),"-")</f>
        <v>-</v>
      </c>
      <c r="T37" s="271" t="str">
        <f>IFERROR(ROUND(VLOOKUP($H$2,'15年度'!$B$6:$GI$50,137,0)/1000,0),"-")</f>
        <v>-</v>
      </c>
      <c r="U37" s="270" t="str">
        <f>IFERROR(ROUND(VLOOKUP($H$2,'16年度'!$B$6:$GI$50,137,0)/1000,0),"-")</f>
        <v>-</v>
      </c>
      <c r="V37" s="272" t="str">
        <f>IFERROR(ROUND(VLOOKUP($H$2,'17年度'!$B$6:$GI$50,137,0)/1000,0),"-")</f>
        <v>-</v>
      </c>
      <c r="W37" s="271" t="str">
        <f>IFERROR(ROUND(VLOOKUP($H$2,'18年度'!$B$6:$GI$50,137,0)/1000,0),"-")</f>
        <v>-</v>
      </c>
      <c r="X37" s="271" t="str">
        <f>IFERROR(ROUND(VLOOKUP($H$2,'19年度'!$B$6:$GI$50,137,0)/1000,0),"-")</f>
        <v>-</v>
      </c>
      <c r="Y37" s="271" t="str">
        <f>IFERROR(ROUND(VLOOKUP($H$2,'20年度'!$B$6:$GI$50,137,0)/1000,0),"-")</f>
        <v>-</v>
      </c>
      <c r="Z37" s="271" t="str">
        <f>IFERROR(ROUND(VLOOKUP($H$2,'21年度'!$B$6:$GI$50,137,0)/1000,0),"-")</f>
        <v>-</v>
      </c>
      <c r="AA37" s="270" t="str">
        <f>IFERROR(ROUND(VLOOKUP($H$2,'22年度'!$B$6:$GI$50,137,0)/1000,0),"-")</f>
        <v>-</v>
      </c>
      <c r="AB37" s="272">
        <f>IFERROR(ROUND(VLOOKUP($H$2,'23年度'!$B$6:$GI$52,137,0)/1000,0),"-")</f>
        <v>18565</v>
      </c>
      <c r="AC37" s="271">
        <f>IFERROR(ROUND(VLOOKUP($H$2,'24年度'!$B$6:$GI$52,137,0)/1000,0),"-")</f>
        <v>20110</v>
      </c>
      <c r="AD37" s="271">
        <f>IFERROR(ROUND(VLOOKUP($H$2,'25年度'!$B$6:$GI$52,137,0)/1000,0),"-")</f>
        <v>52198</v>
      </c>
      <c r="AE37" s="271">
        <f>IFERROR(ROUND(VLOOKUP($H$2,'26年度'!$B$6:$GI$52,137,0)/1000,0),"-")</f>
        <v>19664</v>
      </c>
      <c r="AF37" s="270">
        <f>IFERROR(ROUND(VLOOKUP($H$2,'27年度'!$B$6:$GI$52,137,0)/1000,0),"-")</f>
        <v>23842</v>
      </c>
      <c r="AG37" s="270">
        <f>IFERROR(ROUND(VLOOKUP($H$2,'28年度'!$B$6:$GI$52,137,0)/1000,0),"-")</f>
        <v>19380</v>
      </c>
      <c r="AH37" s="272">
        <f>IFERROR(ROUND(VLOOKUP($H$2,'29年度'!$B$6:$GI$52,137,0)/1000,0),"-")</f>
        <v>23672</v>
      </c>
      <c r="AI37" s="271">
        <f>IFERROR(ROUND(VLOOKUP($H$2,'30年度'!$B$6:$GI$52,137,0)/1000,0),"-")</f>
        <v>25105</v>
      </c>
      <c r="AJ37" s="270">
        <f>IFERROR(ROUND(VLOOKUP($H$2,'R1年度'!$B$6:$GJ$52,138,0)/1000,0),"-")</f>
        <v>28304</v>
      </c>
      <c r="AK37" s="270">
        <f>IFERROR(ROUND(VLOOKUP($H$2,'R2年度'!$B$6:$GJ$52,139,0)/1000,0),"-")</f>
        <v>40335</v>
      </c>
      <c r="AL37" s="272">
        <f>IFERROR(ROUND(VLOOKUP($H$2,'R3年度'!$B$6:$GJ$52,139,0)/1000,0),"-")</f>
        <v>78707</v>
      </c>
      <c r="AM37" s="271">
        <f>IFERROR(ROUND(VLOOKUP($H$2,'R4年度'!$B$6:$GJ$52,139,0)/1000,0),"-")</f>
        <v>67823</v>
      </c>
      <c r="AN37" s="270">
        <f>IFERROR(ROUND(VLOOKUP($H$2,'R5年度'!$B$6:$GJ$52,139,0)/1000,0),"-")</f>
        <v>53061</v>
      </c>
      <c r="AO37" s="300">
        <f>IFERROR(ROUND(VLOOKUP($H$2,'R6年度'!$B$6:$GK$52,139,0)/1000,0),"-")</f>
        <v>59294</v>
      </c>
    </row>
    <row r="38" spans="1:41" ht="15" customHeight="1" thickBot="1" x14ac:dyDescent="0.2">
      <c r="A38" s="17"/>
      <c r="B38" s="510"/>
      <c r="C38" s="60"/>
      <c r="D38" s="545" t="s">
        <v>286</v>
      </c>
      <c r="E38" s="546"/>
      <c r="F38" s="307" t="str">
        <f>IFERROR(VLOOKUP($H$2,'1年度'!$B$6:$GI$50,164,0),"-")</f>
        <v>-</v>
      </c>
      <c r="G38" s="307" t="str">
        <f>IFERROR(VLOOKUP($H$2,'2年度'!$B$6:$GI$50,164,0),"-")</f>
        <v>-</v>
      </c>
      <c r="H38" s="307" t="str">
        <f>IFERROR(VLOOKUP($H$2,'3年度'!$B$6:$GI$50,164,0),"-")</f>
        <v>-</v>
      </c>
      <c r="I38" s="307" t="str">
        <f>IFERROR(VLOOKUP($H$2,'4年度'!$B$6:$GI$50,164,0),"-")</f>
        <v>-</v>
      </c>
      <c r="J38" s="307" t="str">
        <f>IFERROR(VLOOKUP($H$2,'5年度'!$B$6:$GI$50,164,0),"-")</f>
        <v>-</v>
      </c>
      <c r="K38" s="307" t="str">
        <f>IFERROR(VLOOKUP($H$2,'6年度'!$B$6:$GI$50,164,0),"-")</f>
        <v>-</v>
      </c>
      <c r="L38" s="307" t="str">
        <f>IFERROR(VLOOKUP($H$2,'7年度'!$B$6:$GI$50,164,0),"-")</f>
        <v>-</v>
      </c>
      <c r="M38" s="307" t="str">
        <f>IFERROR(VLOOKUP($H$2,'8年度'!$B$6:$GI$50,164,0),"-")</f>
        <v>-</v>
      </c>
      <c r="N38" s="307" t="str">
        <f>IFERROR(VLOOKUP($H$2,'9年度'!$B$6:$GI$50,164,0),"-")</f>
        <v>-</v>
      </c>
      <c r="O38" s="307" t="str">
        <f>IFERROR(VLOOKUP($H$2,'10年度'!$B$6:$GI$50,164,0),"-")</f>
        <v>-</v>
      </c>
      <c r="P38" s="307" t="str">
        <f>IFERROR(VLOOKUP($H$2,'11年度'!$B$6:$GI$50,164,0),"-")</f>
        <v>-</v>
      </c>
      <c r="Q38" s="307" t="str">
        <f>IFERROR(VLOOKUP($H$2,'12年度'!$B$6:$GI$50,164,0),"-")</f>
        <v>-</v>
      </c>
      <c r="R38" s="307" t="str">
        <f>IFERROR(VLOOKUP($H$2,'13年度'!$B$6:$GI$50,164,0),"-")</f>
        <v>-</v>
      </c>
      <c r="S38" s="307" t="str">
        <f>IFERROR(VLOOKUP($H$2,'14年度'!$B$6:$GI$50,164,0),"-")</f>
        <v>-</v>
      </c>
      <c r="T38" s="308" t="str">
        <f>IFERROR(VLOOKUP($H$2,'15年度'!$B$6:$GI$50,164,0),"-")</f>
        <v>-</v>
      </c>
      <c r="U38" s="307" t="str">
        <f>IFERROR(VLOOKUP($H$2,'16年度'!$B$6:$GI$50,164,0),"-")</f>
        <v>-</v>
      </c>
      <c r="V38" s="309" t="str">
        <f>IFERROR(VLOOKUP($H$2,'17年度'!$B$6:$GI$50,164,0),"-")</f>
        <v>-</v>
      </c>
      <c r="W38" s="308" t="str">
        <f>IFERROR(VLOOKUP($H$2,'18年度'!$B$6:$GI$50,164,0),"-")</f>
        <v>-</v>
      </c>
      <c r="X38" s="308" t="str">
        <f>IFERROR(VLOOKUP($H$2,'19年度'!$B$6:$GI$50,164,0),"-")</f>
        <v>-</v>
      </c>
      <c r="Y38" s="308" t="str">
        <f>IFERROR(VLOOKUP($H$2,'20年度'!$B$6:$GI$50,164,0),"-")</f>
        <v>-</v>
      </c>
      <c r="Z38" s="308" t="str">
        <f>IFERROR(VLOOKUP($H$2,'21年度'!$B$6:$GI$50,164,0),"-")</f>
        <v>-</v>
      </c>
      <c r="AA38" s="307" t="str">
        <f>IFERROR(VLOOKUP($H$2,'22年度'!$B$6:$GI$50,164,0),"-")</f>
        <v>-</v>
      </c>
      <c r="AB38" s="309">
        <f>IFERROR(VLOOKUP($H$2,'23年度'!$B$6:$GI$52,164,0),"-")</f>
        <v>0.9</v>
      </c>
      <c r="AC38" s="308">
        <f>IFERROR(VLOOKUP($H$2,'24年度'!$B$6:$GI$52,164,0),"-")</f>
        <v>1</v>
      </c>
      <c r="AD38" s="308">
        <f>IFERROR(VLOOKUP($H$2,'25年度'!$B$6:$GI$52,164,0),"-")</f>
        <v>2.6</v>
      </c>
      <c r="AE38" s="308">
        <f>IFERROR(VLOOKUP($H$2,'26年度'!$B$6:$GI$52,164,0),"-")</f>
        <v>1</v>
      </c>
      <c r="AF38" s="307">
        <f>IFERROR(VLOOKUP($H$2,'27年度'!$B$6:$GI$52,164,0),"-")</f>
        <v>1.2</v>
      </c>
      <c r="AG38" s="307">
        <f>IFERROR(VLOOKUP($H$2,'28年度'!$B$6:$GI$52,164,0),"-")</f>
        <v>1</v>
      </c>
      <c r="AH38" s="309">
        <f>IFERROR(VLOOKUP($H$2,'29年度'!$B$6:$GI$52,164,0),"-")</f>
        <v>1.1000000000000001</v>
      </c>
      <c r="AI38" s="308">
        <f>IFERROR(VLOOKUP($H$2,'30年度'!$B$6:$GI$52,164,0),"-")</f>
        <v>1.2</v>
      </c>
      <c r="AJ38" s="307">
        <f>IFERROR(VLOOKUP($H$2,'R1年度'!$B$6:$GJ$52,165,0),"-")</f>
        <v>1.3</v>
      </c>
      <c r="AK38" s="307">
        <f>IFERROR(VLOOKUP($H$2,'R2年度'!$B$6:$GJ$52,166,0),"-")</f>
        <v>1.8</v>
      </c>
      <c r="AL38" s="309">
        <f>IFERROR(VLOOKUP($H$2,'R3年度'!$B$6:$GJ$52,166,0),"-")</f>
        <v>3.4</v>
      </c>
      <c r="AM38" s="308">
        <f>IFERROR(VLOOKUP($H$2,'R4年度'!$B$6:$GJ$52,166,0),"-")</f>
        <v>3</v>
      </c>
      <c r="AN38" s="307">
        <f>IFERROR(VLOOKUP($H$2,'R5年度'!$B$6:$GJ$52,166,0),"-")</f>
        <v>2.2999999999999998</v>
      </c>
      <c r="AO38" s="310">
        <f>IFERROR(VLOOKUP($H$2,'R6年度'!$B$6:$GK$52,166,0),"-")</f>
        <v>2.5</v>
      </c>
    </row>
    <row r="39" spans="1:41" ht="15" customHeight="1" x14ac:dyDescent="0.15">
      <c r="A39" s="17"/>
      <c r="B39" s="508" t="s">
        <v>287</v>
      </c>
      <c r="C39" s="521" t="s">
        <v>288</v>
      </c>
      <c r="D39" s="485"/>
      <c r="E39" s="486"/>
      <c r="F39" s="311" t="str">
        <f>IFERROR(ROUND(VLOOKUP($H$2,'1年度'!$B$6:$GI$50,165,0)/1000,0),"-")</f>
        <v>-</v>
      </c>
      <c r="G39" s="311" t="str">
        <f>IFERROR(ROUND(VLOOKUP($H$2,'2年度'!$B$6:$GI$50,165,0)/1000,0),"-")</f>
        <v>-</v>
      </c>
      <c r="H39" s="311" t="str">
        <f>IFERROR(ROUND(VLOOKUP($H$2,'3年度'!$B$6:$GI$50,165,0)/1000,0),"-")</f>
        <v>-</v>
      </c>
      <c r="I39" s="311" t="str">
        <f>IFERROR(ROUND(VLOOKUP($H$2,'4年度'!$B$6:$GI$50,165,0)/1000,0),"-")</f>
        <v>-</v>
      </c>
      <c r="J39" s="311" t="str">
        <f>IFERROR(ROUND(VLOOKUP($H$2,'5年度'!$B$6:$GI$50,165,0)/1000,0),"-")</f>
        <v>-</v>
      </c>
      <c r="K39" s="311" t="str">
        <f>IFERROR(ROUND(VLOOKUP($H$2,'6年度'!$B$6:$GI$50,165,0)/1000,0),"-")</f>
        <v>-</v>
      </c>
      <c r="L39" s="311" t="str">
        <f>IFERROR(ROUND(VLOOKUP($H$2,'7年度'!$B$6:$GI$50,165,0)/1000,0),"-")</f>
        <v>-</v>
      </c>
      <c r="M39" s="311" t="str">
        <f>IFERROR(ROUND(VLOOKUP($H$2,'8年度'!$B$6:$GI$50,165,0)/1000,0),"-")</f>
        <v>-</v>
      </c>
      <c r="N39" s="311" t="str">
        <f>IFERROR(ROUND(VLOOKUP($H$2,'9年度'!$B$6:$GI$50,165,0)/1000,0),"-")</f>
        <v>-</v>
      </c>
      <c r="O39" s="311" t="str">
        <f>IFERROR(ROUND(VLOOKUP($H$2,'10年度'!$B$6:$GI$50,165,0)/1000,0),"-")</f>
        <v>-</v>
      </c>
      <c r="P39" s="311" t="str">
        <f>IFERROR(ROUND(VLOOKUP($H$2,'11年度'!$B$6:$GI$50,165,0)/1000,0),"-")</f>
        <v>-</v>
      </c>
      <c r="Q39" s="311" t="str">
        <f>IFERROR(ROUND(VLOOKUP($H$2,'12年度'!$B$6:$GI$50,165,0)/1000,0),"-")</f>
        <v>-</v>
      </c>
      <c r="R39" s="312" t="str">
        <f>IFERROR(ROUND(VLOOKUP($H$2,'13年度'!$B$6:$GI$50,165,0)/1000,0),"-")</f>
        <v>-</v>
      </c>
      <c r="S39" s="312" t="str">
        <f>IFERROR(ROUND(VLOOKUP($H$2,'14年度'!$B$6:$GI$50,165,0)/1000,0),"-")</f>
        <v>-</v>
      </c>
      <c r="T39" s="313" t="str">
        <f>IFERROR(ROUND(VLOOKUP($H$2,'15年度'!$B$6:$GI$50,165,0)/1000,0),"-")</f>
        <v>-</v>
      </c>
      <c r="U39" s="312" t="str">
        <f>IFERROR(ROUND(VLOOKUP($H$2,'16年度'!$B$6:$GI$50,165,0)/1000,0),"-")</f>
        <v>-</v>
      </c>
      <c r="V39" s="314" t="str">
        <f>IFERROR(ROUND(VLOOKUP($H$2,'17年度'!$B$6:$GI$50,165,0)/1000,0),"-")</f>
        <v>-</v>
      </c>
      <c r="W39" s="313" t="str">
        <f>IFERROR(ROUND(VLOOKUP($H$2,'18年度'!$B$6:$GI$50,165,0)/1000,0),"-")</f>
        <v>-</v>
      </c>
      <c r="X39" s="313" t="str">
        <f>IFERROR(ROUND(VLOOKUP($H$2,'19年度'!$B$6:$GI$50,165,0)/1000,0),"-")</f>
        <v>-</v>
      </c>
      <c r="Y39" s="313" t="str">
        <f>IFERROR(ROUND(VLOOKUP($H$2,'20年度'!$B$6:$GI$50,165,0)/1000,0),"-")</f>
        <v>-</v>
      </c>
      <c r="Z39" s="313" t="str">
        <f>IFERROR(ROUND(VLOOKUP($H$2,'21年度'!$B$6:$GI$50,165,0)/1000,0),"-")</f>
        <v>-</v>
      </c>
      <c r="AA39" s="312" t="str">
        <f>IFERROR(ROUND(VLOOKUP($H$2,'22年度'!$B$6:$GI$50,165,0)/1000,0),"-")</f>
        <v>-</v>
      </c>
      <c r="AB39" s="314">
        <f>IFERROR(ROUND(VLOOKUP($H$2,'23年度'!$B$6:$GI$52,165,0)/1000,0),"-")</f>
        <v>1774770</v>
      </c>
      <c r="AC39" s="313">
        <f>IFERROR(ROUND(VLOOKUP($H$2,'24年度'!$B$6:$GI$52,165,0)/1000,0),"-")</f>
        <v>1780794</v>
      </c>
      <c r="AD39" s="313">
        <f>IFERROR(ROUND(VLOOKUP($H$2,'25年度'!$B$6:$GI$52,165,0)/1000,0),"-")</f>
        <v>1790789</v>
      </c>
      <c r="AE39" s="313">
        <f>IFERROR(ROUND(VLOOKUP($H$2,'26年度'!$B$6:$GI$52,165,0)/1000,0),"-")</f>
        <v>1816943</v>
      </c>
      <c r="AF39" s="312">
        <f>IFERROR(ROUND(VLOOKUP($H$2,'27年度'!$B$6:$GI$52,165,0)/1000,0),"-")</f>
        <v>1854274</v>
      </c>
      <c r="AG39" s="312">
        <f>IFERROR(ROUND(VLOOKUP($H$2,'28年度'!$B$6:$GI$52,165,0)/1000,0),"-")</f>
        <v>1880831</v>
      </c>
      <c r="AH39" s="314">
        <f>IFERROR(ROUND(VLOOKUP($H$2,'29年度'!$B$6:$GI$52,165,0)/1000,0),"-")</f>
        <v>1971710</v>
      </c>
      <c r="AI39" s="313">
        <f>IFERROR(ROUND(VLOOKUP($H$2,'30年度'!$B$6:$GI$52,165,0)/1000,0),"-")</f>
        <v>1992497</v>
      </c>
      <c r="AJ39" s="312">
        <f>IFERROR(ROUND(VLOOKUP($H$2,'R1年度'!$B$6:$GJ$52,166,0)/1000,0),"-")</f>
        <v>2028334</v>
      </c>
      <c r="AK39" s="312">
        <f>IFERROR(ROUND(VLOOKUP($H$2,'R2年度'!$B$6:$GJ$52,167,0)/1000,0),"-")</f>
        <v>2092421</v>
      </c>
      <c r="AL39" s="314">
        <f>IFERROR(ROUND(VLOOKUP($H$2,'R3年度'!$B$6:$GJ$52,167,0)/1000,0),"-")</f>
        <v>2097724</v>
      </c>
      <c r="AM39" s="313">
        <f>IFERROR(ROUND(VLOOKUP($H$2,'R4年度'!$B$6:$GJ$52,167,0)/1000,0),"-")</f>
        <v>2179041</v>
      </c>
      <c r="AN39" s="312">
        <f>IFERROR(ROUND(VLOOKUP($H$2,'R5年度'!$B$6:$GJ$52,167,0)/1000,0),"-")</f>
        <v>2260239</v>
      </c>
      <c r="AO39" s="315">
        <f>IFERROR(ROUND(VLOOKUP($H$2,'R6年度'!$B$6:$GK$52,167,0)/1000,0),"-")</f>
        <v>2345689</v>
      </c>
    </row>
    <row r="40" spans="1:41" ht="15" customHeight="1" x14ac:dyDescent="0.15">
      <c r="A40" s="17"/>
      <c r="B40" s="509"/>
      <c r="C40" s="503" t="s">
        <v>289</v>
      </c>
      <c r="D40" s="504"/>
      <c r="E40" s="505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270" t="str">
        <f>IFERROR(ROUND((VLOOKUP($H$2,'13年度'!$B$6:$GI$50,165,0)+VLOOKUP($H$2,'13年度'!$B$6:$GI$50,166,0))/1000,0),"-")</f>
        <v>-</v>
      </c>
      <c r="S40" s="270" t="str">
        <f>IFERROR(ROUND((VLOOKUP($H$2,'14年度'!$B$6:$GI$50,165,0)+VLOOKUP($H$2,'14年度'!$B$6:$GI$50,166,0))/1000,0),"-")</f>
        <v>-</v>
      </c>
      <c r="T40" s="271" t="str">
        <f>IFERROR(ROUND((VLOOKUP($H$2,'15年度'!$B$6:$GI$50,165,0)+VLOOKUP($H$2,'15年度'!$B$6:$GI$50,166,0))/1000,0),"-")</f>
        <v>-</v>
      </c>
      <c r="U40" s="270" t="str">
        <f>IFERROR(ROUND((VLOOKUP($H$2,'16年度'!$B$6:$GI$50,165,0)+VLOOKUP($H$2,'16年度'!$B$6:$GI$50,166,0))/1000,0),"-")</f>
        <v>-</v>
      </c>
      <c r="V40" s="272" t="str">
        <f>IFERROR(ROUND((VLOOKUP($H$2,'17年度'!$B$6:$GI$50,165,0)+VLOOKUP($H$2,'17年度'!$B$6:$GI$50,166,0))/1000,0),"-")</f>
        <v>-</v>
      </c>
      <c r="W40" s="271" t="str">
        <f>IFERROR(ROUND((VLOOKUP($H$2,'18年度'!$B$6:$GI$50,165,0)+VLOOKUP($H$2,'18年度'!$B$6:$GI$50,166,0))/1000,0),"-")</f>
        <v>-</v>
      </c>
      <c r="X40" s="271" t="str">
        <f>IFERROR(ROUND((VLOOKUP($H$2,'19年度'!$B$6:$GI$50,165,0)+VLOOKUP($H$2,'19年度'!$B$6:$GI$50,166,0))/1000,0),"-")</f>
        <v>-</v>
      </c>
      <c r="Y40" s="271" t="str">
        <f>IFERROR(ROUND((VLOOKUP($H$2,'20年度'!$B$6:$GI$50,165,0)+VLOOKUP($H$2,'20年度'!$B$6:$GI$50,166,0))/1000,0),"-")</f>
        <v>-</v>
      </c>
      <c r="Z40" s="271" t="str">
        <f>IFERROR(ROUND((VLOOKUP($H$2,'21年度'!$B$6:$GI$50,165,0)+VLOOKUP($H$2,'21年度'!$B$6:$GI$50,166,0))/1000,0),"-")</f>
        <v>-</v>
      </c>
      <c r="AA40" s="270" t="str">
        <f>IFERROR(ROUND((VLOOKUP($H$2,'22年度'!$B$6:$GI$50,165,0)+VLOOKUP($H$2,'22年度'!$B$6:$GI$50,166,0))/1000,0),"-")</f>
        <v>-</v>
      </c>
      <c r="AB40" s="272">
        <f>IFERROR(ROUND((VLOOKUP($H$2,'23年度'!$B$6:$GI$52,165,0)+VLOOKUP($H$2,'23年度'!$B$6:$GI$52,166,0))/1000,0),"-")</f>
        <v>1965388</v>
      </c>
      <c r="AC40" s="271">
        <f>IFERROR(ROUND((VLOOKUP($H$2,'24年度'!$B$6:$GI$52,165,0)+VLOOKUP($H$2,'24年度'!$B$6:$GI$52,166,0))/1000,0),"-")</f>
        <v>1982139</v>
      </c>
      <c r="AD40" s="271">
        <f>IFERROR(ROUND((VLOOKUP($H$2,'25年度'!$B$6:$GI$52,165,0)+VLOOKUP($H$2,'25年度'!$B$6:$GI$52,166,0))/1000,0),"-")</f>
        <v>2007419</v>
      </c>
      <c r="AE40" s="271">
        <f>IFERROR(ROUND((VLOOKUP($H$2,'26年度'!$B$6:$GI$52,165,0)+VLOOKUP($H$2,'26年度'!$B$6:$GI$52,166,0))/1000,0),"-")</f>
        <v>2010118</v>
      </c>
      <c r="AF40" s="270">
        <f>IFERROR(ROUND((VLOOKUP($H$2,'27年度'!$B$6:$GI$52,165,0)+VLOOKUP($H$2,'27年度'!$B$6:$GI$52,166,0))/1000,0),"-")</f>
        <v>2024465</v>
      </c>
      <c r="AG40" s="270">
        <f>IFERROR(ROUND((VLOOKUP($H$2,'28年度'!$B$6:$GI$52,165,0)+VLOOKUP($H$2,'28年度'!$B$6:$GI$52,166,0))/1000,0),"-")</f>
        <v>2021981</v>
      </c>
      <c r="AH40" s="272">
        <f>IFERROR(ROUND((VLOOKUP($H$2,'29年度'!$B$6:$GI$52,165,0)+VLOOKUP($H$2,'29年度'!$B$6:$GI$52,166,0))/1000,0),"-")</f>
        <v>2144865</v>
      </c>
      <c r="AI40" s="271">
        <f>IFERROR(ROUND((VLOOKUP($H$2,'30年度'!$B$6:$GI$52,165,0)+VLOOKUP($H$2,'30年度'!$B$6:$GI$52,166,0))/1000,0),"-")</f>
        <v>2159150</v>
      </c>
      <c r="AJ40" s="270">
        <f>IFERROR(ROUND((VLOOKUP($H$2,'R1年度'!$B$6:$GJ$52,166,0)+VLOOKUP($H$2,'R1年度'!$B$6:$GJ$52,167,0))/1000,0),"-")</f>
        <v>2167787</v>
      </c>
      <c r="AK40" s="270">
        <f>IFERROR(ROUND((VLOOKUP($H$2,'R2年度'!$B$6:$GJ$52,167,0)+VLOOKUP($H$2,'R2年度'!$B$6:$GJ$52,168,0))/1000,0),"-")</f>
        <v>2213874</v>
      </c>
      <c r="AL40" s="272">
        <f>IFERROR(ROUND((VLOOKUP($H$2,'R3年度'!$B$6:$GJ$52,167,0)+VLOOKUP($H$2,'R3年度'!$B$6:$GJ$52,168,0))/1000,0),"-")</f>
        <v>2312598</v>
      </c>
      <c r="AM40" s="271">
        <f>IFERROR(ROUND((VLOOKUP($H$2,'R4年度'!$B$6:$GJ$52,167,0)+VLOOKUP($H$2,'R4年度'!$B$6:$GJ$52,168,0))/1000,0),"-")</f>
        <v>2259560</v>
      </c>
      <c r="AN40" s="270">
        <f>IFERROR(ROUND((VLOOKUP($H$2,'R5年度'!$B$6:$GJ$52,167,0)+VLOOKUP($H$2,'R5年度'!$B$6:$GJ$52,168,0))/1000,0),"-")</f>
        <v>2305444</v>
      </c>
      <c r="AO40" s="300">
        <f>IFERROR(ROUND((VLOOKUP($H$2,'R6年度'!$B$6:$GK$52,167,0)+VLOOKUP($H$2,'R6年度'!$B$6:$GK$52,168,0))/1000,0),"-")</f>
        <v>2364840</v>
      </c>
    </row>
    <row r="41" spans="1:41" ht="15" customHeight="1" x14ac:dyDescent="0.15">
      <c r="A41" s="17"/>
      <c r="B41" s="509"/>
      <c r="C41" s="534"/>
      <c r="D41" s="480" t="s">
        <v>290</v>
      </c>
      <c r="E41" s="481"/>
      <c r="F41" s="269" t="str">
        <f>IFERROR(ROUND(VLOOKUP($H$2,'1年度'!$B$6:$GI$50,167,0)/1000,0),"-")</f>
        <v>-</v>
      </c>
      <c r="G41" s="269" t="str">
        <f>IFERROR(ROUND(VLOOKUP($H$2,'2年度'!$B$6:$GI$50,167,0)/1000,0),"-")</f>
        <v>-</v>
      </c>
      <c r="H41" s="269" t="str">
        <f>IFERROR(ROUND(VLOOKUP($H$2,'3年度'!$B$6:$GI$50,167,0)/1000,0),"-")</f>
        <v>-</v>
      </c>
      <c r="I41" s="269" t="str">
        <f>IFERROR(ROUND(VLOOKUP($H$2,'4年度'!$B$6:$GI$50,167,0)/1000,0),"-")</f>
        <v>-</v>
      </c>
      <c r="J41" s="269" t="str">
        <f>IFERROR(ROUND(VLOOKUP($H$2,'5年度'!$B$6:$GI$50,167,0)/1000,0),"-")</f>
        <v>-</v>
      </c>
      <c r="K41" s="269" t="str">
        <f>IFERROR(ROUND(VLOOKUP($H$2,'6年度'!$B$6:$GI$50,167,0)/1000,0),"-")</f>
        <v>-</v>
      </c>
      <c r="L41" s="269" t="str">
        <f>IFERROR(ROUND(VLOOKUP($H$2,'7年度'!$B$6:$GI$50,167,0)/1000,0),"-")</f>
        <v>-</v>
      </c>
      <c r="M41" s="269" t="str">
        <f>IFERROR(ROUND(VLOOKUP($H$2,'8年度'!$B$6:$GI$50,167,0)/1000,0),"-")</f>
        <v>-</v>
      </c>
      <c r="N41" s="269" t="str">
        <f>IFERROR(ROUND(VLOOKUP($H$2,'9年度'!$B$6:$GI$50,167,0)/1000,0),"-")</f>
        <v>-</v>
      </c>
      <c r="O41" s="269" t="str">
        <f>IFERROR(ROUND(VLOOKUP($H$2,'10年度'!$B$6:$GI$50,167,0)/1000,0),"-")</f>
        <v>-</v>
      </c>
      <c r="P41" s="269" t="str">
        <f>IFERROR(ROUND(VLOOKUP($H$2,'11年度'!$B$6:$GI$50,167,0)/1000,0),"-")</f>
        <v>-</v>
      </c>
      <c r="Q41" s="269" t="str">
        <f>IFERROR(ROUND(VLOOKUP($H$2,'12年度'!$B$6:$GI$50,167,0)/1000,0),"-")</f>
        <v>-</v>
      </c>
      <c r="R41" s="269" t="str">
        <f>IFERROR(ROUND(VLOOKUP($H$2,'13年度'!$B$6:$GI$50,167,0)/1000,0),"-")</f>
        <v>-</v>
      </c>
      <c r="S41" s="269" t="str">
        <f>IFERROR(ROUND(VLOOKUP($H$2,'14年度'!$B$6:$GI$50,167,0)/1000,0),"-")</f>
        <v>-</v>
      </c>
      <c r="T41" s="278" t="str">
        <f>IFERROR(ROUND(VLOOKUP($H$2,'15年度'!$B$6:$GI$50,167,0)/1000,0),"-")</f>
        <v>-</v>
      </c>
      <c r="U41" s="269" t="str">
        <f>IFERROR(ROUND(VLOOKUP($H$2,'16年度'!$B$6:$GI$50,167,0)/1000,0),"-")</f>
        <v>-</v>
      </c>
      <c r="V41" s="279" t="str">
        <f>IFERROR(ROUND(VLOOKUP($H$2,'17年度'!$B$6:$GI$50,167,0)/1000,0),"-")</f>
        <v>-</v>
      </c>
      <c r="W41" s="278" t="str">
        <f>IFERROR(ROUND(VLOOKUP($H$2,'18年度'!$B$6:$GI$50,167,0)/1000,0),"-")</f>
        <v>-</v>
      </c>
      <c r="X41" s="278" t="str">
        <f>IFERROR(ROUND(VLOOKUP($H$2,'19年度'!$B$6:$GI$50,167,0)/1000,0),"-")</f>
        <v>-</v>
      </c>
      <c r="Y41" s="278" t="str">
        <f>IFERROR(ROUND(VLOOKUP($H$2,'20年度'!$B$6:$GI$50,167,0)/1000,0),"-")</f>
        <v>-</v>
      </c>
      <c r="Z41" s="278" t="str">
        <f>IFERROR(ROUND(VLOOKUP($H$2,'21年度'!$B$6:$GI$50,167,0)/1000,0),"-")</f>
        <v>-</v>
      </c>
      <c r="AA41" s="269" t="str">
        <f>IFERROR(ROUND(VLOOKUP($H$2,'22年度'!$B$6:$GI$50,167,0)/1000,0),"-")</f>
        <v>-</v>
      </c>
      <c r="AB41" s="279">
        <f>IFERROR(ROUND(VLOOKUP($H$2,'23年度'!$B$6:$GI$52,167,0)/1000,0),"-")</f>
        <v>1161810</v>
      </c>
      <c r="AC41" s="278">
        <f>IFERROR(ROUND(VLOOKUP($H$2,'24年度'!$B$6:$GI$52,167,0)/1000,0),"-")</f>
        <v>1158309</v>
      </c>
      <c r="AD41" s="278">
        <f>IFERROR(ROUND(VLOOKUP($H$2,'25年度'!$B$6:$GI$52,167,0)/1000,0),"-")</f>
        <v>1169117</v>
      </c>
      <c r="AE41" s="278">
        <f>IFERROR(ROUND(VLOOKUP($H$2,'26年度'!$B$6:$GI$52,167,0)/1000,0),"-")</f>
        <v>1200695</v>
      </c>
      <c r="AF41" s="269">
        <f>IFERROR(ROUND(VLOOKUP($H$2,'27年度'!$B$6:$GI$52,167,0)/1000,0),"-")</f>
        <v>1241942</v>
      </c>
      <c r="AG41" s="269">
        <f>IFERROR(ROUND(VLOOKUP($H$2,'28年度'!$B$6:$GI$52,167,0)/1000,0),"-")</f>
        <v>1274218</v>
      </c>
      <c r="AH41" s="279">
        <f>IFERROR(ROUND(VLOOKUP($H$2,'29年度'!$B$6:$GI$52,167,0)/1000,0),"-")</f>
        <v>1334489</v>
      </c>
      <c r="AI41" s="278">
        <f>IFERROR(ROUND(VLOOKUP($H$2,'30年度'!$B$6:$GI$52,167,0)/1000,0),"-")</f>
        <v>1354857</v>
      </c>
      <c r="AJ41" s="269">
        <f>IFERROR(ROUND(VLOOKUP($H$2,'R1年度'!$B$6:$GJ$52,168,0)/1000,0),"-")</f>
        <v>1369266</v>
      </c>
      <c r="AK41" s="269">
        <f>IFERROR(ROUND(VLOOKUP($H$2,'R2年度'!$B$6:$GJ$52,169,0)/1000,0),"-")</f>
        <v>1433847</v>
      </c>
      <c r="AL41" s="279">
        <f>IFERROR(ROUND(VLOOKUP($H$2,'R3年度'!$B$6:$GJ$52,169,0)/1000,0),"-")</f>
        <v>1365090</v>
      </c>
      <c r="AM41" s="278">
        <f>IFERROR(ROUND(VLOOKUP($H$2,'R4年度'!$B$6:$GJ$52,169,0)/1000,0),"-")</f>
        <v>1446646</v>
      </c>
      <c r="AN41" s="269">
        <f>IFERROR(ROUND(VLOOKUP($H$2,'R5年度'!$B$6:$GJ$52,169,0)/1000,0),"-")</f>
        <v>1497452</v>
      </c>
      <c r="AO41" s="303">
        <f>IFERROR(ROUND(VLOOKUP($H$2,'R6年度'!$B$6:$GK$52,169,0)/1000,0),"-")</f>
        <v>1537684</v>
      </c>
    </row>
    <row r="42" spans="1:41" ht="15" customHeight="1" x14ac:dyDescent="0.15">
      <c r="A42" s="17"/>
      <c r="B42" s="509"/>
      <c r="C42" s="532"/>
      <c r="D42" s="528" t="s">
        <v>291</v>
      </c>
      <c r="E42" s="520"/>
      <c r="F42" s="274" t="str">
        <f>IFERROR(ROUND(VLOOKUP($H$2,'1年度'!$B$6:$GI$50,168,0)/1000,0),"-")</f>
        <v>-</v>
      </c>
      <c r="G42" s="274" t="str">
        <f>IFERROR(ROUND(VLOOKUP($H$2,'2年度'!$B$6:$GI$50,168,0)/1000,0),"-")</f>
        <v>-</v>
      </c>
      <c r="H42" s="274" t="str">
        <f>IFERROR(ROUND(VLOOKUP($H$2,'3年度'!$B$6:$GI$50,168,0)/1000,0),"-")</f>
        <v>-</v>
      </c>
      <c r="I42" s="274" t="str">
        <f>IFERROR(ROUND(VLOOKUP($H$2,'4年度'!$B$6:$GI$50,168,0)/1000,0),"-")</f>
        <v>-</v>
      </c>
      <c r="J42" s="274" t="str">
        <f>IFERROR(ROUND(VLOOKUP($H$2,'5年度'!$B$6:$GI$50,168,0)/1000,0),"-")</f>
        <v>-</v>
      </c>
      <c r="K42" s="274" t="str">
        <f>IFERROR(ROUND(VLOOKUP($H$2,'6年度'!$B$6:$GI$50,168,0)/1000,0),"-")</f>
        <v>-</v>
      </c>
      <c r="L42" s="274" t="str">
        <f>IFERROR(ROUND(VLOOKUP($H$2,'7年度'!$B$6:$GI$50,168,0)/1000,0),"-")</f>
        <v>-</v>
      </c>
      <c r="M42" s="274" t="str">
        <f>IFERROR(ROUND(VLOOKUP($H$2,'8年度'!$B$6:$GI$50,168,0)/1000,0),"-")</f>
        <v>-</v>
      </c>
      <c r="N42" s="274" t="str">
        <f>IFERROR(ROUND(VLOOKUP($H$2,'9年度'!$B$6:$GI$50,168,0)/1000,0),"-")</f>
        <v>-</v>
      </c>
      <c r="O42" s="274" t="str">
        <f>IFERROR(ROUND(VLOOKUP($H$2,'10年度'!$B$6:$GI$50,168,0)/1000,0),"-")</f>
        <v>-</v>
      </c>
      <c r="P42" s="274" t="str">
        <f>IFERROR(ROUND(VLOOKUP($H$2,'11年度'!$B$6:$GI$50,168,0)/1000,0),"-")</f>
        <v>-</v>
      </c>
      <c r="Q42" s="274" t="str">
        <f>IFERROR(ROUND(VLOOKUP($H$2,'12年度'!$B$6:$GI$50,168,0)/1000,0),"-")</f>
        <v>-</v>
      </c>
      <c r="R42" s="274" t="str">
        <f>IFERROR(ROUND(VLOOKUP($H$2,'13年度'!$B$6:$GI$50,168,0)/1000,0),"-")</f>
        <v>-</v>
      </c>
      <c r="S42" s="274" t="str">
        <f>IFERROR(ROUND(VLOOKUP($H$2,'14年度'!$B$6:$GI$50,168,0)/1000,0),"-")</f>
        <v>-</v>
      </c>
      <c r="T42" s="275" t="str">
        <f>IFERROR(ROUND(VLOOKUP($H$2,'15年度'!$B$6:$GI$50,168,0)/1000,0),"-")</f>
        <v>-</v>
      </c>
      <c r="U42" s="274" t="str">
        <f>IFERROR(ROUND(VLOOKUP($H$2,'16年度'!$B$6:$GI$50,168,0)/1000,0),"-")</f>
        <v>-</v>
      </c>
      <c r="V42" s="276" t="str">
        <f>IFERROR(ROUND(VLOOKUP($H$2,'17年度'!$B$6:$GI$50,168,0)/1000,0),"-")</f>
        <v>-</v>
      </c>
      <c r="W42" s="275" t="str">
        <f>IFERROR(ROUND(VLOOKUP($H$2,'18年度'!$B$6:$GI$50,168,0)/1000,0),"-")</f>
        <v>-</v>
      </c>
      <c r="X42" s="275" t="str">
        <f>IFERROR(ROUND(VLOOKUP($H$2,'19年度'!$B$6:$GI$50,168,0)/1000,0),"-")</f>
        <v>-</v>
      </c>
      <c r="Y42" s="275" t="str">
        <f>IFERROR(ROUND(VLOOKUP($H$2,'20年度'!$B$6:$GI$50,168,0)/1000,0),"-")</f>
        <v>-</v>
      </c>
      <c r="Z42" s="275" t="str">
        <f>IFERROR(ROUND(VLOOKUP($H$2,'21年度'!$B$6:$GI$50,168,0)/1000,0),"-")</f>
        <v>-</v>
      </c>
      <c r="AA42" s="274" t="str">
        <f>IFERROR(ROUND(VLOOKUP($H$2,'22年度'!$B$6:$GI$50,168,0)/1000,0),"-")</f>
        <v>-</v>
      </c>
      <c r="AB42" s="276">
        <f>IFERROR(ROUND(VLOOKUP($H$2,'23年度'!$B$6:$GI$52,168,0)/1000,0),"-")</f>
        <v>1421927</v>
      </c>
      <c r="AC42" s="275">
        <f>IFERROR(ROUND(VLOOKUP($H$2,'24年度'!$B$6:$GI$52,168,0)/1000,0),"-")</f>
        <v>1426253</v>
      </c>
      <c r="AD42" s="275">
        <f>IFERROR(ROUND(VLOOKUP($H$2,'25年度'!$B$6:$GI$52,168,0)/1000,0),"-")</f>
        <v>1427401</v>
      </c>
      <c r="AE42" s="275">
        <f>IFERROR(ROUND(VLOOKUP($H$2,'26年度'!$B$6:$GI$52,168,0)/1000,0),"-")</f>
        <v>1451508</v>
      </c>
      <c r="AF42" s="274">
        <f>IFERROR(ROUND(VLOOKUP($H$2,'27年度'!$B$6:$GI$52,168,0)/1000,0),"-")</f>
        <v>1489865</v>
      </c>
      <c r="AG42" s="274">
        <f>IFERROR(ROUND(VLOOKUP($H$2,'28年度'!$B$6:$GI$52,168,0)/1000,0),"-")</f>
        <v>1509042</v>
      </c>
      <c r="AH42" s="276">
        <f>IFERROR(ROUND(VLOOKUP($H$2,'29年度'!$B$6:$GI$52,168,0)/1000,0),"-")</f>
        <v>1597331</v>
      </c>
      <c r="AI42" s="275">
        <f>IFERROR(ROUND(VLOOKUP($H$2,'30年度'!$B$6:$GI$52,168,0)/1000,0),"-")</f>
        <v>1611336</v>
      </c>
      <c r="AJ42" s="274">
        <f>IFERROR(ROUND(VLOOKUP($H$2,'R1年度'!$B$6:$GJ$52,169,0)/1000,0),"-")</f>
        <v>1641956</v>
      </c>
      <c r="AK42" s="274">
        <f>IFERROR(ROUND(VLOOKUP($H$2,'R2年度'!$B$6:$GJ$52,170,0)/1000,0),"-")</f>
        <v>1696831</v>
      </c>
      <c r="AL42" s="276">
        <f>IFERROR(ROUND(VLOOKUP($H$2,'R3年度'!$B$6:$GJ$52,170,0)/1000,0),"-")</f>
        <v>1727322</v>
      </c>
      <c r="AM42" s="275">
        <f>IFERROR(ROUND(VLOOKUP($H$2,'R4年度'!$B$6:$GJ$52,170,0)/1000,0),"-")</f>
        <v>1785913</v>
      </c>
      <c r="AN42" s="274">
        <f>IFERROR(ROUND(VLOOKUP($H$2,'R5年度'!$B$6:$GJ$52,170,0)/1000,0),"-")</f>
        <v>1851521</v>
      </c>
      <c r="AO42" s="304">
        <f>IFERROR(ROUND(VLOOKUP($H$2,'R6年度'!$B$6:$GK$52,170,0)/1000,0),"-")</f>
        <v>1922918</v>
      </c>
    </row>
    <row r="43" spans="1:41" ht="15" customHeight="1" x14ac:dyDescent="0.15">
      <c r="A43" s="17"/>
      <c r="B43" s="509"/>
      <c r="C43" s="532"/>
      <c r="D43" s="544" t="s">
        <v>292</v>
      </c>
      <c r="E43" s="518"/>
      <c r="F43" s="317"/>
      <c r="G43" s="317"/>
      <c r="H43" s="317"/>
      <c r="I43" s="317"/>
      <c r="J43" s="317"/>
      <c r="K43" s="317"/>
      <c r="L43" s="317"/>
      <c r="M43" s="317"/>
      <c r="N43" s="317"/>
      <c r="O43" s="317"/>
      <c r="P43" s="317"/>
      <c r="Q43" s="317"/>
      <c r="R43" s="274" t="str">
        <f>IFERROR(ROUND((VLOOKUP($H$2,'13年度'!$B$6:$GI$50,168,0)+VLOOKUP($H$2,'13年度'!$B$6:$GI$50,166,0))/1000,0),"-")</f>
        <v>-</v>
      </c>
      <c r="S43" s="275" t="str">
        <f>IFERROR(ROUND((VLOOKUP($H$2,'14年度'!$B$6:$GI$50,168,0)+VLOOKUP($H$2,'14年度'!$B$6:$GI$50,166,0))/1000,0),"-")</f>
        <v>-</v>
      </c>
      <c r="T43" s="274" t="str">
        <f>IFERROR(ROUND((VLOOKUP($H$2,'15年度'!$B$6:$GI$50,168,0)+VLOOKUP($H$2,'15年度'!$B$6:$GI$50,166,0))/1000,0),"-")</f>
        <v>-</v>
      </c>
      <c r="U43" s="276" t="str">
        <f>IFERROR(ROUND((VLOOKUP($H$2,'16年度'!$B$6:$GI$50,168,0)+VLOOKUP($H$2,'16年度'!$B$6:$GI$50,166,0))/1000,0),"-")</f>
        <v>-</v>
      </c>
      <c r="V43" s="275" t="str">
        <f>IFERROR(ROUND((VLOOKUP($H$2,'17年度'!$B$6:$GI$50,168,0)+VLOOKUP($H$2,'17年度'!$B$6:$GI$50,166,0))/1000,0),"-")</f>
        <v>-</v>
      </c>
      <c r="W43" s="275" t="str">
        <f>IFERROR(ROUND((VLOOKUP($H$2,'18年度'!$B$6:$GI$50,168,0)+VLOOKUP($H$2,'18年度'!$B$6:$GI$50,166,0))/1000,0),"-")</f>
        <v>-</v>
      </c>
      <c r="X43" s="275" t="str">
        <f>IFERROR(ROUND((VLOOKUP($H$2,'19年度'!$B$6:$GI$50,168,0)+VLOOKUP($H$2,'19年度'!$B$6:$GI$50,166,0))/1000,0),"-")</f>
        <v>-</v>
      </c>
      <c r="Y43" s="275" t="str">
        <f>IFERROR(ROUND((VLOOKUP($H$2,'20年度'!$B$6:$GI$50,168,0)+VLOOKUP($H$2,'20年度'!$B$6:$GI$50,166,0))/1000,0),"-")</f>
        <v>-</v>
      </c>
      <c r="Z43" s="275" t="str">
        <f>IFERROR(ROUND((VLOOKUP($H$2,'21年度'!$B$6:$GI$50,168,0)+VLOOKUP($H$2,'21年度'!$B$6:$GI$50,166,0))/1000,0),"-")</f>
        <v>-</v>
      </c>
      <c r="AA43" s="274" t="str">
        <f>IFERROR(ROUND((VLOOKUP($H$2,'22年度'!$B$6:$GI$50,168,0)+VLOOKUP($H$2,'22年度'!$B$6:$GI$50,166,0))/1000,0),"-")</f>
        <v>-</v>
      </c>
      <c r="AB43" s="276">
        <f>IFERROR(ROUND((VLOOKUP($H$2,'23年度'!$B$6:$GI$52,168,0)+VLOOKUP($H$2,'23年度'!$B$6:$GI$52,166,0))/1000,0),"-")</f>
        <v>1612545</v>
      </c>
      <c r="AC43" s="275">
        <f>IFERROR(ROUND((VLOOKUP($H$2,'24年度'!$B$6:$GI$52,168,0)+VLOOKUP($H$2,'24年度'!$B$6:$GI$52,166,0))/1000,0),"-")</f>
        <v>1627598</v>
      </c>
      <c r="AD43" s="275">
        <f>IFERROR(ROUND((VLOOKUP($H$2,'25年度'!$B$6:$GI$52,168,0)+VLOOKUP($H$2,'25年度'!$B$6:$GI$52,166,0))/1000,0),"-")</f>
        <v>1644030</v>
      </c>
      <c r="AE43" s="275">
        <f>IFERROR(ROUND((VLOOKUP($H$2,'26年度'!$B$6:$GI$52,168,0)+VLOOKUP($H$2,'26年度'!$B$6:$GI$52,166,0))/1000,0),"-")</f>
        <v>1644683</v>
      </c>
      <c r="AF43" s="274">
        <f>IFERROR(ROUND((VLOOKUP($H$2,'27年度'!$B$6:$GI$52,168,0)+VLOOKUP($H$2,'27年度'!$B$6:$GI$52,166,0))/1000,0),"-")</f>
        <v>1660055</v>
      </c>
      <c r="AG43" s="274">
        <f>IFERROR(ROUND((VLOOKUP($H$2,'28年度'!$B$6:$GI$52,168,0)+VLOOKUP($H$2,'28年度'!$B$6:$GI$52,166,0))/1000,0),"-")</f>
        <v>1650191</v>
      </c>
      <c r="AH43" s="276">
        <f>IFERROR(ROUND((VLOOKUP($H$2,'29年度'!$B$6:$GI$52,168,0)+VLOOKUP($H$2,'29年度'!$B$6:$GI$52,166,0))/1000,0),"-")</f>
        <v>1770486</v>
      </c>
      <c r="AI43" s="275">
        <f>IFERROR(ROUND((VLOOKUP($H$2,'30年度'!$B$6:$GI$52,168,0)+VLOOKUP($H$2,'30年度'!$B$6:$GI$52,166,0))/1000,0),"-")</f>
        <v>1777989</v>
      </c>
      <c r="AJ43" s="274">
        <f>IFERROR(ROUND((VLOOKUP($H$2,'R1年度'!$B$6:$GJ$52,169,0)+VLOOKUP($H$2,'R1年度'!$B$6:$GJ$52,167,0))/1000,0),"-")</f>
        <v>1781409</v>
      </c>
      <c r="AK43" s="274">
        <f>IFERROR(ROUND((VLOOKUP($H$2,'R2年度'!$B$6:$GJ$52,170,0)+VLOOKUP($H$2,'R2年度'!$B$6:$GJ$52,168,0))/1000,0),"-")</f>
        <v>1818284</v>
      </c>
      <c r="AL43" s="276">
        <f>IFERROR(ROUND((VLOOKUP($H$2,'R3年度'!$B$6:$GJ$52,170,0)+VLOOKUP($H$2,'R3年度'!$B$6:$GJ$52,168,0))/1000,0),"-")</f>
        <v>1942195</v>
      </c>
      <c r="AM43" s="275">
        <f>IFERROR(ROUND((VLOOKUP($H$2,'R4年度'!$B$6:$GJ$52,170,0)+VLOOKUP($H$2,'R4年度'!$B$6:$GJ$52,168,0))/1000,0),"-")</f>
        <v>1866432</v>
      </c>
      <c r="AN43" s="274">
        <f>IFERROR(ROUND((VLOOKUP($H$2,'R5年度'!$B$6:$GJ$52,170,0)+VLOOKUP($H$2,'R5年度'!$B$6:$GJ$52,168,0))/1000,0),"-")</f>
        <v>1896726</v>
      </c>
      <c r="AO43" s="304">
        <f>IFERROR(ROUND((VLOOKUP($H$2,'R6年度'!$B$6:$GK$52,170,0)+VLOOKUP($H$2,'R6年度'!$B$6:$GK$52,168,0))/1000,0),"-")</f>
        <v>1942069</v>
      </c>
    </row>
    <row r="44" spans="1:41" ht="15" customHeight="1" thickBot="1" x14ac:dyDescent="0.2">
      <c r="A44" s="17"/>
      <c r="B44" s="510"/>
      <c r="C44" s="533"/>
      <c r="D44" s="61"/>
      <c r="E44" s="165" t="s">
        <v>293</v>
      </c>
      <c r="F44" s="318" t="str">
        <f>IFERROR(VLOOKUP($H$2,'1年度'!$B$6:$GI$50,169,0),"-")</f>
        <v>-</v>
      </c>
      <c r="G44" s="318" t="str">
        <f>IFERROR(VLOOKUP($H$2,'2年度'!$B$6:$GI$50,169,0),"-")</f>
        <v>-</v>
      </c>
      <c r="H44" s="318" t="str">
        <f>IFERROR(VLOOKUP($H$2,'3年度'!$B$6:$GI$50,169,0),"-")</f>
        <v>-</v>
      </c>
      <c r="I44" s="318" t="str">
        <f>IFERROR(VLOOKUP($H$2,'4年度'!$B$6:$GI$50,169,0),"-")</f>
        <v>-</v>
      </c>
      <c r="J44" s="318" t="str">
        <f>IFERROR(VLOOKUP($H$2,'5年度'!$B$6:$GI$50,169,0),"-")</f>
        <v>-</v>
      </c>
      <c r="K44" s="318" t="str">
        <f>IFERROR(VLOOKUP($H$2,'6年度'!$B$6:$GI$50,169,0),"-")</f>
        <v>-</v>
      </c>
      <c r="L44" s="318" t="str">
        <f>IFERROR(VLOOKUP($H$2,'7年度'!$B$6:$GI$50,169,0),"-")</f>
        <v>-</v>
      </c>
      <c r="M44" s="318" t="str">
        <f>IFERROR(VLOOKUP($H$2,'8年度'!$B$6:$GI$50,169,0),"-")</f>
        <v>-</v>
      </c>
      <c r="N44" s="318" t="str">
        <f>IFERROR(VLOOKUP($H$2,'9年度'!$B$6:$GI$50,169,0),"-")</f>
        <v>-</v>
      </c>
      <c r="O44" s="318" t="str">
        <f>IFERROR(VLOOKUP($H$2,'10年度'!$B$6:$GI$50,169,0),"-")</f>
        <v>-</v>
      </c>
      <c r="P44" s="318" t="str">
        <f>IFERROR(VLOOKUP($H$2,'11年度'!$B$6:$GI$50,169,0),"-")</f>
        <v>-</v>
      </c>
      <c r="Q44" s="318" t="str">
        <f>IFERROR(VLOOKUP($H$2,'12年度'!$B$6:$GI$50,169,0),"-")</f>
        <v>-</v>
      </c>
      <c r="R44" s="318" t="str">
        <f>IFERROR(VLOOKUP($H$2,'13年度'!$B$6:$GI$50,169,0),"-")</f>
        <v>-</v>
      </c>
      <c r="S44" s="318" t="str">
        <f>IFERROR(VLOOKUP($H$2,'14年度'!$B$6:$GI$50,169,0),"-")</f>
        <v>-</v>
      </c>
      <c r="T44" s="319" t="str">
        <f>IFERROR(VLOOKUP($H$2,'15年度'!$B$6:$GI$50,169,0),"-")</f>
        <v>-</v>
      </c>
      <c r="U44" s="318" t="str">
        <f>IFERROR(VLOOKUP($H$2,'16年度'!$B$6:$GI$50,169,0),"-")</f>
        <v>-</v>
      </c>
      <c r="V44" s="320" t="str">
        <f>IFERROR(VLOOKUP($H$2,'17年度'!$B$6:$GI$50,169,0),"-")</f>
        <v>-</v>
      </c>
      <c r="W44" s="319" t="str">
        <f>IFERROR(VLOOKUP($H$2,'18年度'!$B$6:$GI$50,169,0),"-")</f>
        <v>-</v>
      </c>
      <c r="X44" s="319" t="str">
        <f>IFERROR(VLOOKUP($H$2,'19年度'!$B$6:$GI$50,169,0),"-")</f>
        <v>-</v>
      </c>
      <c r="Y44" s="319" t="str">
        <f>IFERROR(VLOOKUP($H$2,'20年度'!$B$6:$GI$50,169,0),"-")</f>
        <v>-</v>
      </c>
      <c r="Z44" s="319" t="str">
        <f>IFERROR(VLOOKUP($H$2,'21年度'!$B$6:$GI$50,169,0),"-")</f>
        <v>-</v>
      </c>
      <c r="AA44" s="318" t="str">
        <f>IFERROR(VLOOKUP($H$2,'22年度'!$B$6:$GI$50,169,0),"-")</f>
        <v>-</v>
      </c>
      <c r="AB44" s="320">
        <f>IFERROR(VLOOKUP($H$2,'23年度'!$B$6:$GI$52,169,0),"-")</f>
        <v>0.83399999999999996</v>
      </c>
      <c r="AC44" s="319">
        <f>IFERROR(VLOOKUP($H$2,'24年度'!$B$6:$GI$52,169,0),"-")</f>
        <v>0.81699999999999995</v>
      </c>
      <c r="AD44" s="319">
        <f>IFERROR(VLOOKUP($H$2,'25年度'!$B$6:$GI$52,169,0),"-")</f>
        <v>0.81599999999999995</v>
      </c>
      <c r="AE44" s="319">
        <f>IFERROR(VLOOKUP($H$2,'26年度'!$B$6:$GI$52,169,0),"-")</f>
        <v>0.82</v>
      </c>
      <c r="AF44" s="318">
        <f>IFERROR(VLOOKUP($H$2,'27年度'!$B$6:$GI$52,169,0),"-")</f>
        <v>0.82699999999999996</v>
      </c>
      <c r="AG44" s="318">
        <f>IFERROR(VLOOKUP($H$2,'28年度'!$B$6:$GI$52,169,0),"-")</f>
        <v>0.83499999999999996</v>
      </c>
      <c r="AH44" s="320">
        <f>IFERROR(VLOOKUP($H$2,'29年度'!$B$6:$GI$52,169,0),"-")</f>
        <v>0.83799999999999997</v>
      </c>
      <c r="AI44" s="319">
        <f>IFERROR(VLOOKUP($H$2,'30年度'!$B$6:$GI$52,169,0),"-")</f>
        <v>0.84</v>
      </c>
      <c r="AJ44" s="318">
        <f>IFERROR(VLOOKUP($H$2,'R1年度'!$B$6:$GJ$52,170,0),"-")</f>
        <v>0.83699999999999997</v>
      </c>
      <c r="AK44" s="318">
        <f>IFERROR(VLOOKUP($H$2,'R2年度'!$B$6:$GJ$52,171,0),"-")</f>
        <v>0.84</v>
      </c>
      <c r="AL44" s="320">
        <f>IFERROR(VLOOKUP($H$2,'R3年度'!$B$6:$GJ$52,171,0),"-")</f>
        <v>0.82299999999999995</v>
      </c>
      <c r="AM44" s="319">
        <f>IFERROR(VLOOKUP($H$2,'R4年度'!$B$6:$GJ$52,171,0),"-")</f>
        <v>0.81699999999999995</v>
      </c>
      <c r="AN44" s="318">
        <f>IFERROR(VLOOKUP($H$2,'R5年度'!$B$6:$GJ$52,171,0),"-")</f>
        <v>0.80300000000000005</v>
      </c>
      <c r="AO44" s="321">
        <f>IFERROR(VLOOKUP($H$2,'R6年度'!$B$6:$GK$52,171,0),"-")</f>
        <v>0.80600000000000005</v>
      </c>
    </row>
    <row r="45" spans="1:41" ht="15" customHeight="1" x14ac:dyDescent="0.15">
      <c r="A45" s="17"/>
      <c r="B45" s="511" t="s">
        <v>294</v>
      </c>
      <c r="C45" s="550" t="s">
        <v>295</v>
      </c>
      <c r="D45" s="485"/>
      <c r="E45" s="486"/>
      <c r="F45" s="322" t="str">
        <f>IFERROR(VLOOKUP($H$2,'1年度'!$B$6:$GI$50,170,0),"-")</f>
        <v>-</v>
      </c>
      <c r="G45" s="322" t="str">
        <f>IFERROR(VLOOKUP($H$2,'2年度'!$B$6:$GI$50,170,0),"-")</f>
        <v>-</v>
      </c>
      <c r="H45" s="322" t="str">
        <f>IFERROR(VLOOKUP($H$2,'3年度'!$B$6:$GI$50,170,0),"-")</f>
        <v>-</v>
      </c>
      <c r="I45" s="322" t="str">
        <f>IFERROR(VLOOKUP($H$2,'4年度'!$B$6:$GI$50,170,0),"-")</f>
        <v>-</v>
      </c>
      <c r="J45" s="322" t="str">
        <f>IFERROR(VLOOKUP($H$2,'5年度'!$B$6:$GI$50,170,0),"-")</f>
        <v>-</v>
      </c>
      <c r="K45" s="322" t="str">
        <f>IFERROR(VLOOKUP($H$2,'6年度'!$B$6:$GI$50,170,0),"-")</f>
        <v>-</v>
      </c>
      <c r="L45" s="322" t="str">
        <f>IFERROR(VLOOKUP($H$2,'7年度'!$B$6:$GI$50,170,0),"-")</f>
        <v>-</v>
      </c>
      <c r="M45" s="322" t="str">
        <f>IFERROR(VLOOKUP($H$2,'8年度'!$B$6:$GI$50,170,0),"-")</f>
        <v>-</v>
      </c>
      <c r="N45" s="322" t="str">
        <f>IFERROR(VLOOKUP($H$2,'9年度'!$B$6:$GI$50,170,0),"-")</f>
        <v>-</v>
      </c>
      <c r="O45" s="322" t="str">
        <f>IFERROR(VLOOKUP($H$2,'10年度'!$B$6:$GI$50,170,0),"-")</f>
        <v>-</v>
      </c>
      <c r="P45" s="322" t="str">
        <f>IFERROR(VLOOKUP($H$2,'11年度'!$B$6:$GI$50,170,0),"-")</f>
        <v>-</v>
      </c>
      <c r="Q45" s="322" t="str">
        <f>IFERROR(VLOOKUP($H$2,'12年度'!$B$6:$GI$50,170,0),"-")</f>
        <v>-</v>
      </c>
      <c r="R45" s="322" t="str">
        <f>IFERROR(VLOOKUP($H$2,'13年度'!$B$6:$GI$50,170,0),"-")</f>
        <v>-</v>
      </c>
      <c r="S45" s="322" t="str">
        <f>IFERROR(VLOOKUP($H$2,'14年度'!$B$6:$GI$50,170,0),"-")</f>
        <v>-</v>
      </c>
      <c r="T45" s="323" t="str">
        <f>IFERROR(VLOOKUP($H$2,'15年度'!$B$6:$GI$50,170,0),"-")</f>
        <v>-</v>
      </c>
      <c r="U45" s="322" t="str">
        <f>IFERROR(VLOOKUP($H$2,'16年度'!$B$6:$GI$50,170,0),"-")</f>
        <v>-</v>
      </c>
      <c r="V45" s="324" t="str">
        <f>IFERROR(VLOOKUP($H$2,'17年度'!$B$6:$GI$50,170,0),"-")</f>
        <v>-</v>
      </c>
      <c r="W45" s="323" t="str">
        <f>IFERROR(VLOOKUP($H$2,'18年度'!$B$6:$GI$50,170,0),"-")</f>
        <v>-</v>
      </c>
      <c r="X45" s="323" t="str">
        <f>IFERROR(VLOOKUP($H$2,'19年度'!$B$6:$GI$50,170,0),"-")</f>
        <v>-</v>
      </c>
      <c r="Y45" s="323" t="str">
        <f>IFERROR(VLOOKUP($H$2,'20年度'!$B$6:$GI$50,170,0),"-")</f>
        <v>-</v>
      </c>
      <c r="Z45" s="323" t="str">
        <f>IFERROR(VLOOKUP($H$2,'21年度'!$B$6:$GI$50,170,0),"-")</f>
        <v>-</v>
      </c>
      <c r="AA45" s="322" t="str">
        <f>IFERROR(VLOOKUP($H$2,'22年度'!$B$6:$GI$50,170,0),"-")</f>
        <v>-</v>
      </c>
      <c r="AB45" s="324">
        <f>IFERROR(VLOOKUP($H$2,'23年度'!$B$6:$GI$52,170,0),"-")</f>
        <v>97</v>
      </c>
      <c r="AC45" s="323">
        <f>IFERROR(VLOOKUP($H$2,'24年度'!$B$6:$GI$52,170,0),"-")</f>
        <v>97.7</v>
      </c>
      <c r="AD45" s="323">
        <f>IFERROR(VLOOKUP($H$2,'25年度'!$B$6:$GI$52,170,0),"-")</f>
        <v>96.1</v>
      </c>
      <c r="AE45" s="323">
        <f>IFERROR(VLOOKUP($H$2,'26年度'!$B$6:$GI$52,170,0),"-")</f>
        <v>97</v>
      </c>
      <c r="AF45" s="322">
        <f>IFERROR(VLOOKUP($H$2,'27年度'!$B$6:$GI$52,170,0),"-")</f>
        <v>95.9</v>
      </c>
      <c r="AG45" s="322">
        <f>IFERROR(VLOOKUP($H$2,'28年度'!$B$6:$GI$52,170,0),"-")</f>
        <v>98.2</v>
      </c>
      <c r="AH45" s="324">
        <f>IFERROR(VLOOKUP($H$2,'29年度'!$B$6:$GI$52,170,0),"-")</f>
        <v>97.5</v>
      </c>
      <c r="AI45" s="323">
        <f>IFERROR(VLOOKUP($H$2,'30年度'!$B$6:$GI$52,170,0),"-")</f>
        <v>96.9</v>
      </c>
      <c r="AJ45" s="322">
        <f>IFERROR(VLOOKUP($H$2,'R1年度'!$B$6:$GJ$52,171,0),"-")</f>
        <v>95.7</v>
      </c>
      <c r="AK45" s="322">
        <f>IFERROR(VLOOKUP($H$2,'R2年度'!$B$6:$GJ$52,172,0),"-")</f>
        <v>95.7</v>
      </c>
      <c r="AL45" s="324">
        <f>IFERROR(VLOOKUP($H$2,'R3年度'!$B$6:$GJ$52,172,0),"-")</f>
        <v>89.3</v>
      </c>
      <c r="AM45" s="323">
        <f>IFERROR(VLOOKUP($H$2,'R4年度'!$B$6:$GJ$52,172,0),"-")</f>
        <v>94.4</v>
      </c>
      <c r="AN45" s="322">
        <f>IFERROR(VLOOKUP($H$2,'R5年度'!$B$6:$GJ$52,172,0),"-")</f>
        <v>94.7</v>
      </c>
      <c r="AO45" s="325">
        <f>IFERROR(VLOOKUP($H$2,'R6年度'!$B$6:$GK$52,172,0),"-")</f>
        <v>94.2</v>
      </c>
    </row>
    <row r="46" spans="1:41" ht="15" customHeight="1" x14ac:dyDescent="0.15">
      <c r="A46" s="17"/>
      <c r="B46" s="509"/>
      <c r="C46" s="531"/>
      <c r="D46" s="492" t="s">
        <v>296</v>
      </c>
      <c r="E46" s="481"/>
      <c r="F46" s="326" t="str">
        <f>IFERROR(VLOOKUP($H$2,'1年度'!$B$6:$GI$50,171,0),"-")</f>
        <v>-</v>
      </c>
      <c r="G46" s="326" t="str">
        <f>IFERROR(VLOOKUP($H$2,'2年度'!$B$6:$GI$50,171,0),"-")</f>
        <v>-</v>
      </c>
      <c r="H46" s="326" t="str">
        <f>IFERROR(VLOOKUP($H$2,'3年度'!$B$6:$GI$50,171,0),"-")</f>
        <v>-</v>
      </c>
      <c r="I46" s="326" t="str">
        <f>IFERROR(VLOOKUP($H$2,'4年度'!$B$6:$GI$50,171,0),"-")</f>
        <v>-</v>
      </c>
      <c r="J46" s="326" t="str">
        <f>IFERROR(VLOOKUP($H$2,'5年度'!$B$6:$GI$50,171,0),"-")</f>
        <v>-</v>
      </c>
      <c r="K46" s="326" t="str">
        <f>IFERROR(VLOOKUP($H$2,'6年度'!$B$6:$GI$50,171,0),"-")</f>
        <v>-</v>
      </c>
      <c r="L46" s="326" t="str">
        <f>IFERROR(VLOOKUP($H$2,'7年度'!$B$6:$GI$50,171,0),"-")</f>
        <v>-</v>
      </c>
      <c r="M46" s="326" t="str">
        <f>IFERROR(VLOOKUP($H$2,'8年度'!$B$6:$GI$50,171,0),"-")</f>
        <v>-</v>
      </c>
      <c r="N46" s="326" t="str">
        <f>IFERROR(VLOOKUP($H$2,'9年度'!$B$6:$GI$50,171,0),"-")</f>
        <v>-</v>
      </c>
      <c r="O46" s="326" t="str">
        <f>IFERROR(VLOOKUP($H$2,'10年度'!$B$6:$GI$50,171,0),"-")</f>
        <v>-</v>
      </c>
      <c r="P46" s="326" t="str">
        <f>IFERROR(VLOOKUP($H$2,'11年度'!$B$6:$GI$50,171,0),"-")</f>
        <v>-</v>
      </c>
      <c r="Q46" s="326" t="str">
        <f>IFERROR(VLOOKUP($H$2,'12年度'!$B$6:$GI$50,171,0),"-")</f>
        <v>-</v>
      </c>
      <c r="R46" s="326" t="str">
        <f>IFERROR(VLOOKUP($H$2,'13年度'!$B$6:$GI$50,171,0),"-")</f>
        <v>-</v>
      </c>
      <c r="S46" s="326" t="str">
        <f>IFERROR(VLOOKUP($H$2,'14年度'!$B$6:$GI$50,171,0),"-")</f>
        <v>-</v>
      </c>
      <c r="T46" s="327" t="str">
        <f>IFERROR(VLOOKUP($H$2,'15年度'!$B$6:$GI$50,171,0),"-")</f>
        <v>-</v>
      </c>
      <c r="U46" s="326" t="str">
        <f>IFERROR(VLOOKUP($H$2,'16年度'!$B$6:$GI$50,171,0),"-")</f>
        <v>-</v>
      </c>
      <c r="V46" s="328" t="str">
        <f>IFERROR(VLOOKUP($H$2,'17年度'!$B$6:$GI$50,171,0),"-")</f>
        <v>-</v>
      </c>
      <c r="W46" s="327" t="str">
        <f>IFERROR(VLOOKUP($H$2,'18年度'!$B$6:$GI$50,171,0),"-")</f>
        <v>-</v>
      </c>
      <c r="X46" s="327" t="str">
        <f>IFERROR(VLOOKUP($H$2,'19年度'!$B$6:$GI$50,171,0),"-")</f>
        <v>-</v>
      </c>
      <c r="Y46" s="327" t="str">
        <f>IFERROR(VLOOKUP($H$2,'20年度'!$B$6:$GI$50,171,0),"-")</f>
        <v>-</v>
      </c>
      <c r="Z46" s="327" t="str">
        <f>IFERROR(VLOOKUP($H$2,'21年度'!$B$6:$GI$50,171,0),"-")</f>
        <v>-</v>
      </c>
      <c r="AA46" s="326" t="str">
        <f>IFERROR(VLOOKUP($H$2,'22年度'!$B$6:$GI$50,171,0),"-")</f>
        <v>-</v>
      </c>
      <c r="AB46" s="328">
        <f>IFERROR(VLOOKUP($H$2,'23年度'!$B$6:$GI$52,171,0),"-")</f>
        <v>27.7</v>
      </c>
      <c r="AC46" s="327">
        <f>IFERROR(VLOOKUP($H$2,'24年度'!$B$6:$GI$52,171,0),"-")</f>
        <v>26.7</v>
      </c>
      <c r="AD46" s="327">
        <f>IFERROR(VLOOKUP($H$2,'25年度'!$B$6:$GI$52,171,0),"-")</f>
        <v>24.5</v>
      </c>
      <c r="AE46" s="327">
        <f>IFERROR(VLOOKUP($H$2,'26年度'!$B$6:$GI$52,171,0),"-")</f>
        <v>24.5</v>
      </c>
      <c r="AF46" s="326">
        <f>IFERROR(VLOOKUP($H$2,'27年度'!$B$6:$GI$52,171,0),"-")</f>
        <v>23.5</v>
      </c>
      <c r="AG46" s="326">
        <f>IFERROR(VLOOKUP($H$2,'28年度'!$B$6:$GI$52,171,0),"-")</f>
        <v>23.8</v>
      </c>
      <c r="AH46" s="328">
        <f>IFERROR(VLOOKUP($H$2,'29年度'!$B$6:$GI$52,171,0),"-")</f>
        <v>27</v>
      </c>
      <c r="AI46" s="327">
        <f>IFERROR(VLOOKUP($H$2,'30年度'!$B$6:$GI$52,171,0),"-")</f>
        <v>27</v>
      </c>
      <c r="AJ46" s="326">
        <f>IFERROR(VLOOKUP($H$2,'R1年度'!$B$6:$GJ$52,172,0),"-")</f>
        <v>26.4</v>
      </c>
      <c r="AK46" s="326">
        <f>IFERROR(VLOOKUP($H$2,'R2年度'!$B$6:$GJ$52,173,0),"-")</f>
        <v>27.5</v>
      </c>
      <c r="AL46" s="328">
        <f>IFERROR(VLOOKUP($H$2,'R3年度'!$B$6:$GJ$52,173,0),"-")</f>
        <v>25.3</v>
      </c>
      <c r="AM46" s="327">
        <f>IFERROR(VLOOKUP($H$2,'R4年度'!$B$6:$GJ$52,173,0),"-")</f>
        <v>26.2</v>
      </c>
      <c r="AN46" s="326">
        <f>IFERROR(VLOOKUP($H$2,'R5年度'!$B$6:$GJ$52,173,0),"-")</f>
        <v>25.4</v>
      </c>
      <c r="AO46" s="329">
        <f>IFERROR(VLOOKUP($H$2,'R6年度'!$B$6:$GK$52,173,0),"-")</f>
        <v>26.5</v>
      </c>
    </row>
    <row r="47" spans="1:41" ht="15" customHeight="1" x14ac:dyDescent="0.15">
      <c r="A47" s="17"/>
      <c r="B47" s="509"/>
      <c r="C47" s="532"/>
      <c r="D47" s="519" t="s">
        <v>297</v>
      </c>
      <c r="E47" s="520"/>
      <c r="F47" s="330" t="str">
        <f>IFERROR(VLOOKUP($H$2,'1年度'!$B$6:$GI$50,172,0),"-")</f>
        <v>-</v>
      </c>
      <c r="G47" s="330" t="str">
        <f>IFERROR(VLOOKUP($H$2,'2年度'!$B$6:$GI$50,172,0),"-")</f>
        <v>-</v>
      </c>
      <c r="H47" s="330" t="str">
        <f>IFERROR(VLOOKUP($H$2,'3年度'!$B$6:$GI$50,172,0),"-")</f>
        <v>-</v>
      </c>
      <c r="I47" s="330" t="str">
        <f>IFERROR(VLOOKUP($H$2,'4年度'!$B$6:$GI$50,172,0),"-")</f>
        <v>-</v>
      </c>
      <c r="J47" s="330" t="str">
        <f>IFERROR(VLOOKUP($H$2,'5年度'!$B$6:$GI$50,172,0),"-")</f>
        <v>-</v>
      </c>
      <c r="K47" s="330" t="str">
        <f>IFERROR(VLOOKUP($H$2,'6年度'!$B$6:$GI$50,172,0),"-")</f>
        <v>-</v>
      </c>
      <c r="L47" s="330" t="str">
        <f>IFERROR(VLOOKUP($H$2,'7年度'!$B$6:$GI$50,172,0),"-")</f>
        <v>-</v>
      </c>
      <c r="M47" s="330" t="str">
        <f>IFERROR(VLOOKUP($H$2,'8年度'!$B$6:$GI$50,172,0),"-")</f>
        <v>-</v>
      </c>
      <c r="N47" s="330" t="str">
        <f>IFERROR(VLOOKUP($H$2,'9年度'!$B$6:$GI$50,172,0),"-")</f>
        <v>-</v>
      </c>
      <c r="O47" s="330" t="str">
        <f>IFERROR(VLOOKUP($H$2,'10年度'!$B$6:$GI$50,172,0),"-")</f>
        <v>-</v>
      </c>
      <c r="P47" s="330" t="str">
        <f>IFERROR(VLOOKUP($H$2,'11年度'!$B$6:$GI$50,172,0),"-")</f>
        <v>-</v>
      </c>
      <c r="Q47" s="330" t="str">
        <f>IFERROR(VLOOKUP($H$2,'12年度'!$B$6:$GI$50,172,0),"-")</f>
        <v>-</v>
      </c>
      <c r="R47" s="330" t="str">
        <f>IFERROR(VLOOKUP($H$2,'13年度'!$B$6:$GI$50,172,0),"-")</f>
        <v>-</v>
      </c>
      <c r="S47" s="330" t="str">
        <f>IFERROR(VLOOKUP($H$2,'14年度'!$B$6:$GI$50,172,0),"-")</f>
        <v>-</v>
      </c>
      <c r="T47" s="331" t="str">
        <f>IFERROR(VLOOKUP($H$2,'15年度'!$B$6:$GI$50,172,0),"-")</f>
        <v>-</v>
      </c>
      <c r="U47" s="330" t="str">
        <f>IFERROR(VLOOKUP($H$2,'16年度'!$B$6:$GI$50,172,0),"-")</f>
        <v>-</v>
      </c>
      <c r="V47" s="332" t="str">
        <f>IFERROR(VLOOKUP($H$2,'17年度'!$B$6:$GI$50,172,0),"-")</f>
        <v>-</v>
      </c>
      <c r="W47" s="331" t="str">
        <f>IFERROR(VLOOKUP($H$2,'18年度'!$B$6:$GI$50,172,0),"-")</f>
        <v>-</v>
      </c>
      <c r="X47" s="331" t="str">
        <f>IFERROR(VLOOKUP($H$2,'19年度'!$B$6:$GI$50,172,0),"-")</f>
        <v>-</v>
      </c>
      <c r="Y47" s="331" t="str">
        <f>IFERROR(VLOOKUP($H$2,'20年度'!$B$6:$GI$50,172,0),"-")</f>
        <v>-</v>
      </c>
      <c r="Z47" s="331" t="str">
        <f>IFERROR(VLOOKUP($H$2,'21年度'!$B$6:$GI$50,172,0),"-")</f>
        <v>-</v>
      </c>
      <c r="AA47" s="330" t="str">
        <f>IFERROR(VLOOKUP($H$2,'22年度'!$B$6:$GI$50,172,0),"-")</f>
        <v>-</v>
      </c>
      <c r="AB47" s="332">
        <f>IFERROR(VLOOKUP($H$2,'23年度'!$B$6:$GI$52,172,0),"-")</f>
        <v>15.6</v>
      </c>
      <c r="AC47" s="331">
        <f>IFERROR(VLOOKUP($H$2,'24年度'!$B$6:$GI$52,172,0),"-")</f>
        <v>16.2</v>
      </c>
      <c r="AD47" s="331">
        <f>IFERROR(VLOOKUP($H$2,'25年度'!$B$6:$GI$52,172,0),"-")</f>
        <v>16.100000000000001</v>
      </c>
      <c r="AE47" s="331">
        <f>IFERROR(VLOOKUP($H$2,'26年度'!$B$6:$GI$52,172,0),"-")</f>
        <v>16.8</v>
      </c>
      <c r="AF47" s="330">
        <f>IFERROR(VLOOKUP($H$2,'27年度'!$B$6:$GI$52,172,0),"-")</f>
        <v>16.8</v>
      </c>
      <c r="AG47" s="330">
        <f>IFERROR(VLOOKUP($H$2,'28年度'!$B$6:$GI$52,172,0),"-")</f>
        <v>17.7</v>
      </c>
      <c r="AH47" s="332">
        <f>IFERROR(VLOOKUP($H$2,'29年度'!$B$6:$GI$52,172,0),"-")</f>
        <v>17.2</v>
      </c>
      <c r="AI47" s="331">
        <f>IFERROR(VLOOKUP($H$2,'30年度'!$B$6:$GI$52,172,0),"-")</f>
        <v>17.2</v>
      </c>
      <c r="AJ47" s="330">
        <f>IFERROR(VLOOKUP($H$2,'R1年度'!$B$6:$GJ$52,173,0),"-")</f>
        <v>17.600000000000001</v>
      </c>
      <c r="AK47" s="330">
        <f>IFERROR(VLOOKUP($H$2,'R2年度'!$B$6:$GJ$52,174,0),"-")</f>
        <v>16.8</v>
      </c>
      <c r="AL47" s="332">
        <f>IFERROR(VLOOKUP($H$2,'R3年度'!$B$6:$GJ$52,174,0),"-")</f>
        <v>16.3</v>
      </c>
      <c r="AM47" s="331">
        <f>IFERROR(VLOOKUP($H$2,'R4年度'!$B$6:$GJ$52,174,0),"-")</f>
        <v>17.3</v>
      </c>
      <c r="AN47" s="330">
        <f>IFERROR(VLOOKUP($H$2,'R5年度'!$B$6:$GJ$52,174,0),"-")</f>
        <v>18.600000000000001</v>
      </c>
      <c r="AO47" s="333">
        <f>IFERROR(VLOOKUP($H$2,'R6年度'!$B$6:$GK$52,174,0),"-")</f>
        <v>18.7</v>
      </c>
    </row>
    <row r="48" spans="1:41" ht="15" customHeight="1" x14ac:dyDescent="0.15">
      <c r="A48" s="17"/>
      <c r="B48" s="509"/>
      <c r="C48" s="532"/>
      <c r="D48" s="519" t="s">
        <v>298</v>
      </c>
      <c r="E48" s="520"/>
      <c r="F48" s="330" t="str">
        <f>IFERROR(VLOOKUP($H$2,'1年度'!$B$6:$GI$50,173,0),"-")</f>
        <v>-</v>
      </c>
      <c r="G48" s="330" t="str">
        <f>IFERROR(VLOOKUP($H$2,'2年度'!$B$6:$GI$50,173,0),"-")</f>
        <v>-</v>
      </c>
      <c r="H48" s="330" t="str">
        <f>IFERROR(VLOOKUP($H$2,'3年度'!$B$6:$GI$50,173,0),"-")</f>
        <v>-</v>
      </c>
      <c r="I48" s="330" t="str">
        <f>IFERROR(VLOOKUP($H$2,'4年度'!$B$6:$GI$50,173,0),"-")</f>
        <v>-</v>
      </c>
      <c r="J48" s="330" t="str">
        <f>IFERROR(VLOOKUP($H$2,'5年度'!$B$6:$GI$50,173,0),"-")</f>
        <v>-</v>
      </c>
      <c r="K48" s="330" t="str">
        <f>IFERROR(VLOOKUP($H$2,'6年度'!$B$6:$GI$50,173,0),"-")</f>
        <v>-</v>
      </c>
      <c r="L48" s="330" t="str">
        <f>IFERROR(VLOOKUP($H$2,'7年度'!$B$6:$GI$50,173,0),"-")</f>
        <v>-</v>
      </c>
      <c r="M48" s="330" t="str">
        <f>IFERROR(VLOOKUP($H$2,'8年度'!$B$6:$GI$50,173,0),"-")</f>
        <v>-</v>
      </c>
      <c r="N48" s="330" t="str">
        <f>IFERROR(VLOOKUP($H$2,'9年度'!$B$6:$GI$50,173,0),"-")</f>
        <v>-</v>
      </c>
      <c r="O48" s="330" t="str">
        <f>IFERROR(VLOOKUP($H$2,'10年度'!$B$6:$GI$50,173,0),"-")</f>
        <v>-</v>
      </c>
      <c r="P48" s="330" t="str">
        <f>IFERROR(VLOOKUP($H$2,'11年度'!$B$6:$GI$50,173,0),"-")</f>
        <v>-</v>
      </c>
      <c r="Q48" s="330" t="str">
        <f>IFERROR(VLOOKUP($H$2,'12年度'!$B$6:$GI$50,173,0),"-")</f>
        <v>-</v>
      </c>
      <c r="R48" s="330" t="str">
        <f>IFERROR(VLOOKUP($H$2,'13年度'!$B$6:$GI$50,173,0),"-")</f>
        <v>-</v>
      </c>
      <c r="S48" s="330" t="str">
        <f>IFERROR(VLOOKUP($H$2,'14年度'!$B$6:$GI$50,173,0),"-")</f>
        <v>-</v>
      </c>
      <c r="T48" s="331" t="str">
        <f>IFERROR(VLOOKUP($H$2,'15年度'!$B$6:$GI$50,173,0),"-")</f>
        <v>-</v>
      </c>
      <c r="U48" s="330" t="str">
        <f>IFERROR(VLOOKUP($H$2,'16年度'!$B$6:$GI$50,173,0),"-")</f>
        <v>-</v>
      </c>
      <c r="V48" s="332" t="str">
        <f>IFERROR(VLOOKUP($H$2,'17年度'!$B$6:$GI$50,173,0),"-")</f>
        <v>-</v>
      </c>
      <c r="W48" s="331" t="str">
        <f>IFERROR(VLOOKUP($H$2,'18年度'!$B$6:$GI$50,173,0),"-")</f>
        <v>-</v>
      </c>
      <c r="X48" s="331" t="str">
        <f>IFERROR(VLOOKUP($H$2,'19年度'!$B$6:$GI$50,173,0),"-")</f>
        <v>-</v>
      </c>
      <c r="Y48" s="331" t="str">
        <f>IFERROR(VLOOKUP($H$2,'20年度'!$B$6:$GI$50,173,0),"-")</f>
        <v>-</v>
      </c>
      <c r="Z48" s="331" t="str">
        <f>IFERROR(VLOOKUP($H$2,'21年度'!$B$6:$GI$50,173,0),"-")</f>
        <v>-</v>
      </c>
      <c r="AA48" s="330" t="str">
        <f>IFERROR(VLOOKUP($H$2,'22年度'!$B$6:$GI$50,173,0),"-")</f>
        <v>-</v>
      </c>
      <c r="AB48" s="332">
        <f>IFERROR(VLOOKUP($H$2,'23年度'!$B$6:$GI$52,173,0),"-")</f>
        <v>20.100000000000001</v>
      </c>
      <c r="AC48" s="331">
        <f>IFERROR(VLOOKUP($H$2,'24年度'!$B$6:$GI$52,173,0),"-")</f>
        <v>21.2</v>
      </c>
      <c r="AD48" s="331">
        <f>IFERROR(VLOOKUP($H$2,'25年度'!$B$6:$GI$52,173,0),"-")</f>
        <v>21.8</v>
      </c>
      <c r="AE48" s="331">
        <f>IFERROR(VLOOKUP($H$2,'26年度'!$B$6:$GI$52,173,0),"-")</f>
        <v>21</v>
      </c>
      <c r="AF48" s="330">
        <f>IFERROR(VLOOKUP($H$2,'27年度'!$B$6:$GI$52,173,0),"-")</f>
        <v>20.6</v>
      </c>
      <c r="AG48" s="330">
        <f>IFERROR(VLOOKUP($H$2,'28年度'!$B$6:$GI$52,173,0),"-")</f>
        <v>20.6</v>
      </c>
      <c r="AH48" s="332">
        <f>IFERROR(VLOOKUP($H$2,'29年度'!$B$6:$GI$52,173,0),"-")</f>
        <v>18.899999999999999</v>
      </c>
      <c r="AI48" s="331">
        <f>IFERROR(VLOOKUP($H$2,'30年度'!$B$6:$GI$52,173,0),"-")</f>
        <v>17.899999999999999</v>
      </c>
      <c r="AJ48" s="330">
        <f>IFERROR(VLOOKUP($H$2,'R1年度'!$B$6:$GJ$52,174,0),"-")</f>
        <v>16.7</v>
      </c>
      <c r="AK48" s="330">
        <f>IFERROR(VLOOKUP($H$2,'R2年度'!$B$6:$GJ$52,175,0),"-")</f>
        <v>16</v>
      </c>
      <c r="AL48" s="332">
        <f>IFERROR(VLOOKUP($H$2,'R3年度'!$B$6:$GJ$52,175,0),"-")</f>
        <v>14.3</v>
      </c>
      <c r="AM48" s="331">
        <f>IFERROR(VLOOKUP($H$2,'R4年度'!$B$6:$GJ$52,175,0),"-")</f>
        <v>15.4</v>
      </c>
      <c r="AN48" s="330">
        <f>IFERROR(VLOOKUP($H$2,'R5年度'!$B$6:$GJ$52,175,0),"-")</f>
        <v>14.2</v>
      </c>
      <c r="AO48" s="333">
        <f>IFERROR(VLOOKUP($H$2,'R6年度'!$B$6:$GK$52,175,0),"-")</f>
        <v>12.2</v>
      </c>
    </row>
    <row r="49" spans="1:41" ht="15" customHeight="1" x14ac:dyDescent="0.15">
      <c r="A49" s="17"/>
      <c r="B49" s="509"/>
      <c r="C49" s="532"/>
      <c r="D49" s="519" t="s">
        <v>299</v>
      </c>
      <c r="E49" s="520"/>
      <c r="F49" s="330" t="str">
        <f>IFERROR(VLOOKUP($H$2,'1年度'!$B$6:$GI$50,174,0),"-")</f>
        <v>-</v>
      </c>
      <c r="G49" s="330" t="str">
        <f>IFERROR(VLOOKUP($H$2,'2年度'!$B$6:$GI$50,174,0),"-")</f>
        <v>-</v>
      </c>
      <c r="H49" s="330" t="str">
        <f>IFERROR(VLOOKUP($H$2,'3年度'!$B$6:$GI$50,174,0),"-")</f>
        <v>-</v>
      </c>
      <c r="I49" s="330" t="str">
        <f>IFERROR(VLOOKUP($H$2,'4年度'!$B$6:$GI$50,174,0),"-")</f>
        <v>-</v>
      </c>
      <c r="J49" s="330" t="str">
        <f>IFERROR(VLOOKUP($H$2,'5年度'!$B$6:$GI$50,174,0),"-")</f>
        <v>-</v>
      </c>
      <c r="K49" s="330" t="str">
        <f>IFERROR(VLOOKUP($H$2,'6年度'!$B$6:$GI$50,174,0),"-")</f>
        <v>-</v>
      </c>
      <c r="L49" s="330" t="str">
        <f>IFERROR(VLOOKUP($H$2,'7年度'!$B$6:$GI$50,174,0),"-")</f>
        <v>-</v>
      </c>
      <c r="M49" s="330" t="str">
        <f>IFERROR(VLOOKUP($H$2,'8年度'!$B$6:$GI$50,174,0),"-")</f>
        <v>-</v>
      </c>
      <c r="N49" s="330" t="str">
        <f>IFERROR(VLOOKUP($H$2,'9年度'!$B$6:$GI$50,174,0),"-")</f>
        <v>-</v>
      </c>
      <c r="O49" s="330" t="str">
        <f>IFERROR(VLOOKUP($H$2,'10年度'!$B$6:$GI$50,174,0),"-")</f>
        <v>-</v>
      </c>
      <c r="P49" s="330" t="str">
        <f>IFERROR(VLOOKUP($H$2,'11年度'!$B$6:$GI$50,174,0),"-")</f>
        <v>-</v>
      </c>
      <c r="Q49" s="330" t="str">
        <f>IFERROR(VLOOKUP($H$2,'12年度'!$B$6:$GI$50,174,0),"-")</f>
        <v>-</v>
      </c>
      <c r="R49" s="330" t="str">
        <f>IFERROR(VLOOKUP($H$2,'13年度'!$B$6:$GI$50,174,0),"-")</f>
        <v>-</v>
      </c>
      <c r="S49" s="330" t="str">
        <f>IFERROR(VLOOKUP($H$2,'14年度'!$B$6:$GI$50,174,0),"-")</f>
        <v>-</v>
      </c>
      <c r="T49" s="331" t="str">
        <f>IFERROR(VLOOKUP($H$2,'15年度'!$B$6:$GI$50,174,0),"-")</f>
        <v>-</v>
      </c>
      <c r="U49" s="330" t="str">
        <f>IFERROR(VLOOKUP($H$2,'16年度'!$B$6:$GI$50,174,0),"-")</f>
        <v>-</v>
      </c>
      <c r="V49" s="332" t="str">
        <f>IFERROR(VLOOKUP($H$2,'17年度'!$B$6:$GI$50,174,0),"-")</f>
        <v>-</v>
      </c>
      <c r="W49" s="331" t="str">
        <f>IFERROR(VLOOKUP($H$2,'18年度'!$B$6:$GI$50,174,0),"-")</f>
        <v>-</v>
      </c>
      <c r="X49" s="331" t="str">
        <f>IFERROR(VLOOKUP($H$2,'19年度'!$B$6:$GI$50,174,0),"-")</f>
        <v>-</v>
      </c>
      <c r="Y49" s="331" t="str">
        <f>IFERROR(VLOOKUP($H$2,'20年度'!$B$6:$GI$50,174,0),"-")</f>
        <v>-</v>
      </c>
      <c r="Z49" s="331" t="str">
        <f>IFERROR(VLOOKUP($H$2,'21年度'!$B$6:$GI$50,174,0),"-")</f>
        <v>-</v>
      </c>
      <c r="AA49" s="330" t="str">
        <f>IFERROR(VLOOKUP($H$2,'22年度'!$B$6:$GI$50,174,0),"-")</f>
        <v>-</v>
      </c>
      <c r="AB49" s="332">
        <f>IFERROR(VLOOKUP($H$2,'23年度'!$B$6:$GI$52,174,0),"-")</f>
        <v>11.7</v>
      </c>
      <c r="AC49" s="331">
        <f>IFERROR(VLOOKUP($H$2,'24年度'!$B$6:$GI$52,174,0),"-")</f>
        <v>11.6</v>
      </c>
      <c r="AD49" s="331">
        <f>IFERROR(VLOOKUP($H$2,'25年度'!$B$6:$GI$52,174,0),"-")</f>
        <v>11.9</v>
      </c>
      <c r="AE49" s="331">
        <f>IFERROR(VLOOKUP($H$2,'26年度'!$B$6:$GI$52,174,0),"-")</f>
        <v>12.6</v>
      </c>
      <c r="AF49" s="330">
        <f>IFERROR(VLOOKUP($H$2,'27年度'!$B$6:$GI$52,174,0),"-")</f>
        <v>12.4</v>
      </c>
      <c r="AG49" s="330">
        <f>IFERROR(VLOOKUP($H$2,'28年度'!$B$6:$GI$52,174,0),"-")</f>
        <v>12.9</v>
      </c>
      <c r="AH49" s="332">
        <f>IFERROR(VLOOKUP($H$2,'29年度'!$B$6:$GI$52,174,0),"-")</f>
        <v>12.3</v>
      </c>
      <c r="AI49" s="331">
        <f>IFERROR(VLOOKUP($H$2,'30年度'!$B$6:$GI$52,174,0),"-")</f>
        <v>12.4</v>
      </c>
      <c r="AJ49" s="330">
        <f>IFERROR(VLOOKUP($H$2,'R1年度'!$B$6:$GJ$52,175,0),"-")</f>
        <v>12.6</v>
      </c>
      <c r="AK49" s="330">
        <f>IFERROR(VLOOKUP($H$2,'R2年度'!$B$6:$GJ$52,176,0),"-")</f>
        <v>12.6</v>
      </c>
      <c r="AL49" s="332">
        <f>IFERROR(VLOOKUP($H$2,'R3年度'!$B$6:$GJ$52,176,0),"-")</f>
        <v>12.2</v>
      </c>
      <c r="AM49" s="331">
        <f>IFERROR(VLOOKUP($H$2,'R4年度'!$B$6:$GJ$52,176,0),"-")</f>
        <v>13.1</v>
      </c>
      <c r="AN49" s="330">
        <f>IFERROR(VLOOKUP($H$2,'R5年度'!$B$6:$GJ$52,176,0),"-")</f>
        <v>13.4</v>
      </c>
      <c r="AO49" s="333">
        <f>IFERROR(VLOOKUP($H$2,'R6年度'!$B$6:$GK$52,176,0),"-")</f>
        <v>13.8</v>
      </c>
    </row>
    <row r="50" spans="1:41" ht="15" customHeight="1" x14ac:dyDescent="0.15">
      <c r="A50" s="17"/>
      <c r="B50" s="509"/>
      <c r="C50" s="532"/>
      <c r="D50" s="519" t="s">
        <v>300</v>
      </c>
      <c r="E50" s="520"/>
      <c r="F50" s="330" t="str">
        <f>IFERROR(VLOOKUP($H$2,'1年度'!$B$6:$GI$50,175,0),"-")</f>
        <v>-</v>
      </c>
      <c r="G50" s="330" t="str">
        <f>IFERROR(VLOOKUP($H$2,'2年度'!$B$6:$GI$50,175,0),"-")</f>
        <v>-</v>
      </c>
      <c r="H50" s="330" t="str">
        <f>IFERROR(VLOOKUP($H$2,'3年度'!$B$6:$GI$50,175,0),"-")</f>
        <v>-</v>
      </c>
      <c r="I50" s="330" t="str">
        <f>IFERROR(VLOOKUP($H$2,'4年度'!$B$6:$GI$50,175,0),"-")</f>
        <v>-</v>
      </c>
      <c r="J50" s="330" t="str">
        <f>IFERROR(VLOOKUP($H$2,'5年度'!$B$6:$GI$50,175,0),"-")</f>
        <v>-</v>
      </c>
      <c r="K50" s="330" t="str">
        <f>IFERROR(VLOOKUP($H$2,'6年度'!$B$6:$GI$50,175,0),"-")</f>
        <v>-</v>
      </c>
      <c r="L50" s="330" t="str">
        <f>IFERROR(VLOOKUP($H$2,'7年度'!$B$6:$GI$50,175,0),"-")</f>
        <v>-</v>
      </c>
      <c r="M50" s="330" t="str">
        <f>IFERROR(VLOOKUP($H$2,'8年度'!$B$6:$GI$50,175,0),"-")</f>
        <v>-</v>
      </c>
      <c r="N50" s="330" t="str">
        <f>IFERROR(VLOOKUP($H$2,'9年度'!$B$6:$GI$50,175,0),"-")</f>
        <v>-</v>
      </c>
      <c r="O50" s="330" t="str">
        <f>IFERROR(VLOOKUP($H$2,'10年度'!$B$6:$GI$50,175,0),"-")</f>
        <v>-</v>
      </c>
      <c r="P50" s="330" t="str">
        <f>IFERROR(VLOOKUP($H$2,'11年度'!$B$6:$GI$50,175,0),"-")</f>
        <v>-</v>
      </c>
      <c r="Q50" s="330" t="str">
        <f>IFERROR(VLOOKUP($H$2,'12年度'!$B$6:$GI$50,175,0),"-")</f>
        <v>-</v>
      </c>
      <c r="R50" s="330" t="str">
        <f>IFERROR(VLOOKUP($H$2,'13年度'!$B$6:$GI$50,175,0),"-")</f>
        <v>-</v>
      </c>
      <c r="S50" s="330" t="str">
        <f>IFERROR(VLOOKUP($H$2,'14年度'!$B$6:$GI$50,175,0),"-")</f>
        <v>-</v>
      </c>
      <c r="T50" s="331" t="str">
        <f>IFERROR(VLOOKUP($H$2,'15年度'!$B$6:$GI$50,175,0),"-")</f>
        <v>-</v>
      </c>
      <c r="U50" s="330" t="str">
        <f>IFERROR(VLOOKUP($H$2,'16年度'!$B$6:$GI$50,175,0),"-")</f>
        <v>-</v>
      </c>
      <c r="V50" s="332" t="str">
        <f>IFERROR(VLOOKUP($H$2,'17年度'!$B$6:$GI$50,175,0),"-")</f>
        <v>-</v>
      </c>
      <c r="W50" s="331" t="str">
        <f>IFERROR(VLOOKUP($H$2,'18年度'!$B$6:$GI$50,175,0),"-")</f>
        <v>-</v>
      </c>
      <c r="X50" s="331" t="str">
        <f>IFERROR(VLOOKUP($H$2,'19年度'!$B$6:$GI$50,175,0),"-")</f>
        <v>-</v>
      </c>
      <c r="Y50" s="331" t="str">
        <f>IFERROR(VLOOKUP($H$2,'20年度'!$B$6:$GI$50,175,0),"-")</f>
        <v>-</v>
      </c>
      <c r="Z50" s="331" t="str">
        <f>IFERROR(VLOOKUP($H$2,'21年度'!$B$6:$GI$50,175,0),"-")</f>
        <v>-</v>
      </c>
      <c r="AA50" s="330" t="str">
        <f>IFERROR(VLOOKUP($H$2,'22年度'!$B$6:$GI$50,175,0),"-")</f>
        <v>-</v>
      </c>
      <c r="AB50" s="332">
        <f>IFERROR(VLOOKUP($H$2,'23年度'!$B$6:$GI$52,175,0),"-")</f>
        <v>10.1</v>
      </c>
      <c r="AC50" s="331">
        <f>IFERROR(VLOOKUP($H$2,'24年度'!$B$6:$GI$52,175,0),"-")</f>
        <v>9.8000000000000007</v>
      </c>
      <c r="AD50" s="331">
        <f>IFERROR(VLOOKUP($H$2,'25年度'!$B$6:$GI$52,175,0),"-")</f>
        <v>9.4</v>
      </c>
      <c r="AE50" s="331">
        <f>IFERROR(VLOOKUP($H$2,'26年度'!$B$6:$GI$52,175,0),"-")</f>
        <v>9.4</v>
      </c>
      <c r="AF50" s="330">
        <f>IFERROR(VLOOKUP($H$2,'27年度'!$B$6:$GI$52,175,0),"-")</f>
        <v>9.6999999999999993</v>
      </c>
      <c r="AG50" s="330">
        <f>IFERROR(VLOOKUP($H$2,'28年度'!$B$6:$GI$52,175,0),"-")</f>
        <v>10.199999999999999</v>
      </c>
      <c r="AH50" s="332">
        <f>IFERROR(VLOOKUP($H$2,'29年度'!$B$6:$GI$52,175,0),"-")</f>
        <v>9.6999999999999993</v>
      </c>
      <c r="AI50" s="331">
        <f>IFERROR(VLOOKUP($H$2,'30年度'!$B$6:$GI$52,175,0),"-")</f>
        <v>9.8000000000000007</v>
      </c>
      <c r="AJ50" s="330">
        <f>IFERROR(VLOOKUP($H$2,'R1年度'!$B$6:$GJ$52,176,0),"-")</f>
        <v>9.6999999999999993</v>
      </c>
      <c r="AK50" s="330">
        <f>IFERROR(VLOOKUP($H$2,'R2年度'!$B$6:$GJ$52,177,0),"-")</f>
        <v>9.6999999999999993</v>
      </c>
      <c r="AL50" s="332">
        <f>IFERROR(VLOOKUP($H$2,'R3年度'!$B$6:$GJ$52,177,0),"-")</f>
        <v>9.1</v>
      </c>
      <c r="AM50" s="331">
        <f>IFERROR(VLOOKUP($H$2,'R4年度'!$B$6:$GJ$52,177,0),"-")</f>
        <v>9.5</v>
      </c>
      <c r="AN50" s="330">
        <f>IFERROR(VLOOKUP($H$2,'R5年度'!$B$6:$GJ$52,177,0),"-")</f>
        <v>9.6</v>
      </c>
      <c r="AO50" s="333">
        <f>IFERROR(VLOOKUP($H$2,'R6年度'!$B$6:$GK$52,177,0),"-")</f>
        <v>9.6</v>
      </c>
    </row>
    <row r="51" spans="1:41" ht="15" customHeight="1" x14ac:dyDescent="0.15">
      <c r="A51" s="17"/>
      <c r="B51" s="509"/>
      <c r="C51" s="533"/>
      <c r="D51" s="553" t="s">
        <v>301</v>
      </c>
      <c r="E51" s="518"/>
      <c r="F51" s="334" t="str">
        <f>IFERROR(VLOOKUP($H$2,'1年度'!$B$6:$GI$50,176,0),"-")</f>
        <v>-</v>
      </c>
      <c r="G51" s="334" t="str">
        <f>IFERROR(VLOOKUP($H$2,'2年度'!$B$6:$GI$50,176,0),"-")</f>
        <v>-</v>
      </c>
      <c r="H51" s="334" t="str">
        <f>IFERROR(VLOOKUP($H$2,'3年度'!$B$6:$GI$50,176,0),"-")</f>
        <v>-</v>
      </c>
      <c r="I51" s="334" t="str">
        <f>IFERROR(VLOOKUP($H$2,'4年度'!$B$6:$GI$50,176,0),"-")</f>
        <v>-</v>
      </c>
      <c r="J51" s="334" t="str">
        <f>IFERROR(VLOOKUP($H$2,'5年度'!$B$6:$GI$50,176,0),"-")</f>
        <v>-</v>
      </c>
      <c r="K51" s="334" t="str">
        <f>IFERROR(VLOOKUP($H$2,'6年度'!$B$6:$GI$50,176,0),"-")</f>
        <v>-</v>
      </c>
      <c r="L51" s="334" t="str">
        <f>IFERROR(VLOOKUP($H$2,'7年度'!$B$6:$GI$50,176,0),"-")</f>
        <v>-</v>
      </c>
      <c r="M51" s="334" t="str">
        <f>IFERROR(VLOOKUP($H$2,'8年度'!$B$6:$GI$50,176,0),"-")</f>
        <v>-</v>
      </c>
      <c r="N51" s="334" t="str">
        <f>IFERROR(VLOOKUP($H$2,'9年度'!$B$6:$GI$50,176,0),"-")</f>
        <v>-</v>
      </c>
      <c r="O51" s="334" t="str">
        <f>IFERROR(VLOOKUP($H$2,'10年度'!$B$6:$GI$50,176,0),"-")</f>
        <v>-</v>
      </c>
      <c r="P51" s="334" t="str">
        <f>IFERROR(VLOOKUP($H$2,'11年度'!$B$6:$GI$50,176,0),"-")</f>
        <v>-</v>
      </c>
      <c r="Q51" s="334" t="str">
        <f>IFERROR(VLOOKUP($H$2,'12年度'!$B$6:$GI$50,176,0),"-")</f>
        <v>-</v>
      </c>
      <c r="R51" s="334" t="str">
        <f>IFERROR(VLOOKUP($H$2,'13年度'!$B$6:$GI$50,176,0),"-")</f>
        <v>-</v>
      </c>
      <c r="S51" s="334" t="str">
        <f>IFERROR(VLOOKUP($H$2,'14年度'!$B$6:$GI$50,176,0),"-")</f>
        <v>-</v>
      </c>
      <c r="T51" s="335" t="str">
        <f>IFERROR(VLOOKUP($H$2,'15年度'!$B$6:$GI$50,176,0),"-")</f>
        <v>-</v>
      </c>
      <c r="U51" s="334" t="str">
        <f>IFERROR(VLOOKUP($H$2,'16年度'!$B$6:$GI$50,176,0),"-")</f>
        <v>-</v>
      </c>
      <c r="V51" s="336" t="str">
        <f>IFERROR(VLOOKUP($H$2,'17年度'!$B$6:$GI$50,176,0),"-")</f>
        <v>-</v>
      </c>
      <c r="W51" s="335" t="str">
        <f>IFERROR(VLOOKUP($H$2,'18年度'!$B$6:$GI$50,176,0),"-")</f>
        <v>-</v>
      </c>
      <c r="X51" s="335" t="str">
        <f>IFERROR(VLOOKUP($H$2,'19年度'!$B$6:$GI$50,176,0),"-")</f>
        <v>-</v>
      </c>
      <c r="Y51" s="335" t="str">
        <f>IFERROR(VLOOKUP($H$2,'20年度'!$B$6:$GI$50,176,0),"-")</f>
        <v>-</v>
      </c>
      <c r="Z51" s="335" t="str">
        <f>IFERROR(VLOOKUP($H$2,'21年度'!$B$6:$GI$50,176,0),"-")</f>
        <v>-</v>
      </c>
      <c r="AA51" s="334" t="str">
        <f>IFERROR(VLOOKUP($H$2,'22年度'!$B$6:$GI$50,176,0),"-")</f>
        <v>-</v>
      </c>
      <c r="AB51" s="336">
        <f>IFERROR(VLOOKUP($H$2,'23年度'!$B$6:$GI$52,176,0),"-")</f>
        <v>10.9</v>
      </c>
      <c r="AC51" s="335">
        <f>IFERROR(VLOOKUP($H$2,'24年度'!$B$6:$GI$52,176,0),"-")</f>
        <v>11.3</v>
      </c>
      <c r="AD51" s="335">
        <f>IFERROR(VLOOKUP($H$2,'25年度'!$B$6:$GI$52,176,0),"-")</f>
        <v>11.4</v>
      </c>
      <c r="AE51" s="335">
        <f>IFERROR(VLOOKUP($H$2,'26年度'!$B$6:$GI$52,176,0),"-")</f>
        <v>11.7</v>
      </c>
      <c r="AF51" s="334">
        <f>IFERROR(VLOOKUP($H$2,'27年度'!$B$6:$GI$52,176,0),"-")</f>
        <v>11.6</v>
      </c>
      <c r="AG51" s="334">
        <f>IFERROR(VLOOKUP($H$2,'28年度'!$B$6:$GI$52,176,0),"-")</f>
        <v>11.8</v>
      </c>
      <c r="AH51" s="336">
        <f>IFERROR(VLOOKUP($H$2,'29年度'!$B$6:$GI$52,176,0),"-")</f>
        <v>11.2</v>
      </c>
      <c r="AI51" s="335">
        <f>IFERROR(VLOOKUP($H$2,'30年度'!$B$6:$GI$52,176,0),"-")</f>
        <v>11.1</v>
      </c>
      <c r="AJ51" s="334">
        <f>IFERROR(VLOOKUP($H$2,'R1年度'!$B$6:$GJ$52,177,0),"-")</f>
        <v>11.2</v>
      </c>
      <c r="AK51" s="334">
        <f>IFERROR(VLOOKUP($H$2,'R2年度'!$B$6:$GJ$52,178,0),"-")</f>
        <v>11.3</v>
      </c>
      <c r="AL51" s="336">
        <f>IFERROR(VLOOKUP($H$2,'R3年度'!$B$6:$GJ$52,178,0),"-")</f>
        <v>10.7</v>
      </c>
      <c r="AM51" s="335">
        <f>IFERROR(VLOOKUP($H$2,'R4年度'!$B$6:$GJ$52,178,0),"-")</f>
        <v>11.3</v>
      </c>
      <c r="AN51" s="334">
        <f>IFERROR(VLOOKUP($H$2,'R5年度'!$B$6:$GJ$52,178,0),"-")</f>
        <v>11.8</v>
      </c>
      <c r="AO51" s="337">
        <f>IFERROR(VLOOKUP($H$2,'R6年度'!$B$6:$GK$52,178,0),"-")</f>
        <v>11.6</v>
      </c>
    </row>
    <row r="52" spans="1:41" ht="15" customHeight="1" thickBot="1" x14ac:dyDescent="0.2">
      <c r="A52" s="17"/>
      <c r="B52" s="512"/>
      <c r="C52" s="513" t="s">
        <v>302</v>
      </c>
      <c r="D52" s="514"/>
      <c r="E52" s="488"/>
      <c r="F52" s="338" t="str">
        <f>IFERROR(VLOOKUP($H$2,'1年度'!$B$6:$GI$50,177,0),"-")</f>
        <v>-</v>
      </c>
      <c r="G52" s="338" t="str">
        <f>IFERROR(VLOOKUP($H$2,'2年度'!$B$6:$GI$50,177,0),"-")</f>
        <v>-</v>
      </c>
      <c r="H52" s="338" t="str">
        <f>IFERROR(VLOOKUP($H$2,'3年度'!$B$6:$GI$50,177,0),"-")</f>
        <v>-</v>
      </c>
      <c r="I52" s="338" t="str">
        <f>IFERROR(VLOOKUP($H$2,'4年度'!$B$6:$GI$50,177,0),"-")</f>
        <v>-</v>
      </c>
      <c r="J52" s="338" t="str">
        <f>IFERROR(VLOOKUP($H$2,'5年度'!$B$6:$GI$50,177,0),"-")</f>
        <v>-</v>
      </c>
      <c r="K52" s="338" t="str">
        <f>IFERROR(VLOOKUP($H$2,'6年度'!$B$6:$GI$50,177,0),"-")</f>
        <v>-</v>
      </c>
      <c r="L52" s="338" t="str">
        <f>IFERROR(VLOOKUP($H$2,'7年度'!$B$6:$GI$50,177,0),"-")</f>
        <v>-</v>
      </c>
      <c r="M52" s="338" t="str">
        <f>IFERROR(VLOOKUP($H$2,'8年度'!$B$6:$GI$50,177,0),"-")</f>
        <v>-</v>
      </c>
      <c r="N52" s="338" t="str">
        <f>IFERROR(VLOOKUP($H$2,'9年度'!$B$6:$GI$50,177,0),"-")</f>
        <v>-</v>
      </c>
      <c r="O52" s="338" t="str">
        <f>IFERROR(VLOOKUP($H$2,'10年度'!$B$6:$GI$50,177,0),"-")</f>
        <v>-</v>
      </c>
      <c r="P52" s="338" t="str">
        <f>IFERROR(VLOOKUP($H$2,'11年度'!$B$6:$GI$50,177,0),"-")</f>
        <v>-</v>
      </c>
      <c r="Q52" s="338" t="str">
        <f>IFERROR(VLOOKUP($H$2,'12年度'!$B$6:$GI$50,177,0),"-")</f>
        <v>-</v>
      </c>
      <c r="R52" s="338" t="str">
        <f>IFERROR(VLOOKUP($H$2,'13年度'!$B$6:$GI$50,177,0),"-")</f>
        <v>-</v>
      </c>
      <c r="S52" s="338" t="str">
        <f>IFERROR(VLOOKUP($H$2,'14年度'!$B$6:$GI$50,177,0),"-")</f>
        <v>-</v>
      </c>
      <c r="T52" s="339" t="str">
        <f>IFERROR(VLOOKUP($H$2,'15年度'!$B$6:$GI$50,177,0),"-")</f>
        <v>-</v>
      </c>
      <c r="U52" s="338" t="str">
        <f>IFERROR(VLOOKUP($H$2,'16年度'!$B$6:$GI$50,177,0),"-")</f>
        <v>-</v>
      </c>
      <c r="V52" s="340" t="str">
        <f>IFERROR(VLOOKUP($H$2,'17年度'!$B$6:$GI$50,177,0),"-")</f>
        <v>-</v>
      </c>
      <c r="W52" s="339" t="str">
        <f>IFERROR(VLOOKUP($H$2,'18年度'!$B$6:$GI$50,177,0),"-")</f>
        <v>-</v>
      </c>
      <c r="X52" s="339" t="str">
        <f>IFERROR(VLOOKUP($H$2,'19年度'!$B$6:$GI$50,177,0),"-")</f>
        <v>-</v>
      </c>
      <c r="Y52" s="339" t="str">
        <f>IFERROR(VLOOKUP($H$2,'20年度'!$B$6:$GI$50,177,0),"-")</f>
        <v>-</v>
      </c>
      <c r="Z52" s="339" t="str">
        <f>IFERROR(VLOOKUP($H$2,'21年度'!$B$6:$GI$50,177,0),"-")</f>
        <v>-</v>
      </c>
      <c r="AA52" s="338" t="str">
        <f>IFERROR(VLOOKUP($H$2,'22年度'!$B$6:$GI$50,177,0),"-")</f>
        <v>-</v>
      </c>
      <c r="AB52" s="340">
        <f>IFERROR(VLOOKUP($H$2,'23年度'!$B$6:$GI$52,177,0),"-")</f>
        <v>7.9</v>
      </c>
      <c r="AC52" s="339">
        <f>IFERROR(VLOOKUP($H$2,'24年度'!$B$6:$GI$52,177,0),"-")</f>
        <v>7.5</v>
      </c>
      <c r="AD52" s="339">
        <f>IFERROR(VLOOKUP($H$2,'25年度'!$B$6:$GI$52,177,0),"-")</f>
        <v>7.2</v>
      </c>
      <c r="AE52" s="339">
        <f>IFERROR(VLOOKUP($H$2,'26年度'!$B$6:$GI$52,177,0),"-")</f>
        <v>7.1</v>
      </c>
      <c r="AF52" s="338">
        <f>IFERROR(VLOOKUP($H$2,'27年度'!$B$6:$GI$52,177,0),"-")</f>
        <v>6.8</v>
      </c>
      <c r="AG52" s="338">
        <f>IFERROR(VLOOKUP($H$2,'28年度'!$B$6:$GI$52,177,0),"-")</f>
        <v>6.1</v>
      </c>
      <c r="AH52" s="340">
        <f>IFERROR(VLOOKUP($H$2,'29年度'!$B$6:$GI$52,177,0),"-")</f>
        <v>6.1</v>
      </c>
      <c r="AI52" s="339">
        <f>IFERROR(VLOOKUP($H$2,'30年度'!$B$6:$GI$52,177,0),"-")</f>
        <v>4.0999999999999996</v>
      </c>
      <c r="AJ52" s="338">
        <f>IFERROR(VLOOKUP($H$2,'R1年度'!$B$6:$GJ$52,178,0),"-")</f>
        <v>3.6</v>
      </c>
      <c r="AK52" s="338">
        <f>IFERROR(VLOOKUP($H$2,'R2年度'!$B$6:$GJ$52,179,0),"-")</f>
        <v>3.4</v>
      </c>
      <c r="AL52" s="340">
        <f>IFERROR(VLOOKUP($H$2,'R3年度'!$B$6:$GJ$52,179,0),"-")</f>
        <v>2.9</v>
      </c>
      <c r="AM52" s="339">
        <f>IFERROR(VLOOKUP($H$2,'R4年度'!$B$6:$GJ$52,179,0),"-")</f>
        <v>2.7</v>
      </c>
      <c r="AN52" s="338">
        <f>IFERROR(VLOOKUP($H$2,'R5年度'!$B$6:$GJ$52,179,0),"-")</f>
        <v>2.4</v>
      </c>
      <c r="AO52" s="341">
        <f>IFERROR(VLOOKUP($H$2,'R6年度'!$B$6:$GK$52,179,0),"-")</f>
        <v>1.9</v>
      </c>
    </row>
    <row r="53" spans="1:41" ht="15" customHeight="1" x14ac:dyDescent="0.15">
      <c r="A53" s="17"/>
      <c r="B53" s="508" t="s">
        <v>303</v>
      </c>
      <c r="C53" s="167" t="s">
        <v>304</v>
      </c>
      <c r="D53" s="162"/>
      <c r="E53" s="162"/>
      <c r="F53" s="261" t="str">
        <f>IFERROR(ROUND(VLOOKUP($H$2,'1年度'!$B$6:$GI$50,106,0)/1000,0),"-")</f>
        <v>-</v>
      </c>
      <c r="G53" s="261" t="str">
        <f>IFERROR(ROUND(VLOOKUP($H$2,'2年度'!$B$6:$GI$50,106,0)/1000,0),"-")</f>
        <v>-</v>
      </c>
      <c r="H53" s="261" t="str">
        <f>IFERROR(ROUND(VLOOKUP($H$2,'3年度'!$B$6:$GI$50,106,0)/1000,0),"-")</f>
        <v>-</v>
      </c>
      <c r="I53" s="261" t="str">
        <f>IFERROR(ROUND(VLOOKUP($H$2,'4年度'!$B$6:$GI$50,106,0)/1000,0),"-")</f>
        <v>-</v>
      </c>
      <c r="J53" s="261" t="str">
        <f>IFERROR(ROUND(VLOOKUP($H$2,'5年度'!$B$6:$GI$50,106,0)/1000,0),"-")</f>
        <v>-</v>
      </c>
      <c r="K53" s="261" t="str">
        <f>IFERROR(ROUND(VLOOKUP($H$2,'6年度'!$B$6:$GI$50,106,0)/1000,0),"-")</f>
        <v>-</v>
      </c>
      <c r="L53" s="261" t="str">
        <f>IFERROR(ROUND(VLOOKUP($H$2,'7年度'!$B$6:$GI$50,106,0)/1000,0),"-")</f>
        <v>-</v>
      </c>
      <c r="M53" s="261" t="str">
        <f>IFERROR(ROUND(VLOOKUP($H$2,'8年度'!$B$6:$GI$50,106,0)/1000,0),"-")</f>
        <v>-</v>
      </c>
      <c r="N53" s="261" t="str">
        <f>IFERROR(ROUND(VLOOKUP($H$2,'9年度'!$B$6:$GI$50,106,0)/1000,0),"-")</f>
        <v>-</v>
      </c>
      <c r="O53" s="261" t="str">
        <f>IFERROR(ROUND(VLOOKUP($H$2,'10年度'!$B$6:$GI$50,106,0)/1000,0),"-")</f>
        <v>-</v>
      </c>
      <c r="P53" s="261" t="str">
        <f>IFERROR(ROUND(VLOOKUP($H$2,'11年度'!$B$6:$GI$50,106,0)/1000,0),"-")</f>
        <v>-</v>
      </c>
      <c r="Q53" s="261" t="str">
        <f>IFERROR(ROUND(VLOOKUP($H$2,'12年度'!$B$6:$GI$50,106,0)/1000,0),"-")</f>
        <v>-</v>
      </c>
      <c r="R53" s="261" t="str">
        <f>IFERROR(ROUND(VLOOKUP($H$2,'13年度'!$B$6:$GI$50,106,0)/1000,0),"-")</f>
        <v>-</v>
      </c>
      <c r="S53" s="261" t="str">
        <f>IFERROR(ROUND(VLOOKUP($H$2,'14年度'!$B$6:$GI$50,106,0)/1000,0),"-")</f>
        <v>-</v>
      </c>
      <c r="T53" s="262" t="str">
        <f>IFERROR(ROUND(VLOOKUP($H$2,'15年度'!$B$6:$GI$50,106,0)/1000,0),"-")</f>
        <v>-</v>
      </c>
      <c r="U53" s="261" t="str">
        <f>IFERROR(ROUND(VLOOKUP($H$2,'16年度'!$B$6:$GI$50,106,0)/1000,0),"-")</f>
        <v>-</v>
      </c>
      <c r="V53" s="263" t="str">
        <f>IFERROR(ROUND(VLOOKUP($H$2,'17年度'!$B$6:$GI$50,106,0)/1000,0),"-")</f>
        <v>-</v>
      </c>
      <c r="W53" s="262" t="str">
        <f>IFERROR(ROUND(VLOOKUP($H$2,'18年度'!$B$6:$GI$50,106,0)/1000,0),"-")</f>
        <v>-</v>
      </c>
      <c r="X53" s="262" t="str">
        <f>IFERROR(ROUND(VLOOKUP($H$2,'19年度'!$B$6:$GI$50,106,0)/1000,0),"-")</f>
        <v>-</v>
      </c>
      <c r="Y53" s="262" t="str">
        <f>IFERROR(ROUND(VLOOKUP($H$2,'20年度'!$B$6:$GI$50,106,0)/1000,0),"-")</f>
        <v>-</v>
      </c>
      <c r="Z53" s="262" t="str">
        <f>IFERROR(ROUND(VLOOKUP($H$2,'21年度'!$B$6:$GI$50,106,0)/1000,0),"-")</f>
        <v>-</v>
      </c>
      <c r="AA53" s="261" t="str">
        <f>IFERROR(ROUND(VLOOKUP($H$2,'22年度'!$B$6:$GI$50,106,0)/1000,0),"-")</f>
        <v>-</v>
      </c>
      <c r="AB53" s="263">
        <f>IFERROR(ROUND(VLOOKUP($H$2,'23年度'!$B$6:$GI$52,106,0)/1000,0),"-")</f>
        <v>254389</v>
      </c>
      <c r="AC53" s="262">
        <f>IFERROR(ROUND(VLOOKUP($H$2,'24年度'!$B$6:$GI$52,106,0)/1000,0),"-")</f>
        <v>263605</v>
      </c>
      <c r="AD53" s="262">
        <f>IFERROR(ROUND(VLOOKUP($H$2,'25年度'!$B$6:$GI$52,106,0)/1000,0),"-")</f>
        <v>290417</v>
      </c>
      <c r="AE53" s="262">
        <f>IFERROR(ROUND(VLOOKUP($H$2,'26年度'!$B$6:$GI$52,106,0)/1000,0),"-")</f>
        <v>324779</v>
      </c>
      <c r="AF53" s="261">
        <f>IFERROR(ROUND(VLOOKUP($H$2,'27年度'!$B$6:$GI$52,106,0)/1000,0),"-")</f>
        <v>326777</v>
      </c>
      <c r="AG53" s="261">
        <f>IFERROR(ROUND(VLOOKUP($H$2,'28年度'!$B$6:$GI$52,106,0)/1000,0),"-")</f>
        <v>305653</v>
      </c>
      <c r="AH53" s="263">
        <f>IFERROR(ROUND(VLOOKUP($H$2,'29年度'!$B$6:$GI$52,106,0)/1000,0),"-")</f>
        <v>352731</v>
      </c>
      <c r="AI53" s="262">
        <f>IFERROR(ROUND(VLOOKUP($H$2,'30年度'!$B$6:$GI$52,106,0)/1000,0),"-")</f>
        <v>352279</v>
      </c>
      <c r="AJ53" s="261">
        <f>IFERROR(ROUND(VLOOKUP($H$2,'R1年度'!$B$6:$GJ$52,107,0)/1000,0),"-")</f>
        <v>387113</v>
      </c>
      <c r="AK53" s="261">
        <f>IFERROR(ROUND(VLOOKUP($H$2,'R2年度'!$B$6:$GJ$52,108,0)/1000,0),"-")</f>
        <v>420257</v>
      </c>
      <c r="AL53" s="263">
        <f>IFERROR(ROUND(VLOOKUP($H$2,'R3年度'!$B$6:$GJ$52,108,0)/1000,0),"-")</f>
        <v>442682</v>
      </c>
      <c r="AM53" s="262">
        <f>IFERROR(ROUND(VLOOKUP($H$2,'R4年度'!$B$6:$GJ$52,108,0)/1000,0),"-")</f>
        <v>445325</v>
      </c>
      <c r="AN53" s="261">
        <f>IFERROR(ROUND(VLOOKUP($H$2,'R5年度'!$B$6:$GJ$52,108,0)/1000,0),"-")</f>
        <v>468952</v>
      </c>
      <c r="AO53" s="342">
        <f>IFERROR(ROUND(VLOOKUP($H$2,'R6年度'!$B$6:$GK$52,108,0)/1000,0),"-")</f>
        <v>510501</v>
      </c>
    </row>
    <row r="54" spans="1:41" ht="15" customHeight="1" x14ac:dyDescent="0.15">
      <c r="A54" s="17"/>
      <c r="B54" s="509"/>
      <c r="C54" s="538"/>
      <c r="D54" s="554" t="s">
        <v>305</v>
      </c>
      <c r="E54" s="552"/>
      <c r="F54" s="343" t="str">
        <f>IFERROR(ROUND(VLOOKUP($H$2,'1年度'!$B$6:$GI$50,107,0)/1000,0),"-")</f>
        <v>-</v>
      </c>
      <c r="G54" s="343" t="str">
        <f>IFERROR(ROUND(VLOOKUP($H$2,'2年度'!$B$6:$GI$50,107,0)/1000,0),"-")</f>
        <v>-</v>
      </c>
      <c r="H54" s="343" t="str">
        <f>IFERROR(ROUND(VLOOKUP($H$2,'3年度'!$B$6:$GI$50,107,0)/1000,0),"-")</f>
        <v>-</v>
      </c>
      <c r="I54" s="343" t="str">
        <f>IFERROR(ROUND(VLOOKUP($H$2,'4年度'!$B$6:$GI$50,107,0)/1000,0),"-")</f>
        <v>-</v>
      </c>
      <c r="J54" s="343" t="str">
        <f>IFERROR(ROUND(VLOOKUP($H$2,'5年度'!$B$6:$GI$50,107,0)/1000,0),"-")</f>
        <v>-</v>
      </c>
      <c r="K54" s="343" t="str">
        <f>IFERROR(ROUND(VLOOKUP($H$2,'6年度'!$B$6:$GI$50,107,0)/1000,0),"-")</f>
        <v>-</v>
      </c>
      <c r="L54" s="343" t="str">
        <f>IFERROR(ROUND(VLOOKUP($H$2,'7年度'!$B$6:$GI$50,107,0)/1000,0),"-")</f>
        <v>-</v>
      </c>
      <c r="M54" s="343" t="str">
        <f>IFERROR(ROUND(VLOOKUP($H$2,'8年度'!$B$6:$GI$50,107,0)/1000,0),"-")</f>
        <v>-</v>
      </c>
      <c r="N54" s="343" t="str">
        <f>IFERROR(ROUND(VLOOKUP($H$2,'9年度'!$B$6:$GI$50,107,0)/1000,0),"-")</f>
        <v>-</v>
      </c>
      <c r="O54" s="343" t="str">
        <f>IFERROR(ROUND(VLOOKUP($H$2,'10年度'!$B$6:$GI$50,107,0)/1000,0),"-")</f>
        <v>-</v>
      </c>
      <c r="P54" s="343" t="str">
        <f>IFERROR(ROUND(VLOOKUP($H$2,'11年度'!$B$6:$GI$50,107,0)/1000,0),"-")</f>
        <v>-</v>
      </c>
      <c r="Q54" s="343" t="str">
        <f>IFERROR(ROUND(VLOOKUP($H$2,'12年度'!$B$6:$GI$50,107,0)/1000,0),"-")</f>
        <v>-</v>
      </c>
      <c r="R54" s="343" t="str">
        <f>IFERROR(ROUND(VLOOKUP($H$2,'13年度'!$B$6:$GI$50,107,0)/1000,0),"-")</f>
        <v>-</v>
      </c>
      <c r="S54" s="343" t="str">
        <f>IFERROR(ROUND(VLOOKUP($H$2,'14年度'!$B$6:$GI$50,107,0)/1000,0),"-")</f>
        <v>-</v>
      </c>
      <c r="T54" s="344" t="str">
        <f>IFERROR(ROUND(VLOOKUP($H$2,'15年度'!$B$6:$GI$50,107,0)/1000,0),"-")</f>
        <v>-</v>
      </c>
      <c r="U54" s="343" t="str">
        <f>IFERROR(ROUND(VLOOKUP($H$2,'16年度'!$B$6:$GI$50,107,0)/1000,0),"-")</f>
        <v>-</v>
      </c>
      <c r="V54" s="345" t="str">
        <f>IFERROR(ROUND(VLOOKUP($H$2,'17年度'!$B$6:$GI$50,107,0)/1000,0),"-")</f>
        <v>-</v>
      </c>
      <c r="W54" s="344" t="str">
        <f>IFERROR(ROUND(VLOOKUP($H$2,'18年度'!$B$6:$GI$50,107,0)/1000,0),"-")</f>
        <v>-</v>
      </c>
      <c r="X54" s="344" t="str">
        <f>IFERROR(ROUND(VLOOKUP($H$2,'19年度'!$B$6:$GI$50,107,0)/1000,0),"-")</f>
        <v>-</v>
      </c>
      <c r="Y54" s="344" t="str">
        <f>IFERROR(ROUND(VLOOKUP($H$2,'20年度'!$B$6:$GI$50,107,0)/1000,0),"-")</f>
        <v>-</v>
      </c>
      <c r="Z54" s="344" t="str">
        <f>IFERROR(ROUND(VLOOKUP($H$2,'21年度'!$B$6:$GI$50,107,0)/1000,0),"-")</f>
        <v>-</v>
      </c>
      <c r="AA54" s="343" t="str">
        <f>IFERROR(ROUND(VLOOKUP($H$2,'22年度'!$B$6:$GI$50,107,0)/1000,0),"-")</f>
        <v>-</v>
      </c>
      <c r="AB54" s="345">
        <f>IFERROR(ROUND(VLOOKUP($H$2,'23年度'!$B$6:$GI$52,107,0)/1000,0),"-")</f>
        <v>127078</v>
      </c>
      <c r="AC54" s="344">
        <f>IFERROR(ROUND(VLOOKUP($H$2,'24年度'!$B$6:$GI$52,107,0)/1000,0),"-")</f>
        <v>127208</v>
      </c>
      <c r="AD54" s="344">
        <f>IFERROR(ROUND(VLOOKUP($H$2,'25年度'!$B$6:$GI$52,107,0)/1000,0),"-")</f>
        <v>155904</v>
      </c>
      <c r="AE54" s="344">
        <f>IFERROR(ROUND(VLOOKUP($H$2,'26年度'!$B$6:$GI$52,107,0)/1000,0),"-")</f>
        <v>155989</v>
      </c>
      <c r="AF54" s="343">
        <f>IFERROR(ROUND(VLOOKUP($H$2,'27年度'!$B$6:$GI$52,107,0)/1000,0),"-")</f>
        <v>147163</v>
      </c>
      <c r="AG54" s="343">
        <f>IFERROR(ROUND(VLOOKUP($H$2,'28年度'!$B$6:$GI$52,107,0)/1000,0),"-")</f>
        <v>138038</v>
      </c>
      <c r="AH54" s="345">
        <f>IFERROR(ROUND(VLOOKUP($H$2,'29年度'!$B$6:$GI$52,107,0)/1000,0),"-")</f>
        <v>182255</v>
      </c>
      <c r="AI54" s="344">
        <f>IFERROR(ROUND(VLOOKUP($H$2,'30年度'!$B$6:$GI$52,107,0)/1000,0),"-")</f>
        <v>173809</v>
      </c>
      <c r="AJ54" s="343">
        <f>IFERROR(ROUND(VLOOKUP($H$2,'R1年度'!$B$6:$GJ$52,108,0)/1000,0),"-")</f>
        <v>195942</v>
      </c>
      <c r="AK54" s="343">
        <f>IFERROR(ROUND(VLOOKUP($H$2,'R2年度'!$B$6:$GJ$52,109,0)/1000,0),"-")</f>
        <v>210709</v>
      </c>
      <c r="AL54" s="345">
        <f>IFERROR(ROUND(VLOOKUP($H$2,'R3年度'!$B$6:$GJ$52,109,0)/1000,0),"-")</f>
        <v>222486</v>
      </c>
      <c r="AM54" s="344">
        <f>IFERROR(ROUND(VLOOKUP($H$2,'R4年度'!$B$6:$GJ$52,109,0)/1000,0),"-")</f>
        <v>226734</v>
      </c>
      <c r="AN54" s="343">
        <f>IFERROR(ROUND(VLOOKUP($H$2,'R5年度'!$B$6:$GJ$52,109,0)/1000,0),"-")</f>
        <v>221646</v>
      </c>
      <c r="AO54" s="346">
        <f>IFERROR(ROUND(VLOOKUP($H$2,'R6年度'!$B$6:$GK$52,109,0)/1000,0),"-")</f>
        <v>214919</v>
      </c>
    </row>
    <row r="55" spans="1:41" ht="15" customHeight="1" thickBot="1" x14ac:dyDescent="0.2">
      <c r="A55" s="17"/>
      <c r="B55" s="510"/>
      <c r="C55" s="539"/>
      <c r="D55" s="536" t="s">
        <v>306</v>
      </c>
      <c r="E55" s="537"/>
      <c r="F55" s="347" t="str">
        <f>IFERROR(ROUND(VLOOKUP($H$2,'1年度'!$B$6:$GI$50,108,0)/1000,0),"-")</f>
        <v>-</v>
      </c>
      <c r="G55" s="347" t="str">
        <f>IFERROR(ROUND(VLOOKUP($H$2,'2年度'!$B$6:$GI$50,108,0)/1000,0),"-")</f>
        <v>-</v>
      </c>
      <c r="H55" s="347" t="str">
        <f>IFERROR(ROUND(VLOOKUP($H$2,'3年度'!$B$6:$GI$50,108,0)/1000,0),"-")</f>
        <v>-</v>
      </c>
      <c r="I55" s="347" t="str">
        <f>IFERROR(ROUND(VLOOKUP($H$2,'4年度'!$B$6:$GI$50,108,0)/1000,0),"-")</f>
        <v>-</v>
      </c>
      <c r="J55" s="347" t="str">
        <f>IFERROR(ROUND(VLOOKUP($H$2,'5年度'!$B$6:$GI$50,108,0)/1000,0),"-")</f>
        <v>-</v>
      </c>
      <c r="K55" s="347" t="str">
        <f>IFERROR(ROUND(VLOOKUP($H$2,'6年度'!$B$6:$GI$50,108,0)/1000,0),"-")</f>
        <v>-</v>
      </c>
      <c r="L55" s="347" t="str">
        <f>IFERROR(ROUND(VLOOKUP($H$2,'7年度'!$B$6:$GI$50,108,0)/1000,0),"-")</f>
        <v>-</v>
      </c>
      <c r="M55" s="347" t="str">
        <f>IFERROR(ROUND(VLOOKUP($H$2,'8年度'!$B$6:$GI$50,108,0)/1000,0),"-")</f>
        <v>-</v>
      </c>
      <c r="N55" s="347" t="str">
        <f>IFERROR(ROUND(VLOOKUP($H$2,'9年度'!$B$6:$GI$50,108,0)/1000,0),"-")</f>
        <v>-</v>
      </c>
      <c r="O55" s="347" t="str">
        <f>IFERROR(ROUND(VLOOKUP($H$2,'10年度'!$B$6:$GI$50,108,0)/1000,0),"-")</f>
        <v>-</v>
      </c>
      <c r="P55" s="347" t="str">
        <f>IFERROR(ROUND(VLOOKUP($H$2,'11年度'!$B$6:$GI$50,108,0)/1000,0),"-")</f>
        <v>-</v>
      </c>
      <c r="Q55" s="347" t="str">
        <f>IFERROR(ROUND(VLOOKUP($H$2,'12年度'!$B$6:$GI$50,108,0)/1000,0),"-")</f>
        <v>-</v>
      </c>
      <c r="R55" s="347" t="str">
        <f>IFERROR(ROUND(VLOOKUP($H$2,'13年度'!$B$6:$GI$50,108,0)/1000,0),"-")</f>
        <v>-</v>
      </c>
      <c r="S55" s="347" t="str">
        <f>IFERROR(ROUND(VLOOKUP($H$2,'14年度'!$B$6:$GI$50,108,0)/1000,0),"-")</f>
        <v>-</v>
      </c>
      <c r="T55" s="348" t="str">
        <f>IFERROR(ROUND(VLOOKUP($H$2,'15年度'!$B$6:$GI$50,108,0)/1000,0),"-")</f>
        <v>-</v>
      </c>
      <c r="U55" s="347" t="str">
        <f>IFERROR(ROUND(VLOOKUP($H$2,'16年度'!$B$6:$GI$50,108,0)/1000,0),"-")</f>
        <v>-</v>
      </c>
      <c r="V55" s="349" t="str">
        <f>IFERROR(ROUND(VLOOKUP($H$2,'17年度'!$B$6:$GI$50,108,0)/1000,0),"-")</f>
        <v>-</v>
      </c>
      <c r="W55" s="348" t="str">
        <f>IFERROR(ROUND(VLOOKUP($H$2,'18年度'!$B$6:$GI$50,108,0)/1000,0),"-")</f>
        <v>-</v>
      </c>
      <c r="X55" s="348" t="str">
        <f>IFERROR(ROUND(VLOOKUP($H$2,'19年度'!$B$6:$GI$50,108,0)/1000,0),"-")</f>
        <v>-</v>
      </c>
      <c r="Y55" s="348" t="str">
        <f>IFERROR(ROUND(VLOOKUP($H$2,'20年度'!$B$6:$GI$50,108,0)/1000,0),"-")</f>
        <v>-</v>
      </c>
      <c r="Z55" s="348" t="str">
        <f>IFERROR(ROUND(VLOOKUP($H$2,'21年度'!$B$6:$GI$50,108,0)/1000,0),"-")</f>
        <v>-</v>
      </c>
      <c r="AA55" s="347" t="str">
        <f>IFERROR(ROUND(VLOOKUP($H$2,'22年度'!$B$6:$GI$50,108,0)/1000,0),"-")</f>
        <v>-</v>
      </c>
      <c r="AB55" s="349">
        <f>IFERROR(ROUND(VLOOKUP($H$2,'23年度'!$B$6:$GI$52,108,0)/1000,0),"-")</f>
        <v>120441</v>
      </c>
      <c r="AC55" s="348">
        <f>IFERROR(ROUND(VLOOKUP($H$2,'24年度'!$B$6:$GI$52,108,0)/1000,0),"-")</f>
        <v>130070</v>
      </c>
      <c r="AD55" s="348">
        <f>IFERROR(ROUND(VLOOKUP($H$2,'25年度'!$B$6:$GI$52,108,0)/1000,0),"-")</f>
        <v>127064</v>
      </c>
      <c r="AE55" s="348">
        <f>IFERROR(ROUND(VLOOKUP($H$2,'26年度'!$B$6:$GI$52,108,0)/1000,0),"-")</f>
        <v>160194</v>
      </c>
      <c r="AF55" s="347">
        <f>IFERROR(ROUND(VLOOKUP($H$2,'27年度'!$B$6:$GI$52,108,0)/1000,0),"-")</f>
        <v>171908</v>
      </c>
      <c r="AG55" s="347">
        <f>IFERROR(ROUND(VLOOKUP($H$2,'28年度'!$B$6:$GI$52,108,0)/1000,0),"-")</f>
        <v>158239</v>
      </c>
      <c r="AH55" s="349">
        <f>IFERROR(ROUND(VLOOKUP($H$2,'29年度'!$B$6:$GI$52,108,0)/1000,0),"-")</f>
        <v>160884</v>
      </c>
      <c r="AI55" s="348">
        <f>IFERROR(ROUND(VLOOKUP($H$2,'30年度'!$B$6:$GI$52,108,0)/1000,0),"-")</f>
        <v>168295</v>
      </c>
      <c r="AJ55" s="347">
        <f>IFERROR(ROUND(VLOOKUP($H$2,'R1年度'!$B$6:$GJ$52,109,0)/1000,0),"-")</f>
        <v>178016</v>
      </c>
      <c r="AK55" s="347">
        <f>IFERROR(ROUND(VLOOKUP($H$2,'R2年度'!$B$6:$GJ$52,110,0)/1000,0),"-")</f>
        <v>196348</v>
      </c>
      <c r="AL55" s="349">
        <f>IFERROR(ROUND(VLOOKUP($H$2,'R3年度'!$B$6:$GJ$52,110,0)/1000,0),"-")</f>
        <v>207643</v>
      </c>
      <c r="AM55" s="348">
        <f>IFERROR(ROUND(VLOOKUP($H$2,'R4年度'!$B$6:$GJ$52,110,0)/1000,0),"-")</f>
        <v>208614</v>
      </c>
      <c r="AN55" s="347">
        <f>IFERROR(ROUND(VLOOKUP($H$2,'R5年度'!$B$6:$GJ$52,110,0)/1000,0),"-")</f>
        <v>238142</v>
      </c>
      <c r="AO55" s="350">
        <f>IFERROR(ROUND(VLOOKUP($H$2,'R6年度'!$B$6:$GK$52,110,0)/1000,0),"-")</f>
        <v>287327</v>
      </c>
    </row>
    <row r="56" spans="1:41" ht="15" customHeight="1" x14ac:dyDescent="0.15">
      <c r="A56" s="17"/>
      <c r="B56" s="508" t="s">
        <v>307</v>
      </c>
      <c r="C56" s="167" t="s">
        <v>308</v>
      </c>
      <c r="D56" s="167"/>
      <c r="E56" s="167"/>
      <c r="F56" s="311" t="str">
        <f>IFERROR(ROUND(VLOOKUP($H$2,'1年度'!$B$6:$GI$50,178,0)/1000,0),"-")</f>
        <v>-</v>
      </c>
      <c r="G56" s="311" t="str">
        <f>IFERROR(ROUND(VLOOKUP($H$2,'2年度'!$B$6:$GI$50,178,0)/1000,0),"-")</f>
        <v>-</v>
      </c>
      <c r="H56" s="311" t="str">
        <f>IFERROR(ROUND(VLOOKUP($H$2,'3年度'!$B$6:$GI$50,178,0)/1000,0),"-")</f>
        <v>-</v>
      </c>
      <c r="I56" s="311" t="str">
        <f>IFERROR(ROUND(VLOOKUP($H$2,'4年度'!$B$6:$GI$50,178,0)/1000,0),"-")</f>
        <v>-</v>
      </c>
      <c r="J56" s="311" t="str">
        <f>IFERROR(ROUND(VLOOKUP($H$2,'5年度'!$B$6:$GI$50,178,0)/1000,0),"-")</f>
        <v>-</v>
      </c>
      <c r="K56" s="311" t="str">
        <f>IFERROR(ROUND(VLOOKUP($H$2,'6年度'!$B$6:$GI$50,178,0)/1000,0),"-")</f>
        <v>-</v>
      </c>
      <c r="L56" s="311" t="str">
        <f>IFERROR(ROUND(VLOOKUP($H$2,'7年度'!$B$6:$GI$50,178,0)/1000,0),"-")</f>
        <v>-</v>
      </c>
      <c r="M56" s="311" t="str">
        <f>IFERROR(ROUND(VLOOKUP($H$2,'8年度'!$B$6:$GI$50,178,0)/1000,0),"-")</f>
        <v>-</v>
      </c>
      <c r="N56" s="311" t="str">
        <f>IFERROR(ROUND(VLOOKUP($H$2,'9年度'!$B$6:$GI$50,178,0)/1000,0),"-")</f>
        <v>-</v>
      </c>
      <c r="O56" s="311" t="str">
        <f>IFERROR(ROUND(VLOOKUP($H$2,'10年度'!$B$6:$GI$50,178,0)/1000,0),"-")</f>
        <v>-</v>
      </c>
      <c r="P56" s="311" t="str">
        <f>IFERROR(ROUND(VLOOKUP($H$2,'11年度'!$B$6:$GI$50,178,0)/1000,0),"-")</f>
        <v>-</v>
      </c>
      <c r="Q56" s="311" t="str">
        <f>IFERROR(ROUND(VLOOKUP($H$2,'12年度'!$B$6:$GI$50,178,0)/1000,0),"-")</f>
        <v>-</v>
      </c>
      <c r="R56" s="311" t="str">
        <f>IFERROR(ROUND(VLOOKUP($H$2,'13年度'!$B$6:$GI$50,178,0)/1000,0),"-")</f>
        <v>-</v>
      </c>
      <c r="S56" s="311" t="str">
        <f>IFERROR(ROUND(VLOOKUP($H$2,'14年度'!$B$6:$GI$50,178,0)/1000,0),"-")</f>
        <v>-</v>
      </c>
      <c r="T56" s="351" t="str">
        <f>IFERROR(ROUND(VLOOKUP($H$2,'15年度'!$B$6:$GI$50,178,0)/1000,0),"-")</f>
        <v>-</v>
      </c>
      <c r="U56" s="311" t="str">
        <f>IFERROR(ROUND(VLOOKUP($H$2,'16年度'!$B$6:$GI$50,178,0)/1000,0),"-")</f>
        <v>-</v>
      </c>
      <c r="V56" s="352" t="str">
        <f>IFERROR(ROUND(VLOOKUP($H$2,'17年度'!$B$6:$GI$50,178,0)/1000,0),"-")</f>
        <v>-</v>
      </c>
      <c r="W56" s="351" t="str">
        <f>IFERROR(ROUND(VLOOKUP($H$2,'18年度'!$B$6:$GI$50,178,0)/1000,0),"-")</f>
        <v>-</v>
      </c>
      <c r="X56" s="351" t="str">
        <f>IFERROR(ROUND(VLOOKUP($H$2,'19年度'!$B$6:$GI$50,178,0)/1000,0),"-")</f>
        <v>-</v>
      </c>
      <c r="Y56" s="351" t="str">
        <f>IFERROR(ROUND(VLOOKUP($H$2,'20年度'!$B$6:$GI$50,178,0)/1000,0),"-")</f>
        <v>-</v>
      </c>
      <c r="Z56" s="351" t="str">
        <f>IFERROR(ROUND(VLOOKUP($H$2,'21年度'!$B$6:$GI$50,178,0)/1000,0),"-")</f>
        <v>-</v>
      </c>
      <c r="AA56" s="311" t="str">
        <f>IFERROR(ROUND(VLOOKUP($H$2,'22年度'!$B$6:$GI$50,178,0)/1000,0),"-")</f>
        <v>-</v>
      </c>
      <c r="AB56" s="352">
        <f>IFERROR(ROUND(VLOOKUP($H$2,'23年度'!$B$6:$GI$52,178,0)/1000,0),"-")</f>
        <v>4600049</v>
      </c>
      <c r="AC56" s="351">
        <f>IFERROR(ROUND(VLOOKUP($H$2,'24年度'!$B$6:$GI$52,178,0)/1000,0),"-")</f>
        <v>4544979</v>
      </c>
      <c r="AD56" s="351">
        <f>IFERROR(ROUND(VLOOKUP($H$2,'25年度'!$B$6:$GI$52,178,0)/1000,0),"-")</f>
        <v>4506689</v>
      </c>
      <c r="AE56" s="351">
        <f>IFERROR(ROUND(VLOOKUP($H$2,'26年度'!$B$6:$GI$52,178,0)/1000,0),"-")</f>
        <v>4423642</v>
      </c>
      <c r="AF56" s="311">
        <f>IFERROR(ROUND(VLOOKUP($H$2,'27年度'!$B$6:$GI$52,178,0)/1000,0),"-")</f>
        <v>4294609</v>
      </c>
      <c r="AG56" s="311">
        <f>IFERROR(ROUND(VLOOKUP($H$2,'28年度'!$B$6:$GI$52,178,0)/1000,0),"-")</f>
        <v>4142904</v>
      </c>
      <c r="AH56" s="352">
        <f>IFERROR(ROUND(VLOOKUP($H$2,'29年度'!$B$6:$GI$52,178,0)/1000,0),"-")</f>
        <v>4051397</v>
      </c>
      <c r="AI56" s="351">
        <f>IFERROR(ROUND(VLOOKUP($H$2,'30年度'!$B$6:$GI$52,178,0)/1000,0),"-")</f>
        <v>3920851</v>
      </c>
      <c r="AJ56" s="311">
        <f>IFERROR(ROUND(VLOOKUP($H$2,'R1年度'!$B$6:$GJ$52,179,0)/1000,0),"-")</f>
        <v>3828126</v>
      </c>
      <c r="AK56" s="311">
        <f>IFERROR(ROUND(VLOOKUP($H$2,'R2年度'!$B$6:$GJ$52,180,0)/1000,0),"-")</f>
        <v>3770305</v>
      </c>
      <c r="AL56" s="352">
        <f>IFERROR(ROUND(VLOOKUP($H$2,'R3年度'!$B$6:$GJ$52,180,0)/1000,0),"-")</f>
        <v>3723723</v>
      </c>
      <c r="AM56" s="351">
        <f>IFERROR(ROUND(VLOOKUP($H$2,'R4年度'!$B$6:$GJ$52,180,0)/1000,0),"-")</f>
        <v>3584541</v>
      </c>
      <c r="AN56" s="311">
        <f>IFERROR(ROUND(VLOOKUP($H$2,'R5年度'!$B$6:$GJ$52,180,0)/1000,0),"-")</f>
        <v>3432847</v>
      </c>
      <c r="AO56" s="353">
        <f>IFERROR(ROUND(VLOOKUP($H$2,'R6年度'!$B$6:$GK$52,180,0)/1000,0),"-")</f>
        <v>3343080</v>
      </c>
    </row>
    <row r="57" spans="1:41" ht="15" customHeight="1" x14ac:dyDescent="0.15">
      <c r="A57" s="17"/>
      <c r="B57" s="509"/>
      <c r="C57" s="542"/>
      <c r="E57" s="18" t="s">
        <v>309</v>
      </c>
      <c r="F57" s="354" t="str">
        <f>IFERROR(VLOOKUP($H$2,'1年度'!$B$6:$GI$50,179,0),"-")</f>
        <v>-</v>
      </c>
      <c r="G57" s="354" t="str">
        <f>IFERROR(VLOOKUP($H$2,'2年度'!$B$6:$GI$50,179,0),"-")</f>
        <v>-</v>
      </c>
      <c r="H57" s="354" t="str">
        <f>IFERROR(VLOOKUP($H$2,'3年度'!$B$6:$GI$50,179,0),"-")</f>
        <v>-</v>
      </c>
      <c r="I57" s="354" t="str">
        <f>IFERROR(VLOOKUP($H$2,'4年度'!$B$6:$GI$50,179,0),"-")</f>
        <v>-</v>
      </c>
      <c r="J57" s="354" t="str">
        <f>IFERROR(VLOOKUP($H$2,'5年度'!$B$6:$GI$50,179,0),"-")</f>
        <v>-</v>
      </c>
      <c r="K57" s="354" t="str">
        <f>IFERROR(VLOOKUP($H$2,'6年度'!$B$6:$GI$50,179,0),"-")</f>
        <v>-</v>
      </c>
      <c r="L57" s="354" t="str">
        <f>IFERROR(VLOOKUP($H$2,'7年度'!$B$6:$GI$50,179,0),"-")</f>
        <v>-</v>
      </c>
      <c r="M57" s="354" t="str">
        <f>IFERROR(VLOOKUP($H$2,'8年度'!$B$6:$GI$50,179,0),"-")</f>
        <v>-</v>
      </c>
      <c r="N57" s="354" t="str">
        <f>IFERROR(VLOOKUP($H$2,'9年度'!$B$6:$GI$50,179,0),"-")</f>
        <v>-</v>
      </c>
      <c r="O57" s="354" t="str">
        <f>IFERROR(VLOOKUP($H$2,'10年度'!$B$6:$GI$50,179,0),"-")</f>
        <v>-</v>
      </c>
      <c r="P57" s="354" t="str">
        <f>IFERROR(VLOOKUP($H$2,'11年度'!$B$6:$GI$50,179,0),"-")</f>
        <v>-</v>
      </c>
      <c r="Q57" s="354" t="str">
        <f>IFERROR(VLOOKUP($H$2,'12年度'!$B$6:$GI$50,179,0),"-")</f>
        <v>-</v>
      </c>
      <c r="R57" s="354" t="str">
        <f>IFERROR(VLOOKUP($H$2,'13年度'!$B$6:$GI$50,179,0),"-")</f>
        <v>-</v>
      </c>
      <c r="S57" s="354" t="str">
        <f>IFERROR(VLOOKUP($H$2,'14年度'!$B$6:$GI$50,179,0),"-")</f>
        <v>-</v>
      </c>
      <c r="T57" s="355" t="str">
        <f>IFERROR(VLOOKUP($H$2,'15年度'!$B$6:$GI$50,179,0),"-")</f>
        <v>-</v>
      </c>
      <c r="U57" s="354" t="str">
        <f>IFERROR(VLOOKUP($H$2,'16年度'!$B$6:$GI$50,179,0),"-")</f>
        <v>-</v>
      </c>
      <c r="V57" s="356" t="str">
        <f>IFERROR(VLOOKUP($H$2,'17年度'!$B$6:$GI$50,179,0),"-")</f>
        <v>-</v>
      </c>
      <c r="W57" s="355" t="str">
        <f>IFERROR(VLOOKUP($H$2,'18年度'!$B$6:$GI$50,179,0),"-")</f>
        <v>-</v>
      </c>
      <c r="X57" s="355" t="str">
        <f>IFERROR(VLOOKUP($H$2,'19年度'!$B$6:$GI$50,179,0),"-")</f>
        <v>-</v>
      </c>
      <c r="Y57" s="355" t="str">
        <f>IFERROR(VLOOKUP($H$2,'20年度'!$B$6:$GI$50,179,0),"-")</f>
        <v>-</v>
      </c>
      <c r="Z57" s="355" t="str">
        <f>IFERROR(VLOOKUP($H$2,'21年度'!$B$6:$GI$50,179,0),"-")</f>
        <v>-</v>
      </c>
      <c r="AA57" s="354" t="str">
        <f>IFERROR(VLOOKUP($H$2,'22年度'!$B$6:$GI$50,179,0),"-")</f>
        <v>-</v>
      </c>
      <c r="AB57" s="356">
        <f>IFERROR(VLOOKUP($H$2,'23年度'!$B$6:$GI$52,179,0),"-")</f>
        <v>234.1</v>
      </c>
      <c r="AC57" s="355">
        <f>IFERROR(VLOOKUP($H$2,'24年度'!$B$6:$GI$52,179,0),"-")</f>
        <v>229.3</v>
      </c>
      <c r="AD57" s="355">
        <f>IFERROR(VLOOKUP($H$2,'25年度'!$B$6:$GI$52,179,0),"-")</f>
        <v>224.5</v>
      </c>
      <c r="AE57" s="355">
        <f>IFERROR(VLOOKUP($H$2,'26年度'!$B$6:$GI$52,179,0),"-")</f>
        <v>220.1</v>
      </c>
      <c r="AF57" s="354">
        <f>IFERROR(VLOOKUP($H$2,'27年度'!$B$6:$GI$52,179,0),"-")</f>
        <v>212.1</v>
      </c>
      <c r="AG57" s="354">
        <f>IFERROR(VLOOKUP($H$2,'28年度'!$B$6:$GI$52,179,0),"-")</f>
        <v>204.9</v>
      </c>
      <c r="AH57" s="356">
        <f>IFERROR(VLOOKUP($H$2,'29年度'!$B$6:$GI$52,179,0),"-")</f>
        <v>188.9</v>
      </c>
      <c r="AI57" s="355">
        <f>IFERROR(VLOOKUP($H$2,'30年度'!$B$6:$GI$52,179,0),"-")</f>
        <v>181.6</v>
      </c>
      <c r="AJ57" s="354">
        <f>IFERROR(VLOOKUP($H$2,'R1年度'!$B$6:$GJ$52,180,0),"-")</f>
        <v>176.6</v>
      </c>
      <c r="AK57" s="354">
        <f>IFERROR(VLOOKUP($H$2,'R2年度'!$B$6:$GJ$52,181,0),"-")</f>
        <v>170.3</v>
      </c>
      <c r="AL57" s="356">
        <f>IFERROR(VLOOKUP($H$2,'R3年度'!$B$6:$GJ$52,181,0),"-")</f>
        <v>161</v>
      </c>
      <c r="AM57" s="355">
        <f>IFERROR(VLOOKUP($H$2,'R4年度'!$B$6:$GJ$52,181,0),"-")</f>
        <v>158.6</v>
      </c>
      <c r="AN57" s="354">
        <f>IFERROR(VLOOKUP($H$2,'R5年度'!$B$6:$GJ$52,181,0),"-")</f>
        <v>148.9</v>
      </c>
      <c r="AO57" s="357">
        <f>IFERROR(VLOOKUP($H$2,'R6年度'!$B$6:$GK$52,181,0),"-")</f>
        <v>141.4</v>
      </c>
    </row>
    <row r="58" spans="1:41" ht="15" customHeight="1" thickBot="1" x14ac:dyDescent="0.2">
      <c r="A58" s="17"/>
      <c r="B58" s="510"/>
      <c r="C58" s="543"/>
      <c r="D58" s="545" t="s">
        <v>310</v>
      </c>
      <c r="E58" s="546"/>
      <c r="F58" s="358" t="str">
        <f>IFERROR(ROUND(VLOOKUP($H$2,'1年度'!$B$6:$GI$50,65,0)/1000,0),"-")</f>
        <v>-</v>
      </c>
      <c r="G58" s="358" t="str">
        <f>IFERROR(ROUND(VLOOKUP($H$2,'2年度'!$B$6:$GI$50,65,0)/1000,0),"-")</f>
        <v>-</v>
      </c>
      <c r="H58" s="358" t="str">
        <f>IFERROR(ROUND(VLOOKUP($H$2,'3年度'!$B$6:$GI$50,65,0)/1000,0),"-")</f>
        <v>-</v>
      </c>
      <c r="I58" s="358" t="str">
        <f>IFERROR(ROUND(VLOOKUP($H$2,'4年度'!$B$6:$GI$50,65,0)/1000,0),"-")</f>
        <v>-</v>
      </c>
      <c r="J58" s="358" t="str">
        <f>IFERROR(ROUND(VLOOKUP($H$2,'5年度'!$B$6:$GI$50,65,0)/1000,0),"-")</f>
        <v>-</v>
      </c>
      <c r="K58" s="358" t="str">
        <f>IFERROR(ROUND(VLOOKUP($H$2,'6年度'!$B$6:$GI$50,65,0)/1000,0),"-")</f>
        <v>-</v>
      </c>
      <c r="L58" s="358" t="str">
        <f>IFERROR(ROUND(VLOOKUP($H$2,'7年度'!$B$6:$GI$50,65,0)/1000,0),"-")</f>
        <v>-</v>
      </c>
      <c r="M58" s="358" t="str">
        <f>IFERROR(ROUND(VLOOKUP($H$2,'8年度'!$B$6:$GI$50,65,0)/1000,0),"-")</f>
        <v>-</v>
      </c>
      <c r="N58" s="358" t="str">
        <f>IFERROR(ROUND(VLOOKUP($H$2,'9年度'!$B$6:$GI$50,65,0)/1000,0),"-")</f>
        <v>-</v>
      </c>
      <c r="O58" s="358" t="str">
        <f>IFERROR(ROUND(VLOOKUP($H$2,'10年度'!$B$6:$GI$50,65,0)/1000,0),"-")</f>
        <v>-</v>
      </c>
      <c r="P58" s="358" t="str">
        <f>IFERROR(ROUND(VLOOKUP($H$2,'11年度'!$B$6:$GI$50,65,0)/1000,0),"-")</f>
        <v>-</v>
      </c>
      <c r="Q58" s="358" t="str">
        <f>IFERROR(ROUND(VLOOKUP($H$2,'12年度'!$B$6:$GI$50,65,0)/1000,0),"-")</f>
        <v>-</v>
      </c>
      <c r="R58" s="358" t="str">
        <f>IFERROR(ROUND(VLOOKUP($H$2,'13年度'!$B$6:$GI$50,65,0)/1000,0),"-")</f>
        <v>-</v>
      </c>
      <c r="S58" s="358" t="str">
        <f>IFERROR(ROUND(VLOOKUP($H$2,'14年度'!$B$6:$GI$50,65,0)/1000,0),"-")</f>
        <v>-</v>
      </c>
      <c r="T58" s="359" t="str">
        <f>IFERROR(ROUND(VLOOKUP($H$2,'15年度'!$B$6:$GI$50,65,0)/1000,0),"-")</f>
        <v>-</v>
      </c>
      <c r="U58" s="358" t="str">
        <f>IFERROR(ROUND(VLOOKUP($H$2,'16年度'!$B$6:$GI$50,65,0)/1000,0),"-")</f>
        <v>-</v>
      </c>
      <c r="V58" s="360" t="str">
        <f>IFERROR(ROUND(VLOOKUP($H$2,'17年度'!$B$6:$GI$50,65,0)/1000,0),"-")</f>
        <v>-</v>
      </c>
      <c r="W58" s="359" t="str">
        <f>IFERROR(ROUND(VLOOKUP($H$2,'18年度'!$B$6:$GI$50,65,0)/1000,0),"-")</f>
        <v>-</v>
      </c>
      <c r="X58" s="359" t="str">
        <f>IFERROR(ROUND(VLOOKUP($H$2,'19年度'!$B$6:$GI$50,65,0)/1000,0),"-")</f>
        <v>-</v>
      </c>
      <c r="Y58" s="359" t="str">
        <f>IFERROR(ROUND(VLOOKUP($H$2,'20年度'!$B$6:$GI$50,65,0)/1000,0),"-")</f>
        <v>-</v>
      </c>
      <c r="Z58" s="359" t="str">
        <f>IFERROR(ROUND(VLOOKUP($H$2,'21年度'!$B$6:$GI$50,65,0)/1000,0),"-")</f>
        <v>-</v>
      </c>
      <c r="AA58" s="358" t="str">
        <f>IFERROR(ROUND(VLOOKUP($H$2,'22年度'!$B$6:$GI$50,65,0)/1000,0),"-")</f>
        <v>-</v>
      </c>
      <c r="AB58" s="360">
        <f>IFERROR(ROUND(VLOOKUP($H$2,'23年度'!$B$6:$GI$52,65,0)/1000,0),"-")</f>
        <v>350629</v>
      </c>
      <c r="AC58" s="359">
        <f>IFERROR(ROUND(VLOOKUP($H$2,'24年度'!$B$6:$GI$52,65,0)/1000,0),"-")</f>
        <v>336437</v>
      </c>
      <c r="AD58" s="359">
        <f>IFERROR(ROUND(VLOOKUP($H$2,'25年度'!$B$6:$GI$52,65,0)/1000,0),"-")</f>
        <v>382063</v>
      </c>
      <c r="AE58" s="359">
        <f>IFERROR(ROUND(VLOOKUP($H$2,'26年度'!$B$6:$GI$52,65,0)/1000,0),"-")</f>
        <v>326591</v>
      </c>
      <c r="AF58" s="358">
        <f>IFERROR(ROUND(VLOOKUP($H$2,'27年度'!$B$6:$GI$52,65,0)/1000,0),"-")</f>
        <v>296681</v>
      </c>
      <c r="AG58" s="358">
        <f>IFERROR(ROUND(VLOOKUP($H$2,'28年度'!$B$6:$GI$52,65,0)/1000,0),"-")</f>
        <v>267761</v>
      </c>
      <c r="AH58" s="360">
        <f>IFERROR(ROUND(VLOOKUP($H$2,'29年度'!$B$6:$GI$52,65,0)/1000,0),"-")</f>
        <v>317241</v>
      </c>
      <c r="AI58" s="359">
        <f>IFERROR(ROUND(VLOOKUP($H$2,'30年度'!$B$6:$GI$52,65,0)/1000,0),"-")</f>
        <v>314377</v>
      </c>
      <c r="AJ58" s="358">
        <f>IFERROR(ROUND(VLOOKUP($H$2,'R1年度'!$B$6:$GJ$52,66,0)/1000,0),"-")</f>
        <v>288242</v>
      </c>
      <c r="AK58" s="358">
        <f>IFERROR(ROUND(VLOOKUP($H$2,'R2年度'!$B$6:$GJ$52,67,0)/1000,0),"-")</f>
        <v>301518</v>
      </c>
      <c r="AL58" s="360">
        <f>IFERROR(ROUND(VLOOKUP($H$2,'R3年度'!$B$6:$GJ$52,67,0)/1000,0),"-")</f>
        <v>332009</v>
      </c>
      <c r="AM58" s="359">
        <f>IFERROR(ROUND(VLOOKUP($H$2,'R4年度'!$B$6:$GJ$52,67,0)/1000,0),"-")</f>
        <v>234940</v>
      </c>
      <c r="AN58" s="358">
        <f>IFERROR(ROUND(VLOOKUP($H$2,'R5年度'!$B$6:$GJ$52,67,0)/1000,0),"-")</f>
        <v>250178</v>
      </c>
      <c r="AO58" s="310">
        <f>IFERROR(ROUND(VLOOKUP($H$2,'R6年度'!$B$6:$GK$52,67,0)/1000,0),"-")</f>
        <v>287178</v>
      </c>
    </row>
    <row r="59" spans="1:41" ht="15" customHeight="1" x14ac:dyDescent="0.15">
      <c r="A59" s="17"/>
      <c r="B59" s="508" t="s">
        <v>311</v>
      </c>
      <c r="C59" s="167" t="s">
        <v>312</v>
      </c>
      <c r="D59" s="162"/>
      <c r="E59" s="162"/>
      <c r="F59" s="261" t="str">
        <f>IFERROR(ROUND((VLOOKUP($H$2,'1年度'!$B$6:$GI$50,180,0))/1000,0),"-")</f>
        <v>-</v>
      </c>
      <c r="G59" s="261" t="str">
        <f>IFERROR(ROUND((VLOOKUP($H$2,'2年度'!$B$6:$GI$50,180,0))/1000,0),"-")</f>
        <v>-</v>
      </c>
      <c r="H59" s="261" t="str">
        <f>IFERROR(ROUND((VLOOKUP($H$2,'3年度'!$B$6:$GI$50,180,0))/1000,0),"-")</f>
        <v>-</v>
      </c>
      <c r="I59" s="261" t="str">
        <f>IFERROR(ROUND((VLOOKUP($H$2,'4年度'!$B$6:$GI$50,180,0))/1000,0),"-")</f>
        <v>-</v>
      </c>
      <c r="J59" s="261" t="str">
        <f>IFERROR(ROUND((VLOOKUP($H$2,'5年度'!$B$6:$GI$50,180,0))/1000,0),"-")</f>
        <v>-</v>
      </c>
      <c r="K59" s="261" t="str">
        <f>IFERROR(ROUND((VLOOKUP($H$2,'6年度'!$B$6:$GI$50,180,0))/1000,0),"-")</f>
        <v>-</v>
      </c>
      <c r="L59" s="261" t="str">
        <f>IFERROR(ROUND((VLOOKUP($H$2,'7年度'!$B$6:$GI$50,180,0))/1000,0),"-")</f>
        <v>-</v>
      </c>
      <c r="M59" s="261" t="str">
        <f>IFERROR(ROUND((VLOOKUP($H$2,'8年度'!$B$6:$GI$50,180,0))/1000,0),"-")</f>
        <v>-</v>
      </c>
      <c r="N59" s="261" t="str">
        <f>IFERROR(ROUND((VLOOKUP($H$2,'9年度'!$B$6:$GI$50,180,0))/1000,0),"-")</f>
        <v>-</v>
      </c>
      <c r="O59" s="261" t="str">
        <f>IFERROR(ROUND((VLOOKUP($H$2,'10年度'!$B$6:$GI$50,180,0))/1000,0),"-")</f>
        <v>-</v>
      </c>
      <c r="P59" s="261" t="str">
        <f>IFERROR(ROUND((VLOOKUP($H$2,'11年度'!$B$6:$GI$50,180,0))/1000,0),"-")</f>
        <v>-</v>
      </c>
      <c r="Q59" s="261" t="str">
        <f>IFERROR(ROUND((VLOOKUP($H$2,'12年度'!$B$6:$GI$50,180,0))/1000,0),"-")</f>
        <v>-</v>
      </c>
      <c r="R59" s="261" t="str">
        <f>IFERROR(ROUND((VLOOKUP($H$2,'13年度'!$B$6:$GI$50,180,0))/1000,0),"-")</f>
        <v>-</v>
      </c>
      <c r="S59" s="261" t="str">
        <f>IFERROR(ROUND((VLOOKUP($H$2,'14年度'!$B$6:$GI$50,180,0))/1000,0),"-")</f>
        <v>-</v>
      </c>
      <c r="T59" s="262" t="str">
        <f>IFERROR(ROUND((VLOOKUP($H$2,'15年度'!$B$6:$GI$50,180,0))/1000,0),"-")</f>
        <v>-</v>
      </c>
      <c r="U59" s="261" t="str">
        <f>IFERROR(ROUND((VLOOKUP($H$2,'16年度'!$B$6:$GI$50,180,0))/1000,0),"-")</f>
        <v>-</v>
      </c>
      <c r="V59" s="263" t="str">
        <f>IFERROR(ROUND((VLOOKUP($H$2,'17年度'!$B$6:$GI$50,180,0))/1000,0),"-")</f>
        <v>-</v>
      </c>
      <c r="W59" s="262" t="str">
        <f>IFERROR(ROUND((VLOOKUP($H$2,'18年度'!$B$6:$GI$50,180,0))/1000,0),"-")</f>
        <v>-</v>
      </c>
      <c r="X59" s="262" t="str">
        <f>IFERROR(ROUND((VLOOKUP($H$2,'19年度'!$B$6:$GI$50,180,0))/1000,0),"-")</f>
        <v>-</v>
      </c>
      <c r="Y59" s="262" t="str">
        <f>IFERROR(ROUND((VLOOKUP($H$2,'20年度'!$B$6:$GI$50,180,0))/1000,0),"-")</f>
        <v>-</v>
      </c>
      <c r="Z59" s="262" t="str">
        <f>IFERROR(ROUND((VLOOKUP($H$2,'21年度'!$B$6:$GI$50,180,0))/1000,0),"-")</f>
        <v>-</v>
      </c>
      <c r="AA59" s="261" t="str">
        <f>IFERROR(ROUND((VLOOKUP($H$2,'22年度'!$B$6:$GI$50,180,0))/1000,0),"-")</f>
        <v>-</v>
      </c>
      <c r="AB59" s="263">
        <f>IFERROR(ROUND((VLOOKUP($H$2,'23年度'!$B$6:$GI$52,180,0))/1000,0),"-")</f>
        <v>483214</v>
      </c>
      <c r="AC59" s="262">
        <f>IFERROR(ROUND((VLOOKUP($H$2,'24年度'!$B$6:$GI$52,180,0))/1000,0),"-")</f>
        <v>536872</v>
      </c>
      <c r="AD59" s="262">
        <f>IFERROR(ROUND((VLOOKUP($H$2,'25年度'!$B$6:$GI$52,180,0))/1000,0),"-")</f>
        <v>589816</v>
      </c>
      <c r="AE59" s="262">
        <f>IFERROR(ROUND((VLOOKUP($H$2,'26年度'!$B$6:$GI$52,180,0))/1000,0),"-")</f>
        <v>586694</v>
      </c>
      <c r="AF59" s="261">
        <f>IFERROR(ROUND((VLOOKUP($H$2,'27年度'!$B$6:$GI$52,180,0))/1000,0),"-")</f>
        <v>623980</v>
      </c>
      <c r="AG59" s="261">
        <f>IFERROR(ROUND(VLOOKUP($H$2,'28年度'!$B$6:$GI$52,180,0)/1000,0),"-")</f>
        <v>604087</v>
      </c>
      <c r="AH59" s="263">
        <f>IFERROR(ROUND(VLOOKUP($H$2,'29年度'!$B$6:$GI$52,180,0)/1000,0),"-")</f>
        <v>646774</v>
      </c>
      <c r="AI59" s="262">
        <f>IFERROR(ROUND(VLOOKUP($H$2,'30年度'!$B$6:$GI$52,180,0)/1000,0),"-")</f>
        <v>657502</v>
      </c>
      <c r="AJ59" s="261">
        <f>IFERROR(ROUND(VLOOKUP($H$2,'R1年度'!$B$6:$GJ$52,181,0)/1000,0),"-")</f>
        <v>669372</v>
      </c>
      <c r="AK59" s="261">
        <f>IFERROR(ROUND(VLOOKUP($H$2,'R2年度'!$B$6:$GJ$52,182,0)/1000,0),"-")</f>
        <v>696622</v>
      </c>
      <c r="AL59" s="263">
        <f>IFERROR(ROUND(VLOOKUP($H$2,'R3年度'!$B$6:$GJ$52,182,0)/1000,0),"-")</f>
        <v>825983</v>
      </c>
      <c r="AM59" s="262">
        <f>IFERROR(ROUND(VLOOKUP($H$2,'R4年度'!$B$6:$GJ$52,182,0)/1000,0),"-")</f>
        <v>895416</v>
      </c>
      <c r="AN59" s="261">
        <f>IFERROR(ROUND(VLOOKUP($H$2,'R5年度'!$B$6:$GJ$52,182,0)/1000,0),"-")</f>
        <v>945133</v>
      </c>
      <c r="AO59" s="342">
        <f>IFERROR(ROUND(VLOOKUP($H$2,'R6年度'!$B$6:$GK$52,182,0)/1000,0),"-")</f>
        <v>1003218</v>
      </c>
    </row>
    <row r="60" spans="1:41" ht="15" customHeight="1" x14ac:dyDescent="0.15">
      <c r="A60" s="17"/>
      <c r="B60" s="509"/>
      <c r="C60" s="534"/>
      <c r="D60" s="480" t="s">
        <v>313</v>
      </c>
      <c r="E60" s="481"/>
      <c r="F60" s="269" t="str">
        <f>IFERROR(IF(ISBLANK((VLOOKUP($H$2,'1年度'!$B$6:$GI$50,181,0))),"　　　－",ROUND(VLOOKUP($H$2,'1年度'!$B$6:$GI$50,181,0)/1000,0)),"-")</f>
        <v>-</v>
      </c>
      <c r="G60" s="269" t="str">
        <f>IFERROR(IF(ISBLANK((VLOOKUP($H$2,'2年度'!$B$6:$GI$50,181,0))),"　　　－",ROUND(VLOOKUP($H$2,'2年度'!$B$6:$GI$50,181,0)/1000,0)),"-")</f>
        <v>-</v>
      </c>
      <c r="H60" s="269" t="str">
        <f>IFERROR(IF(ISBLANK((VLOOKUP($H$2,'3年度'!$B$6:$GI$50,181,0))),"　　　－",ROUND(VLOOKUP($H$2,'3年度'!$B$6:$GI$50,181,0)/1000,0)),"-")</f>
        <v>-</v>
      </c>
      <c r="I60" s="269" t="str">
        <f>IFERROR(IF(ISBLANK((VLOOKUP($H$2,'4年度'!$B$6:$GI$50,181,0))),"　　　－",ROUND(VLOOKUP($H$2,'4年度'!$B$6:$GI$50,181,0)/1000,0)),"-")</f>
        <v>-</v>
      </c>
      <c r="J60" s="269" t="str">
        <f>IFERROR(IF(ISBLANK((VLOOKUP($H$2,'5年度'!$B$6:$GI$50,181,0))),"　　　－",ROUND(VLOOKUP($H$2,'5年度'!$B$6:$GI$50,181,0)/1000,0)),"-")</f>
        <v>-</v>
      </c>
      <c r="K60" s="269" t="str">
        <f>IFERROR(IF(ISBLANK((VLOOKUP($H$2,'6年度'!$B$6:$GI$50,181,0))),"　　　－",ROUND(VLOOKUP($H$2,'6年度'!$B$6:$GI$50,181,0)/1000,0)),"-")</f>
        <v>-</v>
      </c>
      <c r="L60" s="269" t="str">
        <f>IFERROR(IF(ISBLANK((VLOOKUP($H$2,'7年度'!$B$6:$GI$50,181,0))),"　　　－",ROUND(VLOOKUP($H$2,'7年度'!$B$6:$GI$50,181,0)/1000,0)),"-")</f>
        <v>-</v>
      </c>
      <c r="M60" s="269" t="str">
        <f>IFERROR(IF(ISBLANK((VLOOKUP($H$2,'8年度'!$B$6:$GI$50,181,0))),"　　　－",ROUND(VLOOKUP($H$2,'8年度'!$B$6:$GI$50,181,0)/1000,0)),"-")</f>
        <v>-</v>
      </c>
      <c r="N60" s="269" t="str">
        <f>IFERROR(IF(ISBLANK((VLOOKUP($H$2,'9年度'!$B$6:$GI$50,181,0))),"　　　－",ROUND(VLOOKUP($H$2,'9年度'!$B$6:$GI$50,181,0)/1000,0)),"-")</f>
        <v>-</v>
      </c>
      <c r="O60" s="269" t="str">
        <f>IFERROR(IF(ISBLANK((VLOOKUP($H$2,'10年度'!$B$6:$GI$50,181,0))),"　　　－",ROUND(VLOOKUP($H$2,'10年度'!$B$6:$GI$50,181,0)/1000,0)),"-")</f>
        <v>-</v>
      </c>
      <c r="P60" s="269" t="str">
        <f>IFERROR(IF(ISBLANK((VLOOKUP($H$2,'11年度'!$B$6:$GI$50,181,0))),"　　　－",ROUND(VLOOKUP($H$2,'11年度'!$B$6:$GI$50,181,0)/1000,0)),"-")</f>
        <v>-</v>
      </c>
      <c r="Q60" s="269" t="str">
        <f>IFERROR(IF(ISBLANK((VLOOKUP($H$2,'12年度'!$B$6:$GI$50,181,0))),"　　　－",ROUND(VLOOKUP($H$2,'12年度'!$B$6:$GI$50,181,0)/1000,0)),"-")</f>
        <v>-</v>
      </c>
      <c r="R60" s="269" t="str">
        <f>IFERROR(IF(ISBLANK((VLOOKUP($H$2,'13年度'!$B$6:$GI$50,181,0))),"　　　－",ROUND(VLOOKUP($H$2,'13年度'!$B$6:$GI$50,181,0)/1000,0)),"-")</f>
        <v>-</v>
      </c>
      <c r="S60" s="269" t="str">
        <f>IFERROR(IF(ISBLANK((VLOOKUP($H$2,'14年度'!$B$6:$GI$50,181,0))),"　　　－",ROUND(VLOOKUP($H$2,'14年度'!$B$6:$GI$50,181,0)/1000,0)),"-")</f>
        <v>-</v>
      </c>
      <c r="T60" s="278" t="str">
        <f>IFERROR(IF(ISBLANK((VLOOKUP($H$2,'15年度'!$B$6:$GI$50,181,0))),"　　　－",ROUND(VLOOKUP($H$2,'15年度'!$B$6:$GI$50,181,0)/1000,0)),"-")</f>
        <v>-</v>
      </c>
      <c r="U60" s="269" t="str">
        <f>IFERROR(IF(ISBLANK((VLOOKUP($H$2,'16年度'!$B$6:$GI$50,181,0))),"　　　－",ROUND(VLOOKUP($H$2,'16年度'!$B$6:$GI$50,181,0)/1000,0)),"-")</f>
        <v>-</v>
      </c>
      <c r="V60" s="279" t="str">
        <f>IFERROR(IF(ISBLANK((VLOOKUP($H$2,'17年度'!$B$6:$GI$50,181,0))),"　　　－",ROUND(VLOOKUP($H$2,'17年度'!$B$6:$GI$50,181,0)/1000,0)),"-")</f>
        <v>-</v>
      </c>
      <c r="W60" s="278" t="str">
        <f>IFERROR(IF(ISBLANK((VLOOKUP($H$2,'18年度'!$B$6:$GI$50,181,0))),"　　　－",ROUND(VLOOKUP($H$2,'18年度'!$B$6:$GI$50,181,0)/1000,0)),"-")</f>
        <v>-</v>
      </c>
      <c r="X60" s="278" t="str">
        <f>IFERROR(IF(ISBLANK((VLOOKUP($H$2,'19年度'!$B$6:$GI$50,181,0))),"　　　－",ROUND(VLOOKUP($H$2,'19年度'!$B$6:$GI$50,181,0)/1000,0)),"-")</f>
        <v>-</v>
      </c>
      <c r="Y60" s="278" t="str">
        <f>IFERROR(IF(ISBLANK((VLOOKUP($H$2,'20年度'!$B$6:$GI$50,181,0))),"　　　－",ROUND(VLOOKUP($H$2,'20年度'!$B$6:$GI$50,181,0)/1000,0)),"-")</f>
        <v>-</v>
      </c>
      <c r="Z60" s="278" t="str">
        <f>IFERROR(IF(ISBLANK((VLOOKUP($H$2,'21年度'!$B$6:$GI$50,181,0))),"　　　－",ROUND(VLOOKUP($H$2,'21年度'!$B$6:$GI$50,181,0)/1000,0)),"-")</f>
        <v>-</v>
      </c>
      <c r="AA60" s="269" t="str">
        <f>IFERROR(IF(ISBLANK((VLOOKUP($H$2,'22年度'!$B$6:$GI$50,181,0))),"　　　－",ROUND(VLOOKUP($H$2,'22年度'!$B$6:$GI$50,181,0)/1000,0)),"-")</f>
        <v>-</v>
      </c>
      <c r="AB60" s="279">
        <f>IFERROR(IF(ISBLANK((VLOOKUP($H$2,'23年度'!$B$6:$GI$52,181,0))),"　　　－",ROUND(VLOOKUP($H$2,'23年度'!$B$6:$GI$52,181,0)/1000,0)),"-")</f>
        <v>118551</v>
      </c>
      <c r="AC60" s="278">
        <f>IFERROR(IF(ISBLANK((VLOOKUP($H$2,'24年度'!$B$6:$GI$52,181,0))),"　　　－",ROUND(VLOOKUP($H$2,'24年度'!$B$6:$GI$52,181,0)/1000,0)),"-")</f>
        <v>251128</v>
      </c>
      <c r="AD60" s="278">
        <f>IFERROR(IF(ISBLANK((VLOOKUP($H$2,'25年度'!$B$6:$GI$52,181,0))),"　　　－",ROUND(VLOOKUP($H$2,'25年度'!$B$6:$GI$52,181,0)/1000,0)),"-")</f>
        <v>304677</v>
      </c>
      <c r="AE60" s="278">
        <f>IFERROR(IF(ISBLANK((VLOOKUP($H$2,'26年度'!$B$6:$GI$52,181,0))),"　　　－",ROUND(VLOOKUP($H$2,'26年度'!$B$6:$GI$52,181,0)/1000,0)),"-")</f>
        <v>316814</v>
      </c>
      <c r="AF60" s="269">
        <f>IFERROR(IF(ISBLANK((VLOOKUP($H$2,'27年度'!$B$6:$GI$52,181,0))),"　　　－",ROUND(VLOOKUP($H$2,'27年度'!$B$6:$GI$52,181,0)/1000,0)),"-")</f>
        <v>333241</v>
      </c>
      <c r="AG60" s="269">
        <f>IFERROR(IF(ISBLANK((VLOOKUP($H$2,'28年度'!$B$6:$GI$52,181,0))),"　　　－",ROUND(VLOOKUP($H$2,'28年度'!$B$6:$GI$52,181,0)/1000,0)),"-")</f>
        <v>330293</v>
      </c>
      <c r="AH60" s="279">
        <f>IFERROR(IF(ISBLANK((VLOOKUP($H$2,'29年度'!$B$6:$GI$52,181,0))),"　　　－",ROUND(VLOOKUP($H$2,'29年度'!$B$6:$GI$52,181,0)/1000,0)),"-")</f>
        <v>316967</v>
      </c>
      <c r="AI60" s="278">
        <f>IFERROR(IF(ISBLANK((VLOOKUP($H$2,'30年度'!$B$6:$GI$52,181,0))),"　　　－",ROUND(VLOOKUP($H$2,'30年度'!$B$6:$GI$52,181,0)/1000,0)),"-")</f>
        <v>318642</v>
      </c>
      <c r="AJ60" s="269">
        <f>IFERROR(IF(ISBLANK((VLOOKUP($H$2,'R1年度'!$B$6:$GJ$52,182,0))),"　　　－",ROUND(VLOOKUP($H$2,'R1年度'!$B$6:$GJ$52,182,0)/1000,0)),"-")</f>
        <v>329575</v>
      </c>
      <c r="AK60" s="269">
        <f>IFERROR(IF(ISBLANK((VLOOKUP($H$2,'R2年度'!$B$6:$GJ$52,183,0))),"　　　－",ROUND(VLOOKUP($H$2,'R2年度'!$B$6:$GJ$52,183,0)/1000,0)),"-")</f>
        <v>348585</v>
      </c>
      <c r="AL60" s="279">
        <f>IFERROR(IF(ISBLANK((VLOOKUP($H$2,'R3年度'!$B$6:$GJ$52,183,0))),"　　　－",ROUND(VLOOKUP($H$2,'R3年度'!$B$6:$GJ$52,183,0)/1000,0)),"-")</f>
        <v>428411</v>
      </c>
      <c r="AM60" s="278">
        <f>IFERROR(IF(ISBLANK((VLOOKUP($H$2,'R4年度'!$B$6:$GJ$52,183,0))),"　　　－",ROUND(VLOOKUP($H$2,'R4年度'!$B$6:$GJ$52,183,0)/1000,0)),"-")</f>
        <v>479605</v>
      </c>
      <c r="AN60" s="269">
        <f>IFERROR(IF(ISBLANK((VLOOKUP($H$2,'R5年度'!$B$6:$GJ$52,183,0))),"　　　－",ROUND(VLOOKUP($H$2,'R5年度'!$B$6:$GJ$52,183,0)/1000,0)),"-")</f>
        <v>514072</v>
      </c>
      <c r="AO60" s="303">
        <f>IFERROR(IF(ISBLANK((VLOOKUP($H$2,'R6年度'!$B$6:$GK$52,183,0))),"　　　－",ROUND(VLOOKUP($H$2,'R6年度'!$B$6:$GK$52,183,0)/1000,0)),"-")</f>
        <v>543173</v>
      </c>
    </row>
    <row r="61" spans="1:41" ht="15" customHeight="1" x14ac:dyDescent="0.15">
      <c r="A61" s="17"/>
      <c r="B61" s="509"/>
      <c r="C61" s="532"/>
      <c r="D61" s="528" t="s">
        <v>314</v>
      </c>
      <c r="E61" s="520"/>
      <c r="F61" s="274" t="str">
        <f>IFERROR(IF(ISBLANK((VLOOKUP($H$2,'1年度'!$B$6:$GI$50,182,0))),"　　　－",ROUND(VLOOKUP($H$2,'1年度'!$B$6:$GI$50,182,0)/1000,0)),"-")</f>
        <v>-</v>
      </c>
      <c r="G61" s="274" t="str">
        <f>IFERROR(IF(ISBLANK((VLOOKUP($H$2,'2年度'!$B$6:$GI$50,182,0))),"　　　－",ROUND(VLOOKUP($H$2,'2年度'!$B$6:$GI$50,182,0)/1000,0)),"-")</f>
        <v>-</v>
      </c>
      <c r="H61" s="274" t="str">
        <f>IFERROR(IF(ISBLANK((VLOOKUP($H$2,'3年度'!$B$6:$GI$50,182,0))),"　　　－",ROUND(VLOOKUP($H$2,'3年度'!$B$6:$GI$50,182,0)/1000,0)),"-")</f>
        <v>-</v>
      </c>
      <c r="I61" s="274" t="str">
        <f>IFERROR(IF(ISBLANK((VLOOKUP($H$2,'4年度'!$B$6:$GI$50,182,0))),"　　　－",ROUND(VLOOKUP($H$2,'4年度'!$B$6:$GI$50,182,0)/1000,0)),"-")</f>
        <v>-</v>
      </c>
      <c r="J61" s="274" t="str">
        <f>IFERROR(IF(ISBLANK((VLOOKUP($H$2,'5年度'!$B$6:$GI$50,182,0))),"　　　－",ROUND(VLOOKUP($H$2,'5年度'!$B$6:$GI$50,182,0)/1000,0)),"-")</f>
        <v>-</v>
      </c>
      <c r="K61" s="274" t="str">
        <f>IFERROR(IF(ISBLANK((VLOOKUP($H$2,'6年度'!$B$6:$GI$50,182,0))),"　　　－",ROUND(VLOOKUP($H$2,'6年度'!$B$6:$GI$50,182,0)/1000,0)),"-")</f>
        <v>-</v>
      </c>
      <c r="L61" s="274" t="str">
        <f>IFERROR(IF(ISBLANK((VLOOKUP($H$2,'7年度'!$B$6:$GI$50,182,0))),"　　　－",ROUND(VLOOKUP($H$2,'7年度'!$B$6:$GI$50,182,0)/1000,0)),"-")</f>
        <v>-</v>
      </c>
      <c r="M61" s="274" t="str">
        <f>IFERROR(IF(ISBLANK((VLOOKUP($H$2,'8年度'!$B$6:$GI$50,182,0))),"　　　－",ROUND(VLOOKUP($H$2,'8年度'!$B$6:$GI$50,182,0)/1000,0)),"-")</f>
        <v>-</v>
      </c>
      <c r="N61" s="274" t="str">
        <f>IFERROR(IF(ISBLANK((VLOOKUP($H$2,'9年度'!$B$6:$GI$50,182,0))),"　　　－",ROUND(VLOOKUP($H$2,'9年度'!$B$6:$GI$50,182,0)/1000,0)),"-")</f>
        <v>-</v>
      </c>
      <c r="O61" s="274" t="str">
        <f>IFERROR(IF(ISBLANK((VLOOKUP($H$2,'10年度'!$B$6:$GI$50,182,0))),"　　　－",ROUND(VLOOKUP($H$2,'10年度'!$B$6:$GI$50,182,0)/1000,0)),"-")</f>
        <v>-</v>
      </c>
      <c r="P61" s="274" t="str">
        <f>IFERROR(IF(ISBLANK((VLOOKUP($H$2,'11年度'!$B$6:$GI$50,182,0))),"　　　－",ROUND(VLOOKUP($H$2,'11年度'!$B$6:$GI$50,182,0)/1000,0)),"-")</f>
        <v>-</v>
      </c>
      <c r="Q61" s="274" t="str">
        <f>IFERROR(IF(ISBLANK((VLOOKUP($H$2,'12年度'!$B$6:$GI$50,182,0))),"　　　－",ROUND(VLOOKUP($H$2,'12年度'!$B$6:$GI$50,182,0)/1000,0)),"-")</f>
        <v>-</v>
      </c>
      <c r="R61" s="274" t="str">
        <f>IFERROR(IF(ISBLANK((VLOOKUP($H$2,'13年度'!$B$6:$GI$50,182,0))),"　　　－",ROUND(VLOOKUP($H$2,'13年度'!$B$6:$GI$50,182,0)/1000,0)),"-")</f>
        <v>-</v>
      </c>
      <c r="S61" s="274" t="str">
        <f>IFERROR(IF(ISBLANK((VLOOKUP($H$2,'14年度'!$B$6:$GI$50,182,0))),"　　　－",ROUND(VLOOKUP($H$2,'14年度'!$B$6:$GI$50,182,0)/1000,0)),"-")</f>
        <v>-</v>
      </c>
      <c r="T61" s="275" t="str">
        <f>IFERROR(IF(ISBLANK((VLOOKUP($H$2,'15年度'!$B$6:$GI$50,182,0))),"　　　－",ROUND(VLOOKUP($H$2,'15年度'!$B$6:$GI$50,182,0)/1000,0)),"-")</f>
        <v>-</v>
      </c>
      <c r="U61" s="274" t="str">
        <f>IFERROR(IF(ISBLANK((VLOOKUP($H$2,'16年度'!$B$6:$GI$50,182,0))),"　　　－",ROUND(VLOOKUP($H$2,'16年度'!$B$6:$GI$50,182,0)/1000,0)),"-")</f>
        <v>-</v>
      </c>
      <c r="V61" s="276" t="str">
        <f>IFERROR(IF(ISBLANK((VLOOKUP($H$2,'17年度'!$B$6:$GI$50,182,0))),"　　　－",ROUND(VLOOKUP($H$2,'17年度'!$B$6:$GI$50,182,0)/1000,0)),"-")</f>
        <v>-</v>
      </c>
      <c r="W61" s="275" t="str">
        <f>IFERROR(IF(ISBLANK((VLOOKUP($H$2,'18年度'!$B$6:$GI$50,182,0))),"　　　－",ROUND(VLOOKUP($H$2,'18年度'!$B$6:$GI$50,182,0)/1000,0)),"-")</f>
        <v>-</v>
      </c>
      <c r="X61" s="275" t="str">
        <f>IFERROR(IF(ISBLANK((VLOOKUP($H$2,'19年度'!$B$6:$GI$50,182,0))),"　　　－",ROUND(VLOOKUP($H$2,'19年度'!$B$6:$GI$50,182,0)/1000,0)),"-")</f>
        <v>-</v>
      </c>
      <c r="Y61" s="275" t="str">
        <f>IFERROR(IF(ISBLANK((VLOOKUP($H$2,'20年度'!$B$6:$GI$50,182,0))),"　　　－",ROUND(VLOOKUP($H$2,'20年度'!$B$6:$GI$50,182,0)/1000,0)),"-")</f>
        <v>-</v>
      </c>
      <c r="Z61" s="275" t="str">
        <f>IFERROR(IF(ISBLANK((VLOOKUP($H$2,'21年度'!$B$6:$GI$50,182,0))),"　　　－",ROUND(VLOOKUP($H$2,'21年度'!$B$6:$GI$50,182,0)/1000,0)),"-")</f>
        <v>-</v>
      </c>
      <c r="AA61" s="274" t="str">
        <f>IFERROR(IF(ISBLANK((VLOOKUP($H$2,'22年度'!$B$6:$GI$50,182,0))),"　　　－",ROUND(VLOOKUP($H$2,'22年度'!$B$6:$GI$50,182,0)/1000,0)),"-")</f>
        <v>-</v>
      </c>
      <c r="AB61" s="276">
        <f>IFERROR(IF(ISBLANK((VLOOKUP($H$2,'23年度'!$B$6:$GI$52,182,0))),"　　　－",ROUND(VLOOKUP($H$2,'23年度'!$B$6:$GI$52,182,0)/1000,0)),"-")</f>
        <v>80498</v>
      </c>
      <c r="AC61" s="275">
        <f>IFERROR(IF(ISBLANK((VLOOKUP($H$2,'24年度'!$B$6:$GI$52,182,0))),"　　　－",ROUND(VLOOKUP($H$2,'24年度'!$B$6:$GI$52,182,0)/1000,0)),"-")</f>
        <v>71505</v>
      </c>
      <c r="AD61" s="275">
        <f>IFERROR(IF(ISBLANK((VLOOKUP($H$2,'25年度'!$B$6:$GI$52,182,0))),"　　　－",ROUND(VLOOKUP($H$2,'25年度'!$B$6:$GI$52,182,0)/1000,0)),"-")</f>
        <v>39272</v>
      </c>
      <c r="AE61" s="275">
        <f>IFERROR(IF(ISBLANK((VLOOKUP($H$2,'26年度'!$B$6:$GI$52,182,0))),"　　　－",ROUND(VLOOKUP($H$2,'26年度'!$B$6:$GI$52,182,0)/1000,0)),"-")</f>
        <v>35435</v>
      </c>
      <c r="AF61" s="274">
        <f>IFERROR(IF(ISBLANK((VLOOKUP($H$2,'27年度'!$B$6:$GI$52,182,0))),"　　　－",ROUND(VLOOKUP($H$2,'27年度'!$B$6:$GI$52,182,0)/1000,0)),"-")</f>
        <v>48704</v>
      </c>
      <c r="AG61" s="274">
        <f>IFERROR(IF(ISBLANK((VLOOKUP($H$2,'28年度'!$B$6:$GI$52,182,0))),"　　　－",ROUND(VLOOKUP($H$2,'28年度'!$B$6:$GI$52,182,0)/1000,0)),"-")</f>
        <v>37217</v>
      </c>
      <c r="AH61" s="276">
        <f>IFERROR(IF(ISBLANK((VLOOKUP($H$2,'29年度'!$B$6:$GI$52,182,0))),"　　　－",ROUND(VLOOKUP($H$2,'29年度'!$B$6:$GI$52,182,0)/1000,0)),"-")</f>
        <v>45876</v>
      </c>
      <c r="AI61" s="275">
        <f>IFERROR(IF(ISBLANK((VLOOKUP($H$2,'30年度'!$B$6:$GI$52,182,0))),"　　　－",ROUND(VLOOKUP($H$2,'30年度'!$B$6:$GI$52,182,0)/1000,0)),"-")</f>
        <v>32893</v>
      </c>
      <c r="AJ61" s="274">
        <f>IFERROR(IF(ISBLANK((VLOOKUP($H$2,'R1年度'!$B$6:$GJ$52,183,0))),"　　　－",ROUND(VLOOKUP($H$2,'R1年度'!$B$6:$GJ$52,183,0)/1000,0)),"-")</f>
        <v>30592</v>
      </c>
      <c r="AK61" s="274">
        <f>IFERROR(IF(ISBLANK((VLOOKUP($H$2,'R2年度'!$B$6:$GJ$52,184,0))),"　　　－",ROUND(VLOOKUP($H$2,'R2年度'!$B$6:$GJ$52,184,0)/1000,0)),"-")</f>
        <v>31827</v>
      </c>
      <c r="AL61" s="276">
        <f>IFERROR(IF(ISBLANK((VLOOKUP($H$2,'R3年度'!$B$6:$GJ$52,184,0))),"　　　－",ROUND(VLOOKUP($H$2,'R3年度'!$B$6:$GJ$52,184,0)/1000,0)),"-")</f>
        <v>51194</v>
      </c>
      <c r="AM61" s="275">
        <f>IFERROR(IF(ISBLANK((VLOOKUP($H$2,'R4年度'!$B$6:$GJ$52,184,0))),"　　　－",ROUND(VLOOKUP($H$2,'R4年度'!$B$6:$GJ$52,184,0)/1000,0)),"-")</f>
        <v>45931</v>
      </c>
      <c r="AN61" s="274">
        <f>IFERROR(IF(ISBLANK((VLOOKUP($H$2,'R5年度'!$B$6:$GJ$52,184,0))),"　　　－",ROUND(VLOOKUP($H$2,'R5年度'!$B$6:$GJ$52,184,0)/1000,0)),"-")</f>
        <v>51225</v>
      </c>
      <c r="AO61" s="304">
        <f>IFERROR(IF(ISBLANK((VLOOKUP($H$2,'R6年度'!$B$6:$GK$52,184,0))),"　　　－",ROUND(VLOOKUP($H$2,'R6年度'!$B$6:$GK$52,184,0)/1000,0)),"-")</f>
        <v>54325</v>
      </c>
    </row>
    <row r="62" spans="1:41" ht="15" customHeight="1" x14ac:dyDescent="0.15">
      <c r="A62" s="17"/>
      <c r="B62" s="509"/>
      <c r="C62" s="532"/>
      <c r="D62" s="535" t="s">
        <v>315</v>
      </c>
      <c r="E62" s="518"/>
      <c r="F62" s="270" t="str">
        <f>IFERROR(ROUND((VLOOKUP($H$2,'1年度'!$B$6:$GI$50,183,0))/1000,0),"-")</f>
        <v>-</v>
      </c>
      <c r="G62" s="270" t="str">
        <f>IFERROR(ROUND((VLOOKUP($H$2,'2年度'!$B$6:$GI$50,183,0))/1000,0),"-")</f>
        <v>-</v>
      </c>
      <c r="H62" s="270" t="str">
        <f>IFERROR(ROUND((VLOOKUP($H$2,'3年度'!$B$6:$GI$50,183,0))/1000,0),"-")</f>
        <v>-</v>
      </c>
      <c r="I62" s="270" t="str">
        <f>IFERROR(ROUND((VLOOKUP($H$2,'4年度'!$B$6:$GI$50,183,0))/1000,0),"-")</f>
        <v>-</v>
      </c>
      <c r="J62" s="270" t="str">
        <f>IFERROR(ROUND((VLOOKUP($H$2,'5年度'!$B$6:$GI$50,183,0))/1000,0),"-")</f>
        <v>-</v>
      </c>
      <c r="K62" s="270" t="str">
        <f>IFERROR(ROUND((VLOOKUP($H$2,'6年度'!$B$6:$GI$50,183,0))/1000,0),"-")</f>
        <v>-</v>
      </c>
      <c r="L62" s="270" t="str">
        <f>IFERROR(ROUND((VLOOKUP($H$2,'7年度'!$B$6:$GI$50,183,0))/1000,0),"-")</f>
        <v>-</v>
      </c>
      <c r="M62" s="270" t="str">
        <f>IFERROR(ROUND((VLOOKUP($H$2,'8年度'!$B$6:$GI$50,183,0))/1000,0),"-")</f>
        <v>-</v>
      </c>
      <c r="N62" s="270" t="str">
        <f>IFERROR(ROUND((VLOOKUP($H$2,'9年度'!$B$6:$GI$50,183,0))/1000,0),"-")</f>
        <v>-</v>
      </c>
      <c r="O62" s="270" t="str">
        <f>IFERROR(ROUND((VLOOKUP($H$2,'10年度'!$B$6:$GI$50,183,0))/1000,0),"-")</f>
        <v>-</v>
      </c>
      <c r="P62" s="270" t="str">
        <f>IFERROR(ROUND((VLOOKUP($H$2,'11年度'!$B$6:$GI$50,183,0))/1000,0),"-")</f>
        <v>-</v>
      </c>
      <c r="Q62" s="270" t="str">
        <f>IFERROR(ROUND((VLOOKUP($H$2,'12年度'!$B$6:$GI$50,183,0))/1000,0),"-")</f>
        <v>-</v>
      </c>
      <c r="R62" s="270" t="str">
        <f>IFERROR(ROUND((VLOOKUP($H$2,'13年度'!$B$6:$GI$50,183,0))/1000,0),"-")</f>
        <v>-</v>
      </c>
      <c r="S62" s="270" t="str">
        <f>IFERROR(ROUND((VLOOKUP($H$2,'14年度'!$B$6:$GI$50,183,0))/1000,0),"-")</f>
        <v>-</v>
      </c>
      <c r="T62" s="271" t="str">
        <f>IFERROR(ROUND((VLOOKUP($H$2,'15年度'!$B$6:$GI$50,183,0))/1000,0),"-")</f>
        <v>-</v>
      </c>
      <c r="U62" s="270" t="str">
        <f>IFERROR(ROUND((VLOOKUP($H$2,'16年度'!$B$6:$GI$50,183,0))/1000,0),"-")</f>
        <v>-</v>
      </c>
      <c r="V62" s="272" t="str">
        <f>IFERROR(ROUND((VLOOKUP($H$2,'17年度'!$B$6:$GI$50,183,0))/1000,0),"-")</f>
        <v>-</v>
      </c>
      <c r="W62" s="271" t="str">
        <f>IFERROR(ROUND((VLOOKUP($H$2,'18年度'!$B$6:$GI$50,183,0))/1000,0),"-")</f>
        <v>-</v>
      </c>
      <c r="X62" s="271" t="str">
        <f>IFERROR(ROUND((VLOOKUP($H$2,'19年度'!$B$6:$GI$50,183,0))/1000,0),"-")</f>
        <v>-</v>
      </c>
      <c r="Y62" s="271" t="str">
        <f>IFERROR(ROUND((VLOOKUP($H$2,'20年度'!$B$6:$GI$50,183,0))/1000,0),"-")</f>
        <v>-</v>
      </c>
      <c r="Z62" s="271" t="str">
        <f>IFERROR(ROUND((VLOOKUP($H$2,'21年度'!$B$6:$GI$50,183,0))/1000,0),"-")</f>
        <v>-</v>
      </c>
      <c r="AA62" s="270" t="str">
        <f>IFERROR(ROUND((VLOOKUP($H$2,'22年度'!$B$6:$GI$50,183,0))/1000,0),"-")</f>
        <v>-</v>
      </c>
      <c r="AB62" s="272">
        <f>IFERROR(ROUND((VLOOKUP($H$2,'23年度'!$B$6:$GI$52,183,0))/1000,0),"-")</f>
        <v>284165</v>
      </c>
      <c r="AC62" s="271">
        <f>IFERROR(ROUND((VLOOKUP($H$2,'24年度'!$B$6:$GI$52,183,0))/1000,0),"-")</f>
        <v>214238</v>
      </c>
      <c r="AD62" s="271">
        <f>IFERROR(ROUND((VLOOKUP($H$2,'25年度'!$B$6:$GI$52,183,0))/1000,0),"-")</f>
        <v>245867</v>
      </c>
      <c r="AE62" s="271">
        <f>IFERROR(ROUND((VLOOKUP($H$2,'26年度'!$B$6:$GI$52,183,0))/1000,0),"-")</f>
        <v>234444</v>
      </c>
      <c r="AF62" s="270">
        <f>IFERROR(ROUND((VLOOKUP($H$2,'27年度'!$B$6:$GI$52,183,0))/1000,0),"-")</f>
        <v>242034</v>
      </c>
      <c r="AG62" s="270">
        <f>IFERROR(ROUND((VLOOKUP($H$2,'28年度'!$B$6:$GI$52,183,0))/1000,0),"-")</f>
        <v>236577</v>
      </c>
      <c r="AH62" s="272">
        <f>IFERROR(ROUND((VLOOKUP($H$2,'29年度'!$B$6:$GI$52,183,0))/1000,0),"-")</f>
        <v>283931</v>
      </c>
      <c r="AI62" s="271">
        <f>IFERROR(ROUND((VLOOKUP($H$2,'30年度'!$B$6:$GI$52,183,0))/1000,0),"-")</f>
        <v>305966</v>
      </c>
      <c r="AJ62" s="270">
        <f>IFERROR(ROUND((VLOOKUP($H$2,'R1年度'!$B$6:$GJ$52,184,0))/1000,0),"-")</f>
        <v>309204</v>
      </c>
      <c r="AK62" s="270">
        <f>IFERROR(ROUND((VLOOKUP($H$2,'R2年度'!$B$6:$GJ$52,185,0))/1000,0),"-")</f>
        <v>316210</v>
      </c>
      <c r="AL62" s="272">
        <f>IFERROR(ROUND((VLOOKUP($H$2,'R3年度'!$B$6:$GJ$52,185,0))/1000,0),"-")</f>
        <v>346378</v>
      </c>
      <c r="AM62" s="271">
        <f>IFERROR(ROUND((VLOOKUP($H$2,'R4年度'!$B$6:$GJ$52,185,0))/1000,0),"-")</f>
        <v>369880</v>
      </c>
      <c r="AN62" s="270">
        <f>IFERROR(ROUND((VLOOKUP($H$2,'R5年度'!$B$6:$GJ$52,185,0))/1000,0),"-")</f>
        <v>379836</v>
      </c>
      <c r="AO62" s="300">
        <f>IFERROR(ROUND((VLOOKUP($H$2,'R6年度'!$B$6:$GK$52,185,0))/1000,0),"-")</f>
        <v>405720</v>
      </c>
    </row>
    <row r="63" spans="1:41" ht="15" customHeight="1" thickBot="1" x14ac:dyDescent="0.2">
      <c r="A63" s="17"/>
      <c r="B63" s="510"/>
      <c r="C63" s="533"/>
      <c r="D63" s="61"/>
      <c r="E63" s="165" t="s">
        <v>316</v>
      </c>
      <c r="F63" s="358" t="str">
        <f>IFERROR(ROUND(VLOOKUP($H$2,'1年度'!$B$6:$GI$50,57,0)/1000,0),"-")</f>
        <v>-</v>
      </c>
      <c r="G63" s="358" t="str">
        <f>IFERROR(ROUND(VLOOKUP($H$2,'2年度'!$B$6:$GI$50,57,0)/1000,0),"-")</f>
        <v>-</v>
      </c>
      <c r="H63" s="358" t="str">
        <f>IFERROR(ROUND(VLOOKUP($H$2,'3年度'!$B$6:$GI$50,57,0)/1000,0),"-")</f>
        <v>-</v>
      </c>
      <c r="I63" s="358" t="str">
        <f>IFERROR(ROUND(VLOOKUP($H$2,'4年度'!$B$6:$GI$50,57,0)/1000,0),"-")</f>
        <v>-</v>
      </c>
      <c r="J63" s="358" t="str">
        <f>IFERROR(ROUND(VLOOKUP($H$2,'5年度'!$B$6:$GI$50,57,0)/1000,0),"-")</f>
        <v>-</v>
      </c>
      <c r="K63" s="358" t="str">
        <f>IFERROR(ROUND(VLOOKUP($H$2,'6年度'!$B$6:$GI$50,57,0)/1000,0),"-")</f>
        <v>-</v>
      </c>
      <c r="L63" s="358" t="str">
        <f>IFERROR(ROUND(VLOOKUP($H$2,'7年度'!$B$6:$GI$50,57,0)/1000,0),"-")</f>
        <v>-</v>
      </c>
      <c r="M63" s="358" t="str">
        <f>IFERROR(ROUND(VLOOKUP($H$2,'8年度'!$B$6:$GI$50,57,0)/1000,0),"-")</f>
        <v>-</v>
      </c>
      <c r="N63" s="358" t="str">
        <f>IFERROR(ROUND(VLOOKUP($H$2,'9年度'!$B$6:$GI$50,57,0)/1000,0),"-")</f>
        <v>-</v>
      </c>
      <c r="O63" s="358" t="str">
        <f>IFERROR(ROUND(VLOOKUP($H$2,'10年度'!$B$6:$GI$50,57,0)/1000,0),"-")</f>
        <v>-</v>
      </c>
      <c r="P63" s="358" t="str">
        <f>IFERROR(ROUND(VLOOKUP($H$2,'11年度'!$B$6:$GI$50,57,0)/1000,0),"-")</f>
        <v>-</v>
      </c>
      <c r="Q63" s="358" t="str">
        <f>IFERROR(ROUND(VLOOKUP($H$2,'12年度'!$B$6:$GI$50,57,0)/1000,0),"-")</f>
        <v>-</v>
      </c>
      <c r="R63" s="358" t="str">
        <f>IFERROR(ROUND(VLOOKUP($H$2,'13年度'!$B$6:$GI$50,57,0)/1000,0),"-")</f>
        <v>-</v>
      </c>
      <c r="S63" s="358" t="str">
        <f>IFERROR(ROUND(VLOOKUP($H$2,'14年度'!$B$6:$GI$50,57,0)/1000,0),"-")</f>
        <v>-</v>
      </c>
      <c r="T63" s="359" t="str">
        <f>IFERROR(ROUND(VLOOKUP($H$2,'15年度'!$B$6:$GI$50,57,0)/1000,0),"-")</f>
        <v>-</v>
      </c>
      <c r="U63" s="358" t="str">
        <f>IFERROR(ROUND(VLOOKUP($H$2,'16年度'!$B$6:$GI$50,57,0)/1000,0),"-")</f>
        <v>-</v>
      </c>
      <c r="V63" s="360" t="str">
        <f>IFERROR(ROUND(VLOOKUP($H$2,'17年度'!$B$6:$GI$50,57,0)/1000,0),"-")</f>
        <v>-</v>
      </c>
      <c r="W63" s="359" t="str">
        <f>IFERROR(ROUND(VLOOKUP($H$2,'18年度'!$B$6:$GI$50,57,0)/1000,0),"-")</f>
        <v>-</v>
      </c>
      <c r="X63" s="359" t="str">
        <f>IFERROR(ROUND(VLOOKUP($H$2,'19年度'!$B$6:$GI$50,57,0)/1000,0),"-")</f>
        <v>-</v>
      </c>
      <c r="Y63" s="359" t="str">
        <f>IFERROR(ROUND(VLOOKUP($H$2,'20年度'!$B$6:$GI$50,57,0)/1000,0),"-")</f>
        <v>-</v>
      </c>
      <c r="Z63" s="359" t="str">
        <f>IFERROR(ROUND(VLOOKUP($H$2,'21年度'!$B$6:$GI$50,57,0)/1000,0),"-")</f>
        <v>-</v>
      </c>
      <c r="AA63" s="358" t="str">
        <f>IFERROR(ROUND(VLOOKUP($H$2,'22年度'!$B$6:$GI$50,57,0)/1000,0),"-")</f>
        <v>-</v>
      </c>
      <c r="AB63" s="360">
        <f>IFERROR(ROUND(VLOOKUP($H$2,'23年度'!$B$6:$GI$52,57,0)/1000,0),"-")</f>
        <v>17304</v>
      </c>
      <c r="AC63" s="359">
        <f>IFERROR(ROUND(VLOOKUP($H$2,'24年度'!$B$6:$GI$52,57,0)/1000,0),"-")</f>
        <v>135566</v>
      </c>
      <c r="AD63" s="359">
        <f>IFERROR(ROUND(VLOOKUP($H$2,'25年度'!$B$6:$GI$52,57,0)/1000,0),"-")</f>
        <v>20141</v>
      </c>
      <c r="AE63" s="359">
        <f>IFERROR(ROUND(VLOOKUP($H$2,'26年度'!$B$6:$GI$52,57,0)/1000,0),"-")</f>
        <v>30522</v>
      </c>
      <c r="AF63" s="358">
        <f>IFERROR(ROUND(VLOOKUP($H$2,'27年度'!$B$6:$GI$52,57,0)/1000,0),"-")</f>
        <v>22077</v>
      </c>
      <c r="AG63" s="358">
        <f>IFERROR(ROUND(VLOOKUP($H$2,'28年度'!$B$6:$GI$52,57,0)/1000,0),"-")</f>
        <v>28182</v>
      </c>
      <c r="AH63" s="360">
        <f>IFERROR(ROUND(VLOOKUP($H$2,'29年度'!$B$6:$GI$52,57,0)/1000,0),"-")</f>
        <v>34154</v>
      </c>
      <c r="AI63" s="359">
        <f>IFERROR(ROUND(VLOOKUP($H$2,'30年度'!$B$6:$GI$52,57,0)/1000,0),"-")</f>
        <v>63520</v>
      </c>
      <c r="AJ63" s="358">
        <f>IFERROR(ROUND(VLOOKUP($H$2,'R1年度'!$B$6:$GJ$52,58,0)/1000,0),"-")</f>
        <v>52301</v>
      </c>
      <c r="AK63" s="358">
        <f>IFERROR(ROUND(VLOOKUP($H$2,'R2年度'!$B$6:$GJ$52,59,0)/1000,0),"-")</f>
        <v>33257</v>
      </c>
      <c r="AL63" s="360">
        <f>IFERROR(ROUND(VLOOKUP($H$2,'R3年度'!$B$6:$GJ$52,59,0)/1000,0),"-")</f>
        <v>27845</v>
      </c>
      <c r="AM63" s="359">
        <f>IFERROR(ROUND(VLOOKUP($H$2,'R4年度'!$B$6:$GJ$52,59,0)/1000,0),"-")</f>
        <v>36086</v>
      </c>
      <c r="AN63" s="358">
        <f>IFERROR(ROUND(VLOOKUP($H$2,'R5年度'!$B$6:$GJ$52,59,0)/1000,0),"-")</f>
        <v>51506</v>
      </c>
      <c r="AO63" s="310">
        <f>IFERROR(ROUND(VLOOKUP($H$2,'R6年度'!$B$6:$GK$52,59,0)/1000,0),"-")</f>
        <v>55792</v>
      </c>
    </row>
    <row r="64" spans="1:41" ht="15" customHeight="1" x14ac:dyDescent="0.15">
      <c r="A64" s="17"/>
      <c r="B64" s="556" t="s">
        <v>317</v>
      </c>
      <c r="C64" s="521" t="s">
        <v>318</v>
      </c>
      <c r="D64" s="485"/>
      <c r="E64" s="486"/>
      <c r="F64" s="311" t="str">
        <f>IFERROR(IF(ISBLANK((VLOOKUP($H$2,'1年度'!$B$6:$GI$50,185,0))),"　 　－",ROUND(VLOOKUP($H$2,'1年度'!$B$6:$GI$50,185,0)/1000,0)),"-")</f>
        <v>-</v>
      </c>
      <c r="G64" s="311" t="str">
        <f>IFERROR(IF(ISBLANK((VLOOKUP($H$2,'2年度'!$B$6:$GI$50,185,0))),"　 　－",ROUND(VLOOKUP($H$2,'2年度'!$B$6:$GI$50,185,0)/1000,0)),"-")</f>
        <v>-</v>
      </c>
      <c r="H64" s="311" t="str">
        <f>IFERROR(IF(ISBLANK((VLOOKUP($H$2,'3年度'!$B$6:$GI$50,185,0))),"　 　－",ROUND(VLOOKUP($H$2,'3年度'!$B$6:$GI$50,185,0)/1000,0)),"-")</f>
        <v>-</v>
      </c>
      <c r="I64" s="311" t="str">
        <f>IFERROR(IF(ISBLANK((VLOOKUP($H$2,'4年度'!$B$6:$GI$50,185,0))),"　 　－",ROUND(VLOOKUP($H$2,'4年度'!$B$6:$GI$50,185,0)/1000,0)),"-")</f>
        <v>-</v>
      </c>
      <c r="J64" s="311" t="str">
        <f>IFERROR(IF(ISBLANK((VLOOKUP($H$2,'5年度'!$B$6:$GI$50,185,0))),"　 　－",ROUND(VLOOKUP($H$2,'5年度'!$B$6:$GI$50,185,0)/1000,0)),"-")</f>
        <v>-</v>
      </c>
      <c r="K64" s="311" t="str">
        <f>IFERROR(IF(ISBLANK((VLOOKUP($H$2,'6年度'!$B$6:$GI$50,185,0))),"　 　－",ROUND(VLOOKUP($H$2,'6年度'!$B$6:$GI$50,185,0)/1000,0)),"-")</f>
        <v>-</v>
      </c>
      <c r="L64" s="311" t="str">
        <f>IFERROR(IF(ISBLANK((VLOOKUP($H$2,'7年度'!$B$6:$GI$50,185,0))),"　 　－",ROUND(VLOOKUP($H$2,'7年度'!$B$6:$GI$50,185,0)/1000,0)),"-")</f>
        <v>-</v>
      </c>
      <c r="M64" s="311" t="str">
        <f>IFERROR(IF(ISBLANK((VLOOKUP($H$2,'8年度'!$B$6:$GI$50,185,0))),"　 　－",ROUND(VLOOKUP($H$2,'8年度'!$B$6:$GI$50,185,0)/1000,0)),"-")</f>
        <v>-</v>
      </c>
      <c r="N64" s="311" t="str">
        <f>IFERROR(IF(ISBLANK((VLOOKUP($H$2,'9年度'!$B$6:$GI$50,185,0))),"　 　－",ROUND(VLOOKUP($H$2,'9年度'!$B$6:$GI$50,185,0)/1000,0)),"-")</f>
        <v>-</v>
      </c>
      <c r="O64" s="311" t="str">
        <f>IFERROR(IF(ISBLANK((VLOOKUP($H$2,'10年度'!$B$6:$GI$50,185,0))),"　 　－",ROUND(VLOOKUP($H$2,'10年度'!$B$6:$GI$50,185,0)/1000,0)),"-")</f>
        <v>-</v>
      </c>
      <c r="P64" s="311" t="str">
        <f>IFERROR(IF(ISBLANK((VLOOKUP($H$2,'11年度'!$B$6:$GI$50,185,0))),"　 　－",ROUND(VLOOKUP($H$2,'11年度'!$B$6:$GI$50,185,0)/1000,0)),"-")</f>
        <v>-</v>
      </c>
      <c r="Q64" s="311" t="str">
        <f>IFERROR(IF(ISBLANK((VLOOKUP($H$2,'12年度'!$B$6:$GI$50,185,0))),"　 　－",ROUND(VLOOKUP($H$2,'12年度'!$B$6:$GI$50,185,0)/1000,0)),"-")</f>
        <v>-</v>
      </c>
      <c r="R64" s="311" t="str">
        <f>IFERROR(IF(ISBLANK((VLOOKUP($H$2,'13年度'!$B$6:$GI$50,185,0))),"　 　－",ROUND(VLOOKUP($H$2,'13年度'!$B$6:$GI$50,185,0)/1000,0)),"-")</f>
        <v>-</v>
      </c>
      <c r="S64" s="311" t="str">
        <f>IFERROR(IF(ISBLANK((VLOOKUP($H$2,'14年度'!$B$6:$GI$50,185,0))),"　 　－",ROUND(VLOOKUP($H$2,'14年度'!$B$6:$GI$50,185,0)/1000,0)),"-")</f>
        <v>-</v>
      </c>
      <c r="T64" s="351" t="str">
        <f>IFERROR(IF(ISBLANK((VLOOKUP($H$2,'15年度'!$B$6:$GI$50,185,0))),"　 　－",ROUND(VLOOKUP($H$2,'15年度'!$B$6:$GI$50,185,0)/1000,0)),"-")</f>
        <v>-</v>
      </c>
      <c r="U64" s="311" t="str">
        <f>IFERROR(IF(ISBLANK((VLOOKUP($H$2,'16年度'!$B$6:$GI$50,185,0))),"　 　－",ROUND(VLOOKUP($H$2,'16年度'!$B$6:$GI$50,185,0)/1000,0)),"-")</f>
        <v>-</v>
      </c>
      <c r="V64" s="352" t="str">
        <f>IFERROR(IF(ISBLANK((VLOOKUP($H$2,'17年度'!$B$6:$GI$50,185,0))),"　 　－",ROUND(VLOOKUP($H$2,'17年度'!$B$6:$GI$50,185,0)/1000,0)),"-")</f>
        <v>-</v>
      </c>
      <c r="W64" s="351" t="str">
        <f>IFERROR(IF(ISBLANK((VLOOKUP($H$2,'18年度'!$B$6:$GI$50,185,0))),"　 　－",ROUND(VLOOKUP($H$2,'18年度'!$B$6:$GI$50,185,0)/1000,0)),"-")</f>
        <v>-</v>
      </c>
      <c r="X64" s="351" t="str">
        <f>IFERROR(IF(ISBLANK((VLOOKUP($H$2,'19年度'!$B$6:$GI$50,185,0))),"　 　－",ROUND(VLOOKUP($H$2,'19年度'!$B$6:$GI$50,185,0)/1000,0)),"-")</f>
        <v>-</v>
      </c>
      <c r="Y64" s="351" t="str">
        <f>IFERROR(IF(ISBLANK((VLOOKUP($H$2,'20年度'!$B$6:$GI$50,185,0))),"　 　－",ROUND(VLOOKUP($H$2,'20年度'!$B$6:$GI$50,185,0)/1000,0)),"-")</f>
        <v>-</v>
      </c>
      <c r="Z64" s="351" t="str">
        <f>IFERROR(IF(ISBLANK((VLOOKUP($H$2,'21年度'!$B$6:$GI$50,185,0))),"　 　－",ROUND(VLOOKUP($H$2,'21年度'!$B$6:$GI$50,185,0)/1000,0)),"-")</f>
        <v>-</v>
      </c>
      <c r="AA64" s="311" t="str">
        <f>IFERROR(IF(ISBLANK((VLOOKUP($H$2,'22年度'!$B$6:$GI$50,185,0))),"　 　－",ROUND(VLOOKUP($H$2,'22年度'!$B$6:$GI$50,185,0)/1000,0)),"-")</f>
        <v>-</v>
      </c>
      <c r="AB64" s="352">
        <f>IFERROR(IF(ISBLANK((VLOOKUP($H$2,'23年度'!$B$6:$GI$52,185,0))),"　 　－",ROUND(VLOOKUP($H$2,'23年度'!$B$6:$GI$52,185,0)/1000,0)),"-")</f>
        <v>148128</v>
      </c>
      <c r="AC64" s="351">
        <f>IFERROR(IF(ISBLANK((VLOOKUP($H$2,'24年度'!$B$6:$GI$52,185,0))),"　 　－",ROUND(VLOOKUP($H$2,'24年度'!$B$6:$GI$52,185,0)/1000,0)),"-")</f>
        <v>101245</v>
      </c>
      <c r="AD64" s="351">
        <f>IFERROR(IF(ISBLANK((VLOOKUP($H$2,'25年度'!$B$6:$GI$52,185,0))),"　 　－",ROUND(VLOOKUP($H$2,'25年度'!$B$6:$GI$52,185,0),0)),"-")</f>
        <v>53304</v>
      </c>
      <c r="AE64" s="351">
        <f>IFERROR(IF(ISBLANK((VLOOKUP($H$2,'26年度'!$B$6:$GI$52,185,0))),"　 　－",ROUND(VLOOKUP($H$2,'26年度'!$B$6:$GI$52,185,0),0)),"-")</f>
        <v>46413</v>
      </c>
      <c r="AF64" s="311">
        <f>IFERROR(IF(ISBLANK((VLOOKUP($H$2,'27年度'!$B$6:$GI$52,185,0))),"　 　－",ROUND(VLOOKUP($H$2,'27年度'!$B$6:$GI$52,185,0),0)),"-")</f>
        <v>36933</v>
      </c>
      <c r="AG64" s="311">
        <f>IFERROR(IF(ISBLANK((VLOOKUP($H$2,'28年度'!$B$6:$GI$52,185,0))),"　 　－",ROUND(VLOOKUP($H$2,'28年度'!$B$6:$GI$52,185,0),0)),"-")</f>
        <v>33440</v>
      </c>
      <c r="AH64" s="351">
        <f>IFERROR(IF(ISBLANK((VLOOKUP($H$2,'29年度'!$B$6:$GI$52,185,0))),"　 　－",ROUND(VLOOKUP($H$2,'29年度'!$B$6:$GI$52,185,0),0)),"-")</f>
        <v>29736</v>
      </c>
      <c r="AI64" s="351">
        <f>IFERROR(IF(ISBLANK((VLOOKUP($H$2,'30年度'!$B$6:$GI$52,185,0))),"　 　－",ROUND(VLOOKUP($H$2,'30年度'!$B$6:$GI$52,185,0),0)),"-")</f>
        <v>28070</v>
      </c>
      <c r="AJ64" s="311">
        <f>IFERROR(IF(ISBLANK((VLOOKUP($H$2,'R1年度'!$B$6:$GJ$52,186,0))),"　 　－",ROUND(VLOOKUP($H$2,'R1年度'!$B$6:$GJ$52,186,0),0)),"-")</f>
        <v>27851</v>
      </c>
      <c r="AK64" s="311">
        <f>IFERROR(IF(ISBLANK((VLOOKUP($H$2,'R2年度'!$B$6:$GJ$52,187,0))),"　 　－",ROUND(VLOOKUP($H$2,'R2年度'!$B$6:$GJ$52,187,0),0)),"-")</f>
        <v>23124</v>
      </c>
      <c r="AL64" s="352">
        <f>IFERROR(IF(ISBLANK((VLOOKUP($H$2,'R3年度'!$B$6:$GJ$52,187,0))),"　 　－",ROUND(VLOOKUP($H$2,'R3年度'!$B$6:$GJ$52,187,0),0)),"-")</f>
        <v>20455</v>
      </c>
      <c r="AM64" s="351">
        <f>IFERROR(IF(ISBLANK((VLOOKUP($H$2,'R4年度'!$B$6:$GJ$52,187,0))),"　 　－",ROUND(VLOOKUP($H$2,'R4年度'!$B$6:$GJ$52,187,0),0)),"-")</f>
        <v>18452</v>
      </c>
      <c r="AN64" s="311">
        <f>IFERROR(IF(ISBLANK((VLOOKUP($H$2,'R5年度'!$B$6:$GJ$52,187,0))),"　 　－",ROUND(VLOOKUP($H$2,'R5年度'!$B$6:$GJ$52,187,0),0)),"-")</f>
        <v>16144</v>
      </c>
      <c r="AO64" s="353">
        <f>IFERROR(IF(ISBLANK((VLOOKUP($H$2,'R6年度'!$B$6:$GK$52,187,0))),"　 　－",ROUND(VLOOKUP($H$2,'R6年度'!$B$6:$GK$52,187,0),0)),"-")</f>
        <v>15130</v>
      </c>
    </row>
    <row r="65" spans="1:41" ht="15" customHeight="1" thickBot="1" x14ac:dyDescent="0.2">
      <c r="A65" s="17"/>
      <c r="B65" s="557"/>
      <c r="C65" s="20"/>
      <c r="D65" s="545" t="s">
        <v>309</v>
      </c>
      <c r="E65" s="546"/>
      <c r="F65" s="354" t="str">
        <f>IFERROR(IF(ISBLANK((VLOOKUP($H$2,'1年度'!$B$6:$GI$50,185,0))),"　　　－",VLOOKUP($H$2,'1年度'!$B$6:$GI$50,186,0)),"-")</f>
        <v>-</v>
      </c>
      <c r="G65" s="354" t="str">
        <f>IFERROR(IF(ISBLANK((VLOOKUP($H$2,'2年度'!$B$6:$GI$50,185,0))),"　　　－",VLOOKUP($H$2,'2年度'!$B$6:$GI$50,186,0)),"-")</f>
        <v>-</v>
      </c>
      <c r="H65" s="354" t="str">
        <f>IFERROR(IF(ISBLANK((VLOOKUP($H$2,'3年度'!$B$6:$GI$50,185,0))),"　　　－",VLOOKUP($H$2,'3年度'!$B$6:$GI$50,186,0)),"-")</f>
        <v>-</v>
      </c>
      <c r="I65" s="354" t="str">
        <f>IFERROR(IF(ISBLANK((VLOOKUP($H$2,'4年度'!$B$6:$GI$50,185,0))),"　　　－",VLOOKUP($H$2,'4年度'!$B$6:$GI$50,186,0)),"-")</f>
        <v>-</v>
      </c>
      <c r="J65" s="354" t="str">
        <f>IFERROR(IF(ISBLANK((VLOOKUP($H$2,'5年度'!$B$6:$GI$50,185,0))),"　　　－",VLOOKUP($H$2,'5年度'!$B$6:$GI$50,186,0)),"-")</f>
        <v>-</v>
      </c>
      <c r="K65" s="354" t="str">
        <f>IFERROR(IF(ISBLANK((VLOOKUP($H$2,'6年度'!$B$6:$GI$50,185,0))),"　　　－",VLOOKUP($H$2,'6年度'!$B$6:$GI$50,186,0)),"-")</f>
        <v>-</v>
      </c>
      <c r="L65" s="354" t="str">
        <f>IFERROR(IF(ISBLANK((VLOOKUP($H$2,'7年度'!$B$6:$GI$50,185,0))),"　　　－",VLOOKUP($H$2,'7年度'!$B$6:$GI$50,186,0)),"-")</f>
        <v>-</v>
      </c>
      <c r="M65" s="354" t="str">
        <f>IFERROR(IF(ISBLANK((VLOOKUP($H$2,'8年度'!$B$6:$GI$50,185,0))),"　　　－",VLOOKUP($H$2,'8年度'!$B$6:$GI$50,186,0)),"-")</f>
        <v>-</v>
      </c>
      <c r="N65" s="354" t="str">
        <f>IFERROR(IF(ISBLANK((VLOOKUP($H$2,'9年度'!$B$6:$GI$50,185,0))),"　　　－",VLOOKUP($H$2,'9年度'!$B$6:$GI$50,186,0)),"-")</f>
        <v>-</v>
      </c>
      <c r="O65" s="354" t="str">
        <f>IFERROR(IF(ISBLANK((VLOOKUP($H$2,'10年度'!$B$6:$GI$50,185,0))),"　　　－",VLOOKUP($H$2,'10年度'!$B$6:$GI$50,186,0)),"-")</f>
        <v>-</v>
      </c>
      <c r="P65" s="354" t="str">
        <f>IFERROR(IF(ISBLANK((VLOOKUP($H$2,'11年度'!$B$6:$GI$50,185,0))),"　　　－",VLOOKUP($H$2,'11年度'!$B$6:$GI$50,186,0)),"-")</f>
        <v>-</v>
      </c>
      <c r="Q65" s="354" t="str">
        <f>IFERROR(IF(ISBLANK((VLOOKUP($H$2,'12年度'!$B$6:$GI$50,185,0))),"　　　－",VLOOKUP($H$2,'12年度'!$B$6:$GI$50,186,0)),"-")</f>
        <v>-</v>
      </c>
      <c r="R65" s="354" t="str">
        <f>IFERROR(IF(ISBLANK((VLOOKUP($H$2,'13年度'!$B$6:$GI$50,185,0))),"　　　－",VLOOKUP($H$2,'13年度'!$B$6:$GI$50,186,0)),"-")</f>
        <v>-</v>
      </c>
      <c r="S65" s="354" t="str">
        <f>IFERROR(IF(ISBLANK((VLOOKUP($H$2,'14年度'!$B$6:$GI$50,185,0))),"　　　－",VLOOKUP($H$2,'14年度'!$B$6:$GI$50,186,0)),"-")</f>
        <v>-</v>
      </c>
      <c r="T65" s="355" t="str">
        <f>IFERROR(IF(ISBLANK((VLOOKUP($H$2,'15年度'!$B$6:$GI$50,185,0))),"　　　－",VLOOKUP($H$2,'15年度'!$B$6:$GI$50,186,0)),"-")</f>
        <v>-</v>
      </c>
      <c r="U65" s="354" t="str">
        <f>IFERROR(IF(ISBLANK((VLOOKUP($H$2,'16年度'!$B$6:$GI$50,185,0))),"　　　－",VLOOKUP($H$2,'16年度'!$B$6:$GI$50,186,0)),"-")</f>
        <v>-</v>
      </c>
      <c r="V65" s="356" t="str">
        <f>IFERROR(IF(ISBLANK((VLOOKUP($H$2,'17年度'!$B$6:$GI$50,185,0))),"　　　－",VLOOKUP($H$2,'17年度'!$B$6:$GI$50,186,0)),"-")</f>
        <v>-</v>
      </c>
      <c r="W65" s="355" t="str">
        <f>IFERROR(IF(ISBLANK((VLOOKUP($H$2,'18年度'!$B$6:$GI$50,185,0))),"　　　－",VLOOKUP($H$2,'18年度'!$B$6:$GI$50,186,0)),"-")</f>
        <v>-</v>
      </c>
      <c r="X65" s="355" t="str">
        <f>IFERROR(IF(ISBLANK((VLOOKUP($H$2,'19年度'!$B$6:$GI$50,185,0))),"　　　－",VLOOKUP($H$2,'19年度'!$B$6:$GI$50,186,0)),"-")</f>
        <v>-</v>
      </c>
      <c r="Y65" s="355" t="str">
        <f>IFERROR(IF(ISBLANK((VLOOKUP($H$2,'20年度'!$B$6:$GI$50,185,0))),"　　　－",VLOOKUP($H$2,'20年度'!$B$6:$GI$50,186,0)),"-")</f>
        <v>-</v>
      </c>
      <c r="Z65" s="355" t="str">
        <f>IFERROR(IF(ISBLANK((VLOOKUP($H$2,'21年度'!$B$6:$GI$50,185,0))),"　　　－",VLOOKUP($H$2,'21年度'!$B$6:$GI$50,186,0)),"-")</f>
        <v>-</v>
      </c>
      <c r="AA65" s="354" t="str">
        <f>IFERROR(IF(ISBLANK((VLOOKUP($H$2,'22年度'!$B$6:$GI$50,185,0))),"　　　－",VLOOKUP($H$2,'22年度'!$B$6:$GI$50,186,0)),"-")</f>
        <v>-</v>
      </c>
      <c r="AB65" s="356">
        <f>IFERROR(IF(ISBLANK((VLOOKUP($H$2,'23年度'!$B$6:$GI$52,185,0))),"　　　－",VLOOKUP($H$2,'23年度'!$B$6:$GI$52,186,0)),"-")</f>
        <v>14</v>
      </c>
      <c r="AC65" s="355">
        <f>IFERROR(IF(ISBLANK((VLOOKUP($H$2,'24年度'!$B$6:$GI$52,185,0))),"　　　－",VLOOKUP($H$2,'24年度'!$B$6:$GI$52,186,0)),"-")</f>
        <v>12.4</v>
      </c>
      <c r="AD65" s="355">
        <f>IFERROR(IF(ISBLANK((VLOOKUP($H$2,'25年度'!$B$6:$GI$52,185,0))),"　　　－",VLOOKUP($H$2,'25年度'!$B$6:$GI$52,186,0)),"-")</f>
        <v>9.3000000000000007</v>
      </c>
      <c r="AE65" s="355">
        <f>IFERROR(IF(ISBLANK((VLOOKUP($H$2,'26年度'!$B$6:$GI$52,185,0))),"　　　－",VLOOKUP($H$2,'26年度'!$B$6:$GI$52,186,0)),"-")</f>
        <v>8.4</v>
      </c>
      <c r="AF65" s="354">
        <f>IFERROR(IF(ISBLANK((VLOOKUP($H$2,'27年度'!$B$6:$GI$52,185,0))),"　　　－",VLOOKUP($H$2,'27年度'!$B$6:$GI$52,186,0)),"-")</f>
        <v>10.1</v>
      </c>
      <c r="AG65" s="354">
        <f>IFERROR(IF(ISBLANK((VLOOKUP($H$2,'28年度'!$B$6:$GI$52,185,0))),"　　　－",VLOOKUP($H$2,'28年度'!$B$6:$GI$52,186,0)),"-")</f>
        <v>9.4</v>
      </c>
      <c r="AH65" s="356">
        <f>IFERROR(IF(ISBLANK((VLOOKUP($H$2,'29年度'!$B$6:$GI$52,185,0))),"　　　－",VLOOKUP($H$2,'29年度'!$B$6:$GI$52,186,0)),"-")</f>
        <v>8.1999999999999993</v>
      </c>
      <c r="AI65" s="355">
        <f>IFERROR(IF(ISBLANK((VLOOKUP($H$2,'30年度'!$B$6:$GI$52,185,0))),"　　　－",VLOOKUP($H$2,'30年度'!$B$6:$GI$52,186,0)),"-")</f>
        <v>7.7</v>
      </c>
      <c r="AJ65" s="354">
        <f>IFERROR(IF(ISBLANK((VLOOKUP($H$2,'R1年度'!$B$6:$GJ$52,186,0))),"　　　－",VLOOKUP($H$2,'R1年度'!$B$6:$GJ$52,187,0)),"-")</f>
        <v>7.7</v>
      </c>
      <c r="AK65" s="354">
        <f>IFERROR(IF(ISBLANK((VLOOKUP($H$2,'R2年度'!$B$6:$GJ$52,187,0))),"　　　－",VLOOKUP($H$2,'R2年度'!$B$6:$GJ$52,188,0)),"-")</f>
        <v>6.2</v>
      </c>
      <c r="AL65" s="356">
        <f>IFERROR(IF(ISBLANK((VLOOKUP($H$2,'R3年度'!$B$6:$GJ$52,187,0))),"　　　－",VLOOKUP($H$2,'R3年度'!$B$6:$GJ$52,188,0)),"-")</f>
        <v>5.2</v>
      </c>
      <c r="AM65" s="355">
        <f>IFERROR(IF(ISBLANK((VLOOKUP($H$2,'R4年度'!$B$6:$GJ$52,187,0))),"　　　－",VLOOKUP($H$2,'R4年度'!$B$6:$GJ$52,188,0)),"-")</f>
        <v>4.8</v>
      </c>
      <c r="AN65" s="354">
        <f>IFERROR(IF(ISBLANK((VLOOKUP($H$2,'R5年度'!$B$6:$GJ$52,187,0))),"　　　－",VLOOKUP($H$2,'R5年度'!$B$6:$GJ$52,188,0)),"-")</f>
        <v>4.3</v>
      </c>
      <c r="AO65" s="357">
        <f>IFERROR(IF(ISBLANK((VLOOKUP($H$2,'R6年度'!$B$6:$GK$52,187,0))),"　　　－",VLOOKUP($H$2,'R6年度'!$B$6:$GK$52,188,0)),"-")</f>
        <v>3.9</v>
      </c>
    </row>
    <row r="66" spans="1:41" ht="15" customHeight="1" x14ac:dyDescent="0.15">
      <c r="A66" s="17"/>
      <c r="B66" s="555" t="s">
        <v>319</v>
      </c>
      <c r="C66" s="521" t="s">
        <v>320</v>
      </c>
      <c r="D66" s="485"/>
      <c r="E66" s="486"/>
      <c r="F66" s="322" t="str">
        <f>IFERROR(VLOOKUP($H$2,'1年度'!$B$6:$GI$50,189,0),"-")</f>
        <v>-</v>
      </c>
      <c r="G66" s="322" t="str">
        <f>IFERROR(VLOOKUP($H$2,'2年度'!$B$6:$GI$50,189,0),"-")</f>
        <v>-</v>
      </c>
      <c r="H66" s="322" t="str">
        <f>IFERROR(VLOOKUP($H$2,'3年度'!$B$6:$GI$50,189,0),"-")</f>
        <v>-</v>
      </c>
      <c r="I66" s="322" t="str">
        <f>IFERROR(VLOOKUP($H$2,'4年度'!$B$6:$GI$50,189,0),"-")</f>
        <v>-</v>
      </c>
      <c r="J66" s="322" t="str">
        <f>IFERROR(VLOOKUP($H$2,'5年度'!$B$6:$GI$50,189,0),"-")</f>
        <v>-</v>
      </c>
      <c r="K66" s="322" t="str">
        <f>IFERROR(VLOOKUP($H$2,'6年度'!$B$6:$GI$50,189,0),"-")</f>
        <v>-</v>
      </c>
      <c r="L66" s="322" t="str">
        <f>IFERROR(VLOOKUP($H$2,'7年度'!$B$6:$GI$50,189,0),"-")</f>
        <v>-</v>
      </c>
      <c r="M66" s="322" t="str">
        <f>IFERROR(VLOOKUP($H$2,'8年度'!$B$6:$GI$50,189,0),"-")</f>
        <v>-</v>
      </c>
      <c r="N66" s="322" t="str">
        <f>IFERROR(VLOOKUP($H$2,'9年度'!$B$6:$GI$50,189,0),"-")</f>
        <v>-</v>
      </c>
      <c r="O66" s="322" t="str">
        <f>IFERROR(VLOOKUP($H$2,'10年度'!$B$6:$GI$50,189,0),"-")</f>
        <v>-</v>
      </c>
      <c r="P66" s="322" t="str">
        <f>IFERROR(VLOOKUP($H$2,'11年度'!$B$6:$GI$50,189,0),"-")</f>
        <v>-</v>
      </c>
      <c r="Q66" s="322" t="str">
        <f>IFERROR(VLOOKUP($H$2,'12年度'!$B$6:$GI$50,189,0),"-")</f>
        <v>-</v>
      </c>
      <c r="R66" s="322" t="str">
        <f>IFERROR(VLOOKUP($H$2,'13年度'!$B$6:$GI$50,189,0),"-")</f>
        <v>-</v>
      </c>
      <c r="S66" s="322" t="str">
        <f>IFERROR(VLOOKUP($H$2,'14年度'!$B$6:$GI$50,189,0),"-")</f>
        <v>-</v>
      </c>
      <c r="T66" s="323" t="str">
        <f>IFERROR(VLOOKUP($H$2,'15年度'!$B$6:$GI$50,189,0),"-")</f>
        <v>-</v>
      </c>
      <c r="U66" s="322" t="str">
        <f>IFERROR(VLOOKUP($H$2,'16年度'!$B$6:$GI$50,189,0),"-")</f>
        <v>-</v>
      </c>
      <c r="V66" s="324" t="str">
        <f>IFERROR(VLOOKUP($H$2,'17年度'!$B$6:$GI$50,189,0),"-")</f>
        <v>-</v>
      </c>
      <c r="W66" s="323" t="str">
        <f>IFERROR(VLOOKUP($H$2,'18年度'!$B$6:$GI$50,189,0),"-")</f>
        <v>-</v>
      </c>
      <c r="X66" s="323" t="str">
        <f>IFERROR(VLOOKUP($H$2,'19年度'!$B$6:$GI$50,189,0),"-")</f>
        <v>-</v>
      </c>
      <c r="Y66" s="323" t="str">
        <f>IFERROR(VLOOKUP($H$2,'20年度'!$B$6:$GI$50,189,0),"-")</f>
        <v>-</v>
      </c>
      <c r="Z66" s="323" t="str">
        <f>IFERROR(VLOOKUP($H$2,'21年度'!$B$6:$GI$50,189,0),"-")</f>
        <v>-</v>
      </c>
      <c r="AA66" s="322" t="str">
        <f>IFERROR(VLOOKUP($H$2,'22年度'!$B$6:$GI$50,189,0),"-")</f>
        <v>-</v>
      </c>
      <c r="AB66" s="324">
        <f>IFERROR(VLOOKUP($H$2,'23年度'!$B$6:$GI$52,189,0),"-")</f>
        <v>94.806176888521307</v>
      </c>
      <c r="AC66" s="323">
        <f>IFERROR(VLOOKUP($H$2,'24年度'!$B$6:$GI$52,189,0),"-")</f>
        <v>95.2</v>
      </c>
      <c r="AD66" s="323">
        <f>IFERROR(VLOOKUP($H$2,'25年度'!$B$6:$GI$52,189,0),"-")</f>
        <v>95.8</v>
      </c>
      <c r="AE66" s="323">
        <f>IFERROR(VLOOKUP($H$2,'26年度'!$B$6:$GI$52,189,0),"-")</f>
        <v>96.3</v>
      </c>
      <c r="AF66" s="322">
        <f>IFERROR(VLOOKUP($H$2,'27年度'!$B$6:$GI$52,189,0),"-")</f>
        <v>96.9</v>
      </c>
      <c r="AG66" s="322">
        <f>IFERROR(VLOOKUP($H$2,'28年度'!$B$6:$GI$52,189,0),"-")</f>
        <v>97.4</v>
      </c>
      <c r="AH66" s="324">
        <f>IFERROR(VLOOKUP($H$2,'29年度'!$B$6:$GI$52,189,0),"-")</f>
        <v>97.9</v>
      </c>
      <c r="AI66" s="323">
        <f>IFERROR(VLOOKUP($H$2,'30年度'!$B$6:$GI$52,189,0),"-")</f>
        <v>98.2</v>
      </c>
      <c r="AJ66" s="322">
        <f>IFERROR(VLOOKUP($H$2,'R1年度'!$B$6:$GJ$52,190,0),"-")</f>
        <v>98.4</v>
      </c>
      <c r="AK66" s="322">
        <f>IFERROR(VLOOKUP($H$2,'R2年度'!$B$6:$GJ$52,191,0),"-")</f>
        <v>97.4</v>
      </c>
      <c r="AL66" s="324">
        <f>IFERROR(VLOOKUP($H$2,'R3年度'!$B$6:$GJ$52,191,0),"-")</f>
        <v>98.6</v>
      </c>
      <c r="AM66" s="323">
        <f>IFERROR(VLOOKUP($H$2,'R4年度'!$B$6:$GJ$52,191,0),"-")</f>
        <v>98.7</v>
      </c>
      <c r="AN66" s="322">
        <f>IFERROR(VLOOKUP($H$2,'R5年度'!$B$6:$GJ$52,191,0),"-")</f>
        <v>98.7</v>
      </c>
      <c r="AO66" s="325">
        <f>IFERROR(VLOOKUP($H$2,'R6年度'!$B$6:$GK$52,191,0),"-")</f>
        <v>98.8</v>
      </c>
    </row>
    <row r="67" spans="1:41" ht="15" customHeight="1" x14ac:dyDescent="0.15">
      <c r="A67" s="17"/>
      <c r="B67" s="509"/>
      <c r="C67" s="168"/>
      <c r="D67" s="551" t="s">
        <v>321</v>
      </c>
      <c r="E67" s="552"/>
      <c r="F67" s="361" t="str">
        <f>IFERROR(VLOOKUP($H$2,'1年度'!$B$6:$GI$50,187,0),"-")</f>
        <v>-</v>
      </c>
      <c r="G67" s="361" t="str">
        <f>IFERROR(VLOOKUP($H$2,'2年度'!$B$6:$GI$50,187,0),"-")</f>
        <v>-</v>
      </c>
      <c r="H67" s="361" t="str">
        <f>IFERROR(VLOOKUP($H$2,'3年度'!$B$6:$GI$50,187,0),"-")</f>
        <v>-</v>
      </c>
      <c r="I67" s="361" t="str">
        <f>IFERROR(VLOOKUP($H$2,'4年度'!$B$6:$GI$50,187,0),"-")</f>
        <v>-</v>
      </c>
      <c r="J67" s="361" t="str">
        <f>IFERROR(VLOOKUP($H$2,'5年度'!$B$6:$GI$50,187,0),"-")</f>
        <v>-</v>
      </c>
      <c r="K67" s="361" t="str">
        <f>IFERROR(VLOOKUP($H$2,'6年度'!$B$6:$GI$50,187,0),"-")</f>
        <v>-</v>
      </c>
      <c r="L67" s="361" t="str">
        <f>IFERROR(VLOOKUP($H$2,'7年度'!$B$6:$GI$50,187,0),"-")</f>
        <v>-</v>
      </c>
      <c r="M67" s="361" t="str">
        <f>IFERROR(VLOOKUP($H$2,'8年度'!$B$6:$GI$50,187,0),"-")</f>
        <v>-</v>
      </c>
      <c r="N67" s="361" t="str">
        <f>IFERROR(VLOOKUP($H$2,'9年度'!$B$6:$GI$50,187,0),"-")</f>
        <v>-</v>
      </c>
      <c r="O67" s="361" t="str">
        <f>IFERROR(VLOOKUP($H$2,'10年度'!$B$6:$GI$50,187,0),"-")</f>
        <v>-</v>
      </c>
      <c r="P67" s="361" t="str">
        <f>IFERROR(VLOOKUP($H$2,'11年度'!$B$6:$GI$50,187,0),"-")</f>
        <v>-</v>
      </c>
      <c r="Q67" s="361" t="str">
        <f>IFERROR(VLOOKUP($H$2,'12年度'!$B$6:$GI$50,187,0),"-")</f>
        <v>-</v>
      </c>
      <c r="R67" s="361" t="str">
        <f>IFERROR(VLOOKUP($H$2,'13年度'!$B$6:$GI$50,187,0),"-")</f>
        <v>-</v>
      </c>
      <c r="S67" s="361" t="str">
        <f>IFERROR(VLOOKUP($H$2,'14年度'!$B$6:$GI$50,187,0),"-")</f>
        <v>-</v>
      </c>
      <c r="T67" s="362" t="str">
        <f>IFERROR(VLOOKUP($H$2,'15年度'!$B$6:$GI$50,187,0),"-")</f>
        <v>-</v>
      </c>
      <c r="U67" s="361" t="str">
        <f>IFERROR(VLOOKUP($H$2,'16年度'!$B$6:$GI$50,187,0),"-")</f>
        <v>-</v>
      </c>
      <c r="V67" s="363" t="str">
        <f>IFERROR(VLOOKUP($H$2,'17年度'!$B$6:$GI$50,187,0),"-")</f>
        <v>-</v>
      </c>
      <c r="W67" s="362" t="str">
        <f>IFERROR(VLOOKUP($H$2,'18年度'!$B$6:$GI$50,187,0),"-")</f>
        <v>-</v>
      </c>
      <c r="X67" s="362" t="str">
        <f>IFERROR(VLOOKUP($H$2,'19年度'!$B$6:$GI$50,187,0),"-")</f>
        <v>-</v>
      </c>
      <c r="Y67" s="362" t="str">
        <f>IFERROR(VLOOKUP($H$2,'20年度'!$B$6:$GI$50,187,0),"-")</f>
        <v>-</v>
      </c>
      <c r="Z67" s="362" t="str">
        <f>IFERROR(VLOOKUP($H$2,'21年度'!$B$6:$GI$50,187,0),"-")</f>
        <v>-</v>
      </c>
      <c r="AA67" s="361" t="str">
        <f>IFERROR(VLOOKUP($H$2,'22年度'!$B$6:$GI$50,187,0),"-")</f>
        <v>-</v>
      </c>
      <c r="AB67" s="363">
        <f>IFERROR(VLOOKUP($H$2,'23年度'!$B$6:$GI$52,187,0),"-")</f>
        <v>98.583747722191376</v>
      </c>
      <c r="AC67" s="362">
        <f>IFERROR(VLOOKUP($H$2,'24年度'!$B$6:$GI$52,187,0),"-")</f>
        <v>98.8</v>
      </c>
      <c r="AD67" s="362">
        <f>IFERROR(VLOOKUP($H$2,'25年度'!$B$6:$GI$52,187,0),"-")</f>
        <v>98.9</v>
      </c>
      <c r="AE67" s="362">
        <f>IFERROR(VLOOKUP($H$2,'26年度'!$B$6:$GI$52,187,0),"-")</f>
        <v>99</v>
      </c>
      <c r="AF67" s="361">
        <f>IFERROR(VLOOKUP($H$2,'27年度'!$B$6:$GI$52,187,0),"-")</f>
        <v>99.2</v>
      </c>
      <c r="AG67" s="361">
        <f>IFERROR(VLOOKUP($H$2,'28年度'!$B$6:$GI$52,187,0),"-")</f>
        <v>99.3</v>
      </c>
      <c r="AH67" s="363">
        <f>IFERROR(VLOOKUP($H$2,'29年度'!$B$6:$GI$52,187,0),"-")</f>
        <v>99.3</v>
      </c>
      <c r="AI67" s="362">
        <f>IFERROR(VLOOKUP($H$2,'30年度'!$B$6:$GI$52,187,0),"-")</f>
        <v>99.4</v>
      </c>
      <c r="AJ67" s="361">
        <f>IFERROR(VLOOKUP($H$2,'R1年度'!$B$6:$GJ$52,188,0),"-")</f>
        <v>99.4</v>
      </c>
      <c r="AK67" s="361">
        <f>IFERROR(VLOOKUP($H$2,'R2年度'!$B$6:$GJ$52,189,0),"-")</f>
        <v>98.3</v>
      </c>
      <c r="AL67" s="363">
        <f>IFERROR(VLOOKUP($H$2,'R3年度'!$B$6:$GJ$52,189,0),"-")</f>
        <v>99.5</v>
      </c>
      <c r="AM67" s="362">
        <f>IFERROR(VLOOKUP($H$2,'R4年度'!$B$6:$GJ$52,189,0),"-")</f>
        <v>99.5</v>
      </c>
      <c r="AN67" s="361">
        <f>IFERROR(VLOOKUP($H$2,'R5年度'!$B$6:$GJ$52,189,0),"-")</f>
        <v>99.5</v>
      </c>
      <c r="AO67" s="364">
        <f>IFERROR(VLOOKUP($H$2,'R6年度'!$B$6:$GK$52,189,0),"-")</f>
        <v>99.5</v>
      </c>
    </row>
    <row r="68" spans="1:41" ht="15" customHeight="1" thickBot="1" x14ac:dyDescent="0.2">
      <c r="A68" s="17"/>
      <c r="B68" s="512"/>
      <c r="C68" s="20"/>
      <c r="D68" s="549" t="s">
        <v>322</v>
      </c>
      <c r="E68" s="546"/>
      <c r="F68" s="365" t="str">
        <f>IFERROR(VLOOKUP($H$2,'1年度'!$B$6:$GI$50,188,0),"-")</f>
        <v>-</v>
      </c>
      <c r="G68" s="365" t="str">
        <f>IFERROR(VLOOKUP($H$2,'2年度'!$B$6:$GI$50,188,0),"-")</f>
        <v>-</v>
      </c>
      <c r="H68" s="365" t="str">
        <f>IFERROR(VLOOKUP($H$2,'3年度'!$B$6:$GI$50,188,0),"-")</f>
        <v>-</v>
      </c>
      <c r="I68" s="365" t="str">
        <f>IFERROR(VLOOKUP($H$2,'4年度'!$B$6:$GI$50,188,0),"-")</f>
        <v>-</v>
      </c>
      <c r="J68" s="365" t="str">
        <f>IFERROR(VLOOKUP($H$2,'5年度'!$B$6:$GI$50,188,0),"-")</f>
        <v>-</v>
      </c>
      <c r="K68" s="365" t="str">
        <f>IFERROR(VLOOKUP($H$2,'6年度'!$B$6:$GI$50,188,0),"-")</f>
        <v>-</v>
      </c>
      <c r="L68" s="365" t="str">
        <f>IFERROR(VLOOKUP($H$2,'7年度'!$B$6:$GI$50,188,0),"-")</f>
        <v>-</v>
      </c>
      <c r="M68" s="365" t="str">
        <f>IFERROR(VLOOKUP($H$2,'8年度'!$B$6:$GI$50,188,0),"-")</f>
        <v>-</v>
      </c>
      <c r="N68" s="365" t="str">
        <f>IFERROR(VLOOKUP($H$2,'9年度'!$B$6:$GI$50,188,0),"-")</f>
        <v>-</v>
      </c>
      <c r="O68" s="365" t="str">
        <f>IFERROR(VLOOKUP($H$2,'10年度'!$B$6:$GI$50,188,0),"-")</f>
        <v>-</v>
      </c>
      <c r="P68" s="365" t="str">
        <f>IFERROR(VLOOKUP($H$2,'11年度'!$B$6:$GI$50,188,0),"-")</f>
        <v>-</v>
      </c>
      <c r="Q68" s="365" t="str">
        <f>IFERROR(VLOOKUP($H$2,'12年度'!$B$6:$GI$50,188,0),"-")</f>
        <v>-</v>
      </c>
      <c r="R68" s="365" t="str">
        <f>IFERROR(VLOOKUP($H$2,'13年度'!$B$6:$GI$50,188,0),"-")</f>
        <v>-</v>
      </c>
      <c r="S68" s="365" t="str">
        <f>IFERROR(VLOOKUP($H$2,'14年度'!$B$6:$GI$50,188,0),"-")</f>
        <v>-</v>
      </c>
      <c r="T68" s="366" t="str">
        <f>IFERROR(VLOOKUP($H$2,'15年度'!$B$6:$GI$50,188,0),"-")</f>
        <v>-</v>
      </c>
      <c r="U68" s="365" t="str">
        <f>IFERROR(VLOOKUP($H$2,'16年度'!$B$6:$GI$50,188,0),"-")</f>
        <v>-</v>
      </c>
      <c r="V68" s="367" t="str">
        <f>IFERROR(VLOOKUP($H$2,'17年度'!$B$6:$GI$50,188,0),"-")</f>
        <v>-</v>
      </c>
      <c r="W68" s="366" t="str">
        <f>IFERROR(VLOOKUP($H$2,'18年度'!$B$6:$GI$50,188,0),"-")</f>
        <v>-</v>
      </c>
      <c r="X68" s="366" t="str">
        <f>IFERROR(VLOOKUP($H$2,'19年度'!$B$6:$GI$50,188,0),"-")</f>
        <v>-</v>
      </c>
      <c r="Y68" s="366" t="str">
        <f>IFERROR(VLOOKUP($H$2,'20年度'!$B$6:$GI$50,188,0),"-")</f>
        <v>-</v>
      </c>
      <c r="Z68" s="366" t="str">
        <f>IFERROR(VLOOKUP($H$2,'21年度'!$B$6:$GI$50,188,0),"-")</f>
        <v>-</v>
      </c>
      <c r="AA68" s="365" t="str">
        <f>IFERROR(VLOOKUP($H$2,'22年度'!$B$6:$GI$50,188,0),"-")</f>
        <v>-</v>
      </c>
      <c r="AB68" s="367">
        <f>IFERROR(VLOOKUP($H$2,'23年度'!$B$6:$GI$52,188,0),"-")</f>
        <v>24.717392951232679</v>
      </c>
      <c r="AC68" s="366">
        <f>IFERROR(VLOOKUP($H$2,'24年度'!$B$6:$GI$52,188,0),"-")</f>
        <v>25.1</v>
      </c>
      <c r="AD68" s="366">
        <f>IFERROR(VLOOKUP($H$2,'25年度'!$B$6:$GI$52,188,0),"-")</f>
        <v>26.3</v>
      </c>
      <c r="AE68" s="366">
        <f>IFERROR(VLOOKUP($H$2,'26年度'!$B$6:$GI$52,188,0),"-")</f>
        <v>26.4</v>
      </c>
      <c r="AF68" s="365">
        <f>IFERROR(VLOOKUP($H$2,'27年度'!$B$6:$GI$52,188,0),"-")</f>
        <v>29.9</v>
      </c>
      <c r="AG68" s="365">
        <f>IFERROR(VLOOKUP($H$2,'28年度'!$B$6:$GI$52,188,0),"-")</f>
        <v>32.299999999999997</v>
      </c>
      <c r="AH68" s="367">
        <f>IFERROR(VLOOKUP($H$2,'29年度'!$B$6:$GI$52,188,0),"-")</f>
        <v>33.700000000000003</v>
      </c>
      <c r="AI68" s="366">
        <f>IFERROR(VLOOKUP($H$2,'30年度'!$B$6:$GI$52,188,0),"-")</f>
        <v>34.1</v>
      </c>
      <c r="AJ68" s="365">
        <f>IFERROR(VLOOKUP($H$2,'R1年度'!$B$6:$GJ$52,189,0),"-")</f>
        <v>36.299999999999997</v>
      </c>
      <c r="AK68" s="365">
        <f>IFERROR(VLOOKUP($H$2,'R2年度'!$B$6:$GJ$52,190,0),"-")</f>
        <v>37.700000000000003</v>
      </c>
      <c r="AL68" s="367">
        <f>IFERROR(VLOOKUP($H$2,'R3年度'!$B$6:$GJ$52,190,0),"-")</f>
        <v>62.6</v>
      </c>
      <c r="AM68" s="366">
        <f>IFERROR(VLOOKUP($H$2,'R4年度'!$B$6:$GJ$52,190,0),"-")</f>
        <v>35.6</v>
      </c>
      <c r="AN68" s="365">
        <f>IFERROR(VLOOKUP($H$2,'R5年度'!$B$6:$GJ$52,190,0),"-")</f>
        <v>36.200000000000003</v>
      </c>
      <c r="AO68" s="368">
        <f>IFERROR(VLOOKUP($H$2,'R6年度'!$B$6:$GK$52,190,0),"-")</f>
        <v>36.5</v>
      </c>
    </row>
    <row r="69" spans="1:41" ht="15" customHeight="1" thickBot="1" x14ac:dyDescent="0.2">
      <c r="A69" s="17"/>
      <c r="B69" s="493" t="s">
        <v>323</v>
      </c>
      <c r="C69" s="494"/>
      <c r="D69" s="494"/>
      <c r="E69" s="474"/>
      <c r="F69" s="369" t="str">
        <f>IFERROR(VLOOKUP($H$2,'1年度'!$B$6:$GI$50,190,0),"-")</f>
        <v>-</v>
      </c>
      <c r="G69" s="369" t="str">
        <f>IFERROR(VLOOKUP($H$2,'2年度'!$B$6:$GI$50,190,0),"-")</f>
        <v>-</v>
      </c>
      <c r="H69" s="369" t="str">
        <f>IFERROR(VLOOKUP($H$2,'3年度'!$B$6:$GI$50,190,0),"-")</f>
        <v>-</v>
      </c>
      <c r="I69" s="369" t="str">
        <f>IFERROR(VLOOKUP($H$2,'4年度'!$B$6:$GI$50,190,0),"-")</f>
        <v>-</v>
      </c>
      <c r="J69" s="369" t="str">
        <f>IFERROR(VLOOKUP($H$2,'5年度'!$B$6:$GI$50,190,0),"-")</f>
        <v>-</v>
      </c>
      <c r="K69" s="369" t="str">
        <f>IFERROR(VLOOKUP($H$2,'6年度'!$B$6:$GI$50,190,0),"-")</f>
        <v>-</v>
      </c>
      <c r="L69" s="369" t="str">
        <f>IFERROR(VLOOKUP($H$2,'7年度'!$B$6:$GI$50,190,0),"-")</f>
        <v>-</v>
      </c>
      <c r="M69" s="369" t="str">
        <f>IFERROR(VLOOKUP($H$2,'8年度'!$B$6:$GI$50,190,0),"-")</f>
        <v>-</v>
      </c>
      <c r="N69" s="369" t="str">
        <f>IFERROR(VLOOKUP($H$2,'9年度'!$B$6:$GI$50,190,0),"-")</f>
        <v>-</v>
      </c>
      <c r="O69" s="369" t="str">
        <f>IFERROR(VLOOKUP($H$2,'10年度'!$B$6:$GI$50,190,0),"-")</f>
        <v>-</v>
      </c>
      <c r="P69" s="369" t="str">
        <f>IFERROR(VLOOKUP($H$2,'11年度'!$B$6:$GI$50,190,0),"-")</f>
        <v>-</v>
      </c>
      <c r="Q69" s="369" t="str">
        <f>IFERROR(VLOOKUP($H$2,'12年度'!$B$6:$GI$50,190,0),"-")</f>
        <v>-</v>
      </c>
      <c r="R69" s="369" t="str">
        <f>IFERROR(VLOOKUP($H$2,'13年度'!$B$6:$GI$50,190,0),"-")</f>
        <v>-</v>
      </c>
      <c r="S69" s="369" t="str">
        <f>IFERROR(VLOOKUP($H$2,'14年度'!$B$6:$GI$50,190,0),"-")</f>
        <v>-</v>
      </c>
      <c r="T69" s="370" t="str">
        <f>IFERROR(VLOOKUP($H$2,'15年度'!$B$6:$GI$50,190,0),"-")</f>
        <v>-</v>
      </c>
      <c r="U69" s="369" t="str">
        <f>IFERROR(VLOOKUP($H$2,'16年度'!$B$6:$GI$50,190,0),"-")</f>
        <v>-</v>
      </c>
      <c r="V69" s="371" t="str">
        <f>IFERROR(VLOOKUP($H$2,'17年度'!$B$6:$GI$50,190,0),"-")</f>
        <v>-</v>
      </c>
      <c r="W69" s="370" t="str">
        <f>IFERROR(VLOOKUP($H$2,'18年度'!$B$6:$GI$50,190,0),"-")</f>
        <v>-</v>
      </c>
      <c r="X69" s="370" t="str">
        <f>IFERROR(VLOOKUP($H$2,'19年度'!$B$6:$GI$50,190,0),"-")</f>
        <v>-</v>
      </c>
      <c r="Y69" s="370" t="str">
        <f>IFERROR(VLOOKUP($H$2,'20年度'!$B$6:$GI$50,190,0),"-")</f>
        <v>-</v>
      </c>
      <c r="Z69" s="370" t="str">
        <f>IFERROR(VLOOKUP($H$2,'21年度'!$B$6:$GI$50,190,0),"-")</f>
        <v>-</v>
      </c>
      <c r="AA69" s="369" t="str">
        <f>IFERROR(VLOOKUP($H$2,'22年度'!$B$6:$GI$50,190,0),"-")</f>
        <v>-</v>
      </c>
      <c r="AB69" s="371">
        <f>IFERROR(VLOOKUP($H$2,'23年度'!$B$6:$GI$52,190,0),"-")</f>
        <v>61666</v>
      </c>
      <c r="AC69" s="370">
        <f>IFERROR(VLOOKUP($H$2,'24年度'!$B$6:$GI$52,190,0),"-")</f>
        <v>60477</v>
      </c>
      <c r="AD69" s="370">
        <f>IFERROR(VLOOKUP($H$2,'25年度'!$B$6:$GI$52,190,0),"-")</f>
        <v>59304</v>
      </c>
      <c r="AE69" s="370">
        <f>IFERROR(VLOOKUP($H$2,'26年度'!$B$6:$GI$52,190,0),"-")</f>
        <v>59013</v>
      </c>
      <c r="AF69" s="369">
        <f>IFERROR(VLOOKUP($H$2,'27年度'!$B$6:$GI$52,190,0),"-")</f>
        <v>30931</v>
      </c>
      <c r="AG69" s="369">
        <f>IFERROR(VLOOKUP($H$2,'28年度'!$B$6:$GI$52,190,0),"-")</f>
        <v>68054</v>
      </c>
      <c r="AH69" s="371">
        <f>IFERROR(VLOOKUP($H$2,'29年度'!$B$6:$GI$52,190,0),"-")</f>
        <v>72962</v>
      </c>
      <c r="AI69" s="370">
        <f>IFERROR(VLOOKUP($H$2,'30年度'!$B$6:$GI$52,190,0),"-")</f>
        <v>71743</v>
      </c>
      <c r="AJ69" s="369">
        <f>IFERROR(VLOOKUP($H$2,'R1年度'!$B$6:$GJ$52,191,0),"-")</f>
        <v>71864</v>
      </c>
      <c r="AK69" s="369">
        <f>IFERROR(VLOOKUP($H$2,'R2年度'!$B$6:$GK$52,192,0),"-")</f>
        <v>73382</v>
      </c>
      <c r="AL69" s="371">
        <f>IFERROR(VLOOKUP($H$2,'R3年度'!$B$6:$GK$52,192,0),"-")</f>
        <v>74956</v>
      </c>
      <c r="AM69" s="370">
        <f>IFERROR(VLOOKUP($H$2,'R4年度'!$B$6:$GK$52,192,0),"-")</f>
        <v>74573</v>
      </c>
      <c r="AN69" s="369">
        <f>IFERROR(VLOOKUP($H$2,'R5年度'!$B$6:$GK$52,192,0),"-")</f>
        <v>75170</v>
      </c>
      <c r="AO69" s="372">
        <f>IFERROR(VLOOKUP($H$2,'R6年度'!$B$6:$GL$52,192,0),"-")</f>
        <v>75391</v>
      </c>
    </row>
    <row r="70" spans="1:41" x14ac:dyDescent="0.15">
      <c r="B70" s="31" t="s">
        <v>324</v>
      </c>
      <c r="AG70" s="163"/>
    </row>
    <row r="71" spans="1:41" x14ac:dyDescent="0.15">
      <c r="B71" s="31" t="s">
        <v>325</v>
      </c>
      <c r="H71" s="31" t="s">
        <v>326</v>
      </c>
    </row>
  </sheetData>
  <mergeCells count="73">
    <mergeCell ref="D68:E68"/>
    <mergeCell ref="D33:E33"/>
    <mergeCell ref="C45:E45"/>
    <mergeCell ref="B69:E69"/>
    <mergeCell ref="D67:E67"/>
    <mergeCell ref="D51:E51"/>
    <mergeCell ref="D38:E38"/>
    <mergeCell ref="C64:E64"/>
    <mergeCell ref="D54:E54"/>
    <mergeCell ref="C35:E35"/>
    <mergeCell ref="D50:E50"/>
    <mergeCell ref="B66:B68"/>
    <mergeCell ref="C66:E66"/>
    <mergeCell ref="B64:B65"/>
    <mergeCell ref="D65:E65"/>
    <mergeCell ref="C36:E36"/>
    <mergeCell ref="H2:I2"/>
    <mergeCell ref="C57:C58"/>
    <mergeCell ref="C19:E19"/>
    <mergeCell ref="C37:E37"/>
    <mergeCell ref="J2:O2"/>
    <mergeCell ref="D43:E43"/>
    <mergeCell ref="D28:E28"/>
    <mergeCell ref="D18:E18"/>
    <mergeCell ref="D58:E58"/>
    <mergeCell ref="C34:E34"/>
    <mergeCell ref="C15:E15"/>
    <mergeCell ref="D29:D30"/>
    <mergeCell ref="C6:E6"/>
    <mergeCell ref="D8:E8"/>
    <mergeCell ref="C8:C13"/>
    <mergeCell ref="C14:E14"/>
    <mergeCell ref="D61:E61"/>
    <mergeCell ref="B56:B58"/>
    <mergeCell ref="D41:E41"/>
    <mergeCell ref="D48:E48"/>
    <mergeCell ref="B59:B63"/>
    <mergeCell ref="C46:C51"/>
    <mergeCell ref="D47:E47"/>
    <mergeCell ref="C60:C63"/>
    <mergeCell ref="D62:E62"/>
    <mergeCell ref="D55:E55"/>
    <mergeCell ref="C54:C55"/>
    <mergeCell ref="C41:C44"/>
    <mergeCell ref="C5:E5"/>
    <mergeCell ref="D42:E42"/>
    <mergeCell ref="C26:E26"/>
    <mergeCell ref="C20:E20"/>
    <mergeCell ref="C17:E17"/>
    <mergeCell ref="C32:E32"/>
    <mergeCell ref="D24:E24"/>
    <mergeCell ref="C21:E21"/>
    <mergeCell ref="B53:B55"/>
    <mergeCell ref="B45:B52"/>
    <mergeCell ref="D60:E60"/>
    <mergeCell ref="C31:E31"/>
    <mergeCell ref="B4:E4"/>
    <mergeCell ref="C52:E52"/>
    <mergeCell ref="B7:B38"/>
    <mergeCell ref="D11:E11"/>
    <mergeCell ref="C23:E23"/>
    <mergeCell ref="D49:E49"/>
    <mergeCell ref="B39:B44"/>
    <mergeCell ref="C39:E39"/>
    <mergeCell ref="C28:C30"/>
    <mergeCell ref="C7:E7"/>
    <mergeCell ref="D16:E16"/>
    <mergeCell ref="B5:B6"/>
    <mergeCell ref="C22:E22"/>
    <mergeCell ref="C40:E40"/>
    <mergeCell ref="D46:E46"/>
    <mergeCell ref="C27:E27"/>
    <mergeCell ref="C25:E25"/>
  </mergeCells>
  <phoneticPr fontId="3"/>
  <pageMargins left="0.62992125984251968" right="0.23622047244094491" top="0.62992125984251968" bottom="0.27559055118110237" header="0.31496062992125978" footer="0.11811023622047249"/>
  <pageSetup paperSize="8" scale="53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2">
    <tabColor indexed="15"/>
  </sheetPr>
  <dimension ref="A1:GI56"/>
  <sheetViews>
    <sheetView workbookViewId="0">
      <pane xSplit="2" ySplit="5" topLeftCell="FX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</cols>
  <sheetData>
    <row r="1" spans="2:191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191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830</v>
      </c>
      <c r="O2" s="28" t="s">
        <v>840</v>
      </c>
      <c r="P2" s="28" t="s">
        <v>831</v>
      </c>
      <c r="Q2" s="28" t="s">
        <v>832</v>
      </c>
      <c r="R2" s="28" t="s">
        <v>351</v>
      </c>
      <c r="S2" s="28"/>
      <c r="U2" s="28" t="s">
        <v>794</v>
      </c>
      <c r="V2" s="28"/>
      <c r="W2" s="28"/>
      <c r="X2" s="28" t="s">
        <v>725</v>
      </c>
      <c r="Y2" s="28" t="s">
        <v>354</v>
      </c>
      <c r="Z2" s="28" t="s">
        <v>355</v>
      </c>
      <c r="AA2" s="28" t="s">
        <v>664</v>
      </c>
      <c r="AB2" s="28" t="s">
        <v>357</v>
      </c>
      <c r="AC2" s="28" t="s">
        <v>653</v>
      </c>
      <c r="AD2" s="28" t="s">
        <v>358</v>
      </c>
      <c r="AE2" s="28" t="s">
        <v>359</v>
      </c>
      <c r="AF2" s="28" t="s">
        <v>360</v>
      </c>
      <c r="AG2" s="28" t="s">
        <v>361</v>
      </c>
      <c r="AI2" s="28" t="s">
        <v>362</v>
      </c>
      <c r="AJ2" s="28" t="s">
        <v>668</v>
      </c>
      <c r="AK2" s="28" t="s">
        <v>685</v>
      </c>
      <c r="AL2" s="29"/>
      <c r="AM2" s="28" t="s">
        <v>669</v>
      </c>
      <c r="AN2" s="28" t="s">
        <v>796</v>
      </c>
      <c r="AO2" s="28" t="s">
        <v>727</v>
      </c>
      <c r="AP2" s="28" t="s">
        <v>833</v>
      </c>
      <c r="AQ2" s="28" t="s">
        <v>797</v>
      </c>
      <c r="AR2" s="28" t="s">
        <v>368</v>
      </c>
      <c r="AS2" s="28" t="s">
        <v>374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846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 t="s">
        <v>847</v>
      </c>
      <c r="BR2" s="28"/>
      <c r="BS2" s="28"/>
      <c r="BT2" s="28" t="s">
        <v>848</v>
      </c>
      <c r="BU2" s="28" t="s">
        <v>806</v>
      </c>
      <c r="BW2" s="28" t="s">
        <v>402</v>
      </c>
      <c r="BX2" s="28" t="s">
        <v>403</v>
      </c>
      <c r="BY2" s="28" t="s">
        <v>786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836</v>
      </c>
      <c r="CM2" s="28" t="s">
        <v>837</v>
      </c>
      <c r="CN2" s="28" t="s">
        <v>838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820</v>
      </c>
      <c r="CV2" s="28" t="s">
        <v>821</v>
      </c>
      <c r="CX2" s="28" t="s">
        <v>426</v>
      </c>
      <c r="CY2" s="28" t="s">
        <v>812</v>
      </c>
      <c r="DA2" s="28" t="s">
        <v>822</v>
      </c>
      <c r="DB2" s="28" t="s">
        <v>823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824</v>
      </c>
      <c r="DW2" s="28" t="s">
        <v>449</v>
      </c>
      <c r="DX2" s="28" t="s">
        <v>448</v>
      </c>
      <c r="DY2" s="28" t="s">
        <v>451</v>
      </c>
      <c r="DZ2" s="28" t="s">
        <v>825</v>
      </c>
      <c r="EA2" s="28" t="s">
        <v>826</v>
      </c>
      <c r="EB2" s="28"/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191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827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191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203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191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828</v>
      </c>
      <c r="DX5" s="30" t="s">
        <v>829</v>
      </c>
      <c r="DY5" s="30"/>
      <c r="DZ5" s="30"/>
      <c r="EA5" s="30"/>
      <c r="EB5" s="30"/>
      <c r="EC5" s="30"/>
      <c r="ED5" s="3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191" x14ac:dyDescent="0.15">
      <c r="B6" s="89" t="s">
        <v>5</v>
      </c>
      <c r="C6" s="272">
        <v>27436298</v>
      </c>
      <c r="D6" s="455">
        <f t="shared" ref="D6:D50" si="0">E6+F6</f>
        <v>8949495</v>
      </c>
      <c r="E6" s="272">
        <v>176384</v>
      </c>
      <c r="F6" s="272">
        <v>8773111</v>
      </c>
      <c r="G6" s="455">
        <f t="shared" ref="G6:G50" si="1">H6+I6</f>
        <v>1769833</v>
      </c>
      <c r="H6" s="272">
        <v>425468</v>
      </c>
      <c r="I6" s="272">
        <v>1344365</v>
      </c>
      <c r="J6" s="272">
        <v>12319067</v>
      </c>
      <c r="K6" s="272">
        <v>6607501</v>
      </c>
      <c r="L6" s="272">
        <v>4087874</v>
      </c>
      <c r="M6" s="272">
        <v>1367382</v>
      </c>
      <c r="N6" s="272">
        <v>1422274</v>
      </c>
      <c r="O6" s="272">
        <v>2742100</v>
      </c>
      <c r="P6" s="272">
        <v>1883500</v>
      </c>
      <c r="Q6" s="272">
        <v>858600</v>
      </c>
      <c r="R6" s="272">
        <v>419781</v>
      </c>
      <c r="S6" s="272"/>
      <c r="T6" s="455">
        <f t="shared" ref="T6:T50" si="2">SUM(U6:AA6)</f>
        <v>2573551</v>
      </c>
      <c r="U6" s="272">
        <v>312970</v>
      </c>
      <c r="V6" s="272"/>
      <c r="W6" s="272"/>
      <c r="X6" s="272">
        <v>1733288</v>
      </c>
      <c r="Y6" s="272">
        <v>78959</v>
      </c>
      <c r="Z6" s="272">
        <v>22500</v>
      </c>
      <c r="AA6" s="272">
        <v>425834</v>
      </c>
      <c r="AB6" s="272">
        <v>686358</v>
      </c>
      <c r="AC6" s="272">
        <v>10062758</v>
      </c>
      <c r="AD6" s="272">
        <v>9928729</v>
      </c>
      <c r="AE6" s="272">
        <v>134029</v>
      </c>
      <c r="AF6" s="272">
        <v>45327</v>
      </c>
      <c r="AG6" s="272">
        <v>480754</v>
      </c>
      <c r="AH6" s="455">
        <f t="shared" ref="AH6:AH50" si="3">AI6+AJ6</f>
        <v>1620455</v>
      </c>
      <c r="AI6" s="272">
        <v>1461489</v>
      </c>
      <c r="AJ6" s="272">
        <v>158966</v>
      </c>
      <c r="AK6" s="272">
        <v>8100191</v>
      </c>
      <c r="AL6" s="455">
        <f t="shared" ref="AL6:AL50" si="4">SUM(AM6:AP6)</f>
        <v>3808376</v>
      </c>
      <c r="AM6" s="272">
        <v>2795942</v>
      </c>
      <c r="AN6" s="272">
        <v>714737</v>
      </c>
      <c r="AO6" s="272">
        <v>0</v>
      </c>
      <c r="AP6" s="272">
        <v>297697</v>
      </c>
      <c r="AQ6" s="272">
        <v>873704</v>
      </c>
      <c r="AR6" s="272">
        <v>4400</v>
      </c>
      <c r="AS6" s="272">
        <v>0</v>
      </c>
      <c r="AT6" s="272">
        <v>4267804</v>
      </c>
      <c r="AU6" s="272">
        <v>2079159</v>
      </c>
      <c r="AV6" s="272">
        <v>363038</v>
      </c>
      <c r="AW6" s="272">
        <v>632298</v>
      </c>
      <c r="AX6" s="272">
        <v>2188645</v>
      </c>
      <c r="AY6" s="272">
        <v>349805</v>
      </c>
      <c r="AZ6" s="272">
        <v>287467</v>
      </c>
      <c r="BA6" s="272">
        <v>192820</v>
      </c>
      <c r="BB6" s="272">
        <v>229555</v>
      </c>
      <c r="BC6" s="272">
        <v>1726897</v>
      </c>
      <c r="BD6" s="272">
        <v>0</v>
      </c>
      <c r="BE6" s="272">
        <v>0</v>
      </c>
      <c r="BF6" s="272">
        <v>968393</v>
      </c>
      <c r="BG6" s="272">
        <v>512909</v>
      </c>
      <c r="BH6" s="272">
        <v>1543310</v>
      </c>
      <c r="BI6" s="272">
        <v>46763</v>
      </c>
      <c r="BJ6" s="272">
        <v>727987</v>
      </c>
      <c r="BK6" s="272">
        <v>119336</v>
      </c>
      <c r="BL6" s="272">
        <v>0</v>
      </c>
      <c r="BM6" s="272">
        <v>120551</v>
      </c>
      <c r="BN6" s="272">
        <v>9186200</v>
      </c>
      <c r="BO6" s="455">
        <f t="shared" ref="BO6:BO50" si="5">BN6-BP6-BT6</f>
        <v>8879500</v>
      </c>
      <c r="BP6" s="455">
        <f t="shared" ref="BP6:BP50" si="6">BQ6+BR6+BS6</f>
        <v>306700</v>
      </c>
      <c r="BQ6" s="272">
        <v>306700</v>
      </c>
      <c r="BR6" s="272"/>
      <c r="BS6" s="272"/>
      <c r="BT6" s="272">
        <v>0</v>
      </c>
      <c r="BU6" s="272">
        <v>69394693</v>
      </c>
      <c r="BV6" s="272"/>
      <c r="BW6" s="272">
        <v>16559160</v>
      </c>
      <c r="BX6" s="272">
        <v>12407966</v>
      </c>
      <c r="BY6" s="272">
        <v>1019406</v>
      </c>
      <c r="BZ6" s="272">
        <v>479178</v>
      </c>
      <c r="CA6" s="272">
        <v>10641934</v>
      </c>
      <c r="CB6" s="272">
        <v>1508141</v>
      </c>
      <c r="CC6" s="272">
        <v>2752879</v>
      </c>
      <c r="CD6" s="272">
        <v>2315480</v>
      </c>
      <c r="CE6" s="272">
        <v>3832271</v>
      </c>
      <c r="CF6" s="272">
        <v>525</v>
      </c>
      <c r="CG6" s="272">
        <v>229398</v>
      </c>
      <c r="CH6" s="272">
        <v>6796740</v>
      </c>
      <c r="CI6" s="272">
        <v>4160563</v>
      </c>
      <c r="CJ6" s="455">
        <f t="shared" ref="CJ6:CJ50" si="7">CH6-CI6</f>
        <v>2636177</v>
      </c>
      <c r="CK6" s="272">
        <v>6150365</v>
      </c>
      <c r="CL6" s="272">
        <v>3218718</v>
      </c>
      <c r="CM6" s="272">
        <v>229627</v>
      </c>
      <c r="CN6" s="272">
        <v>1082024</v>
      </c>
      <c r="CO6" s="272">
        <v>162919</v>
      </c>
      <c r="CP6" s="272">
        <v>5891875</v>
      </c>
      <c r="CQ6" s="272">
        <v>1208158</v>
      </c>
      <c r="CR6" s="272">
        <v>1991967</v>
      </c>
      <c r="CS6" s="272">
        <v>977541</v>
      </c>
      <c r="CT6" s="455">
        <f t="shared" ref="CT6:CT50" si="8">CU6+CV6</f>
        <v>1730245</v>
      </c>
      <c r="CU6" s="272">
        <v>1638229</v>
      </c>
      <c r="CV6" s="272">
        <v>92016</v>
      </c>
      <c r="CW6" s="455">
        <f t="shared" ref="CW6:CW50" si="9">CX6+CY6</f>
        <v>1670000</v>
      </c>
      <c r="CX6" s="272">
        <v>1606900</v>
      </c>
      <c r="CY6" s="272">
        <v>63100</v>
      </c>
      <c r="CZ6" s="455">
        <f t="shared" ref="CZ6:CZ50" si="10">DA6+DB6</f>
        <v>0</v>
      </c>
      <c r="DA6" s="272">
        <v>0</v>
      </c>
      <c r="DB6" s="272">
        <v>0</v>
      </c>
      <c r="DC6" s="272">
        <v>13380950</v>
      </c>
      <c r="DD6" s="272">
        <v>2241761</v>
      </c>
      <c r="DE6" s="272">
        <v>10657825</v>
      </c>
      <c r="DF6" s="272">
        <v>62534</v>
      </c>
      <c r="DG6" s="272">
        <v>418830</v>
      </c>
      <c r="DH6" s="272">
        <v>6602</v>
      </c>
      <c r="DI6" s="272">
        <v>1856535</v>
      </c>
      <c r="DJ6" s="272">
        <v>14877</v>
      </c>
      <c r="DK6" s="272">
        <v>17308</v>
      </c>
      <c r="DL6" s="272">
        <v>1824350</v>
      </c>
      <c r="DM6" s="272">
        <v>22700</v>
      </c>
      <c r="DN6" s="272">
        <v>22700</v>
      </c>
      <c r="DO6" s="272">
        <v>22700</v>
      </c>
      <c r="DP6" s="272">
        <v>0</v>
      </c>
      <c r="DQ6" s="272">
        <v>118000</v>
      </c>
      <c r="DR6" s="272">
        <v>0</v>
      </c>
      <c r="DS6" s="272">
        <v>0</v>
      </c>
      <c r="DT6" s="272">
        <v>7251497</v>
      </c>
      <c r="DU6" s="272">
        <v>4289422</v>
      </c>
      <c r="DV6" s="455">
        <f t="shared" ref="DV6:DV50" si="11">DW6+DX6</f>
        <v>0</v>
      </c>
      <c r="DW6" s="272">
        <v>0</v>
      </c>
      <c r="DX6" s="272">
        <v>0</v>
      </c>
      <c r="DY6" s="272">
        <v>0</v>
      </c>
      <c r="DZ6" s="272">
        <v>1682282</v>
      </c>
      <c r="EA6" s="272">
        <v>1066462</v>
      </c>
      <c r="EB6" s="272"/>
      <c r="EC6" s="272">
        <v>0</v>
      </c>
      <c r="ED6" s="272">
        <v>68839277</v>
      </c>
      <c r="EF6" s="272">
        <v>555416</v>
      </c>
      <c r="EG6" s="272">
        <v>491776</v>
      </c>
      <c r="EH6" s="272">
        <v>63640</v>
      </c>
      <c r="EI6" s="272">
        <v>16877</v>
      </c>
      <c r="EJ6" s="272">
        <v>31754</v>
      </c>
      <c r="EL6" s="272"/>
      <c r="EM6" s="272">
        <v>199413</v>
      </c>
      <c r="EN6" s="272">
        <v>758504</v>
      </c>
      <c r="EO6" s="272">
        <v>216545</v>
      </c>
      <c r="EP6" s="455">
        <f t="shared" ref="EP6:EP50" si="12">EQ6-ER6-C6-R6-T6-AB6-AC6-BP6-EN6-EO6</f>
        <v>1723141</v>
      </c>
      <c r="EQ6" s="272">
        <v>41224073</v>
      </c>
      <c r="ER6" s="272">
        <v>-2959563</v>
      </c>
      <c r="ES6" s="272">
        <v>14887994</v>
      </c>
      <c r="ET6" s="272">
        <v>10801163</v>
      </c>
      <c r="EU6" s="272">
        <v>3604589</v>
      </c>
      <c r="EV6" s="272">
        <v>6705147</v>
      </c>
      <c r="EW6" s="455">
        <f t="shared" ref="EW6:EW50" si="13">EX6+FA6+FB6</f>
        <v>2146129</v>
      </c>
      <c r="EX6" s="272">
        <v>2143927</v>
      </c>
      <c r="EY6" s="272">
        <v>145170</v>
      </c>
      <c r="EZ6" s="272">
        <v>1979049</v>
      </c>
      <c r="FA6" s="272">
        <v>2202</v>
      </c>
      <c r="FB6" s="272"/>
      <c r="FC6" s="272">
        <v>5004247</v>
      </c>
      <c r="FD6" s="272">
        <v>4070547</v>
      </c>
      <c r="FE6" s="272">
        <v>1208158</v>
      </c>
      <c r="FF6" s="272">
        <v>6910994</v>
      </c>
      <c r="FG6" s="455">
        <f t="shared" ref="FG6:FG50" si="14">FH6-ES6-EU6-EV6-EW6-FC6-FD6-FF6</f>
        <v>298573</v>
      </c>
      <c r="FH6" s="272">
        <v>43628220</v>
      </c>
      <c r="FI6" s="384">
        <f t="shared" ref="FI6:FI50" si="15">ROUND(EH6/FJ6*100,1)</f>
        <v>0.2</v>
      </c>
      <c r="FJ6" s="272">
        <v>38358516</v>
      </c>
      <c r="FK6" s="272"/>
      <c r="FL6" s="272">
        <v>21439086</v>
      </c>
      <c r="FM6" s="272">
        <v>31384282</v>
      </c>
      <c r="FN6" s="460">
        <v>0.73699999999999999</v>
      </c>
      <c r="FO6" s="388">
        <v>95.3</v>
      </c>
      <c r="FP6" s="388">
        <v>37.4</v>
      </c>
      <c r="FQ6" s="388">
        <v>9.3000000000000007</v>
      </c>
      <c r="FR6" s="388">
        <v>16.8</v>
      </c>
      <c r="FS6" s="388">
        <v>11.5</v>
      </c>
      <c r="FT6" s="388">
        <v>9.3000000000000007</v>
      </c>
      <c r="FU6" s="388">
        <v>10.5</v>
      </c>
      <c r="FV6" s="388">
        <v>11.4</v>
      </c>
      <c r="FW6" s="272">
        <v>80655330</v>
      </c>
      <c r="FX6" s="384">
        <f t="shared" ref="FX6:FX50" si="16">ROUND(FW6/FJ6*100,1)</f>
        <v>210.3</v>
      </c>
      <c r="FY6" s="272">
        <v>9274500</v>
      </c>
      <c r="FZ6" s="272">
        <v>1438648</v>
      </c>
      <c r="GA6" s="272">
        <v>1686246</v>
      </c>
      <c r="GB6" s="272">
        <v>6149606</v>
      </c>
      <c r="GC6" s="272"/>
      <c r="GD6" s="272">
        <v>23261175</v>
      </c>
      <c r="GE6" s="384">
        <f t="shared" ref="GE6:GE37" si="17">ROUND(GD6/FJ6*100,1)</f>
        <v>60.6</v>
      </c>
      <c r="GF6" s="388">
        <v>97.2</v>
      </c>
      <c r="GG6" s="388">
        <v>18.8</v>
      </c>
      <c r="GH6" s="388">
        <v>91.5</v>
      </c>
      <c r="GI6" s="272">
        <v>1644</v>
      </c>
    </row>
    <row r="7" spans="2:191" x14ac:dyDescent="0.15">
      <c r="B7" s="89" t="s">
        <v>7</v>
      </c>
      <c r="C7" s="272">
        <v>69510409</v>
      </c>
      <c r="D7" s="455">
        <f t="shared" si="0"/>
        <v>29560624</v>
      </c>
      <c r="E7" s="272">
        <v>374065</v>
      </c>
      <c r="F7" s="272">
        <v>29186559</v>
      </c>
      <c r="G7" s="455">
        <f t="shared" si="1"/>
        <v>4253732</v>
      </c>
      <c r="H7" s="272">
        <v>940929</v>
      </c>
      <c r="I7" s="272">
        <v>3312803</v>
      </c>
      <c r="J7" s="272">
        <v>25180446</v>
      </c>
      <c r="K7" s="272">
        <v>11601315</v>
      </c>
      <c r="L7" s="272">
        <v>9821032</v>
      </c>
      <c r="M7" s="272">
        <v>3237347</v>
      </c>
      <c r="N7" s="272">
        <v>3668467</v>
      </c>
      <c r="O7" s="272">
        <v>5421632</v>
      </c>
      <c r="P7" s="272">
        <v>3499090</v>
      </c>
      <c r="Q7" s="272">
        <v>1922542</v>
      </c>
      <c r="R7" s="272">
        <v>2752167</v>
      </c>
      <c r="S7" s="272"/>
      <c r="T7" s="455">
        <f t="shared" si="2"/>
        <v>5181782</v>
      </c>
      <c r="U7" s="272">
        <v>953143</v>
      </c>
      <c r="V7" s="272"/>
      <c r="W7" s="272"/>
      <c r="X7" s="272">
        <v>3413188</v>
      </c>
      <c r="Y7" s="272">
        <v>0</v>
      </c>
      <c r="Z7" s="272">
        <v>51566</v>
      </c>
      <c r="AA7" s="272">
        <v>763885</v>
      </c>
      <c r="AB7" s="272">
        <v>2342731</v>
      </c>
      <c r="AC7" s="272">
        <v>1520406</v>
      </c>
      <c r="AD7" s="272">
        <v>629389</v>
      </c>
      <c r="AE7" s="272">
        <v>891017</v>
      </c>
      <c r="AF7" s="272">
        <v>75134</v>
      </c>
      <c r="AG7" s="272">
        <v>1078587</v>
      </c>
      <c r="AH7" s="455">
        <f t="shared" si="3"/>
        <v>2735566</v>
      </c>
      <c r="AI7" s="272">
        <v>2496917</v>
      </c>
      <c r="AJ7" s="272">
        <v>238649</v>
      </c>
      <c r="AK7" s="272">
        <v>17324371</v>
      </c>
      <c r="AL7" s="455">
        <f t="shared" si="4"/>
        <v>7614886</v>
      </c>
      <c r="AM7" s="272">
        <v>6266097</v>
      </c>
      <c r="AN7" s="272">
        <v>685907</v>
      </c>
      <c r="AO7" s="272">
        <v>0</v>
      </c>
      <c r="AP7" s="272">
        <v>662882</v>
      </c>
      <c r="AQ7" s="272">
        <v>2615525</v>
      </c>
      <c r="AR7" s="272">
        <v>0</v>
      </c>
      <c r="AS7" s="272">
        <v>0</v>
      </c>
      <c r="AT7" s="272">
        <v>6837417</v>
      </c>
      <c r="AU7" s="272">
        <v>2220059</v>
      </c>
      <c r="AV7" s="272">
        <v>348112</v>
      </c>
      <c r="AW7" s="272">
        <v>78300</v>
      </c>
      <c r="AX7" s="272">
        <v>4617358</v>
      </c>
      <c r="AY7" s="272">
        <v>472420</v>
      </c>
      <c r="AZ7" s="272">
        <v>905478</v>
      </c>
      <c r="BA7" s="272">
        <v>758158</v>
      </c>
      <c r="BB7" s="272">
        <v>530220</v>
      </c>
      <c r="BC7" s="272">
        <v>6407117</v>
      </c>
      <c r="BD7" s="272">
        <v>1081510</v>
      </c>
      <c r="BE7" s="272">
        <v>0</v>
      </c>
      <c r="BF7" s="272">
        <v>3954748</v>
      </c>
      <c r="BG7" s="272">
        <v>711371</v>
      </c>
      <c r="BH7" s="272">
        <v>1924907</v>
      </c>
      <c r="BI7" s="272">
        <v>0</v>
      </c>
      <c r="BJ7" s="272">
        <v>5683608</v>
      </c>
      <c r="BK7" s="272">
        <v>4541586</v>
      </c>
      <c r="BL7" s="272">
        <v>175013</v>
      </c>
      <c r="BM7" s="272">
        <v>42244</v>
      </c>
      <c r="BN7" s="272">
        <v>8516300</v>
      </c>
      <c r="BO7" s="455">
        <f t="shared" si="5"/>
        <v>7641200</v>
      </c>
      <c r="BP7" s="455">
        <f t="shared" si="6"/>
        <v>875100</v>
      </c>
      <c r="BQ7" s="272">
        <v>875100</v>
      </c>
      <c r="BR7" s="272"/>
      <c r="BS7" s="272"/>
      <c r="BT7" s="272">
        <v>0</v>
      </c>
      <c r="BU7" s="272">
        <v>133326200</v>
      </c>
      <c r="BV7" s="272"/>
      <c r="BW7" s="272">
        <v>36899111</v>
      </c>
      <c r="BX7" s="272">
        <v>27356138</v>
      </c>
      <c r="BY7" s="272">
        <v>2654900</v>
      </c>
      <c r="BZ7" s="272">
        <v>1478345</v>
      </c>
      <c r="CA7" s="272">
        <v>15957433</v>
      </c>
      <c r="CB7" s="272">
        <v>1905212</v>
      </c>
      <c r="CC7" s="272">
        <v>3873000</v>
      </c>
      <c r="CD7" s="272">
        <v>1980140</v>
      </c>
      <c r="CE7" s="272">
        <v>7926553</v>
      </c>
      <c r="CF7" s="272">
        <v>3</v>
      </c>
      <c r="CG7" s="272">
        <v>266313</v>
      </c>
      <c r="CH7" s="272">
        <v>11243079</v>
      </c>
      <c r="CI7" s="272">
        <v>6835134</v>
      </c>
      <c r="CJ7" s="455">
        <f t="shared" si="7"/>
        <v>4407945</v>
      </c>
      <c r="CK7" s="272">
        <v>15088142</v>
      </c>
      <c r="CL7" s="272">
        <v>8390296</v>
      </c>
      <c r="CM7" s="272">
        <v>489857</v>
      </c>
      <c r="CN7" s="272">
        <v>3313897</v>
      </c>
      <c r="CO7" s="272">
        <v>1348521</v>
      </c>
      <c r="CP7" s="272">
        <v>16440016</v>
      </c>
      <c r="CQ7" s="272">
        <v>3027304</v>
      </c>
      <c r="CR7" s="272">
        <v>6802549</v>
      </c>
      <c r="CS7" s="272">
        <v>4754407</v>
      </c>
      <c r="CT7" s="455">
        <f t="shared" si="8"/>
        <v>2849883</v>
      </c>
      <c r="CU7" s="272">
        <v>2306664</v>
      </c>
      <c r="CV7" s="272">
        <v>543219</v>
      </c>
      <c r="CW7" s="455">
        <f t="shared" si="9"/>
        <v>2436551</v>
      </c>
      <c r="CX7" s="272">
        <v>2271864</v>
      </c>
      <c r="CY7" s="272">
        <v>164687</v>
      </c>
      <c r="CZ7" s="455">
        <f t="shared" si="10"/>
        <v>0</v>
      </c>
      <c r="DA7" s="272">
        <v>0</v>
      </c>
      <c r="DB7" s="272">
        <v>0</v>
      </c>
      <c r="DC7" s="272">
        <v>17511693</v>
      </c>
      <c r="DD7" s="272">
        <v>5321926</v>
      </c>
      <c r="DE7" s="272">
        <v>11347634</v>
      </c>
      <c r="DF7" s="272">
        <v>503620</v>
      </c>
      <c r="DG7" s="272">
        <v>338513</v>
      </c>
      <c r="DH7" s="272">
        <v>0</v>
      </c>
      <c r="DI7" s="272">
        <v>2737577</v>
      </c>
      <c r="DJ7" s="272">
        <v>13328</v>
      </c>
      <c r="DK7" s="272">
        <v>0</v>
      </c>
      <c r="DL7" s="272">
        <v>2724249</v>
      </c>
      <c r="DM7" s="272">
        <v>139434</v>
      </c>
      <c r="DN7" s="272">
        <v>139434</v>
      </c>
      <c r="DO7" s="272">
        <v>55000</v>
      </c>
      <c r="DP7" s="272">
        <v>84434</v>
      </c>
      <c r="DQ7" s="272">
        <v>4471970</v>
      </c>
      <c r="DR7" s="272">
        <v>0</v>
      </c>
      <c r="DS7" s="272">
        <v>0</v>
      </c>
      <c r="DT7" s="272">
        <v>10207119</v>
      </c>
      <c r="DU7" s="272">
        <v>5074293</v>
      </c>
      <c r="DV7" s="455">
        <f t="shared" si="11"/>
        <v>0</v>
      </c>
      <c r="DW7" s="272">
        <v>0</v>
      </c>
      <c r="DX7" s="272">
        <v>0</v>
      </c>
      <c r="DY7" s="272">
        <v>0</v>
      </c>
      <c r="DZ7" s="272">
        <v>3658051</v>
      </c>
      <c r="EA7" s="272">
        <v>1441628</v>
      </c>
      <c r="EB7" s="272"/>
      <c r="EC7" s="272">
        <v>0</v>
      </c>
      <c r="ED7" s="272">
        <v>132044095</v>
      </c>
      <c r="EF7" s="272">
        <v>1282105</v>
      </c>
      <c r="EG7" s="272">
        <v>1940872</v>
      </c>
      <c r="EH7" s="272">
        <v>-658767</v>
      </c>
      <c r="EI7" s="272">
        <v>-440002</v>
      </c>
      <c r="EJ7" s="272">
        <v>-1508184</v>
      </c>
      <c r="EL7" s="272"/>
      <c r="EM7" s="272">
        <v>390583</v>
      </c>
      <c r="EN7" s="272">
        <v>6004512</v>
      </c>
      <c r="EO7" s="272">
        <v>771891</v>
      </c>
      <c r="EP7" s="455">
        <f t="shared" si="12"/>
        <v>1869672</v>
      </c>
      <c r="EQ7" s="272">
        <v>81382629</v>
      </c>
      <c r="ER7" s="272">
        <v>-9446041</v>
      </c>
      <c r="ES7" s="272">
        <v>34043679</v>
      </c>
      <c r="ET7" s="272">
        <v>24690103</v>
      </c>
      <c r="EU7" s="272">
        <v>4679003</v>
      </c>
      <c r="EV7" s="272">
        <v>10865355</v>
      </c>
      <c r="EW7" s="455">
        <f t="shared" si="13"/>
        <v>5320614</v>
      </c>
      <c r="EX7" s="272">
        <v>5320614</v>
      </c>
      <c r="EY7" s="272">
        <v>466851</v>
      </c>
      <c r="EZ7" s="272">
        <v>4837943</v>
      </c>
      <c r="FA7" s="272">
        <v>0</v>
      </c>
      <c r="FB7" s="272"/>
      <c r="FC7" s="272">
        <v>11429608</v>
      </c>
      <c r="FD7" s="272">
        <v>12821116</v>
      </c>
      <c r="FE7" s="272">
        <v>3027304</v>
      </c>
      <c r="FF7" s="272">
        <v>9426390</v>
      </c>
      <c r="FG7" s="455">
        <f t="shared" si="14"/>
        <v>990800</v>
      </c>
      <c r="FH7" s="272">
        <v>89576565</v>
      </c>
      <c r="FI7" s="384">
        <f t="shared" si="15"/>
        <v>-0.9</v>
      </c>
      <c r="FJ7" s="272">
        <v>76083624</v>
      </c>
      <c r="FK7" s="272"/>
      <c r="FL7" s="272">
        <v>57301027</v>
      </c>
      <c r="FM7" s="272">
        <v>57960827</v>
      </c>
      <c r="FN7" s="460">
        <v>1.028</v>
      </c>
      <c r="FO7" s="388">
        <v>103.2</v>
      </c>
      <c r="FP7" s="388">
        <v>44.2</v>
      </c>
      <c r="FQ7" s="388">
        <v>6.2</v>
      </c>
      <c r="FR7" s="388">
        <v>14.4</v>
      </c>
      <c r="FS7" s="388">
        <v>14.3</v>
      </c>
      <c r="FT7" s="388">
        <v>15.6</v>
      </c>
      <c r="FU7" s="388">
        <v>7.2</v>
      </c>
      <c r="FV7" s="388">
        <v>10</v>
      </c>
      <c r="FW7" s="272">
        <v>114917241</v>
      </c>
      <c r="FX7" s="384">
        <f t="shared" si="16"/>
        <v>151</v>
      </c>
      <c r="FY7" s="272">
        <v>12401697</v>
      </c>
      <c r="FZ7" s="272">
        <v>485511</v>
      </c>
      <c r="GA7" s="272"/>
      <c r="GB7" s="272">
        <v>11916186</v>
      </c>
      <c r="GC7" s="272">
        <v>711371</v>
      </c>
      <c r="GD7" s="272">
        <v>51825689</v>
      </c>
      <c r="GE7" s="384">
        <f t="shared" si="17"/>
        <v>68.099999999999994</v>
      </c>
      <c r="GF7" s="388">
        <v>97.7</v>
      </c>
      <c r="GG7" s="388">
        <v>17.399999999999999</v>
      </c>
      <c r="GH7" s="388">
        <v>90.8</v>
      </c>
      <c r="GI7" s="272">
        <v>3550</v>
      </c>
    </row>
    <row r="8" spans="2:191" x14ac:dyDescent="0.15">
      <c r="B8" s="89" t="s">
        <v>9</v>
      </c>
      <c r="C8" s="272">
        <v>18232076</v>
      </c>
      <c r="D8" s="455">
        <f t="shared" si="0"/>
        <v>7114680</v>
      </c>
      <c r="E8" s="272">
        <v>97829</v>
      </c>
      <c r="F8" s="272">
        <v>7016851</v>
      </c>
      <c r="G8" s="455">
        <f t="shared" si="1"/>
        <v>1701223</v>
      </c>
      <c r="H8" s="272">
        <v>249610</v>
      </c>
      <c r="I8" s="272">
        <v>1451613</v>
      </c>
      <c r="J8" s="272">
        <v>7022231</v>
      </c>
      <c r="K8" s="272">
        <v>3569782</v>
      </c>
      <c r="L8" s="272">
        <v>2409473</v>
      </c>
      <c r="M8" s="272">
        <v>945643</v>
      </c>
      <c r="N8" s="272">
        <v>602698</v>
      </c>
      <c r="O8" s="272">
        <v>1728908</v>
      </c>
      <c r="P8" s="272">
        <v>1194710</v>
      </c>
      <c r="Q8" s="272">
        <v>534198</v>
      </c>
      <c r="R8" s="272">
        <v>277424</v>
      </c>
      <c r="S8" s="272"/>
      <c r="T8" s="455">
        <f t="shared" si="2"/>
        <v>1475321</v>
      </c>
      <c r="U8" s="272">
        <v>233156</v>
      </c>
      <c r="V8" s="272"/>
      <c r="W8" s="272"/>
      <c r="X8" s="272">
        <v>924168</v>
      </c>
      <c r="Y8" s="272">
        <v>87183</v>
      </c>
      <c r="Z8" s="272">
        <v>17491</v>
      </c>
      <c r="AA8" s="272">
        <v>213323</v>
      </c>
      <c r="AB8" s="272">
        <v>579888</v>
      </c>
      <c r="AC8" s="272">
        <v>2166122</v>
      </c>
      <c r="AD8" s="272">
        <v>1684120</v>
      </c>
      <c r="AE8" s="272">
        <v>482002</v>
      </c>
      <c r="AF8" s="272">
        <v>22377</v>
      </c>
      <c r="AG8" s="272">
        <v>255952</v>
      </c>
      <c r="AH8" s="455">
        <f t="shared" si="3"/>
        <v>945613</v>
      </c>
      <c r="AI8" s="272">
        <v>806738</v>
      </c>
      <c r="AJ8" s="272">
        <v>138875</v>
      </c>
      <c r="AK8" s="272">
        <v>3904797</v>
      </c>
      <c r="AL8" s="455">
        <f t="shared" si="4"/>
        <v>1045825</v>
      </c>
      <c r="AM8" s="272">
        <v>623512</v>
      </c>
      <c r="AN8" s="272">
        <v>195102</v>
      </c>
      <c r="AO8" s="272">
        <v>0</v>
      </c>
      <c r="AP8" s="272">
        <v>227211</v>
      </c>
      <c r="AQ8" s="272">
        <v>1270590</v>
      </c>
      <c r="AR8" s="272">
        <v>97049</v>
      </c>
      <c r="AS8" s="272">
        <v>0</v>
      </c>
      <c r="AT8" s="272">
        <v>1455864</v>
      </c>
      <c r="AU8" s="272">
        <v>493459</v>
      </c>
      <c r="AV8" s="272">
        <v>117985</v>
      </c>
      <c r="AW8" s="272">
        <v>9465</v>
      </c>
      <c r="AX8" s="272">
        <v>962405</v>
      </c>
      <c r="AY8" s="272">
        <v>59884</v>
      </c>
      <c r="AZ8" s="272">
        <v>357121</v>
      </c>
      <c r="BA8" s="272">
        <v>334192</v>
      </c>
      <c r="BB8" s="272">
        <v>142633</v>
      </c>
      <c r="BC8" s="272">
        <v>1390424</v>
      </c>
      <c r="BD8" s="272">
        <v>0</v>
      </c>
      <c r="BE8" s="272">
        <v>0</v>
      </c>
      <c r="BF8" s="272">
        <v>1340064</v>
      </c>
      <c r="BG8" s="272">
        <v>0</v>
      </c>
      <c r="BH8" s="272">
        <v>4811</v>
      </c>
      <c r="BI8" s="272">
        <v>0</v>
      </c>
      <c r="BJ8" s="272">
        <v>1921294</v>
      </c>
      <c r="BK8" s="272">
        <v>1540882</v>
      </c>
      <c r="BL8" s="272">
        <v>26709</v>
      </c>
      <c r="BM8" s="272">
        <v>33449</v>
      </c>
      <c r="BN8" s="272">
        <v>6887200</v>
      </c>
      <c r="BO8" s="455">
        <f t="shared" si="5"/>
        <v>6677000</v>
      </c>
      <c r="BP8" s="455">
        <f t="shared" si="6"/>
        <v>210200</v>
      </c>
      <c r="BQ8" s="272">
        <v>210200</v>
      </c>
      <c r="BR8" s="272"/>
      <c r="BS8" s="272"/>
      <c r="BT8" s="272">
        <v>0</v>
      </c>
      <c r="BU8" s="272">
        <v>40018917</v>
      </c>
      <c r="BV8" s="272"/>
      <c r="BW8" s="272">
        <v>10653951</v>
      </c>
      <c r="BX8" s="272">
        <v>7736652</v>
      </c>
      <c r="BY8" s="272">
        <v>957055</v>
      </c>
      <c r="BZ8" s="272">
        <v>248603</v>
      </c>
      <c r="CA8" s="272">
        <v>3109383</v>
      </c>
      <c r="CB8" s="272">
        <v>592701</v>
      </c>
      <c r="CC8" s="272">
        <v>1037960</v>
      </c>
      <c r="CD8" s="272">
        <v>626019</v>
      </c>
      <c r="CE8" s="272">
        <v>821425</v>
      </c>
      <c r="CF8" s="272">
        <v>114</v>
      </c>
      <c r="CG8" s="272">
        <v>30574</v>
      </c>
      <c r="CH8" s="272">
        <v>3397972</v>
      </c>
      <c r="CI8" s="272">
        <v>2236686</v>
      </c>
      <c r="CJ8" s="455">
        <f t="shared" si="7"/>
        <v>1161286</v>
      </c>
      <c r="CK8" s="272">
        <v>5088716</v>
      </c>
      <c r="CL8" s="272">
        <v>3374000</v>
      </c>
      <c r="CM8" s="272">
        <v>260993</v>
      </c>
      <c r="CN8" s="272">
        <v>744789</v>
      </c>
      <c r="CO8" s="272">
        <v>330865</v>
      </c>
      <c r="CP8" s="272">
        <v>2933193</v>
      </c>
      <c r="CQ8" s="272">
        <v>0</v>
      </c>
      <c r="CR8" s="272">
        <v>1049576</v>
      </c>
      <c r="CS8" s="272">
        <v>888289</v>
      </c>
      <c r="CT8" s="455">
        <f t="shared" si="8"/>
        <v>1300435</v>
      </c>
      <c r="CU8" s="272">
        <v>1158700</v>
      </c>
      <c r="CV8" s="272">
        <v>141735</v>
      </c>
      <c r="CW8" s="455">
        <f t="shared" si="9"/>
        <v>1242168</v>
      </c>
      <c r="CX8" s="272">
        <v>1153533</v>
      </c>
      <c r="CY8" s="272">
        <v>88635</v>
      </c>
      <c r="CZ8" s="455">
        <f t="shared" si="10"/>
        <v>0</v>
      </c>
      <c r="DA8" s="272">
        <v>0</v>
      </c>
      <c r="DB8" s="272">
        <v>0</v>
      </c>
      <c r="DC8" s="272">
        <v>9416415</v>
      </c>
      <c r="DD8" s="272">
        <v>2572700</v>
      </c>
      <c r="DE8" s="272">
        <v>6797056</v>
      </c>
      <c r="DF8" s="272">
        <v>19950</v>
      </c>
      <c r="DG8" s="272">
        <v>26709</v>
      </c>
      <c r="DH8" s="272">
        <v>186802</v>
      </c>
      <c r="DI8" s="272">
        <v>886956</v>
      </c>
      <c r="DJ8" s="272">
        <v>3332</v>
      </c>
      <c r="DK8" s="272">
        <v>0</v>
      </c>
      <c r="DL8" s="272">
        <v>883624</v>
      </c>
      <c r="DM8" s="272">
        <v>204615</v>
      </c>
      <c r="DN8" s="272">
        <v>204615</v>
      </c>
      <c r="DO8" s="272">
        <v>52868</v>
      </c>
      <c r="DP8" s="272">
        <v>151747</v>
      </c>
      <c r="DQ8" s="272">
        <v>1485100</v>
      </c>
      <c r="DR8" s="272">
        <v>0</v>
      </c>
      <c r="DS8" s="272">
        <v>0</v>
      </c>
      <c r="DT8" s="272">
        <v>2461275</v>
      </c>
      <c r="DU8" s="272">
        <v>1275656</v>
      </c>
      <c r="DV8" s="455">
        <f t="shared" si="11"/>
        <v>0</v>
      </c>
      <c r="DW8" s="272">
        <v>0</v>
      </c>
      <c r="DX8" s="272">
        <v>0</v>
      </c>
      <c r="DY8" s="272">
        <v>6687</v>
      </c>
      <c r="DZ8" s="272">
        <v>746893</v>
      </c>
      <c r="EA8" s="272">
        <v>432019</v>
      </c>
      <c r="EB8" s="272"/>
      <c r="EC8" s="272">
        <v>0</v>
      </c>
      <c r="ED8" s="272">
        <v>40155243</v>
      </c>
      <c r="EF8" s="272">
        <v>-136326</v>
      </c>
      <c r="EG8" s="272">
        <v>11514</v>
      </c>
      <c r="EH8" s="272">
        <v>-147840</v>
      </c>
      <c r="EI8" s="272">
        <v>167860</v>
      </c>
      <c r="EJ8" s="272">
        <v>171192</v>
      </c>
      <c r="EL8" s="272"/>
      <c r="EM8" s="272">
        <v>100267</v>
      </c>
      <c r="EN8" s="272">
        <v>1792</v>
      </c>
      <c r="EO8" s="272">
        <v>348649</v>
      </c>
      <c r="EP8" s="455">
        <f t="shared" si="12"/>
        <v>340443</v>
      </c>
      <c r="EQ8" s="272">
        <v>22753208</v>
      </c>
      <c r="ER8" s="272">
        <v>-878707</v>
      </c>
      <c r="ES8" s="272">
        <v>9901772</v>
      </c>
      <c r="ET8" s="272">
        <v>7009863</v>
      </c>
      <c r="EU8" s="272">
        <v>1103348</v>
      </c>
      <c r="EV8" s="272">
        <v>3378393</v>
      </c>
      <c r="EW8" s="455">
        <f t="shared" si="13"/>
        <v>616839</v>
      </c>
      <c r="EX8" s="272">
        <v>575486</v>
      </c>
      <c r="EY8" s="272">
        <v>115245</v>
      </c>
      <c r="EZ8" s="272">
        <v>450266</v>
      </c>
      <c r="FA8" s="272">
        <v>41353</v>
      </c>
      <c r="FB8" s="272"/>
      <c r="FC8" s="272">
        <v>3888156</v>
      </c>
      <c r="FD8" s="272">
        <v>2240512</v>
      </c>
      <c r="FE8" s="272"/>
      <c r="FF8" s="272">
        <v>2308181</v>
      </c>
      <c r="FG8" s="455">
        <f t="shared" si="14"/>
        <v>331040</v>
      </c>
      <c r="FH8" s="272">
        <v>23768241</v>
      </c>
      <c r="FI8" s="384">
        <f t="shared" si="15"/>
        <v>-0.7</v>
      </c>
      <c r="FJ8" s="272">
        <v>20309179</v>
      </c>
      <c r="FK8" s="272"/>
      <c r="FL8" s="272">
        <v>14043729</v>
      </c>
      <c r="FM8" s="272">
        <v>15736105</v>
      </c>
      <c r="FN8" s="460">
        <v>0.93500000000000005</v>
      </c>
      <c r="FO8" s="388">
        <v>104.8</v>
      </c>
      <c r="FP8" s="388">
        <v>47</v>
      </c>
      <c r="FQ8" s="388">
        <v>5.3</v>
      </c>
      <c r="FR8" s="388">
        <v>16.3</v>
      </c>
      <c r="FS8" s="388">
        <v>17.8</v>
      </c>
      <c r="FT8" s="388">
        <v>8.6999999999999993</v>
      </c>
      <c r="FU8" s="388">
        <v>8.6</v>
      </c>
      <c r="FV8" s="388">
        <v>12.9</v>
      </c>
      <c r="FW8" s="272">
        <v>32462756</v>
      </c>
      <c r="FX8" s="384">
        <f t="shared" si="16"/>
        <v>159.80000000000001</v>
      </c>
      <c r="FY8" s="272">
        <v>2772110</v>
      </c>
      <c r="FZ8" s="272">
        <v>962474</v>
      </c>
      <c r="GA8" s="272"/>
      <c r="GB8" s="272">
        <v>1809636</v>
      </c>
      <c r="GC8" s="272"/>
      <c r="GD8" s="272">
        <v>8746901</v>
      </c>
      <c r="GE8" s="384">
        <f t="shared" si="17"/>
        <v>43.1</v>
      </c>
      <c r="GF8" s="388">
        <v>97.9</v>
      </c>
      <c r="GG8" s="388">
        <v>16.600000000000001</v>
      </c>
      <c r="GH8" s="388">
        <v>91.3</v>
      </c>
      <c r="GI8" s="272">
        <v>1031</v>
      </c>
    </row>
    <row r="9" spans="2:191" x14ac:dyDescent="0.15">
      <c r="B9" s="89" t="s">
        <v>11</v>
      </c>
      <c r="C9" s="272">
        <v>68868649</v>
      </c>
      <c r="D9" s="455">
        <f t="shared" si="0"/>
        <v>27404221</v>
      </c>
      <c r="E9" s="272">
        <v>332342</v>
      </c>
      <c r="F9" s="272">
        <v>27071879</v>
      </c>
      <c r="G9" s="455">
        <f t="shared" si="1"/>
        <v>5337278</v>
      </c>
      <c r="H9" s="272">
        <v>1009726</v>
      </c>
      <c r="I9" s="272">
        <v>4327552</v>
      </c>
      <c r="J9" s="272">
        <v>26365420</v>
      </c>
      <c r="K9" s="272">
        <v>12388849</v>
      </c>
      <c r="L9" s="272">
        <v>9947853</v>
      </c>
      <c r="M9" s="272">
        <v>3526618</v>
      </c>
      <c r="N9" s="272">
        <v>1985895</v>
      </c>
      <c r="O9" s="272">
        <v>6337194</v>
      </c>
      <c r="P9" s="272">
        <v>4005284</v>
      </c>
      <c r="Q9" s="272">
        <v>2331910</v>
      </c>
      <c r="R9" s="272">
        <v>631509</v>
      </c>
      <c r="S9" s="272"/>
      <c r="T9" s="455">
        <f t="shared" si="2"/>
        <v>4642243</v>
      </c>
      <c r="U9" s="272">
        <v>808371</v>
      </c>
      <c r="V9" s="272"/>
      <c r="W9" s="272"/>
      <c r="X9" s="272">
        <v>3136983</v>
      </c>
      <c r="Y9" s="272">
        <v>0</v>
      </c>
      <c r="Z9" s="272">
        <v>47364</v>
      </c>
      <c r="AA9" s="272">
        <v>649525</v>
      </c>
      <c r="AB9" s="272">
        <v>2107012</v>
      </c>
      <c r="AC9" s="272">
        <v>252027</v>
      </c>
      <c r="AD9" s="272">
        <v>0</v>
      </c>
      <c r="AE9" s="272">
        <v>252027</v>
      </c>
      <c r="AF9" s="272">
        <v>65973</v>
      </c>
      <c r="AG9" s="272">
        <v>1527999</v>
      </c>
      <c r="AH9" s="455">
        <f t="shared" si="3"/>
        <v>2813474</v>
      </c>
      <c r="AI9" s="272">
        <v>2399863</v>
      </c>
      <c r="AJ9" s="272">
        <v>413611</v>
      </c>
      <c r="AK9" s="272">
        <v>10893082</v>
      </c>
      <c r="AL9" s="455">
        <f t="shared" si="4"/>
        <v>5624699</v>
      </c>
      <c r="AM9" s="272">
        <v>3840794</v>
      </c>
      <c r="AN9" s="272">
        <v>1093877</v>
      </c>
      <c r="AO9" s="272">
        <v>0</v>
      </c>
      <c r="AP9" s="272">
        <v>690028</v>
      </c>
      <c r="AQ9" s="272">
        <v>822372</v>
      </c>
      <c r="AR9" s="272">
        <v>0</v>
      </c>
      <c r="AS9" s="272">
        <v>0</v>
      </c>
      <c r="AT9" s="272">
        <v>5478504</v>
      </c>
      <c r="AU9" s="272">
        <v>2209226</v>
      </c>
      <c r="AV9" s="272">
        <v>404208</v>
      </c>
      <c r="AW9" s="272">
        <v>432097</v>
      </c>
      <c r="AX9" s="272">
        <v>3269278</v>
      </c>
      <c r="AY9" s="272">
        <v>168273</v>
      </c>
      <c r="AZ9" s="272">
        <v>118432</v>
      </c>
      <c r="BA9" s="272">
        <v>8051</v>
      </c>
      <c r="BB9" s="272">
        <v>90093</v>
      </c>
      <c r="BC9" s="272">
        <v>4550285</v>
      </c>
      <c r="BD9" s="272">
        <v>500000</v>
      </c>
      <c r="BE9" s="272">
        <v>0</v>
      </c>
      <c r="BF9" s="272">
        <v>4028241</v>
      </c>
      <c r="BG9" s="272">
        <v>0</v>
      </c>
      <c r="BH9" s="272">
        <v>1700582</v>
      </c>
      <c r="BI9" s="272">
        <v>334701</v>
      </c>
      <c r="BJ9" s="272">
        <v>2961326</v>
      </c>
      <c r="BK9" s="272">
        <v>1295001</v>
      </c>
      <c r="BL9" s="272">
        <v>434438</v>
      </c>
      <c r="BM9" s="272">
        <v>81062</v>
      </c>
      <c r="BN9" s="272">
        <v>2774700</v>
      </c>
      <c r="BO9" s="455">
        <f t="shared" si="5"/>
        <v>2008200</v>
      </c>
      <c r="BP9" s="455">
        <f t="shared" si="6"/>
        <v>766500</v>
      </c>
      <c r="BQ9" s="272">
        <v>766500</v>
      </c>
      <c r="BR9" s="272"/>
      <c r="BS9" s="272"/>
      <c r="BT9" s="272">
        <v>0</v>
      </c>
      <c r="BU9" s="272">
        <v>109475890</v>
      </c>
      <c r="BV9" s="272"/>
      <c r="BW9" s="272">
        <v>31737535</v>
      </c>
      <c r="BX9" s="272">
        <v>23443719</v>
      </c>
      <c r="BY9" s="272">
        <v>2002431</v>
      </c>
      <c r="BZ9" s="272">
        <v>1567399</v>
      </c>
      <c r="CA9" s="272">
        <v>15663773</v>
      </c>
      <c r="CB9" s="272">
        <v>2138379</v>
      </c>
      <c r="CC9" s="272">
        <v>4221138</v>
      </c>
      <c r="CD9" s="272">
        <v>3184132</v>
      </c>
      <c r="CE9" s="272">
        <v>5248829</v>
      </c>
      <c r="CF9" s="272">
        <v>507896</v>
      </c>
      <c r="CG9" s="272">
        <v>363399</v>
      </c>
      <c r="CH9" s="272">
        <v>9064147</v>
      </c>
      <c r="CI9" s="272">
        <v>5915136</v>
      </c>
      <c r="CJ9" s="455">
        <f t="shared" si="7"/>
        <v>3149011</v>
      </c>
      <c r="CK9" s="272">
        <v>15173957</v>
      </c>
      <c r="CL9" s="272">
        <v>9869659</v>
      </c>
      <c r="CM9" s="272">
        <v>416100</v>
      </c>
      <c r="CN9" s="272">
        <v>2828786</v>
      </c>
      <c r="CO9" s="272">
        <v>3255668</v>
      </c>
      <c r="CP9" s="272">
        <v>6310524</v>
      </c>
      <c r="CQ9" s="272">
        <v>1237</v>
      </c>
      <c r="CR9" s="272">
        <v>3757891</v>
      </c>
      <c r="CS9" s="272">
        <v>2163013</v>
      </c>
      <c r="CT9" s="455">
        <f t="shared" si="8"/>
        <v>1267261</v>
      </c>
      <c r="CU9" s="272">
        <v>907595</v>
      </c>
      <c r="CV9" s="272">
        <v>359666</v>
      </c>
      <c r="CW9" s="455">
        <f t="shared" si="9"/>
        <v>1220705</v>
      </c>
      <c r="CX9" s="272">
        <v>861039</v>
      </c>
      <c r="CY9" s="272">
        <v>359666</v>
      </c>
      <c r="CZ9" s="455">
        <f t="shared" si="10"/>
        <v>0</v>
      </c>
      <c r="DA9" s="272">
        <v>0</v>
      </c>
      <c r="DB9" s="272">
        <v>0</v>
      </c>
      <c r="DC9" s="272">
        <v>10765681</v>
      </c>
      <c r="DD9" s="272">
        <v>1907203</v>
      </c>
      <c r="DE9" s="272">
        <v>8070265</v>
      </c>
      <c r="DF9" s="272">
        <v>0</v>
      </c>
      <c r="DG9" s="272">
        <v>788213</v>
      </c>
      <c r="DH9" s="272">
        <v>20265</v>
      </c>
      <c r="DI9" s="272">
        <v>5543184</v>
      </c>
      <c r="DJ9" s="272">
        <v>3428317</v>
      </c>
      <c r="DK9" s="272">
        <v>0</v>
      </c>
      <c r="DL9" s="272">
        <v>2114867</v>
      </c>
      <c r="DM9" s="272">
        <v>287130</v>
      </c>
      <c r="DN9" s="272">
        <v>267730</v>
      </c>
      <c r="DO9" s="272">
        <v>48500</v>
      </c>
      <c r="DP9" s="272">
        <v>219230</v>
      </c>
      <c r="DQ9" s="272">
        <v>1293728</v>
      </c>
      <c r="DR9" s="272">
        <v>0</v>
      </c>
      <c r="DS9" s="272">
        <v>0</v>
      </c>
      <c r="DT9" s="272">
        <v>10031875</v>
      </c>
      <c r="DU9" s="272">
        <v>5568841</v>
      </c>
      <c r="DV9" s="455">
        <f t="shared" si="11"/>
        <v>432</v>
      </c>
      <c r="DW9" s="272">
        <v>432</v>
      </c>
      <c r="DX9" s="272">
        <v>0</v>
      </c>
      <c r="DY9" s="272">
        <v>86623</v>
      </c>
      <c r="DZ9" s="272">
        <v>3037574</v>
      </c>
      <c r="EA9" s="272">
        <v>1286068</v>
      </c>
      <c r="EB9" s="272"/>
      <c r="EC9" s="272">
        <v>0</v>
      </c>
      <c r="ED9" s="272">
        <v>109147467</v>
      </c>
      <c r="EF9" s="272">
        <v>328423</v>
      </c>
      <c r="EG9" s="272">
        <v>52800</v>
      </c>
      <c r="EH9" s="272">
        <v>275623</v>
      </c>
      <c r="EI9" s="272">
        <v>-59078</v>
      </c>
      <c r="EJ9" s="272">
        <v>3544857</v>
      </c>
      <c r="EL9" s="272"/>
      <c r="EM9" s="272">
        <v>339596</v>
      </c>
      <c r="EN9" s="272">
        <v>522044</v>
      </c>
      <c r="EO9" s="272">
        <v>26530</v>
      </c>
      <c r="EP9" s="455">
        <f t="shared" si="12"/>
        <v>1238327</v>
      </c>
      <c r="EQ9" s="272">
        <v>76567413</v>
      </c>
      <c r="ER9" s="272">
        <v>-2487428</v>
      </c>
      <c r="ES9" s="272">
        <v>29063630</v>
      </c>
      <c r="ET9" s="272">
        <v>20894277</v>
      </c>
      <c r="EU9" s="272">
        <v>5916984</v>
      </c>
      <c r="EV9" s="272">
        <v>8870123</v>
      </c>
      <c r="EW9" s="455">
        <f t="shared" si="13"/>
        <v>2926886</v>
      </c>
      <c r="EX9" s="272">
        <v>2924621</v>
      </c>
      <c r="EY9" s="272">
        <v>312418</v>
      </c>
      <c r="EZ9" s="272">
        <v>2612203</v>
      </c>
      <c r="FA9" s="272">
        <v>2265</v>
      </c>
      <c r="FB9" s="272"/>
      <c r="FC9" s="272">
        <v>12294634</v>
      </c>
      <c r="FD9" s="272">
        <v>3913254</v>
      </c>
      <c r="FE9" s="272">
        <v>1237</v>
      </c>
      <c r="FF9" s="272">
        <v>9311956</v>
      </c>
      <c r="FG9" s="455">
        <f t="shared" si="14"/>
        <v>6428951</v>
      </c>
      <c r="FH9" s="272">
        <v>78726418</v>
      </c>
      <c r="FI9" s="384">
        <f t="shared" si="15"/>
        <v>0.4</v>
      </c>
      <c r="FJ9" s="272">
        <v>69006755</v>
      </c>
      <c r="FK9" s="272"/>
      <c r="FL9" s="272">
        <v>51935380</v>
      </c>
      <c r="FM9" s="272">
        <v>48730944</v>
      </c>
      <c r="FN9" s="460">
        <v>1.107</v>
      </c>
      <c r="FO9" s="388">
        <v>95</v>
      </c>
      <c r="FP9" s="388">
        <v>40.5</v>
      </c>
      <c r="FQ9" s="388">
        <v>8.4</v>
      </c>
      <c r="FR9" s="388">
        <v>11.6</v>
      </c>
      <c r="FS9" s="388">
        <v>17</v>
      </c>
      <c r="FT9" s="388">
        <v>4.5</v>
      </c>
      <c r="FU9" s="388">
        <v>8.6</v>
      </c>
      <c r="FV9" s="388">
        <v>7.9</v>
      </c>
      <c r="FW9" s="272">
        <v>72522728</v>
      </c>
      <c r="FX9" s="384">
        <f t="shared" si="16"/>
        <v>105.1</v>
      </c>
      <c r="FY9" s="272">
        <v>38205051</v>
      </c>
      <c r="FZ9" s="272">
        <v>10339596</v>
      </c>
      <c r="GA9" s="272"/>
      <c r="GB9" s="272">
        <v>27865455</v>
      </c>
      <c r="GC9" s="272"/>
      <c r="GD9" s="272">
        <v>16762626</v>
      </c>
      <c r="GE9" s="384">
        <f t="shared" si="17"/>
        <v>24.3</v>
      </c>
      <c r="GF9" s="388">
        <v>98.3</v>
      </c>
      <c r="GG9" s="388">
        <v>14.9</v>
      </c>
      <c r="GH9" s="388">
        <v>92.7</v>
      </c>
      <c r="GI9" s="272">
        <v>2853</v>
      </c>
    </row>
    <row r="10" spans="2:191" x14ac:dyDescent="0.15">
      <c r="B10" s="89" t="s">
        <v>13</v>
      </c>
      <c r="C10" s="272">
        <v>12068325</v>
      </c>
      <c r="D10" s="455">
        <f t="shared" si="0"/>
        <v>3436555</v>
      </c>
      <c r="E10" s="272">
        <v>65370</v>
      </c>
      <c r="F10" s="272">
        <v>3371185</v>
      </c>
      <c r="G10" s="455">
        <f t="shared" si="1"/>
        <v>706332</v>
      </c>
      <c r="H10" s="272">
        <v>193621</v>
      </c>
      <c r="I10" s="272">
        <v>512711</v>
      </c>
      <c r="J10" s="272">
        <v>5983793</v>
      </c>
      <c r="K10" s="272">
        <v>3004422</v>
      </c>
      <c r="L10" s="272">
        <v>1837645</v>
      </c>
      <c r="M10" s="272">
        <v>729932</v>
      </c>
      <c r="N10" s="272">
        <v>560319</v>
      </c>
      <c r="O10" s="272">
        <v>1332311</v>
      </c>
      <c r="P10" s="272">
        <v>887053</v>
      </c>
      <c r="Q10" s="272">
        <v>445258</v>
      </c>
      <c r="R10" s="272">
        <v>220384</v>
      </c>
      <c r="S10" s="272"/>
      <c r="T10" s="455">
        <f t="shared" si="2"/>
        <v>950875</v>
      </c>
      <c r="U10" s="272">
        <v>112951</v>
      </c>
      <c r="V10" s="272"/>
      <c r="W10" s="272"/>
      <c r="X10" s="272">
        <v>681634</v>
      </c>
      <c r="Y10" s="272">
        <v>0</v>
      </c>
      <c r="Z10" s="272">
        <v>10796</v>
      </c>
      <c r="AA10" s="272">
        <v>145494</v>
      </c>
      <c r="AB10" s="272">
        <v>260951</v>
      </c>
      <c r="AC10" s="272">
        <v>3406160</v>
      </c>
      <c r="AD10" s="272">
        <v>2996152</v>
      </c>
      <c r="AE10" s="272">
        <v>410008</v>
      </c>
      <c r="AF10" s="272">
        <v>17215</v>
      </c>
      <c r="AG10" s="272">
        <v>226017</v>
      </c>
      <c r="AH10" s="455">
        <f t="shared" si="3"/>
        <v>402232</v>
      </c>
      <c r="AI10" s="272">
        <v>362885</v>
      </c>
      <c r="AJ10" s="272">
        <v>39347</v>
      </c>
      <c r="AK10" s="272">
        <v>2844178</v>
      </c>
      <c r="AL10" s="455">
        <f t="shared" si="4"/>
        <v>1424388</v>
      </c>
      <c r="AM10" s="272">
        <v>984501</v>
      </c>
      <c r="AN10" s="272">
        <v>205363</v>
      </c>
      <c r="AO10" s="272">
        <v>0</v>
      </c>
      <c r="AP10" s="272">
        <v>234524</v>
      </c>
      <c r="AQ10" s="272">
        <v>109980</v>
      </c>
      <c r="AR10" s="272">
        <v>942</v>
      </c>
      <c r="AS10" s="272">
        <v>0</v>
      </c>
      <c r="AT10" s="272">
        <v>2727603</v>
      </c>
      <c r="AU10" s="272">
        <v>1144896</v>
      </c>
      <c r="AV10" s="272">
        <v>104094</v>
      </c>
      <c r="AW10" s="272">
        <v>14803</v>
      </c>
      <c r="AX10" s="272">
        <v>1582707</v>
      </c>
      <c r="AY10" s="272">
        <v>932596</v>
      </c>
      <c r="AZ10" s="272">
        <v>114658</v>
      </c>
      <c r="BA10" s="272">
        <v>95937</v>
      </c>
      <c r="BB10" s="272">
        <v>29130</v>
      </c>
      <c r="BC10" s="272">
        <v>47510</v>
      </c>
      <c r="BD10" s="272">
        <v>0</v>
      </c>
      <c r="BE10" s="272">
        <v>0</v>
      </c>
      <c r="BF10" s="272">
        <v>42362</v>
      </c>
      <c r="BG10" s="272">
        <v>0</v>
      </c>
      <c r="BH10" s="272">
        <v>0</v>
      </c>
      <c r="BI10" s="272">
        <v>0</v>
      </c>
      <c r="BJ10" s="272">
        <v>927340</v>
      </c>
      <c r="BK10" s="272">
        <v>738773</v>
      </c>
      <c r="BL10" s="272">
        <v>0</v>
      </c>
      <c r="BM10" s="272">
        <v>16790</v>
      </c>
      <c r="BN10" s="272">
        <v>1805300</v>
      </c>
      <c r="BO10" s="455">
        <f t="shared" si="5"/>
        <v>1686900</v>
      </c>
      <c r="BP10" s="455">
        <f t="shared" si="6"/>
        <v>118400</v>
      </c>
      <c r="BQ10" s="272">
        <v>118400</v>
      </c>
      <c r="BR10" s="272"/>
      <c r="BS10" s="272"/>
      <c r="BT10" s="272">
        <v>0</v>
      </c>
      <c r="BU10" s="272">
        <v>26047878</v>
      </c>
      <c r="BV10" s="272"/>
      <c r="BW10" s="272">
        <v>7027303</v>
      </c>
      <c r="BX10" s="272">
        <v>4950817</v>
      </c>
      <c r="BY10" s="272">
        <v>669185</v>
      </c>
      <c r="BZ10" s="272">
        <v>246188</v>
      </c>
      <c r="CA10" s="272">
        <v>4077280</v>
      </c>
      <c r="CB10" s="272">
        <v>541932</v>
      </c>
      <c r="CC10" s="272">
        <v>1386509</v>
      </c>
      <c r="CD10" s="272">
        <v>768596</v>
      </c>
      <c r="CE10" s="272">
        <v>1340598</v>
      </c>
      <c r="CF10" s="272">
        <v>0</v>
      </c>
      <c r="CG10" s="272">
        <v>39635</v>
      </c>
      <c r="CH10" s="272">
        <v>2590291</v>
      </c>
      <c r="CI10" s="272">
        <v>1575652</v>
      </c>
      <c r="CJ10" s="455">
        <f t="shared" si="7"/>
        <v>1014639</v>
      </c>
      <c r="CK10" s="272">
        <v>2168287</v>
      </c>
      <c r="CL10" s="272">
        <v>1023686</v>
      </c>
      <c r="CM10" s="272">
        <v>167993</v>
      </c>
      <c r="CN10" s="272">
        <v>450118</v>
      </c>
      <c r="CO10" s="272">
        <v>104864</v>
      </c>
      <c r="CP10" s="272">
        <v>3257855</v>
      </c>
      <c r="CQ10" s="272">
        <v>1246119</v>
      </c>
      <c r="CR10" s="272">
        <v>807151</v>
      </c>
      <c r="CS10" s="272">
        <v>471497</v>
      </c>
      <c r="CT10" s="455">
        <f t="shared" si="8"/>
        <v>785696</v>
      </c>
      <c r="CU10" s="272">
        <v>4549</v>
      </c>
      <c r="CV10" s="272">
        <v>781147</v>
      </c>
      <c r="CW10" s="455">
        <f t="shared" si="9"/>
        <v>777862</v>
      </c>
      <c r="CX10" s="272">
        <v>0</v>
      </c>
      <c r="CY10" s="272">
        <v>777862</v>
      </c>
      <c r="CZ10" s="455">
        <f t="shared" si="10"/>
        <v>0</v>
      </c>
      <c r="DA10" s="272">
        <v>0</v>
      </c>
      <c r="DB10" s="272">
        <v>0</v>
      </c>
      <c r="DC10" s="272">
        <v>4058772</v>
      </c>
      <c r="DD10" s="272">
        <v>208232</v>
      </c>
      <c r="DE10" s="272">
        <v>1606026</v>
      </c>
      <c r="DF10" s="272">
        <v>650954</v>
      </c>
      <c r="DG10" s="272">
        <v>1593560</v>
      </c>
      <c r="DH10" s="272">
        <v>1470</v>
      </c>
      <c r="DI10" s="272">
        <v>638675</v>
      </c>
      <c r="DJ10" s="272">
        <v>130</v>
      </c>
      <c r="DK10" s="272">
        <v>120</v>
      </c>
      <c r="DL10" s="272">
        <v>638425</v>
      </c>
      <c r="DM10" s="272">
        <v>0</v>
      </c>
      <c r="DN10" s="272">
        <v>0</v>
      </c>
      <c r="DO10" s="272">
        <v>0</v>
      </c>
      <c r="DP10" s="272">
        <v>0</v>
      </c>
      <c r="DQ10" s="272">
        <v>718331</v>
      </c>
      <c r="DR10" s="272">
        <v>0</v>
      </c>
      <c r="DS10" s="272">
        <v>0</v>
      </c>
      <c r="DT10" s="272">
        <v>2709617</v>
      </c>
      <c r="DU10" s="272">
        <v>1792995</v>
      </c>
      <c r="DV10" s="455">
        <f t="shared" si="11"/>
        <v>0</v>
      </c>
      <c r="DW10" s="272">
        <v>0</v>
      </c>
      <c r="DX10" s="272">
        <v>0</v>
      </c>
      <c r="DY10" s="272">
        <v>32434</v>
      </c>
      <c r="DZ10" s="272">
        <v>368318</v>
      </c>
      <c r="EA10" s="272">
        <v>338628</v>
      </c>
      <c r="EB10" s="272"/>
      <c r="EC10" s="272">
        <v>207579</v>
      </c>
      <c r="ED10" s="272">
        <v>27560324</v>
      </c>
      <c r="EF10" s="272">
        <v>-1512446</v>
      </c>
      <c r="EG10" s="272">
        <v>20974</v>
      </c>
      <c r="EH10" s="272">
        <v>-1533420</v>
      </c>
      <c r="EI10" s="272">
        <v>-1180006</v>
      </c>
      <c r="EJ10" s="272">
        <v>-1179876</v>
      </c>
      <c r="EL10" s="272"/>
      <c r="EM10" s="272">
        <v>74590</v>
      </c>
      <c r="EN10" s="272">
        <v>5148</v>
      </c>
      <c r="EO10" s="272">
        <v>5562</v>
      </c>
      <c r="EP10" s="455">
        <f t="shared" si="12"/>
        <v>182352</v>
      </c>
      <c r="EQ10" s="272">
        <v>16923910</v>
      </c>
      <c r="ER10" s="272">
        <v>-294247</v>
      </c>
      <c r="ES10" s="272">
        <v>6303108</v>
      </c>
      <c r="ET10" s="272">
        <v>4282085</v>
      </c>
      <c r="EU10" s="272">
        <v>1591734</v>
      </c>
      <c r="EV10" s="272">
        <v>2590291</v>
      </c>
      <c r="EW10" s="455">
        <f t="shared" si="13"/>
        <v>452101</v>
      </c>
      <c r="EX10" s="272">
        <v>451573</v>
      </c>
      <c r="EY10" s="272">
        <v>2779</v>
      </c>
      <c r="EZ10" s="272">
        <v>422940</v>
      </c>
      <c r="FA10" s="272">
        <v>528</v>
      </c>
      <c r="FB10" s="272"/>
      <c r="FC10" s="272">
        <v>1994274</v>
      </c>
      <c r="FD10" s="272">
        <v>2889508</v>
      </c>
      <c r="FE10" s="272">
        <v>1246119</v>
      </c>
      <c r="FF10" s="272">
        <v>2579272</v>
      </c>
      <c r="FG10" s="455">
        <f t="shared" si="14"/>
        <v>330315</v>
      </c>
      <c r="FH10" s="272">
        <v>18730603</v>
      </c>
      <c r="FI10" s="384">
        <f t="shared" si="15"/>
        <v>-10</v>
      </c>
      <c r="FJ10" s="272">
        <v>15319802</v>
      </c>
      <c r="FK10" s="272"/>
      <c r="FL10" s="272">
        <v>9303836</v>
      </c>
      <c r="FM10" s="272">
        <v>12296620</v>
      </c>
      <c r="FN10" s="460">
        <v>0.79800000000000004</v>
      </c>
      <c r="FO10" s="388">
        <v>102.6</v>
      </c>
      <c r="FP10" s="388">
        <v>39.299999999999997</v>
      </c>
      <c r="FQ10" s="388">
        <v>10.4</v>
      </c>
      <c r="FR10" s="388">
        <v>17</v>
      </c>
      <c r="FS10" s="388">
        <v>9.3000000000000007</v>
      </c>
      <c r="FT10" s="388">
        <v>13.2</v>
      </c>
      <c r="FU10" s="388">
        <v>12.8</v>
      </c>
      <c r="FV10" s="388">
        <v>12.9</v>
      </c>
      <c r="FW10" s="272">
        <v>27731642</v>
      </c>
      <c r="FX10" s="384">
        <f t="shared" si="16"/>
        <v>181</v>
      </c>
      <c r="FY10" s="272">
        <v>1464830</v>
      </c>
      <c r="FZ10" s="272">
        <v>15152</v>
      </c>
      <c r="GA10" s="272">
        <v>13320</v>
      </c>
      <c r="GB10" s="272">
        <v>1436358</v>
      </c>
      <c r="GC10" s="272"/>
      <c r="GD10" s="272">
        <v>11104156</v>
      </c>
      <c r="GE10" s="384">
        <f t="shared" si="17"/>
        <v>72.5</v>
      </c>
      <c r="GF10" s="388">
        <v>97.8</v>
      </c>
      <c r="GG10" s="388">
        <v>14.7</v>
      </c>
      <c r="GH10" s="388">
        <v>91</v>
      </c>
      <c r="GI10" s="272">
        <v>628</v>
      </c>
    </row>
    <row r="11" spans="2:191" x14ac:dyDescent="0.15">
      <c r="B11" s="89" t="s">
        <v>15</v>
      </c>
      <c r="C11" s="272">
        <v>55047381</v>
      </c>
      <c r="D11" s="455">
        <f t="shared" si="0"/>
        <v>21039026</v>
      </c>
      <c r="E11" s="272">
        <v>352885</v>
      </c>
      <c r="F11" s="272">
        <v>20686141</v>
      </c>
      <c r="G11" s="455">
        <f t="shared" si="1"/>
        <v>3188621</v>
      </c>
      <c r="H11" s="272">
        <v>716612</v>
      </c>
      <c r="I11" s="272">
        <v>2472009</v>
      </c>
      <c r="J11" s="272">
        <v>22486404</v>
      </c>
      <c r="K11" s="272">
        <v>11316007</v>
      </c>
      <c r="L11" s="272">
        <v>7805084</v>
      </c>
      <c r="M11" s="272">
        <v>3156913</v>
      </c>
      <c r="N11" s="272">
        <v>1782930</v>
      </c>
      <c r="O11" s="272">
        <v>5068748</v>
      </c>
      <c r="P11" s="272">
        <v>3386802</v>
      </c>
      <c r="Q11" s="272">
        <v>1681946</v>
      </c>
      <c r="R11" s="272">
        <v>735310</v>
      </c>
      <c r="S11" s="272"/>
      <c r="T11" s="455">
        <f t="shared" si="2"/>
        <v>4663705</v>
      </c>
      <c r="U11" s="272">
        <v>711786</v>
      </c>
      <c r="V11" s="272"/>
      <c r="W11" s="272"/>
      <c r="X11" s="272">
        <v>3031929</v>
      </c>
      <c r="Y11" s="272">
        <v>122592</v>
      </c>
      <c r="Z11" s="272">
        <v>40965</v>
      </c>
      <c r="AA11" s="272">
        <v>756433</v>
      </c>
      <c r="AB11" s="272">
        <v>1676644</v>
      </c>
      <c r="AC11" s="272">
        <v>8825559</v>
      </c>
      <c r="AD11" s="272">
        <v>8383537</v>
      </c>
      <c r="AE11" s="272">
        <v>442022</v>
      </c>
      <c r="AF11" s="272">
        <v>82863</v>
      </c>
      <c r="AG11" s="272">
        <v>973374</v>
      </c>
      <c r="AH11" s="455">
        <f t="shared" si="3"/>
        <v>2510003</v>
      </c>
      <c r="AI11" s="272">
        <v>1653983</v>
      </c>
      <c r="AJ11" s="272">
        <v>856020</v>
      </c>
      <c r="AK11" s="272">
        <v>12754073</v>
      </c>
      <c r="AL11" s="455">
        <f t="shared" si="4"/>
        <v>4556077</v>
      </c>
      <c r="AM11" s="272">
        <v>3308086</v>
      </c>
      <c r="AN11" s="272">
        <v>781831</v>
      </c>
      <c r="AO11" s="272">
        <v>0</v>
      </c>
      <c r="AP11" s="272">
        <v>466160</v>
      </c>
      <c r="AQ11" s="272">
        <v>2687086</v>
      </c>
      <c r="AR11" s="272">
        <v>10863</v>
      </c>
      <c r="AS11" s="272">
        <v>0</v>
      </c>
      <c r="AT11" s="272">
        <v>4991413</v>
      </c>
      <c r="AU11" s="272">
        <v>1908872</v>
      </c>
      <c r="AV11" s="272">
        <v>397126</v>
      </c>
      <c r="AW11" s="272">
        <v>192339</v>
      </c>
      <c r="AX11" s="272">
        <v>3082541</v>
      </c>
      <c r="AY11" s="272">
        <v>76427</v>
      </c>
      <c r="AZ11" s="272">
        <v>136595</v>
      </c>
      <c r="BA11" s="272">
        <v>78158</v>
      </c>
      <c r="BB11" s="272">
        <v>361163</v>
      </c>
      <c r="BC11" s="272">
        <v>1195842</v>
      </c>
      <c r="BD11" s="272">
        <v>37115</v>
      </c>
      <c r="BE11" s="272">
        <v>0</v>
      </c>
      <c r="BF11" s="272">
        <v>667000</v>
      </c>
      <c r="BG11" s="272">
        <v>0</v>
      </c>
      <c r="BH11" s="272">
        <v>1962980</v>
      </c>
      <c r="BI11" s="272">
        <v>390941</v>
      </c>
      <c r="BJ11" s="272">
        <v>3730567</v>
      </c>
      <c r="BK11" s="272">
        <v>3241124</v>
      </c>
      <c r="BL11" s="272">
        <v>0</v>
      </c>
      <c r="BM11" s="272">
        <v>82589</v>
      </c>
      <c r="BN11" s="272">
        <v>2988300</v>
      </c>
      <c r="BO11" s="455">
        <f t="shared" si="5"/>
        <v>2314300</v>
      </c>
      <c r="BP11" s="455">
        <f t="shared" si="6"/>
        <v>674000</v>
      </c>
      <c r="BQ11" s="272">
        <v>674000</v>
      </c>
      <c r="BR11" s="272"/>
      <c r="BS11" s="272"/>
      <c r="BT11" s="272">
        <v>0</v>
      </c>
      <c r="BU11" s="272">
        <v>102635772</v>
      </c>
      <c r="BV11" s="272"/>
      <c r="BW11" s="272">
        <v>27232153</v>
      </c>
      <c r="BX11" s="272">
        <v>19658538</v>
      </c>
      <c r="BY11" s="272">
        <v>2532233</v>
      </c>
      <c r="BZ11" s="272">
        <v>1057318</v>
      </c>
      <c r="CA11" s="272">
        <v>12258653</v>
      </c>
      <c r="CB11" s="272">
        <v>1817948</v>
      </c>
      <c r="CC11" s="272">
        <v>3018038</v>
      </c>
      <c r="CD11" s="272">
        <v>2733934</v>
      </c>
      <c r="CE11" s="272">
        <v>4482000</v>
      </c>
      <c r="CF11" s="272">
        <v>7977</v>
      </c>
      <c r="CG11" s="272">
        <v>196956</v>
      </c>
      <c r="CH11" s="272">
        <v>10361524</v>
      </c>
      <c r="CI11" s="272">
        <v>7309869</v>
      </c>
      <c r="CJ11" s="455">
        <f t="shared" si="7"/>
        <v>3051655</v>
      </c>
      <c r="CK11" s="272">
        <v>14427330</v>
      </c>
      <c r="CL11" s="272">
        <v>9218968</v>
      </c>
      <c r="CM11" s="272">
        <v>376387</v>
      </c>
      <c r="CN11" s="272">
        <v>3142391</v>
      </c>
      <c r="CO11" s="272">
        <v>1550650</v>
      </c>
      <c r="CP11" s="272">
        <v>5925585</v>
      </c>
      <c r="CQ11" s="272">
        <v>21485</v>
      </c>
      <c r="CR11" s="272">
        <v>3646523</v>
      </c>
      <c r="CS11" s="272">
        <v>2138224</v>
      </c>
      <c r="CT11" s="455">
        <f t="shared" si="8"/>
        <v>1099298</v>
      </c>
      <c r="CU11" s="272">
        <v>57297</v>
      </c>
      <c r="CV11" s="272">
        <v>1042001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13157962</v>
      </c>
      <c r="DD11" s="272">
        <v>5200501</v>
      </c>
      <c r="DE11" s="272">
        <v>7926323</v>
      </c>
      <c r="DF11" s="272">
        <v>31138</v>
      </c>
      <c r="DG11" s="272">
        <v>0</v>
      </c>
      <c r="DH11" s="272">
        <v>237950</v>
      </c>
      <c r="DI11" s="272">
        <v>4683769</v>
      </c>
      <c r="DJ11" s="272">
        <v>610108</v>
      </c>
      <c r="DK11" s="272">
        <v>1012263</v>
      </c>
      <c r="DL11" s="272">
        <v>3061398</v>
      </c>
      <c r="DM11" s="272">
        <v>1547</v>
      </c>
      <c r="DN11" s="272">
        <v>0</v>
      </c>
      <c r="DO11" s="272">
        <v>0</v>
      </c>
      <c r="DP11" s="272">
        <v>0</v>
      </c>
      <c r="DQ11" s="272">
        <v>3223861</v>
      </c>
      <c r="DR11" s="272">
        <v>0</v>
      </c>
      <c r="DS11" s="272">
        <v>0</v>
      </c>
      <c r="DT11" s="272">
        <v>9040711</v>
      </c>
      <c r="DU11" s="272">
        <v>5215000</v>
      </c>
      <c r="DV11" s="455">
        <f t="shared" si="11"/>
        <v>0</v>
      </c>
      <c r="DW11" s="272">
        <v>0</v>
      </c>
      <c r="DX11" s="272">
        <v>0</v>
      </c>
      <c r="DY11" s="272">
        <v>0</v>
      </c>
      <c r="DZ11" s="272">
        <v>2331414</v>
      </c>
      <c r="EA11" s="272">
        <v>1489685</v>
      </c>
      <c r="EB11" s="272"/>
      <c r="EC11" s="272">
        <v>0</v>
      </c>
      <c r="ED11" s="272">
        <v>102101695</v>
      </c>
      <c r="EF11" s="272">
        <v>534077</v>
      </c>
      <c r="EG11" s="272">
        <v>173695</v>
      </c>
      <c r="EH11" s="272">
        <v>360382</v>
      </c>
      <c r="EI11" s="272">
        <v>-30559</v>
      </c>
      <c r="EJ11" s="272">
        <v>542434</v>
      </c>
      <c r="EL11" s="272"/>
      <c r="EM11" s="272">
        <v>356857</v>
      </c>
      <c r="EN11" s="272">
        <v>54783</v>
      </c>
      <c r="EO11" s="272">
        <v>88731</v>
      </c>
      <c r="EP11" s="455">
        <f t="shared" si="12"/>
        <v>2214651</v>
      </c>
      <c r="EQ11" s="272">
        <v>71031462</v>
      </c>
      <c r="ER11" s="272">
        <v>-2949302</v>
      </c>
      <c r="ES11" s="272">
        <v>24858156</v>
      </c>
      <c r="ET11" s="272">
        <v>17394574</v>
      </c>
      <c r="EU11" s="272">
        <v>3702741</v>
      </c>
      <c r="EV11" s="272">
        <v>10070858</v>
      </c>
      <c r="EW11" s="455">
        <f t="shared" si="13"/>
        <v>7212145</v>
      </c>
      <c r="EX11" s="272">
        <v>7080688</v>
      </c>
      <c r="EY11" s="272">
        <v>943792</v>
      </c>
      <c r="EZ11" s="272">
        <v>6109066</v>
      </c>
      <c r="FA11" s="272">
        <v>131457</v>
      </c>
      <c r="FB11" s="272"/>
      <c r="FC11" s="272">
        <v>11403603</v>
      </c>
      <c r="FD11" s="272">
        <v>4135006</v>
      </c>
      <c r="FE11" s="272">
        <v>21485</v>
      </c>
      <c r="FF11" s="272">
        <v>8310308</v>
      </c>
      <c r="FG11" s="455">
        <f t="shared" si="14"/>
        <v>3753870</v>
      </c>
      <c r="FH11" s="272">
        <v>73446687</v>
      </c>
      <c r="FI11" s="384">
        <f t="shared" si="15"/>
        <v>0.6</v>
      </c>
      <c r="FJ11" s="272">
        <v>65280434</v>
      </c>
      <c r="FK11" s="272"/>
      <c r="FL11" s="272">
        <v>42875347</v>
      </c>
      <c r="FM11" s="272">
        <v>51285793</v>
      </c>
      <c r="FN11" s="460">
        <v>0.878</v>
      </c>
      <c r="FO11" s="388">
        <v>89.3</v>
      </c>
      <c r="FP11" s="388">
        <v>36.9</v>
      </c>
      <c r="FQ11" s="388">
        <v>5.6</v>
      </c>
      <c r="FR11" s="388">
        <v>14.5</v>
      </c>
      <c r="FS11" s="388">
        <v>16.7</v>
      </c>
      <c r="FT11" s="388">
        <v>5.8</v>
      </c>
      <c r="FU11" s="388">
        <v>7.6</v>
      </c>
      <c r="FV11" s="388">
        <v>9.4</v>
      </c>
      <c r="FW11" s="272">
        <v>73133260</v>
      </c>
      <c r="FX11" s="384">
        <f t="shared" si="16"/>
        <v>112</v>
      </c>
      <c r="FY11" s="272">
        <v>27512087</v>
      </c>
      <c r="FZ11" s="272">
        <v>6641915</v>
      </c>
      <c r="GA11" s="272">
        <v>2557268</v>
      </c>
      <c r="GB11" s="272">
        <v>18312904</v>
      </c>
      <c r="GC11" s="272"/>
      <c r="GD11" s="272">
        <v>6334089</v>
      </c>
      <c r="GE11" s="384">
        <f t="shared" si="17"/>
        <v>9.6999999999999993</v>
      </c>
      <c r="GF11" s="388">
        <v>98.4</v>
      </c>
      <c r="GG11" s="388">
        <v>27</v>
      </c>
      <c r="GH11" s="388">
        <v>95.3</v>
      </c>
      <c r="GI11" s="272">
        <v>2401</v>
      </c>
    </row>
    <row r="12" spans="2:191" x14ac:dyDescent="0.15">
      <c r="B12" s="89" t="s">
        <v>17</v>
      </c>
      <c r="C12" s="272">
        <v>11530797</v>
      </c>
      <c r="D12" s="455">
        <f t="shared" si="0"/>
        <v>3631673</v>
      </c>
      <c r="E12" s="272">
        <v>76603</v>
      </c>
      <c r="F12" s="272">
        <v>3555070</v>
      </c>
      <c r="G12" s="455">
        <f t="shared" si="1"/>
        <v>549029</v>
      </c>
      <c r="H12" s="272">
        <v>166163</v>
      </c>
      <c r="I12" s="272">
        <v>382866</v>
      </c>
      <c r="J12" s="272">
        <v>5330053</v>
      </c>
      <c r="K12" s="272">
        <v>2597833</v>
      </c>
      <c r="L12" s="272">
        <v>1938567</v>
      </c>
      <c r="M12" s="272">
        <v>667191</v>
      </c>
      <c r="N12" s="272">
        <v>730423</v>
      </c>
      <c r="O12" s="272">
        <v>1142454</v>
      </c>
      <c r="P12" s="272">
        <v>719780</v>
      </c>
      <c r="Q12" s="272">
        <v>422674</v>
      </c>
      <c r="R12" s="272">
        <v>183478</v>
      </c>
      <c r="S12" s="272"/>
      <c r="T12" s="455">
        <f t="shared" si="2"/>
        <v>1055666</v>
      </c>
      <c r="U12" s="272">
        <v>124116</v>
      </c>
      <c r="V12" s="272"/>
      <c r="W12" s="272"/>
      <c r="X12" s="272">
        <v>737353</v>
      </c>
      <c r="Y12" s="272">
        <v>0</v>
      </c>
      <c r="Z12" s="272">
        <v>5790</v>
      </c>
      <c r="AA12" s="272">
        <v>188407</v>
      </c>
      <c r="AB12" s="272">
        <v>266132</v>
      </c>
      <c r="AC12" s="272">
        <v>5414852</v>
      </c>
      <c r="AD12" s="272">
        <v>4882828</v>
      </c>
      <c r="AE12" s="272">
        <v>532024</v>
      </c>
      <c r="AF12" s="272">
        <v>21731</v>
      </c>
      <c r="AG12" s="272">
        <v>262527</v>
      </c>
      <c r="AH12" s="455">
        <f t="shared" si="3"/>
        <v>588146</v>
      </c>
      <c r="AI12" s="272">
        <v>527714</v>
      </c>
      <c r="AJ12" s="272">
        <v>60432</v>
      </c>
      <c r="AK12" s="272">
        <v>3604302</v>
      </c>
      <c r="AL12" s="455">
        <f t="shared" si="4"/>
        <v>1616123</v>
      </c>
      <c r="AM12" s="272">
        <v>1088821</v>
      </c>
      <c r="AN12" s="272">
        <v>339670</v>
      </c>
      <c r="AO12" s="272">
        <v>0</v>
      </c>
      <c r="AP12" s="272">
        <v>187632</v>
      </c>
      <c r="AQ12" s="272">
        <v>195321</v>
      </c>
      <c r="AR12" s="272">
        <v>0</v>
      </c>
      <c r="AS12" s="272">
        <v>0</v>
      </c>
      <c r="AT12" s="272">
        <v>1797109</v>
      </c>
      <c r="AU12" s="272">
        <v>809530</v>
      </c>
      <c r="AV12" s="272">
        <v>165856</v>
      </c>
      <c r="AW12" s="272">
        <v>196788</v>
      </c>
      <c r="AX12" s="272">
        <v>987579</v>
      </c>
      <c r="AY12" s="272">
        <v>102033</v>
      </c>
      <c r="AZ12" s="272">
        <v>25506</v>
      </c>
      <c r="BA12" s="272">
        <v>6434</v>
      </c>
      <c r="BB12" s="272">
        <v>162876</v>
      </c>
      <c r="BC12" s="272">
        <v>747352</v>
      </c>
      <c r="BD12" s="272">
        <v>100000</v>
      </c>
      <c r="BE12" s="272">
        <v>300000</v>
      </c>
      <c r="BF12" s="272">
        <v>322254</v>
      </c>
      <c r="BG12" s="470">
        <v>21848</v>
      </c>
      <c r="BH12" s="272">
        <v>86159</v>
      </c>
      <c r="BI12" s="272">
        <v>12586</v>
      </c>
      <c r="BJ12" s="272">
        <v>338717</v>
      </c>
      <c r="BK12" s="272">
        <v>8424</v>
      </c>
      <c r="BL12" s="272">
        <v>36488</v>
      </c>
      <c r="BM12" s="272">
        <v>17262</v>
      </c>
      <c r="BN12" s="272">
        <v>2337700</v>
      </c>
      <c r="BO12" s="455">
        <f t="shared" si="5"/>
        <v>2208300</v>
      </c>
      <c r="BP12" s="455">
        <f t="shared" si="6"/>
        <v>129400</v>
      </c>
      <c r="BQ12" s="272">
        <v>129400</v>
      </c>
      <c r="BR12" s="272"/>
      <c r="BS12" s="272"/>
      <c r="BT12" s="272">
        <v>0</v>
      </c>
      <c r="BU12" s="272">
        <v>28423050</v>
      </c>
      <c r="BV12" s="272"/>
      <c r="BW12" s="272">
        <v>7703141</v>
      </c>
      <c r="BX12" s="272">
        <v>5302759</v>
      </c>
      <c r="BY12" s="272">
        <v>687211</v>
      </c>
      <c r="BZ12" s="272">
        <v>440258</v>
      </c>
      <c r="CA12" s="272">
        <v>4186983</v>
      </c>
      <c r="CB12" s="272">
        <v>572184</v>
      </c>
      <c r="CC12" s="272">
        <v>989938</v>
      </c>
      <c r="CD12" s="272">
        <v>1123181</v>
      </c>
      <c r="CE12" s="272">
        <v>1455547</v>
      </c>
      <c r="CF12" s="272">
        <v>121</v>
      </c>
      <c r="CG12" s="272">
        <v>46012</v>
      </c>
      <c r="CH12" s="272">
        <v>5574055</v>
      </c>
      <c r="CI12" s="272">
        <v>4414742</v>
      </c>
      <c r="CJ12" s="455">
        <f t="shared" si="7"/>
        <v>1159313</v>
      </c>
      <c r="CK12" s="272">
        <v>2573146</v>
      </c>
      <c r="CL12" s="272">
        <v>1302065</v>
      </c>
      <c r="CM12" s="272">
        <v>179059</v>
      </c>
      <c r="CN12" s="272">
        <v>628866</v>
      </c>
      <c r="CO12" s="272">
        <v>104348</v>
      </c>
      <c r="CP12" s="272">
        <v>3383008</v>
      </c>
      <c r="CQ12" s="272">
        <v>628842</v>
      </c>
      <c r="CR12" s="272">
        <v>767304</v>
      </c>
      <c r="CS12" s="272">
        <v>571886</v>
      </c>
      <c r="CT12" s="455">
        <f t="shared" si="8"/>
        <v>1133310</v>
      </c>
      <c r="CU12" s="272">
        <v>1130230</v>
      </c>
      <c r="CV12" s="272">
        <v>3080</v>
      </c>
      <c r="CW12" s="455">
        <f t="shared" si="9"/>
        <v>1116466</v>
      </c>
      <c r="CX12" s="272">
        <v>1113386</v>
      </c>
      <c r="CY12" s="272">
        <v>3080</v>
      </c>
      <c r="CZ12" s="455">
        <f t="shared" si="10"/>
        <v>0</v>
      </c>
      <c r="DA12" s="272">
        <v>0</v>
      </c>
      <c r="DB12" s="272">
        <v>0</v>
      </c>
      <c r="DC12" s="272">
        <v>2078221</v>
      </c>
      <c r="DD12" s="272">
        <v>771052</v>
      </c>
      <c r="DE12" s="272">
        <v>1217471</v>
      </c>
      <c r="DF12" s="272">
        <v>53210</v>
      </c>
      <c r="DG12" s="272">
        <v>36488</v>
      </c>
      <c r="DH12" s="272">
        <v>13425</v>
      </c>
      <c r="DI12" s="272">
        <v>780176</v>
      </c>
      <c r="DJ12" s="272">
        <v>393</v>
      </c>
      <c r="DK12" s="272">
        <v>257</v>
      </c>
      <c r="DL12" s="272">
        <v>779526</v>
      </c>
      <c r="DM12" s="272">
        <v>0</v>
      </c>
      <c r="DN12" s="272">
        <v>0</v>
      </c>
      <c r="DO12" s="272">
        <v>0</v>
      </c>
      <c r="DP12" s="272">
        <v>0</v>
      </c>
      <c r="DQ12" s="272">
        <v>11970</v>
      </c>
      <c r="DR12" s="272">
        <v>0</v>
      </c>
      <c r="DS12" s="272">
        <v>0</v>
      </c>
      <c r="DT12" s="272">
        <v>2395656</v>
      </c>
      <c r="DU12" s="272">
        <v>1405981</v>
      </c>
      <c r="DV12" s="455">
        <f t="shared" si="11"/>
        <v>0</v>
      </c>
      <c r="DW12" s="272">
        <v>0</v>
      </c>
      <c r="DX12" s="272">
        <v>0</v>
      </c>
      <c r="DY12" s="272">
        <v>0</v>
      </c>
      <c r="DZ12" s="272">
        <v>543543</v>
      </c>
      <c r="EA12" s="272">
        <v>431632</v>
      </c>
      <c r="EB12" s="272"/>
      <c r="EC12" s="272">
        <v>0</v>
      </c>
      <c r="ED12" s="272">
        <v>28804129</v>
      </c>
      <c r="EF12" s="272">
        <v>-381079</v>
      </c>
      <c r="EG12" s="272">
        <v>57854</v>
      </c>
      <c r="EH12" s="272">
        <v>-438933</v>
      </c>
      <c r="EI12" s="272">
        <v>-451519</v>
      </c>
      <c r="EJ12" s="272">
        <v>-424968</v>
      </c>
      <c r="EL12" s="272"/>
      <c r="EM12" s="272">
        <v>87351</v>
      </c>
      <c r="EN12" s="272">
        <v>401300</v>
      </c>
      <c r="EO12" s="272">
        <v>814</v>
      </c>
      <c r="EP12" s="455">
        <f t="shared" si="12"/>
        <v>357180</v>
      </c>
      <c r="EQ12" s="272">
        <v>18472656</v>
      </c>
      <c r="ER12" s="272">
        <v>-866963</v>
      </c>
      <c r="ES12" s="272">
        <v>7049984</v>
      </c>
      <c r="ET12" s="272">
        <v>4790439</v>
      </c>
      <c r="EU12" s="272">
        <v>1352454</v>
      </c>
      <c r="EV12" s="272">
        <v>3771743</v>
      </c>
      <c r="EW12" s="455">
        <f t="shared" si="13"/>
        <v>508066</v>
      </c>
      <c r="EX12" s="272">
        <v>506337</v>
      </c>
      <c r="EY12" s="272">
        <v>25002</v>
      </c>
      <c r="EZ12" s="272">
        <v>472933</v>
      </c>
      <c r="FA12" s="272">
        <v>1729</v>
      </c>
      <c r="FB12" s="272"/>
      <c r="FC12" s="272">
        <v>2061632</v>
      </c>
      <c r="FD12" s="272">
        <v>2572792</v>
      </c>
      <c r="FE12" s="272">
        <v>628842</v>
      </c>
      <c r="FF12" s="272">
        <v>2145814</v>
      </c>
      <c r="FG12" s="455">
        <f t="shared" si="14"/>
        <v>258213</v>
      </c>
      <c r="FH12" s="272">
        <v>19720698</v>
      </c>
      <c r="FI12" s="384">
        <f t="shared" si="15"/>
        <v>-2.6</v>
      </c>
      <c r="FJ12" s="272">
        <v>17094796</v>
      </c>
      <c r="FK12" s="272"/>
      <c r="FL12" s="272">
        <v>9210758</v>
      </c>
      <c r="FM12" s="272">
        <v>14100985</v>
      </c>
      <c r="FN12" s="460">
        <v>0.67700000000000005</v>
      </c>
      <c r="FO12" s="388">
        <v>101.9</v>
      </c>
      <c r="FP12" s="388">
        <v>39.6</v>
      </c>
      <c r="FQ12" s="388">
        <v>8</v>
      </c>
      <c r="FR12" s="388">
        <v>20.399999999999999</v>
      </c>
      <c r="FS12" s="388">
        <v>10.9</v>
      </c>
      <c r="FT12" s="388">
        <v>14.5</v>
      </c>
      <c r="FU12" s="388">
        <v>7.9</v>
      </c>
      <c r="FV12" s="388">
        <v>16.2</v>
      </c>
      <c r="FW12" s="272">
        <v>26027452</v>
      </c>
      <c r="FX12" s="384">
        <f t="shared" si="16"/>
        <v>152.30000000000001</v>
      </c>
      <c r="FY12" s="272">
        <v>2616551</v>
      </c>
      <c r="FZ12" s="272">
        <v>137935</v>
      </c>
      <c r="GA12" s="272">
        <v>188585</v>
      </c>
      <c r="GB12" s="272">
        <v>2290031</v>
      </c>
      <c r="GC12" s="272"/>
      <c r="GD12" s="272">
        <v>5737491</v>
      </c>
      <c r="GE12" s="384">
        <f t="shared" si="17"/>
        <v>33.6</v>
      </c>
      <c r="GF12" s="388">
        <v>96.2</v>
      </c>
      <c r="GG12" s="388">
        <v>15.7</v>
      </c>
      <c r="GH12" s="388">
        <v>88.4</v>
      </c>
      <c r="GI12" s="272">
        <v>684</v>
      </c>
    </row>
    <row r="13" spans="2:191" x14ac:dyDescent="0.15">
      <c r="B13" s="89" t="s">
        <v>19</v>
      </c>
      <c r="C13" s="272">
        <v>26520378</v>
      </c>
      <c r="D13" s="455">
        <f t="shared" si="0"/>
        <v>6995239</v>
      </c>
      <c r="E13" s="272">
        <v>148592</v>
      </c>
      <c r="F13" s="272">
        <v>6846647</v>
      </c>
      <c r="G13" s="455">
        <f t="shared" si="1"/>
        <v>2646852</v>
      </c>
      <c r="H13" s="272">
        <v>381830</v>
      </c>
      <c r="I13" s="272">
        <v>2265022</v>
      </c>
      <c r="J13" s="272">
        <v>12025669</v>
      </c>
      <c r="K13" s="272">
        <v>5672857</v>
      </c>
      <c r="L13" s="272">
        <v>4118866</v>
      </c>
      <c r="M13" s="272">
        <v>1889141</v>
      </c>
      <c r="N13" s="272">
        <v>1166015</v>
      </c>
      <c r="O13" s="272">
        <v>2629371</v>
      </c>
      <c r="P13" s="272">
        <v>1700471</v>
      </c>
      <c r="Q13" s="272">
        <v>928900</v>
      </c>
      <c r="R13" s="272">
        <v>282882</v>
      </c>
      <c r="S13" s="272"/>
      <c r="T13" s="455">
        <f t="shared" si="2"/>
        <v>2162192</v>
      </c>
      <c r="U13" s="272">
        <v>250309</v>
      </c>
      <c r="V13" s="272"/>
      <c r="W13" s="272"/>
      <c r="X13" s="272">
        <v>1597983</v>
      </c>
      <c r="Y13" s="272">
        <v>0</v>
      </c>
      <c r="Z13" s="272">
        <v>22910</v>
      </c>
      <c r="AA13" s="272">
        <v>290990</v>
      </c>
      <c r="AB13" s="272">
        <v>560406</v>
      </c>
      <c r="AC13" s="272">
        <v>5528815</v>
      </c>
      <c r="AD13" s="272">
        <v>4858798</v>
      </c>
      <c r="AE13" s="272">
        <v>670017</v>
      </c>
      <c r="AF13" s="272">
        <v>33349</v>
      </c>
      <c r="AG13" s="272">
        <v>2504554</v>
      </c>
      <c r="AH13" s="455">
        <f t="shared" si="3"/>
        <v>980276</v>
      </c>
      <c r="AI13" s="272">
        <v>854906</v>
      </c>
      <c r="AJ13" s="272">
        <v>125370</v>
      </c>
      <c r="AK13" s="272">
        <v>6565185</v>
      </c>
      <c r="AL13" s="455">
        <f t="shared" si="4"/>
        <v>4183502</v>
      </c>
      <c r="AM13" s="272">
        <v>3257319</v>
      </c>
      <c r="AN13" s="272">
        <v>586100</v>
      </c>
      <c r="AO13" s="272">
        <v>0</v>
      </c>
      <c r="AP13" s="272">
        <v>340083</v>
      </c>
      <c r="AQ13" s="272">
        <v>508833</v>
      </c>
      <c r="AR13" s="272">
        <v>0</v>
      </c>
      <c r="AS13" s="272">
        <v>0</v>
      </c>
      <c r="AT13" s="272">
        <v>2385606</v>
      </c>
      <c r="AU13" s="272">
        <v>842838</v>
      </c>
      <c r="AV13" s="272">
        <v>226756</v>
      </c>
      <c r="AW13" s="272">
        <v>8777</v>
      </c>
      <c r="AX13" s="272">
        <v>1542768</v>
      </c>
      <c r="AY13" s="272">
        <v>80908</v>
      </c>
      <c r="AZ13" s="272">
        <v>91206</v>
      </c>
      <c r="BA13" s="272">
        <v>445</v>
      </c>
      <c r="BB13" s="272">
        <v>115382</v>
      </c>
      <c r="BC13" s="272">
        <v>199280</v>
      </c>
      <c r="BD13" s="272">
        <v>0</v>
      </c>
      <c r="BE13" s="272">
        <v>0</v>
      </c>
      <c r="BF13" s="272">
        <v>31280</v>
      </c>
      <c r="BG13" s="272">
        <v>0</v>
      </c>
      <c r="BH13" s="272">
        <v>541656</v>
      </c>
      <c r="BI13" s="272">
        <v>5525</v>
      </c>
      <c r="BJ13" s="272">
        <v>363063</v>
      </c>
      <c r="BK13" s="272">
        <v>81304</v>
      </c>
      <c r="BL13" s="272">
        <v>0</v>
      </c>
      <c r="BM13" s="272">
        <v>35031</v>
      </c>
      <c r="BN13" s="272">
        <v>1925200</v>
      </c>
      <c r="BO13" s="455">
        <f t="shared" si="5"/>
        <v>1670500</v>
      </c>
      <c r="BP13" s="455">
        <f t="shared" si="6"/>
        <v>254700</v>
      </c>
      <c r="BQ13" s="272">
        <v>254700</v>
      </c>
      <c r="BR13" s="272"/>
      <c r="BS13" s="272"/>
      <c r="BT13" s="272">
        <v>0</v>
      </c>
      <c r="BU13" s="272">
        <v>50759430</v>
      </c>
      <c r="BV13" s="272"/>
      <c r="BW13" s="272">
        <v>16232034</v>
      </c>
      <c r="BX13" s="272">
        <v>11955204</v>
      </c>
      <c r="BY13" s="272">
        <v>1006461</v>
      </c>
      <c r="BZ13" s="272">
        <v>633732</v>
      </c>
      <c r="CA13" s="272">
        <v>10493887</v>
      </c>
      <c r="CB13" s="272">
        <v>834464</v>
      </c>
      <c r="CC13" s="272">
        <v>1747017</v>
      </c>
      <c r="CD13" s="272">
        <v>1131518</v>
      </c>
      <c r="CE13" s="272">
        <v>4339324</v>
      </c>
      <c r="CF13" s="272">
        <v>2298651</v>
      </c>
      <c r="CG13" s="272">
        <v>142305</v>
      </c>
      <c r="CH13" s="272">
        <v>5658224</v>
      </c>
      <c r="CI13" s="272">
        <v>3479807</v>
      </c>
      <c r="CJ13" s="455">
        <f t="shared" si="7"/>
        <v>2178417</v>
      </c>
      <c r="CK13" s="272">
        <v>4687778</v>
      </c>
      <c r="CL13" s="272">
        <v>2504883</v>
      </c>
      <c r="CM13" s="272">
        <v>294096</v>
      </c>
      <c r="CN13" s="272">
        <v>1014321</v>
      </c>
      <c r="CO13" s="272">
        <v>239966</v>
      </c>
      <c r="CP13" s="272">
        <v>5042504</v>
      </c>
      <c r="CQ13" s="272">
        <v>2425943</v>
      </c>
      <c r="CR13" s="272">
        <v>1676306</v>
      </c>
      <c r="CS13" s="272">
        <v>380592</v>
      </c>
      <c r="CT13" s="455">
        <f t="shared" si="8"/>
        <v>67187</v>
      </c>
      <c r="CU13" s="272">
        <v>67187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3362682</v>
      </c>
      <c r="DD13" s="272">
        <v>1051030</v>
      </c>
      <c r="DE13" s="272">
        <v>2311652</v>
      </c>
      <c r="DF13" s="272">
        <v>0</v>
      </c>
      <c r="DG13" s="272">
        <v>0</v>
      </c>
      <c r="DH13" s="272">
        <v>0</v>
      </c>
      <c r="DI13" s="272">
        <v>215859</v>
      </c>
      <c r="DJ13" s="272">
        <v>2173</v>
      </c>
      <c r="DK13" s="272">
        <v>166</v>
      </c>
      <c r="DL13" s="272">
        <v>213520</v>
      </c>
      <c r="DM13" s="272">
        <v>26296</v>
      </c>
      <c r="DN13" s="272">
        <v>26296</v>
      </c>
      <c r="DO13" s="272">
        <v>26296</v>
      </c>
      <c r="DP13" s="272">
        <v>0</v>
      </c>
      <c r="DQ13" s="272">
        <v>62992</v>
      </c>
      <c r="DR13" s="272">
        <v>0</v>
      </c>
      <c r="DS13" s="272">
        <v>0</v>
      </c>
      <c r="DT13" s="272">
        <v>4583946</v>
      </c>
      <c r="DU13" s="272">
        <v>2680778</v>
      </c>
      <c r="DV13" s="455">
        <f t="shared" si="11"/>
        <v>0</v>
      </c>
      <c r="DW13" s="272">
        <v>0</v>
      </c>
      <c r="DX13" s="272">
        <v>0</v>
      </c>
      <c r="DY13" s="272">
        <v>0</v>
      </c>
      <c r="DZ13" s="272">
        <v>1124732</v>
      </c>
      <c r="EA13" s="272">
        <v>753538</v>
      </c>
      <c r="EB13" s="272"/>
      <c r="EC13" s="272">
        <v>0</v>
      </c>
      <c r="ED13" s="272">
        <v>50606168</v>
      </c>
      <c r="EF13" s="272">
        <v>153262</v>
      </c>
      <c r="EG13" s="272">
        <v>2068</v>
      </c>
      <c r="EH13" s="272">
        <v>151194</v>
      </c>
      <c r="EI13" s="272">
        <v>135669</v>
      </c>
      <c r="EJ13" s="272">
        <v>137842</v>
      </c>
      <c r="EL13" s="272"/>
      <c r="EM13" s="272">
        <v>151582</v>
      </c>
      <c r="EN13" s="272">
        <v>77000</v>
      </c>
      <c r="EO13" s="272">
        <v>71456</v>
      </c>
      <c r="EP13" s="455">
        <f t="shared" si="12"/>
        <v>742077</v>
      </c>
      <c r="EQ13" s="272">
        <v>35088022</v>
      </c>
      <c r="ER13" s="272">
        <v>-1111884</v>
      </c>
      <c r="ES13" s="272">
        <v>14752822</v>
      </c>
      <c r="ET13" s="272">
        <v>10865739</v>
      </c>
      <c r="EU13" s="272">
        <v>2659629</v>
      </c>
      <c r="EV13" s="272">
        <v>5528420</v>
      </c>
      <c r="EW13" s="455">
        <f t="shared" si="13"/>
        <v>1068493</v>
      </c>
      <c r="EX13" s="272">
        <v>1068493</v>
      </c>
      <c r="EY13" s="272">
        <v>15998</v>
      </c>
      <c r="EZ13" s="272">
        <v>1052495</v>
      </c>
      <c r="FA13" s="272">
        <v>0</v>
      </c>
      <c r="FB13" s="272"/>
      <c r="FC13" s="272">
        <v>3692421</v>
      </c>
      <c r="FD13" s="272">
        <v>4038333</v>
      </c>
      <c r="FE13" s="272">
        <v>2425943</v>
      </c>
      <c r="FF13" s="272">
        <v>4052447</v>
      </c>
      <c r="FG13" s="455">
        <f t="shared" si="14"/>
        <v>254079</v>
      </c>
      <c r="FH13" s="272">
        <v>36046644</v>
      </c>
      <c r="FI13" s="384">
        <f t="shared" si="15"/>
        <v>0.5</v>
      </c>
      <c r="FJ13" s="272">
        <v>31326772</v>
      </c>
      <c r="FK13" s="272"/>
      <c r="FL13" s="272">
        <v>19931184</v>
      </c>
      <c r="FM13" s="272">
        <v>24802996</v>
      </c>
      <c r="FN13" s="460">
        <v>0.86599999999999999</v>
      </c>
      <c r="FO13" s="388">
        <v>105.1</v>
      </c>
      <c r="FP13" s="388">
        <v>45.5</v>
      </c>
      <c r="FQ13" s="388">
        <v>7.2</v>
      </c>
      <c r="FR13" s="388">
        <v>17.3</v>
      </c>
      <c r="FS13" s="388">
        <v>11.3</v>
      </c>
      <c r="FT13" s="388">
        <v>11.5</v>
      </c>
      <c r="FU13" s="388">
        <v>11.7</v>
      </c>
      <c r="FV13" s="388">
        <v>13.4</v>
      </c>
      <c r="FW13" s="272">
        <v>52824660</v>
      </c>
      <c r="FX13" s="384">
        <f t="shared" si="16"/>
        <v>168.6</v>
      </c>
      <c r="FY13" s="272">
        <v>3754831</v>
      </c>
      <c r="FZ13" s="272">
        <v>241562</v>
      </c>
      <c r="GA13" s="272">
        <v>52576</v>
      </c>
      <c r="GB13" s="272">
        <v>3460693</v>
      </c>
      <c r="GC13" s="272"/>
      <c r="GD13" s="272">
        <v>11019905</v>
      </c>
      <c r="GE13" s="384">
        <f t="shared" si="17"/>
        <v>35.200000000000003</v>
      </c>
      <c r="GF13" s="388">
        <v>97.7</v>
      </c>
      <c r="GG13" s="388">
        <v>19.5</v>
      </c>
      <c r="GH13" s="388">
        <v>90.1</v>
      </c>
      <c r="GI13" s="272">
        <v>1435</v>
      </c>
    </row>
    <row r="14" spans="2:191" x14ac:dyDescent="0.15">
      <c r="B14" s="89" t="s">
        <v>21</v>
      </c>
      <c r="C14" s="272">
        <v>61942165</v>
      </c>
      <c r="D14" s="455">
        <f t="shared" si="0"/>
        <v>24724195</v>
      </c>
      <c r="E14" s="272">
        <v>375584</v>
      </c>
      <c r="F14" s="272">
        <v>24348611</v>
      </c>
      <c r="G14" s="455">
        <f t="shared" si="1"/>
        <v>3204157</v>
      </c>
      <c r="H14" s="272">
        <v>620490</v>
      </c>
      <c r="I14" s="272">
        <v>2583667</v>
      </c>
      <c r="J14" s="272">
        <v>24340017</v>
      </c>
      <c r="K14" s="272">
        <v>12153534</v>
      </c>
      <c r="L14" s="272">
        <v>9026170</v>
      </c>
      <c r="M14" s="272">
        <v>2635407</v>
      </c>
      <c r="N14" s="272">
        <v>2129069</v>
      </c>
      <c r="O14" s="272">
        <v>5950459</v>
      </c>
      <c r="P14" s="272">
        <v>3900603</v>
      </c>
      <c r="Q14" s="272">
        <v>2049856</v>
      </c>
      <c r="R14" s="272">
        <v>729901</v>
      </c>
      <c r="S14" s="272"/>
      <c r="T14" s="455">
        <f t="shared" si="2"/>
        <v>4976305</v>
      </c>
      <c r="U14" s="272">
        <v>816361</v>
      </c>
      <c r="V14" s="272"/>
      <c r="W14" s="272"/>
      <c r="X14" s="272">
        <v>3216647</v>
      </c>
      <c r="Y14" s="272">
        <v>152014</v>
      </c>
      <c r="Z14" s="272">
        <v>40107</v>
      </c>
      <c r="AA14" s="272">
        <v>751176</v>
      </c>
      <c r="AB14" s="272">
        <v>1934432</v>
      </c>
      <c r="AC14" s="272">
        <v>9017951</v>
      </c>
      <c r="AD14" s="272">
        <v>8826949</v>
      </c>
      <c r="AE14" s="272">
        <v>191002</v>
      </c>
      <c r="AF14" s="272">
        <v>85322</v>
      </c>
      <c r="AG14" s="272">
        <v>1120558</v>
      </c>
      <c r="AH14" s="455">
        <f t="shared" si="3"/>
        <v>2069592</v>
      </c>
      <c r="AI14" s="272">
        <v>1701055</v>
      </c>
      <c r="AJ14" s="272">
        <v>368537</v>
      </c>
      <c r="AK14" s="272">
        <v>12986981</v>
      </c>
      <c r="AL14" s="455">
        <f t="shared" si="4"/>
        <v>6087555</v>
      </c>
      <c r="AM14" s="272">
        <v>4195674</v>
      </c>
      <c r="AN14" s="272">
        <v>1299309</v>
      </c>
      <c r="AO14" s="272">
        <v>0</v>
      </c>
      <c r="AP14" s="272">
        <v>592572</v>
      </c>
      <c r="AQ14" s="272">
        <v>1545894</v>
      </c>
      <c r="AR14" s="272">
        <v>0</v>
      </c>
      <c r="AS14" s="272">
        <v>0</v>
      </c>
      <c r="AT14" s="272">
        <v>5363101</v>
      </c>
      <c r="AU14" s="272">
        <v>2424310</v>
      </c>
      <c r="AV14" s="272">
        <v>660152</v>
      </c>
      <c r="AW14" s="272">
        <v>5231</v>
      </c>
      <c r="AX14" s="272">
        <v>2938791</v>
      </c>
      <c r="AY14" s="272">
        <v>156482</v>
      </c>
      <c r="AZ14" s="272">
        <v>73979</v>
      </c>
      <c r="BA14" s="272">
        <v>20768</v>
      </c>
      <c r="BB14" s="272">
        <v>16608</v>
      </c>
      <c r="BC14" s="272">
        <v>505116</v>
      </c>
      <c r="BD14" s="272">
        <v>0</v>
      </c>
      <c r="BE14" s="272">
        <v>76205</v>
      </c>
      <c r="BF14" s="272">
        <v>243000</v>
      </c>
      <c r="BG14" s="272">
        <v>0</v>
      </c>
      <c r="BH14" s="272">
        <v>249741</v>
      </c>
      <c r="BI14" s="272">
        <v>0</v>
      </c>
      <c r="BJ14" s="272">
        <v>1414191</v>
      </c>
      <c r="BK14" s="272">
        <v>1000000</v>
      </c>
      <c r="BL14" s="272">
        <v>0</v>
      </c>
      <c r="BM14" s="272">
        <v>42281</v>
      </c>
      <c r="BN14" s="272">
        <v>3094600</v>
      </c>
      <c r="BO14" s="455">
        <f t="shared" si="5"/>
        <v>2330400</v>
      </c>
      <c r="BP14" s="455">
        <f t="shared" si="6"/>
        <v>764200</v>
      </c>
      <c r="BQ14" s="272">
        <v>764200</v>
      </c>
      <c r="BR14" s="272"/>
      <c r="BS14" s="272"/>
      <c r="BT14" s="272">
        <v>0</v>
      </c>
      <c r="BU14" s="272">
        <v>105580543</v>
      </c>
      <c r="BV14" s="272"/>
      <c r="BW14" s="272">
        <v>31252006</v>
      </c>
      <c r="BX14" s="272">
        <v>22170053</v>
      </c>
      <c r="BY14" s="272">
        <v>2247991</v>
      </c>
      <c r="BZ14" s="272">
        <v>2295701</v>
      </c>
      <c r="CA14" s="272">
        <v>15737124</v>
      </c>
      <c r="CB14" s="272">
        <v>1957830</v>
      </c>
      <c r="CC14" s="272">
        <v>3547809</v>
      </c>
      <c r="CD14" s="272">
        <v>4394064</v>
      </c>
      <c r="CE14" s="272">
        <v>5554788</v>
      </c>
      <c r="CF14" s="272">
        <v>16780</v>
      </c>
      <c r="CG14" s="272">
        <v>263457</v>
      </c>
      <c r="CH14" s="272">
        <v>12674315</v>
      </c>
      <c r="CI14" s="272">
        <v>8126544</v>
      </c>
      <c r="CJ14" s="455">
        <f t="shared" si="7"/>
        <v>4547771</v>
      </c>
      <c r="CK14" s="272">
        <v>11132366</v>
      </c>
      <c r="CL14" s="272">
        <v>6198317</v>
      </c>
      <c r="CM14" s="272">
        <v>531992</v>
      </c>
      <c r="CN14" s="272">
        <v>2584461</v>
      </c>
      <c r="CO14" s="272">
        <v>1162451</v>
      </c>
      <c r="CP14" s="272">
        <v>13082992</v>
      </c>
      <c r="CQ14" s="272">
        <v>4840670</v>
      </c>
      <c r="CR14" s="272">
        <v>2416295</v>
      </c>
      <c r="CS14" s="272">
        <v>2112530</v>
      </c>
      <c r="CT14" s="455">
        <f t="shared" si="8"/>
        <v>1562489</v>
      </c>
      <c r="CU14" s="272">
        <v>1109547</v>
      </c>
      <c r="CV14" s="272">
        <v>452942</v>
      </c>
      <c r="CW14" s="455">
        <f t="shared" si="9"/>
        <v>1057832</v>
      </c>
      <c r="CX14" s="272">
        <v>1027298</v>
      </c>
      <c r="CY14" s="272">
        <v>30534</v>
      </c>
      <c r="CZ14" s="455">
        <f t="shared" si="10"/>
        <v>0</v>
      </c>
      <c r="DA14" s="272">
        <v>0</v>
      </c>
      <c r="DB14" s="272">
        <v>0</v>
      </c>
      <c r="DC14" s="272">
        <v>7503673</v>
      </c>
      <c r="DD14" s="272">
        <v>2129714</v>
      </c>
      <c r="DE14" s="272">
        <v>4991144</v>
      </c>
      <c r="DF14" s="272">
        <v>153241</v>
      </c>
      <c r="DG14" s="272">
        <v>229574</v>
      </c>
      <c r="DH14" s="272">
        <v>15908</v>
      </c>
      <c r="DI14" s="272">
        <v>2627254</v>
      </c>
      <c r="DJ14" s="272">
        <v>0</v>
      </c>
      <c r="DK14" s="272">
        <v>10455</v>
      </c>
      <c r="DL14" s="272">
        <v>2616799</v>
      </c>
      <c r="DM14" s="272">
        <v>27100</v>
      </c>
      <c r="DN14" s="272">
        <v>25100</v>
      </c>
      <c r="DO14" s="272">
        <v>25100</v>
      </c>
      <c r="DP14" s="272">
        <v>0</v>
      </c>
      <c r="DQ14" s="272">
        <v>1000000</v>
      </c>
      <c r="DR14" s="272">
        <v>0</v>
      </c>
      <c r="DS14" s="272">
        <v>0</v>
      </c>
      <c r="DT14" s="272">
        <v>11678459</v>
      </c>
      <c r="DU14" s="272">
        <v>6848685</v>
      </c>
      <c r="DV14" s="455">
        <f t="shared" si="11"/>
        <v>0</v>
      </c>
      <c r="DW14" s="272">
        <v>0</v>
      </c>
      <c r="DX14" s="272">
        <v>0</v>
      </c>
      <c r="DY14" s="272">
        <v>108856</v>
      </c>
      <c r="DZ14" s="272">
        <v>3153483</v>
      </c>
      <c r="EA14" s="272">
        <v>1517850</v>
      </c>
      <c r="EB14" s="272"/>
      <c r="EC14" s="272">
        <v>0</v>
      </c>
      <c r="ED14" s="272">
        <v>107893648</v>
      </c>
      <c r="EF14" s="272">
        <v>-2313105</v>
      </c>
      <c r="EG14" s="272">
        <v>663204</v>
      </c>
      <c r="EH14" s="272">
        <v>-2976309</v>
      </c>
      <c r="EI14" s="272">
        <v>-872889</v>
      </c>
      <c r="EJ14" s="272">
        <v>-872889</v>
      </c>
      <c r="EL14" s="272"/>
      <c r="EM14" s="272">
        <v>401717</v>
      </c>
      <c r="EN14" s="272">
        <v>431202</v>
      </c>
      <c r="EO14" s="272">
        <v>40408</v>
      </c>
      <c r="EP14" s="455">
        <f t="shared" si="12"/>
        <v>998743</v>
      </c>
      <c r="EQ14" s="272">
        <v>78686076</v>
      </c>
      <c r="ER14" s="272">
        <v>-2149231</v>
      </c>
      <c r="ES14" s="272">
        <v>28539826</v>
      </c>
      <c r="ET14" s="272">
        <v>19793923</v>
      </c>
      <c r="EU14" s="272">
        <v>5095412</v>
      </c>
      <c r="EV14" s="272">
        <v>12671669</v>
      </c>
      <c r="EW14" s="455">
        <f t="shared" si="13"/>
        <v>3653552</v>
      </c>
      <c r="EX14" s="272">
        <v>3637644</v>
      </c>
      <c r="EY14" s="272">
        <v>423330</v>
      </c>
      <c r="EZ14" s="272">
        <v>3170073</v>
      </c>
      <c r="FA14" s="272">
        <v>15908</v>
      </c>
      <c r="FB14" s="272"/>
      <c r="FC14" s="272">
        <v>8596526</v>
      </c>
      <c r="FD14" s="272">
        <v>12114005</v>
      </c>
      <c r="FE14" s="272">
        <v>4785070</v>
      </c>
      <c r="FF14" s="272">
        <v>11098705</v>
      </c>
      <c r="FG14" s="455">
        <f t="shared" si="14"/>
        <v>1463517</v>
      </c>
      <c r="FH14" s="272">
        <v>83233212</v>
      </c>
      <c r="FI14" s="384">
        <f t="shared" si="15"/>
        <v>-4.0999999999999996</v>
      </c>
      <c r="FJ14" s="272">
        <v>72697598</v>
      </c>
      <c r="FK14" s="272"/>
      <c r="FL14" s="272">
        <v>48108934</v>
      </c>
      <c r="FM14" s="272">
        <v>56953950</v>
      </c>
      <c r="FN14" s="460">
        <v>0.89300000000000002</v>
      </c>
      <c r="FO14" s="388">
        <v>93.9</v>
      </c>
      <c r="FP14" s="388">
        <v>37.700000000000003</v>
      </c>
      <c r="FQ14" s="388">
        <v>7</v>
      </c>
      <c r="FR14" s="388">
        <v>17.399999999999999</v>
      </c>
      <c r="FS14" s="388">
        <v>10.7</v>
      </c>
      <c r="FT14" s="388">
        <v>13.3</v>
      </c>
      <c r="FU14" s="388">
        <v>6.2</v>
      </c>
      <c r="FV14" s="388">
        <v>10.7</v>
      </c>
      <c r="FW14" s="272">
        <v>109934939</v>
      </c>
      <c r="FX14" s="384">
        <f t="shared" si="16"/>
        <v>151.19999999999999</v>
      </c>
      <c r="FY14" s="272">
        <v>15510619</v>
      </c>
      <c r="FZ14" s="272">
        <v>0</v>
      </c>
      <c r="GA14" s="272">
        <v>3443129</v>
      </c>
      <c r="GB14" s="272">
        <v>12067490</v>
      </c>
      <c r="GC14" s="272"/>
      <c r="GD14" s="272">
        <v>29435485</v>
      </c>
      <c r="GE14" s="384">
        <f t="shared" si="17"/>
        <v>40.5</v>
      </c>
      <c r="GF14" s="388">
        <v>97.3</v>
      </c>
      <c r="GG14" s="388">
        <v>16.100000000000001</v>
      </c>
      <c r="GH14" s="388">
        <v>89.7</v>
      </c>
      <c r="GI14" s="272">
        <v>2808</v>
      </c>
    </row>
    <row r="15" spans="2:191" x14ac:dyDescent="0.15">
      <c r="B15" s="89" t="s">
        <v>23</v>
      </c>
      <c r="C15" s="272">
        <v>47311573</v>
      </c>
      <c r="D15" s="455">
        <f t="shared" si="0"/>
        <v>16612924</v>
      </c>
      <c r="E15" s="272">
        <v>253379</v>
      </c>
      <c r="F15" s="272">
        <v>16359545</v>
      </c>
      <c r="G15" s="455">
        <f t="shared" si="1"/>
        <v>3983434</v>
      </c>
      <c r="H15" s="272">
        <v>670876</v>
      </c>
      <c r="I15" s="272">
        <v>3312558</v>
      </c>
      <c r="J15" s="272">
        <v>20506572</v>
      </c>
      <c r="K15" s="272">
        <v>10331320</v>
      </c>
      <c r="L15" s="272">
        <v>6945157</v>
      </c>
      <c r="M15" s="272">
        <v>2989366</v>
      </c>
      <c r="N15" s="272">
        <v>1550342</v>
      </c>
      <c r="O15" s="272">
        <v>4450620</v>
      </c>
      <c r="P15" s="272">
        <v>2920317</v>
      </c>
      <c r="Q15" s="272">
        <v>1530303</v>
      </c>
      <c r="R15" s="272">
        <v>530624</v>
      </c>
      <c r="S15" s="272"/>
      <c r="T15" s="455">
        <f t="shared" si="2"/>
        <v>3652186</v>
      </c>
      <c r="U15" s="272">
        <v>544074</v>
      </c>
      <c r="V15" s="272"/>
      <c r="W15" s="272"/>
      <c r="X15" s="272">
        <v>2383773</v>
      </c>
      <c r="Y15" s="272">
        <v>158566</v>
      </c>
      <c r="Z15" s="272">
        <v>19670</v>
      </c>
      <c r="AA15" s="272">
        <v>546103</v>
      </c>
      <c r="AB15" s="272">
        <v>1326484</v>
      </c>
      <c r="AC15" s="272">
        <v>1375992</v>
      </c>
      <c r="AD15" s="272">
        <v>1061992</v>
      </c>
      <c r="AE15" s="272">
        <v>314000</v>
      </c>
      <c r="AF15" s="272">
        <v>57351</v>
      </c>
      <c r="AG15" s="272">
        <v>588731</v>
      </c>
      <c r="AH15" s="455">
        <f t="shared" si="3"/>
        <v>1986130</v>
      </c>
      <c r="AI15" s="272">
        <v>1676736</v>
      </c>
      <c r="AJ15" s="272">
        <v>309394</v>
      </c>
      <c r="AK15" s="272">
        <v>7466327</v>
      </c>
      <c r="AL15" s="455">
        <f t="shared" si="4"/>
        <v>3111466</v>
      </c>
      <c r="AM15" s="272">
        <v>2178109</v>
      </c>
      <c r="AN15" s="272">
        <v>634373</v>
      </c>
      <c r="AO15" s="272">
        <v>0</v>
      </c>
      <c r="AP15" s="272">
        <v>298984</v>
      </c>
      <c r="AQ15" s="272">
        <v>844495</v>
      </c>
      <c r="AR15" s="272">
        <v>13340</v>
      </c>
      <c r="AS15" s="272">
        <v>0</v>
      </c>
      <c r="AT15" s="272">
        <v>4009314</v>
      </c>
      <c r="AU15" s="272">
        <v>1637027</v>
      </c>
      <c r="AV15" s="272">
        <v>322003</v>
      </c>
      <c r="AW15" s="272">
        <v>211155</v>
      </c>
      <c r="AX15" s="272">
        <v>2372287</v>
      </c>
      <c r="AY15" s="272">
        <v>320562</v>
      </c>
      <c r="AZ15" s="272">
        <v>378893</v>
      </c>
      <c r="BA15" s="272">
        <v>337994</v>
      </c>
      <c r="BB15" s="272">
        <v>128997</v>
      </c>
      <c r="BC15" s="272">
        <v>1196884</v>
      </c>
      <c r="BD15" s="272">
        <v>200000</v>
      </c>
      <c r="BE15" s="272">
        <v>0</v>
      </c>
      <c r="BF15" s="272">
        <v>385000</v>
      </c>
      <c r="BG15" s="272">
        <v>0</v>
      </c>
      <c r="BH15" s="272">
        <v>1652805</v>
      </c>
      <c r="BI15" s="272">
        <v>693049</v>
      </c>
      <c r="BJ15" s="272">
        <v>2158867</v>
      </c>
      <c r="BK15" s="272">
        <v>407700</v>
      </c>
      <c r="BL15" s="272">
        <v>487570</v>
      </c>
      <c r="BM15" s="272">
        <v>74445</v>
      </c>
      <c r="BN15" s="272">
        <v>1076200</v>
      </c>
      <c r="BO15" s="455">
        <f t="shared" si="5"/>
        <v>553900</v>
      </c>
      <c r="BP15" s="455">
        <f t="shared" si="6"/>
        <v>522300</v>
      </c>
      <c r="BQ15" s="272">
        <v>522300</v>
      </c>
      <c r="BR15" s="272"/>
      <c r="BS15" s="272"/>
      <c r="BT15" s="272">
        <v>0</v>
      </c>
      <c r="BU15" s="272">
        <v>74897358</v>
      </c>
      <c r="BV15" s="272"/>
      <c r="BW15" s="272">
        <v>19801760</v>
      </c>
      <c r="BX15" s="272">
        <v>14896068</v>
      </c>
      <c r="BY15" s="272">
        <v>1080313</v>
      </c>
      <c r="BZ15" s="272">
        <v>610784</v>
      </c>
      <c r="CA15" s="272">
        <v>8744900</v>
      </c>
      <c r="CB15" s="272">
        <v>1460273</v>
      </c>
      <c r="CC15" s="272">
        <v>1819676</v>
      </c>
      <c r="CD15" s="272">
        <v>2360801</v>
      </c>
      <c r="CE15" s="272">
        <v>2955715</v>
      </c>
      <c r="CF15" s="272">
        <v>0</v>
      </c>
      <c r="CG15" s="272">
        <v>145713</v>
      </c>
      <c r="CH15" s="272">
        <v>5475689</v>
      </c>
      <c r="CI15" s="272">
        <v>3463745</v>
      </c>
      <c r="CJ15" s="455">
        <f t="shared" si="7"/>
        <v>2011944</v>
      </c>
      <c r="CK15" s="272">
        <v>12428580</v>
      </c>
      <c r="CL15" s="272">
        <v>7194763</v>
      </c>
      <c r="CM15" s="272">
        <v>562040</v>
      </c>
      <c r="CN15" s="272">
        <v>2850549</v>
      </c>
      <c r="CO15" s="272">
        <v>1188449</v>
      </c>
      <c r="CP15" s="272">
        <v>3457497</v>
      </c>
      <c r="CQ15" s="272">
        <v>1602</v>
      </c>
      <c r="CR15" s="272">
        <v>2215962</v>
      </c>
      <c r="CS15" s="272">
        <v>841238</v>
      </c>
      <c r="CT15" s="455">
        <f t="shared" si="8"/>
        <v>18081</v>
      </c>
      <c r="CU15" s="272">
        <v>9933</v>
      </c>
      <c r="CV15" s="272">
        <v>8148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12832241</v>
      </c>
      <c r="DD15" s="272">
        <v>2052027</v>
      </c>
      <c r="DE15" s="272">
        <v>10079543</v>
      </c>
      <c r="DF15" s="272">
        <v>6822</v>
      </c>
      <c r="DG15" s="272">
        <v>693849</v>
      </c>
      <c r="DH15" s="272">
        <v>226708</v>
      </c>
      <c r="DI15" s="272">
        <v>1479382</v>
      </c>
      <c r="DJ15" s="272">
        <v>84782</v>
      </c>
      <c r="DK15" s="272">
        <v>0</v>
      </c>
      <c r="DL15" s="272">
        <v>1394600</v>
      </c>
      <c r="DM15" s="272">
        <v>28367</v>
      </c>
      <c r="DN15" s="272">
        <v>2367</v>
      </c>
      <c r="DO15" s="272">
        <v>2367</v>
      </c>
      <c r="DP15" s="272">
        <v>0</v>
      </c>
      <c r="DQ15" s="272">
        <v>404000</v>
      </c>
      <c r="DR15" s="272">
        <v>0</v>
      </c>
      <c r="DS15" s="272">
        <v>0</v>
      </c>
      <c r="DT15" s="272">
        <v>7863214</v>
      </c>
      <c r="DU15" s="272">
        <v>4763519</v>
      </c>
      <c r="DV15" s="455">
        <f t="shared" si="11"/>
        <v>0</v>
      </c>
      <c r="DW15" s="272">
        <v>0</v>
      </c>
      <c r="DX15" s="272">
        <v>0</v>
      </c>
      <c r="DY15" s="272">
        <v>0</v>
      </c>
      <c r="DZ15" s="272">
        <v>2144000</v>
      </c>
      <c r="EA15" s="272">
        <v>940202</v>
      </c>
      <c r="EB15" s="272"/>
      <c r="EC15" s="272">
        <v>0</v>
      </c>
      <c r="ED15" s="272">
        <v>73930787</v>
      </c>
      <c r="EF15" s="272">
        <v>966571</v>
      </c>
      <c r="EG15" s="272">
        <v>308368</v>
      </c>
      <c r="EH15" s="272">
        <v>658203</v>
      </c>
      <c r="EI15" s="272">
        <v>-34846</v>
      </c>
      <c r="EJ15" s="272">
        <v>-150064</v>
      </c>
      <c r="EL15" s="272"/>
      <c r="EM15" s="272">
        <v>257284</v>
      </c>
      <c r="EN15" s="272">
        <v>807223</v>
      </c>
      <c r="EO15" s="272">
        <v>350723</v>
      </c>
      <c r="EP15" s="455">
        <f t="shared" si="12"/>
        <v>1811428</v>
      </c>
      <c r="EQ15" s="272">
        <v>54254210</v>
      </c>
      <c r="ER15" s="272">
        <v>-3434323</v>
      </c>
      <c r="ES15" s="272">
        <v>17873680</v>
      </c>
      <c r="ET15" s="272">
        <v>13073309</v>
      </c>
      <c r="EU15" s="272">
        <v>3094641</v>
      </c>
      <c r="EV15" s="272">
        <v>5418239</v>
      </c>
      <c r="EW15" s="455">
        <f t="shared" si="13"/>
        <v>9619810</v>
      </c>
      <c r="EX15" s="272">
        <v>9516647</v>
      </c>
      <c r="EY15" s="272">
        <v>470184</v>
      </c>
      <c r="EZ15" s="272">
        <v>9039641</v>
      </c>
      <c r="FA15" s="272">
        <v>103163</v>
      </c>
      <c r="FB15" s="272"/>
      <c r="FC15" s="272">
        <v>9722097</v>
      </c>
      <c r="FD15" s="272">
        <v>2077841</v>
      </c>
      <c r="FE15" s="272">
        <v>1602</v>
      </c>
      <c r="FF15" s="272">
        <v>7659889</v>
      </c>
      <c r="FG15" s="455">
        <f t="shared" si="14"/>
        <v>1255765</v>
      </c>
      <c r="FH15" s="272">
        <v>56721962</v>
      </c>
      <c r="FI15" s="384">
        <f t="shared" si="15"/>
        <v>1.3</v>
      </c>
      <c r="FJ15" s="272">
        <v>49110021</v>
      </c>
      <c r="FK15" s="272"/>
      <c r="FL15" s="272">
        <v>36184350</v>
      </c>
      <c r="FM15" s="272">
        <v>37265895</v>
      </c>
      <c r="FN15" s="460">
        <v>1.0169999999999999</v>
      </c>
      <c r="FO15" s="388">
        <v>85.1</v>
      </c>
      <c r="FP15" s="388">
        <v>35.299999999999997</v>
      </c>
      <c r="FQ15" s="388">
        <v>6.2</v>
      </c>
      <c r="FR15" s="388">
        <v>10.9</v>
      </c>
      <c r="FS15" s="388">
        <v>18.5</v>
      </c>
      <c r="FT15" s="388">
        <v>3.4</v>
      </c>
      <c r="FU15" s="388">
        <v>8.6999999999999993</v>
      </c>
      <c r="FV15" s="388">
        <v>4.8</v>
      </c>
      <c r="FW15" s="272">
        <v>51043826</v>
      </c>
      <c r="FX15" s="384">
        <f t="shared" si="16"/>
        <v>103.9</v>
      </c>
      <c r="FY15" s="272">
        <v>14141482</v>
      </c>
      <c r="FZ15" s="272">
        <v>4811882</v>
      </c>
      <c r="GA15" s="272"/>
      <c r="GB15" s="272">
        <v>9329600</v>
      </c>
      <c r="GC15" s="272"/>
      <c r="GD15" s="272">
        <v>9420710</v>
      </c>
      <c r="GE15" s="384">
        <f t="shared" si="17"/>
        <v>19.2</v>
      </c>
      <c r="GF15" s="388">
        <v>98.6</v>
      </c>
      <c r="GG15" s="388">
        <v>20.9</v>
      </c>
      <c r="GH15" s="388">
        <v>95.2</v>
      </c>
      <c r="GI15" s="272">
        <v>1936</v>
      </c>
    </row>
    <row r="16" spans="2:191" x14ac:dyDescent="0.15">
      <c r="B16" s="89" t="s">
        <v>25</v>
      </c>
      <c r="C16" s="272">
        <v>44312993</v>
      </c>
      <c r="D16" s="455">
        <f t="shared" si="0"/>
        <v>14414512</v>
      </c>
      <c r="E16" s="272">
        <v>261144</v>
      </c>
      <c r="F16" s="272">
        <v>14153368</v>
      </c>
      <c r="G16" s="455">
        <f t="shared" si="1"/>
        <v>3705608</v>
      </c>
      <c r="H16" s="272">
        <v>645480</v>
      </c>
      <c r="I16" s="272">
        <v>3060128</v>
      </c>
      <c r="J16" s="272">
        <v>19478465</v>
      </c>
      <c r="K16" s="272">
        <v>10346943</v>
      </c>
      <c r="L16" s="272">
        <v>6271757</v>
      </c>
      <c r="M16" s="272">
        <v>2591157</v>
      </c>
      <c r="N16" s="272">
        <v>1971486</v>
      </c>
      <c r="O16" s="272">
        <v>4395146</v>
      </c>
      <c r="P16" s="272">
        <v>3000979</v>
      </c>
      <c r="Q16" s="272">
        <v>1394167</v>
      </c>
      <c r="R16" s="272">
        <v>539459</v>
      </c>
      <c r="S16" s="272"/>
      <c r="T16" s="455">
        <f t="shared" si="2"/>
        <v>3693767</v>
      </c>
      <c r="U16" s="272">
        <v>491362</v>
      </c>
      <c r="V16" s="272"/>
      <c r="W16" s="272"/>
      <c r="X16" s="272">
        <v>2636610</v>
      </c>
      <c r="Y16" s="272">
        <v>0</v>
      </c>
      <c r="Z16" s="272">
        <v>11465</v>
      </c>
      <c r="AA16" s="272">
        <v>554330</v>
      </c>
      <c r="AB16" s="272">
        <v>1127350</v>
      </c>
      <c r="AC16" s="272">
        <v>7810756</v>
      </c>
      <c r="AD16" s="272">
        <v>6745743</v>
      </c>
      <c r="AE16" s="272">
        <v>1065013</v>
      </c>
      <c r="AF16" s="272">
        <v>66163</v>
      </c>
      <c r="AG16" s="272">
        <v>2310894</v>
      </c>
      <c r="AH16" s="455">
        <f t="shared" si="3"/>
        <v>1921031</v>
      </c>
      <c r="AI16" s="272">
        <v>1257113</v>
      </c>
      <c r="AJ16" s="272">
        <v>663918</v>
      </c>
      <c r="AK16" s="272">
        <v>11908397</v>
      </c>
      <c r="AL16" s="455">
        <f t="shared" si="4"/>
        <v>6361775</v>
      </c>
      <c r="AM16" s="272">
        <v>4932086</v>
      </c>
      <c r="AN16" s="272">
        <v>717288</v>
      </c>
      <c r="AO16" s="272">
        <v>0</v>
      </c>
      <c r="AP16" s="272">
        <v>712401</v>
      </c>
      <c r="AQ16" s="272">
        <v>844797</v>
      </c>
      <c r="AR16" s="272">
        <v>0</v>
      </c>
      <c r="AS16" s="272">
        <v>54950</v>
      </c>
      <c r="AT16" s="272">
        <v>4315812</v>
      </c>
      <c r="AU16" s="272">
        <v>1638854</v>
      </c>
      <c r="AV16" s="272">
        <v>362524</v>
      </c>
      <c r="AW16" s="272">
        <v>36402</v>
      </c>
      <c r="AX16" s="272">
        <v>2676958</v>
      </c>
      <c r="AY16" s="272">
        <v>155609</v>
      </c>
      <c r="AZ16" s="272">
        <v>4713276</v>
      </c>
      <c r="BA16" s="272">
        <v>4642782</v>
      </c>
      <c r="BB16" s="272">
        <v>176719</v>
      </c>
      <c r="BC16" s="272">
        <v>60832</v>
      </c>
      <c r="BD16" s="272">
        <v>0</v>
      </c>
      <c r="BE16" s="272">
        <v>0</v>
      </c>
      <c r="BF16" s="272">
        <v>50536</v>
      </c>
      <c r="BG16" s="272">
        <v>0</v>
      </c>
      <c r="BH16" s="272">
        <v>1144289</v>
      </c>
      <c r="BI16" s="272">
        <v>43345</v>
      </c>
      <c r="BJ16" s="272">
        <v>1291579</v>
      </c>
      <c r="BK16" s="272">
        <v>547005</v>
      </c>
      <c r="BL16" s="272">
        <v>0</v>
      </c>
      <c r="BM16" s="272">
        <v>38595</v>
      </c>
      <c r="BN16" s="272">
        <v>8619100</v>
      </c>
      <c r="BO16" s="455">
        <f t="shared" si="5"/>
        <v>8144000</v>
      </c>
      <c r="BP16" s="455">
        <f t="shared" si="6"/>
        <v>475100</v>
      </c>
      <c r="BQ16" s="272">
        <v>475100</v>
      </c>
      <c r="BR16" s="272"/>
      <c r="BS16" s="272"/>
      <c r="BT16" s="272">
        <v>0</v>
      </c>
      <c r="BU16" s="272">
        <v>94067367</v>
      </c>
      <c r="BV16" s="272"/>
      <c r="BW16" s="272">
        <v>21455553</v>
      </c>
      <c r="BX16" s="272">
        <v>15399897</v>
      </c>
      <c r="BY16" s="272">
        <v>1600389</v>
      </c>
      <c r="BZ16" s="272">
        <v>1193604</v>
      </c>
      <c r="CA16" s="272">
        <v>15701553</v>
      </c>
      <c r="CB16" s="272">
        <v>1422861</v>
      </c>
      <c r="CC16" s="272">
        <v>3264846</v>
      </c>
      <c r="CD16" s="272">
        <v>2606900</v>
      </c>
      <c r="CE16" s="272">
        <v>6596180</v>
      </c>
      <c r="CF16" s="272">
        <v>1508906</v>
      </c>
      <c r="CG16" s="272">
        <v>299920</v>
      </c>
      <c r="CH16" s="272">
        <v>9654478</v>
      </c>
      <c r="CI16" s="272">
        <v>6553975</v>
      </c>
      <c r="CJ16" s="455">
        <f t="shared" si="7"/>
        <v>3100503</v>
      </c>
      <c r="CK16" s="272">
        <v>10482126</v>
      </c>
      <c r="CL16" s="272">
        <v>6493408</v>
      </c>
      <c r="CM16" s="272">
        <v>640368</v>
      </c>
      <c r="CN16" s="272">
        <v>1989789</v>
      </c>
      <c r="CO16" s="272">
        <v>408990</v>
      </c>
      <c r="CP16" s="272">
        <v>4757192</v>
      </c>
      <c r="CQ16" s="272">
        <v>51155</v>
      </c>
      <c r="CR16" s="272">
        <v>2556252</v>
      </c>
      <c r="CS16" s="272">
        <v>666594</v>
      </c>
      <c r="CT16" s="455">
        <f t="shared" si="8"/>
        <v>878788</v>
      </c>
      <c r="CU16" s="272">
        <v>733583</v>
      </c>
      <c r="CV16" s="272">
        <v>145205</v>
      </c>
      <c r="CW16" s="455">
        <f t="shared" si="9"/>
        <v>803869</v>
      </c>
      <c r="CX16" s="272">
        <v>658664</v>
      </c>
      <c r="CY16" s="272">
        <v>145205</v>
      </c>
      <c r="CZ16" s="455">
        <f t="shared" si="10"/>
        <v>0</v>
      </c>
      <c r="DA16" s="272">
        <v>0</v>
      </c>
      <c r="DB16" s="272">
        <v>0</v>
      </c>
      <c r="DC16" s="272">
        <v>18363895</v>
      </c>
      <c r="DD16" s="272">
        <v>1945503</v>
      </c>
      <c r="DE16" s="272">
        <v>16328718</v>
      </c>
      <c r="DF16" s="272">
        <v>65593</v>
      </c>
      <c r="DG16" s="272">
        <v>24081</v>
      </c>
      <c r="DH16" s="272">
        <v>0</v>
      </c>
      <c r="DI16" s="272">
        <v>2997994</v>
      </c>
      <c r="DJ16" s="272">
        <v>38691</v>
      </c>
      <c r="DK16" s="272">
        <v>0</v>
      </c>
      <c r="DL16" s="272">
        <v>2959303</v>
      </c>
      <c r="DM16" s="272">
        <v>297518</v>
      </c>
      <c r="DN16" s="272">
        <v>278118</v>
      </c>
      <c r="DO16" s="272">
        <v>270500</v>
      </c>
      <c r="DP16" s="272">
        <v>7618</v>
      </c>
      <c r="DQ16" s="272">
        <v>552800</v>
      </c>
      <c r="DR16" s="272">
        <v>0</v>
      </c>
      <c r="DS16" s="272">
        <v>0</v>
      </c>
      <c r="DT16" s="272">
        <v>8463482</v>
      </c>
      <c r="DU16" s="272">
        <v>4848526</v>
      </c>
      <c r="DV16" s="455">
        <f t="shared" si="11"/>
        <v>0</v>
      </c>
      <c r="DW16" s="272">
        <v>0</v>
      </c>
      <c r="DX16" s="272">
        <v>0</v>
      </c>
      <c r="DY16" s="272">
        <v>0</v>
      </c>
      <c r="DZ16" s="272">
        <v>2363920</v>
      </c>
      <c r="EA16" s="272">
        <v>1226036</v>
      </c>
      <c r="EB16" s="272"/>
      <c r="EC16" s="272">
        <v>0</v>
      </c>
      <c r="ED16" s="272">
        <v>93135581</v>
      </c>
      <c r="EF16" s="272">
        <v>931786</v>
      </c>
      <c r="EG16" s="272">
        <v>100598</v>
      </c>
      <c r="EH16" s="272">
        <v>831188</v>
      </c>
      <c r="EI16" s="272">
        <v>787843</v>
      </c>
      <c r="EJ16" s="272">
        <v>1382240</v>
      </c>
      <c r="EL16" s="272"/>
      <c r="EM16" s="272">
        <v>268675</v>
      </c>
      <c r="EN16" s="272">
        <v>296</v>
      </c>
      <c r="EO16" s="272">
        <v>4645424</v>
      </c>
      <c r="EP16" s="455">
        <f t="shared" si="12"/>
        <v>930298</v>
      </c>
      <c r="EQ16" s="272">
        <v>57605438</v>
      </c>
      <c r="ER16" s="272">
        <v>-5930005</v>
      </c>
      <c r="ES16" s="272">
        <v>19626153</v>
      </c>
      <c r="ET16" s="272">
        <v>13988273</v>
      </c>
      <c r="EU16" s="272">
        <v>4400994</v>
      </c>
      <c r="EV16" s="272">
        <v>9527713</v>
      </c>
      <c r="EW16" s="455">
        <f t="shared" si="13"/>
        <v>9069462</v>
      </c>
      <c r="EX16" s="272">
        <v>9069462</v>
      </c>
      <c r="EY16" s="272">
        <v>254520</v>
      </c>
      <c r="EZ16" s="272">
        <v>8795636</v>
      </c>
      <c r="FA16" s="272">
        <v>0</v>
      </c>
      <c r="FB16" s="272"/>
      <c r="FC16" s="272">
        <v>7736594</v>
      </c>
      <c r="FD16" s="272">
        <v>3000361</v>
      </c>
      <c r="FE16" s="272">
        <v>51155</v>
      </c>
      <c r="FF16" s="272">
        <v>7906437</v>
      </c>
      <c r="FG16" s="455">
        <f t="shared" si="14"/>
        <v>1336083</v>
      </c>
      <c r="FH16" s="272">
        <v>62603797</v>
      </c>
      <c r="FI16" s="384">
        <f t="shared" si="15"/>
        <v>1.6</v>
      </c>
      <c r="FJ16" s="272">
        <v>50898591</v>
      </c>
      <c r="FK16" s="272"/>
      <c r="FL16" s="272">
        <v>33267564</v>
      </c>
      <c r="FM16" s="272">
        <v>40013032</v>
      </c>
      <c r="FN16" s="460">
        <v>0.88400000000000001</v>
      </c>
      <c r="FO16" s="388">
        <v>90.7</v>
      </c>
      <c r="FP16" s="388">
        <v>36.200000000000003</v>
      </c>
      <c r="FQ16" s="388">
        <v>8.4</v>
      </c>
      <c r="FR16" s="388">
        <v>17.100000000000001</v>
      </c>
      <c r="FS16" s="388">
        <v>14.2</v>
      </c>
      <c r="FT16" s="388">
        <v>4.0999999999999996</v>
      </c>
      <c r="FU16" s="388">
        <v>10</v>
      </c>
      <c r="FV16" s="388">
        <v>12.5</v>
      </c>
      <c r="FW16" s="272">
        <v>85558287</v>
      </c>
      <c r="FX16" s="384">
        <f t="shared" si="16"/>
        <v>168.1</v>
      </c>
      <c r="FY16" s="272">
        <v>15550679</v>
      </c>
      <c r="FZ16" s="272">
        <v>3411380</v>
      </c>
      <c r="GA16" s="272"/>
      <c r="GB16" s="272">
        <v>12139299</v>
      </c>
      <c r="GC16" s="272"/>
      <c r="GD16" s="272">
        <v>22275917</v>
      </c>
      <c r="GE16" s="384">
        <f t="shared" si="17"/>
        <v>43.8</v>
      </c>
      <c r="GF16" s="388">
        <v>98.1</v>
      </c>
      <c r="GG16" s="388">
        <v>27.3</v>
      </c>
      <c r="GH16" s="388">
        <v>93.9</v>
      </c>
      <c r="GI16" s="272">
        <v>1932</v>
      </c>
    </row>
    <row r="17" spans="2:191" x14ac:dyDescent="0.15">
      <c r="B17" s="89" t="s">
        <v>27</v>
      </c>
      <c r="C17" s="272">
        <v>21444196</v>
      </c>
      <c r="D17" s="455">
        <f t="shared" si="0"/>
        <v>3781324</v>
      </c>
      <c r="E17" s="272">
        <v>86845</v>
      </c>
      <c r="F17" s="272">
        <v>3694479</v>
      </c>
      <c r="G17" s="455">
        <f t="shared" si="1"/>
        <v>1154052</v>
      </c>
      <c r="H17" s="272">
        <v>419423</v>
      </c>
      <c r="I17" s="272">
        <v>734629</v>
      </c>
      <c r="J17" s="272">
        <v>13507691</v>
      </c>
      <c r="K17" s="272">
        <v>5623594</v>
      </c>
      <c r="L17" s="272">
        <v>3897587</v>
      </c>
      <c r="M17" s="272">
        <v>3589105</v>
      </c>
      <c r="N17" s="272">
        <v>715931</v>
      </c>
      <c r="O17" s="272">
        <v>2164117</v>
      </c>
      <c r="P17" s="272">
        <v>1333169</v>
      </c>
      <c r="Q17" s="272">
        <v>830948</v>
      </c>
      <c r="R17" s="272">
        <v>242499</v>
      </c>
      <c r="S17" s="272"/>
      <c r="T17" s="455">
        <f t="shared" si="2"/>
        <v>1425055</v>
      </c>
      <c r="U17" s="272">
        <v>134891</v>
      </c>
      <c r="V17" s="272"/>
      <c r="W17" s="272"/>
      <c r="X17" s="272">
        <v>953297</v>
      </c>
      <c r="Y17" s="272">
        <v>64912</v>
      </c>
      <c r="Z17" s="272">
        <v>73818</v>
      </c>
      <c r="AA17" s="272">
        <v>198137</v>
      </c>
      <c r="AB17" s="272">
        <v>278345</v>
      </c>
      <c r="AC17" s="272">
        <v>716007</v>
      </c>
      <c r="AD17" s="272">
        <v>0</v>
      </c>
      <c r="AE17" s="272">
        <v>716007</v>
      </c>
      <c r="AF17" s="272">
        <v>24405</v>
      </c>
      <c r="AG17" s="272">
        <v>738794</v>
      </c>
      <c r="AH17" s="455">
        <f t="shared" si="3"/>
        <v>726721</v>
      </c>
      <c r="AI17" s="272">
        <v>632040</v>
      </c>
      <c r="AJ17" s="272">
        <v>94681</v>
      </c>
      <c r="AK17" s="272">
        <v>4204185</v>
      </c>
      <c r="AL17" s="455">
        <f t="shared" si="4"/>
        <v>1673082</v>
      </c>
      <c r="AM17" s="272">
        <v>1047456</v>
      </c>
      <c r="AN17" s="272">
        <v>458532</v>
      </c>
      <c r="AO17" s="272">
        <v>0</v>
      </c>
      <c r="AP17" s="272">
        <v>167094</v>
      </c>
      <c r="AQ17" s="272">
        <v>466345</v>
      </c>
      <c r="AR17" s="272">
        <v>0</v>
      </c>
      <c r="AS17" s="272">
        <v>0</v>
      </c>
      <c r="AT17" s="272">
        <v>2194930</v>
      </c>
      <c r="AU17" s="272">
        <v>939415</v>
      </c>
      <c r="AV17" s="272">
        <v>233425</v>
      </c>
      <c r="AW17" s="272">
        <v>114007</v>
      </c>
      <c r="AX17" s="272">
        <v>1255515</v>
      </c>
      <c r="AY17" s="272">
        <v>246303</v>
      </c>
      <c r="AZ17" s="272">
        <v>262364</v>
      </c>
      <c r="BA17" s="272">
        <v>211066</v>
      </c>
      <c r="BB17" s="272">
        <v>247142</v>
      </c>
      <c r="BC17" s="272">
        <v>2540913</v>
      </c>
      <c r="BD17" s="272">
        <v>221925</v>
      </c>
      <c r="BE17" s="272">
        <v>290000</v>
      </c>
      <c r="BF17" s="272">
        <v>2028988</v>
      </c>
      <c r="BG17" s="272">
        <v>0</v>
      </c>
      <c r="BH17" s="272">
        <v>444445</v>
      </c>
      <c r="BI17" s="272">
        <v>54015</v>
      </c>
      <c r="BJ17" s="272">
        <v>1585283</v>
      </c>
      <c r="BK17" s="272">
        <v>60663</v>
      </c>
      <c r="BL17" s="272">
        <v>0</v>
      </c>
      <c r="BM17" s="272">
        <v>17499</v>
      </c>
      <c r="BN17" s="272">
        <v>3061700</v>
      </c>
      <c r="BO17" s="455">
        <f t="shared" si="5"/>
        <v>2925100</v>
      </c>
      <c r="BP17" s="455">
        <f t="shared" si="6"/>
        <v>136600</v>
      </c>
      <c r="BQ17" s="272">
        <v>136600</v>
      </c>
      <c r="BR17" s="272"/>
      <c r="BS17" s="272"/>
      <c r="BT17" s="272">
        <v>0</v>
      </c>
      <c r="BU17" s="272">
        <v>40136984</v>
      </c>
      <c r="BV17" s="272"/>
      <c r="BW17" s="272">
        <v>10947466</v>
      </c>
      <c r="BX17" s="272">
        <v>7272364</v>
      </c>
      <c r="BY17" s="272">
        <v>1392536</v>
      </c>
      <c r="BZ17" s="272">
        <v>641094</v>
      </c>
      <c r="CA17" s="272">
        <v>4777114</v>
      </c>
      <c r="CB17" s="272">
        <v>426537</v>
      </c>
      <c r="CC17" s="272">
        <v>1351373</v>
      </c>
      <c r="CD17" s="272">
        <v>1515734</v>
      </c>
      <c r="CE17" s="272">
        <v>1426090</v>
      </c>
      <c r="CF17" s="272">
        <v>3112</v>
      </c>
      <c r="CG17" s="272">
        <v>54268</v>
      </c>
      <c r="CH17" s="272">
        <v>5146964</v>
      </c>
      <c r="CI17" s="272">
        <v>2554214</v>
      </c>
      <c r="CJ17" s="455">
        <f t="shared" si="7"/>
        <v>2592750</v>
      </c>
      <c r="CK17" s="272">
        <v>3703372</v>
      </c>
      <c r="CL17" s="272">
        <v>2018349</v>
      </c>
      <c r="CM17" s="272">
        <v>147733</v>
      </c>
      <c r="CN17" s="272">
        <v>813699</v>
      </c>
      <c r="CO17" s="272">
        <v>371359</v>
      </c>
      <c r="CP17" s="272">
        <v>6159312</v>
      </c>
      <c r="CQ17" s="272">
        <v>1299797</v>
      </c>
      <c r="CR17" s="272">
        <v>2177398</v>
      </c>
      <c r="CS17" s="272">
        <v>1235579</v>
      </c>
      <c r="CT17" s="455">
        <f t="shared" si="8"/>
        <v>1483242</v>
      </c>
      <c r="CU17" s="272">
        <v>1233379</v>
      </c>
      <c r="CV17" s="272">
        <v>249863</v>
      </c>
      <c r="CW17" s="455">
        <f t="shared" si="9"/>
        <v>1443000</v>
      </c>
      <c r="CX17" s="272">
        <v>1193137</v>
      </c>
      <c r="CY17" s="272">
        <v>249863</v>
      </c>
      <c r="CZ17" s="455">
        <f t="shared" si="10"/>
        <v>0</v>
      </c>
      <c r="DA17" s="272">
        <v>0</v>
      </c>
      <c r="DB17" s="272">
        <v>0</v>
      </c>
      <c r="DC17" s="272">
        <v>5518575</v>
      </c>
      <c r="DD17" s="272">
        <v>1294974</v>
      </c>
      <c r="DE17" s="272">
        <v>3530219</v>
      </c>
      <c r="DF17" s="272">
        <v>551164</v>
      </c>
      <c r="DG17" s="272">
        <v>142218</v>
      </c>
      <c r="DH17" s="272">
        <v>5424</v>
      </c>
      <c r="DI17" s="272">
        <v>1050267</v>
      </c>
      <c r="DJ17" s="272">
        <v>30347</v>
      </c>
      <c r="DK17" s="272">
        <v>8661</v>
      </c>
      <c r="DL17" s="272">
        <v>1011259</v>
      </c>
      <c r="DM17" s="272">
        <v>0</v>
      </c>
      <c r="DN17" s="272">
        <v>0</v>
      </c>
      <c r="DO17" s="272">
        <v>0</v>
      </c>
      <c r="DP17" s="272">
        <v>0</v>
      </c>
      <c r="DQ17" s="272">
        <v>40000</v>
      </c>
      <c r="DR17" s="272">
        <v>0</v>
      </c>
      <c r="DS17" s="272">
        <v>0</v>
      </c>
      <c r="DT17" s="272">
        <v>2747072</v>
      </c>
      <c r="DU17" s="272">
        <v>1319949</v>
      </c>
      <c r="DV17" s="455">
        <f t="shared" si="11"/>
        <v>0</v>
      </c>
      <c r="DW17" s="272">
        <v>0</v>
      </c>
      <c r="DX17" s="272">
        <v>0</v>
      </c>
      <c r="DY17" s="272">
        <v>0</v>
      </c>
      <c r="DZ17" s="272">
        <v>887548</v>
      </c>
      <c r="EA17" s="272">
        <v>539575</v>
      </c>
      <c r="EB17" s="272"/>
      <c r="EC17" s="272">
        <v>0</v>
      </c>
      <c r="ED17" s="272">
        <v>40466925</v>
      </c>
      <c r="EF17" s="272">
        <v>-329941</v>
      </c>
      <c r="EG17" s="272">
        <v>64627</v>
      </c>
      <c r="EH17" s="272">
        <v>-394568</v>
      </c>
      <c r="EI17" s="272">
        <v>-448583</v>
      </c>
      <c r="EJ17" s="272">
        <v>-640161</v>
      </c>
      <c r="EL17" s="272"/>
      <c r="EM17" s="272">
        <v>97282</v>
      </c>
      <c r="EN17" s="272">
        <v>1161925</v>
      </c>
      <c r="EO17" s="272">
        <v>193642</v>
      </c>
      <c r="EP17" s="455">
        <f t="shared" si="12"/>
        <v>1235229</v>
      </c>
      <c r="EQ17" s="272">
        <v>24130507</v>
      </c>
      <c r="ER17" s="272">
        <v>-2702991</v>
      </c>
      <c r="ES17" s="272">
        <v>9727066</v>
      </c>
      <c r="ET17" s="272">
        <v>6108335</v>
      </c>
      <c r="EU17" s="272">
        <v>1665348</v>
      </c>
      <c r="EV17" s="272">
        <v>4884718</v>
      </c>
      <c r="EW17" s="455">
        <f t="shared" si="13"/>
        <v>1169148</v>
      </c>
      <c r="EX17" s="272">
        <v>1163724</v>
      </c>
      <c r="EY17" s="272">
        <v>22702</v>
      </c>
      <c r="EZ17" s="272">
        <v>1125876</v>
      </c>
      <c r="FA17" s="272">
        <v>5424</v>
      </c>
      <c r="FB17" s="272"/>
      <c r="FC17" s="272">
        <v>2904274</v>
      </c>
      <c r="FD17" s="272">
        <v>4610588</v>
      </c>
      <c r="FE17" s="272">
        <v>1299797</v>
      </c>
      <c r="FF17" s="272">
        <v>1562385</v>
      </c>
      <c r="FG17" s="455">
        <f t="shared" si="14"/>
        <v>639912</v>
      </c>
      <c r="FH17" s="272">
        <v>27163439</v>
      </c>
      <c r="FI17" s="384">
        <f t="shared" si="15"/>
        <v>-1.6</v>
      </c>
      <c r="FJ17" s="272">
        <v>23984925</v>
      </c>
      <c r="FK17" s="272"/>
      <c r="FL17" s="272">
        <v>18056616</v>
      </c>
      <c r="FM17" s="272">
        <v>16155371</v>
      </c>
      <c r="FN17" s="460">
        <v>1.129</v>
      </c>
      <c r="FO17" s="388">
        <v>109.4</v>
      </c>
      <c r="FP17" s="388">
        <v>41.8</v>
      </c>
      <c r="FQ17" s="388">
        <v>7.7</v>
      </c>
      <c r="FR17" s="388">
        <v>22.9</v>
      </c>
      <c r="FS17" s="388">
        <v>12.6</v>
      </c>
      <c r="FT17" s="388">
        <v>17.2</v>
      </c>
      <c r="FU17" s="388">
        <v>5.6</v>
      </c>
      <c r="FV17" s="388">
        <v>14.7</v>
      </c>
      <c r="FW17" s="272">
        <v>77651217</v>
      </c>
      <c r="FX17" s="384">
        <f t="shared" si="16"/>
        <v>323.8</v>
      </c>
      <c r="FY17" s="272">
        <v>3129766</v>
      </c>
      <c r="FZ17" s="272">
        <v>32508</v>
      </c>
      <c r="GA17" s="272">
        <v>85310</v>
      </c>
      <c r="GB17" s="272">
        <v>3011948</v>
      </c>
      <c r="GC17" s="272"/>
      <c r="GD17" s="272">
        <v>9526185</v>
      </c>
      <c r="GE17" s="384">
        <f t="shared" si="17"/>
        <v>39.700000000000003</v>
      </c>
      <c r="GF17" s="388">
        <v>97.2</v>
      </c>
      <c r="GG17" s="388">
        <v>16.899999999999999</v>
      </c>
      <c r="GH17" s="388">
        <v>90</v>
      </c>
      <c r="GI17" s="272">
        <v>993</v>
      </c>
    </row>
    <row r="18" spans="2:191" x14ac:dyDescent="0.15">
      <c r="B18" s="89" t="s">
        <v>29</v>
      </c>
      <c r="C18" s="272">
        <v>15776748</v>
      </c>
      <c r="D18" s="455">
        <f t="shared" si="0"/>
        <v>6730932</v>
      </c>
      <c r="E18" s="272">
        <v>108253</v>
      </c>
      <c r="F18" s="272">
        <v>6622679</v>
      </c>
      <c r="G18" s="455">
        <f t="shared" si="1"/>
        <v>572002</v>
      </c>
      <c r="H18" s="272">
        <v>176795</v>
      </c>
      <c r="I18" s="272">
        <v>395207</v>
      </c>
      <c r="J18" s="272">
        <v>6335595</v>
      </c>
      <c r="K18" s="272">
        <v>2979449</v>
      </c>
      <c r="L18" s="272">
        <v>2649402</v>
      </c>
      <c r="M18" s="272">
        <v>649048</v>
      </c>
      <c r="N18" s="272">
        <v>602983</v>
      </c>
      <c r="O18" s="272">
        <v>1422854</v>
      </c>
      <c r="P18" s="272">
        <v>889789</v>
      </c>
      <c r="Q18" s="272">
        <v>533065</v>
      </c>
      <c r="R18" s="272">
        <v>253724</v>
      </c>
      <c r="S18" s="272"/>
      <c r="T18" s="455">
        <f t="shared" si="2"/>
        <v>1533347</v>
      </c>
      <c r="U18" s="272">
        <v>218988</v>
      </c>
      <c r="V18" s="272"/>
      <c r="W18" s="272"/>
      <c r="X18" s="272">
        <v>978212</v>
      </c>
      <c r="Y18" s="272">
        <v>68612</v>
      </c>
      <c r="Z18" s="272">
        <v>6603</v>
      </c>
      <c r="AA18" s="272">
        <v>260932</v>
      </c>
      <c r="AB18" s="272">
        <v>525752</v>
      </c>
      <c r="AC18" s="272">
        <v>6174842</v>
      </c>
      <c r="AD18" s="272">
        <v>5868812</v>
      </c>
      <c r="AE18" s="272">
        <v>306030</v>
      </c>
      <c r="AF18" s="272">
        <v>27422</v>
      </c>
      <c r="AG18" s="272">
        <v>494991</v>
      </c>
      <c r="AH18" s="455">
        <f t="shared" si="3"/>
        <v>1520429</v>
      </c>
      <c r="AI18" s="272">
        <v>1111346</v>
      </c>
      <c r="AJ18" s="272">
        <v>409083</v>
      </c>
      <c r="AK18" s="272">
        <v>4707646</v>
      </c>
      <c r="AL18" s="455">
        <f t="shared" si="4"/>
        <v>2018249</v>
      </c>
      <c r="AM18" s="272">
        <v>1473899</v>
      </c>
      <c r="AN18" s="272">
        <v>330023</v>
      </c>
      <c r="AO18" s="272">
        <v>0</v>
      </c>
      <c r="AP18" s="272">
        <v>214327</v>
      </c>
      <c r="AQ18" s="272">
        <v>708588</v>
      </c>
      <c r="AR18" s="272">
        <v>0</v>
      </c>
      <c r="AS18" s="272">
        <v>0</v>
      </c>
      <c r="AT18" s="272">
        <v>1739314</v>
      </c>
      <c r="AU18" s="272">
        <v>714818</v>
      </c>
      <c r="AV18" s="272">
        <v>205618</v>
      </c>
      <c r="AW18" s="272">
        <v>56374</v>
      </c>
      <c r="AX18" s="272">
        <v>1024496</v>
      </c>
      <c r="AY18" s="272">
        <v>48174</v>
      </c>
      <c r="AZ18" s="272">
        <v>31097</v>
      </c>
      <c r="BA18" s="272">
        <v>1533</v>
      </c>
      <c r="BB18" s="272">
        <v>99991</v>
      </c>
      <c r="BC18" s="272">
        <v>1159415</v>
      </c>
      <c r="BD18" s="272">
        <v>302012</v>
      </c>
      <c r="BE18" s="272">
        <v>0</v>
      </c>
      <c r="BF18" s="272">
        <v>857403</v>
      </c>
      <c r="BG18" s="272">
        <v>0</v>
      </c>
      <c r="BH18" s="272">
        <v>947038</v>
      </c>
      <c r="BI18" s="272">
        <v>421971</v>
      </c>
      <c r="BJ18" s="272">
        <v>1672578</v>
      </c>
      <c r="BK18" s="272">
        <v>1187224</v>
      </c>
      <c r="BL18" s="272">
        <v>0</v>
      </c>
      <c r="BM18" s="272">
        <v>48157</v>
      </c>
      <c r="BN18" s="272">
        <v>1215600</v>
      </c>
      <c r="BO18" s="455">
        <f t="shared" si="5"/>
        <v>1002300</v>
      </c>
      <c r="BP18" s="455">
        <f t="shared" si="6"/>
        <v>213300</v>
      </c>
      <c r="BQ18" s="272">
        <v>213300</v>
      </c>
      <c r="BR18" s="272"/>
      <c r="BS18" s="272"/>
      <c r="BT18" s="272">
        <v>0</v>
      </c>
      <c r="BU18" s="272">
        <v>37879934</v>
      </c>
      <c r="BV18" s="272"/>
      <c r="BW18" s="272">
        <v>8761764</v>
      </c>
      <c r="BX18" s="272">
        <v>6779469</v>
      </c>
      <c r="BY18" s="272">
        <v>376675</v>
      </c>
      <c r="BZ18" s="272">
        <v>63090</v>
      </c>
      <c r="CA18" s="272">
        <v>5355871</v>
      </c>
      <c r="CB18" s="272">
        <v>880664</v>
      </c>
      <c r="CC18" s="272">
        <v>1210110</v>
      </c>
      <c r="CD18" s="272">
        <v>1196367</v>
      </c>
      <c r="CE18" s="272">
        <v>1981439</v>
      </c>
      <c r="CF18" s="272">
        <v>0</v>
      </c>
      <c r="CG18" s="272">
        <v>87291</v>
      </c>
      <c r="CH18" s="272">
        <v>4699547</v>
      </c>
      <c r="CI18" s="272">
        <v>3631492</v>
      </c>
      <c r="CJ18" s="455">
        <f t="shared" si="7"/>
        <v>1068055</v>
      </c>
      <c r="CK18" s="272">
        <v>5418902</v>
      </c>
      <c r="CL18" s="272">
        <v>3089167</v>
      </c>
      <c r="CM18" s="272">
        <v>592609</v>
      </c>
      <c r="CN18" s="272">
        <v>889090</v>
      </c>
      <c r="CO18" s="272">
        <v>401569</v>
      </c>
      <c r="CP18" s="272">
        <v>3523081</v>
      </c>
      <c r="CQ18" s="272">
        <v>917743</v>
      </c>
      <c r="CR18" s="272">
        <v>1005625</v>
      </c>
      <c r="CS18" s="272">
        <v>926586</v>
      </c>
      <c r="CT18" s="455">
        <f t="shared" si="8"/>
        <v>457</v>
      </c>
      <c r="CU18" s="272">
        <v>457</v>
      </c>
      <c r="CV18" s="272">
        <v>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3040825</v>
      </c>
      <c r="DD18" s="272">
        <v>1484833</v>
      </c>
      <c r="DE18" s="272">
        <v>1501582</v>
      </c>
      <c r="DF18" s="272">
        <v>54410</v>
      </c>
      <c r="DG18" s="272">
        <v>0</v>
      </c>
      <c r="DH18" s="272">
        <v>58558</v>
      </c>
      <c r="DI18" s="272">
        <v>2245898</v>
      </c>
      <c r="DJ18" s="272">
        <v>446299</v>
      </c>
      <c r="DK18" s="272">
        <v>0</v>
      </c>
      <c r="DL18" s="272">
        <v>1799599</v>
      </c>
      <c r="DM18" s="272">
        <v>0</v>
      </c>
      <c r="DN18" s="272">
        <v>0</v>
      </c>
      <c r="DO18" s="272">
        <v>0</v>
      </c>
      <c r="DP18" s="272">
        <v>0</v>
      </c>
      <c r="DQ18" s="272">
        <v>1156790</v>
      </c>
      <c r="DR18" s="272">
        <v>0</v>
      </c>
      <c r="DS18" s="272">
        <v>0</v>
      </c>
      <c r="DT18" s="272">
        <v>2785480</v>
      </c>
      <c r="DU18" s="272">
        <v>1329915</v>
      </c>
      <c r="DV18" s="455">
        <f t="shared" si="11"/>
        <v>0</v>
      </c>
      <c r="DW18" s="272">
        <v>0</v>
      </c>
      <c r="DX18" s="272">
        <v>0</v>
      </c>
      <c r="DY18" s="272">
        <v>0</v>
      </c>
      <c r="DZ18" s="272">
        <v>1005283</v>
      </c>
      <c r="EA18" s="272">
        <v>450282</v>
      </c>
      <c r="EB18" s="272"/>
      <c r="EC18" s="272">
        <v>0</v>
      </c>
      <c r="ED18" s="272">
        <v>37448285</v>
      </c>
      <c r="EF18" s="272">
        <v>431649</v>
      </c>
      <c r="EG18" s="272">
        <v>7248</v>
      </c>
      <c r="EH18" s="272">
        <v>424401</v>
      </c>
      <c r="EI18" s="272">
        <v>2430</v>
      </c>
      <c r="EJ18" s="272">
        <v>301232</v>
      </c>
      <c r="EL18" s="272"/>
      <c r="EM18" s="272">
        <v>125193</v>
      </c>
      <c r="EN18" s="272">
        <v>302102</v>
      </c>
      <c r="EO18" s="272">
        <v>6</v>
      </c>
      <c r="EP18" s="455">
        <f t="shared" si="12"/>
        <v>977022</v>
      </c>
      <c r="EQ18" s="272">
        <v>24291835</v>
      </c>
      <c r="ER18" s="272">
        <v>-1465008</v>
      </c>
      <c r="ES18" s="272">
        <v>7848277</v>
      </c>
      <c r="ET18" s="272">
        <v>5897018</v>
      </c>
      <c r="EU18" s="272">
        <v>1990810</v>
      </c>
      <c r="EV18" s="272">
        <v>4240298</v>
      </c>
      <c r="EW18" s="455">
        <f t="shared" si="13"/>
        <v>898684</v>
      </c>
      <c r="EX18" s="272">
        <v>847851</v>
      </c>
      <c r="EY18" s="272">
        <v>213667</v>
      </c>
      <c r="EZ18" s="272">
        <v>586074</v>
      </c>
      <c r="FA18" s="272">
        <v>50833</v>
      </c>
      <c r="FB18" s="272"/>
      <c r="FC18" s="272">
        <v>3973729</v>
      </c>
      <c r="FD18" s="272">
        <v>2642258</v>
      </c>
      <c r="FE18" s="272">
        <v>917743</v>
      </c>
      <c r="FF18" s="272">
        <v>2493618</v>
      </c>
      <c r="FG18" s="455">
        <f t="shared" si="14"/>
        <v>1237520</v>
      </c>
      <c r="FH18" s="272">
        <v>25325194</v>
      </c>
      <c r="FI18" s="384">
        <f t="shared" si="15"/>
        <v>1.9</v>
      </c>
      <c r="FJ18" s="272">
        <v>22784519</v>
      </c>
      <c r="FK18" s="272"/>
      <c r="FL18" s="272">
        <v>12757790</v>
      </c>
      <c r="FM18" s="272">
        <v>18661566</v>
      </c>
      <c r="FN18" s="460">
        <v>0.71399999999999997</v>
      </c>
      <c r="FO18" s="388">
        <v>93.7</v>
      </c>
      <c r="FP18" s="388">
        <v>34.299999999999997</v>
      </c>
      <c r="FQ18" s="388">
        <v>8.8000000000000007</v>
      </c>
      <c r="FR18" s="388">
        <v>18</v>
      </c>
      <c r="FS18" s="388">
        <v>16.600000000000001</v>
      </c>
      <c r="FT18" s="388">
        <v>9.6</v>
      </c>
      <c r="FU18" s="388">
        <v>4.8</v>
      </c>
      <c r="FV18" s="388">
        <v>12.5</v>
      </c>
      <c r="FW18" s="272">
        <v>24131920</v>
      </c>
      <c r="FX18" s="384">
        <f t="shared" si="16"/>
        <v>105.9</v>
      </c>
      <c r="FY18" s="272">
        <v>11314675</v>
      </c>
      <c r="FZ18" s="272">
        <v>2642813</v>
      </c>
      <c r="GA18" s="272"/>
      <c r="GB18" s="272">
        <v>8671862</v>
      </c>
      <c r="GC18" s="272"/>
      <c r="GD18" s="272">
        <v>1705852</v>
      </c>
      <c r="GE18" s="384">
        <f t="shared" si="17"/>
        <v>7.5</v>
      </c>
      <c r="GF18" s="388">
        <v>97.2</v>
      </c>
      <c r="GG18" s="388">
        <v>20.3</v>
      </c>
      <c r="GH18" s="388">
        <v>91.1</v>
      </c>
      <c r="GI18" s="272">
        <v>909</v>
      </c>
    </row>
    <row r="19" spans="2:191" x14ac:dyDescent="0.15">
      <c r="B19" s="89" t="s">
        <v>31</v>
      </c>
      <c r="C19" s="272">
        <v>31993877</v>
      </c>
      <c r="D19" s="455">
        <f t="shared" si="0"/>
        <v>12753965</v>
      </c>
      <c r="E19" s="272">
        <v>241097</v>
      </c>
      <c r="F19" s="272">
        <v>12512868</v>
      </c>
      <c r="G19" s="455">
        <f t="shared" si="1"/>
        <v>2126176</v>
      </c>
      <c r="H19" s="272">
        <v>522760</v>
      </c>
      <c r="I19" s="272">
        <v>1603416</v>
      </c>
      <c r="J19" s="272">
        <v>12198651</v>
      </c>
      <c r="K19" s="272">
        <v>6001962</v>
      </c>
      <c r="L19" s="272">
        <v>4620958</v>
      </c>
      <c r="M19" s="272">
        <v>1327267</v>
      </c>
      <c r="N19" s="272">
        <v>1665848</v>
      </c>
      <c r="O19" s="272">
        <v>3111128</v>
      </c>
      <c r="P19" s="272">
        <v>2051307</v>
      </c>
      <c r="Q19" s="272">
        <v>1059821</v>
      </c>
      <c r="R19" s="272">
        <v>429869</v>
      </c>
      <c r="S19" s="272"/>
      <c r="T19" s="455">
        <f t="shared" si="2"/>
        <v>3026633</v>
      </c>
      <c r="U19" s="272">
        <v>453554</v>
      </c>
      <c r="V19" s="272"/>
      <c r="W19" s="272"/>
      <c r="X19" s="272">
        <v>2116530</v>
      </c>
      <c r="Y19" s="272">
        <v>0</v>
      </c>
      <c r="Z19" s="272">
        <v>13949</v>
      </c>
      <c r="AA19" s="272">
        <v>442600</v>
      </c>
      <c r="AB19" s="272">
        <v>1010581</v>
      </c>
      <c r="AC19" s="272">
        <v>11503556</v>
      </c>
      <c r="AD19" s="272">
        <v>10881532</v>
      </c>
      <c r="AE19" s="272">
        <v>622024</v>
      </c>
      <c r="AF19" s="272">
        <v>46141</v>
      </c>
      <c r="AG19" s="272">
        <v>719936</v>
      </c>
      <c r="AH19" s="455">
        <f t="shared" si="3"/>
        <v>1514332</v>
      </c>
      <c r="AI19" s="272">
        <v>1083525</v>
      </c>
      <c r="AJ19" s="272">
        <v>430807</v>
      </c>
      <c r="AK19" s="272">
        <v>9548338</v>
      </c>
      <c r="AL19" s="455">
        <f t="shared" si="4"/>
        <v>4743347</v>
      </c>
      <c r="AM19" s="272">
        <v>3177423</v>
      </c>
      <c r="AN19" s="272">
        <v>986734</v>
      </c>
      <c r="AO19" s="272">
        <v>0</v>
      </c>
      <c r="AP19" s="272">
        <v>579190</v>
      </c>
      <c r="AQ19" s="272">
        <v>905344</v>
      </c>
      <c r="AR19" s="272">
        <v>0</v>
      </c>
      <c r="AS19" s="272">
        <v>0</v>
      </c>
      <c r="AT19" s="272">
        <v>3944271</v>
      </c>
      <c r="AU19" s="272">
        <v>1665968</v>
      </c>
      <c r="AV19" s="272">
        <v>501312</v>
      </c>
      <c r="AW19" s="272">
        <v>73877</v>
      </c>
      <c r="AX19" s="272">
        <v>2278303</v>
      </c>
      <c r="AY19" s="272">
        <v>230548</v>
      </c>
      <c r="AZ19" s="272">
        <v>112829</v>
      </c>
      <c r="BA19" s="272">
        <v>93767</v>
      </c>
      <c r="BB19" s="272">
        <v>32310</v>
      </c>
      <c r="BC19" s="272">
        <v>150370</v>
      </c>
      <c r="BD19" s="272">
        <v>0</v>
      </c>
      <c r="BE19" s="272">
        <v>0</v>
      </c>
      <c r="BF19" s="272">
        <v>121600</v>
      </c>
      <c r="BG19" s="272">
        <v>0</v>
      </c>
      <c r="BH19" s="272">
        <v>1173606</v>
      </c>
      <c r="BI19" s="272">
        <v>97803</v>
      </c>
      <c r="BJ19" s="272">
        <v>3160611</v>
      </c>
      <c r="BK19" s="272">
        <v>2580039</v>
      </c>
      <c r="BL19" s="272">
        <v>0</v>
      </c>
      <c r="BM19" s="272">
        <v>38051</v>
      </c>
      <c r="BN19" s="272">
        <v>3247900</v>
      </c>
      <c r="BO19" s="455">
        <f t="shared" si="5"/>
        <v>2811200</v>
      </c>
      <c r="BP19" s="455">
        <f t="shared" si="6"/>
        <v>436700</v>
      </c>
      <c r="BQ19" s="272">
        <v>436700</v>
      </c>
      <c r="BR19" s="272"/>
      <c r="BS19" s="272"/>
      <c r="BT19" s="272">
        <v>0</v>
      </c>
      <c r="BU19" s="272">
        <v>71615160</v>
      </c>
      <c r="BV19" s="272"/>
      <c r="BW19" s="272">
        <v>21128917</v>
      </c>
      <c r="BX19" s="272">
        <v>16139679</v>
      </c>
      <c r="BY19" s="272">
        <v>1302230</v>
      </c>
      <c r="BZ19" s="272">
        <v>345948</v>
      </c>
      <c r="CA19" s="272">
        <v>10987732</v>
      </c>
      <c r="CB19" s="272">
        <v>1412258</v>
      </c>
      <c r="CC19" s="272">
        <v>2624588</v>
      </c>
      <c r="CD19" s="272">
        <v>2358900</v>
      </c>
      <c r="CE19" s="272">
        <v>4430120</v>
      </c>
      <c r="CF19" s="272">
        <v>536</v>
      </c>
      <c r="CG19" s="272">
        <v>159950</v>
      </c>
      <c r="CH19" s="272">
        <v>7173834</v>
      </c>
      <c r="CI19" s="272">
        <v>4587165</v>
      </c>
      <c r="CJ19" s="455">
        <f t="shared" si="7"/>
        <v>2586669</v>
      </c>
      <c r="CK19" s="272">
        <v>8408527</v>
      </c>
      <c r="CL19" s="272">
        <v>4136481</v>
      </c>
      <c r="CM19" s="272">
        <v>832624</v>
      </c>
      <c r="CN19" s="272">
        <v>1973679</v>
      </c>
      <c r="CO19" s="272">
        <v>409347</v>
      </c>
      <c r="CP19" s="272">
        <v>7393350</v>
      </c>
      <c r="CQ19" s="272">
        <v>3645374</v>
      </c>
      <c r="CR19" s="272">
        <v>2755771</v>
      </c>
      <c r="CS19" s="272">
        <v>1476342</v>
      </c>
      <c r="CT19" s="455">
        <f t="shared" si="8"/>
        <v>5932</v>
      </c>
      <c r="CU19" s="272">
        <v>5932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5788577</v>
      </c>
      <c r="DD19" s="272">
        <v>2395882</v>
      </c>
      <c r="DE19" s="272">
        <v>3346419</v>
      </c>
      <c r="DF19" s="272">
        <v>0</v>
      </c>
      <c r="DG19" s="272">
        <v>46276</v>
      </c>
      <c r="DH19" s="272">
        <v>0</v>
      </c>
      <c r="DI19" s="272">
        <v>1617050</v>
      </c>
      <c r="DJ19" s="272">
        <v>50002</v>
      </c>
      <c r="DK19" s="272">
        <v>109</v>
      </c>
      <c r="DL19" s="272">
        <v>1566939</v>
      </c>
      <c r="DM19" s="272">
        <v>142136</v>
      </c>
      <c r="DN19" s="272">
        <v>142136</v>
      </c>
      <c r="DO19" s="272">
        <v>142136</v>
      </c>
      <c r="DP19" s="272">
        <v>0</v>
      </c>
      <c r="DQ19" s="272">
        <v>2597640</v>
      </c>
      <c r="DR19" s="272">
        <v>0</v>
      </c>
      <c r="DS19" s="272">
        <v>0</v>
      </c>
      <c r="DT19" s="272">
        <v>6196598</v>
      </c>
      <c r="DU19" s="272">
        <v>3285355</v>
      </c>
      <c r="DV19" s="455">
        <f t="shared" si="11"/>
        <v>0</v>
      </c>
      <c r="DW19" s="272">
        <v>0</v>
      </c>
      <c r="DX19" s="272">
        <v>0</v>
      </c>
      <c r="DY19" s="272">
        <v>0</v>
      </c>
      <c r="DZ19" s="272">
        <v>1994530</v>
      </c>
      <c r="EA19" s="272">
        <v>915169</v>
      </c>
      <c r="EB19" s="272"/>
      <c r="EC19" s="272">
        <v>0</v>
      </c>
      <c r="ED19" s="272">
        <v>71843708</v>
      </c>
      <c r="EF19" s="272">
        <v>-228548</v>
      </c>
      <c r="EG19" s="272">
        <v>109345</v>
      </c>
      <c r="EH19" s="272">
        <v>-337893</v>
      </c>
      <c r="EI19" s="272">
        <v>-435696</v>
      </c>
      <c r="EJ19" s="272">
        <v>-385694</v>
      </c>
      <c r="EL19" s="272"/>
      <c r="EM19" s="272">
        <v>251028</v>
      </c>
      <c r="EN19" s="272">
        <v>26770</v>
      </c>
      <c r="EO19" s="272">
        <v>7329</v>
      </c>
      <c r="EP19" s="455">
        <f t="shared" si="12"/>
        <v>490771</v>
      </c>
      <c r="EQ19" s="272">
        <v>48010657</v>
      </c>
      <c r="ER19" s="272">
        <v>-915429</v>
      </c>
      <c r="ES19" s="272">
        <v>19047854</v>
      </c>
      <c r="ET19" s="272">
        <v>14100566</v>
      </c>
      <c r="EU19" s="272">
        <v>3476574</v>
      </c>
      <c r="EV19" s="272">
        <v>7039056</v>
      </c>
      <c r="EW19" s="455">
        <f t="shared" si="13"/>
        <v>1829550</v>
      </c>
      <c r="EX19" s="272">
        <v>1829550</v>
      </c>
      <c r="EY19" s="272">
        <v>109519</v>
      </c>
      <c r="EZ19" s="272">
        <v>1720031</v>
      </c>
      <c r="FA19" s="272">
        <v>0</v>
      </c>
      <c r="FB19" s="272"/>
      <c r="FC19" s="272">
        <v>6214311</v>
      </c>
      <c r="FD19" s="272">
        <v>5425783</v>
      </c>
      <c r="FE19" s="272">
        <v>3645374</v>
      </c>
      <c r="FF19" s="272">
        <v>5471002</v>
      </c>
      <c r="FG19" s="455">
        <f t="shared" si="14"/>
        <v>650504</v>
      </c>
      <c r="FH19" s="272">
        <v>49154634</v>
      </c>
      <c r="FI19" s="384">
        <f t="shared" si="15"/>
        <v>-0.8</v>
      </c>
      <c r="FJ19" s="272">
        <v>44498621</v>
      </c>
      <c r="FK19" s="272"/>
      <c r="FL19" s="272">
        <v>25335186</v>
      </c>
      <c r="FM19" s="272">
        <v>36235730</v>
      </c>
      <c r="FN19" s="460">
        <v>0.74199999999999999</v>
      </c>
      <c r="FO19" s="388">
        <v>99.3</v>
      </c>
      <c r="FP19" s="388">
        <v>41.9</v>
      </c>
      <c r="FQ19" s="388">
        <v>7.8</v>
      </c>
      <c r="FR19" s="388">
        <v>15.8</v>
      </c>
      <c r="FS19" s="388">
        <v>13.2</v>
      </c>
      <c r="FT19" s="388">
        <v>11.5</v>
      </c>
      <c r="FU19" s="388">
        <v>8.1</v>
      </c>
      <c r="FV19" s="388">
        <v>10.1</v>
      </c>
      <c r="FW19" s="272">
        <v>65013262</v>
      </c>
      <c r="FX19" s="384">
        <f t="shared" si="16"/>
        <v>146.1</v>
      </c>
      <c r="FY19" s="272">
        <v>6539711</v>
      </c>
      <c r="FZ19" s="272">
        <v>51166</v>
      </c>
      <c r="GA19" s="272">
        <v>2639</v>
      </c>
      <c r="GB19" s="272">
        <v>6485906</v>
      </c>
      <c r="GC19" s="272"/>
      <c r="GD19" s="272">
        <v>9566178</v>
      </c>
      <c r="GE19" s="384">
        <f t="shared" si="17"/>
        <v>21.5</v>
      </c>
      <c r="GF19" s="388">
        <v>97.2</v>
      </c>
      <c r="GG19" s="388">
        <v>15.6</v>
      </c>
      <c r="GH19" s="388">
        <v>89</v>
      </c>
      <c r="GI19" s="272">
        <v>2064</v>
      </c>
    </row>
    <row r="20" spans="2:191" x14ac:dyDescent="0.15">
      <c r="B20" s="89" t="s">
        <v>33</v>
      </c>
      <c r="C20" s="272">
        <v>16498787</v>
      </c>
      <c r="D20" s="455">
        <f t="shared" si="0"/>
        <v>7607573</v>
      </c>
      <c r="E20" s="272">
        <v>111339</v>
      </c>
      <c r="F20" s="272">
        <v>7496234</v>
      </c>
      <c r="G20" s="455">
        <f t="shared" si="1"/>
        <v>535146</v>
      </c>
      <c r="H20" s="272">
        <v>183121</v>
      </c>
      <c r="I20" s="272">
        <v>352025</v>
      </c>
      <c r="J20" s="272">
        <v>6219976</v>
      </c>
      <c r="K20" s="272">
        <v>2668973</v>
      </c>
      <c r="L20" s="272">
        <v>2710184</v>
      </c>
      <c r="M20" s="272">
        <v>760806</v>
      </c>
      <c r="N20" s="272">
        <v>515151</v>
      </c>
      <c r="O20" s="272">
        <v>1509479</v>
      </c>
      <c r="P20" s="272">
        <v>930437</v>
      </c>
      <c r="Q20" s="272">
        <v>579042</v>
      </c>
      <c r="R20" s="272">
        <v>300755</v>
      </c>
      <c r="S20" s="272"/>
      <c r="T20" s="455">
        <f t="shared" si="2"/>
        <v>1440826</v>
      </c>
      <c r="U20" s="272">
        <v>240907</v>
      </c>
      <c r="V20" s="272"/>
      <c r="W20" s="272"/>
      <c r="X20" s="272">
        <v>869601</v>
      </c>
      <c r="Y20" s="272">
        <v>16931</v>
      </c>
      <c r="Z20" s="272">
        <v>4391</v>
      </c>
      <c r="AA20" s="272">
        <v>308996</v>
      </c>
      <c r="AB20" s="272">
        <v>584297</v>
      </c>
      <c r="AC20" s="272">
        <v>4948058</v>
      </c>
      <c r="AD20" s="272">
        <v>4624032</v>
      </c>
      <c r="AE20" s="272">
        <v>324026</v>
      </c>
      <c r="AF20" s="272">
        <v>26109</v>
      </c>
      <c r="AG20" s="272">
        <v>336959</v>
      </c>
      <c r="AH20" s="455">
        <f t="shared" si="3"/>
        <v>1128364</v>
      </c>
      <c r="AI20" s="272">
        <v>774412</v>
      </c>
      <c r="AJ20" s="272">
        <v>353952</v>
      </c>
      <c r="AK20" s="272">
        <v>4629483</v>
      </c>
      <c r="AL20" s="455">
        <f t="shared" si="4"/>
        <v>1444458</v>
      </c>
      <c r="AM20" s="272">
        <v>960002</v>
      </c>
      <c r="AN20" s="272">
        <v>299830</v>
      </c>
      <c r="AO20" s="272">
        <v>0</v>
      </c>
      <c r="AP20" s="272">
        <v>184626</v>
      </c>
      <c r="AQ20" s="272">
        <v>815623</v>
      </c>
      <c r="AR20" s="272">
        <v>0</v>
      </c>
      <c r="AS20" s="272">
        <v>0</v>
      </c>
      <c r="AT20" s="272">
        <v>1697836</v>
      </c>
      <c r="AU20" s="272">
        <v>650952</v>
      </c>
      <c r="AV20" s="272">
        <v>157892</v>
      </c>
      <c r="AW20" s="272">
        <v>1100</v>
      </c>
      <c r="AX20" s="272">
        <v>1046884</v>
      </c>
      <c r="AY20" s="272">
        <v>151132</v>
      </c>
      <c r="AZ20" s="272">
        <v>141200</v>
      </c>
      <c r="BA20" s="272">
        <v>26338</v>
      </c>
      <c r="BB20" s="272">
        <v>53124</v>
      </c>
      <c r="BC20" s="272">
        <v>411713</v>
      </c>
      <c r="BD20" s="272">
        <v>380000</v>
      </c>
      <c r="BE20" s="272">
        <v>0</v>
      </c>
      <c r="BF20" s="272">
        <v>24075</v>
      </c>
      <c r="BG20" s="272">
        <v>0</v>
      </c>
      <c r="BH20" s="272">
        <v>1147318</v>
      </c>
      <c r="BI20" s="272">
        <v>492101</v>
      </c>
      <c r="BJ20" s="272">
        <v>921827</v>
      </c>
      <c r="BK20" s="272">
        <v>731604</v>
      </c>
      <c r="BL20" s="272">
        <v>0</v>
      </c>
      <c r="BM20" s="272">
        <v>0</v>
      </c>
      <c r="BN20" s="272">
        <v>4036800</v>
      </c>
      <c r="BO20" s="455">
        <f t="shared" si="5"/>
        <v>3815000</v>
      </c>
      <c r="BP20" s="455">
        <f t="shared" si="6"/>
        <v>221800</v>
      </c>
      <c r="BQ20" s="272">
        <v>221800</v>
      </c>
      <c r="BR20" s="272"/>
      <c r="BS20" s="272"/>
      <c r="BT20" s="272">
        <v>0</v>
      </c>
      <c r="BU20" s="272">
        <v>38303456</v>
      </c>
      <c r="BV20" s="272"/>
      <c r="BW20" s="272">
        <v>6919843</v>
      </c>
      <c r="BX20" s="272">
        <v>4777308</v>
      </c>
      <c r="BY20" s="272">
        <v>251706</v>
      </c>
      <c r="BZ20" s="272">
        <v>636265</v>
      </c>
      <c r="CA20" s="272">
        <v>4291741</v>
      </c>
      <c r="CB20" s="272">
        <v>814458</v>
      </c>
      <c r="CC20" s="272">
        <v>1124136</v>
      </c>
      <c r="CD20" s="272">
        <v>1024940</v>
      </c>
      <c r="CE20" s="272">
        <v>1292470</v>
      </c>
      <c r="CF20" s="272">
        <v>0</v>
      </c>
      <c r="CG20" s="272">
        <v>35737</v>
      </c>
      <c r="CH20" s="272">
        <v>3520738</v>
      </c>
      <c r="CI20" s="272">
        <v>2384494</v>
      </c>
      <c r="CJ20" s="455">
        <f t="shared" si="7"/>
        <v>1136244</v>
      </c>
      <c r="CK20" s="272">
        <v>5943092</v>
      </c>
      <c r="CL20" s="272">
        <v>3888877</v>
      </c>
      <c r="CM20" s="272">
        <v>109074</v>
      </c>
      <c r="CN20" s="272">
        <v>984672</v>
      </c>
      <c r="CO20" s="272">
        <v>152126</v>
      </c>
      <c r="CP20" s="272">
        <v>3013958</v>
      </c>
      <c r="CQ20" s="272">
        <v>606995</v>
      </c>
      <c r="CR20" s="272">
        <v>1543592</v>
      </c>
      <c r="CS20" s="272">
        <v>806837</v>
      </c>
      <c r="CT20" s="455">
        <f t="shared" si="8"/>
        <v>189238</v>
      </c>
      <c r="CU20" s="272">
        <v>10000</v>
      </c>
      <c r="CV20" s="272">
        <v>179238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7728294</v>
      </c>
      <c r="DD20" s="272">
        <v>1828352</v>
      </c>
      <c r="DE20" s="272">
        <v>5648780</v>
      </c>
      <c r="DF20" s="272">
        <v>251162</v>
      </c>
      <c r="DG20" s="272">
        <v>0</v>
      </c>
      <c r="DH20" s="272">
        <v>112408</v>
      </c>
      <c r="DI20" s="272">
        <v>1719778</v>
      </c>
      <c r="DJ20" s="272">
        <v>511564</v>
      </c>
      <c r="DK20" s="272">
        <v>254000</v>
      </c>
      <c r="DL20" s="272">
        <v>954214</v>
      </c>
      <c r="DM20" s="272">
        <v>0</v>
      </c>
      <c r="DN20" s="272">
        <v>0</v>
      </c>
      <c r="DO20" s="272">
        <v>0</v>
      </c>
      <c r="DP20" s="272">
        <v>0</v>
      </c>
      <c r="DQ20" s="272">
        <v>750619</v>
      </c>
      <c r="DR20" s="272">
        <v>0</v>
      </c>
      <c r="DS20" s="272">
        <v>0</v>
      </c>
      <c r="DT20" s="272">
        <v>3325496</v>
      </c>
      <c r="DU20" s="272">
        <v>1333811</v>
      </c>
      <c r="DV20" s="455">
        <f t="shared" si="11"/>
        <v>0</v>
      </c>
      <c r="DW20" s="272">
        <v>0</v>
      </c>
      <c r="DX20" s="272">
        <v>0</v>
      </c>
      <c r="DY20" s="272">
        <v>0</v>
      </c>
      <c r="DZ20" s="272">
        <v>597212</v>
      </c>
      <c r="EA20" s="272">
        <v>549095</v>
      </c>
      <c r="EB20" s="272"/>
      <c r="EC20" s="272">
        <v>0</v>
      </c>
      <c r="ED20" s="272">
        <v>37478093</v>
      </c>
      <c r="EF20" s="272">
        <v>825363</v>
      </c>
      <c r="EG20" s="272">
        <v>490112</v>
      </c>
      <c r="EH20" s="272">
        <v>335251</v>
      </c>
      <c r="EI20" s="272">
        <v>-156850</v>
      </c>
      <c r="EJ20" s="272">
        <v>223148</v>
      </c>
      <c r="EL20" s="272"/>
      <c r="EM20" s="272">
        <v>122946</v>
      </c>
      <c r="EN20" s="272">
        <v>380000</v>
      </c>
      <c r="EO20" s="272">
        <v>41202</v>
      </c>
      <c r="EP20" s="455">
        <f t="shared" si="12"/>
        <v>1625304</v>
      </c>
      <c r="EQ20" s="272">
        <v>23798832</v>
      </c>
      <c r="ER20" s="272">
        <v>-2242197</v>
      </c>
      <c r="ES20" s="272">
        <v>6498038</v>
      </c>
      <c r="ET20" s="272">
        <v>4444857</v>
      </c>
      <c r="EU20" s="272">
        <v>1444896</v>
      </c>
      <c r="EV20" s="272">
        <v>3520738</v>
      </c>
      <c r="EW20" s="455">
        <f t="shared" si="13"/>
        <v>3182083</v>
      </c>
      <c r="EX20" s="272">
        <v>3086700</v>
      </c>
      <c r="EY20" s="272">
        <v>291541</v>
      </c>
      <c r="EZ20" s="272">
        <v>2769072</v>
      </c>
      <c r="FA20" s="272">
        <v>95383</v>
      </c>
      <c r="FB20" s="272"/>
      <c r="FC20" s="272">
        <v>4431747</v>
      </c>
      <c r="FD20" s="272">
        <v>2233575</v>
      </c>
      <c r="FE20" s="272">
        <v>606995</v>
      </c>
      <c r="FF20" s="272">
        <v>3145616</v>
      </c>
      <c r="FG20" s="455">
        <f t="shared" si="14"/>
        <v>855098</v>
      </c>
      <c r="FH20" s="272">
        <v>25311791</v>
      </c>
      <c r="FI20" s="384">
        <f t="shared" si="15"/>
        <v>1.5</v>
      </c>
      <c r="FJ20" s="272">
        <v>21968177</v>
      </c>
      <c r="FK20" s="272"/>
      <c r="FL20" s="272">
        <v>13088332</v>
      </c>
      <c r="FM20" s="272">
        <v>17721662</v>
      </c>
      <c r="FN20" s="460">
        <v>0.78200000000000003</v>
      </c>
      <c r="FO20" s="388">
        <v>84.3</v>
      </c>
      <c r="FP20" s="388">
        <v>29.2</v>
      </c>
      <c r="FQ20" s="388">
        <v>6.5</v>
      </c>
      <c r="FR20" s="388">
        <v>14.8</v>
      </c>
      <c r="FS20" s="388">
        <v>19.5</v>
      </c>
      <c r="FT20" s="388">
        <v>8.5</v>
      </c>
      <c r="FU20" s="388">
        <v>5.2</v>
      </c>
      <c r="FV20" s="388">
        <v>9.4</v>
      </c>
      <c r="FW20" s="272">
        <v>32779953</v>
      </c>
      <c r="FX20" s="384">
        <f t="shared" si="16"/>
        <v>149.19999999999999</v>
      </c>
      <c r="FY20" s="272">
        <v>17954039</v>
      </c>
      <c r="FZ20" s="272">
        <v>8898077</v>
      </c>
      <c r="GA20" s="272">
        <v>2039718</v>
      </c>
      <c r="GB20" s="272">
        <v>7016244</v>
      </c>
      <c r="GC20" s="272"/>
      <c r="GD20" s="272">
        <v>7506102</v>
      </c>
      <c r="GE20" s="384">
        <f t="shared" si="17"/>
        <v>34.200000000000003</v>
      </c>
      <c r="GF20" s="388">
        <v>97.7</v>
      </c>
      <c r="GG20" s="388">
        <v>20.2</v>
      </c>
      <c r="GH20" s="388">
        <v>91.3</v>
      </c>
      <c r="GI20" s="272">
        <v>649</v>
      </c>
    </row>
    <row r="21" spans="2:191" x14ac:dyDescent="0.15">
      <c r="B21" s="89" t="s">
        <v>35</v>
      </c>
      <c r="C21" s="272">
        <v>15817823</v>
      </c>
      <c r="D21" s="455">
        <f t="shared" si="0"/>
        <v>5720843</v>
      </c>
      <c r="E21" s="272">
        <v>118432</v>
      </c>
      <c r="F21" s="272">
        <v>5602411</v>
      </c>
      <c r="G21" s="455">
        <f t="shared" si="1"/>
        <v>966995</v>
      </c>
      <c r="H21" s="272">
        <v>228522</v>
      </c>
      <c r="I21" s="272">
        <v>738473</v>
      </c>
      <c r="J21" s="272">
        <v>6632109</v>
      </c>
      <c r="K21" s="272">
        <v>3678183</v>
      </c>
      <c r="L21" s="272">
        <v>2264993</v>
      </c>
      <c r="M21" s="272">
        <v>653635</v>
      </c>
      <c r="N21" s="272">
        <v>799744</v>
      </c>
      <c r="O21" s="272">
        <v>1606096</v>
      </c>
      <c r="P21" s="272">
        <v>1097514</v>
      </c>
      <c r="Q21" s="272">
        <v>508582</v>
      </c>
      <c r="R21" s="272">
        <v>233302</v>
      </c>
      <c r="S21" s="272"/>
      <c r="T21" s="455">
        <f t="shared" si="2"/>
        <v>1577206</v>
      </c>
      <c r="U21" s="272">
        <v>203870</v>
      </c>
      <c r="V21" s="272"/>
      <c r="W21" s="272"/>
      <c r="X21" s="272">
        <v>1132009</v>
      </c>
      <c r="Y21" s="272">
        <v>0</v>
      </c>
      <c r="Z21" s="272">
        <v>1099</v>
      </c>
      <c r="AA21" s="272">
        <v>240228</v>
      </c>
      <c r="AB21" s="272">
        <v>446760</v>
      </c>
      <c r="AC21" s="272">
        <v>8778461</v>
      </c>
      <c r="AD21" s="272">
        <v>8233432</v>
      </c>
      <c r="AE21" s="272">
        <v>545029</v>
      </c>
      <c r="AF21" s="272">
        <v>27187</v>
      </c>
      <c r="AG21" s="272">
        <v>285452</v>
      </c>
      <c r="AH21" s="455">
        <f t="shared" si="3"/>
        <v>562449</v>
      </c>
      <c r="AI21" s="272">
        <v>508324</v>
      </c>
      <c r="AJ21" s="272">
        <v>54125</v>
      </c>
      <c r="AK21" s="272">
        <v>5423490</v>
      </c>
      <c r="AL21" s="455">
        <f t="shared" si="4"/>
        <v>2716215</v>
      </c>
      <c r="AM21" s="272">
        <v>2089703</v>
      </c>
      <c r="AN21" s="272">
        <v>304611</v>
      </c>
      <c r="AO21" s="272">
        <v>0</v>
      </c>
      <c r="AP21" s="272">
        <v>321901</v>
      </c>
      <c r="AQ21" s="272">
        <v>441372</v>
      </c>
      <c r="AR21" s="272">
        <v>0</v>
      </c>
      <c r="AS21" s="272">
        <v>0</v>
      </c>
      <c r="AT21" s="272">
        <v>2098463</v>
      </c>
      <c r="AU21" s="272">
        <v>792283</v>
      </c>
      <c r="AV21" s="272">
        <v>154362</v>
      </c>
      <c r="AW21" s="272">
        <v>6595</v>
      </c>
      <c r="AX21" s="272">
        <v>1306180</v>
      </c>
      <c r="AY21" s="272">
        <v>82927</v>
      </c>
      <c r="AZ21" s="272">
        <v>253205</v>
      </c>
      <c r="BA21" s="272">
        <v>83564</v>
      </c>
      <c r="BB21" s="272">
        <v>216922</v>
      </c>
      <c r="BC21" s="272">
        <v>874148</v>
      </c>
      <c r="BD21" s="272">
        <v>45086</v>
      </c>
      <c r="BE21" s="272">
        <v>0</v>
      </c>
      <c r="BF21" s="272">
        <v>796650</v>
      </c>
      <c r="BG21" s="272">
        <v>0</v>
      </c>
      <c r="BH21" s="272">
        <v>655046</v>
      </c>
      <c r="BI21" s="272">
        <v>122617</v>
      </c>
      <c r="BJ21" s="272">
        <v>224507</v>
      </c>
      <c r="BK21" s="272">
        <v>63264</v>
      </c>
      <c r="BL21" s="272">
        <v>0</v>
      </c>
      <c r="BM21" s="272">
        <v>0</v>
      </c>
      <c r="BN21" s="272">
        <v>1340700</v>
      </c>
      <c r="BO21" s="455">
        <f t="shared" si="5"/>
        <v>1138000</v>
      </c>
      <c r="BP21" s="455">
        <f t="shared" si="6"/>
        <v>202700</v>
      </c>
      <c r="BQ21" s="272">
        <v>202700</v>
      </c>
      <c r="BR21" s="272"/>
      <c r="BS21" s="272"/>
      <c r="BT21" s="272">
        <v>0</v>
      </c>
      <c r="BU21" s="272">
        <v>38815121</v>
      </c>
      <c r="BV21" s="272"/>
      <c r="BW21" s="272">
        <v>10205068</v>
      </c>
      <c r="BX21" s="272">
        <v>7595155</v>
      </c>
      <c r="BY21" s="272">
        <v>728321</v>
      </c>
      <c r="BZ21" s="272">
        <v>239880</v>
      </c>
      <c r="CA21" s="272">
        <v>6563412</v>
      </c>
      <c r="CB21" s="272">
        <v>682172</v>
      </c>
      <c r="CC21" s="272">
        <v>1735564</v>
      </c>
      <c r="CD21" s="272">
        <v>1174738</v>
      </c>
      <c r="CE21" s="272">
        <v>2864914</v>
      </c>
      <c r="CF21" s="272">
        <v>0</v>
      </c>
      <c r="CG21" s="272">
        <v>103719</v>
      </c>
      <c r="CH21" s="272">
        <v>3797360</v>
      </c>
      <c r="CI21" s="272">
        <v>2564364</v>
      </c>
      <c r="CJ21" s="455">
        <f t="shared" si="7"/>
        <v>1232996</v>
      </c>
      <c r="CK21" s="272">
        <v>4970828</v>
      </c>
      <c r="CL21" s="272">
        <v>3090279</v>
      </c>
      <c r="CM21" s="272">
        <v>182903</v>
      </c>
      <c r="CN21" s="272">
        <v>887628</v>
      </c>
      <c r="CO21" s="272">
        <v>273512</v>
      </c>
      <c r="CP21" s="272">
        <v>3676845</v>
      </c>
      <c r="CQ21" s="272">
        <v>172</v>
      </c>
      <c r="CR21" s="272">
        <v>1381344</v>
      </c>
      <c r="CS21" s="272">
        <v>1149231</v>
      </c>
      <c r="CT21" s="455">
        <f t="shared" si="8"/>
        <v>688230</v>
      </c>
      <c r="CU21" s="272">
        <v>12000</v>
      </c>
      <c r="CV21" s="272">
        <v>676230</v>
      </c>
      <c r="CW21" s="455">
        <f t="shared" si="9"/>
        <v>676230</v>
      </c>
      <c r="CX21" s="272">
        <v>0</v>
      </c>
      <c r="CY21" s="272">
        <v>676230</v>
      </c>
      <c r="CZ21" s="455">
        <f t="shared" si="10"/>
        <v>0</v>
      </c>
      <c r="DA21" s="272">
        <v>0</v>
      </c>
      <c r="DB21" s="272">
        <v>0</v>
      </c>
      <c r="DC21" s="272">
        <v>2435406</v>
      </c>
      <c r="DD21" s="272">
        <v>914625</v>
      </c>
      <c r="DE21" s="272">
        <v>1520781</v>
      </c>
      <c r="DF21" s="272">
        <v>0</v>
      </c>
      <c r="DG21" s="272">
        <v>0</v>
      </c>
      <c r="DH21" s="272">
        <v>13770</v>
      </c>
      <c r="DI21" s="272">
        <v>1658375</v>
      </c>
      <c r="DJ21" s="272">
        <v>335114</v>
      </c>
      <c r="DK21" s="272">
        <v>2199</v>
      </c>
      <c r="DL21" s="272">
        <v>1321062</v>
      </c>
      <c r="DM21" s="272">
        <v>0</v>
      </c>
      <c r="DN21" s="272">
        <v>0</v>
      </c>
      <c r="DO21" s="272">
        <v>0</v>
      </c>
      <c r="DP21" s="272">
        <v>0</v>
      </c>
      <c r="DQ21" s="272">
        <v>60000</v>
      </c>
      <c r="DR21" s="272">
        <v>0</v>
      </c>
      <c r="DS21" s="272">
        <v>0</v>
      </c>
      <c r="DT21" s="272">
        <v>4872740</v>
      </c>
      <c r="DU21" s="272">
        <v>3006000</v>
      </c>
      <c r="DV21" s="455">
        <f t="shared" si="11"/>
        <v>0</v>
      </c>
      <c r="DW21" s="272">
        <v>0</v>
      </c>
      <c r="DX21" s="272">
        <v>0</v>
      </c>
      <c r="DY21" s="272">
        <v>0</v>
      </c>
      <c r="DZ21" s="272">
        <v>1280000</v>
      </c>
      <c r="EA21" s="272">
        <v>586680</v>
      </c>
      <c r="EB21" s="272"/>
      <c r="EC21" s="272">
        <v>0</v>
      </c>
      <c r="ED21" s="272">
        <v>38527316</v>
      </c>
      <c r="EF21" s="272">
        <v>287805</v>
      </c>
      <c r="EG21" s="272">
        <v>75832</v>
      </c>
      <c r="EH21" s="272">
        <v>211973</v>
      </c>
      <c r="EI21" s="272">
        <v>89356</v>
      </c>
      <c r="EJ21" s="272">
        <v>379384</v>
      </c>
      <c r="EL21" s="272"/>
      <c r="EM21" s="272">
        <v>132128</v>
      </c>
      <c r="EN21" s="272">
        <v>533498</v>
      </c>
      <c r="EO21" s="272">
        <v>222933</v>
      </c>
      <c r="EP21" s="455">
        <f t="shared" si="12"/>
        <v>589071</v>
      </c>
      <c r="EQ21" s="272">
        <v>26880739</v>
      </c>
      <c r="ER21" s="272">
        <v>-1521015</v>
      </c>
      <c r="ES21" s="272">
        <v>9354427</v>
      </c>
      <c r="ET21" s="272">
        <v>6863159</v>
      </c>
      <c r="EU21" s="272">
        <v>2174372</v>
      </c>
      <c r="EV21" s="272">
        <v>3788653</v>
      </c>
      <c r="EW21" s="455">
        <f t="shared" si="13"/>
        <v>492237</v>
      </c>
      <c r="EX21" s="272">
        <v>479150</v>
      </c>
      <c r="EY21" s="272">
        <v>1953</v>
      </c>
      <c r="EZ21" s="272">
        <v>477197</v>
      </c>
      <c r="FA21" s="272">
        <v>13087</v>
      </c>
      <c r="FB21" s="272"/>
      <c r="FC21" s="272">
        <v>4099619</v>
      </c>
      <c r="FD21" s="272">
        <v>2778270</v>
      </c>
      <c r="FE21" s="272">
        <v>172</v>
      </c>
      <c r="FF21" s="272">
        <v>4493058</v>
      </c>
      <c r="FG21" s="455">
        <f t="shared" si="14"/>
        <v>966113</v>
      </c>
      <c r="FH21" s="272">
        <v>28146749</v>
      </c>
      <c r="FI21" s="384">
        <f t="shared" si="15"/>
        <v>0.9</v>
      </c>
      <c r="FJ21" s="272">
        <v>24693375</v>
      </c>
      <c r="FK21" s="272"/>
      <c r="FL21" s="272">
        <v>12411869</v>
      </c>
      <c r="FM21" s="272">
        <v>20638569</v>
      </c>
      <c r="FN21" s="460">
        <v>0.63300000000000001</v>
      </c>
      <c r="FO21" s="388">
        <v>97.1</v>
      </c>
      <c r="FP21" s="388">
        <v>36.5</v>
      </c>
      <c r="FQ21" s="388">
        <v>8.6999999999999993</v>
      </c>
      <c r="FR21" s="388">
        <v>15.2</v>
      </c>
      <c r="FS21" s="388">
        <v>15.9</v>
      </c>
      <c r="FT21" s="388">
        <v>8.8000000000000007</v>
      </c>
      <c r="FU21" s="388">
        <v>11</v>
      </c>
      <c r="FV21" s="388">
        <v>11</v>
      </c>
      <c r="FW21" s="272">
        <v>33009320</v>
      </c>
      <c r="FX21" s="384">
        <f t="shared" si="16"/>
        <v>133.69999999999999</v>
      </c>
      <c r="FY21" s="272">
        <v>5053901</v>
      </c>
      <c r="FZ21" s="272">
        <v>841007</v>
      </c>
      <c r="GA21" s="272">
        <v>349522</v>
      </c>
      <c r="GB21" s="272">
        <v>3863372</v>
      </c>
      <c r="GC21" s="272"/>
      <c r="GD21" s="272">
        <v>3147855</v>
      </c>
      <c r="GE21" s="384">
        <f t="shared" si="17"/>
        <v>12.7</v>
      </c>
      <c r="GF21" s="388">
        <v>97</v>
      </c>
      <c r="GG21" s="388">
        <v>24.9</v>
      </c>
      <c r="GH21" s="388">
        <v>90.5</v>
      </c>
      <c r="GI21" s="272">
        <v>944</v>
      </c>
    </row>
    <row r="22" spans="2:191" x14ac:dyDescent="0.15">
      <c r="B22" s="89" t="s">
        <v>37</v>
      </c>
      <c r="C22" s="272">
        <v>20319858</v>
      </c>
      <c r="D22" s="455">
        <f t="shared" si="0"/>
        <v>5644771</v>
      </c>
      <c r="E22" s="272">
        <v>123056</v>
      </c>
      <c r="F22" s="272">
        <v>5521715</v>
      </c>
      <c r="G22" s="455">
        <f t="shared" si="1"/>
        <v>1542935</v>
      </c>
      <c r="H22" s="272">
        <v>287390</v>
      </c>
      <c r="I22" s="272">
        <v>1255545</v>
      </c>
      <c r="J22" s="272">
        <v>9647389</v>
      </c>
      <c r="K22" s="272">
        <v>5266835</v>
      </c>
      <c r="L22" s="272">
        <v>3092823</v>
      </c>
      <c r="M22" s="272">
        <v>1149736</v>
      </c>
      <c r="N22" s="272">
        <v>1220051</v>
      </c>
      <c r="O22" s="272">
        <v>2176890</v>
      </c>
      <c r="P22" s="272">
        <v>1473450</v>
      </c>
      <c r="Q22" s="272">
        <v>703440</v>
      </c>
      <c r="R22" s="272">
        <v>231345</v>
      </c>
      <c r="S22" s="272"/>
      <c r="T22" s="455">
        <f t="shared" si="2"/>
        <v>1723006</v>
      </c>
      <c r="U22" s="272">
        <v>203175</v>
      </c>
      <c r="V22" s="272"/>
      <c r="W22" s="272"/>
      <c r="X22" s="272">
        <v>1236563</v>
      </c>
      <c r="Y22" s="272">
        <v>36212</v>
      </c>
      <c r="Z22" s="272">
        <v>8836</v>
      </c>
      <c r="AA22" s="272">
        <v>238220</v>
      </c>
      <c r="AB22" s="272">
        <v>252478</v>
      </c>
      <c r="AC22" s="272">
        <v>1661224</v>
      </c>
      <c r="AD22" s="272">
        <v>1160196</v>
      </c>
      <c r="AE22" s="272">
        <v>501028</v>
      </c>
      <c r="AF22" s="272">
        <v>27559</v>
      </c>
      <c r="AG22" s="272">
        <v>457006</v>
      </c>
      <c r="AH22" s="455">
        <f t="shared" si="3"/>
        <v>869380</v>
      </c>
      <c r="AI22" s="272">
        <v>549945</v>
      </c>
      <c r="AJ22" s="272">
        <v>319435</v>
      </c>
      <c r="AK22" s="272">
        <v>5280427</v>
      </c>
      <c r="AL22" s="455">
        <f t="shared" si="4"/>
        <v>1948400</v>
      </c>
      <c r="AM22" s="272">
        <v>1094649</v>
      </c>
      <c r="AN22" s="272">
        <v>591745</v>
      </c>
      <c r="AO22" s="272">
        <v>0</v>
      </c>
      <c r="AP22" s="272">
        <v>262006</v>
      </c>
      <c r="AQ22" s="272">
        <v>1403357</v>
      </c>
      <c r="AR22" s="272">
        <v>0</v>
      </c>
      <c r="AS22" s="272">
        <v>0</v>
      </c>
      <c r="AT22" s="272">
        <v>2349006</v>
      </c>
      <c r="AU22" s="272">
        <v>963906</v>
      </c>
      <c r="AV22" s="272">
        <v>300449</v>
      </c>
      <c r="AW22" s="272">
        <v>134298</v>
      </c>
      <c r="AX22" s="272">
        <v>1385100</v>
      </c>
      <c r="AY22" s="272">
        <v>268019</v>
      </c>
      <c r="AZ22" s="272">
        <v>57469</v>
      </c>
      <c r="BA22" s="272">
        <v>5831</v>
      </c>
      <c r="BB22" s="272">
        <v>25811</v>
      </c>
      <c r="BC22" s="272">
        <v>1521614</v>
      </c>
      <c r="BD22" s="272">
        <v>550000</v>
      </c>
      <c r="BE22" s="272">
        <v>347281</v>
      </c>
      <c r="BF22" s="272">
        <v>568070</v>
      </c>
      <c r="BG22" s="272">
        <v>39412</v>
      </c>
      <c r="BH22" s="272">
        <v>811646</v>
      </c>
      <c r="BI22" s="272">
        <v>186367</v>
      </c>
      <c r="BJ22" s="272">
        <v>2533635</v>
      </c>
      <c r="BK22" s="272">
        <v>2263826</v>
      </c>
      <c r="BL22" s="272">
        <v>0</v>
      </c>
      <c r="BM22" s="272">
        <v>0</v>
      </c>
      <c r="BN22" s="272">
        <v>2953200</v>
      </c>
      <c r="BO22" s="455">
        <f t="shared" si="5"/>
        <v>2742500</v>
      </c>
      <c r="BP22" s="455">
        <f t="shared" si="6"/>
        <v>210700</v>
      </c>
      <c r="BQ22" s="272">
        <v>210700</v>
      </c>
      <c r="BR22" s="272"/>
      <c r="BS22" s="272"/>
      <c r="BT22" s="272">
        <v>0</v>
      </c>
      <c r="BU22" s="272">
        <v>41074664</v>
      </c>
      <c r="BV22" s="272"/>
      <c r="BW22" s="272">
        <v>12121764</v>
      </c>
      <c r="BX22" s="272">
        <v>8794037</v>
      </c>
      <c r="BY22" s="272">
        <v>1301858</v>
      </c>
      <c r="BZ22" s="272">
        <v>232793</v>
      </c>
      <c r="CA22" s="272">
        <v>5222303</v>
      </c>
      <c r="CB22" s="272">
        <v>629396</v>
      </c>
      <c r="CC22" s="272">
        <v>1217163</v>
      </c>
      <c r="CD22" s="272">
        <v>1811291</v>
      </c>
      <c r="CE22" s="272">
        <v>1436589</v>
      </c>
      <c r="CF22" s="272">
        <v>1188</v>
      </c>
      <c r="CG22" s="272">
        <v>126416</v>
      </c>
      <c r="CH22" s="272">
        <v>3285889</v>
      </c>
      <c r="CI22" s="272">
        <v>2228555</v>
      </c>
      <c r="CJ22" s="455">
        <f t="shared" si="7"/>
        <v>1057334</v>
      </c>
      <c r="CK22" s="272">
        <v>4157833</v>
      </c>
      <c r="CL22" s="272">
        <v>2704824</v>
      </c>
      <c r="CM22" s="272">
        <v>119464</v>
      </c>
      <c r="CN22" s="272">
        <v>760808</v>
      </c>
      <c r="CO22" s="272">
        <v>162398</v>
      </c>
      <c r="CP22" s="272">
        <v>3351985</v>
      </c>
      <c r="CQ22" s="272">
        <v>1461174</v>
      </c>
      <c r="CR22" s="272">
        <v>1265800</v>
      </c>
      <c r="CS22" s="272">
        <v>1265800</v>
      </c>
      <c r="CT22" s="455">
        <f t="shared" si="8"/>
        <v>20597</v>
      </c>
      <c r="CU22" s="272">
        <v>20597</v>
      </c>
      <c r="CV22" s="272">
        <v>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6150972</v>
      </c>
      <c r="DD22" s="272">
        <v>3386955</v>
      </c>
      <c r="DE22" s="272">
        <v>2764017</v>
      </c>
      <c r="DF22" s="272">
        <v>0</v>
      </c>
      <c r="DG22" s="272">
        <v>0</v>
      </c>
      <c r="DH22" s="272">
        <v>0</v>
      </c>
      <c r="DI22" s="272">
        <v>873822</v>
      </c>
      <c r="DJ22" s="272">
        <v>114720</v>
      </c>
      <c r="DK22" s="272">
        <v>8528</v>
      </c>
      <c r="DL22" s="272">
        <v>750574</v>
      </c>
      <c r="DM22" s="272">
        <v>61371</v>
      </c>
      <c r="DN22" s="272">
        <v>0</v>
      </c>
      <c r="DO22" s="272">
        <v>0</v>
      </c>
      <c r="DP22" s="272">
        <v>0</v>
      </c>
      <c r="DQ22" s="272">
        <v>2220000</v>
      </c>
      <c r="DR22" s="272">
        <v>0</v>
      </c>
      <c r="DS22" s="272">
        <v>0</v>
      </c>
      <c r="DT22" s="272">
        <v>3348294</v>
      </c>
      <c r="DU22" s="272">
        <v>2129339</v>
      </c>
      <c r="DV22" s="455">
        <f t="shared" si="11"/>
        <v>0</v>
      </c>
      <c r="DW22" s="272">
        <v>0</v>
      </c>
      <c r="DX22" s="272">
        <v>0</v>
      </c>
      <c r="DY22" s="272">
        <v>0</v>
      </c>
      <c r="DZ22" s="272">
        <v>754619</v>
      </c>
      <c r="EA22" s="272">
        <v>459892</v>
      </c>
      <c r="EB22" s="272"/>
      <c r="EC22" s="272">
        <v>0</v>
      </c>
      <c r="ED22" s="272">
        <v>40956631</v>
      </c>
      <c r="EF22" s="272">
        <v>118033</v>
      </c>
      <c r="EG22" s="272">
        <v>55978</v>
      </c>
      <c r="EH22" s="272">
        <v>62055</v>
      </c>
      <c r="EI22" s="272">
        <v>-124312</v>
      </c>
      <c r="EJ22" s="272">
        <v>-322266</v>
      </c>
      <c r="EL22" s="272"/>
      <c r="EM22" s="272">
        <v>127293</v>
      </c>
      <c r="EN22" s="272">
        <v>1185664</v>
      </c>
      <c r="EO22" s="272">
        <v>6596</v>
      </c>
      <c r="EP22" s="455">
        <f t="shared" si="12"/>
        <v>438271</v>
      </c>
      <c r="EQ22" s="272">
        <v>24215470</v>
      </c>
      <c r="ER22" s="272">
        <v>-1813672</v>
      </c>
      <c r="ES22" s="272">
        <v>11089021</v>
      </c>
      <c r="ET22" s="272">
        <v>7788277</v>
      </c>
      <c r="EU22" s="272">
        <v>1612384</v>
      </c>
      <c r="EV22" s="272">
        <v>3160102</v>
      </c>
      <c r="EW22" s="455">
        <f t="shared" si="13"/>
        <v>1331854</v>
      </c>
      <c r="EX22" s="272">
        <v>1331854</v>
      </c>
      <c r="EY22" s="272">
        <v>177214</v>
      </c>
      <c r="EZ22" s="272">
        <v>1154640</v>
      </c>
      <c r="FA22" s="272">
        <v>0</v>
      </c>
      <c r="FB22" s="272"/>
      <c r="FC22" s="272">
        <v>2952129</v>
      </c>
      <c r="FD22" s="272">
        <v>2387467</v>
      </c>
      <c r="FE22" s="272">
        <v>1461174</v>
      </c>
      <c r="FF22" s="272">
        <v>3049381</v>
      </c>
      <c r="FG22" s="455">
        <f t="shared" si="14"/>
        <v>328771</v>
      </c>
      <c r="FH22" s="272">
        <v>25911109</v>
      </c>
      <c r="FI22" s="384">
        <f t="shared" si="15"/>
        <v>0.3</v>
      </c>
      <c r="FJ22" s="272">
        <v>23775871</v>
      </c>
      <c r="FK22" s="272"/>
      <c r="FL22" s="272">
        <v>17027251</v>
      </c>
      <c r="FM22" s="272">
        <v>18202823</v>
      </c>
      <c r="FN22" s="460">
        <v>0.93200000000000005</v>
      </c>
      <c r="FO22" s="388">
        <v>106.5</v>
      </c>
      <c r="FP22" s="388">
        <v>50.6</v>
      </c>
      <c r="FQ22" s="388">
        <v>7.5</v>
      </c>
      <c r="FR22" s="388">
        <v>13.5</v>
      </c>
      <c r="FS22" s="388">
        <v>13</v>
      </c>
      <c r="FT22" s="388">
        <v>9.4</v>
      </c>
      <c r="FU22" s="388">
        <v>12</v>
      </c>
      <c r="FV22" s="388">
        <v>8.9</v>
      </c>
      <c r="FW22" s="272">
        <v>27434672</v>
      </c>
      <c r="FX22" s="384">
        <f t="shared" si="16"/>
        <v>115.4</v>
      </c>
      <c r="FY22" s="272">
        <v>10872481</v>
      </c>
      <c r="FZ22" s="272">
        <v>4331815</v>
      </c>
      <c r="GA22" s="272">
        <v>983402</v>
      </c>
      <c r="GB22" s="272">
        <v>5557264</v>
      </c>
      <c r="GC22" s="272"/>
      <c r="GD22" s="272">
        <v>13373711</v>
      </c>
      <c r="GE22" s="384">
        <f t="shared" si="17"/>
        <v>56.2</v>
      </c>
      <c r="GF22" s="388">
        <v>98</v>
      </c>
      <c r="GG22" s="388">
        <v>28.1</v>
      </c>
      <c r="GH22" s="388">
        <v>94.7</v>
      </c>
      <c r="GI22" s="272">
        <v>1086</v>
      </c>
    </row>
    <row r="23" spans="2:191" x14ac:dyDescent="0.15">
      <c r="B23" s="89" t="s">
        <v>39</v>
      </c>
      <c r="C23" s="272">
        <v>20840987</v>
      </c>
      <c r="D23" s="455">
        <f t="shared" si="0"/>
        <v>8137534</v>
      </c>
      <c r="E23" s="272">
        <v>147225</v>
      </c>
      <c r="F23" s="272">
        <v>7990309</v>
      </c>
      <c r="G23" s="455">
        <f t="shared" si="1"/>
        <v>857826</v>
      </c>
      <c r="H23" s="272">
        <v>287034</v>
      </c>
      <c r="I23" s="272">
        <v>570792</v>
      </c>
      <c r="J23" s="272">
        <v>8687639</v>
      </c>
      <c r="K23" s="272">
        <v>4368909</v>
      </c>
      <c r="L23" s="272">
        <v>3463597</v>
      </c>
      <c r="M23" s="272">
        <v>783678</v>
      </c>
      <c r="N23" s="272">
        <v>891409</v>
      </c>
      <c r="O23" s="272">
        <v>2074532</v>
      </c>
      <c r="P23" s="272">
        <v>1319618</v>
      </c>
      <c r="Q23" s="272">
        <v>754914</v>
      </c>
      <c r="R23" s="272">
        <v>316266</v>
      </c>
      <c r="S23" s="272"/>
      <c r="T23" s="455">
        <f t="shared" si="2"/>
        <v>1880110</v>
      </c>
      <c r="U23" s="272">
        <v>260031</v>
      </c>
      <c r="V23" s="272"/>
      <c r="W23" s="272"/>
      <c r="X23" s="272">
        <v>1272281</v>
      </c>
      <c r="Y23" s="272">
        <v>22031</v>
      </c>
      <c r="Z23" s="272">
        <v>646</v>
      </c>
      <c r="AA23" s="272">
        <v>325121</v>
      </c>
      <c r="AB23" s="272">
        <v>608520</v>
      </c>
      <c r="AC23" s="272">
        <v>8814068</v>
      </c>
      <c r="AD23" s="272">
        <v>7726067</v>
      </c>
      <c r="AE23" s="272">
        <v>1088001</v>
      </c>
      <c r="AF23" s="272">
        <v>29232</v>
      </c>
      <c r="AG23" s="272">
        <v>382490</v>
      </c>
      <c r="AH23" s="455">
        <f t="shared" si="3"/>
        <v>1064642</v>
      </c>
      <c r="AI23" s="272">
        <v>994935</v>
      </c>
      <c r="AJ23" s="272">
        <v>69707</v>
      </c>
      <c r="AK23" s="272">
        <v>7713940</v>
      </c>
      <c r="AL23" s="455">
        <f t="shared" si="4"/>
        <v>3431392</v>
      </c>
      <c r="AM23" s="272">
        <v>2606988</v>
      </c>
      <c r="AN23" s="272">
        <v>472043</v>
      </c>
      <c r="AO23" s="272">
        <v>0</v>
      </c>
      <c r="AP23" s="272">
        <v>352361</v>
      </c>
      <c r="AQ23" s="272">
        <v>1198202</v>
      </c>
      <c r="AR23" s="272">
        <v>12878</v>
      </c>
      <c r="AS23" s="272">
        <v>257768</v>
      </c>
      <c r="AT23" s="272">
        <v>2704117</v>
      </c>
      <c r="AU23" s="272">
        <v>1111738</v>
      </c>
      <c r="AV23" s="272">
        <v>240317</v>
      </c>
      <c r="AW23" s="272">
        <v>118100</v>
      </c>
      <c r="AX23" s="272">
        <v>1592379</v>
      </c>
      <c r="AY23" s="272">
        <v>151707</v>
      </c>
      <c r="AZ23" s="272">
        <v>283050</v>
      </c>
      <c r="BA23" s="272">
        <v>236730</v>
      </c>
      <c r="BB23" s="272">
        <v>22011</v>
      </c>
      <c r="BC23" s="272">
        <v>400000</v>
      </c>
      <c r="BD23" s="272">
        <v>0</v>
      </c>
      <c r="BE23" s="272">
        <v>0</v>
      </c>
      <c r="BF23" s="272">
        <v>400000</v>
      </c>
      <c r="BG23" s="272">
        <v>0</v>
      </c>
      <c r="BH23" s="272">
        <v>1593817</v>
      </c>
      <c r="BI23" s="272">
        <v>515486</v>
      </c>
      <c r="BJ23" s="272">
        <v>1496244</v>
      </c>
      <c r="BK23" s="272">
        <v>168526</v>
      </c>
      <c r="BL23" s="272">
        <v>7284</v>
      </c>
      <c r="BM23" s="272">
        <v>0</v>
      </c>
      <c r="BN23" s="272">
        <v>3570900</v>
      </c>
      <c r="BO23" s="455">
        <f t="shared" si="5"/>
        <v>3304600</v>
      </c>
      <c r="BP23" s="455">
        <f t="shared" si="6"/>
        <v>266300</v>
      </c>
      <c r="BQ23" s="272">
        <v>266300</v>
      </c>
      <c r="BR23" s="272"/>
      <c r="BS23" s="272"/>
      <c r="BT23" s="272">
        <v>0</v>
      </c>
      <c r="BU23" s="272">
        <v>51978162</v>
      </c>
      <c r="BV23" s="272"/>
      <c r="BW23" s="272">
        <v>13490355</v>
      </c>
      <c r="BX23" s="272">
        <v>9798123</v>
      </c>
      <c r="BY23" s="272">
        <v>1246396</v>
      </c>
      <c r="BZ23" s="272">
        <v>405527</v>
      </c>
      <c r="CA23" s="272">
        <v>8081995</v>
      </c>
      <c r="CB23" s="272">
        <v>960110</v>
      </c>
      <c r="CC23" s="272">
        <v>1894553</v>
      </c>
      <c r="CD23" s="272">
        <v>1585564</v>
      </c>
      <c r="CE23" s="272">
        <v>3500933</v>
      </c>
      <c r="CF23" s="272">
        <v>391</v>
      </c>
      <c r="CG23" s="272">
        <v>139804</v>
      </c>
      <c r="CH23" s="272">
        <v>4741037</v>
      </c>
      <c r="CI23" s="272">
        <v>3002827</v>
      </c>
      <c r="CJ23" s="455">
        <f t="shared" si="7"/>
        <v>1738210</v>
      </c>
      <c r="CK23" s="272">
        <v>5574870</v>
      </c>
      <c r="CL23" s="272">
        <v>3628246</v>
      </c>
      <c r="CM23" s="272">
        <v>288890</v>
      </c>
      <c r="CN23" s="272">
        <v>802984</v>
      </c>
      <c r="CO23" s="272">
        <v>386433</v>
      </c>
      <c r="CP23" s="272">
        <v>5352337</v>
      </c>
      <c r="CQ23" s="272">
        <v>1864785</v>
      </c>
      <c r="CR23" s="272">
        <v>1800375</v>
      </c>
      <c r="CS23" s="272">
        <v>1775732</v>
      </c>
      <c r="CT23" s="455">
        <f t="shared" si="8"/>
        <v>978285</v>
      </c>
      <c r="CU23" s="272">
        <v>13000</v>
      </c>
      <c r="CV23" s="272">
        <v>965285</v>
      </c>
      <c r="CW23" s="455">
        <f t="shared" si="9"/>
        <v>962000</v>
      </c>
      <c r="CX23" s="272">
        <v>0</v>
      </c>
      <c r="CY23" s="272">
        <v>962000</v>
      </c>
      <c r="CZ23" s="455">
        <f t="shared" si="10"/>
        <v>0</v>
      </c>
      <c r="DA23" s="272">
        <v>0</v>
      </c>
      <c r="DB23" s="272">
        <v>0</v>
      </c>
      <c r="DC23" s="272">
        <v>8341540</v>
      </c>
      <c r="DD23" s="272">
        <v>3021963</v>
      </c>
      <c r="DE23" s="272">
        <v>5254068</v>
      </c>
      <c r="DF23" s="272">
        <v>65509</v>
      </c>
      <c r="DG23" s="272">
        <v>0</v>
      </c>
      <c r="DH23" s="272">
        <v>101077</v>
      </c>
      <c r="DI23" s="272">
        <v>1432950</v>
      </c>
      <c r="DJ23" s="272">
        <v>260910</v>
      </c>
      <c r="DK23" s="272">
        <v>2030</v>
      </c>
      <c r="DL23" s="272">
        <v>1170010</v>
      </c>
      <c r="DM23" s="272">
        <v>0</v>
      </c>
      <c r="DN23" s="272">
        <v>0</v>
      </c>
      <c r="DO23" s="272">
        <v>0</v>
      </c>
      <c r="DP23" s="272">
        <v>0</v>
      </c>
      <c r="DQ23" s="272">
        <v>661700</v>
      </c>
      <c r="DR23" s="272">
        <v>600000</v>
      </c>
      <c r="DS23" s="272">
        <v>600000</v>
      </c>
      <c r="DT23" s="272">
        <v>2995338</v>
      </c>
      <c r="DU23" s="272">
        <v>1446770</v>
      </c>
      <c r="DV23" s="455">
        <f t="shared" si="11"/>
        <v>31819</v>
      </c>
      <c r="DW23" s="272">
        <v>31819</v>
      </c>
      <c r="DX23" s="272">
        <v>0</v>
      </c>
      <c r="DY23" s="272">
        <v>0</v>
      </c>
      <c r="DZ23" s="272">
        <v>827966</v>
      </c>
      <c r="EA23" s="272">
        <v>688783</v>
      </c>
      <c r="EB23" s="272"/>
      <c r="EC23" s="272">
        <v>0</v>
      </c>
      <c r="ED23" s="272">
        <v>51159632</v>
      </c>
      <c r="EF23" s="272">
        <v>818530</v>
      </c>
      <c r="EG23" s="272">
        <v>214170</v>
      </c>
      <c r="EH23" s="272">
        <v>604360</v>
      </c>
      <c r="EI23" s="272">
        <v>88874</v>
      </c>
      <c r="EJ23" s="272">
        <v>349784</v>
      </c>
      <c r="EL23" s="272"/>
      <c r="EM23" s="272">
        <v>172696</v>
      </c>
      <c r="EN23" s="272"/>
      <c r="EO23" s="272">
        <v>275385</v>
      </c>
      <c r="EP23" s="455">
        <f t="shared" si="12"/>
        <v>1072294</v>
      </c>
      <c r="EQ23" s="272">
        <v>32746951</v>
      </c>
      <c r="ER23" s="272">
        <v>-1326979</v>
      </c>
      <c r="ES23" s="272">
        <v>12103502</v>
      </c>
      <c r="ET23" s="272">
        <v>8791658</v>
      </c>
      <c r="EU23" s="272">
        <v>2787401</v>
      </c>
      <c r="EV23" s="272">
        <v>4253294</v>
      </c>
      <c r="EW23" s="455">
        <f t="shared" si="13"/>
        <v>2168014</v>
      </c>
      <c r="EX23" s="272">
        <v>2158370</v>
      </c>
      <c r="EY23" s="272">
        <v>289569</v>
      </c>
      <c r="EZ23" s="272">
        <v>1819810</v>
      </c>
      <c r="FA23" s="272">
        <v>9644</v>
      </c>
      <c r="FB23" s="272"/>
      <c r="FC23" s="272">
        <v>4343038</v>
      </c>
      <c r="FD23" s="272">
        <v>4171848</v>
      </c>
      <c r="FE23" s="272">
        <v>1864785</v>
      </c>
      <c r="FF23" s="272">
        <v>2781038</v>
      </c>
      <c r="FG23" s="455">
        <f t="shared" si="14"/>
        <v>647265</v>
      </c>
      <c r="FH23" s="272">
        <v>33255400</v>
      </c>
      <c r="FI23" s="384">
        <f t="shared" si="15"/>
        <v>2.1</v>
      </c>
      <c r="FJ23" s="272">
        <v>29479582</v>
      </c>
      <c r="FK23" s="272"/>
      <c r="FL23" s="272">
        <v>16404524</v>
      </c>
      <c r="FM23" s="272">
        <v>24143259</v>
      </c>
      <c r="FN23" s="460">
        <v>0.70599999999999996</v>
      </c>
      <c r="FO23" s="388">
        <v>93</v>
      </c>
      <c r="FP23" s="388">
        <v>37.799999999999997</v>
      </c>
      <c r="FQ23" s="388">
        <v>9.4</v>
      </c>
      <c r="FR23" s="388">
        <v>14.3</v>
      </c>
      <c r="FS23" s="388">
        <v>13</v>
      </c>
      <c r="FT23" s="388">
        <v>11.6</v>
      </c>
      <c r="FU23" s="388">
        <v>5.7</v>
      </c>
      <c r="FV23" s="388">
        <v>9.1</v>
      </c>
      <c r="FW23" s="272">
        <v>43837857</v>
      </c>
      <c r="FX23" s="384">
        <f t="shared" si="16"/>
        <v>148.69999999999999</v>
      </c>
      <c r="FY23" s="272">
        <v>13529373</v>
      </c>
      <c r="FZ23" s="272">
        <v>1027140</v>
      </c>
      <c r="GA23" s="272">
        <v>1208950</v>
      </c>
      <c r="GB23" s="272">
        <v>11293283</v>
      </c>
      <c r="GC23" s="272"/>
      <c r="GD23" s="272">
        <v>6052815</v>
      </c>
      <c r="GE23" s="384">
        <f t="shared" si="17"/>
        <v>20.5</v>
      </c>
      <c r="GF23" s="388">
        <v>97.3</v>
      </c>
      <c r="GG23" s="388">
        <v>25.4</v>
      </c>
      <c r="GH23" s="388">
        <v>92.8</v>
      </c>
      <c r="GI23" s="272">
        <v>1242</v>
      </c>
    </row>
    <row r="24" spans="2:191" x14ac:dyDescent="0.15">
      <c r="B24" s="89" t="s">
        <v>41</v>
      </c>
      <c r="C24" s="272">
        <v>24042627</v>
      </c>
      <c r="D24" s="455">
        <f t="shared" si="0"/>
        <v>10990564</v>
      </c>
      <c r="E24" s="272">
        <v>116506</v>
      </c>
      <c r="F24" s="272">
        <v>10874058</v>
      </c>
      <c r="G24" s="455">
        <f t="shared" si="1"/>
        <v>948409</v>
      </c>
      <c r="H24" s="272">
        <v>288804</v>
      </c>
      <c r="I24" s="272">
        <v>659605</v>
      </c>
      <c r="J24" s="272">
        <v>8752768</v>
      </c>
      <c r="K24" s="272">
        <v>4494007</v>
      </c>
      <c r="L24" s="272">
        <v>3620236</v>
      </c>
      <c r="M24" s="272">
        <v>590768</v>
      </c>
      <c r="N24" s="272">
        <v>606863</v>
      </c>
      <c r="O24" s="272">
        <v>2440725</v>
      </c>
      <c r="P24" s="272">
        <v>1635011</v>
      </c>
      <c r="Q24" s="272">
        <v>805714</v>
      </c>
      <c r="R24" s="272">
        <v>278093</v>
      </c>
      <c r="S24" s="272"/>
      <c r="T24" s="455">
        <f t="shared" si="2"/>
        <v>1692320</v>
      </c>
      <c r="U24" s="272">
        <v>345057</v>
      </c>
      <c r="V24" s="272"/>
      <c r="W24" s="272"/>
      <c r="X24" s="272">
        <v>1045043</v>
      </c>
      <c r="Y24" s="272">
        <v>2480</v>
      </c>
      <c r="Z24" s="272">
        <v>13569</v>
      </c>
      <c r="AA24" s="272">
        <v>286171</v>
      </c>
      <c r="AB24" s="272">
        <v>896300</v>
      </c>
      <c r="AC24" s="272">
        <v>497076</v>
      </c>
      <c r="AD24" s="272">
        <v>333049</v>
      </c>
      <c r="AE24" s="272">
        <v>164027</v>
      </c>
      <c r="AF24" s="272">
        <v>27723</v>
      </c>
      <c r="AG24" s="272">
        <v>313717</v>
      </c>
      <c r="AH24" s="455">
        <f t="shared" si="3"/>
        <v>751448</v>
      </c>
      <c r="AI24" s="272">
        <v>600147</v>
      </c>
      <c r="AJ24" s="272">
        <v>151301</v>
      </c>
      <c r="AK24" s="272">
        <v>4488419</v>
      </c>
      <c r="AL24" s="455">
        <f t="shared" si="4"/>
        <v>1176431</v>
      </c>
      <c r="AM24" s="272">
        <v>582292</v>
      </c>
      <c r="AN24" s="272">
        <v>322961</v>
      </c>
      <c r="AO24" s="272">
        <v>0</v>
      </c>
      <c r="AP24" s="272">
        <v>271178</v>
      </c>
      <c r="AQ24" s="272">
        <v>1409596</v>
      </c>
      <c r="AR24" s="272">
        <v>4596</v>
      </c>
      <c r="AS24" s="272">
        <v>0</v>
      </c>
      <c r="AT24" s="272">
        <v>1824535</v>
      </c>
      <c r="AU24" s="272">
        <v>704860</v>
      </c>
      <c r="AV24" s="272">
        <v>114199</v>
      </c>
      <c r="AW24" s="272">
        <v>1204</v>
      </c>
      <c r="AX24" s="272">
        <v>1119675</v>
      </c>
      <c r="AY24" s="272">
        <v>57430</v>
      </c>
      <c r="AZ24" s="272">
        <v>128763</v>
      </c>
      <c r="BA24" s="272">
        <v>7014</v>
      </c>
      <c r="BB24" s="272">
        <v>362543</v>
      </c>
      <c r="BC24" s="272">
        <v>3956603</v>
      </c>
      <c r="BD24" s="272">
        <v>544690</v>
      </c>
      <c r="BE24" s="272">
        <v>551472</v>
      </c>
      <c r="BF24" s="272">
        <v>2784945</v>
      </c>
      <c r="BG24" s="272">
        <v>0</v>
      </c>
      <c r="BH24" s="272">
        <v>998651</v>
      </c>
      <c r="BI24" s="272">
        <v>277515</v>
      </c>
      <c r="BJ24" s="272">
        <v>7496859</v>
      </c>
      <c r="BK24" s="272">
        <v>6154602</v>
      </c>
      <c r="BL24" s="272">
        <v>0</v>
      </c>
      <c r="BM24" s="272">
        <v>1000000</v>
      </c>
      <c r="BN24" s="272">
        <v>2287700</v>
      </c>
      <c r="BO24" s="455">
        <f t="shared" si="5"/>
        <v>1974000</v>
      </c>
      <c r="BP24" s="455">
        <f t="shared" si="6"/>
        <v>313700</v>
      </c>
      <c r="BQ24" s="272">
        <v>313700</v>
      </c>
      <c r="BR24" s="272"/>
      <c r="BS24" s="272"/>
      <c r="BT24" s="272">
        <v>0</v>
      </c>
      <c r="BU24" s="272">
        <v>50043377</v>
      </c>
      <c r="BV24" s="272"/>
      <c r="BW24" s="272">
        <v>11913225</v>
      </c>
      <c r="BX24" s="272">
        <v>8637505</v>
      </c>
      <c r="BY24" s="272">
        <v>576976</v>
      </c>
      <c r="BZ24" s="272">
        <v>766180</v>
      </c>
      <c r="CA24" s="272">
        <v>2920611</v>
      </c>
      <c r="CB24" s="272">
        <v>384502</v>
      </c>
      <c r="CC24" s="272">
        <v>1153708</v>
      </c>
      <c r="CD24" s="272">
        <v>574126</v>
      </c>
      <c r="CE24" s="272">
        <v>770526</v>
      </c>
      <c r="CF24" s="272">
        <v>0</v>
      </c>
      <c r="CG24" s="272">
        <v>37749</v>
      </c>
      <c r="CH24" s="272">
        <v>3418619</v>
      </c>
      <c r="CI24" s="272">
        <v>2213321</v>
      </c>
      <c r="CJ24" s="455">
        <f t="shared" si="7"/>
        <v>1205298</v>
      </c>
      <c r="CK24" s="272">
        <v>6985389</v>
      </c>
      <c r="CL24" s="272">
        <v>4418200</v>
      </c>
      <c r="CM24" s="272">
        <v>223283</v>
      </c>
      <c r="CN24" s="272">
        <v>1326561</v>
      </c>
      <c r="CO24" s="272">
        <v>257439</v>
      </c>
      <c r="CP24" s="272">
        <v>4026719</v>
      </c>
      <c r="CQ24" s="272">
        <v>90871</v>
      </c>
      <c r="CR24" s="272">
        <v>1761894</v>
      </c>
      <c r="CS24" s="272">
        <v>944677</v>
      </c>
      <c r="CT24" s="455">
        <f t="shared" si="8"/>
        <v>1545482</v>
      </c>
      <c r="CU24" s="272">
        <v>813779</v>
      </c>
      <c r="CV24" s="272">
        <v>731703</v>
      </c>
      <c r="CW24" s="455">
        <f t="shared" si="9"/>
        <v>1259973</v>
      </c>
      <c r="CX24" s="272">
        <v>804865</v>
      </c>
      <c r="CY24" s="272">
        <v>455108</v>
      </c>
      <c r="CZ24" s="455">
        <f t="shared" si="10"/>
        <v>0</v>
      </c>
      <c r="DA24" s="272">
        <v>0</v>
      </c>
      <c r="DB24" s="272">
        <v>0</v>
      </c>
      <c r="DC24" s="272">
        <v>5945471</v>
      </c>
      <c r="DD24" s="272">
        <v>2985328</v>
      </c>
      <c r="DE24" s="272">
        <v>2959151</v>
      </c>
      <c r="DF24" s="272">
        <v>992</v>
      </c>
      <c r="DG24" s="272">
        <v>0</v>
      </c>
      <c r="DH24" s="272">
        <v>136421</v>
      </c>
      <c r="DI24" s="272">
        <v>1906783</v>
      </c>
      <c r="DJ24" s="272">
        <v>314922</v>
      </c>
      <c r="DK24" s="272">
        <v>8481</v>
      </c>
      <c r="DL24" s="272">
        <v>1583380</v>
      </c>
      <c r="DM24" s="272">
        <v>25540</v>
      </c>
      <c r="DN24" s="272">
        <v>25540</v>
      </c>
      <c r="DO24" s="272">
        <v>540</v>
      </c>
      <c r="DP24" s="272">
        <v>25000</v>
      </c>
      <c r="DQ24" s="272">
        <v>6036399</v>
      </c>
      <c r="DR24" s="272">
        <v>17429</v>
      </c>
      <c r="DS24" s="272">
        <v>0</v>
      </c>
      <c r="DT24" s="272">
        <v>3798036</v>
      </c>
      <c r="DU24" s="272">
        <v>1331000</v>
      </c>
      <c r="DV24" s="455">
        <f t="shared" si="11"/>
        <v>0</v>
      </c>
      <c r="DW24" s="272">
        <v>0</v>
      </c>
      <c r="DX24" s="272">
        <v>0</v>
      </c>
      <c r="DY24" s="272">
        <v>0</v>
      </c>
      <c r="DZ24" s="272">
        <v>1328046</v>
      </c>
      <c r="EA24" s="272">
        <v>518931</v>
      </c>
      <c r="EB24" s="272"/>
      <c r="EC24" s="272">
        <v>0</v>
      </c>
      <c r="ED24" s="272">
        <v>47370652</v>
      </c>
      <c r="EF24" s="272">
        <v>2672725</v>
      </c>
      <c r="EG24" s="272">
        <v>1862161</v>
      </c>
      <c r="EH24" s="272">
        <v>810564</v>
      </c>
      <c r="EI24" s="272">
        <v>133049</v>
      </c>
      <c r="EJ24" s="272">
        <v>-96719</v>
      </c>
      <c r="EL24" s="272"/>
      <c r="EM24" s="272">
        <v>121487</v>
      </c>
      <c r="EN24" s="272">
        <v>2334463</v>
      </c>
      <c r="EO24" s="272">
        <v>24830</v>
      </c>
      <c r="EP24" s="455">
        <f t="shared" si="12"/>
        <v>1803185</v>
      </c>
      <c r="EQ24" s="272">
        <v>27434139</v>
      </c>
      <c r="ER24" s="272">
        <v>-4448455</v>
      </c>
      <c r="ES24" s="272">
        <v>11188281</v>
      </c>
      <c r="ET24" s="272">
        <v>8044167</v>
      </c>
      <c r="EU24" s="272">
        <v>887212</v>
      </c>
      <c r="EV24" s="272">
        <v>3314910</v>
      </c>
      <c r="EW24" s="455">
        <f t="shared" si="13"/>
        <v>1331376</v>
      </c>
      <c r="EX24" s="272">
        <v>1203993</v>
      </c>
      <c r="EY24" s="272">
        <v>112223</v>
      </c>
      <c r="EZ24" s="272">
        <v>1090778</v>
      </c>
      <c r="FA24" s="272">
        <v>127383</v>
      </c>
      <c r="FB24" s="272"/>
      <c r="FC24" s="272">
        <v>5086422</v>
      </c>
      <c r="FD24" s="272">
        <v>3305006</v>
      </c>
      <c r="FE24" s="272">
        <v>90871</v>
      </c>
      <c r="FF24" s="272">
        <v>3171158</v>
      </c>
      <c r="FG24" s="455">
        <f t="shared" si="14"/>
        <v>927204</v>
      </c>
      <c r="FH24" s="272">
        <v>29211569</v>
      </c>
      <c r="FI24" s="384">
        <f t="shared" si="15"/>
        <v>3.2</v>
      </c>
      <c r="FJ24" s="272">
        <v>25181563</v>
      </c>
      <c r="FK24" s="272"/>
      <c r="FL24" s="272">
        <v>18713808</v>
      </c>
      <c r="FM24" s="272">
        <v>19056856</v>
      </c>
      <c r="FN24" s="460">
        <v>1.0269999999999999</v>
      </c>
      <c r="FO24" s="388">
        <v>92.6</v>
      </c>
      <c r="FP24" s="388">
        <v>43.9</v>
      </c>
      <c r="FQ24" s="388">
        <v>3.5</v>
      </c>
      <c r="FR24" s="388">
        <v>13.3</v>
      </c>
      <c r="FS24" s="388">
        <v>17.7</v>
      </c>
      <c r="FT24" s="388">
        <v>8.8000000000000007</v>
      </c>
      <c r="FU24" s="388">
        <v>4.4000000000000004</v>
      </c>
      <c r="FV24" s="388">
        <v>8</v>
      </c>
      <c r="FW24" s="272">
        <v>28217746</v>
      </c>
      <c r="FX24" s="384">
        <f t="shared" si="16"/>
        <v>112.1</v>
      </c>
      <c r="FY24" s="272">
        <v>28431989</v>
      </c>
      <c r="FZ24" s="272">
        <v>7916622</v>
      </c>
      <c r="GA24" s="272">
        <v>2504927</v>
      </c>
      <c r="GB24" s="272">
        <v>18010440</v>
      </c>
      <c r="GC24" s="272"/>
      <c r="GD24" s="272">
        <v>17575098</v>
      </c>
      <c r="GE24" s="384">
        <f t="shared" si="17"/>
        <v>69.8</v>
      </c>
      <c r="GF24" s="388">
        <v>98.2</v>
      </c>
      <c r="GG24" s="388">
        <v>13.4</v>
      </c>
      <c r="GH24" s="388">
        <v>91.1</v>
      </c>
      <c r="GI24" s="272">
        <v>1174</v>
      </c>
    </row>
    <row r="25" spans="2:191" x14ac:dyDescent="0.15">
      <c r="B25" s="89" t="s">
        <v>43</v>
      </c>
      <c r="C25" s="272">
        <v>10126592</v>
      </c>
      <c r="D25" s="455">
        <f t="shared" si="0"/>
        <v>3755911</v>
      </c>
      <c r="E25" s="272">
        <v>71265</v>
      </c>
      <c r="F25" s="272">
        <v>3684646</v>
      </c>
      <c r="G25" s="455">
        <f t="shared" si="1"/>
        <v>585530</v>
      </c>
      <c r="H25" s="272">
        <v>119115</v>
      </c>
      <c r="I25" s="272">
        <v>466415</v>
      </c>
      <c r="J25" s="272">
        <v>4334742</v>
      </c>
      <c r="K25" s="272">
        <v>2039929</v>
      </c>
      <c r="L25" s="272">
        <v>1477190</v>
      </c>
      <c r="M25" s="272">
        <v>787437</v>
      </c>
      <c r="N25" s="272">
        <v>406727</v>
      </c>
      <c r="O25" s="272">
        <v>989754</v>
      </c>
      <c r="P25" s="272">
        <v>649764</v>
      </c>
      <c r="Q25" s="272">
        <v>339990</v>
      </c>
      <c r="R25" s="272">
        <v>159473</v>
      </c>
      <c r="S25" s="272"/>
      <c r="T25" s="455">
        <f t="shared" si="2"/>
        <v>973261</v>
      </c>
      <c r="U25" s="272">
        <v>129814</v>
      </c>
      <c r="V25" s="272"/>
      <c r="W25" s="272"/>
      <c r="X25" s="272">
        <v>676757</v>
      </c>
      <c r="Y25" s="272">
        <v>0</v>
      </c>
      <c r="Z25" s="272">
        <v>2491</v>
      </c>
      <c r="AA25" s="272">
        <v>164199</v>
      </c>
      <c r="AB25" s="272">
        <v>298244</v>
      </c>
      <c r="AC25" s="272">
        <v>5127260</v>
      </c>
      <c r="AD25" s="272">
        <v>4687240</v>
      </c>
      <c r="AE25" s="272">
        <v>440020</v>
      </c>
      <c r="AF25" s="272">
        <v>15892</v>
      </c>
      <c r="AG25" s="272">
        <v>296601</v>
      </c>
      <c r="AH25" s="455">
        <f t="shared" si="3"/>
        <v>440692</v>
      </c>
      <c r="AI25" s="272">
        <v>362383</v>
      </c>
      <c r="AJ25" s="272">
        <v>78309</v>
      </c>
      <c r="AK25" s="272">
        <v>3178685</v>
      </c>
      <c r="AL25" s="455">
        <f t="shared" si="4"/>
        <v>1331362</v>
      </c>
      <c r="AM25" s="272">
        <v>783005</v>
      </c>
      <c r="AN25" s="272">
        <v>335118</v>
      </c>
      <c r="AO25" s="272">
        <v>0</v>
      </c>
      <c r="AP25" s="272">
        <v>213239</v>
      </c>
      <c r="AQ25" s="272">
        <v>807660</v>
      </c>
      <c r="AR25" s="272">
        <v>6684</v>
      </c>
      <c r="AS25" s="272">
        <v>0</v>
      </c>
      <c r="AT25" s="272">
        <v>1175198</v>
      </c>
      <c r="AU25" s="272">
        <v>492007</v>
      </c>
      <c r="AV25" s="272">
        <v>125415</v>
      </c>
      <c r="AW25" s="272">
        <v>40034</v>
      </c>
      <c r="AX25" s="272">
        <v>683191</v>
      </c>
      <c r="AY25" s="272">
        <v>49921</v>
      </c>
      <c r="AZ25" s="272">
        <v>254802</v>
      </c>
      <c r="BA25" s="272">
        <v>197389</v>
      </c>
      <c r="BB25" s="272">
        <v>187058</v>
      </c>
      <c r="BC25" s="272">
        <v>87736</v>
      </c>
      <c r="BD25" s="272">
        <v>0</v>
      </c>
      <c r="BE25" s="272">
        <v>78796</v>
      </c>
      <c r="BF25" s="272">
        <v>8940</v>
      </c>
      <c r="BG25" s="272">
        <v>0</v>
      </c>
      <c r="BH25" s="272">
        <v>363205</v>
      </c>
      <c r="BI25" s="272">
        <v>0</v>
      </c>
      <c r="BJ25" s="272">
        <v>1300763</v>
      </c>
      <c r="BK25" s="272">
        <v>1062817</v>
      </c>
      <c r="BL25" s="272">
        <v>0</v>
      </c>
      <c r="BM25" s="272">
        <v>0</v>
      </c>
      <c r="BN25" s="272">
        <v>867900</v>
      </c>
      <c r="BO25" s="455">
        <f t="shared" si="5"/>
        <v>737200</v>
      </c>
      <c r="BP25" s="455">
        <f t="shared" si="6"/>
        <v>130700</v>
      </c>
      <c r="BQ25" s="272">
        <v>130700</v>
      </c>
      <c r="BR25" s="272"/>
      <c r="BS25" s="272"/>
      <c r="BT25" s="272">
        <v>0</v>
      </c>
      <c r="BU25" s="272">
        <v>24853362</v>
      </c>
      <c r="BV25" s="272"/>
      <c r="BW25" s="272">
        <v>5008011</v>
      </c>
      <c r="BX25" s="272">
        <v>3563384</v>
      </c>
      <c r="BY25" s="272">
        <v>418895</v>
      </c>
      <c r="BZ25" s="272">
        <v>115981</v>
      </c>
      <c r="CA25" s="272">
        <v>3249130</v>
      </c>
      <c r="CB25" s="272">
        <v>367241</v>
      </c>
      <c r="CC25" s="272">
        <v>944298</v>
      </c>
      <c r="CD25" s="272">
        <v>797312</v>
      </c>
      <c r="CE25" s="272">
        <v>1046102</v>
      </c>
      <c r="CF25" s="272">
        <v>0</v>
      </c>
      <c r="CG25" s="272">
        <v>93442</v>
      </c>
      <c r="CH25" s="272">
        <v>1866373</v>
      </c>
      <c r="CI25" s="272">
        <v>1155671</v>
      </c>
      <c r="CJ25" s="455">
        <f t="shared" si="7"/>
        <v>710702</v>
      </c>
      <c r="CK25" s="272">
        <v>2723004</v>
      </c>
      <c r="CL25" s="272">
        <v>1467697</v>
      </c>
      <c r="CM25" s="272">
        <v>161727</v>
      </c>
      <c r="CN25" s="272">
        <v>481499</v>
      </c>
      <c r="CO25" s="272">
        <v>189116</v>
      </c>
      <c r="CP25" s="272">
        <v>4068299</v>
      </c>
      <c r="CQ25" s="272">
        <v>2215316</v>
      </c>
      <c r="CR25" s="272">
        <v>718947</v>
      </c>
      <c r="CS25" s="272">
        <v>404502</v>
      </c>
      <c r="CT25" s="455">
        <f t="shared" si="8"/>
        <v>261156</v>
      </c>
      <c r="CU25" s="272">
        <v>195931</v>
      </c>
      <c r="CV25" s="272">
        <v>65225</v>
      </c>
      <c r="CW25" s="455">
        <f t="shared" si="9"/>
        <v>253540</v>
      </c>
      <c r="CX25" s="272">
        <v>192097</v>
      </c>
      <c r="CY25" s="272">
        <v>61443</v>
      </c>
      <c r="CZ25" s="455">
        <f t="shared" si="10"/>
        <v>0</v>
      </c>
      <c r="DA25" s="272">
        <v>0</v>
      </c>
      <c r="DB25" s="272">
        <v>0</v>
      </c>
      <c r="DC25" s="272">
        <v>3752228</v>
      </c>
      <c r="DD25" s="272">
        <v>1623121</v>
      </c>
      <c r="DE25" s="272">
        <v>2129107</v>
      </c>
      <c r="DF25" s="272">
        <v>0</v>
      </c>
      <c r="DG25" s="272">
        <v>0</v>
      </c>
      <c r="DH25" s="272">
        <v>21628</v>
      </c>
      <c r="DI25" s="272">
        <v>620311</v>
      </c>
      <c r="DJ25" s="272">
        <v>18124</v>
      </c>
      <c r="DK25" s="272">
        <v>1314</v>
      </c>
      <c r="DL25" s="272">
        <v>600873</v>
      </c>
      <c r="DM25" s="272">
        <v>0</v>
      </c>
      <c r="DN25" s="272">
        <v>0</v>
      </c>
      <c r="DO25" s="272">
        <v>0</v>
      </c>
      <c r="DP25" s="272">
        <v>0</v>
      </c>
      <c r="DQ25" s="272">
        <v>1049150</v>
      </c>
      <c r="DR25" s="272">
        <v>0</v>
      </c>
      <c r="DS25" s="272">
        <v>0</v>
      </c>
      <c r="DT25" s="272">
        <v>2263883</v>
      </c>
      <c r="DU25" s="272">
        <v>1313000</v>
      </c>
      <c r="DV25" s="455">
        <f t="shared" si="11"/>
        <v>0</v>
      </c>
      <c r="DW25" s="272">
        <v>0</v>
      </c>
      <c r="DX25" s="272">
        <v>0</v>
      </c>
      <c r="DY25" s="272">
        <v>0</v>
      </c>
      <c r="DZ25" s="272">
        <v>602169</v>
      </c>
      <c r="EA25" s="272">
        <v>345139</v>
      </c>
      <c r="EB25" s="272"/>
      <c r="EC25" s="272">
        <v>0</v>
      </c>
      <c r="ED25" s="272">
        <v>24811133</v>
      </c>
      <c r="EF25" s="272">
        <v>42229</v>
      </c>
      <c r="EG25" s="272">
        <v>24467</v>
      </c>
      <c r="EH25" s="272">
        <v>17762</v>
      </c>
      <c r="EI25" s="272">
        <v>16277</v>
      </c>
      <c r="EJ25" s="272">
        <v>134677</v>
      </c>
      <c r="EL25" s="272"/>
      <c r="EM25" s="272">
        <v>77805</v>
      </c>
      <c r="EN25" s="272">
        <v>78796</v>
      </c>
      <c r="EO25" s="272">
        <v>204364</v>
      </c>
      <c r="EP25" s="455">
        <f t="shared" si="12"/>
        <v>364692</v>
      </c>
      <c r="EQ25" s="272">
        <v>16700722</v>
      </c>
      <c r="ER25" s="272">
        <v>-762660</v>
      </c>
      <c r="ES25" s="272">
        <v>4574510</v>
      </c>
      <c r="ET25" s="272">
        <v>3129883</v>
      </c>
      <c r="EU25" s="272">
        <v>1046435</v>
      </c>
      <c r="EV25" s="272">
        <v>1816652</v>
      </c>
      <c r="EW25" s="455">
        <f t="shared" si="13"/>
        <v>1941615</v>
      </c>
      <c r="EX25" s="272">
        <v>1941267</v>
      </c>
      <c r="EY25" s="272">
        <v>128775</v>
      </c>
      <c r="EZ25" s="272">
        <v>1812492</v>
      </c>
      <c r="FA25" s="272">
        <v>348</v>
      </c>
      <c r="FB25" s="272"/>
      <c r="FC25" s="272">
        <v>2213528</v>
      </c>
      <c r="FD25" s="272">
        <v>3376503</v>
      </c>
      <c r="FE25" s="272">
        <v>2215316</v>
      </c>
      <c r="FF25" s="272">
        <v>2104513</v>
      </c>
      <c r="FG25" s="455">
        <f t="shared" si="14"/>
        <v>347397</v>
      </c>
      <c r="FH25" s="272">
        <v>17421153</v>
      </c>
      <c r="FI25" s="384">
        <f t="shared" si="15"/>
        <v>0.1</v>
      </c>
      <c r="FJ25" s="272">
        <v>15207937</v>
      </c>
      <c r="FK25" s="272"/>
      <c r="FL25" s="272">
        <v>7934795</v>
      </c>
      <c r="FM25" s="272">
        <v>12628661</v>
      </c>
      <c r="FN25" s="460">
        <v>0.67100000000000004</v>
      </c>
      <c r="FO25" s="388">
        <v>88.6</v>
      </c>
      <c r="FP25" s="388">
        <v>28.1</v>
      </c>
      <c r="FQ25" s="388">
        <v>6.8</v>
      </c>
      <c r="FR25" s="388">
        <v>11.2</v>
      </c>
      <c r="FS25" s="388">
        <v>13.6</v>
      </c>
      <c r="FT25" s="388">
        <v>20.100000000000001</v>
      </c>
      <c r="FU25" s="388">
        <v>7.6</v>
      </c>
      <c r="FV25" s="388">
        <v>6.4</v>
      </c>
      <c r="FW25" s="272">
        <v>20580050</v>
      </c>
      <c r="FX25" s="384">
        <f t="shared" si="16"/>
        <v>135.30000000000001</v>
      </c>
      <c r="FY25" s="272">
        <v>7277962</v>
      </c>
      <c r="FZ25" s="272">
        <v>2292587</v>
      </c>
      <c r="GA25" s="272">
        <v>153997</v>
      </c>
      <c r="GB25" s="272">
        <v>4831378</v>
      </c>
      <c r="GC25" s="272"/>
      <c r="GD25" s="272">
        <v>2345481</v>
      </c>
      <c r="GE25" s="384">
        <f t="shared" si="17"/>
        <v>15.4</v>
      </c>
      <c r="GF25" s="388">
        <v>96.8</v>
      </c>
      <c r="GG25" s="388">
        <v>21.9</v>
      </c>
      <c r="GH25" s="388">
        <v>89.4</v>
      </c>
      <c r="GI25" s="272">
        <v>474</v>
      </c>
    </row>
    <row r="26" spans="2:191" x14ac:dyDescent="0.15">
      <c r="B26" s="89" t="s">
        <v>45</v>
      </c>
      <c r="C26" s="272">
        <v>14129228</v>
      </c>
      <c r="D26" s="455">
        <f t="shared" si="0"/>
        <v>6093995</v>
      </c>
      <c r="E26" s="272">
        <v>109552</v>
      </c>
      <c r="F26" s="272">
        <v>5984443</v>
      </c>
      <c r="G26" s="455">
        <f t="shared" si="1"/>
        <v>740974</v>
      </c>
      <c r="H26" s="272">
        <v>163819</v>
      </c>
      <c r="I26" s="272">
        <v>577155</v>
      </c>
      <c r="J26" s="272">
        <v>5269337</v>
      </c>
      <c r="K26" s="272">
        <v>2635243</v>
      </c>
      <c r="L26" s="272">
        <v>2098150</v>
      </c>
      <c r="M26" s="272">
        <v>508237</v>
      </c>
      <c r="N26" s="272">
        <v>593214</v>
      </c>
      <c r="O26" s="272">
        <v>1316832</v>
      </c>
      <c r="P26" s="272">
        <v>870788</v>
      </c>
      <c r="Q26" s="272">
        <v>446044</v>
      </c>
      <c r="R26" s="272">
        <v>224693</v>
      </c>
      <c r="S26" s="272"/>
      <c r="T26" s="455">
        <f t="shared" si="2"/>
        <v>1376585</v>
      </c>
      <c r="U26" s="272">
        <v>208586</v>
      </c>
      <c r="V26" s="272"/>
      <c r="W26" s="272"/>
      <c r="X26" s="272">
        <v>936516</v>
      </c>
      <c r="Y26" s="272">
        <v>0</v>
      </c>
      <c r="Z26" s="272">
        <v>180</v>
      </c>
      <c r="AA26" s="272">
        <v>231303</v>
      </c>
      <c r="AB26" s="272">
        <v>471926</v>
      </c>
      <c r="AC26" s="272">
        <v>7323487</v>
      </c>
      <c r="AD26" s="272">
        <v>6902484</v>
      </c>
      <c r="AE26" s="272">
        <v>421003</v>
      </c>
      <c r="AF26" s="272">
        <v>24616</v>
      </c>
      <c r="AG26" s="272">
        <v>377910</v>
      </c>
      <c r="AH26" s="455">
        <f t="shared" si="3"/>
        <v>525068</v>
      </c>
      <c r="AI26" s="272">
        <v>487961</v>
      </c>
      <c r="AJ26" s="272">
        <v>37107</v>
      </c>
      <c r="AK26" s="272">
        <v>9563075</v>
      </c>
      <c r="AL26" s="455">
        <f t="shared" si="4"/>
        <v>2103925</v>
      </c>
      <c r="AM26" s="272">
        <v>1463858</v>
      </c>
      <c r="AN26" s="272">
        <v>358205</v>
      </c>
      <c r="AO26" s="272">
        <v>0</v>
      </c>
      <c r="AP26" s="272">
        <v>281862</v>
      </c>
      <c r="AQ26" s="272">
        <v>1164535</v>
      </c>
      <c r="AR26" s="272">
        <v>0</v>
      </c>
      <c r="AS26" s="272">
        <v>0</v>
      </c>
      <c r="AT26" s="272">
        <v>2747554</v>
      </c>
      <c r="AU26" s="272">
        <v>1351319</v>
      </c>
      <c r="AV26" s="272">
        <v>191639</v>
      </c>
      <c r="AW26" s="272">
        <v>163259</v>
      </c>
      <c r="AX26" s="272">
        <v>1396235</v>
      </c>
      <c r="AY26" s="272">
        <v>287042</v>
      </c>
      <c r="AZ26" s="272">
        <v>3598893</v>
      </c>
      <c r="BA26" s="272">
        <v>3578566</v>
      </c>
      <c r="BB26" s="272">
        <v>153729</v>
      </c>
      <c r="BC26" s="272">
        <v>503375</v>
      </c>
      <c r="BD26" s="272">
        <v>0</v>
      </c>
      <c r="BE26" s="272">
        <v>62000</v>
      </c>
      <c r="BF26" s="272">
        <v>354800</v>
      </c>
      <c r="BG26" s="272">
        <v>0</v>
      </c>
      <c r="BH26" s="272">
        <v>0</v>
      </c>
      <c r="BI26" s="272">
        <v>0</v>
      </c>
      <c r="BJ26" s="272">
        <v>1115919</v>
      </c>
      <c r="BK26" s="272">
        <v>11103</v>
      </c>
      <c r="BL26" s="272">
        <v>0</v>
      </c>
      <c r="BM26" s="272">
        <v>0</v>
      </c>
      <c r="BN26" s="272">
        <v>4580300</v>
      </c>
      <c r="BO26" s="455">
        <f t="shared" si="5"/>
        <v>4385100</v>
      </c>
      <c r="BP26" s="455">
        <f t="shared" si="6"/>
        <v>195200</v>
      </c>
      <c r="BQ26" s="272">
        <v>195200</v>
      </c>
      <c r="BR26" s="272"/>
      <c r="BS26" s="272"/>
      <c r="BT26" s="272">
        <v>0</v>
      </c>
      <c r="BU26" s="272">
        <v>46716358</v>
      </c>
      <c r="BV26" s="272"/>
      <c r="BW26" s="272">
        <v>7479286</v>
      </c>
      <c r="BX26" s="272">
        <v>5669895</v>
      </c>
      <c r="BY26" s="272">
        <v>476125</v>
      </c>
      <c r="BZ26" s="272">
        <v>93506</v>
      </c>
      <c r="CA26" s="272">
        <v>6297834</v>
      </c>
      <c r="CB26" s="272">
        <v>921791</v>
      </c>
      <c r="CC26" s="272">
        <v>2040417</v>
      </c>
      <c r="CD26" s="272">
        <v>1260201</v>
      </c>
      <c r="CE26" s="272">
        <v>1990745</v>
      </c>
      <c r="CF26" s="272">
        <v>0</v>
      </c>
      <c r="CG26" s="272">
        <v>84380</v>
      </c>
      <c r="CH26" s="272">
        <v>2889307</v>
      </c>
      <c r="CI26" s="272">
        <v>1633127</v>
      </c>
      <c r="CJ26" s="455">
        <f t="shared" si="7"/>
        <v>1256180</v>
      </c>
      <c r="CK26" s="272">
        <v>3630441</v>
      </c>
      <c r="CL26" s="272">
        <v>1878184</v>
      </c>
      <c r="CM26" s="272">
        <v>376823</v>
      </c>
      <c r="CN26" s="272">
        <v>703138</v>
      </c>
      <c r="CO26" s="272">
        <v>168018</v>
      </c>
      <c r="CP26" s="272">
        <v>4624476</v>
      </c>
      <c r="CQ26" s="272">
        <v>2505833</v>
      </c>
      <c r="CR26" s="272">
        <v>1655608</v>
      </c>
      <c r="CS26" s="272">
        <v>1394700</v>
      </c>
      <c r="CT26" s="455">
        <f t="shared" si="8"/>
        <v>13630</v>
      </c>
      <c r="CU26" s="272">
        <v>8532</v>
      </c>
      <c r="CV26" s="272">
        <v>5098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16676246</v>
      </c>
      <c r="DD26" s="272">
        <v>3278095</v>
      </c>
      <c r="DE26" s="272">
        <v>8977311</v>
      </c>
      <c r="DF26" s="272">
        <v>76768</v>
      </c>
      <c r="DG26" s="272">
        <v>4344072</v>
      </c>
      <c r="DH26" s="272">
        <v>2781</v>
      </c>
      <c r="DI26" s="272">
        <v>982588</v>
      </c>
      <c r="DJ26" s="272">
        <v>1307</v>
      </c>
      <c r="DK26" s="272">
        <v>980</v>
      </c>
      <c r="DL26" s="272">
        <v>980301</v>
      </c>
      <c r="DM26" s="272">
        <v>0</v>
      </c>
      <c r="DN26" s="272">
        <v>0</v>
      </c>
      <c r="DO26" s="272">
        <v>0</v>
      </c>
      <c r="DP26" s="272">
        <v>0</v>
      </c>
      <c r="DQ26" s="272">
        <v>0</v>
      </c>
      <c r="DR26" s="272">
        <v>0</v>
      </c>
      <c r="DS26" s="272">
        <v>0</v>
      </c>
      <c r="DT26" s="272">
        <v>3078658</v>
      </c>
      <c r="DU26" s="272">
        <v>1408396</v>
      </c>
      <c r="DV26" s="455">
        <f t="shared" si="11"/>
        <v>0</v>
      </c>
      <c r="DW26" s="272">
        <v>0</v>
      </c>
      <c r="DX26" s="272">
        <v>0</v>
      </c>
      <c r="DY26" s="272">
        <v>0</v>
      </c>
      <c r="DZ26" s="272">
        <v>815131</v>
      </c>
      <c r="EA26" s="272">
        <v>647565</v>
      </c>
      <c r="EB26" s="272"/>
      <c r="EC26" s="272">
        <v>477297</v>
      </c>
      <c r="ED26" s="272">
        <v>46306932</v>
      </c>
      <c r="EF26" s="272">
        <v>409426</v>
      </c>
      <c r="EG26" s="272">
        <v>89376</v>
      </c>
      <c r="EH26" s="272">
        <v>320050</v>
      </c>
      <c r="EI26" s="272">
        <v>1103732</v>
      </c>
      <c r="EJ26" s="272">
        <v>1105039</v>
      </c>
      <c r="EL26" s="272"/>
      <c r="EM26" s="272">
        <v>119664</v>
      </c>
      <c r="EN26" s="272">
        <v>148575</v>
      </c>
      <c r="EO26" s="272">
        <v>302565</v>
      </c>
      <c r="EP26" s="455">
        <f t="shared" si="12"/>
        <v>787756</v>
      </c>
      <c r="EQ26" s="272">
        <v>23550535</v>
      </c>
      <c r="ER26" s="272">
        <v>-1409480</v>
      </c>
      <c r="ES26" s="272">
        <v>6828724</v>
      </c>
      <c r="ET26" s="272">
        <v>5077760</v>
      </c>
      <c r="EU26" s="272">
        <v>2164004</v>
      </c>
      <c r="EV26" s="272">
        <v>2692763</v>
      </c>
      <c r="EW26" s="455">
        <f t="shared" si="13"/>
        <v>2026590</v>
      </c>
      <c r="EX26" s="272">
        <v>2023809</v>
      </c>
      <c r="EY26" s="272">
        <v>66997</v>
      </c>
      <c r="EZ26" s="272">
        <v>1938744</v>
      </c>
      <c r="FA26" s="272">
        <v>2781</v>
      </c>
      <c r="FB26" s="272"/>
      <c r="FC26" s="272">
        <v>3087969</v>
      </c>
      <c r="FD26" s="272">
        <v>4246632</v>
      </c>
      <c r="FE26" s="272">
        <v>2505833</v>
      </c>
      <c r="FF26" s="272">
        <v>2773562</v>
      </c>
      <c r="FG26" s="455">
        <f t="shared" si="14"/>
        <v>730345</v>
      </c>
      <c r="FH26" s="272">
        <v>24550589</v>
      </c>
      <c r="FI26" s="384">
        <f t="shared" si="15"/>
        <v>1.5</v>
      </c>
      <c r="FJ26" s="272">
        <v>21788909</v>
      </c>
      <c r="FK26" s="272"/>
      <c r="FL26" s="272">
        <v>11227405</v>
      </c>
      <c r="FM26" s="272">
        <v>18139406</v>
      </c>
      <c r="FN26" s="460">
        <v>0.66200000000000003</v>
      </c>
      <c r="FO26" s="388">
        <v>90.9</v>
      </c>
      <c r="FP26" s="388">
        <v>30.3</v>
      </c>
      <c r="FQ26" s="388">
        <v>9.9</v>
      </c>
      <c r="FR26" s="388">
        <v>12.3</v>
      </c>
      <c r="FS26" s="388">
        <v>12.5</v>
      </c>
      <c r="FT26" s="388">
        <v>17.8</v>
      </c>
      <c r="FU26" s="388">
        <v>7.4</v>
      </c>
      <c r="FV26" s="388">
        <v>7.2</v>
      </c>
      <c r="FW26" s="272">
        <v>42572586</v>
      </c>
      <c r="FX26" s="384">
        <f t="shared" si="16"/>
        <v>195.4</v>
      </c>
      <c r="FY26" s="272">
        <v>2749742</v>
      </c>
      <c r="FZ26" s="272">
        <v>258615</v>
      </c>
      <c r="GA26" s="272">
        <v>137963</v>
      </c>
      <c r="GB26" s="272">
        <v>2353164</v>
      </c>
      <c r="GC26" s="272"/>
      <c r="GD26" s="272">
        <v>15238928</v>
      </c>
      <c r="GE26" s="384">
        <f t="shared" si="17"/>
        <v>69.900000000000006</v>
      </c>
      <c r="GF26" s="388">
        <v>97.9</v>
      </c>
      <c r="GG26" s="388">
        <v>29.1</v>
      </c>
      <c r="GH26" s="388">
        <v>93.9</v>
      </c>
      <c r="GI26" s="272">
        <v>726</v>
      </c>
    </row>
    <row r="27" spans="2:191" x14ac:dyDescent="0.15">
      <c r="B27" s="89" t="s">
        <v>47</v>
      </c>
      <c r="C27" s="272">
        <v>23499945</v>
      </c>
      <c r="D27" s="455">
        <f t="shared" si="0"/>
        <v>5714967</v>
      </c>
      <c r="E27" s="272">
        <v>130170</v>
      </c>
      <c r="F27" s="272">
        <v>5584797</v>
      </c>
      <c r="G27" s="455">
        <f t="shared" si="1"/>
        <v>3363208</v>
      </c>
      <c r="H27" s="272">
        <v>412778</v>
      </c>
      <c r="I27" s="272">
        <v>2950430</v>
      </c>
      <c r="J27" s="272">
        <v>10832429</v>
      </c>
      <c r="K27" s="272">
        <v>5833433</v>
      </c>
      <c r="L27" s="272">
        <v>3355020</v>
      </c>
      <c r="M27" s="272">
        <v>1553577</v>
      </c>
      <c r="N27" s="272">
        <v>1140474</v>
      </c>
      <c r="O27" s="272">
        <v>2368707</v>
      </c>
      <c r="P27" s="272">
        <v>1611832</v>
      </c>
      <c r="Q27" s="272">
        <v>756875</v>
      </c>
      <c r="R27" s="272">
        <v>243865</v>
      </c>
      <c r="S27" s="272"/>
      <c r="T27" s="455">
        <f t="shared" si="2"/>
        <v>1918503</v>
      </c>
      <c r="U27" s="272">
        <v>216956</v>
      </c>
      <c r="V27" s="272"/>
      <c r="W27" s="272"/>
      <c r="X27" s="272">
        <v>1444244</v>
      </c>
      <c r="Y27" s="272">
        <v>0</v>
      </c>
      <c r="Z27" s="272">
        <v>6473</v>
      </c>
      <c r="AA27" s="272">
        <v>250830</v>
      </c>
      <c r="AB27" s="272">
        <v>469858</v>
      </c>
      <c r="AC27" s="272">
        <v>3513869</v>
      </c>
      <c r="AD27" s="272">
        <v>3289840</v>
      </c>
      <c r="AE27" s="272">
        <v>224029</v>
      </c>
      <c r="AF27" s="272">
        <v>28710</v>
      </c>
      <c r="AG27" s="272">
        <v>386885</v>
      </c>
      <c r="AH27" s="455">
        <f t="shared" si="3"/>
        <v>626109</v>
      </c>
      <c r="AI27" s="272">
        <v>474381</v>
      </c>
      <c r="AJ27" s="272">
        <v>151728</v>
      </c>
      <c r="AK27" s="272">
        <v>6521542</v>
      </c>
      <c r="AL27" s="455">
        <f t="shared" si="4"/>
        <v>4261169</v>
      </c>
      <c r="AM27" s="272">
        <v>3631620</v>
      </c>
      <c r="AN27" s="272">
        <v>349323</v>
      </c>
      <c r="AO27" s="272">
        <v>0</v>
      </c>
      <c r="AP27" s="272">
        <v>280226</v>
      </c>
      <c r="AQ27" s="272">
        <v>414042</v>
      </c>
      <c r="AR27" s="272">
        <v>0</v>
      </c>
      <c r="AS27" s="272">
        <v>0</v>
      </c>
      <c r="AT27" s="272">
        <v>1921970</v>
      </c>
      <c r="AU27" s="272">
        <v>746243</v>
      </c>
      <c r="AV27" s="272">
        <v>177472</v>
      </c>
      <c r="AW27" s="272">
        <v>289</v>
      </c>
      <c r="AX27" s="272">
        <v>1175727</v>
      </c>
      <c r="AY27" s="272">
        <v>174707</v>
      </c>
      <c r="AZ27" s="272">
        <v>106115</v>
      </c>
      <c r="BA27" s="272">
        <v>74216</v>
      </c>
      <c r="BB27" s="272">
        <v>98628</v>
      </c>
      <c r="BC27" s="272">
        <v>1753865</v>
      </c>
      <c r="BD27" s="272">
        <v>450000</v>
      </c>
      <c r="BE27" s="272">
        <v>400000</v>
      </c>
      <c r="BF27" s="272">
        <v>882569</v>
      </c>
      <c r="BG27" s="272">
        <v>0</v>
      </c>
      <c r="BH27" s="272">
        <v>1135396</v>
      </c>
      <c r="BI27" s="272">
        <v>448085</v>
      </c>
      <c r="BJ27" s="272">
        <v>217358</v>
      </c>
      <c r="BK27" s="272">
        <v>106693</v>
      </c>
      <c r="BL27" s="272">
        <v>0</v>
      </c>
      <c r="BM27" s="272">
        <v>0</v>
      </c>
      <c r="BN27" s="272">
        <v>5961700</v>
      </c>
      <c r="BO27" s="455">
        <f t="shared" si="5"/>
        <v>5737200</v>
      </c>
      <c r="BP27" s="455">
        <f t="shared" si="6"/>
        <v>224500</v>
      </c>
      <c r="BQ27" s="272">
        <v>224500</v>
      </c>
      <c r="BR27" s="272"/>
      <c r="BS27" s="272"/>
      <c r="BT27" s="272">
        <v>0</v>
      </c>
      <c r="BU27" s="272">
        <v>48404318</v>
      </c>
      <c r="BV27" s="272"/>
      <c r="BW27" s="272">
        <v>12857818</v>
      </c>
      <c r="BX27" s="272">
        <v>9773297</v>
      </c>
      <c r="BY27" s="272">
        <v>915350</v>
      </c>
      <c r="BZ27" s="272">
        <v>123485</v>
      </c>
      <c r="CA27" s="272">
        <v>8341816</v>
      </c>
      <c r="CB27" s="272">
        <v>878238</v>
      </c>
      <c r="CC27" s="272">
        <v>1258014</v>
      </c>
      <c r="CD27" s="272">
        <v>1351288</v>
      </c>
      <c r="CE27" s="272">
        <v>4729846</v>
      </c>
      <c r="CF27" s="272">
        <v>320</v>
      </c>
      <c r="CG27" s="272">
        <v>123175</v>
      </c>
      <c r="CH27" s="272">
        <v>3588237</v>
      </c>
      <c r="CI27" s="272">
        <v>2267320</v>
      </c>
      <c r="CJ27" s="455">
        <f t="shared" si="7"/>
        <v>1320917</v>
      </c>
      <c r="CK27" s="272">
        <v>4384878</v>
      </c>
      <c r="CL27" s="272">
        <v>2597963</v>
      </c>
      <c r="CM27" s="272">
        <v>131040</v>
      </c>
      <c r="CN27" s="272">
        <v>1037549</v>
      </c>
      <c r="CO27" s="272">
        <v>528044</v>
      </c>
      <c r="CP27" s="272">
        <v>4551873</v>
      </c>
      <c r="CQ27" s="272">
        <v>2225059</v>
      </c>
      <c r="CR27" s="272">
        <v>1315953</v>
      </c>
      <c r="CS27" s="272">
        <v>485934</v>
      </c>
      <c r="CT27" s="455">
        <f t="shared" si="8"/>
        <v>15540</v>
      </c>
      <c r="CU27" s="272">
        <v>15540</v>
      </c>
      <c r="CV27" s="272">
        <v>0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8710956</v>
      </c>
      <c r="DD27" s="272">
        <v>887344</v>
      </c>
      <c r="DE27" s="272">
        <v>7818962</v>
      </c>
      <c r="DF27" s="272">
        <v>0</v>
      </c>
      <c r="DG27" s="272">
        <v>0</v>
      </c>
      <c r="DH27" s="272">
        <v>0</v>
      </c>
      <c r="DI27" s="272">
        <v>870904</v>
      </c>
      <c r="DJ27" s="272">
        <v>229431</v>
      </c>
      <c r="DK27" s="272">
        <v>1093</v>
      </c>
      <c r="DL27" s="272">
        <v>640380</v>
      </c>
      <c r="DM27" s="272">
        <v>0</v>
      </c>
      <c r="DN27" s="272">
        <v>0</v>
      </c>
      <c r="DO27" s="272">
        <v>0</v>
      </c>
      <c r="DP27" s="272">
        <v>0</v>
      </c>
      <c r="DQ27" s="272">
        <v>102000</v>
      </c>
      <c r="DR27" s="272">
        <v>0</v>
      </c>
      <c r="DS27" s="272">
        <v>0</v>
      </c>
      <c r="DT27" s="272">
        <v>3730747</v>
      </c>
      <c r="DU27" s="272">
        <v>1982000</v>
      </c>
      <c r="DV27" s="455">
        <f t="shared" si="11"/>
        <v>0</v>
      </c>
      <c r="DW27" s="272">
        <v>0</v>
      </c>
      <c r="DX27" s="272">
        <v>0</v>
      </c>
      <c r="DY27" s="272">
        <v>0</v>
      </c>
      <c r="DZ27" s="272">
        <v>1315824</v>
      </c>
      <c r="EA27" s="272">
        <v>428593</v>
      </c>
      <c r="EB27" s="272"/>
      <c r="EC27" s="272">
        <v>0</v>
      </c>
      <c r="ED27" s="272">
        <v>47667273</v>
      </c>
      <c r="EF27" s="272">
        <v>737045</v>
      </c>
      <c r="EG27" s="272">
        <v>96407</v>
      </c>
      <c r="EH27" s="272">
        <v>640638</v>
      </c>
      <c r="EI27" s="272">
        <v>192553</v>
      </c>
      <c r="EJ27" s="272">
        <v>38173</v>
      </c>
      <c r="EL27" s="272"/>
      <c r="EM27" s="272">
        <v>136107</v>
      </c>
      <c r="EN27" s="272">
        <v>871296</v>
      </c>
      <c r="EO27" s="272">
        <v>75538</v>
      </c>
      <c r="EP27" s="455">
        <f t="shared" si="12"/>
        <v>729046</v>
      </c>
      <c r="EQ27" s="272">
        <v>29674750</v>
      </c>
      <c r="ER27" s="272">
        <v>-1871670</v>
      </c>
      <c r="ES27" s="272">
        <v>12089691</v>
      </c>
      <c r="ET27" s="272">
        <v>9077979</v>
      </c>
      <c r="EU27" s="272">
        <v>2417770</v>
      </c>
      <c r="EV27" s="272">
        <v>3531204</v>
      </c>
      <c r="EW27" s="455">
        <f t="shared" si="13"/>
        <v>1455487</v>
      </c>
      <c r="EX27" s="272">
        <v>1455487</v>
      </c>
      <c r="EY27" s="272">
        <v>60285</v>
      </c>
      <c r="EZ27" s="272">
        <v>1393537</v>
      </c>
      <c r="FA27" s="272">
        <v>0</v>
      </c>
      <c r="FB27" s="272"/>
      <c r="FC27" s="272">
        <v>3526708</v>
      </c>
      <c r="FD27" s="272">
        <v>3610342</v>
      </c>
      <c r="FE27" s="272">
        <v>2225059</v>
      </c>
      <c r="FF27" s="272">
        <v>3279049</v>
      </c>
      <c r="FG27" s="455">
        <f t="shared" si="14"/>
        <v>910084</v>
      </c>
      <c r="FH27" s="272">
        <v>30820335</v>
      </c>
      <c r="FI27" s="384">
        <f t="shared" si="15"/>
        <v>2.4</v>
      </c>
      <c r="FJ27" s="272">
        <v>26219017</v>
      </c>
      <c r="FK27" s="272"/>
      <c r="FL27" s="272">
        <v>17265643</v>
      </c>
      <c r="FM27" s="272">
        <v>20566274</v>
      </c>
      <c r="FN27" s="460">
        <v>0.91</v>
      </c>
      <c r="FO27" s="388">
        <v>99.9</v>
      </c>
      <c r="FP27" s="388">
        <v>43.9</v>
      </c>
      <c r="FQ27" s="388">
        <v>8.9</v>
      </c>
      <c r="FR27" s="388">
        <v>12.8</v>
      </c>
      <c r="FS27" s="388">
        <v>12.4</v>
      </c>
      <c r="FT27" s="388">
        <v>11</v>
      </c>
      <c r="FU27" s="388">
        <v>9.1</v>
      </c>
      <c r="FV27" s="388">
        <v>9.1</v>
      </c>
      <c r="FW27" s="272">
        <v>38624648</v>
      </c>
      <c r="FX27" s="384">
        <f t="shared" si="16"/>
        <v>147.30000000000001</v>
      </c>
      <c r="FY27" s="272">
        <v>15329226</v>
      </c>
      <c r="FZ27" s="272">
        <v>4446240</v>
      </c>
      <c r="GA27" s="272">
        <v>1163673</v>
      </c>
      <c r="GB27" s="272">
        <v>9719313</v>
      </c>
      <c r="GC27" s="272"/>
      <c r="GD27" s="272">
        <v>14339875</v>
      </c>
      <c r="GE27" s="384">
        <f t="shared" si="17"/>
        <v>54.7</v>
      </c>
      <c r="GF27" s="388">
        <v>96.9</v>
      </c>
      <c r="GG27" s="388">
        <v>19.8</v>
      </c>
      <c r="GH27" s="388">
        <v>90.1</v>
      </c>
      <c r="GI27" s="272">
        <v>1214</v>
      </c>
    </row>
    <row r="28" spans="2:191" x14ac:dyDescent="0.15">
      <c r="B28" s="89" t="s">
        <v>49</v>
      </c>
      <c r="C28" s="272">
        <v>19451924</v>
      </c>
      <c r="D28" s="455">
        <f t="shared" si="0"/>
        <v>4394879</v>
      </c>
      <c r="E28" s="272">
        <v>88276</v>
      </c>
      <c r="F28" s="272">
        <v>4306603</v>
      </c>
      <c r="G28" s="455">
        <f t="shared" si="1"/>
        <v>2256028</v>
      </c>
      <c r="H28" s="272">
        <v>339196</v>
      </c>
      <c r="I28" s="272">
        <v>1916832</v>
      </c>
      <c r="J28" s="272">
        <v>10090537</v>
      </c>
      <c r="K28" s="272">
        <v>5092758</v>
      </c>
      <c r="L28" s="272">
        <v>2631544</v>
      </c>
      <c r="M28" s="272">
        <v>2271067</v>
      </c>
      <c r="N28" s="272">
        <v>683731</v>
      </c>
      <c r="O28" s="272">
        <v>1967097</v>
      </c>
      <c r="P28" s="272">
        <v>1367356</v>
      </c>
      <c r="Q28" s="272">
        <v>599741</v>
      </c>
      <c r="R28" s="272">
        <v>189148</v>
      </c>
      <c r="S28" s="272"/>
      <c r="T28" s="455">
        <f t="shared" si="2"/>
        <v>1341973</v>
      </c>
      <c r="U28" s="272">
        <v>159085</v>
      </c>
      <c r="V28" s="272"/>
      <c r="W28" s="272"/>
      <c r="X28" s="272">
        <v>982329</v>
      </c>
      <c r="Y28" s="272">
        <v>5061</v>
      </c>
      <c r="Z28" s="272">
        <v>1010</v>
      </c>
      <c r="AA28" s="272">
        <v>194488</v>
      </c>
      <c r="AB28" s="272">
        <v>365850</v>
      </c>
      <c r="AC28" s="272">
        <v>909409</v>
      </c>
      <c r="AD28" s="272">
        <v>506380</v>
      </c>
      <c r="AE28" s="272">
        <v>403029</v>
      </c>
      <c r="AF28" s="272">
        <v>21797</v>
      </c>
      <c r="AG28" s="272">
        <v>290793</v>
      </c>
      <c r="AH28" s="455">
        <f t="shared" si="3"/>
        <v>700271</v>
      </c>
      <c r="AI28" s="272">
        <v>544994</v>
      </c>
      <c r="AJ28" s="272">
        <v>155277</v>
      </c>
      <c r="AK28" s="272">
        <v>2685877</v>
      </c>
      <c r="AL28" s="455">
        <f t="shared" si="4"/>
        <v>1230940</v>
      </c>
      <c r="AM28" s="272">
        <v>772823</v>
      </c>
      <c r="AN28" s="272">
        <v>313863</v>
      </c>
      <c r="AO28" s="272">
        <v>0</v>
      </c>
      <c r="AP28" s="272">
        <v>144254</v>
      </c>
      <c r="AQ28" s="272">
        <v>248118</v>
      </c>
      <c r="AR28" s="272">
        <v>0</v>
      </c>
      <c r="AS28" s="272">
        <v>0</v>
      </c>
      <c r="AT28" s="272">
        <v>1451564</v>
      </c>
      <c r="AU28" s="272">
        <v>711684</v>
      </c>
      <c r="AV28" s="272">
        <v>159538</v>
      </c>
      <c r="AW28" s="272">
        <v>36949</v>
      </c>
      <c r="AX28" s="272">
        <v>739880</v>
      </c>
      <c r="AY28" s="272">
        <v>133685</v>
      </c>
      <c r="AZ28" s="272">
        <v>100032</v>
      </c>
      <c r="BA28" s="272">
        <v>65920</v>
      </c>
      <c r="BB28" s="272">
        <v>93107</v>
      </c>
      <c r="BC28" s="272">
        <v>869702</v>
      </c>
      <c r="BD28" s="272">
        <v>600000</v>
      </c>
      <c r="BE28" s="272">
        <v>208810</v>
      </c>
      <c r="BF28" s="272">
        <v>44395</v>
      </c>
      <c r="BG28" s="272">
        <v>0</v>
      </c>
      <c r="BH28" s="272">
        <v>993825</v>
      </c>
      <c r="BI28" s="272">
        <v>234371</v>
      </c>
      <c r="BJ28" s="272">
        <v>811488</v>
      </c>
      <c r="BK28" s="272">
        <v>148749</v>
      </c>
      <c r="BL28" s="272">
        <v>0</v>
      </c>
      <c r="BM28" s="272">
        <v>0</v>
      </c>
      <c r="BN28" s="272">
        <v>2197400</v>
      </c>
      <c r="BO28" s="455">
        <f t="shared" si="5"/>
        <v>2033800</v>
      </c>
      <c r="BP28" s="455">
        <f t="shared" si="6"/>
        <v>163600</v>
      </c>
      <c r="BQ28" s="272">
        <v>163600</v>
      </c>
      <c r="BR28" s="272"/>
      <c r="BS28" s="272"/>
      <c r="BT28" s="272">
        <v>0</v>
      </c>
      <c r="BU28" s="272">
        <v>32474160</v>
      </c>
      <c r="BV28" s="272"/>
      <c r="BW28" s="272">
        <v>8404048</v>
      </c>
      <c r="BX28" s="272">
        <v>6256437</v>
      </c>
      <c r="BY28" s="272">
        <v>608100</v>
      </c>
      <c r="BZ28" s="272">
        <v>126710</v>
      </c>
      <c r="CA28" s="272">
        <v>3117924</v>
      </c>
      <c r="CB28" s="272">
        <v>342172</v>
      </c>
      <c r="CC28" s="272">
        <v>556941</v>
      </c>
      <c r="CD28" s="272">
        <v>1096109</v>
      </c>
      <c r="CE28" s="272">
        <v>1057354</v>
      </c>
      <c r="CF28" s="272">
        <v>0</v>
      </c>
      <c r="CG28" s="272">
        <v>65348</v>
      </c>
      <c r="CH28" s="272">
        <v>4122589</v>
      </c>
      <c r="CI28" s="272">
        <v>2476594</v>
      </c>
      <c r="CJ28" s="455">
        <f t="shared" si="7"/>
        <v>1645995</v>
      </c>
      <c r="CK28" s="272">
        <v>4557131</v>
      </c>
      <c r="CL28" s="272">
        <v>2857436</v>
      </c>
      <c r="CM28" s="272">
        <v>236027</v>
      </c>
      <c r="CN28" s="272">
        <v>802981</v>
      </c>
      <c r="CO28" s="272">
        <v>398601</v>
      </c>
      <c r="CP28" s="272">
        <v>1824150</v>
      </c>
      <c r="CQ28" s="272">
        <v>7060</v>
      </c>
      <c r="CR28" s="272">
        <v>981128</v>
      </c>
      <c r="CS28" s="272">
        <v>321150</v>
      </c>
      <c r="CT28" s="455">
        <f t="shared" si="8"/>
        <v>26169</v>
      </c>
      <c r="CU28" s="272">
        <v>26169</v>
      </c>
      <c r="CV28" s="272">
        <v>0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4048717</v>
      </c>
      <c r="DD28" s="272">
        <v>506287</v>
      </c>
      <c r="DE28" s="272">
        <v>3251878</v>
      </c>
      <c r="DF28" s="272">
        <v>0</v>
      </c>
      <c r="DG28" s="272">
        <v>290552</v>
      </c>
      <c r="DH28" s="272">
        <v>0</v>
      </c>
      <c r="DI28" s="272">
        <v>531100</v>
      </c>
      <c r="DJ28" s="272">
        <v>130877</v>
      </c>
      <c r="DK28" s="272">
        <v>8717</v>
      </c>
      <c r="DL28" s="272">
        <v>391506</v>
      </c>
      <c r="DM28" s="272">
        <v>30000</v>
      </c>
      <c r="DN28" s="272">
        <v>30000</v>
      </c>
      <c r="DO28" s="272">
        <v>30000</v>
      </c>
      <c r="DP28" s="272">
        <v>0</v>
      </c>
      <c r="DQ28" s="272">
        <v>146535</v>
      </c>
      <c r="DR28" s="272">
        <v>0</v>
      </c>
      <c r="DS28" s="272">
        <v>0</v>
      </c>
      <c r="DT28" s="272">
        <v>5005415</v>
      </c>
      <c r="DU28" s="272">
        <v>3703681</v>
      </c>
      <c r="DV28" s="455">
        <f t="shared" si="11"/>
        <v>0</v>
      </c>
      <c r="DW28" s="272">
        <v>0</v>
      </c>
      <c r="DX28" s="272">
        <v>0</v>
      </c>
      <c r="DY28" s="272">
        <v>172860</v>
      </c>
      <c r="DZ28" s="272">
        <v>774303</v>
      </c>
      <c r="EA28" s="272">
        <v>354301</v>
      </c>
      <c r="EB28" s="272"/>
      <c r="EC28" s="272">
        <v>0</v>
      </c>
      <c r="ED28" s="272">
        <v>32186210</v>
      </c>
      <c r="EF28" s="272">
        <v>287950</v>
      </c>
      <c r="EG28" s="272">
        <v>37247</v>
      </c>
      <c r="EH28" s="272">
        <v>250703</v>
      </c>
      <c r="EI28" s="272">
        <v>16332</v>
      </c>
      <c r="EJ28" s="272">
        <v>-452791</v>
      </c>
      <c r="EL28" s="272"/>
      <c r="EM28" s="272">
        <v>84538</v>
      </c>
      <c r="EN28" s="272">
        <v>825307</v>
      </c>
      <c r="EO28" s="272">
        <v>6941</v>
      </c>
      <c r="EP28" s="455">
        <f t="shared" si="12"/>
        <v>1054365</v>
      </c>
      <c r="EQ28" s="272">
        <v>22280101</v>
      </c>
      <c r="ER28" s="272">
        <v>-2028416</v>
      </c>
      <c r="ES28" s="272">
        <v>7829176</v>
      </c>
      <c r="ET28" s="272">
        <v>5693905</v>
      </c>
      <c r="EU28" s="272">
        <v>1051239</v>
      </c>
      <c r="EV28" s="272">
        <v>4044730</v>
      </c>
      <c r="EW28" s="455">
        <f t="shared" si="13"/>
        <v>1036836</v>
      </c>
      <c r="EX28" s="272">
        <v>1036836</v>
      </c>
      <c r="EY28" s="272">
        <v>40789</v>
      </c>
      <c r="EZ28" s="272">
        <v>996047</v>
      </c>
      <c r="FA28" s="272">
        <v>0</v>
      </c>
      <c r="FB28" s="272"/>
      <c r="FC28" s="272">
        <v>3470392</v>
      </c>
      <c r="FD28" s="272">
        <v>1268542</v>
      </c>
      <c r="FE28" s="272">
        <v>7060</v>
      </c>
      <c r="FF28" s="272">
        <v>4825525</v>
      </c>
      <c r="FG28" s="455">
        <f t="shared" si="14"/>
        <v>494127</v>
      </c>
      <c r="FH28" s="272">
        <v>24020567</v>
      </c>
      <c r="FI28" s="384">
        <f t="shared" si="15"/>
        <v>1.3</v>
      </c>
      <c r="FJ28" s="272">
        <v>19829207</v>
      </c>
      <c r="FK28" s="272"/>
      <c r="FL28" s="272">
        <v>14545028</v>
      </c>
      <c r="FM28" s="272">
        <v>15059309</v>
      </c>
      <c r="FN28" s="460">
        <v>1.012</v>
      </c>
      <c r="FO28" s="388">
        <v>105.8</v>
      </c>
      <c r="FP28" s="388">
        <v>38.299999999999997</v>
      </c>
      <c r="FQ28" s="388">
        <v>5.3</v>
      </c>
      <c r="FR28" s="388">
        <v>20.2</v>
      </c>
      <c r="FS28" s="388">
        <v>16.8</v>
      </c>
      <c r="FT28" s="388">
        <v>6.2</v>
      </c>
      <c r="FU28" s="388">
        <v>17.3</v>
      </c>
      <c r="FV28" s="388">
        <v>13.3</v>
      </c>
      <c r="FW28" s="272">
        <v>42792081</v>
      </c>
      <c r="FX28" s="384">
        <f t="shared" si="16"/>
        <v>215.8</v>
      </c>
      <c r="FY28" s="272">
        <v>8472011</v>
      </c>
      <c r="FZ28" s="272">
        <v>2631676</v>
      </c>
      <c r="GA28" s="272">
        <v>1551907</v>
      </c>
      <c r="GB28" s="272">
        <v>4288428</v>
      </c>
      <c r="GC28" s="272"/>
      <c r="GD28" s="272">
        <v>5370866</v>
      </c>
      <c r="GE28" s="384">
        <f t="shared" si="17"/>
        <v>27.1</v>
      </c>
      <c r="GF28" s="388">
        <v>98.3</v>
      </c>
      <c r="GG28" s="388">
        <v>25.3</v>
      </c>
      <c r="GH28" s="388">
        <v>95.1</v>
      </c>
      <c r="GI28" s="272">
        <v>751</v>
      </c>
    </row>
    <row r="29" spans="2:191" x14ac:dyDescent="0.15">
      <c r="B29" s="89" t="s">
        <v>51</v>
      </c>
      <c r="C29" s="272">
        <v>14482942</v>
      </c>
      <c r="D29" s="455">
        <f t="shared" si="0"/>
        <v>3324745</v>
      </c>
      <c r="E29" s="272">
        <v>59180</v>
      </c>
      <c r="F29" s="272">
        <v>3265565</v>
      </c>
      <c r="G29" s="455">
        <f t="shared" si="1"/>
        <v>685411</v>
      </c>
      <c r="H29" s="272">
        <v>156784</v>
      </c>
      <c r="I29" s="272">
        <v>528627</v>
      </c>
      <c r="J29" s="272">
        <v>8386800</v>
      </c>
      <c r="K29" s="272">
        <v>4944188</v>
      </c>
      <c r="L29" s="272">
        <v>1405913</v>
      </c>
      <c r="M29" s="272">
        <v>2001326</v>
      </c>
      <c r="N29" s="272">
        <v>440858</v>
      </c>
      <c r="O29" s="272">
        <v>1608725</v>
      </c>
      <c r="P29" s="272">
        <v>1281189</v>
      </c>
      <c r="Q29" s="272">
        <v>327536</v>
      </c>
      <c r="R29" s="272">
        <v>152289</v>
      </c>
      <c r="S29" s="272"/>
      <c r="T29" s="455">
        <f t="shared" si="2"/>
        <v>805472</v>
      </c>
      <c r="U29" s="272">
        <v>114342</v>
      </c>
      <c r="V29" s="272"/>
      <c r="W29" s="272"/>
      <c r="X29" s="272">
        <v>564365</v>
      </c>
      <c r="Y29" s="272">
        <v>0</v>
      </c>
      <c r="Z29" s="272">
        <v>3080</v>
      </c>
      <c r="AA29" s="272">
        <v>123685</v>
      </c>
      <c r="AB29" s="272">
        <v>264221</v>
      </c>
      <c r="AC29" s="272">
        <v>54015</v>
      </c>
      <c r="AD29" s="272">
        <v>0</v>
      </c>
      <c r="AE29" s="272">
        <v>54015</v>
      </c>
      <c r="AF29" s="272">
        <v>13273</v>
      </c>
      <c r="AG29" s="272">
        <v>134477</v>
      </c>
      <c r="AH29" s="455">
        <f t="shared" si="3"/>
        <v>497814</v>
      </c>
      <c r="AI29" s="272">
        <v>461653</v>
      </c>
      <c r="AJ29" s="272">
        <v>36161</v>
      </c>
      <c r="AK29" s="272">
        <v>3003474</v>
      </c>
      <c r="AL29" s="455">
        <f t="shared" si="4"/>
        <v>1028213</v>
      </c>
      <c r="AM29" s="272">
        <v>689800</v>
      </c>
      <c r="AN29" s="272">
        <v>197620</v>
      </c>
      <c r="AO29" s="272">
        <v>0</v>
      </c>
      <c r="AP29" s="272">
        <v>140793</v>
      </c>
      <c r="AQ29" s="272">
        <v>969642</v>
      </c>
      <c r="AR29" s="272">
        <v>9318</v>
      </c>
      <c r="AS29" s="272">
        <v>0</v>
      </c>
      <c r="AT29" s="272">
        <v>2729163</v>
      </c>
      <c r="AU29" s="272">
        <v>1211640</v>
      </c>
      <c r="AV29" s="272">
        <v>135683</v>
      </c>
      <c r="AW29" s="272">
        <v>0</v>
      </c>
      <c r="AX29" s="272">
        <v>1517523</v>
      </c>
      <c r="AY29" s="272">
        <v>881312</v>
      </c>
      <c r="AZ29" s="272">
        <v>213041</v>
      </c>
      <c r="BA29" s="272">
        <v>115376</v>
      </c>
      <c r="BB29" s="272">
        <v>21349</v>
      </c>
      <c r="BC29" s="272">
        <v>2300703</v>
      </c>
      <c r="BD29" s="272">
        <v>1550000</v>
      </c>
      <c r="BE29" s="272">
        <v>0</v>
      </c>
      <c r="BF29" s="272">
        <v>727721</v>
      </c>
      <c r="BG29" s="272">
        <v>0</v>
      </c>
      <c r="BH29" s="272">
        <v>726103</v>
      </c>
      <c r="BI29" s="272">
        <v>360443</v>
      </c>
      <c r="BJ29" s="272">
        <v>237473</v>
      </c>
      <c r="BK29" s="272">
        <v>55880</v>
      </c>
      <c r="BL29" s="272">
        <v>0</v>
      </c>
      <c r="BM29" s="272">
        <v>0</v>
      </c>
      <c r="BN29" s="272">
        <v>3280100</v>
      </c>
      <c r="BO29" s="455">
        <f t="shared" si="5"/>
        <v>3168500</v>
      </c>
      <c r="BP29" s="455">
        <f t="shared" si="6"/>
        <v>111600</v>
      </c>
      <c r="BQ29" s="272">
        <v>111600</v>
      </c>
      <c r="BR29" s="272"/>
      <c r="BS29" s="272"/>
      <c r="BT29" s="272">
        <v>0</v>
      </c>
      <c r="BU29" s="272">
        <v>28915909</v>
      </c>
      <c r="BV29" s="272"/>
      <c r="BW29" s="272">
        <v>6297632</v>
      </c>
      <c r="BX29" s="272">
        <v>4693474</v>
      </c>
      <c r="BY29" s="272">
        <v>390228</v>
      </c>
      <c r="BZ29" s="272">
        <v>135443</v>
      </c>
      <c r="CA29" s="272">
        <v>2682062</v>
      </c>
      <c r="CB29" s="272">
        <v>350807</v>
      </c>
      <c r="CC29" s="272">
        <v>735305</v>
      </c>
      <c r="CD29" s="272">
        <v>653229</v>
      </c>
      <c r="CE29" s="272">
        <v>899131</v>
      </c>
      <c r="CF29" s="272">
        <v>73</v>
      </c>
      <c r="CG29" s="272">
        <v>43517</v>
      </c>
      <c r="CH29" s="272">
        <v>1826827</v>
      </c>
      <c r="CI29" s="272">
        <v>1173501</v>
      </c>
      <c r="CJ29" s="455">
        <f t="shared" si="7"/>
        <v>653326</v>
      </c>
      <c r="CK29" s="272">
        <v>2694015</v>
      </c>
      <c r="CL29" s="272">
        <v>1648134</v>
      </c>
      <c r="CM29" s="272">
        <v>78561</v>
      </c>
      <c r="CN29" s="272">
        <v>541682</v>
      </c>
      <c r="CO29" s="272">
        <v>39258</v>
      </c>
      <c r="CP29" s="272">
        <v>3663868</v>
      </c>
      <c r="CQ29" s="272">
        <v>2012298</v>
      </c>
      <c r="CR29" s="272">
        <v>952942</v>
      </c>
      <c r="CS29" s="272">
        <v>638907</v>
      </c>
      <c r="CT29" s="455">
        <f t="shared" si="8"/>
        <v>44036</v>
      </c>
      <c r="CU29" s="272">
        <v>6905</v>
      </c>
      <c r="CV29" s="272">
        <v>37131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7528446</v>
      </c>
      <c r="DD29" s="272">
        <v>916457</v>
      </c>
      <c r="DE29" s="272">
        <v>5226619</v>
      </c>
      <c r="DF29" s="272">
        <v>0</v>
      </c>
      <c r="DG29" s="272">
        <v>1385370</v>
      </c>
      <c r="DH29" s="272">
        <v>18637</v>
      </c>
      <c r="DI29" s="272">
        <v>1294182</v>
      </c>
      <c r="DJ29" s="272">
        <v>12395</v>
      </c>
      <c r="DK29" s="272">
        <v>0</v>
      </c>
      <c r="DL29" s="272">
        <v>1281787</v>
      </c>
      <c r="DM29" s="272">
        <v>0</v>
      </c>
      <c r="DN29" s="272">
        <v>0</v>
      </c>
      <c r="DO29" s="272">
        <v>0</v>
      </c>
      <c r="DP29" s="272">
        <v>0</v>
      </c>
      <c r="DQ29" s="272">
        <v>77405</v>
      </c>
      <c r="DR29" s="272">
        <v>0</v>
      </c>
      <c r="DS29" s="272">
        <v>0</v>
      </c>
      <c r="DT29" s="272">
        <v>2630305</v>
      </c>
      <c r="DU29" s="272">
        <v>1736595</v>
      </c>
      <c r="DV29" s="455">
        <f t="shared" si="11"/>
        <v>0</v>
      </c>
      <c r="DW29" s="272">
        <v>0</v>
      </c>
      <c r="DX29" s="272">
        <v>0</v>
      </c>
      <c r="DY29" s="272">
        <v>0</v>
      </c>
      <c r="DZ29" s="272">
        <v>572860</v>
      </c>
      <c r="EA29" s="272">
        <v>319171</v>
      </c>
      <c r="EB29" s="272"/>
      <c r="EC29" s="272">
        <v>0</v>
      </c>
      <c r="ED29" s="272">
        <v>28752637</v>
      </c>
      <c r="EF29" s="272">
        <v>163272</v>
      </c>
      <c r="EG29" s="272">
        <v>97834</v>
      </c>
      <c r="EH29" s="272">
        <v>65438</v>
      </c>
      <c r="EI29" s="272">
        <v>-295005</v>
      </c>
      <c r="EJ29" s="272">
        <v>-1192888</v>
      </c>
      <c r="EL29" s="272"/>
      <c r="EM29" s="272">
        <v>62308</v>
      </c>
      <c r="EN29" s="272">
        <v>1550000</v>
      </c>
      <c r="EO29" s="272">
        <v>130530</v>
      </c>
      <c r="EP29" s="455">
        <f t="shared" si="12"/>
        <v>1253784</v>
      </c>
      <c r="EQ29" s="272">
        <v>15772212</v>
      </c>
      <c r="ER29" s="272">
        <v>-3032641</v>
      </c>
      <c r="ES29" s="272">
        <v>5724320</v>
      </c>
      <c r="ET29" s="272">
        <v>4156883</v>
      </c>
      <c r="EU29" s="272">
        <v>849457</v>
      </c>
      <c r="EV29" s="272">
        <v>1778722</v>
      </c>
      <c r="EW29" s="455">
        <f t="shared" si="13"/>
        <v>2247482</v>
      </c>
      <c r="EX29" s="272">
        <v>2247482</v>
      </c>
      <c r="EY29" s="272">
        <v>67997</v>
      </c>
      <c r="EZ29" s="272">
        <v>2179485</v>
      </c>
      <c r="FA29" s="272">
        <v>0</v>
      </c>
      <c r="FB29" s="272"/>
      <c r="FC29" s="272">
        <v>2093546</v>
      </c>
      <c r="FD29" s="272">
        <v>3285991</v>
      </c>
      <c r="FE29" s="272">
        <v>2012298</v>
      </c>
      <c r="FF29" s="272">
        <v>1806574</v>
      </c>
      <c r="FG29" s="455">
        <f t="shared" si="14"/>
        <v>855489</v>
      </c>
      <c r="FH29" s="272">
        <v>18641581</v>
      </c>
      <c r="FI29" s="384">
        <f t="shared" si="15"/>
        <v>0.5</v>
      </c>
      <c r="FJ29" s="272">
        <v>14179018</v>
      </c>
      <c r="FK29" s="272"/>
      <c r="FL29" s="272">
        <v>10677645</v>
      </c>
      <c r="FM29" s="272">
        <v>9960990</v>
      </c>
      <c r="FN29" s="460">
        <v>1.109</v>
      </c>
      <c r="FO29" s="388">
        <v>99.5</v>
      </c>
      <c r="FP29" s="388">
        <v>39.200000000000003</v>
      </c>
      <c r="FQ29" s="388">
        <v>5.9</v>
      </c>
      <c r="FR29" s="388">
        <v>8</v>
      </c>
      <c r="FS29" s="388">
        <v>14.3</v>
      </c>
      <c r="FT29" s="388">
        <v>21.3</v>
      </c>
      <c r="FU29" s="388">
        <v>10.6</v>
      </c>
      <c r="FV29" s="388">
        <v>5.0999999999999996</v>
      </c>
      <c r="FW29" s="272">
        <v>20405002</v>
      </c>
      <c r="FX29" s="384">
        <f t="shared" si="16"/>
        <v>143.9</v>
      </c>
      <c r="FY29" s="272">
        <v>13302922</v>
      </c>
      <c r="FZ29" s="272">
        <v>1414884</v>
      </c>
      <c r="GA29" s="272"/>
      <c r="GB29" s="272">
        <v>11888038</v>
      </c>
      <c r="GC29" s="272"/>
      <c r="GD29" s="272">
        <v>15899272</v>
      </c>
      <c r="GE29" s="384">
        <f t="shared" si="17"/>
        <v>112.1</v>
      </c>
      <c r="GF29" s="388">
        <v>98.2</v>
      </c>
      <c r="GG29" s="388">
        <v>23.6</v>
      </c>
      <c r="GH29" s="388">
        <v>94.1</v>
      </c>
      <c r="GI29" s="272">
        <v>599</v>
      </c>
    </row>
    <row r="30" spans="2:191" x14ac:dyDescent="0.15">
      <c r="B30" s="89" t="s">
        <v>53</v>
      </c>
      <c r="C30" s="272">
        <v>8948970</v>
      </c>
      <c r="D30" s="455">
        <f t="shared" si="0"/>
        <v>3474106</v>
      </c>
      <c r="E30" s="272">
        <v>62568</v>
      </c>
      <c r="F30" s="272">
        <v>3411538</v>
      </c>
      <c r="G30" s="455">
        <f t="shared" si="1"/>
        <v>594364</v>
      </c>
      <c r="H30" s="272">
        <v>150742</v>
      </c>
      <c r="I30" s="272">
        <v>443622</v>
      </c>
      <c r="J30" s="272">
        <v>3501632</v>
      </c>
      <c r="K30" s="272">
        <v>1861911</v>
      </c>
      <c r="L30" s="272">
        <v>1295763</v>
      </c>
      <c r="M30" s="272">
        <v>326525</v>
      </c>
      <c r="N30" s="272">
        <v>401004</v>
      </c>
      <c r="O30" s="272">
        <v>934142</v>
      </c>
      <c r="P30" s="272">
        <v>631810</v>
      </c>
      <c r="Q30" s="272">
        <v>302332</v>
      </c>
      <c r="R30" s="272">
        <v>124675</v>
      </c>
      <c r="S30" s="272"/>
      <c r="T30" s="455">
        <f t="shared" si="2"/>
        <v>828369</v>
      </c>
      <c r="U30" s="272">
        <v>120135</v>
      </c>
      <c r="V30" s="272"/>
      <c r="W30" s="272"/>
      <c r="X30" s="272">
        <v>576284</v>
      </c>
      <c r="Y30" s="272">
        <v>0</v>
      </c>
      <c r="Z30" s="272">
        <v>3564</v>
      </c>
      <c r="AA30" s="272">
        <v>128386</v>
      </c>
      <c r="AB30" s="272">
        <v>273185</v>
      </c>
      <c r="AC30" s="272">
        <v>4176538</v>
      </c>
      <c r="AD30" s="272">
        <v>3889514</v>
      </c>
      <c r="AE30" s="272">
        <v>287024</v>
      </c>
      <c r="AF30" s="272">
        <v>15514</v>
      </c>
      <c r="AG30" s="272">
        <v>152814</v>
      </c>
      <c r="AH30" s="455">
        <f t="shared" si="3"/>
        <v>386664</v>
      </c>
      <c r="AI30" s="272">
        <v>352200</v>
      </c>
      <c r="AJ30" s="272">
        <v>34464</v>
      </c>
      <c r="AK30" s="272">
        <v>2398855</v>
      </c>
      <c r="AL30" s="455">
        <f t="shared" si="4"/>
        <v>1065822</v>
      </c>
      <c r="AM30" s="272">
        <v>739844</v>
      </c>
      <c r="AN30" s="272">
        <v>167724</v>
      </c>
      <c r="AO30" s="272">
        <v>0</v>
      </c>
      <c r="AP30" s="272">
        <v>158254</v>
      </c>
      <c r="AQ30" s="272">
        <v>73448</v>
      </c>
      <c r="AR30" s="272">
        <v>0</v>
      </c>
      <c r="AS30" s="272">
        <v>0</v>
      </c>
      <c r="AT30" s="272">
        <v>927745</v>
      </c>
      <c r="AU30" s="272">
        <v>316650</v>
      </c>
      <c r="AV30" s="272">
        <v>85335</v>
      </c>
      <c r="AW30" s="272">
        <v>0</v>
      </c>
      <c r="AX30" s="272">
        <v>611095</v>
      </c>
      <c r="AY30" s="272">
        <v>44758</v>
      </c>
      <c r="AZ30" s="272">
        <v>16995</v>
      </c>
      <c r="BA30" s="272">
        <v>0</v>
      </c>
      <c r="BB30" s="272">
        <v>80767</v>
      </c>
      <c r="BC30" s="272">
        <v>356755</v>
      </c>
      <c r="BD30" s="272">
        <v>0</v>
      </c>
      <c r="BE30" s="272">
        <v>0</v>
      </c>
      <c r="BF30" s="272">
        <v>356755</v>
      </c>
      <c r="BG30" s="272">
        <v>0</v>
      </c>
      <c r="BH30" s="272">
        <v>238952</v>
      </c>
      <c r="BI30" s="272">
        <v>10054</v>
      </c>
      <c r="BJ30" s="272">
        <v>149405</v>
      </c>
      <c r="BK30" s="272">
        <v>20084</v>
      </c>
      <c r="BL30" s="272">
        <v>0</v>
      </c>
      <c r="BM30" s="272">
        <v>0</v>
      </c>
      <c r="BN30" s="272">
        <v>214700</v>
      </c>
      <c r="BO30" s="455">
        <f t="shared" si="5"/>
        <v>100700</v>
      </c>
      <c r="BP30" s="455">
        <f t="shared" si="6"/>
        <v>114000</v>
      </c>
      <c r="BQ30" s="272">
        <v>114000</v>
      </c>
      <c r="BR30" s="272"/>
      <c r="BS30" s="272"/>
      <c r="BT30" s="272">
        <v>0</v>
      </c>
      <c r="BU30" s="272">
        <v>19290903</v>
      </c>
      <c r="BV30" s="272"/>
      <c r="BW30" s="272">
        <v>5641646</v>
      </c>
      <c r="BX30" s="272">
        <v>4119561</v>
      </c>
      <c r="BY30" s="272">
        <v>321728</v>
      </c>
      <c r="BZ30" s="272">
        <v>217610</v>
      </c>
      <c r="CA30" s="272">
        <v>2822394</v>
      </c>
      <c r="CB30" s="272">
        <v>379481</v>
      </c>
      <c r="CC30" s="272">
        <v>959266</v>
      </c>
      <c r="CD30" s="272">
        <v>455376</v>
      </c>
      <c r="CE30" s="272">
        <v>993045</v>
      </c>
      <c r="CF30" s="272">
        <v>0</v>
      </c>
      <c r="CG30" s="272">
        <v>34791</v>
      </c>
      <c r="CH30" s="272">
        <v>1610794</v>
      </c>
      <c r="CI30" s="272">
        <v>1134588</v>
      </c>
      <c r="CJ30" s="455">
        <f t="shared" si="7"/>
        <v>476206</v>
      </c>
      <c r="CK30" s="272">
        <v>2159504</v>
      </c>
      <c r="CL30" s="272">
        <v>1032659</v>
      </c>
      <c r="CM30" s="272">
        <v>231527</v>
      </c>
      <c r="CN30" s="272">
        <v>450705</v>
      </c>
      <c r="CO30" s="272">
        <v>213106</v>
      </c>
      <c r="CP30" s="272">
        <v>2912422</v>
      </c>
      <c r="CQ30" s="272">
        <v>1976283</v>
      </c>
      <c r="CR30" s="272">
        <v>534612</v>
      </c>
      <c r="CS30" s="272">
        <v>203740</v>
      </c>
      <c r="CT30" s="455">
        <f t="shared" si="8"/>
        <v>143068</v>
      </c>
      <c r="CU30" s="272">
        <v>102206</v>
      </c>
      <c r="CV30" s="272">
        <v>40862</v>
      </c>
      <c r="CW30" s="455">
        <f t="shared" si="9"/>
        <v>137547</v>
      </c>
      <c r="CX30" s="272">
        <v>96685</v>
      </c>
      <c r="CY30" s="272">
        <v>40862</v>
      </c>
      <c r="CZ30" s="455">
        <f t="shared" si="10"/>
        <v>0</v>
      </c>
      <c r="DA30" s="272">
        <v>0</v>
      </c>
      <c r="DB30" s="272">
        <v>0</v>
      </c>
      <c r="DC30" s="272">
        <v>676795</v>
      </c>
      <c r="DD30" s="272">
        <v>91811</v>
      </c>
      <c r="DE30" s="272">
        <v>574621</v>
      </c>
      <c r="DF30" s="272">
        <v>10363</v>
      </c>
      <c r="DG30" s="272">
        <v>0</v>
      </c>
      <c r="DH30" s="272">
        <v>0</v>
      </c>
      <c r="DI30" s="272">
        <v>933811</v>
      </c>
      <c r="DJ30" s="272">
        <v>52879</v>
      </c>
      <c r="DK30" s="272">
        <v>1075</v>
      </c>
      <c r="DL30" s="272">
        <v>879857</v>
      </c>
      <c r="DM30" s="272">
        <v>0</v>
      </c>
      <c r="DN30" s="272">
        <v>0</v>
      </c>
      <c r="DO30" s="272">
        <v>0</v>
      </c>
      <c r="DP30" s="272">
        <v>0</v>
      </c>
      <c r="DQ30" s="272">
        <v>20000</v>
      </c>
      <c r="DR30" s="272">
        <v>0</v>
      </c>
      <c r="DS30" s="272">
        <v>0</v>
      </c>
      <c r="DT30" s="272">
        <v>2283792</v>
      </c>
      <c r="DU30" s="272">
        <v>1535959</v>
      </c>
      <c r="DV30" s="455">
        <f t="shared" si="11"/>
        <v>0</v>
      </c>
      <c r="DW30" s="272">
        <v>0</v>
      </c>
      <c r="DX30" s="272">
        <v>0</v>
      </c>
      <c r="DY30" s="272">
        <v>0</v>
      </c>
      <c r="DZ30" s="272">
        <v>409669</v>
      </c>
      <c r="EA30" s="272">
        <v>308156</v>
      </c>
      <c r="EB30" s="272"/>
      <c r="EC30" s="272">
        <v>0</v>
      </c>
      <c r="ED30" s="272">
        <v>19274264</v>
      </c>
      <c r="EF30" s="272">
        <v>16639</v>
      </c>
      <c r="EG30" s="272">
        <v>217</v>
      </c>
      <c r="EH30" s="272">
        <v>16422</v>
      </c>
      <c r="EI30" s="272">
        <v>-5632</v>
      </c>
      <c r="EJ30" s="272">
        <v>47247</v>
      </c>
      <c r="EL30" s="272"/>
      <c r="EM30" s="272">
        <v>66886</v>
      </c>
      <c r="EN30" s="272"/>
      <c r="EO30" s="272">
        <v>1912</v>
      </c>
      <c r="EP30" s="455">
        <f t="shared" si="12"/>
        <v>226668</v>
      </c>
      <c r="EQ30" s="272">
        <v>14367251</v>
      </c>
      <c r="ER30" s="272">
        <v>-327066</v>
      </c>
      <c r="ES30" s="272">
        <v>5198237</v>
      </c>
      <c r="ET30" s="272">
        <v>3770144</v>
      </c>
      <c r="EU30" s="272">
        <v>928857</v>
      </c>
      <c r="EV30" s="272">
        <v>1433172</v>
      </c>
      <c r="EW30" s="455">
        <f t="shared" si="13"/>
        <v>347689</v>
      </c>
      <c r="EX30" s="272">
        <v>347689</v>
      </c>
      <c r="EY30" s="272">
        <v>9182</v>
      </c>
      <c r="EZ30" s="272">
        <v>334644</v>
      </c>
      <c r="FA30" s="272">
        <v>0</v>
      </c>
      <c r="FB30" s="272"/>
      <c r="FC30" s="272">
        <v>1580610</v>
      </c>
      <c r="FD30" s="272">
        <v>2414140</v>
      </c>
      <c r="FE30" s="272">
        <v>1960639</v>
      </c>
      <c r="FF30" s="272">
        <v>2136632</v>
      </c>
      <c r="FG30" s="455">
        <f t="shared" si="14"/>
        <v>638341</v>
      </c>
      <c r="FH30" s="272">
        <v>14677678</v>
      </c>
      <c r="FI30" s="384">
        <f t="shared" si="15"/>
        <v>0.1</v>
      </c>
      <c r="FJ30" s="272">
        <v>13196708</v>
      </c>
      <c r="FK30" s="272"/>
      <c r="FL30" s="272">
        <v>7016186</v>
      </c>
      <c r="FM30" s="272">
        <v>10901579</v>
      </c>
      <c r="FN30" s="460">
        <v>0.68</v>
      </c>
      <c r="FO30" s="388">
        <v>90.9</v>
      </c>
      <c r="FP30" s="388">
        <v>38</v>
      </c>
      <c r="FQ30" s="388">
        <v>6.7</v>
      </c>
      <c r="FR30" s="388">
        <v>10.8</v>
      </c>
      <c r="FS30" s="388">
        <v>9.3000000000000007</v>
      </c>
      <c r="FT30" s="388">
        <v>16.7</v>
      </c>
      <c r="FU30" s="388">
        <v>7.9</v>
      </c>
      <c r="FV30" s="388">
        <v>8.1999999999999993</v>
      </c>
      <c r="FW30" s="272">
        <v>12722252</v>
      </c>
      <c r="FX30" s="384">
        <f t="shared" si="16"/>
        <v>96.4</v>
      </c>
      <c r="FY30" s="272">
        <v>4199061</v>
      </c>
      <c r="FZ30" s="272">
        <v>927951</v>
      </c>
      <c r="GA30" s="272">
        <v>369961</v>
      </c>
      <c r="GB30" s="272">
        <v>2901149</v>
      </c>
      <c r="GC30" s="272"/>
      <c r="GD30" s="272">
        <v>1032537</v>
      </c>
      <c r="GE30" s="384">
        <f t="shared" si="17"/>
        <v>7.8</v>
      </c>
      <c r="GF30" s="388">
        <v>97.4</v>
      </c>
      <c r="GG30" s="388">
        <v>24</v>
      </c>
      <c r="GH30" s="388">
        <v>92.1</v>
      </c>
      <c r="GI30" s="272">
        <v>557</v>
      </c>
    </row>
    <row r="31" spans="2:191" x14ac:dyDescent="0.15">
      <c r="B31" s="89" t="s">
        <v>55</v>
      </c>
      <c r="C31" s="272">
        <v>87528853</v>
      </c>
      <c r="D31" s="455">
        <f t="shared" si="0"/>
        <v>24288282</v>
      </c>
      <c r="E31" s="272">
        <v>559697</v>
      </c>
      <c r="F31" s="272">
        <v>23728585</v>
      </c>
      <c r="G31" s="455">
        <f t="shared" si="1"/>
        <v>6829171</v>
      </c>
      <c r="H31" s="272">
        <v>1454929</v>
      </c>
      <c r="I31" s="272">
        <v>5374242</v>
      </c>
      <c r="J31" s="272">
        <v>40296027</v>
      </c>
      <c r="K31" s="272">
        <v>23254339</v>
      </c>
      <c r="L31" s="272">
        <v>12527477</v>
      </c>
      <c r="M31" s="272">
        <v>4261606</v>
      </c>
      <c r="N31" s="272">
        <v>3934260</v>
      </c>
      <c r="O31" s="272">
        <v>9553487</v>
      </c>
      <c r="P31" s="272">
        <v>6669569</v>
      </c>
      <c r="Q31" s="272">
        <v>2883918</v>
      </c>
      <c r="R31" s="272">
        <v>991915</v>
      </c>
      <c r="S31" s="272"/>
      <c r="T31" s="455">
        <f t="shared" si="2"/>
        <v>7175958</v>
      </c>
      <c r="U31" s="272">
        <v>863202</v>
      </c>
      <c r="V31" s="272"/>
      <c r="W31" s="272"/>
      <c r="X31" s="272">
        <v>5261715</v>
      </c>
      <c r="Y31" s="272">
        <v>0</v>
      </c>
      <c r="Z31" s="272">
        <v>30134</v>
      </c>
      <c r="AA31" s="272">
        <v>1020907</v>
      </c>
      <c r="AB31" s="272">
        <v>1943300</v>
      </c>
      <c r="AC31" s="272">
        <v>13440531</v>
      </c>
      <c r="AD31" s="272">
        <v>12290521</v>
      </c>
      <c r="AE31" s="272">
        <v>1150010</v>
      </c>
      <c r="AF31" s="272">
        <v>117967</v>
      </c>
      <c r="AG31" s="272">
        <v>4420491</v>
      </c>
      <c r="AH31" s="455">
        <f t="shared" si="3"/>
        <v>3514871</v>
      </c>
      <c r="AI31" s="272">
        <v>2822891</v>
      </c>
      <c r="AJ31" s="272">
        <v>691980</v>
      </c>
      <c r="AK31" s="272">
        <v>26963995</v>
      </c>
      <c r="AL31" s="455">
        <f t="shared" si="4"/>
        <v>15223270</v>
      </c>
      <c r="AM31" s="272">
        <v>12483820</v>
      </c>
      <c r="AN31" s="272">
        <v>1313844</v>
      </c>
      <c r="AO31" s="272">
        <v>55874</v>
      </c>
      <c r="AP31" s="272">
        <v>1369732</v>
      </c>
      <c r="AQ31" s="272">
        <v>2481947</v>
      </c>
      <c r="AR31" s="272">
        <v>0</v>
      </c>
      <c r="AS31" s="272">
        <v>0</v>
      </c>
      <c r="AT31" s="272">
        <v>9851861</v>
      </c>
      <c r="AU31" s="272">
        <v>3698768</v>
      </c>
      <c r="AV31" s="272">
        <v>665331</v>
      </c>
      <c r="AW31" s="272">
        <v>344222</v>
      </c>
      <c r="AX31" s="272">
        <v>6153093</v>
      </c>
      <c r="AY31" s="272">
        <v>1122462</v>
      </c>
      <c r="AZ31" s="272">
        <v>809874</v>
      </c>
      <c r="BA31" s="272">
        <v>467939</v>
      </c>
      <c r="BB31" s="272">
        <v>348666</v>
      </c>
      <c r="BC31" s="272">
        <v>2059113</v>
      </c>
      <c r="BD31" s="272">
        <v>141000</v>
      </c>
      <c r="BE31" s="272">
        <v>0</v>
      </c>
      <c r="BF31" s="272">
        <v>1548125</v>
      </c>
      <c r="BG31" s="272">
        <v>0</v>
      </c>
      <c r="BH31" s="272">
        <v>4464733</v>
      </c>
      <c r="BI31" s="272">
        <v>1241212</v>
      </c>
      <c r="BJ31" s="272">
        <v>4656384</v>
      </c>
      <c r="BK31" s="272">
        <v>3380908</v>
      </c>
      <c r="BL31" s="272">
        <v>47770</v>
      </c>
      <c r="BM31" s="272">
        <v>94719</v>
      </c>
      <c r="BN31" s="272">
        <v>10494700</v>
      </c>
      <c r="BO31" s="455">
        <f t="shared" si="5"/>
        <v>9631900</v>
      </c>
      <c r="BP31" s="455">
        <f t="shared" si="6"/>
        <v>862800</v>
      </c>
      <c r="BQ31" s="272">
        <v>862800</v>
      </c>
      <c r="BR31" s="272"/>
      <c r="BS31" s="272"/>
      <c r="BT31" s="272">
        <v>0</v>
      </c>
      <c r="BU31" s="272">
        <v>178783212</v>
      </c>
      <c r="BV31" s="272"/>
      <c r="BW31" s="272">
        <v>46034032</v>
      </c>
      <c r="BX31" s="272">
        <v>33903820</v>
      </c>
      <c r="BY31" s="272">
        <v>4881964</v>
      </c>
      <c r="BZ31" s="272">
        <v>728500</v>
      </c>
      <c r="CA31" s="272">
        <v>34133796</v>
      </c>
      <c r="CB31" s="272">
        <v>2687619</v>
      </c>
      <c r="CC31" s="272">
        <v>6188551</v>
      </c>
      <c r="CD31" s="272">
        <v>5053076</v>
      </c>
      <c r="CE31" s="272">
        <v>16783685</v>
      </c>
      <c r="CF31" s="272">
        <v>3081219</v>
      </c>
      <c r="CG31" s="272">
        <v>336016</v>
      </c>
      <c r="CH31" s="272">
        <v>16661834</v>
      </c>
      <c r="CI31" s="272">
        <v>11031401</v>
      </c>
      <c r="CJ31" s="455">
        <f t="shared" si="7"/>
        <v>5630433</v>
      </c>
      <c r="CK31" s="272">
        <v>16987706</v>
      </c>
      <c r="CL31" s="272">
        <v>10614113</v>
      </c>
      <c r="CM31" s="272">
        <v>1018611</v>
      </c>
      <c r="CN31" s="272">
        <v>2648658</v>
      </c>
      <c r="CO31" s="272">
        <v>1287928</v>
      </c>
      <c r="CP31" s="272">
        <v>14247079</v>
      </c>
      <c r="CQ31" s="272">
        <v>4404132</v>
      </c>
      <c r="CR31" s="272">
        <v>6536651</v>
      </c>
      <c r="CS31" s="272">
        <v>3654292</v>
      </c>
      <c r="CT31" s="455">
        <f t="shared" si="8"/>
        <v>1667108</v>
      </c>
      <c r="CU31" s="272">
        <v>1135471</v>
      </c>
      <c r="CV31" s="272">
        <v>531637</v>
      </c>
      <c r="CW31" s="455">
        <f t="shared" si="9"/>
        <v>1572911</v>
      </c>
      <c r="CX31" s="272">
        <v>1041274</v>
      </c>
      <c r="CY31" s="272">
        <v>531637</v>
      </c>
      <c r="CZ31" s="455">
        <f t="shared" si="10"/>
        <v>0</v>
      </c>
      <c r="DA31" s="272">
        <v>0</v>
      </c>
      <c r="DB31" s="272">
        <v>0</v>
      </c>
      <c r="DC31" s="272">
        <v>19658590</v>
      </c>
      <c r="DD31" s="272">
        <v>4290870</v>
      </c>
      <c r="DE31" s="272">
        <v>13676261</v>
      </c>
      <c r="DF31" s="272">
        <v>238257</v>
      </c>
      <c r="DG31" s="272">
        <v>1453202</v>
      </c>
      <c r="DH31" s="272">
        <v>0</v>
      </c>
      <c r="DI31" s="272">
        <v>6020656</v>
      </c>
      <c r="DJ31" s="272">
        <v>158900</v>
      </c>
      <c r="DK31" s="272">
        <v>1252200</v>
      </c>
      <c r="DL31" s="272">
        <v>4609556</v>
      </c>
      <c r="DM31" s="272">
        <v>673839</v>
      </c>
      <c r="DN31" s="272">
        <v>596089</v>
      </c>
      <c r="DO31" s="272">
        <v>0</v>
      </c>
      <c r="DP31" s="272">
        <v>596089</v>
      </c>
      <c r="DQ31" s="272">
        <v>3308324</v>
      </c>
      <c r="DR31" s="272">
        <v>0</v>
      </c>
      <c r="DS31" s="272">
        <v>0</v>
      </c>
      <c r="DT31" s="272">
        <v>18208841</v>
      </c>
      <c r="DU31" s="272">
        <v>10525048</v>
      </c>
      <c r="DV31" s="455">
        <f t="shared" si="11"/>
        <v>0</v>
      </c>
      <c r="DW31" s="272">
        <v>0</v>
      </c>
      <c r="DX31" s="272">
        <v>0</v>
      </c>
      <c r="DY31" s="272">
        <v>0</v>
      </c>
      <c r="DZ31" s="272">
        <v>5383000</v>
      </c>
      <c r="EA31" s="272">
        <v>2293164</v>
      </c>
      <c r="EB31" s="272"/>
      <c r="EC31" s="272">
        <v>0</v>
      </c>
      <c r="ED31" s="272">
        <v>177222625</v>
      </c>
      <c r="EF31" s="272">
        <v>1560587</v>
      </c>
      <c r="EG31" s="272">
        <v>744948</v>
      </c>
      <c r="EH31" s="272">
        <v>815639</v>
      </c>
      <c r="EI31" s="272">
        <v>-425573</v>
      </c>
      <c r="EJ31" s="272">
        <v>-407673</v>
      </c>
      <c r="EL31" s="272"/>
      <c r="EM31" s="272">
        <v>497393</v>
      </c>
      <c r="EN31" s="272">
        <v>156620</v>
      </c>
      <c r="EO31" s="272">
        <v>104165</v>
      </c>
      <c r="EP31" s="455">
        <f t="shared" si="12"/>
        <v>5289157</v>
      </c>
      <c r="EQ31" s="272">
        <v>111198524</v>
      </c>
      <c r="ER31" s="272">
        <v>-6294775</v>
      </c>
      <c r="ES31" s="272">
        <v>43431870</v>
      </c>
      <c r="ET31" s="272">
        <v>31455623</v>
      </c>
      <c r="EU31" s="272">
        <v>9157202</v>
      </c>
      <c r="EV31" s="272">
        <v>15858287</v>
      </c>
      <c r="EW31" s="455">
        <f t="shared" si="13"/>
        <v>4842194</v>
      </c>
      <c r="EX31" s="272">
        <v>4842194</v>
      </c>
      <c r="EY31" s="272">
        <v>262687</v>
      </c>
      <c r="EZ31" s="272">
        <v>4544971</v>
      </c>
      <c r="FA31" s="272">
        <v>0</v>
      </c>
      <c r="FB31" s="272"/>
      <c r="FC31" s="272">
        <v>11849108</v>
      </c>
      <c r="FD31" s="272">
        <v>11005586</v>
      </c>
      <c r="FE31" s="272">
        <v>4404132</v>
      </c>
      <c r="FF31" s="272">
        <v>16671818</v>
      </c>
      <c r="FG31" s="455">
        <f t="shared" si="14"/>
        <v>3149947</v>
      </c>
      <c r="FH31" s="272">
        <v>115966012</v>
      </c>
      <c r="FI31" s="384">
        <f t="shared" si="15"/>
        <v>0.8</v>
      </c>
      <c r="FJ31" s="272">
        <v>100839439</v>
      </c>
      <c r="FK31" s="272"/>
      <c r="FL31" s="272">
        <v>66692739</v>
      </c>
      <c r="FM31" s="272">
        <v>79024723</v>
      </c>
      <c r="FN31" s="460">
        <v>0.89100000000000001</v>
      </c>
      <c r="FO31" s="388">
        <v>98.2</v>
      </c>
      <c r="FP31" s="388">
        <v>42</v>
      </c>
      <c r="FQ31" s="388">
        <v>9.1</v>
      </c>
      <c r="FR31" s="388">
        <v>14.8</v>
      </c>
      <c r="FS31" s="388">
        <v>10.5</v>
      </c>
      <c r="FT31" s="388">
        <v>8.4</v>
      </c>
      <c r="FU31" s="388">
        <v>12.4</v>
      </c>
      <c r="FV31" s="388">
        <v>11</v>
      </c>
      <c r="FW31" s="272">
        <v>140047568</v>
      </c>
      <c r="FX31" s="384">
        <f t="shared" si="16"/>
        <v>138.9</v>
      </c>
      <c r="FY31" s="272">
        <v>32299927</v>
      </c>
      <c r="FZ31" s="272">
        <v>6964800</v>
      </c>
      <c r="GA31" s="272">
        <v>2607900</v>
      </c>
      <c r="GB31" s="272">
        <v>22727227</v>
      </c>
      <c r="GC31" s="272"/>
      <c r="GD31" s="272">
        <v>36632528</v>
      </c>
      <c r="GE31" s="384">
        <f t="shared" si="17"/>
        <v>36.299999999999997</v>
      </c>
      <c r="GF31" s="388">
        <v>96.2</v>
      </c>
      <c r="GG31" s="388">
        <v>25.4</v>
      </c>
      <c r="GH31" s="388">
        <v>88.7</v>
      </c>
      <c r="GI31" s="272">
        <v>3864</v>
      </c>
    </row>
    <row r="32" spans="2:191" x14ac:dyDescent="0.15">
      <c r="B32" s="89" t="s">
        <v>57</v>
      </c>
      <c r="C32" s="272">
        <v>10407225</v>
      </c>
      <c r="D32" s="455">
        <f t="shared" si="0"/>
        <v>2569377</v>
      </c>
      <c r="E32" s="272">
        <v>53092</v>
      </c>
      <c r="F32" s="272">
        <v>2516285</v>
      </c>
      <c r="G32" s="455">
        <f t="shared" si="1"/>
        <v>395552</v>
      </c>
      <c r="H32" s="272">
        <v>165779</v>
      </c>
      <c r="I32" s="272">
        <v>229773</v>
      </c>
      <c r="J32" s="272">
        <v>5946006</v>
      </c>
      <c r="K32" s="272">
        <v>3021605</v>
      </c>
      <c r="L32" s="272">
        <v>1541214</v>
      </c>
      <c r="M32" s="272">
        <v>1370015</v>
      </c>
      <c r="N32" s="272">
        <v>381997</v>
      </c>
      <c r="O32" s="272">
        <v>1028928</v>
      </c>
      <c r="P32" s="272">
        <v>708515</v>
      </c>
      <c r="Q32" s="272">
        <v>320413</v>
      </c>
      <c r="R32" s="272">
        <v>178563</v>
      </c>
      <c r="S32" s="272"/>
      <c r="T32" s="455">
        <f t="shared" si="2"/>
        <v>833366</v>
      </c>
      <c r="U32" s="272">
        <v>86896</v>
      </c>
      <c r="V32" s="272"/>
      <c r="W32" s="272"/>
      <c r="X32" s="272">
        <v>544289</v>
      </c>
      <c r="Y32" s="272">
        <v>59444</v>
      </c>
      <c r="Z32" s="272">
        <v>1469</v>
      </c>
      <c r="AA32" s="272">
        <v>141268</v>
      </c>
      <c r="AB32" s="272">
        <v>184509</v>
      </c>
      <c r="AC32" s="272">
        <v>2401595</v>
      </c>
      <c r="AD32" s="272">
        <v>1854593</v>
      </c>
      <c r="AE32" s="272">
        <v>547002</v>
      </c>
      <c r="AF32" s="272">
        <v>13560</v>
      </c>
      <c r="AG32" s="272">
        <v>111760</v>
      </c>
      <c r="AH32" s="455">
        <f t="shared" si="3"/>
        <v>334209</v>
      </c>
      <c r="AI32" s="272">
        <v>213503</v>
      </c>
      <c r="AJ32" s="272">
        <v>120706</v>
      </c>
      <c r="AK32" s="272">
        <v>2988295</v>
      </c>
      <c r="AL32" s="455">
        <f t="shared" si="4"/>
        <v>1218134</v>
      </c>
      <c r="AM32" s="272">
        <v>941765</v>
      </c>
      <c r="AN32" s="272">
        <v>148858</v>
      </c>
      <c r="AO32" s="272">
        <v>0</v>
      </c>
      <c r="AP32" s="272">
        <v>127511</v>
      </c>
      <c r="AQ32" s="272">
        <v>144408</v>
      </c>
      <c r="AR32" s="272">
        <v>2131</v>
      </c>
      <c r="AS32" s="272">
        <v>0</v>
      </c>
      <c r="AT32" s="272">
        <v>1110757</v>
      </c>
      <c r="AU32" s="272">
        <v>495726</v>
      </c>
      <c r="AV32" s="272">
        <v>75696</v>
      </c>
      <c r="AW32" s="272">
        <v>121294</v>
      </c>
      <c r="AX32" s="272">
        <v>615031</v>
      </c>
      <c r="AY32" s="272">
        <v>63183</v>
      </c>
      <c r="AZ32" s="272">
        <v>19351</v>
      </c>
      <c r="BA32" s="272">
        <v>0</v>
      </c>
      <c r="BB32" s="272">
        <v>164583</v>
      </c>
      <c r="BC32" s="272">
        <v>348844</v>
      </c>
      <c r="BD32" s="272">
        <v>0</v>
      </c>
      <c r="BE32" s="272">
        <v>0</v>
      </c>
      <c r="BF32" s="272">
        <v>348844</v>
      </c>
      <c r="BG32" s="272">
        <v>0</v>
      </c>
      <c r="BH32" s="272">
        <v>24324</v>
      </c>
      <c r="BI32" s="272">
        <v>0</v>
      </c>
      <c r="BJ32" s="272">
        <v>259854</v>
      </c>
      <c r="BK32" s="272">
        <v>17771</v>
      </c>
      <c r="BL32" s="272">
        <v>0</v>
      </c>
      <c r="BM32" s="272">
        <v>0</v>
      </c>
      <c r="BN32" s="272">
        <v>1105500</v>
      </c>
      <c r="BO32" s="455">
        <f t="shared" si="5"/>
        <v>1020500</v>
      </c>
      <c r="BP32" s="455">
        <f t="shared" si="6"/>
        <v>85000</v>
      </c>
      <c r="BQ32" s="272">
        <v>85000</v>
      </c>
      <c r="BR32" s="272"/>
      <c r="BS32" s="272"/>
      <c r="BT32" s="272">
        <v>0</v>
      </c>
      <c r="BU32" s="272">
        <v>20486295</v>
      </c>
      <c r="BV32" s="272"/>
      <c r="BW32" s="272">
        <v>6332823</v>
      </c>
      <c r="BX32" s="272">
        <v>4727203</v>
      </c>
      <c r="BY32" s="272">
        <v>189750</v>
      </c>
      <c r="BZ32" s="272">
        <v>262189</v>
      </c>
      <c r="CA32" s="272">
        <v>2670899</v>
      </c>
      <c r="CB32" s="272">
        <v>379515</v>
      </c>
      <c r="CC32" s="272">
        <v>657939</v>
      </c>
      <c r="CD32" s="272">
        <v>325493</v>
      </c>
      <c r="CE32" s="272">
        <v>1259222</v>
      </c>
      <c r="CF32" s="272">
        <v>0</v>
      </c>
      <c r="CG32" s="272">
        <v>48510</v>
      </c>
      <c r="CH32" s="272">
        <v>2348418</v>
      </c>
      <c r="CI32" s="272">
        <v>1394139</v>
      </c>
      <c r="CJ32" s="455">
        <f t="shared" si="7"/>
        <v>954279</v>
      </c>
      <c r="CK32" s="272">
        <v>2475447</v>
      </c>
      <c r="CL32" s="272">
        <v>1458347</v>
      </c>
      <c r="CM32" s="272">
        <v>142626</v>
      </c>
      <c r="CN32" s="272">
        <v>453947</v>
      </c>
      <c r="CO32" s="272">
        <v>140306</v>
      </c>
      <c r="CP32" s="272">
        <v>1602187</v>
      </c>
      <c r="CQ32" s="272">
        <v>626038</v>
      </c>
      <c r="CR32" s="272">
        <v>269695</v>
      </c>
      <c r="CS32" s="272">
        <v>185658</v>
      </c>
      <c r="CT32" s="455">
        <f t="shared" si="8"/>
        <v>2340</v>
      </c>
      <c r="CU32" s="272">
        <v>2340</v>
      </c>
      <c r="CV32" s="272">
        <v>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2158238</v>
      </c>
      <c r="DD32" s="272">
        <v>553804</v>
      </c>
      <c r="DE32" s="272">
        <v>1562585</v>
      </c>
      <c r="DF32" s="272">
        <v>41849</v>
      </c>
      <c r="DG32" s="272">
        <v>0</v>
      </c>
      <c r="DH32" s="272">
        <v>4433</v>
      </c>
      <c r="DI32" s="272">
        <v>916887</v>
      </c>
      <c r="DJ32" s="272">
        <v>0</v>
      </c>
      <c r="DK32" s="272">
        <v>173102</v>
      </c>
      <c r="DL32" s="272">
        <v>743785</v>
      </c>
      <c r="DM32" s="272">
        <v>21000</v>
      </c>
      <c r="DN32" s="272">
        <v>21000</v>
      </c>
      <c r="DO32" s="272">
        <v>21000</v>
      </c>
      <c r="DP32" s="272">
        <v>0</v>
      </c>
      <c r="DQ32" s="272">
        <v>0</v>
      </c>
      <c r="DR32" s="272">
        <v>0</v>
      </c>
      <c r="DS32" s="272">
        <v>0</v>
      </c>
      <c r="DT32" s="272">
        <v>1813889</v>
      </c>
      <c r="DU32" s="272">
        <v>996324</v>
      </c>
      <c r="DV32" s="455">
        <f t="shared" si="11"/>
        <v>0</v>
      </c>
      <c r="DW32" s="272">
        <v>0</v>
      </c>
      <c r="DX32" s="272">
        <v>0</v>
      </c>
      <c r="DY32" s="272">
        <v>0</v>
      </c>
      <c r="DZ32" s="272">
        <v>536324</v>
      </c>
      <c r="EA32" s="272">
        <v>281241</v>
      </c>
      <c r="EB32" s="272"/>
      <c r="EC32" s="272">
        <v>0</v>
      </c>
      <c r="ED32" s="272">
        <v>20484527</v>
      </c>
      <c r="EF32" s="272">
        <v>1768</v>
      </c>
      <c r="EG32" s="272">
        <v>103031</v>
      </c>
      <c r="EH32" s="272">
        <v>-101263</v>
      </c>
      <c r="EI32" s="272">
        <v>-79524</v>
      </c>
      <c r="EJ32" s="272">
        <v>-79524</v>
      </c>
      <c r="EL32" s="272"/>
      <c r="EM32" s="272">
        <v>64319</v>
      </c>
      <c r="EN32" s="272"/>
      <c r="EO32" s="272">
        <v>188</v>
      </c>
      <c r="EP32" s="455">
        <f t="shared" si="12"/>
        <v>686534</v>
      </c>
      <c r="EQ32" s="272">
        <v>14018818</v>
      </c>
      <c r="ER32" s="272">
        <v>-758162</v>
      </c>
      <c r="ES32" s="272">
        <v>5832246</v>
      </c>
      <c r="ET32" s="272">
        <v>4260951</v>
      </c>
      <c r="EU32" s="272">
        <v>845844</v>
      </c>
      <c r="EV32" s="272">
        <v>2292925</v>
      </c>
      <c r="EW32" s="455">
        <f t="shared" si="13"/>
        <v>447876</v>
      </c>
      <c r="EX32" s="272">
        <v>446274</v>
      </c>
      <c r="EY32" s="272">
        <v>25021</v>
      </c>
      <c r="EZ32" s="272">
        <v>415768</v>
      </c>
      <c r="FA32" s="272">
        <v>1602</v>
      </c>
      <c r="FB32" s="272"/>
      <c r="FC32" s="272">
        <v>1940446</v>
      </c>
      <c r="FD32" s="272">
        <v>1216164</v>
      </c>
      <c r="FE32" s="272">
        <v>626038</v>
      </c>
      <c r="FF32" s="272">
        <v>1663542</v>
      </c>
      <c r="FG32" s="455">
        <f t="shared" si="14"/>
        <v>536778</v>
      </c>
      <c r="FH32" s="272">
        <v>14775821</v>
      </c>
      <c r="FI32" s="384">
        <f t="shared" si="15"/>
        <v>-0.8</v>
      </c>
      <c r="FJ32" s="272">
        <v>12613788</v>
      </c>
      <c r="FK32" s="272"/>
      <c r="FL32" s="272">
        <v>8118065</v>
      </c>
      <c r="FM32" s="272">
        <v>9955407</v>
      </c>
      <c r="FN32" s="460">
        <v>0.85399999999999998</v>
      </c>
      <c r="FO32" s="388">
        <v>100.8</v>
      </c>
      <c r="FP32" s="388">
        <v>45.4</v>
      </c>
      <c r="FQ32" s="388">
        <v>6.7</v>
      </c>
      <c r="FR32" s="388">
        <v>18.3</v>
      </c>
      <c r="FS32" s="388">
        <v>14.1</v>
      </c>
      <c r="FT32" s="388">
        <v>7.9</v>
      </c>
      <c r="FU32" s="388">
        <v>7.4</v>
      </c>
      <c r="FV32" s="388">
        <v>13.4</v>
      </c>
      <c r="FW32" s="272">
        <v>24351290</v>
      </c>
      <c r="FX32" s="384">
        <f t="shared" si="16"/>
        <v>193.1</v>
      </c>
      <c r="FY32" s="272">
        <v>3436768</v>
      </c>
      <c r="FZ32" s="272"/>
      <c r="GA32" s="272">
        <v>684599</v>
      </c>
      <c r="GB32" s="272">
        <v>2752169</v>
      </c>
      <c r="GC32" s="272"/>
      <c r="GD32" s="272">
        <v>13059757</v>
      </c>
      <c r="GE32" s="384">
        <f t="shared" si="17"/>
        <v>103.5</v>
      </c>
      <c r="GF32" s="388">
        <v>94.6</v>
      </c>
      <c r="GG32" s="388">
        <v>16.5</v>
      </c>
      <c r="GH32" s="388">
        <v>81.5</v>
      </c>
      <c r="GI32" s="272">
        <v>652</v>
      </c>
    </row>
    <row r="33" spans="2:191" x14ac:dyDescent="0.15">
      <c r="B33" s="89" t="s">
        <v>59</v>
      </c>
      <c r="C33" s="272">
        <v>7122014</v>
      </c>
      <c r="D33" s="455">
        <f t="shared" si="0"/>
        <v>2766646</v>
      </c>
      <c r="E33" s="272">
        <v>52523</v>
      </c>
      <c r="F33" s="272">
        <v>2714123</v>
      </c>
      <c r="G33" s="455">
        <f t="shared" si="1"/>
        <v>269357</v>
      </c>
      <c r="H33" s="272">
        <v>100565</v>
      </c>
      <c r="I33" s="272">
        <v>168792</v>
      </c>
      <c r="J33" s="272">
        <v>3035973</v>
      </c>
      <c r="K33" s="272">
        <v>1653790</v>
      </c>
      <c r="L33" s="272">
        <v>1109408</v>
      </c>
      <c r="M33" s="272">
        <v>261475</v>
      </c>
      <c r="N33" s="272">
        <v>283172</v>
      </c>
      <c r="O33" s="272">
        <v>727603</v>
      </c>
      <c r="P33" s="272">
        <v>486959</v>
      </c>
      <c r="Q33" s="272">
        <v>240644</v>
      </c>
      <c r="R33" s="272">
        <v>104527</v>
      </c>
      <c r="S33" s="272"/>
      <c r="T33" s="455">
        <f t="shared" si="2"/>
        <v>671530</v>
      </c>
      <c r="U33" s="272">
        <v>95527</v>
      </c>
      <c r="V33" s="272"/>
      <c r="W33" s="272"/>
      <c r="X33" s="272">
        <v>431647</v>
      </c>
      <c r="Y33" s="272">
        <v>36174</v>
      </c>
      <c r="Z33" s="272">
        <v>522</v>
      </c>
      <c r="AA33" s="272">
        <v>107660</v>
      </c>
      <c r="AB33" s="272">
        <v>214673</v>
      </c>
      <c r="AC33" s="272">
        <v>4236411</v>
      </c>
      <c r="AD33" s="272">
        <v>3820388</v>
      </c>
      <c r="AE33" s="272">
        <v>416023</v>
      </c>
      <c r="AF33" s="272">
        <v>11470</v>
      </c>
      <c r="AG33" s="272">
        <v>291777</v>
      </c>
      <c r="AH33" s="455">
        <f t="shared" si="3"/>
        <v>247379</v>
      </c>
      <c r="AI33" s="272">
        <v>147143</v>
      </c>
      <c r="AJ33" s="272">
        <v>100236</v>
      </c>
      <c r="AK33" s="272">
        <v>1776654</v>
      </c>
      <c r="AL33" s="455">
        <f t="shared" si="4"/>
        <v>928103</v>
      </c>
      <c r="AM33" s="272">
        <v>560305</v>
      </c>
      <c r="AN33" s="272">
        <v>225017</v>
      </c>
      <c r="AO33" s="272">
        <v>0</v>
      </c>
      <c r="AP33" s="272">
        <v>142781</v>
      </c>
      <c r="AQ33" s="272">
        <v>184558</v>
      </c>
      <c r="AR33" s="272">
        <v>43804</v>
      </c>
      <c r="AS33" s="272">
        <v>0</v>
      </c>
      <c r="AT33" s="272">
        <v>786378</v>
      </c>
      <c r="AU33" s="272">
        <v>340799</v>
      </c>
      <c r="AV33" s="272">
        <v>82616</v>
      </c>
      <c r="AW33" s="272">
        <v>861</v>
      </c>
      <c r="AX33" s="272">
        <v>445579</v>
      </c>
      <c r="AY33" s="272">
        <v>63090</v>
      </c>
      <c r="AZ33" s="272">
        <v>37145</v>
      </c>
      <c r="BA33" s="272">
        <v>23348</v>
      </c>
      <c r="BB33" s="272">
        <v>27101</v>
      </c>
      <c r="BC33" s="272">
        <v>2914</v>
      </c>
      <c r="BD33" s="272">
        <v>0</v>
      </c>
      <c r="BE33" s="272">
        <v>0</v>
      </c>
      <c r="BF33" s="272">
        <v>2914</v>
      </c>
      <c r="BG33" s="272">
        <v>0</v>
      </c>
      <c r="BH33" s="272">
        <v>0</v>
      </c>
      <c r="BI33" s="272">
        <v>0</v>
      </c>
      <c r="BJ33" s="272">
        <v>96243</v>
      </c>
      <c r="BK33" s="272">
        <v>9000</v>
      </c>
      <c r="BL33" s="272">
        <v>0</v>
      </c>
      <c r="BM33" s="272">
        <v>0</v>
      </c>
      <c r="BN33" s="272">
        <v>1107200</v>
      </c>
      <c r="BO33" s="455">
        <f t="shared" si="5"/>
        <v>1015400</v>
      </c>
      <c r="BP33" s="455">
        <f t="shared" si="6"/>
        <v>91800</v>
      </c>
      <c r="BQ33" s="272">
        <v>91800</v>
      </c>
      <c r="BR33" s="272"/>
      <c r="BS33" s="272"/>
      <c r="BT33" s="272">
        <v>0</v>
      </c>
      <c r="BU33" s="272">
        <v>16733416</v>
      </c>
      <c r="BV33" s="272"/>
      <c r="BW33" s="272">
        <v>5005485</v>
      </c>
      <c r="BX33" s="272">
        <v>3827412</v>
      </c>
      <c r="BY33" s="272">
        <v>176919</v>
      </c>
      <c r="BZ33" s="272">
        <v>93702</v>
      </c>
      <c r="CA33" s="272">
        <v>2405210</v>
      </c>
      <c r="CB33" s="272">
        <v>269819</v>
      </c>
      <c r="CC33" s="272">
        <v>853767</v>
      </c>
      <c r="CD33" s="272">
        <v>475428</v>
      </c>
      <c r="CE33" s="272">
        <v>759206</v>
      </c>
      <c r="CF33" s="272">
        <v>4545</v>
      </c>
      <c r="CG33" s="272">
        <v>41842</v>
      </c>
      <c r="CH33" s="272">
        <v>2027087</v>
      </c>
      <c r="CI33" s="272">
        <v>1338994</v>
      </c>
      <c r="CJ33" s="455">
        <f t="shared" si="7"/>
        <v>688093</v>
      </c>
      <c r="CK33" s="272">
        <v>2200169</v>
      </c>
      <c r="CL33" s="272">
        <v>1343036</v>
      </c>
      <c r="CM33" s="272">
        <v>190858</v>
      </c>
      <c r="CN33" s="272">
        <v>290786</v>
      </c>
      <c r="CO33" s="272">
        <v>40086</v>
      </c>
      <c r="CP33" s="272">
        <v>1681413</v>
      </c>
      <c r="CQ33" s="272">
        <v>509004</v>
      </c>
      <c r="CR33" s="272">
        <v>611276</v>
      </c>
      <c r="CS33" s="272">
        <v>323327</v>
      </c>
      <c r="CT33" s="455">
        <f t="shared" si="8"/>
        <v>46476</v>
      </c>
      <c r="CU33" s="272">
        <v>34077</v>
      </c>
      <c r="CV33" s="272">
        <v>12399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1651408</v>
      </c>
      <c r="DD33" s="272">
        <v>356500</v>
      </c>
      <c r="DE33" s="272">
        <v>1272283</v>
      </c>
      <c r="DF33" s="272">
        <v>22625</v>
      </c>
      <c r="DG33" s="272">
        <v>0</v>
      </c>
      <c r="DH33" s="272">
        <v>113378</v>
      </c>
      <c r="DI33" s="272">
        <v>120687</v>
      </c>
      <c r="DJ33" s="272">
        <v>696</v>
      </c>
      <c r="DK33" s="272">
        <v>20704</v>
      </c>
      <c r="DL33" s="272">
        <v>99287</v>
      </c>
      <c r="DM33" s="272">
        <v>0</v>
      </c>
      <c r="DN33" s="272">
        <v>0</v>
      </c>
      <c r="DO33" s="272">
        <v>0</v>
      </c>
      <c r="DP33" s="272">
        <v>0</v>
      </c>
      <c r="DQ33" s="272">
        <v>9000</v>
      </c>
      <c r="DR33" s="272">
        <v>0</v>
      </c>
      <c r="DS33" s="272">
        <v>0</v>
      </c>
      <c r="DT33" s="272">
        <v>1866534</v>
      </c>
      <c r="DU33" s="272">
        <v>1266683</v>
      </c>
      <c r="DV33" s="455">
        <f t="shared" si="11"/>
        <v>0</v>
      </c>
      <c r="DW33" s="272">
        <v>0</v>
      </c>
      <c r="DX33" s="272">
        <v>0</v>
      </c>
      <c r="DY33" s="272">
        <v>0</v>
      </c>
      <c r="DZ33" s="272">
        <v>395326</v>
      </c>
      <c r="EA33" s="272">
        <v>203225</v>
      </c>
      <c r="EB33" s="272"/>
      <c r="EC33" s="272">
        <v>519528</v>
      </c>
      <c r="ED33" s="272">
        <v>17639985</v>
      </c>
      <c r="EF33" s="272">
        <v>-906569</v>
      </c>
      <c r="EG33" s="272">
        <v>51809</v>
      </c>
      <c r="EH33" s="272">
        <v>-958378</v>
      </c>
      <c r="EI33" s="272">
        <v>-400510</v>
      </c>
      <c r="EJ33" s="272">
        <v>-253989</v>
      </c>
      <c r="EL33" s="272"/>
      <c r="EM33" s="272">
        <v>54992</v>
      </c>
      <c r="EN33" s="272"/>
      <c r="EO33" s="272">
        <v>29437</v>
      </c>
      <c r="EP33" s="455">
        <f t="shared" si="12"/>
        <v>66789</v>
      </c>
      <c r="EQ33" s="272">
        <v>12360625</v>
      </c>
      <c r="ER33" s="272">
        <v>-176556</v>
      </c>
      <c r="ES33" s="272">
        <v>4637752</v>
      </c>
      <c r="ET33" s="272">
        <v>3537133</v>
      </c>
      <c r="EU33" s="272">
        <v>784045</v>
      </c>
      <c r="EV33" s="272">
        <v>2027087</v>
      </c>
      <c r="EW33" s="455">
        <f t="shared" si="13"/>
        <v>440022</v>
      </c>
      <c r="EX33" s="272">
        <v>419818</v>
      </c>
      <c r="EY33" s="272">
        <v>8881</v>
      </c>
      <c r="EZ33" s="272">
        <v>395912</v>
      </c>
      <c r="FA33" s="272">
        <v>20204</v>
      </c>
      <c r="FB33" s="272"/>
      <c r="FC33" s="272">
        <v>1850934</v>
      </c>
      <c r="FD33" s="272">
        <v>1307581</v>
      </c>
      <c r="FE33" s="272">
        <v>509004</v>
      </c>
      <c r="FF33" s="272">
        <v>1728223</v>
      </c>
      <c r="FG33" s="455">
        <f t="shared" si="14"/>
        <v>668106</v>
      </c>
      <c r="FH33" s="272">
        <v>13443750</v>
      </c>
      <c r="FI33" s="384">
        <f t="shared" si="15"/>
        <v>-8.5</v>
      </c>
      <c r="FJ33" s="272">
        <v>11256674</v>
      </c>
      <c r="FK33" s="272"/>
      <c r="FL33" s="272">
        <v>5606622</v>
      </c>
      <c r="FM33" s="272">
        <v>9444700</v>
      </c>
      <c r="FN33" s="460">
        <v>0.621</v>
      </c>
      <c r="FO33" s="388">
        <v>101.3</v>
      </c>
      <c r="FP33" s="388">
        <v>40.6</v>
      </c>
      <c r="FQ33" s="388">
        <v>6.9</v>
      </c>
      <c r="FR33" s="388">
        <v>16.7</v>
      </c>
      <c r="FS33" s="388">
        <v>15.6</v>
      </c>
      <c r="FT33" s="388">
        <v>8.6999999999999993</v>
      </c>
      <c r="FU33" s="388">
        <v>12.3</v>
      </c>
      <c r="FV33" s="388">
        <v>10.199999999999999</v>
      </c>
      <c r="FW33" s="272">
        <v>18578236</v>
      </c>
      <c r="FX33" s="384">
        <f t="shared" si="16"/>
        <v>165</v>
      </c>
      <c r="FY33" s="272">
        <v>1430657</v>
      </c>
      <c r="FZ33" s="272">
        <v>177904</v>
      </c>
      <c r="GA33" s="272">
        <v>84584</v>
      </c>
      <c r="GB33" s="272">
        <v>1168169</v>
      </c>
      <c r="GC33" s="272"/>
      <c r="GD33" s="272">
        <v>7158563</v>
      </c>
      <c r="GE33" s="384">
        <f t="shared" si="17"/>
        <v>63.6</v>
      </c>
      <c r="GF33" s="388">
        <v>96.8</v>
      </c>
      <c r="GG33" s="388">
        <v>19.3</v>
      </c>
      <c r="GH33" s="388">
        <v>90.3</v>
      </c>
      <c r="GI33" s="272">
        <v>512</v>
      </c>
    </row>
    <row r="34" spans="2:191" x14ac:dyDescent="0.15">
      <c r="B34" s="89" t="s">
        <v>61</v>
      </c>
      <c r="C34" s="272">
        <v>9998174</v>
      </c>
      <c r="D34" s="455">
        <f t="shared" si="0"/>
        <v>4884229</v>
      </c>
      <c r="E34" s="272">
        <v>71571</v>
      </c>
      <c r="F34" s="272">
        <v>4812658</v>
      </c>
      <c r="G34" s="455">
        <f t="shared" si="1"/>
        <v>356443</v>
      </c>
      <c r="H34" s="272">
        <v>106381</v>
      </c>
      <c r="I34" s="272">
        <v>250062</v>
      </c>
      <c r="J34" s="272">
        <v>3512628</v>
      </c>
      <c r="K34" s="272">
        <v>1621765</v>
      </c>
      <c r="L34" s="272">
        <v>1379700</v>
      </c>
      <c r="M34" s="272">
        <v>471187</v>
      </c>
      <c r="N34" s="272">
        <v>336171</v>
      </c>
      <c r="O34" s="272">
        <v>856669</v>
      </c>
      <c r="P34" s="272">
        <v>529978</v>
      </c>
      <c r="Q34" s="272">
        <v>326691</v>
      </c>
      <c r="R34" s="272">
        <v>154614</v>
      </c>
      <c r="S34" s="272"/>
      <c r="T34" s="455">
        <f t="shared" si="2"/>
        <v>990953</v>
      </c>
      <c r="U34" s="272">
        <v>158330</v>
      </c>
      <c r="V34" s="272"/>
      <c r="W34" s="272"/>
      <c r="X34" s="272">
        <v>557792</v>
      </c>
      <c r="Y34" s="272">
        <v>115602</v>
      </c>
      <c r="Z34" s="272">
        <v>119</v>
      </c>
      <c r="AA34" s="272">
        <v>159110</v>
      </c>
      <c r="AB34" s="272">
        <v>374482</v>
      </c>
      <c r="AC34" s="272">
        <v>4401721</v>
      </c>
      <c r="AD34" s="272">
        <v>4100694</v>
      </c>
      <c r="AE34" s="272">
        <v>301027</v>
      </c>
      <c r="AF34" s="272">
        <v>13837</v>
      </c>
      <c r="AG34" s="272">
        <v>251061</v>
      </c>
      <c r="AH34" s="455">
        <f t="shared" si="3"/>
        <v>189778</v>
      </c>
      <c r="AI34" s="272">
        <v>118448</v>
      </c>
      <c r="AJ34" s="272">
        <v>71330</v>
      </c>
      <c r="AK34" s="272">
        <v>1965211</v>
      </c>
      <c r="AL34" s="455">
        <f t="shared" si="4"/>
        <v>768527</v>
      </c>
      <c r="AM34" s="272">
        <v>378000</v>
      </c>
      <c r="AN34" s="272">
        <v>187008</v>
      </c>
      <c r="AO34" s="272">
        <v>0</v>
      </c>
      <c r="AP34" s="272">
        <v>203519</v>
      </c>
      <c r="AQ34" s="272">
        <v>70002</v>
      </c>
      <c r="AR34" s="272">
        <v>5683</v>
      </c>
      <c r="AS34" s="272">
        <v>0</v>
      </c>
      <c r="AT34" s="272">
        <v>884619</v>
      </c>
      <c r="AU34" s="272">
        <v>322217</v>
      </c>
      <c r="AV34" s="272">
        <v>95013</v>
      </c>
      <c r="AW34" s="272">
        <v>10657</v>
      </c>
      <c r="AX34" s="272">
        <v>562402</v>
      </c>
      <c r="AY34" s="272">
        <v>23526</v>
      </c>
      <c r="AZ34" s="272">
        <v>1422567</v>
      </c>
      <c r="BA34" s="272">
        <v>1400050</v>
      </c>
      <c r="BB34" s="272">
        <v>77360</v>
      </c>
      <c r="BC34" s="272">
        <v>202893</v>
      </c>
      <c r="BD34" s="272">
        <v>150183</v>
      </c>
      <c r="BE34" s="272">
        <v>0</v>
      </c>
      <c r="BF34" s="272">
        <v>52710</v>
      </c>
      <c r="BG34" s="272">
        <v>0</v>
      </c>
      <c r="BH34" s="272">
        <v>257100</v>
      </c>
      <c r="BI34" s="272">
        <v>0</v>
      </c>
      <c r="BJ34" s="272">
        <v>56938</v>
      </c>
      <c r="BK34" s="272">
        <v>0</v>
      </c>
      <c r="BL34" s="272">
        <v>0</v>
      </c>
      <c r="BM34" s="272">
        <v>0</v>
      </c>
      <c r="BN34" s="272">
        <v>3250376</v>
      </c>
      <c r="BO34" s="455">
        <f t="shared" si="5"/>
        <v>3106776</v>
      </c>
      <c r="BP34" s="455">
        <f t="shared" si="6"/>
        <v>143600</v>
      </c>
      <c r="BQ34" s="272">
        <v>143600</v>
      </c>
      <c r="BR34" s="272"/>
      <c r="BS34" s="272"/>
      <c r="BT34" s="272">
        <v>0</v>
      </c>
      <c r="BU34" s="272">
        <v>24491684</v>
      </c>
      <c r="BV34" s="272"/>
      <c r="BW34" s="272">
        <v>6371560</v>
      </c>
      <c r="BX34" s="272">
        <v>4598013</v>
      </c>
      <c r="BY34" s="272">
        <v>493493</v>
      </c>
      <c r="BZ34" s="272">
        <v>220677</v>
      </c>
      <c r="CA34" s="272">
        <v>2684726</v>
      </c>
      <c r="CB34" s="272">
        <v>442863</v>
      </c>
      <c r="CC34" s="272">
        <v>897802</v>
      </c>
      <c r="CD34" s="272">
        <v>710252</v>
      </c>
      <c r="CE34" s="272">
        <v>529312</v>
      </c>
      <c r="CF34" s="272">
        <v>46</v>
      </c>
      <c r="CG34" s="272">
        <v>104451</v>
      </c>
      <c r="CH34" s="272">
        <v>4706503</v>
      </c>
      <c r="CI34" s="272">
        <v>3448404</v>
      </c>
      <c r="CJ34" s="455">
        <f t="shared" si="7"/>
        <v>1258099</v>
      </c>
      <c r="CK34" s="272">
        <v>2652403</v>
      </c>
      <c r="CL34" s="272">
        <v>1639909</v>
      </c>
      <c r="CM34" s="272">
        <v>153810</v>
      </c>
      <c r="CN34" s="272">
        <v>477411</v>
      </c>
      <c r="CO34" s="272">
        <v>104212</v>
      </c>
      <c r="CP34" s="272">
        <v>1496632</v>
      </c>
      <c r="CQ34" s="272">
        <v>468641</v>
      </c>
      <c r="CR34" s="272">
        <v>662259</v>
      </c>
      <c r="CS34" s="272">
        <v>662259</v>
      </c>
      <c r="CT34" s="455">
        <f t="shared" si="8"/>
        <v>8306</v>
      </c>
      <c r="CU34" s="272">
        <v>8306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4639278</v>
      </c>
      <c r="DD34" s="272">
        <v>209883</v>
      </c>
      <c r="DE34" s="272">
        <v>4429395</v>
      </c>
      <c r="DF34" s="272">
        <v>0</v>
      </c>
      <c r="DG34" s="272">
        <v>0</v>
      </c>
      <c r="DH34" s="272">
        <v>62447</v>
      </c>
      <c r="DI34" s="272">
        <v>643135</v>
      </c>
      <c r="DJ34" s="272">
        <v>4099</v>
      </c>
      <c r="DK34" s="272">
        <v>3354</v>
      </c>
      <c r="DL34" s="272">
        <v>635682</v>
      </c>
      <c r="DM34" s="272">
        <v>0</v>
      </c>
      <c r="DN34" s="272">
        <v>0</v>
      </c>
      <c r="DO34" s="272">
        <v>0</v>
      </c>
      <c r="DP34" s="272">
        <v>0</v>
      </c>
      <c r="DQ34" s="272">
        <v>0</v>
      </c>
      <c r="DR34" s="272">
        <v>0</v>
      </c>
      <c r="DS34" s="272">
        <v>0</v>
      </c>
      <c r="DT34" s="272">
        <v>1371979</v>
      </c>
      <c r="DU34" s="272">
        <v>782100</v>
      </c>
      <c r="DV34" s="455">
        <f t="shared" si="11"/>
        <v>0</v>
      </c>
      <c r="DW34" s="272">
        <v>0</v>
      </c>
      <c r="DX34" s="272">
        <v>0</v>
      </c>
      <c r="DY34" s="272">
        <v>0</v>
      </c>
      <c r="DZ34" s="272">
        <v>314551</v>
      </c>
      <c r="EA34" s="272">
        <v>275328</v>
      </c>
      <c r="EB34" s="272"/>
      <c r="EC34" s="272">
        <v>0</v>
      </c>
      <c r="ED34" s="272">
        <v>24732875</v>
      </c>
      <c r="EF34" s="272">
        <v>-241191</v>
      </c>
      <c r="EG34" s="272">
        <v>24630</v>
      </c>
      <c r="EH34" s="272">
        <v>-265821</v>
      </c>
      <c r="EI34" s="272">
        <v>-115638</v>
      </c>
      <c r="EJ34" s="272">
        <v>-261722</v>
      </c>
      <c r="EL34" s="272"/>
      <c r="EM34" s="272">
        <v>77044</v>
      </c>
      <c r="EN34" s="272">
        <v>150183</v>
      </c>
      <c r="EO34" s="272">
        <v>36826</v>
      </c>
      <c r="EP34" s="455">
        <f t="shared" si="12"/>
        <v>214179</v>
      </c>
      <c r="EQ34" s="272">
        <v>15933781</v>
      </c>
      <c r="ER34" s="272">
        <v>-530951</v>
      </c>
      <c r="ES34" s="272">
        <v>6108038</v>
      </c>
      <c r="ET34" s="272">
        <v>4358031</v>
      </c>
      <c r="EU34" s="272">
        <v>1047237</v>
      </c>
      <c r="EV34" s="272">
        <v>3392427</v>
      </c>
      <c r="EW34" s="455">
        <f t="shared" si="13"/>
        <v>1347811</v>
      </c>
      <c r="EX34" s="272">
        <v>1306747</v>
      </c>
      <c r="EY34" s="272">
        <v>16693</v>
      </c>
      <c r="EZ34" s="272">
        <v>1290054</v>
      </c>
      <c r="FA34" s="272">
        <v>41064</v>
      </c>
      <c r="FB34" s="272"/>
      <c r="FC34" s="272">
        <v>2143906</v>
      </c>
      <c r="FD34" s="272">
        <v>1177513</v>
      </c>
      <c r="FE34" s="272">
        <v>468641</v>
      </c>
      <c r="FF34" s="272">
        <v>1267855</v>
      </c>
      <c r="FG34" s="455">
        <f t="shared" si="14"/>
        <v>221136</v>
      </c>
      <c r="FH34" s="272">
        <v>16705923</v>
      </c>
      <c r="FI34" s="384">
        <f t="shared" si="15"/>
        <v>-1.8</v>
      </c>
      <c r="FJ34" s="272">
        <v>14840418</v>
      </c>
      <c r="FK34" s="272"/>
      <c r="FL34" s="272">
        <v>8097433</v>
      </c>
      <c r="FM34" s="272">
        <v>12196200</v>
      </c>
      <c r="FN34" s="460">
        <v>0.69699999999999995</v>
      </c>
      <c r="FO34" s="388">
        <v>93.4</v>
      </c>
      <c r="FP34" s="388">
        <v>40.1</v>
      </c>
      <c r="FQ34" s="388">
        <v>7.1</v>
      </c>
      <c r="FR34" s="388">
        <v>21.7</v>
      </c>
      <c r="FS34" s="388">
        <v>13.3</v>
      </c>
      <c r="FT34" s="388">
        <v>6.6</v>
      </c>
      <c r="FU34" s="388">
        <v>3.9</v>
      </c>
      <c r="FV34" s="388">
        <v>13.4</v>
      </c>
      <c r="FW34" s="272">
        <v>35367016</v>
      </c>
      <c r="FX34" s="384">
        <f t="shared" si="16"/>
        <v>238.3</v>
      </c>
      <c r="FY34" s="272">
        <v>3601871</v>
      </c>
      <c r="FZ34" s="272">
        <v>435993</v>
      </c>
      <c r="GA34" s="272">
        <v>870439</v>
      </c>
      <c r="GB34" s="272">
        <v>2295439</v>
      </c>
      <c r="GC34" s="272"/>
      <c r="GD34" s="272">
        <v>34145772</v>
      </c>
      <c r="GE34" s="384">
        <f t="shared" si="17"/>
        <v>230.1</v>
      </c>
      <c r="GF34" s="388">
        <v>97.1</v>
      </c>
      <c r="GG34" s="388">
        <v>22.2</v>
      </c>
      <c r="GH34" s="388">
        <v>90.2</v>
      </c>
      <c r="GI34" s="272">
        <v>604</v>
      </c>
    </row>
    <row r="35" spans="2:191" x14ac:dyDescent="0.15">
      <c r="B35" s="89" t="s">
        <v>63</v>
      </c>
      <c r="C35" s="272">
        <v>7922251</v>
      </c>
      <c r="D35" s="455">
        <f t="shared" si="0"/>
        <v>3869547</v>
      </c>
      <c r="E35" s="272">
        <v>53502</v>
      </c>
      <c r="F35" s="272">
        <v>3816045</v>
      </c>
      <c r="G35" s="455">
        <f t="shared" si="1"/>
        <v>275876</v>
      </c>
      <c r="H35" s="272">
        <v>85887</v>
      </c>
      <c r="I35" s="272">
        <v>189989</v>
      </c>
      <c r="J35" s="272">
        <v>2980079</v>
      </c>
      <c r="K35" s="272">
        <v>1416169</v>
      </c>
      <c r="L35" s="272">
        <v>1217575</v>
      </c>
      <c r="M35" s="272">
        <v>318775</v>
      </c>
      <c r="N35" s="272">
        <v>286458</v>
      </c>
      <c r="O35" s="272">
        <v>468542</v>
      </c>
      <c r="P35" s="272">
        <v>303949</v>
      </c>
      <c r="Q35" s="272">
        <v>164593</v>
      </c>
      <c r="R35" s="272">
        <v>122733</v>
      </c>
      <c r="S35" s="272"/>
      <c r="T35" s="455">
        <f t="shared" si="2"/>
        <v>735740</v>
      </c>
      <c r="U35" s="272">
        <v>126191</v>
      </c>
      <c r="V35" s="272"/>
      <c r="W35" s="272"/>
      <c r="X35" s="272">
        <v>482144</v>
      </c>
      <c r="Y35" s="272">
        <v>0</v>
      </c>
      <c r="Z35" s="272">
        <v>1179</v>
      </c>
      <c r="AA35" s="272">
        <v>126226</v>
      </c>
      <c r="AB35" s="272">
        <v>314390</v>
      </c>
      <c r="AC35" s="272">
        <v>3541513</v>
      </c>
      <c r="AD35" s="272">
        <v>3115491</v>
      </c>
      <c r="AE35" s="272">
        <v>426022</v>
      </c>
      <c r="AF35" s="272">
        <v>13654</v>
      </c>
      <c r="AG35" s="272">
        <v>168357</v>
      </c>
      <c r="AH35" s="455">
        <f t="shared" si="3"/>
        <v>304580</v>
      </c>
      <c r="AI35" s="272">
        <v>272552</v>
      </c>
      <c r="AJ35" s="272">
        <v>32028</v>
      </c>
      <c r="AK35" s="272">
        <v>1680190</v>
      </c>
      <c r="AL35" s="455">
        <f t="shared" si="4"/>
        <v>657591</v>
      </c>
      <c r="AM35" s="272">
        <v>375482</v>
      </c>
      <c r="AN35" s="272">
        <v>101173</v>
      </c>
      <c r="AO35" s="272">
        <v>0</v>
      </c>
      <c r="AP35" s="272">
        <v>180936</v>
      </c>
      <c r="AQ35" s="272">
        <v>129245</v>
      </c>
      <c r="AR35" s="272">
        <v>3473</v>
      </c>
      <c r="AS35" s="272">
        <v>0</v>
      </c>
      <c r="AT35" s="272">
        <v>684324</v>
      </c>
      <c r="AU35" s="272">
        <v>249790</v>
      </c>
      <c r="AV35" s="272">
        <v>51402</v>
      </c>
      <c r="AW35" s="272">
        <v>0</v>
      </c>
      <c r="AX35" s="272">
        <v>434534</v>
      </c>
      <c r="AY35" s="272">
        <v>26648</v>
      </c>
      <c r="AZ35" s="272">
        <v>77656</v>
      </c>
      <c r="BA35" s="272">
        <v>55221</v>
      </c>
      <c r="BB35" s="272">
        <v>59107</v>
      </c>
      <c r="BC35" s="272">
        <v>144263</v>
      </c>
      <c r="BD35" s="272">
        <v>0</v>
      </c>
      <c r="BE35" s="272">
        <v>0</v>
      </c>
      <c r="BF35" s="272">
        <v>140000</v>
      </c>
      <c r="BG35" s="272">
        <v>0</v>
      </c>
      <c r="BH35" s="272">
        <v>228254</v>
      </c>
      <c r="BI35" s="272">
        <v>153779</v>
      </c>
      <c r="BJ35" s="272">
        <v>51213</v>
      </c>
      <c r="BK35" s="272">
        <v>260</v>
      </c>
      <c r="BL35" s="272">
        <v>0</v>
      </c>
      <c r="BM35" s="272">
        <v>0</v>
      </c>
      <c r="BN35" s="272">
        <v>1572800</v>
      </c>
      <c r="BO35" s="455">
        <f t="shared" si="5"/>
        <v>1457900</v>
      </c>
      <c r="BP35" s="455">
        <f t="shared" si="6"/>
        <v>114900</v>
      </c>
      <c r="BQ35" s="272">
        <v>114900</v>
      </c>
      <c r="BR35" s="272"/>
      <c r="BS35" s="272"/>
      <c r="BT35" s="272">
        <v>0</v>
      </c>
      <c r="BU35" s="272">
        <v>17621025</v>
      </c>
      <c r="BV35" s="272"/>
      <c r="BW35" s="272">
        <v>4729988</v>
      </c>
      <c r="BX35" s="272">
        <v>3629355</v>
      </c>
      <c r="BY35" s="272">
        <v>223121</v>
      </c>
      <c r="BZ35" s="272">
        <v>38325</v>
      </c>
      <c r="CA35" s="272">
        <v>1656282</v>
      </c>
      <c r="CB35" s="272">
        <v>315673</v>
      </c>
      <c r="CC35" s="272">
        <v>516499</v>
      </c>
      <c r="CD35" s="272">
        <v>291751</v>
      </c>
      <c r="CE35" s="272">
        <v>506928</v>
      </c>
      <c r="CF35" s="272">
        <v>17</v>
      </c>
      <c r="CG35" s="272">
        <v>25414</v>
      </c>
      <c r="CH35" s="272">
        <v>2453101</v>
      </c>
      <c r="CI35" s="272">
        <v>1519231</v>
      </c>
      <c r="CJ35" s="455">
        <f t="shared" si="7"/>
        <v>933870</v>
      </c>
      <c r="CK35" s="272">
        <v>2457826</v>
      </c>
      <c r="CL35" s="272">
        <v>1483655</v>
      </c>
      <c r="CM35" s="272">
        <v>97948</v>
      </c>
      <c r="CN35" s="272">
        <v>386618</v>
      </c>
      <c r="CO35" s="272">
        <v>26623</v>
      </c>
      <c r="CP35" s="272">
        <v>1456146</v>
      </c>
      <c r="CQ35" s="272">
        <v>392975</v>
      </c>
      <c r="CR35" s="272">
        <v>640471</v>
      </c>
      <c r="CS35" s="272">
        <v>335485</v>
      </c>
      <c r="CT35" s="455">
        <f t="shared" si="8"/>
        <v>17474</v>
      </c>
      <c r="CU35" s="272">
        <v>4474</v>
      </c>
      <c r="CV35" s="272">
        <v>13000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2538457</v>
      </c>
      <c r="DD35" s="272">
        <v>251023</v>
      </c>
      <c r="DE35" s="272">
        <v>2263809</v>
      </c>
      <c r="DF35" s="272">
        <v>23625</v>
      </c>
      <c r="DG35" s="272">
        <v>0</v>
      </c>
      <c r="DH35" s="272">
        <v>46429</v>
      </c>
      <c r="DI35" s="272">
        <v>720348</v>
      </c>
      <c r="DJ35" s="272">
        <v>120000</v>
      </c>
      <c r="DK35" s="272">
        <v>110000</v>
      </c>
      <c r="DL35" s="272">
        <v>490348</v>
      </c>
      <c r="DM35" s="272">
        <v>0</v>
      </c>
      <c r="DN35" s="272">
        <v>0</v>
      </c>
      <c r="DO35" s="272">
        <v>0</v>
      </c>
      <c r="DP35" s="272">
        <v>0</v>
      </c>
      <c r="DQ35" s="272">
        <v>360</v>
      </c>
      <c r="DR35" s="272">
        <v>0</v>
      </c>
      <c r="DS35" s="272">
        <v>0</v>
      </c>
      <c r="DT35" s="272">
        <v>1405666</v>
      </c>
      <c r="DU35" s="272">
        <v>845716</v>
      </c>
      <c r="DV35" s="455">
        <f t="shared" si="11"/>
        <v>0</v>
      </c>
      <c r="DW35" s="272">
        <v>0</v>
      </c>
      <c r="DX35" s="272">
        <v>0</v>
      </c>
      <c r="DY35" s="272">
        <v>0</v>
      </c>
      <c r="DZ35" s="272">
        <v>339522</v>
      </c>
      <c r="EA35" s="272">
        <v>216527</v>
      </c>
      <c r="EB35" s="272"/>
      <c r="EC35" s="272">
        <v>0</v>
      </c>
      <c r="ED35" s="272">
        <v>17491226</v>
      </c>
      <c r="EF35" s="272">
        <v>129799</v>
      </c>
      <c r="EG35" s="272">
        <v>10000</v>
      </c>
      <c r="EH35" s="272">
        <v>119799</v>
      </c>
      <c r="EI35" s="272">
        <v>-33980</v>
      </c>
      <c r="EJ35" s="272">
        <v>184282</v>
      </c>
      <c r="EL35" s="272"/>
      <c r="EM35" s="272">
        <v>56054</v>
      </c>
      <c r="EN35" s="272">
        <v>4263</v>
      </c>
      <c r="EO35" s="272">
        <v>56457</v>
      </c>
      <c r="EP35" s="455">
        <f t="shared" si="12"/>
        <v>427380</v>
      </c>
      <c r="EQ35" s="272">
        <v>12650281</v>
      </c>
      <c r="ER35" s="272">
        <v>-589346</v>
      </c>
      <c r="ES35" s="272">
        <v>4425559</v>
      </c>
      <c r="ET35" s="272">
        <v>3332190</v>
      </c>
      <c r="EU35" s="272">
        <v>526554</v>
      </c>
      <c r="EV35" s="272">
        <v>2453101</v>
      </c>
      <c r="EW35" s="455">
        <f t="shared" si="13"/>
        <v>855017</v>
      </c>
      <c r="EX35" s="272">
        <v>815864</v>
      </c>
      <c r="EY35" s="272">
        <v>78</v>
      </c>
      <c r="EZ35" s="272">
        <v>792161</v>
      </c>
      <c r="FA35" s="272">
        <v>39153</v>
      </c>
      <c r="FB35" s="272"/>
      <c r="FC35" s="272">
        <v>2023490</v>
      </c>
      <c r="FD35" s="272">
        <v>1171294</v>
      </c>
      <c r="FE35" s="272">
        <v>392975</v>
      </c>
      <c r="FF35" s="272">
        <v>1295474</v>
      </c>
      <c r="FG35" s="455">
        <f t="shared" si="14"/>
        <v>366339</v>
      </c>
      <c r="FH35" s="272">
        <v>13116828</v>
      </c>
      <c r="FI35" s="384">
        <f t="shared" si="15"/>
        <v>1</v>
      </c>
      <c r="FJ35" s="272">
        <v>11932991</v>
      </c>
      <c r="FK35" s="272"/>
      <c r="FL35" s="272">
        <v>6647539</v>
      </c>
      <c r="FM35" s="272">
        <v>9764289</v>
      </c>
      <c r="FN35" s="460">
        <v>0.71</v>
      </c>
      <c r="FO35" s="388">
        <v>90.4</v>
      </c>
      <c r="FP35" s="388">
        <v>36.799999999999997</v>
      </c>
      <c r="FQ35" s="388">
        <v>4.5</v>
      </c>
      <c r="FR35" s="388">
        <v>19.899999999999999</v>
      </c>
      <c r="FS35" s="388">
        <v>16.600000000000001</v>
      </c>
      <c r="FT35" s="388">
        <v>8.3000000000000007</v>
      </c>
      <c r="FU35" s="388">
        <v>4.0999999999999996</v>
      </c>
      <c r="FV35" s="388">
        <v>12</v>
      </c>
      <c r="FW35" s="272">
        <v>23667179</v>
      </c>
      <c r="FX35" s="384">
        <f t="shared" si="16"/>
        <v>198.3</v>
      </c>
      <c r="FY35" s="272">
        <v>3757908</v>
      </c>
      <c r="FZ35" s="272">
        <v>1845000</v>
      </c>
      <c r="GA35" s="272">
        <v>430000</v>
      </c>
      <c r="GB35" s="272">
        <v>1482908</v>
      </c>
      <c r="GC35" s="272"/>
      <c r="GD35" s="272">
        <v>5359536</v>
      </c>
      <c r="GE35" s="384">
        <f t="shared" si="17"/>
        <v>44.9</v>
      </c>
      <c r="GF35" s="388">
        <v>97.3</v>
      </c>
      <c r="GG35" s="388">
        <v>16.600000000000001</v>
      </c>
      <c r="GH35" s="388">
        <v>91.1</v>
      </c>
      <c r="GI35" s="272">
        <v>493</v>
      </c>
    </row>
    <row r="36" spans="2:191" x14ac:dyDescent="0.15">
      <c r="B36" s="89" t="s">
        <v>65</v>
      </c>
      <c r="C36" s="272">
        <v>6483175</v>
      </c>
      <c r="D36" s="455">
        <f t="shared" si="0"/>
        <v>2834245</v>
      </c>
      <c r="E36" s="272">
        <v>52485</v>
      </c>
      <c r="F36" s="272">
        <v>2781760</v>
      </c>
      <c r="G36" s="455">
        <f t="shared" si="1"/>
        <v>166945</v>
      </c>
      <c r="H36" s="272">
        <v>74552</v>
      </c>
      <c r="I36" s="272">
        <v>92393</v>
      </c>
      <c r="J36" s="272">
        <v>2666484</v>
      </c>
      <c r="K36" s="272">
        <v>1314646</v>
      </c>
      <c r="L36" s="272">
        <v>1076155</v>
      </c>
      <c r="M36" s="272">
        <v>237772</v>
      </c>
      <c r="N36" s="272">
        <v>278623</v>
      </c>
      <c r="O36" s="272">
        <v>448019</v>
      </c>
      <c r="P36" s="272">
        <v>289325</v>
      </c>
      <c r="Q36" s="272">
        <v>158694</v>
      </c>
      <c r="R36" s="272">
        <v>133772</v>
      </c>
      <c r="S36" s="272"/>
      <c r="T36" s="455">
        <f t="shared" si="2"/>
        <v>660014</v>
      </c>
      <c r="U36" s="272">
        <v>91264</v>
      </c>
      <c r="V36" s="272"/>
      <c r="W36" s="272"/>
      <c r="X36" s="272">
        <v>422998</v>
      </c>
      <c r="Y36" s="272">
        <v>5616</v>
      </c>
      <c r="Z36" s="272">
        <v>2460</v>
      </c>
      <c r="AA36" s="272">
        <v>137676</v>
      </c>
      <c r="AB36" s="272">
        <v>203620</v>
      </c>
      <c r="AC36" s="272">
        <v>4367291</v>
      </c>
      <c r="AD36" s="272">
        <v>3989267</v>
      </c>
      <c r="AE36" s="272">
        <v>378024</v>
      </c>
      <c r="AF36" s="272">
        <v>14387</v>
      </c>
      <c r="AG36" s="272">
        <v>161802</v>
      </c>
      <c r="AH36" s="455">
        <f t="shared" si="3"/>
        <v>229623</v>
      </c>
      <c r="AI36" s="272">
        <v>205887</v>
      </c>
      <c r="AJ36" s="272">
        <v>23736</v>
      </c>
      <c r="AK36" s="272">
        <v>1795024</v>
      </c>
      <c r="AL36" s="455">
        <f t="shared" si="4"/>
        <v>757573</v>
      </c>
      <c r="AM36" s="272">
        <v>467861</v>
      </c>
      <c r="AN36" s="272">
        <v>173721</v>
      </c>
      <c r="AO36" s="272">
        <v>0</v>
      </c>
      <c r="AP36" s="272">
        <v>115991</v>
      </c>
      <c r="AQ36" s="272">
        <v>214746</v>
      </c>
      <c r="AR36" s="272">
        <v>0</v>
      </c>
      <c r="AS36" s="272">
        <v>0</v>
      </c>
      <c r="AT36" s="272">
        <v>815671</v>
      </c>
      <c r="AU36" s="272">
        <v>273763</v>
      </c>
      <c r="AV36" s="272">
        <v>69114</v>
      </c>
      <c r="AW36" s="272">
        <v>38779</v>
      </c>
      <c r="AX36" s="272">
        <v>541908</v>
      </c>
      <c r="AY36" s="272">
        <v>45363</v>
      </c>
      <c r="AZ36" s="272">
        <v>211430</v>
      </c>
      <c r="BA36" s="272">
        <v>193074</v>
      </c>
      <c r="BB36" s="272">
        <v>333025</v>
      </c>
      <c r="BC36" s="272">
        <v>1508349</v>
      </c>
      <c r="BD36" s="272">
        <v>642947</v>
      </c>
      <c r="BE36" s="272">
        <v>35332</v>
      </c>
      <c r="BF36" s="272">
        <v>828172</v>
      </c>
      <c r="BG36" s="272">
        <v>0</v>
      </c>
      <c r="BH36" s="272">
        <v>228905</v>
      </c>
      <c r="BI36" s="272">
        <v>156964</v>
      </c>
      <c r="BJ36" s="272">
        <v>940724</v>
      </c>
      <c r="BK36" s="272">
        <v>12018</v>
      </c>
      <c r="BL36" s="272">
        <v>0</v>
      </c>
      <c r="BM36" s="272">
        <v>0</v>
      </c>
      <c r="BN36" s="272">
        <v>476100</v>
      </c>
      <c r="BO36" s="455">
        <f t="shared" si="5"/>
        <v>387100</v>
      </c>
      <c r="BP36" s="455">
        <f t="shared" si="6"/>
        <v>89000</v>
      </c>
      <c r="BQ36" s="272">
        <v>89000</v>
      </c>
      <c r="BR36" s="272"/>
      <c r="BS36" s="272"/>
      <c r="BT36" s="272">
        <v>0</v>
      </c>
      <c r="BU36" s="272">
        <v>18562912</v>
      </c>
      <c r="BV36" s="272"/>
      <c r="BW36" s="272">
        <v>5328987</v>
      </c>
      <c r="BX36" s="272">
        <v>3866352</v>
      </c>
      <c r="BY36" s="272">
        <v>504353</v>
      </c>
      <c r="BZ36" s="272">
        <v>51371</v>
      </c>
      <c r="CA36" s="272">
        <v>1766093</v>
      </c>
      <c r="CB36" s="272">
        <v>316462</v>
      </c>
      <c r="CC36" s="272">
        <v>603582</v>
      </c>
      <c r="CD36" s="272">
        <v>215237</v>
      </c>
      <c r="CE36" s="272">
        <v>608599</v>
      </c>
      <c r="CF36" s="272">
        <v>3397</v>
      </c>
      <c r="CG36" s="272">
        <v>18816</v>
      </c>
      <c r="CH36" s="272">
        <v>2049489</v>
      </c>
      <c r="CI36" s="272">
        <v>1312595</v>
      </c>
      <c r="CJ36" s="455">
        <f t="shared" si="7"/>
        <v>736894</v>
      </c>
      <c r="CK36" s="272">
        <v>2508001</v>
      </c>
      <c r="CL36" s="272">
        <v>1314342</v>
      </c>
      <c r="CM36" s="272">
        <v>349388</v>
      </c>
      <c r="CN36" s="272">
        <v>511755</v>
      </c>
      <c r="CO36" s="272">
        <v>115937</v>
      </c>
      <c r="CP36" s="272">
        <v>1765652</v>
      </c>
      <c r="CQ36" s="272">
        <v>583277</v>
      </c>
      <c r="CR36" s="272">
        <v>605382</v>
      </c>
      <c r="CS36" s="272">
        <v>190286</v>
      </c>
      <c r="CT36" s="455">
        <f t="shared" si="8"/>
        <v>309715</v>
      </c>
      <c r="CU36" s="272">
        <v>212894</v>
      </c>
      <c r="CV36" s="272">
        <v>96821</v>
      </c>
      <c r="CW36" s="455">
        <f t="shared" si="9"/>
        <v>301715</v>
      </c>
      <c r="CX36" s="272">
        <v>204894</v>
      </c>
      <c r="CY36" s="272">
        <v>96821</v>
      </c>
      <c r="CZ36" s="455">
        <f t="shared" si="10"/>
        <v>0</v>
      </c>
      <c r="DA36" s="272">
        <v>0</v>
      </c>
      <c r="DB36" s="272">
        <v>0</v>
      </c>
      <c r="DC36" s="272">
        <v>1652194</v>
      </c>
      <c r="DD36" s="272">
        <v>527145</v>
      </c>
      <c r="DE36" s="272">
        <v>1099637</v>
      </c>
      <c r="DF36" s="272">
        <v>25412</v>
      </c>
      <c r="DG36" s="272">
        <v>0</v>
      </c>
      <c r="DH36" s="272">
        <v>0</v>
      </c>
      <c r="DI36" s="272">
        <v>1503441</v>
      </c>
      <c r="DJ36" s="272">
        <v>8663</v>
      </c>
      <c r="DK36" s="272">
        <v>428</v>
      </c>
      <c r="DL36" s="272">
        <v>1494350</v>
      </c>
      <c r="DM36" s="272">
        <v>0</v>
      </c>
      <c r="DN36" s="272">
        <v>0</v>
      </c>
      <c r="DO36" s="272">
        <v>0</v>
      </c>
      <c r="DP36" s="272">
        <v>0</v>
      </c>
      <c r="DQ36" s="272">
        <v>227000</v>
      </c>
      <c r="DR36" s="272">
        <v>215000</v>
      </c>
      <c r="DS36" s="272">
        <v>215000</v>
      </c>
      <c r="DT36" s="272">
        <v>1453753</v>
      </c>
      <c r="DU36" s="272">
        <v>741752</v>
      </c>
      <c r="DV36" s="455">
        <f t="shared" si="11"/>
        <v>0</v>
      </c>
      <c r="DW36" s="272">
        <v>0</v>
      </c>
      <c r="DX36" s="272">
        <v>0</v>
      </c>
      <c r="DY36" s="272">
        <v>0</v>
      </c>
      <c r="DZ36" s="272">
        <v>461221</v>
      </c>
      <c r="EA36" s="272">
        <v>250772</v>
      </c>
      <c r="EB36" s="272"/>
      <c r="EC36" s="272">
        <v>0</v>
      </c>
      <c r="ED36" s="272">
        <v>18370547</v>
      </c>
      <c r="EE36" s="89"/>
      <c r="EF36" s="272">
        <v>192365</v>
      </c>
      <c r="EG36" s="272">
        <v>0</v>
      </c>
      <c r="EH36" s="272">
        <v>192365</v>
      </c>
      <c r="EI36" s="272">
        <v>35401</v>
      </c>
      <c r="EJ36" s="272">
        <v>-598883</v>
      </c>
      <c r="EK36" s="89"/>
      <c r="EL36" s="272"/>
      <c r="EM36" s="272">
        <v>59322</v>
      </c>
      <c r="EN36" s="272">
        <v>680177</v>
      </c>
      <c r="EO36" s="272">
        <v>53399</v>
      </c>
      <c r="EP36" s="455">
        <f t="shared" si="12"/>
        <v>622130</v>
      </c>
      <c r="EQ36" s="272">
        <v>11862259</v>
      </c>
      <c r="ER36" s="272">
        <v>-1430319</v>
      </c>
      <c r="ES36" s="272">
        <v>4897895</v>
      </c>
      <c r="ET36" s="272">
        <v>3467732</v>
      </c>
      <c r="EU36" s="272">
        <v>505371</v>
      </c>
      <c r="EV36" s="272">
        <v>2049489</v>
      </c>
      <c r="EW36" s="455">
        <f t="shared" si="13"/>
        <v>437095</v>
      </c>
      <c r="EX36" s="272">
        <v>437095</v>
      </c>
      <c r="EY36" s="272">
        <v>17038</v>
      </c>
      <c r="EZ36" s="272">
        <v>406463</v>
      </c>
      <c r="FA36" s="272">
        <v>0</v>
      </c>
      <c r="FB36" s="272"/>
      <c r="FC36" s="272">
        <v>2109445</v>
      </c>
      <c r="FD36" s="272">
        <v>1210877</v>
      </c>
      <c r="FE36" s="272">
        <v>559927</v>
      </c>
      <c r="FF36" s="272">
        <v>1187251</v>
      </c>
      <c r="FG36" s="455">
        <f t="shared" si="14"/>
        <v>702790</v>
      </c>
      <c r="FH36" s="272">
        <v>13100213</v>
      </c>
      <c r="FI36" s="384">
        <f t="shared" si="15"/>
        <v>1.7</v>
      </c>
      <c r="FJ36" s="272">
        <v>11055960</v>
      </c>
      <c r="FK36" s="272"/>
      <c r="FL36" s="272">
        <v>5337132</v>
      </c>
      <c r="FM36" s="272">
        <v>9331295</v>
      </c>
      <c r="FN36" s="460">
        <v>0.60299999999999998</v>
      </c>
      <c r="FO36" s="388">
        <v>98.6</v>
      </c>
      <c r="FP36" s="388">
        <v>41.1</v>
      </c>
      <c r="FQ36" s="388">
        <v>4.5999999999999996</v>
      </c>
      <c r="FR36" s="388">
        <v>18.5</v>
      </c>
      <c r="FS36" s="388">
        <v>18.2</v>
      </c>
      <c r="FT36" s="388">
        <v>9.5</v>
      </c>
      <c r="FU36" s="388">
        <v>5.8</v>
      </c>
      <c r="FV36" s="388">
        <v>12.7</v>
      </c>
      <c r="FW36" s="272">
        <v>16237530</v>
      </c>
      <c r="FX36" s="384">
        <f t="shared" si="16"/>
        <v>146.9</v>
      </c>
      <c r="FY36" s="272">
        <v>4047972</v>
      </c>
      <c r="FZ36" s="272">
        <v>1968039</v>
      </c>
      <c r="GA36" s="272">
        <v>85693</v>
      </c>
      <c r="GB36" s="272">
        <v>1994240</v>
      </c>
      <c r="GC36" s="272"/>
      <c r="GD36" s="272">
        <v>443793</v>
      </c>
      <c r="GE36" s="384">
        <f t="shared" si="17"/>
        <v>4</v>
      </c>
      <c r="GF36" s="388">
        <v>96.4</v>
      </c>
      <c r="GG36" s="388">
        <v>21.1</v>
      </c>
      <c r="GH36" s="388">
        <v>88.5</v>
      </c>
      <c r="GI36" s="272">
        <v>545</v>
      </c>
    </row>
    <row r="37" spans="2:191" x14ac:dyDescent="0.15">
      <c r="B37" s="21" t="s">
        <v>67</v>
      </c>
      <c r="C37" s="272">
        <f>SUM(C6:C36)</f>
        <v>829617240</v>
      </c>
      <c r="D37" s="455">
        <f t="shared" si="0"/>
        <v>293221579</v>
      </c>
      <c r="E37" s="272">
        <f>SUM(E6:E36)</f>
        <v>4930811</v>
      </c>
      <c r="F37" s="272">
        <f>SUM(F6:F36)</f>
        <v>288290768</v>
      </c>
      <c r="G37" s="455">
        <f t="shared" si="1"/>
        <v>56268499</v>
      </c>
      <c r="H37" s="272">
        <f t="shared" ref="H37:R37" si="18">SUM(H6:H36)</f>
        <v>11745181</v>
      </c>
      <c r="I37" s="272">
        <f t="shared" si="18"/>
        <v>44523318</v>
      </c>
      <c r="J37" s="272">
        <f t="shared" si="18"/>
        <v>353872629</v>
      </c>
      <c r="K37" s="272">
        <f t="shared" si="18"/>
        <v>179362051</v>
      </c>
      <c r="L37" s="272">
        <f t="shared" si="18"/>
        <v>121644367</v>
      </c>
      <c r="M37" s="272">
        <f t="shared" si="18"/>
        <v>47609139</v>
      </c>
      <c r="N37" s="272">
        <f t="shared" si="18"/>
        <v>33754587</v>
      </c>
      <c r="O37" s="272">
        <f t="shared" si="18"/>
        <v>79973269</v>
      </c>
      <c r="P37" s="272">
        <f t="shared" si="18"/>
        <v>53229918</v>
      </c>
      <c r="Q37" s="272">
        <f t="shared" si="18"/>
        <v>26743351</v>
      </c>
      <c r="R37" s="272">
        <f t="shared" si="18"/>
        <v>12369039</v>
      </c>
      <c r="S37" s="272"/>
      <c r="T37" s="455">
        <f t="shared" si="2"/>
        <v>67637820</v>
      </c>
      <c r="U37" s="272">
        <f>SUM(U6:U36)</f>
        <v>9789400</v>
      </c>
      <c r="V37" s="272"/>
      <c r="W37" s="272"/>
      <c r="X37" s="272">
        <f t="shared" ref="X37:AG37" si="19">SUM(X6:X36)</f>
        <v>45978172</v>
      </c>
      <c r="Y37" s="272">
        <f t="shared" si="19"/>
        <v>1032389</v>
      </c>
      <c r="Z37" s="272">
        <f t="shared" si="19"/>
        <v>466216</v>
      </c>
      <c r="AA37" s="272">
        <f t="shared" si="19"/>
        <v>10371643</v>
      </c>
      <c r="AB37" s="272">
        <f t="shared" si="19"/>
        <v>22849679</v>
      </c>
      <c r="AC37" s="272">
        <f t="shared" si="19"/>
        <v>151968330</v>
      </c>
      <c r="AD37" s="272">
        <f t="shared" si="19"/>
        <v>137271769</v>
      </c>
      <c r="AE37" s="272">
        <f t="shared" si="19"/>
        <v>14696561</v>
      </c>
      <c r="AF37" s="272">
        <f t="shared" si="19"/>
        <v>1113260</v>
      </c>
      <c r="AG37" s="272">
        <f t="shared" si="19"/>
        <v>22104020</v>
      </c>
      <c r="AH37" s="455">
        <f t="shared" si="3"/>
        <v>34707341</v>
      </c>
      <c r="AI37" s="272">
        <f>SUM(AI6:AI36)</f>
        <v>27918069</v>
      </c>
      <c r="AJ37" s="272">
        <f>SUM(AJ6:AJ36)</f>
        <v>6789272</v>
      </c>
      <c r="AK37" s="272">
        <f>SUM(AK6:AK36)</f>
        <v>208868689</v>
      </c>
      <c r="AL37" s="455">
        <f t="shared" si="4"/>
        <v>95160875</v>
      </c>
      <c r="AM37" s="272">
        <f t="shared" ref="AM37:BN37" si="20">SUM(AM6:AM36)</f>
        <v>69791536</v>
      </c>
      <c r="AN37" s="272">
        <f t="shared" si="20"/>
        <v>14891510</v>
      </c>
      <c r="AO37" s="272">
        <f t="shared" si="20"/>
        <v>55874</v>
      </c>
      <c r="AP37" s="272">
        <f t="shared" si="20"/>
        <v>10421955</v>
      </c>
      <c r="AQ37" s="272">
        <f t="shared" si="20"/>
        <v>26569375</v>
      </c>
      <c r="AR37" s="272">
        <f t="shared" si="20"/>
        <v>215161</v>
      </c>
      <c r="AS37" s="272">
        <f t="shared" si="20"/>
        <v>312718</v>
      </c>
      <c r="AT37" s="272">
        <f t="shared" si="20"/>
        <v>87268823</v>
      </c>
      <c r="AU37" s="272">
        <f t="shared" si="20"/>
        <v>35162776</v>
      </c>
      <c r="AV37" s="272">
        <f t="shared" si="20"/>
        <v>7293682</v>
      </c>
      <c r="AW37" s="272">
        <f t="shared" si="20"/>
        <v>3079554</v>
      </c>
      <c r="AX37" s="272">
        <f t="shared" si="20"/>
        <v>52106047</v>
      </c>
      <c r="AY37" s="272">
        <f t="shared" si="20"/>
        <v>7026936</v>
      </c>
      <c r="AZ37" s="272">
        <f t="shared" si="20"/>
        <v>15340489</v>
      </c>
      <c r="BA37" s="272">
        <f t="shared" si="20"/>
        <v>13312681</v>
      </c>
      <c r="BB37" s="272">
        <f t="shared" si="20"/>
        <v>4687710</v>
      </c>
      <c r="BC37" s="272">
        <f t="shared" si="20"/>
        <v>39180827</v>
      </c>
      <c r="BD37" s="272">
        <f t="shared" si="20"/>
        <v>7496468</v>
      </c>
      <c r="BE37" s="272">
        <f t="shared" si="20"/>
        <v>2349896</v>
      </c>
      <c r="BF37" s="272">
        <f t="shared" si="20"/>
        <v>24910554</v>
      </c>
      <c r="BG37" s="272">
        <f t="shared" si="20"/>
        <v>1285540</v>
      </c>
      <c r="BH37" s="272">
        <f t="shared" si="20"/>
        <v>27243604</v>
      </c>
      <c r="BI37" s="272">
        <f t="shared" si="20"/>
        <v>6299693</v>
      </c>
      <c r="BJ37" s="272">
        <f t="shared" si="20"/>
        <v>50503845</v>
      </c>
      <c r="BK37" s="272">
        <f t="shared" si="20"/>
        <v>31556166</v>
      </c>
      <c r="BL37" s="272">
        <f t="shared" si="20"/>
        <v>1215272</v>
      </c>
      <c r="BM37" s="272">
        <f t="shared" si="20"/>
        <v>1782725</v>
      </c>
      <c r="BN37" s="272">
        <f t="shared" si="20"/>
        <v>106034076</v>
      </c>
      <c r="BO37" s="455">
        <f t="shared" si="5"/>
        <v>96608976</v>
      </c>
      <c r="BP37" s="455">
        <f t="shared" si="6"/>
        <v>9425100</v>
      </c>
      <c r="BQ37" s="272">
        <f>SUM(BQ6:BQ36)</f>
        <v>9425100</v>
      </c>
      <c r="BR37" s="272"/>
      <c r="BS37" s="272"/>
      <c r="BT37" s="272">
        <v>0</v>
      </c>
      <c r="BU37" s="272">
        <f>SUM(BU6:BU36)</f>
        <v>1681807510</v>
      </c>
      <c r="BV37" s="272"/>
      <c r="BW37" s="272">
        <f t="shared" ref="BW37:CI37" si="21">SUM(BW6:BW36)</f>
        <v>441533425</v>
      </c>
      <c r="BX37" s="272">
        <f t="shared" si="21"/>
        <v>323699654</v>
      </c>
      <c r="BY37" s="272">
        <f t="shared" si="21"/>
        <v>33234299</v>
      </c>
      <c r="BZ37" s="272">
        <f t="shared" si="21"/>
        <v>15789386</v>
      </c>
      <c r="CA37" s="272">
        <f t="shared" si="21"/>
        <v>236601848</v>
      </c>
      <c r="CB37" s="272">
        <f t="shared" si="21"/>
        <v>28593703</v>
      </c>
      <c r="CC37" s="272">
        <f t="shared" si="21"/>
        <v>56182386</v>
      </c>
      <c r="CD37" s="272">
        <f t="shared" si="21"/>
        <v>47151177</v>
      </c>
      <c r="CE37" s="272">
        <f t="shared" si="21"/>
        <v>93419486</v>
      </c>
      <c r="CF37" s="272">
        <f t="shared" si="21"/>
        <v>7435817</v>
      </c>
      <c r="CG37" s="272">
        <f t="shared" si="21"/>
        <v>3788318</v>
      </c>
      <c r="CH37" s="272">
        <f t="shared" si="21"/>
        <v>164425061</v>
      </c>
      <c r="CI37" s="272">
        <f t="shared" si="21"/>
        <v>107123850</v>
      </c>
      <c r="CJ37" s="455">
        <f t="shared" si="7"/>
        <v>57301211</v>
      </c>
      <c r="CK37" s="272">
        <f t="shared" ref="CK37:CS37" si="22">SUM(CK6:CK36)</f>
        <v>193994131</v>
      </c>
      <c r="CL37" s="272">
        <f t="shared" si="22"/>
        <v>115098661</v>
      </c>
      <c r="CM37" s="272">
        <f t="shared" si="22"/>
        <v>9814038</v>
      </c>
      <c r="CN37" s="272">
        <f t="shared" si="22"/>
        <v>37855841</v>
      </c>
      <c r="CO37" s="272">
        <f t="shared" si="22"/>
        <v>15523109</v>
      </c>
      <c r="CP37" s="272">
        <f t="shared" si="22"/>
        <v>150874025</v>
      </c>
      <c r="CQ37" s="272">
        <f t="shared" si="22"/>
        <v>41265342</v>
      </c>
      <c r="CR37" s="272">
        <f t="shared" si="22"/>
        <v>56864499</v>
      </c>
      <c r="CS37" s="272">
        <f t="shared" si="22"/>
        <v>34346835</v>
      </c>
      <c r="CT37" s="455">
        <f t="shared" si="8"/>
        <v>20159154</v>
      </c>
      <c r="CU37" s="272">
        <f>SUM(CU6:CU36)</f>
        <v>12985503</v>
      </c>
      <c r="CV37" s="272">
        <f>SUM(CV6:CV36)</f>
        <v>7173651</v>
      </c>
      <c r="CW37" s="455">
        <f t="shared" si="9"/>
        <v>16932369</v>
      </c>
      <c r="CX37" s="272">
        <f>SUM(CX6:CX36)</f>
        <v>12225636</v>
      </c>
      <c r="CY37" s="272">
        <f>SUM(CY6:CY36)</f>
        <v>4706733</v>
      </c>
      <c r="CZ37" s="455">
        <f t="shared" si="10"/>
        <v>0</v>
      </c>
      <c r="DA37" s="272">
        <f t="shared" ref="DA37:DU37" si="23">SUM(DA6:DA36)</f>
        <v>0</v>
      </c>
      <c r="DB37" s="272">
        <f t="shared" si="23"/>
        <v>0</v>
      </c>
      <c r="DC37" s="272">
        <f t="shared" si="23"/>
        <v>231073398</v>
      </c>
      <c r="DD37" s="272">
        <f t="shared" si="23"/>
        <v>56206901</v>
      </c>
      <c r="DE37" s="272">
        <f t="shared" si="23"/>
        <v>160141142</v>
      </c>
      <c r="DF37" s="272">
        <f t="shared" si="23"/>
        <v>2909198</v>
      </c>
      <c r="DG37" s="272">
        <f t="shared" si="23"/>
        <v>11811507</v>
      </c>
      <c r="DH37" s="272">
        <f t="shared" si="23"/>
        <v>1406521</v>
      </c>
      <c r="DI37" s="272">
        <f t="shared" si="23"/>
        <v>52110334</v>
      </c>
      <c r="DJ37" s="272">
        <f t="shared" si="23"/>
        <v>6997380</v>
      </c>
      <c r="DK37" s="272">
        <f t="shared" si="23"/>
        <v>2897544</v>
      </c>
      <c r="DL37" s="272">
        <f t="shared" si="23"/>
        <v>42215410</v>
      </c>
      <c r="DM37" s="272">
        <f t="shared" si="23"/>
        <v>1988593</v>
      </c>
      <c r="DN37" s="272">
        <f t="shared" si="23"/>
        <v>1781125</v>
      </c>
      <c r="DO37" s="272">
        <f t="shared" si="23"/>
        <v>697007</v>
      </c>
      <c r="DP37" s="272">
        <f t="shared" si="23"/>
        <v>1084118</v>
      </c>
      <c r="DQ37" s="272">
        <f t="shared" si="23"/>
        <v>31805674</v>
      </c>
      <c r="DR37" s="272">
        <f t="shared" si="23"/>
        <v>832429</v>
      </c>
      <c r="DS37" s="272">
        <f t="shared" si="23"/>
        <v>815000</v>
      </c>
      <c r="DT37" s="272">
        <f t="shared" si="23"/>
        <v>151869367</v>
      </c>
      <c r="DU37" s="272">
        <f t="shared" si="23"/>
        <v>85783089</v>
      </c>
      <c r="DV37" s="455">
        <f t="shared" si="11"/>
        <v>32251</v>
      </c>
      <c r="DW37" s="272">
        <f>SUM(DW6:DW36)</f>
        <v>32251</v>
      </c>
      <c r="DX37" s="272">
        <f>SUM(DX6:DX36)</f>
        <v>0</v>
      </c>
      <c r="DY37" s="272">
        <f>SUM(DY6:DY36)</f>
        <v>407460</v>
      </c>
      <c r="DZ37" s="272">
        <f>SUM(DZ6:DZ36)</f>
        <v>41749314</v>
      </c>
      <c r="EA37" s="272">
        <f>SUM(EA6:EA36)</f>
        <v>21555337</v>
      </c>
      <c r="EB37" s="272"/>
      <c r="EC37" s="272">
        <f t="shared" ref="EC37:EJ37" si="24">SUM(EC6:EC36)</f>
        <v>1204404</v>
      </c>
      <c r="ED37" s="272">
        <f t="shared" si="24"/>
        <v>1674409890</v>
      </c>
      <c r="EE37" s="272">
        <f t="shared" si="24"/>
        <v>0</v>
      </c>
      <c r="EF37" s="272">
        <f t="shared" si="24"/>
        <v>7397620</v>
      </c>
      <c r="EG37" s="272">
        <f t="shared" si="24"/>
        <v>7983162</v>
      </c>
      <c r="EH37" s="272">
        <f t="shared" si="24"/>
        <v>-585542</v>
      </c>
      <c r="EI37" s="272">
        <f t="shared" si="24"/>
        <v>-2803949</v>
      </c>
      <c r="EJ37" s="272">
        <f t="shared" si="24"/>
        <v>-255006</v>
      </c>
      <c r="EK37" s="89"/>
      <c r="EL37" s="272"/>
      <c r="EM37" s="272">
        <f>SUM(EM6:EM36)</f>
        <v>5134400</v>
      </c>
      <c r="EN37" s="272">
        <f>SUM(EN6:EN36)</f>
        <v>19453443</v>
      </c>
      <c r="EO37" s="272">
        <f>SUM(EO6:EO36)</f>
        <v>8340978</v>
      </c>
      <c r="EP37" s="455">
        <f t="shared" si="12"/>
        <v>32361939</v>
      </c>
      <c r="EQ37" s="272">
        <f t="shared" ref="EQ37:EV37" si="25">SUM(EQ6:EQ36)</f>
        <v>1085868086</v>
      </c>
      <c r="ER37" s="272">
        <f t="shared" si="25"/>
        <v>-68155482</v>
      </c>
      <c r="ES37" s="272">
        <f t="shared" si="25"/>
        <v>405335288</v>
      </c>
      <c r="ET37" s="272">
        <f t="shared" si="25"/>
        <v>290939999</v>
      </c>
      <c r="EU37" s="272">
        <f t="shared" si="25"/>
        <v>74564541</v>
      </c>
      <c r="EV37" s="272">
        <f t="shared" si="25"/>
        <v>156970279</v>
      </c>
      <c r="EW37" s="455">
        <f t="shared" si="13"/>
        <v>72422757</v>
      </c>
      <c r="EX37" s="272">
        <f>SUM(EX6:EX36)</f>
        <v>71717246</v>
      </c>
      <c r="EY37" s="272">
        <f>SUM(EY6:EY36)</f>
        <v>5098100</v>
      </c>
      <c r="EZ37" s="272">
        <f>SUM(EZ6:EZ36)</f>
        <v>66186001</v>
      </c>
      <c r="FA37" s="272">
        <f>SUM(FA6:FA36)</f>
        <v>705511</v>
      </c>
      <c r="FB37" s="272"/>
      <c r="FC37" s="272">
        <f>SUM(FC6:FC36)</f>
        <v>149719143</v>
      </c>
      <c r="FD37" s="272">
        <f>SUM(FD6:FD36)</f>
        <v>116719235</v>
      </c>
      <c r="FE37" s="272">
        <f>SUM(FE6:FE36)</f>
        <v>41170748</v>
      </c>
      <c r="FF37" s="272">
        <f>SUM(FF6:FF36)</f>
        <v>138617667</v>
      </c>
      <c r="FG37" s="455">
        <f t="shared" si="14"/>
        <v>32574472</v>
      </c>
      <c r="FH37" s="272">
        <f>SUM(FH6:FH36)</f>
        <v>1146923382</v>
      </c>
      <c r="FI37" s="384">
        <f t="shared" si="15"/>
        <v>-0.1</v>
      </c>
      <c r="FJ37" s="272">
        <f>SUM(FJ6:FJ36)</f>
        <v>994812787</v>
      </c>
      <c r="FK37" s="272">
        <f>SUM(FK6:FK36)</f>
        <v>0</v>
      </c>
      <c r="FL37" s="272">
        <f>SUM(FL6:FL36)</f>
        <v>646562803</v>
      </c>
      <c r="FM37" s="272">
        <f>SUM(FM6:FM36)</f>
        <v>778320098</v>
      </c>
      <c r="FN37" s="468">
        <v>0.872</v>
      </c>
      <c r="FO37" s="469">
        <v>96.1</v>
      </c>
      <c r="FP37" s="469">
        <v>38.799999999999997</v>
      </c>
      <c r="FQ37" s="469">
        <v>7.9</v>
      </c>
      <c r="FR37" s="469">
        <v>15.4</v>
      </c>
      <c r="FS37" s="469">
        <v>13.9</v>
      </c>
      <c r="FT37" s="469">
        <v>10.8</v>
      </c>
      <c r="FU37" s="469">
        <v>7.9</v>
      </c>
      <c r="FV37" s="469">
        <v>10.4</v>
      </c>
      <c r="FW37" s="272">
        <f>SUM(FW6:FW36)</f>
        <v>1494833506</v>
      </c>
      <c r="FX37" s="384">
        <f t="shared" si="16"/>
        <v>150.30000000000001</v>
      </c>
      <c r="FY37" s="272">
        <f t="shared" ref="FY37:GD37" si="26">SUM(FY6:FY36)</f>
        <v>339936399</v>
      </c>
      <c r="FZ37" s="272">
        <f t="shared" si="26"/>
        <v>77590892</v>
      </c>
      <c r="GA37" s="272">
        <f t="shared" si="26"/>
        <v>23256308</v>
      </c>
      <c r="GB37" s="272">
        <f t="shared" si="26"/>
        <v>239089199</v>
      </c>
      <c r="GC37" s="272">
        <f t="shared" si="26"/>
        <v>711371</v>
      </c>
      <c r="GD37" s="272">
        <f t="shared" si="26"/>
        <v>415404848</v>
      </c>
      <c r="GE37" s="384">
        <f t="shared" si="17"/>
        <v>41.8</v>
      </c>
      <c r="GF37" s="469">
        <v>97.5</v>
      </c>
      <c r="GG37" s="469">
        <v>20.2</v>
      </c>
      <c r="GH37" s="469">
        <v>91.6</v>
      </c>
      <c r="GI37" s="272">
        <f>SUM(GI6:GI36)</f>
        <v>40954</v>
      </c>
    </row>
    <row r="38" spans="2:191" x14ac:dyDescent="0.15">
      <c r="B38" s="89" t="s">
        <v>69</v>
      </c>
      <c r="C38" s="272">
        <v>5480350</v>
      </c>
      <c r="D38" s="455">
        <f t="shared" si="0"/>
        <v>1835418</v>
      </c>
      <c r="E38" s="272">
        <v>23466</v>
      </c>
      <c r="F38" s="272">
        <v>1811952</v>
      </c>
      <c r="G38" s="455">
        <f t="shared" si="1"/>
        <v>860218</v>
      </c>
      <c r="H38" s="272">
        <v>62062</v>
      </c>
      <c r="I38" s="272">
        <v>798156</v>
      </c>
      <c r="J38" s="272">
        <v>2250153</v>
      </c>
      <c r="K38" s="272">
        <v>908934</v>
      </c>
      <c r="L38" s="272">
        <v>770566</v>
      </c>
      <c r="M38" s="272">
        <v>545100</v>
      </c>
      <c r="N38" s="272">
        <v>107534</v>
      </c>
      <c r="O38" s="272">
        <v>412794</v>
      </c>
      <c r="P38" s="272">
        <v>252288</v>
      </c>
      <c r="Q38" s="272">
        <v>160506</v>
      </c>
      <c r="R38" s="272">
        <v>66603</v>
      </c>
      <c r="S38" s="272"/>
      <c r="T38" s="455">
        <f t="shared" si="2"/>
        <v>445269</v>
      </c>
      <c r="U38" s="272">
        <v>65253</v>
      </c>
      <c r="V38" s="272"/>
      <c r="W38" s="272"/>
      <c r="X38" s="272">
        <v>233617</v>
      </c>
      <c r="Y38" s="272">
        <v>77949</v>
      </c>
      <c r="Z38" s="272">
        <v>0</v>
      </c>
      <c r="AA38" s="272">
        <v>68450</v>
      </c>
      <c r="AB38" s="272">
        <v>150209</v>
      </c>
      <c r="AC38" s="272">
        <v>1823539</v>
      </c>
      <c r="AD38" s="272">
        <v>1547107</v>
      </c>
      <c r="AE38" s="272">
        <v>276432</v>
      </c>
      <c r="AF38" s="272">
        <v>5197</v>
      </c>
      <c r="AG38" s="272">
        <v>67602</v>
      </c>
      <c r="AH38" s="455">
        <f t="shared" si="3"/>
        <v>195506</v>
      </c>
      <c r="AI38" s="272">
        <v>159393</v>
      </c>
      <c r="AJ38" s="272">
        <v>36113</v>
      </c>
      <c r="AK38" s="272">
        <v>565651</v>
      </c>
      <c r="AL38" s="455">
        <f t="shared" si="4"/>
        <v>150157</v>
      </c>
      <c r="AM38" s="272">
        <v>45334</v>
      </c>
      <c r="AN38" s="272">
        <v>57898</v>
      </c>
      <c r="AO38" s="272">
        <v>0</v>
      </c>
      <c r="AP38" s="272">
        <v>46925</v>
      </c>
      <c r="AQ38" s="272">
        <v>32318</v>
      </c>
      <c r="AR38" s="272">
        <v>0</v>
      </c>
      <c r="AS38" s="272">
        <v>0</v>
      </c>
      <c r="AT38" s="272">
        <v>422782</v>
      </c>
      <c r="AU38" s="272">
        <v>156581</v>
      </c>
      <c r="AV38" s="272">
        <v>32785</v>
      </c>
      <c r="AW38" s="272">
        <v>0</v>
      </c>
      <c r="AX38" s="272">
        <v>266201</v>
      </c>
      <c r="AY38" s="272">
        <v>55674</v>
      </c>
      <c r="AZ38" s="272">
        <v>41652</v>
      </c>
      <c r="BA38" s="272">
        <v>8042</v>
      </c>
      <c r="BB38" s="272">
        <v>31274</v>
      </c>
      <c r="BC38" s="272">
        <v>413795</v>
      </c>
      <c r="BD38" s="272">
        <v>0</v>
      </c>
      <c r="BE38" s="272">
        <v>44000</v>
      </c>
      <c r="BF38" s="272">
        <v>362000</v>
      </c>
      <c r="BG38" s="272">
        <v>0</v>
      </c>
      <c r="BH38" s="272">
        <v>189235</v>
      </c>
      <c r="BI38" s="272">
        <v>80513</v>
      </c>
      <c r="BJ38" s="272">
        <v>39069</v>
      </c>
      <c r="BK38" s="272">
        <v>4757</v>
      </c>
      <c r="BL38" s="272">
        <v>0</v>
      </c>
      <c r="BM38" s="272">
        <v>0</v>
      </c>
      <c r="BN38" s="272">
        <v>26500</v>
      </c>
      <c r="BO38" s="455">
        <f t="shared" si="5"/>
        <v>26500</v>
      </c>
      <c r="BP38" s="455">
        <f t="shared" si="6"/>
        <v>0</v>
      </c>
      <c r="BQ38" s="272">
        <v>0</v>
      </c>
      <c r="BR38" s="272"/>
      <c r="BS38" s="272"/>
      <c r="BT38" s="272">
        <v>0</v>
      </c>
      <c r="BU38" s="272">
        <v>9964233</v>
      </c>
      <c r="BV38" s="272"/>
      <c r="BW38" s="272">
        <v>3098201</v>
      </c>
      <c r="BX38" s="272">
        <v>2219041</v>
      </c>
      <c r="BY38" s="272">
        <v>294577</v>
      </c>
      <c r="BZ38" s="272">
        <v>29952</v>
      </c>
      <c r="CA38" s="272">
        <v>898709</v>
      </c>
      <c r="CB38" s="272">
        <v>257828</v>
      </c>
      <c r="CC38" s="272">
        <v>303627</v>
      </c>
      <c r="CD38" s="272">
        <v>269054</v>
      </c>
      <c r="CE38" s="272">
        <v>51580</v>
      </c>
      <c r="CF38" s="272">
        <v>0</v>
      </c>
      <c r="CG38" s="272">
        <v>16620</v>
      </c>
      <c r="CH38" s="272">
        <v>2113172</v>
      </c>
      <c r="CI38" s="272">
        <v>1546292</v>
      </c>
      <c r="CJ38" s="455">
        <f t="shared" si="7"/>
        <v>566880</v>
      </c>
      <c r="CK38" s="272">
        <v>1631125</v>
      </c>
      <c r="CL38" s="272">
        <v>865794</v>
      </c>
      <c r="CM38" s="272">
        <v>158039</v>
      </c>
      <c r="CN38" s="272">
        <v>341702</v>
      </c>
      <c r="CO38" s="272">
        <v>83103</v>
      </c>
      <c r="CP38" s="272">
        <v>481963</v>
      </c>
      <c r="CQ38" s="272">
        <v>2659</v>
      </c>
      <c r="CR38" s="272">
        <v>270431</v>
      </c>
      <c r="CS38" s="272">
        <v>135569</v>
      </c>
      <c r="CT38" s="455">
        <f t="shared" si="8"/>
        <v>2725</v>
      </c>
      <c r="CU38" s="272">
        <v>2725</v>
      </c>
      <c r="CV38" s="272">
        <v>0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521930</v>
      </c>
      <c r="DD38" s="272">
        <v>34468</v>
      </c>
      <c r="DE38" s="272">
        <v>456827</v>
      </c>
      <c r="DF38" s="272">
        <v>8423</v>
      </c>
      <c r="DG38" s="272">
        <v>0</v>
      </c>
      <c r="DH38" s="272">
        <v>2192</v>
      </c>
      <c r="DI38" s="272">
        <v>258875</v>
      </c>
      <c r="DJ38" s="272">
        <v>53200</v>
      </c>
      <c r="DK38" s="272">
        <v>1100</v>
      </c>
      <c r="DL38" s="272">
        <v>204575</v>
      </c>
      <c r="DM38" s="272">
        <v>0</v>
      </c>
      <c r="DN38" s="272">
        <v>0</v>
      </c>
      <c r="DO38" s="272">
        <v>0</v>
      </c>
      <c r="DP38" s="272">
        <v>0</v>
      </c>
      <c r="DQ38" s="272">
        <v>4162</v>
      </c>
      <c r="DR38" s="272">
        <v>0</v>
      </c>
      <c r="DS38" s="272">
        <v>0</v>
      </c>
      <c r="DT38" s="272">
        <v>766993</v>
      </c>
      <c r="DU38" s="272">
        <v>490000</v>
      </c>
      <c r="DV38" s="455">
        <f t="shared" si="11"/>
        <v>0</v>
      </c>
      <c r="DW38" s="272">
        <v>0</v>
      </c>
      <c r="DX38" s="272">
        <v>0</v>
      </c>
      <c r="DY38" s="272">
        <v>0</v>
      </c>
      <c r="DZ38" s="272">
        <v>159290</v>
      </c>
      <c r="EA38" s="272">
        <v>111217</v>
      </c>
      <c r="EB38" s="272"/>
      <c r="EC38" s="272">
        <v>0</v>
      </c>
      <c r="ED38" s="272">
        <v>9860425</v>
      </c>
      <c r="EE38" s="89"/>
      <c r="EF38" s="272">
        <v>103808</v>
      </c>
      <c r="EG38" s="272">
        <v>15157</v>
      </c>
      <c r="EH38" s="272">
        <v>88651</v>
      </c>
      <c r="EI38" s="272">
        <v>8138</v>
      </c>
      <c r="EJ38" s="272">
        <v>231921</v>
      </c>
      <c r="EK38" s="89"/>
      <c r="EL38" s="272"/>
      <c r="EM38" s="272">
        <v>30404</v>
      </c>
      <c r="EN38" s="272">
        <v>406000</v>
      </c>
      <c r="EO38" s="272">
        <v>11575</v>
      </c>
      <c r="EP38" s="455">
        <f t="shared" si="12"/>
        <v>154647</v>
      </c>
      <c r="EQ38" s="272">
        <v>7971167</v>
      </c>
      <c r="ER38" s="272">
        <v>-567025</v>
      </c>
      <c r="ES38" s="272">
        <v>2857988</v>
      </c>
      <c r="ET38" s="272">
        <v>1990852</v>
      </c>
      <c r="EU38" s="272">
        <v>439522</v>
      </c>
      <c r="EV38" s="272">
        <v>2111116</v>
      </c>
      <c r="EW38" s="455">
        <f t="shared" si="13"/>
        <v>415597</v>
      </c>
      <c r="EX38" s="272">
        <v>413405</v>
      </c>
      <c r="EY38" s="272">
        <v>1075</v>
      </c>
      <c r="EZ38" s="272">
        <v>399755</v>
      </c>
      <c r="FA38" s="272">
        <v>2192</v>
      </c>
      <c r="FB38" s="272"/>
      <c r="FC38" s="272">
        <v>1415045</v>
      </c>
      <c r="FD38" s="272">
        <v>327579</v>
      </c>
      <c r="FE38" s="272">
        <v>2659</v>
      </c>
      <c r="FF38" s="272">
        <v>709774</v>
      </c>
      <c r="FG38" s="455">
        <f t="shared" si="14"/>
        <v>157763</v>
      </c>
      <c r="FH38" s="272">
        <v>8434384</v>
      </c>
      <c r="FI38" s="384">
        <f t="shared" si="15"/>
        <v>1.3</v>
      </c>
      <c r="FJ38" s="272">
        <v>7022364</v>
      </c>
      <c r="FK38" s="272"/>
      <c r="FL38" s="272">
        <v>4124537</v>
      </c>
      <c r="FM38" s="272">
        <v>5674621</v>
      </c>
      <c r="FN38" s="460">
        <v>0.80900000000000005</v>
      </c>
      <c r="FO38" s="388">
        <v>98</v>
      </c>
      <c r="FP38" s="388">
        <v>37.6</v>
      </c>
      <c r="FQ38" s="388">
        <v>6</v>
      </c>
      <c r="FR38" s="388">
        <v>26.5</v>
      </c>
      <c r="FS38" s="388">
        <v>16.600000000000001</v>
      </c>
      <c r="FT38" s="388">
        <v>3.7</v>
      </c>
      <c r="FU38" s="388">
        <v>6.5</v>
      </c>
      <c r="FV38" s="388">
        <v>14.3</v>
      </c>
      <c r="FW38" s="272">
        <v>16453968</v>
      </c>
      <c r="FX38" s="384">
        <f t="shared" si="16"/>
        <v>234.3</v>
      </c>
      <c r="FY38" s="272">
        <v>5428623</v>
      </c>
      <c r="FZ38" s="272">
        <v>1347271</v>
      </c>
      <c r="GA38" s="272">
        <v>202452</v>
      </c>
      <c r="GB38" s="272">
        <v>3878900</v>
      </c>
      <c r="GC38" s="272"/>
      <c r="GD38" s="272"/>
      <c r="GE38" s="384"/>
      <c r="GF38" s="388">
        <v>99</v>
      </c>
      <c r="GG38" s="388">
        <v>10</v>
      </c>
      <c r="GH38" s="388">
        <v>92.9</v>
      </c>
      <c r="GI38" s="272">
        <v>295</v>
      </c>
    </row>
    <row r="39" spans="2:191" x14ac:dyDescent="0.15">
      <c r="B39" s="89" t="s">
        <v>71</v>
      </c>
      <c r="C39" s="272">
        <v>3237658</v>
      </c>
      <c r="D39" s="455">
        <f t="shared" si="0"/>
        <v>2067910</v>
      </c>
      <c r="E39" s="272">
        <v>19315</v>
      </c>
      <c r="F39" s="272">
        <v>2048595</v>
      </c>
      <c r="G39" s="455">
        <f t="shared" si="1"/>
        <v>26950</v>
      </c>
      <c r="H39" s="272">
        <v>17386</v>
      </c>
      <c r="I39" s="272">
        <v>9564</v>
      </c>
      <c r="J39" s="272">
        <v>1056998</v>
      </c>
      <c r="K39" s="272">
        <v>382003</v>
      </c>
      <c r="L39" s="272">
        <v>567662</v>
      </c>
      <c r="M39" s="272">
        <v>107315</v>
      </c>
      <c r="N39" s="272">
        <v>67227</v>
      </c>
      <c r="O39" s="272">
        <v>0</v>
      </c>
      <c r="P39" s="272">
        <v>0</v>
      </c>
      <c r="Q39" s="272">
        <v>0</v>
      </c>
      <c r="R39" s="272">
        <v>82902</v>
      </c>
      <c r="S39" s="272"/>
      <c r="T39" s="455">
        <f t="shared" si="2"/>
        <v>332352</v>
      </c>
      <c r="U39" s="272">
        <v>63124</v>
      </c>
      <c r="V39" s="272"/>
      <c r="W39" s="272"/>
      <c r="X39" s="272">
        <v>169081</v>
      </c>
      <c r="Y39" s="272">
        <v>14866</v>
      </c>
      <c r="Z39" s="272">
        <v>0</v>
      </c>
      <c r="AA39" s="272">
        <v>85281</v>
      </c>
      <c r="AB39" s="272">
        <v>155615</v>
      </c>
      <c r="AC39" s="272">
        <v>2306719</v>
      </c>
      <c r="AD39" s="272">
        <v>1936298</v>
      </c>
      <c r="AE39" s="272">
        <v>370421</v>
      </c>
      <c r="AF39" s="272">
        <v>5672</v>
      </c>
      <c r="AG39" s="272">
        <v>42419</v>
      </c>
      <c r="AH39" s="455">
        <f t="shared" si="3"/>
        <v>173293</v>
      </c>
      <c r="AI39" s="272">
        <v>153920</v>
      </c>
      <c r="AJ39" s="272">
        <v>19373</v>
      </c>
      <c r="AK39" s="272">
        <v>541381</v>
      </c>
      <c r="AL39" s="455">
        <f t="shared" si="4"/>
        <v>65216</v>
      </c>
      <c r="AM39" s="272">
        <v>0</v>
      </c>
      <c r="AN39" s="272">
        <v>14579</v>
      </c>
      <c r="AO39" s="272">
        <v>0</v>
      </c>
      <c r="AP39" s="272">
        <v>50637</v>
      </c>
      <c r="AQ39" s="272">
        <v>165195</v>
      </c>
      <c r="AR39" s="272">
        <v>20559</v>
      </c>
      <c r="AS39" s="272">
        <v>0</v>
      </c>
      <c r="AT39" s="272">
        <v>638996</v>
      </c>
      <c r="AU39" s="272">
        <v>369954</v>
      </c>
      <c r="AV39" s="272">
        <v>7429</v>
      </c>
      <c r="AW39" s="272">
        <v>148777</v>
      </c>
      <c r="AX39" s="272">
        <v>269042</v>
      </c>
      <c r="AY39" s="272">
        <v>51742</v>
      </c>
      <c r="AZ39" s="272">
        <v>13987</v>
      </c>
      <c r="BA39" s="272">
        <v>0</v>
      </c>
      <c r="BB39" s="272">
        <v>438</v>
      </c>
      <c r="BC39" s="272">
        <v>328917</v>
      </c>
      <c r="BD39" s="272">
        <v>0</v>
      </c>
      <c r="BE39" s="272">
        <v>3935</v>
      </c>
      <c r="BF39" s="272">
        <v>315000</v>
      </c>
      <c r="BG39" s="272">
        <v>0</v>
      </c>
      <c r="BH39" s="272">
        <v>410611</v>
      </c>
      <c r="BI39" s="272">
        <v>293657</v>
      </c>
      <c r="BJ39" s="272">
        <v>108215</v>
      </c>
      <c r="BK39" s="272">
        <v>1174</v>
      </c>
      <c r="BL39" s="272">
        <v>0</v>
      </c>
      <c r="BM39" s="272">
        <v>0</v>
      </c>
      <c r="BN39" s="272">
        <v>397800</v>
      </c>
      <c r="BO39" s="455">
        <f t="shared" si="5"/>
        <v>344200</v>
      </c>
      <c r="BP39" s="455">
        <f t="shared" si="6"/>
        <v>53600</v>
      </c>
      <c r="BQ39" s="272">
        <v>53600</v>
      </c>
      <c r="BR39" s="272"/>
      <c r="BS39" s="272"/>
      <c r="BT39" s="272">
        <v>0</v>
      </c>
      <c r="BU39" s="272">
        <v>8776975</v>
      </c>
      <c r="BV39" s="272"/>
      <c r="BW39" s="272">
        <v>2505096</v>
      </c>
      <c r="BX39" s="272">
        <v>1747448</v>
      </c>
      <c r="BY39" s="272">
        <v>28207</v>
      </c>
      <c r="BZ39" s="272">
        <v>260079</v>
      </c>
      <c r="CA39" s="272">
        <v>300720</v>
      </c>
      <c r="CB39" s="272">
        <v>66625</v>
      </c>
      <c r="CC39" s="272">
        <v>218367</v>
      </c>
      <c r="CD39" s="272">
        <v>13055</v>
      </c>
      <c r="CE39" s="272">
        <v>0</v>
      </c>
      <c r="CF39" s="272">
        <v>140</v>
      </c>
      <c r="CG39" s="272">
        <v>2533</v>
      </c>
      <c r="CH39" s="272">
        <v>793571</v>
      </c>
      <c r="CI39" s="272">
        <v>565098</v>
      </c>
      <c r="CJ39" s="455">
        <f t="shared" si="7"/>
        <v>228473</v>
      </c>
      <c r="CK39" s="272">
        <v>1199950</v>
      </c>
      <c r="CL39" s="272">
        <v>629990</v>
      </c>
      <c r="CM39" s="272">
        <v>41173</v>
      </c>
      <c r="CN39" s="272">
        <v>332639</v>
      </c>
      <c r="CO39" s="272">
        <v>258180</v>
      </c>
      <c r="CP39" s="272">
        <v>814324</v>
      </c>
      <c r="CQ39" s="272">
        <v>347390</v>
      </c>
      <c r="CR39" s="272">
        <v>269766</v>
      </c>
      <c r="CS39" s="272">
        <v>269141</v>
      </c>
      <c r="CT39" s="455">
        <f t="shared" si="8"/>
        <v>60030</v>
      </c>
      <c r="CU39" s="272">
        <v>24497</v>
      </c>
      <c r="CV39" s="272">
        <v>35533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1463646</v>
      </c>
      <c r="DD39" s="272">
        <v>599378</v>
      </c>
      <c r="DE39" s="272">
        <v>846563</v>
      </c>
      <c r="DF39" s="272">
        <v>17705</v>
      </c>
      <c r="DG39" s="272">
        <v>0</v>
      </c>
      <c r="DH39" s="272">
        <v>237297</v>
      </c>
      <c r="DI39" s="272">
        <v>304013</v>
      </c>
      <c r="DJ39" s="272">
        <v>160668</v>
      </c>
      <c r="DK39" s="272">
        <v>1500</v>
      </c>
      <c r="DL39" s="272">
        <v>141845</v>
      </c>
      <c r="DM39" s="272">
        <v>0</v>
      </c>
      <c r="DN39" s="272">
        <v>0</v>
      </c>
      <c r="DO39" s="272">
        <v>0</v>
      </c>
      <c r="DP39" s="272">
        <v>0</v>
      </c>
      <c r="DQ39" s="272">
        <v>3955</v>
      </c>
      <c r="DR39" s="272">
        <v>0</v>
      </c>
      <c r="DS39" s="272">
        <v>0</v>
      </c>
      <c r="DT39" s="272">
        <v>592226</v>
      </c>
      <c r="DU39" s="272">
        <v>343277</v>
      </c>
      <c r="DV39" s="455">
        <f t="shared" si="11"/>
        <v>0</v>
      </c>
      <c r="DW39" s="272">
        <v>0</v>
      </c>
      <c r="DX39" s="272">
        <v>0</v>
      </c>
      <c r="DY39" s="272">
        <v>0</v>
      </c>
      <c r="DZ39" s="272">
        <v>96659</v>
      </c>
      <c r="EA39" s="272">
        <v>101250</v>
      </c>
      <c r="EB39" s="272"/>
      <c r="EC39" s="272">
        <v>0</v>
      </c>
      <c r="ED39" s="272">
        <v>8472978</v>
      </c>
      <c r="EE39" s="89"/>
      <c r="EF39" s="272">
        <v>303997</v>
      </c>
      <c r="EG39" s="272">
        <v>89549</v>
      </c>
      <c r="EH39" s="272">
        <v>214448</v>
      </c>
      <c r="EI39" s="272">
        <v>-79209</v>
      </c>
      <c r="EJ39" s="272">
        <v>81459</v>
      </c>
      <c r="EK39" s="89"/>
      <c r="EL39" s="272"/>
      <c r="EM39" s="272">
        <v>26806</v>
      </c>
      <c r="EN39" s="272">
        <v>13571</v>
      </c>
      <c r="EO39" s="272">
        <v>2353</v>
      </c>
      <c r="EP39" s="455">
        <f t="shared" si="12"/>
        <v>321829</v>
      </c>
      <c r="EQ39" s="272">
        <v>6120918</v>
      </c>
      <c r="ER39" s="272">
        <v>-385681</v>
      </c>
      <c r="ES39" s="272">
        <v>2253082</v>
      </c>
      <c r="ET39" s="272">
        <v>1511690</v>
      </c>
      <c r="EU39" s="272">
        <v>86575</v>
      </c>
      <c r="EV39" s="272">
        <v>772442</v>
      </c>
      <c r="EW39" s="455">
        <f t="shared" si="13"/>
        <v>570603</v>
      </c>
      <c r="EX39" s="272">
        <v>477115</v>
      </c>
      <c r="EY39" s="272">
        <v>4106</v>
      </c>
      <c r="EZ39" s="272">
        <v>472956</v>
      </c>
      <c r="FA39" s="272">
        <v>93488</v>
      </c>
      <c r="FB39" s="272"/>
      <c r="FC39" s="272">
        <v>912381</v>
      </c>
      <c r="FD39" s="272">
        <v>661254</v>
      </c>
      <c r="FE39" s="272">
        <v>337590</v>
      </c>
      <c r="FF39" s="272">
        <v>528685</v>
      </c>
      <c r="FG39" s="455">
        <f t="shared" si="14"/>
        <v>417580</v>
      </c>
      <c r="FH39" s="272">
        <v>6202602</v>
      </c>
      <c r="FI39" s="384">
        <f t="shared" si="15"/>
        <v>3.7</v>
      </c>
      <c r="FJ39" s="272">
        <v>5815219</v>
      </c>
      <c r="FK39" s="272"/>
      <c r="FL39" s="272">
        <v>2931731</v>
      </c>
      <c r="FM39" s="272">
        <v>4870585</v>
      </c>
      <c r="FN39" s="460">
        <v>0.627</v>
      </c>
      <c r="FO39" s="388">
        <v>85.1</v>
      </c>
      <c r="FP39" s="388">
        <v>39</v>
      </c>
      <c r="FQ39" s="388">
        <v>1.5</v>
      </c>
      <c r="FR39" s="388">
        <v>13.4</v>
      </c>
      <c r="FS39" s="388">
        <v>15.3</v>
      </c>
      <c r="FT39" s="388">
        <v>8</v>
      </c>
      <c r="FU39" s="388">
        <v>3.4</v>
      </c>
      <c r="FV39" s="388">
        <v>6.7</v>
      </c>
      <c r="FW39" s="272">
        <v>6555583</v>
      </c>
      <c r="FX39" s="384">
        <f t="shared" si="16"/>
        <v>112.7</v>
      </c>
      <c r="FY39" s="272">
        <v>3785601</v>
      </c>
      <c r="FZ39" s="272">
        <v>1376446</v>
      </c>
      <c r="GA39" s="272">
        <v>454665</v>
      </c>
      <c r="GB39" s="272">
        <v>1954490</v>
      </c>
      <c r="GC39" s="272"/>
      <c r="GD39" s="272"/>
      <c r="GE39" s="384"/>
      <c r="GF39" s="388">
        <v>99</v>
      </c>
      <c r="GG39" s="388">
        <v>18.100000000000001</v>
      </c>
      <c r="GH39" s="388">
        <v>95</v>
      </c>
      <c r="GI39" s="272">
        <v>271</v>
      </c>
    </row>
    <row r="40" spans="2:191" x14ac:dyDescent="0.15">
      <c r="B40" s="89" t="s">
        <v>73</v>
      </c>
      <c r="C40" s="272">
        <v>1341795</v>
      </c>
      <c r="D40" s="455">
        <f t="shared" si="0"/>
        <v>570101</v>
      </c>
      <c r="E40" s="272">
        <v>9462</v>
      </c>
      <c r="F40" s="272">
        <v>560639</v>
      </c>
      <c r="G40" s="455">
        <f t="shared" si="1"/>
        <v>47522</v>
      </c>
      <c r="H40" s="272">
        <v>17394</v>
      </c>
      <c r="I40" s="272">
        <v>30128</v>
      </c>
      <c r="J40" s="272">
        <v>638224</v>
      </c>
      <c r="K40" s="272">
        <v>187391</v>
      </c>
      <c r="L40" s="272">
        <v>355677</v>
      </c>
      <c r="M40" s="272">
        <v>95074</v>
      </c>
      <c r="N40" s="272">
        <v>58063</v>
      </c>
      <c r="O40" s="272">
        <v>0</v>
      </c>
      <c r="P40" s="272">
        <v>0</v>
      </c>
      <c r="Q40" s="272">
        <v>0</v>
      </c>
      <c r="R40" s="272">
        <v>69003</v>
      </c>
      <c r="S40" s="272"/>
      <c r="T40" s="455">
        <f t="shared" si="2"/>
        <v>228748</v>
      </c>
      <c r="U40" s="272">
        <v>19455</v>
      </c>
      <c r="V40" s="272"/>
      <c r="W40" s="272"/>
      <c r="X40" s="272">
        <v>112905</v>
      </c>
      <c r="Y40" s="272">
        <v>23686</v>
      </c>
      <c r="Z40" s="272">
        <v>1479</v>
      </c>
      <c r="AA40" s="272">
        <v>71223</v>
      </c>
      <c r="AB40" s="272">
        <v>43565</v>
      </c>
      <c r="AC40" s="272">
        <v>2201661</v>
      </c>
      <c r="AD40" s="272">
        <v>1872046</v>
      </c>
      <c r="AE40" s="272">
        <v>329615</v>
      </c>
      <c r="AF40" s="272">
        <v>2822</v>
      </c>
      <c r="AG40" s="272">
        <v>14616</v>
      </c>
      <c r="AH40" s="455">
        <f t="shared" si="3"/>
        <v>137797</v>
      </c>
      <c r="AI40" s="272">
        <v>86169</v>
      </c>
      <c r="AJ40" s="272">
        <v>51628</v>
      </c>
      <c r="AK40" s="272">
        <v>474487</v>
      </c>
      <c r="AL40" s="455">
        <f t="shared" si="4"/>
        <v>56929</v>
      </c>
      <c r="AM40" s="272">
        <v>0</v>
      </c>
      <c r="AN40" s="272">
        <v>43551</v>
      </c>
      <c r="AO40" s="272">
        <v>0</v>
      </c>
      <c r="AP40" s="272">
        <v>13378</v>
      </c>
      <c r="AQ40" s="272">
        <v>138887</v>
      </c>
      <c r="AR40" s="272">
        <v>2670</v>
      </c>
      <c r="AS40" s="272">
        <v>0</v>
      </c>
      <c r="AT40" s="272">
        <v>646884</v>
      </c>
      <c r="AU40" s="272">
        <v>371434</v>
      </c>
      <c r="AV40" s="272">
        <v>16141</v>
      </c>
      <c r="AW40" s="272">
        <v>271567</v>
      </c>
      <c r="AX40" s="272">
        <v>275450</v>
      </c>
      <c r="AY40" s="272">
        <v>105972</v>
      </c>
      <c r="AZ40" s="272">
        <v>6177</v>
      </c>
      <c r="BA40" s="272">
        <v>0</v>
      </c>
      <c r="BB40" s="272">
        <v>1622</v>
      </c>
      <c r="BC40" s="272">
        <v>527992</v>
      </c>
      <c r="BD40" s="272">
        <v>250000</v>
      </c>
      <c r="BE40" s="272">
        <v>0</v>
      </c>
      <c r="BF40" s="272">
        <v>191550</v>
      </c>
      <c r="BG40" s="272">
        <v>0</v>
      </c>
      <c r="BH40" s="272">
        <v>193397</v>
      </c>
      <c r="BI40" s="272">
        <v>141509</v>
      </c>
      <c r="BJ40" s="272">
        <v>47576</v>
      </c>
      <c r="BK40" s="272">
        <v>418</v>
      </c>
      <c r="BL40" s="272">
        <v>10205</v>
      </c>
      <c r="BM40" s="272">
        <v>0</v>
      </c>
      <c r="BN40" s="272">
        <v>313200</v>
      </c>
      <c r="BO40" s="455">
        <f t="shared" si="5"/>
        <v>292800</v>
      </c>
      <c r="BP40" s="455">
        <f t="shared" si="6"/>
        <v>20400</v>
      </c>
      <c r="BQ40" s="272">
        <v>20400</v>
      </c>
      <c r="BR40" s="272"/>
      <c r="BS40" s="272"/>
      <c r="BT40" s="272">
        <v>0</v>
      </c>
      <c r="BU40" s="272">
        <v>6251342</v>
      </c>
      <c r="BV40" s="272"/>
      <c r="BW40" s="272">
        <v>1539027</v>
      </c>
      <c r="BX40" s="272">
        <v>1009084</v>
      </c>
      <c r="BY40" s="272">
        <v>103415</v>
      </c>
      <c r="BZ40" s="272">
        <v>102735</v>
      </c>
      <c r="CA40" s="272">
        <v>205858</v>
      </c>
      <c r="CB40" s="272">
        <v>46514</v>
      </c>
      <c r="CC40" s="272">
        <v>98246</v>
      </c>
      <c r="CD40" s="272">
        <v>39610</v>
      </c>
      <c r="CE40" s="272">
        <v>0</v>
      </c>
      <c r="CF40" s="272">
        <v>5827</v>
      </c>
      <c r="CG40" s="272">
        <v>15661</v>
      </c>
      <c r="CH40" s="272">
        <v>355930</v>
      </c>
      <c r="CI40" s="272">
        <v>246664</v>
      </c>
      <c r="CJ40" s="455">
        <f t="shared" si="7"/>
        <v>109266</v>
      </c>
      <c r="CK40" s="272">
        <v>973266</v>
      </c>
      <c r="CL40" s="272">
        <v>562445</v>
      </c>
      <c r="CM40" s="272">
        <v>25700</v>
      </c>
      <c r="CN40" s="272">
        <v>216739</v>
      </c>
      <c r="CO40" s="272">
        <v>46381</v>
      </c>
      <c r="CP40" s="272">
        <v>556602</v>
      </c>
      <c r="CQ40" s="272">
        <v>172306</v>
      </c>
      <c r="CR40" s="272">
        <v>219741</v>
      </c>
      <c r="CS40" s="272">
        <v>132730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1438951</v>
      </c>
      <c r="DD40" s="272">
        <v>720857</v>
      </c>
      <c r="DE40" s="272">
        <v>699246</v>
      </c>
      <c r="DF40" s="272">
        <v>8643</v>
      </c>
      <c r="DG40" s="272">
        <v>10205</v>
      </c>
      <c r="DH40" s="272">
        <v>29377</v>
      </c>
      <c r="DI40" s="272">
        <v>432792</v>
      </c>
      <c r="DJ40" s="272">
        <v>93091</v>
      </c>
      <c r="DK40" s="272">
        <v>0</v>
      </c>
      <c r="DL40" s="272">
        <v>339701</v>
      </c>
      <c r="DM40" s="272">
        <v>10000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343128</v>
      </c>
      <c r="DU40" s="272">
        <v>134817</v>
      </c>
      <c r="DV40" s="455">
        <f t="shared" si="11"/>
        <v>0</v>
      </c>
      <c r="DW40" s="272">
        <v>0</v>
      </c>
      <c r="DX40" s="272">
        <v>0</v>
      </c>
      <c r="DY40" s="272">
        <v>0</v>
      </c>
      <c r="DZ40" s="272">
        <v>95153</v>
      </c>
      <c r="EA40" s="272">
        <v>78886</v>
      </c>
      <c r="EB40" s="272"/>
      <c r="EC40" s="272">
        <v>0</v>
      </c>
      <c r="ED40" s="272">
        <v>5931312</v>
      </c>
      <c r="EE40" s="89"/>
      <c r="EF40" s="272">
        <v>320030</v>
      </c>
      <c r="EG40" s="272">
        <v>74317</v>
      </c>
      <c r="EH40" s="272">
        <v>245713</v>
      </c>
      <c r="EI40" s="272">
        <v>104204</v>
      </c>
      <c r="EJ40" s="272">
        <v>-52705</v>
      </c>
      <c r="EK40" s="89"/>
      <c r="EL40" s="272"/>
      <c r="EM40" s="272">
        <v>14812</v>
      </c>
      <c r="EN40" s="272">
        <v>467442</v>
      </c>
      <c r="EO40" s="272">
        <v>248</v>
      </c>
      <c r="EP40" s="455">
        <f t="shared" si="12"/>
        <v>203982</v>
      </c>
      <c r="EQ40" s="272">
        <v>3887594</v>
      </c>
      <c r="ER40" s="272">
        <v>-689250</v>
      </c>
      <c r="ES40" s="272">
        <v>1430639</v>
      </c>
      <c r="ET40" s="272">
        <v>905985</v>
      </c>
      <c r="EU40" s="272">
        <v>89039</v>
      </c>
      <c r="EV40" s="272">
        <v>348930</v>
      </c>
      <c r="EW40" s="455">
        <f t="shared" si="13"/>
        <v>534156</v>
      </c>
      <c r="EX40" s="272">
        <v>522704</v>
      </c>
      <c r="EY40" s="272">
        <v>60054</v>
      </c>
      <c r="EZ40" s="272">
        <v>456312</v>
      </c>
      <c r="FA40" s="272">
        <v>11452</v>
      </c>
      <c r="FB40" s="272"/>
      <c r="FC40" s="272">
        <v>746300</v>
      </c>
      <c r="FD40" s="272">
        <v>417234</v>
      </c>
      <c r="FE40" s="272">
        <v>167506</v>
      </c>
      <c r="FF40" s="272">
        <v>312280</v>
      </c>
      <c r="FG40" s="455">
        <f t="shared" si="14"/>
        <v>378236</v>
      </c>
      <c r="FH40" s="272">
        <v>4256814</v>
      </c>
      <c r="FI40" s="384">
        <f t="shared" si="15"/>
        <v>6.8</v>
      </c>
      <c r="FJ40" s="272">
        <v>3598285</v>
      </c>
      <c r="FK40" s="272"/>
      <c r="FL40" s="272">
        <v>1312878</v>
      </c>
      <c r="FM40" s="272">
        <v>3200061</v>
      </c>
      <c r="FN40" s="460">
        <v>0.41699999999999998</v>
      </c>
      <c r="FO40" s="388">
        <v>83.4</v>
      </c>
      <c r="FP40" s="388">
        <v>39.9</v>
      </c>
      <c r="FQ40" s="388">
        <v>2.5</v>
      </c>
      <c r="FR40" s="388">
        <v>9.6999999999999993</v>
      </c>
      <c r="FS40" s="388">
        <v>18.5</v>
      </c>
      <c r="FT40" s="388">
        <v>7.2</v>
      </c>
      <c r="FU40" s="388">
        <v>4.4000000000000004</v>
      </c>
      <c r="FV40" s="388">
        <v>4.5</v>
      </c>
      <c r="FW40" s="272">
        <v>3626345</v>
      </c>
      <c r="FX40" s="384">
        <f t="shared" si="16"/>
        <v>100.8</v>
      </c>
      <c r="FY40" s="272">
        <v>1972559</v>
      </c>
      <c r="FZ40" s="272">
        <v>1116049</v>
      </c>
      <c r="GA40" s="272"/>
      <c r="GB40" s="272">
        <v>856510</v>
      </c>
      <c r="GC40" s="272"/>
      <c r="GD40" s="272"/>
      <c r="GE40" s="384"/>
      <c r="GF40" s="388">
        <v>95.4</v>
      </c>
      <c r="GG40" s="388">
        <v>19.399999999999999</v>
      </c>
      <c r="GH40" s="388">
        <v>86.8</v>
      </c>
      <c r="GI40" s="272">
        <v>165</v>
      </c>
    </row>
    <row r="41" spans="2:191" x14ac:dyDescent="0.15">
      <c r="B41" s="89" t="s">
        <v>75</v>
      </c>
      <c r="C41" s="272">
        <v>2705112</v>
      </c>
      <c r="D41" s="455">
        <f t="shared" si="0"/>
        <v>666866</v>
      </c>
      <c r="E41" s="272">
        <v>12406</v>
      </c>
      <c r="F41" s="272">
        <v>654460</v>
      </c>
      <c r="G41" s="455">
        <f t="shared" si="1"/>
        <v>152804</v>
      </c>
      <c r="H41" s="272">
        <v>44941</v>
      </c>
      <c r="I41" s="272">
        <v>107863</v>
      </c>
      <c r="J41" s="272">
        <v>1422026</v>
      </c>
      <c r="K41" s="272">
        <v>806312</v>
      </c>
      <c r="L41" s="272">
        <v>421477</v>
      </c>
      <c r="M41" s="272">
        <v>183811</v>
      </c>
      <c r="N41" s="272">
        <v>120380</v>
      </c>
      <c r="O41" s="272">
        <v>325731</v>
      </c>
      <c r="P41" s="272">
        <v>231054</v>
      </c>
      <c r="Q41" s="272">
        <v>94677</v>
      </c>
      <c r="R41" s="272">
        <v>40073</v>
      </c>
      <c r="S41" s="272"/>
      <c r="T41" s="455">
        <f t="shared" si="2"/>
        <v>244170</v>
      </c>
      <c r="U41" s="272">
        <v>23805</v>
      </c>
      <c r="V41" s="272"/>
      <c r="W41" s="272"/>
      <c r="X41" s="272">
        <v>179022</v>
      </c>
      <c r="Y41" s="272">
        <v>0</v>
      </c>
      <c r="Z41" s="272">
        <v>141</v>
      </c>
      <c r="AA41" s="272">
        <v>41202</v>
      </c>
      <c r="AB41" s="272">
        <v>50101</v>
      </c>
      <c r="AC41" s="272">
        <v>2021127</v>
      </c>
      <c r="AD41" s="272">
        <v>1641626</v>
      </c>
      <c r="AE41" s="272">
        <v>379501</v>
      </c>
      <c r="AF41" s="272">
        <v>4118</v>
      </c>
      <c r="AG41" s="272">
        <v>30808</v>
      </c>
      <c r="AH41" s="455">
        <f t="shared" si="3"/>
        <v>171431</v>
      </c>
      <c r="AI41" s="272">
        <v>146238</v>
      </c>
      <c r="AJ41" s="272">
        <v>25193</v>
      </c>
      <c r="AK41" s="272">
        <v>731030</v>
      </c>
      <c r="AL41" s="455">
        <f t="shared" si="4"/>
        <v>98754</v>
      </c>
      <c r="AM41" s="272">
        <v>0</v>
      </c>
      <c r="AN41" s="272">
        <v>53862</v>
      </c>
      <c r="AO41" s="272">
        <v>0</v>
      </c>
      <c r="AP41" s="272">
        <v>44892</v>
      </c>
      <c r="AQ41" s="272">
        <v>361138</v>
      </c>
      <c r="AR41" s="272">
        <v>0</v>
      </c>
      <c r="AS41" s="272">
        <v>0</v>
      </c>
      <c r="AT41" s="272">
        <v>351541</v>
      </c>
      <c r="AU41" s="272">
        <v>105390</v>
      </c>
      <c r="AV41" s="272">
        <v>27360</v>
      </c>
      <c r="AW41" s="272">
        <v>0</v>
      </c>
      <c r="AX41" s="272">
        <v>246151</v>
      </c>
      <c r="AY41" s="272">
        <v>57057</v>
      </c>
      <c r="AZ41" s="272">
        <v>11377</v>
      </c>
      <c r="BA41" s="272">
        <v>1248</v>
      </c>
      <c r="BB41" s="272">
        <v>4012</v>
      </c>
      <c r="BC41" s="272">
        <v>20021</v>
      </c>
      <c r="BD41" s="272">
        <v>0</v>
      </c>
      <c r="BE41" s="272">
        <v>0</v>
      </c>
      <c r="BF41" s="272">
        <v>20000</v>
      </c>
      <c r="BG41" s="272">
        <v>0</v>
      </c>
      <c r="BH41" s="272">
        <v>114862</v>
      </c>
      <c r="BI41" s="272">
        <v>11541</v>
      </c>
      <c r="BJ41" s="272">
        <v>323210</v>
      </c>
      <c r="BK41" s="272">
        <v>208159</v>
      </c>
      <c r="BL41" s="272">
        <v>0</v>
      </c>
      <c r="BM41" s="272">
        <v>0</v>
      </c>
      <c r="BN41" s="272">
        <v>521900</v>
      </c>
      <c r="BO41" s="455">
        <f t="shared" si="5"/>
        <v>497600</v>
      </c>
      <c r="BP41" s="455">
        <f t="shared" si="6"/>
        <v>24300</v>
      </c>
      <c r="BQ41" s="272">
        <v>24300</v>
      </c>
      <c r="BR41" s="272"/>
      <c r="BS41" s="272"/>
      <c r="BT41" s="272">
        <v>0</v>
      </c>
      <c r="BU41" s="272">
        <v>7344893</v>
      </c>
      <c r="BV41" s="272"/>
      <c r="BW41" s="272">
        <v>1824400</v>
      </c>
      <c r="BX41" s="272">
        <v>1347923</v>
      </c>
      <c r="BY41" s="272">
        <v>74714</v>
      </c>
      <c r="BZ41" s="272">
        <v>14147</v>
      </c>
      <c r="CA41" s="272">
        <v>374242</v>
      </c>
      <c r="CB41" s="272">
        <v>108365</v>
      </c>
      <c r="CC41" s="272">
        <v>234605</v>
      </c>
      <c r="CD41" s="272">
        <v>25345</v>
      </c>
      <c r="CE41" s="272">
        <v>0</v>
      </c>
      <c r="CF41" s="272">
        <v>0</v>
      </c>
      <c r="CG41" s="272">
        <v>5927</v>
      </c>
      <c r="CH41" s="272">
        <v>779799</v>
      </c>
      <c r="CI41" s="272">
        <v>531282</v>
      </c>
      <c r="CJ41" s="455">
        <f t="shared" si="7"/>
        <v>248517</v>
      </c>
      <c r="CK41" s="272">
        <v>1311649</v>
      </c>
      <c r="CL41" s="272">
        <v>731249</v>
      </c>
      <c r="CM41" s="272">
        <v>109638</v>
      </c>
      <c r="CN41" s="272">
        <v>297849</v>
      </c>
      <c r="CO41" s="272">
        <v>41630</v>
      </c>
      <c r="CP41" s="272">
        <v>568958</v>
      </c>
      <c r="CQ41" s="272">
        <v>4232</v>
      </c>
      <c r="CR41" s="272">
        <v>138388</v>
      </c>
      <c r="CS41" s="272">
        <v>55443</v>
      </c>
      <c r="CT41" s="455">
        <f t="shared" si="8"/>
        <v>219734</v>
      </c>
      <c r="CU41" s="272">
        <v>146560</v>
      </c>
      <c r="CV41" s="272">
        <v>73174</v>
      </c>
      <c r="CW41" s="455">
        <f t="shared" si="9"/>
        <v>179734</v>
      </c>
      <c r="CX41" s="272">
        <v>146054</v>
      </c>
      <c r="CY41" s="272">
        <v>33680</v>
      </c>
      <c r="CZ41" s="455">
        <f t="shared" si="10"/>
        <v>0</v>
      </c>
      <c r="DA41" s="272">
        <v>0</v>
      </c>
      <c r="DB41" s="272">
        <v>0</v>
      </c>
      <c r="DC41" s="272">
        <v>1137957</v>
      </c>
      <c r="DD41" s="272">
        <v>727104</v>
      </c>
      <c r="DE41" s="272">
        <v>410853</v>
      </c>
      <c r="DF41" s="272">
        <v>0</v>
      </c>
      <c r="DG41" s="272">
        <v>0</v>
      </c>
      <c r="DH41" s="272">
        <v>0</v>
      </c>
      <c r="DI41" s="272">
        <v>153652</v>
      </c>
      <c r="DJ41" s="272">
        <v>11672</v>
      </c>
      <c r="DK41" s="272">
        <v>0</v>
      </c>
      <c r="DL41" s="272">
        <v>141980</v>
      </c>
      <c r="DM41" s="272">
        <v>0</v>
      </c>
      <c r="DN41" s="272">
        <v>0</v>
      </c>
      <c r="DO41" s="272">
        <v>0</v>
      </c>
      <c r="DP41" s="272">
        <v>0</v>
      </c>
      <c r="DQ41" s="272">
        <v>168</v>
      </c>
      <c r="DR41" s="272">
        <v>0</v>
      </c>
      <c r="DS41" s="272">
        <v>0</v>
      </c>
      <c r="DT41" s="272">
        <v>1050984</v>
      </c>
      <c r="DU41" s="272">
        <v>765000</v>
      </c>
      <c r="DV41" s="455">
        <f t="shared" si="11"/>
        <v>0</v>
      </c>
      <c r="DW41" s="272">
        <v>0</v>
      </c>
      <c r="DX41" s="272">
        <v>0</v>
      </c>
      <c r="DY41" s="272">
        <v>0</v>
      </c>
      <c r="DZ41" s="272">
        <v>188469</v>
      </c>
      <c r="EA41" s="272">
        <v>97515</v>
      </c>
      <c r="EB41" s="272"/>
      <c r="EC41" s="272">
        <v>0</v>
      </c>
      <c r="ED41" s="272">
        <v>7243439</v>
      </c>
      <c r="EE41" s="89"/>
      <c r="EF41" s="272">
        <v>101454</v>
      </c>
      <c r="EG41" s="272">
        <v>0</v>
      </c>
      <c r="EH41" s="272">
        <v>101454</v>
      </c>
      <c r="EI41" s="272">
        <v>89913</v>
      </c>
      <c r="EJ41" s="272">
        <v>101585</v>
      </c>
      <c r="EK41" s="89"/>
      <c r="EL41" s="272"/>
      <c r="EM41" s="272">
        <v>16946</v>
      </c>
      <c r="EN41" s="272">
        <v>21</v>
      </c>
      <c r="EO41" s="272">
        <v>749</v>
      </c>
      <c r="EP41" s="455">
        <f t="shared" si="12"/>
        <v>75041</v>
      </c>
      <c r="EQ41" s="272">
        <v>5064701</v>
      </c>
      <c r="ER41" s="272">
        <v>-95993</v>
      </c>
      <c r="ES41" s="272">
        <v>1656189</v>
      </c>
      <c r="ET41" s="272">
        <v>1207398</v>
      </c>
      <c r="EU41" s="272">
        <v>125854</v>
      </c>
      <c r="EV41" s="272">
        <v>572094</v>
      </c>
      <c r="EW41" s="455">
        <f t="shared" si="13"/>
        <v>132977</v>
      </c>
      <c r="EX41" s="272">
        <v>132977</v>
      </c>
      <c r="EY41" s="272">
        <v>7576</v>
      </c>
      <c r="EZ41" s="272">
        <v>125401</v>
      </c>
      <c r="FA41" s="272">
        <v>0</v>
      </c>
      <c r="FB41" s="272"/>
      <c r="FC41" s="272">
        <v>1071491</v>
      </c>
      <c r="FD41" s="272">
        <v>438475</v>
      </c>
      <c r="FE41" s="272">
        <v>4232</v>
      </c>
      <c r="FF41" s="272">
        <v>1012967</v>
      </c>
      <c r="FG41" s="455">
        <f t="shared" si="14"/>
        <v>49193</v>
      </c>
      <c r="FH41" s="272">
        <v>5059240</v>
      </c>
      <c r="FI41" s="384">
        <f t="shared" si="15"/>
        <v>2.4</v>
      </c>
      <c r="FJ41" s="272">
        <v>4262104</v>
      </c>
      <c r="FK41" s="272"/>
      <c r="FL41" s="272">
        <v>1976541</v>
      </c>
      <c r="FM41" s="272">
        <v>3620066</v>
      </c>
      <c r="FN41" s="460">
        <v>0.58899999999999997</v>
      </c>
      <c r="FO41" s="388">
        <v>100.5</v>
      </c>
      <c r="FP41" s="388">
        <v>37.4</v>
      </c>
      <c r="FQ41" s="388">
        <v>2.9</v>
      </c>
      <c r="FR41" s="388">
        <v>13</v>
      </c>
      <c r="FS41" s="388">
        <v>23.5</v>
      </c>
      <c r="FT41" s="388">
        <v>8.3000000000000007</v>
      </c>
      <c r="FU41" s="388">
        <v>14.4</v>
      </c>
      <c r="FV41" s="388">
        <v>9.4</v>
      </c>
      <c r="FW41" s="272">
        <v>9159571</v>
      </c>
      <c r="FX41" s="384">
        <f t="shared" si="16"/>
        <v>214.9</v>
      </c>
      <c r="FY41" s="272">
        <v>1846941</v>
      </c>
      <c r="FZ41" s="272">
        <v>1066034</v>
      </c>
      <c r="GA41" s="272"/>
      <c r="GB41" s="272">
        <v>780907</v>
      </c>
      <c r="GC41" s="272"/>
      <c r="GD41" s="272"/>
      <c r="GE41" s="384"/>
      <c r="GF41" s="388">
        <v>96.9</v>
      </c>
      <c r="GG41" s="388">
        <v>19.600000000000001</v>
      </c>
      <c r="GH41" s="388">
        <v>88</v>
      </c>
      <c r="GI41" s="272">
        <v>189</v>
      </c>
    </row>
    <row r="42" spans="2:191" x14ac:dyDescent="0.15">
      <c r="B42" s="89" t="s">
        <v>77</v>
      </c>
      <c r="C42" s="272">
        <v>4871941</v>
      </c>
      <c r="D42" s="455">
        <f t="shared" si="0"/>
        <v>2384342</v>
      </c>
      <c r="E42" s="272">
        <v>30238</v>
      </c>
      <c r="F42" s="272">
        <v>2354104</v>
      </c>
      <c r="G42" s="455">
        <f t="shared" si="1"/>
        <v>216887</v>
      </c>
      <c r="H42" s="272">
        <v>49298</v>
      </c>
      <c r="I42" s="272">
        <v>167589</v>
      </c>
      <c r="J42" s="272">
        <v>2048378</v>
      </c>
      <c r="K42" s="272">
        <v>948609</v>
      </c>
      <c r="L42" s="272">
        <v>862545</v>
      </c>
      <c r="M42" s="272">
        <v>224966</v>
      </c>
      <c r="N42" s="272">
        <v>170783</v>
      </c>
      <c r="O42" s="272">
        <v>0</v>
      </c>
      <c r="P42" s="272">
        <v>0</v>
      </c>
      <c r="Q42" s="272">
        <v>0</v>
      </c>
      <c r="R42" s="272">
        <v>91692</v>
      </c>
      <c r="S42" s="272"/>
      <c r="T42" s="455">
        <f t="shared" si="2"/>
        <v>485262</v>
      </c>
      <c r="U42" s="272">
        <v>74904</v>
      </c>
      <c r="V42" s="272"/>
      <c r="W42" s="272"/>
      <c r="X42" s="272">
        <v>302990</v>
      </c>
      <c r="Y42" s="272">
        <v>12787</v>
      </c>
      <c r="Z42" s="272">
        <v>218</v>
      </c>
      <c r="AA42" s="272">
        <v>94363</v>
      </c>
      <c r="AB42" s="272">
        <v>177931</v>
      </c>
      <c r="AC42" s="272">
        <v>2642769</v>
      </c>
      <c r="AD42" s="272">
        <v>2375261</v>
      </c>
      <c r="AE42" s="272">
        <v>267508</v>
      </c>
      <c r="AF42" s="272">
        <v>9556</v>
      </c>
      <c r="AG42" s="272">
        <v>63029</v>
      </c>
      <c r="AH42" s="455">
        <f t="shared" si="3"/>
        <v>188326</v>
      </c>
      <c r="AI42" s="272">
        <v>161511</v>
      </c>
      <c r="AJ42" s="272">
        <v>26815</v>
      </c>
      <c r="AK42" s="272">
        <v>907362</v>
      </c>
      <c r="AL42" s="455">
        <f t="shared" si="4"/>
        <v>181437</v>
      </c>
      <c r="AM42" s="272">
        <v>0</v>
      </c>
      <c r="AN42" s="272">
        <v>86872</v>
      </c>
      <c r="AO42" s="272">
        <v>0</v>
      </c>
      <c r="AP42" s="272">
        <v>94565</v>
      </c>
      <c r="AQ42" s="272">
        <v>103637</v>
      </c>
      <c r="AR42" s="272">
        <v>2821</v>
      </c>
      <c r="AS42" s="272">
        <v>0</v>
      </c>
      <c r="AT42" s="272">
        <v>589489</v>
      </c>
      <c r="AU42" s="272">
        <v>214355</v>
      </c>
      <c r="AV42" s="272">
        <v>44132</v>
      </c>
      <c r="AW42" s="272">
        <v>9784</v>
      </c>
      <c r="AX42" s="272">
        <v>375134</v>
      </c>
      <c r="AY42" s="272">
        <v>79105</v>
      </c>
      <c r="AZ42" s="272">
        <v>181465</v>
      </c>
      <c r="BA42" s="272">
        <v>53900</v>
      </c>
      <c r="BB42" s="272">
        <v>559456</v>
      </c>
      <c r="BC42" s="272">
        <v>436014</v>
      </c>
      <c r="BD42" s="272">
        <v>0</v>
      </c>
      <c r="BE42" s="272">
        <v>0</v>
      </c>
      <c r="BF42" s="272">
        <v>436000</v>
      </c>
      <c r="BG42" s="272">
        <v>0</v>
      </c>
      <c r="BH42" s="272">
        <v>446637</v>
      </c>
      <c r="BI42" s="272">
        <v>298939</v>
      </c>
      <c r="BJ42" s="272">
        <v>163847</v>
      </c>
      <c r="BK42" s="272">
        <v>0</v>
      </c>
      <c r="BL42" s="272">
        <v>0</v>
      </c>
      <c r="BM42" s="272">
        <v>0</v>
      </c>
      <c r="BN42" s="272">
        <v>851400</v>
      </c>
      <c r="BO42" s="455">
        <f t="shared" si="5"/>
        <v>781300</v>
      </c>
      <c r="BP42" s="455">
        <f t="shared" si="6"/>
        <v>70100</v>
      </c>
      <c r="BQ42" s="272">
        <v>70100</v>
      </c>
      <c r="BR42" s="272"/>
      <c r="BS42" s="272"/>
      <c r="BT42" s="272">
        <v>0</v>
      </c>
      <c r="BU42" s="272">
        <v>12666176</v>
      </c>
      <c r="BV42" s="272"/>
      <c r="BW42" s="272">
        <v>3163625</v>
      </c>
      <c r="BX42" s="272">
        <v>2441415</v>
      </c>
      <c r="BY42" s="272">
        <v>94789</v>
      </c>
      <c r="BZ42" s="272">
        <v>53715</v>
      </c>
      <c r="CA42" s="272">
        <v>878137</v>
      </c>
      <c r="CB42" s="272">
        <v>118206</v>
      </c>
      <c r="CC42" s="272">
        <v>468732</v>
      </c>
      <c r="CD42" s="272">
        <v>261821</v>
      </c>
      <c r="CE42" s="272">
        <v>0</v>
      </c>
      <c r="CF42" s="272">
        <v>0</v>
      </c>
      <c r="CG42" s="272">
        <v>29378</v>
      </c>
      <c r="CH42" s="272">
        <v>1368790</v>
      </c>
      <c r="CI42" s="272">
        <v>869447</v>
      </c>
      <c r="CJ42" s="455">
        <f t="shared" si="7"/>
        <v>499343</v>
      </c>
      <c r="CK42" s="272">
        <v>2046611</v>
      </c>
      <c r="CL42" s="272">
        <v>956780</v>
      </c>
      <c r="CM42" s="272">
        <v>131157</v>
      </c>
      <c r="CN42" s="272">
        <v>473657</v>
      </c>
      <c r="CO42" s="272">
        <v>245730</v>
      </c>
      <c r="CP42" s="272">
        <v>669443</v>
      </c>
      <c r="CQ42" s="272">
        <v>1568</v>
      </c>
      <c r="CR42" s="272">
        <v>420946</v>
      </c>
      <c r="CS42" s="272">
        <v>417120</v>
      </c>
      <c r="CT42" s="455">
        <f t="shared" si="8"/>
        <v>10198</v>
      </c>
      <c r="CU42" s="272">
        <v>7789</v>
      </c>
      <c r="CV42" s="272">
        <v>2409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2057964</v>
      </c>
      <c r="DD42" s="272">
        <v>243287</v>
      </c>
      <c r="DE42" s="272">
        <v>1765017</v>
      </c>
      <c r="DF42" s="272">
        <v>49660</v>
      </c>
      <c r="DG42" s="272">
        <v>0</v>
      </c>
      <c r="DH42" s="272">
        <v>23442</v>
      </c>
      <c r="DI42" s="272">
        <v>964915</v>
      </c>
      <c r="DJ42" s="272">
        <v>150000</v>
      </c>
      <c r="DK42" s="272">
        <v>5637</v>
      </c>
      <c r="DL42" s="272">
        <v>809278</v>
      </c>
      <c r="DM42" s="272">
        <v>18500</v>
      </c>
      <c r="DN42" s="272">
        <v>17500</v>
      </c>
      <c r="DO42" s="272">
        <v>17500</v>
      </c>
      <c r="DP42" s="272">
        <v>0</v>
      </c>
      <c r="DQ42" s="272">
        <v>0</v>
      </c>
      <c r="DR42" s="272">
        <v>0</v>
      </c>
      <c r="DS42" s="272">
        <v>0</v>
      </c>
      <c r="DT42" s="272">
        <v>891098</v>
      </c>
      <c r="DU42" s="272">
        <v>495360</v>
      </c>
      <c r="DV42" s="455">
        <f t="shared" si="11"/>
        <v>0</v>
      </c>
      <c r="DW42" s="272">
        <v>0</v>
      </c>
      <c r="DX42" s="272">
        <v>0</v>
      </c>
      <c r="DY42" s="272">
        <v>0</v>
      </c>
      <c r="DZ42" s="272">
        <v>207012</v>
      </c>
      <c r="EA42" s="272">
        <v>184794</v>
      </c>
      <c r="EB42" s="272"/>
      <c r="EC42" s="272">
        <v>0</v>
      </c>
      <c r="ED42" s="272">
        <v>12328255</v>
      </c>
      <c r="EE42" s="89"/>
      <c r="EF42" s="272">
        <v>337921</v>
      </c>
      <c r="EG42" s="272">
        <v>30050</v>
      </c>
      <c r="EH42" s="272">
        <v>307871</v>
      </c>
      <c r="EI42" s="272">
        <v>8932</v>
      </c>
      <c r="EJ42" s="272">
        <v>158932</v>
      </c>
      <c r="EK42" s="89"/>
      <c r="EL42" s="272"/>
      <c r="EM42" s="272">
        <v>42412</v>
      </c>
      <c r="EN42" s="272">
        <v>14</v>
      </c>
      <c r="EO42" s="272">
        <v>86804</v>
      </c>
      <c r="EP42" s="455">
        <f t="shared" si="12"/>
        <v>977594</v>
      </c>
      <c r="EQ42" s="272">
        <v>8279151</v>
      </c>
      <c r="ER42" s="272">
        <v>-1124956</v>
      </c>
      <c r="ES42" s="272">
        <v>2861203</v>
      </c>
      <c r="ET42" s="272">
        <v>2149331</v>
      </c>
      <c r="EU42" s="272">
        <v>370845</v>
      </c>
      <c r="EV42" s="272">
        <v>1368790</v>
      </c>
      <c r="EW42" s="455">
        <f t="shared" si="13"/>
        <v>601054</v>
      </c>
      <c r="EX42" s="272">
        <v>580433</v>
      </c>
      <c r="EY42" s="272">
        <v>25869</v>
      </c>
      <c r="EZ42" s="272">
        <v>509404</v>
      </c>
      <c r="FA42" s="272">
        <v>20621</v>
      </c>
      <c r="FB42" s="272"/>
      <c r="FC42" s="272">
        <v>1649417</v>
      </c>
      <c r="FD42" s="272">
        <v>447276</v>
      </c>
      <c r="FE42" s="272">
        <v>1568</v>
      </c>
      <c r="FF42" s="272">
        <v>824453</v>
      </c>
      <c r="FG42" s="455">
        <f t="shared" si="14"/>
        <v>943148</v>
      </c>
      <c r="FH42" s="272">
        <v>9066186</v>
      </c>
      <c r="FI42" s="384">
        <f t="shared" si="15"/>
        <v>3.8</v>
      </c>
      <c r="FJ42" s="272">
        <v>8054660</v>
      </c>
      <c r="FK42" s="272"/>
      <c r="FL42" s="272">
        <v>4285279</v>
      </c>
      <c r="FM42" s="272">
        <v>6660985</v>
      </c>
      <c r="FN42" s="460">
        <v>0.67900000000000005</v>
      </c>
      <c r="FO42" s="388">
        <v>82.1</v>
      </c>
      <c r="FP42" s="388">
        <v>34.700000000000003</v>
      </c>
      <c r="FQ42" s="388">
        <v>3.4</v>
      </c>
      <c r="FR42" s="388">
        <v>16.899999999999999</v>
      </c>
      <c r="FS42" s="388">
        <v>15.1</v>
      </c>
      <c r="FT42" s="388">
        <v>4.0999999999999996</v>
      </c>
      <c r="FU42" s="388">
        <v>5</v>
      </c>
      <c r="FV42" s="388">
        <v>9.5</v>
      </c>
      <c r="FW42" s="272">
        <v>12900600</v>
      </c>
      <c r="FX42" s="384">
        <f t="shared" si="16"/>
        <v>160.19999999999999</v>
      </c>
      <c r="FY42" s="272">
        <v>10945880</v>
      </c>
      <c r="FZ42" s="272">
        <v>1660158</v>
      </c>
      <c r="GA42" s="272">
        <v>1208844</v>
      </c>
      <c r="GB42" s="272">
        <v>8076878</v>
      </c>
      <c r="GC42" s="272"/>
      <c r="GD42" s="272">
        <v>2687703</v>
      </c>
      <c r="GE42" s="384">
        <f>ROUND(GD42/FJ42*100,1)</f>
        <v>33.4</v>
      </c>
      <c r="GF42" s="388">
        <v>97.4</v>
      </c>
      <c r="GG42" s="388">
        <v>19.5</v>
      </c>
      <c r="GH42" s="388">
        <v>88.4</v>
      </c>
      <c r="GI42" s="272">
        <v>375</v>
      </c>
    </row>
    <row r="43" spans="2:191" x14ac:dyDescent="0.15">
      <c r="B43" s="89" t="s">
        <v>79</v>
      </c>
      <c r="C43" s="272">
        <v>4175293</v>
      </c>
      <c r="D43" s="455">
        <f t="shared" si="0"/>
        <v>301415</v>
      </c>
      <c r="E43" s="272">
        <v>5362</v>
      </c>
      <c r="F43" s="272">
        <v>296053</v>
      </c>
      <c r="G43" s="455">
        <f t="shared" si="1"/>
        <v>107738</v>
      </c>
      <c r="H43" s="272">
        <v>46450</v>
      </c>
      <c r="I43" s="272">
        <v>61288</v>
      </c>
      <c r="J43" s="272">
        <v>3642152</v>
      </c>
      <c r="K43" s="272">
        <v>2180778</v>
      </c>
      <c r="L43" s="272">
        <v>932002</v>
      </c>
      <c r="M43" s="272">
        <v>491564</v>
      </c>
      <c r="N43" s="272">
        <v>75875</v>
      </c>
      <c r="O43" s="272">
        <v>0</v>
      </c>
      <c r="P43" s="272">
        <v>0</v>
      </c>
      <c r="Q43" s="272">
        <v>0</v>
      </c>
      <c r="R43" s="272">
        <v>57475</v>
      </c>
      <c r="S43" s="272"/>
      <c r="T43" s="455">
        <f t="shared" si="2"/>
        <v>131842</v>
      </c>
      <c r="U43" s="272">
        <v>8578</v>
      </c>
      <c r="V43" s="272"/>
      <c r="W43" s="272"/>
      <c r="X43" s="272">
        <v>100114</v>
      </c>
      <c r="Y43" s="272">
        <v>0</v>
      </c>
      <c r="Z43" s="272">
        <v>7923</v>
      </c>
      <c r="AA43" s="272">
        <v>15227</v>
      </c>
      <c r="AB43" s="272">
        <v>18805</v>
      </c>
      <c r="AC43" s="272">
        <v>22003</v>
      </c>
      <c r="AD43" s="272">
        <v>0</v>
      </c>
      <c r="AE43" s="272">
        <v>22003</v>
      </c>
      <c r="AF43" s="272">
        <v>1419</v>
      </c>
      <c r="AG43" s="272">
        <v>23191</v>
      </c>
      <c r="AH43" s="455">
        <f t="shared" si="3"/>
        <v>35812</v>
      </c>
      <c r="AI43" s="272">
        <v>31782</v>
      </c>
      <c r="AJ43" s="272">
        <v>4030</v>
      </c>
      <c r="AK43" s="272">
        <v>339101</v>
      </c>
      <c r="AL43" s="455">
        <f t="shared" si="4"/>
        <v>38753</v>
      </c>
      <c r="AM43" s="272">
        <v>0</v>
      </c>
      <c r="AN43" s="272">
        <v>6625</v>
      </c>
      <c r="AO43" s="272">
        <v>0</v>
      </c>
      <c r="AP43" s="272">
        <v>32128</v>
      </c>
      <c r="AQ43" s="272">
        <v>130669</v>
      </c>
      <c r="AR43" s="272">
        <v>0</v>
      </c>
      <c r="AS43" s="272">
        <v>0</v>
      </c>
      <c r="AT43" s="272">
        <v>154520</v>
      </c>
      <c r="AU43" s="272">
        <v>80977</v>
      </c>
      <c r="AV43" s="272">
        <v>3373</v>
      </c>
      <c r="AW43" s="272">
        <v>0</v>
      </c>
      <c r="AX43" s="272">
        <v>73543</v>
      </c>
      <c r="AY43" s="272">
        <v>1380</v>
      </c>
      <c r="AZ43" s="272">
        <v>15967</v>
      </c>
      <c r="BA43" s="272">
        <v>38</v>
      </c>
      <c r="BB43" s="272">
        <v>20050</v>
      </c>
      <c r="BC43" s="272">
        <v>203600</v>
      </c>
      <c r="BD43" s="272">
        <v>200000</v>
      </c>
      <c r="BE43" s="272">
        <v>0</v>
      </c>
      <c r="BF43" s="272">
        <v>0</v>
      </c>
      <c r="BG43" s="272">
        <v>0</v>
      </c>
      <c r="BH43" s="272">
        <v>359484</v>
      </c>
      <c r="BI43" s="272">
        <v>346395</v>
      </c>
      <c r="BJ43" s="272">
        <v>97639</v>
      </c>
      <c r="BK43" s="272">
        <v>0</v>
      </c>
      <c r="BL43" s="272">
        <v>0</v>
      </c>
      <c r="BM43" s="272">
        <v>0</v>
      </c>
      <c r="BN43" s="272">
        <v>109600</v>
      </c>
      <c r="BO43" s="455">
        <f t="shared" si="5"/>
        <v>109600</v>
      </c>
      <c r="BP43" s="455">
        <f t="shared" si="6"/>
        <v>0</v>
      </c>
      <c r="BQ43" s="272">
        <v>0</v>
      </c>
      <c r="BR43" s="272"/>
      <c r="BS43" s="272"/>
      <c r="BT43" s="272">
        <v>0</v>
      </c>
      <c r="BU43" s="272">
        <v>5765801</v>
      </c>
      <c r="BV43" s="272"/>
      <c r="BW43" s="272">
        <v>1315687</v>
      </c>
      <c r="BX43" s="272">
        <v>904352</v>
      </c>
      <c r="BY43" s="272">
        <v>120781</v>
      </c>
      <c r="BZ43" s="272">
        <v>8770</v>
      </c>
      <c r="CA43" s="272">
        <v>195307</v>
      </c>
      <c r="CB43" s="272">
        <v>25060</v>
      </c>
      <c r="CC43" s="272">
        <v>142629</v>
      </c>
      <c r="CD43" s="272">
        <v>24790</v>
      </c>
      <c r="CE43" s="272">
        <v>0</v>
      </c>
      <c r="CF43" s="272">
        <v>0</v>
      </c>
      <c r="CG43" s="272">
        <v>2828</v>
      </c>
      <c r="CH43" s="272">
        <v>630442</v>
      </c>
      <c r="CI43" s="272">
        <v>398009</v>
      </c>
      <c r="CJ43" s="455">
        <f t="shared" si="7"/>
        <v>232433</v>
      </c>
      <c r="CK43" s="272">
        <v>783005</v>
      </c>
      <c r="CL43" s="272">
        <v>442385</v>
      </c>
      <c r="CM43" s="272">
        <v>86023</v>
      </c>
      <c r="CN43" s="272">
        <v>148317</v>
      </c>
      <c r="CO43" s="272">
        <v>16887</v>
      </c>
      <c r="CP43" s="272">
        <v>669468</v>
      </c>
      <c r="CQ43" s="272">
        <v>155717</v>
      </c>
      <c r="CR43" s="272">
        <v>114391</v>
      </c>
      <c r="CS43" s="272">
        <v>81159</v>
      </c>
      <c r="CT43" s="455">
        <f t="shared" si="8"/>
        <v>22042</v>
      </c>
      <c r="CU43" s="272">
        <v>1710</v>
      </c>
      <c r="CV43" s="272">
        <v>20332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1009367</v>
      </c>
      <c r="DD43" s="272">
        <v>288860</v>
      </c>
      <c r="DE43" s="272">
        <v>608729</v>
      </c>
      <c r="DF43" s="272">
        <v>111778</v>
      </c>
      <c r="DG43" s="272">
        <v>0</v>
      </c>
      <c r="DH43" s="272">
        <v>0</v>
      </c>
      <c r="DI43" s="272">
        <v>328684</v>
      </c>
      <c r="DJ43" s="272">
        <v>193564</v>
      </c>
      <c r="DK43" s="272">
        <v>0</v>
      </c>
      <c r="DL43" s="272">
        <v>135120</v>
      </c>
      <c r="DM43" s="272">
        <v>0</v>
      </c>
      <c r="DN43" s="272">
        <v>0</v>
      </c>
      <c r="DO43" s="272">
        <v>0</v>
      </c>
      <c r="DP43" s="272">
        <v>0</v>
      </c>
      <c r="DQ43" s="272">
        <v>30000</v>
      </c>
      <c r="DR43" s="272">
        <v>0</v>
      </c>
      <c r="DS43" s="272">
        <v>0</v>
      </c>
      <c r="DT43" s="272">
        <v>547008</v>
      </c>
      <c r="DU43" s="272">
        <v>441101</v>
      </c>
      <c r="DV43" s="455">
        <f t="shared" si="11"/>
        <v>0</v>
      </c>
      <c r="DW43" s="272">
        <v>0</v>
      </c>
      <c r="DX43" s="272">
        <v>0</v>
      </c>
      <c r="DY43" s="272">
        <v>0</v>
      </c>
      <c r="DZ43" s="272">
        <v>64204</v>
      </c>
      <c r="EA43" s="272">
        <v>41581</v>
      </c>
      <c r="EB43" s="272"/>
      <c r="EC43" s="272">
        <v>0</v>
      </c>
      <c r="ED43" s="272">
        <v>5525855</v>
      </c>
      <c r="EE43" s="89"/>
      <c r="EF43" s="272">
        <v>239946</v>
      </c>
      <c r="EG43" s="272">
        <v>40251</v>
      </c>
      <c r="EH43" s="272">
        <v>199695</v>
      </c>
      <c r="EI43" s="272">
        <v>-146700</v>
      </c>
      <c r="EJ43" s="272">
        <v>-153136</v>
      </c>
      <c r="EK43" s="89"/>
      <c r="EL43" s="272"/>
      <c r="EM43" s="272">
        <v>7065</v>
      </c>
      <c r="EN43" s="272">
        <v>200000</v>
      </c>
      <c r="EO43" s="272">
        <v>38</v>
      </c>
      <c r="EP43" s="455">
        <f t="shared" si="12"/>
        <v>355567</v>
      </c>
      <c r="EQ43" s="272">
        <v>4406837</v>
      </c>
      <c r="ER43" s="272">
        <v>-554186</v>
      </c>
      <c r="ES43" s="272">
        <v>1272621</v>
      </c>
      <c r="ET43" s="272">
        <v>863726</v>
      </c>
      <c r="EU43" s="272">
        <v>61860</v>
      </c>
      <c r="EV43" s="272">
        <v>630442</v>
      </c>
      <c r="EW43" s="455">
        <f t="shared" si="13"/>
        <v>685104</v>
      </c>
      <c r="EX43" s="272">
        <v>685104</v>
      </c>
      <c r="EY43" s="272">
        <v>46226</v>
      </c>
      <c r="EZ43" s="272">
        <v>527100</v>
      </c>
      <c r="FA43" s="272">
        <v>0</v>
      </c>
      <c r="FB43" s="272"/>
      <c r="FC43" s="272">
        <v>626475</v>
      </c>
      <c r="FD43" s="272">
        <v>629329</v>
      </c>
      <c r="FE43" s="272">
        <v>155717</v>
      </c>
      <c r="FF43" s="272">
        <v>529718</v>
      </c>
      <c r="FG43" s="455">
        <f t="shared" si="14"/>
        <v>285528</v>
      </c>
      <c r="FH43" s="272">
        <v>4721077</v>
      </c>
      <c r="FI43" s="384">
        <f t="shared" si="15"/>
        <v>4.5</v>
      </c>
      <c r="FJ43" s="272">
        <v>4393239</v>
      </c>
      <c r="FK43" s="272"/>
      <c r="FL43" s="272">
        <v>3310782</v>
      </c>
      <c r="FM43" s="272">
        <v>2057850</v>
      </c>
      <c r="FN43" s="460">
        <v>1.615</v>
      </c>
      <c r="FO43" s="388">
        <v>74.900000000000006</v>
      </c>
      <c r="FP43" s="388">
        <v>28.2</v>
      </c>
      <c r="FQ43" s="388">
        <v>1.4</v>
      </c>
      <c r="FR43" s="388">
        <v>14.4</v>
      </c>
      <c r="FS43" s="388">
        <v>11.8</v>
      </c>
      <c r="FT43" s="388">
        <v>11.3</v>
      </c>
      <c r="FU43" s="388">
        <v>7.5</v>
      </c>
      <c r="FV43" s="388">
        <v>11.1</v>
      </c>
      <c r="FW43" s="272">
        <v>7164888</v>
      </c>
      <c r="FX43" s="384">
        <f t="shared" si="16"/>
        <v>163.1</v>
      </c>
      <c r="FY43" s="272">
        <v>2365801</v>
      </c>
      <c r="FZ43" s="272">
        <v>1920947</v>
      </c>
      <c r="GA43" s="272"/>
      <c r="GB43" s="272">
        <v>444854</v>
      </c>
      <c r="GC43" s="272"/>
      <c r="GD43" s="272">
        <v>2667672</v>
      </c>
      <c r="GE43" s="384">
        <f>ROUND(GD43/FJ43*100,1)</f>
        <v>60.7</v>
      </c>
      <c r="GF43" s="388">
        <v>99.3</v>
      </c>
      <c r="GG43" s="388">
        <v>17.2</v>
      </c>
      <c r="GH43" s="388">
        <v>97.2</v>
      </c>
      <c r="GI43" s="272">
        <v>141</v>
      </c>
    </row>
    <row r="44" spans="2:191" x14ac:dyDescent="0.15">
      <c r="B44" s="89" t="s">
        <v>81</v>
      </c>
      <c r="C44" s="272">
        <v>2992137</v>
      </c>
      <c r="D44" s="455">
        <f t="shared" si="0"/>
        <v>899650</v>
      </c>
      <c r="E44" s="272">
        <v>14607</v>
      </c>
      <c r="F44" s="272">
        <v>885043</v>
      </c>
      <c r="G44" s="455">
        <f t="shared" si="1"/>
        <v>202651</v>
      </c>
      <c r="H44" s="272">
        <v>38511</v>
      </c>
      <c r="I44" s="272">
        <v>164140</v>
      </c>
      <c r="J44" s="272">
        <v>1691205</v>
      </c>
      <c r="K44" s="272">
        <v>685886</v>
      </c>
      <c r="L44" s="272">
        <v>477623</v>
      </c>
      <c r="M44" s="272">
        <v>522572</v>
      </c>
      <c r="N44" s="272">
        <v>108600</v>
      </c>
      <c r="O44" s="272">
        <v>0</v>
      </c>
      <c r="P44" s="272">
        <v>0</v>
      </c>
      <c r="Q44" s="272">
        <v>0</v>
      </c>
      <c r="R44" s="272">
        <v>59046</v>
      </c>
      <c r="S44" s="272"/>
      <c r="T44" s="455">
        <f t="shared" si="2"/>
        <v>329369</v>
      </c>
      <c r="U44" s="272">
        <v>31745</v>
      </c>
      <c r="V44" s="272"/>
      <c r="W44" s="272"/>
      <c r="X44" s="272">
        <v>167286</v>
      </c>
      <c r="Y44" s="272">
        <v>68645</v>
      </c>
      <c r="Z44" s="272">
        <v>873</v>
      </c>
      <c r="AA44" s="272">
        <v>60820</v>
      </c>
      <c r="AB44" s="272">
        <v>69451</v>
      </c>
      <c r="AC44" s="272">
        <v>1635057</v>
      </c>
      <c r="AD44" s="272">
        <v>1352555</v>
      </c>
      <c r="AE44" s="272">
        <v>282502</v>
      </c>
      <c r="AF44" s="272">
        <v>5451</v>
      </c>
      <c r="AG44" s="272">
        <v>31002</v>
      </c>
      <c r="AH44" s="455">
        <f t="shared" si="3"/>
        <v>258567</v>
      </c>
      <c r="AI44" s="272">
        <v>247024</v>
      </c>
      <c r="AJ44" s="272">
        <v>11543</v>
      </c>
      <c r="AK44" s="272">
        <v>926556</v>
      </c>
      <c r="AL44" s="455">
        <f t="shared" si="4"/>
        <v>93544</v>
      </c>
      <c r="AM44" s="272">
        <v>0</v>
      </c>
      <c r="AN44" s="272">
        <v>40198</v>
      </c>
      <c r="AO44" s="272">
        <v>0</v>
      </c>
      <c r="AP44" s="272">
        <v>53346</v>
      </c>
      <c r="AQ44" s="272">
        <v>369795</v>
      </c>
      <c r="AR44" s="272">
        <v>0</v>
      </c>
      <c r="AS44" s="272">
        <v>0</v>
      </c>
      <c r="AT44" s="272">
        <v>616258</v>
      </c>
      <c r="AU44" s="272">
        <v>180965</v>
      </c>
      <c r="AV44" s="272">
        <v>20429</v>
      </c>
      <c r="AW44" s="272">
        <v>7700</v>
      </c>
      <c r="AX44" s="272">
        <v>435293</v>
      </c>
      <c r="AY44" s="272">
        <v>96408</v>
      </c>
      <c r="AZ44" s="272">
        <v>18560</v>
      </c>
      <c r="BA44" s="272">
        <v>11146</v>
      </c>
      <c r="BB44" s="272">
        <v>14620</v>
      </c>
      <c r="BC44" s="272">
        <v>309678</v>
      </c>
      <c r="BD44" s="272">
        <v>0</v>
      </c>
      <c r="BE44" s="272">
        <v>0</v>
      </c>
      <c r="BF44" s="272">
        <v>273000</v>
      </c>
      <c r="BG44" s="272">
        <v>0</v>
      </c>
      <c r="BH44" s="272">
        <v>15694</v>
      </c>
      <c r="BI44" s="272">
        <v>10818</v>
      </c>
      <c r="BJ44" s="272">
        <v>185138</v>
      </c>
      <c r="BK44" s="272">
        <v>17889</v>
      </c>
      <c r="BL44" s="272">
        <v>0</v>
      </c>
      <c r="BM44" s="272">
        <v>0</v>
      </c>
      <c r="BN44" s="272">
        <v>1026100</v>
      </c>
      <c r="BO44" s="455">
        <f t="shared" si="5"/>
        <v>996200</v>
      </c>
      <c r="BP44" s="455">
        <f t="shared" si="6"/>
        <v>29900</v>
      </c>
      <c r="BQ44" s="272">
        <v>29900</v>
      </c>
      <c r="BR44" s="272"/>
      <c r="BS44" s="272"/>
      <c r="BT44" s="272">
        <v>0</v>
      </c>
      <c r="BU44" s="272">
        <v>8492684</v>
      </c>
      <c r="BV44" s="272"/>
      <c r="BW44" s="272">
        <v>2294102</v>
      </c>
      <c r="BX44" s="272">
        <v>1664767</v>
      </c>
      <c r="BY44" s="272">
        <v>166627</v>
      </c>
      <c r="BZ44" s="272">
        <v>22363</v>
      </c>
      <c r="CA44" s="272">
        <v>433869</v>
      </c>
      <c r="CB44" s="272">
        <v>91589</v>
      </c>
      <c r="CC44" s="272">
        <v>253478</v>
      </c>
      <c r="CD44" s="272">
        <v>78447</v>
      </c>
      <c r="CE44" s="272">
        <v>0</v>
      </c>
      <c r="CF44" s="272">
        <v>0</v>
      </c>
      <c r="CG44" s="272">
        <v>10355</v>
      </c>
      <c r="CH44" s="272">
        <v>1001128</v>
      </c>
      <c r="CI44" s="272">
        <v>607160</v>
      </c>
      <c r="CJ44" s="455">
        <f t="shared" si="7"/>
        <v>393968</v>
      </c>
      <c r="CK44" s="272">
        <v>1516128</v>
      </c>
      <c r="CL44" s="272">
        <v>776215</v>
      </c>
      <c r="CM44" s="272">
        <v>176365</v>
      </c>
      <c r="CN44" s="272">
        <v>389597</v>
      </c>
      <c r="CO44" s="272">
        <v>61248</v>
      </c>
      <c r="CP44" s="272">
        <v>314377</v>
      </c>
      <c r="CQ44" s="272">
        <v>1013</v>
      </c>
      <c r="CR44" s="272">
        <v>185453</v>
      </c>
      <c r="CS44" s="272">
        <v>76224</v>
      </c>
      <c r="CT44" s="455">
        <f t="shared" si="8"/>
        <v>2370</v>
      </c>
      <c r="CU44" s="272">
        <v>2370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1984750</v>
      </c>
      <c r="DD44" s="272">
        <v>742397</v>
      </c>
      <c r="DE44" s="272">
        <v>1210742</v>
      </c>
      <c r="DF44" s="272">
        <v>31611</v>
      </c>
      <c r="DG44" s="272">
        <v>0</v>
      </c>
      <c r="DH44" s="272">
        <v>0</v>
      </c>
      <c r="DI44" s="272">
        <v>190782</v>
      </c>
      <c r="DJ44" s="272">
        <v>19042</v>
      </c>
      <c r="DK44" s="272">
        <v>446</v>
      </c>
      <c r="DL44" s="272">
        <v>171294</v>
      </c>
      <c r="DM44" s="272">
        <v>13000</v>
      </c>
      <c r="DN44" s="272">
        <v>13000</v>
      </c>
      <c r="DO44" s="272">
        <v>13000</v>
      </c>
      <c r="DP44" s="272">
        <v>0</v>
      </c>
      <c r="DQ44" s="272">
        <v>1290</v>
      </c>
      <c r="DR44" s="272">
        <v>0</v>
      </c>
      <c r="DS44" s="272">
        <v>0</v>
      </c>
      <c r="DT44" s="272">
        <v>662553</v>
      </c>
      <c r="DU44" s="272">
        <v>335514</v>
      </c>
      <c r="DV44" s="455">
        <f t="shared" si="11"/>
        <v>0</v>
      </c>
      <c r="DW44" s="272">
        <v>0</v>
      </c>
      <c r="DX44" s="272">
        <v>0</v>
      </c>
      <c r="DY44" s="272">
        <v>0</v>
      </c>
      <c r="DZ44" s="272">
        <v>183084</v>
      </c>
      <c r="EA44" s="272">
        <v>143207</v>
      </c>
      <c r="EB44" s="272"/>
      <c r="EC44" s="272">
        <v>0</v>
      </c>
      <c r="ED44" s="272">
        <v>8473227</v>
      </c>
      <c r="EE44" s="89"/>
      <c r="EF44" s="272">
        <v>19457</v>
      </c>
      <c r="EG44" s="272">
        <v>7832</v>
      </c>
      <c r="EH44" s="272">
        <v>11625</v>
      </c>
      <c r="EI44" s="272">
        <v>807</v>
      </c>
      <c r="EJ44" s="272">
        <v>19849</v>
      </c>
      <c r="EK44" s="89"/>
      <c r="EL44" s="272"/>
      <c r="EM44" s="272">
        <v>20280</v>
      </c>
      <c r="EN44" s="272">
        <v>281</v>
      </c>
      <c r="EO44" s="272">
        <v>11762</v>
      </c>
      <c r="EP44" s="455">
        <f t="shared" si="12"/>
        <v>161904</v>
      </c>
      <c r="EQ44" s="272">
        <v>5090511</v>
      </c>
      <c r="ER44" s="272">
        <v>-198396</v>
      </c>
      <c r="ES44" s="272">
        <v>2087761</v>
      </c>
      <c r="ET44" s="272">
        <v>1463060</v>
      </c>
      <c r="EU44" s="272">
        <v>149142</v>
      </c>
      <c r="EV44" s="272">
        <v>877654</v>
      </c>
      <c r="EW44" s="455">
        <f t="shared" si="13"/>
        <v>249297</v>
      </c>
      <c r="EX44" s="272">
        <v>249297</v>
      </c>
      <c r="EY44" s="272">
        <v>2006</v>
      </c>
      <c r="EZ44" s="272">
        <v>246280</v>
      </c>
      <c r="FA44" s="272">
        <v>0</v>
      </c>
      <c r="FB44" s="272"/>
      <c r="FC44" s="272">
        <v>1056099</v>
      </c>
      <c r="FD44" s="272">
        <v>196621</v>
      </c>
      <c r="FE44" s="272">
        <v>1013</v>
      </c>
      <c r="FF44" s="272">
        <v>594650</v>
      </c>
      <c r="FG44" s="455">
        <f t="shared" si="14"/>
        <v>58226</v>
      </c>
      <c r="FH44" s="272">
        <v>5269450</v>
      </c>
      <c r="FI44" s="384">
        <f t="shared" si="15"/>
        <v>0.2</v>
      </c>
      <c r="FJ44" s="272">
        <v>4761878</v>
      </c>
      <c r="FK44" s="272"/>
      <c r="FL44" s="272">
        <v>2572833</v>
      </c>
      <c r="FM44" s="272">
        <v>3925069</v>
      </c>
      <c r="FN44" s="460">
        <v>0.71299999999999997</v>
      </c>
      <c r="FO44" s="388">
        <v>93.5</v>
      </c>
      <c r="FP44" s="388">
        <v>40.9</v>
      </c>
      <c r="FQ44" s="388">
        <v>3</v>
      </c>
      <c r="FR44" s="388">
        <v>17.8</v>
      </c>
      <c r="FS44" s="388">
        <v>20.399999999999999</v>
      </c>
      <c r="FT44" s="388">
        <v>3.4</v>
      </c>
      <c r="FU44" s="388">
        <v>7</v>
      </c>
      <c r="FV44" s="388">
        <v>10.1</v>
      </c>
      <c r="FW44" s="272">
        <v>12078329</v>
      </c>
      <c r="FX44" s="384">
        <f t="shared" si="16"/>
        <v>253.6</v>
      </c>
      <c r="FY44" s="272">
        <v>1520177</v>
      </c>
      <c r="FZ44" s="272">
        <v>819307</v>
      </c>
      <c r="GA44" s="272">
        <v>120461</v>
      </c>
      <c r="GB44" s="272">
        <v>580409</v>
      </c>
      <c r="GC44" s="272"/>
      <c r="GD44" s="272"/>
      <c r="GE44" s="384"/>
      <c r="GF44" s="388">
        <v>98.6</v>
      </c>
      <c r="GG44" s="388">
        <v>16.7</v>
      </c>
      <c r="GH44" s="388">
        <v>94.6</v>
      </c>
      <c r="GI44" s="272">
        <v>232</v>
      </c>
    </row>
    <row r="45" spans="2:191" x14ac:dyDescent="0.15">
      <c r="B45" s="89" t="s">
        <v>83</v>
      </c>
      <c r="C45" s="272">
        <v>1561613</v>
      </c>
      <c r="D45" s="455">
        <f t="shared" si="0"/>
        <v>722202</v>
      </c>
      <c r="E45" s="272">
        <v>9316</v>
      </c>
      <c r="F45" s="272">
        <v>712886</v>
      </c>
      <c r="G45" s="455">
        <f t="shared" si="1"/>
        <v>21963</v>
      </c>
      <c r="H45" s="272">
        <v>13220</v>
      </c>
      <c r="I45" s="272">
        <v>8743</v>
      </c>
      <c r="J45" s="272">
        <v>670440</v>
      </c>
      <c r="K45" s="272">
        <v>306097</v>
      </c>
      <c r="L45" s="272">
        <v>282891</v>
      </c>
      <c r="M45" s="272">
        <v>81452</v>
      </c>
      <c r="N45" s="272">
        <v>125341</v>
      </c>
      <c r="O45" s="272">
        <v>0</v>
      </c>
      <c r="P45" s="272">
        <v>0</v>
      </c>
      <c r="Q45" s="272">
        <v>0</v>
      </c>
      <c r="R45" s="272">
        <v>39353</v>
      </c>
      <c r="S45" s="272"/>
      <c r="T45" s="455">
        <f t="shared" si="2"/>
        <v>185810</v>
      </c>
      <c r="U45" s="272">
        <v>22901</v>
      </c>
      <c r="V45" s="272"/>
      <c r="W45" s="272"/>
      <c r="X45" s="272">
        <v>95162</v>
      </c>
      <c r="Y45" s="272">
        <v>25398</v>
      </c>
      <c r="Z45" s="272">
        <v>1867</v>
      </c>
      <c r="AA45" s="272">
        <v>40482</v>
      </c>
      <c r="AB45" s="272">
        <v>49094</v>
      </c>
      <c r="AC45" s="272">
        <v>1707534</v>
      </c>
      <c r="AD45" s="272">
        <v>1464165</v>
      </c>
      <c r="AE45" s="272">
        <v>243369</v>
      </c>
      <c r="AF45" s="272">
        <v>3220</v>
      </c>
      <c r="AG45" s="272">
        <v>58742</v>
      </c>
      <c r="AH45" s="455">
        <f t="shared" si="3"/>
        <v>36710</v>
      </c>
      <c r="AI45" s="272">
        <v>19942</v>
      </c>
      <c r="AJ45" s="272">
        <v>16768</v>
      </c>
      <c r="AK45" s="272">
        <v>595315</v>
      </c>
      <c r="AL45" s="455">
        <f t="shared" si="4"/>
        <v>63592</v>
      </c>
      <c r="AM45" s="272">
        <v>0</v>
      </c>
      <c r="AN45" s="272">
        <v>41328</v>
      </c>
      <c r="AO45" s="272">
        <v>0</v>
      </c>
      <c r="AP45" s="272">
        <v>22264</v>
      </c>
      <c r="AQ45" s="272">
        <v>290328</v>
      </c>
      <c r="AR45" s="272">
        <v>6740</v>
      </c>
      <c r="AS45" s="272">
        <v>0</v>
      </c>
      <c r="AT45" s="272">
        <v>385484</v>
      </c>
      <c r="AU45" s="272">
        <v>180863</v>
      </c>
      <c r="AV45" s="272">
        <v>31160</v>
      </c>
      <c r="AW45" s="272">
        <v>0</v>
      </c>
      <c r="AX45" s="272">
        <v>204621</v>
      </c>
      <c r="AY45" s="272">
        <v>81525</v>
      </c>
      <c r="AZ45" s="272">
        <v>10318</v>
      </c>
      <c r="BA45" s="272">
        <v>0</v>
      </c>
      <c r="BB45" s="272">
        <v>13712</v>
      </c>
      <c r="BC45" s="272">
        <v>164305</v>
      </c>
      <c r="BD45" s="272">
        <v>90413</v>
      </c>
      <c r="BE45" s="272">
        <v>61355</v>
      </c>
      <c r="BF45" s="272">
        <v>12510</v>
      </c>
      <c r="BG45" s="272">
        <v>0</v>
      </c>
      <c r="BH45" s="272">
        <v>111586</v>
      </c>
      <c r="BI45" s="272">
        <v>51705</v>
      </c>
      <c r="BJ45" s="272">
        <v>189643</v>
      </c>
      <c r="BK45" s="272">
        <v>0</v>
      </c>
      <c r="BL45" s="272">
        <v>172234</v>
      </c>
      <c r="BM45" s="272">
        <v>0</v>
      </c>
      <c r="BN45" s="272">
        <v>524200</v>
      </c>
      <c r="BO45" s="455">
        <f t="shared" si="5"/>
        <v>502300</v>
      </c>
      <c r="BP45" s="455">
        <f t="shared" si="6"/>
        <v>21900</v>
      </c>
      <c r="BQ45" s="272">
        <v>21900</v>
      </c>
      <c r="BR45" s="272"/>
      <c r="BS45" s="272"/>
      <c r="BT45" s="272">
        <v>0</v>
      </c>
      <c r="BU45" s="272">
        <v>5636639</v>
      </c>
      <c r="BV45" s="272"/>
      <c r="BW45" s="272">
        <v>1137682</v>
      </c>
      <c r="BX45" s="272">
        <v>820711</v>
      </c>
      <c r="BY45" s="272">
        <v>10638</v>
      </c>
      <c r="BZ45" s="272">
        <v>14100</v>
      </c>
      <c r="CA45" s="272">
        <v>348343</v>
      </c>
      <c r="CB45" s="272">
        <v>35545</v>
      </c>
      <c r="CC45" s="272">
        <v>121876</v>
      </c>
      <c r="CD45" s="272">
        <v>176805</v>
      </c>
      <c r="CE45" s="272">
        <v>0</v>
      </c>
      <c r="CF45" s="272">
        <v>0</v>
      </c>
      <c r="CG45" s="272">
        <v>14117</v>
      </c>
      <c r="CH45" s="272">
        <v>761449</v>
      </c>
      <c r="CI45" s="272">
        <v>531474</v>
      </c>
      <c r="CJ45" s="455">
        <f t="shared" si="7"/>
        <v>229975</v>
      </c>
      <c r="CK45" s="272">
        <v>746648</v>
      </c>
      <c r="CL45" s="272">
        <v>408824</v>
      </c>
      <c r="CM45" s="272">
        <v>54807</v>
      </c>
      <c r="CN45" s="272">
        <v>141325</v>
      </c>
      <c r="CO45" s="272">
        <v>19935</v>
      </c>
      <c r="CP45" s="272">
        <v>552346</v>
      </c>
      <c r="CQ45" s="272">
        <v>139828</v>
      </c>
      <c r="CR45" s="272">
        <v>191723</v>
      </c>
      <c r="CS45" s="272">
        <v>91400</v>
      </c>
      <c r="CT45" s="455">
        <f t="shared" si="8"/>
        <v>14677</v>
      </c>
      <c r="CU45" s="272">
        <v>1438</v>
      </c>
      <c r="CV45" s="272">
        <v>13239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1407876</v>
      </c>
      <c r="DD45" s="272">
        <v>653678</v>
      </c>
      <c r="DE45" s="272">
        <v>647676</v>
      </c>
      <c r="DF45" s="272">
        <v>35772</v>
      </c>
      <c r="DG45" s="272">
        <v>70000</v>
      </c>
      <c r="DH45" s="272">
        <v>14682</v>
      </c>
      <c r="DI45" s="272">
        <v>130008</v>
      </c>
      <c r="DJ45" s="272">
        <v>31132</v>
      </c>
      <c r="DK45" s="272">
        <v>1153</v>
      </c>
      <c r="DL45" s="272">
        <v>97723</v>
      </c>
      <c r="DM45" s="272">
        <v>0</v>
      </c>
      <c r="DN45" s="272">
        <v>0</v>
      </c>
      <c r="DO45" s="272">
        <v>0</v>
      </c>
      <c r="DP45" s="272">
        <v>0</v>
      </c>
      <c r="DQ45" s="272">
        <v>0</v>
      </c>
      <c r="DR45" s="272">
        <v>0</v>
      </c>
      <c r="DS45" s="272">
        <v>0</v>
      </c>
      <c r="DT45" s="272">
        <v>443756</v>
      </c>
      <c r="DU45" s="272">
        <v>291664</v>
      </c>
      <c r="DV45" s="455">
        <f t="shared" si="11"/>
        <v>0</v>
      </c>
      <c r="DW45" s="272">
        <v>0</v>
      </c>
      <c r="DX45" s="272">
        <v>0</v>
      </c>
      <c r="DY45" s="272">
        <v>0</v>
      </c>
      <c r="DZ45" s="272">
        <v>90731</v>
      </c>
      <c r="EA45" s="272">
        <v>61040</v>
      </c>
      <c r="EB45" s="272"/>
      <c r="EC45" s="272">
        <v>0</v>
      </c>
      <c r="ED45" s="272">
        <v>5562725</v>
      </c>
      <c r="EE45" s="89"/>
      <c r="EF45" s="272">
        <v>73914</v>
      </c>
      <c r="EG45" s="272">
        <v>20286</v>
      </c>
      <c r="EH45" s="272">
        <v>53628</v>
      </c>
      <c r="EI45" s="272">
        <v>1923</v>
      </c>
      <c r="EJ45" s="272">
        <v>3997</v>
      </c>
      <c r="EK45" s="89"/>
      <c r="EL45" s="272"/>
      <c r="EM45" s="272">
        <v>14004</v>
      </c>
      <c r="EN45" s="272">
        <v>161795</v>
      </c>
      <c r="EO45" s="272">
        <v>321</v>
      </c>
      <c r="EP45" s="455">
        <f t="shared" si="12"/>
        <v>78105</v>
      </c>
      <c r="EQ45" s="272">
        <v>3546624</v>
      </c>
      <c r="ER45" s="272">
        <v>-258901</v>
      </c>
      <c r="ES45" s="272">
        <v>1080149</v>
      </c>
      <c r="ET45" s="272">
        <v>767323</v>
      </c>
      <c r="EU45" s="272">
        <v>111004</v>
      </c>
      <c r="EV45" s="272">
        <v>761449</v>
      </c>
      <c r="EW45" s="455">
        <f t="shared" si="13"/>
        <v>293160</v>
      </c>
      <c r="EX45" s="272">
        <v>288704</v>
      </c>
      <c r="EY45" s="272">
        <v>49360</v>
      </c>
      <c r="EZ45" s="272">
        <v>237978</v>
      </c>
      <c r="FA45" s="272">
        <v>4456</v>
      </c>
      <c r="FB45" s="272"/>
      <c r="FC45" s="272">
        <v>567151</v>
      </c>
      <c r="FD45" s="272">
        <v>460187</v>
      </c>
      <c r="FE45" s="272">
        <v>139828</v>
      </c>
      <c r="FF45" s="272">
        <v>418619</v>
      </c>
      <c r="FG45" s="455">
        <f t="shared" si="14"/>
        <v>60178</v>
      </c>
      <c r="FH45" s="272">
        <v>3751897</v>
      </c>
      <c r="FI45" s="384">
        <f t="shared" si="15"/>
        <v>1.6</v>
      </c>
      <c r="FJ45" s="272">
        <v>3383533</v>
      </c>
      <c r="FK45" s="272"/>
      <c r="FL45" s="272">
        <v>1450316</v>
      </c>
      <c r="FM45" s="272">
        <v>2923746</v>
      </c>
      <c r="FN45" s="460">
        <v>0.497</v>
      </c>
      <c r="FO45" s="388">
        <v>88.5</v>
      </c>
      <c r="FP45" s="388">
        <v>32.6</v>
      </c>
      <c r="FQ45" s="388">
        <v>3.4</v>
      </c>
      <c r="FR45" s="388">
        <v>21.1</v>
      </c>
      <c r="FS45" s="388">
        <v>15.2</v>
      </c>
      <c r="FT45" s="388">
        <v>10.6</v>
      </c>
      <c r="FU45" s="388">
        <v>4.9000000000000004</v>
      </c>
      <c r="FV45" s="388">
        <v>12</v>
      </c>
      <c r="FW45" s="272">
        <v>6504079</v>
      </c>
      <c r="FX45" s="384">
        <f t="shared" si="16"/>
        <v>192.2</v>
      </c>
      <c r="FY45" s="272">
        <v>1402811</v>
      </c>
      <c r="FZ45" s="272">
        <v>610816</v>
      </c>
      <c r="GA45" s="272">
        <v>120445</v>
      </c>
      <c r="GB45" s="272">
        <v>671550</v>
      </c>
      <c r="GC45" s="272"/>
      <c r="GD45" s="272">
        <v>887427</v>
      </c>
      <c r="GE45" s="384">
        <f>ROUND(GD45/FJ45*100,1)</f>
        <v>26.2</v>
      </c>
      <c r="GF45" s="388">
        <v>96.4</v>
      </c>
      <c r="GG45" s="388">
        <v>14</v>
      </c>
      <c r="GH45" s="388">
        <v>89.8</v>
      </c>
      <c r="GI45" s="272">
        <v>120</v>
      </c>
    </row>
    <row r="46" spans="2:191" x14ac:dyDescent="0.15">
      <c r="B46" s="89" t="s">
        <v>85</v>
      </c>
      <c r="C46" s="272">
        <v>1793428</v>
      </c>
      <c r="D46" s="455">
        <f t="shared" si="0"/>
        <v>856276</v>
      </c>
      <c r="E46" s="272">
        <v>11057</v>
      </c>
      <c r="F46" s="272">
        <v>845219</v>
      </c>
      <c r="G46" s="455">
        <f t="shared" si="1"/>
        <v>61706</v>
      </c>
      <c r="H46" s="272">
        <v>16277</v>
      </c>
      <c r="I46" s="272">
        <v>45429</v>
      </c>
      <c r="J46" s="272">
        <v>776304</v>
      </c>
      <c r="K46" s="272">
        <v>371514</v>
      </c>
      <c r="L46" s="272">
        <v>319709</v>
      </c>
      <c r="M46" s="272">
        <v>85081</v>
      </c>
      <c r="N46" s="272">
        <v>73367</v>
      </c>
      <c r="O46" s="272">
        <v>53</v>
      </c>
      <c r="P46" s="272">
        <v>39</v>
      </c>
      <c r="Q46" s="272">
        <v>14</v>
      </c>
      <c r="R46" s="272">
        <v>54653</v>
      </c>
      <c r="S46" s="272"/>
      <c r="T46" s="455">
        <f t="shared" si="2"/>
        <v>271594</v>
      </c>
      <c r="U46" s="272">
        <v>27378</v>
      </c>
      <c r="V46" s="272"/>
      <c r="W46" s="272"/>
      <c r="X46" s="272">
        <v>125490</v>
      </c>
      <c r="Y46" s="272">
        <v>62416</v>
      </c>
      <c r="Z46" s="272">
        <v>120</v>
      </c>
      <c r="AA46" s="272">
        <v>56190</v>
      </c>
      <c r="AB46" s="272">
        <v>66423</v>
      </c>
      <c r="AC46" s="272">
        <v>2099689</v>
      </c>
      <c r="AD46" s="272">
        <v>1881683</v>
      </c>
      <c r="AE46" s="272">
        <v>218006</v>
      </c>
      <c r="AF46" s="272">
        <v>3368</v>
      </c>
      <c r="AG46" s="272">
        <v>45540</v>
      </c>
      <c r="AH46" s="455">
        <f t="shared" si="3"/>
        <v>76209</v>
      </c>
      <c r="AI46" s="272">
        <v>51553</v>
      </c>
      <c r="AJ46" s="272">
        <v>24656</v>
      </c>
      <c r="AK46" s="272">
        <v>279381</v>
      </c>
      <c r="AL46" s="455">
        <f t="shared" si="4"/>
        <v>42130</v>
      </c>
      <c r="AM46" s="272">
        <v>0</v>
      </c>
      <c r="AN46" s="272">
        <v>10637</v>
      </c>
      <c r="AO46" s="272">
        <v>0</v>
      </c>
      <c r="AP46" s="272">
        <v>31493</v>
      </c>
      <c r="AQ46" s="272">
        <v>976</v>
      </c>
      <c r="AR46" s="272">
        <v>3564</v>
      </c>
      <c r="AS46" s="272">
        <v>0</v>
      </c>
      <c r="AT46" s="272">
        <v>410542</v>
      </c>
      <c r="AU46" s="272">
        <v>205821</v>
      </c>
      <c r="AV46" s="272">
        <v>5365</v>
      </c>
      <c r="AW46" s="272">
        <v>118295</v>
      </c>
      <c r="AX46" s="272">
        <v>204721</v>
      </c>
      <c r="AY46" s="272">
        <v>63788</v>
      </c>
      <c r="AZ46" s="272">
        <v>14943</v>
      </c>
      <c r="BA46" s="272">
        <v>24</v>
      </c>
      <c r="BB46" s="272">
        <v>3000</v>
      </c>
      <c r="BC46" s="272">
        <v>117975</v>
      </c>
      <c r="BD46" s="272">
        <v>0</v>
      </c>
      <c r="BE46" s="272">
        <v>117975</v>
      </c>
      <c r="BF46" s="272">
        <v>0</v>
      </c>
      <c r="BG46" s="272">
        <v>0</v>
      </c>
      <c r="BH46" s="272">
        <v>116997</v>
      </c>
      <c r="BI46" s="272">
        <v>70621</v>
      </c>
      <c r="BJ46" s="272">
        <v>24417</v>
      </c>
      <c r="BK46" s="272">
        <v>0</v>
      </c>
      <c r="BL46" s="272">
        <v>0</v>
      </c>
      <c r="BM46" s="272">
        <v>0</v>
      </c>
      <c r="BN46" s="272">
        <v>232300</v>
      </c>
      <c r="BO46" s="455">
        <f t="shared" si="5"/>
        <v>232300</v>
      </c>
      <c r="BP46" s="455">
        <f t="shared" si="6"/>
        <v>0</v>
      </c>
      <c r="BQ46" s="272">
        <v>0</v>
      </c>
      <c r="BR46" s="272"/>
      <c r="BS46" s="272"/>
      <c r="BT46" s="272">
        <v>0</v>
      </c>
      <c r="BU46" s="272">
        <v>5610459</v>
      </c>
      <c r="BV46" s="272"/>
      <c r="BW46" s="272">
        <v>1510179</v>
      </c>
      <c r="BX46" s="272">
        <v>1016237</v>
      </c>
      <c r="BY46" s="272">
        <v>73423</v>
      </c>
      <c r="BZ46" s="272">
        <v>67445</v>
      </c>
      <c r="CA46" s="272">
        <v>246835</v>
      </c>
      <c r="CB46" s="272">
        <v>36624</v>
      </c>
      <c r="CC46" s="272">
        <v>157841</v>
      </c>
      <c r="CD46" s="272">
        <v>49038</v>
      </c>
      <c r="CE46" s="272">
        <v>0</v>
      </c>
      <c r="CF46" s="272">
        <v>0</v>
      </c>
      <c r="CG46" s="272">
        <v>3332</v>
      </c>
      <c r="CH46" s="272">
        <v>904641</v>
      </c>
      <c r="CI46" s="272">
        <v>612479</v>
      </c>
      <c r="CJ46" s="455">
        <f t="shared" si="7"/>
        <v>292162</v>
      </c>
      <c r="CK46" s="272">
        <v>895580</v>
      </c>
      <c r="CL46" s="272">
        <v>509589</v>
      </c>
      <c r="CM46" s="272">
        <v>58353</v>
      </c>
      <c r="CN46" s="272">
        <v>191099</v>
      </c>
      <c r="CO46" s="272">
        <v>11682</v>
      </c>
      <c r="CP46" s="272">
        <v>524903</v>
      </c>
      <c r="CQ46" s="272">
        <v>161811</v>
      </c>
      <c r="CR46" s="272">
        <v>176295</v>
      </c>
      <c r="CS46" s="272">
        <v>116087</v>
      </c>
      <c r="CT46" s="455">
        <f t="shared" si="8"/>
        <v>12680</v>
      </c>
      <c r="CU46" s="272">
        <v>3482</v>
      </c>
      <c r="CV46" s="272">
        <v>9198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758649</v>
      </c>
      <c r="DD46" s="272">
        <v>169284</v>
      </c>
      <c r="DE46" s="272">
        <v>547291</v>
      </c>
      <c r="DF46" s="272">
        <v>42074</v>
      </c>
      <c r="DG46" s="272">
        <v>0</v>
      </c>
      <c r="DH46" s="272">
        <v>10987</v>
      </c>
      <c r="DI46" s="272">
        <v>172857</v>
      </c>
      <c r="DJ46" s="272">
        <v>40771</v>
      </c>
      <c r="DK46" s="272">
        <v>1817</v>
      </c>
      <c r="DL46" s="272">
        <v>130269</v>
      </c>
      <c r="DM46" s="272">
        <v>0</v>
      </c>
      <c r="DN46" s="272">
        <v>0</v>
      </c>
      <c r="DO46" s="272">
        <v>0</v>
      </c>
      <c r="DP46" s="272">
        <v>0</v>
      </c>
      <c r="DQ46" s="272">
        <v>0</v>
      </c>
      <c r="DR46" s="272">
        <v>0</v>
      </c>
      <c r="DS46" s="272">
        <v>0</v>
      </c>
      <c r="DT46" s="272">
        <v>380379</v>
      </c>
      <c r="DU46" s="272">
        <v>175439</v>
      </c>
      <c r="DV46" s="455">
        <f t="shared" si="11"/>
        <v>0</v>
      </c>
      <c r="DW46" s="272">
        <v>0</v>
      </c>
      <c r="DX46" s="272">
        <v>0</v>
      </c>
      <c r="DY46" s="272">
        <v>0</v>
      </c>
      <c r="DZ46" s="272">
        <v>89433</v>
      </c>
      <c r="EA46" s="272">
        <v>88408</v>
      </c>
      <c r="EB46" s="272"/>
      <c r="EC46" s="272">
        <v>0</v>
      </c>
      <c r="ED46" s="272">
        <v>5416692</v>
      </c>
      <c r="EE46" s="89"/>
      <c r="EF46" s="272">
        <v>193767</v>
      </c>
      <c r="EG46" s="272">
        <v>3550</v>
      </c>
      <c r="EH46" s="272">
        <v>190217</v>
      </c>
      <c r="EI46" s="272">
        <v>49596</v>
      </c>
      <c r="EJ46" s="272">
        <v>208342</v>
      </c>
      <c r="EK46" s="89"/>
      <c r="EL46" s="272"/>
      <c r="EM46" s="272">
        <v>16590</v>
      </c>
      <c r="EN46" s="272">
        <v>117975</v>
      </c>
      <c r="EO46" s="272">
        <v>0</v>
      </c>
      <c r="EP46" s="455">
        <f t="shared" si="12"/>
        <v>137278</v>
      </c>
      <c r="EQ46" s="272">
        <v>4289155</v>
      </c>
      <c r="ER46" s="272">
        <v>-251885</v>
      </c>
      <c r="ES46" s="272">
        <v>1425005</v>
      </c>
      <c r="ET46" s="272">
        <v>936261</v>
      </c>
      <c r="EU46" s="272">
        <v>82755</v>
      </c>
      <c r="EV46" s="272">
        <v>904641</v>
      </c>
      <c r="EW46" s="455">
        <f t="shared" si="13"/>
        <v>333393</v>
      </c>
      <c r="EX46" s="272">
        <v>330931</v>
      </c>
      <c r="EY46" s="272">
        <v>29437</v>
      </c>
      <c r="EZ46" s="272">
        <v>296829</v>
      </c>
      <c r="FA46" s="272">
        <v>2462</v>
      </c>
      <c r="FB46" s="272"/>
      <c r="FC46" s="272">
        <v>721547</v>
      </c>
      <c r="FD46" s="272">
        <v>482097</v>
      </c>
      <c r="FE46" s="272">
        <v>161811</v>
      </c>
      <c r="FF46" s="272">
        <v>350563</v>
      </c>
      <c r="FG46" s="455">
        <f t="shared" si="14"/>
        <v>50597</v>
      </c>
      <c r="FH46" s="272">
        <v>4350598</v>
      </c>
      <c r="FI46" s="384">
        <f t="shared" si="15"/>
        <v>4.5999999999999996</v>
      </c>
      <c r="FJ46" s="272">
        <v>4148412</v>
      </c>
      <c r="FK46" s="272"/>
      <c r="FL46" s="272">
        <v>1714592</v>
      </c>
      <c r="FM46" s="272">
        <v>3544185</v>
      </c>
      <c r="FN46" s="460">
        <v>0.49399999999999999</v>
      </c>
      <c r="FO46" s="388">
        <v>81.5</v>
      </c>
      <c r="FP46" s="388">
        <v>34</v>
      </c>
      <c r="FQ46" s="388">
        <v>2</v>
      </c>
      <c r="FR46" s="388">
        <v>19.3</v>
      </c>
      <c r="FS46" s="388">
        <v>14.8</v>
      </c>
      <c r="FT46" s="388">
        <v>7.3</v>
      </c>
      <c r="FU46" s="388">
        <v>3.8</v>
      </c>
      <c r="FV46" s="388">
        <v>10.4</v>
      </c>
      <c r="FW46" s="272">
        <v>6787967</v>
      </c>
      <c r="FX46" s="384">
        <f t="shared" si="16"/>
        <v>163.6</v>
      </c>
      <c r="FY46" s="272">
        <v>3748281</v>
      </c>
      <c r="FZ46" s="272">
        <v>1569110</v>
      </c>
      <c r="GA46" s="272">
        <v>434551</v>
      </c>
      <c r="GB46" s="272">
        <v>1744620</v>
      </c>
      <c r="GC46" s="272"/>
      <c r="GD46" s="272">
        <v>1020142</v>
      </c>
      <c r="GE46" s="384">
        <f>ROUND(GD46/FJ46*100,1)</f>
        <v>24.6</v>
      </c>
      <c r="GF46" s="388">
        <v>95.1</v>
      </c>
      <c r="GG46" s="388">
        <v>40.9</v>
      </c>
      <c r="GH46" s="388">
        <v>89.9</v>
      </c>
      <c r="GI46" s="272">
        <v>149</v>
      </c>
    </row>
    <row r="47" spans="2:191" x14ac:dyDescent="0.15">
      <c r="B47" s="89" t="s">
        <v>87</v>
      </c>
      <c r="C47" s="272">
        <v>769956</v>
      </c>
      <c r="D47" s="455">
        <f t="shared" si="0"/>
        <v>366081</v>
      </c>
      <c r="E47" s="272">
        <v>5125</v>
      </c>
      <c r="F47" s="272">
        <v>360956</v>
      </c>
      <c r="G47" s="455">
        <f t="shared" si="1"/>
        <v>43934</v>
      </c>
      <c r="H47" s="272">
        <v>8833</v>
      </c>
      <c r="I47" s="272">
        <v>35101</v>
      </c>
      <c r="J47" s="272">
        <v>327862</v>
      </c>
      <c r="K47" s="272">
        <v>115352</v>
      </c>
      <c r="L47" s="272">
        <v>153535</v>
      </c>
      <c r="M47" s="272">
        <v>58975</v>
      </c>
      <c r="N47" s="272">
        <v>18373</v>
      </c>
      <c r="O47" s="272">
        <v>0</v>
      </c>
      <c r="P47" s="272">
        <v>0</v>
      </c>
      <c r="Q47" s="272">
        <v>0</v>
      </c>
      <c r="R47" s="272">
        <v>25052</v>
      </c>
      <c r="S47" s="272"/>
      <c r="T47" s="455">
        <f t="shared" si="2"/>
        <v>127351</v>
      </c>
      <c r="U47" s="272">
        <v>12353</v>
      </c>
      <c r="V47" s="272"/>
      <c r="W47" s="272"/>
      <c r="X47" s="272">
        <v>56828</v>
      </c>
      <c r="Y47" s="272">
        <v>32399</v>
      </c>
      <c r="Z47" s="272">
        <v>0</v>
      </c>
      <c r="AA47" s="272">
        <v>25771</v>
      </c>
      <c r="AB47" s="272">
        <v>28458</v>
      </c>
      <c r="AC47" s="272">
        <v>1430906</v>
      </c>
      <c r="AD47" s="272">
        <v>1188910</v>
      </c>
      <c r="AE47" s="272">
        <v>241996</v>
      </c>
      <c r="AF47" s="272">
        <v>1328</v>
      </c>
      <c r="AG47" s="272">
        <v>46239</v>
      </c>
      <c r="AH47" s="455">
        <f t="shared" si="3"/>
        <v>24773</v>
      </c>
      <c r="AI47" s="272">
        <v>15351</v>
      </c>
      <c r="AJ47" s="272">
        <v>9422</v>
      </c>
      <c r="AK47" s="272">
        <v>214601</v>
      </c>
      <c r="AL47" s="455">
        <f t="shared" si="4"/>
        <v>33558</v>
      </c>
      <c r="AM47" s="272">
        <v>0</v>
      </c>
      <c r="AN47" s="272">
        <v>16326</v>
      </c>
      <c r="AO47" s="272">
        <v>0</v>
      </c>
      <c r="AP47" s="272">
        <v>17232</v>
      </c>
      <c r="AQ47" s="272">
        <v>68182</v>
      </c>
      <c r="AR47" s="272">
        <v>0</v>
      </c>
      <c r="AS47" s="272">
        <v>0</v>
      </c>
      <c r="AT47" s="272">
        <v>305401</v>
      </c>
      <c r="AU47" s="272">
        <v>155722</v>
      </c>
      <c r="AV47" s="272">
        <v>7628</v>
      </c>
      <c r="AW47" s="272">
        <v>90767</v>
      </c>
      <c r="AX47" s="272">
        <v>149679</v>
      </c>
      <c r="AY47" s="272">
        <v>75328</v>
      </c>
      <c r="AZ47" s="272">
        <v>6858</v>
      </c>
      <c r="BA47" s="272">
        <v>0</v>
      </c>
      <c r="BB47" s="272">
        <v>105</v>
      </c>
      <c r="BC47" s="272">
        <v>87340</v>
      </c>
      <c r="BD47" s="272">
        <v>0</v>
      </c>
      <c r="BE47" s="272">
        <v>6530</v>
      </c>
      <c r="BF47" s="272">
        <v>80800</v>
      </c>
      <c r="BG47" s="272">
        <v>0</v>
      </c>
      <c r="BH47" s="272">
        <v>67218</v>
      </c>
      <c r="BI47" s="272">
        <v>47838</v>
      </c>
      <c r="BJ47" s="272">
        <v>16875</v>
      </c>
      <c r="BK47" s="272">
        <v>0</v>
      </c>
      <c r="BL47" s="272">
        <v>0</v>
      </c>
      <c r="BM47" s="272">
        <v>0</v>
      </c>
      <c r="BN47" s="272">
        <v>313400</v>
      </c>
      <c r="BO47" s="455">
        <f t="shared" si="5"/>
        <v>302100</v>
      </c>
      <c r="BP47" s="455">
        <f t="shared" si="6"/>
        <v>11300</v>
      </c>
      <c r="BQ47" s="272">
        <v>11300</v>
      </c>
      <c r="BR47" s="272"/>
      <c r="BS47" s="272"/>
      <c r="BT47" s="272">
        <v>0</v>
      </c>
      <c r="BU47" s="272">
        <v>3465861</v>
      </c>
      <c r="BV47" s="272"/>
      <c r="BW47" s="272">
        <v>984883</v>
      </c>
      <c r="BX47" s="272">
        <v>691199</v>
      </c>
      <c r="BY47" s="272">
        <v>38257</v>
      </c>
      <c r="BZ47" s="272">
        <v>23229</v>
      </c>
      <c r="CA47" s="272">
        <v>155420</v>
      </c>
      <c r="CB47" s="272">
        <v>24418</v>
      </c>
      <c r="CC47" s="272">
        <v>70125</v>
      </c>
      <c r="CD47" s="272">
        <v>59531</v>
      </c>
      <c r="CE47" s="272">
        <v>0</v>
      </c>
      <c r="CF47" s="272">
        <v>0</v>
      </c>
      <c r="CG47" s="272">
        <v>1246</v>
      </c>
      <c r="CH47" s="272">
        <v>332807</v>
      </c>
      <c r="CI47" s="272">
        <v>201184</v>
      </c>
      <c r="CJ47" s="455">
        <f t="shared" si="7"/>
        <v>131623</v>
      </c>
      <c r="CK47" s="272">
        <v>555935</v>
      </c>
      <c r="CL47" s="272">
        <v>301865</v>
      </c>
      <c r="CM47" s="272">
        <v>30053</v>
      </c>
      <c r="CN47" s="272">
        <v>112912</v>
      </c>
      <c r="CO47" s="272">
        <v>11260</v>
      </c>
      <c r="CP47" s="272">
        <v>320261</v>
      </c>
      <c r="CQ47" s="272">
        <v>104684</v>
      </c>
      <c r="CR47" s="272">
        <v>55624</v>
      </c>
      <c r="CS47" s="272">
        <v>28519</v>
      </c>
      <c r="CT47" s="455">
        <f t="shared" si="8"/>
        <v>8211</v>
      </c>
      <c r="CU47" s="272">
        <v>7164</v>
      </c>
      <c r="CV47" s="272">
        <v>1047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725565</v>
      </c>
      <c r="DD47" s="272">
        <v>354205</v>
      </c>
      <c r="DE47" s="272">
        <v>355299</v>
      </c>
      <c r="DF47" s="272">
        <v>16061</v>
      </c>
      <c r="DG47" s="272">
        <v>0</v>
      </c>
      <c r="DH47" s="272">
        <v>29364</v>
      </c>
      <c r="DI47" s="272">
        <v>89265</v>
      </c>
      <c r="DJ47" s="272">
        <v>27072</v>
      </c>
      <c r="DK47" s="272">
        <v>842</v>
      </c>
      <c r="DL47" s="272">
        <v>61351</v>
      </c>
      <c r="DM47" s="272">
        <v>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218589</v>
      </c>
      <c r="DU47" s="272">
        <v>84364</v>
      </c>
      <c r="DV47" s="455">
        <f t="shared" si="11"/>
        <v>0</v>
      </c>
      <c r="DW47" s="272">
        <v>0</v>
      </c>
      <c r="DX47" s="272">
        <v>0</v>
      </c>
      <c r="DY47" s="272">
        <v>0</v>
      </c>
      <c r="DZ47" s="272">
        <v>47375</v>
      </c>
      <c r="EA47" s="272">
        <v>46623</v>
      </c>
      <c r="EB47" s="272"/>
      <c r="EC47" s="272">
        <v>0</v>
      </c>
      <c r="ED47" s="272">
        <v>3423349</v>
      </c>
      <c r="EE47" s="89"/>
      <c r="EF47" s="272">
        <v>42512</v>
      </c>
      <c r="EG47" s="272">
        <v>6640</v>
      </c>
      <c r="EH47" s="272">
        <v>35872</v>
      </c>
      <c r="EI47" s="272">
        <v>-11966</v>
      </c>
      <c r="EJ47" s="272">
        <v>15106</v>
      </c>
      <c r="EK47" s="89"/>
      <c r="EL47" s="272"/>
      <c r="EM47" s="272">
        <v>7206</v>
      </c>
      <c r="EN47" s="272">
        <v>6530</v>
      </c>
      <c r="EO47" s="272">
        <v>426</v>
      </c>
      <c r="EP47" s="455">
        <f t="shared" si="12"/>
        <v>55577</v>
      </c>
      <c r="EQ47" s="272">
        <v>2383051</v>
      </c>
      <c r="ER47" s="272">
        <v>-72505</v>
      </c>
      <c r="ES47" s="272">
        <v>953187</v>
      </c>
      <c r="ET47" s="272">
        <v>661274</v>
      </c>
      <c r="EU47" s="272">
        <v>40166</v>
      </c>
      <c r="EV47" s="272">
        <v>332807</v>
      </c>
      <c r="EW47" s="455">
        <f t="shared" si="13"/>
        <v>97651</v>
      </c>
      <c r="EX47" s="272">
        <v>91817</v>
      </c>
      <c r="EY47" s="272">
        <v>17524</v>
      </c>
      <c r="EZ47" s="272">
        <v>66126</v>
      </c>
      <c r="FA47" s="272">
        <v>5834</v>
      </c>
      <c r="FB47" s="272"/>
      <c r="FC47" s="272">
        <v>475232</v>
      </c>
      <c r="FD47" s="272">
        <v>267852</v>
      </c>
      <c r="FE47" s="272">
        <v>104684</v>
      </c>
      <c r="FF47" s="272">
        <v>208226</v>
      </c>
      <c r="FG47" s="455">
        <f t="shared" si="14"/>
        <v>37923</v>
      </c>
      <c r="FH47" s="272">
        <v>2413044</v>
      </c>
      <c r="FI47" s="384">
        <f t="shared" si="15"/>
        <v>1.7</v>
      </c>
      <c r="FJ47" s="272">
        <v>2140547</v>
      </c>
      <c r="FK47" s="272"/>
      <c r="FL47" s="272">
        <v>720809</v>
      </c>
      <c r="FM47" s="272">
        <v>1909322</v>
      </c>
      <c r="FN47" s="460">
        <v>0.38700000000000001</v>
      </c>
      <c r="FO47" s="388">
        <v>92</v>
      </c>
      <c r="FP47" s="388">
        <v>42.8</v>
      </c>
      <c r="FQ47" s="388">
        <v>1.9</v>
      </c>
      <c r="FR47" s="388">
        <v>15.5</v>
      </c>
      <c r="FS47" s="388">
        <v>16.2</v>
      </c>
      <c r="FT47" s="388">
        <v>9.6</v>
      </c>
      <c r="FU47" s="388">
        <v>5.5</v>
      </c>
      <c r="FV47" s="388">
        <v>9.3000000000000007</v>
      </c>
      <c r="FW47" s="272">
        <v>3284037</v>
      </c>
      <c r="FX47" s="384">
        <f t="shared" si="16"/>
        <v>153.4</v>
      </c>
      <c r="FY47" s="272">
        <v>1373737</v>
      </c>
      <c r="FZ47" s="272">
        <v>520358</v>
      </c>
      <c r="GA47" s="272">
        <v>199075</v>
      </c>
      <c r="GB47" s="272">
        <v>654304</v>
      </c>
      <c r="GC47" s="272"/>
      <c r="GD47" s="272"/>
      <c r="GE47" s="384"/>
      <c r="GF47" s="388">
        <v>98.4</v>
      </c>
      <c r="GG47" s="388">
        <v>23.8</v>
      </c>
      <c r="GH47" s="388">
        <v>95.4</v>
      </c>
      <c r="GI47" s="272">
        <v>101</v>
      </c>
    </row>
    <row r="48" spans="2:191" x14ac:dyDescent="0.15">
      <c r="B48" s="89" t="s">
        <v>839</v>
      </c>
      <c r="C48" s="272">
        <v>6841377</v>
      </c>
      <c r="D48" s="455">
        <f t="shared" si="0"/>
        <v>2175359</v>
      </c>
      <c r="E48" s="272">
        <v>28514</v>
      </c>
      <c r="F48" s="272">
        <v>2146845</v>
      </c>
      <c r="G48" s="455">
        <f t="shared" si="1"/>
        <v>475960</v>
      </c>
      <c r="H48" s="272">
        <v>130083</v>
      </c>
      <c r="I48" s="272">
        <v>345877</v>
      </c>
      <c r="J48" s="272">
        <v>3469570</v>
      </c>
      <c r="K48" s="272">
        <v>1828729</v>
      </c>
      <c r="L48" s="272">
        <v>1169148</v>
      </c>
      <c r="M48" s="272">
        <v>456851</v>
      </c>
      <c r="N48" s="272">
        <v>241303</v>
      </c>
      <c r="O48" s="272">
        <v>434349</v>
      </c>
      <c r="P48" s="272">
        <v>285462</v>
      </c>
      <c r="Q48" s="272">
        <v>148887</v>
      </c>
      <c r="R48" s="272">
        <v>88213</v>
      </c>
      <c r="S48" s="272"/>
      <c r="T48" s="455">
        <f t="shared" si="2"/>
        <v>569681</v>
      </c>
      <c r="U48" s="272">
        <v>70796</v>
      </c>
      <c r="V48" s="272"/>
      <c r="W48" s="272"/>
      <c r="X48" s="272">
        <v>387987</v>
      </c>
      <c r="Y48" s="272">
        <v>20028</v>
      </c>
      <c r="Z48" s="272">
        <v>153</v>
      </c>
      <c r="AA48" s="272">
        <v>90717</v>
      </c>
      <c r="AB48" s="272">
        <v>165764</v>
      </c>
      <c r="AC48" s="272">
        <v>1376132</v>
      </c>
      <c r="AD48" s="272">
        <v>946376</v>
      </c>
      <c r="AE48" s="272">
        <v>429756</v>
      </c>
      <c r="AF48" s="272">
        <v>11282</v>
      </c>
      <c r="AG48" s="272">
        <v>81876</v>
      </c>
      <c r="AH48" s="455">
        <f t="shared" si="3"/>
        <v>212358</v>
      </c>
      <c r="AI48" s="272">
        <v>128763</v>
      </c>
      <c r="AJ48" s="272">
        <v>83595</v>
      </c>
      <c r="AK48" s="272">
        <v>1180776</v>
      </c>
      <c r="AL48" s="455">
        <f t="shared" si="4"/>
        <v>456104</v>
      </c>
      <c r="AM48" s="272">
        <v>303932</v>
      </c>
      <c r="AN48" s="272">
        <v>62895</v>
      </c>
      <c r="AO48" s="272">
        <v>0</v>
      </c>
      <c r="AP48" s="272">
        <v>89277</v>
      </c>
      <c r="AQ48" s="272">
        <v>161657</v>
      </c>
      <c r="AR48" s="272">
        <v>0</v>
      </c>
      <c r="AS48" s="272">
        <v>0</v>
      </c>
      <c r="AT48" s="272">
        <v>594236</v>
      </c>
      <c r="AU48" s="272">
        <v>195134</v>
      </c>
      <c r="AV48" s="272">
        <v>31934</v>
      </c>
      <c r="AW48" s="272">
        <v>0</v>
      </c>
      <c r="AX48" s="272">
        <v>399102</v>
      </c>
      <c r="AY48" s="272">
        <v>102256</v>
      </c>
      <c r="AZ48" s="272">
        <v>72652</v>
      </c>
      <c r="BA48" s="272">
        <v>20904</v>
      </c>
      <c r="BB48" s="272">
        <v>142659</v>
      </c>
      <c r="BC48" s="272">
        <v>558799</v>
      </c>
      <c r="BD48" s="272">
        <v>71407</v>
      </c>
      <c r="BE48" s="272">
        <v>154555</v>
      </c>
      <c r="BF48" s="272">
        <v>320000</v>
      </c>
      <c r="BG48" s="272">
        <v>0</v>
      </c>
      <c r="BH48" s="272">
        <v>458620</v>
      </c>
      <c r="BI48" s="272">
        <v>140632</v>
      </c>
      <c r="BJ48" s="272">
        <v>135448</v>
      </c>
      <c r="BK48" s="272">
        <v>274</v>
      </c>
      <c r="BL48" s="272">
        <v>0</v>
      </c>
      <c r="BM48" s="272">
        <v>0</v>
      </c>
      <c r="BN48" s="272">
        <v>434200</v>
      </c>
      <c r="BO48" s="455">
        <f t="shared" si="5"/>
        <v>366700</v>
      </c>
      <c r="BP48" s="455">
        <f t="shared" si="6"/>
        <v>67500</v>
      </c>
      <c r="BQ48" s="272">
        <v>67500</v>
      </c>
      <c r="BR48" s="272"/>
      <c r="BS48" s="272"/>
      <c r="BT48" s="272">
        <v>0</v>
      </c>
      <c r="BU48" s="272">
        <v>12924073</v>
      </c>
      <c r="BV48" s="272"/>
      <c r="BW48" s="272">
        <v>3336405</v>
      </c>
      <c r="BX48" s="272">
        <v>2554674</v>
      </c>
      <c r="BY48" s="272">
        <v>135098</v>
      </c>
      <c r="BZ48" s="272">
        <v>29615</v>
      </c>
      <c r="CA48" s="272">
        <v>1229487</v>
      </c>
      <c r="CB48" s="272">
        <v>269709</v>
      </c>
      <c r="CC48" s="272">
        <v>426151</v>
      </c>
      <c r="CD48" s="272">
        <v>114022</v>
      </c>
      <c r="CE48" s="272">
        <v>404994</v>
      </c>
      <c r="CF48" s="272">
        <v>0</v>
      </c>
      <c r="CG48" s="272">
        <v>14611</v>
      </c>
      <c r="CH48" s="272">
        <v>1258537</v>
      </c>
      <c r="CI48" s="272">
        <v>859751</v>
      </c>
      <c r="CJ48" s="455">
        <f t="shared" si="7"/>
        <v>398786</v>
      </c>
      <c r="CK48" s="272">
        <v>1876714</v>
      </c>
      <c r="CL48" s="272">
        <v>1108728</v>
      </c>
      <c r="CM48" s="272">
        <v>168060</v>
      </c>
      <c r="CN48" s="272">
        <v>297055</v>
      </c>
      <c r="CO48" s="272">
        <v>47329</v>
      </c>
      <c r="CP48" s="272">
        <v>890328</v>
      </c>
      <c r="CQ48" s="272">
        <v>374557</v>
      </c>
      <c r="CR48" s="272">
        <v>306391</v>
      </c>
      <c r="CS48" s="272">
        <v>120509</v>
      </c>
      <c r="CT48" s="455">
        <f t="shared" si="8"/>
        <v>1379</v>
      </c>
      <c r="CU48" s="272">
        <v>1379</v>
      </c>
      <c r="CV48" s="272">
        <v>0</v>
      </c>
      <c r="CW48" s="455">
        <f t="shared" si="9"/>
        <v>0</v>
      </c>
      <c r="CX48" s="272">
        <v>0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2328706</v>
      </c>
      <c r="DD48" s="272">
        <v>443536</v>
      </c>
      <c r="DE48" s="272">
        <v>1885170</v>
      </c>
      <c r="DF48" s="272">
        <v>0</v>
      </c>
      <c r="DG48" s="272">
        <v>0</v>
      </c>
      <c r="DH48" s="272">
        <v>179</v>
      </c>
      <c r="DI48" s="272">
        <v>500664</v>
      </c>
      <c r="DJ48" s="272">
        <v>85294</v>
      </c>
      <c r="DK48" s="272">
        <v>3382</v>
      </c>
      <c r="DL48" s="272">
        <v>411988</v>
      </c>
      <c r="DM48" s="272">
        <v>0</v>
      </c>
      <c r="DN48" s="272">
        <v>0</v>
      </c>
      <c r="DO48" s="272">
        <v>0</v>
      </c>
      <c r="DP48" s="272">
        <v>0</v>
      </c>
      <c r="DQ48" s="272">
        <v>0</v>
      </c>
      <c r="DR48" s="272">
        <v>0</v>
      </c>
      <c r="DS48" s="272">
        <v>0</v>
      </c>
      <c r="DT48" s="272">
        <v>1336302</v>
      </c>
      <c r="DU48" s="272">
        <v>886101</v>
      </c>
      <c r="DV48" s="455">
        <f t="shared" si="11"/>
        <v>0</v>
      </c>
      <c r="DW48" s="272">
        <v>0</v>
      </c>
      <c r="DX48" s="272">
        <v>0</v>
      </c>
      <c r="DY48" s="272">
        <v>0</v>
      </c>
      <c r="DZ48" s="272">
        <v>265000</v>
      </c>
      <c r="EA48" s="272">
        <v>177744</v>
      </c>
      <c r="EB48" s="272"/>
      <c r="EC48" s="272">
        <v>0</v>
      </c>
      <c r="ED48" s="272">
        <v>12804651</v>
      </c>
      <c r="EE48" s="89"/>
      <c r="EF48" s="272">
        <v>119422</v>
      </c>
      <c r="EG48" s="272">
        <v>0</v>
      </c>
      <c r="EH48" s="272">
        <v>119422</v>
      </c>
      <c r="EI48" s="272">
        <v>-21210</v>
      </c>
      <c r="EJ48" s="272">
        <v>171870</v>
      </c>
      <c r="EK48" s="89"/>
      <c r="EL48" s="272"/>
      <c r="EM48" s="272">
        <v>37777</v>
      </c>
      <c r="EN48" s="272">
        <v>238799</v>
      </c>
      <c r="EO48" s="272">
        <v>24250</v>
      </c>
      <c r="EP48" s="455">
        <f t="shared" si="12"/>
        <v>421643</v>
      </c>
      <c r="EQ48" s="272">
        <v>9052449</v>
      </c>
      <c r="ER48" s="272">
        <v>-740910</v>
      </c>
      <c r="ES48" s="272">
        <v>3016019</v>
      </c>
      <c r="ET48" s="272">
        <v>2258262</v>
      </c>
      <c r="EU48" s="272">
        <v>401939</v>
      </c>
      <c r="EV48" s="272">
        <v>1258537</v>
      </c>
      <c r="EW48" s="455">
        <f t="shared" si="13"/>
        <v>1212253</v>
      </c>
      <c r="EX48" s="272">
        <v>1212074</v>
      </c>
      <c r="EY48" s="272">
        <v>47447</v>
      </c>
      <c r="EZ48" s="272">
        <v>1164627</v>
      </c>
      <c r="FA48" s="272">
        <v>179</v>
      </c>
      <c r="FB48" s="272"/>
      <c r="FC48" s="272">
        <v>1555746</v>
      </c>
      <c r="FD48" s="272">
        <v>695561</v>
      </c>
      <c r="FE48" s="272">
        <v>374557</v>
      </c>
      <c r="FF48" s="272">
        <v>1262760</v>
      </c>
      <c r="FG48" s="455">
        <f t="shared" si="14"/>
        <v>271122</v>
      </c>
      <c r="FH48" s="272">
        <v>9673937</v>
      </c>
      <c r="FI48" s="384">
        <f t="shared" si="15"/>
        <v>1.5</v>
      </c>
      <c r="FJ48" s="272">
        <v>8150286</v>
      </c>
      <c r="FK48" s="272"/>
      <c r="FL48" s="272">
        <v>5427611</v>
      </c>
      <c r="FM48" s="272">
        <v>6377333</v>
      </c>
      <c r="FN48" s="460">
        <v>0.88700000000000001</v>
      </c>
      <c r="FO48" s="388">
        <v>84.9</v>
      </c>
      <c r="FP48" s="388">
        <v>36</v>
      </c>
      <c r="FQ48" s="388">
        <v>4.9000000000000004</v>
      </c>
      <c r="FR48" s="388">
        <v>13.1</v>
      </c>
      <c r="FS48" s="388">
        <v>17.600000000000001</v>
      </c>
      <c r="FT48" s="388">
        <v>6.1</v>
      </c>
      <c r="FU48" s="388">
        <v>6.5</v>
      </c>
      <c r="FV48" s="388">
        <v>9.4</v>
      </c>
      <c r="FW48" s="272">
        <v>9798935</v>
      </c>
      <c r="FX48" s="384">
        <f t="shared" si="16"/>
        <v>120.2</v>
      </c>
      <c r="FY48" s="272">
        <v>8640378</v>
      </c>
      <c r="FZ48" s="272">
        <v>2270212</v>
      </c>
      <c r="GA48" s="272">
        <v>576361</v>
      </c>
      <c r="GB48" s="272">
        <v>5793805</v>
      </c>
      <c r="GC48" s="272"/>
      <c r="GD48" s="272">
        <v>5620388</v>
      </c>
      <c r="GE48" s="384">
        <f>ROUND(GD48/FJ48*100,1)</f>
        <v>69</v>
      </c>
      <c r="GF48" s="388">
        <v>96.3</v>
      </c>
      <c r="GG48" s="388">
        <v>29.6</v>
      </c>
      <c r="GH48" s="388">
        <v>89.3</v>
      </c>
      <c r="GI48" s="272">
        <v>369</v>
      </c>
    </row>
    <row r="49" spans="2:191" x14ac:dyDescent="0.15">
      <c r="B49" s="21" t="s">
        <v>89</v>
      </c>
      <c r="C49" s="272">
        <f>SUM(C38:C48)</f>
        <v>35770660</v>
      </c>
      <c r="D49" s="455">
        <f t="shared" si="0"/>
        <v>12845620</v>
      </c>
      <c r="E49" s="272">
        <f>SUM(E38:E48)</f>
        <v>168868</v>
      </c>
      <c r="F49" s="272">
        <f>SUM(F38:F48)</f>
        <v>12676752</v>
      </c>
      <c r="G49" s="455">
        <f t="shared" si="1"/>
        <v>2218333</v>
      </c>
      <c r="H49" s="272">
        <f t="shared" ref="H49:R49" si="27">SUM(H38:H48)</f>
        <v>444455</v>
      </c>
      <c r="I49" s="272">
        <f t="shared" si="27"/>
        <v>1773878</v>
      </c>
      <c r="J49" s="272">
        <f t="shared" si="27"/>
        <v>17993312</v>
      </c>
      <c r="K49" s="272">
        <f t="shared" si="27"/>
        <v>8721605</v>
      </c>
      <c r="L49" s="272">
        <f t="shared" si="27"/>
        <v>6312835</v>
      </c>
      <c r="M49" s="272">
        <f t="shared" si="27"/>
        <v>2852761</v>
      </c>
      <c r="N49" s="272">
        <f t="shared" si="27"/>
        <v>1166846</v>
      </c>
      <c r="O49" s="272">
        <f t="shared" si="27"/>
        <v>1172927</v>
      </c>
      <c r="P49" s="272">
        <f t="shared" si="27"/>
        <v>768843</v>
      </c>
      <c r="Q49" s="272">
        <f t="shared" si="27"/>
        <v>404084</v>
      </c>
      <c r="R49" s="272">
        <f t="shared" si="27"/>
        <v>674065</v>
      </c>
      <c r="S49" s="272"/>
      <c r="T49" s="455">
        <f t="shared" si="2"/>
        <v>3351448</v>
      </c>
      <c r="U49" s="272">
        <f>SUM(U38:U48)</f>
        <v>420292</v>
      </c>
      <c r="V49" s="272"/>
      <c r="W49" s="272"/>
      <c r="X49" s="272">
        <f t="shared" ref="X49:AG49" si="28">SUM(X38:X48)</f>
        <v>1930482</v>
      </c>
      <c r="Y49" s="272">
        <f t="shared" si="28"/>
        <v>338174</v>
      </c>
      <c r="Z49" s="272">
        <f t="shared" si="28"/>
        <v>12774</v>
      </c>
      <c r="AA49" s="272">
        <f t="shared" si="28"/>
        <v>649726</v>
      </c>
      <c r="AB49" s="272">
        <f t="shared" si="28"/>
        <v>975416</v>
      </c>
      <c r="AC49" s="272">
        <f t="shared" si="28"/>
        <v>19267136</v>
      </c>
      <c r="AD49" s="272">
        <f t="shared" si="28"/>
        <v>16206027</v>
      </c>
      <c r="AE49" s="272">
        <f t="shared" si="28"/>
        <v>3061109</v>
      </c>
      <c r="AF49" s="272">
        <f t="shared" si="28"/>
        <v>53433</v>
      </c>
      <c r="AG49" s="272">
        <f t="shared" si="28"/>
        <v>505064</v>
      </c>
      <c r="AH49" s="455">
        <f t="shared" si="3"/>
        <v>1510782</v>
      </c>
      <c r="AI49" s="272">
        <f>SUM(AI38:AI48)</f>
        <v>1201646</v>
      </c>
      <c r="AJ49" s="272">
        <f>SUM(AJ38:AJ48)</f>
        <v>309136</v>
      </c>
      <c r="AK49" s="272">
        <f>SUM(AK38:AK48)</f>
        <v>6755641</v>
      </c>
      <c r="AL49" s="455">
        <f t="shared" si="4"/>
        <v>1280174</v>
      </c>
      <c r="AM49" s="272">
        <f t="shared" ref="AM49:BN49" si="29">SUM(AM38:AM48)</f>
        <v>349266</v>
      </c>
      <c r="AN49" s="272">
        <f t="shared" si="29"/>
        <v>434771</v>
      </c>
      <c r="AO49" s="272">
        <f t="shared" si="29"/>
        <v>0</v>
      </c>
      <c r="AP49" s="272">
        <f t="shared" si="29"/>
        <v>496137</v>
      </c>
      <c r="AQ49" s="272">
        <f t="shared" si="29"/>
        <v>1822782</v>
      </c>
      <c r="AR49" s="272">
        <f t="shared" si="29"/>
        <v>36354</v>
      </c>
      <c r="AS49" s="272">
        <f t="shared" si="29"/>
        <v>0</v>
      </c>
      <c r="AT49" s="272">
        <f t="shared" si="29"/>
        <v>5116133</v>
      </c>
      <c r="AU49" s="272">
        <f t="shared" si="29"/>
        <v>2217196</v>
      </c>
      <c r="AV49" s="272">
        <f t="shared" si="29"/>
        <v>227736</v>
      </c>
      <c r="AW49" s="272">
        <f t="shared" si="29"/>
        <v>646890</v>
      </c>
      <c r="AX49" s="272">
        <f t="shared" si="29"/>
        <v>2898937</v>
      </c>
      <c r="AY49" s="272">
        <f t="shared" si="29"/>
        <v>770235</v>
      </c>
      <c r="AZ49" s="272">
        <f t="shared" si="29"/>
        <v>393956</v>
      </c>
      <c r="BA49" s="272">
        <f t="shared" si="29"/>
        <v>95302</v>
      </c>
      <c r="BB49" s="272">
        <f t="shared" si="29"/>
        <v>790948</v>
      </c>
      <c r="BC49" s="272">
        <f t="shared" si="29"/>
        <v>3168436</v>
      </c>
      <c r="BD49" s="272">
        <f t="shared" si="29"/>
        <v>611820</v>
      </c>
      <c r="BE49" s="272">
        <f t="shared" si="29"/>
        <v>388350</v>
      </c>
      <c r="BF49" s="272">
        <f t="shared" si="29"/>
        <v>2010860</v>
      </c>
      <c r="BG49" s="272">
        <f t="shared" si="29"/>
        <v>0</v>
      </c>
      <c r="BH49" s="272">
        <f t="shared" si="29"/>
        <v>2484341</v>
      </c>
      <c r="BI49" s="272">
        <f t="shared" si="29"/>
        <v>1494168</v>
      </c>
      <c r="BJ49" s="272">
        <f t="shared" si="29"/>
        <v>1331077</v>
      </c>
      <c r="BK49" s="272">
        <f t="shared" si="29"/>
        <v>232671</v>
      </c>
      <c r="BL49" s="272">
        <f t="shared" si="29"/>
        <v>182439</v>
      </c>
      <c r="BM49" s="272">
        <f t="shared" si="29"/>
        <v>0</v>
      </c>
      <c r="BN49" s="272">
        <f t="shared" si="29"/>
        <v>4750600</v>
      </c>
      <c r="BO49" s="455">
        <f t="shared" si="5"/>
        <v>4451600</v>
      </c>
      <c r="BP49" s="455">
        <f t="shared" si="6"/>
        <v>299000</v>
      </c>
      <c r="BQ49" s="272">
        <f>SUM(BQ38:BQ48)</f>
        <v>299000</v>
      </c>
      <c r="BR49" s="272"/>
      <c r="BS49" s="272"/>
      <c r="BT49" s="272">
        <v>0</v>
      </c>
      <c r="BU49" s="272">
        <f>SUM(BU38:BU48)</f>
        <v>86899136</v>
      </c>
      <c r="BV49" s="272"/>
      <c r="BW49" s="272">
        <f t="shared" ref="BW49:CI49" si="30">SUM(BW38:BW48)</f>
        <v>22709287</v>
      </c>
      <c r="BX49" s="272">
        <f t="shared" si="30"/>
        <v>16416851</v>
      </c>
      <c r="BY49" s="272">
        <f t="shared" si="30"/>
        <v>1140526</v>
      </c>
      <c r="BZ49" s="272">
        <f t="shared" si="30"/>
        <v>626150</v>
      </c>
      <c r="CA49" s="272">
        <f t="shared" si="30"/>
        <v>5266927</v>
      </c>
      <c r="CB49" s="272">
        <f t="shared" si="30"/>
        <v>1080483</v>
      </c>
      <c r="CC49" s="272">
        <f t="shared" si="30"/>
        <v>2495677</v>
      </c>
      <c r="CD49" s="272">
        <f t="shared" si="30"/>
        <v>1111518</v>
      </c>
      <c r="CE49" s="272">
        <f t="shared" si="30"/>
        <v>456574</v>
      </c>
      <c r="CF49" s="272">
        <f t="shared" si="30"/>
        <v>5967</v>
      </c>
      <c r="CG49" s="272">
        <f t="shared" si="30"/>
        <v>116608</v>
      </c>
      <c r="CH49" s="272">
        <f t="shared" si="30"/>
        <v>10300266</v>
      </c>
      <c r="CI49" s="272">
        <f t="shared" si="30"/>
        <v>6968840</v>
      </c>
      <c r="CJ49" s="455">
        <f t="shared" si="7"/>
        <v>3331426</v>
      </c>
      <c r="CK49" s="272">
        <f t="shared" ref="CK49:CS49" si="31">SUM(CK38:CK48)</f>
        <v>13536611</v>
      </c>
      <c r="CL49" s="272">
        <f t="shared" si="31"/>
        <v>7293864</v>
      </c>
      <c r="CM49" s="272">
        <f t="shared" si="31"/>
        <v>1039368</v>
      </c>
      <c r="CN49" s="272">
        <f t="shared" si="31"/>
        <v>2942891</v>
      </c>
      <c r="CO49" s="272">
        <f t="shared" si="31"/>
        <v>843365</v>
      </c>
      <c r="CP49" s="272">
        <f t="shared" si="31"/>
        <v>6362973</v>
      </c>
      <c r="CQ49" s="272">
        <f t="shared" si="31"/>
        <v>1465765</v>
      </c>
      <c r="CR49" s="272">
        <f t="shared" si="31"/>
        <v>2349149</v>
      </c>
      <c r="CS49" s="272">
        <f t="shared" si="31"/>
        <v>1523901</v>
      </c>
      <c r="CT49" s="455">
        <f t="shared" si="8"/>
        <v>354046</v>
      </c>
      <c r="CU49" s="272">
        <f>SUM(CU38:CU48)</f>
        <v>199114</v>
      </c>
      <c r="CV49" s="272">
        <f>SUM(CV38:CV48)</f>
        <v>154932</v>
      </c>
      <c r="CW49" s="455">
        <f t="shared" si="9"/>
        <v>179734</v>
      </c>
      <c r="CX49" s="272">
        <f>SUM(CX38:CX48)</f>
        <v>146054</v>
      </c>
      <c r="CY49" s="272">
        <f>SUM(CY38:CY48)</f>
        <v>33680</v>
      </c>
      <c r="CZ49" s="455">
        <f t="shared" si="10"/>
        <v>0</v>
      </c>
      <c r="DA49" s="272">
        <f t="shared" ref="DA49:DU49" si="32">SUM(DA38:DA48)</f>
        <v>0</v>
      </c>
      <c r="DB49" s="272">
        <f t="shared" si="32"/>
        <v>0</v>
      </c>
      <c r="DC49" s="272">
        <f t="shared" si="32"/>
        <v>14835361</v>
      </c>
      <c r="DD49" s="272">
        <f t="shared" si="32"/>
        <v>4977054</v>
      </c>
      <c r="DE49" s="272">
        <f t="shared" si="32"/>
        <v>9433413</v>
      </c>
      <c r="DF49" s="272">
        <f t="shared" si="32"/>
        <v>321727</v>
      </c>
      <c r="DG49" s="272">
        <f t="shared" si="32"/>
        <v>80205</v>
      </c>
      <c r="DH49" s="272">
        <f t="shared" si="32"/>
        <v>347520</v>
      </c>
      <c r="DI49" s="272">
        <f t="shared" si="32"/>
        <v>3526507</v>
      </c>
      <c r="DJ49" s="272">
        <f t="shared" si="32"/>
        <v>865506</v>
      </c>
      <c r="DK49" s="272">
        <f t="shared" si="32"/>
        <v>15877</v>
      </c>
      <c r="DL49" s="272">
        <f t="shared" si="32"/>
        <v>2645124</v>
      </c>
      <c r="DM49" s="272">
        <f t="shared" si="32"/>
        <v>41500</v>
      </c>
      <c r="DN49" s="272">
        <f t="shared" si="32"/>
        <v>30500</v>
      </c>
      <c r="DO49" s="272">
        <f t="shared" si="32"/>
        <v>30500</v>
      </c>
      <c r="DP49" s="272">
        <f t="shared" si="32"/>
        <v>0</v>
      </c>
      <c r="DQ49" s="272">
        <f t="shared" si="32"/>
        <v>39575</v>
      </c>
      <c r="DR49" s="272">
        <f t="shared" si="32"/>
        <v>0</v>
      </c>
      <c r="DS49" s="272">
        <f t="shared" si="32"/>
        <v>0</v>
      </c>
      <c r="DT49" s="272">
        <f t="shared" si="32"/>
        <v>7233016</v>
      </c>
      <c r="DU49" s="272">
        <f t="shared" si="32"/>
        <v>4442637</v>
      </c>
      <c r="DV49" s="455">
        <f t="shared" si="11"/>
        <v>0</v>
      </c>
      <c r="DW49" s="272">
        <f>SUM(DW38:DW48)</f>
        <v>0</v>
      </c>
      <c r="DX49" s="272">
        <f>SUM(DX38:DX48)</f>
        <v>0</v>
      </c>
      <c r="DY49" s="272">
        <f>SUM(DY38:DY48)</f>
        <v>0</v>
      </c>
      <c r="DZ49" s="272">
        <f>SUM(DZ38:DZ48)</f>
        <v>1486410</v>
      </c>
      <c r="EA49" s="272">
        <f>SUM(EA38:EA48)</f>
        <v>1132265</v>
      </c>
      <c r="EB49" s="272"/>
      <c r="EC49" s="272">
        <f>SUM(EC38:EC48)</f>
        <v>0</v>
      </c>
      <c r="ED49" s="272">
        <f>SUM(ED38:ED48)</f>
        <v>85042908</v>
      </c>
      <c r="EE49" s="89"/>
      <c r="EF49" s="272">
        <f>SUM(EF38:EF48)</f>
        <v>1856228</v>
      </c>
      <c r="EG49" s="272">
        <f>SUM(EG38:EG48)</f>
        <v>287632</v>
      </c>
      <c r="EH49" s="272">
        <f>SUM(EH38:EH48)</f>
        <v>1568596</v>
      </c>
      <c r="EI49" s="272">
        <f>SUM(EI38:EI48)</f>
        <v>4428</v>
      </c>
      <c r="EJ49" s="272">
        <f>SUM(EJ38:EJ48)</f>
        <v>787220</v>
      </c>
      <c r="EK49" s="89"/>
      <c r="EL49" s="272"/>
      <c r="EM49" s="272">
        <f>SUM(EM38:EM48)</f>
        <v>234302</v>
      </c>
      <c r="EN49" s="272">
        <f>SUM(EN38:EN48)</f>
        <v>1612428</v>
      </c>
      <c r="EO49" s="272">
        <f>SUM(EO38:EO48)</f>
        <v>138526</v>
      </c>
      <c r="EP49" s="455">
        <f t="shared" si="12"/>
        <v>2943167</v>
      </c>
      <c r="EQ49" s="272">
        <f t="shared" ref="EQ49:EV49" si="33">SUM(EQ38:EQ48)</f>
        <v>60092158</v>
      </c>
      <c r="ER49" s="272">
        <f t="shared" si="33"/>
        <v>-4939688</v>
      </c>
      <c r="ES49" s="272">
        <f t="shared" si="33"/>
        <v>20893843</v>
      </c>
      <c r="ET49" s="272">
        <f t="shared" si="33"/>
        <v>14715162</v>
      </c>
      <c r="EU49" s="272">
        <f t="shared" si="33"/>
        <v>1958701</v>
      </c>
      <c r="EV49" s="272">
        <f t="shared" si="33"/>
        <v>9938902</v>
      </c>
      <c r="EW49" s="455">
        <f t="shared" si="13"/>
        <v>5125245</v>
      </c>
      <c r="EX49" s="272">
        <f>SUM(EX38:EX48)</f>
        <v>4984561</v>
      </c>
      <c r="EY49" s="272">
        <f>SUM(EY38:EY48)</f>
        <v>290680</v>
      </c>
      <c r="EZ49" s="272">
        <f>SUM(EZ38:EZ48)</f>
        <v>4502768</v>
      </c>
      <c r="FA49" s="272">
        <f>SUM(FA38:FA48)</f>
        <v>140684</v>
      </c>
      <c r="FB49" s="272"/>
      <c r="FC49" s="272">
        <f>SUM(FC38:FC48)</f>
        <v>10796884</v>
      </c>
      <c r="FD49" s="272">
        <f>SUM(FD38:FD48)</f>
        <v>5023465</v>
      </c>
      <c r="FE49" s="272">
        <f>SUM(FE38:FE48)</f>
        <v>1451165</v>
      </c>
      <c r="FF49" s="272">
        <f>SUM(FF38:FF48)</f>
        <v>6752695</v>
      </c>
      <c r="FG49" s="455">
        <f t="shared" si="14"/>
        <v>2709494</v>
      </c>
      <c r="FH49" s="272">
        <f>SUM(FH38:FH48)</f>
        <v>63199229</v>
      </c>
      <c r="FI49" s="384">
        <f t="shared" si="15"/>
        <v>2.8</v>
      </c>
      <c r="FJ49" s="272">
        <f>SUM(FJ38:FJ48)</f>
        <v>55730527</v>
      </c>
      <c r="FK49" s="272">
        <f>SUM(FK38:FK48)</f>
        <v>0</v>
      </c>
      <c r="FL49" s="272">
        <f>SUM(FL38:FL48)</f>
        <v>29827909</v>
      </c>
      <c r="FM49" s="272">
        <f>SUM(FM38:FM48)</f>
        <v>44763823</v>
      </c>
      <c r="FN49" s="468">
        <v>0.7</v>
      </c>
      <c r="FO49" s="469">
        <v>87.5</v>
      </c>
      <c r="FP49" s="469">
        <v>36.4</v>
      </c>
      <c r="FQ49" s="469">
        <v>3.3</v>
      </c>
      <c r="FR49" s="469">
        <v>16.7</v>
      </c>
      <c r="FS49" s="469">
        <v>16.8</v>
      </c>
      <c r="FT49" s="469">
        <v>6.6</v>
      </c>
      <c r="FU49" s="469">
        <v>6.2</v>
      </c>
      <c r="FV49" s="469">
        <v>9.8000000000000007</v>
      </c>
      <c r="FW49" s="272">
        <f>SUM(FW38:FW48)</f>
        <v>94314302</v>
      </c>
      <c r="FX49" s="384">
        <f t="shared" si="16"/>
        <v>169.2</v>
      </c>
      <c r="FY49" s="272">
        <f t="shared" ref="FY49:GD49" si="34">SUM(FY38:FY48)</f>
        <v>43030789</v>
      </c>
      <c r="FZ49" s="272">
        <f t="shared" si="34"/>
        <v>14276708</v>
      </c>
      <c r="GA49" s="272">
        <f t="shared" si="34"/>
        <v>3316854</v>
      </c>
      <c r="GB49" s="272">
        <f t="shared" si="34"/>
        <v>25437227</v>
      </c>
      <c r="GC49" s="272">
        <f t="shared" si="34"/>
        <v>0</v>
      </c>
      <c r="GD49" s="272">
        <f t="shared" si="34"/>
        <v>12883332</v>
      </c>
      <c r="GE49" s="465">
        <f>ROUND(GD49/FJ52*100,1)</f>
        <v>45.8</v>
      </c>
      <c r="GF49" s="469">
        <v>97.7</v>
      </c>
      <c r="GG49" s="469">
        <v>21.7</v>
      </c>
      <c r="GH49" s="469">
        <v>91.5</v>
      </c>
      <c r="GI49" s="272">
        <f>SUM(GI38:GI48)</f>
        <v>2407</v>
      </c>
    </row>
    <row r="50" spans="2:191" x14ac:dyDescent="0.15">
      <c r="B50" s="21" t="s">
        <v>91</v>
      </c>
      <c r="C50" s="272">
        <f>C37+C49</f>
        <v>865387900</v>
      </c>
      <c r="D50" s="455">
        <f t="shared" si="0"/>
        <v>306067199</v>
      </c>
      <c r="E50" s="272">
        <f>E37+E49</f>
        <v>5099679</v>
      </c>
      <c r="F50" s="272">
        <f>F37+F49</f>
        <v>300967520</v>
      </c>
      <c r="G50" s="455">
        <f t="shared" si="1"/>
        <v>58486832</v>
      </c>
      <c r="H50" s="272">
        <f t="shared" ref="H50:R50" si="35">H37+H49</f>
        <v>12189636</v>
      </c>
      <c r="I50" s="272">
        <f t="shared" si="35"/>
        <v>46297196</v>
      </c>
      <c r="J50" s="272">
        <f t="shared" si="35"/>
        <v>371865941</v>
      </c>
      <c r="K50" s="272">
        <f t="shared" si="35"/>
        <v>188083656</v>
      </c>
      <c r="L50" s="272">
        <f t="shared" si="35"/>
        <v>127957202</v>
      </c>
      <c r="M50" s="272">
        <f t="shared" si="35"/>
        <v>50461900</v>
      </c>
      <c r="N50" s="272">
        <f t="shared" si="35"/>
        <v>34921433</v>
      </c>
      <c r="O50" s="272">
        <f t="shared" si="35"/>
        <v>81146196</v>
      </c>
      <c r="P50" s="272">
        <f t="shared" si="35"/>
        <v>53998761</v>
      </c>
      <c r="Q50" s="272">
        <f t="shared" si="35"/>
        <v>27147435</v>
      </c>
      <c r="R50" s="272">
        <f t="shared" si="35"/>
        <v>13043104</v>
      </c>
      <c r="S50" s="272"/>
      <c r="T50" s="455">
        <f t="shared" si="2"/>
        <v>70989268</v>
      </c>
      <c r="U50" s="272">
        <f>U37+U49</f>
        <v>10209692</v>
      </c>
      <c r="V50" s="272"/>
      <c r="W50" s="272"/>
      <c r="X50" s="272">
        <f t="shared" ref="X50:AG50" si="36">X37+X49</f>
        <v>47908654</v>
      </c>
      <c r="Y50" s="272">
        <f t="shared" si="36"/>
        <v>1370563</v>
      </c>
      <c r="Z50" s="272">
        <f t="shared" si="36"/>
        <v>478990</v>
      </c>
      <c r="AA50" s="272">
        <f t="shared" si="36"/>
        <v>11021369</v>
      </c>
      <c r="AB50" s="272">
        <f t="shared" si="36"/>
        <v>23825095</v>
      </c>
      <c r="AC50" s="272">
        <f t="shared" si="36"/>
        <v>171235466</v>
      </c>
      <c r="AD50" s="272">
        <f t="shared" si="36"/>
        <v>153477796</v>
      </c>
      <c r="AE50" s="272">
        <f t="shared" si="36"/>
        <v>17757670</v>
      </c>
      <c r="AF50" s="272">
        <f t="shared" si="36"/>
        <v>1166693</v>
      </c>
      <c r="AG50" s="272">
        <f t="shared" si="36"/>
        <v>22609084</v>
      </c>
      <c r="AH50" s="455">
        <f t="shared" si="3"/>
        <v>36218123</v>
      </c>
      <c r="AI50" s="272">
        <f>AI37+AI49</f>
        <v>29119715</v>
      </c>
      <c r="AJ50" s="272">
        <f>AJ37+AJ49</f>
        <v>7098408</v>
      </c>
      <c r="AK50" s="272">
        <f>AK37+AK49</f>
        <v>215624330</v>
      </c>
      <c r="AL50" s="455">
        <f t="shared" si="4"/>
        <v>96441049</v>
      </c>
      <c r="AM50" s="272">
        <f t="shared" ref="AM50:BN50" si="37">AM37+AM49</f>
        <v>70140802</v>
      </c>
      <c r="AN50" s="272">
        <f t="shared" si="37"/>
        <v>15326281</v>
      </c>
      <c r="AO50" s="272">
        <f t="shared" si="37"/>
        <v>55874</v>
      </c>
      <c r="AP50" s="272">
        <f t="shared" si="37"/>
        <v>10918092</v>
      </c>
      <c r="AQ50" s="272">
        <f t="shared" si="37"/>
        <v>28392157</v>
      </c>
      <c r="AR50" s="272">
        <f t="shared" si="37"/>
        <v>251515</v>
      </c>
      <c r="AS50" s="272">
        <f t="shared" si="37"/>
        <v>312718</v>
      </c>
      <c r="AT50" s="272">
        <f t="shared" si="37"/>
        <v>92384956</v>
      </c>
      <c r="AU50" s="272">
        <f t="shared" si="37"/>
        <v>37379972</v>
      </c>
      <c r="AV50" s="272">
        <f t="shared" si="37"/>
        <v>7521418</v>
      </c>
      <c r="AW50" s="272">
        <f t="shared" si="37"/>
        <v>3726444</v>
      </c>
      <c r="AX50" s="272">
        <f t="shared" si="37"/>
        <v>55004984</v>
      </c>
      <c r="AY50" s="272">
        <f t="shared" si="37"/>
        <v>7797171</v>
      </c>
      <c r="AZ50" s="272">
        <f t="shared" si="37"/>
        <v>15734445</v>
      </c>
      <c r="BA50" s="272">
        <f t="shared" si="37"/>
        <v>13407983</v>
      </c>
      <c r="BB50" s="272">
        <f t="shared" si="37"/>
        <v>5478658</v>
      </c>
      <c r="BC50" s="272">
        <f t="shared" si="37"/>
        <v>42349263</v>
      </c>
      <c r="BD50" s="272">
        <f t="shared" si="37"/>
        <v>8108288</v>
      </c>
      <c r="BE50" s="272">
        <f t="shared" si="37"/>
        <v>2738246</v>
      </c>
      <c r="BF50" s="272">
        <f t="shared" si="37"/>
        <v>26921414</v>
      </c>
      <c r="BG50" s="272">
        <f t="shared" si="37"/>
        <v>1285540</v>
      </c>
      <c r="BH50" s="272">
        <f t="shared" si="37"/>
        <v>29727945</v>
      </c>
      <c r="BI50" s="272">
        <f t="shared" si="37"/>
        <v>7793861</v>
      </c>
      <c r="BJ50" s="272">
        <f t="shared" si="37"/>
        <v>51834922</v>
      </c>
      <c r="BK50" s="272">
        <f t="shared" si="37"/>
        <v>31788837</v>
      </c>
      <c r="BL50" s="272">
        <f t="shared" si="37"/>
        <v>1397711</v>
      </c>
      <c r="BM50" s="272">
        <f t="shared" si="37"/>
        <v>1782725</v>
      </c>
      <c r="BN50" s="272">
        <f t="shared" si="37"/>
        <v>110784676</v>
      </c>
      <c r="BO50" s="455">
        <f t="shared" si="5"/>
        <v>101060576</v>
      </c>
      <c r="BP50" s="455">
        <f t="shared" si="6"/>
        <v>9724100</v>
      </c>
      <c r="BQ50" s="272">
        <f>BQ37+BQ49</f>
        <v>9724100</v>
      </c>
      <c r="BR50" s="272"/>
      <c r="BS50" s="272"/>
      <c r="BT50" s="272">
        <v>0</v>
      </c>
      <c r="BU50" s="272">
        <f>BU37+BU49</f>
        <v>1768706646</v>
      </c>
      <c r="BV50" s="272"/>
      <c r="BW50" s="272">
        <f t="shared" ref="BW50:CI50" si="38">BW37+BW49</f>
        <v>464242712</v>
      </c>
      <c r="BX50" s="272">
        <f t="shared" si="38"/>
        <v>340116505</v>
      </c>
      <c r="BY50" s="272">
        <f t="shared" si="38"/>
        <v>34374825</v>
      </c>
      <c r="BZ50" s="272">
        <f t="shared" si="38"/>
        <v>16415536</v>
      </c>
      <c r="CA50" s="272">
        <f t="shared" si="38"/>
        <v>241868775</v>
      </c>
      <c r="CB50" s="272">
        <f t="shared" si="38"/>
        <v>29674186</v>
      </c>
      <c r="CC50" s="272">
        <f t="shared" si="38"/>
        <v>58678063</v>
      </c>
      <c r="CD50" s="272">
        <f t="shared" si="38"/>
        <v>48262695</v>
      </c>
      <c r="CE50" s="272">
        <f t="shared" si="38"/>
        <v>93876060</v>
      </c>
      <c r="CF50" s="272">
        <f t="shared" si="38"/>
        <v>7441784</v>
      </c>
      <c r="CG50" s="272">
        <f t="shared" si="38"/>
        <v>3904926</v>
      </c>
      <c r="CH50" s="272">
        <f t="shared" si="38"/>
        <v>174725327</v>
      </c>
      <c r="CI50" s="272">
        <f t="shared" si="38"/>
        <v>114092690</v>
      </c>
      <c r="CJ50" s="455">
        <f t="shared" si="7"/>
        <v>60632637</v>
      </c>
      <c r="CK50" s="272">
        <f t="shared" ref="CK50:CS50" si="39">CK37+CK49</f>
        <v>207530742</v>
      </c>
      <c r="CL50" s="272">
        <f t="shared" si="39"/>
        <v>122392525</v>
      </c>
      <c r="CM50" s="272">
        <f t="shared" si="39"/>
        <v>10853406</v>
      </c>
      <c r="CN50" s="272">
        <f t="shared" si="39"/>
        <v>40798732</v>
      </c>
      <c r="CO50" s="272">
        <f t="shared" si="39"/>
        <v>16366474</v>
      </c>
      <c r="CP50" s="272">
        <f t="shared" si="39"/>
        <v>157236998</v>
      </c>
      <c r="CQ50" s="272">
        <f t="shared" si="39"/>
        <v>42731107</v>
      </c>
      <c r="CR50" s="272">
        <f t="shared" si="39"/>
        <v>59213648</v>
      </c>
      <c r="CS50" s="272">
        <f t="shared" si="39"/>
        <v>35870736</v>
      </c>
      <c r="CT50" s="455">
        <f t="shared" si="8"/>
        <v>20513200</v>
      </c>
      <c r="CU50" s="272">
        <f>CU37+CU49</f>
        <v>13184617</v>
      </c>
      <c r="CV50" s="272">
        <f>CV37+CV49</f>
        <v>7328583</v>
      </c>
      <c r="CW50" s="455">
        <f t="shared" si="9"/>
        <v>17112103</v>
      </c>
      <c r="CX50" s="272">
        <f>CX37+CX49</f>
        <v>12371690</v>
      </c>
      <c r="CY50" s="272">
        <f>CY37+CY49</f>
        <v>4740413</v>
      </c>
      <c r="CZ50" s="455">
        <f t="shared" si="10"/>
        <v>0</v>
      </c>
      <c r="DA50" s="272">
        <f t="shared" ref="DA50:DU50" si="40">DA37+DA49</f>
        <v>0</v>
      </c>
      <c r="DB50" s="272">
        <f t="shared" si="40"/>
        <v>0</v>
      </c>
      <c r="DC50" s="272">
        <f t="shared" si="40"/>
        <v>245908759</v>
      </c>
      <c r="DD50" s="272">
        <f t="shared" si="40"/>
        <v>61183955</v>
      </c>
      <c r="DE50" s="272">
        <f t="shared" si="40"/>
        <v>169574555</v>
      </c>
      <c r="DF50" s="272">
        <f t="shared" si="40"/>
        <v>3230925</v>
      </c>
      <c r="DG50" s="272">
        <f t="shared" si="40"/>
        <v>11891712</v>
      </c>
      <c r="DH50" s="272">
        <f t="shared" si="40"/>
        <v>1754041</v>
      </c>
      <c r="DI50" s="272">
        <f t="shared" si="40"/>
        <v>55636841</v>
      </c>
      <c r="DJ50" s="272">
        <f t="shared" si="40"/>
        <v>7862886</v>
      </c>
      <c r="DK50" s="272">
        <f t="shared" si="40"/>
        <v>2913421</v>
      </c>
      <c r="DL50" s="272">
        <f t="shared" si="40"/>
        <v>44860534</v>
      </c>
      <c r="DM50" s="272">
        <f t="shared" si="40"/>
        <v>2030093</v>
      </c>
      <c r="DN50" s="272">
        <f t="shared" si="40"/>
        <v>1811625</v>
      </c>
      <c r="DO50" s="272">
        <f t="shared" si="40"/>
        <v>727507</v>
      </c>
      <c r="DP50" s="272">
        <f t="shared" si="40"/>
        <v>1084118</v>
      </c>
      <c r="DQ50" s="272">
        <f t="shared" si="40"/>
        <v>31845249</v>
      </c>
      <c r="DR50" s="272">
        <f t="shared" si="40"/>
        <v>832429</v>
      </c>
      <c r="DS50" s="272">
        <f t="shared" si="40"/>
        <v>815000</v>
      </c>
      <c r="DT50" s="272">
        <f t="shared" si="40"/>
        <v>159102383</v>
      </c>
      <c r="DU50" s="272">
        <f t="shared" si="40"/>
        <v>90225726</v>
      </c>
      <c r="DV50" s="455">
        <f t="shared" si="11"/>
        <v>32251</v>
      </c>
      <c r="DW50" s="272">
        <f>DW37+DW49</f>
        <v>32251</v>
      </c>
      <c r="DX50" s="272">
        <f>DX37+DX49</f>
        <v>0</v>
      </c>
      <c r="DY50" s="272">
        <f>DY37+DY49</f>
        <v>407460</v>
      </c>
      <c r="DZ50" s="272">
        <f>DZ37+DZ49</f>
        <v>43235724</v>
      </c>
      <c r="EA50" s="272">
        <f>EA37+EA49</f>
        <v>22687602</v>
      </c>
      <c r="EB50" s="272"/>
      <c r="EC50" s="272">
        <f>EC37+EC49</f>
        <v>1204404</v>
      </c>
      <c r="ED50" s="272">
        <f>ED37+ED49</f>
        <v>1759452798</v>
      </c>
      <c r="EE50" s="89"/>
      <c r="EF50" s="272">
        <f>EF37+EF49</f>
        <v>9253848</v>
      </c>
      <c r="EG50" s="272">
        <f>EG37+EG49</f>
        <v>8270794</v>
      </c>
      <c r="EH50" s="272">
        <f>EH37+EH49</f>
        <v>983054</v>
      </c>
      <c r="EI50" s="272">
        <f>EI37+EI49</f>
        <v>-2799521</v>
      </c>
      <c r="EJ50" s="272">
        <f>EJ37+EJ49</f>
        <v>532214</v>
      </c>
      <c r="EK50" s="89"/>
      <c r="EL50" s="272"/>
      <c r="EM50" s="272">
        <f>EM37+EM49</f>
        <v>5368702</v>
      </c>
      <c r="EN50" s="272">
        <f>EN37+EN49</f>
        <v>21065871</v>
      </c>
      <c r="EO50" s="272">
        <f>EO37+EO49</f>
        <v>8479504</v>
      </c>
      <c r="EP50" s="455">
        <f t="shared" si="12"/>
        <v>35305106</v>
      </c>
      <c r="EQ50" s="272">
        <f t="shared" ref="EQ50:EV50" si="41">EQ37+EQ49</f>
        <v>1145960244</v>
      </c>
      <c r="ER50" s="272">
        <f t="shared" si="41"/>
        <v>-73095170</v>
      </c>
      <c r="ES50" s="272">
        <f t="shared" si="41"/>
        <v>426229131</v>
      </c>
      <c r="ET50" s="272">
        <f t="shared" si="41"/>
        <v>305655161</v>
      </c>
      <c r="EU50" s="272">
        <f t="shared" si="41"/>
        <v>76523242</v>
      </c>
      <c r="EV50" s="272">
        <f t="shared" si="41"/>
        <v>166909181</v>
      </c>
      <c r="EW50" s="455">
        <f t="shared" si="13"/>
        <v>77548002</v>
      </c>
      <c r="EX50" s="272">
        <f>EX37+EX49</f>
        <v>76701807</v>
      </c>
      <c r="EY50" s="272">
        <f>EY37+EY49</f>
        <v>5388780</v>
      </c>
      <c r="EZ50" s="272">
        <f>EZ37+EZ49</f>
        <v>70688769</v>
      </c>
      <c r="FA50" s="272">
        <f>FA37+FA49</f>
        <v>846195</v>
      </c>
      <c r="FB50" s="272"/>
      <c r="FC50" s="272">
        <f>FC37+FC49</f>
        <v>160516027</v>
      </c>
      <c r="FD50" s="272">
        <f>FD37+FD49</f>
        <v>121742700</v>
      </c>
      <c r="FE50" s="272">
        <f>FE37+FE49</f>
        <v>42621913</v>
      </c>
      <c r="FF50" s="272">
        <f>FF37+FF49</f>
        <v>145370362</v>
      </c>
      <c r="FG50" s="455">
        <f t="shared" si="14"/>
        <v>35283966</v>
      </c>
      <c r="FH50" s="272">
        <f>FH37+FH49</f>
        <v>1210122611</v>
      </c>
      <c r="FI50" s="384">
        <f t="shared" si="15"/>
        <v>0.1</v>
      </c>
      <c r="FJ50" s="272">
        <f>FJ37+FJ49</f>
        <v>1050543314</v>
      </c>
      <c r="FK50" s="272">
        <f>FK37+FK49</f>
        <v>0</v>
      </c>
      <c r="FL50" s="272">
        <f>FL37+FL49</f>
        <v>676390712</v>
      </c>
      <c r="FM50" s="272">
        <f>FM37+FM49</f>
        <v>823083921</v>
      </c>
      <c r="FN50" s="468">
        <v>0.86399999999999999</v>
      </c>
      <c r="FO50" s="469">
        <v>95.7</v>
      </c>
      <c r="FP50" s="469">
        <v>38.700000000000003</v>
      </c>
      <c r="FQ50" s="469">
        <v>7.7</v>
      </c>
      <c r="FR50" s="469">
        <v>15.4</v>
      </c>
      <c r="FS50" s="469">
        <v>14.1</v>
      </c>
      <c r="FT50" s="469">
        <v>10.6</v>
      </c>
      <c r="FU50" s="469">
        <v>7.8</v>
      </c>
      <c r="FV50" s="469">
        <v>10.3</v>
      </c>
      <c r="FW50" s="272">
        <f>FW37+FW49</f>
        <v>1589147808</v>
      </c>
      <c r="FX50" s="384">
        <f t="shared" si="16"/>
        <v>151.30000000000001</v>
      </c>
      <c r="FY50" s="272">
        <f t="shared" ref="FY50:GD50" si="42">FY37+FY49</f>
        <v>382967188</v>
      </c>
      <c r="FZ50" s="272">
        <f t="shared" si="42"/>
        <v>91867600</v>
      </c>
      <c r="GA50" s="272">
        <f t="shared" si="42"/>
        <v>26573162</v>
      </c>
      <c r="GB50" s="272">
        <f t="shared" si="42"/>
        <v>264526426</v>
      </c>
      <c r="GC50" s="272">
        <f t="shared" si="42"/>
        <v>711371</v>
      </c>
      <c r="GD50" s="272">
        <f t="shared" si="42"/>
        <v>428288180</v>
      </c>
      <c r="GE50" s="465">
        <f>ROUND(GD50/FJ53*100,1)</f>
        <v>41.9</v>
      </c>
      <c r="GF50" s="469">
        <v>97.5</v>
      </c>
      <c r="GG50" s="469">
        <v>20.3</v>
      </c>
      <c r="GH50" s="469">
        <v>91.6</v>
      </c>
      <c r="GI50" s="272">
        <f>GI37+GI49</f>
        <v>43361</v>
      </c>
    </row>
    <row r="51" spans="2:191" x14ac:dyDescent="0.15">
      <c r="C51" s="89"/>
      <c r="E51" s="89"/>
      <c r="F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U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I51" s="89"/>
      <c r="AJ51" s="89"/>
      <c r="AK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Q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K51" s="89"/>
      <c r="CL51" s="89"/>
      <c r="CM51" s="89"/>
      <c r="CN51" s="89"/>
      <c r="CO51" s="89"/>
      <c r="CP51" s="89"/>
      <c r="CQ51" s="89"/>
      <c r="CR51" s="89"/>
      <c r="CS51" s="89"/>
      <c r="CU51" s="89"/>
      <c r="CV51" s="89"/>
      <c r="CX51" s="89"/>
      <c r="CY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W51" s="89"/>
      <c r="DX51" s="89"/>
      <c r="DY51" s="89"/>
      <c r="DZ51" s="89"/>
      <c r="EA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GE51" s="31" t="s">
        <v>647</v>
      </c>
    </row>
    <row r="52" spans="2:191" x14ac:dyDescent="0.15">
      <c r="U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Q52" s="89"/>
      <c r="DW52" s="89"/>
      <c r="DX52" s="89"/>
      <c r="DY52" s="89"/>
      <c r="DZ52" s="89"/>
      <c r="EA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FJ52" s="394">
        <f>FJ42+FJ43+FJ45+FJ46+FJ48</f>
        <v>28130130</v>
      </c>
      <c r="FO52" s="33"/>
      <c r="FP52" s="89" t="s">
        <v>816</v>
      </c>
    </row>
    <row r="53" spans="2:191" x14ac:dyDescent="0.15">
      <c r="U53" s="89"/>
      <c r="BQ53" s="89"/>
      <c r="FJ53" s="394">
        <f>FJ37+FJ52</f>
        <v>1022942917</v>
      </c>
    </row>
    <row r="54" spans="2:191" x14ac:dyDescent="0.15">
      <c r="BQ54" s="89"/>
    </row>
    <row r="55" spans="2:191" x14ac:dyDescent="0.15">
      <c r="BQ55" s="89"/>
    </row>
    <row r="56" spans="2:191" x14ac:dyDescent="0.15">
      <c r="BQ56" s="89"/>
    </row>
  </sheetData>
  <phoneticPr fontId="3"/>
  <pageMargins left="0.75" right="0.75" top="1" bottom="1" header="0.51200000000000001" footer="0.51200000000000001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3">
    <tabColor indexed="15"/>
  </sheetPr>
  <dimension ref="A1:GI53"/>
  <sheetViews>
    <sheetView workbookViewId="0">
      <pane xSplit="2" ySplit="5" topLeftCell="FP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</cols>
  <sheetData>
    <row r="1" spans="2:191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191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830</v>
      </c>
      <c r="O2" s="28" t="s">
        <v>840</v>
      </c>
      <c r="P2" s="28" t="s">
        <v>831</v>
      </c>
      <c r="Q2" s="28" t="s">
        <v>832</v>
      </c>
      <c r="R2" s="28" t="s">
        <v>351</v>
      </c>
      <c r="S2" s="28"/>
      <c r="U2" s="28" t="s">
        <v>725</v>
      </c>
      <c r="V2" s="28"/>
      <c r="W2" s="28"/>
      <c r="X2" s="28" t="s">
        <v>354</v>
      </c>
      <c r="Y2" s="28" t="s">
        <v>355</v>
      </c>
      <c r="Z2" s="28" t="s">
        <v>664</v>
      </c>
      <c r="AA2" s="28" t="s">
        <v>356</v>
      </c>
      <c r="AB2" s="28"/>
      <c r="AC2" s="28" t="s">
        <v>653</v>
      </c>
      <c r="AD2" s="28" t="s">
        <v>358</v>
      </c>
      <c r="AE2" s="28" t="s">
        <v>359</v>
      </c>
      <c r="AF2" s="28" t="s">
        <v>360</v>
      </c>
      <c r="AG2" s="28" t="s">
        <v>361</v>
      </c>
      <c r="AI2" s="28" t="s">
        <v>362</v>
      </c>
      <c r="AJ2" s="28" t="s">
        <v>668</v>
      </c>
      <c r="AK2" s="28" t="s">
        <v>685</v>
      </c>
      <c r="AL2" s="29"/>
      <c r="AM2" s="28" t="s">
        <v>669</v>
      </c>
      <c r="AN2" s="28" t="s">
        <v>796</v>
      </c>
      <c r="AO2" s="28" t="s">
        <v>727</v>
      </c>
      <c r="AP2" s="28" t="s">
        <v>833</v>
      </c>
      <c r="AQ2" s="28" t="s">
        <v>797</v>
      </c>
      <c r="AR2" s="28" t="s">
        <v>368</v>
      </c>
      <c r="AS2" s="28" t="s">
        <v>374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846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 t="s">
        <v>849</v>
      </c>
      <c r="BR2" s="28" t="s">
        <v>847</v>
      </c>
      <c r="BS2" s="28"/>
      <c r="BT2" s="28" t="s">
        <v>850</v>
      </c>
      <c r="BU2" s="28" t="s">
        <v>806</v>
      </c>
      <c r="BW2" s="28" t="s">
        <v>402</v>
      </c>
      <c r="BX2" s="28" t="s">
        <v>403</v>
      </c>
      <c r="BY2" s="28" t="s">
        <v>786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836</v>
      </c>
      <c r="CM2" s="28" t="s">
        <v>837</v>
      </c>
      <c r="CN2" s="28" t="s">
        <v>838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820</v>
      </c>
      <c r="CV2" s="28" t="s">
        <v>821</v>
      </c>
      <c r="CX2" s="28" t="s">
        <v>426</v>
      </c>
      <c r="CY2" s="28" t="s">
        <v>812</v>
      </c>
      <c r="DA2" s="28" t="s">
        <v>822</v>
      </c>
      <c r="DB2" s="28" t="s">
        <v>823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824</v>
      </c>
      <c r="DW2" s="28" t="s">
        <v>449</v>
      </c>
      <c r="DX2" s="28" t="s">
        <v>448</v>
      </c>
      <c r="DY2" s="28" t="s">
        <v>451</v>
      </c>
      <c r="DZ2" s="28" t="s">
        <v>825</v>
      </c>
      <c r="EA2" s="28" t="s">
        <v>826</v>
      </c>
      <c r="EB2" s="28"/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191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827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191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203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191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828</v>
      </c>
      <c r="DX5" s="30" t="s">
        <v>829</v>
      </c>
      <c r="DY5" s="30"/>
      <c r="DZ5" s="30"/>
      <c r="EA5" s="30"/>
      <c r="EB5" s="30"/>
      <c r="EC5" s="30"/>
      <c r="ED5" s="3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191" x14ac:dyDescent="0.15">
      <c r="B6" s="89" t="s">
        <v>5</v>
      </c>
      <c r="C6" s="272">
        <v>27751806</v>
      </c>
      <c r="D6" s="455">
        <f t="shared" ref="D6:D50" si="0">E6+F6</f>
        <v>9421346</v>
      </c>
      <c r="E6" s="272">
        <v>179591</v>
      </c>
      <c r="F6" s="272">
        <v>9241755</v>
      </c>
      <c r="G6" s="455">
        <f t="shared" ref="G6:G50" si="1">H6+I6</f>
        <v>1917646</v>
      </c>
      <c r="H6" s="272">
        <v>423696</v>
      </c>
      <c r="I6" s="272">
        <v>1493950</v>
      </c>
      <c r="J6" s="272">
        <v>12077688</v>
      </c>
      <c r="K6" s="272">
        <v>6569569</v>
      </c>
      <c r="L6" s="272">
        <v>3870488</v>
      </c>
      <c r="M6" s="272">
        <v>1381167</v>
      </c>
      <c r="N6" s="272">
        <v>1332387</v>
      </c>
      <c r="O6" s="272">
        <v>2714627</v>
      </c>
      <c r="P6" s="272">
        <v>1900162</v>
      </c>
      <c r="Q6" s="272">
        <v>814465</v>
      </c>
      <c r="R6" s="272">
        <v>405725</v>
      </c>
      <c r="S6" s="272"/>
      <c r="T6" s="455">
        <f t="shared" ref="T6:T50" si="2">SUM(U6:AA6)</f>
        <v>2716324</v>
      </c>
      <c r="U6" s="272">
        <v>298255</v>
      </c>
      <c r="V6" s="272"/>
      <c r="W6" s="272"/>
      <c r="X6" s="272">
        <v>1863501</v>
      </c>
      <c r="Y6" s="272">
        <v>77762</v>
      </c>
      <c r="Z6" s="272">
        <v>26661</v>
      </c>
      <c r="AA6" s="272">
        <v>450145</v>
      </c>
      <c r="AB6" s="272"/>
      <c r="AC6" s="272">
        <v>7479536</v>
      </c>
      <c r="AD6" s="272">
        <v>7206827</v>
      </c>
      <c r="AE6" s="272">
        <v>272709</v>
      </c>
      <c r="AF6" s="272">
        <v>47709</v>
      </c>
      <c r="AG6" s="272">
        <v>395978</v>
      </c>
      <c r="AH6" s="455">
        <f t="shared" ref="AH6:AH50" si="3">AI6+AJ6</f>
        <v>1507312</v>
      </c>
      <c r="AI6" s="272">
        <v>1377789</v>
      </c>
      <c r="AJ6" s="272">
        <v>129523</v>
      </c>
      <c r="AK6" s="272">
        <v>7122768</v>
      </c>
      <c r="AL6" s="455">
        <f t="shared" ref="AL6:AL50" si="4">SUM(AM6:AP6)</f>
        <v>3534382</v>
      </c>
      <c r="AM6" s="272">
        <v>2558608</v>
      </c>
      <c r="AN6" s="272">
        <v>666159</v>
      </c>
      <c r="AO6" s="272">
        <v>0</v>
      </c>
      <c r="AP6" s="272">
        <v>309615</v>
      </c>
      <c r="AQ6" s="272">
        <v>1307930</v>
      </c>
      <c r="AR6" s="272">
        <v>0</v>
      </c>
      <c r="AS6" s="272">
        <v>0</v>
      </c>
      <c r="AT6" s="272">
        <v>4263928</v>
      </c>
      <c r="AU6" s="272">
        <v>2080098</v>
      </c>
      <c r="AV6" s="272">
        <v>330451</v>
      </c>
      <c r="AW6" s="272">
        <v>129009</v>
      </c>
      <c r="AX6" s="272">
        <v>2183830</v>
      </c>
      <c r="AY6" s="272">
        <v>445787</v>
      </c>
      <c r="AZ6" s="272">
        <v>183081</v>
      </c>
      <c r="BA6" s="272">
        <v>77419</v>
      </c>
      <c r="BB6" s="272">
        <v>119211</v>
      </c>
      <c r="BC6" s="272">
        <v>2638961</v>
      </c>
      <c r="BD6" s="272">
        <v>670000</v>
      </c>
      <c r="BE6" s="272">
        <v>777000</v>
      </c>
      <c r="BF6" s="272">
        <v>770754</v>
      </c>
      <c r="BG6" s="272">
        <v>302500</v>
      </c>
      <c r="BH6" s="272">
        <v>710069</v>
      </c>
      <c r="BI6" s="272">
        <v>239083</v>
      </c>
      <c r="BJ6" s="272">
        <v>738141</v>
      </c>
      <c r="BK6" s="272">
        <v>104341</v>
      </c>
      <c r="BL6" s="272">
        <v>0</v>
      </c>
      <c r="BM6" s="272">
        <v>273882</v>
      </c>
      <c r="BN6" s="272">
        <v>9269100</v>
      </c>
      <c r="BO6" s="455">
        <f t="shared" ref="BO6:BO50" si="5">BN6-BP6-BT6</f>
        <v>8127900</v>
      </c>
      <c r="BP6" s="455">
        <f t="shared" ref="BP6:BP50" si="6">BQ6+BR6+BS6</f>
        <v>1141200</v>
      </c>
      <c r="BQ6" s="272">
        <v>1141200</v>
      </c>
      <c r="BR6" s="272">
        <v>0</v>
      </c>
      <c r="BS6" s="272">
        <v>0</v>
      </c>
      <c r="BT6" s="272">
        <v>0</v>
      </c>
      <c r="BU6" s="272">
        <v>65349649</v>
      </c>
      <c r="BV6" s="272"/>
      <c r="BW6" s="272">
        <v>16678379</v>
      </c>
      <c r="BX6" s="272">
        <v>12452108</v>
      </c>
      <c r="BY6" s="272">
        <v>1035332</v>
      </c>
      <c r="BZ6" s="272">
        <v>459388</v>
      </c>
      <c r="CA6" s="272">
        <v>9830188</v>
      </c>
      <c r="CB6" s="272">
        <v>1413765</v>
      </c>
      <c r="CC6" s="272">
        <v>2635334</v>
      </c>
      <c r="CD6" s="272">
        <v>2136113</v>
      </c>
      <c r="CE6" s="272">
        <v>3431388</v>
      </c>
      <c r="CF6" s="272">
        <v>461</v>
      </c>
      <c r="CG6" s="272">
        <v>208537</v>
      </c>
      <c r="CH6" s="272">
        <v>6165527</v>
      </c>
      <c r="CI6" s="272">
        <v>3517270</v>
      </c>
      <c r="CJ6" s="455">
        <f t="shared" ref="CJ6:CJ50" si="7">CH6-CI6</f>
        <v>2648257</v>
      </c>
      <c r="CK6" s="272">
        <v>6023788</v>
      </c>
      <c r="CL6" s="272">
        <v>3222155</v>
      </c>
      <c r="CM6" s="272">
        <v>227994</v>
      </c>
      <c r="CN6" s="272">
        <v>1077223</v>
      </c>
      <c r="CO6" s="272">
        <v>244739</v>
      </c>
      <c r="CP6" s="272">
        <v>4919008</v>
      </c>
      <c r="CQ6" s="272">
        <v>1188803</v>
      </c>
      <c r="CR6" s="272">
        <v>932105</v>
      </c>
      <c r="CS6" s="272">
        <v>932105</v>
      </c>
      <c r="CT6" s="455">
        <f t="shared" ref="CT6:CT50" si="8">CU6+CV6</f>
        <v>1749622</v>
      </c>
      <c r="CU6" s="272">
        <v>1635030</v>
      </c>
      <c r="CV6" s="272">
        <v>114592</v>
      </c>
      <c r="CW6" s="455">
        <f t="shared" ref="CW6:CW50" si="9">CX6+CY6</f>
        <v>1691256</v>
      </c>
      <c r="CX6" s="272">
        <v>1603748</v>
      </c>
      <c r="CY6" s="272">
        <v>87508</v>
      </c>
      <c r="CZ6" s="455">
        <f t="shared" ref="CZ6:CZ50" si="10">DA6+DB6</f>
        <v>0</v>
      </c>
      <c r="DA6" s="272">
        <v>0</v>
      </c>
      <c r="DB6" s="272">
        <v>0</v>
      </c>
      <c r="DC6" s="272">
        <v>13283022</v>
      </c>
      <c r="DD6" s="272">
        <v>2626556</v>
      </c>
      <c r="DE6" s="272">
        <v>9723725</v>
      </c>
      <c r="DF6" s="272">
        <v>76047</v>
      </c>
      <c r="DG6" s="272">
        <v>856694</v>
      </c>
      <c r="DH6" s="272">
        <v>0</v>
      </c>
      <c r="DI6" s="272">
        <v>157988</v>
      </c>
      <c r="DJ6" s="272">
        <v>15716</v>
      </c>
      <c r="DK6" s="272">
        <v>18089</v>
      </c>
      <c r="DL6" s="272">
        <v>124183</v>
      </c>
      <c r="DM6" s="272">
        <v>122200</v>
      </c>
      <c r="DN6" s="272">
        <v>122200</v>
      </c>
      <c r="DO6" s="272">
        <v>122200</v>
      </c>
      <c r="DP6" s="272">
        <v>0</v>
      </c>
      <c r="DQ6" s="272">
        <v>103000</v>
      </c>
      <c r="DR6" s="272">
        <v>0</v>
      </c>
      <c r="DS6" s="272">
        <v>0</v>
      </c>
      <c r="DT6" s="272">
        <v>6278500</v>
      </c>
      <c r="DU6" s="272">
        <v>3785011</v>
      </c>
      <c r="DV6" s="455">
        <f t="shared" ref="DV6:DV50" si="11">DW6+DX6</f>
        <v>0</v>
      </c>
      <c r="DW6" s="272">
        <v>0</v>
      </c>
      <c r="DX6" s="272">
        <v>0</v>
      </c>
      <c r="DY6" s="272">
        <v>0</v>
      </c>
      <c r="DZ6" s="272">
        <v>1370792</v>
      </c>
      <c r="EA6" s="272">
        <v>947527</v>
      </c>
      <c r="EB6" s="272"/>
      <c r="EC6" s="272">
        <v>0</v>
      </c>
      <c r="ED6" s="272">
        <v>63806339</v>
      </c>
      <c r="EF6" s="272">
        <v>1543310</v>
      </c>
      <c r="EG6" s="272">
        <v>1496547</v>
      </c>
      <c r="EH6" s="272">
        <v>46763</v>
      </c>
      <c r="EI6" s="272">
        <v>-192320</v>
      </c>
      <c r="EJ6" s="272">
        <v>-846604</v>
      </c>
      <c r="EL6" s="272"/>
      <c r="EM6" s="272">
        <v>198025</v>
      </c>
      <c r="EN6" s="272">
        <v>1868207</v>
      </c>
      <c r="EO6" s="272">
        <v>103989</v>
      </c>
      <c r="EP6" s="455">
        <f t="shared" ref="EP6:EP50" si="12">EQ6-ER6-C6-R6-T6-AB6-AC6-BP6-EN6-EO6</f>
        <v>1740564</v>
      </c>
      <c r="EQ6" s="272">
        <v>38401100</v>
      </c>
      <c r="ER6" s="272">
        <v>-4806251</v>
      </c>
      <c r="ES6" s="272">
        <v>14998300</v>
      </c>
      <c r="ET6" s="272">
        <v>10817899</v>
      </c>
      <c r="EU6" s="272">
        <v>3271553</v>
      </c>
      <c r="EV6" s="272">
        <v>6082422</v>
      </c>
      <c r="EW6" s="455">
        <f t="shared" ref="EW6:EW50" si="13">EX6+FA6+FB6</f>
        <v>2726650</v>
      </c>
      <c r="EX6" s="272">
        <v>2726650</v>
      </c>
      <c r="EY6" s="272">
        <v>164746</v>
      </c>
      <c r="EZ6" s="272">
        <v>2517157</v>
      </c>
      <c r="FA6" s="272">
        <v>0</v>
      </c>
      <c r="FB6" s="272"/>
      <c r="FC6" s="272">
        <v>4949328</v>
      </c>
      <c r="FD6" s="272">
        <v>4102382</v>
      </c>
      <c r="FE6" s="272">
        <v>1188803</v>
      </c>
      <c r="FF6" s="272">
        <v>6038844</v>
      </c>
      <c r="FG6" s="455">
        <f t="shared" ref="FG6:FG50" si="14">FH6-ES6-EU6-EV6-EW6-FC6-FD6-FF6</f>
        <v>294562</v>
      </c>
      <c r="FH6" s="272">
        <v>42464041</v>
      </c>
      <c r="FI6" s="384">
        <f t="shared" ref="FI6:FI50" si="15">ROUND(EH6/FJ6*100,1)</f>
        <v>0.1</v>
      </c>
      <c r="FJ6" s="272">
        <v>37827232</v>
      </c>
      <c r="FK6" s="272"/>
      <c r="FL6" s="272">
        <v>23080898</v>
      </c>
      <c r="FM6" s="272">
        <v>30308906</v>
      </c>
      <c r="FN6" s="460">
        <v>0.76300000000000001</v>
      </c>
      <c r="FO6" s="388">
        <v>99.8</v>
      </c>
      <c r="FP6" s="388">
        <v>40.9</v>
      </c>
      <c r="FQ6" s="388">
        <v>9.1999999999999993</v>
      </c>
      <c r="FR6" s="388">
        <v>16.399999999999999</v>
      </c>
      <c r="FS6" s="388">
        <v>12.4</v>
      </c>
      <c r="FT6" s="388">
        <v>9.5</v>
      </c>
      <c r="FU6" s="388">
        <v>10.9</v>
      </c>
      <c r="FV6" s="388">
        <v>10.8</v>
      </c>
      <c r="FW6" s="272">
        <v>75629693</v>
      </c>
      <c r="FX6" s="384">
        <f t="shared" ref="FX6:FX50" si="16">ROUND(FW6/FJ6*100,1)</f>
        <v>199.9</v>
      </c>
      <c r="FY6" s="272">
        <v>8386358</v>
      </c>
      <c r="FZ6" s="272">
        <v>1423771</v>
      </c>
      <c r="GA6" s="272">
        <v>1668938</v>
      </c>
      <c r="GB6" s="272">
        <v>5293649</v>
      </c>
      <c r="GC6" s="272"/>
      <c r="GD6" s="272">
        <v>25493019</v>
      </c>
      <c r="GE6" s="384">
        <f t="shared" ref="GE6:GE37" si="17">ROUND(GD6/FJ6*100,1)</f>
        <v>67.400000000000006</v>
      </c>
      <c r="GF6" s="388">
        <v>97.5</v>
      </c>
      <c r="GG6" s="388">
        <v>20.6</v>
      </c>
      <c r="GH6" s="388">
        <v>92.3</v>
      </c>
      <c r="GI6" s="272">
        <v>1641</v>
      </c>
    </row>
    <row r="7" spans="2:191" x14ac:dyDescent="0.15">
      <c r="B7" s="89" t="s">
        <v>7</v>
      </c>
      <c r="C7" s="272">
        <v>72550236</v>
      </c>
      <c r="D7" s="455">
        <f t="shared" si="0"/>
        <v>32317036</v>
      </c>
      <c r="E7" s="272">
        <v>378279</v>
      </c>
      <c r="F7" s="272">
        <v>31938757</v>
      </c>
      <c r="G7" s="455">
        <f t="shared" si="1"/>
        <v>5088706</v>
      </c>
      <c r="H7" s="272">
        <v>964241</v>
      </c>
      <c r="I7" s="272">
        <v>4124465</v>
      </c>
      <c r="J7" s="272">
        <v>24687785</v>
      </c>
      <c r="K7" s="272">
        <v>11597502</v>
      </c>
      <c r="L7" s="272">
        <v>9417769</v>
      </c>
      <c r="M7" s="272">
        <v>3157921</v>
      </c>
      <c r="N7" s="272">
        <v>3777305</v>
      </c>
      <c r="O7" s="272">
        <v>5407342</v>
      </c>
      <c r="P7" s="272">
        <v>3566711</v>
      </c>
      <c r="Q7" s="272">
        <v>1840631</v>
      </c>
      <c r="R7" s="272">
        <v>2737039</v>
      </c>
      <c r="S7" s="272"/>
      <c r="T7" s="455">
        <f t="shared" si="2"/>
        <v>5472223</v>
      </c>
      <c r="U7" s="272">
        <v>925073</v>
      </c>
      <c r="V7" s="272"/>
      <c r="W7" s="272"/>
      <c r="X7" s="272">
        <v>3669603</v>
      </c>
      <c r="Y7" s="272">
        <v>0</v>
      </c>
      <c r="Z7" s="272">
        <v>61750</v>
      </c>
      <c r="AA7" s="272">
        <v>815797</v>
      </c>
      <c r="AB7" s="272"/>
      <c r="AC7" s="272">
        <v>748813</v>
      </c>
      <c r="AD7" s="272">
        <v>0</v>
      </c>
      <c r="AE7" s="272">
        <v>748813</v>
      </c>
      <c r="AF7" s="272">
        <v>76204</v>
      </c>
      <c r="AG7" s="272">
        <v>1033949</v>
      </c>
      <c r="AH7" s="455">
        <f t="shared" si="3"/>
        <v>2495535</v>
      </c>
      <c r="AI7" s="272">
        <v>2273919</v>
      </c>
      <c r="AJ7" s="272">
        <v>221616</v>
      </c>
      <c r="AK7" s="272">
        <v>13165918</v>
      </c>
      <c r="AL7" s="455">
        <f t="shared" si="4"/>
        <v>6750988</v>
      </c>
      <c r="AM7" s="272">
        <v>5544721</v>
      </c>
      <c r="AN7" s="272">
        <v>601412</v>
      </c>
      <c r="AO7" s="272">
        <v>0</v>
      </c>
      <c r="AP7" s="272">
        <v>604855</v>
      </c>
      <c r="AQ7" s="272">
        <v>1975078</v>
      </c>
      <c r="AR7" s="272">
        <v>0</v>
      </c>
      <c r="AS7" s="272">
        <v>0</v>
      </c>
      <c r="AT7" s="272">
        <v>6477151</v>
      </c>
      <c r="AU7" s="272">
        <v>2099716</v>
      </c>
      <c r="AV7" s="272">
        <v>298354</v>
      </c>
      <c r="AW7" s="272">
        <v>78249</v>
      </c>
      <c r="AX7" s="272">
        <v>4377435</v>
      </c>
      <c r="AY7" s="272">
        <v>283529</v>
      </c>
      <c r="AZ7" s="272">
        <v>171052</v>
      </c>
      <c r="BA7" s="272">
        <v>22681</v>
      </c>
      <c r="BB7" s="272">
        <v>589716</v>
      </c>
      <c r="BC7" s="272">
        <v>6560066</v>
      </c>
      <c r="BD7" s="272">
        <v>2082941</v>
      </c>
      <c r="BE7" s="272">
        <v>0</v>
      </c>
      <c r="BF7" s="272">
        <v>4317041</v>
      </c>
      <c r="BG7" s="272">
        <v>0</v>
      </c>
      <c r="BH7" s="272">
        <v>1599336</v>
      </c>
      <c r="BI7" s="272">
        <v>882459</v>
      </c>
      <c r="BJ7" s="272">
        <v>6189092</v>
      </c>
      <c r="BK7" s="272">
        <v>5048728</v>
      </c>
      <c r="BL7" s="272">
        <v>0</v>
      </c>
      <c r="BM7" s="272">
        <v>85457</v>
      </c>
      <c r="BN7" s="272">
        <v>9482500</v>
      </c>
      <c r="BO7" s="455">
        <f t="shared" si="5"/>
        <v>6885800</v>
      </c>
      <c r="BP7" s="455">
        <f t="shared" si="6"/>
        <v>2596700</v>
      </c>
      <c r="BQ7" s="272">
        <v>2596700</v>
      </c>
      <c r="BR7" s="272">
        <v>0</v>
      </c>
      <c r="BS7" s="272">
        <v>0</v>
      </c>
      <c r="BT7" s="272">
        <v>0</v>
      </c>
      <c r="BU7" s="272">
        <v>129348830</v>
      </c>
      <c r="BV7" s="272"/>
      <c r="BW7" s="272">
        <v>37798746</v>
      </c>
      <c r="BX7" s="272">
        <v>28073412</v>
      </c>
      <c r="BY7" s="272">
        <v>2746748</v>
      </c>
      <c r="BZ7" s="272">
        <v>1372067</v>
      </c>
      <c r="CA7" s="272">
        <v>15587126</v>
      </c>
      <c r="CB7" s="272">
        <v>2012611</v>
      </c>
      <c r="CC7" s="272">
        <v>3842168</v>
      </c>
      <c r="CD7" s="272">
        <v>1800132</v>
      </c>
      <c r="CE7" s="272">
        <v>7490500</v>
      </c>
      <c r="CF7" s="272">
        <v>4</v>
      </c>
      <c r="CG7" s="272">
        <v>230829</v>
      </c>
      <c r="CH7" s="272">
        <v>11034759</v>
      </c>
      <c r="CI7" s="272">
        <v>6449554</v>
      </c>
      <c r="CJ7" s="455">
        <f t="shared" si="7"/>
        <v>4585205</v>
      </c>
      <c r="CK7" s="272">
        <v>15248925</v>
      </c>
      <c r="CL7" s="272">
        <v>8181584</v>
      </c>
      <c r="CM7" s="272">
        <v>491545</v>
      </c>
      <c r="CN7" s="272">
        <v>3654347</v>
      </c>
      <c r="CO7" s="272">
        <v>1504927</v>
      </c>
      <c r="CP7" s="272">
        <v>15463837</v>
      </c>
      <c r="CQ7" s="272">
        <v>3025705</v>
      </c>
      <c r="CR7" s="272">
        <v>4735643</v>
      </c>
      <c r="CS7" s="272">
        <v>3846006</v>
      </c>
      <c r="CT7" s="455">
        <f t="shared" si="8"/>
        <v>3662844</v>
      </c>
      <c r="CU7" s="272">
        <v>2845858</v>
      </c>
      <c r="CV7" s="272">
        <v>816986</v>
      </c>
      <c r="CW7" s="455">
        <f t="shared" si="9"/>
        <v>3008170</v>
      </c>
      <c r="CX7" s="272">
        <v>2823696</v>
      </c>
      <c r="CY7" s="272">
        <v>184474</v>
      </c>
      <c r="CZ7" s="455">
        <f t="shared" si="10"/>
        <v>0</v>
      </c>
      <c r="DA7" s="272">
        <v>0</v>
      </c>
      <c r="DB7" s="272">
        <v>0</v>
      </c>
      <c r="DC7" s="272">
        <v>15514359</v>
      </c>
      <c r="DD7" s="272">
        <v>4325958</v>
      </c>
      <c r="DE7" s="272">
        <v>10124155</v>
      </c>
      <c r="DF7" s="272">
        <v>837333</v>
      </c>
      <c r="DG7" s="272">
        <v>226913</v>
      </c>
      <c r="DH7" s="272">
        <v>0</v>
      </c>
      <c r="DI7" s="272">
        <v>297115</v>
      </c>
      <c r="DJ7" s="272">
        <v>32385</v>
      </c>
      <c r="DK7" s="272">
        <v>0</v>
      </c>
      <c r="DL7" s="272">
        <v>264730</v>
      </c>
      <c r="DM7" s="272">
        <v>68677</v>
      </c>
      <c r="DN7" s="272">
        <v>68677</v>
      </c>
      <c r="DO7" s="272">
        <v>53000</v>
      </c>
      <c r="DP7" s="272">
        <v>15677</v>
      </c>
      <c r="DQ7" s="272">
        <v>5029470</v>
      </c>
      <c r="DR7" s="272">
        <v>0</v>
      </c>
      <c r="DS7" s="272">
        <v>0</v>
      </c>
      <c r="DT7" s="272">
        <v>9875982</v>
      </c>
      <c r="DU7" s="272">
        <v>5256661</v>
      </c>
      <c r="DV7" s="455">
        <f t="shared" si="11"/>
        <v>0</v>
      </c>
      <c r="DW7" s="272">
        <v>0</v>
      </c>
      <c r="DX7" s="272">
        <v>0</v>
      </c>
      <c r="DY7" s="272">
        <v>0</v>
      </c>
      <c r="DZ7" s="272">
        <v>3254041</v>
      </c>
      <c r="EA7" s="272">
        <v>1334699</v>
      </c>
      <c r="EB7" s="272"/>
      <c r="EC7" s="272">
        <v>0</v>
      </c>
      <c r="ED7" s="272">
        <v>127423923</v>
      </c>
      <c r="EF7" s="272">
        <v>1924907</v>
      </c>
      <c r="EG7" s="272">
        <v>2143672</v>
      </c>
      <c r="EH7" s="272">
        <v>-218765</v>
      </c>
      <c r="EI7" s="272">
        <v>-1101224</v>
      </c>
      <c r="EJ7" s="272">
        <v>-3151780</v>
      </c>
      <c r="EL7" s="272"/>
      <c r="EM7" s="272">
        <v>389346</v>
      </c>
      <c r="EN7" s="272">
        <v>5508397</v>
      </c>
      <c r="EO7" s="272">
        <v>18262</v>
      </c>
      <c r="EP7" s="455">
        <f t="shared" si="12"/>
        <v>3073580</v>
      </c>
      <c r="EQ7" s="272">
        <v>81584515</v>
      </c>
      <c r="ER7" s="272">
        <v>-11120735</v>
      </c>
      <c r="ES7" s="272">
        <v>34967974</v>
      </c>
      <c r="ET7" s="272">
        <v>25381558</v>
      </c>
      <c r="EU7" s="272">
        <v>5257455</v>
      </c>
      <c r="EV7" s="272">
        <v>10759472</v>
      </c>
      <c r="EW7" s="455">
        <f t="shared" si="13"/>
        <v>5242569</v>
      </c>
      <c r="EX7" s="272">
        <v>5242569</v>
      </c>
      <c r="EY7" s="272">
        <v>579951</v>
      </c>
      <c r="EZ7" s="272">
        <v>4649085</v>
      </c>
      <c r="FA7" s="272">
        <v>0</v>
      </c>
      <c r="FB7" s="272"/>
      <c r="FC7" s="272">
        <v>11987064</v>
      </c>
      <c r="FD7" s="272">
        <v>12896734</v>
      </c>
      <c r="FE7" s="272">
        <v>3025705</v>
      </c>
      <c r="FF7" s="272">
        <v>9530033</v>
      </c>
      <c r="FG7" s="455">
        <f t="shared" si="14"/>
        <v>1139042</v>
      </c>
      <c r="FH7" s="272">
        <v>91780343</v>
      </c>
      <c r="FI7" s="384">
        <f t="shared" si="15"/>
        <v>-0.3</v>
      </c>
      <c r="FJ7" s="272">
        <v>79439687</v>
      </c>
      <c r="FK7" s="272"/>
      <c r="FL7" s="272">
        <v>60325343</v>
      </c>
      <c r="FM7" s="272">
        <v>57462566</v>
      </c>
      <c r="FN7" s="460">
        <v>1.054</v>
      </c>
      <c r="FO7" s="388">
        <v>105.1</v>
      </c>
      <c r="FP7" s="388">
        <v>45.2</v>
      </c>
      <c r="FQ7" s="388">
        <v>6.8</v>
      </c>
      <c r="FR7" s="388">
        <v>14.1</v>
      </c>
      <c r="FS7" s="388">
        <v>15.3</v>
      </c>
      <c r="FT7" s="388">
        <v>15.2</v>
      </c>
      <c r="FU7" s="388">
        <v>7</v>
      </c>
      <c r="FV7" s="388">
        <v>9.6999999999999993</v>
      </c>
      <c r="FW7" s="272">
        <v>113236075</v>
      </c>
      <c r="FX7" s="384">
        <f t="shared" si="16"/>
        <v>142.5</v>
      </c>
      <c r="FY7" s="272">
        <v>14700379</v>
      </c>
      <c r="FZ7" s="272">
        <v>1553693</v>
      </c>
      <c r="GA7" s="272"/>
      <c r="GB7" s="272">
        <v>13146686</v>
      </c>
      <c r="GC7" s="272"/>
      <c r="GD7" s="272">
        <v>50936540</v>
      </c>
      <c r="GE7" s="384">
        <f t="shared" si="17"/>
        <v>64.099999999999994</v>
      </c>
      <c r="GF7" s="388">
        <v>97.6</v>
      </c>
      <c r="GG7" s="388">
        <v>17.2</v>
      </c>
      <c r="GH7" s="388">
        <v>91.1</v>
      </c>
      <c r="GI7" s="272">
        <v>3598</v>
      </c>
    </row>
    <row r="8" spans="2:191" x14ac:dyDescent="0.15">
      <c r="B8" s="89" t="s">
        <v>9</v>
      </c>
      <c r="C8" s="272">
        <v>18087619</v>
      </c>
      <c r="D8" s="455">
        <f t="shared" si="0"/>
        <v>7597416</v>
      </c>
      <c r="E8" s="272">
        <v>98331</v>
      </c>
      <c r="F8" s="272">
        <v>7499085</v>
      </c>
      <c r="G8" s="455">
        <f t="shared" si="1"/>
        <v>1339505</v>
      </c>
      <c r="H8" s="272">
        <v>250004</v>
      </c>
      <c r="I8" s="272">
        <v>1089501</v>
      </c>
      <c r="J8" s="272">
        <v>6800906</v>
      </c>
      <c r="K8" s="272">
        <v>3533811</v>
      </c>
      <c r="L8" s="272">
        <v>2283011</v>
      </c>
      <c r="M8" s="272">
        <v>887292</v>
      </c>
      <c r="N8" s="272">
        <v>574259</v>
      </c>
      <c r="O8" s="272">
        <v>1711723</v>
      </c>
      <c r="P8" s="272">
        <v>1210411</v>
      </c>
      <c r="Q8" s="272">
        <v>501312</v>
      </c>
      <c r="R8" s="272">
        <v>269562</v>
      </c>
      <c r="S8" s="272"/>
      <c r="T8" s="455">
        <f t="shared" si="2"/>
        <v>1581243</v>
      </c>
      <c r="U8" s="272">
        <v>229313</v>
      </c>
      <c r="V8" s="272"/>
      <c r="W8" s="272"/>
      <c r="X8" s="272">
        <v>993595</v>
      </c>
      <c r="Y8" s="272">
        <v>113702</v>
      </c>
      <c r="Z8" s="272">
        <v>18230</v>
      </c>
      <c r="AA8" s="272">
        <v>226403</v>
      </c>
      <c r="AB8" s="272"/>
      <c r="AC8" s="272">
        <v>1156511</v>
      </c>
      <c r="AD8" s="272">
        <v>718859</v>
      </c>
      <c r="AE8" s="272">
        <v>437652</v>
      </c>
      <c r="AF8" s="272">
        <v>22825</v>
      </c>
      <c r="AG8" s="272">
        <v>252404</v>
      </c>
      <c r="AH8" s="455">
        <f t="shared" si="3"/>
        <v>844098</v>
      </c>
      <c r="AI8" s="272">
        <v>677929</v>
      </c>
      <c r="AJ8" s="272">
        <v>166169</v>
      </c>
      <c r="AK8" s="272">
        <v>2309892</v>
      </c>
      <c r="AL8" s="455">
        <f t="shared" si="4"/>
        <v>958551</v>
      </c>
      <c r="AM8" s="272">
        <v>551945</v>
      </c>
      <c r="AN8" s="272">
        <v>170506</v>
      </c>
      <c r="AO8" s="272">
        <v>0</v>
      </c>
      <c r="AP8" s="272">
        <v>236100</v>
      </c>
      <c r="AQ8" s="272">
        <v>377188</v>
      </c>
      <c r="AR8" s="272">
        <v>8727</v>
      </c>
      <c r="AS8" s="272">
        <v>0</v>
      </c>
      <c r="AT8" s="272">
        <v>1609036</v>
      </c>
      <c r="AU8" s="272">
        <v>488949</v>
      </c>
      <c r="AV8" s="272">
        <v>110449</v>
      </c>
      <c r="AW8" s="272">
        <v>1184</v>
      </c>
      <c r="AX8" s="272">
        <v>1120087</v>
      </c>
      <c r="AY8" s="272">
        <v>181202</v>
      </c>
      <c r="AZ8" s="272">
        <v>200237</v>
      </c>
      <c r="BA8" s="272">
        <v>159843</v>
      </c>
      <c r="BB8" s="272">
        <v>197974</v>
      </c>
      <c r="BC8" s="272">
        <v>1392746</v>
      </c>
      <c r="BD8" s="272">
        <v>600000</v>
      </c>
      <c r="BE8" s="272">
        <v>0</v>
      </c>
      <c r="BF8" s="272">
        <v>787058</v>
      </c>
      <c r="BG8" s="272">
        <v>0</v>
      </c>
      <c r="BH8" s="272">
        <v>9627</v>
      </c>
      <c r="BI8" s="272">
        <v>9260</v>
      </c>
      <c r="BJ8" s="272">
        <v>1953051</v>
      </c>
      <c r="BK8" s="272">
        <v>1621221</v>
      </c>
      <c r="BL8" s="272">
        <v>34796</v>
      </c>
      <c r="BM8" s="272">
        <v>62396</v>
      </c>
      <c r="BN8" s="272">
        <v>1351800</v>
      </c>
      <c r="BO8" s="455">
        <f t="shared" si="5"/>
        <v>677500</v>
      </c>
      <c r="BP8" s="455">
        <f t="shared" si="6"/>
        <v>674300</v>
      </c>
      <c r="BQ8" s="272">
        <v>674300</v>
      </c>
      <c r="BR8" s="272">
        <v>0</v>
      </c>
      <c r="BS8" s="272">
        <v>0</v>
      </c>
      <c r="BT8" s="272">
        <v>0</v>
      </c>
      <c r="BU8" s="272">
        <v>31238625</v>
      </c>
      <c r="BV8" s="272"/>
      <c r="BW8" s="272">
        <v>10472730</v>
      </c>
      <c r="BX8" s="272">
        <v>7880785</v>
      </c>
      <c r="BY8" s="272">
        <v>540253</v>
      </c>
      <c r="BZ8" s="272">
        <v>245692</v>
      </c>
      <c r="CA8" s="272">
        <v>2899742</v>
      </c>
      <c r="CB8" s="272">
        <v>515155</v>
      </c>
      <c r="CC8" s="272">
        <v>1021735</v>
      </c>
      <c r="CD8" s="272">
        <v>592995</v>
      </c>
      <c r="CE8" s="272">
        <v>736694</v>
      </c>
      <c r="CF8" s="272">
        <v>0</v>
      </c>
      <c r="CG8" s="272">
        <v>26483</v>
      </c>
      <c r="CH8" s="272">
        <v>3269800</v>
      </c>
      <c r="CI8" s="272">
        <v>2018215</v>
      </c>
      <c r="CJ8" s="455">
        <f t="shared" si="7"/>
        <v>1251585</v>
      </c>
      <c r="CK8" s="272">
        <v>4974467</v>
      </c>
      <c r="CL8" s="272">
        <v>3238982</v>
      </c>
      <c r="CM8" s="272">
        <v>249755</v>
      </c>
      <c r="CN8" s="272">
        <v>812680</v>
      </c>
      <c r="CO8" s="272">
        <v>370013</v>
      </c>
      <c r="CP8" s="272">
        <v>2575289</v>
      </c>
      <c r="CQ8" s="272">
        <v>0</v>
      </c>
      <c r="CR8" s="272">
        <v>797512</v>
      </c>
      <c r="CS8" s="272">
        <v>657101</v>
      </c>
      <c r="CT8" s="455">
        <f t="shared" si="8"/>
        <v>1166063</v>
      </c>
      <c r="CU8" s="272">
        <v>1034836</v>
      </c>
      <c r="CV8" s="272">
        <v>131227</v>
      </c>
      <c r="CW8" s="455">
        <f t="shared" si="9"/>
        <v>1104806</v>
      </c>
      <c r="CX8" s="272">
        <v>1030020</v>
      </c>
      <c r="CY8" s="272">
        <v>74786</v>
      </c>
      <c r="CZ8" s="455">
        <f t="shared" si="10"/>
        <v>0</v>
      </c>
      <c r="DA8" s="272">
        <v>0</v>
      </c>
      <c r="DB8" s="272">
        <v>0</v>
      </c>
      <c r="DC8" s="272">
        <v>2403792</v>
      </c>
      <c r="DD8" s="272">
        <v>927103</v>
      </c>
      <c r="DE8" s="272">
        <v>1431919</v>
      </c>
      <c r="DF8" s="272">
        <v>9974</v>
      </c>
      <c r="DG8" s="272">
        <v>34796</v>
      </c>
      <c r="DH8" s="272">
        <v>13447</v>
      </c>
      <c r="DI8" s="272">
        <v>77224</v>
      </c>
      <c r="DJ8" s="272">
        <v>8448</v>
      </c>
      <c r="DK8" s="272">
        <v>0</v>
      </c>
      <c r="DL8" s="272">
        <v>68776</v>
      </c>
      <c r="DM8" s="272">
        <v>94493</v>
      </c>
      <c r="DN8" s="272">
        <v>94493</v>
      </c>
      <c r="DO8" s="272">
        <v>49228</v>
      </c>
      <c r="DP8" s="272">
        <v>45265</v>
      </c>
      <c r="DQ8" s="272">
        <v>1535850</v>
      </c>
      <c r="DR8" s="272">
        <v>0</v>
      </c>
      <c r="DS8" s="272">
        <v>0</v>
      </c>
      <c r="DT8" s="272">
        <v>2546967</v>
      </c>
      <c r="DU8" s="272">
        <v>1372190</v>
      </c>
      <c r="DV8" s="455">
        <f t="shared" si="11"/>
        <v>0</v>
      </c>
      <c r="DW8" s="272">
        <v>0</v>
      </c>
      <c r="DX8" s="272">
        <v>0</v>
      </c>
      <c r="DY8" s="272">
        <v>9512</v>
      </c>
      <c r="DZ8" s="272">
        <v>763303</v>
      </c>
      <c r="EA8" s="272">
        <v>395907</v>
      </c>
      <c r="EB8" s="272"/>
      <c r="EC8" s="272">
        <v>0</v>
      </c>
      <c r="ED8" s="272">
        <v>31233814</v>
      </c>
      <c r="EF8" s="272">
        <v>4811</v>
      </c>
      <c r="EG8" s="272">
        <v>320511</v>
      </c>
      <c r="EH8" s="272">
        <v>-315700</v>
      </c>
      <c r="EI8" s="272">
        <v>-335960</v>
      </c>
      <c r="EJ8" s="272">
        <v>-927512</v>
      </c>
      <c r="EL8" s="272"/>
      <c r="EM8" s="272">
        <v>99978</v>
      </c>
      <c r="EN8" s="272">
        <v>605168</v>
      </c>
      <c r="EO8" s="272">
        <v>174500</v>
      </c>
      <c r="EP8" s="455">
        <f t="shared" si="12"/>
        <v>473533</v>
      </c>
      <c r="EQ8" s="272">
        <v>21117760</v>
      </c>
      <c r="ER8" s="272">
        <v>-1904676</v>
      </c>
      <c r="ES8" s="272">
        <v>9727640</v>
      </c>
      <c r="ET8" s="272">
        <v>7156810</v>
      </c>
      <c r="EU8" s="272">
        <v>1028404</v>
      </c>
      <c r="EV8" s="272">
        <v>3241147</v>
      </c>
      <c r="EW8" s="455">
        <f t="shared" si="13"/>
        <v>582394</v>
      </c>
      <c r="EX8" s="272">
        <v>577674</v>
      </c>
      <c r="EY8" s="272">
        <v>9273</v>
      </c>
      <c r="EZ8" s="272">
        <v>563414</v>
      </c>
      <c r="FA8" s="272">
        <v>4720</v>
      </c>
      <c r="FB8" s="272"/>
      <c r="FC8" s="272">
        <v>3822817</v>
      </c>
      <c r="FD8" s="272">
        <v>1979310</v>
      </c>
      <c r="FE8" s="272"/>
      <c r="FF8" s="272">
        <v>2438509</v>
      </c>
      <c r="FG8" s="455">
        <f t="shared" si="14"/>
        <v>450794</v>
      </c>
      <c r="FH8" s="272">
        <v>23271015</v>
      </c>
      <c r="FI8" s="384">
        <f t="shared" si="15"/>
        <v>-1.6</v>
      </c>
      <c r="FJ8" s="272">
        <v>20255641</v>
      </c>
      <c r="FK8" s="272"/>
      <c r="FL8" s="272">
        <v>14728389</v>
      </c>
      <c r="FM8" s="272">
        <v>15457628</v>
      </c>
      <c r="FN8" s="460">
        <v>0.95599999999999996</v>
      </c>
      <c r="FO8" s="388">
        <v>112</v>
      </c>
      <c r="FP8" s="388">
        <v>50.8</v>
      </c>
      <c r="FQ8" s="388">
        <v>5.4</v>
      </c>
      <c r="FR8" s="388">
        <v>16.899999999999999</v>
      </c>
      <c r="FS8" s="388">
        <v>18.8</v>
      </c>
      <c r="FT8" s="388">
        <v>9.3000000000000007</v>
      </c>
      <c r="FU8" s="388">
        <v>9.1</v>
      </c>
      <c r="FV8" s="388">
        <v>12.7</v>
      </c>
      <c r="FW8" s="272">
        <v>27812242</v>
      </c>
      <c r="FX8" s="384">
        <f t="shared" si="16"/>
        <v>137.30000000000001</v>
      </c>
      <c r="FY8" s="272">
        <v>3225218</v>
      </c>
      <c r="FZ8" s="272">
        <v>959142</v>
      </c>
      <c r="GA8" s="272"/>
      <c r="GB8" s="272">
        <v>2266076</v>
      </c>
      <c r="GC8" s="272"/>
      <c r="GD8" s="272">
        <v>13375210</v>
      </c>
      <c r="GE8" s="384">
        <f t="shared" si="17"/>
        <v>66</v>
      </c>
      <c r="GF8" s="388">
        <v>97.8</v>
      </c>
      <c r="GG8" s="388">
        <v>15.5</v>
      </c>
      <c r="GH8" s="388">
        <v>91.4</v>
      </c>
      <c r="GI8" s="272">
        <v>1039</v>
      </c>
    </row>
    <row r="9" spans="2:191" x14ac:dyDescent="0.15">
      <c r="B9" s="89" t="s">
        <v>11</v>
      </c>
      <c r="C9" s="272">
        <v>69725768</v>
      </c>
      <c r="D9" s="455">
        <f t="shared" si="0"/>
        <v>27532586</v>
      </c>
      <c r="E9" s="272">
        <v>334017</v>
      </c>
      <c r="F9" s="272">
        <v>27198569</v>
      </c>
      <c r="G9" s="455">
        <f t="shared" si="1"/>
        <v>6216943</v>
      </c>
      <c r="H9" s="272">
        <v>1021877</v>
      </c>
      <c r="I9" s="272">
        <v>5195066</v>
      </c>
      <c r="J9" s="272">
        <v>26138974</v>
      </c>
      <c r="K9" s="272">
        <v>12509465</v>
      </c>
      <c r="L9" s="272">
        <v>9639749</v>
      </c>
      <c r="M9" s="272">
        <v>3493496</v>
      </c>
      <c r="N9" s="272">
        <v>1872995</v>
      </c>
      <c r="O9" s="272">
        <v>6324410</v>
      </c>
      <c r="P9" s="272">
        <v>4089326</v>
      </c>
      <c r="Q9" s="272">
        <v>2235084</v>
      </c>
      <c r="R9" s="272">
        <v>630731</v>
      </c>
      <c r="S9" s="272"/>
      <c r="T9" s="455">
        <f t="shared" si="2"/>
        <v>4918836</v>
      </c>
      <c r="U9" s="272">
        <v>781691</v>
      </c>
      <c r="V9" s="272"/>
      <c r="W9" s="272"/>
      <c r="X9" s="272">
        <v>3372649</v>
      </c>
      <c r="Y9" s="272">
        <v>0</v>
      </c>
      <c r="Z9" s="272">
        <v>56918</v>
      </c>
      <c r="AA9" s="272">
        <v>707578</v>
      </c>
      <c r="AB9" s="272"/>
      <c r="AC9" s="272">
        <v>263921</v>
      </c>
      <c r="AD9" s="272">
        <v>0</v>
      </c>
      <c r="AE9" s="272">
        <v>263921</v>
      </c>
      <c r="AF9" s="272">
        <v>67818</v>
      </c>
      <c r="AG9" s="272">
        <v>1521047</v>
      </c>
      <c r="AH9" s="455">
        <f t="shared" si="3"/>
        <v>2706401</v>
      </c>
      <c r="AI9" s="272">
        <v>2295393</v>
      </c>
      <c r="AJ9" s="272">
        <v>411008</v>
      </c>
      <c r="AK9" s="272">
        <v>9022076</v>
      </c>
      <c r="AL9" s="455">
        <f t="shared" si="4"/>
        <v>5234820</v>
      </c>
      <c r="AM9" s="272">
        <v>3504490</v>
      </c>
      <c r="AN9" s="272">
        <v>1029828</v>
      </c>
      <c r="AO9" s="272">
        <v>0</v>
      </c>
      <c r="AP9" s="272">
        <v>700502</v>
      </c>
      <c r="AQ9" s="272">
        <v>653120</v>
      </c>
      <c r="AR9" s="272">
        <v>0</v>
      </c>
      <c r="AS9" s="272">
        <v>0</v>
      </c>
      <c r="AT9" s="272">
        <v>5305782</v>
      </c>
      <c r="AU9" s="272">
        <v>2111675</v>
      </c>
      <c r="AV9" s="272">
        <v>383998</v>
      </c>
      <c r="AW9" s="272">
        <v>373438</v>
      </c>
      <c r="AX9" s="272">
        <v>3194107</v>
      </c>
      <c r="AY9" s="272">
        <v>205820</v>
      </c>
      <c r="AZ9" s="272">
        <v>504088</v>
      </c>
      <c r="BA9" s="272">
        <v>172068</v>
      </c>
      <c r="BB9" s="272">
        <v>145011</v>
      </c>
      <c r="BC9" s="272">
        <v>2665236</v>
      </c>
      <c r="BD9" s="272">
        <v>350000</v>
      </c>
      <c r="BE9" s="272">
        <v>0</v>
      </c>
      <c r="BF9" s="272">
        <v>2222000</v>
      </c>
      <c r="BG9" s="272">
        <v>0</v>
      </c>
      <c r="BH9" s="272">
        <v>458293</v>
      </c>
      <c r="BI9" s="272">
        <v>404652</v>
      </c>
      <c r="BJ9" s="272">
        <v>2769899</v>
      </c>
      <c r="BK9" s="272">
        <v>1283132</v>
      </c>
      <c r="BL9" s="272">
        <v>710987</v>
      </c>
      <c r="BM9" s="272">
        <v>162620</v>
      </c>
      <c r="BN9" s="272">
        <v>4393500</v>
      </c>
      <c r="BO9" s="455">
        <f t="shared" si="5"/>
        <v>2193500</v>
      </c>
      <c r="BP9" s="455">
        <f t="shared" si="6"/>
        <v>2200000</v>
      </c>
      <c r="BQ9" s="272">
        <v>2200000</v>
      </c>
      <c r="BR9" s="272">
        <v>0</v>
      </c>
      <c r="BS9" s="272">
        <v>0</v>
      </c>
      <c r="BT9" s="272">
        <v>0</v>
      </c>
      <c r="BU9" s="272">
        <v>105098407</v>
      </c>
      <c r="BV9" s="272"/>
      <c r="BW9" s="272">
        <v>31723543</v>
      </c>
      <c r="BX9" s="272">
        <v>23609759</v>
      </c>
      <c r="BY9" s="272">
        <v>1750252</v>
      </c>
      <c r="BZ9" s="272">
        <v>1521263</v>
      </c>
      <c r="CA9" s="272">
        <v>14729762</v>
      </c>
      <c r="CB9" s="272">
        <v>1947171</v>
      </c>
      <c r="CC9" s="272">
        <v>4016435</v>
      </c>
      <c r="CD9" s="272">
        <v>3144675</v>
      </c>
      <c r="CE9" s="272">
        <v>4774064</v>
      </c>
      <c r="CF9" s="272">
        <v>517325</v>
      </c>
      <c r="CG9" s="272">
        <v>322682</v>
      </c>
      <c r="CH9" s="272">
        <v>8716948</v>
      </c>
      <c r="CI9" s="272">
        <v>5361863</v>
      </c>
      <c r="CJ9" s="455">
        <f t="shared" si="7"/>
        <v>3355085</v>
      </c>
      <c r="CK9" s="272">
        <v>15002485</v>
      </c>
      <c r="CL9" s="272">
        <v>9552225</v>
      </c>
      <c r="CM9" s="272">
        <v>362639</v>
      </c>
      <c r="CN9" s="272">
        <v>2958611</v>
      </c>
      <c r="CO9" s="272">
        <v>3457749</v>
      </c>
      <c r="CP9" s="272">
        <v>4465016</v>
      </c>
      <c r="CQ9" s="272">
        <v>1224</v>
      </c>
      <c r="CR9" s="272">
        <v>1903543</v>
      </c>
      <c r="CS9" s="272">
        <v>1829557</v>
      </c>
      <c r="CT9" s="455">
        <f t="shared" si="8"/>
        <v>1274555</v>
      </c>
      <c r="CU9" s="272">
        <v>919597</v>
      </c>
      <c r="CV9" s="272">
        <v>354958</v>
      </c>
      <c r="CW9" s="455">
        <f t="shared" si="9"/>
        <v>1195352</v>
      </c>
      <c r="CX9" s="272">
        <v>840394</v>
      </c>
      <c r="CY9" s="272">
        <v>354958</v>
      </c>
      <c r="CZ9" s="455">
        <f t="shared" si="10"/>
        <v>0</v>
      </c>
      <c r="DA9" s="272">
        <v>0</v>
      </c>
      <c r="DB9" s="272">
        <v>0</v>
      </c>
      <c r="DC9" s="272">
        <v>10405101</v>
      </c>
      <c r="DD9" s="272">
        <v>1831554</v>
      </c>
      <c r="DE9" s="272">
        <v>7617927</v>
      </c>
      <c r="DF9" s="272">
        <v>0</v>
      </c>
      <c r="DG9" s="272">
        <v>955620</v>
      </c>
      <c r="DH9" s="272">
        <v>10941</v>
      </c>
      <c r="DI9" s="272">
        <v>2440849</v>
      </c>
      <c r="DJ9" s="272">
        <v>248107</v>
      </c>
      <c r="DK9" s="272">
        <v>0</v>
      </c>
      <c r="DL9" s="272">
        <v>2192742</v>
      </c>
      <c r="DM9" s="272">
        <v>343660</v>
      </c>
      <c r="DN9" s="272">
        <v>334560</v>
      </c>
      <c r="DO9" s="272">
        <v>80100</v>
      </c>
      <c r="DP9" s="272">
        <v>254460</v>
      </c>
      <c r="DQ9" s="272">
        <v>1261528</v>
      </c>
      <c r="DR9" s="272">
        <v>0</v>
      </c>
      <c r="DS9" s="272">
        <v>0</v>
      </c>
      <c r="DT9" s="272">
        <v>10840243</v>
      </c>
      <c r="DU9" s="272">
        <v>5808390</v>
      </c>
      <c r="DV9" s="455">
        <f t="shared" si="11"/>
        <v>54054</v>
      </c>
      <c r="DW9" s="272">
        <v>54054</v>
      </c>
      <c r="DX9" s="272">
        <v>0</v>
      </c>
      <c r="DY9" s="272">
        <v>69600</v>
      </c>
      <c r="DZ9" s="272">
        <v>3532925</v>
      </c>
      <c r="EA9" s="272">
        <v>1222290</v>
      </c>
      <c r="EB9" s="272"/>
      <c r="EC9" s="272">
        <v>0</v>
      </c>
      <c r="ED9" s="272">
        <v>103397825</v>
      </c>
      <c r="EF9" s="272">
        <v>1700582</v>
      </c>
      <c r="EG9" s="272">
        <v>1365881</v>
      </c>
      <c r="EH9" s="272">
        <v>334701</v>
      </c>
      <c r="EI9" s="272">
        <v>-69951</v>
      </c>
      <c r="EJ9" s="272">
        <v>439285</v>
      </c>
      <c r="EL9" s="272"/>
      <c r="EM9" s="272">
        <v>338425</v>
      </c>
      <c r="EN9" s="272">
        <v>443236</v>
      </c>
      <c r="EO9" s="272">
        <v>192583</v>
      </c>
      <c r="EP9" s="455">
        <f t="shared" si="12"/>
        <v>1731391</v>
      </c>
      <c r="EQ9" s="272">
        <v>75607074</v>
      </c>
      <c r="ER9" s="272">
        <v>-4499392</v>
      </c>
      <c r="ES9" s="272">
        <v>29125549</v>
      </c>
      <c r="ET9" s="272">
        <v>21127160</v>
      </c>
      <c r="EU9" s="272">
        <v>5550033</v>
      </c>
      <c r="EV9" s="272">
        <v>8686309</v>
      </c>
      <c r="EW9" s="455">
        <f t="shared" si="13"/>
        <v>4986704</v>
      </c>
      <c r="EX9" s="272">
        <v>4982763</v>
      </c>
      <c r="EY9" s="272">
        <v>331858</v>
      </c>
      <c r="EZ9" s="272">
        <v>4649806</v>
      </c>
      <c r="FA9" s="272">
        <v>3941</v>
      </c>
      <c r="FB9" s="272"/>
      <c r="FC9" s="272">
        <v>12311923</v>
      </c>
      <c r="FD9" s="272">
        <v>3697008</v>
      </c>
      <c r="FE9" s="272">
        <v>1224</v>
      </c>
      <c r="FF9" s="272">
        <v>9512070</v>
      </c>
      <c r="FG9" s="455">
        <f t="shared" si="14"/>
        <v>5662293</v>
      </c>
      <c r="FH9" s="272">
        <v>79531889</v>
      </c>
      <c r="FI9" s="384">
        <f t="shared" si="15"/>
        <v>0.5</v>
      </c>
      <c r="FJ9" s="272">
        <v>71317457</v>
      </c>
      <c r="FK9" s="272"/>
      <c r="FL9" s="272">
        <v>53664799</v>
      </c>
      <c r="FM9" s="272">
        <v>47788597</v>
      </c>
      <c r="FN9" s="460">
        <v>1.1359999999999999</v>
      </c>
      <c r="FO9" s="388">
        <v>95</v>
      </c>
      <c r="FP9" s="388">
        <v>40.9</v>
      </c>
      <c r="FQ9" s="388">
        <v>8</v>
      </c>
      <c r="FR9" s="388">
        <v>11.6</v>
      </c>
      <c r="FS9" s="388">
        <v>16.899999999999999</v>
      </c>
      <c r="FT9" s="388">
        <v>4.2</v>
      </c>
      <c r="FU9" s="388">
        <v>8.8000000000000007</v>
      </c>
      <c r="FV9" s="388">
        <v>7.7</v>
      </c>
      <c r="FW9" s="272">
        <v>75663164</v>
      </c>
      <c r="FX9" s="384">
        <f t="shared" si="16"/>
        <v>106.1</v>
      </c>
      <c r="FY9" s="272">
        <v>37190108</v>
      </c>
      <c r="FZ9" s="272">
        <v>7411279</v>
      </c>
      <c r="GA9" s="272"/>
      <c r="GB9" s="272">
        <v>29778829</v>
      </c>
      <c r="GC9" s="272"/>
      <c r="GD9" s="272">
        <v>17956687</v>
      </c>
      <c r="GE9" s="384">
        <f t="shared" si="17"/>
        <v>25.2</v>
      </c>
      <c r="GF9" s="388">
        <v>98.4</v>
      </c>
      <c r="GG9" s="388">
        <v>16.399999999999999</v>
      </c>
      <c r="GH9" s="388">
        <v>93</v>
      </c>
      <c r="GI9" s="272">
        <v>2881</v>
      </c>
    </row>
    <row r="10" spans="2:191" x14ac:dyDescent="0.15">
      <c r="B10" s="89" t="s">
        <v>13</v>
      </c>
      <c r="C10" s="272">
        <v>11904506</v>
      </c>
      <c r="D10" s="455">
        <f t="shared" si="0"/>
        <v>3533488</v>
      </c>
      <c r="E10" s="272">
        <v>65668</v>
      </c>
      <c r="F10" s="272">
        <v>3467820</v>
      </c>
      <c r="G10" s="455">
        <f t="shared" si="1"/>
        <v>744595</v>
      </c>
      <c r="H10" s="272">
        <v>188569</v>
      </c>
      <c r="I10" s="272">
        <v>556026</v>
      </c>
      <c r="J10" s="272">
        <v>5782744</v>
      </c>
      <c r="K10" s="272">
        <v>2955613</v>
      </c>
      <c r="L10" s="272">
        <v>1722628</v>
      </c>
      <c r="M10" s="272">
        <v>710178</v>
      </c>
      <c r="N10" s="272">
        <v>488787</v>
      </c>
      <c r="O10" s="272">
        <v>1302633</v>
      </c>
      <c r="P10" s="272">
        <v>882650</v>
      </c>
      <c r="Q10" s="272">
        <v>419983</v>
      </c>
      <c r="R10" s="272">
        <v>211602</v>
      </c>
      <c r="S10" s="272"/>
      <c r="T10" s="455">
        <f t="shared" si="2"/>
        <v>1008211</v>
      </c>
      <c r="U10" s="272">
        <v>107068</v>
      </c>
      <c r="V10" s="272"/>
      <c r="W10" s="272"/>
      <c r="X10" s="272">
        <v>732842</v>
      </c>
      <c r="Y10" s="272">
        <v>0</v>
      </c>
      <c r="Z10" s="272">
        <v>12875</v>
      </c>
      <c r="AA10" s="272">
        <v>155426</v>
      </c>
      <c r="AB10" s="272"/>
      <c r="AC10" s="272">
        <v>2395283</v>
      </c>
      <c r="AD10" s="272">
        <v>2040222</v>
      </c>
      <c r="AE10" s="272">
        <v>355061</v>
      </c>
      <c r="AF10" s="272">
        <v>17332</v>
      </c>
      <c r="AG10" s="272">
        <v>186444</v>
      </c>
      <c r="AH10" s="455">
        <f t="shared" si="3"/>
        <v>388703</v>
      </c>
      <c r="AI10" s="272">
        <v>349051</v>
      </c>
      <c r="AJ10" s="272">
        <v>39652</v>
      </c>
      <c r="AK10" s="272">
        <v>2223582</v>
      </c>
      <c r="AL10" s="455">
        <f t="shared" si="4"/>
        <v>1234981</v>
      </c>
      <c r="AM10" s="272">
        <v>861553</v>
      </c>
      <c r="AN10" s="272">
        <v>192926</v>
      </c>
      <c r="AO10" s="272">
        <v>0</v>
      </c>
      <c r="AP10" s="272">
        <v>180502</v>
      </c>
      <c r="AQ10" s="272">
        <v>326094</v>
      </c>
      <c r="AR10" s="272">
        <v>0</v>
      </c>
      <c r="AS10" s="272">
        <v>0</v>
      </c>
      <c r="AT10" s="272">
        <v>3165759</v>
      </c>
      <c r="AU10" s="272">
        <v>1741164</v>
      </c>
      <c r="AV10" s="272">
        <v>95696</v>
      </c>
      <c r="AW10" s="272">
        <v>2362</v>
      </c>
      <c r="AX10" s="272">
        <v>1424595</v>
      </c>
      <c r="AY10" s="272">
        <v>774224</v>
      </c>
      <c r="AZ10" s="272">
        <v>434730</v>
      </c>
      <c r="BA10" s="272">
        <v>400815</v>
      </c>
      <c r="BB10" s="272">
        <v>118859</v>
      </c>
      <c r="BC10" s="272">
        <v>1186708</v>
      </c>
      <c r="BD10" s="272">
        <v>312000</v>
      </c>
      <c r="BE10" s="272">
        <v>100000</v>
      </c>
      <c r="BF10" s="272">
        <v>768013</v>
      </c>
      <c r="BG10" s="272">
        <v>0</v>
      </c>
      <c r="BH10" s="272">
        <v>136914</v>
      </c>
      <c r="BI10" s="272">
        <v>136551</v>
      </c>
      <c r="BJ10" s="272">
        <v>918486</v>
      </c>
      <c r="BK10" s="272">
        <v>717949</v>
      </c>
      <c r="BL10" s="272">
        <v>0</v>
      </c>
      <c r="BM10" s="272">
        <v>44020</v>
      </c>
      <c r="BN10" s="272">
        <v>2862500</v>
      </c>
      <c r="BO10" s="455">
        <f t="shared" si="5"/>
        <v>2440300</v>
      </c>
      <c r="BP10" s="455">
        <f t="shared" si="6"/>
        <v>422200</v>
      </c>
      <c r="BQ10" s="272">
        <v>422200</v>
      </c>
      <c r="BR10" s="272">
        <v>0</v>
      </c>
      <c r="BS10" s="272">
        <v>0</v>
      </c>
      <c r="BT10" s="272">
        <v>0</v>
      </c>
      <c r="BU10" s="272">
        <v>27159619</v>
      </c>
      <c r="BV10" s="272"/>
      <c r="BW10" s="272">
        <v>6923995</v>
      </c>
      <c r="BX10" s="272">
        <v>4979417</v>
      </c>
      <c r="BY10" s="272">
        <v>502652</v>
      </c>
      <c r="BZ10" s="272">
        <v>231118</v>
      </c>
      <c r="CA10" s="272">
        <v>3503473</v>
      </c>
      <c r="CB10" s="272">
        <v>517425</v>
      </c>
      <c r="CC10" s="272">
        <v>1108869</v>
      </c>
      <c r="CD10" s="272">
        <v>696506</v>
      </c>
      <c r="CE10" s="272">
        <v>1147408</v>
      </c>
      <c r="CF10" s="272">
        <v>0</v>
      </c>
      <c r="CG10" s="272">
        <v>33225</v>
      </c>
      <c r="CH10" s="272">
        <v>2381163</v>
      </c>
      <c r="CI10" s="272">
        <v>1343297</v>
      </c>
      <c r="CJ10" s="455">
        <f t="shared" si="7"/>
        <v>1037866</v>
      </c>
      <c r="CK10" s="272">
        <v>2179232</v>
      </c>
      <c r="CL10" s="272">
        <v>1102163</v>
      </c>
      <c r="CM10" s="272">
        <v>130674</v>
      </c>
      <c r="CN10" s="272">
        <v>458280</v>
      </c>
      <c r="CO10" s="272">
        <v>97837</v>
      </c>
      <c r="CP10" s="272">
        <v>2770022</v>
      </c>
      <c r="CQ10" s="272">
        <v>1194085</v>
      </c>
      <c r="CR10" s="272">
        <v>517090</v>
      </c>
      <c r="CS10" s="272">
        <v>464668</v>
      </c>
      <c r="CT10" s="455">
        <f t="shared" si="8"/>
        <v>564773</v>
      </c>
      <c r="CU10" s="272">
        <v>7724</v>
      </c>
      <c r="CV10" s="272">
        <v>557049</v>
      </c>
      <c r="CW10" s="455">
        <f t="shared" si="9"/>
        <v>553389</v>
      </c>
      <c r="CX10" s="272">
        <v>0</v>
      </c>
      <c r="CY10" s="272">
        <v>553389</v>
      </c>
      <c r="CZ10" s="455">
        <f t="shared" si="10"/>
        <v>0</v>
      </c>
      <c r="DA10" s="272">
        <v>0</v>
      </c>
      <c r="DB10" s="272">
        <v>0</v>
      </c>
      <c r="DC10" s="272">
        <v>6149678</v>
      </c>
      <c r="DD10" s="272">
        <v>736193</v>
      </c>
      <c r="DE10" s="272">
        <v>2882394</v>
      </c>
      <c r="DF10" s="272">
        <v>511601</v>
      </c>
      <c r="DG10" s="272">
        <v>2019490</v>
      </c>
      <c r="DH10" s="272">
        <v>0</v>
      </c>
      <c r="DI10" s="272">
        <v>138300</v>
      </c>
      <c r="DJ10" s="272">
        <v>3000</v>
      </c>
      <c r="DK10" s="272">
        <v>1100</v>
      </c>
      <c r="DL10" s="272">
        <v>134200</v>
      </c>
      <c r="DM10" s="272">
        <v>0</v>
      </c>
      <c r="DN10" s="272">
        <v>0</v>
      </c>
      <c r="DO10" s="272">
        <v>0</v>
      </c>
      <c r="DP10" s="272">
        <v>0</v>
      </c>
      <c r="DQ10" s="272">
        <v>717115</v>
      </c>
      <c r="DR10" s="272">
        <v>0</v>
      </c>
      <c r="DS10" s="272">
        <v>0</v>
      </c>
      <c r="DT10" s="272">
        <v>2506383</v>
      </c>
      <c r="DU10" s="272">
        <v>1755405</v>
      </c>
      <c r="DV10" s="455">
        <f t="shared" si="11"/>
        <v>0</v>
      </c>
      <c r="DW10" s="272">
        <v>0</v>
      </c>
      <c r="DX10" s="272">
        <v>0</v>
      </c>
      <c r="DY10" s="272">
        <v>33791</v>
      </c>
      <c r="DZ10" s="272">
        <v>322000</v>
      </c>
      <c r="EA10" s="272">
        <v>321021</v>
      </c>
      <c r="EB10" s="272"/>
      <c r="EC10" s="272">
        <v>0</v>
      </c>
      <c r="ED10" s="272">
        <v>27367198</v>
      </c>
      <c r="EF10" s="272">
        <v>-207579</v>
      </c>
      <c r="EG10" s="272">
        <v>145835</v>
      </c>
      <c r="EH10" s="272">
        <v>-353414</v>
      </c>
      <c r="EI10" s="272">
        <v>-489965</v>
      </c>
      <c r="EJ10" s="272">
        <v>-798965</v>
      </c>
      <c r="EL10" s="272"/>
      <c r="EM10" s="272">
        <v>73064</v>
      </c>
      <c r="EN10" s="272">
        <v>964695</v>
      </c>
      <c r="EO10" s="272">
        <v>51051</v>
      </c>
      <c r="EP10" s="455">
        <f t="shared" si="12"/>
        <v>423809</v>
      </c>
      <c r="EQ10" s="272">
        <v>15536934</v>
      </c>
      <c r="ER10" s="272">
        <v>-1844423</v>
      </c>
      <c r="ES10" s="272">
        <v>6265353</v>
      </c>
      <c r="ET10" s="272">
        <v>4354554</v>
      </c>
      <c r="EU10" s="272">
        <v>1349824</v>
      </c>
      <c r="EV10" s="272">
        <v>2358101</v>
      </c>
      <c r="EW10" s="455">
        <f t="shared" si="13"/>
        <v>867728</v>
      </c>
      <c r="EX10" s="272">
        <v>867728</v>
      </c>
      <c r="EY10" s="272">
        <v>23136</v>
      </c>
      <c r="EZ10" s="272">
        <v>844311</v>
      </c>
      <c r="FA10" s="272">
        <v>0</v>
      </c>
      <c r="FB10" s="272"/>
      <c r="FC10" s="272">
        <v>1966746</v>
      </c>
      <c r="FD10" s="272">
        <v>2314839</v>
      </c>
      <c r="FE10" s="272">
        <v>1194085</v>
      </c>
      <c r="FF10" s="272">
        <v>2411034</v>
      </c>
      <c r="FG10" s="455">
        <f t="shared" si="14"/>
        <v>194753</v>
      </c>
      <c r="FH10" s="272">
        <v>17728378</v>
      </c>
      <c r="FI10" s="384">
        <f t="shared" si="15"/>
        <v>-2.4</v>
      </c>
      <c r="FJ10" s="272">
        <v>14748684</v>
      </c>
      <c r="FK10" s="272"/>
      <c r="FL10" s="272">
        <v>9586704</v>
      </c>
      <c r="FM10" s="272">
        <v>11634273</v>
      </c>
      <c r="FN10" s="460">
        <v>0.83</v>
      </c>
      <c r="FO10" s="388">
        <v>106.8</v>
      </c>
      <c r="FP10" s="388">
        <v>42.2</v>
      </c>
      <c r="FQ10" s="388">
        <v>9.6999999999999993</v>
      </c>
      <c r="FR10" s="388">
        <v>16.899999999999999</v>
      </c>
      <c r="FS10" s="388">
        <v>10</v>
      </c>
      <c r="FT10" s="388">
        <v>13.8</v>
      </c>
      <c r="FU10" s="388">
        <v>13.7</v>
      </c>
      <c r="FV10" s="388">
        <v>12.5</v>
      </c>
      <c r="FW10" s="272">
        <v>27501994</v>
      </c>
      <c r="FX10" s="384">
        <f t="shared" si="16"/>
        <v>186.5</v>
      </c>
      <c r="FY10" s="272">
        <v>868517</v>
      </c>
      <c r="FZ10" s="272">
        <v>15022</v>
      </c>
      <c r="GA10" s="272">
        <v>13200</v>
      </c>
      <c r="GB10" s="272">
        <v>840295</v>
      </c>
      <c r="GC10" s="272"/>
      <c r="GD10" s="272">
        <v>8530578</v>
      </c>
      <c r="GE10" s="384">
        <f t="shared" si="17"/>
        <v>57.8</v>
      </c>
      <c r="GF10" s="388">
        <v>97.4</v>
      </c>
      <c r="GG10" s="388">
        <v>15.9</v>
      </c>
      <c r="GH10" s="388">
        <v>91.3</v>
      </c>
      <c r="GI10" s="272">
        <v>627</v>
      </c>
    </row>
    <row r="11" spans="2:191" x14ac:dyDescent="0.15">
      <c r="B11" s="89" t="s">
        <v>15</v>
      </c>
      <c r="C11" s="272">
        <v>55464864</v>
      </c>
      <c r="D11" s="455">
        <f t="shared" si="0"/>
        <v>22127757</v>
      </c>
      <c r="E11" s="272">
        <v>354068</v>
      </c>
      <c r="F11" s="272">
        <v>21773689</v>
      </c>
      <c r="G11" s="455">
        <f t="shared" si="1"/>
        <v>3103586</v>
      </c>
      <c r="H11" s="272">
        <v>721592</v>
      </c>
      <c r="I11" s="272">
        <v>2381994</v>
      </c>
      <c r="J11" s="272">
        <v>21983610</v>
      </c>
      <c r="K11" s="272">
        <v>11155850</v>
      </c>
      <c r="L11" s="272">
        <v>7394400</v>
      </c>
      <c r="M11" s="272">
        <v>3238306</v>
      </c>
      <c r="N11" s="272">
        <v>1681058</v>
      </c>
      <c r="O11" s="272">
        <v>4976042</v>
      </c>
      <c r="P11" s="272">
        <v>3371710</v>
      </c>
      <c r="Q11" s="272">
        <v>1604332</v>
      </c>
      <c r="R11" s="272">
        <v>703621</v>
      </c>
      <c r="S11" s="272"/>
      <c r="T11" s="455">
        <f t="shared" si="2"/>
        <v>4919816</v>
      </c>
      <c r="U11" s="272">
        <v>689428</v>
      </c>
      <c r="V11" s="272"/>
      <c r="W11" s="272"/>
      <c r="X11" s="272">
        <v>3259701</v>
      </c>
      <c r="Y11" s="272">
        <v>134009</v>
      </c>
      <c r="Z11" s="272">
        <v>47523</v>
      </c>
      <c r="AA11" s="272">
        <v>789155</v>
      </c>
      <c r="AB11" s="272"/>
      <c r="AC11" s="272">
        <v>5748034</v>
      </c>
      <c r="AD11" s="272">
        <v>5334627</v>
      </c>
      <c r="AE11" s="272">
        <v>413407</v>
      </c>
      <c r="AF11" s="272">
        <v>81643</v>
      </c>
      <c r="AG11" s="272">
        <v>944999</v>
      </c>
      <c r="AH11" s="455">
        <f t="shared" si="3"/>
        <v>2409740</v>
      </c>
      <c r="AI11" s="272">
        <v>1606337</v>
      </c>
      <c r="AJ11" s="272">
        <v>803403</v>
      </c>
      <c r="AK11" s="272">
        <v>10379393</v>
      </c>
      <c r="AL11" s="455">
        <f t="shared" si="4"/>
        <v>4066080</v>
      </c>
      <c r="AM11" s="272">
        <v>2873976</v>
      </c>
      <c r="AN11" s="272">
        <v>720971</v>
      </c>
      <c r="AO11" s="272">
        <v>0</v>
      </c>
      <c r="AP11" s="272">
        <v>471133</v>
      </c>
      <c r="AQ11" s="272">
        <v>2694629</v>
      </c>
      <c r="AR11" s="272">
        <v>0</v>
      </c>
      <c r="AS11" s="272">
        <v>0</v>
      </c>
      <c r="AT11" s="272">
        <v>4655078</v>
      </c>
      <c r="AU11" s="272">
        <v>1624284</v>
      </c>
      <c r="AV11" s="272">
        <v>357599</v>
      </c>
      <c r="AW11" s="272">
        <v>161654</v>
      </c>
      <c r="AX11" s="272">
        <v>3030794</v>
      </c>
      <c r="AY11" s="272">
        <v>157241</v>
      </c>
      <c r="AZ11" s="272">
        <v>262445</v>
      </c>
      <c r="BA11" s="272">
        <v>143484</v>
      </c>
      <c r="BB11" s="272">
        <v>92746</v>
      </c>
      <c r="BC11" s="272">
        <v>800349</v>
      </c>
      <c r="BD11" s="272">
        <v>1058</v>
      </c>
      <c r="BE11" s="272">
        <v>709407</v>
      </c>
      <c r="BF11" s="272">
        <v>0</v>
      </c>
      <c r="BG11" s="272">
        <v>0</v>
      </c>
      <c r="BH11" s="272">
        <v>711294</v>
      </c>
      <c r="BI11" s="272">
        <v>361815</v>
      </c>
      <c r="BJ11" s="272">
        <v>3794184</v>
      </c>
      <c r="BK11" s="272">
        <v>3143236</v>
      </c>
      <c r="BL11" s="272">
        <v>0</v>
      </c>
      <c r="BM11" s="272">
        <v>166050</v>
      </c>
      <c r="BN11" s="272">
        <v>4102000</v>
      </c>
      <c r="BO11" s="455">
        <f t="shared" si="5"/>
        <v>2702000</v>
      </c>
      <c r="BP11" s="455">
        <f t="shared" si="6"/>
        <v>1400000</v>
      </c>
      <c r="BQ11" s="272">
        <v>1400000</v>
      </c>
      <c r="BR11" s="272">
        <v>0</v>
      </c>
      <c r="BS11" s="272">
        <v>0</v>
      </c>
      <c r="BT11" s="272">
        <v>0</v>
      </c>
      <c r="BU11" s="272">
        <v>95070206</v>
      </c>
      <c r="BV11" s="272"/>
      <c r="BW11" s="272">
        <v>26383041</v>
      </c>
      <c r="BX11" s="272">
        <v>19908912</v>
      </c>
      <c r="BY11" s="272">
        <v>1296064</v>
      </c>
      <c r="BZ11" s="272">
        <v>1025082</v>
      </c>
      <c r="CA11" s="272">
        <v>11016548</v>
      </c>
      <c r="CB11" s="272">
        <v>1689500</v>
      </c>
      <c r="CC11" s="272">
        <v>2833256</v>
      </c>
      <c r="CD11" s="272">
        <v>2420209</v>
      </c>
      <c r="CE11" s="272">
        <v>3889965</v>
      </c>
      <c r="CF11" s="272">
        <v>7534</v>
      </c>
      <c r="CG11" s="272">
        <v>174593</v>
      </c>
      <c r="CH11" s="272">
        <v>10774837</v>
      </c>
      <c r="CI11" s="272">
        <v>7425197</v>
      </c>
      <c r="CJ11" s="455">
        <f t="shared" si="7"/>
        <v>3349640</v>
      </c>
      <c r="CK11" s="272">
        <v>14068182</v>
      </c>
      <c r="CL11" s="272">
        <v>8782776</v>
      </c>
      <c r="CM11" s="272">
        <v>321458</v>
      </c>
      <c r="CN11" s="272">
        <v>3244028</v>
      </c>
      <c r="CO11" s="272">
        <v>1626806</v>
      </c>
      <c r="CP11" s="272">
        <v>4406615</v>
      </c>
      <c r="CQ11" s="272">
        <v>44034</v>
      </c>
      <c r="CR11" s="272">
        <v>3202057</v>
      </c>
      <c r="CS11" s="272">
        <v>3170550</v>
      </c>
      <c r="CT11" s="455">
        <f t="shared" si="8"/>
        <v>1103280</v>
      </c>
      <c r="CU11" s="272">
        <v>68574</v>
      </c>
      <c r="CV11" s="272">
        <v>1034706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12344959</v>
      </c>
      <c r="DD11" s="272">
        <v>5633115</v>
      </c>
      <c r="DE11" s="272">
        <v>6634511</v>
      </c>
      <c r="DF11" s="272">
        <v>77333</v>
      </c>
      <c r="DG11" s="272">
        <v>0</v>
      </c>
      <c r="DH11" s="272">
        <v>25</v>
      </c>
      <c r="DI11" s="272">
        <v>1447437</v>
      </c>
      <c r="DJ11" s="272">
        <v>274181</v>
      </c>
      <c r="DK11" s="272">
        <v>15759</v>
      </c>
      <c r="DL11" s="272">
        <v>1157497</v>
      </c>
      <c r="DM11" s="272">
        <v>1400</v>
      </c>
      <c r="DN11" s="272">
        <v>0</v>
      </c>
      <c r="DO11" s="272">
        <v>0</v>
      </c>
      <c r="DP11" s="272">
        <v>0</v>
      </c>
      <c r="DQ11" s="272">
        <v>3125427</v>
      </c>
      <c r="DR11" s="272">
        <v>0</v>
      </c>
      <c r="DS11" s="272">
        <v>0</v>
      </c>
      <c r="DT11" s="272">
        <v>7911949</v>
      </c>
      <c r="DU11" s="272">
        <v>4469811</v>
      </c>
      <c r="DV11" s="455">
        <f t="shared" si="11"/>
        <v>0</v>
      </c>
      <c r="DW11" s="272">
        <v>0</v>
      </c>
      <c r="DX11" s="272">
        <v>0</v>
      </c>
      <c r="DY11" s="272">
        <v>0</v>
      </c>
      <c r="DZ11" s="272">
        <v>2035637</v>
      </c>
      <c r="EA11" s="272">
        <v>1378941</v>
      </c>
      <c r="EB11" s="272"/>
      <c r="EC11" s="272">
        <v>0</v>
      </c>
      <c r="ED11" s="272">
        <v>93107226</v>
      </c>
      <c r="EF11" s="272">
        <v>1962980</v>
      </c>
      <c r="EG11" s="272">
        <v>1572039</v>
      </c>
      <c r="EH11" s="272">
        <v>390941</v>
      </c>
      <c r="EI11" s="272">
        <v>29126</v>
      </c>
      <c r="EJ11" s="272">
        <v>1011654</v>
      </c>
      <c r="EL11" s="272"/>
      <c r="EM11" s="272">
        <v>359003</v>
      </c>
      <c r="EN11" s="272">
        <v>719657</v>
      </c>
      <c r="EO11" s="272">
        <v>153840</v>
      </c>
      <c r="EP11" s="455">
        <f t="shared" si="12"/>
        <v>1400588</v>
      </c>
      <c r="EQ11" s="272">
        <v>66917978</v>
      </c>
      <c r="ER11" s="272">
        <v>-3592442</v>
      </c>
      <c r="ES11" s="272">
        <v>24346458</v>
      </c>
      <c r="ET11" s="272">
        <v>18019661</v>
      </c>
      <c r="EU11" s="272">
        <v>2961792</v>
      </c>
      <c r="EV11" s="272">
        <v>10443699</v>
      </c>
      <c r="EW11" s="455">
        <f t="shared" si="13"/>
        <v>6495582</v>
      </c>
      <c r="EX11" s="272">
        <v>6495557</v>
      </c>
      <c r="EY11" s="272">
        <v>930143</v>
      </c>
      <c r="EZ11" s="272">
        <v>5538845</v>
      </c>
      <c r="FA11" s="272">
        <v>25</v>
      </c>
      <c r="FB11" s="272"/>
      <c r="FC11" s="272">
        <v>11312180</v>
      </c>
      <c r="FD11" s="272">
        <v>4073877</v>
      </c>
      <c r="FE11" s="272">
        <v>44034</v>
      </c>
      <c r="FF11" s="272">
        <v>7318675</v>
      </c>
      <c r="FG11" s="455">
        <f t="shared" si="14"/>
        <v>2821797</v>
      </c>
      <c r="FH11" s="272">
        <v>69774060</v>
      </c>
      <c r="FI11" s="384">
        <f t="shared" si="15"/>
        <v>0.6</v>
      </c>
      <c r="FJ11" s="272">
        <v>64613343</v>
      </c>
      <c r="FK11" s="272"/>
      <c r="FL11" s="272">
        <v>44661130</v>
      </c>
      <c r="FM11" s="272">
        <v>50033977</v>
      </c>
      <c r="FN11" s="460">
        <v>0.91500000000000004</v>
      </c>
      <c r="FO11" s="388">
        <v>93.9</v>
      </c>
      <c r="FP11" s="388">
        <v>39</v>
      </c>
      <c r="FQ11" s="388">
        <v>4.8</v>
      </c>
      <c r="FR11" s="388">
        <v>15.7</v>
      </c>
      <c r="FS11" s="388">
        <v>17.8</v>
      </c>
      <c r="FT11" s="388">
        <v>6.2</v>
      </c>
      <c r="FU11" s="388">
        <v>7.8</v>
      </c>
      <c r="FV11" s="388">
        <v>9.6999999999999993</v>
      </c>
      <c r="FW11" s="272">
        <v>77454829</v>
      </c>
      <c r="FX11" s="384">
        <f t="shared" si="16"/>
        <v>119.9</v>
      </c>
      <c r="FY11" s="272">
        <v>23532433</v>
      </c>
      <c r="FZ11" s="272">
        <v>6068922</v>
      </c>
      <c r="GA11" s="272">
        <v>1545005</v>
      </c>
      <c r="GB11" s="272">
        <v>15918506</v>
      </c>
      <c r="GC11" s="272"/>
      <c r="GD11" s="272">
        <v>10434155</v>
      </c>
      <c r="GE11" s="384">
        <f t="shared" si="17"/>
        <v>16.100000000000001</v>
      </c>
      <c r="GF11" s="388">
        <v>98.3</v>
      </c>
      <c r="GG11" s="388">
        <v>27.6</v>
      </c>
      <c r="GH11" s="388">
        <v>95.5</v>
      </c>
      <c r="GI11" s="272">
        <v>2418</v>
      </c>
    </row>
    <row r="12" spans="2:191" x14ac:dyDescent="0.15">
      <c r="B12" s="89" t="s">
        <v>17</v>
      </c>
      <c r="C12" s="272">
        <v>11659936</v>
      </c>
      <c r="D12" s="455">
        <f t="shared" si="0"/>
        <v>3733656</v>
      </c>
      <c r="E12" s="272">
        <v>76510</v>
      </c>
      <c r="F12" s="272">
        <v>3657146</v>
      </c>
      <c r="G12" s="455">
        <f t="shared" si="1"/>
        <v>654307</v>
      </c>
      <c r="H12" s="272">
        <v>164260</v>
      </c>
      <c r="I12" s="272">
        <v>490047</v>
      </c>
      <c r="J12" s="272">
        <v>5252717</v>
      </c>
      <c r="K12" s="272">
        <v>2579497</v>
      </c>
      <c r="L12" s="272">
        <v>1845120</v>
      </c>
      <c r="M12" s="272">
        <v>703492</v>
      </c>
      <c r="N12" s="272">
        <v>689680</v>
      </c>
      <c r="O12" s="272">
        <v>1133501</v>
      </c>
      <c r="P12" s="272">
        <v>720472</v>
      </c>
      <c r="Q12" s="272">
        <v>413029</v>
      </c>
      <c r="R12" s="272">
        <v>179111</v>
      </c>
      <c r="S12" s="272"/>
      <c r="T12" s="455">
        <f t="shared" si="2"/>
        <v>1118980</v>
      </c>
      <c r="U12" s="272">
        <v>118837</v>
      </c>
      <c r="V12" s="272"/>
      <c r="W12" s="272"/>
      <c r="X12" s="272">
        <v>792747</v>
      </c>
      <c r="Y12" s="272">
        <v>0</v>
      </c>
      <c r="Z12" s="272">
        <v>6671</v>
      </c>
      <c r="AA12" s="272">
        <v>200725</v>
      </c>
      <c r="AB12" s="272"/>
      <c r="AC12" s="272">
        <v>4833382</v>
      </c>
      <c r="AD12" s="272">
        <v>4360459</v>
      </c>
      <c r="AE12" s="272">
        <v>472923</v>
      </c>
      <c r="AF12" s="272">
        <v>21626</v>
      </c>
      <c r="AG12" s="272">
        <v>265261</v>
      </c>
      <c r="AH12" s="455">
        <f t="shared" si="3"/>
        <v>621675</v>
      </c>
      <c r="AI12" s="272">
        <v>546482</v>
      </c>
      <c r="AJ12" s="272">
        <v>75193</v>
      </c>
      <c r="AK12" s="272">
        <v>2965159</v>
      </c>
      <c r="AL12" s="455">
        <f t="shared" si="4"/>
        <v>1580908</v>
      </c>
      <c r="AM12" s="272">
        <v>1087442</v>
      </c>
      <c r="AN12" s="272">
        <v>335859</v>
      </c>
      <c r="AO12" s="272">
        <v>0</v>
      </c>
      <c r="AP12" s="272">
        <v>157607</v>
      </c>
      <c r="AQ12" s="272">
        <v>791330</v>
      </c>
      <c r="AR12" s="272">
        <v>0</v>
      </c>
      <c r="AS12" s="272">
        <v>0</v>
      </c>
      <c r="AT12" s="272">
        <v>1776004</v>
      </c>
      <c r="AU12" s="272">
        <v>751029</v>
      </c>
      <c r="AV12" s="272">
        <v>159659</v>
      </c>
      <c r="AW12" s="272">
        <v>158290</v>
      </c>
      <c r="AX12" s="272">
        <v>1024975</v>
      </c>
      <c r="AY12" s="272">
        <v>161677</v>
      </c>
      <c r="AZ12" s="272">
        <v>59947</v>
      </c>
      <c r="BA12" s="272">
        <v>24832</v>
      </c>
      <c r="BB12" s="272">
        <v>183188</v>
      </c>
      <c r="BC12" s="272">
        <v>1013928</v>
      </c>
      <c r="BD12" s="272">
        <v>170000</v>
      </c>
      <c r="BE12" s="272">
        <v>500000</v>
      </c>
      <c r="BF12" s="272">
        <v>342638</v>
      </c>
      <c r="BG12" s="272">
        <v>0</v>
      </c>
      <c r="BH12" s="272">
        <v>18954</v>
      </c>
      <c r="BI12" s="272">
        <v>17862</v>
      </c>
      <c r="BJ12" s="272">
        <v>806907</v>
      </c>
      <c r="BK12" s="272">
        <v>10511</v>
      </c>
      <c r="BL12" s="272">
        <v>0</v>
      </c>
      <c r="BM12" s="272">
        <v>45258</v>
      </c>
      <c r="BN12" s="272">
        <v>1330300</v>
      </c>
      <c r="BO12" s="455">
        <f t="shared" si="5"/>
        <v>840100</v>
      </c>
      <c r="BP12" s="455">
        <f t="shared" si="6"/>
        <v>490200</v>
      </c>
      <c r="BQ12" s="272">
        <v>490200</v>
      </c>
      <c r="BR12" s="272">
        <v>0</v>
      </c>
      <c r="BS12" s="272">
        <v>0</v>
      </c>
      <c r="BT12" s="272">
        <v>0</v>
      </c>
      <c r="BU12" s="272">
        <v>26854358</v>
      </c>
      <c r="BV12" s="272"/>
      <c r="BW12" s="272">
        <v>7560238</v>
      </c>
      <c r="BX12" s="272">
        <v>5323719</v>
      </c>
      <c r="BY12" s="272">
        <v>526219</v>
      </c>
      <c r="BZ12" s="272">
        <v>416394</v>
      </c>
      <c r="CA12" s="272">
        <v>3973074</v>
      </c>
      <c r="CB12" s="272">
        <v>547911</v>
      </c>
      <c r="CC12" s="272">
        <v>915268</v>
      </c>
      <c r="CD12" s="272">
        <v>1022611</v>
      </c>
      <c r="CE12" s="272">
        <v>1449405</v>
      </c>
      <c r="CF12" s="272">
        <v>97</v>
      </c>
      <c r="CG12" s="272">
        <v>37782</v>
      </c>
      <c r="CH12" s="272">
        <v>4332487</v>
      </c>
      <c r="CI12" s="272">
        <v>2957444</v>
      </c>
      <c r="CJ12" s="455">
        <f t="shared" si="7"/>
        <v>1375043</v>
      </c>
      <c r="CK12" s="272">
        <v>2508227</v>
      </c>
      <c r="CL12" s="272">
        <v>1255368</v>
      </c>
      <c r="CM12" s="272">
        <v>169656</v>
      </c>
      <c r="CN12" s="272">
        <v>626244</v>
      </c>
      <c r="CO12" s="272">
        <v>131760</v>
      </c>
      <c r="CP12" s="272">
        <v>2763986</v>
      </c>
      <c r="CQ12" s="272">
        <v>618768</v>
      </c>
      <c r="CR12" s="272">
        <v>648197</v>
      </c>
      <c r="CS12" s="272">
        <v>483113</v>
      </c>
      <c r="CT12" s="455">
        <f t="shared" si="8"/>
        <v>1109152</v>
      </c>
      <c r="CU12" s="272">
        <v>1105830</v>
      </c>
      <c r="CV12" s="272">
        <v>3322</v>
      </c>
      <c r="CW12" s="455">
        <f t="shared" si="9"/>
        <v>1101141</v>
      </c>
      <c r="CX12" s="272">
        <v>1097819</v>
      </c>
      <c r="CY12" s="272">
        <v>3322</v>
      </c>
      <c r="CZ12" s="455">
        <f t="shared" si="10"/>
        <v>0</v>
      </c>
      <c r="DA12" s="272">
        <v>0</v>
      </c>
      <c r="DB12" s="272">
        <v>0</v>
      </c>
      <c r="DC12" s="272">
        <v>3029065</v>
      </c>
      <c r="DD12" s="272">
        <v>1736406</v>
      </c>
      <c r="DE12" s="272">
        <v>1248918</v>
      </c>
      <c r="DF12" s="272">
        <v>43741</v>
      </c>
      <c r="DG12" s="272">
        <v>0</v>
      </c>
      <c r="DH12" s="272">
        <v>0</v>
      </c>
      <c r="DI12" s="272">
        <v>245511</v>
      </c>
      <c r="DJ12" s="272">
        <v>2101</v>
      </c>
      <c r="DK12" s="272">
        <v>4785</v>
      </c>
      <c r="DL12" s="272">
        <v>238625</v>
      </c>
      <c r="DM12" s="272">
        <v>0</v>
      </c>
      <c r="DN12" s="272">
        <v>0</v>
      </c>
      <c r="DO12" s="272">
        <v>0</v>
      </c>
      <c r="DP12" s="272">
        <v>0</v>
      </c>
      <c r="DQ12" s="272">
        <v>10730</v>
      </c>
      <c r="DR12" s="272">
        <v>0</v>
      </c>
      <c r="DS12" s="272">
        <v>0</v>
      </c>
      <c r="DT12" s="272">
        <v>2213121</v>
      </c>
      <c r="DU12" s="272">
        <v>1282132</v>
      </c>
      <c r="DV12" s="455">
        <f t="shared" si="11"/>
        <v>0</v>
      </c>
      <c r="DW12" s="272">
        <v>0</v>
      </c>
      <c r="DX12" s="272">
        <v>0</v>
      </c>
      <c r="DY12" s="272">
        <v>0</v>
      </c>
      <c r="DZ12" s="272">
        <v>515729</v>
      </c>
      <c r="EA12" s="272">
        <v>400499</v>
      </c>
      <c r="EB12" s="272"/>
      <c r="EC12" s="272">
        <v>0</v>
      </c>
      <c r="ED12" s="272">
        <v>26768199</v>
      </c>
      <c r="EF12" s="272">
        <v>86159</v>
      </c>
      <c r="EG12" s="272">
        <v>73573</v>
      </c>
      <c r="EH12" s="272">
        <v>12586</v>
      </c>
      <c r="EI12" s="272">
        <v>-5276</v>
      </c>
      <c r="EJ12" s="272">
        <v>-26940</v>
      </c>
      <c r="EL12" s="272"/>
      <c r="EM12" s="272">
        <v>86424</v>
      </c>
      <c r="EN12" s="272">
        <v>670000</v>
      </c>
      <c r="EO12" s="272">
        <v>29632</v>
      </c>
      <c r="EP12" s="455">
        <f t="shared" si="12"/>
        <v>679596</v>
      </c>
      <c r="EQ12" s="272">
        <v>17813035</v>
      </c>
      <c r="ER12" s="272">
        <v>-1847802</v>
      </c>
      <c r="ES12" s="272">
        <v>6921294</v>
      </c>
      <c r="ET12" s="272">
        <v>4815414</v>
      </c>
      <c r="EU12" s="272">
        <v>1236783</v>
      </c>
      <c r="EV12" s="272">
        <v>4035983</v>
      </c>
      <c r="EW12" s="455">
        <f t="shared" si="13"/>
        <v>590236</v>
      </c>
      <c r="EX12" s="272">
        <v>590236</v>
      </c>
      <c r="EY12" s="272">
        <v>15244</v>
      </c>
      <c r="EZ12" s="272">
        <v>564400</v>
      </c>
      <c r="FA12" s="272">
        <v>0</v>
      </c>
      <c r="FB12" s="272"/>
      <c r="FC12" s="272">
        <v>2026187</v>
      </c>
      <c r="FD12" s="272">
        <v>2492124</v>
      </c>
      <c r="FE12" s="272">
        <v>618768</v>
      </c>
      <c r="FF12" s="272">
        <v>1981353</v>
      </c>
      <c r="FG12" s="455">
        <f t="shared" si="14"/>
        <v>290718</v>
      </c>
      <c r="FH12" s="272">
        <v>19574678</v>
      </c>
      <c r="FI12" s="384">
        <f t="shared" si="15"/>
        <v>0.1</v>
      </c>
      <c r="FJ12" s="272">
        <v>16852789</v>
      </c>
      <c r="FK12" s="272"/>
      <c r="FL12" s="272">
        <v>9420210</v>
      </c>
      <c r="FM12" s="272">
        <v>13786259</v>
      </c>
      <c r="FN12" s="460">
        <v>0.69799999999999995</v>
      </c>
      <c r="FO12" s="388">
        <v>105.4</v>
      </c>
      <c r="FP12" s="388">
        <v>40.299999999999997</v>
      </c>
      <c r="FQ12" s="388">
        <v>7.6</v>
      </c>
      <c r="FR12" s="388">
        <v>23.9</v>
      </c>
      <c r="FS12" s="388">
        <v>10.8</v>
      </c>
      <c r="FT12" s="388">
        <v>14.4</v>
      </c>
      <c r="FU12" s="388">
        <v>7.7</v>
      </c>
      <c r="FV12" s="388">
        <v>16.600000000000001</v>
      </c>
      <c r="FW12" s="272">
        <v>28104494</v>
      </c>
      <c r="FX12" s="384">
        <f t="shared" si="16"/>
        <v>166.8</v>
      </c>
      <c r="FY12" s="272">
        <v>2558629</v>
      </c>
      <c r="FZ12" s="272">
        <v>237542</v>
      </c>
      <c r="GA12" s="272">
        <v>488328</v>
      </c>
      <c r="GB12" s="272">
        <v>1832759</v>
      </c>
      <c r="GC12" s="272"/>
      <c r="GD12" s="272">
        <v>5688033</v>
      </c>
      <c r="GE12" s="384">
        <f t="shared" si="17"/>
        <v>33.799999999999997</v>
      </c>
      <c r="GF12" s="388">
        <v>96.8</v>
      </c>
      <c r="GG12" s="388">
        <v>18.100000000000001</v>
      </c>
      <c r="GH12" s="388">
        <v>89.9</v>
      </c>
      <c r="GI12" s="272">
        <v>678</v>
      </c>
    </row>
    <row r="13" spans="2:191" x14ac:dyDescent="0.15">
      <c r="B13" s="89" t="s">
        <v>19</v>
      </c>
      <c r="C13" s="272">
        <v>27312474</v>
      </c>
      <c r="D13" s="455">
        <f t="shared" si="0"/>
        <v>7338147</v>
      </c>
      <c r="E13" s="272">
        <v>148999</v>
      </c>
      <c r="F13" s="272">
        <v>7189148</v>
      </c>
      <c r="G13" s="455">
        <f t="shared" si="1"/>
        <v>3446036</v>
      </c>
      <c r="H13" s="272">
        <v>377398</v>
      </c>
      <c r="I13" s="272">
        <v>3068638</v>
      </c>
      <c r="J13" s="272">
        <v>11755388</v>
      </c>
      <c r="K13" s="272">
        <v>5599437</v>
      </c>
      <c r="L13" s="272">
        <v>3901630</v>
      </c>
      <c r="M13" s="272">
        <v>1917226</v>
      </c>
      <c r="N13" s="272">
        <v>1112256</v>
      </c>
      <c r="O13" s="272">
        <v>2589705</v>
      </c>
      <c r="P13" s="272">
        <v>1705757</v>
      </c>
      <c r="Q13" s="272">
        <v>883948</v>
      </c>
      <c r="R13" s="272">
        <v>276485</v>
      </c>
      <c r="S13" s="272"/>
      <c r="T13" s="455">
        <f t="shared" si="2"/>
        <v>2296061</v>
      </c>
      <c r="U13" s="272">
        <v>241949</v>
      </c>
      <c r="V13" s="272"/>
      <c r="W13" s="272"/>
      <c r="X13" s="272">
        <v>1718031</v>
      </c>
      <c r="Y13" s="272">
        <v>0</v>
      </c>
      <c r="Z13" s="272">
        <v>25996</v>
      </c>
      <c r="AA13" s="272">
        <v>310085</v>
      </c>
      <c r="AB13" s="272"/>
      <c r="AC13" s="272">
        <v>3129423</v>
      </c>
      <c r="AD13" s="272">
        <v>2582608</v>
      </c>
      <c r="AE13" s="272">
        <v>546815</v>
      </c>
      <c r="AF13" s="272">
        <v>34299</v>
      </c>
      <c r="AG13" s="272">
        <v>2471643</v>
      </c>
      <c r="AH13" s="455">
        <f t="shared" si="3"/>
        <v>942291</v>
      </c>
      <c r="AI13" s="272">
        <v>821092</v>
      </c>
      <c r="AJ13" s="272">
        <v>121199</v>
      </c>
      <c r="AK13" s="272">
        <v>5548023</v>
      </c>
      <c r="AL13" s="455">
        <f t="shared" si="4"/>
        <v>3751146</v>
      </c>
      <c r="AM13" s="272">
        <v>2827887</v>
      </c>
      <c r="AN13" s="272">
        <v>549950</v>
      </c>
      <c r="AO13" s="272">
        <v>0</v>
      </c>
      <c r="AP13" s="272">
        <v>373309</v>
      </c>
      <c r="AQ13" s="272">
        <v>316160</v>
      </c>
      <c r="AR13" s="272">
        <v>0</v>
      </c>
      <c r="AS13" s="272">
        <v>0</v>
      </c>
      <c r="AT13" s="272">
        <v>2397526</v>
      </c>
      <c r="AU13" s="272">
        <v>886199</v>
      </c>
      <c r="AV13" s="272">
        <v>206502</v>
      </c>
      <c r="AW13" s="272">
        <v>3184</v>
      </c>
      <c r="AX13" s="272">
        <v>1511327</v>
      </c>
      <c r="AY13" s="272">
        <v>118509</v>
      </c>
      <c r="AZ13" s="272">
        <v>109071</v>
      </c>
      <c r="BA13" s="272">
        <v>120</v>
      </c>
      <c r="BB13" s="272">
        <v>168439</v>
      </c>
      <c r="BC13" s="272">
        <v>401013</v>
      </c>
      <c r="BD13" s="272">
        <v>300000</v>
      </c>
      <c r="BE13" s="272">
        <v>100000</v>
      </c>
      <c r="BF13" s="272">
        <v>1013</v>
      </c>
      <c r="BG13" s="272">
        <v>0</v>
      </c>
      <c r="BH13" s="272">
        <v>42916</v>
      </c>
      <c r="BI13" s="272">
        <v>41200</v>
      </c>
      <c r="BJ13" s="272">
        <v>587341</v>
      </c>
      <c r="BK13" s="272">
        <v>97737</v>
      </c>
      <c r="BL13" s="272">
        <v>0</v>
      </c>
      <c r="BM13" s="272">
        <v>196563</v>
      </c>
      <c r="BN13" s="272">
        <v>2857600</v>
      </c>
      <c r="BO13" s="455">
        <f t="shared" si="5"/>
        <v>1965300</v>
      </c>
      <c r="BP13" s="455">
        <f t="shared" si="6"/>
        <v>892300</v>
      </c>
      <c r="BQ13" s="272">
        <v>892300</v>
      </c>
      <c r="BR13" s="272">
        <v>0</v>
      </c>
      <c r="BS13" s="272">
        <v>0</v>
      </c>
      <c r="BT13" s="272">
        <v>0</v>
      </c>
      <c r="BU13" s="272">
        <v>48574605</v>
      </c>
      <c r="BV13" s="272"/>
      <c r="BW13" s="272">
        <v>16287122</v>
      </c>
      <c r="BX13" s="272">
        <v>12102268</v>
      </c>
      <c r="BY13" s="272">
        <v>898000</v>
      </c>
      <c r="BZ13" s="272">
        <v>611940</v>
      </c>
      <c r="CA13" s="272">
        <v>9888946</v>
      </c>
      <c r="CB13" s="272">
        <v>815991</v>
      </c>
      <c r="CC13" s="272">
        <v>1809724</v>
      </c>
      <c r="CD13" s="272">
        <v>1044495</v>
      </c>
      <c r="CE13" s="272">
        <v>3815181</v>
      </c>
      <c r="CF13" s="272">
        <v>2276545</v>
      </c>
      <c r="CG13" s="272">
        <v>126113</v>
      </c>
      <c r="CH13" s="272">
        <v>5368764</v>
      </c>
      <c r="CI13" s="272">
        <v>3051323</v>
      </c>
      <c r="CJ13" s="455">
        <f t="shared" si="7"/>
        <v>2317441</v>
      </c>
      <c r="CK13" s="272">
        <v>4580822</v>
      </c>
      <c r="CL13" s="272">
        <v>2420364</v>
      </c>
      <c r="CM13" s="272">
        <v>275843</v>
      </c>
      <c r="CN13" s="272">
        <v>988313</v>
      </c>
      <c r="CO13" s="272">
        <v>296958</v>
      </c>
      <c r="CP13" s="272">
        <v>3750276</v>
      </c>
      <c r="CQ13" s="272">
        <v>2215640</v>
      </c>
      <c r="CR13" s="272">
        <v>678510</v>
      </c>
      <c r="CS13" s="272">
        <v>193792</v>
      </c>
      <c r="CT13" s="455">
        <f t="shared" si="8"/>
        <v>67644</v>
      </c>
      <c r="CU13" s="272">
        <v>67644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3115329</v>
      </c>
      <c r="DD13" s="272">
        <v>663908</v>
      </c>
      <c r="DE13" s="272">
        <v>2412274</v>
      </c>
      <c r="DF13" s="272">
        <v>39147</v>
      </c>
      <c r="DG13" s="272">
        <v>0</v>
      </c>
      <c r="DH13" s="272">
        <v>9</v>
      </c>
      <c r="DI13" s="272">
        <v>45663</v>
      </c>
      <c r="DJ13" s="272">
        <v>7204</v>
      </c>
      <c r="DK13" s="272">
        <v>1055</v>
      </c>
      <c r="DL13" s="272">
        <v>37404</v>
      </c>
      <c r="DM13" s="272">
        <v>215889</v>
      </c>
      <c r="DN13" s="272">
        <v>215889</v>
      </c>
      <c r="DO13" s="272">
        <v>215889</v>
      </c>
      <c r="DP13" s="272">
        <v>0</v>
      </c>
      <c r="DQ13" s="272">
        <v>80412</v>
      </c>
      <c r="DR13" s="272">
        <v>0</v>
      </c>
      <c r="DS13" s="272">
        <v>0</v>
      </c>
      <c r="DT13" s="272">
        <v>4392759</v>
      </c>
      <c r="DU13" s="272">
        <v>2589739</v>
      </c>
      <c r="DV13" s="455">
        <f t="shared" si="11"/>
        <v>0</v>
      </c>
      <c r="DW13" s="272">
        <v>0</v>
      </c>
      <c r="DX13" s="272">
        <v>0</v>
      </c>
      <c r="DY13" s="272">
        <v>0</v>
      </c>
      <c r="DZ13" s="272">
        <v>1082538</v>
      </c>
      <c r="EA13" s="272">
        <v>690098</v>
      </c>
      <c r="EB13" s="272"/>
      <c r="EC13" s="272">
        <v>0</v>
      </c>
      <c r="ED13" s="272">
        <v>48022949</v>
      </c>
      <c r="EF13" s="272">
        <v>551656</v>
      </c>
      <c r="EG13" s="272">
        <v>536131</v>
      </c>
      <c r="EH13" s="272">
        <v>15525</v>
      </c>
      <c r="EI13" s="272">
        <v>-65675</v>
      </c>
      <c r="EJ13" s="272">
        <v>-358471</v>
      </c>
      <c r="EL13" s="272"/>
      <c r="EM13" s="272">
        <v>152394</v>
      </c>
      <c r="EN13" s="272">
        <v>400000</v>
      </c>
      <c r="EO13" s="272">
        <v>74143</v>
      </c>
      <c r="EP13" s="455">
        <f t="shared" si="12"/>
        <v>642019</v>
      </c>
      <c r="EQ13" s="272">
        <v>33048742</v>
      </c>
      <c r="ER13" s="272">
        <v>-1974163</v>
      </c>
      <c r="ES13" s="272">
        <v>14790070</v>
      </c>
      <c r="ET13" s="272">
        <v>10989875</v>
      </c>
      <c r="EU13" s="272">
        <v>2546923</v>
      </c>
      <c r="EV13" s="272">
        <v>5245932</v>
      </c>
      <c r="EW13" s="455">
        <f t="shared" si="13"/>
        <v>913144</v>
      </c>
      <c r="EX13" s="272">
        <v>913135</v>
      </c>
      <c r="EY13" s="272">
        <v>9964</v>
      </c>
      <c r="EZ13" s="272">
        <v>903134</v>
      </c>
      <c r="FA13" s="272">
        <v>9</v>
      </c>
      <c r="FB13" s="272"/>
      <c r="FC13" s="272">
        <v>3595394</v>
      </c>
      <c r="FD13" s="272">
        <v>3539571</v>
      </c>
      <c r="FE13" s="272">
        <v>2215640</v>
      </c>
      <c r="FF13" s="272">
        <v>4068159</v>
      </c>
      <c r="FG13" s="455">
        <f t="shared" si="14"/>
        <v>292056</v>
      </c>
      <c r="FH13" s="272">
        <v>34991249</v>
      </c>
      <c r="FI13" s="384">
        <f t="shared" si="15"/>
        <v>0</v>
      </c>
      <c r="FJ13" s="272">
        <v>31444023</v>
      </c>
      <c r="FK13" s="272"/>
      <c r="FL13" s="272">
        <v>21724887</v>
      </c>
      <c r="FM13" s="272">
        <v>24319136</v>
      </c>
      <c r="FN13" s="460">
        <v>0.89500000000000002</v>
      </c>
      <c r="FO13" s="388">
        <v>106.6</v>
      </c>
      <c r="FP13" s="388">
        <v>48.5</v>
      </c>
      <c r="FQ13" s="388">
        <v>7.3</v>
      </c>
      <c r="FR13" s="388">
        <v>17.399999999999999</v>
      </c>
      <c r="FS13" s="388">
        <v>11</v>
      </c>
      <c r="FT13" s="388">
        <v>10.3</v>
      </c>
      <c r="FU13" s="388">
        <v>11.1</v>
      </c>
      <c r="FV13" s="388">
        <v>13.6</v>
      </c>
      <c r="FW13" s="272">
        <v>54379267</v>
      </c>
      <c r="FX13" s="384">
        <f t="shared" si="16"/>
        <v>172.9</v>
      </c>
      <c r="FY13" s="272">
        <v>3560251</v>
      </c>
      <c r="FZ13" s="272">
        <v>229388</v>
      </c>
      <c r="GA13" s="272">
        <v>52410</v>
      </c>
      <c r="GB13" s="272">
        <v>3278453</v>
      </c>
      <c r="GC13" s="272"/>
      <c r="GD13" s="272">
        <v>10868043</v>
      </c>
      <c r="GE13" s="384">
        <f t="shared" si="17"/>
        <v>34.6</v>
      </c>
      <c r="GF13" s="388">
        <v>97.3</v>
      </c>
      <c r="GG13" s="388">
        <v>17.5</v>
      </c>
      <c r="GH13" s="388">
        <v>90.1</v>
      </c>
      <c r="GI13" s="272">
        <v>1460</v>
      </c>
    </row>
    <row r="14" spans="2:191" x14ac:dyDescent="0.15">
      <c r="B14" s="89" t="s">
        <v>21</v>
      </c>
      <c r="C14" s="272">
        <v>62314777</v>
      </c>
      <c r="D14" s="455">
        <f t="shared" si="0"/>
        <v>26182673</v>
      </c>
      <c r="E14" s="272">
        <v>375043</v>
      </c>
      <c r="F14" s="272">
        <v>25807630</v>
      </c>
      <c r="G14" s="455">
        <f t="shared" si="1"/>
        <v>3116657</v>
      </c>
      <c r="H14" s="272">
        <v>603500</v>
      </c>
      <c r="I14" s="272">
        <v>2513157</v>
      </c>
      <c r="J14" s="272">
        <v>23665724</v>
      </c>
      <c r="K14" s="272">
        <v>12022543</v>
      </c>
      <c r="L14" s="272">
        <v>8472573</v>
      </c>
      <c r="M14" s="272">
        <v>2660081</v>
      </c>
      <c r="N14" s="272">
        <v>1950394</v>
      </c>
      <c r="O14" s="272">
        <v>5801644</v>
      </c>
      <c r="P14" s="272">
        <v>3891768</v>
      </c>
      <c r="Q14" s="272">
        <v>1909876</v>
      </c>
      <c r="R14" s="272">
        <v>711843</v>
      </c>
      <c r="S14" s="272"/>
      <c r="T14" s="455">
        <f t="shared" si="2"/>
        <v>5246224</v>
      </c>
      <c r="U14" s="272">
        <v>786773</v>
      </c>
      <c r="V14" s="272"/>
      <c r="W14" s="272"/>
      <c r="X14" s="272">
        <v>3458296</v>
      </c>
      <c r="Y14" s="272">
        <v>159887</v>
      </c>
      <c r="Z14" s="272">
        <v>42571</v>
      </c>
      <c r="AA14" s="272">
        <v>798697</v>
      </c>
      <c r="AB14" s="272"/>
      <c r="AC14" s="272">
        <v>4912161</v>
      </c>
      <c r="AD14" s="272">
        <v>4742759</v>
      </c>
      <c r="AE14" s="272">
        <v>169402</v>
      </c>
      <c r="AF14" s="272">
        <v>86155</v>
      </c>
      <c r="AG14" s="272">
        <v>1031261</v>
      </c>
      <c r="AH14" s="455">
        <f t="shared" si="3"/>
        <v>1980913</v>
      </c>
      <c r="AI14" s="272">
        <v>1602618</v>
      </c>
      <c r="AJ14" s="272">
        <v>378295</v>
      </c>
      <c r="AK14" s="272">
        <v>10606319</v>
      </c>
      <c r="AL14" s="455">
        <f t="shared" si="4"/>
        <v>5704832</v>
      </c>
      <c r="AM14" s="272">
        <v>3860439</v>
      </c>
      <c r="AN14" s="272">
        <v>1259964</v>
      </c>
      <c r="AO14" s="272">
        <v>0</v>
      </c>
      <c r="AP14" s="272">
        <v>584429</v>
      </c>
      <c r="AQ14" s="272">
        <v>756091</v>
      </c>
      <c r="AR14" s="272">
        <v>0</v>
      </c>
      <c r="AS14" s="272">
        <v>0</v>
      </c>
      <c r="AT14" s="272">
        <v>5257227</v>
      </c>
      <c r="AU14" s="272">
        <v>2320220</v>
      </c>
      <c r="AV14" s="272">
        <v>625088</v>
      </c>
      <c r="AW14" s="272">
        <v>6576</v>
      </c>
      <c r="AX14" s="272">
        <v>2937007</v>
      </c>
      <c r="AY14" s="272">
        <v>135248</v>
      </c>
      <c r="AZ14" s="272">
        <v>155705</v>
      </c>
      <c r="BA14" s="272">
        <v>38162</v>
      </c>
      <c r="BB14" s="272">
        <v>23389</v>
      </c>
      <c r="BC14" s="272">
        <v>1030238</v>
      </c>
      <c r="BD14" s="272">
        <v>0</v>
      </c>
      <c r="BE14" s="272">
        <v>604630</v>
      </c>
      <c r="BF14" s="272">
        <v>407003</v>
      </c>
      <c r="BG14" s="272">
        <v>0</v>
      </c>
      <c r="BH14" s="272">
        <v>0</v>
      </c>
      <c r="BI14" s="272">
        <v>0</v>
      </c>
      <c r="BJ14" s="272">
        <v>1646690</v>
      </c>
      <c r="BK14" s="272">
        <v>1000000</v>
      </c>
      <c r="BL14" s="272">
        <v>1963</v>
      </c>
      <c r="BM14" s="272">
        <v>85554</v>
      </c>
      <c r="BN14" s="272">
        <v>11377600</v>
      </c>
      <c r="BO14" s="455">
        <f t="shared" si="5"/>
        <v>8724400</v>
      </c>
      <c r="BP14" s="455">
        <f t="shared" si="6"/>
        <v>2653200</v>
      </c>
      <c r="BQ14" s="272">
        <v>2653200</v>
      </c>
      <c r="BR14" s="272">
        <v>0</v>
      </c>
      <c r="BS14" s="272">
        <v>0</v>
      </c>
      <c r="BT14" s="272">
        <v>0</v>
      </c>
      <c r="BU14" s="272">
        <v>106380502</v>
      </c>
      <c r="BV14" s="272"/>
      <c r="BW14" s="272">
        <v>31298647</v>
      </c>
      <c r="BX14" s="272">
        <v>22370217</v>
      </c>
      <c r="BY14" s="272">
        <v>2040177</v>
      </c>
      <c r="BZ14" s="272">
        <v>2259987</v>
      </c>
      <c r="CA14" s="272">
        <v>15086901</v>
      </c>
      <c r="CB14" s="272">
        <v>1872816</v>
      </c>
      <c r="CC14" s="272">
        <v>3318962</v>
      </c>
      <c r="CD14" s="272">
        <v>4233352</v>
      </c>
      <c r="CE14" s="272">
        <v>5406395</v>
      </c>
      <c r="CF14" s="272">
        <v>14860</v>
      </c>
      <c r="CG14" s="272">
        <v>237359</v>
      </c>
      <c r="CH14" s="272">
        <v>11798367</v>
      </c>
      <c r="CI14" s="272">
        <v>7001404</v>
      </c>
      <c r="CJ14" s="455">
        <f t="shared" si="7"/>
        <v>4796963</v>
      </c>
      <c r="CK14" s="272">
        <v>10563770</v>
      </c>
      <c r="CL14" s="272">
        <v>5834834</v>
      </c>
      <c r="CM14" s="272">
        <v>515187</v>
      </c>
      <c r="CN14" s="272">
        <v>2463006</v>
      </c>
      <c r="CO14" s="272">
        <v>1360150</v>
      </c>
      <c r="CP14" s="272">
        <v>10957294</v>
      </c>
      <c r="CQ14" s="272">
        <v>4829246</v>
      </c>
      <c r="CR14" s="272">
        <v>2146772</v>
      </c>
      <c r="CS14" s="272">
        <v>1902391</v>
      </c>
      <c r="CT14" s="455">
        <f t="shared" si="8"/>
        <v>1402912</v>
      </c>
      <c r="CU14" s="272">
        <v>1032885</v>
      </c>
      <c r="CV14" s="272">
        <v>370027</v>
      </c>
      <c r="CW14" s="455">
        <f t="shared" si="9"/>
        <v>969516</v>
      </c>
      <c r="CX14" s="272">
        <v>957112</v>
      </c>
      <c r="CY14" s="272">
        <v>12404</v>
      </c>
      <c r="CZ14" s="455">
        <f t="shared" si="10"/>
        <v>0</v>
      </c>
      <c r="DA14" s="272">
        <v>0</v>
      </c>
      <c r="DB14" s="272">
        <v>0</v>
      </c>
      <c r="DC14" s="272">
        <v>11569920</v>
      </c>
      <c r="DD14" s="272">
        <v>1270778</v>
      </c>
      <c r="DE14" s="272">
        <v>10129326</v>
      </c>
      <c r="DF14" s="272">
        <v>108322</v>
      </c>
      <c r="DG14" s="272">
        <v>61494</v>
      </c>
      <c r="DH14" s="272">
        <v>2041</v>
      </c>
      <c r="DI14" s="272">
        <v>105131</v>
      </c>
      <c r="DJ14" s="272">
        <v>0</v>
      </c>
      <c r="DK14" s="272">
        <v>26178</v>
      </c>
      <c r="DL14" s="272">
        <v>78953</v>
      </c>
      <c r="DM14" s="272">
        <v>1235700</v>
      </c>
      <c r="DN14" s="272">
        <v>1217700</v>
      </c>
      <c r="DO14" s="272">
        <v>1217700</v>
      </c>
      <c r="DP14" s="272">
        <v>0</v>
      </c>
      <c r="DQ14" s="272">
        <v>1000000</v>
      </c>
      <c r="DR14" s="272">
        <v>0</v>
      </c>
      <c r="DS14" s="272">
        <v>0</v>
      </c>
      <c r="DT14" s="272">
        <v>10144817</v>
      </c>
      <c r="DU14" s="272">
        <v>6415305</v>
      </c>
      <c r="DV14" s="455">
        <f t="shared" si="11"/>
        <v>0</v>
      </c>
      <c r="DW14" s="272">
        <v>0</v>
      </c>
      <c r="DX14" s="272">
        <v>0</v>
      </c>
      <c r="DY14" s="272">
        <v>0</v>
      </c>
      <c r="DZ14" s="272">
        <v>2317272</v>
      </c>
      <c r="EA14" s="272">
        <v>1368482</v>
      </c>
      <c r="EB14" s="272"/>
      <c r="EC14" s="272">
        <v>1008023</v>
      </c>
      <c r="ED14" s="272">
        <v>106130761</v>
      </c>
      <c r="EF14" s="272">
        <v>249741</v>
      </c>
      <c r="EG14" s="272">
        <v>2353161</v>
      </c>
      <c r="EH14" s="272">
        <v>-2103420</v>
      </c>
      <c r="EI14" s="272">
        <v>-352226</v>
      </c>
      <c r="EJ14" s="272">
        <v>-107940</v>
      </c>
      <c r="EL14" s="272"/>
      <c r="EM14" s="272">
        <v>402260</v>
      </c>
      <c r="EN14" s="272">
        <v>623235</v>
      </c>
      <c r="EO14" s="272">
        <v>55303</v>
      </c>
      <c r="EP14" s="455">
        <f t="shared" si="12"/>
        <v>956067</v>
      </c>
      <c r="EQ14" s="272">
        <v>73271160</v>
      </c>
      <c r="ER14" s="272">
        <v>-4201650</v>
      </c>
      <c r="ES14" s="272">
        <v>28787363</v>
      </c>
      <c r="ET14" s="272">
        <v>20047220</v>
      </c>
      <c r="EU14" s="272">
        <v>5099015</v>
      </c>
      <c r="EV14" s="272">
        <v>11792403</v>
      </c>
      <c r="EW14" s="455">
        <f t="shared" si="13"/>
        <v>3213655</v>
      </c>
      <c r="EX14" s="272">
        <v>3211614</v>
      </c>
      <c r="EY14" s="272">
        <v>18540</v>
      </c>
      <c r="EZ14" s="272">
        <v>3172618</v>
      </c>
      <c r="FA14" s="272">
        <v>2041</v>
      </c>
      <c r="FB14" s="272"/>
      <c r="FC14" s="272">
        <v>8164096</v>
      </c>
      <c r="FD14" s="272">
        <v>10111817</v>
      </c>
      <c r="FE14" s="272">
        <v>4829246</v>
      </c>
      <c r="FF14" s="272">
        <v>9615482</v>
      </c>
      <c r="FG14" s="455">
        <f t="shared" si="14"/>
        <v>2379145</v>
      </c>
      <c r="FH14" s="272">
        <v>79162976</v>
      </c>
      <c r="FI14" s="384">
        <f t="shared" si="15"/>
        <v>-2.9</v>
      </c>
      <c r="FJ14" s="272">
        <v>71871692</v>
      </c>
      <c r="FK14" s="272"/>
      <c r="FL14" s="272">
        <v>50555109</v>
      </c>
      <c r="FM14" s="272">
        <v>55332809</v>
      </c>
      <c r="FN14" s="460">
        <v>0.92500000000000004</v>
      </c>
      <c r="FO14" s="388">
        <v>99.1</v>
      </c>
      <c r="FP14" s="388">
        <v>41.5</v>
      </c>
      <c r="FQ14" s="388">
        <v>7.5</v>
      </c>
      <c r="FR14" s="388">
        <v>17.100000000000001</v>
      </c>
      <c r="FS14" s="388">
        <v>10.9</v>
      </c>
      <c r="FT14" s="388">
        <v>13.9</v>
      </c>
      <c r="FU14" s="388">
        <v>6.3</v>
      </c>
      <c r="FV14" s="388">
        <v>10.1</v>
      </c>
      <c r="FW14" s="272">
        <v>114966883</v>
      </c>
      <c r="FX14" s="384">
        <f t="shared" si="16"/>
        <v>160</v>
      </c>
      <c r="FY14" s="272">
        <v>13202570</v>
      </c>
      <c r="FZ14" s="272">
        <v>0</v>
      </c>
      <c r="GA14" s="272">
        <v>3508879</v>
      </c>
      <c r="GB14" s="272">
        <v>9693691</v>
      </c>
      <c r="GC14" s="272"/>
      <c r="GD14" s="272">
        <v>30186953</v>
      </c>
      <c r="GE14" s="384">
        <f t="shared" si="17"/>
        <v>42</v>
      </c>
      <c r="GF14" s="388">
        <v>97.2</v>
      </c>
      <c r="GG14" s="388">
        <v>16.2</v>
      </c>
      <c r="GH14" s="388">
        <v>90.2</v>
      </c>
      <c r="GI14" s="272">
        <v>2829</v>
      </c>
    </row>
    <row r="15" spans="2:191" x14ac:dyDescent="0.15">
      <c r="B15" s="89" t="s">
        <v>23</v>
      </c>
      <c r="C15" s="272">
        <v>48364879</v>
      </c>
      <c r="D15" s="455">
        <f t="shared" si="0"/>
        <v>17645873</v>
      </c>
      <c r="E15" s="272">
        <v>254309</v>
      </c>
      <c r="F15" s="272">
        <v>17391564</v>
      </c>
      <c r="G15" s="455">
        <f t="shared" si="1"/>
        <v>4362368</v>
      </c>
      <c r="H15" s="272">
        <v>664623</v>
      </c>
      <c r="I15" s="272">
        <v>3697745</v>
      </c>
      <c r="J15" s="272">
        <v>20062330</v>
      </c>
      <c r="K15" s="272">
        <v>10256067</v>
      </c>
      <c r="L15" s="272">
        <v>6631080</v>
      </c>
      <c r="M15" s="272">
        <v>2937836</v>
      </c>
      <c r="N15" s="272">
        <v>1429640</v>
      </c>
      <c r="O15" s="272">
        <v>4392877</v>
      </c>
      <c r="P15" s="272">
        <v>2925912</v>
      </c>
      <c r="Q15" s="272">
        <v>1466965</v>
      </c>
      <c r="R15" s="272">
        <v>516262</v>
      </c>
      <c r="S15" s="272"/>
      <c r="T15" s="455">
        <f t="shared" si="2"/>
        <v>3854012</v>
      </c>
      <c r="U15" s="272">
        <v>523199</v>
      </c>
      <c r="V15" s="272"/>
      <c r="W15" s="272"/>
      <c r="X15" s="272">
        <v>2562854</v>
      </c>
      <c r="Y15" s="272">
        <v>165322</v>
      </c>
      <c r="Z15" s="272">
        <v>23312</v>
      </c>
      <c r="AA15" s="272">
        <v>579325</v>
      </c>
      <c r="AB15" s="272"/>
      <c r="AC15" s="272">
        <v>265469</v>
      </c>
      <c r="AD15" s="272">
        <v>0</v>
      </c>
      <c r="AE15" s="272">
        <v>265469</v>
      </c>
      <c r="AF15" s="272">
        <v>58415</v>
      </c>
      <c r="AG15" s="272">
        <v>548232</v>
      </c>
      <c r="AH15" s="455">
        <f t="shared" si="3"/>
        <v>1909337</v>
      </c>
      <c r="AI15" s="272">
        <v>1613706</v>
      </c>
      <c r="AJ15" s="272">
        <v>295631</v>
      </c>
      <c r="AK15" s="272">
        <v>5746210</v>
      </c>
      <c r="AL15" s="455">
        <f t="shared" si="4"/>
        <v>2788297</v>
      </c>
      <c r="AM15" s="272">
        <v>1899862</v>
      </c>
      <c r="AN15" s="272">
        <v>587458</v>
      </c>
      <c r="AO15" s="272">
        <v>0</v>
      </c>
      <c r="AP15" s="272">
        <v>300977</v>
      </c>
      <c r="AQ15" s="272">
        <v>638616</v>
      </c>
      <c r="AR15" s="272">
        <v>5938</v>
      </c>
      <c r="AS15" s="272">
        <v>0</v>
      </c>
      <c r="AT15" s="272">
        <v>3692105</v>
      </c>
      <c r="AU15" s="272">
        <v>1358004</v>
      </c>
      <c r="AV15" s="272">
        <v>291427</v>
      </c>
      <c r="AW15" s="272">
        <v>80677</v>
      </c>
      <c r="AX15" s="272">
        <v>2334101</v>
      </c>
      <c r="AY15" s="272">
        <v>395292</v>
      </c>
      <c r="AZ15" s="272">
        <v>165202</v>
      </c>
      <c r="BA15" s="272">
        <v>15880</v>
      </c>
      <c r="BB15" s="272">
        <v>355201</v>
      </c>
      <c r="BC15" s="272">
        <v>1934898</v>
      </c>
      <c r="BD15" s="272">
        <v>0</v>
      </c>
      <c r="BE15" s="272">
        <v>0</v>
      </c>
      <c r="BF15" s="272">
        <v>1606900</v>
      </c>
      <c r="BG15" s="272">
        <v>0</v>
      </c>
      <c r="BH15" s="272">
        <v>1139007</v>
      </c>
      <c r="BI15" s="272">
        <v>595334</v>
      </c>
      <c r="BJ15" s="272">
        <v>2005311</v>
      </c>
      <c r="BK15" s="272">
        <v>308457</v>
      </c>
      <c r="BL15" s="272">
        <v>24439</v>
      </c>
      <c r="BM15" s="272">
        <v>147760</v>
      </c>
      <c r="BN15" s="272">
        <v>5172300</v>
      </c>
      <c r="BO15" s="455">
        <f t="shared" si="5"/>
        <v>3677300</v>
      </c>
      <c r="BP15" s="455">
        <f t="shared" si="6"/>
        <v>1495000</v>
      </c>
      <c r="BQ15" s="272">
        <v>1495000</v>
      </c>
      <c r="BR15" s="272">
        <v>0</v>
      </c>
      <c r="BS15" s="272">
        <v>0</v>
      </c>
      <c r="BT15" s="272">
        <v>0</v>
      </c>
      <c r="BU15" s="272">
        <v>75726840</v>
      </c>
      <c r="BV15" s="272"/>
      <c r="BW15" s="272">
        <v>19985604</v>
      </c>
      <c r="BX15" s="272">
        <v>14925100</v>
      </c>
      <c r="BY15" s="272">
        <v>1181525</v>
      </c>
      <c r="BZ15" s="272">
        <v>596564</v>
      </c>
      <c r="CA15" s="272">
        <v>7965062</v>
      </c>
      <c r="CB15" s="272">
        <v>1350706</v>
      </c>
      <c r="CC15" s="272">
        <v>1799938</v>
      </c>
      <c r="CD15" s="272">
        <v>2143767</v>
      </c>
      <c r="CE15" s="272">
        <v>2543251</v>
      </c>
      <c r="CF15" s="272">
        <v>0</v>
      </c>
      <c r="CG15" s="272">
        <v>125632</v>
      </c>
      <c r="CH15" s="272">
        <v>4991018</v>
      </c>
      <c r="CI15" s="272">
        <v>2905683</v>
      </c>
      <c r="CJ15" s="455">
        <f t="shared" si="7"/>
        <v>2085335</v>
      </c>
      <c r="CK15" s="272">
        <v>11979235</v>
      </c>
      <c r="CL15" s="272">
        <v>6742267</v>
      </c>
      <c r="CM15" s="272">
        <v>526609</v>
      </c>
      <c r="CN15" s="272">
        <v>2993330</v>
      </c>
      <c r="CO15" s="272">
        <v>1086080</v>
      </c>
      <c r="CP15" s="272">
        <v>2589302</v>
      </c>
      <c r="CQ15" s="272">
        <v>1584</v>
      </c>
      <c r="CR15" s="272">
        <v>1378084</v>
      </c>
      <c r="CS15" s="272">
        <v>861519</v>
      </c>
      <c r="CT15" s="455">
        <f t="shared" si="8"/>
        <v>46219</v>
      </c>
      <c r="CU15" s="272">
        <v>46219</v>
      </c>
      <c r="CV15" s="272">
        <v>0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17253073</v>
      </c>
      <c r="DD15" s="272">
        <v>1753847</v>
      </c>
      <c r="DE15" s="272">
        <v>15244395</v>
      </c>
      <c r="DF15" s="272">
        <v>43604</v>
      </c>
      <c r="DG15" s="272">
        <v>211227</v>
      </c>
      <c r="DH15" s="272">
        <v>38977</v>
      </c>
      <c r="DI15" s="272">
        <v>258310</v>
      </c>
      <c r="DJ15" s="272">
        <v>87400</v>
      </c>
      <c r="DK15" s="272">
        <v>0</v>
      </c>
      <c r="DL15" s="272">
        <v>170910</v>
      </c>
      <c r="DM15" s="272">
        <v>32010</v>
      </c>
      <c r="DN15" s="272">
        <v>0</v>
      </c>
      <c r="DO15" s="272">
        <v>0</v>
      </c>
      <c r="DP15" s="272">
        <v>0</v>
      </c>
      <c r="DQ15" s="272">
        <v>304000</v>
      </c>
      <c r="DR15" s="272">
        <v>0</v>
      </c>
      <c r="DS15" s="272">
        <v>0</v>
      </c>
      <c r="DT15" s="272">
        <v>7591364</v>
      </c>
      <c r="DU15" s="272">
        <v>4985026</v>
      </c>
      <c r="DV15" s="455">
        <f t="shared" si="11"/>
        <v>0</v>
      </c>
      <c r="DW15" s="272">
        <v>0</v>
      </c>
      <c r="DX15" s="272">
        <v>0</v>
      </c>
      <c r="DY15" s="272">
        <v>0</v>
      </c>
      <c r="DZ15" s="272">
        <v>1724000</v>
      </c>
      <c r="EA15" s="272">
        <v>847977</v>
      </c>
      <c r="EB15" s="272"/>
      <c r="EC15" s="272">
        <v>0</v>
      </c>
      <c r="ED15" s="272">
        <v>74074035</v>
      </c>
      <c r="EF15" s="272">
        <v>1652805</v>
      </c>
      <c r="EG15" s="272">
        <v>959756</v>
      </c>
      <c r="EH15" s="272">
        <v>693049</v>
      </c>
      <c r="EI15" s="272">
        <v>97715</v>
      </c>
      <c r="EJ15" s="272">
        <v>185115</v>
      </c>
      <c r="EL15" s="272"/>
      <c r="EM15" s="272">
        <v>256330</v>
      </c>
      <c r="EN15" s="272">
        <v>323333</v>
      </c>
      <c r="EO15" s="272">
        <v>28140</v>
      </c>
      <c r="EP15" s="455">
        <f t="shared" si="12"/>
        <v>2402356</v>
      </c>
      <c r="EQ15" s="272">
        <v>53059037</v>
      </c>
      <c r="ER15" s="272">
        <v>-4190414</v>
      </c>
      <c r="ES15" s="272">
        <v>18135427</v>
      </c>
      <c r="ET15" s="272">
        <v>13183315</v>
      </c>
      <c r="EU15" s="272">
        <v>2717170</v>
      </c>
      <c r="EV15" s="272">
        <v>4765294</v>
      </c>
      <c r="EW15" s="455">
        <f t="shared" si="13"/>
        <v>10262297</v>
      </c>
      <c r="EX15" s="272">
        <v>10244173</v>
      </c>
      <c r="EY15" s="272">
        <v>662920</v>
      </c>
      <c r="EZ15" s="272">
        <v>9576164</v>
      </c>
      <c r="FA15" s="272">
        <v>18124</v>
      </c>
      <c r="FB15" s="272"/>
      <c r="FC15" s="272">
        <v>9563400</v>
      </c>
      <c r="FD15" s="272">
        <v>2074370</v>
      </c>
      <c r="FE15" s="272">
        <v>1584</v>
      </c>
      <c r="FF15" s="272">
        <v>7441401</v>
      </c>
      <c r="FG15" s="455">
        <f t="shared" si="14"/>
        <v>1181184</v>
      </c>
      <c r="FH15" s="272">
        <v>56140543</v>
      </c>
      <c r="FI15" s="384">
        <f t="shared" si="15"/>
        <v>1.4</v>
      </c>
      <c r="FJ15" s="272">
        <v>50022644</v>
      </c>
      <c r="FK15" s="272"/>
      <c r="FL15" s="272">
        <v>37661198</v>
      </c>
      <c r="FM15" s="272">
        <v>36550018</v>
      </c>
      <c r="FN15" s="460">
        <v>1.0549999999999999</v>
      </c>
      <c r="FO15" s="388">
        <v>84.9</v>
      </c>
      <c r="FP15" s="388">
        <v>36.299999999999997</v>
      </c>
      <c r="FQ15" s="388">
        <v>5.6</v>
      </c>
      <c r="FR15" s="388">
        <v>9.8000000000000007</v>
      </c>
      <c r="FS15" s="388">
        <v>19</v>
      </c>
      <c r="FT15" s="388">
        <v>3.3</v>
      </c>
      <c r="FU15" s="388">
        <v>8.6999999999999993</v>
      </c>
      <c r="FV15" s="388">
        <v>4.3</v>
      </c>
      <c r="FW15" s="272">
        <v>53431371</v>
      </c>
      <c r="FX15" s="384">
        <f t="shared" si="16"/>
        <v>106.8</v>
      </c>
      <c r="FY15" s="272">
        <v>13247100</v>
      </c>
      <c r="FZ15" s="272">
        <v>4927100</v>
      </c>
      <c r="GA15" s="272"/>
      <c r="GB15" s="272">
        <v>8320000</v>
      </c>
      <c r="GC15" s="272"/>
      <c r="GD15" s="272">
        <v>10939776</v>
      </c>
      <c r="GE15" s="384">
        <f t="shared" si="17"/>
        <v>21.9</v>
      </c>
      <c r="GF15" s="388">
        <v>98.7</v>
      </c>
      <c r="GG15" s="388">
        <v>24.5</v>
      </c>
      <c r="GH15" s="388">
        <v>95.5</v>
      </c>
      <c r="GI15" s="272">
        <v>1928</v>
      </c>
    </row>
    <row r="16" spans="2:191" x14ac:dyDescent="0.15">
      <c r="B16" s="89" t="s">
        <v>25</v>
      </c>
      <c r="C16" s="272">
        <v>44229556</v>
      </c>
      <c r="D16" s="455">
        <f t="shared" si="0"/>
        <v>15325379</v>
      </c>
      <c r="E16" s="272">
        <v>264210</v>
      </c>
      <c r="F16" s="272">
        <v>15061169</v>
      </c>
      <c r="G16" s="455">
        <f t="shared" si="1"/>
        <v>3439753</v>
      </c>
      <c r="H16" s="272">
        <v>631845</v>
      </c>
      <c r="I16" s="272">
        <v>2807908</v>
      </c>
      <c r="J16" s="272">
        <v>19061315</v>
      </c>
      <c r="K16" s="272">
        <v>10245209</v>
      </c>
      <c r="L16" s="272">
        <v>5966078</v>
      </c>
      <c r="M16" s="272">
        <v>2600517</v>
      </c>
      <c r="N16" s="272">
        <v>1871244</v>
      </c>
      <c r="O16" s="272">
        <v>4341438</v>
      </c>
      <c r="P16" s="272">
        <v>3018318</v>
      </c>
      <c r="Q16" s="272">
        <v>1323120</v>
      </c>
      <c r="R16" s="272">
        <v>525648</v>
      </c>
      <c r="S16" s="272"/>
      <c r="T16" s="455">
        <f t="shared" si="2"/>
        <v>3912421</v>
      </c>
      <c r="U16" s="272">
        <v>475001</v>
      </c>
      <c r="V16" s="272"/>
      <c r="W16" s="272"/>
      <c r="X16" s="272">
        <v>2834683</v>
      </c>
      <c r="Y16" s="272">
        <v>0</v>
      </c>
      <c r="Z16" s="272">
        <v>14002</v>
      </c>
      <c r="AA16" s="272">
        <v>588735</v>
      </c>
      <c r="AB16" s="272"/>
      <c r="AC16" s="272">
        <v>4274943</v>
      </c>
      <c r="AD16" s="272">
        <v>3303317</v>
      </c>
      <c r="AE16" s="272">
        <v>971626</v>
      </c>
      <c r="AF16" s="272">
        <v>66995</v>
      </c>
      <c r="AG16" s="272">
        <v>2248192</v>
      </c>
      <c r="AH16" s="455">
        <f t="shared" si="3"/>
        <v>1854901</v>
      </c>
      <c r="AI16" s="272">
        <v>1219948</v>
      </c>
      <c r="AJ16" s="272">
        <v>634953</v>
      </c>
      <c r="AK16" s="272">
        <v>9147424</v>
      </c>
      <c r="AL16" s="455">
        <f t="shared" si="4"/>
        <v>5602067</v>
      </c>
      <c r="AM16" s="272">
        <v>4260216</v>
      </c>
      <c r="AN16" s="272">
        <v>714327</v>
      </c>
      <c r="AO16" s="272">
        <v>0</v>
      </c>
      <c r="AP16" s="272">
        <v>627524</v>
      </c>
      <c r="AQ16" s="272">
        <v>506739</v>
      </c>
      <c r="AR16" s="272">
        <v>0</v>
      </c>
      <c r="AS16" s="272">
        <v>54762</v>
      </c>
      <c r="AT16" s="272">
        <v>4318809</v>
      </c>
      <c r="AU16" s="272">
        <v>1454634</v>
      </c>
      <c r="AV16" s="272">
        <v>354364</v>
      </c>
      <c r="AW16" s="272">
        <v>88612</v>
      </c>
      <c r="AX16" s="272">
        <v>2864175</v>
      </c>
      <c r="AY16" s="272">
        <v>279102</v>
      </c>
      <c r="AZ16" s="272">
        <v>125697</v>
      </c>
      <c r="BA16" s="272">
        <v>832</v>
      </c>
      <c r="BB16" s="272">
        <v>206304</v>
      </c>
      <c r="BC16" s="272">
        <v>2147434</v>
      </c>
      <c r="BD16" s="272">
        <v>650000</v>
      </c>
      <c r="BE16" s="272">
        <v>0</v>
      </c>
      <c r="BF16" s="272">
        <v>1493724</v>
      </c>
      <c r="BG16" s="272">
        <v>0</v>
      </c>
      <c r="BH16" s="272">
        <v>467487</v>
      </c>
      <c r="BI16" s="272">
        <v>284561</v>
      </c>
      <c r="BJ16" s="272">
        <v>1247835</v>
      </c>
      <c r="BK16" s="272">
        <v>567716</v>
      </c>
      <c r="BL16" s="272">
        <v>0</v>
      </c>
      <c r="BM16" s="272">
        <v>75888</v>
      </c>
      <c r="BN16" s="272">
        <v>7914300</v>
      </c>
      <c r="BO16" s="455">
        <f t="shared" si="5"/>
        <v>6273300</v>
      </c>
      <c r="BP16" s="455">
        <f t="shared" si="6"/>
        <v>1641000</v>
      </c>
      <c r="BQ16" s="272">
        <v>1641000</v>
      </c>
      <c r="BR16" s="272">
        <v>0</v>
      </c>
      <c r="BS16" s="272">
        <v>0</v>
      </c>
      <c r="BT16" s="272">
        <v>0</v>
      </c>
      <c r="BU16" s="272">
        <v>82742708</v>
      </c>
      <c r="BV16" s="272"/>
      <c r="BW16" s="272">
        <v>22509651</v>
      </c>
      <c r="BX16" s="272">
        <v>15815971</v>
      </c>
      <c r="BY16" s="272">
        <v>2149682</v>
      </c>
      <c r="BZ16" s="272">
        <v>1142379</v>
      </c>
      <c r="CA16" s="272">
        <v>14425164</v>
      </c>
      <c r="CB16" s="272">
        <v>1375809</v>
      </c>
      <c r="CC16" s="272">
        <v>2920118</v>
      </c>
      <c r="CD16" s="272">
        <v>2449843</v>
      </c>
      <c r="CE16" s="272">
        <v>5841548</v>
      </c>
      <c r="CF16" s="272">
        <v>1562713</v>
      </c>
      <c r="CG16" s="272">
        <v>274603</v>
      </c>
      <c r="CH16" s="272">
        <v>9258699</v>
      </c>
      <c r="CI16" s="272">
        <v>5949741</v>
      </c>
      <c r="CJ16" s="455">
        <f t="shared" si="7"/>
        <v>3308958</v>
      </c>
      <c r="CK16" s="272">
        <v>10520586</v>
      </c>
      <c r="CL16" s="272">
        <v>6512131</v>
      </c>
      <c r="CM16" s="272">
        <v>607074</v>
      </c>
      <c r="CN16" s="272">
        <v>2089800</v>
      </c>
      <c r="CO16" s="272">
        <v>453473</v>
      </c>
      <c r="CP16" s="272">
        <v>3334226</v>
      </c>
      <c r="CQ16" s="272">
        <v>69120</v>
      </c>
      <c r="CR16" s="272">
        <v>1190608</v>
      </c>
      <c r="CS16" s="272">
        <v>616105</v>
      </c>
      <c r="CT16" s="455">
        <f t="shared" si="8"/>
        <v>834358</v>
      </c>
      <c r="CU16" s="272">
        <v>789040</v>
      </c>
      <c r="CV16" s="272">
        <v>45318</v>
      </c>
      <c r="CW16" s="455">
        <f t="shared" si="9"/>
        <v>749342</v>
      </c>
      <c r="CX16" s="272">
        <v>704024</v>
      </c>
      <c r="CY16" s="272">
        <v>45318</v>
      </c>
      <c r="CZ16" s="455">
        <f t="shared" si="10"/>
        <v>0</v>
      </c>
      <c r="DA16" s="272">
        <v>0</v>
      </c>
      <c r="DB16" s="272">
        <v>0</v>
      </c>
      <c r="DC16" s="272">
        <v>10937630</v>
      </c>
      <c r="DD16" s="272">
        <v>1173295</v>
      </c>
      <c r="DE16" s="272">
        <v>9560821</v>
      </c>
      <c r="DF16" s="272">
        <v>178356</v>
      </c>
      <c r="DG16" s="272">
        <v>25158</v>
      </c>
      <c r="DH16" s="272">
        <v>9</v>
      </c>
      <c r="DI16" s="272">
        <v>1282922</v>
      </c>
      <c r="DJ16" s="272">
        <v>177467</v>
      </c>
      <c r="DK16" s="272">
        <v>0</v>
      </c>
      <c r="DL16" s="272">
        <v>1105455</v>
      </c>
      <c r="DM16" s="272">
        <v>170250</v>
      </c>
      <c r="DN16" s="272">
        <v>161150</v>
      </c>
      <c r="DO16" s="272">
        <v>161150</v>
      </c>
      <c r="DP16" s="272">
        <v>0</v>
      </c>
      <c r="DQ16" s="272">
        <v>550009</v>
      </c>
      <c r="DR16" s="272">
        <v>0</v>
      </c>
      <c r="DS16" s="272">
        <v>0</v>
      </c>
      <c r="DT16" s="272">
        <v>8155800</v>
      </c>
      <c r="DU16" s="272">
        <v>4687000</v>
      </c>
      <c r="DV16" s="455">
        <f t="shared" si="11"/>
        <v>0</v>
      </c>
      <c r="DW16" s="272">
        <v>0</v>
      </c>
      <c r="DX16" s="272">
        <v>0</v>
      </c>
      <c r="DY16" s="272">
        <v>0</v>
      </c>
      <c r="DZ16" s="272">
        <v>2307448</v>
      </c>
      <c r="EA16" s="272">
        <v>1151352</v>
      </c>
      <c r="EB16" s="272"/>
      <c r="EC16" s="272">
        <v>0</v>
      </c>
      <c r="ED16" s="272">
        <v>81598419</v>
      </c>
      <c r="EF16" s="272">
        <v>1144289</v>
      </c>
      <c r="EG16" s="272">
        <v>1100944</v>
      </c>
      <c r="EH16" s="272">
        <v>43345</v>
      </c>
      <c r="EI16" s="272">
        <v>-241216</v>
      </c>
      <c r="EJ16" s="272">
        <v>-610823</v>
      </c>
      <c r="EL16" s="272"/>
      <c r="EM16" s="272">
        <v>269265</v>
      </c>
      <c r="EN16" s="272">
        <v>1680296</v>
      </c>
      <c r="EO16" s="272">
        <v>3843</v>
      </c>
      <c r="EP16" s="455">
        <f t="shared" si="12"/>
        <v>1034514</v>
      </c>
      <c r="EQ16" s="272">
        <v>53064325</v>
      </c>
      <c r="ER16" s="272">
        <v>-4237896</v>
      </c>
      <c r="ES16" s="272">
        <v>20607530</v>
      </c>
      <c r="ET16" s="272">
        <v>14354126</v>
      </c>
      <c r="EU16" s="272">
        <v>4064987</v>
      </c>
      <c r="EV16" s="272">
        <v>9131055</v>
      </c>
      <c r="EW16" s="455">
        <f t="shared" si="13"/>
        <v>3534103</v>
      </c>
      <c r="EX16" s="272">
        <v>3534094</v>
      </c>
      <c r="EY16" s="272">
        <v>95006</v>
      </c>
      <c r="EZ16" s="272">
        <v>3341722</v>
      </c>
      <c r="FA16" s="272">
        <v>9</v>
      </c>
      <c r="FB16" s="272"/>
      <c r="FC16" s="272">
        <v>7901768</v>
      </c>
      <c r="FD16" s="272">
        <v>2851567</v>
      </c>
      <c r="FE16" s="272">
        <v>69120</v>
      </c>
      <c r="FF16" s="272">
        <v>7563855</v>
      </c>
      <c r="FG16" s="455">
        <f t="shared" si="14"/>
        <v>1403067</v>
      </c>
      <c r="FH16" s="272">
        <v>57057932</v>
      </c>
      <c r="FI16" s="384">
        <f t="shared" si="15"/>
        <v>0.1</v>
      </c>
      <c r="FJ16" s="272">
        <v>50019499</v>
      </c>
      <c r="FK16" s="272"/>
      <c r="FL16" s="272">
        <v>35187448</v>
      </c>
      <c r="FM16" s="272">
        <v>38515086</v>
      </c>
      <c r="FN16" s="460">
        <v>0.91400000000000003</v>
      </c>
      <c r="FO16" s="388">
        <v>98.7</v>
      </c>
      <c r="FP16" s="388">
        <v>40.700000000000003</v>
      </c>
      <c r="FQ16" s="388">
        <v>8.5</v>
      </c>
      <c r="FR16" s="388">
        <v>18.8</v>
      </c>
      <c r="FS16" s="388">
        <v>15.5</v>
      </c>
      <c r="FT16" s="388">
        <v>4.0999999999999996</v>
      </c>
      <c r="FU16" s="388">
        <v>10.3</v>
      </c>
      <c r="FV16" s="388">
        <v>12.6</v>
      </c>
      <c r="FW16" s="272">
        <v>83493162</v>
      </c>
      <c r="FX16" s="384">
        <f t="shared" si="16"/>
        <v>166.9</v>
      </c>
      <c r="FY16" s="272">
        <v>12603220</v>
      </c>
      <c r="FZ16" s="272">
        <v>3372689</v>
      </c>
      <c r="GA16" s="272"/>
      <c r="GB16" s="272">
        <v>9230531</v>
      </c>
      <c r="GC16" s="272"/>
      <c r="GD16" s="272">
        <v>32647995</v>
      </c>
      <c r="GE16" s="384">
        <f t="shared" si="17"/>
        <v>65.3</v>
      </c>
      <c r="GF16" s="388">
        <v>97.9</v>
      </c>
      <c r="GG16" s="388">
        <v>26.8</v>
      </c>
      <c r="GH16" s="388">
        <v>93.9</v>
      </c>
      <c r="GI16" s="272">
        <v>1966</v>
      </c>
    </row>
    <row r="17" spans="2:191" x14ac:dyDescent="0.15">
      <c r="B17" s="89" t="s">
        <v>27</v>
      </c>
      <c r="C17" s="272">
        <v>21472657</v>
      </c>
      <c r="D17" s="455">
        <f t="shared" si="0"/>
        <v>3853413</v>
      </c>
      <c r="E17" s="272">
        <v>86787</v>
      </c>
      <c r="F17" s="272">
        <v>3766626</v>
      </c>
      <c r="G17" s="455">
        <f t="shared" si="1"/>
        <v>1216670</v>
      </c>
      <c r="H17" s="272">
        <v>432976</v>
      </c>
      <c r="I17" s="272">
        <v>783694</v>
      </c>
      <c r="J17" s="272">
        <v>13503340</v>
      </c>
      <c r="K17" s="272">
        <v>5607218</v>
      </c>
      <c r="L17" s="272">
        <v>3674951</v>
      </c>
      <c r="M17" s="272">
        <v>3765477</v>
      </c>
      <c r="N17" s="272">
        <v>675529</v>
      </c>
      <c r="O17" s="272">
        <v>2116786</v>
      </c>
      <c r="P17" s="272">
        <v>1326467</v>
      </c>
      <c r="Q17" s="272">
        <v>790319</v>
      </c>
      <c r="R17" s="272">
        <v>240517</v>
      </c>
      <c r="S17" s="272"/>
      <c r="T17" s="455">
        <f t="shared" si="2"/>
        <v>1513729</v>
      </c>
      <c r="U17" s="272">
        <v>131538</v>
      </c>
      <c r="V17" s="272"/>
      <c r="W17" s="272"/>
      <c r="X17" s="272">
        <v>1024914</v>
      </c>
      <c r="Y17" s="272">
        <v>71193</v>
      </c>
      <c r="Z17" s="272">
        <v>74646</v>
      </c>
      <c r="AA17" s="272">
        <v>211438</v>
      </c>
      <c r="AB17" s="272"/>
      <c r="AC17" s="272">
        <v>644524</v>
      </c>
      <c r="AD17" s="272">
        <v>0</v>
      </c>
      <c r="AE17" s="272">
        <v>644524</v>
      </c>
      <c r="AF17" s="272">
        <v>24675</v>
      </c>
      <c r="AG17" s="272">
        <v>757027</v>
      </c>
      <c r="AH17" s="455">
        <f t="shared" si="3"/>
        <v>686319</v>
      </c>
      <c r="AI17" s="272">
        <v>590144</v>
      </c>
      <c r="AJ17" s="272">
        <v>96175</v>
      </c>
      <c r="AK17" s="272">
        <v>4528364</v>
      </c>
      <c r="AL17" s="455">
        <f t="shared" si="4"/>
        <v>1589630</v>
      </c>
      <c r="AM17" s="272">
        <v>975192</v>
      </c>
      <c r="AN17" s="272">
        <v>455969</v>
      </c>
      <c r="AO17" s="272">
        <v>0</v>
      </c>
      <c r="AP17" s="272">
        <v>158469</v>
      </c>
      <c r="AQ17" s="272">
        <v>1639501</v>
      </c>
      <c r="AR17" s="272">
        <v>0</v>
      </c>
      <c r="AS17" s="272">
        <v>0</v>
      </c>
      <c r="AT17" s="272">
        <v>2625072</v>
      </c>
      <c r="AU17" s="272">
        <v>905380</v>
      </c>
      <c r="AV17" s="272">
        <v>226187</v>
      </c>
      <c r="AW17" s="272">
        <v>125661</v>
      </c>
      <c r="AX17" s="272">
        <v>1719692</v>
      </c>
      <c r="AY17" s="272">
        <v>610429</v>
      </c>
      <c r="AZ17" s="272">
        <v>41300</v>
      </c>
      <c r="BA17" s="272">
        <v>20</v>
      </c>
      <c r="BB17" s="272">
        <v>367631</v>
      </c>
      <c r="BC17" s="272">
        <v>3665104</v>
      </c>
      <c r="BD17" s="272">
        <v>300000</v>
      </c>
      <c r="BE17" s="272">
        <v>800000</v>
      </c>
      <c r="BF17" s="272">
        <v>2513179</v>
      </c>
      <c r="BG17" s="272">
        <v>0</v>
      </c>
      <c r="BH17" s="272">
        <v>96714</v>
      </c>
      <c r="BI17" s="272">
        <v>56702</v>
      </c>
      <c r="BJ17" s="272">
        <v>624716</v>
      </c>
      <c r="BK17" s="272">
        <v>71241</v>
      </c>
      <c r="BL17" s="272">
        <v>0</v>
      </c>
      <c r="BM17" s="272">
        <v>45879</v>
      </c>
      <c r="BN17" s="272">
        <v>6717000</v>
      </c>
      <c r="BO17" s="455">
        <f t="shared" si="5"/>
        <v>6192000</v>
      </c>
      <c r="BP17" s="455">
        <f t="shared" si="6"/>
        <v>525000</v>
      </c>
      <c r="BQ17" s="272">
        <v>525000</v>
      </c>
      <c r="BR17" s="272">
        <v>0</v>
      </c>
      <c r="BS17" s="272">
        <v>0</v>
      </c>
      <c r="BT17" s="272">
        <v>0</v>
      </c>
      <c r="BU17" s="272">
        <v>44005349</v>
      </c>
      <c r="BV17" s="272"/>
      <c r="BW17" s="272">
        <v>10195223</v>
      </c>
      <c r="BX17" s="272">
        <v>7291706</v>
      </c>
      <c r="BY17" s="272">
        <v>609698</v>
      </c>
      <c r="BZ17" s="272">
        <v>616194</v>
      </c>
      <c r="CA17" s="272">
        <v>4502571</v>
      </c>
      <c r="CB17" s="272">
        <v>395242</v>
      </c>
      <c r="CC17" s="272">
        <v>1282217</v>
      </c>
      <c r="CD17" s="272">
        <v>1467918</v>
      </c>
      <c r="CE17" s="272">
        <v>1298302</v>
      </c>
      <c r="CF17" s="272">
        <v>3318</v>
      </c>
      <c r="CG17" s="272">
        <v>55574</v>
      </c>
      <c r="CH17" s="272">
        <v>4652981</v>
      </c>
      <c r="CI17" s="272">
        <v>2082438</v>
      </c>
      <c r="CJ17" s="455">
        <f t="shared" si="7"/>
        <v>2570543</v>
      </c>
      <c r="CK17" s="272">
        <v>3922815</v>
      </c>
      <c r="CL17" s="272">
        <v>2193072</v>
      </c>
      <c r="CM17" s="272">
        <v>137036</v>
      </c>
      <c r="CN17" s="272">
        <v>864669</v>
      </c>
      <c r="CO17" s="272">
        <v>356292</v>
      </c>
      <c r="CP17" s="272">
        <v>5204884</v>
      </c>
      <c r="CQ17" s="272">
        <v>1429794</v>
      </c>
      <c r="CR17" s="272">
        <v>1460236</v>
      </c>
      <c r="CS17" s="272">
        <v>1173348</v>
      </c>
      <c r="CT17" s="455">
        <f t="shared" si="8"/>
        <v>1337446</v>
      </c>
      <c r="CU17" s="272">
        <v>1092435</v>
      </c>
      <c r="CV17" s="272">
        <v>245011</v>
      </c>
      <c r="CW17" s="455">
        <f t="shared" si="9"/>
        <v>1300000</v>
      </c>
      <c r="CX17" s="272">
        <v>1054989</v>
      </c>
      <c r="CY17" s="272">
        <v>245011</v>
      </c>
      <c r="CZ17" s="455">
        <f t="shared" si="10"/>
        <v>0</v>
      </c>
      <c r="DA17" s="272">
        <v>0</v>
      </c>
      <c r="DB17" s="272">
        <v>0</v>
      </c>
      <c r="DC17" s="272">
        <v>11443248</v>
      </c>
      <c r="DD17" s="272">
        <v>3636677</v>
      </c>
      <c r="DE17" s="272">
        <v>6983236</v>
      </c>
      <c r="DF17" s="272">
        <v>630055</v>
      </c>
      <c r="DG17" s="272">
        <v>193280</v>
      </c>
      <c r="DH17" s="272">
        <v>47467</v>
      </c>
      <c r="DI17" s="272">
        <v>588024</v>
      </c>
      <c r="DJ17" s="272">
        <v>83739</v>
      </c>
      <c r="DK17" s="272">
        <v>7673</v>
      </c>
      <c r="DL17" s="272">
        <v>496612</v>
      </c>
      <c r="DM17" s="272">
        <v>0</v>
      </c>
      <c r="DN17" s="272">
        <v>0</v>
      </c>
      <c r="DO17" s="272">
        <v>0</v>
      </c>
      <c r="DP17" s="272">
        <v>0</v>
      </c>
      <c r="DQ17" s="272">
        <v>54600</v>
      </c>
      <c r="DR17" s="272">
        <v>0</v>
      </c>
      <c r="DS17" s="272">
        <v>0</v>
      </c>
      <c r="DT17" s="272">
        <v>2592799</v>
      </c>
      <c r="DU17" s="272">
        <v>1177963</v>
      </c>
      <c r="DV17" s="455">
        <f t="shared" si="11"/>
        <v>0</v>
      </c>
      <c r="DW17" s="272">
        <v>0</v>
      </c>
      <c r="DX17" s="272">
        <v>0</v>
      </c>
      <c r="DY17" s="272">
        <v>0</v>
      </c>
      <c r="DZ17" s="272">
        <v>902150</v>
      </c>
      <c r="EA17" s="272">
        <v>487614</v>
      </c>
      <c r="EB17" s="272"/>
      <c r="EC17" s="272">
        <v>0</v>
      </c>
      <c r="ED17" s="272">
        <v>43560904</v>
      </c>
      <c r="EF17" s="272">
        <v>444445</v>
      </c>
      <c r="EG17" s="272">
        <v>390430</v>
      </c>
      <c r="EH17" s="272">
        <v>54015</v>
      </c>
      <c r="EI17" s="272">
        <v>-2687</v>
      </c>
      <c r="EJ17" s="272">
        <v>-218948</v>
      </c>
      <c r="EL17" s="272"/>
      <c r="EM17" s="272">
        <v>95845</v>
      </c>
      <c r="EN17" s="272">
        <v>2051925</v>
      </c>
      <c r="EO17" s="272">
        <v>761</v>
      </c>
      <c r="EP17" s="455">
        <f t="shared" si="12"/>
        <v>740044</v>
      </c>
      <c r="EQ17" s="272">
        <v>23896102</v>
      </c>
      <c r="ER17" s="272">
        <v>-3293055</v>
      </c>
      <c r="ES17" s="272">
        <v>8950921</v>
      </c>
      <c r="ET17" s="272">
        <v>6089945</v>
      </c>
      <c r="EU17" s="272">
        <v>1561276</v>
      </c>
      <c r="EV17" s="272">
        <v>4457305</v>
      </c>
      <c r="EW17" s="455">
        <f t="shared" si="13"/>
        <v>2178542</v>
      </c>
      <c r="EX17" s="272">
        <v>2131716</v>
      </c>
      <c r="EY17" s="272">
        <v>154813</v>
      </c>
      <c r="EZ17" s="272">
        <v>1865638</v>
      </c>
      <c r="FA17" s="272">
        <v>46826</v>
      </c>
      <c r="FB17" s="272"/>
      <c r="FC17" s="272">
        <v>3087487</v>
      </c>
      <c r="FD17" s="272">
        <v>4715811</v>
      </c>
      <c r="FE17" s="272">
        <v>1429794</v>
      </c>
      <c r="FF17" s="272">
        <v>1343798</v>
      </c>
      <c r="FG17" s="455">
        <f t="shared" si="14"/>
        <v>779572</v>
      </c>
      <c r="FH17" s="272">
        <v>27074712</v>
      </c>
      <c r="FI17" s="384">
        <f t="shared" si="15"/>
        <v>0.2</v>
      </c>
      <c r="FJ17" s="272">
        <v>22554511</v>
      </c>
      <c r="FK17" s="272"/>
      <c r="FL17" s="272">
        <v>16983440</v>
      </c>
      <c r="FM17" s="272">
        <v>15404099</v>
      </c>
      <c r="FN17" s="460">
        <v>1.145</v>
      </c>
      <c r="FO17" s="388">
        <v>104.4</v>
      </c>
      <c r="FP17" s="388">
        <v>41.3</v>
      </c>
      <c r="FQ17" s="388">
        <v>7.4</v>
      </c>
      <c r="FR17" s="388">
        <v>21</v>
      </c>
      <c r="FS17" s="388">
        <v>12.7</v>
      </c>
      <c r="FT17" s="388">
        <v>16.100000000000001</v>
      </c>
      <c r="FU17" s="388">
        <v>4.3</v>
      </c>
      <c r="FV17" s="388">
        <v>13.7</v>
      </c>
      <c r="FW17" s="272">
        <v>77143731</v>
      </c>
      <c r="FX17" s="384">
        <f t="shared" si="16"/>
        <v>342</v>
      </c>
      <c r="FY17" s="272">
        <v>4620412</v>
      </c>
      <c r="FZ17" s="272">
        <v>224086</v>
      </c>
      <c r="GA17" s="272">
        <v>366649</v>
      </c>
      <c r="GB17" s="272">
        <v>4029677</v>
      </c>
      <c r="GC17" s="272"/>
      <c r="GD17" s="272">
        <v>9593664</v>
      </c>
      <c r="GE17" s="384">
        <f t="shared" si="17"/>
        <v>42.5</v>
      </c>
      <c r="GF17" s="388">
        <v>97.4</v>
      </c>
      <c r="GG17" s="388">
        <v>16.2</v>
      </c>
      <c r="GH17" s="388">
        <v>90.7</v>
      </c>
      <c r="GI17" s="272">
        <v>1002</v>
      </c>
    </row>
    <row r="18" spans="2:191" x14ac:dyDescent="0.15">
      <c r="B18" s="89" t="s">
        <v>29</v>
      </c>
      <c r="C18" s="272">
        <v>15992599</v>
      </c>
      <c r="D18" s="455">
        <f t="shared" si="0"/>
        <v>7124854</v>
      </c>
      <c r="E18" s="272">
        <v>107046</v>
      </c>
      <c r="F18" s="272">
        <v>7017808</v>
      </c>
      <c r="G18" s="455">
        <f t="shared" si="1"/>
        <v>589135</v>
      </c>
      <c r="H18" s="272">
        <v>170863</v>
      </c>
      <c r="I18" s="272">
        <v>418272</v>
      </c>
      <c r="J18" s="272">
        <v>6185648</v>
      </c>
      <c r="K18" s="272">
        <v>2952438</v>
      </c>
      <c r="L18" s="272">
        <v>2525389</v>
      </c>
      <c r="M18" s="272">
        <v>653742</v>
      </c>
      <c r="N18" s="272">
        <v>572207</v>
      </c>
      <c r="O18" s="272">
        <v>1408698</v>
      </c>
      <c r="P18" s="272">
        <v>892950</v>
      </c>
      <c r="Q18" s="272">
        <v>515748</v>
      </c>
      <c r="R18" s="272">
        <v>248355</v>
      </c>
      <c r="S18" s="272"/>
      <c r="T18" s="455">
        <f t="shared" si="2"/>
        <v>1609726</v>
      </c>
      <c r="U18" s="272">
        <v>207476</v>
      </c>
      <c r="V18" s="272"/>
      <c r="W18" s="272"/>
      <c r="X18" s="272">
        <v>1051699</v>
      </c>
      <c r="Y18" s="272">
        <v>64263</v>
      </c>
      <c r="Z18" s="272">
        <v>7811</v>
      </c>
      <c r="AA18" s="272">
        <v>278477</v>
      </c>
      <c r="AB18" s="272"/>
      <c r="AC18" s="272">
        <v>5219516</v>
      </c>
      <c r="AD18" s="272">
        <v>4936746</v>
      </c>
      <c r="AE18" s="272">
        <v>282770</v>
      </c>
      <c r="AF18" s="272">
        <v>26743</v>
      </c>
      <c r="AG18" s="272">
        <v>331277</v>
      </c>
      <c r="AH18" s="455">
        <f t="shared" si="3"/>
        <v>1606383</v>
      </c>
      <c r="AI18" s="272">
        <v>1175155</v>
      </c>
      <c r="AJ18" s="272">
        <v>431228</v>
      </c>
      <c r="AK18" s="272">
        <v>3533409</v>
      </c>
      <c r="AL18" s="455">
        <f t="shared" si="4"/>
        <v>1807256</v>
      </c>
      <c r="AM18" s="272">
        <v>1361484</v>
      </c>
      <c r="AN18" s="272">
        <v>254146</v>
      </c>
      <c r="AO18" s="272">
        <v>0</v>
      </c>
      <c r="AP18" s="272">
        <v>191626</v>
      </c>
      <c r="AQ18" s="272">
        <v>423776</v>
      </c>
      <c r="AR18" s="272">
        <v>22400</v>
      </c>
      <c r="AS18" s="272">
        <v>0</v>
      </c>
      <c r="AT18" s="272">
        <v>1651721</v>
      </c>
      <c r="AU18" s="272">
        <v>613737</v>
      </c>
      <c r="AV18" s="272">
        <v>186446</v>
      </c>
      <c r="AW18" s="272">
        <v>8500</v>
      </c>
      <c r="AX18" s="272">
        <v>1037984</v>
      </c>
      <c r="AY18" s="272">
        <v>121742</v>
      </c>
      <c r="AZ18" s="272">
        <v>76855</v>
      </c>
      <c r="BA18" s="272">
        <v>0</v>
      </c>
      <c r="BB18" s="272">
        <v>125321</v>
      </c>
      <c r="BC18" s="272">
        <v>1397188</v>
      </c>
      <c r="BD18" s="272">
        <v>240048</v>
      </c>
      <c r="BE18" s="272">
        <v>0</v>
      </c>
      <c r="BF18" s="272">
        <v>1125640</v>
      </c>
      <c r="BG18" s="272">
        <v>0</v>
      </c>
      <c r="BH18" s="272">
        <v>441595</v>
      </c>
      <c r="BI18" s="272">
        <v>420188</v>
      </c>
      <c r="BJ18" s="272">
        <v>1542350</v>
      </c>
      <c r="BK18" s="272">
        <v>1175761</v>
      </c>
      <c r="BL18" s="272">
        <v>0</v>
      </c>
      <c r="BM18" s="272">
        <v>117434</v>
      </c>
      <c r="BN18" s="272">
        <v>1490400</v>
      </c>
      <c r="BO18" s="455">
        <f t="shared" si="5"/>
        <v>733100</v>
      </c>
      <c r="BP18" s="455">
        <f t="shared" si="6"/>
        <v>757300</v>
      </c>
      <c r="BQ18" s="272">
        <v>757300</v>
      </c>
      <c r="BR18" s="272">
        <v>0</v>
      </c>
      <c r="BS18" s="272">
        <v>0</v>
      </c>
      <c r="BT18" s="272">
        <v>0</v>
      </c>
      <c r="BU18" s="272">
        <v>35293438</v>
      </c>
      <c r="BV18" s="272"/>
      <c r="BW18" s="272">
        <v>8753681</v>
      </c>
      <c r="BX18" s="272">
        <v>6683215</v>
      </c>
      <c r="BY18" s="272">
        <v>434477</v>
      </c>
      <c r="BZ18" s="272">
        <v>55387</v>
      </c>
      <c r="CA18" s="272">
        <v>4698092</v>
      </c>
      <c r="CB18" s="272">
        <v>811544</v>
      </c>
      <c r="CC18" s="272">
        <v>1043950</v>
      </c>
      <c r="CD18" s="272">
        <v>995764</v>
      </c>
      <c r="CE18" s="272">
        <v>1775752</v>
      </c>
      <c r="CF18" s="272">
        <v>0</v>
      </c>
      <c r="CG18" s="272">
        <v>71082</v>
      </c>
      <c r="CH18" s="272">
        <v>4678600</v>
      </c>
      <c r="CI18" s="272">
        <v>3445366</v>
      </c>
      <c r="CJ18" s="455">
        <f t="shared" si="7"/>
        <v>1233234</v>
      </c>
      <c r="CK18" s="272">
        <v>5215021</v>
      </c>
      <c r="CL18" s="272">
        <v>2925726</v>
      </c>
      <c r="CM18" s="272">
        <v>595806</v>
      </c>
      <c r="CN18" s="272">
        <v>917049</v>
      </c>
      <c r="CO18" s="272">
        <v>341922</v>
      </c>
      <c r="CP18" s="272">
        <v>2894034</v>
      </c>
      <c r="CQ18" s="272">
        <v>942224</v>
      </c>
      <c r="CR18" s="272">
        <v>1051234</v>
      </c>
      <c r="CS18" s="272">
        <v>972755</v>
      </c>
      <c r="CT18" s="455">
        <f t="shared" si="8"/>
        <v>667</v>
      </c>
      <c r="CU18" s="272">
        <v>667</v>
      </c>
      <c r="CV18" s="272">
        <v>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2413948</v>
      </c>
      <c r="DD18" s="272">
        <v>920452</v>
      </c>
      <c r="DE18" s="272">
        <v>1413383</v>
      </c>
      <c r="DF18" s="272">
        <v>80113</v>
      </c>
      <c r="DG18" s="272">
        <v>0</v>
      </c>
      <c r="DH18" s="272">
        <v>153492</v>
      </c>
      <c r="DI18" s="272">
        <v>1441030</v>
      </c>
      <c r="DJ18" s="272">
        <v>365293</v>
      </c>
      <c r="DK18" s="272">
        <v>0</v>
      </c>
      <c r="DL18" s="272">
        <v>1075737</v>
      </c>
      <c r="DM18" s="272">
        <v>0</v>
      </c>
      <c r="DN18" s="272">
        <v>0</v>
      </c>
      <c r="DO18" s="272">
        <v>0</v>
      </c>
      <c r="DP18" s="272">
        <v>0</v>
      </c>
      <c r="DQ18" s="272">
        <v>1154330</v>
      </c>
      <c r="DR18" s="272">
        <v>0</v>
      </c>
      <c r="DS18" s="272">
        <v>0</v>
      </c>
      <c r="DT18" s="272">
        <v>2602250</v>
      </c>
      <c r="DU18" s="272">
        <v>1194693</v>
      </c>
      <c r="DV18" s="455">
        <f t="shared" si="11"/>
        <v>0</v>
      </c>
      <c r="DW18" s="272">
        <v>0</v>
      </c>
      <c r="DX18" s="272">
        <v>0</v>
      </c>
      <c r="DY18" s="272">
        <v>0</v>
      </c>
      <c r="DZ18" s="272">
        <v>914982</v>
      </c>
      <c r="EA18" s="272">
        <v>470765</v>
      </c>
      <c r="EB18" s="272"/>
      <c r="EC18" s="272">
        <v>0</v>
      </c>
      <c r="ED18" s="272">
        <v>34346400</v>
      </c>
      <c r="EF18" s="272">
        <v>947038</v>
      </c>
      <c r="EG18" s="272">
        <v>525067</v>
      </c>
      <c r="EH18" s="272">
        <v>421971</v>
      </c>
      <c r="EI18" s="272">
        <v>1783</v>
      </c>
      <c r="EJ18" s="272">
        <v>127028</v>
      </c>
      <c r="EL18" s="272"/>
      <c r="EM18" s="272">
        <v>125068</v>
      </c>
      <c r="EN18" s="272">
        <v>246395</v>
      </c>
      <c r="EO18" s="272">
        <v>7</v>
      </c>
      <c r="EP18" s="455">
        <f t="shared" si="12"/>
        <v>733438</v>
      </c>
      <c r="EQ18" s="272">
        <v>23096939</v>
      </c>
      <c r="ER18" s="272">
        <v>-1710397</v>
      </c>
      <c r="ES18" s="272">
        <v>7905483</v>
      </c>
      <c r="ET18" s="272">
        <v>5875990</v>
      </c>
      <c r="EU18" s="272">
        <v>1713990</v>
      </c>
      <c r="EV18" s="272">
        <v>4139490</v>
      </c>
      <c r="EW18" s="455">
        <f t="shared" si="13"/>
        <v>663697</v>
      </c>
      <c r="EX18" s="272">
        <v>538215</v>
      </c>
      <c r="EY18" s="272">
        <v>170187</v>
      </c>
      <c r="EZ18" s="272">
        <v>334805</v>
      </c>
      <c r="FA18" s="272">
        <v>125482</v>
      </c>
      <c r="FB18" s="272"/>
      <c r="FC18" s="272">
        <v>3875017</v>
      </c>
      <c r="FD18" s="272">
        <v>2630803</v>
      </c>
      <c r="FE18" s="272">
        <v>942224</v>
      </c>
      <c r="FF18" s="272">
        <v>2392688</v>
      </c>
      <c r="FG18" s="455">
        <f t="shared" si="14"/>
        <v>1039130</v>
      </c>
      <c r="FH18" s="272">
        <v>24360298</v>
      </c>
      <c r="FI18" s="384">
        <f t="shared" si="15"/>
        <v>1.9</v>
      </c>
      <c r="FJ18" s="272">
        <v>22409950</v>
      </c>
      <c r="FK18" s="272"/>
      <c r="FL18" s="272">
        <v>13173680</v>
      </c>
      <c r="FM18" s="272">
        <v>18121869</v>
      </c>
      <c r="FN18" s="460">
        <v>0.73899999999999999</v>
      </c>
      <c r="FO18" s="388">
        <v>96.8</v>
      </c>
      <c r="FP18" s="388">
        <v>36</v>
      </c>
      <c r="FQ18" s="388">
        <v>8</v>
      </c>
      <c r="FR18" s="388">
        <v>19.2</v>
      </c>
      <c r="FS18" s="388">
        <v>17.3</v>
      </c>
      <c r="FT18" s="388">
        <v>10.199999999999999</v>
      </c>
      <c r="FU18" s="388">
        <v>4.7</v>
      </c>
      <c r="FV18" s="388">
        <v>12.8</v>
      </c>
      <c r="FW18" s="272">
        <v>26547812</v>
      </c>
      <c r="FX18" s="384">
        <f t="shared" si="16"/>
        <v>118.5</v>
      </c>
      <c r="FY18" s="272">
        <v>10228192</v>
      </c>
      <c r="FZ18" s="272">
        <v>2498526</v>
      </c>
      <c r="GA18" s="272"/>
      <c r="GB18" s="272">
        <v>7729666</v>
      </c>
      <c r="GC18" s="272"/>
      <c r="GD18" s="272">
        <v>1598436</v>
      </c>
      <c r="GE18" s="384">
        <f t="shared" si="17"/>
        <v>7.1</v>
      </c>
      <c r="GF18" s="388">
        <v>97.6</v>
      </c>
      <c r="GG18" s="388">
        <v>23.2</v>
      </c>
      <c r="GH18" s="388">
        <v>91.8</v>
      </c>
      <c r="GI18" s="272">
        <v>872</v>
      </c>
    </row>
    <row r="19" spans="2:191" x14ac:dyDescent="0.15">
      <c r="B19" s="89" t="s">
        <v>31</v>
      </c>
      <c r="C19" s="272">
        <v>32470884</v>
      </c>
      <c r="D19" s="455">
        <f t="shared" si="0"/>
        <v>13759801</v>
      </c>
      <c r="E19" s="272">
        <v>248892</v>
      </c>
      <c r="F19" s="272">
        <v>13510909</v>
      </c>
      <c r="G19" s="455">
        <f t="shared" si="1"/>
        <v>2036576</v>
      </c>
      <c r="H19" s="272">
        <v>505223</v>
      </c>
      <c r="I19" s="272">
        <v>1531353</v>
      </c>
      <c r="J19" s="272">
        <v>11871041</v>
      </c>
      <c r="K19" s="272">
        <v>5932861</v>
      </c>
      <c r="L19" s="272">
        <v>4389053</v>
      </c>
      <c r="M19" s="272">
        <v>1304602</v>
      </c>
      <c r="N19" s="272">
        <v>1579605</v>
      </c>
      <c r="O19" s="272">
        <v>3077865</v>
      </c>
      <c r="P19" s="272">
        <v>2066841</v>
      </c>
      <c r="Q19" s="272">
        <v>1011024</v>
      </c>
      <c r="R19" s="272">
        <v>427591</v>
      </c>
      <c r="S19" s="272"/>
      <c r="T19" s="455">
        <f t="shared" si="2"/>
        <v>3206181</v>
      </c>
      <c r="U19" s="272">
        <v>437171</v>
      </c>
      <c r="V19" s="272"/>
      <c r="W19" s="272"/>
      <c r="X19" s="272">
        <v>2275533</v>
      </c>
      <c r="Y19" s="272">
        <v>0</v>
      </c>
      <c r="Z19" s="272">
        <v>13680</v>
      </c>
      <c r="AA19" s="272">
        <v>479797</v>
      </c>
      <c r="AB19" s="272"/>
      <c r="AC19" s="272">
        <v>9232234</v>
      </c>
      <c r="AD19" s="272">
        <v>8694295</v>
      </c>
      <c r="AE19" s="272">
        <v>537939</v>
      </c>
      <c r="AF19" s="272">
        <v>46484</v>
      </c>
      <c r="AG19" s="272">
        <v>703073</v>
      </c>
      <c r="AH19" s="455">
        <f t="shared" si="3"/>
        <v>1471819</v>
      </c>
      <c r="AI19" s="272">
        <v>1031439</v>
      </c>
      <c r="AJ19" s="272">
        <v>440380</v>
      </c>
      <c r="AK19" s="272">
        <v>8360159</v>
      </c>
      <c r="AL19" s="455">
        <f t="shared" si="4"/>
        <v>4557435</v>
      </c>
      <c r="AM19" s="272">
        <v>3013672</v>
      </c>
      <c r="AN19" s="272">
        <v>925854</v>
      </c>
      <c r="AO19" s="272">
        <v>0</v>
      </c>
      <c r="AP19" s="272">
        <v>617909</v>
      </c>
      <c r="AQ19" s="272">
        <v>1169361</v>
      </c>
      <c r="AR19" s="272">
        <v>0</v>
      </c>
      <c r="AS19" s="272">
        <v>0</v>
      </c>
      <c r="AT19" s="272">
        <v>3877846</v>
      </c>
      <c r="AU19" s="272">
        <v>1531302</v>
      </c>
      <c r="AV19" s="272">
        <v>459266</v>
      </c>
      <c r="AW19" s="272">
        <v>6676</v>
      </c>
      <c r="AX19" s="272">
        <v>2346544</v>
      </c>
      <c r="AY19" s="272">
        <v>359168</v>
      </c>
      <c r="AZ19" s="272">
        <v>1059620</v>
      </c>
      <c r="BA19" s="272">
        <v>1020036</v>
      </c>
      <c r="BB19" s="272">
        <v>215977</v>
      </c>
      <c r="BC19" s="272">
        <v>731547</v>
      </c>
      <c r="BD19" s="272">
        <v>130000</v>
      </c>
      <c r="BE19" s="272">
        <v>163000</v>
      </c>
      <c r="BF19" s="272">
        <v>401436</v>
      </c>
      <c r="BG19" s="272">
        <v>0</v>
      </c>
      <c r="BH19" s="272">
        <v>271226</v>
      </c>
      <c r="BI19" s="272">
        <v>259625</v>
      </c>
      <c r="BJ19" s="272">
        <v>3135581</v>
      </c>
      <c r="BK19" s="272">
        <v>2489657</v>
      </c>
      <c r="BL19" s="272">
        <v>0</v>
      </c>
      <c r="BM19" s="272">
        <v>74462</v>
      </c>
      <c r="BN19" s="272">
        <v>4971600</v>
      </c>
      <c r="BO19" s="455">
        <f t="shared" si="5"/>
        <v>3393800</v>
      </c>
      <c r="BP19" s="455">
        <f t="shared" si="6"/>
        <v>1577800</v>
      </c>
      <c r="BQ19" s="272">
        <v>1577800</v>
      </c>
      <c r="BR19" s="272">
        <v>0</v>
      </c>
      <c r="BS19" s="272">
        <v>0</v>
      </c>
      <c r="BT19" s="272">
        <v>0</v>
      </c>
      <c r="BU19" s="272">
        <v>70181822</v>
      </c>
      <c r="BV19" s="272"/>
      <c r="BW19" s="272">
        <v>21531350</v>
      </c>
      <c r="BX19" s="272">
        <v>16592980</v>
      </c>
      <c r="BY19" s="272">
        <v>1122324</v>
      </c>
      <c r="BZ19" s="272">
        <v>338387</v>
      </c>
      <c r="CA19" s="272">
        <v>10372445</v>
      </c>
      <c r="CB19" s="272">
        <v>1359545</v>
      </c>
      <c r="CC19" s="272">
        <v>2574688</v>
      </c>
      <c r="CD19" s="272">
        <v>2225712</v>
      </c>
      <c r="CE19" s="272">
        <v>4076814</v>
      </c>
      <c r="CF19" s="272">
        <v>7370</v>
      </c>
      <c r="CG19" s="272">
        <v>124836</v>
      </c>
      <c r="CH19" s="272">
        <v>6858006</v>
      </c>
      <c r="CI19" s="272">
        <v>4150038</v>
      </c>
      <c r="CJ19" s="455">
        <f t="shared" si="7"/>
        <v>2707968</v>
      </c>
      <c r="CK19" s="272">
        <v>7712700</v>
      </c>
      <c r="CL19" s="272">
        <v>3743125</v>
      </c>
      <c r="CM19" s="272">
        <v>746973</v>
      </c>
      <c r="CN19" s="272">
        <v>1907418</v>
      </c>
      <c r="CO19" s="272">
        <v>422926</v>
      </c>
      <c r="CP19" s="272">
        <v>6171121</v>
      </c>
      <c r="CQ19" s="272">
        <v>3817819</v>
      </c>
      <c r="CR19" s="272">
        <v>1386534</v>
      </c>
      <c r="CS19" s="272">
        <v>1264166</v>
      </c>
      <c r="CT19" s="455">
        <f t="shared" si="8"/>
        <v>6528</v>
      </c>
      <c r="CU19" s="272">
        <v>6528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6038333</v>
      </c>
      <c r="DD19" s="272">
        <v>3000452</v>
      </c>
      <c r="DE19" s="272">
        <v>2992728</v>
      </c>
      <c r="DF19" s="272">
        <v>40000</v>
      </c>
      <c r="DG19" s="272">
        <v>5153</v>
      </c>
      <c r="DH19" s="272">
        <v>15</v>
      </c>
      <c r="DI19" s="272">
        <v>923413</v>
      </c>
      <c r="DJ19" s="272">
        <v>130010</v>
      </c>
      <c r="DK19" s="272">
        <v>1571</v>
      </c>
      <c r="DL19" s="272">
        <v>791832</v>
      </c>
      <c r="DM19" s="272">
        <v>477347</v>
      </c>
      <c r="DN19" s="272">
        <v>227347</v>
      </c>
      <c r="DO19" s="272">
        <v>227347</v>
      </c>
      <c r="DP19" s="272">
        <v>0</v>
      </c>
      <c r="DQ19" s="272">
        <v>2507030</v>
      </c>
      <c r="DR19" s="272">
        <v>0</v>
      </c>
      <c r="DS19" s="272">
        <v>0</v>
      </c>
      <c r="DT19" s="272">
        <v>5993530</v>
      </c>
      <c r="DU19" s="272">
        <v>3182257</v>
      </c>
      <c r="DV19" s="455">
        <f t="shared" si="11"/>
        <v>0</v>
      </c>
      <c r="DW19" s="272">
        <v>0</v>
      </c>
      <c r="DX19" s="272">
        <v>0</v>
      </c>
      <c r="DY19" s="272">
        <v>0</v>
      </c>
      <c r="DZ19" s="272">
        <v>1948390</v>
      </c>
      <c r="EA19" s="272">
        <v>859091</v>
      </c>
      <c r="EB19" s="272"/>
      <c r="EC19" s="272">
        <v>0</v>
      </c>
      <c r="ED19" s="272">
        <v>69008216</v>
      </c>
      <c r="EF19" s="272">
        <v>1173606</v>
      </c>
      <c r="EG19" s="272">
        <v>1075803</v>
      </c>
      <c r="EH19" s="272">
        <v>97803</v>
      </c>
      <c r="EI19" s="272">
        <v>-161822</v>
      </c>
      <c r="EJ19" s="272">
        <v>-161812</v>
      </c>
      <c r="EL19" s="272"/>
      <c r="EM19" s="272">
        <v>252646</v>
      </c>
      <c r="EN19" s="272">
        <v>322111</v>
      </c>
      <c r="EO19" s="272">
        <v>929080</v>
      </c>
      <c r="EP19" s="455">
        <f t="shared" si="12"/>
        <v>900330</v>
      </c>
      <c r="EQ19" s="272">
        <v>45383374</v>
      </c>
      <c r="ER19" s="272">
        <v>-3682837</v>
      </c>
      <c r="ES19" s="272">
        <v>19461810</v>
      </c>
      <c r="ET19" s="272">
        <v>14595993</v>
      </c>
      <c r="EU19" s="272">
        <v>3175046</v>
      </c>
      <c r="EV19" s="272">
        <v>6731883</v>
      </c>
      <c r="EW19" s="455">
        <f t="shared" si="13"/>
        <v>1284048</v>
      </c>
      <c r="EX19" s="272">
        <v>1284033</v>
      </c>
      <c r="EY19" s="272">
        <v>71584</v>
      </c>
      <c r="EZ19" s="272">
        <v>1212449</v>
      </c>
      <c r="FA19" s="272">
        <v>15</v>
      </c>
      <c r="FB19" s="272"/>
      <c r="FC19" s="272">
        <v>5751348</v>
      </c>
      <c r="FD19" s="272">
        <v>5619884</v>
      </c>
      <c r="FE19" s="272">
        <v>3817819</v>
      </c>
      <c r="FF19" s="272">
        <v>5467320</v>
      </c>
      <c r="FG19" s="455">
        <f t="shared" si="14"/>
        <v>1325686</v>
      </c>
      <c r="FH19" s="272">
        <v>48817025</v>
      </c>
      <c r="FI19" s="384">
        <f t="shared" si="15"/>
        <v>0.2</v>
      </c>
      <c r="FJ19" s="272">
        <v>44274828</v>
      </c>
      <c r="FK19" s="272"/>
      <c r="FL19" s="272">
        <v>26809099</v>
      </c>
      <c r="FM19" s="272">
        <v>35453783</v>
      </c>
      <c r="FN19" s="460">
        <v>0.77300000000000002</v>
      </c>
      <c r="FO19" s="388">
        <v>103.8</v>
      </c>
      <c r="FP19" s="388">
        <v>45.7</v>
      </c>
      <c r="FQ19" s="388">
        <v>7.6</v>
      </c>
      <c r="FR19" s="388">
        <v>16.100000000000001</v>
      </c>
      <c r="FS19" s="388">
        <v>12.8</v>
      </c>
      <c r="FT19" s="388">
        <v>12.4</v>
      </c>
      <c r="FU19" s="388">
        <v>8.1999999999999993</v>
      </c>
      <c r="FV19" s="388">
        <v>10.199999999999999</v>
      </c>
      <c r="FW19" s="272">
        <v>66352528</v>
      </c>
      <c r="FX19" s="384">
        <f t="shared" si="16"/>
        <v>149.9</v>
      </c>
      <c r="FY19" s="272">
        <v>5044261</v>
      </c>
      <c r="FZ19" s="272">
        <v>1164</v>
      </c>
      <c r="GA19" s="272">
        <v>2530</v>
      </c>
      <c r="GB19" s="272">
        <v>5040567</v>
      </c>
      <c r="GC19" s="272"/>
      <c r="GD19" s="272">
        <v>9528057</v>
      </c>
      <c r="GE19" s="384">
        <f t="shared" si="17"/>
        <v>21.5</v>
      </c>
      <c r="GF19" s="388">
        <v>97.1</v>
      </c>
      <c r="GG19" s="388">
        <v>18.100000000000001</v>
      </c>
      <c r="GH19" s="388">
        <v>89.2</v>
      </c>
      <c r="GI19" s="272">
        <v>2114</v>
      </c>
    </row>
    <row r="20" spans="2:191" x14ac:dyDescent="0.15">
      <c r="B20" s="89" t="s">
        <v>33</v>
      </c>
      <c r="C20" s="272">
        <v>16589356</v>
      </c>
      <c r="D20" s="455">
        <f t="shared" si="0"/>
        <v>7934006</v>
      </c>
      <c r="E20" s="272">
        <v>108599</v>
      </c>
      <c r="F20" s="272">
        <v>7825407</v>
      </c>
      <c r="G20" s="455">
        <f t="shared" si="1"/>
        <v>563676</v>
      </c>
      <c r="H20" s="272">
        <v>174829</v>
      </c>
      <c r="I20" s="272">
        <v>388847</v>
      </c>
      <c r="J20" s="272">
        <v>6028824</v>
      </c>
      <c r="K20" s="272">
        <v>2611897</v>
      </c>
      <c r="L20" s="272">
        <v>2568626</v>
      </c>
      <c r="M20" s="272">
        <v>782729</v>
      </c>
      <c r="N20" s="272">
        <v>466554</v>
      </c>
      <c r="O20" s="272">
        <v>1475361</v>
      </c>
      <c r="P20" s="272">
        <v>923994</v>
      </c>
      <c r="Q20" s="272">
        <v>551367</v>
      </c>
      <c r="R20" s="272">
        <v>284420</v>
      </c>
      <c r="S20" s="272"/>
      <c r="T20" s="455">
        <f t="shared" si="2"/>
        <v>1505350</v>
      </c>
      <c r="U20" s="272">
        <v>230151</v>
      </c>
      <c r="V20" s="272"/>
      <c r="W20" s="272"/>
      <c r="X20" s="272">
        <v>934929</v>
      </c>
      <c r="Y20" s="272">
        <v>16715</v>
      </c>
      <c r="Z20" s="272">
        <v>4859</v>
      </c>
      <c r="AA20" s="272">
        <v>318696</v>
      </c>
      <c r="AB20" s="272"/>
      <c r="AC20" s="272">
        <v>3814046</v>
      </c>
      <c r="AD20" s="272">
        <v>3512732</v>
      </c>
      <c r="AE20" s="272">
        <v>301314</v>
      </c>
      <c r="AF20" s="272">
        <v>26306</v>
      </c>
      <c r="AG20" s="272">
        <v>313260</v>
      </c>
      <c r="AH20" s="455">
        <f t="shared" si="3"/>
        <v>1095423</v>
      </c>
      <c r="AI20" s="272">
        <v>740232</v>
      </c>
      <c r="AJ20" s="272">
        <v>355191</v>
      </c>
      <c r="AK20" s="272">
        <v>3231891</v>
      </c>
      <c r="AL20" s="455">
        <f t="shared" si="4"/>
        <v>1253377</v>
      </c>
      <c r="AM20" s="272">
        <v>806819</v>
      </c>
      <c r="AN20" s="272">
        <v>268091</v>
      </c>
      <c r="AO20" s="272">
        <v>0</v>
      </c>
      <c r="AP20" s="272">
        <v>178467</v>
      </c>
      <c r="AQ20" s="272">
        <v>515297</v>
      </c>
      <c r="AR20" s="272">
        <v>2171</v>
      </c>
      <c r="AS20" s="272">
        <v>0</v>
      </c>
      <c r="AT20" s="272">
        <v>1581806</v>
      </c>
      <c r="AU20" s="272">
        <v>591115</v>
      </c>
      <c r="AV20" s="272">
        <v>137486</v>
      </c>
      <c r="AW20" s="272">
        <v>20452</v>
      </c>
      <c r="AX20" s="272">
        <v>990691</v>
      </c>
      <c r="AY20" s="272">
        <v>129156</v>
      </c>
      <c r="AZ20" s="272">
        <v>399101</v>
      </c>
      <c r="BA20" s="272">
        <v>267921</v>
      </c>
      <c r="BB20" s="272">
        <v>133385</v>
      </c>
      <c r="BC20" s="272">
        <v>73507</v>
      </c>
      <c r="BD20" s="272">
        <v>0</v>
      </c>
      <c r="BE20" s="272">
        <v>0</v>
      </c>
      <c r="BF20" s="272">
        <v>40315</v>
      </c>
      <c r="BG20" s="272">
        <v>0</v>
      </c>
      <c r="BH20" s="272">
        <v>780536</v>
      </c>
      <c r="BI20" s="272">
        <v>368165</v>
      </c>
      <c r="BJ20" s="272">
        <v>1008887</v>
      </c>
      <c r="BK20" s="272">
        <v>823631</v>
      </c>
      <c r="BL20" s="272">
        <v>0</v>
      </c>
      <c r="BM20" s="272">
        <v>0</v>
      </c>
      <c r="BN20" s="272">
        <v>3247200</v>
      </c>
      <c r="BO20" s="455">
        <f t="shared" si="5"/>
        <v>2449100</v>
      </c>
      <c r="BP20" s="455">
        <f t="shared" si="6"/>
        <v>798100</v>
      </c>
      <c r="BQ20" s="272">
        <v>798100</v>
      </c>
      <c r="BR20" s="272">
        <v>0</v>
      </c>
      <c r="BS20" s="272">
        <v>0</v>
      </c>
      <c r="BT20" s="272">
        <v>0</v>
      </c>
      <c r="BU20" s="272">
        <v>34084474</v>
      </c>
      <c r="BV20" s="272"/>
      <c r="BW20" s="272">
        <v>7058035</v>
      </c>
      <c r="BX20" s="272">
        <v>4815018</v>
      </c>
      <c r="BY20" s="272">
        <v>359570</v>
      </c>
      <c r="BZ20" s="272">
        <v>606115</v>
      </c>
      <c r="CA20" s="272">
        <v>3914936</v>
      </c>
      <c r="CB20" s="272">
        <v>738709</v>
      </c>
      <c r="CC20" s="272">
        <v>1089378</v>
      </c>
      <c r="CD20" s="272">
        <v>941696</v>
      </c>
      <c r="CE20" s="272">
        <v>1116510</v>
      </c>
      <c r="CF20" s="272">
        <v>0</v>
      </c>
      <c r="CG20" s="272">
        <v>28643</v>
      </c>
      <c r="CH20" s="272">
        <v>3545935</v>
      </c>
      <c r="CI20" s="272">
        <v>2334693</v>
      </c>
      <c r="CJ20" s="455">
        <f t="shared" si="7"/>
        <v>1211242</v>
      </c>
      <c r="CK20" s="272">
        <v>5721277</v>
      </c>
      <c r="CL20" s="272">
        <v>3829659</v>
      </c>
      <c r="CM20" s="272">
        <v>106584</v>
      </c>
      <c r="CN20" s="272">
        <v>940949</v>
      </c>
      <c r="CO20" s="272">
        <v>138030</v>
      </c>
      <c r="CP20" s="272">
        <v>2870539</v>
      </c>
      <c r="CQ20" s="272">
        <v>634466</v>
      </c>
      <c r="CR20" s="272">
        <v>1350330</v>
      </c>
      <c r="CS20" s="272">
        <v>905158</v>
      </c>
      <c r="CT20" s="455">
        <f t="shared" si="8"/>
        <v>174954</v>
      </c>
      <c r="CU20" s="272">
        <v>9466</v>
      </c>
      <c r="CV20" s="272">
        <v>165488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5461347</v>
      </c>
      <c r="DD20" s="272">
        <v>1270242</v>
      </c>
      <c r="DE20" s="272">
        <v>4059143</v>
      </c>
      <c r="DF20" s="272">
        <v>131962</v>
      </c>
      <c r="DG20" s="272">
        <v>0</v>
      </c>
      <c r="DH20" s="272">
        <v>157177</v>
      </c>
      <c r="DI20" s="272">
        <v>882246</v>
      </c>
      <c r="DJ20" s="272">
        <v>720222</v>
      </c>
      <c r="DK20" s="272">
        <v>118490</v>
      </c>
      <c r="DL20" s="272">
        <v>43534</v>
      </c>
      <c r="DM20" s="272">
        <v>0</v>
      </c>
      <c r="DN20" s="272">
        <v>0</v>
      </c>
      <c r="DO20" s="272">
        <v>0</v>
      </c>
      <c r="DP20" s="272">
        <v>0</v>
      </c>
      <c r="DQ20" s="272">
        <v>870876</v>
      </c>
      <c r="DR20" s="272">
        <v>0</v>
      </c>
      <c r="DS20" s="272">
        <v>0</v>
      </c>
      <c r="DT20" s="272">
        <v>2316758</v>
      </c>
      <c r="DU20" s="272">
        <v>1263640</v>
      </c>
      <c r="DV20" s="455">
        <f t="shared" si="11"/>
        <v>0</v>
      </c>
      <c r="DW20" s="272">
        <v>0</v>
      </c>
      <c r="DX20" s="272">
        <v>0</v>
      </c>
      <c r="DY20" s="272">
        <v>0</v>
      </c>
      <c r="DZ20" s="272">
        <v>554717</v>
      </c>
      <c r="EA20" s="272">
        <v>498401</v>
      </c>
      <c r="EB20" s="272"/>
      <c r="EC20" s="272">
        <v>0</v>
      </c>
      <c r="ED20" s="272">
        <v>32937156</v>
      </c>
      <c r="EF20" s="272">
        <v>1147318</v>
      </c>
      <c r="EG20" s="272">
        <v>655217</v>
      </c>
      <c r="EH20" s="272">
        <v>492101</v>
      </c>
      <c r="EI20" s="272">
        <v>123936</v>
      </c>
      <c r="EJ20" s="272">
        <v>1133095</v>
      </c>
      <c r="EL20" s="272"/>
      <c r="EM20" s="272">
        <v>122655</v>
      </c>
      <c r="EN20" s="272">
        <v>24467</v>
      </c>
      <c r="EO20" s="272">
        <v>273551</v>
      </c>
      <c r="EP20" s="455">
        <f t="shared" si="12"/>
        <v>1083865</v>
      </c>
      <c r="EQ20" s="272">
        <v>22219478</v>
      </c>
      <c r="ER20" s="272">
        <v>-2153677</v>
      </c>
      <c r="ES20" s="272">
        <v>6649277</v>
      </c>
      <c r="ET20" s="272">
        <v>4455579</v>
      </c>
      <c r="EU20" s="272">
        <v>1329503</v>
      </c>
      <c r="EV20" s="272">
        <v>3545935</v>
      </c>
      <c r="EW20" s="455">
        <f t="shared" si="13"/>
        <v>2388707</v>
      </c>
      <c r="EX20" s="272">
        <v>2239953</v>
      </c>
      <c r="EY20" s="272">
        <v>196744</v>
      </c>
      <c r="EZ20" s="272">
        <v>2039727</v>
      </c>
      <c r="FA20" s="272">
        <v>148754</v>
      </c>
      <c r="FB20" s="272"/>
      <c r="FC20" s="272">
        <v>4260815</v>
      </c>
      <c r="FD20" s="272">
        <v>2370378</v>
      </c>
      <c r="FE20" s="272">
        <v>634466</v>
      </c>
      <c r="FF20" s="272">
        <v>2200677</v>
      </c>
      <c r="FG20" s="455">
        <f t="shared" si="14"/>
        <v>934564</v>
      </c>
      <c r="FH20" s="272">
        <v>23679856</v>
      </c>
      <c r="FI20" s="384">
        <f t="shared" si="15"/>
        <v>2.2999999999999998</v>
      </c>
      <c r="FJ20" s="272">
        <v>21766708</v>
      </c>
      <c r="FK20" s="272"/>
      <c r="FL20" s="272">
        <v>13767104</v>
      </c>
      <c r="FM20" s="272">
        <v>17300508</v>
      </c>
      <c r="FN20" s="460">
        <v>0.82299999999999995</v>
      </c>
      <c r="FO20" s="388">
        <v>89.7</v>
      </c>
      <c r="FP20" s="388">
        <v>31.9</v>
      </c>
      <c r="FQ20" s="388">
        <v>6.5</v>
      </c>
      <c r="FR20" s="388">
        <v>15.8</v>
      </c>
      <c r="FS20" s="388">
        <v>20.3</v>
      </c>
      <c r="FT20" s="388">
        <v>9.5</v>
      </c>
      <c r="FU20" s="388">
        <v>5.2</v>
      </c>
      <c r="FV20" s="388">
        <v>9.4</v>
      </c>
      <c r="FW20" s="272">
        <v>31127647</v>
      </c>
      <c r="FX20" s="384">
        <f t="shared" si="16"/>
        <v>143</v>
      </c>
      <c r="FY20" s="272">
        <v>16638336</v>
      </c>
      <c r="FZ20" s="272">
        <v>8766513</v>
      </c>
      <c r="GA20" s="272">
        <v>1785718</v>
      </c>
      <c r="GB20" s="272">
        <v>6086105</v>
      </c>
      <c r="GC20" s="272"/>
      <c r="GD20" s="272">
        <v>8384417</v>
      </c>
      <c r="GE20" s="384">
        <f t="shared" si="17"/>
        <v>38.5</v>
      </c>
      <c r="GF20" s="388">
        <v>97.5</v>
      </c>
      <c r="GG20" s="388">
        <v>20.399999999999999</v>
      </c>
      <c r="GH20" s="388">
        <v>91.4</v>
      </c>
      <c r="GI20" s="272">
        <v>632</v>
      </c>
    </row>
    <row r="21" spans="2:191" x14ac:dyDescent="0.15">
      <c r="B21" s="89" t="s">
        <v>35</v>
      </c>
      <c r="C21" s="272">
        <v>15925784</v>
      </c>
      <c r="D21" s="455">
        <f t="shared" si="0"/>
        <v>5988698</v>
      </c>
      <c r="E21" s="272">
        <v>120960</v>
      </c>
      <c r="F21" s="272">
        <v>5867738</v>
      </c>
      <c r="G21" s="455">
        <f t="shared" si="1"/>
        <v>1075034</v>
      </c>
      <c r="H21" s="272">
        <v>223855</v>
      </c>
      <c r="I21" s="272">
        <v>851179</v>
      </c>
      <c r="J21" s="272">
        <v>6423817</v>
      </c>
      <c r="K21" s="272">
        <v>3617751</v>
      </c>
      <c r="L21" s="272">
        <v>2131994</v>
      </c>
      <c r="M21" s="272">
        <v>638665</v>
      </c>
      <c r="N21" s="272">
        <v>755630</v>
      </c>
      <c r="O21" s="272">
        <v>1585547</v>
      </c>
      <c r="P21" s="272">
        <v>1099893</v>
      </c>
      <c r="Q21" s="272">
        <v>485654</v>
      </c>
      <c r="R21" s="272">
        <v>231447</v>
      </c>
      <c r="S21" s="272"/>
      <c r="T21" s="455">
        <f t="shared" si="2"/>
        <v>1676156</v>
      </c>
      <c r="U21" s="272">
        <v>197942</v>
      </c>
      <c r="V21" s="272"/>
      <c r="W21" s="272"/>
      <c r="X21" s="272">
        <v>1217050</v>
      </c>
      <c r="Y21" s="272">
        <v>0</v>
      </c>
      <c r="Z21" s="272">
        <v>1235</v>
      </c>
      <c r="AA21" s="272">
        <v>259929</v>
      </c>
      <c r="AB21" s="272"/>
      <c r="AC21" s="272">
        <v>7608259</v>
      </c>
      <c r="AD21" s="272">
        <v>7132808</v>
      </c>
      <c r="AE21" s="272">
        <v>475451</v>
      </c>
      <c r="AF21" s="272">
        <v>27817</v>
      </c>
      <c r="AG21" s="272">
        <v>270306</v>
      </c>
      <c r="AH21" s="455">
        <f t="shared" si="3"/>
        <v>531446</v>
      </c>
      <c r="AI21" s="272">
        <v>477538</v>
      </c>
      <c r="AJ21" s="272">
        <v>53908</v>
      </c>
      <c r="AK21" s="272">
        <v>4644114</v>
      </c>
      <c r="AL21" s="455">
        <f t="shared" si="4"/>
        <v>2579005</v>
      </c>
      <c r="AM21" s="272">
        <v>1933871</v>
      </c>
      <c r="AN21" s="272">
        <v>301141</v>
      </c>
      <c r="AO21" s="272">
        <v>0</v>
      </c>
      <c r="AP21" s="272">
        <v>343993</v>
      </c>
      <c r="AQ21" s="272">
        <v>623143</v>
      </c>
      <c r="AR21" s="272">
        <v>25012</v>
      </c>
      <c r="AS21" s="272">
        <v>0</v>
      </c>
      <c r="AT21" s="272">
        <v>2187360</v>
      </c>
      <c r="AU21" s="272">
        <v>731979</v>
      </c>
      <c r="AV21" s="272">
        <v>149406</v>
      </c>
      <c r="AW21" s="272">
        <v>185</v>
      </c>
      <c r="AX21" s="272">
        <v>1455381</v>
      </c>
      <c r="AY21" s="272">
        <v>227833</v>
      </c>
      <c r="AZ21" s="272">
        <v>201867</v>
      </c>
      <c r="BA21" s="272">
        <v>18512</v>
      </c>
      <c r="BB21" s="272">
        <v>191397</v>
      </c>
      <c r="BC21" s="272">
        <v>1150166</v>
      </c>
      <c r="BD21" s="272">
        <v>0</v>
      </c>
      <c r="BE21" s="272">
        <v>200000</v>
      </c>
      <c r="BF21" s="272">
        <v>905080</v>
      </c>
      <c r="BG21" s="272">
        <v>0</v>
      </c>
      <c r="BH21" s="272">
        <v>124973</v>
      </c>
      <c r="BI21" s="272">
        <v>116855</v>
      </c>
      <c r="BJ21" s="272">
        <v>289016</v>
      </c>
      <c r="BK21" s="272">
        <v>63808</v>
      </c>
      <c r="BL21" s="272">
        <v>0</v>
      </c>
      <c r="BM21" s="272">
        <v>0</v>
      </c>
      <c r="BN21" s="272">
        <v>3437300</v>
      </c>
      <c r="BO21" s="455">
        <f t="shared" si="5"/>
        <v>2681100</v>
      </c>
      <c r="BP21" s="455">
        <f t="shared" si="6"/>
        <v>756200</v>
      </c>
      <c r="BQ21" s="272">
        <v>756200</v>
      </c>
      <c r="BR21" s="272">
        <v>0</v>
      </c>
      <c r="BS21" s="272">
        <v>0</v>
      </c>
      <c r="BT21" s="272">
        <v>0</v>
      </c>
      <c r="BU21" s="272">
        <v>38497408</v>
      </c>
      <c r="BV21" s="272"/>
      <c r="BW21" s="272">
        <v>10080997</v>
      </c>
      <c r="BX21" s="272">
        <v>7596987</v>
      </c>
      <c r="BY21" s="272">
        <v>619522</v>
      </c>
      <c r="BZ21" s="272">
        <v>217460</v>
      </c>
      <c r="CA21" s="272">
        <v>6103225</v>
      </c>
      <c r="CB21" s="272">
        <v>673821</v>
      </c>
      <c r="CC21" s="272">
        <v>1699032</v>
      </c>
      <c r="CD21" s="272">
        <v>1079240</v>
      </c>
      <c r="CE21" s="272">
        <v>2565506</v>
      </c>
      <c r="CF21" s="272">
        <v>0</v>
      </c>
      <c r="CG21" s="272">
        <v>85231</v>
      </c>
      <c r="CH21" s="272">
        <v>3777982</v>
      </c>
      <c r="CI21" s="272">
        <v>2456944</v>
      </c>
      <c r="CJ21" s="455">
        <f t="shared" si="7"/>
        <v>1321038</v>
      </c>
      <c r="CK21" s="272">
        <v>4754674</v>
      </c>
      <c r="CL21" s="272">
        <v>2958455</v>
      </c>
      <c r="CM21" s="272">
        <v>179365</v>
      </c>
      <c r="CN21" s="272">
        <v>900979</v>
      </c>
      <c r="CO21" s="272">
        <v>277581</v>
      </c>
      <c r="CP21" s="272">
        <v>2913145</v>
      </c>
      <c r="CQ21" s="272">
        <v>9256</v>
      </c>
      <c r="CR21" s="272">
        <v>1944189</v>
      </c>
      <c r="CS21" s="272">
        <v>968908</v>
      </c>
      <c r="CT21" s="455">
        <f t="shared" si="8"/>
        <v>668403</v>
      </c>
      <c r="CU21" s="272">
        <v>12000</v>
      </c>
      <c r="CV21" s="272">
        <v>656403</v>
      </c>
      <c r="CW21" s="455">
        <f t="shared" si="9"/>
        <v>638309</v>
      </c>
      <c r="CX21" s="272">
        <v>0</v>
      </c>
      <c r="CY21" s="272">
        <v>638309</v>
      </c>
      <c r="CZ21" s="455">
        <f t="shared" si="10"/>
        <v>0</v>
      </c>
      <c r="DA21" s="272">
        <v>0</v>
      </c>
      <c r="DB21" s="272">
        <v>0</v>
      </c>
      <c r="DC21" s="272">
        <v>4662332</v>
      </c>
      <c r="DD21" s="272">
        <v>1245427</v>
      </c>
      <c r="DE21" s="272">
        <v>3370487</v>
      </c>
      <c r="DF21" s="272">
        <v>46418</v>
      </c>
      <c r="DG21" s="272">
        <v>0</v>
      </c>
      <c r="DH21" s="272">
        <v>47290</v>
      </c>
      <c r="DI21" s="272">
        <v>524740</v>
      </c>
      <c r="DJ21" s="272">
        <v>205792</v>
      </c>
      <c r="DK21" s="272">
        <v>5018</v>
      </c>
      <c r="DL21" s="272">
        <v>313930</v>
      </c>
      <c r="DM21" s="272">
        <v>0</v>
      </c>
      <c r="DN21" s="272">
        <v>0</v>
      </c>
      <c r="DO21" s="272">
        <v>0</v>
      </c>
      <c r="DP21" s="272">
        <v>0</v>
      </c>
      <c r="DQ21" s="272">
        <v>60000</v>
      </c>
      <c r="DR21" s="272">
        <v>0</v>
      </c>
      <c r="DS21" s="272">
        <v>0</v>
      </c>
      <c r="DT21" s="272">
        <v>4640396</v>
      </c>
      <c r="DU21" s="272">
        <v>3042000</v>
      </c>
      <c r="DV21" s="455">
        <f t="shared" si="11"/>
        <v>0</v>
      </c>
      <c r="DW21" s="272">
        <v>0</v>
      </c>
      <c r="DX21" s="272">
        <v>0</v>
      </c>
      <c r="DY21" s="272">
        <v>0</v>
      </c>
      <c r="DZ21" s="272">
        <v>1027538</v>
      </c>
      <c r="EA21" s="272">
        <v>536544</v>
      </c>
      <c r="EB21" s="272"/>
      <c r="EC21" s="272">
        <v>0</v>
      </c>
      <c r="ED21" s="272">
        <v>37842362</v>
      </c>
      <c r="EF21" s="272">
        <v>655046</v>
      </c>
      <c r="EG21" s="272">
        <v>532429</v>
      </c>
      <c r="EH21" s="272">
        <v>122617</v>
      </c>
      <c r="EI21" s="272">
        <v>5762</v>
      </c>
      <c r="EJ21" s="272">
        <v>211554</v>
      </c>
      <c r="EL21" s="272"/>
      <c r="EM21" s="272">
        <v>132630</v>
      </c>
      <c r="EN21" s="272">
        <v>406200</v>
      </c>
      <c r="EO21" s="272">
        <v>158034</v>
      </c>
      <c r="EP21" s="455">
        <f t="shared" si="12"/>
        <v>447456</v>
      </c>
      <c r="EQ21" s="272">
        <v>25469463</v>
      </c>
      <c r="ER21" s="272">
        <v>-1740073</v>
      </c>
      <c r="ES21" s="272">
        <v>9260294</v>
      </c>
      <c r="ET21" s="272">
        <v>6907318</v>
      </c>
      <c r="EU21" s="272">
        <v>1895511</v>
      </c>
      <c r="EV21" s="272">
        <v>3777982</v>
      </c>
      <c r="EW21" s="455">
        <f t="shared" si="13"/>
        <v>538546</v>
      </c>
      <c r="EX21" s="272">
        <v>538539</v>
      </c>
      <c r="EY21" s="272">
        <v>28684</v>
      </c>
      <c r="EZ21" s="272">
        <v>509777</v>
      </c>
      <c r="FA21" s="272">
        <v>7</v>
      </c>
      <c r="FB21" s="272"/>
      <c r="FC21" s="272">
        <v>3967159</v>
      </c>
      <c r="FD21" s="272">
        <v>2620045</v>
      </c>
      <c r="FE21" s="272">
        <v>9256</v>
      </c>
      <c r="FF21" s="272">
        <v>4282894</v>
      </c>
      <c r="FG21" s="455">
        <f t="shared" si="14"/>
        <v>712059</v>
      </c>
      <c r="FH21" s="272">
        <v>27054490</v>
      </c>
      <c r="FI21" s="384">
        <f t="shared" si="15"/>
        <v>0.5</v>
      </c>
      <c r="FJ21" s="272">
        <v>24447326</v>
      </c>
      <c r="FK21" s="272"/>
      <c r="FL21" s="272">
        <v>13050480</v>
      </c>
      <c r="FM21" s="272">
        <v>20196041</v>
      </c>
      <c r="FN21" s="460">
        <v>0.65300000000000002</v>
      </c>
      <c r="FO21" s="388">
        <v>98.3</v>
      </c>
      <c r="FP21" s="388">
        <v>37.700000000000003</v>
      </c>
      <c r="FQ21" s="388">
        <v>8</v>
      </c>
      <c r="FR21" s="388">
        <v>16</v>
      </c>
      <c r="FS21" s="388">
        <v>16.2</v>
      </c>
      <c r="FT21" s="388">
        <v>8.3000000000000007</v>
      </c>
      <c r="FU21" s="388">
        <v>11.1</v>
      </c>
      <c r="FV21" s="388">
        <v>11.1</v>
      </c>
      <c r="FW21" s="272">
        <v>34232984</v>
      </c>
      <c r="FX21" s="384">
        <f t="shared" si="16"/>
        <v>140</v>
      </c>
      <c r="FY21" s="272">
        <v>4237260</v>
      </c>
      <c r="FZ21" s="272">
        <v>550979</v>
      </c>
      <c r="GA21" s="272">
        <v>347321</v>
      </c>
      <c r="GB21" s="272">
        <v>3338960</v>
      </c>
      <c r="GC21" s="272"/>
      <c r="GD21" s="272">
        <v>3313099</v>
      </c>
      <c r="GE21" s="384">
        <f t="shared" si="17"/>
        <v>13.6</v>
      </c>
      <c r="GF21" s="388">
        <v>96.7</v>
      </c>
      <c r="GG21" s="388">
        <v>24.3</v>
      </c>
      <c r="GH21" s="388">
        <v>89.2</v>
      </c>
      <c r="GI21" s="272">
        <v>948</v>
      </c>
    </row>
    <row r="22" spans="2:191" x14ac:dyDescent="0.15">
      <c r="B22" s="89" t="s">
        <v>37</v>
      </c>
      <c r="C22" s="272">
        <v>21500695</v>
      </c>
      <c r="D22" s="455">
        <f t="shared" si="0"/>
        <v>6052827</v>
      </c>
      <c r="E22" s="272">
        <v>125111</v>
      </c>
      <c r="F22" s="272">
        <v>5927716</v>
      </c>
      <c r="G22" s="455">
        <f t="shared" si="1"/>
        <v>1640928</v>
      </c>
      <c r="H22" s="272">
        <v>283486</v>
      </c>
      <c r="I22" s="272">
        <v>1357442</v>
      </c>
      <c r="J22" s="272">
        <v>9420661</v>
      </c>
      <c r="K22" s="272">
        <v>5170635</v>
      </c>
      <c r="L22" s="272">
        <v>2947667</v>
      </c>
      <c r="M22" s="272">
        <v>1168111</v>
      </c>
      <c r="N22" s="272">
        <v>2164381</v>
      </c>
      <c r="O22" s="272">
        <v>2130700</v>
      </c>
      <c r="P22" s="272">
        <v>1460168</v>
      </c>
      <c r="Q22" s="272">
        <v>670532</v>
      </c>
      <c r="R22" s="272">
        <v>225652</v>
      </c>
      <c r="S22" s="272"/>
      <c r="T22" s="455">
        <f t="shared" si="2"/>
        <v>1819678</v>
      </c>
      <c r="U22" s="272">
        <v>195441</v>
      </c>
      <c r="V22" s="272"/>
      <c r="W22" s="272"/>
      <c r="X22" s="272">
        <v>1329459</v>
      </c>
      <c r="Y22" s="272">
        <v>31314</v>
      </c>
      <c r="Z22" s="272">
        <v>10151</v>
      </c>
      <c r="AA22" s="272">
        <v>253313</v>
      </c>
      <c r="AB22" s="272"/>
      <c r="AC22" s="272">
        <v>1092561</v>
      </c>
      <c r="AD22" s="272">
        <v>657248</v>
      </c>
      <c r="AE22" s="272">
        <v>435313</v>
      </c>
      <c r="AF22" s="272">
        <v>28138</v>
      </c>
      <c r="AG22" s="272">
        <v>453570</v>
      </c>
      <c r="AH22" s="455">
        <f t="shared" si="3"/>
        <v>869249</v>
      </c>
      <c r="AI22" s="272">
        <v>538289</v>
      </c>
      <c r="AJ22" s="272">
        <v>330960</v>
      </c>
      <c r="AK22" s="272">
        <v>4345505</v>
      </c>
      <c r="AL22" s="455">
        <f t="shared" si="4"/>
        <v>1748256</v>
      </c>
      <c r="AM22" s="272">
        <v>999050</v>
      </c>
      <c r="AN22" s="272">
        <v>484436</v>
      </c>
      <c r="AO22" s="272">
        <v>0</v>
      </c>
      <c r="AP22" s="272">
        <v>264770</v>
      </c>
      <c r="AQ22" s="272">
        <v>1155388</v>
      </c>
      <c r="AR22" s="272">
        <v>0</v>
      </c>
      <c r="AS22" s="272">
        <v>0</v>
      </c>
      <c r="AT22" s="272">
        <v>2225857</v>
      </c>
      <c r="AU22" s="272">
        <v>738336</v>
      </c>
      <c r="AV22" s="272">
        <v>240293</v>
      </c>
      <c r="AW22" s="272">
        <v>37875</v>
      </c>
      <c r="AX22" s="272">
        <v>1487521</v>
      </c>
      <c r="AY22" s="272">
        <v>401670</v>
      </c>
      <c r="AZ22" s="272">
        <v>113311</v>
      </c>
      <c r="BA22" s="272">
        <v>10110</v>
      </c>
      <c r="BB22" s="272">
        <v>29053</v>
      </c>
      <c r="BC22" s="272">
        <v>691486</v>
      </c>
      <c r="BD22" s="272">
        <v>200000</v>
      </c>
      <c r="BE22" s="272">
        <v>241536</v>
      </c>
      <c r="BF22" s="272">
        <v>219030</v>
      </c>
      <c r="BG22" s="272">
        <v>30920</v>
      </c>
      <c r="BH22" s="272">
        <v>333366</v>
      </c>
      <c r="BI22" s="272">
        <v>217940</v>
      </c>
      <c r="BJ22" s="272">
        <v>2411737</v>
      </c>
      <c r="BK22" s="272">
        <v>2157040</v>
      </c>
      <c r="BL22" s="272">
        <v>471</v>
      </c>
      <c r="BM22" s="272">
        <v>0</v>
      </c>
      <c r="BN22" s="272">
        <v>4525300</v>
      </c>
      <c r="BO22" s="455">
        <f t="shared" si="5"/>
        <v>3764000</v>
      </c>
      <c r="BP22" s="455">
        <f t="shared" si="6"/>
        <v>761300</v>
      </c>
      <c r="BQ22" s="272">
        <v>761300</v>
      </c>
      <c r="BR22" s="272">
        <v>0</v>
      </c>
      <c r="BS22" s="272">
        <v>0</v>
      </c>
      <c r="BT22" s="272">
        <v>0</v>
      </c>
      <c r="BU22" s="272">
        <v>40665158</v>
      </c>
      <c r="BV22" s="272"/>
      <c r="BW22" s="272">
        <v>11965152</v>
      </c>
      <c r="BX22" s="272">
        <v>8921080</v>
      </c>
      <c r="BY22" s="272">
        <v>1010554</v>
      </c>
      <c r="BZ22" s="272">
        <v>192152</v>
      </c>
      <c r="CA22" s="272">
        <v>4863699</v>
      </c>
      <c r="CB22" s="272">
        <v>528101</v>
      </c>
      <c r="CC22" s="272">
        <v>1205153</v>
      </c>
      <c r="CD22" s="272">
        <v>1710973</v>
      </c>
      <c r="CE22" s="272">
        <v>1312792</v>
      </c>
      <c r="CF22" s="272">
        <v>5980</v>
      </c>
      <c r="CG22" s="272">
        <v>100100</v>
      </c>
      <c r="CH22" s="272">
        <v>3196383</v>
      </c>
      <c r="CI22" s="272">
        <v>2077488</v>
      </c>
      <c r="CJ22" s="455">
        <f t="shared" si="7"/>
        <v>1118895</v>
      </c>
      <c r="CK22" s="272">
        <v>3992294</v>
      </c>
      <c r="CL22" s="272">
        <v>2594629</v>
      </c>
      <c r="CM22" s="272">
        <v>115031</v>
      </c>
      <c r="CN22" s="272">
        <v>754428</v>
      </c>
      <c r="CO22" s="272">
        <v>168371</v>
      </c>
      <c r="CP22" s="272">
        <v>2623253</v>
      </c>
      <c r="CQ22" s="272">
        <v>1498758</v>
      </c>
      <c r="CR22" s="272">
        <v>594553</v>
      </c>
      <c r="CS22" s="272">
        <v>594553</v>
      </c>
      <c r="CT22" s="455">
        <f t="shared" si="8"/>
        <v>20443</v>
      </c>
      <c r="CU22" s="272">
        <v>20443</v>
      </c>
      <c r="CV22" s="272">
        <v>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7222830</v>
      </c>
      <c r="DD22" s="272">
        <v>3006641</v>
      </c>
      <c r="DE22" s="272">
        <v>4114364</v>
      </c>
      <c r="DF22" s="272">
        <v>46825</v>
      </c>
      <c r="DG22" s="272">
        <v>55000</v>
      </c>
      <c r="DH22" s="272">
        <v>0</v>
      </c>
      <c r="DI22" s="272">
        <v>368805</v>
      </c>
      <c r="DJ22" s="272">
        <v>201438</v>
      </c>
      <c r="DK22" s="272">
        <v>15362</v>
      </c>
      <c r="DL22" s="272">
        <v>152005</v>
      </c>
      <c r="DM22" s="272">
        <v>35700</v>
      </c>
      <c r="DN22" s="272">
        <v>35700</v>
      </c>
      <c r="DO22" s="272">
        <v>35700</v>
      </c>
      <c r="DP22" s="272">
        <v>0</v>
      </c>
      <c r="DQ22" s="272">
        <v>2120000</v>
      </c>
      <c r="DR22" s="272">
        <v>0</v>
      </c>
      <c r="DS22" s="272">
        <v>0</v>
      </c>
      <c r="DT22" s="272">
        <v>3297025</v>
      </c>
      <c r="DU22" s="272">
        <v>2176069</v>
      </c>
      <c r="DV22" s="455">
        <f t="shared" si="11"/>
        <v>0</v>
      </c>
      <c r="DW22" s="272">
        <v>0</v>
      </c>
      <c r="DX22" s="272">
        <v>0</v>
      </c>
      <c r="DY22" s="272">
        <v>0</v>
      </c>
      <c r="DZ22" s="272">
        <v>681815</v>
      </c>
      <c r="EA22" s="272">
        <v>434612</v>
      </c>
      <c r="EB22" s="272"/>
      <c r="EC22" s="272">
        <v>0</v>
      </c>
      <c r="ED22" s="272">
        <v>39853512</v>
      </c>
      <c r="EF22" s="272">
        <v>811646</v>
      </c>
      <c r="EG22" s="272">
        <v>625279</v>
      </c>
      <c r="EH22" s="272">
        <v>186367</v>
      </c>
      <c r="EI22" s="272">
        <v>-31573</v>
      </c>
      <c r="EJ22" s="272">
        <v>101478</v>
      </c>
      <c r="EL22" s="272"/>
      <c r="EM22" s="272">
        <v>128365</v>
      </c>
      <c r="EN22" s="272">
        <v>472267</v>
      </c>
      <c r="EO22" s="272">
        <v>10850</v>
      </c>
      <c r="EP22" s="455">
        <f t="shared" si="12"/>
        <v>430338</v>
      </c>
      <c r="EQ22" s="272">
        <v>24666724</v>
      </c>
      <c r="ER22" s="272">
        <v>-1646617</v>
      </c>
      <c r="ES22" s="272">
        <v>10982112</v>
      </c>
      <c r="ET22" s="272">
        <v>7947249</v>
      </c>
      <c r="EU22" s="272">
        <v>1580289</v>
      </c>
      <c r="EV22" s="272">
        <v>3058935</v>
      </c>
      <c r="EW22" s="455">
        <f t="shared" si="13"/>
        <v>1649430</v>
      </c>
      <c r="EX22" s="272">
        <v>1649430</v>
      </c>
      <c r="EY22" s="272">
        <v>286254</v>
      </c>
      <c r="EZ22" s="272">
        <v>1363131</v>
      </c>
      <c r="FA22" s="272">
        <v>0</v>
      </c>
      <c r="FB22" s="272"/>
      <c r="FC22" s="272">
        <v>2958746</v>
      </c>
      <c r="FD22" s="272">
        <v>2337065</v>
      </c>
      <c r="FE22" s="272">
        <v>1498758</v>
      </c>
      <c r="FF22" s="272">
        <v>3047681</v>
      </c>
      <c r="FG22" s="455">
        <f t="shared" si="14"/>
        <v>407437</v>
      </c>
      <c r="FH22" s="272">
        <v>26021695</v>
      </c>
      <c r="FI22" s="384">
        <f t="shared" si="15"/>
        <v>0.8</v>
      </c>
      <c r="FJ22" s="272">
        <v>23561418</v>
      </c>
      <c r="FK22" s="272"/>
      <c r="FL22" s="272">
        <v>17241926</v>
      </c>
      <c r="FM22" s="272">
        <v>17910484</v>
      </c>
      <c r="FN22" s="460">
        <v>0.91200000000000003</v>
      </c>
      <c r="FO22" s="388">
        <v>101.5</v>
      </c>
      <c r="FP22" s="388">
        <v>47.5</v>
      </c>
      <c r="FQ22" s="388">
        <v>7.1</v>
      </c>
      <c r="FR22" s="388">
        <v>13.2</v>
      </c>
      <c r="FS22" s="388">
        <v>12.5</v>
      </c>
      <c r="FT22" s="388">
        <v>9.1</v>
      </c>
      <c r="FU22" s="388">
        <v>11.4</v>
      </c>
      <c r="FV22" s="388">
        <v>9.3000000000000007</v>
      </c>
      <c r="FW22" s="272">
        <v>26710027</v>
      </c>
      <c r="FX22" s="384">
        <f t="shared" si="16"/>
        <v>113.4</v>
      </c>
      <c r="FY22" s="272">
        <v>11464010</v>
      </c>
      <c r="FZ22" s="272">
        <v>4767095</v>
      </c>
      <c r="GA22" s="272">
        <v>1322155</v>
      </c>
      <c r="GB22" s="272">
        <v>5374760</v>
      </c>
      <c r="GC22" s="272"/>
      <c r="GD22" s="272">
        <v>12874210</v>
      </c>
      <c r="GE22" s="384">
        <f t="shared" si="17"/>
        <v>54.6</v>
      </c>
      <c r="GF22" s="388">
        <v>98.3</v>
      </c>
      <c r="GG22" s="388">
        <v>28.3</v>
      </c>
      <c r="GH22" s="388">
        <v>95.3</v>
      </c>
      <c r="GI22" s="272">
        <v>1078</v>
      </c>
    </row>
    <row r="23" spans="2:191" x14ac:dyDescent="0.15">
      <c r="B23" s="89" t="s">
        <v>39</v>
      </c>
      <c r="C23" s="272">
        <v>20430880</v>
      </c>
      <c r="D23" s="455">
        <f t="shared" si="0"/>
        <v>8236196</v>
      </c>
      <c r="E23" s="272">
        <v>146177</v>
      </c>
      <c r="F23" s="272">
        <v>8090019</v>
      </c>
      <c r="G23" s="455">
        <f t="shared" si="1"/>
        <v>817611</v>
      </c>
      <c r="H23" s="272">
        <v>273211</v>
      </c>
      <c r="I23" s="272">
        <v>544400</v>
      </c>
      <c r="J23" s="272">
        <v>8315597</v>
      </c>
      <c r="K23" s="272">
        <v>4247635</v>
      </c>
      <c r="L23" s="272">
        <v>3241065</v>
      </c>
      <c r="M23" s="272">
        <v>759743</v>
      </c>
      <c r="N23" s="272">
        <v>873732</v>
      </c>
      <c r="O23" s="272">
        <v>2001235</v>
      </c>
      <c r="P23" s="272">
        <v>1294242</v>
      </c>
      <c r="Q23" s="272">
        <v>706993</v>
      </c>
      <c r="R23" s="272">
        <v>316428</v>
      </c>
      <c r="S23" s="272"/>
      <c r="T23" s="455">
        <f t="shared" si="2"/>
        <v>1987308</v>
      </c>
      <c r="U23" s="272">
        <v>244125</v>
      </c>
      <c r="V23" s="272"/>
      <c r="W23" s="272"/>
      <c r="X23" s="272">
        <v>1367860</v>
      </c>
      <c r="Y23" s="272">
        <v>19428</v>
      </c>
      <c r="Z23" s="272">
        <v>902</v>
      </c>
      <c r="AA23" s="272">
        <v>354993</v>
      </c>
      <c r="AB23" s="272"/>
      <c r="AC23" s="272">
        <v>7477035</v>
      </c>
      <c r="AD23" s="272">
        <v>6521107</v>
      </c>
      <c r="AE23" s="272">
        <v>955928</v>
      </c>
      <c r="AF23" s="272">
        <v>29804</v>
      </c>
      <c r="AG23" s="272">
        <v>363539</v>
      </c>
      <c r="AH23" s="455">
        <f t="shared" si="3"/>
        <v>1015013</v>
      </c>
      <c r="AI23" s="272">
        <v>945984</v>
      </c>
      <c r="AJ23" s="272">
        <v>69029</v>
      </c>
      <c r="AK23" s="272">
        <v>6460982</v>
      </c>
      <c r="AL23" s="455">
        <f t="shared" si="4"/>
        <v>3159618</v>
      </c>
      <c r="AM23" s="272">
        <v>2340372</v>
      </c>
      <c r="AN23" s="272">
        <v>452086</v>
      </c>
      <c r="AO23" s="272">
        <v>0</v>
      </c>
      <c r="AP23" s="272">
        <v>367160</v>
      </c>
      <c r="AQ23" s="272">
        <v>1271054</v>
      </c>
      <c r="AR23" s="272">
        <v>25567</v>
      </c>
      <c r="AS23" s="272">
        <v>271860</v>
      </c>
      <c r="AT23" s="272">
        <v>2721428</v>
      </c>
      <c r="AU23" s="272">
        <v>935573</v>
      </c>
      <c r="AV23" s="272">
        <v>224247</v>
      </c>
      <c r="AW23" s="272">
        <v>28023</v>
      </c>
      <c r="AX23" s="272">
        <v>1785855</v>
      </c>
      <c r="AY23" s="272">
        <v>277815</v>
      </c>
      <c r="AZ23" s="272">
        <v>473248</v>
      </c>
      <c r="BA23" s="272">
        <v>371751</v>
      </c>
      <c r="BB23" s="272">
        <v>105510</v>
      </c>
      <c r="BC23" s="272">
        <v>1632253</v>
      </c>
      <c r="BD23" s="272">
        <v>0</v>
      </c>
      <c r="BE23" s="272">
        <v>0</v>
      </c>
      <c r="BF23" s="272">
        <v>1530000</v>
      </c>
      <c r="BG23" s="272">
        <v>0</v>
      </c>
      <c r="BH23" s="272">
        <v>727586</v>
      </c>
      <c r="BI23" s="272">
        <v>455171</v>
      </c>
      <c r="BJ23" s="272">
        <v>1551854</v>
      </c>
      <c r="BK23" s="272">
        <v>65978</v>
      </c>
      <c r="BL23" s="272">
        <v>5466</v>
      </c>
      <c r="BM23" s="272">
        <v>0</v>
      </c>
      <c r="BN23" s="272">
        <v>6924700</v>
      </c>
      <c r="BO23" s="455">
        <f t="shared" si="5"/>
        <v>5919000</v>
      </c>
      <c r="BP23" s="455">
        <f t="shared" si="6"/>
        <v>1005700</v>
      </c>
      <c r="BQ23" s="272">
        <v>1005700</v>
      </c>
      <c r="BR23" s="272">
        <v>0</v>
      </c>
      <c r="BS23" s="272">
        <v>0</v>
      </c>
      <c r="BT23" s="272">
        <v>0</v>
      </c>
      <c r="BU23" s="272">
        <v>52489428</v>
      </c>
      <c r="BV23" s="272"/>
      <c r="BW23" s="272">
        <v>13668785</v>
      </c>
      <c r="BX23" s="272">
        <v>10050587</v>
      </c>
      <c r="BY23" s="272">
        <v>1252421</v>
      </c>
      <c r="BZ23" s="272">
        <v>258395</v>
      </c>
      <c r="CA23" s="272">
        <v>7495892</v>
      </c>
      <c r="CB23" s="272">
        <v>932854</v>
      </c>
      <c r="CC23" s="272">
        <v>1851151</v>
      </c>
      <c r="CD23" s="272">
        <v>1431869</v>
      </c>
      <c r="CE23" s="272">
        <v>3157083</v>
      </c>
      <c r="CF23" s="272">
        <v>198</v>
      </c>
      <c r="CG23" s="272">
        <v>122557</v>
      </c>
      <c r="CH23" s="272">
        <v>4491342</v>
      </c>
      <c r="CI23" s="272">
        <v>2717064</v>
      </c>
      <c r="CJ23" s="455">
        <f t="shared" si="7"/>
        <v>1774278</v>
      </c>
      <c r="CK23" s="272">
        <v>5346451</v>
      </c>
      <c r="CL23" s="272">
        <v>3450007</v>
      </c>
      <c r="CM23" s="272">
        <v>256293</v>
      </c>
      <c r="CN23" s="272">
        <v>843923</v>
      </c>
      <c r="CO23" s="272">
        <v>268602</v>
      </c>
      <c r="CP23" s="272">
        <v>4268670</v>
      </c>
      <c r="CQ23" s="272">
        <v>1783305</v>
      </c>
      <c r="CR23" s="272">
        <v>872322</v>
      </c>
      <c r="CS23" s="272">
        <v>737184</v>
      </c>
      <c r="CT23" s="455">
        <f t="shared" si="8"/>
        <v>832660</v>
      </c>
      <c r="CU23" s="272">
        <v>13000</v>
      </c>
      <c r="CV23" s="272">
        <v>819660</v>
      </c>
      <c r="CW23" s="455">
        <f t="shared" si="9"/>
        <v>816000</v>
      </c>
      <c r="CX23" s="272">
        <v>0</v>
      </c>
      <c r="CY23" s="272">
        <v>816000</v>
      </c>
      <c r="CZ23" s="455">
        <f t="shared" si="10"/>
        <v>0</v>
      </c>
      <c r="DA23" s="272">
        <v>0</v>
      </c>
      <c r="DB23" s="272">
        <v>0</v>
      </c>
      <c r="DC23" s="272">
        <v>11513072</v>
      </c>
      <c r="DD23" s="272">
        <v>2710557</v>
      </c>
      <c r="DE23" s="272">
        <v>8739765</v>
      </c>
      <c r="DF23" s="272">
        <v>62750</v>
      </c>
      <c r="DG23" s="272">
        <v>0</v>
      </c>
      <c r="DH23" s="272">
        <v>54526</v>
      </c>
      <c r="DI23" s="272">
        <v>441635</v>
      </c>
      <c r="DJ23" s="272">
        <v>233650</v>
      </c>
      <c r="DK23" s="272">
        <v>6610</v>
      </c>
      <c r="DL23" s="272">
        <v>201375</v>
      </c>
      <c r="DM23" s="272">
        <v>0</v>
      </c>
      <c r="DN23" s="272">
        <v>0</v>
      </c>
      <c r="DO23" s="272">
        <v>0</v>
      </c>
      <c r="DP23" s="272">
        <v>0</v>
      </c>
      <c r="DQ23" s="272">
        <v>760300</v>
      </c>
      <c r="DR23" s="272">
        <v>700000</v>
      </c>
      <c r="DS23" s="272">
        <v>700000</v>
      </c>
      <c r="DT23" s="272">
        <v>2586336</v>
      </c>
      <c r="DU23" s="272">
        <v>1186741</v>
      </c>
      <c r="DV23" s="455">
        <f t="shared" si="11"/>
        <v>0</v>
      </c>
      <c r="DW23" s="272">
        <v>0</v>
      </c>
      <c r="DX23" s="272">
        <v>0</v>
      </c>
      <c r="DY23" s="272">
        <v>0</v>
      </c>
      <c r="DZ23" s="272">
        <v>785576</v>
      </c>
      <c r="EA23" s="272">
        <v>614019</v>
      </c>
      <c r="EB23" s="272"/>
      <c r="EC23" s="272">
        <v>0</v>
      </c>
      <c r="ED23" s="272">
        <v>50895611</v>
      </c>
      <c r="EF23" s="272">
        <v>1593817</v>
      </c>
      <c r="EG23" s="272">
        <v>1078331</v>
      </c>
      <c r="EH23" s="272">
        <v>515486</v>
      </c>
      <c r="EI23" s="272">
        <v>60315</v>
      </c>
      <c r="EJ23" s="272">
        <v>293965</v>
      </c>
      <c r="EL23" s="272"/>
      <c r="EM23" s="272">
        <v>170171</v>
      </c>
      <c r="EN23" s="272">
        <v>1533743</v>
      </c>
      <c r="EO23" s="272">
        <v>257194</v>
      </c>
      <c r="EP23" s="455">
        <f t="shared" si="12"/>
        <v>1208539</v>
      </c>
      <c r="EQ23" s="272">
        <v>30513315</v>
      </c>
      <c r="ER23" s="272">
        <v>-3703512</v>
      </c>
      <c r="ES23" s="272">
        <v>12273994</v>
      </c>
      <c r="ET23" s="272">
        <v>9025005</v>
      </c>
      <c r="EU23" s="272">
        <v>2604111</v>
      </c>
      <c r="EV23" s="272">
        <v>4085063</v>
      </c>
      <c r="EW23" s="455">
        <f t="shared" si="13"/>
        <v>3422681</v>
      </c>
      <c r="EX23" s="272">
        <v>3422681</v>
      </c>
      <c r="EY23" s="272">
        <v>119353</v>
      </c>
      <c r="EZ23" s="272">
        <v>3299253</v>
      </c>
      <c r="FA23" s="272">
        <v>0</v>
      </c>
      <c r="FB23" s="272"/>
      <c r="FC23" s="272">
        <v>4254199</v>
      </c>
      <c r="FD23" s="272">
        <v>3773851</v>
      </c>
      <c r="FE23" s="272">
        <v>1783305</v>
      </c>
      <c r="FF23" s="272">
        <v>2437838</v>
      </c>
      <c r="FG23" s="455">
        <f t="shared" si="14"/>
        <v>681473</v>
      </c>
      <c r="FH23" s="272">
        <v>33533210</v>
      </c>
      <c r="FI23" s="384">
        <f t="shared" si="15"/>
        <v>1.8</v>
      </c>
      <c r="FJ23" s="272">
        <v>28894402</v>
      </c>
      <c r="FK23" s="272"/>
      <c r="FL23" s="272">
        <v>16866370</v>
      </c>
      <c r="FM23" s="272">
        <v>23372458</v>
      </c>
      <c r="FN23" s="460">
        <v>0.72699999999999998</v>
      </c>
      <c r="FO23" s="388">
        <v>97.8</v>
      </c>
      <c r="FP23" s="388">
        <v>41.4</v>
      </c>
      <c r="FQ23" s="388">
        <v>9.4</v>
      </c>
      <c r="FR23" s="388">
        <v>14.7</v>
      </c>
      <c r="FS23" s="388">
        <v>13.3</v>
      </c>
      <c r="FT23" s="388">
        <v>12.1</v>
      </c>
      <c r="FU23" s="388">
        <v>6</v>
      </c>
      <c r="FV23" s="388">
        <v>9.3000000000000007</v>
      </c>
      <c r="FW23" s="272">
        <v>43269784</v>
      </c>
      <c r="FX23" s="384">
        <f t="shared" si="16"/>
        <v>149.80000000000001</v>
      </c>
      <c r="FY23" s="272">
        <v>12496423</v>
      </c>
      <c r="FZ23" s="272">
        <v>766230</v>
      </c>
      <c r="GA23" s="272">
        <v>1206920</v>
      </c>
      <c r="GB23" s="272">
        <v>10523273</v>
      </c>
      <c r="GC23" s="272"/>
      <c r="GD23" s="272">
        <v>5755112</v>
      </c>
      <c r="GE23" s="384">
        <f t="shared" si="17"/>
        <v>19.899999999999999</v>
      </c>
      <c r="GF23" s="388">
        <v>97.5</v>
      </c>
      <c r="GG23" s="388">
        <v>28.1</v>
      </c>
      <c r="GH23" s="388">
        <v>93.2</v>
      </c>
      <c r="GI23" s="272">
        <v>1274</v>
      </c>
    </row>
    <row r="24" spans="2:191" x14ac:dyDescent="0.15">
      <c r="B24" s="89" t="s">
        <v>41</v>
      </c>
      <c r="C24" s="272">
        <v>24882367</v>
      </c>
      <c r="D24" s="455">
        <f t="shared" si="0"/>
        <v>11923600</v>
      </c>
      <c r="E24" s="272">
        <v>117197</v>
      </c>
      <c r="F24" s="272">
        <v>11806403</v>
      </c>
      <c r="G24" s="455">
        <f t="shared" si="1"/>
        <v>1004849</v>
      </c>
      <c r="H24" s="272">
        <v>270873</v>
      </c>
      <c r="I24" s="272">
        <v>733976</v>
      </c>
      <c r="J24" s="272">
        <v>8472005</v>
      </c>
      <c r="K24" s="272">
        <v>4397301</v>
      </c>
      <c r="L24" s="272">
        <v>3467288</v>
      </c>
      <c r="M24" s="272">
        <v>570327</v>
      </c>
      <c r="N24" s="272">
        <v>561706</v>
      </c>
      <c r="O24" s="272">
        <v>2405870</v>
      </c>
      <c r="P24" s="272">
        <v>1633498</v>
      </c>
      <c r="Q24" s="272">
        <v>772372</v>
      </c>
      <c r="R24" s="272">
        <v>270635</v>
      </c>
      <c r="S24" s="272"/>
      <c r="T24" s="455">
        <f t="shared" si="2"/>
        <v>1785725</v>
      </c>
      <c r="U24" s="272">
        <v>337467</v>
      </c>
      <c r="V24" s="272"/>
      <c r="W24" s="272"/>
      <c r="X24" s="272">
        <v>1123551</v>
      </c>
      <c r="Y24" s="272">
        <v>5237</v>
      </c>
      <c r="Z24" s="272">
        <v>15838</v>
      </c>
      <c r="AA24" s="272">
        <v>303632</v>
      </c>
      <c r="AB24" s="272"/>
      <c r="AC24" s="272">
        <v>122453</v>
      </c>
      <c r="AD24" s="272">
        <v>0</v>
      </c>
      <c r="AE24" s="272">
        <v>122453</v>
      </c>
      <c r="AF24" s="272">
        <v>29310</v>
      </c>
      <c r="AG24" s="272">
        <v>250102</v>
      </c>
      <c r="AH24" s="455">
        <f t="shared" si="3"/>
        <v>713295</v>
      </c>
      <c r="AI24" s="272">
        <v>572145</v>
      </c>
      <c r="AJ24" s="272">
        <v>141150</v>
      </c>
      <c r="AK24" s="272">
        <v>2719931</v>
      </c>
      <c r="AL24" s="455">
        <f t="shared" si="4"/>
        <v>1092885</v>
      </c>
      <c r="AM24" s="272">
        <v>509077</v>
      </c>
      <c r="AN24" s="272">
        <v>312684</v>
      </c>
      <c r="AO24" s="272">
        <v>0</v>
      </c>
      <c r="AP24" s="272">
        <v>271124</v>
      </c>
      <c r="AQ24" s="272">
        <v>451135</v>
      </c>
      <c r="AR24" s="272">
        <v>20430</v>
      </c>
      <c r="AS24" s="272">
        <v>0</v>
      </c>
      <c r="AT24" s="272">
        <v>1839888</v>
      </c>
      <c r="AU24" s="272">
        <v>680763</v>
      </c>
      <c r="AV24" s="272">
        <v>112652</v>
      </c>
      <c r="AW24" s="272">
        <v>3383</v>
      </c>
      <c r="AX24" s="272">
        <v>1159125</v>
      </c>
      <c r="AY24" s="272">
        <v>88039</v>
      </c>
      <c r="AZ24" s="272">
        <v>314461</v>
      </c>
      <c r="BA24" s="272">
        <v>77813</v>
      </c>
      <c r="BB24" s="272">
        <v>274803</v>
      </c>
      <c r="BC24" s="272">
        <v>2132349</v>
      </c>
      <c r="BD24" s="272">
        <v>0</v>
      </c>
      <c r="BE24" s="272">
        <v>623119</v>
      </c>
      <c r="BF24" s="272">
        <v>1331180</v>
      </c>
      <c r="BG24" s="272">
        <v>0</v>
      </c>
      <c r="BH24" s="272">
        <v>1021366</v>
      </c>
      <c r="BI24" s="272">
        <v>379232</v>
      </c>
      <c r="BJ24" s="272">
        <v>9096681</v>
      </c>
      <c r="BK24" s="272">
        <v>6186188</v>
      </c>
      <c r="BL24" s="272">
        <v>0</v>
      </c>
      <c r="BM24" s="272">
        <v>2500000</v>
      </c>
      <c r="BN24" s="272">
        <v>966800</v>
      </c>
      <c r="BO24" s="455">
        <f t="shared" si="5"/>
        <v>510800</v>
      </c>
      <c r="BP24" s="455">
        <f t="shared" si="6"/>
        <v>456000</v>
      </c>
      <c r="BQ24" s="272">
        <v>456000</v>
      </c>
      <c r="BR24" s="272">
        <v>0</v>
      </c>
      <c r="BS24" s="272">
        <v>0</v>
      </c>
      <c r="BT24" s="272">
        <v>0</v>
      </c>
      <c r="BU24" s="272">
        <v>46420166</v>
      </c>
      <c r="BV24" s="272"/>
      <c r="BW24" s="272">
        <v>11681249</v>
      </c>
      <c r="BX24" s="272">
        <v>8631453</v>
      </c>
      <c r="BY24" s="272">
        <v>313142</v>
      </c>
      <c r="BZ24" s="272">
        <v>774980</v>
      </c>
      <c r="CA24" s="272">
        <v>2719206</v>
      </c>
      <c r="CB24" s="272">
        <v>357621</v>
      </c>
      <c r="CC24" s="272">
        <v>1075484</v>
      </c>
      <c r="CD24" s="272">
        <v>552963</v>
      </c>
      <c r="CE24" s="272">
        <v>697154</v>
      </c>
      <c r="CF24" s="272">
        <v>0</v>
      </c>
      <c r="CG24" s="272">
        <v>31664</v>
      </c>
      <c r="CH24" s="272">
        <v>3167013</v>
      </c>
      <c r="CI24" s="272">
        <v>1870390</v>
      </c>
      <c r="CJ24" s="455">
        <f t="shared" si="7"/>
        <v>1296623</v>
      </c>
      <c r="CK24" s="272">
        <v>6982803</v>
      </c>
      <c r="CL24" s="272">
        <v>4433621</v>
      </c>
      <c r="CM24" s="272">
        <v>186436</v>
      </c>
      <c r="CN24" s="272">
        <v>1399885</v>
      </c>
      <c r="CO24" s="272">
        <v>297636</v>
      </c>
      <c r="CP24" s="272">
        <v>3448876</v>
      </c>
      <c r="CQ24" s="272">
        <v>106938</v>
      </c>
      <c r="CR24" s="272">
        <v>1231508</v>
      </c>
      <c r="CS24" s="272">
        <v>869902</v>
      </c>
      <c r="CT24" s="455">
        <f t="shared" si="8"/>
        <v>1455530</v>
      </c>
      <c r="CU24" s="272">
        <v>979186</v>
      </c>
      <c r="CV24" s="272">
        <v>476344</v>
      </c>
      <c r="CW24" s="455">
        <f t="shared" si="9"/>
        <v>1210293</v>
      </c>
      <c r="CX24" s="272">
        <v>972324</v>
      </c>
      <c r="CY24" s="272">
        <v>237969</v>
      </c>
      <c r="CZ24" s="455">
        <f t="shared" si="10"/>
        <v>0</v>
      </c>
      <c r="DA24" s="272">
        <v>0</v>
      </c>
      <c r="DB24" s="272">
        <v>0</v>
      </c>
      <c r="DC24" s="272">
        <v>4626036</v>
      </c>
      <c r="DD24" s="272">
        <v>1130789</v>
      </c>
      <c r="DE24" s="272">
        <v>3495247</v>
      </c>
      <c r="DF24" s="272">
        <v>0</v>
      </c>
      <c r="DG24" s="272">
        <v>0</v>
      </c>
      <c r="DH24" s="272">
        <v>112721</v>
      </c>
      <c r="DI24" s="272">
        <v>1667102</v>
      </c>
      <c r="DJ24" s="272">
        <v>48676</v>
      </c>
      <c r="DK24" s="272">
        <v>20479</v>
      </c>
      <c r="DL24" s="272">
        <v>1597947</v>
      </c>
      <c r="DM24" s="272">
        <v>169545</v>
      </c>
      <c r="DN24" s="272">
        <v>169545</v>
      </c>
      <c r="DO24" s="272">
        <v>1123</v>
      </c>
      <c r="DP24" s="272">
        <v>168422</v>
      </c>
      <c r="DQ24" s="272">
        <v>6047697</v>
      </c>
      <c r="DR24" s="272">
        <v>29005</v>
      </c>
      <c r="DS24" s="272">
        <v>0</v>
      </c>
      <c r="DT24" s="272">
        <v>4101631</v>
      </c>
      <c r="DU24" s="272">
        <v>1440000</v>
      </c>
      <c r="DV24" s="455">
        <f t="shared" si="11"/>
        <v>0</v>
      </c>
      <c r="DW24" s="272">
        <v>0</v>
      </c>
      <c r="DX24" s="272">
        <v>0</v>
      </c>
      <c r="DY24" s="272">
        <v>0</v>
      </c>
      <c r="DZ24" s="272">
        <v>1322258</v>
      </c>
      <c r="EA24" s="272">
        <v>477264</v>
      </c>
      <c r="EB24" s="272"/>
      <c r="EC24" s="272">
        <v>0</v>
      </c>
      <c r="ED24" s="272">
        <v>45021515</v>
      </c>
      <c r="EF24" s="272">
        <v>1398651</v>
      </c>
      <c r="EG24" s="272">
        <v>721136</v>
      </c>
      <c r="EH24" s="272">
        <v>677515</v>
      </c>
      <c r="EI24" s="272">
        <v>-601717</v>
      </c>
      <c r="EJ24" s="272">
        <v>-553041</v>
      </c>
      <c r="EL24" s="272"/>
      <c r="EM24" s="272">
        <v>122324</v>
      </c>
      <c r="EN24" s="272">
        <v>801169</v>
      </c>
      <c r="EO24" s="272">
        <v>102418</v>
      </c>
      <c r="EP24" s="455">
        <f t="shared" si="12"/>
        <v>3470392</v>
      </c>
      <c r="EQ24" s="272">
        <v>27090490</v>
      </c>
      <c r="ER24" s="272">
        <v>-4800669</v>
      </c>
      <c r="ES24" s="272">
        <v>11011518</v>
      </c>
      <c r="ET24" s="272">
        <v>8083399</v>
      </c>
      <c r="EU24" s="272">
        <v>852054</v>
      </c>
      <c r="EV24" s="272">
        <v>3030701</v>
      </c>
      <c r="EW24" s="455">
        <f t="shared" si="13"/>
        <v>2291648</v>
      </c>
      <c r="EX24" s="272">
        <v>2280337</v>
      </c>
      <c r="EY24" s="272">
        <v>181496</v>
      </c>
      <c r="EZ24" s="272">
        <v>2098841</v>
      </c>
      <c r="FA24" s="272">
        <v>11311</v>
      </c>
      <c r="FB24" s="272"/>
      <c r="FC24" s="272">
        <v>5460222</v>
      </c>
      <c r="FD24" s="272">
        <v>3125537</v>
      </c>
      <c r="FE24" s="272">
        <v>106938</v>
      </c>
      <c r="FF24" s="272">
        <v>3349154</v>
      </c>
      <c r="FG24" s="455">
        <f t="shared" si="14"/>
        <v>1744445</v>
      </c>
      <c r="FH24" s="272">
        <v>30865279</v>
      </c>
      <c r="FI24" s="384">
        <f t="shared" si="15"/>
        <v>2.6</v>
      </c>
      <c r="FJ24" s="272">
        <v>25802415</v>
      </c>
      <c r="FK24" s="272"/>
      <c r="FL24" s="272">
        <v>19428402</v>
      </c>
      <c r="FM24" s="272">
        <v>18779254</v>
      </c>
      <c r="FN24" s="460">
        <v>1.0660000000000001</v>
      </c>
      <c r="FO24" s="388">
        <v>93.5</v>
      </c>
      <c r="FP24" s="388">
        <v>44</v>
      </c>
      <c r="FQ24" s="388">
        <v>3.4</v>
      </c>
      <c r="FR24" s="388">
        <v>12.3</v>
      </c>
      <c r="FS24" s="388">
        <v>19</v>
      </c>
      <c r="FT24" s="388">
        <v>9.3000000000000007</v>
      </c>
      <c r="FU24" s="388">
        <v>4.3</v>
      </c>
      <c r="FV24" s="388">
        <v>7.3</v>
      </c>
      <c r="FW24" s="272">
        <v>28143367</v>
      </c>
      <c r="FX24" s="384">
        <f t="shared" si="16"/>
        <v>109.1</v>
      </c>
      <c r="FY24" s="272">
        <v>30006313</v>
      </c>
      <c r="FZ24" s="272">
        <v>8146390</v>
      </c>
      <c r="GA24" s="272">
        <v>2647918</v>
      </c>
      <c r="GB24" s="272">
        <v>19212005</v>
      </c>
      <c r="GC24" s="272"/>
      <c r="GD24" s="272">
        <v>18391884</v>
      </c>
      <c r="GE24" s="384">
        <f t="shared" si="17"/>
        <v>71.3</v>
      </c>
      <c r="GF24" s="388">
        <v>98.1</v>
      </c>
      <c r="GG24" s="388">
        <v>9.9</v>
      </c>
      <c r="GH24" s="388">
        <v>90.8</v>
      </c>
      <c r="GI24" s="272">
        <v>1182</v>
      </c>
    </row>
    <row r="25" spans="2:191" x14ac:dyDescent="0.15">
      <c r="B25" s="89" t="s">
        <v>43</v>
      </c>
      <c r="C25" s="272">
        <v>10339940</v>
      </c>
      <c r="D25" s="455">
        <f t="shared" si="0"/>
        <v>3970745</v>
      </c>
      <c r="E25" s="272">
        <v>72670</v>
      </c>
      <c r="F25" s="272">
        <v>3898075</v>
      </c>
      <c r="G25" s="455">
        <f t="shared" si="1"/>
        <v>710777</v>
      </c>
      <c r="H25" s="272">
        <v>120911</v>
      </c>
      <c r="I25" s="272">
        <v>589866</v>
      </c>
      <c r="J25" s="272">
        <v>4247155</v>
      </c>
      <c r="K25" s="272">
        <v>2006608</v>
      </c>
      <c r="L25" s="272">
        <v>1416585</v>
      </c>
      <c r="M25" s="272">
        <v>793776</v>
      </c>
      <c r="N25" s="272">
        <v>382939</v>
      </c>
      <c r="O25" s="272">
        <v>975384</v>
      </c>
      <c r="P25" s="272">
        <v>649566</v>
      </c>
      <c r="Q25" s="272">
        <v>325818</v>
      </c>
      <c r="R25" s="272">
        <v>155790</v>
      </c>
      <c r="S25" s="272"/>
      <c r="T25" s="455">
        <f t="shared" si="2"/>
        <v>1028664</v>
      </c>
      <c r="U25" s="272">
        <v>123040</v>
      </c>
      <c r="V25" s="272"/>
      <c r="W25" s="272"/>
      <c r="X25" s="272">
        <v>727599</v>
      </c>
      <c r="Y25" s="272">
        <v>0</v>
      </c>
      <c r="Z25" s="272">
        <v>3152</v>
      </c>
      <c r="AA25" s="272">
        <v>174873</v>
      </c>
      <c r="AB25" s="272"/>
      <c r="AC25" s="272">
        <v>4213184</v>
      </c>
      <c r="AD25" s="272">
        <v>3839763</v>
      </c>
      <c r="AE25" s="272">
        <v>373421</v>
      </c>
      <c r="AF25" s="272">
        <v>15709</v>
      </c>
      <c r="AG25" s="272">
        <v>261564</v>
      </c>
      <c r="AH25" s="455">
        <f t="shared" si="3"/>
        <v>429456</v>
      </c>
      <c r="AI25" s="272">
        <v>352958</v>
      </c>
      <c r="AJ25" s="272">
        <v>76498</v>
      </c>
      <c r="AK25" s="272">
        <v>2581244</v>
      </c>
      <c r="AL25" s="455">
        <f t="shared" si="4"/>
        <v>1182216</v>
      </c>
      <c r="AM25" s="272">
        <v>705709</v>
      </c>
      <c r="AN25" s="272">
        <v>301755</v>
      </c>
      <c r="AO25" s="272">
        <v>0</v>
      </c>
      <c r="AP25" s="272">
        <v>174752</v>
      </c>
      <c r="AQ25" s="272">
        <v>608407</v>
      </c>
      <c r="AR25" s="272">
        <v>0</v>
      </c>
      <c r="AS25" s="272">
        <v>0</v>
      </c>
      <c r="AT25" s="272">
        <v>1296263</v>
      </c>
      <c r="AU25" s="272">
        <v>457828</v>
      </c>
      <c r="AV25" s="272">
        <v>108834</v>
      </c>
      <c r="AW25" s="272">
        <v>2397</v>
      </c>
      <c r="AX25" s="272">
        <v>838435</v>
      </c>
      <c r="AY25" s="272">
        <v>218985</v>
      </c>
      <c r="AZ25" s="272">
        <v>102413</v>
      </c>
      <c r="BA25" s="272">
        <v>13385</v>
      </c>
      <c r="BB25" s="272">
        <v>140130</v>
      </c>
      <c r="BC25" s="272">
        <v>1499797</v>
      </c>
      <c r="BD25" s="272">
        <v>300000</v>
      </c>
      <c r="BE25" s="272">
        <v>401797</v>
      </c>
      <c r="BF25" s="272">
        <v>798000</v>
      </c>
      <c r="BG25" s="272">
        <v>0</v>
      </c>
      <c r="BH25" s="272">
        <v>348163</v>
      </c>
      <c r="BI25" s="272">
        <v>6209</v>
      </c>
      <c r="BJ25" s="272">
        <v>1294139</v>
      </c>
      <c r="BK25" s="272">
        <v>1038658</v>
      </c>
      <c r="BL25" s="272">
        <v>0</v>
      </c>
      <c r="BM25" s="272">
        <v>0</v>
      </c>
      <c r="BN25" s="272">
        <v>2506000</v>
      </c>
      <c r="BO25" s="455">
        <f t="shared" si="5"/>
        <v>2028500</v>
      </c>
      <c r="BP25" s="455">
        <f t="shared" si="6"/>
        <v>477500</v>
      </c>
      <c r="BQ25" s="272">
        <v>477500</v>
      </c>
      <c r="BR25" s="272">
        <v>0</v>
      </c>
      <c r="BS25" s="272">
        <v>0</v>
      </c>
      <c r="BT25" s="272">
        <v>0</v>
      </c>
      <c r="BU25" s="272">
        <v>26212456</v>
      </c>
      <c r="BV25" s="272"/>
      <c r="BW25" s="272">
        <v>5025993</v>
      </c>
      <c r="BX25" s="272">
        <v>3627858</v>
      </c>
      <c r="BY25" s="272">
        <v>355242</v>
      </c>
      <c r="BZ25" s="272">
        <v>106737</v>
      </c>
      <c r="CA25" s="272">
        <v>2925467</v>
      </c>
      <c r="CB25" s="272">
        <v>323545</v>
      </c>
      <c r="CC25" s="272">
        <v>828584</v>
      </c>
      <c r="CD25" s="272">
        <v>747711</v>
      </c>
      <c r="CE25" s="272">
        <v>937436</v>
      </c>
      <c r="CF25" s="272">
        <v>0</v>
      </c>
      <c r="CG25" s="272">
        <v>88078</v>
      </c>
      <c r="CH25" s="272">
        <v>2011847</v>
      </c>
      <c r="CI25" s="272">
        <v>1289910</v>
      </c>
      <c r="CJ25" s="455">
        <f t="shared" si="7"/>
        <v>721937</v>
      </c>
      <c r="CK25" s="272">
        <v>2663100</v>
      </c>
      <c r="CL25" s="272">
        <v>1483454</v>
      </c>
      <c r="CM25" s="272">
        <v>141207</v>
      </c>
      <c r="CN25" s="272">
        <v>485176</v>
      </c>
      <c r="CO25" s="272">
        <v>207548</v>
      </c>
      <c r="CP25" s="272">
        <v>4415597</v>
      </c>
      <c r="CQ25" s="272">
        <v>2333138</v>
      </c>
      <c r="CR25" s="272">
        <v>639733</v>
      </c>
      <c r="CS25" s="272">
        <v>628314</v>
      </c>
      <c r="CT25" s="455">
        <f t="shared" si="8"/>
        <v>270461</v>
      </c>
      <c r="CU25" s="272">
        <v>2432</v>
      </c>
      <c r="CV25" s="272">
        <v>268029</v>
      </c>
      <c r="CW25" s="455">
        <f t="shared" si="9"/>
        <v>264409</v>
      </c>
      <c r="CX25" s="272">
        <v>0</v>
      </c>
      <c r="CY25" s="272">
        <v>264409</v>
      </c>
      <c r="CZ25" s="455">
        <f t="shared" si="10"/>
        <v>0</v>
      </c>
      <c r="DA25" s="272">
        <v>0</v>
      </c>
      <c r="DB25" s="272">
        <v>0</v>
      </c>
      <c r="DC25" s="272">
        <v>5007365</v>
      </c>
      <c r="DD25" s="272">
        <v>1535095</v>
      </c>
      <c r="DE25" s="272">
        <v>3416297</v>
      </c>
      <c r="DF25" s="272">
        <v>55973</v>
      </c>
      <c r="DG25" s="272">
        <v>0</v>
      </c>
      <c r="DH25" s="272">
        <v>0</v>
      </c>
      <c r="DI25" s="272">
        <v>191371</v>
      </c>
      <c r="DJ25" s="272">
        <v>25363</v>
      </c>
      <c r="DK25" s="272">
        <v>5658</v>
      </c>
      <c r="DL25" s="272">
        <v>160350</v>
      </c>
      <c r="DM25" s="272">
        <v>0</v>
      </c>
      <c r="DN25" s="272">
        <v>0</v>
      </c>
      <c r="DO25" s="272">
        <v>0</v>
      </c>
      <c r="DP25" s="272">
        <v>0</v>
      </c>
      <c r="DQ25" s="272">
        <v>1020950</v>
      </c>
      <c r="DR25" s="272">
        <v>0</v>
      </c>
      <c r="DS25" s="272">
        <v>0</v>
      </c>
      <c r="DT25" s="272">
        <v>2377013</v>
      </c>
      <c r="DU25" s="272">
        <v>1500000</v>
      </c>
      <c r="DV25" s="455">
        <f t="shared" si="11"/>
        <v>0</v>
      </c>
      <c r="DW25" s="272">
        <v>0</v>
      </c>
      <c r="DX25" s="272">
        <v>0</v>
      </c>
      <c r="DY25" s="272">
        <v>0</v>
      </c>
      <c r="DZ25" s="272">
        <v>550573</v>
      </c>
      <c r="EA25" s="272">
        <v>323041</v>
      </c>
      <c r="EB25" s="272"/>
      <c r="EC25" s="272">
        <v>0</v>
      </c>
      <c r="ED25" s="272">
        <v>25846251</v>
      </c>
      <c r="EF25" s="272">
        <v>366205</v>
      </c>
      <c r="EG25" s="272">
        <v>364720</v>
      </c>
      <c r="EH25" s="272">
        <v>1485</v>
      </c>
      <c r="EI25" s="272">
        <v>-14724</v>
      </c>
      <c r="EJ25" s="272">
        <v>15605</v>
      </c>
      <c r="EL25" s="272"/>
      <c r="EM25" s="272">
        <v>78313</v>
      </c>
      <c r="EN25" s="272">
        <v>701797</v>
      </c>
      <c r="EO25" s="272">
        <v>20589</v>
      </c>
      <c r="EP25" s="455">
        <f t="shared" si="12"/>
        <v>545230</v>
      </c>
      <c r="EQ25" s="272">
        <v>15753287</v>
      </c>
      <c r="ER25" s="272">
        <v>-1729407</v>
      </c>
      <c r="ES25" s="272">
        <v>4610984</v>
      </c>
      <c r="ET25" s="272">
        <v>3212849</v>
      </c>
      <c r="EU25" s="272">
        <v>891074</v>
      </c>
      <c r="EV25" s="272">
        <v>1977727</v>
      </c>
      <c r="EW25" s="455">
        <f t="shared" si="13"/>
        <v>1188869</v>
      </c>
      <c r="EX25" s="272">
        <v>1188869</v>
      </c>
      <c r="EY25" s="272">
        <v>39180</v>
      </c>
      <c r="EZ25" s="272">
        <v>1132606</v>
      </c>
      <c r="FA25" s="272">
        <v>0</v>
      </c>
      <c r="FB25" s="272"/>
      <c r="FC25" s="272">
        <v>2186377</v>
      </c>
      <c r="FD25" s="272">
        <v>3853238</v>
      </c>
      <c r="FE25" s="272">
        <v>2333138</v>
      </c>
      <c r="FF25" s="272">
        <v>2260462</v>
      </c>
      <c r="FG25" s="455">
        <f t="shared" si="14"/>
        <v>314648</v>
      </c>
      <c r="FH25" s="272">
        <v>17283379</v>
      </c>
      <c r="FI25" s="384">
        <f t="shared" si="15"/>
        <v>0</v>
      </c>
      <c r="FJ25" s="272">
        <v>15162255</v>
      </c>
      <c r="FK25" s="272"/>
      <c r="FL25" s="272">
        <v>8535077</v>
      </c>
      <c r="FM25" s="272">
        <v>12372220</v>
      </c>
      <c r="FN25" s="460">
        <v>0.69899999999999995</v>
      </c>
      <c r="FO25" s="388">
        <v>93.7</v>
      </c>
      <c r="FP25" s="388">
        <v>31.1</v>
      </c>
      <c r="FQ25" s="388">
        <v>6.1</v>
      </c>
      <c r="FR25" s="388">
        <v>11.5</v>
      </c>
      <c r="FS25" s="388">
        <v>14.2</v>
      </c>
      <c r="FT25" s="388">
        <v>21.4</v>
      </c>
      <c r="FU25" s="388">
        <v>7.8</v>
      </c>
      <c r="FV25" s="388">
        <v>6.6</v>
      </c>
      <c r="FW25" s="272">
        <v>20867821</v>
      </c>
      <c r="FX25" s="384">
        <f t="shared" si="16"/>
        <v>137.6</v>
      </c>
      <c r="FY25" s="272">
        <v>6742387</v>
      </c>
      <c r="FZ25" s="272">
        <v>2271463</v>
      </c>
      <c r="GA25" s="272">
        <v>231479</v>
      </c>
      <c r="GB25" s="272">
        <v>4239445</v>
      </c>
      <c r="GC25" s="272"/>
      <c r="GD25" s="272">
        <v>2273943</v>
      </c>
      <c r="GE25" s="384">
        <f t="shared" si="17"/>
        <v>15</v>
      </c>
      <c r="GF25" s="388">
        <v>96.7</v>
      </c>
      <c r="GG25" s="388">
        <v>25.6</v>
      </c>
      <c r="GH25" s="388">
        <v>90</v>
      </c>
      <c r="GI25" s="272">
        <v>483</v>
      </c>
    </row>
    <row r="26" spans="2:191" x14ac:dyDescent="0.15">
      <c r="B26" s="89" t="s">
        <v>45</v>
      </c>
      <c r="C26" s="272">
        <v>14149008</v>
      </c>
      <c r="D26" s="455">
        <f t="shared" si="0"/>
        <v>6383304</v>
      </c>
      <c r="E26" s="272">
        <v>108792</v>
      </c>
      <c r="F26" s="272">
        <v>6274512</v>
      </c>
      <c r="G26" s="455">
        <f t="shared" si="1"/>
        <v>755787</v>
      </c>
      <c r="H26" s="272">
        <v>166896</v>
      </c>
      <c r="I26" s="272">
        <v>588891</v>
      </c>
      <c r="J26" s="272">
        <v>5068572</v>
      </c>
      <c r="K26" s="272">
        <v>2569365</v>
      </c>
      <c r="L26" s="272">
        <v>1964923</v>
      </c>
      <c r="M26" s="272">
        <v>511971</v>
      </c>
      <c r="N26" s="272">
        <v>554561</v>
      </c>
      <c r="O26" s="272">
        <v>1288756</v>
      </c>
      <c r="P26" s="272">
        <v>867220</v>
      </c>
      <c r="Q26" s="272">
        <v>421536</v>
      </c>
      <c r="R26" s="272">
        <v>217326</v>
      </c>
      <c r="S26" s="272"/>
      <c r="T26" s="455">
        <f t="shared" si="2"/>
        <v>1452481</v>
      </c>
      <c r="U26" s="272">
        <v>201283</v>
      </c>
      <c r="V26" s="272"/>
      <c r="W26" s="272"/>
      <c r="X26" s="272">
        <v>1006872</v>
      </c>
      <c r="Y26" s="272">
        <v>0</v>
      </c>
      <c r="Z26" s="272">
        <v>410</v>
      </c>
      <c r="AA26" s="272">
        <v>243916</v>
      </c>
      <c r="AB26" s="272"/>
      <c r="AC26" s="272">
        <v>5982334</v>
      </c>
      <c r="AD26" s="272">
        <v>5614069</v>
      </c>
      <c r="AE26" s="272">
        <v>368265</v>
      </c>
      <c r="AF26" s="272">
        <v>25166</v>
      </c>
      <c r="AG26" s="272">
        <v>333035</v>
      </c>
      <c r="AH26" s="455">
        <f t="shared" si="3"/>
        <v>486229</v>
      </c>
      <c r="AI26" s="272">
        <v>450337</v>
      </c>
      <c r="AJ26" s="272">
        <v>35892</v>
      </c>
      <c r="AK26" s="272">
        <v>6009101</v>
      </c>
      <c r="AL26" s="455">
        <f t="shared" si="4"/>
        <v>1894785</v>
      </c>
      <c r="AM26" s="272">
        <v>1320693</v>
      </c>
      <c r="AN26" s="272">
        <v>350427</v>
      </c>
      <c r="AO26" s="272">
        <v>0</v>
      </c>
      <c r="AP26" s="272">
        <v>223665</v>
      </c>
      <c r="AQ26" s="272">
        <v>543695</v>
      </c>
      <c r="AR26" s="272">
        <v>5258</v>
      </c>
      <c r="AS26" s="272">
        <v>0</v>
      </c>
      <c r="AT26" s="272">
        <v>2535126</v>
      </c>
      <c r="AU26" s="272">
        <v>1240163</v>
      </c>
      <c r="AV26" s="272">
        <v>181582</v>
      </c>
      <c r="AW26" s="272">
        <v>0</v>
      </c>
      <c r="AX26" s="272">
        <v>1294963</v>
      </c>
      <c r="AY26" s="272">
        <v>309485</v>
      </c>
      <c r="AZ26" s="272">
        <v>273655</v>
      </c>
      <c r="BA26" s="272">
        <v>243657</v>
      </c>
      <c r="BB26" s="272">
        <v>114102</v>
      </c>
      <c r="BC26" s="272">
        <v>950351</v>
      </c>
      <c r="BD26" s="272">
        <v>320000</v>
      </c>
      <c r="BE26" s="272">
        <v>71000</v>
      </c>
      <c r="BF26" s="272">
        <v>552050</v>
      </c>
      <c r="BG26" s="272">
        <v>0</v>
      </c>
      <c r="BH26" s="272">
        <v>116398</v>
      </c>
      <c r="BI26" s="272">
        <v>87949</v>
      </c>
      <c r="BJ26" s="272">
        <v>451382</v>
      </c>
      <c r="BK26" s="272">
        <v>0</v>
      </c>
      <c r="BL26" s="272">
        <v>0</v>
      </c>
      <c r="BM26" s="272">
        <v>0</v>
      </c>
      <c r="BN26" s="272">
        <v>9170600</v>
      </c>
      <c r="BO26" s="455">
        <f t="shared" si="5"/>
        <v>8452900</v>
      </c>
      <c r="BP26" s="455">
        <f t="shared" si="6"/>
        <v>717700</v>
      </c>
      <c r="BQ26" s="272">
        <v>717700</v>
      </c>
      <c r="BR26" s="272">
        <v>0</v>
      </c>
      <c r="BS26" s="272">
        <v>0</v>
      </c>
      <c r="BT26" s="272">
        <v>0</v>
      </c>
      <c r="BU26" s="272">
        <v>42266294</v>
      </c>
      <c r="BV26" s="272"/>
      <c r="BW26" s="272">
        <v>7754654</v>
      </c>
      <c r="BX26" s="272">
        <v>5802187</v>
      </c>
      <c r="BY26" s="272">
        <v>562209</v>
      </c>
      <c r="BZ26" s="272">
        <v>96198</v>
      </c>
      <c r="CA26" s="272">
        <v>5503678</v>
      </c>
      <c r="CB26" s="272">
        <v>870025</v>
      </c>
      <c r="CC26" s="272">
        <v>1712705</v>
      </c>
      <c r="CD26" s="272">
        <v>1254051</v>
      </c>
      <c r="CE26" s="272">
        <v>1594396</v>
      </c>
      <c r="CF26" s="272">
        <v>0</v>
      </c>
      <c r="CG26" s="272">
        <v>72321</v>
      </c>
      <c r="CH26" s="272">
        <v>2595590</v>
      </c>
      <c r="CI26" s="272">
        <v>1402881</v>
      </c>
      <c r="CJ26" s="455">
        <f t="shared" si="7"/>
        <v>1192709</v>
      </c>
      <c r="CK26" s="272">
        <v>3879935</v>
      </c>
      <c r="CL26" s="272">
        <v>1896934</v>
      </c>
      <c r="CM26" s="272">
        <v>515444</v>
      </c>
      <c r="CN26" s="272">
        <v>738752</v>
      </c>
      <c r="CO26" s="272">
        <v>244267</v>
      </c>
      <c r="CP26" s="272">
        <v>4700548</v>
      </c>
      <c r="CQ26" s="272">
        <v>2650738</v>
      </c>
      <c r="CR26" s="272">
        <v>1634057</v>
      </c>
      <c r="CS26" s="272">
        <v>1343586</v>
      </c>
      <c r="CT26" s="455">
        <f t="shared" si="8"/>
        <v>5438</v>
      </c>
      <c r="CU26" s="272">
        <v>3390</v>
      </c>
      <c r="CV26" s="272">
        <v>2048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15066223</v>
      </c>
      <c r="DD26" s="272">
        <v>1511944</v>
      </c>
      <c r="DE26" s="272">
        <v>10772824</v>
      </c>
      <c r="DF26" s="272">
        <v>84335</v>
      </c>
      <c r="DG26" s="272">
        <v>2697120</v>
      </c>
      <c r="DH26" s="272">
        <v>17034</v>
      </c>
      <c r="DI26" s="272">
        <v>89884</v>
      </c>
      <c r="DJ26" s="272">
        <v>47531</v>
      </c>
      <c r="DK26" s="272">
        <v>1351</v>
      </c>
      <c r="DL26" s="272">
        <v>41002</v>
      </c>
      <c r="DM26" s="272">
        <v>7000</v>
      </c>
      <c r="DN26" s="272">
        <v>0</v>
      </c>
      <c r="DO26" s="272">
        <v>0</v>
      </c>
      <c r="DP26" s="272">
        <v>0</v>
      </c>
      <c r="DQ26" s="272">
        <v>0</v>
      </c>
      <c r="DR26" s="272">
        <v>0</v>
      </c>
      <c r="DS26" s="272">
        <v>0</v>
      </c>
      <c r="DT26" s="272">
        <v>2884778</v>
      </c>
      <c r="DU26" s="272">
        <v>1427935</v>
      </c>
      <c r="DV26" s="455">
        <f t="shared" si="11"/>
        <v>0</v>
      </c>
      <c r="DW26" s="272">
        <v>0</v>
      </c>
      <c r="DX26" s="272">
        <v>0</v>
      </c>
      <c r="DY26" s="272">
        <v>0</v>
      </c>
      <c r="DZ26" s="272">
        <v>861303</v>
      </c>
      <c r="EA26" s="272">
        <v>533625</v>
      </c>
      <c r="EB26" s="272"/>
      <c r="EC26" s="272">
        <v>0</v>
      </c>
      <c r="ED26" s="272">
        <v>42743591</v>
      </c>
      <c r="EF26" s="272">
        <v>-477297</v>
      </c>
      <c r="EG26" s="272">
        <v>306385</v>
      </c>
      <c r="EH26" s="272">
        <v>-783682</v>
      </c>
      <c r="EI26" s="272">
        <v>-871631</v>
      </c>
      <c r="EJ26" s="272">
        <v>-1144100</v>
      </c>
      <c r="EL26" s="272"/>
      <c r="EM26" s="272">
        <v>119222</v>
      </c>
      <c r="EN26" s="272">
        <v>398301</v>
      </c>
      <c r="EO26" s="272">
        <v>160085</v>
      </c>
      <c r="EP26" s="455">
        <f t="shared" si="12"/>
        <v>486464</v>
      </c>
      <c r="EQ26" s="272">
        <v>21826315</v>
      </c>
      <c r="ER26" s="272">
        <v>-1737384</v>
      </c>
      <c r="ES26" s="272">
        <v>7143882</v>
      </c>
      <c r="ET26" s="272">
        <v>5255144</v>
      </c>
      <c r="EU26" s="272">
        <v>1751000</v>
      </c>
      <c r="EV26" s="272">
        <v>2421729</v>
      </c>
      <c r="EW26" s="455">
        <f t="shared" si="13"/>
        <v>2473729</v>
      </c>
      <c r="EX26" s="272">
        <v>2468912</v>
      </c>
      <c r="EY26" s="272">
        <v>57099</v>
      </c>
      <c r="EZ26" s="272">
        <v>2397098</v>
      </c>
      <c r="FA26" s="272">
        <v>4817</v>
      </c>
      <c r="FB26" s="272"/>
      <c r="FC26" s="272">
        <v>3373952</v>
      </c>
      <c r="FD26" s="272">
        <v>4222649</v>
      </c>
      <c r="FE26" s="272">
        <v>2650738</v>
      </c>
      <c r="FF26" s="272">
        <v>2475024</v>
      </c>
      <c r="FG26" s="455">
        <f t="shared" si="14"/>
        <v>298309</v>
      </c>
      <c r="FH26" s="272">
        <v>24160274</v>
      </c>
      <c r="FI26" s="384">
        <f t="shared" si="15"/>
        <v>-3.7</v>
      </c>
      <c r="FJ26" s="272">
        <v>21171828</v>
      </c>
      <c r="FK26" s="272"/>
      <c r="FL26" s="272">
        <v>11729805</v>
      </c>
      <c r="FM26" s="272">
        <v>17349586</v>
      </c>
      <c r="FN26" s="460">
        <v>0.69899999999999995</v>
      </c>
      <c r="FO26" s="388">
        <v>96.5</v>
      </c>
      <c r="FP26" s="388">
        <v>34.1</v>
      </c>
      <c r="FQ26" s="388">
        <v>8.6</v>
      </c>
      <c r="FR26" s="388">
        <v>12</v>
      </c>
      <c r="FS26" s="388">
        <v>14.7</v>
      </c>
      <c r="FT26" s="388">
        <v>19</v>
      </c>
      <c r="FU26" s="388">
        <v>7</v>
      </c>
      <c r="FV26" s="388">
        <v>6.9</v>
      </c>
      <c r="FW26" s="272">
        <v>39625413</v>
      </c>
      <c r="FX26" s="384">
        <f t="shared" si="16"/>
        <v>187.2</v>
      </c>
      <c r="FY26" s="272">
        <v>2183954</v>
      </c>
      <c r="FZ26" s="272">
        <v>257308</v>
      </c>
      <c r="GA26" s="272">
        <v>198983</v>
      </c>
      <c r="GB26" s="272">
        <v>1727663</v>
      </c>
      <c r="GC26" s="272"/>
      <c r="GD26" s="272">
        <v>19360017</v>
      </c>
      <c r="GE26" s="384">
        <f t="shared" si="17"/>
        <v>91.4</v>
      </c>
      <c r="GF26" s="388">
        <v>97.7</v>
      </c>
      <c r="GG26" s="388">
        <v>23.7</v>
      </c>
      <c r="GH26" s="388">
        <v>93.7</v>
      </c>
      <c r="GI26" s="272">
        <v>740</v>
      </c>
    </row>
    <row r="27" spans="2:191" x14ac:dyDescent="0.15">
      <c r="B27" s="89" t="s">
        <v>47</v>
      </c>
      <c r="C27" s="272">
        <v>23551130</v>
      </c>
      <c r="D27" s="455">
        <f t="shared" si="0"/>
        <v>6235413</v>
      </c>
      <c r="E27" s="272">
        <v>131873</v>
      </c>
      <c r="F27" s="272">
        <v>6103540</v>
      </c>
      <c r="G27" s="455">
        <f t="shared" si="1"/>
        <v>3332954</v>
      </c>
      <c r="H27" s="272">
        <v>409471</v>
      </c>
      <c r="I27" s="272">
        <v>2923483</v>
      </c>
      <c r="J27" s="272">
        <v>10515867</v>
      </c>
      <c r="K27" s="272">
        <v>5731687</v>
      </c>
      <c r="L27" s="272">
        <v>3161614</v>
      </c>
      <c r="M27" s="272">
        <v>1533044</v>
      </c>
      <c r="N27" s="272">
        <v>1080658</v>
      </c>
      <c r="O27" s="272">
        <v>2306709</v>
      </c>
      <c r="P27" s="272">
        <v>1592992</v>
      </c>
      <c r="Q27" s="272">
        <v>713717</v>
      </c>
      <c r="R27" s="272">
        <v>237133</v>
      </c>
      <c r="S27" s="272"/>
      <c r="T27" s="455">
        <f t="shared" si="2"/>
        <v>2036328</v>
      </c>
      <c r="U27" s="272">
        <v>209201</v>
      </c>
      <c r="V27" s="272"/>
      <c r="W27" s="272"/>
      <c r="X27" s="272">
        <v>1552744</v>
      </c>
      <c r="Y27" s="272">
        <v>0</v>
      </c>
      <c r="Z27" s="272">
        <v>8314</v>
      </c>
      <c r="AA27" s="272">
        <v>266069</v>
      </c>
      <c r="AB27" s="272"/>
      <c r="AC27" s="272">
        <v>1270964</v>
      </c>
      <c r="AD27" s="272">
        <v>1054057</v>
      </c>
      <c r="AE27" s="272">
        <v>216907</v>
      </c>
      <c r="AF27" s="272">
        <v>29306</v>
      </c>
      <c r="AG27" s="272">
        <v>359252</v>
      </c>
      <c r="AH27" s="455">
        <f t="shared" si="3"/>
        <v>608864</v>
      </c>
      <c r="AI27" s="272">
        <v>448155</v>
      </c>
      <c r="AJ27" s="272">
        <v>160709</v>
      </c>
      <c r="AK27" s="272">
        <v>6264470</v>
      </c>
      <c r="AL27" s="455">
        <f t="shared" si="4"/>
        <v>4159323</v>
      </c>
      <c r="AM27" s="272">
        <v>3556536</v>
      </c>
      <c r="AN27" s="272">
        <v>325878</v>
      </c>
      <c r="AO27" s="272">
        <v>0</v>
      </c>
      <c r="AP27" s="272">
        <v>276909</v>
      </c>
      <c r="AQ27" s="272">
        <v>507291</v>
      </c>
      <c r="AR27" s="272">
        <v>0</v>
      </c>
      <c r="AS27" s="272">
        <v>0</v>
      </c>
      <c r="AT27" s="272">
        <v>1896856</v>
      </c>
      <c r="AU27" s="272">
        <v>761409</v>
      </c>
      <c r="AV27" s="272">
        <v>161632</v>
      </c>
      <c r="AW27" s="272">
        <v>3281</v>
      </c>
      <c r="AX27" s="272">
        <v>1135447</v>
      </c>
      <c r="AY27" s="272">
        <v>167461</v>
      </c>
      <c r="AZ27" s="272">
        <v>130115</v>
      </c>
      <c r="BA27" s="272">
        <v>30919</v>
      </c>
      <c r="BB27" s="272">
        <v>180021</v>
      </c>
      <c r="BC27" s="272">
        <v>1902785</v>
      </c>
      <c r="BD27" s="272">
        <v>625422</v>
      </c>
      <c r="BE27" s="272">
        <v>300000</v>
      </c>
      <c r="BF27" s="272">
        <v>977363</v>
      </c>
      <c r="BG27" s="272">
        <v>0</v>
      </c>
      <c r="BH27" s="272">
        <v>614509</v>
      </c>
      <c r="BI27" s="272">
        <v>613205</v>
      </c>
      <c r="BJ27" s="272">
        <v>235631</v>
      </c>
      <c r="BK27" s="272">
        <v>106727</v>
      </c>
      <c r="BL27" s="272">
        <v>0</v>
      </c>
      <c r="BM27" s="272">
        <v>0</v>
      </c>
      <c r="BN27" s="272">
        <v>3867300</v>
      </c>
      <c r="BO27" s="455">
        <f t="shared" si="5"/>
        <v>3084000</v>
      </c>
      <c r="BP27" s="455">
        <f t="shared" si="6"/>
        <v>783300</v>
      </c>
      <c r="BQ27" s="272">
        <v>783300</v>
      </c>
      <c r="BR27" s="272">
        <v>0</v>
      </c>
      <c r="BS27" s="272">
        <v>0</v>
      </c>
      <c r="BT27" s="272">
        <v>0</v>
      </c>
      <c r="BU27" s="272">
        <v>43184664</v>
      </c>
      <c r="BV27" s="272"/>
      <c r="BW27" s="272">
        <v>12976230</v>
      </c>
      <c r="BX27" s="272">
        <v>9976191</v>
      </c>
      <c r="BY27" s="272">
        <v>713820</v>
      </c>
      <c r="BZ27" s="272">
        <v>148783</v>
      </c>
      <c r="CA27" s="272">
        <v>7724542</v>
      </c>
      <c r="CB27" s="272">
        <v>813513</v>
      </c>
      <c r="CC27" s="272">
        <v>1248458</v>
      </c>
      <c r="CD27" s="272">
        <v>1212655</v>
      </c>
      <c r="CE27" s="272">
        <v>4350435</v>
      </c>
      <c r="CF27" s="272">
        <v>230</v>
      </c>
      <c r="CG27" s="272">
        <v>98266</v>
      </c>
      <c r="CH27" s="272">
        <v>3680779</v>
      </c>
      <c r="CI27" s="272">
        <v>2297415</v>
      </c>
      <c r="CJ27" s="455">
        <f t="shared" si="7"/>
        <v>1383364</v>
      </c>
      <c r="CK27" s="272">
        <v>4330021</v>
      </c>
      <c r="CL27" s="272">
        <v>2576264</v>
      </c>
      <c r="CM27" s="272">
        <v>114169</v>
      </c>
      <c r="CN27" s="272">
        <v>1041780</v>
      </c>
      <c r="CO27" s="272">
        <v>306223</v>
      </c>
      <c r="CP27" s="272">
        <v>3408648</v>
      </c>
      <c r="CQ27" s="272">
        <v>2053923</v>
      </c>
      <c r="CR27" s="272">
        <v>535809</v>
      </c>
      <c r="CS27" s="272">
        <v>422194</v>
      </c>
      <c r="CT27" s="455">
        <f t="shared" si="8"/>
        <v>9440</v>
      </c>
      <c r="CU27" s="272">
        <v>9440</v>
      </c>
      <c r="CV27" s="272">
        <v>0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5262828</v>
      </c>
      <c r="DD27" s="272">
        <v>1243093</v>
      </c>
      <c r="DE27" s="272">
        <v>4011907</v>
      </c>
      <c r="DF27" s="272">
        <v>0</v>
      </c>
      <c r="DG27" s="272">
        <v>0</v>
      </c>
      <c r="DH27" s="272">
        <v>9</v>
      </c>
      <c r="DI27" s="272">
        <v>557331</v>
      </c>
      <c r="DJ27" s="272">
        <v>328275</v>
      </c>
      <c r="DK27" s="272">
        <v>9457</v>
      </c>
      <c r="DL27" s="272">
        <v>219599</v>
      </c>
      <c r="DM27" s="272">
        <v>0</v>
      </c>
      <c r="DN27" s="272">
        <v>0</v>
      </c>
      <c r="DO27" s="272">
        <v>0</v>
      </c>
      <c r="DP27" s="272">
        <v>0</v>
      </c>
      <c r="DQ27" s="272">
        <v>105000</v>
      </c>
      <c r="DR27" s="272">
        <v>0</v>
      </c>
      <c r="DS27" s="272">
        <v>0</v>
      </c>
      <c r="DT27" s="272">
        <v>3697657</v>
      </c>
      <c r="DU27" s="272">
        <v>2028000</v>
      </c>
      <c r="DV27" s="455">
        <f t="shared" si="11"/>
        <v>0</v>
      </c>
      <c r="DW27" s="272">
        <v>0</v>
      </c>
      <c r="DX27" s="272">
        <v>0</v>
      </c>
      <c r="DY27" s="272">
        <v>0</v>
      </c>
      <c r="DZ27" s="272">
        <v>1268702</v>
      </c>
      <c r="EA27" s="272">
        <v>396902</v>
      </c>
      <c r="EB27" s="272"/>
      <c r="EC27" s="272">
        <v>0</v>
      </c>
      <c r="ED27" s="272">
        <v>42049268</v>
      </c>
      <c r="EF27" s="272">
        <v>1135396</v>
      </c>
      <c r="EG27" s="272">
        <v>687311</v>
      </c>
      <c r="EH27" s="272">
        <v>448085</v>
      </c>
      <c r="EI27" s="272">
        <v>-165120</v>
      </c>
      <c r="EJ27" s="272">
        <v>-462267</v>
      </c>
      <c r="EL27" s="272"/>
      <c r="EM27" s="272">
        <v>137099</v>
      </c>
      <c r="EN27" s="272">
        <v>925422</v>
      </c>
      <c r="EO27" s="272">
        <v>32496</v>
      </c>
      <c r="EP27" s="455">
        <f t="shared" si="12"/>
        <v>1482161</v>
      </c>
      <c r="EQ27" s="272">
        <v>27124861</v>
      </c>
      <c r="ER27" s="272">
        <v>-3194073</v>
      </c>
      <c r="ES27" s="272">
        <v>12155703</v>
      </c>
      <c r="ET27" s="272">
        <v>9182185</v>
      </c>
      <c r="EU27" s="272">
        <v>1967860</v>
      </c>
      <c r="EV27" s="272">
        <v>3630505</v>
      </c>
      <c r="EW27" s="455">
        <f t="shared" si="13"/>
        <v>1228752</v>
      </c>
      <c r="EX27" s="272">
        <v>1228743</v>
      </c>
      <c r="EY27" s="272">
        <v>81987</v>
      </c>
      <c r="EZ27" s="272">
        <v>1144441</v>
      </c>
      <c r="FA27" s="272">
        <v>9</v>
      </c>
      <c r="FB27" s="272"/>
      <c r="FC27" s="272">
        <v>3528572</v>
      </c>
      <c r="FD27" s="272">
        <v>3140730</v>
      </c>
      <c r="FE27" s="272">
        <v>2053923</v>
      </c>
      <c r="FF27" s="272">
        <v>3436828</v>
      </c>
      <c r="FG27" s="455">
        <f t="shared" si="14"/>
        <v>765161</v>
      </c>
      <c r="FH27" s="272">
        <v>29854111</v>
      </c>
      <c r="FI27" s="384">
        <f t="shared" si="15"/>
        <v>1.7</v>
      </c>
      <c r="FJ27" s="272">
        <v>26453462</v>
      </c>
      <c r="FK27" s="272"/>
      <c r="FL27" s="272">
        <v>19118523</v>
      </c>
      <c r="FM27" s="272">
        <v>20179264</v>
      </c>
      <c r="FN27" s="460">
        <v>0.93400000000000005</v>
      </c>
      <c r="FO27" s="388">
        <v>105.3</v>
      </c>
      <c r="FP27" s="388">
        <v>48.8</v>
      </c>
      <c r="FQ27" s="388">
        <v>8</v>
      </c>
      <c r="FR27" s="388">
        <v>13.4</v>
      </c>
      <c r="FS27" s="388">
        <v>13.4</v>
      </c>
      <c r="FT27" s="388">
        <v>11.3</v>
      </c>
      <c r="FU27" s="388">
        <v>9.3000000000000007</v>
      </c>
      <c r="FV27" s="388">
        <v>9</v>
      </c>
      <c r="FW27" s="272">
        <v>34930268</v>
      </c>
      <c r="FX27" s="384">
        <f t="shared" si="16"/>
        <v>132</v>
      </c>
      <c r="FY27" s="272">
        <v>16190891</v>
      </c>
      <c r="FZ27" s="272">
        <v>4666809</v>
      </c>
      <c r="GA27" s="272">
        <v>1562580</v>
      </c>
      <c r="GB27" s="272">
        <v>9961502</v>
      </c>
      <c r="GC27" s="272"/>
      <c r="GD27" s="272">
        <v>14203842</v>
      </c>
      <c r="GE27" s="384">
        <f t="shared" si="17"/>
        <v>53.7</v>
      </c>
      <c r="GF27" s="388">
        <v>96.6</v>
      </c>
      <c r="GG27" s="388">
        <v>21.5</v>
      </c>
      <c r="GH27" s="388">
        <v>90.6</v>
      </c>
      <c r="GI27" s="272">
        <v>1213</v>
      </c>
    </row>
    <row r="28" spans="2:191" x14ac:dyDescent="0.15">
      <c r="B28" s="89" t="s">
        <v>49</v>
      </c>
      <c r="C28" s="272">
        <v>19787870</v>
      </c>
      <c r="D28" s="455">
        <f t="shared" si="0"/>
        <v>4740427</v>
      </c>
      <c r="E28" s="272">
        <v>88838</v>
      </c>
      <c r="F28" s="272">
        <v>4651589</v>
      </c>
      <c r="G28" s="455">
        <f t="shared" si="1"/>
        <v>2435493</v>
      </c>
      <c r="H28" s="272">
        <v>338639</v>
      </c>
      <c r="I28" s="272">
        <v>2096854</v>
      </c>
      <c r="J28" s="272">
        <v>9989369</v>
      </c>
      <c r="K28" s="272">
        <v>4975772</v>
      </c>
      <c r="L28" s="272">
        <v>2531856</v>
      </c>
      <c r="M28" s="272">
        <v>2385833</v>
      </c>
      <c r="N28" s="272">
        <v>643115</v>
      </c>
      <c r="O28" s="272">
        <v>1919491</v>
      </c>
      <c r="P28" s="272">
        <v>1344150</v>
      </c>
      <c r="Q28" s="272">
        <v>575341</v>
      </c>
      <c r="R28" s="272">
        <v>182385</v>
      </c>
      <c r="S28" s="272"/>
      <c r="T28" s="455">
        <f t="shared" si="2"/>
        <v>1420744</v>
      </c>
      <c r="U28" s="272">
        <v>153006</v>
      </c>
      <c r="V28" s="272"/>
      <c r="W28" s="272"/>
      <c r="X28" s="272">
        <v>1056127</v>
      </c>
      <c r="Y28" s="272">
        <v>5709</v>
      </c>
      <c r="Z28" s="272">
        <v>1408</v>
      </c>
      <c r="AA28" s="272">
        <v>204494</v>
      </c>
      <c r="AB28" s="272"/>
      <c r="AC28" s="272">
        <v>358417</v>
      </c>
      <c r="AD28" s="272">
        <v>0</v>
      </c>
      <c r="AE28" s="272">
        <v>358417</v>
      </c>
      <c r="AF28" s="272">
        <v>22627</v>
      </c>
      <c r="AG28" s="272">
        <v>298797</v>
      </c>
      <c r="AH28" s="455">
        <f t="shared" si="3"/>
        <v>644153</v>
      </c>
      <c r="AI28" s="272">
        <v>480207</v>
      </c>
      <c r="AJ28" s="272">
        <v>163946</v>
      </c>
      <c r="AK28" s="272">
        <v>2773416</v>
      </c>
      <c r="AL28" s="455">
        <f t="shared" si="4"/>
        <v>1241686</v>
      </c>
      <c r="AM28" s="272">
        <v>782782</v>
      </c>
      <c r="AN28" s="272">
        <v>324758</v>
      </c>
      <c r="AO28" s="272">
        <v>0</v>
      </c>
      <c r="AP28" s="272">
        <v>134146</v>
      </c>
      <c r="AQ28" s="272">
        <v>441362</v>
      </c>
      <c r="AR28" s="272">
        <v>0</v>
      </c>
      <c r="AS28" s="272">
        <v>0</v>
      </c>
      <c r="AT28" s="272">
        <v>2295900</v>
      </c>
      <c r="AU28" s="272">
        <v>1155849</v>
      </c>
      <c r="AV28" s="272">
        <v>161078</v>
      </c>
      <c r="AW28" s="272">
        <v>14886</v>
      </c>
      <c r="AX28" s="272">
        <v>1140051</v>
      </c>
      <c r="AY28" s="272">
        <v>597502</v>
      </c>
      <c r="AZ28" s="272">
        <v>79601</v>
      </c>
      <c r="BA28" s="272">
        <v>4571</v>
      </c>
      <c r="BB28" s="272">
        <v>78098</v>
      </c>
      <c r="BC28" s="272">
        <v>1194654</v>
      </c>
      <c r="BD28" s="272">
        <v>700000</v>
      </c>
      <c r="BE28" s="272">
        <v>460327</v>
      </c>
      <c r="BF28" s="272">
        <v>9233</v>
      </c>
      <c r="BG28" s="272">
        <v>0</v>
      </c>
      <c r="BH28" s="272">
        <v>679795</v>
      </c>
      <c r="BI28" s="272">
        <v>312128</v>
      </c>
      <c r="BJ28" s="272">
        <v>453254</v>
      </c>
      <c r="BK28" s="272">
        <v>150259</v>
      </c>
      <c r="BL28" s="272">
        <v>0</v>
      </c>
      <c r="BM28" s="272">
        <v>0</v>
      </c>
      <c r="BN28" s="272">
        <v>2796100</v>
      </c>
      <c r="BO28" s="455">
        <f t="shared" si="5"/>
        <v>2243500</v>
      </c>
      <c r="BP28" s="455">
        <f t="shared" si="6"/>
        <v>552600</v>
      </c>
      <c r="BQ28" s="272">
        <v>552600</v>
      </c>
      <c r="BR28" s="272">
        <v>0</v>
      </c>
      <c r="BS28" s="272">
        <v>0</v>
      </c>
      <c r="BT28" s="272">
        <v>0</v>
      </c>
      <c r="BU28" s="272">
        <v>33065811</v>
      </c>
      <c r="BV28" s="272"/>
      <c r="BW28" s="272">
        <v>8204346</v>
      </c>
      <c r="BX28" s="272">
        <v>6286824</v>
      </c>
      <c r="BY28" s="272">
        <v>343965</v>
      </c>
      <c r="BZ28" s="272">
        <v>128689</v>
      </c>
      <c r="CA28" s="272">
        <v>3017587</v>
      </c>
      <c r="CB28" s="272">
        <v>337239</v>
      </c>
      <c r="CC28" s="272">
        <v>532111</v>
      </c>
      <c r="CD28" s="272">
        <v>1060699</v>
      </c>
      <c r="CE28" s="272">
        <v>1040537</v>
      </c>
      <c r="CF28" s="272">
        <v>0</v>
      </c>
      <c r="CG28" s="272">
        <v>47001</v>
      </c>
      <c r="CH28" s="272">
        <v>4122319</v>
      </c>
      <c r="CI28" s="272">
        <v>2412548</v>
      </c>
      <c r="CJ28" s="455">
        <f t="shared" si="7"/>
        <v>1709771</v>
      </c>
      <c r="CK28" s="272">
        <v>4522974</v>
      </c>
      <c r="CL28" s="272">
        <v>2771048</v>
      </c>
      <c r="CM28" s="272">
        <v>226044</v>
      </c>
      <c r="CN28" s="272">
        <v>874087</v>
      </c>
      <c r="CO28" s="272">
        <v>339967</v>
      </c>
      <c r="CP28" s="272">
        <v>1376439</v>
      </c>
      <c r="CQ28" s="272">
        <v>12221</v>
      </c>
      <c r="CR28" s="272">
        <v>545236</v>
      </c>
      <c r="CS28" s="272">
        <v>287468</v>
      </c>
      <c r="CT28" s="455">
        <f t="shared" si="8"/>
        <v>18969</v>
      </c>
      <c r="CU28" s="272">
        <v>18969</v>
      </c>
      <c r="CV28" s="272">
        <v>0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5121162</v>
      </c>
      <c r="DD28" s="272">
        <v>901980</v>
      </c>
      <c r="DE28" s="272">
        <v>3094218</v>
      </c>
      <c r="DF28" s="272">
        <v>0</v>
      </c>
      <c r="DG28" s="272">
        <v>1124964</v>
      </c>
      <c r="DH28" s="272">
        <v>11</v>
      </c>
      <c r="DI28" s="272">
        <v>187338</v>
      </c>
      <c r="DJ28" s="272">
        <v>129510</v>
      </c>
      <c r="DK28" s="272">
        <v>18789</v>
      </c>
      <c r="DL28" s="272">
        <v>39039</v>
      </c>
      <c r="DM28" s="272">
        <v>51200</v>
      </c>
      <c r="DN28" s="272">
        <v>51200</v>
      </c>
      <c r="DO28" s="272">
        <v>51200</v>
      </c>
      <c r="DP28" s="272">
        <v>0</v>
      </c>
      <c r="DQ28" s="272">
        <v>141836</v>
      </c>
      <c r="DR28" s="272">
        <v>0</v>
      </c>
      <c r="DS28" s="272">
        <v>0</v>
      </c>
      <c r="DT28" s="272">
        <v>4986807</v>
      </c>
      <c r="DU28" s="272">
        <v>3929342</v>
      </c>
      <c r="DV28" s="455">
        <f t="shared" si="11"/>
        <v>0</v>
      </c>
      <c r="DW28" s="272">
        <v>0</v>
      </c>
      <c r="DX28" s="272">
        <v>0</v>
      </c>
      <c r="DY28" s="272">
        <v>170988</v>
      </c>
      <c r="DZ28" s="272">
        <v>739015</v>
      </c>
      <c r="EA28" s="272">
        <v>137161</v>
      </c>
      <c r="EB28" s="272"/>
      <c r="EC28" s="272">
        <v>0</v>
      </c>
      <c r="ED28" s="272">
        <v>32071986</v>
      </c>
      <c r="EF28" s="272">
        <v>993825</v>
      </c>
      <c r="EG28" s="272">
        <v>759454</v>
      </c>
      <c r="EH28" s="272">
        <v>234371</v>
      </c>
      <c r="EI28" s="272">
        <v>-77757</v>
      </c>
      <c r="EJ28" s="272">
        <v>-497558</v>
      </c>
      <c r="EL28" s="272"/>
      <c r="EM28" s="272">
        <v>84918</v>
      </c>
      <c r="EN28" s="272">
        <v>1185421</v>
      </c>
      <c r="EO28" s="272">
        <v>4875</v>
      </c>
      <c r="EP28" s="455">
        <f t="shared" si="12"/>
        <v>920478</v>
      </c>
      <c r="EQ28" s="272">
        <v>21772043</v>
      </c>
      <c r="ER28" s="272">
        <v>-2640747</v>
      </c>
      <c r="ES28" s="272">
        <v>7614986</v>
      </c>
      <c r="ET28" s="272">
        <v>5713695</v>
      </c>
      <c r="EU28" s="272">
        <v>974971</v>
      </c>
      <c r="EV28" s="272">
        <v>4122319</v>
      </c>
      <c r="EW28" s="455">
        <f t="shared" si="13"/>
        <v>1001197</v>
      </c>
      <c r="EX28" s="272">
        <v>1001186</v>
      </c>
      <c r="EY28" s="272">
        <v>51332</v>
      </c>
      <c r="EZ28" s="272">
        <v>949854</v>
      </c>
      <c r="FA28" s="272">
        <v>11</v>
      </c>
      <c r="FB28" s="272"/>
      <c r="FC28" s="272">
        <v>3465503</v>
      </c>
      <c r="FD28" s="272">
        <v>1274057</v>
      </c>
      <c r="FE28" s="272">
        <v>12221</v>
      </c>
      <c r="FF28" s="272">
        <v>4828117</v>
      </c>
      <c r="FG28" s="455">
        <f t="shared" si="14"/>
        <v>430914</v>
      </c>
      <c r="FH28" s="272">
        <v>23712064</v>
      </c>
      <c r="FI28" s="384">
        <f t="shared" si="15"/>
        <v>1.2</v>
      </c>
      <c r="FJ28" s="272">
        <v>20246942</v>
      </c>
      <c r="FK28" s="272"/>
      <c r="FL28" s="272">
        <v>15237076</v>
      </c>
      <c r="FM28" s="272">
        <v>14842583</v>
      </c>
      <c r="FN28" s="460">
        <v>1.028</v>
      </c>
      <c r="FO28" s="388">
        <v>103.7</v>
      </c>
      <c r="FP28" s="388">
        <v>37.700000000000003</v>
      </c>
      <c r="FQ28" s="388">
        <v>5</v>
      </c>
      <c r="FR28" s="388">
        <v>20.3</v>
      </c>
      <c r="FS28" s="388">
        <v>17.100000000000001</v>
      </c>
      <c r="FT28" s="388">
        <v>6.1</v>
      </c>
      <c r="FU28" s="388">
        <v>15.9</v>
      </c>
      <c r="FV28" s="388">
        <v>12.8</v>
      </c>
      <c r="FW28" s="272">
        <v>43071275</v>
      </c>
      <c r="FX28" s="384">
        <f t="shared" si="16"/>
        <v>212.7</v>
      </c>
      <c r="FY28" s="272">
        <v>8794118</v>
      </c>
      <c r="FZ28" s="272">
        <v>3100800</v>
      </c>
      <c r="GA28" s="272">
        <v>1752000</v>
      </c>
      <c r="GB28" s="272">
        <v>3941318</v>
      </c>
      <c r="GC28" s="272"/>
      <c r="GD28" s="272">
        <v>6200216</v>
      </c>
      <c r="GE28" s="384">
        <f t="shared" si="17"/>
        <v>30.6</v>
      </c>
      <c r="GF28" s="388">
        <v>98.4</v>
      </c>
      <c r="GG28" s="388">
        <v>27.7</v>
      </c>
      <c r="GH28" s="388">
        <v>95.5</v>
      </c>
      <c r="GI28" s="272">
        <v>757</v>
      </c>
    </row>
    <row r="29" spans="2:191" x14ac:dyDescent="0.15">
      <c r="B29" s="89" t="s">
        <v>51</v>
      </c>
      <c r="C29" s="272">
        <v>14669312</v>
      </c>
      <c r="D29" s="455">
        <f t="shared" si="0"/>
        <v>3492548</v>
      </c>
      <c r="E29" s="272">
        <v>60020</v>
      </c>
      <c r="F29" s="272">
        <v>3432528</v>
      </c>
      <c r="G29" s="455">
        <f t="shared" si="1"/>
        <v>883414</v>
      </c>
      <c r="H29" s="272">
        <v>155856</v>
      </c>
      <c r="I29" s="272">
        <v>727558</v>
      </c>
      <c r="J29" s="272">
        <v>8250163</v>
      </c>
      <c r="K29" s="272">
        <v>4980217</v>
      </c>
      <c r="L29" s="272">
        <v>1356739</v>
      </c>
      <c r="M29" s="272">
        <v>1875475</v>
      </c>
      <c r="N29" s="272">
        <v>385502</v>
      </c>
      <c r="O29" s="272">
        <v>1621584</v>
      </c>
      <c r="P29" s="272">
        <v>1302918</v>
      </c>
      <c r="Q29" s="272">
        <v>318666</v>
      </c>
      <c r="R29" s="272">
        <v>156096</v>
      </c>
      <c r="S29" s="272"/>
      <c r="T29" s="455">
        <f t="shared" si="2"/>
        <v>869843</v>
      </c>
      <c r="U29" s="272">
        <v>110787</v>
      </c>
      <c r="V29" s="272"/>
      <c r="W29" s="272"/>
      <c r="X29" s="272">
        <v>606765</v>
      </c>
      <c r="Y29" s="272">
        <v>0</v>
      </c>
      <c r="Z29" s="272">
        <v>20566</v>
      </c>
      <c r="AA29" s="272">
        <v>131725</v>
      </c>
      <c r="AB29" s="272"/>
      <c r="AC29" s="272">
        <v>55678</v>
      </c>
      <c r="AD29" s="272">
        <v>0</v>
      </c>
      <c r="AE29" s="272">
        <v>55678</v>
      </c>
      <c r="AF29" s="272">
        <v>13885</v>
      </c>
      <c r="AG29" s="272">
        <v>134468</v>
      </c>
      <c r="AH29" s="455">
        <f t="shared" si="3"/>
        <v>375843</v>
      </c>
      <c r="AI29" s="272">
        <v>344779</v>
      </c>
      <c r="AJ29" s="272">
        <v>31064</v>
      </c>
      <c r="AK29" s="272">
        <v>2439405</v>
      </c>
      <c r="AL29" s="455">
        <f t="shared" si="4"/>
        <v>1032106</v>
      </c>
      <c r="AM29" s="272">
        <v>706700</v>
      </c>
      <c r="AN29" s="272">
        <v>184511</v>
      </c>
      <c r="AO29" s="272">
        <v>0</v>
      </c>
      <c r="AP29" s="272">
        <v>140895</v>
      </c>
      <c r="AQ29" s="272">
        <v>436103</v>
      </c>
      <c r="AR29" s="272">
        <v>3618</v>
      </c>
      <c r="AS29" s="272">
        <v>0</v>
      </c>
      <c r="AT29" s="272">
        <v>2854366</v>
      </c>
      <c r="AU29" s="272">
        <v>1605756</v>
      </c>
      <c r="AV29" s="272">
        <v>126128</v>
      </c>
      <c r="AW29" s="272">
        <v>23195</v>
      </c>
      <c r="AX29" s="272">
        <v>1248610</v>
      </c>
      <c r="AY29" s="272">
        <v>586629</v>
      </c>
      <c r="AZ29" s="272">
        <v>568005</v>
      </c>
      <c r="BA29" s="272">
        <v>229153</v>
      </c>
      <c r="BB29" s="272">
        <v>77991</v>
      </c>
      <c r="BC29" s="272">
        <v>2929583</v>
      </c>
      <c r="BD29" s="272">
        <v>1030000</v>
      </c>
      <c r="BE29" s="272">
        <v>0</v>
      </c>
      <c r="BF29" s="272">
        <v>1898620</v>
      </c>
      <c r="BG29" s="272">
        <v>0</v>
      </c>
      <c r="BH29" s="272">
        <v>396358</v>
      </c>
      <c r="BI29" s="272">
        <v>396358</v>
      </c>
      <c r="BJ29" s="272">
        <v>197151</v>
      </c>
      <c r="BK29" s="272">
        <v>52623</v>
      </c>
      <c r="BL29" s="272">
        <v>0</v>
      </c>
      <c r="BM29" s="272">
        <v>0</v>
      </c>
      <c r="BN29" s="272">
        <v>4850100</v>
      </c>
      <c r="BO29" s="455">
        <f t="shared" si="5"/>
        <v>4458100</v>
      </c>
      <c r="BP29" s="455">
        <f t="shared" si="6"/>
        <v>392000</v>
      </c>
      <c r="BQ29" s="272">
        <v>392000</v>
      </c>
      <c r="BR29" s="272">
        <v>0</v>
      </c>
      <c r="BS29" s="272">
        <v>0</v>
      </c>
      <c r="BT29" s="272">
        <v>0</v>
      </c>
      <c r="BU29" s="272">
        <v>30588084</v>
      </c>
      <c r="BV29" s="272"/>
      <c r="BW29" s="272">
        <v>6358806</v>
      </c>
      <c r="BX29" s="272">
        <v>4726829</v>
      </c>
      <c r="BY29" s="272">
        <v>381690</v>
      </c>
      <c r="BZ29" s="272">
        <v>119419</v>
      </c>
      <c r="CA29" s="272">
        <v>2583695</v>
      </c>
      <c r="CB29" s="272">
        <v>337185</v>
      </c>
      <c r="CC29" s="272">
        <v>719641</v>
      </c>
      <c r="CD29" s="272">
        <v>603562</v>
      </c>
      <c r="CE29" s="272">
        <v>882665</v>
      </c>
      <c r="CF29" s="272">
        <v>493</v>
      </c>
      <c r="CG29" s="272">
        <v>40149</v>
      </c>
      <c r="CH29" s="272">
        <v>1022486</v>
      </c>
      <c r="CI29" s="272">
        <v>556213</v>
      </c>
      <c r="CJ29" s="455">
        <f t="shared" si="7"/>
        <v>466273</v>
      </c>
      <c r="CK29" s="272">
        <v>2724325</v>
      </c>
      <c r="CL29" s="272">
        <v>1759015</v>
      </c>
      <c r="CM29" s="272">
        <v>76949</v>
      </c>
      <c r="CN29" s="272">
        <v>503740</v>
      </c>
      <c r="CO29" s="272">
        <v>37633</v>
      </c>
      <c r="CP29" s="272">
        <v>3162604</v>
      </c>
      <c r="CQ29" s="272">
        <v>1967666</v>
      </c>
      <c r="CR29" s="272">
        <v>618165</v>
      </c>
      <c r="CS29" s="272">
        <v>555113</v>
      </c>
      <c r="CT29" s="455">
        <f t="shared" si="8"/>
        <v>44761</v>
      </c>
      <c r="CU29" s="272">
        <v>6770</v>
      </c>
      <c r="CV29" s="272">
        <v>37991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10180206</v>
      </c>
      <c r="DD29" s="272">
        <v>978545</v>
      </c>
      <c r="DE29" s="272">
        <v>7737680</v>
      </c>
      <c r="DF29" s="272">
        <v>38941</v>
      </c>
      <c r="DG29" s="272">
        <v>1425040</v>
      </c>
      <c r="DH29" s="272">
        <v>7145</v>
      </c>
      <c r="DI29" s="272">
        <v>1318717</v>
      </c>
      <c r="DJ29" s="272">
        <v>208991</v>
      </c>
      <c r="DK29" s="272">
        <v>0</v>
      </c>
      <c r="DL29" s="272">
        <v>1109726</v>
      </c>
      <c r="DM29" s="272">
        <v>0</v>
      </c>
      <c r="DN29" s="272">
        <v>0</v>
      </c>
      <c r="DO29" s="272">
        <v>0</v>
      </c>
      <c r="DP29" s="272">
        <v>0</v>
      </c>
      <c r="DQ29" s="272">
        <v>74890</v>
      </c>
      <c r="DR29" s="272">
        <v>0</v>
      </c>
      <c r="DS29" s="272">
        <v>0</v>
      </c>
      <c r="DT29" s="272">
        <v>2391474</v>
      </c>
      <c r="DU29" s="272">
        <v>1559760</v>
      </c>
      <c r="DV29" s="455">
        <f t="shared" si="11"/>
        <v>0</v>
      </c>
      <c r="DW29" s="272">
        <v>0</v>
      </c>
      <c r="DX29" s="272">
        <v>0</v>
      </c>
      <c r="DY29" s="272">
        <v>0</v>
      </c>
      <c r="DZ29" s="272">
        <v>535887</v>
      </c>
      <c r="EA29" s="272">
        <v>294157</v>
      </c>
      <c r="EB29" s="272"/>
      <c r="EC29" s="272">
        <v>0</v>
      </c>
      <c r="ED29" s="272">
        <v>29861981</v>
      </c>
      <c r="EF29" s="272">
        <v>726103</v>
      </c>
      <c r="EG29" s="272">
        <v>365660</v>
      </c>
      <c r="EH29" s="272">
        <v>360443</v>
      </c>
      <c r="EI29" s="272">
        <v>-35915</v>
      </c>
      <c r="EJ29" s="272">
        <v>-856924</v>
      </c>
      <c r="EL29" s="272"/>
      <c r="EM29" s="272">
        <v>63118</v>
      </c>
      <c r="EN29" s="272">
        <v>1030000</v>
      </c>
      <c r="EO29" s="272">
        <v>453206</v>
      </c>
      <c r="EP29" s="455">
        <f t="shared" si="12"/>
        <v>839832</v>
      </c>
      <c r="EQ29" s="272">
        <v>15764814</v>
      </c>
      <c r="ER29" s="272">
        <v>-2701153</v>
      </c>
      <c r="ES29" s="272">
        <v>5797047</v>
      </c>
      <c r="ET29" s="272">
        <v>4181943</v>
      </c>
      <c r="EU29" s="272">
        <v>811284</v>
      </c>
      <c r="EV29" s="272">
        <v>969673</v>
      </c>
      <c r="EW29" s="455">
        <f t="shared" si="13"/>
        <v>1786800</v>
      </c>
      <c r="EX29" s="272">
        <v>1786800</v>
      </c>
      <c r="EY29" s="272">
        <v>29873</v>
      </c>
      <c r="EZ29" s="272">
        <v>1756876</v>
      </c>
      <c r="FA29" s="272">
        <v>0</v>
      </c>
      <c r="FB29" s="272"/>
      <c r="FC29" s="272">
        <v>2130126</v>
      </c>
      <c r="FD29" s="272">
        <v>3049698</v>
      </c>
      <c r="FE29" s="272">
        <v>1967666</v>
      </c>
      <c r="FF29" s="272">
        <v>2305198</v>
      </c>
      <c r="FG29" s="455">
        <f t="shared" si="14"/>
        <v>1224644</v>
      </c>
      <c r="FH29" s="272">
        <v>18074470</v>
      </c>
      <c r="FI29" s="384">
        <f t="shared" si="15"/>
        <v>2.5</v>
      </c>
      <c r="FJ29" s="272">
        <v>14666302</v>
      </c>
      <c r="FK29" s="272"/>
      <c r="FL29" s="272">
        <v>11043358</v>
      </c>
      <c r="FM29" s="272">
        <v>9763742</v>
      </c>
      <c r="FN29" s="460">
        <v>1.147</v>
      </c>
      <c r="FO29" s="388">
        <v>97.8</v>
      </c>
      <c r="FP29" s="388">
        <v>40.200000000000003</v>
      </c>
      <c r="FQ29" s="388">
        <v>5.7</v>
      </c>
      <c r="FR29" s="388">
        <v>6.9</v>
      </c>
      <c r="FS29" s="388">
        <v>14.2</v>
      </c>
      <c r="FT29" s="388">
        <v>20.7</v>
      </c>
      <c r="FU29" s="388">
        <v>9.9</v>
      </c>
      <c r="FV29" s="388">
        <v>4.5</v>
      </c>
      <c r="FW29" s="272">
        <v>18298403</v>
      </c>
      <c r="FX29" s="384">
        <f t="shared" si="16"/>
        <v>124.8</v>
      </c>
      <c r="FY29" s="272">
        <v>14286462</v>
      </c>
      <c r="FZ29" s="272">
        <v>2952489</v>
      </c>
      <c r="GA29" s="272"/>
      <c r="GB29" s="272">
        <v>11333973</v>
      </c>
      <c r="GC29" s="272"/>
      <c r="GD29" s="272">
        <v>18389325</v>
      </c>
      <c r="GE29" s="384">
        <f t="shared" si="17"/>
        <v>125.4</v>
      </c>
      <c r="GF29" s="388">
        <v>98.3</v>
      </c>
      <c r="GG29" s="388">
        <v>25.6</v>
      </c>
      <c r="GH29" s="388">
        <v>94.4</v>
      </c>
      <c r="GI29" s="272">
        <v>608</v>
      </c>
    </row>
    <row r="30" spans="2:191" x14ac:dyDescent="0.15">
      <c r="B30" s="89" t="s">
        <v>53</v>
      </c>
      <c r="C30" s="272">
        <v>9082548</v>
      </c>
      <c r="D30" s="455">
        <f t="shared" si="0"/>
        <v>3683109</v>
      </c>
      <c r="E30" s="272">
        <v>61393</v>
      </c>
      <c r="F30" s="272">
        <v>3621716</v>
      </c>
      <c r="G30" s="455">
        <f t="shared" si="1"/>
        <v>634184</v>
      </c>
      <c r="H30" s="272">
        <v>145434</v>
      </c>
      <c r="I30" s="272">
        <v>488750</v>
      </c>
      <c r="J30" s="272">
        <v>3411598</v>
      </c>
      <c r="K30" s="272">
        <v>1843128</v>
      </c>
      <c r="L30" s="272">
        <v>1226714</v>
      </c>
      <c r="M30" s="272">
        <v>330749</v>
      </c>
      <c r="N30" s="272">
        <v>388874</v>
      </c>
      <c r="O30" s="272">
        <v>921152</v>
      </c>
      <c r="P30" s="272">
        <v>633240</v>
      </c>
      <c r="Q30" s="272">
        <v>287912</v>
      </c>
      <c r="R30" s="272">
        <v>122031</v>
      </c>
      <c r="S30" s="272"/>
      <c r="T30" s="455">
        <f t="shared" si="2"/>
        <v>877187</v>
      </c>
      <c r="U30" s="272">
        <v>116873</v>
      </c>
      <c r="V30" s="272"/>
      <c r="W30" s="272"/>
      <c r="X30" s="272">
        <v>619578</v>
      </c>
      <c r="Y30" s="272">
        <v>0</v>
      </c>
      <c r="Z30" s="272">
        <v>3740</v>
      </c>
      <c r="AA30" s="272">
        <v>136996</v>
      </c>
      <c r="AB30" s="272"/>
      <c r="AC30" s="272">
        <v>3510900</v>
      </c>
      <c r="AD30" s="272">
        <v>3263853</v>
      </c>
      <c r="AE30" s="272">
        <v>247047</v>
      </c>
      <c r="AF30" s="272">
        <v>16678</v>
      </c>
      <c r="AG30" s="272">
        <v>129565</v>
      </c>
      <c r="AH30" s="455">
        <f t="shared" si="3"/>
        <v>381689</v>
      </c>
      <c r="AI30" s="272">
        <v>345663</v>
      </c>
      <c r="AJ30" s="272">
        <v>36026</v>
      </c>
      <c r="AK30" s="272">
        <v>1993649</v>
      </c>
      <c r="AL30" s="455">
        <f t="shared" si="4"/>
        <v>953635</v>
      </c>
      <c r="AM30" s="272">
        <v>653738</v>
      </c>
      <c r="AN30" s="272">
        <v>148616</v>
      </c>
      <c r="AO30" s="272">
        <v>0</v>
      </c>
      <c r="AP30" s="272">
        <v>151281</v>
      </c>
      <c r="AQ30" s="272">
        <v>198540</v>
      </c>
      <c r="AR30" s="272">
        <v>0</v>
      </c>
      <c r="AS30" s="272">
        <v>0</v>
      </c>
      <c r="AT30" s="272">
        <v>992573</v>
      </c>
      <c r="AU30" s="272">
        <v>309359</v>
      </c>
      <c r="AV30" s="272">
        <v>73117</v>
      </c>
      <c r="AW30" s="272">
        <v>0</v>
      </c>
      <c r="AX30" s="272">
        <v>683214</v>
      </c>
      <c r="AY30" s="272">
        <v>117991</v>
      </c>
      <c r="AZ30" s="272">
        <v>30506</v>
      </c>
      <c r="BA30" s="272">
        <v>1053</v>
      </c>
      <c r="BB30" s="272">
        <v>128649</v>
      </c>
      <c r="BC30" s="272">
        <v>758866</v>
      </c>
      <c r="BD30" s="272">
        <v>90000</v>
      </c>
      <c r="BE30" s="272">
        <v>150000</v>
      </c>
      <c r="BF30" s="272">
        <v>518866</v>
      </c>
      <c r="BG30" s="272">
        <v>0</v>
      </c>
      <c r="BH30" s="272">
        <v>11057</v>
      </c>
      <c r="BI30" s="272">
        <v>9792</v>
      </c>
      <c r="BJ30" s="272">
        <v>233184</v>
      </c>
      <c r="BK30" s="272">
        <v>20094</v>
      </c>
      <c r="BL30" s="272">
        <v>12046</v>
      </c>
      <c r="BM30" s="272">
        <v>0</v>
      </c>
      <c r="BN30" s="272">
        <v>1071300</v>
      </c>
      <c r="BO30" s="455">
        <f t="shared" si="5"/>
        <v>669400</v>
      </c>
      <c r="BP30" s="455">
        <f t="shared" si="6"/>
        <v>401900</v>
      </c>
      <c r="BQ30" s="272">
        <v>401900</v>
      </c>
      <c r="BR30" s="272">
        <v>0</v>
      </c>
      <c r="BS30" s="272">
        <v>0</v>
      </c>
      <c r="BT30" s="272">
        <v>0</v>
      </c>
      <c r="BU30" s="272">
        <v>19340382</v>
      </c>
      <c r="BV30" s="272"/>
      <c r="BW30" s="272">
        <v>5478231</v>
      </c>
      <c r="BX30" s="272">
        <v>4131729</v>
      </c>
      <c r="BY30" s="272">
        <v>136100</v>
      </c>
      <c r="BZ30" s="272">
        <v>180677</v>
      </c>
      <c r="CA30" s="272">
        <v>2620400</v>
      </c>
      <c r="CB30" s="272">
        <v>358701</v>
      </c>
      <c r="CC30" s="272">
        <v>940168</v>
      </c>
      <c r="CD30" s="272">
        <v>409326</v>
      </c>
      <c r="CE30" s="272">
        <v>882888</v>
      </c>
      <c r="CF30" s="272">
        <v>0</v>
      </c>
      <c r="CG30" s="272">
        <v>28692</v>
      </c>
      <c r="CH30" s="272">
        <v>1647173</v>
      </c>
      <c r="CI30" s="272">
        <v>1127764</v>
      </c>
      <c r="CJ30" s="455">
        <f t="shared" si="7"/>
        <v>519409</v>
      </c>
      <c r="CK30" s="272">
        <v>2303378</v>
      </c>
      <c r="CL30" s="272">
        <v>1192728</v>
      </c>
      <c r="CM30" s="272">
        <v>223755</v>
      </c>
      <c r="CN30" s="272">
        <v>473911</v>
      </c>
      <c r="CO30" s="272">
        <v>243587</v>
      </c>
      <c r="CP30" s="272">
        <v>2774341</v>
      </c>
      <c r="CQ30" s="272">
        <v>2069885</v>
      </c>
      <c r="CR30" s="272">
        <v>230524</v>
      </c>
      <c r="CS30" s="272">
        <v>198894</v>
      </c>
      <c r="CT30" s="455">
        <f t="shared" si="8"/>
        <v>173208</v>
      </c>
      <c r="CU30" s="272">
        <v>114366</v>
      </c>
      <c r="CV30" s="272">
        <v>58842</v>
      </c>
      <c r="CW30" s="455">
        <f t="shared" si="9"/>
        <v>152738</v>
      </c>
      <c r="CX30" s="272">
        <v>108896</v>
      </c>
      <c r="CY30" s="272">
        <v>43842</v>
      </c>
      <c r="CZ30" s="455">
        <f t="shared" si="10"/>
        <v>0</v>
      </c>
      <c r="DA30" s="272">
        <v>0</v>
      </c>
      <c r="DB30" s="272">
        <v>0</v>
      </c>
      <c r="DC30" s="272">
        <v>1562439</v>
      </c>
      <c r="DD30" s="272">
        <v>551346</v>
      </c>
      <c r="DE30" s="272">
        <v>937299</v>
      </c>
      <c r="DF30" s="272">
        <v>61748</v>
      </c>
      <c r="DG30" s="272">
        <v>12046</v>
      </c>
      <c r="DH30" s="272">
        <v>0</v>
      </c>
      <c r="DI30" s="272">
        <v>262919</v>
      </c>
      <c r="DJ30" s="272">
        <v>40336</v>
      </c>
      <c r="DK30" s="272">
        <v>2874</v>
      </c>
      <c r="DL30" s="272">
        <v>219709</v>
      </c>
      <c r="DM30" s="272">
        <v>65700</v>
      </c>
      <c r="DN30" s="272">
        <v>65700</v>
      </c>
      <c r="DO30" s="272">
        <v>65700</v>
      </c>
      <c r="DP30" s="272">
        <v>0</v>
      </c>
      <c r="DQ30" s="272">
        <v>20000</v>
      </c>
      <c r="DR30" s="272">
        <v>0</v>
      </c>
      <c r="DS30" s="272">
        <v>0</v>
      </c>
      <c r="DT30" s="272">
        <v>2111262</v>
      </c>
      <c r="DU30" s="272">
        <v>1397509</v>
      </c>
      <c r="DV30" s="455">
        <f t="shared" si="11"/>
        <v>0</v>
      </c>
      <c r="DW30" s="272">
        <v>0</v>
      </c>
      <c r="DX30" s="272">
        <v>0</v>
      </c>
      <c r="DY30" s="272">
        <v>0</v>
      </c>
      <c r="DZ30" s="272">
        <v>421326</v>
      </c>
      <c r="EA30" s="272">
        <v>292419</v>
      </c>
      <c r="EB30" s="272"/>
      <c r="EC30" s="272">
        <v>0</v>
      </c>
      <c r="ED30" s="272">
        <v>19089430</v>
      </c>
      <c r="EF30" s="272">
        <v>250952</v>
      </c>
      <c r="EG30" s="272">
        <v>228898</v>
      </c>
      <c r="EH30" s="272">
        <v>22054</v>
      </c>
      <c r="EI30" s="272">
        <v>262</v>
      </c>
      <c r="EJ30" s="272">
        <v>-49402</v>
      </c>
      <c r="EL30" s="272"/>
      <c r="EM30" s="272">
        <v>66888</v>
      </c>
      <c r="EN30" s="272">
        <v>240000</v>
      </c>
      <c r="EO30" s="272">
        <v>2918</v>
      </c>
      <c r="EP30" s="455">
        <f t="shared" si="12"/>
        <v>325024</v>
      </c>
      <c r="EQ30" s="272">
        <v>13609344</v>
      </c>
      <c r="ER30" s="272">
        <v>-953164</v>
      </c>
      <c r="ES30" s="272">
        <v>5058932</v>
      </c>
      <c r="ET30" s="272">
        <v>3792852</v>
      </c>
      <c r="EU30" s="272">
        <v>916316</v>
      </c>
      <c r="EV30" s="272">
        <v>1487127</v>
      </c>
      <c r="EW30" s="455">
        <f t="shared" si="13"/>
        <v>414322</v>
      </c>
      <c r="EX30" s="272">
        <v>414322</v>
      </c>
      <c r="EY30" s="272">
        <v>17815</v>
      </c>
      <c r="EZ30" s="272">
        <v>396399</v>
      </c>
      <c r="FA30" s="272">
        <v>0</v>
      </c>
      <c r="FB30" s="272"/>
      <c r="FC30" s="272">
        <v>1697731</v>
      </c>
      <c r="FD30" s="272">
        <v>2501074</v>
      </c>
      <c r="FE30" s="272">
        <v>1995423</v>
      </c>
      <c r="FF30" s="272">
        <v>1985654</v>
      </c>
      <c r="FG30" s="455">
        <f t="shared" si="14"/>
        <v>478926</v>
      </c>
      <c r="FH30" s="272">
        <v>14540082</v>
      </c>
      <c r="FI30" s="384">
        <f t="shared" si="15"/>
        <v>0.2</v>
      </c>
      <c r="FJ30" s="272">
        <v>12968017</v>
      </c>
      <c r="FK30" s="272"/>
      <c r="FL30" s="272">
        <v>7314946</v>
      </c>
      <c r="FM30" s="272">
        <v>10585483</v>
      </c>
      <c r="FN30" s="460">
        <v>0.70199999999999996</v>
      </c>
      <c r="FO30" s="388">
        <v>97.1</v>
      </c>
      <c r="FP30" s="388">
        <v>39.5</v>
      </c>
      <c r="FQ30" s="388">
        <v>7.3</v>
      </c>
      <c r="FR30" s="388">
        <v>11.9</v>
      </c>
      <c r="FS30" s="388">
        <v>10.6</v>
      </c>
      <c r="FT30" s="388">
        <v>18</v>
      </c>
      <c r="FU30" s="388">
        <v>7.9</v>
      </c>
      <c r="FV30" s="388">
        <v>8.6</v>
      </c>
      <c r="FW30" s="272">
        <v>13642140</v>
      </c>
      <c r="FX30" s="384">
        <f t="shared" si="16"/>
        <v>105.2</v>
      </c>
      <c r="FY30" s="272">
        <v>3610005</v>
      </c>
      <c r="FZ30" s="272">
        <v>863072</v>
      </c>
      <c r="GA30" s="272">
        <v>368886</v>
      </c>
      <c r="GB30" s="272">
        <v>2378047</v>
      </c>
      <c r="GC30" s="272"/>
      <c r="GD30" s="272">
        <v>1110494</v>
      </c>
      <c r="GE30" s="384">
        <f t="shared" si="17"/>
        <v>8.6</v>
      </c>
      <c r="GF30" s="388">
        <v>97.4</v>
      </c>
      <c r="GG30" s="388">
        <v>25</v>
      </c>
      <c r="GH30" s="388">
        <v>92.3</v>
      </c>
      <c r="GI30" s="272">
        <v>566</v>
      </c>
    </row>
    <row r="31" spans="2:191" x14ac:dyDescent="0.15">
      <c r="B31" s="89" t="s">
        <v>55</v>
      </c>
      <c r="C31" s="272">
        <v>88281622</v>
      </c>
      <c r="D31" s="455">
        <f t="shared" si="0"/>
        <v>26242522</v>
      </c>
      <c r="E31" s="272">
        <v>577466</v>
      </c>
      <c r="F31" s="272">
        <v>25665056</v>
      </c>
      <c r="G31" s="455">
        <f t="shared" si="1"/>
        <v>7404042</v>
      </c>
      <c r="H31" s="272">
        <v>1425713</v>
      </c>
      <c r="I31" s="272">
        <v>5978329</v>
      </c>
      <c r="J31" s="272">
        <v>38852350</v>
      </c>
      <c r="K31" s="272">
        <v>22599642</v>
      </c>
      <c r="L31" s="272">
        <v>11734179</v>
      </c>
      <c r="M31" s="272">
        <v>4293212</v>
      </c>
      <c r="N31" s="272">
        <v>3719289</v>
      </c>
      <c r="O31" s="272">
        <v>9283917</v>
      </c>
      <c r="P31" s="272">
        <v>6585478</v>
      </c>
      <c r="Q31" s="272">
        <v>2698439</v>
      </c>
      <c r="R31" s="272">
        <v>969211</v>
      </c>
      <c r="S31" s="272"/>
      <c r="T31" s="455">
        <f t="shared" si="2"/>
        <v>7620951</v>
      </c>
      <c r="U31" s="272">
        <v>839124</v>
      </c>
      <c r="V31" s="272"/>
      <c r="W31" s="272"/>
      <c r="X31" s="272">
        <v>5657001</v>
      </c>
      <c r="Y31" s="272">
        <v>0</v>
      </c>
      <c r="Z31" s="272">
        <v>37277</v>
      </c>
      <c r="AA31" s="272">
        <v>1087549</v>
      </c>
      <c r="AB31" s="272"/>
      <c r="AC31" s="272">
        <v>8308778</v>
      </c>
      <c r="AD31" s="272">
        <v>7279681</v>
      </c>
      <c r="AE31" s="272">
        <v>1029097</v>
      </c>
      <c r="AF31" s="272">
        <v>119835</v>
      </c>
      <c r="AG31" s="272">
        <v>4306792</v>
      </c>
      <c r="AH31" s="455">
        <f t="shared" si="3"/>
        <v>3382750</v>
      </c>
      <c r="AI31" s="272">
        <v>2653190</v>
      </c>
      <c r="AJ31" s="272">
        <v>729560</v>
      </c>
      <c r="AK31" s="272">
        <v>21362088</v>
      </c>
      <c r="AL31" s="455">
        <f t="shared" si="4"/>
        <v>13874802</v>
      </c>
      <c r="AM31" s="272">
        <v>11438297</v>
      </c>
      <c r="AN31" s="272">
        <v>1245130</v>
      </c>
      <c r="AO31" s="272">
        <v>58545</v>
      </c>
      <c r="AP31" s="272">
        <v>1132830</v>
      </c>
      <c r="AQ31" s="272">
        <v>1740159</v>
      </c>
      <c r="AR31" s="272">
        <v>0</v>
      </c>
      <c r="AS31" s="272">
        <v>0</v>
      </c>
      <c r="AT31" s="272">
        <v>10599584</v>
      </c>
      <c r="AU31" s="272">
        <v>3832672</v>
      </c>
      <c r="AV31" s="272">
        <v>617713</v>
      </c>
      <c r="AW31" s="272">
        <v>177994</v>
      </c>
      <c r="AX31" s="272">
        <v>6766912</v>
      </c>
      <c r="AY31" s="272">
        <v>1667056</v>
      </c>
      <c r="AZ31" s="272">
        <v>907328</v>
      </c>
      <c r="BA31" s="272">
        <v>419126</v>
      </c>
      <c r="BB31" s="272">
        <v>414814</v>
      </c>
      <c r="BC31" s="272">
        <v>1749374</v>
      </c>
      <c r="BD31" s="272">
        <v>1519000</v>
      </c>
      <c r="BE31" s="272">
        <v>0</v>
      </c>
      <c r="BF31" s="272">
        <v>17689</v>
      </c>
      <c r="BG31" s="272">
        <v>0</v>
      </c>
      <c r="BH31" s="272">
        <v>1903932</v>
      </c>
      <c r="BI31" s="272">
        <v>1474127</v>
      </c>
      <c r="BJ31" s="272">
        <v>4252835</v>
      </c>
      <c r="BK31" s="272">
        <v>3061390</v>
      </c>
      <c r="BL31" s="272">
        <v>91911</v>
      </c>
      <c r="BM31" s="272">
        <v>193292</v>
      </c>
      <c r="BN31" s="272">
        <v>12910100</v>
      </c>
      <c r="BO31" s="455">
        <f t="shared" si="5"/>
        <v>9935900</v>
      </c>
      <c r="BP31" s="455">
        <f t="shared" si="6"/>
        <v>2974200</v>
      </c>
      <c r="BQ31" s="272">
        <v>2974200</v>
      </c>
      <c r="BR31" s="272">
        <v>0</v>
      </c>
      <c r="BS31" s="272">
        <v>0</v>
      </c>
      <c r="BT31" s="272">
        <v>0</v>
      </c>
      <c r="BU31" s="272">
        <v>167089994</v>
      </c>
      <c r="BV31" s="272"/>
      <c r="BW31" s="272">
        <v>45823132</v>
      </c>
      <c r="BX31" s="272">
        <v>34724361</v>
      </c>
      <c r="BY31" s="272">
        <v>3829013</v>
      </c>
      <c r="BZ31" s="272">
        <v>489560</v>
      </c>
      <c r="CA31" s="272">
        <v>31458805</v>
      </c>
      <c r="CB31" s="272">
        <v>2482045</v>
      </c>
      <c r="CC31" s="272">
        <v>5474258</v>
      </c>
      <c r="CD31" s="272">
        <v>4763304</v>
      </c>
      <c r="CE31" s="272">
        <v>15287130</v>
      </c>
      <c r="CF31" s="272">
        <v>3143232</v>
      </c>
      <c r="CG31" s="272">
        <v>306556</v>
      </c>
      <c r="CH31" s="272">
        <v>16293226</v>
      </c>
      <c r="CI31" s="272">
        <v>10295141</v>
      </c>
      <c r="CJ31" s="455">
        <f t="shared" si="7"/>
        <v>5998085</v>
      </c>
      <c r="CK31" s="272">
        <v>15795545</v>
      </c>
      <c r="CL31" s="272">
        <v>9819048</v>
      </c>
      <c r="CM31" s="272">
        <v>908611</v>
      </c>
      <c r="CN31" s="272">
        <v>2608374</v>
      </c>
      <c r="CO31" s="272">
        <v>1247019</v>
      </c>
      <c r="CP31" s="272">
        <v>11401094</v>
      </c>
      <c r="CQ31" s="272">
        <v>4492868</v>
      </c>
      <c r="CR31" s="272">
        <v>3294986</v>
      </c>
      <c r="CS31" s="272">
        <v>2892392</v>
      </c>
      <c r="CT31" s="455">
        <f t="shared" si="8"/>
        <v>1937007</v>
      </c>
      <c r="CU31" s="272">
        <v>1196491</v>
      </c>
      <c r="CV31" s="272">
        <v>740516</v>
      </c>
      <c r="CW31" s="455">
        <f t="shared" si="9"/>
        <v>1850688</v>
      </c>
      <c r="CX31" s="272">
        <v>1110172</v>
      </c>
      <c r="CY31" s="272">
        <v>740516</v>
      </c>
      <c r="CZ31" s="455">
        <f t="shared" si="10"/>
        <v>0</v>
      </c>
      <c r="DA31" s="272">
        <v>0</v>
      </c>
      <c r="DB31" s="272">
        <v>0</v>
      </c>
      <c r="DC31" s="272">
        <v>17871276</v>
      </c>
      <c r="DD31" s="272">
        <v>2479122</v>
      </c>
      <c r="DE31" s="272">
        <v>12791454</v>
      </c>
      <c r="DF31" s="272">
        <v>219249</v>
      </c>
      <c r="DG31" s="272">
        <v>2381451</v>
      </c>
      <c r="DH31" s="272">
        <v>0</v>
      </c>
      <c r="DI31" s="272">
        <v>2075300</v>
      </c>
      <c r="DJ31" s="272">
        <v>906200</v>
      </c>
      <c r="DK31" s="272">
        <v>13900</v>
      </c>
      <c r="DL31" s="272">
        <v>1155200</v>
      </c>
      <c r="DM31" s="272">
        <v>499262</v>
      </c>
      <c r="DN31" s="272">
        <v>360312</v>
      </c>
      <c r="DO31" s="272">
        <v>0</v>
      </c>
      <c r="DP31" s="272">
        <v>360312</v>
      </c>
      <c r="DQ31" s="272">
        <v>2930918</v>
      </c>
      <c r="DR31" s="272">
        <v>0</v>
      </c>
      <c r="DS31" s="272">
        <v>0</v>
      </c>
      <c r="DT31" s="272">
        <v>17229684</v>
      </c>
      <c r="DU31" s="272">
        <v>9925687</v>
      </c>
      <c r="DV31" s="455">
        <f t="shared" si="11"/>
        <v>0</v>
      </c>
      <c r="DW31" s="272">
        <v>0</v>
      </c>
      <c r="DX31" s="272">
        <v>0</v>
      </c>
      <c r="DY31" s="272">
        <v>0</v>
      </c>
      <c r="DZ31" s="272">
        <v>5173000</v>
      </c>
      <c r="EA31" s="272">
        <v>2123478</v>
      </c>
      <c r="EB31" s="272"/>
      <c r="EC31" s="272">
        <v>0</v>
      </c>
      <c r="ED31" s="272">
        <v>162625261</v>
      </c>
      <c r="EF31" s="272">
        <v>4464733</v>
      </c>
      <c r="EG31" s="272">
        <v>3223521</v>
      </c>
      <c r="EH31" s="272">
        <v>1241212</v>
      </c>
      <c r="EI31" s="272">
        <v>-232915</v>
      </c>
      <c r="EJ31" s="272">
        <v>-845715</v>
      </c>
      <c r="EL31" s="272"/>
      <c r="EM31" s="272">
        <v>496608</v>
      </c>
      <c r="EN31" s="272">
        <v>1519000</v>
      </c>
      <c r="EO31" s="272">
        <v>111417</v>
      </c>
      <c r="EP31" s="455">
        <f t="shared" si="12"/>
        <v>5029271</v>
      </c>
      <c r="EQ31" s="272">
        <v>105300397</v>
      </c>
      <c r="ER31" s="272">
        <v>-9514053</v>
      </c>
      <c r="ES31" s="272">
        <v>43387823</v>
      </c>
      <c r="ET31" s="272">
        <v>32350643</v>
      </c>
      <c r="EU31" s="272">
        <v>8320651</v>
      </c>
      <c r="EV31" s="272">
        <v>15455726</v>
      </c>
      <c r="EW31" s="455">
        <f t="shared" si="13"/>
        <v>4465284</v>
      </c>
      <c r="EX31" s="272">
        <v>4465284</v>
      </c>
      <c r="EY31" s="272">
        <v>139132</v>
      </c>
      <c r="EZ31" s="272">
        <v>4325959</v>
      </c>
      <c r="FA31" s="272">
        <v>0</v>
      </c>
      <c r="FB31" s="272"/>
      <c r="FC31" s="272">
        <v>11187444</v>
      </c>
      <c r="FD31" s="272">
        <v>10516514</v>
      </c>
      <c r="FE31" s="272">
        <v>4492868</v>
      </c>
      <c r="FF31" s="272">
        <v>16090973</v>
      </c>
      <c r="FG31" s="455">
        <f t="shared" si="14"/>
        <v>2924981</v>
      </c>
      <c r="FH31" s="272">
        <v>112349396</v>
      </c>
      <c r="FI31" s="384">
        <f t="shared" si="15"/>
        <v>1.2</v>
      </c>
      <c r="FJ31" s="272">
        <v>100325637</v>
      </c>
      <c r="FK31" s="272"/>
      <c r="FL31" s="272">
        <v>70060772</v>
      </c>
      <c r="FM31" s="272">
        <v>77324744</v>
      </c>
      <c r="FN31" s="460">
        <v>0.91900000000000004</v>
      </c>
      <c r="FO31" s="388">
        <v>102</v>
      </c>
      <c r="FP31" s="388">
        <v>44.5</v>
      </c>
      <c r="FQ31" s="388">
        <v>8.6999999999999993</v>
      </c>
      <c r="FR31" s="388">
        <v>15.2</v>
      </c>
      <c r="FS31" s="388">
        <v>10.7</v>
      </c>
      <c r="FT31" s="388">
        <v>9.1999999999999993</v>
      </c>
      <c r="FU31" s="388">
        <v>12.6</v>
      </c>
      <c r="FV31" s="388">
        <v>11.4</v>
      </c>
      <c r="FW31" s="272">
        <v>140584269</v>
      </c>
      <c r="FX31" s="384">
        <f t="shared" si="16"/>
        <v>140.1</v>
      </c>
      <c r="FY31" s="272">
        <v>27968396</v>
      </c>
      <c r="FZ31" s="272">
        <v>6946900</v>
      </c>
      <c r="GA31" s="272">
        <v>1355700</v>
      </c>
      <c r="GB31" s="272">
        <v>19665796</v>
      </c>
      <c r="GC31" s="272"/>
      <c r="GD31" s="272">
        <v>33177453</v>
      </c>
      <c r="GE31" s="384">
        <f t="shared" si="17"/>
        <v>33.1</v>
      </c>
      <c r="GF31" s="388">
        <v>95.4</v>
      </c>
      <c r="GG31" s="388">
        <v>24.8</v>
      </c>
      <c r="GH31" s="388">
        <v>88.4</v>
      </c>
      <c r="GI31" s="272">
        <v>3928</v>
      </c>
    </row>
    <row r="32" spans="2:191" x14ac:dyDescent="0.15">
      <c r="B32" s="89" t="s">
        <v>57</v>
      </c>
      <c r="C32" s="272">
        <v>10443532</v>
      </c>
      <c r="D32" s="455">
        <f t="shared" si="0"/>
        <v>2598131</v>
      </c>
      <c r="E32" s="272">
        <v>53592</v>
      </c>
      <c r="F32" s="272">
        <v>2544539</v>
      </c>
      <c r="G32" s="455">
        <f t="shared" si="1"/>
        <v>491512</v>
      </c>
      <c r="H32" s="272">
        <v>161904</v>
      </c>
      <c r="I32" s="272">
        <v>329608</v>
      </c>
      <c r="J32" s="272">
        <v>5923154</v>
      </c>
      <c r="K32" s="272">
        <v>2952828</v>
      </c>
      <c r="L32" s="272">
        <v>1462616</v>
      </c>
      <c r="M32" s="272">
        <v>1499662</v>
      </c>
      <c r="N32" s="272">
        <v>346779</v>
      </c>
      <c r="O32" s="272">
        <v>1001578</v>
      </c>
      <c r="P32" s="272">
        <v>697097</v>
      </c>
      <c r="Q32" s="272">
        <v>304481</v>
      </c>
      <c r="R32" s="272">
        <v>176131</v>
      </c>
      <c r="S32" s="272"/>
      <c r="T32" s="455">
        <f t="shared" si="2"/>
        <v>881808</v>
      </c>
      <c r="U32" s="272">
        <v>83152</v>
      </c>
      <c r="V32" s="272"/>
      <c r="W32" s="272"/>
      <c r="X32" s="272">
        <v>585179</v>
      </c>
      <c r="Y32" s="272">
        <v>64975</v>
      </c>
      <c r="Z32" s="272">
        <v>1902</v>
      </c>
      <c r="AA32" s="272">
        <v>146600</v>
      </c>
      <c r="AB32" s="272"/>
      <c r="AC32" s="272">
        <v>1810640</v>
      </c>
      <c r="AD32" s="272">
        <v>1323874</v>
      </c>
      <c r="AE32" s="272">
        <v>486766</v>
      </c>
      <c r="AF32" s="272">
        <v>13800</v>
      </c>
      <c r="AG32" s="272">
        <v>119809</v>
      </c>
      <c r="AH32" s="455">
        <f t="shared" si="3"/>
        <v>319625</v>
      </c>
      <c r="AI32" s="272">
        <v>196759</v>
      </c>
      <c r="AJ32" s="272">
        <v>122866</v>
      </c>
      <c r="AK32" s="272">
        <v>1978016</v>
      </c>
      <c r="AL32" s="455">
        <f t="shared" si="4"/>
        <v>1129245</v>
      </c>
      <c r="AM32" s="272">
        <v>890000</v>
      </c>
      <c r="AN32" s="272">
        <v>140834</v>
      </c>
      <c r="AO32" s="272">
        <v>0</v>
      </c>
      <c r="AP32" s="272">
        <v>98411</v>
      </c>
      <c r="AQ32" s="272">
        <v>387217</v>
      </c>
      <c r="AR32" s="272">
        <v>0</v>
      </c>
      <c r="AS32" s="272">
        <v>0</v>
      </c>
      <c r="AT32" s="272">
        <v>960204</v>
      </c>
      <c r="AU32" s="272">
        <v>386238</v>
      </c>
      <c r="AV32" s="272">
        <v>69860</v>
      </c>
      <c r="AW32" s="272">
        <v>44792</v>
      </c>
      <c r="AX32" s="272">
        <v>573966</v>
      </c>
      <c r="AY32" s="272">
        <v>55553</v>
      </c>
      <c r="AZ32" s="272">
        <v>3455</v>
      </c>
      <c r="BA32" s="272">
        <v>0</v>
      </c>
      <c r="BB32" s="272">
        <v>207174</v>
      </c>
      <c r="BC32" s="272">
        <v>314806</v>
      </c>
      <c r="BD32" s="272">
        <v>0</v>
      </c>
      <c r="BE32" s="272">
        <v>0</v>
      </c>
      <c r="BF32" s="272">
        <v>299806</v>
      </c>
      <c r="BG32" s="272">
        <v>0</v>
      </c>
      <c r="BH32" s="272">
        <v>54337</v>
      </c>
      <c r="BI32" s="272">
        <v>41656</v>
      </c>
      <c r="BJ32" s="272">
        <v>355533</v>
      </c>
      <c r="BK32" s="272">
        <v>1800</v>
      </c>
      <c r="BL32" s="272">
        <v>0</v>
      </c>
      <c r="BM32" s="272">
        <v>0</v>
      </c>
      <c r="BN32" s="272">
        <v>1143700</v>
      </c>
      <c r="BO32" s="455">
        <f t="shared" si="5"/>
        <v>803900</v>
      </c>
      <c r="BP32" s="455">
        <f t="shared" si="6"/>
        <v>339800</v>
      </c>
      <c r="BQ32" s="272">
        <v>339800</v>
      </c>
      <c r="BR32" s="272">
        <v>0</v>
      </c>
      <c r="BS32" s="272">
        <v>0</v>
      </c>
      <c r="BT32" s="272">
        <v>0</v>
      </c>
      <c r="BU32" s="272">
        <v>18782570</v>
      </c>
      <c r="BV32" s="272"/>
      <c r="BW32" s="272">
        <v>6401288</v>
      </c>
      <c r="BX32" s="272">
        <v>4817396</v>
      </c>
      <c r="BY32" s="272">
        <v>151512</v>
      </c>
      <c r="BZ32" s="272">
        <v>253268</v>
      </c>
      <c r="CA32" s="272">
        <v>2444466</v>
      </c>
      <c r="CB32" s="272">
        <v>362603</v>
      </c>
      <c r="CC32" s="272">
        <v>563808</v>
      </c>
      <c r="CD32" s="272">
        <v>309681</v>
      </c>
      <c r="CE32" s="272">
        <v>1165765</v>
      </c>
      <c r="CF32" s="272">
        <v>0</v>
      </c>
      <c r="CG32" s="272">
        <v>42129</v>
      </c>
      <c r="CH32" s="272">
        <v>2216951</v>
      </c>
      <c r="CI32" s="272">
        <v>1238594</v>
      </c>
      <c r="CJ32" s="455">
        <f t="shared" si="7"/>
        <v>978357</v>
      </c>
      <c r="CK32" s="272">
        <v>2495957</v>
      </c>
      <c r="CL32" s="272">
        <v>1378004</v>
      </c>
      <c r="CM32" s="272">
        <v>151166</v>
      </c>
      <c r="CN32" s="272">
        <v>558417</v>
      </c>
      <c r="CO32" s="272">
        <v>128326</v>
      </c>
      <c r="CP32" s="272">
        <v>1214046</v>
      </c>
      <c r="CQ32" s="272">
        <v>547563</v>
      </c>
      <c r="CR32" s="272">
        <v>281708</v>
      </c>
      <c r="CS32" s="272">
        <v>172271</v>
      </c>
      <c r="CT32" s="455">
        <f t="shared" si="8"/>
        <v>2397</v>
      </c>
      <c r="CU32" s="272">
        <v>2397</v>
      </c>
      <c r="CV32" s="272">
        <v>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1788329</v>
      </c>
      <c r="DD32" s="272">
        <v>856938</v>
      </c>
      <c r="DE32" s="272">
        <v>900448</v>
      </c>
      <c r="DF32" s="272">
        <v>30943</v>
      </c>
      <c r="DG32" s="272">
        <v>0</v>
      </c>
      <c r="DH32" s="272">
        <v>0</v>
      </c>
      <c r="DI32" s="272">
        <v>339174</v>
      </c>
      <c r="DJ32" s="272">
        <v>0</v>
      </c>
      <c r="DK32" s="272">
        <v>119171</v>
      </c>
      <c r="DL32" s="272">
        <v>220003</v>
      </c>
      <c r="DM32" s="272">
        <v>40000</v>
      </c>
      <c r="DN32" s="272">
        <v>40000</v>
      </c>
      <c r="DO32" s="272">
        <v>40000</v>
      </c>
      <c r="DP32" s="272">
        <v>0</v>
      </c>
      <c r="DQ32" s="272">
        <v>0</v>
      </c>
      <c r="DR32" s="272">
        <v>0</v>
      </c>
      <c r="DS32" s="272">
        <v>0</v>
      </c>
      <c r="DT32" s="272">
        <v>1689709</v>
      </c>
      <c r="DU32" s="272">
        <v>879654</v>
      </c>
      <c r="DV32" s="455">
        <f t="shared" si="11"/>
        <v>0</v>
      </c>
      <c r="DW32" s="272">
        <v>0</v>
      </c>
      <c r="DX32" s="272">
        <v>0</v>
      </c>
      <c r="DY32" s="272">
        <v>0</v>
      </c>
      <c r="DZ32" s="272">
        <v>555508</v>
      </c>
      <c r="EA32" s="272">
        <v>254547</v>
      </c>
      <c r="EB32" s="272"/>
      <c r="EC32" s="272">
        <v>0</v>
      </c>
      <c r="ED32" s="272">
        <v>18758246</v>
      </c>
      <c r="EF32" s="272">
        <v>24324</v>
      </c>
      <c r="EG32" s="272">
        <v>46063</v>
      </c>
      <c r="EH32" s="272">
        <v>-21739</v>
      </c>
      <c r="EI32" s="272">
        <v>-63395</v>
      </c>
      <c r="EJ32" s="272">
        <v>-63395</v>
      </c>
      <c r="EL32" s="272"/>
      <c r="EM32" s="272">
        <v>63829</v>
      </c>
      <c r="EN32" s="272">
        <v>0</v>
      </c>
      <c r="EO32" s="272">
        <v>0</v>
      </c>
      <c r="EP32" s="455">
        <f t="shared" si="12"/>
        <v>435881</v>
      </c>
      <c r="EQ32" s="272">
        <v>13325911</v>
      </c>
      <c r="ER32" s="272">
        <v>-761881</v>
      </c>
      <c r="ES32" s="272">
        <v>5937678</v>
      </c>
      <c r="ET32" s="272">
        <v>4353786</v>
      </c>
      <c r="EU32" s="272">
        <v>747751</v>
      </c>
      <c r="EV32" s="272">
        <v>2182621</v>
      </c>
      <c r="EW32" s="455">
        <f t="shared" si="13"/>
        <v>100897</v>
      </c>
      <c r="EX32" s="272">
        <v>100897</v>
      </c>
      <c r="EY32" s="272">
        <v>13625</v>
      </c>
      <c r="EZ32" s="272">
        <v>76016</v>
      </c>
      <c r="FA32" s="272">
        <v>0</v>
      </c>
      <c r="FB32" s="272"/>
      <c r="FC32" s="272">
        <v>1977871</v>
      </c>
      <c r="FD32" s="272">
        <v>1151572</v>
      </c>
      <c r="FE32" s="272">
        <v>547563</v>
      </c>
      <c r="FF32" s="272">
        <v>1551548</v>
      </c>
      <c r="FG32" s="455">
        <f t="shared" si="14"/>
        <v>413676</v>
      </c>
      <c r="FH32" s="272">
        <v>14063614</v>
      </c>
      <c r="FI32" s="384">
        <f t="shared" si="15"/>
        <v>-0.2</v>
      </c>
      <c r="FJ32" s="272">
        <v>12357658</v>
      </c>
      <c r="FK32" s="272"/>
      <c r="FL32" s="272">
        <v>8323760</v>
      </c>
      <c r="FM32" s="272">
        <v>9653730</v>
      </c>
      <c r="FN32" s="460">
        <v>0.88800000000000001</v>
      </c>
      <c r="FO32" s="388">
        <v>104.4</v>
      </c>
      <c r="FP32" s="388">
        <v>49.3</v>
      </c>
      <c r="FQ32" s="388">
        <v>6.2</v>
      </c>
      <c r="FR32" s="388">
        <v>18.399999999999999</v>
      </c>
      <c r="FS32" s="388">
        <v>14.2</v>
      </c>
      <c r="FT32" s="388">
        <v>7.9</v>
      </c>
      <c r="FU32" s="388">
        <v>7.4</v>
      </c>
      <c r="FV32" s="388">
        <v>13</v>
      </c>
      <c r="FW32" s="272">
        <v>24639929</v>
      </c>
      <c r="FX32" s="384">
        <f t="shared" si="16"/>
        <v>199.4</v>
      </c>
      <c r="FY32" s="272">
        <v>2868720</v>
      </c>
      <c r="FZ32" s="272"/>
      <c r="GA32" s="272">
        <v>511493</v>
      </c>
      <c r="GB32" s="272">
        <v>2357227</v>
      </c>
      <c r="GC32" s="272"/>
      <c r="GD32" s="272">
        <v>13220398</v>
      </c>
      <c r="GE32" s="384">
        <f t="shared" si="17"/>
        <v>107</v>
      </c>
      <c r="GF32" s="388">
        <v>94.7</v>
      </c>
      <c r="GG32" s="388">
        <v>16.2</v>
      </c>
      <c r="GH32" s="388">
        <v>82.4</v>
      </c>
      <c r="GI32" s="272">
        <v>662</v>
      </c>
    </row>
    <row r="33" spans="2:191" x14ac:dyDescent="0.15">
      <c r="B33" s="89" t="s">
        <v>59</v>
      </c>
      <c r="C33" s="272">
        <v>7223836</v>
      </c>
      <c r="D33" s="455">
        <f t="shared" si="0"/>
        <v>2978080</v>
      </c>
      <c r="E33" s="272">
        <v>52638</v>
      </c>
      <c r="F33" s="272">
        <v>2925442</v>
      </c>
      <c r="G33" s="455">
        <f t="shared" si="1"/>
        <v>312419</v>
      </c>
      <c r="H33" s="272">
        <v>99575</v>
      </c>
      <c r="I33" s="272">
        <v>212844</v>
      </c>
      <c r="J33" s="272">
        <v>2918817</v>
      </c>
      <c r="K33" s="272">
        <v>1622236</v>
      </c>
      <c r="L33" s="272">
        <v>1019429</v>
      </c>
      <c r="M33" s="272">
        <v>265918</v>
      </c>
      <c r="N33" s="272">
        <v>270673</v>
      </c>
      <c r="O33" s="272">
        <v>703809</v>
      </c>
      <c r="P33" s="272">
        <v>481942</v>
      </c>
      <c r="Q33" s="272">
        <v>221867</v>
      </c>
      <c r="R33" s="272">
        <v>102213</v>
      </c>
      <c r="S33" s="272"/>
      <c r="T33" s="455">
        <f t="shared" si="2"/>
        <v>708913</v>
      </c>
      <c r="U33" s="272">
        <v>89845</v>
      </c>
      <c r="V33" s="272"/>
      <c r="W33" s="272"/>
      <c r="X33" s="272">
        <v>464075</v>
      </c>
      <c r="Y33" s="272">
        <v>39388</v>
      </c>
      <c r="Z33" s="272">
        <v>832</v>
      </c>
      <c r="AA33" s="272">
        <v>114773</v>
      </c>
      <c r="AB33" s="272"/>
      <c r="AC33" s="272">
        <v>3708410</v>
      </c>
      <c r="AD33" s="272">
        <v>3355171</v>
      </c>
      <c r="AE33" s="272">
        <v>353239</v>
      </c>
      <c r="AF33" s="272">
        <v>11725</v>
      </c>
      <c r="AG33" s="272">
        <v>424296</v>
      </c>
      <c r="AH33" s="455">
        <f t="shared" si="3"/>
        <v>210487</v>
      </c>
      <c r="AI33" s="272">
        <v>108069</v>
      </c>
      <c r="AJ33" s="272">
        <v>102418</v>
      </c>
      <c r="AK33" s="272">
        <v>1549047</v>
      </c>
      <c r="AL33" s="455">
        <f t="shared" si="4"/>
        <v>881534</v>
      </c>
      <c r="AM33" s="272">
        <v>527551</v>
      </c>
      <c r="AN33" s="272">
        <v>200431</v>
      </c>
      <c r="AO33" s="272">
        <v>0</v>
      </c>
      <c r="AP33" s="272">
        <v>153552</v>
      </c>
      <c r="AQ33" s="272">
        <v>367216</v>
      </c>
      <c r="AR33" s="272">
        <v>0</v>
      </c>
      <c r="AS33" s="272">
        <v>0</v>
      </c>
      <c r="AT33" s="272">
        <v>829039</v>
      </c>
      <c r="AU33" s="272">
        <v>320050</v>
      </c>
      <c r="AV33" s="272">
        <v>72193</v>
      </c>
      <c r="AW33" s="272">
        <v>7847</v>
      </c>
      <c r="AX33" s="272">
        <v>508989</v>
      </c>
      <c r="AY33" s="272">
        <v>133074</v>
      </c>
      <c r="AZ33" s="272">
        <v>54675</v>
      </c>
      <c r="BA33" s="272">
        <v>37318</v>
      </c>
      <c r="BB33" s="272">
        <v>72752</v>
      </c>
      <c r="BC33" s="272">
        <v>414057</v>
      </c>
      <c r="BD33" s="272">
        <v>0</v>
      </c>
      <c r="BE33" s="272">
        <v>60000</v>
      </c>
      <c r="BF33" s="272">
        <v>4057</v>
      </c>
      <c r="BG33" s="272">
        <v>350000</v>
      </c>
      <c r="BH33" s="272">
        <v>0</v>
      </c>
      <c r="BI33" s="272">
        <v>0</v>
      </c>
      <c r="BJ33" s="272">
        <v>120541</v>
      </c>
      <c r="BK33" s="272">
        <v>9000</v>
      </c>
      <c r="BL33" s="272">
        <v>0</v>
      </c>
      <c r="BM33" s="272">
        <v>0</v>
      </c>
      <c r="BN33" s="272">
        <v>1638000</v>
      </c>
      <c r="BO33" s="455">
        <f t="shared" si="5"/>
        <v>1303400</v>
      </c>
      <c r="BP33" s="455">
        <f t="shared" si="6"/>
        <v>334600</v>
      </c>
      <c r="BQ33" s="272">
        <v>334600</v>
      </c>
      <c r="BR33" s="272">
        <v>0</v>
      </c>
      <c r="BS33" s="272">
        <v>0</v>
      </c>
      <c r="BT33" s="272">
        <v>0</v>
      </c>
      <c r="BU33" s="272">
        <v>17067991</v>
      </c>
      <c r="BV33" s="272"/>
      <c r="BW33" s="272">
        <v>5224673</v>
      </c>
      <c r="BX33" s="272">
        <v>3952378</v>
      </c>
      <c r="BY33" s="272">
        <v>207311</v>
      </c>
      <c r="BZ33" s="272">
        <v>88208</v>
      </c>
      <c r="CA33" s="272">
        <v>2255139</v>
      </c>
      <c r="CB33" s="272">
        <v>252207</v>
      </c>
      <c r="CC33" s="272">
        <v>825979</v>
      </c>
      <c r="CD33" s="272">
        <v>440056</v>
      </c>
      <c r="CE33" s="272">
        <v>698000</v>
      </c>
      <c r="CF33" s="272">
        <v>4505</v>
      </c>
      <c r="CG33" s="272">
        <v>34211</v>
      </c>
      <c r="CH33" s="272">
        <v>1827632</v>
      </c>
      <c r="CI33" s="272">
        <v>1100528</v>
      </c>
      <c r="CJ33" s="455">
        <f t="shared" si="7"/>
        <v>727104</v>
      </c>
      <c r="CK33" s="272">
        <v>2362853</v>
      </c>
      <c r="CL33" s="272">
        <v>1529708</v>
      </c>
      <c r="CM33" s="272">
        <v>144459</v>
      </c>
      <c r="CN33" s="272">
        <v>310113</v>
      </c>
      <c r="CO33" s="272">
        <v>57443</v>
      </c>
      <c r="CP33" s="272">
        <v>1332336</v>
      </c>
      <c r="CQ33" s="272">
        <v>482683</v>
      </c>
      <c r="CR33" s="272">
        <v>308815</v>
      </c>
      <c r="CS33" s="272">
        <v>290093</v>
      </c>
      <c r="CT33" s="455">
        <f t="shared" si="8"/>
        <v>26130</v>
      </c>
      <c r="CU33" s="272">
        <v>3299</v>
      </c>
      <c r="CV33" s="272">
        <v>22831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2217427</v>
      </c>
      <c r="DD33" s="272">
        <v>771035</v>
      </c>
      <c r="DE33" s="272">
        <v>1376029</v>
      </c>
      <c r="DF33" s="272">
        <v>70363</v>
      </c>
      <c r="DG33" s="272">
        <v>0</v>
      </c>
      <c r="DH33" s="272">
        <v>1</v>
      </c>
      <c r="DI33" s="272">
        <v>46196</v>
      </c>
      <c r="DJ33" s="272">
        <v>1547</v>
      </c>
      <c r="DK33" s="272">
        <v>1091</v>
      </c>
      <c r="DL33" s="272">
        <v>43558</v>
      </c>
      <c r="DM33" s="272">
        <v>0</v>
      </c>
      <c r="DN33" s="272">
        <v>0</v>
      </c>
      <c r="DO33" s="272">
        <v>0</v>
      </c>
      <c r="DP33" s="272">
        <v>0</v>
      </c>
      <c r="DQ33" s="272">
        <v>359000</v>
      </c>
      <c r="DR33" s="272">
        <v>350000</v>
      </c>
      <c r="DS33" s="272">
        <v>0</v>
      </c>
      <c r="DT33" s="272">
        <v>1781637</v>
      </c>
      <c r="DU33" s="272">
        <v>1213361</v>
      </c>
      <c r="DV33" s="455">
        <f t="shared" si="11"/>
        <v>0</v>
      </c>
      <c r="DW33" s="272">
        <v>0</v>
      </c>
      <c r="DX33" s="272">
        <v>0</v>
      </c>
      <c r="DY33" s="272">
        <v>0</v>
      </c>
      <c r="DZ33" s="272">
        <v>385395</v>
      </c>
      <c r="EA33" s="272">
        <v>182381</v>
      </c>
      <c r="EB33" s="272"/>
      <c r="EC33" s="272">
        <v>123182</v>
      </c>
      <c r="ED33" s="272">
        <v>17587519</v>
      </c>
      <c r="EF33" s="272">
        <v>-519528</v>
      </c>
      <c r="EG33" s="272">
        <v>38340</v>
      </c>
      <c r="EH33" s="272">
        <v>-557868</v>
      </c>
      <c r="EI33" s="272">
        <v>-432271</v>
      </c>
      <c r="EJ33" s="272">
        <v>-430724</v>
      </c>
      <c r="EL33" s="272"/>
      <c r="EM33" s="272">
        <v>55029</v>
      </c>
      <c r="EN33" s="272">
        <v>60000</v>
      </c>
      <c r="EO33" s="272">
        <v>43017</v>
      </c>
      <c r="EP33" s="455">
        <f t="shared" si="12"/>
        <v>73675</v>
      </c>
      <c r="EQ33" s="272">
        <v>11755097</v>
      </c>
      <c r="ER33" s="272">
        <v>-499567</v>
      </c>
      <c r="ES33" s="272">
        <v>4864240</v>
      </c>
      <c r="ET33" s="272">
        <v>3676768</v>
      </c>
      <c r="EU33" s="272">
        <v>726875</v>
      </c>
      <c r="EV33" s="272">
        <v>1808632</v>
      </c>
      <c r="EW33" s="455">
        <f t="shared" si="13"/>
        <v>392734</v>
      </c>
      <c r="EX33" s="272">
        <v>392733</v>
      </c>
      <c r="EY33" s="272">
        <v>28305</v>
      </c>
      <c r="EZ33" s="272">
        <v>350065</v>
      </c>
      <c r="FA33" s="272">
        <v>1</v>
      </c>
      <c r="FB33" s="272"/>
      <c r="FC33" s="272">
        <v>1872535</v>
      </c>
      <c r="FD33" s="272">
        <v>1233706</v>
      </c>
      <c r="FE33" s="272">
        <v>482683</v>
      </c>
      <c r="FF33" s="272">
        <v>1664890</v>
      </c>
      <c r="FG33" s="455">
        <f t="shared" si="14"/>
        <v>210580</v>
      </c>
      <c r="FH33" s="272">
        <v>12774192</v>
      </c>
      <c r="FI33" s="384">
        <f t="shared" si="15"/>
        <v>-5</v>
      </c>
      <c r="FJ33" s="272">
        <v>11092483</v>
      </c>
      <c r="FK33" s="272"/>
      <c r="FL33" s="272">
        <v>5831438</v>
      </c>
      <c r="FM33" s="272">
        <v>9192414</v>
      </c>
      <c r="FN33" s="460">
        <v>0.63700000000000001</v>
      </c>
      <c r="FO33" s="388">
        <v>106</v>
      </c>
      <c r="FP33" s="388">
        <v>45</v>
      </c>
      <c r="FQ33" s="388">
        <v>6.8</v>
      </c>
      <c r="FR33" s="388">
        <v>16.899999999999999</v>
      </c>
      <c r="FS33" s="388">
        <v>15.9</v>
      </c>
      <c r="FT33" s="388">
        <v>8.8000000000000007</v>
      </c>
      <c r="FU33" s="388">
        <v>12.1</v>
      </c>
      <c r="FV33" s="388">
        <v>10.3</v>
      </c>
      <c r="FW33" s="272">
        <v>18810030</v>
      </c>
      <c r="FX33" s="384">
        <f t="shared" si="16"/>
        <v>169.6</v>
      </c>
      <c r="FY33" s="272">
        <v>1312883</v>
      </c>
      <c r="FZ33" s="272">
        <v>177207</v>
      </c>
      <c r="GA33" s="272">
        <v>63880</v>
      </c>
      <c r="GB33" s="272">
        <v>1071796</v>
      </c>
      <c r="GC33" s="272"/>
      <c r="GD33" s="272">
        <v>6775437</v>
      </c>
      <c r="GE33" s="384">
        <f t="shared" si="17"/>
        <v>61.1</v>
      </c>
      <c r="GF33" s="388">
        <v>96.9</v>
      </c>
      <c r="GG33" s="388">
        <v>23.8</v>
      </c>
      <c r="GH33" s="388">
        <v>91.3</v>
      </c>
      <c r="GI33" s="272">
        <v>512</v>
      </c>
    </row>
    <row r="34" spans="2:191" x14ac:dyDescent="0.15">
      <c r="B34" s="89" t="s">
        <v>61</v>
      </c>
      <c r="C34" s="272">
        <v>9898971</v>
      </c>
      <c r="D34" s="455">
        <f t="shared" si="0"/>
        <v>5069964</v>
      </c>
      <c r="E34" s="272">
        <v>70959</v>
      </c>
      <c r="F34" s="272">
        <v>4999005</v>
      </c>
      <c r="G34" s="455">
        <f t="shared" si="1"/>
        <v>352100</v>
      </c>
      <c r="H34" s="272">
        <v>101249</v>
      </c>
      <c r="I34" s="272">
        <v>250851</v>
      </c>
      <c r="J34" s="272">
        <v>3306574</v>
      </c>
      <c r="K34" s="272">
        <v>1522909</v>
      </c>
      <c r="L34" s="272">
        <v>1280304</v>
      </c>
      <c r="M34" s="272">
        <v>464396</v>
      </c>
      <c r="N34" s="272">
        <v>311023</v>
      </c>
      <c r="O34" s="272">
        <v>807909</v>
      </c>
      <c r="P34" s="272">
        <v>502860</v>
      </c>
      <c r="Q34" s="272">
        <v>305049</v>
      </c>
      <c r="R34" s="272">
        <v>150850</v>
      </c>
      <c r="S34" s="272"/>
      <c r="T34" s="455">
        <f t="shared" si="2"/>
        <v>1038247</v>
      </c>
      <c r="U34" s="272">
        <v>150598</v>
      </c>
      <c r="V34" s="272"/>
      <c r="W34" s="272"/>
      <c r="X34" s="272">
        <v>599695</v>
      </c>
      <c r="Y34" s="272">
        <v>118520</v>
      </c>
      <c r="Z34" s="272">
        <v>180</v>
      </c>
      <c r="AA34" s="272">
        <v>169254</v>
      </c>
      <c r="AB34" s="272"/>
      <c r="AC34" s="272">
        <v>3857853</v>
      </c>
      <c r="AD34" s="272">
        <v>3588770</v>
      </c>
      <c r="AE34" s="272">
        <v>269083</v>
      </c>
      <c r="AF34" s="272">
        <v>14313</v>
      </c>
      <c r="AG34" s="272">
        <v>238546</v>
      </c>
      <c r="AH34" s="455">
        <f t="shared" si="3"/>
        <v>153130</v>
      </c>
      <c r="AI34" s="272">
        <v>84923</v>
      </c>
      <c r="AJ34" s="272">
        <v>68207</v>
      </c>
      <c r="AK34" s="272">
        <v>1731513</v>
      </c>
      <c r="AL34" s="455">
        <f t="shared" si="4"/>
        <v>835833</v>
      </c>
      <c r="AM34" s="272">
        <v>426317</v>
      </c>
      <c r="AN34" s="272">
        <v>198999</v>
      </c>
      <c r="AO34" s="272">
        <v>0</v>
      </c>
      <c r="AP34" s="272">
        <v>210517</v>
      </c>
      <c r="AQ34" s="272">
        <v>15000</v>
      </c>
      <c r="AR34" s="272">
        <v>0</v>
      </c>
      <c r="AS34" s="272">
        <v>0</v>
      </c>
      <c r="AT34" s="272">
        <v>925282</v>
      </c>
      <c r="AU34" s="272">
        <v>322348</v>
      </c>
      <c r="AV34" s="272">
        <v>98794</v>
      </c>
      <c r="AW34" s="272">
        <v>0</v>
      </c>
      <c r="AX34" s="272">
        <v>602934</v>
      </c>
      <c r="AY34" s="272">
        <v>108623</v>
      </c>
      <c r="AZ34" s="272">
        <v>50540</v>
      </c>
      <c r="BA34" s="272">
        <v>16609</v>
      </c>
      <c r="BB34" s="272">
        <v>248034</v>
      </c>
      <c r="BC34" s="272">
        <v>974926</v>
      </c>
      <c r="BD34" s="272">
        <v>0</v>
      </c>
      <c r="BE34" s="272">
        <v>0</v>
      </c>
      <c r="BF34" s="272">
        <v>0</v>
      </c>
      <c r="BG34" s="272">
        <v>0</v>
      </c>
      <c r="BH34" s="272">
        <v>19850</v>
      </c>
      <c r="BI34" s="272">
        <v>0</v>
      </c>
      <c r="BJ34" s="272">
        <v>90141</v>
      </c>
      <c r="BK34" s="272">
        <v>0</v>
      </c>
      <c r="BL34" s="272">
        <v>5500</v>
      </c>
      <c r="BM34" s="272">
        <v>0</v>
      </c>
      <c r="BN34" s="272">
        <v>1297800</v>
      </c>
      <c r="BO34" s="455">
        <f t="shared" si="5"/>
        <v>779300</v>
      </c>
      <c r="BP34" s="455">
        <f t="shared" si="6"/>
        <v>518500</v>
      </c>
      <c r="BQ34" s="272">
        <v>518500</v>
      </c>
      <c r="BR34" s="272">
        <v>0</v>
      </c>
      <c r="BS34" s="272">
        <v>0</v>
      </c>
      <c r="BT34" s="272">
        <v>0</v>
      </c>
      <c r="BU34" s="272">
        <v>20689996</v>
      </c>
      <c r="BV34" s="272"/>
      <c r="BW34" s="272">
        <v>6210740</v>
      </c>
      <c r="BX34" s="272">
        <v>4630430</v>
      </c>
      <c r="BY34" s="272">
        <v>245949</v>
      </c>
      <c r="BZ34" s="272">
        <v>214412</v>
      </c>
      <c r="CA34" s="272">
        <v>2539021</v>
      </c>
      <c r="CB34" s="272">
        <v>414161</v>
      </c>
      <c r="CC34" s="272">
        <v>876715</v>
      </c>
      <c r="CD34" s="272">
        <v>660177</v>
      </c>
      <c r="CE34" s="272">
        <v>490433</v>
      </c>
      <c r="CF34" s="272">
        <v>29</v>
      </c>
      <c r="CG34" s="272">
        <v>97506</v>
      </c>
      <c r="CH34" s="272">
        <v>3310327</v>
      </c>
      <c r="CI34" s="272">
        <v>1835600</v>
      </c>
      <c r="CJ34" s="455">
        <f t="shared" si="7"/>
        <v>1474727</v>
      </c>
      <c r="CK34" s="272">
        <v>2639615</v>
      </c>
      <c r="CL34" s="272">
        <v>1641344</v>
      </c>
      <c r="CM34" s="272">
        <v>148739</v>
      </c>
      <c r="CN34" s="272">
        <v>473037</v>
      </c>
      <c r="CO34" s="272">
        <v>103711</v>
      </c>
      <c r="CP34" s="272">
        <v>1116080</v>
      </c>
      <c r="CQ34" s="272">
        <v>488138</v>
      </c>
      <c r="CR34" s="272">
        <v>320585</v>
      </c>
      <c r="CS34" s="272">
        <v>320585</v>
      </c>
      <c r="CT34" s="455">
        <f t="shared" si="8"/>
        <v>7028</v>
      </c>
      <c r="CU34" s="272">
        <v>7028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2194252</v>
      </c>
      <c r="DD34" s="272">
        <v>43650</v>
      </c>
      <c r="DE34" s="272">
        <v>2098418</v>
      </c>
      <c r="DF34" s="272">
        <v>46684</v>
      </c>
      <c r="DG34" s="272">
        <v>5500</v>
      </c>
      <c r="DH34" s="272">
        <v>1436</v>
      </c>
      <c r="DI34" s="272">
        <v>997465</v>
      </c>
      <c r="DJ34" s="272">
        <v>5248</v>
      </c>
      <c r="DK34" s="272">
        <v>706520</v>
      </c>
      <c r="DL34" s="272">
        <v>285697</v>
      </c>
      <c r="DM34" s="272">
        <v>0</v>
      </c>
      <c r="DN34" s="272">
        <v>0</v>
      </c>
      <c r="DO34" s="272">
        <v>0</v>
      </c>
      <c r="DP34" s="272">
        <v>0</v>
      </c>
      <c r="DQ34" s="272">
        <v>0</v>
      </c>
      <c r="DR34" s="272">
        <v>0</v>
      </c>
      <c r="DS34" s="272">
        <v>0</v>
      </c>
      <c r="DT34" s="272">
        <v>1320249</v>
      </c>
      <c r="DU34" s="272">
        <v>785200</v>
      </c>
      <c r="DV34" s="455">
        <f t="shared" si="11"/>
        <v>0</v>
      </c>
      <c r="DW34" s="272">
        <v>0</v>
      </c>
      <c r="DX34" s="272">
        <v>0</v>
      </c>
      <c r="DY34" s="272">
        <v>0</v>
      </c>
      <c r="DZ34" s="272">
        <v>279218</v>
      </c>
      <c r="EA34" s="272">
        <v>255831</v>
      </c>
      <c r="EB34" s="272"/>
      <c r="EC34" s="272">
        <v>0</v>
      </c>
      <c r="ED34" s="272">
        <v>20432896</v>
      </c>
      <c r="EF34" s="272">
        <v>257100</v>
      </c>
      <c r="EG34" s="272">
        <v>407283</v>
      </c>
      <c r="EH34" s="272">
        <v>-150183</v>
      </c>
      <c r="EI34" s="272">
        <v>-110016</v>
      </c>
      <c r="EJ34" s="272">
        <v>-104768</v>
      </c>
      <c r="EL34" s="272"/>
      <c r="EM34" s="272">
        <v>75843</v>
      </c>
      <c r="EN34" s="272">
        <v>974926</v>
      </c>
      <c r="EO34" s="272">
        <v>31910</v>
      </c>
      <c r="EP34" s="455">
        <f t="shared" si="12"/>
        <v>357647</v>
      </c>
      <c r="EQ34" s="272">
        <v>14960234</v>
      </c>
      <c r="ER34" s="272">
        <v>-1868670</v>
      </c>
      <c r="ES34" s="272">
        <v>5962803</v>
      </c>
      <c r="ET34" s="272">
        <v>4402745</v>
      </c>
      <c r="EU34" s="272">
        <v>871900</v>
      </c>
      <c r="EV34" s="272">
        <v>3310327</v>
      </c>
      <c r="EW34" s="455">
        <f t="shared" si="13"/>
        <v>1248125</v>
      </c>
      <c r="EX34" s="272">
        <v>1246689</v>
      </c>
      <c r="EY34" s="272">
        <v>7625</v>
      </c>
      <c r="EZ34" s="272">
        <v>1239040</v>
      </c>
      <c r="FA34" s="272">
        <v>1436</v>
      </c>
      <c r="FB34" s="272"/>
      <c r="FC34" s="272">
        <v>2141181</v>
      </c>
      <c r="FD34" s="272">
        <v>1051093</v>
      </c>
      <c r="FE34" s="272">
        <v>488138</v>
      </c>
      <c r="FF34" s="272">
        <v>1244437</v>
      </c>
      <c r="FG34" s="455">
        <f t="shared" si="14"/>
        <v>1081838</v>
      </c>
      <c r="FH34" s="272">
        <v>16911704</v>
      </c>
      <c r="FI34" s="384">
        <f t="shared" si="15"/>
        <v>-1</v>
      </c>
      <c r="FJ34" s="272">
        <v>14746526</v>
      </c>
      <c r="FK34" s="272"/>
      <c r="FL34" s="272">
        <v>8409880</v>
      </c>
      <c r="FM34" s="272">
        <v>12006231</v>
      </c>
      <c r="FN34" s="460">
        <v>0.73099999999999998</v>
      </c>
      <c r="FO34" s="388">
        <v>97.8</v>
      </c>
      <c r="FP34" s="388">
        <v>41.9</v>
      </c>
      <c r="FQ34" s="388">
        <v>6.3</v>
      </c>
      <c r="FR34" s="388">
        <v>23.8</v>
      </c>
      <c r="FS34" s="388">
        <v>14.1</v>
      </c>
      <c r="FT34" s="388">
        <v>7.1</v>
      </c>
      <c r="FU34" s="388">
        <v>3.9</v>
      </c>
      <c r="FV34" s="388">
        <v>14.1</v>
      </c>
      <c r="FW34" s="272">
        <v>35565044</v>
      </c>
      <c r="FX34" s="384">
        <f t="shared" si="16"/>
        <v>241.2</v>
      </c>
      <c r="FY34" s="272">
        <v>3161629</v>
      </c>
      <c r="FZ34" s="272">
        <v>582077</v>
      </c>
      <c r="GA34" s="272">
        <v>867085</v>
      </c>
      <c r="GB34" s="272">
        <v>1712467</v>
      </c>
      <c r="GC34" s="272"/>
      <c r="GD34" s="272">
        <v>36672516</v>
      </c>
      <c r="GE34" s="384">
        <f t="shared" si="17"/>
        <v>248.7</v>
      </c>
      <c r="GF34" s="388">
        <v>96.6</v>
      </c>
      <c r="GG34" s="388">
        <v>18.2</v>
      </c>
      <c r="GH34" s="388">
        <v>90.2</v>
      </c>
      <c r="GI34" s="272">
        <v>610</v>
      </c>
    </row>
    <row r="35" spans="2:191" x14ac:dyDescent="0.15">
      <c r="B35" s="89" t="s">
        <v>63</v>
      </c>
      <c r="C35" s="272">
        <v>8198590</v>
      </c>
      <c r="D35" s="455">
        <f t="shared" si="0"/>
        <v>4207399</v>
      </c>
      <c r="E35" s="272">
        <v>52914</v>
      </c>
      <c r="F35" s="272">
        <v>4154485</v>
      </c>
      <c r="G35" s="455">
        <f t="shared" si="1"/>
        <v>305334</v>
      </c>
      <c r="H35" s="272">
        <v>79827</v>
      </c>
      <c r="I35" s="272">
        <v>225507</v>
      </c>
      <c r="J35" s="272">
        <v>2910228</v>
      </c>
      <c r="K35" s="272">
        <v>1397025</v>
      </c>
      <c r="L35" s="272">
        <v>1187227</v>
      </c>
      <c r="M35" s="272">
        <v>298416</v>
      </c>
      <c r="N35" s="272">
        <v>259149</v>
      </c>
      <c r="O35" s="272">
        <v>467274</v>
      </c>
      <c r="P35" s="272">
        <v>306559</v>
      </c>
      <c r="Q35" s="272">
        <v>160715</v>
      </c>
      <c r="R35" s="272">
        <v>119272</v>
      </c>
      <c r="S35" s="272"/>
      <c r="T35" s="455">
        <f t="shared" si="2"/>
        <v>776208</v>
      </c>
      <c r="U35" s="272">
        <v>122593</v>
      </c>
      <c r="V35" s="272"/>
      <c r="W35" s="272"/>
      <c r="X35" s="272">
        <v>518364</v>
      </c>
      <c r="Y35" s="272">
        <v>0</v>
      </c>
      <c r="Z35" s="272">
        <v>1503</v>
      </c>
      <c r="AA35" s="272">
        <v>133748</v>
      </c>
      <c r="AB35" s="272"/>
      <c r="AC35" s="272">
        <v>3118918</v>
      </c>
      <c r="AD35" s="272">
        <v>2759014</v>
      </c>
      <c r="AE35" s="272">
        <v>359904</v>
      </c>
      <c r="AF35" s="272">
        <v>14068</v>
      </c>
      <c r="AG35" s="272">
        <v>161604</v>
      </c>
      <c r="AH35" s="455">
        <f t="shared" si="3"/>
        <v>245076</v>
      </c>
      <c r="AI35" s="272">
        <v>212343</v>
      </c>
      <c r="AJ35" s="272">
        <v>32733</v>
      </c>
      <c r="AK35" s="272">
        <v>1073414</v>
      </c>
      <c r="AL35" s="455">
        <f t="shared" si="4"/>
        <v>516375</v>
      </c>
      <c r="AM35" s="272">
        <v>338361</v>
      </c>
      <c r="AN35" s="272">
        <v>98472</v>
      </c>
      <c r="AO35" s="272">
        <v>0</v>
      </c>
      <c r="AP35" s="272">
        <v>79542</v>
      </c>
      <c r="AQ35" s="272">
        <v>57500</v>
      </c>
      <c r="AR35" s="272">
        <v>0</v>
      </c>
      <c r="AS35" s="272">
        <v>0</v>
      </c>
      <c r="AT35" s="272">
        <v>701909</v>
      </c>
      <c r="AU35" s="272">
        <v>240840</v>
      </c>
      <c r="AV35" s="272">
        <v>46988</v>
      </c>
      <c r="AW35" s="272">
        <v>0</v>
      </c>
      <c r="AX35" s="272">
        <v>461069</v>
      </c>
      <c r="AY35" s="272">
        <v>60200</v>
      </c>
      <c r="AZ35" s="272">
        <v>57479</v>
      </c>
      <c r="BA35" s="272">
        <v>31124</v>
      </c>
      <c r="BB35" s="272">
        <v>93023</v>
      </c>
      <c r="BC35" s="272">
        <v>196419</v>
      </c>
      <c r="BD35" s="272">
        <v>100000</v>
      </c>
      <c r="BE35" s="272">
        <v>0</v>
      </c>
      <c r="BF35" s="272">
        <v>90000</v>
      </c>
      <c r="BG35" s="272">
        <v>0</v>
      </c>
      <c r="BH35" s="272">
        <v>170648</v>
      </c>
      <c r="BI35" s="272">
        <v>170648</v>
      </c>
      <c r="BJ35" s="272">
        <v>88730</v>
      </c>
      <c r="BK35" s="272">
        <v>517</v>
      </c>
      <c r="BL35" s="272">
        <v>0</v>
      </c>
      <c r="BM35" s="272">
        <v>0</v>
      </c>
      <c r="BN35" s="272">
        <v>1340700</v>
      </c>
      <c r="BO35" s="455">
        <f t="shared" si="5"/>
        <v>961900</v>
      </c>
      <c r="BP35" s="455">
        <f t="shared" si="6"/>
        <v>378800</v>
      </c>
      <c r="BQ35" s="272">
        <v>378800</v>
      </c>
      <c r="BR35" s="272">
        <v>0</v>
      </c>
      <c r="BS35" s="272">
        <v>0</v>
      </c>
      <c r="BT35" s="272">
        <v>0</v>
      </c>
      <c r="BU35" s="272">
        <v>16356058</v>
      </c>
      <c r="BV35" s="272"/>
      <c r="BW35" s="272">
        <v>4862834</v>
      </c>
      <c r="BX35" s="272">
        <v>3663412</v>
      </c>
      <c r="BY35" s="272">
        <v>283417</v>
      </c>
      <c r="BZ35" s="272">
        <v>35148</v>
      </c>
      <c r="CA35" s="272">
        <v>1477582</v>
      </c>
      <c r="CB35" s="272">
        <v>277018</v>
      </c>
      <c r="CC35" s="272">
        <v>450277</v>
      </c>
      <c r="CD35" s="272">
        <v>264898</v>
      </c>
      <c r="CE35" s="272">
        <v>459124</v>
      </c>
      <c r="CF35" s="272">
        <v>90</v>
      </c>
      <c r="CG35" s="272">
        <v>26175</v>
      </c>
      <c r="CH35" s="272">
        <v>2474216</v>
      </c>
      <c r="CI35" s="272">
        <v>1493052</v>
      </c>
      <c r="CJ35" s="455">
        <f t="shared" si="7"/>
        <v>981164</v>
      </c>
      <c r="CK35" s="272">
        <v>2384538</v>
      </c>
      <c r="CL35" s="272">
        <v>1516630</v>
      </c>
      <c r="CM35" s="272">
        <v>103383</v>
      </c>
      <c r="CN35" s="272">
        <v>390752</v>
      </c>
      <c r="CO35" s="272">
        <v>23637</v>
      </c>
      <c r="CP35" s="272">
        <v>1240327</v>
      </c>
      <c r="CQ35" s="272">
        <v>399151</v>
      </c>
      <c r="CR35" s="272">
        <v>438571</v>
      </c>
      <c r="CS35" s="272">
        <v>350666</v>
      </c>
      <c r="CT35" s="455">
        <f t="shared" si="8"/>
        <v>28875</v>
      </c>
      <c r="CU35" s="272">
        <v>3875</v>
      </c>
      <c r="CV35" s="272">
        <v>25000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2002241</v>
      </c>
      <c r="DD35" s="272">
        <v>110000</v>
      </c>
      <c r="DE35" s="272">
        <v>1820890</v>
      </c>
      <c r="DF35" s="272">
        <v>71351</v>
      </c>
      <c r="DG35" s="272">
        <v>0</v>
      </c>
      <c r="DH35" s="272">
        <v>0</v>
      </c>
      <c r="DI35" s="272">
        <v>408100</v>
      </c>
      <c r="DJ35" s="272">
        <v>160000</v>
      </c>
      <c r="DK35" s="272">
        <v>96000</v>
      </c>
      <c r="DL35" s="272">
        <v>152100</v>
      </c>
      <c r="DM35" s="272">
        <v>0</v>
      </c>
      <c r="DN35" s="272">
        <v>0</v>
      </c>
      <c r="DO35" s="272">
        <v>0</v>
      </c>
      <c r="DP35" s="272">
        <v>0</v>
      </c>
      <c r="DQ35" s="272">
        <v>276</v>
      </c>
      <c r="DR35" s="272">
        <v>0</v>
      </c>
      <c r="DS35" s="272">
        <v>0</v>
      </c>
      <c r="DT35" s="272">
        <v>1254053</v>
      </c>
      <c r="DU35" s="272">
        <v>795987</v>
      </c>
      <c r="DV35" s="455">
        <f t="shared" si="11"/>
        <v>0</v>
      </c>
      <c r="DW35" s="272">
        <v>0</v>
      </c>
      <c r="DX35" s="272">
        <v>0</v>
      </c>
      <c r="DY35" s="272">
        <v>0</v>
      </c>
      <c r="DZ35" s="272">
        <v>257805</v>
      </c>
      <c r="EA35" s="272">
        <v>195484</v>
      </c>
      <c r="EB35" s="272"/>
      <c r="EC35" s="272">
        <v>0</v>
      </c>
      <c r="ED35" s="272">
        <v>16127804</v>
      </c>
      <c r="EF35" s="272">
        <v>228254</v>
      </c>
      <c r="EG35" s="272">
        <v>74475</v>
      </c>
      <c r="EH35" s="272">
        <v>153779</v>
      </c>
      <c r="EI35" s="272">
        <v>-16869</v>
      </c>
      <c r="EJ35" s="272">
        <v>154314</v>
      </c>
      <c r="EL35" s="272"/>
      <c r="EM35" s="272">
        <v>56126</v>
      </c>
      <c r="EN35" s="272">
        <v>106419</v>
      </c>
      <c r="EO35" s="272">
        <v>32124</v>
      </c>
      <c r="EP35" s="455">
        <f t="shared" si="12"/>
        <v>458212</v>
      </c>
      <c r="EQ35" s="272">
        <v>12227056</v>
      </c>
      <c r="ER35" s="272">
        <v>-961487</v>
      </c>
      <c r="ES35" s="272">
        <v>4552950</v>
      </c>
      <c r="ET35" s="272">
        <v>3360456</v>
      </c>
      <c r="EU35" s="272">
        <v>453391</v>
      </c>
      <c r="EV35" s="272">
        <v>2474216</v>
      </c>
      <c r="EW35" s="455">
        <f t="shared" si="13"/>
        <v>819462</v>
      </c>
      <c r="EX35" s="272">
        <v>819462</v>
      </c>
      <c r="EY35" s="272">
        <v>6900</v>
      </c>
      <c r="EZ35" s="272">
        <v>798321</v>
      </c>
      <c r="FA35" s="272">
        <v>0</v>
      </c>
      <c r="FB35" s="272"/>
      <c r="FC35" s="272">
        <v>1964694</v>
      </c>
      <c r="FD35" s="272">
        <v>1165306</v>
      </c>
      <c r="FE35" s="272">
        <v>399151</v>
      </c>
      <c r="FF35" s="272">
        <v>1192663</v>
      </c>
      <c r="FG35" s="455">
        <f t="shared" si="14"/>
        <v>412082</v>
      </c>
      <c r="FH35" s="272">
        <v>13034764</v>
      </c>
      <c r="FI35" s="384">
        <f t="shared" si="15"/>
        <v>1.3</v>
      </c>
      <c r="FJ35" s="272">
        <v>11842833</v>
      </c>
      <c r="FK35" s="272"/>
      <c r="FL35" s="272">
        <v>6846318</v>
      </c>
      <c r="FM35" s="272">
        <v>9611401</v>
      </c>
      <c r="FN35" s="460">
        <v>0.74199999999999999</v>
      </c>
      <c r="FO35" s="388">
        <v>92.8</v>
      </c>
      <c r="FP35" s="388">
        <v>38.5</v>
      </c>
      <c r="FQ35" s="388">
        <v>4</v>
      </c>
      <c r="FR35" s="388">
        <v>20.6</v>
      </c>
      <c r="FS35" s="388">
        <v>16.8</v>
      </c>
      <c r="FT35" s="388">
        <v>8.6</v>
      </c>
      <c r="FU35" s="388">
        <v>4</v>
      </c>
      <c r="FV35" s="388">
        <v>12</v>
      </c>
      <c r="FW35" s="272">
        <v>23613610</v>
      </c>
      <c r="FX35" s="384">
        <f t="shared" si="16"/>
        <v>199.4</v>
      </c>
      <c r="FY35" s="272">
        <v>3177560</v>
      </c>
      <c r="FZ35" s="272">
        <v>1725000</v>
      </c>
      <c r="GA35" s="272">
        <v>320000</v>
      </c>
      <c r="GB35" s="272">
        <v>1132560</v>
      </c>
      <c r="GC35" s="272"/>
      <c r="GD35" s="272">
        <v>6164522</v>
      </c>
      <c r="GE35" s="384">
        <f t="shared" si="17"/>
        <v>52.1</v>
      </c>
      <c r="GF35" s="388">
        <v>97.4</v>
      </c>
      <c r="GG35" s="388">
        <v>20.8</v>
      </c>
      <c r="GH35" s="388">
        <v>91.9</v>
      </c>
      <c r="GI35" s="272">
        <v>506</v>
      </c>
    </row>
    <row r="36" spans="2:191" x14ac:dyDescent="0.15">
      <c r="B36" s="89" t="s">
        <v>65</v>
      </c>
      <c r="C36" s="272">
        <v>6363222</v>
      </c>
      <c r="D36" s="455">
        <f t="shared" si="0"/>
        <v>2831847</v>
      </c>
      <c r="E36" s="272">
        <v>52139</v>
      </c>
      <c r="F36" s="272">
        <v>2779708</v>
      </c>
      <c r="G36" s="455">
        <f t="shared" si="1"/>
        <v>162037</v>
      </c>
      <c r="H36" s="272">
        <v>70811</v>
      </c>
      <c r="I36" s="272">
        <v>91226</v>
      </c>
      <c r="J36" s="272">
        <v>2563446</v>
      </c>
      <c r="K36" s="272">
        <v>1294785</v>
      </c>
      <c r="L36" s="272">
        <v>1003573</v>
      </c>
      <c r="M36" s="272">
        <v>228751</v>
      </c>
      <c r="N36" s="272">
        <v>264637</v>
      </c>
      <c r="O36" s="272">
        <v>433233</v>
      </c>
      <c r="P36" s="272">
        <v>285145</v>
      </c>
      <c r="Q36" s="272">
        <v>148088</v>
      </c>
      <c r="R36" s="272">
        <v>128597</v>
      </c>
      <c r="S36" s="272"/>
      <c r="T36" s="455">
        <f t="shared" si="2"/>
        <v>693982</v>
      </c>
      <c r="U36" s="272">
        <v>86635</v>
      </c>
      <c r="V36" s="272"/>
      <c r="W36" s="272"/>
      <c r="X36" s="272">
        <v>454775</v>
      </c>
      <c r="Y36" s="272">
        <v>5701</v>
      </c>
      <c r="Z36" s="272">
        <v>2575</v>
      </c>
      <c r="AA36" s="272">
        <v>144296</v>
      </c>
      <c r="AB36" s="272"/>
      <c r="AC36" s="272">
        <v>3787082</v>
      </c>
      <c r="AD36" s="272">
        <v>3448401</v>
      </c>
      <c r="AE36" s="272">
        <v>338681</v>
      </c>
      <c r="AF36" s="272">
        <v>15199</v>
      </c>
      <c r="AG36" s="272">
        <v>103805</v>
      </c>
      <c r="AH36" s="455">
        <f t="shared" si="3"/>
        <v>228826</v>
      </c>
      <c r="AI36" s="272">
        <v>204085</v>
      </c>
      <c r="AJ36" s="272">
        <v>24741</v>
      </c>
      <c r="AK36" s="272">
        <v>1434792</v>
      </c>
      <c r="AL36" s="455">
        <f t="shared" si="4"/>
        <v>694380</v>
      </c>
      <c r="AM36" s="272">
        <v>435420</v>
      </c>
      <c r="AN36" s="272">
        <v>160029</v>
      </c>
      <c r="AO36" s="272">
        <v>0</v>
      </c>
      <c r="AP36" s="272">
        <v>98931</v>
      </c>
      <c r="AQ36" s="272">
        <v>315065</v>
      </c>
      <c r="AR36" s="272">
        <v>0</v>
      </c>
      <c r="AS36" s="272">
        <v>0</v>
      </c>
      <c r="AT36" s="272">
        <v>872968</v>
      </c>
      <c r="AU36" s="272">
        <v>232061</v>
      </c>
      <c r="AV36" s="272">
        <v>56368</v>
      </c>
      <c r="AW36" s="272">
        <v>200</v>
      </c>
      <c r="AX36" s="272">
        <v>640907</v>
      </c>
      <c r="AY36" s="272">
        <v>143704</v>
      </c>
      <c r="AZ36" s="272">
        <v>27514</v>
      </c>
      <c r="BA36" s="272">
        <v>785</v>
      </c>
      <c r="BB36" s="272">
        <v>113875</v>
      </c>
      <c r="BC36" s="272">
        <v>1117488</v>
      </c>
      <c r="BD36" s="272">
        <v>402181</v>
      </c>
      <c r="BE36" s="272">
        <v>38106</v>
      </c>
      <c r="BF36" s="272">
        <v>618222</v>
      </c>
      <c r="BG36" s="272">
        <v>0</v>
      </c>
      <c r="BH36" s="272">
        <v>142591</v>
      </c>
      <c r="BI36" s="272">
        <v>142591</v>
      </c>
      <c r="BJ36" s="272">
        <v>1167323</v>
      </c>
      <c r="BK36" s="272">
        <v>12038</v>
      </c>
      <c r="BL36" s="272">
        <v>0</v>
      </c>
      <c r="BM36" s="272">
        <v>0</v>
      </c>
      <c r="BN36" s="272">
        <v>808000</v>
      </c>
      <c r="BO36" s="455">
        <f t="shared" si="5"/>
        <v>459100</v>
      </c>
      <c r="BP36" s="455">
        <f t="shared" si="6"/>
        <v>348900</v>
      </c>
      <c r="BQ36" s="272">
        <v>348900</v>
      </c>
      <c r="BR36" s="272">
        <v>0</v>
      </c>
      <c r="BS36" s="272">
        <v>0</v>
      </c>
      <c r="BT36" s="272">
        <v>0</v>
      </c>
      <c r="BU36" s="272">
        <v>17005264</v>
      </c>
      <c r="BV36" s="272"/>
      <c r="BW36" s="272">
        <v>4795070</v>
      </c>
      <c r="BX36" s="272">
        <v>3837024</v>
      </c>
      <c r="BY36" s="272">
        <v>35606</v>
      </c>
      <c r="BZ36" s="272">
        <v>15710</v>
      </c>
      <c r="CA36" s="272">
        <v>1597851</v>
      </c>
      <c r="CB36" s="272">
        <v>274777</v>
      </c>
      <c r="CC36" s="272">
        <v>516746</v>
      </c>
      <c r="CD36" s="272">
        <v>203531</v>
      </c>
      <c r="CE36" s="272">
        <v>581689</v>
      </c>
      <c r="CF36" s="272">
        <v>3381</v>
      </c>
      <c r="CG36" s="272">
        <v>17727</v>
      </c>
      <c r="CH36" s="272">
        <v>1979522</v>
      </c>
      <c r="CI36" s="272">
        <v>1183452</v>
      </c>
      <c r="CJ36" s="455">
        <f t="shared" si="7"/>
        <v>796070</v>
      </c>
      <c r="CK36" s="272">
        <v>2414820</v>
      </c>
      <c r="CL36" s="272">
        <v>1237010</v>
      </c>
      <c r="CM36" s="272">
        <v>328326</v>
      </c>
      <c r="CN36" s="272">
        <v>528151</v>
      </c>
      <c r="CO36" s="272">
        <v>109575</v>
      </c>
      <c r="CP36" s="272">
        <v>1354813</v>
      </c>
      <c r="CQ36" s="272">
        <v>512202</v>
      </c>
      <c r="CR36" s="272">
        <v>270682</v>
      </c>
      <c r="CS36" s="272">
        <v>185389</v>
      </c>
      <c r="CT36" s="455">
        <f t="shared" si="8"/>
        <v>308998</v>
      </c>
      <c r="CU36" s="272">
        <v>218107</v>
      </c>
      <c r="CV36" s="272">
        <v>90891</v>
      </c>
      <c r="CW36" s="455">
        <f t="shared" si="9"/>
        <v>300998</v>
      </c>
      <c r="CX36" s="272">
        <v>210107</v>
      </c>
      <c r="CY36" s="272">
        <v>90891</v>
      </c>
      <c r="CZ36" s="455">
        <f t="shared" si="10"/>
        <v>0</v>
      </c>
      <c r="DA36" s="272">
        <v>0</v>
      </c>
      <c r="DB36" s="272">
        <v>0</v>
      </c>
      <c r="DC36" s="272">
        <v>2058045</v>
      </c>
      <c r="DD36" s="272">
        <v>759697</v>
      </c>
      <c r="DE36" s="272">
        <v>1245750</v>
      </c>
      <c r="DF36" s="272">
        <v>52598</v>
      </c>
      <c r="DG36" s="272">
        <v>0</v>
      </c>
      <c r="DH36" s="272">
        <v>58562</v>
      </c>
      <c r="DI36" s="272">
        <v>1114668</v>
      </c>
      <c r="DJ36" s="272">
        <v>16174</v>
      </c>
      <c r="DK36" s="272">
        <v>1110</v>
      </c>
      <c r="DL36" s="272">
        <v>1097384</v>
      </c>
      <c r="DM36" s="272">
        <v>0</v>
      </c>
      <c r="DN36" s="272">
        <v>0</v>
      </c>
      <c r="DO36" s="272">
        <v>0</v>
      </c>
      <c r="DP36" s="272">
        <v>0</v>
      </c>
      <c r="DQ36" s="272">
        <v>72000</v>
      </c>
      <c r="DR36" s="272">
        <v>60000</v>
      </c>
      <c r="DS36" s="272">
        <v>60000</v>
      </c>
      <c r="DT36" s="272">
        <v>1221433</v>
      </c>
      <c r="DU36" s="272">
        <v>693176</v>
      </c>
      <c r="DV36" s="455">
        <f t="shared" si="11"/>
        <v>0</v>
      </c>
      <c r="DW36" s="272">
        <v>0</v>
      </c>
      <c r="DX36" s="272">
        <v>0</v>
      </c>
      <c r="DY36" s="272">
        <v>0</v>
      </c>
      <c r="DZ36" s="272">
        <v>291390</v>
      </c>
      <c r="EA36" s="272">
        <v>236853</v>
      </c>
      <c r="EB36" s="272"/>
      <c r="EC36" s="272">
        <v>0</v>
      </c>
      <c r="ED36" s="272">
        <v>16776359</v>
      </c>
      <c r="EE36" s="89"/>
      <c r="EF36" s="272">
        <v>228905</v>
      </c>
      <c r="EG36" s="272">
        <v>71941</v>
      </c>
      <c r="EH36" s="272">
        <v>156964</v>
      </c>
      <c r="EI36" s="272">
        <v>14373</v>
      </c>
      <c r="EJ36" s="272">
        <v>-371634</v>
      </c>
      <c r="EK36" s="89"/>
      <c r="EL36" s="272"/>
      <c r="EM36" s="272">
        <v>58757</v>
      </c>
      <c r="EN36" s="272">
        <v>499266</v>
      </c>
      <c r="EO36" s="272">
        <v>3538</v>
      </c>
      <c r="EP36" s="455">
        <f t="shared" si="12"/>
        <v>330714</v>
      </c>
      <c r="EQ36" s="272">
        <v>10988082</v>
      </c>
      <c r="ER36" s="272">
        <v>-1167219</v>
      </c>
      <c r="ES36" s="272">
        <v>4407615</v>
      </c>
      <c r="ET36" s="272">
        <v>3450709</v>
      </c>
      <c r="EU36" s="272">
        <v>430886</v>
      </c>
      <c r="EV36" s="272">
        <v>1979522</v>
      </c>
      <c r="EW36" s="455">
        <f t="shared" si="13"/>
        <v>760666</v>
      </c>
      <c r="EX36" s="272">
        <v>702104</v>
      </c>
      <c r="EY36" s="272">
        <v>29568</v>
      </c>
      <c r="EZ36" s="272">
        <v>666608</v>
      </c>
      <c r="FA36" s="272">
        <v>58562</v>
      </c>
      <c r="FB36" s="272"/>
      <c r="FC36" s="272">
        <v>2072125</v>
      </c>
      <c r="FD36" s="272">
        <v>1128183</v>
      </c>
      <c r="FE36" s="272">
        <v>512202</v>
      </c>
      <c r="FF36" s="272">
        <v>1041746</v>
      </c>
      <c r="FG36" s="455">
        <f t="shared" si="14"/>
        <v>168070</v>
      </c>
      <c r="FH36" s="272">
        <v>11988813</v>
      </c>
      <c r="FI36" s="384">
        <f t="shared" si="15"/>
        <v>1.5</v>
      </c>
      <c r="FJ36" s="272">
        <v>10782511</v>
      </c>
      <c r="FK36" s="272"/>
      <c r="FL36" s="272">
        <v>5536839</v>
      </c>
      <c r="FM36" s="272">
        <v>8983879</v>
      </c>
      <c r="FN36" s="460">
        <v>0.626</v>
      </c>
      <c r="FO36" s="388">
        <v>101.4</v>
      </c>
      <c r="FP36" s="388">
        <v>42.6</v>
      </c>
      <c r="FQ36" s="388">
        <v>4.2</v>
      </c>
      <c r="FR36" s="388">
        <v>19.3</v>
      </c>
      <c r="FS36" s="388">
        <v>18.7</v>
      </c>
      <c r="FT36" s="388">
        <v>10</v>
      </c>
      <c r="FU36" s="388">
        <v>5.6</v>
      </c>
      <c r="FV36" s="388">
        <v>12.4</v>
      </c>
      <c r="FW36" s="272">
        <v>17074025</v>
      </c>
      <c r="FX36" s="384">
        <f t="shared" si="16"/>
        <v>158.30000000000001</v>
      </c>
      <c r="FY36" s="272">
        <v>4050982</v>
      </c>
      <c r="FZ36" s="272">
        <v>2602323</v>
      </c>
      <c r="GA36" s="272">
        <v>120597</v>
      </c>
      <c r="GB36" s="272">
        <v>1328062</v>
      </c>
      <c r="GC36" s="272"/>
      <c r="GD36" s="272">
        <v>115989</v>
      </c>
      <c r="GE36" s="384">
        <f t="shared" si="17"/>
        <v>1.1000000000000001</v>
      </c>
      <c r="GF36" s="388">
        <v>96.4</v>
      </c>
      <c r="GG36" s="388">
        <v>19.3</v>
      </c>
      <c r="GH36" s="388">
        <v>88.8</v>
      </c>
      <c r="GI36" s="272">
        <v>536</v>
      </c>
    </row>
    <row r="37" spans="2:191" x14ac:dyDescent="0.15">
      <c r="B37" s="21" t="s">
        <v>67</v>
      </c>
      <c r="C37" s="272">
        <f>SUM(C6:C36)</f>
        <v>840621224</v>
      </c>
      <c r="D37" s="455">
        <f t="shared" si="0"/>
        <v>310062241</v>
      </c>
      <c r="E37" s="272">
        <f>SUM(E6:E36)</f>
        <v>4973088</v>
      </c>
      <c r="F37" s="272">
        <f>SUM(F6:F36)</f>
        <v>305089153</v>
      </c>
      <c r="G37" s="455">
        <f t="shared" si="1"/>
        <v>60154634</v>
      </c>
      <c r="H37" s="272">
        <f t="shared" ref="H37:R37" si="18">SUM(H6:H36)</f>
        <v>11623207</v>
      </c>
      <c r="I37" s="272">
        <f t="shared" si="18"/>
        <v>48531427</v>
      </c>
      <c r="J37" s="272">
        <f t="shared" si="18"/>
        <v>345447407</v>
      </c>
      <c r="K37" s="272">
        <f t="shared" si="18"/>
        <v>177058501</v>
      </c>
      <c r="L37" s="272">
        <f t="shared" si="18"/>
        <v>115436318</v>
      </c>
      <c r="M37" s="272">
        <f t="shared" si="18"/>
        <v>47812111</v>
      </c>
      <c r="N37" s="272">
        <f t="shared" si="18"/>
        <v>33036548</v>
      </c>
      <c r="O37" s="272">
        <f t="shared" si="18"/>
        <v>78628800</v>
      </c>
      <c r="P37" s="272">
        <f t="shared" si="18"/>
        <v>53230417</v>
      </c>
      <c r="Q37" s="272">
        <f t="shared" si="18"/>
        <v>25398383</v>
      </c>
      <c r="R37" s="272">
        <f t="shared" si="18"/>
        <v>12129709</v>
      </c>
      <c r="S37" s="272"/>
      <c r="T37" s="455">
        <f t="shared" si="2"/>
        <v>71553560</v>
      </c>
      <c r="U37" s="272">
        <f>SUM(U6:U36)</f>
        <v>9444035</v>
      </c>
      <c r="V37" s="272"/>
      <c r="W37" s="272"/>
      <c r="X37" s="272">
        <f>SUM(X6:X36)</f>
        <v>49432271</v>
      </c>
      <c r="Y37" s="272">
        <f>SUM(Y6:Y36)</f>
        <v>1093125</v>
      </c>
      <c r="Z37" s="272">
        <f>SUM(Z6:Z36)</f>
        <v>547490</v>
      </c>
      <c r="AA37" s="272">
        <f>SUM(AA6:AA36)</f>
        <v>11036639</v>
      </c>
      <c r="AB37" s="272"/>
      <c r="AC37" s="272">
        <f>SUM(AC6:AC36)</f>
        <v>110401262</v>
      </c>
      <c r="AD37" s="272">
        <f>SUM(AD6:AD36)</f>
        <v>97271267</v>
      </c>
      <c r="AE37" s="272">
        <f>SUM(AE6:AE36)</f>
        <v>13129995</v>
      </c>
      <c r="AF37" s="272">
        <f>SUM(AF6:AF36)</f>
        <v>1132609</v>
      </c>
      <c r="AG37" s="272">
        <f>SUM(AG6:AG36)</f>
        <v>21213097</v>
      </c>
      <c r="AH37" s="455">
        <f t="shared" si="3"/>
        <v>33115981</v>
      </c>
      <c r="AI37" s="272">
        <f>SUM(AI6:AI36)</f>
        <v>26336658</v>
      </c>
      <c r="AJ37" s="272">
        <f>SUM(AJ6:AJ36)</f>
        <v>6779323</v>
      </c>
      <c r="AK37" s="272">
        <f>SUM(AK6:AK36)</f>
        <v>167251274</v>
      </c>
      <c r="AL37" s="455">
        <f t="shared" si="4"/>
        <v>87390434</v>
      </c>
      <c r="AM37" s="272">
        <f t="shared" ref="AM37:BN37" si="19">SUM(AM6:AM36)</f>
        <v>63552780</v>
      </c>
      <c r="AN37" s="272">
        <f t="shared" si="19"/>
        <v>13963607</v>
      </c>
      <c r="AO37" s="272">
        <f t="shared" si="19"/>
        <v>58545</v>
      </c>
      <c r="AP37" s="272">
        <f t="shared" si="19"/>
        <v>9815502</v>
      </c>
      <c r="AQ37" s="272">
        <f t="shared" si="19"/>
        <v>23209185</v>
      </c>
      <c r="AR37" s="272">
        <f t="shared" si="19"/>
        <v>119121</v>
      </c>
      <c r="AS37" s="272">
        <f t="shared" si="19"/>
        <v>326622</v>
      </c>
      <c r="AT37" s="272">
        <f t="shared" si="19"/>
        <v>88389453</v>
      </c>
      <c r="AU37" s="272">
        <f t="shared" si="19"/>
        <v>34508730</v>
      </c>
      <c r="AV37" s="272">
        <f t="shared" si="19"/>
        <v>6723857</v>
      </c>
      <c r="AW37" s="272">
        <f t="shared" si="19"/>
        <v>1588582</v>
      </c>
      <c r="AX37" s="272">
        <f t="shared" si="19"/>
        <v>53880723</v>
      </c>
      <c r="AY37" s="272">
        <f t="shared" si="19"/>
        <v>9519746</v>
      </c>
      <c r="AZ37" s="272">
        <f t="shared" si="19"/>
        <v>7336304</v>
      </c>
      <c r="BA37" s="272">
        <f t="shared" si="19"/>
        <v>3849999</v>
      </c>
      <c r="BB37" s="272">
        <f t="shared" si="19"/>
        <v>5511778</v>
      </c>
      <c r="BC37" s="272">
        <f t="shared" si="19"/>
        <v>47248283</v>
      </c>
      <c r="BD37" s="272">
        <f t="shared" si="19"/>
        <v>11092650</v>
      </c>
      <c r="BE37" s="272">
        <f t="shared" si="19"/>
        <v>6299922</v>
      </c>
      <c r="BF37" s="272">
        <f t="shared" si="19"/>
        <v>26565910</v>
      </c>
      <c r="BG37" s="272">
        <f t="shared" si="19"/>
        <v>683420</v>
      </c>
      <c r="BH37" s="272">
        <f t="shared" si="19"/>
        <v>13548897</v>
      </c>
      <c r="BI37" s="272">
        <f t="shared" si="19"/>
        <v>8501318</v>
      </c>
      <c r="BJ37" s="272">
        <f t="shared" si="19"/>
        <v>51257603</v>
      </c>
      <c r="BK37" s="272">
        <f t="shared" si="19"/>
        <v>31389438</v>
      </c>
      <c r="BL37" s="272">
        <f t="shared" si="19"/>
        <v>887579</v>
      </c>
      <c r="BM37" s="272">
        <f t="shared" si="19"/>
        <v>4276515</v>
      </c>
      <c r="BN37" s="272">
        <f t="shared" si="19"/>
        <v>135793500</v>
      </c>
      <c r="BO37" s="455">
        <f t="shared" si="5"/>
        <v>105330200</v>
      </c>
      <c r="BP37" s="455">
        <f t="shared" si="6"/>
        <v>30463300</v>
      </c>
      <c r="BQ37" s="272">
        <f>SUM(BQ6:BQ36)</f>
        <v>30463300</v>
      </c>
      <c r="BR37" s="272">
        <f>SUM(BR6:BR36)</f>
        <v>0</v>
      </c>
      <c r="BS37" s="272">
        <f>SUM(BS6:BS36)</f>
        <v>0</v>
      </c>
      <c r="BT37" s="272">
        <f>SUM(BT6:BT36)</f>
        <v>0</v>
      </c>
      <c r="BU37" s="272">
        <f>SUM(BU6:BU36)</f>
        <v>1606831156</v>
      </c>
      <c r="BV37" s="272"/>
      <c r="BW37" s="272">
        <f t="shared" ref="BW37:CI37" si="20">SUM(BW6:BW36)</f>
        <v>441672165</v>
      </c>
      <c r="BX37" s="272">
        <f t="shared" si="20"/>
        <v>328201313</v>
      </c>
      <c r="BY37" s="272">
        <f t="shared" si="20"/>
        <v>27634446</v>
      </c>
      <c r="BZ37" s="272">
        <f t="shared" si="20"/>
        <v>14817753</v>
      </c>
      <c r="CA37" s="272">
        <f t="shared" si="20"/>
        <v>219724285</v>
      </c>
      <c r="CB37" s="272">
        <f t="shared" si="20"/>
        <v>26959316</v>
      </c>
      <c r="CC37" s="272">
        <f t="shared" si="20"/>
        <v>52732310</v>
      </c>
      <c r="CD37" s="272">
        <f t="shared" si="20"/>
        <v>44020484</v>
      </c>
      <c r="CE37" s="272">
        <f t="shared" si="20"/>
        <v>84896210</v>
      </c>
      <c r="CF37" s="272">
        <f t="shared" si="20"/>
        <v>7548365</v>
      </c>
      <c r="CG37" s="272">
        <f t="shared" si="20"/>
        <v>3316336</v>
      </c>
      <c r="CH37" s="272">
        <f t="shared" si="20"/>
        <v>155642679</v>
      </c>
      <c r="CI37" s="272">
        <f t="shared" si="20"/>
        <v>95348510</v>
      </c>
      <c r="CJ37" s="455">
        <f t="shared" si="7"/>
        <v>60294169</v>
      </c>
      <c r="CK37" s="272">
        <f t="shared" ref="CK37:CS37" si="21">SUM(CK6:CK36)</f>
        <v>189814815</v>
      </c>
      <c r="CL37" s="272">
        <f t="shared" si="21"/>
        <v>111774330</v>
      </c>
      <c r="CM37" s="272">
        <f t="shared" si="21"/>
        <v>9284210</v>
      </c>
      <c r="CN37" s="272">
        <f t="shared" si="21"/>
        <v>38881452</v>
      </c>
      <c r="CO37" s="272">
        <f t="shared" si="21"/>
        <v>15950788</v>
      </c>
      <c r="CP37" s="272">
        <f t="shared" si="21"/>
        <v>125886266</v>
      </c>
      <c r="CQ37" s="272">
        <f t="shared" si="21"/>
        <v>41420945</v>
      </c>
      <c r="CR37" s="272">
        <f t="shared" si="21"/>
        <v>37139898</v>
      </c>
      <c r="CS37" s="272">
        <f t="shared" si="21"/>
        <v>30089846</v>
      </c>
      <c r="CT37" s="455">
        <f t="shared" si="8"/>
        <v>20310765</v>
      </c>
      <c r="CU37" s="272">
        <f>SUM(CU6:CU36)</f>
        <v>13273526</v>
      </c>
      <c r="CV37" s="272">
        <f>SUM(CV6:CV36)</f>
        <v>7037239</v>
      </c>
      <c r="CW37" s="455">
        <f t="shared" si="9"/>
        <v>16906407</v>
      </c>
      <c r="CX37" s="272">
        <f>SUM(CX6:CX36)</f>
        <v>12513301</v>
      </c>
      <c r="CY37" s="272">
        <f>SUM(CY6:CY36)</f>
        <v>4393106</v>
      </c>
      <c r="CZ37" s="455">
        <f t="shared" si="10"/>
        <v>0</v>
      </c>
      <c r="DA37" s="272">
        <f t="shared" ref="DA37:DU37" si="22">SUM(DA6:DA36)</f>
        <v>0</v>
      </c>
      <c r="DB37" s="272">
        <f t="shared" si="22"/>
        <v>0</v>
      </c>
      <c r="DC37" s="272">
        <f t="shared" si="22"/>
        <v>229718867</v>
      </c>
      <c r="DD37" s="272">
        <f t="shared" si="22"/>
        <v>51342395</v>
      </c>
      <c r="DE37" s="272">
        <f t="shared" si="22"/>
        <v>162381932</v>
      </c>
      <c r="DF37" s="272">
        <f t="shared" si="22"/>
        <v>3695766</v>
      </c>
      <c r="DG37" s="272">
        <f t="shared" si="22"/>
        <v>12290946</v>
      </c>
      <c r="DH37" s="272">
        <f t="shared" si="22"/>
        <v>722335</v>
      </c>
      <c r="DI37" s="272">
        <f t="shared" si="22"/>
        <v>20921908</v>
      </c>
      <c r="DJ37" s="272">
        <f t="shared" si="22"/>
        <v>4714004</v>
      </c>
      <c r="DK37" s="272">
        <f t="shared" si="22"/>
        <v>1218090</v>
      </c>
      <c r="DL37" s="272">
        <f t="shared" si="22"/>
        <v>14989814</v>
      </c>
      <c r="DM37" s="272">
        <f t="shared" si="22"/>
        <v>3630033</v>
      </c>
      <c r="DN37" s="272">
        <f t="shared" si="22"/>
        <v>3164473</v>
      </c>
      <c r="DO37" s="272">
        <f t="shared" si="22"/>
        <v>2320337</v>
      </c>
      <c r="DP37" s="272">
        <f t="shared" si="22"/>
        <v>844136</v>
      </c>
      <c r="DQ37" s="272">
        <f t="shared" si="22"/>
        <v>32017244</v>
      </c>
      <c r="DR37" s="272">
        <f t="shared" si="22"/>
        <v>1139005</v>
      </c>
      <c r="DS37" s="272">
        <f t="shared" si="22"/>
        <v>760000</v>
      </c>
      <c r="DT37" s="272">
        <f t="shared" si="22"/>
        <v>143534366</v>
      </c>
      <c r="DU37" s="272">
        <f t="shared" si="22"/>
        <v>83205644</v>
      </c>
      <c r="DV37" s="455">
        <f t="shared" si="11"/>
        <v>54054</v>
      </c>
      <c r="DW37" s="272">
        <f>SUM(DW6:DW36)</f>
        <v>54054</v>
      </c>
      <c r="DX37" s="272">
        <f>SUM(DX6:DX36)</f>
        <v>0</v>
      </c>
      <c r="DY37" s="272">
        <f>SUM(DY6:DY36)</f>
        <v>283891</v>
      </c>
      <c r="DZ37" s="272">
        <f>SUM(DZ6:DZ36)</f>
        <v>38682233</v>
      </c>
      <c r="EA37" s="272">
        <f>SUM(EA6:EA36)</f>
        <v>19662982</v>
      </c>
      <c r="EB37" s="272"/>
      <c r="EC37" s="272">
        <f>SUM(EC6:EC36)</f>
        <v>1131205</v>
      </c>
      <c r="ED37" s="272">
        <f>SUM(ED6:ED36)</f>
        <v>1580366956</v>
      </c>
      <c r="EE37" s="89"/>
      <c r="EF37" s="272">
        <f>SUM(EF6:EF36)</f>
        <v>26464200</v>
      </c>
      <c r="EG37" s="272">
        <f>SUM(EG6:EG36)</f>
        <v>24245793</v>
      </c>
      <c r="EH37" s="272">
        <f>SUM(EH6:EH36)</f>
        <v>2218407</v>
      </c>
      <c r="EI37" s="272">
        <f>SUM(EI6:EI36)</f>
        <v>-5338953</v>
      </c>
      <c r="EJ37" s="272">
        <f>SUM(EJ6:EJ36)</f>
        <v>-8916230</v>
      </c>
      <c r="EK37" s="89"/>
      <c r="EL37" s="272"/>
      <c r="EM37" s="272">
        <f>SUM(EM6:EM36)</f>
        <v>5129968</v>
      </c>
      <c r="EN37" s="272">
        <f>SUM(EN6:EN36)</f>
        <v>27305053</v>
      </c>
      <c r="EO37" s="272">
        <f>SUM(EO6:EO36)</f>
        <v>3513356</v>
      </c>
      <c r="EP37" s="455">
        <f t="shared" si="12"/>
        <v>34857008</v>
      </c>
      <c r="EQ37" s="272">
        <f t="shared" ref="EQ37:EV37" si="23">SUM(EQ6:EQ36)</f>
        <v>1036164986</v>
      </c>
      <c r="ER37" s="272">
        <f t="shared" si="23"/>
        <v>-94679486</v>
      </c>
      <c r="ES37" s="272">
        <f t="shared" si="23"/>
        <v>406663010</v>
      </c>
      <c r="ET37" s="272">
        <f t="shared" si="23"/>
        <v>296161845</v>
      </c>
      <c r="EU37" s="272">
        <f t="shared" si="23"/>
        <v>68659678</v>
      </c>
      <c r="EV37" s="272">
        <f t="shared" si="23"/>
        <v>151189235</v>
      </c>
      <c r="EW37" s="455">
        <f t="shared" si="13"/>
        <v>69713198</v>
      </c>
      <c r="EX37" s="272">
        <f>SUM(EX6:EX36)</f>
        <v>69287098</v>
      </c>
      <c r="EY37" s="272">
        <f>SUM(EY6:EY36)</f>
        <v>4552337</v>
      </c>
      <c r="EZ37" s="272">
        <f>SUM(EZ6:EZ36)</f>
        <v>64277560</v>
      </c>
      <c r="FA37" s="272">
        <f>SUM(FA6:FA36)</f>
        <v>426100</v>
      </c>
      <c r="FB37" s="272"/>
      <c r="FC37" s="272">
        <f>SUM(FC6:FC36)</f>
        <v>148814007</v>
      </c>
      <c r="FD37" s="272">
        <f>SUM(FD6:FD36)</f>
        <v>111614793</v>
      </c>
      <c r="FE37" s="272">
        <f>SUM(FE6:FE36)</f>
        <v>41346483</v>
      </c>
      <c r="FF37" s="272">
        <f>SUM(FF6:FF36)</f>
        <v>132519005</v>
      </c>
      <c r="FG37" s="455">
        <f t="shared" si="14"/>
        <v>32457606</v>
      </c>
      <c r="FH37" s="272">
        <f>SUM(FH6:FH36)</f>
        <v>1121630532</v>
      </c>
      <c r="FI37" s="384">
        <f t="shared" si="15"/>
        <v>0.2</v>
      </c>
      <c r="FJ37" s="272">
        <f>SUM(FJ6:FJ36)</f>
        <v>993940703</v>
      </c>
      <c r="FK37" s="272">
        <f>SUM(FK6:FK36)</f>
        <v>0</v>
      </c>
      <c r="FL37" s="272">
        <f>SUM(FL6:FL36)</f>
        <v>675904408</v>
      </c>
      <c r="FM37" s="272">
        <f>SUM(FM6:FM36)</f>
        <v>759593028</v>
      </c>
      <c r="FN37" s="468">
        <v>0.90200000000000002</v>
      </c>
      <c r="FO37" s="469">
        <v>99.3</v>
      </c>
      <c r="FP37" s="469">
        <v>41.2</v>
      </c>
      <c r="FQ37" s="469">
        <v>7.6</v>
      </c>
      <c r="FR37" s="469">
        <v>15.5</v>
      </c>
      <c r="FS37" s="469">
        <v>14.6</v>
      </c>
      <c r="FT37" s="469">
        <v>11.1</v>
      </c>
      <c r="FU37" s="469">
        <v>7.9</v>
      </c>
      <c r="FV37" s="469">
        <v>10.199999999999999</v>
      </c>
      <c r="FW37" s="272">
        <f>SUM(FW6:FW36)</f>
        <v>1495923281</v>
      </c>
      <c r="FX37" s="384">
        <f t="shared" si="16"/>
        <v>150.5</v>
      </c>
      <c r="FY37" s="272">
        <f t="shared" ref="FY37:GD37" si="24">SUM(FY6:FY36)</f>
        <v>322157977</v>
      </c>
      <c r="FZ37" s="272">
        <f t="shared" si="24"/>
        <v>78064979</v>
      </c>
      <c r="GA37" s="272">
        <f t="shared" si="24"/>
        <v>22308654</v>
      </c>
      <c r="GB37" s="272">
        <f t="shared" si="24"/>
        <v>221784344</v>
      </c>
      <c r="GC37" s="272">
        <f t="shared" si="24"/>
        <v>0</v>
      </c>
      <c r="GD37" s="272">
        <f t="shared" si="24"/>
        <v>444160020</v>
      </c>
      <c r="GE37" s="384">
        <f t="shared" si="17"/>
        <v>44.7</v>
      </c>
      <c r="GF37" s="469">
        <v>97.5</v>
      </c>
      <c r="GG37" s="469">
        <v>20.5</v>
      </c>
      <c r="GH37" s="469">
        <v>91.9</v>
      </c>
      <c r="GI37" s="272">
        <f>SUM(GI6:GI36)</f>
        <v>41288</v>
      </c>
    </row>
    <row r="38" spans="2:191" x14ac:dyDescent="0.15">
      <c r="B38" s="89" t="s">
        <v>69</v>
      </c>
      <c r="C38" s="272">
        <v>5481699</v>
      </c>
      <c r="D38" s="455">
        <f t="shared" si="0"/>
        <v>1887636</v>
      </c>
      <c r="E38" s="272">
        <v>22953</v>
      </c>
      <c r="F38" s="272">
        <v>1864683</v>
      </c>
      <c r="G38" s="455">
        <f t="shared" si="1"/>
        <v>845606</v>
      </c>
      <c r="H38" s="272">
        <v>59478</v>
      </c>
      <c r="I38" s="272">
        <v>786128</v>
      </c>
      <c r="J38" s="272">
        <v>2218496</v>
      </c>
      <c r="K38" s="272">
        <v>939929</v>
      </c>
      <c r="L38" s="272">
        <v>729290</v>
      </c>
      <c r="M38" s="272">
        <v>523724</v>
      </c>
      <c r="N38" s="272">
        <v>103556</v>
      </c>
      <c r="O38" s="272">
        <v>412491</v>
      </c>
      <c r="P38" s="272">
        <v>261934</v>
      </c>
      <c r="Q38" s="272">
        <v>150557</v>
      </c>
      <c r="R38" s="272">
        <v>65027</v>
      </c>
      <c r="S38" s="272"/>
      <c r="T38" s="455">
        <f t="shared" si="2"/>
        <v>468663</v>
      </c>
      <c r="U38" s="272">
        <v>59848</v>
      </c>
      <c r="V38" s="272"/>
      <c r="W38" s="272"/>
      <c r="X38" s="272">
        <v>251167</v>
      </c>
      <c r="Y38" s="272">
        <v>84773</v>
      </c>
      <c r="Z38" s="272">
        <v>0</v>
      </c>
      <c r="AA38" s="272">
        <v>72875</v>
      </c>
      <c r="AB38" s="272"/>
      <c r="AC38" s="272">
        <v>1381470</v>
      </c>
      <c r="AD38" s="272">
        <v>1135021</v>
      </c>
      <c r="AE38" s="272">
        <v>246449</v>
      </c>
      <c r="AF38" s="272">
        <v>5042</v>
      </c>
      <c r="AG38" s="272">
        <v>67682</v>
      </c>
      <c r="AH38" s="455">
        <f t="shared" si="3"/>
        <v>194956</v>
      </c>
      <c r="AI38" s="272">
        <v>156943</v>
      </c>
      <c r="AJ38" s="272">
        <v>38013</v>
      </c>
      <c r="AK38" s="272">
        <v>1488333</v>
      </c>
      <c r="AL38" s="455">
        <f t="shared" si="4"/>
        <v>140442</v>
      </c>
      <c r="AM38" s="272">
        <v>44748</v>
      </c>
      <c r="AN38" s="272">
        <v>49285</v>
      </c>
      <c r="AO38" s="272">
        <v>0</v>
      </c>
      <c r="AP38" s="272">
        <v>46409</v>
      </c>
      <c r="AQ38" s="272">
        <v>2524</v>
      </c>
      <c r="AR38" s="272">
        <v>0</v>
      </c>
      <c r="AS38" s="272">
        <v>0</v>
      </c>
      <c r="AT38" s="272">
        <v>458701</v>
      </c>
      <c r="AU38" s="272">
        <v>171514</v>
      </c>
      <c r="AV38" s="272">
        <v>27886</v>
      </c>
      <c r="AW38" s="272">
        <v>14726</v>
      </c>
      <c r="AX38" s="272">
        <v>287187</v>
      </c>
      <c r="AY38" s="272">
        <v>85786</v>
      </c>
      <c r="AZ38" s="272">
        <v>80487</v>
      </c>
      <c r="BA38" s="272">
        <v>30470</v>
      </c>
      <c r="BB38" s="272">
        <v>1030</v>
      </c>
      <c r="BC38" s="272">
        <v>691465</v>
      </c>
      <c r="BD38" s="272">
        <v>393300</v>
      </c>
      <c r="BE38" s="272">
        <v>45700</v>
      </c>
      <c r="BF38" s="272">
        <v>240000</v>
      </c>
      <c r="BG38" s="272">
        <v>0</v>
      </c>
      <c r="BH38" s="272">
        <v>139646</v>
      </c>
      <c r="BI38" s="272">
        <v>75323</v>
      </c>
      <c r="BJ38" s="272">
        <v>495069</v>
      </c>
      <c r="BK38" s="272">
        <v>5367</v>
      </c>
      <c r="BL38" s="272">
        <v>0</v>
      </c>
      <c r="BM38" s="272">
        <v>0</v>
      </c>
      <c r="BN38" s="272">
        <v>2616600</v>
      </c>
      <c r="BO38" s="455">
        <f t="shared" si="5"/>
        <v>2409000</v>
      </c>
      <c r="BP38" s="455">
        <f t="shared" si="6"/>
        <v>207600</v>
      </c>
      <c r="BQ38" s="272">
        <v>207600</v>
      </c>
      <c r="BR38" s="272">
        <v>0</v>
      </c>
      <c r="BS38" s="272">
        <v>0</v>
      </c>
      <c r="BT38" s="272">
        <v>0</v>
      </c>
      <c r="BU38" s="272">
        <v>13635870</v>
      </c>
      <c r="BV38" s="272"/>
      <c r="BW38" s="272">
        <v>3177594</v>
      </c>
      <c r="BX38" s="272">
        <v>2285673</v>
      </c>
      <c r="BY38" s="272">
        <v>286145</v>
      </c>
      <c r="BZ38" s="272">
        <v>27229</v>
      </c>
      <c r="CA38" s="272">
        <v>872921</v>
      </c>
      <c r="CB38" s="272">
        <v>242598</v>
      </c>
      <c r="CC38" s="272">
        <v>313219</v>
      </c>
      <c r="CD38" s="272">
        <v>258041</v>
      </c>
      <c r="CE38" s="272">
        <v>43520</v>
      </c>
      <c r="CF38" s="272">
        <v>0</v>
      </c>
      <c r="CG38" s="272">
        <v>15543</v>
      </c>
      <c r="CH38" s="272">
        <v>3779659</v>
      </c>
      <c r="CI38" s="272">
        <v>3152936</v>
      </c>
      <c r="CJ38" s="455">
        <f t="shared" si="7"/>
        <v>626723</v>
      </c>
      <c r="CK38" s="272">
        <v>1615135</v>
      </c>
      <c r="CL38" s="272">
        <v>841438</v>
      </c>
      <c r="CM38" s="272">
        <v>145285</v>
      </c>
      <c r="CN38" s="272">
        <v>349344</v>
      </c>
      <c r="CO38" s="272">
        <v>55251</v>
      </c>
      <c r="CP38" s="272">
        <v>324494</v>
      </c>
      <c r="CQ38" s="272">
        <v>4524</v>
      </c>
      <c r="CR38" s="272">
        <v>155389</v>
      </c>
      <c r="CS38" s="272">
        <v>133511</v>
      </c>
      <c r="CT38" s="455">
        <f t="shared" si="8"/>
        <v>3020</v>
      </c>
      <c r="CU38" s="272">
        <v>3020</v>
      </c>
      <c r="CV38" s="272">
        <v>0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2203093</v>
      </c>
      <c r="DD38" s="272">
        <v>7577</v>
      </c>
      <c r="DE38" s="272">
        <v>2072613</v>
      </c>
      <c r="DF38" s="272">
        <v>53825</v>
      </c>
      <c r="DG38" s="272">
        <v>0</v>
      </c>
      <c r="DH38" s="272">
        <v>1299</v>
      </c>
      <c r="DI38" s="272">
        <v>534573</v>
      </c>
      <c r="DJ38" s="272">
        <v>121707</v>
      </c>
      <c r="DK38" s="272">
        <v>2485</v>
      </c>
      <c r="DL38" s="272">
        <v>410381</v>
      </c>
      <c r="DM38" s="272">
        <v>10000</v>
      </c>
      <c r="DN38" s="272">
        <v>0</v>
      </c>
      <c r="DO38" s="272">
        <v>0</v>
      </c>
      <c r="DP38" s="272">
        <v>0</v>
      </c>
      <c r="DQ38" s="272">
        <v>5230</v>
      </c>
      <c r="DR38" s="272">
        <v>0</v>
      </c>
      <c r="DS38" s="272">
        <v>0</v>
      </c>
      <c r="DT38" s="272">
        <v>867386</v>
      </c>
      <c r="DU38" s="272">
        <v>600000</v>
      </c>
      <c r="DV38" s="455">
        <f t="shared" si="11"/>
        <v>0</v>
      </c>
      <c r="DW38" s="272">
        <v>0</v>
      </c>
      <c r="DX38" s="272">
        <v>0</v>
      </c>
      <c r="DY38" s="272">
        <v>0</v>
      </c>
      <c r="DZ38" s="272">
        <v>152294</v>
      </c>
      <c r="EA38" s="272">
        <v>103890</v>
      </c>
      <c r="EB38" s="272"/>
      <c r="EC38" s="272">
        <v>0</v>
      </c>
      <c r="ED38" s="272">
        <v>13446635</v>
      </c>
      <c r="EE38" s="89"/>
      <c r="EF38" s="272">
        <v>189235</v>
      </c>
      <c r="EG38" s="272">
        <v>108722</v>
      </c>
      <c r="EH38" s="272">
        <v>80513</v>
      </c>
      <c r="EI38" s="272">
        <v>5190</v>
      </c>
      <c r="EJ38" s="272">
        <v>26916</v>
      </c>
      <c r="EK38" s="89"/>
      <c r="EL38" s="272"/>
      <c r="EM38" s="272">
        <v>30499</v>
      </c>
      <c r="EN38" s="272">
        <v>448735</v>
      </c>
      <c r="EO38" s="272">
        <v>35836</v>
      </c>
      <c r="EP38" s="455">
        <f t="shared" si="12"/>
        <v>2156180</v>
      </c>
      <c r="EQ38" s="272">
        <v>7401901</v>
      </c>
      <c r="ER38" s="272">
        <v>-2843309</v>
      </c>
      <c r="ES38" s="272">
        <v>2935690</v>
      </c>
      <c r="ET38" s="272">
        <v>2067419</v>
      </c>
      <c r="EU38" s="272">
        <v>420785</v>
      </c>
      <c r="EV38" s="272">
        <v>3777603</v>
      </c>
      <c r="EW38" s="455">
        <f t="shared" si="13"/>
        <v>389813</v>
      </c>
      <c r="EX38" s="272">
        <v>388514</v>
      </c>
      <c r="EY38" s="272">
        <v>3567</v>
      </c>
      <c r="EZ38" s="272">
        <v>348674</v>
      </c>
      <c r="FA38" s="272">
        <v>1299</v>
      </c>
      <c r="FB38" s="272"/>
      <c r="FC38" s="272">
        <v>1367978</v>
      </c>
      <c r="FD38" s="272">
        <v>277488</v>
      </c>
      <c r="FE38" s="272">
        <v>4524</v>
      </c>
      <c r="FF38" s="272">
        <v>784022</v>
      </c>
      <c r="FG38" s="455">
        <f t="shared" si="14"/>
        <v>202611</v>
      </c>
      <c r="FH38" s="272">
        <v>10155990</v>
      </c>
      <c r="FI38" s="384">
        <f t="shared" si="15"/>
        <v>1.2</v>
      </c>
      <c r="FJ38" s="272">
        <v>6909209</v>
      </c>
      <c r="FK38" s="272"/>
      <c r="FL38" s="272">
        <v>4348356</v>
      </c>
      <c r="FM38" s="272">
        <v>5479029</v>
      </c>
      <c r="FN38" s="460">
        <v>0.85399999999999998</v>
      </c>
      <c r="FO38" s="388">
        <v>98.7</v>
      </c>
      <c r="FP38" s="388">
        <v>42.9</v>
      </c>
      <c r="FQ38" s="388">
        <v>6.2</v>
      </c>
      <c r="FR38" s="388">
        <v>21.7</v>
      </c>
      <c r="FS38" s="388">
        <v>17.2</v>
      </c>
      <c r="FT38" s="388">
        <v>3.7</v>
      </c>
      <c r="FU38" s="388">
        <v>6.4</v>
      </c>
      <c r="FV38" s="388">
        <v>12.5</v>
      </c>
      <c r="FW38" s="272">
        <v>17973760</v>
      </c>
      <c r="FX38" s="384">
        <f t="shared" si="16"/>
        <v>260.10000000000002</v>
      </c>
      <c r="FY38" s="272">
        <v>5575748</v>
      </c>
      <c r="FZ38" s="272">
        <v>1294071</v>
      </c>
      <c r="GA38" s="272">
        <v>245352</v>
      </c>
      <c r="GB38" s="272">
        <v>4036325</v>
      </c>
      <c r="GC38" s="272"/>
      <c r="GD38" s="272"/>
      <c r="GE38" s="384"/>
      <c r="GF38" s="388">
        <v>99.2</v>
      </c>
      <c r="GG38" s="388">
        <v>8.6</v>
      </c>
      <c r="GH38" s="388">
        <v>93</v>
      </c>
      <c r="GI38" s="272">
        <v>302</v>
      </c>
    </row>
    <row r="39" spans="2:191" x14ac:dyDescent="0.15">
      <c r="B39" s="89" t="s">
        <v>71</v>
      </c>
      <c r="C39" s="272">
        <v>3308977</v>
      </c>
      <c r="D39" s="455">
        <f t="shared" si="0"/>
        <v>2170516</v>
      </c>
      <c r="E39" s="272">
        <v>18884</v>
      </c>
      <c r="F39" s="272">
        <v>2151632</v>
      </c>
      <c r="G39" s="455">
        <f t="shared" si="1"/>
        <v>38603</v>
      </c>
      <c r="H39" s="272">
        <v>18544</v>
      </c>
      <c r="I39" s="272">
        <v>20059</v>
      </c>
      <c r="J39" s="272">
        <v>1018759</v>
      </c>
      <c r="K39" s="272">
        <v>378572</v>
      </c>
      <c r="L39" s="272">
        <v>548818</v>
      </c>
      <c r="M39" s="272">
        <v>91316</v>
      </c>
      <c r="N39" s="272">
        <v>62843</v>
      </c>
      <c r="O39" s="272">
        <v>0</v>
      </c>
      <c r="P39" s="272">
        <v>0</v>
      </c>
      <c r="Q39" s="272">
        <v>0</v>
      </c>
      <c r="R39" s="272">
        <v>81426</v>
      </c>
      <c r="S39" s="272"/>
      <c r="T39" s="455">
        <f t="shared" si="2"/>
        <v>348127</v>
      </c>
      <c r="U39" s="272">
        <v>60409</v>
      </c>
      <c r="V39" s="272"/>
      <c r="W39" s="272"/>
      <c r="X39" s="272">
        <v>181784</v>
      </c>
      <c r="Y39" s="272">
        <v>14608</v>
      </c>
      <c r="Z39" s="272">
        <v>0</v>
      </c>
      <c r="AA39" s="272">
        <v>91326</v>
      </c>
      <c r="AB39" s="272"/>
      <c r="AC39" s="272">
        <v>1930445</v>
      </c>
      <c r="AD39" s="272">
        <v>1630634</v>
      </c>
      <c r="AE39" s="272">
        <v>299811</v>
      </c>
      <c r="AF39" s="272">
        <v>5854</v>
      </c>
      <c r="AG39" s="272">
        <v>31828</v>
      </c>
      <c r="AH39" s="455">
        <f t="shared" si="3"/>
        <v>175612</v>
      </c>
      <c r="AI39" s="272">
        <v>156589</v>
      </c>
      <c r="AJ39" s="272">
        <v>19023</v>
      </c>
      <c r="AK39" s="272">
        <v>261745</v>
      </c>
      <c r="AL39" s="455">
        <f t="shared" si="4"/>
        <v>62649</v>
      </c>
      <c r="AM39" s="272">
        <v>0</v>
      </c>
      <c r="AN39" s="272">
        <v>21213</v>
      </c>
      <c r="AO39" s="272">
        <v>0</v>
      </c>
      <c r="AP39" s="272">
        <v>41436</v>
      </c>
      <c r="AQ39" s="272">
        <v>3176</v>
      </c>
      <c r="AR39" s="272">
        <v>0</v>
      </c>
      <c r="AS39" s="272">
        <v>0</v>
      </c>
      <c r="AT39" s="272">
        <v>610634</v>
      </c>
      <c r="AU39" s="272">
        <v>214306</v>
      </c>
      <c r="AV39" s="272">
        <v>10530</v>
      </c>
      <c r="AW39" s="272">
        <v>83746</v>
      </c>
      <c r="AX39" s="272">
        <v>396328</v>
      </c>
      <c r="AY39" s="272">
        <v>203909</v>
      </c>
      <c r="AZ39" s="272">
        <v>24565</v>
      </c>
      <c r="BA39" s="272">
        <v>433</v>
      </c>
      <c r="BB39" s="272">
        <v>1358</v>
      </c>
      <c r="BC39" s="272">
        <v>328974</v>
      </c>
      <c r="BD39" s="272">
        <v>0</v>
      </c>
      <c r="BE39" s="272">
        <v>3935</v>
      </c>
      <c r="BF39" s="272">
        <v>311131</v>
      </c>
      <c r="BG39" s="272">
        <v>0</v>
      </c>
      <c r="BH39" s="272">
        <v>337569</v>
      </c>
      <c r="BI39" s="272">
        <v>188920</v>
      </c>
      <c r="BJ39" s="272">
        <v>142422</v>
      </c>
      <c r="BK39" s="272">
        <v>1050</v>
      </c>
      <c r="BL39" s="272">
        <v>0</v>
      </c>
      <c r="BM39" s="272">
        <v>0</v>
      </c>
      <c r="BN39" s="272">
        <v>1179800</v>
      </c>
      <c r="BO39" s="455">
        <f t="shared" si="5"/>
        <v>981400</v>
      </c>
      <c r="BP39" s="455">
        <f t="shared" si="6"/>
        <v>198400</v>
      </c>
      <c r="BQ39" s="272">
        <v>198400</v>
      </c>
      <c r="BR39" s="272">
        <v>0</v>
      </c>
      <c r="BS39" s="272">
        <v>0</v>
      </c>
      <c r="BT39" s="272">
        <v>0</v>
      </c>
      <c r="BU39" s="272">
        <v>8769336</v>
      </c>
      <c r="BV39" s="272"/>
      <c r="BW39" s="272">
        <v>2521225</v>
      </c>
      <c r="BX39" s="272">
        <v>1731748</v>
      </c>
      <c r="BY39" s="272">
        <v>69622</v>
      </c>
      <c r="BZ39" s="272">
        <v>244906</v>
      </c>
      <c r="CA39" s="272">
        <v>262432</v>
      </c>
      <c r="CB39" s="272">
        <v>58420</v>
      </c>
      <c r="CC39" s="272">
        <v>190170</v>
      </c>
      <c r="CD39" s="272">
        <v>11350</v>
      </c>
      <c r="CE39" s="272">
        <v>0</v>
      </c>
      <c r="CF39" s="272">
        <v>169</v>
      </c>
      <c r="CG39" s="272">
        <v>2323</v>
      </c>
      <c r="CH39" s="272">
        <v>768508</v>
      </c>
      <c r="CI39" s="272">
        <v>528428</v>
      </c>
      <c r="CJ39" s="455">
        <f t="shared" si="7"/>
        <v>240080</v>
      </c>
      <c r="CK39" s="272">
        <v>1092072</v>
      </c>
      <c r="CL39" s="272">
        <v>521063</v>
      </c>
      <c r="CM39" s="272">
        <v>31730</v>
      </c>
      <c r="CN39" s="272">
        <v>331842</v>
      </c>
      <c r="CO39" s="272">
        <v>231445</v>
      </c>
      <c r="CP39" s="272">
        <v>716262</v>
      </c>
      <c r="CQ39" s="272">
        <v>431369</v>
      </c>
      <c r="CR39" s="272">
        <v>117422</v>
      </c>
      <c r="CS39" s="272">
        <v>112052</v>
      </c>
      <c r="CT39" s="455">
        <f t="shared" si="8"/>
        <v>54261</v>
      </c>
      <c r="CU39" s="272">
        <v>24497</v>
      </c>
      <c r="CV39" s="272">
        <v>29764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1740322</v>
      </c>
      <c r="DD39" s="272">
        <v>128426</v>
      </c>
      <c r="DE39" s="272">
        <v>1544986</v>
      </c>
      <c r="DF39" s="272">
        <v>66910</v>
      </c>
      <c r="DG39" s="272">
        <v>0</v>
      </c>
      <c r="DH39" s="272">
        <v>25771</v>
      </c>
      <c r="DI39" s="272">
        <v>325100</v>
      </c>
      <c r="DJ39" s="272">
        <v>308000</v>
      </c>
      <c r="DK39" s="272">
        <v>2100</v>
      </c>
      <c r="DL39" s="272">
        <v>15000</v>
      </c>
      <c r="DM39" s="272">
        <v>0</v>
      </c>
      <c r="DN39" s="272">
        <v>0</v>
      </c>
      <c r="DO39" s="272">
        <v>0</v>
      </c>
      <c r="DP39" s="272">
        <v>0</v>
      </c>
      <c r="DQ39" s="272">
        <v>2509</v>
      </c>
      <c r="DR39" s="272">
        <v>0</v>
      </c>
      <c r="DS39" s="272">
        <v>0</v>
      </c>
      <c r="DT39" s="272">
        <v>673079</v>
      </c>
      <c r="DU39" s="272">
        <v>338984</v>
      </c>
      <c r="DV39" s="455">
        <f t="shared" si="11"/>
        <v>0</v>
      </c>
      <c r="DW39" s="272">
        <v>0</v>
      </c>
      <c r="DX39" s="272">
        <v>0</v>
      </c>
      <c r="DY39" s="272">
        <v>0</v>
      </c>
      <c r="DZ39" s="272">
        <v>109060</v>
      </c>
      <c r="EA39" s="272">
        <v>104977</v>
      </c>
      <c r="EB39" s="272"/>
      <c r="EC39" s="272">
        <v>0</v>
      </c>
      <c r="ED39" s="272">
        <v>8358725</v>
      </c>
      <c r="EE39" s="89"/>
      <c r="EF39" s="272">
        <v>410611</v>
      </c>
      <c r="EG39" s="272">
        <v>116954</v>
      </c>
      <c r="EH39" s="272">
        <v>293657</v>
      </c>
      <c r="EI39" s="272">
        <v>104737</v>
      </c>
      <c r="EJ39" s="272">
        <v>412737</v>
      </c>
      <c r="EK39" s="89"/>
      <c r="EL39" s="272"/>
      <c r="EM39" s="272">
        <v>26946</v>
      </c>
      <c r="EN39" s="272">
        <v>15828</v>
      </c>
      <c r="EO39" s="272">
        <v>3080</v>
      </c>
      <c r="EP39" s="455">
        <f t="shared" si="12"/>
        <v>328346</v>
      </c>
      <c r="EQ39" s="272">
        <v>5674829</v>
      </c>
      <c r="ER39" s="272">
        <v>-539800</v>
      </c>
      <c r="ES39" s="272">
        <v>2278845</v>
      </c>
      <c r="ET39" s="272">
        <v>1511630</v>
      </c>
      <c r="EU39" s="272">
        <v>65067</v>
      </c>
      <c r="EV39" s="272">
        <v>739840</v>
      </c>
      <c r="EW39" s="455">
        <f t="shared" si="13"/>
        <v>240553</v>
      </c>
      <c r="EX39" s="272">
        <v>239548</v>
      </c>
      <c r="EY39" s="272">
        <v>35204</v>
      </c>
      <c r="EZ39" s="272">
        <v>203034</v>
      </c>
      <c r="FA39" s="272">
        <v>1005</v>
      </c>
      <c r="FB39" s="272"/>
      <c r="FC39" s="272">
        <v>839985</v>
      </c>
      <c r="FD39" s="272">
        <v>579565</v>
      </c>
      <c r="FE39" s="272">
        <v>318615</v>
      </c>
      <c r="FF39" s="272">
        <v>616987</v>
      </c>
      <c r="FG39" s="455">
        <f t="shared" si="14"/>
        <v>535176</v>
      </c>
      <c r="FH39" s="272">
        <v>5896018</v>
      </c>
      <c r="FI39" s="384">
        <f t="shared" si="15"/>
        <v>5.0999999999999996</v>
      </c>
      <c r="FJ39" s="272">
        <v>5713309</v>
      </c>
      <c r="FK39" s="272"/>
      <c r="FL39" s="272">
        <v>3084307</v>
      </c>
      <c r="FM39" s="272">
        <v>4719695</v>
      </c>
      <c r="FN39" s="460">
        <v>0.65100000000000002</v>
      </c>
      <c r="FO39" s="388">
        <v>86.6</v>
      </c>
      <c r="FP39" s="388">
        <v>42.2</v>
      </c>
      <c r="FQ39" s="388">
        <v>1.2</v>
      </c>
      <c r="FR39" s="388">
        <v>13.7</v>
      </c>
      <c r="FS39" s="388">
        <v>14.4</v>
      </c>
      <c r="FT39" s="388">
        <v>7.5</v>
      </c>
      <c r="FU39" s="388">
        <v>3.3</v>
      </c>
      <c r="FV39" s="388">
        <v>6.8</v>
      </c>
      <c r="FW39" s="272">
        <v>6722881</v>
      </c>
      <c r="FX39" s="384">
        <f t="shared" si="16"/>
        <v>117.7</v>
      </c>
      <c r="FY39" s="272">
        <v>3800523</v>
      </c>
      <c r="FZ39" s="272">
        <v>1215778</v>
      </c>
      <c r="GA39" s="272">
        <v>457100</v>
      </c>
      <c r="GB39" s="272">
        <v>2127645</v>
      </c>
      <c r="GC39" s="272"/>
      <c r="GD39" s="272"/>
      <c r="GE39" s="384"/>
      <c r="GF39" s="388">
        <v>98.8</v>
      </c>
      <c r="GG39" s="388">
        <v>18.2</v>
      </c>
      <c r="GH39" s="388">
        <v>94.8</v>
      </c>
      <c r="GI39" s="272">
        <v>272</v>
      </c>
    </row>
    <row r="40" spans="2:191" x14ac:dyDescent="0.15">
      <c r="B40" s="89" t="s">
        <v>73</v>
      </c>
      <c r="C40" s="272">
        <v>1285117</v>
      </c>
      <c r="D40" s="455">
        <f t="shared" si="0"/>
        <v>552000</v>
      </c>
      <c r="E40" s="272">
        <v>9609</v>
      </c>
      <c r="F40" s="272">
        <v>542391</v>
      </c>
      <c r="G40" s="455">
        <f t="shared" si="1"/>
        <v>48774</v>
      </c>
      <c r="H40" s="272">
        <v>18004</v>
      </c>
      <c r="I40" s="272">
        <v>30770</v>
      </c>
      <c r="J40" s="272">
        <v>602088</v>
      </c>
      <c r="K40" s="272">
        <v>176738</v>
      </c>
      <c r="L40" s="272">
        <v>329217</v>
      </c>
      <c r="M40" s="272">
        <v>95961</v>
      </c>
      <c r="N40" s="272">
        <v>55287</v>
      </c>
      <c r="O40" s="272">
        <v>0</v>
      </c>
      <c r="P40" s="272">
        <v>0</v>
      </c>
      <c r="Q40" s="272">
        <v>0</v>
      </c>
      <c r="R40" s="272">
        <v>67553</v>
      </c>
      <c r="S40" s="272"/>
      <c r="T40" s="455">
        <f t="shared" si="2"/>
        <v>243246</v>
      </c>
      <c r="U40" s="272">
        <v>18447</v>
      </c>
      <c r="V40" s="272"/>
      <c r="W40" s="272"/>
      <c r="X40" s="272">
        <v>121387</v>
      </c>
      <c r="Y40" s="272">
        <v>25749</v>
      </c>
      <c r="Z40" s="272">
        <v>1658</v>
      </c>
      <c r="AA40" s="272">
        <v>76005</v>
      </c>
      <c r="AB40" s="272"/>
      <c r="AC40" s="272">
        <v>2140804</v>
      </c>
      <c r="AD40" s="272">
        <v>1859970</v>
      </c>
      <c r="AE40" s="272">
        <v>280834</v>
      </c>
      <c r="AF40" s="272">
        <v>2884</v>
      </c>
      <c r="AG40" s="272">
        <v>14364</v>
      </c>
      <c r="AH40" s="455">
        <f t="shared" si="3"/>
        <v>135494</v>
      </c>
      <c r="AI40" s="272">
        <v>81245</v>
      </c>
      <c r="AJ40" s="272">
        <v>54249</v>
      </c>
      <c r="AK40" s="272">
        <v>174805</v>
      </c>
      <c r="AL40" s="455">
        <f t="shared" si="4"/>
        <v>51669</v>
      </c>
      <c r="AM40" s="272">
        <v>0</v>
      </c>
      <c r="AN40" s="272">
        <v>29749</v>
      </c>
      <c r="AO40" s="272">
        <v>0</v>
      </c>
      <c r="AP40" s="272">
        <v>21920</v>
      </c>
      <c r="AQ40" s="272">
        <v>56000</v>
      </c>
      <c r="AR40" s="272">
        <v>6819</v>
      </c>
      <c r="AS40" s="272">
        <v>0</v>
      </c>
      <c r="AT40" s="272">
        <v>707359</v>
      </c>
      <c r="AU40" s="272">
        <v>242032</v>
      </c>
      <c r="AV40" s="272">
        <v>8600</v>
      </c>
      <c r="AW40" s="272">
        <v>116092</v>
      </c>
      <c r="AX40" s="272">
        <v>465327</v>
      </c>
      <c r="AY40" s="272">
        <v>340387</v>
      </c>
      <c r="AZ40" s="272">
        <v>11974</v>
      </c>
      <c r="BA40" s="272">
        <v>0</v>
      </c>
      <c r="BB40" s="272">
        <v>244</v>
      </c>
      <c r="BC40" s="272">
        <v>277964</v>
      </c>
      <c r="BD40" s="272">
        <v>100000</v>
      </c>
      <c r="BE40" s="272">
        <v>0</v>
      </c>
      <c r="BF40" s="272">
        <v>129650</v>
      </c>
      <c r="BG40" s="272">
        <v>0</v>
      </c>
      <c r="BH40" s="272">
        <v>252093</v>
      </c>
      <c r="BI40" s="272">
        <v>162765</v>
      </c>
      <c r="BJ40" s="272">
        <v>54271</v>
      </c>
      <c r="BK40" s="272">
        <v>626</v>
      </c>
      <c r="BL40" s="272">
        <v>0</v>
      </c>
      <c r="BM40" s="272">
        <v>0</v>
      </c>
      <c r="BN40" s="272">
        <v>1144200</v>
      </c>
      <c r="BO40" s="455">
        <f t="shared" si="5"/>
        <v>1059900</v>
      </c>
      <c r="BP40" s="455">
        <f t="shared" si="6"/>
        <v>84300</v>
      </c>
      <c r="BQ40" s="272">
        <v>84300</v>
      </c>
      <c r="BR40" s="272">
        <v>0</v>
      </c>
      <c r="BS40" s="272">
        <v>0</v>
      </c>
      <c r="BT40" s="272">
        <v>0</v>
      </c>
      <c r="BU40" s="272">
        <v>6512372</v>
      </c>
      <c r="BV40" s="272"/>
      <c r="BW40" s="272">
        <v>1470503</v>
      </c>
      <c r="BX40" s="272">
        <v>1005278</v>
      </c>
      <c r="BY40" s="272">
        <v>59145</v>
      </c>
      <c r="BZ40" s="272">
        <v>83145</v>
      </c>
      <c r="CA40" s="272">
        <v>211064</v>
      </c>
      <c r="CB40" s="272">
        <v>48727</v>
      </c>
      <c r="CC40" s="272">
        <v>100529</v>
      </c>
      <c r="CD40" s="272">
        <v>41804</v>
      </c>
      <c r="CE40" s="272">
        <v>0</v>
      </c>
      <c r="CF40" s="272">
        <v>5673</v>
      </c>
      <c r="CG40" s="272">
        <v>14331</v>
      </c>
      <c r="CH40" s="272">
        <v>355064</v>
      </c>
      <c r="CI40" s="272">
        <v>242801</v>
      </c>
      <c r="CJ40" s="455">
        <f t="shared" si="7"/>
        <v>112263</v>
      </c>
      <c r="CK40" s="272">
        <v>918940</v>
      </c>
      <c r="CL40" s="272">
        <v>517036</v>
      </c>
      <c r="CM40" s="272">
        <v>30420</v>
      </c>
      <c r="CN40" s="272">
        <v>208202</v>
      </c>
      <c r="CO40" s="272">
        <v>43408</v>
      </c>
      <c r="CP40" s="272">
        <v>484590</v>
      </c>
      <c r="CQ40" s="272">
        <v>215906</v>
      </c>
      <c r="CR40" s="272">
        <v>118646</v>
      </c>
      <c r="CS40" s="272">
        <v>112374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2084696</v>
      </c>
      <c r="DD40" s="272">
        <v>340808</v>
      </c>
      <c r="DE40" s="272">
        <v>1687294</v>
      </c>
      <c r="DF40" s="272">
        <v>56594</v>
      </c>
      <c r="DG40" s="272">
        <v>0</v>
      </c>
      <c r="DH40" s="272">
        <v>76702</v>
      </c>
      <c r="DI40" s="272">
        <v>350016</v>
      </c>
      <c r="DJ40" s="272">
        <v>127799</v>
      </c>
      <c r="DK40" s="272">
        <v>0</v>
      </c>
      <c r="DL40" s="272">
        <v>222217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323992</v>
      </c>
      <c r="DU40" s="272">
        <v>79619</v>
      </c>
      <c r="DV40" s="455">
        <f t="shared" si="11"/>
        <v>0</v>
      </c>
      <c r="DW40" s="272">
        <v>0</v>
      </c>
      <c r="DX40" s="272">
        <v>0</v>
      </c>
      <c r="DY40" s="272">
        <v>0</v>
      </c>
      <c r="DZ40" s="272">
        <v>86256</v>
      </c>
      <c r="EA40" s="272">
        <v>73905</v>
      </c>
      <c r="EB40" s="272"/>
      <c r="EC40" s="272">
        <v>0</v>
      </c>
      <c r="ED40" s="272">
        <v>6318975</v>
      </c>
      <c r="EE40" s="89"/>
      <c r="EF40" s="272">
        <v>193397</v>
      </c>
      <c r="EG40" s="272">
        <v>51888</v>
      </c>
      <c r="EH40" s="272">
        <v>141509</v>
      </c>
      <c r="EI40" s="272">
        <v>-21256</v>
      </c>
      <c r="EJ40" s="272">
        <v>8338</v>
      </c>
      <c r="EK40" s="89"/>
      <c r="EL40" s="272"/>
      <c r="EM40" s="272">
        <v>14919</v>
      </c>
      <c r="EN40" s="272">
        <v>178314</v>
      </c>
      <c r="EO40" s="272">
        <v>226</v>
      </c>
      <c r="EP40" s="455">
        <f t="shared" si="12"/>
        <v>228521</v>
      </c>
      <c r="EQ40" s="272">
        <v>3739604</v>
      </c>
      <c r="ER40" s="272">
        <v>-488477</v>
      </c>
      <c r="ES40" s="272">
        <v>1376001</v>
      </c>
      <c r="ET40" s="272">
        <v>915377</v>
      </c>
      <c r="EU40" s="272">
        <v>91190</v>
      </c>
      <c r="EV40" s="272">
        <v>346545</v>
      </c>
      <c r="EW40" s="455">
        <f t="shared" si="13"/>
        <v>445926</v>
      </c>
      <c r="EX40" s="272">
        <v>416117</v>
      </c>
      <c r="EY40" s="272">
        <v>17393</v>
      </c>
      <c r="EZ40" s="272">
        <v>382130</v>
      </c>
      <c r="FA40" s="272">
        <v>29809</v>
      </c>
      <c r="FB40" s="272"/>
      <c r="FC40" s="272">
        <v>716656</v>
      </c>
      <c r="FD40" s="272">
        <v>369593</v>
      </c>
      <c r="FE40" s="272">
        <v>165151</v>
      </c>
      <c r="FF40" s="272">
        <v>306947</v>
      </c>
      <c r="FG40" s="455">
        <f t="shared" si="14"/>
        <v>381826</v>
      </c>
      <c r="FH40" s="272">
        <v>4034684</v>
      </c>
      <c r="FI40" s="384">
        <f t="shared" si="15"/>
        <v>3.9</v>
      </c>
      <c r="FJ40" s="272">
        <v>3620674</v>
      </c>
      <c r="FK40" s="272"/>
      <c r="FL40" s="272">
        <v>1338451</v>
      </c>
      <c r="FM40" s="272">
        <v>3200442</v>
      </c>
      <c r="FN40" s="460">
        <v>0.41799999999999998</v>
      </c>
      <c r="FO40" s="388">
        <v>82.2</v>
      </c>
      <c r="FP40" s="388">
        <v>39.5</v>
      </c>
      <c r="FQ40" s="388">
        <v>2.6</v>
      </c>
      <c r="FR40" s="388">
        <v>9.9</v>
      </c>
      <c r="FS40" s="388">
        <v>17.100000000000001</v>
      </c>
      <c r="FT40" s="388">
        <v>7.4</v>
      </c>
      <c r="FU40" s="388">
        <v>4.4000000000000004</v>
      </c>
      <c r="FV40" s="388">
        <v>5.0999999999999996</v>
      </c>
      <c r="FW40" s="272">
        <v>3559809</v>
      </c>
      <c r="FX40" s="384">
        <f t="shared" si="16"/>
        <v>98.3</v>
      </c>
      <c r="FY40" s="272">
        <v>1981317</v>
      </c>
      <c r="FZ40" s="272">
        <v>1272958</v>
      </c>
      <c r="GA40" s="272"/>
      <c r="GB40" s="272">
        <v>708359</v>
      </c>
      <c r="GC40" s="272"/>
      <c r="GD40" s="272"/>
      <c r="GE40" s="384"/>
      <c r="GF40" s="388">
        <v>94.9</v>
      </c>
      <c r="GG40" s="388">
        <v>15.4</v>
      </c>
      <c r="GH40" s="388">
        <v>86</v>
      </c>
      <c r="GI40" s="272">
        <v>170</v>
      </c>
    </row>
    <row r="41" spans="2:191" x14ac:dyDescent="0.15">
      <c r="B41" s="89" t="s">
        <v>75</v>
      </c>
      <c r="C41" s="272">
        <v>2671097</v>
      </c>
      <c r="D41" s="455">
        <f t="shared" si="0"/>
        <v>695178</v>
      </c>
      <c r="E41" s="272">
        <v>12201</v>
      </c>
      <c r="F41" s="272">
        <v>682977</v>
      </c>
      <c r="G41" s="455">
        <f t="shared" si="1"/>
        <v>131050</v>
      </c>
      <c r="H41" s="272">
        <v>45446</v>
      </c>
      <c r="I41" s="272">
        <v>85604</v>
      </c>
      <c r="J41" s="272">
        <v>1397458</v>
      </c>
      <c r="K41" s="272">
        <v>785035</v>
      </c>
      <c r="L41" s="272">
        <v>408331</v>
      </c>
      <c r="M41" s="272">
        <v>198898</v>
      </c>
      <c r="N41" s="272">
        <v>112619</v>
      </c>
      <c r="O41" s="272">
        <v>317705</v>
      </c>
      <c r="P41" s="272">
        <v>226501</v>
      </c>
      <c r="Q41" s="272">
        <v>91204</v>
      </c>
      <c r="R41" s="272">
        <v>39233</v>
      </c>
      <c r="S41" s="272"/>
      <c r="T41" s="455">
        <f t="shared" si="2"/>
        <v>259870</v>
      </c>
      <c r="U41" s="272">
        <v>23251</v>
      </c>
      <c r="V41" s="272"/>
      <c r="W41" s="272"/>
      <c r="X41" s="272">
        <v>192471</v>
      </c>
      <c r="Y41" s="272">
        <v>0</v>
      </c>
      <c r="Z41" s="272">
        <v>164</v>
      </c>
      <c r="AA41" s="272">
        <v>43984</v>
      </c>
      <c r="AB41" s="272"/>
      <c r="AC41" s="272">
        <v>1717458</v>
      </c>
      <c r="AD41" s="272">
        <v>1377355</v>
      </c>
      <c r="AE41" s="272">
        <v>340103</v>
      </c>
      <c r="AF41" s="272">
        <v>4088</v>
      </c>
      <c r="AG41" s="272">
        <v>33270</v>
      </c>
      <c r="AH41" s="455">
        <f t="shared" si="3"/>
        <v>155265</v>
      </c>
      <c r="AI41" s="272">
        <v>138772</v>
      </c>
      <c r="AJ41" s="272">
        <v>16493</v>
      </c>
      <c r="AK41" s="272">
        <v>299790</v>
      </c>
      <c r="AL41" s="455">
        <f t="shared" si="4"/>
        <v>87970</v>
      </c>
      <c r="AM41" s="272">
        <v>0</v>
      </c>
      <c r="AN41" s="272">
        <v>49336</v>
      </c>
      <c r="AO41" s="272">
        <v>0</v>
      </c>
      <c r="AP41" s="272">
        <v>38634</v>
      </c>
      <c r="AQ41" s="272">
        <v>47030</v>
      </c>
      <c r="AR41" s="272">
        <v>0</v>
      </c>
      <c r="AS41" s="272">
        <v>0</v>
      </c>
      <c r="AT41" s="272">
        <v>398051</v>
      </c>
      <c r="AU41" s="272">
        <v>124113</v>
      </c>
      <c r="AV41" s="272">
        <v>24470</v>
      </c>
      <c r="AW41" s="272">
        <v>5534</v>
      </c>
      <c r="AX41" s="272">
        <v>273938</v>
      </c>
      <c r="AY41" s="272">
        <v>94147</v>
      </c>
      <c r="AZ41" s="272">
        <v>21623</v>
      </c>
      <c r="BA41" s="272">
        <v>0</v>
      </c>
      <c r="BB41" s="272">
        <v>9426</v>
      </c>
      <c r="BC41" s="272">
        <v>281024</v>
      </c>
      <c r="BD41" s="272">
        <v>280000</v>
      </c>
      <c r="BE41" s="272">
        <v>0</v>
      </c>
      <c r="BF41" s="272">
        <v>1000</v>
      </c>
      <c r="BG41" s="272">
        <v>0</v>
      </c>
      <c r="BH41" s="272">
        <v>20473</v>
      </c>
      <c r="BI41" s="272">
        <v>20473</v>
      </c>
      <c r="BJ41" s="272">
        <v>274168</v>
      </c>
      <c r="BK41" s="272">
        <v>208084</v>
      </c>
      <c r="BL41" s="272">
        <v>0</v>
      </c>
      <c r="BM41" s="272">
        <v>0</v>
      </c>
      <c r="BN41" s="272">
        <v>184000</v>
      </c>
      <c r="BO41" s="455">
        <f t="shared" si="5"/>
        <v>90600</v>
      </c>
      <c r="BP41" s="455">
        <f t="shared" si="6"/>
        <v>93400</v>
      </c>
      <c r="BQ41" s="272">
        <v>93400</v>
      </c>
      <c r="BR41" s="272">
        <v>0</v>
      </c>
      <c r="BS41" s="272">
        <v>0</v>
      </c>
      <c r="BT41" s="272">
        <v>0</v>
      </c>
      <c r="BU41" s="272">
        <v>6368836</v>
      </c>
      <c r="BV41" s="272"/>
      <c r="BW41" s="272">
        <v>1888737</v>
      </c>
      <c r="BX41" s="272">
        <v>1341003</v>
      </c>
      <c r="BY41" s="272">
        <v>131757</v>
      </c>
      <c r="BZ41" s="272">
        <v>12621</v>
      </c>
      <c r="CA41" s="272">
        <v>331466</v>
      </c>
      <c r="CB41" s="272">
        <v>90049</v>
      </c>
      <c r="CC41" s="272">
        <v>214593</v>
      </c>
      <c r="CD41" s="272">
        <v>21835</v>
      </c>
      <c r="CE41" s="272">
        <v>0</v>
      </c>
      <c r="CF41" s="272">
        <v>17</v>
      </c>
      <c r="CG41" s="272">
        <v>4972</v>
      </c>
      <c r="CH41" s="272">
        <v>792142</v>
      </c>
      <c r="CI41" s="272">
        <v>531127</v>
      </c>
      <c r="CJ41" s="455">
        <f t="shared" si="7"/>
        <v>261015</v>
      </c>
      <c r="CK41" s="272">
        <v>1287124</v>
      </c>
      <c r="CL41" s="272">
        <v>727628</v>
      </c>
      <c r="CM41" s="272">
        <v>97659</v>
      </c>
      <c r="CN41" s="272">
        <v>304339</v>
      </c>
      <c r="CO41" s="272">
        <v>41987</v>
      </c>
      <c r="CP41" s="272">
        <v>502712</v>
      </c>
      <c r="CQ41" s="272">
        <v>3762</v>
      </c>
      <c r="CR41" s="272">
        <v>56213</v>
      </c>
      <c r="CS41" s="272">
        <v>56213</v>
      </c>
      <c r="CT41" s="455">
        <f t="shared" si="8"/>
        <v>208332</v>
      </c>
      <c r="CU41" s="272">
        <v>120724</v>
      </c>
      <c r="CV41" s="272">
        <v>87608</v>
      </c>
      <c r="CW41" s="455">
        <f t="shared" si="9"/>
        <v>148332</v>
      </c>
      <c r="CX41" s="272">
        <v>120030</v>
      </c>
      <c r="CY41" s="272">
        <v>28302</v>
      </c>
      <c r="CZ41" s="455">
        <f t="shared" si="10"/>
        <v>0</v>
      </c>
      <c r="DA41" s="272">
        <v>0</v>
      </c>
      <c r="DB41" s="272">
        <v>0</v>
      </c>
      <c r="DC41" s="272">
        <v>398330</v>
      </c>
      <c r="DD41" s="272">
        <v>120650</v>
      </c>
      <c r="DE41" s="272">
        <v>232921</v>
      </c>
      <c r="DF41" s="272">
        <v>44759</v>
      </c>
      <c r="DG41" s="272">
        <v>0</v>
      </c>
      <c r="DH41" s="272">
        <v>1</v>
      </c>
      <c r="DI41" s="272">
        <v>33476</v>
      </c>
      <c r="DJ41" s="272">
        <v>24322</v>
      </c>
      <c r="DK41" s="272">
        <v>0</v>
      </c>
      <c r="DL41" s="272">
        <v>9154</v>
      </c>
      <c r="DM41" s="272">
        <v>0</v>
      </c>
      <c r="DN41" s="272">
        <v>0</v>
      </c>
      <c r="DO41" s="272">
        <v>0</v>
      </c>
      <c r="DP41" s="272">
        <v>0</v>
      </c>
      <c r="DQ41" s="272">
        <v>168</v>
      </c>
      <c r="DR41" s="272">
        <v>0</v>
      </c>
      <c r="DS41" s="272">
        <v>0</v>
      </c>
      <c r="DT41" s="272">
        <v>977831</v>
      </c>
      <c r="DU41" s="272">
        <v>700000</v>
      </c>
      <c r="DV41" s="455">
        <f t="shared" si="11"/>
        <v>0</v>
      </c>
      <c r="DW41" s="272">
        <v>0</v>
      </c>
      <c r="DX41" s="272">
        <v>0</v>
      </c>
      <c r="DY41" s="272">
        <v>0</v>
      </c>
      <c r="DZ41" s="272">
        <v>191618</v>
      </c>
      <c r="EA41" s="272">
        <v>86213</v>
      </c>
      <c r="EB41" s="272"/>
      <c r="EC41" s="272">
        <v>0</v>
      </c>
      <c r="ED41" s="272">
        <v>6253974</v>
      </c>
      <c r="EE41" s="89"/>
      <c r="EF41" s="272">
        <v>114862</v>
      </c>
      <c r="EG41" s="272">
        <v>103321</v>
      </c>
      <c r="EH41" s="272">
        <v>11541</v>
      </c>
      <c r="EI41" s="272">
        <v>-8932</v>
      </c>
      <c r="EJ41" s="272">
        <v>-264610</v>
      </c>
      <c r="EK41" s="89"/>
      <c r="EL41" s="272"/>
      <c r="EM41" s="272">
        <v>16723</v>
      </c>
      <c r="EN41" s="272">
        <v>280024</v>
      </c>
      <c r="EO41" s="272">
        <v>630</v>
      </c>
      <c r="EP41" s="455">
        <f t="shared" si="12"/>
        <v>61287</v>
      </c>
      <c r="EQ41" s="272">
        <v>4691746</v>
      </c>
      <c r="ER41" s="272">
        <v>-431253</v>
      </c>
      <c r="ES41" s="272">
        <v>1725138</v>
      </c>
      <c r="ET41" s="272">
        <v>1190813</v>
      </c>
      <c r="EU41" s="272">
        <v>114614</v>
      </c>
      <c r="EV41" s="272">
        <v>584437</v>
      </c>
      <c r="EW41" s="455">
        <f t="shared" si="13"/>
        <v>152880</v>
      </c>
      <c r="EX41" s="272">
        <v>152879</v>
      </c>
      <c r="EY41" s="272">
        <v>10316</v>
      </c>
      <c r="EZ41" s="272">
        <v>142474</v>
      </c>
      <c r="FA41" s="272">
        <v>1</v>
      </c>
      <c r="FB41" s="272"/>
      <c r="FC41" s="272">
        <v>1042154</v>
      </c>
      <c r="FD41" s="272">
        <v>442619</v>
      </c>
      <c r="FE41" s="272">
        <v>3762</v>
      </c>
      <c r="FF41" s="272">
        <v>950190</v>
      </c>
      <c r="FG41" s="455">
        <f t="shared" si="14"/>
        <v>52105</v>
      </c>
      <c r="FH41" s="272">
        <v>5064137</v>
      </c>
      <c r="FI41" s="384">
        <f t="shared" si="15"/>
        <v>0.3</v>
      </c>
      <c r="FJ41" s="272">
        <v>4226815</v>
      </c>
      <c r="FK41" s="272"/>
      <c r="FL41" s="272">
        <v>2148128</v>
      </c>
      <c r="FM41" s="272">
        <v>3525815</v>
      </c>
      <c r="FN41" s="460">
        <v>0.61099999999999999</v>
      </c>
      <c r="FO41" s="388">
        <v>105.4</v>
      </c>
      <c r="FP41" s="388">
        <v>40</v>
      </c>
      <c r="FQ41" s="388">
        <v>2.8</v>
      </c>
      <c r="FR41" s="388">
        <v>14.4</v>
      </c>
      <c r="FS41" s="388">
        <v>24.2</v>
      </c>
      <c r="FT41" s="388">
        <v>8.9</v>
      </c>
      <c r="FU41" s="388">
        <v>14</v>
      </c>
      <c r="FV41" s="388">
        <v>8.6</v>
      </c>
      <c r="FW41" s="272">
        <v>9168953</v>
      </c>
      <c r="FX41" s="384">
        <f t="shared" si="16"/>
        <v>216.9</v>
      </c>
      <c r="FY41" s="272">
        <v>1713289</v>
      </c>
      <c r="FZ41" s="272">
        <v>1054362</v>
      </c>
      <c r="GA41" s="272"/>
      <c r="GB41" s="272">
        <v>658927</v>
      </c>
      <c r="GC41" s="272"/>
      <c r="GD41" s="272"/>
      <c r="GE41" s="384"/>
      <c r="GF41" s="388">
        <v>96.5</v>
      </c>
      <c r="GG41" s="388">
        <v>15.9</v>
      </c>
      <c r="GH41" s="388">
        <v>87.6</v>
      </c>
      <c r="GI41" s="272">
        <v>195</v>
      </c>
    </row>
    <row r="42" spans="2:191" x14ac:dyDescent="0.15">
      <c r="B42" s="89" t="s">
        <v>77</v>
      </c>
      <c r="C42" s="272">
        <v>4814916</v>
      </c>
      <c r="D42" s="455">
        <f t="shared" si="0"/>
        <v>2375435</v>
      </c>
      <c r="E42" s="272">
        <v>29156</v>
      </c>
      <c r="F42" s="272">
        <v>2346279</v>
      </c>
      <c r="G42" s="455">
        <f t="shared" si="1"/>
        <v>263081</v>
      </c>
      <c r="H42" s="272">
        <v>49382</v>
      </c>
      <c r="I42" s="272">
        <v>213699</v>
      </c>
      <c r="J42" s="272">
        <v>1968868</v>
      </c>
      <c r="K42" s="272">
        <v>906237</v>
      </c>
      <c r="L42" s="272">
        <v>825617</v>
      </c>
      <c r="M42" s="272">
        <v>224758</v>
      </c>
      <c r="N42" s="272">
        <v>157941</v>
      </c>
      <c r="O42" s="272">
        <v>0</v>
      </c>
      <c r="P42" s="272">
        <v>0</v>
      </c>
      <c r="Q42" s="272">
        <v>0</v>
      </c>
      <c r="R42" s="272">
        <v>90057</v>
      </c>
      <c r="S42" s="272"/>
      <c r="T42" s="455">
        <f t="shared" si="2"/>
        <v>511169</v>
      </c>
      <c r="U42" s="272">
        <v>71226</v>
      </c>
      <c r="V42" s="272"/>
      <c r="W42" s="272"/>
      <c r="X42" s="272">
        <v>325753</v>
      </c>
      <c r="Y42" s="272">
        <v>12611</v>
      </c>
      <c r="Z42" s="272">
        <v>535</v>
      </c>
      <c r="AA42" s="272">
        <v>101044</v>
      </c>
      <c r="AB42" s="272"/>
      <c r="AC42" s="272">
        <v>2192391</v>
      </c>
      <c r="AD42" s="272">
        <v>1947682</v>
      </c>
      <c r="AE42" s="272">
        <v>244709</v>
      </c>
      <c r="AF42" s="272">
        <v>9622</v>
      </c>
      <c r="AG42" s="272">
        <v>61738</v>
      </c>
      <c r="AH42" s="455">
        <f t="shared" si="3"/>
        <v>180088</v>
      </c>
      <c r="AI42" s="272">
        <v>153297</v>
      </c>
      <c r="AJ42" s="272">
        <v>26791</v>
      </c>
      <c r="AK42" s="272">
        <v>780764</v>
      </c>
      <c r="AL42" s="455">
        <f t="shared" si="4"/>
        <v>173710</v>
      </c>
      <c r="AM42" s="272">
        <v>0</v>
      </c>
      <c r="AN42" s="272">
        <v>81963</v>
      </c>
      <c r="AO42" s="272">
        <v>0</v>
      </c>
      <c r="AP42" s="272">
        <v>91747</v>
      </c>
      <c r="AQ42" s="272">
        <v>206931</v>
      </c>
      <c r="AR42" s="272">
        <v>594</v>
      </c>
      <c r="AS42" s="272">
        <v>0</v>
      </c>
      <c r="AT42" s="272">
        <v>642314</v>
      </c>
      <c r="AU42" s="272">
        <v>195044</v>
      </c>
      <c r="AV42" s="272">
        <v>40658</v>
      </c>
      <c r="AW42" s="272">
        <v>9504</v>
      </c>
      <c r="AX42" s="272">
        <v>447270</v>
      </c>
      <c r="AY42" s="272">
        <v>140275</v>
      </c>
      <c r="AZ42" s="272">
        <v>149506</v>
      </c>
      <c r="BA42" s="272">
        <v>0</v>
      </c>
      <c r="BB42" s="272">
        <v>253347</v>
      </c>
      <c r="BC42" s="272">
        <v>2645598</v>
      </c>
      <c r="BD42" s="272">
        <v>0</v>
      </c>
      <c r="BE42" s="272">
        <v>0</v>
      </c>
      <c r="BF42" s="272">
        <v>2630000</v>
      </c>
      <c r="BG42" s="272">
        <v>0</v>
      </c>
      <c r="BH42" s="272">
        <v>395808</v>
      </c>
      <c r="BI42" s="272">
        <v>329908</v>
      </c>
      <c r="BJ42" s="272">
        <v>67753</v>
      </c>
      <c r="BK42" s="272">
        <v>0</v>
      </c>
      <c r="BL42" s="272">
        <v>0</v>
      </c>
      <c r="BM42" s="272">
        <v>0</v>
      </c>
      <c r="BN42" s="272">
        <v>1020600</v>
      </c>
      <c r="BO42" s="455">
        <f t="shared" si="5"/>
        <v>753900</v>
      </c>
      <c r="BP42" s="455">
        <f t="shared" si="6"/>
        <v>266700</v>
      </c>
      <c r="BQ42" s="272">
        <v>266700</v>
      </c>
      <c r="BR42" s="272">
        <v>0</v>
      </c>
      <c r="BS42" s="272">
        <v>0</v>
      </c>
      <c r="BT42" s="272">
        <v>0</v>
      </c>
      <c r="BU42" s="272">
        <v>13815671</v>
      </c>
      <c r="BV42" s="272"/>
      <c r="BW42" s="272">
        <v>3116045</v>
      </c>
      <c r="BX42" s="272">
        <v>2401917</v>
      </c>
      <c r="BY42" s="272">
        <v>75600</v>
      </c>
      <c r="BZ42" s="272">
        <v>43004</v>
      </c>
      <c r="CA42" s="272">
        <v>845032</v>
      </c>
      <c r="CB42" s="272">
        <v>111690</v>
      </c>
      <c r="CC42" s="272">
        <v>452876</v>
      </c>
      <c r="CD42" s="272">
        <v>255927</v>
      </c>
      <c r="CE42" s="272">
        <v>0</v>
      </c>
      <c r="CF42" s="272">
        <v>0</v>
      </c>
      <c r="CG42" s="272">
        <v>24539</v>
      </c>
      <c r="CH42" s="272">
        <v>1360583</v>
      </c>
      <c r="CI42" s="272">
        <v>835060</v>
      </c>
      <c r="CJ42" s="455">
        <f t="shared" si="7"/>
        <v>525523</v>
      </c>
      <c r="CK42" s="272">
        <v>1846057</v>
      </c>
      <c r="CL42" s="272">
        <v>789076</v>
      </c>
      <c r="CM42" s="272">
        <v>142786</v>
      </c>
      <c r="CN42" s="272">
        <v>458533</v>
      </c>
      <c r="CO42" s="272">
        <v>171177</v>
      </c>
      <c r="CP42" s="272">
        <v>381852</v>
      </c>
      <c r="CQ42" s="272">
        <v>1557</v>
      </c>
      <c r="CR42" s="272">
        <v>200462</v>
      </c>
      <c r="CS42" s="272">
        <v>200384</v>
      </c>
      <c r="CT42" s="455">
        <f t="shared" si="8"/>
        <v>10136</v>
      </c>
      <c r="CU42" s="272">
        <v>8566</v>
      </c>
      <c r="CV42" s="272">
        <v>1570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4307124</v>
      </c>
      <c r="DD42" s="272">
        <v>526927</v>
      </c>
      <c r="DE42" s="272">
        <v>3713477</v>
      </c>
      <c r="DF42" s="272">
        <v>66720</v>
      </c>
      <c r="DG42" s="272">
        <v>0</v>
      </c>
      <c r="DH42" s="272">
        <v>16546</v>
      </c>
      <c r="DI42" s="272">
        <v>455265</v>
      </c>
      <c r="DJ42" s="272">
        <v>150000</v>
      </c>
      <c r="DK42" s="272">
        <v>8364</v>
      </c>
      <c r="DL42" s="272">
        <v>296901</v>
      </c>
      <c r="DM42" s="272">
        <v>14900</v>
      </c>
      <c r="DN42" s="272">
        <v>13900</v>
      </c>
      <c r="DO42" s="272">
        <v>13900</v>
      </c>
      <c r="DP42" s="272">
        <v>0</v>
      </c>
      <c r="DQ42" s="272">
        <v>0</v>
      </c>
      <c r="DR42" s="272">
        <v>0</v>
      </c>
      <c r="DS42" s="272">
        <v>0</v>
      </c>
      <c r="DT42" s="272">
        <v>854453</v>
      </c>
      <c r="DU42" s="272">
        <v>488100</v>
      </c>
      <c r="DV42" s="455">
        <f t="shared" si="11"/>
        <v>0</v>
      </c>
      <c r="DW42" s="272">
        <v>0</v>
      </c>
      <c r="DX42" s="272">
        <v>0</v>
      </c>
      <c r="DY42" s="272">
        <v>0</v>
      </c>
      <c r="DZ42" s="272">
        <v>189996</v>
      </c>
      <c r="EA42" s="272">
        <v>172873</v>
      </c>
      <c r="EB42" s="272"/>
      <c r="EC42" s="272">
        <v>0</v>
      </c>
      <c r="ED42" s="272">
        <v>13369034</v>
      </c>
      <c r="EE42" s="89"/>
      <c r="EF42" s="272">
        <v>446637</v>
      </c>
      <c r="EG42" s="272">
        <v>147698</v>
      </c>
      <c r="EH42" s="272">
        <v>298939</v>
      </c>
      <c r="EI42" s="272">
        <v>-30969</v>
      </c>
      <c r="EJ42" s="272">
        <v>119031</v>
      </c>
      <c r="EK42" s="89"/>
      <c r="EL42" s="272"/>
      <c r="EM42" s="272">
        <v>42086</v>
      </c>
      <c r="EN42" s="272">
        <v>15598</v>
      </c>
      <c r="EO42" s="272">
        <v>82876</v>
      </c>
      <c r="EP42" s="455">
        <f t="shared" si="12"/>
        <v>694173</v>
      </c>
      <c r="EQ42" s="272">
        <v>7618155</v>
      </c>
      <c r="ER42" s="272">
        <v>-1049725</v>
      </c>
      <c r="ES42" s="272">
        <v>2856138</v>
      </c>
      <c r="ET42" s="272">
        <v>2146825</v>
      </c>
      <c r="EU42" s="272">
        <v>359469</v>
      </c>
      <c r="EV42" s="272">
        <v>1360583</v>
      </c>
      <c r="EW42" s="455">
        <f t="shared" si="13"/>
        <v>530354</v>
      </c>
      <c r="EX42" s="272">
        <v>514402</v>
      </c>
      <c r="EY42" s="272">
        <v>14748</v>
      </c>
      <c r="EZ42" s="272">
        <v>454834</v>
      </c>
      <c r="FA42" s="272">
        <v>15952</v>
      </c>
      <c r="FB42" s="272"/>
      <c r="FC42" s="272">
        <v>1525404</v>
      </c>
      <c r="FD42" s="272">
        <v>359110</v>
      </c>
      <c r="FE42" s="272">
        <v>1557</v>
      </c>
      <c r="FF42" s="272">
        <v>808952</v>
      </c>
      <c r="FG42" s="455">
        <f t="shared" si="14"/>
        <v>563373</v>
      </c>
      <c r="FH42" s="272">
        <v>8363383</v>
      </c>
      <c r="FI42" s="384">
        <f t="shared" si="15"/>
        <v>3.8</v>
      </c>
      <c r="FJ42" s="272">
        <v>7948945</v>
      </c>
      <c r="FK42" s="272"/>
      <c r="FL42" s="272">
        <v>4525878</v>
      </c>
      <c r="FM42" s="272">
        <v>6477650</v>
      </c>
      <c r="FN42" s="460">
        <v>0.70899999999999996</v>
      </c>
      <c r="FO42" s="388">
        <v>87.1</v>
      </c>
      <c r="FP42" s="388">
        <v>38.1</v>
      </c>
      <c r="FQ42" s="388">
        <v>3.3</v>
      </c>
      <c r="FR42" s="388">
        <v>18.2</v>
      </c>
      <c r="FS42" s="388">
        <v>16.5</v>
      </c>
      <c r="FT42" s="388">
        <v>4.2</v>
      </c>
      <c r="FU42" s="388">
        <v>4.4000000000000004</v>
      </c>
      <c r="FV42" s="388">
        <v>10.8</v>
      </c>
      <c r="FW42" s="272">
        <v>12918647</v>
      </c>
      <c r="FX42" s="384">
        <f t="shared" si="16"/>
        <v>162.5</v>
      </c>
      <c r="FY42" s="272">
        <v>10416965</v>
      </c>
      <c r="FZ42" s="272">
        <v>1510158</v>
      </c>
      <c r="GA42" s="272">
        <v>1203207</v>
      </c>
      <c r="GB42" s="272">
        <v>7703600</v>
      </c>
      <c r="GC42" s="272"/>
      <c r="GD42" s="272">
        <v>2639052</v>
      </c>
      <c r="GE42" s="384">
        <f>ROUND(GD42/FJ42*100,1)</f>
        <v>33.200000000000003</v>
      </c>
      <c r="GF42" s="388">
        <v>96.7</v>
      </c>
      <c r="GG42" s="388">
        <v>14.5</v>
      </c>
      <c r="GH42" s="388">
        <v>88</v>
      </c>
      <c r="GI42" s="272">
        <v>380</v>
      </c>
    </row>
    <row r="43" spans="2:191" x14ac:dyDescent="0.15">
      <c r="B43" s="89" t="s">
        <v>79</v>
      </c>
      <c r="C43" s="272">
        <v>4100803</v>
      </c>
      <c r="D43" s="455">
        <f t="shared" si="0"/>
        <v>267326</v>
      </c>
      <c r="E43" s="272">
        <v>5272</v>
      </c>
      <c r="F43" s="272">
        <v>262054</v>
      </c>
      <c r="G43" s="455">
        <f t="shared" si="1"/>
        <v>114951</v>
      </c>
      <c r="H43" s="272">
        <v>44858</v>
      </c>
      <c r="I43" s="272">
        <v>70093</v>
      </c>
      <c r="J43" s="272">
        <v>3601928</v>
      </c>
      <c r="K43" s="272">
        <v>2224947</v>
      </c>
      <c r="L43" s="272">
        <v>926688</v>
      </c>
      <c r="M43" s="272">
        <v>421385</v>
      </c>
      <c r="N43" s="272">
        <v>66660</v>
      </c>
      <c r="O43" s="272">
        <v>0</v>
      </c>
      <c r="P43" s="272">
        <v>0</v>
      </c>
      <c r="Q43" s="272">
        <v>0</v>
      </c>
      <c r="R43" s="272">
        <v>61399</v>
      </c>
      <c r="S43" s="272"/>
      <c r="T43" s="455">
        <f t="shared" si="2"/>
        <v>139741</v>
      </c>
      <c r="U43" s="272">
        <v>8205</v>
      </c>
      <c r="V43" s="272"/>
      <c r="W43" s="272"/>
      <c r="X43" s="272">
        <v>107634</v>
      </c>
      <c r="Y43" s="272">
        <v>0</v>
      </c>
      <c r="Z43" s="272">
        <v>7903</v>
      </c>
      <c r="AA43" s="272">
        <v>15999</v>
      </c>
      <c r="AB43" s="272"/>
      <c r="AC43" s="272">
        <v>23691</v>
      </c>
      <c r="AD43" s="272">
        <v>0</v>
      </c>
      <c r="AE43" s="272">
        <v>23691</v>
      </c>
      <c r="AF43" s="272">
        <v>1453</v>
      </c>
      <c r="AG43" s="272">
        <v>18853</v>
      </c>
      <c r="AH43" s="455">
        <f t="shared" si="3"/>
        <v>29638</v>
      </c>
      <c r="AI43" s="272">
        <v>25717</v>
      </c>
      <c r="AJ43" s="272">
        <v>3921</v>
      </c>
      <c r="AK43" s="272">
        <v>289665</v>
      </c>
      <c r="AL43" s="455">
        <f t="shared" si="4"/>
        <v>31646</v>
      </c>
      <c r="AM43" s="272">
        <v>0</v>
      </c>
      <c r="AN43" s="272">
        <v>7672</v>
      </c>
      <c r="AO43" s="272">
        <v>0</v>
      </c>
      <c r="AP43" s="272">
        <v>23974</v>
      </c>
      <c r="AQ43" s="272">
        <v>198930</v>
      </c>
      <c r="AR43" s="272">
        <v>0</v>
      </c>
      <c r="AS43" s="272">
        <v>0</v>
      </c>
      <c r="AT43" s="272">
        <v>152939</v>
      </c>
      <c r="AU43" s="272">
        <v>74498</v>
      </c>
      <c r="AV43" s="272">
        <v>3807</v>
      </c>
      <c r="AW43" s="272">
        <v>1242</v>
      </c>
      <c r="AX43" s="272">
        <v>78441</v>
      </c>
      <c r="AY43" s="272">
        <v>2980</v>
      </c>
      <c r="AZ43" s="272">
        <v>12410</v>
      </c>
      <c r="BA43" s="272">
        <v>0</v>
      </c>
      <c r="BB43" s="272">
        <v>19020</v>
      </c>
      <c r="BC43" s="272">
        <v>0</v>
      </c>
      <c r="BD43" s="272">
        <v>0</v>
      </c>
      <c r="BE43" s="272">
        <v>0</v>
      </c>
      <c r="BF43" s="272">
        <v>0</v>
      </c>
      <c r="BG43" s="272">
        <v>0</v>
      </c>
      <c r="BH43" s="272">
        <v>294614</v>
      </c>
      <c r="BI43" s="272">
        <v>261892</v>
      </c>
      <c r="BJ43" s="272">
        <v>33400</v>
      </c>
      <c r="BK43" s="272">
        <v>0</v>
      </c>
      <c r="BL43" s="272">
        <v>0</v>
      </c>
      <c r="BM43" s="272">
        <v>0</v>
      </c>
      <c r="BN43" s="272">
        <v>535400</v>
      </c>
      <c r="BO43" s="455">
        <f t="shared" si="5"/>
        <v>535400</v>
      </c>
      <c r="BP43" s="455">
        <f t="shared" si="6"/>
        <v>0</v>
      </c>
      <c r="BQ43" s="272">
        <v>0</v>
      </c>
      <c r="BR43" s="272">
        <v>0</v>
      </c>
      <c r="BS43" s="272">
        <v>0</v>
      </c>
      <c r="BT43" s="272">
        <v>0</v>
      </c>
      <c r="BU43" s="272">
        <v>5713026</v>
      </c>
      <c r="BV43" s="272"/>
      <c r="BW43" s="272">
        <v>1132832</v>
      </c>
      <c r="BX43" s="272">
        <v>827460</v>
      </c>
      <c r="BY43" s="272">
        <v>18479</v>
      </c>
      <c r="BZ43" s="272">
        <v>8238</v>
      </c>
      <c r="CA43" s="272">
        <v>177158</v>
      </c>
      <c r="CB43" s="272">
        <v>24649</v>
      </c>
      <c r="CC43" s="272">
        <v>125404</v>
      </c>
      <c r="CD43" s="272">
        <v>24539</v>
      </c>
      <c r="CE43" s="272">
        <v>0</v>
      </c>
      <c r="CF43" s="272">
        <v>0</v>
      </c>
      <c r="CG43" s="272">
        <v>2566</v>
      </c>
      <c r="CH43" s="272">
        <v>603066</v>
      </c>
      <c r="CI43" s="272">
        <v>381631</v>
      </c>
      <c r="CJ43" s="455">
        <f t="shared" si="7"/>
        <v>221435</v>
      </c>
      <c r="CK43" s="272">
        <v>698797</v>
      </c>
      <c r="CL43" s="272">
        <v>367279</v>
      </c>
      <c r="CM43" s="272">
        <v>80772</v>
      </c>
      <c r="CN43" s="272">
        <v>144830</v>
      </c>
      <c r="CO43" s="272">
        <v>23197</v>
      </c>
      <c r="CP43" s="272">
        <v>666771</v>
      </c>
      <c r="CQ43" s="272">
        <v>176092</v>
      </c>
      <c r="CR43" s="272">
        <v>86978</v>
      </c>
      <c r="CS43" s="272">
        <v>86978</v>
      </c>
      <c r="CT43" s="455">
        <f t="shared" si="8"/>
        <v>24031</v>
      </c>
      <c r="CU43" s="272">
        <v>2708</v>
      </c>
      <c r="CV43" s="272">
        <v>21323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1226608</v>
      </c>
      <c r="DD43" s="272">
        <v>455464</v>
      </c>
      <c r="DE43" s="272">
        <v>748034</v>
      </c>
      <c r="DF43" s="272">
        <v>23110</v>
      </c>
      <c r="DG43" s="272">
        <v>0</v>
      </c>
      <c r="DH43" s="272">
        <v>0</v>
      </c>
      <c r="DI43" s="272">
        <v>271791</v>
      </c>
      <c r="DJ43" s="272">
        <v>170691</v>
      </c>
      <c r="DK43" s="272">
        <v>0</v>
      </c>
      <c r="DL43" s="272">
        <v>101100</v>
      </c>
      <c r="DM43" s="272">
        <v>0</v>
      </c>
      <c r="DN43" s="272">
        <v>0</v>
      </c>
      <c r="DO43" s="272">
        <v>0</v>
      </c>
      <c r="DP43" s="272">
        <v>0</v>
      </c>
      <c r="DQ43" s="272">
        <v>30000</v>
      </c>
      <c r="DR43" s="272">
        <v>0</v>
      </c>
      <c r="DS43" s="272">
        <v>0</v>
      </c>
      <c r="DT43" s="272">
        <v>523322</v>
      </c>
      <c r="DU43" s="272">
        <v>426971</v>
      </c>
      <c r="DV43" s="455">
        <f t="shared" si="11"/>
        <v>0</v>
      </c>
      <c r="DW43" s="272">
        <v>0</v>
      </c>
      <c r="DX43" s="272">
        <v>0</v>
      </c>
      <c r="DY43" s="272">
        <v>0</v>
      </c>
      <c r="DZ43" s="272">
        <v>57534</v>
      </c>
      <c r="EA43" s="272">
        <v>38689</v>
      </c>
      <c r="EB43" s="272"/>
      <c r="EC43" s="272">
        <v>0</v>
      </c>
      <c r="ED43" s="272">
        <v>5353542</v>
      </c>
      <c r="EE43" s="89"/>
      <c r="EF43" s="272">
        <v>359484</v>
      </c>
      <c r="EG43" s="272">
        <v>13089</v>
      </c>
      <c r="EH43" s="272">
        <v>346395</v>
      </c>
      <c r="EI43" s="272">
        <v>84503</v>
      </c>
      <c r="EJ43" s="272">
        <v>255194</v>
      </c>
      <c r="EK43" s="89"/>
      <c r="EL43" s="272"/>
      <c r="EM43" s="272">
        <v>7133</v>
      </c>
      <c r="EN43" s="272">
        <v>0</v>
      </c>
      <c r="EO43" s="272">
        <v>40</v>
      </c>
      <c r="EP43" s="455">
        <f t="shared" si="12"/>
        <v>271564</v>
      </c>
      <c r="EQ43" s="272">
        <v>4327087</v>
      </c>
      <c r="ER43" s="272">
        <v>-270151</v>
      </c>
      <c r="ES43" s="272">
        <v>1096029</v>
      </c>
      <c r="ET43" s="272">
        <v>792127</v>
      </c>
      <c r="EU43" s="272">
        <v>51795</v>
      </c>
      <c r="EV43" s="272">
        <v>603066</v>
      </c>
      <c r="EW43" s="455">
        <f t="shared" si="13"/>
        <v>434896</v>
      </c>
      <c r="EX43" s="272">
        <v>434896</v>
      </c>
      <c r="EY43" s="272">
        <v>14712</v>
      </c>
      <c r="EZ43" s="272">
        <v>397074</v>
      </c>
      <c r="FA43" s="272">
        <v>0</v>
      </c>
      <c r="FB43" s="272"/>
      <c r="FC43" s="272">
        <v>583287</v>
      </c>
      <c r="FD43" s="272">
        <v>662718</v>
      </c>
      <c r="FE43" s="272">
        <v>176092</v>
      </c>
      <c r="FF43" s="272">
        <v>511512</v>
      </c>
      <c r="FG43" s="455">
        <f t="shared" si="14"/>
        <v>294451</v>
      </c>
      <c r="FH43" s="272">
        <v>4237754</v>
      </c>
      <c r="FI43" s="384">
        <f t="shared" si="15"/>
        <v>8</v>
      </c>
      <c r="FJ43" s="272">
        <v>4322093</v>
      </c>
      <c r="FK43" s="272"/>
      <c r="FL43" s="272">
        <v>3258368</v>
      </c>
      <c r="FM43" s="272">
        <v>2028864</v>
      </c>
      <c r="FN43" s="460">
        <v>1.68</v>
      </c>
      <c r="FO43" s="388">
        <v>70.2</v>
      </c>
      <c r="FP43" s="388">
        <v>24.9</v>
      </c>
      <c r="FQ43" s="388">
        <v>1.2</v>
      </c>
      <c r="FR43" s="388">
        <v>14</v>
      </c>
      <c r="FS43" s="388">
        <v>11.1</v>
      </c>
      <c r="FT43" s="388">
        <v>11.3</v>
      </c>
      <c r="FU43" s="388">
        <v>7.2</v>
      </c>
      <c r="FV43" s="388">
        <v>9.8000000000000007</v>
      </c>
      <c r="FW43" s="272">
        <v>7453297</v>
      </c>
      <c r="FX43" s="384">
        <f t="shared" si="16"/>
        <v>172.4</v>
      </c>
      <c r="FY43" s="272">
        <v>2237117</v>
      </c>
      <c r="FZ43" s="272">
        <v>1927383</v>
      </c>
      <c r="GA43" s="272"/>
      <c r="GB43" s="272">
        <v>309734</v>
      </c>
      <c r="GC43" s="272"/>
      <c r="GD43" s="272">
        <v>2692941</v>
      </c>
      <c r="GE43" s="384">
        <f>ROUND(GD43/FJ43*100,1)</f>
        <v>62.3</v>
      </c>
      <c r="GF43" s="388">
        <v>99.3</v>
      </c>
      <c r="GG43" s="388">
        <v>13.9</v>
      </c>
      <c r="GH43" s="388">
        <v>97.4</v>
      </c>
      <c r="GI43" s="272">
        <v>132</v>
      </c>
    </row>
    <row r="44" spans="2:191" x14ac:dyDescent="0.15">
      <c r="B44" s="89" t="s">
        <v>81</v>
      </c>
      <c r="C44" s="272">
        <v>3015195</v>
      </c>
      <c r="D44" s="455">
        <f t="shared" si="0"/>
        <v>923498</v>
      </c>
      <c r="E44" s="272">
        <v>14987</v>
      </c>
      <c r="F44" s="272">
        <v>908511</v>
      </c>
      <c r="G44" s="455">
        <f t="shared" si="1"/>
        <v>203435</v>
      </c>
      <c r="H44" s="272">
        <v>36136</v>
      </c>
      <c r="I44" s="272">
        <v>167299</v>
      </c>
      <c r="J44" s="272">
        <v>1675276</v>
      </c>
      <c r="K44" s="272">
        <v>672258</v>
      </c>
      <c r="L44" s="272">
        <v>465094</v>
      </c>
      <c r="M44" s="272">
        <v>531280</v>
      </c>
      <c r="N44" s="272">
        <v>101013</v>
      </c>
      <c r="O44" s="272">
        <v>0</v>
      </c>
      <c r="P44" s="272">
        <v>0</v>
      </c>
      <c r="Q44" s="272">
        <v>0</v>
      </c>
      <c r="R44" s="272">
        <v>57401</v>
      </c>
      <c r="S44" s="272"/>
      <c r="T44" s="455">
        <f t="shared" si="2"/>
        <v>348163</v>
      </c>
      <c r="U44" s="272">
        <v>30689</v>
      </c>
      <c r="V44" s="272"/>
      <c r="W44" s="272"/>
      <c r="X44" s="272">
        <v>179853</v>
      </c>
      <c r="Y44" s="272">
        <v>71936</v>
      </c>
      <c r="Z44" s="272">
        <v>1218</v>
      </c>
      <c r="AA44" s="272">
        <v>64467</v>
      </c>
      <c r="AB44" s="272"/>
      <c r="AC44" s="272">
        <v>1180219</v>
      </c>
      <c r="AD44" s="272">
        <v>927608</v>
      </c>
      <c r="AE44" s="272">
        <v>252611</v>
      </c>
      <c r="AF44" s="272">
        <v>3934</v>
      </c>
      <c r="AG44" s="272">
        <v>28896</v>
      </c>
      <c r="AH44" s="455">
        <f t="shared" si="3"/>
        <v>245937</v>
      </c>
      <c r="AI44" s="272">
        <v>234726</v>
      </c>
      <c r="AJ44" s="272">
        <v>11211</v>
      </c>
      <c r="AK44" s="272">
        <v>270014</v>
      </c>
      <c r="AL44" s="455">
        <f t="shared" si="4"/>
        <v>94904</v>
      </c>
      <c r="AM44" s="272">
        <v>0</v>
      </c>
      <c r="AN44" s="272">
        <v>39694</v>
      </c>
      <c r="AO44" s="272">
        <v>0</v>
      </c>
      <c r="AP44" s="272">
        <v>55210</v>
      </c>
      <c r="AQ44" s="272">
        <v>37019</v>
      </c>
      <c r="AR44" s="272">
        <v>0</v>
      </c>
      <c r="AS44" s="272">
        <v>0</v>
      </c>
      <c r="AT44" s="272">
        <v>676199</v>
      </c>
      <c r="AU44" s="272">
        <v>160214</v>
      </c>
      <c r="AV44" s="272">
        <v>19687</v>
      </c>
      <c r="AW44" s="272">
        <v>5950</v>
      </c>
      <c r="AX44" s="272">
        <v>515985</v>
      </c>
      <c r="AY44" s="272">
        <v>178701</v>
      </c>
      <c r="AZ44" s="272">
        <v>61235</v>
      </c>
      <c r="BA44" s="272">
        <v>47055</v>
      </c>
      <c r="BB44" s="272">
        <v>121430</v>
      </c>
      <c r="BC44" s="272">
        <v>987010</v>
      </c>
      <c r="BD44" s="272">
        <v>276000</v>
      </c>
      <c r="BE44" s="272">
        <v>0</v>
      </c>
      <c r="BF44" s="272">
        <v>673000</v>
      </c>
      <c r="BG44" s="272">
        <v>0</v>
      </c>
      <c r="BH44" s="272">
        <v>21438</v>
      </c>
      <c r="BI44" s="272">
        <v>21438</v>
      </c>
      <c r="BJ44" s="272">
        <v>203172</v>
      </c>
      <c r="BK44" s="272">
        <v>31247</v>
      </c>
      <c r="BL44" s="272">
        <v>0</v>
      </c>
      <c r="BM44" s="272">
        <v>0</v>
      </c>
      <c r="BN44" s="272">
        <v>1412800</v>
      </c>
      <c r="BO44" s="455">
        <f t="shared" si="5"/>
        <v>1294300</v>
      </c>
      <c r="BP44" s="455">
        <f t="shared" si="6"/>
        <v>118500</v>
      </c>
      <c r="BQ44" s="272">
        <v>118500</v>
      </c>
      <c r="BR44" s="272">
        <v>0</v>
      </c>
      <c r="BS44" s="272">
        <v>0</v>
      </c>
      <c r="BT44" s="272">
        <v>0</v>
      </c>
      <c r="BU44" s="272">
        <v>8633043</v>
      </c>
      <c r="BV44" s="272"/>
      <c r="BW44" s="272">
        <v>2178121</v>
      </c>
      <c r="BX44" s="272">
        <v>1633563</v>
      </c>
      <c r="BY44" s="272">
        <v>69495</v>
      </c>
      <c r="BZ44" s="272">
        <v>27217</v>
      </c>
      <c r="CA44" s="272">
        <v>448789</v>
      </c>
      <c r="CB44" s="272">
        <v>78903</v>
      </c>
      <c r="CC44" s="272">
        <v>268340</v>
      </c>
      <c r="CD44" s="272">
        <v>91503</v>
      </c>
      <c r="CE44" s="272">
        <v>0</v>
      </c>
      <c r="CF44" s="272">
        <v>0</v>
      </c>
      <c r="CG44" s="272">
        <v>9837</v>
      </c>
      <c r="CH44" s="272">
        <v>938953</v>
      </c>
      <c r="CI44" s="272">
        <v>533664</v>
      </c>
      <c r="CJ44" s="455">
        <f t="shared" si="7"/>
        <v>405289</v>
      </c>
      <c r="CK44" s="272">
        <v>1382107</v>
      </c>
      <c r="CL44" s="272">
        <v>607649</v>
      </c>
      <c r="CM44" s="272">
        <v>170129</v>
      </c>
      <c r="CN44" s="272">
        <v>439437</v>
      </c>
      <c r="CO44" s="272">
        <v>129653</v>
      </c>
      <c r="CP44" s="272">
        <v>218615</v>
      </c>
      <c r="CQ44" s="272">
        <v>1757</v>
      </c>
      <c r="CR44" s="272">
        <v>77655</v>
      </c>
      <c r="CS44" s="272">
        <v>65989</v>
      </c>
      <c r="CT44" s="455">
        <f t="shared" si="8"/>
        <v>3872</v>
      </c>
      <c r="CU44" s="272">
        <v>2452</v>
      </c>
      <c r="CV44" s="272">
        <v>1420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2420841</v>
      </c>
      <c r="DD44" s="272">
        <v>141917</v>
      </c>
      <c r="DE44" s="272">
        <v>2204010</v>
      </c>
      <c r="DF44" s="272">
        <v>74914</v>
      </c>
      <c r="DG44" s="272">
        <v>0</v>
      </c>
      <c r="DH44" s="272">
        <v>2</v>
      </c>
      <c r="DI44" s="272">
        <v>185485</v>
      </c>
      <c r="DJ44" s="272">
        <v>16606</v>
      </c>
      <c r="DK44" s="272">
        <v>632</v>
      </c>
      <c r="DL44" s="272">
        <v>168247</v>
      </c>
      <c r="DM44" s="272">
        <v>10700</v>
      </c>
      <c r="DN44" s="272">
        <v>10700</v>
      </c>
      <c r="DO44" s="272">
        <v>10700</v>
      </c>
      <c r="DP44" s="272">
        <v>0</v>
      </c>
      <c r="DQ44" s="272">
        <v>0</v>
      </c>
      <c r="DR44" s="272">
        <v>0</v>
      </c>
      <c r="DS44" s="272">
        <v>0</v>
      </c>
      <c r="DT44" s="272">
        <v>704083</v>
      </c>
      <c r="DU44" s="272">
        <v>388264</v>
      </c>
      <c r="DV44" s="455">
        <f t="shared" si="11"/>
        <v>0</v>
      </c>
      <c r="DW44" s="272">
        <v>0</v>
      </c>
      <c r="DX44" s="272">
        <v>0</v>
      </c>
      <c r="DY44" s="272">
        <v>0</v>
      </c>
      <c r="DZ44" s="272">
        <v>174817</v>
      </c>
      <c r="EA44" s="272">
        <v>139942</v>
      </c>
      <c r="EB44" s="272"/>
      <c r="EC44" s="272">
        <v>0</v>
      </c>
      <c r="ED44" s="272">
        <v>8617349</v>
      </c>
      <c r="EE44" s="89"/>
      <c r="EF44" s="272">
        <v>15694</v>
      </c>
      <c r="EG44" s="272">
        <v>4876</v>
      </c>
      <c r="EH44" s="272">
        <v>10818</v>
      </c>
      <c r="EI44" s="272">
        <v>-10620</v>
      </c>
      <c r="EJ44" s="272">
        <v>-270014</v>
      </c>
      <c r="EK44" s="89"/>
      <c r="EL44" s="272"/>
      <c r="EM44" s="272">
        <v>20530</v>
      </c>
      <c r="EN44" s="272">
        <v>278315</v>
      </c>
      <c r="EO44" s="272">
        <v>47657</v>
      </c>
      <c r="EP44" s="455">
        <f t="shared" si="12"/>
        <v>293778</v>
      </c>
      <c r="EQ44" s="272">
        <v>4604912</v>
      </c>
      <c r="ER44" s="272">
        <v>-734316</v>
      </c>
      <c r="ES44" s="272">
        <v>1978152</v>
      </c>
      <c r="ET44" s="272">
        <v>1438629</v>
      </c>
      <c r="EU44" s="272">
        <v>159280</v>
      </c>
      <c r="EV44" s="272">
        <v>795163</v>
      </c>
      <c r="EW44" s="455">
        <f t="shared" si="13"/>
        <v>241920</v>
      </c>
      <c r="EX44" s="272">
        <v>241918</v>
      </c>
      <c r="EY44" s="272">
        <v>14199</v>
      </c>
      <c r="EZ44" s="272">
        <v>227595</v>
      </c>
      <c r="FA44" s="272">
        <v>2</v>
      </c>
      <c r="FB44" s="272"/>
      <c r="FC44" s="272">
        <v>1033880</v>
      </c>
      <c r="FD44" s="272">
        <v>193791</v>
      </c>
      <c r="FE44" s="272">
        <v>1757</v>
      </c>
      <c r="FF44" s="272">
        <v>635171</v>
      </c>
      <c r="FG44" s="455">
        <f t="shared" si="14"/>
        <v>286177</v>
      </c>
      <c r="FH44" s="272">
        <v>5323534</v>
      </c>
      <c r="FI44" s="384">
        <f t="shared" si="15"/>
        <v>0.2</v>
      </c>
      <c r="FJ44" s="272">
        <v>4714516</v>
      </c>
      <c r="FK44" s="272"/>
      <c r="FL44" s="272">
        <v>2855601</v>
      </c>
      <c r="FM44" s="272">
        <v>3785599</v>
      </c>
      <c r="FN44" s="460">
        <v>0.73899999999999999</v>
      </c>
      <c r="FO44" s="388">
        <v>98</v>
      </c>
      <c r="FP44" s="388">
        <v>44.1</v>
      </c>
      <c r="FQ44" s="388">
        <v>3.6</v>
      </c>
      <c r="FR44" s="388">
        <v>17.7</v>
      </c>
      <c r="FS44" s="388">
        <v>19.7</v>
      </c>
      <c r="FT44" s="388">
        <v>3.2</v>
      </c>
      <c r="FU44" s="388">
        <v>7.2</v>
      </c>
      <c r="FV44" s="388">
        <v>9.9</v>
      </c>
      <c r="FW44" s="272">
        <v>11659389</v>
      </c>
      <c r="FX44" s="384">
        <f t="shared" si="16"/>
        <v>247.3</v>
      </c>
      <c r="FY44" s="272">
        <v>1602395</v>
      </c>
      <c r="FZ44" s="272">
        <v>800265</v>
      </c>
      <c r="GA44" s="272">
        <v>120015</v>
      </c>
      <c r="GB44" s="272">
        <v>682115</v>
      </c>
      <c r="GC44" s="272"/>
      <c r="GD44" s="272"/>
      <c r="GE44" s="384"/>
      <c r="GF44" s="388">
        <v>98.7</v>
      </c>
      <c r="GG44" s="388">
        <v>19.7</v>
      </c>
      <c r="GH44" s="388">
        <v>95</v>
      </c>
      <c r="GI44" s="272">
        <v>228</v>
      </c>
    </row>
    <row r="45" spans="2:191" x14ac:dyDescent="0.15">
      <c r="B45" s="89" t="s">
        <v>83</v>
      </c>
      <c r="C45" s="272">
        <v>1533054</v>
      </c>
      <c r="D45" s="455">
        <f t="shared" si="0"/>
        <v>742616</v>
      </c>
      <c r="E45" s="272">
        <v>9060</v>
      </c>
      <c r="F45" s="272">
        <v>733556</v>
      </c>
      <c r="G45" s="455">
        <f t="shared" si="1"/>
        <v>20389</v>
      </c>
      <c r="H45" s="272">
        <v>10936</v>
      </c>
      <c r="I45" s="272">
        <v>9453</v>
      </c>
      <c r="J45" s="272">
        <v>650311</v>
      </c>
      <c r="K45" s="272">
        <v>297953</v>
      </c>
      <c r="L45" s="272">
        <v>268175</v>
      </c>
      <c r="M45" s="272">
        <v>84183</v>
      </c>
      <c r="N45" s="272">
        <v>97140</v>
      </c>
      <c r="O45" s="272">
        <v>0</v>
      </c>
      <c r="P45" s="272">
        <v>0</v>
      </c>
      <c r="Q45" s="272">
        <v>0</v>
      </c>
      <c r="R45" s="272">
        <v>38653</v>
      </c>
      <c r="S45" s="272"/>
      <c r="T45" s="455">
        <f t="shared" si="2"/>
        <v>193753</v>
      </c>
      <c r="U45" s="272">
        <v>21088</v>
      </c>
      <c r="V45" s="272"/>
      <c r="W45" s="272"/>
      <c r="X45" s="272">
        <v>102311</v>
      </c>
      <c r="Y45" s="272">
        <v>25066</v>
      </c>
      <c r="Z45" s="272">
        <v>1936</v>
      </c>
      <c r="AA45" s="272">
        <v>43352</v>
      </c>
      <c r="AB45" s="272"/>
      <c r="AC45" s="272">
        <v>1665338</v>
      </c>
      <c r="AD45" s="272">
        <v>1461199</v>
      </c>
      <c r="AE45" s="272">
        <v>204139</v>
      </c>
      <c r="AF45" s="272">
        <v>3133</v>
      </c>
      <c r="AG45" s="272">
        <v>56967</v>
      </c>
      <c r="AH45" s="455">
        <f t="shared" si="3"/>
        <v>35769</v>
      </c>
      <c r="AI45" s="272">
        <v>17858</v>
      </c>
      <c r="AJ45" s="272">
        <v>17911</v>
      </c>
      <c r="AK45" s="272">
        <v>545154</v>
      </c>
      <c r="AL45" s="455">
        <f t="shared" si="4"/>
        <v>62523</v>
      </c>
      <c r="AM45" s="272">
        <v>0</v>
      </c>
      <c r="AN45" s="272">
        <v>37642</v>
      </c>
      <c r="AO45" s="272">
        <v>0</v>
      </c>
      <c r="AP45" s="272">
        <v>24881</v>
      </c>
      <c r="AQ45" s="272">
        <v>320438</v>
      </c>
      <c r="AR45" s="272">
        <v>3764</v>
      </c>
      <c r="AS45" s="272">
        <v>0</v>
      </c>
      <c r="AT45" s="272">
        <v>447151</v>
      </c>
      <c r="AU45" s="272">
        <v>249946</v>
      </c>
      <c r="AV45" s="272">
        <v>26944</v>
      </c>
      <c r="AW45" s="272">
        <v>9494</v>
      </c>
      <c r="AX45" s="272">
        <v>197205</v>
      </c>
      <c r="AY45" s="272">
        <v>132600</v>
      </c>
      <c r="AZ45" s="272">
        <v>21492</v>
      </c>
      <c r="BA45" s="272">
        <v>12951</v>
      </c>
      <c r="BB45" s="272">
        <v>10783</v>
      </c>
      <c r="BC45" s="272">
        <v>103335</v>
      </c>
      <c r="BD45" s="272">
        <v>30000</v>
      </c>
      <c r="BE45" s="272">
        <v>60931</v>
      </c>
      <c r="BF45" s="272">
        <v>1970</v>
      </c>
      <c r="BG45" s="272">
        <v>0</v>
      </c>
      <c r="BH45" s="272">
        <v>49759</v>
      </c>
      <c r="BI45" s="272">
        <v>49759</v>
      </c>
      <c r="BJ45" s="272">
        <v>27837</v>
      </c>
      <c r="BK45" s="272">
        <v>0</v>
      </c>
      <c r="BL45" s="272">
        <v>0</v>
      </c>
      <c r="BM45" s="272">
        <v>0</v>
      </c>
      <c r="BN45" s="272">
        <v>435400</v>
      </c>
      <c r="BO45" s="455">
        <f t="shared" si="5"/>
        <v>353100</v>
      </c>
      <c r="BP45" s="455">
        <f t="shared" si="6"/>
        <v>82300</v>
      </c>
      <c r="BQ45" s="272">
        <v>82300</v>
      </c>
      <c r="BR45" s="272">
        <v>0</v>
      </c>
      <c r="BS45" s="272">
        <v>0</v>
      </c>
      <c r="BT45" s="272">
        <v>0</v>
      </c>
      <c r="BU45" s="272">
        <v>5167578</v>
      </c>
      <c r="BV45" s="272"/>
      <c r="BW45" s="272">
        <v>1100645</v>
      </c>
      <c r="BX45" s="272">
        <v>795124</v>
      </c>
      <c r="BY45" s="272">
        <v>609</v>
      </c>
      <c r="BZ45" s="272">
        <v>13922</v>
      </c>
      <c r="CA45" s="272">
        <v>360660</v>
      </c>
      <c r="CB45" s="272">
        <v>40476</v>
      </c>
      <c r="CC45" s="272">
        <v>129656</v>
      </c>
      <c r="CD45" s="272">
        <v>177748</v>
      </c>
      <c r="CE45" s="272">
        <v>0</v>
      </c>
      <c r="CF45" s="272">
        <v>0</v>
      </c>
      <c r="CG45" s="272">
        <v>12780</v>
      </c>
      <c r="CH45" s="272">
        <v>755882</v>
      </c>
      <c r="CI45" s="272">
        <v>509424</v>
      </c>
      <c r="CJ45" s="455">
        <f t="shared" si="7"/>
        <v>246458</v>
      </c>
      <c r="CK45" s="272">
        <v>751674</v>
      </c>
      <c r="CL45" s="272">
        <v>423155</v>
      </c>
      <c r="CM45" s="272">
        <v>64437</v>
      </c>
      <c r="CN45" s="272">
        <v>144829</v>
      </c>
      <c r="CO45" s="272">
        <v>21852</v>
      </c>
      <c r="CP45" s="272">
        <v>421856</v>
      </c>
      <c r="CQ45" s="272">
        <v>144869</v>
      </c>
      <c r="CR45" s="272">
        <v>136332</v>
      </c>
      <c r="CS45" s="272">
        <v>132032</v>
      </c>
      <c r="CT45" s="455">
        <f t="shared" si="8"/>
        <v>14456</v>
      </c>
      <c r="CU45" s="272">
        <v>1217</v>
      </c>
      <c r="CV45" s="272">
        <v>13239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1089678</v>
      </c>
      <c r="DD45" s="272">
        <v>662507</v>
      </c>
      <c r="DE45" s="272">
        <v>288107</v>
      </c>
      <c r="DF45" s="272">
        <v>68314</v>
      </c>
      <c r="DG45" s="272">
        <v>70000</v>
      </c>
      <c r="DH45" s="272">
        <v>9108</v>
      </c>
      <c r="DI45" s="272">
        <v>146539</v>
      </c>
      <c r="DJ45" s="272">
        <v>39492</v>
      </c>
      <c r="DK45" s="272">
        <v>1551</v>
      </c>
      <c r="DL45" s="272">
        <v>105496</v>
      </c>
      <c r="DM45" s="272">
        <v>0</v>
      </c>
      <c r="DN45" s="272">
        <v>0</v>
      </c>
      <c r="DO45" s="272">
        <v>0</v>
      </c>
      <c r="DP45" s="272">
        <v>0</v>
      </c>
      <c r="DQ45" s="272">
        <v>0</v>
      </c>
      <c r="DR45" s="272">
        <v>0</v>
      </c>
      <c r="DS45" s="272">
        <v>0</v>
      </c>
      <c r="DT45" s="272">
        <v>398098</v>
      </c>
      <c r="DU45" s="272">
        <v>254548</v>
      </c>
      <c r="DV45" s="455">
        <f t="shared" si="11"/>
        <v>0</v>
      </c>
      <c r="DW45" s="272">
        <v>0</v>
      </c>
      <c r="DX45" s="272">
        <v>0</v>
      </c>
      <c r="DY45" s="272">
        <v>0</v>
      </c>
      <c r="DZ45" s="272">
        <v>76542</v>
      </c>
      <c r="EA45" s="272">
        <v>60923</v>
      </c>
      <c r="EB45" s="272"/>
      <c r="EC45" s="272">
        <v>0</v>
      </c>
      <c r="ED45" s="272">
        <v>5055992</v>
      </c>
      <c r="EE45" s="89"/>
      <c r="EF45" s="272">
        <v>111586</v>
      </c>
      <c r="EG45" s="272">
        <v>59881</v>
      </c>
      <c r="EH45" s="272">
        <v>51705</v>
      </c>
      <c r="EI45" s="272">
        <v>1946</v>
      </c>
      <c r="EJ45" s="272">
        <v>72403</v>
      </c>
      <c r="EK45" s="89"/>
      <c r="EL45" s="272"/>
      <c r="EM45" s="272">
        <v>13887</v>
      </c>
      <c r="EN45" s="272">
        <v>101365</v>
      </c>
      <c r="EO45" s="272">
        <v>12951</v>
      </c>
      <c r="EP45" s="455">
        <f t="shared" si="12"/>
        <v>78556</v>
      </c>
      <c r="EQ45" s="272">
        <v>3433931</v>
      </c>
      <c r="ER45" s="272">
        <v>-272039</v>
      </c>
      <c r="ES45" s="272">
        <v>1047864</v>
      </c>
      <c r="ET45" s="272">
        <v>745894</v>
      </c>
      <c r="EU45" s="272">
        <v>109900</v>
      </c>
      <c r="EV45" s="272">
        <v>755882</v>
      </c>
      <c r="EW45" s="455">
        <f t="shared" si="13"/>
        <v>207908</v>
      </c>
      <c r="EX45" s="272">
        <v>203694</v>
      </c>
      <c r="EY45" s="272">
        <v>22875</v>
      </c>
      <c r="EZ45" s="272">
        <v>169327</v>
      </c>
      <c r="FA45" s="272">
        <v>4214</v>
      </c>
      <c r="FB45" s="272"/>
      <c r="FC45" s="272">
        <v>589407</v>
      </c>
      <c r="FD45" s="272">
        <v>385730</v>
      </c>
      <c r="FE45" s="272">
        <v>144869</v>
      </c>
      <c r="FF45" s="272">
        <v>374807</v>
      </c>
      <c r="FG45" s="455">
        <f t="shared" si="14"/>
        <v>159998</v>
      </c>
      <c r="FH45" s="272">
        <v>3631496</v>
      </c>
      <c r="FI45" s="384">
        <f t="shared" si="15"/>
        <v>1.5</v>
      </c>
      <c r="FJ45" s="272">
        <v>3361183</v>
      </c>
      <c r="FK45" s="272"/>
      <c r="FL45" s="272">
        <v>1435478</v>
      </c>
      <c r="FM45" s="272">
        <v>2898507</v>
      </c>
      <c r="FN45" s="460">
        <v>0.49</v>
      </c>
      <c r="FO45" s="388">
        <v>87.7</v>
      </c>
      <c r="FP45" s="388">
        <v>32.299999999999997</v>
      </c>
      <c r="FQ45" s="388">
        <v>3.4</v>
      </c>
      <c r="FR45" s="388">
        <v>21.5</v>
      </c>
      <c r="FS45" s="388">
        <v>16.2</v>
      </c>
      <c r="FT45" s="388">
        <v>9</v>
      </c>
      <c r="FU45" s="388">
        <v>4.5</v>
      </c>
      <c r="FV45" s="388">
        <v>11.9</v>
      </c>
      <c r="FW45" s="272">
        <v>6511353</v>
      </c>
      <c r="FX45" s="384">
        <f t="shared" si="16"/>
        <v>193.7</v>
      </c>
      <c r="FY45" s="272">
        <v>1437081</v>
      </c>
      <c r="FZ45" s="272">
        <v>670097</v>
      </c>
      <c r="GA45" s="272">
        <v>180647</v>
      </c>
      <c r="GB45" s="272">
        <v>586337</v>
      </c>
      <c r="GC45" s="272"/>
      <c r="GD45" s="272">
        <v>800994</v>
      </c>
      <c r="GE45" s="384">
        <f>ROUND(GD45/FJ45*100,1)</f>
        <v>23.8</v>
      </c>
      <c r="GF45" s="388">
        <v>96.5</v>
      </c>
      <c r="GG45" s="388">
        <v>26.7</v>
      </c>
      <c r="GH45" s="388">
        <v>91.5</v>
      </c>
      <c r="GI45" s="272">
        <v>120</v>
      </c>
    </row>
    <row r="46" spans="2:191" x14ac:dyDescent="0.15">
      <c r="B46" s="89" t="s">
        <v>85</v>
      </c>
      <c r="C46" s="272">
        <v>1765067</v>
      </c>
      <c r="D46" s="455">
        <f t="shared" si="0"/>
        <v>865267</v>
      </c>
      <c r="E46" s="272">
        <v>10613</v>
      </c>
      <c r="F46" s="272">
        <v>854654</v>
      </c>
      <c r="G46" s="455">
        <f t="shared" si="1"/>
        <v>112345</v>
      </c>
      <c r="H46" s="272">
        <v>15729</v>
      </c>
      <c r="I46" s="272">
        <v>96616</v>
      </c>
      <c r="J46" s="272">
        <v>688893</v>
      </c>
      <c r="K46" s="272">
        <v>335921</v>
      </c>
      <c r="L46" s="272">
        <v>279888</v>
      </c>
      <c r="M46" s="272">
        <v>73084</v>
      </c>
      <c r="N46" s="272">
        <v>68935</v>
      </c>
      <c r="O46" s="272">
        <v>0</v>
      </c>
      <c r="P46" s="272">
        <v>0</v>
      </c>
      <c r="Q46" s="272">
        <v>0</v>
      </c>
      <c r="R46" s="272">
        <v>53084</v>
      </c>
      <c r="S46" s="272"/>
      <c r="T46" s="455">
        <f t="shared" si="2"/>
        <v>262577</v>
      </c>
      <c r="U46" s="272">
        <v>25909</v>
      </c>
      <c r="V46" s="272"/>
      <c r="W46" s="272"/>
      <c r="X46" s="272">
        <v>134918</v>
      </c>
      <c r="Y46" s="272">
        <v>42115</v>
      </c>
      <c r="Z46" s="272">
        <v>127</v>
      </c>
      <c r="AA46" s="272">
        <v>59508</v>
      </c>
      <c r="AB46" s="272"/>
      <c r="AC46" s="272">
        <v>1970881</v>
      </c>
      <c r="AD46" s="272">
        <v>1777189</v>
      </c>
      <c r="AE46" s="272">
        <v>193692</v>
      </c>
      <c r="AF46" s="272">
        <v>3228</v>
      </c>
      <c r="AG46" s="272">
        <v>31998</v>
      </c>
      <c r="AH46" s="455">
        <f t="shared" si="3"/>
        <v>72147</v>
      </c>
      <c r="AI46" s="272">
        <v>49146</v>
      </c>
      <c r="AJ46" s="272">
        <v>23001</v>
      </c>
      <c r="AK46" s="272">
        <v>187582</v>
      </c>
      <c r="AL46" s="455">
        <f t="shared" si="4"/>
        <v>43782</v>
      </c>
      <c r="AM46" s="272">
        <v>0</v>
      </c>
      <c r="AN46" s="272">
        <v>13684</v>
      </c>
      <c r="AO46" s="272">
        <v>0</v>
      </c>
      <c r="AP46" s="272">
        <v>30098</v>
      </c>
      <c r="AQ46" s="272">
        <v>3624</v>
      </c>
      <c r="AR46" s="272">
        <v>0</v>
      </c>
      <c r="AS46" s="272">
        <v>0</v>
      </c>
      <c r="AT46" s="272">
        <v>426365</v>
      </c>
      <c r="AU46" s="272">
        <v>191906</v>
      </c>
      <c r="AV46" s="272">
        <v>6789</v>
      </c>
      <c r="AW46" s="272">
        <v>95133</v>
      </c>
      <c r="AX46" s="272">
        <v>234459</v>
      </c>
      <c r="AY46" s="272">
        <v>103452</v>
      </c>
      <c r="AZ46" s="272">
        <v>30763</v>
      </c>
      <c r="BA46" s="272">
        <v>144</v>
      </c>
      <c r="BB46" s="272">
        <v>20100</v>
      </c>
      <c r="BC46" s="272">
        <v>600</v>
      </c>
      <c r="BD46" s="272">
        <v>0</v>
      </c>
      <c r="BE46" s="272">
        <v>0</v>
      </c>
      <c r="BF46" s="272">
        <v>600</v>
      </c>
      <c r="BG46" s="272">
        <v>0</v>
      </c>
      <c r="BH46" s="272">
        <v>68287</v>
      </c>
      <c r="BI46" s="272">
        <v>68287</v>
      </c>
      <c r="BJ46" s="272">
        <v>33469</v>
      </c>
      <c r="BK46" s="272">
        <v>0</v>
      </c>
      <c r="BL46" s="272">
        <v>0</v>
      </c>
      <c r="BM46" s="272">
        <v>0</v>
      </c>
      <c r="BN46" s="272">
        <v>135300</v>
      </c>
      <c r="BO46" s="455">
        <f t="shared" si="5"/>
        <v>135300</v>
      </c>
      <c r="BP46" s="455">
        <f t="shared" si="6"/>
        <v>0</v>
      </c>
      <c r="BQ46" s="272">
        <v>0</v>
      </c>
      <c r="BR46" s="272">
        <v>0</v>
      </c>
      <c r="BS46" s="272">
        <v>0</v>
      </c>
      <c r="BT46" s="272">
        <v>0</v>
      </c>
      <c r="BU46" s="272">
        <v>5061448</v>
      </c>
      <c r="BV46" s="272"/>
      <c r="BW46" s="272">
        <v>1495323</v>
      </c>
      <c r="BX46" s="272">
        <v>1024907</v>
      </c>
      <c r="BY46" s="272">
        <v>57251</v>
      </c>
      <c r="BZ46" s="272">
        <v>54394</v>
      </c>
      <c r="CA46" s="272">
        <v>239068</v>
      </c>
      <c r="CB46" s="272">
        <v>38522</v>
      </c>
      <c r="CC46" s="272">
        <v>150205</v>
      </c>
      <c r="CD46" s="272">
        <v>47485</v>
      </c>
      <c r="CE46" s="272">
        <v>0</v>
      </c>
      <c r="CF46" s="272">
        <v>0</v>
      </c>
      <c r="CG46" s="272">
        <v>2856</v>
      </c>
      <c r="CH46" s="272">
        <v>751926</v>
      </c>
      <c r="CI46" s="272">
        <v>439488</v>
      </c>
      <c r="CJ46" s="455">
        <f t="shared" si="7"/>
        <v>312438</v>
      </c>
      <c r="CK46" s="272">
        <v>897910</v>
      </c>
      <c r="CL46" s="272">
        <v>536688</v>
      </c>
      <c r="CM46" s="272">
        <v>59502</v>
      </c>
      <c r="CN46" s="272">
        <v>180902</v>
      </c>
      <c r="CO46" s="272">
        <v>9564</v>
      </c>
      <c r="CP46" s="272">
        <v>412663</v>
      </c>
      <c r="CQ46" s="272">
        <v>164759</v>
      </c>
      <c r="CR46" s="272">
        <v>134998</v>
      </c>
      <c r="CS46" s="272">
        <v>125472</v>
      </c>
      <c r="CT46" s="455">
        <f t="shared" si="8"/>
        <v>11145</v>
      </c>
      <c r="CU46" s="272">
        <v>1259</v>
      </c>
      <c r="CV46" s="272">
        <v>9886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565878</v>
      </c>
      <c r="DD46" s="272">
        <v>144144</v>
      </c>
      <c r="DE46" s="272">
        <v>353672</v>
      </c>
      <c r="DF46" s="272">
        <v>68062</v>
      </c>
      <c r="DG46" s="272">
        <v>0</v>
      </c>
      <c r="DH46" s="272">
        <v>11193</v>
      </c>
      <c r="DI46" s="272">
        <v>150699</v>
      </c>
      <c r="DJ46" s="272">
        <v>82979</v>
      </c>
      <c r="DK46" s="272">
        <v>33767</v>
      </c>
      <c r="DL46" s="272">
        <v>33953</v>
      </c>
      <c r="DM46" s="272">
        <v>600</v>
      </c>
      <c r="DN46" s="272">
        <v>0</v>
      </c>
      <c r="DO46" s="272">
        <v>0</v>
      </c>
      <c r="DP46" s="272">
        <v>0</v>
      </c>
      <c r="DQ46" s="272">
        <v>0</v>
      </c>
      <c r="DR46" s="272">
        <v>0</v>
      </c>
      <c r="DS46" s="272">
        <v>0</v>
      </c>
      <c r="DT46" s="272">
        <v>339627</v>
      </c>
      <c r="DU46" s="272">
        <v>157666</v>
      </c>
      <c r="DV46" s="455">
        <f t="shared" si="11"/>
        <v>0</v>
      </c>
      <c r="DW46" s="272">
        <v>0</v>
      </c>
      <c r="DX46" s="272">
        <v>0</v>
      </c>
      <c r="DY46" s="272">
        <v>0</v>
      </c>
      <c r="DZ46" s="272">
        <v>72422</v>
      </c>
      <c r="EA46" s="272">
        <v>81316</v>
      </c>
      <c r="EB46" s="272"/>
      <c r="EC46" s="272">
        <v>0</v>
      </c>
      <c r="ED46" s="272">
        <v>4874451</v>
      </c>
      <c r="EE46" s="89"/>
      <c r="EF46" s="272">
        <v>186997</v>
      </c>
      <c r="EG46" s="272">
        <v>46376</v>
      </c>
      <c r="EH46" s="272">
        <v>140621</v>
      </c>
      <c r="EI46" s="272">
        <v>2334</v>
      </c>
      <c r="EJ46" s="272">
        <v>85313</v>
      </c>
      <c r="EK46" s="89"/>
      <c r="EL46" s="272"/>
      <c r="EM46" s="272">
        <v>16338</v>
      </c>
      <c r="EN46" s="272">
        <v>0</v>
      </c>
      <c r="EO46" s="272">
        <v>0</v>
      </c>
      <c r="EP46" s="455">
        <f t="shared" si="12"/>
        <v>110221</v>
      </c>
      <c r="EQ46" s="272">
        <v>4054837</v>
      </c>
      <c r="ER46" s="272">
        <v>-106993</v>
      </c>
      <c r="ES46" s="272">
        <v>1410836</v>
      </c>
      <c r="ET46" s="272">
        <v>944793</v>
      </c>
      <c r="EU46" s="272">
        <v>76919</v>
      </c>
      <c r="EV46" s="272">
        <v>751926</v>
      </c>
      <c r="EW46" s="455">
        <f t="shared" si="13"/>
        <v>223775</v>
      </c>
      <c r="EX46" s="272">
        <v>219301</v>
      </c>
      <c r="EY46" s="272">
        <v>43435</v>
      </c>
      <c r="EZ46" s="272">
        <v>169189</v>
      </c>
      <c r="FA46" s="272">
        <v>4474</v>
      </c>
      <c r="FB46" s="272"/>
      <c r="FC46" s="272">
        <v>725332</v>
      </c>
      <c r="FD46" s="272">
        <v>377529</v>
      </c>
      <c r="FE46" s="272">
        <v>164759</v>
      </c>
      <c r="FF46" s="272">
        <v>320057</v>
      </c>
      <c r="FG46" s="455">
        <f t="shared" si="14"/>
        <v>132459</v>
      </c>
      <c r="FH46" s="272">
        <v>4018833</v>
      </c>
      <c r="FI46" s="384">
        <f t="shared" si="15"/>
        <v>3.5</v>
      </c>
      <c r="FJ46" s="272">
        <v>4025514</v>
      </c>
      <c r="FK46" s="272"/>
      <c r="FL46" s="272">
        <v>1700570</v>
      </c>
      <c r="FM46" s="272">
        <v>3479960</v>
      </c>
      <c r="FN46" s="460">
        <v>0.50700000000000001</v>
      </c>
      <c r="FO46" s="388">
        <v>83.6</v>
      </c>
      <c r="FP46" s="388">
        <v>36.4</v>
      </c>
      <c r="FQ46" s="388">
        <v>2</v>
      </c>
      <c r="FR46" s="388">
        <v>19.399999999999999</v>
      </c>
      <c r="FS46" s="388">
        <v>15.1</v>
      </c>
      <c r="FT46" s="388">
        <v>6.8</v>
      </c>
      <c r="FU46" s="388">
        <v>3.6</v>
      </c>
      <c r="FV46" s="388">
        <v>10.6</v>
      </c>
      <c r="FW46" s="272">
        <v>7168146</v>
      </c>
      <c r="FX46" s="384">
        <f t="shared" si="16"/>
        <v>178.1</v>
      </c>
      <c r="FY46" s="272">
        <v>3623399</v>
      </c>
      <c r="FZ46" s="272">
        <v>1528339</v>
      </c>
      <c r="GA46" s="272">
        <v>480709</v>
      </c>
      <c r="GB46" s="272">
        <v>1614351</v>
      </c>
      <c r="GC46" s="272"/>
      <c r="GD46" s="272">
        <v>1017597</v>
      </c>
      <c r="GE46" s="384">
        <f>ROUND(GD46/FJ46*100,1)</f>
        <v>25.3</v>
      </c>
      <c r="GF46" s="388">
        <v>95.2</v>
      </c>
      <c r="GG46" s="388">
        <v>18.2</v>
      </c>
      <c r="GH46" s="388">
        <v>90.1</v>
      </c>
      <c r="GI46" s="272">
        <v>150</v>
      </c>
    </row>
    <row r="47" spans="2:191" x14ac:dyDescent="0.15">
      <c r="B47" s="89" t="s">
        <v>87</v>
      </c>
      <c r="C47" s="272">
        <v>757535</v>
      </c>
      <c r="D47" s="455">
        <f t="shared" si="0"/>
        <v>377692</v>
      </c>
      <c r="E47" s="272">
        <v>4436</v>
      </c>
      <c r="F47" s="272">
        <v>373256</v>
      </c>
      <c r="G47" s="455">
        <f t="shared" si="1"/>
        <v>29681</v>
      </c>
      <c r="H47" s="272">
        <v>9628</v>
      </c>
      <c r="I47" s="272">
        <v>20053</v>
      </c>
      <c r="J47" s="272">
        <v>317434</v>
      </c>
      <c r="K47" s="272">
        <v>111539</v>
      </c>
      <c r="L47" s="272">
        <v>146653</v>
      </c>
      <c r="M47" s="272">
        <v>59242</v>
      </c>
      <c r="N47" s="272">
        <v>17148</v>
      </c>
      <c r="O47" s="272">
        <v>0</v>
      </c>
      <c r="P47" s="272">
        <v>0</v>
      </c>
      <c r="Q47" s="272">
        <v>0</v>
      </c>
      <c r="R47" s="272">
        <v>25961</v>
      </c>
      <c r="S47" s="272"/>
      <c r="T47" s="455">
        <f t="shared" si="2"/>
        <v>133552</v>
      </c>
      <c r="U47" s="272">
        <v>11785</v>
      </c>
      <c r="V47" s="272"/>
      <c r="W47" s="272"/>
      <c r="X47" s="272">
        <v>61098</v>
      </c>
      <c r="Y47" s="272">
        <v>31584</v>
      </c>
      <c r="Z47" s="272">
        <v>0</v>
      </c>
      <c r="AA47" s="272">
        <v>29085</v>
      </c>
      <c r="AB47" s="272"/>
      <c r="AC47" s="272">
        <v>1366369</v>
      </c>
      <c r="AD47" s="272">
        <v>1164118</v>
      </c>
      <c r="AE47" s="272">
        <v>202251</v>
      </c>
      <c r="AF47" s="272">
        <v>1451</v>
      </c>
      <c r="AG47" s="272">
        <v>23040</v>
      </c>
      <c r="AH47" s="455">
        <f t="shared" si="3"/>
        <v>25172</v>
      </c>
      <c r="AI47" s="272">
        <v>15082</v>
      </c>
      <c r="AJ47" s="272">
        <v>10090</v>
      </c>
      <c r="AK47" s="272">
        <v>126077</v>
      </c>
      <c r="AL47" s="455">
        <f t="shared" si="4"/>
        <v>37108</v>
      </c>
      <c r="AM47" s="272">
        <v>0</v>
      </c>
      <c r="AN47" s="272">
        <v>18893</v>
      </c>
      <c r="AO47" s="272">
        <v>0</v>
      </c>
      <c r="AP47" s="272">
        <v>18215</v>
      </c>
      <c r="AQ47" s="272">
        <v>30989</v>
      </c>
      <c r="AR47" s="272">
        <v>0</v>
      </c>
      <c r="AS47" s="272">
        <v>0</v>
      </c>
      <c r="AT47" s="272">
        <v>322119</v>
      </c>
      <c r="AU47" s="272">
        <v>149173</v>
      </c>
      <c r="AV47" s="272">
        <v>9370</v>
      </c>
      <c r="AW47" s="272">
        <v>99206</v>
      </c>
      <c r="AX47" s="272">
        <v>172946</v>
      </c>
      <c r="AY47" s="272">
        <v>103909</v>
      </c>
      <c r="AZ47" s="272">
        <v>15072</v>
      </c>
      <c r="BA47" s="272">
        <v>30</v>
      </c>
      <c r="BB47" s="272">
        <v>100</v>
      </c>
      <c r="BC47" s="272">
        <v>17962</v>
      </c>
      <c r="BD47" s="272">
        <v>0</v>
      </c>
      <c r="BE47" s="272">
        <v>9652</v>
      </c>
      <c r="BF47" s="272">
        <v>8300</v>
      </c>
      <c r="BG47" s="272">
        <v>0</v>
      </c>
      <c r="BH47" s="272">
        <v>33712</v>
      </c>
      <c r="BI47" s="272">
        <v>19380</v>
      </c>
      <c r="BJ47" s="272">
        <v>33419</v>
      </c>
      <c r="BK47" s="272">
        <v>12179</v>
      </c>
      <c r="BL47" s="272">
        <v>0</v>
      </c>
      <c r="BM47" s="272">
        <v>0</v>
      </c>
      <c r="BN47" s="272">
        <v>143600</v>
      </c>
      <c r="BO47" s="455">
        <f t="shared" si="5"/>
        <v>96900</v>
      </c>
      <c r="BP47" s="455">
        <f t="shared" si="6"/>
        <v>46700</v>
      </c>
      <c r="BQ47" s="272">
        <v>46700</v>
      </c>
      <c r="BR47" s="272">
        <v>0</v>
      </c>
      <c r="BS47" s="272">
        <v>0</v>
      </c>
      <c r="BT47" s="272">
        <v>0</v>
      </c>
      <c r="BU47" s="272">
        <v>3025141</v>
      </c>
      <c r="BV47" s="272"/>
      <c r="BW47" s="272">
        <v>970402</v>
      </c>
      <c r="BX47" s="272">
        <v>686963</v>
      </c>
      <c r="BY47" s="272">
        <v>15145</v>
      </c>
      <c r="BZ47" s="272">
        <v>18912</v>
      </c>
      <c r="CA47" s="272">
        <v>158746</v>
      </c>
      <c r="CB47" s="272">
        <v>21216</v>
      </c>
      <c r="CC47" s="272">
        <v>73425</v>
      </c>
      <c r="CD47" s="272">
        <v>62789</v>
      </c>
      <c r="CE47" s="272">
        <v>0</v>
      </c>
      <c r="CF47" s="272">
        <v>0</v>
      </c>
      <c r="CG47" s="272">
        <v>1176</v>
      </c>
      <c r="CH47" s="272">
        <v>330444</v>
      </c>
      <c r="CI47" s="272">
        <v>190644</v>
      </c>
      <c r="CJ47" s="455">
        <f t="shared" si="7"/>
        <v>139800</v>
      </c>
      <c r="CK47" s="272">
        <v>452385</v>
      </c>
      <c r="CL47" s="272">
        <v>225344</v>
      </c>
      <c r="CM47" s="272">
        <v>26508</v>
      </c>
      <c r="CN47" s="272">
        <v>110390</v>
      </c>
      <c r="CO47" s="272">
        <v>8230</v>
      </c>
      <c r="CP47" s="272">
        <v>268198</v>
      </c>
      <c r="CQ47" s="272">
        <v>104634</v>
      </c>
      <c r="CR47" s="272">
        <v>31691</v>
      </c>
      <c r="CS47" s="272">
        <v>29200</v>
      </c>
      <c r="CT47" s="455">
        <f t="shared" si="8"/>
        <v>7020</v>
      </c>
      <c r="CU47" s="272">
        <v>7020</v>
      </c>
      <c r="CV47" s="272">
        <v>0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520722</v>
      </c>
      <c r="DD47" s="272">
        <v>227053</v>
      </c>
      <c r="DE47" s="272">
        <v>253669</v>
      </c>
      <c r="DF47" s="272">
        <v>40000</v>
      </c>
      <c r="DG47" s="272">
        <v>0</v>
      </c>
      <c r="DH47" s="272">
        <v>13434</v>
      </c>
      <c r="DI47" s="272">
        <v>38286</v>
      </c>
      <c r="DJ47" s="272">
        <v>14505</v>
      </c>
      <c r="DK47" s="272">
        <v>2019</v>
      </c>
      <c r="DL47" s="272">
        <v>21762</v>
      </c>
      <c r="DM47" s="272">
        <v>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197076</v>
      </c>
      <c r="DU47" s="272">
        <v>85516</v>
      </c>
      <c r="DV47" s="455">
        <f t="shared" si="11"/>
        <v>0</v>
      </c>
      <c r="DW47" s="272">
        <v>0</v>
      </c>
      <c r="DX47" s="272">
        <v>0</v>
      </c>
      <c r="DY47" s="272">
        <v>0</v>
      </c>
      <c r="DZ47" s="272">
        <v>40403</v>
      </c>
      <c r="EA47" s="272">
        <v>43042</v>
      </c>
      <c r="EB47" s="272"/>
      <c r="EC47" s="272">
        <v>0</v>
      </c>
      <c r="ED47" s="272">
        <v>2957923</v>
      </c>
      <c r="EE47" s="89"/>
      <c r="EF47" s="272">
        <v>67218</v>
      </c>
      <c r="EG47" s="272">
        <v>19380</v>
      </c>
      <c r="EH47" s="272">
        <v>47838</v>
      </c>
      <c r="EI47" s="272">
        <v>28458</v>
      </c>
      <c r="EJ47" s="272">
        <v>42963</v>
      </c>
      <c r="EK47" s="89"/>
      <c r="EL47" s="272"/>
      <c r="EM47" s="272">
        <v>7299</v>
      </c>
      <c r="EN47" s="272">
        <v>9652</v>
      </c>
      <c r="EO47" s="272">
        <v>448</v>
      </c>
      <c r="EP47" s="455">
        <f t="shared" si="12"/>
        <v>55765</v>
      </c>
      <c r="EQ47" s="272">
        <v>2284868</v>
      </c>
      <c r="ER47" s="272">
        <v>-111114</v>
      </c>
      <c r="ES47" s="272">
        <v>939833</v>
      </c>
      <c r="ET47" s="272">
        <v>657797</v>
      </c>
      <c r="EU47" s="272">
        <v>41263</v>
      </c>
      <c r="EV47" s="272">
        <v>330444</v>
      </c>
      <c r="EW47" s="455">
        <f t="shared" si="13"/>
        <v>174917</v>
      </c>
      <c r="EX47" s="272">
        <v>166935</v>
      </c>
      <c r="EY47" s="272">
        <v>40517</v>
      </c>
      <c r="EZ47" s="272">
        <v>126418</v>
      </c>
      <c r="FA47" s="272">
        <v>7982</v>
      </c>
      <c r="FB47" s="272"/>
      <c r="FC47" s="272">
        <v>389816</v>
      </c>
      <c r="FD47" s="272">
        <v>249303</v>
      </c>
      <c r="FE47" s="272">
        <v>104634</v>
      </c>
      <c r="FF47" s="272">
        <v>187339</v>
      </c>
      <c r="FG47" s="455">
        <f t="shared" si="14"/>
        <v>35229</v>
      </c>
      <c r="FH47" s="272">
        <v>2348144</v>
      </c>
      <c r="FI47" s="384">
        <f t="shared" si="15"/>
        <v>2.2999999999999998</v>
      </c>
      <c r="FJ47" s="272">
        <v>2121816</v>
      </c>
      <c r="FK47" s="272"/>
      <c r="FL47" s="272">
        <v>724217</v>
      </c>
      <c r="FM47" s="272">
        <v>1889528</v>
      </c>
      <c r="FN47" s="460">
        <v>0.39900000000000002</v>
      </c>
      <c r="FO47" s="388">
        <v>93.9</v>
      </c>
      <c r="FP47" s="388">
        <v>45</v>
      </c>
      <c r="FQ47" s="388">
        <v>2</v>
      </c>
      <c r="FR47" s="388">
        <v>15.8</v>
      </c>
      <c r="FS47" s="388">
        <v>16.2</v>
      </c>
      <c r="FT47" s="388">
        <v>9.6</v>
      </c>
      <c r="FU47" s="388">
        <v>4.8</v>
      </c>
      <c r="FV47" s="388">
        <v>10</v>
      </c>
      <c r="FW47" s="272">
        <v>3171821</v>
      </c>
      <c r="FX47" s="384">
        <f t="shared" si="16"/>
        <v>149.5</v>
      </c>
      <c r="FY47" s="272">
        <v>1371802</v>
      </c>
      <c r="FZ47" s="272">
        <v>493286</v>
      </c>
      <c r="GA47" s="272">
        <v>204763</v>
      </c>
      <c r="GB47" s="272">
        <v>673753</v>
      </c>
      <c r="GC47" s="272"/>
      <c r="GD47" s="272"/>
      <c r="GE47" s="384"/>
      <c r="GF47" s="388">
        <v>98.7</v>
      </c>
      <c r="GG47" s="388">
        <v>23.5</v>
      </c>
      <c r="GH47" s="388">
        <v>95.8</v>
      </c>
      <c r="GI47" s="272">
        <v>101</v>
      </c>
    </row>
    <row r="48" spans="2:191" x14ac:dyDescent="0.15">
      <c r="B48" s="89" t="s">
        <v>839</v>
      </c>
      <c r="C48" s="272">
        <v>6834063</v>
      </c>
      <c r="D48" s="455">
        <f t="shared" si="0"/>
        <v>2299857</v>
      </c>
      <c r="E48" s="272">
        <v>28450</v>
      </c>
      <c r="F48" s="272">
        <v>2271407</v>
      </c>
      <c r="G48" s="455">
        <f t="shared" si="1"/>
        <v>473020</v>
      </c>
      <c r="H48" s="272">
        <v>117673</v>
      </c>
      <c r="I48" s="272">
        <v>355347</v>
      </c>
      <c r="J48" s="272">
        <v>3364943</v>
      </c>
      <c r="K48" s="272">
        <v>1760550</v>
      </c>
      <c r="L48" s="272">
        <v>1111121</v>
      </c>
      <c r="M48" s="272">
        <v>478281</v>
      </c>
      <c r="N48" s="272">
        <v>231578</v>
      </c>
      <c r="O48" s="272">
        <v>421249</v>
      </c>
      <c r="P48" s="272">
        <v>279330</v>
      </c>
      <c r="Q48" s="272">
        <v>141919</v>
      </c>
      <c r="R48" s="272">
        <v>84239</v>
      </c>
      <c r="S48" s="272"/>
      <c r="T48" s="455">
        <f t="shared" si="2"/>
        <v>595454</v>
      </c>
      <c r="U48" s="272">
        <v>67321</v>
      </c>
      <c r="V48" s="272"/>
      <c r="W48" s="272"/>
      <c r="X48" s="272">
        <v>417135</v>
      </c>
      <c r="Y48" s="272">
        <v>16407</v>
      </c>
      <c r="Z48" s="272">
        <v>132</v>
      </c>
      <c r="AA48" s="272">
        <v>94459</v>
      </c>
      <c r="AB48" s="272"/>
      <c r="AC48" s="272">
        <v>969524</v>
      </c>
      <c r="AD48" s="272">
        <v>569116</v>
      </c>
      <c r="AE48" s="272">
        <v>400408</v>
      </c>
      <c r="AF48" s="272">
        <v>11403</v>
      </c>
      <c r="AG48" s="272">
        <v>66079</v>
      </c>
      <c r="AH48" s="455">
        <f t="shared" si="3"/>
        <v>206559</v>
      </c>
      <c r="AI48" s="272">
        <v>123810</v>
      </c>
      <c r="AJ48" s="272">
        <v>82749</v>
      </c>
      <c r="AK48" s="272">
        <v>753896</v>
      </c>
      <c r="AL48" s="455">
        <f t="shared" si="4"/>
        <v>400112</v>
      </c>
      <c r="AM48" s="272">
        <v>260000</v>
      </c>
      <c r="AN48" s="272">
        <v>59434</v>
      </c>
      <c r="AO48" s="272">
        <v>0</v>
      </c>
      <c r="AP48" s="272">
        <v>80678</v>
      </c>
      <c r="AQ48" s="272">
        <v>3347</v>
      </c>
      <c r="AR48" s="272">
        <v>0</v>
      </c>
      <c r="AS48" s="272">
        <v>0</v>
      </c>
      <c r="AT48" s="272">
        <v>599953</v>
      </c>
      <c r="AU48" s="272">
        <v>210628</v>
      </c>
      <c r="AV48" s="272">
        <v>30006</v>
      </c>
      <c r="AW48" s="272">
        <v>0</v>
      </c>
      <c r="AX48" s="272">
        <v>389325</v>
      </c>
      <c r="AY48" s="272">
        <v>103831</v>
      </c>
      <c r="AZ48" s="272">
        <v>77945</v>
      </c>
      <c r="BA48" s="272">
        <v>2000</v>
      </c>
      <c r="BB48" s="272">
        <v>31151</v>
      </c>
      <c r="BC48" s="272">
        <v>757655</v>
      </c>
      <c r="BD48" s="272">
        <v>94952</v>
      </c>
      <c r="BE48" s="272">
        <v>251295</v>
      </c>
      <c r="BF48" s="272">
        <v>400000</v>
      </c>
      <c r="BG48" s="272">
        <v>0</v>
      </c>
      <c r="BH48" s="272">
        <v>315674</v>
      </c>
      <c r="BI48" s="272">
        <v>178069</v>
      </c>
      <c r="BJ48" s="272">
        <v>78630</v>
      </c>
      <c r="BK48" s="272">
        <v>2231</v>
      </c>
      <c r="BL48" s="272">
        <v>0</v>
      </c>
      <c r="BM48" s="272">
        <v>0</v>
      </c>
      <c r="BN48" s="272">
        <v>757900</v>
      </c>
      <c r="BO48" s="455">
        <f t="shared" si="5"/>
        <v>516100</v>
      </c>
      <c r="BP48" s="455">
        <f t="shared" si="6"/>
        <v>241800</v>
      </c>
      <c r="BQ48" s="272">
        <v>241800</v>
      </c>
      <c r="BR48" s="272">
        <v>0</v>
      </c>
      <c r="BS48" s="272">
        <v>0</v>
      </c>
      <c r="BT48" s="272">
        <v>0</v>
      </c>
      <c r="BU48" s="272">
        <v>12140125</v>
      </c>
      <c r="BV48" s="272"/>
      <c r="BW48" s="272">
        <v>3384744</v>
      </c>
      <c r="BX48" s="272">
        <v>2580612</v>
      </c>
      <c r="BY48" s="272">
        <v>149662</v>
      </c>
      <c r="BZ48" s="272">
        <v>26727</v>
      </c>
      <c r="CA48" s="272">
        <v>1069868</v>
      </c>
      <c r="CB48" s="272">
        <v>236847</v>
      </c>
      <c r="CC48" s="272">
        <v>360592</v>
      </c>
      <c r="CD48" s="272">
        <v>108866</v>
      </c>
      <c r="CE48" s="272">
        <v>349927</v>
      </c>
      <c r="CF48" s="272">
        <v>0</v>
      </c>
      <c r="CG48" s="272">
        <v>13486</v>
      </c>
      <c r="CH48" s="272">
        <v>1320285</v>
      </c>
      <c r="CI48" s="272">
        <v>885922</v>
      </c>
      <c r="CJ48" s="455">
        <f t="shared" si="7"/>
        <v>434363</v>
      </c>
      <c r="CK48" s="272">
        <v>1717616</v>
      </c>
      <c r="CL48" s="272">
        <v>1039188</v>
      </c>
      <c r="CM48" s="272">
        <v>143059</v>
      </c>
      <c r="CN48" s="272">
        <v>286132</v>
      </c>
      <c r="CO48" s="272">
        <v>47131</v>
      </c>
      <c r="CP48" s="272">
        <v>767574</v>
      </c>
      <c r="CQ48" s="272">
        <v>374160</v>
      </c>
      <c r="CR48" s="272">
        <v>169780</v>
      </c>
      <c r="CS48" s="272">
        <v>144703</v>
      </c>
      <c r="CT48" s="455">
        <f t="shared" si="8"/>
        <v>15802</v>
      </c>
      <c r="CU48" s="272">
        <v>15802</v>
      </c>
      <c r="CV48" s="272">
        <v>0</v>
      </c>
      <c r="CW48" s="455">
        <f t="shared" si="9"/>
        <v>0</v>
      </c>
      <c r="CX48" s="272">
        <v>0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1598899</v>
      </c>
      <c r="DD48" s="272">
        <v>6262</v>
      </c>
      <c r="DE48" s="272">
        <v>1545915</v>
      </c>
      <c r="DF48" s="272">
        <v>46722</v>
      </c>
      <c r="DG48" s="272">
        <v>0</v>
      </c>
      <c r="DH48" s="272">
        <v>7724</v>
      </c>
      <c r="DI48" s="272">
        <v>349476</v>
      </c>
      <c r="DJ48" s="272">
        <v>124416</v>
      </c>
      <c r="DK48" s="272">
        <v>7970</v>
      </c>
      <c r="DL48" s="272">
        <v>217090</v>
      </c>
      <c r="DM48" s="272">
        <v>0</v>
      </c>
      <c r="DN48" s="272">
        <v>0</v>
      </c>
      <c r="DO48" s="272">
        <v>0</v>
      </c>
      <c r="DP48" s="272">
        <v>0</v>
      </c>
      <c r="DQ48" s="272">
        <v>24000</v>
      </c>
      <c r="DR48" s="272">
        <v>0</v>
      </c>
      <c r="DS48" s="272">
        <v>0</v>
      </c>
      <c r="DT48" s="272">
        <v>1394188</v>
      </c>
      <c r="DU48" s="272">
        <v>957048</v>
      </c>
      <c r="DV48" s="455">
        <f t="shared" si="11"/>
        <v>0</v>
      </c>
      <c r="DW48" s="272">
        <v>0</v>
      </c>
      <c r="DX48" s="272">
        <v>0</v>
      </c>
      <c r="DY48" s="272">
        <v>0</v>
      </c>
      <c r="DZ48" s="272">
        <v>240000</v>
      </c>
      <c r="EA48" s="272">
        <v>172997</v>
      </c>
      <c r="EB48" s="272"/>
      <c r="EC48" s="272">
        <v>0</v>
      </c>
      <c r="ED48" s="272">
        <v>11681505</v>
      </c>
      <c r="EE48" s="89"/>
      <c r="EF48" s="272">
        <v>458620</v>
      </c>
      <c r="EG48" s="272">
        <v>317988</v>
      </c>
      <c r="EH48" s="272">
        <v>140632</v>
      </c>
      <c r="EI48" s="272">
        <v>-37437</v>
      </c>
      <c r="EJ48" s="272">
        <v>243560</v>
      </c>
      <c r="EK48" s="89"/>
      <c r="EL48" s="272"/>
      <c r="EM48" s="272">
        <v>37838</v>
      </c>
      <c r="EN48" s="272">
        <v>357655</v>
      </c>
      <c r="EO48" s="272">
        <v>5374</v>
      </c>
      <c r="EP48" s="455">
        <f t="shared" si="12"/>
        <v>288376</v>
      </c>
      <c r="EQ48" s="272">
        <v>8494683</v>
      </c>
      <c r="ER48" s="272">
        <v>-881802</v>
      </c>
      <c r="ES48" s="272">
        <v>3079213</v>
      </c>
      <c r="ET48" s="272">
        <v>2278985</v>
      </c>
      <c r="EU48" s="272">
        <v>314163</v>
      </c>
      <c r="EV48" s="272">
        <v>1320285</v>
      </c>
      <c r="EW48" s="455">
        <f t="shared" si="13"/>
        <v>454889</v>
      </c>
      <c r="EX48" s="272">
        <v>447165</v>
      </c>
      <c r="EY48" s="272">
        <v>2915</v>
      </c>
      <c r="EZ48" s="272">
        <v>444198</v>
      </c>
      <c r="FA48" s="272">
        <v>7724</v>
      </c>
      <c r="FB48" s="272"/>
      <c r="FC48" s="272">
        <v>1449547</v>
      </c>
      <c r="FD48" s="272">
        <v>726545</v>
      </c>
      <c r="FE48" s="272">
        <v>374160</v>
      </c>
      <c r="FF48" s="272">
        <v>1333760</v>
      </c>
      <c r="FG48" s="455">
        <f t="shared" si="14"/>
        <v>357127</v>
      </c>
      <c r="FH48" s="272">
        <v>9035529</v>
      </c>
      <c r="FI48" s="384">
        <f t="shared" si="15"/>
        <v>1.7</v>
      </c>
      <c r="FJ48" s="272">
        <v>8091293</v>
      </c>
      <c r="FK48" s="272"/>
      <c r="FL48" s="272">
        <v>5665723</v>
      </c>
      <c r="FM48" s="272">
        <v>6234389</v>
      </c>
      <c r="FN48" s="460">
        <v>0.90600000000000003</v>
      </c>
      <c r="FO48" s="388">
        <v>87.9</v>
      </c>
      <c r="FP48" s="388">
        <v>38.5</v>
      </c>
      <c r="FQ48" s="388">
        <v>4.0999999999999996</v>
      </c>
      <c r="FR48" s="388">
        <v>13.9</v>
      </c>
      <c r="FS48" s="388">
        <v>17.5</v>
      </c>
      <c r="FT48" s="388">
        <v>6.9</v>
      </c>
      <c r="FU48" s="388">
        <v>6.5</v>
      </c>
      <c r="FV48" s="388">
        <v>9.5</v>
      </c>
      <c r="FW48" s="272">
        <v>10224486</v>
      </c>
      <c r="FX48" s="384">
        <f t="shared" si="16"/>
        <v>126.4</v>
      </c>
      <c r="FY48" s="272">
        <v>8685676</v>
      </c>
      <c r="FZ48" s="272">
        <v>2256325</v>
      </c>
      <c r="GA48" s="272">
        <v>727534</v>
      </c>
      <c r="GB48" s="272">
        <v>5701817</v>
      </c>
      <c r="GC48" s="272"/>
      <c r="GD48" s="272">
        <v>5512284</v>
      </c>
      <c r="GE48" s="384">
        <f>ROUND(GD48/FJ48*100,1)</f>
        <v>68.099999999999994</v>
      </c>
      <c r="GF48" s="388">
        <v>96.1</v>
      </c>
      <c r="GG48" s="388">
        <v>26.7</v>
      </c>
      <c r="GH48" s="388">
        <v>89</v>
      </c>
      <c r="GI48" s="272">
        <v>374</v>
      </c>
    </row>
    <row r="49" spans="2:191" x14ac:dyDescent="0.15">
      <c r="B49" s="21" t="s">
        <v>89</v>
      </c>
      <c r="C49" s="272">
        <f>SUM(C38:C48)</f>
        <v>35567523</v>
      </c>
      <c r="D49" s="455">
        <f t="shared" si="0"/>
        <v>13157021</v>
      </c>
      <c r="E49" s="272">
        <f>SUM(E38:E48)</f>
        <v>165621</v>
      </c>
      <c r="F49" s="272">
        <f>SUM(F38:F48)</f>
        <v>12991400</v>
      </c>
      <c r="G49" s="455">
        <f t="shared" si="1"/>
        <v>2280935</v>
      </c>
      <c r="H49" s="272">
        <f t="shared" ref="H49:R49" si="25">SUM(H38:H48)</f>
        <v>425814</v>
      </c>
      <c r="I49" s="272">
        <f t="shared" si="25"/>
        <v>1855121</v>
      </c>
      <c r="J49" s="272">
        <f t="shared" si="25"/>
        <v>17504454</v>
      </c>
      <c r="K49" s="272">
        <f t="shared" si="25"/>
        <v>8589679</v>
      </c>
      <c r="L49" s="272">
        <f t="shared" si="25"/>
        <v>6038892</v>
      </c>
      <c r="M49" s="272">
        <f t="shared" si="25"/>
        <v>2782112</v>
      </c>
      <c r="N49" s="272">
        <f t="shared" si="25"/>
        <v>1074720</v>
      </c>
      <c r="O49" s="272">
        <f t="shared" si="25"/>
        <v>1151445</v>
      </c>
      <c r="P49" s="272">
        <f t="shared" si="25"/>
        <v>767765</v>
      </c>
      <c r="Q49" s="272">
        <f t="shared" si="25"/>
        <v>383680</v>
      </c>
      <c r="R49" s="272">
        <f t="shared" si="25"/>
        <v>664033</v>
      </c>
      <c r="S49" s="272"/>
      <c r="T49" s="455">
        <f t="shared" si="2"/>
        <v>3504315</v>
      </c>
      <c r="U49" s="272">
        <f>SUM(U38:U48)</f>
        <v>398178</v>
      </c>
      <c r="V49" s="272"/>
      <c r="W49" s="272"/>
      <c r="X49" s="272">
        <f>SUM(X38:X48)</f>
        <v>2075511</v>
      </c>
      <c r="Y49" s="272">
        <f>SUM(Y38:Y48)</f>
        <v>324849</v>
      </c>
      <c r="Z49" s="272">
        <f>SUM(Z38:Z48)</f>
        <v>13673</v>
      </c>
      <c r="AA49" s="272">
        <f>SUM(AA38:AA48)</f>
        <v>692104</v>
      </c>
      <c r="AB49" s="272"/>
      <c r="AC49" s="272">
        <f>SUM(AC38:AC48)</f>
        <v>16538590</v>
      </c>
      <c r="AD49" s="272">
        <f>SUM(AD38:AD48)</f>
        <v>13849892</v>
      </c>
      <c r="AE49" s="272">
        <f>SUM(AE38:AE48)</f>
        <v>2688698</v>
      </c>
      <c r="AF49" s="272">
        <f>SUM(AF38:AF48)</f>
        <v>52092</v>
      </c>
      <c r="AG49" s="272">
        <f>SUM(AG38:AG48)</f>
        <v>434715</v>
      </c>
      <c r="AH49" s="455">
        <f t="shared" si="3"/>
        <v>1456637</v>
      </c>
      <c r="AI49" s="272">
        <f>SUM(AI38:AI48)</f>
        <v>1153185</v>
      </c>
      <c r="AJ49" s="272">
        <f>SUM(AJ38:AJ48)</f>
        <v>303452</v>
      </c>
      <c r="AK49" s="272">
        <f>SUM(AK38:AK48)</f>
        <v>5177825</v>
      </c>
      <c r="AL49" s="455">
        <f t="shared" si="4"/>
        <v>1186515</v>
      </c>
      <c r="AM49" s="272">
        <f t="shared" ref="AM49:BN49" si="26">SUM(AM38:AM48)</f>
        <v>304748</v>
      </c>
      <c r="AN49" s="272">
        <f t="shared" si="26"/>
        <v>408565</v>
      </c>
      <c r="AO49" s="272">
        <f t="shared" si="26"/>
        <v>0</v>
      </c>
      <c r="AP49" s="272">
        <f t="shared" si="26"/>
        <v>473202</v>
      </c>
      <c r="AQ49" s="272">
        <f t="shared" si="26"/>
        <v>910008</v>
      </c>
      <c r="AR49" s="272">
        <f t="shared" si="26"/>
        <v>11177</v>
      </c>
      <c r="AS49" s="272">
        <f t="shared" si="26"/>
        <v>0</v>
      </c>
      <c r="AT49" s="272">
        <f t="shared" si="26"/>
        <v>5441785</v>
      </c>
      <c r="AU49" s="272">
        <f t="shared" si="26"/>
        <v>1983374</v>
      </c>
      <c r="AV49" s="272">
        <f t="shared" si="26"/>
        <v>208747</v>
      </c>
      <c r="AW49" s="272">
        <f t="shared" si="26"/>
        <v>440627</v>
      </c>
      <c r="AX49" s="272">
        <f t="shared" si="26"/>
        <v>3458411</v>
      </c>
      <c r="AY49" s="272">
        <f t="shared" si="26"/>
        <v>1489977</v>
      </c>
      <c r="AZ49" s="272">
        <f t="shared" si="26"/>
        <v>507072</v>
      </c>
      <c r="BA49" s="272">
        <f t="shared" si="26"/>
        <v>93083</v>
      </c>
      <c r="BB49" s="272">
        <f t="shared" si="26"/>
        <v>467989</v>
      </c>
      <c r="BC49" s="272">
        <f t="shared" si="26"/>
        <v>6091587</v>
      </c>
      <c r="BD49" s="272">
        <f t="shared" si="26"/>
        <v>1174252</v>
      </c>
      <c r="BE49" s="272">
        <f t="shared" si="26"/>
        <v>371513</v>
      </c>
      <c r="BF49" s="272">
        <f t="shared" si="26"/>
        <v>4395651</v>
      </c>
      <c r="BG49" s="272">
        <f t="shared" si="26"/>
        <v>0</v>
      </c>
      <c r="BH49" s="272">
        <f t="shared" si="26"/>
        <v>1929073</v>
      </c>
      <c r="BI49" s="272">
        <f t="shared" si="26"/>
        <v>1376214</v>
      </c>
      <c r="BJ49" s="272">
        <f t="shared" si="26"/>
        <v>1443610</v>
      </c>
      <c r="BK49" s="272">
        <f t="shared" si="26"/>
        <v>260784</v>
      </c>
      <c r="BL49" s="272">
        <f t="shared" si="26"/>
        <v>0</v>
      </c>
      <c r="BM49" s="272">
        <f t="shared" si="26"/>
        <v>0</v>
      </c>
      <c r="BN49" s="272">
        <f t="shared" si="26"/>
        <v>9565600</v>
      </c>
      <c r="BO49" s="455">
        <f t="shared" si="5"/>
        <v>8225900</v>
      </c>
      <c r="BP49" s="455">
        <f t="shared" si="6"/>
        <v>1339700</v>
      </c>
      <c r="BQ49" s="272">
        <f>SUM(BQ38:BQ48)</f>
        <v>1339700</v>
      </c>
      <c r="BR49" s="272">
        <f>SUM(BR38:BR48)</f>
        <v>0</v>
      </c>
      <c r="BS49" s="272">
        <f>SUM(BS38:BS48)</f>
        <v>0</v>
      </c>
      <c r="BT49" s="272">
        <f>SUM(BT38:BT48)</f>
        <v>0</v>
      </c>
      <c r="BU49" s="272">
        <f>SUM(BU38:BU48)</f>
        <v>88842446</v>
      </c>
      <c r="BV49" s="272"/>
      <c r="BW49" s="272">
        <f t="shared" ref="BW49:CI49" si="27">SUM(BW38:BW48)</f>
        <v>22436171</v>
      </c>
      <c r="BX49" s="272">
        <f t="shared" si="27"/>
        <v>16314248</v>
      </c>
      <c r="BY49" s="272">
        <f t="shared" si="27"/>
        <v>932910</v>
      </c>
      <c r="BZ49" s="272">
        <f t="shared" si="27"/>
        <v>560315</v>
      </c>
      <c r="CA49" s="272">
        <f t="shared" si="27"/>
        <v>4977204</v>
      </c>
      <c r="CB49" s="272">
        <f t="shared" si="27"/>
        <v>992097</v>
      </c>
      <c r="CC49" s="272">
        <f t="shared" si="27"/>
        <v>2379009</v>
      </c>
      <c r="CD49" s="272">
        <f t="shared" si="27"/>
        <v>1101887</v>
      </c>
      <c r="CE49" s="272">
        <f t="shared" si="27"/>
        <v>393447</v>
      </c>
      <c r="CF49" s="272">
        <f t="shared" si="27"/>
        <v>5859</v>
      </c>
      <c r="CG49" s="272">
        <f t="shared" si="27"/>
        <v>104409</v>
      </c>
      <c r="CH49" s="272">
        <f t="shared" si="27"/>
        <v>11756512</v>
      </c>
      <c r="CI49" s="272">
        <f t="shared" si="27"/>
        <v>8231125</v>
      </c>
      <c r="CJ49" s="455">
        <f t="shared" si="7"/>
        <v>3525387</v>
      </c>
      <c r="CK49" s="272">
        <f t="shared" ref="CK49:CS49" si="28">SUM(CK38:CK48)</f>
        <v>12659817</v>
      </c>
      <c r="CL49" s="272">
        <f t="shared" si="28"/>
        <v>6595544</v>
      </c>
      <c r="CM49" s="272">
        <f t="shared" si="28"/>
        <v>992287</v>
      </c>
      <c r="CN49" s="272">
        <f t="shared" si="28"/>
        <v>2958780</v>
      </c>
      <c r="CO49" s="272">
        <f t="shared" si="28"/>
        <v>782895</v>
      </c>
      <c r="CP49" s="272">
        <f t="shared" si="28"/>
        <v>5165587</v>
      </c>
      <c r="CQ49" s="272">
        <f t="shared" si="28"/>
        <v>1623389</v>
      </c>
      <c r="CR49" s="272">
        <f t="shared" si="28"/>
        <v>1285566</v>
      </c>
      <c r="CS49" s="272">
        <f t="shared" si="28"/>
        <v>1198908</v>
      </c>
      <c r="CT49" s="455">
        <f t="shared" si="8"/>
        <v>352075</v>
      </c>
      <c r="CU49" s="272">
        <f>SUM(CU38:CU48)</f>
        <v>187265</v>
      </c>
      <c r="CV49" s="272">
        <f>SUM(CV38:CV48)</f>
        <v>164810</v>
      </c>
      <c r="CW49" s="455">
        <f t="shared" si="9"/>
        <v>148332</v>
      </c>
      <c r="CX49" s="272">
        <f>SUM(CX38:CX48)</f>
        <v>120030</v>
      </c>
      <c r="CY49" s="272">
        <f>SUM(CY38:CY48)</f>
        <v>28302</v>
      </c>
      <c r="CZ49" s="455">
        <f t="shared" si="10"/>
        <v>0</v>
      </c>
      <c r="DA49" s="272">
        <f t="shared" ref="DA49:DU49" si="29">SUM(DA38:DA48)</f>
        <v>0</v>
      </c>
      <c r="DB49" s="272">
        <f t="shared" si="29"/>
        <v>0</v>
      </c>
      <c r="DC49" s="272">
        <f t="shared" si="29"/>
        <v>18156191</v>
      </c>
      <c r="DD49" s="272">
        <f t="shared" si="29"/>
        <v>2761735</v>
      </c>
      <c r="DE49" s="272">
        <f t="shared" si="29"/>
        <v>14644698</v>
      </c>
      <c r="DF49" s="272">
        <f t="shared" si="29"/>
        <v>609930</v>
      </c>
      <c r="DG49" s="272">
        <f t="shared" si="29"/>
        <v>70000</v>
      </c>
      <c r="DH49" s="272">
        <f t="shared" si="29"/>
        <v>161780</v>
      </c>
      <c r="DI49" s="272">
        <f t="shared" si="29"/>
        <v>2840706</v>
      </c>
      <c r="DJ49" s="272">
        <f t="shared" si="29"/>
        <v>1180517</v>
      </c>
      <c r="DK49" s="272">
        <f t="shared" si="29"/>
        <v>58888</v>
      </c>
      <c r="DL49" s="272">
        <f t="shared" si="29"/>
        <v>1601301</v>
      </c>
      <c r="DM49" s="272">
        <f t="shared" si="29"/>
        <v>36200</v>
      </c>
      <c r="DN49" s="272">
        <f t="shared" si="29"/>
        <v>24600</v>
      </c>
      <c r="DO49" s="272">
        <f t="shared" si="29"/>
        <v>24600</v>
      </c>
      <c r="DP49" s="272">
        <f t="shared" si="29"/>
        <v>0</v>
      </c>
      <c r="DQ49" s="272">
        <f t="shared" si="29"/>
        <v>61907</v>
      </c>
      <c r="DR49" s="272">
        <f t="shared" si="29"/>
        <v>0</v>
      </c>
      <c r="DS49" s="272">
        <f t="shared" si="29"/>
        <v>0</v>
      </c>
      <c r="DT49" s="272">
        <f t="shared" si="29"/>
        <v>7253135</v>
      </c>
      <c r="DU49" s="272">
        <f t="shared" si="29"/>
        <v>4476716</v>
      </c>
      <c r="DV49" s="455">
        <f t="shared" si="11"/>
        <v>0</v>
      </c>
      <c r="DW49" s="272">
        <f>SUM(DW38:DW48)</f>
        <v>0</v>
      </c>
      <c r="DX49" s="272">
        <f>SUM(DX38:DX48)</f>
        <v>0</v>
      </c>
      <c r="DY49" s="272">
        <f>SUM(DY38:DY48)</f>
        <v>0</v>
      </c>
      <c r="DZ49" s="272">
        <f>SUM(DZ38:DZ48)</f>
        <v>1390942</v>
      </c>
      <c r="EA49" s="272">
        <f>SUM(EA38:EA48)</f>
        <v>1078767</v>
      </c>
      <c r="EB49" s="272"/>
      <c r="EC49" s="272">
        <f t="shared" ref="EC49:EJ49" si="30">SUM(EC38:EC48)</f>
        <v>0</v>
      </c>
      <c r="ED49" s="272">
        <f t="shared" si="30"/>
        <v>86288105</v>
      </c>
      <c r="EE49" s="272">
        <f t="shared" si="30"/>
        <v>0</v>
      </c>
      <c r="EF49" s="272">
        <f t="shared" si="30"/>
        <v>2554341</v>
      </c>
      <c r="EG49" s="272">
        <f t="shared" si="30"/>
        <v>990173</v>
      </c>
      <c r="EH49" s="272">
        <f t="shared" si="30"/>
        <v>1564168</v>
      </c>
      <c r="EI49" s="272">
        <f t="shared" si="30"/>
        <v>117954</v>
      </c>
      <c r="EJ49" s="272">
        <f t="shared" si="30"/>
        <v>731831</v>
      </c>
      <c r="EK49" s="89"/>
      <c r="EL49" s="272"/>
      <c r="EM49" s="272">
        <f>SUM(EM38:EM48)</f>
        <v>234198</v>
      </c>
      <c r="EN49" s="272">
        <f>SUM(EN38:EN48)</f>
        <v>1685486</v>
      </c>
      <c r="EO49" s="272">
        <f>SUM(EO38:EO48)</f>
        <v>189118</v>
      </c>
      <c r="EP49" s="455">
        <f t="shared" si="12"/>
        <v>4566767</v>
      </c>
      <c r="EQ49" s="272">
        <f t="shared" ref="EQ49:EV49" si="31">SUM(EQ38:EQ48)</f>
        <v>56326553</v>
      </c>
      <c r="ER49" s="272">
        <f t="shared" si="31"/>
        <v>-7728979</v>
      </c>
      <c r="ES49" s="272">
        <f t="shared" si="31"/>
        <v>20723739</v>
      </c>
      <c r="ET49" s="272">
        <f t="shared" si="31"/>
        <v>14690289</v>
      </c>
      <c r="EU49" s="272">
        <f t="shared" si="31"/>
        <v>1804445</v>
      </c>
      <c r="EV49" s="272">
        <f t="shared" si="31"/>
        <v>11365774</v>
      </c>
      <c r="EW49" s="455">
        <f t="shared" si="13"/>
        <v>3497831</v>
      </c>
      <c r="EX49" s="272">
        <f>SUM(EX38:EX48)</f>
        <v>3425369</v>
      </c>
      <c r="EY49" s="272">
        <f>SUM(EY38:EY48)</f>
        <v>219881</v>
      </c>
      <c r="EZ49" s="272">
        <f>SUM(EZ38:EZ48)</f>
        <v>3064947</v>
      </c>
      <c r="FA49" s="272">
        <f>SUM(FA38:FA48)</f>
        <v>72462</v>
      </c>
      <c r="FB49" s="272"/>
      <c r="FC49" s="272">
        <f>SUM(FC38:FC48)</f>
        <v>10263446</v>
      </c>
      <c r="FD49" s="272">
        <f>SUM(FD38:FD48)</f>
        <v>4623991</v>
      </c>
      <c r="FE49" s="272">
        <f>SUM(FE38:FE48)</f>
        <v>1459880</v>
      </c>
      <c r="FF49" s="272">
        <f>SUM(FF38:FF48)</f>
        <v>6829744</v>
      </c>
      <c r="FG49" s="455">
        <f t="shared" si="14"/>
        <v>3000532</v>
      </c>
      <c r="FH49" s="272">
        <f>SUM(FH38:FH48)</f>
        <v>62109502</v>
      </c>
      <c r="FI49" s="384">
        <f t="shared" si="15"/>
        <v>2.8</v>
      </c>
      <c r="FJ49" s="272">
        <f>SUM(FJ38:FJ48)</f>
        <v>55055367</v>
      </c>
      <c r="FK49" s="272">
        <f>SUM(FK38:FK48)</f>
        <v>0</v>
      </c>
      <c r="FL49" s="272">
        <f>SUM(FL38:FL48)</f>
        <v>31085077</v>
      </c>
      <c r="FM49" s="272">
        <f>SUM(FM38:FM48)</f>
        <v>43719478</v>
      </c>
      <c r="FN49" s="468">
        <v>0.72299999999999998</v>
      </c>
      <c r="FO49" s="469">
        <v>89.3</v>
      </c>
      <c r="FP49" s="469">
        <v>38.700000000000003</v>
      </c>
      <c r="FQ49" s="469">
        <v>3.2</v>
      </c>
      <c r="FR49" s="469">
        <v>16.5</v>
      </c>
      <c r="FS49" s="469">
        <v>16.899999999999999</v>
      </c>
      <c r="FT49" s="469">
        <v>6.6</v>
      </c>
      <c r="FU49" s="469">
        <v>6</v>
      </c>
      <c r="FV49" s="469">
        <v>9.6999999999999993</v>
      </c>
      <c r="FW49" s="272">
        <f>SUM(FW38:FW48)</f>
        <v>96532542</v>
      </c>
      <c r="FX49" s="384">
        <f t="shared" si="16"/>
        <v>175.3</v>
      </c>
      <c r="FY49" s="272">
        <f t="shared" ref="FY49:GD49" si="32">SUM(FY38:FY48)</f>
        <v>42445312</v>
      </c>
      <c r="FZ49" s="272">
        <f t="shared" si="32"/>
        <v>14023022</v>
      </c>
      <c r="GA49" s="272">
        <f t="shared" si="32"/>
        <v>3619327</v>
      </c>
      <c r="GB49" s="272">
        <f t="shared" si="32"/>
        <v>24802963</v>
      </c>
      <c r="GC49" s="272">
        <f t="shared" si="32"/>
        <v>0</v>
      </c>
      <c r="GD49" s="272">
        <f t="shared" si="32"/>
        <v>12662868</v>
      </c>
      <c r="GE49" s="465">
        <f>ROUND(GD49/FJ52*100,1)</f>
        <v>45.6</v>
      </c>
      <c r="GF49" s="469">
        <v>97.5</v>
      </c>
      <c r="GG49" s="469">
        <v>18.399999999999999</v>
      </c>
      <c r="GH49" s="469">
        <v>91.5</v>
      </c>
      <c r="GI49" s="272">
        <f>SUM(GI38:GI48)</f>
        <v>2424</v>
      </c>
    </row>
    <row r="50" spans="2:191" x14ac:dyDescent="0.15">
      <c r="B50" s="21" t="s">
        <v>91</v>
      </c>
      <c r="C50" s="272">
        <f>C37+C49</f>
        <v>876188747</v>
      </c>
      <c r="D50" s="455">
        <f t="shared" si="0"/>
        <v>323219262</v>
      </c>
      <c r="E50" s="272">
        <f>E37+E49</f>
        <v>5138709</v>
      </c>
      <c r="F50" s="272">
        <f>F37+F49</f>
        <v>318080553</v>
      </c>
      <c r="G50" s="455">
        <f t="shared" si="1"/>
        <v>62435569</v>
      </c>
      <c r="H50" s="272">
        <f t="shared" ref="H50:R50" si="33">H37+H49</f>
        <v>12049021</v>
      </c>
      <c r="I50" s="272">
        <f t="shared" si="33"/>
        <v>50386548</v>
      </c>
      <c r="J50" s="272">
        <f t="shared" si="33"/>
        <v>362951861</v>
      </c>
      <c r="K50" s="272">
        <f t="shared" si="33"/>
        <v>185648180</v>
      </c>
      <c r="L50" s="272">
        <f t="shared" si="33"/>
        <v>121475210</v>
      </c>
      <c r="M50" s="272">
        <f t="shared" si="33"/>
        <v>50594223</v>
      </c>
      <c r="N50" s="272">
        <f t="shared" si="33"/>
        <v>34111268</v>
      </c>
      <c r="O50" s="272">
        <f t="shared" si="33"/>
        <v>79780245</v>
      </c>
      <c r="P50" s="272">
        <f t="shared" si="33"/>
        <v>53998182</v>
      </c>
      <c r="Q50" s="272">
        <f t="shared" si="33"/>
        <v>25782063</v>
      </c>
      <c r="R50" s="272">
        <f t="shared" si="33"/>
        <v>12793742</v>
      </c>
      <c r="S50" s="272"/>
      <c r="T50" s="455">
        <f t="shared" si="2"/>
        <v>75057875</v>
      </c>
      <c r="U50" s="272">
        <f>U37+U49</f>
        <v>9842213</v>
      </c>
      <c r="V50" s="272"/>
      <c r="W50" s="272"/>
      <c r="X50" s="272">
        <f>X37+X49</f>
        <v>51507782</v>
      </c>
      <c r="Y50" s="272">
        <f>Y37+Y49</f>
        <v>1417974</v>
      </c>
      <c r="Z50" s="272">
        <f>Z37+Z49</f>
        <v>561163</v>
      </c>
      <c r="AA50" s="272">
        <f>AA37+AA49</f>
        <v>11728743</v>
      </c>
      <c r="AB50" s="272"/>
      <c r="AC50" s="272">
        <f>AC37+AC49</f>
        <v>126939852</v>
      </c>
      <c r="AD50" s="272">
        <f>AD37+AD49</f>
        <v>111121159</v>
      </c>
      <c r="AE50" s="272">
        <f>AE37+AE49</f>
        <v>15818693</v>
      </c>
      <c r="AF50" s="272">
        <f>AF37+AF49</f>
        <v>1184701</v>
      </c>
      <c r="AG50" s="272">
        <f>AG37+AG49</f>
        <v>21647812</v>
      </c>
      <c r="AH50" s="455">
        <f t="shared" si="3"/>
        <v>34572618</v>
      </c>
      <c r="AI50" s="272">
        <f>AI37+AI49</f>
        <v>27489843</v>
      </c>
      <c r="AJ50" s="272">
        <f>AJ37+AJ49</f>
        <v>7082775</v>
      </c>
      <c r="AK50" s="272">
        <f>AK37+AK49</f>
        <v>172429099</v>
      </c>
      <c r="AL50" s="455">
        <f t="shared" si="4"/>
        <v>88576949</v>
      </c>
      <c r="AM50" s="272">
        <f t="shared" ref="AM50:BN50" si="34">AM37+AM49</f>
        <v>63857528</v>
      </c>
      <c r="AN50" s="272">
        <f t="shared" si="34"/>
        <v>14372172</v>
      </c>
      <c r="AO50" s="272">
        <f t="shared" si="34"/>
        <v>58545</v>
      </c>
      <c r="AP50" s="272">
        <f t="shared" si="34"/>
        <v>10288704</v>
      </c>
      <c r="AQ50" s="272">
        <f t="shared" si="34"/>
        <v>24119193</v>
      </c>
      <c r="AR50" s="272">
        <f t="shared" si="34"/>
        <v>130298</v>
      </c>
      <c r="AS50" s="272">
        <f t="shared" si="34"/>
        <v>326622</v>
      </c>
      <c r="AT50" s="272">
        <f t="shared" si="34"/>
        <v>93831238</v>
      </c>
      <c r="AU50" s="272">
        <f t="shared" si="34"/>
        <v>36492104</v>
      </c>
      <c r="AV50" s="272">
        <f t="shared" si="34"/>
        <v>6932604</v>
      </c>
      <c r="AW50" s="272">
        <f t="shared" si="34"/>
        <v>2029209</v>
      </c>
      <c r="AX50" s="272">
        <f t="shared" si="34"/>
        <v>57339134</v>
      </c>
      <c r="AY50" s="272">
        <f t="shared" si="34"/>
        <v>11009723</v>
      </c>
      <c r="AZ50" s="272">
        <f t="shared" si="34"/>
        <v>7843376</v>
      </c>
      <c r="BA50" s="272">
        <f t="shared" si="34"/>
        <v>3943082</v>
      </c>
      <c r="BB50" s="272">
        <f t="shared" si="34"/>
        <v>5979767</v>
      </c>
      <c r="BC50" s="272">
        <f t="shared" si="34"/>
        <v>53339870</v>
      </c>
      <c r="BD50" s="272">
        <f t="shared" si="34"/>
        <v>12266902</v>
      </c>
      <c r="BE50" s="272">
        <f t="shared" si="34"/>
        <v>6671435</v>
      </c>
      <c r="BF50" s="272">
        <f t="shared" si="34"/>
        <v>30961561</v>
      </c>
      <c r="BG50" s="272">
        <f t="shared" si="34"/>
        <v>683420</v>
      </c>
      <c r="BH50" s="272">
        <f t="shared" si="34"/>
        <v>15477970</v>
      </c>
      <c r="BI50" s="272">
        <f t="shared" si="34"/>
        <v>9877532</v>
      </c>
      <c r="BJ50" s="272">
        <f t="shared" si="34"/>
        <v>52701213</v>
      </c>
      <c r="BK50" s="272">
        <f t="shared" si="34"/>
        <v>31650222</v>
      </c>
      <c r="BL50" s="272">
        <f t="shared" si="34"/>
        <v>887579</v>
      </c>
      <c r="BM50" s="272">
        <f t="shared" si="34"/>
        <v>4276515</v>
      </c>
      <c r="BN50" s="272">
        <f t="shared" si="34"/>
        <v>145359100</v>
      </c>
      <c r="BO50" s="455">
        <f t="shared" si="5"/>
        <v>113556100</v>
      </c>
      <c r="BP50" s="455">
        <f t="shared" si="6"/>
        <v>31803000</v>
      </c>
      <c r="BQ50" s="272">
        <f>BQ37+BQ49</f>
        <v>31803000</v>
      </c>
      <c r="BR50" s="272">
        <f>BR37+BR49</f>
        <v>0</v>
      </c>
      <c r="BS50" s="272">
        <f>BS37+BS49</f>
        <v>0</v>
      </c>
      <c r="BT50" s="272">
        <f>BT37+BT49</f>
        <v>0</v>
      </c>
      <c r="BU50" s="272">
        <f>BU37+BU49</f>
        <v>1695673602</v>
      </c>
      <c r="BV50" s="272"/>
      <c r="BW50" s="272">
        <f t="shared" ref="BW50:CI50" si="35">BW37+BW49</f>
        <v>464108336</v>
      </c>
      <c r="BX50" s="272">
        <f t="shared" si="35"/>
        <v>344515561</v>
      </c>
      <c r="BY50" s="272">
        <f t="shared" si="35"/>
        <v>28567356</v>
      </c>
      <c r="BZ50" s="272">
        <f t="shared" si="35"/>
        <v>15378068</v>
      </c>
      <c r="CA50" s="272">
        <f t="shared" si="35"/>
        <v>224701489</v>
      </c>
      <c r="CB50" s="272">
        <f t="shared" si="35"/>
        <v>27951413</v>
      </c>
      <c r="CC50" s="272">
        <f t="shared" si="35"/>
        <v>55111319</v>
      </c>
      <c r="CD50" s="272">
        <f t="shared" si="35"/>
        <v>45122371</v>
      </c>
      <c r="CE50" s="272">
        <f t="shared" si="35"/>
        <v>85289657</v>
      </c>
      <c r="CF50" s="272">
        <f t="shared" si="35"/>
        <v>7554224</v>
      </c>
      <c r="CG50" s="272">
        <f t="shared" si="35"/>
        <v>3420745</v>
      </c>
      <c r="CH50" s="272">
        <f t="shared" si="35"/>
        <v>167399191</v>
      </c>
      <c r="CI50" s="272">
        <f t="shared" si="35"/>
        <v>103579635</v>
      </c>
      <c r="CJ50" s="455">
        <f t="shared" si="7"/>
        <v>63819556</v>
      </c>
      <c r="CK50" s="272">
        <f t="shared" ref="CK50:CS50" si="36">CK37+CK49</f>
        <v>202474632</v>
      </c>
      <c r="CL50" s="272">
        <f t="shared" si="36"/>
        <v>118369874</v>
      </c>
      <c r="CM50" s="272">
        <f t="shared" si="36"/>
        <v>10276497</v>
      </c>
      <c r="CN50" s="272">
        <f t="shared" si="36"/>
        <v>41840232</v>
      </c>
      <c r="CO50" s="272">
        <f t="shared" si="36"/>
        <v>16733683</v>
      </c>
      <c r="CP50" s="272">
        <f t="shared" si="36"/>
        <v>131051853</v>
      </c>
      <c r="CQ50" s="272">
        <f t="shared" si="36"/>
        <v>43044334</v>
      </c>
      <c r="CR50" s="272">
        <f t="shared" si="36"/>
        <v>38425464</v>
      </c>
      <c r="CS50" s="272">
        <f t="shared" si="36"/>
        <v>31288754</v>
      </c>
      <c r="CT50" s="455">
        <f t="shared" si="8"/>
        <v>20662840</v>
      </c>
      <c r="CU50" s="272">
        <f>CU37+CU49</f>
        <v>13460791</v>
      </c>
      <c r="CV50" s="272">
        <f>CV37+CV49</f>
        <v>7202049</v>
      </c>
      <c r="CW50" s="455">
        <f t="shared" si="9"/>
        <v>17054739</v>
      </c>
      <c r="CX50" s="272">
        <f>CX37+CX49</f>
        <v>12633331</v>
      </c>
      <c r="CY50" s="272">
        <f>CY37+CY49</f>
        <v>4421408</v>
      </c>
      <c r="CZ50" s="455">
        <f t="shared" si="10"/>
        <v>0</v>
      </c>
      <c r="DA50" s="272">
        <f t="shared" ref="DA50:DU50" si="37">DA37+DA49</f>
        <v>0</v>
      </c>
      <c r="DB50" s="272">
        <f t="shared" si="37"/>
        <v>0</v>
      </c>
      <c r="DC50" s="272">
        <f t="shared" si="37"/>
        <v>247875058</v>
      </c>
      <c r="DD50" s="272">
        <f t="shared" si="37"/>
        <v>54104130</v>
      </c>
      <c r="DE50" s="272">
        <f t="shared" si="37"/>
        <v>177026630</v>
      </c>
      <c r="DF50" s="272">
        <f t="shared" si="37"/>
        <v>4305696</v>
      </c>
      <c r="DG50" s="272">
        <f t="shared" si="37"/>
        <v>12360946</v>
      </c>
      <c r="DH50" s="272">
        <f t="shared" si="37"/>
        <v>884115</v>
      </c>
      <c r="DI50" s="272">
        <f t="shared" si="37"/>
        <v>23762614</v>
      </c>
      <c r="DJ50" s="272">
        <f t="shared" si="37"/>
        <v>5894521</v>
      </c>
      <c r="DK50" s="272">
        <f t="shared" si="37"/>
        <v>1276978</v>
      </c>
      <c r="DL50" s="272">
        <f t="shared" si="37"/>
        <v>16591115</v>
      </c>
      <c r="DM50" s="272">
        <f t="shared" si="37"/>
        <v>3666233</v>
      </c>
      <c r="DN50" s="272">
        <f t="shared" si="37"/>
        <v>3189073</v>
      </c>
      <c r="DO50" s="272">
        <f t="shared" si="37"/>
        <v>2344937</v>
      </c>
      <c r="DP50" s="272">
        <f t="shared" si="37"/>
        <v>844136</v>
      </c>
      <c r="DQ50" s="272">
        <f t="shared" si="37"/>
        <v>32079151</v>
      </c>
      <c r="DR50" s="272">
        <f t="shared" si="37"/>
        <v>1139005</v>
      </c>
      <c r="DS50" s="272">
        <f t="shared" si="37"/>
        <v>760000</v>
      </c>
      <c r="DT50" s="272">
        <f t="shared" si="37"/>
        <v>150787501</v>
      </c>
      <c r="DU50" s="272">
        <f t="shared" si="37"/>
        <v>87682360</v>
      </c>
      <c r="DV50" s="455">
        <f t="shared" si="11"/>
        <v>54054</v>
      </c>
      <c r="DW50" s="272">
        <f>DW37+DW49</f>
        <v>54054</v>
      </c>
      <c r="DX50" s="272">
        <f>DX37+DX49</f>
        <v>0</v>
      </c>
      <c r="DY50" s="272">
        <f>DY37+DY49</f>
        <v>283891</v>
      </c>
      <c r="DZ50" s="272">
        <f>DZ37+DZ49</f>
        <v>40073175</v>
      </c>
      <c r="EA50" s="272">
        <f>EA37+EA49</f>
        <v>20741749</v>
      </c>
      <c r="EB50" s="272"/>
      <c r="EC50" s="272">
        <f t="shared" ref="EC50:EJ50" si="38">EC37+EC49</f>
        <v>1131205</v>
      </c>
      <c r="ED50" s="272">
        <f t="shared" si="38"/>
        <v>1666655061</v>
      </c>
      <c r="EE50" s="272">
        <f t="shared" si="38"/>
        <v>0</v>
      </c>
      <c r="EF50" s="272">
        <f t="shared" si="38"/>
        <v>29018541</v>
      </c>
      <c r="EG50" s="272">
        <f t="shared" si="38"/>
        <v>25235966</v>
      </c>
      <c r="EH50" s="272">
        <f t="shared" si="38"/>
        <v>3782575</v>
      </c>
      <c r="EI50" s="272">
        <f t="shared" si="38"/>
        <v>-5220999</v>
      </c>
      <c r="EJ50" s="272">
        <f t="shared" si="38"/>
        <v>-8184399</v>
      </c>
      <c r="EK50" s="89"/>
      <c r="EL50" s="272"/>
      <c r="EM50" s="272">
        <f>EM37+EM49</f>
        <v>5364166</v>
      </c>
      <c r="EN50" s="272">
        <f>EN37+EN49</f>
        <v>28990539</v>
      </c>
      <c r="EO50" s="272">
        <f>EO37+EO49</f>
        <v>3702474</v>
      </c>
      <c r="EP50" s="455">
        <f t="shared" si="12"/>
        <v>39423775</v>
      </c>
      <c r="EQ50" s="272">
        <f t="shared" ref="EQ50:EV50" si="39">EQ37+EQ49</f>
        <v>1092491539</v>
      </c>
      <c r="ER50" s="272">
        <f t="shared" si="39"/>
        <v>-102408465</v>
      </c>
      <c r="ES50" s="272">
        <f t="shared" si="39"/>
        <v>427386749</v>
      </c>
      <c r="ET50" s="272">
        <f t="shared" si="39"/>
        <v>310852134</v>
      </c>
      <c r="EU50" s="272">
        <f t="shared" si="39"/>
        <v>70464123</v>
      </c>
      <c r="EV50" s="272">
        <f t="shared" si="39"/>
        <v>162555009</v>
      </c>
      <c r="EW50" s="455">
        <f t="shared" si="13"/>
        <v>73211029</v>
      </c>
      <c r="EX50" s="272">
        <f>EX37+EX49</f>
        <v>72712467</v>
      </c>
      <c r="EY50" s="272">
        <f>EY37+EY49</f>
        <v>4772218</v>
      </c>
      <c r="EZ50" s="272">
        <f>EZ37+EZ49</f>
        <v>67342507</v>
      </c>
      <c r="FA50" s="272">
        <f>FA37+FA49</f>
        <v>498562</v>
      </c>
      <c r="FB50" s="272"/>
      <c r="FC50" s="272">
        <f>FC37+FC49</f>
        <v>159077453</v>
      </c>
      <c r="FD50" s="272">
        <f>FD37+FD49</f>
        <v>116238784</v>
      </c>
      <c r="FE50" s="272">
        <f>FE37+FE49</f>
        <v>42806363</v>
      </c>
      <c r="FF50" s="272">
        <f>FF37+FF49</f>
        <v>139348749</v>
      </c>
      <c r="FG50" s="455">
        <f t="shared" si="14"/>
        <v>35458138</v>
      </c>
      <c r="FH50" s="272">
        <f>FH37+FH49</f>
        <v>1183740034</v>
      </c>
      <c r="FI50" s="384">
        <f t="shared" si="15"/>
        <v>0.4</v>
      </c>
      <c r="FJ50" s="272">
        <f>FJ37+FJ49</f>
        <v>1048996070</v>
      </c>
      <c r="FK50" s="272">
        <f>FK37+FK49</f>
        <v>0</v>
      </c>
      <c r="FL50" s="272">
        <f>FL37+FL49</f>
        <v>706989485</v>
      </c>
      <c r="FM50" s="272">
        <f>FM37+FM49</f>
        <v>803312506</v>
      </c>
      <c r="FN50" s="468">
        <v>0.89400000000000002</v>
      </c>
      <c r="FO50" s="469">
        <v>98.9</v>
      </c>
      <c r="FP50" s="469">
        <v>41.1</v>
      </c>
      <c r="FQ50" s="469">
        <v>7.4</v>
      </c>
      <c r="FR50" s="469">
        <v>15.6</v>
      </c>
      <c r="FS50" s="469">
        <v>14.7</v>
      </c>
      <c r="FT50" s="469">
        <v>10.9</v>
      </c>
      <c r="FU50" s="469">
        <v>7.8</v>
      </c>
      <c r="FV50" s="469">
        <v>10.1</v>
      </c>
      <c r="FW50" s="272">
        <f>FW37+FW49</f>
        <v>1592455823</v>
      </c>
      <c r="FX50" s="384">
        <f t="shared" si="16"/>
        <v>151.80000000000001</v>
      </c>
      <c r="FY50" s="272">
        <f t="shared" ref="FY50:GD50" si="40">FY37+FY49</f>
        <v>364603289</v>
      </c>
      <c r="FZ50" s="272">
        <f t="shared" si="40"/>
        <v>92088001</v>
      </c>
      <c r="GA50" s="272">
        <f t="shared" si="40"/>
        <v>25927981</v>
      </c>
      <c r="GB50" s="272">
        <f t="shared" si="40"/>
        <v>246587307</v>
      </c>
      <c r="GC50" s="272">
        <f t="shared" si="40"/>
        <v>0</v>
      </c>
      <c r="GD50" s="272">
        <f t="shared" si="40"/>
        <v>456822888</v>
      </c>
      <c r="GE50" s="465">
        <f>ROUND(GD50/FJ53*100,1)</f>
        <v>44.7</v>
      </c>
      <c r="GF50" s="469">
        <v>97.5</v>
      </c>
      <c r="GG50" s="469">
        <v>20.399999999999999</v>
      </c>
      <c r="GH50" s="469">
        <v>91.8</v>
      </c>
      <c r="GI50" s="272">
        <f>GI37+GI49</f>
        <v>43712</v>
      </c>
    </row>
    <row r="51" spans="2:191" x14ac:dyDescent="0.15">
      <c r="C51" s="89"/>
      <c r="E51" s="89"/>
      <c r="F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I51" s="89"/>
      <c r="AJ51" s="89"/>
      <c r="AK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K51" s="89"/>
      <c r="CL51" s="89"/>
      <c r="CM51" s="89"/>
      <c r="CN51" s="89"/>
      <c r="CO51" s="89"/>
      <c r="CP51" s="89"/>
      <c r="CQ51" s="89"/>
      <c r="CR51" s="89"/>
      <c r="CS51" s="89"/>
      <c r="CU51" s="89"/>
      <c r="CV51" s="89"/>
      <c r="CX51" s="89"/>
      <c r="CY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  <c r="EG51" s="89"/>
      <c r="EH51" s="89"/>
      <c r="EI51" s="89"/>
      <c r="EJ51" s="89"/>
      <c r="EK51" s="89"/>
      <c r="EL51" s="89"/>
      <c r="EM51" s="89"/>
      <c r="EN51" s="89"/>
      <c r="EO51" s="89"/>
      <c r="EQ51" s="89"/>
      <c r="ER51" s="89"/>
      <c r="ES51" s="89"/>
      <c r="ET51" s="89"/>
      <c r="EU51" s="89"/>
      <c r="EV51" s="89"/>
      <c r="GE51" s="31" t="s">
        <v>647</v>
      </c>
    </row>
    <row r="52" spans="2:191" x14ac:dyDescent="0.15">
      <c r="E52" s="89"/>
      <c r="F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I52" s="89"/>
      <c r="AJ52" s="89"/>
      <c r="AK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K52" s="89"/>
      <c r="CL52" s="89"/>
      <c r="CM52" s="89"/>
      <c r="CN52" s="89"/>
      <c r="CO52" s="89"/>
      <c r="CP52" s="89"/>
      <c r="CQ52" s="89"/>
      <c r="CR52" s="89"/>
      <c r="CS52" s="89"/>
      <c r="DA52" s="89"/>
      <c r="DB52" s="89"/>
      <c r="DC52" s="89"/>
      <c r="DD52" s="89"/>
      <c r="DE52" s="89"/>
      <c r="DF52" s="89"/>
      <c r="DG52" s="89"/>
      <c r="DH52" s="89"/>
      <c r="DI52" s="89"/>
      <c r="DJ52" s="89"/>
      <c r="DK52" s="89"/>
      <c r="DL52" s="89"/>
      <c r="DM52" s="89"/>
      <c r="DN52" s="89"/>
      <c r="DO52" s="89"/>
      <c r="DP52" s="89"/>
      <c r="DQ52" s="89"/>
      <c r="DR52" s="89"/>
      <c r="DS52" s="89"/>
      <c r="DT52" s="89"/>
      <c r="DU52" s="89"/>
      <c r="DW52" s="89"/>
      <c r="DX52" s="89"/>
      <c r="DY52" s="89"/>
      <c r="DZ52" s="89"/>
      <c r="EA52" s="89"/>
      <c r="EB52" s="89"/>
      <c r="EC52" s="89"/>
      <c r="ED52" s="89"/>
      <c r="EE52" s="89"/>
      <c r="EF52" s="89"/>
      <c r="EG52" s="89"/>
      <c r="EH52" s="89"/>
      <c r="EI52" s="89"/>
      <c r="EJ52" s="89"/>
      <c r="EK52" s="89"/>
      <c r="EL52" s="89"/>
      <c r="EM52" s="89"/>
      <c r="EN52" s="89"/>
      <c r="EO52" s="89"/>
      <c r="FJ52" s="394">
        <f>FJ42+FJ43+FJ45+FJ46+FJ48</f>
        <v>27749028</v>
      </c>
      <c r="FO52" s="33"/>
      <c r="FP52" s="89" t="s">
        <v>816</v>
      </c>
    </row>
    <row r="53" spans="2:191" x14ac:dyDescent="0.15"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FJ53" s="394">
        <f>FJ37+FJ52</f>
        <v>1021689731</v>
      </c>
    </row>
  </sheetData>
  <phoneticPr fontId="3"/>
  <pageMargins left="0.75" right="0.75" top="1" bottom="1" header="0.51200000000000001" footer="0.51200000000000001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4">
    <tabColor indexed="15"/>
  </sheetPr>
  <dimension ref="A1:GI53"/>
  <sheetViews>
    <sheetView workbookViewId="0">
      <pane xSplit="2" ySplit="5" topLeftCell="FW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</cols>
  <sheetData>
    <row r="1" spans="2:191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191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830</v>
      </c>
      <c r="O2" s="28" t="s">
        <v>840</v>
      </c>
      <c r="P2" s="28" t="s">
        <v>831</v>
      </c>
      <c r="Q2" s="28" t="s">
        <v>832</v>
      </c>
      <c r="R2" s="28" t="s">
        <v>351</v>
      </c>
      <c r="S2" s="28" t="s">
        <v>351</v>
      </c>
      <c r="U2" s="28" t="s">
        <v>725</v>
      </c>
      <c r="V2" s="28"/>
      <c r="W2" s="28"/>
      <c r="X2" s="28" t="s">
        <v>354</v>
      </c>
      <c r="Y2" s="28" t="s">
        <v>355</v>
      </c>
      <c r="Z2" s="28" t="s">
        <v>664</v>
      </c>
      <c r="AA2" s="28" t="s">
        <v>356</v>
      </c>
      <c r="AB2" s="28"/>
      <c r="AC2" s="28" t="s">
        <v>653</v>
      </c>
      <c r="AD2" s="28" t="s">
        <v>358</v>
      </c>
      <c r="AE2" s="28" t="s">
        <v>359</v>
      </c>
      <c r="AF2" s="28" t="s">
        <v>360</v>
      </c>
      <c r="AG2" s="28" t="s">
        <v>361</v>
      </c>
      <c r="AI2" s="28" t="s">
        <v>362</v>
      </c>
      <c r="AJ2" s="28" t="s">
        <v>668</v>
      </c>
      <c r="AK2" s="28" t="s">
        <v>685</v>
      </c>
      <c r="AL2" s="29"/>
      <c r="AM2" s="28" t="s">
        <v>669</v>
      </c>
      <c r="AN2" s="28" t="s">
        <v>796</v>
      </c>
      <c r="AO2" s="28" t="s">
        <v>727</v>
      </c>
      <c r="AP2" s="28" t="s">
        <v>833</v>
      </c>
      <c r="AQ2" s="28" t="s">
        <v>797</v>
      </c>
      <c r="AR2" s="28" t="s">
        <v>368</v>
      </c>
      <c r="AS2" s="28" t="s">
        <v>374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846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/>
      <c r="BR2" s="28" t="s">
        <v>847</v>
      </c>
      <c r="BS2" s="28"/>
      <c r="BT2" s="28" t="s">
        <v>850</v>
      </c>
      <c r="BU2" s="28" t="s">
        <v>806</v>
      </c>
      <c r="BW2" s="28" t="s">
        <v>402</v>
      </c>
      <c r="BX2" s="28" t="s">
        <v>403</v>
      </c>
      <c r="BY2" s="28" t="s">
        <v>786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836</v>
      </c>
      <c r="CM2" s="28" t="s">
        <v>837</v>
      </c>
      <c r="CN2" s="28" t="s">
        <v>838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820</v>
      </c>
      <c r="CV2" s="28" t="s">
        <v>821</v>
      </c>
      <c r="CX2" s="28" t="s">
        <v>426</v>
      </c>
      <c r="CY2" s="28" t="s">
        <v>812</v>
      </c>
      <c r="DA2" s="28" t="s">
        <v>822</v>
      </c>
      <c r="DB2" s="28" t="s">
        <v>823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824</v>
      </c>
      <c r="DW2" s="28" t="s">
        <v>449</v>
      </c>
      <c r="DX2" s="28" t="s">
        <v>448</v>
      </c>
      <c r="DY2" s="28" t="s">
        <v>451</v>
      </c>
      <c r="DZ2" s="28" t="s">
        <v>825</v>
      </c>
      <c r="EA2" s="28" t="s">
        <v>826</v>
      </c>
      <c r="EB2" s="28"/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191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827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191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851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203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191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828</v>
      </c>
      <c r="DX5" s="30" t="s">
        <v>829</v>
      </c>
      <c r="DY5" s="30"/>
      <c r="DZ5" s="30"/>
      <c r="EA5" s="30"/>
      <c r="EB5" s="30"/>
      <c r="EC5" s="30"/>
      <c r="ED5" s="3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191" x14ac:dyDescent="0.15">
      <c r="B6" s="89" t="s">
        <v>5</v>
      </c>
      <c r="C6" s="272">
        <v>29361058</v>
      </c>
      <c r="D6" s="455">
        <f t="shared" ref="D6:D50" si="0">E6+F6</f>
        <v>10649853</v>
      </c>
      <c r="E6" s="272">
        <v>177260</v>
      </c>
      <c r="F6" s="272">
        <v>10472593</v>
      </c>
      <c r="G6" s="455">
        <f t="shared" ref="G6:G50" si="1">H6+I6</f>
        <v>2627646</v>
      </c>
      <c r="H6" s="272">
        <v>417817</v>
      </c>
      <c r="I6" s="272">
        <v>2209829</v>
      </c>
      <c r="J6" s="272">
        <v>11736723</v>
      </c>
      <c r="K6" s="272">
        <v>6519939</v>
      </c>
      <c r="L6" s="272">
        <v>3614136</v>
      </c>
      <c r="M6" s="272">
        <v>1368069</v>
      </c>
      <c r="N6" s="272">
        <v>1295665</v>
      </c>
      <c r="O6" s="272">
        <v>2656358</v>
      </c>
      <c r="P6" s="272">
        <v>1900366</v>
      </c>
      <c r="Q6" s="272">
        <v>755992</v>
      </c>
      <c r="R6" s="272">
        <v>724724</v>
      </c>
      <c r="S6" s="272">
        <v>324214</v>
      </c>
      <c r="T6" s="455">
        <f t="shared" ref="T6:T50" si="2">SUM(U6:AA6)</f>
        <v>1445566</v>
      </c>
      <c r="U6" s="272">
        <v>369305</v>
      </c>
      <c r="V6" s="272"/>
      <c r="W6" s="272"/>
      <c r="X6" s="272">
        <v>430408</v>
      </c>
      <c r="Y6" s="272">
        <v>77764</v>
      </c>
      <c r="Z6" s="272">
        <v>28872</v>
      </c>
      <c r="AA6" s="272">
        <v>539217</v>
      </c>
      <c r="AB6" s="272"/>
      <c r="AC6" s="272">
        <v>6923383</v>
      </c>
      <c r="AD6" s="272">
        <v>6816679</v>
      </c>
      <c r="AE6" s="272">
        <v>106704</v>
      </c>
      <c r="AF6" s="272">
        <v>49202</v>
      </c>
      <c r="AG6" s="272">
        <v>361073</v>
      </c>
      <c r="AH6" s="455">
        <f t="shared" ref="AH6:AH50" si="3">AI6+AJ6</f>
        <v>1460372</v>
      </c>
      <c r="AI6" s="272">
        <v>1329887</v>
      </c>
      <c r="AJ6" s="272">
        <v>130485</v>
      </c>
      <c r="AK6" s="272">
        <v>6010008</v>
      </c>
      <c r="AL6" s="455">
        <f t="shared" ref="AL6:AL50" si="4">SUM(AM6:AP6)</f>
        <v>3493520</v>
      </c>
      <c r="AM6" s="272">
        <v>2575002</v>
      </c>
      <c r="AN6" s="272">
        <v>617633</v>
      </c>
      <c r="AO6" s="272">
        <v>0</v>
      </c>
      <c r="AP6" s="272">
        <v>300885</v>
      </c>
      <c r="AQ6" s="272">
        <v>742681</v>
      </c>
      <c r="AR6" s="272">
        <v>0</v>
      </c>
      <c r="AS6" s="272">
        <v>0</v>
      </c>
      <c r="AT6" s="272">
        <v>3651634</v>
      </c>
      <c r="AU6" s="272">
        <v>1255127</v>
      </c>
      <c r="AV6" s="272">
        <v>419946</v>
      </c>
      <c r="AW6" s="272">
        <v>48192</v>
      </c>
      <c r="AX6" s="272">
        <v>2396507</v>
      </c>
      <c r="AY6" s="272">
        <v>786000</v>
      </c>
      <c r="AZ6" s="272">
        <v>355637</v>
      </c>
      <c r="BA6" s="272">
        <v>241381</v>
      </c>
      <c r="BB6" s="272">
        <v>273985</v>
      </c>
      <c r="BC6" s="272">
        <v>1329754</v>
      </c>
      <c r="BD6" s="272">
        <v>0</v>
      </c>
      <c r="BE6" s="272">
        <v>0</v>
      </c>
      <c r="BF6" s="272">
        <v>971999</v>
      </c>
      <c r="BG6" s="272">
        <v>246686</v>
      </c>
      <c r="BH6" s="272">
        <v>1191716</v>
      </c>
      <c r="BI6" s="272">
        <v>151050</v>
      </c>
      <c r="BJ6" s="272">
        <v>1516085</v>
      </c>
      <c r="BK6" s="272">
        <v>98335</v>
      </c>
      <c r="BL6" s="272">
        <v>0</v>
      </c>
      <c r="BM6" s="272">
        <v>1058855</v>
      </c>
      <c r="BN6" s="272">
        <v>11414200</v>
      </c>
      <c r="BO6" s="455">
        <f t="shared" ref="BO6:BO50" si="5">BN6-BP6-BT6</f>
        <v>10198600</v>
      </c>
      <c r="BP6" s="455">
        <f t="shared" ref="BP6:BP50" si="6">BQ6+BR6+BS6</f>
        <v>1215600</v>
      </c>
      <c r="BQ6" s="272"/>
      <c r="BR6" s="272">
        <v>1215600</v>
      </c>
      <c r="BS6" s="272"/>
      <c r="BT6" s="272">
        <v>0</v>
      </c>
      <c r="BU6" s="272">
        <v>66068397</v>
      </c>
      <c r="BV6" s="272"/>
      <c r="BW6" s="272">
        <v>16286121</v>
      </c>
      <c r="BX6" s="272">
        <v>12306060</v>
      </c>
      <c r="BY6" s="272">
        <v>864150</v>
      </c>
      <c r="BZ6" s="272">
        <v>442386</v>
      </c>
      <c r="CA6" s="272">
        <v>9375076</v>
      </c>
      <c r="CB6" s="272">
        <v>1308477</v>
      </c>
      <c r="CC6" s="272">
        <v>2370049</v>
      </c>
      <c r="CD6" s="272">
        <v>2015037</v>
      </c>
      <c r="CE6" s="272">
        <v>3492405</v>
      </c>
      <c r="CF6" s="272">
        <v>257</v>
      </c>
      <c r="CG6" s="272">
        <v>184891</v>
      </c>
      <c r="CH6" s="272">
        <v>6622618</v>
      </c>
      <c r="CI6" s="272">
        <v>4007160</v>
      </c>
      <c r="CJ6" s="455">
        <f t="shared" ref="CJ6:CJ50" si="7">CH6-CI6</f>
        <v>2615458</v>
      </c>
      <c r="CK6" s="272">
        <v>5642739</v>
      </c>
      <c r="CL6" s="272">
        <v>2766650</v>
      </c>
      <c r="CM6" s="272">
        <v>213327</v>
      </c>
      <c r="CN6" s="272">
        <v>1146226</v>
      </c>
      <c r="CO6" s="272">
        <v>270849</v>
      </c>
      <c r="CP6" s="272">
        <v>5674768</v>
      </c>
      <c r="CQ6" s="272">
        <v>1152913</v>
      </c>
      <c r="CR6" s="272">
        <v>897316</v>
      </c>
      <c r="CS6" s="272">
        <v>897316</v>
      </c>
      <c r="CT6" s="455">
        <f t="shared" ref="CT6:CT50" si="8">CU6+CV6</f>
        <v>2419671</v>
      </c>
      <c r="CU6" s="272">
        <v>1626987</v>
      </c>
      <c r="CV6" s="272">
        <v>792684</v>
      </c>
      <c r="CW6" s="455">
        <f t="shared" ref="CW6:CW50" si="9">CX6+CY6</f>
        <v>2364074</v>
      </c>
      <c r="CX6" s="272">
        <v>1599890</v>
      </c>
      <c r="CY6" s="272">
        <v>764184</v>
      </c>
      <c r="CZ6" s="455">
        <f t="shared" ref="CZ6:CZ50" si="10">DA6+DB6</f>
        <v>0</v>
      </c>
      <c r="DA6" s="272">
        <v>0</v>
      </c>
      <c r="DB6" s="272">
        <v>0</v>
      </c>
      <c r="DC6" s="272">
        <v>15200169</v>
      </c>
      <c r="DD6" s="272">
        <v>1855063</v>
      </c>
      <c r="DE6" s="272">
        <v>12943240</v>
      </c>
      <c r="DF6" s="272">
        <v>132890</v>
      </c>
      <c r="DG6" s="272">
        <v>268976</v>
      </c>
      <c r="DH6" s="272">
        <v>49564</v>
      </c>
      <c r="DI6" s="272">
        <v>307992</v>
      </c>
      <c r="DJ6" s="272">
        <v>18102</v>
      </c>
      <c r="DK6" s="272">
        <v>21617</v>
      </c>
      <c r="DL6" s="272">
        <v>268273</v>
      </c>
      <c r="DM6" s="272">
        <v>0</v>
      </c>
      <c r="DN6" s="272">
        <v>0</v>
      </c>
      <c r="DO6" s="272">
        <v>0</v>
      </c>
      <c r="DP6" s="272">
        <v>0</v>
      </c>
      <c r="DQ6" s="272">
        <v>97000</v>
      </c>
      <c r="DR6" s="272">
        <v>0</v>
      </c>
      <c r="DS6" s="272">
        <v>0</v>
      </c>
      <c r="DT6" s="272">
        <v>5831432</v>
      </c>
      <c r="DU6" s="272">
        <v>3761164</v>
      </c>
      <c r="DV6" s="455">
        <f t="shared" ref="DV6:DV50" si="11">DW6+DX6</f>
        <v>0</v>
      </c>
      <c r="DW6" s="272">
        <v>0</v>
      </c>
      <c r="DX6" s="272">
        <v>0</v>
      </c>
      <c r="DY6" s="272">
        <v>0</v>
      </c>
      <c r="DZ6" s="272">
        <v>1129862</v>
      </c>
      <c r="EA6" s="272">
        <v>906315</v>
      </c>
      <c r="EB6" s="272"/>
      <c r="EC6" s="272">
        <v>0</v>
      </c>
      <c r="ED6" s="272">
        <v>65358328</v>
      </c>
      <c r="EF6" s="272">
        <v>710069</v>
      </c>
      <c r="EG6" s="272">
        <v>470986</v>
      </c>
      <c r="EH6" s="272">
        <v>239083</v>
      </c>
      <c r="EI6" s="272">
        <v>88033</v>
      </c>
      <c r="EJ6" s="272">
        <v>106135</v>
      </c>
      <c r="EL6" s="272"/>
      <c r="EM6" s="272">
        <v>197337</v>
      </c>
      <c r="EN6" s="272">
        <v>357755</v>
      </c>
      <c r="EO6" s="272">
        <v>269515</v>
      </c>
      <c r="EP6" s="455">
        <f t="shared" ref="EP6:EP50" si="12">EQ6-ER6-C6-R6-T6-AB6-AC6-BP6-EN6-EO6</f>
        <v>3275673</v>
      </c>
      <c r="EQ6" s="272">
        <v>38503933</v>
      </c>
      <c r="ER6" s="272">
        <v>-5069341</v>
      </c>
      <c r="ES6" s="272">
        <v>14752099</v>
      </c>
      <c r="ET6" s="272">
        <v>10777274</v>
      </c>
      <c r="EU6" s="272">
        <v>3030302</v>
      </c>
      <c r="EV6" s="272">
        <v>6543294</v>
      </c>
      <c r="EW6" s="455">
        <f t="shared" ref="EW6:EW50" si="13">EX6+FA6+FB6</f>
        <v>2639443</v>
      </c>
      <c r="EX6" s="272">
        <v>2639443</v>
      </c>
      <c r="EY6" s="272">
        <v>105268</v>
      </c>
      <c r="EZ6" s="272">
        <v>2495185</v>
      </c>
      <c r="FA6" s="272">
        <v>0</v>
      </c>
      <c r="FB6" s="272"/>
      <c r="FC6" s="272">
        <v>4768369</v>
      </c>
      <c r="FD6" s="272">
        <v>4952764</v>
      </c>
      <c r="FE6" s="272">
        <v>1152913</v>
      </c>
      <c r="FF6" s="272">
        <v>5707989</v>
      </c>
      <c r="FG6" s="455">
        <f t="shared" ref="FG6:FG50" si="14">FH6-ES6-EU6-EV6-EW6-FC6-FD6-FF6</f>
        <v>468945</v>
      </c>
      <c r="FH6" s="272">
        <v>42863205</v>
      </c>
      <c r="FI6" s="384">
        <f t="shared" ref="FI6:FI50" si="15">ROUND(EH6/FJ6*100,1)</f>
        <v>0.7</v>
      </c>
      <c r="FJ6" s="272">
        <v>36662413</v>
      </c>
      <c r="FK6" s="272"/>
      <c r="FL6" s="272">
        <v>22498457</v>
      </c>
      <c r="FM6" s="272">
        <v>29393607</v>
      </c>
      <c r="FN6" s="460">
        <v>0.751</v>
      </c>
      <c r="FO6" s="388">
        <v>99.1</v>
      </c>
      <c r="FP6" s="388">
        <v>40.5</v>
      </c>
      <c r="FQ6" s="388">
        <v>8.4</v>
      </c>
      <c r="FR6" s="388">
        <v>15.5</v>
      </c>
      <c r="FS6" s="388">
        <v>12.2</v>
      </c>
      <c r="FT6" s="388">
        <v>11.8</v>
      </c>
      <c r="FU6" s="388">
        <v>10.1</v>
      </c>
      <c r="FV6" s="388">
        <v>10.6</v>
      </c>
      <c r="FW6" s="272">
        <v>69877863</v>
      </c>
      <c r="FX6" s="384">
        <f t="shared" ref="FX6:FX50" si="16">ROUND(FW6/FJ6*100,1)</f>
        <v>190.6</v>
      </c>
      <c r="FY6" s="272">
        <v>10446124</v>
      </c>
      <c r="FZ6" s="272">
        <v>2078055</v>
      </c>
      <c r="GA6" s="272">
        <v>2427849</v>
      </c>
      <c r="GB6" s="272">
        <v>5940220</v>
      </c>
      <c r="GC6" s="272"/>
      <c r="GD6" s="272">
        <v>25835074</v>
      </c>
      <c r="GE6" s="384">
        <f t="shared" ref="GE6:GE37" si="17">ROUND(GD6/FJ6*100,1)</f>
        <v>70.5</v>
      </c>
      <c r="GF6" s="388">
        <v>97.6</v>
      </c>
      <c r="GG6" s="388">
        <v>23.1</v>
      </c>
      <c r="GH6" s="388">
        <v>93.5</v>
      </c>
      <c r="GI6" s="272">
        <v>1638</v>
      </c>
    </row>
    <row r="7" spans="2:191" x14ac:dyDescent="0.15">
      <c r="B7" s="89" t="s">
        <v>7</v>
      </c>
      <c r="C7" s="272">
        <v>75571669</v>
      </c>
      <c r="D7" s="455">
        <f t="shared" si="0"/>
        <v>34894437</v>
      </c>
      <c r="E7" s="272">
        <v>378159</v>
      </c>
      <c r="F7" s="272">
        <v>34516278</v>
      </c>
      <c r="G7" s="455">
        <f t="shared" si="1"/>
        <v>5996354</v>
      </c>
      <c r="H7" s="272">
        <v>969596</v>
      </c>
      <c r="I7" s="272">
        <v>5026758</v>
      </c>
      <c r="J7" s="272">
        <v>24169638</v>
      </c>
      <c r="K7" s="272">
        <v>11586324</v>
      </c>
      <c r="L7" s="272">
        <v>9059586</v>
      </c>
      <c r="M7" s="272">
        <v>3001307</v>
      </c>
      <c r="N7" s="272">
        <v>3724953</v>
      </c>
      <c r="O7" s="272">
        <v>5366317</v>
      </c>
      <c r="P7" s="272">
        <v>3617966</v>
      </c>
      <c r="Q7" s="272">
        <v>1748351</v>
      </c>
      <c r="R7" s="272">
        <v>3383761</v>
      </c>
      <c r="S7" s="272">
        <v>622727</v>
      </c>
      <c r="T7" s="455">
        <f t="shared" si="2"/>
        <v>3048082</v>
      </c>
      <c r="U7" s="272">
        <v>1174079</v>
      </c>
      <c r="V7" s="272"/>
      <c r="W7" s="272"/>
      <c r="X7" s="272">
        <v>832185</v>
      </c>
      <c r="Y7" s="272">
        <v>0</v>
      </c>
      <c r="Z7" s="272">
        <v>64465</v>
      </c>
      <c r="AA7" s="272">
        <v>977353</v>
      </c>
      <c r="AB7" s="272"/>
      <c r="AC7" s="272">
        <v>566092</v>
      </c>
      <c r="AD7" s="272">
        <v>0</v>
      </c>
      <c r="AE7" s="272">
        <v>566092</v>
      </c>
      <c r="AF7" s="272">
        <v>79476</v>
      </c>
      <c r="AG7" s="272">
        <v>968117</v>
      </c>
      <c r="AH7" s="455">
        <f t="shared" si="3"/>
        <v>2278682</v>
      </c>
      <c r="AI7" s="272">
        <v>2039312</v>
      </c>
      <c r="AJ7" s="272">
        <v>239370</v>
      </c>
      <c r="AK7" s="272">
        <v>12543679</v>
      </c>
      <c r="AL7" s="455">
        <f t="shared" si="4"/>
        <v>6220976</v>
      </c>
      <c r="AM7" s="272">
        <v>5175500</v>
      </c>
      <c r="AN7" s="272">
        <v>548842</v>
      </c>
      <c r="AO7" s="272">
        <v>0</v>
      </c>
      <c r="AP7" s="272">
        <v>496634</v>
      </c>
      <c r="AQ7" s="272">
        <v>3180254</v>
      </c>
      <c r="AR7" s="272">
        <v>275577</v>
      </c>
      <c r="AS7" s="272">
        <v>0</v>
      </c>
      <c r="AT7" s="272">
        <v>6032155</v>
      </c>
      <c r="AU7" s="272">
        <v>1930100</v>
      </c>
      <c r="AV7" s="272">
        <v>272700</v>
      </c>
      <c r="AW7" s="272">
        <v>332597</v>
      </c>
      <c r="AX7" s="272">
        <v>4102055</v>
      </c>
      <c r="AY7" s="272">
        <v>358151</v>
      </c>
      <c r="AZ7" s="272">
        <v>472666</v>
      </c>
      <c r="BA7" s="272">
        <v>97101</v>
      </c>
      <c r="BB7" s="272">
        <v>618995</v>
      </c>
      <c r="BC7" s="272">
        <v>22550012</v>
      </c>
      <c r="BD7" s="272">
        <v>1800000</v>
      </c>
      <c r="BE7" s="272">
        <v>0</v>
      </c>
      <c r="BF7" s="272">
        <v>20502131</v>
      </c>
      <c r="BG7" s="272">
        <v>0</v>
      </c>
      <c r="BH7" s="272">
        <v>1716344</v>
      </c>
      <c r="BI7" s="272">
        <v>358867</v>
      </c>
      <c r="BJ7" s="272">
        <v>4567177</v>
      </c>
      <c r="BK7" s="272">
        <v>3262200</v>
      </c>
      <c r="BL7" s="272">
        <v>0</v>
      </c>
      <c r="BM7" s="272">
        <v>295453</v>
      </c>
      <c r="BN7" s="272">
        <v>8803200</v>
      </c>
      <c r="BO7" s="455">
        <f t="shared" si="5"/>
        <v>6453200</v>
      </c>
      <c r="BP7" s="455">
        <f t="shared" si="6"/>
        <v>2350000</v>
      </c>
      <c r="BQ7" s="272"/>
      <c r="BR7" s="272">
        <v>2350000</v>
      </c>
      <c r="BS7" s="272"/>
      <c r="BT7" s="272">
        <v>0</v>
      </c>
      <c r="BU7" s="272">
        <v>143200107</v>
      </c>
      <c r="BV7" s="272"/>
      <c r="BW7" s="272">
        <v>37467226</v>
      </c>
      <c r="BX7" s="272">
        <v>27768655</v>
      </c>
      <c r="BY7" s="272">
        <v>2661126</v>
      </c>
      <c r="BZ7" s="272">
        <v>1376739</v>
      </c>
      <c r="CA7" s="272">
        <v>14057891</v>
      </c>
      <c r="CB7" s="272">
        <v>1878442</v>
      </c>
      <c r="CC7" s="272">
        <v>3305050</v>
      </c>
      <c r="CD7" s="272">
        <v>1645470</v>
      </c>
      <c r="CE7" s="272">
        <v>6819241</v>
      </c>
      <c r="CF7" s="272">
        <v>7</v>
      </c>
      <c r="CG7" s="272">
        <v>212785</v>
      </c>
      <c r="CH7" s="272">
        <v>10260384</v>
      </c>
      <c r="CI7" s="272">
        <v>5552479</v>
      </c>
      <c r="CJ7" s="455">
        <f t="shared" si="7"/>
        <v>4707905</v>
      </c>
      <c r="CK7" s="272">
        <v>13529280</v>
      </c>
      <c r="CL7" s="272">
        <v>6815257</v>
      </c>
      <c r="CM7" s="272">
        <v>524114</v>
      </c>
      <c r="CN7" s="272">
        <v>3687725</v>
      </c>
      <c r="CO7" s="272">
        <v>1819830</v>
      </c>
      <c r="CP7" s="272">
        <v>13845786</v>
      </c>
      <c r="CQ7" s="272">
        <v>3082897</v>
      </c>
      <c r="CR7" s="272">
        <v>4385453</v>
      </c>
      <c r="CS7" s="272">
        <v>4327543</v>
      </c>
      <c r="CT7" s="455">
        <f t="shared" si="8"/>
        <v>2815025</v>
      </c>
      <c r="CU7" s="272">
        <v>1926374</v>
      </c>
      <c r="CV7" s="272">
        <v>888651</v>
      </c>
      <c r="CW7" s="455">
        <f t="shared" si="9"/>
        <v>2130512</v>
      </c>
      <c r="CX7" s="272">
        <v>1890354</v>
      </c>
      <c r="CY7" s="272">
        <v>240158</v>
      </c>
      <c r="CZ7" s="455">
        <f t="shared" si="10"/>
        <v>0</v>
      </c>
      <c r="DA7" s="272">
        <v>0</v>
      </c>
      <c r="DB7" s="272">
        <v>0</v>
      </c>
      <c r="DC7" s="272">
        <v>20687750</v>
      </c>
      <c r="DD7" s="272">
        <v>5721046</v>
      </c>
      <c r="DE7" s="272">
        <v>13852321</v>
      </c>
      <c r="DF7" s="272">
        <v>1104383</v>
      </c>
      <c r="DG7" s="272">
        <v>10000</v>
      </c>
      <c r="DH7" s="272">
        <v>622289</v>
      </c>
      <c r="DI7" s="272">
        <v>719390</v>
      </c>
      <c r="DJ7" s="272">
        <v>280930</v>
      </c>
      <c r="DK7" s="272">
        <v>0</v>
      </c>
      <c r="DL7" s="272">
        <v>438460</v>
      </c>
      <c r="DM7" s="272">
        <v>15794438</v>
      </c>
      <c r="DN7" s="272">
        <v>15740438</v>
      </c>
      <c r="DO7" s="272">
        <v>276000</v>
      </c>
      <c r="DP7" s="272">
        <v>15464438</v>
      </c>
      <c r="DQ7" s="272">
        <v>3250625</v>
      </c>
      <c r="DR7" s="272">
        <v>0</v>
      </c>
      <c r="DS7" s="272">
        <v>0</v>
      </c>
      <c r="DT7" s="272">
        <v>9545882</v>
      </c>
      <c r="DU7" s="272">
        <v>5020781</v>
      </c>
      <c r="DV7" s="455">
        <f t="shared" si="11"/>
        <v>0</v>
      </c>
      <c r="DW7" s="272">
        <v>0</v>
      </c>
      <c r="DX7" s="272">
        <v>0</v>
      </c>
      <c r="DY7" s="272">
        <v>0</v>
      </c>
      <c r="DZ7" s="272">
        <v>3193971</v>
      </c>
      <c r="EA7" s="272">
        <v>1299622</v>
      </c>
      <c r="EB7" s="272"/>
      <c r="EC7" s="272">
        <v>0</v>
      </c>
      <c r="ED7" s="272">
        <v>141600771</v>
      </c>
      <c r="EF7" s="272">
        <v>1599336</v>
      </c>
      <c r="EG7" s="272">
        <v>716877</v>
      </c>
      <c r="EH7" s="272">
        <v>882459</v>
      </c>
      <c r="EI7" s="272">
        <v>523592</v>
      </c>
      <c r="EJ7" s="272">
        <v>-995478</v>
      </c>
      <c r="EL7" s="272"/>
      <c r="EM7" s="272">
        <v>389410</v>
      </c>
      <c r="EN7" s="272">
        <v>5325638</v>
      </c>
      <c r="EO7" s="272">
        <v>20176</v>
      </c>
      <c r="EP7" s="455">
        <f t="shared" si="12"/>
        <v>2633877</v>
      </c>
      <c r="EQ7" s="272">
        <v>82649080</v>
      </c>
      <c r="ER7" s="272">
        <v>-10250215</v>
      </c>
      <c r="ES7" s="272">
        <v>34615727</v>
      </c>
      <c r="ET7" s="272">
        <v>25073126</v>
      </c>
      <c r="EU7" s="272">
        <v>4590618</v>
      </c>
      <c r="EV7" s="272">
        <v>9985362</v>
      </c>
      <c r="EW7" s="455">
        <f t="shared" si="13"/>
        <v>8086874</v>
      </c>
      <c r="EX7" s="272">
        <v>8086874</v>
      </c>
      <c r="EY7" s="272">
        <v>688454</v>
      </c>
      <c r="EZ7" s="272">
        <v>6619937</v>
      </c>
      <c r="FA7" s="272">
        <v>0</v>
      </c>
      <c r="FB7" s="272"/>
      <c r="FC7" s="272">
        <v>10982277</v>
      </c>
      <c r="FD7" s="272">
        <v>12204472</v>
      </c>
      <c r="FE7" s="272">
        <v>3082897</v>
      </c>
      <c r="FF7" s="272">
        <v>9268413</v>
      </c>
      <c r="FG7" s="455">
        <f t="shared" si="14"/>
        <v>1566216</v>
      </c>
      <c r="FH7" s="272">
        <v>91299959</v>
      </c>
      <c r="FI7" s="384">
        <f t="shared" si="15"/>
        <v>1.2</v>
      </c>
      <c r="FJ7" s="272">
        <v>76701280</v>
      </c>
      <c r="FK7" s="272"/>
      <c r="FL7" s="272">
        <v>58233926</v>
      </c>
      <c r="FM7" s="272">
        <v>55676465</v>
      </c>
      <c r="FN7" s="460">
        <v>1.069</v>
      </c>
      <c r="FO7" s="388">
        <v>97.5</v>
      </c>
      <c r="FP7" s="388">
        <v>43.8</v>
      </c>
      <c r="FQ7" s="388">
        <v>5.9</v>
      </c>
      <c r="FR7" s="388">
        <v>12.9</v>
      </c>
      <c r="FS7" s="388">
        <v>13.5</v>
      </c>
      <c r="FT7" s="388">
        <v>12.9</v>
      </c>
      <c r="FU7" s="388">
        <v>6.9</v>
      </c>
      <c r="FV7" s="388">
        <v>9.8000000000000007</v>
      </c>
      <c r="FW7" s="272">
        <v>110203129</v>
      </c>
      <c r="FX7" s="384">
        <f t="shared" si="16"/>
        <v>143.69999999999999</v>
      </c>
      <c r="FY7" s="272">
        <v>20803245</v>
      </c>
      <c r="FZ7" s="272">
        <v>3604249</v>
      </c>
      <c r="GA7" s="272"/>
      <c r="GB7" s="272">
        <v>17198996</v>
      </c>
      <c r="GC7" s="272"/>
      <c r="GD7" s="272">
        <v>49872195</v>
      </c>
      <c r="GE7" s="384">
        <f t="shared" si="17"/>
        <v>65</v>
      </c>
      <c r="GF7" s="388">
        <v>97.6</v>
      </c>
      <c r="GG7" s="388">
        <v>23.2</v>
      </c>
      <c r="GH7" s="388">
        <v>91.8</v>
      </c>
      <c r="GI7" s="272">
        <v>3620</v>
      </c>
    </row>
    <row r="8" spans="2:191" x14ac:dyDescent="0.15">
      <c r="B8" s="89" t="s">
        <v>9</v>
      </c>
      <c r="C8" s="272">
        <v>19513555</v>
      </c>
      <c r="D8" s="455">
        <f t="shared" si="0"/>
        <v>8409811</v>
      </c>
      <c r="E8" s="272">
        <v>98317</v>
      </c>
      <c r="F8" s="272">
        <v>8311494</v>
      </c>
      <c r="G8" s="455">
        <f t="shared" si="1"/>
        <v>2154582</v>
      </c>
      <c r="H8" s="272">
        <v>248952</v>
      </c>
      <c r="I8" s="272">
        <v>1905630</v>
      </c>
      <c r="J8" s="272">
        <v>6624190</v>
      </c>
      <c r="K8" s="272">
        <v>3514708</v>
      </c>
      <c r="L8" s="272">
        <v>2171098</v>
      </c>
      <c r="M8" s="272">
        <v>842741</v>
      </c>
      <c r="N8" s="272">
        <v>560101</v>
      </c>
      <c r="O8" s="272">
        <v>1701026</v>
      </c>
      <c r="P8" s="272">
        <v>1226386</v>
      </c>
      <c r="Q8" s="272">
        <v>474640</v>
      </c>
      <c r="R8" s="272">
        <v>454180</v>
      </c>
      <c r="S8" s="272">
        <v>184873</v>
      </c>
      <c r="T8" s="455">
        <f t="shared" si="2"/>
        <v>947529</v>
      </c>
      <c r="U8" s="272">
        <v>291322</v>
      </c>
      <c r="V8" s="272"/>
      <c r="W8" s="272"/>
      <c r="X8" s="272">
        <v>243918</v>
      </c>
      <c r="Y8" s="272">
        <v>119743</v>
      </c>
      <c r="Z8" s="272">
        <v>19240</v>
      </c>
      <c r="AA8" s="272">
        <v>273306</v>
      </c>
      <c r="AB8" s="272"/>
      <c r="AC8" s="272">
        <v>971533</v>
      </c>
      <c r="AD8" s="272">
        <v>588896</v>
      </c>
      <c r="AE8" s="272">
        <v>382637</v>
      </c>
      <c r="AF8" s="272">
        <v>23889</v>
      </c>
      <c r="AG8" s="272">
        <v>227391</v>
      </c>
      <c r="AH8" s="455">
        <f t="shared" si="3"/>
        <v>1140401</v>
      </c>
      <c r="AI8" s="272">
        <v>997889</v>
      </c>
      <c r="AJ8" s="272">
        <v>142512</v>
      </c>
      <c r="AK8" s="272">
        <v>1690005</v>
      </c>
      <c r="AL8" s="455">
        <f t="shared" si="4"/>
        <v>1037795</v>
      </c>
      <c r="AM8" s="272">
        <v>643898</v>
      </c>
      <c r="AN8" s="272">
        <v>167297</v>
      </c>
      <c r="AO8" s="272">
        <v>0</v>
      </c>
      <c r="AP8" s="272">
        <v>226600</v>
      </c>
      <c r="AQ8" s="272">
        <v>58694</v>
      </c>
      <c r="AR8" s="272">
        <v>0</v>
      </c>
      <c r="AS8" s="272">
        <v>0</v>
      </c>
      <c r="AT8" s="272">
        <v>1575224</v>
      </c>
      <c r="AU8" s="272">
        <v>431017</v>
      </c>
      <c r="AV8" s="272">
        <v>98091</v>
      </c>
      <c r="AW8" s="272">
        <v>1460</v>
      </c>
      <c r="AX8" s="272">
        <v>1144207</v>
      </c>
      <c r="AY8" s="272">
        <v>135989</v>
      </c>
      <c r="AZ8" s="272">
        <v>128651</v>
      </c>
      <c r="BA8" s="272">
        <v>70888</v>
      </c>
      <c r="BB8" s="272">
        <v>398198</v>
      </c>
      <c r="BC8" s="272">
        <v>6720988</v>
      </c>
      <c r="BD8" s="272">
        <v>0</v>
      </c>
      <c r="BE8" s="272">
        <v>0</v>
      </c>
      <c r="BF8" s="272">
        <v>6710988</v>
      </c>
      <c r="BG8" s="272">
        <v>0</v>
      </c>
      <c r="BH8" s="272">
        <v>30920</v>
      </c>
      <c r="BI8" s="272">
        <v>30810</v>
      </c>
      <c r="BJ8" s="272">
        <v>1263912</v>
      </c>
      <c r="BK8" s="272">
        <v>683490</v>
      </c>
      <c r="BL8" s="272">
        <v>36660</v>
      </c>
      <c r="BM8" s="272">
        <v>203068</v>
      </c>
      <c r="BN8" s="272">
        <v>1514500</v>
      </c>
      <c r="BO8" s="455">
        <f t="shared" si="5"/>
        <v>825600</v>
      </c>
      <c r="BP8" s="455">
        <f t="shared" si="6"/>
        <v>688900</v>
      </c>
      <c r="BQ8" s="272"/>
      <c r="BR8" s="272">
        <v>688900</v>
      </c>
      <c r="BS8" s="272"/>
      <c r="BT8" s="272">
        <v>0</v>
      </c>
      <c r="BU8" s="272">
        <v>36600876</v>
      </c>
      <c r="BV8" s="272"/>
      <c r="BW8" s="272">
        <v>10690087</v>
      </c>
      <c r="BX8" s="272">
        <v>7952102</v>
      </c>
      <c r="BY8" s="272">
        <v>695642</v>
      </c>
      <c r="BZ8" s="272">
        <v>228827</v>
      </c>
      <c r="CA8" s="272">
        <v>2846284</v>
      </c>
      <c r="CB8" s="272">
        <v>477544</v>
      </c>
      <c r="CC8" s="272">
        <v>935431</v>
      </c>
      <c r="CD8" s="272">
        <v>560305</v>
      </c>
      <c r="CE8" s="272">
        <v>847524</v>
      </c>
      <c r="CF8" s="272">
        <v>0</v>
      </c>
      <c r="CG8" s="272">
        <v>22113</v>
      </c>
      <c r="CH8" s="272">
        <v>3118799</v>
      </c>
      <c r="CI8" s="272">
        <v>1826667</v>
      </c>
      <c r="CJ8" s="455">
        <f t="shared" si="7"/>
        <v>1292132</v>
      </c>
      <c r="CK8" s="272">
        <v>4590535</v>
      </c>
      <c r="CL8" s="272">
        <v>2867954</v>
      </c>
      <c r="CM8" s="272">
        <v>219792</v>
      </c>
      <c r="CN8" s="272">
        <v>847458</v>
      </c>
      <c r="CO8" s="272">
        <v>344718</v>
      </c>
      <c r="CP8" s="272">
        <v>2250089</v>
      </c>
      <c r="CQ8" s="272">
        <v>0</v>
      </c>
      <c r="CR8" s="272">
        <v>789021</v>
      </c>
      <c r="CS8" s="272">
        <v>753616</v>
      </c>
      <c r="CT8" s="455">
        <f t="shared" si="8"/>
        <v>833480</v>
      </c>
      <c r="CU8" s="272">
        <v>641676</v>
      </c>
      <c r="CV8" s="272">
        <v>191804</v>
      </c>
      <c r="CW8" s="455">
        <f t="shared" si="9"/>
        <v>728557</v>
      </c>
      <c r="CX8" s="272">
        <v>636116</v>
      </c>
      <c r="CY8" s="272">
        <v>92441</v>
      </c>
      <c r="CZ8" s="455">
        <f t="shared" si="10"/>
        <v>0</v>
      </c>
      <c r="DA8" s="272">
        <v>0</v>
      </c>
      <c r="DB8" s="272">
        <v>0</v>
      </c>
      <c r="DC8" s="272">
        <v>2784885</v>
      </c>
      <c r="DD8" s="272">
        <v>136994</v>
      </c>
      <c r="DE8" s="272">
        <v>2560345</v>
      </c>
      <c r="DF8" s="272">
        <v>50886</v>
      </c>
      <c r="DG8" s="272">
        <v>36660</v>
      </c>
      <c r="DH8" s="272">
        <v>53460</v>
      </c>
      <c r="DI8" s="272">
        <v>86210</v>
      </c>
      <c r="DJ8" s="272">
        <v>8537</v>
      </c>
      <c r="DK8" s="272">
        <v>0</v>
      </c>
      <c r="DL8" s="272">
        <v>77673</v>
      </c>
      <c r="DM8" s="272">
        <v>6925292</v>
      </c>
      <c r="DN8" s="272">
        <v>6805292</v>
      </c>
      <c r="DO8" s="272">
        <v>45849</v>
      </c>
      <c r="DP8" s="272">
        <v>6759443</v>
      </c>
      <c r="DQ8" s="272">
        <v>546569</v>
      </c>
      <c r="DR8" s="272">
        <v>0</v>
      </c>
      <c r="DS8" s="272">
        <v>0</v>
      </c>
      <c r="DT8" s="272">
        <v>2343321</v>
      </c>
      <c r="DU8" s="272">
        <v>1267574</v>
      </c>
      <c r="DV8" s="455">
        <f t="shared" si="11"/>
        <v>0</v>
      </c>
      <c r="DW8" s="272">
        <v>0</v>
      </c>
      <c r="DX8" s="272">
        <v>0</v>
      </c>
      <c r="DY8" s="272">
        <v>9324</v>
      </c>
      <c r="DZ8" s="272">
        <v>678252</v>
      </c>
      <c r="EA8" s="272">
        <v>378758</v>
      </c>
      <c r="EB8" s="272"/>
      <c r="EC8" s="272">
        <v>0</v>
      </c>
      <c r="ED8" s="272">
        <v>36580249</v>
      </c>
      <c r="EF8" s="272">
        <v>20627</v>
      </c>
      <c r="EG8" s="272">
        <v>367</v>
      </c>
      <c r="EH8" s="272">
        <v>20260</v>
      </c>
      <c r="EI8" s="272">
        <v>-50550</v>
      </c>
      <c r="EJ8" s="272">
        <v>-42013</v>
      </c>
      <c r="EL8" s="272"/>
      <c r="EM8" s="272">
        <v>100067</v>
      </c>
      <c r="EN8" s="272">
        <v>0</v>
      </c>
      <c r="EO8" s="272">
        <v>86126</v>
      </c>
      <c r="EP8" s="455">
        <f t="shared" si="12"/>
        <v>1160383</v>
      </c>
      <c r="EQ8" s="272">
        <v>21910686</v>
      </c>
      <c r="ER8" s="272">
        <v>-1911520</v>
      </c>
      <c r="ES8" s="272">
        <v>9958827</v>
      </c>
      <c r="ET8" s="272">
        <v>7241547</v>
      </c>
      <c r="EU8" s="272">
        <v>980746</v>
      </c>
      <c r="EV8" s="272">
        <v>3084719</v>
      </c>
      <c r="EW8" s="455">
        <f t="shared" si="13"/>
        <v>1571951</v>
      </c>
      <c r="EX8" s="272">
        <v>1518491</v>
      </c>
      <c r="EY8" s="272">
        <v>21440</v>
      </c>
      <c r="EZ8" s="272">
        <v>1485968</v>
      </c>
      <c r="FA8" s="272">
        <v>53460</v>
      </c>
      <c r="FB8" s="272"/>
      <c r="FC8" s="272">
        <v>3560247</v>
      </c>
      <c r="FD8" s="272">
        <v>1871996</v>
      </c>
      <c r="FE8" s="272"/>
      <c r="FF8" s="272">
        <v>2260552</v>
      </c>
      <c r="FG8" s="455">
        <f t="shared" si="14"/>
        <v>512541</v>
      </c>
      <c r="FH8" s="272">
        <v>23801579</v>
      </c>
      <c r="FI8" s="384">
        <f t="shared" si="15"/>
        <v>0.1</v>
      </c>
      <c r="FJ8" s="272">
        <v>20006505</v>
      </c>
      <c r="FK8" s="272"/>
      <c r="FL8" s="272">
        <v>14638823</v>
      </c>
      <c r="FM8" s="272">
        <v>15241407</v>
      </c>
      <c r="FN8" s="460">
        <v>0.96499999999999997</v>
      </c>
      <c r="FO8" s="388">
        <v>104.5</v>
      </c>
      <c r="FP8" s="388">
        <v>49.4</v>
      </c>
      <c r="FQ8" s="388">
        <v>4.9000000000000004</v>
      </c>
      <c r="FR8" s="388">
        <v>15.5</v>
      </c>
      <c r="FS8" s="388">
        <v>16.7</v>
      </c>
      <c r="FT8" s="388">
        <v>7.9</v>
      </c>
      <c r="FU8" s="388">
        <v>8.6</v>
      </c>
      <c r="FV8" s="388">
        <v>12.6</v>
      </c>
      <c r="FW8" s="272">
        <v>28478657</v>
      </c>
      <c r="FX8" s="384">
        <f t="shared" si="16"/>
        <v>142.30000000000001</v>
      </c>
      <c r="FY8" s="272">
        <v>4524052</v>
      </c>
      <c r="FZ8" s="272">
        <v>1539694</v>
      </c>
      <c r="GA8" s="272"/>
      <c r="GB8" s="272">
        <v>2984358</v>
      </c>
      <c r="GC8" s="272"/>
      <c r="GD8" s="272">
        <v>13485741</v>
      </c>
      <c r="GE8" s="384">
        <f t="shared" si="17"/>
        <v>67.400000000000006</v>
      </c>
      <c r="GF8" s="388">
        <v>98</v>
      </c>
      <c r="GG8" s="388">
        <v>15.9</v>
      </c>
      <c r="GH8" s="388">
        <v>92.4</v>
      </c>
      <c r="GI8" s="272">
        <v>1058</v>
      </c>
    </row>
    <row r="9" spans="2:191" x14ac:dyDescent="0.15">
      <c r="B9" s="89" t="s">
        <v>11</v>
      </c>
      <c r="C9" s="272">
        <v>70626896</v>
      </c>
      <c r="D9" s="455">
        <f t="shared" si="0"/>
        <v>29041486</v>
      </c>
      <c r="E9" s="272">
        <v>333118</v>
      </c>
      <c r="F9" s="272">
        <v>28708368</v>
      </c>
      <c r="G9" s="455">
        <f t="shared" si="1"/>
        <v>6858603</v>
      </c>
      <c r="H9" s="272">
        <v>1025505</v>
      </c>
      <c r="I9" s="272">
        <v>5833098</v>
      </c>
      <c r="J9" s="272">
        <v>25419295</v>
      </c>
      <c r="K9" s="272">
        <v>12431020</v>
      </c>
      <c r="L9" s="272">
        <v>9151638</v>
      </c>
      <c r="M9" s="272">
        <v>3356350</v>
      </c>
      <c r="N9" s="272">
        <v>1787677</v>
      </c>
      <c r="O9" s="272">
        <v>6182956</v>
      </c>
      <c r="P9" s="272">
        <v>4087067</v>
      </c>
      <c r="Q9" s="272">
        <v>2095889</v>
      </c>
      <c r="R9" s="272">
        <v>1180789</v>
      </c>
      <c r="S9" s="272">
        <v>560551</v>
      </c>
      <c r="T9" s="455">
        <f t="shared" si="2"/>
        <v>2633658</v>
      </c>
      <c r="U9" s="272">
        <v>980259</v>
      </c>
      <c r="V9" s="272"/>
      <c r="W9" s="272"/>
      <c r="X9" s="272">
        <v>745473</v>
      </c>
      <c r="Y9" s="272">
        <v>0</v>
      </c>
      <c r="Z9" s="272">
        <v>61119</v>
      </c>
      <c r="AA9" s="272">
        <v>846807</v>
      </c>
      <c r="AB9" s="272"/>
      <c r="AC9" s="272">
        <v>215426</v>
      </c>
      <c r="AD9" s="272">
        <v>0</v>
      </c>
      <c r="AE9" s="272">
        <v>215426</v>
      </c>
      <c r="AF9" s="272">
        <v>68289</v>
      </c>
      <c r="AG9" s="272">
        <v>1435968</v>
      </c>
      <c r="AH9" s="455">
        <f t="shared" si="3"/>
        <v>2696895</v>
      </c>
      <c r="AI9" s="272">
        <v>2284673</v>
      </c>
      <c r="AJ9" s="272">
        <v>412222</v>
      </c>
      <c r="AK9" s="272">
        <v>7278690</v>
      </c>
      <c r="AL9" s="455">
        <f t="shared" si="4"/>
        <v>5040651</v>
      </c>
      <c r="AM9" s="272">
        <v>3456020</v>
      </c>
      <c r="AN9" s="272">
        <v>922366</v>
      </c>
      <c r="AO9" s="272">
        <v>0</v>
      </c>
      <c r="AP9" s="272">
        <v>662265</v>
      </c>
      <c r="AQ9" s="272">
        <v>488154</v>
      </c>
      <c r="AR9" s="272">
        <v>1133</v>
      </c>
      <c r="AS9" s="272">
        <v>0</v>
      </c>
      <c r="AT9" s="272">
        <v>5350531</v>
      </c>
      <c r="AU9" s="272">
        <v>1913757</v>
      </c>
      <c r="AV9" s="272">
        <v>334006</v>
      </c>
      <c r="AW9" s="272">
        <v>420844</v>
      </c>
      <c r="AX9" s="272">
        <v>3436774</v>
      </c>
      <c r="AY9" s="272">
        <v>538063</v>
      </c>
      <c r="AZ9" s="272">
        <v>1207374</v>
      </c>
      <c r="BA9" s="272">
        <v>660241</v>
      </c>
      <c r="BB9" s="272">
        <v>61945</v>
      </c>
      <c r="BC9" s="272">
        <v>2957233</v>
      </c>
      <c r="BD9" s="272">
        <v>1000000</v>
      </c>
      <c r="BE9" s="272">
        <v>0</v>
      </c>
      <c r="BF9" s="272">
        <v>1910000</v>
      </c>
      <c r="BG9" s="272">
        <v>0</v>
      </c>
      <c r="BH9" s="272">
        <v>584584</v>
      </c>
      <c r="BI9" s="272">
        <v>480182</v>
      </c>
      <c r="BJ9" s="272">
        <v>2703728</v>
      </c>
      <c r="BK9" s="272">
        <v>1111410</v>
      </c>
      <c r="BL9" s="272">
        <v>658548</v>
      </c>
      <c r="BM9" s="272">
        <v>245829</v>
      </c>
      <c r="BN9" s="272">
        <v>2477200</v>
      </c>
      <c r="BO9" s="455">
        <f t="shared" si="5"/>
        <v>1177200</v>
      </c>
      <c r="BP9" s="455">
        <f t="shared" si="6"/>
        <v>1300000</v>
      </c>
      <c r="BQ9" s="272"/>
      <c r="BR9" s="272">
        <v>1300000</v>
      </c>
      <c r="BS9" s="272"/>
      <c r="BT9" s="272">
        <v>0</v>
      </c>
      <c r="BU9" s="272">
        <v>101479206</v>
      </c>
      <c r="BV9" s="272"/>
      <c r="BW9" s="272">
        <v>31489640</v>
      </c>
      <c r="BX9" s="272">
        <v>23504574</v>
      </c>
      <c r="BY9" s="272">
        <v>1725778</v>
      </c>
      <c r="BZ9" s="272">
        <v>1458678</v>
      </c>
      <c r="CA9" s="272">
        <v>13776398</v>
      </c>
      <c r="CB9" s="272">
        <v>1836377</v>
      </c>
      <c r="CC9" s="272">
        <v>3597260</v>
      </c>
      <c r="CD9" s="272">
        <v>2871669</v>
      </c>
      <c r="CE9" s="272">
        <v>4622114</v>
      </c>
      <c r="CF9" s="272">
        <v>516896</v>
      </c>
      <c r="CG9" s="272">
        <v>323192</v>
      </c>
      <c r="CH9" s="272">
        <v>7654982</v>
      </c>
      <c r="CI9" s="272">
        <v>4140335</v>
      </c>
      <c r="CJ9" s="455">
        <f t="shared" si="7"/>
        <v>3514647</v>
      </c>
      <c r="CK9" s="272">
        <v>14307605</v>
      </c>
      <c r="CL9" s="272">
        <v>9000350</v>
      </c>
      <c r="CM9" s="272">
        <v>318126</v>
      </c>
      <c r="CN9" s="272">
        <v>2926667</v>
      </c>
      <c r="CO9" s="272">
        <v>3572011</v>
      </c>
      <c r="CP9" s="272">
        <v>4508431</v>
      </c>
      <c r="CQ9" s="272">
        <v>1220</v>
      </c>
      <c r="CR9" s="272">
        <v>1902425</v>
      </c>
      <c r="CS9" s="272">
        <v>1842504</v>
      </c>
      <c r="CT9" s="455">
        <f t="shared" si="8"/>
        <v>1275196</v>
      </c>
      <c r="CU9" s="272">
        <v>907735</v>
      </c>
      <c r="CV9" s="272">
        <v>367461</v>
      </c>
      <c r="CW9" s="455">
        <f t="shared" si="9"/>
        <v>1226364</v>
      </c>
      <c r="CX9" s="272">
        <v>858903</v>
      </c>
      <c r="CY9" s="272">
        <v>367461</v>
      </c>
      <c r="CZ9" s="455">
        <f t="shared" si="10"/>
        <v>0</v>
      </c>
      <c r="DA9" s="272">
        <v>0</v>
      </c>
      <c r="DB9" s="272">
        <v>0</v>
      </c>
      <c r="DC9" s="272">
        <v>8535205</v>
      </c>
      <c r="DD9" s="272">
        <v>1260346</v>
      </c>
      <c r="DE9" s="272">
        <v>6250853</v>
      </c>
      <c r="DF9" s="272">
        <v>0</v>
      </c>
      <c r="DG9" s="272">
        <v>1024006</v>
      </c>
      <c r="DH9" s="272">
        <v>5556</v>
      </c>
      <c r="DI9" s="272">
        <v>4324555</v>
      </c>
      <c r="DJ9" s="272">
        <v>349785</v>
      </c>
      <c r="DK9" s="272">
        <v>0</v>
      </c>
      <c r="DL9" s="272">
        <v>3974770</v>
      </c>
      <c r="DM9" s="272">
        <v>350030</v>
      </c>
      <c r="DN9" s="272">
        <v>303030</v>
      </c>
      <c r="DO9" s="272">
        <v>43900</v>
      </c>
      <c r="DP9" s="272">
        <v>259130</v>
      </c>
      <c r="DQ9" s="272">
        <v>1091500</v>
      </c>
      <c r="DR9" s="272">
        <v>0</v>
      </c>
      <c r="DS9" s="272">
        <v>0</v>
      </c>
      <c r="DT9" s="272">
        <v>11405000</v>
      </c>
      <c r="DU9" s="272">
        <v>5875853</v>
      </c>
      <c r="DV9" s="455">
        <f t="shared" si="11"/>
        <v>385743</v>
      </c>
      <c r="DW9" s="272">
        <v>385743</v>
      </c>
      <c r="DX9" s="272">
        <v>0</v>
      </c>
      <c r="DY9" s="272">
        <v>104107</v>
      </c>
      <c r="DZ9" s="272">
        <v>3644238</v>
      </c>
      <c r="EA9" s="272">
        <v>1131079</v>
      </c>
      <c r="EB9" s="272"/>
      <c r="EC9" s="272">
        <v>0</v>
      </c>
      <c r="ED9" s="272">
        <v>101020913</v>
      </c>
      <c r="EF9" s="272">
        <v>458293</v>
      </c>
      <c r="EG9" s="272">
        <v>53641</v>
      </c>
      <c r="EH9" s="272">
        <v>404652</v>
      </c>
      <c r="EI9" s="272">
        <v>-75530</v>
      </c>
      <c r="EJ9" s="272">
        <v>-725745</v>
      </c>
      <c r="EL9" s="272"/>
      <c r="EM9" s="272">
        <v>335561</v>
      </c>
      <c r="EN9" s="272">
        <v>1047233</v>
      </c>
      <c r="EO9" s="272">
        <v>727456</v>
      </c>
      <c r="EP9" s="455">
        <f t="shared" si="12"/>
        <v>1686270</v>
      </c>
      <c r="EQ9" s="272">
        <v>74725058</v>
      </c>
      <c r="ER9" s="272">
        <v>-4692670</v>
      </c>
      <c r="ES9" s="272">
        <v>29127598</v>
      </c>
      <c r="ET9" s="272">
        <v>21239218</v>
      </c>
      <c r="EU9" s="272">
        <v>5097971</v>
      </c>
      <c r="EV9" s="272">
        <v>7603827</v>
      </c>
      <c r="EW9" s="455">
        <f t="shared" si="13"/>
        <v>4109803</v>
      </c>
      <c r="EX9" s="272">
        <v>4105880</v>
      </c>
      <c r="EY9" s="272">
        <v>260534</v>
      </c>
      <c r="EZ9" s="272">
        <v>3845346</v>
      </c>
      <c r="FA9" s="272">
        <v>3923</v>
      </c>
      <c r="FB9" s="272"/>
      <c r="FC9" s="272">
        <v>11686063</v>
      </c>
      <c r="FD9" s="272">
        <v>3538430</v>
      </c>
      <c r="FE9" s="272">
        <v>1220</v>
      </c>
      <c r="FF9" s="272">
        <v>10079492</v>
      </c>
      <c r="FG9" s="455">
        <f t="shared" si="14"/>
        <v>7716251</v>
      </c>
      <c r="FH9" s="272">
        <v>78959435</v>
      </c>
      <c r="FI9" s="384">
        <f t="shared" si="15"/>
        <v>0.6</v>
      </c>
      <c r="FJ9" s="272">
        <v>69519465</v>
      </c>
      <c r="FK9" s="272"/>
      <c r="FL9" s="272">
        <v>52316562</v>
      </c>
      <c r="FM9" s="272">
        <v>46160822</v>
      </c>
      <c r="FN9" s="460">
        <v>1.151</v>
      </c>
      <c r="FO9" s="388">
        <v>94.4</v>
      </c>
      <c r="FP9" s="388">
        <v>41.8</v>
      </c>
      <c r="FQ9" s="388">
        <v>7.4</v>
      </c>
      <c r="FR9" s="388">
        <v>11.1</v>
      </c>
      <c r="FS9" s="388">
        <v>16.600000000000001</v>
      </c>
      <c r="FT9" s="388">
        <v>4</v>
      </c>
      <c r="FU9" s="388">
        <v>8.6</v>
      </c>
      <c r="FV9" s="388">
        <v>7.4</v>
      </c>
      <c r="FW9" s="272">
        <v>76631527</v>
      </c>
      <c r="FX9" s="384">
        <f t="shared" si="16"/>
        <v>110.2</v>
      </c>
      <c r="FY9" s="272">
        <v>37321259</v>
      </c>
      <c r="FZ9" s="272">
        <v>7513172</v>
      </c>
      <c r="GA9" s="272"/>
      <c r="GB9" s="272">
        <v>29808087</v>
      </c>
      <c r="GC9" s="272"/>
      <c r="GD9" s="272">
        <v>18029946</v>
      </c>
      <c r="GE9" s="384">
        <f t="shared" si="17"/>
        <v>25.9</v>
      </c>
      <c r="GF9" s="388">
        <v>98.3</v>
      </c>
      <c r="GG9" s="388">
        <v>17.2</v>
      </c>
      <c r="GH9" s="388">
        <v>93.3</v>
      </c>
      <c r="GI9" s="272">
        <v>2906</v>
      </c>
    </row>
    <row r="10" spans="2:191" x14ac:dyDescent="0.15">
      <c r="B10" s="89" t="s">
        <v>13</v>
      </c>
      <c r="C10" s="272">
        <v>12115450</v>
      </c>
      <c r="D10" s="455">
        <f t="shared" si="0"/>
        <v>3783652</v>
      </c>
      <c r="E10" s="272">
        <v>63868</v>
      </c>
      <c r="F10" s="272">
        <v>3719784</v>
      </c>
      <c r="G10" s="455">
        <f t="shared" si="1"/>
        <v>940552</v>
      </c>
      <c r="H10" s="272">
        <v>189452</v>
      </c>
      <c r="I10" s="272">
        <v>751100</v>
      </c>
      <c r="J10" s="272">
        <v>5601444</v>
      </c>
      <c r="K10" s="272">
        <v>2902952</v>
      </c>
      <c r="L10" s="272">
        <v>1601209</v>
      </c>
      <c r="M10" s="272">
        <v>693720</v>
      </c>
      <c r="N10" s="272">
        <v>466597</v>
      </c>
      <c r="O10" s="272">
        <v>1257442</v>
      </c>
      <c r="P10" s="272">
        <v>873278</v>
      </c>
      <c r="Q10" s="272">
        <v>384164</v>
      </c>
      <c r="R10" s="272">
        <v>330765</v>
      </c>
      <c r="S10" s="272">
        <v>127423</v>
      </c>
      <c r="T10" s="455">
        <f t="shared" si="2"/>
        <v>498373</v>
      </c>
      <c r="U10" s="272">
        <v>131926</v>
      </c>
      <c r="V10" s="272"/>
      <c r="W10" s="272"/>
      <c r="X10" s="272">
        <v>167445</v>
      </c>
      <c r="Y10" s="272">
        <v>0</v>
      </c>
      <c r="Z10" s="272">
        <v>12443</v>
      </c>
      <c r="AA10" s="272">
        <v>186559</v>
      </c>
      <c r="AB10" s="272"/>
      <c r="AC10" s="272">
        <v>2426080</v>
      </c>
      <c r="AD10" s="272">
        <v>2091789</v>
      </c>
      <c r="AE10" s="272">
        <v>334291</v>
      </c>
      <c r="AF10" s="272">
        <v>17869</v>
      </c>
      <c r="AG10" s="272">
        <v>153643</v>
      </c>
      <c r="AH10" s="455">
        <f t="shared" si="3"/>
        <v>325184</v>
      </c>
      <c r="AI10" s="272">
        <v>287283</v>
      </c>
      <c r="AJ10" s="272">
        <v>37901</v>
      </c>
      <c r="AK10" s="272">
        <v>2124046</v>
      </c>
      <c r="AL10" s="455">
        <f t="shared" si="4"/>
        <v>1117971</v>
      </c>
      <c r="AM10" s="272">
        <v>780864</v>
      </c>
      <c r="AN10" s="272">
        <v>164493</v>
      </c>
      <c r="AO10" s="272">
        <v>0</v>
      </c>
      <c r="AP10" s="272">
        <v>172614</v>
      </c>
      <c r="AQ10" s="272">
        <v>338967</v>
      </c>
      <c r="AR10" s="272">
        <v>0</v>
      </c>
      <c r="AS10" s="272">
        <v>0</v>
      </c>
      <c r="AT10" s="272">
        <v>2821819</v>
      </c>
      <c r="AU10" s="272">
        <v>367682</v>
      </c>
      <c r="AV10" s="272">
        <v>81521</v>
      </c>
      <c r="AW10" s="272">
        <v>10899</v>
      </c>
      <c r="AX10" s="272">
        <v>2454137</v>
      </c>
      <c r="AY10" s="272">
        <v>1779063</v>
      </c>
      <c r="AZ10" s="272">
        <v>352245</v>
      </c>
      <c r="BA10" s="272">
        <v>315323</v>
      </c>
      <c r="BB10" s="272">
        <v>209572</v>
      </c>
      <c r="BC10" s="272">
        <v>739349</v>
      </c>
      <c r="BD10" s="272">
        <v>87183</v>
      </c>
      <c r="BE10" s="272">
        <v>100000</v>
      </c>
      <c r="BF10" s="272">
        <v>547501</v>
      </c>
      <c r="BG10" s="272">
        <v>0</v>
      </c>
      <c r="BH10" s="272">
        <v>312871</v>
      </c>
      <c r="BI10" s="272">
        <v>258536</v>
      </c>
      <c r="BJ10" s="272">
        <v>1002595</v>
      </c>
      <c r="BK10" s="272">
        <v>714766</v>
      </c>
      <c r="BL10" s="272">
        <v>0</v>
      </c>
      <c r="BM10" s="272">
        <v>176350</v>
      </c>
      <c r="BN10" s="272">
        <v>3314000</v>
      </c>
      <c r="BO10" s="455">
        <f t="shared" si="5"/>
        <v>2841100</v>
      </c>
      <c r="BP10" s="455">
        <f t="shared" si="6"/>
        <v>472900</v>
      </c>
      <c r="BQ10" s="272"/>
      <c r="BR10" s="272">
        <v>472900</v>
      </c>
      <c r="BS10" s="272"/>
      <c r="BT10" s="272">
        <v>0</v>
      </c>
      <c r="BU10" s="272">
        <v>26743861</v>
      </c>
      <c r="BV10" s="272"/>
      <c r="BW10" s="272">
        <v>6749263</v>
      </c>
      <c r="BX10" s="272">
        <v>4955796</v>
      </c>
      <c r="BY10" s="272">
        <v>372395</v>
      </c>
      <c r="BZ10" s="272">
        <v>215721</v>
      </c>
      <c r="CA10" s="272">
        <v>3136722</v>
      </c>
      <c r="CB10" s="272">
        <v>472998</v>
      </c>
      <c r="CC10" s="272">
        <v>1038024</v>
      </c>
      <c r="CD10" s="272">
        <v>556713</v>
      </c>
      <c r="CE10" s="272">
        <v>1038129</v>
      </c>
      <c r="CF10" s="272">
        <v>0</v>
      </c>
      <c r="CG10" s="272">
        <v>30796</v>
      </c>
      <c r="CH10" s="272">
        <v>2261541</v>
      </c>
      <c r="CI10" s="272">
        <v>1245015</v>
      </c>
      <c r="CJ10" s="455">
        <f t="shared" si="7"/>
        <v>1016526</v>
      </c>
      <c r="CK10" s="272">
        <v>1956459</v>
      </c>
      <c r="CL10" s="272">
        <v>919973</v>
      </c>
      <c r="CM10" s="272">
        <v>100099</v>
      </c>
      <c r="CN10" s="272">
        <v>472417</v>
      </c>
      <c r="CO10" s="272">
        <v>97661</v>
      </c>
      <c r="CP10" s="272">
        <v>2718015</v>
      </c>
      <c r="CQ10" s="272">
        <v>1173443</v>
      </c>
      <c r="CR10" s="272">
        <v>481865</v>
      </c>
      <c r="CS10" s="272">
        <v>464946</v>
      </c>
      <c r="CT10" s="455">
        <f t="shared" si="8"/>
        <v>672963</v>
      </c>
      <c r="CU10" s="272">
        <v>5017</v>
      </c>
      <c r="CV10" s="272">
        <v>667946</v>
      </c>
      <c r="CW10" s="455">
        <f t="shared" si="9"/>
        <v>664286</v>
      </c>
      <c r="CX10" s="272">
        <v>0</v>
      </c>
      <c r="CY10" s="272">
        <v>664286</v>
      </c>
      <c r="CZ10" s="455">
        <f t="shared" si="10"/>
        <v>0</v>
      </c>
      <c r="DA10" s="272">
        <v>0</v>
      </c>
      <c r="DB10" s="272">
        <v>0</v>
      </c>
      <c r="DC10" s="272">
        <v>6167079</v>
      </c>
      <c r="DD10" s="272">
        <v>717779</v>
      </c>
      <c r="DE10" s="272">
        <v>3098199</v>
      </c>
      <c r="DF10" s="272">
        <v>650000</v>
      </c>
      <c r="DG10" s="272">
        <v>1701101</v>
      </c>
      <c r="DH10" s="272">
        <v>0</v>
      </c>
      <c r="DI10" s="272">
        <v>354700</v>
      </c>
      <c r="DJ10" s="272">
        <v>133600</v>
      </c>
      <c r="DK10" s="272">
        <v>2000</v>
      </c>
      <c r="DL10" s="272">
        <v>219100</v>
      </c>
      <c r="DM10" s="272">
        <v>0</v>
      </c>
      <c r="DN10" s="272">
        <v>0</v>
      </c>
      <c r="DO10" s="272">
        <v>0</v>
      </c>
      <c r="DP10" s="272">
        <v>0</v>
      </c>
      <c r="DQ10" s="272">
        <v>713757</v>
      </c>
      <c r="DR10" s="272">
        <v>0</v>
      </c>
      <c r="DS10" s="272">
        <v>0</v>
      </c>
      <c r="DT10" s="272">
        <v>2451750</v>
      </c>
      <c r="DU10" s="272">
        <v>1701759</v>
      </c>
      <c r="DV10" s="455">
        <f t="shared" si="11"/>
        <v>0</v>
      </c>
      <c r="DW10" s="272">
        <v>0</v>
      </c>
      <c r="DX10" s="272">
        <v>0</v>
      </c>
      <c r="DY10" s="272">
        <v>35091</v>
      </c>
      <c r="DZ10" s="272">
        <v>360775</v>
      </c>
      <c r="EA10" s="272">
        <v>304740</v>
      </c>
      <c r="EB10" s="272"/>
      <c r="EC10" s="272">
        <v>0</v>
      </c>
      <c r="ED10" s="272">
        <v>26606947</v>
      </c>
      <c r="EF10" s="272">
        <v>136914</v>
      </c>
      <c r="EG10" s="272">
        <v>363</v>
      </c>
      <c r="EH10" s="272">
        <v>136551</v>
      </c>
      <c r="EI10" s="272">
        <v>-121985</v>
      </c>
      <c r="EJ10" s="272">
        <v>-75568</v>
      </c>
      <c r="EL10" s="272"/>
      <c r="EM10" s="272">
        <v>71498</v>
      </c>
      <c r="EN10" s="272">
        <v>351848</v>
      </c>
      <c r="EO10" s="272">
        <v>75442</v>
      </c>
      <c r="EP10" s="455">
        <f t="shared" si="12"/>
        <v>1027361</v>
      </c>
      <c r="EQ10" s="272">
        <v>15388537</v>
      </c>
      <c r="ER10" s="272">
        <v>-1909682</v>
      </c>
      <c r="ES10" s="272">
        <v>6138263</v>
      </c>
      <c r="ET10" s="272">
        <v>4361103</v>
      </c>
      <c r="EU10" s="272">
        <v>1188066</v>
      </c>
      <c r="EV10" s="272">
        <v>2172959</v>
      </c>
      <c r="EW10" s="455">
        <f t="shared" si="13"/>
        <v>912670</v>
      </c>
      <c r="EX10" s="272">
        <v>912670</v>
      </c>
      <c r="EY10" s="272">
        <v>10620</v>
      </c>
      <c r="EZ10" s="272">
        <v>902050</v>
      </c>
      <c r="FA10" s="272">
        <v>0</v>
      </c>
      <c r="FB10" s="272"/>
      <c r="FC10" s="272">
        <v>1823339</v>
      </c>
      <c r="FD10" s="272">
        <v>2382732</v>
      </c>
      <c r="FE10" s="272">
        <v>1173443</v>
      </c>
      <c r="FF10" s="272">
        <v>2118114</v>
      </c>
      <c r="FG10" s="455">
        <f t="shared" si="14"/>
        <v>425162</v>
      </c>
      <c r="FH10" s="272">
        <v>17161305</v>
      </c>
      <c r="FI10" s="384">
        <f t="shared" si="15"/>
        <v>1</v>
      </c>
      <c r="FJ10" s="272">
        <v>14210257</v>
      </c>
      <c r="FK10" s="272"/>
      <c r="FL10" s="272">
        <v>9147457</v>
      </c>
      <c r="FM10" s="272">
        <v>11268378</v>
      </c>
      <c r="FN10" s="460">
        <v>0.82299999999999995</v>
      </c>
      <c r="FO10" s="388">
        <v>103.8</v>
      </c>
      <c r="FP10" s="388">
        <v>41.8</v>
      </c>
      <c r="FQ10" s="388">
        <v>8.6</v>
      </c>
      <c r="FR10" s="388">
        <v>15.7</v>
      </c>
      <c r="FS10" s="388">
        <v>9.9</v>
      </c>
      <c r="FT10" s="388">
        <v>14.1</v>
      </c>
      <c r="FU10" s="388">
        <v>13.2</v>
      </c>
      <c r="FV10" s="388">
        <v>12.2</v>
      </c>
      <c r="FW10" s="272">
        <v>25982791</v>
      </c>
      <c r="FX10" s="384">
        <f t="shared" si="16"/>
        <v>182.8</v>
      </c>
      <c r="FY10" s="272">
        <v>1910230</v>
      </c>
      <c r="FZ10" s="272">
        <v>324022</v>
      </c>
      <c r="GA10" s="272">
        <v>112100</v>
      </c>
      <c r="GB10" s="272">
        <v>1474108</v>
      </c>
      <c r="GC10" s="272"/>
      <c r="GD10" s="272">
        <v>9761190</v>
      </c>
      <c r="GE10" s="384">
        <f t="shared" si="17"/>
        <v>68.7</v>
      </c>
      <c r="GF10" s="388">
        <v>97.2</v>
      </c>
      <c r="GG10" s="388">
        <v>18.899999999999999</v>
      </c>
      <c r="GH10" s="388">
        <v>92.4</v>
      </c>
      <c r="GI10" s="272">
        <v>635</v>
      </c>
    </row>
    <row r="11" spans="2:191" x14ac:dyDescent="0.15">
      <c r="B11" s="89" t="s">
        <v>15</v>
      </c>
      <c r="C11" s="272">
        <v>57891592</v>
      </c>
      <c r="D11" s="455">
        <f t="shared" si="0"/>
        <v>24448780</v>
      </c>
      <c r="E11" s="272">
        <v>351160</v>
      </c>
      <c r="F11" s="272">
        <v>24097620</v>
      </c>
      <c r="G11" s="455">
        <f t="shared" si="1"/>
        <v>3705743</v>
      </c>
      <c r="H11" s="272">
        <v>737498</v>
      </c>
      <c r="I11" s="272">
        <v>2968245</v>
      </c>
      <c r="J11" s="272">
        <v>21313402</v>
      </c>
      <c r="K11" s="272">
        <v>11011547</v>
      </c>
      <c r="L11" s="272">
        <v>6921349</v>
      </c>
      <c r="M11" s="272">
        <v>3190390</v>
      </c>
      <c r="N11" s="272">
        <v>1646178</v>
      </c>
      <c r="O11" s="272">
        <v>4843322</v>
      </c>
      <c r="P11" s="272">
        <v>3351890</v>
      </c>
      <c r="Q11" s="272">
        <v>1491432</v>
      </c>
      <c r="R11" s="272">
        <v>1233926</v>
      </c>
      <c r="S11" s="272">
        <v>526867</v>
      </c>
      <c r="T11" s="455">
        <f t="shared" si="2"/>
        <v>2725740</v>
      </c>
      <c r="U11" s="272">
        <v>861683</v>
      </c>
      <c r="V11" s="272"/>
      <c r="W11" s="272"/>
      <c r="X11" s="272">
        <v>709580</v>
      </c>
      <c r="Y11" s="272">
        <v>144357</v>
      </c>
      <c r="Z11" s="272">
        <v>43820</v>
      </c>
      <c r="AA11" s="272">
        <v>966300</v>
      </c>
      <c r="AB11" s="272"/>
      <c r="AC11" s="272">
        <v>4986948</v>
      </c>
      <c r="AD11" s="272">
        <v>4616669</v>
      </c>
      <c r="AE11" s="272">
        <v>370279</v>
      </c>
      <c r="AF11" s="272">
        <v>80415</v>
      </c>
      <c r="AG11" s="272">
        <v>813861</v>
      </c>
      <c r="AH11" s="455">
        <f t="shared" si="3"/>
        <v>2297391</v>
      </c>
      <c r="AI11" s="272">
        <v>1478858</v>
      </c>
      <c r="AJ11" s="272">
        <v>818533</v>
      </c>
      <c r="AK11" s="272">
        <v>7118846</v>
      </c>
      <c r="AL11" s="455">
        <f t="shared" si="4"/>
        <v>3601491</v>
      </c>
      <c r="AM11" s="272">
        <v>2472014</v>
      </c>
      <c r="AN11" s="272">
        <v>671811</v>
      </c>
      <c r="AO11" s="272">
        <v>0</v>
      </c>
      <c r="AP11" s="272">
        <v>457666</v>
      </c>
      <c r="AQ11" s="272">
        <v>1232804</v>
      </c>
      <c r="AR11" s="272">
        <v>8168</v>
      </c>
      <c r="AS11" s="272">
        <v>0</v>
      </c>
      <c r="AT11" s="272">
        <v>5040044</v>
      </c>
      <c r="AU11" s="272">
        <v>1285272</v>
      </c>
      <c r="AV11" s="272">
        <v>333681</v>
      </c>
      <c r="AW11" s="272">
        <v>185616</v>
      </c>
      <c r="AX11" s="272">
        <v>3754772</v>
      </c>
      <c r="AY11" s="272">
        <v>603504</v>
      </c>
      <c r="AZ11" s="272">
        <v>176022</v>
      </c>
      <c r="BA11" s="272">
        <v>52559</v>
      </c>
      <c r="BB11" s="272">
        <v>283777</v>
      </c>
      <c r="BC11" s="272">
        <v>1125572</v>
      </c>
      <c r="BD11" s="272">
        <v>21222</v>
      </c>
      <c r="BE11" s="272">
        <v>0</v>
      </c>
      <c r="BF11" s="272">
        <v>1000000</v>
      </c>
      <c r="BG11" s="272">
        <v>0</v>
      </c>
      <c r="BH11" s="272">
        <v>901419</v>
      </c>
      <c r="BI11" s="272">
        <v>653960</v>
      </c>
      <c r="BJ11" s="272">
        <v>3748741</v>
      </c>
      <c r="BK11" s="272">
        <v>2817287</v>
      </c>
      <c r="BL11" s="272">
        <v>52341</v>
      </c>
      <c r="BM11" s="272">
        <v>251193</v>
      </c>
      <c r="BN11" s="272">
        <v>3900700</v>
      </c>
      <c r="BO11" s="455">
        <f t="shared" si="5"/>
        <v>2292700</v>
      </c>
      <c r="BP11" s="455">
        <f t="shared" si="6"/>
        <v>1608000</v>
      </c>
      <c r="BQ11" s="272"/>
      <c r="BR11" s="272">
        <v>1608000</v>
      </c>
      <c r="BS11" s="272"/>
      <c r="BT11" s="272">
        <v>0</v>
      </c>
      <c r="BU11" s="272">
        <v>92324994</v>
      </c>
      <c r="BV11" s="272"/>
      <c r="BW11" s="272">
        <v>27019273</v>
      </c>
      <c r="BX11" s="272">
        <v>20003237</v>
      </c>
      <c r="BY11" s="272">
        <v>2014842</v>
      </c>
      <c r="BZ11" s="272">
        <v>844886</v>
      </c>
      <c r="CA11" s="272">
        <v>9865704</v>
      </c>
      <c r="CB11" s="272">
        <v>1487239</v>
      </c>
      <c r="CC11" s="272">
        <v>2588676</v>
      </c>
      <c r="CD11" s="272">
        <v>2287801</v>
      </c>
      <c r="CE11" s="272">
        <v>3301421</v>
      </c>
      <c r="CF11" s="272">
        <v>28979</v>
      </c>
      <c r="CG11" s="272">
        <v>162619</v>
      </c>
      <c r="CH11" s="272">
        <v>9450781</v>
      </c>
      <c r="CI11" s="272">
        <v>5912952</v>
      </c>
      <c r="CJ11" s="455">
        <f t="shared" si="7"/>
        <v>3537829</v>
      </c>
      <c r="CK11" s="272">
        <v>13342178</v>
      </c>
      <c r="CL11" s="272">
        <v>8125922</v>
      </c>
      <c r="CM11" s="272">
        <v>315213</v>
      </c>
      <c r="CN11" s="272">
        <v>3120402</v>
      </c>
      <c r="CO11" s="272">
        <v>1576229</v>
      </c>
      <c r="CP11" s="272">
        <v>4641915</v>
      </c>
      <c r="CQ11" s="272">
        <v>43220</v>
      </c>
      <c r="CR11" s="272">
        <v>3274661</v>
      </c>
      <c r="CS11" s="272">
        <v>3274661</v>
      </c>
      <c r="CT11" s="455">
        <f t="shared" si="8"/>
        <v>1079683</v>
      </c>
      <c r="CU11" s="272">
        <v>49500</v>
      </c>
      <c r="CV11" s="272">
        <v>1030183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12503396</v>
      </c>
      <c r="DD11" s="272">
        <v>2919137</v>
      </c>
      <c r="DE11" s="272">
        <v>9459630</v>
      </c>
      <c r="DF11" s="272">
        <v>20195</v>
      </c>
      <c r="DG11" s="272">
        <v>104434</v>
      </c>
      <c r="DH11" s="272">
        <v>27283</v>
      </c>
      <c r="DI11" s="272">
        <v>2801971</v>
      </c>
      <c r="DJ11" s="272">
        <v>318732</v>
      </c>
      <c r="DK11" s="272">
        <v>438056</v>
      </c>
      <c r="DL11" s="272">
        <v>2045183</v>
      </c>
      <c r="DM11" s="272">
        <v>1200</v>
      </c>
      <c r="DN11" s="272">
        <v>0</v>
      </c>
      <c r="DO11" s="272">
        <v>0</v>
      </c>
      <c r="DP11" s="272">
        <v>0</v>
      </c>
      <c r="DQ11" s="272">
        <v>2794075</v>
      </c>
      <c r="DR11" s="272">
        <v>0</v>
      </c>
      <c r="DS11" s="272">
        <v>0</v>
      </c>
      <c r="DT11" s="272">
        <v>7589695</v>
      </c>
      <c r="DU11" s="272">
        <v>4248172</v>
      </c>
      <c r="DV11" s="455">
        <f t="shared" si="11"/>
        <v>0</v>
      </c>
      <c r="DW11" s="272">
        <v>0</v>
      </c>
      <c r="DX11" s="272">
        <v>0</v>
      </c>
      <c r="DY11" s="272">
        <v>0</v>
      </c>
      <c r="DZ11" s="272">
        <v>2047090</v>
      </c>
      <c r="EA11" s="272">
        <v>1264786</v>
      </c>
      <c r="EB11" s="272"/>
      <c r="EC11" s="272">
        <v>0</v>
      </c>
      <c r="ED11" s="272">
        <v>91613700</v>
      </c>
      <c r="EF11" s="272">
        <v>711294</v>
      </c>
      <c r="EG11" s="272">
        <v>349479</v>
      </c>
      <c r="EH11" s="272">
        <v>361815</v>
      </c>
      <c r="EI11" s="272">
        <v>-292145</v>
      </c>
      <c r="EJ11" s="272">
        <v>5365</v>
      </c>
      <c r="EL11" s="272"/>
      <c r="EM11" s="272">
        <v>359784</v>
      </c>
      <c r="EN11" s="272">
        <v>21222</v>
      </c>
      <c r="EO11" s="272">
        <v>62451</v>
      </c>
      <c r="EP11" s="455">
        <f t="shared" si="12"/>
        <v>2207815</v>
      </c>
      <c r="EQ11" s="272">
        <v>66918621</v>
      </c>
      <c r="ER11" s="272">
        <v>-3819073</v>
      </c>
      <c r="ES11" s="272">
        <v>25035906</v>
      </c>
      <c r="ET11" s="272">
        <v>18137220</v>
      </c>
      <c r="EU11" s="272">
        <v>2581133</v>
      </c>
      <c r="EV11" s="272">
        <v>9134329</v>
      </c>
      <c r="EW11" s="455">
        <f t="shared" si="13"/>
        <v>8022607</v>
      </c>
      <c r="EX11" s="272">
        <v>8011192</v>
      </c>
      <c r="EY11" s="272">
        <v>1179218</v>
      </c>
      <c r="EZ11" s="272">
        <v>6814167</v>
      </c>
      <c r="FA11" s="272">
        <v>11415</v>
      </c>
      <c r="FB11" s="272"/>
      <c r="FC11" s="272">
        <v>10714339</v>
      </c>
      <c r="FD11" s="272">
        <v>4255920</v>
      </c>
      <c r="FE11" s="272">
        <v>43220</v>
      </c>
      <c r="FF11" s="272">
        <v>7067980</v>
      </c>
      <c r="FG11" s="455">
        <f t="shared" si="14"/>
        <v>3214186</v>
      </c>
      <c r="FH11" s="272">
        <v>70026400</v>
      </c>
      <c r="FI11" s="384">
        <f t="shared" si="15"/>
        <v>0.6</v>
      </c>
      <c r="FJ11" s="272">
        <v>63003211</v>
      </c>
      <c r="FK11" s="272"/>
      <c r="FL11" s="272">
        <v>43987696</v>
      </c>
      <c r="FM11" s="272">
        <v>48648056</v>
      </c>
      <c r="FN11" s="460">
        <v>0.93600000000000005</v>
      </c>
      <c r="FO11" s="388">
        <v>91.5</v>
      </c>
      <c r="FP11" s="388">
        <v>39.799999999999997</v>
      </c>
      <c r="FQ11" s="388">
        <v>4.0999999999999996</v>
      </c>
      <c r="FR11" s="388">
        <v>14.7</v>
      </c>
      <c r="FS11" s="388">
        <v>17.100000000000001</v>
      </c>
      <c r="FT11" s="388">
        <v>6</v>
      </c>
      <c r="FU11" s="388">
        <v>7.2</v>
      </c>
      <c r="FV11" s="388">
        <v>9.6</v>
      </c>
      <c r="FW11" s="272">
        <v>80778026</v>
      </c>
      <c r="FX11" s="384">
        <f t="shared" si="16"/>
        <v>128.19999999999999</v>
      </c>
      <c r="FY11" s="272">
        <v>22795461</v>
      </c>
      <c r="FZ11" s="272">
        <v>5795799</v>
      </c>
      <c r="GA11" s="272">
        <v>2238653</v>
      </c>
      <c r="GB11" s="272">
        <v>14761009</v>
      </c>
      <c r="GC11" s="272"/>
      <c r="GD11" s="272">
        <v>9606804</v>
      </c>
      <c r="GE11" s="384">
        <f t="shared" si="17"/>
        <v>15.2</v>
      </c>
      <c r="GF11" s="388">
        <v>98.4</v>
      </c>
      <c r="GG11" s="388">
        <v>30.3</v>
      </c>
      <c r="GH11" s="388">
        <v>96.1</v>
      </c>
      <c r="GI11" s="272">
        <v>2443</v>
      </c>
    </row>
    <row r="12" spans="2:191" x14ac:dyDescent="0.15">
      <c r="B12" s="89" t="s">
        <v>17</v>
      </c>
      <c r="C12" s="272">
        <v>11921430</v>
      </c>
      <c r="D12" s="455">
        <f t="shared" si="0"/>
        <v>4113578</v>
      </c>
      <c r="E12" s="272">
        <v>76197</v>
      </c>
      <c r="F12" s="272">
        <v>4037381</v>
      </c>
      <c r="G12" s="455">
        <f t="shared" si="1"/>
        <v>828545</v>
      </c>
      <c r="H12" s="272">
        <v>164420</v>
      </c>
      <c r="I12" s="272">
        <v>664125</v>
      </c>
      <c r="J12" s="272">
        <v>5032633</v>
      </c>
      <c r="K12" s="272">
        <v>2530327</v>
      </c>
      <c r="L12" s="272">
        <v>1692492</v>
      </c>
      <c r="M12" s="272">
        <v>691835</v>
      </c>
      <c r="N12" s="272">
        <v>642506</v>
      </c>
      <c r="O12" s="272">
        <v>1091384</v>
      </c>
      <c r="P12" s="272">
        <v>710511</v>
      </c>
      <c r="Q12" s="272">
        <v>380873</v>
      </c>
      <c r="R12" s="272">
        <v>311918</v>
      </c>
      <c r="S12" s="272">
        <v>135906</v>
      </c>
      <c r="T12" s="455">
        <f t="shared" si="2"/>
        <v>574000</v>
      </c>
      <c r="U12" s="272">
        <v>146296</v>
      </c>
      <c r="V12" s="272"/>
      <c r="W12" s="272"/>
      <c r="X12" s="272">
        <v>181083</v>
      </c>
      <c r="Y12" s="272">
        <v>0</v>
      </c>
      <c r="Z12" s="272">
        <v>6597</v>
      </c>
      <c r="AA12" s="272">
        <v>240024</v>
      </c>
      <c r="AB12" s="272"/>
      <c r="AC12" s="272">
        <v>4431195</v>
      </c>
      <c r="AD12" s="272">
        <v>4001122</v>
      </c>
      <c r="AE12" s="272">
        <v>430073</v>
      </c>
      <c r="AF12" s="272">
        <v>22327</v>
      </c>
      <c r="AG12" s="272">
        <v>223231</v>
      </c>
      <c r="AH12" s="455">
        <f t="shared" si="3"/>
        <v>761815</v>
      </c>
      <c r="AI12" s="272">
        <v>701344</v>
      </c>
      <c r="AJ12" s="272">
        <v>60471</v>
      </c>
      <c r="AK12" s="272">
        <v>2615833</v>
      </c>
      <c r="AL12" s="455">
        <f t="shared" si="4"/>
        <v>1493387</v>
      </c>
      <c r="AM12" s="272">
        <v>1043016</v>
      </c>
      <c r="AN12" s="272">
        <v>322316</v>
      </c>
      <c r="AO12" s="272">
        <v>0</v>
      </c>
      <c r="AP12" s="272">
        <v>128055</v>
      </c>
      <c r="AQ12" s="272">
        <v>593239</v>
      </c>
      <c r="AR12" s="272">
        <v>0</v>
      </c>
      <c r="AS12" s="272">
        <v>0</v>
      </c>
      <c r="AT12" s="272">
        <v>1556966</v>
      </c>
      <c r="AU12" s="272">
        <v>536364</v>
      </c>
      <c r="AV12" s="272">
        <v>154012</v>
      </c>
      <c r="AW12" s="272">
        <v>9090</v>
      </c>
      <c r="AX12" s="272">
        <v>1020602</v>
      </c>
      <c r="AY12" s="272">
        <v>194186</v>
      </c>
      <c r="AZ12" s="272">
        <v>41435</v>
      </c>
      <c r="BA12" s="272">
        <v>5124</v>
      </c>
      <c r="BB12" s="272">
        <v>215220</v>
      </c>
      <c r="BC12" s="272">
        <v>899440</v>
      </c>
      <c r="BD12" s="272">
        <v>490000</v>
      </c>
      <c r="BE12" s="272">
        <v>100000</v>
      </c>
      <c r="BF12" s="272">
        <v>306923</v>
      </c>
      <c r="BG12" s="272">
        <v>0</v>
      </c>
      <c r="BH12" s="272">
        <v>31419</v>
      </c>
      <c r="BI12" s="272">
        <v>25106</v>
      </c>
      <c r="BJ12" s="272">
        <v>885825</v>
      </c>
      <c r="BK12" s="272">
        <v>413728</v>
      </c>
      <c r="BL12" s="272">
        <v>0</v>
      </c>
      <c r="BM12" s="272">
        <v>181309</v>
      </c>
      <c r="BN12" s="272">
        <v>1262800</v>
      </c>
      <c r="BO12" s="455">
        <f t="shared" si="5"/>
        <v>751400</v>
      </c>
      <c r="BP12" s="455">
        <f t="shared" si="6"/>
        <v>511400</v>
      </c>
      <c r="BQ12" s="272"/>
      <c r="BR12" s="272">
        <v>511400</v>
      </c>
      <c r="BS12" s="272"/>
      <c r="BT12" s="272">
        <v>0</v>
      </c>
      <c r="BU12" s="272">
        <v>25754854</v>
      </c>
      <c r="BV12" s="272"/>
      <c r="BW12" s="272">
        <v>7950218</v>
      </c>
      <c r="BX12" s="272">
        <v>5462402</v>
      </c>
      <c r="BY12" s="272">
        <v>755007</v>
      </c>
      <c r="BZ12" s="272">
        <v>401819</v>
      </c>
      <c r="CA12" s="272">
        <v>3668669</v>
      </c>
      <c r="CB12" s="272">
        <v>501969</v>
      </c>
      <c r="CC12" s="272">
        <v>782461</v>
      </c>
      <c r="CD12" s="272">
        <v>967811</v>
      </c>
      <c r="CE12" s="272">
        <v>1385651</v>
      </c>
      <c r="CF12" s="272">
        <v>131</v>
      </c>
      <c r="CG12" s="272">
        <v>30646</v>
      </c>
      <c r="CH12" s="272">
        <v>4192707</v>
      </c>
      <c r="CI12" s="272">
        <v>2678641</v>
      </c>
      <c r="CJ12" s="455">
        <f t="shared" si="7"/>
        <v>1514066</v>
      </c>
      <c r="CK12" s="272">
        <v>2325825</v>
      </c>
      <c r="CL12" s="272">
        <v>1086083</v>
      </c>
      <c r="CM12" s="272">
        <v>144962</v>
      </c>
      <c r="CN12" s="272">
        <v>641736</v>
      </c>
      <c r="CO12" s="272">
        <v>123528</v>
      </c>
      <c r="CP12" s="272">
        <v>2519908</v>
      </c>
      <c r="CQ12" s="272">
        <v>600087</v>
      </c>
      <c r="CR12" s="272">
        <v>701703</v>
      </c>
      <c r="CS12" s="272">
        <v>539216</v>
      </c>
      <c r="CT12" s="455">
        <f t="shared" si="8"/>
        <v>756021</v>
      </c>
      <c r="CU12" s="272">
        <v>696319</v>
      </c>
      <c r="CV12" s="272">
        <v>59702</v>
      </c>
      <c r="CW12" s="455">
        <f t="shared" si="9"/>
        <v>750054</v>
      </c>
      <c r="CX12" s="272">
        <v>690352</v>
      </c>
      <c r="CY12" s="272">
        <v>59702</v>
      </c>
      <c r="CZ12" s="455">
        <f t="shared" si="10"/>
        <v>0</v>
      </c>
      <c r="DA12" s="272">
        <v>0</v>
      </c>
      <c r="DB12" s="272">
        <v>0</v>
      </c>
      <c r="DC12" s="272">
        <v>2554896</v>
      </c>
      <c r="DD12" s="272">
        <v>1059901</v>
      </c>
      <c r="DE12" s="272">
        <v>1421454</v>
      </c>
      <c r="DF12" s="272">
        <v>73541</v>
      </c>
      <c r="DG12" s="272">
        <v>0</v>
      </c>
      <c r="DH12" s="272">
        <v>0</v>
      </c>
      <c r="DI12" s="272">
        <v>312245</v>
      </c>
      <c r="DJ12" s="272">
        <v>4718</v>
      </c>
      <c r="DK12" s="272">
        <v>6462</v>
      </c>
      <c r="DL12" s="272">
        <v>301065</v>
      </c>
      <c r="DM12" s="272">
        <v>0</v>
      </c>
      <c r="DN12" s="272">
        <v>0</v>
      </c>
      <c r="DO12" s="272">
        <v>0</v>
      </c>
      <c r="DP12" s="272">
        <v>0</v>
      </c>
      <c r="DQ12" s="272">
        <v>9530</v>
      </c>
      <c r="DR12" s="272">
        <v>0</v>
      </c>
      <c r="DS12" s="272">
        <v>0</v>
      </c>
      <c r="DT12" s="272">
        <v>2078374</v>
      </c>
      <c r="DU12" s="272">
        <v>1204484</v>
      </c>
      <c r="DV12" s="455">
        <f t="shared" si="11"/>
        <v>0</v>
      </c>
      <c r="DW12" s="272">
        <v>0</v>
      </c>
      <c r="DX12" s="272">
        <v>0</v>
      </c>
      <c r="DY12" s="272">
        <v>0</v>
      </c>
      <c r="DZ12" s="272">
        <v>465024</v>
      </c>
      <c r="EA12" s="272">
        <v>393866</v>
      </c>
      <c r="EB12" s="272"/>
      <c r="EC12" s="272">
        <v>0</v>
      </c>
      <c r="ED12" s="272">
        <v>25735900</v>
      </c>
      <c r="EF12" s="272">
        <v>18954</v>
      </c>
      <c r="EG12" s="272">
        <v>1092</v>
      </c>
      <c r="EH12" s="272">
        <v>17862</v>
      </c>
      <c r="EI12" s="272">
        <v>-7244</v>
      </c>
      <c r="EJ12" s="272">
        <v>-460446</v>
      </c>
      <c r="EL12" s="272"/>
      <c r="EM12" s="272">
        <v>85957</v>
      </c>
      <c r="EN12" s="272">
        <v>590000</v>
      </c>
      <c r="EO12" s="272">
        <v>5815</v>
      </c>
      <c r="EP12" s="455">
        <f t="shared" si="12"/>
        <v>942147</v>
      </c>
      <c r="EQ12" s="272">
        <v>17260870</v>
      </c>
      <c r="ER12" s="272">
        <v>-2027035</v>
      </c>
      <c r="ES12" s="272">
        <v>7359973</v>
      </c>
      <c r="ET12" s="272">
        <v>5003253</v>
      </c>
      <c r="EU12" s="272">
        <v>1096777</v>
      </c>
      <c r="EV12" s="272">
        <v>3695206</v>
      </c>
      <c r="EW12" s="455">
        <f t="shared" si="13"/>
        <v>719949</v>
      </c>
      <c r="EX12" s="272">
        <v>719949</v>
      </c>
      <c r="EY12" s="272">
        <v>19428</v>
      </c>
      <c r="EZ12" s="272">
        <v>693975</v>
      </c>
      <c r="FA12" s="272">
        <v>0</v>
      </c>
      <c r="FB12" s="272"/>
      <c r="FC12" s="272">
        <v>1903891</v>
      </c>
      <c r="FD12" s="272">
        <v>2246540</v>
      </c>
      <c r="FE12" s="272">
        <v>600087</v>
      </c>
      <c r="FF12" s="272">
        <v>1924533</v>
      </c>
      <c r="FG12" s="455">
        <f t="shared" si="14"/>
        <v>322082</v>
      </c>
      <c r="FH12" s="272">
        <v>19268951</v>
      </c>
      <c r="FI12" s="384">
        <f t="shared" si="15"/>
        <v>0.1</v>
      </c>
      <c r="FJ12" s="272">
        <v>16169111</v>
      </c>
      <c r="FK12" s="272"/>
      <c r="FL12" s="272">
        <v>9176820</v>
      </c>
      <c r="FM12" s="272">
        <v>13191002</v>
      </c>
      <c r="FN12" s="460">
        <v>0.70899999999999996</v>
      </c>
      <c r="FO12" s="388">
        <v>105.8</v>
      </c>
      <c r="FP12" s="388">
        <v>44.3</v>
      </c>
      <c r="FQ12" s="388">
        <v>6.9</v>
      </c>
      <c r="FR12" s="388">
        <v>23.2</v>
      </c>
      <c r="FS12" s="388">
        <v>11</v>
      </c>
      <c r="FT12" s="388">
        <v>12.4</v>
      </c>
      <c r="FU12" s="388">
        <v>7.2</v>
      </c>
      <c r="FV12" s="388">
        <v>16.3</v>
      </c>
      <c r="FW12" s="272">
        <v>29731638</v>
      </c>
      <c r="FX12" s="384">
        <f t="shared" si="16"/>
        <v>183.9</v>
      </c>
      <c r="FY12" s="272">
        <v>3325756</v>
      </c>
      <c r="FZ12" s="272">
        <v>405441</v>
      </c>
      <c r="GA12" s="272">
        <v>983543</v>
      </c>
      <c r="GB12" s="272">
        <v>1936772</v>
      </c>
      <c r="GC12" s="272"/>
      <c r="GD12" s="272">
        <v>6330758</v>
      </c>
      <c r="GE12" s="384">
        <f t="shared" si="17"/>
        <v>39.200000000000003</v>
      </c>
      <c r="GF12" s="388">
        <v>97.1</v>
      </c>
      <c r="GG12" s="388">
        <v>19</v>
      </c>
      <c r="GH12" s="388">
        <v>91.2</v>
      </c>
      <c r="GI12" s="272">
        <v>700</v>
      </c>
    </row>
    <row r="13" spans="2:191" x14ac:dyDescent="0.15">
      <c r="B13" s="89" t="s">
        <v>19</v>
      </c>
      <c r="C13" s="272">
        <v>28791789</v>
      </c>
      <c r="D13" s="455">
        <f t="shared" si="0"/>
        <v>8294922</v>
      </c>
      <c r="E13" s="272">
        <v>149788</v>
      </c>
      <c r="F13" s="272">
        <v>8145134</v>
      </c>
      <c r="G13" s="455">
        <f t="shared" si="1"/>
        <v>4478041</v>
      </c>
      <c r="H13" s="272">
        <v>386795</v>
      </c>
      <c r="I13" s="272">
        <v>4091246</v>
      </c>
      <c r="J13" s="272">
        <v>11370055</v>
      </c>
      <c r="K13" s="272">
        <v>5594553</v>
      </c>
      <c r="L13" s="272">
        <v>3688583</v>
      </c>
      <c r="M13" s="272">
        <v>1759874</v>
      </c>
      <c r="N13" s="272">
        <v>1097150</v>
      </c>
      <c r="O13" s="272">
        <v>2544537</v>
      </c>
      <c r="P13" s="272">
        <v>1712496</v>
      </c>
      <c r="Q13" s="272">
        <v>832041</v>
      </c>
      <c r="R13" s="272">
        <v>562667</v>
      </c>
      <c r="S13" s="272">
        <v>290082</v>
      </c>
      <c r="T13" s="455">
        <f t="shared" si="2"/>
        <v>1082781</v>
      </c>
      <c r="U13" s="272">
        <v>301147</v>
      </c>
      <c r="V13" s="272"/>
      <c r="W13" s="272"/>
      <c r="X13" s="272">
        <v>381321</v>
      </c>
      <c r="Y13" s="272">
        <v>0</v>
      </c>
      <c r="Z13" s="272">
        <v>28102</v>
      </c>
      <c r="AA13" s="272">
        <v>372211</v>
      </c>
      <c r="AB13" s="272"/>
      <c r="AC13" s="272">
        <v>2864884</v>
      </c>
      <c r="AD13" s="272">
        <v>2355275</v>
      </c>
      <c r="AE13" s="272">
        <v>509609</v>
      </c>
      <c r="AF13" s="272">
        <v>34610</v>
      </c>
      <c r="AG13" s="272">
        <v>2512297</v>
      </c>
      <c r="AH13" s="455">
        <f t="shared" si="3"/>
        <v>925818</v>
      </c>
      <c r="AI13" s="272">
        <v>798842</v>
      </c>
      <c r="AJ13" s="272">
        <v>126976</v>
      </c>
      <c r="AK13" s="272">
        <v>4501000</v>
      </c>
      <c r="AL13" s="455">
        <f t="shared" si="4"/>
        <v>3461878</v>
      </c>
      <c r="AM13" s="272">
        <v>2625066</v>
      </c>
      <c r="AN13" s="272">
        <v>509997</v>
      </c>
      <c r="AO13" s="272">
        <v>0</v>
      </c>
      <c r="AP13" s="272">
        <v>326815</v>
      </c>
      <c r="AQ13" s="272">
        <v>228812</v>
      </c>
      <c r="AR13" s="272">
        <v>0</v>
      </c>
      <c r="AS13" s="272">
        <v>0</v>
      </c>
      <c r="AT13" s="272">
        <v>2245050</v>
      </c>
      <c r="AU13" s="272">
        <v>812678</v>
      </c>
      <c r="AV13" s="272">
        <v>195023</v>
      </c>
      <c r="AW13" s="272">
        <v>4088</v>
      </c>
      <c r="AX13" s="272">
        <v>1432372</v>
      </c>
      <c r="AY13" s="272">
        <v>112907</v>
      </c>
      <c r="AZ13" s="272">
        <v>140129</v>
      </c>
      <c r="BA13" s="272">
        <v>20409</v>
      </c>
      <c r="BB13" s="272">
        <v>260269</v>
      </c>
      <c r="BC13" s="272">
        <v>1540200</v>
      </c>
      <c r="BD13" s="272">
        <v>1183187</v>
      </c>
      <c r="BE13" s="272">
        <v>40000</v>
      </c>
      <c r="BF13" s="272">
        <v>317013</v>
      </c>
      <c r="BG13" s="272">
        <v>0</v>
      </c>
      <c r="BH13" s="272">
        <v>210470</v>
      </c>
      <c r="BI13" s="272">
        <v>160195</v>
      </c>
      <c r="BJ13" s="272">
        <v>567131</v>
      </c>
      <c r="BK13" s="272">
        <v>100857</v>
      </c>
      <c r="BL13" s="272">
        <v>0</v>
      </c>
      <c r="BM13" s="272">
        <v>194768</v>
      </c>
      <c r="BN13" s="272">
        <v>3012500</v>
      </c>
      <c r="BO13" s="455">
        <f t="shared" si="5"/>
        <v>1935600</v>
      </c>
      <c r="BP13" s="455">
        <f t="shared" si="6"/>
        <v>1076900</v>
      </c>
      <c r="BQ13" s="272"/>
      <c r="BR13" s="272">
        <v>1076900</v>
      </c>
      <c r="BS13" s="272"/>
      <c r="BT13" s="272">
        <v>0</v>
      </c>
      <c r="BU13" s="272">
        <v>49251595</v>
      </c>
      <c r="BV13" s="272"/>
      <c r="BW13" s="272">
        <v>17806551</v>
      </c>
      <c r="BX13" s="272">
        <v>12311267</v>
      </c>
      <c r="BY13" s="272">
        <v>2247730</v>
      </c>
      <c r="BZ13" s="272">
        <v>564596</v>
      </c>
      <c r="CA13" s="272">
        <v>9241176</v>
      </c>
      <c r="CB13" s="272">
        <v>743693</v>
      </c>
      <c r="CC13" s="272">
        <v>1604542</v>
      </c>
      <c r="CD13" s="272">
        <v>989541</v>
      </c>
      <c r="CE13" s="272">
        <v>3439495</v>
      </c>
      <c r="CF13" s="272">
        <v>2338075</v>
      </c>
      <c r="CG13" s="272">
        <v>124502</v>
      </c>
      <c r="CH13" s="272">
        <v>5510950</v>
      </c>
      <c r="CI13" s="272">
        <v>3112179</v>
      </c>
      <c r="CJ13" s="455">
        <f t="shared" si="7"/>
        <v>2398771</v>
      </c>
      <c r="CK13" s="272">
        <v>4334755</v>
      </c>
      <c r="CL13" s="272">
        <v>2259803</v>
      </c>
      <c r="CM13" s="272">
        <v>264623</v>
      </c>
      <c r="CN13" s="272">
        <v>976125</v>
      </c>
      <c r="CO13" s="272">
        <v>234317</v>
      </c>
      <c r="CP13" s="272">
        <v>3840575</v>
      </c>
      <c r="CQ13" s="272">
        <v>2290083</v>
      </c>
      <c r="CR13" s="272">
        <v>748103</v>
      </c>
      <c r="CS13" s="272">
        <v>281767</v>
      </c>
      <c r="CT13" s="455">
        <f t="shared" si="8"/>
        <v>66768</v>
      </c>
      <c r="CU13" s="272">
        <v>66768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3083661</v>
      </c>
      <c r="DD13" s="272">
        <v>657858</v>
      </c>
      <c r="DE13" s="272">
        <v>2425803</v>
      </c>
      <c r="DF13" s="272">
        <v>0</v>
      </c>
      <c r="DG13" s="272">
        <v>0</v>
      </c>
      <c r="DH13" s="272">
        <v>0</v>
      </c>
      <c r="DI13" s="272">
        <v>154902</v>
      </c>
      <c r="DJ13" s="272">
        <v>14414</v>
      </c>
      <c r="DK13" s="272">
        <v>858</v>
      </c>
      <c r="DL13" s="272">
        <v>139630</v>
      </c>
      <c r="DM13" s="272">
        <v>576310</v>
      </c>
      <c r="DN13" s="272">
        <v>571310</v>
      </c>
      <c r="DO13" s="272">
        <v>571310</v>
      </c>
      <c r="DP13" s="272">
        <v>0</v>
      </c>
      <c r="DQ13" s="272">
        <v>76196</v>
      </c>
      <c r="DR13" s="272">
        <v>0</v>
      </c>
      <c r="DS13" s="272">
        <v>0</v>
      </c>
      <c r="DT13" s="272">
        <v>4309286</v>
      </c>
      <c r="DU13" s="272">
        <v>2590168</v>
      </c>
      <c r="DV13" s="455">
        <f t="shared" si="11"/>
        <v>0</v>
      </c>
      <c r="DW13" s="272">
        <v>0</v>
      </c>
      <c r="DX13" s="272">
        <v>0</v>
      </c>
      <c r="DY13" s="272">
        <v>0</v>
      </c>
      <c r="DZ13" s="272">
        <v>1042516</v>
      </c>
      <c r="EA13" s="272">
        <v>653066</v>
      </c>
      <c r="EB13" s="272"/>
      <c r="EC13" s="272">
        <v>0</v>
      </c>
      <c r="ED13" s="272">
        <v>49168679</v>
      </c>
      <c r="EF13" s="272">
        <v>82916</v>
      </c>
      <c r="EG13" s="272">
        <v>1716</v>
      </c>
      <c r="EH13" s="272">
        <v>81200</v>
      </c>
      <c r="EI13" s="272">
        <v>-278995</v>
      </c>
      <c r="EJ13" s="272">
        <v>-1447768</v>
      </c>
      <c r="EL13" s="272"/>
      <c r="EM13" s="272">
        <v>153082</v>
      </c>
      <c r="EN13" s="272">
        <v>1540000</v>
      </c>
      <c r="EO13" s="272">
        <v>97117</v>
      </c>
      <c r="EP13" s="455">
        <f t="shared" si="12"/>
        <v>708960</v>
      </c>
      <c r="EQ13" s="272">
        <v>33336731</v>
      </c>
      <c r="ER13" s="272">
        <v>-3388367</v>
      </c>
      <c r="ES13" s="272">
        <v>16378614</v>
      </c>
      <c r="ET13" s="272">
        <v>11324008</v>
      </c>
      <c r="EU13" s="272">
        <v>2228807</v>
      </c>
      <c r="EV13" s="272">
        <v>5387638</v>
      </c>
      <c r="EW13" s="455">
        <f t="shared" si="13"/>
        <v>1316579</v>
      </c>
      <c r="EX13" s="272">
        <v>1316579</v>
      </c>
      <c r="EY13" s="272">
        <v>9268</v>
      </c>
      <c r="EZ13" s="272">
        <v>1307311</v>
      </c>
      <c r="FA13" s="272">
        <v>0</v>
      </c>
      <c r="FB13" s="272"/>
      <c r="FC13" s="272">
        <v>3433940</v>
      </c>
      <c r="FD13" s="272">
        <v>3619627</v>
      </c>
      <c r="FE13" s="272">
        <v>2290083</v>
      </c>
      <c r="FF13" s="272">
        <v>4054040</v>
      </c>
      <c r="FG13" s="455">
        <f t="shared" si="14"/>
        <v>222937</v>
      </c>
      <c r="FH13" s="272">
        <v>36642182</v>
      </c>
      <c r="FI13" s="384">
        <f t="shared" si="15"/>
        <v>0.3</v>
      </c>
      <c r="FJ13" s="272">
        <v>30705925</v>
      </c>
      <c r="FK13" s="272"/>
      <c r="FL13" s="272">
        <v>21341564</v>
      </c>
      <c r="FM13" s="272">
        <v>23718140</v>
      </c>
      <c r="FN13" s="460">
        <v>0.90400000000000003</v>
      </c>
      <c r="FO13" s="388">
        <v>106.3</v>
      </c>
      <c r="FP13" s="388">
        <v>49.1</v>
      </c>
      <c r="FQ13" s="388">
        <v>6.2</v>
      </c>
      <c r="FR13" s="388">
        <v>17.7</v>
      </c>
      <c r="FS13" s="388">
        <v>10.4</v>
      </c>
      <c r="FT13" s="388">
        <v>10.5</v>
      </c>
      <c r="FU13" s="388">
        <v>11.6</v>
      </c>
      <c r="FV13" s="388">
        <v>14</v>
      </c>
      <c r="FW13" s="272">
        <v>54572990</v>
      </c>
      <c r="FX13" s="384">
        <f t="shared" si="16"/>
        <v>177.7</v>
      </c>
      <c r="FY13" s="272">
        <v>3960101</v>
      </c>
      <c r="FZ13" s="272">
        <v>522184</v>
      </c>
      <c r="GA13" s="272">
        <v>111355</v>
      </c>
      <c r="GB13" s="272">
        <v>3326562</v>
      </c>
      <c r="GC13" s="272"/>
      <c r="GD13" s="272">
        <v>10674804</v>
      </c>
      <c r="GE13" s="384">
        <f t="shared" si="17"/>
        <v>34.799999999999997</v>
      </c>
      <c r="GF13" s="388">
        <v>97.4</v>
      </c>
      <c r="GG13" s="388">
        <v>18.3</v>
      </c>
      <c r="GH13" s="388">
        <v>91</v>
      </c>
      <c r="GI13" s="272">
        <v>1524</v>
      </c>
    </row>
    <row r="14" spans="2:191" x14ac:dyDescent="0.15">
      <c r="B14" s="89" t="s">
        <v>21</v>
      </c>
      <c r="C14" s="272">
        <v>65108554</v>
      </c>
      <c r="D14" s="455">
        <f t="shared" si="0"/>
        <v>28612822</v>
      </c>
      <c r="E14" s="272">
        <v>373287</v>
      </c>
      <c r="F14" s="272">
        <v>28239535</v>
      </c>
      <c r="G14" s="455">
        <f t="shared" si="1"/>
        <v>4193229</v>
      </c>
      <c r="H14" s="272">
        <v>602284</v>
      </c>
      <c r="I14" s="272">
        <v>3590945</v>
      </c>
      <c r="J14" s="272">
        <v>23072584</v>
      </c>
      <c r="K14" s="272">
        <v>11905855</v>
      </c>
      <c r="L14" s="272">
        <v>8090189</v>
      </c>
      <c r="M14" s="272">
        <v>2588966</v>
      </c>
      <c r="N14" s="272">
        <v>1895689</v>
      </c>
      <c r="O14" s="272">
        <v>5697790</v>
      </c>
      <c r="P14" s="272">
        <v>3881384</v>
      </c>
      <c r="Q14" s="272">
        <v>1816406</v>
      </c>
      <c r="R14" s="272">
        <v>1297171</v>
      </c>
      <c r="S14" s="272">
        <v>571427</v>
      </c>
      <c r="T14" s="455">
        <f t="shared" si="2"/>
        <v>2959335</v>
      </c>
      <c r="U14" s="272">
        <v>979089</v>
      </c>
      <c r="V14" s="272"/>
      <c r="W14" s="272"/>
      <c r="X14" s="272">
        <v>771200</v>
      </c>
      <c r="Y14" s="272">
        <v>172176</v>
      </c>
      <c r="Z14" s="272">
        <v>45344</v>
      </c>
      <c r="AA14" s="272">
        <v>991526</v>
      </c>
      <c r="AB14" s="272"/>
      <c r="AC14" s="272">
        <v>4384468</v>
      </c>
      <c r="AD14" s="272">
        <v>4233112</v>
      </c>
      <c r="AE14" s="272">
        <v>151356</v>
      </c>
      <c r="AF14" s="272">
        <v>86392</v>
      </c>
      <c r="AG14" s="272">
        <v>895617</v>
      </c>
      <c r="AH14" s="455">
        <f t="shared" si="3"/>
        <v>1853924</v>
      </c>
      <c r="AI14" s="272">
        <v>1456673</v>
      </c>
      <c r="AJ14" s="272">
        <v>397251</v>
      </c>
      <c r="AK14" s="272">
        <v>9184136</v>
      </c>
      <c r="AL14" s="455">
        <f t="shared" si="4"/>
        <v>5521342</v>
      </c>
      <c r="AM14" s="272">
        <v>3906951</v>
      </c>
      <c r="AN14" s="272">
        <v>1056316</v>
      </c>
      <c r="AO14" s="272">
        <v>0</v>
      </c>
      <c r="AP14" s="272">
        <v>558075</v>
      </c>
      <c r="AQ14" s="272">
        <v>1448310</v>
      </c>
      <c r="AR14" s="272">
        <v>0</v>
      </c>
      <c r="AS14" s="272">
        <v>0</v>
      </c>
      <c r="AT14" s="272">
        <v>5697036</v>
      </c>
      <c r="AU14" s="272">
        <v>2450676</v>
      </c>
      <c r="AV14" s="272">
        <v>524453</v>
      </c>
      <c r="AW14" s="272">
        <v>29137</v>
      </c>
      <c r="AX14" s="272">
        <v>3246360</v>
      </c>
      <c r="AY14" s="272">
        <v>458948</v>
      </c>
      <c r="AZ14" s="272">
        <v>310751</v>
      </c>
      <c r="BA14" s="272">
        <v>191836</v>
      </c>
      <c r="BB14" s="272">
        <v>38396</v>
      </c>
      <c r="BC14" s="272">
        <v>801471</v>
      </c>
      <c r="BD14" s="272">
        <v>0</v>
      </c>
      <c r="BE14" s="272">
        <v>340196</v>
      </c>
      <c r="BF14" s="272">
        <v>456932</v>
      </c>
      <c r="BG14" s="272">
        <v>0</v>
      </c>
      <c r="BH14" s="272">
        <v>0</v>
      </c>
      <c r="BI14" s="272">
        <v>0</v>
      </c>
      <c r="BJ14" s="272">
        <v>1854477</v>
      </c>
      <c r="BK14" s="272">
        <v>1000000</v>
      </c>
      <c r="BL14" s="272">
        <v>0</v>
      </c>
      <c r="BM14" s="272">
        <v>295841</v>
      </c>
      <c r="BN14" s="272">
        <v>12617400</v>
      </c>
      <c r="BO14" s="455">
        <f t="shared" si="5"/>
        <v>10439300</v>
      </c>
      <c r="BP14" s="455">
        <f t="shared" si="6"/>
        <v>2178100</v>
      </c>
      <c r="BQ14" s="272"/>
      <c r="BR14" s="272">
        <v>2178100</v>
      </c>
      <c r="BS14" s="272"/>
      <c r="BT14" s="272">
        <v>0</v>
      </c>
      <c r="BU14" s="272">
        <v>107089128</v>
      </c>
      <c r="BV14" s="272"/>
      <c r="BW14" s="272">
        <v>30946508</v>
      </c>
      <c r="BX14" s="272">
        <v>22279941</v>
      </c>
      <c r="BY14" s="272">
        <v>1910795</v>
      </c>
      <c r="BZ14" s="272">
        <v>2163976</v>
      </c>
      <c r="CA14" s="272">
        <v>14196548</v>
      </c>
      <c r="CB14" s="272">
        <v>1690153</v>
      </c>
      <c r="CC14" s="272">
        <v>3122209</v>
      </c>
      <c r="CD14" s="272">
        <v>3895903</v>
      </c>
      <c r="CE14" s="272">
        <v>5249060</v>
      </c>
      <c r="CF14" s="272">
        <v>11040</v>
      </c>
      <c r="CG14" s="272">
        <v>225223</v>
      </c>
      <c r="CH14" s="272">
        <v>10932053</v>
      </c>
      <c r="CI14" s="272">
        <v>6042358</v>
      </c>
      <c r="CJ14" s="455">
        <f t="shared" si="7"/>
        <v>4889695</v>
      </c>
      <c r="CK14" s="272">
        <v>9798612</v>
      </c>
      <c r="CL14" s="272">
        <v>4942568</v>
      </c>
      <c r="CM14" s="272">
        <v>489741</v>
      </c>
      <c r="CN14" s="272">
        <v>2646329</v>
      </c>
      <c r="CO14" s="272">
        <v>1389137</v>
      </c>
      <c r="CP14" s="272">
        <v>11066516</v>
      </c>
      <c r="CQ14" s="272">
        <v>4792211</v>
      </c>
      <c r="CR14" s="272">
        <v>2208148</v>
      </c>
      <c r="CS14" s="272">
        <v>2003992</v>
      </c>
      <c r="CT14" s="455">
        <f t="shared" si="8"/>
        <v>1754527</v>
      </c>
      <c r="CU14" s="272">
        <v>1245711</v>
      </c>
      <c r="CV14" s="272">
        <v>508816</v>
      </c>
      <c r="CW14" s="455">
        <f t="shared" si="9"/>
        <v>1214782</v>
      </c>
      <c r="CX14" s="272">
        <v>1163321</v>
      </c>
      <c r="CY14" s="272">
        <v>51461</v>
      </c>
      <c r="CZ14" s="455">
        <f t="shared" si="10"/>
        <v>0</v>
      </c>
      <c r="DA14" s="272">
        <v>0</v>
      </c>
      <c r="DB14" s="272">
        <v>0</v>
      </c>
      <c r="DC14" s="272">
        <v>14461437</v>
      </c>
      <c r="DD14" s="272">
        <v>2472346</v>
      </c>
      <c r="DE14" s="272">
        <v>11329994</v>
      </c>
      <c r="DF14" s="272">
        <v>105594</v>
      </c>
      <c r="DG14" s="272">
        <v>553503</v>
      </c>
      <c r="DH14" s="272">
        <v>18423</v>
      </c>
      <c r="DI14" s="272">
        <v>99198</v>
      </c>
      <c r="DJ14" s="272">
        <v>0</v>
      </c>
      <c r="DK14" s="272">
        <v>27842</v>
      </c>
      <c r="DL14" s="272">
        <v>71356</v>
      </c>
      <c r="DM14" s="272">
        <v>3373500</v>
      </c>
      <c r="DN14" s="272">
        <v>3073500</v>
      </c>
      <c r="DO14" s="272">
        <v>3073500</v>
      </c>
      <c r="DP14" s="272">
        <v>0</v>
      </c>
      <c r="DQ14" s="272">
        <v>1000000</v>
      </c>
      <c r="DR14" s="272">
        <v>0</v>
      </c>
      <c r="DS14" s="272">
        <v>0</v>
      </c>
      <c r="DT14" s="272">
        <v>9984319</v>
      </c>
      <c r="DU14" s="272">
        <v>6282041</v>
      </c>
      <c r="DV14" s="455">
        <f t="shared" si="11"/>
        <v>0</v>
      </c>
      <c r="DW14" s="272">
        <v>0</v>
      </c>
      <c r="DX14" s="272">
        <v>0</v>
      </c>
      <c r="DY14" s="272">
        <v>58671</v>
      </c>
      <c r="DZ14" s="272">
        <v>2306690</v>
      </c>
      <c r="EA14" s="272">
        <v>1309987</v>
      </c>
      <c r="EB14" s="272"/>
      <c r="EC14" s="272">
        <v>830900</v>
      </c>
      <c r="ED14" s="272">
        <v>108097151</v>
      </c>
      <c r="EF14" s="272">
        <v>-1008023</v>
      </c>
      <c r="EG14" s="272">
        <v>743171</v>
      </c>
      <c r="EH14" s="272">
        <v>-1751194</v>
      </c>
      <c r="EI14" s="272">
        <v>77222</v>
      </c>
      <c r="EJ14" s="272">
        <v>77222</v>
      </c>
      <c r="EL14" s="272"/>
      <c r="EM14" s="272">
        <v>400327</v>
      </c>
      <c r="EN14" s="272">
        <v>344539</v>
      </c>
      <c r="EO14" s="272">
        <v>209708</v>
      </c>
      <c r="EP14" s="455">
        <f t="shared" si="12"/>
        <v>1264572</v>
      </c>
      <c r="EQ14" s="272">
        <v>73835920</v>
      </c>
      <c r="ER14" s="272">
        <v>-3910527</v>
      </c>
      <c r="ES14" s="272">
        <v>28239757</v>
      </c>
      <c r="ET14" s="272">
        <v>19753043</v>
      </c>
      <c r="EU14" s="272">
        <v>4993972</v>
      </c>
      <c r="EV14" s="272">
        <v>10907519</v>
      </c>
      <c r="EW14" s="455">
        <f t="shared" si="13"/>
        <v>5089967</v>
      </c>
      <c r="EX14" s="272">
        <v>5071544</v>
      </c>
      <c r="EY14" s="272">
        <v>179316</v>
      </c>
      <c r="EZ14" s="272">
        <v>4864634</v>
      </c>
      <c r="FA14" s="272">
        <v>18423</v>
      </c>
      <c r="FB14" s="272"/>
      <c r="FC14" s="272">
        <v>7584850</v>
      </c>
      <c r="FD14" s="272">
        <v>10225764</v>
      </c>
      <c r="FE14" s="272">
        <v>4792211</v>
      </c>
      <c r="FF14" s="272">
        <v>9540772</v>
      </c>
      <c r="FG14" s="455">
        <f t="shared" si="14"/>
        <v>2215604</v>
      </c>
      <c r="FH14" s="272">
        <v>78798205</v>
      </c>
      <c r="FI14" s="384">
        <f t="shared" si="15"/>
        <v>-2.5</v>
      </c>
      <c r="FJ14" s="272">
        <v>70412960</v>
      </c>
      <c r="FK14" s="272"/>
      <c r="FL14" s="272">
        <v>49838835</v>
      </c>
      <c r="FM14" s="272">
        <v>54088340</v>
      </c>
      <c r="FN14" s="460">
        <v>0.94099999999999995</v>
      </c>
      <c r="FO14" s="388">
        <v>95.8</v>
      </c>
      <c r="FP14" s="388">
        <v>40.299999999999997</v>
      </c>
      <c r="FQ14" s="388">
        <v>7.3</v>
      </c>
      <c r="FR14" s="388">
        <v>16</v>
      </c>
      <c r="FS14" s="388">
        <v>10.4</v>
      </c>
      <c r="FT14" s="388">
        <v>13.8</v>
      </c>
      <c r="FU14" s="388">
        <v>6</v>
      </c>
      <c r="FV14" s="388">
        <v>9.9</v>
      </c>
      <c r="FW14" s="272">
        <v>110590687</v>
      </c>
      <c r="FX14" s="384">
        <f t="shared" si="16"/>
        <v>157.1</v>
      </c>
      <c r="FY14" s="272">
        <v>14109071</v>
      </c>
      <c r="FZ14" s="272">
        <v>0</v>
      </c>
      <c r="GA14" s="272">
        <v>4087331</v>
      </c>
      <c r="GB14" s="272">
        <v>10021740</v>
      </c>
      <c r="GC14" s="272"/>
      <c r="GD14" s="272">
        <v>29924146</v>
      </c>
      <c r="GE14" s="384">
        <f t="shared" si="17"/>
        <v>42.5</v>
      </c>
      <c r="GF14" s="388">
        <v>97.4</v>
      </c>
      <c r="GG14" s="388">
        <v>18.600000000000001</v>
      </c>
      <c r="GH14" s="388">
        <v>91.3</v>
      </c>
      <c r="GI14" s="272">
        <v>2864</v>
      </c>
    </row>
    <row r="15" spans="2:191" x14ac:dyDescent="0.15">
      <c r="B15" s="89" t="s">
        <v>23</v>
      </c>
      <c r="C15" s="272">
        <v>49789990</v>
      </c>
      <c r="D15" s="455">
        <f t="shared" si="0"/>
        <v>18967946</v>
      </c>
      <c r="E15" s="272">
        <v>251578</v>
      </c>
      <c r="F15" s="272">
        <v>18716368</v>
      </c>
      <c r="G15" s="455">
        <f t="shared" si="1"/>
        <v>5539978</v>
      </c>
      <c r="H15" s="272">
        <v>678203</v>
      </c>
      <c r="I15" s="272">
        <v>4861775</v>
      </c>
      <c r="J15" s="272">
        <v>19370179</v>
      </c>
      <c r="K15" s="272">
        <v>10097293</v>
      </c>
      <c r="L15" s="272">
        <v>6272622</v>
      </c>
      <c r="M15" s="272">
        <v>2767835</v>
      </c>
      <c r="N15" s="272">
        <v>1388294</v>
      </c>
      <c r="O15" s="272">
        <v>4268563</v>
      </c>
      <c r="P15" s="272">
        <v>2899306</v>
      </c>
      <c r="Q15" s="272">
        <v>1369257</v>
      </c>
      <c r="R15" s="272">
        <v>931682</v>
      </c>
      <c r="S15" s="272">
        <v>428217</v>
      </c>
      <c r="T15" s="455">
        <f t="shared" si="2"/>
        <v>2113258</v>
      </c>
      <c r="U15" s="272">
        <v>654076</v>
      </c>
      <c r="V15" s="272"/>
      <c r="W15" s="272"/>
      <c r="X15" s="272">
        <v>568681</v>
      </c>
      <c r="Y15" s="272">
        <v>179276</v>
      </c>
      <c r="Z15" s="272">
        <v>23332</v>
      </c>
      <c r="AA15" s="272">
        <v>687893</v>
      </c>
      <c r="AB15" s="272"/>
      <c r="AC15" s="272">
        <v>247293</v>
      </c>
      <c r="AD15" s="272">
        <v>0</v>
      </c>
      <c r="AE15" s="272">
        <v>247293</v>
      </c>
      <c r="AF15" s="272">
        <v>58497</v>
      </c>
      <c r="AG15" s="272">
        <v>549930</v>
      </c>
      <c r="AH15" s="455">
        <f t="shared" si="3"/>
        <v>1865791</v>
      </c>
      <c r="AI15" s="272">
        <v>1564750</v>
      </c>
      <c r="AJ15" s="272">
        <v>301041</v>
      </c>
      <c r="AK15" s="272">
        <v>6827741</v>
      </c>
      <c r="AL15" s="455">
        <f t="shared" si="4"/>
        <v>2581166</v>
      </c>
      <c r="AM15" s="272">
        <v>1772633</v>
      </c>
      <c r="AN15" s="272">
        <v>518962</v>
      </c>
      <c r="AO15" s="272">
        <v>0</v>
      </c>
      <c r="AP15" s="272">
        <v>289571</v>
      </c>
      <c r="AQ15" s="272">
        <v>2327216</v>
      </c>
      <c r="AR15" s="272">
        <v>10591</v>
      </c>
      <c r="AS15" s="272">
        <v>0</v>
      </c>
      <c r="AT15" s="272">
        <v>3844519</v>
      </c>
      <c r="AU15" s="272">
        <v>1382460</v>
      </c>
      <c r="AV15" s="272">
        <v>258451</v>
      </c>
      <c r="AW15" s="272">
        <v>106142</v>
      </c>
      <c r="AX15" s="272">
        <v>2462059</v>
      </c>
      <c r="AY15" s="272">
        <v>438071</v>
      </c>
      <c r="AZ15" s="272">
        <v>118816</v>
      </c>
      <c r="BA15" s="272">
        <v>4108</v>
      </c>
      <c r="BB15" s="272">
        <v>397382</v>
      </c>
      <c r="BC15" s="272">
        <v>1519000</v>
      </c>
      <c r="BD15" s="272">
        <v>300000</v>
      </c>
      <c r="BE15" s="272">
        <v>0</v>
      </c>
      <c r="BF15" s="272">
        <v>965600</v>
      </c>
      <c r="BG15" s="272">
        <v>0</v>
      </c>
      <c r="BH15" s="272">
        <v>2055154</v>
      </c>
      <c r="BI15" s="272">
        <v>601040</v>
      </c>
      <c r="BJ15" s="272">
        <v>1832662</v>
      </c>
      <c r="BK15" s="272">
        <v>308534</v>
      </c>
      <c r="BL15" s="272">
        <v>25228</v>
      </c>
      <c r="BM15" s="272">
        <v>222556</v>
      </c>
      <c r="BN15" s="272">
        <v>4918300</v>
      </c>
      <c r="BO15" s="455">
        <f t="shared" si="5"/>
        <v>3538300</v>
      </c>
      <c r="BP15" s="455">
        <f t="shared" si="6"/>
        <v>1380000</v>
      </c>
      <c r="BQ15" s="272"/>
      <c r="BR15" s="272">
        <v>1380000</v>
      </c>
      <c r="BS15" s="272"/>
      <c r="BT15" s="272">
        <v>0</v>
      </c>
      <c r="BU15" s="272">
        <v>77070015</v>
      </c>
      <c r="BV15" s="272"/>
      <c r="BW15" s="272">
        <v>19482635</v>
      </c>
      <c r="BX15" s="272">
        <v>14856161</v>
      </c>
      <c r="BY15" s="272">
        <v>792593</v>
      </c>
      <c r="BZ15" s="272">
        <v>581070</v>
      </c>
      <c r="CA15" s="272">
        <v>7331843</v>
      </c>
      <c r="CB15" s="272">
        <v>1291554</v>
      </c>
      <c r="CC15" s="272">
        <v>1654126</v>
      </c>
      <c r="CD15" s="272">
        <v>1949859</v>
      </c>
      <c r="CE15" s="272">
        <v>2325720</v>
      </c>
      <c r="CF15" s="272">
        <v>0</v>
      </c>
      <c r="CG15" s="272">
        <v>108289</v>
      </c>
      <c r="CH15" s="272">
        <v>4017831</v>
      </c>
      <c r="CI15" s="272">
        <v>1901942</v>
      </c>
      <c r="CJ15" s="455">
        <f t="shared" si="7"/>
        <v>2115889</v>
      </c>
      <c r="CK15" s="272">
        <v>11574025</v>
      </c>
      <c r="CL15" s="272">
        <v>6380235</v>
      </c>
      <c r="CM15" s="272">
        <v>453779</v>
      </c>
      <c r="CN15" s="272">
        <v>3103472</v>
      </c>
      <c r="CO15" s="272">
        <v>1289339</v>
      </c>
      <c r="CP15" s="272">
        <v>2610414</v>
      </c>
      <c r="CQ15" s="272">
        <v>1579</v>
      </c>
      <c r="CR15" s="272">
        <v>1140293</v>
      </c>
      <c r="CS15" s="272">
        <v>1021714</v>
      </c>
      <c r="CT15" s="455">
        <f t="shared" si="8"/>
        <v>181954</v>
      </c>
      <c r="CU15" s="272">
        <v>31954</v>
      </c>
      <c r="CV15" s="272">
        <v>150000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21109569</v>
      </c>
      <c r="DD15" s="272">
        <v>5213927</v>
      </c>
      <c r="DE15" s="272">
        <v>15497776</v>
      </c>
      <c r="DF15" s="272">
        <v>0</v>
      </c>
      <c r="DG15" s="272">
        <v>397866</v>
      </c>
      <c r="DH15" s="272">
        <v>61103</v>
      </c>
      <c r="DI15" s="272">
        <v>136810</v>
      </c>
      <c r="DJ15" s="272">
        <v>35300</v>
      </c>
      <c r="DK15" s="272">
        <v>0</v>
      </c>
      <c r="DL15" s="272">
        <v>101510</v>
      </c>
      <c r="DM15" s="272">
        <v>49000</v>
      </c>
      <c r="DN15" s="272">
        <v>0</v>
      </c>
      <c r="DO15" s="272">
        <v>0</v>
      </c>
      <c r="DP15" s="272">
        <v>0</v>
      </c>
      <c r="DQ15" s="272">
        <v>304000</v>
      </c>
      <c r="DR15" s="272">
        <v>0</v>
      </c>
      <c r="DS15" s="272">
        <v>0</v>
      </c>
      <c r="DT15" s="272">
        <v>7964439</v>
      </c>
      <c r="DU15" s="272">
        <v>5455253</v>
      </c>
      <c r="DV15" s="455">
        <f t="shared" si="11"/>
        <v>0</v>
      </c>
      <c r="DW15" s="272">
        <v>0</v>
      </c>
      <c r="DX15" s="272">
        <v>0</v>
      </c>
      <c r="DY15" s="272">
        <v>0</v>
      </c>
      <c r="DZ15" s="272">
        <v>1668000</v>
      </c>
      <c r="EA15" s="272">
        <v>804940</v>
      </c>
      <c r="EB15" s="272"/>
      <c r="EC15" s="272">
        <v>0</v>
      </c>
      <c r="ED15" s="272">
        <v>75931008</v>
      </c>
      <c r="EF15" s="272">
        <v>1139007</v>
      </c>
      <c r="EG15" s="272">
        <v>543673</v>
      </c>
      <c r="EH15" s="272">
        <v>595334</v>
      </c>
      <c r="EI15" s="272">
        <v>-5706</v>
      </c>
      <c r="EJ15" s="272">
        <v>-270406</v>
      </c>
      <c r="EL15" s="272"/>
      <c r="EM15" s="272">
        <v>255750</v>
      </c>
      <c r="EN15" s="272">
        <v>549296</v>
      </c>
      <c r="EO15" s="272">
        <v>16450</v>
      </c>
      <c r="EP15" s="455">
        <f t="shared" si="12"/>
        <v>2957235</v>
      </c>
      <c r="EQ15" s="272">
        <v>53140720</v>
      </c>
      <c r="ER15" s="272">
        <v>-4844484</v>
      </c>
      <c r="ES15" s="272">
        <v>17645504</v>
      </c>
      <c r="ET15" s="272">
        <v>13107901</v>
      </c>
      <c r="EU15" s="272">
        <v>2513202</v>
      </c>
      <c r="EV15" s="272">
        <v>3956906</v>
      </c>
      <c r="EW15" s="455">
        <f t="shared" si="13"/>
        <v>12162022</v>
      </c>
      <c r="EX15" s="272">
        <v>12141256</v>
      </c>
      <c r="EY15" s="272">
        <v>1180362</v>
      </c>
      <c r="EZ15" s="272">
        <v>10960894</v>
      </c>
      <c r="FA15" s="272">
        <v>20766</v>
      </c>
      <c r="FB15" s="272"/>
      <c r="FC15" s="272">
        <v>9222325</v>
      </c>
      <c r="FD15" s="272">
        <v>2213020</v>
      </c>
      <c r="FE15" s="272">
        <v>1579</v>
      </c>
      <c r="FF15" s="272">
        <v>7850652</v>
      </c>
      <c r="FG15" s="455">
        <f t="shared" si="14"/>
        <v>1282566</v>
      </c>
      <c r="FH15" s="272">
        <v>56846197</v>
      </c>
      <c r="FI15" s="384">
        <f t="shared" si="15"/>
        <v>1.2</v>
      </c>
      <c r="FJ15" s="272">
        <v>49269054</v>
      </c>
      <c r="FK15" s="272"/>
      <c r="FL15" s="272">
        <v>37095348</v>
      </c>
      <c r="FM15" s="272">
        <v>35324874</v>
      </c>
      <c r="FN15" s="460">
        <v>1.0840000000000001</v>
      </c>
      <c r="FO15" s="388">
        <v>81.5</v>
      </c>
      <c r="FP15" s="388">
        <v>35.6</v>
      </c>
      <c r="FQ15" s="388">
        <v>5.0999999999999996</v>
      </c>
      <c r="FR15" s="388">
        <v>8.1</v>
      </c>
      <c r="FS15" s="388">
        <v>18.5</v>
      </c>
      <c r="FT15" s="388">
        <v>3.5</v>
      </c>
      <c r="FU15" s="388">
        <v>8.1999999999999993</v>
      </c>
      <c r="FV15" s="388">
        <v>4</v>
      </c>
      <c r="FW15" s="272">
        <v>51164754</v>
      </c>
      <c r="FX15" s="384">
        <f t="shared" si="16"/>
        <v>103.8</v>
      </c>
      <c r="FY15" s="272">
        <v>14595690</v>
      </c>
      <c r="FZ15" s="272">
        <v>4839700</v>
      </c>
      <c r="GA15" s="272"/>
      <c r="GB15" s="272">
        <v>9755990</v>
      </c>
      <c r="GC15" s="272"/>
      <c r="GD15" s="272">
        <v>11708774</v>
      </c>
      <c r="GE15" s="384">
        <f t="shared" si="17"/>
        <v>23.8</v>
      </c>
      <c r="GF15" s="388">
        <v>98.6</v>
      </c>
      <c r="GG15" s="388">
        <v>19</v>
      </c>
      <c r="GH15" s="388">
        <v>95.9</v>
      </c>
      <c r="GI15" s="272">
        <v>1940</v>
      </c>
    </row>
    <row r="16" spans="2:191" x14ac:dyDescent="0.15">
      <c r="B16" s="89" t="s">
        <v>25</v>
      </c>
      <c r="C16" s="272">
        <v>46118289</v>
      </c>
      <c r="D16" s="455">
        <f t="shared" si="0"/>
        <v>16582554</v>
      </c>
      <c r="E16" s="272">
        <v>260388</v>
      </c>
      <c r="F16" s="272">
        <v>16322166</v>
      </c>
      <c r="G16" s="455">
        <f t="shared" si="1"/>
        <v>4474102</v>
      </c>
      <c r="H16" s="272">
        <v>634034</v>
      </c>
      <c r="I16" s="272">
        <v>3840068</v>
      </c>
      <c r="J16" s="272">
        <v>18654018</v>
      </c>
      <c r="K16" s="272">
        <v>10044567</v>
      </c>
      <c r="L16" s="272">
        <v>5740935</v>
      </c>
      <c r="M16" s="272">
        <v>2623225</v>
      </c>
      <c r="N16" s="272">
        <v>1885219</v>
      </c>
      <c r="O16" s="272">
        <v>4286462</v>
      </c>
      <c r="P16" s="272">
        <v>3018618</v>
      </c>
      <c r="Q16" s="272">
        <v>1267844</v>
      </c>
      <c r="R16" s="272">
        <v>1006384</v>
      </c>
      <c r="S16" s="272">
        <v>488768</v>
      </c>
      <c r="T16" s="455">
        <f t="shared" si="2"/>
        <v>1959842</v>
      </c>
      <c r="U16" s="272">
        <v>597625</v>
      </c>
      <c r="V16" s="272"/>
      <c r="W16" s="272"/>
      <c r="X16" s="272">
        <v>645080</v>
      </c>
      <c r="Y16" s="272">
        <v>0</v>
      </c>
      <c r="Z16" s="272">
        <v>11673</v>
      </c>
      <c r="AA16" s="272">
        <v>705464</v>
      </c>
      <c r="AB16" s="272"/>
      <c r="AC16" s="272">
        <v>4421020</v>
      </c>
      <c r="AD16" s="272">
        <v>3512128</v>
      </c>
      <c r="AE16" s="272">
        <v>908892</v>
      </c>
      <c r="AF16" s="272">
        <v>68162</v>
      </c>
      <c r="AG16" s="272">
        <v>2188029</v>
      </c>
      <c r="AH16" s="455">
        <f t="shared" si="3"/>
        <v>1855842</v>
      </c>
      <c r="AI16" s="272">
        <v>1214303</v>
      </c>
      <c r="AJ16" s="272">
        <v>641539</v>
      </c>
      <c r="AK16" s="272">
        <v>8047774</v>
      </c>
      <c r="AL16" s="455">
        <f t="shared" si="4"/>
        <v>5452481</v>
      </c>
      <c r="AM16" s="272">
        <v>4269772</v>
      </c>
      <c r="AN16" s="272">
        <v>669377</v>
      </c>
      <c r="AO16" s="272">
        <v>0</v>
      </c>
      <c r="AP16" s="272">
        <v>513332</v>
      </c>
      <c r="AQ16" s="272">
        <v>852574</v>
      </c>
      <c r="AR16" s="272">
        <v>0</v>
      </c>
      <c r="AS16" s="272">
        <v>53209</v>
      </c>
      <c r="AT16" s="272">
        <v>4263805</v>
      </c>
      <c r="AU16" s="272">
        <v>1339751</v>
      </c>
      <c r="AV16" s="272">
        <v>332346</v>
      </c>
      <c r="AW16" s="272">
        <v>24117</v>
      </c>
      <c r="AX16" s="272">
        <v>2924054</v>
      </c>
      <c r="AY16" s="272">
        <v>348582</v>
      </c>
      <c r="AZ16" s="272">
        <v>171906</v>
      </c>
      <c r="BA16" s="272">
        <v>57447</v>
      </c>
      <c r="BB16" s="272">
        <v>430436</v>
      </c>
      <c r="BC16" s="272">
        <v>647417</v>
      </c>
      <c r="BD16" s="272">
        <v>0</v>
      </c>
      <c r="BE16" s="272">
        <v>0</v>
      </c>
      <c r="BF16" s="272">
        <v>637281</v>
      </c>
      <c r="BG16" s="272">
        <v>0</v>
      </c>
      <c r="BH16" s="272">
        <v>369911</v>
      </c>
      <c r="BI16" s="272">
        <v>208583</v>
      </c>
      <c r="BJ16" s="272">
        <v>1270159</v>
      </c>
      <c r="BK16" s="272">
        <v>552805</v>
      </c>
      <c r="BL16" s="272">
        <v>1764</v>
      </c>
      <c r="BM16" s="272">
        <v>257119</v>
      </c>
      <c r="BN16" s="272">
        <v>6188800</v>
      </c>
      <c r="BO16" s="455">
        <f t="shared" si="5"/>
        <v>4366900</v>
      </c>
      <c r="BP16" s="455">
        <f t="shared" si="6"/>
        <v>1821900</v>
      </c>
      <c r="BQ16" s="272"/>
      <c r="BR16" s="272">
        <v>1821900</v>
      </c>
      <c r="BS16" s="272"/>
      <c r="BT16" s="272">
        <v>0</v>
      </c>
      <c r="BU16" s="272">
        <v>79060985</v>
      </c>
      <c r="BV16" s="272"/>
      <c r="BW16" s="272">
        <v>21927586</v>
      </c>
      <c r="BX16" s="272">
        <v>15953716</v>
      </c>
      <c r="BY16" s="272">
        <v>1515429</v>
      </c>
      <c r="BZ16" s="272">
        <v>1051457</v>
      </c>
      <c r="CA16" s="272">
        <v>13701430</v>
      </c>
      <c r="CB16" s="272">
        <v>1315336</v>
      </c>
      <c r="CC16" s="272">
        <v>2515118</v>
      </c>
      <c r="CD16" s="272">
        <v>2327922</v>
      </c>
      <c r="CE16" s="272">
        <v>5689513</v>
      </c>
      <c r="CF16" s="272">
        <v>1580999</v>
      </c>
      <c r="CG16" s="272">
        <v>271632</v>
      </c>
      <c r="CH16" s="272">
        <v>8370951</v>
      </c>
      <c r="CI16" s="272">
        <v>4934182</v>
      </c>
      <c r="CJ16" s="455">
        <f t="shared" si="7"/>
        <v>3436769</v>
      </c>
      <c r="CK16" s="272">
        <v>9693809</v>
      </c>
      <c r="CL16" s="272">
        <v>5755545</v>
      </c>
      <c r="CM16" s="272">
        <v>626720</v>
      </c>
      <c r="CN16" s="272">
        <v>1992280</v>
      </c>
      <c r="CO16" s="272">
        <v>442624</v>
      </c>
      <c r="CP16" s="272">
        <v>3226572</v>
      </c>
      <c r="CQ16" s="272">
        <v>61986</v>
      </c>
      <c r="CR16" s="272">
        <v>1094505</v>
      </c>
      <c r="CS16" s="272">
        <v>557770</v>
      </c>
      <c r="CT16" s="455">
        <f t="shared" si="8"/>
        <v>810153</v>
      </c>
      <c r="CU16" s="272">
        <v>740976</v>
      </c>
      <c r="CV16" s="272">
        <v>69177</v>
      </c>
      <c r="CW16" s="455">
        <f t="shared" si="9"/>
        <v>724610</v>
      </c>
      <c r="CX16" s="272">
        <v>655433</v>
      </c>
      <c r="CY16" s="272">
        <v>69177</v>
      </c>
      <c r="CZ16" s="455">
        <f t="shared" si="10"/>
        <v>0</v>
      </c>
      <c r="DA16" s="272">
        <v>0</v>
      </c>
      <c r="DB16" s="272">
        <v>0</v>
      </c>
      <c r="DC16" s="272">
        <v>11003077</v>
      </c>
      <c r="DD16" s="272">
        <v>1733069</v>
      </c>
      <c r="DE16" s="272">
        <v>9174727</v>
      </c>
      <c r="DF16" s="272">
        <v>69925</v>
      </c>
      <c r="DG16" s="272">
        <v>25356</v>
      </c>
      <c r="DH16" s="272">
        <v>0</v>
      </c>
      <c r="DI16" s="272">
        <v>1621224</v>
      </c>
      <c r="DJ16" s="272">
        <v>136684</v>
      </c>
      <c r="DK16" s="272">
        <v>0</v>
      </c>
      <c r="DL16" s="272">
        <v>1484540</v>
      </c>
      <c r="DM16" s="272">
        <v>272116</v>
      </c>
      <c r="DN16" s="272">
        <v>136116</v>
      </c>
      <c r="DO16" s="272">
        <v>136116</v>
      </c>
      <c r="DP16" s="272">
        <v>0</v>
      </c>
      <c r="DQ16" s="272">
        <v>547519</v>
      </c>
      <c r="DR16" s="272">
        <v>0</v>
      </c>
      <c r="DS16" s="272">
        <v>0</v>
      </c>
      <c r="DT16" s="272">
        <v>7786590</v>
      </c>
      <c r="DU16" s="272">
        <v>4529521</v>
      </c>
      <c r="DV16" s="455">
        <f t="shared" si="11"/>
        <v>0</v>
      </c>
      <c r="DW16" s="272">
        <v>0</v>
      </c>
      <c r="DX16" s="272">
        <v>0</v>
      </c>
      <c r="DY16" s="272">
        <v>0</v>
      </c>
      <c r="DZ16" s="272">
        <v>2160991</v>
      </c>
      <c r="EA16" s="272">
        <v>1096078</v>
      </c>
      <c r="EB16" s="272"/>
      <c r="EC16" s="272">
        <v>0</v>
      </c>
      <c r="ED16" s="272">
        <v>78593498</v>
      </c>
      <c r="EF16" s="272">
        <v>467487</v>
      </c>
      <c r="EG16" s="272">
        <v>182926</v>
      </c>
      <c r="EH16" s="272">
        <v>284561</v>
      </c>
      <c r="EI16" s="272">
        <v>75978</v>
      </c>
      <c r="EJ16" s="272">
        <v>212662</v>
      </c>
      <c r="EL16" s="272"/>
      <c r="EM16" s="272">
        <v>268928</v>
      </c>
      <c r="EN16" s="272">
        <v>189</v>
      </c>
      <c r="EO16" s="272">
        <v>61077</v>
      </c>
      <c r="EP16" s="455">
        <f t="shared" si="12"/>
        <v>1140491</v>
      </c>
      <c r="EQ16" s="272">
        <v>53626906</v>
      </c>
      <c r="ER16" s="272">
        <v>-2902286</v>
      </c>
      <c r="ES16" s="272">
        <v>19981403</v>
      </c>
      <c r="ET16" s="272">
        <v>14447101</v>
      </c>
      <c r="EU16" s="272">
        <v>3613422</v>
      </c>
      <c r="EV16" s="272">
        <v>8231851</v>
      </c>
      <c r="EW16" s="455">
        <f t="shared" si="13"/>
        <v>5093680</v>
      </c>
      <c r="EX16" s="272">
        <v>5093680</v>
      </c>
      <c r="EY16" s="272">
        <v>198272</v>
      </c>
      <c r="EZ16" s="272">
        <v>4882008</v>
      </c>
      <c r="FA16" s="272">
        <v>0</v>
      </c>
      <c r="FB16" s="272"/>
      <c r="FC16" s="272">
        <v>7498138</v>
      </c>
      <c r="FD16" s="272">
        <v>2721340</v>
      </c>
      <c r="FE16" s="272">
        <v>61986</v>
      </c>
      <c r="FF16" s="272">
        <v>7261682</v>
      </c>
      <c r="FG16" s="455">
        <f t="shared" si="14"/>
        <v>1660189</v>
      </c>
      <c r="FH16" s="272">
        <v>56061705</v>
      </c>
      <c r="FI16" s="384">
        <f t="shared" si="15"/>
        <v>0.6</v>
      </c>
      <c r="FJ16" s="272">
        <v>49475211</v>
      </c>
      <c r="FK16" s="272"/>
      <c r="FL16" s="272">
        <v>34621353</v>
      </c>
      <c r="FM16" s="272">
        <v>38166914</v>
      </c>
      <c r="FN16" s="460">
        <v>0.92200000000000004</v>
      </c>
      <c r="FO16" s="388">
        <v>92.4</v>
      </c>
      <c r="FP16" s="388">
        <v>39.4</v>
      </c>
      <c r="FQ16" s="388">
        <v>7.4</v>
      </c>
      <c r="FR16" s="388">
        <v>16.899999999999999</v>
      </c>
      <c r="FS16" s="388">
        <v>14.5</v>
      </c>
      <c r="FT16" s="388">
        <v>4</v>
      </c>
      <c r="FU16" s="388">
        <v>9.4</v>
      </c>
      <c r="FV16" s="388">
        <v>12.4</v>
      </c>
      <c r="FW16" s="272">
        <v>81528603</v>
      </c>
      <c r="FX16" s="384">
        <f t="shared" si="16"/>
        <v>164.8</v>
      </c>
      <c r="FY16" s="272">
        <v>13464022</v>
      </c>
      <c r="FZ16" s="272">
        <v>3845222</v>
      </c>
      <c r="GA16" s="272"/>
      <c r="GB16" s="272">
        <v>9618800</v>
      </c>
      <c r="GC16" s="272"/>
      <c r="GD16" s="272">
        <v>33212368</v>
      </c>
      <c r="GE16" s="384">
        <f t="shared" si="17"/>
        <v>67.099999999999994</v>
      </c>
      <c r="GF16" s="388">
        <v>97.7</v>
      </c>
      <c r="GG16" s="388">
        <v>28.4</v>
      </c>
      <c r="GH16" s="388">
        <v>94.4</v>
      </c>
      <c r="GI16" s="272">
        <v>1959</v>
      </c>
    </row>
    <row r="17" spans="2:191" x14ac:dyDescent="0.15">
      <c r="B17" s="89" t="s">
        <v>27</v>
      </c>
      <c r="C17" s="272">
        <v>21988621</v>
      </c>
      <c r="D17" s="455">
        <f t="shared" si="0"/>
        <v>4336286</v>
      </c>
      <c r="E17" s="272">
        <v>86388</v>
      </c>
      <c r="F17" s="272">
        <v>4249898</v>
      </c>
      <c r="G17" s="455">
        <f t="shared" si="1"/>
        <v>1368491</v>
      </c>
      <c r="H17" s="272">
        <v>420147</v>
      </c>
      <c r="I17" s="272">
        <v>948344</v>
      </c>
      <c r="J17" s="272">
        <v>13421444</v>
      </c>
      <c r="K17" s="272">
        <v>5495429</v>
      </c>
      <c r="L17" s="272">
        <v>3564370</v>
      </c>
      <c r="M17" s="272">
        <v>3970013</v>
      </c>
      <c r="N17" s="272">
        <v>633724</v>
      </c>
      <c r="O17" s="272">
        <v>2075647</v>
      </c>
      <c r="P17" s="272">
        <v>1315720</v>
      </c>
      <c r="Q17" s="272">
        <v>759927</v>
      </c>
      <c r="R17" s="272">
        <v>399178</v>
      </c>
      <c r="S17" s="272">
        <v>160411</v>
      </c>
      <c r="T17" s="455">
        <f t="shared" si="2"/>
        <v>783505</v>
      </c>
      <c r="U17" s="272">
        <v>166199</v>
      </c>
      <c r="V17" s="272"/>
      <c r="W17" s="272"/>
      <c r="X17" s="272">
        <v>212106</v>
      </c>
      <c r="Y17" s="272">
        <v>78002</v>
      </c>
      <c r="Z17" s="272">
        <v>75756</v>
      </c>
      <c r="AA17" s="272">
        <v>251442</v>
      </c>
      <c r="AB17" s="272"/>
      <c r="AC17" s="272">
        <v>596446</v>
      </c>
      <c r="AD17" s="272">
        <v>0</v>
      </c>
      <c r="AE17" s="272">
        <v>596446</v>
      </c>
      <c r="AF17" s="272">
        <v>23929</v>
      </c>
      <c r="AG17" s="272">
        <v>725683</v>
      </c>
      <c r="AH17" s="455">
        <f t="shared" si="3"/>
        <v>638480</v>
      </c>
      <c r="AI17" s="272">
        <v>548523</v>
      </c>
      <c r="AJ17" s="272">
        <v>89957</v>
      </c>
      <c r="AK17" s="272">
        <v>3581774</v>
      </c>
      <c r="AL17" s="455">
        <f t="shared" si="4"/>
        <v>1473972</v>
      </c>
      <c r="AM17" s="272">
        <v>916864</v>
      </c>
      <c r="AN17" s="272">
        <v>418994</v>
      </c>
      <c r="AO17" s="272">
        <v>0</v>
      </c>
      <c r="AP17" s="272">
        <v>138114</v>
      </c>
      <c r="AQ17" s="272">
        <v>1250418</v>
      </c>
      <c r="AR17" s="272">
        <v>0</v>
      </c>
      <c r="AS17" s="272">
        <v>0</v>
      </c>
      <c r="AT17" s="272">
        <v>2683314</v>
      </c>
      <c r="AU17" s="272">
        <v>773691</v>
      </c>
      <c r="AV17" s="272">
        <v>208083</v>
      </c>
      <c r="AW17" s="272">
        <v>112649</v>
      </c>
      <c r="AX17" s="272">
        <v>1909623</v>
      </c>
      <c r="AY17" s="272">
        <v>874038</v>
      </c>
      <c r="AZ17" s="272">
        <v>135584</v>
      </c>
      <c r="BA17" s="272">
        <v>96210</v>
      </c>
      <c r="BB17" s="272">
        <v>269948</v>
      </c>
      <c r="BC17" s="272">
        <v>1569378</v>
      </c>
      <c r="BD17" s="272">
        <v>0</v>
      </c>
      <c r="BE17" s="272">
        <v>800000</v>
      </c>
      <c r="BF17" s="272">
        <v>769378</v>
      </c>
      <c r="BG17" s="272">
        <v>0</v>
      </c>
      <c r="BH17" s="272">
        <v>397422</v>
      </c>
      <c r="BI17" s="272">
        <v>83160</v>
      </c>
      <c r="BJ17" s="272">
        <v>1751026</v>
      </c>
      <c r="BK17" s="272">
        <v>73622</v>
      </c>
      <c r="BL17" s="272">
        <v>0</v>
      </c>
      <c r="BM17" s="272">
        <v>183795</v>
      </c>
      <c r="BN17" s="272">
        <v>7388500</v>
      </c>
      <c r="BO17" s="455">
        <f t="shared" si="5"/>
        <v>6789500</v>
      </c>
      <c r="BP17" s="455">
        <f t="shared" si="6"/>
        <v>599000</v>
      </c>
      <c r="BQ17" s="272"/>
      <c r="BR17" s="272">
        <v>599000</v>
      </c>
      <c r="BS17" s="272"/>
      <c r="BT17" s="272">
        <v>0</v>
      </c>
      <c r="BU17" s="272">
        <v>42932788</v>
      </c>
      <c r="BV17" s="272"/>
      <c r="BW17" s="272">
        <v>10248269</v>
      </c>
      <c r="BX17" s="272">
        <v>7149479</v>
      </c>
      <c r="BY17" s="272">
        <v>815461</v>
      </c>
      <c r="BZ17" s="272">
        <v>588747</v>
      </c>
      <c r="CA17" s="272">
        <v>4084043</v>
      </c>
      <c r="CB17" s="272">
        <v>360239</v>
      </c>
      <c r="CC17" s="272">
        <v>1115883</v>
      </c>
      <c r="CD17" s="272">
        <v>1338255</v>
      </c>
      <c r="CE17" s="272">
        <v>1220143</v>
      </c>
      <c r="CF17" s="272">
        <v>3371</v>
      </c>
      <c r="CG17" s="272">
        <v>46104</v>
      </c>
      <c r="CH17" s="272">
        <v>4192108</v>
      </c>
      <c r="CI17" s="272">
        <v>1744315</v>
      </c>
      <c r="CJ17" s="455">
        <f t="shared" si="7"/>
        <v>2447793</v>
      </c>
      <c r="CK17" s="272">
        <v>3668030</v>
      </c>
      <c r="CL17" s="272">
        <v>1986666</v>
      </c>
      <c r="CM17" s="272">
        <v>43022</v>
      </c>
      <c r="CN17" s="272">
        <v>851443</v>
      </c>
      <c r="CO17" s="272">
        <v>303364</v>
      </c>
      <c r="CP17" s="272">
        <v>4272168</v>
      </c>
      <c r="CQ17" s="272">
        <v>1491561</v>
      </c>
      <c r="CR17" s="272">
        <v>1324296</v>
      </c>
      <c r="CS17" s="272">
        <v>1149352</v>
      </c>
      <c r="CT17" s="455">
        <f t="shared" si="8"/>
        <v>670551</v>
      </c>
      <c r="CU17" s="272">
        <v>483119</v>
      </c>
      <c r="CV17" s="272">
        <v>187432</v>
      </c>
      <c r="CW17" s="455">
        <f t="shared" si="9"/>
        <v>639722</v>
      </c>
      <c r="CX17" s="272">
        <v>452290</v>
      </c>
      <c r="CY17" s="272">
        <v>187432</v>
      </c>
      <c r="CZ17" s="455">
        <f t="shared" si="10"/>
        <v>0</v>
      </c>
      <c r="DA17" s="272">
        <v>0</v>
      </c>
      <c r="DB17" s="272">
        <v>0</v>
      </c>
      <c r="DC17" s="272">
        <v>12033117</v>
      </c>
      <c r="DD17" s="272">
        <v>3302139</v>
      </c>
      <c r="DE17" s="272">
        <v>7897101</v>
      </c>
      <c r="DF17" s="272">
        <v>648895</v>
      </c>
      <c r="DG17" s="272">
        <v>184982</v>
      </c>
      <c r="DH17" s="272">
        <v>27583</v>
      </c>
      <c r="DI17" s="272">
        <v>1364154</v>
      </c>
      <c r="DJ17" s="272">
        <v>43362</v>
      </c>
      <c r="DK17" s="272">
        <v>234447</v>
      </c>
      <c r="DL17" s="272">
        <v>1086345</v>
      </c>
      <c r="DM17" s="272">
        <v>0</v>
      </c>
      <c r="DN17" s="272">
        <v>0</v>
      </c>
      <c r="DO17" s="272">
        <v>0</v>
      </c>
      <c r="DP17" s="272">
        <v>0</v>
      </c>
      <c r="DQ17" s="272">
        <v>52000</v>
      </c>
      <c r="DR17" s="272">
        <v>0</v>
      </c>
      <c r="DS17" s="272">
        <v>0</v>
      </c>
      <c r="DT17" s="272">
        <v>2591238</v>
      </c>
      <c r="DU17" s="272">
        <v>1273163</v>
      </c>
      <c r="DV17" s="455">
        <f t="shared" si="11"/>
        <v>0</v>
      </c>
      <c r="DW17" s="272">
        <v>0</v>
      </c>
      <c r="DX17" s="272">
        <v>0</v>
      </c>
      <c r="DY17" s="272">
        <v>0</v>
      </c>
      <c r="DZ17" s="272">
        <v>840459</v>
      </c>
      <c r="EA17" s="272">
        <v>454297</v>
      </c>
      <c r="EB17" s="272"/>
      <c r="EC17" s="272">
        <v>0</v>
      </c>
      <c r="ED17" s="272">
        <v>42836074</v>
      </c>
      <c r="EF17" s="272">
        <v>96714</v>
      </c>
      <c r="EG17" s="272">
        <v>40012</v>
      </c>
      <c r="EH17" s="272">
        <v>56702</v>
      </c>
      <c r="EI17" s="272">
        <v>-26458</v>
      </c>
      <c r="EJ17" s="272">
        <v>16904</v>
      </c>
      <c r="EL17" s="272"/>
      <c r="EM17" s="272">
        <v>95159</v>
      </c>
      <c r="EN17" s="272">
        <v>1023744</v>
      </c>
      <c r="EO17" s="272">
        <v>1111</v>
      </c>
      <c r="EP17" s="455">
        <f t="shared" si="12"/>
        <v>1010325</v>
      </c>
      <c r="EQ17" s="272">
        <v>23791679</v>
      </c>
      <c r="ER17" s="272">
        <v>-2610251</v>
      </c>
      <c r="ES17" s="272">
        <v>9059267</v>
      </c>
      <c r="ET17" s="272">
        <v>6006684</v>
      </c>
      <c r="EU17" s="272">
        <v>1397661</v>
      </c>
      <c r="EV17" s="272">
        <v>4019329</v>
      </c>
      <c r="EW17" s="455">
        <f t="shared" si="13"/>
        <v>2252615</v>
      </c>
      <c r="EX17" s="272">
        <v>2251340</v>
      </c>
      <c r="EY17" s="272">
        <v>90460</v>
      </c>
      <c r="EZ17" s="272">
        <v>2142730</v>
      </c>
      <c r="FA17" s="272">
        <v>1275</v>
      </c>
      <c r="FB17" s="272"/>
      <c r="FC17" s="272">
        <v>2929879</v>
      </c>
      <c r="FD17" s="272">
        <v>3789375</v>
      </c>
      <c r="FE17" s="272">
        <v>1491561</v>
      </c>
      <c r="FF17" s="272">
        <v>2048816</v>
      </c>
      <c r="FG17" s="455">
        <f t="shared" si="14"/>
        <v>808274</v>
      </c>
      <c r="FH17" s="272">
        <v>26305216</v>
      </c>
      <c r="FI17" s="384">
        <f t="shared" si="15"/>
        <v>0.3</v>
      </c>
      <c r="FJ17" s="272">
        <v>22620323</v>
      </c>
      <c r="FK17" s="272"/>
      <c r="FL17" s="272">
        <v>17033432</v>
      </c>
      <c r="FM17" s="272">
        <v>14610365</v>
      </c>
      <c r="FN17" s="460">
        <v>1.173</v>
      </c>
      <c r="FO17" s="388">
        <v>102</v>
      </c>
      <c r="FP17" s="388">
        <v>41.7</v>
      </c>
      <c r="FQ17" s="388">
        <v>6.6</v>
      </c>
      <c r="FR17" s="388">
        <v>19</v>
      </c>
      <c r="FS17" s="388">
        <v>12.3</v>
      </c>
      <c r="FT17" s="388">
        <v>13.4</v>
      </c>
      <c r="FU17" s="388">
        <v>7.7</v>
      </c>
      <c r="FV17" s="388">
        <v>12.5</v>
      </c>
      <c r="FW17" s="272">
        <v>72509169</v>
      </c>
      <c r="FX17" s="384">
        <f t="shared" si="16"/>
        <v>320.5</v>
      </c>
      <c r="FY17" s="272">
        <v>7645567</v>
      </c>
      <c r="FZ17" s="272">
        <v>440347</v>
      </c>
      <c r="GA17" s="272">
        <v>1158976</v>
      </c>
      <c r="GB17" s="272">
        <v>6046244</v>
      </c>
      <c r="GC17" s="272"/>
      <c r="GD17" s="272">
        <v>9729262</v>
      </c>
      <c r="GE17" s="384">
        <f t="shared" si="17"/>
        <v>43</v>
      </c>
      <c r="GF17" s="388">
        <v>97.4</v>
      </c>
      <c r="GG17" s="388">
        <v>18.600000000000001</v>
      </c>
      <c r="GH17" s="388">
        <v>91.8</v>
      </c>
      <c r="GI17" s="272">
        <v>1017</v>
      </c>
    </row>
    <row r="18" spans="2:191" x14ac:dyDescent="0.15">
      <c r="B18" s="89" t="s">
        <v>29</v>
      </c>
      <c r="C18" s="272">
        <v>16473641</v>
      </c>
      <c r="D18" s="455">
        <f t="shared" si="0"/>
        <v>7759011</v>
      </c>
      <c r="E18" s="272">
        <v>108053</v>
      </c>
      <c r="F18" s="272">
        <v>7650958</v>
      </c>
      <c r="G18" s="455">
        <f t="shared" si="1"/>
        <v>704361</v>
      </c>
      <c r="H18" s="272">
        <v>177196</v>
      </c>
      <c r="I18" s="272">
        <v>527165</v>
      </c>
      <c r="J18" s="272">
        <v>5919680</v>
      </c>
      <c r="K18" s="272">
        <v>2877948</v>
      </c>
      <c r="L18" s="272">
        <v>2366581</v>
      </c>
      <c r="M18" s="272">
        <v>631424</v>
      </c>
      <c r="N18" s="272">
        <v>544563</v>
      </c>
      <c r="O18" s="272">
        <v>1364685</v>
      </c>
      <c r="P18" s="272">
        <v>879346</v>
      </c>
      <c r="Q18" s="272">
        <v>485339</v>
      </c>
      <c r="R18" s="272">
        <v>413749</v>
      </c>
      <c r="S18" s="272">
        <v>172529</v>
      </c>
      <c r="T18" s="455">
        <f t="shared" si="2"/>
        <v>897289</v>
      </c>
      <c r="U18" s="272">
        <v>255418</v>
      </c>
      <c r="V18" s="272"/>
      <c r="W18" s="272"/>
      <c r="X18" s="272">
        <v>233039</v>
      </c>
      <c r="Y18" s="272">
        <v>71040</v>
      </c>
      <c r="Z18" s="272">
        <v>8460</v>
      </c>
      <c r="AA18" s="272">
        <v>329332</v>
      </c>
      <c r="AB18" s="272"/>
      <c r="AC18" s="272">
        <v>4991862</v>
      </c>
      <c r="AD18" s="272">
        <v>4730111</v>
      </c>
      <c r="AE18" s="272">
        <v>261751</v>
      </c>
      <c r="AF18" s="272">
        <v>26768</v>
      </c>
      <c r="AG18" s="272">
        <v>303672</v>
      </c>
      <c r="AH18" s="455">
        <f t="shared" si="3"/>
        <v>1551868</v>
      </c>
      <c r="AI18" s="272">
        <v>1115973</v>
      </c>
      <c r="AJ18" s="272">
        <v>435895</v>
      </c>
      <c r="AK18" s="272">
        <v>3167695</v>
      </c>
      <c r="AL18" s="455">
        <f t="shared" si="4"/>
        <v>1779982</v>
      </c>
      <c r="AM18" s="272">
        <v>1305736</v>
      </c>
      <c r="AN18" s="272">
        <v>298742</v>
      </c>
      <c r="AO18" s="272">
        <v>0</v>
      </c>
      <c r="AP18" s="272">
        <v>175504</v>
      </c>
      <c r="AQ18" s="272">
        <v>774670</v>
      </c>
      <c r="AR18" s="272">
        <v>0</v>
      </c>
      <c r="AS18" s="272">
        <v>0</v>
      </c>
      <c r="AT18" s="272">
        <v>1551536</v>
      </c>
      <c r="AU18" s="272">
        <v>515277</v>
      </c>
      <c r="AV18" s="272">
        <v>194944</v>
      </c>
      <c r="AW18" s="272">
        <v>0</v>
      </c>
      <c r="AX18" s="272">
        <v>1036259</v>
      </c>
      <c r="AY18" s="272">
        <v>96986</v>
      </c>
      <c r="AZ18" s="272">
        <v>65043</v>
      </c>
      <c r="BA18" s="272">
        <v>1311</v>
      </c>
      <c r="BB18" s="272">
        <v>298265</v>
      </c>
      <c r="BC18" s="272">
        <v>1063768</v>
      </c>
      <c r="BD18" s="272">
        <v>161386</v>
      </c>
      <c r="BE18" s="272">
        <v>0</v>
      </c>
      <c r="BF18" s="272">
        <v>894411</v>
      </c>
      <c r="BG18" s="272">
        <v>0</v>
      </c>
      <c r="BH18" s="272">
        <v>440634</v>
      </c>
      <c r="BI18" s="272">
        <v>419635</v>
      </c>
      <c r="BJ18" s="272">
        <v>1583221</v>
      </c>
      <c r="BK18" s="272">
        <v>1182390</v>
      </c>
      <c r="BL18" s="272">
        <v>0</v>
      </c>
      <c r="BM18" s="272">
        <v>169364</v>
      </c>
      <c r="BN18" s="272">
        <v>1511100</v>
      </c>
      <c r="BO18" s="455">
        <f t="shared" si="5"/>
        <v>853000</v>
      </c>
      <c r="BP18" s="455">
        <f t="shared" si="6"/>
        <v>658100</v>
      </c>
      <c r="BQ18" s="272"/>
      <c r="BR18" s="272">
        <v>658100</v>
      </c>
      <c r="BS18" s="272"/>
      <c r="BT18" s="272">
        <v>0</v>
      </c>
      <c r="BU18" s="272">
        <v>34340111</v>
      </c>
      <c r="BV18" s="272"/>
      <c r="BW18" s="272">
        <v>8402166</v>
      </c>
      <c r="BX18" s="272">
        <v>6531632</v>
      </c>
      <c r="BY18" s="272">
        <v>285042</v>
      </c>
      <c r="BZ18" s="272">
        <v>55143</v>
      </c>
      <c r="CA18" s="272">
        <v>4287061</v>
      </c>
      <c r="CB18" s="272">
        <v>665852</v>
      </c>
      <c r="CC18" s="272">
        <v>891279</v>
      </c>
      <c r="CD18" s="272">
        <v>944476</v>
      </c>
      <c r="CE18" s="272">
        <v>1716592</v>
      </c>
      <c r="CF18" s="272">
        <v>0</v>
      </c>
      <c r="CG18" s="272">
        <v>68862</v>
      </c>
      <c r="CH18" s="272">
        <v>4670945</v>
      </c>
      <c r="CI18" s="272">
        <v>3282807</v>
      </c>
      <c r="CJ18" s="455">
        <f t="shared" si="7"/>
        <v>1388138</v>
      </c>
      <c r="CK18" s="272">
        <v>4875745</v>
      </c>
      <c r="CL18" s="272">
        <v>2639468</v>
      </c>
      <c r="CM18" s="272">
        <v>566045</v>
      </c>
      <c r="CN18" s="272">
        <v>919879</v>
      </c>
      <c r="CO18" s="272">
        <v>334279</v>
      </c>
      <c r="CP18" s="272">
        <v>3067877</v>
      </c>
      <c r="CQ18" s="272">
        <v>1144905</v>
      </c>
      <c r="CR18" s="272">
        <v>1184490</v>
      </c>
      <c r="CS18" s="272">
        <v>1087291</v>
      </c>
      <c r="CT18" s="455">
        <f t="shared" si="8"/>
        <v>895</v>
      </c>
      <c r="CU18" s="272">
        <v>895</v>
      </c>
      <c r="CV18" s="272">
        <v>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3113486</v>
      </c>
      <c r="DD18" s="272">
        <v>1615864</v>
      </c>
      <c r="DE18" s="272">
        <v>1450897</v>
      </c>
      <c r="DF18" s="272">
        <v>46725</v>
      </c>
      <c r="DG18" s="272">
        <v>0</v>
      </c>
      <c r="DH18" s="272">
        <v>20589</v>
      </c>
      <c r="DI18" s="272">
        <v>1460682</v>
      </c>
      <c r="DJ18" s="272">
        <v>341017</v>
      </c>
      <c r="DK18" s="272">
        <v>0</v>
      </c>
      <c r="DL18" s="272">
        <v>1119665</v>
      </c>
      <c r="DM18" s="272">
        <v>0</v>
      </c>
      <c r="DN18" s="272">
        <v>0</v>
      </c>
      <c r="DO18" s="272">
        <v>0</v>
      </c>
      <c r="DP18" s="272">
        <v>0</v>
      </c>
      <c r="DQ18" s="272">
        <v>1150430</v>
      </c>
      <c r="DR18" s="272">
        <v>0</v>
      </c>
      <c r="DS18" s="272">
        <v>0</v>
      </c>
      <c r="DT18" s="272">
        <v>2515256</v>
      </c>
      <c r="DU18" s="272">
        <v>1160941</v>
      </c>
      <c r="DV18" s="455">
        <f t="shared" si="11"/>
        <v>0</v>
      </c>
      <c r="DW18" s="272">
        <v>0</v>
      </c>
      <c r="DX18" s="272">
        <v>0</v>
      </c>
      <c r="DY18" s="272">
        <v>0</v>
      </c>
      <c r="DZ18" s="272">
        <v>905578</v>
      </c>
      <c r="EA18" s="272">
        <v>431408</v>
      </c>
      <c r="EB18" s="272"/>
      <c r="EC18" s="272">
        <v>0</v>
      </c>
      <c r="ED18" s="272">
        <v>33898516</v>
      </c>
      <c r="EF18" s="272">
        <v>441595</v>
      </c>
      <c r="EG18" s="272">
        <v>21407</v>
      </c>
      <c r="EH18" s="272">
        <v>420188</v>
      </c>
      <c r="EI18" s="272">
        <v>553</v>
      </c>
      <c r="EJ18" s="272">
        <v>180184</v>
      </c>
      <c r="EL18" s="272"/>
      <c r="EM18" s="272">
        <v>124149</v>
      </c>
      <c r="EN18" s="272">
        <v>169376</v>
      </c>
      <c r="EO18" s="272">
        <v>11</v>
      </c>
      <c r="EP18" s="455">
        <f t="shared" si="12"/>
        <v>800445</v>
      </c>
      <c r="EQ18" s="272">
        <v>22803309</v>
      </c>
      <c r="ER18" s="272">
        <v>-1601164</v>
      </c>
      <c r="ES18" s="272">
        <v>7542969</v>
      </c>
      <c r="ET18" s="272">
        <v>5692589</v>
      </c>
      <c r="EU18" s="272">
        <v>1412258</v>
      </c>
      <c r="EV18" s="272">
        <v>3900252</v>
      </c>
      <c r="EW18" s="455">
        <f t="shared" si="13"/>
        <v>1294417</v>
      </c>
      <c r="EX18" s="272">
        <v>1273828</v>
      </c>
      <c r="EY18" s="272">
        <v>208608</v>
      </c>
      <c r="EZ18" s="272">
        <v>1021132</v>
      </c>
      <c r="FA18" s="272">
        <v>20589</v>
      </c>
      <c r="FB18" s="272"/>
      <c r="FC18" s="272">
        <v>3663279</v>
      </c>
      <c r="FD18" s="272">
        <v>2859314</v>
      </c>
      <c r="FE18" s="272">
        <v>1144905</v>
      </c>
      <c r="FF18" s="272">
        <v>2336330</v>
      </c>
      <c r="FG18" s="455">
        <f t="shared" si="14"/>
        <v>954059</v>
      </c>
      <c r="FH18" s="272">
        <v>23962878</v>
      </c>
      <c r="FI18" s="384">
        <f t="shared" si="15"/>
        <v>1.9</v>
      </c>
      <c r="FJ18" s="272">
        <v>21742360</v>
      </c>
      <c r="FK18" s="272"/>
      <c r="FL18" s="272">
        <v>12827637</v>
      </c>
      <c r="FM18" s="272">
        <v>17573407</v>
      </c>
      <c r="FN18" s="460">
        <v>0.747</v>
      </c>
      <c r="FO18" s="388">
        <v>93.3</v>
      </c>
      <c r="FP18" s="388">
        <v>35.299999999999997</v>
      </c>
      <c r="FQ18" s="388">
        <v>6.6</v>
      </c>
      <c r="FR18" s="388">
        <v>18.3</v>
      </c>
      <c r="FS18" s="388">
        <v>16.8</v>
      </c>
      <c r="FT18" s="388">
        <v>10.4</v>
      </c>
      <c r="FU18" s="388">
        <v>4.3</v>
      </c>
      <c r="FV18" s="388">
        <v>12.9</v>
      </c>
      <c r="FW18" s="272">
        <v>28502778</v>
      </c>
      <c r="FX18" s="384">
        <f t="shared" si="16"/>
        <v>131.1</v>
      </c>
      <c r="FY18" s="272">
        <v>10152849</v>
      </c>
      <c r="FZ18" s="272">
        <v>2373281</v>
      </c>
      <c r="GA18" s="272"/>
      <c r="GB18" s="272">
        <v>7779568</v>
      </c>
      <c r="GC18" s="272"/>
      <c r="GD18" s="272">
        <v>1255157</v>
      </c>
      <c r="GE18" s="384">
        <f t="shared" si="17"/>
        <v>5.8</v>
      </c>
      <c r="GF18" s="388">
        <v>97.1</v>
      </c>
      <c r="GG18" s="388">
        <v>26.6</v>
      </c>
      <c r="GH18" s="388">
        <v>92.2</v>
      </c>
      <c r="GI18" s="272">
        <v>882</v>
      </c>
    </row>
    <row r="19" spans="2:191" x14ac:dyDescent="0.15">
      <c r="B19" s="89" t="s">
        <v>31</v>
      </c>
      <c r="C19" s="272">
        <v>34253319</v>
      </c>
      <c r="D19" s="455">
        <f t="shared" si="0"/>
        <v>15259759</v>
      </c>
      <c r="E19" s="272">
        <v>248037</v>
      </c>
      <c r="F19" s="272">
        <v>15011722</v>
      </c>
      <c r="G19" s="455">
        <f t="shared" si="1"/>
        <v>2717338</v>
      </c>
      <c r="H19" s="272">
        <v>499397</v>
      </c>
      <c r="I19" s="272">
        <v>2217941</v>
      </c>
      <c r="J19" s="272">
        <v>11555179</v>
      </c>
      <c r="K19" s="272">
        <v>5886680</v>
      </c>
      <c r="L19" s="272">
        <v>4165925</v>
      </c>
      <c r="M19" s="272">
        <v>1266773</v>
      </c>
      <c r="N19" s="272">
        <v>1553297</v>
      </c>
      <c r="O19" s="272">
        <v>3020200</v>
      </c>
      <c r="P19" s="272">
        <v>2067009</v>
      </c>
      <c r="Q19" s="272">
        <v>953191</v>
      </c>
      <c r="R19" s="272">
        <v>824417</v>
      </c>
      <c r="S19" s="272">
        <v>391058</v>
      </c>
      <c r="T19" s="455">
        <f t="shared" si="2"/>
        <v>1674910</v>
      </c>
      <c r="U19" s="272">
        <v>545716</v>
      </c>
      <c r="V19" s="272"/>
      <c r="W19" s="272"/>
      <c r="X19" s="272">
        <v>524355</v>
      </c>
      <c r="Y19" s="272">
        <v>0</v>
      </c>
      <c r="Z19" s="272">
        <v>12536</v>
      </c>
      <c r="AA19" s="272">
        <v>592303</v>
      </c>
      <c r="AB19" s="272"/>
      <c r="AC19" s="272">
        <v>8363746</v>
      </c>
      <c r="AD19" s="272">
        <v>7854603</v>
      </c>
      <c r="AE19" s="272">
        <v>509143</v>
      </c>
      <c r="AF19" s="272">
        <v>48640</v>
      </c>
      <c r="AG19" s="272">
        <v>646437</v>
      </c>
      <c r="AH19" s="455">
        <f t="shared" si="3"/>
        <v>1466048</v>
      </c>
      <c r="AI19" s="272">
        <v>1019793</v>
      </c>
      <c r="AJ19" s="272">
        <v>446255</v>
      </c>
      <c r="AK19" s="272">
        <v>6731111</v>
      </c>
      <c r="AL19" s="455">
        <f t="shared" si="4"/>
        <v>4473384</v>
      </c>
      <c r="AM19" s="272">
        <v>2920996</v>
      </c>
      <c r="AN19" s="272">
        <v>968703</v>
      </c>
      <c r="AO19" s="272">
        <v>0</v>
      </c>
      <c r="AP19" s="272">
        <v>583685</v>
      </c>
      <c r="AQ19" s="272">
        <v>711206</v>
      </c>
      <c r="AR19" s="272">
        <v>0</v>
      </c>
      <c r="AS19" s="272">
        <v>0</v>
      </c>
      <c r="AT19" s="272">
        <v>3734385</v>
      </c>
      <c r="AU19" s="272">
        <v>1403261</v>
      </c>
      <c r="AV19" s="272">
        <v>736587</v>
      </c>
      <c r="AW19" s="272">
        <v>1294</v>
      </c>
      <c r="AX19" s="272">
        <v>2331124</v>
      </c>
      <c r="AY19" s="272">
        <v>377809</v>
      </c>
      <c r="AZ19" s="272">
        <v>131327</v>
      </c>
      <c r="BA19" s="272">
        <v>92581</v>
      </c>
      <c r="BB19" s="272">
        <v>321016</v>
      </c>
      <c r="BC19" s="272">
        <v>1543813</v>
      </c>
      <c r="BD19" s="272">
        <v>0</v>
      </c>
      <c r="BE19" s="272">
        <v>420000</v>
      </c>
      <c r="BF19" s="272">
        <v>1113015</v>
      </c>
      <c r="BG19" s="272">
        <v>0</v>
      </c>
      <c r="BH19" s="272">
        <v>0</v>
      </c>
      <c r="BI19" s="272">
        <v>0</v>
      </c>
      <c r="BJ19" s="272">
        <v>3468877</v>
      </c>
      <c r="BK19" s="272">
        <v>2563387</v>
      </c>
      <c r="BL19" s="272">
        <v>0</v>
      </c>
      <c r="BM19" s="272">
        <v>251405</v>
      </c>
      <c r="BN19" s="272">
        <v>7508224</v>
      </c>
      <c r="BO19" s="455">
        <f t="shared" si="5"/>
        <v>6027324</v>
      </c>
      <c r="BP19" s="455">
        <f t="shared" si="6"/>
        <v>1480900</v>
      </c>
      <c r="BQ19" s="272"/>
      <c r="BR19" s="272">
        <v>1480900</v>
      </c>
      <c r="BS19" s="272"/>
      <c r="BT19" s="272">
        <v>0</v>
      </c>
      <c r="BU19" s="272">
        <v>70716270</v>
      </c>
      <c r="BV19" s="272"/>
      <c r="BW19" s="272">
        <v>22182115</v>
      </c>
      <c r="BX19" s="272">
        <v>16723589</v>
      </c>
      <c r="BY19" s="272">
        <v>1673147</v>
      </c>
      <c r="BZ19" s="272">
        <v>297996</v>
      </c>
      <c r="CA19" s="272">
        <v>9794966</v>
      </c>
      <c r="CB19" s="272">
        <v>1232532</v>
      </c>
      <c r="CC19" s="272">
        <v>2335406</v>
      </c>
      <c r="CD19" s="272">
        <v>2195908</v>
      </c>
      <c r="CE19" s="272">
        <v>3916771</v>
      </c>
      <c r="CF19" s="272">
        <v>229</v>
      </c>
      <c r="CG19" s="272">
        <v>111600</v>
      </c>
      <c r="CH19" s="272">
        <v>6598106</v>
      </c>
      <c r="CI19" s="272">
        <v>3789843</v>
      </c>
      <c r="CJ19" s="455">
        <f t="shared" si="7"/>
        <v>2808263</v>
      </c>
      <c r="CK19" s="272">
        <v>7192203</v>
      </c>
      <c r="CL19" s="272">
        <v>3396748</v>
      </c>
      <c r="CM19" s="272">
        <v>646442</v>
      </c>
      <c r="CN19" s="272">
        <v>1918647</v>
      </c>
      <c r="CO19" s="272">
        <v>432479</v>
      </c>
      <c r="CP19" s="272">
        <v>5975753</v>
      </c>
      <c r="CQ19" s="272">
        <v>3794271</v>
      </c>
      <c r="CR19" s="272">
        <v>1296521</v>
      </c>
      <c r="CS19" s="272">
        <v>1188152</v>
      </c>
      <c r="CT19" s="455">
        <f t="shared" si="8"/>
        <v>5519</v>
      </c>
      <c r="CU19" s="272">
        <v>5519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9205368</v>
      </c>
      <c r="DD19" s="272">
        <v>2041405</v>
      </c>
      <c r="DE19" s="272">
        <v>7156859</v>
      </c>
      <c r="DF19" s="272">
        <v>0</v>
      </c>
      <c r="DG19" s="272">
        <v>7104</v>
      </c>
      <c r="DH19" s="272">
        <v>0</v>
      </c>
      <c r="DI19" s="272">
        <v>549085</v>
      </c>
      <c r="DJ19" s="272">
        <v>7</v>
      </c>
      <c r="DK19" s="272">
        <v>3780</v>
      </c>
      <c r="DL19" s="272">
        <v>545298</v>
      </c>
      <c r="DM19" s="272">
        <v>15617</v>
      </c>
      <c r="DN19" s="272">
        <v>15617</v>
      </c>
      <c r="DO19" s="272">
        <v>15617</v>
      </c>
      <c r="DP19" s="272">
        <v>0</v>
      </c>
      <c r="DQ19" s="272">
        <v>2569136</v>
      </c>
      <c r="DR19" s="272">
        <v>0</v>
      </c>
      <c r="DS19" s="272">
        <v>0</v>
      </c>
      <c r="DT19" s="272">
        <v>5752852</v>
      </c>
      <c r="DU19" s="272">
        <v>3139681</v>
      </c>
      <c r="DV19" s="455">
        <f t="shared" si="11"/>
        <v>0</v>
      </c>
      <c r="DW19" s="272">
        <v>0</v>
      </c>
      <c r="DX19" s="272">
        <v>0</v>
      </c>
      <c r="DY19" s="272">
        <v>0</v>
      </c>
      <c r="DZ19" s="272">
        <v>1795647</v>
      </c>
      <c r="EA19" s="272">
        <v>814598</v>
      </c>
      <c r="EB19" s="272"/>
      <c r="EC19" s="272">
        <v>177364</v>
      </c>
      <c r="ED19" s="272">
        <v>70445044</v>
      </c>
      <c r="EF19" s="272">
        <v>271226</v>
      </c>
      <c r="EG19" s="272">
        <v>11601</v>
      </c>
      <c r="EH19" s="272">
        <v>259625</v>
      </c>
      <c r="EI19" s="272">
        <v>459861</v>
      </c>
      <c r="EJ19" s="272">
        <v>459868</v>
      </c>
      <c r="EL19" s="272"/>
      <c r="EM19" s="272">
        <v>254541</v>
      </c>
      <c r="EN19" s="272">
        <v>428265</v>
      </c>
      <c r="EO19" s="272">
        <v>16080</v>
      </c>
      <c r="EP19" s="455">
        <f t="shared" si="12"/>
        <v>1216821</v>
      </c>
      <c r="EQ19" s="272">
        <v>45165032</v>
      </c>
      <c r="ER19" s="272">
        <v>-3093426</v>
      </c>
      <c r="ES19" s="272">
        <v>20076588</v>
      </c>
      <c r="ET19" s="272">
        <v>14679216</v>
      </c>
      <c r="EU19" s="272">
        <v>2944013</v>
      </c>
      <c r="EV19" s="272">
        <v>6463219</v>
      </c>
      <c r="EW19" s="455">
        <f t="shared" si="13"/>
        <v>1363593</v>
      </c>
      <c r="EX19" s="272">
        <v>1363593</v>
      </c>
      <c r="EY19" s="272">
        <v>32320</v>
      </c>
      <c r="EZ19" s="272">
        <v>1331273</v>
      </c>
      <c r="FA19" s="272">
        <v>0</v>
      </c>
      <c r="FB19" s="272"/>
      <c r="FC19" s="272">
        <v>5417421</v>
      </c>
      <c r="FD19" s="272">
        <v>5392601</v>
      </c>
      <c r="FE19" s="272">
        <v>3794271</v>
      </c>
      <c r="FF19" s="272">
        <v>5202979</v>
      </c>
      <c r="FG19" s="455">
        <f t="shared" si="14"/>
        <v>1126818</v>
      </c>
      <c r="FH19" s="272">
        <v>47987232</v>
      </c>
      <c r="FI19" s="384">
        <f t="shared" si="15"/>
        <v>0.6</v>
      </c>
      <c r="FJ19" s="272">
        <v>43163964</v>
      </c>
      <c r="FK19" s="272"/>
      <c r="FL19" s="272">
        <v>26605104</v>
      </c>
      <c r="FM19" s="272">
        <v>34490683</v>
      </c>
      <c r="FN19" s="460">
        <v>0.78100000000000003</v>
      </c>
      <c r="FO19" s="388">
        <v>101.3</v>
      </c>
      <c r="FP19" s="388">
        <v>46.2</v>
      </c>
      <c r="FQ19" s="388">
        <v>7</v>
      </c>
      <c r="FR19" s="388">
        <v>15</v>
      </c>
      <c r="FS19" s="388">
        <v>12.2</v>
      </c>
      <c r="FT19" s="388">
        <v>11.8</v>
      </c>
      <c r="FU19" s="388">
        <v>7.9</v>
      </c>
      <c r="FV19" s="388">
        <v>10.4</v>
      </c>
      <c r="FW19" s="272">
        <v>65531277</v>
      </c>
      <c r="FX19" s="384">
        <f t="shared" si="16"/>
        <v>151.80000000000001</v>
      </c>
      <c r="FY19" s="272">
        <v>4815284</v>
      </c>
      <c r="FZ19" s="272">
        <v>1154</v>
      </c>
      <c r="GA19" s="272">
        <v>163959</v>
      </c>
      <c r="GB19" s="272">
        <v>4650171</v>
      </c>
      <c r="GC19" s="272"/>
      <c r="GD19" s="272">
        <v>8467944</v>
      </c>
      <c r="GE19" s="384">
        <f t="shared" si="17"/>
        <v>19.600000000000001</v>
      </c>
      <c r="GF19" s="388">
        <v>97</v>
      </c>
      <c r="GG19" s="388">
        <v>19.7</v>
      </c>
      <c r="GH19" s="388">
        <v>89.9</v>
      </c>
      <c r="GI19" s="272">
        <v>2171</v>
      </c>
    </row>
    <row r="20" spans="2:191" x14ac:dyDescent="0.15">
      <c r="B20" s="89" t="s">
        <v>33</v>
      </c>
      <c r="C20" s="272">
        <v>17238810</v>
      </c>
      <c r="D20" s="455">
        <f t="shared" si="0"/>
        <v>8629868</v>
      </c>
      <c r="E20" s="272">
        <v>108430</v>
      </c>
      <c r="F20" s="272">
        <v>8521438</v>
      </c>
      <c r="G20" s="455">
        <f t="shared" si="1"/>
        <v>716438</v>
      </c>
      <c r="H20" s="272">
        <v>170915</v>
      </c>
      <c r="I20" s="272">
        <v>545523</v>
      </c>
      <c r="J20" s="272">
        <v>5840884</v>
      </c>
      <c r="K20" s="272">
        <v>2543458</v>
      </c>
      <c r="L20" s="272">
        <v>2455749</v>
      </c>
      <c r="M20" s="272">
        <v>784503</v>
      </c>
      <c r="N20" s="272">
        <v>458219</v>
      </c>
      <c r="O20" s="272">
        <v>1436279</v>
      </c>
      <c r="P20" s="272">
        <v>909243</v>
      </c>
      <c r="Q20" s="272">
        <v>527036</v>
      </c>
      <c r="R20" s="272">
        <v>425529</v>
      </c>
      <c r="S20" s="272">
        <v>153073</v>
      </c>
      <c r="T20" s="455">
        <f t="shared" si="2"/>
        <v>894617</v>
      </c>
      <c r="U20" s="272">
        <v>283084</v>
      </c>
      <c r="V20" s="272"/>
      <c r="W20" s="272"/>
      <c r="X20" s="272">
        <v>208783</v>
      </c>
      <c r="Y20" s="272">
        <v>25573</v>
      </c>
      <c r="Z20" s="272">
        <v>5214</v>
      </c>
      <c r="AA20" s="272">
        <v>371963</v>
      </c>
      <c r="AB20" s="272"/>
      <c r="AC20" s="272">
        <v>3375831</v>
      </c>
      <c r="AD20" s="272">
        <v>3106335</v>
      </c>
      <c r="AE20" s="272">
        <v>269496</v>
      </c>
      <c r="AF20" s="272">
        <v>26048</v>
      </c>
      <c r="AG20" s="272">
        <v>291644</v>
      </c>
      <c r="AH20" s="455">
        <f t="shared" si="3"/>
        <v>1058608</v>
      </c>
      <c r="AI20" s="272">
        <v>726170</v>
      </c>
      <c r="AJ20" s="272">
        <v>332438</v>
      </c>
      <c r="AK20" s="272">
        <v>2403536</v>
      </c>
      <c r="AL20" s="455">
        <f t="shared" si="4"/>
        <v>1229154</v>
      </c>
      <c r="AM20" s="272">
        <v>813417</v>
      </c>
      <c r="AN20" s="272">
        <v>263774</v>
      </c>
      <c r="AO20" s="272">
        <v>0</v>
      </c>
      <c r="AP20" s="272">
        <v>151963</v>
      </c>
      <c r="AQ20" s="272">
        <v>421696</v>
      </c>
      <c r="AR20" s="272">
        <v>0</v>
      </c>
      <c r="AS20" s="272">
        <v>0</v>
      </c>
      <c r="AT20" s="272">
        <v>1536112</v>
      </c>
      <c r="AU20" s="272">
        <v>486797</v>
      </c>
      <c r="AV20" s="272">
        <v>135351</v>
      </c>
      <c r="AW20" s="272">
        <v>10812</v>
      </c>
      <c r="AX20" s="272">
        <v>1049315</v>
      </c>
      <c r="AY20" s="272">
        <v>185383</v>
      </c>
      <c r="AZ20" s="272">
        <v>143942</v>
      </c>
      <c r="BA20" s="272">
        <v>12589</v>
      </c>
      <c r="BB20" s="272">
        <v>173863</v>
      </c>
      <c r="BC20" s="272">
        <v>360141</v>
      </c>
      <c r="BD20" s="272">
        <v>200000</v>
      </c>
      <c r="BE20" s="272">
        <v>113000</v>
      </c>
      <c r="BF20" s="272">
        <v>38046</v>
      </c>
      <c r="BG20" s="272">
        <v>0</v>
      </c>
      <c r="BH20" s="272">
        <v>891341</v>
      </c>
      <c r="BI20" s="272">
        <v>306366</v>
      </c>
      <c r="BJ20" s="272">
        <v>1660988</v>
      </c>
      <c r="BK20" s="272">
        <v>845784</v>
      </c>
      <c r="BL20" s="272">
        <v>0</v>
      </c>
      <c r="BM20" s="272">
        <v>0</v>
      </c>
      <c r="BN20" s="272">
        <v>3386300</v>
      </c>
      <c r="BO20" s="455">
        <f t="shared" si="5"/>
        <v>2796700</v>
      </c>
      <c r="BP20" s="455">
        <f t="shared" si="6"/>
        <v>589600</v>
      </c>
      <c r="BQ20" s="272"/>
      <c r="BR20" s="272">
        <v>589600</v>
      </c>
      <c r="BS20" s="272"/>
      <c r="BT20" s="272">
        <v>0</v>
      </c>
      <c r="BU20" s="272">
        <v>33867310</v>
      </c>
      <c r="BV20" s="272"/>
      <c r="BW20" s="272">
        <v>6791433</v>
      </c>
      <c r="BX20" s="272">
        <v>4670543</v>
      </c>
      <c r="BY20" s="272">
        <v>302179</v>
      </c>
      <c r="BZ20" s="272">
        <v>571236</v>
      </c>
      <c r="CA20" s="272">
        <v>3585961</v>
      </c>
      <c r="CB20" s="272">
        <v>644134</v>
      </c>
      <c r="CC20" s="272">
        <v>934021</v>
      </c>
      <c r="CD20" s="272">
        <v>880413</v>
      </c>
      <c r="CE20" s="272">
        <v>1099971</v>
      </c>
      <c r="CF20" s="272">
        <v>0</v>
      </c>
      <c r="CG20" s="272">
        <v>27422</v>
      </c>
      <c r="CH20" s="272">
        <v>2949496</v>
      </c>
      <c r="CI20" s="272">
        <v>1712768</v>
      </c>
      <c r="CJ20" s="455">
        <f t="shared" si="7"/>
        <v>1236728</v>
      </c>
      <c r="CK20" s="272">
        <v>5539458</v>
      </c>
      <c r="CL20" s="272">
        <v>3732419</v>
      </c>
      <c r="CM20" s="272">
        <v>109340</v>
      </c>
      <c r="CN20" s="272">
        <v>972324</v>
      </c>
      <c r="CO20" s="272">
        <v>219951</v>
      </c>
      <c r="CP20" s="272">
        <v>2737257</v>
      </c>
      <c r="CQ20" s="272">
        <v>841577</v>
      </c>
      <c r="CR20" s="272">
        <v>1055053</v>
      </c>
      <c r="CS20" s="272">
        <v>818179</v>
      </c>
      <c r="CT20" s="455">
        <f t="shared" si="8"/>
        <v>163445</v>
      </c>
      <c r="CU20" s="272">
        <v>9968</v>
      </c>
      <c r="CV20" s="272">
        <v>153477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7030143</v>
      </c>
      <c r="DD20" s="272">
        <v>961922</v>
      </c>
      <c r="DE20" s="272">
        <v>5945374</v>
      </c>
      <c r="DF20" s="272">
        <v>122847</v>
      </c>
      <c r="DG20" s="272">
        <v>0</v>
      </c>
      <c r="DH20" s="272">
        <v>39106</v>
      </c>
      <c r="DI20" s="272">
        <v>1172236</v>
      </c>
      <c r="DJ20" s="272">
        <v>1092000</v>
      </c>
      <c r="DK20" s="272">
        <v>16000</v>
      </c>
      <c r="DL20" s="272">
        <v>64236</v>
      </c>
      <c r="DM20" s="272">
        <v>0</v>
      </c>
      <c r="DN20" s="272">
        <v>0</v>
      </c>
      <c r="DO20" s="272">
        <v>0</v>
      </c>
      <c r="DP20" s="272">
        <v>0</v>
      </c>
      <c r="DQ20" s="272">
        <v>842785</v>
      </c>
      <c r="DR20" s="272">
        <v>0</v>
      </c>
      <c r="DS20" s="272">
        <v>0</v>
      </c>
      <c r="DT20" s="272">
        <v>2178948</v>
      </c>
      <c r="DU20" s="272">
        <v>1181161</v>
      </c>
      <c r="DV20" s="455">
        <f t="shared" si="11"/>
        <v>0</v>
      </c>
      <c r="DW20" s="272">
        <v>0</v>
      </c>
      <c r="DX20" s="272">
        <v>0</v>
      </c>
      <c r="DY20" s="272">
        <v>0</v>
      </c>
      <c r="DZ20" s="272">
        <v>519582</v>
      </c>
      <c r="EA20" s="272">
        <v>478205</v>
      </c>
      <c r="EB20" s="272"/>
      <c r="EC20" s="272">
        <v>0</v>
      </c>
      <c r="ED20" s="272">
        <v>33086774</v>
      </c>
      <c r="EF20" s="272">
        <v>780536</v>
      </c>
      <c r="EG20" s="272">
        <v>412371</v>
      </c>
      <c r="EH20" s="272">
        <v>368165</v>
      </c>
      <c r="EI20" s="272">
        <v>61799</v>
      </c>
      <c r="EJ20" s="272">
        <v>953799</v>
      </c>
      <c r="EL20" s="272"/>
      <c r="EM20" s="272">
        <v>121679</v>
      </c>
      <c r="EN20" s="272">
        <v>313000</v>
      </c>
      <c r="EO20" s="272">
        <v>26368</v>
      </c>
      <c r="EP20" s="455">
        <f t="shared" si="12"/>
        <v>1623913</v>
      </c>
      <c r="EQ20" s="272">
        <v>21960835</v>
      </c>
      <c r="ER20" s="272">
        <v>-2526833</v>
      </c>
      <c r="ES20" s="272">
        <v>6430057</v>
      </c>
      <c r="ET20" s="272">
        <v>4331978</v>
      </c>
      <c r="EU20" s="272">
        <v>1099669</v>
      </c>
      <c r="EV20" s="272">
        <v>2949496</v>
      </c>
      <c r="EW20" s="455">
        <f t="shared" si="13"/>
        <v>3313085</v>
      </c>
      <c r="EX20" s="272">
        <v>3274511</v>
      </c>
      <c r="EY20" s="272">
        <v>120460</v>
      </c>
      <c r="EZ20" s="272">
        <v>3142316</v>
      </c>
      <c r="FA20" s="272">
        <v>38574</v>
      </c>
      <c r="FB20" s="272"/>
      <c r="FC20" s="272">
        <v>4172273</v>
      </c>
      <c r="FD20" s="272">
        <v>2385574</v>
      </c>
      <c r="FE20" s="272">
        <v>841577</v>
      </c>
      <c r="FF20" s="272">
        <v>2094590</v>
      </c>
      <c r="FG20" s="455">
        <f t="shared" si="14"/>
        <v>1262388</v>
      </c>
      <c r="FH20" s="272">
        <v>23707132</v>
      </c>
      <c r="FI20" s="384">
        <f t="shared" si="15"/>
        <v>1.8</v>
      </c>
      <c r="FJ20" s="272">
        <v>20979032</v>
      </c>
      <c r="FK20" s="272"/>
      <c r="FL20" s="272">
        <v>13481272</v>
      </c>
      <c r="FM20" s="272">
        <v>16602518</v>
      </c>
      <c r="FN20" s="460">
        <v>0.83699999999999997</v>
      </c>
      <c r="FO20" s="388">
        <v>85.7</v>
      </c>
      <c r="FP20" s="388">
        <v>31.4</v>
      </c>
      <c r="FQ20" s="388">
        <v>5.4</v>
      </c>
      <c r="FR20" s="388">
        <v>14.5</v>
      </c>
      <c r="FS20" s="388">
        <v>19.8</v>
      </c>
      <c r="FT20" s="388">
        <v>8.6999999999999993</v>
      </c>
      <c r="FU20" s="388">
        <v>5</v>
      </c>
      <c r="FV20" s="388">
        <v>9.4</v>
      </c>
      <c r="FW20" s="272">
        <v>30215140</v>
      </c>
      <c r="FX20" s="384">
        <f t="shared" si="16"/>
        <v>144</v>
      </c>
      <c r="FY20" s="272">
        <v>15796405</v>
      </c>
      <c r="FZ20" s="272">
        <v>8046291</v>
      </c>
      <c r="GA20" s="272">
        <v>1667228</v>
      </c>
      <c r="GB20" s="272">
        <v>6082886</v>
      </c>
      <c r="GC20" s="272"/>
      <c r="GD20" s="272">
        <v>8172475</v>
      </c>
      <c r="GE20" s="384">
        <f t="shared" si="17"/>
        <v>39</v>
      </c>
      <c r="GF20" s="388">
        <v>97.5</v>
      </c>
      <c r="GG20" s="388">
        <v>20.399999999999999</v>
      </c>
      <c r="GH20" s="388">
        <v>92</v>
      </c>
      <c r="GI20" s="272">
        <v>634</v>
      </c>
    </row>
    <row r="21" spans="2:191" x14ac:dyDescent="0.15">
      <c r="B21" s="89" t="s">
        <v>35</v>
      </c>
      <c r="C21" s="272">
        <v>16750883</v>
      </c>
      <c r="D21" s="455">
        <f t="shared" si="0"/>
        <v>6749943</v>
      </c>
      <c r="E21" s="272">
        <v>120842</v>
      </c>
      <c r="F21" s="272">
        <v>6629101</v>
      </c>
      <c r="G21" s="455">
        <f t="shared" si="1"/>
        <v>1325775</v>
      </c>
      <c r="H21" s="272">
        <v>221912</v>
      </c>
      <c r="I21" s="272">
        <v>1103863</v>
      </c>
      <c r="J21" s="272">
        <v>6235648</v>
      </c>
      <c r="K21" s="272">
        <v>3554166</v>
      </c>
      <c r="L21" s="272">
        <v>2015072</v>
      </c>
      <c r="M21" s="272">
        <v>631318</v>
      </c>
      <c r="N21" s="272">
        <v>743177</v>
      </c>
      <c r="O21" s="272">
        <v>1551176</v>
      </c>
      <c r="P21" s="272">
        <v>1093770</v>
      </c>
      <c r="Q21" s="272">
        <v>457406</v>
      </c>
      <c r="R21" s="272">
        <v>424921</v>
      </c>
      <c r="S21" s="272">
        <v>201033</v>
      </c>
      <c r="T21" s="455">
        <f t="shared" si="2"/>
        <v>823756</v>
      </c>
      <c r="U21" s="272">
        <v>246665</v>
      </c>
      <c r="V21" s="272"/>
      <c r="W21" s="272"/>
      <c r="X21" s="272">
        <v>269911</v>
      </c>
      <c r="Y21" s="272">
        <v>0</v>
      </c>
      <c r="Z21" s="272">
        <v>991</v>
      </c>
      <c r="AA21" s="272">
        <v>306189</v>
      </c>
      <c r="AB21" s="272"/>
      <c r="AC21" s="272">
        <v>7351306</v>
      </c>
      <c r="AD21" s="272">
        <v>6899585</v>
      </c>
      <c r="AE21" s="272">
        <v>451721</v>
      </c>
      <c r="AF21" s="272">
        <v>27827</v>
      </c>
      <c r="AG21" s="272">
        <v>268002</v>
      </c>
      <c r="AH21" s="455">
        <f t="shared" si="3"/>
        <v>515713</v>
      </c>
      <c r="AI21" s="272">
        <v>460000</v>
      </c>
      <c r="AJ21" s="272">
        <v>55713</v>
      </c>
      <c r="AK21" s="272">
        <v>3781441</v>
      </c>
      <c r="AL21" s="455">
        <f t="shared" si="4"/>
        <v>2410059</v>
      </c>
      <c r="AM21" s="272">
        <v>1776084</v>
      </c>
      <c r="AN21" s="272">
        <v>287194</v>
      </c>
      <c r="AO21" s="272">
        <v>0</v>
      </c>
      <c r="AP21" s="272">
        <v>346781</v>
      </c>
      <c r="AQ21" s="272">
        <v>575586</v>
      </c>
      <c r="AR21" s="272">
        <v>0</v>
      </c>
      <c r="AS21" s="272">
        <v>0</v>
      </c>
      <c r="AT21" s="272">
        <v>2112686</v>
      </c>
      <c r="AU21" s="272">
        <v>588954</v>
      </c>
      <c r="AV21" s="272">
        <v>142575</v>
      </c>
      <c r="AW21" s="272">
        <v>3276</v>
      </c>
      <c r="AX21" s="272">
        <v>1523732</v>
      </c>
      <c r="AY21" s="272">
        <v>346910</v>
      </c>
      <c r="AZ21" s="272">
        <v>186952</v>
      </c>
      <c r="BA21" s="272">
        <v>763</v>
      </c>
      <c r="BB21" s="272">
        <v>368573</v>
      </c>
      <c r="BC21" s="272">
        <v>1009500</v>
      </c>
      <c r="BD21" s="272">
        <v>0</v>
      </c>
      <c r="BE21" s="272">
        <v>0</v>
      </c>
      <c r="BF21" s="272">
        <v>1009500</v>
      </c>
      <c r="BG21" s="272">
        <v>0</v>
      </c>
      <c r="BH21" s="272">
        <v>147906</v>
      </c>
      <c r="BI21" s="272">
        <v>87128</v>
      </c>
      <c r="BJ21" s="272">
        <v>237294</v>
      </c>
      <c r="BK21" s="272">
        <v>63663</v>
      </c>
      <c r="BL21" s="272">
        <v>0</v>
      </c>
      <c r="BM21" s="272">
        <v>0</v>
      </c>
      <c r="BN21" s="272">
        <v>3059100</v>
      </c>
      <c r="BO21" s="455">
        <f t="shared" si="5"/>
        <v>2296800</v>
      </c>
      <c r="BP21" s="455">
        <f t="shared" si="6"/>
        <v>762300</v>
      </c>
      <c r="BQ21" s="272"/>
      <c r="BR21" s="272">
        <v>762300</v>
      </c>
      <c r="BS21" s="272"/>
      <c r="BT21" s="272">
        <v>0</v>
      </c>
      <c r="BU21" s="272">
        <v>37065860</v>
      </c>
      <c r="BV21" s="272"/>
      <c r="BW21" s="272">
        <v>10178954</v>
      </c>
      <c r="BX21" s="272">
        <v>7641134</v>
      </c>
      <c r="BY21" s="272">
        <v>673258</v>
      </c>
      <c r="BZ21" s="272">
        <v>196684</v>
      </c>
      <c r="CA21" s="272">
        <v>5546597</v>
      </c>
      <c r="CB21" s="272">
        <v>607553</v>
      </c>
      <c r="CC21" s="272">
        <v>1537251</v>
      </c>
      <c r="CD21" s="272">
        <v>963713</v>
      </c>
      <c r="CE21" s="272">
        <v>2351583</v>
      </c>
      <c r="CF21" s="272">
        <v>0</v>
      </c>
      <c r="CG21" s="272">
        <v>85442</v>
      </c>
      <c r="CH21" s="272">
        <v>3639695</v>
      </c>
      <c r="CI21" s="272">
        <v>2247881</v>
      </c>
      <c r="CJ21" s="455">
        <f t="shared" si="7"/>
        <v>1391814</v>
      </c>
      <c r="CK21" s="272">
        <v>4700209</v>
      </c>
      <c r="CL21" s="272">
        <v>2958356</v>
      </c>
      <c r="CM21" s="272">
        <v>167580</v>
      </c>
      <c r="CN21" s="272">
        <v>920810</v>
      </c>
      <c r="CO21" s="272">
        <v>247573</v>
      </c>
      <c r="CP21" s="272">
        <v>2583194</v>
      </c>
      <c r="CQ21" s="272">
        <v>6228</v>
      </c>
      <c r="CR21" s="272">
        <v>1841023</v>
      </c>
      <c r="CS21" s="272">
        <v>968915</v>
      </c>
      <c r="CT21" s="455">
        <f t="shared" si="8"/>
        <v>621489</v>
      </c>
      <c r="CU21" s="272">
        <v>12000</v>
      </c>
      <c r="CV21" s="272">
        <v>609489</v>
      </c>
      <c r="CW21" s="455">
        <f t="shared" si="9"/>
        <v>562678</v>
      </c>
      <c r="CX21" s="272">
        <v>0</v>
      </c>
      <c r="CY21" s="272">
        <v>562678</v>
      </c>
      <c r="CZ21" s="455">
        <f t="shared" si="10"/>
        <v>0</v>
      </c>
      <c r="DA21" s="272">
        <v>0</v>
      </c>
      <c r="DB21" s="272">
        <v>0</v>
      </c>
      <c r="DC21" s="272">
        <v>4474500</v>
      </c>
      <c r="DD21" s="272">
        <v>1140952</v>
      </c>
      <c r="DE21" s="272">
        <v>3333548</v>
      </c>
      <c r="DF21" s="272">
        <v>0</v>
      </c>
      <c r="DG21" s="272">
        <v>0</v>
      </c>
      <c r="DH21" s="272">
        <v>0</v>
      </c>
      <c r="DI21" s="272">
        <v>793120</v>
      </c>
      <c r="DJ21" s="272">
        <v>280909</v>
      </c>
      <c r="DK21" s="272">
        <v>4505</v>
      </c>
      <c r="DL21" s="272">
        <v>507706</v>
      </c>
      <c r="DM21" s="272">
        <v>0</v>
      </c>
      <c r="DN21" s="272">
        <v>0</v>
      </c>
      <c r="DO21" s="272">
        <v>0</v>
      </c>
      <c r="DP21" s="272">
        <v>0</v>
      </c>
      <c r="DQ21" s="272">
        <v>60000</v>
      </c>
      <c r="DR21" s="272">
        <v>0</v>
      </c>
      <c r="DS21" s="272">
        <v>0</v>
      </c>
      <c r="DT21" s="272">
        <v>4717045</v>
      </c>
      <c r="DU21" s="272">
        <v>3020000</v>
      </c>
      <c r="DV21" s="455">
        <f t="shared" si="11"/>
        <v>0</v>
      </c>
      <c r="DW21" s="272">
        <v>0</v>
      </c>
      <c r="DX21" s="272">
        <v>0</v>
      </c>
      <c r="DY21" s="272">
        <v>0</v>
      </c>
      <c r="DZ21" s="272">
        <v>1177828</v>
      </c>
      <c r="EA21" s="272">
        <v>504236</v>
      </c>
      <c r="EB21" s="272"/>
      <c r="EC21" s="272">
        <v>0</v>
      </c>
      <c r="ED21" s="272">
        <v>36940887</v>
      </c>
      <c r="EF21" s="272">
        <v>124973</v>
      </c>
      <c r="EG21" s="272">
        <v>8118</v>
      </c>
      <c r="EH21" s="272">
        <v>116855</v>
      </c>
      <c r="EI21" s="272">
        <v>29727</v>
      </c>
      <c r="EJ21" s="272">
        <v>310636</v>
      </c>
      <c r="EL21" s="272"/>
      <c r="EM21" s="272">
        <v>132916</v>
      </c>
      <c r="EN21" s="272">
        <v>288800</v>
      </c>
      <c r="EO21" s="272">
        <v>140263</v>
      </c>
      <c r="EP21" s="455">
        <f t="shared" si="12"/>
        <v>622140</v>
      </c>
      <c r="EQ21" s="272">
        <v>25378693</v>
      </c>
      <c r="ER21" s="272">
        <v>-1785676</v>
      </c>
      <c r="ES21" s="272">
        <v>9373936</v>
      </c>
      <c r="ET21" s="272">
        <v>6901276</v>
      </c>
      <c r="EU21" s="272">
        <v>1732669</v>
      </c>
      <c r="EV21" s="272">
        <v>3638145</v>
      </c>
      <c r="EW21" s="455">
        <f t="shared" si="13"/>
        <v>628586</v>
      </c>
      <c r="EX21" s="272">
        <v>628586</v>
      </c>
      <c r="EY21" s="272">
        <v>29490</v>
      </c>
      <c r="EZ21" s="272">
        <v>599096</v>
      </c>
      <c r="FA21" s="272">
        <v>0</v>
      </c>
      <c r="FB21" s="272"/>
      <c r="FC21" s="272">
        <v>4001776</v>
      </c>
      <c r="FD21" s="272">
        <v>2291009</v>
      </c>
      <c r="FE21" s="272">
        <v>6228</v>
      </c>
      <c r="FF21" s="272">
        <v>4380145</v>
      </c>
      <c r="FG21" s="455">
        <f t="shared" si="14"/>
        <v>993130</v>
      </c>
      <c r="FH21" s="272">
        <v>27039396</v>
      </c>
      <c r="FI21" s="384">
        <f t="shared" si="15"/>
        <v>0.5</v>
      </c>
      <c r="FJ21" s="272">
        <v>24017636</v>
      </c>
      <c r="FK21" s="272"/>
      <c r="FL21" s="272">
        <v>12904018</v>
      </c>
      <c r="FM21" s="272">
        <v>19801205</v>
      </c>
      <c r="FN21" s="460">
        <v>0.65900000000000003</v>
      </c>
      <c r="FO21" s="388">
        <v>98</v>
      </c>
      <c r="FP21" s="388">
        <v>39.1</v>
      </c>
      <c r="FQ21" s="388">
        <v>7.3</v>
      </c>
      <c r="FR21" s="388">
        <v>15.4</v>
      </c>
      <c r="FS21" s="388">
        <v>16.5</v>
      </c>
      <c r="FT21" s="388">
        <v>7.8</v>
      </c>
      <c r="FU21" s="388">
        <v>10.8</v>
      </c>
      <c r="FV21" s="388">
        <v>11.1</v>
      </c>
      <c r="FW21" s="272">
        <v>33252628</v>
      </c>
      <c r="FX21" s="384">
        <f t="shared" si="16"/>
        <v>138.5</v>
      </c>
      <c r="FY21" s="272">
        <v>4817600</v>
      </c>
      <c r="FZ21" s="272">
        <v>345187</v>
      </c>
      <c r="GA21" s="272">
        <v>542303</v>
      </c>
      <c r="GB21" s="272">
        <v>3930110</v>
      </c>
      <c r="GC21" s="272"/>
      <c r="GD21" s="272">
        <v>3570149</v>
      </c>
      <c r="GE21" s="384">
        <f t="shared" si="17"/>
        <v>14.9</v>
      </c>
      <c r="GF21" s="388">
        <v>96.8</v>
      </c>
      <c r="GG21" s="388">
        <v>22.7</v>
      </c>
      <c r="GH21" s="388">
        <v>89.9</v>
      </c>
      <c r="GI21" s="272">
        <v>963</v>
      </c>
    </row>
    <row r="22" spans="2:191" x14ac:dyDescent="0.15">
      <c r="B22" s="89" t="s">
        <v>37</v>
      </c>
      <c r="C22" s="272">
        <v>22040162</v>
      </c>
      <c r="D22" s="455">
        <f t="shared" si="0"/>
        <v>6693196</v>
      </c>
      <c r="E22" s="272">
        <v>123556</v>
      </c>
      <c r="F22" s="272">
        <v>6569640</v>
      </c>
      <c r="G22" s="455">
        <f t="shared" si="1"/>
        <v>2009382</v>
      </c>
      <c r="H22" s="272">
        <v>286819</v>
      </c>
      <c r="I22" s="272">
        <v>1722563</v>
      </c>
      <c r="J22" s="272">
        <v>9272721</v>
      </c>
      <c r="K22" s="272">
        <v>5169246</v>
      </c>
      <c r="L22" s="272">
        <v>2802572</v>
      </c>
      <c r="M22" s="272">
        <v>1168188</v>
      </c>
      <c r="N22" s="272">
        <v>1850705</v>
      </c>
      <c r="O22" s="272">
        <v>2091768</v>
      </c>
      <c r="P22" s="272">
        <v>1462014</v>
      </c>
      <c r="Q22" s="272">
        <v>629754</v>
      </c>
      <c r="R22" s="272">
        <v>443524</v>
      </c>
      <c r="S22" s="272">
        <v>221838</v>
      </c>
      <c r="T22" s="455">
        <f t="shared" si="2"/>
        <v>888225</v>
      </c>
      <c r="U22" s="272">
        <v>243299</v>
      </c>
      <c r="V22" s="272"/>
      <c r="W22" s="272"/>
      <c r="X22" s="272">
        <v>293509</v>
      </c>
      <c r="Y22" s="272">
        <v>37565</v>
      </c>
      <c r="Z22" s="272">
        <v>10856</v>
      </c>
      <c r="AA22" s="272">
        <v>302996</v>
      </c>
      <c r="AB22" s="272"/>
      <c r="AC22" s="272">
        <v>2152252</v>
      </c>
      <c r="AD22" s="272">
        <v>1761031</v>
      </c>
      <c r="AE22" s="272">
        <v>391221</v>
      </c>
      <c r="AF22" s="272">
        <v>26934</v>
      </c>
      <c r="AG22" s="272">
        <v>448008</v>
      </c>
      <c r="AH22" s="455">
        <f t="shared" si="3"/>
        <v>886808</v>
      </c>
      <c r="AI22" s="272">
        <v>538964</v>
      </c>
      <c r="AJ22" s="272">
        <v>347844</v>
      </c>
      <c r="AK22" s="272">
        <v>3748928</v>
      </c>
      <c r="AL22" s="455">
        <f t="shared" si="4"/>
        <v>1695901</v>
      </c>
      <c r="AM22" s="272">
        <v>985232</v>
      </c>
      <c r="AN22" s="272">
        <v>461259</v>
      </c>
      <c r="AO22" s="272">
        <v>0</v>
      </c>
      <c r="AP22" s="272">
        <v>249410</v>
      </c>
      <c r="AQ22" s="272">
        <v>1249306</v>
      </c>
      <c r="AR22" s="272">
        <v>0</v>
      </c>
      <c r="AS22" s="272">
        <v>0</v>
      </c>
      <c r="AT22" s="272">
        <v>2281011</v>
      </c>
      <c r="AU22" s="272">
        <v>635814</v>
      </c>
      <c r="AV22" s="272">
        <v>229008</v>
      </c>
      <c r="AW22" s="272">
        <v>26866</v>
      </c>
      <c r="AX22" s="272">
        <v>1645197</v>
      </c>
      <c r="AY22" s="272">
        <v>551597</v>
      </c>
      <c r="AZ22" s="272">
        <v>130678</v>
      </c>
      <c r="BA22" s="272">
        <v>41308</v>
      </c>
      <c r="BB22" s="272">
        <v>35483</v>
      </c>
      <c r="BC22" s="272">
        <v>177009</v>
      </c>
      <c r="BD22" s="272">
        <v>0</v>
      </c>
      <c r="BE22" s="272">
        <v>110000</v>
      </c>
      <c r="BF22" s="272">
        <v>67009</v>
      </c>
      <c r="BG22" s="272">
        <v>0</v>
      </c>
      <c r="BH22" s="272">
        <v>293437</v>
      </c>
      <c r="BI22" s="272">
        <v>133383</v>
      </c>
      <c r="BJ22" s="272">
        <v>2390081</v>
      </c>
      <c r="BK22" s="272">
        <v>2065275</v>
      </c>
      <c r="BL22" s="272">
        <v>85790</v>
      </c>
      <c r="BM22" s="272">
        <v>0</v>
      </c>
      <c r="BN22" s="272">
        <v>2877800</v>
      </c>
      <c r="BO22" s="455">
        <f t="shared" si="5"/>
        <v>2162200</v>
      </c>
      <c r="BP22" s="455">
        <f t="shared" si="6"/>
        <v>715600</v>
      </c>
      <c r="BQ22" s="272"/>
      <c r="BR22" s="272">
        <v>715600</v>
      </c>
      <c r="BS22" s="272"/>
      <c r="BT22" s="272">
        <v>0</v>
      </c>
      <c r="BU22" s="272">
        <v>38820340</v>
      </c>
      <c r="BV22" s="272"/>
      <c r="BW22" s="272">
        <v>11503260</v>
      </c>
      <c r="BX22" s="272">
        <v>8964496</v>
      </c>
      <c r="BY22" s="272">
        <v>533269</v>
      </c>
      <c r="BZ22" s="272">
        <v>175825</v>
      </c>
      <c r="CA22" s="272">
        <v>4623332</v>
      </c>
      <c r="CB22" s="272">
        <v>492559</v>
      </c>
      <c r="CC22" s="272">
        <v>1128515</v>
      </c>
      <c r="CD22" s="272">
        <v>1619523</v>
      </c>
      <c r="CE22" s="272">
        <v>1292308</v>
      </c>
      <c r="CF22" s="272">
        <v>441</v>
      </c>
      <c r="CG22" s="272">
        <v>89581</v>
      </c>
      <c r="CH22" s="272">
        <v>3130012</v>
      </c>
      <c r="CI22" s="272">
        <v>1959317</v>
      </c>
      <c r="CJ22" s="455">
        <f t="shared" si="7"/>
        <v>1170695</v>
      </c>
      <c r="CK22" s="272">
        <v>3751870</v>
      </c>
      <c r="CL22" s="272">
        <v>2454810</v>
      </c>
      <c r="CM22" s="272">
        <v>85727</v>
      </c>
      <c r="CN22" s="272">
        <v>741800</v>
      </c>
      <c r="CO22" s="272">
        <v>160081</v>
      </c>
      <c r="CP22" s="272">
        <v>2606712</v>
      </c>
      <c r="CQ22" s="272">
        <v>1472161</v>
      </c>
      <c r="CR22" s="272">
        <v>614107</v>
      </c>
      <c r="CS22" s="272">
        <v>526962</v>
      </c>
      <c r="CT22" s="455">
        <f t="shared" si="8"/>
        <v>19480</v>
      </c>
      <c r="CU22" s="272">
        <v>19480</v>
      </c>
      <c r="CV22" s="272">
        <v>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5574349</v>
      </c>
      <c r="DD22" s="272">
        <v>2763487</v>
      </c>
      <c r="DE22" s="272">
        <v>2523778</v>
      </c>
      <c r="DF22" s="272">
        <v>0</v>
      </c>
      <c r="DG22" s="272">
        <v>287084</v>
      </c>
      <c r="DH22" s="272">
        <v>0</v>
      </c>
      <c r="DI22" s="272">
        <v>1969153</v>
      </c>
      <c r="DJ22" s="272">
        <v>1160512</v>
      </c>
      <c r="DK22" s="272">
        <v>204827</v>
      </c>
      <c r="DL22" s="272">
        <v>603814</v>
      </c>
      <c r="DM22" s="272">
        <v>28700</v>
      </c>
      <c r="DN22" s="272">
        <v>28700</v>
      </c>
      <c r="DO22" s="272">
        <v>28700</v>
      </c>
      <c r="DP22" s="272">
        <v>0</v>
      </c>
      <c r="DQ22" s="272">
        <v>2020000</v>
      </c>
      <c r="DR22" s="272">
        <v>0</v>
      </c>
      <c r="DS22" s="272">
        <v>0</v>
      </c>
      <c r="DT22" s="272">
        <v>3119505</v>
      </c>
      <c r="DU22" s="272">
        <v>2093222</v>
      </c>
      <c r="DV22" s="455">
        <f t="shared" si="11"/>
        <v>0</v>
      </c>
      <c r="DW22" s="272">
        <v>0</v>
      </c>
      <c r="DX22" s="272">
        <v>0</v>
      </c>
      <c r="DY22" s="272">
        <v>0</v>
      </c>
      <c r="DZ22" s="272">
        <v>624423</v>
      </c>
      <c r="EA22" s="272">
        <v>397061</v>
      </c>
      <c r="EB22" s="272"/>
      <c r="EC22" s="272">
        <v>0</v>
      </c>
      <c r="ED22" s="272">
        <v>38486974</v>
      </c>
      <c r="EF22" s="272">
        <v>333366</v>
      </c>
      <c r="EG22" s="272">
        <v>115426</v>
      </c>
      <c r="EH22" s="272">
        <v>217940</v>
      </c>
      <c r="EI22" s="272">
        <v>84557</v>
      </c>
      <c r="EJ22" s="272">
        <v>1245069</v>
      </c>
      <c r="EL22" s="272"/>
      <c r="EM22" s="272">
        <v>128296</v>
      </c>
      <c r="EN22" s="272">
        <v>110000</v>
      </c>
      <c r="EO22" s="272">
        <v>5743</v>
      </c>
      <c r="EP22" s="455">
        <f t="shared" si="12"/>
        <v>332836</v>
      </c>
      <c r="EQ22" s="272">
        <v>25551097</v>
      </c>
      <c r="ER22" s="272">
        <v>-1137245</v>
      </c>
      <c r="ES22" s="272">
        <v>10544530</v>
      </c>
      <c r="ET22" s="272">
        <v>8012941</v>
      </c>
      <c r="EU22" s="272">
        <v>1471006</v>
      </c>
      <c r="EV22" s="272">
        <v>2973725</v>
      </c>
      <c r="EW22" s="455">
        <f t="shared" si="13"/>
        <v>1322020</v>
      </c>
      <c r="EX22" s="272">
        <v>1322020</v>
      </c>
      <c r="EY22" s="272">
        <v>107543</v>
      </c>
      <c r="EZ22" s="272">
        <v>1214477</v>
      </c>
      <c r="FA22" s="272">
        <v>0</v>
      </c>
      <c r="FB22" s="272"/>
      <c r="FC22" s="272">
        <v>2768767</v>
      </c>
      <c r="FD22" s="272">
        <v>2321299</v>
      </c>
      <c r="FE22" s="272">
        <v>1472161</v>
      </c>
      <c r="FF22" s="272">
        <v>2937349</v>
      </c>
      <c r="FG22" s="455">
        <f t="shared" si="14"/>
        <v>2016280</v>
      </c>
      <c r="FH22" s="272">
        <v>26354976</v>
      </c>
      <c r="FI22" s="384">
        <f t="shared" si="15"/>
        <v>1</v>
      </c>
      <c r="FJ22" s="272">
        <v>22749853</v>
      </c>
      <c r="FK22" s="272"/>
      <c r="FL22" s="272">
        <v>15806577</v>
      </c>
      <c r="FM22" s="272">
        <v>17578443</v>
      </c>
      <c r="FN22" s="460">
        <v>0.88100000000000001</v>
      </c>
      <c r="FO22" s="388">
        <v>95</v>
      </c>
      <c r="FP22" s="388">
        <v>45</v>
      </c>
      <c r="FQ22" s="388">
        <v>6.4</v>
      </c>
      <c r="FR22" s="388">
        <v>12.9</v>
      </c>
      <c r="FS22" s="388">
        <v>11.3</v>
      </c>
      <c r="FT22" s="388">
        <v>8.6</v>
      </c>
      <c r="FU22" s="388">
        <v>10.4</v>
      </c>
      <c r="FV22" s="388">
        <v>9.8000000000000007</v>
      </c>
      <c r="FW22" s="272">
        <v>24262215</v>
      </c>
      <c r="FX22" s="384">
        <f t="shared" si="16"/>
        <v>106.6</v>
      </c>
      <c r="FY22" s="272">
        <v>11755771</v>
      </c>
      <c r="FZ22" s="272">
        <v>4765657</v>
      </c>
      <c r="GA22" s="272">
        <v>1548329</v>
      </c>
      <c r="GB22" s="272">
        <v>5441785</v>
      </c>
      <c r="GC22" s="272"/>
      <c r="GD22" s="272">
        <v>13731709</v>
      </c>
      <c r="GE22" s="384">
        <f t="shared" si="17"/>
        <v>60.4</v>
      </c>
      <c r="GF22" s="388">
        <v>98.3</v>
      </c>
      <c r="GG22" s="388">
        <v>32.9</v>
      </c>
      <c r="GH22" s="388">
        <v>95.6</v>
      </c>
      <c r="GI22" s="272">
        <v>1105</v>
      </c>
    </row>
    <row r="23" spans="2:191" x14ac:dyDescent="0.15">
      <c r="B23" s="89" t="s">
        <v>39</v>
      </c>
      <c r="C23" s="272">
        <v>21123890</v>
      </c>
      <c r="D23" s="455">
        <f t="shared" si="0"/>
        <v>8945478</v>
      </c>
      <c r="E23" s="272">
        <v>143224</v>
      </c>
      <c r="F23" s="272">
        <v>8802254</v>
      </c>
      <c r="G23" s="455">
        <f t="shared" si="1"/>
        <v>922435</v>
      </c>
      <c r="H23" s="272">
        <v>259243</v>
      </c>
      <c r="I23" s="272">
        <v>663192</v>
      </c>
      <c r="J23" s="272">
        <v>7962392</v>
      </c>
      <c r="K23" s="272">
        <v>4145514</v>
      </c>
      <c r="L23" s="272">
        <v>2995505</v>
      </c>
      <c r="M23" s="272">
        <v>751441</v>
      </c>
      <c r="N23" s="272">
        <v>850828</v>
      </c>
      <c r="O23" s="272">
        <v>1916483</v>
      </c>
      <c r="P23" s="272">
        <v>1267831</v>
      </c>
      <c r="Q23" s="272">
        <v>648652</v>
      </c>
      <c r="R23" s="272">
        <v>530384</v>
      </c>
      <c r="S23" s="272">
        <v>223530</v>
      </c>
      <c r="T23" s="455">
        <f t="shared" si="2"/>
        <v>1039291</v>
      </c>
      <c r="U23" s="272">
        <v>297964</v>
      </c>
      <c r="V23" s="272"/>
      <c r="W23" s="272"/>
      <c r="X23" s="272">
        <v>301848</v>
      </c>
      <c r="Y23" s="272">
        <v>19224</v>
      </c>
      <c r="Z23" s="272">
        <v>1078</v>
      </c>
      <c r="AA23" s="272">
        <v>419177</v>
      </c>
      <c r="AB23" s="272"/>
      <c r="AC23" s="272">
        <v>7223712</v>
      </c>
      <c r="AD23" s="272">
        <v>6304806</v>
      </c>
      <c r="AE23" s="272">
        <v>918906</v>
      </c>
      <c r="AF23" s="272">
        <v>29746</v>
      </c>
      <c r="AG23" s="272">
        <v>393180</v>
      </c>
      <c r="AH23" s="455">
        <f t="shared" si="3"/>
        <v>970882</v>
      </c>
      <c r="AI23" s="272">
        <v>900309</v>
      </c>
      <c r="AJ23" s="272">
        <v>70573</v>
      </c>
      <c r="AK23" s="272">
        <v>5001350</v>
      </c>
      <c r="AL23" s="455">
        <f t="shared" si="4"/>
        <v>2852793</v>
      </c>
      <c r="AM23" s="272">
        <v>2077307</v>
      </c>
      <c r="AN23" s="272">
        <v>433896</v>
      </c>
      <c r="AO23" s="272">
        <v>0</v>
      </c>
      <c r="AP23" s="272">
        <v>341590</v>
      </c>
      <c r="AQ23" s="272">
        <v>898740</v>
      </c>
      <c r="AR23" s="272">
        <v>0</v>
      </c>
      <c r="AS23" s="272">
        <v>270252</v>
      </c>
      <c r="AT23" s="272">
        <v>3020176</v>
      </c>
      <c r="AU23" s="272">
        <v>849471</v>
      </c>
      <c r="AV23" s="272">
        <v>215465</v>
      </c>
      <c r="AW23" s="272">
        <v>58569</v>
      </c>
      <c r="AX23" s="272">
        <v>2170705</v>
      </c>
      <c r="AY23" s="272">
        <v>519584</v>
      </c>
      <c r="AZ23" s="272">
        <v>350349</v>
      </c>
      <c r="BA23" s="272">
        <v>254680</v>
      </c>
      <c r="BB23" s="272">
        <v>586255</v>
      </c>
      <c r="BC23" s="272">
        <v>1601825</v>
      </c>
      <c r="BD23" s="272">
        <v>0</v>
      </c>
      <c r="BE23" s="272">
        <v>0</v>
      </c>
      <c r="BF23" s="272">
        <v>1550000</v>
      </c>
      <c r="BG23" s="272">
        <v>0</v>
      </c>
      <c r="BH23" s="272">
        <v>690226</v>
      </c>
      <c r="BI23" s="272">
        <v>461952</v>
      </c>
      <c r="BJ23" s="272">
        <v>1976752</v>
      </c>
      <c r="BK23" s="272">
        <v>567800</v>
      </c>
      <c r="BL23" s="272">
        <v>0</v>
      </c>
      <c r="BM23" s="272">
        <v>0</v>
      </c>
      <c r="BN23" s="272">
        <v>3489800</v>
      </c>
      <c r="BO23" s="455">
        <f t="shared" si="5"/>
        <v>3189800</v>
      </c>
      <c r="BP23" s="455">
        <f t="shared" si="6"/>
        <v>300000</v>
      </c>
      <c r="BQ23" s="272"/>
      <c r="BR23" s="272">
        <v>300000</v>
      </c>
      <c r="BS23" s="272"/>
      <c r="BT23" s="272">
        <v>0</v>
      </c>
      <c r="BU23" s="272">
        <v>48298070</v>
      </c>
      <c r="BV23" s="272"/>
      <c r="BW23" s="272">
        <v>13174608</v>
      </c>
      <c r="BX23" s="272">
        <v>9990429</v>
      </c>
      <c r="BY23" s="272">
        <v>802000</v>
      </c>
      <c r="BZ23" s="272">
        <v>296541</v>
      </c>
      <c r="CA23" s="272">
        <v>6786496</v>
      </c>
      <c r="CB23" s="272">
        <v>853908</v>
      </c>
      <c r="CC23" s="272">
        <v>1711148</v>
      </c>
      <c r="CD23" s="272">
        <v>1303183</v>
      </c>
      <c r="CE23" s="272">
        <v>2808593</v>
      </c>
      <c r="CF23" s="272">
        <v>154</v>
      </c>
      <c r="CG23" s="272">
        <v>109120</v>
      </c>
      <c r="CH23" s="272">
        <v>4220838</v>
      </c>
      <c r="CI23" s="272">
        <v>2390072</v>
      </c>
      <c r="CJ23" s="455">
        <f t="shared" si="7"/>
        <v>1830766</v>
      </c>
      <c r="CK23" s="272">
        <v>4732307</v>
      </c>
      <c r="CL23" s="272">
        <v>2749621</v>
      </c>
      <c r="CM23" s="272">
        <v>206996</v>
      </c>
      <c r="CN23" s="272">
        <v>839764</v>
      </c>
      <c r="CO23" s="272">
        <v>269206</v>
      </c>
      <c r="CP23" s="272">
        <v>4574950</v>
      </c>
      <c r="CQ23" s="272">
        <v>1748574</v>
      </c>
      <c r="CR23" s="272">
        <v>1061764</v>
      </c>
      <c r="CS23" s="272">
        <v>930579</v>
      </c>
      <c r="CT23" s="455">
        <f t="shared" si="8"/>
        <v>788660</v>
      </c>
      <c r="CU23" s="272">
        <v>13000</v>
      </c>
      <c r="CV23" s="272">
        <v>775660</v>
      </c>
      <c r="CW23" s="455">
        <f t="shared" si="9"/>
        <v>772000</v>
      </c>
      <c r="CX23" s="272">
        <v>0</v>
      </c>
      <c r="CY23" s="272">
        <v>772000</v>
      </c>
      <c r="CZ23" s="455">
        <f t="shared" si="10"/>
        <v>0</v>
      </c>
      <c r="DA23" s="272">
        <v>0</v>
      </c>
      <c r="DB23" s="272">
        <v>0</v>
      </c>
      <c r="DC23" s="272">
        <v>8851491</v>
      </c>
      <c r="DD23" s="272">
        <v>1982385</v>
      </c>
      <c r="DE23" s="272">
        <v>6848007</v>
      </c>
      <c r="DF23" s="272">
        <v>21099</v>
      </c>
      <c r="DG23" s="272">
        <v>0</v>
      </c>
      <c r="DH23" s="272">
        <v>0</v>
      </c>
      <c r="DI23" s="272">
        <v>1221511</v>
      </c>
      <c r="DJ23" s="272">
        <v>241440</v>
      </c>
      <c r="DK23" s="272">
        <v>6050</v>
      </c>
      <c r="DL23" s="272">
        <v>974021</v>
      </c>
      <c r="DM23" s="272">
        <v>205000</v>
      </c>
      <c r="DN23" s="272">
        <v>0</v>
      </c>
      <c r="DO23" s="272">
        <v>0</v>
      </c>
      <c r="DP23" s="272">
        <v>0</v>
      </c>
      <c r="DQ23" s="272">
        <v>1045199</v>
      </c>
      <c r="DR23" s="272">
        <v>800000</v>
      </c>
      <c r="DS23" s="272">
        <v>800000</v>
      </c>
      <c r="DT23" s="272">
        <v>2488878</v>
      </c>
      <c r="DU23" s="272">
        <v>1220386</v>
      </c>
      <c r="DV23" s="455">
        <f t="shared" si="11"/>
        <v>0</v>
      </c>
      <c r="DW23" s="272">
        <v>0</v>
      </c>
      <c r="DX23" s="272">
        <v>0</v>
      </c>
      <c r="DY23" s="272">
        <v>0</v>
      </c>
      <c r="DZ23" s="272">
        <v>692797</v>
      </c>
      <c r="EA23" s="272">
        <v>575695</v>
      </c>
      <c r="EB23" s="272"/>
      <c r="EC23" s="272">
        <v>0</v>
      </c>
      <c r="ED23" s="272">
        <v>47570484</v>
      </c>
      <c r="EF23" s="272">
        <v>727586</v>
      </c>
      <c r="EG23" s="272">
        <v>272415</v>
      </c>
      <c r="EH23" s="272">
        <v>455171</v>
      </c>
      <c r="EI23" s="272">
        <v>-6781</v>
      </c>
      <c r="EJ23" s="272">
        <v>234659</v>
      </c>
      <c r="EL23" s="272"/>
      <c r="EM23" s="272">
        <v>167666</v>
      </c>
      <c r="EN23" s="272">
        <v>753295</v>
      </c>
      <c r="EO23" s="272">
        <v>333592</v>
      </c>
      <c r="EP23" s="455">
        <f t="shared" si="12"/>
        <v>1413769</v>
      </c>
      <c r="EQ23" s="272">
        <v>30217275</v>
      </c>
      <c r="ER23" s="272">
        <v>-2500658</v>
      </c>
      <c r="ES23" s="272">
        <v>11759976</v>
      </c>
      <c r="ET23" s="272">
        <v>8917700</v>
      </c>
      <c r="EU23" s="272">
        <v>2389239</v>
      </c>
      <c r="EV23" s="272">
        <v>3812590</v>
      </c>
      <c r="EW23" s="455">
        <f t="shared" si="13"/>
        <v>3100074</v>
      </c>
      <c r="EX23" s="272">
        <v>3100074</v>
      </c>
      <c r="EY23" s="272">
        <v>106422</v>
      </c>
      <c r="EZ23" s="272">
        <v>2983102</v>
      </c>
      <c r="FA23" s="272">
        <v>0</v>
      </c>
      <c r="FB23" s="272"/>
      <c r="FC23" s="272">
        <v>3734124</v>
      </c>
      <c r="FD23" s="272">
        <v>3761847</v>
      </c>
      <c r="FE23" s="272">
        <v>1748574</v>
      </c>
      <c r="FF23" s="272">
        <v>2409735</v>
      </c>
      <c r="FG23" s="455">
        <f t="shared" si="14"/>
        <v>1140862</v>
      </c>
      <c r="FH23" s="272">
        <v>32108447</v>
      </c>
      <c r="FI23" s="384">
        <f t="shared" si="15"/>
        <v>1.6</v>
      </c>
      <c r="FJ23" s="272">
        <v>27623205</v>
      </c>
      <c r="FK23" s="272"/>
      <c r="FL23" s="272">
        <v>16075612</v>
      </c>
      <c r="FM23" s="272">
        <v>22400536</v>
      </c>
      <c r="FN23" s="460">
        <v>0.73</v>
      </c>
      <c r="FO23" s="388">
        <v>93.1</v>
      </c>
      <c r="FP23" s="388">
        <v>40.799999999999997</v>
      </c>
      <c r="FQ23" s="388">
        <v>8.6999999999999993</v>
      </c>
      <c r="FR23" s="388">
        <v>13.8</v>
      </c>
      <c r="FS23" s="388">
        <v>11.8</v>
      </c>
      <c r="FT23" s="388">
        <v>11.9</v>
      </c>
      <c r="FU23" s="388">
        <v>5.2</v>
      </c>
      <c r="FV23" s="388">
        <v>9.6999999999999993</v>
      </c>
      <c r="FW23" s="272">
        <v>39062148</v>
      </c>
      <c r="FX23" s="384">
        <f t="shared" si="16"/>
        <v>141.4</v>
      </c>
      <c r="FY23" s="272">
        <v>13584788</v>
      </c>
      <c r="FZ23" s="272">
        <v>532580</v>
      </c>
      <c r="GA23" s="272">
        <v>1200310</v>
      </c>
      <c r="GB23" s="272">
        <v>11851898</v>
      </c>
      <c r="GC23" s="272"/>
      <c r="GD23" s="272">
        <v>6353127</v>
      </c>
      <c r="GE23" s="384">
        <f t="shared" si="17"/>
        <v>23</v>
      </c>
      <c r="GF23" s="388">
        <v>97.6</v>
      </c>
      <c r="GG23" s="388">
        <v>29.6</v>
      </c>
      <c r="GH23" s="388">
        <v>93.8</v>
      </c>
      <c r="GI23" s="272">
        <v>1278</v>
      </c>
    </row>
    <row r="24" spans="2:191" x14ac:dyDescent="0.15">
      <c r="B24" s="89" t="s">
        <v>41</v>
      </c>
      <c r="C24" s="272">
        <v>25383758</v>
      </c>
      <c r="D24" s="455">
        <f t="shared" si="0"/>
        <v>12659916</v>
      </c>
      <c r="E24" s="272">
        <v>116916</v>
      </c>
      <c r="F24" s="272">
        <v>12543000</v>
      </c>
      <c r="G24" s="455">
        <f t="shared" si="1"/>
        <v>1218012</v>
      </c>
      <c r="H24" s="272">
        <v>276103</v>
      </c>
      <c r="I24" s="272">
        <v>941909</v>
      </c>
      <c r="J24" s="272">
        <v>8272558</v>
      </c>
      <c r="K24" s="272">
        <v>4336081</v>
      </c>
      <c r="L24" s="272">
        <v>3321152</v>
      </c>
      <c r="M24" s="272">
        <v>579427</v>
      </c>
      <c r="N24" s="272">
        <v>552662</v>
      </c>
      <c r="O24" s="272">
        <v>2363027</v>
      </c>
      <c r="P24" s="272">
        <v>1663485</v>
      </c>
      <c r="Q24" s="272">
        <v>699542</v>
      </c>
      <c r="R24" s="272">
        <v>456821</v>
      </c>
      <c r="S24" s="272">
        <v>189638</v>
      </c>
      <c r="T24" s="455">
        <f t="shared" si="2"/>
        <v>1068482</v>
      </c>
      <c r="U24" s="272">
        <v>424853</v>
      </c>
      <c r="V24" s="272"/>
      <c r="W24" s="272"/>
      <c r="X24" s="272">
        <v>254769</v>
      </c>
      <c r="Y24" s="272">
        <v>5639</v>
      </c>
      <c r="Z24" s="272">
        <v>18254</v>
      </c>
      <c r="AA24" s="272">
        <v>364967</v>
      </c>
      <c r="AB24" s="272"/>
      <c r="AC24" s="272">
        <v>110056</v>
      </c>
      <c r="AD24" s="272">
        <v>0</v>
      </c>
      <c r="AE24" s="272">
        <v>110056</v>
      </c>
      <c r="AF24" s="272">
        <v>31270</v>
      </c>
      <c r="AG24" s="272">
        <v>230567</v>
      </c>
      <c r="AH24" s="455">
        <f t="shared" si="3"/>
        <v>668774</v>
      </c>
      <c r="AI24" s="272">
        <v>540072</v>
      </c>
      <c r="AJ24" s="272">
        <v>128702</v>
      </c>
      <c r="AK24" s="272">
        <v>1975600</v>
      </c>
      <c r="AL24" s="455">
        <f t="shared" si="4"/>
        <v>1020759</v>
      </c>
      <c r="AM24" s="272">
        <v>505311</v>
      </c>
      <c r="AN24" s="272">
        <v>278483</v>
      </c>
      <c r="AO24" s="272">
        <v>0</v>
      </c>
      <c r="AP24" s="272">
        <v>236965</v>
      </c>
      <c r="AQ24" s="272">
        <v>264667</v>
      </c>
      <c r="AR24" s="272">
        <v>13356</v>
      </c>
      <c r="AS24" s="272">
        <v>0</v>
      </c>
      <c r="AT24" s="272">
        <v>1835829</v>
      </c>
      <c r="AU24" s="272">
        <v>646924</v>
      </c>
      <c r="AV24" s="272">
        <v>98648</v>
      </c>
      <c r="AW24" s="272">
        <v>0</v>
      </c>
      <c r="AX24" s="272">
        <v>1188905</v>
      </c>
      <c r="AY24" s="272">
        <v>70594</v>
      </c>
      <c r="AZ24" s="272">
        <v>286146</v>
      </c>
      <c r="BA24" s="272">
        <v>35289</v>
      </c>
      <c r="BB24" s="272">
        <v>407018</v>
      </c>
      <c r="BC24" s="272">
        <v>3936741</v>
      </c>
      <c r="BD24" s="272">
        <v>1269051</v>
      </c>
      <c r="BE24" s="272">
        <v>732977</v>
      </c>
      <c r="BF24" s="272">
        <v>1843113</v>
      </c>
      <c r="BG24" s="272">
        <v>0</v>
      </c>
      <c r="BH24" s="272">
        <v>2823430</v>
      </c>
      <c r="BI24" s="272">
        <v>446342</v>
      </c>
      <c r="BJ24" s="272">
        <v>9024356</v>
      </c>
      <c r="BK24" s="272">
        <v>6195892</v>
      </c>
      <c r="BL24" s="272">
        <v>8909</v>
      </c>
      <c r="BM24" s="272">
        <v>2500000</v>
      </c>
      <c r="BN24" s="272">
        <v>261400</v>
      </c>
      <c r="BO24" s="455">
        <f t="shared" si="5"/>
        <v>261400</v>
      </c>
      <c r="BP24" s="455">
        <f t="shared" si="6"/>
        <v>0</v>
      </c>
      <c r="BQ24" s="272"/>
      <c r="BR24" s="272">
        <v>0</v>
      </c>
      <c r="BS24" s="272"/>
      <c r="BT24" s="272">
        <v>0</v>
      </c>
      <c r="BU24" s="272">
        <v>48500248</v>
      </c>
      <c r="BV24" s="272"/>
      <c r="BW24" s="272">
        <v>13500481</v>
      </c>
      <c r="BX24" s="272">
        <v>8808690</v>
      </c>
      <c r="BY24" s="272">
        <v>2103316</v>
      </c>
      <c r="BZ24" s="272">
        <v>627723</v>
      </c>
      <c r="CA24" s="272">
        <v>2521706</v>
      </c>
      <c r="CB24" s="272">
        <v>331701</v>
      </c>
      <c r="CC24" s="272">
        <v>943527</v>
      </c>
      <c r="CD24" s="272">
        <v>540292</v>
      </c>
      <c r="CE24" s="272">
        <v>672957</v>
      </c>
      <c r="CF24" s="272">
        <v>0</v>
      </c>
      <c r="CG24" s="272">
        <v>28939</v>
      </c>
      <c r="CH24" s="272">
        <v>2974838</v>
      </c>
      <c r="CI24" s="272">
        <v>1609315</v>
      </c>
      <c r="CJ24" s="455">
        <f t="shared" si="7"/>
        <v>1365523</v>
      </c>
      <c r="CK24" s="272">
        <v>6881760</v>
      </c>
      <c r="CL24" s="272">
        <v>4389797</v>
      </c>
      <c r="CM24" s="272">
        <v>148041</v>
      </c>
      <c r="CN24" s="272">
        <v>1441015</v>
      </c>
      <c r="CO24" s="272">
        <v>243644</v>
      </c>
      <c r="CP24" s="272">
        <v>3694461</v>
      </c>
      <c r="CQ24" s="272">
        <v>87877</v>
      </c>
      <c r="CR24" s="272">
        <v>1231810</v>
      </c>
      <c r="CS24" s="272">
        <v>968667</v>
      </c>
      <c r="CT24" s="455">
        <f t="shared" si="8"/>
        <v>1755655</v>
      </c>
      <c r="CU24" s="272">
        <v>1069139</v>
      </c>
      <c r="CV24" s="272">
        <v>686516</v>
      </c>
      <c r="CW24" s="455">
        <f t="shared" si="9"/>
        <v>1474553</v>
      </c>
      <c r="CX24" s="272">
        <v>1057996</v>
      </c>
      <c r="CY24" s="272">
        <v>416557</v>
      </c>
      <c r="CZ24" s="455">
        <f t="shared" si="10"/>
        <v>0</v>
      </c>
      <c r="DA24" s="272">
        <v>0</v>
      </c>
      <c r="DB24" s="272">
        <v>0</v>
      </c>
      <c r="DC24" s="272">
        <v>5544061</v>
      </c>
      <c r="DD24" s="272">
        <v>718634</v>
      </c>
      <c r="DE24" s="272">
        <v>4540026</v>
      </c>
      <c r="DF24" s="272">
        <v>46786</v>
      </c>
      <c r="DG24" s="272">
        <v>7860</v>
      </c>
      <c r="DH24" s="272">
        <v>251533</v>
      </c>
      <c r="DI24" s="272">
        <v>1216602</v>
      </c>
      <c r="DJ24" s="272">
        <v>414857</v>
      </c>
      <c r="DK24" s="272">
        <v>23699</v>
      </c>
      <c r="DL24" s="272">
        <v>778046</v>
      </c>
      <c r="DM24" s="272">
        <v>346517</v>
      </c>
      <c r="DN24" s="272">
        <v>346517</v>
      </c>
      <c r="DO24" s="272">
        <v>238</v>
      </c>
      <c r="DP24" s="272">
        <v>346279</v>
      </c>
      <c r="DQ24" s="272">
        <v>6044755</v>
      </c>
      <c r="DR24" s="272">
        <v>23107</v>
      </c>
      <c r="DS24" s="272">
        <v>0</v>
      </c>
      <c r="DT24" s="272">
        <v>3358524</v>
      </c>
      <c r="DU24" s="272">
        <v>1485000</v>
      </c>
      <c r="DV24" s="455">
        <f t="shared" si="11"/>
        <v>0</v>
      </c>
      <c r="DW24" s="272">
        <v>0</v>
      </c>
      <c r="DX24" s="272">
        <v>0</v>
      </c>
      <c r="DY24" s="272">
        <v>0</v>
      </c>
      <c r="DZ24" s="272">
        <v>1009015</v>
      </c>
      <c r="EA24" s="272">
        <v>464372</v>
      </c>
      <c r="EB24" s="272"/>
      <c r="EC24" s="272">
        <v>0</v>
      </c>
      <c r="ED24" s="272">
        <v>46578882</v>
      </c>
      <c r="EF24" s="272">
        <v>1921366</v>
      </c>
      <c r="EG24" s="272">
        <v>642134</v>
      </c>
      <c r="EH24" s="272">
        <v>1279232</v>
      </c>
      <c r="EI24" s="272">
        <v>382890</v>
      </c>
      <c r="EJ24" s="272">
        <v>-471304</v>
      </c>
      <c r="EL24" s="272"/>
      <c r="EM24" s="272">
        <v>122448</v>
      </c>
      <c r="EN24" s="272">
        <v>2093628</v>
      </c>
      <c r="EO24" s="272">
        <v>63907</v>
      </c>
      <c r="EP24" s="455">
        <f t="shared" si="12"/>
        <v>4435075</v>
      </c>
      <c r="EQ24" s="272">
        <v>27050387</v>
      </c>
      <c r="ER24" s="272">
        <v>-6561340</v>
      </c>
      <c r="ES24" s="272">
        <v>12849935</v>
      </c>
      <c r="ET24" s="272">
        <v>8259127</v>
      </c>
      <c r="EU24" s="272">
        <v>757960</v>
      </c>
      <c r="EV24" s="272">
        <v>2837231</v>
      </c>
      <c r="EW24" s="455">
        <f t="shared" si="13"/>
        <v>2301184</v>
      </c>
      <c r="EX24" s="272">
        <v>2081228</v>
      </c>
      <c r="EY24" s="272">
        <v>88799</v>
      </c>
      <c r="EZ24" s="272">
        <v>1761658</v>
      </c>
      <c r="FA24" s="272">
        <v>219956</v>
      </c>
      <c r="FB24" s="272"/>
      <c r="FC24" s="272">
        <v>5394764</v>
      </c>
      <c r="FD24" s="272">
        <v>3430558</v>
      </c>
      <c r="FE24" s="272">
        <v>87877</v>
      </c>
      <c r="FF24" s="272">
        <v>2922039</v>
      </c>
      <c r="FG24" s="455">
        <f t="shared" si="14"/>
        <v>1196690</v>
      </c>
      <c r="FH24" s="272">
        <v>31690361</v>
      </c>
      <c r="FI24" s="384">
        <f t="shared" si="15"/>
        <v>5</v>
      </c>
      <c r="FJ24" s="272">
        <v>25451876</v>
      </c>
      <c r="FK24" s="272"/>
      <c r="FL24" s="272">
        <v>19165671</v>
      </c>
      <c r="FM24" s="272">
        <v>18000511</v>
      </c>
      <c r="FN24" s="460">
        <v>1.0920000000000001</v>
      </c>
      <c r="FO24" s="388">
        <v>92.5</v>
      </c>
      <c r="FP24" s="388">
        <v>45</v>
      </c>
      <c r="FQ24" s="388">
        <v>3.1</v>
      </c>
      <c r="FR24" s="388">
        <v>11.5</v>
      </c>
      <c r="FS24" s="388">
        <v>18.2</v>
      </c>
      <c r="FT24" s="388">
        <v>9.8000000000000007</v>
      </c>
      <c r="FU24" s="388">
        <v>4.0999999999999996</v>
      </c>
      <c r="FV24" s="388">
        <v>6.8</v>
      </c>
      <c r="FW24" s="272">
        <v>29046957</v>
      </c>
      <c r="FX24" s="384">
        <f t="shared" si="16"/>
        <v>114.1</v>
      </c>
      <c r="FY24" s="272">
        <v>29393510</v>
      </c>
      <c r="FZ24" s="272">
        <v>7197714</v>
      </c>
      <c r="GA24" s="272">
        <v>3250558</v>
      </c>
      <c r="GB24" s="272">
        <v>18945238</v>
      </c>
      <c r="GC24" s="272"/>
      <c r="GD24" s="272">
        <v>19361296</v>
      </c>
      <c r="GE24" s="384">
        <f t="shared" si="17"/>
        <v>76.099999999999994</v>
      </c>
      <c r="GF24" s="388">
        <v>98.1</v>
      </c>
      <c r="GG24" s="388">
        <v>12.2</v>
      </c>
      <c r="GH24" s="388">
        <v>91.5</v>
      </c>
      <c r="GI24" s="272">
        <v>1223</v>
      </c>
    </row>
    <row r="25" spans="2:191" x14ac:dyDescent="0.15">
      <c r="B25" s="89" t="s">
        <v>43</v>
      </c>
      <c r="C25" s="272">
        <v>10866156</v>
      </c>
      <c r="D25" s="455">
        <f t="shared" si="0"/>
        <v>4342707</v>
      </c>
      <c r="E25" s="272">
        <v>70941</v>
      </c>
      <c r="F25" s="272">
        <v>4271766</v>
      </c>
      <c r="G25" s="455">
        <f t="shared" si="1"/>
        <v>1004941</v>
      </c>
      <c r="H25" s="272">
        <v>121166</v>
      </c>
      <c r="I25" s="272">
        <v>883775</v>
      </c>
      <c r="J25" s="272">
        <v>4144336</v>
      </c>
      <c r="K25" s="272">
        <v>1967991</v>
      </c>
      <c r="L25" s="272">
        <v>1344121</v>
      </c>
      <c r="M25" s="272">
        <v>802417</v>
      </c>
      <c r="N25" s="272">
        <v>370041</v>
      </c>
      <c r="O25" s="272">
        <v>951074</v>
      </c>
      <c r="P25" s="272">
        <v>640805</v>
      </c>
      <c r="Q25" s="272">
        <v>310269</v>
      </c>
      <c r="R25" s="272">
        <v>275109</v>
      </c>
      <c r="S25" s="272">
        <v>122862</v>
      </c>
      <c r="T25" s="455">
        <f t="shared" si="2"/>
        <v>526808</v>
      </c>
      <c r="U25" s="272">
        <v>151556</v>
      </c>
      <c r="V25" s="272"/>
      <c r="W25" s="272"/>
      <c r="X25" s="272">
        <v>164542</v>
      </c>
      <c r="Y25" s="272">
        <v>0</v>
      </c>
      <c r="Z25" s="272">
        <v>2631</v>
      </c>
      <c r="AA25" s="272">
        <v>208079</v>
      </c>
      <c r="AB25" s="272"/>
      <c r="AC25" s="272">
        <v>4046440</v>
      </c>
      <c r="AD25" s="272">
        <v>3692695</v>
      </c>
      <c r="AE25" s="272">
        <v>353745</v>
      </c>
      <c r="AF25" s="272">
        <v>16104</v>
      </c>
      <c r="AG25" s="272">
        <v>236752</v>
      </c>
      <c r="AH25" s="455">
        <f t="shared" si="3"/>
        <v>388301</v>
      </c>
      <c r="AI25" s="272">
        <v>315445</v>
      </c>
      <c r="AJ25" s="272">
        <v>72856</v>
      </c>
      <c r="AK25" s="272">
        <v>1747134</v>
      </c>
      <c r="AL25" s="455">
        <f t="shared" si="4"/>
        <v>1146040</v>
      </c>
      <c r="AM25" s="272">
        <v>690652</v>
      </c>
      <c r="AN25" s="272">
        <v>301832</v>
      </c>
      <c r="AO25" s="272">
        <v>0</v>
      </c>
      <c r="AP25" s="272">
        <v>153556</v>
      </c>
      <c r="AQ25" s="272">
        <v>148175</v>
      </c>
      <c r="AR25" s="272">
        <v>0</v>
      </c>
      <c r="AS25" s="272">
        <v>0</v>
      </c>
      <c r="AT25" s="272">
        <v>1249497</v>
      </c>
      <c r="AU25" s="272">
        <v>425286</v>
      </c>
      <c r="AV25" s="272">
        <v>107282</v>
      </c>
      <c r="AW25" s="272">
        <v>0</v>
      </c>
      <c r="AX25" s="272">
        <v>824211</v>
      </c>
      <c r="AY25" s="272">
        <v>169678</v>
      </c>
      <c r="AZ25" s="272">
        <v>116147</v>
      </c>
      <c r="BA25" s="272">
        <v>35038</v>
      </c>
      <c r="BB25" s="272">
        <v>179820</v>
      </c>
      <c r="BC25" s="272">
        <v>564800</v>
      </c>
      <c r="BD25" s="272">
        <v>0</v>
      </c>
      <c r="BE25" s="272">
        <v>0</v>
      </c>
      <c r="BF25" s="272">
        <v>564800</v>
      </c>
      <c r="BG25" s="272">
        <v>0</v>
      </c>
      <c r="BH25" s="272">
        <v>68154</v>
      </c>
      <c r="BI25" s="272">
        <v>16292</v>
      </c>
      <c r="BJ25" s="272">
        <v>1690293</v>
      </c>
      <c r="BK25" s="272">
        <v>1500147</v>
      </c>
      <c r="BL25" s="272">
        <v>594</v>
      </c>
      <c r="BM25" s="272">
        <v>0</v>
      </c>
      <c r="BN25" s="272">
        <v>6125400</v>
      </c>
      <c r="BO25" s="455">
        <f t="shared" si="5"/>
        <v>5662400</v>
      </c>
      <c r="BP25" s="455">
        <f t="shared" si="6"/>
        <v>463000</v>
      </c>
      <c r="BQ25" s="272"/>
      <c r="BR25" s="272">
        <v>463000</v>
      </c>
      <c r="BS25" s="272"/>
      <c r="BT25" s="272">
        <v>0</v>
      </c>
      <c r="BU25" s="272">
        <v>28096915</v>
      </c>
      <c r="BV25" s="272"/>
      <c r="BW25" s="272">
        <v>5085705</v>
      </c>
      <c r="BX25" s="272">
        <v>3630727</v>
      </c>
      <c r="BY25" s="272">
        <v>400937</v>
      </c>
      <c r="BZ25" s="272">
        <v>109974</v>
      </c>
      <c r="CA25" s="272">
        <v>2688872</v>
      </c>
      <c r="CB25" s="272">
        <v>293847</v>
      </c>
      <c r="CC25" s="272">
        <v>748600</v>
      </c>
      <c r="CD25" s="272">
        <v>691409</v>
      </c>
      <c r="CE25" s="272">
        <v>869296</v>
      </c>
      <c r="CF25" s="272">
        <v>0</v>
      </c>
      <c r="CG25" s="272">
        <v>85630</v>
      </c>
      <c r="CH25" s="272">
        <v>1709089</v>
      </c>
      <c r="CI25" s="272">
        <v>1005822</v>
      </c>
      <c r="CJ25" s="455">
        <f t="shared" si="7"/>
        <v>703267</v>
      </c>
      <c r="CK25" s="272">
        <v>2364835</v>
      </c>
      <c r="CL25" s="272">
        <v>1263601</v>
      </c>
      <c r="CM25" s="272">
        <v>121826</v>
      </c>
      <c r="CN25" s="272">
        <v>460069</v>
      </c>
      <c r="CO25" s="272">
        <v>199677</v>
      </c>
      <c r="CP25" s="272">
        <v>3728743</v>
      </c>
      <c r="CQ25" s="272">
        <v>2184282</v>
      </c>
      <c r="CR25" s="272">
        <v>574326</v>
      </c>
      <c r="CS25" s="272">
        <v>574326</v>
      </c>
      <c r="CT25" s="455">
        <f t="shared" si="8"/>
        <v>232050</v>
      </c>
      <c r="CU25" s="272">
        <v>1568</v>
      </c>
      <c r="CV25" s="272">
        <v>230482</v>
      </c>
      <c r="CW25" s="455">
        <f t="shared" si="9"/>
        <v>230482</v>
      </c>
      <c r="CX25" s="272">
        <v>0</v>
      </c>
      <c r="CY25" s="272">
        <v>230482</v>
      </c>
      <c r="CZ25" s="455">
        <f t="shared" si="10"/>
        <v>0</v>
      </c>
      <c r="DA25" s="272">
        <v>0</v>
      </c>
      <c r="DB25" s="272">
        <v>0</v>
      </c>
      <c r="DC25" s="272">
        <v>8054290</v>
      </c>
      <c r="DD25" s="272">
        <v>321672</v>
      </c>
      <c r="DE25" s="272">
        <v>7699572</v>
      </c>
      <c r="DF25" s="272">
        <v>33046</v>
      </c>
      <c r="DG25" s="272">
        <v>0</v>
      </c>
      <c r="DH25" s="272">
        <v>0</v>
      </c>
      <c r="DI25" s="272">
        <v>218165</v>
      </c>
      <c r="DJ25" s="272">
        <v>24094</v>
      </c>
      <c r="DK25" s="272">
        <v>4510</v>
      </c>
      <c r="DL25" s="272">
        <v>189561</v>
      </c>
      <c r="DM25" s="272">
        <v>0</v>
      </c>
      <c r="DN25" s="272">
        <v>0</v>
      </c>
      <c r="DO25" s="272">
        <v>0</v>
      </c>
      <c r="DP25" s="272">
        <v>0</v>
      </c>
      <c r="DQ25" s="272">
        <v>1474350</v>
      </c>
      <c r="DR25" s="272">
        <v>0</v>
      </c>
      <c r="DS25" s="272">
        <v>0</v>
      </c>
      <c r="DT25" s="272">
        <v>2215026</v>
      </c>
      <c r="DU25" s="272">
        <v>1370000</v>
      </c>
      <c r="DV25" s="455">
        <f t="shared" si="11"/>
        <v>0</v>
      </c>
      <c r="DW25" s="272">
        <v>0</v>
      </c>
      <c r="DX25" s="272">
        <v>0</v>
      </c>
      <c r="DY25" s="272">
        <v>0</v>
      </c>
      <c r="DZ25" s="272">
        <v>529576</v>
      </c>
      <c r="EA25" s="272">
        <v>310401</v>
      </c>
      <c r="EB25" s="272"/>
      <c r="EC25" s="272">
        <v>0</v>
      </c>
      <c r="ED25" s="272">
        <v>27738752</v>
      </c>
      <c r="EF25" s="272">
        <v>358163</v>
      </c>
      <c r="EG25" s="272">
        <v>341954</v>
      </c>
      <c r="EH25" s="272">
        <v>16209</v>
      </c>
      <c r="EI25" s="272">
        <v>-20083</v>
      </c>
      <c r="EJ25" s="272">
        <v>4011</v>
      </c>
      <c r="EL25" s="272"/>
      <c r="EM25" s="272">
        <v>78482</v>
      </c>
      <c r="EN25" s="272">
        <v>0</v>
      </c>
      <c r="EO25" s="272">
        <v>42231</v>
      </c>
      <c r="EP25" s="455">
        <f t="shared" si="12"/>
        <v>440441</v>
      </c>
      <c r="EQ25" s="272">
        <v>15730617</v>
      </c>
      <c r="ER25" s="272">
        <v>-929568</v>
      </c>
      <c r="ES25" s="272">
        <v>4691618</v>
      </c>
      <c r="ET25" s="272">
        <v>3236640</v>
      </c>
      <c r="EU25" s="272">
        <v>771968</v>
      </c>
      <c r="EV25" s="272">
        <v>1676869</v>
      </c>
      <c r="EW25" s="455">
        <f t="shared" si="13"/>
        <v>1452824</v>
      </c>
      <c r="EX25" s="272">
        <v>1452824</v>
      </c>
      <c r="EY25" s="272">
        <v>23122</v>
      </c>
      <c r="EZ25" s="272">
        <v>1396656</v>
      </c>
      <c r="FA25" s="272">
        <v>0</v>
      </c>
      <c r="FB25" s="272"/>
      <c r="FC25" s="272">
        <v>1979041</v>
      </c>
      <c r="FD25" s="272">
        <v>3265443</v>
      </c>
      <c r="FE25" s="272">
        <v>2184282</v>
      </c>
      <c r="FF25" s="272">
        <v>2121982</v>
      </c>
      <c r="FG25" s="455">
        <f t="shared" si="14"/>
        <v>342277</v>
      </c>
      <c r="FH25" s="272">
        <v>16302022</v>
      </c>
      <c r="FI25" s="384">
        <f t="shared" si="15"/>
        <v>0.1</v>
      </c>
      <c r="FJ25" s="272">
        <v>14809857</v>
      </c>
      <c r="FK25" s="272"/>
      <c r="FL25" s="272">
        <v>8381111</v>
      </c>
      <c r="FM25" s="272">
        <v>12084659</v>
      </c>
      <c r="FN25" s="460">
        <v>0.71</v>
      </c>
      <c r="FO25" s="388">
        <v>90.2</v>
      </c>
      <c r="FP25" s="388">
        <v>30.7</v>
      </c>
      <c r="FQ25" s="388">
        <v>5.3</v>
      </c>
      <c r="FR25" s="388">
        <v>11.6</v>
      </c>
      <c r="FS25" s="388">
        <v>13</v>
      </c>
      <c r="FT25" s="388">
        <v>20.8</v>
      </c>
      <c r="FU25" s="388">
        <v>7.4</v>
      </c>
      <c r="FV25" s="388">
        <v>6.8</v>
      </c>
      <c r="FW25" s="272">
        <v>19651731</v>
      </c>
      <c r="FX25" s="384">
        <f t="shared" si="16"/>
        <v>132.69999999999999</v>
      </c>
      <c r="FY25" s="272">
        <v>8040813</v>
      </c>
      <c r="FZ25" s="272">
        <v>2536100</v>
      </c>
      <c r="GA25" s="272">
        <v>627618</v>
      </c>
      <c r="GB25" s="272">
        <v>4877095</v>
      </c>
      <c r="GC25" s="272"/>
      <c r="GD25" s="272">
        <v>3340427</v>
      </c>
      <c r="GE25" s="384">
        <f t="shared" si="17"/>
        <v>22.6</v>
      </c>
      <c r="GF25" s="388">
        <v>96.4</v>
      </c>
      <c r="GG25" s="388">
        <v>22.8</v>
      </c>
      <c r="GH25" s="388">
        <v>90.7</v>
      </c>
      <c r="GI25" s="272">
        <v>488</v>
      </c>
    </row>
    <row r="26" spans="2:191" x14ac:dyDescent="0.15">
      <c r="B26" s="89" t="s">
        <v>45</v>
      </c>
      <c r="C26" s="272">
        <v>14873863</v>
      </c>
      <c r="D26" s="455">
        <f t="shared" si="0"/>
        <v>7209814</v>
      </c>
      <c r="E26" s="272">
        <v>110092</v>
      </c>
      <c r="F26" s="272">
        <v>7099722</v>
      </c>
      <c r="G26" s="455">
        <f t="shared" si="1"/>
        <v>894788</v>
      </c>
      <c r="H26" s="272">
        <v>162640</v>
      </c>
      <c r="I26" s="272">
        <v>732148</v>
      </c>
      <c r="J26" s="272">
        <v>4882723</v>
      </c>
      <c r="K26" s="272">
        <v>2518290</v>
      </c>
      <c r="L26" s="272">
        <v>1840639</v>
      </c>
      <c r="M26" s="272">
        <v>502634</v>
      </c>
      <c r="N26" s="272">
        <v>536730</v>
      </c>
      <c r="O26" s="272">
        <v>1252604</v>
      </c>
      <c r="P26" s="272">
        <v>859500</v>
      </c>
      <c r="Q26" s="272">
        <v>393104</v>
      </c>
      <c r="R26" s="272">
        <v>378808</v>
      </c>
      <c r="S26" s="272">
        <v>165307</v>
      </c>
      <c r="T26" s="455">
        <f t="shared" si="2"/>
        <v>765919</v>
      </c>
      <c r="U26" s="272">
        <v>250184</v>
      </c>
      <c r="V26" s="272"/>
      <c r="W26" s="272"/>
      <c r="X26" s="272">
        <v>223538</v>
      </c>
      <c r="Y26" s="272">
        <v>0</v>
      </c>
      <c r="Z26" s="272">
        <v>438</v>
      </c>
      <c r="AA26" s="272">
        <v>291759</v>
      </c>
      <c r="AB26" s="272"/>
      <c r="AC26" s="272">
        <v>5506017</v>
      </c>
      <c r="AD26" s="272">
        <v>5167347</v>
      </c>
      <c r="AE26" s="272">
        <v>338670</v>
      </c>
      <c r="AF26" s="272">
        <v>26108</v>
      </c>
      <c r="AG26" s="272">
        <v>482743</v>
      </c>
      <c r="AH26" s="455">
        <f t="shared" si="3"/>
        <v>413304</v>
      </c>
      <c r="AI26" s="272">
        <v>376957</v>
      </c>
      <c r="AJ26" s="272">
        <v>36347</v>
      </c>
      <c r="AK26" s="272">
        <v>4233326</v>
      </c>
      <c r="AL26" s="455">
        <f t="shared" si="4"/>
        <v>1806142</v>
      </c>
      <c r="AM26" s="272">
        <v>1319025</v>
      </c>
      <c r="AN26" s="272">
        <v>311503</v>
      </c>
      <c r="AO26" s="272">
        <v>0</v>
      </c>
      <c r="AP26" s="272">
        <v>175614</v>
      </c>
      <c r="AQ26" s="272">
        <v>952331</v>
      </c>
      <c r="AR26" s="272">
        <v>0</v>
      </c>
      <c r="AS26" s="272">
        <v>0</v>
      </c>
      <c r="AT26" s="272">
        <v>2952477</v>
      </c>
      <c r="AU26" s="272">
        <v>1232909</v>
      </c>
      <c r="AV26" s="272">
        <v>162374</v>
      </c>
      <c r="AW26" s="272">
        <v>39012</v>
      </c>
      <c r="AX26" s="272">
        <v>1719568</v>
      </c>
      <c r="AY26" s="272">
        <v>782587</v>
      </c>
      <c r="AZ26" s="272">
        <v>863118</v>
      </c>
      <c r="BA26" s="272">
        <v>820018</v>
      </c>
      <c r="BB26" s="272">
        <v>334134</v>
      </c>
      <c r="BC26" s="272">
        <v>1299555</v>
      </c>
      <c r="BD26" s="272">
        <v>700000</v>
      </c>
      <c r="BE26" s="272">
        <v>172000</v>
      </c>
      <c r="BF26" s="272">
        <v>424990</v>
      </c>
      <c r="BG26" s="272">
        <v>0</v>
      </c>
      <c r="BH26" s="272">
        <v>118086</v>
      </c>
      <c r="BI26" s="272">
        <v>55891</v>
      </c>
      <c r="BJ26" s="272">
        <v>696614</v>
      </c>
      <c r="BK26" s="272">
        <v>0</v>
      </c>
      <c r="BL26" s="272">
        <v>0</v>
      </c>
      <c r="BM26" s="272">
        <v>0</v>
      </c>
      <c r="BN26" s="272">
        <v>7986400</v>
      </c>
      <c r="BO26" s="455">
        <f t="shared" si="5"/>
        <v>7355100</v>
      </c>
      <c r="BP26" s="455">
        <f t="shared" si="6"/>
        <v>631300</v>
      </c>
      <c r="BQ26" s="272"/>
      <c r="BR26" s="272">
        <v>631300</v>
      </c>
      <c r="BS26" s="272"/>
      <c r="BT26" s="272">
        <v>0</v>
      </c>
      <c r="BU26" s="272">
        <v>40930472</v>
      </c>
      <c r="BV26" s="272"/>
      <c r="BW26" s="272">
        <v>7509235</v>
      </c>
      <c r="BX26" s="272">
        <v>5709985</v>
      </c>
      <c r="BY26" s="272">
        <v>410313</v>
      </c>
      <c r="BZ26" s="272">
        <v>85563</v>
      </c>
      <c r="CA26" s="272">
        <v>5134775</v>
      </c>
      <c r="CB26" s="272">
        <v>771551</v>
      </c>
      <c r="CC26" s="272">
        <v>1411879</v>
      </c>
      <c r="CD26" s="272">
        <v>1152550</v>
      </c>
      <c r="CE26" s="272">
        <v>1733008</v>
      </c>
      <c r="CF26" s="272">
        <v>0</v>
      </c>
      <c r="CG26" s="272">
        <v>65457</v>
      </c>
      <c r="CH26" s="272">
        <v>2247620</v>
      </c>
      <c r="CI26" s="272">
        <v>1148383</v>
      </c>
      <c r="CJ26" s="455">
        <f t="shared" si="7"/>
        <v>1099237</v>
      </c>
      <c r="CK26" s="272">
        <v>4236136</v>
      </c>
      <c r="CL26" s="272">
        <v>2289750</v>
      </c>
      <c r="CM26" s="272">
        <v>468157</v>
      </c>
      <c r="CN26" s="272">
        <v>759743</v>
      </c>
      <c r="CO26" s="272">
        <v>311785</v>
      </c>
      <c r="CP26" s="272">
        <v>4004709</v>
      </c>
      <c r="CQ26" s="272">
        <v>2441193</v>
      </c>
      <c r="CR26" s="272">
        <v>1108554</v>
      </c>
      <c r="CS26" s="272">
        <v>1051626</v>
      </c>
      <c r="CT26" s="455">
        <f t="shared" si="8"/>
        <v>69344</v>
      </c>
      <c r="CU26" s="272">
        <v>12164</v>
      </c>
      <c r="CV26" s="272">
        <v>57180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13999446</v>
      </c>
      <c r="DD26" s="272">
        <v>2432440</v>
      </c>
      <c r="DE26" s="272">
        <v>10143650</v>
      </c>
      <c r="DF26" s="272">
        <v>20985</v>
      </c>
      <c r="DG26" s="272">
        <v>1402371</v>
      </c>
      <c r="DH26" s="272">
        <v>0</v>
      </c>
      <c r="DI26" s="272">
        <v>326985</v>
      </c>
      <c r="DJ26" s="272">
        <v>43683</v>
      </c>
      <c r="DK26" s="272">
        <v>2332</v>
      </c>
      <c r="DL26" s="272">
        <v>280970</v>
      </c>
      <c r="DM26" s="272">
        <v>40300</v>
      </c>
      <c r="DN26" s="272">
        <v>40300</v>
      </c>
      <c r="DO26" s="272">
        <v>40300</v>
      </c>
      <c r="DP26" s="272">
        <v>0</v>
      </c>
      <c r="DQ26" s="272">
        <v>170470</v>
      </c>
      <c r="DR26" s="272">
        <v>0</v>
      </c>
      <c r="DS26" s="272">
        <v>0</v>
      </c>
      <c r="DT26" s="272">
        <v>2832613</v>
      </c>
      <c r="DU26" s="272">
        <v>1529684</v>
      </c>
      <c r="DV26" s="455">
        <f t="shared" si="11"/>
        <v>0</v>
      </c>
      <c r="DW26" s="272">
        <v>0</v>
      </c>
      <c r="DX26" s="272">
        <v>0</v>
      </c>
      <c r="DY26" s="272">
        <v>0</v>
      </c>
      <c r="DZ26" s="272">
        <v>765947</v>
      </c>
      <c r="EA26" s="272">
        <v>479664</v>
      </c>
      <c r="EB26" s="272"/>
      <c r="EC26" s="272">
        <v>0</v>
      </c>
      <c r="ED26" s="272">
        <v>40814074</v>
      </c>
      <c r="EF26" s="272">
        <v>116398</v>
      </c>
      <c r="EG26" s="272">
        <v>28449</v>
      </c>
      <c r="EH26" s="272">
        <v>87949</v>
      </c>
      <c r="EI26" s="272">
        <v>32058</v>
      </c>
      <c r="EJ26" s="272">
        <v>-624259</v>
      </c>
      <c r="EL26" s="272"/>
      <c r="EM26" s="272">
        <v>118889</v>
      </c>
      <c r="EN26" s="272">
        <v>874565</v>
      </c>
      <c r="EO26" s="272">
        <v>793889</v>
      </c>
      <c r="EP26" s="455">
        <f t="shared" si="12"/>
        <v>1086267</v>
      </c>
      <c r="EQ26" s="272">
        <v>21550715</v>
      </c>
      <c r="ER26" s="272">
        <v>-3359913</v>
      </c>
      <c r="ES26" s="272">
        <v>6977507</v>
      </c>
      <c r="ET26" s="272">
        <v>5222744</v>
      </c>
      <c r="EU26" s="272">
        <v>1681450</v>
      </c>
      <c r="EV26" s="272">
        <v>2089475</v>
      </c>
      <c r="EW26" s="455">
        <f t="shared" si="13"/>
        <v>3521937</v>
      </c>
      <c r="EX26" s="272">
        <v>3521937</v>
      </c>
      <c r="EY26" s="272">
        <v>107553</v>
      </c>
      <c r="EZ26" s="272">
        <v>3407299</v>
      </c>
      <c r="FA26" s="272">
        <v>0</v>
      </c>
      <c r="FB26" s="272"/>
      <c r="FC26" s="272">
        <v>3797677</v>
      </c>
      <c r="FD26" s="272">
        <v>3787686</v>
      </c>
      <c r="FE26" s="272">
        <v>2441193</v>
      </c>
      <c r="FF26" s="272">
        <v>2359623</v>
      </c>
      <c r="FG26" s="455">
        <f t="shared" si="14"/>
        <v>578875</v>
      </c>
      <c r="FH26" s="272">
        <v>24794230</v>
      </c>
      <c r="FI26" s="384">
        <f t="shared" si="15"/>
        <v>0.4</v>
      </c>
      <c r="FJ26" s="272">
        <v>20519550</v>
      </c>
      <c r="FK26" s="272"/>
      <c r="FL26" s="272">
        <v>11577679</v>
      </c>
      <c r="FM26" s="272">
        <v>16760078</v>
      </c>
      <c r="FN26" s="460">
        <v>0.70799999999999996</v>
      </c>
      <c r="FO26" s="388">
        <v>94.2</v>
      </c>
      <c r="FP26" s="388">
        <v>34.1</v>
      </c>
      <c r="FQ26" s="388">
        <v>8.4</v>
      </c>
      <c r="FR26" s="388">
        <v>10.4</v>
      </c>
      <c r="FS26" s="388">
        <v>16.3</v>
      </c>
      <c r="FT26" s="388">
        <v>17.100000000000001</v>
      </c>
      <c r="FU26" s="388">
        <v>6.5</v>
      </c>
      <c r="FV26" s="388">
        <v>6.7</v>
      </c>
      <c r="FW26" s="272">
        <v>31857694</v>
      </c>
      <c r="FX26" s="384">
        <f t="shared" si="16"/>
        <v>155.30000000000001</v>
      </c>
      <c r="FY26" s="272">
        <v>3037120</v>
      </c>
      <c r="FZ26" s="272">
        <v>529777</v>
      </c>
      <c r="GA26" s="272">
        <v>268632</v>
      </c>
      <c r="GB26" s="272">
        <v>2238711</v>
      </c>
      <c r="GC26" s="272"/>
      <c r="GD26" s="272">
        <v>21995062</v>
      </c>
      <c r="GE26" s="384">
        <f t="shared" si="17"/>
        <v>107.2</v>
      </c>
      <c r="GF26" s="388">
        <v>97.9</v>
      </c>
      <c r="GG26" s="388">
        <v>29.7</v>
      </c>
      <c r="GH26" s="388">
        <v>94.4</v>
      </c>
      <c r="GI26" s="272">
        <v>741</v>
      </c>
    </row>
    <row r="27" spans="2:191" x14ac:dyDescent="0.15">
      <c r="B27" s="89" t="s">
        <v>47</v>
      </c>
      <c r="C27" s="272">
        <v>26023802</v>
      </c>
      <c r="D27" s="455">
        <f t="shared" si="0"/>
        <v>7045807</v>
      </c>
      <c r="E27" s="272">
        <v>133960</v>
      </c>
      <c r="F27" s="272">
        <v>6911847</v>
      </c>
      <c r="G27" s="455">
        <f t="shared" si="1"/>
        <v>5267033</v>
      </c>
      <c r="H27" s="272">
        <v>417162</v>
      </c>
      <c r="I27" s="272">
        <v>4849871</v>
      </c>
      <c r="J27" s="272">
        <v>10295687</v>
      </c>
      <c r="K27" s="272">
        <v>5658149</v>
      </c>
      <c r="L27" s="272">
        <v>2993823</v>
      </c>
      <c r="M27" s="272">
        <v>1552769</v>
      </c>
      <c r="N27" s="272">
        <v>1057646</v>
      </c>
      <c r="O27" s="272">
        <v>2261078</v>
      </c>
      <c r="P27" s="272">
        <v>1583250</v>
      </c>
      <c r="Q27" s="272">
        <v>677828</v>
      </c>
      <c r="R27" s="272">
        <v>533887</v>
      </c>
      <c r="S27" s="272">
        <v>294690</v>
      </c>
      <c r="T27" s="455">
        <f t="shared" si="2"/>
        <v>980454</v>
      </c>
      <c r="U27" s="272">
        <v>260985</v>
      </c>
      <c r="V27" s="272"/>
      <c r="W27" s="272"/>
      <c r="X27" s="272">
        <v>383095</v>
      </c>
      <c r="Y27" s="272">
        <v>0</v>
      </c>
      <c r="Z27" s="272">
        <v>9753</v>
      </c>
      <c r="AA27" s="272">
        <v>326621</v>
      </c>
      <c r="AB27" s="272"/>
      <c r="AC27" s="272">
        <v>1250459</v>
      </c>
      <c r="AD27" s="272">
        <v>1080102</v>
      </c>
      <c r="AE27" s="272">
        <v>170357</v>
      </c>
      <c r="AF27" s="272">
        <v>29577</v>
      </c>
      <c r="AG27" s="272">
        <v>242408</v>
      </c>
      <c r="AH27" s="455">
        <f t="shared" si="3"/>
        <v>585506</v>
      </c>
      <c r="AI27" s="272">
        <v>421268</v>
      </c>
      <c r="AJ27" s="272">
        <v>164238</v>
      </c>
      <c r="AK27" s="272">
        <v>5209857</v>
      </c>
      <c r="AL27" s="455">
        <f t="shared" si="4"/>
        <v>3808673</v>
      </c>
      <c r="AM27" s="272">
        <v>3256214</v>
      </c>
      <c r="AN27" s="272">
        <v>326316</v>
      </c>
      <c r="AO27" s="272">
        <v>0</v>
      </c>
      <c r="AP27" s="272">
        <v>226143</v>
      </c>
      <c r="AQ27" s="272">
        <v>491188</v>
      </c>
      <c r="AR27" s="272">
        <v>0</v>
      </c>
      <c r="AS27" s="272">
        <v>0</v>
      </c>
      <c r="AT27" s="272">
        <v>1956028</v>
      </c>
      <c r="AU27" s="272">
        <v>767299</v>
      </c>
      <c r="AV27" s="272">
        <v>160448</v>
      </c>
      <c r="AW27" s="272">
        <v>1351</v>
      </c>
      <c r="AX27" s="272">
        <v>1188729</v>
      </c>
      <c r="AY27" s="272">
        <v>208402</v>
      </c>
      <c r="AZ27" s="272">
        <v>546452</v>
      </c>
      <c r="BA27" s="272">
        <v>438946</v>
      </c>
      <c r="BB27" s="272">
        <v>204693</v>
      </c>
      <c r="BC27" s="272">
        <v>517945</v>
      </c>
      <c r="BD27" s="272">
        <v>100000</v>
      </c>
      <c r="BE27" s="272">
        <v>0</v>
      </c>
      <c r="BF27" s="272">
        <v>417945</v>
      </c>
      <c r="BG27" s="272">
        <v>0</v>
      </c>
      <c r="BH27" s="272">
        <v>1044541</v>
      </c>
      <c r="BI27" s="272">
        <v>747048</v>
      </c>
      <c r="BJ27" s="272">
        <v>257404</v>
      </c>
      <c r="BK27" s="272">
        <v>97840</v>
      </c>
      <c r="BL27" s="272">
        <v>0</v>
      </c>
      <c r="BM27" s="272">
        <v>0</v>
      </c>
      <c r="BN27" s="272">
        <v>3188100</v>
      </c>
      <c r="BO27" s="455">
        <f t="shared" si="5"/>
        <v>2106200</v>
      </c>
      <c r="BP27" s="455">
        <f t="shared" si="6"/>
        <v>1081900</v>
      </c>
      <c r="BQ27" s="272"/>
      <c r="BR27" s="272">
        <v>1081900</v>
      </c>
      <c r="BS27" s="272"/>
      <c r="BT27" s="272">
        <v>0</v>
      </c>
      <c r="BU27" s="272">
        <v>42571113</v>
      </c>
      <c r="BV27" s="272"/>
      <c r="BW27" s="272">
        <v>13057526</v>
      </c>
      <c r="BX27" s="272">
        <v>10007086</v>
      </c>
      <c r="BY27" s="272">
        <v>733172</v>
      </c>
      <c r="BZ27" s="272">
        <v>180981</v>
      </c>
      <c r="CA27" s="272">
        <v>7461800</v>
      </c>
      <c r="CB27" s="272">
        <v>746660</v>
      </c>
      <c r="CC27" s="272">
        <v>1049639</v>
      </c>
      <c r="CD27" s="272">
        <v>1180229</v>
      </c>
      <c r="CE27" s="272">
        <v>4400989</v>
      </c>
      <c r="CF27" s="272">
        <v>119</v>
      </c>
      <c r="CG27" s="272">
        <v>82929</v>
      </c>
      <c r="CH27" s="272">
        <v>3387807</v>
      </c>
      <c r="CI27" s="272">
        <v>1974957</v>
      </c>
      <c r="CJ27" s="455">
        <f t="shared" si="7"/>
        <v>1412850</v>
      </c>
      <c r="CK27" s="272">
        <v>3941054</v>
      </c>
      <c r="CL27" s="272">
        <v>2201811</v>
      </c>
      <c r="CM27" s="272">
        <v>105723</v>
      </c>
      <c r="CN27" s="272">
        <v>1076164</v>
      </c>
      <c r="CO27" s="272">
        <v>539370</v>
      </c>
      <c r="CP27" s="272">
        <v>3533779</v>
      </c>
      <c r="CQ27" s="272">
        <v>2086219</v>
      </c>
      <c r="CR27" s="272">
        <v>713728</v>
      </c>
      <c r="CS27" s="272">
        <v>341519</v>
      </c>
      <c r="CT27" s="455">
        <f t="shared" si="8"/>
        <v>13538</v>
      </c>
      <c r="CU27" s="272">
        <v>13538</v>
      </c>
      <c r="CV27" s="272">
        <v>0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4834855</v>
      </c>
      <c r="DD27" s="272">
        <v>1062432</v>
      </c>
      <c r="DE27" s="272">
        <v>3727435</v>
      </c>
      <c r="DF27" s="272">
        <v>40000</v>
      </c>
      <c r="DG27" s="272">
        <v>0</v>
      </c>
      <c r="DH27" s="272">
        <v>0</v>
      </c>
      <c r="DI27" s="272">
        <v>1677227</v>
      </c>
      <c r="DJ27" s="272">
        <v>391341</v>
      </c>
      <c r="DK27" s="272">
        <v>10273</v>
      </c>
      <c r="DL27" s="272">
        <v>1275613</v>
      </c>
      <c r="DM27" s="272">
        <v>500</v>
      </c>
      <c r="DN27" s="272">
        <v>0</v>
      </c>
      <c r="DO27" s="272">
        <v>0</v>
      </c>
      <c r="DP27" s="272">
        <v>0</v>
      </c>
      <c r="DQ27" s="272">
        <v>96000</v>
      </c>
      <c r="DR27" s="272">
        <v>0</v>
      </c>
      <c r="DS27" s="272">
        <v>0</v>
      </c>
      <c r="DT27" s="272">
        <v>3426686</v>
      </c>
      <c r="DU27" s="272">
        <v>1833000</v>
      </c>
      <c r="DV27" s="455">
        <f t="shared" si="11"/>
        <v>0</v>
      </c>
      <c r="DW27" s="272">
        <v>0</v>
      </c>
      <c r="DX27" s="272">
        <v>0</v>
      </c>
      <c r="DY27" s="272">
        <v>0</v>
      </c>
      <c r="DZ27" s="272">
        <v>1199199</v>
      </c>
      <c r="EA27" s="272">
        <v>390518</v>
      </c>
      <c r="EB27" s="272"/>
      <c r="EC27" s="272">
        <v>0</v>
      </c>
      <c r="ED27" s="272">
        <v>41956604</v>
      </c>
      <c r="EF27" s="272">
        <v>614509</v>
      </c>
      <c r="EG27" s="272">
        <v>1304</v>
      </c>
      <c r="EH27" s="272">
        <v>613205</v>
      </c>
      <c r="EI27" s="272">
        <v>-133843</v>
      </c>
      <c r="EJ27" s="272">
        <v>157498</v>
      </c>
      <c r="EL27" s="272"/>
      <c r="EM27" s="272">
        <v>137190</v>
      </c>
      <c r="EN27" s="272">
        <v>100000</v>
      </c>
      <c r="EO27" s="272">
        <v>440981</v>
      </c>
      <c r="EP27" s="455">
        <f t="shared" si="12"/>
        <v>1120453</v>
      </c>
      <c r="EQ27" s="272">
        <v>28818179</v>
      </c>
      <c r="ER27" s="272">
        <v>-2713757</v>
      </c>
      <c r="ES27" s="272">
        <v>12251459</v>
      </c>
      <c r="ET27" s="272">
        <v>9220575</v>
      </c>
      <c r="EU27" s="272">
        <v>2173863</v>
      </c>
      <c r="EV27" s="272">
        <v>3342827</v>
      </c>
      <c r="EW27" s="455">
        <f t="shared" si="13"/>
        <v>1312897</v>
      </c>
      <c r="EX27" s="272">
        <v>1312897</v>
      </c>
      <c r="EY27" s="272">
        <v>61142</v>
      </c>
      <c r="EZ27" s="272">
        <v>1250441</v>
      </c>
      <c r="FA27" s="272">
        <v>0</v>
      </c>
      <c r="FB27" s="272"/>
      <c r="FC27" s="272">
        <v>3252053</v>
      </c>
      <c r="FD27" s="272">
        <v>3253563</v>
      </c>
      <c r="FE27" s="272">
        <v>2086219</v>
      </c>
      <c r="FF27" s="272">
        <v>3225758</v>
      </c>
      <c r="FG27" s="455">
        <f t="shared" si="14"/>
        <v>2105007</v>
      </c>
      <c r="FH27" s="272">
        <v>30917427</v>
      </c>
      <c r="FI27" s="384">
        <f t="shared" si="15"/>
        <v>2.4</v>
      </c>
      <c r="FJ27" s="272">
        <v>25883821</v>
      </c>
      <c r="FK27" s="272"/>
      <c r="FL27" s="272">
        <v>18671360</v>
      </c>
      <c r="FM27" s="272">
        <v>19769217</v>
      </c>
      <c r="FN27" s="460">
        <v>0.91700000000000004</v>
      </c>
      <c r="FO27" s="388">
        <v>99.6</v>
      </c>
      <c r="FP27" s="388">
        <v>45.6</v>
      </c>
      <c r="FQ27" s="388">
        <v>8.1999999999999993</v>
      </c>
      <c r="FR27" s="388">
        <v>12.6</v>
      </c>
      <c r="FS27" s="388">
        <v>11.5</v>
      </c>
      <c r="FT27" s="388">
        <v>10.9</v>
      </c>
      <c r="FU27" s="388">
        <v>8.8000000000000007</v>
      </c>
      <c r="FV27" s="388">
        <v>8.8000000000000007</v>
      </c>
      <c r="FW27" s="272">
        <v>33360383</v>
      </c>
      <c r="FX27" s="384">
        <f t="shared" si="16"/>
        <v>128.9</v>
      </c>
      <c r="FY27" s="272">
        <v>17536345</v>
      </c>
      <c r="FZ27" s="272">
        <v>4963956</v>
      </c>
      <c r="GA27" s="272">
        <v>1853123</v>
      </c>
      <c r="GB27" s="272">
        <v>10719266</v>
      </c>
      <c r="GC27" s="272"/>
      <c r="GD27" s="272">
        <v>13813826</v>
      </c>
      <c r="GE27" s="384">
        <f t="shared" si="17"/>
        <v>53.4</v>
      </c>
      <c r="GF27" s="388">
        <v>97.3</v>
      </c>
      <c r="GG27" s="388">
        <v>20.5</v>
      </c>
      <c r="GH27" s="388">
        <v>92.4</v>
      </c>
      <c r="GI27" s="272">
        <v>1242</v>
      </c>
    </row>
    <row r="28" spans="2:191" x14ac:dyDescent="0.15">
      <c r="B28" s="89" t="s">
        <v>49</v>
      </c>
      <c r="C28" s="272">
        <v>20241485</v>
      </c>
      <c r="D28" s="455">
        <f t="shared" si="0"/>
        <v>5324237</v>
      </c>
      <c r="E28" s="272">
        <v>87959</v>
      </c>
      <c r="F28" s="272">
        <v>5236278</v>
      </c>
      <c r="G28" s="455">
        <f t="shared" si="1"/>
        <v>2603695</v>
      </c>
      <c r="H28" s="272">
        <v>339097</v>
      </c>
      <c r="I28" s="272">
        <v>2264598</v>
      </c>
      <c r="J28" s="272">
        <v>9768468</v>
      </c>
      <c r="K28" s="272">
        <v>4843316</v>
      </c>
      <c r="L28" s="272">
        <v>2420628</v>
      </c>
      <c r="M28" s="272">
        <v>2417392</v>
      </c>
      <c r="N28" s="272">
        <v>615487</v>
      </c>
      <c r="O28" s="272">
        <v>1867386</v>
      </c>
      <c r="P28" s="272">
        <v>1318300</v>
      </c>
      <c r="Q28" s="272">
        <v>549086</v>
      </c>
      <c r="R28" s="272">
        <v>359998</v>
      </c>
      <c r="S28" s="272">
        <v>181039</v>
      </c>
      <c r="T28" s="455">
        <f t="shared" si="2"/>
        <v>677575</v>
      </c>
      <c r="U28" s="272">
        <v>189940</v>
      </c>
      <c r="V28" s="272"/>
      <c r="W28" s="272"/>
      <c r="X28" s="272">
        <v>235573</v>
      </c>
      <c r="Y28" s="272">
        <v>6204</v>
      </c>
      <c r="Z28" s="272">
        <v>1555</v>
      </c>
      <c r="AA28" s="272">
        <v>244303</v>
      </c>
      <c r="AB28" s="272"/>
      <c r="AC28" s="272">
        <v>315804</v>
      </c>
      <c r="AD28" s="272">
        <v>0</v>
      </c>
      <c r="AE28" s="272">
        <v>315804</v>
      </c>
      <c r="AF28" s="272">
        <v>23191</v>
      </c>
      <c r="AG28" s="272">
        <v>271010</v>
      </c>
      <c r="AH28" s="455">
        <f t="shared" si="3"/>
        <v>599845</v>
      </c>
      <c r="AI28" s="272">
        <v>430239</v>
      </c>
      <c r="AJ28" s="272">
        <v>169606</v>
      </c>
      <c r="AK28" s="272">
        <v>2393583</v>
      </c>
      <c r="AL28" s="455">
        <f t="shared" si="4"/>
        <v>1240685</v>
      </c>
      <c r="AM28" s="272">
        <v>761608</v>
      </c>
      <c r="AN28" s="272">
        <v>355231</v>
      </c>
      <c r="AO28" s="272">
        <v>0</v>
      </c>
      <c r="AP28" s="272">
        <v>123846</v>
      </c>
      <c r="AQ28" s="272">
        <v>459458</v>
      </c>
      <c r="AR28" s="272">
        <v>0</v>
      </c>
      <c r="AS28" s="272">
        <v>0</v>
      </c>
      <c r="AT28" s="272">
        <v>1769179</v>
      </c>
      <c r="AU28" s="272">
        <v>810785</v>
      </c>
      <c r="AV28" s="272">
        <v>148071</v>
      </c>
      <c r="AW28" s="272">
        <v>6238</v>
      </c>
      <c r="AX28" s="272">
        <v>958394</v>
      </c>
      <c r="AY28" s="272">
        <v>401119</v>
      </c>
      <c r="AZ28" s="272">
        <v>158211</v>
      </c>
      <c r="BA28" s="272">
        <v>87834</v>
      </c>
      <c r="BB28" s="272">
        <v>120541</v>
      </c>
      <c r="BC28" s="272">
        <v>1474975</v>
      </c>
      <c r="BD28" s="272">
        <v>1000000</v>
      </c>
      <c r="BE28" s="272">
        <v>0</v>
      </c>
      <c r="BF28" s="272">
        <v>461009</v>
      </c>
      <c r="BG28" s="272">
        <v>0</v>
      </c>
      <c r="BH28" s="272">
        <v>1035229</v>
      </c>
      <c r="BI28" s="272">
        <v>531956</v>
      </c>
      <c r="BJ28" s="272">
        <v>536390</v>
      </c>
      <c r="BK28" s="272">
        <v>150879</v>
      </c>
      <c r="BL28" s="272">
        <v>0</v>
      </c>
      <c r="BM28" s="272">
        <v>0</v>
      </c>
      <c r="BN28" s="272">
        <v>5940800</v>
      </c>
      <c r="BO28" s="455">
        <f t="shared" si="5"/>
        <v>5275500</v>
      </c>
      <c r="BP28" s="455">
        <f t="shared" si="6"/>
        <v>665300</v>
      </c>
      <c r="BQ28" s="272"/>
      <c r="BR28" s="272">
        <v>665300</v>
      </c>
      <c r="BS28" s="272"/>
      <c r="BT28" s="272">
        <v>0</v>
      </c>
      <c r="BU28" s="272">
        <v>35917816</v>
      </c>
      <c r="BV28" s="272"/>
      <c r="BW28" s="272">
        <v>8359905</v>
      </c>
      <c r="BX28" s="272">
        <v>6190359</v>
      </c>
      <c r="BY28" s="272">
        <v>599233</v>
      </c>
      <c r="BZ28" s="272">
        <v>139312</v>
      </c>
      <c r="CA28" s="272">
        <v>2865063</v>
      </c>
      <c r="CB28" s="272">
        <v>304460</v>
      </c>
      <c r="CC28" s="272">
        <v>512276</v>
      </c>
      <c r="CD28" s="272">
        <v>969277</v>
      </c>
      <c r="CE28" s="272">
        <v>1039223</v>
      </c>
      <c r="CF28" s="272">
        <v>0</v>
      </c>
      <c r="CG28" s="272">
        <v>39827</v>
      </c>
      <c r="CH28" s="272">
        <v>4022930</v>
      </c>
      <c r="CI28" s="272">
        <v>2256271</v>
      </c>
      <c r="CJ28" s="455">
        <f t="shared" si="7"/>
        <v>1766659</v>
      </c>
      <c r="CK28" s="272">
        <v>4417779</v>
      </c>
      <c r="CL28" s="272">
        <v>2623779</v>
      </c>
      <c r="CM28" s="272">
        <v>207843</v>
      </c>
      <c r="CN28" s="272">
        <v>876037</v>
      </c>
      <c r="CO28" s="272">
        <v>311195</v>
      </c>
      <c r="CP28" s="272">
        <v>1437604</v>
      </c>
      <c r="CQ28" s="272">
        <v>12197</v>
      </c>
      <c r="CR28" s="272">
        <v>634316</v>
      </c>
      <c r="CS28" s="272">
        <v>307260</v>
      </c>
      <c r="CT28" s="455">
        <f t="shared" si="8"/>
        <v>18223</v>
      </c>
      <c r="CU28" s="272">
        <v>18223</v>
      </c>
      <c r="CV28" s="272">
        <v>0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8297170</v>
      </c>
      <c r="DD28" s="272">
        <v>914167</v>
      </c>
      <c r="DE28" s="272">
        <v>6774339</v>
      </c>
      <c r="DF28" s="272">
        <v>0</v>
      </c>
      <c r="DG28" s="272">
        <v>608664</v>
      </c>
      <c r="DH28" s="272">
        <v>0</v>
      </c>
      <c r="DI28" s="272">
        <v>442369</v>
      </c>
      <c r="DJ28" s="272">
        <v>87060</v>
      </c>
      <c r="DK28" s="272">
        <v>16924</v>
      </c>
      <c r="DL28" s="272">
        <v>338385</v>
      </c>
      <c r="DM28" s="272">
        <v>79500</v>
      </c>
      <c r="DN28" s="272">
        <v>44500</v>
      </c>
      <c r="DO28" s="272">
        <v>44500</v>
      </c>
      <c r="DP28" s="272">
        <v>0</v>
      </c>
      <c r="DQ28" s="272">
        <v>141728</v>
      </c>
      <c r="DR28" s="272">
        <v>0</v>
      </c>
      <c r="DS28" s="272">
        <v>0</v>
      </c>
      <c r="DT28" s="272">
        <v>4862778</v>
      </c>
      <c r="DU28" s="272">
        <v>3761272</v>
      </c>
      <c r="DV28" s="455">
        <f t="shared" si="11"/>
        <v>0</v>
      </c>
      <c r="DW28" s="272">
        <v>0</v>
      </c>
      <c r="DX28" s="272">
        <v>0</v>
      </c>
      <c r="DY28" s="272">
        <v>167899</v>
      </c>
      <c r="DZ28" s="272">
        <v>657212</v>
      </c>
      <c r="EA28" s="272">
        <v>249858</v>
      </c>
      <c r="EB28" s="272"/>
      <c r="EC28" s="272">
        <v>0</v>
      </c>
      <c r="ED28" s="272">
        <v>35238021</v>
      </c>
      <c r="EF28" s="272">
        <v>679795</v>
      </c>
      <c r="EG28" s="272">
        <v>367667</v>
      </c>
      <c r="EH28" s="272">
        <v>312128</v>
      </c>
      <c r="EI28" s="272">
        <v>-219828</v>
      </c>
      <c r="EJ28" s="272">
        <v>-1132768</v>
      </c>
      <c r="EL28" s="272"/>
      <c r="EM28" s="272">
        <v>85152</v>
      </c>
      <c r="EN28" s="272">
        <v>1013966</v>
      </c>
      <c r="EO28" s="272">
        <v>50782</v>
      </c>
      <c r="EP28" s="455">
        <f t="shared" si="12"/>
        <v>1208453</v>
      </c>
      <c r="EQ28" s="272">
        <v>21618053</v>
      </c>
      <c r="ER28" s="272">
        <v>-2915310</v>
      </c>
      <c r="ES28" s="272">
        <v>7824309</v>
      </c>
      <c r="ET28" s="272">
        <v>5666388</v>
      </c>
      <c r="EU28" s="272">
        <v>928146</v>
      </c>
      <c r="EV28" s="272">
        <v>3985574</v>
      </c>
      <c r="EW28" s="455">
        <f t="shared" si="13"/>
        <v>1233382</v>
      </c>
      <c r="EX28" s="272">
        <v>1233382</v>
      </c>
      <c r="EY28" s="272">
        <v>44311</v>
      </c>
      <c r="EZ28" s="272">
        <v>1189071</v>
      </c>
      <c r="FA28" s="272">
        <v>0</v>
      </c>
      <c r="FB28" s="272"/>
      <c r="FC28" s="272">
        <v>3416258</v>
      </c>
      <c r="FD28" s="272">
        <v>1296867</v>
      </c>
      <c r="FE28" s="272">
        <v>12197</v>
      </c>
      <c r="FF28" s="272">
        <v>4795912</v>
      </c>
      <c r="FG28" s="455">
        <f t="shared" si="14"/>
        <v>373120</v>
      </c>
      <c r="FH28" s="272">
        <v>23853568</v>
      </c>
      <c r="FI28" s="384">
        <f t="shared" si="15"/>
        <v>1.6</v>
      </c>
      <c r="FJ28" s="272">
        <v>19826124</v>
      </c>
      <c r="FK28" s="272"/>
      <c r="FL28" s="272">
        <v>14921619</v>
      </c>
      <c r="FM28" s="272">
        <v>14307348</v>
      </c>
      <c r="FN28" s="460">
        <v>1.022</v>
      </c>
      <c r="FO28" s="388">
        <v>101.2</v>
      </c>
      <c r="FP28" s="388">
        <v>39.1</v>
      </c>
      <c r="FQ28" s="388">
        <v>4.8</v>
      </c>
      <c r="FR28" s="388">
        <v>18.8</v>
      </c>
      <c r="FS28" s="388">
        <v>16.399999999999999</v>
      </c>
      <c r="FT28" s="388">
        <v>5.9</v>
      </c>
      <c r="FU28" s="388">
        <v>14.6</v>
      </c>
      <c r="FV28" s="388">
        <v>12.2</v>
      </c>
      <c r="FW28" s="272">
        <v>42687723</v>
      </c>
      <c r="FX28" s="384">
        <f t="shared" si="16"/>
        <v>215.3</v>
      </c>
      <c r="FY28" s="272">
        <v>9776340</v>
      </c>
      <c r="FZ28" s="272">
        <v>3671290</v>
      </c>
      <c r="GA28" s="272">
        <v>2193538</v>
      </c>
      <c r="GB28" s="272">
        <v>3911512</v>
      </c>
      <c r="GC28" s="272"/>
      <c r="GD28" s="272">
        <v>7383631</v>
      </c>
      <c r="GE28" s="384">
        <f t="shared" si="17"/>
        <v>37.200000000000003</v>
      </c>
      <c r="GF28" s="388">
        <v>98.3</v>
      </c>
      <c r="GG28" s="388">
        <v>31.4</v>
      </c>
      <c r="GH28" s="388">
        <v>95.9</v>
      </c>
      <c r="GI28" s="272">
        <v>776</v>
      </c>
    </row>
    <row r="29" spans="2:191" x14ac:dyDescent="0.15">
      <c r="B29" s="89" t="s">
        <v>51</v>
      </c>
      <c r="C29" s="272">
        <v>15193226</v>
      </c>
      <c r="D29" s="455">
        <f t="shared" si="0"/>
        <v>3922017</v>
      </c>
      <c r="E29" s="272">
        <v>60670</v>
      </c>
      <c r="F29" s="272">
        <v>3861347</v>
      </c>
      <c r="G29" s="455">
        <f t="shared" si="1"/>
        <v>914080</v>
      </c>
      <c r="H29" s="272">
        <v>149844</v>
      </c>
      <c r="I29" s="272">
        <v>764236</v>
      </c>
      <c r="J29" s="272">
        <v>8308618</v>
      </c>
      <c r="K29" s="272">
        <v>4960745</v>
      </c>
      <c r="L29" s="272">
        <v>1311958</v>
      </c>
      <c r="M29" s="272">
        <v>1999340</v>
      </c>
      <c r="N29" s="272">
        <v>374803</v>
      </c>
      <c r="O29" s="272">
        <v>1608055</v>
      </c>
      <c r="P29" s="272">
        <v>1301823</v>
      </c>
      <c r="Q29" s="272">
        <v>306232</v>
      </c>
      <c r="R29" s="272">
        <v>259728</v>
      </c>
      <c r="S29" s="272">
        <v>101722</v>
      </c>
      <c r="T29" s="455">
        <f t="shared" si="2"/>
        <v>457147</v>
      </c>
      <c r="U29" s="272">
        <v>139323</v>
      </c>
      <c r="V29" s="272"/>
      <c r="W29" s="272"/>
      <c r="X29" s="272">
        <v>135744</v>
      </c>
      <c r="Y29" s="272">
        <v>0</v>
      </c>
      <c r="Z29" s="272">
        <v>23185</v>
      </c>
      <c r="AA29" s="272">
        <v>158895</v>
      </c>
      <c r="AB29" s="272"/>
      <c r="AC29" s="272">
        <v>44102</v>
      </c>
      <c r="AD29" s="272">
        <v>0</v>
      </c>
      <c r="AE29" s="272">
        <v>44102</v>
      </c>
      <c r="AF29" s="272">
        <v>12875</v>
      </c>
      <c r="AG29" s="272">
        <v>129089</v>
      </c>
      <c r="AH29" s="455">
        <f t="shared" si="3"/>
        <v>330844</v>
      </c>
      <c r="AI29" s="272">
        <v>303386</v>
      </c>
      <c r="AJ29" s="272">
        <v>27458</v>
      </c>
      <c r="AK29" s="272">
        <v>2332263</v>
      </c>
      <c r="AL29" s="455">
        <f t="shared" si="4"/>
        <v>995882</v>
      </c>
      <c r="AM29" s="272">
        <v>695594</v>
      </c>
      <c r="AN29" s="272">
        <v>158212</v>
      </c>
      <c r="AO29" s="272">
        <v>0</v>
      </c>
      <c r="AP29" s="272">
        <v>142076</v>
      </c>
      <c r="AQ29" s="272">
        <v>626252</v>
      </c>
      <c r="AR29" s="272">
        <v>0</v>
      </c>
      <c r="AS29" s="272">
        <v>0</v>
      </c>
      <c r="AT29" s="272">
        <v>2093106</v>
      </c>
      <c r="AU29" s="272">
        <v>560865</v>
      </c>
      <c r="AV29" s="272">
        <v>121572</v>
      </c>
      <c r="AW29" s="272">
        <v>90095</v>
      </c>
      <c r="AX29" s="272">
        <v>1532241</v>
      </c>
      <c r="AY29" s="272">
        <v>841611</v>
      </c>
      <c r="AZ29" s="272">
        <v>516016</v>
      </c>
      <c r="BA29" s="272">
        <v>70902</v>
      </c>
      <c r="BB29" s="272">
        <v>109694</v>
      </c>
      <c r="BC29" s="272">
        <v>1465750</v>
      </c>
      <c r="BD29" s="272">
        <v>700000</v>
      </c>
      <c r="BE29" s="272">
        <v>0</v>
      </c>
      <c r="BF29" s="272">
        <v>755371</v>
      </c>
      <c r="BG29" s="272">
        <v>0</v>
      </c>
      <c r="BH29" s="272">
        <v>471352</v>
      </c>
      <c r="BI29" s="272">
        <v>338724</v>
      </c>
      <c r="BJ29" s="272">
        <v>185400</v>
      </c>
      <c r="BK29" s="272">
        <v>51576</v>
      </c>
      <c r="BL29" s="272">
        <v>0</v>
      </c>
      <c r="BM29" s="272">
        <v>0</v>
      </c>
      <c r="BN29" s="272">
        <v>4045900</v>
      </c>
      <c r="BO29" s="455">
        <f t="shared" si="5"/>
        <v>3662600</v>
      </c>
      <c r="BP29" s="455">
        <f t="shared" si="6"/>
        <v>383300</v>
      </c>
      <c r="BQ29" s="272"/>
      <c r="BR29" s="272">
        <v>383300</v>
      </c>
      <c r="BS29" s="272"/>
      <c r="BT29" s="272">
        <v>0</v>
      </c>
      <c r="BU29" s="272">
        <v>27646492</v>
      </c>
      <c r="BV29" s="272"/>
      <c r="BW29" s="272">
        <v>6076163</v>
      </c>
      <c r="BX29" s="272">
        <v>4678803</v>
      </c>
      <c r="BY29" s="272">
        <v>165396</v>
      </c>
      <c r="BZ29" s="272">
        <v>109995</v>
      </c>
      <c r="CA29" s="272">
        <v>2525309</v>
      </c>
      <c r="CB29" s="272">
        <v>314257</v>
      </c>
      <c r="CC29" s="272">
        <v>684906</v>
      </c>
      <c r="CD29" s="272">
        <v>564107</v>
      </c>
      <c r="CE29" s="272">
        <v>927500</v>
      </c>
      <c r="CF29" s="272">
        <v>205</v>
      </c>
      <c r="CG29" s="272">
        <v>34334</v>
      </c>
      <c r="CH29" s="272">
        <v>883536</v>
      </c>
      <c r="CI29" s="272">
        <v>465369</v>
      </c>
      <c r="CJ29" s="455">
        <f t="shared" si="7"/>
        <v>418167</v>
      </c>
      <c r="CK29" s="272">
        <v>2667458</v>
      </c>
      <c r="CL29" s="272">
        <v>1694743</v>
      </c>
      <c r="CM29" s="272">
        <v>66474</v>
      </c>
      <c r="CN29" s="272">
        <v>522965</v>
      </c>
      <c r="CO29" s="272">
        <v>41583</v>
      </c>
      <c r="CP29" s="272">
        <v>3229658</v>
      </c>
      <c r="CQ29" s="272">
        <v>1951404</v>
      </c>
      <c r="CR29" s="272">
        <v>565033</v>
      </c>
      <c r="CS29" s="272">
        <v>544879</v>
      </c>
      <c r="CT29" s="455">
        <f t="shared" si="8"/>
        <v>44317</v>
      </c>
      <c r="CU29" s="272">
        <v>5688</v>
      </c>
      <c r="CV29" s="272">
        <v>38629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7963117</v>
      </c>
      <c r="DD29" s="272">
        <v>1283009</v>
      </c>
      <c r="DE29" s="272">
        <v>5802988</v>
      </c>
      <c r="DF29" s="272">
        <v>0</v>
      </c>
      <c r="DG29" s="272">
        <v>877120</v>
      </c>
      <c r="DH29" s="272">
        <v>0</v>
      </c>
      <c r="DI29" s="272">
        <v>1348422</v>
      </c>
      <c r="DJ29" s="272">
        <v>205061</v>
      </c>
      <c r="DK29" s="272">
        <v>0</v>
      </c>
      <c r="DL29" s="272">
        <v>1143361</v>
      </c>
      <c r="DM29" s="272">
        <v>0</v>
      </c>
      <c r="DN29" s="272">
        <v>0</v>
      </c>
      <c r="DO29" s="272">
        <v>0</v>
      </c>
      <c r="DP29" s="272">
        <v>0</v>
      </c>
      <c r="DQ29" s="272">
        <v>73725</v>
      </c>
      <c r="DR29" s="272">
        <v>0</v>
      </c>
      <c r="DS29" s="272">
        <v>0</v>
      </c>
      <c r="DT29" s="272">
        <v>2441163</v>
      </c>
      <c r="DU29" s="272">
        <v>1631355</v>
      </c>
      <c r="DV29" s="455">
        <f t="shared" si="11"/>
        <v>0</v>
      </c>
      <c r="DW29" s="272">
        <v>0</v>
      </c>
      <c r="DX29" s="272">
        <v>0</v>
      </c>
      <c r="DY29" s="272">
        <v>0</v>
      </c>
      <c r="DZ29" s="272">
        <v>527173</v>
      </c>
      <c r="EA29" s="272">
        <v>280970</v>
      </c>
      <c r="EB29" s="272"/>
      <c r="EC29" s="272">
        <v>0</v>
      </c>
      <c r="ED29" s="272">
        <v>27250134</v>
      </c>
      <c r="EF29" s="272">
        <v>396358</v>
      </c>
      <c r="EG29" s="272">
        <v>0</v>
      </c>
      <c r="EH29" s="272">
        <v>396358</v>
      </c>
      <c r="EI29" s="272">
        <v>57634</v>
      </c>
      <c r="EJ29" s="272">
        <v>-437305</v>
      </c>
      <c r="EL29" s="272"/>
      <c r="EM29" s="272">
        <v>63528</v>
      </c>
      <c r="EN29" s="272">
        <v>704785</v>
      </c>
      <c r="EO29" s="272">
        <v>373482</v>
      </c>
      <c r="EP29" s="455">
        <f t="shared" si="12"/>
        <v>913204</v>
      </c>
      <c r="EQ29" s="272">
        <v>15967078</v>
      </c>
      <c r="ER29" s="272">
        <v>-2361896</v>
      </c>
      <c r="ES29" s="272">
        <v>5581062</v>
      </c>
      <c r="ET29" s="272">
        <v>4200816</v>
      </c>
      <c r="EU29" s="272">
        <v>822248</v>
      </c>
      <c r="EV29" s="272">
        <v>871086</v>
      </c>
      <c r="EW29" s="455">
        <f t="shared" si="13"/>
        <v>1852789</v>
      </c>
      <c r="EX29" s="272">
        <v>1852789</v>
      </c>
      <c r="EY29" s="272">
        <v>41037</v>
      </c>
      <c r="EZ29" s="272">
        <v>1811752</v>
      </c>
      <c r="FA29" s="272">
        <v>0</v>
      </c>
      <c r="FB29" s="272"/>
      <c r="FC29" s="272">
        <v>2147726</v>
      </c>
      <c r="FD29" s="272">
        <v>3047408</v>
      </c>
      <c r="FE29" s="272">
        <v>1951404</v>
      </c>
      <c r="FF29" s="272">
        <v>2369590</v>
      </c>
      <c r="FG29" s="455">
        <f t="shared" si="14"/>
        <v>1240707</v>
      </c>
      <c r="FH29" s="272">
        <v>17932616</v>
      </c>
      <c r="FI29" s="384">
        <f t="shared" si="15"/>
        <v>2.7</v>
      </c>
      <c r="FJ29" s="272">
        <v>14454241</v>
      </c>
      <c r="FK29" s="272"/>
      <c r="FL29" s="272">
        <v>10883929</v>
      </c>
      <c r="FM29" s="272">
        <v>9684075</v>
      </c>
      <c r="FN29" s="460">
        <v>1.1659999999999999</v>
      </c>
      <c r="FO29" s="388">
        <v>93.7</v>
      </c>
      <c r="FP29" s="388">
        <v>38.1</v>
      </c>
      <c r="FQ29" s="388">
        <v>5.7</v>
      </c>
      <c r="FR29" s="388">
        <v>6.1</v>
      </c>
      <c r="FS29" s="388">
        <v>14</v>
      </c>
      <c r="FT29" s="388">
        <v>20.2</v>
      </c>
      <c r="FU29" s="388">
        <v>9.3000000000000007</v>
      </c>
      <c r="FV29" s="388">
        <v>4.0999999999999996</v>
      </c>
      <c r="FW29" s="272">
        <v>14004516</v>
      </c>
      <c r="FX29" s="384">
        <f t="shared" si="16"/>
        <v>96.9</v>
      </c>
      <c r="FY29" s="272">
        <v>15896364</v>
      </c>
      <c r="FZ29" s="272">
        <v>3773499</v>
      </c>
      <c r="GA29" s="272"/>
      <c r="GB29" s="272">
        <v>12122865</v>
      </c>
      <c r="GC29" s="272"/>
      <c r="GD29" s="272">
        <v>17912065</v>
      </c>
      <c r="GE29" s="384">
        <f t="shared" si="17"/>
        <v>123.9</v>
      </c>
      <c r="GF29" s="388">
        <v>98.2</v>
      </c>
      <c r="GG29" s="388">
        <v>25.8</v>
      </c>
      <c r="GH29" s="388">
        <v>94.7</v>
      </c>
      <c r="GI29" s="272">
        <v>611</v>
      </c>
    </row>
    <row r="30" spans="2:191" x14ac:dyDescent="0.15">
      <c r="B30" s="89" t="s">
        <v>53</v>
      </c>
      <c r="C30" s="272">
        <v>9506627</v>
      </c>
      <c r="D30" s="455">
        <f t="shared" si="0"/>
        <v>4176070</v>
      </c>
      <c r="E30" s="272">
        <v>63415</v>
      </c>
      <c r="F30" s="272">
        <v>4112655</v>
      </c>
      <c r="G30" s="455">
        <f t="shared" si="1"/>
        <v>657629</v>
      </c>
      <c r="H30" s="272">
        <v>143094</v>
      </c>
      <c r="I30" s="272">
        <v>514535</v>
      </c>
      <c r="J30" s="272">
        <v>3333588</v>
      </c>
      <c r="K30" s="272">
        <v>1832573</v>
      </c>
      <c r="L30" s="272">
        <v>1169010</v>
      </c>
      <c r="M30" s="272">
        <v>322238</v>
      </c>
      <c r="N30" s="272">
        <v>381209</v>
      </c>
      <c r="O30" s="272">
        <v>908548</v>
      </c>
      <c r="P30" s="272">
        <v>634755</v>
      </c>
      <c r="Q30" s="272">
        <v>273793</v>
      </c>
      <c r="R30" s="272">
        <v>229568</v>
      </c>
      <c r="S30" s="272">
        <v>103731</v>
      </c>
      <c r="T30" s="455">
        <f t="shared" si="2"/>
        <v>460975</v>
      </c>
      <c r="U30" s="272">
        <v>146720</v>
      </c>
      <c r="V30" s="272"/>
      <c r="W30" s="272"/>
      <c r="X30" s="272">
        <v>138740</v>
      </c>
      <c r="Y30" s="272">
        <v>0</v>
      </c>
      <c r="Z30" s="272">
        <v>3380</v>
      </c>
      <c r="AA30" s="272">
        <v>172135</v>
      </c>
      <c r="AB30" s="272"/>
      <c r="AC30" s="272">
        <v>3283195</v>
      </c>
      <c r="AD30" s="272">
        <v>3048882</v>
      </c>
      <c r="AE30" s="272">
        <v>234313</v>
      </c>
      <c r="AF30" s="272">
        <v>17688</v>
      </c>
      <c r="AG30" s="272">
        <v>117950</v>
      </c>
      <c r="AH30" s="455">
        <f t="shared" si="3"/>
        <v>345085</v>
      </c>
      <c r="AI30" s="272">
        <v>312414</v>
      </c>
      <c r="AJ30" s="272">
        <v>32671</v>
      </c>
      <c r="AK30" s="272">
        <v>1595502</v>
      </c>
      <c r="AL30" s="455">
        <f t="shared" si="4"/>
        <v>894764</v>
      </c>
      <c r="AM30" s="272">
        <v>597000</v>
      </c>
      <c r="AN30" s="272">
        <v>146633</v>
      </c>
      <c r="AO30" s="272">
        <v>0</v>
      </c>
      <c r="AP30" s="272">
        <v>151131</v>
      </c>
      <c r="AQ30" s="272">
        <v>198285</v>
      </c>
      <c r="AR30" s="272">
        <v>0</v>
      </c>
      <c r="AS30" s="272">
        <v>0</v>
      </c>
      <c r="AT30" s="272">
        <v>1032609</v>
      </c>
      <c r="AU30" s="272">
        <v>338749</v>
      </c>
      <c r="AV30" s="272">
        <v>77256</v>
      </c>
      <c r="AW30" s="272">
        <v>35448</v>
      </c>
      <c r="AX30" s="272">
        <v>693860</v>
      </c>
      <c r="AY30" s="272">
        <v>123916</v>
      </c>
      <c r="AZ30" s="272">
        <v>33155</v>
      </c>
      <c r="BA30" s="272">
        <v>0</v>
      </c>
      <c r="BB30" s="272">
        <v>134595</v>
      </c>
      <c r="BC30" s="272">
        <v>1171168</v>
      </c>
      <c r="BD30" s="272">
        <v>380000</v>
      </c>
      <c r="BE30" s="272">
        <v>200000</v>
      </c>
      <c r="BF30" s="272">
        <v>591168</v>
      </c>
      <c r="BG30" s="272">
        <v>0</v>
      </c>
      <c r="BH30" s="272">
        <v>14726</v>
      </c>
      <c r="BI30" s="272">
        <v>12626</v>
      </c>
      <c r="BJ30" s="272">
        <v>153781</v>
      </c>
      <c r="BK30" s="272">
        <v>20131</v>
      </c>
      <c r="BL30" s="272">
        <v>0</v>
      </c>
      <c r="BM30" s="272">
        <v>0</v>
      </c>
      <c r="BN30" s="272">
        <v>1146200</v>
      </c>
      <c r="BO30" s="455">
        <f t="shared" si="5"/>
        <v>754400</v>
      </c>
      <c r="BP30" s="455">
        <f t="shared" si="6"/>
        <v>391800</v>
      </c>
      <c r="BQ30" s="272"/>
      <c r="BR30" s="272">
        <v>391800</v>
      </c>
      <c r="BS30" s="272"/>
      <c r="BT30" s="272">
        <v>0</v>
      </c>
      <c r="BU30" s="272">
        <v>19242824</v>
      </c>
      <c r="BV30" s="272"/>
      <c r="BW30" s="272">
        <v>5563429</v>
      </c>
      <c r="BX30" s="272">
        <v>4148214</v>
      </c>
      <c r="BY30" s="272">
        <v>226818</v>
      </c>
      <c r="BZ30" s="272">
        <v>158748</v>
      </c>
      <c r="CA30" s="272">
        <v>2436103</v>
      </c>
      <c r="CB30" s="272">
        <v>347109</v>
      </c>
      <c r="CC30" s="272">
        <v>867505</v>
      </c>
      <c r="CD30" s="272">
        <v>385236</v>
      </c>
      <c r="CE30" s="272">
        <v>810389</v>
      </c>
      <c r="CF30" s="272">
        <v>0</v>
      </c>
      <c r="CG30" s="272">
        <v>25689</v>
      </c>
      <c r="CH30" s="272">
        <v>1681704</v>
      </c>
      <c r="CI30" s="272">
        <v>1134886</v>
      </c>
      <c r="CJ30" s="455">
        <f t="shared" si="7"/>
        <v>546818</v>
      </c>
      <c r="CK30" s="272">
        <v>2192551</v>
      </c>
      <c r="CL30" s="272">
        <v>1101308</v>
      </c>
      <c r="CM30" s="272">
        <v>211385</v>
      </c>
      <c r="CN30" s="272">
        <v>511898</v>
      </c>
      <c r="CO30" s="272">
        <v>187699</v>
      </c>
      <c r="CP30" s="272">
        <v>2771535</v>
      </c>
      <c r="CQ30" s="272">
        <v>1946914</v>
      </c>
      <c r="CR30" s="272">
        <v>211955</v>
      </c>
      <c r="CS30" s="272">
        <v>186486</v>
      </c>
      <c r="CT30" s="455">
        <f t="shared" si="8"/>
        <v>212930</v>
      </c>
      <c r="CU30" s="272">
        <v>127255</v>
      </c>
      <c r="CV30" s="272">
        <v>85675</v>
      </c>
      <c r="CW30" s="455">
        <f t="shared" si="9"/>
        <v>163352</v>
      </c>
      <c r="CX30" s="272">
        <v>122677</v>
      </c>
      <c r="CY30" s="272">
        <v>40675</v>
      </c>
      <c r="CZ30" s="455">
        <f t="shared" si="10"/>
        <v>0</v>
      </c>
      <c r="DA30" s="272">
        <v>0</v>
      </c>
      <c r="DB30" s="272">
        <v>0</v>
      </c>
      <c r="DC30" s="272">
        <v>1814339</v>
      </c>
      <c r="DD30" s="272">
        <v>521120</v>
      </c>
      <c r="DE30" s="272">
        <v>1239059</v>
      </c>
      <c r="DF30" s="272">
        <v>22160</v>
      </c>
      <c r="DG30" s="272">
        <v>32000</v>
      </c>
      <c r="DH30" s="272">
        <v>0</v>
      </c>
      <c r="DI30" s="272">
        <v>260465</v>
      </c>
      <c r="DJ30" s="272">
        <v>10446</v>
      </c>
      <c r="DK30" s="272">
        <v>4529</v>
      </c>
      <c r="DL30" s="272">
        <v>245490</v>
      </c>
      <c r="DM30" s="272">
        <v>31500</v>
      </c>
      <c r="DN30" s="272">
        <v>31500</v>
      </c>
      <c r="DO30" s="272">
        <v>31500</v>
      </c>
      <c r="DP30" s="272">
        <v>0</v>
      </c>
      <c r="DQ30" s="272">
        <v>20000</v>
      </c>
      <c r="DR30" s="272">
        <v>0</v>
      </c>
      <c r="DS30" s="272">
        <v>0</v>
      </c>
      <c r="DT30" s="272">
        <v>2260442</v>
      </c>
      <c r="DU30" s="272">
        <v>1567699</v>
      </c>
      <c r="DV30" s="455">
        <f t="shared" si="11"/>
        <v>0</v>
      </c>
      <c r="DW30" s="272">
        <v>0</v>
      </c>
      <c r="DX30" s="272">
        <v>0</v>
      </c>
      <c r="DY30" s="272">
        <v>0</v>
      </c>
      <c r="DZ30" s="272">
        <v>416299</v>
      </c>
      <c r="EA30" s="272">
        <v>276440</v>
      </c>
      <c r="EB30" s="272"/>
      <c r="EC30" s="272">
        <v>0</v>
      </c>
      <c r="ED30" s="272">
        <v>19219767</v>
      </c>
      <c r="EF30" s="272">
        <v>23057</v>
      </c>
      <c r="EG30" s="272">
        <v>1265</v>
      </c>
      <c r="EH30" s="272">
        <v>21792</v>
      </c>
      <c r="EI30" s="272">
        <v>-4834</v>
      </c>
      <c r="EJ30" s="272">
        <v>-374388</v>
      </c>
      <c r="EL30" s="272"/>
      <c r="EM30" s="272">
        <v>66560</v>
      </c>
      <c r="EN30" s="272">
        <v>580000</v>
      </c>
      <c r="EO30" s="272">
        <v>1866</v>
      </c>
      <c r="EP30" s="455">
        <f t="shared" si="12"/>
        <v>238136</v>
      </c>
      <c r="EQ30" s="272">
        <v>13498053</v>
      </c>
      <c r="ER30" s="272">
        <v>-1194114</v>
      </c>
      <c r="ES30" s="272">
        <v>5154984</v>
      </c>
      <c r="ET30" s="272">
        <v>3810832</v>
      </c>
      <c r="EU30" s="272">
        <v>847005</v>
      </c>
      <c r="EV30" s="272">
        <v>1555558</v>
      </c>
      <c r="EW30" s="455">
        <f t="shared" si="13"/>
        <v>420706</v>
      </c>
      <c r="EX30" s="272">
        <v>420706</v>
      </c>
      <c r="EY30" s="272">
        <v>16421</v>
      </c>
      <c r="EZ30" s="272">
        <v>403325</v>
      </c>
      <c r="FA30" s="272">
        <v>0</v>
      </c>
      <c r="FB30" s="272"/>
      <c r="FC30" s="272">
        <v>1686100</v>
      </c>
      <c r="FD30" s="272">
        <v>2442141</v>
      </c>
      <c r="FE30" s="272">
        <v>1871954</v>
      </c>
      <c r="FF30" s="272">
        <v>2145737</v>
      </c>
      <c r="FG30" s="455">
        <f t="shared" si="14"/>
        <v>416879</v>
      </c>
      <c r="FH30" s="272">
        <v>14669110</v>
      </c>
      <c r="FI30" s="384">
        <f t="shared" si="15"/>
        <v>0.2</v>
      </c>
      <c r="FJ30" s="272">
        <v>12680997</v>
      </c>
      <c r="FK30" s="272"/>
      <c r="FL30" s="272">
        <v>7261854</v>
      </c>
      <c r="FM30" s="272">
        <v>10316884</v>
      </c>
      <c r="FN30" s="460">
        <v>0.70799999999999996</v>
      </c>
      <c r="FO30" s="388">
        <v>97.8</v>
      </c>
      <c r="FP30" s="388">
        <v>41.3</v>
      </c>
      <c r="FQ30" s="388">
        <v>6.4</v>
      </c>
      <c r="FR30" s="388">
        <v>12.5</v>
      </c>
      <c r="FS30" s="388">
        <v>10.8</v>
      </c>
      <c r="FT30" s="388">
        <v>17.899999999999999</v>
      </c>
      <c r="FU30" s="388">
        <v>7.3</v>
      </c>
      <c r="FV30" s="388">
        <v>8.6999999999999993</v>
      </c>
      <c r="FW30" s="272">
        <v>13698604</v>
      </c>
      <c r="FX30" s="384">
        <f t="shared" si="16"/>
        <v>108</v>
      </c>
      <c r="FY30" s="272">
        <v>4093952</v>
      </c>
      <c r="FZ30" s="272">
        <v>900736</v>
      </c>
      <c r="GA30" s="272">
        <v>516012</v>
      </c>
      <c r="GB30" s="272">
        <v>2677204</v>
      </c>
      <c r="GC30" s="272"/>
      <c r="GD30" s="272">
        <v>1341357</v>
      </c>
      <c r="GE30" s="384">
        <f t="shared" si="17"/>
        <v>10.6</v>
      </c>
      <c r="GF30" s="388">
        <v>97.3</v>
      </c>
      <c r="GG30" s="388">
        <v>31.1</v>
      </c>
      <c r="GH30" s="388">
        <v>92.8</v>
      </c>
      <c r="GI30" s="272">
        <v>572</v>
      </c>
    </row>
    <row r="31" spans="2:191" x14ac:dyDescent="0.15">
      <c r="B31" s="89" t="s">
        <v>55</v>
      </c>
      <c r="C31" s="272">
        <v>92905584</v>
      </c>
      <c r="D31" s="455">
        <f t="shared" si="0"/>
        <v>29076696</v>
      </c>
      <c r="E31" s="272">
        <v>584479</v>
      </c>
      <c r="F31" s="272">
        <v>28492217</v>
      </c>
      <c r="G31" s="455">
        <f t="shared" si="1"/>
        <v>9048145</v>
      </c>
      <c r="H31" s="272">
        <v>1432989</v>
      </c>
      <c r="I31" s="272">
        <v>7615156</v>
      </c>
      <c r="J31" s="272">
        <v>38851016</v>
      </c>
      <c r="K31" s="272">
        <v>22842674</v>
      </c>
      <c r="L31" s="272">
        <v>11435495</v>
      </c>
      <c r="M31" s="272">
        <v>4337289</v>
      </c>
      <c r="N31" s="272">
        <v>3642062</v>
      </c>
      <c r="O31" s="272">
        <v>9380636</v>
      </c>
      <c r="P31" s="272">
        <v>6759470</v>
      </c>
      <c r="Q31" s="272">
        <v>2621166</v>
      </c>
      <c r="R31" s="272">
        <v>1952821</v>
      </c>
      <c r="S31" s="272">
        <v>995115</v>
      </c>
      <c r="T31" s="455">
        <f t="shared" si="2"/>
        <v>3703417</v>
      </c>
      <c r="U31" s="272">
        <v>1056343</v>
      </c>
      <c r="V31" s="272"/>
      <c r="W31" s="272"/>
      <c r="X31" s="272">
        <v>1303141</v>
      </c>
      <c r="Y31" s="272">
        <v>0</v>
      </c>
      <c r="Z31" s="272">
        <v>35519</v>
      </c>
      <c r="AA31" s="272">
        <v>1308414</v>
      </c>
      <c r="AB31" s="272"/>
      <c r="AC31" s="272">
        <v>6625924</v>
      </c>
      <c r="AD31" s="272">
        <v>5646658</v>
      </c>
      <c r="AE31" s="272">
        <v>979266</v>
      </c>
      <c r="AF31" s="272">
        <v>119067</v>
      </c>
      <c r="AG31" s="272">
        <v>4530215</v>
      </c>
      <c r="AH31" s="455">
        <f t="shared" si="3"/>
        <v>3364357</v>
      </c>
      <c r="AI31" s="272">
        <v>2638499</v>
      </c>
      <c r="AJ31" s="272">
        <v>725858</v>
      </c>
      <c r="AK31" s="272">
        <v>18299763</v>
      </c>
      <c r="AL31" s="455">
        <f t="shared" si="4"/>
        <v>12838336</v>
      </c>
      <c r="AM31" s="272">
        <v>10618092</v>
      </c>
      <c r="AN31" s="272">
        <v>1194824</v>
      </c>
      <c r="AO31" s="272">
        <v>49450</v>
      </c>
      <c r="AP31" s="272">
        <v>975970</v>
      </c>
      <c r="AQ31" s="272">
        <v>1865537</v>
      </c>
      <c r="AR31" s="272">
        <v>0</v>
      </c>
      <c r="AS31" s="272">
        <v>0</v>
      </c>
      <c r="AT31" s="272">
        <v>13921039</v>
      </c>
      <c r="AU31" s="272">
        <v>6338304</v>
      </c>
      <c r="AV31" s="272">
        <v>593108</v>
      </c>
      <c r="AW31" s="272">
        <v>103071</v>
      </c>
      <c r="AX31" s="272">
        <v>7582735</v>
      </c>
      <c r="AY31" s="272">
        <v>2618605</v>
      </c>
      <c r="AZ31" s="272">
        <v>1621491</v>
      </c>
      <c r="BA31" s="272">
        <v>1136742</v>
      </c>
      <c r="BB31" s="272">
        <v>835569</v>
      </c>
      <c r="BC31" s="272">
        <v>3295115</v>
      </c>
      <c r="BD31" s="272">
        <v>1800000</v>
      </c>
      <c r="BE31" s="272">
        <v>0</v>
      </c>
      <c r="BF31" s="272">
        <v>1145729</v>
      </c>
      <c r="BG31" s="272">
        <v>0</v>
      </c>
      <c r="BH31" s="272">
        <v>2569649</v>
      </c>
      <c r="BI31" s="272">
        <v>2148891</v>
      </c>
      <c r="BJ31" s="272">
        <v>4616048</v>
      </c>
      <c r="BK31" s="272">
        <v>3247985</v>
      </c>
      <c r="BL31" s="272">
        <v>101020</v>
      </c>
      <c r="BM31" s="272">
        <v>293854</v>
      </c>
      <c r="BN31" s="272">
        <v>11441700</v>
      </c>
      <c r="BO31" s="455">
        <f t="shared" si="5"/>
        <v>7761300</v>
      </c>
      <c r="BP31" s="455">
        <f t="shared" si="6"/>
        <v>3680400</v>
      </c>
      <c r="BQ31" s="272"/>
      <c r="BR31" s="272">
        <v>3680400</v>
      </c>
      <c r="BS31" s="272"/>
      <c r="BT31" s="272">
        <v>0</v>
      </c>
      <c r="BU31" s="272">
        <v>169801759</v>
      </c>
      <c r="BV31" s="272"/>
      <c r="BW31" s="272">
        <v>45519736</v>
      </c>
      <c r="BX31" s="272">
        <v>34874979</v>
      </c>
      <c r="BY31" s="272">
        <v>3354353</v>
      </c>
      <c r="BZ31" s="272">
        <v>453530</v>
      </c>
      <c r="CA31" s="272">
        <v>29184969</v>
      </c>
      <c r="CB31" s="272">
        <v>2257877</v>
      </c>
      <c r="CC31" s="272">
        <v>4764128</v>
      </c>
      <c r="CD31" s="272">
        <v>4386868</v>
      </c>
      <c r="CE31" s="272">
        <v>14217527</v>
      </c>
      <c r="CF31" s="272">
        <v>3282110</v>
      </c>
      <c r="CG31" s="272">
        <v>271959</v>
      </c>
      <c r="CH31" s="272">
        <v>17426884</v>
      </c>
      <c r="CI31" s="272">
        <v>11111753</v>
      </c>
      <c r="CJ31" s="455">
        <f t="shared" si="7"/>
        <v>6315131</v>
      </c>
      <c r="CK31" s="272">
        <v>15043090</v>
      </c>
      <c r="CL31" s="272">
        <v>8935668</v>
      </c>
      <c r="CM31" s="272">
        <v>875296</v>
      </c>
      <c r="CN31" s="272">
        <v>2592585</v>
      </c>
      <c r="CO31" s="272">
        <v>1220018</v>
      </c>
      <c r="CP31" s="272">
        <v>10759508</v>
      </c>
      <c r="CQ31" s="272">
        <v>4347124</v>
      </c>
      <c r="CR31" s="272">
        <v>3474940</v>
      </c>
      <c r="CS31" s="272">
        <v>3082600</v>
      </c>
      <c r="CT31" s="455">
        <f t="shared" si="8"/>
        <v>1246823</v>
      </c>
      <c r="CU31" s="272">
        <v>463283</v>
      </c>
      <c r="CV31" s="272">
        <v>783540</v>
      </c>
      <c r="CW31" s="455">
        <f t="shared" si="9"/>
        <v>1156823</v>
      </c>
      <c r="CX31" s="272">
        <v>373283</v>
      </c>
      <c r="CY31" s="272">
        <v>783540</v>
      </c>
      <c r="CZ31" s="455">
        <f t="shared" si="10"/>
        <v>0</v>
      </c>
      <c r="DA31" s="272">
        <v>0</v>
      </c>
      <c r="DB31" s="272">
        <v>0</v>
      </c>
      <c r="DC31" s="272">
        <v>21995486</v>
      </c>
      <c r="DD31" s="272">
        <v>2895674</v>
      </c>
      <c r="DE31" s="272">
        <v>12249521</v>
      </c>
      <c r="DF31" s="272">
        <v>717769</v>
      </c>
      <c r="DG31" s="272">
        <v>6047220</v>
      </c>
      <c r="DH31" s="272">
        <v>12437</v>
      </c>
      <c r="DI31" s="272">
        <v>4461300</v>
      </c>
      <c r="DJ31" s="272">
        <v>2769500</v>
      </c>
      <c r="DK31" s="272">
        <v>16800</v>
      </c>
      <c r="DL31" s="272">
        <v>1675000</v>
      </c>
      <c r="DM31" s="272">
        <v>2473850</v>
      </c>
      <c r="DN31" s="272">
        <v>2278850</v>
      </c>
      <c r="DO31" s="272">
        <v>0</v>
      </c>
      <c r="DP31" s="272">
        <v>2278850</v>
      </c>
      <c r="DQ31" s="272">
        <v>3535554</v>
      </c>
      <c r="DR31" s="272">
        <v>0</v>
      </c>
      <c r="DS31" s="272">
        <v>0</v>
      </c>
      <c r="DT31" s="272">
        <v>16264995</v>
      </c>
      <c r="DU31" s="272">
        <v>9159547</v>
      </c>
      <c r="DV31" s="455">
        <f t="shared" si="11"/>
        <v>0</v>
      </c>
      <c r="DW31" s="272">
        <v>0</v>
      </c>
      <c r="DX31" s="272">
        <v>0</v>
      </c>
      <c r="DY31" s="272">
        <v>0</v>
      </c>
      <c r="DZ31" s="272">
        <v>5035000</v>
      </c>
      <c r="EA31" s="272">
        <v>2062838</v>
      </c>
      <c r="EB31" s="272"/>
      <c r="EC31" s="272">
        <v>0</v>
      </c>
      <c r="ED31" s="272">
        <v>167897827</v>
      </c>
      <c r="EF31" s="272">
        <v>1903932</v>
      </c>
      <c r="EG31" s="272">
        <v>429805</v>
      </c>
      <c r="EH31" s="272">
        <v>1474127</v>
      </c>
      <c r="EI31" s="272">
        <v>-674764</v>
      </c>
      <c r="EJ31" s="272">
        <v>294736</v>
      </c>
      <c r="EL31" s="272"/>
      <c r="EM31" s="272">
        <v>496964</v>
      </c>
      <c r="EN31" s="272">
        <v>1849970</v>
      </c>
      <c r="EO31" s="272">
        <v>591108</v>
      </c>
      <c r="EP31" s="455">
        <f t="shared" si="12"/>
        <v>5622795</v>
      </c>
      <c r="EQ31" s="272">
        <v>105306813</v>
      </c>
      <c r="ER31" s="272">
        <v>-11625206</v>
      </c>
      <c r="ES31" s="272">
        <v>43017154</v>
      </c>
      <c r="ET31" s="272">
        <v>32462063</v>
      </c>
      <c r="EU31" s="272">
        <v>7361462</v>
      </c>
      <c r="EV31" s="272">
        <v>16600569</v>
      </c>
      <c r="EW31" s="455">
        <f t="shared" si="13"/>
        <v>6048353</v>
      </c>
      <c r="EX31" s="272">
        <v>6035916</v>
      </c>
      <c r="EY31" s="272">
        <v>129977</v>
      </c>
      <c r="EZ31" s="272">
        <v>5894160</v>
      </c>
      <c r="FA31" s="272">
        <v>12437</v>
      </c>
      <c r="FB31" s="272"/>
      <c r="FC31" s="272">
        <v>10779405</v>
      </c>
      <c r="FD31" s="272">
        <v>9815558</v>
      </c>
      <c r="FE31" s="272">
        <v>4347124</v>
      </c>
      <c r="FF31" s="272">
        <v>15252967</v>
      </c>
      <c r="FG31" s="455">
        <f t="shared" si="14"/>
        <v>6152619</v>
      </c>
      <c r="FH31" s="272">
        <v>115028087</v>
      </c>
      <c r="FI31" s="384">
        <f t="shared" si="15"/>
        <v>1.5</v>
      </c>
      <c r="FJ31" s="272">
        <v>98155352</v>
      </c>
      <c r="FK31" s="272"/>
      <c r="FL31" s="272">
        <v>69655549</v>
      </c>
      <c r="FM31" s="272">
        <v>75369897</v>
      </c>
      <c r="FN31" s="460">
        <v>0.93200000000000005</v>
      </c>
      <c r="FO31" s="388">
        <v>99.8</v>
      </c>
      <c r="FP31" s="388">
        <v>44.2</v>
      </c>
      <c r="FQ31" s="388">
        <v>7.7</v>
      </c>
      <c r="FR31" s="388">
        <v>16.3</v>
      </c>
      <c r="FS31" s="388">
        <v>10.199999999999999</v>
      </c>
      <c r="FT31" s="388">
        <v>8.1</v>
      </c>
      <c r="FU31" s="388">
        <v>12.2</v>
      </c>
      <c r="FV31" s="388">
        <v>12</v>
      </c>
      <c r="FW31" s="272">
        <v>137969310</v>
      </c>
      <c r="FX31" s="384">
        <f t="shared" si="16"/>
        <v>140.6</v>
      </c>
      <c r="FY31" s="272">
        <v>27429785</v>
      </c>
      <c r="FZ31" s="272">
        <v>7559700</v>
      </c>
      <c r="GA31" s="272">
        <v>1341800</v>
      </c>
      <c r="GB31" s="272">
        <v>18528285</v>
      </c>
      <c r="GC31" s="272"/>
      <c r="GD31" s="272">
        <v>36162661</v>
      </c>
      <c r="GE31" s="384">
        <f t="shared" si="17"/>
        <v>36.799999999999997</v>
      </c>
      <c r="GF31" s="388">
        <v>96.5</v>
      </c>
      <c r="GG31" s="388">
        <v>25</v>
      </c>
      <c r="GH31" s="388">
        <v>90.1</v>
      </c>
      <c r="GI31" s="272">
        <v>4000</v>
      </c>
    </row>
    <row r="32" spans="2:191" x14ac:dyDescent="0.15">
      <c r="B32" s="89" t="s">
        <v>57</v>
      </c>
      <c r="C32" s="272">
        <v>10598954</v>
      </c>
      <c r="D32" s="455">
        <f t="shared" si="0"/>
        <v>2895632</v>
      </c>
      <c r="E32" s="272">
        <v>50050</v>
      </c>
      <c r="F32" s="272">
        <v>2845582</v>
      </c>
      <c r="G32" s="455">
        <f t="shared" si="1"/>
        <v>481494</v>
      </c>
      <c r="H32" s="272">
        <v>161320</v>
      </c>
      <c r="I32" s="272">
        <v>320174</v>
      </c>
      <c r="J32" s="272">
        <v>5813150</v>
      </c>
      <c r="K32" s="272">
        <v>2881299</v>
      </c>
      <c r="L32" s="272">
        <v>1341982</v>
      </c>
      <c r="M32" s="272">
        <v>1581932</v>
      </c>
      <c r="N32" s="272">
        <v>340434</v>
      </c>
      <c r="O32" s="272">
        <v>960571</v>
      </c>
      <c r="P32" s="272">
        <v>681497</v>
      </c>
      <c r="Q32" s="272">
        <v>279074</v>
      </c>
      <c r="R32" s="272">
        <v>262972</v>
      </c>
      <c r="S32" s="272">
        <v>90114</v>
      </c>
      <c r="T32" s="455">
        <f t="shared" si="2"/>
        <v>474059</v>
      </c>
      <c r="U32" s="272">
        <v>103279</v>
      </c>
      <c r="V32" s="272"/>
      <c r="W32" s="272"/>
      <c r="X32" s="272">
        <v>121303</v>
      </c>
      <c r="Y32" s="272">
        <v>76376</v>
      </c>
      <c r="Z32" s="272">
        <v>1795</v>
      </c>
      <c r="AA32" s="272">
        <v>171306</v>
      </c>
      <c r="AB32" s="272"/>
      <c r="AC32" s="272">
        <v>1559469</v>
      </c>
      <c r="AD32" s="272">
        <v>1106281</v>
      </c>
      <c r="AE32" s="272">
        <v>453188</v>
      </c>
      <c r="AF32" s="272">
        <v>14320</v>
      </c>
      <c r="AG32" s="272">
        <v>101587</v>
      </c>
      <c r="AH32" s="455">
        <f t="shared" si="3"/>
        <v>299838</v>
      </c>
      <c r="AI32" s="272">
        <v>171799</v>
      </c>
      <c r="AJ32" s="272">
        <v>128039</v>
      </c>
      <c r="AK32" s="272">
        <v>2030380</v>
      </c>
      <c r="AL32" s="455">
        <f t="shared" si="4"/>
        <v>1137264</v>
      </c>
      <c r="AM32" s="272">
        <v>928986</v>
      </c>
      <c r="AN32" s="272">
        <v>125527</v>
      </c>
      <c r="AO32" s="272">
        <v>0</v>
      </c>
      <c r="AP32" s="272">
        <v>82751</v>
      </c>
      <c r="AQ32" s="272">
        <v>498890</v>
      </c>
      <c r="AR32" s="272">
        <v>0</v>
      </c>
      <c r="AS32" s="272">
        <v>0</v>
      </c>
      <c r="AT32" s="272">
        <v>918459</v>
      </c>
      <c r="AU32" s="272">
        <v>307402</v>
      </c>
      <c r="AV32" s="272">
        <v>62335</v>
      </c>
      <c r="AW32" s="272">
        <v>40419</v>
      </c>
      <c r="AX32" s="272">
        <v>611057</v>
      </c>
      <c r="AY32" s="272">
        <v>104565</v>
      </c>
      <c r="AZ32" s="272">
        <v>140957</v>
      </c>
      <c r="BA32" s="272">
        <v>124564</v>
      </c>
      <c r="BB32" s="272">
        <v>371898</v>
      </c>
      <c r="BC32" s="272">
        <v>113441</v>
      </c>
      <c r="BD32" s="272">
        <v>0</v>
      </c>
      <c r="BE32" s="272">
        <v>0</v>
      </c>
      <c r="BF32" s="272">
        <v>106801</v>
      </c>
      <c r="BG32" s="272">
        <v>0</v>
      </c>
      <c r="BH32" s="272">
        <v>341135</v>
      </c>
      <c r="BI32" s="272">
        <v>28465</v>
      </c>
      <c r="BJ32" s="272">
        <v>168117</v>
      </c>
      <c r="BK32" s="272">
        <v>1800</v>
      </c>
      <c r="BL32" s="272">
        <v>0</v>
      </c>
      <c r="BM32" s="272">
        <v>0</v>
      </c>
      <c r="BN32" s="272">
        <v>1505600</v>
      </c>
      <c r="BO32" s="455">
        <f t="shared" si="5"/>
        <v>1163000</v>
      </c>
      <c r="BP32" s="455">
        <f t="shared" si="6"/>
        <v>342600</v>
      </c>
      <c r="BQ32" s="272"/>
      <c r="BR32" s="272">
        <v>342600</v>
      </c>
      <c r="BS32" s="272"/>
      <c r="BT32" s="272">
        <v>0</v>
      </c>
      <c r="BU32" s="272">
        <v>18901186</v>
      </c>
      <c r="BV32" s="272"/>
      <c r="BW32" s="272">
        <v>6195437</v>
      </c>
      <c r="BX32" s="272">
        <v>4657117</v>
      </c>
      <c r="BY32" s="272">
        <v>190046</v>
      </c>
      <c r="BZ32" s="272">
        <v>206964</v>
      </c>
      <c r="CA32" s="272">
        <v>2319940</v>
      </c>
      <c r="CB32" s="272">
        <v>335568</v>
      </c>
      <c r="CC32" s="272">
        <v>503139</v>
      </c>
      <c r="CD32" s="272">
        <v>307035</v>
      </c>
      <c r="CE32" s="272">
        <v>1138373</v>
      </c>
      <c r="CF32" s="272">
        <v>0</v>
      </c>
      <c r="CG32" s="272">
        <v>35765</v>
      </c>
      <c r="CH32" s="272">
        <v>2110864</v>
      </c>
      <c r="CI32" s="272">
        <v>1141682</v>
      </c>
      <c r="CJ32" s="455">
        <f t="shared" si="7"/>
        <v>969182</v>
      </c>
      <c r="CK32" s="272">
        <v>2240169</v>
      </c>
      <c r="CL32" s="272">
        <v>1135021</v>
      </c>
      <c r="CM32" s="272">
        <v>149450</v>
      </c>
      <c r="CN32" s="272">
        <v>543739</v>
      </c>
      <c r="CO32" s="272">
        <v>146337</v>
      </c>
      <c r="CP32" s="272">
        <v>1264933</v>
      </c>
      <c r="CQ32" s="272">
        <v>534681</v>
      </c>
      <c r="CR32" s="272">
        <v>349181</v>
      </c>
      <c r="CS32" s="272">
        <v>177117</v>
      </c>
      <c r="CT32" s="455">
        <f t="shared" si="8"/>
        <v>2276</v>
      </c>
      <c r="CU32" s="272">
        <v>2276</v>
      </c>
      <c r="CV32" s="272">
        <v>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2457940</v>
      </c>
      <c r="DD32" s="272">
        <v>967293</v>
      </c>
      <c r="DE32" s="272">
        <v>1375725</v>
      </c>
      <c r="DF32" s="272">
        <v>114922</v>
      </c>
      <c r="DG32" s="272">
        <v>0</v>
      </c>
      <c r="DH32" s="272">
        <v>0</v>
      </c>
      <c r="DI32" s="272">
        <v>444700</v>
      </c>
      <c r="DJ32" s="272">
        <v>0</v>
      </c>
      <c r="DK32" s="272">
        <v>45648</v>
      </c>
      <c r="DL32" s="272">
        <v>399052</v>
      </c>
      <c r="DM32" s="272">
        <v>26000</v>
      </c>
      <c r="DN32" s="272">
        <v>26000</v>
      </c>
      <c r="DO32" s="272">
        <v>26000</v>
      </c>
      <c r="DP32" s="272">
        <v>0</v>
      </c>
      <c r="DQ32" s="272">
        <v>0</v>
      </c>
      <c r="DR32" s="272">
        <v>0</v>
      </c>
      <c r="DS32" s="272">
        <v>0</v>
      </c>
      <c r="DT32" s="272">
        <v>1640529</v>
      </c>
      <c r="DU32" s="272">
        <v>827232</v>
      </c>
      <c r="DV32" s="455">
        <f t="shared" si="11"/>
        <v>0</v>
      </c>
      <c r="DW32" s="272">
        <v>0</v>
      </c>
      <c r="DX32" s="272">
        <v>0</v>
      </c>
      <c r="DY32" s="272">
        <v>0</v>
      </c>
      <c r="DZ32" s="272">
        <v>569076</v>
      </c>
      <c r="EA32" s="272">
        <v>244221</v>
      </c>
      <c r="EB32" s="272"/>
      <c r="EC32" s="272">
        <v>0</v>
      </c>
      <c r="ED32" s="272">
        <v>18846849</v>
      </c>
      <c r="EF32" s="272">
        <v>54337</v>
      </c>
      <c r="EG32" s="272">
        <v>12681</v>
      </c>
      <c r="EH32" s="272">
        <v>41656</v>
      </c>
      <c r="EI32" s="272">
        <v>13191</v>
      </c>
      <c r="EJ32" s="272">
        <v>13191</v>
      </c>
      <c r="EL32" s="272"/>
      <c r="EM32" s="272">
        <v>63241</v>
      </c>
      <c r="EN32" s="272">
        <v>0</v>
      </c>
      <c r="EO32" s="272">
        <v>10565</v>
      </c>
      <c r="EP32" s="455">
        <f t="shared" si="12"/>
        <v>499572</v>
      </c>
      <c r="EQ32" s="272">
        <v>12909774</v>
      </c>
      <c r="ER32" s="272">
        <v>-838417</v>
      </c>
      <c r="ES32" s="272">
        <v>5759009</v>
      </c>
      <c r="ET32" s="272">
        <v>4220689</v>
      </c>
      <c r="EU32" s="272">
        <v>676583</v>
      </c>
      <c r="EV32" s="272">
        <v>2078436</v>
      </c>
      <c r="EW32" s="455">
        <f t="shared" si="13"/>
        <v>268922</v>
      </c>
      <c r="EX32" s="272">
        <v>268922</v>
      </c>
      <c r="EY32" s="272">
        <v>15772</v>
      </c>
      <c r="EZ32" s="272">
        <v>231273</v>
      </c>
      <c r="FA32" s="272">
        <v>0</v>
      </c>
      <c r="FB32" s="272"/>
      <c r="FC32" s="272">
        <v>1824193</v>
      </c>
      <c r="FD32" s="272">
        <v>1190879</v>
      </c>
      <c r="FE32" s="272">
        <v>534681</v>
      </c>
      <c r="FF32" s="272">
        <v>1489981</v>
      </c>
      <c r="FG32" s="455">
        <f t="shared" si="14"/>
        <v>405851</v>
      </c>
      <c r="FH32" s="272">
        <v>13693854</v>
      </c>
      <c r="FI32" s="384">
        <f t="shared" si="15"/>
        <v>0.3</v>
      </c>
      <c r="FJ32" s="272">
        <v>12093908</v>
      </c>
      <c r="FK32" s="272"/>
      <c r="FL32" s="272">
        <v>8289536</v>
      </c>
      <c r="FM32" s="272">
        <v>9356897</v>
      </c>
      <c r="FN32" s="460">
        <v>0.90800000000000003</v>
      </c>
      <c r="FO32" s="388">
        <v>103.5</v>
      </c>
      <c r="FP32" s="388">
        <v>49</v>
      </c>
      <c r="FQ32" s="388">
        <v>5.9</v>
      </c>
      <c r="FR32" s="388">
        <v>18</v>
      </c>
      <c r="FS32" s="388">
        <v>13.7</v>
      </c>
      <c r="FT32" s="388">
        <v>8.3000000000000007</v>
      </c>
      <c r="FU32" s="388">
        <v>7.5</v>
      </c>
      <c r="FV32" s="388">
        <v>12.6</v>
      </c>
      <c r="FW32" s="272">
        <v>24734823</v>
      </c>
      <c r="FX32" s="384">
        <f t="shared" si="16"/>
        <v>204.5</v>
      </c>
      <c r="FY32" s="272">
        <v>2829352</v>
      </c>
      <c r="FZ32" s="272"/>
      <c r="GA32" s="272">
        <v>392322</v>
      </c>
      <c r="GB32" s="272">
        <v>2437030</v>
      </c>
      <c r="GC32" s="272"/>
      <c r="GD32" s="272">
        <v>13068085</v>
      </c>
      <c r="GE32" s="384">
        <f t="shared" si="17"/>
        <v>108.1</v>
      </c>
      <c r="GF32" s="388">
        <v>94</v>
      </c>
      <c r="GG32" s="388">
        <v>13</v>
      </c>
      <c r="GH32" s="388">
        <v>83.6</v>
      </c>
      <c r="GI32" s="272">
        <v>669</v>
      </c>
    </row>
    <row r="33" spans="2:191" x14ac:dyDescent="0.15">
      <c r="B33" s="89" t="s">
        <v>59</v>
      </c>
      <c r="C33" s="272">
        <v>7432313</v>
      </c>
      <c r="D33" s="455">
        <f t="shared" si="0"/>
        <v>3233832</v>
      </c>
      <c r="E33" s="272">
        <v>52172</v>
      </c>
      <c r="F33" s="272">
        <v>3181660</v>
      </c>
      <c r="G33" s="455">
        <f t="shared" si="1"/>
        <v>392210</v>
      </c>
      <c r="H33" s="272">
        <v>96785</v>
      </c>
      <c r="I33" s="272">
        <v>295425</v>
      </c>
      <c r="J33" s="272">
        <v>2809129</v>
      </c>
      <c r="K33" s="272">
        <v>1586351</v>
      </c>
      <c r="L33" s="272">
        <v>948706</v>
      </c>
      <c r="M33" s="272">
        <v>262926</v>
      </c>
      <c r="N33" s="272">
        <v>258618</v>
      </c>
      <c r="O33" s="272">
        <v>682952</v>
      </c>
      <c r="P33" s="272">
        <v>475046</v>
      </c>
      <c r="Q33" s="272">
        <v>207906</v>
      </c>
      <c r="R33" s="272">
        <v>176235</v>
      </c>
      <c r="S33" s="272">
        <v>76533</v>
      </c>
      <c r="T33" s="455">
        <f t="shared" si="2"/>
        <v>398287</v>
      </c>
      <c r="U33" s="272">
        <v>109881</v>
      </c>
      <c r="V33" s="272"/>
      <c r="W33" s="272"/>
      <c r="X33" s="272">
        <v>103326</v>
      </c>
      <c r="Y33" s="272">
        <v>47971</v>
      </c>
      <c r="Z33" s="272">
        <v>837</v>
      </c>
      <c r="AA33" s="272">
        <v>136272</v>
      </c>
      <c r="AB33" s="272"/>
      <c r="AC33" s="272">
        <v>3579715</v>
      </c>
      <c r="AD33" s="272">
        <v>3253111</v>
      </c>
      <c r="AE33" s="272">
        <v>326604</v>
      </c>
      <c r="AF33" s="272">
        <v>11171</v>
      </c>
      <c r="AG33" s="272">
        <v>404532</v>
      </c>
      <c r="AH33" s="455">
        <f t="shared" si="3"/>
        <v>203283</v>
      </c>
      <c r="AI33" s="272">
        <v>102252</v>
      </c>
      <c r="AJ33" s="272">
        <v>101031</v>
      </c>
      <c r="AK33" s="272">
        <v>1191407</v>
      </c>
      <c r="AL33" s="455">
        <f t="shared" si="4"/>
        <v>795609</v>
      </c>
      <c r="AM33" s="272">
        <v>460440</v>
      </c>
      <c r="AN33" s="272">
        <v>188225</v>
      </c>
      <c r="AO33" s="272">
        <v>0</v>
      </c>
      <c r="AP33" s="272">
        <v>146944</v>
      </c>
      <c r="AQ33" s="272">
        <v>125578</v>
      </c>
      <c r="AR33" s="272">
        <v>0</v>
      </c>
      <c r="AS33" s="272">
        <v>0</v>
      </c>
      <c r="AT33" s="272">
        <v>867598</v>
      </c>
      <c r="AU33" s="272">
        <v>295049</v>
      </c>
      <c r="AV33" s="272">
        <v>67352</v>
      </c>
      <c r="AW33" s="272">
        <v>0</v>
      </c>
      <c r="AX33" s="272">
        <v>572549</v>
      </c>
      <c r="AY33" s="272">
        <v>171830</v>
      </c>
      <c r="AZ33" s="272">
        <v>19480</v>
      </c>
      <c r="BA33" s="272">
        <v>4488</v>
      </c>
      <c r="BB33" s="272">
        <v>32643</v>
      </c>
      <c r="BC33" s="272">
        <v>75498</v>
      </c>
      <c r="BD33" s="272">
        <v>0</v>
      </c>
      <c r="BE33" s="272">
        <v>66500</v>
      </c>
      <c r="BF33" s="272">
        <v>4966</v>
      </c>
      <c r="BG33" s="272">
        <v>0</v>
      </c>
      <c r="BH33" s="272">
        <v>87592</v>
      </c>
      <c r="BI33" s="272">
        <v>61763</v>
      </c>
      <c r="BJ33" s="272">
        <v>94285</v>
      </c>
      <c r="BK33" s="272">
        <v>7000</v>
      </c>
      <c r="BL33" s="272">
        <v>0</v>
      </c>
      <c r="BM33" s="272">
        <v>0</v>
      </c>
      <c r="BN33" s="272">
        <v>1949600</v>
      </c>
      <c r="BO33" s="455">
        <f t="shared" si="5"/>
        <v>1657800</v>
      </c>
      <c r="BP33" s="455">
        <f t="shared" si="6"/>
        <v>291800</v>
      </c>
      <c r="BQ33" s="272"/>
      <c r="BR33" s="272">
        <v>291800</v>
      </c>
      <c r="BS33" s="272"/>
      <c r="BT33" s="272">
        <v>0</v>
      </c>
      <c r="BU33" s="272">
        <v>16523639</v>
      </c>
      <c r="BV33" s="272"/>
      <c r="BW33" s="272">
        <v>4991715</v>
      </c>
      <c r="BX33" s="272">
        <v>3862700</v>
      </c>
      <c r="BY33" s="272">
        <v>95857</v>
      </c>
      <c r="BZ33" s="272">
        <v>86134</v>
      </c>
      <c r="CA33" s="272">
        <v>2134048</v>
      </c>
      <c r="CB33" s="272">
        <v>247831</v>
      </c>
      <c r="CC33" s="272">
        <v>785284</v>
      </c>
      <c r="CD33" s="272">
        <v>403860</v>
      </c>
      <c r="CE33" s="272">
        <v>657723</v>
      </c>
      <c r="CF33" s="272">
        <v>4447</v>
      </c>
      <c r="CG33" s="272">
        <v>34389</v>
      </c>
      <c r="CH33" s="272">
        <v>1735526</v>
      </c>
      <c r="CI33" s="272">
        <v>1000756</v>
      </c>
      <c r="CJ33" s="455">
        <f t="shared" si="7"/>
        <v>734770</v>
      </c>
      <c r="CK33" s="272">
        <v>2242809</v>
      </c>
      <c r="CL33" s="272">
        <v>1445820</v>
      </c>
      <c r="CM33" s="272">
        <v>134723</v>
      </c>
      <c r="CN33" s="272">
        <v>300631</v>
      </c>
      <c r="CO33" s="272">
        <v>61823</v>
      </c>
      <c r="CP33" s="272">
        <v>1374011</v>
      </c>
      <c r="CQ33" s="272">
        <v>554065</v>
      </c>
      <c r="CR33" s="272">
        <v>352949</v>
      </c>
      <c r="CS33" s="272">
        <v>322633</v>
      </c>
      <c r="CT33" s="455">
        <f t="shared" si="8"/>
        <v>45636</v>
      </c>
      <c r="CU33" s="272">
        <v>34045</v>
      </c>
      <c r="CV33" s="272">
        <v>11591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2350714</v>
      </c>
      <c r="DD33" s="272">
        <v>331347</v>
      </c>
      <c r="DE33" s="272">
        <v>1974663</v>
      </c>
      <c r="DF33" s="272">
        <v>44704</v>
      </c>
      <c r="DG33" s="272">
        <v>0</v>
      </c>
      <c r="DH33" s="272">
        <v>8321</v>
      </c>
      <c r="DI33" s="272">
        <v>101761</v>
      </c>
      <c r="DJ33" s="272">
        <v>33964</v>
      </c>
      <c r="DK33" s="272">
        <v>1347</v>
      </c>
      <c r="DL33" s="272">
        <v>66450</v>
      </c>
      <c r="DM33" s="272">
        <v>0</v>
      </c>
      <c r="DN33" s="272">
        <v>0</v>
      </c>
      <c r="DO33" s="272">
        <v>0</v>
      </c>
      <c r="DP33" s="272">
        <v>0</v>
      </c>
      <c r="DQ33" s="272">
        <v>7000</v>
      </c>
      <c r="DR33" s="272">
        <v>0</v>
      </c>
      <c r="DS33" s="272">
        <v>0</v>
      </c>
      <c r="DT33" s="272">
        <v>1639093</v>
      </c>
      <c r="DU33" s="272">
        <v>1123257</v>
      </c>
      <c r="DV33" s="455">
        <f t="shared" si="11"/>
        <v>0</v>
      </c>
      <c r="DW33" s="272">
        <v>0</v>
      </c>
      <c r="DX33" s="272">
        <v>0</v>
      </c>
      <c r="DY33" s="272">
        <v>0</v>
      </c>
      <c r="DZ33" s="272">
        <v>337996</v>
      </c>
      <c r="EA33" s="272">
        <v>177840</v>
      </c>
      <c r="EB33" s="272"/>
      <c r="EC33" s="272">
        <v>0</v>
      </c>
      <c r="ED33" s="272">
        <v>16646821</v>
      </c>
      <c r="EF33" s="272">
        <v>-123182</v>
      </c>
      <c r="EG33" s="272">
        <v>2415</v>
      </c>
      <c r="EH33" s="272">
        <v>-125597</v>
      </c>
      <c r="EI33" s="272">
        <v>-187360</v>
      </c>
      <c r="EJ33" s="272">
        <v>-73365</v>
      </c>
      <c r="EL33" s="272"/>
      <c r="EM33" s="272">
        <v>54299</v>
      </c>
      <c r="EN33" s="272">
        <v>70532</v>
      </c>
      <c r="EO33" s="272">
        <v>9801</v>
      </c>
      <c r="EP33" s="455">
        <f t="shared" si="12"/>
        <v>128335</v>
      </c>
      <c r="EQ33" s="272">
        <v>11597721</v>
      </c>
      <c r="ER33" s="272">
        <v>-489297</v>
      </c>
      <c r="ES33" s="272">
        <v>4655180</v>
      </c>
      <c r="ET33" s="272">
        <v>3551098</v>
      </c>
      <c r="EU33" s="272">
        <v>718103</v>
      </c>
      <c r="EV33" s="272">
        <v>1735526</v>
      </c>
      <c r="EW33" s="455">
        <f t="shared" si="13"/>
        <v>413642</v>
      </c>
      <c r="EX33" s="272">
        <v>409658</v>
      </c>
      <c r="EY33" s="272">
        <v>56669</v>
      </c>
      <c r="EZ33" s="272">
        <v>322385</v>
      </c>
      <c r="FA33" s="272">
        <v>3984</v>
      </c>
      <c r="FB33" s="272"/>
      <c r="FC33" s="272">
        <v>1772940</v>
      </c>
      <c r="FD33" s="272">
        <v>1231190</v>
      </c>
      <c r="FE33" s="272">
        <v>554065</v>
      </c>
      <c r="FF33" s="272">
        <v>1531464</v>
      </c>
      <c r="FG33" s="455">
        <f t="shared" si="14"/>
        <v>152155</v>
      </c>
      <c r="FH33" s="272">
        <v>12210200</v>
      </c>
      <c r="FI33" s="384">
        <f t="shared" si="15"/>
        <v>-1.2</v>
      </c>
      <c r="FJ33" s="272">
        <v>10809168</v>
      </c>
      <c r="FK33" s="272"/>
      <c r="FL33" s="272">
        <v>5695395</v>
      </c>
      <c r="FM33" s="272">
        <v>8955363</v>
      </c>
      <c r="FN33" s="460">
        <v>0.64100000000000001</v>
      </c>
      <c r="FO33" s="388">
        <v>102.8</v>
      </c>
      <c r="FP33" s="388">
        <v>43.2</v>
      </c>
      <c r="FQ33" s="388">
        <v>6.7</v>
      </c>
      <c r="FR33" s="388">
        <v>15.6</v>
      </c>
      <c r="FS33" s="388">
        <v>15.7</v>
      </c>
      <c r="FT33" s="388">
        <v>9.6999999999999993</v>
      </c>
      <c r="FU33" s="388">
        <v>11.3</v>
      </c>
      <c r="FV33" s="388">
        <v>10.1</v>
      </c>
      <c r="FW33" s="272">
        <v>18272558</v>
      </c>
      <c r="FX33" s="384">
        <f t="shared" si="16"/>
        <v>169</v>
      </c>
      <c r="FY33" s="272">
        <v>1330745</v>
      </c>
      <c r="FZ33" s="272">
        <v>175660</v>
      </c>
      <c r="GA33" s="272">
        <v>122789</v>
      </c>
      <c r="GB33" s="272">
        <v>1032296</v>
      </c>
      <c r="GC33" s="272"/>
      <c r="GD33" s="272">
        <v>7087395</v>
      </c>
      <c r="GE33" s="384">
        <f t="shared" si="17"/>
        <v>65.599999999999994</v>
      </c>
      <c r="GF33" s="388">
        <v>96.5</v>
      </c>
      <c r="GG33" s="388">
        <v>33.200000000000003</v>
      </c>
      <c r="GH33" s="388">
        <v>92.2</v>
      </c>
      <c r="GI33" s="272">
        <v>508</v>
      </c>
    </row>
    <row r="34" spans="2:191" x14ac:dyDescent="0.15">
      <c r="B34" s="89" t="s">
        <v>61</v>
      </c>
      <c r="C34" s="272">
        <v>10237462</v>
      </c>
      <c r="D34" s="455">
        <f t="shared" si="0"/>
        <v>5508097</v>
      </c>
      <c r="E34" s="272">
        <v>70045</v>
      </c>
      <c r="F34" s="272">
        <v>5438052</v>
      </c>
      <c r="G34" s="455">
        <f t="shared" si="1"/>
        <v>437644</v>
      </c>
      <c r="H34" s="272">
        <v>105479</v>
      </c>
      <c r="I34" s="272">
        <v>332165</v>
      </c>
      <c r="J34" s="272">
        <v>3160436</v>
      </c>
      <c r="K34" s="272">
        <v>1456553</v>
      </c>
      <c r="L34" s="272">
        <v>1195578</v>
      </c>
      <c r="M34" s="272">
        <v>469751</v>
      </c>
      <c r="N34" s="272">
        <v>303217</v>
      </c>
      <c r="O34" s="272">
        <v>773692</v>
      </c>
      <c r="P34" s="272">
        <v>485492</v>
      </c>
      <c r="Q34" s="272">
        <v>288200</v>
      </c>
      <c r="R34" s="272">
        <v>243078</v>
      </c>
      <c r="S34" s="272">
        <v>95869</v>
      </c>
      <c r="T34" s="455">
        <f t="shared" si="2"/>
        <v>646467</v>
      </c>
      <c r="U34" s="272">
        <v>183776</v>
      </c>
      <c r="V34" s="272"/>
      <c r="W34" s="272"/>
      <c r="X34" s="272">
        <v>130554</v>
      </c>
      <c r="Y34" s="272">
        <v>130824</v>
      </c>
      <c r="Z34" s="272">
        <v>205</v>
      </c>
      <c r="AA34" s="272">
        <v>201108</v>
      </c>
      <c r="AB34" s="272"/>
      <c r="AC34" s="272">
        <v>3350951</v>
      </c>
      <c r="AD34" s="272">
        <v>3106876</v>
      </c>
      <c r="AE34" s="272">
        <v>244075</v>
      </c>
      <c r="AF34" s="272">
        <v>14722</v>
      </c>
      <c r="AG34" s="272">
        <v>223117</v>
      </c>
      <c r="AH34" s="455">
        <f t="shared" si="3"/>
        <v>148498</v>
      </c>
      <c r="AI34" s="272">
        <v>85014</v>
      </c>
      <c r="AJ34" s="272">
        <v>63484</v>
      </c>
      <c r="AK34" s="272">
        <v>1411238</v>
      </c>
      <c r="AL34" s="455">
        <f t="shared" si="4"/>
        <v>737527</v>
      </c>
      <c r="AM34" s="272">
        <v>390275</v>
      </c>
      <c r="AN34" s="272">
        <v>156626</v>
      </c>
      <c r="AO34" s="272">
        <v>0</v>
      </c>
      <c r="AP34" s="272">
        <v>190626</v>
      </c>
      <c r="AQ34" s="272">
        <v>146254</v>
      </c>
      <c r="AR34" s="272">
        <v>7650</v>
      </c>
      <c r="AS34" s="272">
        <v>0</v>
      </c>
      <c r="AT34" s="272">
        <v>929877</v>
      </c>
      <c r="AU34" s="272">
        <v>273099</v>
      </c>
      <c r="AV34" s="272">
        <v>77830</v>
      </c>
      <c r="AW34" s="272">
        <v>0</v>
      </c>
      <c r="AX34" s="272">
        <v>656778</v>
      </c>
      <c r="AY34" s="272">
        <v>141000</v>
      </c>
      <c r="AZ34" s="272">
        <v>53132</v>
      </c>
      <c r="BA34" s="272">
        <v>18851</v>
      </c>
      <c r="BB34" s="272">
        <v>91092</v>
      </c>
      <c r="BC34" s="272">
        <v>852089</v>
      </c>
      <c r="BD34" s="272">
        <v>40000</v>
      </c>
      <c r="BE34" s="272">
        <v>268000</v>
      </c>
      <c r="BF34" s="272">
        <v>543800</v>
      </c>
      <c r="BG34" s="272">
        <v>0</v>
      </c>
      <c r="BH34" s="272">
        <v>93703</v>
      </c>
      <c r="BI34" s="272">
        <v>0</v>
      </c>
      <c r="BJ34" s="272">
        <v>1062940</v>
      </c>
      <c r="BK34" s="272">
        <v>1001943</v>
      </c>
      <c r="BL34" s="272">
        <v>0</v>
      </c>
      <c r="BM34" s="272">
        <v>0</v>
      </c>
      <c r="BN34" s="272">
        <v>1757600</v>
      </c>
      <c r="BO34" s="455">
        <f t="shared" si="5"/>
        <v>1388900</v>
      </c>
      <c r="BP34" s="455">
        <f t="shared" si="6"/>
        <v>368700</v>
      </c>
      <c r="BQ34" s="272"/>
      <c r="BR34" s="272">
        <v>368700</v>
      </c>
      <c r="BS34" s="272"/>
      <c r="BT34" s="272">
        <v>0</v>
      </c>
      <c r="BU34" s="272">
        <v>21115966</v>
      </c>
      <c r="BV34" s="272"/>
      <c r="BW34" s="272">
        <v>6289439</v>
      </c>
      <c r="BX34" s="272">
        <v>4671810</v>
      </c>
      <c r="BY34" s="272">
        <v>281282</v>
      </c>
      <c r="BZ34" s="272">
        <v>220066</v>
      </c>
      <c r="CA34" s="272">
        <v>2429189</v>
      </c>
      <c r="CB34" s="272">
        <v>379088</v>
      </c>
      <c r="CC34" s="272">
        <v>791300</v>
      </c>
      <c r="CD34" s="272">
        <v>643803</v>
      </c>
      <c r="CE34" s="272">
        <v>525244</v>
      </c>
      <c r="CF34" s="272">
        <v>0</v>
      </c>
      <c r="CG34" s="272">
        <v>89754</v>
      </c>
      <c r="CH34" s="272">
        <v>3070201</v>
      </c>
      <c r="CI34" s="272">
        <v>1592910</v>
      </c>
      <c r="CJ34" s="455">
        <f t="shared" si="7"/>
        <v>1477291</v>
      </c>
      <c r="CK34" s="272">
        <v>2635738</v>
      </c>
      <c r="CL34" s="272">
        <v>1600791</v>
      </c>
      <c r="CM34" s="272">
        <v>125494</v>
      </c>
      <c r="CN34" s="272">
        <v>512461</v>
      </c>
      <c r="CO34" s="272">
        <v>103694</v>
      </c>
      <c r="CP34" s="272">
        <v>1279246</v>
      </c>
      <c r="CQ34" s="272">
        <v>493369</v>
      </c>
      <c r="CR34" s="272">
        <v>441293</v>
      </c>
      <c r="CS34" s="272">
        <v>441293</v>
      </c>
      <c r="CT34" s="455">
        <f t="shared" si="8"/>
        <v>4079</v>
      </c>
      <c r="CU34" s="272">
        <v>4079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2918899</v>
      </c>
      <c r="DD34" s="272">
        <v>303572</v>
      </c>
      <c r="DE34" s="272">
        <v>2615327</v>
      </c>
      <c r="DF34" s="272">
        <v>0</v>
      </c>
      <c r="DG34" s="272">
        <v>0</v>
      </c>
      <c r="DH34" s="272">
        <v>55912</v>
      </c>
      <c r="DI34" s="272">
        <v>119468</v>
      </c>
      <c r="DJ34" s="272">
        <v>4128</v>
      </c>
      <c r="DK34" s="272">
        <v>2952</v>
      </c>
      <c r="DL34" s="272">
        <v>112388</v>
      </c>
      <c r="DM34" s="272">
        <v>0</v>
      </c>
      <c r="DN34" s="272">
        <v>0</v>
      </c>
      <c r="DO34" s="272">
        <v>0</v>
      </c>
      <c r="DP34" s="272">
        <v>0</v>
      </c>
      <c r="DQ34" s="272">
        <v>1000000</v>
      </c>
      <c r="DR34" s="272">
        <v>0</v>
      </c>
      <c r="DS34" s="272">
        <v>0</v>
      </c>
      <c r="DT34" s="272">
        <v>1136911</v>
      </c>
      <c r="DU34" s="272">
        <v>600000</v>
      </c>
      <c r="DV34" s="455">
        <f t="shared" si="11"/>
        <v>0</v>
      </c>
      <c r="DW34" s="272">
        <v>0</v>
      </c>
      <c r="DX34" s="272">
        <v>0</v>
      </c>
      <c r="DY34" s="272">
        <v>0</v>
      </c>
      <c r="DZ34" s="272">
        <v>272614</v>
      </c>
      <c r="EA34" s="272">
        <v>258028</v>
      </c>
      <c r="EB34" s="272"/>
      <c r="EC34" s="272">
        <v>57419</v>
      </c>
      <c r="ED34" s="272">
        <v>21096116</v>
      </c>
      <c r="EF34" s="272">
        <v>19850</v>
      </c>
      <c r="EG34" s="272">
        <v>60017</v>
      </c>
      <c r="EH34" s="272">
        <v>-40167</v>
      </c>
      <c r="EI34" s="272">
        <v>17252</v>
      </c>
      <c r="EJ34" s="272">
        <v>-18620</v>
      </c>
      <c r="EL34" s="272"/>
      <c r="EM34" s="272">
        <v>75673</v>
      </c>
      <c r="EN34" s="272">
        <v>308289</v>
      </c>
      <c r="EO34" s="272">
        <v>27192</v>
      </c>
      <c r="EP34" s="455">
        <f t="shared" si="12"/>
        <v>258044</v>
      </c>
      <c r="EQ34" s="272">
        <v>14492680</v>
      </c>
      <c r="ER34" s="272">
        <v>-947503</v>
      </c>
      <c r="ES34" s="272">
        <v>6035778</v>
      </c>
      <c r="ET34" s="272">
        <v>4430006</v>
      </c>
      <c r="EU34" s="272">
        <v>929125</v>
      </c>
      <c r="EV34" s="272">
        <v>3070201</v>
      </c>
      <c r="EW34" s="455">
        <f t="shared" si="13"/>
        <v>875004</v>
      </c>
      <c r="EX34" s="272">
        <v>830542</v>
      </c>
      <c r="EY34" s="272">
        <v>5818</v>
      </c>
      <c r="EZ34" s="272">
        <v>824724</v>
      </c>
      <c r="FA34" s="272">
        <v>44462</v>
      </c>
      <c r="FB34" s="272"/>
      <c r="FC34" s="272">
        <v>2009319</v>
      </c>
      <c r="FD34" s="272">
        <v>1173869</v>
      </c>
      <c r="FE34" s="272">
        <v>493369</v>
      </c>
      <c r="FF34" s="272">
        <v>1067303</v>
      </c>
      <c r="FG34" s="455">
        <f t="shared" si="14"/>
        <v>259734</v>
      </c>
      <c r="FH34" s="272">
        <v>15420333</v>
      </c>
      <c r="FI34" s="384">
        <f t="shared" si="15"/>
        <v>-0.3</v>
      </c>
      <c r="FJ34" s="272">
        <v>14020799</v>
      </c>
      <c r="FK34" s="272"/>
      <c r="FL34" s="272">
        <v>8226979</v>
      </c>
      <c r="FM34" s="272">
        <v>11325261</v>
      </c>
      <c r="FN34" s="460">
        <v>0.75</v>
      </c>
      <c r="FO34" s="388">
        <v>99.8</v>
      </c>
      <c r="FP34" s="388">
        <v>44.5</v>
      </c>
      <c r="FQ34" s="388">
        <v>6.9</v>
      </c>
      <c r="FR34" s="388">
        <v>22.7</v>
      </c>
      <c r="FS34" s="388">
        <v>13.4</v>
      </c>
      <c r="FT34" s="388">
        <v>7.4</v>
      </c>
      <c r="FU34" s="388">
        <v>4.2</v>
      </c>
      <c r="FV34" s="388">
        <v>14.2</v>
      </c>
      <c r="FW34" s="272">
        <v>36102844</v>
      </c>
      <c r="FX34" s="384">
        <f t="shared" si="16"/>
        <v>257.5</v>
      </c>
      <c r="FY34" s="272">
        <v>2164164</v>
      </c>
      <c r="FZ34" s="272">
        <v>576829</v>
      </c>
      <c r="GA34" s="272">
        <v>160565</v>
      </c>
      <c r="GB34" s="272">
        <v>1426770</v>
      </c>
      <c r="GC34" s="272"/>
      <c r="GD34" s="272">
        <v>36824867</v>
      </c>
      <c r="GE34" s="384">
        <f t="shared" si="17"/>
        <v>262.60000000000002</v>
      </c>
      <c r="GF34" s="388">
        <v>97.2</v>
      </c>
      <c r="GG34" s="388">
        <v>16.3</v>
      </c>
      <c r="GH34" s="388">
        <v>91.7</v>
      </c>
      <c r="GI34" s="272">
        <v>625</v>
      </c>
    </row>
    <row r="35" spans="2:191" x14ac:dyDescent="0.15">
      <c r="B35" s="89" t="s">
        <v>63</v>
      </c>
      <c r="C35" s="272">
        <v>8381842</v>
      </c>
      <c r="D35" s="455">
        <f t="shared" si="0"/>
        <v>4498752</v>
      </c>
      <c r="E35" s="272">
        <v>53016</v>
      </c>
      <c r="F35" s="272">
        <v>4445736</v>
      </c>
      <c r="G35" s="455">
        <f t="shared" si="1"/>
        <v>320358</v>
      </c>
      <c r="H35" s="272">
        <v>79845</v>
      </c>
      <c r="I35" s="272">
        <v>240513</v>
      </c>
      <c r="J35" s="272">
        <v>2789067</v>
      </c>
      <c r="K35" s="272">
        <v>1358277</v>
      </c>
      <c r="L35" s="272">
        <v>1126757</v>
      </c>
      <c r="M35" s="272">
        <v>276806</v>
      </c>
      <c r="N35" s="272">
        <v>249032</v>
      </c>
      <c r="O35" s="272">
        <v>457702</v>
      </c>
      <c r="P35" s="272">
        <v>301632</v>
      </c>
      <c r="Q35" s="272">
        <v>156070</v>
      </c>
      <c r="R35" s="272">
        <v>198344</v>
      </c>
      <c r="S35" s="272">
        <v>82162</v>
      </c>
      <c r="T35" s="455">
        <f t="shared" si="2"/>
        <v>423712</v>
      </c>
      <c r="U35" s="272">
        <v>152553</v>
      </c>
      <c r="V35" s="272"/>
      <c r="W35" s="272"/>
      <c r="X35" s="272">
        <v>110911</v>
      </c>
      <c r="Y35" s="272">
        <v>0</v>
      </c>
      <c r="Z35" s="272">
        <v>1616</v>
      </c>
      <c r="AA35" s="272">
        <v>158632</v>
      </c>
      <c r="AB35" s="272"/>
      <c r="AC35" s="272">
        <v>2753101</v>
      </c>
      <c r="AD35" s="272">
        <v>2411615</v>
      </c>
      <c r="AE35" s="272">
        <v>341486</v>
      </c>
      <c r="AF35" s="272">
        <v>14186</v>
      </c>
      <c r="AG35" s="272">
        <v>278582</v>
      </c>
      <c r="AH35" s="455">
        <f t="shared" si="3"/>
        <v>250987</v>
      </c>
      <c r="AI35" s="272">
        <v>221075</v>
      </c>
      <c r="AJ35" s="272">
        <v>29912</v>
      </c>
      <c r="AK35" s="272">
        <v>925542</v>
      </c>
      <c r="AL35" s="455">
        <f t="shared" si="4"/>
        <v>595203</v>
      </c>
      <c r="AM35" s="272">
        <v>371378</v>
      </c>
      <c r="AN35" s="272">
        <v>76685</v>
      </c>
      <c r="AO35" s="272">
        <v>0</v>
      </c>
      <c r="AP35" s="272">
        <v>147140</v>
      </c>
      <c r="AQ35" s="272">
        <v>17389</v>
      </c>
      <c r="AR35" s="272">
        <v>0</v>
      </c>
      <c r="AS35" s="272">
        <v>0</v>
      </c>
      <c r="AT35" s="272">
        <v>791016</v>
      </c>
      <c r="AU35" s="272">
        <v>209450</v>
      </c>
      <c r="AV35" s="272">
        <v>38058</v>
      </c>
      <c r="AW35" s="272">
        <v>0</v>
      </c>
      <c r="AX35" s="272">
        <v>581566</v>
      </c>
      <c r="AY35" s="272">
        <v>143090</v>
      </c>
      <c r="AZ35" s="272">
        <v>447423</v>
      </c>
      <c r="BA35" s="272">
        <v>412325</v>
      </c>
      <c r="BB35" s="272">
        <v>108640</v>
      </c>
      <c r="BC35" s="272">
        <v>620540</v>
      </c>
      <c r="BD35" s="272">
        <v>520000</v>
      </c>
      <c r="BE35" s="272">
        <v>0</v>
      </c>
      <c r="BF35" s="272">
        <v>100540</v>
      </c>
      <c r="BG35" s="272">
        <v>0</v>
      </c>
      <c r="BH35" s="272">
        <v>188976</v>
      </c>
      <c r="BI35" s="272">
        <v>179044</v>
      </c>
      <c r="BJ35" s="272">
        <v>82750</v>
      </c>
      <c r="BK35" s="272">
        <v>243</v>
      </c>
      <c r="BL35" s="272">
        <v>0</v>
      </c>
      <c r="BM35" s="272">
        <v>0</v>
      </c>
      <c r="BN35" s="272">
        <v>2145300</v>
      </c>
      <c r="BO35" s="455">
        <f t="shared" si="5"/>
        <v>1832100</v>
      </c>
      <c r="BP35" s="455">
        <f t="shared" si="6"/>
        <v>313200</v>
      </c>
      <c r="BQ35" s="272"/>
      <c r="BR35" s="272">
        <v>313200</v>
      </c>
      <c r="BS35" s="272"/>
      <c r="BT35" s="272">
        <v>0</v>
      </c>
      <c r="BU35" s="272">
        <v>17610941</v>
      </c>
      <c r="BV35" s="272"/>
      <c r="BW35" s="272">
        <v>4650554</v>
      </c>
      <c r="BX35" s="272">
        <v>3628341</v>
      </c>
      <c r="BY35" s="272">
        <v>119832</v>
      </c>
      <c r="BZ35" s="272">
        <v>33665</v>
      </c>
      <c r="CA35" s="272">
        <v>1456354</v>
      </c>
      <c r="CB35" s="272">
        <v>243189</v>
      </c>
      <c r="CC35" s="272">
        <v>457156</v>
      </c>
      <c r="CD35" s="272">
        <v>240532</v>
      </c>
      <c r="CE35" s="272">
        <v>492899</v>
      </c>
      <c r="CF35" s="272">
        <v>185</v>
      </c>
      <c r="CG35" s="272">
        <v>22393</v>
      </c>
      <c r="CH35" s="272">
        <v>2147952</v>
      </c>
      <c r="CI35" s="272">
        <v>1144255</v>
      </c>
      <c r="CJ35" s="455">
        <f t="shared" si="7"/>
        <v>1003697</v>
      </c>
      <c r="CK35" s="272">
        <v>2559205</v>
      </c>
      <c r="CL35" s="272">
        <v>1684390</v>
      </c>
      <c r="CM35" s="272">
        <v>110850</v>
      </c>
      <c r="CN35" s="272">
        <v>413185</v>
      </c>
      <c r="CO35" s="272">
        <v>27067</v>
      </c>
      <c r="CP35" s="272">
        <v>1395490</v>
      </c>
      <c r="CQ35" s="272">
        <v>507498</v>
      </c>
      <c r="CR35" s="272">
        <v>428549</v>
      </c>
      <c r="CS35" s="272">
        <v>343669</v>
      </c>
      <c r="CT35" s="455">
        <f t="shared" si="8"/>
        <v>34300</v>
      </c>
      <c r="CU35" s="272">
        <v>3400</v>
      </c>
      <c r="CV35" s="272">
        <v>30900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3618622</v>
      </c>
      <c r="DD35" s="272">
        <v>35917</v>
      </c>
      <c r="DE35" s="272">
        <v>3552594</v>
      </c>
      <c r="DF35" s="272">
        <v>30111</v>
      </c>
      <c r="DG35" s="272">
        <v>0</v>
      </c>
      <c r="DH35" s="272">
        <v>0</v>
      </c>
      <c r="DI35" s="272">
        <v>353100</v>
      </c>
      <c r="DJ35" s="272">
        <v>85000</v>
      </c>
      <c r="DK35" s="272">
        <v>102000</v>
      </c>
      <c r="DL35" s="272">
        <v>166100</v>
      </c>
      <c r="DM35" s="272">
        <v>0</v>
      </c>
      <c r="DN35" s="272">
        <v>0</v>
      </c>
      <c r="DO35" s="272">
        <v>0</v>
      </c>
      <c r="DP35" s="272">
        <v>0</v>
      </c>
      <c r="DQ35" s="272">
        <v>216</v>
      </c>
      <c r="DR35" s="272">
        <v>0</v>
      </c>
      <c r="DS35" s="272">
        <v>0</v>
      </c>
      <c r="DT35" s="272">
        <v>1231733</v>
      </c>
      <c r="DU35" s="272">
        <v>767857</v>
      </c>
      <c r="DV35" s="455">
        <f t="shared" si="11"/>
        <v>0</v>
      </c>
      <c r="DW35" s="272">
        <v>0</v>
      </c>
      <c r="DX35" s="272">
        <v>0</v>
      </c>
      <c r="DY35" s="272">
        <v>0</v>
      </c>
      <c r="DZ35" s="272">
        <v>274938</v>
      </c>
      <c r="EA35" s="272">
        <v>184534</v>
      </c>
      <c r="EB35" s="272"/>
      <c r="EC35" s="272">
        <v>0</v>
      </c>
      <c r="ED35" s="272">
        <v>17440293</v>
      </c>
      <c r="EF35" s="272">
        <v>170648</v>
      </c>
      <c r="EG35" s="272">
        <v>0</v>
      </c>
      <c r="EH35" s="272">
        <v>170648</v>
      </c>
      <c r="EI35" s="272">
        <v>-8396</v>
      </c>
      <c r="EJ35" s="272">
        <v>-443396</v>
      </c>
      <c r="EL35" s="272"/>
      <c r="EM35" s="272">
        <v>56127</v>
      </c>
      <c r="EN35" s="272">
        <v>520000</v>
      </c>
      <c r="EO35" s="272">
        <v>413537</v>
      </c>
      <c r="EP35" s="455">
        <f t="shared" si="12"/>
        <v>511035</v>
      </c>
      <c r="EQ35" s="272">
        <v>11771185</v>
      </c>
      <c r="ER35" s="272">
        <v>-1743586</v>
      </c>
      <c r="ES35" s="272">
        <v>4357276</v>
      </c>
      <c r="ET35" s="272">
        <v>3339945</v>
      </c>
      <c r="EU35" s="272">
        <v>445568</v>
      </c>
      <c r="EV35" s="272">
        <v>2147952</v>
      </c>
      <c r="EW35" s="455">
        <f t="shared" si="13"/>
        <v>1392746</v>
      </c>
      <c r="EX35" s="272">
        <v>1392746</v>
      </c>
      <c r="EY35" s="272">
        <v>7278</v>
      </c>
      <c r="EZ35" s="272">
        <v>1355357</v>
      </c>
      <c r="FA35" s="272">
        <v>0</v>
      </c>
      <c r="FB35" s="272"/>
      <c r="FC35" s="272">
        <v>2178203</v>
      </c>
      <c r="FD35" s="272">
        <v>1303663</v>
      </c>
      <c r="FE35" s="272">
        <v>507498</v>
      </c>
      <c r="FF35" s="272">
        <v>1166734</v>
      </c>
      <c r="FG35" s="455">
        <f t="shared" si="14"/>
        <v>351981</v>
      </c>
      <c r="FH35" s="272">
        <v>13344123</v>
      </c>
      <c r="FI35" s="384">
        <f t="shared" si="15"/>
        <v>1.5</v>
      </c>
      <c r="FJ35" s="272">
        <v>11432814</v>
      </c>
      <c r="FK35" s="272"/>
      <c r="FL35" s="272">
        <v>6800189</v>
      </c>
      <c r="FM35" s="272">
        <v>9215666</v>
      </c>
      <c r="FN35" s="460">
        <v>0.76200000000000001</v>
      </c>
      <c r="FO35" s="388">
        <v>95.4</v>
      </c>
      <c r="FP35" s="388">
        <v>39.5</v>
      </c>
      <c r="FQ35" s="388">
        <v>4</v>
      </c>
      <c r="FR35" s="388">
        <v>19.5</v>
      </c>
      <c r="FS35" s="388">
        <v>19.600000000000001</v>
      </c>
      <c r="FT35" s="388">
        <v>8.5</v>
      </c>
      <c r="FU35" s="388">
        <v>3.9</v>
      </c>
      <c r="FV35" s="388">
        <v>11.1</v>
      </c>
      <c r="FW35" s="272">
        <v>23765962</v>
      </c>
      <c r="FX35" s="384">
        <f t="shared" si="16"/>
        <v>207.9</v>
      </c>
      <c r="FY35" s="272">
        <v>2959460</v>
      </c>
      <c r="FZ35" s="272">
        <v>1665000</v>
      </c>
      <c r="GA35" s="272">
        <v>224000</v>
      </c>
      <c r="GB35" s="272">
        <v>1070460</v>
      </c>
      <c r="GC35" s="272"/>
      <c r="GD35" s="272">
        <v>7216656</v>
      </c>
      <c r="GE35" s="384">
        <f t="shared" si="17"/>
        <v>63.1</v>
      </c>
      <c r="GF35" s="388">
        <v>97.4</v>
      </c>
      <c r="GG35" s="388">
        <v>19.399999999999999</v>
      </c>
      <c r="GH35" s="388">
        <v>92.6</v>
      </c>
      <c r="GI35" s="272">
        <v>512</v>
      </c>
    </row>
    <row r="36" spans="2:191" x14ac:dyDescent="0.15">
      <c r="B36" s="89" t="s">
        <v>65</v>
      </c>
      <c r="C36" s="272">
        <v>6612170</v>
      </c>
      <c r="D36" s="455">
        <f t="shared" si="0"/>
        <v>3130416</v>
      </c>
      <c r="E36" s="272">
        <v>50940</v>
      </c>
      <c r="F36" s="272">
        <v>3079476</v>
      </c>
      <c r="G36" s="455">
        <f t="shared" si="1"/>
        <v>196133</v>
      </c>
      <c r="H36" s="272">
        <v>66213</v>
      </c>
      <c r="I36" s="272">
        <v>129920</v>
      </c>
      <c r="J36" s="272">
        <v>2461439</v>
      </c>
      <c r="K36" s="272">
        <v>1263451</v>
      </c>
      <c r="L36" s="272">
        <v>934708</v>
      </c>
      <c r="M36" s="272">
        <v>230562</v>
      </c>
      <c r="N36" s="272">
        <v>252177</v>
      </c>
      <c r="O36" s="272">
        <v>415913</v>
      </c>
      <c r="P36" s="272">
        <v>279762</v>
      </c>
      <c r="Q36" s="272">
        <v>136151</v>
      </c>
      <c r="R36" s="272">
        <v>203383</v>
      </c>
      <c r="S36" s="272">
        <v>78116</v>
      </c>
      <c r="T36" s="455">
        <f t="shared" si="2"/>
        <v>392356</v>
      </c>
      <c r="U36" s="272">
        <v>105968</v>
      </c>
      <c r="V36" s="272"/>
      <c r="W36" s="272"/>
      <c r="X36" s="272">
        <v>105630</v>
      </c>
      <c r="Y36" s="272">
        <v>7114</v>
      </c>
      <c r="Z36" s="272">
        <v>2523</v>
      </c>
      <c r="AA36" s="272">
        <v>171121</v>
      </c>
      <c r="AB36" s="272"/>
      <c r="AC36" s="272">
        <v>3615124</v>
      </c>
      <c r="AD36" s="272">
        <v>3303094</v>
      </c>
      <c r="AE36" s="272">
        <v>312030</v>
      </c>
      <c r="AF36" s="272">
        <v>16032</v>
      </c>
      <c r="AG36" s="272">
        <v>85263</v>
      </c>
      <c r="AH36" s="455">
        <f t="shared" si="3"/>
        <v>228585</v>
      </c>
      <c r="AI36" s="272">
        <v>204659</v>
      </c>
      <c r="AJ36" s="272">
        <v>23926</v>
      </c>
      <c r="AK36" s="272">
        <v>917477</v>
      </c>
      <c r="AL36" s="455">
        <f t="shared" si="4"/>
        <v>629368</v>
      </c>
      <c r="AM36" s="272">
        <v>398818</v>
      </c>
      <c r="AN36" s="272">
        <v>153971</v>
      </c>
      <c r="AO36" s="272">
        <v>0</v>
      </c>
      <c r="AP36" s="272">
        <v>76579</v>
      </c>
      <c r="AQ36" s="272">
        <v>47776</v>
      </c>
      <c r="AR36" s="272">
        <v>0</v>
      </c>
      <c r="AS36" s="272">
        <v>0</v>
      </c>
      <c r="AT36" s="272">
        <v>857503</v>
      </c>
      <c r="AU36" s="272">
        <v>212134</v>
      </c>
      <c r="AV36" s="272">
        <v>56967</v>
      </c>
      <c r="AW36" s="272">
        <v>13659</v>
      </c>
      <c r="AX36" s="272">
        <v>645369</v>
      </c>
      <c r="AY36" s="272">
        <v>135003</v>
      </c>
      <c r="AZ36" s="272">
        <v>84850</v>
      </c>
      <c r="BA36" s="272">
        <v>57962</v>
      </c>
      <c r="BB36" s="272">
        <v>102000</v>
      </c>
      <c r="BC36" s="272">
        <v>642313</v>
      </c>
      <c r="BD36" s="272">
        <v>311770</v>
      </c>
      <c r="BE36" s="272">
        <v>38609</v>
      </c>
      <c r="BF36" s="272">
        <v>290301</v>
      </c>
      <c r="BG36" s="272">
        <v>0</v>
      </c>
      <c r="BH36" s="272">
        <v>176639</v>
      </c>
      <c r="BI36" s="272">
        <v>176639</v>
      </c>
      <c r="BJ36" s="272">
        <v>269741</v>
      </c>
      <c r="BK36" s="272">
        <v>12039</v>
      </c>
      <c r="BL36" s="272">
        <v>0</v>
      </c>
      <c r="BM36" s="272">
        <v>0</v>
      </c>
      <c r="BN36" s="272">
        <v>731200</v>
      </c>
      <c r="BO36" s="455">
        <f t="shared" si="5"/>
        <v>432900</v>
      </c>
      <c r="BP36" s="455">
        <f t="shared" si="6"/>
        <v>298300</v>
      </c>
      <c r="BQ36" s="272"/>
      <c r="BR36" s="272">
        <v>298300</v>
      </c>
      <c r="BS36" s="272"/>
      <c r="BT36" s="272">
        <v>0</v>
      </c>
      <c r="BU36" s="272">
        <v>14934636</v>
      </c>
      <c r="BV36" s="272"/>
      <c r="BW36" s="272">
        <v>5016672</v>
      </c>
      <c r="BX36" s="272">
        <v>3785413</v>
      </c>
      <c r="BY36" s="272">
        <v>300182</v>
      </c>
      <c r="BZ36" s="272">
        <v>17628</v>
      </c>
      <c r="CA36" s="272">
        <v>1432671</v>
      </c>
      <c r="CB36" s="272">
        <v>262528</v>
      </c>
      <c r="CC36" s="272">
        <v>421191</v>
      </c>
      <c r="CD36" s="272">
        <v>202680</v>
      </c>
      <c r="CE36" s="272">
        <v>528045</v>
      </c>
      <c r="CF36" s="272">
        <v>3319</v>
      </c>
      <c r="CG36" s="272">
        <v>14908</v>
      </c>
      <c r="CH36" s="272">
        <v>1773842</v>
      </c>
      <c r="CI36" s="272">
        <v>940298</v>
      </c>
      <c r="CJ36" s="455">
        <f t="shared" si="7"/>
        <v>833544</v>
      </c>
      <c r="CK36" s="272">
        <v>2341566</v>
      </c>
      <c r="CL36" s="272">
        <v>1228508</v>
      </c>
      <c r="CM36" s="272">
        <v>316223</v>
      </c>
      <c r="CN36" s="272">
        <v>519468</v>
      </c>
      <c r="CO36" s="272">
        <v>108957</v>
      </c>
      <c r="CP36" s="272">
        <v>1408091</v>
      </c>
      <c r="CQ36" s="272">
        <v>508414</v>
      </c>
      <c r="CR36" s="272">
        <v>263409</v>
      </c>
      <c r="CS36" s="272">
        <v>263409</v>
      </c>
      <c r="CT36" s="455">
        <f t="shared" si="8"/>
        <v>324803</v>
      </c>
      <c r="CU36" s="272">
        <v>216596</v>
      </c>
      <c r="CV36" s="272">
        <v>108207</v>
      </c>
      <c r="CW36" s="455">
        <f t="shared" si="9"/>
        <v>316803</v>
      </c>
      <c r="CX36" s="272">
        <v>208596</v>
      </c>
      <c r="CY36" s="272">
        <v>108207</v>
      </c>
      <c r="CZ36" s="455">
        <f t="shared" si="10"/>
        <v>0</v>
      </c>
      <c r="DA36" s="272">
        <v>0</v>
      </c>
      <c r="DB36" s="272">
        <v>0</v>
      </c>
      <c r="DC36" s="272">
        <v>1129064</v>
      </c>
      <c r="DD36" s="272">
        <v>124980</v>
      </c>
      <c r="DE36" s="272">
        <v>1001171</v>
      </c>
      <c r="DF36" s="272">
        <v>2913</v>
      </c>
      <c r="DG36" s="272">
        <v>0</v>
      </c>
      <c r="DH36" s="272">
        <v>0</v>
      </c>
      <c r="DI36" s="272">
        <v>276079</v>
      </c>
      <c r="DJ36" s="272">
        <v>15140</v>
      </c>
      <c r="DK36" s="272">
        <v>1183</v>
      </c>
      <c r="DL36" s="272">
        <v>259756</v>
      </c>
      <c r="DM36" s="272">
        <v>0</v>
      </c>
      <c r="DN36" s="272">
        <v>0</v>
      </c>
      <c r="DO36" s="272">
        <v>0</v>
      </c>
      <c r="DP36" s="272">
        <v>0</v>
      </c>
      <c r="DQ36" s="272">
        <v>130000</v>
      </c>
      <c r="DR36" s="272">
        <v>118000</v>
      </c>
      <c r="DS36" s="272">
        <v>118000</v>
      </c>
      <c r="DT36" s="272">
        <v>1175103</v>
      </c>
      <c r="DU36" s="272">
        <v>724590</v>
      </c>
      <c r="DV36" s="455">
        <f t="shared" si="11"/>
        <v>0</v>
      </c>
      <c r="DW36" s="272">
        <v>0</v>
      </c>
      <c r="DX36" s="272">
        <v>0</v>
      </c>
      <c r="DY36" s="272">
        <v>0</v>
      </c>
      <c r="DZ36" s="272">
        <v>212710</v>
      </c>
      <c r="EA36" s="272">
        <v>237782</v>
      </c>
      <c r="EB36" s="272"/>
      <c r="EC36" s="272">
        <v>0</v>
      </c>
      <c r="ED36" s="272">
        <v>14792045</v>
      </c>
      <c r="EF36" s="272">
        <v>142591</v>
      </c>
      <c r="EG36" s="272">
        <v>0</v>
      </c>
      <c r="EH36" s="272">
        <v>142591</v>
      </c>
      <c r="EI36" s="272">
        <v>-34048</v>
      </c>
      <c r="EJ36" s="272">
        <v>-330678</v>
      </c>
      <c r="EL36" s="272"/>
      <c r="EM36" s="272">
        <v>58131</v>
      </c>
      <c r="EN36" s="272">
        <v>352012</v>
      </c>
      <c r="EO36" s="272">
        <v>3850</v>
      </c>
      <c r="EP36" s="455">
        <f t="shared" si="12"/>
        <v>291408</v>
      </c>
      <c r="EQ36" s="272">
        <v>10839065</v>
      </c>
      <c r="ER36" s="272">
        <v>-929538</v>
      </c>
      <c r="ES36" s="272">
        <v>4670699</v>
      </c>
      <c r="ET36" s="272">
        <v>3439440</v>
      </c>
      <c r="EU36" s="272">
        <v>360505</v>
      </c>
      <c r="EV36" s="272">
        <v>1773842</v>
      </c>
      <c r="EW36" s="455">
        <f t="shared" si="13"/>
        <v>448467</v>
      </c>
      <c r="EX36" s="272">
        <v>448467</v>
      </c>
      <c r="EY36" s="272">
        <v>20495</v>
      </c>
      <c r="EZ36" s="272">
        <v>426515</v>
      </c>
      <c r="FA36" s="272">
        <v>0</v>
      </c>
      <c r="FB36" s="272"/>
      <c r="FC36" s="272">
        <v>2017640</v>
      </c>
      <c r="FD36" s="272">
        <v>1190533</v>
      </c>
      <c r="FE36" s="272">
        <v>508414</v>
      </c>
      <c r="FF36" s="272">
        <v>937369</v>
      </c>
      <c r="FG36" s="455">
        <f t="shared" si="14"/>
        <v>226957</v>
      </c>
      <c r="FH36" s="272">
        <v>11626012</v>
      </c>
      <c r="FI36" s="384">
        <f t="shared" si="15"/>
        <v>1.4</v>
      </c>
      <c r="FJ36" s="272">
        <v>10446990</v>
      </c>
      <c r="FK36" s="272"/>
      <c r="FL36" s="272">
        <v>5391930</v>
      </c>
      <c r="FM36" s="272">
        <v>8701477</v>
      </c>
      <c r="FN36" s="460">
        <v>0.63500000000000001</v>
      </c>
      <c r="FO36" s="388">
        <v>99.9</v>
      </c>
      <c r="FP36" s="388">
        <v>45.1</v>
      </c>
      <c r="FQ36" s="388">
        <v>3.5</v>
      </c>
      <c r="FR36" s="388">
        <v>17.399999999999999</v>
      </c>
      <c r="FS36" s="388">
        <v>18.399999999999999</v>
      </c>
      <c r="FT36" s="388">
        <v>9.1999999999999993</v>
      </c>
      <c r="FU36" s="388">
        <v>5.0999999999999996</v>
      </c>
      <c r="FV36" s="388">
        <v>11.8</v>
      </c>
      <c r="FW36" s="272">
        <v>17449477</v>
      </c>
      <c r="FX36" s="384">
        <f t="shared" si="16"/>
        <v>167</v>
      </c>
      <c r="FY36" s="272">
        <v>3994824</v>
      </c>
      <c r="FZ36" s="272">
        <v>2988330</v>
      </c>
      <c r="GA36" s="272">
        <v>157593</v>
      </c>
      <c r="GB36" s="272">
        <v>848901</v>
      </c>
      <c r="GC36" s="272"/>
      <c r="GD36" s="272">
        <v>167757</v>
      </c>
      <c r="GE36" s="384">
        <f t="shared" si="17"/>
        <v>1.6</v>
      </c>
      <c r="GF36" s="388">
        <v>96.6</v>
      </c>
      <c r="GG36" s="388">
        <v>17.600000000000001</v>
      </c>
      <c r="GH36" s="388">
        <v>90.2</v>
      </c>
      <c r="GI36" s="272">
        <v>535</v>
      </c>
    </row>
    <row r="37" spans="2:191" x14ac:dyDescent="0.15">
      <c r="B37" s="21" t="s">
        <v>67</v>
      </c>
      <c r="C37" s="272">
        <f>SUM(C6:C36)</f>
        <v>874936840</v>
      </c>
      <c r="D37" s="455">
        <f t="shared" si="0"/>
        <v>339197375</v>
      </c>
      <c r="E37" s="272">
        <f>SUM(E6:E36)</f>
        <v>4956305</v>
      </c>
      <c r="F37" s="272">
        <f>SUM(F6:F36)</f>
        <v>334241070</v>
      </c>
      <c r="G37" s="455">
        <f t="shared" si="1"/>
        <v>74997757</v>
      </c>
      <c r="H37" s="272">
        <f t="shared" ref="H37:S37" si="18">SUM(H6:H36)</f>
        <v>11641922</v>
      </c>
      <c r="I37" s="272">
        <f t="shared" si="18"/>
        <v>63355835</v>
      </c>
      <c r="J37" s="272">
        <f t="shared" si="18"/>
        <v>337462324</v>
      </c>
      <c r="K37" s="272">
        <f t="shared" si="18"/>
        <v>175317276</v>
      </c>
      <c r="L37" s="272">
        <f t="shared" si="18"/>
        <v>109754168</v>
      </c>
      <c r="M37" s="272">
        <f t="shared" si="18"/>
        <v>47423455</v>
      </c>
      <c r="N37" s="272">
        <f t="shared" si="18"/>
        <v>31958660</v>
      </c>
      <c r="O37" s="272">
        <f t="shared" si="18"/>
        <v>77235633</v>
      </c>
      <c r="P37" s="272">
        <f t="shared" si="18"/>
        <v>53259018</v>
      </c>
      <c r="Q37" s="272">
        <f t="shared" si="18"/>
        <v>23976615</v>
      </c>
      <c r="R37" s="272">
        <f t="shared" si="18"/>
        <v>20410421</v>
      </c>
      <c r="S37" s="272">
        <f t="shared" si="18"/>
        <v>8361425</v>
      </c>
      <c r="T37" s="455">
        <f t="shared" si="2"/>
        <v>37965415</v>
      </c>
      <c r="U37" s="272">
        <f>SUM(U6:U36)</f>
        <v>11800513</v>
      </c>
      <c r="V37" s="272"/>
      <c r="W37" s="272"/>
      <c r="X37" s="272">
        <f>SUM(X6:X36)</f>
        <v>11130791</v>
      </c>
      <c r="Y37" s="272">
        <f>SUM(Y6:Y36)</f>
        <v>1198848</v>
      </c>
      <c r="Z37" s="272">
        <f>SUM(Z6:Z36)</f>
        <v>561589</v>
      </c>
      <c r="AA37" s="272">
        <f>SUM(AA6:AA36)</f>
        <v>13273674</v>
      </c>
      <c r="AB37" s="272"/>
      <c r="AC37" s="272">
        <f>SUM(AC6:AC36)</f>
        <v>102533834</v>
      </c>
      <c r="AD37" s="272">
        <f>SUM(AD6:AD36)</f>
        <v>90688802</v>
      </c>
      <c r="AE37" s="272">
        <f>SUM(AE6:AE36)</f>
        <v>11845032</v>
      </c>
      <c r="AF37" s="272">
        <f>SUM(AF6:AF36)</f>
        <v>1145331</v>
      </c>
      <c r="AG37" s="272">
        <f>SUM(AG6:AG36)</f>
        <v>20739598</v>
      </c>
      <c r="AH37" s="455">
        <f t="shared" si="3"/>
        <v>32377729</v>
      </c>
      <c r="AI37" s="272">
        <f>SUM(AI6:AI36)</f>
        <v>25586625</v>
      </c>
      <c r="AJ37" s="272">
        <f>SUM(AJ6:AJ36)</f>
        <v>6791104</v>
      </c>
      <c r="AK37" s="272">
        <f>SUM(AK6:AK36)</f>
        <v>140620665</v>
      </c>
      <c r="AL37" s="455">
        <f t="shared" si="4"/>
        <v>82584155</v>
      </c>
      <c r="AM37" s="272">
        <f t="shared" ref="AM37:BN37" si="19">SUM(AM6:AM36)</f>
        <v>60509765</v>
      </c>
      <c r="AN37" s="272">
        <f t="shared" si="19"/>
        <v>13076040</v>
      </c>
      <c r="AO37" s="272">
        <f t="shared" si="19"/>
        <v>49450</v>
      </c>
      <c r="AP37" s="272">
        <f t="shared" si="19"/>
        <v>8948900</v>
      </c>
      <c r="AQ37" s="272">
        <f t="shared" si="19"/>
        <v>23215107</v>
      </c>
      <c r="AR37" s="272">
        <f t="shared" si="19"/>
        <v>316475</v>
      </c>
      <c r="AS37" s="272">
        <f t="shared" si="19"/>
        <v>323461</v>
      </c>
      <c r="AT37" s="272">
        <f t="shared" si="19"/>
        <v>90172220</v>
      </c>
      <c r="AU37" s="272">
        <f t="shared" si="19"/>
        <v>31376404</v>
      </c>
      <c r="AV37" s="272">
        <f t="shared" si="19"/>
        <v>6637544</v>
      </c>
      <c r="AW37" s="272">
        <f t="shared" si="19"/>
        <v>1714941</v>
      </c>
      <c r="AX37" s="272">
        <f t="shared" si="19"/>
        <v>58795816</v>
      </c>
      <c r="AY37" s="272">
        <f t="shared" si="19"/>
        <v>14617771</v>
      </c>
      <c r="AZ37" s="272">
        <f t="shared" si="19"/>
        <v>9506085</v>
      </c>
      <c r="BA37" s="272">
        <f t="shared" si="19"/>
        <v>5458818</v>
      </c>
      <c r="BB37" s="272">
        <f t="shared" si="19"/>
        <v>8273915</v>
      </c>
      <c r="BC37" s="272">
        <f t="shared" si="19"/>
        <v>64185800</v>
      </c>
      <c r="BD37" s="272">
        <f t="shared" si="19"/>
        <v>12063799</v>
      </c>
      <c r="BE37" s="272">
        <f t="shared" si="19"/>
        <v>3501282</v>
      </c>
      <c r="BF37" s="272">
        <f t="shared" si="19"/>
        <v>47018260</v>
      </c>
      <c r="BG37" s="272">
        <f t="shared" si="19"/>
        <v>246686</v>
      </c>
      <c r="BH37" s="272">
        <f t="shared" si="19"/>
        <v>19298986</v>
      </c>
      <c r="BI37" s="272">
        <f t="shared" si="19"/>
        <v>9163634</v>
      </c>
      <c r="BJ37" s="272">
        <f t="shared" si="19"/>
        <v>53118850</v>
      </c>
      <c r="BK37" s="272">
        <f t="shared" si="19"/>
        <v>30712808</v>
      </c>
      <c r="BL37" s="272">
        <f t="shared" si="19"/>
        <v>970854</v>
      </c>
      <c r="BM37" s="272">
        <f t="shared" si="19"/>
        <v>6780759</v>
      </c>
      <c r="BN37" s="272">
        <f t="shared" si="19"/>
        <v>136869624</v>
      </c>
      <c r="BO37" s="455">
        <f t="shared" si="5"/>
        <v>108248824</v>
      </c>
      <c r="BP37" s="455">
        <f t="shared" si="6"/>
        <v>28620800</v>
      </c>
      <c r="BQ37" s="272">
        <f>SUM(BQ6:BQ36)</f>
        <v>0</v>
      </c>
      <c r="BR37" s="272">
        <f>SUM(BR6:BR36)</f>
        <v>28620800</v>
      </c>
      <c r="BS37" s="272"/>
      <c r="BT37" s="272">
        <v>0</v>
      </c>
      <c r="BU37" s="272">
        <f>SUM(BU6:BU36)</f>
        <v>1612478774</v>
      </c>
      <c r="BV37" s="272"/>
      <c r="BW37" s="272">
        <f t="shared" ref="BW37:CI37" si="20">SUM(BW6:BW36)</f>
        <v>442111910</v>
      </c>
      <c r="BX37" s="272">
        <f t="shared" si="20"/>
        <v>327679437</v>
      </c>
      <c r="BY37" s="272">
        <f t="shared" si="20"/>
        <v>29620580</v>
      </c>
      <c r="BZ37" s="272">
        <f t="shared" si="20"/>
        <v>13942610</v>
      </c>
      <c r="CA37" s="272">
        <f t="shared" si="20"/>
        <v>204496996</v>
      </c>
      <c r="CB37" s="272">
        <f t="shared" si="20"/>
        <v>24696225</v>
      </c>
      <c r="CC37" s="272">
        <f t="shared" si="20"/>
        <v>47106979</v>
      </c>
      <c r="CD37" s="272">
        <f t="shared" si="20"/>
        <v>40981380</v>
      </c>
      <c r="CE37" s="272">
        <f t="shared" si="20"/>
        <v>80629407</v>
      </c>
      <c r="CF37" s="272">
        <f t="shared" si="20"/>
        <v>7770964</v>
      </c>
      <c r="CG37" s="272">
        <f t="shared" si="20"/>
        <v>3066792</v>
      </c>
      <c r="CH37" s="272">
        <f t="shared" si="20"/>
        <v>146967590</v>
      </c>
      <c r="CI37" s="272">
        <f t="shared" si="20"/>
        <v>85007570</v>
      </c>
      <c r="CJ37" s="455">
        <f t="shared" si="7"/>
        <v>61960020</v>
      </c>
      <c r="CK37" s="272">
        <f t="shared" ref="CK37:CS37" si="21">SUM(CK6:CK36)</f>
        <v>179319794</v>
      </c>
      <c r="CL37" s="272">
        <f t="shared" si="21"/>
        <v>102433415</v>
      </c>
      <c r="CM37" s="272">
        <f t="shared" si="21"/>
        <v>8537133</v>
      </c>
      <c r="CN37" s="272">
        <f t="shared" si="21"/>
        <v>39255464</v>
      </c>
      <c r="CO37" s="272">
        <f t="shared" si="21"/>
        <v>16630025</v>
      </c>
      <c r="CP37" s="272">
        <f t="shared" si="21"/>
        <v>122602668</v>
      </c>
      <c r="CQ37" s="272">
        <f t="shared" si="21"/>
        <v>41354153</v>
      </c>
      <c r="CR37" s="272">
        <f t="shared" si="21"/>
        <v>36350790</v>
      </c>
      <c r="CS37" s="272">
        <f t="shared" si="21"/>
        <v>31239959</v>
      </c>
      <c r="CT37" s="455">
        <f t="shared" si="8"/>
        <v>18939454</v>
      </c>
      <c r="CU37" s="272">
        <f>SUM(CU6:CU36)</f>
        <v>10454252</v>
      </c>
      <c r="CV37" s="272">
        <f>SUM(CV6:CV36)</f>
        <v>8485202</v>
      </c>
      <c r="CW37" s="455">
        <f t="shared" si="9"/>
        <v>15119652</v>
      </c>
      <c r="CX37" s="272">
        <f>SUM(CX6:CX36)</f>
        <v>9709211</v>
      </c>
      <c r="CY37" s="272">
        <f>SUM(CY6:CY36)</f>
        <v>5410441</v>
      </c>
      <c r="CZ37" s="455">
        <f t="shared" si="10"/>
        <v>0</v>
      </c>
      <c r="DA37" s="272">
        <f t="shared" ref="DA37:DU37" si="22">SUM(DA6:DA36)</f>
        <v>0</v>
      </c>
      <c r="DB37" s="272">
        <f t="shared" si="22"/>
        <v>0</v>
      </c>
      <c r="DC37" s="272">
        <f t="shared" si="22"/>
        <v>253351581</v>
      </c>
      <c r="DD37" s="272">
        <f t="shared" si="22"/>
        <v>49467877</v>
      </c>
      <c r="DE37" s="272">
        <f t="shared" si="22"/>
        <v>185865976</v>
      </c>
      <c r="DF37" s="272">
        <f t="shared" si="22"/>
        <v>4120376</v>
      </c>
      <c r="DG37" s="272">
        <f t="shared" si="22"/>
        <v>13576307</v>
      </c>
      <c r="DH37" s="272">
        <f t="shared" si="22"/>
        <v>1253159</v>
      </c>
      <c r="DI37" s="272">
        <f t="shared" si="22"/>
        <v>30695781</v>
      </c>
      <c r="DJ37" s="272">
        <f t="shared" si="22"/>
        <v>8544323</v>
      </c>
      <c r="DK37" s="272">
        <f t="shared" si="22"/>
        <v>1198641</v>
      </c>
      <c r="DL37" s="272">
        <f t="shared" si="22"/>
        <v>20952817</v>
      </c>
      <c r="DM37" s="272">
        <f t="shared" si="22"/>
        <v>30589370</v>
      </c>
      <c r="DN37" s="272">
        <f t="shared" si="22"/>
        <v>29441670</v>
      </c>
      <c r="DO37" s="272">
        <f t="shared" si="22"/>
        <v>4333530</v>
      </c>
      <c r="DP37" s="272">
        <f t="shared" si="22"/>
        <v>25108140</v>
      </c>
      <c r="DQ37" s="272">
        <f t="shared" si="22"/>
        <v>30864119</v>
      </c>
      <c r="DR37" s="272">
        <f t="shared" si="22"/>
        <v>941107</v>
      </c>
      <c r="DS37" s="272">
        <f t="shared" si="22"/>
        <v>918000</v>
      </c>
      <c r="DT37" s="272">
        <f t="shared" si="22"/>
        <v>139139406</v>
      </c>
      <c r="DU37" s="272">
        <f t="shared" si="22"/>
        <v>81405817</v>
      </c>
      <c r="DV37" s="455">
        <f t="shared" si="11"/>
        <v>385743</v>
      </c>
      <c r="DW37" s="272">
        <f>SUM(DW6:DW36)</f>
        <v>385743</v>
      </c>
      <c r="DX37" s="272">
        <v>0</v>
      </c>
      <c r="DY37" s="272">
        <f>SUM(DY6:DY36)</f>
        <v>375092</v>
      </c>
      <c r="DZ37" s="272">
        <f>SUM(DZ6:DZ36)</f>
        <v>37060478</v>
      </c>
      <c r="EA37" s="272">
        <f>SUM(EA6:EA36)</f>
        <v>18816203</v>
      </c>
      <c r="EB37" s="272"/>
      <c r="EC37" s="272">
        <f>SUM(EC6:EC36)</f>
        <v>1065683</v>
      </c>
      <c r="ED37" s="272">
        <f>SUM(ED6:ED36)</f>
        <v>1599088082</v>
      </c>
      <c r="EF37" s="272">
        <f>SUM(EF6:EF36)</f>
        <v>13390692</v>
      </c>
      <c r="EG37" s="272">
        <f>SUM(EG6:EG36)</f>
        <v>5833332</v>
      </c>
      <c r="EH37" s="272">
        <f>SUM(EH6:EH36)</f>
        <v>7557360</v>
      </c>
      <c r="EI37" s="272">
        <f>SUM(EI6:EI36)</f>
        <v>-244203</v>
      </c>
      <c r="EJ37" s="272">
        <f>SUM(EJ6:EJ36)</f>
        <v>-3651568</v>
      </c>
      <c r="EL37" s="272"/>
      <c r="EM37" s="272">
        <f>SUM(EM6:EM36)</f>
        <v>5118791</v>
      </c>
      <c r="EN37" s="272">
        <f>SUM(EN6:EN36)</f>
        <v>21681947</v>
      </c>
      <c r="EO37" s="272">
        <f>SUM(EO6:EO36)</f>
        <v>4977692</v>
      </c>
      <c r="EP37" s="455">
        <f t="shared" si="12"/>
        <v>42778251</v>
      </c>
      <c r="EQ37" s="272">
        <f t="shared" ref="EQ37:EV37" si="23">SUM(EQ6:EQ36)</f>
        <v>1037315302</v>
      </c>
      <c r="ER37" s="272">
        <f t="shared" si="23"/>
        <v>-96589898</v>
      </c>
      <c r="ES37" s="272">
        <f t="shared" si="23"/>
        <v>407846964</v>
      </c>
      <c r="ET37" s="272">
        <f t="shared" si="23"/>
        <v>296067541</v>
      </c>
      <c r="EU37" s="272">
        <f t="shared" si="23"/>
        <v>62835517</v>
      </c>
      <c r="EV37" s="272">
        <f t="shared" si="23"/>
        <v>142225512</v>
      </c>
      <c r="EW37" s="455">
        <f t="shared" si="13"/>
        <v>84542788</v>
      </c>
      <c r="EX37" s="272">
        <f>SUM(EX6:EX36)</f>
        <v>84093524</v>
      </c>
      <c r="EY37" s="272">
        <f>SUM(EY6:EY36)</f>
        <v>5165877</v>
      </c>
      <c r="EZ37" s="272">
        <f>SUM(EZ6:EZ36)</f>
        <v>77580217</v>
      </c>
      <c r="FA37" s="272">
        <f>SUM(FA6:FA36)</f>
        <v>449264</v>
      </c>
      <c r="FB37" s="272"/>
      <c r="FC37" s="272">
        <f>SUM(FC6:FC36)</f>
        <v>142120616</v>
      </c>
      <c r="FD37" s="272">
        <f>SUM(FD6:FD36)</f>
        <v>109462982</v>
      </c>
      <c r="FE37" s="272">
        <f>SUM(FE6:FE36)</f>
        <v>41279193</v>
      </c>
      <c r="FF37" s="272">
        <f>SUM(FF6:FF36)</f>
        <v>129930622</v>
      </c>
      <c r="FG37" s="455">
        <f t="shared" si="14"/>
        <v>41711342</v>
      </c>
      <c r="FH37" s="272">
        <f>SUM(FH6:FH36)</f>
        <v>1120676343</v>
      </c>
      <c r="FI37" s="384">
        <f t="shared" si="15"/>
        <v>0.8</v>
      </c>
      <c r="FJ37" s="272">
        <f>SUM(FJ6:FJ36)</f>
        <v>969617262</v>
      </c>
      <c r="FK37" s="272">
        <f>SUM(FK6:FK36)</f>
        <v>0</v>
      </c>
      <c r="FL37" s="272">
        <f>SUM(FL6:FL36)</f>
        <v>662553294</v>
      </c>
      <c r="FM37" s="272">
        <f>SUM(FM6:FM36)</f>
        <v>737782495</v>
      </c>
      <c r="FN37" s="468">
        <v>0.91600000000000004</v>
      </c>
      <c r="FO37" s="469">
        <v>96.5</v>
      </c>
      <c r="FP37" s="469">
        <v>41.1</v>
      </c>
      <c r="FQ37" s="469">
        <v>6.9</v>
      </c>
      <c r="FR37" s="469">
        <v>14.7</v>
      </c>
      <c r="FS37" s="469">
        <v>14</v>
      </c>
      <c r="FT37" s="469">
        <v>10.7</v>
      </c>
      <c r="FU37" s="469">
        <v>7.6</v>
      </c>
      <c r="FV37" s="469">
        <v>10.1</v>
      </c>
      <c r="FW37" s="272">
        <f>SUM(FW6:FW36)</f>
        <v>1455478602</v>
      </c>
      <c r="FX37" s="384">
        <f t="shared" si="16"/>
        <v>150.1</v>
      </c>
      <c r="FY37" s="272">
        <f t="shared" ref="FY37:GD37" si="24">SUM(FY6:FY36)</f>
        <v>344306049</v>
      </c>
      <c r="FZ37" s="272">
        <f t="shared" si="24"/>
        <v>83510626</v>
      </c>
      <c r="GA37" s="272">
        <f t="shared" si="24"/>
        <v>27350486</v>
      </c>
      <c r="GB37" s="272">
        <f t="shared" si="24"/>
        <v>233444937</v>
      </c>
      <c r="GC37" s="272">
        <f t="shared" si="24"/>
        <v>0</v>
      </c>
      <c r="GD37" s="272">
        <f t="shared" si="24"/>
        <v>455396708</v>
      </c>
      <c r="GE37" s="384">
        <f t="shared" si="17"/>
        <v>47</v>
      </c>
      <c r="GF37" s="469">
        <v>97.6</v>
      </c>
      <c r="GG37" s="469">
        <v>22.2</v>
      </c>
      <c r="GH37" s="469">
        <v>92.7</v>
      </c>
      <c r="GI37" s="272">
        <f>SUM(GI6:GI36)</f>
        <v>41839</v>
      </c>
    </row>
    <row r="38" spans="2:191" x14ac:dyDescent="0.15">
      <c r="B38" s="89" t="s">
        <v>69</v>
      </c>
      <c r="C38" s="272">
        <v>6008578</v>
      </c>
      <c r="D38" s="455">
        <f t="shared" si="0"/>
        <v>2513932</v>
      </c>
      <c r="E38" s="272">
        <v>22872</v>
      </c>
      <c r="F38" s="272">
        <v>2491060</v>
      </c>
      <c r="G38" s="455">
        <f t="shared" si="1"/>
        <v>847048</v>
      </c>
      <c r="H38" s="272">
        <v>64095</v>
      </c>
      <c r="I38" s="272">
        <v>782953</v>
      </c>
      <c r="J38" s="272">
        <v>2134575</v>
      </c>
      <c r="K38" s="272">
        <v>927950</v>
      </c>
      <c r="L38" s="272">
        <v>693850</v>
      </c>
      <c r="M38" s="272">
        <v>487464</v>
      </c>
      <c r="N38" s="272">
        <v>101250</v>
      </c>
      <c r="O38" s="272">
        <v>398340</v>
      </c>
      <c r="P38" s="272">
        <v>258067</v>
      </c>
      <c r="Q38" s="272">
        <v>140273</v>
      </c>
      <c r="R38" s="272">
        <v>106093</v>
      </c>
      <c r="S38" s="272">
        <v>42105</v>
      </c>
      <c r="T38" s="455">
        <f t="shared" si="2"/>
        <v>302311</v>
      </c>
      <c r="U38" s="272">
        <v>71419</v>
      </c>
      <c r="V38" s="272"/>
      <c r="W38" s="272"/>
      <c r="X38" s="272">
        <v>57014</v>
      </c>
      <c r="Y38" s="272">
        <v>86552</v>
      </c>
      <c r="Z38" s="272">
        <v>0</v>
      </c>
      <c r="AA38" s="272">
        <v>87326</v>
      </c>
      <c r="AB38" s="272"/>
      <c r="AC38" s="272">
        <v>722017</v>
      </c>
      <c r="AD38" s="272">
        <v>493635</v>
      </c>
      <c r="AE38" s="272">
        <v>228382</v>
      </c>
      <c r="AF38" s="272">
        <v>5013</v>
      </c>
      <c r="AG38" s="272">
        <v>57831</v>
      </c>
      <c r="AH38" s="455">
        <f t="shared" si="3"/>
        <v>201896</v>
      </c>
      <c r="AI38" s="272">
        <v>161154</v>
      </c>
      <c r="AJ38" s="272">
        <v>40742</v>
      </c>
      <c r="AK38" s="272">
        <v>315280</v>
      </c>
      <c r="AL38" s="455">
        <f t="shared" si="4"/>
        <v>144072</v>
      </c>
      <c r="AM38" s="272">
        <v>52951</v>
      </c>
      <c r="AN38" s="272">
        <v>46089</v>
      </c>
      <c r="AO38" s="272">
        <v>0</v>
      </c>
      <c r="AP38" s="272">
        <v>45032</v>
      </c>
      <c r="AQ38" s="272">
        <v>1572</v>
      </c>
      <c r="AR38" s="272">
        <v>3269</v>
      </c>
      <c r="AS38" s="272">
        <v>0</v>
      </c>
      <c r="AT38" s="272">
        <v>449739</v>
      </c>
      <c r="AU38" s="272">
        <v>114023</v>
      </c>
      <c r="AV38" s="272">
        <v>22910</v>
      </c>
      <c r="AW38" s="272">
        <v>0</v>
      </c>
      <c r="AX38" s="272">
        <v>335716</v>
      </c>
      <c r="AY38" s="272">
        <v>82300</v>
      </c>
      <c r="AZ38" s="272">
        <v>67077</v>
      </c>
      <c r="BA38" s="272">
        <v>21746</v>
      </c>
      <c r="BB38" s="272">
        <v>7669</v>
      </c>
      <c r="BC38" s="272">
        <v>928052</v>
      </c>
      <c r="BD38" s="272">
        <v>60000</v>
      </c>
      <c r="BE38" s="272">
        <v>45700</v>
      </c>
      <c r="BF38" s="272">
        <v>808856</v>
      </c>
      <c r="BG38" s="272">
        <v>0</v>
      </c>
      <c r="BH38" s="272">
        <v>139732</v>
      </c>
      <c r="BI38" s="272">
        <v>72716</v>
      </c>
      <c r="BJ38" s="272">
        <v>51482</v>
      </c>
      <c r="BK38" s="272">
        <v>5118</v>
      </c>
      <c r="BL38" s="272">
        <v>0</v>
      </c>
      <c r="BM38" s="272">
        <v>0</v>
      </c>
      <c r="BN38" s="272">
        <v>6020800</v>
      </c>
      <c r="BO38" s="455">
        <f t="shared" si="5"/>
        <v>5881800</v>
      </c>
      <c r="BP38" s="455">
        <f t="shared" si="6"/>
        <v>139000</v>
      </c>
      <c r="BQ38" s="272"/>
      <c r="BR38" s="272">
        <v>139000</v>
      </c>
      <c r="BS38" s="272"/>
      <c r="BT38" s="272">
        <v>0</v>
      </c>
      <c r="BU38" s="272">
        <v>15383570</v>
      </c>
      <c r="BV38" s="272"/>
      <c r="BW38" s="272">
        <v>3023545</v>
      </c>
      <c r="BX38" s="272">
        <v>2266638</v>
      </c>
      <c r="BY38" s="272">
        <v>172789</v>
      </c>
      <c r="BZ38" s="272">
        <v>26297</v>
      </c>
      <c r="CA38" s="272">
        <v>814488</v>
      </c>
      <c r="CB38" s="272">
        <v>231702</v>
      </c>
      <c r="CC38" s="272">
        <v>293651</v>
      </c>
      <c r="CD38" s="272">
        <v>207286</v>
      </c>
      <c r="CE38" s="272">
        <v>68223</v>
      </c>
      <c r="CF38" s="272">
        <v>0</v>
      </c>
      <c r="CG38" s="272">
        <v>13626</v>
      </c>
      <c r="CH38" s="272">
        <v>1234589</v>
      </c>
      <c r="CI38" s="272">
        <v>672091</v>
      </c>
      <c r="CJ38" s="455">
        <f t="shared" si="7"/>
        <v>562498</v>
      </c>
      <c r="CK38" s="272">
        <v>1446314</v>
      </c>
      <c r="CL38" s="272">
        <v>750689</v>
      </c>
      <c r="CM38" s="272">
        <v>118425</v>
      </c>
      <c r="CN38" s="272">
        <v>344576</v>
      </c>
      <c r="CO38" s="272">
        <v>74096</v>
      </c>
      <c r="CP38" s="272">
        <v>313241</v>
      </c>
      <c r="CQ38" s="272">
        <v>4560</v>
      </c>
      <c r="CR38" s="272">
        <v>164344</v>
      </c>
      <c r="CS38" s="272">
        <v>156859</v>
      </c>
      <c r="CT38" s="455">
        <f t="shared" si="8"/>
        <v>4899</v>
      </c>
      <c r="CU38" s="272">
        <v>4899</v>
      </c>
      <c r="CV38" s="272">
        <v>0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6378022</v>
      </c>
      <c r="DD38" s="272">
        <v>4723</v>
      </c>
      <c r="DE38" s="272">
        <v>6291514</v>
      </c>
      <c r="DF38" s="272">
        <v>5846</v>
      </c>
      <c r="DG38" s="272">
        <v>0</v>
      </c>
      <c r="DH38" s="272">
        <v>9614</v>
      </c>
      <c r="DI38" s="272">
        <v>1136198</v>
      </c>
      <c r="DJ38" s="272">
        <v>46279</v>
      </c>
      <c r="DK38" s="272">
        <v>2483</v>
      </c>
      <c r="DL38" s="272">
        <v>1087436</v>
      </c>
      <c r="DM38" s="272">
        <v>0</v>
      </c>
      <c r="DN38" s="272">
        <v>0</v>
      </c>
      <c r="DO38" s="272">
        <v>0</v>
      </c>
      <c r="DP38" s="272">
        <v>0</v>
      </c>
      <c r="DQ38" s="272">
        <v>3894</v>
      </c>
      <c r="DR38" s="272">
        <v>0</v>
      </c>
      <c r="DS38" s="272">
        <v>0</v>
      </c>
      <c r="DT38" s="272">
        <v>809923</v>
      </c>
      <c r="DU38" s="272">
        <v>550000</v>
      </c>
      <c r="DV38" s="455">
        <f t="shared" si="11"/>
        <v>0</v>
      </c>
      <c r="DW38" s="272">
        <v>0</v>
      </c>
      <c r="DX38" s="272">
        <v>0</v>
      </c>
      <c r="DY38" s="272">
        <v>0</v>
      </c>
      <c r="DZ38" s="272">
        <v>147300</v>
      </c>
      <c r="EA38" s="272">
        <v>101712</v>
      </c>
      <c r="EB38" s="272"/>
      <c r="EC38" s="272">
        <v>0</v>
      </c>
      <c r="ED38" s="272">
        <v>15243924</v>
      </c>
      <c r="EF38" s="272">
        <v>139646</v>
      </c>
      <c r="EG38" s="272">
        <v>64323</v>
      </c>
      <c r="EH38" s="272">
        <v>75323</v>
      </c>
      <c r="EI38" s="272">
        <v>2607</v>
      </c>
      <c r="EJ38" s="272">
        <v>-11114</v>
      </c>
      <c r="EL38" s="272"/>
      <c r="EM38" s="272">
        <v>30481</v>
      </c>
      <c r="EN38" s="272">
        <v>928052</v>
      </c>
      <c r="EO38" s="272">
        <v>28886</v>
      </c>
      <c r="EP38" s="455">
        <f t="shared" si="12"/>
        <v>126249</v>
      </c>
      <c r="EQ38" s="272">
        <v>7144012</v>
      </c>
      <c r="ER38" s="272">
        <v>-1217174</v>
      </c>
      <c r="ES38" s="272">
        <v>2765070</v>
      </c>
      <c r="ET38" s="272">
        <v>2021113</v>
      </c>
      <c r="EU38" s="272">
        <v>393468</v>
      </c>
      <c r="EV38" s="272">
        <v>1230592</v>
      </c>
      <c r="EW38" s="455">
        <f t="shared" si="13"/>
        <v>444447</v>
      </c>
      <c r="EX38" s="272">
        <v>442802</v>
      </c>
      <c r="EY38" s="272">
        <v>3151</v>
      </c>
      <c r="EZ38" s="272">
        <v>382066</v>
      </c>
      <c r="FA38" s="272">
        <v>1645</v>
      </c>
      <c r="FB38" s="272"/>
      <c r="FC38" s="272">
        <v>1264641</v>
      </c>
      <c r="FD38" s="272">
        <v>268404</v>
      </c>
      <c r="FE38" s="272">
        <v>4560</v>
      </c>
      <c r="FF38" s="272">
        <v>692487</v>
      </c>
      <c r="FG38" s="455">
        <f t="shared" si="14"/>
        <v>1162431</v>
      </c>
      <c r="FH38" s="272">
        <v>8221540</v>
      </c>
      <c r="FI38" s="384">
        <f t="shared" si="15"/>
        <v>1.1000000000000001</v>
      </c>
      <c r="FJ38" s="272">
        <v>6864575</v>
      </c>
      <c r="FK38" s="272"/>
      <c r="FL38" s="272">
        <v>4796003</v>
      </c>
      <c r="FM38" s="272">
        <v>5294393</v>
      </c>
      <c r="FN38" s="460">
        <v>0.86199999999999999</v>
      </c>
      <c r="FO38" s="388">
        <v>92.9</v>
      </c>
      <c r="FP38" s="388">
        <v>41.1</v>
      </c>
      <c r="FQ38" s="388">
        <v>6</v>
      </c>
      <c r="FR38" s="388">
        <v>18.8</v>
      </c>
      <c r="FS38" s="388">
        <v>16.3</v>
      </c>
      <c r="FT38" s="388">
        <v>3.5</v>
      </c>
      <c r="FU38" s="388">
        <v>6.2</v>
      </c>
      <c r="FV38" s="388">
        <v>12.5</v>
      </c>
      <c r="FW38" s="272">
        <v>18510096</v>
      </c>
      <c r="FX38" s="384">
        <f t="shared" si="16"/>
        <v>269.60000000000002</v>
      </c>
      <c r="FY38" s="272">
        <v>5720175</v>
      </c>
      <c r="FZ38" s="272">
        <v>1565664</v>
      </c>
      <c r="GA38" s="272">
        <v>288567</v>
      </c>
      <c r="GB38" s="272">
        <v>3865944</v>
      </c>
      <c r="GC38" s="272"/>
      <c r="GD38" s="272"/>
      <c r="GE38" s="384"/>
      <c r="GF38" s="388">
        <v>98.7</v>
      </c>
      <c r="GG38" s="388">
        <v>8.9</v>
      </c>
      <c r="GH38" s="388">
        <v>93.6</v>
      </c>
      <c r="GI38" s="272">
        <v>307</v>
      </c>
    </row>
    <row r="39" spans="2:191" x14ac:dyDescent="0.15">
      <c r="B39" s="89" t="s">
        <v>71</v>
      </c>
      <c r="C39" s="272">
        <v>3464445</v>
      </c>
      <c r="D39" s="455">
        <f t="shared" si="0"/>
        <v>2358499</v>
      </c>
      <c r="E39" s="272">
        <v>18938</v>
      </c>
      <c r="F39" s="272">
        <v>2339561</v>
      </c>
      <c r="G39" s="455">
        <f t="shared" si="1"/>
        <v>36286</v>
      </c>
      <c r="H39" s="272">
        <v>17462</v>
      </c>
      <c r="I39" s="272">
        <v>18824</v>
      </c>
      <c r="J39" s="272">
        <v>990416</v>
      </c>
      <c r="K39" s="272">
        <v>374487</v>
      </c>
      <c r="L39" s="272">
        <v>527967</v>
      </c>
      <c r="M39" s="272">
        <v>87909</v>
      </c>
      <c r="N39" s="272">
        <v>61647</v>
      </c>
      <c r="O39" s="272">
        <v>0</v>
      </c>
      <c r="P39" s="272">
        <v>0</v>
      </c>
      <c r="Q39" s="272">
        <v>0</v>
      </c>
      <c r="R39" s="272">
        <v>110068</v>
      </c>
      <c r="S39" s="272">
        <v>29278</v>
      </c>
      <c r="T39" s="455">
        <f t="shared" si="2"/>
        <v>240440</v>
      </c>
      <c r="U39" s="272">
        <v>74905</v>
      </c>
      <c r="V39" s="272"/>
      <c r="W39" s="272"/>
      <c r="X39" s="272">
        <v>40871</v>
      </c>
      <c r="Y39" s="272">
        <v>14102</v>
      </c>
      <c r="Z39" s="272">
        <v>238</v>
      </c>
      <c r="AA39" s="272">
        <v>110324</v>
      </c>
      <c r="AB39" s="272"/>
      <c r="AC39" s="272">
        <v>2073221</v>
      </c>
      <c r="AD39" s="272">
        <v>1811813</v>
      </c>
      <c r="AE39" s="272">
        <v>261408</v>
      </c>
      <c r="AF39" s="272">
        <v>6069</v>
      </c>
      <c r="AG39" s="272">
        <v>27413</v>
      </c>
      <c r="AH39" s="455">
        <f t="shared" si="3"/>
        <v>169005</v>
      </c>
      <c r="AI39" s="272">
        <v>150402</v>
      </c>
      <c r="AJ39" s="272">
        <v>18603</v>
      </c>
      <c r="AK39" s="272">
        <v>195286</v>
      </c>
      <c r="AL39" s="455">
        <f t="shared" si="4"/>
        <v>43114</v>
      </c>
      <c r="AM39" s="272">
        <v>0</v>
      </c>
      <c r="AN39" s="272">
        <v>10602</v>
      </c>
      <c r="AO39" s="272">
        <v>0</v>
      </c>
      <c r="AP39" s="272">
        <v>32512</v>
      </c>
      <c r="AQ39" s="272">
        <v>56269</v>
      </c>
      <c r="AR39" s="272">
        <v>3341</v>
      </c>
      <c r="AS39" s="272">
        <v>0</v>
      </c>
      <c r="AT39" s="272">
        <v>798082</v>
      </c>
      <c r="AU39" s="272">
        <v>413728</v>
      </c>
      <c r="AV39" s="272">
        <v>8262</v>
      </c>
      <c r="AW39" s="272">
        <v>292791</v>
      </c>
      <c r="AX39" s="272">
        <v>384354</v>
      </c>
      <c r="AY39" s="272">
        <v>177980</v>
      </c>
      <c r="AZ39" s="272">
        <v>22244</v>
      </c>
      <c r="BA39" s="272">
        <v>0</v>
      </c>
      <c r="BB39" s="272">
        <v>1441</v>
      </c>
      <c r="BC39" s="272">
        <v>412378</v>
      </c>
      <c r="BD39" s="272">
        <v>0</v>
      </c>
      <c r="BE39" s="272">
        <v>3935</v>
      </c>
      <c r="BF39" s="272">
        <v>407275</v>
      </c>
      <c r="BG39" s="272">
        <v>0</v>
      </c>
      <c r="BH39" s="272">
        <v>266639</v>
      </c>
      <c r="BI39" s="272">
        <v>206500</v>
      </c>
      <c r="BJ39" s="272">
        <v>105672</v>
      </c>
      <c r="BK39" s="272">
        <v>703</v>
      </c>
      <c r="BL39" s="272">
        <v>0</v>
      </c>
      <c r="BM39" s="272">
        <v>0</v>
      </c>
      <c r="BN39" s="272">
        <v>627000</v>
      </c>
      <c r="BO39" s="455">
        <f t="shared" si="5"/>
        <v>511600</v>
      </c>
      <c r="BP39" s="455">
        <f t="shared" si="6"/>
        <v>115400</v>
      </c>
      <c r="BQ39" s="272"/>
      <c r="BR39" s="272">
        <v>115400</v>
      </c>
      <c r="BS39" s="272"/>
      <c r="BT39" s="272">
        <v>0</v>
      </c>
      <c r="BU39" s="272">
        <v>8519403</v>
      </c>
      <c r="BV39" s="272"/>
      <c r="BW39" s="272">
        <v>2442462</v>
      </c>
      <c r="BX39" s="272">
        <v>1675281</v>
      </c>
      <c r="BY39" s="272">
        <v>72642</v>
      </c>
      <c r="BZ39" s="272">
        <v>248022</v>
      </c>
      <c r="CA39" s="272">
        <v>239824</v>
      </c>
      <c r="CB39" s="272">
        <v>57716</v>
      </c>
      <c r="CC39" s="272">
        <v>167899</v>
      </c>
      <c r="CD39" s="272">
        <v>11967</v>
      </c>
      <c r="CE39" s="272">
        <v>0</v>
      </c>
      <c r="CF39" s="272">
        <v>90</v>
      </c>
      <c r="CG39" s="272">
        <v>2152</v>
      </c>
      <c r="CH39" s="272">
        <v>737794</v>
      </c>
      <c r="CI39" s="272">
        <v>484863</v>
      </c>
      <c r="CJ39" s="455">
        <f t="shared" si="7"/>
        <v>252931</v>
      </c>
      <c r="CK39" s="272">
        <v>1016417</v>
      </c>
      <c r="CL39" s="272">
        <v>461057</v>
      </c>
      <c r="CM39" s="272">
        <v>26618</v>
      </c>
      <c r="CN39" s="272">
        <v>342389</v>
      </c>
      <c r="CO39" s="272">
        <v>248939</v>
      </c>
      <c r="CP39" s="272">
        <v>682349</v>
      </c>
      <c r="CQ39" s="272">
        <v>359391</v>
      </c>
      <c r="CR39" s="272">
        <v>153766</v>
      </c>
      <c r="CS39" s="272">
        <v>149329</v>
      </c>
      <c r="CT39" s="455">
        <f t="shared" si="8"/>
        <v>54510</v>
      </c>
      <c r="CU39" s="272">
        <v>24497</v>
      </c>
      <c r="CV39" s="272">
        <v>30013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1896622</v>
      </c>
      <c r="DD39" s="272">
        <v>452519</v>
      </c>
      <c r="DE39" s="272">
        <v>1434611</v>
      </c>
      <c r="DF39" s="272">
        <v>9492</v>
      </c>
      <c r="DG39" s="272">
        <v>0</v>
      </c>
      <c r="DH39" s="272">
        <v>33906</v>
      </c>
      <c r="DI39" s="272">
        <v>176500</v>
      </c>
      <c r="DJ39" s="272">
        <v>108900</v>
      </c>
      <c r="DK39" s="272">
        <v>2600</v>
      </c>
      <c r="DL39" s="272">
        <v>65000</v>
      </c>
      <c r="DM39" s="272">
        <v>0</v>
      </c>
      <c r="DN39" s="272">
        <v>0</v>
      </c>
      <c r="DO39" s="272">
        <v>0</v>
      </c>
      <c r="DP39" s="272">
        <v>0</v>
      </c>
      <c r="DQ39" s="272">
        <v>2395</v>
      </c>
      <c r="DR39" s="272">
        <v>0</v>
      </c>
      <c r="DS39" s="272">
        <v>0</v>
      </c>
      <c r="DT39" s="272">
        <v>704626</v>
      </c>
      <c r="DU39" s="272">
        <v>285640</v>
      </c>
      <c r="DV39" s="455">
        <f t="shared" si="11"/>
        <v>0</v>
      </c>
      <c r="DW39" s="272">
        <v>0</v>
      </c>
      <c r="DX39" s="272">
        <v>0</v>
      </c>
      <c r="DY39" s="272">
        <v>0</v>
      </c>
      <c r="DZ39" s="272">
        <v>73462</v>
      </c>
      <c r="EA39" s="272">
        <v>90415</v>
      </c>
      <c r="EB39" s="272"/>
      <c r="EC39" s="272">
        <v>0</v>
      </c>
      <c r="ED39" s="272">
        <v>8181834</v>
      </c>
      <c r="EF39" s="272">
        <v>337569</v>
      </c>
      <c r="EG39" s="272">
        <v>148649</v>
      </c>
      <c r="EH39" s="272">
        <v>188920</v>
      </c>
      <c r="EI39" s="272">
        <v>-17580</v>
      </c>
      <c r="EJ39" s="272">
        <v>91320</v>
      </c>
      <c r="EL39" s="272"/>
      <c r="EM39" s="272">
        <v>27192</v>
      </c>
      <c r="EN39" s="272">
        <v>4105</v>
      </c>
      <c r="EO39" s="272">
        <v>1526</v>
      </c>
      <c r="EP39" s="455">
        <f t="shared" si="12"/>
        <v>286030</v>
      </c>
      <c r="EQ39" s="272">
        <v>5894243</v>
      </c>
      <c r="ER39" s="272">
        <v>-400992</v>
      </c>
      <c r="ES39" s="272">
        <v>2216274</v>
      </c>
      <c r="ET39" s="272">
        <v>1472341</v>
      </c>
      <c r="EU39" s="272">
        <v>68331</v>
      </c>
      <c r="EV39" s="272">
        <v>720804</v>
      </c>
      <c r="EW39" s="455">
        <f t="shared" si="13"/>
        <v>471313</v>
      </c>
      <c r="EX39" s="272">
        <v>467563</v>
      </c>
      <c r="EY39" s="272">
        <v>23479</v>
      </c>
      <c r="EZ39" s="272">
        <v>443992</v>
      </c>
      <c r="FA39" s="272">
        <v>3750</v>
      </c>
      <c r="FB39" s="272"/>
      <c r="FC39" s="272">
        <v>797972</v>
      </c>
      <c r="FD39" s="272">
        <v>638166</v>
      </c>
      <c r="FE39" s="272">
        <v>359391</v>
      </c>
      <c r="FF39" s="272">
        <v>639057</v>
      </c>
      <c r="FG39" s="455">
        <f t="shared" si="14"/>
        <v>405749</v>
      </c>
      <c r="FH39" s="272">
        <v>5957666</v>
      </c>
      <c r="FI39" s="384">
        <f t="shared" si="15"/>
        <v>3.2</v>
      </c>
      <c r="FJ39" s="272">
        <v>5818784</v>
      </c>
      <c r="FK39" s="272"/>
      <c r="FL39" s="272">
        <v>3027612</v>
      </c>
      <c r="FM39" s="272">
        <v>4843775</v>
      </c>
      <c r="FN39" s="460">
        <v>0.66400000000000003</v>
      </c>
      <c r="FO39" s="388">
        <v>82.8</v>
      </c>
      <c r="FP39" s="388">
        <v>38.9</v>
      </c>
      <c r="FQ39" s="388">
        <v>1.2</v>
      </c>
      <c r="FR39" s="388">
        <v>12.8</v>
      </c>
      <c r="FS39" s="388">
        <v>13.3</v>
      </c>
      <c r="FT39" s="388">
        <v>9.4</v>
      </c>
      <c r="FU39" s="388">
        <v>2.8</v>
      </c>
      <c r="FV39" s="388">
        <v>6.9</v>
      </c>
      <c r="FW39" s="272">
        <v>6071509</v>
      </c>
      <c r="FX39" s="384">
        <f t="shared" si="16"/>
        <v>104.3</v>
      </c>
      <c r="FY39" s="272">
        <v>3790489</v>
      </c>
      <c r="FZ39" s="272">
        <v>907778</v>
      </c>
      <c r="GA39" s="272">
        <v>458935</v>
      </c>
      <c r="GB39" s="272">
        <v>2423776</v>
      </c>
      <c r="GC39" s="272"/>
      <c r="GD39" s="272"/>
      <c r="GE39" s="384"/>
      <c r="GF39" s="388">
        <v>98.7</v>
      </c>
      <c r="GG39" s="388">
        <v>19.600000000000001</v>
      </c>
      <c r="GH39" s="388">
        <v>95.1</v>
      </c>
      <c r="GI39" s="272">
        <v>268</v>
      </c>
    </row>
    <row r="40" spans="2:191" x14ac:dyDescent="0.15">
      <c r="B40" s="89" t="s">
        <v>73</v>
      </c>
      <c r="C40" s="272">
        <v>1296618</v>
      </c>
      <c r="D40" s="455">
        <f t="shared" si="0"/>
        <v>608614</v>
      </c>
      <c r="E40" s="272">
        <v>9412</v>
      </c>
      <c r="F40" s="272">
        <v>599202</v>
      </c>
      <c r="G40" s="455">
        <f t="shared" si="1"/>
        <v>43308</v>
      </c>
      <c r="H40" s="272">
        <v>16782</v>
      </c>
      <c r="I40" s="272">
        <v>26526</v>
      </c>
      <c r="J40" s="272">
        <v>563840</v>
      </c>
      <c r="K40" s="272">
        <v>171709</v>
      </c>
      <c r="L40" s="272">
        <v>302590</v>
      </c>
      <c r="M40" s="272">
        <v>89372</v>
      </c>
      <c r="N40" s="272">
        <v>54146</v>
      </c>
      <c r="O40" s="272">
        <v>0</v>
      </c>
      <c r="P40" s="272">
        <v>0</v>
      </c>
      <c r="Q40" s="272">
        <v>0</v>
      </c>
      <c r="R40" s="272">
        <v>85495</v>
      </c>
      <c r="S40" s="272">
        <v>18516</v>
      </c>
      <c r="T40" s="455">
        <f t="shared" si="2"/>
        <v>168455</v>
      </c>
      <c r="U40" s="272">
        <v>21916</v>
      </c>
      <c r="V40" s="272"/>
      <c r="W40" s="272"/>
      <c r="X40" s="272">
        <v>25190</v>
      </c>
      <c r="Y40" s="272">
        <v>28136</v>
      </c>
      <c r="Z40" s="272">
        <v>1458</v>
      </c>
      <c r="AA40" s="272">
        <v>91755</v>
      </c>
      <c r="AB40" s="272"/>
      <c r="AC40" s="272">
        <v>2085181</v>
      </c>
      <c r="AD40" s="272">
        <v>1821549</v>
      </c>
      <c r="AE40" s="272">
        <v>263632</v>
      </c>
      <c r="AF40" s="272">
        <v>2801</v>
      </c>
      <c r="AG40" s="272">
        <v>42923</v>
      </c>
      <c r="AH40" s="455">
        <f t="shared" si="3"/>
        <v>129062</v>
      </c>
      <c r="AI40" s="272">
        <v>74658</v>
      </c>
      <c r="AJ40" s="272">
        <v>54404</v>
      </c>
      <c r="AK40" s="272">
        <v>159537</v>
      </c>
      <c r="AL40" s="455">
        <f t="shared" si="4"/>
        <v>46353</v>
      </c>
      <c r="AM40" s="272">
        <v>0</v>
      </c>
      <c r="AN40" s="272">
        <v>29871</v>
      </c>
      <c r="AO40" s="272">
        <v>0</v>
      </c>
      <c r="AP40" s="272">
        <v>16482</v>
      </c>
      <c r="AQ40" s="272">
        <v>56905</v>
      </c>
      <c r="AR40" s="272">
        <v>14696</v>
      </c>
      <c r="AS40" s="272">
        <v>0</v>
      </c>
      <c r="AT40" s="272">
        <v>762222</v>
      </c>
      <c r="AU40" s="272">
        <v>283391</v>
      </c>
      <c r="AV40" s="272">
        <v>7967</v>
      </c>
      <c r="AW40" s="272">
        <v>193002</v>
      </c>
      <c r="AX40" s="272">
        <v>478831</v>
      </c>
      <c r="AY40" s="272">
        <v>279411</v>
      </c>
      <c r="AZ40" s="272">
        <v>13702</v>
      </c>
      <c r="BA40" s="272">
        <v>50</v>
      </c>
      <c r="BB40" s="272">
        <v>1053</v>
      </c>
      <c r="BC40" s="272">
        <v>325225</v>
      </c>
      <c r="BD40" s="272">
        <v>200000</v>
      </c>
      <c r="BE40" s="272">
        <v>0</v>
      </c>
      <c r="BF40" s="272">
        <v>124164</v>
      </c>
      <c r="BG40" s="272">
        <v>0</v>
      </c>
      <c r="BH40" s="272">
        <v>185584</v>
      </c>
      <c r="BI40" s="272">
        <v>174398</v>
      </c>
      <c r="BJ40" s="272">
        <v>47369</v>
      </c>
      <c r="BK40" s="272">
        <v>894</v>
      </c>
      <c r="BL40" s="272">
        <v>0</v>
      </c>
      <c r="BM40" s="272">
        <v>0</v>
      </c>
      <c r="BN40" s="272">
        <v>289900</v>
      </c>
      <c r="BO40" s="455">
        <f t="shared" si="5"/>
        <v>218800</v>
      </c>
      <c r="BP40" s="455">
        <f t="shared" si="6"/>
        <v>71100</v>
      </c>
      <c r="BQ40" s="272"/>
      <c r="BR40" s="272">
        <v>71100</v>
      </c>
      <c r="BS40" s="272"/>
      <c r="BT40" s="272">
        <v>0</v>
      </c>
      <c r="BU40" s="272">
        <v>5595127</v>
      </c>
      <c r="BV40" s="272"/>
      <c r="BW40" s="272">
        <v>1429532</v>
      </c>
      <c r="BX40" s="272">
        <v>951811</v>
      </c>
      <c r="BY40" s="272">
        <v>76943</v>
      </c>
      <c r="BZ40" s="272">
        <v>85478</v>
      </c>
      <c r="CA40" s="272">
        <v>193990</v>
      </c>
      <c r="CB40" s="272">
        <v>48172</v>
      </c>
      <c r="CC40" s="272">
        <v>87644</v>
      </c>
      <c r="CD40" s="272">
        <v>40453</v>
      </c>
      <c r="CE40" s="272">
        <v>0</v>
      </c>
      <c r="CF40" s="272">
        <v>5096</v>
      </c>
      <c r="CG40" s="272">
        <v>12625</v>
      </c>
      <c r="CH40" s="272">
        <v>382219</v>
      </c>
      <c r="CI40" s="272">
        <v>262369</v>
      </c>
      <c r="CJ40" s="455">
        <f t="shared" si="7"/>
        <v>119850</v>
      </c>
      <c r="CK40" s="272">
        <v>846852</v>
      </c>
      <c r="CL40" s="272">
        <v>464938</v>
      </c>
      <c r="CM40" s="272">
        <v>29288</v>
      </c>
      <c r="CN40" s="272">
        <v>215787</v>
      </c>
      <c r="CO40" s="272">
        <v>44179</v>
      </c>
      <c r="CP40" s="272">
        <v>518464</v>
      </c>
      <c r="CQ40" s="272">
        <v>174543</v>
      </c>
      <c r="CR40" s="272">
        <v>138375</v>
      </c>
      <c r="CS40" s="272">
        <v>123364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1437493</v>
      </c>
      <c r="DD40" s="272">
        <v>495744</v>
      </c>
      <c r="DE40" s="272">
        <v>933034</v>
      </c>
      <c r="DF40" s="272">
        <v>8715</v>
      </c>
      <c r="DG40" s="272">
        <v>0</v>
      </c>
      <c r="DH40" s="272">
        <v>37930</v>
      </c>
      <c r="DI40" s="272">
        <v>171413</v>
      </c>
      <c r="DJ40" s="272">
        <v>97800</v>
      </c>
      <c r="DK40" s="272">
        <v>0</v>
      </c>
      <c r="DL40" s="272">
        <v>73613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280962</v>
      </c>
      <c r="DU40" s="272">
        <v>90873</v>
      </c>
      <c r="DV40" s="455">
        <f t="shared" si="11"/>
        <v>0</v>
      </c>
      <c r="DW40" s="272">
        <v>0</v>
      </c>
      <c r="DX40" s="272">
        <v>0</v>
      </c>
      <c r="DY40" s="272">
        <v>0</v>
      </c>
      <c r="DZ40" s="272">
        <v>85075</v>
      </c>
      <c r="EA40" s="272">
        <v>70106</v>
      </c>
      <c r="EB40" s="272"/>
      <c r="EC40" s="272">
        <v>0</v>
      </c>
      <c r="ED40" s="272">
        <v>5343034</v>
      </c>
      <c r="EF40" s="272">
        <v>252093</v>
      </c>
      <c r="EG40" s="272">
        <v>89328</v>
      </c>
      <c r="EH40" s="272">
        <v>162765</v>
      </c>
      <c r="EI40" s="272">
        <v>-11633</v>
      </c>
      <c r="EJ40" s="272">
        <v>-112974</v>
      </c>
      <c r="EL40" s="272"/>
      <c r="EM40" s="272">
        <v>15010</v>
      </c>
      <c r="EN40" s="272">
        <v>273061</v>
      </c>
      <c r="EO40" s="272">
        <v>505</v>
      </c>
      <c r="EP40" s="455">
        <f t="shared" si="12"/>
        <v>205422</v>
      </c>
      <c r="EQ40" s="272">
        <v>3638550</v>
      </c>
      <c r="ER40" s="272">
        <v>-547287</v>
      </c>
      <c r="ES40" s="272">
        <v>1341949</v>
      </c>
      <c r="ET40" s="272">
        <v>869100</v>
      </c>
      <c r="EU40" s="272">
        <v>81765</v>
      </c>
      <c r="EV40" s="272">
        <v>372835</v>
      </c>
      <c r="EW40" s="455">
        <f t="shared" si="13"/>
        <v>644570</v>
      </c>
      <c r="EX40" s="272">
        <v>643541</v>
      </c>
      <c r="EY40" s="272">
        <v>88001</v>
      </c>
      <c r="EZ40" s="272">
        <v>550925</v>
      </c>
      <c r="FA40" s="272">
        <v>1029</v>
      </c>
      <c r="FB40" s="272"/>
      <c r="FC40" s="272">
        <v>637929</v>
      </c>
      <c r="FD40" s="272">
        <v>385707</v>
      </c>
      <c r="FE40" s="272">
        <v>174543</v>
      </c>
      <c r="FF40" s="272">
        <v>266302</v>
      </c>
      <c r="FG40" s="455">
        <f t="shared" si="14"/>
        <v>202687</v>
      </c>
      <c r="FH40" s="272">
        <v>3933744</v>
      </c>
      <c r="FI40" s="384">
        <f t="shared" si="15"/>
        <v>4.5</v>
      </c>
      <c r="FJ40" s="272">
        <v>3580585</v>
      </c>
      <c r="FK40" s="272"/>
      <c r="FL40" s="272">
        <v>1337274</v>
      </c>
      <c r="FM40" s="272">
        <v>3160981</v>
      </c>
      <c r="FN40" s="460">
        <v>0.41399999999999998</v>
      </c>
      <c r="FO40" s="388">
        <v>82.1</v>
      </c>
      <c r="FP40" s="388">
        <v>38.4</v>
      </c>
      <c r="FQ40" s="388">
        <v>2.4</v>
      </c>
      <c r="FR40" s="388">
        <v>11</v>
      </c>
      <c r="FS40" s="388">
        <v>16</v>
      </c>
      <c r="FT40" s="388">
        <v>8.6999999999999993</v>
      </c>
      <c r="FU40" s="388">
        <v>4.4000000000000004</v>
      </c>
      <c r="FV40" s="388">
        <v>6.4</v>
      </c>
      <c r="FW40" s="272">
        <v>2658410</v>
      </c>
      <c r="FX40" s="384">
        <f t="shared" si="16"/>
        <v>74.2</v>
      </c>
      <c r="FY40" s="272">
        <v>1860951</v>
      </c>
      <c r="FZ40" s="272">
        <v>1245159</v>
      </c>
      <c r="GA40" s="272"/>
      <c r="GB40" s="272">
        <v>615792</v>
      </c>
      <c r="GC40" s="272"/>
      <c r="GD40" s="272">
        <v>49903</v>
      </c>
      <c r="GE40" s="384">
        <f>ROUND(GD40/FJ40*100,1)</f>
        <v>1.4</v>
      </c>
      <c r="GF40" s="388">
        <v>96.2</v>
      </c>
      <c r="GG40" s="388">
        <v>12.4</v>
      </c>
      <c r="GH40" s="388">
        <v>88.5</v>
      </c>
      <c r="GI40" s="272">
        <v>170</v>
      </c>
    </row>
    <row r="41" spans="2:191" x14ac:dyDescent="0.15">
      <c r="B41" s="89" t="s">
        <v>75</v>
      </c>
      <c r="C41" s="272">
        <v>2775283</v>
      </c>
      <c r="D41" s="455">
        <f t="shared" si="0"/>
        <v>769205</v>
      </c>
      <c r="E41" s="272">
        <v>12018</v>
      </c>
      <c r="F41" s="272">
        <v>757187</v>
      </c>
      <c r="G41" s="455">
        <f t="shared" si="1"/>
        <v>241082</v>
      </c>
      <c r="H41" s="272">
        <v>42284</v>
      </c>
      <c r="I41" s="272">
        <v>198798</v>
      </c>
      <c r="J41" s="272">
        <v>1332479</v>
      </c>
      <c r="K41" s="272">
        <v>764859</v>
      </c>
      <c r="L41" s="272">
        <v>373484</v>
      </c>
      <c r="M41" s="272">
        <v>189505</v>
      </c>
      <c r="N41" s="272">
        <v>110901</v>
      </c>
      <c r="O41" s="272">
        <v>306083</v>
      </c>
      <c r="P41" s="272">
        <v>222318</v>
      </c>
      <c r="Q41" s="272">
        <v>83765</v>
      </c>
      <c r="R41" s="272">
        <v>71463</v>
      </c>
      <c r="S41" s="272">
        <v>32744</v>
      </c>
      <c r="T41" s="455">
        <f t="shared" si="2"/>
        <v>125495</v>
      </c>
      <c r="U41" s="272">
        <v>29577</v>
      </c>
      <c r="V41" s="272"/>
      <c r="W41" s="272"/>
      <c r="X41" s="272">
        <v>42896</v>
      </c>
      <c r="Y41" s="272">
        <v>0</v>
      </c>
      <c r="Z41" s="272">
        <v>163</v>
      </c>
      <c r="AA41" s="272">
        <v>52859</v>
      </c>
      <c r="AB41" s="272"/>
      <c r="AC41" s="272">
        <v>1652872</v>
      </c>
      <c r="AD41" s="272">
        <v>1319317</v>
      </c>
      <c r="AE41" s="272">
        <v>333555</v>
      </c>
      <c r="AF41" s="272">
        <v>4271</v>
      </c>
      <c r="AG41" s="272">
        <v>14025</v>
      </c>
      <c r="AH41" s="455">
        <f t="shared" si="3"/>
        <v>110131</v>
      </c>
      <c r="AI41" s="272">
        <v>93722</v>
      </c>
      <c r="AJ41" s="272">
        <v>16409</v>
      </c>
      <c r="AK41" s="272">
        <v>186660</v>
      </c>
      <c r="AL41" s="455">
        <f t="shared" si="4"/>
        <v>99085</v>
      </c>
      <c r="AM41" s="272">
        <v>0</v>
      </c>
      <c r="AN41" s="272">
        <v>65592</v>
      </c>
      <c r="AO41" s="272">
        <v>0</v>
      </c>
      <c r="AP41" s="272">
        <v>33493</v>
      </c>
      <c r="AQ41" s="272">
        <v>16355</v>
      </c>
      <c r="AR41" s="272">
        <v>0</v>
      </c>
      <c r="AS41" s="272">
        <v>0</v>
      </c>
      <c r="AT41" s="272">
        <v>544486</v>
      </c>
      <c r="AU41" s="272">
        <v>92384</v>
      </c>
      <c r="AV41" s="272">
        <v>24668</v>
      </c>
      <c r="AW41" s="272">
        <v>0</v>
      </c>
      <c r="AX41" s="272">
        <v>452102</v>
      </c>
      <c r="AY41" s="272">
        <v>255900</v>
      </c>
      <c r="AZ41" s="272">
        <v>33917</v>
      </c>
      <c r="BA41" s="272">
        <v>5393</v>
      </c>
      <c r="BB41" s="272">
        <v>17619</v>
      </c>
      <c r="BC41" s="272">
        <v>889107</v>
      </c>
      <c r="BD41" s="272">
        <v>290000</v>
      </c>
      <c r="BE41" s="272">
        <v>0</v>
      </c>
      <c r="BF41" s="272">
        <v>599063</v>
      </c>
      <c r="BG41" s="272">
        <v>0</v>
      </c>
      <c r="BH41" s="272">
        <v>12456</v>
      </c>
      <c r="BI41" s="272">
        <v>10138</v>
      </c>
      <c r="BJ41" s="272">
        <v>463771</v>
      </c>
      <c r="BK41" s="272">
        <v>207983</v>
      </c>
      <c r="BL41" s="272">
        <v>0</v>
      </c>
      <c r="BM41" s="272">
        <v>0</v>
      </c>
      <c r="BN41" s="272">
        <v>4274500</v>
      </c>
      <c r="BO41" s="455">
        <f t="shared" si="5"/>
        <v>4153400</v>
      </c>
      <c r="BP41" s="455">
        <f t="shared" si="6"/>
        <v>121100</v>
      </c>
      <c r="BQ41" s="272"/>
      <c r="BR41" s="272">
        <v>121100</v>
      </c>
      <c r="BS41" s="272"/>
      <c r="BT41" s="272">
        <v>0</v>
      </c>
      <c r="BU41" s="272">
        <v>11176056</v>
      </c>
      <c r="BV41" s="272"/>
      <c r="BW41" s="272">
        <v>1937918</v>
      </c>
      <c r="BX41" s="272">
        <v>1354079</v>
      </c>
      <c r="BY41" s="272">
        <v>162154</v>
      </c>
      <c r="BZ41" s="272">
        <v>12981</v>
      </c>
      <c r="CA41" s="272">
        <v>289267</v>
      </c>
      <c r="CB41" s="272">
        <v>83125</v>
      </c>
      <c r="CC41" s="272">
        <v>180476</v>
      </c>
      <c r="CD41" s="272">
        <v>20985</v>
      </c>
      <c r="CE41" s="272">
        <v>0</v>
      </c>
      <c r="CF41" s="272">
        <v>0</v>
      </c>
      <c r="CG41" s="272">
        <v>4681</v>
      </c>
      <c r="CH41" s="272">
        <v>679587</v>
      </c>
      <c r="CI41" s="272">
        <v>469124</v>
      </c>
      <c r="CJ41" s="455">
        <f t="shared" si="7"/>
        <v>210463</v>
      </c>
      <c r="CK41" s="272">
        <v>1078183</v>
      </c>
      <c r="CL41" s="272">
        <v>518260</v>
      </c>
      <c r="CM41" s="272">
        <v>88996</v>
      </c>
      <c r="CN41" s="272">
        <v>212531</v>
      </c>
      <c r="CO41" s="272">
        <v>49401</v>
      </c>
      <c r="CP41" s="272">
        <v>570958</v>
      </c>
      <c r="CQ41" s="272">
        <v>3799</v>
      </c>
      <c r="CR41" s="272">
        <v>57148</v>
      </c>
      <c r="CS41" s="272">
        <v>57148</v>
      </c>
      <c r="CT41" s="455">
        <f t="shared" si="8"/>
        <v>258774</v>
      </c>
      <c r="CU41" s="272">
        <v>171653</v>
      </c>
      <c r="CV41" s="272">
        <v>87121</v>
      </c>
      <c r="CW41" s="455">
        <f t="shared" si="9"/>
        <v>198774</v>
      </c>
      <c r="CX41" s="272">
        <v>170780</v>
      </c>
      <c r="CY41" s="272">
        <v>27994</v>
      </c>
      <c r="CZ41" s="455">
        <f t="shared" si="10"/>
        <v>0</v>
      </c>
      <c r="DA41" s="272">
        <v>0</v>
      </c>
      <c r="DB41" s="272">
        <v>0</v>
      </c>
      <c r="DC41" s="272">
        <v>5525994</v>
      </c>
      <c r="DD41" s="272">
        <v>41283</v>
      </c>
      <c r="DE41" s="272">
        <v>5484711</v>
      </c>
      <c r="DF41" s="272">
        <v>0</v>
      </c>
      <c r="DG41" s="272">
        <v>0</v>
      </c>
      <c r="DH41" s="272">
        <v>0</v>
      </c>
      <c r="DI41" s="272">
        <v>42296</v>
      </c>
      <c r="DJ41" s="272">
        <v>21466</v>
      </c>
      <c r="DK41" s="272">
        <v>0</v>
      </c>
      <c r="DL41" s="272">
        <v>20830</v>
      </c>
      <c r="DM41" s="272">
        <v>0</v>
      </c>
      <c r="DN41" s="272">
        <v>0</v>
      </c>
      <c r="DO41" s="272">
        <v>0</v>
      </c>
      <c r="DP41" s="272">
        <v>0</v>
      </c>
      <c r="DQ41" s="272">
        <v>420</v>
      </c>
      <c r="DR41" s="272">
        <v>0</v>
      </c>
      <c r="DS41" s="272">
        <v>0</v>
      </c>
      <c r="DT41" s="272">
        <v>981559</v>
      </c>
      <c r="DU41" s="272">
        <v>715000</v>
      </c>
      <c r="DV41" s="455">
        <f t="shared" si="11"/>
        <v>0</v>
      </c>
      <c r="DW41" s="272">
        <v>0</v>
      </c>
      <c r="DX41" s="272">
        <v>0</v>
      </c>
      <c r="DY41" s="272">
        <v>0</v>
      </c>
      <c r="DZ41" s="272">
        <v>182815</v>
      </c>
      <c r="EA41" s="272">
        <v>83744</v>
      </c>
      <c r="EB41" s="272"/>
      <c r="EC41" s="272">
        <v>0</v>
      </c>
      <c r="ED41" s="272">
        <v>11155583</v>
      </c>
      <c r="EF41" s="272">
        <v>20473</v>
      </c>
      <c r="EG41" s="272">
        <v>0</v>
      </c>
      <c r="EH41" s="272">
        <v>20473</v>
      </c>
      <c r="EI41" s="272">
        <v>10335</v>
      </c>
      <c r="EJ41" s="272">
        <v>-258199</v>
      </c>
      <c r="EL41" s="272"/>
      <c r="EM41" s="272">
        <v>16570</v>
      </c>
      <c r="EN41" s="272">
        <v>290044</v>
      </c>
      <c r="EO41" s="272">
        <v>2535</v>
      </c>
      <c r="EP41" s="455">
        <f t="shared" si="12"/>
        <v>40199</v>
      </c>
      <c r="EQ41" s="272">
        <v>4629384</v>
      </c>
      <c r="ER41" s="272">
        <v>-449607</v>
      </c>
      <c r="ES41" s="272">
        <v>1771424</v>
      </c>
      <c r="ET41" s="272">
        <v>1203214</v>
      </c>
      <c r="EU41" s="272">
        <v>101243</v>
      </c>
      <c r="EV41" s="272">
        <v>471854</v>
      </c>
      <c r="EW41" s="455">
        <f t="shared" si="13"/>
        <v>304664</v>
      </c>
      <c r="EX41" s="272">
        <v>304664</v>
      </c>
      <c r="EY41" s="272">
        <v>1746</v>
      </c>
      <c r="EZ41" s="272">
        <v>302918</v>
      </c>
      <c r="FA41" s="272">
        <v>0</v>
      </c>
      <c r="FB41" s="272"/>
      <c r="FC41" s="272">
        <v>899773</v>
      </c>
      <c r="FD41" s="272">
        <v>498623</v>
      </c>
      <c r="FE41" s="272">
        <v>3799</v>
      </c>
      <c r="FF41" s="272">
        <v>957269</v>
      </c>
      <c r="FG41" s="455">
        <f t="shared" si="14"/>
        <v>53668</v>
      </c>
      <c r="FH41" s="272">
        <v>5058518</v>
      </c>
      <c r="FI41" s="384">
        <f t="shared" si="15"/>
        <v>0.5</v>
      </c>
      <c r="FJ41" s="272">
        <v>4133889</v>
      </c>
      <c r="FK41" s="272"/>
      <c r="FL41" s="272">
        <v>2121979</v>
      </c>
      <c r="FM41" s="272">
        <v>3458913</v>
      </c>
      <c r="FN41" s="460">
        <v>0.60499999999999998</v>
      </c>
      <c r="FO41" s="388">
        <v>96.9</v>
      </c>
      <c r="FP41" s="388">
        <v>41.3</v>
      </c>
      <c r="FQ41" s="388">
        <v>2.5</v>
      </c>
      <c r="FR41" s="388">
        <v>11.8</v>
      </c>
      <c r="FS41" s="388">
        <v>18.100000000000001</v>
      </c>
      <c r="FT41" s="388">
        <v>8.6</v>
      </c>
      <c r="FU41" s="388">
        <v>13.4</v>
      </c>
      <c r="FV41" s="388">
        <v>7.8</v>
      </c>
      <c r="FW41" s="272">
        <v>9516080</v>
      </c>
      <c r="FX41" s="384">
        <f t="shared" si="16"/>
        <v>230.2</v>
      </c>
      <c r="FY41" s="272">
        <v>1960813</v>
      </c>
      <c r="FZ41" s="272">
        <v>1310040</v>
      </c>
      <c r="GA41" s="272"/>
      <c r="GB41" s="272">
        <v>650773</v>
      </c>
      <c r="GC41" s="272"/>
      <c r="GD41" s="272"/>
      <c r="GE41" s="384"/>
      <c r="GF41" s="388">
        <v>96.5</v>
      </c>
      <c r="GG41" s="388">
        <v>16.399999999999999</v>
      </c>
      <c r="GH41" s="388">
        <v>89</v>
      </c>
      <c r="GI41" s="272">
        <v>202</v>
      </c>
    </row>
    <row r="42" spans="2:191" x14ac:dyDescent="0.15">
      <c r="B42" s="89" t="s">
        <v>77</v>
      </c>
      <c r="C42" s="272">
        <v>5014353</v>
      </c>
      <c r="D42" s="455">
        <f t="shared" si="0"/>
        <v>2592769</v>
      </c>
      <c r="E42" s="272">
        <v>28913</v>
      </c>
      <c r="F42" s="272">
        <v>2563856</v>
      </c>
      <c r="G42" s="455">
        <f t="shared" si="1"/>
        <v>318740</v>
      </c>
      <c r="H42" s="272">
        <v>48695</v>
      </c>
      <c r="I42" s="272">
        <v>270045</v>
      </c>
      <c r="J42" s="272">
        <v>1901944</v>
      </c>
      <c r="K42" s="272">
        <v>871307</v>
      </c>
      <c r="L42" s="272">
        <v>788886</v>
      </c>
      <c r="M42" s="272">
        <v>229493</v>
      </c>
      <c r="N42" s="272">
        <v>150907</v>
      </c>
      <c r="O42" s="272">
        <v>0</v>
      </c>
      <c r="P42" s="272">
        <v>0</v>
      </c>
      <c r="Q42" s="272">
        <v>0</v>
      </c>
      <c r="R42" s="272">
        <v>143499</v>
      </c>
      <c r="S42" s="272">
        <v>55930</v>
      </c>
      <c r="T42" s="455">
        <f t="shared" si="2"/>
        <v>298370</v>
      </c>
      <c r="U42" s="272">
        <v>87205</v>
      </c>
      <c r="V42" s="272"/>
      <c r="W42" s="272"/>
      <c r="X42" s="272">
        <v>75857</v>
      </c>
      <c r="Y42" s="272">
        <v>15115</v>
      </c>
      <c r="Z42" s="272">
        <v>572</v>
      </c>
      <c r="AA42" s="272">
        <v>119621</v>
      </c>
      <c r="AB42" s="272"/>
      <c r="AC42" s="272">
        <v>2125397</v>
      </c>
      <c r="AD42" s="272">
        <v>1898984</v>
      </c>
      <c r="AE42" s="272">
        <v>226413</v>
      </c>
      <c r="AF42" s="272">
        <v>9573</v>
      </c>
      <c r="AG42" s="272">
        <v>58189</v>
      </c>
      <c r="AH42" s="455">
        <f t="shared" si="3"/>
        <v>171619</v>
      </c>
      <c r="AI42" s="272">
        <v>145902</v>
      </c>
      <c r="AJ42" s="272">
        <v>25717</v>
      </c>
      <c r="AK42" s="272">
        <v>672813</v>
      </c>
      <c r="AL42" s="455">
        <f t="shared" si="4"/>
        <v>156834</v>
      </c>
      <c r="AM42" s="272">
        <v>0</v>
      </c>
      <c r="AN42" s="272">
        <v>77459</v>
      </c>
      <c r="AO42" s="272">
        <v>0</v>
      </c>
      <c r="AP42" s="272">
        <v>79375</v>
      </c>
      <c r="AQ42" s="272">
        <v>335035</v>
      </c>
      <c r="AR42" s="272">
        <v>0</v>
      </c>
      <c r="AS42" s="272">
        <v>0</v>
      </c>
      <c r="AT42" s="272">
        <v>621367</v>
      </c>
      <c r="AU42" s="272">
        <v>193345</v>
      </c>
      <c r="AV42" s="272">
        <v>38489</v>
      </c>
      <c r="AW42" s="272">
        <v>10735</v>
      </c>
      <c r="AX42" s="272">
        <v>428022</v>
      </c>
      <c r="AY42" s="272">
        <v>147066</v>
      </c>
      <c r="AZ42" s="272">
        <v>161008</v>
      </c>
      <c r="BA42" s="272">
        <v>0</v>
      </c>
      <c r="BB42" s="272">
        <v>706582</v>
      </c>
      <c r="BC42" s="272">
        <v>1251051</v>
      </c>
      <c r="BD42" s="272">
        <v>0</v>
      </c>
      <c r="BE42" s="272">
        <v>0</v>
      </c>
      <c r="BF42" s="272">
        <v>1245175</v>
      </c>
      <c r="BG42" s="272">
        <v>0</v>
      </c>
      <c r="BH42" s="272">
        <v>921262</v>
      </c>
      <c r="BI42" s="272">
        <v>307890</v>
      </c>
      <c r="BJ42" s="272">
        <v>75889</v>
      </c>
      <c r="BK42" s="272">
        <v>0</v>
      </c>
      <c r="BL42" s="272">
        <v>0</v>
      </c>
      <c r="BM42" s="272">
        <v>0</v>
      </c>
      <c r="BN42" s="272">
        <v>782600</v>
      </c>
      <c r="BO42" s="455">
        <f t="shared" si="5"/>
        <v>568400</v>
      </c>
      <c r="BP42" s="455">
        <f t="shared" si="6"/>
        <v>214200</v>
      </c>
      <c r="BQ42" s="272"/>
      <c r="BR42" s="272">
        <v>214200</v>
      </c>
      <c r="BS42" s="272"/>
      <c r="BT42" s="272">
        <v>0</v>
      </c>
      <c r="BU42" s="272">
        <v>13013572</v>
      </c>
      <c r="BV42" s="272"/>
      <c r="BW42" s="272">
        <v>3036559</v>
      </c>
      <c r="BX42" s="272">
        <v>2342259</v>
      </c>
      <c r="BY42" s="272">
        <v>80290</v>
      </c>
      <c r="BZ42" s="272">
        <v>33376</v>
      </c>
      <c r="CA42" s="272">
        <v>755951</v>
      </c>
      <c r="CB42" s="272">
        <v>101600</v>
      </c>
      <c r="CC42" s="272">
        <v>396369</v>
      </c>
      <c r="CD42" s="272">
        <v>238687</v>
      </c>
      <c r="CE42" s="272">
        <v>0</v>
      </c>
      <c r="CF42" s="272">
        <v>0</v>
      </c>
      <c r="CG42" s="272">
        <v>19295</v>
      </c>
      <c r="CH42" s="272">
        <v>1329289</v>
      </c>
      <c r="CI42" s="272">
        <v>780803</v>
      </c>
      <c r="CJ42" s="455">
        <f t="shared" si="7"/>
        <v>548486</v>
      </c>
      <c r="CK42" s="272">
        <v>1816197</v>
      </c>
      <c r="CL42" s="272">
        <v>752460</v>
      </c>
      <c r="CM42" s="272">
        <v>144543</v>
      </c>
      <c r="CN42" s="272">
        <v>493206</v>
      </c>
      <c r="CO42" s="272">
        <v>188802</v>
      </c>
      <c r="CP42" s="272">
        <v>390030</v>
      </c>
      <c r="CQ42" s="272">
        <v>1509</v>
      </c>
      <c r="CR42" s="272">
        <v>212966</v>
      </c>
      <c r="CS42" s="272">
        <v>212888</v>
      </c>
      <c r="CT42" s="455">
        <f t="shared" si="8"/>
        <v>9675</v>
      </c>
      <c r="CU42" s="272">
        <v>6736</v>
      </c>
      <c r="CV42" s="272">
        <v>2939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2487668</v>
      </c>
      <c r="DD42" s="272">
        <v>756928</v>
      </c>
      <c r="DE42" s="272">
        <v>1615237</v>
      </c>
      <c r="DF42" s="272">
        <v>115503</v>
      </c>
      <c r="DG42" s="272">
        <v>0</v>
      </c>
      <c r="DH42" s="272">
        <v>3224</v>
      </c>
      <c r="DI42" s="272">
        <v>1775533</v>
      </c>
      <c r="DJ42" s="272">
        <v>100000</v>
      </c>
      <c r="DK42" s="272">
        <v>100000</v>
      </c>
      <c r="DL42" s="272">
        <v>1575533</v>
      </c>
      <c r="DM42" s="272">
        <v>6900</v>
      </c>
      <c r="DN42" s="272">
        <v>6400</v>
      </c>
      <c r="DO42" s="272">
        <v>6400</v>
      </c>
      <c r="DP42" s="272">
        <v>0</v>
      </c>
      <c r="DQ42" s="272">
        <v>0</v>
      </c>
      <c r="DR42" s="272">
        <v>0</v>
      </c>
      <c r="DS42" s="272">
        <v>0</v>
      </c>
      <c r="DT42" s="272">
        <v>827611</v>
      </c>
      <c r="DU42" s="272">
        <v>468400</v>
      </c>
      <c r="DV42" s="455">
        <f t="shared" si="11"/>
        <v>0</v>
      </c>
      <c r="DW42" s="272">
        <v>0</v>
      </c>
      <c r="DX42" s="272">
        <v>0</v>
      </c>
      <c r="DY42" s="272">
        <v>0</v>
      </c>
      <c r="DZ42" s="272">
        <v>182905</v>
      </c>
      <c r="EA42" s="272">
        <v>173377</v>
      </c>
      <c r="EB42" s="272"/>
      <c r="EC42" s="272">
        <v>0</v>
      </c>
      <c r="ED42" s="272">
        <v>12617764</v>
      </c>
      <c r="EF42" s="272">
        <v>395808</v>
      </c>
      <c r="EG42" s="272">
        <v>65900</v>
      </c>
      <c r="EH42" s="272">
        <v>329908</v>
      </c>
      <c r="EI42" s="272">
        <v>22018</v>
      </c>
      <c r="EJ42" s="272">
        <v>122018</v>
      </c>
      <c r="EL42" s="272"/>
      <c r="EM42" s="272">
        <v>41405</v>
      </c>
      <c r="EN42" s="272">
        <v>811051</v>
      </c>
      <c r="EO42" s="272">
        <v>78859</v>
      </c>
      <c r="EP42" s="455">
        <f t="shared" si="12"/>
        <v>1127110</v>
      </c>
      <c r="EQ42" s="272">
        <v>7591192</v>
      </c>
      <c r="ER42" s="272">
        <v>-2221647</v>
      </c>
      <c r="ES42" s="272">
        <v>2784654</v>
      </c>
      <c r="ET42" s="272">
        <v>2095571</v>
      </c>
      <c r="EU42" s="272">
        <v>329282</v>
      </c>
      <c r="EV42" s="272">
        <v>1329289</v>
      </c>
      <c r="EW42" s="455">
        <f t="shared" si="13"/>
        <v>449385</v>
      </c>
      <c r="EX42" s="272">
        <v>446161</v>
      </c>
      <c r="EY42" s="272">
        <v>10942</v>
      </c>
      <c r="EZ42" s="272">
        <v>388416</v>
      </c>
      <c r="FA42" s="272">
        <v>3224</v>
      </c>
      <c r="FB42" s="272"/>
      <c r="FC42" s="272">
        <v>1508527</v>
      </c>
      <c r="FD42" s="272">
        <v>354620</v>
      </c>
      <c r="FE42" s="272">
        <v>1509</v>
      </c>
      <c r="FF42" s="272">
        <v>776130</v>
      </c>
      <c r="FG42" s="455">
        <f t="shared" si="14"/>
        <v>1885144</v>
      </c>
      <c r="FH42" s="272">
        <v>9417031</v>
      </c>
      <c r="FI42" s="384">
        <f t="shared" si="15"/>
        <v>4.3</v>
      </c>
      <c r="FJ42" s="272">
        <v>7621619</v>
      </c>
      <c r="FK42" s="272"/>
      <c r="FL42" s="272">
        <v>4316903</v>
      </c>
      <c r="FM42" s="272">
        <v>6214732</v>
      </c>
      <c r="FN42" s="460">
        <v>0.72</v>
      </c>
      <c r="FO42" s="388">
        <v>84.7</v>
      </c>
      <c r="FP42" s="388">
        <v>37.1</v>
      </c>
      <c r="FQ42" s="388">
        <v>3.1</v>
      </c>
      <c r="FR42" s="388">
        <v>17.8</v>
      </c>
      <c r="FS42" s="388">
        <v>15.9</v>
      </c>
      <c r="FT42" s="388">
        <v>4.0999999999999996</v>
      </c>
      <c r="FU42" s="388">
        <v>4.2</v>
      </c>
      <c r="FV42" s="388">
        <v>10.6</v>
      </c>
      <c r="FW42" s="272">
        <v>12733107</v>
      </c>
      <c r="FX42" s="384">
        <f t="shared" si="16"/>
        <v>167.1</v>
      </c>
      <c r="FY42" s="272">
        <v>12591700</v>
      </c>
      <c r="FZ42" s="272">
        <v>1360158</v>
      </c>
      <c r="GA42" s="272">
        <v>1194843</v>
      </c>
      <c r="GB42" s="272">
        <v>10036699</v>
      </c>
      <c r="GC42" s="272"/>
      <c r="GD42" s="272">
        <v>4498408</v>
      </c>
      <c r="GE42" s="384">
        <f>ROUND(GD42/FJ42*100,1)</f>
        <v>59</v>
      </c>
      <c r="GF42" s="388">
        <v>96.7</v>
      </c>
      <c r="GG42" s="388">
        <v>19.7</v>
      </c>
      <c r="GH42" s="388">
        <v>89.5</v>
      </c>
      <c r="GI42" s="272">
        <v>379</v>
      </c>
    </row>
    <row r="43" spans="2:191" x14ac:dyDescent="0.15">
      <c r="B43" s="89" t="s">
        <v>79</v>
      </c>
      <c r="C43" s="272">
        <v>4082002</v>
      </c>
      <c r="D43" s="455">
        <f t="shared" si="0"/>
        <v>285914</v>
      </c>
      <c r="E43" s="272">
        <v>5082</v>
      </c>
      <c r="F43" s="272">
        <v>280832</v>
      </c>
      <c r="G43" s="455">
        <f t="shared" si="1"/>
        <v>112425</v>
      </c>
      <c r="H43" s="272">
        <v>44232</v>
      </c>
      <c r="I43" s="272">
        <v>68193</v>
      </c>
      <c r="J43" s="272">
        <v>3554997</v>
      </c>
      <c r="K43" s="272">
        <v>2213057</v>
      </c>
      <c r="L43" s="272">
        <v>923726</v>
      </c>
      <c r="M43" s="272">
        <v>399571</v>
      </c>
      <c r="N43" s="272">
        <v>67348</v>
      </c>
      <c r="O43" s="272">
        <v>0</v>
      </c>
      <c r="P43" s="272">
        <v>0</v>
      </c>
      <c r="Q43" s="272">
        <v>0</v>
      </c>
      <c r="R43" s="272">
        <v>72996</v>
      </c>
      <c r="S43" s="272">
        <v>10471</v>
      </c>
      <c r="T43" s="455">
        <f t="shared" si="2"/>
        <v>51242</v>
      </c>
      <c r="U43" s="272">
        <v>10761</v>
      </c>
      <c r="V43" s="272"/>
      <c r="W43" s="272"/>
      <c r="X43" s="272">
        <v>13898</v>
      </c>
      <c r="Y43" s="272">
        <v>0</v>
      </c>
      <c r="Z43" s="272">
        <v>8273</v>
      </c>
      <c r="AA43" s="272">
        <v>18310</v>
      </c>
      <c r="AB43" s="272"/>
      <c r="AC43" s="272">
        <v>20690</v>
      </c>
      <c r="AD43" s="272">
        <v>0</v>
      </c>
      <c r="AE43" s="272">
        <v>20690</v>
      </c>
      <c r="AF43" s="272">
        <v>1375</v>
      </c>
      <c r="AG43" s="272">
        <v>17530</v>
      </c>
      <c r="AH43" s="455">
        <f t="shared" si="3"/>
        <v>27022</v>
      </c>
      <c r="AI43" s="272">
        <v>23109</v>
      </c>
      <c r="AJ43" s="272">
        <v>3913</v>
      </c>
      <c r="AK43" s="272">
        <v>645959</v>
      </c>
      <c r="AL43" s="455">
        <f t="shared" si="4"/>
        <v>31727</v>
      </c>
      <c r="AM43" s="272">
        <v>0</v>
      </c>
      <c r="AN43" s="272">
        <v>9239</v>
      </c>
      <c r="AO43" s="272">
        <v>0</v>
      </c>
      <c r="AP43" s="272">
        <v>22488</v>
      </c>
      <c r="AQ43" s="272">
        <v>566550</v>
      </c>
      <c r="AR43" s="272">
        <v>0</v>
      </c>
      <c r="AS43" s="272">
        <v>0</v>
      </c>
      <c r="AT43" s="272">
        <v>193893</v>
      </c>
      <c r="AU43" s="272">
        <v>64854</v>
      </c>
      <c r="AV43" s="272">
        <v>4599</v>
      </c>
      <c r="AW43" s="272">
        <v>0</v>
      </c>
      <c r="AX43" s="272">
        <v>129039</v>
      </c>
      <c r="AY43" s="272">
        <v>51800</v>
      </c>
      <c r="AZ43" s="272">
        <v>11122</v>
      </c>
      <c r="BA43" s="272">
        <v>0</v>
      </c>
      <c r="BB43" s="272">
        <v>19675</v>
      </c>
      <c r="BC43" s="272">
        <v>885909</v>
      </c>
      <c r="BD43" s="272">
        <v>775000</v>
      </c>
      <c r="BE43" s="272">
        <v>0</v>
      </c>
      <c r="BF43" s="272">
        <v>110909</v>
      </c>
      <c r="BG43" s="272">
        <v>0</v>
      </c>
      <c r="BH43" s="272">
        <v>461344</v>
      </c>
      <c r="BI43" s="272">
        <v>344582</v>
      </c>
      <c r="BJ43" s="272">
        <v>75653</v>
      </c>
      <c r="BK43" s="272">
        <v>0</v>
      </c>
      <c r="BL43" s="272">
        <v>0</v>
      </c>
      <c r="BM43" s="272">
        <v>0</v>
      </c>
      <c r="BN43" s="272">
        <v>2534800</v>
      </c>
      <c r="BO43" s="455">
        <f t="shared" si="5"/>
        <v>2534800</v>
      </c>
      <c r="BP43" s="455">
        <f t="shared" si="6"/>
        <v>0</v>
      </c>
      <c r="BQ43" s="272"/>
      <c r="BR43" s="272">
        <v>0</v>
      </c>
      <c r="BS43" s="272"/>
      <c r="BT43" s="272">
        <v>0</v>
      </c>
      <c r="BU43" s="272">
        <v>9101212</v>
      </c>
      <c r="BV43" s="272"/>
      <c r="BW43" s="272">
        <v>1120913</v>
      </c>
      <c r="BX43" s="272">
        <v>793132</v>
      </c>
      <c r="BY43" s="272">
        <v>33609</v>
      </c>
      <c r="BZ43" s="272">
        <v>7838</v>
      </c>
      <c r="CA43" s="272">
        <v>162206</v>
      </c>
      <c r="CB43" s="272">
        <v>25948</v>
      </c>
      <c r="CC43" s="272">
        <v>109636</v>
      </c>
      <c r="CD43" s="272">
        <v>24544</v>
      </c>
      <c r="CE43" s="272">
        <v>0</v>
      </c>
      <c r="CF43" s="272">
        <v>0</v>
      </c>
      <c r="CG43" s="272">
        <v>2078</v>
      </c>
      <c r="CH43" s="272">
        <v>519177</v>
      </c>
      <c r="CI43" s="272">
        <v>317913</v>
      </c>
      <c r="CJ43" s="455">
        <f t="shared" si="7"/>
        <v>201264</v>
      </c>
      <c r="CK43" s="272">
        <v>546005</v>
      </c>
      <c r="CL43" s="272">
        <v>270714</v>
      </c>
      <c r="CM43" s="272">
        <v>80773</v>
      </c>
      <c r="CN43" s="272">
        <v>115826</v>
      </c>
      <c r="CO43" s="272">
        <v>15340</v>
      </c>
      <c r="CP43" s="272">
        <v>747317</v>
      </c>
      <c r="CQ43" s="272">
        <v>192278</v>
      </c>
      <c r="CR43" s="272">
        <v>165707</v>
      </c>
      <c r="CS43" s="272">
        <v>165707</v>
      </c>
      <c r="CT43" s="455">
        <f t="shared" si="8"/>
        <v>22755</v>
      </c>
      <c r="CU43" s="272">
        <v>1449</v>
      </c>
      <c r="CV43" s="272">
        <v>21306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4508068</v>
      </c>
      <c r="DD43" s="272">
        <v>1429091</v>
      </c>
      <c r="DE43" s="272">
        <v>3055834</v>
      </c>
      <c r="DF43" s="272">
        <v>23143</v>
      </c>
      <c r="DG43" s="272">
        <v>0</v>
      </c>
      <c r="DH43" s="272">
        <v>0</v>
      </c>
      <c r="DI43" s="272">
        <v>609303</v>
      </c>
      <c r="DJ43" s="272">
        <v>608581</v>
      </c>
      <c r="DK43" s="272">
        <v>0</v>
      </c>
      <c r="DL43" s="272">
        <v>722</v>
      </c>
      <c r="DM43" s="272">
        <v>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578269</v>
      </c>
      <c r="DU43" s="272">
        <v>469752</v>
      </c>
      <c r="DV43" s="455">
        <f t="shared" si="11"/>
        <v>0</v>
      </c>
      <c r="DW43" s="272">
        <v>0</v>
      </c>
      <c r="DX43" s="272">
        <v>0</v>
      </c>
      <c r="DY43" s="272">
        <v>0</v>
      </c>
      <c r="DZ43" s="272">
        <v>71136</v>
      </c>
      <c r="EA43" s="272">
        <v>37176</v>
      </c>
      <c r="EB43" s="272"/>
      <c r="EC43" s="272">
        <v>0</v>
      </c>
      <c r="ED43" s="272">
        <v>8806598</v>
      </c>
      <c r="EF43" s="272">
        <v>294614</v>
      </c>
      <c r="EG43" s="272">
        <v>32722</v>
      </c>
      <c r="EH43" s="272">
        <v>261892</v>
      </c>
      <c r="EI43" s="272">
        <v>-82690</v>
      </c>
      <c r="EJ43" s="272">
        <v>-249109</v>
      </c>
      <c r="EL43" s="272"/>
      <c r="EM43" s="272">
        <v>6885</v>
      </c>
      <c r="EN43" s="272">
        <v>785000</v>
      </c>
      <c r="EO43" s="272">
        <v>120</v>
      </c>
      <c r="EP43" s="455">
        <f t="shared" si="12"/>
        <v>371489</v>
      </c>
      <c r="EQ43" s="272">
        <v>4228305</v>
      </c>
      <c r="ER43" s="272">
        <v>-1155234</v>
      </c>
      <c r="ES43" s="272">
        <v>1085569</v>
      </c>
      <c r="ET43" s="272">
        <v>760004</v>
      </c>
      <c r="EU43" s="272">
        <v>46927</v>
      </c>
      <c r="EV43" s="272">
        <v>519177</v>
      </c>
      <c r="EW43" s="455">
        <f t="shared" si="13"/>
        <v>1185825</v>
      </c>
      <c r="EX43" s="272">
        <v>1185825</v>
      </c>
      <c r="EY43" s="272">
        <v>245441</v>
      </c>
      <c r="EZ43" s="272">
        <v>917241</v>
      </c>
      <c r="FA43" s="272">
        <v>0</v>
      </c>
      <c r="FB43" s="272"/>
      <c r="FC43" s="272">
        <v>446294</v>
      </c>
      <c r="FD43" s="272">
        <v>721637</v>
      </c>
      <c r="FE43" s="272">
        <v>192278</v>
      </c>
      <c r="FF43" s="272">
        <v>468250</v>
      </c>
      <c r="FG43" s="455">
        <f t="shared" si="14"/>
        <v>615246</v>
      </c>
      <c r="FH43" s="272">
        <v>5088925</v>
      </c>
      <c r="FI43" s="384">
        <f t="shared" si="15"/>
        <v>6.3</v>
      </c>
      <c r="FJ43" s="272">
        <v>4187802</v>
      </c>
      <c r="FK43" s="272"/>
      <c r="FL43" s="272">
        <v>3157985</v>
      </c>
      <c r="FM43" s="272">
        <v>1938825</v>
      </c>
      <c r="FN43" s="460">
        <v>1.8380000000000001</v>
      </c>
      <c r="FO43" s="388">
        <v>66.2</v>
      </c>
      <c r="FP43" s="388">
        <v>25.3</v>
      </c>
      <c r="FQ43" s="388">
        <v>1.1000000000000001</v>
      </c>
      <c r="FR43" s="388">
        <v>12.3</v>
      </c>
      <c r="FS43" s="388">
        <v>8.5</v>
      </c>
      <c r="FT43" s="388">
        <v>11.7</v>
      </c>
      <c r="FU43" s="388">
        <v>6.9</v>
      </c>
      <c r="FV43" s="388">
        <v>7.7</v>
      </c>
      <c r="FW43" s="272">
        <v>7299528</v>
      </c>
      <c r="FX43" s="384">
        <f t="shared" si="16"/>
        <v>174.3</v>
      </c>
      <c r="FY43" s="272">
        <v>1965326</v>
      </c>
      <c r="FZ43" s="272">
        <v>1756692</v>
      </c>
      <c r="GA43" s="272"/>
      <c r="GB43" s="272">
        <v>208634</v>
      </c>
      <c r="GC43" s="272"/>
      <c r="GD43" s="272">
        <v>2166291</v>
      </c>
      <c r="GE43" s="384">
        <f>ROUND(GD43/FJ43*100,1)</f>
        <v>51.7</v>
      </c>
      <c r="GF43" s="388">
        <v>99.2</v>
      </c>
      <c r="GG43" s="388">
        <v>15.8</v>
      </c>
      <c r="GH43" s="388">
        <v>97.8</v>
      </c>
      <c r="GI43" s="272">
        <v>125</v>
      </c>
    </row>
    <row r="44" spans="2:191" x14ac:dyDescent="0.15">
      <c r="B44" s="89" t="s">
        <v>81</v>
      </c>
      <c r="C44" s="272">
        <v>3276647</v>
      </c>
      <c r="D44" s="455">
        <f t="shared" si="0"/>
        <v>1068151</v>
      </c>
      <c r="E44" s="272">
        <v>15061</v>
      </c>
      <c r="F44" s="272">
        <v>1053090</v>
      </c>
      <c r="G44" s="455">
        <f t="shared" si="1"/>
        <v>282545</v>
      </c>
      <c r="H44" s="272">
        <v>36227</v>
      </c>
      <c r="I44" s="272">
        <v>246318</v>
      </c>
      <c r="J44" s="272">
        <v>1582336</v>
      </c>
      <c r="K44" s="272">
        <v>655536</v>
      </c>
      <c r="L44" s="272">
        <v>446183</v>
      </c>
      <c r="M44" s="272">
        <v>473779</v>
      </c>
      <c r="N44" s="272">
        <v>101799</v>
      </c>
      <c r="O44" s="272">
        <v>0</v>
      </c>
      <c r="P44" s="272">
        <v>0</v>
      </c>
      <c r="Q44" s="272">
        <v>0</v>
      </c>
      <c r="R44" s="272">
        <v>85538</v>
      </c>
      <c r="S44" s="272">
        <v>29223</v>
      </c>
      <c r="T44" s="455">
        <f t="shared" si="2"/>
        <v>235143</v>
      </c>
      <c r="U44" s="272">
        <v>38245</v>
      </c>
      <c r="V44" s="272"/>
      <c r="W44" s="272"/>
      <c r="X44" s="272">
        <v>39516</v>
      </c>
      <c r="Y44" s="272">
        <v>79145</v>
      </c>
      <c r="Z44" s="272">
        <v>1222</v>
      </c>
      <c r="AA44" s="272">
        <v>77015</v>
      </c>
      <c r="AB44" s="272"/>
      <c r="AC44" s="272">
        <v>1242246</v>
      </c>
      <c r="AD44" s="272">
        <v>1007715</v>
      </c>
      <c r="AE44" s="272">
        <v>234531</v>
      </c>
      <c r="AF44" s="272">
        <v>3740</v>
      </c>
      <c r="AG44" s="272">
        <v>22999</v>
      </c>
      <c r="AH44" s="455">
        <f t="shared" si="3"/>
        <v>241535</v>
      </c>
      <c r="AI44" s="272">
        <v>230463</v>
      </c>
      <c r="AJ44" s="272">
        <v>11072</v>
      </c>
      <c r="AK44" s="272">
        <v>281793</v>
      </c>
      <c r="AL44" s="455">
        <f t="shared" si="4"/>
        <v>82242</v>
      </c>
      <c r="AM44" s="272">
        <v>0</v>
      </c>
      <c r="AN44" s="272">
        <v>36896</v>
      </c>
      <c r="AO44" s="272">
        <v>0</v>
      </c>
      <c r="AP44" s="272">
        <v>45346</v>
      </c>
      <c r="AQ44" s="272">
        <v>96547</v>
      </c>
      <c r="AR44" s="272">
        <v>0</v>
      </c>
      <c r="AS44" s="272">
        <v>0</v>
      </c>
      <c r="AT44" s="272">
        <v>835185</v>
      </c>
      <c r="AU44" s="272">
        <v>139115</v>
      </c>
      <c r="AV44" s="272">
        <v>18319</v>
      </c>
      <c r="AW44" s="272">
        <v>3449</v>
      </c>
      <c r="AX44" s="272">
        <v>696070</v>
      </c>
      <c r="AY44" s="272">
        <v>228349</v>
      </c>
      <c r="AZ44" s="272">
        <v>23863</v>
      </c>
      <c r="BA44" s="272">
        <v>8900</v>
      </c>
      <c r="BB44" s="272">
        <v>21985</v>
      </c>
      <c r="BC44" s="272">
        <v>291082</v>
      </c>
      <c r="BD44" s="272">
        <v>0</v>
      </c>
      <c r="BE44" s="272">
        <v>0</v>
      </c>
      <c r="BF44" s="272">
        <v>284000</v>
      </c>
      <c r="BG44" s="272">
        <v>0</v>
      </c>
      <c r="BH44" s="272">
        <v>77553</v>
      </c>
      <c r="BI44" s="272">
        <v>10393</v>
      </c>
      <c r="BJ44" s="272">
        <v>174356</v>
      </c>
      <c r="BK44" s="272">
        <v>19066</v>
      </c>
      <c r="BL44" s="272">
        <v>5538</v>
      </c>
      <c r="BM44" s="272">
        <v>0</v>
      </c>
      <c r="BN44" s="272">
        <v>612700</v>
      </c>
      <c r="BO44" s="455">
        <f t="shared" si="5"/>
        <v>501100</v>
      </c>
      <c r="BP44" s="455">
        <f t="shared" si="6"/>
        <v>111600</v>
      </c>
      <c r="BQ44" s="272"/>
      <c r="BR44" s="272">
        <v>111600</v>
      </c>
      <c r="BS44" s="272"/>
      <c r="BT44" s="272">
        <v>0</v>
      </c>
      <c r="BU44" s="272">
        <v>7426365</v>
      </c>
      <c r="BV44" s="272"/>
      <c r="BW44" s="272">
        <v>2148054</v>
      </c>
      <c r="BX44" s="272">
        <v>1617992</v>
      </c>
      <c r="BY44" s="272">
        <v>60093</v>
      </c>
      <c r="BZ44" s="272">
        <v>26405</v>
      </c>
      <c r="CA44" s="272">
        <v>387085</v>
      </c>
      <c r="CB44" s="272">
        <v>75193</v>
      </c>
      <c r="CC44" s="272">
        <v>219894</v>
      </c>
      <c r="CD44" s="272">
        <v>82316</v>
      </c>
      <c r="CE44" s="272">
        <v>0</v>
      </c>
      <c r="CF44" s="272">
        <v>0</v>
      </c>
      <c r="CG44" s="272">
        <v>9387</v>
      </c>
      <c r="CH44" s="272">
        <v>909602</v>
      </c>
      <c r="CI44" s="272">
        <v>489716</v>
      </c>
      <c r="CJ44" s="455">
        <f t="shared" si="7"/>
        <v>419886</v>
      </c>
      <c r="CK44" s="272">
        <v>1280833</v>
      </c>
      <c r="CL44" s="272">
        <v>520377</v>
      </c>
      <c r="CM44" s="272">
        <v>174510</v>
      </c>
      <c r="CN44" s="272">
        <v>427831</v>
      </c>
      <c r="CO44" s="272">
        <v>134564</v>
      </c>
      <c r="CP44" s="272">
        <v>482985</v>
      </c>
      <c r="CQ44" s="272">
        <v>2487</v>
      </c>
      <c r="CR44" s="272">
        <v>247543</v>
      </c>
      <c r="CS44" s="272">
        <v>238008</v>
      </c>
      <c r="CT44" s="455">
        <f t="shared" si="8"/>
        <v>32736</v>
      </c>
      <c r="CU44" s="272">
        <v>2692</v>
      </c>
      <c r="CV44" s="272">
        <v>30044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1294774</v>
      </c>
      <c r="DD44" s="272">
        <v>154496</v>
      </c>
      <c r="DE44" s="272">
        <v>1097540</v>
      </c>
      <c r="DF44" s="272">
        <v>37200</v>
      </c>
      <c r="DG44" s="272">
        <v>5538</v>
      </c>
      <c r="DH44" s="272">
        <v>0</v>
      </c>
      <c r="DI44" s="272">
        <v>94407</v>
      </c>
      <c r="DJ44" s="272">
        <v>11001</v>
      </c>
      <c r="DK44" s="272">
        <v>620</v>
      </c>
      <c r="DL44" s="272">
        <v>82786</v>
      </c>
      <c r="DM44" s="272">
        <v>8000</v>
      </c>
      <c r="DN44" s="272">
        <v>8000</v>
      </c>
      <c r="DO44" s="272">
        <v>8000</v>
      </c>
      <c r="DP44" s="272">
        <v>0</v>
      </c>
      <c r="DQ44" s="272">
        <v>0</v>
      </c>
      <c r="DR44" s="272">
        <v>0</v>
      </c>
      <c r="DS44" s="272">
        <v>0</v>
      </c>
      <c r="DT44" s="272">
        <v>664623</v>
      </c>
      <c r="DU44" s="272">
        <v>331801</v>
      </c>
      <c r="DV44" s="455">
        <f t="shared" si="11"/>
        <v>0</v>
      </c>
      <c r="DW44" s="272">
        <v>0</v>
      </c>
      <c r="DX44" s="272">
        <v>0</v>
      </c>
      <c r="DY44" s="272">
        <v>0</v>
      </c>
      <c r="DZ44" s="272">
        <v>199924</v>
      </c>
      <c r="EA44" s="272">
        <v>131857</v>
      </c>
      <c r="EB44" s="272"/>
      <c r="EC44" s="272">
        <v>0</v>
      </c>
      <c r="ED44" s="272">
        <v>7404927</v>
      </c>
      <c r="EF44" s="272">
        <v>21438</v>
      </c>
      <c r="EG44" s="272">
        <v>0</v>
      </c>
      <c r="EH44" s="272">
        <v>21438</v>
      </c>
      <c r="EI44" s="272">
        <v>11045</v>
      </c>
      <c r="EJ44" s="272">
        <v>22046</v>
      </c>
      <c r="EL44" s="272"/>
      <c r="EM44" s="272">
        <v>20773</v>
      </c>
      <c r="EN44" s="272">
        <v>1297</v>
      </c>
      <c r="EO44" s="272">
        <v>9478</v>
      </c>
      <c r="EP44" s="455">
        <f t="shared" si="12"/>
        <v>205941</v>
      </c>
      <c r="EQ44" s="272">
        <v>4843314</v>
      </c>
      <c r="ER44" s="272">
        <v>-324576</v>
      </c>
      <c r="ES44" s="272">
        <v>1963011</v>
      </c>
      <c r="ET44" s="272">
        <v>1437007</v>
      </c>
      <c r="EU44" s="272">
        <v>137900</v>
      </c>
      <c r="EV44" s="272">
        <v>743121</v>
      </c>
      <c r="EW44" s="455">
        <f t="shared" si="13"/>
        <v>222521</v>
      </c>
      <c r="EX44" s="272">
        <v>222521</v>
      </c>
      <c r="EY44" s="272">
        <v>3451</v>
      </c>
      <c r="EZ44" s="272">
        <v>219070</v>
      </c>
      <c r="FA44" s="272">
        <v>0</v>
      </c>
      <c r="FB44" s="272"/>
      <c r="FC44" s="272">
        <v>938952</v>
      </c>
      <c r="FD44" s="272">
        <v>343410</v>
      </c>
      <c r="FE44" s="272">
        <v>2487</v>
      </c>
      <c r="FF44" s="272">
        <v>594823</v>
      </c>
      <c r="FG44" s="455">
        <f t="shared" si="14"/>
        <v>202714</v>
      </c>
      <c r="FH44" s="272">
        <v>5146452</v>
      </c>
      <c r="FI44" s="384">
        <f t="shared" si="15"/>
        <v>0.5</v>
      </c>
      <c r="FJ44" s="272">
        <v>4624759</v>
      </c>
      <c r="FK44" s="272"/>
      <c r="FL44" s="272">
        <v>2728252</v>
      </c>
      <c r="FM44" s="272">
        <v>3737696</v>
      </c>
      <c r="FN44" s="460">
        <v>0.73399999999999999</v>
      </c>
      <c r="FO44" s="388">
        <v>88.6</v>
      </c>
      <c r="FP44" s="388">
        <v>40.299999999999997</v>
      </c>
      <c r="FQ44" s="388">
        <v>2.9</v>
      </c>
      <c r="FR44" s="388">
        <v>15.7</v>
      </c>
      <c r="FS44" s="388">
        <v>17.600000000000001</v>
      </c>
      <c r="FT44" s="388">
        <v>3.3</v>
      </c>
      <c r="FU44" s="388">
        <v>6.2</v>
      </c>
      <c r="FV44" s="388">
        <v>9.5</v>
      </c>
      <c r="FW44" s="272">
        <v>10780253</v>
      </c>
      <c r="FX44" s="384">
        <f t="shared" si="16"/>
        <v>233.1</v>
      </c>
      <c r="FY44" s="272">
        <v>2365910</v>
      </c>
      <c r="FZ44" s="272">
        <v>1059659</v>
      </c>
      <c r="GA44" s="272">
        <v>119383</v>
      </c>
      <c r="GB44" s="272">
        <v>1186868</v>
      </c>
      <c r="GC44" s="272"/>
      <c r="GD44" s="272"/>
      <c r="GE44" s="384"/>
      <c r="GF44" s="388">
        <v>98.6</v>
      </c>
      <c r="GG44" s="388">
        <v>25.7</v>
      </c>
      <c r="GH44" s="388">
        <v>95.6</v>
      </c>
      <c r="GI44" s="272">
        <v>231</v>
      </c>
    </row>
    <row r="45" spans="2:191" x14ac:dyDescent="0.15">
      <c r="B45" s="89" t="s">
        <v>83</v>
      </c>
      <c r="C45" s="272">
        <v>1575927</v>
      </c>
      <c r="D45" s="455">
        <f t="shared" si="0"/>
        <v>808578</v>
      </c>
      <c r="E45" s="272">
        <v>8780</v>
      </c>
      <c r="F45" s="272">
        <v>799798</v>
      </c>
      <c r="G45" s="455">
        <f t="shared" si="1"/>
        <v>26956</v>
      </c>
      <c r="H45" s="272">
        <v>11391</v>
      </c>
      <c r="I45" s="272">
        <v>15565</v>
      </c>
      <c r="J45" s="272">
        <v>623609</v>
      </c>
      <c r="K45" s="272">
        <v>298173</v>
      </c>
      <c r="L45" s="272">
        <v>239708</v>
      </c>
      <c r="M45" s="272">
        <v>85728</v>
      </c>
      <c r="N45" s="272">
        <v>84788</v>
      </c>
      <c r="O45" s="272">
        <v>0</v>
      </c>
      <c r="P45" s="272">
        <v>0</v>
      </c>
      <c r="Q45" s="272">
        <v>0</v>
      </c>
      <c r="R45" s="272">
        <v>54307</v>
      </c>
      <c r="S45" s="272">
        <v>16499</v>
      </c>
      <c r="T45" s="455">
        <f t="shared" si="2"/>
        <v>124488</v>
      </c>
      <c r="U45" s="272">
        <v>25217</v>
      </c>
      <c r="V45" s="272"/>
      <c r="W45" s="272"/>
      <c r="X45" s="272">
        <v>22559</v>
      </c>
      <c r="Y45" s="272">
        <v>23387</v>
      </c>
      <c r="Z45" s="272">
        <v>1691</v>
      </c>
      <c r="AA45" s="272">
        <v>51634</v>
      </c>
      <c r="AB45" s="272"/>
      <c r="AC45" s="272">
        <v>1584781</v>
      </c>
      <c r="AD45" s="272">
        <v>1396525</v>
      </c>
      <c r="AE45" s="272">
        <v>188256</v>
      </c>
      <c r="AF45" s="272">
        <v>3053</v>
      </c>
      <c r="AG45" s="272">
        <v>57324</v>
      </c>
      <c r="AH45" s="455">
        <f t="shared" si="3"/>
        <v>36048</v>
      </c>
      <c r="AI45" s="272">
        <v>16209</v>
      </c>
      <c r="AJ45" s="272">
        <v>19839</v>
      </c>
      <c r="AK45" s="272">
        <v>187407</v>
      </c>
      <c r="AL45" s="455">
        <f t="shared" si="4"/>
        <v>60578</v>
      </c>
      <c r="AM45" s="272">
        <v>0</v>
      </c>
      <c r="AN45" s="272">
        <v>40020</v>
      </c>
      <c r="AO45" s="272">
        <v>0</v>
      </c>
      <c r="AP45" s="272">
        <v>20558</v>
      </c>
      <c r="AQ45" s="272">
        <v>18564</v>
      </c>
      <c r="AR45" s="272">
        <v>19189</v>
      </c>
      <c r="AS45" s="272">
        <v>0</v>
      </c>
      <c r="AT45" s="272">
        <v>547242</v>
      </c>
      <c r="AU45" s="272">
        <v>240955</v>
      </c>
      <c r="AV45" s="272">
        <v>29646</v>
      </c>
      <c r="AW45" s="272">
        <v>0</v>
      </c>
      <c r="AX45" s="272">
        <v>306287</v>
      </c>
      <c r="AY45" s="272">
        <v>193691</v>
      </c>
      <c r="AZ45" s="272">
        <v>9934</v>
      </c>
      <c r="BA45" s="272">
        <v>3278</v>
      </c>
      <c r="BB45" s="272">
        <v>24345</v>
      </c>
      <c r="BC45" s="272">
        <v>27294</v>
      </c>
      <c r="BD45" s="272">
        <v>0</v>
      </c>
      <c r="BE45" s="272">
        <v>0</v>
      </c>
      <c r="BF45" s="272">
        <v>24790</v>
      </c>
      <c r="BG45" s="272">
        <v>0</v>
      </c>
      <c r="BH45" s="272">
        <v>102314</v>
      </c>
      <c r="BI45" s="272">
        <v>102314</v>
      </c>
      <c r="BJ45" s="272">
        <v>33603</v>
      </c>
      <c r="BK45" s="272">
        <v>0</v>
      </c>
      <c r="BL45" s="272">
        <v>0</v>
      </c>
      <c r="BM45" s="272">
        <v>0</v>
      </c>
      <c r="BN45" s="272">
        <v>821600</v>
      </c>
      <c r="BO45" s="455">
        <f t="shared" si="5"/>
        <v>757900</v>
      </c>
      <c r="BP45" s="455">
        <f t="shared" si="6"/>
        <v>63700</v>
      </c>
      <c r="BQ45" s="272"/>
      <c r="BR45" s="272">
        <v>63700</v>
      </c>
      <c r="BS45" s="272"/>
      <c r="BT45" s="272">
        <v>0</v>
      </c>
      <c r="BU45" s="272">
        <v>5189667</v>
      </c>
      <c r="BV45" s="272"/>
      <c r="BW45" s="272">
        <v>1059434</v>
      </c>
      <c r="BX45" s="272">
        <v>756658</v>
      </c>
      <c r="BY45" s="272">
        <v>6230</v>
      </c>
      <c r="BZ45" s="272">
        <v>12538</v>
      </c>
      <c r="CA45" s="272">
        <v>344139</v>
      </c>
      <c r="CB45" s="272">
        <v>46200</v>
      </c>
      <c r="CC45" s="272">
        <v>115568</v>
      </c>
      <c r="CD45" s="272">
        <v>170920</v>
      </c>
      <c r="CE45" s="272">
        <v>0</v>
      </c>
      <c r="CF45" s="272">
        <v>0</v>
      </c>
      <c r="CG45" s="272">
        <v>11431</v>
      </c>
      <c r="CH45" s="272">
        <v>615769</v>
      </c>
      <c r="CI45" s="272">
        <v>342240</v>
      </c>
      <c r="CJ45" s="455">
        <f t="shared" si="7"/>
        <v>273529</v>
      </c>
      <c r="CK45" s="272">
        <v>735479</v>
      </c>
      <c r="CL45" s="272">
        <v>397867</v>
      </c>
      <c r="CM45" s="272">
        <v>59261</v>
      </c>
      <c r="CN45" s="272">
        <v>150848</v>
      </c>
      <c r="CO45" s="272">
        <v>24895</v>
      </c>
      <c r="CP45" s="272">
        <v>492503</v>
      </c>
      <c r="CQ45" s="272">
        <v>174227</v>
      </c>
      <c r="CR45" s="272">
        <v>141215</v>
      </c>
      <c r="CS45" s="272">
        <v>114299</v>
      </c>
      <c r="CT45" s="455">
        <f t="shared" si="8"/>
        <v>14080</v>
      </c>
      <c r="CU45" s="272">
        <v>621</v>
      </c>
      <c r="CV45" s="272">
        <v>13459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1293313</v>
      </c>
      <c r="DD45" s="272">
        <v>41392</v>
      </c>
      <c r="DE45" s="272">
        <v>1079327</v>
      </c>
      <c r="DF45" s="272">
        <v>20553</v>
      </c>
      <c r="DG45" s="272">
        <v>150641</v>
      </c>
      <c r="DH45" s="272">
        <v>36401</v>
      </c>
      <c r="DI45" s="272">
        <v>146576</v>
      </c>
      <c r="DJ45" s="272">
        <v>57704</v>
      </c>
      <c r="DK45" s="272">
        <v>1395</v>
      </c>
      <c r="DL45" s="272">
        <v>87477</v>
      </c>
      <c r="DM45" s="272">
        <v>0</v>
      </c>
      <c r="DN45" s="272">
        <v>0</v>
      </c>
      <c r="DO45" s="272">
        <v>0</v>
      </c>
      <c r="DP45" s="272">
        <v>0</v>
      </c>
      <c r="DQ45" s="272">
        <v>0</v>
      </c>
      <c r="DR45" s="272">
        <v>0</v>
      </c>
      <c r="DS45" s="272">
        <v>0</v>
      </c>
      <c r="DT45" s="272">
        <v>391399</v>
      </c>
      <c r="DU45" s="272">
        <v>250781</v>
      </c>
      <c r="DV45" s="455">
        <f t="shared" si="11"/>
        <v>0</v>
      </c>
      <c r="DW45" s="272">
        <v>0</v>
      </c>
      <c r="DX45" s="272">
        <v>0</v>
      </c>
      <c r="DY45" s="272">
        <v>0</v>
      </c>
      <c r="DZ45" s="272">
        <v>74233</v>
      </c>
      <c r="EA45" s="272">
        <v>56325</v>
      </c>
      <c r="EB45" s="272"/>
      <c r="EC45" s="272">
        <v>0</v>
      </c>
      <c r="ED45" s="272">
        <v>5139908</v>
      </c>
      <c r="EF45" s="272">
        <v>49759</v>
      </c>
      <c r="EG45" s="272">
        <v>0</v>
      </c>
      <c r="EH45" s="272">
        <v>49759</v>
      </c>
      <c r="EI45" s="272">
        <v>-52555</v>
      </c>
      <c r="EJ45" s="272">
        <v>5149</v>
      </c>
      <c r="EL45" s="272"/>
      <c r="EM45" s="272">
        <v>13592</v>
      </c>
      <c r="EN45" s="272">
        <v>8734</v>
      </c>
      <c r="EO45" s="272">
        <v>3278</v>
      </c>
      <c r="EP45" s="455">
        <f t="shared" si="12"/>
        <v>125088</v>
      </c>
      <c r="EQ45" s="272">
        <v>3342556</v>
      </c>
      <c r="ER45" s="272">
        <v>-197747</v>
      </c>
      <c r="ES45" s="272">
        <v>1008804</v>
      </c>
      <c r="ET45" s="272">
        <v>708857</v>
      </c>
      <c r="EU45" s="272">
        <v>108873</v>
      </c>
      <c r="EV45" s="272">
        <v>615769</v>
      </c>
      <c r="EW45" s="455">
        <f t="shared" si="13"/>
        <v>218821</v>
      </c>
      <c r="EX45" s="272">
        <v>209297</v>
      </c>
      <c r="EY45" s="272">
        <v>1328</v>
      </c>
      <c r="EZ45" s="272">
        <v>197777</v>
      </c>
      <c r="FA45" s="272">
        <v>9524</v>
      </c>
      <c r="FB45" s="272"/>
      <c r="FC45" s="272">
        <v>588285</v>
      </c>
      <c r="FD45" s="272">
        <v>444517</v>
      </c>
      <c r="FE45" s="272">
        <v>174227</v>
      </c>
      <c r="FF45" s="272">
        <v>364848</v>
      </c>
      <c r="FG45" s="455">
        <f t="shared" si="14"/>
        <v>140627</v>
      </c>
      <c r="FH45" s="272">
        <v>3490544</v>
      </c>
      <c r="FI45" s="384">
        <f t="shared" si="15"/>
        <v>1.5</v>
      </c>
      <c r="FJ45" s="272">
        <v>3240684</v>
      </c>
      <c r="FK45" s="272"/>
      <c r="FL45" s="272">
        <v>1393668</v>
      </c>
      <c r="FM45" s="272">
        <v>2787130</v>
      </c>
      <c r="FN45" s="460">
        <v>0.48899999999999999</v>
      </c>
      <c r="FO45" s="388">
        <v>86.1</v>
      </c>
      <c r="FP45" s="388">
        <v>31.9</v>
      </c>
      <c r="FQ45" s="388">
        <v>3.4</v>
      </c>
      <c r="FR45" s="388">
        <v>19.5</v>
      </c>
      <c r="FS45" s="388">
        <v>16.600000000000001</v>
      </c>
      <c r="FT45" s="388">
        <v>9.6999999999999993</v>
      </c>
      <c r="FU45" s="388">
        <v>4.2</v>
      </c>
      <c r="FV45" s="388">
        <v>12</v>
      </c>
      <c r="FW45" s="272">
        <v>6585377</v>
      </c>
      <c r="FX45" s="384">
        <f t="shared" si="16"/>
        <v>203.2</v>
      </c>
      <c r="FY45" s="272">
        <v>1383443</v>
      </c>
      <c r="FZ45" s="272">
        <v>660605</v>
      </c>
      <c r="GA45" s="272">
        <v>240027</v>
      </c>
      <c r="GB45" s="272">
        <v>482811</v>
      </c>
      <c r="GC45" s="272"/>
      <c r="GD45" s="272">
        <v>817779</v>
      </c>
      <c r="GE45" s="384">
        <f>ROUND(GD45/FJ45*100,1)</f>
        <v>25.2</v>
      </c>
      <c r="GF45" s="388">
        <v>96</v>
      </c>
      <c r="GG45" s="388">
        <v>36.5</v>
      </c>
      <c r="GH45" s="388">
        <v>92.7</v>
      </c>
      <c r="GI45" s="272">
        <v>119</v>
      </c>
    </row>
    <row r="46" spans="2:191" x14ac:dyDescent="0.15">
      <c r="B46" s="89" t="s">
        <v>85</v>
      </c>
      <c r="C46" s="272">
        <v>1789688</v>
      </c>
      <c r="D46" s="455">
        <f t="shared" si="0"/>
        <v>976699</v>
      </c>
      <c r="E46" s="272">
        <v>10576</v>
      </c>
      <c r="F46" s="272">
        <v>966123</v>
      </c>
      <c r="G46" s="455">
        <f t="shared" si="1"/>
        <v>59213</v>
      </c>
      <c r="H46" s="272">
        <v>16876</v>
      </c>
      <c r="I46" s="272">
        <v>42337</v>
      </c>
      <c r="J46" s="272">
        <v>658841</v>
      </c>
      <c r="K46" s="272">
        <v>337949</v>
      </c>
      <c r="L46" s="272">
        <v>250827</v>
      </c>
      <c r="M46" s="272">
        <v>70065</v>
      </c>
      <c r="N46" s="272">
        <v>66100</v>
      </c>
      <c r="O46" s="272">
        <v>0</v>
      </c>
      <c r="P46" s="272">
        <v>0</v>
      </c>
      <c r="Q46" s="272">
        <v>0</v>
      </c>
      <c r="R46" s="272">
        <v>75151</v>
      </c>
      <c r="S46" s="272">
        <v>22615</v>
      </c>
      <c r="T46" s="455">
        <f t="shared" si="2"/>
        <v>166148</v>
      </c>
      <c r="U46" s="272">
        <v>31740</v>
      </c>
      <c r="V46" s="272"/>
      <c r="W46" s="272"/>
      <c r="X46" s="272">
        <v>30537</v>
      </c>
      <c r="Y46" s="272">
        <v>32034</v>
      </c>
      <c r="Z46" s="272">
        <v>130</v>
      </c>
      <c r="AA46" s="272">
        <v>71707</v>
      </c>
      <c r="AB46" s="272"/>
      <c r="AC46" s="272">
        <v>1788696</v>
      </c>
      <c r="AD46" s="272">
        <v>1600687</v>
      </c>
      <c r="AE46" s="272">
        <v>188009</v>
      </c>
      <c r="AF46" s="272">
        <v>3255</v>
      </c>
      <c r="AG46" s="272">
        <v>23771</v>
      </c>
      <c r="AH46" s="455">
        <f t="shared" si="3"/>
        <v>68165</v>
      </c>
      <c r="AI46" s="272">
        <v>46140</v>
      </c>
      <c r="AJ46" s="272">
        <v>22025</v>
      </c>
      <c r="AK46" s="272">
        <v>119201</v>
      </c>
      <c r="AL46" s="455">
        <f t="shared" si="4"/>
        <v>42052</v>
      </c>
      <c r="AM46" s="272">
        <v>0</v>
      </c>
      <c r="AN46" s="272">
        <v>7825</v>
      </c>
      <c r="AO46" s="272">
        <v>0</v>
      </c>
      <c r="AP46" s="272">
        <v>34227</v>
      </c>
      <c r="AQ46" s="272">
        <v>7009</v>
      </c>
      <c r="AR46" s="272">
        <v>0</v>
      </c>
      <c r="AS46" s="272">
        <v>0</v>
      </c>
      <c r="AT46" s="272">
        <v>441410</v>
      </c>
      <c r="AU46" s="272">
        <v>162894</v>
      </c>
      <c r="AV46" s="272">
        <v>3912</v>
      </c>
      <c r="AW46" s="272">
        <v>83918</v>
      </c>
      <c r="AX46" s="272">
        <v>278516</v>
      </c>
      <c r="AY46" s="272">
        <v>121989</v>
      </c>
      <c r="AZ46" s="272">
        <v>22864</v>
      </c>
      <c r="BA46" s="272">
        <v>0</v>
      </c>
      <c r="BB46" s="272">
        <v>26640</v>
      </c>
      <c r="BC46" s="272">
        <v>3250</v>
      </c>
      <c r="BD46" s="272">
        <v>0</v>
      </c>
      <c r="BE46" s="272">
        <v>0</v>
      </c>
      <c r="BF46" s="272">
        <v>3250</v>
      </c>
      <c r="BG46" s="272">
        <v>0</v>
      </c>
      <c r="BH46" s="272">
        <v>80957</v>
      </c>
      <c r="BI46" s="272">
        <v>80957</v>
      </c>
      <c r="BJ46" s="272">
        <v>35810</v>
      </c>
      <c r="BK46" s="272">
        <v>0</v>
      </c>
      <c r="BL46" s="272">
        <v>0</v>
      </c>
      <c r="BM46" s="272">
        <v>0</v>
      </c>
      <c r="BN46" s="272">
        <v>202200</v>
      </c>
      <c r="BO46" s="455">
        <f t="shared" si="5"/>
        <v>132200</v>
      </c>
      <c r="BP46" s="455">
        <f t="shared" si="6"/>
        <v>70000</v>
      </c>
      <c r="BQ46" s="272"/>
      <c r="BR46" s="272">
        <v>70000</v>
      </c>
      <c r="BS46" s="272"/>
      <c r="BT46" s="272">
        <v>0</v>
      </c>
      <c r="BU46" s="272">
        <v>4847206</v>
      </c>
      <c r="BV46" s="272"/>
      <c r="BW46" s="272">
        <v>1447165</v>
      </c>
      <c r="BX46" s="272">
        <v>1016439</v>
      </c>
      <c r="BY46" s="272">
        <v>31135</v>
      </c>
      <c r="BZ46" s="272">
        <v>44130</v>
      </c>
      <c r="CA46" s="272">
        <v>235223</v>
      </c>
      <c r="CB46" s="272">
        <v>36250</v>
      </c>
      <c r="CC46" s="272">
        <v>152087</v>
      </c>
      <c r="CD46" s="272">
        <v>44817</v>
      </c>
      <c r="CE46" s="272">
        <v>0</v>
      </c>
      <c r="CF46" s="272">
        <v>0</v>
      </c>
      <c r="CG46" s="272">
        <v>2069</v>
      </c>
      <c r="CH46" s="272">
        <v>655646</v>
      </c>
      <c r="CI46" s="272">
        <v>331097</v>
      </c>
      <c r="CJ46" s="455">
        <f t="shared" si="7"/>
        <v>324549</v>
      </c>
      <c r="CK46" s="272">
        <v>790581</v>
      </c>
      <c r="CL46" s="272">
        <v>419990</v>
      </c>
      <c r="CM46" s="272">
        <v>70977</v>
      </c>
      <c r="CN46" s="272">
        <v>185927</v>
      </c>
      <c r="CO46" s="272">
        <v>8755</v>
      </c>
      <c r="CP46" s="272">
        <v>494508</v>
      </c>
      <c r="CQ46" s="272">
        <v>198022</v>
      </c>
      <c r="CR46" s="272">
        <v>178463</v>
      </c>
      <c r="CS46" s="272">
        <v>178463</v>
      </c>
      <c r="CT46" s="455">
        <f t="shared" si="8"/>
        <v>11238</v>
      </c>
      <c r="CU46" s="272">
        <v>48</v>
      </c>
      <c r="CV46" s="272">
        <v>11190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581351</v>
      </c>
      <c r="DD46" s="272">
        <v>139981</v>
      </c>
      <c r="DE46" s="272">
        <v>390995</v>
      </c>
      <c r="DF46" s="272">
        <v>50375</v>
      </c>
      <c r="DG46" s="272">
        <v>0</v>
      </c>
      <c r="DH46" s="272">
        <v>8918</v>
      </c>
      <c r="DI46" s="272">
        <v>141746</v>
      </c>
      <c r="DJ46" s="272">
        <v>60817</v>
      </c>
      <c r="DK46" s="272">
        <v>2422</v>
      </c>
      <c r="DL46" s="272">
        <v>78507</v>
      </c>
      <c r="DM46" s="272">
        <v>4011</v>
      </c>
      <c r="DN46" s="272">
        <v>3511</v>
      </c>
      <c r="DO46" s="272">
        <v>3511</v>
      </c>
      <c r="DP46" s="272">
        <v>0</v>
      </c>
      <c r="DQ46" s="272">
        <v>0</v>
      </c>
      <c r="DR46" s="272">
        <v>0</v>
      </c>
      <c r="DS46" s="272">
        <v>0</v>
      </c>
      <c r="DT46" s="272">
        <v>341015</v>
      </c>
      <c r="DU46" s="272">
        <v>162376</v>
      </c>
      <c r="DV46" s="455">
        <f t="shared" si="11"/>
        <v>0</v>
      </c>
      <c r="DW46" s="272">
        <v>0</v>
      </c>
      <c r="DX46" s="272">
        <v>0</v>
      </c>
      <c r="DY46" s="272">
        <v>0</v>
      </c>
      <c r="DZ46" s="272">
        <v>78156</v>
      </c>
      <c r="EA46" s="272">
        <v>75746</v>
      </c>
      <c r="EB46" s="272"/>
      <c r="EC46" s="272">
        <v>0</v>
      </c>
      <c r="ED46" s="272">
        <v>4708919</v>
      </c>
      <c r="EF46" s="272">
        <v>138287</v>
      </c>
      <c r="EG46" s="272">
        <v>0</v>
      </c>
      <c r="EH46" s="272">
        <v>138287</v>
      </c>
      <c r="EI46" s="272">
        <v>-32670</v>
      </c>
      <c r="EJ46" s="272">
        <v>28147</v>
      </c>
      <c r="EL46" s="272"/>
      <c r="EM46" s="272">
        <v>16296</v>
      </c>
      <c r="EN46" s="272">
        <v>0</v>
      </c>
      <c r="EO46" s="272">
        <v>0</v>
      </c>
      <c r="EP46" s="455">
        <f t="shared" si="12"/>
        <v>135550</v>
      </c>
      <c r="EQ46" s="272">
        <v>3822938</v>
      </c>
      <c r="ER46" s="272">
        <v>-202295</v>
      </c>
      <c r="ES46" s="272">
        <v>1376469</v>
      </c>
      <c r="ET46" s="272">
        <v>949913</v>
      </c>
      <c r="EU46" s="272">
        <v>79913</v>
      </c>
      <c r="EV46" s="272">
        <v>655646</v>
      </c>
      <c r="EW46" s="455">
        <f t="shared" si="13"/>
        <v>239196</v>
      </c>
      <c r="EX46" s="272">
        <v>236098</v>
      </c>
      <c r="EY46" s="272">
        <v>41054</v>
      </c>
      <c r="EZ46" s="272">
        <v>192469</v>
      </c>
      <c r="FA46" s="272">
        <v>3098</v>
      </c>
      <c r="FB46" s="272"/>
      <c r="FC46" s="272">
        <v>651581</v>
      </c>
      <c r="FD46" s="272">
        <v>426967</v>
      </c>
      <c r="FE46" s="272">
        <v>198022</v>
      </c>
      <c r="FF46" s="272">
        <v>322851</v>
      </c>
      <c r="FG46" s="455">
        <f t="shared" si="14"/>
        <v>134323</v>
      </c>
      <c r="FH46" s="272">
        <v>3886946</v>
      </c>
      <c r="FI46" s="384">
        <f t="shared" si="15"/>
        <v>3.6</v>
      </c>
      <c r="FJ46" s="272">
        <v>3810125</v>
      </c>
      <c r="FK46" s="272"/>
      <c r="FL46" s="272">
        <v>1671449</v>
      </c>
      <c r="FM46" s="272">
        <v>3275077</v>
      </c>
      <c r="FN46" s="460">
        <v>0.51600000000000001</v>
      </c>
      <c r="FO46" s="388">
        <v>84.4</v>
      </c>
      <c r="FP46" s="388">
        <v>37.6</v>
      </c>
      <c r="FQ46" s="388">
        <v>2.2000000000000002</v>
      </c>
      <c r="FR46" s="388">
        <v>18</v>
      </c>
      <c r="FS46" s="388">
        <v>15.9</v>
      </c>
      <c r="FT46" s="388">
        <v>6.9</v>
      </c>
      <c r="FU46" s="388">
        <v>3.6</v>
      </c>
      <c r="FV46" s="388">
        <v>10.5</v>
      </c>
      <c r="FW46" s="272">
        <v>7472334</v>
      </c>
      <c r="FX46" s="384">
        <f t="shared" si="16"/>
        <v>196.1</v>
      </c>
      <c r="FY46" s="272">
        <v>3403300</v>
      </c>
      <c r="FZ46" s="272">
        <v>1445360</v>
      </c>
      <c r="GA46" s="272">
        <v>376942</v>
      </c>
      <c r="GB46" s="272">
        <v>1580998</v>
      </c>
      <c r="GC46" s="272"/>
      <c r="GD46" s="272">
        <v>1022809</v>
      </c>
      <c r="GE46" s="384">
        <f>ROUND(GD46/FJ46*100,1)</f>
        <v>26.8</v>
      </c>
      <c r="GF46" s="388">
        <v>95.3</v>
      </c>
      <c r="GG46" s="388">
        <v>39.9</v>
      </c>
      <c r="GH46" s="388">
        <v>93.2</v>
      </c>
      <c r="GI46" s="272">
        <v>153</v>
      </c>
    </row>
    <row r="47" spans="2:191" x14ac:dyDescent="0.15">
      <c r="B47" s="89" t="s">
        <v>87</v>
      </c>
      <c r="C47" s="272">
        <v>803973</v>
      </c>
      <c r="D47" s="455">
        <f t="shared" si="0"/>
        <v>431159</v>
      </c>
      <c r="E47" s="272">
        <v>4742</v>
      </c>
      <c r="F47" s="272">
        <v>426417</v>
      </c>
      <c r="G47" s="455">
        <f t="shared" si="1"/>
        <v>30512</v>
      </c>
      <c r="H47" s="272">
        <v>9372</v>
      </c>
      <c r="I47" s="272">
        <v>21140</v>
      </c>
      <c r="J47" s="272">
        <v>311553</v>
      </c>
      <c r="K47" s="272">
        <v>108130</v>
      </c>
      <c r="L47" s="272">
        <v>142790</v>
      </c>
      <c r="M47" s="272">
        <v>60633</v>
      </c>
      <c r="N47" s="272">
        <v>17868</v>
      </c>
      <c r="O47" s="272">
        <v>0</v>
      </c>
      <c r="P47" s="272">
        <v>0</v>
      </c>
      <c r="Q47" s="272">
        <v>0</v>
      </c>
      <c r="R47" s="272">
        <v>31561</v>
      </c>
      <c r="S47" s="272">
        <v>9599</v>
      </c>
      <c r="T47" s="455">
        <f t="shared" si="2"/>
        <v>88113</v>
      </c>
      <c r="U47" s="272">
        <v>14717</v>
      </c>
      <c r="V47" s="272"/>
      <c r="W47" s="272"/>
      <c r="X47" s="272">
        <v>13117</v>
      </c>
      <c r="Y47" s="272">
        <v>30237</v>
      </c>
      <c r="Z47" s="272">
        <v>0</v>
      </c>
      <c r="AA47" s="272">
        <v>30042</v>
      </c>
      <c r="AB47" s="272"/>
      <c r="AC47" s="272">
        <v>1305407</v>
      </c>
      <c r="AD47" s="272">
        <v>1117294</v>
      </c>
      <c r="AE47" s="272">
        <v>188113</v>
      </c>
      <c r="AF47" s="272">
        <v>1180</v>
      </c>
      <c r="AG47" s="272">
        <v>20596</v>
      </c>
      <c r="AH47" s="455">
        <f t="shared" si="3"/>
        <v>25169</v>
      </c>
      <c r="AI47" s="272">
        <v>15840</v>
      </c>
      <c r="AJ47" s="272">
        <v>9329</v>
      </c>
      <c r="AK47" s="272">
        <v>60797</v>
      </c>
      <c r="AL47" s="455">
        <f t="shared" si="4"/>
        <v>32019</v>
      </c>
      <c r="AM47" s="272">
        <v>0</v>
      </c>
      <c r="AN47" s="272">
        <v>16819</v>
      </c>
      <c r="AO47" s="272">
        <v>0</v>
      </c>
      <c r="AP47" s="272">
        <v>15200</v>
      </c>
      <c r="AQ47" s="272">
        <v>1819</v>
      </c>
      <c r="AR47" s="272">
        <v>0</v>
      </c>
      <c r="AS47" s="272">
        <v>0</v>
      </c>
      <c r="AT47" s="272">
        <v>315809</v>
      </c>
      <c r="AU47" s="272">
        <v>115558</v>
      </c>
      <c r="AV47" s="272">
        <v>8342</v>
      </c>
      <c r="AW47" s="272">
        <v>78678</v>
      </c>
      <c r="AX47" s="272">
        <v>200251</v>
      </c>
      <c r="AY47" s="272">
        <v>135508</v>
      </c>
      <c r="AZ47" s="272">
        <v>15527</v>
      </c>
      <c r="BA47" s="272">
        <v>0</v>
      </c>
      <c r="BB47" s="272">
        <v>6991</v>
      </c>
      <c r="BC47" s="272">
        <v>114816</v>
      </c>
      <c r="BD47" s="272">
        <v>25000</v>
      </c>
      <c r="BE47" s="272">
        <v>19806</v>
      </c>
      <c r="BF47" s="272">
        <v>70000</v>
      </c>
      <c r="BG47" s="272">
        <v>0</v>
      </c>
      <c r="BH47" s="272">
        <v>28497</v>
      </c>
      <c r="BI47" s="272">
        <v>28497</v>
      </c>
      <c r="BJ47" s="272">
        <v>22807</v>
      </c>
      <c r="BK47" s="272">
        <v>0</v>
      </c>
      <c r="BL47" s="272">
        <v>0</v>
      </c>
      <c r="BM47" s="272">
        <v>0</v>
      </c>
      <c r="BN47" s="272">
        <v>158100</v>
      </c>
      <c r="BO47" s="455">
        <f t="shared" si="5"/>
        <v>121100</v>
      </c>
      <c r="BP47" s="455">
        <f t="shared" si="6"/>
        <v>37000</v>
      </c>
      <c r="BQ47" s="272"/>
      <c r="BR47" s="272">
        <v>37000</v>
      </c>
      <c r="BS47" s="272"/>
      <c r="BT47" s="272">
        <v>0</v>
      </c>
      <c r="BU47" s="272">
        <v>2999343</v>
      </c>
      <c r="BV47" s="272"/>
      <c r="BW47" s="272">
        <v>938894</v>
      </c>
      <c r="BX47" s="272">
        <v>659505</v>
      </c>
      <c r="BY47" s="272">
        <v>14889</v>
      </c>
      <c r="BZ47" s="272">
        <v>18704</v>
      </c>
      <c r="CA47" s="272">
        <v>144908</v>
      </c>
      <c r="CB47" s="272">
        <v>18184</v>
      </c>
      <c r="CC47" s="272">
        <v>67149</v>
      </c>
      <c r="CD47" s="272">
        <v>58534</v>
      </c>
      <c r="CE47" s="272">
        <v>0</v>
      </c>
      <c r="CF47" s="272">
        <v>0</v>
      </c>
      <c r="CG47" s="272">
        <v>1041</v>
      </c>
      <c r="CH47" s="272">
        <v>357138</v>
      </c>
      <c r="CI47" s="272">
        <v>209660</v>
      </c>
      <c r="CJ47" s="455">
        <f t="shared" si="7"/>
        <v>147478</v>
      </c>
      <c r="CK47" s="272">
        <v>485700</v>
      </c>
      <c r="CL47" s="272">
        <v>244255</v>
      </c>
      <c r="CM47" s="272">
        <v>29038</v>
      </c>
      <c r="CN47" s="272">
        <v>110707</v>
      </c>
      <c r="CO47" s="272">
        <v>12289</v>
      </c>
      <c r="CP47" s="272">
        <v>318057</v>
      </c>
      <c r="CQ47" s="272">
        <v>126783</v>
      </c>
      <c r="CR47" s="272">
        <v>64662</v>
      </c>
      <c r="CS47" s="272">
        <v>34012</v>
      </c>
      <c r="CT47" s="455">
        <f t="shared" si="8"/>
        <v>7020</v>
      </c>
      <c r="CU47" s="272">
        <v>7020</v>
      </c>
      <c r="CV47" s="272">
        <v>0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463948</v>
      </c>
      <c r="DD47" s="272">
        <v>96796</v>
      </c>
      <c r="DE47" s="272">
        <v>364338</v>
      </c>
      <c r="DF47" s="272">
        <v>2814</v>
      </c>
      <c r="DG47" s="272">
        <v>0</v>
      </c>
      <c r="DH47" s="272">
        <v>0</v>
      </c>
      <c r="DI47" s="272">
        <v>36940</v>
      </c>
      <c r="DJ47" s="272">
        <v>20540</v>
      </c>
      <c r="DK47" s="272">
        <v>2277</v>
      </c>
      <c r="DL47" s="272">
        <v>14123</v>
      </c>
      <c r="DM47" s="272">
        <v>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207757</v>
      </c>
      <c r="DU47" s="272">
        <v>102750</v>
      </c>
      <c r="DV47" s="455">
        <f t="shared" si="11"/>
        <v>0</v>
      </c>
      <c r="DW47" s="272">
        <v>0</v>
      </c>
      <c r="DX47" s="272">
        <v>0</v>
      </c>
      <c r="DY47" s="272">
        <v>0</v>
      </c>
      <c r="DZ47" s="272">
        <v>48442</v>
      </c>
      <c r="EA47" s="272">
        <v>38951</v>
      </c>
      <c r="EB47" s="272"/>
      <c r="EC47" s="272">
        <v>0</v>
      </c>
      <c r="ED47" s="272">
        <v>2965631</v>
      </c>
      <c r="EF47" s="272">
        <v>33712</v>
      </c>
      <c r="EG47" s="272">
        <v>14332</v>
      </c>
      <c r="EH47" s="272">
        <v>19380</v>
      </c>
      <c r="EI47" s="272">
        <v>-9117</v>
      </c>
      <c r="EJ47" s="272">
        <v>-13577</v>
      </c>
      <c r="EL47" s="272"/>
      <c r="EM47" s="272">
        <v>7429</v>
      </c>
      <c r="EN47" s="272">
        <v>44806</v>
      </c>
      <c r="EO47" s="272">
        <v>410</v>
      </c>
      <c r="EP47" s="455">
        <f t="shared" si="12"/>
        <v>34792</v>
      </c>
      <c r="EQ47" s="272">
        <v>2230234</v>
      </c>
      <c r="ER47" s="272">
        <v>-115828</v>
      </c>
      <c r="ES47" s="272">
        <v>905074</v>
      </c>
      <c r="ET47" s="272">
        <v>626768</v>
      </c>
      <c r="EU47" s="272">
        <v>36383</v>
      </c>
      <c r="EV47" s="272">
        <v>357138</v>
      </c>
      <c r="EW47" s="455">
        <f t="shared" si="13"/>
        <v>58243</v>
      </c>
      <c r="EX47" s="272">
        <v>58243</v>
      </c>
      <c r="EY47" s="272">
        <v>11099</v>
      </c>
      <c r="EZ47" s="272">
        <v>46130</v>
      </c>
      <c r="FA47" s="272">
        <v>0</v>
      </c>
      <c r="FB47" s="272"/>
      <c r="FC47" s="272">
        <v>429668</v>
      </c>
      <c r="FD47" s="272">
        <v>296281</v>
      </c>
      <c r="FE47" s="272">
        <v>126783</v>
      </c>
      <c r="FF47" s="272">
        <v>199274</v>
      </c>
      <c r="FG47" s="455">
        <f t="shared" si="14"/>
        <v>30289</v>
      </c>
      <c r="FH47" s="272">
        <v>2312350</v>
      </c>
      <c r="FI47" s="384">
        <f t="shared" si="15"/>
        <v>0.9</v>
      </c>
      <c r="FJ47" s="272">
        <v>2102257</v>
      </c>
      <c r="FK47" s="272"/>
      <c r="FL47" s="272">
        <v>744686</v>
      </c>
      <c r="FM47" s="272">
        <v>1864060</v>
      </c>
      <c r="FN47" s="460">
        <v>0.41499999999999998</v>
      </c>
      <c r="FO47" s="388">
        <v>95.3</v>
      </c>
      <c r="FP47" s="388">
        <v>44.2</v>
      </c>
      <c r="FQ47" s="388">
        <v>1.8</v>
      </c>
      <c r="FR47" s="388">
        <v>17.399999999999999</v>
      </c>
      <c r="FS47" s="388">
        <v>16.600000000000001</v>
      </c>
      <c r="FT47" s="388">
        <v>9.9</v>
      </c>
      <c r="FU47" s="388">
        <v>4.7</v>
      </c>
      <c r="FV47" s="388">
        <v>10.6</v>
      </c>
      <c r="FW47" s="272">
        <v>3218865</v>
      </c>
      <c r="FX47" s="384">
        <f t="shared" si="16"/>
        <v>153.1</v>
      </c>
      <c r="FY47" s="272">
        <v>1351467</v>
      </c>
      <c r="FZ47" s="272">
        <v>478781</v>
      </c>
      <c r="GA47" s="272">
        <v>212396</v>
      </c>
      <c r="GB47" s="272">
        <v>660290</v>
      </c>
      <c r="GC47" s="272"/>
      <c r="GD47" s="272"/>
      <c r="GE47" s="384"/>
      <c r="GF47" s="388">
        <v>98.8</v>
      </c>
      <c r="GG47" s="388">
        <v>22.3</v>
      </c>
      <c r="GH47" s="388">
        <v>96.3</v>
      </c>
      <c r="GI47" s="272">
        <v>101</v>
      </c>
    </row>
    <row r="48" spans="2:191" x14ac:dyDescent="0.15">
      <c r="B48" s="89" t="s">
        <v>839</v>
      </c>
      <c r="C48" s="272">
        <v>7010576</v>
      </c>
      <c r="D48" s="455">
        <f t="shared" si="0"/>
        <v>2462650</v>
      </c>
      <c r="E48" s="272">
        <v>28130</v>
      </c>
      <c r="F48" s="272">
        <v>2434520</v>
      </c>
      <c r="G48" s="455">
        <f t="shared" si="1"/>
        <v>608014</v>
      </c>
      <c r="H48" s="272">
        <v>126851</v>
      </c>
      <c r="I48" s="272">
        <v>481163</v>
      </c>
      <c r="J48" s="272">
        <v>3266444</v>
      </c>
      <c r="K48" s="272">
        <v>1716060</v>
      </c>
      <c r="L48" s="272">
        <v>1080278</v>
      </c>
      <c r="M48" s="272">
        <v>462911</v>
      </c>
      <c r="N48" s="272">
        <v>213643</v>
      </c>
      <c r="O48" s="272">
        <v>413342</v>
      </c>
      <c r="P48" s="272">
        <v>275105</v>
      </c>
      <c r="Q48" s="272">
        <v>138237</v>
      </c>
      <c r="R48" s="272">
        <v>154959</v>
      </c>
      <c r="S48" s="272">
        <v>72398</v>
      </c>
      <c r="T48" s="455">
        <f t="shared" si="2"/>
        <v>309407</v>
      </c>
      <c r="U48" s="272">
        <v>83705</v>
      </c>
      <c r="V48" s="272"/>
      <c r="W48" s="272"/>
      <c r="X48" s="272">
        <v>94754</v>
      </c>
      <c r="Y48" s="272">
        <v>18067</v>
      </c>
      <c r="Z48" s="272">
        <v>167</v>
      </c>
      <c r="AA48" s="272">
        <v>112714</v>
      </c>
      <c r="AB48" s="272"/>
      <c r="AC48" s="272">
        <v>784780</v>
      </c>
      <c r="AD48" s="272">
        <v>594732</v>
      </c>
      <c r="AE48" s="272">
        <v>190048</v>
      </c>
      <c r="AF48" s="272">
        <v>11332</v>
      </c>
      <c r="AG48" s="272">
        <v>52172</v>
      </c>
      <c r="AH48" s="455">
        <f t="shared" si="3"/>
        <v>206490</v>
      </c>
      <c r="AI48" s="272">
        <v>120753</v>
      </c>
      <c r="AJ48" s="272">
        <v>85737</v>
      </c>
      <c r="AK48" s="272">
        <v>403399</v>
      </c>
      <c r="AL48" s="455">
        <f t="shared" si="4"/>
        <v>117644</v>
      </c>
      <c r="AM48" s="272">
        <v>0</v>
      </c>
      <c r="AN48" s="272">
        <v>54296</v>
      </c>
      <c r="AO48" s="272">
        <v>0</v>
      </c>
      <c r="AP48" s="272">
        <v>63348</v>
      </c>
      <c r="AQ48" s="272">
        <v>126949</v>
      </c>
      <c r="AR48" s="272">
        <v>0</v>
      </c>
      <c r="AS48" s="272">
        <v>0</v>
      </c>
      <c r="AT48" s="272">
        <v>598589</v>
      </c>
      <c r="AU48" s="272">
        <v>180164</v>
      </c>
      <c r="AV48" s="272">
        <v>26994</v>
      </c>
      <c r="AW48" s="272">
        <v>0</v>
      </c>
      <c r="AX48" s="272">
        <v>418425</v>
      </c>
      <c r="AY48" s="272">
        <v>142121</v>
      </c>
      <c r="AZ48" s="272">
        <v>199973</v>
      </c>
      <c r="BA48" s="272">
        <v>134288</v>
      </c>
      <c r="BB48" s="272">
        <v>176768</v>
      </c>
      <c r="BC48" s="272">
        <v>789</v>
      </c>
      <c r="BD48" s="272">
        <v>0</v>
      </c>
      <c r="BE48" s="272">
        <v>0</v>
      </c>
      <c r="BF48" s="272">
        <v>0</v>
      </c>
      <c r="BG48" s="272">
        <v>0</v>
      </c>
      <c r="BH48" s="272">
        <v>172364</v>
      </c>
      <c r="BI48" s="272">
        <v>172364</v>
      </c>
      <c r="BJ48" s="272">
        <v>121294</v>
      </c>
      <c r="BK48" s="272">
        <v>2132</v>
      </c>
      <c r="BL48" s="272">
        <v>0</v>
      </c>
      <c r="BM48" s="272">
        <v>0</v>
      </c>
      <c r="BN48" s="272">
        <v>1106800</v>
      </c>
      <c r="BO48" s="455">
        <f t="shared" si="5"/>
        <v>875800</v>
      </c>
      <c r="BP48" s="455">
        <f t="shared" si="6"/>
        <v>231000</v>
      </c>
      <c r="BQ48" s="272"/>
      <c r="BR48" s="272">
        <v>231000</v>
      </c>
      <c r="BS48" s="272"/>
      <c r="BT48" s="272">
        <v>0</v>
      </c>
      <c r="BU48" s="272">
        <v>11309692</v>
      </c>
      <c r="BV48" s="272"/>
      <c r="BW48" s="272">
        <v>3212158</v>
      </c>
      <c r="BX48" s="272">
        <v>2504557</v>
      </c>
      <c r="BY48" s="272">
        <v>63160</v>
      </c>
      <c r="BZ48" s="272">
        <v>25988</v>
      </c>
      <c r="CA48" s="272">
        <v>566249</v>
      </c>
      <c r="CB48" s="272">
        <v>149367</v>
      </c>
      <c r="CC48" s="272">
        <v>304430</v>
      </c>
      <c r="CD48" s="272">
        <v>101057</v>
      </c>
      <c r="CE48" s="272">
        <v>0</v>
      </c>
      <c r="CF48" s="272">
        <v>0</v>
      </c>
      <c r="CG48" s="272">
        <v>11395</v>
      </c>
      <c r="CH48" s="272">
        <v>1010725</v>
      </c>
      <c r="CI48" s="272">
        <v>562729</v>
      </c>
      <c r="CJ48" s="455">
        <f t="shared" si="7"/>
        <v>447996</v>
      </c>
      <c r="CK48" s="272">
        <v>1644633</v>
      </c>
      <c r="CL48" s="272">
        <v>983339</v>
      </c>
      <c r="CM48" s="272">
        <v>127218</v>
      </c>
      <c r="CN48" s="272">
        <v>291723</v>
      </c>
      <c r="CO48" s="272">
        <v>53221</v>
      </c>
      <c r="CP48" s="272">
        <v>826293</v>
      </c>
      <c r="CQ48" s="272">
        <v>452175</v>
      </c>
      <c r="CR48" s="272">
        <v>165100</v>
      </c>
      <c r="CS48" s="272">
        <v>128949</v>
      </c>
      <c r="CT48" s="455">
        <f t="shared" si="8"/>
        <v>23950</v>
      </c>
      <c r="CU48" s="272">
        <v>23950</v>
      </c>
      <c r="CV48" s="272">
        <v>0</v>
      </c>
      <c r="CW48" s="455">
        <f t="shared" si="9"/>
        <v>0</v>
      </c>
      <c r="CX48" s="272">
        <v>0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2021213</v>
      </c>
      <c r="DD48" s="272">
        <v>320027</v>
      </c>
      <c r="DE48" s="272">
        <v>1701186</v>
      </c>
      <c r="DF48" s="272">
        <v>0</v>
      </c>
      <c r="DG48" s="272">
        <v>0</v>
      </c>
      <c r="DH48" s="272">
        <v>0</v>
      </c>
      <c r="DI48" s="272">
        <v>498297</v>
      </c>
      <c r="DJ48" s="272">
        <v>106045</v>
      </c>
      <c r="DK48" s="272">
        <v>5781</v>
      </c>
      <c r="DL48" s="272">
        <v>386471</v>
      </c>
      <c r="DM48" s="272">
        <v>0</v>
      </c>
      <c r="DN48" s="272">
        <v>0</v>
      </c>
      <c r="DO48" s="272">
        <v>0</v>
      </c>
      <c r="DP48" s="272">
        <v>0</v>
      </c>
      <c r="DQ48" s="272">
        <v>0</v>
      </c>
      <c r="DR48" s="272">
        <v>0</v>
      </c>
      <c r="DS48" s="272">
        <v>0</v>
      </c>
      <c r="DT48" s="272">
        <v>1161229</v>
      </c>
      <c r="DU48" s="272">
        <v>792430</v>
      </c>
      <c r="DV48" s="455">
        <f t="shared" si="11"/>
        <v>0</v>
      </c>
      <c r="DW48" s="272">
        <v>0</v>
      </c>
      <c r="DX48" s="272">
        <v>0</v>
      </c>
      <c r="DY48" s="272">
        <v>0</v>
      </c>
      <c r="DZ48" s="272">
        <v>200000</v>
      </c>
      <c r="EA48" s="272">
        <v>150036</v>
      </c>
      <c r="EB48" s="272"/>
      <c r="EC48" s="272">
        <v>0</v>
      </c>
      <c r="ED48" s="272">
        <v>10994018</v>
      </c>
      <c r="EF48" s="272">
        <v>315674</v>
      </c>
      <c r="EG48" s="272">
        <v>137605</v>
      </c>
      <c r="EH48" s="272">
        <v>178069</v>
      </c>
      <c r="EI48" s="272">
        <v>5705</v>
      </c>
      <c r="EJ48" s="272">
        <v>111750</v>
      </c>
      <c r="EL48" s="272"/>
      <c r="EM48" s="272">
        <v>37908</v>
      </c>
      <c r="EN48" s="272">
        <v>789</v>
      </c>
      <c r="EO48" s="272">
        <v>137704</v>
      </c>
      <c r="EP48" s="455">
        <f t="shared" si="12"/>
        <v>476001</v>
      </c>
      <c r="EQ48" s="272">
        <v>8271054</v>
      </c>
      <c r="ER48" s="272">
        <v>-834162</v>
      </c>
      <c r="ES48" s="272">
        <v>2934562</v>
      </c>
      <c r="ET48" s="272">
        <v>2229070</v>
      </c>
      <c r="EU48" s="272">
        <v>168406</v>
      </c>
      <c r="EV48" s="272">
        <v>1010725</v>
      </c>
      <c r="EW48" s="455">
        <f t="shared" si="13"/>
        <v>895203</v>
      </c>
      <c r="EX48" s="272">
        <v>895203</v>
      </c>
      <c r="EY48" s="272">
        <v>75278</v>
      </c>
      <c r="EZ48" s="272">
        <v>819925</v>
      </c>
      <c r="FA48" s="272">
        <v>0</v>
      </c>
      <c r="FB48" s="272"/>
      <c r="FC48" s="272">
        <v>1390509</v>
      </c>
      <c r="FD48" s="272">
        <v>793253</v>
      </c>
      <c r="FE48" s="272">
        <v>452175</v>
      </c>
      <c r="FF48" s="272">
        <v>1100201</v>
      </c>
      <c r="FG48" s="455">
        <f t="shared" si="14"/>
        <v>496683</v>
      </c>
      <c r="FH48" s="272">
        <v>8789542</v>
      </c>
      <c r="FI48" s="384">
        <f t="shared" si="15"/>
        <v>2.2999999999999998</v>
      </c>
      <c r="FJ48" s="272">
        <v>7901421</v>
      </c>
      <c r="FK48" s="272"/>
      <c r="FL48" s="272">
        <v>5503853</v>
      </c>
      <c r="FM48" s="272">
        <v>6104067</v>
      </c>
      <c r="FN48" s="460">
        <v>0.89600000000000002</v>
      </c>
      <c r="FO48" s="388">
        <v>84.9</v>
      </c>
      <c r="FP48" s="388">
        <v>37.799999999999997</v>
      </c>
      <c r="FQ48" s="388">
        <v>2.2000000000000002</v>
      </c>
      <c r="FR48" s="388">
        <v>13.1</v>
      </c>
      <c r="FS48" s="388">
        <v>17.5</v>
      </c>
      <c r="FT48" s="388">
        <v>7.2</v>
      </c>
      <c r="FU48" s="388">
        <v>6.4</v>
      </c>
      <c r="FV48" s="388">
        <v>9.1</v>
      </c>
      <c r="FW48" s="272">
        <v>10352508</v>
      </c>
      <c r="FX48" s="384">
        <f t="shared" si="16"/>
        <v>131</v>
      </c>
      <c r="FY48" s="272">
        <v>9082447</v>
      </c>
      <c r="FZ48" s="272">
        <v>2226861</v>
      </c>
      <c r="GA48" s="272">
        <v>970859</v>
      </c>
      <c r="GB48" s="272">
        <v>5884727</v>
      </c>
      <c r="GC48" s="272"/>
      <c r="GD48" s="272">
        <v>5328320</v>
      </c>
      <c r="GE48" s="384">
        <f>ROUND(GD48/FJ48*100,1)</f>
        <v>67.400000000000006</v>
      </c>
      <c r="GF48" s="388">
        <v>96.6</v>
      </c>
      <c r="GG48" s="388">
        <v>28.2</v>
      </c>
      <c r="GH48" s="388">
        <v>89.5</v>
      </c>
      <c r="GI48" s="272">
        <v>372</v>
      </c>
    </row>
    <row r="49" spans="2:191" x14ac:dyDescent="0.15">
      <c r="B49" s="21" t="s">
        <v>89</v>
      </c>
      <c r="C49" s="272">
        <f>SUM(C38:C48)</f>
        <v>37098090</v>
      </c>
      <c r="D49" s="455">
        <f t="shared" si="0"/>
        <v>14876170</v>
      </c>
      <c r="E49" s="272">
        <f>SUM(E38:E48)</f>
        <v>164524</v>
      </c>
      <c r="F49" s="272">
        <f>SUM(F38:F48)</f>
        <v>14711646</v>
      </c>
      <c r="G49" s="455">
        <f t="shared" si="1"/>
        <v>2606129</v>
      </c>
      <c r="H49" s="272">
        <f t="shared" ref="H49:S49" si="25">SUM(H38:H48)</f>
        <v>434267</v>
      </c>
      <c r="I49" s="272">
        <f t="shared" si="25"/>
        <v>2171862</v>
      </c>
      <c r="J49" s="272">
        <f t="shared" si="25"/>
        <v>16921034</v>
      </c>
      <c r="K49" s="272">
        <f t="shared" si="25"/>
        <v>8439217</v>
      </c>
      <c r="L49" s="272">
        <f t="shared" si="25"/>
        <v>5770289</v>
      </c>
      <c r="M49" s="272">
        <f t="shared" si="25"/>
        <v>2636430</v>
      </c>
      <c r="N49" s="272">
        <f t="shared" si="25"/>
        <v>1030397</v>
      </c>
      <c r="O49" s="272">
        <f t="shared" si="25"/>
        <v>1117765</v>
      </c>
      <c r="P49" s="272">
        <f t="shared" si="25"/>
        <v>755490</v>
      </c>
      <c r="Q49" s="272">
        <f t="shared" si="25"/>
        <v>362275</v>
      </c>
      <c r="R49" s="272">
        <f t="shared" si="25"/>
        <v>991130</v>
      </c>
      <c r="S49" s="272">
        <f t="shared" si="25"/>
        <v>339378</v>
      </c>
      <c r="T49" s="455">
        <f t="shared" si="2"/>
        <v>2109612</v>
      </c>
      <c r="U49" s="272">
        <f>SUM(U38:U48)</f>
        <v>489407</v>
      </c>
      <c r="V49" s="272"/>
      <c r="W49" s="272"/>
      <c r="X49" s="272">
        <f>SUM(X38:X48)</f>
        <v>456209</v>
      </c>
      <c r="Y49" s="272">
        <f>SUM(Y38:Y48)</f>
        <v>326775</v>
      </c>
      <c r="Z49" s="272">
        <f>SUM(Z38:Z48)</f>
        <v>13914</v>
      </c>
      <c r="AA49" s="272">
        <f>SUM(AA38:AA48)</f>
        <v>823307</v>
      </c>
      <c r="AB49" s="272"/>
      <c r="AC49" s="272">
        <f>SUM(AC38:AC48)</f>
        <v>15385288</v>
      </c>
      <c r="AD49" s="272">
        <f>SUM(AD38:AD48)</f>
        <v>13062251</v>
      </c>
      <c r="AE49" s="272">
        <f>SUM(AE38:AE48)</f>
        <v>2323037</v>
      </c>
      <c r="AF49" s="272">
        <f>SUM(AF38:AF48)</f>
        <v>51662</v>
      </c>
      <c r="AG49" s="272">
        <f>SUM(AG38:AG48)</f>
        <v>394773</v>
      </c>
      <c r="AH49" s="455">
        <f t="shared" si="3"/>
        <v>1386142</v>
      </c>
      <c r="AI49" s="272">
        <f>SUM(AI38:AI48)</f>
        <v>1078352</v>
      </c>
      <c r="AJ49" s="272">
        <f>SUM(AJ38:AJ48)</f>
        <v>307790</v>
      </c>
      <c r="AK49" s="272">
        <f>SUM(AK38:AK48)</f>
        <v>3228132</v>
      </c>
      <c r="AL49" s="455">
        <f t="shared" si="4"/>
        <v>855720</v>
      </c>
      <c r="AM49" s="272">
        <f t="shared" ref="AM49:BN49" si="26">SUM(AM38:AM48)</f>
        <v>52951</v>
      </c>
      <c r="AN49" s="272">
        <f t="shared" si="26"/>
        <v>394708</v>
      </c>
      <c r="AO49" s="272">
        <f t="shared" si="26"/>
        <v>0</v>
      </c>
      <c r="AP49" s="272">
        <f t="shared" si="26"/>
        <v>408061</v>
      </c>
      <c r="AQ49" s="272">
        <f t="shared" si="26"/>
        <v>1283574</v>
      </c>
      <c r="AR49" s="272">
        <f t="shared" si="26"/>
        <v>40495</v>
      </c>
      <c r="AS49" s="272">
        <f t="shared" si="26"/>
        <v>0</v>
      </c>
      <c r="AT49" s="272">
        <f t="shared" si="26"/>
        <v>6108024</v>
      </c>
      <c r="AU49" s="272">
        <f t="shared" si="26"/>
        <v>2000411</v>
      </c>
      <c r="AV49" s="272">
        <f t="shared" si="26"/>
        <v>194108</v>
      </c>
      <c r="AW49" s="272">
        <f t="shared" si="26"/>
        <v>662573</v>
      </c>
      <c r="AX49" s="272">
        <f t="shared" si="26"/>
        <v>4107613</v>
      </c>
      <c r="AY49" s="272">
        <f t="shared" si="26"/>
        <v>1816115</v>
      </c>
      <c r="AZ49" s="272">
        <f t="shared" si="26"/>
        <v>581231</v>
      </c>
      <c r="BA49" s="272">
        <f t="shared" si="26"/>
        <v>173655</v>
      </c>
      <c r="BB49" s="272">
        <f t="shared" si="26"/>
        <v>1010768</v>
      </c>
      <c r="BC49" s="272">
        <f t="shared" si="26"/>
        <v>5128953</v>
      </c>
      <c r="BD49" s="272">
        <f t="shared" si="26"/>
        <v>1350000</v>
      </c>
      <c r="BE49" s="272">
        <f t="shared" si="26"/>
        <v>69441</v>
      </c>
      <c r="BF49" s="272">
        <f t="shared" si="26"/>
        <v>3677482</v>
      </c>
      <c r="BG49" s="272">
        <f t="shared" si="26"/>
        <v>0</v>
      </c>
      <c r="BH49" s="272">
        <f t="shared" si="26"/>
        <v>2448702</v>
      </c>
      <c r="BI49" s="272">
        <f t="shared" si="26"/>
        <v>1510749</v>
      </c>
      <c r="BJ49" s="272">
        <f t="shared" si="26"/>
        <v>1207706</v>
      </c>
      <c r="BK49" s="272">
        <f t="shared" si="26"/>
        <v>235896</v>
      </c>
      <c r="BL49" s="272">
        <f t="shared" si="26"/>
        <v>5538</v>
      </c>
      <c r="BM49" s="272">
        <f t="shared" si="26"/>
        <v>0</v>
      </c>
      <c r="BN49" s="272">
        <f t="shared" si="26"/>
        <v>17431000</v>
      </c>
      <c r="BO49" s="455">
        <f t="shared" si="5"/>
        <v>16256900</v>
      </c>
      <c r="BP49" s="455">
        <f t="shared" si="6"/>
        <v>1174100</v>
      </c>
      <c r="BQ49" s="272">
        <f>SUM(BQ38:BQ48)</f>
        <v>0</v>
      </c>
      <c r="BR49" s="272">
        <f>SUM(BR38:BR48)</f>
        <v>1174100</v>
      </c>
      <c r="BS49" s="272"/>
      <c r="BT49" s="272">
        <v>0</v>
      </c>
      <c r="BU49" s="272">
        <f>SUM(BU38:BU48)</f>
        <v>94561213</v>
      </c>
      <c r="BV49" s="272"/>
      <c r="BW49" s="272">
        <f t="shared" ref="BW49:CI49" si="27">SUM(BW38:BW48)</f>
        <v>21796634</v>
      </c>
      <c r="BX49" s="272">
        <f t="shared" si="27"/>
        <v>15938351</v>
      </c>
      <c r="BY49" s="272">
        <f t="shared" si="27"/>
        <v>773934</v>
      </c>
      <c r="BZ49" s="272">
        <f t="shared" si="27"/>
        <v>541757</v>
      </c>
      <c r="CA49" s="272">
        <f t="shared" si="27"/>
        <v>4133330</v>
      </c>
      <c r="CB49" s="272">
        <f t="shared" si="27"/>
        <v>873457</v>
      </c>
      <c r="CC49" s="272">
        <f t="shared" si="27"/>
        <v>2094803</v>
      </c>
      <c r="CD49" s="272">
        <f t="shared" si="27"/>
        <v>1001566</v>
      </c>
      <c r="CE49" s="272">
        <f t="shared" si="27"/>
        <v>68223</v>
      </c>
      <c r="CF49" s="272">
        <f t="shared" si="27"/>
        <v>5186</v>
      </c>
      <c r="CG49" s="272">
        <f t="shared" si="27"/>
        <v>89780</v>
      </c>
      <c r="CH49" s="272">
        <f t="shared" si="27"/>
        <v>8431535</v>
      </c>
      <c r="CI49" s="272">
        <f t="shared" si="27"/>
        <v>4922605</v>
      </c>
      <c r="CJ49" s="455">
        <f t="shared" si="7"/>
        <v>3508930</v>
      </c>
      <c r="CK49" s="272">
        <f t="shared" ref="CK49:CS49" si="28">SUM(CK38:CK48)</f>
        <v>11687194</v>
      </c>
      <c r="CL49" s="272">
        <f t="shared" si="28"/>
        <v>5783946</v>
      </c>
      <c r="CM49" s="272">
        <f t="shared" si="28"/>
        <v>949647</v>
      </c>
      <c r="CN49" s="272">
        <f t="shared" si="28"/>
        <v>2891351</v>
      </c>
      <c r="CO49" s="272">
        <f t="shared" si="28"/>
        <v>854481</v>
      </c>
      <c r="CP49" s="272">
        <f t="shared" si="28"/>
        <v>5836705</v>
      </c>
      <c r="CQ49" s="272">
        <f t="shared" si="28"/>
        <v>1689774</v>
      </c>
      <c r="CR49" s="272">
        <f t="shared" si="28"/>
        <v>1689289</v>
      </c>
      <c r="CS49" s="272">
        <f t="shared" si="28"/>
        <v>1559026</v>
      </c>
      <c r="CT49" s="455">
        <f t="shared" si="8"/>
        <v>439637</v>
      </c>
      <c r="CU49" s="272">
        <f>SUM(CU38:CU48)</f>
        <v>243565</v>
      </c>
      <c r="CV49" s="272">
        <f>SUM(CV38:CV48)</f>
        <v>196072</v>
      </c>
      <c r="CW49" s="455">
        <f t="shared" si="9"/>
        <v>198774</v>
      </c>
      <c r="CX49" s="272">
        <f>SUM(CX38:CX48)</f>
        <v>170780</v>
      </c>
      <c r="CY49" s="272">
        <f>SUM(CY38:CY48)</f>
        <v>27994</v>
      </c>
      <c r="CZ49" s="455">
        <f t="shared" si="10"/>
        <v>0</v>
      </c>
      <c r="DA49" s="272">
        <f t="shared" ref="DA49:DU49" si="29">SUM(DA38:DA48)</f>
        <v>0</v>
      </c>
      <c r="DB49" s="272">
        <f t="shared" si="29"/>
        <v>0</v>
      </c>
      <c r="DC49" s="272">
        <f t="shared" si="29"/>
        <v>27888466</v>
      </c>
      <c r="DD49" s="272">
        <f t="shared" si="29"/>
        <v>3932980</v>
      </c>
      <c r="DE49" s="272">
        <f t="shared" si="29"/>
        <v>23448327</v>
      </c>
      <c r="DF49" s="272">
        <f t="shared" si="29"/>
        <v>273641</v>
      </c>
      <c r="DG49" s="272">
        <f t="shared" si="29"/>
        <v>156179</v>
      </c>
      <c r="DH49" s="272">
        <f t="shared" si="29"/>
        <v>129993</v>
      </c>
      <c r="DI49" s="272">
        <f t="shared" si="29"/>
        <v>4829209</v>
      </c>
      <c r="DJ49" s="272">
        <f t="shared" si="29"/>
        <v>1239133</v>
      </c>
      <c r="DK49" s="272">
        <f t="shared" si="29"/>
        <v>117578</v>
      </c>
      <c r="DL49" s="272">
        <f t="shared" si="29"/>
        <v>3472498</v>
      </c>
      <c r="DM49" s="272">
        <f t="shared" si="29"/>
        <v>18911</v>
      </c>
      <c r="DN49" s="272">
        <f t="shared" si="29"/>
        <v>17911</v>
      </c>
      <c r="DO49" s="272">
        <f t="shared" si="29"/>
        <v>17911</v>
      </c>
      <c r="DP49" s="272">
        <f t="shared" si="29"/>
        <v>0</v>
      </c>
      <c r="DQ49" s="272">
        <f t="shared" si="29"/>
        <v>6709</v>
      </c>
      <c r="DR49" s="272">
        <f t="shared" si="29"/>
        <v>0</v>
      </c>
      <c r="DS49" s="272">
        <f t="shared" si="29"/>
        <v>0</v>
      </c>
      <c r="DT49" s="272">
        <f t="shared" si="29"/>
        <v>6948973</v>
      </c>
      <c r="DU49" s="272">
        <f t="shared" si="29"/>
        <v>4219803</v>
      </c>
      <c r="DV49" s="455">
        <f t="shared" si="11"/>
        <v>0</v>
      </c>
      <c r="DW49" s="272">
        <f>SUM(DW38:DW48)</f>
        <v>0</v>
      </c>
      <c r="DX49" s="272">
        <v>0</v>
      </c>
      <c r="DY49" s="272">
        <f>SUM(DY38:DY48)</f>
        <v>0</v>
      </c>
      <c r="DZ49" s="272">
        <f>SUM(DZ38:DZ48)</f>
        <v>1343448</v>
      </c>
      <c r="EA49" s="272">
        <f>SUM(EA38:EA48)</f>
        <v>1009445</v>
      </c>
      <c r="EB49" s="272"/>
      <c r="EC49" s="272">
        <f>SUM(EC38:EC48)</f>
        <v>0</v>
      </c>
      <c r="ED49" s="272">
        <f>SUM(ED38:ED48)</f>
        <v>92562140</v>
      </c>
      <c r="EE49" s="272"/>
      <c r="EF49" s="272">
        <f>SUM(EF38:EF48)</f>
        <v>1999073</v>
      </c>
      <c r="EG49" s="272">
        <f>SUM(EG38:EG48)</f>
        <v>552859</v>
      </c>
      <c r="EH49" s="272">
        <f>SUM(EH38:EH48)</f>
        <v>1446214</v>
      </c>
      <c r="EI49" s="272">
        <f>SUM(EI38:EI48)</f>
        <v>-154535</v>
      </c>
      <c r="EJ49" s="272">
        <f>SUM(EJ38:EJ48)</f>
        <v>-264543</v>
      </c>
      <c r="EL49" s="272"/>
      <c r="EM49" s="272">
        <f>SUM(EM38:EM48)</f>
        <v>233541</v>
      </c>
      <c r="EN49" s="272">
        <f>SUM(EN38:EN48)</f>
        <v>3146939</v>
      </c>
      <c r="EO49" s="272">
        <f>SUM(EO38:EO48)</f>
        <v>263301</v>
      </c>
      <c r="EP49" s="455">
        <f t="shared" si="12"/>
        <v>3133871</v>
      </c>
      <c r="EQ49" s="272">
        <f t="shared" ref="EQ49:EV49" si="30">SUM(EQ38:EQ48)</f>
        <v>55635782</v>
      </c>
      <c r="ER49" s="272">
        <f t="shared" si="30"/>
        <v>-7666549</v>
      </c>
      <c r="ES49" s="272">
        <f t="shared" si="30"/>
        <v>20152860</v>
      </c>
      <c r="ET49" s="272">
        <f t="shared" si="30"/>
        <v>14372958</v>
      </c>
      <c r="EU49" s="272">
        <f t="shared" si="30"/>
        <v>1552491</v>
      </c>
      <c r="EV49" s="272">
        <f t="shared" si="30"/>
        <v>8026950</v>
      </c>
      <c r="EW49" s="455">
        <f t="shared" si="13"/>
        <v>5134188</v>
      </c>
      <c r="EX49" s="272">
        <f>SUM(EX38:EX48)</f>
        <v>5111918</v>
      </c>
      <c r="EY49" s="272">
        <f>SUM(EY38:EY48)</f>
        <v>504970</v>
      </c>
      <c r="EZ49" s="272">
        <f>SUM(EZ38:EZ48)</f>
        <v>4460929</v>
      </c>
      <c r="FA49" s="272">
        <f>SUM(FA38:FA48)</f>
        <v>22270</v>
      </c>
      <c r="FB49" s="272"/>
      <c r="FC49" s="272">
        <f>SUM(FC38:FC48)</f>
        <v>9554131</v>
      </c>
      <c r="FD49" s="272">
        <f>SUM(FD38:FD48)</f>
        <v>5171585</v>
      </c>
      <c r="FE49" s="272">
        <f>SUM(FE38:FE48)</f>
        <v>1689774</v>
      </c>
      <c r="FF49" s="272">
        <f>SUM(FF38:FF48)</f>
        <v>6381492</v>
      </c>
      <c r="FG49" s="455">
        <f t="shared" si="14"/>
        <v>5329561</v>
      </c>
      <c r="FH49" s="272">
        <f>SUM(FH38:FH48)</f>
        <v>61303258</v>
      </c>
      <c r="FI49" s="384">
        <f t="shared" si="15"/>
        <v>2.7</v>
      </c>
      <c r="FJ49" s="272">
        <f>SUM(FJ38:FJ48)</f>
        <v>53886500</v>
      </c>
      <c r="FK49" s="272">
        <f>SUM(FK38:FK48)</f>
        <v>0</v>
      </c>
      <c r="FL49" s="272">
        <f>SUM(FL38:FL48)</f>
        <v>30799664</v>
      </c>
      <c r="FM49" s="272">
        <f>SUM(FM38:FM48)</f>
        <v>42679649</v>
      </c>
      <c r="FN49" s="468">
        <v>0.73299999999999998</v>
      </c>
      <c r="FO49" s="469">
        <v>85.7</v>
      </c>
      <c r="FP49" s="469">
        <v>37.6</v>
      </c>
      <c r="FQ49" s="469">
        <v>2.8</v>
      </c>
      <c r="FR49" s="469">
        <v>15.3</v>
      </c>
      <c r="FS49" s="469">
        <v>15.7</v>
      </c>
      <c r="FT49" s="469">
        <v>7</v>
      </c>
      <c r="FU49" s="469">
        <v>5.7</v>
      </c>
      <c r="FV49" s="469">
        <v>9.4</v>
      </c>
      <c r="FW49" s="272">
        <f>SUM(FW38:FW48)</f>
        <v>95198067</v>
      </c>
      <c r="FX49" s="384">
        <f t="shared" si="16"/>
        <v>176.7</v>
      </c>
      <c r="FY49" s="272">
        <f t="shared" ref="FY49:GD49" si="31">SUM(FY38:FY48)</f>
        <v>45476021</v>
      </c>
      <c r="FZ49" s="272">
        <f t="shared" si="31"/>
        <v>14016757</v>
      </c>
      <c r="GA49" s="272">
        <f t="shared" si="31"/>
        <v>3861952</v>
      </c>
      <c r="GB49" s="272">
        <f t="shared" si="31"/>
        <v>27597312</v>
      </c>
      <c r="GC49" s="272">
        <f t="shared" si="31"/>
        <v>0</v>
      </c>
      <c r="GD49" s="272">
        <f t="shared" si="31"/>
        <v>13883510</v>
      </c>
      <c r="GE49" s="465">
        <f>ROUND(GD49/FJ52*100,1)</f>
        <v>45.8</v>
      </c>
      <c r="GF49" s="469">
        <v>97.5</v>
      </c>
      <c r="GG49" s="469">
        <v>21.4</v>
      </c>
      <c r="GH49" s="469">
        <v>92.4</v>
      </c>
      <c r="GI49" s="272">
        <f>SUM(GI38:GI48)</f>
        <v>2427</v>
      </c>
    </row>
    <row r="50" spans="2:191" x14ac:dyDescent="0.15">
      <c r="B50" s="21" t="s">
        <v>91</v>
      </c>
      <c r="C50" s="272">
        <f>C37+C49</f>
        <v>912034930</v>
      </c>
      <c r="D50" s="455">
        <f t="shared" si="0"/>
        <v>354073545</v>
      </c>
      <c r="E50" s="272">
        <f>E37+E49</f>
        <v>5120829</v>
      </c>
      <c r="F50" s="272">
        <f>F37+F49</f>
        <v>348952716</v>
      </c>
      <c r="G50" s="455">
        <f t="shared" si="1"/>
        <v>77603886</v>
      </c>
      <c r="H50" s="272">
        <f t="shared" ref="H50:S50" si="32">H37+H49</f>
        <v>12076189</v>
      </c>
      <c r="I50" s="272">
        <f t="shared" si="32"/>
        <v>65527697</v>
      </c>
      <c r="J50" s="272">
        <f t="shared" si="32"/>
        <v>354383358</v>
      </c>
      <c r="K50" s="272">
        <f t="shared" si="32"/>
        <v>183756493</v>
      </c>
      <c r="L50" s="272">
        <f t="shared" si="32"/>
        <v>115524457</v>
      </c>
      <c r="M50" s="272">
        <f t="shared" si="32"/>
        <v>50059885</v>
      </c>
      <c r="N50" s="272">
        <f t="shared" si="32"/>
        <v>32989057</v>
      </c>
      <c r="O50" s="272">
        <f t="shared" si="32"/>
        <v>78353398</v>
      </c>
      <c r="P50" s="272">
        <f t="shared" si="32"/>
        <v>54014508</v>
      </c>
      <c r="Q50" s="272">
        <f t="shared" si="32"/>
        <v>24338890</v>
      </c>
      <c r="R50" s="272">
        <f t="shared" si="32"/>
        <v>21401551</v>
      </c>
      <c r="S50" s="272">
        <f t="shared" si="32"/>
        <v>8700803</v>
      </c>
      <c r="T50" s="455">
        <f t="shared" si="2"/>
        <v>40075027</v>
      </c>
      <c r="U50" s="272">
        <f>U37+U49</f>
        <v>12289920</v>
      </c>
      <c r="V50" s="272"/>
      <c r="W50" s="272"/>
      <c r="X50" s="272">
        <f>X37+X49</f>
        <v>11587000</v>
      </c>
      <c r="Y50" s="272">
        <f>Y37+Y49</f>
        <v>1525623</v>
      </c>
      <c r="Z50" s="272">
        <f>Z37+Z49</f>
        <v>575503</v>
      </c>
      <c r="AA50" s="272">
        <f>AA37+AA49</f>
        <v>14096981</v>
      </c>
      <c r="AB50" s="272"/>
      <c r="AC50" s="272">
        <f>AC37+AC49</f>
        <v>117919122</v>
      </c>
      <c r="AD50" s="272">
        <f>AD37+AD49</f>
        <v>103751053</v>
      </c>
      <c r="AE50" s="272">
        <f>AE37+AE49</f>
        <v>14168069</v>
      </c>
      <c r="AF50" s="272">
        <f>AF37+AF49</f>
        <v>1196993</v>
      </c>
      <c r="AG50" s="272">
        <f>AG37+AG49</f>
        <v>21134371</v>
      </c>
      <c r="AH50" s="455">
        <f t="shared" si="3"/>
        <v>33763871</v>
      </c>
      <c r="AI50" s="272">
        <f>AI37+AI49</f>
        <v>26664977</v>
      </c>
      <c r="AJ50" s="272">
        <f>AJ37+AJ49</f>
        <v>7098894</v>
      </c>
      <c r="AK50" s="272">
        <f>AK37+AK49</f>
        <v>143848797</v>
      </c>
      <c r="AL50" s="455">
        <f t="shared" si="4"/>
        <v>83439875</v>
      </c>
      <c r="AM50" s="272">
        <f t="shared" ref="AM50:BN50" si="33">AM37+AM49</f>
        <v>60562716</v>
      </c>
      <c r="AN50" s="272">
        <f t="shared" si="33"/>
        <v>13470748</v>
      </c>
      <c r="AO50" s="272">
        <f t="shared" si="33"/>
        <v>49450</v>
      </c>
      <c r="AP50" s="272">
        <f t="shared" si="33"/>
        <v>9356961</v>
      </c>
      <c r="AQ50" s="272">
        <f t="shared" si="33"/>
        <v>24498681</v>
      </c>
      <c r="AR50" s="272">
        <f t="shared" si="33"/>
        <v>356970</v>
      </c>
      <c r="AS50" s="272">
        <f t="shared" si="33"/>
        <v>323461</v>
      </c>
      <c r="AT50" s="272">
        <f t="shared" si="33"/>
        <v>96280244</v>
      </c>
      <c r="AU50" s="272">
        <f t="shared" si="33"/>
        <v>33376815</v>
      </c>
      <c r="AV50" s="272">
        <f t="shared" si="33"/>
        <v>6831652</v>
      </c>
      <c r="AW50" s="272">
        <f t="shared" si="33"/>
        <v>2377514</v>
      </c>
      <c r="AX50" s="272">
        <f t="shared" si="33"/>
        <v>62903429</v>
      </c>
      <c r="AY50" s="272">
        <f t="shared" si="33"/>
        <v>16433886</v>
      </c>
      <c r="AZ50" s="272">
        <f t="shared" si="33"/>
        <v>10087316</v>
      </c>
      <c r="BA50" s="272">
        <f t="shared" si="33"/>
        <v>5632473</v>
      </c>
      <c r="BB50" s="272">
        <f t="shared" si="33"/>
        <v>9284683</v>
      </c>
      <c r="BC50" s="272">
        <f t="shared" si="33"/>
        <v>69314753</v>
      </c>
      <c r="BD50" s="272">
        <f t="shared" si="33"/>
        <v>13413799</v>
      </c>
      <c r="BE50" s="272">
        <f t="shared" si="33"/>
        <v>3570723</v>
      </c>
      <c r="BF50" s="272">
        <f t="shared" si="33"/>
        <v>50695742</v>
      </c>
      <c r="BG50" s="272">
        <f t="shared" si="33"/>
        <v>246686</v>
      </c>
      <c r="BH50" s="272">
        <f t="shared" si="33"/>
        <v>21747688</v>
      </c>
      <c r="BI50" s="272">
        <f t="shared" si="33"/>
        <v>10674383</v>
      </c>
      <c r="BJ50" s="272">
        <f t="shared" si="33"/>
        <v>54326556</v>
      </c>
      <c r="BK50" s="272">
        <f t="shared" si="33"/>
        <v>30948704</v>
      </c>
      <c r="BL50" s="272">
        <f t="shared" si="33"/>
        <v>976392</v>
      </c>
      <c r="BM50" s="272">
        <f t="shared" si="33"/>
        <v>6780759</v>
      </c>
      <c r="BN50" s="272">
        <f t="shared" si="33"/>
        <v>154300624</v>
      </c>
      <c r="BO50" s="455">
        <f t="shared" si="5"/>
        <v>124505724</v>
      </c>
      <c r="BP50" s="455">
        <f t="shared" si="6"/>
        <v>29794900</v>
      </c>
      <c r="BQ50" s="272">
        <f>BQ37+BQ49</f>
        <v>0</v>
      </c>
      <c r="BR50" s="272">
        <f>BR37+BR49</f>
        <v>29794900</v>
      </c>
      <c r="BS50" s="272"/>
      <c r="BT50" s="272">
        <v>0</v>
      </c>
      <c r="BU50" s="272">
        <f>BU37+BU49</f>
        <v>1707039987</v>
      </c>
      <c r="BV50" s="272"/>
      <c r="BW50" s="272">
        <f t="shared" ref="BW50:CI50" si="34">BW37+BW49</f>
        <v>463908544</v>
      </c>
      <c r="BX50" s="272">
        <f t="shared" si="34"/>
        <v>343617788</v>
      </c>
      <c r="BY50" s="272">
        <f t="shared" si="34"/>
        <v>30394514</v>
      </c>
      <c r="BZ50" s="272">
        <f t="shared" si="34"/>
        <v>14484367</v>
      </c>
      <c r="CA50" s="272">
        <f t="shared" si="34"/>
        <v>208630326</v>
      </c>
      <c r="CB50" s="272">
        <f t="shared" si="34"/>
        <v>25569682</v>
      </c>
      <c r="CC50" s="272">
        <f t="shared" si="34"/>
        <v>49201782</v>
      </c>
      <c r="CD50" s="272">
        <f t="shared" si="34"/>
        <v>41982946</v>
      </c>
      <c r="CE50" s="272">
        <f t="shared" si="34"/>
        <v>80697630</v>
      </c>
      <c r="CF50" s="272">
        <f t="shared" si="34"/>
        <v>7776150</v>
      </c>
      <c r="CG50" s="272">
        <f t="shared" si="34"/>
        <v>3156572</v>
      </c>
      <c r="CH50" s="272">
        <f t="shared" si="34"/>
        <v>155399125</v>
      </c>
      <c r="CI50" s="272">
        <f t="shared" si="34"/>
        <v>89930175</v>
      </c>
      <c r="CJ50" s="455">
        <f t="shared" si="7"/>
        <v>65468950</v>
      </c>
      <c r="CK50" s="272">
        <f t="shared" ref="CK50:CS50" si="35">CK37+CK49</f>
        <v>191006988</v>
      </c>
      <c r="CL50" s="272">
        <f t="shared" si="35"/>
        <v>108217361</v>
      </c>
      <c r="CM50" s="272">
        <f t="shared" si="35"/>
        <v>9486780</v>
      </c>
      <c r="CN50" s="272">
        <f t="shared" si="35"/>
        <v>42146815</v>
      </c>
      <c r="CO50" s="272">
        <f t="shared" si="35"/>
        <v>17484506</v>
      </c>
      <c r="CP50" s="272">
        <f t="shared" si="35"/>
        <v>128439373</v>
      </c>
      <c r="CQ50" s="272">
        <f t="shared" si="35"/>
        <v>43043927</v>
      </c>
      <c r="CR50" s="272">
        <f t="shared" si="35"/>
        <v>38040079</v>
      </c>
      <c r="CS50" s="272">
        <f t="shared" si="35"/>
        <v>32798985</v>
      </c>
      <c r="CT50" s="455">
        <f t="shared" si="8"/>
        <v>19379091</v>
      </c>
      <c r="CU50" s="272">
        <f>CU37+CU49</f>
        <v>10697817</v>
      </c>
      <c r="CV50" s="272">
        <f>CV37+CV49</f>
        <v>8681274</v>
      </c>
      <c r="CW50" s="455">
        <f t="shared" si="9"/>
        <v>15318426</v>
      </c>
      <c r="CX50" s="272">
        <f>CX37+CX49</f>
        <v>9879991</v>
      </c>
      <c r="CY50" s="272">
        <f>CY37+CY49</f>
        <v>5438435</v>
      </c>
      <c r="CZ50" s="455">
        <f t="shared" si="10"/>
        <v>0</v>
      </c>
      <c r="DA50" s="272">
        <f t="shared" ref="DA50:DU50" si="36">DA37+DA49</f>
        <v>0</v>
      </c>
      <c r="DB50" s="272">
        <f t="shared" si="36"/>
        <v>0</v>
      </c>
      <c r="DC50" s="272">
        <f t="shared" si="36"/>
        <v>281240047</v>
      </c>
      <c r="DD50" s="272">
        <f t="shared" si="36"/>
        <v>53400857</v>
      </c>
      <c r="DE50" s="272">
        <f t="shared" si="36"/>
        <v>209314303</v>
      </c>
      <c r="DF50" s="272">
        <f t="shared" si="36"/>
        <v>4394017</v>
      </c>
      <c r="DG50" s="272">
        <f t="shared" si="36"/>
        <v>13732486</v>
      </c>
      <c r="DH50" s="272">
        <f t="shared" si="36"/>
        <v>1383152</v>
      </c>
      <c r="DI50" s="272">
        <f t="shared" si="36"/>
        <v>35524990</v>
      </c>
      <c r="DJ50" s="272">
        <f t="shared" si="36"/>
        <v>9783456</v>
      </c>
      <c r="DK50" s="272">
        <f t="shared" si="36"/>
        <v>1316219</v>
      </c>
      <c r="DL50" s="272">
        <f t="shared" si="36"/>
        <v>24425315</v>
      </c>
      <c r="DM50" s="272">
        <f t="shared" si="36"/>
        <v>30608281</v>
      </c>
      <c r="DN50" s="272">
        <f t="shared" si="36"/>
        <v>29459581</v>
      </c>
      <c r="DO50" s="272">
        <f t="shared" si="36"/>
        <v>4351441</v>
      </c>
      <c r="DP50" s="272">
        <f t="shared" si="36"/>
        <v>25108140</v>
      </c>
      <c r="DQ50" s="272">
        <f t="shared" si="36"/>
        <v>30870828</v>
      </c>
      <c r="DR50" s="272">
        <f t="shared" si="36"/>
        <v>941107</v>
      </c>
      <c r="DS50" s="272">
        <f t="shared" si="36"/>
        <v>918000</v>
      </c>
      <c r="DT50" s="272">
        <f t="shared" si="36"/>
        <v>146088379</v>
      </c>
      <c r="DU50" s="272">
        <f t="shared" si="36"/>
        <v>85625620</v>
      </c>
      <c r="DV50" s="455">
        <f t="shared" si="11"/>
        <v>385743</v>
      </c>
      <c r="DW50" s="272">
        <f>DW37+DW49</f>
        <v>385743</v>
      </c>
      <c r="DX50" s="272">
        <v>0</v>
      </c>
      <c r="DY50" s="272">
        <f>DY37+DY49</f>
        <v>375092</v>
      </c>
      <c r="DZ50" s="272">
        <f>DZ37+DZ49</f>
        <v>38403926</v>
      </c>
      <c r="EA50" s="272">
        <f>EA37+EA49</f>
        <v>19825648</v>
      </c>
      <c r="EB50" s="272"/>
      <c r="EC50" s="272">
        <f>EC37+EC49</f>
        <v>1065683</v>
      </c>
      <c r="ED50" s="272">
        <f>ED37+ED49</f>
        <v>1691650222</v>
      </c>
      <c r="EE50" s="272"/>
      <c r="EF50" s="272">
        <f>EF37+EF49</f>
        <v>15389765</v>
      </c>
      <c r="EG50" s="272">
        <f>EG37+EG49</f>
        <v>6386191</v>
      </c>
      <c r="EH50" s="272">
        <f>EH37+EH49</f>
        <v>9003574</v>
      </c>
      <c r="EI50" s="272">
        <f>EI37+EI49</f>
        <v>-398738</v>
      </c>
      <c r="EJ50" s="272">
        <f>EJ37+EJ49</f>
        <v>-3916111</v>
      </c>
      <c r="EL50" s="272"/>
      <c r="EM50" s="272">
        <f>EM37+EM49</f>
        <v>5352332</v>
      </c>
      <c r="EN50" s="272">
        <f>EN37+EN49</f>
        <v>24828886</v>
      </c>
      <c r="EO50" s="272">
        <f>EO37+EO49</f>
        <v>5240993</v>
      </c>
      <c r="EP50" s="455">
        <f t="shared" si="12"/>
        <v>45912122</v>
      </c>
      <c r="EQ50" s="272">
        <f t="shared" ref="EQ50:EV50" si="37">EQ37+EQ49</f>
        <v>1092951084</v>
      </c>
      <c r="ER50" s="272">
        <f t="shared" si="37"/>
        <v>-104256447</v>
      </c>
      <c r="ES50" s="272">
        <f t="shared" si="37"/>
        <v>427999824</v>
      </c>
      <c r="ET50" s="272">
        <f t="shared" si="37"/>
        <v>310440499</v>
      </c>
      <c r="EU50" s="272">
        <f t="shared" si="37"/>
        <v>64388008</v>
      </c>
      <c r="EV50" s="272">
        <f t="shared" si="37"/>
        <v>150252462</v>
      </c>
      <c r="EW50" s="455">
        <f t="shared" si="13"/>
        <v>89676976</v>
      </c>
      <c r="EX50" s="272">
        <f>EX37+EX49</f>
        <v>89205442</v>
      </c>
      <c r="EY50" s="272">
        <f>EY37+EY49</f>
        <v>5670847</v>
      </c>
      <c r="EZ50" s="272">
        <f>EZ37+EZ49</f>
        <v>82041146</v>
      </c>
      <c r="FA50" s="272">
        <f>FA37+FA49</f>
        <v>471534</v>
      </c>
      <c r="FB50" s="272"/>
      <c r="FC50" s="272">
        <f>FC37+FC49</f>
        <v>151674747</v>
      </c>
      <c r="FD50" s="272">
        <f>FD37+FD49</f>
        <v>114634567</v>
      </c>
      <c r="FE50" s="272">
        <f>FE37+FE49</f>
        <v>42968967</v>
      </c>
      <c r="FF50" s="272">
        <f>FF37+FF49</f>
        <v>136312114</v>
      </c>
      <c r="FG50" s="455">
        <f t="shared" si="14"/>
        <v>47040903</v>
      </c>
      <c r="FH50" s="272">
        <f>FH37+FH49</f>
        <v>1181979601</v>
      </c>
      <c r="FI50" s="384">
        <f t="shared" si="15"/>
        <v>0.9</v>
      </c>
      <c r="FJ50" s="272">
        <f>FJ37+FJ49</f>
        <v>1023503762</v>
      </c>
      <c r="FK50" s="272">
        <f>FK37+FK49</f>
        <v>0</v>
      </c>
      <c r="FL50" s="272">
        <f>FL37+FL49</f>
        <v>693352958</v>
      </c>
      <c r="FM50" s="272">
        <f>FM37+FM49</f>
        <v>780462144</v>
      </c>
      <c r="FN50" s="468">
        <v>0.90800000000000003</v>
      </c>
      <c r="FO50" s="469">
        <v>96</v>
      </c>
      <c r="FP50" s="469">
        <v>40.9</v>
      </c>
      <c r="FQ50" s="469">
        <v>6.7</v>
      </c>
      <c r="FR50" s="469">
        <v>14.7</v>
      </c>
      <c r="FS50" s="469">
        <v>14.1</v>
      </c>
      <c r="FT50" s="469">
        <v>10.5</v>
      </c>
      <c r="FU50" s="469">
        <v>7.5</v>
      </c>
      <c r="FV50" s="469">
        <v>10.1</v>
      </c>
      <c r="FW50" s="272">
        <f>FW37+FW49</f>
        <v>1550676669</v>
      </c>
      <c r="FX50" s="384">
        <f t="shared" si="16"/>
        <v>151.5</v>
      </c>
      <c r="FY50" s="272">
        <f t="shared" ref="FY50:GD50" si="38">FY37+FY49</f>
        <v>389782070</v>
      </c>
      <c r="FZ50" s="272">
        <f t="shared" si="38"/>
        <v>97527383</v>
      </c>
      <c r="GA50" s="272">
        <f t="shared" si="38"/>
        <v>31212438</v>
      </c>
      <c r="GB50" s="272">
        <f t="shared" si="38"/>
        <v>261042249</v>
      </c>
      <c r="GC50" s="272">
        <f t="shared" si="38"/>
        <v>0</v>
      </c>
      <c r="GD50" s="272">
        <f t="shared" si="38"/>
        <v>469280218</v>
      </c>
      <c r="GE50" s="465">
        <f>ROUND(GD50/FJ53*100,1)</f>
        <v>46.9</v>
      </c>
      <c r="GF50" s="469">
        <v>97.6</v>
      </c>
      <c r="GG50" s="469">
        <v>22.2</v>
      </c>
      <c r="GH50" s="469">
        <v>92.7</v>
      </c>
      <c r="GI50" s="272">
        <f>GI37+GI49</f>
        <v>44266</v>
      </c>
    </row>
    <row r="51" spans="2:191" x14ac:dyDescent="0.15">
      <c r="GE51" s="31" t="s">
        <v>647</v>
      </c>
    </row>
    <row r="52" spans="2:191" x14ac:dyDescent="0.15">
      <c r="FJ52" s="394">
        <f>FJ40+FJ42+FJ43+FJ45+FJ46+FJ48</f>
        <v>30342236</v>
      </c>
      <c r="FO52" s="33"/>
      <c r="FP52" s="89" t="s">
        <v>816</v>
      </c>
    </row>
    <row r="53" spans="2:191" x14ac:dyDescent="0.15">
      <c r="FJ53" s="394">
        <f>FJ37+FJ52</f>
        <v>999959498</v>
      </c>
    </row>
  </sheetData>
  <phoneticPr fontId="3"/>
  <pageMargins left="0.75" right="0.75" top="1" bottom="1" header="0.51200000000000001" footer="0.51200000000000001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5">
    <tabColor indexed="15"/>
  </sheetPr>
  <dimension ref="A1:GI53"/>
  <sheetViews>
    <sheetView workbookViewId="0">
      <pane xSplit="2" ySplit="5" topLeftCell="FV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</cols>
  <sheetData>
    <row r="1" spans="2:191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191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830</v>
      </c>
      <c r="O2" s="28" t="s">
        <v>840</v>
      </c>
      <c r="P2" s="28" t="s">
        <v>831</v>
      </c>
      <c r="Q2" s="28" t="s">
        <v>832</v>
      </c>
      <c r="R2" s="28" t="s">
        <v>351</v>
      </c>
      <c r="S2" s="28" t="s">
        <v>795</v>
      </c>
      <c r="U2" s="28" t="s">
        <v>725</v>
      </c>
      <c r="V2" s="28"/>
      <c r="W2" s="28"/>
      <c r="X2" s="28"/>
      <c r="Y2" s="28" t="s">
        <v>354</v>
      </c>
      <c r="Z2" s="28" t="s">
        <v>355</v>
      </c>
      <c r="AA2" s="28" t="s">
        <v>664</v>
      </c>
      <c r="AB2" s="28"/>
      <c r="AC2" s="28" t="s">
        <v>357</v>
      </c>
      <c r="AD2" s="28" t="s">
        <v>653</v>
      </c>
      <c r="AE2" s="28" t="s">
        <v>358</v>
      </c>
      <c r="AF2" s="28" t="s">
        <v>359</v>
      </c>
      <c r="AG2" s="28" t="s">
        <v>360</v>
      </c>
      <c r="AI2" s="28" t="s">
        <v>726</v>
      </c>
      <c r="AJ2" s="28" t="s">
        <v>667</v>
      </c>
      <c r="AK2" s="28" t="s">
        <v>852</v>
      </c>
      <c r="AL2" s="29"/>
      <c r="AM2" s="28" t="s">
        <v>685</v>
      </c>
      <c r="AN2" s="28" t="s">
        <v>669</v>
      </c>
      <c r="AO2" s="28" t="s">
        <v>796</v>
      </c>
      <c r="AP2" s="28" t="s">
        <v>727</v>
      </c>
      <c r="AQ2" s="28" t="s">
        <v>833</v>
      </c>
      <c r="AR2" s="28" t="s">
        <v>797</v>
      </c>
      <c r="AS2" s="28" t="s">
        <v>373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846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 t="s">
        <v>849</v>
      </c>
      <c r="BR2" s="28"/>
      <c r="BS2" s="28"/>
      <c r="BT2" s="28" t="s">
        <v>850</v>
      </c>
      <c r="BU2" s="28" t="s">
        <v>806</v>
      </c>
      <c r="BW2" s="28" t="s">
        <v>402</v>
      </c>
      <c r="BX2" s="28" t="s">
        <v>403</v>
      </c>
      <c r="BY2" s="28" t="s">
        <v>786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836</v>
      </c>
      <c r="CM2" s="28" t="s">
        <v>837</v>
      </c>
      <c r="CN2" s="28" t="s">
        <v>838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820</v>
      </c>
      <c r="CV2" s="28" t="s">
        <v>821</v>
      </c>
      <c r="CX2" s="28" t="s">
        <v>426</v>
      </c>
      <c r="CY2" s="28" t="s">
        <v>812</v>
      </c>
      <c r="DA2" s="28" t="s">
        <v>822</v>
      </c>
      <c r="DB2" s="28" t="s">
        <v>823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824</v>
      </c>
      <c r="DW2" s="28" t="s">
        <v>449</v>
      </c>
      <c r="DX2" s="28" t="s">
        <v>448</v>
      </c>
      <c r="DY2" s="28" t="s">
        <v>451</v>
      </c>
      <c r="DZ2" s="28" t="s">
        <v>825</v>
      </c>
      <c r="EA2" s="28" t="s">
        <v>826</v>
      </c>
      <c r="EB2" s="28"/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191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827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191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851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203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191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828</v>
      </c>
      <c r="DX5" s="30" t="s">
        <v>829</v>
      </c>
      <c r="DY5" s="30"/>
      <c r="DZ5" s="30"/>
      <c r="EA5" s="30"/>
      <c r="EB5" s="30"/>
      <c r="EC5" s="30"/>
      <c r="ED5" s="3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191" x14ac:dyDescent="0.15">
      <c r="B6" s="89" t="s">
        <v>5</v>
      </c>
      <c r="C6" s="272">
        <v>27591453</v>
      </c>
      <c r="D6" s="455">
        <f t="shared" ref="D6:D50" si="0">E6+F6</f>
        <v>9133790</v>
      </c>
      <c r="E6" s="272">
        <v>171495</v>
      </c>
      <c r="F6" s="272">
        <v>8962295</v>
      </c>
      <c r="G6" s="455">
        <f t="shared" ref="G6:G50" si="1">H6+I6</f>
        <v>2358673</v>
      </c>
      <c r="H6" s="272">
        <v>424647</v>
      </c>
      <c r="I6" s="272">
        <v>1934026</v>
      </c>
      <c r="J6" s="272">
        <v>11847764</v>
      </c>
      <c r="K6" s="272">
        <v>6483777</v>
      </c>
      <c r="L6" s="272">
        <v>3747018</v>
      </c>
      <c r="M6" s="272">
        <v>1390926</v>
      </c>
      <c r="N6" s="272">
        <v>1072511</v>
      </c>
      <c r="O6" s="272">
        <v>2803304</v>
      </c>
      <c r="P6" s="272">
        <v>2012621</v>
      </c>
      <c r="Q6" s="272">
        <v>790683</v>
      </c>
      <c r="R6" s="272">
        <v>1317701</v>
      </c>
      <c r="S6" s="272">
        <v>920396</v>
      </c>
      <c r="T6" s="455">
        <f t="shared" ref="T6:T50" si="2">SUM(U6:AA6)</f>
        <v>1188148</v>
      </c>
      <c r="U6" s="272">
        <v>439860</v>
      </c>
      <c r="V6" s="272"/>
      <c r="W6" s="272"/>
      <c r="X6" s="272"/>
      <c r="Y6" s="272">
        <v>76341</v>
      </c>
      <c r="Z6" s="272">
        <v>15033</v>
      </c>
      <c r="AA6" s="272">
        <v>656914</v>
      </c>
      <c r="AB6" s="272"/>
      <c r="AC6" s="272">
        <v>6816050</v>
      </c>
      <c r="AD6" s="272">
        <v>6710966</v>
      </c>
      <c r="AE6" s="272">
        <v>105084</v>
      </c>
      <c r="AF6" s="272">
        <v>48213</v>
      </c>
      <c r="AG6" s="272">
        <v>360620</v>
      </c>
      <c r="AH6" s="455">
        <f t="shared" ref="AH6:AH50" si="3">AI6+AJ6</f>
        <v>1376186</v>
      </c>
      <c r="AI6" s="272">
        <v>1237737</v>
      </c>
      <c r="AJ6" s="272">
        <v>138449</v>
      </c>
      <c r="AK6" s="272">
        <v>6076029</v>
      </c>
      <c r="AL6" s="455">
        <f t="shared" ref="AL6:AL50" si="4">SUM(AM6:AP6)</f>
        <v>3267707</v>
      </c>
      <c r="AM6" s="272">
        <v>2394211</v>
      </c>
      <c r="AN6" s="272">
        <v>580570</v>
      </c>
      <c r="AO6" s="272">
        <v>0</v>
      </c>
      <c r="AP6" s="272">
        <v>292926</v>
      </c>
      <c r="AQ6" s="272">
        <v>1617049</v>
      </c>
      <c r="AR6" s="272">
        <v>46448</v>
      </c>
      <c r="AS6" s="272">
        <v>0</v>
      </c>
      <c r="AT6" s="272">
        <v>3483434</v>
      </c>
      <c r="AU6" s="272">
        <v>1267181</v>
      </c>
      <c r="AV6" s="272">
        <v>392073</v>
      </c>
      <c r="AW6" s="272">
        <v>207020</v>
      </c>
      <c r="AX6" s="272">
        <v>2216253</v>
      </c>
      <c r="AY6" s="272">
        <v>734594</v>
      </c>
      <c r="AZ6" s="272">
        <v>155279</v>
      </c>
      <c r="BA6" s="272">
        <v>1664</v>
      </c>
      <c r="BB6" s="272">
        <v>734877</v>
      </c>
      <c r="BC6" s="272">
        <v>1122312</v>
      </c>
      <c r="BD6" s="272">
        <v>0</v>
      </c>
      <c r="BE6" s="272">
        <v>0</v>
      </c>
      <c r="BF6" s="272">
        <v>812409</v>
      </c>
      <c r="BG6" s="272">
        <v>188125</v>
      </c>
      <c r="BH6" s="272">
        <v>955207</v>
      </c>
      <c r="BI6" s="272">
        <v>263606</v>
      </c>
      <c r="BJ6" s="272">
        <v>2791927</v>
      </c>
      <c r="BK6" s="272">
        <v>98400</v>
      </c>
      <c r="BL6" s="272">
        <v>678</v>
      </c>
      <c r="BM6" s="272">
        <v>2429498</v>
      </c>
      <c r="BN6" s="272">
        <v>9703500</v>
      </c>
      <c r="BO6" s="455">
        <f t="shared" ref="BO6:BO50" si="5">BN6-BP6-BT6</f>
        <v>7763400</v>
      </c>
      <c r="BP6" s="455">
        <f t="shared" ref="BP6:BP50" si="6">BQ6+BR6+BS6</f>
        <v>1940100</v>
      </c>
      <c r="BQ6" s="272">
        <v>1940100</v>
      </c>
      <c r="BR6" s="272"/>
      <c r="BS6" s="272"/>
      <c r="BT6" s="272">
        <v>0</v>
      </c>
      <c r="BU6" s="272">
        <v>63720936</v>
      </c>
      <c r="BV6" s="272"/>
      <c r="BW6" s="272">
        <v>16341488</v>
      </c>
      <c r="BX6" s="272">
        <v>12141569</v>
      </c>
      <c r="BY6" s="272">
        <v>1148214</v>
      </c>
      <c r="BZ6" s="272">
        <v>442729</v>
      </c>
      <c r="CA6" s="272">
        <v>8724037</v>
      </c>
      <c r="CB6" s="272">
        <v>1227249</v>
      </c>
      <c r="CC6" s="272">
        <v>2146771</v>
      </c>
      <c r="CD6" s="272">
        <v>1956381</v>
      </c>
      <c r="CE6" s="272">
        <v>3214825</v>
      </c>
      <c r="CF6" s="272">
        <v>256</v>
      </c>
      <c r="CG6" s="272">
        <v>172035</v>
      </c>
      <c r="CH6" s="272">
        <v>7323294</v>
      </c>
      <c r="CI6" s="272">
        <v>4769463</v>
      </c>
      <c r="CJ6" s="455">
        <f t="shared" ref="CJ6:CJ50" si="7">CH6-CI6</f>
        <v>2553831</v>
      </c>
      <c r="CK6" s="272">
        <v>5223739</v>
      </c>
      <c r="CL6" s="272">
        <v>2429522</v>
      </c>
      <c r="CM6" s="272">
        <v>215539</v>
      </c>
      <c r="CN6" s="272">
        <v>1070196</v>
      </c>
      <c r="CO6" s="272">
        <v>317236</v>
      </c>
      <c r="CP6" s="272">
        <v>5646804</v>
      </c>
      <c r="CQ6" s="272">
        <v>1152913</v>
      </c>
      <c r="CR6" s="272">
        <v>852125</v>
      </c>
      <c r="CS6" s="272">
        <v>835283</v>
      </c>
      <c r="CT6" s="455">
        <f t="shared" ref="CT6:CT50" si="8">CU6+CV6</f>
        <v>2260168</v>
      </c>
      <c r="CU6" s="272">
        <v>1904118</v>
      </c>
      <c r="CV6" s="272">
        <v>356050</v>
      </c>
      <c r="CW6" s="455">
        <f t="shared" ref="CW6:CW50" si="9">CX6+CY6</f>
        <v>2201037</v>
      </c>
      <c r="CX6" s="272">
        <v>1874801</v>
      </c>
      <c r="CY6" s="272">
        <v>326236</v>
      </c>
      <c r="CZ6" s="455">
        <f t="shared" ref="CZ6:CZ50" si="10">DA6+DB6</f>
        <v>0</v>
      </c>
      <c r="DA6" s="272">
        <v>0</v>
      </c>
      <c r="DB6" s="272">
        <v>0</v>
      </c>
      <c r="DC6" s="272">
        <v>10859717</v>
      </c>
      <c r="DD6" s="272">
        <v>2135489</v>
      </c>
      <c r="DE6" s="272">
        <v>8370161</v>
      </c>
      <c r="DF6" s="272">
        <v>99863</v>
      </c>
      <c r="DG6" s="272">
        <v>254204</v>
      </c>
      <c r="DH6" s="272">
        <v>98787</v>
      </c>
      <c r="DI6" s="272">
        <v>1549709</v>
      </c>
      <c r="DJ6" s="272">
        <v>26559</v>
      </c>
      <c r="DK6" s="272">
        <v>31905</v>
      </c>
      <c r="DL6" s="272">
        <v>1491245</v>
      </c>
      <c r="DM6" s="272">
        <v>21400</v>
      </c>
      <c r="DN6" s="272">
        <v>21400</v>
      </c>
      <c r="DO6" s="272">
        <v>21400</v>
      </c>
      <c r="DP6" s="272">
        <v>0</v>
      </c>
      <c r="DQ6" s="272">
        <v>97000</v>
      </c>
      <c r="DR6" s="272">
        <v>0</v>
      </c>
      <c r="DS6" s="272">
        <v>0</v>
      </c>
      <c r="DT6" s="272">
        <v>6326009</v>
      </c>
      <c r="DU6" s="272">
        <v>3696528</v>
      </c>
      <c r="DV6" s="455">
        <f t="shared" ref="DV6:DV50" si="11">DW6+DX6</f>
        <v>0</v>
      </c>
      <c r="DW6" s="272">
        <v>0</v>
      </c>
      <c r="DX6" s="272">
        <v>0</v>
      </c>
      <c r="DY6" s="272">
        <v>0</v>
      </c>
      <c r="DZ6" s="272">
        <v>1048079</v>
      </c>
      <c r="EA6" s="272">
        <v>884925</v>
      </c>
      <c r="EB6" s="272"/>
      <c r="EC6" s="272">
        <v>0</v>
      </c>
      <c r="ED6" s="272">
        <v>62529220</v>
      </c>
      <c r="EF6" s="272">
        <v>1191716</v>
      </c>
      <c r="EG6" s="272">
        <v>1040666</v>
      </c>
      <c r="EH6" s="272">
        <v>151050</v>
      </c>
      <c r="EI6" s="272">
        <v>-112556</v>
      </c>
      <c r="EJ6" s="272">
        <v>-85997</v>
      </c>
      <c r="EL6" s="272"/>
      <c r="EM6" s="272">
        <v>196176</v>
      </c>
      <c r="EN6" s="272">
        <v>306285</v>
      </c>
      <c r="EO6" s="272">
        <v>30146</v>
      </c>
      <c r="EP6" s="455">
        <f t="shared" ref="EP6:EP50" si="12">EQ6-ER6-C6-R6-T6-AB6-AC6-BP6-EN6-EO6</f>
        <v>7134844</v>
      </c>
      <c r="EQ6" s="272">
        <v>36961565</v>
      </c>
      <c r="ER6" s="272">
        <v>-9363162</v>
      </c>
      <c r="ES6" s="272">
        <v>14891926</v>
      </c>
      <c r="ET6" s="272">
        <v>10948743</v>
      </c>
      <c r="EU6" s="272">
        <v>2930395</v>
      </c>
      <c r="EV6" s="272">
        <v>7246140</v>
      </c>
      <c r="EW6" s="455">
        <f t="shared" ref="EW6:EW50" si="13">EX6+FA6+FB6</f>
        <v>2815548</v>
      </c>
      <c r="EX6" s="272">
        <v>2815548</v>
      </c>
      <c r="EY6" s="272">
        <v>166524</v>
      </c>
      <c r="EZ6" s="272">
        <v>2619649</v>
      </c>
      <c r="FA6" s="272">
        <v>0</v>
      </c>
      <c r="FB6" s="272"/>
      <c r="FC6" s="272">
        <v>4330683</v>
      </c>
      <c r="FD6" s="272">
        <v>4945979</v>
      </c>
      <c r="FE6" s="272">
        <v>1152913</v>
      </c>
      <c r="FF6" s="272">
        <v>6255864</v>
      </c>
      <c r="FG6" s="455">
        <f t="shared" ref="FG6:FG50" si="14">FH6-ES6-EU6-EV6-EW6-FC6-FD6-FF6</f>
        <v>1716476</v>
      </c>
      <c r="FH6" s="272">
        <v>45133011</v>
      </c>
      <c r="FI6" s="384">
        <f t="shared" ref="FI6:FI50" si="15">ROUND(EH6/FJ6*100,1)</f>
        <v>0.4</v>
      </c>
      <c r="FJ6" s="272">
        <v>35057612</v>
      </c>
      <c r="FK6" s="272"/>
      <c r="FL6" s="272">
        <v>21397107</v>
      </c>
      <c r="FM6" s="272">
        <v>28114139</v>
      </c>
      <c r="FN6" s="460">
        <v>0.73699999999999999</v>
      </c>
      <c r="FO6" s="388">
        <v>97.5</v>
      </c>
      <c r="FP6" s="388">
        <v>42.7</v>
      </c>
      <c r="FQ6" s="388">
        <v>8.5</v>
      </c>
      <c r="FR6" s="388">
        <v>13.9</v>
      </c>
      <c r="FS6" s="388">
        <v>11.4</v>
      </c>
      <c r="FT6" s="388">
        <v>10.9</v>
      </c>
      <c r="FU6" s="388">
        <v>9.3000000000000007</v>
      </c>
      <c r="FV6" s="388">
        <v>10.1</v>
      </c>
      <c r="FW6" s="272">
        <v>62470823</v>
      </c>
      <c r="FX6" s="384">
        <f t="shared" ref="FX6:FX50" si="16">ROUND(FW6/FJ6*100,1)</f>
        <v>178.2</v>
      </c>
      <c r="FY6" s="272">
        <v>10819962</v>
      </c>
      <c r="FZ6" s="272">
        <v>2059953</v>
      </c>
      <c r="GA6" s="272">
        <v>2406232</v>
      </c>
      <c r="GB6" s="272">
        <v>6353777</v>
      </c>
      <c r="GC6" s="272"/>
      <c r="GD6" s="272">
        <v>25660721</v>
      </c>
      <c r="GE6" s="384">
        <f t="shared" ref="GE6:GE37" si="17">ROUND(GD6/FJ6*100,1)</f>
        <v>73.2</v>
      </c>
      <c r="GF6" s="388">
        <v>97.6</v>
      </c>
      <c r="GG6" s="388">
        <v>23.5</v>
      </c>
      <c r="GH6" s="388">
        <v>93.9</v>
      </c>
      <c r="GI6" s="272">
        <v>1644</v>
      </c>
    </row>
    <row r="7" spans="2:191" x14ac:dyDescent="0.15">
      <c r="B7" s="89" t="s">
        <v>7</v>
      </c>
      <c r="C7" s="272">
        <v>71615802</v>
      </c>
      <c r="D7" s="455">
        <f t="shared" si="0"/>
        <v>30831464</v>
      </c>
      <c r="E7" s="272">
        <v>377101</v>
      </c>
      <c r="F7" s="272">
        <v>30454363</v>
      </c>
      <c r="G7" s="455">
        <f t="shared" si="1"/>
        <v>6000055</v>
      </c>
      <c r="H7" s="272">
        <v>968356</v>
      </c>
      <c r="I7" s="272">
        <v>5031699</v>
      </c>
      <c r="J7" s="272">
        <v>24170029</v>
      </c>
      <c r="K7" s="272">
        <v>11410962</v>
      </c>
      <c r="L7" s="272">
        <v>9344629</v>
      </c>
      <c r="M7" s="272">
        <v>2902171</v>
      </c>
      <c r="N7" s="272">
        <v>3388544</v>
      </c>
      <c r="O7" s="272">
        <v>5697222</v>
      </c>
      <c r="P7" s="272">
        <v>3900198</v>
      </c>
      <c r="Q7" s="272">
        <v>1797024</v>
      </c>
      <c r="R7" s="272">
        <v>4487484</v>
      </c>
      <c r="S7" s="272">
        <v>1767834</v>
      </c>
      <c r="T7" s="455">
        <f t="shared" si="2"/>
        <v>2659564</v>
      </c>
      <c r="U7" s="272">
        <v>1428904</v>
      </c>
      <c r="V7" s="272"/>
      <c r="W7" s="272"/>
      <c r="X7" s="272"/>
      <c r="Y7" s="272">
        <v>0</v>
      </c>
      <c r="Z7" s="272">
        <v>29340</v>
      </c>
      <c r="AA7" s="272">
        <v>1201320</v>
      </c>
      <c r="AB7" s="272"/>
      <c r="AC7" s="272">
        <v>387602</v>
      </c>
      <c r="AD7" s="272">
        <v>0</v>
      </c>
      <c r="AE7" s="272">
        <v>387602</v>
      </c>
      <c r="AF7" s="272">
        <v>81213</v>
      </c>
      <c r="AG7" s="272">
        <v>958721</v>
      </c>
      <c r="AH7" s="455">
        <f t="shared" si="3"/>
        <v>2135296</v>
      </c>
      <c r="AI7" s="272">
        <v>1884138</v>
      </c>
      <c r="AJ7" s="272">
        <v>251158</v>
      </c>
      <c r="AK7" s="272">
        <v>15535683</v>
      </c>
      <c r="AL7" s="455">
        <f t="shared" si="4"/>
        <v>5887367</v>
      </c>
      <c r="AM7" s="272">
        <v>4880267</v>
      </c>
      <c r="AN7" s="272">
        <v>528930</v>
      </c>
      <c r="AO7" s="272">
        <v>0</v>
      </c>
      <c r="AP7" s="272">
        <v>478170</v>
      </c>
      <c r="AQ7" s="272">
        <v>7327123</v>
      </c>
      <c r="AR7" s="272">
        <v>0</v>
      </c>
      <c r="AS7" s="272">
        <v>0</v>
      </c>
      <c r="AT7" s="272">
        <v>5323604</v>
      </c>
      <c r="AU7" s="272">
        <v>1758365</v>
      </c>
      <c r="AV7" s="272">
        <v>264465</v>
      </c>
      <c r="AW7" s="272">
        <v>163612</v>
      </c>
      <c r="AX7" s="272">
        <v>3565239</v>
      </c>
      <c r="AY7" s="272">
        <v>427405</v>
      </c>
      <c r="AZ7" s="272">
        <v>869557</v>
      </c>
      <c r="BA7" s="272">
        <v>92409</v>
      </c>
      <c r="BB7" s="272">
        <v>863230</v>
      </c>
      <c r="BC7" s="272">
        <v>9348487</v>
      </c>
      <c r="BD7" s="272">
        <v>3000000</v>
      </c>
      <c r="BE7" s="272">
        <v>0</v>
      </c>
      <c r="BF7" s="272">
        <v>5955346</v>
      </c>
      <c r="BG7" s="272">
        <v>0</v>
      </c>
      <c r="BH7" s="272">
        <v>2584205</v>
      </c>
      <c r="BI7" s="272">
        <v>488817</v>
      </c>
      <c r="BJ7" s="272">
        <v>5124571</v>
      </c>
      <c r="BK7" s="272">
        <v>3880413</v>
      </c>
      <c r="BL7" s="272">
        <v>0</v>
      </c>
      <c r="BM7" s="272">
        <v>261283</v>
      </c>
      <c r="BN7" s="272">
        <v>17423060</v>
      </c>
      <c r="BO7" s="455">
        <f t="shared" si="5"/>
        <v>12405060</v>
      </c>
      <c r="BP7" s="455">
        <f t="shared" si="6"/>
        <v>5018000</v>
      </c>
      <c r="BQ7" s="272">
        <v>5018000</v>
      </c>
      <c r="BR7" s="272"/>
      <c r="BS7" s="272"/>
      <c r="BT7" s="272">
        <v>0</v>
      </c>
      <c r="BU7" s="272">
        <v>139398079</v>
      </c>
      <c r="BV7" s="272"/>
      <c r="BW7" s="272">
        <v>36711259</v>
      </c>
      <c r="BX7" s="272">
        <v>27492099</v>
      </c>
      <c r="BY7" s="272">
        <v>2485629</v>
      </c>
      <c r="BZ7" s="272">
        <v>1334572</v>
      </c>
      <c r="CA7" s="272">
        <v>12970859</v>
      </c>
      <c r="CB7" s="272">
        <v>1660149</v>
      </c>
      <c r="CC7" s="272">
        <v>3003403</v>
      </c>
      <c r="CD7" s="272">
        <v>1588629</v>
      </c>
      <c r="CE7" s="272">
        <v>6490024</v>
      </c>
      <c r="CF7" s="272">
        <v>0</v>
      </c>
      <c r="CG7" s="272">
        <v>210955</v>
      </c>
      <c r="CH7" s="272">
        <v>9796076</v>
      </c>
      <c r="CI7" s="272">
        <v>5229819</v>
      </c>
      <c r="CJ7" s="455">
        <f t="shared" si="7"/>
        <v>4566257</v>
      </c>
      <c r="CK7" s="272">
        <v>12834020</v>
      </c>
      <c r="CL7" s="272">
        <v>6165550</v>
      </c>
      <c r="CM7" s="272">
        <v>454412</v>
      </c>
      <c r="CN7" s="272">
        <v>3594037</v>
      </c>
      <c r="CO7" s="272">
        <v>1628464</v>
      </c>
      <c r="CP7" s="272">
        <v>13531887</v>
      </c>
      <c r="CQ7" s="272">
        <v>2441500</v>
      </c>
      <c r="CR7" s="272">
        <v>4244775</v>
      </c>
      <c r="CS7" s="272">
        <v>4076419</v>
      </c>
      <c r="CT7" s="455">
        <f t="shared" si="8"/>
        <v>2860312</v>
      </c>
      <c r="CU7" s="272">
        <v>1794824</v>
      </c>
      <c r="CV7" s="272">
        <v>1065488</v>
      </c>
      <c r="CW7" s="455">
        <f t="shared" si="9"/>
        <v>1992980</v>
      </c>
      <c r="CX7" s="272">
        <v>1762057</v>
      </c>
      <c r="CY7" s="272">
        <v>230923</v>
      </c>
      <c r="CZ7" s="455">
        <f t="shared" si="10"/>
        <v>0</v>
      </c>
      <c r="DA7" s="272">
        <v>0</v>
      </c>
      <c r="DB7" s="272">
        <v>0</v>
      </c>
      <c r="DC7" s="272">
        <v>30186534</v>
      </c>
      <c r="DD7" s="272">
        <v>11020623</v>
      </c>
      <c r="DE7" s="272">
        <v>17821758</v>
      </c>
      <c r="DF7" s="272">
        <v>1334453</v>
      </c>
      <c r="DG7" s="272">
        <v>9700</v>
      </c>
      <c r="DH7" s="272">
        <v>469770</v>
      </c>
      <c r="DI7" s="272">
        <v>1057780</v>
      </c>
      <c r="DJ7" s="272">
        <v>344279</v>
      </c>
      <c r="DK7" s="272">
        <v>0</v>
      </c>
      <c r="DL7" s="272">
        <v>713501</v>
      </c>
      <c r="DM7" s="272">
        <v>4856824</v>
      </c>
      <c r="DN7" s="272">
        <v>4656824</v>
      </c>
      <c r="DO7" s="272">
        <v>31000</v>
      </c>
      <c r="DP7" s="272">
        <v>4625824</v>
      </c>
      <c r="DQ7" s="272">
        <v>3871899</v>
      </c>
      <c r="DR7" s="272">
        <v>0</v>
      </c>
      <c r="DS7" s="272">
        <v>0</v>
      </c>
      <c r="DT7" s="272">
        <v>9766363</v>
      </c>
      <c r="DU7" s="272">
        <v>5331353</v>
      </c>
      <c r="DV7" s="455">
        <f t="shared" si="11"/>
        <v>0</v>
      </c>
      <c r="DW7" s="272">
        <v>0</v>
      </c>
      <c r="DX7" s="272">
        <v>0</v>
      </c>
      <c r="DY7" s="272">
        <v>0</v>
      </c>
      <c r="DZ7" s="272">
        <v>3201543</v>
      </c>
      <c r="EA7" s="272">
        <v>1201926</v>
      </c>
      <c r="EB7" s="272"/>
      <c r="EC7" s="272">
        <v>0</v>
      </c>
      <c r="ED7" s="272">
        <v>137681735</v>
      </c>
      <c r="EF7" s="272">
        <v>1716344</v>
      </c>
      <c r="EG7" s="272">
        <v>1357477</v>
      </c>
      <c r="EH7" s="272">
        <v>358867</v>
      </c>
      <c r="EI7" s="272">
        <v>-129950</v>
      </c>
      <c r="EJ7" s="272">
        <v>-2785671</v>
      </c>
      <c r="EL7" s="272"/>
      <c r="EM7" s="272">
        <v>390220</v>
      </c>
      <c r="EN7" s="272">
        <v>3029030</v>
      </c>
      <c r="EO7" s="272">
        <v>19131</v>
      </c>
      <c r="EP7" s="455">
        <f t="shared" si="12"/>
        <v>3427872</v>
      </c>
      <c r="EQ7" s="272">
        <v>79231665</v>
      </c>
      <c r="ER7" s="272">
        <v>-11412820</v>
      </c>
      <c r="ES7" s="272">
        <v>33940254</v>
      </c>
      <c r="ET7" s="272">
        <v>24876908</v>
      </c>
      <c r="EU7" s="272">
        <v>4294525</v>
      </c>
      <c r="EV7" s="272">
        <v>9386514</v>
      </c>
      <c r="EW7" s="455">
        <f t="shared" si="13"/>
        <v>7399105</v>
      </c>
      <c r="EX7" s="272">
        <v>7399105</v>
      </c>
      <c r="EY7" s="272">
        <v>531391</v>
      </c>
      <c r="EZ7" s="272">
        <v>6256261</v>
      </c>
      <c r="FA7" s="272">
        <v>0</v>
      </c>
      <c r="FB7" s="272"/>
      <c r="FC7" s="272">
        <v>10711251</v>
      </c>
      <c r="FD7" s="272">
        <v>12039880</v>
      </c>
      <c r="FE7" s="272">
        <v>2441500</v>
      </c>
      <c r="FF7" s="272">
        <v>9546012</v>
      </c>
      <c r="FG7" s="455">
        <f t="shared" si="14"/>
        <v>1716830</v>
      </c>
      <c r="FH7" s="272">
        <v>89034371</v>
      </c>
      <c r="FI7" s="384">
        <f t="shared" si="15"/>
        <v>0.5</v>
      </c>
      <c r="FJ7" s="272">
        <v>75953570</v>
      </c>
      <c r="FK7" s="272"/>
      <c r="FL7" s="272">
        <v>57665973</v>
      </c>
      <c r="FM7" s="272">
        <v>54048676</v>
      </c>
      <c r="FN7" s="460">
        <v>1.1100000000000001</v>
      </c>
      <c r="FO7" s="388">
        <v>97.6</v>
      </c>
      <c r="FP7" s="388">
        <v>44.5</v>
      </c>
      <c r="FQ7" s="388">
        <v>5.8</v>
      </c>
      <c r="FR7" s="388">
        <v>12.8</v>
      </c>
      <c r="FS7" s="388">
        <v>14.2</v>
      </c>
      <c r="FT7" s="388">
        <v>11.5</v>
      </c>
      <c r="FU7" s="388">
        <v>7.2</v>
      </c>
      <c r="FV7" s="388">
        <v>9.3000000000000007</v>
      </c>
      <c r="FW7" s="272">
        <v>106952408</v>
      </c>
      <c r="FX7" s="384">
        <f t="shared" si="16"/>
        <v>140.80000000000001</v>
      </c>
      <c r="FY7" s="272">
        <v>42385986</v>
      </c>
      <c r="FZ7" s="272">
        <v>5123319</v>
      </c>
      <c r="GA7" s="272"/>
      <c r="GB7" s="272">
        <v>37262667</v>
      </c>
      <c r="GC7" s="272"/>
      <c r="GD7" s="272">
        <v>49723500</v>
      </c>
      <c r="GE7" s="384">
        <f t="shared" si="17"/>
        <v>65.5</v>
      </c>
      <c r="GF7" s="388">
        <v>97.7</v>
      </c>
      <c r="GG7" s="388">
        <v>23.2</v>
      </c>
      <c r="GH7" s="388">
        <v>91.5</v>
      </c>
      <c r="GI7" s="272">
        <v>3597</v>
      </c>
    </row>
    <row r="8" spans="2:191" x14ac:dyDescent="0.15">
      <c r="B8" s="89" t="s">
        <v>9</v>
      </c>
      <c r="C8" s="272">
        <v>18208193</v>
      </c>
      <c r="D8" s="455">
        <f t="shared" si="0"/>
        <v>7433847</v>
      </c>
      <c r="E8" s="272">
        <v>98545</v>
      </c>
      <c r="F8" s="272">
        <v>7335302</v>
      </c>
      <c r="G8" s="455">
        <f t="shared" si="1"/>
        <v>1738412</v>
      </c>
      <c r="H8" s="272">
        <v>252675</v>
      </c>
      <c r="I8" s="272">
        <v>1485737</v>
      </c>
      <c r="J8" s="272">
        <v>6650700</v>
      </c>
      <c r="K8" s="272">
        <v>3473806</v>
      </c>
      <c r="L8" s="272">
        <v>2267069</v>
      </c>
      <c r="M8" s="272">
        <v>809038</v>
      </c>
      <c r="N8" s="272">
        <v>479243</v>
      </c>
      <c r="O8" s="272">
        <v>1843115</v>
      </c>
      <c r="P8" s="272">
        <v>1347947</v>
      </c>
      <c r="Q8" s="272">
        <v>495168</v>
      </c>
      <c r="R8" s="272">
        <v>796478</v>
      </c>
      <c r="S8" s="272">
        <v>524821</v>
      </c>
      <c r="T8" s="455">
        <f t="shared" si="2"/>
        <v>822066</v>
      </c>
      <c r="U8" s="272">
        <v>351453</v>
      </c>
      <c r="V8" s="272"/>
      <c r="W8" s="272"/>
      <c r="X8" s="272"/>
      <c r="Y8" s="272">
        <v>124747</v>
      </c>
      <c r="Z8" s="272">
        <v>9775</v>
      </c>
      <c r="AA8" s="272">
        <v>336091</v>
      </c>
      <c r="AB8" s="272"/>
      <c r="AC8" s="272">
        <v>1022175</v>
      </c>
      <c r="AD8" s="272">
        <v>655861</v>
      </c>
      <c r="AE8" s="272">
        <v>366314</v>
      </c>
      <c r="AF8" s="272">
        <v>24561</v>
      </c>
      <c r="AG8" s="272">
        <v>194283</v>
      </c>
      <c r="AH8" s="455">
        <f t="shared" si="3"/>
        <v>671004</v>
      </c>
      <c r="AI8" s="272">
        <v>552343</v>
      </c>
      <c r="AJ8" s="272">
        <v>118661</v>
      </c>
      <c r="AK8" s="272">
        <v>2322217</v>
      </c>
      <c r="AL8" s="455">
        <f t="shared" si="4"/>
        <v>985384</v>
      </c>
      <c r="AM8" s="272">
        <v>642389</v>
      </c>
      <c r="AN8" s="272">
        <v>152516</v>
      </c>
      <c r="AO8" s="272">
        <v>0</v>
      </c>
      <c r="AP8" s="272">
        <v>190479</v>
      </c>
      <c r="AQ8" s="272">
        <v>794796</v>
      </c>
      <c r="AR8" s="272">
        <v>882</v>
      </c>
      <c r="AS8" s="272">
        <v>0</v>
      </c>
      <c r="AT8" s="272">
        <v>1705425</v>
      </c>
      <c r="AU8" s="272">
        <v>509029</v>
      </c>
      <c r="AV8" s="272">
        <v>82689</v>
      </c>
      <c r="AW8" s="272">
        <v>77655</v>
      </c>
      <c r="AX8" s="272">
        <v>1196396</v>
      </c>
      <c r="AY8" s="272">
        <v>268412</v>
      </c>
      <c r="AZ8" s="272">
        <v>3052328</v>
      </c>
      <c r="BA8" s="272">
        <v>2966543</v>
      </c>
      <c r="BB8" s="272">
        <v>990062</v>
      </c>
      <c r="BC8" s="272">
        <v>2759338</v>
      </c>
      <c r="BD8" s="272">
        <v>0</v>
      </c>
      <c r="BE8" s="272">
        <v>0</v>
      </c>
      <c r="BF8" s="272">
        <v>2668788</v>
      </c>
      <c r="BG8" s="272">
        <v>0</v>
      </c>
      <c r="BH8" s="272">
        <v>468321</v>
      </c>
      <c r="BI8" s="272">
        <v>0</v>
      </c>
      <c r="BJ8" s="272">
        <v>1871361</v>
      </c>
      <c r="BK8" s="272">
        <v>873305</v>
      </c>
      <c r="BL8" s="272">
        <v>46709</v>
      </c>
      <c r="BM8" s="272">
        <v>180176</v>
      </c>
      <c r="BN8" s="272">
        <v>5181200</v>
      </c>
      <c r="BO8" s="455">
        <f t="shared" si="5"/>
        <v>3838000</v>
      </c>
      <c r="BP8" s="455">
        <f t="shared" si="6"/>
        <v>1343200</v>
      </c>
      <c r="BQ8" s="272">
        <v>1343200</v>
      </c>
      <c r="BR8" s="272"/>
      <c r="BS8" s="272"/>
      <c r="BT8" s="272">
        <v>0</v>
      </c>
      <c r="BU8" s="272">
        <v>40089012</v>
      </c>
      <c r="BV8" s="272"/>
      <c r="BW8" s="272">
        <v>10344361</v>
      </c>
      <c r="BX8" s="272">
        <v>7749257</v>
      </c>
      <c r="BY8" s="272">
        <v>586715</v>
      </c>
      <c r="BZ8" s="272">
        <v>238200</v>
      </c>
      <c r="CA8" s="272">
        <v>2765398</v>
      </c>
      <c r="CB8" s="272">
        <v>446778</v>
      </c>
      <c r="CC8" s="272">
        <v>910657</v>
      </c>
      <c r="CD8" s="272">
        <v>539031</v>
      </c>
      <c r="CE8" s="272">
        <v>846040</v>
      </c>
      <c r="CF8" s="272">
        <v>0</v>
      </c>
      <c r="CG8" s="272">
        <v>21204</v>
      </c>
      <c r="CH8" s="272">
        <v>2997521</v>
      </c>
      <c r="CI8" s="272">
        <v>1692190</v>
      </c>
      <c r="CJ8" s="455">
        <f t="shared" si="7"/>
        <v>1305331</v>
      </c>
      <c r="CK8" s="272">
        <v>4185922</v>
      </c>
      <c r="CL8" s="272">
        <v>2446022</v>
      </c>
      <c r="CM8" s="272">
        <v>230685</v>
      </c>
      <c r="CN8" s="272">
        <v>857609</v>
      </c>
      <c r="CO8" s="272">
        <v>591389</v>
      </c>
      <c r="CP8" s="272">
        <v>1984470</v>
      </c>
      <c r="CQ8" s="272">
        <v>0</v>
      </c>
      <c r="CR8" s="272">
        <v>693707</v>
      </c>
      <c r="CS8" s="272">
        <v>610069</v>
      </c>
      <c r="CT8" s="455">
        <f t="shared" si="8"/>
        <v>797806</v>
      </c>
      <c r="CU8" s="272">
        <v>439358</v>
      </c>
      <c r="CV8" s="272">
        <v>358448</v>
      </c>
      <c r="CW8" s="455">
        <f t="shared" si="9"/>
        <v>542018</v>
      </c>
      <c r="CX8" s="272">
        <v>432701</v>
      </c>
      <c r="CY8" s="272">
        <v>109317</v>
      </c>
      <c r="CZ8" s="455">
        <f t="shared" si="10"/>
        <v>0</v>
      </c>
      <c r="DA8" s="272">
        <v>0</v>
      </c>
      <c r="DB8" s="272">
        <v>0</v>
      </c>
      <c r="DC8" s="272">
        <v>7205480</v>
      </c>
      <c r="DD8" s="272">
        <v>1848065</v>
      </c>
      <c r="DE8" s="272">
        <v>5276770</v>
      </c>
      <c r="DF8" s="272">
        <v>33936</v>
      </c>
      <c r="DG8" s="272">
        <v>46709</v>
      </c>
      <c r="DH8" s="272">
        <v>0</v>
      </c>
      <c r="DI8" s="272">
        <v>2983158</v>
      </c>
      <c r="DJ8" s="272">
        <v>9267</v>
      </c>
      <c r="DK8" s="272">
        <v>0</v>
      </c>
      <c r="DL8" s="272">
        <v>2973891</v>
      </c>
      <c r="DM8" s="272">
        <v>3933027</v>
      </c>
      <c r="DN8" s="272">
        <v>3453027</v>
      </c>
      <c r="DO8" s="272">
        <v>42712</v>
      </c>
      <c r="DP8" s="272">
        <v>3410315</v>
      </c>
      <c r="DQ8" s="272">
        <v>701582</v>
      </c>
      <c r="DR8" s="272">
        <v>0</v>
      </c>
      <c r="DS8" s="272">
        <v>0</v>
      </c>
      <c r="DT8" s="272">
        <v>2325784</v>
      </c>
      <c r="DU8" s="272">
        <v>1330957</v>
      </c>
      <c r="DV8" s="455">
        <f t="shared" si="11"/>
        <v>0</v>
      </c>
      <c r="DW8" s="272">
        <v>0</v>
      </c>
      <c r="DX8" s="272">
        <v>0</v>
      </c>
      <c r="DY8" s="272">
        <v>7327</v>
      </c>
      <c r="DZ8" s="272">
        <v>604089</v>
      </c>
      <c r="EA8" s="272">
        <v>374114</v>
      </c>
      <c r="EB8" s="272"/>
      <c r="EC8" s="272">
        <v>0</v>
      </c>
      <c r="ED8" s="272">
        <v>40018092</v>
      </c>
      <c r="EF8" s="272">
        <v>70920</v>
      </c>
      <c r="EG8" s="272">
        <v>110</v>
      </c>
      <c r="EH8" s="272">
        <v>70810</v>
      </c>
      <c r="EI8" s="272">
        <v>218100</v>
      </c>
      <c r="EJ8" s="272">
        <v>227367</v>
      </c>
      <c r="EL8" s="272"/>
      <c r="EM8" s="272">
        <v>100561</v>
      </c>
      <c r="EN8" s="272">
        <v>25470</v>
      </c>
      <c r="EO8" s="272">
        <v>2981827</v>
      </c>
      <c r="EP8" s="455">
        <f t="shared" si="12"/>
        <v>1828313</v>
      </c>
      <c r="EQ8" s="272">
        <v>20873473</v>
      </c>
      <c r="ER8" s="272">
        <v>-6154249</v>
      </c>
      <c r="ES8" s="272">
        <v>9649419</v>
      </c>
      <c r="ET8" s="272">
        <v>7072130</v>
      </c>
      <c r="EU8" s="272">
        <v>1032222</v>
      </c>
      <c r="EV8" s="272">
        <v>2952469</v>
      </c>
      <c r="EW8" s="455">
        <f t="shared" si="13"/>
        <v>1953104</v>
      </c>
      <c r="EX8" s="272">
        <v>1953104</v>
      </c>
      <c r="EY8" s="272">
        <v>231682</v>
      </c>
      <c r="EZ8" s="272">
        <v>1695459</v>
      </c>
      <c r="FA8" s="272">
        <v>0</v>
      </c>
      <c r="FB8" s="272"/>
      <c r="FC8" s="272">
        <v>3350721</v>
      </c>
      <c r="FD8" s="272">
        <v>1752197</v>
      </c>
      <c r="FE8" s="272"/>
      <c r="FF8" s="272">
        <v>2264917</v>
      </c>
      <c r="FG8" s="455">
        <f t="shared" si="14"/>
        <v>4001753</v>
      </c>
      <c r="FH8" s="272">
        <v>26956802</v>
      </c>
      <c r="FI8" s="384">
        <f t="shared" si="15"/>
        <v>0.4</v>
      </c>
      <c r="FJ8" s="272">
        <v>19358825</v>
      </c>
      <c r="FK8" s="272"/>
      <c r="FL8" s="272">
        <v>14114644</v>
      </c>
      <c r="FM8" s="272">
        <v>14775626</v>
      </c>
      <c r="FN8" s="460">
        <v>0.97499999999999998</v>
      </c>
      <c r="FO8" s="388">
        <v>107.1</v>
      </c>
      <c r="FP8" s="388">
        <v>50.9</v>
      </c>
      <c r="FQ8" s="388">
        <v>5.5</v>
      </c>
      <c r="FR8" s="388">
        <v>15.7</v>
      </c>
      <c r="FS8" s="388">
        <v>16.7</v>
      </c>
      <c r="FT8" s="388">
        <v>7.3</v>
      </c>
      <c r="FU8" s="388">
        <v>9</v>
      </c>
      <c r="FV8" s="388">
        <v>12.7</v>
      </c>
      <c r="FW8" s="272">
        <v>28790824</v>
      </c>
      <c r="FX8" s="384">
        <f t="shared" si="16"/>
        <v>148.69999999999999</v>
      </c>
      <c r="FY8" s="272">
        <v>11108830</v>
      </c>
      <c r="FZ8" s="272">
        <v>1491157</v>
      </c>
      <c r="GA8" s="272"/>
      <c r="GB8" s="272">
        <v>9617673</v>
      </c>
      <c r="GC8" s="272"/>
      <c r="GD8" s="272">
        <v>13855455</v>
      </c>
      <c r="GE8" s="384">
        <f t="shared" si="17"/>
        <v>71.599999999999994</v>
      </c>
      <c r="GF8" s="388">
        <v>98.1</v>
      </c>
      <c r="GG8" s="388">
        <v>17.100000000000001</v>
      </c>
      <c r="GH8" s="388">
        <v>92.5</v>
      </c>
      <c r="GI8" s="272">
        <v>1050</v>
      </c>
    </row>
    <row r="9" spans="2:191" x14ac:dyDescent="0.15">
      <c r="B9" s="89" t="s">
        <v>11</v>
      </c>
      <c r="C9" s="272">
        <v>67405348</v>
      </c>
      <c r="D9" s="455">
        <f t="shared" si="0"/>
        <v>25916537</v>
      </c>
      <c r="E9" s="272">
        <v>323648</v>
      </c>
      <c r="F9" s="272">
        <v>25592889</v>
      </c>
      <c r="G9" s="455">
        <f t="shared" si="1"/>
        <v>6944859</v>
      </c>
      <c r="H9" s="272">
        <v>991702</v>
      </c>
      <c r="I9" s="272">
        <v>5953157</v>
      </c>
      <c r="J9" s="272">
        <v>25186095</v>
      </c>
      <c r="K9" s="272">
        <v>12294670</v>
      </c>
      <c r="L9" s="272">
        <v>9295448</v>
      </c>
      <c r="M9" s="272">
        <v>3108030</v>
      </c>
      <c r="N9" s="272">
        <v>1503967</v>
      </c>
      <c r="O9" s="272">
        <v>6426986</v>
      </c>
      <c r="P9" s="272">
        <v>4319860</v>
      </c>
      <c r="Q9" s="272">
        <v>2107126</v>
      </c>
      <c r="R9" s="272">
        <v>2214355</v>
      </c>
      <c r="S9" s="272">
        <v>1591399</v>
      </c>
      <c r="T9" s="455">
        <f t="shared" si="2"/>
        <v>2242587</v>
      </c>
      <c r="U9" s="272">
        <v>1170834</v>
      </c>
      <c r="V9" s="272"/>
      <c r="W9" s="272"/>
      <c r="X9" s="272"/>
      <c r="Y9" s="272">
        <v>0</v>
      </c>
      <c r="Z9" s="272">
        <v>30390</v>
      </c>
      <c r="AA9" s="272">
        <v>1041363</v>
      </c>
      <c r="AB9" s="272"/>
      <c r="AC9" s="272">
        <v>236200</v>
      </c>
      <c r="AD9" s="272">
        <v>0</v>
      </c>
      <c r="AE9" s="272">
        <v>236200</v>
      </c>
      <c r="AF9" s="272">
        <v>66726</v>
      </c>
      <c r="AG9" s="272">
        <v>1338619</v>
      </c>
      <c r="AH9" s="455">
        <f t="shared" si="3"/>
        <v>2576354</v>
      </c>
      <c r="AI9" s="272">
        <v>2162354</v>
      </c>
      <c r="AJ9" s="272">
        <v>414000</v>
      </c>
      <c r="AK9" s="272">
        <v>7460405</v>
      </c>
      <c r="AL9" s="455">
        <f t="shared" si="4"/>
        <v>4729766</v>
      </c>
      <c r="AM9" s="272">
        <v>3335208</v>
      </c>
      <c r="AN9" s="272">
        <v>858386</v>
      </c>
      <c r="AO9" s="272">
        <v>0</v>
      </c>
      <c r="AP9" s="272">
        <v>536172</v>
      </c>
      <c r="AQ9" s="272">
        <v>1061237</v>
      </c>
      <c r="AR9" s="272">
        <v>0</v>
      </c>
      <c r="AS9" s="272">
        <v>0</v>
      </c>
      <c r="AT9" s="272">
        <v>4860296</v>
      </c>
      <c r="AU9" s="272">
        <v>1744093</v>
      </c>
      <c r="AV9" s="272">
        <v>304687</v>
      </c>
      <c r="AW9" s="272">
        <v>312747</v>
      </c>
      <c r="AX9" s="272">
        <v>3116203</v>
      </c>
      <c r="AY9" s="272">
        <v>492185</v>
      </c>
      <c r="AZ9" s="272">
        <v>687252</v>
      </c>
      <c r="BA9" s="272">
        <v>380363</v>
      </c>
      <c r="BB9" s="272">
        <v>471402</v>
      </c>
      <c r="BC9" s="272">
        <v>9361482</v>
      </c>
      <c r="BD9" s="272">
        <v>1000000</v>
      </c>
      <c r="BE9" s="272">
        <v>0</v>
      </c>
      <c r="BF9" s="272">
        <v>8345567</v>
      </c>
      <c r="BG9" s="272">
        <v>0</v>
      </c>
      <c r="BH9" s="272">
        <v>907394</v>
      </c>
      <c r="BI9" s="272">
        <v>551556</v>
      </c>
      <c r="BJ9" s="272">
        <v>3817809</v>
      </c>
      <c r="BK9" s="272">
        <v>1178426</v>
      </c>
      <c r="BL9" s="272">
        <v>907414</v>
      </c>
      <c r="BM9" s="272">
        <v>300212</v>
      </c>
      <c r="BN9" s="272">
        <v>8487700</v>
      </c>
      <c r="BO9" s="455">
        <f t="shared" si="5"/>
        <v>4395700</v>
      </c>
      <c r="BP9" s="455">
        <f t="shared" si="6"/>
        <v>4092000</v>
      </c>
      <c r="BQ9" s="272">
        <v>4092000</v>
      </c>
      <c r="BR9" s="272"/>
      <c r="BS9" s="272"/>
      <c r="BT9" s="272">
        <v>0</v>
      </c>
      <c r="BU9" s="272">
        <v>112133929</v>
      </c>
      <c r="BV9" s="272"/>
      <c r="BW9" s="272">
        <v>30428350</v>
      </c>
      <c r="BX9" s="272">
        <v>23024496</v>
      </c>
      <c r="BY9" s="272">
        <v>1336023</v>
      </c>
      <c r="BZ9" s="272">
        <v>1437093</v>
      </c>
      <c r="CA9" s="272">
        <v>12805292</v>
      </c>
      <c r="CB9" s="272">
        <v>1693776</v>
      </c>
      <c r="CC9" s="272">
        <v>3054475</v>
      </c>
      <c r="CD9" s="272">
        <v>2712754</v>
      </c>
      <c r="CE9" s="272">
        <v>4444890</v>
      </c>
      <c r="CF9" s="272">
        <v>516720</v>
      </c>
      <c r="CG9" s="272">
        <v>307627</v>
      </c>
      <c r="CH9" s="272">
        <v>6999983</v>
      </c>
      <c r="CI9" s="272">
        <v>3522592</v>
      </c>
      <c r="CJ9" s="455">
        <f t="shared" si="7"/>
        <v>3477391</v>
      </c>
      <c r="CK9" s="272">
        <v>13365022</v>
      </c>
      <c r="CL9" s="272">
        <v>8184638</v>
      </c>
      <c r="CM9" s="272">
        <v>305996</v>
      </c>
      <c r="CN9" s="272">
        <v>2751327</v>
      </c>
      <c r="CO9" s="272">
        <v>3270138</v>
      </c>
      <c r="CP9" s="272">
        <v>4477294</v>
      </c>
      <c r="CQ9" s="272">
        <v>1205</v>
      </c>
      <c r="CR9" s="272">
        <v>1879735</v>
      </c>
      <c r="CS9" s="272">
        <v>1816116</v>
      </c>
      <c r="CT9" s="455">
        <f t="shared" si="8"/>
        <v>1205215</v>
      </c>
      <c r="CU9" s="272">
        <v>853857</v>
      </c>
      <c r="CV9" s="272">
        <v>351358</v>
      </c>
      <c r="CW9" s="455">
        <f t="shared" si="9"/>
        <v>1170455</v>
      </c>
      <c r="CX9" s="272">
        <v>819097</v>
      </c>
      <c r="CY9" s="272">
        <v>351358</v>
      </c>
      <c r="CZ9" s="455">
        <f t="shared" si="10"/>
        <v>0</v>
      </c>
      <c r="DA9" s="272">
        <v>0</v>
      </c>
      <c r="DB9" s="272">
        <v>0</v>
      </c>
      <c r="DC9" s="272">
        <v>16995409</v>
      </c>
      <c r="DD9" s="272">
        <v>2604201</v>
      </c>
      <c r="DE9" s="272">
        <v>13123592</v>
      </c>
      <c r="DF9" s="272">
        <v>0</v>
      </c>
      <c r="DG9" s="272">
        <v>1267616</v>
      </c>
      <c r="DH9" s="272">
        <v>47751</v>
      </c>
      <c r="DI9" s="272">
        <v>10754740</v>
      </c>
      <c r="DJ9" s="272">
        <v>698212</v>
      </c>
      <c r="DK9" s="272">
        <v>0</v>
      </c>
      <c r="DL9" s="272">
        <v>10056528</v>
      </c>
      <c r="DM9" s="272">
        <v>872345</v>
      </c>
      <c r="DN9" s="272">
        <v>871845</v>
      </c>
      <c r="DO9" s="272">
        <v>588300</v>
      </c>
      <c r="DP9" s="272">
        <v>283545</v>
      </c>
      <c r="DQ9" s="272">
        <v>1182200</v>
      </c>
      <c r="DR9" s="272">
        <v>0</v>
      </c>
      <c r="DS9" s="272">
        <v>0</v>
      </c>
      <c r="DT9" s="272">
        <v>10350821</v>
      </c>
      <c r="DU9" s="272">
        <v>5313929</v>
      </c>
      <c r="DV9" s="455">
        <f t="shared" si="11"/>
        <v>527330</v>
      </c>
      <c r="DW9" s="272">
        <v>527330</v>
      </c>
      <c r="DX9" s="272">
        <v>0</v>
      </c>
      <c r="DY9" s="272">
        <v>104408</v>
      </c>
      <c r="DZ9" s="272">
        <v>3221002</v>
      </c>
      <c r="EA9" s="272">
        <v>1089773</v>
      </c>
      <c r="EB9" s="272"/>
      <c r="EC9" s="272">
        <v>0</v>
      </c>
      <c r="ED9" s="272">
        <v>111549345</v>
      </c>
      <c r="EF9" s="272">
        <v>584584</v>
      </c>
      <c r="EG9" s="272">
        <v>104402</v>
      </c>
      <c r="EH9" s="272">
        <v>480182</v>
      </c>
      <c r="EI9" s="272">
        <v>-71374</v>
      </c>
      <c r="EJ9" s="272">
        <v>-373162</v>
      </c>
      <c r="EL9" s="272"/>
      <c r="EM9" s="272">
        <v>333975</v>
      </c>
      <c r="EN9" s="272">
        <v>6487028</v>
      </c>
      <c r="EO9" s="272">
        <v>426356</v>
      </c>
      <c r="EP9" s="455">
        <f t="shared" si="12"/>
        <v>2167944</v>
      </c>
      <c r="EQ9" s="272">
        <v>72165216</v>
      </c>
      <c r="ER9" s="272">
        <v>-13106602</v>
      </c>
      <c r="ES9" s="272">
        <v>28097287</v>
      </c>
      <c r="ET9" s="272">
        <v>20790348</v>
      </c>
      <c r="EU9" s="272">
        <v>4766195</v>
      </c>
      <c r="EV9" s="272">
        <v>6954639</v>
      </c>
      <c r="EW9" s="455">
        <f t="shared" si="13"/>
        <v>7151593</v>
      </c>
      <c r="EX9" s="272">
        <v>7151593</v>
      </c>
      <c r="EY9" s="272">
        <v>255790</v>
      </c>
      <c r="EZ9" s="272">
        <v>6895803</v>
      </c>
      <c r="FA9" s="272">
        <v>0</v>
      </c>
      <c r="FB9" s="272"/>
      <c r="FC9" s="272">
        <v>10891004</v>
      </c>
      <c r="FD9" s="272">
        <v>3579664</v>
      </c>
      <c r="FE9" s="272">
        <v>1205</v>
      </c>
      <c r="FF9" s="272">
        <v>10057779</v>
      </c>
      <c r="FG9" s="455">
        <f t="shared" si="14"/>
        <v>13189073</v>
      </c>
      <c r="FH9" s="272">
        <v>84687234</v>
      </c>
      <c r="FI9" s="384">
        <f t="shared" si="15"/>
        <v>0.7</v>
      </c>
      <c r="FJ9" s="272">
        <v>68166820</v>
      </c>
      <c r="FK9" s="272"/>
      <c r="FL9" s="272">
        <v>51295968</v>
      </c>
      <c r="FM9" s="272">
        <v>44550921</v>
      </c>
      <c r="FN9" s="460">
        <v>1.169</v>
      </c>
      <c r="FO9" s="388">
        <v>92.6</v>
      </c>
      <c r="FP9" s="388">
        <v>42</v>
      </c>
      <c r="FQ9" s="388">
        <v>7.2</v>
      </c>
      <c r="FR9" s="388">
        <v>10.5</v>
      </c>
      <c r="FS9" s="388">
        <v>15.9</v>
      </c>
      <c r="FT9" s="388">
        <v>4</v>
      </c>
      <c r="FU9" s="388">
        <v>8.4</v>
      </c>
      <c r="FV9" s="388">
        <v>7.2</v>
      </c>
      <c r="FW9" s="272">
        <v>78294662</v>
      </c>
      <c r="FX9" s="384">
        <f t="shared" si="16"/>
        <v>114.9</v>
      </c>
      <c r="FY9" s="272">
        <v>35906704</v>
      </c>
      <c r="FZ9" s="272">
        <v>8163387</v>
      </c>
      <c r="GA9" s="272"/>
      <c r="GB9" s="272">
        <v>27743317</v>
      </c>
      <c r="GC9" s="272"/>
      <c r="GD9" s="272">
        <v>16931783</v>
      </c>
      <c r="GE9" s="384">
        <f t="shared" si="17"/>
        <v>24.8</v>
      </c>
      <c r="GF9" s="388">
        <v>98.3</v>
      </c>
      <c r="GG9" s="388">
        <v>19.2</v>
      </c>
      <c r="GH9" s="388">
        <v>93.5</v>
      </c>
      <c r="GI9" s="272">
        <v>2901</v>
      </c>
    </row>
    <row r="10" spans="2:191" x14ac:dyDescent="0.15">
      <c r="B10" s="89" t="s">
        <v>13</v>
      </c>
      <c r="C10" s="272">
        <v>11576667</v>
      </c>
      <c r="D10" s="455">
        <f t="shared" si="0"/>
        <v>3314257</v>
      </c>
      <c r="E10" s="272">
        <v>62688</v>
      </c>
      <c r="F10" s="272">
        <v>3251569</v>
      </c>
      <c r="G10" s="455">
        <f t="shared" si="1"/>
        <v>893427</v>
      </c>
      <c r="H10" s="272">
        <v>192019</v>
      </c>
      <c r="I10" s="272">
        <v>701408</v>
      </c>
      <c r="J10" s="272">
        <v>5615236</v>
      </c>
      <c r="K10" s="272">
        <v>2859439</v>
      </c>
      <c r="L10" s="272">
        <v>1680815</v>
      </c>
      <c r="M10" s="272">
        <v>699176</v>
      </c>
      <c r="N10" s="272">
        <v>392798</v>
      </c>
      <c r="O10" s="272">
        <v>1299028</v>
      </c>
      <c r="P10" s="272">
        <v>896925</v>
      </c>
      <c r="Q10" s="272">
        <v>402103</v>
      </c>
      <c r="R10" s="272">
        <v>565701</v>
      </c>
      <c r="S10" s="272">
        <v>361725</v>
      </c>
      <c r="T10" s="455">
        <f t="shared" si="2"/>
        <v>387328</v>
      </c>
      <c r="U10" s="272">
        <v>155311</v>
      </c>
      <c r="V10" s="272"/>
      <c r="W10" s="272"/>
      <c r="X10" s="272"/>
      <c r="Y10" s="272">
        <v>0</v>
      </c>
      <c r="Z10" s="272">
        <v>3795</v>
      </c>
      <c r="AA10" s="272">
        <v>228222</v>
      </c>
      <c r="AB10" s="272"/>
      <c r="AC10" s="272">
        <v>1880232</v>
      </c>
      <c r="AD10" s="272">
        <v>1553136</v>
      </c>
      <c r="AE10" s="272">
        <v>327096</v>
      </c>
      <c r="AF10" s="272">
        <v>17933</v>
      </c>
      <c r="AG10" s="272">
        <v>136966</v>
      </c>
      <c r="AH10" s="455">
        <f t="shared" si="3"/>
        <v>350162</v>
      </c>
      <c r="AI10" s="272">
        <v>314606</v>
      </c>
      <c r="AJ10" s="272">
        <v>35556</v>
      </c>
      <c r="AK10" s="272">
        <v>2270683</v>
      </c>
      <c r="AL10" s="455">
        <f t="shared" si="4"/>
        <v>1091083</v>
      </c>
      <c r="AM10" s="272">
        <v>763399</v>
      </c>
      <c r="AN10" s="272">
        <v>172030</v>
      </c>
      <c r="AO10" s="272">
        <v>0</v>
      </c>
      <c r="AP10" s="272">
        <v>155654</v>
      </c>
      <c r="AQ10" s="272">
        <v>604677</v>
      </c>
      <c r="AR10" s="272">
        <v>0</v>
      </c>
      <c r="AS10" s="272">
        <v>0</v>
      </c>
      <c r="AT10" s="272">
        <v>2624525</v>
      </c>
      <c r="AU10" s="272">
        <v>1028850</v>
      </c>
      <c r="AV10" s="272">
        <v>86924</v>
      </c>
      <c r="AW10" s="272">
        <v>0</v>
      </c>
      <c r="AX10" s="272">
        <v>1595675</v>
      </c>
      <c r="AY10" s="272">
        <v>974848</v>
      </c>
      <c r="AZ10" s="272">
        <v>278561</v>
      </c>
      <c r="BA10" s="272">
        <v>237971</v>
      </c>
      <c r="BB10" s="272">
        <v>451351</v>
      </c>
      <c r="BC10" s="272">
        <v>1308964</v>
      </c>
      <c r="BD10" s="272">
        <v>706000</v>
      </c>
      <c r="BE10" s="272">
        <v>220000</v>
      </c>
      <c r="BF10" s="272">
        <v>379063</v>
      </c>
      <c r="BG10" s="272">
        <v>0</v>
      </c>
      <c r="BH10" s="272">
        <v>329199</v>
      </c>
      <c r="BI10" s="272">
        <v>299437</v>
      </c>
      <c r="BJ10" s="272">
        <v>1035416</v>
      </c>
      <c r="BK10" s="272">
        <v>722000</v>
      </c>
      <c r="BL10" s="272">
        <v>0</v>
      </c>
      <c r="BM10" s="272">
        <v>154816</v>
      </c>
      <c r="BN10" s="272">
        <v>4645600</v>
      </c>
      <c r="BO10" s="455">
        <f t="shared" si="5"/>
        <v>3940100</v>
      </c>
      <c r="BP10" s="455">
        <f t="shared" si="6"/>
        <v>705500</v>
      </c>
      <c r="BQ10" s="272">
        <v>705500</v>
      </c>
      <c r="BR10" s="272"/>
      <c r="BS10" s="272"/>
      <c r="BT10" s="272">
        <v>0</v>
      </c>
      <c r="BU10" s="272">
        <v>27859288</v>
      </c>
      <c r="BV10" s="272"/>
      <c r="BW10" s="272">
        <v>6495103</v>
      </c>
      <c r="BX10" s="272">
        <v>4824730</v>
      </c>
      <c r="BY10" s="272">
        <v>322245</v>
      </c>
      <c r="BZ10" s="272">
        <v>194890</v>
      </c>
      <c r="CA10" s="272">
        <v>2959444</v>
      </c>
      <c r="CB10" s="272">
        <v>436923</v>
      </c>
      <c r="CC10" s="272">
        <v>961081</v>
      </c>
      <c r="CD10" s="272">
        <v>512775</v>
      </c>
      <c r="CE10" s="272">
        <v>1016362</v>
      </c>
      <c r="CF10" s="272">
        <v>78</v>
      </c>
      <c r="CG10" s="272">
        <v>31863</v>
      </c>
      <c r="CH10" s="272">
        <v>2038956</v>
      </c>
      <c r="CI10" s="272">
        <v>1076087</v>
      </c>
      <c r="CJ10" s="455">
        <f t="shared" si="7"/>
        <v>962869</v>
      </c>
      <c r="CK10" s="272">
        <v>1892018</v>
      </c>
      <c r="CL10" s="272">
        <v>859223</v>
      </c>
      <c r="CM10" s="272">
        <v>97020</v>
      </c>
      <c r="CN10" s="272">
        <v>471213</v>
      </c>
      <c r="CO10" s="272">
        <v>103758</v>
      </c>
      <c r="CP10" s="272">
        <v>2798843</v>
      </c>
      <c r="CQ10" s="272">
        <v>1207043</v>
      </c>
      <c r="CR10" s="272">
        <v>467574</v>
      </c>
      <c r="CS10" s="272">
        <v>426718</v>
      </c>
      <c r="CT10" s="455">
        <f t="shared" si="8"/>
        <v>757166</v>
      </c>
      <c r="CU10" s="272">
        <v>4409</v>
      </c>
      <c r="CV10" s="272">
        <v>752757</v>
      </c>
      <c r="CW10" s="455">
        <f t="shared" si="9"/>
        <v>738123</v>
      </c>
      <c r="CX10" s="272">
        <v>0</v>
      </c>
      <c r="CY10" s="272">
        <v>738123</v>
      </c>
      <c r="CZ10" s="455">
        <f t="shared" si="10"/>
        <v>0</v>
      </c>
      <c r="DA10" s="272">
        <v>0</v>
      </c>
      <c r="DB10" s="272">
        <v>0</v>
      </c>
      <c r="DC10" s="272">
        <v>7274416</v>
      </c>
      <c r="DD10" s="272">
        <v>1277731</v>
      </c>
      <c r="DE10" s="272">
        <v>4453828</v>
      </c>
      <c r="DF10" s="272">
        <v>294108</v>
      </c>
      <c r="DG10" s="272">
        <v>1248749</v>
      </c>
      <c r="DH10" s="272">
        <v>0</v>
      </c>
      <c r="DI10" s="272">
        <v>854900</v>
      </c>
      <c r="DJ10" s="272">
        <v>178000</v>
      </c>
      <c r="DK10" s="272">
        <v>102400</v>
      </c>
      <c r="DL10" s="272">
        <v>574500</v>
      </c>
      <c r="DM10" s="272">
        <v>0</v>
      </c>
      <c r="DN10" s="272">
        <v>0</v>
      </c>
      <c r="DO10" s="272">
        <v>0</v>
      </c>
      <c r="DP10" s="272">
        <v>0</v>
      </c>
      <c r="DQ10" s="272">
        <v>710552</v>
      </c>
      <c r="DR10" s="272">
        <v>0</v>
      </c>
      <c r="DS10" s="272">
        <v>0</v>
      </c>
      <c r="DT10" s="272">
        <v>2418427</v>
      </c>
      <c r="DU10" s="272">
        <v>1648952</v>
      </c>
      <c r="DV10" s="455">
        <f t="shared" si="11"/>
        <v>0</v>
      </c>
      <c r="DW10" s="272">
        <v>0</v>
      </c>
      <c r="DX10" s="272">
        <v>0</v>
      </c>
      <c r="DY10" s="272">
        <v>35798</v>
      </c>
      <c r="DZ10" s="272">
        <v>398679</v>
      </c>
      <c r="EA10" s="272">
        <v>288253</v>
      </c>
      <c r="EB10" s="272"/>
      <c r="EC10" s="272">
        <v>0</v>
      </c>
      <c r="ED10" s="272">
        <v>27546417</v>
      </c>
      <c r="EF10" s="272">
        <v>312871</v>
      </c>
      <c r="EG10" s="272">
        <v>54335</v>
      </c>
      <c r="EH10" s="272">
        <v>258536</v>
      </c>
      <c r="EI10" s="272">
        <v>-40901</v>
      </c>
      <c r="EJ10" s="272">
        <v>-529159</v>
      </c>
      <c r="EL10" s="272"/>
      <c r="EM10" s="272">
        <v>70843</v>
      </c>
      <c r="EN10" s="272">
        <v>1249901</v>
      </c>
      <c r="EO10" s="272">
        <v>17819</v>
      </c>
      <c r="EP10" s="455">
        <f t="shared" si="12"/>
        <v>1253146</v>
      </c>
      <c r="EQ10" s="272">
        <v>14427861</v>
      </c>
      <c r="ER10" s="272">
        <v>-3208433</v>
      </c>
      <c r="ES10" s="272">
        <v>5919563</v>
      </c>
      <c r="ET10" s="272">
        <v>4266586</v>
      </c>
      <c r="EU10" s="272">
        <v>1107909</v>
      </c>
      <c r="EV10" s="272">
        <v>2012168</v>
      </c>
      <c r="EW10" s="455">
        <f t="shared" si="13"/>
        <v>764737</v>
      </c>
      <c r="EX10" s="272">
        <v>764737</v>
      </c>
      <c r="EY10" s="272">
        <v>20073</v>
      </c>
      <c r="EZ10" s="272">
        <v>744656</v>
      </c>
      <c r="FA10" s="272">
        <v>0</v>
      </c>
      <c r="FB10" s="272"/>
      <c r="FC10" s="272">
        <v>1737759</v>
      </c>
      <c r="FD10" s="272">
        <v>2564527</v>
      </c>
      <c r="FE10" s="272">
        <v>1207043</v>
      </c>
      <c r="FF10" s="272">
        <v>2352320</v>
      </c>
      <c r="FG10" s="455">
        <f t="shared" si="14"/>
        <v>895638</v>
      </c>
      <c r="FH10" s="272">
        <v>17354621</v>
      </c>
      <c r="FI10" s="384">
        <f t="shared" si="15"/>
        <v>1.9</v>
      </c>
      <c r="FJ10" s="272">
        <v>13468515</v>
      </c>
      <c r="FK10" s="272"/>
      <c r="FL10" s="272">
        <v>9005596</v>
      </c>
      <c r="FM10" s="272">
        <v>10558732</v>
      </c>
      <c r="FN10" s="460">
        <v>0.82499999999999996</v>
      </c>
      <c r="FO10" s="388">
        <v>105.7</v>
      </c>
      <c r="FP10" s="388">
        <v>42.9</v>
      </c>
      <c r="FQ10" s="388">
        <v>8.6</v>
      </c>
      <c r="FR10" s="388">
        <v>15.3</v>
      </c>
      <c r="FS10" s="388">
        <v>9.6</v>
      </c>
      <c r="FT10" s="388">
        <v>15.2</v>
      </c>
      <c r="FU10" s="388">
        <v>13.3</v>
      </c>
      <c r="FV10" s="388">
        <v>12</v>
      </c>
      <c r="FW10" s="272">
        <v>23913806</v>
      </c>
      <c r="FX10" s="384">
        <f t="shared" si="16"/>
        <v>177.6</v>
      </c>
      <c r="FY10" s="272">
        <v>2290214</v>
      </c>
      <c r="FZ10" s="272">
        <v>277605</v>
      </c>
      <c r="GA10" s="272">
        <v>210100</v>
      </c>
      <c r="GB10" s="272">
        <v>1802509</v>
      </c>
      <c r="GC10" s="272"/>
      <c r="GD10" s="272">
        <v>11356702</v>
      </c>
      <c r="GE10" s="384">
        <f t="shared" si="17"/>
        <v>84.3</v>
      </c>
      <c r="GF10" s="388">
        <v>97.5</v>
      </c>
      <c r="GG10" s="388">
        <v>25.5</v>
      </c>
      <c r="GH10" s="388">
        <v>93.4</v>
      </c>
      <c r="GI10" s="272">
        <v>630</v>
      </c>
    </row>
    <row r="11" spans="2:191" x14ac:dyDescent="0.15">
      <c r="B11" s="89" t="s">
        <v>15</v>
      </c>
      <c r="C11" s="272">
        <v>55860869</v>
      </c>
      <c r="D11" s="455">
        <f t="shared" si="0"/>
        <v>22133157</v>
      </c>
      <c r="E11" s="272">
        <v>351036</v>
      </c>
      <c r="F11" s="272">
        <v>21782121</v>
      </c>
      <c r="G11" s="455">
        <f t="shared" si="1"/>
        <v>4276488</v>
      </c>
      <c r="H11" s="272">
        <v>724167</v>
      </c>
      <c r="I11" s="272">
        <v>3552321</v>
      </c>
      <c r="J11" s="272">
        <v>21207120</v>
      </c>
      <c r="K11" s="272">
        <v>10851300</v>
      </c>
      <c r="L11" s="272">
        <v>7169326</v>
      </c>
      <c r="M11" s="272">
        <v>3001855</v>
      </c>
      <c r="N11" s="272">
        <v>1397510</v>
      </c>
      <c r="O11" s="272">
        <v>5129680</v>
      </c>
      <c r="P11" s="272">
        <v>3587520</v>
      </c>
      <c r="Q11" s="272">
        <v>1542160</v>
      </c>
      <c r="R11" s="272">
        <v>2187954</v>
      </c>
      <c r="S11" s="272">
        <v>1495665</v>
      </c>
      <c r="T11" s="455">
        <f t="shared" si="2"/>
        <v>2334066</v>
      </c>
      <c r="U11" s="272">
        <v>1017438</v>
      </c>
      <c r="V11" s="272"/>
      <c r="W11" s="272"/>
      <c r="X11" s="272"/>
      <c r="Y11" s="272">
        <v>137983</v>
      </c>
      <c r="Z11" s="272">
        <v>20203</v>
      </c>
      <c r="AA11" s="272">
        <v>1158442</v>
      </c>
      <c r="AB11" s="272"/>
      <c r="AC11" s="272">
        <v>2667054</v>
      </c>
      <c r="AD11" s="272">
        <v>2303500</v>
      </c>
      <c r="AE11" s="272">
        <v>363554</v>
      </c>
      <c r="AF11" s="272">
        <v>78633</v>
      </c>
      <c r="AG11" s="272">
        <v>740954</v>
      </c>
      <c r="AH11" s="455">
        <f t="shared" si="3"/>
        <v>2221719</v>
      </c>
      <c r="AI11" s="272">
        <v>1401996</v>
      </c>
      <c r="AJ11" s="272">
        <v>819723</v>
      </c>
      <c r="AK11" s="272">
        <v>8690856</v>
      </c>
      <c r="AL11" s="455">
        <f t="shared" si="4"/>
        <v>3350760</v>
      </c>
      <c r="AM11" s="272">
        <v>2339316</v>
      </c>
      <c r="AN11" s="272">
        <v>598216</v>
      </c>
      <c r="AO11" s="272">
        <v>0</v>
      </c>
      <c r="AP11" s="272">
        <v>413228</v>
      </c>
      <c r="AQ11" s="272">
        <v>3365627</v>
      </c>
      <c r="AR11" s="272">
        <v>0</v>
      </c>
      <c r="AS11" s="272">
        <v>0</v>
      </c>
      <c r="AT11" s="272">
        <v>5210736</v>
      </c>
      <c r="AU11" s="272">
        <v>1262719</v>
      </c>
      <c r="AV11" s="272">
        <v>301331</v>
      </c>
      <c r="AW11" s="272">
        <v>240177</v>
      </c>
      <c r="AX11" s="272">
        <v>3948017</v>
      </c>
      <c r="AY11" s="272">
        <v>1142588</v>
      </c>
      <c r="AZ11" s="272">
        <v>225240</v>
      </c>
      <c r="BA11" s="272">
        <v>96221</v>
      </c>
      <c r="BB11" s="272">
        <v>285979</v>
      </c>
      <c r="BC11" s="272">
        <v>342276</v>
      </c>
      <c r="BD11" s="272">
        <v>0</v>
      </c>
      <c r="BE11" s="272">
        <v>0</v>
      </c>
      <c r="BF11" s="272">
        <v>254250</v>
      </c>
      <c r="BG11" s="272">
        <v>0</v>
      </c>
      <c r="BH11" s="272">
        <v>795376</v>
      </c>
      <c r="BI11" s="272">
        <v>347492</v>
      </c>
      <c r="BJ11" s="272">
        <v>3959537</v>
      </c>
      <c r="BK11" s="272">
        <v>2849828</v>
      </c>
      <c r="BL11" s="272">
        <v>89040</v>
      </c>
      <c r="BM11" s="272">
        <v>305929</v>
      </c>
      <c r="BN11" s="272">
        <v>10284000</v>
      </c>
      <c r="BO11" s="455">
        <f t="shared" si="5"/>
        <v>5611000</v>
      </c>
      <c r="BP11" s="455">
        <f t="shared" si="6"/>
        <v>4673000</v>
      </c>
      <c r="BQ11" s="272">
        <v>4673000</v>
      </c>
      <c r="BR11" s="272"/>
      <c r="BS11" s="272"/>
      <c r="BT11" s="272">
        <v>0</v>
      </c>
      <c r="BU11" s="272">
        <v>95885249</v>
      </c>
      <c r="BV11" s="272"/>
      <c r="BW11" s="272">
        <v>27430065</v>
      </c>
      <c r="BX11" s="272">
        <v>20320020</v>
      </c>
      <c r="BY11" s="272">
        <v>2086961</v>
      </c>
      <c r="BZ11" s="272">
        <v>896706</v>
      </c>
      <c r="CA11" s="272">
        <v>8330562</v>
      </c>
      <c r="CB11" s="272">
        <v>561659</v>
      </c>
      <c r="CC11" s="272">
        <v>2354858</v>
      </c>
      <c r="CD11" s="272">
        <v>2112643</v>
      </c>
      <c r="CE11" s="272">
        <v>3128891</v>
      </c>
      <c r="CF11" s="272">
        <v>7426</v>
      </c>
      <c r="CG11" s="272">
        <v>151040</v>
      </c>
      <c r="CH11" s="272">
        <v>9168781</v>
      </c>
      <c r="CI11" s="272">
        <v>5617613</v>
      </c>
      <c r="CJ11" s="455">
        <f t="shared" si="7"/>
        <v>3551168</v>
      </c>
      <c r="CK11" s="272">
        <v>13313139</v>
      </c>
      <c r="CL11" s="272">
        <v>8058648</v>
      </c>
      <c r="CM11" s="272">
        <v>295908</v>
      </c>
      <c r="CN11" s="272">
        <v>3141064</v>
      </c>
      <c r="CO11" s="272">
        <v>1489524</v>
      </c>
      <c r="CP11" s="272">
        <v>4384613</v>
      </c>
      <c r="CQ11" s="272">
        <v>45866</v>
      </c>
      <c r="CR11" s="272">
        <v>3123304</v>
      </c>
      <c r="CS11" s="272">
        <v>3076952</v>
      </c>
      <c r="CT11" s="455">
        <f t="shared" si="8"/>
        <v>1103819</v>
      </c>
      <c r="CU11" s="272">
        <v>102308</v>
      </c>
      <c r="CV11" s="272">
        <v>1001511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18634090</v>
      </c>
      <c r="DD11" s="272">
        <v>7056797</v>
      </c>
      <c r="DE11" s="272">
        <v>10543705</v>
      </c>
      <c r="DF11" s="272">
        <v>12249</v>
      </c>
      <c r="DG11" s="272">
        <v>1021339</v>
      </c>
      <c r="DH11" s="272">
        <v>0</v>
      </c>
      <c r="DI11" s="272">
        <v>1319788</v>
      </c>
      <c r="DJ11" s="272">
        <v>177677</v>
      </c>
      <c r="DK11" s="272">
        <v>313396</v>
      </c>
      <c r="DL11" s="272">
        <v>828715</v>
      </c>
      <c r="DM11" s="272">
        <v>2160</v>
      </c>
      <c r="DN11" s="272">
        <v>0</v>
      </c>
      <c r="DO11" s="272">
        <v>0</v>
      </c>
      <c r="DP11" s="272">
        <v>0</v>
      </c>
      <c r="DQ11" s="272">
        <v>2816936</v>
      </c>
      <c r="DR11" s="272">
        <v>0</v>
      </c>
      <c r="DS11" s="272">
        <v>0</v>
      </c>
      <c r="DT11" s="272">
        <v>8094172</v>
      </c>
      <c r="DU11" s="272">
        <v>4704016</v>
      </c>
      <c r="DV11" s="455">
        <f t="shared" si="11"/>
        <v>0</v>
      </c>
      <c r="DW11" s="272">
        <v>0</v>
      </c>
      <c r="DX11" s="272">
        <v>0</v>
      </c>
      <c r="DY11" s="272">
        <v>0</v>
      </c>
      <c r="DZ11" s="272">
        <v>2134180</v>
      </c>
      <c r="EA11" s="272">
        <v>1227574</v>
      </c>
      <c r="EB11" s="272"/>
      <c r="EC11" s="272">
        <v>0</v>
      </c>
      <c r="ED11" s="272">
        <v>94983830</v>
      </c>
      <c r="EF11" s="272">
        <v>901419</v>
      </c>
      <c r="EG11" s="272">
        <v>247459</v>
      </c>
      <c r="EH11" s="272">
        <v>653960</v>
      </c>
      <c r="EI11" s="272">
        <v>306468</v>
      </c>
      <c r="EJ11" s="272">
        <v>484145</v>
      </c>
      <c r="EL11" s="272"/>
      <c r="EM11" s="272">
        <v>359818</v>
      </c>
      <c r="EN11" s="272">
        <v>0</v>
      </c>
      <c r="EO11" s="272">
        <v>105340</v>
      </c>
      <c r="EP11" s="455">
        <f t="shared" si="12"/>
        <v>1771206</v>
      </c>
      <c r="EQ11" s="272">
        <v>63128576</v>
      </c>
      <c r="ER11" s="272">
        <v>-6470913</v>
      </c>
      <c r="ES11" s="272">
        <v>25461964</v>
      </c>
      <c r="ET11" s="272">
        <v>18480098</v>
      </c>
      <c r="EU11" s="272">
        <v>2150875</v>
      </c>
      <c r="EV11" s="272">
        <v>8844725</v>
      </c>
      <c r="EW11" s="455">
        <f t="shared" si="13"/>
        <v>7467857</v>
      </c>
      <c r="EX11" s="272">
        <v>7467857</v>
      </c>
      <c r="EY11" s="272">
        <v>807116</v>
      </c>
      <c r="EZ11" s="272">
        <v>6649617</v>
      </c>
      <c r="FA11" s="272">
        <v>0</v>
      </c>
      <c r="FB11" s="272"/>
      <c r="FC11" s="272">
        <v>10398828</v>
      </c>
      <c r="FD11" s="272">
        <v>4031551</v>
      </c>
      <c r="FE11" s="272">
        <v>45866</v>
      </c>
      <c r="FF11" s="272">
        <v>7662492</v>
      </c>
      <c r="FG11" s="455">
        <f t="shared" si="14"/>
        <v>2679778</v>
      </c>
      <c r="FH11" s="272">
        <v>68698070</v>
      </c>
      <c r="FI11" s="384">
        <f t="shared" si="15"/>
        <v>1.1000000000000001</v>
      </c>
      <c r="FJ11" s="272">
        <v>61491160</v>
      </c>
      <c r="FK11" s="272"/>
      <c r="FL11" s="272">
        <v>44624788</v>
      </c>
      <c r="FM11" s="272">
        <v>47090750</v>
      </c>
      <c r="FN11" s="460">
        <v>0.95799999999999996</v>
      </c>
      <c r="FO11" s="388">
        <v>96.7</v>
      </c>
      <c r="FP11" s="388">
        <v>43.2</v>
      </c>
      <c r="FQ11" s="388">
        <v>3.7</v>
      </c>
      <c r="FR11" s="388">
        <v>15.3</v>
      </c>
      <c r="FS11" s="388">
        <v>17.899999999999999</v>
      </c>
      <c r="FT11" s="388">
        <v>6.4</v>
      </c>
      <c r="FU11" s="388">
        <v>7.6</v>
      </c>
      <c r="FV11" s="388">
        <v>9.6999999999999993</v>
      </c>
      <c r="FW11" s="272">
        <v>82790304</v>
      </c>
      <c r="FX11" s="384">
        <f t="shared" si="16"/>
        <v>134.6</v>
      </c>
      <c r="FY11" s="272">
        <v>21014712</v>
      </c>
      <c r="FZ11" s="272">
        <v>5498289</v>
      </c>
      <c r="GA11" s="272">
        <v>1800597</v>
      </c>
      <c r="GB11" s="272">
        <v>13715826</v>
      </c>
      <c r="GC11" s="272"/>
      <c r="GD11" s="272">
        <v>8352894</v>
      </c>
      <c r="GE11" s="384">
        <f t="shared" si="17"/>
        <v>13.6</v>
      </c>
      <c r="GF11" s="388">
        <v>98.8</v>
      </c>
      <c r="GG11" s="388">
        <v>30.7</v>
      </c>
      <c r="GH11" s="388">
        <v>96.4</v>
      </c>
      <c r="GI11" s="272">
        <v>2522</v>
      </c>
    </row>
    <row r="12" spans="2:191" x14ac:dyDescent="0.15">
      <c r="B12" s="89" t="s">
        <v>17</v>
      </c>
      <c r="C12" s="272">
        <v>11195233</v>
      </c>
      <c r="D12" s="455">
        <f t="shared" si="0"/>
        <v>3620652</v>
      </c>
      <c r="E12" s="272">
        <v>75042</v>
      </c>
      <c r="F12" s="272">
        <v>3545610</v>
      </c>
      <c r="G12" s="455">
        <f t="shared" si="1"/>
        <v>765326</v>
      </c>
      <c r="H12" s="272">
        <v>163688</v>
      </c>
      <c r="I12" s="272">
        <v>601638</v>
      </c>
      <c r="J12" s="272">
        <v>4991278</v>
      </c>
      <c r="K12" s="272">
        <v>2441528</v>
      </c>
      <c r="L12" s="272">
        <v>1736126</v>
      </c>
      <c r="M12" s="272">
        <v>697788</v>
      </c>
      <c r="N12" s="272">
        <v>500065</v>
      </c>
      <c r="O12" s="272">
        <v>1096660</v>
      </c>
      <c r="P12" s="272">
        <v>703585</v>
      </c>
      <c r="Q12" s="272">
        <v>393075</v>
      </c>
      <c r="R12" s="272">
        <v>561127</v>
      </c>
      <c r="S12" s="272">
        <v>385813</v>
      </c>
      <c r="T12" s="455">
        <f t="shared" si="2"/>
        <v>466362</v>
      </c>
      <c r="U12" s="272">
        <v>169889</v>
      </c>
      <c r="V12" s="272"/>
      <c r="W12" s="272"/>
      <c r="X12" s="272"/>
      <c r="Y12" s="272">
        <v>0</v>
      </c>
      <c r="Z12" s="272">
        <v>3261</v>
      </c>
      <c r="AA12" s="272">
        <v>293212</v>
      </c>
      <c r="AB12" s="272"/>
      <c r="AC12" s="272">
        <v>3980076</v>
      </c>
      <c r="AD12" s="272">
        <v>3559054</v>
      </c>
      <c r="AE12" s="272">
        <v>421022</v>
      </c>
      <c r="AF12" s="272">
        <v>22850</v>
      </c>
      <c r="AG12" s="272">
        <v>199753</v>
      </c>
      <c r="AH12" s="455">
        <f t="shared" si="3"/>
        <v>845248</v>
      </c>
      <c r="AI12" s="272">
        <v>790678</v>
      </c>
      <c r="AJ12" s="272">
        <v>54570</v>
      </c>
      <c r="AK12" s="272">
        <v>2267829</v>
      </c>
      <c r="AL12" s="455">
        <f t="shared" si="4"/>
        <v>1358967</v>
      </c>
      <c r="AM12" s="272">
        <v>952681</v>
      </c>
      <c r="AN12" s="272">
        <v>296707</v>
      </c>
      <c r="AO12" s="272">
        <v>0</v>
      </c>
      <c r="AP12" s="272">
        <v>109579</v>
      </c>
      <c r="AQ12" s="272">
        <v>464063</v>
      </c>
      <c r="AR12" s="272">
        <v>0</v>
      </c>
      <c r="AS12" s="272">
        <v>0</v>
      </c>
      <c r="AT12" s="272">
        <v>1561065</v>
      </c>
      <c r="AU12" s="272">
        <v>519545</v>
      </c>
      <c r="AV12" s="272">
        <v>143235</v>
      </c>
      <c r="AW12" s="272">
        <v>0</v>
      </c>
      <c r="AX12" s="272">
        <v>1041520</v>
      </c>
      <c r="AY12" s="272">
        <v>254630</v>
      </c>
      <c r="AZ12" s="272">
        <v>1066184</v>
      </c>
      <c r="BA12" s="272">
        <v>1027287</v>
      </c>
      <c r="BB12" s="272">
        <v>535107</v>
      </c>
      <c r="BC12" s="272">
        <v>670315</v>
      </c>
      <c r="BD12" s="272">
        <v>265000</v>
      </c>
      <c r="BE12" s="272">
        <v>0</v>
      </c>
      <c r="BF12" s="272">
        <v>394520</v>
      </c>
      <c r="BG12" s="272">
        <v>0</v>
      </c>
      <c r="BH12" s="272">
        <v>32262</v>
      </c>
      <c r="BI12" s="272">
        <v>26046</v>
      </c>
      <c r="BJ12" s="272">
        <v>357161</v>
      </c>
      <c r="BK12" s="272">
        <v>12947</v>
      </c>
      <c r="BL12" s="272">
        <v>0</v>
      </c>
      <c r="BM12" s="272">
        <v>159170</v>
      </c>
      <c r="BN12" s="272">
        <v>1857000</v>
      </c>
      <c r="BO12" s="455">
        <f t="shared" si="5"/>
        <v>1055600</v>
      </c>
      <c r="BP12" s="455">
        <f t="shared" si="6"/>
        <v>801400</v>
      </c>
      <c r="BQ12" s="272">
        <v>801400</v>
      </c>
      <c r="BR12" s="272"/>
      <c r="BS12" s="272"/>
      <c r="BT12" s="272">
        <v>0</v>
      </c>
      <c r="BU12" s="272">
        <v>25617572</v>
      </c>
      <c r="BV12" s="272"/>
      <c r="BW12" s="272">
        <v>7192000</v>
      </c>
      <c r="BX12" s="272">
        <v>5244146</v>
      </c>
      <c r="BY12" s="272">
        <v>301385</v>
      </c>
      <c r="BZ12" s="272">
        <v>370447</v>
      </c>
      <c r="CA12" s="272">
        <v>3384647</v>
      </c>
      <c r="CB12" s="272">
        <v>477850</v>
      </c>
      <c r="CC12" s="272">
        <v>706414</v>
      </c>
      <c r="CD12" s="272">
        <v>909164</v>
      </c>
      <c r="CE12" s="272">
        <v>1261293</v>
      </c>
      <c r="CF12" s="272">
        <v>234</v>
      </c>
      <c r="CG12" s="272">
        <v>29692</v>
      </c>
      <c r="CH12" s="272">
        <v>3746126</v>
      </c>
      <c r="CI12" s="272">
        <v>2177338</v>
      </c>
      <c r="CJ12" s="455">
        <f t="shared" si="7"/>
        <v>1568788</v>
      </c>
      <c r="CK12" s="272">
        <v>2262207</v>
      </c>
      <c r="CL12" s="272">
        <v>985193</v>
      </c>
      <c r="CM12" s="272">
        <v>135449</v>
      </c>
      <c r="CN12" s="272">
        <v>645240</v>
      </c>
      <c r="CO12" s="272">
        <v>129899</v>
      </c>
      <c r="CP12" s="272">
        <v>2467274</v>
      </c>
      <c r="CQ12" s="272">
        <v>600087</v>
      </c>
      <c r="CR12" s="272">
        <v>928090</v>
      </c>
      <c r="CS12" s="272">
        <v>607609</v>
      </c>
      <c r="CT12" s="455">
        <f t="shared" si="8"/>
        <v>556527</v>
      </c>
      <c r="CU12" s="272">
        <v>507627</v>
      </c>
      <c r="CV12" s="272">
        <v>48900</v>
      </c>
      <c r="CW12" s="455">
        <f t="shared" si="9"/>
        <v>551029</v>
      </c>
      <c r="CX12" s="272">
        <v>502129</v>
      </c>
      <c r="CY12" s="272">
        <v>48900</v>
      </c>
      <c r="CZ12" s="455">
        <f t="shared" si="10"/>
        <v>0</v>
      </c>
      <c r="DA12" s="272">
        <v>0</v>
      </c>
      <c r="DB12" s="272">
        <v>0</v>
      </c>
      <c r="DC12" s="272">
        <v>3780132</v>
      </c>
      <c r="DD12" s="272">
        <v>911732</v>
      </c>
      <c r="DE12" s="272">
        <v>2840212</v>
      </c>
      <c r="DF12" s="272">
        <v>28188</v>
      </c>
      <c r="DG12" s="272">
        <v>0</v>
      </c>
      <c r="DH12" s="272">
        <v>0</v>
      </c>
      <c r="DI12" s="272">
        <v>708670</v>
      </c>
      <c r="DJ12" s="272">
        <v>52420</v>
      </c>
      <c r="DK12" s="272">
        <v>46285</v>
      </c>
      <c r="DL12" s="272">
        <v>609965</v>
      </c>
      <c r="DM12" s="272">
        <v>31650</v>
      </c>
      <c r="DN12" s="272">
        <v>0</v>
      </c>
      <c r="DO12" s="272">
        <v>0</v>
      </c>
      <c r="DP12" s="272">
        <v>0</v>
      </c>
      <c r="DQ12" s="272">
        <v>7210</v>
      </c>
      <c r="DR12" s="272">
        <v>0</v>
      </c>
      <c r="DS12" s="272">
        <v>0</v>
      </c>
      <c r="DT12" s="272">
        <v>1876338</v>
      </c>
      <c r="DU12" s="272">
        <v>1040836</v>
      </c>
      <c r="DV12" s="455">
        <f t="shared" si="11"/>
        <v>0</v>
      </c>
      <c r="DW12" s="272">
        <v>0</v>
      </c>
      <c r="DX12" s="272">
        <v>0</v>
      </c>
      <c r="DY12" s="272">
        <v>0</v>
      </c>
      <c r="DZ12" s="272">
        <v>450570</v>
      </c>
      <c r="EA12" s="272">
        <v>370582</v>
      </c>
      <c r="EB12" s="272"/>
      <c r="EC12" s="272">
        <v>0</v>
      </c>
      <c r="ED12" s="272">
        <v>25586153</v>
      </c>
      <c r="EF12" s="272">
        <v>31419</v>
      </c>
      <c r="EG12" s="272">
        <v>6313</v>
      </c>
      <c r="EH12" s="272">
        <v>25106</v>
      </c>
      <c r="EI12" s="272">
        <v>-940</v>
      </c>
      <c r="EJ12" s="272">
        <v>-173511</v>
      </c>
      <c r="EL12" s="272"/>
      <c r="EM12" s="272">
        <v>84844</v>
      </c>
      <c r="EN12" s="272">
        <v>265000</v>
      </c>
      <c r="EO12" s="272">
        <v>1029786</v>
      </c>
      <c r="EP12" s="455">
        <f t="shared" si="12"/>
        <v>850508</v>
      </c>
      <c r="EQ12" s="272">
        <v>16225648</v>
      </c>
      <c r="ER12" s="272">
        <v>-2923844</v>
      </c>
      <c r="ES12" s="272">
        <v>6675898</v>
      </c>
      <c r="ET12" s="272">
        <v>4834488</v>
      </c>
      <c r="EU12" s="272">
        <v>992875</v>
      </c>
      <c r="EV12" s="272">
        <v>3226736</v>
      </c>
      <c r="EW12" s="455">
        <f t="shared" si="13"/>
        <v>1778043</v>
      </c>
      <c r="EX12" s="272">
        <v>1778043</v>
      </c>
      <c r="EY12" s="272">
        <v>15824</v>
      </c>
      <c r="EZ12" s="272">
        <v>1758644</v>
      </c>
      <c r="FA12" s="272">
        <v>0</v>
      </c>
      <c r="FB12" s="272"/>
      <c r="FC12" s="272">
        <v>1874394</v>
      </c>
      <c r="FD12" s="272">
        <v>2118237</v>
      </c>
      <c r="FE12" s="272">
        <v>600087</v>
      </c>
      <c r="FF12" s="272">
        <v>1706099</v>
      </c>
      <c r="FG12" s="455">
        <f t="shared" si="14"/>
        <v>745791</v>
      </c>
      <c r="FH12" s="272">
        <v>19118073</v>
      </c>
      <c r="FI12" s="384">
        <f t="shared" si="15"/>
        <v>0.2</v>
      </c>
      <c r="FJ12" s="272">
        <v>15392865</v>
      </c>
      <c r="FK12" s="272"/>
      <c r="FL12" s="272">
        <v>8936822</v>
      </c>
      <c r="FM12" s="272">
        <v>12495888</v>
      </c>
      <c r="FN12" s="460">
        <v>0.71399999999999997</v>
      </c>
      <c r="FO12" s="388">
        <v>103.4</v>
      </c>
      <c r="FP12" s="388">
        <v>44.4</v>
      </c>
      <c r="FQ12" s="388">
        <v>6.7</v>
      </c>
      <c r="FR12" s="388">
        <v>21.6</v>
      </c>
      <c r="FS12" s="388">
        <v>11</v>
      </c>
      <c r="FT12" s="388">
        <v>11.7</v>
      </c>
      <c r="FU12" s="388">
        <v>7.1</v>
      </c>
      <c r="FV12" s="388">
        <v>15.5</v>
      </c>
      <c r="FW12" s="272">
        <v>31147479</v>
      </c>
      <c r="FX12" s="384">
        <f t="shared" si="16"/>
        <v>202.4</v>
      </c>
      <c r="FY12" s="272">
        <v>3910434</v>
      </c>
      <c r="FZ12" s="272">
        <v>890723</v>
      </c>
      <c r="GA12" s="272">
        <v>1077081</v>
      </c>
      <c r="GB12" s="272">
        <v>1942630</v>
      </c>
      <c r="GC12" s="272"/>
      <c r="GD12" s="272">
        <v>5626981</v>
      </c>
      <c r="GE12" s="384">
        <f t="shared" si="17"/>
        <v>36.6</v>
      </c>
      <c r="GF12" s="388">
        <v>97</v>
      </c>
      <c r="GG12" s="388">
        <v>18.399999999999999</v>
      </c>
      <c r="GH12" s="388">
        <v>91.7</v>
      </c>
      <c r="GI12" s="272">
        <v>697</v>
      </c>
    </row>
    <row r="13" spans="2:191" x14ac:dyDescent="0.15">
      <c r="B13" s="89" t="s">
        <v>19</v>
      </c>
      <c r="C13" s="272">
        <v>27160408</v>
      </c>
      <c r="D13" s="455">
        <f t="shared" si="0"/>
        <v>7381531</v>
      </c>
      <c r="E13" s="272">
        <v>152202</v>
      </c>
      <c r="F13" s="272">
        <v>7229329</v>
      </c>
      <c r="G13" s="455">
        <f t="shared" si="1"/>
        <v>3945431</v>
      </c>
      <c r="H13" s="272">
        <v>371375</v>
      </c>
      <c r="I13" s="272">
        <v>3574056</v>
      </c>
      <c r="J13" s="272">
        <v>11342109</v>
      </c>
      <c r="K13" s="272">
        <v>5578755</v>
      </c>
      <c r="L13" s="272">
        <v>3779592</v>
      </c>
      <c r="M13" s="272">
        <v>1661670</v>
      </c>
      <c r="N13" s="272">
        <v>931159</v>
      </c>
      <c r="O13" s="272">
        <v>2643881</v>
      </c>
      <c r="P13" s="272">
        <v>1787101</v>
      </c>
      <c r="Q13" s="272">
        <v>856780</v>
      </c>
      <c r="R13" s="272">
        <v>1095087</v>
      </c>
      <c r="S13" s="272">
        <v>823452</v>
      </c>
      <c r="T13" s="455">
        <f t="shared" si="2"/>
        <v>821368</v>
      </c>
      <c r="U13" s="272">
        <v>354520</v>
      </c>
      <c r="V13" s="272"/>
      <c r="W13" s="272"/>
      <c r="X13" s="272"/>
      <c r="Y13" s="272">
        <v>0</v>
      </c>
      <c r="Z13" s="272">
        <v>12709</v>
      </c>
      <c r="AA13" s="272">
        <v>454139</v>
      </c>
      <c r="AB13" s="272"/>
      <c r="AC13" s="272">
        <v>2970606</v>
      </c>
      <c r="AD13" s="272">
        <v>2481774</v>
      </c>
      <c r="AE13" s="272">
        <v>488832</v>
      </c>
      <c r="AF13" s="272">
        <v>34691</v>
      </c>
      <c r="AG13" s="272">
        <v>2539629</v>
      </c>
      <c r="AH13" s="455">
        <f t="shared" si="3"/>
        <v>922091</v>
      </c>
      <c r="AI13" s="272">
        <v>789705</v>
      </c>
      <c r="AJ13" s="272">
        <v>132386</v>
      </c>
      <c r="AK13" s="272">
        <v>4131095</v>
      </c>
      <c r="AL13" s="455">
        <f t="shared" si="4"/>
        <v>3267733</v>
      </c>
      <c r="AM13" s="272">
        <v>2416391</v>
      </c>
      <c r="AN13" s="272">
        <v>517328</v>
      </c>
      <c r="AO13" s="272">
        <v>0</v>
      </c>
      <c r="AP13" s="272">
        <v>334014</v>
      </c>
      <c r="AQ13" s="272">
        <v>177345</v>
      </c>
      <c r="AR13" s="272">
        <v>0</v>
      </c>
      <c r="AS13" s="272">
        <v>0</v>
      </c>
      <c r="AT13" s="272">
        <v>2338334</v>
      </c>
      <c r="AU13" s="272">
        <v>831697</v>
      </c>
      <c r="AV13" s="272">
        <v>198871</v>
      </c>
      <c r="AW13" s="272">
        <v>29154</v>
      </c>
      <c r="AX13" s="272">
        <v>1506637</v>
      </c>
      <c r="AY13" s="272">
        <v>321183</v>
      </c>
      <c r="AZ13" s="272">
        <v>883369</v>
      </c>
      <c r="BA13" s="272">
        <v>780179</v>
      </c>
      <c r="BB13" s="272">
        <v>803105</v>
      </c>
      <c r="BC13" s="272">
        <v>300</v>
      </c>
      <c r="BD13" s="272">
        <v>0</v>
      </c>
      <c r="BE13" s="272">
        <v>0</v>
      </c>
      <c r="BF13" s="272">
        <v>300</v>
      </c>
      <c r="BG13" s="272">
        <v>0</v>
      </c>
      <c r="BH13" s="272">
        <v>252586</v>
      </c>
      <c r="BI13" s="272">
        <v>74516</v>
      </c>
      <c r="BJ13" s="272">
        <v>594821</v>
      </c>
      <c r="BK13" s="272">
        <v>108713</v>
      </c>
      <c r="BL13" s="272">
        <v>0</v>
      </c>
      <c r="BM13" s="272">
        <v>235780</v>
      </c>
      <c r="BN13" s="272">
        <v>9161200</v>
      </c>
      <c r="BO13" s="455">
        <f t="shared" si="5"/>
        <v>7574200</v>
      </c>
      <c r="BP13" s="455">
        <f t="shared" si="6"/>
        <v>1587000</v>
      </c>
      <c r="BQ13" s="272">
        <v>1587000</v>
      </c>
      <c r="BR13" s="272"/>
      <c r="BS13" s="272"/>
      <c r="BT13" s="272">
        <v>0</v>
      </c>
      <c r="BU13" s="272">
        <v>53708690</v>
      </c>
      <c r="BV13" s="272"/>
      <c r="BW13" s="272">
        <v>16360815</v>
      </c>
      <c r="BX13" s="272">
        <v>12291353</v>
      </c>
      <c r="BY13" s="272">
        <v>917613</v>
      </c>
      <c r="BZ13" s="272">
        <v>518739</v>
      </c>
      <c r="CA13" s="272">
        <v>8950441</v>
      </c>
      <c r="CB13" s="272">
        <v>703056</v>
      </c>
      <c r="CC13" s="272">
        <v>1512878</v>
      </c>
      <c r="CD13" s="272">
        <v>1001021</v>
      </c>
      <c r="CE13" s="272">
        <v>3230480</v>
      </c>
      <c r="CF13" s="272">
        <v>2375163</v>
      </c>
      <c r="CG13" s="272">
        <v>127404</v>
      </c>
      <c r="CH13" s="272">
        <v>5266393</v>
      </c>
      <c r="CI13" s="272">
        <v>2929677</v>
      </c>
      <c r="CJ13" s="455">
        <f t="shared" si="7"/>
        <v>2336716</v>
      </c>
      <c r="CK13" s="272">
        <v>4030591</v>
      </c>
      <c r="CL13" s="272">
        <v>2099339</v>
      </c>
      <c r="CM13" s="272">
        <v>224062</v>
      </c>
      <c r="CN13" s="272">
        <v>929102</v>
      </c>
      <c r="CO13" s="272">
        <v>283926</v>
      </c>
      <c r="CP13" s="272">
        <v>5188496</v>
      </c>
      <c r="CQ13" s="272">
        <v>2208857</v>
      </c>
      <c r="CR13" s="272">
        <v>770781</v>
      </c>
      <c r="CS13" s="272">
        <v>252741</v>
      </c>
      <c r="CT13" s="455">
        <f t="shared" si="8"/>
        <v>1398609</v>
      </c>
      <c r="CU13" s="272">
        <v>65494</v>
      </c>
      <c r="CV13" s="272">
        <v>1333115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8270726</v>
      </c>
      <c r="DD13" s="272">
        <v>447569</v>
      </c>
      <c r="DE13" s="272">
        <v>7823157</v>
      </c>
      <c r="DF13" s="272">
        <v>0</v>
      </c>
      <c r="DG13" s="272">
        <v>0</v>
      </c>
      <c r="DH13" s="272">
        <v>0</v>
      </c>
      <c r="DI13" s="272">
        <v>630132</v>
      </c>
      <c r="DJ13" s="272">
        <v>10137</v>
      </c>
      <c r="DK13" s="272">
        <v>1029</v>
      </c>
      <c r="DL13" s="272">
        <v>618966</v>
      </c>
      <c r="DM13" s="272">
        <v>28000</v>
      </c>
      <c r="DN13" s="272">
        <v>0</v>
      </c>
      <c r="DO13" s="272">
        <v>0</v>
      </c>
      <c r="DP13" s="272">
        <v>0</v>
      </c>
      <c r="DQ13" s="272">
        <v>75530</v>
      </c>
      <c r="DR13" s="272">
        <v>0</v>
      </c>
      <c r="DS13" s="272">
        <v>0</v>
      </c>
      <c r="DT13" s="272">
        <v>4213170</v>
      </c>
      <c r="DU13" s="272">
        <v>2590466</v>
      </c>
      <c r="DV13" s="455">
        <f t="shared" si="11"/>
        <v>0</v>
      </c>
      <c r="DW13" s="272">
        <v>0</v>
      </c>
      <c r="DX13" s="272">
        <v>0</v>
      </c>
      <c r="DY13" s="272">
        <v>0</v>
      </c>
      <c r="DZ13" s="272">
        <v>957363</v>
      </c>
      <c r="EA13" s="272">
        <v>644925</v>
      </c>
      <c r="EB13" s="272"/>
      <c r="EC13" s="272">
        <v>0</v>
      </c>
      <c r="ED13" s="272">
        <v>53298220</v>
      </c>
      <c r="EF13" s="272">
        <v>410470</v>
      </c>
      <c r="EG13" s="272">
        <v>50275</v>
      </c>
      <c r="EH13" s="272">
        <v>360195</v>
      </c>
      <c r="EI13" s="272">
        <v>215679</v>
      </c>
      <c r="EJ13" s="272">
        <v>225816</v>
      </c>
      <c r="EL13" s="272"/>
      <c r="EM13" s="272">
        <v>153415</v>
      </c>
      <c r="EN13" s="272">
        <v>0</v>
      </c>
      <c r="EO13" s="272">
        <v>853819</v>
      </c>
      <c r="EP13" s="455">
        <f t="shared" si="12"/>
        <v>840288</v>
      </c>
      <c r="EQ13" s="272">
        <v>32082160</v>
      </c>
      <c r="ER13" s="272">
        <v>-3246416</v>
      </c>
      <c r="ES13" s="272">
        <v>14962592</v>
      </c>
      <c r="ET13" s="272">
        <v>11240916</v>
      </c>
      <c r="EU13" s="272">
        <v>2248169</v>
      </c>
      <c r="EV13" s="272">
        <v>5134410</v>
      </c>
      <c r="EW13" s="455">
        <f t="shared" si="13"/>
        <v>1368458</v>
      </c>
      <c r="EX13" s="272">
        <v>1368458</v>
      </c>
      <c r="EY13" s="272">
        <v>43330</v>
      </c>
      <c r="EZ13" s="272">
        <v>1325128</v>
      </c>
      <c r="FA13" s="272">
        <v>0</v>
      </c>
      <c r="FB13" s="272"/>
      <c r="FC13" s="272">
        <v>3171127</v>
      </c>
      <c r="FD13" s="272">
        <v>3641784</v>
      </c>
      <c r="FE13" s="272">
        <v>2208857</v>
      </c>
      <c r="FF13" s="272">
        <v>4024207</v>
      </c>
      <c r="FG13" s="455">
        <f t="shared" si="14"/>
        <v>367359</v>
      </c>
      <c r="FH13" s="272">
        <v>34918106</v>
      </c>
      <c r="FI13" s="384">
        <f t="shared" si="15"/>
        <v>1.2</v>
      </c>
      <c r="FJ13" s="272">
        <v>29694595</v>
      </c>
      <c r="FK13" s="272"/>
      <c r="FL13" s="272">
        <v>20508339</v>
      </c>
      <c r="FM13" s="272">
        <v>23000038</v>
      </c>
      <c r="FN13" s="460">
        <v>0.91100000000000003</v>
      </c>
      <c r="FO13" s="388">
        <v>106.8</v>
      </c>
      <c r="FP13" s="388">
        <v>50.2</v>
      </c>
      <c r="FQ13" s="388">
        <v>6.4</v>
      </c>
      <c r="FR13" s="388">
        <v>17.600000000000001</v>
      </c>
      <c r="FS13" s="388">
        <v>8.8000000000000007</v>
      </c>
      <c r="FT13" s="388">
        <v>10.5</v>
      </c>
      <c r="FU13" s="388">
        <v>12.3</v>
      </c>
      <c r="FV13" s="388">
        <v>13.6</v>
      </c>
      <c r="FW13" s="272">
        <v>54672669</v>
      </c>
      <c r="FX13" s="384">
        <f t="shared" si="16"/>
        <v>184.1</v>
      </c>
      <c r="FY13" s="272">
        <v>5145400</v>
      </c>
      <c r="FZ13" s="272">
        <v>1490957</v>
      </c>
      <c r="GA13" s="272">
        <v>150497</v>
      </c>
      <c r="GB13" s="272">
        <v>3503946</v>
      </c>
      <c r="GC13" s="272"/>
      <c r="GD13" s="272">
        <v>11102314</v>
      </c>
      <c r="GE13" s="384">
        <f t="shared" si="17"/>
        <v>37.4</v>
      </c>
      <c r="GF13" s="388">
        <v>97.4</v>
      </c>
      <c r="GG13" s="388">
        <v>20.7</v>
      </c>
      <c r="GH13" s="388">
        <v>91.2</v>
      </c>
      <c r="GI13" s="272">
        <v>1560</v>
      </c>
    </row>
    <row r="14" spans="2:191" x14ac:dyDescent="0.15">
      <c r="B14" s="89" t="s">
        <v>21</v>
      </c>
      <c r="C14" s="272">
        <v>62158951</v>
      </c>
      <c r="D14" s="455">
        <f t="shared" si="0"/>
        <v>25566908</v>
      </c>
      <c r="E14" s="272">
        <v>366808</v>
      </c>
      <c r="F14" s="272">
        <v>25200100</v>
      </c>
      <c r="G14" s="455">
        <f t="shared" si="1"/>
        <v>4202272</v>
      </c>
      <c r="H14" s="272">
        <v>601948</v>
      </c>
      <c r="I14" s="272">
        <v>3600324</v>
      </c>
      <c r="J14" s="272">
        <v>22975427</v>
      </c>
      <c r="K14" s="272">
        <v>11708141</v>
      </c>
      <c r="L14" s="272">
        <v>8246188</v>
      </c>
      <c r="M14" s="272">
        <v>2530962</v>
      </c>
      <c r="N14" s="272">
        <v>1588524</v>
      </c>
      <c r="O14" s="272">
        <v>6001878</v>
      </c>
      <c r="P14" s="272">
        <v>4152431</v>
      </c>
      <c r="Q14" s="272">
        <v>1849447</v>
      </c>
      <c r="R14" s="272">
        <v>2332328</v>
      </c>
      <c r="S14" s="272">
        <v>1622156</v>
      </c>
      <c r="T14" s="455">
        <f t="shared" si="2"/>
        <v>2537573</v>
      </c>
      <c r="U14" s="272">
        <v>1151446</v>
      </c>
      <c r="V14" s="272"/>
      <c r="W14" s="272"/>
      <c r="X14" s="272"/>
      <c r="Y14" s="272">
        <v>176202</v>
      </c>
      <c r="Z14" s="272">
        <v>21759</v>
      </c>
      <c r="AA14" s="272">
        <v>1188166</v>
      </c>
      <c r="AB14" s="272"/>
      <c r="AC14" s="272">
        <v>3227582</v>
      </c>
      <c r="AD14" s="272">
        <v>3074475</v>
      </c>
      <c r="AE14" s="272">
        <v>153107</v>
      </c>
      <c r="AF14" s="272">
        <v>84824</v>
      </c>
      <c r="AG14" s="272">
        <v>804246</v>
      </c>
      <c r="AH14" s="455">
        <f t="shared" si="3"/>
        <v>1798029</v>
      </c>
      <c r="AI14" s="272">
        <v>1373987</v>
      </c>
      <c r="AJ14" s="272">
        <v>424042</v>
      </c>
      <c r="AK14" s="272">
        <v>8486808</v>
      </c>
      <c r="AL14" s="455">
        <f t="shared" si="4"/>
        <v>5276054</v>
      </c>
      <c r="AM14" s="272">
        <v>3731776</v>
      </c>
      <c r="AN14" s="272">
        <v>994401</v>
      </c>
      <c r="AO14" s="272">
        <v>0</v>
      </c>
      <c r="AP14" s="272">
        <v>549877</v>
      </c>
      <c r="AQ14" s="272">
        <v>795277</v>
      </c>
      <c r="AR14" s="272">
        <v>0</v>
      </c>
      <c r="AS14" s="272">
        <v>0</v>
      </c>
      <c r="AT14" s="272">
        <v>6283074</v>
      </c>
      <c r="AU14" s="272">
        <v>2518149</v>
      </c>
      <c r="AV14" s="272">
        <v>500905</v>
      </c>
      <c r="AW14" s="272">
        <v>58250</v>
      </c>
      <c r="AX14" s="272">
        <v>3764925</v>
      </c>
      <c r="AY14" s="272">
        <v>1186753</v>
      </c>
      <c r="AZ14" s="272">
        <v>423226</v>
      </c>
      <c r="BA14" s="272">
        <v>297890</v>
      </c>
      <c r="BB14" s="272">
        <v>61019</v>
      </c>
      <c r="BC14" s="272">
        <v>1071579</v>
      </c>
      <c r="BD14" s="272">
        <v>88019</v>
      </c>
      <c r="BE14" s="272">
        <v>419442</v>
      </c>
      <c r="BF14" s="272">
        <v>522753</v>
      </c>
      <c r="BG14" s="272">
        <v>0</v>
      </c>
      <c r="BH14" s="272">
        <v>0</v>
      </c>
      <c r="BI14" s="272">
        <v>0</v>
      </c>
      <c r="BJ14" s="272">
        <v>1706244</v>
      </c>
      <c r="BK14" s="272">
        <v>1000000</v>
      </c>
      <c r="BL14" s="272">
        <v>1622</v>
      </c>
      <c r="BM14" s="272">
        <v>261618</v>
      </c>
      <c r="BN14" s="272">
        <v>14698900</v>
      </c>
      <c r="BO14" s="455">
        <f t="shared" si="5"/>
        <v>9571200</v>
      </c>
      <c r="BP14" s="455">
        <f t="shared" si="6"/>
        <v>5127700</v>
      </c>
      <c r="BQ14" s="272">
        <v>5127700</v>
      </c>
      <c r="BR14" s="272"/>
      <c r="BS14" s="272"/>
      <c r="BT14" s="272">
        <v>0</v>
      </c>
      <c r="BU14" s="272">
        <v>105674383</v>
      </c>
      <c r="BV14" s="272"/>
      <c r="BW14" s="272">
        <v>30569105</v>
      </c>
      <c r="BX14" s="272">
        <v>22175789</v>
      </c>
      <c r="BY14" s="272">
        <v>1937751</v>
      </c>
      <c r="BZ14" s="272">
        <v>2031502</v>
      </c>
      <c r="CA14" s="272">
        <v>13546932</v>
      </c>
      <c r="CB14" s="272">
        <v>1471649</v>
      </c>
      <c r="CC14" s="272">
        <v>2988134</v>
      </c>
      <c r="CD14" s="272">
        <v>3825095</v>
      </c>
      <c r="CE14" s="272">
        <v>5025159</v>
      </c>
      <c r="CF14" s="272">
        <v>6545</v>
      </c>
      <c r="CG14" s="272">
        <v>227676</v>
      </c>
      <c r="CH14" s="272">
        <v>10059098</v>
      </c>
      <c r="CI14" s="272">
        <v>5189808</v>
      </c>
      <c r="CJ14" s="455">
        <f t="shared" si="7"/>
        <v>4869290</v>
      </c>
      <c r="CK14" s="272">
        <v>9474722</v>
      </c>
      <c r="CL14" s="272">
        <v>4669932</v>
      </c>
      <c r="CM14" s="272">
        <v>496035</v>
      </c>
      <c r="CN14" s="272">
        <v>2572329</v>
      </c>
      <c r="CO14" s="272">
        <v>1386442</v>
      </c>
      <c r="CP14" s="272">
        <v>13351230</v>
      </c>
      <c r="CQ14" s="272">
        <v>4651372</v>
      </c>
      <c r="CR14" s="272">
        <v>2158783</v>
      </c>
      <c r="CS14" s="272">
        <v>1926134</v>
      </c>
      <c r="CT14" s="455">
        <f t="shared" si="8"/>
        <v>3981642</v>
      </c>
      <c r="CU14" s="272">
        <v>1387688</v>
      </c>
      <c r="CV14" s="272">
        <v>2593954</v>
      </c>
      <c r="CW14" s="455">
        <f t="shared" si="9"/>
        <v>1375431</v>
      </c>
      <c r="CX14" s="272">
        <v>1314858</v>
      </c>
      <c r="CY14" s="272">
        <v>60573</v>
      </c>
      <c r="CZ14" s="455">
        <f t="shared" si="10"/>
        <v>0</v>
      </c>
      <c r="DA14" s="272">
        <v>0</v>
      </c>
      <c r="DB14" s="272">
        <v>0</v>
      </c>
      <c r="DC14" s="272">
        <v>16633832</v>
      </c>
      <c r="DD14" s="272">
        <v>2025407</v>
      </c>
      <c r="DE14" s="272">
        <v>13299527</v>
      </c>
      <c r="DF14" s="272">
        <v>76678</v>
      </c>
      <c r="DG14" s="272">
        <v>1232220</v>
      </c>
      <c r="DH14" s="272">
        <v>10423</v>
      </c>
      <c r="DI14" s="272">
        <v>113995</v>
      </c>
      <c r="DJ14" s="272">
        <v>774</v>
      </c>
      <c r="DK14" s="272">
        <v>32007</v>
      </c>
      <c r="DL14" s="272">
        <v>81214</v>
      </c>
      <c r="DM14" s="272">
        <v>39000</v>
      </c>
      <c r="DN14" s="272">
        <v>0</v>
      </c>
      <c r="DO14" s="272">
        <v>0</v>
      </c>
      <c r="DP14" s="272">
        <v>0</v>
      </c>
      <c r="DQ14" s="272">
        <v>1000000</v>
      </c>
      <c r="DR14" s="272">
        <v>0</v>
      </c>
      <c r="DS14" s="272">
        <v>0</v>
      </c>
      <c r="DT14" s="272">
        <v>9571375</v>
      </c>
      <c r="DU14" s="272">
        <v>5996267</v>
      </c>
      <c r="DV14" s="455">
        <f t="shared" si="11"/>
        <v>0</v>
      </c>
      <c r="DW14" s="272">
        <v>0</v>
      </c>
      <c r="DX14" s="272">
        <v>0</v>
      </c>
      <c r="DY14" s="272">
        <v>0</v>
      </c>
      <c r="DZ14" s="272">
        <v>2288979</v>
      </c>
      <c r="EA14" s="272">
        <v>1268876</v>
      </c>
      <c r="EB14" s="272"/>
      <c r="EC14" s="272">
        <v>749129</v>
      </c>
      <c r="ED14" s="272">
        <v>106505283</v>
      </c>
      <c r="EF14" s="272">
        <v>-830900</v>
      </c>
      <c r="EG14" s="272">
        <v>997516</v>
      </c>
      <c r="EH14" s="272">
        <v>-1828416</v>
      </c>
      <c r="EI14" s="272">
        <v>-606576</v>
      </c>
      <c r="EJ14" s="272">
        <v>-612944</v>
      </c>
      <c r="EL14" s="272"/>
      <c r="EM14" s="272">
        <v>399063</v>
      </c>
      <c r="EN14" s="272">
        <v>548826</v>
      </c>
      <c r="EO14" s="272">
        <v>300363</v>
      </c>
      <c r="EP14" s="455">
        <f t="shared" si="12"/>
        <v>1174234</v>
      </c>
      <c r="EQ14" s="272">
        <v>70341258</v>
      </c>
      <c r="ER14" s="272">
        <v>-7066299</v>
      </c>
      <c r="ES14" s="272">
        <v>28166362</v>
      </c>
      <c r="ET14" s="272">
        <v>19890286</v>
      </c>
      <c r="EU14" s="272">
        <v>4614012</v>
      </c>
      <c r="EV14" s="272">
        <v>10021390</v>
      </c>
      <c r="EW14" s="455">
        <f t="shared" si="13"/>
        <v>6045938</v>
      </c>
      <c r="EX14" s="272">
        <v>6035515</v>
      </c>
      <c r="EY14" s="272">
        <v>229657</v>
      </c>
      <c r="EZ14" s="272">
        <v>5798367</v>
      </c>
      <c r="FA14" s="272">
        <v>10423</v>
      </c>
      <c r="FB14" s="272"/>
      <c r="FC14" s="272">
        <v>7320301</v>
      </c>
      <c r="FD14" s="272">
        <v>10507646</v>
      </c>
      <c r="FE14" s="272">
        <v>4651372</v>
      </c>
      <c r="FF14" s="272">
        <v>9393079</v>
      </c>
      <c r="FG14" s="455">
        <f t="shared" si="14"/>
        <v>2169729</v>
      </c>
      <c r="FH14" s="272">
        <v>78238457</v>
      </c>
      <c r="FI14" s="384">
        <f t="shared" si="15"/>
        <v>-2.7</v>
      </c>
      <c r="FJ14" s="272">
        <v>68239919</v>
      </c>
      <c r="FK14" s="272"/>
      <c r="FL14" s="272">
        <v>49119682</v>
      </c>
      <c r="FM14" s="272">
        <v>52194157</v>
      </c>
      <c r="FN14" s="460">
        <v>0.95299999999999996</v>
      </c>
      <c r="FO14" s="388">
        <v>98.7</v>
      </c>
      <c r="FP14" s="388">
        <v>42.6</v>
      </c>
      <c r="FQ14" s="388">
        <v>7.1</v>
      </c>
      <c r="FR14" s="388">
        <v>15.4</v>
      </c>
      <c r="FS14" s="388">
        <v>10.7</v>
      </c>
      <c r="FT14" s="388">
        <v>15</v>
      </c>
      <c r="FU14" s="388">
        <v>5.7</v>
      </c>
      <c r="FV14" s="388">
        <v>9.6</v>
      </c>
      <c r="FW14" s="272">
        <v>104015645</v>
      </c>
      <c r="FX14" s="384">
        <f t="shared" si="16"/>
        <v>152.4</v>
      </c>
      <c r="FY14" s="272">
        <v>14807001</v>
      </c>
      <c r="FZ14" s="272">
        <v>0</v>
      </c>
      <c r="GA14" s="272">
        <v>4399685</v>
      </c>
      <c r="GB14" s="272">
        <v>10407316</v>
      </c>
      <c r="GC14" s="272"/>
      <c r="GD14" s="272">
        <v>31358560</v>
      </c>
      <c r="GE14" s="384">
        <f t="shared" si="17"/>
        <v>46</v>
      </c>
      <c r="GF14" s="388">
        <v>97.5</v>
      </c>
      <c r="GG14" s="388">
        <v>18.7</v>
      </c>
      <c r="GH14" s="388">
        <v>91.4</v>
      </c>
      <c r="GI14" s="272">
        <v>2881</v>
      </c>
    </row>
    <row r="15" spans="2:191" x14ac:dyDescent="0.15">
      <c r="B15" s="89" t="s">
        <v>23</v>
      </c>
      <c r="C15" s="272">
        <v>47610356</v>
      </c>
      <c r="D15" s="455">
        <f t="shared" si="0"/>
        <v>17018752</v>
      </c>
      <c r="E15" s="272">
        <v>250288</v>
      </c>
      <c r="F15" s="272">
        <v>16768464</v>
      </c>
      <c r="G15" s="455">
        <f t="shared" si="1"/>
        <v>5103352</v>
      </c>
      <c r="H15" s="272">
        <v>680629</v>
      </c>
      <c r="I15" s="272">
        <v>4422723</v>
      </c>
      <c r="J15" s="272">
        <v>19488955</v>
      </c>
      <c r="K15" s="272">
        <v>10013466</v>
      </c>
      <c r="L15" s="272">
        <v>6489840</v>
      </c>
      <c r="M15" s="272">
        <v>2754927</v>
      </c>
      <c r="N15" s="272">
        <v>1163971</v>
      </c>
      <c r="O15" s="272">
        <v>4424204</v>
      </c>
      <c r="P15" s="272">
        <v>3011418</v>
      </c>
      <c r="Q15" s="272">
        <v>1412786</v>
      </c>
      <c r="R15" s="272">
        <v>1717451</v>
      </c>
      <c r="S15" s="272">
        <v>1215649</v>
      </c>
      <c r="T15" s="455">
        <f t="shared" si="2"/>
        <v>1813892</v>
      </c>
      <c r="U15" s="272">
        <v>773323</v>
      </c>
      <c r="V15" s="272"/>
      <c r="W15" s="272"/>
      <c r="X15" s="272"/>
      <c r="Y15" s="272">
        <v>190263</v>
      </c>
      <c r="Z15" s="272">
        <v>10764</v>
      </c>
      <c r="AA15" s="272">
        <v>839542</v>
      </c>
      <c r="AB15" s="272"/>
      <c r="AC15" s="272">
        <v>242331</v>
      </c>
      <c r="AD15" s="272">
        <v>0</v>
      </c>
      <c r="AE15" s="272">
        <v>242331</v>
      </c>
      <c r="AF15" s="272">
        <v>57751</v>
      </c>
      <c r="AG15" s="272">
        <v>479240</v>
      </c>
      <c r="AH15" s="455">
        <f t="shared" si="3"/>
        <v>1806625</v>
      </c>
      <c r="AI15" s="272">
        <v>1503169</v>
      </c>
      <c r="AJ15" s="272">
        <v>303456</v>
      </c>
      <c r="AK15" s="272">
        <v>5180168</v>
      </c>
      <c r="AL15" s="455">
        <f t="shared" si="4"/>
        <v>2357771</v>
      </c>
      <c r="AM15" s="272">
        <v>1624269</v>
      </c>
      <c r="AN15" s="272">
        <v>482758</v>
      </c>
      <c r="AO15" s="272">
        <v>0</v>
      </c>
      <c r="AP15" s="272">
        <v>250744</v>
      </c>
      <c r="AQ15" s="272">
        <v>929744</v>
      </c>
      <c r="AR15" s="272">
        <v>0</v>
      </c>
      <c r="AS15" s="272">
        <v>0</v>
      </c>
      <c r="AT15" s="272">
        <v>3664464</v>
      </c>
      <c r="AU15" s="272">
        <v>1380274</v>
      </c>
      <c r="AV15" s="272">
        <v>241385</v>
      </c>
      <c r="AW15" s="272">
        <v>232391</v>
      </c>
      <c r="AX15" s="272">
        <v>2284190</v>
      </c>
      <c r="AY15" s="272">
        <v>455107</v>
      </c>
      <c r="AZ15" s="272">
        <v>111259</v>
      </c>
      <c r="BA15" s="272">
        <v>248</v>
      </c>
      <c r="BB15" s="272">
        <v>156120</v>
      </c>
      <c r="BC15" s="272">
        <v>1481963</v>
      </c>
      <c r="BD15" s="272">
        <v>0</v>
      </c>
      <c r="BE15" s="272">
        <v>0</v>
      </c>
      <c r="BF15" s="272">
        <v>1004900</v>
      </c>
      <c r="BG15" s="272">
        <v>0</v>
      </c>
      <c r="BH15" s="272">
        <v>1754824</v>
      </c>
      <c r="BI15" s="272">
        <v>527789</v>
      </c>
      <c r="BJ15" s="272">
        <v>1986007</v>
      </c>
      <c r="BK15" s="272">
        <v>308729</v>
      </c>
      <c r="BL15" s="272">
        <v>43511</v>
      </c>
      <c r="BM15" s="272">
        <v>269701</v>
      </c>
      <c r="BN15" s="272">
        <v>7356800</v>
      </c>
      <c r="BO15" s="455">
        <f t="shared" si="5"/>
        <v>3976800</v>
      </c>
      <c r="BP15" s="455">
        <f t="shared" si="6"/>
        <v>3380000</v>
      </c>
      <c r="BQ15" s="272">
        <v>3380000</v>
      </c>
      <c r="BR15" s="272"/>
      <c r="BS15" s="272"/>
      <c r="BT15" s="272">
        <v>0</v>
      </c>
      <c r="BU15" s="272">
        <v>75419251</v>
      </c>
      <c r="BV15" s="272"/>
      <c r="BW15" s="272">
        <v>19745720</v>
      </c>
      <c r="BX15" s="272">
        <v>14699537</v>
      </c>
      <c r="BY15" s="272">
        <v>1292159</v>
      </c>
      <c r="BZ15" s="272">
        <v>579364</v>
      </c>
      <c r="CA15" s="272">
        <v>6739114</v>
      </c>
      <c r="CB15" s="272">
        <v>1174921</v>
      </c>
      <c r="CC15" s="272">
        <v>1462512</v>
      </c>
      <c r="CD15" s="272">
        <v>1799015</v>
      </c>
      <c r="CE15" s="272">
        <v>2191946</v>
      </c>
      <c r="CF15" s="272">
        <v>347</v>
      </c>
      <c r="CG15" s="272">
        <v>106738</v>
      </c>
      <c r="CH15" s="272">
        <v>3871442</v>
      </c>
      <c r="CI15" s="272">
        <v>1833115</v>
      </c>
      <c r="CJ15" s="455">
        <f t="shared" si="7"/>
        <v>2038327</v>
      </c>
      <c r="CK15" s="272">
        <v>10831283</v>
      </c>
      <c r="CL15" s="272">
        <v>5822828</v>
      </c>
      <c r="CM15" s="272">
        <v>441239</v>
      </c>
      <c r="CN15" s="272">
        <v>3004261</v>
      </c>
      <c r="CO15" s="272">
        <v>1497589</v>
      </c>
      <c r="CP15" s="272">
        <v>2625991</v>
      </c>
      <c r="CQ15" s="272">
        <v>1560</v>
      </c>
      <c r="CR15" s="272">
        <v>1151232</v>
      </c>
      <c r="CS15" s="272">
        <v>867314</v>
      </c>
      <c r="CT15" s="455">
        <f t="shared" si="8"/>
        <v>309861</v>
      </c>
      <c r="CU15" s="272">
        <v>159861</v>
      </c>
      <c r="CV15" s="272">
        <v>150000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19837968</v>
      </c>
      <c r="DD15" s="272">
        <v>2227149</v>
      </c>
      <c r="DE15" s="272">
        <v>17346081</v>
      </c>
      <c r="DF15" s="272">
        <v>0</v>
      </c>
      <c r="DG15" s="272">
        <v>264738</v>
      </c>
      <c r="DH15" s="272">
        <v>7380</v>
      </c>
      <c r="DI15" s="272">
        <v>102400</v>
      </c>
      <c r="DJ15" s="272">
        <v>30800</v>
      </c>
      <c r="DK15" s="272">
        <v>0</v>
      </c>
      <c r="DL15" s="272">
        <v>71600</v>
      </c>
      <c r="DM15" s="272">
        <v>51200</v>
      </c>
      <c r="DN15" s="272">
        <v>0</v>
      </c>
      <c r="DO15" s="272">
        <v>0</v>
      </c>
      <c r="DP15" s="272">
        <v>0</v>
      </c>
      <c r="DQ15" s="272">
        <v>304000</v>
      </c>
      <c r="DR15" s="272">
        <v>0</v>
      </c>
      <c r="DS15" s="272">
        <v>0</v>
      </c>
      <c r="DT15" s="272">
        <v>7750010</v>
      </c>
      <c r="DU15" s="272">
        <v>5275000</v>
      </c>
      <c r="DV15" s="455">
        <f t="shared" si="11"/>
        <v>0</v>
      </c>
      <c r="DW15" s="272">
        <v>0</v>
      </c>
      <c r="DX15" s="272">
        <v>0</v>
      </c>
      <c r="DY15" s="272">
        <v>0</v>
      </c>
      <c r="DZ15" s="272">
        <v>1648000</v>
      </c>
      <c r="EA15" s="272">
        <v>781346</v>
      </c>
      <c r="EB15" s="272"/>
      <c r="EC15" s="272">
        <v>0</v>
      </c>
      <c r="ED15" s="272">
        <v>73364097</v>
      </c>
      <c r="EF15" s="272">
        <v>2055154</v>
      </c>
      <c r="EG15" s="272">
        <v>1454114</v>
      </c>
      <c r="EH15" s="272">
        <v>601040</v>
      </c>
      <c r="EI15" s="272">
        <v>73251</v>
      </c>
      <c r="EJ15" s="272">
        <v>104051</v>
      </c>
      <c r="EL15" s="272"/>
      <c r="EM15" s="272">
        <v>254271</v>
      </c>
      <c r="EN15" s="272">
        <v>472965</v>
      </c>
      <c r="EO15" s="272">
        <v>13684</v>
      </c>
      <c r="EP15" s="455">
        <f t="shared" si="12"/>
        <v>2949306</v>
      </c>
      <c r="EQ15" s="272">
        <v>51441781</v>
      </c>
      <c r="ER15" s="272">
        <v>-6758204</v>
      </c>
      <c r="ES15" s="272">
        <v>17919426</v>
      </c>
      <c r="ET15" s="272">
        <v>12971625</v>
      </c>
      <c r="EU15" s="272">
        <v>2316131</v>
      </c>
      <c r="EV15" s="272">
        <v>3790255</v>
      </c>
      <c r="EW15" s="455">
        <f t="shared" si="13"/>
        <v>12089091</v>
      </c>
      <c r="EX15" s="272">
        <v>12087929</v>
      </c>
      <c r="EY15" s="272">
        <v>577941</v>
      </c>
      <c r="EZ15" s="272">
        <v>11509802</v>
      </c>
      <c r="FA15" s="272">
        <v>1162</v>
      </c>
      <c r="FB15" s="272"/>
      <c r="FC15" s="272">
        <v>8592789</v>
      </c>
      <c r="FD15" s="272">
        <v>2306409</v>
      </c>
      <c r="FE15" s="272">
        <v>1560</v>
      </c>
      <c r="FF15" s="272">
        <v>7663628</v>
      </c>
      <c r="FG15" s="455">
        <f t="shared" si="14"/>
        <v>1467102</v>
      </c>
      <c r="FH15" s="272">
        <v>56144831</v>
      </c>
      <c r="FI15" s="384">
        <f t="shared" si="15"/>
        <v>1.2</v>
      </c>
      <c r="FJ15" s="272">
        <v>48804316</v>
      </c>
      <c r="FK15" s="272"/>
      <c r="FL15" s="272">
        <v>36739152</v>
      </c>
      <c r="FM15" s="272">
        <v>33855181</v>
      </c>
      <c r="FN15" s="460">
        <v>1.1140000000000001</v>
      </c>
      <c r="FO15" s="388">
        <v>82.4</v>
      </c>
      <c r="FP15" s="388">
        <v>37.299999999999997</v>
      </c>
      <c r="FQ15" s="388">
        <v>4.9000000000000004</v>
      </c>
      <c r="FR15" s="388">
        <v>8</v>
      </c>
      <c r="FS15" s="388">
        <v>17.399999999999999</v>
      </c>
      <c r="FT15" s="388">
        <v>3.6</v>
      </c>
      <c r="FU15" s="388">
        <v>8.1</v>
      </c>
      <c r="FV15" s="388">
        <v>3.8</v>
      </c>
      <c r="FW15" s="272">
        <v>48148396</v>
      </c>
      <c r="FX15" s="384">
        <f t="shared" si="16"/>
        <v>98.7</v>
      </c>
      <c r="FY15" s="272">
        <v>15724480</v>
      </c>
      <c r="FZ15" s="272">
        <v>5104400</v>
      </c>
      <c r="GA15" s="272"/>
      <c r="GB15" s="272">
        <v>10620080</v>
      </c>
      <c r="GC15" s="272"/>
      <c r="GD15" s="272">
        <v>13897858</v>
      </c>
      <c r="GE15" s="384">
        <f t="shared" si="17"/>
        <v>28.5</v>
      </c>
      <c r="GF15" s="388">
        <v>99</v>
      </c>
      <c r="GG15" s="388">
        <v>19.600000000000001</v>
      </c>
      <c r="GH15" s="388">
        <v>96.4</v>
      </c>
      <c r="GI15" s="272">
        <v>1936</v>
      </c>
    </row>
    <row r="16" spans="2:191" x14ac:dyDescent="0.15">
      <c r="B16" s="89" t="s">
        <v>25</v>
      </c>
      <c r="C16" s="272">
        <v>44586640</v>
      </c>
      <c r="D16" s="455">
        <f t="shared" si="0"/>
        <v>15098023</v>
      </c>
      <c r="E16" s="272">
        <v>253363</v>
      </c>
      <c r="F16" s="272">
        <v>14844660</v>
      </c>
      <c r="G16" s="455">
        <f t="shared" si="1"/>
        <v>4433907</v>
      </c>
      <c r="H16" s="272">
        <v>627032</v>
      </c>
      <c r="I16" s="272">
        <v>3806875</v>
      </c>
      <c r="J16" s="272">
        <v>18714506</v>
      </c>
      <c r="K16" s="272">
        <v>9948264</v>
      </c>
      <c r="L16" s="272">
        <v>5921539</v>
      </c>
      <c r="M16" s="272">
        <v>2605307</v>
      </c>
      <c r="N16" s="272">
        <v>1619763</v>
      </c>
      <c r="O16" s="272">
        <v>4485144</v>
      </c>
      <c r="P16" s="272">
        <v>3176905</v>
      </c>
      <c r="Q16" s="272">
        <v>1308239</v>
      </c>
      <c r="R16" s="272">
        <v>1902487</v>
      </c>
      <c r="S16" s="272">
        <v>1387516</v>
      </c>
      <c r="T16" s="455">
        <f t="shared" si="2"/>
        <v>1580353</v>
      </c>
      <c r="U16" s="272">
        <v>715659</v>
      </c>
      <c r="V16" s="272"/>
      <c r="W16" s="272"/>
      <c r="X16" s="272"/>
      <c r="Y16" s="272">
        <v>0</v>
      </c>
      <c r="Z16" s="272">
        <v>5615</v>
      </c>
      <c r="AA16" s="272">
        <v>859079</v>
      </c>
      <c r="AB16" s="272"/>
      <c r="AC16" s="272">
        <v>3839864</v>
      </c>
      <c r="AD16" s="272">
        <v>2931966</v>
      </c>
      <c r="AE16" s="272">
        <v>907898</v>
      </c>
      <c r="AF16" s="272">
        <v>66098</v>
      </c>
      <c r="AG16" s="272">
        <v>2165660</v>
      </c>
      <c r="AH16" s="455">
        <f t="shared" si="3"/>
        <v>1879507</v>
      </c>
      <c r="AI16" s="272">
        <v>1220194</v>
      </c>
      <c r="AJ16" s="272">
        <v>659313</v>
      </c>
      <c r="AK16" s="272">
        <v>8304235</v>
      </c>
      <c r="AL16" s="455">
        <f t="shared" si="4"/>
        <v>5177956</v>
      </c>
      <c r="AM16" s="272">
        <v>4028661</v>
      </c>
      <c r="AN16" s="272">
        <v>628782</v>
      </c>
      <c r="AO16" s="272">
        <v>0</v>
      </c>
      <c r="AP16" s="272">
        <v>520513</v>
      </c>
      <c r="AQ16" s="272">
        <v>1400416</v>
      </c>
      <c r="AR16" s="272">
        <v>0</v>
      </c>
      <c r="AS16" s="272">
        <v>51173</v>
      </c>
      <c r="AT16" s="272">
        <v>4462435</v>
      </c>
      <c r="AU16" s="272">
        <v>1184049</v>
      </c>
      <c r="AV16" s="272">
        <v>316733</v>
      </c>
      <c r="AW16" s="272">
        <v>16788</v>
      </c>
      <c r="AX16" s="272">
        <v>3278386</v>
      </c>
      <c r="AY16" s="272">
        <v>935229</v>
      </c>
      <c r="AZ16" s="272">
        <v>3398133</v>
      </c>
      <c r="BA16" s="272">
        <v>3272743</v>
      </c>
      <c r="BB16" s="272">
        <v>628654</v>
      </c>
      <c r="BC16" s="272">
        <v>385996</v>
      </c>
      <c r="BD16" s="272">
        <v>0</v>
      </c>
      <c r="BE16" s="272">
        <v>0</v>
      </c>
      <c r="BF16" s="272">
        <v>370711</v>
      </c>
      <c r="BG16" s="272">
        <v>0</v>
      </c>
      <c r="BH16" s="272">
        <v>156684</v>
      </c>
      <c r="BI16" s="272">
        <v>105274</v>
      </c>
      <c r="BJ16" s="272">
        <v>2250498</v>
      </c>
      <c r="BK16" s="272">
        <v>1551596</v>
      </c>
      <c r="BL16" s="272">
        <v>1500</v>
      </c>
      <c r="BM16" s="272">
        <v>227627</v>
      </c>
      <c r="BN16" s="272">
        <v>9993100</v>
      </c>
      <c r="BO16" s="455">
        <f t="shared" si="5"/>
        <v>7058400</v>
      </c>
      <c r="BP16" s="455">
        <f t="shared" si="6"/>
        <v>2934700</v>
      </c>
      <c r="BQ16" s="272">
        <v>2934700</v>
      </c>
      <c r="BR16" s="272"/>
      <c r="BS16" s="272"/>
      <c r="BT16" s="272">
        <v>0</v>
      </c>
      <c r="BU16" s="272">
        <v>85651517</v>
      </c>
      <c r="BV16" s="272"/>
      <c r="BW16" s="272">
        <v>21543453</v>
      </c>
      <c r="BX16" s="272">
        <v>15922578</v>
      </c>
      <c r="BY16" s="272">
        <v>1300740</v>
      </c>
      <c r="BZ16" s="272">
        <v>993960</v>
      </c>
      <c r="CA16" s="272">
        <v>12944543</v>
      </c>
      <c r="CB16" s="272">
        <v>1187679</v>
      </c>
      <c r="CC16" s="272">
        <v>2303822</v>
      </c>
      <c r="CD16" s="272">
        <v>2242847</v>
      </c>
      <c r="CE16" s="272">
        <v>5339927</v>
      </c>
      <c r="CF16" s="272">
        <v>1593188</v>
      </c>
      <c r="CG16" s="272">
        <v>276660</v>
      </c>
      <c r="CH16" s="272">
        <v>7747836</v>
      </c>
      <c r="CI16" s="272">
        <v>4258711</v>
      </c>
      <c r="CJ16" s="455">
        <f t="shared" si="7"/>
        <v>3489125</v>
      </c>
      <c r="CK16" s="272">
        <v>9387459</v>
      </c>
      <c r="CL16" s="272">
        <v>5490351</v>
      </c>
      <c r="CM16" s="272">
        <v>671743</v>
      </c>
      <c r="CN16" s="272">
        <v>1956345</v>
      </c>
      <c r="CO16" s="272">
        <v>449003</v>
      </c>
      <c r="CP16" s="272">
        <v>3048929</v>
      </c>
      <c r="CQ16" s="272">
        <v>61754</v>
      </c>
      <c r="CR16" s="272">
        <v>1052685</v>
      </c>
      <c r="CS16" s="272">
        <v>529633</v>
      </c>
      <c r="CT16" s="455">
        <f t="shared" si="8"/>
        <v>806973</v>
      </c>
      <c r="CU16" s="272">
        <v>740410</v>
      </c>
      <c r="CV16" s="272">
        <v>66563</v>
      </c>
      <c r="CW16" s="455">
        <f t="shared" si="9"/>
        <v>729513</v>
      </c>
      <c r="CX16" s="272">
        <v>662950</v>
      </c>
      <c r="CY16" s="272">
        <v>66563</v>
      </c>
      <c r="CZ16" s="455">
        <f t="shared" si="10"/>
        <v>0</v>
      </c>
      <c r="DA16" s="272">
        <v>0</v>
      </c>
      <c r="DB16" s="272">
        <v>0</v>
      </c>
      <c r="DC16" s="272">
        <v>19227996</v>
      </c>
      <c r="DD16" s="272">
        <v>2503729</v>
      </c>
      <c r="DE16" s="272">
        <v>16626895</v>
      </c>
      <c r="DF16" s="272">
        <v>56075</v>
      </c>
      <c r="DG16" s="272">
        <v>41297</v>
      </c>
      <c r="DH16" s="272">
        <v>0</v>
      </c>
      <c r="DI16" s="272">
        <v>2234171</v>
      </c>
      <c r="DJ16" s="272">
        <v>591087</v>
      </c>
      <c r="DK16" s="272">
        <v>0</v>
      </c>
      <c r="DL16" s="272">
        <v>1643084</v>
      </c>
      <c r="DM16" s="272">
        <v>18500</v>
      </c>
      <c r="DN16" s="272">
        <v>0</v>
      </c>
      <c r="DO16" s="272">
        <v>0</v>
      </c>
      <c r="DP16" s="272">
        <v>0</v>
      </c>
      <c r="DQ16" s="272">
        <v>1558135</v>
      </c>
      <c r="DR16" s="272">
        <v>0</v>
      </c>
      <c r="DS16" s="272">
        <v>0</v>
      </c>
      <c r="DT16" s="272">
        <v>7121581</v>
      </c>
      <c r="DU16" s="272">
        <v>4267685</v>
      </c>
      <c r="DV16" s="455">
        <f t="shared" si="11"/>
        <v>0</v>
      </c>
      <c r="DW16" s="272">
        <v>0</v>
      </c>
      <c r="DX16" s="272">
        <v>0</v>
      </c>
      <c r="DY16" s="272">
        <v>0</v>
      </c>
      <c r="DZ16" s="272">
        <v>1804043</v>
      </c>
      <c r="EA16" s="272">
        <v>1042853</v>
      </c>
      <c r="EB16" s="272"/>
      <c r="EC16" s="272">
        <v>0</v>
      </c>
      <c r="ED16" s="272">
        <v>85281606</v>
      </c>
      <c r="EF16" s="272">
        <v>369911</v>
      </c>
      <c r="EG16" s="272">
        <v>161328</v>
      </c>
      <c r="EH16" s="272">
        <v>208583</v>
      </c>
      <c r="EI16" s="272">
        <v>103309</v>
      </c>
      <c r="EJ16" s="272">
        <v>694396</v>
      </c>
      <c r="EL16" s="272"/>
      <c r="EM16" s="272">
        <v>269101</v>
      </c>
      <c r="EN16" s="272">
        <v>285</v>
      </c>
      <c r="EO16" s="272">
        <v>3285946</v>
      </c>
      <c r="EP16" s="455">
        <f t="shared" si="12"/>
        <v>1037159</v>
      </c>
      <c r="EQ16" s="272">
        <v>52026615</v>
      </c>
      <c r="ER16" s="272">
        <v>-7140819</v>
      </c>
      <c r="ES16" s="272">
        <v>19615784</v>
      </c>
      <c r="ET16" s="272">
        <v>14425392</v>
      </c>
      <c r="EU16" s="272">
        <v>3449561</v>
      </c>
      <c r="EV16" s="272">
        <v>7603979</v>
      </c>
      <c r="EW16" s="455">
        <f t="shared" si="13"/>
        <v>9567358</v>
      </c>
      <c r="EX16" s="272">
        <v>9567358</v>
      </c>
      <c r="EY16" s="272">
        <v>205345</v>
      </c>
      <c r="EZ16" s="272">
        <v>9349635</v>
      </c>
      <c r="FA16" s="272">
        <v>0</v>
      </c>
      <c r="FB16" s="272"/>
      <c r="FC16" s="272">
        <v>7277091</v>
      </c>
      <c r="FD16" s="272">
        <v>2584623</v>
      </c>
      <c r="FE16" s="272">
        <v>61754</v>
      </c>
      <c r="FF16" s="272">
        <v>6705357</v>
      </c>
      <c r="FG16" s="455">
        <f t="shared" si="14"/>
        <v>1995870</v>
      </c>
      <c r="FH16" s="272">
        <v>58799623</v>
      </c>
      <c r="FI16" s="384">
        <f t="shared" si="15"/>
        <v>0.4</v>
      </c>
      <c r="FJ16" s="272">
        <v>47927831</v>
      </c>
      <c r="FK16" s="272"/>
      <c r="FL16" s="272">
        <v>33926067</v>
      </c>
      <c r="FM16" s="272">
        <v>36877313</v>
      </c>
      <c r="FN16" s="460">
        <v>0.93899999999999995</v>
      </c>
      <c r="FO16" s="388">
        <v>92.1</v>
      </c>
      <c r="FP16" s="388">
        <v>40.700000000000003</v>
      </c>
      <c r="FQ16" s="388">
        <v>7.4</v>
      </c>
      <c r="FR16" s="388">
        <v>16.2</v>
      </c>
      <c r="FS16" s="388">
        <v>13.9</v>
      </c>
      <c r="FT16" s="388">
        <v>4</v>
      </c>
      <c r="FU16" s="388">
        <v>9</v>
      </c>
      <c r="FV16" s="388">
        <v>12.3</v>
      </c>
      <c r="FW16" s="272">
        <v>80273985</v>
      </c>
      <c r="FX16" s="384">
        <f t="shared" si="16"/>
        <v>167.5</v>
      </c>
      <c r="FY16" s="272">
        <v>12480079</v>
      </c>
      <c r="FZ16" s="272">
        <v>3708538</v>
      </c>
      <c r="GA16" s="272"/>
      <c r="GB16" s="272">
        <v>8771541</v>
      </c>
      <c r="GC16" s="272"/>
      <c r="GD16" s="272">
        <v>24653262</v>
      </c>
      <c r="GE16" s="384">
        <f t="shared" si="17"/>
        <v>51.4</v>
      </c>
      <c r="GF16" s="388">
        <v>98.2</v>
      </c>
      <c r="GG16" s="388">
        <v>31.5</v>
      </c>
      <c r="GH16" s="388">
        <v>95</v>
      </c>
      <c r="GI16" s="272">
        <v>1986</v>
      </c>
    </row>
    <row r="17" spans="2:191" x14ac:dyDescent="0.15">
      <c r="B17" s="89" t="s">
        <v>27</v>
      </c>
      <c r="C17" s="272">
        <v>20900266</v>
      </c>
      <c r="D17" s="455">
        <f t="shared" si="0"/>
        <v>3916405</v>
      </c>
      <c r="E17" s="272">
        <v>83969</v>
      </c>
      <c r="F17" s="272">
        <v>3832436</v>
      </c>
      <c r="G17" s="455">
        <f t="shared" si="1"/>
        <v>1505429</v>
      </c>
      <c r="H17" s="272">
        <v>401687</v>
      </c>
      <c r="I17" s="272">
        <v>1103742</v>
      </c>
      <c r="J17" s="272">
        <v>12788651</v>
      </c>
      <c r="K17" s="272">
        <v>5467023</v>
      </c>
      <c r="L17" s="272">
        <v>3103892</v>
      </c>
      <c r="M17" s="272">
        <v>3891013</v>
      </c>
      <c r="N17" s="272">
        <v>527065</v>
      </c>
      <c r="O17" s="272">
        <v>2007850</v>
      </c>
      <c r="P17" s="272">
        <v>1345770</v>
      </c>
      <c r="Q17" s="272">
        <v>662080</v>
      </c>
      <c r="R17" s="272">
        <v>698560</v>
      </c>
      <c r="S17" s="272">
        <v>455410</v>
      </c>
      <c r="T17" s="455">
        <f t="shared" si="2"/>
        <v>622141</v>
      </c>
      <c r="U17" s="272">
        <v>209890</v>
      </c>
      <c r="V17" s="272"/>
      <c r="W17" s="272"/>
      <c r="X17" s="272"/>
      <c r="Y17" s="272">
        <v>79406</v>
      </c>
      <c r="Z17" s="272">
        <v>26081</v>
      </c>
      <c r="AA17" s="272">
        <v>306764</v>
      </c>
      <c r="AB17" s="272"/>
      <c r="AC17" s="272">
        <v>591419</v>
      </c>
      <c r="AD17" s="272">
        <v>0</v>
      </c>
      <c r="AE17" s="272">
        <v>591419</v>
      </c>
      <c r="AF17" s="272">
        <v>23323</v>
      </c>
      <c r="AG17" s="272">
        <v>637613</v>
      </c>
      <c r="AH17" s="455">
        <f t="shared" si="3"/>
        <v>655750</v>
      </c>
      <c r="AI17" s="272">
        <v>571607</v>
      </c>
      <c r="AJ17" s="272">
        <v>84143</v>
      </c>
      <c r="AK17" s="272">
        <v>2622305</v>
      </c>
      <c r="AL17" s="455">
        <f t="shared" si="4"/>
        <v>1381988</v>
      </c>
      <c r="AM17" s="272">
        <v>875867</v>
      </c>
      <c r="AN17" s="272">
        <v>380318</v>
      </c>
      <c r="AO17" s="272">
        <v>0</v>
      </c>
      <c r="AP17" s="272">
        <v>125803</v>
      </c>
      <c r="AQ17" s="272">
        <v>380316</v>
      </c>
      <c r="AR17" s="272">
        <v>8004</v>
      </c>
      <c r="AS17" s="272">
        <v>0</v>
      </c>
      <c r="AT17" s="272">
        <v>3451592</v>
      </c>
      <c r="AU17" s="272">
        <v>986381</v>
      </c>
      <c r="AV17" s="272">
        <v>191573</v>
      </c>
      <c r="AW17" s="272">
        <v>144238</v>
      </c>
      <c r="AX17" s="272">
        <v>2465211</v>
      </c>
      <c r="AY17" s="272">
        <v>1502255</v>
      </c>
      <c r="AZ17" s="272">
        <v>680132</v>
      </c>
      <c r="BA17" s="272">
        <v>642893</v>
      </c>
      <c r="BB17" s="272">
        <v>374986</v>
      </c>
      <c r="BC17" s="272">
        <v>978750</v>
      </c>
      <c r="BD17" s="272">
        <v>0</v>
      </c>
      <c r="BE17" s="272">
        <v>200000</v>
      </c>
      <c r="BF17" s="272">
        <v>778750</v>
      </c>
      <c r="BG17" s="272">
        <v>0</v>
      </c>
      <c r="BH17" s="272">
        <v>231843</v>
      </c>
      <c r="BI17" s="272">
        <v>92781</v>
      </c>
      <c r="BJ17" s="272">
        <v>1772560</v>
      </c>
      <c r="BK17" s="272">
        <v>64543</v>
      </c>
      <c r="BL17" s="272">
        <v>0</v>
      </c>
      <c r="BM17" s="272">
        <v>161356</v>
      </c>
      <c r="BN17" s="272">
        <v>8974603</v>
      </c>
      <c r="BO17" s="455">
        <f t="shared" si="5"/>
        <v>8121403</v>
      </c>
      <c r="BP17" s="455">
        <f t="shared" si="6"/>
        <v>853200</v>
      </c>
      <c r="BQ17" s="272">
        <v>853200</v>
      </c>
      <c r="BR17" s="272"/>
      <c r="BS17" s="272"/>
      <c r="BT17" s="272">
        <v>0</v>
      </c>
      <c r="BU17" s="272">
        <v>43215843</v>
      </c>
      <c r="BV17" s="272"/>
      <c r="BW17" s="272">
        <v>9947841</v>
      </c>
      <c r="BX17" s="272">
        <v>6979265</v>
      </c>
      <c r="BY17" s="272">
        <v>826043</v>
      </c>
      <c r="BZ17" s="272">
        <v>515000</v>
      </c>
      <c r="CA17" s="272">
        <v>3725250</v>
      </c>
      <c r="CB17" s="272">
        <v>345707</v>
      </c>
      <c r="CC17" s="272">
        <v>966953</v>
      </c>
      <c r="CD17" s="272">
        <v>1208554</v>
      </c>
      <c r="CE17" s="272">
        <v>1158719</v>
      </c>
      <c r="CF17" s="272">
        <v>3411</v>
      </c>
      <c r="CG17" s="272">
        <v>41832</v>
      </c>
      <c r="CH17" s="272">
        <v>3367215</v>
      </c>
      <c r="CI17" s="272">
        <v>1351691</v>
      </c>
      <c r="CJ17" s="455">
        <f t="shared" si="7"/>
        <v>2015524</v>
      </c>
      <c r="CK17" s="272">
        <v>3613966</v>
      </c>
      <c r="CL17" s="272">
        <v>1955364</v>
      </c>
      <c r="CM17" s="272">
        <v>41517</v>
      </c>
      <c r="CN17" s="272">
        <v>796251</v>
      </c>
      <c r="CO17" s="272">
        <v>203982</v>
      </c>
      <c r="CP17" s="272">
        <v>3708826</v>
      </c>
      <c r="CQ17" s="272">
        <v>1530031</v>
      </c>
      <c r="CR17" s="272">
        <v>1092162</v>
      </c>
      <c r="CS17" s="272">
        <v>909634</v>
      </c>
      <c r="CT17" s="455">
        <f t="shared" si="8"/>
        <v>433982</v>
      </c>
      <c r="CU17" s="272">
        <v>270659</v>
      </c>
      <c r="CV17" s="272">
        <v>163323</v>
      </c>
      <c r="CW17" s="455">
        <f t="shared" si="9"/>
        <v>407304</v>
      </c>
      <c r="CX17" s="272">
        <v>243981</v>
      </c>
      <c r="CY17" s="272">
        <v>163323</v>
      </c>
      <c r="CZ17" s="455">
        <f t="shared" si="10"/>
        <v>0</v>
      </c>
      <c r="DA17" s="272">
        <v>0</v>
      </c>
      <c r="DB17" s="272">
        <v>0</v>
      </c>
      <c r="DC17" s="272">
        <v>14170982</v>
      </c>
      <c r="DD17" s="272">
        <v>1209602</v>
      </c>
      <c r="DE17" s="272">
        <v>11764698</v>
      </c>
      <c r="DF17" s="272">
        <v>586109</v>
      </c>
      <c r="DG17" s="272">
        <v>610573</v>
      </c>
      <c r="DH17" s="272">
        <v>13837</v>
      </c>
      <c r="DI17" s="272">
        <v>1308149</v>
      </c>
      <c r="DJ17" s="272">
        <v>49284</v>
      </c>
      <c r="DK17" s="272">
        <v>338364</v>
      </c>
      <c r="DL17" s="272">
        <v>920501</v>
      </c>
      <c r="DM17" s="272">
        <v>75450</v>
      </c>
      <c r="DN17" s="272">
        <v>0</v>
      </c>
      <c r="DO17" s="272">
        <v>0</v>
      </c>
      <c r="DP17" s="272">
        <v>0</v>
      </c>
      <c r="DQ17" s="272">
        <v>50000</v>
      </c>
      <c r="DR17" s="272">
        <v>0</v>
      </c>
      <c r="DS17" s="272">
        <v>0</v>
      </c>
      <c r="DT17" s="272">
        <v>2632923</v>
      </c>
      <c r="DU17" s="272">
        <v>1391000</v>
      </c>
      <c r="DV17" s="455">
        <f t="shared" si="11"/>
        <v>0</v>
      </c>
      <c r="DW17" s="272">
        <v>0</v>
      </c>
      <c r="DX17" s="272">
        <v>0</v>
      </c>
      <c r="DY17" s="272">
        <v>0</v>
      </c>
      <c r="DZ17" s="272">
        <v>781008</v>
      </c>
      <c r="EA17" s="272">
        <v>436021</v>
      </c>
      <c r="EB17" s="272"/>
      <c r="EC17" s="272">
        <v>0</v>
      </c>
      <c r="ED17" s="272">
        <v>42818421</v>
      </c>
      <c r="EF17" s="272">
        <v>397422</v>
      </c>
      <c r="EG17" s="272">
        <v>314262</v>
      </c>
      <c r="EH17" s="272">
        <v>83160</v>
      </c>
      <c r="EI17" s="272">
        <v>-9621</v>
      </c>
      <c r="EJ17" s="272">
        <v>39663</v>
      </c>
      <c r="EL17" s="272"/>
      <c r="EM17" s="272">
        <v>94360</v>
      </c>
      <c r="EN17" s="272">
        <v>200000</v>
      </c>
      <c r="EO17" s="272">
        <v>766</v>
      </c>
      <c r="EP17" s="455">
        <f t="shared" si="12"/>
        <v>1061699</v>
      </c>
      <c r="EQ17" s="272">
        <v>22835709</v>
      </c>
      <c r="ER17" s="272">
        <v>-2092342</v>
      </c>
      <c r="ES17" s="272">
        <v>8891226</v>
      </c>
      <c r="ET17" s="272">
        <v>5954809</v>
      </c>
      <c r="EU17" s="272">
        <v>1232047</v>
      </c>
      <c r="EV17" s="272">
        <v>3198918</v>
      </c>
      <c r="EW17" s="455">
        <f t="shared" si="13"/>
        <v>2457669</v>
      </c>
      <c r="EX17" s="272">
        <v>2457669</v>
      </c>
      <c r="EY17" s="272">
        <v>77004</v>
      </c>
      <c r="EZ17" s="272">
        <v>2363402</v>
      </c>
      <c r="FA17" s="272">
        <v>0</v>
      </c>
      <c r="FB17" s="272"/>
      <c r="FC17" s="272">
        <v>2840853</v>
      </c>
      <c r="FD17" s="272">
        <v>3327009</v>
      </c>
      <c r="FE17" s="272">
        <v>1530031</v>
      </c>
      <c r="FF17" s="272">
        <v>2214548</v>
      </c>
      <c r="FG17" s="455">
        <f t="shared" si="14"/>
        <v>619954</v>
      </c>
      <c r="FH17" s="272">
        <v>24782224</v>
      </c>
      <c r="FI17" s="384">
        <f t="shared" si="15"/>
        <v>0.4</v>
      </c>
      <c r="FJ17" s="272">
        <v>21215583</v>
      </c>
      <c r="FK17" s="272"/>
      <c r="FL17" s="272">
        <v>15981214</v>
      </c>
      <c r="FM17" s="272">
        <v>13715362</v>
      </c>
      <c r="FN17" s="460">
        <v>1.0840000000000001</v>
      </c>
      <c r="FO17" s="388">
        <v>94.7</v>
      </c>
      <c r="FP17" s="388">
        <v>42</v>
      </c>
      <c r="FQ17" s="388">
        <v>6.1</v>
      </c>
      <c r="FR17" s="388">
        <v>15.7</v>
      </c>
      <c r="FS17" s="388">
        <v>11.7</v>
      </c>
      <c r="FT17" s="388">
        <v>11.4</v>
      </c>
      <c r="FU17" s="388">
        <v>6.9</v>
      </c>
      <c r="FV17" s="388">
        <v>12.1</v>
      </c>
      <c r="FW17" s="272">
        <v>66864984</v>
      </c>
      <c r="FX17" s="384">
        <f t="shared" si="16"/>
        <v>315.2</v>
      </c>
      <c r="FY17" s="272">
        <v>7850791</v>
      </c>
      <c r="FZ17" s="272">
        <v>396985</v>
      </c>
      <c r="GA17" s="272">
        <v>1724529</v>
      </c>
      <c r="GB17" s="272">
        <v>5729277</v>
      </c>
      <c r="GC17" s="272"/>
      <c r="GD17" s="272">
        <v>10173585</v>
      </c>
      <c r="GE17" s="384">
        <f t="shared" si="17"/>
        <v>48</v>
      </c>
      <c r="GF17" s="388">
        <v>97.7</v>
      </c>
      <c r="GG17" s="388">
        <v>20.3</v>
      </c>
      <c r="GH17" s="388">
        <v>92.3</v>
      </c>
      <c r="GI17" s="272">
        <v>1006</v>
      </c>
    </row>
    <row r="18" spans="2:191" x14ac:dyDescent="0.15">
      <c r="B18" s="89" t="s">
        <v>29</v>
      </c>
      <c r="C18" s="272">
        <v>15554911</v>
      </c>
      <c r="D18" s="455">
        <f t="shared" si="0"/>
        <v>6697804</v>
      </c>
      <c r="E18" s="272">
        <v>101264</v>
      </c>
      <c r="F18" s="272">
        <v>6596540</v>
      </c>
      <c r="G18" s="455">
        <f t="shared" si="1"/>
        <v>681631</v>
      </c>
      <c r="H18" s="272">
        <v>172943</v>
      </c>
      <c r="I18" s="272">
        <v>508688</v>
      </c>
      <c r="J18" s="272">
        <v>5920814</v>
      </c>
      <c r="K18" s="272">
        <v>2825911</v>
      </c>
      <c r="L18" s="272">
        <v>2415976</v>
      </c>
      <c r="M18" s="272">
        <v>640067</v>
      </c>
      <c r="N18" s="272">
        <v>454052</v>
      </c>
      <c r="O18" s="272">
        <v>1395149</v>
      </c>
      <c r="P18" s="272">
        <v>896180</v>
      </c>
      <c r="Q18" s="272">
        <v>498969</v>
      </c>
      <c r="R18" s="272">
        <v>730568</v>
      </c>
      <c r="S18" s="272">
        <v>489781</v>
      </c>
      <c r="T18" s="455">
        <f t="shared" si="2"/>
        <v>780447</v>
      </c>
      <c r="U18" s="272">
        <v>298489</v>
      </c>
      <c r="V18" s="272"/>
      <c r="W18" s="272"/>
      <c r="X18" s="272"/>
      <c r="Y18" s="272">
        <v>75153</v>
      </c>
      <c r="Z18" s="272">
        <v>4317</v>
      </c>
      <c r="AA18" s="272">
        <v>402488</v>
      </c>
      <c r="AB18" s="272"/>
      <c r="AC18" s="272">
        <v>4254021</v>
      </c>
      <c r="AD18" s="272">
        <v>3988758</v>
      </c>
      <c r="AE18" s="272">
        <v>265263</v>
      </c>
      <c r="AF18" s="272">
        <v>25990</v>
      </c>
      <c r="AG18" s="272">
        <v>285400</v>
      </c>
      <c r="AH18" s="455">
        <f t="shared" si="3"/>
        <v>1516159</v>
      </c>
      <c r="AI18" s="272">
        <v>1065293</v>
      </c>
      <c r="AJ18" s="272">
        <v>450866</v>
      </c>
      <c r="AK18" s="272">
        <v>2326798</v>
      </c>
      <c r="AL18" s="455">
        <f t="shared" si="4"/>
        <v>1587271</v>
      </c>
      <c r="AM18" s="272">
        <v>1199196</v>
      </c>
      <c r="AN18" s="272">
        <v>221331</v>
      </c>
      <c r="AO18" s="272">
        <v>0</v>
      </c>
      <c r="AP18" s="272">
        <v>166744</v>
      </c>
      <c r="AQ18" s="272">
        <v>185488</v>
      </c>
      <c r="AR18" s="272">
        <v>0</v>
      </c>
      <c r="AS18" s="272">
        <v>0</v>
      </c>
      <c r="AT18" s="272">
        <v>1485045</v>
      </c>
      <c r="AU18" s="272">
        <v>517383</v>
      </c>
      <c r="AV18" s="272">
        <v>176646</v>
      </c>
      <c r="AW18" s="272">
        <v>42366</v>
      </c>
      <c r="AX18" s="272">
        <v>967662</v>
      </c>
      <c r="AY18" s="272">
        <v>119098</v>
      </c>
      <c r="AZ18" s="272">
        <v>81969</v>
      </c>
      <c r="BA18" s="272">
        <v>9234</v>
      </c>
      <c r="BB18" s="272">
        <v>236984</v>
      </c>
      <c r="BC18" s="272">
        <v>1527463</v>
      </c>
      <c r="BD18" s="272">
        <v>409367</v>
      </c>
      <c r="BE18" s="272">
        <v>0</v>
      </c>
      <c r="BF18" s="272">
        <v>1118096</v>
      </c>
      <c r="BG18" s="272">
        <v>0</v>
      </c>
      <c r="BH18" s="272">
        <v>624620</v>
      </c>
      <c r="BI18" s="272">
        <v>418224</v>
      </c>
      <c r="BJ18" s="272">
        <v>1652994</v>
      </c>
      <c r="BK18" s="272">
        <v>1182038</v>
      </c>
      <c r="BL18" s="272">
        <v>0</v>
      </c>
      <c r="BM18" s="272">
        <v>209163</v>
      </c>
      <c r="BN18" s="272">
        <v>1996200</v>
      </c>
      <c r="BO18" s="455">
        <f t="shared" si="5"/>
        <v>632600</v>
      </c>
      <c r="BP18" s="455">
        <f t="shared" si="6"/>
        <v>1363600</v>
      </c>
      <c r="BQ18" s="272">
        <v>1363600</v>
      </c>
      <c r="BR18" s="272"/>
      <c r="BS18" s="272"/>
      <c r="BT18" s="272">
        <v>0</v>
      </c>
      <c r="BU18" s="272">
        <v>33079569</v>
      </c>
      <c r="BV18" s="272"/>
      <c r="BW18" s="272">
        <v>8361886</v>
      </c>
      <c r="BX18" s="272">
        <v>6431033</v>
      </c>
      <c r="BY18" s="272">
        <v>373921</v>
      </c>
      <c r="BZ18" s="272">
        <v>54612</v>
      </c>
      <c r="CA18" s="272">
        <v>4029208</v>
      </c>
      <c r="CB18" s="272">
        <v>606738</v>
      </c>
      <c r="CC18" s="272">
        <v>824770</v>
      </c>
      <c r="CD18" s="272">
        <v>897699</v>
      </c>
      <c r="CE18" s="272">
        <v>1635629</v>
      </c>
      <c r="CF18" s="272">
        <v>0</v>
      </c>
      <c r="CG18" s="272">
        <v>64372</v>
      </c>
      <c r="CH18" s="272">
        <v>4560667</v>
      </c>
      <c r="CI18" s="272">
        <v>3057548</v>
      </c>
      <c r="CJ18" s="455">
        <f t="shared" si="7"/>
        <v>1503119</v>
      </c>
      <c r="CK18" s="272">
        <v>5279801</v>
      </c>
      <c r="CL18" s="272">
        <v>3111059</v>
      </c>
      <c r="CM18" s="272">
        <v>517108</v>
      </c>
      <c r="CN18" s="272">
        <v>922512</v>
      </c>
      <c r="CO18" s="272">
        <v>351853</v>
      </c>
      <c r="CP18" s="272">
        <v>2299916</v>
      </c>
      <c r="CQ18" s="272">
        <v>998084</v>
      </c>
      <c r="CR18" s="272">
        <v>705219</v>
      </c>
      <c r="CS18" s="272">
        <v>597408</v>
      </c>
      <c r="CT18" s="455">
        <f t="shared" si="8"/>
        <v>1169</v>
      </c>
      <c r="CU18" s="272">
        <v>1169</v>
      </c>
      <c r="CV18" s="272">
        <v>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2781452</v>
      </c>
      <c r="DD18" s="272">
        <v>434688</v>
      </c>
      <c r="DE18" s="272">
        <v>2274997</v>
      </c>
      <c r="DF18" s="272">
        <v>71767</v>
      </c>
      <c r="DG18" s="272">
        <v>0</v>
      </c>
      <c r="DH18" s="272">
        <v>0</v>
      </c>
      <c r="DI18" s="272">
        <v>1408577</v>
      </c>
      <c r="DJ18" s="272">
        <v>365927</v>
      </c>
      <c r="DK18" s="272">
        <v>0</v>
      </c>
      <c r="DL18" s="272">
        <v>1042650</v>
      </c>
      <c r="DM18" s="272">
        <v>0</v>
      </c>
      <c r="DN18" s="272">
        <v>0</v>
      </c>
      <c r="DO18" s="272">
        <v>0</v>
      </c>
      <c r="DP18" s="272">
        <v>0</v>
      </c>
      <c r="DQ18" s="272">
        <v>1178820</v>
      </c>
      <c r="DR18" s="272">
        <v>0</v>
      </c>
      <c r="DS18" s="272">
        <v>0</v>
      </c>
      <c r="DT18" s="272">
        <v>2386755</v>
      </c>
      <c r="DU18" s="272">
        <v>1105688</v>
      </c>
      <c r="DV18" s="455">
        <f t="shared" si="11"/>
        <v>0</v>
      </c>
      <c r="DW18" s="272">
        <v>0</v>
      </c>
      <c r="DX18" s="272">
        <v>0</v>
      </c>
      <c r="DY18" s="272">
        <v>0</v>
      </c>
      <c r="DZ18" s="272">
        <v>827865</v>
      </c>
      <c r="EA18" s="272">
        <v>432787</v>
      </c>
      <c r="EB18" s="272"/>
      <c r="EC18" s="272">
        <v>0</v>
      </c>
      <c r="ED18" s="272">
        <v>32638935</v>
      </c>
      <c r="EF18" s="272">
        <v>440634</v>
      </c>
      <c r="EG18" s="272">
        <v>20999</v>
      </c>
      <c r="EH18" s="272">
        <v>419635</v>
      </c>
      <c r="EI18" s="272">
        <v>1411</v>
      </c>
      <c r="EJ18" s="272">
        <v>-42029</v>
      </c>
      <c r="EL18" s="272"/>
      <c r="EM18" s="272">
        <v>122992</v>
      </c>
      <c r="EN18" s="272">
        <v>409500</v>
      </c>
      <c r="EO18" s="272">
        <v>5</v>
      </c>
      <c r="EP18" s="455">
        <f t="shared" si="12"/>
        <v>861133</v>
      </c>
      <c r="EQ18" s="272">
        <v>21345937</v>
      </c>
      <c r="ER18" s="272">
        <v>-2608248</v>
      </c>
      <c r="ES18" s="272">
        <v>7511781</v>
      </c>
      <c r="ET18" s="272">
        <v>5609879</v>
      </c>
      <c r="EU18" s="272">
        <v>1412540</v>
      </c>
      <c r="EV18" s="272">
        <v>3649379</v>
      </c>
      <c r="EW18" s="455">
        <f t="shared" si="13"/>
        <v>1518256</v>
      </c>
      <c r="EX18" s="272">
        <v>1518256</v>
      </c>
      <c r="EY18" s="272">
        <v>69584</v>
      </c>
      <c r="EZ18" s="272">
        <v>1401410</v>
      </c>
      <c r="FA18" s="272">
        <v>0</v>
      </c>
      <c r="FB18" s="272"/>
      <c r="FC18" s="272">
        <v>4130836</v>
      </c>
      <c r="FD18" s="272">
        <v>2099042</v>
      </c>
      <c r="FE18" s="272">
        <v>998084</v>
      </c>
      <c r="FF18" s="272">
        <v>2159217</v>
      </c>
      <c r="FG18" s="455">
        <f t="shared" si="14"/>
        <v>1032500</v>
      </c>
      <c r="FH18" s="272">
        <v>23513551</v>
      </c>
      <c r="FI18" s="384">
        <f t="shared" si="15"/>
        <v>2</v>
      </c>
      <c r="FJ18" s="272">
        <v>20754442</v>
      </c>
      <c r="FK18" s="272"/>
      <c r="FL18" s="272">
        <v>12656252</v>
      </c>
      <c r="FM18" s="272">
        <v>16645010</v>
      </c>
      <c r="FN18" s="460">
        <v>0.754</v>
      </c>
      <c r="FO18" s="388">
        <v>96.9</v>
      </c>
      <c r="FP18" s="388">
        <v>37.200000000000003</v>
      </c>
      <c r="FQ18" s="388">
        <v>7.1</v>
      </c>
      <c r="FR18" s="388">
        <v>18.399999999999999</v>
      </c>
      <c r="FS18" s="388">
        <v>20.2</v>
      </c>
      <c r="FT18" s="388">
        <v>8.1</v>
      </c>
      <c r="FU18" s="388">
        <v>4.0999999999999996</v>
      </c>
      <c r="FV18" s="388">
        <v>13.3</v>
      </c>
      <c r="FW18" s="272">
        <v>30274485</v>
      </c>
      <c r="FX18" s="384">
        <f t="shared" si="16"/>
        <v>145.9</v>
      </c>
      <c r="FY18" s="272">
        <v>9747964</v>
      </c>
      <c r="FZ18" s="272">
        <v>2193650</v>
      </c>
      <c r="GA18" s="272"/>
      <c r="GB18" s="272">
        <v>7554314</v>
      </c>
      <c r="GC18" s="272"/>
      <c r="GD18" s="272">
        <v>1300328</v>
      </c>
      <c r="GE18" s="384">
        <f t="shared" si="17"/>
        <v>6.3</v>
      </c>
      <c r="GF18" s="388">
        <v>97.3</v>
      </c>
      <c r="GG18" s="388">
        <v>28</v>
      </c>
      <c r="GH18" s="388">
        <v>92.5</v>
      </c>
      <c r="GI18" s="272">
        <v>880</v>
      </c>
    </row>
    <row r="19" spans="2:191" x14ac:dyDescent="0.15">
      <c r="B19" s="89" t="s">
        <v>31</v>
      </c>
      <c r="C19" s="272">
        <v>32862548</v>
      </c>
      <c r="D19" s="455">
        <f t="shared" si="0"/>
        <v>13789618</v>
      </c>
      <c r="E19" s="272">
        <v>240220</v>
      </c>
      <c r="F19" s="272">
        <v>13549398</v>
      </c>
      <c r="G19" s="455">
        <f t="shared" si="1"/>
        <v>2803504</v>
      </c>
      <c r="H19" s="272">
        <v>499488</v>
      </c>
      <c r="I19" s="272">
        <v>2304016</v>
      </c>
      <c r="J19" s="272">
        <v>11642652</v>
      </c>
      <c r="K19" s="272">
        <v>5828732</v>
      </c>
      <c r="L19" s="272">
        <v>4337676</v>
      </c>
      <c r="M19" s="272">
        <v>1245313</v>
      </c>
      <c r="N19" s="272">
        <v>1324563</v>
      </c>
      <c r="O19" s="272">
        <v>3154385</v>
      </c>
      <c r="P19" s="272">
        <v>2152502</v>
      </c>
      <c r="Q19" s="272">
        <v>1001883</v>
      </c>
      <c r="R19" s="272">
        <v>1540340</v>
      </c>
      <c r="S19" s="272">
        <v>1110144</v>
      </c>
      <c r="T19" s="455">
        <f t="shared" si="2"/>
        <v>1372230</v>
      </c>
      <c r="U19" s="272">
        <v>646655</v>
      </c>
      <c r="V19" s="272"/>
      <c r="W19" s="272"/>
      <c r="X19" s="272"/>
      <c r="Y19" s="272">
        <v>0</v>
      </c>
      <c r="Z19" s="272">
        <v>5530</v>
      </c>
      <c r="AA19" s="272">
        <v>720045</v>
      </c>
      <c r="AB19" s="272"/>
      <c r="AC19" s="272">
        <v>7302621</v>
      </c>
      <c r="AD19" s="272">
        <v>6808067</v>
      </c>
      <c r="AE19" s="272">
        <v>494554</v>
      </c>
      <c r="AF19" s="272">
        <v>49554</v>
      </c>
      <c r="AG19" s="272">
        <v>547115</v>
      </c>
      <c r="AH19" s="455">
        <f t="shared" si="3"/>
        <v>1319141</v>
      </c>
      <c r="AI19" s="272">
        <v>853823</v>
      </c>
      <c r="AJ19" s="272">
        <v>465318</v>
      </c>
      <c r="AK19" s="272">
        <v>6385843</v>
      </c>
      <c r="AL19" s="455">
        <f t="shared" si="4"/>
        <v>4219807</v>
      </c>
      <c r="AM19" s="272">
        <v>2846506</v>
      </c>
      <c r="AN19" s="272">
        <v>910345</v>
      </c>
      <c r="AO19" s="272">
        <v>0</v>
      </c>
      <c r="AP19" s="272">
        <v>462956</v>
      </c>
      <c r="AQ19" s="272">
        <v>836515</v>
      </c>
      <c r="AR19" s="272">
        <v>0</v>
      </c>
      <c r="AS19" s="272">
        <v>0</v>
      </c>
      <c r="AT19" s="272">
        <v>3608619</v>
      </c>
      <c r="AU19" s="272">
        <v>1267687</v>
      </c>
      <c r="AV19" s="272">
        <v>546195</v>
      </c>
      <c r="AW19" s="272">
        <v>12606</v>
      </c>
      <c r="AX19" s="272">
        <v>2340932</v>
      </c>
      <c r="AY19" s="272">
        <v>502436</v>
      </c>
      <c r="AZ19" s="272">
        <v>127291</v>
      </c>
      <c r="BA19" s="272">
        <v>83262</v>
      </c>
      <c r="BB19" s="272">
        <v>536542</v>
      </c>
      <c r="BC19" s="272">
        <v>1994462</v>
      </c>
      <c r="BD19" s="272">
        <v>0</v>
      </c>
      <c r="BE19" s="272">
        <v>380745</v>
      </c>
      <c r="BF19" s="272">
        <v>1601153</v>
      </c>
      <c r="BG19" s="272">
        <v>0</v>
      </c>
      <c r="BH19" s="272">
        <v>0</v>
      </c>
      <c r="BI19" s="272">
        <v>0</v>
      </c>
      <c r="BJ19" s="272">
        <v>3526877</v>
      </c>
      <c r="BK19" s="272">
        <v>2648828</v>
      </c>
      <c r="BL19" s="272">
        <v>0</v>
      </c>
      <c r="BM19" s="272">
        <v>222612</v>
      </c>
      <c r="BN19" s="272">
        <v>6552727</v>
      </c>
      <c r="BO19" s="455">
        <f t="shared" si="5"/>
        <v>3649927</v>
      </c>
      <c r="BP19" s="455">
        <f t="shared" si="6"/>
        <v>2902800</v>
      </c>
      <c r="BQ19" s="272">
        <v>2902800</v>
      </c>
      <c r="BR19" s="272"/>
      <c r="BS19" s="272"/>
      <c r="BT19" s="272">
        <v>0</v>
      </c>
      <c r="BU19" s="272">
        <v>67725910</v>
      </c>
      <c r="BV19" s="272"/>
      <c r="BW19" s="272">
        <v>22198703</v>
      </c>
      <c r="BX19" s="272">
        <v>16837080</v>
      </c>
      <c r="BY19" s="272">
        <v>1599882</v>
      </c>
      <c r="BZ19" s="272">
        <v>291094</v>
      </c>
      <c r="CA19" s="272">
        <v>9059408</v>
      </c>
      <c r="CB19" s="272">
        <v>1071356</v>
      </c>
      <c r="CC19" s="272">
        <v>1971552</v>
      </c>
      <c r="CD19" s="272">
        <v>2089144</v>
      </c>
      <c r="CE19" s="272">
        <v>3816103</v>
      </c>
      <c r="CF19" s="272">
        <v>160</v>
      </c>
      <c r="CG19" s="272">
        <v>109324</v>
      </c>
      <c r="CH19" s="272">
        <v>6218278</v>
      </c>
      <c r="CI19" s="272">
        <v>3398259</v>
      </c>
      <c r="CJ19" s="455">
        <f t="shared" si="7"/>
        <v>2820019</v>
      </c>
      <c r="CK19" s="272">
        <v>7272919</v>
      </c>
      <c r="CL19" s="272">
        <v>3409576</v>
      </c>
      <c r="CM19" s="272">
        <v>569457</v>
      </c>
      <c r="CN19" s="272">
        <v>2045329</v>
      </c>
      <c r="CO19" s="272">
        <v>359500</v>
      </c>
      <c r="CP19" s="272">
        <v>5905186</v>
      </c>
      <c r="CQ19" s="272">
        <v>3756479</v>
      </c>
      <c r="CR19" s="272">
        <v>1226560</v>
      </c>
      <c r="CS19" s="272">
        <v>1121869</v>
      </c>
      <c r="CT19" s="455">
        <f t="shared" si="8"/>
        <v>3300</v>
      </c>
      <c r="CU19" s="272">
        <v>3300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6958536</v>
      </c>
      <c r="DD19" s="272">
        <v>2431866</v>
      </c>
      <c r="DE19" s="272">
        <v>4521620</v>
      </c>
      <c r="DF19" s="272">
        <v>0</v>
      </c>
      <c r="DG19" s="272">
        <v>5050</v>
      </c>
      <c r="DH19" s="272">
        <v>0</v>
      </c>
      <c r="DI19" s="272">
        <v>1539952</v>
      </c>
      <c r="DJ19" s="272">
        <v>420</v>
      </c>
      <c r="DK19" s="272">
        <v>5833</v>
      </c>
      <c r="DL19" s="272">
        <v>1533699</v>
      </c>
      <c r="DM19" s="272">
        <v>190039</v>
      </c>
      <c r="DN19" s="272">
        <v>190039</v>
      </c>
      <c r="DO19" s="272">
        <v>190039</v>
      </c>
      <c r="DP19" s="272">
        <v>0</v>
      </c>
      <c r="DQ19" s="272">
        <v>2655141</v>
      </c>
      <c r="DR19" s="272">
        <v>0</v>
      </c>
      <c r="DS19" s="272">
        <v>0</v>
      </c>
      <c r="DT19" s="272">
        <v>5454829</v>
      </c>
      <c r="DU19" s="272">
        <v>2904576</v>
      </c>
      <c r="DV19" s="455">
        <f t="shared" si="11"/>
        <v>0</v>
      </c>
      <c r="DW19" s="272">
        <v>0</v>
      </c>
      <c r="DX19" s="272">
        <v>0</v>
      </c>
      <c r="DY19" s="272">
        <v>0</v>
      </c>
      <c r="DZ19" s="272">
        <v>1791624</v>
      </c>
      <c r="EA19" s="272">
        <v>755846</v>
      </c>
      <c r="EB19" s="272"/>
      <c r="EC19" s="272">
        <v>90783</v>
      </c>
      <c r="ED19" s="272">
        <v>67903274</v>
      </c>
      <c r="EF19" s="272">
        <v>-177364</v>
      </c>
      <c r="EG19" s="272">
        <v>22872</v>
      </c>
      <c r="EH19" s="272">
        <v>-200236</v>
      </c>
      <c r="EI19" s="272">
        <v>-58777</v>
      </c>
      <c r="EJ19" s="272">
        <v>-58357</v>
      </c>
      <c r="EL19" s="272"/>
      <c r="EM19" s="272">
        <v>255744</v>
      </c>
      <c r="EN19" s="272">
        <v>1157189</v>
      </c>
      <c r="EO19" s="272">
        <v>6747</v>
      </c>
      <c r="EP19" s="455">
        <f t="shared" si="12"/>
        <v>944452</v>
      </c>
      <c r="EQ19" s="272">
        <v>43127293</v>
      </c>
      <c r="ER19" s="272">
        <v>-4961634</v>
      </c>
      <c r="ES19" s="272">
        <v>20258792</v>
      </c>
      <c r="ET19" s="272">
        <v>14994227</v>
      </c>
      <c r="EU19" s="272">
        <v>2745549</v>
      </c>
      <c r="EV19" s="272">
        <v>6077727</v>
      </c>
      <c r="EW19" s="455">
        <f t="shared" si="13"/>
        <v>1484954</v>
      </c>
      <c r="EX19" s="272">
        <v>1484954</v>
      </c>
      <c r="EY19" s="272">
        <v>45065</v>
      </c>
      <c r="EZ19" s="272">
        <v>1439889</v>
      </c>
      <c r="FA19" s="272">
        <v>0</v>
      </c>
      <c r="FB19" s="272"/>
      <c r="FC19" s="272">
        <v>5477095</v>
      </c>
      <c r="FD19" s="272">
        <v>5380467</v>
      </c>
      <c r="FE19" s="272">
        <v>3688779</v>
      </c>
      <c r="FF19" s="272">
        <v>5114442</v>
      </c>
      <c r="FG19" s="455">
        <f t="shared" si="14"/>
        <v>1727265</v>
      </c>
      <c r="FH19" s="272">
        <v>48266291</v>
      </c>
      <c r="FI19" s="384">
        <f t="shared" si="15"/>
        <v>-0.5</v>
      </c>
      <c r="FJ19" s="272">
        <v>41558283</v>
      </c>
      <c r="FK19" s="272"/>
      <c r="FL19" s="272">
        <v>26212574</v>
      </c>
      <c r="FM19" s="272">
        <v>33075036</v>
      </c>
      <c r="FN19" s="460">
        <v>0.78400000000000003</v>
      </c>
      <c r="FO19" s="388">
        <v>105.6</v>
      </c>
      <c r="FP19" s="388">
        <v>49.7</v>
      </c>
      <c r="FQ19" s="388">
        <v>6.9</v>
      </c>
      <c r="FR19" s="388">
        <v>15.2</v>
      </c>
      <c r="FS19" s="388">
        <v>12.3</v>
      </c>
      <c r="FT19" s="388">
        <v>12.4</v>
      </c>
      <c r="FU19" s="388">
        <v>8</v>
      </c>
      <c r="FV19" s="388">
        <v>10.6</v>
      </c>
      <c r="FW19" s="272">
        <v>61812896</v>
      </c>
      <c r="FX19" s="384">
        <f t="shared" si="16"/>
        <v>148.69999999999999</v>
      </c>
      <c r="FY19" s="272">
        <v>5799214</v>
      </c>
      <c r="FZ19" s="272">
        <v>1147</v>
      </c>
      <c r="GA19" s="272">
        <v>580179</v>
      </c>
      <c r="GB19" s="272">
        <v>5217888</v>
      </c>
      <c r="GC19" s="272"/>
      <c r="GD19" s="272">
        <v>7835894</v>
      </c>
      <c r="GE19" s="384">
        <f t="shared" si="17"/>
        <v>18.899999999999999</v>
      </c>
      <c r="GF19" s="388">
        <v>97</v>
      </c>
      <c r="GG19" s="388">
        <v>19.899999999999999</v>
      </c>
      <c r="GH19" s="388">
        <v>89.8</v>
      </c>
      <c r="GI19" s="272">
        <v>2212</v>
      </c>
    </row>
    <row r="20" spans="2:191" x14ac:dyDescent="0.15">
      <c r="B20" s="89" t="s">
        <v>33</v>
      </c>
      <c r="C20" s="272">
        <v>16451189</v>
      </c>
      <c r="D20" s="455">
        <f t="shared" si="0"/>
        <v>7753447</v>
      </c>
      <c r="E20" s="272">
        <v>101790</v>
      </c>
      <c r="F20" s="272">
        <v>7651657</v>
      </c>
      <c r="G20" s="455">
        <f t="shared" si="1"/>
        <v>748505</v>
      </c>
      <c r="H20" s="272">
        <v>168657</v>
      </c>
      <c r="I20" s="272">
        <v>579848</v>
      </c>
      <c r="J20" s="272">
        <v>5942614</v>
      </c>
      <c r="K20" s="272">
        <v>2500414</v>
      </c>
      <c r="L20" s="272">
        <v>2610734</v>
      </c>
      <c r="M20" s="272">
        <v>782213</v>
      </c>
      <c r="N20" s="272">
        <v>382147</v>
      </c>
      <c r="O20" s="272">
        <v>1487414</v>
      </c>
      <c r="P20" s="272">
        <v>921420</v>
      </c>
      <c r="Q20" s="272">
        <v>565994</v>
      </c>
      <c r="R20" s="272">
        <v>706895</v>
      </c>
      <c r="S20" s="272">
        <v>434550</v>
      </c>
      <c r="T20" s="455">
        <f t="shared" si="2"/>
        <v>823978</v>
      </c>
      <c r="U20" s="272">
        <v>329799</v>
      </c>
      <c r="V20" s="272"/>
      <c r="W20" s="272"/>
      <c r="X20" s="272"/>
      <c r="Y20" s="272">
        <v>36526</v>
      </c>
      <c r="Z20" s="272">
        <v>2415</v>
      </c>
      <c r="AA20" s="272">
        <v>455238</v>
      </c>
      <c r="AB20" s="272"/>
      <c r="AC20" s="272">
        <v>2409789</v>
      </c>
      <c r="AD20" s="272">
        <v>2147698</v>
      </c>
      <c r="AE20" s="272">
        <v>262091</v>
      </c>
      <c r="AF20" s="272">
        <v>26734</v>
      </c>
      <c r="AG20" s="272">
        <v>286683</v>
      </c>
      <c r="AH20" s="455">
        <f t="shared" si="3"/>
        <v>1015176</v>
      </c>
      <c r="AI20" s="272">
        <v>683440</v>
      </c>
      <c r="AJ20" s="272">
        <v>331736</v>
      </c>
      <c r="AK20" s="272">
        <v>2178411</v>
      </c>
      <c r="AL20" s="455">
        <f t="shared" si="4"/>
        <v>1132042</v>
      </c>
      <c r="AM20" s="272">
        <v>752140</v>
      </c>
      <c r="AN20" s="272">
        <v>227794</v>
      </c>
      <c r="AO20" s="272">
        <v>0</v>
      </c>
      <c r="AP20" s="272">
        <v>152108</v>
      </c>
      <c r="AQ20" s="272">
        <v>366348</v>
      </c>
      <c r="AR20" s="272">
        <v>1334</v>
      </c>
      <c r="AS20" s="272">
        <v>0</v>
      </c>
      <c r="AT20" s="272">
        <v>1533125</v>
      </c>
      <c r="AU20" s="272">
        <v>596395</v>
      </c>
      <c r="AV20" s="272">
        <v>114740</v>
      </c>
      <c r="AW20" s="272">
        <v>149942</v>
      </c>
      <c r="AX20" s="272">
        <v>936730</v>
      </c>
      <c r="AY20" s="272">
        <v>195578</v>
      </c>
      <c r="AZ20" s="272">
        <v>135233</v>
      </c>
      <c r="BA20" s="272">
        <v>133</v>
      </c>
      <c r="BB20" s="272">
        <v>258052</v>
      </c>
      <c r="BC20" s="272">
        <v>96706</v>
      </c>
      <c r="BD20" s="272">
        <v>0</v>
      </c>
      <c r="BE20" s="272">
        <v>0</v>
      </c>
      <c r="BF20" s="272">
        <v>86132</v>
      </c>
      <c r="BG20" s="272">
        <v>0</v>
      </c>
      <c r="BH20" s="272">
        <v>517092</v>
      </c>
      <c r="BI20" s="272">
        <v>291997</v>
      </c>
      <c r="BJ20" s="272">
        <v>1111840</v>
      </c>
      <c r="BK20" s="272">
        <v>941610</v>
      </c>
      <c r="BL20" s="272">
        <v>0</v>
      </c>
      <c r="BM20" s="272">
        <v>0</v>
      </c>
      <c r="BN20" s="272">
        <v>4169400</v>
      </c>
      <c r="BO20" s="455">
        <f t="shared" si="5"/>
        <v>2625500</v>
      </c>
      <c r="BP20" s="455">
        <f t="shared" si="6"/>
        <v>1543900</v>
      </c>
      <c r="BQ20" s="272">
        <v>1543900</v>
      </c>
      <c r="BR20" s="272"/>
      <c r="BS20" s="272"/>
      <c r="BT20" s="272">
        <v>0</v>
      </c>
      <c r="BU20" s="272">
        <v>31720303</v>
      </c>
      <c r="BV20" s="272"/>
      <c r="BW20" s="272">
        <v>6761611</v>
      </c>
      <c r="BX20" s="272">
        <v>4605194</v>
      </c>
      <c r="BY20" s="272">
        <v>430629</v>
      </c>
      <c r="BZ20" s="272">
        <v>530832</v>
      </c>
      <c r="CA20" s="272">
        <v>3292701</v>
      </c>
      <c r="CB20" s="272">
        <v>553908</v>
      </c>
      <c r="CC20" s="272">
        <v>881260</v>
      </c>
      <c r="CD20" s="272">
        <v>825246</v>
      </c>
      <c r="CE20" s="272">
        <v>1009962</v>
      </c>
      <c r="CF20" s="272">
        <v>0</v>
      </c>
      <c r="CG20" s="272">
        <v>22163</v>
      </c>
      <c r="CH20" s="272">
        <v>2725098</v>
      </c>
      <c r="CI20" s="272">
        <v>1486258</v>
      </c>
      <c r="CJ20" s="455">
        <f t="shared" si="7"/>
        <v>1238840</v>
      </c>
      <c r="CK20" s="272">
        <v>5313671</v>
      </c>
      <c r="CL20" s="272">
        <v>3592084</v>
      </c>
      <c r="CM20" s="272">
        <v>95324</v>
      </c>
      <c r="CN20" s="272">
        <v>924727</v>
      </c>
      <c r="CO20" s="272">
        <v>199007</v>
      </c>
      <c r="CP20" s="272">
        <v>2491229</v>
      </c>
      <c r="CQ20" s="272">
        <v>701325</v>
      </c>
      <c r="CR20" s="272">
        <v>1019447</v>
      </c>
      <c r="CS20" s="272">
        <v>589146</v>
      </c>
      <c r="CT20" s="455">
        <f t="shared" si="8"/>
        <v>149390</v>
      </c>
      <c r="CU20" s="272">
        <v>9997</v>
      </c>
      <c r="CV20" s="272">
        <v>139393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6222741</v>
      </c>
      <c r="DD20" s="272">
        <v>1020446</v>
      </c>
      <c r="DE20" s="272">
        <v>5055416</v>
      </c>
      <c r="DF20" s="272">
        <v>146879</v>
      </c>
      <c r="DG20" s="272">
        <v>0</v>
      </c>
      <c r="DH20" s="272">
        <v>53573</v>
      </c>
      <c r="DI20" s="272">
        <v>769344</v>
      </c>
      <c r="DJ20" s="272">
        <v>659150</v>
      </c>
      <c r="DK20" s="272">
        <v>34000</v>
      </c>
      <c r="DL20" s="272">
        <v>76194</v>
      </c>
      <c r="DM20" s="272">
        <v>0</v>
      </c>
      <c r="DN20" s="272">
        <v>0</v>
      </c>
      <c r="DO20" s="272">
        <v>0</v>
      </c>
      <c r="DP20" s="272">
        <v>0</v>
      </c>
      <c r="DQ20" s="272">
        <v>938760</v>
      </c>
      <c r="DR20" s="272">
        <v>0</v>
      </c>
      <c r="DS20" s="272">
        <v>0</v>
      </c>
      <c r="DT20" s="272">
        <v>2061227</v>
      </c>
      <c r="DU20" s="272">
        <v>1123403</v>
      </c>
      <c r="DV20" s="455">
        <f t="shared" si="11"/>
        <v>0</v>
      </c>
      <c r="DW20" s="272">
        <v>0</v>
      </c>
      <c r="DX20" s="272">
        <v>0</v>
      </c>
      <c r="DY20" s="272">
        <v>0</v>
      </c>
      <c r="DZ20" s="272">
        <v>488871</v>
      </c>
      <c r="EA20" s="272">
        <v>448953</v>
      </c>
      <c r="EB20" s="272"/>
      <c r="EC20" s="272">
        <v>0</v>
      </c>
      <c r="ED20" s="272">
        <v>30828962</v>
      </c>
      <c r="EF20" s="272">
        <v>891341</v>
      </c>
      <c r="EG20" s="272">
        <v>584975</v>
      </c>
      <c r="EH20" s="272">
        <v>306366</v>
      </c>
      <c r="EI20" s="272">
        <v>14369</v>
      </c>
      <c r="EJ20" s="272">
        <v>673519</v>
      </c>
      <c r="EL20" s="272"/>
      <c r="EM20" s="272">
        <v>120346</v>
      </c>
      <c r="EN20" s="272">
        <v>0</v>
      </c>
      <c r="EO20" s="272">
        <v>13881</v>
      </c>
      <c r="EP20" s="455">
        <f t="shared" si="12"/>
        <v>896626</v>
      </c>
      <c r="EQ20" s="272">
        <v>20418585</v>
      </c>
      <c r="ER20" s="272">
        <v>-2427673</v>
      </c>
      <c r="ES20" s="272">
        <v>6422978</v>
      </c>
      <c r="ET20" s="272">
        <v>4293609</v>
      </c>
      <c r="EU20" s="272">
        <v>1009115</v>
      </c>
      <c r="EV20" s="272">
        <v>2725098</v>
      </c>
      <c r="EW20" s="455">
        <f t="shared" si="13"/>
        <v>2749079</v>
      </c>
      <c r="EX20" s="272">
        <v>2700717</v>
      </c>
      <c r="EY20" s="272">
        <v>219046</v>
      </c>
      <c r="EZ20" s="272">
        <v>2471867</v>
      </c>
      <c r="FA20" s="272">
        <v>48362</v>
      </c>
      <c r="FB20" s="272"/>
      <c r="FC20" s="272">
        <v>4021324</v>
      </c>
      <c r="FD20" s="272">
        <v>2165385</v>
      </c>
      <c r="FE20" s="272">
        <v>701325</v>
      </c>
      <c r="FF20" s="272">
        <v>2001904</v>
      </c>
      <c r="FG20" s="455">
        <f t="shared" si="14"/>
        <v>860034</v>
      </c>
      <c r="FH20" s="272">
        <v>21954917</v>
      </c>
      <c r="FI20" s="384">
        <f t="shared" si="15"/>
        <v>1.5</v>
      </c>
      <c r="FJ20" s="272">
        <v>20133713</v>
      </c>
      <c r="FK20" s="272"/>
      <c r="FL20" s="272">
        <v>13576677</v>
      </c>
      <c r="FM20" s="272">
        <v>15749847</v>
      </c>
      <c r="FN20" s="460">
        <v>0.84199999999999997</v>
      </c>
      <c r="FO20" s="388">
        <v>88.8</v>
      </c>
      <c r="FP20" s="388">
        <v>33.700000000000003</v>
      </c>
      <c r="FQ20" s="388">
        <v>5.4</v>
      </c>
      <c r="FR20" s="388">
        <v>14.5</v>
      </c>
      <c r="FS20" s="388">
        <v>20.2</v>
      </c>
      <c r="FT20" s="388">
        <v>8.9</v>
      </c>
      <c r="FU20" s="388">
        <v>5.0999999999999996</v>
      </c>
      <c r="FV20" s="388">
        <v>9.6999999999999993</v>
      </c>
      <c r="FW20" s="272">
        <v>28541607</v>
      </c>
      <c r="FX20" s="384">
        <f t="shared" si="16"/>
        <v>141.80000000000001</v>
      </c>
      <c r="FY20" s="272">
        <v>14975215</v>
      </c>
      <c r="FZ20" s="272">
        <v>7154291</v>
      </c>
      <c r="GA20" s="272">
        <v>1764228</v>
      </c>
      <c r="GB20" s="272">
        <v>6056696</v>
      </c>
      <c r="GC20" s="272"/>
      <c r="GD20" s="272">
        <v>9312520</v>
      </c>
      <c r="GE20" s="384">
        <f t="shared" si="17"/>
        <v>46.3</v>
      </c>
      <c r="GF20" s="388">
        <v>97.6</v>
      </c>
      <c r="GG20" s="388">
        <v>18.3</v>
      </c>
      <c r="GH20" s="388">
        <v>92.2</v>
      </c>
      <c r="GI20" s="272">
        <v>634</v>
      </c>
    </row>
    <row r="21" spans="2:191" x14ac:dyDescent="0.15">
      <c r="B21" s="89" t="s">
        <v>35</v>
      </c>
      <c r="C21" s="272">
        <v>16222504</v>
      </c>
      <c r="D21" s="455">
        <f t="shared" si="0"/>
        <v>6062201</v>
      </c>
      <c r="E21" s="272">
        <v>120106</v>
      </c>
      <c r="F21" s="272">
        <v>5942095</v>
      </c>
      <c r="G21" s="455">
        <f t="shared" si="1"/>
        <v>1439514</v>
      </c>
      <c r="H21" s="272">
        <v>217045</v>
      </c>
      <c r="I21" s="272">
        <v>1222469</v>
      </c>
      <c r="J21" s="272">
        <v>6281443</v>
      </c>
      <c r="K21" s="272">
        <v>3538355</v>
      </c>
      <c r="L21" s="272">
        <v>2088683</v>
      </c>
      <c r="M21" s="272">
        <v>619521</v>
      </c>
      <c r="N21" s="272">
        <v>632444</v>
      </c>
      <c r="O21" s="272">
        <v>1623902</v>
      </c>
      <c r="P21" s="272">
        <v>1157446</v>
      </c>
      <c r="Q21" s="272">
        <v>466456</v>
      </c>
      <c r="R21" s="272">
        <v>799221</v>
      </c>
      <c r="S21" s="272">
        <v>570700</v>
      </c>
      <c r="T21" s="455">
        <f t="shared" si="2"/>
        <v>673279</v>
      </c>
      <c r="U21" s="272">
        <v>290140</v>
      </c>
      <c r="V21" s="272"/>
      <c r="W21" s="272"/>
      <c r="X21" s="272"/>
      <c r="Y21" s="272">
        <v>0</v>
      </c>
      <c r="Z21" s="272">
        <v>581</v>
      </c>
      <c r="AA21" s="272">
        <v>382558</v>
      </c>
      <c r="AB21" s="272"/>
      <c r="AC21" s="272">
        <v>6873971</v>
      </c>
      <c r="AD21" s="272">
        <v>6428357</v>
      </c>
      <c r="AE21" s="272">
        <v>445614</v>
      </c>
      <c r="AF21" s="272">
        <v>26710</v>
      </c>
      <c r="AG21" s="272">
        <v>215372</v>
      </c>
      <c r="AH21" s="455">
        <f t="shared" si="3"/>
        <v>494134</v>
      </c>
      <c r="AI21" s="272">
        <v>434804</v>
      </c>
      <c r="AJ21" s="272">
        <v>59330</v>
      </c>
      <c r="AK21" s="272">
        <v>3111797</v>
      </c>
      <c r="AL21" s="455">
        <f t="shared" si="4"/>
        <v>2203338</v>
      </c>
      <c r="AM21" s="272">
        <v>1662881</v>
      </c>
      <c r="AN21" s="272">
        <v>274588</v>
      </c>
      <c r="AO21" s="272">
        <v>0</v>
      </c>
      <c r="AP21" s="272">
        <v>265869</v>
      </c>
      <c r="AQ21" s="272">
        <v>193551</v>
      </c>
      <c r="AR21" s="272">
        <v>0</v>
      </c>
      <c r="AS21" s="272">
        <v>0</v>
      </c>
      <c r="AT21" s="272">
        <v>1974610</v>
      </c>
      <c r="AU21" s="272">
        <v>615715</v>
      </c>
      <c r="AV21" s="272">
        <v>138316</v>
      </c>
      <c r="AW21" s="272">
        <v>57633</v>
      </c>
      <c r="AX21" s="272">
        <v>1358895</v>
      </c>
      <c r="AY21" s="272">
        <v>278204</v>
      </c>
      <c r="AZ21" s="272">
        <v>188466</v>
      </c>
      <c r="BA21" s="272">
        <v>496</v>
      </c>
      <c r="BB21" s="272">
        <v>302154</v>
      </c>
      <c r="BC21" s="272">
        <v>720431</v>
      </c>
      <c r="BD21" s="272">
        <v>0</v>
      </c>
      <c r="BE21" s="272">
        <v>0</v>
      </c>
      <c r="BF21" s="272">
        <v>709000</v>
      </c>
      <c r="BG21" s="272">
        <v>0</v>
      </c>
      <c r="BH21" s="272">
        <v>92902</v>
      </c>
      <c r="BI21" s="272">
        <v>85371</v>
      </c>
      <c r="BJ21" s="272">
        <v>200276</v>
      </c>
      <c r="BK21" s="272">
        <v>63719</v>
      </c>
      <c r="BL21" s="272">
        <v>0</v>
      </c>
      <c r="BM21" s="272">
        <v>0</v>
      </c>
      <c r="BN21" s="272">
        <v>3003200</v>
      </c>
      <c r="BO21" s="455">
        <f t="shared" si="5"/>
        <v>1696500</v>
      </c>
      <c r="BP21" s="455">
        <f t="shared" si="6"/>
        <v>1306700</v>
      </c>
      <c r="BQ21" s="272">
        <v>1306700</v>
      </c>
      <c r="BR21" s="272"/>
      <c r="BS21" s="272"/>
      <c r="BT21" s="272">
        <v>0</v>
      </c>
      <c r="BU21" s="272">
        <v>34899027</v>
      </c>
      <c r="BV21" s="272"/>
      <c r="BW21" s="272">
        <v>9883128</v>
      </c>
      <c r="BX21" s="272">
        <v>7592233</v>
      </c>
      <c r="BY21" s="272">
        <v>480011</v>
      </c>
      <c r="BZ21" s="272">
        <v>183801</v>
      </c>
      <c r="CA21" s="272">
        <v>5054245</v>
      </c>
      <c r="CB21" s="272">
        <v>567920</v>
      </c>
      <c r="CC21" s="272">
        <v>1286297</v>
      </c>
      <c r="CD21" s="272">
        <v>912474</v>
      </c>
      <c r="CE21" s="272">
        <v>2204544</v>
      </c>
      <c r="CF21" s="272">
        <v>0</v>
      </c>
      <c r="CG21" s="272">
        <v>82445</v>
      </c>
      <c r="CH21" s="272">
        <v>3379810</v>
      </c>
      <c r="CI21" s="272">
        <v>1954677</v>
      </c>
      <c r="CJ21" s="455">
        <f t="shared" si="7"/>
        <v>1425133</v>
      </c>
      <c r="CK21" s="272">
        <v>5024922</v>
      </c>
      <c r="CL21" s="272">
        <v>3292546</v>
      </c>
      <c r="CM21" s="272">
        <v>156422</v>
      </c>
      <c r="CN21" s="272">
        <v>921864</v>
      </c>
      <c r="CO21" s="272">
        <v>260333</v>
      </c>
      <c r="CP21" s="272">
        <v>2290599</v>
      </c>
      <c r="CQ21" s="272">
        <v>6214</v>
      </c>
      <c r="CR21" s="272">
        <v>1372313</v>
      </c>
      <c r="CS21" s="272">
        <v>495808</v>
      </c>
      <c r="CT21" s="455">
        <f t="shared" si="8"/>
        <v>619984</v>
      </c>
      <c r="CU21" s="272">
        <v>12000</v>
      </c>
      <c r="CV21" s="272">
        <v>607984</v>
      </c>
      <c r="CW21" s="455">
        <f t="shared" si="9"/>
        <v>551425</v>
      </c>
      <c r="CX21" s="272">
        <v>0</v>
      </c>
      <c r="CY21" s="272">
        <v>551425</v>
      </c>
      <c r="CZ21" s="455">
        <f t="shared" si="10"/>
        <v>0</v>
      </c>
      <c r="DA21" s="272">
        <v>0</v>
      </c>
      <c r="DB21" s="272">
        <v>0</v>
      </c>
      <c r="DC21" s="272">
        <v>3810954</v>
      </c>
      <c r="DD21" s="272">
        <v>433417</v>
      </c>
      <c r="DE21" s="272">
        <v>3377537</v>
      </c>
      <c r="DF21" s="272">
        <v>0</v>
      </c>
      <c r="DG21" s="272">
        <v>0</v>
      </c>
      <c r="DH21" s="272">
        <v>0</v>
      </c>
      <c r="DI21" s="272">
        <v>412789</v>
      </c>
      <c r="DJ21" s="272">
        <v>4278</v>
      </c>
      <c r="DK21" s="272">
        <v>4766</v>
      </c>
      <c r="DL21" s="272">
        <v>403745</v>
      </c>
      <c r="DM21" s="272">
        <v>0</v>
      </c>
      <c r="DN21" s="272">
        <v>0</v>
      </c>
      <c r="DO21" s="272">
        <v>0</v>
      </c>
      <c r="DP21" s="272">
        <v>0</v>
      </c>
      <c r="DQ21" s="272">
        <v>60000</v>
      </c>
      <c r="DR21" s="272">
        <v>0</v>
      </c>
      <c r="DS21" s="272">
        <v>0</v>
      </c>
      <c r="DT21" s="272">
        <v>4574341</v>
      </c>
      <c r="DU21" s="272">
        <v>2870000</v>
      </c>
      <c r="DV21" s="455">
        <f t="shared" si="11"/>
        <v>0</v>
      </c>
      <c r="DW21" s="272">
        <v>0</v>
      </c>
      <c r="DX21" s="272">
        <v>0</v>
      </c>
      <c r="DY21" s="272">
        <v>0</v>
      </c>
      <c r="DZ21" s="272">
        <v>1208791</v>
      </c>
      <c r="EA21" s="272">
        <v>482748</v>
      </c>
      <c r="EB21" s="272"/>
      <c r="EC21" s="272">
        <v>0</v>
      </c>
      <c r="ED21" s="272">
        <v>34751121</v>
      </c>
      <c r="EF21" s="272">
        <v>147906</v>
      </c>
      <c r="EG21" s="272">
        <v>60778</v>
      </c>
      <c r="EH21" s="272">
        <v>87128</v>
      </c>
      <c r="EI21" s="272">
        <v>1757</v>
      </c>
      <c r="EJ21" s="272">
        <v>6035</v>
      </c>
      <c r="EL21" s="272"/>
      <c r="EM21" s="272">
        <v>133299</v>
      </c>
      <c r="EN21" s="272">
        <v>11431</v>
      </c>
      <c r="EO21" s="272">
        <v>145460</v>
      </c>
      <c r="EP21" s="455">
        <f t="shared" si="12"/>
        <v>553259</v>
      </c>
      <c r="EQ21" s="272">
        <v>24595685</v>
      </c>
      <c r="ER21" s="272">
        <v>-1990140</v>
      </c>
      <c r="ES21" s="272">
        <v>9068586</v>
      </c>
      <c r="ET21" s="272">
        <v>6830883</v>
      </c>
      <c r="EU21" s="272">
        <v>1634883</v>
      </c>
      <c r="EV21" s="272">
        <v>3367021</v>
      </c>
      <c r="EW21" s="455">
        <f t="shared" si="13"/>
        <v>992786</v>
      </c>
      <c r="EX21" s="272">
        <v>992786</v>
      </c>
      <c r="EY21" s="272">
        <v>6946</v>
      </c>
      <c r="EZ21" s="272">
        <v>985840</v>
      </c>
      <c r="FA21" s="272">
        <v>0</v>
      </c>
      <c r="FB21" s="272"/>
      <c r="FC21" s="272">
        <v>4442680</v>
      </c>
      <c r="FD21" s="272">
        <v>2004176</v>
      </c>
      <c r="FE21" s="272">
        <v>6214</v>
      </c>
      <c r="FF21" s="272">
        <v>4308740</v>
      </c>
      <c r="FG21" s="455">
        <f t="shared" si="14"/>
        <v>619047</v>
      </c>
      <c r="FH21" s="272">
        <v>26437919</v>
      </c>
      <c r="FI21" s="384">
        <f t="shared" si="15"/>
        <v>0.4</v>
      </c>
      <c r="FJ21" s="272">
        <v>23059004</v>
      </c>
      <c r="FK21" s="272"/>
      <c r="FL21" s="272">
        <v>12554028</v>
      </c>
      <c r="FM21" s="272">
        <v>18982385</v>
      </c>
      <c r="FN21" s="460">
        <v>0.66800000000000004</v>
      </c>
      <c r="FO21" s="388">
        <v>97.6</v>
      </c>
      <c r="FP21" s="388">
        <v>38.5</v>
      </c>
      <c r="FQ21" s="388">
        <v>7.2</v>
      </c>
      <c r="FR21" s="388">
        <v>14.8</v>
      </c>
      <c r="FS21" s="388">
        <v>18.8</v>
      </c>
      <c r="FT21" s="388">
        <v>6.6</v>
      </c>
      <c r="FU21" s="388">
        <v>10.6</v>
      </c>
      <c r="FV21" s="388">
        <v>11</v>
      </c>
      <c r="FW21" s="272">
        <v>32441409</v>
      </c>
      <c r="FX21" s="384">
        <f t="shared" si="16"/>
        <v>140.69999999999999</v>
      </c>
      <c r="FY21" s="272">
        <v>5033980</v>
      </c>
      <c r="FZ21" s="272">
        <v>64278</v>
      </c>
      <c r="GA21" s="272">
        <v>537798</v>
      </c>
      <c r="GB21" s="272">
        <v>4431904</v>
      </c>
      <c r="GC21" s="272"/>
      <c r="GD21" s="272">
        <v>3281480</v>
      </c>
      <c r="GE21" s="384">
        <f t="shared" si="17"/>
        <v>14.2</v>
      </c>
      <c r="GF21" s="388">
        <v>96.9</v>
      </c>
      <c r="GG21" s="388">
        <v>20.3</v>
      </c>
      <c r="GH21" s="388">
        <v>90</v>
      </c>
      <c r="GI21" s="272">
        <v>978</v>
      </c>
    </row>
    <row r="22" spans="2:191" x14ac:dyDescent="0.15">
      <c r="B22" s="89" t="s">
        <v>37</v>
      </c>
      <c r="C22" s="272">
        <v>20021797</v>
      </c>
      <c r="D22" s="455">
        <f t="shared" si="0"/>
        <v>5878192</v>
      </c>
      <c r="E22" s="272">
        <v>121679</v>
      </c>
      <c r="F22" s="272">
        <v>5756513</v>
      </c>
      <c r="G22" s="455">
        <f t="shared" si="1"/>
        <v>2059485</v>
      </c>
      <c r="H22" s="272">
        <v>285925</v>
      </c>
      <c r="I22" s="272">
        <v>1773560</v>
      </c>
      <c r="J22" s="272">
        <v>9168761</v>
      </c>
      <c r="K22" s="272">
        <v>5064774</v>
      </c>
      <c r="L22" s="272">
        <v>2805647</v>
      </c>
      <c r="M22" s="272">
        <v>1166968</v>
      </c>
      <c r="N22" s="272">
        <v>699133</v>
      </c>
      <c r="O22" s="272">
        <v>2114434</v>
      </c>
      <c r="P22" s="272">
        <v>1485580</v>
      </c>
      <c r="Q22" s="272">
        <v>628854</v>
      </c>
      <c r="R22" s="272">
        <v>856557</v>
      </c>
      <c r="S22" s="272">
        <v>629766</v>
      </c>
      <c r="T22" s="455">
        <f t="shared" si="2"/>
        <v>703243</v>
      </c>
      <c r="U22" s="272">
        <v>284966</v>
      </c>
      <c r="V22" s="272"/>
      <c r="W22" s="272"/>
      <c r="X22" s="272"/>
      <c r="Y22" s="272">
        <v>32917</v>
      </c>
      <c r="Z22" s="272">
        <v>5979</v>
      </c>
      <c r="AA22" s="272">
        <v>379381</v>
      </c>
      <c r="AB22" s="272"/>
      <c r="AC22" s="272">
        <v>2545431</v>
      </c>
      <c r="AD22" s="272">
        <v>2154396</v>
      </c>
      <c r="AE22" s="272">
        <v>391035</v>
      </c>
      <c r="AF22" s="272">
        <v>26416</v>
      </c>
      <c r="AG22" s="272">
        <v>402179</v>
      </c>
      <c r="AH22" s="455">
        <f t="shared" si="3"/>
        <v>889753</v>
      </c>
      <c r="AI22" s="272">
        <v>529638</v>
      </c>
      <c r="AJ22" s="272">
        <v>360115</v>
      </c>
      <c r="AK22" s="272">
        <v>3069713</v>
      </c>
      <c r="AL22" s="455">
        <f t="shared" si="4"/>
        <v>1697006</v>
      </c>
      <c r="AM22" s="272">
        <v>996396</v>
      </c>
      <c r="AN22" s="272">
        <v>469286</v>
      </c>
      <c r="AO22" s="272">
        <v>0</v>
      </c>
      <c r="AP22" s="272">
        <v>231324</v>
      </c>
      <c r="AQ22" s="272">
        <v>634115</v>
      </c>
      <c r="AR22" s="272">
        <v>0</v>
      </c>
      <c r="AS22" s="272">
        <v>0</v>
      </c>
      <c r="AT22" s="272">
        <v>3084557</v>
      </c>
      <c r="AU22" s="272">
        <v>988843</v>
      </c>
      <c r="AV22" s="272">
        <v>236264</v>
      </c>
      <c r="AW22" s="272">
        <v>50800</v>
      </c>
      <c r="AX22" s="272">
        <v>2095714</v>
      </c>
      <c r="AY22" s="272">
        <v>1056405</v>
      </c>
      <c r="AZ22" s="272">
        <v>130307</v>
      </c>
      <c r="BA22" s="272">
        <v>42205</v>
      </c>
      <c r="BB22" s="272">
        <v>48685</v>
      </c>
      <c r="BC22" s="272">
        <v>610540</v>
      </c>
      <c r="BD22" s="272">
        <v>350000</v>
      </c>
      <c r="BE22" s="272">
        <v>110000</v>
      </c>
      <c r="BF22" s="272">
        <v>150540</v>
      </c>
      <c r="BG22" s="272">
        <v>0</v>
      </c>
      <c r="BH22" s="272">
        <v>190306</v>
      </c>
      <c r="BI22" s="272">
        <v>109272</v>
      </c>
      <c r="BJ22" s="272">
        <v>2148102</v>
      </c>
      <c r="BK22" s="272">
        <v>1843450</v>
      </c>
      <c r="BL22" s="272">
        <v>65299</v>
      </c>
      <c r="BM22" s="272">
        <v>0</v>
      </c>
      <c r="BN22" s="272">
        <v>4040820</v>
      </c>
      <c r="BO22" s="455">
        <f t="shared" si="5"/>
        <v>2756820</v>
      </c>
      <c r="BP22" s="455">
        <f t="shared" si="6"/>
        <v>1284000</v>
      </c>
      <c r="BQ22" s="272">
        <v>1284000</v>
      </c>
      <c r="BR22" s="272"/>
      <c r="BS22" s="272"/>
      <c r="BT22" s="272">
        <v>0</v>
      </c>
      <c r="BU22" s="272">
        <v>38768406</v>
      </c>
      <c r="BV22" s="272"/>
      <c r="BW22" s="272">
        <v>11365269</v>
      </c>
      <c r="BX22" s="272">
        <v>8645808</v>
      </c>
      <c r="BY22" s="272">
        <v>765148</v>
      </c>
      <c r="BZ22" s="272">
        <v>180938</v>
      </c>
      <c r="CA22" s="272">
        <v>4405831</v>
      </c>
      <c r="CB22" s="272">
        <v>448542</v>
      </c>
      <c r="CC22" s="272">
        <v>1004824</v>
      </c>
      <c r="CD22" s="272">
        <v>1565966</v>
      </c>
      <c r="CE22" s="272">
        <v>1307003</v>
      </c>
      <c r="CF22" s="272">
        <v>580</v>
      </c>
      <c r="CG22" s="272">
        <v>78751</v>
      </c>
      <c r="CH22" s="272">
        <v>3019331</v>
      </c>
      <c r="CI22" s="272">
        <v>1844232</v>
      </c>
      <c r="CJ22" s="455">
        <f t="shared" si="7"/>
        <v>1175099</v>
      </c>
      <c r="CK22" s="272">
        <v>3566925</v>
      </c>
      <c r="CL22" s="272">
        <v>2276186</v>
      </c>
      <c r="CM22" s="272">
        <v>76026</v>
      </c>
      <c r="CN22" s="272">
        <v>752330</v>
      </c>
      <c r="CO22" s="272">
        <v>137197</v>
      </c>
      <c r="CP22" s="272">
        <v>2526973</v>
      </c>
      <c r="CQ22" s="272">
        <v>1406367</v>
      </c>
      <c r="CR22" s="272">
        <v>632931</v>
      </c>
      <c r="CS22" s="272">
        <v>521813</v>
      </c>
      <c r="CT22" s="455">
        <f t="shared" si="8"/>
        <v>31133</v>
      </c>
      <c r="CU22" s="272">
        <v>18321</v>
      </c>
      <c r="CV22" s="272">
        <v>12812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6532977</v>
      </c>
      <c r="DD22" s="272">
        <v>1380620</v>
      </c>
      <c r="DE22" s="272">
        <v>4376709</v>
      </c>
      <c r="DF22" s="272">
        <v>0</v>
      </c>
      <c r="DG22" s="272">
        <v>775648</v>
      </c>
      <c r="DH22" s="272">
        <v>0</v>
      </c>
      <c r="DI22" s="272">
        <v>2203342</v>
      </c>
      <c r="DJ22" s="272">
        <v>1273609</v>
      </c>
      <c r="DK22" s="272">
        <v>363003</v>
      </c>
      <c r="DL22" s="272">
        <v>566730</v>
      </c>
      <c r="DM22" s="272">
        <v>2000</v>
      </c>
      <c r="DN22" s="272">
        <v>0</v>
      </c>
      <c r="DO22" s="272">
        <v>0</v>
      </c>
      <c r="DP22" s="272">
        <v>0</v>
      </c>
      <c r="DQ22" s="272">
        <v>1797438</v>
      </c>
      <c r="DR22" s="272">
        <v>0</v>
      </c>
      <c r="DS22" s="272">
        <v>0</v>
      </c>
      <c r="DT22" s="272">
        <v>2917686</v>
      </c>
      <c r="DU22" s="272">
        <v>1922922</v>
      </c>
      <c r="DV22" s="455">
        <f t="shared" si="11"/>
        <v>0</v>
      </c>
      <c r="DW22" s="272">
        <v>0</v>
      </c>
      <c r="DX22" s="272">
        <v>0</v>
      </c>
      <c r="DY22" s="272">
        <v>0</v>
      </c>
      <c r="DZ22" s="272">
        <v>601918</v>
      </c>
      <c r="EA22" s="272">
        <v>388306</v>
      </c>
      <c r="EB22" s="272"/>
      <c r="EC22" s="272">
        <v>0</v>
      </c>
      <c r="ED22" s="272">
        <v>38474969</v>
      </c>
      <c r="EF22" s="272">
        <v>293437</v>
      </c>
      <c r="EG22" s="272">
        <v>160054</v>
      </c>
      <c r="EH22" s="272">
        <v>133383</v>
      </c>
      <c r="EI22" s="272">
        <v>24111</v>
      </c>
      <c r="EJ22" s="272">
        <v>947720</v>
      </c>
      <c r="EL22" s="272"/>
      <c r="EM22" s="272">
        <v>127307</v>
      </c>
      <c r="EN22" s="272">
        <v>465000</v>
      </c>
      <c r="EO22" s="272">
        <v>43295</v>
      </c>
      <c r="EP22" s="455">
        <f t="shared" si="12"/>
        <v>348363</v>
      </c>
      <c r="EQ22" s="272">
        <v>24153444</v>
      </c>
      <c r="ER22" s="272">
        <v>-2114242</v>
      </c>
      <c r="ES22" s="272">
        <v>10417112</v>
      </c>
      <c r="ET22" s="272">
        <v>8012892</v>
      </c>
      <c r="EU22" s="272">
        <v>1368531</v>
      </c>
      <c r="EV22" s="272">
        <v>2850928</v>
      </c>
      <c r="EW22" s="455">
        <f t="shared" si="13"/>
        <v>1568563</v>
      </c>
      <c r="EX22" s="272">
        <v>1568563</v>
      </c>
      <c r="EY22" s="272">
        <v>68250</v>
      </c>
      <c r="EZ22" s="272">
        <v>1500313</v>
      </c>
      <c r="FA22" s="272">
        <v>0</v>
      </c>
      <c r="FB22" s="272"/>
      <c r="FC22" s="272">
        <v>2626617</v>
      </c>
      <c r="FD22" s="272">
        <v>2185887</v>
      </c>
      <c r="FE22" s="272">
        <v>1406367</v>
      </c>
      <c r="FF22" s="272">
        <v>2732591</v>
      </c>
      <c r="FG22" s="455">
        <f t="shared" si="14"/>
        <v>2224020</v>
      </c>
      <c r="FH22" s="272">
        <v>25974249</v>
      </c>
      <c r="FI22" s="384">
        <f t="shared" si="15"/>
        <v>0.6</v>
      </c>
      <c r="FJ22" s="272">
        <v>21889139</v>
      </c>
      <c r="FK22" s="272"/>
      <c r="FL22" s="272">
        <v>14879013</v>
      </c>
      <c r="FM22" s="272">
        <v>17033409</v>
      </c>
      <c r="FN22" s="460">
        <v>0.87</v>
      </c>
      <c r="FO22" s="388">
        <v>96.2</v>
      </c>
      <c r="FP22" s="388">
        <v>45.8</v>
      </c>
      <c r="FQ22" s="388">
        <v>6.3</v>
      </c>
      <c r="FR22" s="388">
        <v>13.1</v>
      </c>
      <c r="FS22" s="388">
        <v>11.4</v>
      </c>
      <c r="FT22" s="388">
        <v>8.6</v>
      </c>
      <c r="FU22" s="388">
        <v>10.6</v>
      </c>
      <c r="FV22" s="388">
        <v>10.3</v>
      </c>
      <c r="FW22" s="272">
        <v>23343732</v>
      </c>
      <c r="FX22" s="384">
        <f t="shared" si="16"/>
        <v>106.6</v>
      </c>
      <c r="FY22" s="272">
        <v>9963628</v>
      </c>
      <c r="FZ22" s="272">
        <v>3605145</v>
      </c>
      <c r="GA22" s="272">
        <v>1453502</v>
      </c>
      <c r="GB22" s="272">
        <v>4904981</v>
      </c>
      <c r="GC22" s="272"/>
      <c r="GD22" s="272">
        <v>12651941</v>
      </c>
      <c r="GE22" s="384">
        <f t="shared" si="17"/>
        <v>57.8</v>
      </c>
      <c r="GF22" s="388">
        <v>98.2</v>
      </c>
      <c r="GG22" s="388">
        <v>29.2</v>
      </c>
      <c r="GH22" s="388">
        <v>95.4</v>
      </c>
      <c r="GI22" s="272">
        <v>1092</v>
      </c>
    </row>
    <row r="23" spans="2:191" x14ac:dyDescent="0.15">
      <c r="B23" s="89" t="s">
        <v>39</v>
      </c>
      <c r="C23" s="272">
        <v>19509283</v>
      </c>
      <c r="D23" s="455">
        <f t="shared" si="0"/>
        <v>7740209</v>
      </c>
      <c r="E23" s="272">
        <v>137078</v>
      </c>
      <c r="F23" s="272">
        <v>7603131</v>
      </c>
      <c r="G23" s="455">
        <f t="shared" si="1"/>
        <v>1008095</v>
      </c>
      <c r="H23" s="272">
        <v>252329</v>
      </c>
      <c r="I23" s="272">
        <v>755766</v>
      </c>
      <c r="J23" s="272">
        <v>7919365</v>
      </c>
      <c r="K23" s="272">
        <v>4045055</v>
      </c>
      <c r="L23" s="272">
        <v>3024084</v>
      </c>
      <c r="M23" s="272">
        <v>785180</v>
      </c>
      <c r="N23" s="272">
        <v>706373</v>
      </c>
      <c r="O23" s="272">
        <v>1912936</v>
      </c>
      <c r="P23" s="272">
        <v>1273845</v>
      </c>
      <c r="Q23" s="272">
        <v>639091</v>
      </c>
      <c r="R23" s="272">
        <v>943937</v>
      </c>
      <c r="S23" s="272">
        <v>634567</v>
      </c>
      <c r="T23" s="455">
        <f t="shared" si="2"/>
        <v>885193</v>
      </c>
      <c r="U23" s="272">
        <v>348210</v>
      </c>
      <c r="V23" s="272"/>
      <c r="W23" s="272"/>
      <c r="X23" s="272"/>
      <c r="Y23" s="272">
        <v>19017</v>
      </c>
      <c r="Z23" s="272">
        <v>682</v>
      </c>
      <c r="AA23" s="272">
        <v>517284</v>
      </c>
      <c r="AB23" s="272"/>
      <c r="AC23" s="272">
        <v>6295194</v>
      </c>
      <c r="AD23" s="272">
        <v>5404201</v>
      </c>
      <c r="AE23" s="272">
        <v>890993</v>
      </c>
      <c r="AF23" s="272">
        <v>28899</v>
      </c>
      <c r="AG23" s="272">
        <v>277253</v>
      </c>
      <c r="AH23" s="455">
        <f t="shared" si="3"/>
        <v>912100</v>
      </c>
      <c r="AI23" s="272">
        <v>838810</v>
      </c>
      <c r="AJ23" s="272">
        <v>73290</v>
      </c>
      <c r="AK23" s="272">
        <v>5730851</v>
      </c>
      <c r="AL23" s="455">
        <f t="shared" si="4"/>
        <v>2616376</v>
      </c>
      <c r="AM23" s="272">
        <v>1972759</v>
      </c>
      <c r="AN23" s="272">
        <v>402950</v>
      </c>
      <c r="AO23" s="272">
        <v>0</v>
      </c>
      <c r="AP23" s="272">
        <v>240667</v>
      </c>
      <c r="AQ23" s="272">
        <v>1993502</v>
      </c>
      <c r="AR23" s="272">
        <v>0</v>
      </c>
      <c r="AS23" s="272">
        <v>284423</v>
      </c>
      <c r="AT23" s="272">
        <v>3115271</v>
      </c>
      <c r="AU23" s="272">
        <v>824238</v>
      </c>
      <c r="AV23" s="272">
        <v>202615</v>
      </c>
      <c r="AW23" s="272">
        <v>53679</v>
      </c>
      <c r="AX23" s="272">
        <v>2291033</v>
      </c>
      <c r="AY23" s="272">
        <v>842540</v>
      </c>
      <c r="AZ23" s="272">
        <v>77660</v>
      </c>
      <c r="BA23" s="272">
        <v>3466</v>
      </c>
      <c r="BB23" s="272">
        <v>1439404</v>
      </c>
      <c r="BC23" s="272">
        <v>57710</v>
      </c>
      <c r="BD23" s="272">
        <v>0</v>
      </c>
      <c r="BE23" s="272">
        <v>0</v>
      </c>
      <c r="BF23" s="272">
        <v>57710</v>
      </c>
      <c r="BG23" s="272">
        <v>0</v>
      </c>
      <c r="BH23" s="272">
        <v>326860</v>
      </c>
      <c r="BI23" s="272">
        <v>217078</v>
      </c>
      <c r="BJ23" s="272">
        <v>2496678</v>
      </c>
      <c r="BK23" s="272">
        <v>581340</v>
      </c>
      <c r="BL23" s="272">
        <v>0</v>
      </c>
      <c r="BM23" s="272">
        <v>0</v>
      </c>
      <c r="BN23" s="272">
        <v>5618000</v>
      </c>
      <c r="BO23" s="455">
        <f t="shared" si="5"/>
        <v>3949500</v>
      </c>
      <c r="BP23" s="455">
        <f t="shared" si="6"/>
        <v>1668500</v>
      </c>
      <c r="BQ23" s="272">
        <v>1668500</v>
      </c>
      <c r="BR23" s="272"/>
      <c r="BS23" s="272"/>
      <c r="BT23" s="272">
        <v>0</v>
      </c>
      <c r="BU23" s="272">
        <v>47998716</v>
      </c>
      <c r="BV23" s="272"/>
      <c r="BW23" s="272">
        <v>13285696</v>
      </c>
      <c r="BX23" s="272">
        <v>9965324</v>
      </c>
      <c r="BY23" s="272">
        <v>1051218</v>
      </c>
      <c r="BZ23" s="272">
        <v>238811</v>
      </c>
      <c r="CA23" s="272">
        <v>6134139</v>
      </c>
      <c r="CB23" s="272">
        <v>783661</v>
      </c>
      <c r="CC23" s="272">
        <v>1383557</v>
      </c>
      <c r="CD23" s="272">
        <v>1210152</v>
      </c>
      <c r="CE23" s="272">
        <v>2655226</v>
      </c>
      <c r="CF23" s="272">
        <v>163</v>
      </c>
      <c r="CG23" s="272">
        <v>100590</v>
      </c>
      <c r="CH23" s="272">
        <v>4155504</v>
      </c>
      <c r="CI23" s="272">
        <v>2326960</v>
      </c>
      <c r="CJ23" s="455">
        <f t="shared" si="7"/>
        <v>1828544</v>
      </c>
      <c r="CK23" s="272">
        <v>4037322</v>
      </c>
      <c r="CL23" s="272">
        <v>2237586</v>
      </c>
      <c r="CM23" s="272">
        <v>180905</v>
      </c>
      <c r="CN23" s="272">
        <v>863606</v>
      </c>
      <c r="CO23" s="272">
        <v>299731</v>
      </c>
      <c r="CP23" s="272">
        <v>3878009</v>
      </c>
      <c r="CQ23" s="272">
        <v>1726497</v>
      </c>
      <c r="CR23" s="272">
        <v>743540</v>
      </c>
      <c r="CS23" s="272">
        <v>616722</v>
      </c>
      <c r="CT23" s="455">
        <f t="shared" si="8"/>
        <v>732660</v>
      </c>
      <c r="CU23" s="272">
        <v>13000</v>
      </c>
      <c r="CV23" s="272">
        <v>719660</v>
      </c>
      <c r="CW23" s="455">
        <f t="shared" si="9"/>
        <v>716000</v>
      </c>
      <c r="CX23" s="272">
        <v>0</v>
      </c>
      <c r="CY23" s="272">
        <v>716000</v>
      </c>
      <c r="CZ23" s="455">
        <f t="shared" si="10"/>
        <v>0</v>
      </c>
      <c r="DA23" s="272">
        <v>0</v>
      </c>
      <c r="DB23" s="272">
        <v>0</v>
      </c>
      <c r="DC23" s="272">
        <v>9855456</v>
      </c>
      <c r="DD23" s="272">
        <v>4247285</v>
      </c>
      <c r="DE23" s="272">
        <v>5608171</v>
      </c>
      <c r="DF23" s="272">
        <v>0</v>
      </c>
      <c r="DG23" s="272">
        <v>0</v>
      </c>
      <c r="DH23" s="272">
        <v>29388</v>
      </c>
      <c r="DI23" s="272">
        <v>1567381</v>
      </c>
      <c r="DJ23" s="272">
        <v>110790</v>
      </c>
      <c r="DK23" s="272">
        <v>6320</v>
      </c>
      <c r="DL23" s="272">
        <v>1450271</v>
      </c>
      <c r="DM23" s="272">
        <v>0</v>
      </c>
      <c r="DN23" s="272">
        <v>0</v>
      </c>
      <c r="DO23" s="272">
        <v>0</v>
      </c>
      <c r="DP23" s="272">
        <v>0</v>
      </c>
      <c r="DQ23" s="272">
        <v>1572000</v>
      </c>
      <c r="DR23" s="272">
        <v>900000</v>
      </c>
      <c r="DS23" s="272">
        <v>900000</v>
      </c>
      <c r="DT23" s="272">
        <v>2493864</v>
      </c>
      <c r="DU23" s="272">
        <v>1278797</v>
      </c>
      <c r="DV23" s="455">
        <f t="shared" si="11"/>
        <v>0</v>
      </c>
      <c r="DW23" s="272">
        <v>0</v>
      </c>
      <c r="DX23" s="272">
        <v>0</v>
      </c>
      <c r="DY23" s="272">
        <v>0</v>
      </c>
      <c r="DZ23" s="272">
        <v>675784</v>
      </c>
      <c r="EA23" s="272">
        <v>539283</v>
      </c>
      <c r="EB23" s="272"/>
      <c r="EC23" s="272">
        <v>0</v>
      </c>
      <c r="ED23" s="272">
        <v>47308490</v>
      </c>
      <c r="EF23" s="272">
        <v>690226</v>
      </c>
      <c r="EG23" s="272">
        <v>228274</v>
      </c>
      <c r="EH23" s="272">
        <v>461952</v>
      </c>
      <c r="EI23" s="272">
        <v>244874</v>
      </c>
      <c r="EJ23" s="272">
        <v>355664</v>
      </c>
      <c r="EL23" s="272"/>
      <c r="EM23" s="272">
        <v>163931</v>
      </c>
      <c r="EN23" s="272">
        <v>60</v>
      </c>
      <c r="EO23" s="272">
        <v>60284</v>
      </c>
      <c r="EP23" s="455">
        <f t="shared" si="12"/>
        <v>2425988</v>
      </c>
      <c r="EQ23" s="272">
        <v>27946929</v>
      </c>
      <c r="ER23" s="272">
        <v>-3841510</v>
      </c>
      <c r="ES23" s="272">
        <v>11970167</v>
      </c>
      <c r="ET23" s="272">
        <v>8978573</v>
      </c>
      <c r="EU23" s="272">
        <v>2158808</v>
      </c>
      <c r="EV23" s="272">
        <v>3709731</v>
      </c>
      <c r="EW23" s="455">
        <f t="shared" si="13"/>
        <v>2332213</v>
      </c>
      <c r="EX23" s="272">
        <v>2331761</v>
      </c>
      <c r="EY23" s="272">
        <v>114795</v>
      </c>
      <c r="EZ23" s="272">
        <v>2216966</v>
      </c>
      <c r="FA23" s="272">
        <v>452</v>
      </c>
      <c r="FB23" s="272"/>
      <c r="FC23" s="272">
        <v>3180880</v>
      </c>
      <c r="FD23" s="272">
        <v>3482773</v>
      </c>
      <c r="FE23" s="272">
        <v>1726497</v>
      </c>
      <c r="FF23" s="272">
        <v>2433044</v>
      </c>
      <c r="FG23" s="455">
        <f t="shared" si="14"/>
        <v>1830597</v>
      </c>
      <c r="FH23" s="272">
        <v>31098213</v>
      </c>
      <c r="FI23" s="384">
        <f t="shared" si="15"/>
        <v>1.8</v>
      </c>
      <c r="FJ23" s="272">
        <v>26027844</v>
      </c>
      <c r="FK23" s="272"/>
      <c r="FL23" s="272">
        <v>15565366</v>
      </c>
      <c r="FM23" s="272">
        <v>20991155</v>
      </c>
      <c r="FN23" s="460">
        <v>0.73299999999999998</v>
      </c>
      <c r="FO23" s="388">
        <v>99</v>
      </c>
      <c r="FP23" s="388">
        <v>45.7</v>
      </c>
      <c r="FQ23" s="388">
        <v>8.5</v>
      </c>
      <c r="FR23" s="388">
        <v>14.7</v>
      </c>
      <c r="FS23" s="388">
        <v>11.4</v>
      </c>
      <c r="FT23" s="388">
        <v>12.3</v>
      </c>
      <c r="FU23" s="388">
        <v>5.2</v>
      </c>
      <c r="FV23" s="388">
        <v>10.3</v>
      </c>
      <c r="FW23" s="272">
        <v>37962420</v>
      </c>
      <c r="FX23" s="384">
        <f t="shared" si="16"/>
        <v>145.9</v>
      </c>
      <c r="FY23" s="272">
        <v>13903521</v>
      </c>
      <c r="FZ23" s="272">
        <v>291140</v>
      </c>
      <c r="GA23" s="272">
        <v>1194260</v>
      </c>
      <c r="GB23" s="272">
        <v>12418121</v>
      </c>
      <c r="GC23" s="272"/>
      <c r="GD23" s="272">
        <v>5701956</v>
      </c>
      <c r="GE23" s="384">
        <f t="shared" si="17"/>
        <v>21.9</v>
      </c>
      <c r="GF23" s="388">
        <v>97.4</v>
      </c>
      <c r="GG23" s="388">
        <v>32.9</v>
      </c>
      <c r="GH23" s="388">
        <v>93.8</v>
      </c>
      <c r="GI23" s="272">
        <v>1309</v>
      </c>
    </row>
    <row r="24" spans="2:191" x14ac:dyDescent="0.15">
      <c r="B24" s="89" t="s">
        <v>41</v>
      </c>
      <c r="C24" s="272">
        <v>24320177</v>
      </c>
      <c r="D24" s="455">
        <f t="shared" si="0"/>
        <v>11551877</v>
      </c>
      <c r="E24" s="272">
        <v>115369</v>
      </c>
      <c r="F24" s="272">
        <v>11436508</v>
      </c>
      <c r="G24" s="455">
        <f t="shared" si="1"/>
        <v>1233876</v>
      </c>
      <c r="H24" s="272">
        <v>261694</v>
      </c>
      <c r="I24" s="272">
        <v>972182</v>
      </c>
      <c r="J24" s="272">
        <v>8308088</v>
      </c>
      <c r="K24" s="272">
        <v>4252967</v>
      </c>
      <c r="L24" s="272">
        <v>3447745</v>
      </c>
      <c r="M24" s="272">
        <v>569670</v>
      </c>
      <c r="N24" s="272">
        <v>463657</v>
      </c>
      <c r="O24" s="272">
        <v>2407643</v>
      </c>
      <c r="P24" s="272">
        <v>1636904</v>
      </c>
      <c r="Q24" s="272">
        <v>770739</v>
      </c>
      <c r="R24" s="272">
        <v>806117</v>
      </c>
      <c r="S24" s="272">
        <v>538345</v>
      </c>
      <c r="T24" s="455">
        <f t="shared" si="2"/>
        <v>969156</v>
      </c>
      <c r="U24" s="272">
        <v>506040</v>
      </c>
      <c r="V24" s="272"/>
      <c r="W24" s="272"/>
      <c r="X24" s="272"/>
      <c r="Y24" s="272">
        <v>5817</v>
      </c>
      <c r="Z24" s="272">
        <v>9445</v>
      </c>
      <c r="AA24" s="272">
        <v>447854</v>
      </c>
      <c r="AB24" s="272"/>
      <c r="AC24" s="272">
        <v>103097</v>
      </c>
      <c r="AD24" s="272">
        <v>0</v>
      </c>
      <c r="AE24" s="272">
        <v>103097</v>
      </c>
      <c r="AF24" s="272">
        <v>31446</v>
      </c>
      <c r="AG24" s="272">
        <v>197413</v>
      </c>
      <c r="AH24" s="455">
        <f t="shared" si="3"/>
        <v>633508</v>
      </c>
      <c r="AI24" s="272">
        <v>511779</v>
      </c>
      <c r="AJ24" s="272">
        <v>121729</v>
      </c>
      <c r="AK24" s="272">
        <v>2249347</v>
      </c>
      <c r="AL24" s="455">
        <f t="shared" si="4"/>
        <v>909986</v>
      </c>
      <c r="AM24" s="272">
        <v>414005</v>
      </c>
      <c r="AN24" s="272">
        <v>272210</v>
      </c>
      <c r="AO24" s="272">
        <v>0</v>
      </c>
      <c r="AP24" s="272">
        <v>223771</v>
      </c>
      <c r="AQ24" s="272">
        <v>753426</v>
      </c>
      <c r="AR24" s="272">
        <v>0</v>
      </c>
      <c r="AS24" s="272">
        <v>0</v>
      </c>
      <c r="AT24" s="272">
        <v>1888277</v>
      </c>
      <c r="AU24" s="272">
        <v>629427</v>
      </c>
      <c r="AV24" s="272">
        <v>91875</v>
      </c>
      <c r="AW24" s="272">
        <v>6366</v>
      </c>
      <c r="AX24" s="272">
        <v>1258850</v>
      </c>
      <c r="AY24" s="272">
        <v>185146</v>
      </c>
      <c r="AZ24" s="272">
        <v>323882</v>
      </c>
      <c r="BA24" s="272">
        <v>11898</v>
      </c>
      <c r="BB24" s="272">
        <v>263247</v>
      </c>
      <c r="BC24" s="272">
        <v>5558443</v>
      </c>
      <c r="BD24" s="272">
        <v>0</v>
      </c>
      <c r="BE24" s="272">
        <v>650000</v>
      </c>
      <c r="BF24" s="272">
        <v>4622933</v>
      </c>
      <c r="BG24" s="272">
        <v>0</v>
      </c>
      <c r="BH24" s="272">
        <v>1124630</v>
      </c>
      <c r="BI24" s="272">
        <v>404282</v>
      </c>
      <c r="BJ24" s="272">
        <v>5994891</v>
      </c>
      <c r="BK24" s="272">
        <v>3178873</v>
      </c>
      <c r="BL24" s="272">
        <v>13531</v>
      </c>
      <c r="BM24" s="272">
        <v>2500000</v>
      </c>
      <c r="BN24" s="272">
        <v>3413700</v>
      </c>
      <c r="BO24" s="455">
        <f t="shared" si="5"/>
        <v>1986700</v>
      </c>
      <c r="BP24" s="455">
        <f t="shared" si="6"/>
        <v>1427000</v>
      </c>
      <c r="BQ24" s="272">
        <v>1427000</v>
      </c>
      <c r="BR24" s="272"/>
      <c r="BS24" s="272"/>
      <c r="BT24" s="272">
        <v>0</v>
      </c>
      <c r="BU24" s="272">
        <v>47877331</v>
      </c>
      <c r="BV24" s="272"/>
      <c r="BW24" s="272">
        <v>11681968</v>
      </c>
      <c r="BX24" s="272">
        <v>8721098</v>
      </c>
      <c r="BY24" s="272">
        <v>513889</v>
      </c>
      <c r="BZ24" s="272">
        <v>547756</v>
      </c>
      <c r="CA24" s="272">
        <v>2244342</v>
      </c>
      <c r="CB24" s="272">
        <v>300233</v>
      </c>
      <c r="CC24" s="272">
        <v>876715</v>
      </c>
      <c r="CD24" s="272">
        <v>491283</v>
      </c>
      <c r="CE24" s="272">
        <v>551482</v>
      </c>
      <c r="CF24" s="272">
        <v>0</v>
      </c>
      <c r="CG24" s="272">
        <v>24629</v>
      </c>
      <c r="CH24" s="272">
        <v>2610718</v>
      </c>
      <c r="CI24" s="272">
        <v>1254011</v>
      </c>
      <c r="CJ24" s="455">
        <f t="shared" si="7"/>
        <v>1356707</v>
      </c>
      <c r="CK24" s="272">
        <v>6631327</v>
      </c>
      <c r="CL24" s="272">
        <v>4083277</v>
      </c>
      <c r="CM24" s="272">
        <v>133242</v>
      </c>
      <c r="CN24" s="272">
        <v>1401335</v>
      </c>
      <c r="CO24" s="272">
        <v>218663</v>
      </c>
      <c r="CP24" s="272">
        <v>3912168</v>
      </c>
      <c r="CQ24" s="272">
        <v>97396</v>
      </c>
      <c r="CR24" s="272">
        <v>1234092</v>
      </c>
      <c r="CS24" s="272">
        <v>967616</v>
      </c>
      <c r="CT24" s="455">
        <f t="shared" si="8"/>
        <v>1935976</v>
      </c>
      <c r="CU24" s="272">
        <v>1280350</v>
      </c>
      <c r="CV24" s="272">
        <v>655626</v>
      </c>
      <c r="CW24" s="455">
        <f t="shared" si="9"/>
        <v>1677105</v>
      </c>
      <c r="CX24" s="272">
        <v>1272061</v>
      </c>
      <c r="CY24" s="272">
        <v>405044</v>
      </c>
      <c r="CZ24" s="455">
        <f t="shared" si="10"/>
        <v>0</v>
      </c>
      <c r="DA24" s="272">
        <v>0</v>
      </c>
      <c r="DB24" s="272">
        <v>0</v>
      </c>
      <c r="DC24" s="272">
        <v>9778992</v>
      </c>
      <c r="DD24" s="272">
        <v>1523693</v>
      </c>
      <c r="DE24" s="272">
        <v>8248004</v>
      </c>
      <c r="DF24" s="272">
        <v>0</v>
      </c>
      <c r="DG24" s="272">
        <v>7295</v>
      </c>
      <c r="DH24" s="272">
        <v>6414</v>
      </c>
      <c r="DI24" s="272">
        <v>908955</v>
      </c>
      <c r="DJ24" s="272">
        <v>212799</v>
      </c>
      <c r="DK24" s="272">
        <v>30432</v>
      </c>
      <c r="DL24" s="272">
        <v>665724</v>
      </c>
      <c r="DM24" s="272">
        <v>286747</v>
      </c>
      <c r="DN24" s="272">
        <v>286747</v>
      </c>
      <c r="DO24" s="272">
        <v>243</v>
      </c>
      <c r="DP24" s="272">
        <v>286504</v>
      </c>
      <c r="DQ24" s="272">
        <v>3022787</v>
      </c>
      <c r="DR24" s="272">
        <v>3197</v>
      </c>
      <c r="DS24" s="272">
        <v>0</v>
      </c>
      <c r="DT24" s="272">
        <v>3300820</v>
      </c>
      <c r="DU24" s="272">
        <v>1810000</v>
      </c>
      <c r="DV24" s="455">
        <f t="shared" si="11"/>
        <v>0</v>
      </c>
      <c r="DW24" s="272">
        <v>0</v>
      </c>
      <c r="DX24" s="272">
        <v>0</v>
      </c>
      <c r="DY24" s="272">
        <v>0</v>
      </c>
      <c r="DZ24" s="272">
        <v>833481</v>
      </c>
      <c r="EA24" s="272">
        <v>452965</v>
      </c>
      <c r="EB24" s="272"/>
      <c r="EC24" s="272">
        <v>0</v>
      </c>
      <c r="ED24" s="272">
        <v>44603901</v>
      </c>
      <c r="EF24" s="272">
        <v>3273430</v>
      </c>
      <c r="EG24" s="272">
        <v>2377088</v>
      </c>
      <c r="EH24" s="272">
        <v>896342</v>
      </c>
      <c r="EI24" s="272">
        <v>82060</v>
      </c>
      <c r="EJ24" s="272">
        <v>294859</v>
      </c>
      <c r="EL24" s="272"/>
      <c r="EM24" s="272">
        <v>122880</v>
      </c>
      <c r="EN24" s="272">
        <v>2733985</v>
      </c>
      <c r="EO24" s="272">
        <v>28592</v>
      </c>
      <c r="EP24" s="455">
        <f t="shared" si="12"/>
        <v>3454801</v>
      </c>
      <c r="EQ24" s="272">
        <v>26229993</v>
      </c>
      <c r="ER24" s="272">
        <v>-7612932</v>
      </c>
      <c r="ES24" s="272">
        <v>11096662</v>
      </c>
      <c r="ET24" s="272">
        <v>8231501</v>
      </c>
      <c r="EU24" s="272">
        <v>609765</v>
      </c>
      <c r="EV24" s="272">
        <v>2482757</v>
      </c>
      <c r="EW24" s="455">
        <f t="shared" si="13"/>
        <v>3714674</v>
      </c>
      <c r="EX24" s="272">
        <v>3709982</v>
      </c>
      <c r="EY24" s="272">
        <v>606485</v>
      </c>
      <c r="EZ24" s="272">
        <v>3103497</v>
      </c>
      <c r="FA24" s="272">
        <v>4692</v>
      </c>
      <c r="FB24" s="272"/>
      <c r="FC24" s="272">
        <v>5154567</v>
      </c>
      <c r="FD24" s="272">
        <v>3556620</v>
      </c>
      <c r="FE24" s="272">
        <v>97396</v>
      </c>
      <c r="FF24" s="272">
        <v>3193960</v>
      </c>
      <c r="FG24" s="455">
        <f t="shared" si="14"/>
        <v>760490</v>
      </c>
      <c r="FH24" s="272">
        <v>30569495</v>
      </c>
      <c r="FI24" s="384">
        <f t="shared" si="15"/>
        <v>3.5</v>
      </c>
      <c r="FJ24" s="272">
        <v>25420865</v>
      </c>
      <c r="FK24" s="272"/>
      <c r="FL24" s="272">
        <v>19137409</v>
      </c>
      <c r="FM24" s="272">
        <v>17411248</v>
      </c>
      <c r="FN24" s="460">
        <v>1.111</v>
      </c>
      <c r="FO24" s="388">
        <v>92.5</v>
      </c>
      <c r="FP24" s="388">
        <v>45.7</v>
      </c>
      <c r="FQ24" s="388">
        <v>2.6</v>
      </c>
      <c r="FR24" s="388">
        <v>10.4</v>
      </c>
      <c r="FS24" s="388">
        <v>18.3</v>
      </c>
      <c r="FT24" s="388">
        <v>10.5</v>
      </c>
      <c r="FU24" s="388">
        <v>4.2</v>
      </c>
      <c r="FV24" s="388">
        <v>6.3</v>
      </c>
      <c r="FW24" s="272">
        <v>30394872</v>
      </c>
      <c r="FX24" s="384">
        <f t="shared" si="16"/>
        <v>119.6</v>
      </c>
      <c r="FY24" s="272">
        <v>31572049</v>
      </c>
      <c r="FZ24" s="272">
        <v>8051908</v>
      </c>
      <c r="GA24" s="272">
        <v>3509836</v>
      </c>
      <c r="GB24" s="272">
        <v>20010305</v>
      </c>
      <c r="GC24" s="272"/>
      <c r="GD24" s="272">
        <v>19528900</v>
      </c>
      <c r="GE24" s="384">
        <f t="shared" si="17"/>
        <v>76.8</v>
      </c>
      <c r="GF24" s="388">
        <v>97.8</v>
      </c>
      <c r="GG24" s="388">
        <v>16.2</v>
      </c>
      <c r="GH24" s="388">
        <v>91.9</v>
      </c>
      <c r="GI24" s="272">
        <v>1241</v>
      </c>
    </row>
    <row r="25" spans="2:191" x14ac:dyDescent="0.15">
      <c r="B25" s="89" t="s">
        <v>43</v>
      </c>
      <c r="C25" s="272">
        <v>10381052</v>
      </c>
      <c r="D25" s="455">
        <f t="shared" si="0"/>
        <v>3886157</v>
      </c>
      <c r="E25" s="272">
        <v>71133</v>
      </c>
      <c r="F25" s="272">
        <v>3815024</v>
      </c>
      <c r="G25" s="455">
        <f t="shared" si="1"/>
        <v>978280</v>
      </c>
      <c r="H25" s="272">
        <v>122037</v>
      </c>
      <c r="I25" s="272">
        <v>856243</v>
      </c>
      <c r="J25" s="272">
        <v>4166393</v>
      </c>
      <c r="K25" s="272">
        <v>1934124</v>
      </c>
      <c r="L25" s="272">
        <v>1394719</v>
      </c>
      <c r="M25" s="272">
        <v>804627</v>
      </c>
      <c r="N25" s="272">
        <v>307389</v>
      </c>
      <c r="O25" s="272">
        <v>988610</v>
      </c>
      <c r="P25" s="272">
        <v>666709</v>
      </c>
      <c r="Q25" s="272">
        <v>321901</v>
      </c>
      <c r="R25" s="272">
        <v>500948</v>
      </c>
      <c r="S25" s="272">
        <v>348782</v>
      </c>
      <c r="T25" s="455">
        <f t="shared" si="2"/>
        <v>434187</v>
      </c>
      <c r="U25" s="272">
        <v>178262</v>
      </c>
      <c r="V25" s="272"/>
      <c r="W25" s="272"/>
      <c r="X25" s="272"/>
      <c r="Y25" s="272">
        <v>0</v>
      </c>
      <c r="Z25" s="272">
        <v>1269</v>
      </c>
      <c r="AA25" s="272">
        <v>254656</v>
      </c>
      <c r="AB25" s="272"/>
      <c r="AC25" s="272">
        <v>3667456</v>
      </c>
      <c r="AD25" s="272">
        <v>3324132</v>
      </c>
      <c r="AE25" s="272">
        <v>343324</v>
      </c>
      <c r="AF25" s="272">
        <v>16352</v>
      </c>
      <c r="AG25" s="272">
        <v>200750</v>
      </c>
      <c r="AH25" s="455">
        <f t="shared" si="3"/>
        <v>390256</v>
      </c>
      <c r="AI25" s="272">
        <v>317793</v>
      </c>
      <c r="AJ25" s="272">
        <v>72463</v>
      </c>
      <c r="AK25" s="272">
        <v>1618177</v>
      </c>
      <c r="AL25" s="455">
        <f t="shared" si="4"/>
        <v>1066507</v>
      </c>
      <c r="AM25" s="272">
        <v>662223</v>
      </c>
      <c r="AN25" s="272">
        <v>281344</v>
      </c>
      <c r="AO25" s="272">
        <v>0</v>
      </c>
      <c r="AP25" s="272">
        <v>122940</v>
      </c>
      <c r="AQ25" s="272">
        <v>164607</v>
      </c>
      <c r="AR25" s="272">
        <v>0</v>
      </c>
      <c r="AS25" s="272">
        <v>0</v>
      </c>
      <c r="AT25" s="272">
        <v>1273006</v>
      </c>
      <c r="AU25" s="272">
        <v>379419</v>
      </c>
      <c r="AV25" s="272">
        <v>96648</v>
      </c>
      <c r="AW25" s="272">
        <v>0</v>
      </c>
      <c r="AX25" s="272">
        <v>893587</v>
      </c>
      <c r="AY25" s="272">
        <v>289458</v>
      </c>
      <c r="AZ25" s="272">
        <v>278435</v>
      </c>
      <c r="BA25" s="272">
        <v>172787</v>
      </c>
      <c r="BB25" s="272">
        <v>185970</v>
      </c>
      <c r="BC25" s="272">
        <v>0</v>
      </c>
      <c r="BD25" s="272">
        <v>0</v>
      </c>
      <c r="BE25" s="272">
        <v>0</v>
      </c>
      <c r="BF25" s="272">
        <v>0</v>
      </c>
      <c r="BG25" s="272">
        <v>0</v>
      </c>
      <c r="BH25" s="272">
        <v>71273</v>
      </c>
      <c r="BI25" s="272">
        <v>26999</v>
      </c>
      <c r="BJ25" s="272">
        <v>1788527</v>
      </c>
      <c r="BK25" s="272">
        <v>1642142</v>
      </c>
      <c r="BL25" s="272">
        <v>0</v>
      </c>
      <c r="BM25" s="272">
        <v>0</v>
      </c>
      <c r="BN25" s="272">
        <v>2620400</v>
      </c>
      <c r="BO25" s="455">
        <f t="shared" si="5"/>
        <v>1778900</v>
      </c>
      <c r="BP25" s="455">
        <f t="shared" si="6"/>
        <v>841500</v>
      </c>
      <c r="BQ25" s="272">
        <v>841500</v>
      </c>
      <c r="BR25" s="272"/>
      <c r="BS25" s="272"/>
      <c r="BT25" s="272">
        <v>0</v>
      </c>
      <c r="BU25" s="272">
        <v>23426789</v>
      </c>
      <c r="BV25" s="272"/>
      <c r="BW25" s="272">
        <v>4923143</v>
      </c>
      <c r="BX25" s="272">
        <v>3528575</v>
      </c>
      <c r="BY25" s="272">
        <v>366231</v>
      </c>
      <c r="BZ25" s="272">
        <v>102252</v>
      </c>
      <c r="CA25" s="272">
        <v>2462728</v>
      </c>
      <c r="CB25" s="272">
        <v>244002</v>
      </c>
      <c r="CC25" s="272">
        <v>643957</v>
      </c>
      <c r="CD25" s="272">
        <v>630740</v>
      </c>
      <c r="CE25" s="272">
        <v>860388</v>
      </c>
      <c r="CF25" s="272">
        <v>0</v>
      </c>
      <c r="CG25" s="272">
        <v>83611</v>
      </c>
      <c r="CH25" s="272">
        <v>1556285</v>
      </c>
      <c r="CI25" s="272">
        <v>846697</v>
      </c>
      <c r="CJ25" s="455">
        <f t="shared" si="7"/>
        <v>709588</v>
      </c>
      <c r="CK25" s="272">
        <v>2303205</v>
      </c>
      <c r="CL25" s="272">
        <v>1212918</v>
      </c>
      <c r="CM25" s="272">
        <v>126919</v>
      </c>
      <c r="CN25" s="272">
        <v>470374</v>
      </c>
      <c r="CO25" s="272">
        <v>171452</v>
      </c>
      <c r="CP25" s="272">
        <v>3580731</v>
      </c>
      <c r="CQ25" s="272">
        <v>2159627</v>
      </c>
      <c r="CR25" s="272">
        <v>599416</v>
      </c>
      <c r="CS25" s="272">
        <v>599416</v>
      </c>
      <c r="CT25" s="455">
        <f t="shared" si="8"/>
        <v>256837</v>
      </c>
      <c r="CU25" s="272">
        <v>1625</v>
      </c>
      <c r="CV25" s="272">
        <v>255212</v>
      </c>
      <c r="CW25" s="455">
        <f t="shared" si="9"/>
        <v>255212</v>
      </c>
      <c r="CX25" s="272">
        <v>0</v>
      </c>
      <c r="CY25" s="272">
        <v>255212</v>
      </c>
      <c r="CZ25" s="455">
        <f t="shared" si="10"/>
        <v>0</v>
      </c>
      <c r="DA25" s="272">
        <v>0</v>
      </c>
      <c r="DB25" s="272">
        <v>0</v>
      </c>
      <c r="DC25" s="272">
        <v>4307986</v>
      </c>
      <c r="DD25" s="272">
        <v>416676</v>
      </c>
      <c r="DE25" s="272">
        <v>3852271</v>
      </c>
      <c r="DF25" s="272">
        <v>39039</v>
      </c>
      <c r="DG25" s="272">
        <v>0</v>
      </c>
      <c r="DH25" s="272">
        <v>0</v>
      </c>
      <c r="DI25" s="272">
        <v>238769</v>
      </c>
      <c r="DJ25" s="272">
        <v>33577</v>
      </c>
      <c r="DK25" s="272">
        <v>6042</v>
      </c>
      <c r="DL25" s="272">
        <v>199150</v>
      </c>
      <c r="DM25" s="272">
        <v>0</v>
      </c>
      <c r="DN25" s="272">
        <v>0</v>
      </c>
      <c r="DO25" s="272">
        <v>0</v>
      </c>
      <c r="DP25" s="272">
        <v>0</v>
      </c>
      <c r="DQ25" s="272">
        <v>1610300</v>
      </c>
      <c r="DR25" s="272">
        <v>0</v>
      </c>
      <c r="DS25" s="272">
        <v>0</v>
      </c>
      <c r="DT25" s="272">
        <v>2184036</v>
      </c>
      <c r="DU25" s="272">
        <v>1380000</v>
      </c>
      <c r="DV25" s="455">
        <f t="shared" si="11"/>
        <v>0</v>
      </c>
      <c r="DW25" s="272">
        <v>0</v>
      </c>
      <c r="DX25" s="272">
        <v>0</v>
      </c>
      <c r="DY25" s="272">
        <v>0</v>
      </c>
      <c r="DZ25" s="272">
        <v>492228</v>
      </c>
      <c r="EA25" s="272">
        <v>298409</v>
      </c>
      <c r="EB25" s="272"/>
      <c r="EC25" s="272">
        <v>0</v>
      </c>
      <c r="ED25" s="272">
        <v>23338635</v>
      </c>
      <c r="EF25" s="272">
        <v>88154</v>
      </c>
      <c r="EG25" s="272">
        <v>51862</v>
      </c>
      <c r="EH25" s="272">
        <v>36292</v>
      </c>
      <c r="EI25" s="272">
        <v>-18707</v>
      </c>
      <c r="EJ25" s="272">
        <v>14870</v>
      </c>
      <c r="EL25" s="272"/>
      <c r="EM25" s="272">
        <v>78530</v>
      </c>
      <c r="EN25" s="272">
        <v>0</v>
      </c>
      <c r="EO25" s="272">
        <v>8576</v>
      </c>
      <c r="EP25" s="455">
        <f t="shared" si="12"/>
        <v>415616</v>
      </c>
      <c r="EQ25" s="272">
        <v>14999995</v>
      </c>
      <c r="ER25" s="272">
        <v>-1249340</v>
      </c>
      <c r="ES25" s="272">
        <v>4507603</v>
      </c>
      <c r="ET25" s="272">
        <v>3117290</v>
      </c>
      <c r="EU25" s="272">
        <v>727009</v>
      </c>
      <c r="EV25" s="272">
        <v>1537476</v>
      </c>
      <c r="EW25" s="455">
        <f t="shared" si="13"/>
        <v>1857970</v>
      </c>
      <c r="EX25" s="272">
        <v>1857970</v>
      </c>
      <c r="EY25" s="272">
        <v>89381</v>
      </c>
      <c r="EZ25" s="272">
        <v>1729550</v>
      </c>
      <c r="FA25" s="272">
        <v>0</v>
      </c>
      <c r="FB25" s="272"/>
      <c r="FC25" s="272">
        <v>1908344</v>
      </c>
      <c r="FD25" s="272">
        <v>3202693</v>
      </c>
      <c r="FE25" s="272">
        <v>2159627</v>
      </c>
      <c r="FF25" s="272">
        <v>2103270</v>
      </c>
      <c r="FG25" s="455">
        <f t="shared" si="14"/>
        <v>316816</v>
      </c>
      <c r="FH25" s="272">
        <v>16161181</v>
      </c>
      <c r="FI25" s="384">
        <f t="shared" si="15"/>
        <v>0.3</v>
      </c>
      <c r="FJ25" s="272">
        <v>14249101</v>
      </c>
      <c r="FK25" s="272"/>
      <c r="FL25" s="272">
        <v>8246525</v>
      </c>
      <c r="FM25" s="272">
        <v>11579692</v>
      </c>
      <c r="FN25" s="460">
        <v>0.71399999999999997</v>
      </c>
      <c r="FO25" s="388">
        <v>90.4</v>
      </c>
      <c r="FP25" s="388">
        <v>31.7</v>
      </c>
      <c r="FQ25" s="388">
        <v>5.3</v>
      </c>
      <c r="FR25" s="388">
        <v>11.2</v>
      </c>
      <c r="FS25" s="388">
        <v>13.1</v>
      </c>
      <c r="FT25" s="388">
        <v>20.7</v>
      </c>
      <c r="FU25" s="388">
        <v>7.2</v>
      </c>
      <c r="FV25" s="388">
        <v>6.8</v>
      </c>
      <c r="FW25" s="272">
        <v>14532153</v>
      </c>
      <c r="FX25" s="384">
        <f t="shared" si="16"/>
        <v>102</v>
      </c>
      <c r="FY25" s="272">
        <v>7930714</v>
      </c>
      <c r="FZ25" s="272">
        <v>2492006</v>
      </c>
      <c r="GA25" s="272">
        <v>623108</v>
      </c>
      <c r="GB25" s="272">
        <v>4815600</v>
      </c>
      <c r="GC25" s="272"/>
      <c r="GD25" s="272">
        <v>3037275</v>
      </c>
      <c r="GE25" s="384">
        <f t="shared" si="17"/>
        <v>21.3</v>
      </c>
      <c r="GF25" s="388">
        <v>96.7</v>
      </c>
      <c r="GG25" s="388">
        <v>27.6</v>
      </c>
      <c r="GH25" s="388">
        <v>91.7</v>
      </c>
      <c r="GI25" s="272">
        <v>480</v>
      </c>
    </row>
    <row r="26" spans="2:191" x14ac:dyDescent="0.15">
      <c r="B26" s="89" t="s">
        <v>45</v>
      </c>
      <c r="C26" s="272">
        <v>14087664</v>
      </c>
      <c r="D26" s="455">
        <f t="shared" si="0"/>
        <v>6396620</v>
      </c>
      <c r="E26" s="272">
        <v>105135</v>
      </c>
      <c r="F26" s="272">
        <v>6291485</v>
      </c>
      <c r="G26" s="455">
        <f t="shared" si="1"/>
        <v>954614</v>
      </c>
      <c r="H26" s="272">
        <v>154200</v>
      </c>
      <c r="I26" s="272">
        <v>800414</v>
      </c>
      <c r="J26" s="272">
        <v>4887360</v>
      </c>
      <c r="K26" s="272">
        <v>2485459</v>
      </c>
      <c r="L26" s="272">
        <v>1915549</v>
      </c>
      <c r="M26" s="272">
        <v>473466</v>
      </c>
      <c r="N26" s="272">
        <v>440723</v>
      </c>
      <c r="O26" s="272">
        <v>1309926</v>
      </c>
      <c r="P26" s="272">
        <v>899940</v>
      </c>
      <c r="Q26" s="272">
        <v>409986</v>
      </c>
      <c r="R26" s="272">
        <v>690544</v>
      </c>
      <c r="S26" s="272">
        <v>469261</v>
      </c>
      <c r="T26" s="455">
        <f t="shared" si="2"/>
        <v>667075</v>
      </c>
      <c r="U26" s="272">
        <v>296210</v>
      </c>
      <c r="V26" s="272"/>
      <c r="W26" s="272"/>
      <c r="X26" s="272"/>
      <c r="Y26" s="272">
        <v>0</v>
      </c>
      <c r="Z26" s="272">
        <v>249</v>
      </c>
      <c r="AA26" s="272">
        <v>370616</v>
      </c>
      <c r="AB26" s="272"/>
      <c r="AC26" s="272">
        <v>4576743</v>
      </c>
      <c r="AD26" s="272">
        <v>4240128</v>
      </c>
      <c r="AE26" s="272">
        <v>336615</v>
      </c>
      <c r="AF26" s="272">
        <v>26344</v>
      </c>
      <c r="AG26" s="272">
        <v>234787</v>
      </c>
      <c r="AH26" s="455">
        <f t="shared" si="3"/>
        <v>392031</v>
      </c>
      <c r="AI26" s="272">
        <v>355528</v>
      </c>
      <c r="AJ26" s="272">
        <v>36503</v>
      </c>
      <c r="AK26" s="272">
        <v>2823475</v>
      </c>
      <c r="AL26" s="455">
        <f t="shared" si="4"/>
        <v>1665037</v>
      </c>
      <c r="AM26" s="272">
        <v>1276793</v>
      </c>
      <c r="AN26" s="272">
        <v>294512</v>
      </c>
      <c r="AO26" s="272">
        <v>0</v>
      </c>
      <c r="AP26" s="272">
        <v>93732</v>
      </c>
      <c r="AQ26" s="272">
        <v>369975</v>
      </c>
      <c r="AR26" s="272">
        <v>0</v>
      </c>
      <c r="AS26" s="272">
        <v>0</v>
      </c>
      <c r="AT26" s="272">
        <v>2584737</v>
      </c>
      <c r="AU26" s="272">
        <v>1175035</v>
      </c>
      <c r="AV26" s="272">
        <v>156266</v>
      </c>
      <c r="AW26" s="272">
        <v>40905</v>
      </c>
      <c r="AX26" s="272">
        <v>1409702</v>
      </c>
      <c r="AY26" s="272">
        <v>474603</v>
      </c>
      <c r="AZ26" s="272">
        <v>682755</v>
      </c>
      <c r="BA26" s="272">
        <v>550155</v>
      </c>
      <c r="BB26" s="272">
        <v>173232</v>
      </c>
      <c r="BC26" s="272">
        <v>3003118</v>
      </c>
      <c r="BD26" s="272">
        <v>1000000</v>
      </c>
      <c r="BE26" s="272">
        <v>72000</v>
      </c>
      <c r="BF26" s="272">
        <v>1906166</v>
      </c>
      <c r="BG26" s="272">
        <v>0</v>
      </c>
      <c r="BH26" s="272">
        <v>1304747</v>
      </c>
      <c r="BI26" s="272">
        <v>1088504</v>
      </c>
      <c r="BJ26" s="272">
        <v>185819</v>
      </c>
      <c r="BK26" s="272">
        <v>2200</v>
      </c>
      <c r="BL26" s="272">
        <v>0</v>
      </c>
      <c r="BM26" s="272">
        <v>0</v>
      </c>
      <c r="BN26" s="272">
        <v>5147900</v>
      </c>
      <c r="BO26" s="455">
        <f t="shared" si="5"/>
        <v>3856200</v>
      </c>
      <c r="BP26" s="455">
        <f t="shared" si="6"/>
        <v>1291700</v>
      </c>
      <c r="BQ26" s="272">
        <v>1291700</v>
      </c>
      <c r="BR26" s="272"/>
      <c r="BS26" s="272"/>
      <c r="BT26" s="272">
        <v>0</v>
      </c>
      <c r="BU26" s="272">
        <v>36580971</v>
      </c>
      <c r="BV26" s="272"/>
      <c r="BW26" s="272">
        <v>7759180</v>
      </c>
      <c r="BX26" s="272">
        <v>5767796</v>
      </c>
      <c r="BY26" s="272">
        <v>605959</v>
      </c>
      <c r="BZ26" s="272">
        <v>83455</v>
      </c>
      <c r="CA26" s="272">
        <v>4459798</v>
      </c>
      <c r="CB26" s="272">
        <v>623157</v>
      </c>
      <c r="CC26" s="272">
        <v>987004</v>
      </c>
      <c r="CD26" s="272">
        <v>1076655</v>
      </c>
      <c r="CE26" s="272">
        <v>1706000</v>
      </c>
      <c r="CF26" s="272">
        <v>506</v>
      </c>
      <c r="CG26" s="272">
        <v>66161</v>
      </c>
      <c r="CH26" s="272">
        <v>2173552</v>
      </c>
      <c r="CI26" s="272">
        <v>1147287</v>
      </c>
      <c r="CJ26" s="455">
        <f t="shared" si="7"/>
        <v>1026265</v>
      </c>
      <c r="CK26" s="272">
        <v>4055657</v>
      </c>
      <c r="CL26" s="272">
        <v>2126638</v>
      </c>
      <c r="CM26" s="272">
        <v>440285</v>
      </c>
      <c r="CN26" s="272">
        <v>797072</v>
      </c>
      <c r="CO26" s="272">
        <v>288568</v>
      </c>
      <c r="CP26" s="272">
        <v>4022214</v>
      </c>
      <c r="CQ26" s="272">
        <v>2410921</v>
      </c>
      <c r="CR26" s="272">
        <v>1121060</v>
      </c>
      <c r="CS26" s="272">
        <v>1071595</v>
      </c>
      <c r="CT26" s="455">
        <f t="shared" si="8"/>
        <v>12746</v>
      </c>
      <c r="CU26" s="272">
        <v>12746</v>
      </c>
      <c r="CV26" s="272">
        <v>0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8469462</v>
      </c>
      <c r="DD26" s="272">
        <v>1069383</v>
      </c>
      <c r="DE26" s="272">
        <v>6747040</v>
      </c>
      <c r="DF26" s="272">
        <v>80411</v>
      </c>
      <c r="DG26" s="272">
        <v>570622</v>
      </c>
      <c r="DH26" s="272">
        <v>0</v>
      </c>
      <c r="DI26" s="272">
        <v>2305187</v>
      </c>
      <c r="DJ26" s="272">
        <v>559824</v>
      </c>
      <c r="DK26" s="272">
        <v>5896</v>
      </c>
      <c r="DL26" s="272">
        <v>1739467</v>
      </c>
      <c r="DM26" s="272">
        <v>50000</v>
      </c>
      <c r="DN26" s="272">
        <v>50000</v>
      </c>
      <c r="DO26" s="272">
        <v>50000</v>
      </c>
      <c r="DP26" s="272">
        <v>0</v>
      </c>
      <c r="DQ26" s="272">
        <v>130000</v>
      </c>
      <c r="DR26" s="272">
        <v>0</v>
      </c>
      <c r="DS26" s="272">
        <v>0</v>
      </c>
      <c r="DT26" s="272">
        <v>2749267</v>
      </c>
      <c r="DU26" s="272">
        <v>1454149</v>
      </c>
      <c r="DV26" s="455">
        <f t="shared" si="11"/>
        <v>0</v>
      </c>
      <c r="DW26" s="272">
        <v>0</v>
      </c>
      <c r="DX26" s="272">
        <v>0</v>
      </c>
      <c r="DY26" s="272">
        <v>0</v>
      </c>
      <c r="DZ26" s="272">
        <v>756220</v>
      </c>
      <c r="EA26" s="272">
        <v>444196</v>
      </c>
      <c r="EB26" s="272"/>
      <c r="EC26" s="272">
        <v>0</v>
      </c>
      <c r="ED26" s="272">
        <v>36462885</v>
      </c>
      <c r="EF26" s="272">
        <v>118086</v>
      </c>
      <c r="EG26" s="272">
        <v>62195</v>
      </c>
      <c r="EH26" s="272">
        <v>55891</v>
      </c>
      <c r="EI26" s="272">
        <v>-1032613</v>
      </c>
      <c r="EJ26" s="272">
        <v>-1472789</v>
      </c>
      <c r="EL26" s="272"/>
      <c r="EM26" s="272">
        <v>118448</v>
      </c>
      <c r="EN26" s="272">
        <v>1096952</v>
      </c>
      <c r="EO26" s="272">
        <v>590115</v>
      </c>
      <c r="EP26" s="455">
        <f t="shared" si="12"/>
        <v>1477067</v>
      </c>
      <c r="EQ26" s="272">
        <v>20048370</v>
      </c>
      <c r="ER26" s="272">
        <v>-4429490</v>
      </c>
      <c r="ES26" s="272">
        <v>7169992</v>
      </c>
      <c r="ET26" s="272">
        <v>5225879</v>
      </c>
      <c r="EU26" s="272">
        <v>1400195</v>
      </c>
      <c r="EV26" s="272">
        <v>1995072</v>
      </c>
      <c r="EW26" s="455">
        <f t="shared" si="13"/>
        <v>3064891</v>
      </c>
      <c r="EX26" s="272">
        <v>3064891</v>
      </c>
      <c r="EY26" s="272">
        <v>78880</v>
      </c>
      <c r="EZ26" s="272">
        <v>2974370</v>
      </c>
      <c r="FA26" s="272">
        <v>0</v>
      </c>
      <c r="FB26" s="272"/>
      <c r="FC26" s="272">
        <v>3609280</v>
      </c>
      <c r="FD26" s="272">
        <v>3751958</v>
      </c>
      <c r="FE26" s="272">
        <v>2410921</v>
      </c>
      <c r="FF26" s="272">
        <v>2223010</v>
      </c>
      <c r="FG26" s="455">
        <f t="shared" si="14"/>
        <v>1145376</v>
      </c>
      <c r="FH26" s="272">
        <v>24359774</v>
      </c>
      <c r="FI26" s="384">
        <f t="shared" si="15"/>
        <v>0.3</v>
      </c>
      <c r="FJ26" s="272">
        <v>19358383</v>
      </c>
      <c r="FK26" s="272"/>
      <c r="FL26" s="272">
        <v>11414335</v>
      </c>
      <c r="FM26" s="272">
        <v>15659914</v>
      </c>
      <c r="FN26" s="460">
        <v>0.71199999999999997</v>
      </c>
      <c r="FO26" s="388">
        <v>99.7</v>
      </c>
      <c r="FP26" s="388">
        <v>38.200000000000003</v>
      </c>
      <c r="FQ26" s="388">
        <v>7.6</v>
      </c>
      <c r="FR26" s="388">
        <v>10.8</v>
      </c>
      <c r="FS26" s="388">
        <v>16.899999999999999</v>
      </c>
      <c r="FT26" s="388">
        <v>18.5</v>
      </c>
      <c r="FU26" s="388">
        <v>6.3</v>
      </c>
      <c r="FV26" s="388">
        <v>6.7</v>
      </c>
      <c r="FW26" s="272">
        <v>25019677</v>
      </c>
      <c r="FX26" s="384">
        <f t="shared" si="16"/>
        <v>129.19999999999999</v>
      </c>
      <c r="FY26" s="272">
        <v>4007125</v>
      </c>
      <c r="FZ26" s="272">
        <v>1186094</v>
      </c>
      <c r="GA26" s="272">
        <v>438300</v>
      </c>
      <c r="GB26" s="272">
        <v>2382731</v>
      </c>
      <c r="GC26" s="272"/>
      <c r="GD26" s="272">
        <v>16001668</v>
      </c>
      <c r="GE26" s="384">
        <f t="shared" si="17"/>
        <v>82.7</v>
      </c>
      <c r="GF26" s="388">
        <v>97.8</v>
      </c>
      <c r="GG26" s="388">
        <v>30.8</v>
      </c>
      <c r="GH26" s="388">
        <v>94.4</v>
      </c>
      <c r="GI26" s="272">
        <v>756</v>
      </c>
    </row>
    <row r="27" spans="2:191" x14ac:dyDescent="0.15">
      <c r="B27" s="89" t="s">
        <v>47</v>
      </c>
      <c r="C27" s="272">
        <v>23388999</v>
      </c>
      <c r="D27" s="455">
        <f t="shared" si="0"/>
        <v>6256078</v>
      </c>
      <c r="E27" s="272">
        <v>134687</v>
      </c>
      <c r="F27" s="272">
        <v>6121391</v>
      </c>
      <c r="G27" s="455">
        <f t="shared" si="1"/>
        <v>3419203</v>
      </c>
      <c r="H27" s="272">
        <v>399285</v>
      </c>
      <c r="I27" s="272">
        <v>3019918</v>
      </c>
      <c r="J27" s="272">
        <v>10366618</v>
      </c>
      <c r="K27" s="272">
        <v>5575186</v>
      </c>
      <c r="L27" s="272">
        <v>3118631</v>
      </c>
      <c r="M27" s="272">
        <v>1582911</v>
      </c>
      <c r="N27" s="272">
        <v>887348</v>
      </c>
      <c r="O27" s="272">
        <v>2342000</v>
      </c>
      <c r="P27" s="272">
        <v>1636841</v>
      </c>
      <c r="Q27" s="272">
        <v>705159</v>
      </c>
      <c r="R27" s="272">
        <v>1074304</v>
      </c>
      <c r="S27" s="272">
        <v>836579</v>
      </c>
      <c r="T27" s="455">
        <f t="shared" si="2"/>
        <v>708019</v>
      </c>
      <c r="U27" s="272">
        <v>306736</v>
      </c>
      <c r="V27" s="272"/>
      <c r="W27" s="272"/>
      <c r="X27" s="272"/>
      <c r="Y27" s="272">
        <v>0</v>
      </c>
      <c r="Z27" s="272">
        <v>3841</v>
      </c>
      <c r="AA27" s="272">
        <v>397442</v>
      </c>
      <c r="AB27" s="272"/>
      <c r="AC27" s="272">
        <v>1885536</v>
      </c>
      <c r="AD27" s="272">
        <v>1721439</v>
      </c>
      <c r="AE27" s="272">
        <v>164097</v>
      </c>
      <c r="AF27" s="272">
        <v>29584</v>
      </c>
      <c r="AG27" s="272">
        <v>225592</v>
      </c>
      <c r="AH27" s="455">
        <f t="shared" si="3"/>
        <v>522326</v>
      </c>
      <c r="AI27" s="272">
        <v>347136</v>
      </c>
      <c r="AJ27" s="272">
        <v>175190</v>
      </c>
      <c r="AK27" s="272">
        <v>4861284</v>
      </c>
      <c r="AL27" s="455">
        <f t="shared" si="4"/>
        <v>3451464</v>
      </c>
      <c r="AM27" s="272">
        <v>2935509</v>
      </c>
      <c r="AN27" s="272">
        <v>306662</v>
      </c>
      <c r="AO27" s="272">
        <v>0</v>
      </c>
      <c r="AP27" s="272">
        <v>209293</v>
      </c>
      <c r="AQ27" s="272">
        <v>596782</v>
      </c>
      <c r="AR27" s="272">
        <v>0</v>
      </c>
      <c r="AS27" s="272">
        <v>0</v>
      </c>
      <c r="AT27" s="272">
        <v>1736445</v>
      </c>
      <c r="AU27" s="272">
        <v>706224</v>
      </c>
      <c r="AV27" s="272">
        <v>152922</v>
      </c>
      <c r="AW27" s="272">
        <v>3623</v>
      </c>
      <c r="AX27" s="272">
        <v>1030221</v>
      </c>
      <c r="AY27" s="272">
        <v>172425</v>
      </c>
      <c r="AZ27" s="272">
        <v>760302</v>
      </c>
      <c r="BA27" s="272">
        <v>659375</v>
      </c>
      <c r="BB27" s="272">
        <v>284305</v>
      </c>
      <c r="BC27" s="272">
        <v>2972148</v>
      </c>
      <c r="BD27" s="272">
        <v>1750000</v>
      </c>
      <c r="BE27" s="272">
        <v>400000</v>
      </c>
      <c r="BF27" s="272">
        <v>822148</v>
      </c>
      <c r="BG27" s="272">
        <v>0</v>
      </c>
      <c r="BH27" s="272">
        <v>637820</v>
      </c>
      <c r="BI27" s="272">
        <v>636010</v>
      </c>
      <c r="BJ27" s="272">
        <v>337950</v>
      </c>
      <c r="BK27" s="272">
        <v>98854</v>
      </c>
      <c r="BL27" s="272">
        <v>0</v>
      </c>
      <c r="BM27" s="272">
        <v>0</v>
      </c>
      <c r="BN27" s="272">
        <v>3499900</v>
      </c>
      <c r="BO27" s="455">
        <f t="shared" si="5"/>
        <v>2142900</v>
      </c>
      <c r="BP27" s="455">
        <f t="shared" si="6"/>
        <v>1357000</v>
      </c>
      <c r="BQ27" s="272">
        <v>1357000</v>
      </c>
      <c r="BR27" s="272"/>
      <c r="BS27" s="272"/>
      <c r="BT27" s="272">
        <v>0</v>
      </c>
      <c r="BU27" s="272">
        <v>42924514</v>
      </c>
      <c r="BV27" s="272"/>
      <c r="BW27" s="272">
        <v>12889796</v>
      </c>
      <c r="BX27" s="272">
        <v>9912863</v>
      </c>
      <c r="BY27" s="272">
        <v>745463</v>
      </c>
      <c r="BZ27" s="272">
        <v>156930</v>
      </c>
      <c r="CA27" s="272">
        <v>6707456</v>
      </c>
      <c r="CB27" s="272">
        <v>605136</v>
      </c>
      <c r="CC27" s="272">
        <v>963221</v>
      </c>
      <c r="CD27" s="272">
        <v>1160388</v>
      </c>
      <c r="CE27" s="272">
        <v>3895976</v>
      </c>
      <c r="CF27" s="272">
        <v>110</v>
      </c>
      <c r="CG27" s="272">
        <v>82345</v>
      </c>
      <c r="CH27" s="272">
        <v>2932448</v>
      </c>
      <c r="CI27" s="272">
        <v>1520933</v>
      </c>
      <c r="CJ27" s="455">
        <f t="shared" si="7"/>
        <v>1411515</v>
      </c>
      <c r="CK27" s="272">
        <v>3813315</v>
      </c>
      <c r="CL27" s="272">
        <v>2078867</v>
      </c>
      <c r="CM27" s="272">
        <v>101102</v>
      </c>
      <c r="CN27" s="272">
        <v>1071240</v>
      </c>
      <c r="CO27" s="272">
        <v>532698</v>
      </c>
      <c r="CP27" s="272">
        <v>3398939</v>
      </c>
      <c r="CQ27" s="272">
        <v>2009953</v>
      </c>
      <c r="CR27" s="272">
        <v>638849</v>
      </c>
      <c r="CS27" s="272">
        <v>354966</v>
      </c>
      <c r="CT27" s="455">
        <f t="shared" si="8"/>
        <v>9878</v>
      </c>
      <c r="CU27" s="272">
        <v>9878</v>
      </c>
      <c r="CV27" s="272">
        <v>0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6097916</v>
      </c>
      <c r="DD27" s="272">
        <v>1406441</v>
      </c>
      <c r="DE27" s="272">
        <v>4677411</v>
      </c>
      <c r="DF27" s="272">
        <v>0</v>
      </c>
      <c r="DG27" s="272">
        <v>0</v>
      </c>
      <c r="DH27" s="272">
        <v>0</v>
      </c>
      <c r="DI27" s="272">
        <v>2228482</v>
      </c>
      <c r="DJ27" s="272">
        <v>1394968</v>
      </c>
      <c r="DK27" s="272">
        <v>309263</v>
      </c>
      <c r="DL27" s="272">
        <v>524251</v>
      </c>
      <c r="DM27" s="272">
        <v>29000</v>
      </c>
      <c r="DN27" s="272">
        <v>0</v>
      </c>
      <c r="DO27" s="272">
        <v>0</v>
      </c>
      <c r="DP27" s="272">
        <v>0</v>
      </c>
      <c r="DQ27" s="272">
        <v>96500</v>
      </c>
      <c r="DR27" s="272">
        <v>0</v>
      </c>
      <c r="DS27" s="272">
        <v>0</v>
      </c>
      <c r="DT27" s="272">
        <v>3153423</v>
      </c>
      <c r="DU27" s="272">
        <v>1550300</v>
      </c>
      <c r="DV27" s="455">
        <f t="shared" si="11"/>
        <v>0</v>
      </c>
      <c r="DW27" s="272">
        <v>0</v>
      </c>
      <c r="DX27" s="272">
        <v>0</v>
      </c>
      <c r="DY27" s="272">
        <v>0</v>
      </c>
      <c r="DZ27" s="272">
        <v>1214978</v>
      </c>
      <c r="EA27" s="272">
        <v>384357</v>
      </c>
      <c r="EB27" s="272"/>
      <c r="EC27" s="272">
        <v>0</v>
      </c>
      <c r="ED27" s="272">
        <v>41879973</v>
      </c>
      <c r="EF27" s="272">
        <v>1044541</v>
      </c>
      <c r="EG27" s="272">
        <v>297493</v>
      </c>
      <c r="EH27" s="272">
        <v>747048</v>
      </c>
      <c r="EI27" s="272">
        <v>111038</v>
      </c>
      <c r="EJ27" s="272">
        <v>-243994</v>
      </c>
      <c r="EL27" s="272"/>
      <c r="EM27" s="272">
        <v>138130</v>
      </c>
      <c r="EN27" s="272">
        <v>2150000</v>
      </c>
      <c r="EO27" s="272">
        <v>661537</v>
      </c>
      <c r="EP27" s="455">
        <f t="shared" si="12"/>
        <v>877170</v>
      </c>
      <c r="EQ27" s="272">
        <v>27086442</v>
      </c>
      <c r="ER27" s="272">
        <v>-5016123</v>
      </c>
      <c r="ES27" s="272">
        <v>12114925</v>
      </c>
      <c r="ET27" s="272">
        <v>9160513</v>
      </c>
      <c r="EU27" s="272">
        <v>1941798</v>
      </c>
      <c r="EV27" s="272">
        <v>2897051</v>
      </c>
      <c r="EW27" s="455">
        <f t="shared" si="13"/>
        <v>2455977</v>
      </c>
      <c r="EX27" s="272">
        <v>2455977</v>
      </c>
      <c r="EY27" s="272">
        <v>64711</v>
      </c>
      <c r="EZ27" s="272">
        <v>2379568</v>
      </c>
      <c r="FA27" s="272">
        <v>0</v>
      </c>
      <c r="FB27" s="272"/>
      <c r="FC27" s="272">
        <v>3158636</v>
      </c>
      <c r="FD27" s="272">
        <v>3129219</v>
      </c>
      <c r="FE27" s="272">
        <v>2009953</v>
      </c>
      <c r="FF27" s="272">
        <v>2957729</v>
      </c>
      <c r="FG27" s="455">
        <f t="shared" si="14"/>
        <v>2402689</v>
      </c>
      <c r="FH27" s="272">
        <v>31058024</v>
      </c>
      <c r="FI27" s="384">
        <f t="shared" si="15"/>
        <v>3</v>
      </c>
      <c r="FJ27" s="272">
        <v>24644981</v>
      </c>
      <c r="FK27" s="272"/>
      <c r="FL27" s="272">
        <v>17277837</v>
      </c>
      <c r="FM27" s="272">
        <v>18989666</v>
      </c>
      <c r="FN27" s="460">
        <v>0.90200000000000002</v>
      </c>
      <c r="FO27" s="388">
        <v>102.3</v>
      </c>
      <c r="FP27" s="388">
        <v>48.4</v>
      </c>
      <c r="FQ27" s="388">
        <v>7.9</v>
      </c>
      <c r="FR27" s="388">
        <v>11.8</v>
      </c>
      <c r="FS27" s="388">
        <v>11.8</v>
      </c>
      <c r="FT27" s="388">
        <v>11.6</v>
      </c>
      <c r="FU27" s="388">
        <v>8.9</v>
      </c>
      <c r="FV27" s="388">
        <v>8.1999999999999993</v>
      </c>
      <c r="FW27" s="272">
        <v>32147240</v>
      </c>
      <c r="FX27" s="384">
        <f t="shared" si="16"/>
        <v>130.4</v>
      </c>
      <c r="FY27" s="272">
        <v>16377063</v>
      </c>
      <c r="FZ27" s="272">
        <v>4672615</v>
      </c>
      <c r="GA27" s="272">
        <v>1842850</v>
      </c>
      <c r="GB27" s="272">
        <v>9861598</v>
      </c>
      <c r="GC27" s="272"/>
      <c r="GD27" s="272">
        <v>12698422</v>
      </c>
      <c r="GE27" s="384">
        <f t="shared" si="17"/>
        <v>51.5</v>
      </c>
      <c r="GF27" s="388">
        <v>97.5</v>
      </c>
      <c r="GG27" s="388">
        <v>23.6</v>
      </c>
      <c r="GH27" s="388">
        <v>92.6</v>
      </c>
      <c r="GI27" s="272">
        <v>1242</v>
      </c>
    </row>
    <row r="28" spans="2:191" x14ac:dyDescent="0.15">
      <c r="B28" s="89" t="s">
        <v>49</v>
      </c>
      <c r="C28" s="272">
        <v>18855929</v>
      </c>
      <c r="D28" s="455">
        <f t="shared" si="0"/>
        <v>4764562</v>
      </c>
      <c r="E28" s="272">
        <v>87873</v>
      </c>
      <c r="F28" s="272">
        <v>4676689</v>
      </c>
      <c r="G28" s="455">
        <f t="shared" si="1"/>
        <v>2521139</v>
      </c>
      <c r="H28" s="272">
        <v>337970</v>
      </c>
      <c r="I28" s="272">
        <v>2183169</v>
      </c>
      <c r="J28" s="272">
        <v>9127879</v>
      </c>
      <c r="K28" s="272">
        <v>4615511</v>
      </c>
      <c r="L28" s="272">
        <v>2508730</v>
      </c>
      <c r="M28" s="272">
        <v>1917496</v>
      </c>
      <c r="N28" s="272">
        <v>526518</v>
      </c>
      <c r="O28" s="272">
        <v>1851356</v>
      </c>
      <c r="P28" s="272">
        <v>1282894</v>
      </c>
      <c r="Q28" s="272">
        <v>568462</v>
      </c>
      <c r="R28" s="272">
        <v>693658</v>
      </c>
      <c r="S28" s="272">
        <v>513935</v>
      </c>
      <c r="T28" s="455">
        <f t="shared" si="2"/>
        <v>529778</v>
      </c>
      <c r="U28" s="272">
        <v>222364</v>
      </c>
      <c r="V28" s="272"/>
      <c r="W28" s="272"/>
      <c r="X28" s="272"/>
      <c r="Y28" s="272">
        <v>6185</v>
      </c>
      <c r="Z28" s="272">
        <v>844</v>
      </c>
      <c r="AA28" s="272">
        <v>300385</v>
      </c>
      <c r="AB28" s="272"/>
      <c r="AC28" s="272">
        <v>302708</v>
      </c>
      <c r="AD28" s="272">
        <v>0</v>
      </c>
      <c r="AE28" s="272">
        <v>302708</v>
      </c>
      <c r="AF28" s="272">
        <v>23102</v>
      </c>
      <c r="AG28" s="272">
        <v>218887</v>
      </c>
      <c r="AH28" s="455">
        <f t="shared" si="3"/>
        <v>528152</v>
      </c>
      <c r="AI28" s="272">
        <v>383434</v>
      </c>
      <c r="AJ28" s="272">
        <v>144718</v>
      </c>
      <c r="AK28" s="272">
        <v>2576655</v>
      </c>
      <c r="AL28" s="455">
        <f t="shared" si="4"/>
        <v>1118953</v>
      </c>
      <c r="AM28" s="272">
        <v>700621</v>
      </c>
      <c r="AN28" s="272">
        <v>318388</v>
      </c>
      <c r="AO28" s="272">
        <v>0</v>
      </c>
      <c r="AP28" s="272">
        <v>99944</v>
      </c>
      <c r="AQ28" s="272">
        <v>998140</v>
      </c>
      <c r="AR28" s="272">
        <v>0</v>
      </c>
      <c r="AS28" s="272">
        <v>0</v>
      </c>
      <c r="AT28" s="272">
        <v>2209619</v>
      </c>
      <c r="AU28" s="272">
        <v>1183837</v>
      </c>
      <c r="AV28" s="272">
        <v>134824</v>
      </c>
      <c r="AW28" s="272">
        <v>301003</v>
      </c>
      <c r="AX28" s="272">
        <v>1025782</v>
      </c>
      <c r="AY28" s="272">
        <v>519546</v>
      </c>
      <c r="AZ28" s="272">
        <v>567184</v>
      </c>
      <c r="BA28" s="272">
        <v>487808</v>
      </c>
      <c r="BB28" s="272">
        <v>148034</v>
      </c>
      <c r="BC28" s="272">
        <v>931055</v>
      </c>
      <c r="BD28" s="272">
        <v>350000</v>
      </c>
      <c r="BE28" s="272">
        <v>200000</v>
      </c>
      <c r="BF28" s="272">
        <v>365379</v>
      </c>
      <c r="BG28" s="272">
        <v>0</v>
      </c>
      <c r="BH28" s="272">
        <v>489709</v>
      </c>
      <c r="BI28" s="272">
        <v>106588</v>
      </c>
      <c r="BJ28" s="272">
        <v>367568</v>
      </c>
      <c r="BK28" s="272">
        <v>150294</v>
      </c>
      <c r="BL28" s="272">
        <v>0</v>
      </c>
      <c r="BM28" s="272">
        <v>0</v>
      </c>
      <c r="BN28" s="272">
        <v>3877300</v>
      </c>
      <c r="BO28" s="455">
        <f t="shared" si="5"/>
        <v>2847200</v>
      </c>
      <c r="BP28" s="455">
        <f t="shared" si="6"/>
        <v>1030100</v>
      </c>
      <c r="BQ28" s="272">
        <v>1030100</v>
      </c>
      <c r="BR28" s="272"/>
      <c r="BS28" s="272"/>
      <c r="BT28" s="272">
        <v>0</v>
      </c>
      <c r="BU28" s="272">
        <v>32319338</v>
      </c>
      <c r="BV28" s="272"/>
      <c r="BW28" s="272">
        <v>8052712</v>
      </c>
      <c r="BX28" s="272">
        <v>6143779</v>
      </c>
      <c r="BY28" s="272">
        <v>351000</v>
      </c>
      <c r="BZ28" s="272">
        <v>149987</v>
      </c>
      <c r="CA28" s="272">
        <v>2664029</v>
      </c>
      <c r="CB28" s="272">
        <v>278748</v>
      </c>
      <c r="CC28" s="272">
        <v>517780</v>
      </c>
      <c r="CD28" s="272">
        <v>900737</v>
      </c>
      <c r="CE28" s="272">
        <v>933150</v>
      </c>
      <c r="CF28" s="272">
        <v>0</v>
      </c>
      <c r="CG28" s="272">
        <v>33614</v>
      </c>
      <c r="CH28" s="272">
        <v>3165537</v>
      </c>
      <c r="CI28" s="272">
        <v>1431481</v>
      </c>
      <c r="CJ28" s="455">
        <f t="shared" si="7"/>
        <v>1734056</v>
      </c>
      <c r="CK28" s="272">
        <v>4044610</v>
      </c>
      <c r="CL28" s="272">
        <v>2204983</v>
      </c>
      <c r="CM28" s="272">
        <v>201206</v>
      </c>
      <c r="CN28" s="272">
        <v>875678</v>
      </c>
      <c r="CO28" s="272">
        <v>327274</v>
      </c>
      <c r="CP28" s="272">
        <v>1391775</v>
      </c>
      <c r="CQ28" s="272">
        <v>12112</v>
      </c>
      <c r="CR28" s="272">
        <v>563823</v>
      </c>
      <c r="CS28" s="272">
        <v>304814</v>
      </c>
      <c r="CT28" s="455">
        <f t="shared" si="8"/>
        <v>16085</v>
      </c>
      <c r="CU28" s="272">
        <v>16085</v>
      </c>
      <c r="CV28" s="272">
        <v>0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6583176</v>
      </c>
      <c r="DD28" s="272">
        <v>1899833</v>
      </c>
      <c r="DE28" s="272">
        <v>3923092</v>
      </c>
      <c r="DF28" s="272">
        <v>0</v>
      </c>
      <c r="DG28" s="272">
        <v>760251</v>
      </c>
      <c r="DH28" s="272">
        <v>0</v>
      </c>
      <c r="DI28" s="272">
        <v>458308</v>
      </c>
      <c r="DJ28" s="272">
        <v>198290</v>
      </c>
      <c r="DK28" s="272">
        <v>18897</v>
      </c>
      <c r="DL28" s="272">
        <v>241121</v>
      </c>
      <c r="DM28" s="272">
        <v>22900</v>
      </c>
      <c r="DN28" s="272">
        <v>22900</v>
      </c>
      <c r="DO28" s="272">
        <v>22900</v>
      </c>
      <c r="DP28" s="272">
        <v>0</v>
      </c>
      <c r="DQ28" s="272">
        <v>141920</v>
      </c>
      <c r="DR28" s="272">
        <v>0</v>
      </c>
      <c r="DS28" s="272">
        <v>0</v>
      </c>
      <c r="DT28" s="272">
        <v>4431868</v>
      </c>
      <c r="DU28" s="272">
        <v>3460866</v>
      </c>
      <c r="DV28" s="455">
        <f t="shared" si="11"/>
        <v>0</v>
      </c>
      <c r="DW28" s="272">
        <v>0</v>
      </c>
      <c r="DX28" s="272">
        <v>0</v>
      </c>
      <c r="DY28" s="272">
        <v>142613</v>
      </c>
      <c r="DZ28" s="272">
        <v>519149</v>
      </c>
      <c r="EA28" s="272">
        <v>242917</v>
      </c>
      <c r="EB28" s="272"/>
      <c r="EC28" s="272">
        <v>0</v>
      </c>
      <c r="ED28" s="272">
        <v>31284109</v>
      </c>
      <c r="EF28" s="272">
        <v>1035229</v>
      </c>
      <c r="EG28" s="272">
        <v>503273</v>
      </c>
      <c r="EH28" s="272">
        <v>531956</v>
      </c>
      <c r="EI28" s="272">
        <v>425368</v>
      </c>
      <c r="EJ28" s="272">
        <v>273658</v>
      </c>
      <c r="EL28" s="272"/>
      <c r="EM28" s="272">
        <v>85441</v>
      </c>
      <c r="EN28" s="272">
        <v>565676</v>
      </c>
      <c r="EO28" s="272">
        <v>487985</v>
      </c>
      <c r="EP28" s="455">
        <f t="shared" si="12"/>
        <v>494582</v>
      </c>
      <c r="EQ28" s="272">
        <v>20405175</v>
      </c>
      <c r="ER28" s="272">
        <v>-2555241</v>
      </c>
      <c r="ES28" s="272">
        <v>7513773</v>
      </c>
      <c r="ET28" s="272">
        <v>5616933</v>
      </c>
      <c r="EU28" s="272">
        <v>840148</v>
      </c>
      <c r="EV28" s="272">
        <v>3165537</v>
      </c>
      <c r="EW28" s="455">
        <f t="shared" si="13"/>
        <v>1009747</v>
      </c>
      <c r="EX28" s="272">
        <v>1009747</v>
      </c>
      <c r="EY28" s="272">
        <v>82735</v>
      </c>
      <c r="EZ28" s="272">
        <v>927012</v>
      </c>
      <c r="FA28" s="272">
        <v>0</v>
      </c>
      <c r="FB28" s="272"/>
      <c r="FC28" s="272">
        <v>3288836</v>
      </c>
      <c r="FD28" s="272">
        <v>1270361</v>
      </c>
      <c r="FE28" s="272">
        <v>12112</v>
      </c>
      <c r="FF28" s="272">
        <v>4341628</v>
      </c>
      <c r="FG28" s="455">
        <f t="shared" si="14"/>
        <v>495157</v>
      </c>
      <c r="FH28" s="272">
        <v>21925187</v>
      </c>
      <c r="FI28" s="384">
        <f t="shared" si="15"/>
        <v>2.9</v>
      </c>
      <c r="FJ28" s="272">
        <v>18447995</v>
      </c>
      <c r="FK28" s="272"/>
      <c r="FL28" s="272">
        <v>13886113</v>
      </c>
      <c r="FM28" s="272">
        <v>13699302</v>
      </c>
      <c r="FN28" s="460">
        <v>1.012</v>
      </c>
      <c r="FO28" s="388">
        <v>100.2</v>
      </c>
      <c r="FP28" s="388">
        <v>40</v>
      </c>
      <c r="FQ28" s="388">
        <v>4.5999999999999996</v>
      </c>
      <c r="FR28" s="388">
        <v>17.3</v>
      </c>
      <c r="FS28" s="388">
        <v>16</v>
      </c>
      <c r="FT28" s="388">
        <v>6.2</v>
      </c>
      <c r="FU28" s="388">
        <v>14.4</v>
      </c>
      <c r="FV28" s="388">
        <v>11.4</v>
      </c>
      <c r="FW28" s="272">
        <v>39003194</v>
      </c>
      <c r="FX28" s="384">
        <f t="shared" si="16"/>
        <v>211.4</v>
      </c>
      <c r="FY28" s="272">
        <v>10794980</v>
      </c>
      <c r="FZ28" s="272">
        <v>4584230</v>
      </c>
      <c r="GA28" s="272">
        <v>2176614</v>
      </c>
      <c r="GB28" s="272">
        <v>4034136</v>
      </c>
      <c r="GC28" s="272"/>
      <c r="GD28" s="272">
        <v>7086339</v>
      </c>
      <c r="GE28" s="384">
        <f t="shared" si="17"/>
        <v>38.4</v>
      </c>
      <c r="GF28" s="388">
        <v>98.4</v>
      </c>
      <c r="GG28" s="388">
        <v>32.799999999999997</v>
      </c>
      <c r="GH28" s="388">
        <v>96</v>
      </c>
      <c r="GI28" s="272">
        <v>778</v>
      </c>
    </row>
    <row r="29" spans="2:191" x14ac:dyDescent="0.15">
      <c r="B29" s="89" t="s">
        <v>51</v>
      </c>
      <c r="C29" s="272">
        <v>15283876</v>
      </c>
      <c r="D29" s="455">
        <f t="shared" si="0"/>
        <v>3491072</v>
      </c>
      <c r="E29" s="272">
        <v>61038</v>
      </c>
      <c r="F29" s="272">
        <v>3430034</v>
      </c>
      <c r="G29" s="455">
        <f t="shared" si="1"/>
        <v>784692</v>
      </c>
      <c r="H29" s="272">
        <v>142383</v>
      </c>
      <c r="I29" s="272">
        <v>642309</v>
      </c>
      <c r="J29" s="272">
        <v>8840373</v>
      </c>
      <c r="K29" s="272">
        <v>5510682</v>
      </c>
      <c r="L29" s="272">
        <v>1355517</v>
      </c>
      <c r="M29" s="272">
        <v>1936055</v>
      </c>
      <c r="N29" s="272">
        <v>330604</v>
      </c>
      <c r="O29" s="272">
        <v>1791504</v>
      </c>
      <c r="P29" s="272">
        <v>1477065</v>
      </c>
      <c r="Q29" s="272">
        <v>314439</v>
      </c>
      <c r="R29" s="272">
        <v>444892</v>
      </c>
      <c r="S29" s="272">
        <v>288759</v>
      </c>
      <c r="T29" s="455">
        <f t="shared" si="2"/>
        <v>374789</v>
      </c>
      <c r="U29" s="272">
        <v>165960</v>
      </c>
      <c r="V29" s="272"/>
      <c r="W29" s="272"/>
      <c r="X29" s="272"/>
      <c r="Y29" s="272">
        <v>0</v>
      </c>
      <c r="Z29" s="272">
        <v>13955</v>
      </c>
      <c r="AA29" s="272">
        <v>194874</v>
      </c>
      <c r="AB29" s="272"/>
      <c r="AC29" s="272">
        <v>44018</v>
      </c>
      <c r="AD29" s="272">
        <v>0</v>
      </c>
      <c r="AE29" s="272">
        <v>44018</v>
      </c>
      <c r="AF29" s="272">
        <v>12269</v>
      </c>
      <c r="AG29" s="272">
        <v>110059</v>
      </c>
      <c r="AH29" s="455">
        <f t="shared" si="3"/>
        <v>326712</v>
      </c>
      <c r="AI29" s="272">
        <v>306566</v>
      </c>
      <c r="AJ29" s="272">
        <v>20146</v>
      </c>
      <c r="AK29" s="272">
        <v>1564398</v>
      </c>
      <c r="AL29" s="455">
        <f t="shared" si="4"/>
        <v>983171</v>
      </c>
      <c r="AM29" s="272">
        <v>708561</v>
      </c>
      <c r="AN29" s="272">
        <v>149670</v>
      </c>
      <c r="AO29" s="272">
        <v>0</v>
      </c>
      <c r="AP29" s="272">
        <v>124940</v>
      </c>
      <c r="AQ29" s="272">
        <v>107187</v>
      </c>
      <c r="AR29" s="272">
        <v>0</v>
      </c>
      <c r="AS29" s="272">
        <v>0</v>
      </c>
      <c r="AT29" s="272">
        <v>1049732</v>
      </c>
      <c r="AU29" s="272">
        <v>374999</v>
      </c>
      <c r="AV29" s="272">
        <v>90483</v>
      </c>
      <c r="AW29" s="272">
        <v>624</v>
      </c>
      <c r="AX29" s="272">
        <v>674733</v>
      </c>
      <c r="AY29" s="272">
        <v>68745</v>
      </c>
      <c r="AZ29" s="272">
        <v>175611</v>
      </c>
      <c r="BA29" s="272">
        <v>0</v>
      </c>
      <c r="BB29" s="272">
        <v>56127</v>
      </c>
      <c r="BC29" s="272">
        <v>945832</v>
      </c>
      <c r="BD29" s="272">
        <v>890000</v>
      </c>
      <c r="BE29" s="272">
        <v>0</v>
      </c>
      <c r="BF29" s="272">
        <v>22586</v>
      </c>
      <c r="BG29" s="272">
        <v>0</v>
      </c>
      <c r="BH29" s="272">
        <v>433133</v>
      </c>
      <c r="BI29" s="272">
        <v>332862</v>
      </c>
      <c r="BJ29" s="272">
        <v>207209</v>
      </c>
      <c r="BK29" s="272">
        <v>50798</v>
      </c>
      <c r="BL29" s="272">
        <v>0</v>
      </c>
      <c r="BM29" s="272">
        <v>0</v>
      </c>
      <c r="BN29" s="272">
        <v>2193100</v>
      </c>
      <c r="BO29" s="455">
        <f t="shared" si="5"/>
        <v>1455300</v>
      </c>
      <c r="BP29" s="455">
        <f t="shared" si="6"/>
        <v>737800</v>
      </c>
      <c r="BQ29" s="272">
        <v>737800</v>
      </c>
      <c r="BR29" s="272"/>
      <c r="BS29" s="272"/>
      <c r="BT29" s="272">
        <v>0</v>
      </c>
      <c r="BU29" s="272">
        <v>23221757</v>
      </c>
      <c r="BV29" s="272"/>
      <c r="BW29" s="272">
        <v>6307743</v>
      </c>
      <c r="BX29" s="272">
        <v>4717373</v>
      </c>
      <c r="BY29" s="272">
        <v>367081</v>
      </c>
      <c r="BZ29" s="272">
        <v>97293</v>
      </c>
      <c r="CA29" s="272">
        <v>2429951</v>
      </c>
      <c r="CB29" s="272">
        <v>292966</v>
      </c>
      <c r="CC29" s="272">
        <v>614589</v>
      </c>
      <c r="CD29" s="272">
        <v>538885</v>
      </c>
      <c r="CE29" s="272">
        <v>949489</v>
      </c>
      <c r="CF29" s="272">
        <v>1054</v>
      </c>
      <c r="CG29" s="272">
        <v>32968</v>
      </c>
      <c r="CH29" s="272">
        <v>708995</v>
      </c>
      <c r="CI29" s="272">
        <v>340520</v>
      </c>
      <c r="CJ29" s="455">
        <f t="shared" si="7"/>
        <v>368475</v>
      </c>
      <c r="CK29" s="272">
        <v>2587634</v>
      </c>
      <c r="CL29" s="272">
        <v>1601940</v>
      </c>
      <c r="CM29" s="272">
        <v>70743</v>
      </c>
      <c r="CN29" s="272">
        <v>530261</v>
      </c>
      <c r="CO29" s="272">
        <v>43284</v>
      </c>
      <c r="CP29" s="272">
        <v>3187969</v>
      </c>
      <c r="CQ29" s="272">
        <v>1947875</v>
      </c>
      <c r="CR29" s="272">
        <v>537978</v>
      </c>
      <c r="CS29" s="272">
        <v>524534</v>
      </c>
      <c r="CT29" s="455">
        <f t="shared" si="8"/>
        <v>53843</v>
      </c>
      <c r="CU29" s="272">
        <v>7066</v>
      </c>
      <c r="CV29" s="272">
        <v>46777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3363687</v>
      </c>
      <c r="DD29" s="272">
        <v>216550</v>
      </c>
      <c r="DE29" s="272">
        <v>3147137</v>
      </c>
      <c r="DF29" s="272">
        <v>0</v>
      </c>
      <c r="DG29" s="272">
        <v>0</v>
      </c>
      <c r="DH29" s="272">
        <v>0</v>
      </c>
      <c r="DI29" s="272">
        <v>1693494</v>
      </c>
      <c r="DJ29" s="272">
        <v>219405</v>
      </c>
      <c r="DK29" s="272">
        <v>0</v>
      </c>
      <c r="DL29" s="272">
        <v>1474089</v>
      </c>
      <c r="DM29" s="272">
        <v>0</v>
      </c>
      <c r="DN29" s="272">
        <v>0</v>
      </c>
      <c r="DO29" s="272">
        <v>0</v>
      </c>
      <c r="DP29" s="272">
        <v>0</v>
      </c>
      <c r="DQ29" s="272">
        <v>70405</v>
      </c>
      <c r="DR29" s="272">
        <v>0</v>
      </c>
      <c r="DS29" s="272">
        <v>0</v>
      </c>
      <c r="DT29" s="272">
        <v>2357243</v>
      </c>
      <c r="DU29" s="272">
        <v>1572792</v>
      </c>
      <c r="DV29" s="455">
        <f t="shared" si="11"/>
        <v>0</v>
      </c>
      <c r="DW29" s="272">
        <v>0</v>
      </c>
      <c r="DX29" s="272">
        <v>0</v>
      </c>
      <c r="DY29" s="272">
        <v>0</v>
      </c>
      <c r="DZ29" s="272">
        <v>519324</v>
      </c>
      <c r="EA29" s="272">
        <v>262916</v>
      </c>
      <c r="EB29" s="272"/>
      <c r="EC29" s="272">
        <v>0</v>
      </c>
      <c r="ED29" s="272">
        <v>22750405</v>
      </c>
      <c r="EF29" s="272">
        <v>471352</v>
      </c>
      <c r="EG29" s="272">
        <v>132628</v>
      </c>
      <c r="EH29" s="272">
        <v>338724</v>
      </c>
      <c r="EI29" s="272">
        <v>5862</v>
      </c>
      <c r="EJ29" s="272">
        <v>-664733</v>
      </c>
      <c r="EL29" s="272"/>
      <c r="EM29" s="272">
        <v>63721</v>
      </c>
      <c r="EN29" s="272">
        <v>892036</v>
      </c>
      <c r="EO29" s="272">
        <v>15090</v>
      </c>
      <c r="EP29" s="455">
        <f t="shared" si="12"/>
        <v>655998</v>
      </c>
      <c r="EQ29" s="272">
        <v>16159844</v>
      </c>
      <c r="ER29" s="272">
        <v>-2288655</v>
      </c>
      <c r="ES29" s="272">
        <v>5816286</v>
      </c>
      <c r="ET29" s="272">
        <v>4268511</v>
      </c>
      <c r="EU29" s="272">
        <v>788387</v>
      </c>
      <c r="EV29" s="272">
        <v>697006</v>
      </c>
      <c r="EW29" s="455">
        <f t="shared" si="13"/>
        <v>1642260</v>
      </c>
      <c r="EX29" s="272">
        <v>1642260</v>
      </c>
      <c r="EY29" s="272">
        <v>36163</v>
      </c>
      <c r="EZ29" s="272">
        <v>1606097</v>
      </c>
      <c r="FA29" s="272">
        <v>0</v>
      </c>
      <c r="FB29" s="272"/>
      <c r="FC29" s="272">
        <v>2076158</v>
      </c>
      <c r="FD29" s="272">
        <v>3089972</v>
      </c>
      <c r="FE29" s="272">
        <v>1947875</v>
      </c>
      <c r="FF29" s="272">
        <v>2296131</v>
      </c>
      <c r="FG29" s="455">
        <f t="shared" si="14"/>
        <v>1570947</v>
      </c>
      <c r="FH29" s="272">
        <v>17977147</v>
      </c>
      <c r="FI29" s="384">
        <f t="shared" si="15"/>
        <v>2.2999999999999998</v>
      </c>
      <c r="FJ29" s="272">
        <v>14848984</v>
      </c>
      <c r="FK29" s="272"/>
      <c r="FL29" s="272">
        <v>11181654</v>
      </c>
      <c r="FM29" s="272">
        <v>9435110</v>
      </c>
      <c r="FN29" s="460">
        <v>1.2</v>
      </c>
      <c r="FO29" s="388">
        <v>91.8</v>
      </c>
      <c r="FP29" s="388">
        <v>39.1</v>
      </c>
      <c r="FQ29" s="388">
        <v>5.5</v>
      </c>
      <c r="FR29" s="388">
        <v>4.8</v>
      </c>
      <c r="FS29" s="388">
        <v>13.7</v>
      </c>
      <c r="FT29" s="388">
        <v>19.7</v>
      </c>
      <c r="FU29" s="388">
        <v>8.8000000000000007</v>
      </c>
      <c r="FV29" s="388">
        <v>3.6</v>
      </c>
      <c r="FW29" s="272">
        <v>10423985</v>
      </c>
      <c r="FX29" s="384">
        <f t="shared" si="16"/>
        <v>70.2</v>
      </c>
      <c r="FY29" s="272">
        <v>16003303</v>
      </c>
      <c r="FZ29" s="272">
        <v>4268438</v>
      </c>
      <c r="GA29" s="272"/>
      <c r="GB29" s="272">
        <v>11734865</v>
      </c>
      <c r="GC29" s="272"/>
      <c r="GD29" s="272">
        <v>19572373</v>
      </c>
      <c r="GE29" s="384">
        <f t="shared" si="17"/>
        <v>131.80000000000001</v>
      </c>
      <c r="GF29" s="388">
        <v>98.3</v>
      </c>
      <c r="GG29" s="388">
        <v>28.8</v>
      </c>
      <c r="GH29" s="388">
        <v>95.1</v>
      </c>
      <c r="GI29" s="272">
        <v>615</v>
      </c>
    </row>
    <row r="30" spans="2:191" x14ac:dyDescent="0.15">
      <c r="B30" s="89" t="s">
        <v>53</v>
      </c>
      <c r="C30" s="272">
        <v>9108939</v>
      </c>
      <c r="D30" s="455">
        <f t="shared" si="0"/>
        <v>3676392</v>
      </c>
      <c r="E30" s="272">
        <v>60245</v>
      </c>
      <c r="F30" s="272">
        <v>3616147</v>
      </c>
      <c r="G30" s="455">
        <f t="shared" si="1"/>
        <v>702006</v>
      </c>
      <c r="H30" s="272">
        <v>144609</v>
      </c>
      <c r="I30" s="272">
        <v>557397</v>
      </c>
      <c r="J30" s="272">
        <v>3391859</v>
      </c>
      <c r="K30" s="272">
        <v>1830701</v>
      </c>
      <c r="L30" s="272">
        <v>1234640</v>
      </c>
      <c r="M30" s="272">
        <v>314831</v>
      </c>
      <c r="N30" s="272">
        <v>322886</v>
      </c>
      <c r="O30" s="272">
        <v>957773</v>
      </c>
      <c r="P30" s="272">
        <v>668627</v>
      </c>
      <c r="Q30" s="272">
        <v>289146</v>
      </c>
      <c r="R30" s="272">
        <v>423531</v>
      </c>
      <c r="S30" s="272">
        <v>294465</v>
      </c>
      <c r="T30" s="455">
        <f t="shared" si="2"/>
        <v>392175</v>
      </c>
      <c r="U30" s="272">
        <v>174221</v>
      </c>
      <c r="V30" s="272"/>
      <c r="W30" s="272"/>
      <c r="X30" s="272"/>
      <c r="Y30" s="272">
        <v>0</v>
      </c>
      <c r="Z30" s="272">
        <v>1875</v>
      </c>
      <c r="AA30" s="272">
        <v>216079</v>
      </c>
      <c r="AB30" s="272"/>
      <c r="AC30" s="272">
        <v>3112870</v>
      </c>
      <c r="AD30" s="272">
        <v>2878827</v>
      </c>
      <c r="AE30" s="272">
        <v>234043</v>
      </c>
      <c r="AF30" s="272">
        <v>18197</v>
      </c>
      <c r="AG30" s="272">
        <v>108276</v>
      </c>
      <c r="AH30" s="455">
        <f t="shared" si="3"/>
        <v>291463</v>
      </c>
      <c r="AI30" s="272">
        <v>267298</v>
      </c>
      <c r="AJ30" s="272">
        <v>24165</v>
      </c>
      <c r="AK30" s="272">
        <v>1435971</v>
      </c>
      <c r="AL30" s="455">
        <f t="shared" si="4"/>
        <v>858964</v>
      </c>
      <c r="AM30" s="272">
        <v>579413</v>
      </c>
      <c r="AN30" s="272">
        <v>139893</v>
      </c>
      <c r="AO30" s="272">
        <v>0</v>
      </c>
      <c r="AP30" s="272">
        <v>139658</v>
      </c>
      <c r="AQ30" s="272">
        <v>125282</v>
      </c>
      <c r="AR30" s="272">
        <v>0</v>
      </c>
      <c r="AS30" s="272">
        <v>0</v>
      </c>
      <c r="AT30" s="272">
        <v>925003</v>
      </c>
      <c r="AU30" s="272">
        <v>330650</v>
      </c>
      <c r="AV30" s="272">
        <v>75382</v>
      </c>
      <c r="AW30" s="272">
        <v>0</v>
      </c>
      <c r="AX30" s="272">
        <v>594353</v>
      </c>
      <c r="AY30" s="272">
        <v>71800</v>
      </c>
      <c r="AZ30" s="272">
        <v>35035</v>
      </c>
      <c r="BA30" s="272">
        <v>3736</v>
      </c>
      <c r="BB30" s="272">
        <v>151592</v>
      </c>
      <c r="BC30" s="272">
        <v>825497</v>
      </c>
      <c r="BD30" s="272">
        <v>0</v>
      </c>
      <c r="BE30" s="272">
        <v>100000</v>
      </c>
      <c r="BF30" s="272">
        <v>715497</v>
      </c>
      <c r="BG30" s="272">
        <v>0</v>
      </c>
      <c r="BH30" s="272">
        <v>56804</v>
      </c>
      <c r="BI30" s="272">
        <v>8621</v>
      </c>
      <c r="BJ30" s="272">
        <v>126999</v>
      </c>
      <c r="BK30" s="272">
        <v>20291</v>
      </c>
      <c r="BL30" s="272">
        <v>2006</v>
      </c>
      <c r="BM30" s="272">
        <v>0</v>
      </c>
      <c r="BN30" s="272">
        <v>1288200</v>
      </c>
      <c r="BO30" s="455">
        <f t="shared" si="5"/>
        <v>554300</v>
      </c>
      <c r="BP30" s="455">
        <f t="shared" si="6"/>
        <v>733900</v>
      </c>
      <c r="BQ30" s="272">
        <v>733900</v>
      </c>
      <c r="BR30" s="272"/>
      <c r="BS30" s="272"/>
      <c r="BT30" s="272">
        <v>0</v>
      </c>
      <c r="BU30" s="272">
        <v>18300552</v>
      </c>
      <c r="BV30" s="272"/>
      <c r="BW30" s="272">
        <v>5381698</v>
      </c>
      <c r="BX30" s="272">
        <v>4056902</v>
      </c>
      <c r="BY30" s="272">
        <v>159514</v>
      </c>
      <c r="BZ30" s="272">
        <v>166449</v>
      </c>
      <c r="CA30" s="272">
        <v>2320598</v>
      </c>
      <c r="CB30" s="272">
        <v>311380</v>
      </c>
      <c r="CC30" s="272">
        <v>825468</v>
      </c>
      <c r="CD30" s="272">
        <v>372553</v>
      </c>
      <c r="CE30" s="272">
        <v>786572</v>
      </c>
      <c r="CF30" s="272">
        <v>0</v>
      </c>
      <c r="CG30" s="272">
        <v>24349</v>
      </c>
      <c r="CH30" s="272">
        <v>1383246</v>
      </c>
      <c r="CI30" s="272">
        <v>832339</v>
      </c>
      <c r="CJ30" s="455">
        <f t="shared" si="7"/>
        <v>550907</v>
      </c>
      <c r="CK30" s="272">
        <v>2221053</v>
      </c>
      <c r="CL30" s="272">
        <v>1121005</v>
      </c>
      <c r="CM30" s="272">
        <v>214824</v>
      </c>
      <c r="CN30" s="272">
        <v>499642</v>
      </c>
      <c r="CO30" s="272">
        <v>193552</v>
      </c>
      <c r="CP30" s="272">
        <v>2693730</v>
      </c>
      <c r="CQ30" s="272">
        <v>1916955</v>
      </c>
      <c r="CR30" s="272">
        <v>209741</v>
      </c>
      <c r="CS30" s="272">
        <v>175172</v>
      </c>
      <c r="CT30" s="455">
        <f t="shared" si="8"/>
        <v>249174</v>
      </c>
      <c r="CU30" s="272">
        <v>162691</v>
      </c>
      <c r="CV30" s="272">
        <v>86483</v>
      </c>
      <c r="CW30" s="455">
        <f t="shared" si="9"/>
        <v>189798</v>
      </c>
      <c r="CX30" s="272">
        <v>158315</v>
      </c>
      <c r="CY30" s="272">
        <v>31483</v>
      </c>
      <c r="CZ30" s="455">
        <f t="shared" si="10"/>
        <v>0</v>
      </c>
      <c r="DA30" s="272">
        <v>0</v>
      </c>
      <c r="DB30" s="272">
        <v>0</v>
      </c>
      <c r="DC30" s="272">
        <v>1364393</v>
      </c>
      <c r="DD30" s="272">
        <v>460565</v>
      </c>
      <c r="DE30" s="272">
        <v>798834</v>
      </c>
      <c r="DF30" s="272">
        <v>36942</v>
      </c>
      <c r="DG30" s="272">
        <v>68052</v>
      </c>
      <c r="DH30" s="272">
        <v>0</v>
      </c>
      <c r="DI30" s="272">
        <v>573070</v>
      </c>
      <c r="DJ30" s="272">
        <v>280511</v>
      </c>
      <c r="DK30" s="272">
        <v>3305</v>
      </c>
      <c r="DL30" s="272">
        <v>289254</v>
      </c>
      <c r="DM30" s="272">
        <v>31000</v>
      </c>
      <c r="DN30" s="272">
        <v>31000</v>
      </c>
      <c r="DO30" s="272">
        <v>31000</v>
      </c>
      <c r="DP30" s="272">
        <v>0</v>
      </c>
      <c r="DQ30" s="272">
        <v>20000</v>
      </c>
      <c r="DR30" s="272">
        <v>0</v>
      </c>
      <c r="DS30" s="272">
        <v>0</v>
      </c>
      <c r="DT30" s="272">
        <v>2089486</v>
      </c>
      <c r="DU30" s="272">
        <v>1465318</v>
      </c>
      <c r="DV30" s="455">
        <f t="shared" si="11"/>
        <v>0</v>
      </c>
      <c r="DW30" s="272">
        <v>0</v>
      </c>
      <c r="DX30" s="272">
        <v>0</v>
      </c>
      <c r="DY30" s="272">
        <v>0</v>
      </c>
      <c r="DZ30" s="272">
        <v>365605</v>
      </c>
      <c r="EA30" s="272">
        <v>258557</v>
      </c>
      <c r="EB30" s="272"/>
      <c r="EC30" s="272">
        <v>0</v>
      </c>
      <c r="ED30" s="272">
        <v>18271826</v>
      </c>
      <c r="EF30" s="272">
        <v>28726</v>
      </c>
      <c r="EG30" s="272">
        <v>2100</v>
      </c>
      <c r="EH30" s="272">
        <v>26626</v>
      </c>
      <c r="EI30" s="272">
        <v>7005</v>
      </c>
      <c r="EJ30" s="272">
        <v>287516</v>
      </c>
      <c r="EL30" s="272"/>
      <c r="EM30" s="272">
        <v>66359</v>
      </c>
      <c r="EN30" s="272">
        <v>384110</v>
      </c>
      <c r="EO30" s="272">
        <v>5601</v>
      </c>
      <c r="EP30" s="455">
        <f t="shared" si="12"/>
        <v>242420</v>
      </c>
      <c r="EQ30" s="272">
        <v>13055712</v>
      </c>
      <c r="ER30" s="272">
        <v>-1347834</v>
      </c>
      <c r="ES30" s="272">
        <v>5013873</v>
      </c>
      <c r="ET30" s="272">
        <v>3753988</v>
      </c>
      <c r="EU30" s="272">
        <v>790441</v>
      </c>
      <c r="EV30" s="272">
        <v>1294664</v>
      </c>
      <c r="EW30" s="455">
        <f t="shared" si="13"/>
        <v>287203</v>
      </c>
      <c r="EX30" s="272">
        <v>287203</v>
      </c>
      <c r="EY30" s="272">
        <v>16233</v>
      </c>
      <c r="EZ30" s="272">
        <v>265792</v>
      </c>
      <c r="FA30" s="272">
        <v>0</v>
      </c>
      <c r="FB30" s="272"/>
      <c r="FC30" s="272">
        <v>1844191</v>
      </c>
      <c r="FD30" s="272">
        <v>2453379</v>
      </c>
      <c r="FE30" s="272">
        <v>1836955</v>
      </c>
      <c r="FF30" s="272">
        <v>1953875</v>
      </c>
      <c r="FG30" s="455">
        <f t="shared" si="14"/>
        <v>737194</v>
      </c>
      <c r="FH30" s="272">
        <v>14374820</v>
      </c>
      <c r="FI30" s="384">
        <f t="shared" si="15"/>
        <v>0.2</v>
      </c>
      <c r="FJ30" s="272">
        <v>12234263</v>
      </c>
      <c r="FK30" s="272"/>
      <c r="FL30" s="272">
        <v>7061749</v>
      </c>
      <c r="FM30" s="272">
        <v>9940576</v>
      </c>
      <c r="FN30" s="460">
        <v>0.71699999999999997</v>
      </c>
      <c r="FO30" s="388">
        <v>98.6</v>
      </c>
      <c r="FP30" s="388">
        <v>41.7</v>
      </c>
      <c r="FQ30" s="388">
        <v>6.2</v>
      </c>
      <c r="FR30" s="388">
        <v>10.9</v>
      </c>
      <c r="FS30" s="388">
        <v>12.8</v>
      </c>
      <c r="FT30" s="388">
        <v>18.399999999999999</v>
      </c>
      <c r="FU30" s="388">
        <v>7</v>
      </c>
      <c r="FV30" s="388">
        <v>8</v>
      </c>
      <c r="FW30" s="272">
        <v>13687290</v>
      </c>
      <c r="FX30" s="384">
        <f t="shared" si="16"/>
        <v>111.9</v>
      </c>
      <c r="FY30" s="272">
        <v>4990655</v>
      </c>
      <c r="FZ30" s="272">
        <v>1256290</v>
      </c>
      <c r="GA30" s="272">
        <v>711483</v>
      </c>
      <c r="GB30" s="272">
        <v>3022882</v>
      </c>
      <c r="GC30" s="272"/>
      <c r="GD30" s="272">
        <v>1563154</v>
      </c>
      <c r="GE30" s="384">
        <f t="shared" si="17"/>
        <v>12.8</v>
      </c>
      <c r="GF30" s="388">
        <v>97.4</v>
      </c>
      <c r="GG30" s="388">
        <v>31.5</v>
      </c>
      <c r="GH30" s="388">
        <v>92.2</v>
      </c>
      <c r="GI30" s="272">
        <v>563</v>
      </c>
    </row>
    <row r="31" spans="2:191" x14ac:dyDescent="0.15">
      <c r="B31" s="89" t="s">
        <v>55</v>
      </c>
      <c r="C31" s="272">
        <v>89456561</v>
      </c>
      <c r="D31" s="455">
        <f t="shared" si="0"/>
        <v>25727943</v>
      </c>
      <c r="E31" s="272">
        <v>564497</v>
      </c>
      <c r="F31" s="272">
        <v>25163446</v>
      </c>
      <c r="G31" s="455">
        <f t="shared" si="1"/>
        <v>9266071</v>
      </c>
      <c r="H31" s="272">
        <v>1415463</v>
      </c>
      <c r="I31" s="272">
        <v>7850608</v>
      </c>
      <c r="J31" s="272">
        <v>38661032</v>
      </c>
      <c r="K31" s="272">
        <v>22503971</v>
      </c>
      <c r="L31" s="272">
        <v>11691192</v>
      </c>
      <c r="M31" s="272">
        <v>4246749</v>
      </c>
      <c r="N31" s="272">
        <v>3099802</v>
      </c>
      <c r="O31" s="272">
        <v>9656364</v>
      </c>
      <c r="P31" s="272">
        <v>6995503</v>
      </c>
      <c r="Q31" s="272">
        <v>2660861</v>
      </c>
      <c r="R31" s="272">
        <v>3777907</v>
      </c>
      <c r="S31" s="272">
        <v>2824961</v>
      </c>
      <c r="T31" s="455">
        <f t="shared" si="2"/>
        <v>2880878</v>
      </c>
      <c r="U31" s="272">
        <v>1268311</v>
      </c>
      <c r="V31" s="272"/>
      <c r="W31" s="272"/>
      <c r="X31" s="272"/>
      <c r="Y31" s="272">
        <v>0</v>
      </c>
      <c r="Z31" s="272">
        <v>18499</v>
      </c>
      <c r="AA31" s="272">
        <v>1594068</v>
      </c>
      <c r="AB31" s="272"/>
      <c r="AC31" s="272">
        <v>6339213</v>
      </c>
      <c r="AD31" s="272">
        <v>5361413</v>
      </c>
      <c r="AE31" s="272">
        <v>977800</v>
      </c>
      <c r="AF31" s="272">
        <v>115243</v>
      </c>
      <c r="AG31" s="272">
        <v>4666197</v>
      </c>
      <c r="AH31" s="455">
        <f t="shared" si="3"/>
        <v>3314640</v>
      </c>
      <c r="AI31" s="272">
        <v>2527699</v>
      </c>
      <c r="AJ31" s="272">
        <v>786941</v>
      </c>
      <c r="AK31" s="272">
        <v>17745084</v>
      </c>
      <c r="AL31" s="455">
        <f t="shared" si="4"/>
        <v>12334670</v>
      </c>
      <c r="AM31" s="272">
        <v>10241007</v>
      </c>
      <c r="AN31" s="272">
        <v>1155259</v>
      </c>
      <c r="AO31" s="272">
        <v>41752</v>
      </c>
      <c r="AP31" s="272">
        <v>896652</v>
      </c>
      <c r="AQ31" s="272">
        <v>2404355</v>
      </c>
      <c r="AR31" s="272">
        <v>0</v>
      </c>
      <c r="AS31" s="272">
        <v>0</v>
      </c>
      <c r="AT31" s="272">
        <v>13208374</v>
      </c>
      <c r="AU31" s="272">
        <v>5549724</v>
      </c>
      <c r="AV31" s="272">
        <v>581933</v>
      </c>
      <c r="AW31" s="272">
        <v>155955</v>
      </c>
      <c r="AX31" s="272">
        <v>7658650</v>
      </c>
      <c r="AY31" s="272">
        <v>2893173</v>
      </c>
      <c r="AZ31" s="272">
        <v>6136998</v>
      </c>
      <c r="BA31" s="272">
        <v>5724779</v>
      </c>
      <c r="BB31" s="272">
        <v>986398</v>
      </c>
      <c r="BC31" s="272">
        <v>520952</v>
      </c>
      <c r="BD31" s="272">
        <v>0</v>
      </c>
      <c r="BE31" s="272">
        <v>0</v>
      </c>
      <c r="BF31" s="272">
        <v>37227</v>
      </c>
      <c r="BG31" s="272">
        <v>0</v>
      </c>
      <c r="BH31" s="272">
        <v>2584341</v>
      </c>
      <c r="BI31" s="272">
        <v>911532</v>
      </c>
      <c r="BJ31" s="272">
        <v>4487450</v>
      </c>
      <c r="BK31" s="272">
        <v>2863640</v>
      </c>
      <c r="BL31" s="272">
        <v>102048</v>
      </c>
      <c r="BM31" s="272">
        <v>360073</v>
      </c>
      <c r="BN31" s="272">
        <v>10949400</v>
      </c>
      <c r="BO31" s="455">
        <f t="shared" si="5"/>
        <v>5740500</v>
      </c>
      <c r="BP31" s="455">
        <f t="shared" si="6"/>
        <v>5208900</v>
      </c>
      <c r="BQ31" s="272">
        <v>5208900</v>
      </c>
      <c r="BR31" s="272"/>
      <c r="BS31" s="272"/>
      <c r="BT31" s="272">
        <v>0</v>
      </c>
      <c r="BU31" s="272">
        <v>167169636</v>
      </c>
      <c r="BV31" s="272"/>
      <c r="BW31" s="272">
        <v>44987053</v>
      </c>
      <c r="BX31" s="272">
        <v>34481859</v>
      </c>
      <c r="BY31" s="272">
        <v>3373718</v>
      </c>
      <c r="BZ31" s="272">
        <v>456105</v>
      </c>
      <c r="CA31" s="272">
        <v>28180280</v>
      </c>
      <c r="CB31" s="272">
        <v>2111849</v>
      </c>
      <c r="CC31" s="272">
        <v>4373077</v>
      </c>
      <c r="CD31" s="272">
        <v>4238030</v>
      </c>
      <c r="CE31" s="272">
        <v>13796993</v>
      </c>
      <c r="CF31" s="272">
        <v>3376709</v>
      </c>
      <c r="CG31" s="272">
        <v>283622</v>
      </c>
      <c r="CH31" s="272">
        <v>14842951</v>
      </c>
      <c r="CI31" s="272">
        <v>8282695</v>
      </c>
      <c r="CJ31" s="455">
        <f t="shared" si="7"/>
        <v>6560256</v>
      </c>
      <c r="CK31" s="272">
        <v>14315323</v>
      </c>
      <c r="CL31" s="272">
        <v>8045105</v>
      </c>
      <c r="CM31" s="272">
        <v>790887</v>
      </c>
      <c r="CN31" s="272">
        <v>2784406</v>
      </c>
      <c r="CO31" s="272">
        <v>1150745</v>
      </c>
      <c r="CP31" s="272">
        <v>9948858</v>
      </c>
      <c r="CQ31" s="272">
        <v>4239766</v>
      </c>
      <c r="CR31" s="272">
        <v>2963066</v>
      </c>
      <c r="CS31" s="272">
        <v>2549786</v>
      </c>
      <c r="CT31" s="455">
        <f t="shared" si="8"/>
        <v>1121208</v>
      </c>
      <c r="CU31" s="272">
        <v>447005</v>
      </c>
      <c r="CV31" s="272">
        <v>674203</v>
      </c>
      <c r="CW31" s="455">
        <f t="shared" si="9"/>
        <v>1023548</v>
      </c>
      <c r="CX31" s="272">
        <v>349345</v>
      </c>
      <c r="CY31" s="272">
        <v>674203</v>
      </c>
      <c r="CZ31" s="455">
        <f t="shared" si="10"/>
        <v>0</v>
      </c>
      <c r="DA31" s="272">
        <v>0</v>
      </c>
      <c r="DB31" s="272">
        <v>0</v>
      </c>
      <c r="DC31" s="272">
        <v>25779187</v>
      </c>
      <c r="DD31" s="272">
        <v>4841909</v>
      </c>
      <c r="DE31" s="272">
        <v>15167997</v>
      </c>
      <c r="DF31" s="272">
        <v>422822</v>
      </c>
      <c r="DG31" s="272">
        <v>5281998</v>
      </c>
      <c r="DH31" s="272">
        <v>0</v>
      </c>
      <c r="DI31" s="272">
        <v>6305900</v>
      </c>
      <c r="DJ31" s="272">
        <v>2952200</v>
      </c>
      <c r="DK31" s="272">
        <v>1325000</v>
      </c>
      <c r="DL31" s="272">
        <v>2028700</v>
      </c>
      <c r="DM31" s="272">
        <v>274614</v>
      </c>
      <c r="DN31" s="272">
        <v>250114</v>
      </c>
      <c r="DO31" s="272">
        <v>0</v>
      </c>
      <c r="DP31" s="272">
        <v>250114</v>
      </c>
      <c r="DQ31" s="272">
        <v>3221880</v>
      </c>
      <c r="DR31" s="272">
        <v>0</v>
      </c>
      <c r="DS31" s="272">
        <v>0</v>
      </c>
      <c r="DT31" s="272">
        <v>15593196</v>
      </c>
      <c r="DU31" s="272">
        <v>8746181</v>
      </c>
      <c r="DV31" s="455">
        <f t="shared" si="11"/>
        <v>0</v>
      </c>
      <c r="DW31" s="272">
        <v>0</v>
      </c>
      <c r="DX31" s="272">
        <v>0</v>
      </c>
      <c r="DY31" s="272">
        <v>0</v>
      </c>
      <c r="DZ31" s="272">
        <v>4837000</v>
      </c>
      <c r="EA31" s="272">
        <v>2002277</v>
      </c>
      <c r="EB31" s="272"/>
      <c r="EC31" s="272">
        <v>0</v>
      </c>
      <c r="ED31" s="272">
        <v>164599987</v>
      </c>
      <c r="EF31" s="272">
        <v>2569649</v>
      </c>
      <c r="EG31" s="272">
        <v>420758</v>
      </c>
      <c r="EH31" s="272">
        <v>2148891</v>
      </c>
      <c r="EI31" s="272">
        <v>1237359</v>
      </c>
      <c r="EJ31" s="272">
        <v>4256267</v>
      </c>
      <c r="EL31" s="272"/>
      <c r="EM31" s="272">
        <v>497204</v>
      </c>
      <c r="EN31" s="272">
        <v>34601</v>
      </c>
      <c r="EO31" s="272">
        <v>2385495</v>
      </c>
      <c r="EP31" s="455">
        <f t="shared" si="12"/>
        <v>3133417</v>
      </c>
      <c r="EQ31" s="272">
        <v>102569802</v>
      </c>
      <c r="ER31" s="272">
        <v>-10647170</v>
      </c>
      <c r="ES31" s="272">
        <v>42366586</v>
      </c>
      <c r="ET31" s="272">
        <v>31963810</v>
      </c>
      <c r="EU31" s="272">
        <v>7038146</v>
      </c>
      <c r="EV31" s="272">
        <v>13970742</v>
      </c>
      <c r="EW31" s="455">
        <f t="shared" si="13"/>
        <v>5963721</v>
      </c>
      <c r="EX31" s="272">
        <v>5963721</v>
      </c>
      <c r="EY31" s="272">
        <v>358143</v>
      </c>
      <c r="EZ31" s="272">
        <v>5358015</v>
      </c>
      <c r="FA31" s="272">
        <v>0</v>
      </c>
      <c r="FB31" s="272"/>
      <c r="FC31" s="272">
        <v>10287710</v>
      </c>
      <c r="FD31" s="272">
        <v>9157976</v>
      </c>
      <c r="FE31" s="272">
        <v>4239766</v>
      </c>
      <c r="FF31" s="272">
        <v>15058916</v>
      </c>
      <c r="FG31" s="455">
        <f t="shared" si="14"/>
        <v>6803526</v>
      </c>
      <c r="FH31" s="272">
        <v>110647323</v>
      </c>
      <c r="FI31" s="384">
        <f t="shared" si="15"/>
        <v>2.2999999999999998</v>
      </c>
      <c r="FJ31" s="272">
        <v>94102304</v>
      </c>
      <c r="FK31" s="272"/>
      <c r="FL31" s="272">
        <v>66890367</v>
      </c>
      <c r="FM31" s="272">
        <v>72209872</v>
      </c>
      <c r="FN31" s="460">
        <v>0.95099999999999996</v>
      </c>
      <c r="FO31" s="388">
        <v>98.9</v>
      </c>
      <c r="FP31" s="388">
        <v>44.9</v>
      </c>
      <c r="FQ31" s="388">
        <v>7.6</v>
      </c>
      <c r="FR31" s="388">
        <v>15</v>
      </c>
      <c r="FS31" s="388">
        <v>9.8000000000000007</v>
      </c>
      <c r="FT31" s="388">
        <v>8.1999999999999993</v>
      </c>
      <c r="FU31" s="388">
        <v>12.3</v>
      </c>
      <c r="FV31" s="388">
        <v>12.1</v>
      </c>
      <c r="FW31" s="272">
        <v>137639363</v>
      </c>
      <c r="FX31" s="384">
        <f t="shared" si="16"/>
        <v>146.30000000000001</v>
      </c>
      <c r="FY31" s="272">
        <v>25914214</v>
      </c>
      <c r="FZ31" s="272">
        <v>6590200</v>
      </c>
      <c r="GA31" s="272">
        <v>1325000</v>
      </c>
      <c r="GB31" s="272">
        <v>17999014</v>
      </c>
      <c r="GC31" s="272"/>
      <c r="GD31" s="272">
        <v>36587901</v>
      </c>
      <c r="GE31" s="384">
        <f t="shared" si="17"/>
        <v>38.9</v>
      </c>
      <c r="GF31" s="388">
        <v>97.2</v>
      </c>
      <c r="GG31" s="388">
        <v>22</v>
      </c>
      <c r="GH31" s="388">
        <v>90.4</v>
      </c>
      <c r="GI31" s="272">
        <v>4034</v>
      </c>
    </row>
    <row r="32" spans="2:191" x14ac:dyDescent="0.15">
      <c r="B32" s="89" t="s">
        <v>57</v>
      </c>
      <c r="C32" s="272">
        <v>10467372</v>
      </c>
      <c r="D32" s="455">
        <f t="shared" si="0"/>
        <v>2646732</v>
      </c>
      <c r="E32" s="272">
        <v>51109</v>
      </c>
      <c r="F32" s="272">
        <v>2595623</v>
      </c>
      <c r="G32" s="455">
        <f t="shared" si="1"/>
        <v>532297</v>
      </c>
      <c r="H32" s="272">
        <v>150243</v>
      </c>
      <c r="I32" s="272">
        <v>382054</v>
      </c>
      <c r="J32" s="272">
        <v>5918593</v>
      </c>
      <c r="K32" s="272">
        <v>2814840</v>
      </c>
      <c r="L32" s="272">
        <v>1405316</v>
      </c>
      <c r="M32" s="272">
        <v>1689898</v>
      </c>
      <c r="N32" s="272">
        <v>272161</v>
      </c>
      <c r="O32" s="272">
        <v>981937</v>
      </c>
      <c r="P32" s="272">
        <v>690323</v>
      </c>
      <c r="Q32" s="272">
        <v>291614</v>
      </c>
      <c r="R32" s="272">
        <v>432615</v>
      </c>
      <c r="S32" s="272">
        <v>255813</v>
      </c>
      <c r="T32" s="455">
        <f t="shared" si="2"/>
        <v>408024</v>
      </c>
      <c r="U32" s="272">
        <v>123822</v>
      </c>
      <c r="V32" s="272"/>
      <c r="W32" s="272"/>
      <c r="X32" s="272"/>
      <c r="Y32" s="272">
        <v>74037</v>
      </c>
      <c r="Z32" s="272">
        <v>945</v>
      </c>
      <c r="AA32" s="272">
        <v>209220</v>
      </c>
      <c r="AB32" s="272"/>
      <c r="AC32" s="272">
        <v>1196587</v>
      </c>
      <c r="AD32" s="272">
        <v>746325</v>
      </c>
      <c r="AE32" s="272">
        <v>450262</v>
      </c>
      <c r="AF32" s="272">
        <v>14545</v>
      </c>
      <c r="AG32" s="272">
        <v>93206</v>
      </c>
      <c r="AH32" s="455">
        <f t="shared" si="3"/>
        <v>271411</v>
      </c>
      <c r="AI32" s="272">
        <v>136195</v>
      </c>
      <c r="AJ32" s="272">
        <v>135216</v>
      </c>
      <c r="AK32" s="272">
        <v>1957342</v>
      </c>
      <c r="AL32" s="455">
        <f t="shared" si="4"/>
        <v>1029458</v>
      </c>
      <c r="AM32" s="272">
        <v>914085</v>
      </c>
      <c r="AN32" s="272">
        <v>115373</v>
      </c>
      <c r="AO32" s="272">
        <v>0</v>
      </c>
      <c r="AP32" s="272">
        <v>0</v>
      </c>
      <c r="AQ32" s="272">
        <v>524416</v>
      </c>
      <c r="AR32" s="272">
        <v>0</v>
      </c>
      <c r="AS32" s="272">
        <v>0</v>
      </c>
      <c r="AT32" s="272">
        <v>1105730</v>
      </c>
      <c r="AU32" s="272">
        <v>383729</v>
      </c>
      <c r="AV32" s="272">
        <v>58115</v>
      </c>
      <c r="AW32" s="272">
        <v>74040</v>
      </c>
      <c r="AX32" s="272">
        <v>722001</v>
      </c>
      <c r="AY32" s="272">
        <v>237909</v>
      </c>
      <c r="AZ32" s="272">
        <v>18841</v>
      </c>
      <c r="BA32" s="272">
        <v>2677</v>
      </c>
      <c r="BB32" s="272">
        <v>274215</v>
      </c>
      <c r="BC32" s="272">
        <v>22592</v>
      </c>
      <c r="BD32" s="272">
        <v>0</v>
      </c>
      <c r="BE32" s="272">
        <v>0</v>
      </c>
      <c r="BF32" s="272">
        <v>13966</v>
      </c>
      <c r="BG32" s="272">
        <v>0</v>
      </c>
      <c r="BH32" s="272">
        <v>145478</v>
      </c>
      <c r="BI32" s="272">
        <v>33909</v>
      </c>
      <c r="BJ32" s="272">
        <v>256741</v>
      </c>
      <c r="BK32" s="272">
        <v>1800</v>
      </c>
      <c r="BL32" s="272">
        <v>0</v>
      </c>
      <c r="BM32" s="272">
        <v>0</v>
      </c>
      <c r="BN32" s="272">
        <v>5784400</v>
      </c>
      <c r="BO32" s="455">
        <f t="shared" si="5"/>
        <v>5205900</v>
      </c>
      <c r="BP32" s="455">
        <f t="shared" si="6"/>
        <v>578500</v>
      </c>
      <c r="BQ32" s="272">
        <v>578500</v>
      </c>
      <c r="BR32" s="272"/>
      <c r="BS32" s="272"/>
      <c r="BT32" s="272">
        <v>0</v>
      </c>
      <c r="BU32" s="272">
        <v>22449099</v>
      </c>
      <c r="BV32" s="272"/>
      <c r="BW32" s="272">
        <v>6146171</v>
      </c>
      <c r="BX32" s="272">
        <v>4574418</v>
      </c>
      <c r="BY32" s="272">
        <v>278961</v>
      </c>
      <c r="BZ32" s="272">
        <v>187143</v>
      </c>
      <c r="CA32" s="272">
        <v>2233715</v>
      </c>
      <c r="CB32" s="272">
        <v>303602</v>
      </c>
      <c r="CC32" s="272">
        <v>471507</v>
      </c>
      <c r="CD32" s="272">
        <v>290506</v>
      </c>
      <c r="CE32" s="272">
        <v>1131855</v>
      </c>
      <c r="CF32" s="272">
        <v>0</v>
      </c>
      <c r="CG32" s="272">
        <v>36035</v>
      </c>
      <c r="CH32" s="272">
        <v>1856067</v>
      </c>
      <c r="CI32" s="272">
        <v>986743</v>
      </c>
      <c r="CJ32" s="455">
        <f t="shared" si="7"/>
        <v>869324</v>
      </c>
      <c r="CK32" s="272">
        <v>2082850</v>
      </c>
      <c r="CL32" s="272">
        <v>1023202</v>
      </c>
      <c r="CM32" s="272">
        <v>116390</v>
      </c>
      <c r="CN32" s="272">
        <v>543151</v>
      </c>
      <c r="CO32" s="272">
        <v>144158</v>
      </c>
      <c r="CP32" s="272">
        <v>1195440</v>
      </c>
      <c r="CQ32" s="272">
        <v>512320</v>
      </c>
      <c r="CR32" s="272">
        <v>287541</v>
      </c>
      <c r="CS32" s="272">
        <v>108544</v>
      </c>
      <c r="CT32" s="455">
        <f t="shared" si="8"/>
        <v>14820</v>
      </c>
      <c r="CU32" s="272">
        <v>3820</v>
      </c>
      <c r="CV32" s="272">
        <v>11000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6658824</v>
      </c>
      <c r="DD32" s="272">
        <v>1001853</v>
      </c>
      <c r="DE32" s="272">
        <v>5572844</v>
      </c>
      <c r="DF32" s="272">
        <v>84127</v>
      </c>
      <c r="DG32" s="272">
        <v>0</v>
      </c>
      <c r="DH32" s="272">
        <v>58723</v>
      </c>
      <c r="DI32" s="272">
        <v>303625</v>
      </c>
      <c r="DJ32" s="272">
        <v>0</v>
      </c>
      <c r="DK32" s="272">
        <v>2326</v>
      </c>
      <c r="DL32" s="272">
        <v>301299</v>
      </c>
      <c r="DM32" s="272">
        <v>24550</v>
      </c>
      <c r="DN32" s="272">
        <v>0</v>
      </c>
      <c r="DO32" s="272">
        <v>0</v>
      </c>
      <c r="DP32" s="272">
        <v>0</v>
      </c>
      <c r="DQ32" s="272">
        <v>0</v>
      </c>
      <c r="DR32" s="272">
        <v>0</v>
      </c>
      <c r="DS32" s="272">
        <v>0</v>
      </c>
      <c r="DT32" s="272">
        <v>1403841</v>
      </c>
      <c r="DU32" s="272">
        <v>636762</v>
      </c>
      <c r="DV32" s="455">
        <f t="shared" si="11"/>
        <v>0</v>
      </c>
      <c r="DW32" s="272">
        <v>0</v>
      </c>
      <c r="DX32" s="272">
        <v>0</v>
      </c>
      <c r="DY32" s="272">
        <v>0</v>
      </c>
      <c r="DZ32" s="272">
        <v>538389</v>
      </c>
      <c r="EA32" s="272">
        <v>228690</v>
      </c>
      <c r="EB32" s="272"/>
      <c r="EC32" s="272">
        <v>0</v>
      </c>
      <c r="ED32" s="272">
        <v>22107964</v>
      </c>
      <c r="EF32" s="272">
        <v>341135</v>
      </c>
      <c r="EG32" s="272">
        <v>312670</v>
      </c>
      <c r="EH32" s="272">
        <v>28465</v>
      </c>
      <c r="EI32" s="272">
        <v>-5444</v>
      </c>
      <c r="EJ32" s="272">
        <v>-5444</v>
      </c>
      <c r="EL32" s="272"/>
      <c r="EM32" s="272">
        <v>62344</v>
      </c>
      <c r="EN32" s="272">
        <v>0</v>
      </c>
      <c r="EO32" s="272">
        <v>2681</v>
      </c>
      <c r="EP32" s="455">
        <f t="shared" si="12"/>
        <v>433073</v>
      </c>
      <c r="EQ32" s="272">
        <v>12519143</v>
      </c>
      <c r="ER32" s="272">
        <v>-999709</v>
      </c>
      <c r="ES32" s="272">
        <v>5780051</v>
      </c>
      <c r="ET32" s="272">
        <v>4208298</v>
      </c>
      <c r="EU32" s="272">
        <v>655442</v>
      </c>
      <c r="EV32" s="272">
        <v>1819382</v>
      </c>
      <c r="EW32" s="455">
        <f t="shared" si="13"/>
        <v>567194</v>
      </c>
      <c r="EX32" s="272">
        <v>559702</v>
      </c>
      <c r="EY32" s="272">
        <v>24810</v>
      </c>
      <c r="EZ32" s="272">
        <v>522427</v>
      </c>
      <c r="FA32" s="272">
        <v>7492</v>
      </c>
      <c r="FB32" s="272"/>
      <c r="FC32" s="272">
        <v>1665339</v>
      </c>
      <c r="FD32" s="272">
        <v>1113118</v>
      </c>
      <c r="FE32" s="272">
        <v>512320</v>
      </c>
      <c r="FF32" s="272">
        <v>1340640</v>
      </c>
      <c r="FG32" s="455">
        <f t="shared" si="14"/>
        <v>409051</v>
      </c>
      <c r="FH32" s="272">
        <v>13350217</v>
      </c>
      <c r="FI32" s="384">
        <f t="shared" si="15"/>
        <v>0.2</v>
      </c>
      <c r="FJ32" s="272">
        <v>11577802</v>
      </c>
      <c r="FK32" s="272"/>
      <c r="FL32" s="272">
        <v>8184872</v>
      </c>
      <c r="FM32" s="272">
        <v>8931197</v>
      </c>
      <c r="FN32" s="460">
        <v>0.85899999999999999</v>
      </c>
      <c r="FO32" s="388">
        <v>100.5</v>
      </c>
      <c r="FP32" s="388">
        <v>50.7</v>
      </c>
      <c r="FQ32" s="388">
        <v>5.9</v>
      </c>
      <c r="FR32" s="388">
        <v>16.399999999999999</v>
      </c>
      <c r="FS32" s="388">
        <v>12.4</v>
      </c>
      <c r="FT32" s="388">
        <v>8.4</v>
      </c>
      <c r="FU32" s="388">
        <v>5.5</v>
      </c>
      <c r="FV32" s="388">
        <v>12.6</v>
      </c>
      <c r="FW32" s="272">
        <v>24370905</v>
      </c>
      <c r="FX32" s="384">
        <f t="shared" si="16"/>
        <v>210.5</v>
      </c>
      <c r="FY32" s="272">
        <v>2491453</v>
      </c>
      <c r="FZ32" s="272"/>
      <c r="GA32" s="272">
        <v>346674</v>
      </c>
      <c r="GB32" s="272">
        <v>2144779</v>
      </c>
      <c r="GC32" s="272"/>
      <c r="GD32" s="272">
        <v>10850607</v>
      </c>
      <c r="GE32" s="384">
        <f t="shared" si="17"/>
        <v>93.7</v>
      </c>
      <c r="GF32" s="388">
        <v>95.2</v>
      </c>
      <c r="GG32" s="388">
        <v>17.7</v>
      </c>
      <c r="GH32" s="388">
        <v>86.3</v>
      </c>
      <c r="GI32" s="272">
        <v>676</v>
      </c>
    </row>
    <row r="33" spans="2:191" x14ac:dyDescent="0.15">
      <c r="B33" s="89" t="s">
        <v>59</v>
      </c>
      <c r="C33" s="272">
        <v>6894271</v>
      </c>
      <c r="D33" s="455">
        <f t="shared" si="0"/>
        <v>2782622</v>
      </c>
      <c r="E33" s="272">
        <v>51719</v>
      </c>
      <c r="F33" s="272">
        <v>2730903</v>
      </c>
      <c r="G33" s="455">
        <f t="shared" si="1"/>
        <v>360533</v>
      </c>
      <c r="H33" s="272">
        <v>98282</v>
      </c>
      <c r="I33" s="272">
        <v>262251</v>
      </c>
      <c r="J33" s="272">
        <v>2784246</v>
      </c>
      <c r="K33" s="272">
        <v>1541689</v>
      </c>
      <c r="L33" s="272">
        <v>974889</v>
      </c>
      <c r="M33" s="272">
        <v>256603</v>
      </c>
      <c r="N33" s="272">
        <v>221344</v>
      </c>
      <c r="O33" s="272">
        <v>692036</v>
      </c>
      <c r="P33" s="272">
        <v>474264</v>
      </c>
      <c r="Q33" s="272">
        <v>217772</v>
      </c>
      <c r="R33" s="272">
        <v>316075</v>
      </c>
      <c r="S33" s="272">
        <v>217266</v>
      </c>
      <c r="T33" s="455">
        <f t="shared" si="2"/>
        <v>343036</v>
      </c>
      <c r="U33" s="272">
        <v>127648</v>
      </c>
      <c r="V33" s="272"/>
      <c r="W33" s="272"/>
      <c r="X33" s="272"/>
      <c r="Y33" s="272">
        <v>49574</v>
      </c>
      <c r="Z33" s="272">
        <v>432</v>
      </c>
      <c r="AA33" s="272">
        <v>165382</v>
      </c>
      <c r="AB33" s="272"/>
      <c r="AC33" s="272">
        <v>3342500</v>
      </c>
      <c r="AD33" s="272">
        <v>3026940</v>
      </c>
      <c r="AE33" s="272">
        <v>315560</v>
      </c>
      <c r="AF33" s="272">
        <v>11706</v>
      </c>
      <c r="AG33" s="272">
        <v>323421</v>
      </c>
      <c r="AH33" s="455">
        <f t="shared" si="3"/>
        <v>210792</v>
      </c>
      <c r="AI33" s="272">
        <v>106661</v>
      </c>
      <c r="AJ33" s="272">
        <v>104131</v>
      </c>
      <c r="AK33" s="272">
        <v>1198290</v>
      </c>
      <c r="AL33" s="455">
        <f t="shared" si="4"/>
        <v>783699</v>
      </c>
      <c r="AM33" s="272">
        <v>453096</v>
      </c>
      <c r="AN33" s="272">
        <v>185826</v>
      </c>
      <c r="AO33" s="272">
        <v>0</v>
      </c>
      <c r="AP33" s="272">
        <v>144777</v>
      </c>
      <c r="AQ33" s="272">
        <v>153799</v>
      </c>
      <c r="AR33" s="272">
        <v>0</v>
      </c>
      <c r="AS33" s="272">
        <v>0</v>
      </c>
      <c r="AT33" s="272">
        <v>851460</v>
      </c>
      <c r="AU33" s="272">
        <v>252117</v>
      </c>
      <c r="AV33" s="272">
        <v>63216</v>
      </c>
      <c r="AW33" s="272">
        <v>0</v>
      </c>
      <c r="AX33" s="272">
        <v>599343</v>
      </c>
      <c r="AY33" s="272">
        <v>253700</v>
      </c>
      <c r="AZ33" s="272">
        <v>63690</v>
      </c>
      <c r="BA33" s="272">
        <v>48719</v>
      </c>
      <c r="BB33" s="272">
        <v>183605</v>
      </c>
      <c r="BC33" s="272">
        <v>363214</v>
      </c>
      <c r="BD33" s="272">
        <v>128000</v>
      </c>
      <c r="BE33" s="272">
        <v>90000</v>
      </c>
      <c r="BF33" s="272">
        <v>145214</v>
      </c>
      <c r="BG33" s="272">
        <v>0</v>
      </c>
      <c r="BH33" s="272">
        <v>79537</v>
      </c>
      <c r="BI33" s="272">
        <v>75874</v>
      </c>
      <c r="BJ33" s="272">
        <v>96343</v>
      </c>
      <c r="BK33" s="272">
        <v>6000</v>
      </c>
      <c r="BL33" s="272">
        <v>0</v>
      </c>
      <c r="BM33" s="272">
        <v>0</v>
      </c>
      <c r="BN33" s="272">
        <v>2326000</v>
      </c>
      <c r="BO33" s="455">
        <f t="shared" si="5"/>
        <v>1729000</v>
      </c>
      <c r="BP33" s="455">
        <f t="shared" si="6"/>
        <v>597000</v>
      </c>
      <c r="BQ33" s="272">
        <v>597000</v>
      </c>
      <c r="BR33" s="272"/>
      <c r="BS33" s="272"/>
      <c r="BT33" s="272">
        <v>0</v>
      </c>
      <c r="BU33" s="272">
        <v>16603940</v>
      </c>
      <c r="BV33" s="272"/>
      <c r="BW33" s="272">
        <v>5110288</v>
      </c>
      <c r="BX33" s="272">
        <v>3791843</v>
      </c>
      <c r="BY33" s="272">
        <v>293582</v>
      </c>
      <c r="BZ33" s="272">
        <v>91451</v>
      </c>
      <c r="CA33" s="272">
        <v>2004574</v>
      </c>
      <c r="CB33" s="272">
        <v>226032</v>
      </c>
      <c r="CC33" s="272">
        <v>731484</v>
      </c>
      <c r="CD33" s="272">
        <v>403229</v>
      </c>
      <c r="CE33" s="272">
        <v>603062</v>
      </c>
      <c r="CF33" s="272">
        <v>4442</v>
      </c>
      <c r="CG33" s="272">
        <v>36075</v>
      </c>
      <c r="CH33" s="272">
        <v>1488282</v>
      </c>
      <c r="CI33" s="272">
        <v>771343</v>
      </c>
      <c r="CJ33" s="455">
        <f t="shared" si="7"/>
        <v>716939</v>
      </c>
      <c r="CK33" s="272">
        <v>2095545</v>
      </c>
      <c r="CL33" s="272">
        <v>1294097</v>
      </c>
      <c r="CM33" s="272">
        <v>136108</v>
      </c>
      <c r="CN33" s="272">
        <v>312180</v>
      </c>
      <c r="CO33" s="272">
        <v>46179</v>
      </c>
      <c r="CP33" s="272">
        <v>1403266</v>
      </c>
      <c r="CQ33" s="272">
        <v>475051</v>
      </c>
      <c r="CR33" s="272">
        <v>287721</v>
      </c>
      <c r="CS33" s="272">
        <v>263646</v>
      </c>
      <c r="CT33" s="455">
        <f t="shared" si="8"/>
        <v>23772</v>
      </c>
      <c r="CU33" s="272">
        <v>4611</v>
      </c>
      <c r="CV33" s="272">
        <v>19161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2753274</v>
      </c>
      <c r="DD33" s="272">
        <v>442652</v>
      </c>
      <c r="DE33" s="272">
        <v>2295682</v>
      </c>
      <c r="DF33" s="272">
        <v>14940</v>
      </c>
      <c r="DG33" s="272">
        <v>0</v>
      </c>
      <c r="DH33" s="272">
        <v>0</v>
      </c>
      <c r="DI33" s="272">
        <v>71154</v>
      </c>
      <c r="DJ33" s="272">
        <v>40387</v>
      </c>
      <c r="DK33" s="272">
        <v>1917</v>
      </c>
      <c r="DL33" s="272">
        <v>28850</v>
      </c>
      <c r="DM33" s="272">
        <v>0</v>
      </c>
      <c r="DN33" s="272">
        <v>0</v>
      </c>
      <c r="DO33" s="272">
        <v>0</v>
      </c>
      <c r="DP33" s="272">
        <v>0</v>
      </c>
      <c r="DQ33" s="272">
        <v>6000</v>
      </c>
      <c r="DR33" s="272">
        <v>0</v>
      </c>
      <c r="DS33" s="272">
        <v>0</v>
      </c>
      <c r="DT33" s="272">
        <v>1537786</v>
      </c>
      <c r="DU33" s="272">
        <v>1045103</v>
      </c>
      <c r="DV33" s="455">
        <f t="shared" si="11"/>
        <v>0</v>
      </c>
      <c r="DW33" s="272">
        <v>0</v>
      </c>
      <c r="DX33" s="272">
        <v>0</v>
      </c>
      <c r="DY33" s="272">
        <v>0</v>
      </c>
      <c r="DZ33" s="272">
        <v>317942</v>
      </c>
      <c r="EA33" s="272">
        <v>174741</v>
      </c>
      <c r="EB33" s="272"/>
      <c r="EC33" s="272">
        <v>0</v>
      </c>
      <c r="ED33" s="272">
        <v>16516348</v>
      </c>
      <c r="EF33" s="272">
        <v>87592</v>
      </c>
      <c r="EG33" s="272">
        <v>25829</v>
      </c>
      <c r="EH33" s="272">
        <v>61763</v>
      </c>
      <c r="EI33" s="272">
        <v>-14111</v>
      </c>
      <c r="EJ33" s="272">
        <v>-101724</v>
      </c>
      <c r="EL33" s="272"/>
      <c r="EM33" s="272">
        <v>53932</v>
      </c>
      <c r="EN33" s="272">
        <v>218000</v>
      </c>
      <c r="EO33" s="272">
        <v>52738</v>
      </c>
      <c r="EP33" s="455">
        <f t="shared" si="12"/>
        <v>135042</v>
      </c>
      <c r="EQ33" s="272">
        <v>10907588</v>
      </c>
      <c r="ER33" s="272">
        <v>-991074</v>
      </c>
      <c r="ES33" s="272">
        <v>4797971</v>
      </c>
      <c r="ET33" s="272">
        <v>3494486</v>
      </c>
      <c r="EU33" s="272">
        <v>654740</v>
      </c>
      <c r="EV33" s="272">
        <v>1488282</v>
      </c>
      <c r="EW33" s="455">
        <f t="shared" si="13"/>
        <v>313705</v>
      </c>
      <c r="EX33" s="272">
        <v>313705</v>
      </c>
      <c r="EY33" s="272">
        <v>6609</v>
      </c>
      <c r="EZ33" s="272">
        <v>297956</v>
      </c>
      <c r="FA33" s="272">
        <v>0</v>
      </c>
      <c r="FB33" s="272"/>
      <c r="FC33" s="272">
        <v>1693052</v>
      </c>
      <c r="FD33" s="272">
        <v>1282874</v>
      </c>
      <c r="FE33" s="272">
        <v>475051</v>
      </c>
      <c r="FF33" s="272">
        <v>1474967</v>
      </c>
      <c r="FG33" s="455">
        <f t="shared" si="14"/>
        <v>105479</v>
      </c>
      <c r="FH33" s="272">
        <v>11811070</v>
      </c>
      <c r="FI33" s="384">
        <f t="shared" si="15"/>
        <v>0.6</v>
      </c>
      <c r="FJ33" s="272">
        <v>10268389</v>
      </c>
      <c r="FK33" s="272"/>
      <c r="FL33" s="272">
        <v>5466026</v>
      </c>
      <c r="FM33" s="272">
        <v>8508077</v>
      </c>
      <c r="FN33" s="460">
        <v>0.63600000000000001</v>
      </c>
      <c r="FO33" s="388">
        <v>103.3</v>
      </c>
      <c r="FP33" s="388">
        <v>46.7</v>
      </c>
      <c r="FQ33" s="388">
        <v>6.5</v>
      </c>
      <c r="FR33" s="388">
        <v>15</v>
      </c>
      <c r="FS33" s="388">
        <v>14.7</v>
      </c>
      <c r="FT33" s="388">
        <v>8.3000000000000007</v>
      </c>
      <c r="FU33" s="388">
        <v>11.5</v>
      </c>
      <c r="FV33" s="388">
        <v>9.8000000000000007</v>
      </c>
      <c r="FW33" s="272">
        <v>17323715</v>
      </c>
      <c r="FX33" s="384">
        <f t="shared" si="16"/>
        <v>168.7</v>
      </c>
      <c r="FY33" s="272">
        <v>1300450</v>
      </c>
      <c r="FZ33" s="272">
        <v>141696</v>
      </c>
      <c r="GA33" s="272">
        <v>187942</v>
      </c>
      <c r="GB33" s="272">
        <v>970812</v>
      </c>
      <c r="GC33" s="272"/>
      <c r="GD33" s="272">
        <v>5903163</v>
      </c>
      <c r="GE33" s="384">
        <f t="shared" si="17"/>
        <v>57.5</v>
      </c>
      <c r="GF33" s="388">
        <v>96.7</v>
      </c>
      <c r="GG33" s="388">
        <v>38.799999999999997</v>
      </c>
      <c r="GH33" s="388">
        <v>92.6</v>
      </c>
      <c r="GI33" s="272">
        <v>503</v>
      </c>
    </row>
    <row r="34" spans="2:191" x14ac:dyDescent="0.15">
      <c r="B34" s="89" t="s">
        <v>61</v>
      </c>
      <c r="C34" s="272">
        <v>9658186</v>
      </c>
      <c r="D34" s="455">
        <f t="shared" si="0"/>
        <v>5024754</v>
      </c>
      <c r="E34" s="272">
        <v>68322</v>
      </c>
      <c r="F34" s="272">
        <v>4956432</v>
      </c>
      <c r="G34" s="455">
        <f t="shared" si="1"/>
        <v>405829</v>
      </c>
      <c r="H34" s="272">
        <v>102318</v>
      </c>
      <c r="I34" s="272">
        <v>303511</v>
      </c>
      <c r="J34" s="272">
        <v>3150781</v>
      </c>
      <c r="K34" s="272">
        <v>1396928</v>
      </c>
      <c r="L34" s="272">
        <v>1236408</v>
      </c>
      <c r="M34" s="272">
        <v>479922</v>
      </c>
      <c r="N34" s="272">
        <v>255031</v>
      </c>
      <c r="O34" s="272">
        <v>769154</v>
      </c>
      <c r="P34" s="272">
        <v>469945</v>
      </c>
      <c r="Q34" s="272">
        <v>299209</v>
      </c>
      <c r="R34" s="272">
        <v>419770</v>
      </c>
      <c r="S34" s="272">
        <v>272140</v>
      </c>
      <c r="T34" s="455">
        <f t="shared" si="2"/>
        <v>585214</v>
      </c>
      <c r="U34" s="272">
        <v>210790</v>
      </c>
      <c r="V34" s="272"/>
      <c r="W34" s="272"/>
      <c r="X34" s="272"/>
      <c r="Y34" s="272">
        <v>127359</v>
      </c>
      <c r="Z34" s="272">
        <v>113</v>
      </c>
      <c r="AA34" s="272">
        <v>246952</v>
      </c>
      <c r="AB34" s="272"/>
      <c r="AC34" s="272">
        <v>2689408</v>
      </c>
      <c r="AD34" s="272">
        <v>2451169</v>
      </c>
      <c r="AE34" s="272">
        <v>238239</v>
      </c>
      <c r="AF34" s="272">
        <v>14227</v>
      </c>
      <c r="AG34" s="272">
        <v>172781</v>
      </c>
      <c r="AH34" s="455">
        <f t="shared" si="3"/>
        <v>137699</v>
      </c>
      <c r="AI34" s="272">
        <v>71058</v>
      </c>
      <c r="AJ34" s="272">
        <v>66641</v>
      </c>
      <c r="AK34" s="272">
        <v>1278835</v>
      </c>
      <c r="AL34" s="455">
        <f t="shared" si="4"/>
        <v>676546</v>
      </c>
      <c r="AM34" s="272">
        <v>370480</v>
      </c>
      <c r="AN34" s="272">
        <v>161513</v>
      </c>
      <c r="AO34" s="272">
        <v>0</v>
      </c>
      <c r="AP34" s="272">
        <v>144553</v>
      </c>
      <c r="AQ34" s="272">
        <v>151155</v>
      </c>
      <c r="AR34" s="272">
        <v>0</v>
      </c>
      <c r="AS34" s="272">
        <v>0</v>
      </c>
      <c r="AT34" s="272">
        <v>1348570</v>
      </c>
      <c r="AU34" s="272">
        <v>264591</v>
      </c>
      <c r="AV34" s="272">
        <v>81360</v>
      </c>
      <c r="AW34" s="272">
        <v>0</v>
      </c>
      <c r="AX34" s="272">
        <v>1083979</v>
      </c>
      <c r="AY34" s="272">
        <v>630983</v>
      </c>
      <c r="AZ34" s="272">
        <v>82567</v>
      </c>
      <c r="BA34" s="272">
        <v>38750</v>
      </c>
      <c r="BB34" s="272">
        <v>130044</v>
      </c>
      <c r="BC34" s="272">
        <v>300929</v>
      </c>
      <c r="BD34" s="272">
        <v>20000</v>
      </c>
      <c r="BE34" s="272">
        <v>0</v>
      </c>
      <c r="BF34" s="272">
        <v>240000</v>
      </c>
      <c r="BG34" s="272">
        <v>0</v>
      </c>
      <c r="BH34" s="272">
        <v>81362</v>
      </c>
      <c r="BI34" s="272">
        <v>25592</v>
      </c>
      <c r="BJ34" s="272">
        <v>1079761</v>
      </c>
      <c r="BK34" s="272">
        <v>1005810</v>
      </c>
      <c r="BL34" s="272">
        <v>0</v>
      </c>
      <c r="BM34" s="272">
        <v>0</v>
      </c>
      <c r="BN34" s="272">
        <v>8636200</v>
      </c>
      <c r="BO34" s="455">
        <f t="shared" si="5"/>
        <v>7646200</v>
      </c>
      <c r="BP34" s="455">
        <f t="shared" si="6"/>
        <v>990000</v>
      </c>
      <c r="BQ34" s="272">
        <v>990000</v>
      </c>
      <c r="BR34" s="272"/>
      <c r="BS34" s="272"/>
      <c r="BT34" s="272">
        <v>0</v>
      </c>
      <c r="BU34" s="272">
        <v>26615553</v>
      </c>
      <c r="BV34" s="272"/>
      <c r="BW34" s="272">
        <v>5829717</v>
      </c>
      <c r="BX34" s="272">
        <v>4401569</v>
      </c>
      <c r="BY34" s="272">
        <v>130584</v>
      </c>
      <c r="BZ34" s="272">
        <v>235697</v>
      </c>
      <c r="CA34" s="272">
        <v>2154707</v>
      </c>
      <c r="CB34" s="272">
        <v>353051</v>
      </c>
      <c r="CC34" s="272">
        <v>644409</v>
      </c>
      <c r="CD34" s="272">
        <v>590885</v>
      </c>
      <c r="CE34" s="272">
        <v>495723</v>
      </c>
      <c r="CF34" s="272">
        <v>10</v>
      </c>
      <c r="CG34" s="272">
        <v>70262</v>
      </c>
      <c r="CH34" s="272">
        <v>2779649</v>
      </c>
      <c r="CI34" s="272">
        <v>1358255</v>
      </c>
      <c r="CJ34" s="455">
        <f t="shared" si="7"/>
        <v>1421394</v>
      </c>
      <c r="CK34" s="272">
        <v>2477757</v>
      </c>
      <c r="CL34" s="272">
        <v>1441995</v>
      </c>
      <c r="CM34" s="272">
        <v>94849</v>
      </c>
      <c r="CN34" s="272">
        <v>526573</v>
      </c>
      <c r="CO34" s="272">
        <v>103403</v>
      </c>
      <c r="CP34" s="272">
        <v>1216944</v>
      </c>
      <c r="CQ34" s="272">
        <v>404870</v>
      </c>
      <c r="CR34" s="272">
        <v>451832</v>
      </c>
      <c r="CS34" s="272">
        <v>451832</v>
      </c>
      <c r="CT34" s="455">
        <f t="shared" si="8"/>
        <v>8642</v>
      </c>
      <c r="CU34" s="272">
        <v>8642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9787550</v>
      </c>
      <c r="DD34" s="272">
        <v>304895</v>
      </c>
      <c r="DE34" s="272">
        <v>9482655</v>
      </c>
      <c r="DF34" s="272">
        <v>0</v>
      </c>
      <c r="DG34" s="272">
        <v>0</v>
      </c>
      <c r="DH34" s="272">
        <v>0</v>
      </c>
      <c r="DI34" s="272">
        <v>211769</v>
      </c>
      <c r="DJ34" s="272">
        <v>18308</v>
      </c>
      <c r="DK34" s="272">
        <v>27296</v>
      </c>
      <c r="DL34" s="272">
        <v>166165</v>
      </c>
      <c r="DM34" s="272">
        <v>0</v>
      </c>
      <c r="DN34" s="272">
        <v>0</v>
      </c>
      <c r="DO34" s="272">
        <v>0</v>
      </c>
      <c r="DP34" s="272">
        <v>0</v>
      </c>
      <c r="DQ34" s="272">
        <v>1000000</v>
      </c>
      <c r="DR34" s="272">
        <v>0</v>
      </c>
      <c r="DS34" s="272">
        <v>0</v>
      </c>
      <c r="DT34" s="272">
        <v>1017773</v>
      </c>
      <c r="DU34" s="272">
        <v>504100</v>
      </c>
      <c r="DV34" s="455">
        <f t="shared" si="11"/>
        <v>0</v>
      </c>
      <c r="DW34" s="272">
        <v>0</v>
      </c>
      <c r="DX34" s="272">
        <v>0</v>
      </c>
      <c r="DY34" s="272">
        <v>0</v>
      </c>
      <c r="DZ34" s="272">
        <v>259225</v>
      </c>
      <c r="EA34" s="272">
        <v>245457</v>
      </c>
      <c r="EB34" s="272"/>
      <c r="EC34" s="272">
        <v>0</v>
      </c>
      <c r="ED34" s="272">
        <v>26579269</v>
      </c>
      <c r="EF34" s="272">
        <v>36284</v>
      </c>
      <c r="EG34" s="272">
        <v>93703</v>
      </c>
      <c r="EH34" s="272">
        <v>-57419</v>
      </c>
      <c r="EI34" s="272">
        <v>-83011</v>
      </c>
      <c r="EJ34" s="272">
        <v>-84703</v>
      </c>
      <c r="EL34" s="272"/>
      <c r="EM34" s="272">
        <v>75265</v>
      </c>
      <c r="EN34" s="272">
        <v>60929</v>
      </c>
      <c r="EO34" s="272">
        <v>45321</v>
      </c>
      <c r="EP34" s="455">
        <f t="shared" si="12"/>
        <v>281359</v>
      </c>
      <c r="EQ34" s="272">
        <v>13366805</v>
      </c>
      <c r="ER34" s="272">
        <v>-1363382</v>
      </c>
      <c r="ES34" s="272">
        <v>5581579</v>
      </c>
      <c r="ET34" s="272">
        <v>4174818</v>
      </c>
      <c r="EU34" s="272">
        <v>790185</v>
      </c>
      <c r="EV34" s="272">
        <v>2779649</v>
      </c>
      <c r="EW34" s="455">
        <f t="shared" si="13"/>
        <v>1162028</v>
      </c>
      <c r="EX34" s="272">
        <v>1162028</v>
      </c>
      <c r="EY34" s="272">
        <v>17240</v>
      </c>
      <c r="EZ34" s="272">
        <v>1144788</v>
      </c>
      <c r="FA34" s="272">
        <v>0</v>
      </c>
      <c r="FB34" s="272"/>
      <c r="FC34" s="272">
        <v>1977404</v>
      </c>
      <c r="FD34" s="272">
        <v>1155702</v>
      </c>
      <c r="FE34" s="272">
        <v>404870</v>
      </c>
      <c r="FF34" s="272">
        <v>962971</v>
      </c>
      <c r="FG34" s="455">
        <f t="shared" si="14"/>
        <v>284385</v>
      </c>
      <c r="FH34" s="272">
        <v>14693903</v>
      </c>
      <c r="FI34" s="384">
        <f t="shared" si="15"/>
        <v>-0.4</v>
      </c>
      <c r="FJ34" s="272">
        <v>13264626</v>
      </c>
      <c r="FK34" s="272"/>
      <c r="FL34" s="272">
        <v>8157410</v>
      </c>
      <c r="FM34" s="272">
        <v>10627612</v>
      </c>
      <c r="FN34" s="460">
        <v>0.74299999999999999</v>
      </c>
      <c r="FO34" s="388">
        <v>100.3</v>
      </c>
      <c r="FP34" s="388">
        <v>44.6</v>
      </c>
      <c r="FQ34" s="388">
        <v>6.4</v>
      </c>
      <c r="FR34" s="388">
        <v>22.5</v>
      </c>
      <c r="FS34" s="388">
        <v>13.8</v>
      </c>
      <c r="FT34" s="388">
        <v>7.8</v>
      </c>
      <c r="FU34" s="388">
        <v>4.5</v>
      </c>
      <c r="FV34" s="388">
        <v>13.9</v>
      </c>
      <c r="FW34" s="272">
        <v>35938154</v>
      </c>
      <c r="FX34" s="384">
        <f t="shared" si="16"/>
        <v>270.89999999999998</v>
      </c>
      <c r="FY34" s="272">
        <v>2896496</v>
      </c>
      <c r="FZ34" s="272">
        <v>612701</v>
      </c>
      <c r="GA34" s="272">
        <v>425613</v>
      </c>
      <c r="GB34" s="272">
        <v>1858182</v>
      </c>
      <c r="GC34" s="272"/>
      <c r="GD34" s="272">
        <v>34809775</v>
      </c>
      <c r="GE34" s="384">
        <f t="shared" si="17"/>
        <v>262.39999999999998</v>
      </c>
      <c r="GF34" s="388">
        <v>97.4</v>
      </c>
      <c r="GG34" s="388">
        <v>19.7</v>
      </c>
      <c r="GH34" s="388">
        <v>92.6</v>
      </c>
      <c r="GI34" s="272">
        <v>619</v>
      </c>
    </row>
    <row r="35" spans="2:191" x14ac:dyDescent="0.15">
      <c r="B35" s="89" t="s">
        <v>63</v>
      </c>
      <c r="C35" s="272">
        <v>8002729</v>
      </c>
      <c r="D35" s="455">
        <f t="shared" si="0"/>
        <v>4100944</v>
      </c>
      <c r="E35" s="272">
        <v>51079</v>
      </c>
      <c r="F35" s="272">
        <v>4049865</v>
      </c>
      <c r="G35" s="455">
        <f t="shared" si="1"/>
        <v>322878</v>
      </c>
      <c r="H35" s="272">
        <v>78521</v>
      </c>
      <c r="I35" s="272">
        <v>244357</v>
      </c>
      <c r="J35" s="272">
        <v>2825920</v>
      </c>
      <c r="K35" s="272">
        <v>1331956</v>
      </c>
      <c r="L35" s="272">
        <v>1190607</v>
      </c>
      <c r="M35" s="272">
        <v>276463</v>
      </c>
      <c r="N35" s="272">
        <v>206053</v>
      </c>
      <c r="O35" s="272">
        <v>480370</v>
      </c>
      <c r="P35" s="272">
        <v>313649</v>
      </c>
      <c r="Q35" s="272">
        <v>166721</v>
      </c>
      <c r="R35" s="272">
        <v>353121</v>
      </c>
      <c r="S35" s="272">
        <v>233244</v>
      </c>
      <c r="T35" s="455">
        <f t="shared" si="2"/>
        <v>378866</v>
      </c>
      <c r="U35" s="272">
        <v>177562</v>
      </c>
      <c r="V35" s="272"/>
      <c r="W35" s="272"/>
      <c r="X35" s="272"/>
      <c r="Y35" s="272">
        <v>0</v>
      </c>
      <c r="Z35" s="272">
        <v>776</v>
      </c>
      <c r="AA35" s="272">
        <v>200528</v>
      </c>
      <c r="AB35" s="272"/>
      <c r="AC35" s="272">
        <v>2282758</v>
      </c>
      <c r="AD35" s="272">
        <v>1949063</v>
      </c>
      <c r="AE35" s="272">
        <v>333695</v>
      </c>
      <c r="AF35" s="272">
        <v>13777</v>
      </c>
      <c r="AG35" s="272">
        <v>293319</v>
      </c>
      <c r="AH35" s="455">
        <f t="shared" si="3"/>
        <v>250817</v>
      </c>
      <c r="AI35" s="272">
        <v>220318</v>
      </c>
      <c r="AJ35" s="272">
        <v>30499</v>
      </c>
      <c r="AK35" s="272">
        <v>847194</v>
      </c>
      <c r="AL35" s="455">
        <f t="shared" si="4"/>
        <v>531373</v>
      </c>
      <c r="AM35" s="272">
        <v>329636</v>
      </c>
      <c r="AN35" s="272">
        <v>77269</v>
      </c>
      <c r="AO35" s="272">
        <v>0</v>
      </c>
      <c r="AP35" s="272">
        <v>124468</v>
      </c>
      <c r="AQ35" s="272">
        <v>50718</v>
      </c>
      <c r="AR35" s="272">
        <v>0</v>
      </c>
      <c r="AS35" s="272">
        <v>0</v>
      </c>
      <c r="AT35" s="272">
        <v>748650</v>
      </c>
      <c r="AU35" s="272">
        <v>204916</v>
      </c>
      <c r="AV35" s="272">
        <v>38677</v>
      </c>
      <c r="AW35" s="272">
        <v>0</v>
      </c>
      <c r="AX35" s="272">
        <v>543734</v>
      </c>
      <c r="AY35" s="272">
        <v>152714</v>
      </c>
      <c r="AZ35" s="272">
        <v>50047</v>
      </c>
      <c r="BA35" s="272">
        <v>24344</v>
      </c>
      <c r="BB35" s="272">
        <v>110107</v>
      </c>
      <c r="BC35" s="272">
        <v>1020000</v>
      </c>
      <c r="BD35" s="272">
        <v>950000</v>
      </c>
      <c r="BE35" s="272">
        <v>0</v>
      </c>
      <c r="BF35" s="272">
        <v>70000</v>
      </c>
      <c r="BG35" s="272">
        <v>0</v>
      </c>
      <c r="BH35" s="272">
        <v>227429</v>
      </c>
      <c r="BI35" s="272">
        <v>227429</v>
      </c>
      <c r="BJ35" s="272">
        <v>85986</v>
      </c>
      <c r="BK35" s="272">
        <v>196</v>
      </c>
      <c r="BL35" s="272">
        <v>0</v>
      </c>
      <c r="BM35" s="272">
        <v>0</v>
      </c>
      <c r="BN35" s="272">
        <v>2594800</v>
      </c>
      <c r="BO35" s="455">
        <f t="shared" si="5"/>
        <v>1840500</v>
      </c>
      <c r="BP35" s="455">
        <f t="shared" si="6"/>
        <v>754300</v>
      </c>
      <c r="BQ35" s="272">
        <v>754300</v>
      </c>
      <c r="BR35" s="272"/>
      <c r="BS35" s="272"/>
      <c r="BT35" s="272">
        <v>0</v>
      </c>
      <c r="BU35" s="272">
        <v>17259600</v>
      </c>
      <c r="BV35" s="272"/>
      <c r="BW35" s="272">
        <v>4558877</v>
      </c>
      <c r="BX35" s="272">
        <v>3495627</v>
      </c>
      <c r="BY35" s="272">
        <v>185266</v>
      </c>
      <c r="BZ35" s="272">
        <v>35341</v>
      </c>
      <c r="CA35" s="272">
        <v>1321686</v>
      </c>
      <c r="CB35" s="272">
        <v>215627</v>
      </c>
      <c r="CC35" s="272">
        <v>413891</v>
      </c>
      <c r="CD35" s="272">
        <v>238160</v>
      </c>
      <c r="CE35" s="272">
        <v>431368</v>
      </c>
      <c r="CF35" s="272">
        <v>105</v>
      </c>
      <c r="CG35" s="272">
        <v>22535</v>
      </c>
      <c r="CH35" s="272">
        <v>1755312</v>
      </c>
      <c r="CI35" s="272">
        <v>762889</v>
      </c>
      <c r="CJ35" s="455">
        <f t="shared" si="7"/>
        <v>992423</v>
      </c>
      <c r="CK35" s="272">
        <v>2738398</v>
      </c>
      <c r="CL35" s="272">
        <v>1708284</v>
      </c>
      <c r="CM35" s="272">
        <v>115462</v>
      </c>
      <c r="CN35" s="272">
        <v>460754</v>
      </c>
      <c r="CO35" s="272">
        <v>16715</v>
      </c>
      <c r="CP35" s="272">
        <v>1347432</v>
      </c>
      <c r="CQ35" s="272">
        <v>442979</v>
      </c>
      <c r="CR35" s="272">
        <v>410938</v>
      </c>
      <c r="CS35" s="272">
        <v>346942</v>
      </c>
      <c r="CT35" s="455">
        <f t="shared" si="8"/>
        <v>90150</v>
      </c>
      <c r="CU35" s="272">
        <v>5150</v>
      </c>
      <c r="CV35" s="272">
        <v>85000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3637661</v>
      </c>
      <c r="DD35" s="272">
        <v>100045</v>
      </c>
      <c r="DE35" s="272">
        <v>3509305</v>
      </c>
      <c r="DF35" s="272">
        <v>28311</v>
      </c>
      <c r="DG35" s="272">
        <v>0</v>
      </c>
      <c r="DH35" s="272">
        <v>0</v>
      </c>
      <c r="DI35" s="272">
        <v>428100</v>
      </c>
      <c r="DJ35" s="272">
        <v>130000</v>
      </c>
      <c r="DK35" s="272">
        <v>2000</v>
      </c>
      <c r="DL35" s="272">
        <v>296100</v>
      </c>
      <c r="DM35" s="272">
        <v>0</v>
      </c>
      <c r="DN35" s="272">
        <v>0</v>
      </c>
      <c r="DO35" s="272">
        <v>0</v>
      </c>
      <c r="DP35" s="272">
        <v>0</v>
      </c>
      <c r="DQ35" s="272">
        <v>540</v>
      </c>
      <c r="DR35" s="272">
        <v>0</v>
      </c>
      <c r="DS35" s="272">
        <v>0</v>
      </c>
      <c r="DT35" s="272">
        <v>1265903</v>
      </c>
      <c r="DU35" s="272">
        <v>754319</v>
      </c>
      <c r="DV35" s="455">
        <f t="shared" si="11"/>
        <v>0</v>
      </c>
      <c r="DW35" s="272">
        <v>0</v>
      </c>
      <c r="DX35" s="272">
        <v>0</v>
      </c>
      <c r="DY35" s="272">
        <v>0</v>
      </c>
      <c r="DZ35" s="272">
        <v>330206</v>
      </c>
      <c r="EA35" s="272">
        <v>177505</v>
      </c>
      <c r="EB35" s="272"/>
      <c r="EC35" s="272">
        <v>0</v>
      </c>
      <c r="ED35" s="272">
        <v>17070624</v>
      </c>
      <c r="EF35" s="272">
        <v>188976</v>
      </c>
      <c r="EG35" s="272">
        <v>9932</v>
      </c>
      <c r="EH35" s="272">
        <v>179044</v>
      </c>
      <c r="EI35" s="272">
        <v>-48385</v>
      </c>
      <c r="EJ35" s="272">
        <v>-868385</v>
      </c>
      <c r="EL35" s="272"/>
      <c r="EM35" s="272">
        <v>55940</v>
      </c>
      <c r="EN35" s="272">
        <v>950000</v>
      </c>
      <c r="EO35" s="272">
        <v>25708</v>
      </c>
      <c r="EP35" s="455">
        <f t="shared" si="12"/>
        <v>526849</v>
      </c>
      <c r="EQ35" s="272">
        <v>11031251</v>
      </c>
      <c r="ER35" s="272">
        <v>-2243080</v>
      </c>
      <c r="ES35" s="272">
        <v>4286190</v>
      </c>
      <c r="ET35" s="272">
        <v>3228518</v>
      </c>
      <c r="EU35" s="272">
        <v>392762</v>
      </c>
      <c r="EV35" s="272">
        <v>1755312</v>
      </c>
      <c r="EW35" s="455">
        <f t="shared" si="13"/>
        <v>1551529</v>
      </c>
      <c r="EX35" s="272">
        <v>1551529</v>
      </c>
      <c r="EY35" s="272">
        <v>4427</v>
      </c>
      <c r="EZ35" s="272">
        <v>1518791</v>
      </c>
      <c r="FA35" s="272">
        <v>0</v>
      </c>
      <c r="FB35" s="272"/>
      <c r="FC35" s="272">
        <v>2349653</v>
      </c>
      <c r="FD35" s="272">
        <v>1286137</v>
      </c>
      <c r="FE35" s="272">
        <v>442979</v>
      </c>
      <c r="FF35" s="272">
        <v>1207056</v>
      </c>
      <c r="FG35" s="455">
        <f t="shared" si="14"/>
        <v>256716</v>
      </c>
      <c r="FH35" s="272">
        <v>13085355</v>
      </c>
      <c r="FI35" s="384">
        <f t="shared" si="15"/>
        <v>1.6</v>
      </c>
      <c r="FJ35" s="272">
        <v>10935474</v>
      </c>
      <c r="FK35" s="272"/>
      <c r="FL35" s="272">
        <v>6780004</v>
      </c>
      <c r="FM35" s="272">
        <v>8729067</v>
      </c>
      <c r="FN35" s="460">
        <v>0.76900000000000002</v>
      </c>
      <c r="FO35" s="388">
        <v>97.6</v>
      </c>
      <c r="FP35" s="388">
        <v>41.1</v>
      </c>
      <c r="FQ35" s="388">
        <v>3.8</v>
      </c>
      <c r="FR35" s="388">
        <v>17.100000000000001</v>
      </c>
      <c r="FS35" s="388">
        <v>21.8</v>
      </c>
      <c r="FT35" s="388">
        <v>9.5</v>
      </c>
      <c r="FU35" s="388">
        <v>4.0999999999999996</v>
      </c>
      <c r="FV35" s="388">
        <v>10.1</v>
      </c>
      <c r="FW35" s="272">
        <v>22764917</v>
      </c>
      <c r="FX35" s="384">
        <f t="shared" si="16"/>
        <v>208.2</v>
      </c>
      <c r="FY35" s="272">
        <v>3226900</v>
      </c>
      <c r="FZ35" s="272">
        <v>2100000</v>
      </c>
      <c r="GA35" s="272">
        <v>122000</v>
      </c>
      <c r="GB35" s="272">
        <v>1004900</v>
      </c>
      <c r="GC35" s="272"/>
      <c r="GD35" s="272">
        <v>6675017</v>
      </c>
      <c r="GE35" s="384">
        <f t="shared" si="17"/>
        <v>61</v>
      </c>
      <c r="GF35" s="388">
        <v>97.2</v>
      </c>
      <c r="GG35" s="388">
        <v>24.6</v>
      </c>
      <c r="GH35" s="388">
        <v>93</v>
      </c>
      <c r="GI35" s="272">
        <v>514</v>
      </c>
    </row>
    <row r="36" spans="2:191" x14ac:dyDescent="0.15">
      <c r="B36" s="89" t="s">
        <v>65</v>
      </c>
      <c r="C36" s="272">
        <v>6264983</v>
      </c>
      <c r="D36" s="455">
        <f t="shared" si="0"/>
        <v>2771595</v>
      </c>
      <c r="E36" s="272">
        <v>49793</v>
      </c>
      <c r="F36" s="272">
        <v>2721802</v>
      </c>
      <c r="G36" s="455">
        <f t="shared" si="1"/>
        <v>178691</v>
      </c>
      <c r="H36" s="272">
        <v>68119</v>
      </c>
      <c r="I36" s="272">
        <v>110572</v>
      </c>
      <c r="J36" s="272">
        <v>2523165</v>
      </c>
      <c r="K36" s="272">
        <v>1279153</v>
      </c>
      <c r="L36" s="272">
        <v>988858</v>
      </c>
      <c r="M36" s="272">
        <v>226479</v>
      </c>
      <c r="N36" s="272">
        <v>211474</v>
      </c>
      <c r="O36" s="272">
        <v>432571</v>
      </c>
      <c r="P36" s="272">
        <v>290561</v>
      </c>
      <c r="Q36" s="272">
        <v>142010</v>
      </c>
      <c r="R36" s="272">
        <v>338108</v>
      </c>
      <c r="S36" s="272">
        <v>221757</v>
      </c>
      <c r="T36" s="455">
        <f t="shared" si="2"/>
        <v>326485</v>
      </c>
      <c r="U36" s="272">
        <v>122512</v>
      </c>
      <c r="V36" s="272"/>
      <c r="W36" s="272"/>
      <c r="X36" s="272"/>
      <c r="Y36" s="272">
        <v>8100</v>
      </c>
      <c r="Z36" s="272">
        <v>1136</v>
      </c>
      <c r="AA36" s="272">
        <v>194737</v>
      </c>
      <c r="AB36" s="272"/>
      <c r="AC36" s="272">
        <v>3292206</v>
      </c>
      <c r="AD36" s="272">
        <v>2980020</v>
      </c>
      <c r="AE36" s="272">
        <v>312186</v>
      </c>
      <c r="AF36" s="272">
        <v>16250</v>
      </c>
      <c r="AG36" s="272">
        <v>75743</v>
      </c>
      <c r="AH36" s="455">
        <f t="shared" si="3"/>
        <v>230525</v>
      </c>
      <c r="AI36" s="272">
        <v>204783</v>
      </c>
      <c r="AJ36" s="272">
        <v>25742</v>
      </c>
      <c r="AK36" s="272">
        <v>1950690</v>
      </c>
      <c r="AL36" s="455">
        <f t="shared" si="4"/>
        <v>609707</v>
      </c>
      <c r="AM36" s="272">
        <v>382774</v>
      </c>
      <c r="AN36" s="272">
        <v>152058</v>
      </c>
      <c r="AO36" s="272">
        <v>0</v>
      </c>
      <c r="AP36" s="272">
        <v>74875</v>
      </c>
      <c r="AQ36" s="272">
        <v>1128138</v>
      </c>
      <c r="AR36" s="272">
        <v>0</v>
      </c>
      <c r="AS36" s="272">
        <v>0</v>
      </c>
      <c r="AT36" s="272">
        <v>810955</v>
      </c>
      <c r="AU36" s="272">
        <v>212854</v>
      </c>
      <c r="AV36" s="272">
        <v>50888</v>
      </c>
      <c r="AW36" s="272">
        <v>6605</v>
      </c>
      <c r="AX36" s="272">
        <v>598101</v>
      </c>
      <c r="AY36" s="272">
        <v>141282</v>
      </c>
      <c r="AZ36" s="272">
        <v>24086</v>
      </c>
      <c r="BA36" s="272">
        <v>2387</v>
      </c>
      <c r="BB36" s="272">
        <v>123075</v>
      </c>
      <c r="BC36" s="272">
        <v>2744401</v>
      </c>
      <c r="BD36" s="272">
        <v>739153</v>
      </c>
      <c r="BE36" s="272">
        <v>38609</v>
      </c>
      <c r="BF36" s="272">
        <v>1964897</v>
      </c>
      <c r="BG36" s="272">
        <v>0</v>
      </c>
      <c r="BH36" s="272">
        <v>227005</v>
      </c>
      <c r="BI36" s="272">
        <v>227005</v>
      </c>
      <c r="BJ36" s="272">
        <v>1113365</v>
      </c>
      <c r="BK36" s="272">
        <v>12062</v>
      </c>
      <c r="BL36" s="272">
        <v>0</v>
      </c>
      <c r="BM36" s="272">
        <v>0</v>
      </c>
      <c r="BN36" s="272">
        <v>1862300</v>
      </c>
      <c r="BO36" s="455">
        <f t="shared" si="5"/>
        <v>1259700</v>
      </c>
      <c r="BP36" s="455">
        <f t="shared" si="6"/>
        <v>602600</v>
      </c>
      <c r="BQ36" s="272">
        <v>602600</v>
      </c>
      <c r="BR36" s="272"/>
      <c r="BS36" s="272"/>
      <c r="BT36" s="272">
        <v>0</v>
      </c>
      <c r="BU36" s="272">
        <v>19400177</v>
      </c>
      <c r="BV36" s="272"/>
      <c r="BW36" s="272">
        <v>4846240</v>
      </c>
      <c r="BX36" s="272">
        <v>3704068</v>
      </c>
      <c r="BY36" s="272">
        <v>224116</v>
      </c>
      <c r="BZ36" s="272">
        <v>18255</v>
      </c>
      <c r="CA36" s="272">
        <v>1325084</v>
      </c>
      <c r="CB36" s="272">
        <v>243524</v>
      </c>
      <c r="CC36" s="272">
        <v>363928</v>
      </c>
      <c r="CD36" s="272">
        <v>199494</v>
      </c>
      <c r="CE36" s="272">
        <v>502739</v>
      </c>
      <c r="CF36" s="272">
        <v>3325</v>
      </c>
      <c r="CG36" s="272">
        <v>12074</v>
      </c>
      <c r="CH36" s="272">
        <v>1647704</v>
      </c>
      <c r="CI36" s="272">
        <v>813282</v>
      </c>
      <c r="CJ36" s="455">
        <f t="shared" si="7"/>
        <v>834422</v>
      </c>
      <c r="CK36" s="272">
        <v>2307240</v>
      </c>
      <c r="CL36" s="272">
        <v>1221232</v>
      </c>
      <c r="CM36" s="272">
        <v>302525</v>
      </c>
      <c r="CN36" s="272">
        <v>513893</v>
      </c>
      <c r="CO36" s="272">
        <v>128825</v>
      </c>
      <c r="CP36" s="272">
        <v>1348581</v>
      </c>
      <c r="CQ36" s="272">
        <v>519295</v>
      </c>
      <c r="CR36" s="272">
        <v>210507</v>
      </c>
      <c r="CS36" s="272">
        <v>210507</v>
      </c>
      <c r="CT36" s="455">
        <f t="shared" si="8"/>
        <v>361259</v>
      </c>
      <c r="CU36" s="272">
        <v>221741</v>
      </c>
      <c r="CV36" s="272">
        <v>139518</v>
      </c>
      <c r="CW36" s="455">
        <f t="shared" si="9"/>
        <v>353259</v>
      </c>
      <c r="CX36" s="272">
        <v>213741</v>
      </c>
      <c r="CY36" s="272">
        <v>139518</v>
      </c>
      <c r="CZ36" s="455">
        <f t="shared" si="10"/>
        <v>0</v>
      </c>
      <c r="DA36" s="272">
        <v>0</v>
      </c>
      <c r="DB36" s="272">
        <v>0</v>
      </c>
      <c r="DC36" s="272">
        <v>3890011</v>
      </c>
      <c r="DD36" s="272">
        <v>2305385</v>
      </c>
      <c r="DE36" s="272">
        <v>1540376</v>
      </c>
      <c r="DF36" s="272">
        <v>44250</v>
      </c>
      <c r="DG36" s="272">
        <v>0</v>
      </c>
      <c r="DH36" s="272">
        <v>0</v>
      </c>
      <c r="DI36" s="272">
        <v>2662391</v>
      </c>
      <c r="DJ36" s="272">
        <v>1575496</v>
      </c>
      <c r="DK36" s="272">
        <v>1311</v>
      </c>
      <c r="DL36" s="272">
        <v>1085584</v>
      </c>
      <c r="DM36" s="272">
        <v>36950</v>
      </c>
      <c r="DN36" s="272">
        <v>14000</v>
      </c>
      <c r="DO36" s="272">
        <v>14000</v>
      </c>
      <c r="DP36" s="272">
        <v>0</v>
      </c>
      <c r="DQ36" s="272">
        <v>12000</v>
      </c>
      <c r="DR36" s="272">
        <v>0</v>
      </c>
      <c r="DS36" s="272">
        <v>0</v>
      </c>
      <c r="DT36" s="272">
        <v>1018512</v>
      </c>
      <c r="DU36" s="272">
        <v>593912</v>
      </c>
      <c r="DV36" s="455">
        <f t="shared" si="11"/>
        <v>0</v>
      </c>
      <c r="DW36" s="272">
        <v>0</v>
      </c>
      <c r="DX36" s="272">
        <v>0</v>
      </c>
      <c r="DY36" s="272">
        <v>0</v>
      </c>
      <c r="DZ36" s="272">
        <v>205888</v>
      </c>
      <c r="EA36" s="272">
        <v>218701</v>
      </c>
      <c r="EB36" s="272"/>
      <c r="EC36" s="272">
        <v>0</v>
      </c>
      <c r="ED36" s="272">
        <v>19223538</v>
      </c>
      <c r="EF36" s="272">
        <v>176639</v>
      </c>
      <c r="EG36" s="272">
        <v>0</v>
      </c>
      <c r="EH36" s="272">
        <v>176639</v>
      </c>
      <c r="EI36" s="272">
        <v>-50366</v>
      </c>
      <c r="EJ36" s="272">
        <v>785977</v>
      </c>
      <c r="EL36" s="272"/>
      <c r="EM36" s="272">
        <v>57567</v>
      </c>
      <c r="EN36" s="272">
        <v>1516231</v>
      </c>
      <c r="EO36" s="272">
        <v>5044</v>
      </c>
      <c r="EP36" s="455">
        <f t="shared" si="12"/>
        <v>419112</v>
      </c>
      <c r="EQ36" s="272">
        <v>10238032</v>
      </c>
      <c r="ER36" s="272">
        <v>-2526737</v>
      </c>
      <c r="ES36" s="272">
        <v>4474816</v>
      </c>
      <c r="ET36" s="272">
        <v>3332644</v>
      </c>
      <c r="EU36" s="272">
        <v>323736</v>
      </c>
      <c r="EV36" s="272">
        <v>1647704</v>
      </c>
      <c r="EW36" s="455">
        <f t="shared" si="13"/>
        <v>536415</v>
      </c>
      <c r="EX36" s="272">
        <v>536415</v>
      </c>
      <c r="EY36" s="272">
        <v>16841</v>
      </c>
      <c r="EZ36" s="272">
        <v>497449</v>
      </c>
      <c r="FA36" s="272">
        <v>0</v>
      </c>
      <c r="FB36" s="272"/>
      <c r="FC36" s="272">
        <v>1979812</v>
      </c>
      <c r="FD36" s="272">
        <v>1196160</v>
      </c>
      <c r="FE36" s="272">
        <v>519295</v>
      </c>
      <c r="FF36" s="272">
        <v>662079</v>
      </c>
      <c r="FG36" s="455">
        <f t="shared" si="14"/>
        <v>1767408</v>
      </c>
      <c r="FH36" s="272">
        <v>12588130</v>
      </c>
      <c r="FI36" s="384">
        <f t="shared" si="15"/>
        <v>1.8</v>
      </c>
      <c r="FJ36" s="272">
        <v>10030105</v>
      </c>
      <c r="FK36" s="272"/>
      <c r="FL36" s="272">
        <v>5328521</v>
      </c>
      <c r="FM36" s="272">
        <v>8296501</v>
      </c>
      <c r="FN36" s="460">
        <v>0.64600000000000002</v>
      </c>
      <c r="FO36" s="388">
        <v>101.3</v>
      </c>
      <c r="FP36" s="388">
        <v>45.8</v>
      </c>
      <c r="FQ36" s="388">
        <v>3.4</v>
      </c>
      <c r="FR36" s="388">
        <v>17.3</v>
      </c>
      <c r="FS36" s="388">
        <v>19.600000000000001</v>
      </c>
      <c r="FT36" s="388">
        <v>9.4</v>
      </c>
      <c r="FU36" s="388">
        <v>4.5999999999999996</v>
      </c>
      <c r="FV36" s="388">
        <v>11.5</v>
      </c>
      <c r="FW36" s="272">
        <v>17658575</v>
      </c>
      <c r="FX36" s="384">
        <f t="shared" si="16"/>
        <v>176.1</v>
      </c>
      <c r="FY36" s="272">
        <v>4359425</v>
      </c>
      <c r="FZ36" s="272">
        <v>3284960</v>
      </c>
      <c r="GA36" s="272">
        <v>195019</v>
      </c>
      <c r="GB36" s="272">
        <v>879446</v>
      </c>
      <c r="GC36" s="272"/>
      <c r="GD36" s="272">
        <v>63984</v>
      </c>
      <c r="GE36" s="384">
        <f t="shared" si="17"/>
        <v>0.6</v>
      </c>
      <c r="GF36" s="388">
        <v>96.9</v>
      </c>
      <c r="GG36" s="388">
        <v>28.1</v>
      </c>
      <c r="GH36" s="388">
        <v>91.1</v>
      </c>
      <c r="GI36" s="272">
        <v>538</v>
      </c>
    </row>
    <row r="37" spans="2:191" x14ac:dyDescent="0.15">
      <c r="B37" s="21" t="s">
        <v>67</v>
      </c>
      <c r="C37" s="272">
        <f>SUM(C6:C36)</f>
        <v>832663156</v>
      </c>
      <c r="D37" s="455">
        <f t="shared" si="0"/>
        <v>302364142</v>
      </c>
      <c r="E37" s="272">
        <f>SUM(E6:E36)</f>
        <v>4860321</v>
      </c>
      <c r="F37" s="272">
        <f>SUM(F6:F36)</f>
        <v>297503821</v>
      </c>
      <c r="G37" s="455">
        <f t="shared" si="1"/>
        <v>72568474</v>
      </c>
      <c r="H37" s="272">
        <f t="shared" ref="H37:S37" si="18">SUM(H6:H36)</f>
        <v>11471436</v>
      </c>
      <c r="I37" s="272">
        <f t="shared" si="18"/>
        <v>61097038</v>
      </c>
      <c r="J37" s="272">
        <f t="shared" si="18"/>
        <v>336805826</v>
      </c>
      <c r="K37" s="272">
        <f t="shared" si="18"/>
        <v>173407539</v>
      </c>
      <c r="L37" s="272">
        <f t="shared" si="18"/>
        <v>112527083</v>
      </c>
      <c r="M37" s="272">
        <f t="shared" si="18"/>
        <v>46067295</v>
      </c>
      <c r="N37" s="272">
        <f t="shared" si="18"/>
        <v>26308822</v>
      </c>
      <c r="O37" s="272">
        <f t="shared" si="18"/>
        <v>80208416</v>
      </c>
      <c r="P37" s="272">
        <f t="shared" si="18"/>
        <v>55632479</v>
      </c>
      <c r="Q37" s="272">
        <f t="shared" si="18"/>
        <v>24575937</v>
      </c>
      <c r="R37" s="272">
        <f t="shared" si="18"/>
        <v>35725821</v>
      </c>
      <c r="S37" s="272">
        <f t="shared" si="18"/>
        <v>23736651</v>
      </c>
      <c r="T37" s="455">
        <f t="shared" si="2"/>
        <v>31711500</v>
      </c>
      <c r="U37" s="272">
        <f>SUM(U6:U36)</f>
        <v>14017224</v>
      </c>
      <c r="V37" s="272"/>
      <c r="W37" s="272"/>
      <c r="X37" s="272"/>
      <c r="Y37" s="272">
        <f>SUM(Y6:Y36)</f>
        <v>1219627</v>
      </c>
      <c r="Z37" s="272">
        <f>SUM(Z6:Z36)</f>
        <v>261608</v>
      </c>
      <c r="AA37" s="272">
        <f>SUM(AA6:AA36)</f>
        <v>16213041</v>
      </c>
      <c r="AB37" s="272"/>
      <c r="AC37" s="272">
        <f>SUM(AC6:AC36)</f>
        <v>90377318</v>
      </c>
      <c r="AD37" s="272">
        <f>SUM(AD6:AD36)</f>
        <v>78881665</v>
      </c>
      <c r="AE37" s="272">
        <f>SUM(AE6:AE36)</f>
        <v>11495653</v>
      </c>
      <c r="AF37" s="272">
        <f>SUM(AF6:AF36)</f>
        <v>1134161</v>
      </c>
      <c r="AG37" s="272">
        <f>SUM(AG6:AG36)</f>
        <v>19490737</v>
      </c>
      <c r="AH37" s="455">
        <f t="shared" si="3"/>
        <v>30884766</v>
      </c>
      <c r="AI37" s="272">
        <f>SUM(AI6:AI36)</f>
        <v>23964570</v>
      </c>
      <c r="AJ37" s="272">
        <f>SUM(AJ6:AJ36)</f>
        <v>6920196</v>
      </c>
      <c r="AK37" s="272">
        <f>SUM(AK6:AK36)</f>
        <v>138258468</v>
      </c>
      <c r="AL37" s="455">
        <f t="shared" si="4"/>
        <v>77607911</v>
      </c>
      <c r="AM37" s="272">
        <f t="shared" ref="AM37:BN37" si="19">SUM(AM6:AM36)</f>
        <v>57382516</v>
      </c>
      <c r="AN37" s="272">
        <f t="shared" si="19"/>
        <v>12307213</v>
      </c>
      <c r="AO37" s="272">
        <f t="shared" si="19"/>
        <v>41752</v>
      </c>
      <c r="AP37" s="272">
        <f t="shared" si="19"/>
        <v>7876430</v>
      </c>
      <c r="AQ37" s="272">
        <f t="shared" si="19"/>
        <v>30655169</v>
      </c>
      <c r="AR37" s="272">
        <f t="shared" si="19"/>
        <v>56668</v>
      </c>
      <c r="AS37" s="272">
        <f t="shared" si="19"/>
        <v>335596</v>
      </c>
      <c r="AT37" s="272">
        <f t="shared" si="19"/>
        <v>89510769</v>
      </c>
      <c r="AU37" s="272">
        <f t="shared" si="19"/>
        <v>31448115</v>
      </c>
      <c r="AV37" s="272">
        <f t="shared" si="19"/>
        <v>6112236</v>
      </c>
      <c r="AW37" s="272">
        <f t="shared" si="19"/>
        <v>2438179</v>
      </c>
      <c r="AX37" s="272">
        <f t="shared" si="19"/>
        <v>58062654</v>
      </c>
      <c r="AY37" s="272">
        <f t="shared" si="19"/>
        <v>17780934</v>
      </c>
      <c r="AZ37" s="272">
        <f t="shared" si="19"/>
        <v>21770879</v>
      </c>
      <c r="BA37" s="272">
        <f t="shared" si="19"/>
        <v>17662622</v>
      </c>
      <c r="BB37" s="272">
        <f t="shared" si="19"/>
        <v>12247664</v>
      </c>
      <c r="BC37" s="272">
        <f t="shared" si="19"/>
        <v>53047255</v>
      </c>
      <c r="BD37" s="272">
        <f t="shared" si="19"/>
        <v>11645539</v>
      </c>
      <c r="BE37" s="272">
        <f t="shared" si="19"/>
        <v>2880796</v>
      </c>
      <c r="BF37" s="272">
        <f t="shared" si="19"/>
        <v>36136001</v>
      </c>
      <c r="BG37" s="272">
        <f t="shared" si="19"/>
        <v>188125</v>
      </c>
      <c r="BH37" s="272">
        <f t="shared" si="19"/>
        <v>17682949</v>
      </c>
      <c r="BI37" s="272">
        <f t="shared" si="19"/>
        <v>8004463</v>
      </c>
      <c r="BJ37" s="272">
        <f t="shared" si="19"/>
        <v>54533288</v>
      </c>
      <c r="BK37" s="272">
        <f t="shared" si="19"/>
        <v>28942845</v>
      </c>
      <c r="BL37" s="272">
        <f t="shared" si="19"/>
        <v>1273358</v>
      </c>
      <c r="BM37" s="272">
        <f t="shared" si="19"/>
        <v>8239014</v>
      </c>
      <c r="BN37" s="272">
        <f t="shared" si="19"/>
        <v>187340610</v>
      </c>
      <c r="BO37" s="455">
        <f t="shared" si="5"/>
        <v>128665010</v>
      </c>
      <c r="BP37" s="455">
        <f t="shared" si="6"/>
        <v>58675600</v>
      </c>
      <c r="BQ37" s="272">
        <f>SUM(BQ6:BQ36)</f>
        <v>58675600</v>
      </c>
      <c r="BR37" s="272"/>
      <c r="BS37" s="272"/>
      <c r="BT37" s="272">
        <v>0</v>
      </c>
      <c r="BU37" s="272">
        <f>SUM(BU6:BU36)</f>
        <v>1616714937</v>
      </c>
      <c r="BV37" s="272"/>
      <c r="BW37" s="272">
        <f t="shared" ref="BW37:CI37" si="20">SUM(BW6:BW36)</f>
        <v>433440439</v>
      </c>
      <c r="BX37" s="272">
        <f t="shared" si="20"/>
        <v>324239281</v>
      </c>
      <c r="BY37" s="272">
        <f t="shared" si="20"/>
        <v>26837651</v>
      </c>
      <c r="BZ37" s="272">
        <f t="shared" si="20"/>
        <v>13361404</v>
      </c>
      <c r="CA37" s="272">
        <f t="shared" si="20"/>
        <v>190330999</v>
      </c>
      <c r="CB37" s="272">
        <f t="shared" si="20"/>
        <v>21528828</v>
      </c>
      <c r="CC37" s="272">
        <f t="shared" si="20"/>
        <v>42151248</v>
      </c>
      <c r="CD37" s="272">
        <f t="shared" si="20"/>
        <v>39040135</v>
      </c>
      <c r="CE37" s="272">
        <f t="shared" si="20"/>
        <v>76621820</v>
      </c>
      <c r="CF37" s="272">
        <f t="shared" si="20"/>
        <v>7890532</v>
      </c>
      <c r="CG37" s="272">
        <f t="shared" si="20"/>
        <v>2970651</v>
      </c>
      <c r="CH37" s="272">
        <f t="shared" si="20"/>
        <v>135342155</v>
      </c>
      <c r="CI37" s="272">
        <f t="shared" si="20"/>
        <v>74064513</v>
      </c>
      <c r="CJ37" s="455">
        <f t="shared" si="7"/>
        <v>61277642</v>
      </c>
      <c r="CK37" s="272">
        <f t="shared" ref="CK37:CS37" si="21">SUM(CK6:CK36)</f>
        <v>172583562</v>
      </c>
      <c r="CL37" s="272">
        <f t="shared" si="21"/>
        <v>96249190</v>
      </c>
      <c r="CM37" s="272">
        <f t="shared" si="21"/>
        <v>8049389</v>
      </c>
      <c r="CN37" s="272">
        <f t="shared" si="21"/>
        <v>39005901</v>
      </c>
      <c r="CO37" s="272">
        <f t="shared" si="21"/>
        <v>16324487</v>
      </c>
      <c r="CP37" s="272">
        <f t="shared" si="21"/>
        <v>121254616</v>
      </c>
      <c r="CQ37" s="272">
        <f t="shared" si="21"/>
        <v>39646274</v>
      </c>
      <c r="CR37" s="272">
        <f t="shared" si="21"/>
        <v>33631527</v>
      </c>
      <c r="CS37" s="272">
        <f t="shared" si="21"/>
        <v>27806758</v>
      </c>
      <c r="CT37" s="455">
        <f t="shared" si="8"/>
        <v>22164106</v>
      </c>
      <c r="CU37" s="272">
        <f>SUM(CU6:CU36)</f>
        <v>10469810</v>
      </c>
      <c r="CV37" s="272">
        <f>SUM(CV6:CV36)</f>
        <v>11694296</v>
      </c>
      <c r="CW37" s="455">
        <f t="shared" si="9"/>
        <v>14474237</v>
      </c>
      <c r="CX37" s="272">
        <f>SUM(CX6:CX36)</f>
        <v>9606036</v>
      </c>
      <c r="CY37" s="272">
        <f>SUM(CY6:CY36)</f>
        <v>4868201</v>
      </c>
      <c r="CZ37" s="455">
        <f t="shared" si="10"/>
        <v>0</v>
      </c>
      <c r="DA37" s="272">
        <f t="shared" ref="DA37:DU37" si="22">SUM(DA6:DA36)</f>
        <v>0</v>
      </c>
      <c r="DB37" s="272">
        <f t="shared" si="22"/>
        <v>0</v>
      </c>
      <c r="DC37" s="272">
        <f t="shared" si="22"/>
        <v>301711517</v>
      </c>
      <c r="DD37" s="272">
        <f t="shared" si="22"/>
        <v>61206296</v>
      </c>
      <c r="DE37" s="272">
        <f t="shared" si="22"/>
        <v>223467482</v>
      </c>
      <c r="DF37" s="272">
        <f t="shared" si="22"/>
        <v>3491147</v>
      </c>
      <c r="DG37" s="272">
        <f t="shared" si="22"/>
        <v>13466061</v>
      </c>
      <c r="DH37" s="272">
        <f t="shared" si="22"/>
        <v>796046</v>
      </c>
      <c r="DI37" s="272">
        <f t="shared" si="22"/>
        <v>49908181</v>
      </c>
      <c r="DJ37" s="272">
        <f t="shared" si="22"/>
        <v>12198435</v>
      </c>
      <c r="DK37" s="272">
        <f t="shared" si="22"/>
        <v>3012993</v>
      </c>
      <c r="DL37" s="272">
        <f t="shared" si="22"/>
        <v>34696753</v>
      </c>
      <c r="DM37" s="272">
        <f t="shared" si="22"/>
        <v>10877356</v>
      </c>
      <c r="DN37" s="272">
        <f t="shared" si="22"/>
        <v>9847896</v>
      </c>
      <c r="DO37" s="272">
        <f t="shared" si="22"/>
        <v>991594</v>
      </c>
      <c r="DP37" s="272">
        <f t="shared" si="22"/>
        <v>8856302</v>
      </c>
      <c r="DQ37" s="272">
        <f t="shared" si="22"/>
        <v>29909535</v>
      </c>
      <c r="DR37" s="272">
        <f t="shared" si="22"/>
        <v>903197</v>
      </c>
      <c r="DS37" s="272">
        <f t="shared" si="22"/>
        <v>900000</v>
      </c>
      <c r="DT37" s="272">
        <f t="shared" si="22"/>
        <v>134438829</v>
      </c>
      <c r="DU37" s="272">
        <f t="shared" si="22"/>
        <v>78766177</v>
      </c>
      <c r="DV37" s="455">
        <f t="shared" si="11"/>
        <v>527330</v>
      </c>
      <c r="DW37" s="272">
        <f>SUM(DW6:DW36)</f>
        <v>527330</v>
      </c>
      <c r="DX37" s="272">
        <v>0</v>
      </c>
      <c r="DY37" s="272">
        <f>SUM(DY6:DY36)</f>
        <v>290146</v>
      </c>
      <c r="DZ37" s="272">
        <f>SUM(DZ6:DZ36)</f>
        <v>35322023</v>
      </c>
      <c r="EA37" s="272">
        <f>SUM(EA6:EA36)</f>
        <v>18050779</v>
      </c>
      <c r="EB37" s="272"/>
      <c r="EC37" s="272">
        <f>SUM(EC6:EC36)</f>
        <v>839912</v>
      </c>
      <c r="ED37" s="272">
        <f>SUM(ED6:ED36)</f>
        <v>1597757634</v>
      </c>
      <c r="EF37" s="272">
        <f>SUM(EF6:EF36)</f>
        <v>18957303</v>
      </c>
      <c r="EG37" s="272">
        <f>SUM(EG6:EG36)</f>
        <v>11155740</v>
      </c>
      <c r="EH37" s="272">
        <f>SUM(EH6:EH36)</f>
        <v>7801563</v>
      </c>
      <c r="EI37" s="272">
        <f>SUM(EI6:EI36)</f>
        <v>788689</v>
      </c>
      <c r="EJ37" s="272">
        <f>SUM(EJ6:EJ36)</f>
        <v>1568921</v>
      </c>
      <c r="EL37" s="272"/>
      <c r="EM37" s="272">
        <f>SUM(EM6:EM36)</f>
        <v>5106027</v>
      </c>
      <c r="EN37" s="272">
        <f>SUM(EN6:EN36)</f>
        <v>25230490</v>
      </c>
      <c r="EO37" s="272">
        <f>SUM(EO6:EO36)</f>
        <v>13649138</v>
      </c>
      <c r="EP37" s="455">
        <f t="shared" si="12"/>
        <v>44072846</v>
      </c>
      <c r="EQ37" s="272">
        <f t="shared" ref="EQ37:EV37" si="23">SUM(EQ6:EQ36)</f>
        <v>991947552</v>
      </c>
      <c r="ER37" s="272">
        <f t="shared" si="23"/>
        <v>-140158317</v>
      </c>
      <c r="ES37" s="272">
        <f t="shared" si="23"/>
        <v>400361424</v>
      </c>
      <c r="ET37" s="272">
        <f t="shared" si="23"/>
        <v>294249581</v>
      </c>
      <c r="EU37" s="272">
        <f t="shared" si="23"/>
        <v>58417096</v>
      </c>
      <c r="EV37" s="272">
        <f t="shared" si="23"/>
        <v>130282861</v>
      </c>
      <c r="EW37" s="455">
        <f t="shared" si="13"/>
        <v>95631666</v>
      </c>
      <c r="EX37" s="272">
        <f>SUM(EX6:EX36)</f>
        <v>95559083</v>
      </c>
      <c r="EY37" s="272">
        <f>SUM(EY6:EY36)</f>
        <v>5088021</v>
      </c>
      <c r="EZ37" s="272">
        <f>SUM(EZ6:EZ36)</f>
        <v>89308020</v>
      </c>
      <c r="FA37" s="272">
        <f>SUM(FA6:FA36)</f>
        <v>72583</v>
      </c>
      <c r="FB37" s="272"/>
      <c r="FC37" s="272">
        <f>SUM(FC6:FC36)</f>
        <v>137369215</v>
      </c>
      <c r="FD37" s="272">
        <f>SUM(FD6:FD36)</f>
        <v>106363405</v>
      </c>
      <c r="FE37" s="272">
        <f>SUM(FE6:FE36)</f>
        <v>39498574</v>
      </c>
      <c r="FF37" s="272">
        <f>SUM(FF6:FF36)</f>
        <v>128372472</v>
      </c>
      <c r="FG37" s="455">
        <f t="shared" si="14"/>
        <v>56914050</v>
      </c>
      <c r="FH37" s="272">
        <f>SUM(FH6:FH36)</f>
        <v>1113712189</v>
      </c>
      <c r="FI37" s="384">
        <f t="shared" si="15"/>
        <v>0.8</v>
      </c>
      <c r="FJ37" s="272">
        <f>SUM(FJ6:FJ36)</f>
        <v>937577308</v>
      </c>
      <c r="FK37" s="272">
        <f>SUM(FK6:FK36)</f>
        <v>0</v>
      </c>
      <c r="FL37" s="272">
        <f>SUM(FL6:FL36)</f>
        <v>647772084</v>
      </c>
      <c r="FM37" s="272">
        <f>SUM(FM6:FM36)</f>
        <v>707771459</v>
      </c>
      <c r="FN37" s="468">
        <v>0.92900000000000005</v>
      </c>
      <c r="FO37" s="469">
        <v>97.4</v>
      </c>
      <c r="FP37" s="469">
        <v>42.7</v>
      </c>
      <c r="FQ37" s="469">
        <v>6.7</v>
      </c>
      <c r="FR37" s="469">
        <v>14.1</v>
      </c>
      <c r="FS37" s="469">
        <v>14</v>
      </c>
      <c r="FT37" s="469">
        <v>10.199999999999999</v>
      </c>
      <c r="FU37" s="469">
        <v>8</v>
      </c>
      <c r="FV37" s="469">
        <v>10</v>
      </c>
      <c r="FW37" s="272">
        <f>SUM(FW6:FW36)</f>
        <v>1403616574</v>
      </c>
      <c r="FX37" s="384">
        <f t="shared" si="16"/>
        <v>149.69999999999999</v>
      </c>
      <c r="FY37" s="272">
        <f t="shared" ref="FY37:GD37" si="24">SUM(FY6:FY36)</f>
        <v>374732942</v>
      </c>
      <c r="FZ37" s="272">
        <f t="shared" si="24"/>
        <v>86756102</v>
      </c>
      <c r="GA37" s="272">
        <f t="shared" si="24"/>
        <v>29203127</v>
      </c>
      <c r="GB37" s="272">
        <f t="shared" si="24"/>
        <v>258773713</v>
      </c>
      <c r="GC37" s="272">
        <f t="shared" si="24"/>
        <v>0</v>
      </c>
      <c r="GD37" s="272">
        <f t="shared" si="24"/>
        <v>437156312</v>
      </c>
      <c r="GE37" s="384">
        <f t="shared" si="17"/>
        <v>46.6</v>
      </c>
      <c r="GF37" s="469">
        <v>97.8</v>
      </c>
      <c r="GG37" s="469">
        <v>23.2</v>
      </c>
      <c r="GH37" s="469">
        <v>93</v>
      </c>
      <c r="GI37" s="272">
        <f>SUM(GI6:GI36)</f>
        <v>42074</v>
      </c>
    </row>
    <row r="38" spans="2:191" x14ac:dyDescent="0.15">
      <c r="B38" s="89" t="s">
        <v>69</v>
      </c>
      <c r="C38" s="272">
        <v>5537482</v>
      </c>
      <c r="D38" s="455">
        <f t="shared" si="0"/>
        <v>1859692</v>
      </c>
      <c r="E38" s="272">
        <v>22723</v>
      </c>
      <c r="F38" s="272">
        <v>1836969</v>
      </c>
      <c r="G38" s="455">
        <f t="shared" si="1"/>
        <v>1167766</v>
      </c>
      <c r="H38" s="272">
        <v>64637</v>
      </c>
      <c r="I38" s="272">
        <v>1103129</v>
      </c>
      <c r="J38" s="272">
        <v>2002876</v>
      </c>
      <c r="K38" s="272">
        <v>900331</v>
      </c>
      <c r="L38" s="272">
        <v>660113</v>
      </c>
      <c r="M38" s="272">
        <v>417347</v>
      </c>
      <c r="N38" s="272">
        <v>90620</v>
      </c>
      <c r="O38" s="272">
        <v>403115</v>
      </c>
      <c r="P38" s="272">
        <v>269980</v>
      </c>
      <c r="Q38" s="272">
        <v>133135</v>
      </c>
      <c r="R38" s="272">
        <v>183818</v>
      </c>
      <c r="S38" s="272">
        <v>119530</v>
      </c>
      <c r="T38" s="455">
        <f t="shared" si="2"/>
        <v>278840</v>
      </c>
      <c r="U38" s="272">
        <v>85527</v>
      </c>
      <c r="V38" s="272"/>
      <c r="W38" s="272"/>
      <c r="X38" s="272"/>
      <c r="Y38" s="272">
        <v>85901</v>
      </c>
      <c r="Z38" s="272">
        <v>0</v>
      </c>
      <c r="AA38" s="272">
        <v>107412</v>
      </c>
      <c r="AB38" s="272"/>
      <c r="AC38" s="272">
        <v>957433</v>
      </c>
      <c r="AD38" s="272">
        <v>729924</v>
      </c>
      <c r="AE38" s="272">
        <v>227509</v>
      </c>
      <c r="AF38" s="272">
        <v>5048</v>
      </c>
      <c r="AG38" s="272">
        <v>50655</v>
      </c>
      <c r="AH38" s="455">
        <f t="shared" si="3"/>
        <v>197603</v>
      </c>
      <c r="AI38" s="272">
        <v>156286</v>
      </c>
      <c r="AJ38" s="272">
        <v>41317</v>
      </c>
      <c r="AK38" s="272">
        <v>423380</v>
      </c>
      <c r="AL38" s="455">
        <f t="shared" si="4"/>
        <v>139190</v>
      </c>
      <c r="AM38" s="272">
        <v>54711</v>
      </c>
      <c r="AN38" s="272">
        <v>37262</v>
      </c>
      <c r="AO38" s="272">
        <v>0</v>
      </c>
      <c r="AP38" s="272">
        <v>47217</v>
      </c>
      <c r="AQ38" s="272">
        <v>139368</v>
      </c>
      <c r="AR38" s="272">
        <v>0</v>
      </c>
      <c r="AS38" s="272">
        <v>0</v>
      </c>
      <c r="AT38" s="272">
        <v>575251</v>
      </c>
      <c r="AU38" s="272">
        <v>90319</v>
      </c>
      <c r="AV38" s="272">
        <v>18753</v>
      </c>
      <c r="AW38" s="272">
        <v>0</v>
      </c>
      <c r="AX38" s="272">
        <v>484932</v>
      </c>
      <c r="AY38" s="272">
        <v>258845</v>
      </c>
      <c r="AZ38" s="272">
        <v>297084</v>
      </c>
      <c r="BA38" s="272">
        <v>252838</v>
      </c>
      <c r="BB38" s="272">
        <v>1687</v>
      </c>
      <c r="BC38" s="272">
        <v>265094</v>
      </c>
      <c r="BD38" s="272">
        <v>0</v>
      </c>
      <c r="BE38" s="272">
        <v>47000</v>
      </c>
      <c r="BF38" s="272">
        <v>213860</v>
      </c>
      <c r="BG38" s="272">
        <v>2268</v>
      </c>
      <c r="BH38" s="272">
        <v>724392</v>
      </c>
      <c r="BI38" s="272">
        <v>256145</v>
      </c>
      <c r="BJ38" s="272">
        <v>41930</v>
      </c>
      <c r="BK38" s="272">
        <v>4837</v>
      </c>
      <c r="BL38" s="272">
        <v>0</v>
      </c>
      <c r="BM38" s="272">
        <v>0</v>
      </c>
      <c r="BN38" s="272">
        <v>1708500</v>
      </c>
      <c r="BO38" s="455">
        <f t="shared" si="5"/>
        <v>1318500</v>
      </c>
      <c r="BP38" s="455">
        <f t="shared" si="6"/>
        <v>390000</v>
      </c>
      <c r="BQ38" s="272">
        <v>390000</v>
      </c>
      <c r="BR38" s="272"/>
      <c r="BS38" s="272"/>
      <c r="BT38" s="272">
        <v>0</v>
      </c>
      <c r="BU38" s="272">
        <v>11248197</v>
      </c>
      <c r="BV38" s="272"/>
      <c r="BW38" s="272">
        <v>2965795</v>
      </c>
      <c r="BX38" s="272">
        <v>2237534</v>
      </c>
      <c r="BY38" s="272">
        <v>152567</v>
      </c>
      <c r="BZ38" s="272">
        <v>24894</v>
      </c>
      <c r="CA38" s="272">
        <v>774916</v>
      </c>
      <c r="CB38" s="272">
        <v>217842</v>
      </c>
      <c r="CC38" s="272">
        <v>292447</v>
      </c>
      <c r="CD38" s="272">
        <v>178752</v>
      </c>
      <c r="CE38" s="272">
        <v>74136</v>
      </c>
      <c r="CF38" s="272">
        <v>0</v>
      </c>
      <c r="CG38" s="272">
        <v>11739</v>
      </c>
      <c r="CH38" s="272">
        <v>1179603</v>
      </c>
      <c r="CI38" s="272">
        <v>656838</v>
      </c>
      <c r="CJ38" s="455">
        <f t="shared" si="7"/>
        <v>522765</v>
      </c>
      <c r="CK38" s="272">
        <v>1357749</v>
      </c>
      <c r="CL38" s="272">
        <v>690678</v>
      </c>
      <c r="CM38" s="272">
        <v>102370</v>
      </c>
      <c r="CN38" s="272">
        <v>339190</v>
      </c>
      <c r="CO38" s="272">
        <v>75574</v>
      </c>
      <c r="CP38" s="272">
        <v>288088</v>
      </c>
      <c r="CQ38" s="272">
        <v>4579</v>
      </c>
      <c r="CR38" s="272">
        <v>132132</v>
      </c>
      <c r="CS38" s="272">
        <v>124387</v>
      </c>
      <c r="CT38" s="455">
        <f t="shared" si="8"/>
        <v>8483</v>
      </c>
      <c r="CU38" s="272">
        <v>8483</v>
      </c>
      <c r="CV38" s="272">
        <v>0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2823970</v>
      </c>
      <c r="DD38" s="272">
        <v>351790</v>
      </c>
      <c r="DE38" s="272">
        <v>2352581</v>
      </c>
      <c r="DF38" s="272">
        <v>4875</v>
      </c>
      <c r="DG38" s="272">
        <v>0</v>
      </c>
      <c r="DH38" s="272">
        <v>148</v>
      </c>
      <c r="DI38" s="272">
        <v>614456</v>
      </c>
      <c r="DJ38" s="272">
        <v>191505</v>
      </c>
      <c r="DK38" s="272">
        <v>3172</v>
      </c>
      <c r="DL38" s="272">
        <v>419779</v>
      </c>
      <c r="DM38" s="272">
        <v>0</v>
      </c>
      <c r="DN38" s="272">
        <v>0</v>
      </c>
      <c r="DO38" s="272">
        <v>0</v>
      </c>
      <c r="DP38" s="272">
        <v>0</v>
      </c>
      <c r="DQ38" s="272">
        <v>4194</v>
      </c>
      <c r="DR38" s="272">
        <v>0</v>
      </c>
      <c r="DS38" s="272">
        <v>0</v>
      </c>
      <c r="DT38" s="272">
        <v>1023972</v>
      </c>
      <c r="DU38" s="272">
        <v>550000</v>
      </c>
      <c r="DV38" s="455">
        <f t="shared" si="11"/>
        <v>0</v>
      </c>
      <c r="DW38" s="272">
        <v>0</v>
      </c>
      <c r="DX38" s="272">
        <v>0</v>
      </c>
      <c r="DY38" s="272">
        <v>0</v>
      </c>
      <c r="DZ38" s="272">
        <v>117433</v>
      </c>
      <c r="EA38" s="272">
        <v>98283</v>
      </c>
      <c r="EB38" s="272"/>
      <c r="EC38" s="272">
        <v>0</v>
      </c>
      <c r="ED38" s="272">
        <v>11108465</v>
      </c>
      <c r="EF38" s="272">
        <v>139732</v>
      </c>
      <c r="EG38" s="272">
        <v>67016</v>
      </c>
      <c r="EH38" s="272">
        <v>72716</v>
      </c>
      <c r="EI38" s="272">
        <v>-183429</v>
      </c>
      <c r="EJ38" s="272">
        <v>8076</v>
      </c>
      <c r="EL38" s="272"/>
      <c r="EM38" s="272">
        <v>30035</v>
      </c>
      <c r="EN38" s="272">
        <v>48966</v>
      </c>
      <c r="EO38" s="272">
        <v>11134</v>
      </c>
      <c r="EP38" s="455">
        <f t="shared" si="12"/>
        <v>313205</v>
      </c>
      <c r="EQ38" s="272">
        <v>6962621</v>
      </c>
      <c r="ER38" s="272">
        <v>-758257</v>
      </c>
      <c r="ES38" s="272">
        <v>2730302</v>
      </c>
      <c r="ET38" s="272">
        <v>2009520</v>
      </c>
      <c r="EU38" s="272">
        <v>365549</v>
      </c>
      <c r="EV38" s="272">
        <v>1177662</v>
      </c>
      <c r="EW38" s="455">
        <f t="shared" si="13"/>
        <v>516605</v>
      </c>
      <c r="EX38" s="272">
        <v>516457</v>
      </c>
      <c r="EY38" s="272">
        <v>34379</v>
      </c>
      <c r="EZ38" s="272">
        <v>416279</v>
      </c>
      <c r="FA38" s="272">
        <v>148</v>
      </c>
      <c r="FB38" s="272"/>
      <c r="FC38" s="272">
        <v>1202390</v>
      </c>
      <c r="FD38" s="272">
        <v>270149</v>
      </c>
      <c r="FE38" s="272">
        <v>4579</v>
      </c>
      <c r="FF38" s="272">
        <v>715138</v>
      </c>
      <c r="FG38" s="455">
        <f t="shared" si="14"/>
        <v>642755</v>
      </c>
      <c r="FH38" s="272">
        <v>7620550</v>
      </c>
      <c r="FI38" s="384">
        <f t="shared" si="15"/>
        <v>1.1000000000000001</v>
      </c>
      <c r="FJ38" s="272">
        <v>6517842</v>
      </c>
      <c r="FK38" s="272"/>
      <c r="FL38" s="272">
        <v>4362971</v>
      </c>
      <c r="FM38" s="272">
        <v>5062540</v>
      </c>
      <c r="FN38" s="460">
        <v>0.84</v>
      </c>
      <c r="FO38" s="388">
        <v>92.1</v>
      </c>
      <c r="FP38" s="388">
        <v>42.2</v>
      </c>
      <c r="FQ38" s="388">
        <v>5.8</v>
      </c>
      <c r="FR38" s="388">
        <v>18.5</v>
      </c>
      <c r="FS38" s="388">
        <v>15.3</v>
      </c>
      <c r="FT38" s="388">
        <v>3.7</v>
      </c>
      <c r="FU38" s="388">
        <v>5.6</v>
      </c>
      <c r="FV38" s="388">
        <v>12.6</v>
      </c>
      <c r="FW38" s="272">
        <v>13161387</v>
      </c>
      <c r="FX38" s="384">
        <f t="shared" si="16"/>
        <v>201.9</v>
      </c>
      <c r="FY38" s="272">
        <v>5498533</v>
      </c>
      <c r="FZ38" s="272">
        <v>1579385</v>
      </c>
      <c r="GA38" s="272">
        <v>331784</v>
      </c>
      <c r="GB38" s="272">
        <v>3587364</v>
      </c>
      <c r="GC38" s="272"/>
      <c r="GD38" s="272"/>
      <c r="GE38" s="384"/>
      <c r="GF38" s="388">
        <v>98.7</v>
      </c>
      <c r="GG38" s="388">
        <v>13.5</v>
      </c>
      <c r="GH38" s="388">
        <v>93.8</v>
      </c>
      <c r="GI38" s="272">
        <v>308</v>
      </c>
    </row>
    <row r="39" spans="2:191" x14ac:dyDescent="0.15">
      <c r="B39" s="89" t="s">
        <v>71</v>
      </c>
      <c r="C39" s="272">
        <v>3276406</v>
      </c>
      <c r="D39" s="455">
        <f t="shared" si="0"/>
        <v>2134613</v>
      </c>
      <c r="E39" s="272">
        <v>17923</v>
      </c>
      <c r="F39" s="272">
        <v>2116690</v>
      </c>
      <c r="G39" s="455">
        <f t="shared" si="1"/>
        <v>46831</v>
      </c>
      <c r="H39" s="272">
        <v>19554</v>
      </c>
      <c r="I39" s="272">
        <v>27277</v>
      </c>
      <c r="J39" s="272">
        <v>1028066</v>
      </c>
      <c r="K39" s="272">
        <v>372430</v>
      </c>
      <c r="L39" s="272">
        <v>574413</v>
      </c>
      <c r="M39" s="272">
        <v>81171</v>
      </c>
      <c r="N39" s="272">
        <v>50229</v>
      </c>
      <c r="O39" s="272">
        <v>0</v>
      </c>
      <c r="P39" s="272">
        <v>0</v>
      </c>
      <c r="Q39" s="272">
        <v>0</v>
      </c>
      <c r="R39" s="272">
        <v>164277</v>
      </c>
      <c r="S39" s="272">
        <v>83116</v>
      </c>
      <c r="T39" s="455">
        <f t="shared" si="2"/>
        <v>239043</v>
      </c>
      <c r="U39" s="272">
        <v>87794</v>
      </c>
      <c r="V39" s="272"/>
      <c r="W39" s="272"/>
      <c r="X39" s="272"/>
      <c r="Y39" s="272">
        <v>15391</v>
      </c>
      <c r="Z39" s="272">
        <v>159</v>
      </c>
      <c r="AA39" s="272">
        <v>135699</v>
      </c>
      <c r="AB39" s="272"/>
      <c r="AC39" s="272">
        <v>1729649</v>
      </c>
      <c r="AD39" s="272">
        <v>1482793</v>
      </c>
      <c r="AE39" s="272">
        <v>246856</v>
      </c>
      <c r="AF39" s="272">
        <v>6035</v>
      </c>
      <c r="AG39" s="272">
        <v>26445</v>
      </c>
      <c r="AH39" s="455">
        <f t="shared" si="3"/>
        <v>171308</v>
      </c>
      <c r="AI39" s="272">
        <v>151885</v>
      </c>
      <c r="AJ39" s="272">
        <v>19423</v>
      </c>
      <c r="AK39" s="272">
        <v>288813</v>
      </c>
      <c r="AL39" s="455">
        <f t="shared" si="4"/>
        <v>39324</v>
      </c>
      <c r="AM39" s="272">
        <v>0</v>
      </c>
      <c r="AN39" s="272">
        <v>11491</v>
      </c>
      <c r="AO39" s="272">
        <v>0</v>
      </c>
      <c r="AP39" s="272">
        <v>27833</v>
      </c>
      <c r="AQ39" s="272">
        <v>162041</v>
      </c>
      <c r="AR39" s="272">
        <v>0</v>
      </c>
      <c r="AS39" s="272">
        <v>0</v>
      </c>
      <c r="AT39" s="272">
        <v>442642</v>
      </c>
      <c r="AU39" s="272">
        <v>173566</v>
      </c>
      <c r="AV39" s="272">
        <v>10541</v>
      </c>
      <c r="AW39" s="272">
        <v>23630</v>
      </c>
      <c r="AX39" s="272">
        <v>269076</v>
      </c>
      <c r="AY39" s="272">
        <v>96559</v>
      </c>
      <c r="AZ39" s="272">
        <v>24451</v>
      </c>
      <c r="BA39" s="272">
        <v>0</v>
      </c>
      <c r="BB39" s="272">
        <v>1807</v>
      </c>
      <c r="BC39" s="272">
        <v>192818</v>
      </c>
      <c r="BD39" s="272">
        <v>128222</v>
      </c>
      <c r="BE39" s="272">
        <v>3937</v>
      </c>
      <c r="BF39" s="272">
        <v>60160</v>
      </c>
      <c r="BG39" s="272">
        <v>0</v>
      </c>
      <c r="BH39" s="272">
        <v>181349</v>
      </c>
      <c r="BI39" s="272">
        <v>179574</v>
      </c>
      <c r="BJ39" s="272">
        <v>87153</v>
      </c>
      <c r="BK39" s="272">
        <v>542</v>
      </c>
      <c r="BL39" s="272">
        <v>0</v>
      </c>
      <c r="BM39" s="272">
        <v>0</v>
      </c>
      <c r="BN39" s="272">
        <v>662300</v>
      </c>
      <c r="BO39" s="455">
        <f t="shared" si="5"/>
        <v>252500</v>
      </c>
      <c r="BP39" s="455">
        <f t="shared" si="6"/>
        <v>409800</v>
      </c>
      <c r="BQ39" s="272">
        <v>409800</v>
      </c>
      <c r="BR39" s="272"/>
      <c r="BS39" s="272"/>
      <c r="BT39" s="272">
        <v>0</v>
      </c>
      <c r="BU39" s="272">
        <v>7494496</v>
      </c>
      <c r="BV39" s="272"/>
      <c r="BW39" s="272">
        <v>2492257</v>
      </c>
      <c r="BX39" s="272">
        <v>1630764</v>
      </c>
      <c r="BY39" s="272">
        <v>163317</v>
      </c>
      <c r="BZ39" s="272">
        <v>267439</v>
      </c>
      <c r="CA39" s="272">
        <v>227665</v>
      </c>
      <c r="CB39" s="272">
        <v>57932</v>
      </c>
      <c r="CC39" s="272">
        <v>154857</v>
      </c>
      <c r="CD39" s="272">
        <v>12650</v>
      </c>
      <c r="CE39" s="272">
        <v>0</v>
      </c>
      <c r="CF39" s="272">
        <v>0</v>
      </c>
      <c r="CG39" s="272">
        <v>2188</v>
      </c>
      <c r="CH39" s="272">
        <v>668947</v>
      </c>
      <c r="CI39" s="272">
        <v>420274</v>
      </c>
      <c r="CJ39" s="455">
        <f t="shared" si="7"/>
        <v>248673</v>
      </c>
      <c r="CK39" s="272">
        <v>1098530</v>
      </c>
      <c r="CL39" s="272">
        <v>491097</v>
      </c>
      <c r="CM39" s="272">
        <v>22232</v>
      </c>
      <c r="CN39" s="272">
        <v>339073</v>
      </c>
      <c r="CO39" s="272">
        <v>244667</v>
      </c>
      <c r="CP39" s="272">
        <v>607862</v>
      </c>
      <c r="CQ39" s="272">
        <v>337729</v>
      </c>
      <c r="CR39" s="272">
        <v>111960</v>
      </c>
      <c r="CS39" s="272">
        <v>111184</v>
      </c>
      <c r="CT39" s="455">
        <f t="shared" si="8"/>
        <v>39774</v>
      </c>
      <c r="CU39" s="272">
        <v>39774</v>
      </c>
      <c r="CV39" s="272">
        <v>0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989946</v>
      </c>
      <c r="DD39" s="272">
        <v>370468</v>
      </c>
      <c r="DE39" s="272">
        <v>601492</v>
      </c>
      <c r="DF39" s="272">
        <v>17986</v>
      </c>
      <c r="DG39" s="272">
        <v>0</v>
      </c>
      <c r="DH39" s="272">
        <v>78447</v>
      </c>
      <c r="DI39" s="272">
        <v>252068</v>
      </c>
      <c r="DJ39" s="272">
        <v>91900</v>
      </c>
      <c r="DK39" s="272">
        <v>4900</v>
      </c>
      <c r="DL39" s="272">
        <v>155268</v>
      </c>
      <c r="DM39" s="272">
        <v>0</v>
      </c>
      <c r="DN39" s="272">
        <v>0</v>
      </c>
      <c r="DO39" s="272">
        <v>0</v>
      </c>
      <c r="DP39" s="272">
        <v>0</v>
      </c>
      <c r="DQ39" s="272">
        <v>1954</v>
      </c>
      <c r="DR39" s="272">
        <v>0</v>
      </c>
      <c r="DS39" s="272">
        <v>0</v>
      </c>
      <c r="DT39" s="272">
        <v>565514</v>
      </c>
      <c r="DU39" s="272">
        <v>245278</v>
      </c>
      <c r="DV39" s="455">
        <f t="shared" si="11"/>
        <v>0</v>
      </c>
      <c r="DW39" s="272">
        <v>0</v>
      </c>
      <c r="DX39" s="272">
        <v>0</v>
      </c>
      <c r="DY39" s="272">
        <v>0</v>
      </c>
      <c r="DZ39" s="272">
        <v>85800</v>
      </c>
      <c r="EA39" s="272">
        <v>87467</v>
      </c>
      <c r="EB39" s="272"/>
      <c r="EC39" s="272">
        <v>0</v>
      </c>
      <c r="ED39" s="272">
        <v>7227857</v>
      </c>
      <c r="EF39" s="272">
        <v>266639</v>
      </c>
      <c r="EG39" s="272">
        <v>60139</v>
      </c>
      <c r="EH39" s="272">
        <v>206500</v>
      </c>
      <c r="EI39" s="272">
        <v>26926</v>
      </c>
      <c r="EJ39" s="272">
        <v>-9396</v>
      </c>
      <c r="EL39" s="272"/>
      <c r="EM39" s="272">
        <v>27219</v>
      </c>
      <c r="EN39" s="272">
        <v>192319</v>
      </c>
      <c r="EO39" s="272">
        <v>2221</v>
      </c>
      <c r="EP39" s="455">
        <f t="shared" si="12"/>
        <v>223795</v>
      </c>
      <c r="EQ39" s="272">
        <v>5415410</v>
      </c>
      <c r="ER39" s="272">
        <v>-822100</v>
      </c>
      <c r="ES39" s="272">
        <v>2245931</v>
      </c>
      <c r="ET39" s="272">
        <v>1407908</v>
      </c>
      <c r="EU39" s="272">
        <v>64630</v>
      </c>
      <c r="EV39" s="272">
        <v>651266</v>
      </c>
      <c r="EW39" s="455">
        <f t="shared" si="13"/>
        <v>512971</v>
      </c>
      <c r="EX39" s="272">
        <v>489133</v>
      </c>
      <c r="EY39" s="272">
        <v>40377</v>
      </c>
      <c r="EZ39" s="272">
        <v>448570</v>
      </c>
      <c r="FA39" s="272">
        <v>23838</v>
      </c>
      <c r="FB39" s="272"/>
      <c r="FC39" s="272">
        <v>911728</v>
      </c>
      <c r="FD39" s="272">
        <v>589537</v>
      </c>
      <c r="FE39" s="272">
        <v>337729</v>
      </c>
      <c r="FF39" s="272">
        <v>520736</v>
      </c>
      <c r="FG39" s="455">
        <f t="shared" si="14"/>
        <v>474158</v>
      </c>
      <c r="FH39" s="272">
        <v>5970957</v>
      </c>
      <c r="FI39" s="384">
        <f t="shared" si="15"/>
        <v>3.7</v>
      </c>
      <c r="FJ39" s="272">
        <v>5577722</v>
      </c>
      <c r="FK39" s="272"/>
      <c r="FL39" s="272">
        <v>3095873</v>
      </c>
      <c r="FM39" s="272">
        <v>4580398</v>
      </c>
      <c r="FN39" s="460">
        <v>0.68500000000000005</v>
      </c>
      <c r="FO39" s="388">
        <v>89.3</v>
      </c>
      <c r="FP39" s="388">
        <v>41.7</v>
      </c>
      <c r="FQ39" s="388">
        <v>1.2</v>
      </c>
      <c r="FR39" s="388">
        <v>12.6</v>
      </c>
      <c r="FS39" s="388">
        <v>15.5</v>
      </c>
      <c r="FT39" s="388">
        <v>10.7</v>
      </c>
      <c r="FU39" s="388">
        <v>2.9</v>
      </c>
      <c r="FV39" s="388">
        <v>7.1</v>
      </c>
      <c r="FW39" s="272">
        <v>5929372</v>
      </c>
      <c r="FX39" s="384">
        <f t="shared" si="16"/>
        <v>106.3</v>
      </c>
      <c r="FY39" s="272">
        <v>4025199</v>
      </c>
      <c r="FZ39" s="272">
        <v>798878</v>
      </c>
      <c r="GA39" s="272">
        <v>460270</v>
      </c>
      <c r="GB39" s="272">
        <v>2766051</v>
      </c>
      <c r="GC39" s="272"/>
      <c r="GD39" s="272"/>
      <c r="GE39" s="384"/>
      <c r="GF39" s="388">
        <v>98.8</v>
      </c>
      <c r="GG39" s="388">
        <v>18.7</v>
      </c>
      <c r="GH39" s="388">
        <v>95.1</v>
      </c>
      <c r="GI39" s="272">
        <v>270</v>
      </c>
    </row>
    <row r="40" spans="2:191" x14ac:dyDescent="0.15">
      <c r="B40" s="89" t="s">
        <v>73</v>
      </c>
      <c r="C40" s="272">
        <v>1274071</v>
      </c>
      <c r="D40" s="455">
        <f t="shared" si="0"/>
        <v>616488</v>
      </c>
      <c r="E40" s="272">
        <v>9062</v>
      </c>
      <c r="F40" s="272">
        <v>607426</v>
      </c>
      <c r="G40" s="455">
        <f t="shared" si="1"/>
        <v>41480</v>
      </c>
      <c r="H40" s="272">
        <v>14890</v>
      </c>
      <c r="I40" s="272">
        <v>26590</v>
      </c>
      <c r="J40" s="272">
        <v>546266</v>
      </c>
      <c r="K40" s="272">
        <v>148427</v>
      </c>
      <c r="L40" s="272">
        <v>304826</v>
      </c>
      <c r="M40" s="272">
        <v>92850</v>
      </c>
      <c r="N40" s="272">
        <v>44679</v>
      </c>
      <c r="O40" s="272">
        <v>0</v>
      </c>
      <c r="P40" s="272">
        <v>0</v>
      </c>
      <c r="Q40" s="272">
        <v>0</v>
      </c>
      <c r="R40" s="272">
        <v>119824</v>
      </c>
      <c r="S40" s="272">
        <v>52566</v>
      </c>
      <c r="T40" s="455">
        <f t="shared" si="2"/>
        <v>165300</v>
      </c>
      <c r="U40" s="272">
        <v>24109</v>
      </c>
      <c r="V40" s="272"/>
      <c r="W40" s="272"/>
      <c r="X40" s="272"/>
      <c r="Y40" s="272">
        <v>27611</v>
      </c>
      <c r="Z40" s="272">
        <v>731</v>
      </c>
      <c r="AA40" s="272">
        <v>112849</v>
      </c>
      <c r="AB40" s="272"/>
      <c r="AC40" s="272">
        <v>1999500</v>
      </c>
      <c r="AD40" s="272">
        <v>1749935</v>
      </c>
      <c r="AE40" s="272">
        <v>249565</v>
      </c>
      <c r="AF40" s="272">
        <v>2811</v>
      </c>
      <c r="AG40" s="272">
        <v>172511</v>
      </c>
      <c r="AH40" s="455">
        <f t="shared" si="3"/>
        <v>122281</v>
      </c>
      <c r="AI40" s="272">
        <v>64527</v>
      </c>
      <c r="AJ40" s="272">
        <v>57754</v>
      </c>
      <c r="AK40" s="272">
        <v>142449</v>
      </c>
      <c r="AL40" s="455">
        <f t="shared" si="4"/>
        <v>43502</v>
      </c>
      <c r="AM40" s="272">
        <v>0</v>
      </c>
      <c r="AN40" s="272">
        <v>28346</v>
      </c>
      <c r="AO40" s="272">
        <v>0</v>
      </c>
      <c r="AP40" s="272">
        <v>15156</v>
      </c>
      <c r="AQ40" s="272">
        <v>60843</v>
      </c>
      <c r="AR40" s="272">
        <v>0</v>
      </c>
      <c r="AS40" s="272">
        <v>0</v>
      </c>
      <c r="AT40" s="272">
        <v>1311319</v>
      </c>
      <c r="AU40" s="272">
        <v>543087</v>
      </c>
      <c r="AV40" s="272">
        <v>6766</v>
      </c>
      <c r="AW40" s="272">
        <v>447635</v>
      </c>
      <c r="AX40" s="272">
        <v>768232</v>
      </c>
      <c r="AY40" s="272">
        <v>596676</v>
      </c>
      <c r="AZ40" s="272">
        <v>22704</v>
      </c>
      <c r="BA40" s="272">
        <v>3841</v>
      </c>
      <c r="BB40" s="272">
        <v>2494</v>
      </c>
      <c r="BC40" s="272">
        <v>254376</v>
      </c>
      <c r="BD40" s="272">
        <v>180000</v>
      </c>
      <c r="BE40" s="272">
        <v>0</v>
      </c>
      <c r="BF40" s="272">
        <v>47000</v>
      </c>
      <c r="BG40" s="272">
        <v>0</v>
      </c>
      <c r="BH40" s="272">
        <v>167433</v>
      </c>
      <c r="BI40" s="272">
        <v>152440</v>
      </c>
      <c r="BJ40" s="272">
        <v>37536</v>
      </c>
      <c r="BK40" s="272">
        <v>1435</v>
      </c>
      <c r="BL40" s="272">
        <v>0</v>
      </c>
      <c r="BM40" s="272">
        <v>0</v>
      </c>
      <c r="BN40" s="272">
        <v>272147</v>
      </c>
      <c r="BO40" s="455">
        <f t="shared" si="5"/>
        <v>139847</v>
      </c>
      <c r="BP40" s="455">
        <f t="shared" si="6"/>
        <v>132300</v>
      </c>
      <c r="BQ40" s="272">
        <v>132300</v>
      </c>
      <c r="BR40" s="272"/>
      <c r="BS40" s="272"/>
      <c r="BT40" s="272">
        <v>0</v>
      </c>
      <c r="BU40" s="272">
        <v>6066756</v>
      </c>
      <c r="BV40" s="272"/>
      <c r="BW40" s="272">
        <v>1350486</v>
      </c>
      <c r="BX40" s="272">
        <v>925039</v>
      </c>
      <c r="BY40" s="272">
        <v>37870</v>
      </c>
      <c r="BZ40" s="272">
        <v>83375</v>
      </c>
      <c r="CA40" s="272">
        <v>177151</v>
      </c>
      <c r="CB40" s="272">
        <v>41640</v>
      </c>
      <c r="CC40" s="272">
        <v>78425</v>
      </c>
      <c r="CD40" s="272">
        <v>40071</v>
      </c>
      <c r="CE40" s="272">
        <v>0</v>
      </c>
      <c r="CF40" s="272">
        <v>4533</v>
      </c>
      <c r="CG40" s="272">
        <v>12482</v>
      </c>
      <c r="CH40" s="272">
        <v>397805</v>
      </c>
      <c r="CI40" s="272">
        <v>268991</v>
      </c>
      <c r="CJ40" s="455">
        <f t="shared" si="7"/>
        <v>128814</v>
      </c>
      <c r="CK40" s="272">
        <v>794070</v>
      </c>
      <c r="CL40" s="272">
        <v>437825</v>
      </c>
      <c r="CM40" s="272">
        <v>23951</v>
      </c>
      <c r="CN40" s="272">
        <v>212646</v>
      </c>
      <c r="CO40" s="272">
        <v>43586</v>
      </c>
      <c r="CP40" s="272">
        <v>468424</v>
      </c>
      <c r="CQ40" s="272">
        <v>150990</v>
      </c>
      <c r="CR40" s="272">
        <v>135754</v>
      </c>
      <c r="CS40" s="272">
        <v>113158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2171584</v>
      </c>
      <c r="DD40" s="272">
        <v>861314</v>
      </c>
      <c r="DE40" s="272">
        <v>1297785</v>
      </c>
      <c r="DF40" s="272">
        <v>12485</v>
      </c>
      <c r="DG40" s="272">
        <v>0</v>
      </c>
      <c r="DH40" s="272">
        <v>3478</v>
      </c>
      <c r="DI40" s="272">
        <v>257265</v>
      </c>
      <c r="DJ40" s="272">
        <v>163676</v>
      </c>
      <c r="DK40" s="272">
        <v>0</v>
      </c>
      <c r="DL40" s="272">
        <v>93589</v>
      </c>
      <c r="DM40" s="272">
        <v>500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216823</v>
      </c>
      <c r="DU40" s="272">
        <v>62794</v>
      </c>
      <c r="DV40" s="455">
        <f t="shared" si="11"/>
        <v>0</v>
      </c>
      <c r="DW40" s="272">
        <v>0</v>
      </c>
      <c r="DX40" s="272">
        <v>0</v>
      </c>
      <c r="DY40" s="272">
        <v>0</v>
      </c>
      <c r="DZ40" s="272">
        <v>83090</v>
      </c>
      <c r="EA40" s="272">
        <v>60700</v>
      </c>
      <c r="EB40" s="272"/>
      <c r="EC40" s="272">
        <v>0</v>
      </c>
      <c r="ED40" s="272">
        <v>5881172</v>
      </c>
      <c r="EF40" s="272">
        <v>185584</v>
      </c>
      <c r="EG40" s="272">
        <v>11186</v>
      </c>
      <c r="EH40" s="272">
        <v>174398</v>
      </c>
      <c r="EI40" s="272">
        <v>21958</v>
      </c>
      <c r="EJ40" s="272">
        <v>8976</v>
      </c>
      <c r="EL40" s="272"/>
      <c r="EM40" s="272">
        <v>14888</v>
      </c>
      <c r="EN40" s="272">
        <v>244376</v>
      </c>
      <c r="EO40" s="272">
        <v>4314</v>
      </c>
      <c r="EP40" s="455">
        <f t="shared" si="12"/>
        <v>178616</v>
      </c>
      <c r="EQ40" s="272">
        <v>3561506</v>
      </c>
      <c r="ER40" s="272">
        <v>-556795</v>
      </c>
      <c r="ES40" s="272">
        <v>1258307</v>
      </c>
      <c r="ET40" s="272">
        <v>839080</v>
      </c>
      <c r="EU40" s="272">
        <v>73464</v>
      </c>
      <c r="EV40" s="272">
        <v>385114</v>
      </c>
      <c r="EW40" s="455">
        <f t="shared" si="13"/>
        <v>746606</v>
      </c>
      <c r="EX40" s="272">
        <v>746416</v>
      </c>
      <c r="EY40" s="272">
        <v>70997</v>
      </c>
      <c r="EZ40" s="272">
        <v>667534</v>
      </c>
      <c r="FA40" s="272">
        <v>190</v>
      </c>
      <c r="FB40" s="272"/>
      <c r="FC40" s="272">
        <v>605412</v>
      </c>
      <c r="FD40" s="272">
        <v>376302</v>
      </c>
      <c r="FE40" s="272">
        <v>150990</v>
      </c>
      <c r="FF40" s="272">
        <v>205097</v>
      </c>
      <c r="FG40" s="455">
        <f t="shared" si="14"/>
        <v>282415</v>
      </c>
      <c r="FH40" s="272">
        <v>3932717</v>
      </c>
      <c r="FI40" s="384">
        <f t="shared" si="15"/>
        <v>5.2</v>
      </c>
      <c r="FJ40" s="272">
        <v>3374327</v>
      </c>
      <c r="FK40" s="272"/>
      <c r="FL40" s="272">
        <v>1238660</v>
      </c>
      <c r="FM40" s="272">
        <v>2988595</v>
      </c>
      <c r="FN40" s="460">
        <v>0.40899999999999997</v>
      </c>
      <c r="FO40" s="388">
        <v>79.3</v>
      </c>
      <c r="FP40" s="388">
        <v>36.799999999999997</v>
      </c>
      <c r="FQ40" s="388">
        <v>2.2000000000000002</v>
      </c>
      <c r="FR40" s="388">
        <v>11.5</v>
      </c>
      <c r="FS40" s="388">
        <v>14.9</v>
      </c>
      <c r="FT40" s="388">
        <v>9.1</v>
      </c>
      <c r="FU40" s="388">
        <v>3.5</v>
      </c>
      <c r="FV40" s="388">
        <v>8</v>
      </c>
      <c r="FW40" s="272">
        <v>2630879</v>
      </c>
      <c r="FX40" s="384">
        <f t="shared" si="16"/>
        <v>78</v>
      </c>
      <c r="FY40" s="272">
        <v>2013702</v>
      </c>
      <c r="FZ40" s="272">
        <v>1347359</v>
      </c>
      <c r="GA40" s="272"/>
      <c r="GB40" s="272">
        <v>666343</v>
      </c>
      <c r="GC40" s="272"/>
      <c r="GD40" s="272">
        <v>48964</v>
      </c>
      <c r="GE40" s="384">
        <f>ROUND(GD40/FJ40*100,1)</f>
        <v>1.5</v>
      </c>
      <c r="GF40" s="388">
        <v>96.6</v>
      </c>
      <c r="GG40" s="388">
        <v>14.9</v>
      </c>
      <c r="GH40" s="388">
        <v>90.1</v>
      </c>
      <c r="GI40" s="272">
        <v>168</v>
      </c>
    </row>
    <row r="41" spans="2:191" x14ac:dyDescent="0.15">
      <c r="B41" s="89" t="s">
        <v>75</v>
      </c>
      <c r="C41" s="272">
        <v>2676480</v>
      </c>
      <c r="D41" s="455">
        <f t="shared" si="0"/>
        <v>689970</v>
      </c>
      <c r="E41" s="272">
        <v>12296</v>
      </c>
      <c r="F41" s="272">
        <v>677674</v>
      </c>
      <c r="G41" s="455">
        <f t="shared" si="1"/>
        <v>265214</v>
      </c>
      <c r="H41" s="272">
        <v>43257</v>
      </c>
      <c r="I41" s="272">
        <v>221957</v>
      </c>
      <c r="J41" s="272">
        <v>1300950</v>
      </c>
      <c r="K41" s="272">
        <v>735967</v>
      </c>
      <c r="L41" s="272">
        <v>368456</v>
      </c>
      <c r="M41" s="272">
        <v>190708</v>
      </c>
      <c r="N41" s="272">
        <v>98802</v>
      </c>
      <c r="O41" s="272">
        <v>306197</v>
      </c>
      <c r="P41" s="272">
        <v>223774</v>
      </c>
      <c r="Q41" s="272">
        <v>82423</v>
      </c>
      <c r="R41" s="272">
        <v>131725</v>
      </c>
      <c r="S41" s="272">
        <v>92953</v>
      </c>
      <c r="T41" s="455">
        <f t="shared" si="2"/>
        <v>100400</v>
      </c>
      <c r="U41" s="272">
        <v>35594</v>
      </c>
      <c r="V41" s="272"/>
      <c r="W41" s="272"/>
      <c r="X41" s="272"/>
      <c r="Y41" s="272">
        <v>0</v>
      </c>
      <c r="Z41" s="272">
        <v>0</v>
      </c>
      <c r="AA41" s="272">
        <v>64806</v>
      </c>
      <c r="AB41" s="272"/>
      <c r="AC41" s="272">
        <v>1628622</v>
      </c>
      <c r="AD41" s="272">
        <v>1307879</v>
      </c>
      <c r="AE41" s="272">
        <v>320743</v>
      </c>
      <c r="AF41" s="272">
        <v>4296</v>
      </c>
      <c r="AG41" s="272">
        <v>15682</v>
      </c>
      <c r="AH41" s="455">
        <f t="shared" si="3"/>
        <v>118117</v>
      </c>
      <c r="AI41" s="272">
        <v>100595</v>
      </c>
      <c r="AJ41" s="272">
        <v>17522</v>
      </c>
      <c r="AK41" s="272">
        <v>164787</v>
      </c>
      <c r="AL41" s="455">
        <f t="shared" si="4"/>
        <v>98647</v>
      </c>
      <c r="AM41" s="272">
        <v>0</v>
      </c>
      <c r="AN41" s="272">
        <v>58634</v>
      </c>
      <c r="AO41" s="272">
        <v>0</v>
      </c>
      <c r="AP41" s="272">
        <v>40013</v>
      </c>
      <c r="AQ41" s="272">
        <v>12500</v>
      </c>
      <c r="AR41" s="272">
        <v>0</v>
      </c>
      <c r="AS41" s="272">
        <v>0</v>
      </c>
      <c r="AT41" s="272">
        <v>472446</v>
      </c>
      <c r="AU41" s="272">
        <v>100899</v>
      </c>
      <c r="AV41" s="272">
        <v>21104</v>
      </c>
      <c r="AW41" s="272">
        <v>0</v>
      </c>
      <c r="AX41" s="272">
        <v>371547</v>
      </c>
      <c r="AY41" s="272">
        <v>207800</v>
      </c>
      <c r="AZ41" s="272">
        <v>32656</v>
      </c>
      <c r="BA41" s="272">
        <v>0</v>
      </c>
      <c r="BB41" s="272">
        <v>7340</v>
      </c>
      <c r="BC41" s="272">
        <v>22</v>
      </c>
      <c r="BD41" s="272">
        <v>0</v>
      </c>
      <c r="BE41" s="272">
        <v>0</v>
      </c>
      <c r="BF41" s="272">
        <v>0</v>
      </c>
      <c r="BG41" s="272">
        <v>0</v>
      </c>
      <c r="BH41" s="272">
        <v>212123</v>
      </c>
      <c r="BI41" s="272">
        <v>191505</v>
      </c>
      <c r="BJ41" s="272">
        <v>350090</v>
      </c>
      <c r="BK41" s="272">
        <v>223550</v>
      </c>
      <c r="BL41" s="272">
        <v>0</v>
      </c>
      <c r="BM41" s="272">
        <v>0</v>
      </c>
      <c r="BN41" s="272">
        <v>1554100</v>
      </c>
      <c r="BO41" s="455">
        <f t="shared" si="5"/>
        <v>1397900</v>
      </c>
      <c r="BP41" s="455">
        <f t="shared" si="6"/>
        <v>156200</v>
      </c>
      <c r="BQ41" s="272">
        <v>156200</v>
      </c>
      <c r="BR41" s="272"/>
      <c r="BS41" s="272"/>
      <c r="BT41" s="272">
        <v>0</v>
      </c>
      <c r="BU41" s="272">
        <v>7468886</v>
      </c>
      <c r="BV41" s="272"/>
      <c r="BW41" s="272">
        <v>1978484</v>
      </c>
      <c r="BX41" s="272">
        <v>1400912</v>
      </c>
      <c r="BY41" s="272">
        <v>152140</v>
      </c>
      <c r="BZ41" s="272">
        <v>12507</v>
      </c>
      <c r="CA41" s="272">
        <v>284090</v>
      </c>
      <c r="CB41" s="272">
        <v>68941</v>
      </c>
      <c r="CC41" s="272">
        <v>189530</v>
      </c>
      <c r="CD41" s="272">
        <v>21380</v>
      </c>
      <c r="CE41" s="272">
        <v>0</v>
      </c>
      <c r="CF41" s="272">
        <v>0</v>
      </c>
      <c r="CG41" s="272">
        <v>4239</v>
      </c>
      <c r="CH41" s="272">
        <v>652677</v>
      </c>
      <c r="CI41" s="272">
        <v>427148</v>
      </c>
      <c r="CJ41" s="455">
        <f t="shared" si="7"/>
        <v>225529</v>
      </c>
      <c r="CK41" s="272">
        <v>893353</v>
      </c>
      <c r="CL41" s="272">
        <v>462925</v>
      </c>
      <c r="CM41" s="272">
        <v>81243</v>
      </c>
      <c r="CN41" s="272">
        <v>226464</v>
      </c>
      <c r="CO41" s="272">
        <v>37062</v>
      </c>
      <c r="CP41" s="272">
        <v>449986</v>
      </c>
      <c r="CQ41" s="272">
        <v>4094</v>
      </c>
      <c r="CR41" s="272">
        <v>55261</v>
      </c>
      <c r="CS41" s="272">
        <v>55261</v>
      </c>
      <c r="CT41" s="455">
        <f t="shared" si="8"/>
        <v>192049</v>
      </c>
      <c r="CU41" s="272">
        <v>101395</v>
      </c>
      <c r="CV41" s="272">
        <v>90654</v>
      </c>
      <c r="CW41" s="455">
        <f t="shared" si="9"/>
        <v>132049</v>
      </c>
      <c r="CX41" s="272">
        <v>100151</v>
      </c>
      <c r="CY41" s="272">
        <v>31898</v>
      </c>
      <c r="CZ41" s="455">
        <f t="shared" si="10"/>
        <v>0</v>
      </c>
      <c r="DA41" s="272">
        <v>0</v>
      </c>
      <c r="DB41" s="272">
        <v>0</v>
      </c>
      <c r="DC41" s="272">
        <v>2095277</v>
      </c>
      <c r="DD41" s="272">
        <v>25000</v>
      </c>
      <c r="DE41" s="272">
        <v>2070277</v>
      </c>
      <c r="DF41" s="272">
        <v>0</v>
      </c>
      <c r="DG41" s="272">
        <v>0</v>
      </c>
      <c r="DH41" s="272">
        <v>495</v>
      </c>
      <c r="DI41" s="272">
        <v>182713</v>
      </c>
      <c r="DJ41" s="272">
        <v>162869</v>
      </c>
      <c r="DK41" s="272">
        <v>0</v>
      </c>
      <c r="DL41" s="272">
        <v>19844</v>
      </c>
      <c r="DM41" s="272">
        <v>0</v>
      </c>
      <c r="DN41" s="272">
        <v>0</v>
      </c>
      <c r="DO41" s="272">
        <v>0</v>
      </c>
      <c r="DP41" s="272">
        <v>0</v>
      </c>
      <c r="DQ41" s="272">
        <v>336</v>
      </c>
      <c r="DR41" s="272">
        <v>0</v>
      </c>
      <c r="DS41" s="272">
        <v>0</v>
      </c>
      <c r="DT41" s="272">
        <v>881957</v>
      </c>
      <c r="DU41" s="272">
        <v>627000</v>
      </c>
      <c r="DV41" s="455">
        <f t="shared" si="11"/>
        <v>0</v>
      </c>
      <c r="DW41" s="272">
        <v>0</v>
      </c>
      <c r="DX41" s="272">
        <v>0</v>
      </c>
      <c r="DY41" s="272">
        <v>0</v>
      </c>
      <c r="DZ41" s="272">
        <v>174866</v>
      </c>
      <c r="EA41" s="272">
        <v>80091</v>
      </c>
      <c r="EB41" s="272"/>
      <c r="EC41" s="272">
        <v>0</v>
      </c>
      <c r="ED41" s="272">
        <v>7456430</v>
      </c>
      <c r="EF41" s="272">
        <v>12456</v>
      </c>
      <c r="EG41" s="272">
        <v>2318</v>
      </c>
      <c r="EH41" s="272">
        <v>10138</v>
      </c>
      <c r="EI41" s="272">
        <v>-181367</v>
      </c>
      <c r="EJ41" s="272">
        <v>-18498</v>
      </c>
      <c r="EL41" s="272"/>
      <c r="EM41" s="272">
        <v>16414</v>
      </c>
      <c r="EN41" s="272">
        <v>22</v>
      </c>
      <c r="EO41" s="272">
        <v>585</v>
      </c>
      <c r="EP41" s="455">
        <f t="shared" si="12"/>
        <v>228369</v>
      </c>
      <c r="EQ41" s="272">
        <v>4541523</v>
      </c>
      <c r="ER41" s="272">
        <v>-380880</v>
      </c>
      <c r="ES41" s="272">
        <v>1813971</v>
      </c>
      <c r="ET41" s="272">
        <v>1256503</v>
      </c>
      <c r="EU41" s="272">
        <v>89014</v>
      </c>
      <c r="EV41" s="272">
        <v>429433</v>
      </c>
      <c r="EW41" s="455">
        <f t="shared" si="13"/>
        <v>402278</v>
      </c>
      <c r="EX41" s="272">
        <v>401783</v>
      </c>
      <c r="EY41" s="272">
        <v>0</v>
      </c>
      <c r="EZ41" s="272">
        <v>401783</v>
      </c>
      <c r="FA41" s="272">
        <v>495</v>
      </c>
      <c r="FB41" s="272"/>
      <c r="FC41" s="272">
        <v>727652</v>
      </c>
      <c r="FD41" s="272">
        <v>404256</v>
      </c>
      <c r="FE41" s="272">
        <v>4094</v>
      </c>
      <c r="FF41" s="272">
        <v>859562</v>
      </c>
      <c r="FG41" s="455">
        <f t="shared" si="14"/>
        <v>183781</v>
      </c>
      <c r="FH41" s="272">
        <v>4909947</v>
      </c>
      <c r="FI41" s="384">
        <f t="shared" si="15"/>
        <v>0.3</v>
      </c>
      <c r="FJ41" s="272">
        <v>4032426</v>
      </c>
      <c r="FK41" s="272"/>
      <c r="FL41" s="272">
        <v>2057266</v>
      </c>
      <c r="FM41" s="272">
        <v>3363644</v>
      </c>
      <c r="FN41" s="460">
        <v>0.59299999999999997</v>
      </c>
      <c r="FO41" s="388">
        <v>95.4</v>
      </c>
      <c r="FP41" s="388">
        <v>44.6</v>
      </c>
      <c r="FQ41" s="388">
        <v>2.2999999999999998</v>
      </c>
      <c r="FR41" s="388">
        <v>10.7</v>
      </c>
      <c r="FS41" s="388">
        <v>17.100000000000001</v>
      </c>
      <c r="FT41" s="388">
        <v>7.8</v>
      </c>
      <c r="FU41" s="388">
        <v>12.1</v>
      </c>
      <c r="FV41" s="388">
        <v>7.7</v>
      </c>
      <c r="FW41" s="272">
        <v>5710704</v>
      </c>
      <c r="FX41" s="384">
        <f t="shared" si="16"/>
        <v>141.6</v>
      </c>
      <c r="FY41" s="272">
        <v>2807580</v>
      </c>
      <c r="FZ41" s="272">
        <v>1578574</v>
      </c>
      <c r="GA41" s="272"/>
      <c r="GB41" s="272">
        <v>1229006</v>
      </c>
      <c r="GC41" s="272"/>
      <c r="GD41" s="272"/>
      <c r="GE41" s="384"/>
      <c r="GF41" s="388">
        <v>96.7</v>
      </c>
      <c r="GG41" s="388">
        <v>20.6</v>
      </c>
      <c r="GH41" s="388">
        <v>90.1</v>
      </c>
      <c r="GI41" s="272">
        <v>208</v>
      </c>
    </row>
    <row r="42" spans="2:191" x14ac:dyDescent="0.15">
      <c r="B42" s="89" t="s">
        <v>77</v>
      </c>
      <c r="C42" s="272">
        <v>4749412</v>
      </c>
      <c r="D42" s="455">
        <f t="shared" si="0"/>
        <v>2393616</v>
      </c>
      <c r="E42" s="272">
        <v>28090</v>
      </c>
      <c r="F42" s="272">
        <v>2365526</v>
      </c>
      <c r="G42" s="455">
        <f t="shared" si="1"/>
        <v>277182</v>
      </c>
      <c r="H42" s="272">
        <v>48150</v>
      </c>
      <c r="I42" s="272">
        <v>229032</v>
      </c>
      <c r="J42" s="272">
        <v>1901868</v>
      </c>
      <c r="K42" s="272">
        <v>845321</v>
      </c>
      <c r="L42" s="272">
        <v>808445</v>
      </c>
      <c r="M42" s="272">
        <v>235798</v>
      </c>
      <c r="N42" s="272">
        <v>128965</v>
      </c>
      <c r="O42" s="272">
        <v>0</v>
      </c>
      <c r="P42" s="272">
        <v>0</v>
      </c>
      <c r="Q42" s="272">
        <v>0</v>
      </c>
      <c r="R42" s="272">
        <v>246807</v>
      </c>
      <c r="S42" s="272">
        <v>158774</v>
      </c>
      <c r="T42" s="455">
        <f t="shared" si="2"/>
        <v>273716</v>
      </c>
      <c r="U42" s="272">
        <v>101678</v>
      </c>
      <c r="V42" s="272"/>
      <c r="W42" s="272"/>
      <c r="X42" s="272"/>
      <c r="Y42" s="272">
        <v>24644</v>
      </c>
      <c r="Z42" s="272">
        <v>151</v>
      </c>
      <c r="AA42" s="272">
        <v>147243</v>
      </c>
      <c r="AB42" s="272"/>
      <c r="AC42" s="272">
        <v>1781508</v>
      </c>
      <c r="AD42" s="272">
        <v>1555630</v>
      </c>
      <c r="AE42" s="272">
        <v>225878</v>
      </c>
      <c r="AF42" s="272">
        <v>9110</v>
      </c>
      <c r="AG42" s="272">
        <v>48118</v>
      </c>
      <c r="AH42" s="455">
        <f t="shared" si="3"/>
        <v>144310</v>
      </c>
      <c r="AI42" s="272">
        <v>118828</v>
      </c>
      <c r="AJ42" s="272">
        <v>25482</v>
      </c>
      <c r="AK42" s="272">
        <v>565973</v>
      </c>
      <c r="AL42" s="455">
        <f t="shared" si="4"/>
        <v>139024</v>
      </c>
      <c r="AM42" s="272">
        <v>0</v>
      </c>
      <c r="AN42" s="272">
        <v>64285</v>
      </c>
      <c r="AO42" s="272">
        <v>0</v>
      </c>
      <c r="AP42" s="272">
        <v>74739</v>
      </c>
      <c r="AQ42" s="272">
        <v>282326</v>
      </c>
      <c r="AR42" s="272">
        <v>0</v>
      </c>
      <c r="AS42" s="272">
        <v>0</v>
      </c>
      <c r="AT42" s="272">
        <v>798428</v>
      </c>
      <c r="AU42" s="272">
        <v>209143</v>
      </c>
      <c r="AV42" s="272">
        <v>32382</v>
      </c>
      <c r="AW42" s="272">
        <v>36057</v>
      </c>
      <c r="AX42" s="272">
        <v>589285</v>
      </c>
      <c r="AY42" s="272">
        <v>337528</v>
      </c>
      <c r="AZ42" s="272">
        <v>228227</v>
      </c>
      <c r="BA42" s="272">
        <v>32009</v>
      </c>
      <c r="BB42" s="272">
        <v>834835</v>
      </c>
      <c r="BC42" s="272">
        <v>2173375</v>
      </c>
      <c r="BD42" s="272">
        <v>0</v>
      </c>
      <c r="BE42" s="272">
        <v>0</v>
      </c>
      <c r="BF42" s="272">
        <v>2170000</v>
      </c>
      <c r="BG42" s="272">
        <v>0</v>
      </c>
      <c r="BH42" s="272">
        <v>518461</v>
      </c>
      <c r="BI42" s="272">
        <v>315013</v>
      </c>
      <c r="BJ42" s="272">
        <v>53928</v>
      </c>
      <c r="BK42" s="272">
        <v>0</v>
      </c>
      <c r="BL42" s="272">
        <v>0</v>
      </c>
      <c r="BM42" s="272">
        <v>0</v>
      </c>
      <c r="BN42" s="272">
        <v>1918700</v>
      </c>
      <c r="BO42" s="455">
        <f t="shared" si="5"/>
        <v>1431000</v>
      </c>
      <c r="BP42" s="455">
        <f t="shared" si="6"/>
        <v>487700</v>
      </c>
      <c r="BQ42" s="272">
        <v>487700</v>
      </c>
      <c r="BR42" s="272"/>
      <c r="BS42" s="272"/>
      <c r="BT42" s="272">
        <v>0</v>
      </c>
      <c r="BU42" s="272">
        <v>14344908</v>
      </c>
      <c r="BV42" s="272"/>
      <c r="BW42" s="272">
        <v>3009249</v>
      </c>
      <c r="BX42" s="272">
        <v>2209022</v>
      </c>
      <c r="BY42" s="272">
        <v>218510</v>
      </c>
      <c r="BZ42" s="272">
        <v>22338</v>
      </c>
      <c r="CA42" s="272">
        <v>693813</v>
      </c>
      <c r="CB42" s="272">
        <v>95165</v>
      </c>
      <c r="CC42" s="272">
        <v>368557</v>
      </c>
      <c r="CD42" s="272">
        <v>211073</v>
      </c>
      <c r="CE42" s="272">
        <v>0</v>
      </c>
      <c r="CF42" s="272">
        <v>0</v>
      </c>
      <c r="CG42" s="272">
        <v>19018</v>
      </c>
      <c r="CH42" s="272">
        <v>1213277</v>
      </c>
      <c r="CI42" s="272">
        <v>675115</v>
      </c>
      <c r="CJ42" s="455">
        <f t="shared" si="7"/>
        <v>538162</v>
      </c>
      <c r="CK42" s="272">
        <v>1754862</v>
      </c>
      <c r="CL42" s="272">
        <v>680762</v>
      </c>
      <c r="CM42" s="272">
        <v>130243</v>
      </c>
      <c r="CN42" s="272">
        <v>466624</v>
      </c>
      <c r="CO42" s="272">
        <v>170823</v>
      </c>
      <c r="CP42" s="272">
        <v>381540</v>
      </c>
      <c r="CQ42" s="272">
        <v>1390</v>
      </c>
      <c r="CR42" s="272">
        <v>188110</v>
      </c>
      <c r="CS42" s="272">
        <v>188110</v>
      </c>
      <c r="CT42" s="455">
        <f t="shared" si="8"/>
        <v>19760</v>
      </c>
      <c r="CU42" s="272">
        <v>6777</v>
      </c>
      <c r="CV42" s="272">
        <v>12983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4122769</v>
      </c>
      <c r="DD42" s="272">
        <v>717655</v>
      </c>
      <c r="DE42" s="272">
        <v>3355180</v>
      </c>
      <c r="DF42" s="272">
        <v>49934</v>
      </c>
      <c r="DG42" s="272">
        <v>0</v>
      </c>
      <c r="DH42" s="272">
        <v>12871</v>
      </c>
      <c r="DI42" s="272">
        <v>1269287</v>
      </c>
      <c r="DJ42" s="272">
        <v>7412</v>
      </c>
      <c r="DK42" s="272">
        <v>200000</v>
      </c>
      <c r="DL42" s="272">
        <v>1061875</v>
      </c>
      <c r="DM42" s="272">
        <v>18950</v>
      </c>
      <c r="DN42" s="272">
        <v>0</v>
      </c>
      <c r="DO42" s="272">
        <v>0</v>
      </c>
      <c r="DP42" s="272">
        <v>0</v>
      </c>
      <c r="DQ42" s="272">
        <v>0</v>
      </c>
      <c r="DR42" s="272">
        <v>0</v>
      </c>
      <c r="DS42" s="272">
        <v>0</v>
      </c>
      <c r="DT42" s="272">
        <v>776205</v>
      </c>
      <c r="DU42" s="272">
        <v>427000</v>
      </c>
      <c r="DV42" s="455">
        <f t="shared" si="11"/>
        <v>0</v>
      </c>
      <c r="DW42" s="272">
        <v>0</v>
      </c>
      <c r="DX42" s="272">
        <v>0</v>
      </c>
      <c r="DY42" s="272">
        <v>0</v>
      </c>
      <c r="DZ42" s="272">
        <v>187593</v>
      </c>
      <c r="EA42" s="272">
        <v>158727</v>
      </c>
      <c r="EB42" s="272"/>
      <c r="EC42" s="272">
        <v>0</v>
      </c>
      <c r="ED42" s="272">
        <v>13423646</v>
      </c>
      <c r="EF42" s="272">
        <v>921262</v>
      </c>
      <c r="EG42" s="272">
        <v>613372</v>
      </c>
      <c r="EH42" s="272">
        <v>307890</v>
      </c>
      <c r="EI42" s="272">
        <v>-7123</v>
      </c>
      <c r="EJ42" s="272">
        <v>289</v>
      </c>
      <c r="EL42" s="272"/>
      <c r="EM42" s="272">
        <v>41074</v>
      </c>
      <c r="EN42" s="272">
        <v>595817</v>
      </c>
      <c r="EO42" s="272">
        <v>110834</v>
      </c>
      <c r="EP42" s="455">
        <f t="shared" si="12"/>
        <v>1203150</v>
      </c>
      <c r="EQ42" s="272">
        <v>7060553</v>
      </c>
      <c r="ER42" s="272">
        <v>-2388391</v>
      </c>
      <c r="ES42" s="272">
        <v>2777479</v>
      </c>
      <c r="ET42" s="272">
        <v>1982444</v>
      </c>
      <c r="EU42" s="272">
        <v>304225</v>
      </c>
      <c r="EV42" s="272">
        <v>1213277</v>
      </c>
      <c r="EW42" s="455">
        <f t="shared" si="13"/>
        <v>306005</v>
      </c>
      <c r="EX42" s="272">
        <v>293134</v>
      </c>
      <c r="EY42" s="272">
        <v>24</v>
      </c>
      <c r="EZ42" s="272">
        <v>293066</v>
      </c>
      <c r="FA42" s="272">
        <v>12871</v>
      </c>
      <c r="FB42" s="272"/>
      <c r="FC42" s="272">
        <v>1507956</v>
      </c>
      <c r="FD42" s="272">
        <v>347212</v>
      </c>
      <c r="FE42" s="272">
        <v>1390</v>
      </c>
      <c r="FF42" s="272">
        <v>728095</v>
      </c>
      <c r="FG42" s="455">
        <f t="shared" si="14"/>
        <v>1343433</v>
      </c>
      <c r="FH42" s="272">
        <v>8527682</v>
      </c>
      <c r="FI42" s="384">
        <f t="shared" si="15"/>
        <v>4.3</v>
      </c>
      <c r="FJ42" s="272">
        <v>7230380</v>
      </c>
      <c r="FK42" s="272"/>
      <c r="FL42" s="272">
        <v>4286271</v>
      </c>
      <c r="FM42" s="272">
        <v>5841901</v>
      </c>
      <c r="FN42" s="460">
        <v>0.72899999999999998</v>
      </c>
      <c r="FO42" s="388">
        <v>85.4</v>
      </c>
      <c r="FP42" s="388">
        <v>38.5</v>
      </c>
      <c r="FQ42" s="388">
        <v>3.2</v>
      </c>
      <c r="FR42" s="388">
        <v>17.5</v>
      </c>
      <c r="FS42" s="388">
        <v>15.4</v>
      </c>
      <c r="FT42" s="388">
        <v>4.4000000000000004</v>
      </c>
      <c r="FU42" s="388">
        <v>3.9</v>
      </c>
      <c r="FV42" s="388">
        <v>9.8000000000000007</v>
      </c>
      <c r="FW42" s="272">
        <v>12731310</v>
      </c>
      <c r="FX42" s="384">
        <f t="shared" si="16"/>
        <v>176.1</v>
      </c>
      <c r="FY42" s="272">
        <v>12061342</v>
      </c>
      <c r="FZ42" s="272">
        <v>1260158</v>
      </c>
      <c r="GA42" s="272">
        <v>1094843</v>
      </c>
      <c r="GB42" s="272">
        <v>9706341</v>
      </c>
      <c r="GC42" s="272"/>
      <c r="GD42" s="272">
        <v>4322354</v>
      </c>
      <c r="GE42" s="384">
        <f>ROUND(GD42/FJ42*100,1)</f>
        <v>59.8</v>
      </c>
      <c r="GF42" s="388">
        <v>96.8</v>
      </c>
      <c r="GG42" s="388">
        <v>22.3</v>
      </c>
      <c r="GH42" s="388">
        <v>89.8</v>
      </c>
      <c r="GI42" s="272">
        <v>372</v>
      </c>
    </row>
    <row r="43" spans="2:191" x14ac:dyDescent="0.15">
      <c r="B43" s="89" t="s">
        <v>79</v>
      </c>
      <c r="C43" s="272">
        <v>4258424</v>
      </c>
      <c r="D43" s="455">
        <f t="shared" si="0"/>
        <v>230361</v>
      </c>
      <c r="E43" s="272">
        <v>4649</v>
      </c>
      <c r="F43" s="272">
        <v>225712</v>
      </c>
      <c r="G43" s="455">
        <f t="shared" si="1"/>
        <v>146381</v>
      </c>
      <c r="H43" s="272">
        <v>47428</v>
      </c>
      <c r="I43" s="272">
        <v>98953</v>
      </c>
      <c r="J43" s="272">
        <v>3766185</v>
      </c>
      <c r="K43" s="272">
        <v>2273865</v>
      </c>
      <c r="L43" s="272">
        <v>1036693</v>
      </c>
      <c r="M43" s="272">
        <v>450905</v>
      </c>
      <c r="N43" s="272">
        <v>54233</v>
      </c>
      <c r="O43" s="272">
        <v>0</v>
      </c>
      <c r="P43" s="272">
        <v>0</v>
      </c>
      <c r="Q43" s="272">
        <v>0</v>
      </c>
      <c r="R43" s="272">
        <v>96222</v>
      </c>
      <c r="S43" s="272">
        <v>29723</v>
      </c>
      <c r="T43" s="455">
        <f t="shared" si="2"/>
        <v>38982</v>
      </c>
      <c r="U43" s="272">
        <v>13508</v>
      </c>
      <c r="V43" s="272"/>
      <c r="W43" s="272"/>
      <c r="X43" s="272"/>
      <c r="Y43" s="272">
        <v>0</v>
      </c>
      <c r="Z43" s="272">
        <v>3849</v>
      </c>
      <c r="AA43" s="272">
        <v>21625</v>
      </c>
      <c r="AB43" s="272"/>
      <c r="AC43" s="272">
        <v>23931</v>
      </c>
      <c r="AD43" s="272">
        <v>0</v>
      </c>
      <c r="AE43" s="272">
        <v>23931</v>
      </c>
      <c r="AF43" s="272">
        <v>1391</v>
      </c>
      <c r="AG43" s="272">
        <v>12385</v>
      </c>
      <c r="AH43" s="455">
        <f t="shared" si="3"/>
        <v>28485</v>
      </c>
      <c r="AI43" s="272">
        <v>24472</v>
      </c>
      <c r="AJ43" s="272">
        <v>4013</v>
      </c>
      <c r="AK43" s="272">
        <v>541394</v>
      </c>
      <c r="AL43" s="455">
        <f t="shared" si="4"/>
        <v>25472</v>
      </c>
      <c r="AM43" s="272">
        <v>0</v>
      </c>
      <c r="AN43" s="272">
        <v>5636</v>
      </c>
      <c r="AO43" s="272">
        <v>0</v>
      </c>
      <c r="AP43" s="272">
        <v>19836</v>
      </c>
      <c r="AQ43" s="272">
        <v>471153</v>
      </c>
      <c r="AR43" s="272">
        <v>0</v>
      </c>
      <c r="AS43" s="272">
        <v>0</v>
      </c>
      <c r="AT43" s="272">
        <v>181219</v>
      </c>
      <c r="AU43" s="272">
        <v>63103</v>
      </c>
      <c r="AV43" s="272">
        <v>2839</v>
      </c>
      <c r="AW43" s="272">
        <v>0</v>
      </c>
      <c r="AX43" s="272">
        <v>118116</v>
      </c>
      <c r="AY43" s="272">
        <v>52800</v>
      </c>
      <c r="AZ43" s="272">
        <v>8636</v>
      </c>
      <c r="BA43" s="272">
        <v>0</v>
      </c>
      <c r="BB43" s="272">
        <v>20070</v>
      </c>
      <c r="BC43" s="272">
        <v>0</v>
      </c>
      <c r="BD43" s="272">
        <v>0</v>
      </c>
      <c r="BE43" s="272">
        <v>0</v>
      </c>
      <c r="BF43" s="272">
        <v>0</v>
      </c>
      <c r="BG43" s="272">
        <v>0</v>
      </c>
      <c r="BH43" s="272">
        <v>502171</v>
      </c>
      <c r="BI43" s="272">
        <v>488171</v>
      </c>
      <c r="BJ43" s="272">
        <v>59279</v>
      </c>
      <c r="BK43" s="272">
        <v>0</v>
      </c>
      <c r="BL43" s="272">
        <v>0</v>
      </c>
      <c r="BM43" s="272">
        <v>0</v>
      </c>
      <c r="BN43" s="272">
        <v>936400</v>
      </c>
      <c r="BO43" s="455">
        <f t="shared" si="5"/>
        <v>936400</v>
      </c>
      <c r="BP43" s="455">
        <f t="shared" si="6"/>
        <v>0</v>
      </c>
      <c r="BQ43" s="272">
        <v>0</v>
      </c>
      <c r="BR43" s="272"/>
      <c r="BS43" s="272"/>
      <c r="BT43" s="272">
        <v>0</v>
      </c>
      <c r="BU43" s="272">
        <v>6708989</v>
      </c>
      <c r="BV43" s="272"/>
      <c r="BW43" s="272">
        <v>1079859</v>
      </c>
      <c r="BX43" s="272">
        <v>740854</v>
      </c>
      <c r="BY43" s="272">
        <v>62825</v>
      </c>
      <c r="BZ43" s="272">
        <v>8167</v>
      </c>
      <c r="CA43" s="272">
        <v>150311</v>
      </c>
      <c r="CB43" s="272">
        <v>28423</v>
      </c>
      <c r="CC43" s="272">
        <v>97430</v>
      </c>
      <c r="CD43" s="272">
        <v>22695</v>
      </c>
      <c r="CE43" s="272">
        <v>0</v>
      </c>
      <c r="CF43" s="272">
        <v>0</v>
      </c>
      <c r="CG43" s="272">
        <v>1763</v>
      </c>
      <c r="CH43" s="272">
        <v>398736</v>
      </c>
      <c r="CI43" s="272">
        <v>225526</v>
      </c>
      <c r="CJ43" s="455">
        <f t="shared" si="7"/>
        <v>173210</v>
      </c>
      <c r="CK43" s="272">
        <v>528049</v>
      </c>
      <c r="CL43" s="272">
        <v>261565</v>
      </c>
      <c r="CM43" s="272">
        <v>78671</v>
      </c>
      <c r="CN43" s="272">
        <v>98821</v>
      </c>
      <c r="CO43" s="272">
        <v>14410</v>
      </c>
      <c r="CP43" s="272">
        <v>632697</v>
      </c>
      <c r="CQ43" s="272">
        <v>193748</v>
      </c>
      <c r="CR43" s="272">
        <v>89253</v>
      </c>
      <c r="CS43" s="272">
        <v>89253</v>
      </c>
      <c r="CT43" s="455">
        <f t="shared" si="8"/>
        <v>24034</v>
      </c>
      <c r="CU43" s="272">
        <v>1751</v>
      </c>
      <c r="CV43" s="272">
        <v>22283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2107685</v>
      </c>
      <c r="DD43" s="272">
        <v>1195469</v>
      </c>
      <c r="DE43" s="272">
        <v>884026</v>
      </c>
      <c r="DF43" s="272">
        <v>28190</v>
      </c>
      <c r="DG43" s="272">
        <v>0</v>
      </c>
      <c r="DH43" s="272">
        <v>0</v>
      </c>
      <c r="DI43" s="272">
        <v>881812</v>
      </c>
      <c r="DJ43" s="272">
        <v>880918</v>
      </c>
      <c r="DK43" s="272">
        <v>0</v>
      </c>
      <c r="DL43" s="272">
        <v>894</v>
      </c>
      <c r="DM43" s="272">
        <v>9950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444092</v>
      </c>
      <c r="DU43" s="272">
        <v>328029</v>
      </c>
      <c r="DV43" s="455">
        <f t="shared" si="11"/>
        <v>0</v>
      </c>
      <c r="DW43" s="272">
        <v>0</v>
      </c>
      <c r="DX43" s="272">
        <v>0</v>
      </c>
      <c r="DY43" s="272">
        <v>0</v>
      </c>
      <c r="DZ43" s="272">
        <v>79060</v>
      </c>
      <c r="EA43" s="272">
        <v>36938</v>
      </c>
      <c r="EB43" s="272"/>
      <c r="EC43" s="272">
        <v>0</v>
      </c>
      <c r="ED43" s="272">
        <v>6247601</v>
      </c>
      <c r="EF43" s="272">
        <v>461388</v>
      </c>
      <c r="EG43" s="272">
        <v>116762</v>
      </c>
      <c r="EH43" s="272">
        <v>344626</v>
      </c>
      <c r="EI43" s="272">
        <v>-143545</v>
      </c>
      <c r="EJ43" s="272">
        <v>737373</v>
      </c>
      <c r="EL43" s="272"/>
      <c r="EM43" s="272">
        <v>6829</v>
      </c>
      <c r="EN43" s="272">
        <v>0</v>
      </c>
      <c r="EO43" s="272">
        <v>70</v>
      </c>
      <c r="EP43" s="455">
        <f t="shared" si="12"/>
        <v>519508</v>
      </c>
      <c r="EQ43" s="272">
        <v>4418950</v>
      </c>
      <c r="ER43" s="272">
        <v>-518187</v>
      </c>
      <c r="ES43" s="272">
        <v>1046210</v>
      </c>
      <c r="ET43" s="272">
        <v>709886</v>
      </c>
      <c r="EU43" s="272">
        <v>45768</v>
      </c>
      <c r="EV43" s="272">
        <v>398736</v>
      </c>
      <c r="EW43" s="455">
        <f t="shared" si="13"/>
        <v>633332</v>
      </c>
      <c r="EX43" s="272">
        <v>633332</v>
      </c>
      <c r="EY43" s="272">
        <v>218516</v>
      </c>
      <c r="EZ43" s="272">
        <v>386626</v>
      </c>
      <c r="FA43" s="272">
        <v>0</v>
      </c>
      <c r="FB43" s="272"/>
      <c r="FC43" s="272">
        <v>437180</v>
      </c>
      <c r="FD43" s="272">
        <v>619653</v>
      </c>
      <c r="FE43" s="272">
        <v>193748</v>
      </c>
      <c r="FF43" s="272">
        <v>437856</v>
      </c>
      <c r="FG43" s="455">
        <f t="shared" si="14"/>
        <v>857014</v>
      </c>
      <c r="FH43" s="272">
        <v>4475749</v>
      </c>
      <c r="FI43" s="384">
        <f t="shared" si="15"/>
        <v>7.8</v>
      </c>
      <c r="FJ43" s="272">
        <v>4392598</v>
      </c>
      <c r="FK43" s="272"/>
      <c r="FL43" s="272">
        <v>3317006</v>
      </c>
      <c r="FM43" s="272">
        <v>1838069</v>
      </c>
      <c r="FN43" s="460">
        <v>1.589</v>
      </c>
      <c r="FO43" s="388">
        <v>57</v>
      </c>
      <c r="FP43" s="388">
        <v>23.7</v>
      </c>
      <c r="FQ43" s="388">
        <v>1</v>
      </c>
      <c r="FR43" s="388">
        <v>9.1</v>
      </c>
      <c r="FS43" s="388">
        <v>7.8</v>
      </c>
      <c r="FT43" s="388">
        <v>9.6999999999999993</v>
      </c>
      <c r="FU43" s="388">
        <v>5.4</v>
      </c>
      <c r="FV43" s="388">
        <v>7.6</v>
      </c>
      <c r="FW43" s="272">
        <v>5082641</v>
      </c>
      <c r="FX43" s="384">
        <f t="shared" si="16"/>
        <v>115.7</v>
      </c>
      <c r="FY43" s="272">
        <v>2241930</v>
      </c>
      <c r="FZ43" s="272">
        <v>1923111</v>
      </c>
      <c r="GA43" s="272"/>
      <c r="GB43" s="272"/>
      <c r="GC43" s="272"/>
      <c r="GD43" s="272">
        <v>3384022</v>
      </c>
      <c r="GE43" s="384">
        <f>ROUND(GD43/FJ43*100,1)</f>
        <v>77</v>
      </c>
      <c r="GF43" s="388">
        <v>99.4</v>
      </c>
      <c r="GG43" s="388">
        <v>19.3</v>
      </c>
      <c r="GH43" s="388">
        <v>98.3</v>
      </c>
      <c r="GI43" s="272">
        <v>117</v>
      </c>
    </row>
    <row r="44" spans="2:191" x14ac:dyDescent="0.15">
      <c r="B44" s="89" t="s">
        <v>81</v>
      </c>
      <c r="C44" s="272">
        <v>3098328</v>
      </c>
      <c r="D44" s="455">
        <f t="shared" si="0"/>
        <v>964750</v>
      </c>
      <c r="E44" s="272">
        <v>15033</v>
      </c>
      <c r="F44" s="272">
        <v>949717</v>
      </c>
      <c r="G44" s="455">
        <f t="shared" si="1"/>
        <v>304335</v>
      </c>
      <c r="H44" s="272">
        <v>32791</v>
      </c>
      <c r="I44" s="272">
        <v>271544</v>
      </c>
      <c r="J44" s="272">
        <v>1606388</v>
      </c>
      <c r="K44" s="272">
        <v>675243</v>
      </c>
      <c r="L44" s="272">
        <v>461273</v>
      </c>
      <c r="M44" s="272">
        <v>462943</v>
      </c>
      <c r="N44" s="272">
        <v>84744</v>
      </c>
      <c r="O44" s="272">
        <v>0</v>
      </c>
      <c r="P44" s="272">
        <v>0</v>
      </c>
      <c r="Q44" s="272">
        <v>0</v>
      </c>
      <c r="R44" s="272">
        <v>139448</v>
      </c>
      <c r="S44" s="272">
        <v>82954</v>
      </c>
      <c r="T44" s="455">
        <f t="shared" si="2"/>
        <v>221090</v>
      </c>
      <c r="U44" s="272">
        <v>46789</v>
      </c>
      <c r="V44" s="272"/>
      <c r="W44" s="272"/>
      <c r="X44" s="272"/>
      <c r="Y44" s="272">
        <v>78698</v>
      </c>
      <c r="Z44" s="272">
        <v>995</v>
      </c>
      <c r="AA44" s="272">
        <v>94608</v>
      </c>
      <c r="AB44" s="272"/>
      <c r="AC44" s="272">
        <v>1206067</v>
      </c>
      <c r="AD44" s="272">
        <v>976022</v>
      </c>
      <c r="AE44" s="272">
        <v>230045</v>
      </c>
      <c r="AF44" s="272">
        <v>3757</v>
      </c>
      <c r="AG44" s="272">
        <v>23699</v>
      </c>
      <c r="AH44" s="455">
        <f t="shared" si="3"/>
        <v>221328</v>
      </c>
      <c r="AI44" s="272">
        <v>209322</v>
      </c>
      <c r="AJ44" s="272">
        <v>12006</v>
      </c>
      <c r="AK44" s="272">
        <v>937759</v>
      </c>
      <c r="AL44" s="455">
        <f t="shared" si="4"/>
        <v>81846</v>
      </c>
      <c r="AM44" s="272">
        <v>0</v>
      </c>
      <c r="AN44" s="272">
        <v>36605</v>
      </c>
      <c r="AO44" s="272">
        <v>0</v>
      </c>
      <c r="AP44" s="272">
        <v>45241</v>
      </c>
      <c r="AQ44" s="272">
        <v>753658</v>
      </c>
      <c r="AR44" s="272">
        <v>0</v>
      </c>
      <c r="AS44" s="272">
        <v>0</v>
      </c>
      <c r="AT44" s="272">
        <v>968650</v>
      </c>
      <c r="AU44" s="272">
        <v>189036</v>
      </c>
      <c r="AV44" s="272">
        <v>18431</v>
      </c>
      <c r="AW44" s="272">
        <v>49809</v>
      </c>
      <c r="AX44" s="272">
        <v>779614</v>
      </c>
      <c r="AY44" s="272">
        <v>372205</v>
      </c>
      <c r="AZ44" s="272">
        <v>45747</v>
      </c>
      <c r="BA44" s="272">
        <v>26854</v>
      </c>
      <c r="BB44" s="272">
        <v>191202</v>
      </c>
      <c r="BC44" s="272">
        <v>893129</v>
      </c>
      <c r="BD44" s="272">
        <v>0</v>
      </c>
      <c r="BE44" s="272">
        <v>0</v>
      </c>
      <c r="BF44" s="272">
        <v>825000</v>
      </c>
      <c r="BG44" s="272">
        <v>0</v>
      </c>
      <c r="BH44" s="272">
        <v>340489</v>
      </c>
      <c r="BI44" s="272">
        <v>3846</v>
      </c>
      <c r="BJ44" s="272">
        <v>149152</v>
      </c>
      <c r="BK44" s="272">
        <v>21798</v>
      </c>
      <c r="BL44" s="272">
        <v>0</v>
      </c>
      <c r="BM44" s="272">
        <v>0</v>
      </c>
      <c r="BN44" s="272">
        <v>1628122</v>
      </c>
      <c r="BO44" s="455">
        <f t="shared" si="5"/>
        <v>1417522</v>
      </c>
      <c r="BP44" s="455">
        <f t="shared" si="6"/>
        <v>210600</v>
      </c>
      <c r="BQ44" s="272">
        <v>210600</v>
      </c>
      <c r="BR44" s="272"/>
      <c r="BS44" s="272"/>
      <c r="BT44" s="272">
        <v>0</v>
      </c>
      <c r="BU44" s="272">
        <v>10067967</v>
      </c>
      <c r="BV44" s="272"/>
      <c r="BW44" s="272">
        <v>2070599</v>
      </c>
      <c r="BX44" s="272">
        <v>1554319</v>
      </c>
      <c r="BY44" s="272">
        <v>62443</v>
      </c>
      <c r="BZ44" s="272">
        <v>30132</v>
      </c>
      <c r="CA44" s="272">
        <v>390716</v>
      </c>
      <c r="CB44" s="272">
        <v>76821</v>
      </c>
      <c r="CC44" s="272">
        <v>215353</v>
      </c>
      <c r="CD44" s="272">
        <v>88134</v>
      </c>
      <c r="CE44" s="272">
        <v>0</v>
      </c>
      <c r="CF44" s="272">
        <v>0</v>
      </c>
      <c r="CG44" s="272">
        <v>10288</v>
      </c>
      <c r="CH44" s="272">
        <v>837179</v>
      </c>
      <c r="CI44" s="272">
        <v>461521</v>
      </c>
      <c r="CJ44" s="455">
        <f t="shared" si="7"/>
        <v>375658</v>
      </c>
      <c r="CK44" s="272">
        <v>1264565</v>
      </c>
      <c r="CL44" s="272">
        <v>535861</v>
      </c>
      <c r="CM44" s="272">
        <v>162692</v>
      </c>
      <c r="CN44" s="272">
        <v>413071</v>
      </c>
      <c r="CO44" s="272">
        <v>129265</v>
      </c>
      <c r="CP44" s="272">
        <v>304205</v>
      </c>
      <c r="CQ44" s="272">
        <v>6473</v>
      </c>
      <c r="CR44" s="272">
        <v>159741</v>
      </c>
      <c r="CS44" s="272">
        <v>149389</v>
      </c>
      <c r="CT44" s="455">
        <f t="shared" si="8"/>
        <v>13384</v>
      </c>
      <c r="CU44" s="272">
        <v>1099</v>
      </c>
      <c r="CV44" s="272">
        <v>12285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4096551</v>
      </c>
      <c r="DD44" s="272">
        <v>1837659</v>
      </c>
      <c r="DE44" s="272">
        <v>2206492</v>
      </c>
      <c r="DF44" s="272">
        <v>52400</v>
      </c>
      <c r="DG44" s="272">
        <v>0</v>
      </c>
      <c r="DH44" s="272">
        <v>0</v>
      </c>
      <c r="DI44" s="272">
        <v>278807</v>
      </c>
      <c r="DJ44" s="272">
        <v>182137</v>
      </c>
      <c r="DK44" s="272">
        <v>652</v>
      </c>
      <c r="DL44" s="272">
        <v>96018</v>
      </c>
      <c r="DM44" s="272">
        <v>15750</v>
      </c>
      <c r="DN44" s="272">
        <v>0</v>
      </c>
      <c r="DO44" s="272">
        <v>0</v>
      </c>
      <c r="DP44" s="272">
        <v>0</v>
      </c>
      <c r="DQ44" s="272">
        <v>0</v>
      </c>
      <c r="DR44" s="272">
        <v>0</v>
      </c>
      <c r="DS44" s="272">
        <v>0</v>
      </c>
      <c r="DT44" s="272">
        <v>602777</v>
      </c>
      <c r="DU44" s="272">
        <v>273259</v>
      </c>
      <c r="DV44" s="455">
        <f t="shared" si="11"/>
        <v>0</v>
      </c>
      <c r="DW44" s="272">
        <v>0</v>
      </c>
      <c r="DX44" s="272">
        <v>0</v>
      </c>
      <c r="DY44" s="272">
        <v>0</v>
      </c>
      <c r="DZ44" s="272">
        <v>195327</v>
      </c>
      <c r="EA44" s="272">
        <v>133096</v>
      </c>
      <c r="EB44" s="272"/>
      <c r="EC44" s="272">
        <v>0</v>
      </c>
      <c r="ED44" s="272">
        <v>9990414</v>
      </c>
      <c r="EF44" s="272">
        <v>77553</v>
      </c>
      <c r="EG44" s="272">
        <v>67160</v>
      </c>
      <c r="EH44" s="272">
        <v>10393</v>
      </c>
      <c r="EI44" s="272">
        <v>6547</v>
      </c>
      <c r="EJ44" s="272">
        <v>188684</v>
      </c>
      <c r="EL44" s="272"/>
      <c r="EM44" s="272">
        <v>21098</v>
      </c>
      <c r="EN44" s="272">
        <v>91</v>
      </c>
      <c r="EO44" s="272">
        <v>27527</v>
      </c>
      <c r="EP44" s="455">
        <f t="shared" si="12"/>
        <v>356860</v>
      </c>
      <c r="EQ44" s="272">
        <v>4668690</v>
      </c>
      <c r="ER44" s="272">
        <v>-591321</v>
      </c>
      <c r="ES44" s="272">
        <v>1873888</v>
      </c>
      <c r="ET44" s="272">
        <v>1362104</v>
      </c>
      <c r="EU44" s="272">
        <v>145494</v>
      </c>
      <c r="EV44" s="272">
        <v>655142</v>
      </c>
      <c r="EW44" s="455">
        <f t="shared" si="13"/>
        <v>360233</v>
      </c>
      <c r="EX44" s="272">
        <v>360233</v>
      </c>
      <c r="EY44" s="272">
        <v>14027</v>
      </c>
      <c r="EZ44" s="272">
        <v>346206</v>
      </c>
      <c r="FA44" s="272">
        <v>0</v>
      </c>
      <c r="FB44" s="272"/>
      <c r="FC44" s="272">
        <v>964640</v>
      </c>
      <c r="FD44" s="272">
        <v>217572</v>
      </c>
      <c r="FE44" s="272">
        <v>6473</v>
      </c>
      <c r="FF44" s="272">
        <v>571005</v>
      </c>
      <c r="FG44" s="455">
        <f t="shared" si="14"/>
        <v>394484</v>
      </c>
      <c r="FH44" s="272">
        <v>5182458</v>
      </c>
      <c r="FI44" s="384">
        <f t="shared" si="15"/>
        <v>0.2</v>
      </c>
      <c r="FJ44" s="272">
        <v>4508877</v>
      </c>
      <c r="FK44" s="272"/>
      <c r="FL44" s="272">
        <v>2668127</v>
      </c>
      <c r="FM44" s="272">
        <v>3644149</v>
      </c>
      <c r="FN44" s="460">
        <v>0.72499999999999998</v>
      </c>
      <c r="FO44" s="388">
        <v>86.2</v>
      </c>
      <c r="FP44" s="388">
        <v>39.700000000000003</v>
      </c>
      <c r="FQ44" s="388">
        <v>3.2</v>
      </c>
      <c r="FR44" s="388">
        <v>14</v>
      </c>
      <c r="FS44" s="388">
        <v>17.8</v>
      </c>
      <c r="FT44" s="388">
        <v>3.2</v>
      </c>
      <c r="FU44" s="388">
        <v>5.8</v>
      </c>
      <c r="FV44" s="388">
        <v>9.4</v>
      </c>
      <c r="FW44" s="272">
        <v>10657269</v>
      </c>
      <c r="FX44" s="384">
        <f t="shared" si="16"/>
        <v>236.4</v>
      </c>
      <c r="FY44" s="272">
        <v>2555503</v>
      </c>
      <c r="FZ44" s="272">
        <v>1048658</v>
      </c>
      <c r="GA44" s="272">
        <v>118763</v>
      </c>
      <c r="GB44" s="272">
        <v>1388082</v>
      </c>
      <c r="GC44" s="272"/>
      <c r="GD44" s="272"/>
      <c r="GE44" s="384"/>
      <c r="GF44" s="388">
        <v>98.6</v>
      </c>
      <c r="GG44" s="388">
        <v>35.200000000000003</v>
      </c>
      <c r="GH44" s="388">
        <v>95.4</v>
      </c>
      <c r="GI44" s="272">
        <v>234</v>
      </c>
    </row>
    <row r="45" spans="2:191" x14ac:dyDescent="0.15">
      <c r="B45" s="89" t="s">
        <v>83</v>
      </c>
      <c r="C45" s="272">
        <v>1392432</v>
      </c>
      <c r="D45" s="455">
        <f t="shared" si="0"/>
        <v>692695</v>
      </c>
      <c r="E45" s="272">
        <v>8274</v>
      </c>
      <c r="F45" s="272">
        <v>684421</v>
      </c>
      <c r="G45" s="455">
        <f t="shared" si="1"/>
        <v>21519</v>
      </c>
      <c r="H45" s="272">
        <v>9277</v>
      </c>
      <c r="I45" s="272">
        <v>12242</v>
      </c>
      <c r="J45" s="272">
        <v>558261</v>
      </c>
      <c r="K45" s="272">
        <v>269514</v>
      </c>
      <c r="L45" s="272">
        <v>235229</v>
      </c>
      <c r="M45" s="272">
        <v>53518</v>
      </c>
      <c r="N45" s="272">
        <v>55637</v>
      </c>
      <c r="O45" s="272">
        <v>0</v>
      </c>
      <c r="P45" s="272">
        <v>0</v>
      </c>
      <c r="Q45" s="272">
        <v>0</v>
      </c>
      <c r="R45" s="272">
        <v>84818</v>
      </c>
      <c r="S45" s="272">
        <v>46837</v>
      </c>
      <c r="T45" s="455">
        <f t="shared" si="2"/>
        <v>99694</v>
      </c>
      <c r="U45" s="272">
        <v>29226</v>
      </c>
      <c r="V45" s="272"/>
      <c r="W45" s="272"/>
      <c r="X45" s="272"/>
      <c r="Y45" s="272">
        <v>6207</v>
      </c>
      <c r="Z45" s="272">
        <v>752</v>
      </c>
      <c r="AA45" s="272">
        <v>63509</v>
      </c>
      <c r="AB45" s="272"/>
      <c r="AC45" s="272">
        <v>1564550</v>
      </c>
      <c r="AD45" s="272">
        <v>1381866</v>
      </c>
      <c r="AE45" s="272">
        <v>182684</v>
      </c>
      <c r="AF45" s="272">
        <v>3117</v>
      </c>
      <c r="AG45" s="272">
        <v>50992</v>
      </c>
      <c r="AH45" s="455">
        <f t="shared" si="3"/>
        <v>37013</v>
      </c>
      <c r="AI45" s="272">
        <v>15681</v>
      </c>
      <c r="AJ45" s="272">
        <v>21332</v>
      </c>
      <c r="AK45" s="272">
        <v>198653</v>
      </c>
      <c r="AL45" s="455">
        <f t="shared" si="4"/>
        <v>54720</v>
      </c>
      <c r="AM45" s="272">
        <v>0</v>
      </c>
      <c r="AN45" s="272">
        <v>33173</v>
      </c>
      <c r="AO45" s="272">
        <v>0</v>
      </c>
      <c r="AP45" s="272">
        <v>21547</v>
      </c>
      <c r="AQ45" s="272">
        <v>60121</v>
      </c>
      <c r="AR45" s="272">
        <v>0</v>
      </c>
      <c r="AS45" s="272">
        <v>0</v>
      </c>
      <c r="AT45" s="272">
        <v>611359</v>
      </c>
      <c r="AU45" s="272">
        <v>374902</v>
      </c>
      <c r="AV45" s="272">
        <v>16710</v>
      </c>
      <c r="AW45" s="272">
        <v>0</v>
      </c>
      <c r="AX45" s="272">
        <v>236457</v>
      </c>
      <c r="AY45" s="272">
        <v>138681</v>
      </c>
      <c r="AZ45" s="272">
        <v>8310</v>
      </c>
      <c r="BA45" s="272">
        <v>0</v>
      </c>
      <c r="BB45" s="272">
        <v>24724</v>
      </c>
      <c r="BC45" s="272">
        <v>84289</v>
      </c>
      <c r="BD45" s="272">
        <v>0</v>
      </c>
      <c r="BE45" s="272">
        <v>0</v>
      </c>
      <c r="BF45" s="272">
        <v>84213</v>
      </c>
      <c r="BG45" s="272">
        <v>0</v>
      </c>
      <c r="BH45" s="272">
        <v>104334</v>
      </c>
      <c r="BI45" s="272">
        <v>104334</v>
      </c>
      <c r="BJ45" s="272">
        <v>21377</v>
      </c>
      <c r="BK45" s="272">
        <v>0</v>
      </c>
      <c r="BL45" s="272">
        <v>0</v>
      </c>
      <c r="BM45" s="272">
        <v>0</v>
      </c>
      <c r="BN45" s="272">
        <v>425100</v>
      </c>
      <c r="BO45" s="455">
        <f t="shared" si="5"/>
        <v>278300</v>
      </c>
      <c r="BP45" s="455">
        <f t="shared" si="6"/>
        <v>146800</v>
      </c>
      <c r="BQ45" s="272">
        <v>146800</v>
      </c>
      <c r="BR45" s="272"/>
      <c r="BS45" s="272"/>
      <c r="BT45" s="272">
        <v>0</v>
      </c>
      <c r="BU45" s="272">
        <v>4710762</v>
      </c>
      <c r="BV45" s="272"/>
      <c r="BW45" s="272">
        <v>1087571</v>
      </c>
      <c r="BX45" s="272">
        <v>711841</v>
      </c>
      <c r="BY45" s="272">
        <v>83865</v>
      </c>
      <c r="BZ45" s="272">
        <v>13410</v>
      </c>
      <c r="CA45" s="272">
        <v>317436</v>
      </c>
      <c r="CB45" s="272">
        <v>42598</v>
      </c>
      <c r="CC45" s="272">
        <v>106937</v>
      </c>
      <c r="CD45" s="272">
        <v>157386</v>
      </c>
      <c r="CE45" s="272">
        <v>0</v>
      </c>
      <c r="CF45" s="272">
        <v>0</v>
      </c>
      <c r="CG45" s="272">
        <v>9715</v>
      </c>
      <c r="CH45" s="272">
        <v>561446</v>
      </c>
      <c r="CI45" s="272">
        <v>268433</v>
      </c>
      <c r="CJ45" s="455">
        <f t="shared" si="7"/>
        <v>293013</v>
      </c>
      <c r="CK45" s="272">
        <v>723850</v>
      </c>
      <c r="CL45" s="272">
        <v>376748</v>
      </c>
      <c r="CM45" s="272">
        <v>54348</v>
      </c>
      <c r="CN45" s="272">
        <v>174071</v>
      </c>
      <c r="CO45" s="272">
        <v>25701</v>
      </c>
      <c r="CP45" s="272">
        <v>412680</v>
      </c>
      <c r="CQ45" s="272">
        <v>155157</v>
      </c>
      <c r="CR45" s="272">
        <v>114442</v>
      </c>
      <c r="CS45" s="272">
        <v>114442</v>
      </c>
      <c r="CT45" s="455">
        <f t="shared" si="8"/>
        <v>16077</v>
      </c>
      <c r="CU45" s="272">
        <v>2335</v>
      </c>
      <c r="CV45" s="272">
        <v>13742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956766</v>
      </c>
      <c r="DD45" s="272">
        <v>125363</v>
      </c>
      <c r="DE45" s="272">
        <v>533199</v>
      </c>
      <c r="DF45" s="272">
        <v>9079</v>
      </c>
      <c r="DG45" s="272">
        <v>285750</v>
      </c>
      <c r="DH45" s="272">
        <v>0</v>
      </c>
      <c r="DI45" s="272">
        <v>150373</v>
      </c>
      <c r="DJ45" s="272">
        <v>58903</v>
      </c>
      <c r="DK45" s="272">
        <v>63439</v>
      </c>
      <c r="DL45" s="272">
        <v>28031</v>
      </c>
      <c r="DM45" s="272">
        <v>0</v>
      </c>
      <c r="DN45" s="272">
        <v>0</v>
      </c>
      <c r="DO45" s="272">
        <v>0</v>
      </c>
      <c r="DP45" s="272">
        <v>0</v>
      </c>
      <c r="DQ45" s="272">
        <v>0</v>
      </c>
      <c r="DR45" s="272">
        <v>0</v>
      </c>
      <c r="DS45" s="272">
        <v>0</v>
      </c>
      <c r="DT45" s="272">
        <v>372625</v>
      </c>
      <c r="DU45" s="272">
        <v>238266</v>
      </c>
      <c r="DV45" s="455">
        <f t="shared" si="11"/>
        <v>0</v>
      </c>
      <c r="DW45" s="272">
        <v>0</v>
      </c>
      <c r="DX45" s="272">
        <v>0</v>
      </c>
      <c r="DY45" s="272">
        <v>0</v>
      </c>
      <c r="DZ45" s="272">
        <v>74727</v>
      </c>
      <c r="EA45" s="272">
        <v>50269</v>
      </c>
      <c r="EB45" s="272"/>
      <c r="EC45" s="272">
        <v>0</v>
      </c>
      <c r="ED45" s="272">
        <v>4608448</v>
      </c>
      <c r="EF45" s="272">
        <v>102314</v>
      </c>
      <c r="EG45" s="272">
        <v>0</v>
      </c>
      <c r="EH45" s="272">
        <v>102314</v>
      </c>
      <c r="EI45" s="272">
        <v>-2020</v>
      </c>
      <c r="EJ45" s="272">
        <v>56883</v>
      </c>
      <c r="EL45" s="272"/>
      <c r="EM45" s="272">
        <v>13356</v>
      </c>
      <c r="EN45" s="272">
        <v>44373</v>
      </c>
      <c r="EO45" s="272">
        <v>0</v>
      </c>
      <c r="EP45" s="455">
        <f t="shared" si="12"/>
        <v>114142</v>
      </c>
      <c r="EQ45" s="272">
        <v>3144611</v>
      </c>
      <c r="ER45" s="272">
        <v>-302198</v>
      </c>
      <c r="ES45" s="272">
        <v>1033049</v>
      </c>
      <c r="ET45" s="272">
        <v>658250</v>
      </c>
      <c r="EU45" s="272">
        <v>100528</v>
      </c>
      <c r="EV45" s="272">
        <v>561446</v>
      </c>
      <c r="EW45" s="455">
        <f t="shared" si="13"/>
        <v>187406</v>
      </c>
      <c r="EX45" s="272">
        <v>187406</v>
      </c>
      <c r="EY45" s="272">
        <v>27042</v>
      </c>
      <c r="EZ45" s="272">
        <v>151310</v>
      </c>
      <c r="FA45" s="272">
        <v>0</v>
      </c>
      <c r="FB45" s="272"/>
      <c r="FC45" s="272">
        <v>590597</v>
      </c>
      <c r="FD45" s="272">
        <v>398264</v>
      </c>
      <c r="FE45" s="272">
        <v>155157</v>
      </c>
      <c r="FF45" s="272">
        <v>329901</v>
      </c>
      <c r="FG45" s="455">
        <f t="shared" si="14"/>
        <v>143304</v>
      </c>
      <c r="FH45" s="272">
        <v>3344495</v>
      </c>
      <c r="FI45" s="384">
        <f t="shared" si="15"/>
        <v>3.3</v>
      </c>
      <c r="FJ45" s="272">
        <v>3074303</v>
      </c>
      <c r="FK45" s="272"/>
      <c r="FL45" s="272">
        <v>1280537</v>
      </c>
      <c r="FM45" s="272">
        <v>2662403</v>
      </c>
      <c r="FN45" s="460">
        <v>0.47799999999999998</v>
      </c>
      <c r="FO45" s="388">
        <v>88.6</v>
      </c>
      <c r="FP45" s="388">
        <v>33.700000000000003</v>
      </c>
      <c r="FQ45" s="388">
        <v>3.4</v>
      </c>
      <c r="FR45" s="388">
        <v>18.899999999999999</v>
      </c>
      <c r="FS45" s="388">
        <v>17.100000000000001</v>
      </c>
      <c r="FT45" s="388">
        <v>10.5</v>
      </c>
      <c r="FU45" s="388">
        <v>4.0999999999999996</v>
      </c>
      <c r="FV45" s="388">
        <v>12.6</v>
      </c>
      <c r="FW45" s="272">
        <v>6106017</v>
      </c>
      <c r="FX45" s="384">
        <f t="shared" si="16"/>
        <v>198.6</v>
      </c>
      <c r="FY45" s="272">
        <v>1261657</v>
      </c>
      <c r="FZ45" s="272">
        <v>602901</v>
      </c>
      <c r="GA45" s="272">
        <v>238632</v>
      </c>
      <c r="GB45" s="272">
        <v>420124</v>
      </c>
      <c r="GC45" s="272"/>
      <c r="GD45" s="272">
        <v>840836</v>
      </c>
      <c r="GE45" s="384">
        <f>ROUND(GD45/FJ45*100,1)</f>
        <v>27.4</v>
      </c>
      <c r="GF45" s="388">
        <v>97.1</v>
      </c>
      <c r="GG45" s="388">
        <v>35.200000000000003</v>
      </c>
      <c r="GH45" s="388">
        <v>93.6</v>
      </c>
      <c r="GI45" s="272">
        <v>118</v>
      </c>
    </row>
    <row r="46" spans="2:191" x14ac:dyDescent="0.15">
      <c r="B46" s="89" t="s">
        <v>85</v>
      </c>
      <c r="C46" s="272">
        <v>1706691</v>
      </c>
      <c r="D46" s="455">
        <f t="shared" si="0"/>
        <v>852275</v>
      </c>
      <c r="E46" s="272">
        <v>10039</v>
      </c>
      <c r="F46" s="272">
        <v>842236</v>
      </c>
      <c r="G46" s="455">
        <f t="shared" si="1"/>
        <v>59018</v>
      </c>
      <c r="H46" s="272">
        <v>16317</v>
      </c>
      <c r="I46" s="272">
        <v>42701</v>
      </c>
      <c r="J46" s="272">
        <v>673977</v>
      </c>
      <c r="K46" s="272">
        <v>325470</v>
      </c>
      <c r="L46" s="272">
        <v>275532</v>
      </c>
      <c r="M46" s="272">
        <v>72975</v>
      </c>
      <c r="N46" s="272">
        <v>54459</v>
      </c>
      <c r="O46" s="272">
        <v>0</v>
      </c>
      <c r="P46" s="272">
        <v>0</v>
      </c>
      <c r="Q46" s="272">
        <v>0</v>
      </c>
      <c r="R46" s="272">
        <v>116958</v>
      </c>
      <c r="S46" s="272">
        <v>64198</v>
      </c>
      <c r="T46" s="455">
        <f t="shared" si="2"/>
        <v>154642</v>
      </c>
      <c r="U46" s="272">
        <v>36916</v>
      </c>
      <c r="V46" s="272"/>
      <c r="W46" s="272"/>
      <c r="X46" s="272"/>
      <c r="Y46" s="272">
        <v>29560</v>
      </c>
      <c r="Z46" s="272">
        <v>0</v>
      </c>
      <c r="AA46" s="272">
        <v>88166</v>
      </c>
      <c r="AB46" s="272"/>
      <c r="AC46" s="272">
        <v>1651083</v>
      </c>
      <c r="AD46" s="272">
        <v>1468106</v>
      </c>
      <c r="AE46" s="272">
        <v>182977</v>
      </c>
      <c r="AF46" s="272">
        <v>3207</v>
      </c>
      <c r="AG46" s="272">
        <v>28744</v>
      </c>
      <c r="AH46" s="455">
        <f t="shared" si="3"/>
        <v>63112</v>
      </c>
      <c r="AI46" s="272">
        <v>40211</v>
      </c>
      <c r="AJ46" s="272">
        <v>22901</v>
      </c>
      <c r="AK46" s="272">
        <v>176382</v>
      </c>
      <c r="AL46" s="455">
        <f t="shared" si="4"/>
        <v>44063</v>
      </c>
      <c r="AM46" s="272">
        <v>0</v>
      </c>
      <c r="AN46" s="272">
        <v>7978</v>
      </c>
      <c r="AO46" s="272">
        <v>0</v>
      </c>
      <c r="AP46" s="272">
        <v>36085</v>
      </c>
      <c r="AQ46" s="272">
        <v>58712</v>
      </c>
      <c r="AR46" s="272">
        <v>0</v>
      </c>
      <c r="AS46" s="272">
        <v>0</v>
      </c>
      <c r="AT46" s="272">
        <v>450528</v>
      </c>
      <c r="AU46" s="272">
        <v>159072</v>
      </c>
      <c r="AV46" s="272">
        <v>4015</v>
      </c>
      <c r="AW46" s="272">
        <v>76040</v>
      </c>
      <c r="AX46" s="272">
        <v>291456</v>
      </c>
      <c r="AY46" s="272">
        <v>154517</v>
      </c>
      <c r="AZ46" s="272">
        <v>27723</v>
      </c>
      <c r="BA46" s="272">
        <v>2091</v>
      </c>
      <c r="BB46" s="272">
        <v>25650</v>
      </c>
      <c r="BC46" s="272">
        <v>143999</v>
      </c>
      <c r="BD46" s="272">
        <v>0</v>
      </c>
      <c r="BE46" s="272">
        <v>0</v>
      </c>
      <c r="BF46" s="272">
        <v>143999</v>
      </c>
      <c r="BG46" s="272">
        <v>0</v>
      </c>
      <c r="BH46" s="272">
        <v>92522</v>
      </c>
      <c r="BI46" s="272">
        <v>82472</v>
      </c>
      <c r="BJ46" s="272">
        <v>37267</v>
      </c>
      <c r="BK46" s="272">
        <v>0</v>
      </c>
      <c r="BL46" s="272">
        <v>0</v>
      </c>
      <c r="BM46" s="272">
        <v>0</v>
      </c>
      <c r="BN46" s="272">
        <v>275900</v>
      </c>
      <c r="BO46" s="455">
        <f t="shared" si="5"/>
        <v>275900</v>
      </c>
      <c r="BP46" s="455">
        <f t="shared" si="6"/>
        <v>0</v>
      </c>
      <c r="BQ46" s="272">
        <v>0</v>
      </c>
      <c r="BR46" s="272"/>
      <c r="BS46" s="272"/>
      <c r="BT46" s="272">
        <v>0</v>
      </c>
      <c r="BU46" s="272">
        <v>4954408</v>
      </c>
      <c r="BV46" s="272"/>
      <c r="BW46" s="272">
        <v>1419588</v>
      </c>
      <c r="BX46" s="272">
        <v>986987</v>
      </c>
      <c r="BY46" s="272">
        <v>44303</v>
      </c>
      <c r="BZ46" s="272">
        <v>44130</v>
      </c>
      <c r="CA46" s="272">
        <v>233505</v>
      </c>
      <c r="CB46" s="272">
        <v>34335</v>
      </c>
      <c r="CC46" s="272">
        <v>152825</v>
      </c>
      <c r="CD46" s="272">
        <v>44102</v>
      </c>
      <c r="CE46" s="272">
        <v>0</v>
      </c>
      <c r="CF46" s="272">
        <v>0</v>
      </c>
      <c r="CG46" s="272">
        <v>2243</v>
      </c>
      <c r="CH46" s="272">
        <v>566835</v>
      </c>
      <c r="CI46" s="272">
        <v>239169</v>
      </c>
      <c r="CJ46" s="455">
        <f t="shared" si="7"/>
        <v>327666</v>
      </c>
      <c r="CK46" s="272">
        <v>757362</v>
      </c>
      <c r="CL46" s="272">
        <v>396916</v>
      </c>
      <c r="CM46" s="272">
        <v>40434</v>
      </c>
      <c r="CN46" s="272">
        <v>200741</v>
      </c>
      <c r="CO46" s="272">
        <v>10492</v>
      </c>
      <c r="CP46" s="272">
        <v>474994</v>
      </c>
      <c r="CQ46" s="272">
        <v>168433</v>
      </c>
      <c r="CR46" s="272">
        <v>192336</v>
      </c>
      <c r="CS46" s="272">
        <v>192336</v>
      </c>
      <c r="CT46" s="455">
        <f t="shared" si="8"/>
        <v>12570</v>
      </c>
      <c r="CU46" s="272">
        <v>1235</v>
      </c>
      <c r="CV46" s="272">
        <v>11335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916178</v>
      </c>
      <c r="DD46" s="272">
        <v>226594</v>
      </c>
      <c r="DE46" s="272">
        <v>663388</v>
      </c>
      <c r="DF46" s="272">
        <v>26196</v>
      </c>
      <c r="DG46" s="272">
        <v>0</v>
      </c>
      <c r="DH46" s="272">
        <v>0</v>
      </c>
      <c r="DI46" s="272">
        <v>61121</v>
      </c>
      <c r="DJ46" s="272">
        <v>21075</v>
      </c>
      <c r="DK46" s="272">
        <v>2742</v>
      </c>
      <c r="DL46" s="272">
        <v>37304</v>
      </c>
      <c r="DM46" s="272">
        <v>3507</v>
      </c>
      <c r="DN46" s="272">
        <v>3207</v>
      </c>
      <c r="DO46" s="272">
        <v>3207</v>
      </c>
      <c r="DP46" s="272">
        <v>0</v>
      </c>
      <c r="DQ46" s="272">
        <v>0</v>
      </c>
      <c r="DR46" s="272">
        <v>0</v>
      </c>
      <c r="DS46" s="272">
        <v>0</v>
      </c>
      <c r="DT46" s="272">
        <v>339869</v>
      </c>
      <c r="DU46" s="272">
        <v>166969</v>
      </c>
      <c r="DV46" s="455">
        <f t="shared" si="11"/>
        <v>0</v>
      </c>
      <c r="DW46" s="272">
        <v>0</v>
      </c>
      <c r="DX46" s="272">
        <v>0</v>
      </c>
      <c r="DY46" s="272">
        <v>0</v>
      </c>
      <c r="DZ46" s="272">
        <v>68761</v>
      </c>
      <c r="EA46" s="272">
        <v>73379</v>
      </c>
      <c r="EB46" s="272"/>
      <c r="EC46" s="272">
        <v>0</v>
      </c>
      <c r="ED46" s="272">
        <v>4783451</v>
      </c>
      <c r="EF46" s="272">
        <v>170957</v>
      </c>
      <c r="EG46" s="272">
        <v>0</v>
      </c>
      <c r="EH46" s="272">
        <v>170957</v>
      </c>
      <c r="EI46" s="272">
        <v>8485</v>
      </c>
      <c r="EJ46" s="272">
        <v>29560</v>
      </c>
      <c r="EL46" s="272"/>
      <c r="EM46" s="272">
        <v>15725</v>
      </c>
      <c r="EN46" s="272">
        <v>30000</v>
      </c>
      <c r="EO46" s="272">
        <v>2098</v>
      </c>
      <c r="EP46" s="455">
        <f t="shared" si="12"/>
        <v>125604</v>
      </c>
      <c r="EQ46" s="272">
        <v>3632581</v>
      </c>
      <c r="ER46" s="272">
        <v>-154495</v>
      </c>
      <c r="ES46" s="272">
        <v>1354204</v>
      </c>
      <c r="ET46" s="272">
        <v>925994</v>
      </c>
      <c r="EU46" s="272">
        <v>79279</v>
      </c>
      <c r="EV46" s="272">
        <v>566835</v>
      </c>
      <c r="EW46" s="455">
        <f t="shared" si="13"/>
        <v>204256</v>
      </c>
      <c r="EX46" s="272">
        <v>204256</v>
      </c>
      <c r="EY46" s="272">
        <v>22092</v>
      </c>
      <c r="EZ46" s="272">
        <v>180396</v>
      </c>
      <c r="FA46" s="272">
        <v>0</v>
      </c>
      <c r="FB46" s="272"/>
      <c r="FC46" s="272">
        <v>612202</v>
      </c>
      <c r="FD46" s="272">
        <v>427377</v>
      </c>
      <c r="FE46" s="272">
        <v>168433</v>
      </c>
      <c r="FF46" s="272">
        <v>319119</v>
      </c>
      <c r="FG46" s="455">
        <f t="shared" si="14"/>
        <v>52847</v>
      </c>
      <c r="FH46" s="272">
        <v>3616119</v>
      </c>
      <c r="FI46" s="384">
        <f t="shared" si="15"/>
        <v>4.8</v>
      </c>
      <c r="FJ46" s="272">
        <v>3572994</v>
      </c>
      <c r="FK46" s="272"/>
      <c r="FL46" s="272">
        <v>1594633</v>
      </c>
      <c r="FM46" s="272">
        <v>3062349</v>
      </c>
      <c r="FN46" s="460">
        <v>0.53200000000000003</v>
      </c>
      <c r="FO46" s="388">
        <v>83.6</v>
      </c>
      <c r="FP46" s="388">
        <v>38.1</v>
      </c>
      <c r="FQ46" s="388">
        <v>2.2999999999999998</v>
      </c>
      <c r="FR46" s="388">
        <v>16.399999999999999</v>
      </c>
      <c r="FS46" s="388">
        <v>15.2</v>
      </c>
      <c r="FT46" s="388">
        <v>7.7</v>
      </c>
      <c r="FU46" s="388">
        <v>3.7</v>
      </c>
      <c r="FV46" s="388">
        <v>10.4</v>
      </c>
      <c r="FW46" s="272">
        <v>7601231</v>
      </c>
      <c r="FX46" s="384">
        <f t="shared" si="16"/>
        <v>212.7</v>
      </c>
      <c r="FY46" s="272">
        <v>3174804</v>
      </c>
      <c r="FZ46" s="272">
        <v>1294543</v>
      </c>
      <c r="GA46" s="272">
        <v>374520</v>
      </c>
      <c r="GB46" s="272">
        <v>1505741</v>
      </c>
      <c r="GC46" s="272"/>
      <c r="GD46" s="272">
        <v>1044784</v>
      </c>
      <c r="GE46" s="384">
        <f>ROUND(GD46/FJ46*100,1)</f>
        <v>29.2</v>
      </c>
      <c r="GF46" s="388">
        <v>98.3</v>
      </c>
      <c r="GG46" s="388">
        <v>41.8</v>
      </c>
      <c r="GH46" s="388">
        <v>95.7</v>
      </c>
      <c r="GI46" s="272">
        <v>152</v>
      </c>
    </row>
    <row r="47" spans="2:191" x14ac:dyDescent="0.15">
      <c r="B47" s="89" t="s">
        <v>87</v>
      </c>
      <c r="C47" s="272">
        <v>782246</v>
      </c>
      <c r="D47" s="455">
        <f t="shared" si="0"/>
        <v>384330</v>
      </c>
      <c r="E47" s="272">
        <v>4996</v>
      </c>
      <c r="F47" s="272">
        <v>379334</v>
      </c>
      <c r="G47" s="455">
        <f t="shared" si="1"/>
        <v>48956</v>
      </c>
      <c r="H47" s="272">
        <v>10575</v>
      </c>
      <c r="I47" s="272">
        <v>38381</v>
      </c>
      <c r="J47" s="272">
        <v>319965</v>
      </c>
      <c r="K47" s="272">
        <v>103275</v>
      </c>
      <c r="L47" s="272">
        <v>156210</v>
      </c>
      <c r="M47" s="272">
        <v>60480</v>
      </c>
      <c r="N47" s="272">
        <v>15948</v>
      </c>
      <c r="O47" s="272">
        <v>0</v>
      </c>
      <c r="P47" s="272">
        <v>0</v>
      </c>
      <c r="Q47" s="272">
        <v>0</v>
      </c>
      <c r="R47" s="272">
        <v>49308</v>
      </c>
      <c r="S47" s="272">
        <v>27248</v>
      </c>
      <c r="T47" s="455">
        <f t="shared" si="2"/>
        <v>84696</v>
      </c>
      <c r="U47" s="272">
        <v>17930</v>
      </c>
      <c r="V47" s="272"/>
      <c r="W47" s="272"/>
      <c r="X47" s="272"/>
      <c r="Y47" s="272">
        <v>29816</v>
      </c>
      <c r="Z47" s="272">
        <v>0</v>
      </c>
      <c r="AA47" s="272">
        <v>36950</v>
      </c>
      <c r="AB47" s="272"/>
      <c r="AC47" s="272">
        <v>1244989</v>
      </c>
      <c r="AD47" s="272">
        <v>1062089</v>
      </c>
      <c r="AE47" s="272">
        <v>182900</v>
      </c>
      <c r="AF47" s="272">
        <v>1163</v>
      </c>
      <c r="AG47" s="272">
        <v>25265</v>
      </c>
      <c r="AH47" s="455">
        <f t="shared" si="3"/>
        <v>24445</v>
      </c>
      <c r="AI47" s="272">
        <v>15020</v>
      </c>
      <c r="AJ47" s="272">
        <v>9425</v>
      </c>
      <c r="AK47" s="272">
        <v>148126</v>
      </c>
      <c r="AL47" s="455">
        <f t="shared" si="4"/>
        <v>38962</v>
      </c>
      <c r="AM47" s="272">
        <v>0</v>
      </c>
      <c r="AN47" s="272">
        <v>17894</v>
      </c>
      <c r="AO47" s="272">
        <v>0</v>
      </c>
      <c r="AP47" s="272">
        <v>21068</v>
      </c>
      <c r="AQ47" s="272">
        <v>81639</v>
      </c>
      <c r="AR47" s="272">
        <v>0</v>
      </c>
      <c r="AS47" s="272">
        <v>0</v>
      </c>
      <c r="AT47" s="272">
        <v>421440</v>
      </c>
      <c r="AU47" s="272">
        <v>78225</v>
      </c>
      <c r="AV47" s="272">
        <v>9014</v>
      </c>
      <c r="AW47" s="272">
        <v>30465</v>
      </c>
      <c r="AX47" s="272">
        <v>343215</v>
      </c>
      <c r="AY47" s="272">
        <v>275636</v>
      </c>
      <c r="AZ47" s="272">
        <v>16496</v>
      </c>
      <c r="BA47" s="272">
        <v>0</v>
      </c>
      <c r="BB47" s="272">
        <v>207</v>
      </c>
      <c r="BC47" s="272">
        <v>102683</v>
      </c>
      <c r="BD47" s="272">
        <v>0</v>
      </c>
      <c r="BE47" s="272">
        <v>22591</v>
      </c>
      <c r="BF47" s="272">
        <v>80072</v>
      </c>
      <c r="BG47" s="272">
        <v>0</v>
      </c>
      <c r="BH47" s="272">
        <v>26049</v>
      </c>
      <c r="BI47" s="272">
        <v>26049</v>
      </c>
      <c r="BJ47" s="272">
        <v>34582</v>
      </c>
      <c r="BK47" s="272">
        <v>0</v>
      </c>
      <c r="BL47" s="272">
        <v>1413</v>
      </c>
      <c r="BM47" s="272">
        <v>0</v>
      </c>
      <c r="BN47" s="272">
        <v>393500</v>
      </c>
      <c r="BO47" s="455">
        <f t="shared" si="5"/>
        <v>309900</v>
      </c>
      <c r="BP47" s="455">
        <f t="shared" si="6"/>
        <v>83600</v>
      </c>
      <c r="BQ47" s="272">
        <v>83600</v>
      </c>
      <c r="BR47" s="272"/>
      <c r="BS47" s="272"/>
      <c r="BT47" s="272">
        <v>0</v>
      </c>
      <c r="BU47" s="272">
        <v>3355195</v>
      </c>
      <c r="BV47" s="272"/>
      <c r="BW47" s="272">
        <v>969498</v>
      </c>
      <c r="BX47" s="272">
        <v>648044</v>
      </c>
      <c r="BY47" s="272">
        <v>70113</v>
      </c>
      <c r="BZ47" s="272">
        <v>17293</v>
      </c>
      <c r="CA47" s="272">
        <v>157870</v>
      </c>
      <c r="CB47" s="272">
        <v>16109</v>
      </c>
      <c r="CC47" s="272">
        <v>79332</v>
      </c>
      <c r="CD47" s="272">
        <v>61584</v>
      </c>
      <c r="CE47" s="272">
        <v>0</v>
      </c>
      <c r="CF47" s="272">
        <v>0</v>
      </c>
      <c r="CG47" s="272">
        <v>845</v>
      </c>
      <c r="CH47" s="272">
        <v>350193</v>
      </c>
      <c r="CI47" s="272">
        <v>200387</v>
      </c>
      <c r="CJ47" s="455">
        <f t="shared" si="7"/>
        <v>149806</v>
      </c>
      <c r="CK47" s="272">
        <v>471363</v>
      </c>
      <c r="CL47" s="272">
        <v>221921</v>
      </c>
      <c r="CM47" s="272">
        <v>25216</v>
      </c>
      <c r="CN47" s="272">
        <v>119614</v>
      </c>
      <c r="CO47" s="272">
        <v>15202</v>
      </c>
      <c r="CP47" s="272">
        <v>302736</v>
      </c>
      <c r="CQ47" s="272">
        <v>112505</v>
      </c>
      <c r="CR47" s="272">
        <v>71060</v>
      </c>
      <c r="CS47" s="272">
        <v>36918</v>
      </c>
      <c r="CT47" s="455">
        <f t="shared" si="8"/>
        <v>6552</v>
      </c>
      <c r="CU47" s="272">
        <v>6552</v>
      </c>
      <c r="CV47" s="272">
        <v>0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818361</v>
      </c>
      <c r="DD47" s="272">
        <v>290247</v>
      </c>
      <c r="DE47" s="272">
        <v>516586</v>
      </c>
      <c r="DF47" s="272">
        <v>3946</v>
      </c>
      <c r="DG47" s="272">
        <v>7582</v>
      </c>
      <c r="DH47" s="272">
        <v>0</v>
      </c>
      <c r="DI47" s="272">
        <v>46805</v>
      </c>
      <c r="DJ47" s="272">
        <v>19665</v>
      </c>
      <c r="DK47" s="272">
        <v>2442</v>
      </c>
      <c r="DL47" s="272">
        <v>24698</v>
      </c>
      <c r="DM47" s="272">
        <v>300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194370</v>
      </c>
      <c r="DU47" s="272">
        <v>81269</v>
      </c>
      <c r="DV47" s="455">
        <f t="shared" si="11"/>
        <v>0</v>
      </c>
      <c r="DW47" s="272">
        <v>0</v>
      </c>
      <c r="DX47" s="272">
        <v>0</v>
      </c>
      <c r="DY47" s="272">
        <v>0</v>
      </c>
      <c r="DZ47" s="272">
        <v>46183</v>
      </c>
      <c r="EA47" s="272">
        <v>36523</v>
      </c>
      <c r="EB47" s="272"/>
      <c r="EC47" s="272">
        <v>0</v>
      </c>
      <c r="ED47" s="272">
        <v>3326698</v>
      </c>
      <c r="EF47" s="272">
        <v>28497</v>
      </c>
      <c r="EG47" s="272">
        <v>0</v>
      </c>
      <c r="EH47" s="272">
        <v>28497</v>
      </c>
      <c r="EI47" s="272">
        <v>2448</v>
      </c>
      <c r="EJ47" s="272">
        <v>22113</v>
      </c>
      <c r="EL47" s="272"/>
      <c r="EM47" s="272">
        <v>7489</v>
      </c>
      <c r="EN47" s="272">
        <v>102663</v>
      </c>
      <c r="EO47" s="272">
        <v>400</v>
      </c>
      <c r="EP47" s="455">
        <f t="shared" si="12"/>
        <v>46070</v>
      </c>
      <c r="EQ47" s="272">
        <v>2162402</v>
      </c>
      <c r="ER47" s="272">
        <v>-231570</v>
      </c>
      <c r="ES47" s="272">
        <v>936724</v>
      </c>
      <c r="ET47" s="272">
        <v>617064</v>
      </c>
      <c r="EU47" s="272">
        <v>38736</v>
      </c>
      <c r="EV47" s="272">
        <v>350193</v>
      </c>
      <c r="EW47" s="455">
        <f t="shared" si="13"/>
        <v>114533</v>
      </c>
      <c r="EX47" s="272">
        <v>114533</v>
      </c>
      <c r="EY47" s="272">
        <v>21004</v>
      </c>
      <c r="EZ47" s="272">
        <v>91239</v>
      </c>
      <c r="FA47" s="272">
        <v>0</v>
      </c>
      <c r="FB47" s="272"/>
      <c r="FC47" s="272">
        <v>407988</v>
      </c>
      <c r="FD47" s="272">
        <v>283525</v>
      </c>
      <c r="FE47" s="272">
        <v>112505</v>
      </c>
      <c r="FF47" s="272">
        <v>184274</v>
      </c>
      <c r="FG47" s="455">
        <f t="shared" si="14"/>
        <v>49502</v>
      </c>
      <c r="FH47" s="272">
        <v>2365475</v>
      </c>
      <c r="FI47" s="384">
        <f t="shared" si="15"/>
        <v>1.4</v>
      </c>
      <c r="FJ47" s="272">
        <v>2055509</v>
      </c>
      <c r="FK47" s="272"/>
      <c r="FL47" s="272">
        <v>752622</v>
      </c>
      <c r="FM47" s="272">
        <v>1814711</v>
      </c>
      <c r="FN47" s="460">
        <v>0.42199999999999999</v>
      </c>
      <c r="FO47" s="388">
        <v>97.4</v>
      </c>
      <c r="FP47" s="388">
        <v>44.5</v>
      </c>
      <c r="FQ47" s="388">
        <v>2</v>
      </c>
      <c r="FR47" s="388">
        <v>17.600000000000001</v>
      </c>
      <c r="FS47" s="388">
        <v>16</v>
      </c>
      <c r="FT47" s="388">
        <v>12.4</v>
      </c>
      <c r="FU47" s="388">
        <v>4.2</v>
      </c>
      <c r="FV47" s="388">
        <v>10.8</v>
      </c>
      <c r="FW47" s="272">
        <v>3270425</v>
      </c>
      <c r="FX47" s="384">
        <f t="shared" si="16"/>
        <v>159.1</v>
      </c>
      <c r="FY47" s="272">
        <v>1429333</v>
      </c>
      <c r="FZ47" s="272">
        <v>483241</v>
      </c>
      <c r="GA47" s="272">
        <v>229925</v>
      </c>
      <c r="GB47" s="272">
        <v>716167</v>
      </c>
      <c r="GC47" s="272"/>
      <c r="GD47" s="272"/>
      <c r="GE47" s="384"/>
      <c r="GF47" s="388">
        <v>99.1</v>
      </c>
      <c r="GG47" s="388">
        <v>21.7</v>
      </c>
      <c r="GH47" s="388">
        <v>96.7</v>
      </c>
      <c r="GI47" s="272">
        <v>103</v>
      </c>
    </row>
    <row r="48" spans="2:191" x14ac:dyDescent="0.15">
      <c r="B48" s="89" t="s">
        <v>839</v>
      </c>
      <c r="C48" s="272">
        <v>6662764</v>
      </c>
      <c r="D48" s="455">
        <f t="shared" si="0"/>
        <v>2171531</v>
      </c>
      <c r="E48" s="272">
        <v>26596</v>
      </c>
      <c r="F48" s="272">
        <v>2144935</v>
      </c>
      <c r="G48" s="455">
        <f t="shared" si="1"/>
        <v>625299</v>
      </c>
      <c r="H48" s="272">
        <v>120619</v>
      </c>
      <c r="I48" s="272">
        <v>504680</v>
      </c>
      <c r="J48" s="272">
        <v>3228120</v>
      </c>
      <c r="K48" s="272">
        <v>1646769</v>
      </c>
      <c r="L48" s="272">
        <v>1088415</v>
      </c>
      <c r="M48" s="272">
        <v>485882</v>
      </c>
      <c r="N48" s="272">
        <v>182043</v>
      </c>
      <c r="O48" s="272">
        <v>412747</v>
      </c>
      <c r="P48" s="272">
        <v>273564</v>
      </c>
      <c r="Q48" s="272">
        <v>139183</v>
      </c>
      <c r="R48" s="272">
        <v>287489</v>
      </c>
      <c r="S48" s="272">
        <v>205524</v>
      </c>
      <c r="T48" s="455">
        <f t="shared" si="2"/>
        <v>255096</v>
      </c>
      <c r="U48" s="272">
        <v>98870</v>
      </c>
      <c r="V48" s="272"/>
      <c r="W48" s="272"/>
      <c r="X48" s="272"/>
      <c r="Y48" s="272">
        <v>19216</v>
      </c>
      <c r="Z48" s="272">
        <v>0</v>
      </c>
      <c r="AA48" s="272">
        <v>137010</v>
      </c>
      <c r="AB48" s="272"/>
      <c r="AC48" s="272">
        <v>743253</v>
      </c>
      <c r="AD48" s="272">
        <v>553275</v>
      </c>
      <c r="AE48" s="272">
        <v>189978</v>
      </c>
      <c r="AF48" s="272">
        <v>10967</v>
      </c>
      <c r="AG48" s="272">
        <v>40473</v>
      </c>
      <c r="AH48" s="455">
        <f t="shared" si="3"/>
        <v>209270</v>
      </c>
      <c r="AI48" s="272">
        <v>118617</v>
      </c>
      <c r="AJ48" s="272">
        <v>90653</v>
      </c>
      <c r="AK48" s="272">
        <v>384078</v>
      </c>
      <c r="AL48" s="455">
        <f t="shared" si="4"/>
        <v>97935</v>
      </c>
      <c r="AM48" s="272">
        <v>0</v>
      </c>
      <c r="AN48" s="272">
        <v>41319</v>
      </c>
      <c r="AO48" s="272">
        <v>0</v>
      </c>
      <c r="AP48" s="272">
        <v>56616</v>
      </c>
      <c r="AQ48" s="272">
        <v>150648</v>
      </c>
      <c r="AR48" s="272">
        <v>0</v>
      </c>
      <c r="AS48" s="272">
        <v>0</v>
      </c>
      <c r="AT48" s="272">
        <v>558849</v>
      </c>
      <c r="AU48" s="272">
        <v>200421</v>
      </c>
      <c r="AV48" s="272">
        <v>20813</v>
      </c>
      <c r="AW48" s="272">
        <v>0</v>
      </c>
      <c r="AX48" s="272">
        <v>358428</v>
      </c>
      <c r="AY48" s="272">
        <v>109900</v>
      </c>
      <c r="AZ48" s="272">
        <v>83550</v>
      </c>
      <c r="BA48" s="272">
        <v>26561</v>
      </c>
      <c r="BB48" s="272">
        <v>37299</v>
      </c>
      <c r="BC48" s="272">
        <v>1793</v>
      </c>
      <c r="BD48" s="272">
        <v>0</v>
      </c>
      <c r="BE48" s="272">
        <v>0</v>
      </c>
      <c r="BF48" s="272">
        <v>0</v>
      </c>
      <c r="BG48" s="272">
        <v>0</v>
      </c>
      <c r="BH48" s="272">
        <v>148100</v>
      </c>
      <c r="BI48" s="272">
        <v>148100</v>
      </c>
      <c r="BJ48" s="272">
        <v>59880</v>
      </c>
      <c r="BK48" s="272">
        <v>8214</v>
      </c>
      <c r="BL48" s="272">
        <v>0</v>
      </c>
      <c r="BM48" s="272">
        <v>0</v>
      </c>
      <c r="BN48" s="272">
        <v>951800</v>
      </c>
      <c r="BO48" s="455">
        <f t="shared" si="5"/>
        <v>518400</v>
      </c>
      <c r="BP48" s="455">
        <f t="shared" si="6"/>
        <v>433400</v>
      </c>
      <c r="BQ48" s="272">
        <v>433400</v>
      </c>
      <c r="BR48" s="272"/>
      <c r="BS48" s="272"/>
      <c r="BT48" s="272">
        <v>0</v>
      </c>
      <c r="BU48" s="272">
        <v>10434661</v>
      </c>
      <c r="BV48" s="272"/>
      <c r="BW48" s="272">
        <v>3126361</v>
      </c>
      <c r="BX48" s="272">
        <v>2426697</v>
      </c>
      <c r="BY48" s="272">
        <v>71528</v>
      </c>
      <c r="BZ48" s="272">
        <v>27685</v>
      </c>
      <c r="CA48" s="272">
        <v>494447</v>
      </c>
      <c r="CB48" s="272">
        <v>125089</v>
      </c>
      <c r="CC48" s="272">
        <v>277240</v>
      </c>
      <c r="CD48" s="272">
        <v>82364</v>
      </c>
      <c r="CE48" s="272">
        <v>0</v>
      </c>
      <c r="CF48" s="272">
        <v>0</v>
      </c>
      <c r="CG48" s="272">
        <v>9704</v>
      </c>
      <c r="CH48" s="272">
        <v>935723</v>
      </c>
      <c r="CI48" s="272">
        <v>482825</v>
      </c>
      <c r="CJ48" s="455">
        <f t="shared" si="7"/>
        <v>452898</v>
      </c>
      <c r="CK48" s="272">
        <v>1616947</v>
      </c>
      <c r="CL48" s="272">
        <v>962401</v>
      </c>
      <c r="CM48" s="272">
        <v>124145</v>
      </c>
      <c r="CN48" s="272">
        <v>299207</v>
      </c>
      <c r="CO48" s="272">
        <v>36664</v>
      </c>
      <c r="CP48" s="272">
        <v>751472</v>
      </c>
      <c r="CQ48" s="272">
        <v>398793</v>
      </c>
      <c r="CR48" s="272">
        <v>152409</v>
      </c>
      <c r="CS48" s="272">
        <v>138843</v>
      </c>
      <c r="CT48" s="455">
        <f t="shared" si="8"/>
        <v>27319</v>
      </c>
      <c r="CU48" s="272">
        <v>27319</v>
      </c>
      <c r="CV48" s="272">
        <v>0</v>
      </c>
      <c r="CW48" s="455">
        <f t="shared" si="9"/>
        <v>0</v>
      </c>
      <c r="CX48" s="272">
        <v>0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1764597</v>
      </c>
      <c r="DD48" s="272">
        <v>427032</v>
      </c>
      <c r="DE48" s="272">
        <v>1289364</v>
      </c>
      <c r="DF48" s="272">
        <v>10101</v>
      </c>
      <c r="DG48" s="272">
        <v>38100</v>
      </c>
      <c r="DH48" s="272">
        <v>0</v>
      </c>
      <c r="DI48" s="272">
        <v>355544</v>
      </c>
      <c r="DJ48" s="272">
        <v>82939</v>
      </c>
      <c r="DK48" s="272">
        <v>6669</v>
      </c>
      <c r="DL48" s="272">
        <v>265936</v>
      </c>
      <c r="DM48" s="272">
        <v>0</v>
      </c>
      <c r="DN48" s="272">
        <v>0</v>
      </c>
      <c r="DO48" s="272">
        <v>0</v>
      </c>
      <c r="DP48" s="272">
        <v>0</v>
      </c>
      <c r="DQ48" s="272">
        <v>0</v>
      </c>
      <c r="DR48" s="272">
        <v>0</v>
      </c>
      <c r="DS48" s="272">
        <v>0</v>
      </c>
      <c r="DT48" s="272">
        <v>1180542</v>
      </c>
      <c r="DU48" s="272">
        <v>812352</v>
      </c>
      <c r="DV48" s="455">
        <f t="shared" si="11"/>
        <v>0</v>
      </c>
      <c r="DW48" s="272">
        <v>0</v>
      </c>
      <c r="DX48" s="272">
        <v>0</v>
      </c>
      <c r="DY48" s="272">
        <v>0</v>
      </c>
      <c r="DZ48" s="272">
        <v>180000</v>
      </c>
      <c r="EA48" s="272">
        <v>138678</v>
      </c>
      <c r="EB48" s="272"/>
      <c r="EC48" s="272">
        <v>0</v>
      </c>
      <c r="ED48" s="272">
        <v>10262297</v>
      </c>
      <c r="EF48" s="272">
        <v>172364</v>
      </c>
      <c r="EG48" s="272">
        <v>0</v>
      </c>
      <c r="EH48" s="272">
        <v>172364</v>
      </c>
      <c r="EI48" s="272">
        <v>24264</v>
      </c>
      <c r="EJ48" s="272">
        <v>107203</v>
      </c>
      <c r="EL48" s="272"/>
      <c r="EM48" s="272">
        <v>37803</v>
      </c>
      <c r="EN48" s="272">
        <v>1793</v>
      </c>
      <c r="EO48" s="272">
        <v>30061</v>
      </c>
      <c r="EP48" s="455">
        <f t="shared" si="12"/>
        <v>243865</v>
      </c>
      <c r="EQ48" s="272">
        <v>7959569</v>
      </c>
      <c r="ER48" s="272">
        <v>-698152</v>
      </c>
      <c r="ES48" s="272">
        <v>2850922</v>
      </c>
      <c r="ET48" s="272">
        <v>2211873</v>
      </c>
      <c r="EU48" s="272">
        <v>140209</v>
      </c>
      <c r="EV48" s="272">
        <v>935723</v>
      </c>
      <c r="EW48" s="455">
        <f t="shared" si="13"/>
        <v>962183</v>
      </c>
      <c r="EX48" s="272">
        <v>962183</v>
      </c>
      <c r="EY48" s="272">
        <v>200184</v>
      </c>
      <c r="EZ48" s="272">
        <v>751898</v>
      </c>
      <c r="FA48" s="272">
        <v>0</v>
      </c>
      <c r="FB48" s="272"/>
      <c r="FC48" s="272">
        <v>1386465</v>
      </c>
      <c r="FD48" s="272">
        <v>728668</v>
      </c>
      <c r="FE48" s="272">
        <v>398793</v>
      </c>
      <c r="FF48" s="272">
        <v>1134622</v>
      </c>
      <c r="FG48" s="455">
        <f t="shared" si="14"/>
        <v>346565</v>
      </c>
      <c r="FH48" s="272">
        <v>8485357</v>
      </c>
      <c r="FI48" s="384">
        <f t="shared" si="15"/>
        <v>2.2999999999999998</v>
      </c>
      <c r="FJ48" s="272">
        <v>7594636</v>
      </c>
      <c r="FK48" s="272"/>
      <c r="FL48" s="272">
        <v>5309689</v>
      </c>
      <c r="FM48" s="272">
        <v>5857878</v>
      </c>
      <c r="FN48" s="460">
        <v>0.90300000000000002</v>
      </c>
      <c r="FO48" s="388">
        <v>84.8</v>
      </c>
      <c r="FP48" s="388">
        <v>38.200000000000003</v>
      </c>
      <c r="FQ48" s="388">
        <v>1.9</v>
      </c>
      <c r="FR48" s="388">
        <v>12.7</v>
      </c>
      <c r="FS48" s="388">
        <v>17.399999999999999</v>
      </c>
      <c r="FT48" s="388">
        <v>7.5</v>
      </c>
      <c r="FU48" s="388">
        <v>6.6</v>
      </c>
      <c r="FV48" s="388">
        <v>8.6</v>
      </c>
      <c r="FW48" s="272">
        <v>9808437</v>
      </c>
      <c r="FX48" s="384">
        <f t="shared" si="16"/>
        <v>129.1</v>
      </c>
      <c r="FY48" s="272">
        <v>8584150</v>
      </c>
      <c r="FZ48" s="272">
        <v>2120816</v>
      </c>
      <c r="GA48" s="272">
        <v>965078</v>
      </c>
      <c r="GB48" s="272">
        <v>5498256</v>
      </c>
      <c r="GC48" s="272"/>
      <c r="GD48" s="272">
        <v>5653771</v>
      </c>
      <c r="GE48" s="384">
        <f>ROUND(GD48/FJ48*100,1)</f>
        <v>74.400000000000006</v>
      </c>
      <c r="GF48" s="388">
        <v>96.4</v>
      </c>
      <c r="GG48" s="388">
        <v>27.9</v>
      </c>
      <c r="GH48" s="388">
        <v>89</v>
      </c>
      <c r="GI48" s="272">
        <v>371</v>
      </c>
    </row>
    <row r="49" spans="2:191" x14ac:dyDescent="0.15">
      <c r="B49" s="21" t="s">
        <v>89</v>
      </c>
      <c r="C49" s="272">
        <f>SUM(C38:C48)</f>
        <v>35414736</v>
      </c>
      <c r="D49" s="455">
        <f t="shared" si="0"/>
        <v>12990321</v>
      </c>
      <c r="E49" s="272">
        <f>SUM(E38:E48)</f>
        <v>159681</v>
      </c>
      <c r="F49" s="272">
        <f>SUM(F38:F48)</f>
        <v>12830640</v>
      </c>
      <c r="G49" s="455">
        <f t="shared" si="1"/>
        <v>3003981</v>
      </c>
      <c r="H49" s="272">
        <f t="shared" ref="H49:S49" si="25">SUM(H38:H48)</f>
        <v>427495</v>
      </c>
      <c r="I49" s="272">
        <f t="shared" si="25"/>
        <v>2576486</v>
      </c>
      <c r="J49" s="272">
        <f t="shared" si="25"/>
        <v>16932922</v>
      </c>
      <c r="K49" s="272">
        <f t="shared" si="25"/>
        <v>8296612</v>
      </c>
      <c r="L49" s="272">
        <f t="shared" si="25"/>
        <v>5969605</v>
      </c>
      <c r="M49" s="272">
        <f t="shared" si="25"/>
        <v>2604577</v>
      </c>
      <c r="N49" s="272">
        <f t="shared" si="25"/>
        <v>860359</v>
      </c>
      <c r="O49" s="272">
        <f t="shared" si="25"/>
        <v>1122059</v>
      </c>
      <c r="P49" s="272">
        <f t="shared" si="25"/>
        <v>767318</v>
      </c>
      <c r="Q49" s="272">
        <f t="shared" si="25"/>
        <v>354741</v>
      </c>
      <c r="R49" s="272">
        <f t="shared" si="25"/>
        <v>1620694</v>
      </c>
      <c r="S49" s="272">
        <f t="shared" si="25"/>
        <v>963423</v>
      </c>
      <c r="T49" s="455">
        <f t="shared" si="2"/>
        <v>1911499</v>
      </c>
      <c r="U49" s="272">
        <f>SUM(U38:U48)</f>
        <v>577941</v>
      </c>
      <c r="V49" s="272"/>
      <c r="W49" s="272"/>
      <c r="X49" s="272"/>
      <c r="Y49" s="272">
        <f>SUM(Y38:Y48)</f>
        <v>317044</v>
      </c>
      <c r="Z49" s="272">
        <f>SUM(Z38:Z48)</f>
        <v>6637</v>
      </c>
      <c r="AA49" s="272">
        <f>SUM(AA38:AA48)</f>
        <v>1009877</v>
      </c>
      <c r="AB49" s="272"/>
      <c r="AC49" s="272">
        <f>SUM(AC38:AC48)</f>
        <v>14530585</v>
      </c>
      <c r="AD49" s="272">
        <f>SUM(AD38:AD48)</f>
        <v>12267519</v>
      </c>
      <c r="AE49" s="272">
        <f>SUM(AE38:AE48)</f>
        <v>2263066</v>
      </c>
      <c r="AF49" s="272">
        <f>SUM(AF38:AF48)</f>
        <v>50902</v>
      </c>
      <c r="AG49" s="272">
        <f>SUM(AG38:AG48)</f>
        <v>494969</v>
      </c>
      <c r="AH49" s="455">
        <f t="shared" si="3"/>
        <v>1337272</v>
      </c>
      <c r="AI49" s="272">
        <f>SUM(AI38:AI48)</f>
        <v>1015444</v>
      </c>
      <c r="AJ49" s="272">
        <f>SUM(AJ38:AJ48)</f>
        <v>321828</v>
      </c>
      <c r="AK49" s="272">
        <f>SUM(AK38:AK48)</f>
        <v>3971794</v>
      </c>
      <c r="AL49" s="455">
        <f t="shared" si="4"/>
        <v>802685</v>
      </c>
      <c r="AM49" s="272">
        <f t="shared" ref="AM49:BN49" si="26">SUM(AM38:AM48)</f>
        <v>54711</v>
      </c>
      <c r="AN49" s="272">
        <f t="shared" si="26"/>
        <v>342623</v>
      </c>
      <c r="AO49" s="272">
        <f t="shared" si="26"/>
        <v>0</v>
      </c>
      <c r="AP49" s="272">
        <f t="shared" si="26"/>
        <v>405351</v>
      </c>
      <c r="AQ49" s="272">
        <f t="shared" si="26"/>
        <v>2233009</v>
      </c>
      <c r="AR49" s="272">
        <f t="shared" si="26"/>
        <v>0</v>
      </c>
      <c r="AS49" s="272">
        <f t="shared" si="26"/>
        <v>0</v>
      </c>
      <c r="AT49" s="272">
        <f t="shared" si="26"/>
        <v>6792131</v>
      </c>
      <c r="AU49" s="272">
        <f t="shared" si="26"/>
        <v>2181773</v>
      </c>
      <c r="AV49" s="272">
        <f t="shared" si="26"/>
        <v>161368</v>
      </c>
      <c r="AW49" s="272">
        <f t="shared" si="26"/>
        <v>663636</v>
      </c>
      <c r="AX49" s="272">
        <f t="shared" si="26"/>
        <v>4610358</v>
      </c>
      <c r="AY49" s="272">
        <f t="shared" si="26"/>
        <v>2601147</v>
      </c>
      <c r="AZ49" s="272">
        <f t="shared" si="26"/>
        <v>795584</v>
      </c>
      <c r="BA49" s="272">
        <f t="shared" si="26"/>
        <v>344194</v>
      </c>
      <c r="BB49" s="272">
        <f t="shared" si="26"/>
        <v>1147315</v>
      </c>
      <c r="BC49" s="272">
        <f t="shared" si="26"/>
        <v>4111578</v>
      </c>
      <c r="BD49" s="272">
        <f t="shared" si="26"/>
        <v>308222</v>
      </c>
      <c r="BE49" s="272">
        <f t="shared" si="26"/>
        <v>73528</v>
      </c>
      <c r="BF49" s="272">
        <f t="shared" si="26"/>
        <v>3624304</v>
      </c>
      <c r="BG49" s="272">
        <f t="shared" si="26"/>
        <v>2268</v>
      </c>
      <c r="BH49" s="272">
        <f t="shared" si="26"/>
        <v>3017423</v>
      </c>
      <c r="BI49" s="272">
        <f t="shared" si="26"/>
        <v>1947649</v>
      </c>
      <c r="BJ49" s="272">
        <f t="shared" si="26"/>
        <v>932174</v>
      </c>
      <c r="BK49" s="272">
        <f t="shared" si="26"/>
        <v>260376</v>
      </c>
      <c r="BL49" s="272">
        <f t="shared" si="26"/>
        <v>1413</v>
      </c>
      <c r="BM49" s="272">
        <f t="shared" si="26"/>
        <v>0</v>
      </c>
      <c r="BN49" s="272">
        <f t="shared" si="26"/>
        <v>10726569</v>
      </c>
      <c r="BO49" s="455">
        <f t="shared" si="5"/>
        <v>8276169</v>
      </c>
      <c r="BP49" s="455">
        <f t="shared" si="6"/>
        <v>2450400</v>
      </c>
      <c r="BQ49" s="272">
        <f>SUM(BQ38:BQ48)</f>
        <v>2450400</v>
      </c>
      <c r="BR49" s="272"/>
      <c r="BS49" s="272"/>
      <c r="BT49" s="272">
        <v>0</v>
      </c>
      <c r="BU49" s="272">
        <f>SUM(BU38:BU48)</f>
        <v>86855225</v>
      </c>
      <c r="BV49" s="272"/>
      <c r="BW49" s="272">
        <f t="shared" ref="BW49:CI49" si="27">SUM(BW38:BW48)</f>
        <v>21549747</v>
      </c>
      <c r="BX49" s="272">
        <f t="shared" si="27"/>
        <v>15472013</v>
      </c>
      <c r="BY49" s="272">
        <f t="shared" si="27"/>
        <v>1119481</v>
      </c>
      <c r="BZ49" s="272">
        <f t="shared" si="27"/>
        <v>551370</v>
      </c>
      <c r="CA49" s="272">
        <f t="shared" si="27"/>
        <v>3901920</v>
      </c>
      <c r="CB49" s="272">
        <f t="shared" si="27"/>
        <v>804895</v>
      </c>
      <c r="CC49" s="272">
        <f t="shared" si="27"/>
        <v>2012933</v>
      </c>
      <c r="CD49" s="272">
        <f t="shared" si="27"/>
        <v>920191</v>
      </c>
      <c r="CE49" s="272">
        <f t="shared" si="27"/>
        <v>74136</v>
      </c>
      <c r="CF49" s="272">
        <f t="shared" si="27"/>
        <v>4533</v>
      </c>
      <c r="CG49" s="272">
        <f t="shared" si="27"/>
        <v>84224</v>
      </c>
      <c r="CH49" s="272">
        <f t="shared" si="27"/>
        <v>7762421</v>
      </c>
      <c r="CI49" s="272">
        <f t="shared" si="27"/>
        <v>4326227</v>
      </c>
      <c r="CJ49" s="455">
        <f t="shared" si="7"/>
        <v>3436194</v>
      </c>
      <c r="CK49" s="272">
        <f t="shared" ref="CK49:CS49" si="28">SUM(CK38:CK48)</f>
        <v>11260700</v>
      </c>
      <c r="CL49" s="272">
        <f t="shared" si="28"/>
        <v>5518699</v>
      </c>
      <c r="CM49" s="272">
        <f t="shared" si="28"/>
        <v>845545</v>
      </c>
      <c r="CN49" s="272">
        <f t="shared" si="28"/>
        <v>2889522</v>
      </c>
      <c r="CO49" s="272">
        <f t="shared" si="28"/>
        <v>803446</v>
      </c>
      <c r="CP49" s="272">
        <f t="shared" si="28"/>
        <v>5074684</v>
      </c>
      <c r="CQ49" s="272">
        <f t="shared" si="28"/>
        <v>1533891</v>
      </c>
      <c r="CR49" s="272">
        <f t="shared" si="28"/>
        <v>1402458</v>
      </c>
      <c r="CS49" s="272">
        <f t="shared" si="28"/>
        <v>1313281</v>
      </c>
      <c r="CT49" s="455">
        <f t="shared" si="8"/>
        <v>360002</v>
      </c>
      <c r="CU49" s="272">
        <f>SUM(CU38:CU48)</f>
        <v>196720</v>
      </c>
      <c r="CV49" s="272">
        <f>SUM(CV38:CV48)</f>
        <v>163282</v>
      </c>
      <c r="CW49" s="455">
        <f t="shared" si="9"/>
        <v>132049</v>
      </c>
      <c r="CX49" s="272">
        <f>SUM(CX38:CX48)</f>
        <v>100151</v>
      </c>
      <c r="CY49" s="272">
        <f>SUM(CY38:CY48)</f>
        <v>31898</v>
      </c>
      <c r="CZ49" s="455">
        <f t="shared" si="10"/>
        <v>0</v>
      </c>
      <c r="DA49" s="272">
        <f t="shared" ref="DA49:DU49" si="29">SUM(DA38:DA48)</f>
        <v>0</v>
      </c>
      <c r="DB49" s="272">
        <f t="shared" si="29"/>
        <v>0</v>
      </c>
      <c r="DC49" s="272">
        <f t="shared" si="29"/>
        <v>22863684</v>
      </c>
      <c r="DD49" s="272">
        <f t="shared" si="29"/>
        <v>6428591</v>
      </c>
      <c r="DE49" s="272">
        <f t="shared" si="29"/>
        <v>15770370</v>
      </c>
      <c r="DF49" s="272">
        <f t="shared" si="29"/>
        <v>215192</v>
      </c>
      <c r="DG49" s="272">
        <f t="shared" si="29"/>
        <v>331432</v>
      </c>
      <c r="DH49" s="272">
        <f t="shared" si="29"/>
        <v>95439</v>
      </c>
      <c r="DI49" s="272">
        <f t="shared" si="29"/>
        <v>4350251</v>
      </c>
      <c r="DJ49" s="272">
        <f t="shared" si="29"/>
        <v>1862999</v>
      </c>
      <c r="DK49" s="272">
        <f t="shared" si="29"/>
        <v>284016</v>
      </c>
      <c r="DL49" s="272">
        <f t="shared" si="29"/>
        <v>2203236</v>
      </c>
      <c r="DM49" s="272">
        <f t="shared" si="29"/>
        <v>48957</v>
      </c>
      <c r="DN49" s="272">
        <f t="shared" si="29"/>
        <v>3207</v>
      </c>
      <c r="DO49" s="272">
        <f t="shared" si="29"/>
        <v>3207</v>
      </c>
      <c r="DP49" s="272">
        <f t="shared" si="29"/>
        <v>0</v>
      </c>
      <c r="DQ49" s="272">
        <f t="shared" si="29"/>
        <v>6484</v>
      </c>
      <c r="DR49" s="272">
        <f t="shared" si="29"/>
        <v>0</v>
      </c>
      <c r="DS49" s="272">
        <f t="shared" si="29"/>
        <v>0</v>
      </c>
      <c r="DT49" s="272">
        <f t="shared" si="29"/>
        <v>6598746</v>
      </c>
      <c r="DU49" s="272">
        <f t="shared" si="29"/>
        <v>3812216</v>
      </c>
      <c r="DV49" s="455">
        <f t="shared" si="11"/>
        <v>0</v>
      </c>
      <c r="DW49" s="272">
        <f>SUM(DW38:DW48)</f>
        <v>0</v>
      </c>
      <c r="DX49" s="272">
        <v>0</v>
      </c>
      <c r="DY49" s="272">
        <f>SUM(DY38:DY48)</f>
        <v>0</v>
      </c>
      <c r="DZ49" s="272">
        <f>SUM(DZ38:DZ48)</f>
        <v>1292840</v>
      </c>
      <c r="EA49" s="272">
        <f>SUM(EA38:EA48)</f>
        <v>954151</v>
      </c>
      <c r="EB49" s="272"/>
      <c r="EC49" s="272">
        <f>SUM(EC38:EC48)</f>
        <v>0</v>
      </c>
      <c r="ED49" s="272">
        <f>SUM(ED38:ED48)</f>
        <v>84316479</v>
      </c>
      <c r="EE49" s="272"/>
      <c r="EF49" s="272">
        <f>SUM(EF38:EF48)</f>
        <v>2538746</v>
      </c>
      <c r="EG49" s="272">
        <f>SUM(EG38:EG48)</f>
        <v>937953</v>
      </c>
      <c r="EH49" s="272">
        <f>SUM(EH38:EH48)</f>
        <v>1600793</v>
      </c>
      <c r="EI49" s="272">
        <f>SUM(EI38:EI48)</f>
        <v>-426856</v>
      </c>
      <c r="EJ49" s="272">
        <f>SUM(EJ38:EJ48)</f>
        <v>1131263</v>
      </c>
      <c r="EL49" s="272"/>
      <c r="EM49" s="272">
        <f>SUM(EM38:EM48)</f>
        <v>231930</v>
      </c>
      <c r="EN49" s="272">
        <f>SUM(EN38:EN48)</f>
        <v>1260420</v>
      </c>
      <c r="EO49" s="272">
        <f>SUM(EO38:EO48)</f>
        <v>189244</v>
      </c>
      <c r="EP49" s="455">
        <f t="shared" si="12"/>
        <v>3553184</v>
      </c>
      <c r="EQ49" s="272">
        <f t="shared" ref="EQ49:EV49" si="30">SUM(EQ38:EQ48)</f>
        <v>53528416</v>
      </c>
      <c r="ER49" s="272">
        <f t="shared" si="30"/>
        <v>-7402346</v>
      </c>
      <c r="ES49" s="272">
        <f t="shared" si="30"/>
        <v>19920987</v>
      </c>
      <c r="ET49" s="272">
        <f t="shared" si="30"/>
        <v>13980626</v>
      </c>
      <c r="EU49" s="272">
        <f t="shared" si="30"/>
        <v>1446896</v>
      </c>
      <c r="EV49" s="272">
        <f t="shared" si="30"/>
        <v>7324827</v>
      </c>
      <c r="EW49" s="455">
        <f t="shared" si="13"/>
        <v>4946408</v>
      </c>
      <c r="EX49" s="272">
        <f>SUM(EX38:EX48)</f>
        <v>4908866</v>
      </c>
      <c r="EY49" s="272">
        <f>SUM(EY38:EY48)</f>
        <v>648642</v>
      </c>
      <c r="EZ49" s="272">
        <f>SUM(EZ38:EZ48)</f>
        <v>4134907</v>
      </c>
      <c r="FA49" s="272">
        <f>SUM(FA38:FA48)</f>
        <v>37542</v>
      </c>
      <c r="FB49" s="272"/>
      <c r="FC49" s="272">
        <f>SUM(FC38:FC48)</f>
        <v>9354210</v>
      </c>
      <c r="FD49" s="272">
        <f>SUM(FD38:FD48)</f>
        <v>4662515</v>
      </c>
      <c r="FE49" s="272">
        <f>SUM(FE38:FE48)</f>
        <v>1533891</v>
      </c>
      <c r="FF49" s="272">
        <f>SUM(FF38:FF48)</f>
        <v>6005405</v>
      </c>
      <c r="FG49" s="455">
        <f t="shared" si="14"/>
        <v>4770258</v>
      </c>
      <c r="FH49" s="272">
        <f>SUM(FH38:FH48)</f>
        <v>58431506</v>
      </c>
      <c r="FI49" s="384">
        <f t="shared" si="15"/>
        <v>3.1</v>
      </c>
      <c r="FJ49" s="272">
        <f>SUM(FJ38:FJ48)</f>
        <v>51931614</v>
      </c>
      <c r="FK49" s="272">
        <f>SUM(FK38:FK48)</f>
        <v>0</v>
      </c>
      <c r="FL49" s="272">
        <f>SUM(FL38:FL48)</f>
        <v>29963655</v>
      </c>
      <c r="FM49" s="272">
        <f>SUM(FM38:FM48)</f>
        <v>40716637</v>
      </c>
      <c r="FN49" s="468">
        <v>0.72299999999999998</v>
      </c>
      <c r="FO49" s="469">
        <v>85.1</v>
      </c>
      <c r="FP49" s="469">
        <v>38.4</v>
      </c>
      <c r="FQ49" s="469">
        <v>2.7</v>
      </c>
      <c r="FR49" s="469">
        <v>14.4</v>
      </c>
      <c r="FS49" s="469">
        <v>15.5</v>
      </c>
      <c r="FT49" s="469">
        <v>7.2</v>
      </c>
      <c r="FU49" s="469">
        <v>5.3</v>
      </c>
      <c r="FV49" s="469">
        <v>9.4</v>
      </c>
      <c r="FW49" s="272">
        <f>SUM(FW38:FW48)</f>
        <v>82689672</v>
      </c>
      <c r="FX49" s="384">
        <f t="shared" si="16"/>
        <v>159.19999999999999</v>
      </c>
      <c r="FY49" s="272">
        <f t="shared" ref="FY49:GD49" si="31">SUM(FY38:FY48)</f>
        <v>45653733</v>
      </c>
      <c r="FZ49" s="272">
        <f t="shared" si="31"/>
        <v>14037624</v>
      </c>
      <c r="GA49" s="272">
        <f t="shared" si="31"/>
        <v>3813815</v>
      </c>
      <c r="GB49" s="272">
        <f t="shared" si="31"/>
        <v>27483475</v>
      </c>
      <c r="GC49" s="272">
        <f t="shared" si="31"/>
        <v>0</v>
      </c>
      <c r="GD49" s="272">
        <f t="shared" si="31"/>
        <v>15294731</v>
      </c>
      <c r="GE49" s="465">
        <f>ROUND(GD49/FJ52*100,1)</f>
        <v>52.3</v>
      </c>
      <c r="GF49" s="469">
        <v>97.8</v>
      </c>
      <c r="GG49" s="469">
        <v>24</v>
      </c>
      <c r="GH49" s="469">
        <v>92.8</v>
      </c>
      <c r="GI49" s="272">
        <f>SUM(GI38:GI48)</f>
        <v>2421</v>
      </c>
    </row>
    <row r="50" spans="2:191" x14ac:dyDescent="0.15">
      <c r="B50" s="21" t="s">
        <v>91</v>
      </c>
      <c r="C50" s="272">
        <f>C37+C49</f>
        <v>868077892</v>
      </c>
      <c r="D50" s="455">
        <f t="shared" si="0"/>
        <v>315354463</v>
      </c>
      <c r="E50" s="272">
        <f>E37+E49</f>
        <v>5020002</v>
      </c>
      <c r="F50" s="272">
        <f>F37+F49</f>
        <v>310334461</v>
      </c>
      <c r="G50" s="455">
        <f t="shared" si="1"/>
        <v>75572455</v>
      </c>
      <c r="H50" s="272">
        <f t="shared" ref="H50:S50" si="32">H37+H49</f>
        <v>11898931</v>
      </c>
      <c r="I50" s="272">
        <f t="shared" si="32"/>
        <v>63673524</v>
      </c>
      <c r="J50" s="272">
        <f t="shared" si="32"/>
        <v>353738748</v>
      </c>
      <c r="K50" s="272">
        <f t="shared" si="32"/>
        <v>181704151</v>
      </c>
      <c r="L50" s="272">
        <f t="shared" si="32"/>
        <v>118496688</v>
      </c>
      <c r="M50" s="272">
        <f t="shared" si="32"/>
        <v>48671872</v>
      </c>
      <c r="N50" s="272">
        <f t="shared" si="32"/>
        <v>27169181</v>
      </c>
      <c r="O50" s="272">
        <f t="shared" si="32"/>
        <v>81330475</v>
      </c>
      <c r="P50" s="272">
        <f t="shared" si="32"/>
        <v>56399797</v>
      </c>
      <c r="Q50" s="272">
        <f t="shared" si="32"/>
        <v>24930678</v>
      </c>
      <c r="R50" s="272">
        <f t="shared" si="32"/>
        <v>37346515</v>
      </c>
      <c r="S50" s="272">
        <f t="shared" si="32"/>
        <v>24700074</v>
      </c>
      <c r="T50" s="455">
        <f t="shared" si="2"/>
        <v>33622999</v>
      </c>
      <c r="U50" s="272">
        <f>U37+U49</f>
        <v>14595165</v>
      </c>
      <c r="V50" s="272"/>
      <c r="W50" s="272"/>
      <c r="X50" s="272"/>
      <c r="Y50" s="272">
        <f>Y37+Y49</f>
        <v>1536671</v>
      </c>
      <c r="Z50" s="272">
        <f>Z37+Z49</f>
        <v>268245</v>
      </c>
      <c r="AA50" s="272">
        <f>AA37+AA49</f>
        <v>17222918</v>
      </c>
      <c r="AB50" s="272"/>
      <c r="AC50" s="272">
        <f>AC37+AC49</f>
        <v>104907903</v>
      </c>
      <c r="AD50" s="272">
        <f>AD37+AD49</f>
        <v>91149184</v>
      </c>
      <c r="AE50" s="272">
        <f>AE37+AE49</f>
        <v>13758719</v>
      </c>
      <c r="AF50" s="272">
        <f>AF37+AF49</f>
        <v>1185063</v>
      </c>
      <c r="AG50" s="272">
        <f>AG37+AG49</f>
        <v>19985706</v>
      </c>
      <c r="AH50" s="455">
        <f t="shared" si="3"/>
        <v>32222038</v>
      </c>
      <c r="AI50" s="272">
        <f>AI37+AI49</f>
        <v>24980014</v>
      </c>
      <c r="AJ50" s="272">
        <f>AJ37+AJ49</f>
        <v>7242024</v>
      </c>
      <c r="AK50" s="272">
        <f>AK37+AK49</f>
        <v>142230262</v>
      </c>
      <c r="AL50" s="455">
        <f t="shared" si="4"/>
        <v>78410596</v>
      </c>
      <c r="AM50" s="272">
        <f t="shared" ref="AM50:BN50" si="33">AM37+AM49</f>
        <v>57437227</v>
      </c>
      <c r="AN50" s="272">
        <f t="shared" si="33"/>
        <v>12649836</v>
      </c>
      <c r="AO50" s="272">
        <f t="shared" si="33"/>
        <v>41752</v>
      </c>
      <c r="AP50" s="272">
        <f t="shared" si="33"/>
        <v>8281781</v>
      </c>
      <c r="AQ50" s="272">
        <f t="shared" si="33"/>
        <v>32888178</v>
      </c>
      <c r="AR50" s="272">
        <f t="shared" si="33"/>
        <v>56668</v>
      </c>
      <c r="AS50" s="272">
        <f t="shared" si="33"/>
        <v>335596</v>
      </c>
      <c r="AT50" s="272">
        <f t="shared" si="33"/>
        <v>96302900</v>
      </c>
      <c r="AU50" s="272">
        <f t="shared" si="33"/>
        <v>33629888</v>
      </c>
      <c r="AV50" s="272">
        <f t="shared" si="33"/>
        <v>6273604</v>
      </c>
      <c r="AW50" s="272">
        <f t="shared" si="33"/>
        <v>3101815</v>
      </c>
      <c r="AX50" s="272">
        <f t="shared" si="33"/>
        <v>62673012</v>
      </c>
      <c r="AY50" s="272">
        <f t="shared" si="33"/>
        <v>20382081</v>
      </c>
      <c r="AZ50" s="272">
        <f t="shared" si="33"/>
        <v>22566463</v>
      </c>
      <c r="BA50" s="272">
        <f t="shared" si="33"/>
        <v>18006816</v>
      </c>
      <c r="BB50" s="272">
        <f t="shared" si="33"/>
        <v>13394979</v>
      </c>
      <c r="BC50" s="272">
        <f t="shared" si="33"/>
        <v>57158833</v>
      </c>
      <c r="BD50" s="272">
        <f t="shared" si="33"/>
        <v>11953761</v>
      </c>
      <c r="BE50" s="272">
        <f t="shared" si="33"/>
        <v>2954324</v>
      </c>
      <c r="BF50" s="272">
        <f t="shared" si="33"/>
        <v>39760305</v>
      </c>
      <c r="BG50" s="272">
        <f t="shared" si="33"/>
        <v>190393</v>
      </c>
      <c r="BH50" s="272">
        <f t="shared" si="33"/>
        <v>20700372</v>
      </c>
      <c r="BI50" s="272">
        <f t="shared" si="33"/>
        <v>9952112</v>
      </c>
      <c r="BJ50" s="272">
        <f t="shared" si="33"/>
        <v>55465462</v>
      </c>
      <c r="BK50" s="272">
        <f t="shared" si="33"/>
        <v>29203221</v>
      </c>
      <c r="BL50" s="272">
        <f t="shared" si="33"/>
        <v>1274771</v>
      </c>
      <c r="BM50" s="272">
        <f t="shared" si="33"/>
        <v>8239014</v>
      </c>
      <c r="BN50" s="272">
        <f t="shared" si="33"/>
        <v>198067179</v>
      </c>
      <c r="BO50" s="455">
        <f t="shared" si="5"/>
        <v>136941179</v>
      </c>
      <c r="BP50" s="455">
        <f t="shared" si="6"/>
        <v>61126000</v>
      </c>
      <c r="BQ50" s="272">
        <f>BQ37+BQ49</f>
        <v>61126000</v>
      </c>
      <c r="BR50" s="272"/>
      <c r="BS50" s="272"/>
      <c r="BT50" s="272">
        <v>0</v>
      </c>
      <c r="BU50" s="272">
        <f>BU37+BU49</f>
        <v>1703570162</v>
      </c>
      <c r="BV50" s="272"/>
      <c r="BW50" s="272">
        <f t="shared" ref="BW50:CI50" si="34">BW37+BW49</f>
        <v>454990186</v>
      </c>
      <c r="BX50" s="272">
        <f t="shared" si="34"/>
        <v>339711294</v>
      </c>
      <c r="BY50" s="272">
        <f t="shared" si="34"/>
        <v>27957132</v>
      </c>
      <c r="BZ50" s="272">
        <f t="shared" si="34"/>
        <v>13912774</v>
      </c>
      <c r="CA50" s="272">
        <f t="shared" si="34"/>
        <v>194232919</v>
      </c>
      <c r="CB50" s="272">
        <f t="shared" si="34"/>
        <v>22333723</v>
      </c>
      <c r="CC50" s="272">
        <f t="shared" si="34"/>
        <v>44164181</v>
      </c>
      <c r="CD50" s="272">
        <f t="shared" si="34"/>
        <v>39960326</v>
      </c>
      <c r="CE50" s="272">
        <f t="shared" si="34"/>
        <v>76695956</v>
      </c>
      <c r="CF50" s="272">
        <f t="shared" si="34"/>
        <v>7895065</v>
      </c>
      <c r="CG50" s="272">
        <f t="shared" si="34"/>
        <v>3054875</v>
      </c>
      <c r="CH50" s="272">
        <f t="shared" si="34"/>
        <v>143104576</v>
      </c>
      <c r="CI50" s="272">
        <f t="shared" si="34"/>
        <v>78390740</v>
      </c>
      <c r="CJ50" s="455">
        <f t="shared" si="7"/>
        <v>64713836</v>
      </c>
      <c r="CK50" s="272">
        <f t="shared" ref="CK50:CS50" si="35">CK37+CK49</f>
        <v>183844262</v>
      </c>
      <c r="CL50" s="272">
        <f t="shared" si="35"/>
        <v>101767889</v>
      </c>
      <c r="CM50" s="272">
        <f t="shared" si="35"/>
        <v>8894934</v>
      </c>
      <c r="CN50" s="272">
        <f t="shared" si="35"/>
        <v>41895423</v>
      </c>
      <c r="CO50" s="272">
        <f t="shared" si="35"/>
        <v>17127933</v>
      </c>
      <c r="CP50" s="272">
        <f t="shared" si="35"/>
        <v>126329300</v>
      </c>
      <c r="CQ50" s="272">
        <f t="shared" si="35"/>
        <v>41180165</v>
      </c>
      <c r="CR50" s="272">
        <f t="shared" si="35"/>
        <v>35033985</v>
      </c>
      <c r="CS50" s="272">
        <f t="shared" si="35"/>
        <v>29120039</v>
      </c>
      <c r="CT50" s="455">
        <f t="shared" si="8"/>
        <v>22524108</v>
      </c>
      <c r="CU50" s="272">
        <f>CU37+CU49</f>
        <v>10666530</v>
      </c>
      <c r="CV50" s="272">
        <f>CV37+CV49</f>
        <v>11857578</v>
      </c>
      <c r="CW50" s="455">
        <f t="shared" si="9"/>
        <v>14606286</v>
      </c>
      <c r="CX50" s="272">
        <f>CX37+CX49</f>
        <v>9706187</v>
      </c>
      <c r="CY50" s="272">
        <f>CY37+CY49</f>
        <v>4900099</v>
      </c>
      <c r="CZ50" s="455">
        <f t="shared" si="10"/>
        <v>0</v>
      </c>
      <c r="DA50" s="272">
        <f t="shared" ref="DA50:DU50" si="36">DA37+DA49</f>
        <v>0</v>
      </c>
      <c r="DB50" s="272">
        <f t="shared" si="36"/>
        <v>0</v>
      </c>
      <c r="DC50" s="272">
        <f t="shared" si="36"/>
        <v>324575201</v>
      </c>
      <c r="DD50" s="272">
        <f t="shared" si="36"/>
        <v>67634887</v>
      </c>
      <c r="DE50" s="272">
        <f t="shared" si="36"/>
        <v>239237852</v>
      </c>
      <c r="DF50" s="272">
        <f t="shared" si="36"/>
        <v>3706339</v>
      </c>
      <c r="DG50" s="272">
        <f t="shared" si="36"/>
        <v>13797493</v>
      </c>
      <c r="DH50" s="272">
        <f t="shared" si="36"/>
        <v>891485</v>
      </c>
      <c r="DI50" s="272">
        <f t="shared" si="36"/>
        <v>54258432</v>
      </c>
      <c r="DJ50" s="272">
        <f t="shared" si="36"/>
        <v>14061434</v>
      </c>
      <c r="DK50" s="272">
        <f t="shared" si="36"/>
        <v>3297009</v>
      </c>
      <c r="DL50" s="272">
        <f t="shared" si="36"/>
        <v>36899989</v>
      </c>
      <c r="DM50" s="272">
        <f t="shared" si="36"/>
        <v>10926313</v>
      </c>
      <c r="DN50" s="272">
        <f t="shared" si="36"/>
        <v>9851103</v>
      </c>
      <c r="DO50" s="272">
        <f t="shared" si="36"/>
        <v>994801</v>
      </c>
      <c r="DP50" s="272">
        <f t="shared" si="36"/>
        <v>8856302</v>
      </c>
      <c r="DQ50" s="272">
        <f t="shared" si="36"/>
        <v>29916019</v>
      </c>
      <c r="DR50" s="272">
        <f t="shared" si="36"/>
        <v>903197</v>
      </c>
      <c r="DS50" s="272">
        <f t="shared" si="36"/>
        <v>900000</v>
      </c>
      <c r="DT50" s="272">
        <f t="shared" si="36"/>
        <v>141037575</v>
      </c>
      <c r="DU50" s="272">
        <f t="shared" si="36"/>
        <v>82578393</v>
      </c>
      <c r="DV50" s="455">
        <f t="shared" si="11"/>
        <v>527330</v>
      </c>
      <c r="DW50" s="272">
        <f>DW37+DW49</f>
        <v>527330</v>
      </c>
      <c r="DX50" s="272">
        <v>0</v>
      </c>
      <c r="DY50" s="272">
        <f>DY37+DY49</f>
        <v>290146</v>
      </c>
      <c r="DZ50" s="272">
        <f>DZ37+DZ49</f>
        <v>36614863</v>
      </c>
      <c r="EA50" s="272">
        <f>EA37+EA49</f>
        <v>19004930</v>
      </c>
      <c r="EB50" s="272"/>
      <c r="EC50" s="272">
        <f>EC37+EC49</f>
        <v>839912</v>
      </c>
      <c r="ED50" s="272">
        <f>ED37+ED49</f>
        <v>1682074113</v>
      </c>
      <c r="EE50" s="272"/>
      <c r="EF50" s="272">
        <f>EF37+EF49</f>
        <v>21496049</v>
      </c>
      <c r="EG50" s="272">
        <f>EG37+EG49</f>
        <v>12093693</v>
      </c>
      <c r="EH50" s="272">
        <f>EH37+EH49</f>
        <v>9402356</v>
      </c>
      <c r="EI50" s="272">
        <f>EI37+EI49</f>
        <v>361833</v>
      </c>
      <c r="EJ50" s="272">
        <f>EJ37+EJ49</f>
        <v>2700184</v>
      </c>
      <c r="EL50" s="272"/>
      <c r="EM50" s="272">
        <f>EM37+EM49</f>
        <v>5337957</v>
      </c>
      <c r="EN50" s="272">
        <f>EN37+EN49</f>
        <v>26490910</v>
      </c>
      <c r="EO50" s="272">
        <f>EO37+EO49</f>
        <v>13838382</v>
      </c>
      <c r="EP50" s="455">
        <f t="shared" si="12"/>
        <v>47626030</v>
      </c>
      <c r="EQ50" s="272">
        <f t="shared" ref="EQ50:EV50" si="37">EQ37+EQ49</f>
        <v>1045475968</v>
      </c>
      <c r="ER50" s="272">
        <f t="shared" si="37"/>
        <v>-147560663</v>
      </c>
      <c r="ES50" s="272">
        <f t="shared" si="37"/>
        <v>420282411</v>
      </c>
      <c r="ET50" s="272">
        <f t="shared" si="37"/>
        <v>308230207</v>
      </c>
      <c r="EU50" s="272">
        <f t="shared" si="37"/>
        <v>59863992</v>
      </c>
      <c r="EV50" s="272">
        <f t="shared" si="37"/>
        <v>137607688</v>
      </c>
      <c r="EW50" s="455">
        <f t="shared" si="13"/>
        <v>100578074</v>
      </c>
      <c r="EX50" s="272">
        <f>EX37+EX49</f>
        <v>100467949</v>
      </c>
      <c r="EY50" s="272">
        <f>EY37+EY49</f>
        <v>5736663</v>
      </c>
      <c r="EZ50" s="272">
        <f>EZ37+EZ49</f>
        <v>93442927</v>
      </c>
      <c r="FA50" s="272">
        <f>FA37+FA49</f>
        <v>110125</v>
      </c>
      <c r="FB50" s="272"/>
      <c r="FC50" s="272">
        <f>FC37+FC49</f>
        <v>146723425</v>
      </c>
      <c r="FD50" s="272">
        <f>FD37+FD49</f>
        <v>111025920</v>
      </c>
      <c r="FE50" s="272">
        <f>FE37+FE49</f>
        <v>41032465</v>
      </c>
      <c r="FF50" s="272">
        <f>FF37+FF49</f>
        <v>134377877</v>
      </c>
      <c r="FG50" s="455">
        <f t="shared" si="14"/>
        <v>61684308</v>
      </c>
      <c r="FH50" s="272">
        <f>FH37+FH49</f>
        <v>1172143695</v>
      </c>
      <c r="FI50" s="384">
        <f t="shared" si="15"/>
        <v>1</v>
      </c>
      <c r="FJ50" s="272">
        <f>FJ37+FJ49</f>
        <v>989508922</v>
      </c>
      <c r="FK50" s="272">
        <f>FK37+FK49</f>
        <v>0</v>
      </c>
      <c r="FL50" s="272">
        <f>FL37+FL49</f>
        <v>677735739</v>
      </c>
      <c r="FM50" s="272">
        <f>FM37+FM49</f>
        <v>748488096</v>
      </c>
      <c r="FN50" s="468">
        <v>0.91900000000000004</v>
      </c>
      <c r="FO50" s="469">
        <v>96.8</v>
      </c>
      <c r="FP50" s="469">
        <v>42.5</v>
      </c>
      <c r="FQ50" s="469">
        <v>6.6</v>
      </c>
      <c r="FR50" s="469">
        <v>14.1</v>
      </c>
      <c r="FS50" s="469">
        <v>14.1</v>
      </c>
      <c r="FT50" s="469">
        <v>10</v>
      </c>
      <c r="FU50" s="469">
        <v>7.9</v>
      </c>
      <c r="FV50" s="469">
        <v>10</v>
      </c>
      <c r="FW50" s="272">
        <f>FW37+FW49</f>
        <v>1486306246</v>
      </c>
      <c r="FX50" s="384">
        <f t="shared" si="16"/>
        <v>150.19999999999999</v>
      </c>
      <c r="FY50" s="272">
        <f t="shared" ref="FY50:GD50" si="38">FY37+FY49</f>
        <v>420386675</v>
      </c>
      <c r="FZ50" s="272">
        <f t="shared" si="38"/>
        <v>100793726</v>
      </c>
      <c r="GA50" s="272">
        <f t="shared" si="38"/>
        <v>33016942</v>
      </c>
      <c r="GB50" s="272">
        <f t="shared" si="38"/>
        <v>286257188</v>
      </c>
      <c r="GC50" s="272">
        <f t="shared" si="38"/>
        <v>0</v>
      </c>
      <c r="GD50" s="272">
        <f t="shared" si="38"/>
        <v>452451043</v>
      </c>
      <c r="GE50" s="465">
        <f>ROUND(GD50/FJ53*100,1)</f>
        <v>46.8</v>
      </c>
      <c r="GF50" s="469">
        <v>97.8</v>
      </c>
      <c r="GG50" s="469">
        <v>23.2</v>
      </c>
      <c r="GH50" s="469">
        <v>92.9</v>
      </c>
      <c r="GI50" s="272">
        <f>GI37+GI49</f>
        <v>44495</v>
      </c>
    </row>
    <row r="51" spans="2:191" x14ac:dyDescent="0.15">
      <c r="GE51" s="31" t="s">
        <v>647</v>
      </c>
    </row>
    <row r="52" spans="2:191" x14ac:dyDescent="0.15">
      <c r="FJ52" s="394">
        <f>FJ40+FJ42+FJ43+FJ45+FJ46+FJ48</f>
        <v>29239238</v>
      </c>
      <c r="FO52" s="33"/>
      <c r="FP52" s="89" t="s">
        <v>816</v>
      </c>
    </row>
    <row r="53" spans="2:191" x14ac:dyDescent="0.15">
      <c r="FJ53" s="394">
        <f>FJ37+FJ52</f>
        <v>966816546</v>
      </c>
    </row>
  </sheetData>
  <phoneticPr fontId="3"/>
  <pageMargins left="0.75" right="0.75" top="1" bottom="1" header="0.51200000000000001" footer="0.51200000000000001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6">
    <tabColor indexed="15"/>
  </sheetPr>
  <dimension ref="A1:GI53"/>
  <sheetViews>
    <sheetView workbookViewId="0">
      <pane xSplit="2" ySplit="5" topLeftCell="FQ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</cols>
  <sheetData>
    <row r="1" spans="2:191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191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830</v>
      </c>
      <c r="O2" s="28" t="s">
        <v>840</v>
      </c>
      <c r="P2" s="28" t="s">
        <v>831</v>
      </c>
      <c r="Q2" s="28" t="s">
        <v>832</v>
      </c>
      <c r="R2" s="28" t="s">
        <v>351</v>
      </c>
      <c r="S2" s="28" t="s">
        <v>351</v>
      </c>
      <c r="U2" s="28" t="s">
        <v>725</v>
      </c>
      <c r="V2" s="28"/>
      <c r="W2" s="28"/>
      <c r="X2" s="28"/>
      <c r="Y2" s="28" t="s">
        <v>354</v>
      </c>
      <c r="Z2" s="28" t="s">
        <v>355</v>
      </c>
      <c r="AA2" s="28" t="s">
        <v>664</v>
      </c>
      <c r="AB2" s="28"/>
      <c r="AC2" s="28" t="s">
        <v>357</v>
      </c>
      <c r="AD2" s="28" t="s">
        <v>653</v>
      </c>
      <c r="AE2" s="28" t="s">
        <v>358</v>
      </c>
      <c r="AF2" s="28" t="s">
        <v>359</v>
      </c>
      <c r="AG2" s="28" t="s">
        <v>360</v>
      </c>
      <c r="AI2" s="28" t="s">
        <v>726</v>
      </c>
      <c r="AJ2" s="28" t="s">
        <v>667</v>
      </c>
      <c r="AK2" s="28" t="s">
        <v>852</v>
      </c>
      <c r="AL2" s="29"/>
      <c r="AM2" s="28" t="s">
        <v>685</v>
      </c>
      <c r="AN2" s="28" t="s">
        <v>669</v>
      </c>
      <c r="AO2" s="28" t="s">
        <v>796</v>
      </c>
      <c r="AP2" s="28" t="s">
        <v>727</v>
      </c>
      <c r="AQ2" s="28" t="s">
        <v>833</v>
      </c>
      <c r="AR2" s="28" t="s">
        <v>797</v>
      </c>
      <c r="AS2" s="28" t="s">
        <v>373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846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 t="s">
        <v>849</v>
      </c>
      <c r="BR2" s="28"/>
      <c r="BS2" s="28"/>
      <c r="BT2" s="28" t="s">
        <v>850</v>
      </c>
      <c r="BU2" s="28" t="s">
        <v>806</v>
      </c>
      <c r="BW2" s="28" t="s">
        <v>402</v>
      </c>
      <c r="BX2" s="28" t="s">
        <v>403</v>
      </c>
      <c r="BY2" s="28" t="s">
        <v>786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836</v>
      </c>
      <c r="CM2" s="28" t="s">
        <v>837</v>
      </c>
      <c r="CN2" s="28" t="s">
        <v>838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820</v>
      </c>
      <c r="CV2" s="28" t="s">
        <v>821</v>
      </c>
      <c r="CX2" s="28" t="s">
        <v>426</v>
      </c>
      <c r="CY2" s="28" t="s">
        <v>812</v>
      </c>
      <c r="DA2" s="28" t="s">
        <v>822</v>
      </c>
      <c r="DB2" s="28" t="s">
        <v>823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824</v>
      </c>
      <c r="DW2" s="28" t="s">
        <v>449</v>
      </c>
      <c r="DX2" s="28" t="s">
        <v>448</v>
      </c>
      <c r="DY2" s="28" t="s">
        <v>451</v>
      </c>
      <c r="DZ2" s="28" t="s">
        <v>825</v>
      </c>
      <c r="EA2" s="28" t="s">
        <v>826</v>
      </c>
      <c r="EB2" s="28"/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191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827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191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851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203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191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828</v>
      </c>
      <c r="DX5" s="30" t="s">
        <v>829</v>
      </c>
      <c r="DY5" s="30"/>
      <c r="DZ5" s="30"/>
      <c r="EA5" s="30"/>
      <c r="EB5" s="30"/>
      <c r="EC5" s="30"/>
      <c r="ED5" s="3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191" x14ac:dyDescent="0.15">
      <c r="B6" s="89" t="s">
        <v>5</v>
      </c>
      <c r="C6" s="272">
        <v>27076454</v>
      </c>
      <c r="D6" s="455">
        <f t="shared" ref="D6:D50" si="0">E6+F6</f>
        <v>9432953</v>
      </c>
      <c r="E6" s="272">
        <v>137050</v>
      </c>
      <c r="F6" s="272">
        <v>9295903</v>
      </c>
      <c r="G6" s="455">
        <f t="shared" ref="G6:G50" si="1">H6+I6</f>
        <v>2139879</v>
      </c>
      <c r="H6" s="272">
        <v>401463</v>
      </c>
      <c r="I6" s="272">
        <v>1738416</v>
      </c>
      <c r="J6" s="272">
        <v>11444103</v>
      </c>
      <c r="K6" s="272">
        <v>6247346</v>
      </c>
      <c r="L6" s="272">
        <v>3569338</v>
      </c>
      <c r="M6" s="272">
        <v>1383665</v>
      </c>
      <c r="N6" s="272">
        <v>1051964</v>
      </c>
      <c r="O6" s="272">
        <v>2696277</v>
      </c>
      <c r="P6" s="272">
        <v>1951930</v>
      </c>
      <c r="Q6" s="272">
        <v>744347</v>
      </c>
      <c r="R6" s="272">
        <v>1272822</v>
      </c>
      <c r="S6" s="272">
        <v>887311</v>
      </c>
      <c r="T6" s="455">
        <f t="shared" ref="T6:T50" si="2">SUM(U6:AA6)</f>
        <v>1519050</v>
      </c>
      <c r="U6" s="272">
        <v>864658</v>
      </c>
      <c r="V6" s="272"/>
      <c r="W6" s="272"/>
      <c r="X6" s="272"/>
      <c r="Y6" s="272">
        <v>74130</v>
      </c>
      <c r="Z6" s="272">
        <v>13682</v>
      </c>
      <c r="AA6" s="272">
        <v>566580</v>
      </c>
      <c r="AB6" s="272"/>
      <c r="AC6" s="272">
        <v>7934179</v>
      </c>
      <c r="AD6" s="272">
        <v>7834143</v>
      </c>
      <c r="AE6" s="272">
        <v>100036</v>
      </c>
      <c r="AF6" s="272">
        <v>46878</v>
      </c>
      <c r="AG6" s="272">
        <v>347500</v>
      </c>
      <c r="AH6" s="455">
        <f t="shared" ref="AH6:AH50" si="3">AI6+AJ6</f>
        <v>1645169</v>
      </c>
      <c r="AI6" s="272">
        <v>1431878</v>
      </c>
      <c r="AJ6" s="272">
        <v>213291</v>
      </c>
      <c r="AK6" s="272">
        <v>7394566</v>
      </c>
      <c r="AL6" s="455">
        <f t="shared" ref="AL6:AL50" si="4">SUM(AM6:AP6)</f>
        <v>3097487</v>
      </c>
      <c r="AM6" s="272">
        <v>2247077</v>
      </c>
      <c r="AN6" s="272">
        <v>567796</v>
      </c>
      <c r="AO6" s="272">
        <v>0</v>
      </c>
      <c r="AP6" s="272">
        <v>282614</v>
      </c>
      <c r="AQ6" s="272">
        <v>3206240</v>
      </c>
      <c r="AR6" s="272">
        <v>49079</v>
      </c>
      <c r="AS6" s="272">
        <v>0</v>
      </c>
      <c r="AT6" s="272">
        <v>3691069</v>
      </c>
      <c r="AU6" s="272">
        <v>1573604</v>
      </c>
      <c r="AV6" s="272">
        <v>347665</v>
      </c>
      <c r="AW6" s="272">
        <v>106668</v>
      </c>
      <c r="AX6" s="272">
        <v>2117465</v>
      </c>
      <c r="AY6" s="272">
        <v>606761</v>
      </c>
      <c r="AZ6" s="272">
        <v>443608</v>
      </c>
      <c r="BA6" s="272">
        <v>159066</v>
      </c>
      <c r="BB6" s="272">
        <v>311135</v>
      </c>
      <c r="BC6" s="272">
        <v>1049459</v>
      </c>
      <c r="BD6" s="272">
        <v>0</v>
      </c>
      <c r="BE6" s="272">
        <v>0</v>
      </c>
      <c r="BF6" s="272">
        <v>712109</v>
      </c>
      <c r="BG6" s="272">
        <v>242257</v>
      </c>
      <c r="BH6" s="272">
        <v>814512</v>
      </c>
      <c r="BI6" s="272">
        <v>297222</v>
      </c>
      <c r="BJ6" s="272">
        <v>1391728</v>
      </c>
      <c r="BK6" s="272">
        <v>108988</v>
      </c>
      <c r="BL6" s="272">
        <v>4951</v>
      </c>
      <c r="BM6" s="272">
        <v>912548</v>
      </c>
      <c r="BN6" s="272">
        <v>12147600</v>
      </c>
      <c r="BO6" s="455">
        <f t="shared" ref="BO6:BO50" si="5">BN6-BP6-BT6</f>
        <v>10547100</v>
      </c>
      <c r="BP6" s="455">
        <f t="shared" ref="BP6:BP50" si="6">BQ6+BR6+BS6</f>
        <v>1600500</v>
      </c>
      <c r="BQ6" s="272">
        <v>1600500</v>
      </c>
      <c r="BR6" s="272"/>
      <c r="BS6" s="272"/>
      <c r="BT6" s="272">
        <v>0</v>
      </c>
      <c r="BU6" s="272">
        <v>67085729</v>
      </c>
      <c r="BV6" s="272"/>
      <c r="BW6" s="272">
        <v>15724609</v>
      </c>
      <c r="BX6" s="272">
        <v>11946704</v>
      </c>
      <c r="BY6" s="272">
        <v>769938</v>
      </c>
      <c r="BZ6" s="272">
        <v>434074</v>
      </c>
      <c r="CA6" s="272">
        <v>8173842</v>
      </c>
      <c r="CB6" s="272">
        <v>1147545</v>
      </c>
      <c r="CC6" s="272">
        <v>1928525</v>
      </c>
      <c r="CD6" s="272">
        <v>1913574</v>
      </c>
      <c r="CE6" s="272">
        <v>3010184</v>
      </c>
      <c r="CF6" s="272">
        <v>372</v>
      </c>
      <c r="CG6" s="272">
        <v>168252</v>
      </c>
      <c r="CH6" s="272">
        <v>7608316</v>
      </c>
      <c r="CI6" s="272">
        <v>5133419</v>
      </c>
      <c r="CJ6" s="455">
        <f t="shared" ref="CJ6:CJ50" si="7">CH6-CI6</f>
        <v>2474897</v>
      </c>
      <c r="CK6" s="272">
        <v>5063826</v>
      </c>
      <c r="CL6" s="272">
        <v>2410654</v>
      </c>
      <c r="CM6" s="272">
        <v>212814</v>
      </c>
      <c r="CN6" s="272">
        <v>1132023</v>
      </c>
      <c r="CO6" s="272">
        <v>335345</v>
      </c>
      <c r="CP6" s="272">
        <v>4392669</v>
      </c>
      <c r="CQ6" s="272">
        <v>1105688</v>
      </c>
      <c r="CR6" s="272">
        <v>829005</v>
      </c>
      <c r="CS6" s="272">
        <v>829005</v>
      </c>
      <c r="CT6" s="455">
        <f t="shared" ref="CT6:CT50" si="8">CU6+CV6</f>
        <v>1458674</v>
      </c>
      <c r="CU6" s="272">
        <v>711700</v>
      </c>
      <c r="CV6" s="272">
        <v>746974</v>
      </c>
      <c r="CW6" s="455">
        <f t="shared" ref="CW6:CW50" si="9">CX6+CY6</f>
        <v>1400000</v>
      </c>
      <c r="CX6" s="272">
        <v>684062</v>
      </c>
      <c r="CY6" s="272">
        <v>715938</v>
      </c>
      <c r="CZ6" s="455">
        <f t="shared" ref="CZ6:CZ50" si="10">DA6+DB6</f>
        <v>0</v>
      </c>
      <c r="DA6" s="272">
        <v>0</v>
      </c>
      <c r="DB6" s="272">
        <v>0</v>
      </c>
      <c r="DC6" s="272">
        <v>15576071</v>
      </c>
      <c r="DD6" s="272">
        <v>5457287</v>
      </c>
      <c r="DE6" s="272">
        <v>9132656</v>
      </c>
      <c r="DF6" s="272">
        <v>300150</v>
      </c>
      <c r="DG6" s="272">
        <v>684778</v>
      </c>
      <c r="DH6" s="272">
        <v>138086</v>
      </c>
      <c r="DI6" s="272">
        <v>1001862</v>
      </c>
      <c r="DJ6" s="272">
        <v>35457</v>
      </c>
      <c r="DK6" s="272">
        <v>60539</v>
      </c>
      <c r="DL6" s="272">
        <v>905866</v>
      </c>
      <c r="DM6" s="272">
        <v>176500</v>
      </c>
      <c r="DN6" s="272">
        <v>0</v>
      </c>
      <c r="DO6" s="272">
        <v>0</v>
      </c>
      <c r="DP6" s="272">
        <v>0</v>
      </c>
      <c r="DQ6" s="272">
        <v>87000</v>
      </c>
      <c r="DR6" s="272">
        <v>0</v>
      </c>
      <c r="DS6" s="272">
        <v>0</v>
      </c>
      <c r="DT6" s="272">
        <v>7852396</v>
      </c>
      <c r="DU6" s="272">
        <v>5936958</v>
      </c>
      <c r="DV6" s="455">
        <f t="shared" ref="DV6:DV50" si="11">DW6+DX6</f>
        <v>0</v>
      </c>
      <c r="DW6" s="272">
        <v>0</v>
      </c>
      <c r="DX6" s="272">
        <v>0</v>
      </c>
      <c r="DY6" s="272">
        <v>0</v>
      </c>
      <c r="DZ6" s="272">
        <v>955552</v>
      </c>
      <c r="EA6" s="272">
        <v>792709</v>
      </c>
      <c r="EB6" s="272"/>
      <c r="EC6" s="272">
        <v>0</v>
      </c>
      <c r="ED6" s="272">
        <v>66130522</v>
      </c>
      <c r="EF6" s="272">
        <v>955207</v>
      </c>
      <c r="EG6" s="272">
        <v>691601</v>
      </c>
      <c r="EH6" s="272">
        <v>263606</v>
      </c>
      <c r="EI6" s="272">
        <v>-33616</v>
      </c>
      <c r="EJ6" s="272">
        <v>1841</v>
      </c>
      <c r="EL6" s="272">
        <v>194818</v>
      </c>
      <c r="EM6" s="272">
        <v>195134</v>
      </c>
      <c r="EN6" s="272">
        <v>337350</v>
      </c>
      <c r="EO6" s="272">
        <v>200244</v>
      </c>
      <c r="EP6" s="455">
        <f t="shared" ref="EP6:EP50" si="12">EQ6-ER6-C6-R6-T6-AB6-AC6-BP6-EN6-EO6</f>
        <v>5455342</v>
      </c>
      <c r="EQ6" s="272">
        <v>37849383</v>
      </c>
      <c r="ER6" s="272">
        <v>-7546558</v>
      </c>
      <c r="ES6" s="272">
        <v>14328800</v>
      </c>
      <c r="ET6" s="272">
        <v>10806767</v>
      </c>
      <c r="EU6" s="272">
        <v>2719104</v>
      </c>
      <c r="EV6" s="272">
        <v>7521721</v>
      </c>
      <c r="EW6" s="455">
        <f t="shared" ref="EW6:EW50" si="13">EX6+FA6+FB6</f>
        <v>3449454</v>
      </c>
      <c r="EX6" s="272">
        <v>3401674</v>
      </c>
      <c r="EY6" s="272">
        <v>404301</v>
      </c>
      <c r="EZ6" s="272">
        <v>2938473</v>
      </c>
      <c r="FA6" s="272">
        <v>47780</v>
      </c>
      <c r="FB6" s="272"/>
      <c r="FC6" s="272">
        <v>4196557</v>
      </c>
      <c r="FD6" s="272">
        <v>3665175</v>
      </c>
      <c r="FE6" s="272">
        <v>1105688</v>
      </c>
      <c r="FF6" s="272">
        <v>7801116</v>
      </c>
      <c r="FG6" s="455">
        <f t="shared" ref="FG6:FG50" si="14">FH6-ES6-EU6-EV6-EW6-FC6-FD6-FF6</f>
        <v>758807</v>
      </c>
      <c r="FH6" s="272">
        <v>44440734</v>
      </c>
      <c r="FI6" s="384">
        <f t="shared" ref="FI6:FI50" si="15">ROUND(EH6/FJ6*100,1)</f>
        <v>0.7</v>
      </c>
      <c r="FJ6" s="272">
        <v>35519625</v>
      </c>
      <c r="FK6" s="272"/>
      <c r="FL6" s="272">
        <v>20870089</v>
      </c>
      <c r="FM6" s="272">
        <v>28718011</v>
      </c>
      <c r="FN6" s="460">
        <v>0.749</v>
      </c>
      <c r="FO6" s="388">
        <v>88.1</v>
      </c>
      <c r="FP6" s="388">
        <v>40.200000000000003</v>
      </c>
      <c r="FQ6" s="388">
        <v>7.7</v>
      </c>
      <c r="FR6" s="388">
        <v>12.6</v>
      </c>
      <c r="FS6" s="388">
        <v>10.6</v>
      </c>
      <c r="FT6" s="388">
        <v>7.6</v>
      </c>
      <c r="FU6" s="388">
        <v>8.6</v>
      </c>
      <c r="FV6" s="388">
        <v>10.3</v>
      </c>
      <c r="FW6" s="272">
        <v>57536786</v>
      </c>
      <c r="FX6" s="384">
        <f t="shared" ref="FX6:FX50" si="16">ROUND(FW6/FJ6*100,1)</f>
        <v>162</v>
      </c>
      <c r="FY6" s="272">
        <v>10082662</v>
      </c>
      <c r="FZ6" s="272">
        <v>2033394</v>
      </c>
      <c r="GA6" s="272">
        <v>2374327</v>
      </c>
      <c r="GB6" s="272">
        <v>5674941</v>
      </c>
      <c r="GC6" s="272"/>
      <c r="GD6" s="272">
        <v>24712979</v>
      </c>
      <c r="GE6" s="384">
        <f t="shared" ref="GE6:GE37" si="17">ROUND(GD6/FJ6*100,1)</f>
        <v>69.599999999999994</v>
      </c>
      <c r="GF6" s="388">
        <v>98</v>
      </c>
      <c r="GG6" s="388">
        <v>26.6</v>
      </c>
      <c r="GH6" s="388">
        <v>94.7</v>
      </c>
      <c r="GI6" s="272">
        <v>1643</v>
      </c>
    </row>
    <row r="7" spans="2:191" x14ac:dyDescent="0.15">
      <c r="B7" s="89" t="s">
        <v>7</v>
      </c>
      <c r="C7" s="272">
        <v>68401838</v>
      </c>
      <c r="D7" s="455">
        <f t="shared" si="0"/>
        <v>30406970</v>
      </c>
      <c r="E7" s="272">
        <v>283630</v>
      </c>
      <c r="F7" s="272">
        <v>30123340</v>
      </c>
      <c r="G7" s="455">
        <f t="shared" si="1"/>
        <v>5219618</v>
      </c>
      <c r="H7" s="272">
        <v>934675</v>
      </c>
      <c r="I7" s="272">
        <v>4284943</v>
      </c>
      <c r="J7" s="272">
        <v>22411983</v>
      </c>
      <c r="K7" s="272">
        <v>10837102</v>
      </c>
      <c r="L7" s="272">
        <v>8227279</v>
      </c>
      <c r="M7" s="272">
        <v>2844058</v>
      </c>
      <c r="N7" s="272">
        <v>3476492</v>
      </c>
      <c r="O7" s="272">
        <v>5327820</v>
      </c>
      <c r="P7" s="272">
        <v>3752576</v>
      </c>
      <c r="Q7" s="272">
        <v>1575244</v>
      </c>
      <c r="R7" s="272">
        <v>4467118</v>
      </c>
      <c r="S7" s="272">
        <v>1763267</v>
      </c>
      <c r="T7" s="455">
        <f t="shared" si="2"/>
        <v>4003402</v>
      </c>
      <c r="U7" s="272">
        <v>2891931</v>
      </c>
      <c r="V7" s="272"/>
      <c r="W7" s="272"/>
      <c r="X7" s="272"/>
      <c r="Y7" s="272">
        <v>0</v>
      </c>
      <c r="Z7" s="272">
        <v>32640</v>
      </c>
      <c r="AA7" s="272">
        <v>1078831</v>
      </c>
      <c r="AB7" s="272"/>
      <c r="AC7" s="272">
        <v>1090316</v>
      </c>
      <c r="AD7" s="272">
        <v>0</v>
      </c>
      <c r="AE7" s="272">
        <v>1090316</v>
      </c>
      <c r="AF7" s="272">
        <v>80734</v>
      </c>
      <c r="AG7" s="272">
        <v>954605</v>
      </c>
      <c r="AH7" s="455">
        <f t="shared" si="3"/>
        <v>2083055</v>
      </c>
      <c r="AI7" s="272">
        <v>1889104</v>
      </c>
      <c r="AJ7" s="272">
        <v>193951</v>
      </c>
      <c r="AK7" s="272">
        <v>12692106</v>
      </c>
      <c r="AL7" s="455">
        <f t="shared" si="4"/>
        <v>6033365</v>
      </c>
      <c r="AM7" s="272">
        <v>5089301</v>
      </c>
      <c r="AN7" s="272">
        <v>499680</v>
      </c>
      <c r="AO7" s="272">
        <v>0</v>
      </c>
      <c r="AP7" s="272">
        <v>444384</v>
      </c>
      <c r="AQ7" s="272">
        <v>2001880</v>
      </c>
      <c r="AR7" s="272">
        <v>400091</v>
      </c>
      <c r="AS7" s="272">
        <v>0</v>
      </c>
      <c r="AT7" s="272">
        <v>5302070</v>
      </c>
      <c r="AU7" s="272">
        <v>1812821</v>
      </c>
      <c r="AV7" s="272">
        <v>249840</v>
      </c>
      <c r="AW7" s="272">
        <v>19492</v>
      </c>
      <c r="AX7" s="272">
        <v>3489249</v>
      </c>
      <c r="AY7" s="272">
        <v>340448</v>
      </c>
      <c r="AZ7" s="272">
        <v>1500907</v>
      </c>
      <c r="BA7" s="272">
        <v>17483</v>
      </c>
      <c r="BB7" s="272">
        <v>985426</v>
      </c>
      <c r="BC7" s="272">
        <v>10583944</v>
      </c>
      <c r="BD7" s="272">
        <v>2765538</v>
      </c>
      <c r="BE7" s="272">
        <v>0</v>
      </c>
      <c r="BF7" s="272">
        <v>7198245</v>
      </c>
      <c r="BG7" s="272">
        <v>0</v>
      </c>
      <c r="BH7" s="272">
        <v>1526015</v>
      </c>
      <c r="BI7" s="272">
        <v>523921</v>
      </c>
      <c r="BJ7" s="272">
        <v>5196475</v>
      </c>
      <c r="BK7" s="272">
        <v>3883157</v>
      </c>
      <c r="BL7" s="272">
        <v>0</v>
      </c>
      <c r="BM7" s="272">
        <v>293794</v>
      </c>
      <c r="BN7" s="272">
        <v>17259838</v>
      </c>
      <c r="BO7" s="455">
        <f t="shared" si="5"/>
        <v>12722738</v>
      </c>
      <c r="BP7" s="455">
        <f t="shared" si="6"/>
        <v>4537100</v>
      </c>
      <c r="BQ7" s="272">
        <v>4537100</v>
      </c>
      <c r="BR7" s="272"/>
      <c r="BS7" s="272"/>
      <c r="BT7" s="272">
        <v>0</v>
      </c>
      <c r="BU7" s="272">
        <v>136127849</v>
      </c>
      <c r="BV7" s="272"/>
      <c r="BW7" s="272">
        <v>36716592</v>
      </c>
      <c r="BX7" s="272">
        <v>27230760</v>
      </c>
      <c r="BY7" s="272">
        <v>2645087</v>
      </c>
      <c r="BZ7" s="272">
        <v>1387405</v>
      </c>
      <c r="CA7" s="272">
        <v>12435037</v>
      </c>
      <c r="CB7" s="272">
        <v>1547285</v>
      </c>
      <c r="CC7" s="272">
        <v>2752096</v>
      </c>
      <c r="CD7" s="272">
        <v>1583645</v>
      </c>
      <c r="CE7" s="272">
        <v>6224922</v>
      </c>
      <c r="CF7" s="272">
        <v>0</v>
      </c>
      <c r="CG7" s="272">
        <v>207463</v>
      </c>
      <c r="CH7" s="272">
        <v>9827009</v>
      </c>
      <c r="CI7" s="272">
        <v>5428956</v>
      </c>
      <c r="CJ7" s="455">
        <f t="shared" si="7"/>
        <v>4398053</v>
      </c>
      <c r="CK7" s="272">
        <v>16542313</v>
      </c>
      <c r="CL7" s="272">
        <v>9673437</v>
      </c>
      <c r="CM7" s="272">
        <v>485796</v>
      </c>
      <c r="CN7" s="272">
        <v>3616652</v>
      </c>
      <c r="CO7" s="272">
        <v>2225486</v>
      </c>
      <c r="CP7" s="272">
        <v>14738159</v>
      </c>
      <c r="CQ7" s="272">
        <v>2768565</v>
      </c>
      <c r="CR7" s="272">
        <v>5304358</v>
      </c>
      <c r="CS7" s="272">
        <v>4911379</v>
      </c>
      <c r="CT7" s="455">
        <f t="shared" si="8"/>
        <v>2954584</v>
      </c>
      <c r="CU7" s="272">
        <v>898404</v>
      </c>
      <c r="CV7" s="272">
        <v>2056180</v>
      </c>
      <c r="CW7" s="455">
        <f t="shared" si="9"/>
        <v>1975780</v>
      </c>
      <c r="CX7" s="272">
        <v>715246</v>
      </c>
      <c r="CY7" s="272">
        <v>1260534</v>
      </c>
      <c r="CZ7" s="455">
        <f t="shared" si="10"/>
        <v>0</v>
      </c>
      <c r="DA7" s="272">
        <v>0</v>
      </c>
      <c r="DB7" s="272">
        <v>0</v>
      </c>
      <c r="DC7" s="272">
        <v>21276494</v>
      </c>
      <c r="DD7" s="272">
        <v>4182504</v>
      </c>
      <c r="DE7" s="272">
        <v>16006890</v>
      </c>
      <c r="DF7" s="272">
        <v>1077100</v>
      </c>
      <c r="DG7" s="272">
        <v>10000</v>
      </c>
      <c r="DH7" s="272">
        <v>1250808</v>
      </c>
      <c r="DI7" s="272">
        <v>2485610</v>
      </c>
      <c r="DJ7" s="272">
        <v>577699</v>
      </c>
      <c r="DK7" s="272">
        <v>0</v>
      </c>
      <c r="DL7" s="272">
        <v>1907911</v>
      </c>
      <c r="DM7" s="272">
        <v>1347196</v>
      </c>
      <c r="DN7" s="272">
        <v>1197196</v>
      </c>
      <c r="DO7" s="272">
        <v>0</v>
      </c>
      <c r="DP7" s="272">
        <v>1197196</v>
      </c>
      <c r="DQ7" s="272">
        <v>4118718</v>
      </c>
      <c r="DR7" s="272">
        <v>0</v>
      </c>
      <c r="DS7" s="272">
        <v>0</v>
      </c>
      <c r="DT7" s="272">
        <v>10580222</v>
      </c>
      <c r="DU7" s="272">
        <v>6184676</v>
      </c>
      <c r="DV7" s="455">
        <f t="shared" si="11"/>
        <v>0</v>
      </c>
      <c r="DW7" s="272">
        <v>0</v>
      </c>
      <c r="DX7" s="272">
        <v>0</v>
      </c>
      <c r="DY7" s="272">
        <v>0</v>
      </c>
      <c r="DZ7" s="272">
        <v>3252769</v>
      </c>
      <c r="EA7" s="272">
        <v>1091450</v>
      </c>
      <c r="EB7" s="272"/>
      <c r="EC7" s="272">
        <v>0</v>
      </c>
      <c r="ED7" s="272">
        <v>133543644</v>
      </c>
      <c r="EF7" s="272">
        <v>2584205</v>
      </c>
      <c r="EG7" s="272">
        <v>2095388</v>
      </c>
      <c r="EH7" s="272">
        <v>488817</v>
      </c>
      <c r="EI7" s="272">
        <v>-35104</v>
      </c>
      <c r="EJ7" s="272">
        <v>-2222943</v>
      </c>
      <c r="EL7" s="272">
        <v>398908</v>
      </c>
      <c r="EM7" s="272">
        <v>390273</v>
      </c>
      <c r="EN7" s="272">
        <v>7749947</v>
      </c>
      <c r="EO7" s="272">
        <v>28991</v>
      </c>
      <c r="EP7" s="455">
        <f t="shared" si="12"/>
        <v>3475422</v>
      </c>
      <c r="EQ7" s="272">
        <v>78043408</v>
      </c>
      <c r="ER7" s="272">
        <v>-15710726</v>
      </c>
      <c r="ES7" s="272">
        <v>33872331</v>
      </c>
      <c r="ET7" s="272">
        <v>24637679</v>
      </c>
      <c r="EU7" s="272">
        <v>3659161</v>
      </c>
      <c r="EV7" s="272">
        <v>9448904</v>
      </c>
      <c r="EW7" s="455">
        <f t="shared" si="13"/>
        <v>7712253</v>
      </c>
      <c r="EX7" s="272">
        <v>7325881</v>
      </c>
      <c r="EY7" s="272">
        <v>397871</v>
      </c>
      <c r="EZ7" s="272">
        <v>6134210</v>
      </c>
      <c r="FA7" s="272">
        <v>386372</v>
      </c>
      <c r="FB7" s="272"/>
      <c r="FC7" s="272">
        <v>10377577</v>
      </c>
      <c r="FD7" s="272">
        <v>12895118</v>
      </c>
      <c r="FE7" s="272">
        <v>2768565</v>
      </c>
      <c r="FF7" s="272">
        <v>10380345</v>
      </c>
      <c r="FG7" s="455">
        <f t="shared" si="14"/>
        <v>2824240</v>
      </c>
      <c r="FH7" s="272">
        <v>91169929</v>
      </c>
      <c r="FI7" s="384">
        <f t="shared" si="15"/>
        <v>0.6</v>
      </c>
      <c r="FJ7" s="272">
        <v>76278564</v>
      </c>
      <c r="FK7" s="272"/>
      <c r="FL7" s="272">
        <v>57927531</v>
      </c>
      <c r="FM7" s="272">
        <v>52969479</v>
      </c>
      <c r="FN7" s="460">
        <v>1.145</v>
      </c>
      <c r="FO7" s="388">
        <v>99.5</v>
      </c>
      <c r="FP7" s="388">
        <v>46.3</v>
      </c>
      <c r="FQ7" s="388">
        <v>5.0999999999999996</v>
      </c>
      <c r="FR7" s="388">
        <v>13.1</v>
      </c>
      <c r="FS7" s="388">
        <v>13.3</v>
      </c>
      <c r="FT7" s="388">
        <v>12.5</v>
      </c>
      <c r="FU7" s="388">
        <v>7</v>
      </c>
      <c r="FV7" s="388">
        <v>8.9</v>
      </c>
      <c r="FW7" s="272">
        <v>94759167</v>
      </c>
      <c r="FX7" s="384">
        <f t="shared" si="16"/>
        <v>124.2</v>
      </c>
      <c r="FY7" s="272">
        <v>50283552</v>
      </c>
      <c r="FZ7" s="272">
        <v>7779040</v>
      </c>
      <c r="GA7" s="272"/>
      <c r="GB7" s="272">
        <v>42504512</v>
      </c>
      <c r="GC7" s="272"/>
      <c r="GD7" s="272">
        <v>48848754</v>
      </c>
      <c r="GE7" s="384">
        <f t="shared" si="17"/>
        <v>64</v>
      </c>
      <c r="GF7" s="388">
        <v>97.5</v>
      </c>
      <c r="GG7" s="388">
        <v>22.1</v>
      </c>
      <c r="GH7" s="388">
        <v>91.1</v>
      </c>
      <c r="GI7" s="272">
        <v>3584</v>
      </c>
    </row>
    <row r="8" spans="2:191" x14ac:dyDescent="0.15">
      <c r="B8" s="89" t="s">
        <v>9</v>
      </c>
      <c r="C8" s="272">
        <v>17876161</v>
      </c>
      <c r="D8" s="455">
        <f t="shared" si="0"/>
        <v>7695089</v>
      </c>
      <c r="E8" s="272">
        <v>78012</v>
      </c>
      <c r="F8" s="272">
        <v>7617077</v>
      </c>
      <c r="G8" s="455">
        <f t="shared" si="1"/>
        <v>1318319</v>
      </c>
      <c r="H8" s="272">
        <v>244038</v>
      </c>
      <c r="I8" s="272">
        <v>1074281</v>
      </c>
      <c r="J8" s="272">
        <v>6505319</v>
      </c>
      <c r="K8" s="272">
        <v>3394825</v>
      </c>
      <c r="L8" s="272">
        <v>2156213</v>
      </c>
      <c r="M8" s="272">
        <v>854021</v>
      </c>
      <c r="N8" s="272">
        <v>482038</v>
      </c>
      <c r="O8" s="272">
        <v>1800186</v>
      </c>
      <c r="P8" s="272">
        <v>1329155</v>
      </c>
      <c r="Q8" s="272">
        <v>471031</v>
      </c>
      <c r="R8" s="272">
        <v>778997</v>
      </c>
      <c r="S8" s="272">
        <v>514522</v>
      </c>
      <c r="T8" s="455">
        <f t="shared" si="2"/>
        <v>1136318</v>
      </c>
      <c r="U8" s="272">
        <v>703200</v>
      </c>
      <c r="V8" s="272"/>
      <c r="W8" s="272"/>
      <c r="X8" s="272"/>
      <c r="Y8" s="272">
        <v>130234</v>
      </c>
      <c r="Z8" s="272">
        <v>10210</v>
      </c>
      <c r="AA8" s="272">
        <v>292674</v>
      </c>
      <c r="AB8" s="272"/>
      <c r="AC8" s="272">
        <v>593579</v>
      </c>
      <c r="AD8" s="272">
        <v>254552</v>
      </c>
      <c r="AE8" s="272">
        <v>339027</v>
      </c>
      <c r="AF8" s="272">
        <v>24061</v>
      </c>
      <c r="AG8" s="272">
        <v>152987</v>
      </c>
      <c r="AH8" s="455">
        <f t="shared" si="3"/>
        <v>629966</v>
      </c>
      <c r="AI8" s="272">
        <v>515168</v>
      </c>
      <c r="AJ8" s="272">
        <v>114798</v>
      </c>
      <c r="AK8" s="272">
        <v>2468055</v>
      </c>
      <c r="AL8" s="455">
        <f t="shared" si="4"/>
        <v>930322</v>
      </c>
      <c r="AM8" s="272">
        <v>652135</v>
      </c>
      <c r="AN8" s="272">
        <v>142168</v>
      </c>
      <c r="AO8" s="272">
        <v>0</v>
      </c>
      <c r="AP8" s="272">
        <v>136019</v>
      </c>
      <c r="AQ8" s="272">
        <v>665006</v>
      </c>
      <c r="AR8" s="272">
        <v>14170</v>
      </c>
      <c r="AS8" s="272">
        <v>0</v>
      </c>
      <c r="AT8" s="272">
        <v>1663126</v>
      </c>
      <c r="AU8" s="272">
        <v>434844</v>
      </c>
      <c r="AV8" s="272">
        <v>72108</v>
      </c>
      <c r="AW8" s="272">
        <v>54164</v>
      </c>
      <c r="AX8" s="272">
        <v>1228282</v>
      </c>
      <c r="AY8" s="272">
        <v>262660</v>
      </c>
      <c r="AZ8" s="272">
        <v>218938</v>
      </c>
      <c r="BA8" s="272">
        <v>32</v>
      </c>
      <c r="BB8" s="272">
        <v>702027</v>
      </c>
      <c r="BC8" s="272">
        <v>780717</v>
      </c>
      <c r="BD8" s="272">
        <v>350000</v>
      </c>
      <c r="BE8" s="272">
        <v>0</v>
      </c>
      <c r="BF8" s="272">
        <v>378517</v>
      </c>
      <c r="BG8" s="272">
        <v>0</v>
      </c>
      <c r="BH8" s="272">
        <v>158394</v>
      </c>
      <c r="BI8" s="272">
        <v>157580</v>
      </c>
      <c r="BJ8" s="272">
        <v>1450152</v>
      </c>
      <c r="BK8" s="272">
        <v>886936</v>
      </c>
      <c r="BL8" s="272">
        <v>154961</v>
      </c>
      <c r="BM8" s="272">
        <v>198153</v>
      </c>
      <c r="BN8" s="272">
        <v>4035900</v>
      </c>
      <c r="BO8" s="455">
        <f t="shared" si="5"/>
        <v>2854200</v>
      </c>
      <c r="BP8" s="455">
        <f t="shared" si="6"/>
        <v>1181700</v>
      </c>
      <c r="BQ8" s="272">
        <v>1181700</v>
      </c>
      <c r="BR8" s="272"/>
      <c r="BS8" s="272"/>
      <c r="BT8" s="272">
        <v>0</v>
      </c>
      <c r="BU8" s="272">
        <v>32669378</v>
      </c>
      <c r="BV8" s="272"/>
      <c r="BW8" s="272">
        <v>10887387</v>
      </c>
      <c r="BX8" s="272">
        <v>7870950</v>
      </c>
      <c r="BY8" s="272">
        <v>1014027</v>
      </c>
      <c r="BZ8" s="272">
        <v>230302</v>
      </c>
      <c r="CA8" s="272">
        <v>2550827</v>
      </c>
      <c r="CB8" s="272">
        <v>407858</v>
      </c>
      <c r="CC8" s="272">
        <v>735418</v>
      </c>
      <c r="CD8" s="272">
        <v>513044</v>
      </c>
      <c r="CE8" s="272">
        <v>865094</v>
      </c>
      <c r="CF8" s="272">
        <v>4092</v>
      </c>
      <c r="CG8" s="272">
        <v>20583</v>
      </c>
      <c r="CH8" s="272">
        <v>2878132</v>
      </c>
      <c r="CI8" s="272">
        <v>1578057</v>
      </c>
      <c r="CJ8" s="455">
        <f t="shared" si="7"/>
        <v>1300075</v>
      </c>
      <c r="CK8" s="272">
        <v>4175858</v>
      </c>
      <c r="CL8" s="272">
        <v>2548361</v>
      </c>
      <c r="CM8" s="272">
        <v>187166</v>
      </c>
      <c r="CN8" s="272">
        <v>879941</v>
      </c>
      <c r="CO8" s="272">
        <v>580383</v>
      </c>
      <c r="CP8" s="272">
        <v>2100479</v>
      </c>
      <c r="CQ8" s="272">
        <v>0</v>
      </c>
      <c r="CR8" s="272">
        <v>632908</v>
      </c>
      <c r="CS8" s="272">
        <v>546126</v>
      </c>
      <c r="CT8" s="455">
        <f t="shared" si="8"/>
        <v>915124</v>
      </c>
      <c r="CU8" s="272">
        <v>448798</v>
      </c>
      <c r="CV8" s="272">
        <v>466326</v>
      </c>
      <c r="CW8" s="455">
        <f t="shared" si="9"/>
        <v>651127</v>
      </c>
      <c r="CX8" s="272">
        <v>442308</v>
      </c>
      <c r="CY8" s="272">
        <v>208819</v>
      </c>
      <c r="CZ8" s="455">
        <f t="shared" si="10"/>
        <v>0</v>
      </c>
      <c r="DA8" s="272">
        <v>0</v>
      </c>
      <c r="DB8" s="272">
        <v>0</v>
      </c>
      <c r="DC8" s="272">
        <v>4480773</v>
      </c>
      <c r="DD8" s="272">
        <v>1488642</v>
      </c>
      <c r="DE8" s="272">
        <v>2852195</v>
      </c>
      <c r="DF8" s="272">
        <v>0</v>
      </c>
      <c r="DG8" s="272">
        <v>139936</v>
      </c>
      <c r="DH8" s="272">
        <v>198292</v>
      </c>
      <c r="DI8" s="272">
        <v>414793</v>
      </c>
      <c r="DJ8" s="272">
        <v>26300</v>
      </c>
      <c r="DK8" s="272">
        <v>0</v>
      </c>
      <c r="DL8" s="272">
        <v>388493</v>
      </c>
      <c r="DM8" s="272">
        <v>622589</v>
      </c>
      <c r="DN8" s="272">
        <v>622589</v>
      </c>
      <c r="DO8" s="272">
        <v>39802</v>
      </c>
      <c r="DP8" s="272">
        <v>582787</v>
      </c>
      <c r="DQ8" s="272">
        <v>1157962</v>
      </c>
      <c r="DR8" s="272">
        <v>0</v>
      </c>
      <c r="DS8" s="272">
        <v>0</v>
      </c>
      <c r="DT8" s="272">
        <v>2153582</v>
      </c>
      <c r="DU8" s="272">
        <v>1292344</v>
      </c>
      <c r="DV8" s="455">
        <f t="shared" si="11"/>
        <v>0</v>
      </c>
      <c r="DW8" s="272">
        <v>0</v>
      </c>
      <c r="DX8" s="272">
        <v>0</v>
      </c>
      <c r="DY8" s="272">
        <v>8487</v>
      </c>
      <c r="DZ8" s="272">
        <v>494542</v>
      </c>
      <c r="EA8" s="272">
        <v>349197</v>
      </c>
      <c r="EB8" s="272"/>
      <c r="EC8" s="272">
        <v>0</v>
      </c>
      <c r="ED8" s="272">
        <v>32201057</v>
      </c>
      <c r="EF8" s="272">
        <v>468321</v>
      </c>
      <c r="EG8" s="272">
        <v>615611</v>
      </c>
      <c r="EH8" s="272">
        <v>-147290</v>
      </c>
      <c r="EI8" s="272">
        <v>-464870</v>
      </c>
      <c r="EJ8" s="272">
        <v>-788570</v>
      </c>
      <c r="EL8" s="272">
        <v>104293</v>
      </c>
      <c r="EM8" s="272">
        <v>101239</v>
      </c>
      <c r="EN8" s="272">
        <v>351009</v>
      </c>
      <c r="EO8" s="272">
        <v>17107</v>
      </c>
      <c r="EP8" s="455">
        <f t="shared" si="12"/>
        <v>886473</v>
      </c>
      <c r="EQ8" s="272">
        <v>20409116</v>
      </c>
      <c r="ER8" s="272">
        <v>-2412228</v>
      </c>
      <c r="ES8" s="272">
        <v>10153280</v>
      </c>
      <c r="ET8" s="272">
        <v>7160993</v>
      </c>
      <c r="EU8" s="272">
        <v>951880</v>
      </c>
      <c r="EV8" s="272">
        <v>2830236</v>
      </c>
      <c r="EW8" s="455">
        <f t="shared" si="13"/>
        <v>969845</v>
      </c>
      <c r="EX8" s="272">
        <v>826974</v>
      </c>
      <c r="EY8" s="272">
        <v>47502</v>
      </c>
      <c r="EZ8" s="272">
        <v>779472</v>
      </c>
      <c r="FA8" s="272">
        <v>142871</v>
      </c>
      <c r="FB8" s="272"/>
      <c r="FC8" s="272">
        <v>2731251</v>
      </c>
      <c r="FD8" s="272">
        <v>1819521</v>
      </c>
      <c r="FE8" s="272"/>
      <c r="FF8" s="272">
        <v>2110751</v>
      </c>
      <c r="FG8" s="455">
        <f t="shared" si="14"/>
        <v>1267855</v>
      </c>
      <c r="FH8" s="272">
        <v>22834619</v>
      </c>
      <c r="FI8" s="384">
        <f t="shared" si="15"/>
        <v>-0.8</v>
      </c>
      <c r="FJ8" s="272">
        <v>19041203</v>
      </c>
      <c r="FK8" s="272"/>
      <c r="FL8" s="272">
        <v>14174182</v>
      </c>
      <c r="FM8" s="272">
        <v>14443133</v>
      </c>
      <c r="FN8" s="460">
        <v>0.98599999999999999</v>
      </c>
      <c r="FO8" s="388">
        <v>104.9</v>
      </c>
      <c r="FP8" s="388">
        <v>52.5</v>
      </c>
      <c r="FQ8" s="388">
        <v>5.2</v>
      </c>
      <c r="FR8" s="388">
        <v>15.4</v>
      </c>
      <c r="FS8" s="388">
        <v>13.6</v>
      </c>
      <c r="FT8" s="388">
        <v>6.9</v>
      </c>
      <c r="FU8" s="388">
        <v>8.9</v>
      </c>
      <c r="FV8" s="388">
        <v>12.8</v>
      </c>
      <c r="FW8" s="272">
        <v>25301814</v>
      </c>
      <c r="FX8" s="384">
        <f t="shared" si="16"/>
        <v>132.9</v>
      </c>
      <c r="FY8" s="272">
        <v>10794460</v>
      </c>
      <c r="FZ8" s="272">
        <v>1481890</v>
      </c>
      <c r="GA8" s="272"/>
      <c r="GB8" s="272">
        <v>9312570</v>
      </c>
      <c r="GC8" s="272"/>
      <c r="GD8" s="272">
        <v>13803296</v>
      </c>
      <c r="GE8" s="384">
        <f t="shared" si="17"/>
        <v>72.5</v>
      </c>
      <c r="GF8" s="388">
        <v>98</v>
      </c>
      <c r="GG8" s="388">
        <v>22.1</v>
      </c>
      <c r="GH8" s="388">
        <v>92.7</v>
      </c>
      <c r="GI8" s="272">
        <v>1000</v>
      </c>
    </row>
    <row r="9" spans="2:191" x14ac:dyDescent="0.15">
      <c r="B9" s="89" t="s">
        <v>11</v>
      </c>
      <c r="C9" s="272">
        <v>64896367</v>
      </c>
      <c r="D9" s="455">
        <f t="shared" si="0"/>
        <v>26085690</v>
      </c>
      <c r="E9" s="272">
        <v>254120</v>
      </c>
      <c r="F9" s="272">
        <v>25831570</v>
      </c>
      <c r="G9" s="455">
        <f t="shared" si="1"/>
        <v>5733595</v>
      </c>
      <c r="H9" s="272">
        <v>943613</v>
      </c>
      <c r="I9" s="272">
        <v>4789982</v>
      </c>
      <c r="J9" s="272">
        <v>24224742</v>
      </c>
      <c r="K9" s="272">
        <v>11786707</v>
      </c>
      <c r="L9" s="272">
        <v>8880490</v>
      </c>
      <c r="M9" s="272">
        <v>3102342</v>
      </c>
      <c r="N9" s="272">
        <v>1458143</v>
      </c>
      <c r="O9" s="272">
        <v>6150061</v>
      </c>
      <c r="P9" s="272">
        <v>4164257</v>
      </c>
      <c r="Q9" s="272">
        <v>1985804</v>
      </c>
      <c r="R9" s="272">
        <v>2175223</v>
      </c>
      <c r="S9" s="272">
        <v>1567881</v>
      </c>
      <c r="T9" s="455">
        <f t="shared" si="2"/>
        <v>3289262</v>
      </c>
      <c r="U9" s="272">
        <v>2356376</v>
      </c>
      <c r="V9" s="272"/>
      <c r="W9" s="272"/>
      <c r="X9" s="272"/>
      <c r="Y9" s="272">
        <v>0</v>
      </c>
      <c r="Z9" s="272">
        <v>29361</v>
      </c>
      <c r="AA9" s="272">
        <v>903525</v>
      </c>
      <c r="AB9" s="272"/>
      <c r="AC9" s="272">
        <v>231004</v>
      </c>
      <c r="AD9" s="272">
        <v>0</v>
      </c>
      <c r="AE9" s="272">
        <v>231004</v>
      </c>
      <c r="AF9" s="272">
        <v>65459</v>
      </c>
      <c r="AG9" s="272">
        <v>1270884</v>
      </c>
      <c r="AH9" s="455">
        <f t="shared" si="3"/>
        <v>2458010</v>
      </c>
      <c r="AI9" s="272">
        <v>2050306</v>
      </c>
      <c r="AJ9" s="272">
        <v>407704</v>
      </c>
      <c r="AK9" s="272">
        <v>8595841</v>
      </c>
      <c r="AL9" s="455">
        <f t="shared" si="4"/>
        <v>4573935</v>
      </c>
      <c r="AM9" s="272">
        <v>3225767</v>
      </c>
      <c r="AN9" s="272">
        <v>838626</v>
      </c>
      <c r="AO9" s="272">
        <v>0</v>
      </c>
      <c r="AP9" s="272">
        <v>509542</v>
      </c>
      <c r="AQ9" s="272">
        <v>1972937</v>
      </c>
      <c r="AR9" s="272">
        <v>1638</v>
      </c>
      <c r="AS9" s="272">
        <v>0</v>
      </c>
      <c r="AT9" s="272">
        <v>5082637</v>
      </c>
      <c r="AU9" s="272">
        <v>1970875</v>
      </c>
      <c r="AV9" s="272">
        <v>287187</v>
      </c>
      <c r="AW9" s="272">
        <v>633847</v>
      </c>
      <c r="AX9" s="272">
        <v>3111762</v>
      </c>
      <c r="AY9" s="272">
        <v>477935</v>
      </c>
      <c r="AZ9" s="272">
        <v>580870</v>
      </c>
      <c r="BA9" s="272">
        <v>80258</v>
      </c>
      <c r="BB9" s="272">
        <v>56616</v>
      </c>
      <c r="BC9" s="272">
        <v>3754234</v>
      </c>
      <c r="BD9" s="272">
        <v>1000000</v>
      </c>
      <c r="BE9" s="272">
        <v>0</v>
      </c>
      <c r="BF9" s="272">
        <v>2735000</v>
      </c>
      <c r="BG9" s="272">
        <v>0</v>
      </c>
      <c r="BH9" s="272">
        <v>1427883</v>
      </c>
      <c r="BI9" s="272">
        <v>1373353</v>
      </c>
      <c r="BJ9" s="272">
        <v>3219862</v>
      </c>
      <c r="BK9" s="272">
        <v>1201224</v>
      </c>
      <c r="BL9" s="272">
        <v>962359</v>
      </c>
      <c r="BM9" s="272">
        <v>264679</v>
      </c>
      <c r="BN9" s="272">
        <v>10457400</v>
      </c>
      <c r="BO9" s="455">
        <f t="shared" si="5"/>
        <v>6614400</v>
      </c>
      <c r="BP9" s="455">
        <f t="shared" si="6"/>
        <v>3843000</v>
      </c>
      <c r="BQ9" s="272">
        <v>3843000</v>
      </c>
      <c r="BR9" s="272"/>
      <c r="BS9" s="272"/>
      <c r="BT9" s="272">
        <v>0</v>
      </c>
      <c r="BU9" s="272">
        <v>107561552</v>
      </c>
      <c r="BV9" s="272"/>
      <c r="BW9" s="272">
        <v>29577809</v>
      </c>
      <c r="BX9" s="272">
        <v>22395731</v>
      </c>
      <c r="BY9" s="272">
        <v>1181484</v>
      </c>
      <c r="BZ9" s="272">
        <v>1517628</v>
      </c>
      <c r="CA9" s="272">
        <v>11828281</v>
      </c>
      <c r="CB9" s="272">
        <v>1497131</v>
      </c>
      <c r="CC9" s="272">
        <v>2803329</v>
      </c>
      <c r="CD9" s="272">
        <v>2454577</v>
      </c>
      <c r="CE9" s="272">
        <v>4198276</v>
      </c>
      <c r="CF9" s="272">
        <v>556710</v>
      </c>
      <c r="CG9" s="272">
        <v>311840</v>
      </c>
      <c r="CH9" s="272">
        <v>6389839</v>
      </c>
      <c r="CI9" s="272">
        <v>2954558</v>
      </c>
      <c r="CJ9" s="455">
        <f t="shared" si="7"/>
        <v>3435281</v>
      </c>
      <c r="CK9" s="272">
        <v>12799390</v>
      </c>
      <c r="CL9" s="272">
        <v>7754166</v>
      </c>
      <c r="CM9" s="272">
        <v>302896</v>
      </c>
      <c r="CN9" s="272">
        <v>2648382</v>
      </c>
      <c r="CO9" s="272">
        <v>3079183</v>
      </c>
      <c r="CP9" s="272">
        <v>4362583</v>
      </c>
      <c r="CQ9" s="272">
        <v>1127</v>
      </c>
      <c r="CR9" s="272">
        <v>1730189</v>
      </c>
      <c r="CS9" s="272">
        <v>1519004</v>
      </c>
      <c r="CT9" s="455">
        <f t="shared" si="8"/>
        <v>1212836</v>
      </c>
      <c r="CU9" s="272">
        <v>868122</v>
      </c>
      <c r="CV9" s="272">
        <v>344714</v>
      </c>
      <c r="CW9" s="455">
        <f t="shared" si="9"/>
        <v>1180031</v>
      </c>
      <c r="CX9" s="272">
        <v>835317</v>
      </c>
      <c r="CY9" s="272">
        <v>344714</v>
      </c>
      <c r="CZ9" s="455">
        <f t="shared" si="10"/>
        <v>0</v>
      </c>
      <c r="DA9" s="272">
        <v>0</v>
      </c>
      <c r="DB9" s="272">
        <v>0</v>
      </c>
      <c r="DC9" s="272">
        <v>22740841</v>
      </c>
      <c r="DD9" s="272">
        <v>4443598</v>
      </c>
      <c r="DE9" s="272">
        <v>16848965</v>
      </c>
      <c r="DF9" s="272">
        <v>0</v>
      </c>
      <c r="DG9" s="272">
        <v>1448278</v>
      </c>
      <c r="DH9" s="272">
        <v>303707</v>
      </c>
      <c r="DI9" s="272">
        <v>1949463</v>
      </c>
      <c r="DJ9" s="272">
        <v>685303</v>
      </c>
      <c r="DK9" s="272">
        <v>0</v>
      </c>
      <c r="DL9" s="272">
        <v>1264160</v>
      </c>
      <c r="DM9" s="272">
        <v>700948</v>
      </c>
      <c r="DN9" s="272">
        <v>700948</v>
      </c>
      <c r="DO9" s="272">
        <v>440000</v>
      </c>
      <c r="DP9" s="272">
        <v>260948</v>
      </c>
      <c r="DQ9" s="272">
        <v>1189000</v>
      </c>
      <c r="DR9" s="272">
        <v>0</v>
      </c>
      <c r="DS9" s="272">
        <v>0</v>
      </c>
      <c r="DT9" s="272">
        <v>11733114</v>
      </c>
      <c r="DU9" s="272">
        <v>5335019</v>
      </c>
      <c r="DV9" s="455">
        <f t="shared" si="11"/>
        <v>1659552</v>
      </c>
      <c r="DW9" s="272">
        <v>1659552</v>
      </c>
      <c r="DX9" s="272">
        <v>0</v>
      </c>
      <c r="DY9" s="272">
        <v>652404</v>
      </c>
      <c r="DZ9" s="272">
        <v>2935460</v>
      </c>
      <c r="EA9" s="272">
        <v>995527</v>
      </c>
      <c r="EB9" s="272"/>
      <c r="EC9" s="272">
        <v>0</v>
      </c>
      <c r="ED9" s="272">
        <v>106654158</v>
      </c>
      <c r="EF9" s="272">
        <v>907394</v>
      </c>
      <c r="EG9" s="272">
        <v>355838</v>
      </c>
      <c r="EH9" s="272">
        <v>551556</v>
      </c>
      <c r="EI9" s="272">
        <v>-821797</v>
      </c>
      <c r="EJ9" s="272">
        <v>-1136494</v>
      </c>
      <c r="EL9" s="272">
        <v>342760</v>
      </c>
      <c r="EM9" s="272">
        <v>332015</v>
      </c>
      <c r="EN9" s="272">
        <v>1019234</v>
      </c>
      <c r="EO9" s="272">
        <v>100146</v>
      </c>
      <c r="EP9" s="455">
        <f t="shared" si="12"/>
        <v>3103530</v>
      </c>
      <c r="EQ9" s="272">
        <v>70657315</v>
      </c>
      <c r="ER9" s="272">
        <v>-8000451</v>
      </c>
      <c r="ES9" s="272">
        <v>27109879</v>
      </c>
      <c r="ET9" s="272">
        <v>20144000</v>
      </c>
      <c r="EU9" s="272">
        <v>4205769</v>
      </c>
      <c r="EV9" s="272">
        <v>6323483</v>
      </c>
      <c r="EW9" s="455">
        <f t="shared" si="13"/>
        <v>10191351</v>
      </c>
      <c r="EX9" s="272">
        <v>9941483</v>
      </c>
      <c r="EY9" s="272">
        <v>351978</v>
      </c>
      <c r="EZ9" s="272">
        <v>9589505</v>
      </c>
      <c r="FA9" s="272">
        <v>249868</v>
      </c>
      <c r="FB9" s="272"/>
      <c r="FC9" s="272">
        <v>10235523</v>
      </c>
      <c r="FD9" s="272">
        <v>3505285</v>
      </c>
      <c r="FE9" s="272">
        <v>1127</v>
      </c>
      <c r="FF9" s="272">
        <v>11423209</v>
      </c>
      <c r="FG9" s="455">
        <f t="shared" si="14"/>
        <v>4755873</v>
      </c>
      <c r="FH9" s="272">
        <v>77750372</v>
      </c>
      <c r="FI9" s="384">
        <f t="shared" si="15"/>
        <v>0.8</v>
      </c>
      <c r="FJ9" s="272">
        <v>67267539</v>
      </c>
      <c r="FK9" s="272"/>
      <c r="FL9" s="272">
        <v>50617055</v>
      </c>
      <c r="FM9" s="272">
        <v>43255856</v>
      </c>
      <c r="FN9" s="460">
        <v>1.1879999999999999</v>
      </c>
      <c r="FO9" s="388">
        <v>89.4</v>
      </c>
      <c r="FP9" s="388">
        <v>41.2</v>
      </c>
      <c r="FQ9" s="388">
        <v>6.5</v>
      </c>
      <c r="FR9" s="388">
        <v>9.8000000000000007</v>
      </c>
      <c r="FS9" s="388">
        <v>15.4</v>
      </c>
      <c r="FT9" s="388">
        <v>3.9</v>
      </c>
      <c r="FU9" s="388">
        <v>8.1</v>
      </c>
      <c r="FV9" s="388">
        <v>7</v>
      </c>
      <c r="FW9" s="272">
        <v>73329554</v>
      </c>
      <c r="FX9" s="384">
        <f t="shared" si="16"/>
        <v>109</v>
      </c>
      <c r="FY9" s="272">
        <v>34497531</v>
      </c>
      <c r="FZ9" s="272">
        <v>8465175</v>
      </c>
      <c r="GA9" s="272"/>
      <c r="GB9" s="272">
        <v>26032356</v>
      </c>
      <c r="GC9" s="272"/>
      <c r="GD9" s="272">
        <v>15384150</v>
      </c>
      <c r="GE9" s="384">
        <f t="shared" si="17"/>
        <v>22.9</v>
      </c>
      <c r="GF9" s="388">
        <v>98.1</v>
      </c>
      <c r="GG9" s="388">
        <v>24.8</v>
      </c>
      <c r="GH9" s="388">
        <v>93.5</v>
      </c>
      <c r="GI9" s="272">
        <v>2904</v>
      </c>
    </row>
    <row r="10" spans="2:191" x14ac:dyDescent="0.15">
      <c r="B10" s="89" t="s">
        <v>13</v>
      </c>
      <c r="C10" s="272">
        <v>11393003</v>
      </c>
      <c r="D10" s="455">
        <f t="shared" si="0"/>
        <v>3351159</v>
      </c>
      <c r="E10" s="272">
        <v>51325</v>
      </c>
      <c r="F10" s="272">
        <v>3299834</v>
      </c>
      <c r="G10" s="455">
        <f t="shared" si="1"/>
        <v>1018907</v>
      </c>
      <c r="H10" s="272">
        <v>182088</v>
      </c>
      <c r="I10" s="272">
        <v>836819</v>
      </c>
      <c r="J10" s="272">
        <v>5337715</v>
      </c>
      <c r="K10" s="272">
        <v>2737968</v>
      </c>
      <c r="L10" s="272">
        <v>1576066</v>
      </c>
      <c r="M10" s="272">
        <v>675151</v>
      </c>
      <c r="N10" s="272">
        <v>383663</v>
      </c>
      <c r="O10" s="272">
        <v>1237717</v>
      </c>
      <c r="P10" s="272">
        <v>860451</v>
      </c>
      <c r="Q10" s="272">
        <v>377266</v>
      </c>
      <c r="R10" s="272">
        <v>545002</v>
      </c>
      <c r="S10" s="272">
        <v>350075</v>
      </c>
      <c r="T10" s="455">
        <f t="shared" si="2"/>
        <v>509819</v>
      </c>
      <c r="U10" s="272">
        <v>303521</v>
      </c>
      <c r="V10" s="272"/>
      <c r="W10" s="272"/>
      <c r="X10" s="272"/>
      <c r="Y10" s="272">
        <v>0</v>
      </c>
      <c r="Z10" s="272">
        <v>4127</v>
      </c>
      <c r="AA10" s="272">
        <v>202171</v>
      </c>
      <c r="AB10" s="272"/>
      <c r="AC10" s="272">
        <v>2374195</v>
      </c>
      <c r="AD10" s="272">
        <v>2071179</v>
      </c>
      <c r="AE10" s="272">
        <v>303016</v>
      </c>
      <c r="AF10" s="272">
        <v>17870</v>
      </c>
      <c r="AG10" s="272">
        <v>126479</v>
      </c>
      <c r="AH10" s="455">
        <f t="shared" si="3"/>
        <v>288585</v>
      </c>
      <c r="AI10" s="272">
        <v>253518</v>
      </c>
      <c r="AJ10" s="272">
        <v>35067</v>
      </c>
      <c r="AK10" s="272">
        <v>2559046</v>
      </c>
      <c r="AL10" s="455">
        <f t="shared" si="4"/>
        <v>1018250</v>
      </c>
      <c r="AM10" s="272">
        <v>721787</v>
      </c>
      <c r="AN10" s="272">
        <v>159108</v>
      </c>
      <c r="AO10" s="272">
        <v>0</v>
      </c>
      <c r="AP10" s="272">
        <v>137355</v>
      </c>
      <c r="AQ10" s="272">
        <v>975855</v>
      </c>
      <c r="AR10" s="272">
        <v>0</v>
      </c>
      <c r="AS10" s="272">
        <v>0</v>
      </c>
      <c r="AT10" s="272">
        <v>1375901</v>
      </c>
      <c r="AU10" s="272">
        <v>440124</v>
      </c>
      <c r="AV10" s="272">
        <v>83901</v>
      </c>
      <c r="AW10" s="272">
        <v>16263</v>
      </c>
      <c r="AX10" s="272">
        <v>935777</v>
      </c>
      <c r="AY10" s="272">
        <v>341989</v>
      </c>
      <c r="AZ10" s="272">
        <v>96255</v>
      </c>
      <c r="BA10" s="272">
        <v>36641</v>
      </c>
      <c r="BB10" s="272">
        <v>364209</v>
      </c>
      <c r="BC10" s="272">
        <v>1106627</v>
      </c>
      <c r="BD10" s="272">
        <v>270000</v>
      </c>
      <c r="BE10" s="272">
        <v>160000</v>
      </c>
      <c r="BF10" s="272">
        <v>674947</v>
      </c>
      <c r="BG10" s="272">
        <v>0</v>
      </c>
      <c r="BH10" s="272">
        <v>266907</v>
      </c>
      <c r="BI10" s="272">
        <v>264015</v>
      </c>
      <c r="BJ10" s="272">
        <v>1240217</v>
      </c>
      <c r="BK10" s="272">
        <v>723173</v>
      </c>
      <c r="BL10" s="272">
        <v>0</v>
      </c>
      <c r="BM10" s="272">
        <v>174517</v>
      </c>
      <c r="BN10" s="272">
        <v>3376200</v>
      </c>
      <c r="BO10" s="455">
        <f t="shared" si="5"/>
        <v>2795800</v>
      </c>
      <c r="BP10" s="455">
        <f t="shared" si="6"/>
        <v>580400</v>
      </c>
      <c r="BQ10" s="272">
        <v>580400</v>
      </c>
      <c r="BR10" s="272"/>
      <c r="BS10" s="272"/>
      <c r="BT10" s="272">
        <v>0</v>
      </c>
      <c r="BU10" s="272">
        <v>25640315</v>
      </c>
      <c r="BV10" s="272"/>
      <c r="BW10" s="272">
        <v>6492457</v>
      </c>
      <c r="BX10" s="272">
        <v>4753518</v>
      </c>
      <c r="BY10" s="272">
        <v>400375</v>
      </c>
      <c r="BZ10" s="272">
        <v>200357</v>
      </c>
      <c r="CA10" s="272">
        <v>2742991</v>
      </c>
      <c r="CB10" s="272">
        <v>422579</v>
      </c>
      <c r="CC10" s="272">
        <v>866456</v>
      </c>
      <c r="CD10" s="272">
        <v>461948</v>
      </c>
      <c r="CE10" s="272">
        <v>959608</v>
      </c>
      <c r="CF10" s="272">
        <v>46</v>
      </c>
      <c r="CG10" s="272">
        <v>31434</v>
      </c>
      <c r="CH10" s="272">
        <v>1837465</v>
      </c>
      <c r="CI10" s="272">
        <v>936049</v>
      </c>
      <c r="CJ10" s="455">
        <f t="shared" si="7"/>
        <v>901416</v>
      </c>
      <c r="CK10" s="272">
        <v>1823281</v>
      </c>
      <c r="CL10" s="272">
        <v>841307</v>
      </c>
      <c r="CM10" s="272">
        <v>92200</v>
      </c>
      <c r="CN10" s="272">
        <v>460139</v>
      </c>
      <c r="CO10" s="272">
        <v>114621</v>
      </c>
      <c r="CP10" s="272">
        <v>2257707</v>
      </c>
      <c r="CQ10" s="272">
        <v>1080730</v>
      </c>
      <c r="CR10" s="272">
        <v>387726</v>
      </c>
      <c r="CS10" s="272">
        <v>302036</v>
      </c>
      <c r="CT10" s="455">
        <f t="shared" si="8"/>
        <v>514816</v>
      </c>
      <c r="CU10" s="272">
        <v>9324</v>
      </c>
      <c r="CV10" s="272">
        <v>505492</v>
      </c>
      <c r="CW10" s="455">
        <f t="shared" si="9"/>
        <v>491469</v>
      </c>
      <c r="CX10" s="272">
        <v>0</v>
      </c>
      <c r="CY10" s="272">
        <v>491469</v>
      </c>
      <c r="CZ10" s="455">
        <f t="shared" si="10"/>
        <v>0</v>
      </c>
      <c r="DA10" s="272">
        <v>0</v>
      </c>
      <c r="DB10" s="272">
        <v>0</v>
      </c>
      <c r="DC10" s="272">
        <v>5706545</v>
      </c>
      <c r="DD10" s="272">
        <v>2113980</v>
      </c>
      <c r="DE10" s="272">
        <v>3271630</v>
      </c>
      <c r="DF10" s="272">
        <v>194625</v>
      </c>
      <c r="DG10" s="272">
        <v>126310</v>
      </c>
      <c r="DH10" s="272">
        <v>0</v>
      </c>
      <c r="DI10" s="272">
        <v>1268300</v>
      </c>
      <c r="DJ10" s="272">
        <v>584400</v>
      </c>
      <c r="DK10" s="272">
        <v>105500</v>
      </c>
      <c r="DL10" s="272">
        <v>578400</v>
      </c>
      <c r="DM10" s="272">
        <v>500</v>
      </c>
      <c r="DN10" s="272">
        <v>0</v>
      </c>
      <c r="DO10" s="272">
        <v>0</v>
      </c>
      <c r="DP10" s="272">
        <v>0</v>
      </c>
      <c r="DQ10" s="272">
        <v>710000</v>
      </c>
      <c r="DR10" s="272">
        <v>0</v>
      </c>
      <c r="DS10" s="272">
        <v>0</v>
      </c>
      <c r="DT10" s="272">
        <v>2357249</v>
      </c>
      <c r="DU10" s="272">
        <v>1627289</v>
      </c>
      <c r="DV10" s="455">
        <f t="shared" si="11"/>
        <v>0</v>
      </c>
      <c r="DW10" s="272">
        <v>0</v>
      </c>
      <c r="DX10" s="272">
        <v>0</v>
      </c>
      <c r="DY10" s="272">
        <v>35946</v>
      </c>
      <c r="DZ10" s="272">
        <v>377576</v>
      </c>
      <c r="EA10" s="272">
        <v>273449</v>
      </c>
      <c r="EB10" s="272"/>
      <c r="EC10" s="272">
        <v>0</v>
      </c>
      <c r="ED10" s="272">
        <v>25311116</v>
      </c>
      <c r="EF10" s="272">
        <v>329199</v>
      </c>
      <c r="EG10" s="272">
        <v>29762</v>
      </c>
      <c r="EH10" s="272">
        <v>299437</v>
      </c>
      <c r="EI10" s="272">
        <v>35422</v>
      </c>
      <c r="EJ10" s="272">
        <v>349822</v>
      </c>
      <c r="EL10" s="272">
        <v>68842</v>
      </c>
      <c r="EM10" s="272">
        <v>69071</v>
      </c>
      <c r="EN10" s="272">
        <v>1091680</v>
      </c>
      <c r="EO10" s="272">
        <v>42033</v>
      </c>
      <c r="EP10" s="455">
        <f t="shared" si="12"/>
        <v>1124410</v>
      </c>
      <c r="EQ10" s="272">
        <v>14839889</v>
      </c>
      <c r="ER10" s="272">
        <v>-2820653</v>
      </c>
      <c r="ES10" s="272">
        <v>5916659</v>
      </c>
      <c r="ET10" s="272">
        <v>4215035</v>
      </c>
      <c r="EU10" s="272">
        <v>1005326</v>
      </c>
      <c r="EV10" s="272">
        <v>1810540</v>
      </c>
      <c r="EW10" s="455">
        <f t="shared" si="13"/>
        <v>1270872</v>
      </c>
      <c r="EX10" s="272">
        <v>1270872</v>
      </c>
      <c r="EY10" s="272">
        <v>67278</v>
      </c>
      <c r="EZ10" s="272">
        <v>1194969</v>
      </c>
      <c r="FA10" s="272">
        <v>0</v>
      </c>
      <c r="FB10" s="272"/>
      <c r="FC10" s="272">
        <v>1624522</v>
      </c>
      <c r="FD10" s="272">
        <v>2068972</v>
      </c>
      <c r="FE10" s="272">
        <v>1080730</v>
      </c>
      <c r="FF10" s="272">
        <v>2296806</v>
      </c>
      <c r="FG10" s="455">
        <f t="shared" si="14"/>
        <v>1337646</v>
      </c>
      <c r="FH10" s="272">
        <v>17331343</v>
      </c>
      <c r="FI10" s="384">
        <f t="shared" si="15"/>
        <v>2.2999999999999998</v>
      </c>
      <c r="FJ10" s="272">
        <v>13215078</v>
      </c>
      <c r="FK10" s="272"/>
      <c r="FL10" s="272">
        <v>8406862</v>
      </c>
      <c r="FM10" s="272">
        <v>10463545</v>
      </c>
      <c r="FN10" s="460">
        <v>0.81499999999999995</v>
      </c>
      <c r="FO10" s="388">
        <v>97.8</v>
      </c>
      <c r="FP10" s="388">
        <v>41.9</v>
      </c>
      <c r="FQ10" s="388">
        <v>7.5</v>
      </c>
      <c r="FR10" s="388">
        <v>13.5</v>
      </c>
      <c r="FS10" s="388">
        <v>9.3000000000000007</v>
      </c>
      <c r="FT10" s="388">
        <v>12.7</v>
      </c>
      <c r="FU10" s="388">
        <v>12</v>
      </c>
      <c r="FV10" s="388">
        <v>11.7</v>
      </c>
      <c r="FW10" s="272">
        <v>20344293</v>
      </c>
      <c r="FX10" s="384">
        <f t="shared" si="16"/>
        <v>153.9</v>
      </c>
      <c r="FY10" s="272">
        <v>2740377</v>
      </c>
      <c r="FZ10" s="272">
        <v>805605</v>
      </c>
      <c r="GA10" s="272">
        <v>327700</v>
      </c>
      <c r="GB10" s="272">
        <v>1607072</v>
      </c>
      <c r="GC10" s="272"/>
      <c r="GD10" s="272">
        <v>12003273</v>
      </c>
      <c r="GE10" s="384">
        <f t="shared" si="17"/>
        <v>90.8</v>
      </c>
      <c r="GF10" s="388">
        <v>97.7</v>
      </c>
      <c r="GG10" s="388">
        <v>29.3</v>
      </c>
      <c r="GH10" s="388">
        <v>93.8</v>
      </c>
      <c r="GI10" s="272">
        <v>644</v>
      </c>
    </row>
    <row r="11" spans="2:191" x14ac:dyDescent="0.15">
      <c r="B11" s="89" t="s">
        <v>15</v>
      </c>
      <c r="C11" s="272">
        <v>55670632</v>
      </c>
      <c r="D11" s="455">
        <f t="shared" si="0"/>
        <v>22613969</v>
      </c>
      <c r="E11" s="272">
        <v>274916</v>
      </c>
      <c r="F11" s="272">
        <v>22339053</v>
      </c>
      <c r="G11" s="455">
        <f t="shared" si="1"/>
        <v>4200619</v>
      </c>
      <c r="H11" s="272">
        <v>701978</v>
      </c>
      <c r="I11" s="272">
        <v>3498641</v>
      </c>
      <c r="J11" s="272">
        <v>20332717</v>
      </c>
      <c r="K11" s="272">
        <v>10506418</v>
      </c>
      <c r="L11" s="272">
        <v>6700126</v>
      </c>
      <c r="M11" s="272">
        <v>2963855</v>
      </c>
      <c r="N11" s="272">
        <v>1374850</v>
      </c>
      <c r="O11" s="272">
        <v>4947044</v>
      </c>
      <c r="P11" s="272">
        <v>3507776</v>
      </c>
      <c r="Q11" s="272">
        <v>1439268</v>
      </c>
      <c r="R11" s="272">
        <v>2129319</v>
      </c>
      <c r="S11" s="272">
        <v>1463362</v>
      </c>
      <c r="T11" s="455">
        <f t="shared" si="2"/>
        <v>3133078</v>
      </c>
      <c r="U11" s="272">
        <v>1993594</v>
      </c>
      <c r="V11" s="272"/>
      <c r="W11" s="272"/>
      <c r="X11" s="272"/>
      <c r="Y11" s="272">
        <v>126341</v>
      </c>
      <c r="Z11" s="272">
        <v>21274</v>
      </c>
      <c r="AA11" s="272">
        <v>991869</v>
      </c>
      <c r="AB11" s="272"/>
      <c r="AC11" s="272">
        <v>2360334</v>
      </c>
      <c r="AD11" s="272">
        <v>2017193</v>
      </c>
      <c r="AE11" s="272">
        <v>343141</v>
      </c>
      <c r="AF11" s="272">
        <v>76129</v>
      </c>
      <c r="AG11" s="272">
        <v>710833</v>
      </c>
      <c r="AH11" s="455">
        <f t="shared" si="3"/>
        <v>2124888</v>
      </c>
      <c r="AI11" s="272">
        <v>1320407</v>
      </c>
      <c r="AJ11" s="272">
        <v>804481</v>
      </c>
      <c r="AK11" s="272">
        <v>6651754</v>
      </c>
      <c r="AL11" s="455">
        <f t="shared" si="4"/>
        <v>3207763</v>
      </c>
      <c r="AM11" s="272">
        <v>2237691</v>
      </c>
      <c r="AN11" s="272">
        <v>583663</v>
      </c>
      <c r="AO11" s="272">
        <v>0</v>
      </c>
      <c r="AP11" s="272">
        <v>386409</v>
      </c>
      <c r="AQ11" s="272">
        <v>1499970</v>
      </c>
      <c r="AR11" s="272">
        <v>4095</v>
      </c>
      <c r="AS11" s="272">
        <v>0</v>
      </c>
      <c r="AT11" s="272">
        <v>5116980</v>
      </c>
      <c r="AU11" s="272">
        <v>991239</v>
      </c>
      <c r="AV11" s="272">
        <v>291832</v>
      </c>
      <c r="AW11" s="272">
        <v>28750</v>
      </c>
      <c r="AX11" s="272">
        <v>4125741</v>
      </c>
      <c r="AY11" s="272">
        <v>1327095</v>
      </c>
      <c r="AZ11" s="272">
        <v>228694</v>
      </c>
      <c r="BA11" s="272">
        <v>17868</v>
      </c>
      <c r="BB11" s="272">
        <v>515671</v>
      </c>
      <c r="BC11" s="272">
        <v>3412580</v>
      </c>
      <c r="BD11" s="272">
        <v>0</v>
      </c>
      <c r="BE11" s="272">
        <v>0</v>
      </c>
      <c r="BF11" s="272">
        <v>3293862</v>
      </c>
      <c r="BG11" s="272">
        <v>0</v>
      </c>
      <c r="BH11" s="272">
        <v>940202</v>
      </c>
      <c r="BI11" s="272">
        <v>398526</v>
      </c>
      <c r="BJ11" s="272">
        <v>3978897</v>
      </c>
      <c r="BK11" s="272">
        <v>2817258</v>
      </c>
      <c r="BL11" s="272">
        <v>57500</v>
      </c>
      <c r="BM11" s="272">
        <v>269112</v>
      </c>
      <c r="BN11" s="272">
        <v>12067700</v>
      </c>
      <c r="BO11" s="455">
        <f t="shared" si="5"/>
        <v>8061400</v>
      </c>
      <c r="BP11" s="455">
        <f t="shared" si="6"/>
        <v>4006300</v>
      </c>
      <c r="BQ11" s="272">
        <v>4006300</v>
      </c>
      <c r="BR11" s="272"/>
      <c r="BS11" s="272"/>
      <c r="BT11" s="272">
        <v>0</v>
      </c>
      <c r="BU11" s="272">
        <v>99117691</v>
      </c>
      <c r="BV11" s="272"/>
      <c r="BW11" s="272">
        <v>26515863</v>
      </c>
      <c r="BX11" s="272">
        <v>20117784</v>
      </c>
      <c r="BY11" s="272">
        <v>1487557</v>
      </c>
      <c r="BZ11" s="272">
        <v>859009</v>
      </c>
      <c r="CA11" s="272">
        <v>8051404</v>
      </c>
      <c r="CB11" s="272">
        <v>559749</v>
      </c>
      <c r="CC11" s="272">
        <v>2204158</v>
      </c>
      <c r="CD11" s="272">
        <v>2095658</v>
      </c>
      <c r="CE11" s="272">
        <v>2986989</v>
      </c>
      <c r="CF11" s="272">
        <v>13295</v>
      </c>
      <c r="CG11" s="272">
        <v>140894</v>
      </c>
      <c r="CH11" s="272">
        <v>8291134</v>
      </c>
      <c r="CI11" s="272">
        <v>4835094</v>
      </c>
      <c r="CJ11" s="455">
        <f t="shared" si="7"/>
        <v>3456040</v>
      </c>
      <c r="CK11" s="272">
        <v>12781091</v>
      </c>
      <c r="CL11" s="272">
        <v>7390319</v>
      </c>
      <c r="CM11" s="272">
        <v>341564</v>
      </c>
      <c r="CN11" s="272">
        <v>3167967</v>
      </c>
      <c r="CO11" s="272">
        <v>1421988</v>
      </c>
      <c r="CP11" s="272">
        <v>4474687</v>
      </c>
      <c r="CQ11" s="272">
        <v>41432</v>
      </c>
      <c r="CR11" s="272">
        <v>3041477</v>
      </c>
      <c r="CS11" s="272">
        <v>2674817</v>
      </c>
      <c r="CT11" s="455">
        <f t="shared" si="8"/>
        <v>1070212</v>
      </c>
      <c r="CU11" s="272">
        <v>92440</v>
      </c>
      <c r="CV11" s="272">
        <v>977772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23807968</v>
      </c>
      <c r="DD11" s="272">
        <v>3069045</v>
      </c>
      <c r="DE11" s="272">
        <v>19945040</v>
      </c>
      <c r="DF11" s="272">
        <v>34381</v>
      </c>
      <c r="DG11" s="272">
        <v>759502</v>
      </c>
      <c r="DH11" s="272">
        <v>96565</v>
      </c>
      <c r="DI11" s="272">
        <v>2463132</v>
      </c>
      <c r="DJ11" s="272">
        <v>923913</v>
      </c>
      <c r="DK11" s="272">
        <v>211270</v>
      </c>
      <c r="DL11" s="272">
        <v>1327949</v>
      </c>
      <c r="DM11" s="272">
        <v>72300</v>
      </c>
      <c r="DN11" s="272">
        <v>0</v>
      </c>
      <c r="DO11" s="272">
        <v>0</v>
      </c>
      <c r="DP11" s="272">
        <v>0</v>
      </c>
      <c r="DQ11" s="272">
        <v>2781509</v>
      </c>
      <c r="DR11" s="272">
        <v>0</v>
      </c>
      <c r="DS11" s="272">
        <v>0</v>
      </c>
      <c r="DT11" s="272">
        <v>7564674</v>
      </c>
      <c r="DU11" s="272">
        <v>4289081</v>
      </c>
      <c r="DV11" s="455">
        <f t="shared" si="11"/>
        <v>0</v>
      </c>
      <c r="DW11" s="272">
        <v>0</v>
      </c>
      <c r="DX11" s="272">
        <v>0</v>
      </c>
      <c r="DY11" s="272">
        <v>0</v>
      </c>
      <c r="DZ11" s="272">
        <v>2133788</v>
      </c>
      <c r="EA11" s="272">
        <v>1109774</v>
      </c>
      <c r="EB11" s="272"/>
      <c r="EC11" s="272">
        <v>0</v>
      </c>
      <c r="ED11" s="272">
        <v>98322315</v>
      </c>
      <c r="EF11" s="272">
        <v>795376</v>
      </c>
      <c r="EG11" s="272">
        <v>447884</v>
      </c>
      <c r="EH11" s="272">
        <v>347492</v>
      </c>
      <c r="EI11" s="272">
        <v>-51034</v>
      </c>
      <c r="EJ11" s="272">
        <v>872879</v>
      </c>
      <c r="EL11" s="272">
        <v>362270</v>
      </c>
      <c r="EM11" s="272">
        <v>359993</v>
      </c>
      <c r="EN11" s="272">
        <v>562614</v>
      </c>
      <c r="EO11" s="272">
        <v>24240</v>
      </c>
      <c r="EP11" s="455">
        <f t="shared" si="12"/>
        <v>2089520</v>
      </c>
      <c r="EQ11" s="272">
        <v>63369492</v>
      </c>
      <c r="ER11" s="272">
        <v>-6606545</v>
      </c>
      <c r="ES11" s="272">
        <v>24413569</v>
      </c>
      <c r="ET11" s="272">
        <v>18028742</v>
      </c>
      <c r="EU11" s="272">
        <v>2096543</v>
      </c>
      <c r="EV11" s="272">
        <v>7957090</v>
      </c>
      <c r="EW11" s="455">
        <f t="shared" si="13"/>
        <v>9594601</v>
      </c>
      <c r="EX11" s="272">
        <v>9505165</v>
      </c>
      <c r="EY11" s="272">
        <v>989696</v>
      </c>
      <c r="EZ11" s="272">
        <v>8509038</v>
      </c>
      <c r="FA11" s="272">
        <v>89436</v>
      </c>
      <c r="FB11" s="272"/>
      <c r="FC11" s="272">
        <v>10154913</v>
      </c>
      <c r="FD11" s="272">
        <v>4027421</v>
      </c>
      <c r="FE11" s="272">
        <v>41432</v>
      </c>
      <c r="FF11" s="272">
        <v>7266778</v>
      </c>
      <c r="FG11" s="455">
        <f t="shared" si="14"/>
        <v>3669746</v>
      </c>
      <c r="FH11" s="272">
        <v>69180661</v>
      </c>
      <c r="FI11" s="384">
        <f t="shared" si="15"/>
        <v>0.6</v>
      </c>
      <c r="FJ11" s="272">
        <v>60026292</v>
      </c>
      <c r="FK11" s="272"/>
      <c r="FL11" s="272">
        <v>43694922</v>
      </c>
      <c r="FM11" s="272">
        <v>45757732</v>
      </c>
      <c r="FN11" s="460">
        <v>0.96699999999999997</v>
      </c>
      <c r="FO11" s="388">
        <v>91.8</v>
      </c>
      <c r="FP11" s="388">
        <v>41.3</v>
      </c>
      <c r="FQ11" s="388">
        <v>3.5</v>
      </c>
      <c r="FR11" s="388">
        <v>13.6</v>
      </c>
      <c r="FS11" s="388">
        <v>17.3</v>
      </c>
      <c r="FT11" s="388">
        <v>6.4</v>
      </c>
      <c r="FU11" s="388">
        <v>7.1</v>
      </c>
      <c r="FV11" s="388">
        <v>9.6999999999999993</v>
      </c>
      <c r="FW11" s="272">
        <v>78123917</v>
      </c>
      <c r="FX11" s="384">
        <f t="shared" si="16"/>
        <v>130.1</v>
      </c>
      <c r="FY11" s="272">
        <v>19949174</v>
      </c>
      <c r="FZ11" s="272">
        <v>5320612</v>
      </c>
      <c r="GA11" s="272">
        <v>1487201</v>
      </c>
      <c r="GB11" s="272">
        <v>13141361</v>
      </c>
      <c r="GC11" s="272"/>
      <c r="GD11" s="272">
        <v>10521339</v>
      </c>
      <c r="GE11" s="384">
        <f t="shared" si="17"/>
        <v>17.5</v>
      </c>
      <c r="GF11" s="388">
        <v>98.4</v>
      </c>
      <c r="GG11" s="388">
        <v>32.4</v>
      </c>
      <c r="GH11" s="388">
        <v>96.4</v>
      </c>
      <c r="GI11" s="272">
        <v>2554</v>
      </c>
    </row>
    <row r="12" spans="2:191" x14ac:dyDescent="0.15">
      <c r="B12" s="89" t="s">
        <v>17</v>
      </c>
      <c r="C12" s="272">
        <v>10811511</v>
      </c>
      <c r="D12" s="455">
        <f t="shared" si="0"/>
        <v>3703047</v>
      </c>
      <c r="E12" s="272">
        <v>59085</v>
      </c>
      <c r="F12" s="272">
        <v>3643962</v>
      </c>
      <c r="G12" s="455">
        <f t="shared" si="1"/>
        <v>704799</v>
      </c>
      <c r="H12" s="272">
        <v>160646</v>
      </c>
      <c r="I12" s="272">
        <v>544153</v>
      </c>
      <c r="J12" s="272">
        <v>4636282</v>
      </c>
      <c r="K12" s="272">
        <v>2316070</v>
      </c>
      <c r="L12" s="272">
        <v>1592222</v>
      </c>
      <c r="M12" s="272">
        <v>623859</v>
      </c>
      <c r="N12" s="272">
        <v>466812</v>
      </c>
      <c r="O12" s="272">
        <v>1028032</v>
      </c>
      <c r="P12" s="272">
        <v>670199</v>
      </c>
      <c r="Q12" s="272">
        <v>357833</v>
      </c>
      <c r="R12" s="272">
        <v>536150</v>
      </c>
      <c r="S12" s="272">
        <v>364993</v>
      </c>
      <c r="T12" s="455">
        <f t="shared" si="2"/>
        <v>585296</v>
      </c>
      <c r="U12" s="272">
        <v>327310</v>
      </c>
      <c r="V12" s="272"/>
      <c r="W12" s="272"/>
      <c r="X12" s="272"/>
      <c r="Y12" s="272">
        <v>0</v>
      </c>
      <c r="Z12" s="272">
        <v>3219</v>
      </c>
      <c r="AA12" s="272">
        <v>254767</v>
      </c>
      <c r="AB12" s="272"/>
      <c r="AC12" s="272">
        <v>3708926</v>
      </c>
      <c r="AD12" s="272">
        <v>3318907</v>
      </c>
      <c r="AE12" s="272">
        <v>390019</v>
      </c>
      <c r="AF12" s="272">
        <v>23032</v>
      </c>
      <c r="AG12" s="272">
        <v>188656</v>
      </c>
      <c r="AH12" s="455">
        <f t="shared" si="3"/>
        <v>796163</v>
      </c>
      <c r="AI12" s="272">
        <v>741648</v>
      </c>
      <c r="AJ12" s="272">
        <v>54515</v>
      </c>
      <c r="AK12" s="272">
        <v>2832289</v>
      </c>
      <c r="AL12" s="455">
        <f t="shared" si="4"/>
        <v>1248551</v>
      </c>
      <c r="AM12" s="272">
        <v>906626</v>
      </c>
      <c r="AN12" s="272">
        <v>251598</v>
      </c>
      <c r="AO12" s="272">
        <v>0</v>
      </c>
      <c r="AP12" s="272">
        <v>90327</v>
      </c>
      <c r="AQ12" s="272">
        <v>1144092</v>
      </c>
      <c r="AR12" s="272">
        <v>19205</v>
      </c>
      <c r="AS12" s="272">
        <v>0</v>
      </c>
      <c r="AT12" s="272">
        <v>2319653</v>
      </c>
      <c r="AU12" s="272">
        <v>505450</v>
      </c>
      <c r="AV12" s="272">
        <v>126418</v>
      </c>
      <c r="AW12" s="272">
        <v>27747</v>
      </c>
      <c r="AX12" s="272">
        <v>1814203</v>
      </c>
      <c r="AY12" s="272">
        <v>1036973</v>
      </c>
      <c r="AZ12" s="272">
        <v>1124116</v>
      </c>
      <c r="BA12" s="272">
        <v>1074300</v>
      </c>
      <c r="BB12" s="272">
        <v>492193</v>
      </c>
      <c r="BC12" s="272">
        <v>501012</v>
      </c>
      <c r="BD12" s="272">
        <v>100000</v>
      </c>
      <c r="BE12" s="272">
        <v>0</v>
      </c>
      <c r="BF12" s="272">
        <v>389332</v>
      </c>
      <c r="BG12" s="272">
        <v>0</v>
      </c>
      <c r="BH12" s="272">
        <v>36429</v>
      </c>
      <c r="BI12" s="272">
        <v>1780</v>
      </c>
      <c r="BJ12" s="272">
        <v>349613</v>
      </c>
      <c r="BK12" s="272">
        <v>17355</v>
      </c>
      <c r="BL12" s="272">
        <v>0</v>
      </c>
      <c r="BM12" s="272">
        <v>178335</v>
      </c>
      <c r="BN12" s="272">
        <v>2454100</v>
      </c>
      <c r="BO12" s="455">
        <f t="shared" si="5"/>
        <v>1794400</v>
      </c>
      <c r="BP12" s="455">
        <f t="shared" si="6"/>
        <v>659700</v>
      </c>
      <c r="BQ12" s="272">
        <v>659700</v>
      </c>
      <c r="BR12" s="272"/>
      <c r="BS12" s="272"/>
      <c r="BT12" s="272">
        <v>0</v>
      </c>
      <c r="BU12" s="272">
        <v>26759139</v>
      </c>
      <c r="BV12" s="272"/>
      <c r="BW12" s="272">
        <v>7016434</v>
      </c>
      <c r="BX12" s="272">
        <v>5070662</v>
      </c>
      <c r="BY12" s="272">
        <v>359464</v>
      </c>
      <c r="BZ12" s="272">
        <v>388061</v>
      </c>
      <c r="CA12" s="272">
        <v>3081318</v>
      </c>
      <c r="CB12" s="272">
        <v>381449</v>
      </c>
      <c r="CC12" s="272">
        <v>640578</v>
      </c>
      <c r="CD12" s="272">
        <v>827157</v>
      </c>
      <c r="CE12" s="272">
        <v>1203755</v>
      </c>
      <c r="CF12" s="272">
        <v>166</v>
      </c>
      <c r="CG12" s="272">
        <v>28213</v>
      </c>
      <c r="CH12" s="272">
        <v>3388062</v>
      </c>
      <c r="CI12" s="272">
        <v>1791372</v>
      </c>
      <c r="CJ12" s="455">
        <f t="shared" si="7"/>
        <v>1596690</v>
      </c>
      <c r="CK12" s="272">
        <v>2197128</v>
      </c>
      <c r="CL12" s="272">
        <v>977400</v>
      </c>
      <c r="CM12" s="272">
        <v>137452</v>
      </c>
      <c r="CN12" s="272">
        <v>620213</v>
      </c>
      <c r="CO12" s="272">
        <v>140053</v>
      </c>
      <c r="CP12" s="272">
        <v>2053335</v>
      </c>
      <c r="CQ12" s="272">
        <v>561312</v>
      </c>
      <c r="CR12" s="272">
        <v>771879</v>
      </c>
      <c r="CS12" s="272">
        <v>561787</v>
      </c>
      <c r="CT12" s="455">
        <f t="shared" si="8"/>
        <v>304308</v>
      </c>
      <c r="CU12" s="272">
        <v>231286</v>
      </c>
      <c r="CV12" s="272">
        <v>73022</v>
      </c>
      <c r="CW12" s="455">
        <f t="shared" si="9"/>
        <v>299074</v>
      </c>
      <c r="CX12" s="272">
        <v>226052</v>
      </c>
      <c r="CY12" s="272">
        <v>73022</v>
      </c>
      <c r="CZ12" s="455">
        <f t="shared" si="10"/>
        <v>0</v>
      </c>
      <c r="DA12" s="272">
        <v>0</v>
      </c>
      <c r="DB12" s="272">
        <v>0</v>
      </c>
      <c r="DC12" s="272">
        <v>5196990</v>
      </c>
      <c r="DD12" s="272">
        <v>1959785</v>
      </c>
      <c r="DE12" s="272">
        <v>3206299</v>
      </c>
      <c r="DF12" s="272">
        <v>30906</v>
      </c>
      <c r="DG12" s="272">
        <v>0</v>
      </c>
      <c r="DH12" s="272">
        <v>124751</v>
      </c>
      <c r="DI12" s="272">
        <v>1729873</v>
      </c>
      <c r="DJ12" s="272">
        <v>582332</v>
      </c>
      <c r="DK12" s="272">
        <v>508828</v>
      </c>
      <c r="DL12" s="272">
        <v>638713</v>
      </c>
      <c r="DM12" s="272">
        <v>0</v>
      </c>
      <c r="DN12" s="272">
        <v>0</v>
      </c>
      <c r="DO12" s="272">
        <v>0</v>
      </c>
      <c r="DP12" s="272">
        <v>0</v>
      </c>
      <c r="DQ12" s="272">
        <v>7840</v>
      </c>
      <c r="DR12" s="272">
        <v>0</v>
      </c>
      <c r="DS12" s="272">
        <v>0</v>
      </c>
      <c r="DT12" s="272">
        <v>1791093</v>
      </c>
      <c r="DU12" s="272">
        <v>986629</v>
      </c>
      <c r="DV12" s="455">
        <f t="shared" si="11"/>
        <v>0</v>
      </c>
      <c r="DW12" s="272">
        <v>0</v>
      </c>
      <c r="DX12" s="272">
        <v>0</v>
      </c>
      <c r="DY12" s="272">
        <v>0</v>
      </c>
      <c r="DZ12" s="272">
        <v>437757</v>
      </c>
      <c r="EA12" s="272">
        <v>353237</v>
      </c>
      <c r="EB12" s="272"/>
      <c r="EC12" s="272">
        <v>0</v>
      </c>
      <c r="ED12" s="272">
        <v>26726877</v>
      </c>
      <c r="EF12" s="272">
        <v>32262</v>
      </c>
      <c r="EG12" s="272">
        <v>6216</v>
      </c>
      <c r="EH12" s="272">
        <v>26046</v>
      </c>
      <c r="EI12" s="272">
        <v>24266</v>
      </c>
      <c r="EJ12" s="272">
        <v>506598</v>
      </c>
      <c r="EL12" s="272">
        <v>84653</v>
      </c>
      <c r="EM12" s="272">
        <v>84345</v>
      </c>
      <c r="EN12" s="272">
        <v>100000</v>
      </c>
      <c r="EO12" s="272">
        <v>1077806</v>
      </c>
      <c r="EP12" s="455">
        <f t="shared" si="12"/>
        <v>824818</v>
      </c>
      <c r="EQ12" s="272">
        <v>15664915</v>
      </c>
      <c r="ER12" s="272">
        <v>-2639292</v>
      </c>
      <c r="ES12" s="272">
        <v>6481685</v>
      </c>
      <c r="ET12" s="272">
        <v>4661827</v>
      </c>
      <c r="EU12" s="272">
        <v>875390</v>
      </c>
      <c r="EV12" s="272">
        <v>2954588</v>
      </c>
      <c r="EW12" s="455">
        <f t="shared" si="13"/>
        <v>1063551</v>
      </c>
      <c r="EX12" s="272">
        <v>999797</v>
      </c>
      <c r="EY12" s="272">
        <v>35680</v>
      </c>
      <c r="EZ12" s="272">
        <v>959733</v>
      </c>
      <c r="FA12" s="272">
        <v>63754</v>
      </c>
      <c r="FB12" s="272"/>
      <c r="FC12" s="272">
        <v>1819457</v>
      </c>
      <c r="FD12" s="272">
        <v>1820231</v>
      </c>
      <c r="FE12" s="272">
        <v>561312</v>
      </c>
      <c r="FF12" s="272">
        <v>1588568</v>
      </c>
      <c r="FG12" s="455">
        <f t="shared" si="14"/>
        <v>1668475</v>
      </c>
      <c r="FH12" s="272">
        <v>18271945</v>
      </c>
      <c r="FI12" s="384">
        <f t="shared" si="15"/>
        <v>0.2</v>
      </c>
      <c r="FJ12" s="272">
        <v>14483516</v>
      </c>
      <c r="FK12" s="272"/>
      <c r="FL12" s="272">
        <v>8420528</v>
      </c>
      <c r="FM12" s="272">
        <v>11761297</v>
      </c>
      <c r="FN12" s="460">
        <v>0.71399999999999997</v>
      </c>
      <c r="FO12" s="388">
        <v>99.8</v>
      </c>
      <c r="FP12" s="388">
        <v>43.6</v>
      </c>
      <c r="FQ12" s="388">
        <v>6.1</v>
      </c>
      <c r="FR12" s="388">
        <v>20.6</v>
      </c>
      <c r="FS12" s="388">
        <v>11</v>
      </c>
      <c r="FT12" s="388">
        <v>10.199999999999999</v>
      </c>
      <c r="FU12" s="388">
        <v>7.3</v>
      </c>
      <c r="FV12" s="388">
        <v>15</v>
      </c>
      <c r="FW12" s="272">
        <v>31467817</v>
      </c>
      <c r="FX12" s="384">
        <f t="shared" si="16"/>
        <v>217.3</v>
      </c>
      <c r="FY12" s="272">
        <v>3861284</v>
      </c>
      <c r="FZ12" s="272">
        <v>1103303</v>
      </c>
      <c r="GA12" s="272">
        <v>1030796</v>
      </c>
      <c r="GB12" s="272">
        <v>1727185</v>
      </c>
      <c r="GC12" s="272"/>
      <c r="GD12" s="272">
        <v>6401091</v>
      </c>
      <c r="GE12" s="384">
        <f t="shared" si="17"/>
        <v>44.2</v>
      </c>
      <c r="GF12" s="388">
        <v>97.2</v>
      </c>
      <c r="GG12" s="388">
        <v>21.4</v>
      </c>
      <c r="GH12" s="388">
        <v>92.7</v>
      </c>
      <c r="GI12" s="272">
        <v>688</v>
      </c>
    </row>
    <row r="13" spans="2:191" x14ac:dyDescent="0.15">
      <c r="B13" s="89" t="s">
        <v>19</v>
      </c>
      <c r="C13" s="272">
        <v>26442395</v>
      </c>
      <c r="D13" s="455">
        <f t="shared" si="0"/>
        <v>7493887</v>
      </c>
      <c r="E13" s="272">
        <v>120782</v>
      </c>
      <c r="F13" s="272">
        <v>7373105</v>
      </c>
      <c r="G13" s="455">
        <f t="shared" si="1"/>
        <v>3479165</v>
      </c>
      <c r="H13" s="272">
        <v>361029</v>
      </c>
      <c r="I13" s="272">
        <v>3118136</v>
      </c>
      <c r="J13" s="272">
        <v>10960564</v>
      </c>
      <c r="K13" s="272">
        <v>5368480</v>
      </c>
      <c r="L13" s="272">
        <v>3607763</v>
      </c>
      <c r="M13" s="272">
        <v>1682819</v>
      </c>
      <c r="N13" s="272">
        <v>937570</v>
      </c>
      <c r="O13" s="272">
        <v>2542402</v>
      </c>
      <c r="P13" s="272">
        <v>1726462</v>
      </c>
      <c r="Q13" s="272">
        <v>815940</v>
      </c>
      <c r="R13" s="272">
        <v>1071485</v>
      </c>
      <c r="S13" s="272">
        <v>807543</v>
      </c>
      <c r="T13" s="455">
        <f t="shared" si="2"/>
        <v>1096979</v>
      </c>
      <c r="U13" s="272">
        <v>691522</v>
      </c>
      <c r="V13" s="272"/>
      <c r="W13" s="272"/>
      <c r="X13" s="272"/>
      <c r="Y13" s="272">
        <v>0</v>
      </c>
      <c r="Z13" s="272">
        <v>12715</v>
      </c>
      <c r="AA13" s="272">
        <v>392742</v>
      </c>
      <c r="AB13" s="272"/>
      <c r="AC13" s="272">
        <v>2212343</v>
      </c>
      <c r="AD13" s="272">
        <v>1766932</v>
      </c>
      <c r="AE13" s="272">
        <v>445411</v>
      </c>
      <c r="AF13" s="272">
        <v>36799</v>
      </c>
      <c r="AG13" s="272">
        <v>2596454</v>
      </c>
      <c r="AH13" s="455">
        <f t="shared" si="3"/>
        <v>908215</v>
      </c>
      <c r="AI13" s="272">
        <v>782198</v>
      </c>
      <c r="AJ13" s="272">
        <v>126017</v>
      </c>
      <c r="AK13" s="272">
        <v>4006026</v>
      </c>
      <c r="AL13" s="455">
        <f t="shared" si="4"/>
        <v>3194181</v>
      </c>
      <c r="AM13" s="272">
        <v>2450000</v>
      </c>
      <c r="AN13" s="272">
        <v>494207</v>
      </c>
      <c r="AO13" s="272">
        <v>0</v>
      </c>
      <c r="AP13" s="272">
        <v>249974</v>
      </c>
      <c r="AQ13" s="272">
        <v>160992</v>
      </c>
      <c r="AR13" s="272">
        <v>0</v>
      </c>
      <c r="AS13" s="272">
        <v>0</v>
      </c>
      <c r="AT13" s="272">
        <v>2164319</v>
      </c>
      <c r="AU13" s="272">
        <v>716216</v>
      </c>
      <c r="AV13" s="272">
        <v>180059</v>
      </c>
      <c r="AW13" s="272">
        <v>5484</v>
      </c>
      <c r="AX13" s="272">
        <v>1448103</v>
      </c>
      <c r="AY13" s="272">
        <v>273309</v>
      </c>
      <c r="AZ13" s="272">
        <v>137304</v>
      </c>
      <c r="BA13" s="272">
        <v>6664</v>
      </c>
      <c r="BB13" s="272">
        <v>260660</v>
      </c>
      <c r="BC13" s="272">
        <v>751347</v>
      </c>
      <c r="BD13" s="272">
        <v>200000</v>
      </c>
      <c r="BE13" s="272">
        <v>200000</v>
      </c>
      <c r="BF13" s="272">
        <v>351347</v>
      </c>
      <c r="BG13" s="470">
        <v>0</v>
      </c>
      <c r="BH13" s="272">
        <v>68203</v>
      </c>
      <c r="BI13" s="272">
        <v>61310</v>
      </c>
      <c r="BJ13" s="272">
        <v>668106</v>
      </c>
      <c r="BK13" s="272">
        <v>106515</v>
      </c>
      <c r="BL13" s="272">
        <v>0</v>
      </c>
      <c r="BM13" s="272">
        <v>207896</v>
      </c>
      <c r="BN13" s="272">
        <v>6802700</v>
      </c>
      <c r="BO13" s="455">
        <f t="shared" si="5"/>
        <v>5444600</v>
      </c>
      <c r="BP13" s="455">
        <f t="shared" si="6"/>
        <v>1358100</v>
      </c>
      <c r="BQ13" s="272">
        <v>1358100</v>
      </c>
      <c r="BR13" s="272"/>
      <c r="BS13" s="272"/>
      <c r="BT13" s="272">
        <v>0</v>
      </c>
      <c r="BU13" s="272">
        <v>49223335</v>
      </c>
      <c r="BV13" s="272"/>
      <c r="BW13" s="272">
        <v>16101462</v>
      </c>
      <c r="BX13" s="272">
        <v>12186583</v>
      </c>
      <c r="BY13" s="272">
        <v>754381</v>
      </c>
      <c r="BZ13" s="272">
        <v>571726</v>
      </c>
      <c r="CA13" s="272">
        <v>8590909</v>
      </c>
      <c r="CB13" s="272">
        <v>650068</v>
      </c>
      <c r="CC13" s="272">
        <v>1245758</v>
      </c>
      <c r="CD13" s="272">
        <v>938447</v>
      </c>
      <c r="CE13" s="272">
        <v>3171011</v>
      </c>
      <c r="CF13" s="272">
        <v>2458061</v>
      </c>
      <c r="CG13" s="272">
        <v>126601</v>
      </c>
      <c r="CH13" s="272">
        <v>4839821</v>
      </c>
      <c r="CI13" s="272">
        <v>2527302</v>
      </c>
      <c r="CJ13" s="455">
        <f t="shared" si="7"/>
        <v>2312519</v>
      </c>
      <c r="CK13" s="272">
        <v>4021516</v>
      </c>
      <c r="CL13" s="272">
        <v>2051074</v>
      </c>
      <c r="CM13" s="272">
        <v>227588</v>
      </c>
      <c r="CN13" s="272">
        <v>971503</v>
      </c>
      <c r="CO13" s="272">
        <v>315459</v>
      </c>
      <c r="CP13" s="272">
        <v>3646021</v>
      </c>
      <c r="CQ13" s="272">
        <v>2129907</v>
      </c>
      <c r="CR13" s="272">
        <v>802366</v>
      </c>
      <c r="CS13" s="272">
        <v>214266</v>
      </c>
      <c r="CT13" s="455">
        <f t="shared" si="8"/>
        <v>66324</v>
      </c>
      <c r="CU13" s="272">
        <v>66324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6523050</v>
      </c>
      <c r="DD13" s="272">
        <v>432007</v>
      </c>
      <c r="DE13" s="272">
        <v>6091043</v>
      </c>
      <c r="DF13" s="272">
        <v>0</v>
      </c>
      <c r="DG13" s="272">
        <v>0</v>
      </c>
      <c r="DH13" s="272">
        <v>190</v>
      </c>
      <c r="DI13" s="272">
        <v>151977</v>
      </c>
      <c r="DJ13" s="272">
        <v>18540</v>
      </c>
      <c r="DK13" s="272">
        <v>5324</v>
      </c>
      <c r="DL13" s="272">
        <v>128113</v>
      </c>
      <c r="DM13" s="272">
        <v>625086</v>
      </c>
      <c r="DN13" s="272">
        <v>625086</v>
      </c>
      <c r="DO13" s="272">
        <v>625086</v>
      </c>
      <c r="DP13" s="272">
        <v>0</v>
      </c>
      <c r="DQ13" s="272">
        <v>77391</v>
      </c>
      <c r="DR13" s="272">
        <v>0</v>
      </c>
      <c r="DS13" s="272">
        <v>0</v>
      </c>
      <c r="DT13" s="272">
        <v>4007867</v>
      </c>
      <c r="DU13" s="272">
        <v>2592180</v>
      </c>
      <c r="DV13" s="455">
        <f t="shared" si="11"/>
        <v>0</v>
      </c>
      <c r="DW13" s="272">
        <v>0</v>
      </c>
      <c r="DX13" s="272">
        <v>0</v>
      </c>
      <c r="DY13" s="272">
        <v>0</v>
      </c>
      <c r="DZ13" s="272">
        <v>766137</v>
      </c>
      <c r="EA13" s="272">
        <v>626233</v>
      </c>
      <c r="EB13" s="272"/>
      <c r="EC13" s="272">
        <v>0</v>
      </c>
      <c r="ED13" s="272">
        <v>48900749</v>
      </c>
      <c r="EF13" s="272">
        <v>322586</v>
      </c>
      <c r="EG13" s="272">
        <v>178070</v>
      </c>
      <c r="EH13" s="272">
        <v>144516</v>
      </c>
      <c r="EI13" s="272">
        <v>23206</v>
      </c>
      <c r="EJ13" s="272">
        <v>-158254</v>
      </c>
      <c r="EL13" s="272">
        <v>157306</v>
      </c>
      <c r="EM13" s="272">
        <v>154247</v>
      </c>
      <c r="EN13" s="272">
        <v>750000</v>
      </c>
      <c r="EO13" s="272">
        <v>79171</v>
      </c>
      <c r="EP13" s="455">
        <f t="shared" si="12"/>
        <v>782601</v>
      </c>
      <c r="EQ13" s="272">
        <v>30860001</v>
      </c>
      <c r="ER13" s="272">
        <v>-2933073</v>
      </c>
      <c r="ES13" s="272">
        <v>14701486</v>
      </c>
      <c r="ET13" s="272">
        <v>11126996</v>
      </c>
      <c r="EU13" s="272">
        <v>1941544</v>
      </c>
      <c r="EV13" s="272">
        <v>4719623</v>
      </c>
      <c r="EW13" s="455">
        <f t="shared" si="13"/>
        <v>1133866</v>
      </c>
      <c r="EX13" s="272">
        <v>1133676</v>
      </c>
      <c r="EY13" s="272">
        <v>6231</v>
      </c>
      <c r="EZ13" s="272">
        <v>1127445</v>
      </c>
      <c r="FA13" s="272">
        <v>190</v>
      </c>
      <c r="FB13" s="272"/>
      <c r="FC13" s="272">
        <v>3224462</v>
      </c>
      <c r="FD13" s="272">
        <v>3438741</v>
      </c>
      <c r="FE13" s="272">
        <v>2129907</v>
      </c>
      <c r="FF13" s="272">
        <v>3894072</v>
      </c>
      <c r="FG13" s="455">
        <f t="shared" si="14"/>
        <v>416694</v>
      </c>
      <c r="FH13" s="272">
        <v>33470488</v>
      </c>
      <c r="FI13" s="384">
        <f t="shared" si="15"/>
        <v>0.5</v>
      </c>
      <c r="FJ13" s="272">
        <v>28563064</v>
      </c>
      <c r="FK13" s="272"/>
      <c r="FL13" s="272">
        <v>20173483</v>
      </c>
      <c r="FM13" s="272">
        <v>21962310</v>
      </c>
      <c r="FN13" s="460">
        <v>0.92400000000000004</v>
      </c>
      <c r="FO13" s="388">
        <v>107</v>
      </c>
      <c r="FP13" s="388">
        <v>51.1</v>
      </c>
      <c r="FQ13" s="388">
        <v>5.8</v>
      </c>
      <c r="FR13" s="388">
        <v>16.8</v>
      </c>
      <c r="FS13" s="388">
        <v>9.3000000000000007</v>
      </c>
      <c r="FT13" s="388">
        <v>10.5</v>
      </c>
      <c r="FU13" s="388">
        <v>12.3</v>
      </c>
      <c r="FV13" s="388">
        <v>13.3</v>
      </c>
      <c r="FW13" s="272">
        <v>48441146</v>
      </c>
      <c r="FX13" s="384">
        <f t="shared" si="16"/>
        <v>169.6</v>
      </c>
      <c r="FY13" s="272">
        <v>4445568</v>
      </c>
      <c r="FZ13" s="272">
        <v>1410820</v>
      </c>
      <c r="GA13" s="272">
        <v>149469</v>
      </c>
      <c r="GB13" s="272">
        <v>2885279</v>
      </c>
      <c r="GC13" s="272"/>
      <c r="GD13" s="272">
        <v>10715898</v>
      </c>
      <c r="GE13" s="384">
        <f t="shared" si="17"/>
        <v>37.5</v>
      </c>
      <c r="GF13" s="388">
        <v>97.2</v>
      </c>
      <c r="GG13" s="388">
        <v>21.1</v>
      </c>
      <c r="GH13" s="388">
        <v>91.4</v>
      </c>
      <c r="GI13" s="272">
        <v>1584</v>
      </c>
    </row>
    <row r="14" spans="2:191" x14ac:dyDescent="0.15">
      <c r="B14" s="89" t="s">
        <v>21</v>
      </c>
      <c r="C14" s="272">
        <v>60427539</v>
      </c>
      <c r="D14" s="455">
        <f t="shared" si="0"/>
        <v>25991599</v>
      </c>
      <c r="E14" s="272">
        <v>288193</v>
      </c>
      <c r="F14" s="272">
        <v>25703406</v>
      </c>
      <c r="G14" s="455">
        <f t="shared" si="1"/>
        <v>3398193</v>
      </c>
      <c r="H14" s="272">
        <v>584924</v>
      </c>
      <c r="I14" s="272">
        <v>2813269</v>
      </c>
      <c r="J14" s="272">
        <v>22000075</v>
      </c>
      <c r="K14" s="272">
        <v>11224634</v>
      </c>
      <c r="L14" s="272">
        <v>7726293</v>
      </c>
      <c r="M14" s="272">
        <v>2580018</v>
      </c>
      <c r="N14" s="272">
        <v>1558398</v>
      </c>
      <c r="O14" s="272">
        <v>5729207</v>
      </c>
      <c r="P14" s="272">
        <v>4004716</v>
      </c>
      <c r="Q14" s="272">
        <v>1724491</v>
      </c>
      <c r="R14" s="272">
        <v>2254710</v>
      </c>
      <c r="S14" s="272">
        <v>1570347</v>
      </c>
      <c r="T14" s="455">
        <f t="shared" si="2"/>
        <v>3466598</v>
      </c>
      <c r="U14" s="272">
        <v>2244509</v>
      </c>
      <c r="V14" s="272"/>
      <c r="W14" s="272"/>
      <c r="X14" s="272"/>
      <c r="Y14" s="272">
        <v>184413</v>
      </c>
      <c r="Z14" s="272">
        <v>18614</v>
      </c>
      <c r="AA14" s="272">
        <v>1019062</v>
      </c>
      <c r="AB14" s="272"/>
      <c r="AC14" s="272">
        <v>2061702</v>
      </c>
      <c r="AD14" s="272">
        <v>1911665</v>
      </c>
      <c r="AE14" s="272">
        <v>150037</v>
      </c>
      <c r="AF14" s="272">
        <v>82892</v>
      </c>
      <c r="AG14" s="272">
        <v>779807</v>
      </c>
      <c r="AH14" s="455">
        <f t="shared" si="3"/>
        <v>1798785</v>
      </c>
      <c r="AI14" s="272">
        <v>1381844</v>
      </c>
      <c r="AJ14" s="272">
        <v>416941</v>
      </c>
      <c r="AK14" s="272">
        <v>8742289</v>
      </c>
      <c r="AL14" s="455">
        <f t="shared" si="4"/>
        <v>5320732</v>
      </c>
      <c r="AM14" s="272">
        <v>3841925</v>
      </c>
      <c r="AN14" s="272">
        <v>958468</v>
      </c>
      <c r="AO14" s="272">
        <v>0</v>
      </c>
      <c r="AP14" s="272">
        <v>520339</v>
      </c>
      <c r="AQ14" s="272">
        <v>1268361</v>
      </c>
      <c r="AR14" s="272">
        <v>0</v>
      </c>
      <c r="AS14" s="272">
        <v>0</v>
      </c>
      <c r="AT14" s="272">
        <v>5853185</v>
      </c>
      <c r="AU14" s="272">
        <v>2482820</v>
      </c>
      <c r="AV14" s="272">
        <v>479235</v>
      </c>
      <c r="AW14" s="272">
        <v>20997</v>
      </c>
      <c r="AX14" s="272">
        <v>3370365</v>
      </c>
      <c r="AY14" s="272">
        <v>836040</v>
      </c>
      <c r="AZ14" s="272">
        <v>911727</v>
      </c>
      <c r="BA14" s="272">
        <v>571601</v>
      </c>
      <c r="BB14" s="272">
        <v>57627</v>
      </c>
      <c r="BC14" s="272">
        <v>2515135</v>
      </c>
      <c r="BD14" s="272">
        <v>140000</v>
      </c>
      <c r="BE14" s="272">
        <v>337182</v>
      </c>
      <c r="BF14" s="272">
        <v>2031912</v>
      </c>
      <c r="BG14" s="272">
        <v>2771</v>
      </c>
      <c r="BH14" s="272">
        <v>1174783</v>
      </c>
      <c r="BI14" s="272">
        <v>169885</v>
      </c>
      <c r="BJ14" s="272">
        <v>2005261</v>
      </c>
      <c r="BK14" s="272">
        <v>1000000</v>
      </c>
      <c r="BL14" s="272">
        <v>0</v>
      </c>
      <c r="BM14" s="272">
        <v>287833</v>
      </c>
      <c r="BN14" s="272">
        <v>11798700</v>
      </c>
      <c r="BO14" s="455">
        <f t="shared" si="5"/>
        <v>7428500</v>
      </c>
      <c r="BP14" s="455">
        <f t="shared" si="6"/>
        <v>4370200</v>
      </c>
      <c r="BQ14" s="272">
        <v>4370200</v>
      </c>
      <c r="BR14" s="272"/>
      <c r="BS14" s="272"/>
      <c r="BT14" s="272">
        <v>0</v>
      </c>
      <c r="BU14" s="272">
        <v>103930740</v>
      </c>
      <c r="BV14" s="272"/>
      <c r="BW14" s="272">
        <v>29778420</v>
      </c>
      <c r="BX14" s="272">
        <v>21795249</v>
      </c>
      <c r="BY14" s="272">
        <v>1605849</v>
      </c>
      <c r="BZ14" s="272">
        <v>2038763</v>
      </c>
      <c r="CA14" s="272">
        <v>13189216</v>
      </c>
      <c r="CB14" s="272">
        <v>1354230</v>
      </c>
      <c r="CC14" s="272">
        <v>2692831</v>
      </c>
      <c r="CD14" s="272">
        <v>3730530</v>
      </c>
      <c r="CE14" s="272">
        <v>5169196</v>
      </c>
      <c r="CF14" s="272">
        <v>2601</v>
      </c>
      <c r="CG14" s="272">
        <v>227481</v>
      </c>
      <c r="CH14" s="272">
        <v>9466999</v>
      </c>
      <c r="CI14" s="272">
        <v>4675200</v>
      </c>
      <c r="CJ14" s="455">
        <f t="shared" si="7"/>
        <v>4791799</v>
      </c>
      <c r="CK14" s="272">
        <v>9712923</v>
      </c>
      <c r="CL14" s="272">
        <v>4776827</v>
      </c>
      <c r="CM14" s="272">
        <v>540921</v>
      </c>
      <c r="CN14" s="272">
        <v>2580489</v>
      </c>
      <c r="CO14" s="272">
        <v>1422092</v>
      </c>
      <c r="CP14" s="272">
        <v>11931902</v>
      </c>
      <c r="CQ14" s="272">
        <v>4466049</v>
      </c>
      <c r="CR14" s="272">
        <v>2001926</v>
      </c>
      <c r="CS14" s="272">
        <v>1700700</v>
      </c>
      <c r="CT14" s="455">
        <f t="shared" si="8"/>
        <v>2994629</v>
      </c>
      <c r="CU14" s="272">
        <v>1440624</v>
      </c>
      <c r="CV14" s="272">
        <v>1554005</v>
      </c>
      <c r="CW14" s="455">
        <f t="shared" si="9"/>
        <v>1462463</v>
      </c>
      <c r="CX14" s="272">
        <v>1386227</v>
      </c>
      <c r="CY14" s="272">
        <v>76236</v>
      </c>
      <c r="CZ14" s="455">
        <f t="shared" si="10"/>
        <v>0</v>
      </c>
      <c r="DA14" s="272">
        <v>0</v>
      </c>
      <c r="DB14" s="272">
        <v>0</v>
      </c>
      <c r="DC14" s="272">
        <v>15314555</v>
      </c>
      <c r="DD14" s="272">
        <v>3086794</v>
      </c>
      <c r="DE14" s="272">
        <v>10956344</v>
      </c>
      <c r="DF14" s="272">
        <v>18238</v>
      </c>
      <c r="DG14" s="272">
        <v>1253179</v>
      </c>
      <c r="DH14" s="272">
        <v>70981</v>
      </c>
      <c r="DI14" s="272">
        <v>2324213</v>
      </c>
      <c r="DJ14" s="272">
        <v>86917</v>
      </c>
      <c r="DK14" s="272">
        <v>766198</v>
      </c>
      <c r="DL14" s="272">
        <v>1471098</v>
      </c>
      <c r="DM14" s="272">
        <v>200000</v>
      </c>
      <c r="DN14" s="272">
        <v>0</v>
      </c>
      <c r="DO14" s="272">
        <v>0</v>
      </c>
      <c r="DP14" s="272">
        <v>0</v>
      </c>
      <c r="DQ14" s="272">
        <v>1000000</v>
      </c>
      <c r="DR14" s="272">
        <v>0</v>
      </c>
      <c r="DS14" s="272">
        <v>0</v>
      </c>
      <c r="DT14" s="272">
        <v>10268568</v>
      </c>
      <c r="DU14" s="272">
        <v>6757305</v>
      </c>
      <c r="DV14" s="455">
        <f t="shared" si="11"/>
        <v>0</v>
      </c>
      <c r="DW14" s="272">
        <v>0</v>
      </c>
      <c r="DX14" s="272">
        <v>0</v>
      </c>
      <c r="DY14" s="272">
        <v>60479</v>
      </c>
      <c r="DZ14" s="272">
        <v>2273547</v>
      </c>
      <c r="EA14" s="272">
        <v>1170673</v>
      </c>
      <c r="EB14" s="272"/>
      <c r="EC14" s="272">
        <v>0</v>
      </c>
      <c r="ED14" s="272">
        <v>104679869</v>
      </c>
      <c r="EF14" s="272">
        <v>-749129</v>
      </c>
      <c r="EG14" s="272">
        <v>472711</v>
      </c>
      <c r="EH14" s="272">
        <v>-1221840</v>
      </c>
      <c r="EI14" s="272">
        <v>-1391725</v>
      </c>
      <c r="EJ14" s="272">
        <v>-1444808</v>
      </c>
      <c r="EL14" s="272">
        <v>400144</v>
      </c>
      <c r="EM14" s="272">
        <v>397626</v>
      </c>
      <c r="EN14" s="272">
        <v>2463456</v>
      </c>
      <c r="EO14" s="272">
        <v>599403</v>
      </c>
      <c r="EP14" s="455">
        <f t="shared" si="12"/>
        <v>1559510</v>
      </c>
      <c r="EQ14" s="272">
        <v>68293441</v>
      </c>
      <c r="ER14" s="272">
        <v>-8909677</v>
      </c>
      <c r="ES14" s="272">
        <v>27398931</v>
      </c>
      <c r="ET14" s="272">
        <v>19915620</v>
      </c>
      <c r="EU14" s="272">
        <v>4327942</v>
      </c>
      <c r="EV14" s="272">
        <v>9391251</v>
      </c>
      <c r="EW14" s="455">
        <f t="shared" si="13"/>
        <v>5483760</v>
      </c>
      <c r="EX14" s="272">
        <v>5438541</v>
      </c>
      <c r="EY14" s="272">
        <v>403536</v>
      </c>
      <c r="EZ14" s="272">
        <v>5013908</v>
      </c>
      <c r="FA14" s="272">
        <v>45219</v>
      </c>
      <c r="FB14" s="272"/>
      <c r="FC14" s="272">
        <v>7490628</v>
      </c>
      <c r="FD14" s="272">
        <v>10161722</v>
      </c>
      <c r="FE14" s="272">
        <v>4466049</v>
      </c>
      <c r="FF14" s="272">
        <v>10068300</v>
      </c>
      <c r="FG14" s="455">
        <f t="shared" si="14"/>
        <v>3645913</v>
      </c>
      <c r="FH14" s="272">
        <v>77968447</v>
      </c>
      <c r="FI14" s="384">
        <f t="shared" si="15"/>
        <v>-1.8</v>
      </c>
      <c r="FJ14" s="272">
        <v>66442717</v>
      </c>
      <c r="FK14" s="272"/>
      <c r="FL14" s="272">
        <v>48585332</v>
      </c>
      <c r="FM14" s="272">
        <v>50538480</v>
      </c>
      <c r="FN14" s="460">
        <v>0.96399999999999997</v>
      </c>
      <c r="FO14" s="388">
        <v>98.2</v>
      </c>
      <c r="FP14" s="388">
        <v>42.6</v>
      </c>
      <c r="FQ14" s="388">
        <v>6.9</v>
      </c>
      <c r="FR14" s="388">
        <v>15</v>
      </c>
      <c r="FS14" s="388">
        <v>11</v>
      </c>
      <c r="FT14" s="388">
        <v>14.8</v>
      </c>
      <c r="FU14" s="388">
        <v>5.7</v>
      </c>
      <c r="FV14" s="388">
        <v>9.6</v>
      </c>
      <c r="FW14" s="272">
        <v>94506553</v>
      </c>
      <c r="FX14" s="384">
        <f t="shared" si="16"/>
        <v>142.19999999999999</v>
      </c>
      <c r="FY14" s="272">
        <v>15723221</v>
      </c>
      <c r="FZ14" s="272">
        <v>87245</v>
      </c>
      <c r="GA14" s="272">
        <v>4787120</v>
      </c>
      <c r="GB14" s="272">
        <v>10848856</v>
      </c>
      <c r="GC14" s="272"/>
      <c r="GD14" s="272">
        <v>31961769</v>
      </c>
      <c r="GE14" s="384">
        <f t="shared" si="17"/>
        <v>48.1</v>
      </c>
      <c r="GF14" s="388">
        <v>97.2</v>
      </c>
      <c r="GG14" s="388">
        <v>21</v>
      </c>
      <c r="GH14" s="388">
        <v>91.8</v>
      </c>
      <c r="GI14" s="272">
        <v>2881</v>
      </c>
    </row>
    <row r="15" spans="2:191" x14ac:dyDescent="0.15">
      <c r="B15" s="89" t="s">
        <v>23</v>
      </c>
      <c r="C15" s="272">
        <v>47282466</v>
      </c>
      <c r="D15" s="455">
        <f t="shared" si="0"/>
        <v>17253874</v>
      </c>
      <c r="E15" s="272">
        <v>196511</v>
      </c>
      <c r="F15" s="272">
        <v>17057363</v>
      </c>
      <c r="G15" s="455">
        <f t="shared" si="1"/>
        <v>5073379</v>
      </c>
      <c r="H15" s="272">
        <v>662479</v>
      </c>
      <c r="I15" s="272">
        <v>4410900</v>
      </c>
      <c r="J15" s="272">
        <v>18942952</v>
      </c>
      <c r="K15" s="272">
        <v>9669572</v>
      </c>
      <c r="L15" s="272">
        <v>6229279</v>
      </c>
      <c r="M15" s="272">
        <v>2812363</v>
      </c>
      <c r="N15" s="272">
        <v>1146739</v>
      </c>
      <c r="O15" s="272">
        <v>4257466</v>
      </c>
      <c r="P15" s="272">
        <v>2914530</v>
      </c>
      <c r="Q15" s="272">
        <v>1342936</v>
      </c>
      <c r="R15" s="272">
        <v>1662804</v>
      </c>
      <c r="S15" s="272">
        <v>1182367</v>
      </c>
      <c r="T15" s="455">
        <f t="shared" si="2"/>
        <v>2449510</v>
      </c>
      <c r="U15" s="272">
        <v>1526274</v>
      </c>
      <c r="V15" s="272"/>
      <c r="W15" s="272"/>
      <c r="X15" s="272"/>
      <c r="Y15" s="272">
        <v>197471</v>
      </c>
      <c r="Z15" s="272">
        <v>10226</v>
      </c>
      <c r="AA15" s="272">
        <v>715539</v>
      </c>
      <c r="AB15" s="272"/>
      <c r="AC15" s="272">
        <v>233130</v>
      </c>
      <c r="AD15" s="272">
        <v>0</v>
      </c>
      <c r="AE15" s="272">
        <v>233130</v>
      </c>
      <c r="AF15" s="272">
        <v>54827</v>
      </c>
      <c r="AG15" s="272">
        <v>454015</v>
      </c>
      <c r="AH15" s="455">
        <f t="shared" si="3"/>
        <v>1860581</v>
      </c>
      <c r="AI15" s="272">
        <v>1559219</v>
      </c>
      <c r="AJ15" s="272">
        <v>301362</v>
      </c>
      <c r="AK15" s="272">
        <v>5561549</v>
      </c>
      <c r="AL15" s="455">
        <f t="shared" si="4"/>
        <v>2292504</v>
      </c>
      <c r="AM15" s="272">
        <v>1584892</v>
      </c>
      <c r="AN15" s="272">
        <v>456642</v>
      </c>
      <c r="AO15" s="272">
        <v>0</v>
      </c>
      <c r="AP15" s="272">
        <v>250970</v>
      </c>
      <c r="AQ15" s="272">
        <v>1643880</v>
      </c>
      <c r="AR15" s="272">
        <v>43902</v>
      </c>
      <c r="AS15" s="272">
        <v>0</v>
      </c>
      <c r="AT15" s="272">
        <v>4492939</v>
      </c>
      <c r="AU15" s="272">
        <v>1844224</v>
      </c>
      <c r="AV15" s="272">
        <v>228322</v>
      </c>
      <c r="AW15" s="272">
        <v>854919</v>
      </c>
      <c r="AX15" s="272">
        <v>2648715</v>
      </c>
      <c r="AY15" s="272">
        <v>770062</v>
      </c>
      <c r="AZ15" s="272">
        <v>227947</v>
      </c>
      <c r="BA15" s="272">
        <v>19433</v>
      </c>
      <c r="BB15" s="272">
        <v>640448</v>
      </c>
      <c r="BC15" s="272">
        <v>2182305</v>
      </c>
      <c r="BD15" s="272">
        <v>0</v>
      </c>
      <c r="BE15" s="272">
        <v>0</v>
      </c>
      <c r="BF15" s="272">
        <v>1944500</v>
      </c>
      <c r="BG15" s="272">
        <v>0</v>
      </c>
      <c r="BH15" s="272">
        <v>1321253</v>
      </c>
      <c r="BI15" s="272">
        <v>606026</v>
      </c>
      <c r="BJ15" s="272">
        <v>3439652</v>
      </c>
      <c r="BK15" s="272">
        <v>674703</v>
      </c>
      <c r="BL15" s="272">
        <v>44153</v>
      </c>
      <c r="BM15" s="272">
        <v>237131</v>
      </c>
      <c r="BN15" s="272">
        <v>11017900</v>
      </c>
      <c r="BO15" s="455">
        <f t="shared" si="5"/>
        <v>8467900</v>
      </c>
      <c r="BP15" s="455">
        <f t="shared" si="6"/>
        <v>2550000</v>
      </c>
      <c r="BQ15" s="272">
        <v>2550000</v>
      </c>
      <c r="BR15" s="272"/>
      <c r="BS15" s="272"/>
      <c r="BT15" s="272">
        <v>0</v>
      </c>
      <c r="BU15" s="272">
        <v>82881326</v>
      </c>
      <c r="BV15" s="272"/>
      <c r="BW15" s="272">
        <v>19338686</v>
      </c>
      <c r="BX15" s="272">
        <v>14475551</v>
      </c>
      <c r="BY15" s="272">
        <v>1082331</v>
      </c>
      <c r="BZ15" s="272">
        <v>646485</v>
      </c>
      <c r="CA15" s="272">
        <v>6244980</v>
      </c>
      <c r="CB15" s="272">
        <v>987527</v>
      </c>
      <c r="CC15" s="272">
        <v>1395551</v>
      </c>
      <c r="CD15" s="272">
        <v>1717281</v>
      </c>
      <c r="CE15" s="272">
        <v>2031255</v>
      </c>
      <c r="CF15" s="272">
        <v>944</v>
      </c>
      <c r="CG15" s="272">
        <v>103281</v>
      </c>
      <c r="CH15" s="272">
        <v>3420933</v>
      </c>
      <c r="CI15" s="272">
        <v>1655431</v>
      </c>
      <c r="CJ15" s="455">
        <f t="shared" si="7"/>
        <v>1765502</v>
      </c>
      <c r="CK15" s="272">
        <v>10582405</v>
      </c>
      <c r="CL15" s="272">
        <v>5688983</v>
      </c>
      <c r="CM15" s="272">
        <v>424908</v>
      </c>
      <c r="CN15" s="272">
        <v>3022020</v>
      </c>
      <c r="CO15" s="272">
        <v>1213025</v>
      </c>
      <c r="CP15" s="272">
        <v>2453753</v>
      </c>
      <c r="CQ15" s="272">
        <v>1872</v>
      </c>
      <c r="CR15" s="272">
        <v>1246706</v>
      </c>
      <c r="CS15" s="272">
        <v>939244</v>
      </c>
      <c r="CT15" s="455">
        <f t="shared" si="8"/>
        <v>195477</v>
      </c>
      <c r="CU15" s="272">
        <v>45477</v>
      </c>
      <c r="CV15" s="272">
        <v>150000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28373226</v>
      </c>
      <c r="DD15" s="272">
        <v>4008996</v>
      </c>
      <c r="DE15" s="272">
        <v>23526138</v>
      </c>
      <c r="DF15" s="272">
        <v>0</v>
      </c>
      <c r="DG15" s="272">
        <v>838092</v>
      </c>
      <c r="DH15" s="272">
        <v>711420</v>
      </c>
      <c r="DI15" s="272">
        <v>197680</v>
      </c>
      <c r="DJ15" s="272">
        <v>49500</v>
      </c>
      <c r="DK15" s="272">
        <v>0</v>
      </c>
      <c r="DL15" s="272">
        <v>148180</v>
      </c>
      <c r="DM15" s="272">
        <v>560300</v>
      </c>
      <c r="DN15" s="272">
        <v>0</v>
      </c>
      <c r="DO15" s="272">
        <v>0</v>
      </c>
      <c r="DP15" s="272">
        <v>0</v>
      </c>
      <c r="DQ15" s="272">
        <v>558519</v>
      </c>
      <c r="DR15" s="272">
        <v>0</v>
      </c>
      <c r="DS15" s="272">
        <v>0</v>
      </c>
      <c r="DT15" s="272">
        <v>7381891</v>
      </c>
      <c r="DU15" s="272">
        <v>5207000</v>
      </c>
      <c r="DV15" s="455">
        <f t="shared" si="11"/>
        <v>0</v>
      </c>
      <c r="DW15" s="272">
        <v>0</v>
      </c>
      <c r="DX15" s="272">
        <v>0</v>
      </c>
      <c r="DY15" s="272">
        <v>0</v>
      </c>
      <c r="DZ15" s="272">
        <v>1400000</v>
      </c>
      <c r="EA15" s="272">
        <v>732787</v>
      </c>
      <c r="EB15" s="272"/>
      <c r="EC15" s="272">
        <v>0</v>
      </c>
      <c r="ED15" s="272">
        <v>81036818</v>
      </c>
      <c r="EF15" s="272">
        <v>1844508</v>
      </c>
      <c r="EG15" s="272">
        <v>1227035</v>
      </c>
      <c r="EH15" s="272">
        <v>617473</v>
      </c>
      <c r="EI15" s="272">
        <v>11447</v>
      </c>
      <c r="EJ15" s="272">
        <v>60947</v>
      </c>
      <c r="EL15" s="272">
        <v>258233</v>
      </c>
      <c r="EM15" s="272">
        <v>252881</v>
      </c>
      <c r="EN15" s="272">
        <v>233585</v>
      </c>
      <c r="EO15" s="272">
        <v>39671</v>
      </c>
      <c r="EP15" s="455">
        <f t="shared" si="12"/>
        <v>2693872</v>
      </c>
      <c r="EQ15" s="272">
        <v>51682737</v>
      </c>
      <c r="ER15" s="272">
        <v>-5462301</v>
      </c>
      <c r="ES15" s="272">
        <v>17344648</v>
      </c>
      <c r="ET15" s="272">
        <v>12576620</v>
      </c>
      <c r="EU15" s="272">
        <v>2029178</v>
      </c>
      <c r="EV15" s="272">
        <v>3357477</v>
      </c>
      <c r="EW15" s="455">
        <f t="shared" si="13"/>
        <v>13638025</v>
      </c>
      <c r="EX15" s="272">
        <v>13590640</v>
      </c>
      <c r="EY15" s="272">
        <v>1013891</v>
      </c>
      <c r="EZ15" s="272">
        <v>12576656</v>
      </c>
      <c r="FA15" s="272">
        <v>47385</v>
      </c>
      <c r="FB15" s="272"/>
      <c r="FC15" s="272">
        <v>8308500</v>
      </c>
      <c r="FD15" s="272">
        <v>2135762</v>
      </c>
      <c r="FE15" s="272">
        <v>1872</v>
      </c>
      <c r="FF15" s="272">
        <v>7304691</v>
      </c>
      <c r="FG15" s="455">
        <f t="shared" si="14"/>
        <v>1182249</v>
      </c>
      <c r="FH15" s="272">
        <v>55300530</v>
      </c>
      <c r="FI15" s="384">
        <f t="shared" si="15"/>
        <v>1.3</v>
      </c>
      <c r="FJ15" s="272">
        <v>48278361</v>
      </c>
      <c r="FK15" s="272"/>
      <c r="FL15" s="272">
        <v>36339825</v>
      </c>
      <c r="FM15" s="272">
        <v>32535570</v>
      </c>
      <c r="FN15" s="460">
        <v>1.137</v>
      </c>
      <c r="FO15" s="388">
        <v>77.5</v>
      </c>
      <c r="FP15" s="388">
        <v>35.799999999999997</v>
      </c>
      <c r="FQ15" s="388">
        <v>4.3</v>
      </c>
      <c r="FR15" s="388">
        <v>7.1</v>
      </c>
      <c r="FS15" s="388">
        <v>16.8</v>
      </c>
      <c r="FT15" s="388">
        <v>3.4</v>
      </c>
      <c r="FU15" s="388">
        <v>7.7</v>
      </c>
      <c r="FV15" s="388">
        <v>3.7</v>
      </c>
      <c r="FW15" s="272">
        <v>42624711</v>
      </c>
      <c r="FX15" s="384">
        <f t="shared" si="16"/>
        <v>88.3</v>
      </c>
      <c r="FY15" s="272">
        <v>16626980</v>
      </c>
      <c r="FZ15" s="272">
        <v>5073600</v>
      </c>
      <c r="GA15" s="272"/>
      <c r="GB15" s="272">
        <v>11553380</v>
      </c>
      <c r="GC15" s="272"/>
      <c r="GD15" s="272">
        <v>15918423</v>
      </c>
      <c r="GE15" s="384">
        <f t="shared" si="17"/>
        <v>33</v>
      </c>
      <c r="GF15" s="388">
        <v>98.9</v>
      </c>
      <c r="GG15" s="388">
        <v>29.2</v>
      </c>
      <c r="GH15" s="388">
        <v>96.6</v>
      </c>
      <c r="GI15" s="272">
        <v>1944</v>
      </c>
    </row>
    <row r="16" spans="2:191" x14ac:dyDescent="0.15">
      <c r="B16" s="89" t="s">
        <v>25</v>
      </c>
      <c r="C16" s="272">
        <v>43432460</v>
      </c>
      <c r="D16" s="455">
        <f t="shared" si="0"/>
        <v>14992374</v>
      </c>
      <c r="E16" s="272">
        <v>203794</v>
      </c>
      <c r="F16" s="272">
        <v>14788580</v>
      </c>
      <c r="G16" s="455">
        <f t="shared" si="1"/>
        <v>4191128</v>
      </c>
      <c r="H16" s="272">
        <v>603273</v>
      </c>
      <c r="I16" s="272">
        <v>3587855</v>
      </c>
      <c r="J16" s="272">
        <v>18082293</v>
      </c>
      <c r="K16" s="272">
        <v>9521022</v>
      </c>
      <c r="L16" s="272">
        <v>5623333</v>
      </c>
      <c r="M16" s="272">
        <v>2699377</v>
      </c>
      <c r="N16" s="272">
        <v>1638535</v>
      </c>
      <c r="O16" s="272">
        <v>4291200</v>
      </c>
      <c r="P16" s="272">
        <v>3052042</v>
      </c>
      <c r="Q16" s="272">
        <v>1239158</v>
      </c>
      <c r="R16" s="272">
        <v>1862868</v>
      </c>
      <c r="S16" s="272">
        <v>1363118</v>
      </c>
      <c r="T16" s="455">
        <f t="shared" si="2"/>
        <v>2165636</v>
      </c>
      <c r="U16" s="272">
        <v>1417848</v>
      </c>
      <c r="V16" s="272"/>
      <c r="W16" s="272"/>
      <c r="X16" s="272"/>
      <c r="Y16" s="272">
        <v>0</v>
      </c>
      <c r="Z16" s="272">
        <v>6017</v>
      </c>
      <c r="AA16" s="272">
        <v>741771</v>
      </c>
      <c r="AB16" s="272"/>
      <c r="AC16" s="272">
        <v>3042542</v>
      </c>
      <c r="AD16" s="272">
        <v>2175340</v>
      </c>
      <c r="AE16" s="272">
        <v>867202</v>
      </c>
      <c r="AF16" s="272">
        <v>64731</v>
      </c>
      <c r="AG16" s="272">
        <v>2075734</v>
      </c>
      <c r="AH16" s="455">
        <f t="shared" si="3"/>
        <v>1752925</v>
      </c>
      <c r="AI16" s="272">
        <v>1124149</v>
      </c>
      <c r="AJ16" s="272">
        <v>628776</v>
      </c>
      <c r="AK16" s="272">
        <v>8658813</v>
      </c>
      <c r="AL16" s="455">
        <f t="shared" si="4"/>
        <v>5193548</v>
      </c>
      <c r="AM16" s="272">
        <v>4197153</v>
      </c>
      <c r="AN16" s="272">
        <v>620897</v>
      </c>
      <c r="AO16" s="272">
        <v>0</v>
      </c>
      <c r="AP16" s="272">
        <v>375498</v>
      </c>
      <c r="AQ16" s="272">
        <v>1694493</v>
      </c>
      <c r="AR16" s="272">
        <v>3138</v>
      </c>
      <c r="AS16" s="272">
        <v>50743</v>
      </c>
      <c r="AT16" s="272">
        <v>4313710</v>
      </c>
      <c r="AU16" s="272">
        <v>1109232</v>
      </c>
      <c r="AV16" s="272">
        <v>310448</v>
      </c>
      <c r="AW16" s="272">
        <v>35095</v>
      </c>
      <c r="AX16" s="272">
        <v>3204478</v>
      </c>
      <c r="AY16" s="272">
        <v>885346</v>
      </c>
      <c r="AZ16" s="272">
        <v>227214</v>
      </c>
      <c r="BA16" s="272">
        <v>38975</v>
      </c>
      <c r="BB16" s="272">
        <v>413886</v>
      </c>
      <c r="BC16" s="272">
        <v>2759437</v>
      </c>
      <c r="BD16" s="272">
        <v>0</v>
      </c>
      <c r="BE16" s="272">
        <v>0</v>
      </c>
      <c r="BF16" s="272">
        <v>2752418</v>
      </c>
      <c r="BG16" s="272">
        <v>0</v>
      </c>
      <c r="BH16" s="272">
        <v>184044</v>
      </c>
      <c r="BI16" s="272">
        <v>181137</v>
      </c>
      <c r="BJ16" s="272">
        <v>2180811</v>
      </c>
      <c r="BK16" s="272">
        <v>1577220</v>
      </c>
      <c r="BL16" s="272">
        <v>2263</v>
      </c>
      <c r="BM16" s="272">
        <v>252402</v>
      </c>
      <c r="BN16" s="272">
        <v>12822200</v>
      </c>
      <c r="BO16" s="455">
        <f t="shared" si="5"/>
        <v>10294500</v>
      </c>
      <c r="BP16" s="455">
        <f t="shared" si="6"/>
        <v>2527700</v>
      </c>
      <c r="BQ16" s="272">
        <v>2527700</v>
      </c>
      <c r="BR16" s="272"/>
      <c r="BS16" s="272"/>
      <c r="BT16" s="272">
        <v>0</v>
      </c>
      <c r="BU16" s="272">
        <v>86007754</v>
      </c>
      <c r="BV16" s="272"/>
      <c r="BW16" s="272">
        <v>21144486</v>
      </c>
      <c r="BX16" s="272">
        <v>15727968</v>
      </c>
      <c r="BY16" s="272">
        <v>1147933</v>
      </c>
      <c r="BZ16" s="272">
        <v>1014777</v>
      </c>
      <c r="CA16" s="272">
        <v>12664937</v>
      </c>
      <c r="CB16" s="272">
        <v>1103766</v>
      </c>
      <c r="CC16" s="272">
        <v>1933085</v>
      </c>
      <c r="CD16" s="272">
        <v>2209063</v>
      </c>
      <c r="CE16" s="272">
        <v>5501096</v>
      </c>
      <c r="CF16" s="272">
        <v>1627507</v>
      </c>
      <c r="CG16" s="272">
        <v>285941</v>
      </c>
      <c r="CH16" s="272">
        <v>7261308</v>
      </c>
      <c r="CI16" s="272">
        <v>3889211</v>
      </c>
      <c r="CJ16" s="455">
        <f t="shared" si="7"/>
        <v>3372097</v>
      </c>
      <c r="CK16" s="272">
        <v>8629673</v>
      </c>
      <c r="CL16" s="272">
        <v>4943332</v>
      </c>
      <c r="CM16" s="272">
        <v>639476</v>
      </c>
      <c r="CN16" s="272">
        <v>1927587</v>
      </c>
      <c r="CO16" s="272">
        <v>507684</v>
      </c>
      <c r="CP16" s="272">
        <v>3345578</v>
      </c>
      <c r="CQ16" s="272">
        <v>62352</v>
      </c>
      <c r="CR16" s="272">
        <v>1038631</v>
      </c>
      <c r="CS16" s="272">
        <v>528722</v>
      </c>
      <c r="CT16" s="455">
        <f t="shared" si="8"/>
        <v>1234572</v>
      </c>
      <c r="CU16" s="272">
        <v>1187571</v>
      </c>
      <c r="CV16" s="272">
        <v>47001</v>
      </c>
      <c r="CW16" s="455">
        <f t="shared" si="9"/>
        <v>1135471</v>
      </c>
      <c r="CX16" s="272">
        <v>1101676</v>
      </c>
      <c r="CY16" s="272">
        <v>33795</v>
      </c>
      <c r="CZ16" s="455">
        <f t="shared" si="10"/>
        <v>0</v>
      </c>
      <c r="DA16" s="272">
        <v>0</v>
      </c>
      <c r="DB16" s="272">
        <v>0</v>
      </c>
      <c r="DC16" s="272">
        <v>22136119</v>
      </c>
      <c r="DD16" s="272">
        <v>2993888</v>
      </c>
      <c r="DE16" s="272">
        <v>19037469</v>
      </c>
      <c r="DF16" s="272">
        <v>70323</v>
      </c>
      <c r="DG16" s="272">
        <v>29066</v>
      </c>
      <c r="DH16" s="272">
        <v>8741</v>
      </c>
      <c r="DI16" s="272">
        <v>1617908</v>
      </c>
      <c r="DJ16" s="272">
        <v>142319</v>
      </c>
      <c r="DK16" s="272">
        <v>0</v>
      </c>
      <c r="DL16" s="272">
        <v>1475589</v>
      </c>
      <c r="DM16" s="272">
        <v>28000</v>
      </c>
      <c r="DN16" s="272">
        <v>0</v>
      </c>
      <c r="DO16" s="272">
        <v>0</v>
      </c>
      <c r="DP16" s="272">
        <v>0</v>
      </c>
      <c r="DQ16" s="272">
        <v>1567609</v>
      </c>
      <c r="DR16" s="272">
        <v>0</v>
      </c>
      <c r="DS16" s="272">
        <v>0</v>
      </c>
      <c r="DT16" s="272">
        <v>6939027</v>
      </c>
      <c r="DU16" s="272">
        <v>4536277</v>
      </c>
      <c r="DV16" s="455">
        <f t="shared" si="11"/>
        <v>0</v>
      </c>
      <c r="DW16" s="272">
        <v>0</v>
      </c>
      <c r="DX16" s="272">
        <v>0</v>
      </c>
      <c r="DY16" s="272">
        <v>0</v>
      </c>
      <c r="DZ16" s="272">
        <v>1420952</v>
      </c>
      <c r="EA16" s="272">
        <v>970798</v>
      </c>
      <c r="EB16" s="272"/>
      <c r="EC16" s="272">
        <v>0</v>
      </c>
      <c r="ED16" s="272">
        <v>85851070</v>
      </c>
      <c r="EF16" s="272">
        <v>156684</v>
      </c>
      <c r="EG16" s="272">
        <v>51410</v>
      </c>
      <c r="EH16" s="272">
        <v>105274</v>
      </c>
      <c r="EI16" s="272">
        <v>-75863</v>
      </c>
      <c r="EJ16" s="272">
        <v>66456</v>
      </c>
      <c r="EL16" s="272">
        <v>276664</v>
      </c>
      <c r="EM16" s="272">
        <v>269517</v>
      </c>
      <c r="EN16" s="272">
        <v>352</v>
      </c>
      <c r="EO16" s="272">
        <v>42079</v>
      </c>
      <c r="EP16" s="455">
        <f t="shared" si="12"/>
        <v>1282338</v>
      </c>
      <c r="EQ16" s="272">
        <v>50618980</v>
      </c>
      <c r="ER16" s="272">
        <v>-3736995</v>
      </c>
      <c r="ES16" s="272">
        <v>19242139</v>
      </c>
      <c r="ET16" s="272">
        <v>14289203</v>
      </c>
      <c r="EU16" s="272">
        <v>3310319</v>
      </c>
      <c r="EV16" s="272">
        <v>7101310</v>
      </c>
      <c r="EW16" s="455">
        <f t="shared" si="13"/>
        <v>6628465</v>
      </c>
      <c r="EX16" s="272">
        <v>6628362</v>
      </c>
      <c r="EY16" s="272">
        <v>103482</v>
      </c>
      <c r="EZ16" s="272">
        <v>6505653</v>
      </c>
      <c r="FA16" s="272">
        <v>103</v>
      </c>
      <c r="FB16" s="272"/>
      <c r="FC16" s="272">
        <v>6762881</v>
      </c>
      <c r="FD16" s="272">
        <v>2900428</v>
      </c>
      <c r="FE16" s="272">
        <v>62352</v>
      </c>
      <c r="FF16" s="272">
        <v>6694040</v>
      </c>
      <c r="FG16" s="455">
        <f t="shared" si="14"/>
        <v>1559709</v>
      </c>
      <c r="FH16" s="272">
        <v>54199291</v>
      </c>
      <c r="FI16" s="384">
        <f t="shared" si="15"/>
        <v>0.2</v>
      </c>
      <c r="FJ16" s="272">
        <v>46456478</v>
      </c>
      <c r="FK16" s="272"/>
      <c r="FL16" s="272">
        <v>33351628</v>
      </c>
      <c r="FM16" s="272">
        <v>35531559</v>
      </c>
      <c r="FN16" s="460">
        <v>0.96399999999999997</v>
      </c>
      <c r="FO16" s="388">
        <v>91.8</v>
      </c>
      <c r="FP16" s="388">
        <v>41.4</v>
      </c>
      <c r="FQ16" s="388">
        <v>7.2</v>
      </c>
      <c r="FR16" s="388">
        <v>15.5</v>
      </c>
      <c r="FS16" s="388">
        <v>14</v>
      </c>
      <c r="FT16" s="388">
        <v>4</v>
      </c>
      <c r="FU16" s="388">
        <v>8.6</v>
      </c>
      <c r="FV16" s="388">
        <v>12.5</v>
      </c>
      <c r="FW16" s="272">
        <v>74539596</v>
      </c>
      <c r="FX16" s="384">
        <f t="shared" si="16"/>
        <v>160.5</v>
      </c>
      <c r="FY16" s="272">
        <v>10616619</v>
      </c>
      <c r="FZ16" s="272">
        <v>3117451</v>
      </c>
      <c r="GA16" s="272"/>
      <c r="GB16" s="272">
        <v>7499168</v>
      </c>
      <c r="GC16" s="272"/>
      <c r="GD16" s="272">
        <v>27331452</v>
      </c>
      <c r="GE16" s="384">
        <f t="shared" si="17"/>
        <v>58.8</v>
      </c>
      <c r="GF16" s="388">
        <v>97.6</v>
      </c>
      <c r="GG16" s="388">
        <v>35</v>
      </c>
      <c r="GH16" s="388">
        <v>95</v>
      </c>
      <c r="GI16" s="272">
        <v>1980</v>
      </c>
    </row>
    <row r="17" spans="2:191" x14ac:dyDescent="0.15">
      <c r="B17" s="89" t="s">
        <v>27</v>
      </c>
      <c r="C17" s="272">
        <v>20112863</v>
      </c>
      <c r="D17" s="455">
        <f t="shared" si="0"/>
        <v>4083869</v>
      </c>
      <c r="E17" s="272">
        <v>66528</v>
      </c>
      <c r="F17" s="272">
        <v>4017341</v>
      </c>
      <c r="G17" s="455">
        <f t="shared" si="1"/>
        <v>1516741</v>
      </c>
      <c r="H17" s="272">
        <v>385900</v>
      </c>
      <c r="I17" s="272">
        <v>1130841</v>
      </c>
      <c r="J17" s="272">
        <v>11973547</v>
      </c>
      <c r="K17" s="272">
        <v>5158823</v>
      </c>
      <c r="L17" s="272">
        <v>2778249</v>
      </c>
      <c r="M17" s="272">
        <v>3863435</v>
      </c>
      <c r="N17" s="272">
        <v>512959</v>
      </c>
      <c r="O17" s="272">
        <v>1862992</v>
      </c>
      <c r="P17" s="272">
        <v>1275909</v>
      </c>
      <c r="Q17" s="272">
        <v>587083</v>
      </c>
      <c r="R17" s="272">
        <v>688421</v>
      </c>
      <c r="S17" s="272">
        <v>437290</v>
      </c>
      <c r="T17" s="455">
        <f t="shared" si="2"/>
        <v>776845</v>
      </c>
      <c r="U17" s="272">
        <v>437185</v>
      </c>
      <c r="V17" s="272"/>
      <c r="W17" s="272"/>
      <c r="X17" s="272"/>
      <c r="Y17" s="272">
        <v>68145</v>
      </c>
      <c r="Z17" s="272">
        <v>17897</v>
      </c>
      <c r="AA17" s="272">
        <v>253618</v>
      </c>
      <c r="AB17" s="272"/>
      <c r="AC17" s="272">
        <v>585279</v>
      </c>
      <c r="AD17" s="272">
        <v>0</v>
      </c>
      <c r="AE17" s="272">
        <v>585279</v>
      </c>
      <c r="AF17" s="272">
        <v>22946</v>
      </c>
      <c r="AG17" s="272">
        <v>262685</v>
      </c>
      <c r="AH17" s="455">
        <f t="shared" si="3"/>
        <v>756102</v>
      </c>
      <c r="AI17" s="272">
        <v>676558</v>
      </c>
      <c r="AJ17" s="272">
        <v>79544</v>
      </c>
      <c r="AK17" s="272">
        <v>2921956</v>
      </c>
      <c r="AL17" s="455">
        <f t="shared" si="4"/>
        <v>1460100</v>
      </c>
      <c r="AM17" s="272">
        <v>965892</v>
      </c>
      <c r="AN17" s="272">
        <v>371889</v>
      </c>
      <c r="AO17" s="272">
        <v>0</v>
      </c>
      <c r="AP17" s="272">
        <v>122319</v>
      </c>
      <c r="AQ17" s="272">
        <v>878053</v>
      </c>
      <c r="AR17" s="272">
        <v>9864</v>
      </c>
      <c r="AS17" s="272">
        <v>0</v>
      </c>
      <c r="AT17" s="272">
        <v>5288471</v>
      </c>
      <c r="AU17" s="272">
        <v>2079902</v>
      </c>
      <c r="AV17" s="272">
        <v>185944</v>
      </c>
      <c r="AW17" s="272">
        <v>95760</v>
      </c>
      <c r="AX17" s="272">
        <v>3208569</v>
      </c>
      <c r="AY17" s="272">
        <v>2235228</v>
      </c>
      <c r="AZ17" s="272">
        <v>1387675</v>
      </c>
      <c r="BA17" s="272">
        <v>1252462</v>
      </c>
      <c r="BB17" s="272">
        <v>541220</v>
      </c>
      <c r="BC17" s="272">
        <v>590749</v>
      </c>
      <c r="BD17" s="272">
        <v>0</v>
      </c>
      <c r="BE17" s="272">
        <v>0</v>
      </c>
      <c r="BF17" s="272">
        <v>590749</v>
      </c>
      <c r="BG17" s="272">
        <v>0</v>
      </c>
      <c r="BH17" s="272">
        <v>107116</v>
      </c>
      <c r="BI17" s="272">
        <v>104692</v>
      </c>
      <c r="BJ17" s="272">
        <v>2346946</v>
      </c>
      <c r="BK17" s="272">
        <v>66157</v>
      </c>
      <c r="BL17" s="272">
        <v>0</v>
      </c>
      <c r="BM17" s="272">
        <v>181349</v>
      </c>
      <c r="BN17" s="272">
        <v>23961100</v>
      </c>
      <c r="BO17" s="455">
        <f t="shared" si="5"/>
        <v>23267800</v>
      </c>
      <c r="BP17" s="455">
        <f t="shared" si="6"/>
        <v>693300</v>
      </c>
      <c r="BQ17" s="272">
        <v>693300</v>
      </c>
      <c r="BR17" s="272"/>
      <c r="BS17" s="272"/>
      <c r="BT17" s="272">
        <v>0</v>
      </c>
      <c r="BU17" s="272">
        <v>60350374</v>
      </c>
      <c r="BV17" s="272"/>
      <c r="BW17" s="272">
        <v>9494185</v>
      </c>
      <c r="BX17" s="272">
        <v>6853915</v>
      </c>
      <c r="BY17" s="272">
        <v>595087</v>
      </c>
      <c r="BZ17" s="272">
        <v>510123</v>
      </c>
      <c r="CA17" s="272">
        <v>3777355</v>
      </c>
      <c r="CB17" s="272">
        <v>328150</v>
      </c>
      <c r="CC17" s="272">
        <v>918286</v>
      </c>
      <c r="CD17" s="272">
        <v>1188792</v>
      </c>
      <c r="CE17" s="272">
        <v>1272794</v>
      </c>
      <c r="CF17" s="272">
        <v>25719</v>
      </c>
      <c r="CG17" s="272">
        <v>43355</v>
      </c>
      <c r="CH17" s="272">
        <v>2969361</v>
      </c>
      <c r="CI17" s="272">
        <v>1532134</v>
      </c>
      <c r="CJ17" s="455">
        <f t="shared" si="7"/>
        <v>1437227</v>
      </c>
      <c r="CK17" s="272">
        <v>2890163</v>
      </c>
      <c r="CL17" s="272">
        <v>1386963</v>
      </c>
      <c r="CM17" s="272">
        <v>46928</v>
      </c>
      <c r="CN17" s="272">
        <v>744101</v>
      </c>
      <c r="CO17" s="272">
        <v>182302</v>
      </c>
      <c r="CP17" s="272">
        <v>3274062</v>
      </c>
      <c r="CQ17" s="272">
        <v>1426105</v>
      </c>
      <c r="CR17" s="272">
        <v>920871</v>
      </c>
      <c r="CS17" s="272">
        <v>714139</v>
      </c>
      <c r="CT17" s="455">
        <f t="shared" si="8"/>
        <v>378209</v>
      </c>
      <c r="CU17" s="272">
        <v>214012</v>
      </c>
      <c r="CV17" s="272">
        <v>164197</v>
      </c>
      <c r="CW17" s="455">
        <f t="shared" si="9"/>
        <v>353301</v>
      </c>
      <c r="CX17" s="272">
        <v>189104</v>
      </c>
      <c r="CY17" s="272">
        <v>164197</v>
      </c>
      <c r="CZ17" s="455">
        <f t="shared" si="10"/>
        <v>0</v>
      </c>
      <c r="DA17" s="272">
        <v>0</v>
      </c>
      <c r="DB17" s="272">
        <v>0</v>
      </c>
      <c r="DC17" s="272">
        <v>31348193</v>
      </c>
      <c r="DD17" s="272">
        <v>2079983</v>
      </c>
      <c r="DE17" s="272">
        <v>26887879</v>
      </c>
      <c r="DF17" s="272">
        <v>825046</v>
      </c>
      <c r="DG17" s="272">
        <v>1555285</v>
      </c>
      <c r="DH17" s="272">
        <v>124238</v>
      </c>
      <c r="DI17" s="272">
        <v>3175009</v>
      </c>
      <c r="DJ17" s="272">
        <v>60473</v>
      </c>
      <c r="DK17" s="272">
        <v>1089179</v>
      </c>
      <c r="DL17" s="272">
        <v>2025357</v>
      </c>
      <c r="DM17" s="272">
        <v>40500</v>
      </c>
      <c r="DN17" s="272">
        <v>0</v>
      </c>
      <c r="DO17" s="272">
        <v>0</v>
      </c>
      <c r="DP17" s="272">
        <v>0</v>
      </c>
      <c r="DQ17" s="272">
        <v>272500</v>
      </c>
      <c r="DR17" s="272">
        <v>0</v>
      </c>
      <c r="DS17" s="272">
        <v>0</v>
      </c>
      <c r="DT17" s="272">
        <v>2570663</v>
      </c>
      <c r="DU17" s="272">
        <v>1387816</v>
      </c>
      <c r="DV17" s="455">
        <f t="shared" si="11"/>
        <v>0</v>
      </c>
      <c r="DW17" s="272">
        <v>0</v>
      </c>
      <c r="DX17" s="272">
        <v>0</v>
      </c>
      <c r="DY17" s="272">
        <v>0</v>
      </c>
      <c r="DZ17" s="272">
        <v>744489</v>
      </c>
      <c r="EA17" s="272">
        <v>416386</v>
      </c>
      <c r="EB17" s="272"/>
      <c r="EC17" s="272">
        <v>0</v>
      </c>
      <c r="ED17" s="272">
        <v>60118531</v>
      </c>
      <c r="EF17" s="272">
        <v>231843</v>
      </c>
      <c r="EG17" s="272">
        <v>139062</v>
      </c>
      <c r="EH17" s="272">
        <v>92781</v>
      </c>
      <c r="EI17" s="272">
        <v>-11911</v>
      </c>
      <c r="EJ17" s="272">
        <v>48562</v>
      </c>
      <c r="EL17" s="272">
        <v>92583</v>
      </c>
      <c r="EM17" s="272">
        <v>92833</v>
      </c>
      <c r="EN17" s="272">
        <v>0</v>
      </c>
      <c r="EO17" s="272">
        <v>1428</v>
      </c>
      <c r="EP17" s="455">
        <f t="shared" si="12"/>
        <v>1177518</v>
      </c>
      <c r="EQ17" s="272">
        <v>22186354</v>
      </c>
      <c r="ER17" s="272">
        <v>-1849300</v>
      </c>
      <c r="ES17" s="272">
        <v>8385674</v>
      </c>
      <c r="ET17" s="272">
        <v>5797849</v>
      </c>
      <c r="EU17" s="272">
        <v>1257786</v>
      </c>
      <c r="EV17" s="272">
        <v>2785233</v>
      </c>
      <c r="EW17" s="455">
        <f t="shared" si="13"/>
        <v>1972010</v>
      </c>
      <c r="EX17" s="272">
        <v>1903310</v>
      </c>
      <c r="EY17" s="272">
        <v>55998</v>
      </c>
      <c r="EZ17" s="272">
        <v>1830562</v>
      </c>
      <c r="FA17" s="272">
        <v>68700</v>
      </c>
      <c r="FB17" s="272"/>
      <c r="FC17" s="272">
        <v>2165829</v>
      </c>
      <c r="FD17" s="272">
        <v>2910356</v>
      </c>
      <c r="FE17" s="272">
        <v>1426105</v>
      </c>
      <c r="FF17" s="272">
        <v>2479777</v>
      </c>
      <c r="FG17" s="455">
        <f t="shared" si="14"/>
        <v>1847146</v>
      </c>
      <c r="FH17" s="272">
        <v>23803811</v>
      </c>
      <c r="FI17" s="384">
        <f t="shared" si="15"/>
        <v>0.5</v>
      </c>
      <c r="FJ17" s="272">
        <v>19916776</v>
      </c>
      <c r="FK17" s="272"/>
      <c r="FL17" s="272">
        <v>14985670</v>
      </c>
      <c r="FM17" s="272">
        <v>12621693</v>
      </c>
      <c r="FN17" s="460">
        <v>1.0229999999999999</v>
      </c>
      <c r="FO17" s="388">
        <v>90.1</v>
      </c>
      <c r="FP17" s="388">
        <v>40.9</v>
      </c>
      <c r="FQ17" s="388">
        <v>6.3</v>
      </c>
      <c r="FR17" s="388">
        <v>14.1</v>
      </c>
      <c r="FS17" s="388">
        <v>10.1</v>
      </c>
      <c r="FT17" s="388">
        <v>10.8</v>
      </c>
      <c r="FU17" s="388">
        <v>7.1</v>
      </c>
      <c r="FV17" s="388">
        <v>12</v>
      </c>
      <c r="FW17" s="272">
        <v>59242072</v>
      </c>
      <c r="FX17" s="384">
        <f t="shared" si="16"/>
        <v>297.39999999999998</v>
      </c>
      <c r="FY17" s="272">
        <v>7521392</v>
      </c>
      <c r="FZ17" s="272">
        <v>347701</v>
      </c>
      <c r="GA17" s="272">
        <v>1586165</v>
      </c>
      <c r="GB17" s="272">
        <v>5587526</v>
      </c>
      <c r="GC17" s="272"/>
      <c r="GD17" s="272">
        <v>10579311</v>
      </c>
      <c r="GE17" s="384">
        <f t="shared" si="17"/>
        <v>53.1</v>
      </c>
      <c r="GF17" s="388">
        <v>97.8</v>
      </c>
      <c r="GG17" s="388">
        <v>26.7</v>
      </c>
      <c r="GH17" s="388">
        <v>92.6</v>
      </c>
      <c r="GI17" s="272">
        <v>1005</v>
      </c>
    </row>
    <row r="18" spans="2:191" x14ac:dyDescent="0.15">
      <c r="B18" s="89" t="s">
        <v>29</v>
      </c>
      <c r="C18" s="272">
        <v>14974641</v>
      </c>
      <c r="D18" s="455">
        <f t="shared" si="0"/>
        <v>6727938</v>
      </c>
      <c r="E18" s="272">
        <v>84426</v>
      </c>
      <c r="F18" s="272">
        <v>6643512</v>
      </c>
      <c r="G18" s="455">
        <f t="shared" si="1"/>
        <v>645388</v>
      </c>
      <c r="H18" s="272">
        <v>161287</v>
      </c>
      <c r="I18" s="272">
        <v>484101</v>
      </c>
      <c r="J18" s="272">
        <v>5634507</v>
      </c>
      <c r="K18" s="272">
        <v>2713831</v>
      </c>
      <c r="L18" s="272">
        <v>2216983</v>
      </c>
      <c r="M18" s="272">
        <v>663228</v>
      </c>
      <c r="N18" s="272">
        <v>444133</v>
      </c>
      <c r="O18" s="272">
        <v>1321594</v>
      </c>
      <c r="P18" s="272">
        <v>858738</v>
      </c>
      <c r="Q18" s="272">
        <v>462856</v>
      </c>
      <c r="R18" s="272">
        <v>686506</v>
      </c>
      <c r="S18" s="272">
        <v>452879</v>
      </c>
      <c r="T18" s="455">
        <f t="shared" si="2"/>
        <v>1019092</v>
      </c>
      <c r="U18" s="272">
        <v>588923</v>
      </c>
      <c r="V18" s="272"/>
      <c r="W18" s="272"/>
      <c r="X18" s="272"/>
      <c r="Y18" s="272">
        <v>78593</v>
      </c>
      <c r="Z18" s="272">
        <v>4034</v>
      </c>
      <c r="AA18" s="272">
        <v>347542</v>
      </c>
      <c r="AB18" s="272"/>
      <c r="AC18" s="272">
        <v>4241483</v>
      </c>
      <c r="AD18" s="272">
        <v>3989449</v>
      </c>
      <c r="AE18" s="272">
        <v>252034</v>
      </c>
      <c r="AF18" s="272">
        <v>25453</v>
      </c>
      <c r="AG18" s="272">
        <v>259558</v>
      </c>
      <c r="AH18" s="455">
        <f t="shared" si="3"/>
        <v>1108319</v>
      </c>
      <c r="AI18" s="272">
        <v>755229</v>
      </c>
      <c r="AJ18" s="272">
        <v>353090</v>
      </c>
      <c r="AK18" s="272">
        <v>2645605</v>
      </c>
      <c r="AL18" s="455">
        <f t="shared" si="4"/>
        <v>1585041</v>
      </c>
      <c r="AM18" s="272">
        <v>1230107</v>
      </c>
      <c r="AN18" s="272">
        <v>201652</v>
      </c>
      <c r="AO18" s="272">
        <v>0</v>
      </c>
      <c r="AP18" s="272">
        <v>153282</v>
      </c>
      <c r="AQ18" s="272">
        <v>497084</v>
      </c>
      <c r="AR18" s="272">
        <v>25694</v>
      </c>
      <c r="AS18" s="272">
        <v>0</v>
      </c>
      <c r="AT18" s="272">
        <v>1633022</v>
      </c>
      <c r="AU18" s="272">
        <v>595895</v>
      </c>
      <c r="AV18" s="272">
        <v>133382</v>
      </c>
      <c r="AW18" s="272">
        <v>87615</v>
      </c>
      <c r="AX18" s="272">
        <v>1037127</v>
      </c>
      <c r="AY18" s="272">
        <v>224066</v>
      </c>
      <c r="AZ18" s="272">
        <v>164981</v>
      </c>
      <c r="BA18" s="272">
        <v>0</v>
      </c>
      <c r="BB18" s="272">
        <v>286764</v>
      </c>
      <c r="BC18" s="272">
        <v>3518930</v>
      </c>
      <c r="BD18" s="272">
        <v>839624</v>
      </c>
      <c r="BE18" s="272">
        <v>0</v>
      </c>
      <c r="BF18" s="272">
        <v>2679161</v>
      </c>
      <c r="BG18" s="272">
        <v>0</v>
      </c>
      <c r="BH18" s="272">
        <v>423858</v>
      </c>
      <c r="BI18" s="272">
        <v>417793</v>
      </c>
      <c r="BJ18" s="272">
        <v>1678693</v>
      </c>
      <c r="BK18" s="272">
        <v>1190130</v>
      </c>
      <c r="BL18" s="272">
        <v>0</v>
      </c>
      <c r="BM18" s="272">
        <v>243711</v>
      </c>
      <c r="BN18" s="272">
        <v>5005600</v>
      </c>
      <c r="BO18" s="455">
        <f t="shared" si="5"/>
        <v>3849100</v>
      </c>
      <c r="BP18" s="455">
        <f t="shared" si="6"/>
        <v>1156500</v>
      </c>
      <c r="BQ18" s="272">
        <v>1156500</v>
      </c>
      <c r="BR18" s="272"/>
      <c r="BS18" s="272"/>
      <c r="BT18" s="272">
        <v>0</v>
      </c>
      <c r="BU18" s="272">
        <v>37672505</v>
      </c>
      <c r="BV18" s="272"/>
      <c r="BW18" s="272">
        <v>8176242</v>
      </c>
      <c r="BX18" s="272">
        <v>6215075</v>
      </c>
      <c r="BY18" s="272">
        <v>456041</v>
      </c>
      <c r="BZ18" s="272">
        <v>82510</v>
      </c>
      <c r="CA18" s="272">
        <v>3840377</v>
      </c>
      <c r="CB18" s="272">
        <v>553942</v>
      </c>
      <c r="CC18" s="272">
        <v>764472</v>
      </c>
      <c r="CD18" s="272">
        <v>873353</v>
      </c>
      <c r="CE18" s="272">
        <v>1583025</v>
      </c>
      <c r="CF18" s="272">
        <v>0</v>
      </c>
      <c r="CG18" s="272">
        <v>65585</v>
      </c>
      <c r="CH18" s="272">
        <v>4375285</v>
      </c>
      <c r="CI18" s="272">
        <v>2859554</v>
      </c>
      <c r="CJ18" s="455">
        <f t="shared" si="7"/>
        <v>1515731</v>
      </c>
      <c r="CK18" s="272">
        <v>5151942</v>
      </c>
      <c r="CL18" s="272">
        <v>2910404</v>
      </c>
      <c r="CM18" s="272">
        <v>603557</v>
      </c>
      <c r="CN18" s="272">
        <v>894659</v>
      </c>
      <c r="CO18" s="272">
        <v>384395</v>
      </c>
      <c r="CP18" s="272">
        <v>2284885</v>
      </c>
      <c r="CQ18" s="272">
        <v>946416</v>
      </c>
      <c r="CR18" s="272">
        <v>697803</v>
      </c>
      <c r="CS18" s="272">
        <v>640255</v>
      </c>
      <c r="CT18" s="455">
        <f t="shared" si="8"/>
        <v>1228</v>
      </c>
      <c r="CU18" s="272">
        <v>1228</v>
      </c>
      <c r="CV18" s="272">
        <v>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7391498</v>
      </c>
      <c r="DD18" s="272">
        <v>1219602</v>
      </c>
      <c r="DE18" s="272">
        <v>6116665</v>
      </c>
      <c r="DF18" s="272">
        <v>55231</v>
      </c>
      <c r="DG18" s="272">
        <v>0</v>
      </c>
      <c r="DH18" s="272">
        <v>236370</v>
      </c>
      <c r="DI18" s="272">
        <v>1333433</v>
      </c>
      <c r="DJ18" s="272">
        <v>401528</v>
      </c>
      <c r="DK18" s="272">
        <v>0</v>
      </c>
      <c r="DL18" s="272">
        <v>931905</v>
      </c>
      <c r="DM18" s="272">
        <v>250000</v>
      </c>
      <c r="DN18" s="272">
        <v>0</v>
      </c>
      <c r="DO18" s="272">
        <v>0</v>
      </c>
      <c r="DP18" s="272">
        <v>0</v>
      </c>
      <c r="DQ18" s="272">
        <v>1172250</v>
      </c>
      <c r="DR18" s="272">
        <v>0</v>
      </c>
      <c r="DS18" s="272">
        <v>0</v>
      </c>
      <c r="DT18" s="272">
        <v>2451208</v>
      </c>
      <c r="DU18" s="272">
        <v>1223612</v>
      </c>
      <c r="DV18" s="455">
        <f t="shared" si="11"/>
        <v>0</v>
      </c>
      <c r="DW18" s="272">
        <v>0</v>
      </c>
      <c r="DX18" s="272">
        <v>0</v>
      </c>
      <c r="DY18" s="272">
        <v>0</v>
      </c>
      <c r="DZ18" s="272">
        <v>788049</v>
      </c>
      <c r="EA18" s="272">
        <v>418247</v>
      </c>
      <c r="EB18" s="272"/>
      <c r="EC18" s="272">
        <v>0</v>
      </c>
      <c r="ED18" s="272">
        <v>37047885</v>
      </c>
      <c r="EF18" s="272">
        <v>624620</v>
      </c>
      <c r="EG18" s="272">
        <v>206396</v>
      </c>
      <c r="EH18" s="272">
        <v>418224</v>
      </c>
      <c r="EI18" s="272">
        <v>431</v>
      </c>
      <c r="EJ18" s="272">
        <v>-437665</v>
      </c>
      <c r="EL18" s="272">
        <v>121690</v>
      </c>
      <c r="EM18" s="272">
        <v>121535</v>
      </c>
      <c r="EN18" s="272">
        <v>839769</v>
      </c>
      <c r="EO18" s="272">
        <v>7</v>
      </c>
      <c r="EP18" s="455">
        <f t="shared" si="12"/>
        <v>867072</v>
      </c>
      <c r="EQ18" s="272">
        <v>20947175</v>
      </c>
      <c r="ER18" s="272">
        <v>-2837895</v>
      </c>
      <c r="ES18" s="272">
        <v>7333589</v>
      </c>
      <c r="ET18" s="272">
        <v>5423827</v>
      </c>
      <c r="EU18" s="272">
        <v>1277596</v>
      </c>
      <c r="EV18" s="272">
        <v>3449406</v>
      </c>
      <c r="EW18" s="455">
        <f t="shared" si="13"/>
        <v>1197772</v>
      </c>
      <c r="EX18" s="272">
        <v>1088072</v>
      </c>
      <c r="EY18" s="272">
        <v>317633</v>
      </c>
      <c r="EZ18" s="272">
        <v>758801</v>
      </c>
      <c r="FA18" s="272">
        <v>109700</v>
      </c>
      <c r="FB18" s="272"/>
      <c r="FC18" s="272">
        <v>4212219</v>
      </c>
      <c r="FD18" s="272">
        <v>2094847</v>
      </c>
      <c r="FE18" s="272">
        <v>946416</v>
      </c>
      <c r="FF18" s="272">
        <v>2237891</v>
      </c>
      <c r="FG18" s="455">
        <f t="shared" si="14"/>
        <v>1357130</v>
      </c>
      <c r="FH18" s="272">
        <v>23160450</v>
      </c>
      <c r="FI18" s="384">
        <f t="shared" si="15"/>
        <v>2.1</v>
      </c>
      <c r="FJ18" s="272">
        <v>20117623</v>
      </c>
      <c r="FK18" s="272"/>
      <c r="FL18" s="272">
        <v>12159259</v>
      </c>
      <c r="FM18" s="272">
        <v>16158923</v>
      </c>
      <c r="FN18" s="460">
        <v>0.754</v>
      </c>
      <c r="FO18" s="388">
        <v>95.8</v>
      </c>
      <c r="FP18" s="388">
        <v>36.700000000000003</v>
      </c>
      <c r="FQ18" s="388">
        <v>6.6</v>
      </c>
      <c r="FR18" s="388">
        <v>17.7</v>
      </c>
      <c r="FS18" s="388">
        <v>20.9</v>
      </c>
      <c r="FT18" s="388">
        <v>8.1</v>
      </c>
      <c r="FU18" s="388">
        <v>4</v>
      </c>
      <c r="FV18" s="388">
        <v>14.5</v>
      </c>
      <c r="FW18" s="272">
        <v>31335833</v>
      </c>
      <c r="FX18" s="384">
        <f t="shared" si="16"/>
        <v>155.80000000000001</v>
      </c>
      <c r="FY18" s="272">
        <v>9081462</v>
      </c>
      <c r="FZ18" s="272">
        <v>2237089</v>
      </c>
      <c r="GA18" s="272"/>
      <c r="GB18" s="272">
        <v>6844373</v>
      </c>
      <c r="GC18" s="272"/>
      <c r="GD18" s="272">
        <v>1139328</v>
      </c>
      <c r="GE18" s="384">
        <f t="shared" si="17"/>
        <v>5.7</v>
      </c>
      <c r="GF18" s="388">
        <v>97.2</v>
      </c>
      <c r="GG18" s="388">
        <v>27.3</v>
      </c>
      <c r="GH18" s="388">
        <v>92.5</v>
      </c>
      <c r="GI18" s="272">
        <v>875</v>
      </c>
    </row>
    <row r="19" spans="2:191" x14ac:dyDescent="0.15">
      <c r="B19" s="89" t="s">
        <v>31</v>
      </c>
      <c r="C19" s="272">
        <v>31687514</v>
      </c>
      <c r="D19" s="455">
        <f t="shared" si="0"/>
        <v>13840038</v>
      </c>
      <c r="E19" s="272">
        <v>195519</v>
      </c>
      <c r="F19" s="272">
        <v>13644519</v>
      </c>
      <c r="G19" s="455">
        <f t="shared" si="1"/>
        <v>2399060</v>
      </c>
      <c r="H19" s="272">
        <v>496608</v>
      </c>
      <c r="I19" s="272">
        <v>1902452</v>
      </c>
      <c r="J19" s="272">
        <v>11001070</v>
      </c>
      <c r="K19" s="272">
        <v>5542446</v>
      </c>
      <c r="L19" s="272">
        <v>4003389</v>
      </c>
      <c r="M19" s="272">
        <v>1240687</v>
      </c>
      <c r="N19" s="272">
        <v>1327416</v>
      </c>
      <c r="O19" s="272">
        <v>2975102</v>
      </c>
      <c r="P19" s="272">
        <v>2049445</v>
      </c>
      <c r="Q19" s="272">
        <v>925657</v>
      </c>
      <c r="R19" s="272">
        <v>1501838</v>
      </c>
      <c r="S19" s="272">
        <v>1085401</v>
      </c>
      <c r="T19" s="455">
        <f t="shared" si="2"/>
        <v>1890752</v>
      </c>
      <c r="U19" s="272">
        <v>1264949</v>
      </c>
      <c r="V19" s="272"/>
      <c r="W19" s="272"/>
      <c r="X19" s="272"/>
      <c r="Y19" s="272">
        <v>0</v>
      </c>
      <c r="Z19" s="272">
        <v>5387</v>
      </c>
      <c r="AA19" s="272">
        <v>620416</v>
      </c>
      <c r="AB19" s="272"/>
      <c r="AC19" s="272">
        <v>7604118</v>
      </c>
      <c r="AD19" s="272">
        <v>7137769</v>
      </c>
      <c r="AE19" s="272">
        <v>466349</v>
      </c>
      <c r="AF19" s="272">
        <v>47220</v>
      </c>
      <c r="AG19" s="272">
        <v>470796</v>
      </c>
      <c r="AH19" s="455">
        <f t="shared" si="3"/>
        <v>1266681</v>
      </c>
      <c r="AI19" s="272">
        <v>796986</v>
      </c>
      <c r="AJ19" s="272">
        <v>469695</v>
      </c>
      <c r="AK19" s="272">
        <v>6543651</v>
      </c>
      <c r="AL19" s="455">
        <f t="shared" si="4"/>
        <v>4068408</v>
      </c>
      <c r="AM19" s="272">
        <v>2830024</v>
      </c>
      <c r="AN19" s="272">
        <v>856200</v>
      </c>
      <c r="AO19" s="272">
        <v>0</v>
      </c>
      <c r="AP19" s="272">
        <v>382184</v>
      </c>
      <c r="AQ19" s="272">
        <v>1219864</v>
      </c>
      <c r="AR19" s="272">
        <v>0</v>
      </c>
      <c r="AS19" s="272">
        <v>0</v>
      </c>
      <c r="AT19" s="272">
        <v>3816884</v>
      </c>
      <c r="AU19" s="272">
        <v>1312523</v>
      </c>
      <c r="AV19" s="272">
        <v>511728</v>
      </c>
      <c r="AW19" s="272">
        <v>221613</v>
      </c>
      <c r="AX19" s="272">
        <v>2504361</v>
      </c>
      <c r="AY19" s="272">
        <v>601116</v>
      </c>
      <c r="AZ19" s="272">
        <v>244289</v>
      </c>
      <c r="BA19" s="272">
        <v>160091</v>
      </c>
      <c r="BB19" s="272">
        <v>445215</v>
      </c>
      <c r="BC19" s="272">
        <v>1959718</v>
      </c>
      <c r="BD19" s="272">
        <v>424000</v>
      </c>
      <c r="BE19" s="272">
        <v>312000</v>
      </c>
      <c r="BF19" s="272">
        <v>1202720</v>
      </c>
      <c r="BG19" s="272">
        <v>0</v>
      </c>
      <c r="BH19" s="272">
        <v>145303</v>
      </c>
      <c r="BI19" s="272">
        <v>70322</v>
      </c>
      <c r="BJ19" s="272">
        <v>3735497</v>
      </c>
      <c r="BK19" s="272">
        <v>2729867</v>
      </c>
      <c r="BL19" s="272">
        <v>0</v>
      </c>
      <c r="BM19" s="272">
        <v>245816</v>
      </c>
      <c r="BN19" s="272">
        <v>8909927</v>
      </c>
      <c r="BO19" s="455">
        <f t="shared" si="5"/>
        <v>6437627</v>
      </c>
      <c r="BP19" s="455">
        <f t="shared" si="6"/>
        <v>2472300</v>
      </c>
      <c r="BQ19" s="272">
        <v>2472300</v>
      </c>
      <c r="BR19" s="272"/>
      <c r="BS19" s="272"/>
      <c r="BT19" s="272">
        <v>0</v>
      </c>
      <c r="BU19" s="272">
        <v>70269403</v>
      </c>
      <c r="BV19" s="272"/>
      <c r="BW19" s="272">
        <v>22360985</v>
      </c>
      <c r="BX19" s="272">
        <v>16964344</v>
      </c>
      <c r="BY19" s="272">
        <v>1607119</v>
      </c>
      <c r="BZ19" s="272">
        <v>373629</v>
      </c>
      <c r="CA19" s="272">
        <v>8612805</v>
      </c>
      <c r="CB19" s="272">
        <v>951745</v>
      </c>
      <c r="CC19" s="272">
        <v>1728356</v>
      </c>
      <c r="CD19" s="272">
        <v>2031265</v>
      </c>
      <c r="CE19" s="272">
        <v>3796580</v>
      </c>
      <c r="CF19" s="272">
        <v>222</v>
      </c>
      <c r="CG19" s="272">
        <v>102496</v>
      </c>
      <c r="CH19" s="272">
        <v>8281581</v>
      </c>
      <c r="CI19" s="272">
        <v>5382127</v>
      </c>
      <c r="CJ19" s="455">
        <f t="shared" si="7"/>
        <v>2899454</v>
      </c>
      <c r="CK19" s="272">
        <v>6936109</v>
      </c>
      <c r="CL19" s="272">
        <v>3175941</v>
      </c>
      <c r="CM19" s="272">
        <v>574547</v>
      </c>
      <c r="CN19" s="272">
        <v>1972184</v>
      </c>
      <c r="CO19" s="272">
        <v>337577</v>
      </c>
      <c r="CP19" s="272">
        <v>5760694</v>
      </c>
      <c r="CQ19" s="272">
        <v>3571039</v>
      </c>
      <c r="CR19" s="272">
        <v>1309093</v>
      </c>
      <c r="CS19" s="272">
        <v>1211161</v>
      </c>
      <c r="CT19" s="455">
        <f t="shared" si="8"/>
        <v>5007</v>
      </c>
      <c r="CU19" s="272">
        <v>5007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8599645</v>
      </c>
      <c r="DD19" s="272">
        <v>3825557</v>
      </c>
      <c r="DE19" s="272">
        <v>4482831</v>
      </c>
      <c r="DF19" s="272">
        <v>0</v>
      </c>
      <c r="DG19" s="272">
        <v>291257</v>
      </c>
      <c r="DH19" s="272">
        <v>0</v>
      </c>
      <c r="DI19" s="272">
        <v>777485</v>
      </c>
      <c r="DJ19" s="272">
        <v>39881</v>
      </c>
      <c r="DK19" s="272">
        <v>13542</v>
      </c>
      <c r="DL19" s="272">
        <v>724062</v>
      </c>
      <c r="DM19" s="272">
        <v>52974</v>
      </c>
      <c r="DN19" s="272">
        <v>52974</v>
      </c>
      <c r="DO19" s="272">
        <v>52974</v>
      </c>
      <c r="DP19" s="272">
        <v>0</v>
      </c>
      <c r="DQ19" s="272">
        <v>2716050</v>
      </c>
      <c r="DR19" s="272">
        <v>0</v>
      </c>
      <c r="DS19" s="272">
        <v>0</v>
      </c>
      <c r="DT19" s="272">
        <v>5924281</v>
      </c>
      <c r="DU19" s="272">
        <v>3516000</v>
      </c>
      <c r="DV19" s="455">
        <f t="shared" si="11"/>
        <v>0</v>
      </c>
      <c r="DW19" s="272">
        <v>0</v>
      </c>
      <c r="DX19" s="272">
        <v>0</v>
      </c>
      <c r="DY19" s="272">
        <v>0</v>
      </c>
      <c r="DZ19" s="272">
        <v>1673629</v>
      </c>
      <c r="EA19" s="272">
        <v>729648</v>
      </c>
      <c r="EB19" s="272"/>
      <c r="EC19" s="272">
        <v>0</v>
      </c>
      <c r="ED19" s="272">
        <v>70360186</v>
      </c>
      <c r="EF19" s="272">
        <v>-90783</v>
      </c>
      <c r="EG19" s="272">
        <v>50676</v>
      </c>
      <c r="EH19" s="272">
        <v>-141459</v>
      </c>
      <c r="EI19" s="272">
        <v>-211781</v>
      </c>
      <c r="EJ19" s="272">
        <v>-595900</v>
      </c>
      <c r="EL19" s="272">
        <v>258443</v>
      </c>
      <c r="EM19" s="272">
        <v>256796</v>
      </c>
      <c r="EN19" s="272">
        <v>1038318</v>
      </c>
      <c r="EO19" s="272">
        <v>68846</v>
      </c>
      <c r="EP19" s="455">
        <f t="shared" si="12"/>
        <v>3502427</v>
      </c>
      <c r="EQ19" s="272">
        <v>42731442</v>
      </c>
      <c r="ER19" s="272">
        <v>-7034671</v>
      </c>
      <c r="ES19" s="272">
        <v>20383694</v>
      </c>
      <c r="ET19" s="272">
        <v>15113951</v>
      </c>
      <c r="EU19" s="272">
        <v>2598914</v>
      </c>
      <c r="EV19" s="272">
        <v>8113040</v>
      </c>
      <c r="EW19" s="455">
        <f t="shared" si="13"/>
        <v>1456530</v>
      </c>
      <c r="EX19" s="272">
        <v>1456530</v>
      </c>
      <c r="EY19" s="272">
        <v>35997</v>
      </c>
      <c r="EZ19" s="272">
        <v>1420533</v>
      </c>
      <c r="FA19" s="272">
        <v>0</v>
      </c>
      <c r="FB19" s="272"/>
      <c r="FC19" s="272">
        <v>5374466</v>
      </c>
      <c r="FD19" s="272">
        <v>5206105</v>
      </c>
      <c r="FE19" s="272">
        <v>3514639</v>
      </c>
      <c r="FF19" s="272">
        <v>5698617</v>
      </c>
      <c r="FG19" s="455">
        <f t="shared" si="14"/>
        <v>1025530</v>
      </c>
      <c r="FH19" s="272">
        <v>49856896</v>
      </c>
      <c r="FI19" s="384">
        <f t="shared" si="15"/>
        <v>-0.3</v>
      </c>
      <c r="FJ19" s="272">
        <v>40955892</v>
      </c>
      <c r="FK19" s="272"/>
      <c r="FL19" s="272">
        <v>25477093</v>
      </c>
      <c r="FM19" s="272">
        <v>32647409</v>
      </c>
      <c r="FN19" s="460">
        <v>0.78</v>
      </c>
      <c r="FO19" s="388">
        <v>104.1</v>
      </c>
      <c r="FP19" s="388">
        <v>50.1</v>
      </c>
      <c r="FQ19" s="388">
        <v>6.6</v>
      </c>
      <c r="FR19" s="388">
        <v>14.5</v>
      </c>
      <c r="FS19" s="388">
        <v>12.2</v>
      </c>
      <c r="FT19" s="388">
        <v>11.9</v>
      </c>
      <c r="FU19" s="388">
        <v>7.9</v>
      </c>
      <c r="FV19" s="388">
        <v>10.9</v>
      </c>
      <c r="FW19" s="272">
        <v>58659012</v>
      </c>
      <c r="FX19" s="384">
        <f t="shared" si="16"/>
        <v>143.19999999999999</v>
      </c>
      <c r="FY19" s="272">
        <v>6241160</v>
      </c>
      <c r="FZ19" s="272">
        <v>727</v>
      </c>
      <c r="GA19" s="272">
        <v>955091</v>
      </c>
      <c r="GB19" s="272">
        <v>5285342</v>
      </c>
      <c r="GC19" s="272"/>
      <c r="GD19" s="272">
        <v>7314466</v>
      </c>
      <c r="GE19" s="384">
        <f t="shared" si="17"/>
        <v>17.899999999999999</v>
      </c>
      <c r="GF19" s="388">
        <v>96.5</v>
      </c>
      <c r="GG19" s="388">
        <v>19.3</v>
      </c>
      <c r="GH19" s="388">
        <v>89.7</v>
      </c>
      <c r="GI19" s="272">
        <v>2233</v>
      </c>
    </row>
    <row r="20" spans="2:191" x14ac:dyDescent="0.15">
      <c r="B20" s="89" t="s">
        <v>33</v>
      </c>
      <c r="C20" s="272">
        <v>16154603</v>
      </c>
      <c r="D20" s="455">
        <f t="shared" si="0"/>
        <v>7787445</v>
      </c>
      <c r="E20" s="272">
        <v>82356</v>
      </c>
      <c r="F20" s="272">
        <v>7705089</v>
      </c>
      <c r="G20" s="455">
        <f t="shared" si="1"/>
        <v>706620</v>
      </c>
      <c r="H20" s="272">
        <v>160670</v>
      </c>
      <c r="I20" s="272">
        <v>545950</v>
      </c>
      <c r="J20" s="272">
        <v>5684973</v>
      </c>
      <c r="K20" s="272">
        <v>2419879</v>
      </c>
      <c r="L20" s="272">
        <v>2441540</v>
      </c>
      <c r="M20" s="272">
        <v>793049</v>
      </c>
      <c r="N20" s="272">
        <v>372920</v>
      </c>
      <c r="O20" s="272">
        <v>1420538</v>
      </c>
      <c r="P20" s="272">
        <v>890924</v>
      </c>
      <c r="Q20" s="272">
        <v>529614</v>
      </c>
      <c r="R20" s="272">
        <v>663737</v>
      </c>
      <c r="S20" s="272">
        <v>406366</v>
      </c>
      <c r="T20" s="455">
        <f t="shared" si="2"/>
        <v>1070381</v>
      </c>
      <c r="U20" s="272">
        <v>646114</v>
      </c>
      <c r="V20" s="272"/>
      <c r="W20" s="272"/>
      <c r="X20" s="272"/>
      <c r="Y20" s="272">
        <v>38886</v>
      </c>
      <c r="Z20" s="272">
        <v>2506</v>
      </c>
      <c r="AA20" s="272">
        <v>382875</v>
      </c>
      <c r="AB20" s="272"/>
      <c r="AC20" s="272">
        <v>2749852</v>
      </c>
      <c r="AD20" s="272">
        <v>2493774</v>
      </c>
      <c r="AE20" s="272">
        <v>256078</v>
      </c>
      <c r="AF20" s="272">
        <v>25494</v>
      </c>
      <c r="AG20" s="272">
        <v>283837</v>
      </c>
      <c r="AH20" s="455">
        <f t="shared" si="3"/>
        <v>936705</v>
      </c>
      <c r="AI20" s="272">
        <v>627376</v>
      </c>
      <c r="AJ20" s="272">
        <v>309329</v>
      </c>
      <c r="AK20" s="272">
        <v>2481040</v>
      </c>
      <c r="AL20" s="455">
        <f t="shared" si="4"/>
        <v>1066500</v>
      </c>
      <c r="AM20" s="272">
        <v>720000</v>
      </c>
      <c r="AN20" s="272">
        <v>192464</v>
      </c>
      <c r="AO20" s="272">
        <v>0</v>
      </c>
      <c r="AP20" s="272">
        <v>154036</v>
      </c>
      <c r="AQ20" s="272">
        <v>592312</v>
      </c>
      <c r="AR20" s="272">
        <v>144392</v>
      </c>
      <c r="AS20" s="272">
        <v>0</v>
      </c>
      <c r="AT20" s="272">
        <v>1627546</v>
      </c>
      <c r="AU20" s="272">
        <v>613765</v>
      </c>
      <c r="AV20" s="272">
        <v>96231</v>
      </c>
      <c r="AW20" s="272">
        <v>138344</v>
      </c>
      <c r="AX20" s="272">
        <v>1013781</v>
      </c>
      <c r="AY20" s="272">
        <v>281226</v>
      </c>
      <c r="AZ20" s="272">
        <v>226924</v>
      </c>
      <c r="BA20" s="272">
        <v>15</v>
      </c>
      <c r="BB20" s="272">
        <v>171165</v>
      </c>
      <c r="BC20" s="272">
        <v>881056</v>
      </c>
      <c r="BD20" s="272">
        <v>400000</v>
      </c>
      <c r="BE20" s="272">
        <v>100000</v>
      </c>
      <c r="BF20" s="272">
        <v>370937</v>
      </c>
      <c r="BG20" s="272">
        <v>0</v>
      </c>
      <c r="BH20" s="272">
        <v>550430</v>
      </c>
      <c r="BI20" s="272">
        <v>291187</v>
      </c>
      <c r="BJ20" s="272">
        <v>1030049</v>
      </c>
      <c r="BK20" s="272">
        <v>860535</v>
      </c>
      <c r="BL20" s="272">
        <v>588</v>
      </c>
      <c r="BM20" s="272">
        <v>0</v>
      </c>
      <c r="BN20" s="272">
        <v>4309300</v>
      </c>
      <c r="BO20" s="455">
        <f t="shared" si="5"/>
        <v>3012300</v>
      </c>
      <c r="BP20" s="455">
        <f t="shared" si="6"/>
        <v>1297000</v>
      </c>
      <c r="BQ20" s="272">
        <v>1297000</v>
      </c>
      <c r="BR20" s="272"/>
      <c r="BS20" s="272"/>
      <c r="BT20" s="272">
        <v>0</v>
      </c>
      <c r="BU20" s="272">
        <v>33162119</v>
      </c>
      <c r="BV20" s="272"/>
      <c r="BW20" s="272">
        <v>6218144</v>
      </c>
      <c r="BX20" s="272">
        <v>4404387</v>
      </c>
      <c r="BY20" s="272">
        <v>184282</v>
      </c>
      <c r="BZ20" s="272">
        <v>502003</v>
      </c>
      <c r="CA20" s="272">
        <v>3115915</v>
      </c>
      <c r="CB20" s="272">
        <v>511334</v>
      </c>
      <c r="CC20" s="272">
        <v>841178</v>
      </c>
      <c r="CD20" s="272">
        <v>781786</v>
      </c>
      <c r="CE20" s="272">
        <v>958731</v>
      </c>
      <c r="CF20" s="272">
        <v>0</v>
      </c>
      <c r="CG20" s="272">
        <v>20152</v>
      </c>
      <c r="CH20" s="272">
        <v>2654725</v>
      </c>
      <c r="CI20" s="272">
        <v>1465059</v>
      </c>
      <c r="CJ20" s="455">
        <f t="shared" si="7"/>
        <v>1189666</v>
      </c>
      <c r="CK20" s="272">
        <v>5141545</v>
      </c>
      <c r="CL20" s="272">
        <v>3445125</v>
      </c>
      <c r="CM20" s="272">
        <v>88593</v>
      </c>
      <c r="CN20" s="272">
        <v>916520</v>
      </c>
      <c r="CO20" s="272">
        <v>196853</v>
      </c>
      <c r="CP20" s="272">
        <v>2475956</v>
      </c>
      <c r="CQ20" s="272">
        <v>721622</v>
      </c>
      <c r="CR20" s="272">
        <v>855009</v>
      </c>
      <c r="CS20" s="272">
        <v>568238</v>
      </c>
      <c r="CT20" s="455">
        <f t="shared" si="8"/>
        <v>207248</v>
      </c>
      <c r="CU20" s="272">
        <v>11937</v>
      </c>
      <c r="CV20" s="272">
        <v>195311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7162141</v>
      </c>
      <c r="DD20" s="272">
        <v>1572596</v>
      </c>
      <c r="DE20" s="272">
        <v>5379496</v>
      </c>
      <c r="DF20" s="272">
        <v>210049</v>
      </c>
      <c r="DG20" s="272">
        <v>0</v>
      </c>
      <c r="DH20" s="272">
        <v>662923</v>
      </c>
      <c r="DI20" s="272">
        <v>1886524</v>
      </c>
      <c r="DJ20" s="272">
        <v>550600</v>
      </c>
      <c r="DK20" s="272">
        <v>44000</v>
      </c>
      <c r="DL20" s="272">
        <v>1291924</v>
      </c>
      <c r="DM20" s="272">
        <v>300000</v>
      </c>
      <c r="DN20" s="272">
        <v>0</v>
      </c>
      <c r="DO20" s="272">
        <v>0</v>
      </c>
      <c r="DP20" s="272">
        <v>0</v>
      </c>
      <c r="DQ20" s="272">
        <v>852256</v>
      </c>
      <c r="DR20" s="272">
        <v>0</v>
      </c>
      <c r="DS20" s="272">
        <v>0</v>
      </c>
      <c r="DT20" s="272">
        <v>1978045</v>
      </c>
      <c r="DU20" s="272">
        <v>1114874</v>
      </c>
      <c r="DV20" s="455">
        <f t="shared" si="11"/>
        <v>0</v>
      </c>
      <c r="DW20" s="272">
        <v>0</v>
      </c>
      <c r="DX20" s="272">
        <v>0</v>
      </c>
      <c r="DY20" s="272">
        <v>0</v>
      </c>
      <c r="DZ20" s="272">
        <v>436715</v>
      </c>
      <c r="EA20" s="272">
        <v>426456</v>
      </c>
      <c r="EB20" s="272"/>
      <c r="EC20" s="272">
        <v>0</v>
      </c>
      <c r="ED20" s="272">
        <v>32645027</v>
      </c>
      <c r="EF20" s="272">
        <v>517092</v>
      </c>
      <c r="EG20" s="272">
        <v>225095</v>
      </c>
      <c r="EH20" s="272">
        <v>291997</v>
      </c>
      <c r="EI20" s="272">
        <v>810</v>
      </c>
      <c r="EJ20" s="272">
        <v>151410</v>
      </c>
      <c r="EL20" s="272">
        <v>117082</v>
      </c>
      <c r="EM20" s="272">
        <v>118635</v>
      </c>
      <c r="EN20" s="272">
        <v>500000</v>
      </c>
      <c r="EO20" s="272">
        <v>12270</v>
      </c>
      <c r="EP20" s="455">
        <f t="shared" si="12"/>
        <v>800144</v>
      </c>
      <c r="EQ20" s="272">
        <v>20664067</v>
      </c>
      <c r="ER20" s="272">
        <v>-2583920</v>
      </c>
      <c r="ES20" s="272">
        <v>5874624</v>
      </c>
      <c r="ET20" s="272">
        <v>4131569</v>
      </c>
      <c r="EU20" s="272">
        <v>977476</v>
      </c>
      <c r="EV20" s="272">
        <v>2654725</v>
      </c>
      <c r="EW20" s="455">
        <f t="shared" si="13"/>
        <v>3297345</v>
      </c>
      <c r="EX20" s="272">
        <v>2972062</v>
      </c>
      <c r="EY20" s="272">
        <v>195140</v>
      </c>
      <c r="EZ20" s="272">
        <v>2697173</v>
      </c>
      <c r="FA20" s="272">
        <v>325283</v>
      </c>
      <c r="FB20" s="272"/>
      <c r="FC20" s="272">
        <v>3912363</v>
      </c>
      <c r="FD20" s="272">
        <v>2192990</v>
      </c>
      <c r="FE20" s="272">
        <v>721622</v>
      </c>
      <c r="FF20" s="272">
        <v>1933071</v>
      </c>
      <c r="FG20" s="455">
        <f t="shared" si="14"/>
        <v>1888301</v>
      </c>
      <c r="FH20" s="272">
        <v>22730895</v>
      </c>
      <c r="FI20" s="384">
        <f t="shared" si="15"/>
        <v>1.5</v>
      </c>
      <c r="FJ20" s="272">
        <v>19730023</v>
      </c>
      <c r="FK20" s="272"/>
      <c r="FL20" s="272">
        <v>12996285</v>
      </c>
      <c r="FM20" s="272">
        <v>15505517</v>
      </c>
      <c r="FN20" s="460">
        <v>0.84299999999999997</v>
      </c>
      <c r="FO20" s="388">
        <v>82.5</v>
      </c>
      <c r="FP20" s="388">
        <v>30.1</v>
      </c>
      <c r="FQ20" s="388">
        <v>5.0999999999999996</v>
      </c>
      <c r="FR20" s="388">
        <v>13.9</v>
      </c>
      <c r="FS20" s="388">
        <v>19.399999999999999</v>
      </c>
      <c r="FT20" s="388">
        <v>8.3000000000000007</v>
      </c>
      <c r="FU20" s="388">
        <v>4.7</v>
      </c>
      <c r="FV20" s="388">
        <v>10.1</v>
      </c>
      <c r="FW20" s="272">
        <v>25858465</v>
      </c>
      <c r="FX20" s="384">
        <f t="shared" si="16"/>
        <v>131.1</v>
      </c>
      <c r="FY20" s="272">
        <v>14292003</v>
      </c>
      <c r="FZ20" s="272">
        <v>6495141</v>
      </c>
      <c r="GA20" s="272">
        <v>1730228</v>
      </c>
      <c r="GB20" s="272">
        <v>6066634</v>
      </c>
      <c r="GC20" s="272"/>
      <c r="GD20" s="272">
        <v>8918801</v>
      </c>
      <c r="GE20" s="384">
        <f t="shared" si="17"/>
        <v>45.2</v>
      </c>
      <c r="GF20" s="388">
        <v>97.6</v>
      </c>
      <c r="GG20" s="388">
        <v>21.8</v>
      </c>
      <c r="GH20" s="388">
        <v>92.8</v>
      </c>
      <c r="GI20" s="272">
        <v>610</v>
      </c>
    </row>
    <row r="21" spans="2:191" x14ac:dyDescent="0.15">
      <c r="B21" s="89" t="s">
        <v>35</v>
      </c>
      <c r="C21" s="272">
        <v>15785495</v>
      </c>
      <c r="D21" s="455">
        <f t="shared" si="0"/>
        <v>6169807</v>
      </c>
      <c r="E21" s="272">
        <v>95555</v>
      </c>
      <c r="F21" s="272">
        <v>6074252</v>
      </c>
      <c r="G21" s="455">
        <f t="shared" si="1"/>
        <v>1229278</v>
      </c>
      <c r="H21" s="272">
        <v>213859</v>
      </c>
      <c r="I21" s="272">
        <v>1015419</v>
      </c>
      <c r="J21" s="272">
        <v>6039778</v>
      </c>
      <c r="K21" s="272">
        <v>3398231</v>
      </c>
      <c r="L21" s="272">
        <v>1981825</v>
      </c>
      <c r="M21" s="272">
        <v>632310</v>
      </c>
      <c r="N21" s="272">
        <v>617758</v>
      </c>
      <c r="O21" s="272">
        <v>1545550</v>
      </c>
      <c r="P21" s="272">
        <v>1108106</v>
      </c>
      <c r="Q21" s="272">
        <v>437444</v>
      </c>
      <c r="R21" s="272">
        <v>785326</v>
      </c>
      <c r="S21" s="272">
        <v>564228</v>
      </c>
      <c r="T21" s="455">
        <f t="shared" si="2"/>
        <v>896945</v>
      </c>
      <c r="U21" s="272">
        <v>566900</v>
      </c>
      <c r="V21" s="272"/>
      <c r="W21" s="272"/>
      <c r="X21" s="272"/>
      <c r="Y21" s="272">
        <v>0</v>
      </c>
      <c r="Z21" s="272">
        <v>596</v>
      </c>
      <c r="AA21" s="272">
        <v>329449</v>
      </c>
      <c r="AB21" s="272"/>
      <c r="AC21" s="272">
        <v>6732961</v>
      </c>
      <c r="AD21" s="272">
        <v>6308767</v>
      </c>
      <c r="AE21" s="272">
        <v>424194</v>
      </c>
      <c r="AF21" s="272">
        <v>25317</v>
      </c>
      <c r="AG21" s="272">
        <v>211370</v>
      </c>
      <c r="AH21" s="455">
        <f t="shared" si="3"/>
        <v>481357</v>
      </c>
      <c r="AI21" s="272">
        <v>445029</v>
      </c>
      <c r="AJ21" s="272">
        <v>36328</v>
      </c>
      <c r="AK21" s="272">
        <v>3179118</v>
      </c>
      <c r="AL21" s="455">
        <f t="shared" si="4"/>
        <v>2043913</v>
      </c>
      <c r="AM21" s="272">
        <v>1521162</v>
      </c>
      <c r="AN21" s="272">
        <v>265670</v>
      </c>
      <c r="AO21" s="272">
        <v>0</v>
      </c>
      <c r="AP21" s="272">
        <v>257081</v>
      </c>
      <c r="AQ21" s="272">
        <v>411860</v>
      </c>
      <c r="AR21" s="272">
        <v>0</v>
      </c>
      <c r="AS21" s="272">
        <v>0</v>
      </c>
      <c r="AT21" s="272">
        <v>1818382</v>
      </c>
      <c r="AU21" s="272">
        <v>646373</v>
      </c>
      <c r="AV21" s="272">
        <v>132834</v>
      </c>
      <c r="AW21" s="272">
        <v>79481</v>
      </c>
      <c r="AX21" s="272">
        <v>1172009</v>
      </c>
      <c r="AY21" s="272">
        <v>112875</v>
      </c>
      <c r="AZ21" s="272">
        <v>212034</v>
      </c>
      <c r="BA21" s="272">
        <v>67</v>
      </c>
      <c r="BB21" s="272">
        <v>755177</v>
      </c>
      <c r="BC21" s="272">
        <v>862403</v>
      </c>
      <c r="BD21" s="272">
        <v>0</v>
      </c>
      <c r="BE21" s="272">
        <v>240000</v>
      </c>
      <c r="BF21" s="272">
        <v>568850</v>
      </c>
      <c r="BG21" s="272">
        <v>0</v>
      </c>
      <c r="BH21" s="272">
        <v>1080340</v>
      </c>
      <c r="BI21" s="272">
        <v>170914</v>
      </c>
      <c r="BJ21" s="272">
        <v>206992</v>
      </c>
      <c r="BK21" s="272">
        <v>64441</v>
      </c>
      <c r="BL21" s="272">
        <v>0</v>
      </c>
      <c r="BM21" s="272">
        <v>0</v>
      </c>
      <c r="BN21" s="272">
        <v>3220700</v>
      </c>
      <c r="BO21" s="455">
        <f t="shared" si="5"/>
        <v>2100200</v>
      </c>
      <c r="BP21" s="455">
        <f t="shared" si="6"/>
        <v>1120500</v>
      </c>
      <c r="BQ21" s="272">
        <v>1120500</v>
      </c>
      <c r="BR21" s="272"/>
      <c r="BS21" s="272"/>
      <c r="BT21" s="272">
        <v>0</v>
      </c>
      <c r="BU21" s="272">
        <v>36253917</v>
      </c>
      <c r="BV21" s="272"/>
      <c r="BW21" s="272">
        <v>9713793</v>
      </c>
      <c r="BX21" s="272">
        <v>7491032</v>
      </c>
      <c r="BY21" s="272">
        <v>420291</v>
      </c>
      <c r="BZ21" s="272">
        <v>221518</v>
      </c>
      <c r="CA21" s="272">
        <v>4718575</v>
      </c>
      <c r="CB21" s="272">
        <v>536949</v>
      </c>
      <c r="CC21" s="272">
        <v>1174724</v>
      </c>
      <c r="CD21" s="272">
        <v>904164</v>
      </c>
      <c r="CE21" s="272">
        <v>2018065</v>
      </c>
      <c r="CF21" s="272">
        <v>0</v>
      </c>
      <c r="CG21" s="272">
        <v>83598</v>
      </c>
      <c r="CH21" s="272">
        <v>3186199</v>
      </c>
      <c r="CI21" s="272">
        <v>1753139</v>
      </c>
      <c r="CJ21" s="455">
        <f t="shared" si="7"/>
        <v>1433060</v>
      </c>
      <c r="CK21" s="272">
        <v>4913289</v>
      </c>
      <c r="CL21" s="272">
        <v>3149898</v>
      </c>
      <c r="CM21" s="272">
        <v>163449</v>
      </c>
      <c r="CN21" s="272">
        <v>903367</v>
      </c>
      <c r="CO21" s="272">
        <v>284906</v>
      </c>
      <c r="CP21" s="272">
        <v>2343101</v>
      </c>
      <c r="CQ21" s="272">
        <v>6193</v>
      </c>
      <c r="CR21" s="272">
        <v>1242996</v>
      </c>
      <c r="CS21" s="272">
        <v>474588</v>
      </c>
      <c r="CT21" s="455">
        <f t="shared" si="8"/>
        <v>489728</v>
      </c>
      <c r="CU21" s="272">
        <v>12000</v>
      </c>
      <c r="CV21" s="272">
        <v>477728</v>
      </c>
      <c r="CW21" s="455">
        <f t="shared" si="9"/>
        <v>477728</v>
      </c>
      <c r="CX21" s="272">
        <v>0</v>
      </c>
      <c r="CY21" s="272">
        <v>477728</v>
      </c>
      <c r="CZ21" s="455">
        <f t="shared" si="10"/>
        <v>0</v>
      </c>
      <c r="DA21" s="272">
        <v>0</v>
      </c>
      <c r="DB21" s="272">
        <v>0</v>
      </c>
      <c r="DC21" s="272">
        <v>5359879</v>
      </c>
      <c r="DD21" s="272">
        <v>1000686</v>
      </c>
      <c r="DE21" s="272">
        <v>4359193</v>
      </c>
      <c r="DF21" s="272">
        <v>0</v>
      </c>
      <c r="DG21" s="272">
        <v>0</v>
      </c>
      <c r="DH21" s="272">
        <v>90</v>
      </c>
      <c r="DI21" s="272">
        <v>946906</v>
      </c>
      <c r="DJ21" s="272">
        <v>60000</v>
      </c>
      <c r="DK21" s="272">
        <v>11711</v>
      </c>
      <c r="DL21" s="272">
        <v>875195</v>
      </c>
      <c r="DM21" s="272">
        <v>0</v>
      </c>
      <c r="DN21" s="272">
        <v>0</v>
      </c>
      <c r="DO21" s="272">
        <v>0</v>
      </c>
      <c r="DP21" s="272">
        <v>0</v>
      </c>
      <c r="DQ21" s="272">
        <v>60000</v>
      </c>
      <c r="DR21" s="272">
        <v>0</v>
      </c>
      <c r="DS21" s="272">
        <v>0</v>
      </c>
      <c r="DT21" s="272">
        <v>4634277</v>
      </c>
      <c r="DU21" s="272">
        <v>3275000</v>
      </c>
      <c r="DV21" s="455">
        <f t="shared" si="11"/>
        <v>0</v>
      </c>
      <c r="DW21" s="272">
        <v>0</v>
      </c>
      <c r="DX21" s="272">
        <v>0</v>
      </c>
      <c r="DY21" s="272">
        <v>0</v>
      </c>
      <c r="DZ21" s="272">
        <v>900259</v>
      </c>
      <c r="EA21" s="272">
        <v>446384</v>
      </c>
      <c r="EB21" s="272"/>
      <c r="EC21" s="272">
        <v>0</v>
      </c>
      <c r="ED21" s="272">
        <v>36161015</v>
      </c>
      <c r="EF21" s="272">
        <v>92902</v>
      </c>
      <c r="EG21" s="272">
        <v>7531</v>
      </c>
      <c r="EH21" s="272">
        <v>85371</v>
      </c>
      <c r="EI21" s="272">
        <v>-85543</v>
      </c>
      <c r="EJ21" s="272">
        <v>-25543</v>
      </c>
      <c r="EL21" s="272">
        <v>134457</v>
      </c>
      <c r="EM21" s="272">
        <v>132975</v>
      </c>
      <c r="EN21" s="272">
        <v>293553</v>
      </c>
      <c r="EO21" s="272">
        <v>152587</v>
      </c>
      <c r="EP21" s="455">
        <f t="shared" si="12"/>
        <v>1179178</v>
      </c>
      <c r="EQ21" s="272">
        <v>24226044</v>
      </c>
      <c r="ER21" s="272">
        <v>-2720501</v>
      </c>
      <c r="ES21" s="272">
        <v>9008737</v>
      </c>
      <c r="ET21" s="272">
        <v>6857829</v>
      </c>
      <c r="EU21" s="272">
        <v>1486523</v>
      </c>
      <c r="EV21" s="272">
        <v>3170213</v>
      </c>
      <c r="EW21" s="455">
        <f t="shared" si="13"/>
        <v>1342328</v>
      </c>
      <c r="EX21" s="272">
        <v>1342238</v>
      </c>
      <c r="EY21" s="272">
        <v>14453</v>
      </c>
      <c r="EZ21" s="272">
        <v>1327785</v>
      </c>
      <c r="FA21" s="272">
        <v>90</v>
      </c>
      <c r="FB21" s="272"/>
      <c r="FC21" s="272">
        <v>4325032</v>
      </c>
      <c r="FD21" s="272">
        <v>2010046</v>
      </c>
      <c r="FE21" s="272">
        <v>6193</v>
      </c>
      <c r="FF21" s="272">
        <v>4369565</v>
      </c>
      <c r="FG21" s="455">
        <f t="shared" si="14"/>
        <v>1141199</v>
      </c>
      <c r="FH21" s="272">
        <v>26853643</v>
      </c>
      <c r="FI21" s="384">
        <f t="shared" si="15"/>
        <v>0.4</v>
      </c>
      <c r="FJ21" s="272">
        <v>22848062</v>
      </c>
      <c r="FK21" s="272"/>
      <c r="FL21" s="272">
        <v>12466181</v>
      </c>
      <c r="FM21" s="272">
        <v>18780620</v>
      </c>
      <c r="FN21" s="460">
        <v>0.67700000000000005</v>
      </c>
      <c r="FO21" s="388">
        <v>96.4</v>
      </c>
      <c r="FP21" s="388">
        <v>39.6</v>
      </c>
      <c r="FQ21" s="388">
        <v>6.6</v>
      </c>
      <c r="FR21" s="388">
        <v>14.1</v>
      </c>
      <c r="FS21" s="388">
        <v>18.600000000000001</v>
      </c>
      <c r="FT21" s="388">
        <v>6.3</v>
      </c>
      <c r="FU21" s="388">
        <v>10</v>
      </c>
      <c r="FV21" s="388">
        <v>11</v>
      </c>
      <c r="FW21" s="272">
        <v>31392886</v>
      </c>
      <c r="FX21" s="384">
        <f t="shared" si="16"/>
        <v>137.4</v>
      </c>
      <c r="FY21" s="272">
        <v>5330191</v>
      </c>
      <c r="FZ21" s="272">
        <v>60000</v>
      </c>
      <c r="GA21" s="272">
        <v>533032</v>
      </c>
      <c r="GB21" s="272">
        <v>4737159</v>
      </c>
      <c r="GC21" s="272"/>
      <c r="GD21" s="272">
        <v>3542222</v>
      </c>
      <c r="GE21" s="384">
        <f t="shared" si="17"/>
        <v>15.5</v>
      </c>
      <c r="GF21" s="388">
        <v>97</v>
      </c>
      <c r="GG21" s="388">
        <v>23.7</v>
      </c>
      <c r="GH21" s="388">
        <v>90.4</v>
      </c>
      <c r="GI21" s="272">
        <v>977</v>
      </c>
    </row>
    <row r="22" spans="2:191" x14ac:dyDescent="0.15">
      <c r="B22" s="89" t="s">
        <v>37</v>
      </c>
      <c r="C22" s="272">
        <v>19252447</v>
      </c>
      <c r="D22" s="455">
        <f t="shared" si="0"/>
        <v>6027019</v>
      </c>
      <c r="E22" s="272">
        <v>96552</v>
      </c>
      <c r="F22" s="272">
        <v>5930467</v>
      </c>
      <c r="G22" s="455">
        <f t="shared" si="1"/>
        <v>1702968</v>
      </c>
      <c r="H22" s="272">
        <v>268006</v>
      </c>
      <c r="I22" s="272">
        <v>1434962</v>
      </c>
      <c r="J22" s="272">
        <v>8762246</v>
      </c>
      <c r="K22" s="272">
        <v>4790913</v>
      </c>
      <c r="L22" s="272">
        <v>2655668</v>
      </c>
      <c r="M22" s="272">
        <v>1191258</v>
      </c>
      <c r="N22" s="272">
        <v>662420</v>
      </c>
      <c r="O22" s="272">
        <v>2001552</v>
      </c>
      <c r="P22" s="272">
        <v>1410665</v>
      </c>
      <c r="Q22" s="272">
        <v>590887</v>
      </c>
      <c r="R22" s="272">
        <v>827024</v>
      </c>
      <c r="S22" s="272">
        <v>611760</v>
      </c>
      <c r="T22" s="455">
        <f t="shared" si="2"/>
        <v>903948</v>
      </c>
      <c r="U22" s="272">
        <v>550434</v>
      </c>
      <c r="V22" s="272"/>
      <c r="W22" s="272"/>
      <c r="X22" s="272"/>
      <c r="Y22" s="272">
        <v>30098</v>
      </c>
      <c r="Z22" s="272">
        <v>2740</v>
      </c>
      <c r="AA22" s="272">
        <v>320676</v>
      </c>
      <c r="AB22" s="272"/>
      <c r="AC22" s="272">
        <v>2531557</v>
      </c>
      <c r="AD22" s="272">
        <v>2164556</v>
      </c>
      <c r="AE22" s="272">
        <v>367001</v>
      </c>
      <c r="AF22" s="272">
        <v>26491</v>
      </c>
      <c r="AG22" s="272">
        <v>340149</v>
      </c>
      <c r="AH22" s="455">
        <f t="shared" si="3"/>
        <v>859566</v>
      </c>
      <c r="AI22" s="272">
        <v>495616</v>
      </c>
      <c r="AJ22" s="272">
        <v>363950</v>
      </c>
      <c r="AK22" s="272">
        <v>2981171</v>
      </c>
      <c r="AL22" s="455">
        <f t="shared" si="4"/>
        <v>1689996</v>
      </c>
      <c r="AM22" s="272">
        <v>1124767</v>
      </c>
      <c r="AN22" s="272">
        <v>394695</v>
      </c>
      <c r="AO22" s="272">
        <v>0</v>
      </c>
      <c r="AP22" s="272">
        <v>170534</v>
      </c>
      <c r="AQ22" s="272">
        <v>361409</v>
      </c>
      <c r="AR22" s="272">
        <v>6073</v>
      </c>
      <c r="AS22" s="272">
        <v>0</v>
      </c>
      <c r="AT22" s="272">
        <v>2314002</v>
      </c>
      <c r="AU22" s="272">
        <v>629160</v>
      </c>
      <c r="AV22" s="272">
        <v>197348</v>
      </c>
      <c r="AW22" s="272">
        <v>56891</v>
      </c>
      <c r="AX22" s="272">
        <v>1684842</v>
      </c>
      <c r="AY22" s="272">
        <v>579736</v>
      </c>
      <c r="AZ22" s="272">
        <v>149101</v>
      </c>
      <c r="BA22" s="272">
        <v>4073</v>
      </c>
      <c r="BB22" s="272">
        <v>103447</v>
      </c>
      <c r="BC22" s="272">
        <v>663710</v>
      </c>
      <c r="BD22" s="272">
        <v>500000</v>
      </c>
      <c r="BE22" s="272">
        <v>110000</v>
      </c>
      <c r="BF22" s="272">
        <v>53710</v>
      </c>
      <c r="BG22" s="272">
        <v>0</v>
      </c>
      <c r="BH22" s="272">
        <v>0</v>
      </c>
      <c r="BI22" s="272">
        <v>0</v>
      </c>
      <c r="BJ22" s="272">
        <v>2339318</v>
      </c>
      <c r="BK22" s="272">
        <v>1769543</v>
      </c>
      <c r="BL22" s="272">
        <v>318587</v>
      </c>
      <c r="BM22" s="272">
        <v>0</v>
      </c>
      <c r="BN22" s="272">
        <v>2432300</v>
      </c>
      <c r="BO22" s="455">
        <f t="shared" si="5"/>
        <v>1328300</v>
      </c>
      <c r="BP22" s="455">
        <f t="shared" si="6"/>
        <v>1104000</v>
      </c>
      <c r="BQ22" s="272">
        <v>1104000</v>
      </c>
      <c r="BR22" s="272"/>
      <c r="BS22" s="272"/>
      <c r="BT22" s="272">
        <v>0</v>
      </c>
      <c r="BU22" s="272">
        <v>35724231</v>
      </c>
      <c r="BV22" s="272"/>
      <c r="BW22" s="272">
        <v>11388304</v>
      </c>
      <c r="BX22" s="272">
        <v>8833293</v>
      </c>
      <c r="BY22" s="272">
        <v>534030</v>
      </c>
      <c r="BZ22" s="272">
        <v>216585</v>
      </c>
      <c r="CA22" s="272">
        <v>4335179</v>
      </c>
      <c r="CB22" s="272">
        <v>417874</v>
      </c>
      <c r="CC22" s="272">
        <v>838881</v>
      </c>
      <c r="CD22" s="272">
        <v>1539640</v>
      </c>
      <c r="CE22" s="272">
        <v>1464140</v>
      </c>
      <c r="CF22" s="272">
        <v>878</v>
      </c>
      <c r="CG22" s="272">
        <v>73606</v>
      </c>
      <c r="CH22" s="272">
        <v>3156153</v>
      </c>
      <c r="CI22" s="272">
        <v>1940657</v>
      </c>
      <c r="CJ22" s="455">
        <f t="shared" si="7"/>
        <v>1215496</v>
      </c>
      <c r="CK22" s="272">
        <v>3387973</v>
      </c>
      <c r="CL22" s="272">
        <v>2175471</v>
      </c>
      <c r="CM22" s="272">
        <v>74114</v>
      </c>
      <c r="CN22" s="272">
        <v>712600</v>
      </c>
      <c r="CO22" s="272">
        <v>196191</v>
      </c>
      <c r="CP22" s="272">
        <v>2667108</v>
      </c>
      <c r="CQ22" s="272">
        <v>1468953</v>
      </c>
      <c r="CR22" s="272">
        <v>573624</v>
      </c>
      <c r="CS22" s="272">
        <v>573624</v>
      </c>
      <c r="CT22" s="455">
        <f t="shared" si="8"/>
        <v>47677</v>
      </c>
      <c r="CU22" s="272">
        <v>17677</v>
      </c>
      <c r="CV22" s="272">
        <v>30000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4271971</v>
      </c>
      <c r="DD22" s="272">
        <v>1104349</v>
      </c>
      <c r="DE22" s="272">
        <v>2870807</v>
      </c>
      <c r="DF22" s="272">
        <v>0</v>
      </c>
      <c r="DG22" s="272">
        <v>296815</v>
      </c>
      <c r="DH22" s="272">
        <v>94343</v>
      </c>
      <c r="DI22" s="272">
        <v>1414227</v>
      </c>
      <c r="DJ22" s="272">
        <v>864264</v>
      </c>
      <c r="DK22" s="272">
        <v>219751</v>
      </c>
      <c r="DL22" s="272">
        <v>330212</v>
      </c>
      <c r="DM22" s="272">
        <v>0</v>
      </c>
      <c r="DN22" s="272">
        <v>0</v>
      </c>
      <c r="DO22" s="272">
        <v>0</v>
      </c>
      <c r="DP22" s="272">
        <v>0</v>
      </c>
      <c r="DQ22" s="272">
        <v>1739761</v>
      </c>
      <c r="DR22" s="272">
        <v>0</v>
      </c>
      <c r="DS22" s="272">
        <v>0</v>
      </c>
      <c r="DT22" s="272">
        <v>2842647</v>
      </c>
      <c r="DU22" s="272">
        <v>1952299</v>
      </c>
      <c r="DV22" s="455">
        <f t="shared" si="11"/>
        <v>0</v>
      </c>
      <c r="DW22" s="272">
        <v>0</v>
      </c>
      <c r="DX22" s="272">
        <v>0</v>
      </c>
      <c r="DY22" s="272">
        <v>0</v>
      </c>
      <c r="DZ22" s="272">
        <v>513588</v>
      </c>
      <c r="EA22" s="272">
        <v>359928</v>
      </c>
      <c r="EB22" s="272"/>
      <c r="EC22" s="272">
        <v>40068</v>
      </c>
      <c r="ED22" s="272">
        <v>35533925</v>
      </c>
      <c r="EF22" s="272">
        <v>190306</v>
      </c>
      <c r="EG22" s="272">
        <v>81034</v>
      </c>
      <c r="EH22" s="272">
        <v>109272</v>
      </c>
      <c r="EI22" s="272">
        <v>205231</v>
      </c>
      <c r="EJ22" s="272">
        <v>569495</v>
      </c>
      <c r="EL22" s="272">
        <v>128838</v>
      </c>
      <c r="EM22" s="272">
        <v>126778</v>
      </c>
      <c r="EN22" s="272">
        <v>614662</v>
      </c>
      <c r="EO22" s="272">
        <v>5664</v>
      </c>
      <c r="EP22" s="455">
        <f t="shared" si="12"/>
        <v>520192</v>
      </c>
      <c r="EQ22" s="272">
        <v>23541467</v>
      </c>
      <c r="ER22" s="272">
        <v>-2218027</v>
      </c>
      <c r="ES22" s="272">
        <v>10458770</v>
      </c>
      <c r="ET22" s="272">
        <v>7961601</v>
      </c>
      <c r="EU22" s="272">
        <v>1404240</v>
      </c>
      <c r="EV22" s="272">
        <v>2966994</v>
      </c>
      <c r="EW22" s="455">
        <f t="shared" si="13"/>
        <v>1755130</v>
      </c>
      <c r="EX22" s="272">
        <v>1674748</v>
      </c>
      <c r="EY22" s="272">
        <v>206128</v>
      </c>
      <c r="EZ22" s="272">
        <v>1468620</v>
      </c>
      <c r="FA22" s="272">
        <v>80382</v>
      </c>
      <c r="FB22" s="272"/>
      <c r="FC22" s="272">
        <v>2450342</v>
      </c>
      <c r="FD22" s="272">
        <v>2346977</v>
      </c>
      <c r="FE22" s="272">
        <v>1468953</v>
      </c>
      <c r="FF22" s="272">
        <v>2711921</v>
      </c>
      <c r="FG22" s="455">
        <f t="shared" si="14"/>
        <v>1474814</v>
      </c>
      <c r="FH22" s="272">
        <v>25569188</v>
      </c>
      <c r="FI22" s="384">
        <f t="shared" si="15"/>
        <v>0.5</v>
      </c>
      <c r="FJ22" s="272">
        <v>21436415</v>
      </c>
      <c r="FK22" s="272"/>
      <c r="FL22" s="272">
        <v>14513792</v>
      </c>
      <c r="FM22" s="272">
        <v>16686695</v>
      </c>
      <c r="FN22" s="460">
        <v>0.86899999999999999</v>
      </c>
      <c r="FO22" s="388">
        <v>100.2</v>
      </c>
      <c r="FP22" s="388">
        <v>48.8</v>
      </c>
      <c r="FQ22" s="388">
        <v>6.6</v>
      </c>
      <c r="FR22" s="388">
        <v>14</v>
      </c>
      <c r="FS22" s="388">
        <v>10.7</v>
      </c>
      <c r="FT22" s="388">
        <v>9.1999999999999993</v>
      </c>
      <c r="FU22" s="388">
        <v>10.1</v>
      </c>
      <c r="FV22" s="388">
        <v>10.8</v>
      </c>
      <c r="FW22" s="272">
        <v>21147144</v>
      </c>
      <c r="FX22" s="384">
        <f t="shared" si="16"/>
        <v>98.7</v>
      </c>
      <c r="FY22" s="272">
        <v>8370826</v>
      </c>
      <c r="FZ22" s="272">
        <v>2681536</v>
      </c>
      <c r="GA22" s="272">
        <v>1200499</v>
      </c>
      <c r="GB22" s="272">
        <v>4488791</v>
      </c>
      <c r="GC22" s="272"/>
      <c r="GD22" s="272">
        <v>12494414</v>
      </c>
      <c r="GE22" s="384">
        <f t="shared" si="17"/>
        <v>58.3</v>
      </c>
      <c r="GF22" s="388">
        <v>98.3</v>
      </c>
      <c r="GG22" s="388">
        <v>31.4</v>
      </c>
      <c r="GH22" s="388">
        <v>95.5</v>
      </c>
      <c r="GI22" s="272">
        <v>1118</v>
      </c>
    </row>
    <row r="23" spans="2:191" x14ac:dyDescent="0.15">
      <c r="B23" s="89" t="s">
        <v>39</v>
      </c>
      <c r="C23" s="272">
        <v>18875800</v>
      </c>
      <c r="D23" s="455">
        <f t="shared" si="0"/>
        <v>7795222</v>
      </c>
      <c r="E23" s="272">
        <v>105662</v>
      </c>
      <c r="F23" s="272">
        <v>7689560</v>
      </c>
      <c r="G23" s="455">
        <f t="shared" si="1"/>
        <v>962411</v>
      </c>
      <c r="H23" s="272">
        <v>234570</v>
      </c>
      <c r="I23" s="272">
        <v>727841</v>
      </c>
      <c r="J23" s="272">
        <v>7371630</v>
      </c>
      <c r="K23" s="272">
        <v>3881986</v>
      </c>
      <c r="L23" s="272">
        <v>2753847</v>
      </c>
      <c r="M23" s="272">
        <v>683972</v>
      </c>
      <c r="N23" s="272">
        <v>716451</v>
      </c>
      <c r="O23" s="272">
        <v>1788163</v>
      </c>
      <c r="P23" s="272">
        <v>1218155</v>
      </c>
      <c r="Q23" s="272">
        <v>570008</v>
      </c>
      <c r="R23" s="272">
        <v>872706</v>
      </c>
      <c r="S23" s="272">
        <v>595319</v>
      </c>
      <c r="T23" s="455">
        <f t="shared" si="2"/>
        <v>1110244</v>
      </c>
      <c r="U23" s="272">
        <v>684506</v>
      </c>
      <c r="V23" s="272"/>
      <c r="W23" s="272"/>
      <c r="X23" s="272"/>
      <c r="Y23" s="272">
        <v>12506</v>
      </c>
      <c r="Z23" s="272">
        <v>354</v>
      </c>
      <c r="AA23" s="272">
        <v>412878</v>
      </c>
      <c r="AB23" s="272"/>
      <c r="AC23" s="272">
        <v>6305326</v>
      </c>
      <c r="AD23" s="272">
        <v>5457878</v>
      </c>
      <c r="AE23" s="272">
        <v>847448</v>
      </c>
      <c r="AF23" s="272">
        <v>26593</v>
      </c>
      <c r="AG23" s="272">
        <v>272373</v>
      </c>
      <c r="AH23" s="455">
        <f t="shared" si="3"/>
        <v>893158</v>
      </c>
      <c r="AI23" s="272">
        <v>822576</v>
      </c>
      <c r="AJ23" s="272">
        <v>70582</v>
      </c>
      <c r="AK23" s="272">
        <v>5176728</v>
      </c>
      <c r="AL23" s="455">
        <f t="shared" si="4"/>
        <v>2546228</v>
      </c>
      <c r="AM23" s="272">
        <v>1923283</v>
      </c>
      <c r="AN23" s="272">
        <v>397720</v>
      </c>
      <c r="AO23" s="272">
        <v>0</v>
      </c>
      <c r="AP23" s="272">
        <v>225225</v>
      </c>
      <c r="AQ23" s="272">
        <v>1462035</v>
      </c>
      <c r="AR23" s="272">
        <v>76181</v>
      </c>
      <c r="AS23" s="272">
        <v>280042</v>
      </c>
      <c r="AT23" s="272">
        <v>3361730</v>
      </c>
      <c r="AU23" s="272">
        <v>791420</v>
      </c>
      <c r="AV23" s="272">
        <v>198860</v>
      </c>
      <c r="AW23" s="272">
        <v>78865</v>
      </c>
      <c r="AX23" s="272">
        <v>2570310</v>
      </c>
      <c r="AY23" s="272">
        <v>946715</v>
      </c>
      <c r="AZ23" s="272">
        <v>672448</v>
      </c>
      <c r="BA23" s="272">
        <v>526503</v>
      </c>
      <c r="BB23" s="272">
        <v>1881470</v>
      </c>
      <c r="BC23" s="272">
        <v>916854</v>
      </c>
      <c r="BD23" s="272">
        <v>0</v>
      </c>
      <c r="BE23" s="272">
        <v>150000</v>
      </c>
      <c r="BF23" s="272">
        <v>750000</v>
      </c>
      <c r="BG23" s="272">
        <v>0</v>
      </c>
      <c r="BH23" s="272">
        <v>336659</v>
      </c>
      <c r="BI23" s="272">
        <v>208506</v>
      </c>
      <c r="BJ23" s="272">
        <v>2762987</v>
      </c>
      <c r="BK23" s="272">
        <v>590384</v>
      </c>
      <c r="BL23" s="272">
        <v>0</v>
      </c>
      <c r="BM23" s="272">
        <v>0</v>
      </c>
      <c r="BN23" s="272">
        <v>3278900</v>
      </c>
      <c r="BO23" s="455">
        <f t="shared" si="5"/>
        <v>1928900</v>
      </c>
      <c r="BP23" s="455">
        <f t="shared" si="6"/>
        <v>1350000</v>
      </c>
      <c r="BQ23" s="272">
        <v>1350000</v>
      </c>
      <c r="BR23" s="272"/>
      <c r="BS23" s="272"/>
      <c r="BT23" s="272">
        <v>0</v>
      </c>
      <c r="BU23" s="272">
        <v>47024018</v>
      </c>
      <c r="BV23" s="272"/>
      <c r="BW23" s="272">
        <v>13353158</v>
      </c>
      <c r="BX23" s="272">
        <v>9914525</v>
      </c>
      <c r="BY23" s="272">
        <v>1176451</v>
      </c>
      <c r="BZ23" s="272">
        <v>246145</v>
      </c>
      <c r="CA23" s="272">
        <v>5834376</v>
      </c>
      <c r="CB23" s="272">
        <v>670811</v>
      </c>
      <c r="CC23" s="272">
        <v>1285629</v>
      </c>
      <c r="CD23" s="272">
        <v>1216634</v>
      </c>
      <c r="CE23" s="272">
        <v>2567258</v>
      </c>
      <c r="CF23" s="272">
        <v>178</v>
      </c>
      <c r="CG23" s="272">
        <v>92497</v>
      </c>
      <c r="CH23" s="272">
        <v>4277053</v>
      </c>
      <c r="CI23" s="272">
        <v>2421239</v>
      </c>
      <c r="CJ23" s="455">
        <f t="shared" si="7"/>
        <v>1855814</v>
      </c>
      <c r="CK23" s="272">
        <v>3798387</v>
      </c>
      <c r="CL23" s="272">
        <v>2127308</v>
      </c>
      <c r="CM23" s="272">
        <v>190693</v>
      </c>
      <c r="CN23" s="272">
        <v>776187</v>
      </c>
      <c r="CO23" s="272">
        <v>264071</v>
      </c>
      <c r="CP23" s="272">
        <v>3908482</v>
      </c>
      <c r="CQ23" s="272">
        <v>1606597</v>
      </c>
      <c r="CR23" s="272">
        <v>774450</v>
      </c>
      <c r="CS23" s="272">
        <v>655600</v>
      </c>
      <c r="CT23" s="455">
        <f t="shared" si="8"/>
        <v>737660</v>
      </c>
      <c r="CU23" s="272">
        <v>13000</v>
      </c>
      <c r="CV23" s="272">
        <v>724660</v>
      </c>
      <c r="CW23" s="455">
        <f t="shared" si="9"/>
        <v>711000</v>
      </c>
      <c r="CX23" s="272">
        <v>0</v>
      </c>
      <c r="CY23" s="272">
        <v>711000</v>
      </c>
      <c r="CZ23" s="455">
        <f t="shared" si="10"/>
        <v>0</v>
      </c>
      <c r="DA23" s="272">
        <v>0</v>
      </c>
      <c r="DB23" s="272">
        <v>0</v>
      </c>
      <c r="DC23" s="272">
        <v>8311764</v>
      </c>
      <c r="DD23" s="272">
        <v>3120865</v>
      </c>
      <c r="DE23" s="272">
        <v>5190899</v>
      </c>
      <c r="DF23" s="272">
        <v>0</v>
      </c>
      <c r="DG23" s="272">
        <v>0</v>
      </c>
      <c r="DH23" s="272">
        <v>291011</v>
      </c>
      <c r="DI23" s="272">
        <v>2321150</v>
      </c>
      <c r="DJ23" s="272">
        <v>106930</v>
      </c>
      <c r="DK23" s="272">
        <v>15410</v>
      </c>
      <c r="DL23" s="272">
        <v>2198810</v>
      </c>
      <c r="DM23" s="272">
        <v>0</v>
      </c>
      <c r="DN23" s="272">
        <v>0</v>
      </c>
      <c r="DO23" s="272">
        <v>0</v>
      </c>
      <c r="DP23" s="272">
        <v>0</v>
      </c>
      <c r="DQ23" s="272">
        <v>1591252</v>
      </c>
      <c r="DR23" s="272">
        <v>1000000</v>
      </c>
      <c r="DS23" s="272">
        <v>1000000</v>
      </c>
      <c r="DT23" s="272">
        <v>2746454</v>
      </c>
      <c r="DU23" s="272">
        <v>1608465</v>
      </c>
      <c r="DV23" s="455">
        <f t="shared" si="11"/>
        <v>0</v>
      </c>
      <c r="DW23" s="272">
        <v>0</v>
      </c>
      <c r="DX23" s="272">
        <v>0</v>
      </c>
      <c r="DY23" s="272">
        <v>0</v>
      </c>
      <c r="DZ23" s="272">
        <v>649825</v>
      </c>
      <c r="EA23" s="272">
        <v>488164</v>
      </c>
      <c r="EB23" s="272"/>
      <c r="EC23" s="272">
        <v>0</v>
      </c>
      <c r="ED23" s="272">
        <v>46697158</v>
      </c>
      <c r="EF23" s="272">
        <v>326860</v>
      </c>
      <c r="EG23" s="272">
        <v>109782</v>
      </c>
      <c r="EH23" s="272">
        <v>217078</v>
      </c>
      <c r="EI23" s="272">
        <v>8572</v>
      </c>
      <c r="EJ23" s="272">
        <v>115502</v>
      </c>
      <c r="EL23" s="272">
        <v>157300</v>
      </c>
      <c r="EM23" s="272">
        <v>158926</v>
      </c>
      <c r="EN23" s="272">
        <v>916854</v>
      </c>
      <c r="EO23" s="272">
        <v>634261</v>
      </c>
      <c r="EP23" s="455">
        <f t="shared" si="12"/>
        <v>2667633</v>
      </c>
      <c r="EQ23" s="272">
        <v>27470711</v>
      </c>
      <c r="ER23" s="272">
        <v>-5262113</v>
      </c>
      <c r="ES23" s="272">
        <v>12095399</v>
      </c>
      <c r="ET23" s="272">
        <v>8980657</v>
      </c>
      <c r="EU23" s="272">
        <v>2025052</v>
      </c>
      <c r="EV23" s="272">
        <v>3666006</v>
      </c>
      <c r="EW23" s="455">
        <f t="shared" si="13"/>
        <v>2890559</v>
      </c>
      <c r="EX23" s="272">
        <v>2745971</v>
      </c>
      <c r="EY23" s="272">
        <v>117528</v>
      </c>
      <c r="EZ23" s="272">
        <v>2628443</v>
      </c>
      <c r="FA23" s="272">
        <v>144588</v>
      </c>
      <c r="FB23" s="272"/>
      <c r="FC23" s="272">
        <v>2950722</v>
      </c>
      <c r="FD23" s="272">
        <v>3554041</v>
      </c>
      <c r="FE23" s="272">
        <v>1606597</v>
      </c>
      <c r="FF23" s="272">
        <v>2691761</v>
      </c>
      <c r="FG23" s="455">
        <f t="shared" si="14"/>
        <v>2532424</v>
      </c>
      <c r="FH23" s="272">
        <v>32405964</v>
      </c>
      <c r="FI23" s="384">
        <f t="shared" si="15"/>
        <v>0.9</v>
      </c>
      <c r="FJ23" s="272">
        <v>24995822</v>
      </c>
      <c r="FK23" s="272"/>
      <c r="FL23" s="272">
        <v>14727785</v>
      </c>
      <c r="FM23" s="272">
        <v>20205807</v>
      </c>
      <c r="FN23" s="460">
        <v>0.74399999999999999</v>
      </c>
      <c r="FO23" s="388">
        <v>98.6</v>
      </c>
      <c r="FP23" s="388">
        <v>47</v>
      </c>
      <c r="FQ23" s="388">
        <v>8.1</v>
      </c>
      <c r="FR23" s="388">
        <v>14.6</v>
      </c>
      <c r="FS23" s="388">
        <v>11.1</v>
      </c>
      <c r="FT23" s="388">
        <v>12</v>
      </c>
      <c r="FU23" s="388">
        <v>4.9000000000000004</v>
      </c>
      <c r="FV23" s="388">
        <v>11.1</v>
      </c>
      <c r="FW23" s="272">
        <v>34671380</v>
      </c>
      <c r="FX23" s="384">
        <f t="shared" si="16"/>
        <v>138.69999999999999</v>
      </c>
      <c r="FY23" s="272">
        <v>12393850</v>
      </c>
      <c r="FZ23" s="272">
        <v>180350</v>
      </c>
      <c r="GA23" s="272">
        <v>1187940</v>
      </c>
      <c r="GB23" s="272">
        <v>11025560</v>
      </c>
      <c r="GC23" s="272"/>
      <c r="GD23" s="272">
        <v>5534776</v>
      </c>
      <c r="GE23" s="384">
        <f t="shared" si="17"/>
        <v>22.1</v>
      </c>
      <c r="GF23" s="388">
        <v>97.4</v>
      </c>
      <c r="GG23" s="388">
        <v>30.6</v>
      </c>
      <c r="GH23" s="388">
        <v>94</v>
      </c>
      <c r="GI23" s="272">
        <v>1319</v>
      </c>
    </row>
    <row r="24" spans="2:191" x14ac:dyDescent="0.15">
      <c r="B24" s="89" t="s">
        <v>41</v>
      </c>
      <c r="C24" s="272">
        <v>23828356</v>
      </c>
      <c r="D24" s="455">
        <f t="shared" si="0"/>
        <v>11643421</v>
      </c>
      <c r="E24" s="272">
        <v>90295</v>
      </c>
      <c r="F24" s="272">
        <v>11553126</v>
      </c>
      <c r="G24" s="455">
        <f t="shared" si="1"/>
        <v>1109309</v>
      </c>
      <c r="H24" s="272">
        <v>251104</v>
      </c>
      <c r="I24" s="272">
        <v>858205</v>
      </c>
      <c r="J24" s="272">
        <v>7852204</v>
      </c>
      <c r="K24" s="272">
        <v>4048645</v>
      </c>
      <c r="L24" s="272">
        <v>3269538</v>
      </c>
      <c r="M24" s="272">
        <v>496806</v>
      </c>
      <c r="N24" s="272">
        <v>445468</v>
      </c>
      <c r="O24" s="272">
        <v>2293929</v>
      </c>
      <c r="P24" s="272">
        <v>1561963</v>
      </c>
      <c r="Q24" s="272">
        <v>731966</v>
      </c>
      <c r="R24" s="272">
        <v>767044</v>
      </c>
      <c r="S24" s="272">
        <v>515079</v>
      </c>
      <c r="T24" s="455">
        <f t="shared" si="2"/>
        <v>1395762</v>
      </c>
      <c r="U24" s="272">
        <v>1004886</v>
      </c>
      <c r="V24" s="272"/>
      <c r="W24" s="272"/>
      <c r="X24" s="272"/>
      <c r="Y24" s="272">
        <v>6201</v>
      </c>
      <c r="Z24" s="272">
        <v>9884</v>
      </c>
      <c r="AA24" s="272">
        <v>374791</v>
      </c>
      <c r="AB24" s="272"/>
      <c r="AC24" s="272">
        <v>102029</v>
      </c>
      <c r="AD24" s="272">
        <v>0</v>
      </c>
      <c r="AE24" s="272">
        <v>102029</v>
      </c>
      <c r="AF24" s="272">
        <v>30671</v>
      </c>
      <c r="AG24" s="272">
        <v>172958</v>
      </c>
      <c r="AH24" s="455">
        <f t="shared" si="3"/>
        <v>624786</v>
      </c>
      <c r="AI24" s="272">
        <v>501764</v>
      </c>
      <c r="AJ24" s="272">
        <v>123022</v>
      </c>
      <c r="AK24" s="272">
        <v>2414677</v>
      </c>
      <c r="AL24" s="455">
        <f t="shared" si="4"/>
        <v>913419</v>
      </c>
      <c r="AM24" s="272">
        <v>448278</v>
      </c>
      <c r="AN24" s="272">
        <v>267778</v>
      </c>
      <c r="AO24" s="272">
        <v>0</v>
      </c>
      <c r="AP24" s="272">
        <v>197363</v>
      </c>
      <c r="AQ24" s="272">
        <v>852034</v>
      </c>
      <c r="AR24" s="272">
        <v>5075</v>
      </c>
      <c r="AS24" s="272">
        <v>0</v>
      </c>
      <c r="AT24" s="272">
        <v>2132395</v>
      </c>
      <c r="AU24" s="272">
        <v>594603</v>
      </c>
      <c r="AV24" s="272">
        <v>85114</v>
      </c>
      <c r="AW24" s="272">
        <v>28365</v>
      </c>
      <c r="AX24" s="272">
        <v>1537792</v>
      </c>
      <c r="AY24" s="272">
        <v>489730</v>
      </c>
      <c r="AZ24" s="272">
        <v>1020571</v>
      </c>
      <c r="BA24" s="272">
        <v>106280</v>
      </c>
      <c r="BB24" s="272">
        <v>372609</v>
      </c>
      <c r="BC24" s="272">
        <v>7502796</v>
      </c>
      <c r="BD24" s="272">
        <v>270000</v>
      </c>
      <c r="BE24" s="272">
        <v>532967</v>
      </c>
      <c r="BF24" s="272">
        <v>6608789</v>
      </c>
      <c r="BG24" s="272">
        <v>0</v>
      </c>
      <c r="BH24" s="272">
        <v>2921270</v>
      </c>
      <c r="BI24" s="272">
        <v>504243</v>
      </c>
      <c r="BJ24" s="272">
        <v>6270158</v>
      </c>
      <c r="BK24" s="272">
        <v>3046738</v>
      </c>
      <c r="BL24" s="272">
        <v>10331</v>
      </c>
      <c r="BM24" s="272">
        <v>3000000</v>
      </c>
      <c r="BN24" s="272">
        <v>5446900</v>
      </c>
      <c r="BO24" s="455">
        <f t="shared" si="5"/>
        <v>4078900</v>
      </c>
      <c r="BP24" s="455">
        <f t="shared" si="6"/>
        <v>1368000</v>
      </c>
      <c r="BQ24" s="272">
        <v>1368000</v>
      </c>
      <c r="BR24" s="272"/>
      <c r="BS24" s="272"/>
      <c r="BT24" s="272">
        <v>0</v>
      </c>
      <c r="BU24" s="272">
        <v>55002982</v>
      </c>
      <c r="BV24" s="272"/>
      <c r="BW24" s="272">
        <v>11539616</v>
      </c>
      <c r="BX24" s="272">
        <v>8608996</v>
      </c>
      <c r="BY24" s="272">
        <v>541852</v>
      </c>
      <c r="BZ24" s="272">
        <v>541879</v>
      </c>
      <c r="CA24" s="272">
        <v>2136539</v>
      </c>
      <c r="CB24" s="272">
        <v>275397</v>
      </c>
      <c r="CC24" s="272">
        <v>816697</v>
      </c>
      <c r="CD24" s="272">
        <v>470699</v>
      </c>
      <c r="CE24" s="272">
        <v>542060</v>
      </c>
      <c r="CF24" s="272">
        <v>0</v>
      </c>
      <c r="CG24" s="272">
        <v>25446</v>
      </c>
      <c r="CH24" s="272">
        <v>2369081</v>
      </c>
      <c r="CI24" s="272">
        <v>1122941</v>
      </c>
      <c r="CJ24" s="455">
        <f t="shared" si="7"/>
        <v>1246140</v>
      </c>
      <c r="CK24" s="272">
        <v>6249904</v>
      </c>
      <c r="CL24" s="272">
        <v>3932775</v>
      </c>
      <c r="CM24" s="272">
        <v>136002</v>
      </c>
      <c r="CN24" s="272">
        <v>1305207</v>
      </c>
      <c r="CO24" s="272">
        <v>223766</v>
      </c>
      <c r="CP24" s="272">
        <v>5627178</v>
      </c>
      <c r="CQ24" s="272">
        <v>90382</v>
      </c>
      <c r="CR24" s="272">
        <v>1077526</v>
      </c>
      <c r="CS24" s="272">
        <v>792635</v>
      </c>
      <c r="CT24" s="455">
        <f t="shared" si="8"/>
        <v>3774970</v>
      </c>
      <c r="CU24" s="272">
        <v>723852</v>
      </c>
      <c r="CV24" s="272">
        <v>3051118</v>
      </c>
      <c r="CW24" s="455">
        <f t="shared" si="9"/>
        <v>3498881</v>
      </c>
      <c r="CX24" s="272">
        <v>715917</v>
      </c>
      <c r="CY24" s="272">
        <v>2782964</v>
      </c>
      <c r="CZ24" s="455">
        <f t="shared" si="10"/>
        <v>0</v>
      </c>
      <c r="DA24" s="272">
        <v>0</v>
      </c>
      <c r="DB24" s="272">
        <v>0</v>
      </c>
      <c r="DC24" s="272">
        <v>13896573</v>
      </c>
      <c r="DD24" s="272">
        <v>2101726</v>
      </c>
      <c r="DE24" s="272">
        <v>11789735</v>
      </c>
      <c r="DF24" s="272">
        <v>0</v>
      </c>
      <c r="DG24" s="272">
        <v>5112</v>
      </c>
      <c r="DH24" s="272">
        <v>100512</v>
      </c>
      <c r="DI24" s="272">
        <v>1878248</v>
      </c>
      <c r="DJ24" s="272">
        <v>534330</v>
      </c>
      <c r="DK24" s="272">
        <v>82305</v>
      </c>
      <c r="DL24" s="272">
        <v>1261613</v>
      </c>
      <c r="DM24" s="272">
        <v>2935480</v>
      </c>
      <c r="DN24" s="272">
        <v>2905480</v>
      </c>
      <c r="DO24" s="272">
        <v>869</v>
      </c>
      <c r="DP24" s="272">
        <v>2904611</v>
      </c>
      <c r="DQ24" s="272">
        <v>3454107</v>
      </c>
      <c r="DR24" s="272">
        <v>11457</v>
      </c>
      <c r="DS24" s="272">
        <v>0</v>
      </c>
      <c r="DT24" s="272">
        <v>3057348</v>
      </c>
      <c r="DU24" s="272">
        <v>1730000</v>
      </c>
      <c r="DV24" s="455">
        <f t="shared" si="11"/>
        <v>0</v>
      </c>
      <c r="DW24" s="272">
        <v>0</v>
      </c>
      <c r="DX24" s="272">
        <v>0</v>
      </c>
      <c r="DY24" s="272">
        <v>0</v>
      </c>
      <c r="DZ24" s="272">
        <v>788132</v>
      </c>
      <c r="EA24" s="272">
        <v>390300</v>
      </c>
      <c r="EB24" s="272"/>
      <c r="EC24" s="272">
        <v>0</v>
      </c>
      <c r="ED24" s="272">
        <v>53468352</v>
      </c>
      <c r="EF24" s="272">
        <v>1534630</v>
      </c>
      <c r="EG24" s="272">
        <v>720348</v>
      </c>
      <c r="EH24" s="272">
        <v>814282</v>
      </c>
      <c r="EI24" s="272">
        <v>-199961</v>
      </c>
      <c r="EJ24" s="272">
        <v>64369</v>
      </c>
      <c r="EL24" s="272">
        <v>127542</v>
      </c>
      <c r="EM24" s="272">
        <v>122818</v>
      </c>
      <c r="EN24" s="272">
        <v>890245</v>
      </c>
      <c r="EO24" s="272">
        <v>118243</v>
      </c>
      <c r="EP24" s="455">
        <f t="shared" si="12"/>
        <v>4046946</v>
      </c>
      <c r="EQ24" s="272">
        <v>26123862</v>
      </c>
      <c r="ER24" s="272">
        <v>-6392763</v>
      </c>
      <c r="ES24" s="272">
        <v>10968320</v>
      </c>
      <c r="ET24" s="272">
        <v>8135352</v>
      </c>
      <c r="EU24" s="272">
        <v>546701</v>
      </c>
      <c r="EV24" s="272">
        <v>2272070</v>
      </c>
      <c r="EW24" s="455">
        <f t="shared" si="13"/>
        <v>4509447</v>
      </c>
      <c r="EX24" s="272">
        <v>4475816</v>
      </c>
      <c r="EY24" s="272">
        <v>460832</v>
      </c>
      <c r="EZ24" s="272">
        <v>4014984</v>
      </c>
      <c r="FA24" s="272">
        <v>33631</v>
      </c>
      <c r="FB24" s="272"/>
      <c r="FC24" s="272">
        <v>4752660</v>
      </c>
      <c r="FD24" s="272">
        <v>2964762</v>
      </c>
      <c r="FE24" s="272">
        <v>90382</v>
      </c>
      <c r="FF24" s="272">
        <v>2991067</v>
      </c>
      <c r="FG24" s="455">
        <f t="shared" si="14"/>
        <v>1976968</v>
      </c>
      <c r="FH24" s="272">
        <v>30981995</v>
      </c>
      <c r="FI24" s="384">
        <f t="shared" si="15"/>
        <v>3.3</v>
      </c>
      <c r="FJ24" s="272">
        <v>24820748</v>
      </c>
      <c r="FK24" s="272"/>
      <c r="FL24" s="272">
        <v>18685756</v>
      </c>
      <c r="FM24" s="272">
        <v>16798481</v>
      </c>
      <c r="FN24" s="460">
        <v>1.1359999999999999</v>
      </c>
      <c r="FO24" s="388">
        <v>87.5</v>
      </c>
      <c r="FP24" s="388">
        <v>45.5</v>
      </c>
      <c r="FQ24" s="388">
        <v>2.2999999999999998</v>
      </c>
      <c r="FR24" s="388">
        <v>9.5</v>
      </c>
      <c r="FS24" s="388">
        <v>17.5</v>
      </c>
      <c r="FT24" s="388">
        <v>8.1999999999999993</v>
      </c>
      <c r="FU24" s="388">
        <v>3.7</v>
      </c>
      <c r="FV24" s="388">
        <v>5.9</v>
      </c>
      <c r="FW24" s="272">
        <v>28235183</v>
      </c>
      <c r="FX24" s="384">
        <f t="shared" si="16"/>
        <v>113.8</v>
      </c>
      <c r="FY24" s="272">
        <v>35526027</v>
      </c>
      <c r="FZ24" s="272">
        <v>7839109</v>
      </c>
      <c r="GA24" s="272">
        <v>3719404</v>
      </c>
      <c r="GB24" s="272">
        <v>23967514</v>
      </c>
      <c r="GC24" s="272"/>
      <c r="GD24" s="272">
        <v>19684120</v>
      </c>
      <c r="GE24" s="384">
        <f t="shared" si="17"/>
        <v>79.3</v>
      </c>
      <c r="GF24" s="388">
        <v>97.8</v>
      </c>
      <c r="GG24" s="388">
        <v>14.8</v>
      </c>
      <c r="GH24" s="388">
        <v>92.6</v>
      </c>
      <c r="GI24" s="272">
        <v>1224</v>
      </c>
    </row>
    <row r="25" spans="2:191" x14ac:dyDescent="0.15">
      <c r="B25" s="89" t="s">
        <v>43</v>
      </c>
      <c r="C25" s="272">
        <v>10141938</v>
      </c>
      <c r="D25" s="455">
        <f t="shared" si="0"/>
        <v>3833166</v>
      </c>
      <c r="E25" s="272">
        <v>56142</v>
      </c>
      <c r="F25" s="272">
        <v>3777024</v>
      </c>
      <c r="G25" s="455">
        <f t="shared" si="1"/>
        <v>1006109</v>
      </c>
      <c r="H25" s="272">
        <v>119963</v>
      </c>
      <c r="I25" s="272">
        <v>886146</v>
      </c>
      <c r="J25" s="272">
        <v>4007793</v>
      </c>
      <c r="K25" s="272">
        <v>1836556</v>
      </c>
      <c r="L25" s="272">
        <v>1314112</v>
      </c>
      <c r="M25" s="272">
        <v>825003</v>
      </c>
      <c r="N25" s="272">
        <v>306755</v>
      </c>
      <c r="O25" s="272">
        <v>935536</v>
      </c>
      <c r="P25" s="272">
        <v>635790</v>
      </c>
      <c r="Q25" s="272">
        <v>299746</v>
      </c>
      <c r="R25" s="272">
        <v>481343</v>
      </c>
      <c r="S25" s="272">
        <v>333689</v>
      </c>
      <c r="T25" s="455">
        <f t="shared" si="2"/>
        <v>573306</v>
      </c>
      <c r="U25" s="272">
        <v>352124</v>
      </c>
      <c r="V25" s="272"/>
      <c r="W25" s="272"/>
      <c r="X25" s="272"/>
      <c r="Y25" s="272">
        <v>0</v>
      </c>
      <c r="Z25" s="272">
        <v>1245</v>
      </c>
      <c r="AA25" s="272">
        <v>219937</v>
      </c>
      <c r="AB25" s="272"/>
      <c r="AC25" s="272">
        <v>3374244</v>
      </c>
      <c r="AD25" s="272">
        <v>3050200</v>
      </c>
      <c r="AE25" s="272">
        <v>324044</v>
      </c>
      <c r="AF25" s="272">
        <v>15885</v>
      </c>
      <c r="AG25" s="272">
        <v>185421</v>
      </c>
      <c r="AH25" s="455">
        <f t="shared" si="3"/>
        <v>364532</v>
      </c>
      <c r="AI25" s="272">
        <v>297177</v>
      </c>
      <c r="AJ25" s="272">
        <v>67355</v>
      </c>
      <c r="AK25" s="272">
        <v>1532405</v>
      </c>
      <c r="AL25" s="455">
        <f t="shared" si="4"/>
        <v>1091152</v>
      </c>
      <c r="AM25" s="272">
        <v>676584</v>
      </c>
      <c r="AN25" s="272">
        <v>303005</v>
      </c>
      <c r="AO25" s="272">
        <v>0</v>
      </c>
      <c r="AP25" s="272">
        <v>111563</v>
      </c>
      <c r="AQ25" s="272">
        <v>165493</v>
      </c>
      <c r="AR25" s="272">
        <v>0</v>
      </c>
      <c r="AS25" s="272">
        <v>0</v>
      </c>
      <c r="AT25" s="272">
        <v>1178163</v>
      </c>
      <c r="AU25" s="272">
        <v>346403</v>
      </c>
      <c r="AV25" s="272">
        <v>108159</v>
      </c>
      <c r="AW25" s="272">
        <v>0</v>
      </c>
      <c r="AX25" s="272">
        <v>831760</v>
      </c>
      <c r="AY25" s="272">
        <v>251701</v>
      </c>
      <c r="AZ25" s="272">
        <v>206004</v>
      </c>
      <c r="BA25" s="272">
        <v>16589</v>
      </c>
      <c r="BB25" s="272">
        <v>201231</v>
      </c>
      <c r="BC25" s="272">
        <v>151700</v>
      </c>
      <c r="BD25" s="272">
        <v>100000</v>
      </c>
      <c r="BE25" s="272">
        <v>0</v>
      </c>
      <c r="BF25" s="272">
        <v>51700</v>
      </c>
      <c r="BG25" s="272">
        <v>0</v>
      </c>
      <c r="BH25" s="272">
        <v>106326</v>
      </c>
      <c r="BI25" s="272">
        <v>18541</v>
      </c>
      <c r="BJ25" s="272">
        <v>2263819</v>
      </c>
      <c r="BK25" s="272">
        <v>2128208</v>
      </c>
      <c r="BL25" s="272">
        <v>2912</v>
      </c>
      <c r="BM25" s="272">
        <v>0</v>
      </c>
      <c r="BN25" s="272">
        <v>1600200</v>
      </c>
      <c r="BO25" s="455">
        <f t="shared" si="5"/>
        <v>891200</v>
      </c>
      <c r="BP25" s="455">
        <f t="shared" si="6"/>
        <v>709000</v>
      </c>
      <c r="BQ25" s="272">
        <v>709000</v>
      </c>
      <c r="BR25" s="272"/>
      <c r="BS25" s="272"/>
      <c r="BT25" s="272">
        <v>0</v>
      </c>
      <c r="BU25" s="272">
        <v>22376517</v>
      </c>
      <c r="BV25" s="272"/>
      <c r="BW25" s="272">
        <v>4838518</v>
      </c>
      <c r="BX25" s="272">
        <v>3485473</v>
      </c>
      <c r="BY25" s="272">
        <v>320303</v>
      </c>
      <c r="BZ25" s="272">
        <v>116942</v>
      </c>
      <c r="CA25" s="272">
        <v>2395533</v>
      </c>
      <c r="CB25" s="272">
        <v>235791</v>
      </c>
      <c r="CC25" s="272">
        <v>591269</v>
      </c>
      <c r="CD25" s="272">
        <v>605202</v>
      </c>
      <c r="CE25" s="272">
        <v>877804</v>
      </c>
      <c r="CF25" s="272">
        <v>0</v>
      </c>
      <c r="CG25" s="272">
        <v>85212</v>
      </c>
      <c r="CH25" s="272">
        <v>1456972</v>
      </c>
      <c r="CI25" s="272">
        <v>745082</v>
      </c>
      <c r="CJ25" s="455">
        <f t="shared" si="7"/>
        <v>711890</v>
      </c>
      <c r="CK25" s="272">
        <v>2231066</v>
      </c>
      <c r="CL25" s="272">
        <v>1195756</v>
      </c>
      <c r="CM25" s="272">
        <v>119158</v>
      </c>
      <c r="CN25" s="272">
        <v>447062</v>
      </c>
      <c r="CO25" s="272">
        <v>162889</v>
      </c>
      <c r="CP25" s="272">
        <v>3334156</v>
      </c>
      <c r="CQ25" s="272">
        <v>2066638</v>
      </c>
      <c r="CR25" s="272">
        <v>458037</v>
      </c>
      <c r="CS25" s="272">
        <v>458037</v>
      </c>
      <c r="CT25" s="455">
        <f t="shared" si="8"/>
        <v>226944</v>
      </c>
      <c r="CU25" s="272">
        <v>2887</v>
      </c>
      <c r="CV25" s="272">
        <v>224057</v>
      </c>
      <c r="CW25" s="455">
        <f t="shared" si="9"/>
        <v>224057</v>
      </c>
      <c r="CX25" s="272">
        <v>0</v>
      </c>
      <c r="CY25" s="272">
        <v>224057</v>
      </c>
      <c r="CZ25" s="455">
        <f t="shared" si="10"/>
        <v>0</v>
      </c>
      <c r="DA25" s="272">
        <v>0</v>
      </c>
      <c r="DB25" s="272">
        <v>0</v>
      </c>
      <c r="DC25" s="272">
        <v>3170093</v>
      </c>
      <c r="DD25" s="272">
        <v>312448</v>
      </c>
      <c r="DE25" s="272">
        <v>2804007</v>
      </c>
      <c r="DF25" s="272">
        <v>53638</v>
      </c>
      <c r="DG25" s="272">
        <v>0</v>
      </c>
      <c r="DH25" s="272">
        <v>0</v>
      </c>
      <c r="DI25" s="272">
        <v>626818</v>
      </c>
      <c r="DJ25" s="272">
        <v>52722</v>
      </c>
      <c r="DK25" s="272">
        <v>14156</v>
      </c>
      <c r="DL25" s="272">
        <v>559940</v>
      </c>
      <c r="DM25" s="272">
        <v>0</v>
      </c>
      <c r="DN25" s="272">
        <v>0</v>
      </c>
      <c r="DO25" s="272">
        <v>0</v>
      </c>
      <c r="DP25" s="272">
        <v>0</v>
      </c>
      <c r="DQ25" s="272">
        <v>2082400</v>
      </c>
      <c r="DR25" s="272">
        <v>0</v>
      </c>
      <c r="DS25" s="272">
        <v>0</v>
      </c>
      <c r="DT25" s="272">
        <v>1978799</v>
      </c>
      <c r="DU25" s="272">
        <v>1254000</v>
      </c>
      <c r="DV25" s="455">
        <f t="shared" si="11"/>
        <v>0</v>
      </c>
      <c r="DW25" s="272">
        <v>0</v>
      </c>
      <c r="DX25" s="272">
        <v>0</v>
      </c>
      <c r="DY25" s="272">
        <v>0</v>
      </c>
      <c r="DZ25" s="272">
        <v>415464</v>
      </c>
      <c r="EA25" s="272">
        <v>285559</v>
      </c>
      <c r="EB25" s="272"/>
      <c r="EC25" s="272">
        <v>0</v>
      </c>
      <c r="ED25" s="272">
        <v>22277244</v>
      </c>
      <c r="EF25" s="272">
        <v>99273</v>
      </c>
      <c r="EG25" s="272">
        <v>44274</v>
      </c>
      <c r="EH25" s="272">
        <v>54999</v>
      </c>
      <c r="EI25" s="272">
        <v>15458</v>
      </c>
      <c r="EJ25" s="272">
        <v>-31820</v>
      </c>
      <c r="EL25" s="272">
        <v>80303</v>
      </c>
      <c r="EM25" s="272">
        <v>78132</v>
      </c>
      <c r="EN25" s="272">
        <v>100000</v>
      </c>
      <c r="EO25" s="272">
        <v>23667</v>
      </c>
      <c r="EP25" s="455">
        <f t="shared" si="12"/>
        <v>438627</v>
      </c>
      <c r="EQ25" s="272">
        <v>14586716</v>
      </c>
      <c r="ER25" s="272">
        <v>-1255409</v>
      </c>
      <c r="ES25" s="272">
        <v>4375613</v>
      </c>
      <c r="ET25" s="272">
        <v>3048757</v>
      </c>
      <c r="EU25" s="272">
        <v>689116</v>
      </c>
      <c r="EV25" s="272">
        <v>1449413</v>
      </c>
      <c r="EW25" s="455">
        <f t="shared" si="13"/>
        <v>1794569</v>
      </c>
      <c r="EX25" s="272">
        <v>1794569</v>
      </c>
      <c r="EY25" s="272">
        <v>66626</v>
      </c>
      <c r="EZ25" s="272">
        <v>1692855</v>
      </c>
      <c r="FA25" s="272">
        <v>0</v>
      </c>
      <c r="FB25" s="272"/>
      <c r="FC25" s="272">
        <v>1848331</v>
      </c>
      <c r="FD25" s="272">
        <v>3045419</v>
      </c>
      <c r="FE25" s="272">
        <v>2066638</v>
      </c>
      <c r="FF25" s="272">
        <v>1921077</v>
      </c>
      <c r="FG25" s="455">
        <f t="shared" si="14"/>
        <v>619314</v>
      </c>
      <c r="FH25" s="272">
        <v>15742852</v>
      </c>
      <c r="FI25" s="384">
        <f t="shared" si="15"/>
        <v>0.4</v>
      </c>
      <c r="FJ25" s="272">
        <v>13670524</v>
      </c>
      <c r="FK25" s="272"/>
      <c r="FL25" s="272">
        <v>8005600</v>
      </c>
      <c r="FM25" s="272">
        <v>11066833</v>
      </c>
      <c r="FN25" s="460">
        <v>0.71599999999999997</v>
      </c>
      <c r="FO25" s="388">
        <v>89.8</v>
      </c>
      <c r="FP25" s="388">
        <v>32.200000000000003</v>
      </c>
      <c r="FQ25" s="388">
        <v>5.0999999999999996</v>
      </c>
      <c r="FR25" s="388">
        <v>10.8</v>
      </c>
      <c r="FS25" s="388">
        <v>13.1</v>
      </c>
      <c r="FT25" s="388">
        <v>20.100000000000001</v>
      </c>
      <c r="FU25" s="388">
        <v>7.2</v>
      </c>
      <c r="FV25" s="388">
        <v>7</v>
      </c>
      <c r="FW25" s="272">
        <v>12758450</v>
      </c>
      <c r="FX25" s="384">
        <f t="shared" si="16"/>
        <v>93.3</v>
      </c>
      <c r="FY25" s="272">
        <v>7663945</v>
      </c>
      <c r="FZ25" s="272">
        <v>2430428</v>
      </c>
      <c r="GA25" s="272">
        <v>617065</v>
      </c>
      <c r="GB25" s="272">
        <v>4616452</v>
      </c>
      <c r="GC25" s="272"/>
      <c r="GD25" s="272">
        <v>3796930</v>
      </c>
      <c r="GE25" s="384">
        <f t="shared" si="17"/>
        <v>27.8</v>
      </c>
      <c r="GF25" s="388">
        <v>96.9</v>
      </c>
      <c r="GG25" s="388">
        <v>30.2</v>
      </c>
      <c r="GH25" s="388">
        <v>92.5</v>
      </c>
      <c r="GI25" s="272">
        <v>471</v>
      </c>
    </row>
    <row r="26" spans="2:191" x14ac:dyDescent="0.15">
      <c r="B26" s="89" t="s">
        <v>45</v>
      </c>
      <c r="C26" s="272">
        <v>13828725</v>
      </c>
      <c r="D26" s="455">
        <f t="shared" si="0"/>
        <v>6535052</v>
      </c>
      <c r="E26" s="272">
        <v>84536</v>
      </c>
      <c r="F26" s="272">
        <v>6450516</v>
      </c>
      <c r="G26" s="455">
        <f t="shared" si="1"/>
        <v>855753</v>
      </c>
      <c r="H26" s="272">
        <v>151369</v>
      </c>
      <c r="I26" s="272">
        <v>704384</v>
      </c>
      <c r="J26" s="272">
        <v>4655329</v>
      </c>
      <c r="K26" s="272">
        <v>2358373</v>
      </c>
      <c r="L26" s="272">
        <v>1803434</v>
      </c>
      <c r="M26" s="272">
        <v>481837</v>
      </c>
      <c r="N26" s="272">
        <v>426888</v>
      </c>
      <c r="O26" s="272">
        <v>1256929</v>
      </c>
      <c r="P26" s="272">
        <v>868915</v>
      </c>
      <c r="Q26" s="272">
        <v>388014</v>
      </c>
      <c r="R26" s="272">
        <v>666129</v>
      </c>
      <c r="S26" s="272">
        <v>454410</v>
      </c>
      <c r="T26" s="455">
        <f t="shared" si="2"/>
        <v>899354</v>
      </c>
      <c r="U26" s="272">
        <v>583466</v>
      </c>
      <c r="V26" s="272"/>
      <c r="W26" s="272"/>
      <c r="X26" s="272"/>
      <c r="Y26" s="272">
        <v>0</v>
      </c>
      <c r="Z26" s="272">
        <v>243</v>
      </c>
      <c r="AA26" s="272">
        <v>315645</v>
      </c>
      <c r="AB26" s="272"/>
      <c r="AC26" s="272">
        <v>5041571</v>
      </c>
      <c r="AD26" s="272">
        <v>4706125</v>
      </c>
      <c r="AE26" s="272">
        <v>335446</v>
      </c>
      <c r="AF26" s="272">
        <v>26197</v>
      </c>
      <c r="AG26" s="272">
        <v>199332</v>
      </c>
      <c r="AH26" s="455">
        <f t="shared" si="3"/>
        <v>350680</v>
      </c>
      <c r="AI26" s="272">
        <v>315128</v>
      </c>
      <c r="AJ26" s="272">
        <v>35552</v>
      </c>
      <c r="AK26" s="272">
        <v>2430038</v>
      </c>
      <c r="AL26" s="455">
        <f t="shared" si="4"/>
        <v>1497712</v>
      </c>
      <c r="AM26" s="272">
        <v>1157725</v>
      </c>
      <c r="AN26" s="272">
        <v>282663</v>
      </c>
      <c r="AO26" s="272">
        <v>0</v>
      </c>
      <c r="AP26" s="272">
        <v>57324</v>
      </c>
      <c r="AQ26" s="272">
        <v>325219</v>
      </c>
      <c r="AR26" s="272">
        <v>0</v>
      </c>
      <c r="AS26" s="272">
        <v>0</v>
      </c>
      <c r="AT26" s="272">
        <v>2521108</v>
      </c>
      <c r="AU26" s="272">
        <v>971039</v>
      </c>
      <c r="AV26" s="272">
        <v>180506</v>
      </c>
      <c r="AW26" s="272">
        <v>33555</v>
      </c>
      <c r="AX26" s="272">
        <v>1550069</v>
      </c>
      <c r="AY26" s="272">
        <v>617929</v>
      </c>
      <c r="AZ26" s="272">
        <v>365495</v>
      </c>
      <c r="BA26" s="272">
        <v>255434</v>
      </c>
      <c r="BB26" s="272">
        <v>230788</v>
      </c>
      <c r="BC26" s="272">
        <v>991474</v>
      </c>
      <c r="BD26" s="272">
        <v>0</v>
      </c>
      <c r="BE26" s="272">
        <v>72000</v>
      </c>
      <c r="BF26" s="272">
        <v>870000</v>
      </c>
      <c r="BG26" s="470">
        <v>0</v>
      </c>
      <c r="BH26" s="272">
        <v>1070712</v>
      </c>
      <c r="BI26" s="272">
        <v>1050220</v>
      </c>
      <c r="BJ26" s="272">
        <v>217277</v>
      </c>
      <c r="BK26" s="272">
        <v>2200</v>
      </c>
      <c r="BL26" s="272">
        <v>0</v>
      </c>
      <c r="BM26" s="272">
        <v>0</v>
      </c>
      <c r="BN26" s="272">
        <v>3979900</v>
      </c>
      <c r="BO26" s="455">
        <f t="shared" si="5"/>
        <v>2872300</v>
      </c>
      <c r="BP26" s="455">
        <f t="shared" si="6"/>
        <v>1107600</v>
      </c>
      <c r="BQ26" s="272">
        <v>1107600</v>
      </c>
      <c r="BR26" s="272"/>
      <c r="BS26" s="272"/>
      <c r="BT26" s="272">
        <v>0</v>
      </c>
      <c r="BU26" s="272">
        <v>32818780</v>
      </c>
      <c r="BV26" s="272"/>
      <c r="BW26" s="272">
        <v>7603175</v>
      </c>
      <c r="BX26" s="272">
        <v>5717022</v>
      </c>
      <c r="BY26" s="272">
        <v>452982</v>
      </c>
      <c r="BZ26" s="272">
        <v>106130</v>
      </c>
      <c r="CA26" s="272">
        <v>3936513</v>
      </c>
      <c r="CB26" s="272">
        <v>531887</v>
      </c>
      <c r="CC26" s="272">
        <v>794142</v>
      </c>
      <c r="CD26" s="272">
        <v>1004957</v>
      </c>
      <c r="CE26" s="272">
        <v>1538724</v>
      </c>
      <c r="CF26" s="272">
        <v>820</v>
      </c>
      <c r="CG26" s="272">
        <v>65743</v>
      </c>
      <c r="CH26" s="272">
        <v>2031233</v>
      </c>
      <c r="CI26" s="272">
        <v>1072732</v>
      </c>
      <c r="CJ26" s="455">
        <f t="shared" si="7"/>
        <v>958501</v>
      </c>
      <c r="CK26" s="272">
        <v>3611409</v>
      </c>
      <c r="CL26" s="272">
        <v>1794676</v>
      </c>
      <c r="CM26" s="272">
        <v>403258</v>
      </c>
      <c r="CN26" s="272">
        <v>699688</v>
      </c>
      <c r="CO26" s="272">
        <v>275769</v>
      </c>
      <c r="CP26" s="272">
        <v>3647595</v>
      </c>
      <c r="CQ26" s="272">
        <v>2308833</v>
      </c>
      <c r="CR26" s="272">
        <v>924602</v>
      </c>
      <c r="CS26" s="272">
        <v>910477</v>
      </c>
      <c r="CT26" s="455">
        <f t="shared" si="8"/>
        <v>15272</v>
      </c>
      <c r="CU26" s="272">
        <v>10940</v>
      </c>
      <c r="CV26" s="272">
        <v>4332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6394376</v>
      </c>
      <c r="DD26" s="272">
        <v>1017339</v>
      </c>
      <c r="DE26" s="272">
        <v>4729024</v>
      </c>
      <c r="DF26" s="272">
        <v>97977</v>
      </c>
      <c r="DG26" s="272">
        <v>550036</v>
      </c>
      <c r="DH26" s="272">
        <v>14162</v>
      </c>
      <c r="DI26" s="272">
        <v>918748</v>
      </c>
      <c r="DJ26" s="272">
        <v>660458</v>
      </c>
      <c r="DK26" s="272">
        <v>10539</v>
      </c>
      <c r="DL26" s="272">
        <v>247751</v>
      </c>
      <c r="DM26" s="272">
        <v>10000</v>
      </c>
      <c r="DN26" s="272">
        <v>0</v>
      </c>
      <c r="DO26" s="272">
        <v>0</v>
      </c>
      <c r="DP26" s="272">
        <v>0</v>
      </c>
      <c r="DQ26" s="272">
        <v>0</v>
      </c>
      <c r="DR26" s="272">
        <v>0</v>
      </c>
      <c r="DS26" s="272">
        <v>0</v>
      </c>
      <c r="DT26" s="272">
        <v>3071053</v>
      </c>
      <c r="DU26" s="272">
        <v>1822043</v>
      </c>
      <c r="DV26" s="455">
        <f t="shared" si="11"/>
        <v>0</v>
      </c>
      <c r="DW26" s="272">
        <v>0</v>
      </c>
      <c r="DX26" s="272">
        <v>0</v>
      </c>
      <c r="DY26" s="272">
        <v>0</v>
      </c>
      <c r="DZ26" s="272">
        <v>660203</v>
      </c>
      <c r="EA26" s="272">
        <v>456043</v>
      </c>
      <c r="EB26" s="272"/>
      <c r="EC26" s="272">
        <v>0</v>
      </c>
      <c r="ED26" s="272">
        <v>31514033</v>
      </c>
      <c r="EF26" s="272">
        <v>1304747</v>
      </c>
      <c r="EG26" s="272">
        <v>216243</v>
      </c>
      <c r="EH26" s="272">
        <v>1088504</v>
      </c>
      <c r="EI26" s="272">
        <v>38284</v>
      </c>
      <c r="EJ26" s="272">
        <v>698742</v>
      </c>
      <c r="EL26" s="272">
        <v>117735</v>
      </c>
      <c r="EM26" s="272">
        <v>117747</v>
      </c>
      <c r="EN26" s="272">
        <v>121474</v>
      </c>
      <c r="EO26" s="272">
        <v>244576</v>
      </c>
      <c r="EP26" s="455">
        <f t="shared" si="12"/>
        <v>1478923</v>
      </c>
      <c r="EQ26" s="272">
        <v>20461976</v>
      </c>
      <c r="ER26" s="272">
        <v>-2926376</v>
      </c>
      <c r="ES26" s="272">
        <v>6976419</v>
      </c>
      <c r="ET26" s="272">
        <v>5166049</v>
      </c>
      <c r="EU26" s="272">
        <v>1223322</v>
      </c>
      <c r="EV26" s="272">
        <v>1862779</v>
      </c>
      <c r="EW26" s="455">
        <f t="shared" si="13"/>
        <v>2145015</v>
      </c>
      <c r="EX26" s="272">
        <v>2142853</v>
      </c>
      <c r="EY26" s="272">
        <v>104652</v>
      </c>
      <c r="EZ26" s="272">
        <v>2031474</v>
      </c>
      <c r="FA26" s="272">
        <v>2162</v>
      </c>
      <c r="FB26" s="272"/>
      <c r="FC26" s="272">
        <v>3245009</v>
      </c>
      <c r="FD26" s="272">
        <v>3490766</v>
      </c>
      <c r="FE26" s="272">
        <v>2308833</v>
      </c>
      <c r="FF26" s="272">
        <v>2051986</v>
      </c>
      <c r="FG26" s="455">
        <f t="shared" si="14"/>
        <v>1088309</v>
      </c>
      <c r="FH26" s="272">
        <v>22083605</v>
      </c>
      <c r="FI26" s="384">
        <f t="shared" si="15"/>
        <v>5.6</v>
      </c>
      <c r="FJ26" s="272">
        <v>19600510</v>
      </c>
      <c r="FK26" s="272"/>
      <c r="FL26" s="272">
        <v>11230315</v>
      </c>
      <c r="FM26" s="272">
        <v>15952343</v>
      </c>
      <c r="FN26" s="460">
        <v>0.71</v>
      </c>
      <c r="FO26" s="388">
        <v>92.7</v>
      </c>
      <c r="FP26" s="388">
        <v>36.5</v>
      </c>
      <c r="FQ26" s="388">
        <v>6.5</v>
      </c>
      <c r="FR26" s="388">
        <v>9.8000000000000007</v>
      </c>
      <c r="FS26" s="388">
        <v>15.3</v>
      </c>
      <c r="FT26" s="388">
        <v>17.399999999999999</v>
      </c>
      <c r="FU26" s="388">
        <v>5.9</v>
      </c>
      <c r="FV26" s="388">
        <v>6.7</v>
      </c>
      <c r="FW26" s="272">
        <v>21019064</v>
      </c>
      <c r="FX26" s="384">
        <f t="shared" si="16"/>
        <v>107.2</v>
      </c>
      <c r="FY26" s="272">
        <v>4680104</v>
      </c>
      <c r="FZ26" s="272">
        <v>1626270</v>
      </c>
      <c r="GA26" s="272">
        <v>504404</v>
      </c>
      <c r="GB26" s="272">
        <v>2549430</v>
      </c>
      <c r="GC26" s="272"/>
      <c r="GD26" s="272">
        <v>14610190</v>
      </c>
      <c r="GE26" s="384">
        <f t="shared" si="17"/>
        <v>74.5</v>
      </c>
      <c r="GF26" s="388">
        <v>97.5</v>
      </c>
      <c r="GG26" s="388">
        <v>32</v>
      </c>
      <c r="GH26" s="388">
        <v>94.7</v>
      </c>
      <c r="GI26" s="272">
        <v>756</v>
      </c>
    </row>
    <row r="27" spans="2:191" x14ac:dyDescent="0.15">
      <c r="B27" s="89" t="s">
        <v>47</v>
      </c>
      <c r="C27" s="272">
        <v>23104139</v>
      </c>
      <c r="D27" s="455">
        <f t="shared" si="0"/>
        <v>6328547</v>
      </c>
      <c r="E27" s="272">
        <v>107573</v>
      </c>
      <c r="F27" s="272">
        <v>6220974</v>
      </c>
      <c r="G27" s="455">
        <f t="shared" si="1"/>
        <v>3420419</v>
      </c>
      <c r="H27" s="272">
        <v>387610</v>
      </c>
      <c r="I27" s="272">
        <v>3032809</v>
      </c>
      <c r="J27" s="272">
        <v>10084592</v>
      </c>
      <c r="K27" s="272">
        <v>5352352</v>
      </c>
      <c r="L27" s="272">
        <v>3012417</v>
      </c>
      <c r="M27" s="272">
        <v>1631303</v>
      </c>
      <c r="N27" s="272">
        <v>895199</v>
      </c>
      <c r="O27" s="272">
        <v>2263498</v>
      </c>
      <c r="P27" s="272">
        <v>1585980</v>
      </c>
      <c r="Q27" s="272">
        <v>677518</v>
      </c>
      <c r="R27" s="272">
        <v>1056705</v>
      </c>
      <c r="S27" s="272">
        <v>823970</v>
      </c>
      <c r="T27" s="455">
        <f t="shared" si="2"/>
        <v>942953</v>
      </c>
      <c r="U27" s="272">
        <v>592102</v>
      </c>
      <c r="V27" s="272"/>
      <c r="W27" s="272"/>
      <c r="X27" s="272"/>
      <c r="Y27" s="272">
        <v>0</v>
      </c>
      <c r="Z27" s="272">
        <v>4441</v>
      </c>
      <c r="AA27" s="272">
        <v>346410</v>
      </c>
      <c r="AB27" s="272"/>
      <c r="AC27" s="272">
        <v>2064771</v>
      </c>
      <c r="AD27" s="272">
        <v>1913734</v>
      </c>
      <c r="AE27" s="272">
        <v>151037</v>
      </c>
      <c r="AF27" s="272">
        <v>29998</v>
      </c>
      <c r="AG27" s="272">
        <v>209547</v>
      </c>
      <c r="AH27" s="455">
        <f t="shared" si="3"/>
        <v>504291</v>
      </c>
      <c r="AI27" s="272">
        <v>337013</v>
      </c>
      <c r="AJ27" s="272">
        <v>167278</v>
      </c>
      <c r="AK27" s="272">
        <v>4595281</v>
      </c>
      <c r="AL27" s="455">
        <f t="shared" si="4"/>
        <v>3110806</v>
      </c>
      <c r="AM27" s="272">
        <v>2609676</v>
      </c>
      <c r="AN27" s="272">
        <v>306081</v>
      </c>
      <c r="AO27" s="272">
        <v>0</v>
      </c>
      <c r="AP27" s="272">
        <v>195049</v>
      </c>
      <c r="AQ27" s="272">
        <v>701860</v>
      </c>
      <c r="AR27" s="272">
        <v>0</v>
      </c>
      <c r="AS27" s="272">
        <v>0</v>
      </c>
      <c r="AT27" s="272">
        <v>1678887</v>
      </c>
      <c r="AU27" s="272">
        <v>696953</v>
      </c>
      <c r="AV27" s="272">
        <v>148497</v>
      </c>
      <c r="AW27" s="272">
        <v>1241</v>
      </c>
      <c r="AX27" s="272">
        <v>981934</v>
      </c>
      <c r="AY27" s="272">
        <v>124414</v>
      </c>
      <c r="AZ27" s="272">
        <v>661987</v>
      </c>
      <c r="BA27" s="272">
        <v>6404</v>
      </c>
      <c r="BB27" s="272">
        <v>167479</v>
      </c>
      <c r="BC27" s="272">
        <v>4573318</v>
      </c>
      <c r="BD27" s="272">
        <v>1120000</v>
      </c>
      <c r="BE27" s="272">
        <v>300000</v>
      </c>
      <c r="BF27" s="272">
        <v>3153318</v>
      </c>
      <c r="BG27" s="272">
        <v>0</v>
      </c>
      <c r="BH27" s="272">
        <v>492552</v>
      </c>
      <c r="BI27" s="272">
        <v>483233</v>
      </c>
      <c r="BJ27" s="272">
        <v>360698</v>
      </c>
      <c r="BK27" s="272">
        <v>110321</v>
      </c>
      <c r="BL27" s="272">
        <v>0</v>
      </c>
      <c r="BM27" s="272">
        <v>0</v>
      </c>
      <c r="BN27" s="272">
        <v>4824000</v>
      </c>
      <c r="BO27" s="455">
        <f t="shared" si="5"/>
        <v>3661900</v>
      </c>
      <c r="BP27" s="455">
        <f t="shared" si="6"/>
        <v>1162100</v>
      </c>
      <c r="BQ27" s="272">
        <v>1162100</v>
      </c>
      <c r="BR27" s="272"/>
      <c r="BS27" s="272"/>
      <c r="BT27" s="272">
        <v>0</v>
      </c>
      <c r="BU27" s="272">
        <v>45266606</v>
      </c>
      <c r="BV27" s="272"/>
      <c r="BW27" s="272">
        <v>13041505</v>
      </c>
      <c r="BX27" s="272">
        <v>9882335</v>
      </c>
      <c r="BY27" s="272">
        <v>926756</v>
      </c>
      <c r="BZ27" s="272">
        <v>162426</v>
      </c>
      <c r="CA27" s="272">
        <v>6065091</v>
      </c>
      <c r="CB27" s="272">
        <v>547207</v>
      </c>
      <c r="CC27" s="272">
        <v>886990</v>
      </c>
      <c r="CD27" s="272">
        <v>1123643</v>
      </c>
      <c r="CE27" s="272">
        <v>3419462</v>
      </c>
      <c r="CF27" s="272">
        <v>51</v>
      </c>
      <c r="CG27" s="272">
        <v>86109</v>
      </c>
      <c r="CH27" s="272">
        <v>2721117</v>
      </c>
      <c r="CI27" s="272">
        <v>1396791</v>
      </c>
      <c r="CJ27" s="455">
        <f t="shared" si="7"/>
        <v>1324326</v>
      </c>
      <c r="CK27" s="272">
        <v>3709582</v>
      </c>
      <c r="CL27" s="272">
        <v>2066747</v>
      </c>
      <c r="CM27" s="272">
        <v>94413</v>
      </c>
      <c r="CN27" s="272">
        <v>1011538</v>
      </c>
      <c r="CO27" s="272">
        <v>591950</v>
      </c>
      <c r="CP27" s="272">
        <v>3228610</v>
      </c>
      <c r="CQ27" s="272">
        <v>1947495</v>
      </c>
      <c r="CR27" s="272">
        <v>557110</v>
      </c>
      <c r="CS27" s="272">
        <v>330037</v>
      </c>
      <c r="CT27" s="455">
        <f t="shared" si="8"/>
        <v>12828</v>
      </c>
      <c r="CU27" s="272">
        <v>12828</v>
      </c>
      <c r="CV27" s="272">
        <v>0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8062250</v>
      </c>
      <c r="DD27" s="272">
        <v>1085770</v>
      </c>
      <c r="DE27" s="272">
        <v>6901733</v>
      </c>
      <c r="DF27" s="272">
        <v>0</v>
      </c>
      <c r="DG27" s="272">
        <v>27988</v>
      </c>
      <c r="DH27" s="272">
        <v>172</v>
      </c>
      <c r="DI27" s="272">
        <v>3843758</v>
      </c>
      <c r="DJ27" s="272">
        <v>2607620</v>
      </c>
      <c r="DK27" s="272">
        <v>297077</v>
      </c>
      <c r="DL27" s="272">
        <v>939061</v>
      </c>
      <c r="DM27" s="272">
        <v>0</v>
      </c>
      <c r="DN27" s="272">
        <v>0</v>
      </c>
      <c r="DO27" s="272">
        <v>0</v>
      </c>
      <c r="DP27" s="272">
        <v>0</v>
      </c>
      <c r="DQ27" s="272">
        <v>106500</v>
      </c>
      <c r="DR27" s="272">
        <v>0</v>
      </c>
      <c r="DS27" s="272">
        <v>0</v>
      </c>
      <c r="DT27" s="272">
        <v>3258251</v>
      </c>
      <c r="DU27" s="272">
        <v>1804100</v>
      </c>
      <c r="DV27" s="455">
        <f t="shared" si="11"/>
        <v>0</v>
      </c>
      <c r="DW27" s="272">
        <v>0</v>
      </c>
      <c r="DX27" s="272">
        <v>0</v>
      </c>
      <c r="DY27" s="272">
        <v>0</v>
      </c>
      <c r="DZ27" s="272">
        <v>1086383</v>
      </c>
      <c r="EA27" s="272">
        <v>363995</v>
      </c>
      <c r="EB27" s="272"/>
      <c r="EC27" s="272">
        <v>0</v>
      </c>
      <c r="ED27" s="272">
        <v>44628786</v>
      </c>
      <c r="EF27" s="272">
        <v>637820</v>
      </c>
      <c r="EG27" s="272">
        <v>1810</v>
      </c>
      <c r="EH27" s="272">
        <v>636010</v>
      </c>
      <c r="EI27" s="272">
        <v>152777</v>
      </c>
      <c r="EJ27" s="272">
        <v>1640397</v>
      </c>
      <c r="EL27" s="272">
        <v>140506</v>
      </c>
      <c r="EM27" s="272">
        <v>139187</v>
      </c>
      <c r="EN27" s="272">
        <v>3088409</v>
      </c>
      <c r="EO27" s="272">
        <v>9835</v>
      </c>
      <c r="EP27" s="455">
        <f t="shared" si="12"/>
        <v>1073042</v>
      </c>
      <c r="EQ27" s="272">
        <v>27198566</v>
      </c>
      <c r="ER27" s="272">
        <v>-5303388</v>
      </c>
      <c r="ES27" s="272">
        <v>12227098</v>
      </c>
      <c r="ET27" s="272">
        <v>9132116</v>
      </c>
      <c r="EU27" s="272">
        <v>1730729</v>
      </c>
      <c r="EV27" s="272">
        <v>2691965</v>
      </c>
      <c r="EW27" s="455">
        <f t="shared" si="13"/>
        <v>2260107</v>
      </c>
      <c r="EX27" s="272">
        <v>2259935</v>
      </c>
      <c r="EY27" s="272">
        <v>162149</v>
      </c>
      <c r="EZ27" s="272">
        <v>2074827</v>
      </c>
      <c r="FA27" s="272">
        <v>172</v>
      </c>
      <c r="FB27" s="272"/>
      <c r="FC27" s="272">
        <v>3057035</v>
      </c>
      <c r="FD27" s="272">
        <v>2988926</v>
      </c>
      <c r="FE27" s="272">
        <v>1947495</v>
      </c>
      <c r="FF27" s="272">
        <v>3135935</v>
      </c>
      <c r="FG27" s="455">
        <f t="shared" si="14"/>
        <v>3772339</v>
      </c>
      <c r="FH27" s="272">
        <v>31864134</v>
      </c>
      <c r="FI27" s="384">
        <f t="shared" si="15"/>
        <v>2.6</v>
      </c>
      <c r="FJ27" s="272">
        <v>24319449</v>
      </c>
      <c r="FK27" s="272"/>
      <c r="FL27" s="272">
        <v>16869495</v>
      </c>
      <c r="FM27" s="272">
        <v>18801973</v>
      </c>
      <c r="FN27" s="460">
        <v>0.91600000000000004</v>
      </c>
      <c r="FO27" s="388">
        <v>98.4</v>
      </c>
      <c r="FP27" s="388">
        <v>48.1</v>
      </c>
      <c r="FQ27" s="388">
        <v>7</v>
      </c>
      <c r="FR27" s="388">
        <v>10.8</v>
      </c>
      <c r="FS27" s="388">
        <v>10.8</v>
      </c>
      <c r="FT27" s="388">
        <v>11.2</v>
      </c>
      <c r="FU27" s="388">
        <v>8.1999999999999993</v>
      </c>
      <c r="FV27" s="388">
        <v>8.1999999999999993</v>
      </c>
      <c r="FW27" s="272">
        <v>30168273</v>
      </c>
      <c r="FX27" s="384">
        <f t="shared" si="16"/>
        <v>124</v>
      </c>
      <c r="FY27" s="272">
        <v>17120729</v>
      </c>
      <c r="FZ27" s="272">
        <v>5027647</v>
      </c>
      <c r="GA27" s="272">
        <v>1933587</v>
      </c>
      <c r="GB27" s="272">
        <v>10159495</v>
      </c>
      <c r="GC27" s="272"/>
      <c r="GD27" s="272">
        <v>12083875</v>
      </c>
      <c r="GE27" s="384">
        <f t="shared" si="17"/>
        <v>49.7</v>
      </c>
      <c r="GF27" s="388">
        <v>97.5</v>
      </c>
      <c r="GG27" s="388">
        <v>27.3</v>
      </c>
      <c r="GH27" s="388">
        <v>92.9</v>
      </c>
      <c r="GI27" s="272">
        <v>1275</v>
      </c>
    </row>
    <row r="28" spans="2:191" x14ac:dyDescent="0.15">
      <c r="B28" s="89" t="s">
        <v>49</v>
      </c>
      <c r="C28" s="272">
        <v>18143225</v>
      </c>
      <c r="D28" s="455">
        <f t="shared" si="0"/>
        <v>4784110</v>
      </c>
      <c r="E28" s="272">
        <v>69260</v>
      </c>
      <c r="F28" s="272">
        <v>4714850</v>
      </c>
      <c r="G28" s="455">
        <f t="shared" si="1"/>
        <v>2178800</v>
      </c>
      <c r="H28" s="272">
        <v>327464</v>
      </c>
      <c r="I28" s="272">
        <v>1851336</v>
      </c>
      <c r="J28" s="272">
        <v>8835892</v>
      </c>
      <c r="K28" s="272">
        <v>4353391</v>
      </c>
      <c r="L28" s="272">
        <v>2393682</v>
      </c>
      <c r="M28" s="272">
        <v>2006221</v>
      </c>
      <c r="N28" s="272">
        <v>524747</v>
      </c>
      <c r="O28" s="272">
        <v>1756215</v>
      </c>
      <c r="P28" s="272">
        <v>1215523</v>
      </c>
      <c r="Q28" s="272">
        <v>540692</v>
      </c>
      <c r="R28" s="272">
        <v>678999</v>
      </c>
      <c r="S28" s="272">
        <v>503764</v>
      </c>
      <c r="T28" s="455">
        <f t="shared" si="2"/>
        <v>696942</v>
      </c>
      <c r="U28" s="272">
        <v>429033</v>
      </c>
      <c r="V28" s="272"/>
      <c r="W28" s="272"/>
      <c r="X28" s="272"/>
      <c r="Y28" s="272">
        <v>6124</v>
      </c>
      <c r="Z28" s="272">
        <v>1142</v>
      </c>
      <c r="AA28" s="272">
        <v>260643</v>
      </c>
      <c r="AB28" s="272"/>
      <c r="AC28" s="272">
        <v>290096</v>
      </c>
      <c r="AD28" s="272">
        <v>0</v>
      </c>
      <c r="AE28" s="272">
        <v>290096</v>
      </c>
      <c r="AF28" s="272">
        <v>22168</v>
      </c>
      <c r="AG28" s="272">
        <v>228574</v>
      </c>
      <c r="AH28" s="455">
        <f t="shared" si="3"/>
        <v>557784</v>
      </c>
      <c r="AI28" s="272">
        <v>406749</v>
      </c>
      <c r="AJ28" s="272">
        <v>151035</v>
      </c>
      <c r="AK28" s="272">
        <v>2396583</v>
      </c>
      <c r="AL28" s="455">
        <f t="shared" si="4"/>
        <v>1232362</v>
      </c>
      <c r="AM28" s="272">
        <v>724457</v>
      </c>
      <c r="AN28" s="272">
        <v>359147</v>
      </c>
      <c r="AO28" s="272">
        <v>0</v>
      </c>
      <c r="AP28" s="272">
        <v>148758</v>
      </c>
      <c r="AQ28" s="272">
        <v>832532</v>
      </c>
      <c r="AR28" s="272">
        <v>0</v>
      </c>
      <c r="AS28" s="272">
        <v>0</v>
      </c>
      <c r="AT28" s="272">
        <v>2051425</v>
      </c>
      <c r="AU28" s="272">
        <v>782181</v>
      </c>
      <c r="AV28" s="272">
        <v>132783</v>
      </c>
      <c r="AW28" s="272">
        <v>452183</v>
      </c>
      <c r="AX28" s="272">
        <v>1269244</v>
      </c>
      <c r="AY28" s="272">
        <v>754241</v>
      </c>
      <c r="AZ28" s="272">
        <v>667754</v>
      </c>
      <c r="BA28" s="272">
        <v>520451</v>
      </c>
      <c r="BB28" s="272">
        <v>120977</v>
      </c>
      <c r="BC28" s="272">
        <v>716440</v>
      </c>
      <c r="BD28" s="272">
        <v>400000</v>
      </c>
      <c r="BE28" s="272">
        <v>0</v>
      </c>
      <c r="BF28" s="272">
        <v>306196</v>
      </c>
      <c r="BG28" s="272">
        <v>0</v>
      </c>
      <c r="BH28" s="272">
        <v>458685</v>
      </c>
      <c r="BI28" s="272">
        <v>259682</v>
      </c>
      <c r="BJ28" s="272">
        <v>412609</v>
      </c>
      <c r="BK28" s="272">
        <v>146445</v>
      </c>
      <c r="BL28" s="272">
        <v>48800</v>
      </c>
      <c r="BM28" s="272">
        <v>0</v>
      </c>
      <c r="BN28" s="272">
        <v>5281200</v>
      </c>
      <c r="BO28" s="455">
        <f t="shared" si="5"/>
        <v>4408100</v>
      </c>
      <c r="BP28" s="455">
        <f t="shared" si="6"/>
        <v>873100</v>
      </c>
      <c r="BQ28" s="272">
        <v>873100</v>
      </c>
      <c r="BR28" s="272"/>
      <c r="BS28" s="272"/>
      <c r="BT28" s="272">
        <v>0</v>
      </c>
      <c r="BU28" s="272">
        <v>32723461</v>
      </c>
      <c r="BV28" s="272"/>
      <c r="BW28" s="272">
        <v>7804499</v>
      </c>
      <c r="BX28" s="272">
        <v>5987352</v>
      </c>
      <c r="BY28" s="272">
        <v>255148</v>
      </c>
      <c r="BZ28" s="272">
        <v>167579</v>
      </c>
      <c r="CA28" s="272">
        <v>2488713</v>
      </c>
      <c r="CB28" s="272">
        <v>256435</v>
      </c>
      <c r="CC28" s="272">
        <v>499150</v>
      </c>
      <c r="CD28" s="272">
        <v>756774</v>
      </c>
      <c r="CE28" s="272">
        <v>946204</v>
      </c>
      <c r="CF28" s="272">
        <v>0</v>
      </c>
      <c r="CG28" s="272">
        <v>30150</v>
      </c>
      <c r="CH28" s="272">
        <v>2954721</v>
      </c>
      <c r="CI28" s="272">
        <v>1313818</v>
      </c>
      <c r="CJ28" s="455">
        <f t="shared" si="7"/>
        <v>1640903</v>
      </c>
      <c r="CK28" s="272">
        <v>3986712</v>
      </c>
      <c r="CL28" s="272">
        <v>2074439</v>
      </c>
      <c r="CM28" s="272">
        <v>250267</v>
      </c>
      <c r="CN28" s="272">
        <v>932433</v>
      </c>
      <c r="CO28" s="272">
        <v>331771</v>
      </c>
      <c r="CP28" s="272">
        <v>1387421</v>
      </c>
      <c r="CQ28" s="272">
        <v>11676</v>
      </c>
      <c r="CR28" s="272">
        <v>471227</v>
      </c>
      <c r="CS28" s="272">
        <v>365575</v>
      </c>
      <c r="CT28" s="455">
        <f t="shared" si="8"/>
        <v>21291</v>
      </c>
      <c r="CU28" s="272">
        <v>21291</v>
      </c>
      <c r="CV28" s="272">
        <v>0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8230881</v>
      </c>
      <c r="DD28" s="272">
        <v>1578071</v>
      </c>
      <c r="DE28" s="272">
        <v>5876203</v>
      </c>
      <c r="DF28" s="272">
        <v>0</v>
      </c>
      <c r="DG28" s="272">
        <v>776607</v>
      </c>
      <c r="DH28" s="272">
        <v>0</v>
      </c>
      <c r="DI28" s="272">
        <v>827472</v>
      </c>
      <c r="DJ28" s="272">
        <v>435948</v>
      </c>
      <c r="DK28" s="272">
        <v>29580</v>
      </c>
      <c r="DL28" s="272">
        <v>361944</v>
      </c>
      <c r="DM28" s="272">
        <v>0</v>
      </c>
      <c r="DN28" s="272">
        <v>0</v>
      </c>
      <c r="DO28" s="272">
        <v>0</v>
      </c>
      <c r="DP28" s="272">
        <v>0</v>
      </c>
      <c r="DQ28" s="272">
        <v>155074</v>
      </c>
      <c r="DR28" s="272">
        <v>0</v>
      </c>
      <c r="DS28" s="272">
        <v>0</v>
      </c>
      <c r="DT28" s="272">
        <v>4066488</v>
      </c>
      <c r="DU28" s="272">
        <v>3180535</v>
      </c>
      <c r="DV28" s="455">
        <f t="shared" si="11"/>
        <v>0</v>
      </c>
      <c r="DW28" s="272">
        <v>0</v>
      </c>
      <c r="DX28" s="272">
        <v>0</v>
      </c>
      <c r="DY28" s="272">
        <v>128145</v>
      </c>
      <c r="DZ28" s="272">
        <v>500582</v>
      </c>
      <c r="EA28" s="272">
        <v>247771</v>
      </c>
      <c r="EB28" s="272"/>
      <c r="EC28" s="272">
        <v>0</v>
      </c>
      <c r="ED28" s="272">
        <v>32233752</v>
      </c>
      <c r="EF28" s="272">
        <v>489709</v>
      </c>
      <c r="EG28" s="272">
        <v>383121</v>
      </c>
      <c r="EH28" s="272">
        <v>106588</v>
      </c>
      <c r="EI28" s="272">
        <v>-153094</v>
      </c>
      <c r="EJ28" s="272">
        <v>-117146</v>
      </c>
      <c r="EL28" s="272">
        <v>87330</v>
      </c>
      <c r="EM28" s="272">
        <v>85611</v>
      </c>
      <c r="EN28" s="272">
        <v>410244</v>
      </c>
      <c r="EO28" s="272">
        <v>298973</v>
      </c>
      <c r="EP28" s="455">
        <f t="shared" si="12"/>
        <v>802491</v>
      </c>
      <c r="EQ28" s="272">
        <v>19831430</v>
      </c>
      <c r="ER28" s="272">
        <v>-2362640</v>
      </c>
      <c r="ES28" s="272">
        <v>7241540</v>
      </c>
      <c r="ET28" s="272">
        <v>5492049</v>
      </c>
      <c r="EU28" s="272">
        <v>714789</v>
      </c>
      <c r="EV28" s="272">
        <v>2954721</v>
      </c>
      <c r="EW28" s="455">
        <f t="shared" si="13"/>
        <v>1422354</v>
      </c>
      <c r="EX28" s="272">
        <v>1422354</v>
      </c>
      <c r="EY28" s="272">
        <v>93431</v>
      </c>
      <c r="EZ28" s="272">
        <v>1328923</v>
      </c>
      <c r="FA28" s="272">
        <v>0</v>
      </c>
      <c r="FB28" s="272"/>
      <c r="FC28" s="272">
        <v>3269819</v>
      </c>
      <c r="FD28" s="272">
        <v>1279040</v>
      </c>
      <c r="FE28" s="272">
        <v>11676</v>
      </c>
      <c r="FF28" s="272">
        <v>3999718</v>
      </c>
      <c r="FG28" s="455">
        <f t="shared" si="14"/>
        <v>847280</v>
      </c>
      <c r="FH28" s="272">
        <v>21729261</v>
      </c>
      <c r="FI28" s="384">
        <f t="shared" si="15"/>
        <v>0.6</v>
      </c>
      <c r="FJ28" s="272">
        <v>18309645</v>
      </c>
      <c r="FK28" s="272"/>
      <c r="FL28" s="272">
        <v>13779050</v>
      </c>
      <c r="FM28" s="272">
        <v>13664013</v>
      </c>
      <c r="FN28" s="460">
        <v>1.0229999999999999</v>
      </c>
      <c r="FO28" s="388">
        <v>99.5</v>
      </c>
      <c r="FP28" s="388">
        <v>39.9</v>
      </c>
      <c r="FQ28" s="388">
        <v>4</v>
      </c>
      <c r="FR28" s="388">
        <v>16.5</v>
      </c>
      <c r="FS28" s="388">
        <v>17</v>
      </c>
      <c r="FT28" s="388">
        <v>6.3</v>
      </c>
      <c r="FU28" s="388">
        <v>13.8</v>
      </c>
      <c r="FV28" s="388">
        <v>10.6</v>
      </c>
      <c r="FW28" s="272">
        <v>36557375</v>
      </c>
      <c r="FX28" s="384">
        <f t="shared" si="16"/>
        <v>199.7</v>
      </c>
      <c r="FY28" s="272">
        <v>11252051</v>
      </c>
      <c r="FZ28" s="272">
        <v>4735940</v>
      </c>
      <c r="GA28" s="272">
        <v>2357718</v>
      </c>
      <c r="GB28" s="272">
        <v>4158393</v>
      </c>
      <c r="GC28" s="272"/>
      <c r="GD28" s="272">
        <v>6469170</v>
      </c>
      <c r="GE28" s="384">
        <f t="shared" si="17"/>
        <v>35.299999999999997</v>
      </c>
      <c r="GF28" s="388">
        <v>98.3</v>
      </c>
      <c r="GG28" s="388">
        <v>32.4</v>
      </c>
      <c r="GH28" s="388">
        <v>96</v>
      </c>
      <c r="GI28" s="272">
        <v>787</v>
      </c>
    </row>
    <row r="29" spans="2:191" x14ac:dyDescent="0.15">
      <c r="B29" s="89" t="s">
        <v>51</v>
      </c>
      <c r="C29" s="272">
        <v>15122519</v>
      </c>
      <c r="D29" s="455">
        <f t="shared" si="0"/>
        <v>3572655</v>
      </c>
      <c r="E29" s="272">
        <v>47554</v>
      </c>
      <c r="F29" s="272">
        <v>3525101</v>
      </c>
      <c r="G29" s="455">
        <f t="shared" si="1"/>
        <v>707682</v>
      </c>
      <c r="H29" s="272">
        <v>142444</v>
      </c>
      <c r="I29" s="272">
        <v>565238</v>
      </c>
      <c r="J29" s="272">
        <v>8715987</v>
      </c>
      <c r="K29" s="272">
        <v>5333010</v>
      </c>
      <c r="L29" s="272">
        <v>1294735</v>
      </c>
      <c r="M29" s="272">
        <v>2051226</v>
      </c>
      <c r="N29" s="272">
        <v>335154</v>
      </c>
      <c r="O29" s="272">
        <v>1726979</v>
      </c>
      <c r="P29" s="272">
        <v>1430319</v>
      </c>
      <c r="Q29" s="272">
        <v>296660</v>
      </c>
      <c r="R29" s="272">
        <v>441484</v>
      </c>
      <c r="S29" s="272">
        <v>285480</v>
      </c>
      <c r="T29" s="455">
        <f t="shared" si="2"/>
        <v>516088</v>
      </c>
      <c r="U29" s="272">
        <v>324966</v>
      </c>
      <c r="V29" s="272"/>
      <c r="W29" s="272"/>
      <c r="X29" s="272"/>
      <c r="Y29" s="272">
        <v>0</v>
      </c>
      <c r="Z29" s="272">
        <v>16055</v>
      </c>
      <c r="AA29" s="272">
        <v>175067</v>
      </c>
      <c r="AB29" s="272"/>
      <c r="AC29" s="272">
        <v>43016</v>
      </c>
      <c r="AD29" s="272">
        <v>0</v>
      </c>
      <c r="AE29" s="272">
        <v>43016</v>
      </c>
      <c r="AF29" s="272">
        <v>12308</v>
      </c>
      <c r="AG29" s="272">
        <v>99417</v>
      </c>
      <c r="AH29" s="455">
        <f t="shared" si="3"/>
        <v>326584</v>
      </c>
      <c r="AI29" s="272">
        <v>307275</v>
      </c>
      <c r="AJ29" s="272">
        <v>19309</v>
      </c>
      <c r="AK29" s="272">
        <v>1694154</v>
      </c>
      <c r="AL29" s="455">
        <f t="shared" si="4"/>
        <v>933705</v>
      </c>
      <c r="AM29" s="272">
        <v>669557</v>
      </c>
      <c r="AN29" s="272">
        <v>143719</v>
      </c>
      <c r="AO29" s="272">
        <v>0</v>
      </c>
      <c r="AP29" s="272">
        <v>120429</v>
      </c>
      <c r="AQ29" s="272">
        <v>109130</v>
      </c>
      <c r="AR29" s="272">
        <v>72704</v>
      </c>
      <c r="AS29" s="272">
        <v>0</v>
      </c>
      <c r="AT29" s="272">
        <v>1019139</v>
      </c>
      <c r="AU29" s="272">
        <v>363704</v>
      </c>
      <c r="AV29" s="272">
        <v>87509</v>
      </c>
      <c r="AW29" s="272">
        <v>0</v>
      </c>
      <c r="AX29" s="272">
        <v>655435</v>
      </c>
      <c r="AY29" s="272">
        <v>98496</v>
      </c>
      <c r="AZ29" s="272">
        <v>430712</v>
      </c>
      <c r="BA29" s="272">
        <v>112145</v>
      </c>
      <c r="BB29" s="272">
        <v>93707</v>
      </c>
      <c r="BC29" s="272">
        <v>1132996</v>
      </c>
      <c r="BD29" s="272">
        <v>600000</v>
      </c>
      <c r="BE29" s="272">
        <v>0</v>
      </c>
      <c r="BF29" s="272">
        <v>532995</v>
      </c>
      <c r="BG29" s="272">
        <v>0</v>
      </c>
      <c r="BH29" s="272">
        <v>832761</v>
      </c>
      <c r="BI29" s="272">
        <v>372659</v>
      </c>
      <c r="BJ29" s="272">
        <v>196520</v>
      </c>
      <c r="BK29" s="272">
        <v>51015</v>
      </c>
      <c r="BL29" s="272">
        <v>0</v>
      </c>
      <c r="BM29" s="272">
        <v>0</v>
      </c>
      <c r="BN29" s="272">
        <v>1596400</v>
      </c>
      <c r="BO29" s="455">
        <f t="shared" si="5"/>
        <v>977200</v>
      </c>
      <c r="BP29" s="455">
        <f t="shared" si="6"/>
        <v>619200</v>
      </c>
      <c r="BQ29" s="272">
        <v>619200</v>
      </c>
      <c r="BR29" s="272"/>
      <c r="BS29" s="272"/>
      <c r="BT29" s="272">
        <v>0</v>
      </c>
      <c r="BU29" s="272">
        <v>23557805</v>
      </c>
      <c r="BV29" s="272"/>
      <c r="BW29" s="272">
        <v>5991601</v>
      </c>
      <c r="BX29" s="272">
        <v>4640089</v>
      </c>
      <c r="BY29" s="272">
        <v>119957</v>
      </c>
      <c r="BZ29" s="272">
        <v>138330</v>
      </c>
      <c r="CA29" s="272">
        <v>2279986</v>
      </c>
      <c r="CB29" s="272">
        <v>266137</v>
      </c>
      <c r="CC29" s="272">
        <v>582407</v>
      </c>
      <c r="CD29" s="272">
        <v>515625</v>
      </c>
      <c r="CE29" s="272">
        <v>884584</v>
      </c>
      <c r="CF29" s="272">
        <v>0</v>
      </c>
      <c r="CG29" s="272">
        <v>31233</v>
      </c>
      <c r="CH29" s="272">
        <v>612392</v>
      </c>
      <c r="CI29" s="272">
        <v>287045</v>
      </c>
      <c r="CJ29" s="455">
        <f t="shared" si="7"/>
        <v>325347</v>
      </c>
      <c r="CK29" s="272">
        <v>2515801</v>
      </c>
      <c r="CL29" s="272">
        <v>1517061</v>
      </c>
      <c r="CM29" s="272">
        <v>65863</v>
      </c>
      <c r="CN29" s="272">
        <v>545357</v>
      </c>
      <c r="CO29" s="272">
        <v>37284</v>
      </c>
      <c r="CP29" s="272">
        <v>3127003</v>
      </c>
      <c r="CQ29" s="272">
        <v>1969393</v>
      </c>
      <c r="CR29" s="272">
        <v>517864</v>
      </c>
      <c r="CS29" s="272">
        <v>517864</v>
      </c>
      <c r="CT29" s="455">
        <f t="shared" si="8"/>
        <v>60176</v>
      </c>
      <c r="CU29" s="272">
        <v>7077</v>
      </c>
      <c r="CV29" s="272">
        <v>53099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4433751</v>
      </c>
      <c r="DD29" s="272">
        <v>316313</v>
      </c>
      <c r="DE29" s="272">
        <v>4117438</v>
      </c>
      <c r="DF29" s="272">
        <v>0</v>
      </c>
      <c r="DG29" s="272">
        <v>0</v>
      </c>
      <c r="DH29" s="272">
        <v>146607</v>
      </c>
      <c r="DI29" s="272">
        <v>1736102</v>
      </c>
      <c r="DJ29" s="272">
        <v>261406</v>
      </c>
      <c r="DK29" s="272">
        <v>0</v>
      </c>
      <c r="DL29" s="272">
        <v>1474696</v>
      </c>
      <c r="DM29" s="272">
        <v>0</v>
      </c>
      <c r="DN29" s="272">
        <v>0</v>
      </c>
      <c r="DO29" s="272">
        <v>0</v>
      </c>
      <c r="DP29" s="272">
        <v>0</v>
      </c>
      <c r="DQ29" s="272">
        <v>71015</v>
      </c>
      <c r="DR29" s="272">
        <v>0</v>
      </c>
      <c r="DS29" s="272">
        <v>0</v>
      </c>
      <c r="DT29" s="272">
        <v>2173130</v>
      </c>
      <c r="DU29" s="272">
        <v>1473755</v>
      </c>
      <c r="DV29" s="455">
        <f t="shared" si="11"/>
        <v>0</v>
      </c>
      <c r="DW29" s="272">
        <v>0</v>
      </c>
      <c r="DX29" s="272">
        <v>0</v>
      </c>
      <c r="DY29" s="272">
        <v>0</v>
      </c>
      <c r="DZ29" s="272">
        <v>452191</v>
      </c>
      <c r="EA29" s="272">
        <v>237653</v>
      </c>
      <c r="EB29" s="272"/>
      <c r="EC29" s="272">
        <v>0</v>
      </c>
      <c r="ED29" s="272">
        <v>23124672</v>
      </c>
      <c r="EF29" s="272">
        <v>433133</v>
      </c>
      <c r="EG29" s="272">
        <v>100271</v>
      </c>
      <c r="EH29" s="272">
        <v>332862</v>
      </c>
      <c r="EI29" s="272">
        <v>-39797</v>
      </c>
      <c r="EJ29" s="272">
        <v>-378391</v>
      </c>
      <c r="EL29" s="272">
        <v>64295</v>
      </c>
      <c r="EM29" s="272">
        <v>64023</v>
      </c>
      <c r="EN29" s="272">
        <v>600000</v>
      </c>
      <c r="EO29" s="272">
        <v>126971</v>
      </c>
      <c r="EP29" s="455">
        <f t="shared" si="12"/>
        <v>1091289</v>
      </c>
      <c r="EQ29" s="272">
        <v>16135415</v>
      </c>
      <c r="ER29" s="272">
        <v>-2425152</v>
      </c>
      <c r="ES29" s="272">
        <v>5521537</v>
      </c>
      <c r="ET29" s="272">
        <v>4203077</v>
      </c>
      <c r="EU29" s="272">
        <v>740865</v>
      </c>
      <c r="EV29" s="272">
        <v>599872</v>
      </c>
      <c r="EW29" s="455">
        <f t="shared" si="13"/>
        <v>2636941</v>
      </c>
      <c r="EX29" s="272">
        <v>2617411</v>
      </c>
      <c r="EY29" s="272">
        <v>120781</v>
      </c>
      <c r="EZ29" s="272">
        <v>2496630</v>
      </c>
      <c r="FA29" s="272">
        <v>19530</v>
      </c>
      <c r="FB29" s="272"/>
      <c r="FC29" s="272">
        <v>2026383</v>
      </c>
      <c r="FD29" s="272">
        <v>3035515</v>
      </c>
      <c r="FE29" s="272">
        <v>1969393</v>
      </c>
      <c r="FF29" s="272">
        <v>2109401</v>
      </c>
      <c r="FG29" s="455">
        <f t="shared" si="14"/>
        <v>1471863</v>
      </c>
      <c r="FH29" s="272">
        <v>18142377</v>
      </c>
      <c r="FI29" s="384">
        <f t="shared" si="15"/>
        <v>2.2999999999999998</v>
      </c>
      <c r="FJ29" s="272">
        <v>14570770</v>
      </c>
      <c r="FK29" s="272"/>
      <c r="FL29" s="272">
        <v>10965725</v>
      </c>
      <c r="FM29" s="272">
        <v>9217184</v>
      </c>
      <c r="FN29" s="460">
        <v>1.2070000000000001</v>
      </c>
      <c r="FO29" s="388">
        <v>87.7</v>
      </c>
      <c r="FP29" s="388">
        <v>37.700000000000003</v>
      </c>
      <c r="FQ29" s="388">
        <v>5.0999999999999996</v>
      </c>
      <c r="FR29" s="388">
        <v>4.2</v>
      </c>
      <c r="FS29" s="388">
        <v>13.9</v>
      </c>
      <c r="FT29" s="388">
        <v>18.399999999999999</v>
      </c>
      <c r="FU29" s="388">
        <v>8.1999999999999993</v>
      </c>
      <c r="FV29" s="388">
        <v>3.4</v>
      </c>
      <c r="FW29" s="272">
        <v>8571406</v>
      </c>
      <c r="FX29" s="384">
        <f t="shared" si="16"/>
        <v>58.8</v>
      </c>
      <c r="FY29" s="272">
        <v>15222395</v>
      </c>
      <c r="FZ29" s="272">
        <v>4939033</v>
      </c>
      <c r="GA29" s="272"/>
      <c r="GB29" s="272">
        <v>10283362</v>
      </c>
      <c r="GC29" s="272"/>
      <c r="GD29" s="272">
        <v>20096404</v>
      </c>
      <c r="GE29" s="384">
        <f t="shared" si="17"/>
        <v>137.9</v>
      </c>
      <c r="GF29" s="388">
        <v>98</v>
      </c>
      <c r="GG29" s="388">
        <v>29.7</v>
      </c>
      <c r="GH29" s="388">
        <v>95.1</v>
      </c>
      <c r="GI29" s="272">
        <v>615</v>
      </c>
    </row>
    <row r="30" spans="2:191" x14ac:dyDescent="0.15">
      <c r="B30" s="89" t="s">
        <v>53</v>
      </c>
      <c r="C30" s="272">
        <v>8913992</v>
      </c>
      <c r="D30" s="455">
        <f t="shared" si="0"/>
        <v>3786116</v>
      </c>
      <c r="E30" s="272">
        <v>48915</v>
      </c>
      <c r="F30" s="272">
        <v>3737201</v>
      </c>
      <c r="G30" s="455">
        <f t="shared" si="1"/>
        <v>626835</v>
      </c>
      <c r="H30" s="272">
        <v>140502</v>
      </c>
      <c r="I30" s="272">
        <v>486333</v>
      </c>
      <c r="J30" s="272">
        <v>3218779</v>
      </c>
      <c r="K30" s="272">
        <v>1740610</v>
      </c>
      <c r="L30" s="272">
        <v>1161370</v>
      </c>
      <c r="M30" s="272">
        <v>307200</v>
      </c>
      <c r="N30" s="272">
        <v>321001</v>
      </c>
      <c r="O30" s="272">
        <v>910568</v>
      </c>
      <c r="P30" s="272">
        <v>640296</v>
      </c>
      <c r="Q30" s="272">
        <v>270272</v>
      </c>
      <c r="R30" s="272">
        <v>407661</v>
      </c>
      <c r="S30" s="272">
        <v>286438</v>
      </c>
      <c r="T30" s="455">
        <f t="shared" si="2"/>
        <v>526577</v>
      </c>
      <c r="U30" s="272">
        <v>344109</v>
      </c>
      <c r="V30" s="272"/>
      <c r="W30" s="272"/>
      <c r="X30" s="272"/>
      <c r="Y30" s="272">
        <v>0</v>
      </c>
      <c r="Z30" s="272">
        <v>1695</v>
      </c>
      <c r="AA30" s="272">
        <v>180773</v>
      </c>
      <c r="AB30" s="272"/>
      <c r="AC30" s="272">
        <v>3060846</v>
      </c>
      <c r="AD30" s="272">
        <v>2844836</v>
      </c>
      <c r="AE30" s="272">
        <v>216010</v>
      </c>
      <c r="AF30" s="272">
        <v>18648</v>
      </c>
      <c r="AG30" s="272">
        <v>111215</v>
      </c>
      <c r="AH30" s="455">
        <f t="shared" si="3"/>
        <v>284290</v>
      </c>
      <c r="AI30" s="272">
        <v>262124</v>
      </c>
      <c r="AJ30" s="272">
        <v>22166</v>
      </c>
      <c r="AK30" s="272">
        <v>1387660</v>
      </c>
      <c r="AL30" s="455">
        <f t="shared" si="4"/>
        <v>813051</v>
      </c>
      <c r="AM30" s="272">
        <v>544585</v>
      </c>
      <c r="AN30" s="272">
        <v>131614</v>
      </c>
      <c r="AO30" s="272">
        <v>0</v>
      </c>
      <c r="AP30" s="272">
        <v>136852</v>
      </c>
      <c r="AQ30" s="272">
        <v>139934</v>
      </c>
      <c r="AR30" s="272">
        <v>0</v>
      </c>
      <c r="AS30" s="272">
        <v>0</v>
      </c>
      <c r="AT30" s="272">
        <v>980789</v>
      </c>
      <c r="AU30" s="272">
        <v>261584</v>
      </c>
      <c r="AV30" s="272">
        <v>72430</v>
      </c>
      <c r="AW30" s="272">
        <v>0</v>
      </c>
      <c r="AX30" s="272">
        <v>719205</v>
      </c>
      <c r="AY30" s="272">
        <v>203188</v>
      </c>
      <c r="AZ30" s="272">
        <v>69182</v>
      </c>
      <c r="BA30" s="272">
        <v>1772</v>
      </c>
      <c r="BB30" s="272">
        <v>127577</v>
      </c>
      <c r="BC30" s="272">
        <v>1517478</v>
      </c>
      <c r="BD30" s="272">
        <v>0</v>
      </c>
      <c r="BE30" s="272">
        <v>95000</v>
      </c>
      <c r="BF30" s="272">
        <v>1422478</v>
      </c>
      <c r="BG30" s="272">
        <v>0</v>
      </c>
      <c r="BH30" s="272">
        <v>91511</v>
      </c>
      <c r="BI30" s="272">
        <v>14153</v>
      </c>
      <c r="BJ30" s="272">
        <v>277039</v>
      </c>
      <c r="BK30" s="272">
        <v>20380</v>
      </c>
      <c r="BL30" s="272">
        <v>0</v>
      </c>
      <c r="BM30" s="272">
        <v>0</v>
      </c>
      <c r="BN30" s="272">
        <v>2035200</v>
      </c>
      <c r="BO30" s="455">
        <f t="shared" si="5"/>
        <v>1408100</v>
      </c>
      <c r="BP30" s="455">
        <f t="shared" si="6"/>
        <v>627100</v>
      </c>
      <c r="BQ30" s="272">
        <v>627100</v>
      </c>
      <c r="BR30" s="272"/>
      <c r="BS30" s="272"/>
      <c r="BT30" s="272">
        <v>0</v>
      </c>
      <c r="BU30" s="272">
        <v>19809665</v>
      </c>
      <c r="BV30" s="272"/>
      <c r="BW30" s="272">
        <v>5398951</v>
      </c>
      <c r="BX30" s="272">
        <v>3977933</v>
      </c>
      <c r="BY30" s="272">
        <v>275012</v>
      </c>
      <c r="BZ30" s="272">
        <v>179519</v>
      </c>
      <c r="CA30" s="272">
        <v>2201016</v>
      </c>
      <c r="CB30" s="272">
        <v>297795</v>
      </c>
      <c r="CC30" s="272">
        <v>779541</v>
      </c>
      <c r="CD30" s="272">
        <v>374533</v>
      </c>
      <c r="CE30" s="272">
        <v>723967</v>
      </c>
      <c r="CF30" s="272">
        <v>0</v>
      </c>
      <c r="CG30" s="272">
        <v>23670</v>
      </c>
      <c r="CH30" s="272">
        <v>1290547</v>
      </c>
      <c r="CI30" s="272">
        <v>764731</v>
      </c>
      <c r="CJ30" s="455">
        <f t="shared" si="7"/>
        <v>525816</v>
      </c>
      <c r="CK30" s="272">
        <v>2167998</v>
      </c>
      <c r="CL30" s="272">
        <v>1062036</v>
      </c>
      <c r="CM30" s="272">
        <v>210623</v>
      </c>
      <c r="CN30" s="272">
        <v>491418</v>
      </c>
      <c r="CO30" s="272">
        <v>111408</v>
      </c>
      <c r="CP30" s="272">
        <v>2640607</v>
      </c>
      <c r="CQ30" s="272">
        <v>1838367</v>
      </c>
      <c r="CR30" s="272">
        <v>222109</v>
      </c>
      <c r="CS30" s="272">
        <v>175294</v>
      </c>
      <c r="CT30" s="455">
        <f t="shared" si="8"/>
        <v>235205</v>
      </c>
      <c r="CU30" s="272">
        <v>149311</v>
      </c>
      <c r="CV30" s="272">
        <v>85894</v>
      </c>
      <c r="CW30" s="455">
        <f t="shared" si="9"/>
        <v>172719</v>
      </c>
      <c r="CX30" s="272">
        <v>145400</v>
      </c>
      <c r="CY30" s="272">
        <v>27319</v>
      </c>
      <c r="CZ30" s="455">
        <f t="shared" si="10"/>
        <v>0</v>
      </c>
      <c r="DA30" s="272">
        <v>0</v>
      </c>
      <c r="DB30" s="272">
        <v>0</v>
      </c>
      <c r="DC30" s="272">
        <v>3483720</v>
      </c>
      <c r="DD30" s="272">
        <v>604950</v>
      </c>
      <c r="DE30" s="272">
        <v>2812002</v>
      </c>
      <c r="DF30" s="272">
        <v>55181</v>
      </c>
      <c r="DG30" s="272">
        <v>11587</v>
      </c>
      <c r="DH30" s="272">
        <v>0</v>
      </c>
      <c r="DI30" s="272">
        <v>300839</v>
      </c>
      <c r="DJ30" s="272">
        <v>9508</v>
      </c>
      <c r="DK30" s="272">
        <v>8714</v>
      </c>
      <c r="DL30" s="272">
        <v>282617</v>
      </c>
      <c r="DM30" s="272">
        <v>66000</v>
      </c>
      <c r="DN30" s="272">
        <v>66000</v>
      </c>
      <c r="DO30" s="272">
        <v>66000</v>
      </c>
      <c r="DP30" s="272">
        <v>0</v>
      </c>
      <c r="DQ30" s="272">
        <v>20000</v>
      </c>
      <c r="DR30" s="272">
        <v>0</v>
      </c>
      <c r="DS30" s="272">
        <v>0</v>
      </c>
      <c r="DT30" s="272">
        <v>2060775</v>
      </c>
      <c r="DU30" s="272">
        <v>1490210</v>
      </c>
      <c r="DV30" s="455">
        <f t="shared" si="11"/>
        <v>0</v>
      </c>
      <c r="DW30" s="272">
        <v>0</v>
      </c>
      <c r="DX30" s="272">
        <v>0</v>
      </c>
      <c r="DY30" s="272">
        <v>0</v>
      </c>
      <c r="DZ30" s="272">
        <v>332260</v>
      </c>
      <c r="EA30" s="272">
        <v>238286</v>
      </c>
      <c r="EB30" s="272"/>
      <c r="EC30" s="272">
        <v>0</v>
      </c>
      <c r="ED30" s="272">
        <v>19741861</v>
      </c>
      <c r="EF30" s="272">
        <v>67804</v>
      </c>
      <c r="EG30" s="272">
        <v>48183</v>
      </c>
      <c r="EH30" s="272">
        <v>19621</v>
      </c>
      <c r="EI30" s="272">
        <v>-10532</v>
      </c>
      <c r="EJ30" s="272">
        <v>-1024</v>
      </c>
      <c r="EL30" s="272">
        <v>66988</v>
      </c>
      <c r="EM30" s="272">
        <v>66397</v>
      </c>
      <c r="EN30" s="272">
        <v>95000</v>
      </c>
      <c r="EO30" s="272">
        <v>3638</v>
      </c>
      <c r="EP30" s="455">
        <f t="shared" si="12"/>
        <v>233538</v>
      </c>
      <c r="EQ30" s="272">
        <v>12927724</v>
      </c>
      <c r="ER30" s="272">
        <v>-940628</v>
      </c>
      <c r="ES30" s="272">
        <v>5010947</v>
      </c>
      <c r="ET30" s="272">
        <v>3672264</v>
      </c>
      <c r="EU30" s="272">
        <v>752278</v>
      </c>
      <c r="EV30" s="272">
        <v>1207451</v>
      </c>
      <c r="EW30" s="455">
        <f t="shared" si="13"/>
        <v>368185</v>
      </c>
      <c r="EX30" s="272">
        <v>368185</v>
      </c>
      <c r="EY30" s="272">
        <v>23174</v>
      </c>
      <c r="EZ30" s="272">
        <v>328930</v>
      </c>
      <c r="FA30" s="272">
        <v>0</v>
      </c>
      <c r="FB30" s="272"/>
      <c r="FC30" s="272">
        <v>1798990</v>
      </c>
      <c r="FD30" s="272">
        <v>2414014</v>
      </c>
      <c r="FE30" s="272">
        <v>1768367</v>
      </c>
      <c r="FF30" s="272">
        <v>1949553</v>
      </c>
      <c r="FG30" s="455">
        <f t="shared" si="14"/>
        <v>346722</v>
      </c>
      <c r="FH30" s="272">
        <v>13848140</v>
      </c>
      <c r="FI30" s="384">
        <f t="shared" si="15"/>
        <v>0.2</v>
      </c>
      <c r="FJ30" s="272">
        <v>12112155</v>
      </c>
      <c r="FK30" s="272"/>
      <c r="FL30" s="272">
        <v>6985745</v>
      </c>
      <c r="FM30" s="272">
        <v>9840495</v>
      </c>
      <c r="FN30" s="460">
        <v>0.72499999999999998</v>
      </c>
      <c r="FO30" s="388">
        <v>95.5</v>
      </c>
      <c r="FP30" s="388">
        <v>40.1</v>
      </c>
      <c r="FQ30" s="388">
        <v>5.9</v>
      </c>
      <c r="FR30" s="388">
        <v>10.199999999999999</v>
      </c>
      <c r="FS30" s="388">
        <v>13.2</v>
      </c>
      <c r="FT30" s="388">
        <v>18</v>
      </c>
      <c r="FU30" s="388">
        <v>7.1</v>
      </c>
      <c r="FV30" s="388">
        <v>7.5</v>
      </c>
      <c r="FW30" s="272">
        <v>13231429</v>
      </c>
      <c r="FX30" s="384">
        <f t="shared" si="16"/>
        <v>109.2</v>
      </c>
      <c r="FY30" s="272">
        <v>5222082</v>
      </c>
      <c r="FZ30" s="272">
        <v>964779</v>
      </c>
      <c r="GA30" s="272">
        <v>808178</v>
      </c>
      <c r="GB30" s="272">
        <v>3449125</v>
      </c>
      <c r="GC30" s="272"/>
      <c r="GD30" s="272">
        <v>1672120</v>
      </c>
      <c r="GE30" s="384">
        <f t="shared" si="17"/>
        <v>13.8</v>
      </c>
      <c r="GF30" s="388">
        <v>96.9</v>
      </c>
      <c r="GG30" s="388">
        <v>29.8</v>
      </c>
      <c r="GH30" s="388">
        <v>91</v>
      </c>
      <c r="GI30" s="272">
        <v>570</v>
      </c>
    </row>
    <row r="31" spans="2:191" x14ac:dyDescent="0.15">
      <c r="B31" s="89" t="s">
        <v>55</v>
      </c>
      <c r="C31" s="272">
        <v>87229181</v>
      </c>
      <c r="D31" s="455">
        <f t="shared" si="0"/>
        <v>26519161</v>
      </c>
      <c r="E31" s="272">
        <v>470053</v>
      </c>
      <c r="F31" s="272">
        <v>26049108</v>
      </c>
      <c r="G31" s="455">
        <f t="shared" si="1"/>
        <v>8433334</v>
      </c>
      <c r="H31" s="272">
        <v>1385518</v>
      </c>
      <c r="I31" s="272">
        <v>7047816</v>
      </c>
      <c r="J31" s="272">
        <v>36979686</v>
      </c>
      <c r="K31" s="272">
        <v>21371478</v>
      </c>
      <c r="L31" s="272">
        <v>11109545</v>
      </c>
      <c r="M31" s="272">
        <v>4358991</v>
      </c>
      <c r="N31" s="272">
        <v>3097635</v>
      </c>
      <c r="O31" s="272">
        <v>9214025</v>
      </c>
      <c r="P31" s="272">
        <v>6699773</v>
      </c>
      <c r="Q31" s="272">
        <v>2514252</v>
      </c>
      <c r="R31" s="272">
        <v>3701021</v>
      </c>
      <c r="S31" s="272">
        <v>2771547</v>
      </c>
      <c r="T31" s="455">
        <f t="shared" si="2"/>
        <v>3924174</v>
      </c>
      <c r="U31" s="272">
        <v>2521460</v>
      </c>
      <c r="V31" s="272"/>
      <c r="W31" s="272"/>
      <c r="X31" s="272"/>
      <c r="Y31" s="272">
        <v>0</v>
      </c>
      <c r="Z31" s="272">
        <v>18883</v>
      </c>
      <c r="AA31" s="272">
        <v>1383831</v>
      </c>
      <c r="AB31" s="272"/>
      <c r="AC31" s="272">
        <v>4733585</v>
      </c>
      <c r="AD31" s="272">
        <v>3811565</v>
      </c>
      <c r="AE31" s="272">
        <v>922020</v>
      </c>
      <c r="AF31" s="272">
        <v>111990</v>
      </c>
      <c r="AG31" s="272">
        <v>4642561</v>
      </c>
      <c r="AH31" s="455">
        <f t="shared" si="3"/>
        <v>3144743</v>
      </c>
      <c r="AI31" s="272">
        <v>2303230</v>
      </c>
      <c r="AJ31" s="272">
        <v>841513</v>
      </c>
      <c r="AK31" s="272">
        <v>18475243</v>
      </c>
      <c r="AL31" s="455">
        <f t="shared" si="4"/>
        <v>11845129</v>
      </c>
      <c r="AM31" s="272">
        <v>9792521</v>
      </c>
      <c r="AN31" s="272">
        <v>1099752</v>
      </c>
      <c r="AO31" s="272">
        <v>95630</v>
      </c>
      <c r="AP31" s="272">
        <v>857226</v>
      </c>
      <c r="AQ31" s="272">
        <v>3835930</v>
      </c>
      <c r="AR31" s="272">
        <v>3374</v>
      </c>
      <c r="AS31" s="272">
        <v>0</v>
      </c>
      <c r="AT31" s="272">
        <v>11399790</v>
      </c>
      <c r="AU31" s="272">
        <v>5227067</v>
      </c>
      <c r="AV31" s="272">
        <v>549877</v>
      </c>
      <c r="AW31" s="272">
        <v>95150</v>
      </c>
      <c r="AX31" s="272">
        <v>6172723</v>
      </c>
      <c r="AY31" s="272">
        <v>1366642</v>
      </c>
      <c r="AZ31" s="272">
        <v>10877728</v>
      </c>
      <c r="BA31" s="272">
        <v>10308388</v>
      </c>
      <c r="BB31" s="272">
        <v>1170026</v>
      </c>
      <c r="BC31" s="272">
        <v>1810531</v>
      </c>
      <c r="BD31" s="272">
        <v>0</v>
      </c>
      <c r="BE31" s="272">
        <v>0</v>
      </c>
      <c r="BF31" s="272">
        <v>1483235</v>
      </c>
      <c r="BG31" s="272">
        <v>0</v>
      </c>
      <c r="BH31" s="272">
        <v>172336</v>
      </c>
      <c r="BI31" s="272">
        <v>0</v>
      </c>
      <c r="BJ31" s="272">
        <v>4926381</v>
      </c>
      <c r="BK31" s="272">
        <v>2868337</v>
      </c>
      <c r="BL31" s="272">
        <v>100493</v>
      </c>
      <c r="BM31" s="272">
        <v>317012</v>
      </c>
      <c r="BN31" s="272">
        <v>14497800</v>
      </c>
      <c r="BO31" s="455">
        <f t="shared" si="5"/>
        <v>10044100</v>
      </c>
      <c r="BP31" s="455">
        <f t="shared" si="6"/>
        <v>4453700</v>
      </c>
      <c r="BQ31" s="272">
        <v>4453700</v>
      </c>
      <c r="BR31" s="272"/>
      <c r="BS31" s="272"/>
      <c r="BT31" s="272">
        <v>0</v>
      </c>
      <c r="BU31" s="272">
        <v>170817090</v>
      </c>
      <c r="BV31" s="272"/>
      <c r="BW31" s="272">
        <v>45576248</v>
      </c>
      <c r="BX31" s="272">
        <v>34682862</v>
      </c>
      <c r="BY31" s="272">
        <v>3840416</v>
      </c>
      <c r="BZ31" s="272">
        <v>438619</v>
      </c>
      <c r="CA31" s="272">
        <v>27276262</v>
      </c>
      <c r="CB31" s="272">
        <v>2045253</v>
      </c>
      <c r="CC31" s="272">
        <v>4140602</v>
      </c>
      <c r="CD31" s="272">
        <v>4161998</v>
      </c>
      <c r="CE31" s="272">
        <v>13146060</v>
      </c>
      <c r="CF31" s="272">
        <v>3476449</v>
      </c>
      <c r="CG31" s="272">
        <v>299913</v>
      </c>
      <c r="CH31" s="272">
        <v>15171432</v>
      </c>
      <c r="CI31" s="272">
        <v>8513688</v>
      </c>
      <c r="CJ31" s="455">
        <f t="shared" si="7"/>
        <v>6657744</v>
      </c>
      <c r="CK31" s="272">
        <v>13913705</v>
      </c>
      <c r="CL31" s="272">
        <v>7759417</v>
      </c>
      <c r="CM31" s="272">
        <v>797380</v>
      </c>
      <c r="CN31" s="272">
        <v>2700356</v>
      </c>
      <c r="CO31" s="272">
        <v>1203361</v>
      </c>
      <c r="CP31" s="272">
        <v>10512106</v>
      </c>
      <c r="CQ31" s="272">
        <v>4532939</v>
      </c>
      <c r="CR31" s="272">
        <v>2888080</v>
      </c>
      <c r="CS31" s="272">
        <v>2453007</v>
      </c>
      <c r="CT31" s="455">
        <f t="shared" si="8"/>
        <v>1346669</v>
      </c>
      <c r="CU31" s="272">
        <v>448256</v>
      </c>
      <c r="CV31" s="272">
        <v>898413</v>
      </c>
      <c r="CW31" s="455">
        <f t="shared" si="9"/>
        <v>1249383</v>
      </c>
      <c r="CX31" s="272">
        <v>350970</v>
      </c>
      <c r="CY31" s="272">
        <v>898413</v>
      </c>
      <c r="CZ31" s="455">
        <f t="shared" si="10"/>
        <v>0</v>
      </c>
      <c r="DA31" s="272">
        <v>0</v>
      </c>
      <c r="DB31" s="272">
        <v>0</v>
      </c>
      <c r="DC31" s="272">
        <v>31998853</v>
      </c>
      <c r="DD31" s="272">
        <v>7005902</v>
      </c>
      <c r="DE31" s="272">
        <v>20738707</v>
      </c>
      <c r="DF31" s="272">
        <v>239634</v>
      </c>
      <c r="DG31" s="272">
        <v>3697314</v>
      </c>
      <c r="DH31" s="272">
        <v>5100</v>
      </c>
      <c r="DI31" s="272">
        <v>4220100</v>
      </c>
      <c r="DJ31" s="272">
        <v>1833700</v>
      </c>
      <c r="DK31" s="272">
        <v>0</v>
      </c>
      <c r="DL31" s="272">
        <v>2386400</v>
      </c>
      <c r="DM31" s="272">
        <v>231701</v>
      </c>
      <c r="DN31" s="272">
        <v>231701</v>
      </c>
      <c r="DO31" s="272">
        <v>0</v>
      </c>
      <c r="DP31" s="272">
        <v>231701</v>
      </c>
      <c r="DQ31" s="272">
        <v>3363032</v>
      </c>
      <c r="DR31" s="272">
        <v>0</v>
      </c>
      <c r="DS31" s="272">
        <v>0</v>
      </c>
      <c r="DT31" s="272">
        <v>14760849</v>
      </c>
      <c r="DU31" s="272">
        <v>8447763</v>
      </c>
      <c r="DV31" s="455">
        <f t="shared" si="11"/>
        <v>0</v>
      </c>
      <c r="DW31" s="272">
        <v>0</v>
      </c>
      <c r="DX31" s="272">
        <v>0</v>
      </c>
      <c r="DY31" s="272">
        <v>0</v>
      </c>
      <c r="DZ31" s="272">
        <v>4508000</v>
      </c>
      <c r="EA31" s="272">
        <v>1797341</v>
      </c>
      <c r="EB31" s="272"/>
      <c r="EC31" s="272">
        <v>0</v>
      </c>
      <c r="ED31" s="272">
        <v>168232749</v>
      </c>
      <c r="EF31" s="272">
        <v>2584341</v>
      </c>
      <c r="EG31" s="272">
        <v>1672809</v>
      </c>
      <c r="EH31" s="272">
        <v>911532</v>
      </c>
      <c r="EI31" s="272">
        <v>1662799</v>
      </c>
      <c r="EJ31" s="272">
        <v>3496499</v>
      </c>
      <c r="EL31" s="272">
        <v>517232</v>
      </c>
      <c r="EM31" s="272">
        <v>496900</v>
      </c>
      <c r="EN31" s="272">
        <v>35545</v>
      </c>
      <c r="EO31" s="272">
        <v>3912437</v>
      </c>
      <c r="EP31" s="455">
        <f t="shared" si="12"/>
        <v>2999406</v>
      </c>
      <c r="EQ31" s="272">
        <v>99699951</v>
      </c>
      <c r="ER31" s="272">
        <v>-11289098</v>
      </c>
      <c r="ES31" s="272">
        <v>42999532</v>
      </c>
      <c r="ET31" s="272">
        <v>32175832</v>
      </c>
      <c r="EU31" s="272">
        <v>6777560</v>
      </c>
      <c r="EV31" s="272">
        <v>14117777</v>
      </c>
      <c r="EW31" s="455">
        <f t="shared" si="13"/>
        <v>5900175</v>
      </c>
      <c r="EX31" s="272">
        <v>5899172</v>
      </c>
      <c r="EY31" s="272">
        <v>878800</v>
      </c>
      <c r="EZ31" s="272">
        <v>4702957</v>
      </c>
      <c r="FA31" s="272">
        <v>1003</v>
      </c>
      <c r="FB31" s="272"/>
      <c r="FC31" s="272">
        <v>10170182</v>
      </c>
      <c r="FD31" s="272">
        <v>9647414</v>
      </c>
      <c r="FE31" s="272">
        <v>4532939</v>
      </c>
      <c r="FF31" s="272">
        <v>14238916</v>
      </c>
      <c r="FG31" s="455">
        <f t="shared" si="14"/>
        <v>4553152</v>
      </c>
      <c r="FH31" s="272">
        <v>108404708</v>
      </c>
      <c r="FI31" s="384">
        <f t="shared" si="15"/>
        <v>1</v>
      </c>
      <c r="FJ31" s="272">
        <v>92237237</v>
      </c>
      <c r="FK31" s="272"/>
      <c r="FL31" s="272">
        <v>66577153</v>
      </c>
      <c r="FM31" s="272">
        <v>70458960</v>
      </c>
      <c r="FN31" s="460">
        <v>0.97299999999999998</v>
      </c>
      <c r="FO31" s="388">
        <v>101.4</v>
      </c>
      <c r="FP31" s="388">
        <v>46.8</v>
      </c>
      <c r="FQ31" s="388">
        <v>7.5</v>
      </c>
      <c r="FR31" s="388">
        <v>15.7</v>
      </c>
      <c r="FS31" s="388">
        <v>9.6999999999999993</v>
      </c>
      <c r="FT31" s="388">
        <v>8.6999999999999993</v>
      </c>
      <c r="FU31" s="388">
        <v>11.8</v>
      </c>
      <c r="FV31" s="388">
        <v>11.7</v>
      </c>
      <c r="FW31" s="272">
        <v>134972658</v>
      </c>
      <c r="FX31" s="384">
        <f t="shared" si="16"/>
        <v>146.30000000000001</v>
      </c>
      <c r="FY31" s="272">
        <v>19645541</v>
      </c>
      <c r="FZ31" s="272">
        <v>3638000</v>
      </c>
      <c r="GA31" s="272"/>
      <c r="GB31" s="272">
        <v>16007541</v>
      </c>
      <c r="GC31" s="272"/>
      <c r="GD31" s="272">
        <v>41382332</v>
      </c>
      <c r="GE31" s="384">
        <f t="shared" si="17"/>
        <v>44.9</v>
      </c>
      <c r="GF31" s="388">
        <v>96.4</v>
      </c>
      <c r="GG31" s="388">
        <v>29.4</v>
      </c>
      <c r="GH31" s="388">
        <v>90.5</v>
      </c>
      <c r="GI31" s="272">
        <v>4062</v>
      </c>
    </row>
    <row r="32" spans="2:191" x14ac:dyDescent="0.15">
      <c r="B32" s="89" t="s">
        <v>57</v>
      </c>
      <c r="C32" s="272">
        <v>10186019</v>
      </c>
      <c r="D32" s="455">
        <f t="shared" si="0"/>
        <v>2648685</v>
      </c>
      <c r="E32" s="272">
        <v>39401</v>
      </c>
      <c r="F32" s="272">
        <v>2609284</v>
      </c>
      <c r="G32" s="455">
        <f t="shared" si="1"/>
        <v>399983</v>
      </c>
      <c r="H32" s="272">
        <v>136373</v>
      </c>
      <c r="I32" s="272">
        <v>263610</v>
      </c>
      <c r="J32" s="272">
        <v>5800373</v>
      </c>
      <c r="K32" s="272">
        <v>2727991</v>
      </c>
      <c r="L32" s="272">
        <v>1352216</v>
      </c>
      <c r="M32" s="272">
        <v>1711810</v>
      </c>
      <c r="N32" s="272">
        <v>268763</v>
      </c>
      <c r="O32" s="272">
        <v>951645</v>
      </c>
      <c r="P32" s="272">
        <v>671312</v>
      </c>
      <c r="Q32" s="272">
        <v>280333</v>
      </c>
      <c r="R32" s="272">
        <v>441195</v>
      </c>
      <c r="S32" s="272">
        <v>247212</v>
      </c>
      <c r="T32" s="455">
        <f t="shared" si="2"/>
        <v>504850</v>
      </c>
      <c r="U32" s="272">
        <v>245137</v>
      </c>
      <c r="V32" s="272"/>
      <c r="W32" s="272"/>
      <c r="X32" s="272"/>
      <c r="Y32" s="272">
        <v>77325</v>
      </c>
      <c r="Z32" s="272">
        <v>976</v>
      </c>
      <c r="AA32" s="272">
        <v>181412</v>
      </c>
      <c r="AB32" s="272"/>
      <c r="AC32" s="272">
        <v>1096579</v>
      </c>
      <c r="AD32" s="272">
        <v>667549</v>
      </c>
      <c r="AE32" s="272">
        <v>429030</v>
      </c>
      <c r="AF32" s="272">
        <v>13961</v>
      </c>
      <c r="AG32" s="272">
        <v>61397</v>
      </c>
      <c r="AH32" s="455">
        <f t="shared" si="3"/>
        <v>272315</v>
      </c>
      <c r="AI32" s="272">
        <v>133174</v>
      </c>
      <c r="AJ32" s="272">
        <v>139141</v>
      </c>
      <c r="AK32" s="272">
        <v>2070429</v>
      </c>
      <c r="AL32" s="455">
        <f t="shared" si="4"/>
        <v>1025051</v>
      </c>
      <c r="AM32" s="272">
        <v>914900</v>
      </c>
      <c r="AN32" s="272">
        <v>110151</v>
      </c>
      <c r="AO32" s="272">
        <v>0</v>
      </c>
      <c r="AP32" s="272">
        <v>0</v>
      </c>
      <c r="AQ32" s="272">
        <v>562484</v>
      </c>
      <c r="AR32" s="272">
        <v>61611</v>
      </c>
      <c r="AS32" s="272">
        <v>0</v>
      </c>
      <c r="AT32" s="272">
        <v>1283598</v>
      </c>
      <c r="AU32" s="272">
        <v>362361</v>
      </c>
      <c r="AV32" s="272">
        <v>55075</v>
      </c>
      <c r="AW32" s="272">
        <v>47354</v>
      </c>
      <c r="AX32" s="272">
        <v>921237</v>
      </c>
      <c r="AY32" s="272">
        <v>445565</v>
      </c>
      <c r="AZ32" s="272">
        <v>34738</v>
      </c>
      <c r="BA32" s="272">
        <v>0</v>
      </c>
      <c r="BB32" s="272">
        <v>417711</v>
      </c>
      <c r="BC32" s="272">
        <v>1260624</v>
      </c>
      <c r="BD32" s="272">
        <v>0</v>
      </c>
      <c r="BE32" s="272">
        <v>143800</v>
      </c>
      <c r="BF32" s="272">
        <v>969589</v>
      </c>
      <c r="BG32" s="272">
        <v>0</v>
      </c>
      <c r="BH32" s="272">
        <v>198100</v>
      </c>
      <c r="BI32" s="272">
        <v>55531</v>
      </c>
      <c r="BJ32" s="272">
        <v>482257</v>
      </c>
      <c r="BK32" s="272">
        <v>1800</v>
      </c>
      <c r="BL32" s="272">
        <v>162480</v>
      </c>
      <c r="BM32" s="272">
        <v>0</v>
      </c>
      <c r="BN32" s="272">
        <v>3565400</v>
      </c>
      <c r="BO32" s="455">
        <f t="shared" si="5"/>
        <v>3078000</v>
      </c>
      <c r="BP32" s="455">
        <f t="shared" si="6"/>
        <v>487400</v>
      </c>
      <c r="BQ32" s="272">
        <v>487400</v>
      </c>
      <c r="BR32" s="272"/>
      <c r="BS32" s="272"/>
      <c r="BT32" s="272">
        <v>0</v>
      </c>
      <c r="BU32" s="272">
        <v>21889173</v>
      </c>
      <c r="BV32" s="272"/>
      <c r="BW32" s="272">
        <v>5938364</v>
      </c>
      <c r="BX32" s="272">
        <v>4482281</v>
      </c>
      <c r="BY32" s="272">
        <v>177548</v>
      </c>
      <c r="BZ32" s="272">
        <v>206214</v>
      </c>
      <c r="CA32" s="272">
        <v>2235773</v>
      </c>
      <c r="CB32" s="272">
        <v>268889</v>
      </c>
      <c r="CC32" s="272">
        <v>446381</v>
      </c>
      <c r="CD32" s="272">
        <v>269744</v>
      </c>
      <c r="CE32" s="272">
        <v>1217154</v>
      </c>
      <c r="CF32" s="272">
        <v>0</v>
      </c>
      <c r="CG32" s="272">
        <v>33505</v>
      </c>
      <c r="CH32" s="272">
        <v>1795959</v>
      </c>
      <c r="CI32" s="272">
        <v>978925</v>
      </c>
      <c r="CJ32" s="455">
        <f t="shared" si="7"/>
        <v>817034</v>
      </c>
      <c r="CK32" s="272">
        <v>2235286</v>
      </c>
      <c r="CL32" s="272">
        <v>1113641</v>
      </c>
      <c r="CM32" s="272">
        <v>128679</v>
      </c>
      <c r="CN32" s="272">
        <v>568196</v>
      </c>
      <c r="CO32" s="272">
        <v>217144</v>
      </c>
      <c r="CP32" s="272">
        <v>1290355</v>
      </c>
      <c r="CQ32" s="272">
        <v>504329</v>
      </c>
      <c r="CR32" s="272">
        <v>299445</v>
      </c>
      <c r="CS32" s="272">
        <v>167423</v>
      </c>
      <c r="CT32" s="455">
        <f t="shared" si="8"/>
        <v>34832</v>
      </c>
      <c r="CU32" s="272">
        <v>3832</v>
      </c>
      <c r="CV32" s="272">
        <v>31000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5899635</v>
      </c>
      <c r="DD32" s="272">
        <v>1195886</v>
      </c>
      <c r="DE32" s="272">
        <v>4407432</v>
      </c>
      <c r="DF32" s="272">
        <v>133837</v>
      </c>
      <c r="DG32" s="272">
        <v>162480</v>
      </c>
      <c r="DH32" s="272">
        <v>217643</v>
      </c>
      <c r="DI32" s="272">
        <v>561170</v>
      </c>
      <c r="DJ32" s="272">
        <v>0</v>
      </c>
      <c r="DK32" s="272">
        <v>5644</v>
      </c>
      <c r="DL32" s="272">
        <v>555526</v>
      </c>
      <c r="DM32" s="272">
        <v>0</v>
      </c>
      <c r="DN32" s="272">
        <v>0</v>
      </c>
      <c r="DO32" s="272">
        <v>0</v>
      </c>
      <c r="DP32" s="272">
        <v>0</v>
      </c>
      <c r="DQ32" s="272">
        <v>1700</v>
      </c>
      <c r="DR32" s="272">
        <v>0</v>
      </c>
      <c r="DS32" s="272">
        <v>0</v>
      </c>
      <c r="DT32" s="272">
        <v>1350666</v>
      </c>
      <c r="DU32" s="272">
        <v>573180</v>
      </c>
      <c r="DV32" s="455">
        <f t="shared" si="11"/>
        <v>0</v>
      </c>
      <c r="DW32" s="272">
        <v>0</v>
      </c>
      <c r="DX32" s="272">
        <v>0</v>
      </c>
      <c r="DY32" s="272">
        <v>0</v>
      </c>
      <c r="DZ32" s="272">
        <v>561175</v>
      </c>
      <c r="EA32" s="272">
        <v>216311</v>
      </c>
      <c r="EB32" s="272"/>
      <c r="EC32" s="272">
        <v>0</v>
      </c>
      <c r="ED32" s="272">
        <v>21743695</v>
      </c>
      <c r="EF32" s="272">
        <v>145478</v>
      </c>
      <c r="EG32" s="272">
        <v>111569</v>
      </c>
      <c r="EH32" s="272">
        <v>33909</v>
      </c>
      <c r="EI32" s="272">
        <v>-21622</v>
      </c>
      <c r="EJ32" s="272">
        <v>-21622</v>
      </c>
      <c r="EL32" s="272">
        <v>61688</v>
      </c>
      <c r="EM32" s="272">
        <v>61800</v>
      </c>
      <c r="EN32" s="272">
        <v>276659</v>
      </c>
      <c r="EO32" s="272">
        <v>11006</v>
      </c>
      <c r="EP32" s="455">
        <f t="shared" si="12"/>
        <v>492813</v>
      </c>
      <c r="EQ32" s="272">
        <v>12242604</v>
      </c>
      <c r="ER32" s="272">
        <v>-1253917</v>
      </c>
      <c r="ES32" s="272">
        <v>5568082</v>
      </c>
      <c r="ET32" s="272">
        <v>4135466</v>
      </c>
      <c r="EU32" s="272">
        <v>690677</v>
      </c>
      <c r="EV32" s="272">
        <v>1756032</v>
      </c>
      <c r="EW32" s="455">
        <f t="shared" si="13"/>
        <v>353024</v>
      </c>
      <c r="EX32" s="272">
        <v>269467</v>
      </c>
      <c r="EY32" s="272">
        <v>3947</v>
      </c>
      <c r="EZ32" s="272">
        <v>202929</v>
      </c>
      <c r="FA32" s="272">
        <v>83557</v>
      </c>
      <c r="FB32" s="272"/>
      <c r="FC32" s="272">
        <v>1822545</v>
      </c>
      <c r="FD32" s="272">
        <v>1175763</v>
      </c>
      <c r="FE32" s="272">
        <v>504329</v>
      </c>
      <c r="FF32" s="272">
        <v>1267666</v>
      </c>
      <c r="FG32" s="455">
        <f t="shared" si="14"/>
        <v>717254</v>
      </c>
      <c r="FH32" s="272">
        <v>13351043</v>
      </c>
      <c r="FI32" s="384">
        <f t="shared" si="15"/>
        <v>0.3</v>
      </c>
      <c r="FJ32" s="272">
        <v>11184405</v>
      </c>
      <c r="FK32" s="272"/>
      <c r="FL32" s="272">
        <v>7921109</v>
      </c>
      <c r="FM32" s="272">
        <v>8596249</v>
      </c>
      <c r="FN32" s="460">
        <v>0.80500000000000005</v>
      </c>
      <c r="FO32" s="388">
        <v>102</v>
      </c>
      <c r="FP32" s="388">
        <v>50.5</v>
      </c>
      <c r="FQ32" s="388">
        <v>6.3</v>
      </c>
      <c r="FR32" s="388">
        <v>16.100000000000001</v>
      </c>
      <c r="FS32" s="388">
        <v>13.6</v>
      </c>
      <c r="FT32" s="388">
        <v>8.6999999999999993</v>
      </c>
      <c r="FU32" s="388">
        <v>4.9000000000000004</v>
      </c>
      <c r="FV32" s="388">
        <v>13.1</v>
      </c>
      <c r="FW32" s="272">
        <v>19573248</v>
      </c>
      <c r="FX32" s="384">
        <f t="shared" si="16"/>
        <v>175</v>
      </c>
      <c r="FY32" s="272">
        <v>2201794</v>
      </c>
      <c r="FZ32" s="272"/>
      <c r="GA32" s="272">
        <v>344348</v>
      </c>
      <c r="GB32" s="272">
        <v>1857446</v>
      </c>
      <c r="GC32" s="272"/>
      <c r="GD32" s="272">
        <v>10499811</v>
      </c>
      <c r="GE32" s="384">
        <f t="shared" si="17"/>
        <v>93.9</v>
      </c>
      <c r="GF32" s="388">
        <v>95.2</v>
      </c>
      <c r="GG32" s="388">
        <v>17.399999999999999</v>
      </c>
      <c r="GH32" s="388">
        <v>87.5</v>
      </c>
      <c r="GI32" s="272">
        <v>674</v>
      </c>
    </row>
    <row r="33" spans="2:191" x14ac:dyDescent="0.15">
      <c r="B33" s="89" t="s">
        <v>59</v>
      </c>
      <c r="C33" s="272">
        <v>6726526</v>
      </c>
      <c r="D33" s="455">
        <f t="shared" si="0"/>
        <v>2856995</v>
      </c>
      <c r="E33" s="272">
        <v>40762</v>
      </c>
      <c r="F33" s="272">
        <v>2816233</v>
      </c>
      <c r="G33" s="455">
        <f t="shared" si="1"/>
        <v>340482</v>
      </c>
      <c r="H33" s="272">
        <v>87726</v>
      </c>
      <c r="I33" s="272">
        <v>252756</v>
      </c>
      <c r="J33" s="272">
        <v>2609296</v>
      </c>
      <c r="K33" s="272">
        <v>1444742</v>
      </c>
      <c r="L33" s="272">
        <v>895656</v>
      </c>
      <c r="M33" s="272">
        <v>258009</v>
      </c>
      <c r="N33" s="272">
        <v>225493</v>
      </c>
      <c r="O33" s="272">
        <v>643662</v>
      </c>
      <c r="P33" s="272">
        <v>447642</v>
      </c>
      <c r="Q33" s="272">
        <v>196020</v>
      </c>
      <c r="R33" s="272">
        <v>297098</v>
      </c>
      <c r="S33" s="272">
        <v>204069</v>
      </c>
      <c r="T33" s="455">
        <f t="shared" si="2"/>
        <v>438925</v>
      </c>
      <c r="U33" s="272">
        <v>246686</v>
      </c>
      <c r="V33" s="272"/>
      <c r="W33" s="272"/>
      <c r="X33" s="272"/>
      <c r="Y33" s="272">
        <v>53171</v>
      </c>
      <c r="Z33" s="272">
        <v>358</v>
      </c>
      <c r="AA33" s="272">
        <v>138710</v>
      </c>
      <c r="AB33" s="272"/>
      <c r="AC33" s="272">
        <v>3198064</v>
      </c>
      <c r="AD33" s="272">
        <v>2903003</v>
      </c>
      <c r="AE33" s="272">
        <v>295061</v>
      </c>
      <c r="AF33" s="272">
        <v>12042</v>
      </c>
      <c r="AG33" s="272">
        <v>259697</v>
      </c>
      <c r="AH33" s="455">
        <f t="shared" si="3"/>
        <v>200237</v>
      </c>
      <c r="AI33" s="272">
        <v>94365</v>
      </c>
      <c r="AJ33" s="272">
        <v>105872</v>
      </c>
      <c r="AK33" s="272">
        <v>1566624</v>
      </c>
      <c r="AL33" s="455">
        <f t="shared" si="4"/>
        <v>739173</v>
      </c>
      <c r="AM33" s="272">
        <v>493761</v>
      </c>
      <c r="AN33" s="272">
        <v>119262</v>
      </c>
      <c r="AO33" s="272">
        <v>0</v>
      </c>
      <c r="AP33" s="272">
        <v>126150</v>
      </c>
      <c r="AQ33" s="272">
        <v>463631</v>
      </c>
      <c r="AR33" s="272">
        <v>0</v>
      </c>
      <c r="AS33" s="272">
        <v>0</v>
      </c>
      <c r="AT33" s="272">
        <v>765323</v>
      </c>
      <c r="AU33" s="272">
        <v>256648</v>
      </c>
      <c r="AV33" s="272">
        <v>60331</v>
      </c>
      <c r="AW33" s="272">
        <v>0</v>
      </c>
      <c r="AX33" s="272">
        <v>508675</v>
      </c>
      <c r="AY33" s="272">
        <v>181136</v>
      </c>
      <c r="AZ33" s="272">
        <v>75909</v>
      </c>
      <c r="BA33" s="272">
        <v>53015</v>
      </c>
      <c r="BB33" s="272">
        <v>119655</v>
      </c>
      <c r="BC33" s="272">
        <v>335483</v>
      </c>
      <c r="BD33" s="272">
        <v>70000</v>
      </c>
      <c r="BE33" s="272">
        <v>55200</v>
      </c>
      <c r="BF33" s="272">
        <v>210283</v>
      </c>
      <c r="BG33" s="272">
        <v>0</v>
      </c>
      <c r="BH33" s="272">
        <v>141755</v>
      </c>
      <c r="BI33" s="272">
        <v>131422</v>
      </c>
      <c r="BJ33" s="272">
        <v>86722</v>
      </c>
      <c r="BK33" s="272">
        <v>6000</v>
      </c>
      <c r="BL33" s="272">
        <v>0</v>
      </c>
      <c r="BM33" s="272">
        <v>0</v>
      </c>
      <c r="BN33" s="272">
        <v>2332800</v>
      </c>
      <c r="BO33" s="455">
        <f t="shared" si="5"/>
        <v>1847400</v>
      </c>
      <c r="BP33" s="455">
        <f t="shared" si="6"/>
        <v>485400</v>
      </c>
      <c r="BQ33" s="272">
        <v>485400</v>
      </c>
      <c r="BR33" s="272"/>
      <c r="BS33" s="272"/>
      <c r="BT33" s="272">
        <v>0</v>
      </c>
      <c r="BU33" s="272">
        <v>16556860</v>
      </c>
      <c r="BV33" s="272"/>
      <c r="BW33" s="272">
        <v>4874923</v>
      </c>
      <c r="BX33" s="272">
        <v>3723359</v>
      </c>
      <c r="BY33" s="272">
        <v>156432</v>
      </c>
      <c r="BZ33" s="272">
        <v>90435</v>
      </c>
      <c r="CA33" s="272">
        <v>1931613</v>
      </c>
      <c r="CB33" s="272">
        <v>200841</v>
      </c>
      <c r="CC33" s="272">
        <v>652400</v>
      </c>
      <c r="CD33" s="272">
        <v>379145</v>
      </c>
      <c r="CE33" s="272">
        <v>657549</v>
      </c>
      <c r="CF33" s="272">
        <v>4430</v>
      </c>
      <c r="CG33" s="272">
        <v>36901</v>
      </c>
      <c r="CH33" s="272">
        <v>1324338</v>
      </c>
      <c r="CI33" s="272">
        <v>665522</v>
      </c>
      <c r="CJ33" s="455">
        <f t="shared" si="7"/>
        <v>658816</v>
      </c>
      <c r="CK33" s="272">
        <v>1971863</v>
      </c>
      <c r="CL33" s="272">
        <v>1200874</v>
      </c>
      <c r="CM33" s="272">
        <v>121625</v>
      </c>
      <c r="CN33" s="272">
        <v>316313</v>
      </c>
      <c r="CO33" s="272">
        <v>50628</v>
      </c>
      <c r="CP33" s="272">
        <v>1155701</v>
      </c>
      <c r="CQ33" s="272">
        <v>433143</v>
      </c>
      <c r="CR33" s="272">
        <v>293441</v>
      </c>
      <c r="CS33" s="272">
        <v>266896</v>
      </c>
      <c r="CT33" s="455">
        <f t="shared" si="8"/>
        <v>45000</v>
      </c>
      <c r="CU33" s="272">
        <v>5407</v>
      </c>
      <c r="CV33" s="272">
        <v>39593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3272833</v>
      </c>
      <c r="DD33" s="272">
        <v>1081298</v>
      </c>
      <c r="DE33" s="272">
        <v>2187150</v>
      </c>
      <c r="DF33" s="272">
        <v>4385</v>
      </c>
      <c r="DG33" s="272">
        <v>0</v>
      </c>
      <c r="DH33" s="272">
        <v>9237</v>
      </c>
      <c r="DI33" s="272">
        <v>116617</v>
      </c>
      <c r="DJ33" s="272">
        <v>74114</v>
      </c>
      <c r="DK33" s="272">
        <v>3554</v>
      </c>
      <c r="DL33" s="272">
        <v>38949</v>
      </c>
      <c r="DM33" s="272">
        <v>100000</v>
      </c>
      <c r="DN33" s="272">
        <v>0</v>
      </c>
      <c r="DO33" s="272">
        <v>0</v>
      </c>
      <c r="DP33" s="272">
        <v>0</v>
      </c>
      <c r="DQ33" s="272">
        <v>6000</v>
      </c>
      <c r="DR33" s="272">
        <v>0</v>
      </c>
      <c r="DS33" s="272">
        <v>0</v>
      </c>
      <c r="DT33" s="272">
        <v>1663570</v>
      </c>
      <c r="DU33" s="272">
        <v>1226990</v>
      </c>
      <c r="DV33" s="455">
        <f t="shared" si="11"/>
        <v>0</v>
      </c>
      <c r="DW33" s="272">
        <v>0</v>
      </c>
      <c r="DX33" s="272">
        <v>0</v>
      </c>
      <c r="DY33" s="272">
        <v>0</v>
      </c>
      <c r="DZ33" s="272">
        <v>272045</v>
      </c>
      <c r="EA33" s="272">
        <v>163710</v>
      </c>
      <c r="EB33" s="272"/>
      <c r="EC33" s="272">
        <v>0</v>
      </c>
      <c r="ED33" s="272">
        <v>16477323</v>
      </c>
      <c r="EF33" s="272">
        <v>79537</v>
      </c>
      <c r="EG33" s="272">
        <v>3663</v>
      </c>
      <c r="EH33" s="272">
        <v>75874</v>
      </c>
      <c r="EI33" s="272">
        <v>-55548</v>
      </c>
      <c r="EJ33" s="272">
        <v>-51434</v>
      </c>
      <c r="EL33" s="272">
        <v>53763</v>
      </c>
      <c r="EM33" s="272">
        <v>53623</v>
      </c>
      <c r="EN33" s="272">
        <v>125200</v>
      </c>
      <c r="EO33" s="272">
        <v>56271</v>
      </c>
      <c r="EP33" s="455">
        <f t="shared" si="12"/>
        <v>261112</v>
      </c>
      <c r="EQ33" s="272">
        <v>10672655</v>
      </c>
      <c r="ER33" s="272">
        <v>-915941</v>
      </c>
      <c r="ES33" s="272">
        <v>4547566</v>
      </c>
      <c r="ET33" s="272">
        <v>3413638</v>
      </c>
      <c r="EU33" s="272">
        <v>594099</v>
      </c>
      <c r="EV33" s="272">
        <v>1324338</v>
      </c>
      <c r="EW33" s="455">
        <f t="shared" si="13"/>
        <v>500423</v>
      </c>
      <c r="EX33" s="272">
        <v>496546</v>
      </c>
      <c r="EY33" s="272">
        <v>66081</v>
      </c>
      <c r="EZ33" s="272">
        <v>429380</v>
      </c>
      <c r="FA33" s="272">
        <v>3877</v>
      </c>
      <c r="FB33" s="272"/>
      <c r="FC33" s="272">
        <v>1639612</v>
      </c>
      <c r="FD33" s="272">
        <v>1039863</v>
      </c>
      <c r="FE33" s="272">
        <v>433143</v>
      </c>
      <c r="FF33" s="272">
        <v>1616741</v>
      </c>
      <c r="FG33" s="455">
        <f t="shared" si="14"/>
        <v>246417</v>
      </c>
      <c r="FH33" s="272">
        <v>11509059</v>
      </c>
      <c r="FI33" s="384">
        <f t="shared" si="15"/>
        <v>0.8</v>
      </c>
      <c r="FJ33" s="272">
        <v>9929803</v>
      </c>
      <c r="FK33" s="272"/>
      <c r="FL33" s="272">
        <v>5296622</v>
      </c>
      <c r="FM33" s="272">
        <v>8203611</v>
      </c>
      <c r="FN33" s="460">
        <v>0.64500000000000002</v>
      </c>
      <c r="FO33" s="388">
        <v>98.7</v>
      </c>
      <c r="FP33" s="388">
        <v>45.7</v>
      </c>
      <c r="FQ33" s="388">
        <v>6.1</v>
      </c>
      <c r="FR33" s="388">
        <v>13.6</v>
      </c>
      <c r="FS33" s="388">
        <v>14.1</v>
      </c>
      <c r="FT33" s="388">
        <v>8.1</v>
      </c>
      <c r="FU33" s="388">
        <v>10.7</v>
      </c>
      <c r="FV33" s="388">
        <v>9.5</v>
      </c>
      <c r="FW33" s="272">
        <v>15769058</v>
      </c>
      <c r="FX33" s="384">
        <f t="shared" si="16"/>
        <v>158.80000000000001</v>
      </c>
      <c r="FY33" s="272">
        <v>1592511</v>
      </c>
      <c r="FZ33" s="272">
        <v>229309</v>
      </c>
      <c r="GA33" s="272">
        <v>276025</v>
      </c>
      <c r="GB33" s="272">
        <v>1087177</v>
      </c>
      <c r="GC33" s="272"/>
      <c r="GD33" s="272">
        <v>5343391</v>
      </c>
      <c r="GE33" s="384">
        <f t="shared" si="17"/>
        <v>53.8</v>
      </c>
      <c r="GF33" s="388">
        <v>96.4</v>
      </c>
      <c r="GG33" s="388">
        <v>38.5</v>
      </c>
      <c r="GH33" s="388">
        <v>92.4</v>
      </c>
      <c r="GI33" s="272">
        <v>502</v>
      </c>
    </row>
    <row r="34" spans="2:191" x14ac:dyDescent="0.15">
      <c r="B34" s="89" t="s">
        <v>61</v>
      </c>
      <c r="C34" s="272">
        <v>9379032</v>
      </c>
      <c r="D34" s="455">
        <f t="shared" si="0"/>
        <v>5013410</v>
      </c>
      <c r="E34" s="272">
        <v>51917</v>
      </c>
      <c r="F34" s="272">
        <v>4961493</v>
      </c>
      <c r="G34" s="455">
        <f t="shared" si="1"/>
        <v>395061</v>
      </c>
      <c r="H34" s="272">
        <v>98428</v>
      </c>
      <c r="I34" s="272">
        <v>296633</v>
      </c>
      <c r="J34" s="272">
        <v>2946307</v>
      </c>
      <c r="K34" s="272">
        <v>1330332</v>
      </c>
      <c r="L34" s="272">
        <v>1143012</v>
      </c>
      <c r="M34" s="272">
        <v>441301</v>
      </c>
      <c r="N34" s="272">
        <v>251643</v>
      </c>
      <c r="O34" s="272">
        <v>722711</v>
      </c>
      <c r="P34" s="272">
        <v>450871</v>
      </c>
      <c r="Q34" s="272">
        <v>271840</v>
      </c>
      <c r="R34" s="272">
        <v>381973</v>
      </c>
      <c r="S34" s="272">
        <v>249693</v>
      </c>
      <c r="T34" s="455">
        <f t="shared" si="2"/>
        <v>731227</v>
      </c>
      <c r="U34" s="272">
        <v>404531</v>
      </c>
      <c r="V34" s="272"/>
      <c r="W34" s="272"/>
      <c r="X34" s="272"/>
      <c r="Y34" s="272">
        <v>129588</v>
      </c>
      <c r="Z34" s="272">
        <v>122</v>
      </c>
      <c r="AA34" s="272">
        <v>196986</v>
      </c>
      <c r="AB34" s="272"/>
      <c r="AC34" s="272">
        <v>2680892</v>
      </c>
      <c r="AD34" s="272">
        <v>2452801</v>
      </c>
      <c r="AE34" s="272">
        <v>228091</v>
      </c>
      <c r="AF34" s="272">
        <v>13383</v>
      </c>
      <c r="AG34" s="272">
        <v>161435</v>
      </c>
      <c r="AH34" s="455">
        <f t="shared" si="3"/>
        <v>137020</v>
      </c>
      <c r="AI34" s="272">
        <v>69668</v>
      </c>
      <c r="AJ34" s="272">
        <v>67352</v>
      </c>
      <c r="AK34" s="272">
        <v>1325421</v>
      </c>
      <c r="AL34" s="455">
        <f t="shared" si="4"/>
        <v>625514</v>
      </c>
      <c r="AM34" s="272">
        <v>355330</v>
      </c>
      <c r="AN34" s="272">
        <v>139650</v>
      </c>
      <c r="AO34" s="272">
        <v>0</v>
      </c>
      <c r="AP34" s="272">
        <v>130534</v>
      </c>
      <c r="AQ34" s="272">
        <v>298258</v>
      </c>
      <c r="AR34" s="272">
        <v>0</v>
      </c>
      <c r="AS34" s="272">
        <v>0</v>
      </c>
      <c r="AT34" s="272">
        <v>845917</v>
      </c>
      <c r="AU34" s="272">
        <v>252346</v>
      </c>
      <c r="AV34" s="272">
        <v>69825</v>
      </c>
      <c r="AW34" s="272">
        <v>0</v>
      </c>
      <c r="AX34" s="272">
        <v>593571</v>
      </c>
      <c r="AY34" s="272">
        <v>157543</v>
      </c>
      <c r="AZ34" s="272">
        <v>104495</v>
      </c>
      <c r="BA34" s="272">
        <v>32869</v>
      </c>
      <c r="BB34" s="272">
        <v>269162</v>
      </c>
      <c r="BC34" s="272">
        <v>580000</v>
      </c>
      <c r="BD34" s="272">
        <v>0</v>
      </c>
      <c r="BE34" s="272">
        <v>0</v>
      </c>
      <c r="BF34" s="272">
        <v>580000</v>
      </c>
      <c r="BG34" s="272">
        <v>0</v>
      </c>
      <c r="BH34" s="272">
        <v>334069</v>
      </c>
      <c r="BI34" s="272">
        <v>61920</v>
      </c>
      <c r="BJ34" s="272">
        <v>1087992</v>
      </c>
      <c r="BK34" s="272">
        <v>1015642</v>
      </c>
      <c r="BL34" s="272">
        <v>0</v>
      </c>
      <c r="BM34" s="272">
        <v>0</v>
      </c>
      <c r="BN34" s="272">
        <v>3052100</v>
      </c>
      <c r="BO34" s="455">
        <f t="shared" si="5"/>
        <v>2271200</v>
      </c>
      <c r="BP34" s="455">
        <f t="shared" si="6"/>
        <v>780900</v>
      </c>
      <c r="BQ34" s="272">
        <v>780900</v>
      </c>
      <c r="BR34" s="272"/>
      <c r="BS34" s="272"/>
      <c r="BT34" s="272">
        <v>0</v>
      </c>
      <c r="BU34" s="272">
        <v>21084118</v>
      </c>
      <c r="BV34" s="272"/>
      <c r="BW34" s="272">
        <v>5931345</v>
      </c>
      <c r="BX34" s="272">
        <v>4249148</v>
      </c>
      <c r="BY34" s="272">
        <v>448015</v>
      </c>
      <c r="BZ34" s="272">
        <v>220087</v>
      </c>
      <c r="CA34" s="272">
        <v>1985228</v>
      </c>
      <c r="CB34" s="272">
        <v>322225</v>
      </c>
      <c r="CC34" s="272">
        <v>582502</v>
      </c>
      <c r="CD34" s="272">
        <v>546403</v>
      </c>
      <c r="CE34" s="272">
        <v>473062</v>
      </c>
      <c r="CF34" s="272">
        <v>29</v>
      </c>
      <c r="CG34" s="272">
        <v>60209</v>
      </c>
      <c r="CH34" s="272">
        <v>2518575</v>
      </c>
      <c r="CI34" s="272">
        <v>1195593</v>
      </c>
      <c r="CJ34" s="455">
        <f t="shared" si="7"/>
        <v>1322982</v>
      </c>
      <c r="CK34" s="272">
        <v>2508796</v>
      </c>
      <c r="CL34" s="272">
        <v>1516941</v>
      </c>
      <c r="CM34" s="272">
        <v>120974</v>
      </c>
      <c r="CN34" s="272">
        <v>491246</v>
      </c>
      <c r="CO34" s="272">
        <v>100966</v>
      </c>
      <c r="CP34" s="272">
        <v>1091177</v>
      </c>
      <c r="CQ34" s="272">
        <v>358443</v>
      </c>
      <c r="CR34" s="272">
        <v>358583</v>
      </c>
      <c r="CS34" s="272">
        <v>335040</v>
      </c>
      <c r="CT34" s="455">
        <f t="shared" si="8"/>
        <v>8828</v>
      </c>
      <c r="CU34" s="272">
        <v>8828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4431298</v>
      </c>
      <c r="DD34" s="272">
        <v>638774</v>
      </c>
      <c r="DE34" s="272">
        <v>3792524</v>
      </c>
      <c r="DF34" s="272">
        <v>0</v>
      </c>
      <c r="DG34" s="272">
        <v>0</v>
      </c>
      <c r="DH34" s="272">
        <v>1191</v>
      </c>
      <c r="DI34" s="272">
        <v>362373</v>
      </c>
      <c r="DJ34" s="272">
        <v>41968</v>
      </c>
      <c r="DK34" s="272">
        <v>26817</v>
      </c>
      <c r="DL34" s="272">
        <v>293588</v>
      </c>
      <c r="DM34" s="272">
        <v>0</v>
      </c>
      <c r="DN34" s="272">
        <v>0</v>
      </c>
      <c r="DO34" s="272">
        <v>0</v>
      </c>
      <c r="DP34" s="272">
        <v>0</v>
      </c>
      <c r="DQ34" s="272">
        <v>1000000</v>
      </c>
      <c r="DR34" s="272">
        <v>0</v>
      </c>
      <c r="DS34" s="272">
        <v>0</v>
      </c>
      <c r="DT34" s="272">
        <v>1071807</v>
      </c>
      <c r="DU34" s="272">
        <v>585330</v>
      </c>
      <c r="DV34" s="455">
        <f t="shared" si="11"/>
        <v>0</v>
      </c>
      <c r="DW34" s="272">
        <v>0</v>
      </c>
      <c r="DX34" s="272">
        <v>0</v>
      </c>
      <c r="DY34" s="272">
        <v>0</v>
      </c>
      <c r="DZ34" s="272">
        <v>246845</v>
      </c>
      <c r="EA34" s="272">
        <v>224663</v>
      </c>
      <c r="EB34" s="272"/>
      <c r="EC34" s="272">
        <v>0</v>
      </c>
      <c r="ED34" s="272">
        <v>21002756</v>
      </c>
      <c r="EF34" s="272">
        <v>81362</v>
      </c>
      <c r="EG34" s="272">
        <v>55770</v>
      </c>
      <c r="EH34" s="272">
        <v>25592</v>
      </c>
      <c r="EI34" s="272">
        <v>-36328</v>
      </c>
      <c r="EJ34" s="272">
        <v>5640</v>
      </c>
      <c r="EL34" s="272">
        <v>72404</v>
      </c>
      <c r="EM34" s="272">
        <v>73711</v>
      </c>
      <c r="EN34" s="272">
        <v>0</v>
      </c>
      <c r="EO34" s="272">
        <v>38150</v>
      </c>
      <c r="EP34" s="455">
        <f t="shared" si="12"/>
        <v>453993</v>
      </c>
      <c r="EQ34" s="272">
        <v>13186507</v>
      </c>
      <c r="ER34" s="272">
        <v>-1259660</v>
      </c>
      <c r="ES34" s="272">
        <v>5665843</v>
      </c>
      <c r="ET34" s="272">
        <v>4023410</v>
      </c>
      <c r="EU34" s="272">
        <v>722707</v>
      </c>
      <c r="EV34" s="272">
        <v>2518575</v>
      </c>
      <c r="EW34" s="455">
        <f t="shared" si="13"/>
        <v>1077417</v>
      </c>
      <c r="EX34" s="272">
        <v>1076226</v>
      </c>
      <c r="EY34" s="272">
        <v>48716</v>
      </c>
      <c r="EZ34" s="272">
        <v>1027510</v>
      </c>
      <c r="FA34" s="272">
        <v>1191</v>
      </c>
      <c r="FB34" s="272"/>
      <c r="FC34" s="272">
        <v>1947366</v>
      </c>
      <c r="FD34" s="272">
        <v>1001992</v>
      </c>
      <c r="FE34" s="272">
        <v>358443</v>
      </c>
      <c r="FF34" s="272">
        <v>1027578</v>
      </c>
      <c r="FG34" s="455">
        <f t="shared" si="14"/>
        <v>403327</v>
      </c>
      <c r="FH34" s="272">
        <v>14364805</v>
      </c>
      <c r="FI34" s="384">
        <f t="shared" si="15"/>
        <v>0.2</v>
      </c>
      <c r="FJ34" s="272">
        <v>12560228</v>
      </c>
      <c r="FK34" s="272"/>
      <c r="FL34" s="272">
        <v>7615771</v>
      </c>
      <c r="FM34" s="272">
        <v>10069613</v>
      </c>
      <c r="FN34" s="460">
        <v>0.746</v>
      </c>
      <c r="FO34" s="388">
        <v>97.1</v>
      </c>
      <c r="FP34" s="388">
        <v>45</v>
      </c>
      <c r="FQ34" s="388">
        <v>5.9</v>
      </c>
      <c r="FR34" s="388">
        <v>20.5</v>
      </c>
      <c r="FS34" s="388">
        <v>13.6</v>
      </c>
      <c r="FT34" s="388">
        <v>7.1</v>
      </c>
      <c r="FU34" s="388">
        <v>4.0999999999999996</v>
      </c>
      <c r="FV34" s="388">
        <v>14.2</v>
      </c>
      <c r="FW34" s="272">
        <v>28660209</v>
      </c>
      <c r="FX34" s="384">
        <f t="shared" si="16"/>
        <v>228.2</v>
      </c>
      <c r="FY34" s="272">
        <v>2944727</v>
      </c>
      <c r="FZ34" s="272">
        <v>614393</v>
      </c>
      <c r="GA34" s="272">
        <v>398317</v>
      </c>
      <c r="GB34" s="272">
        <v>1932017</v>
      </c>
      <c r="GC34" s="272"/>
      <c r="GD34" s="272">
        <v>34268219</v>
      </c>
      <c r="GE34" s="384">
        <f t="shared" si="17"/>
        <v>272.8</v>
      </c>
      <c r="GF34" s="388">
        <v>97.4</v>
      </c>
      <c r="GG34" s="388">
        <v>26.4</v>
      </c>
      <c r="GH34" s="388">
        <v>93.3</v>
      </c>
      <c r="GI34" s="272">
        <v>589</v>
      </c>
    </row>
    <row r="35" spans="2:191" x14ac:dyDescent="0.15">
      <c r="B35" s="89" t="s">
        <v>63</v>
      </c>
      <c r="C35" s="272">
        <v>7863901</v>
      </c>
      <c r="D35" s="455">
        <f t="shared" si="0"/>
        <v>4150946</v>
      </c>
      <c r="E35" s="272">
        <v>41147</v>
      </c>
      <c r="F35" s="272">
        <v>4109799</v>
      </c>
      <c r="G35" s="455">
        <f t="shared" si="1"/>
        <v>301228</v>
      </c>
      <c r="H35" s="272">
        <v>74113</v>
      </c>
      <c r="I35" s="272">
        <v>227115</v>
      </c>
      <c r="J35" s="272">
        <v>2696550</v>
      </c>
      <c r="K35" s="272">
        <v>1268817</v>
      </c>
      <c r="L35" s="272">
        <v>1124147</v>
      </c>
      <c r="M35" s="272">
        <v>277311</v>
      </c>
      <c r="N35" s="272">
        <v>206561</v>
      </c>
      <c r="O35" s="272">
        <v>463804</v>
      </c>
      <c r="P35" s="272">
        <v>303920</v>
      </c>
      <c r="Q35" s="272">
        <v>159884</v>
      </c>
      <c r="R35" s="272">
        <v>332590</v>
      </c>
      <c r="S35" s="272">
        <v>220782</v>
      </c>
      <c r="T35" s="455">
        <f t="shared" si="2"/>
        <v>513057</v>
      </c>
      <c r="U35" s="272">
        <v>345749</v>
      </c>
      <c r="V35" s="272"/>
      <c r="W35" s="272"/>
      <c r="X35" s="272"/>
      <c r="Y35" s="272">
        <v>0</v>
      </c>
      <c r="Z35" s="272">
        <v>953</v>
      </c>
      <c r="AA35" s="272">
        <v>166355</v>
      </c>
      <c r="AB35" s="272"/>
      <c r="AC35" s="272">
        <v>2243236</v>
      </c>
      <c r="AD35" s="272">
        <v>1923743</v>
      </c>
      <c r="AE35" s="272">
        <v>319493</v>
      </c>
      <c r="AF35" s="272">
        <v>13044</v>
      </c>
      <c r="AG35" s="272">
        <v>109138</v>
      </c>
      <c r="AH35" s="455">
        <f t="shared" si="3"/>
        <v>207934</v>
      </c>
      <c r="AI35" s="272">
        <v>176256</v>
      </c>
      <c r="AJ35" s="272">
        <v>31678</v>
      </c>
      <c r="AK35" s="272">
        <v>842853</v>
      </c>
      <c r="AL35" s="455">
        <f t="shared" si="4"/>
        <v>478112</v>
      </c>
      <c r="AM35" s="272">
        <v>318718</v>
      </c>
      <c r="AN35" s="272">
        <v>69890</v>
      </c>
      <c r="AO35" s="272">
        <v>0</v>
      </c>
      <c r="AP35" s="272">
        <v>89504</v>
      </c>
      <c r="AQ35" s="272">
        <v>179855</v>
      </c>
      <c r="AR35" s="272">
        <v>0</v>
      </c>
      <c r="AS35" s="272">
        <v>0</v>
      </c>
      <c r="AT35" s="272">
        <v>734076</v>
      </c>
      <c r="AU35" s="272">
        <v>193214</v>
      </c>
      <c r="AV35" s="272">
        <v>34945</v>
      </c>
      <c r="AW35" s="272">
        <v>0</v>
      </c>
      <c r="AX35" s="272">
        <v>540862</v>
      </c>
      <c r="AY35" s="272">
        <v>179016</v>
      </c>
      <c r="AZ35" s="272">
        <v>621709</v>
      </c>
      <c r="BA35" s="272">
        <v>561050</v>
      </c>
      <c r="BB35" s="272">
        <v>58408</v>
      </c>
      <c r="BC35" s="272">
        <v>3814326</v>
      </c>
      <c r="BD35" s="272">
        <v>600000</v>
      </c>
      <c r="BE35" s="272">
        <v>0</v>
      </c>
      <c r="BF35" s="272">
        <v>3197398</v>
      </c>
      <c r="BG35" s="272">
        <v>0</v>
      </c>
      <c r="BH35" s="272">
        <v>300125</v>
      </c>
      <c r="BI35" s="272">
        <v>278376</v>
      </c>
      <c r="BJ35" s="272">
        <v>67109</v>
      </c>
      <c r="BK35" s="272">
        <v>615</v>
      </c>
      <c r="BL35" s="272">
        <v>0</v>
      </c>
      <c r="BM35" s="272">
        <v>0</v>
      </c>
      <c r="BN35" s="272">
        <v>1566200</v>
      </c>
      <c r="BO35" s="455">
        <f t="shared" si="5"/>
        <v>939000</v>
      </c>
      <c r="BP35" s="455">
        <f t="shared" si="6"/>
        <v>627200</v>
      </c>
      <c r="BQ35" s="272">
        <v>627200</v>
      </c>
      <c r="BR35" s="272"/>
      <c r="BS35" s="272"/>
      <c r="BT35" s="272">
        <v>0</v>
      </c>
      <c r="BU35" s="272">
        <v>19287706</v>
      </c>
      <c r="BV35" s="272"/>
      <c r="BW35" s="272">
        <v>4407515</v>
      </c>
      <c r="BX35" s="272">
        <v>3419393</v>
      </c>
      <c r="BY35" s="272">
        <v>122307</v>
      </c>
      <c r="BZ35" s="272">
        <v>47807</v>
      </c>
      <c r="CA35" s="272">
        <v>1223561</v>
      </c>
      <c r="CB35" s="272">
        <v>197094</v>
      </c>
      <c r="CC35" s="272">
        <v>356233</v>
      </c>
      <c r="CD35" s="272">
        <v>239098</v>
      </c>
      <c r="CE35" s="272">
        <v>410029</v>
      </c>
      <c r="CF35" s="272">
        <v>195</v>
      </c>
      <c r="CG35" s="272">
        <v>20912</v>
      </c>
      <c r="CH35" s="272">
        <v>1531470</v>
      </c>
      <c r="CI35" s="272">
        <v>578018</v>
      </c>
      <c r="CJ35" s="455">
        <f t="shared" si="7"/>
        <v>953452</v>
      </c>
      <c r="CK35" s="272">
        <v>2478732</v>
      </c>
      <c r="CL35" s="272">
        <v>1454720</v>
      </c>
      <c r="CM35" s="272">
        <v>110454</v>
      </c>
      <c r="CN35" s="272">
        <v>502172</v>
      </c>
      <c r="CO35" s="272">
        <v>15072</v>
      </c>
      <c r="CP35" s="272">
        <v>1283491</v>
      </c>
      <c r="CQ35" s="272">
        <v>429997</v>
      </c>
      <c r="CR35" s="272">
        <v>405656</v>
      </c>
      <c r="CS35" s="272">
        <v>340437</v>
      </c>
      <c r="CT35" s="455">
        <f t="shared" si="8"/>
        <v>37186</v>
      </c>
      <c r="CU35" s="272">
        <v>6286</v>
      </c>
      <c r="CV35" s="272">
        <v>30900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5566699</v>
      </c>
      <c r="DD35" s="272">
        <v>462966</v>
      </c>
      <c r="DE35" s="272">
        <v>5103733</v>
      </c>
      <c r="DF35" s="272">
        <v>0</v>
      </c>
      <c r="DG35" s="272">
        <v>0</v>
      </c>
      <c r="DH35" s="272">
        <v>0</v>
      </c>
      <c r="DI35" s="272">
        <v>1293998</v>
      </c>
      <c r="DJ35" s="272">
        <v>1185000</v>
      </c>
      <c r="DK35" s="272">
        <v>3000</v>
      </c>
      <c r="DL35" s="272">
        <v>105998</v>
      </c>
      <c r="DM35" s="272">
        <v>0</v>
      </c>
      <c r="DN35" s="272">
        <v>0</v>
      </c>
      <c r="DO35" s="272">
        <v>0</v>
      </c>
      <c r="DP35" s="272">
        <v>0</v>
      </c>
      <c r="DQ35" s="272">
        <v>576</v>
      </c>
      <c r="DR35" s="272">
        <v>0</v>
      </c>
      <c r="DS35" s="272">
        <v>0</v>
      </c>
      <c r="DT35" s="272">
        <v>1259163</v>
      </c>
      <c r="DU35" s="272">
        <v>832288</v>
      </c>
      <c r="DV35" s="455">
        <f t="shared" si="11"/>
        <v>0</v>
      </c>
      <c r="DW35" s="272">
        <v>0</v>
      </c>
      <c r="DX35" s="272">
        <v>0</v>
      </c>
      <c r="DY35" s="272">
        <v>0</v>
      </c>
      <c r="DZ35" s="272">
        <v>263088</v>
      </c>
      <c r="EA35" s="272">
        <v>160602</v>
      </c>
      <c r="EB35" s="272"/>
      <c r="EC35" s="272">
        <v>0</v>
      </c>
      <c r="ED35" s="272">
        <v>19060277</v>
      </c>
      <c r="EF35" s="272">
        <v>227429</v>
      </c>
      <c r="EG35" s="272">
        <v>0</v>
      </c>
      <c r="EH35" s="272">
        <v>227429</v>
      </c>
      <c r="EI35" s="272">
        <v>-50947</v>
      </c>
      <c r="EJ35" s="272">
        <v>534053</v>
      </c>
      <c r="EL35" s="272">
        <v>57647</v>
      </c>
      <c r="EM35" s="272">
        <v>56192</v>
      </c>
      <c r="EN35" s="272">
        <v>616928</v>
      </c>
      <c r="EO35" s="272">
        <v>562270</v>
      </c>
      <c r="EP35" s="455">
        <f t="shared" si="12"/>
        <v>457183</v>
      </c>
      <c r="EQ35" s="272">
        <v>10965828</v>
      </c>
      <c r="ER35" s="272">
        <v>-2250537</v>
      </c>
      <c r="ES35" s="272">
        <v>4121425</v>
      </c>
      <c r="ET35" s="272">
        <v>3154966</v>
      </c>
      <c r="EU35" s="272">
        <v>353642</v>
      </c>
      <c r="EV35" s="272">
        <v>1531470</v>
      </c>
      <c r="EW35" s="455">
        <f t="shared" si="13"/>
        <v>1074681</v>
      </c>
      <c r="EX35" s="272">
        <v>1074681</v>
      </c>
      <c r="EY35" s="272">
        <v>73561</v>
      </c>
      <c r="EZ35" s="272">
        <v>1001120</v>
      </c>
      <c r="FA35" s="272">
        <v>0</v>
      </c>
      <c r="FB35" s="272"/>
      <c r="FC35" s="272">
        <v>2215488</v>
      </c>
      <c r="FD35" s="272">
        <v>1225123</v>
      </c>
      <c r="FE35" s="272">
        <v>429997</v>
      </c>
      <c r="FF35" s="272">
        <v>1211432</v>
      </c>
      <c r="FG35" s="455">
        <f t="shared" si="14"/>
        <v>1255675</v>
      </c>
      <c r="FH35" s="272">
        <v>12988936</v>
      </c>
      <c r="FI35" s="384">
        <f t="shared" si="15"/>
        <v>2.2000000000000002</v>
      </c>
      <c r="FJ35" s="272">
        <v>10565622</v>
      </c>
      <c r="FK35" s="272"/>
      <c r="FL35" s="272">
        <v>6511820</v>
      </c>
      <c r="FM35" s="272">
        <v>8441233</v>
      </c>
      <c r="FN35" s="460">
        <v>0.77500000000000002</v>
      </c>
      <c r="FO35" s="388">
        <v>93.8</v>
      </c>
      <c r="FP35" s="388">
        <v>40.1</v>
      </c>
      <c r="FQ35" s="388">
        <v>3.5</v>
      </c>
      <c r="FR35" s="388">
        <v>15</v>
      </c>
      <c r="FS35" s="388">
        <v>21.5</v>
      </c>
      <c r="FT35" s="388">
        <v>10</v>
      </c>
      <c r="FU35" s="388">
        <v>3.7</v>
      </c>
      <c r="FV35" s="388">
        <v>9.3000000000000007</v>
      </c>
      <c r="FW35" s="272">
        <v>20933006</v>
      </c>
      <c r="FX35" s="384">
        <f t="shared" si="16"/>
        <v>198.1</v>
      </c>
      <c r="FY35" s="272">
        <v>3818800</v>
      </c>
      <c r="FZ35" s="272">
        <v>2920000</v>
      </c>
      <c r="GA35" s="272">
        <v>120000</v>
      </c>
      <c r="GB35" s="272">
        <v>778800</v>
      </c>
      <c r="GC35" s="272"/>
      <c r="GD35" s="272">
        <v>6585937</v>
      </c>
      <c r="GE35" s="384">
        <f t="shared" si="17"/>
        <v>62.3</v>
      </c>
      <c r="GF35" s="388">
        <v>97.6</v>
      </c>
      <c r="GG35" s="388">
        <v>26.1</v>
      </c>
      <c r="GH35" s="388">
        <v>93.9</v>
      </c>
      <c r="GI35" s="272">
        <v>513</v>
      </c>
    </row>
    <row r="36" spans="2:191" x14ac:dyDescent="0.15">
      <c r="B36" s="89" t="s">
        <v>65</v>
      </c>
      <c r="C36" s="272">
        <v>6127048</v>
      </c>
      <c r="D36" s="455">
        <f t="shared" si="0"/>
        <v>2809730</v>
      </c>
      <c r="E36" s="272">
        <v>39218</v>
      </c>
      <c r="F36" s="272">
        <v>2770512</v>
      </c>
      <c r="G36" s="455">
        <f t="shared" si="1"/>
        <v>190272</v>
      </c>
      <c r="H36" s="272">
        <v>63816</v>
      </c>
      <c r="I36" s="272">
        <v>126456</v>
      </c>
      <c r="J36" s="272">
        <v>2384987</v>
      </c>
      <c r="K36" s="272">
        <v>1205666</v>
      </c>
      <c r="L36" s="272">
        <v>924722</v>
      </c>
      <c r="M36" s="272">
        <v>226340</v>
      </c>
      <c r="N36" s="272">
        <v>212928</v>
      </c>
      <c r="O36" s="272">
        <v>407298</v>
      </c>
      <c r="P36" s="272">
        <v>275145</v>
      </c>
      <c r="Q36" s="272">
        <v>132153</v>
      </c>
      <c r="R36" s="272">
        <v>328024</v>
      </c>
      <c r="S36" s="272">
        <v>214017</v>
      </c>
      <c r="T36" s="455">
        <f t="shared" si="2"/>
        <v>421341</v>
      </c>
      <c r="U36" s="272">
        <v>241019</v>
      </c>
      <c r="V36" s="272"/>
      <c r="W36" s="272"/>
      <c r="X36" s="272"/>
      <c r="Y36" s="272">
        <v>9649</v>
      </c>
      <c r="Z36" s="272">
        <v>817</v>
      </c>
      <c r="AA36" s="272">
        <v>169856</v>
      </c>
      <c r="AB36" s="272"/>
      <c r="AC36" s="272">
        <v>3119281</v>
      </c>
      <c r="AD36" s="272">
        <v>2819243</v>
      </c>
      <c r="AE36" s="272">
        <v>300038</v>
      </c>
      <c r="AF36" s="272">
        <v>15502</v>
      </c>
      <c r="AG36" s="272">
        <v>65207</v>
      </c>
      <c r="AH36" s="455">
        <f t="shared" si="3"/>
        <v>230188</v>
      </c>
      <c r="AI36" s="272">
        <v>205501</v>
      </c>
      <c r="AJ36" s="272">
        <v>24687</v>
      </c>
      <c r="AK36" s="272">
        <v>2392864</v>
      </c>
      <c r="AL36" s="455">
        <f t="shared" si="4"/>
        <v>630139</v>
      </c>
      <c r="AM36" s="272">
        <v>404580</v>
      </c>
      <c r="AN36" s="272">
        <v>159463</v>
      </c>
      <c r="AO36" s="272">
        <v>0</v>
      </c>
      <c r="AP36" s="272">
        <v>66096</v>
      </c>
      <c r="AQ36" s="272">
        <v>1449931</v>
      </c>
      <c r="AR36" s="272">
        <v>89149</v>
      </c>
      <c r="AS36" s="272">
        <v>0</v>
      </c>
      <c r="AT36" s="272">
        <v>850435</v>
      </c>
      <c r="AU36" s="272">
        <v>246426</v>
      </c>
      <c r="AV36" s="272">
        <v>55765</v>
      </c>
      <c r="AW36" s="272">
        <v>0</v>
      </c>
      <c r="AX36" s="272">
        <v>604009</v>
      </c>
      <c r="AY36" s="272">
        <v>179298</v>
      </c>
      <c r="AZ36" s="272">
        <v>112202</v>
      </c>
      <c r="BA36" s="272">
        <v>60212</v>
      </c>
      <c r="BB36" s="272">
        <v>86490</v>
      </c>
      <c r="BC36" s="272">
        <v>3508173</v>
      </c>
      <c r="BD36" s="272">
        <v>1111015</v>
      </c>
      <c r="BE36" s="272">
        <v>38609</v>
      </c>
      <c r="BF36" s="272">
        <v>2356558</v>
      </c>
      <c r="BG36" s="272">
        <v>0</v>
      </c>
      <c r="BH36" s="272">
        <v>615690</v>
      </c>
      <c r="BI36" s="272">
        <v>499046</v>
      </c>
      <c r="BJ36" s="272">
        <v>6030437</v>
      </c>
      <c r="BK36" s="272">
        <v>12171</v>
      </c>
      <c r="BL36" s="272">
        <v>0</v>
      </c>
      <c r="BM36" s="272">
        <v>0</v>
      </c>
      <c r="BN36" s="272">
        <v>2311400</v>
      </c>
      <c r="BO36" s="455">
        <f t="shared" si="5"/>
        <v>1814800</v>
      </c>
      <c r="BP36" s="455">
        <f t="shared" si="6"/>
        <v>496600</v>
      </c>
      <c r="BQ36" s="272">
        <v>496600</v>
      </c>
      <c r="BR36" s="272"/>
      <c r="BS36" s="272"/>
      <c r="BT36" s="272">
        <v>0</v>
      </c>
      <c r="BU36" s="272">
        <v>26214282</v>
      </c>
      <c r="BV36" s="272"/>
      <c r="BW36" s="272">
        <v>4580536</v>
      </c>
      <c r="BX36" s="272">
        <v>3502734</v>
      </c>
      <c r="BY36" s="272">
        <v>198618</v>
      </c>
      <c r="BZ36" s="272">
        <v>18199</v>
      </c>
      <c r="CA36" s="272">
        <v>1290833</v>
      </c>
      <c r="CB36" s="272">
        <v>221751</v>
      </c>
      <c r="CC36" s="272">
        <v>331257</v>
      </c>
      <c r="CD36" s="272">
        <v>200136</v>
      </c>
      <c r="CE36" s="272">
        <v>523084</v>
      </c>
      <c r="CF36" s="272">
        <v>3314</v>
      </c>
      <c r="CG36" s="272">
        <v>11291</v>
      </c>
      <c r="CH36" s="272">
        <v>1460180</v>
      </c>
      <c r="CI36" s="272">
        <v>679682</v>
      </c>
      <c r="CJ36" s="455">
        <f t="shared" si="7"/>
        <v>780498</v>
      </c>
      <c r="CK36" s="272">
        <v>2349792</v>
      </c>
      <c r="CL36" s="272">
        <v>1112545</v>
      </c>
      <c r="CM36" s="272">
        <v>290425</v>
      </c>
      <c r="CN36" s="272">
        <v>490558</v>
      </c>
      <c r="CO36" s="272">
        <v>134094</v>
      </c>
      <c r="CP36" s="272">
        <v>1469869</v>
      </c>
      <c r="CQ36" s="272">
        <v>467450</v>
      </c>
      <c r="CR36" s="272">
        <v>240883</v>
      </c>
      <c r="CS36" s="272">
        <v>240883</v>
      </c>
      <c r="CT36" s="455">
        <f t="shared" si="8"/>
        <v>372047</v>
      </c>
      <c r="CU36" s="272">
        <v>222123</v>
      </c>
      <c r="CV36" s="272">
        <v>149924</v>
      </c>
      <c r="CW36" s="455">
        <f t="shared" si="9"/>
        <v>364047</v>
      </c>
      <c r="CX36" s="272">
        <v>214123</v>
      </c>
      <c r="CY36" s="272">
        <v>149924</v>
      </c>
      <c r="CZ36" s="455">
        <f t="shared" si="10"/>
        <v>0</v>
      </c>
      <c r="DA36" s="272">
        <v>0</v>
      </c>
      <c r="DB36" s="272">
        <v>0</v>
      </c>
      <c r="DC36" s="272">
        <v>9405953</v>
      </c>
      <c r="DD36" s="272">
        <v>3940525</v>
      </c>
      <c r="DE36" s="272">
        <v>5455165</v>
      </c>
      <c r="DF36" s="272">
        <v>3600</v>
      </c>
      <c r="DG36" s="272">
        <v>6663</v>
      </c>
      <c r="DH36" s="272">
        <v>252881</v>
      </c>
      <c r="DI36" s="272">
        <v>3611125</v>
      </c>
      <c r="DJ36" s="272">
        <v>1464219</v>
      </c>
      <c r="DK36" s="272">
        <v>3592</v>
      </c>
      <c r="DL36" s="272">
        <v>2143314</v>
      </c>
      <c r="DM36" s="272">
        <v>25000</v>
      </c>
      <c r="DN36" s="272">
        <v>20000</v>
      </c>
      <c r="DO36" s="272">
        <v>20000</v>
      </c>
      <c r="DP36" s="272">
        <v>0</v>
      </c>
      <c r="DQ36" s="272">
        <v>607702</v>
      </c>
      <c r="DR36" s="272">
        <v>60000</v>
      </c>
      <c r="DS36" s="272">
        <v>60000</v>
      </c>
      <c r="DT36" s="272">
        <v>799312</v>
      </c>
      <c r="DU36" s="272">
        <v>476382</v>
      </c>
      <c r="DV36" s="455">
        <f t="shared" si="11"/>
        <v>0</v>
      </c>
      <c r="DW36" s="272">
        <v>0</v>
      </c>
      <c r="DX36" s="272">
        <v>0</v>
      </c>
      <c r="DY36" s="272">
        <v>0</v>
      </c>
      <c r="DZ36" s="272">
        <v>123752</v>
      </c>
      <c r="EA36" s="272">
        <v>199124</v>
      </c>
      <c r="EB36" s="272"/>
      <c r="EC36" s="272">
        <v>0</v>
      </c>
      <c r="ED36" s="272">
        <v>25987277</v>
      </c>
      <c r="EF36" s="272">
        <v>227005</v>
      </c>
      <c r="EG36" s="272">
        <v>0</v>
      </c>
      <c r="EH36" s="272">
        <v>227005</v>
      </c>
      <c r="EI36" s="272">
        <v>-272041</v>
      </c>
      <c r="EJ36" s="272">
        <v>81163</v>
      </c>
      <c r="EL36" s="272">
        <v>55625</v>
      </c>
      <c r="EM36" s="272">
        <v>56591</v>
      </c>
      <c r="EN36" s="272">
        <v>2328185</v>
      </c>
      <c r="EO36" s="272">
        <v>25757</v>
      </c>
      <c r="EP36" s="455">
        <f t="shared" si="12"/>
        <v>691421</v>
      </c>
      <c r="EQ36" s="272">
        <v>10011196</v>
      </c>
      <c r="ER36" s="272">
        <v>-3526461</v>
      </c>
      <c r="ES36" s="272">
        <v>4254059</v>
      </c>
      <c r="ET36" s="272">
        <v>3176257</v>
      </c>
      <c r="EU36" s="272">
        <v>331660</v>
      </c>
      <c r="EV36" s="272">
        <v>1460180</v>
      </c>
      <c r="EW36" s="455">
        <f t="shared" si="13"/>
        <v>1160375</v>
      </c>
      <c r="EX36" s="272">
        <v>1068643</v>
      </c>
      <c r="EY36" s="272">
        <v>107554</v>
      </c>
      <c r="EZ36" s="272">
        <v>960889</v>
      </c>
      <c r="FA36" s="272">
        <v>91732</v>
      </c>
      <c r="FB36" s="272"/>
      <c r="FC36" s="272">
        <v>1825791</v>
      </c>
      <c r="FD36" s="272">
        <v>1264872</v>
      </c>
      <c r="FE36" s="272">
        <v>467450</v>
      </c>
      <c r="FF36" s="272">
        <v>731827</v>
      </c>
      <c r="FG36" s="455">
        <f t="shared" si="14"/>
        <v>2281888</v>
      </c>
      <c r="FH36" s="272">
        <v>13310652</v>
      </c>
      <c r="FI36" s="384">
        <f t="shared" si="15"/>
        <v>2.4</v>
      </c>
      <c r="FJ36" s="272">
        <v>9575653</v>
      </c>
      <c r="FK36" s="272"/>
      <c r="FL36" s="272">
        <v>5099060</v>
      </c>
      <c r="FM36" s="272">
        <v>7920978</v>
      </c>
      <c r="FN36" s="460">
        <v>0.66</v>
      </c>
      <c r="FO36" s="388">
        <v>98</v>
      </c>
      <c r="FP36" s="388">
        <v>45</v>
      </c>
      <c r="FQ36" s="388">
        <v>3.5</v>
      </c>
      <c r="FR36" s="388">
        <v>15.6</v>
      </c>
      <c r="FS36" s="388">
        <v>19</v>
      </c>
      <c r="FT36" s="388">
        <v>9.6999999999999993</v>
      </c>
      <c r="FU36" s="388">
        <v>3.7</v>
      </c>
      <c r="FV36" s="388">
        <v>11.2</v>
      </c>
      <c r="FW36" s="272">
        <v>16609557</v>
      </c>
      <c r="FX36" s="384">
        <f t="shared" si="16"/>
        <v>173.5</v>
      </c>
      <c r="FY36" s="272">
        <v>4439693</v>
      </c>
      <c r="FZ36" s="272">
        <v>2448618</v>
      </c>
      <c r="GA36" s="272">
        <v>232317</v>
      </c>
      <c r="GB36" s="272">
        <v>1758758</v>
      </c>
      <c r="GC36" s="272"/>
      <c r="GD36" s="272">
        <v>53790</v>
      </c>
      <c r="GE36" s="384">
        <f t="shared" si="17"/>
        <v>0.6</v>
      </c>
      <c r="GF36" s="388">
        <v>96.5</v>
      </c>
      <c r="GG36" s="388">
        <v>30.9</v>
      </c>
      <c r="GH36" s="388">
        <v>90.9</v>
      </c>
      <c r="GI36" s="272">
        <v>545</v>
      </c>
    </row>
    <row r="37" spans="2:191" x14ac:dyDescent="0.15">
      <c r="B37" s="21" t="s">
        <v>67</v>
      </c>
      <c r="C37" s="272">
        <f>SUM(C6:C36)</f>
        <v>811148790</v>
      </c>
      <c r="D37" s="455">
        <f t="shared" si="0"/>
        <v>305933943</v>
      </c>
      <c r="E37" s="272">
        <f>SUM(E6:E36)</f>
        <v>3860789</v>
      </c>
      <c r="F37" s="272">
        <f>SUM(F6:F36)</f>
        <v>302073154</v>
      </c>
      <c r="G37" s="455">
        <f t="shared" si="1"/>
        <v>65605334</v>
      </c>
      <c r="H37" s="272">
        <f t="shared" ref="H37:S37" si="18">SUM(H6:H36)</f>
        <v>11067536</v>
      </c>
      <c r="I37" s="272">
        <f t="shared" si="18"/>
        <v>54537798</v>
      </c>
      <c r="J37" s="272">
        <f t="shared" si="18"/>
        <v>322134271</v>
      </c>
      <c r="K37" s="272">
        <f t="shared" si="18"/>
        <v>165888216</v>
      </c>
      <c r="L37" s="272">
        <f t="shared" si="18"/>
        <v>105518489</v>
      </c>
      <c r="M37" s="272">
        <f t="shared" si="18"/>
        <v>46362825</v>
      </c>
      <c r="N37" s="272">
        <f t="shared" si="18"/>
        <v>26147496</v>
      </c>
      <c r="O37" s="272">
        <f t="shared" si="18"/>
        <v>76469702</v>
      </c>
      <c r="P37" s="272">
        <f t="shared" si="18"/>
        <v>53533485</v>
      </c>
      <c r="Q37" s="272">
        <f t="shared" si="18"/>
        <v>22936217</v>
      </c>
      <c r="R37" s="272">
        <f t="shared" si="18"/>
        <v>34763322</v>
      </c>
      <c r="S37" s="272">
        <f t="shared" si="18"/>
        <v>23098179</v>
      </c>
      <c r="T37" s="455">
        <f t="shared" si="2"/>
        <v>43107711</v>
      </c>
      <c r="U37" s="272">
        <f>SUM(U6:U36)</f>
        <v>27695022</v>
      </c>
      <c r="V37" s="272"/>
      <c r="W37" s="272"/>
      <c r="X37" s="272"/>
      <c r="Y37" s="272">
        <f>SUM(Y6:Y36)</f>
        <v>1222875</v>
      </c>
      <c r="Z37" s="272">
        <f>SUM(Z6:Z36)</f>
        <v>252413</v>
      </c>
      <c r="AA37" s="272">
        <f>SUM(AA6:AA36)</f>
        <v>13937401</v>
      </c>
      <c r="AB37" s="272"/>
      <c r="AC37" s="272">
        <f>SUM(AC6:AC36)</f>
        <v>87641036</v>
      </c>
      <c r="AD37" s="272">
        <f>SUM(AD6:AD36)</f>
        <v>75994903</v>
      </c>
      <c r="AE37" s="272">
        <f>SUM(AE6:AE36)</f>
        <v>11646133</v>
      </c>
      <c r="AF37" s="272">
        <f>SUM(AF6:AF36)</f>
        <v>1108723</v>
      </c>
      <c r="AG37" s="272">
        <f>SUM(AG6:AG36)</f>
        <v>18264621</v>
      </c>
      <c r="AH37" s="455">
        <f t="shared" si="3"/>
        <v>29853614</v>
      </c>
      <c r="AI37" s="272">
        <f>SUM(AI6:AI36)</f>
        <v>23078233</v>
      </c>
      <c r="AJ37" s="272">
        <f>SUM(AJ6:AJ36)</f>
        <v>6775381</v>
      </c>
      <c r="AK37" s="272">
        <f>SUM(AK6:AK36)</f>
        <v>139215835</v>
      </c>
      <c r="AL37" s="455">
        <f t="shared" si="4"/>
        <v>75506149</v>
      </c>
      <c r="AM37" s="272">
        <f t="shared" ref="AM37:BN37" si="19">SUM(AM6:AM36)</f>
        <v>56580261</v>
      </c>
      <c r="AN37" s="272">
        <f t="shared" si="19"/>
        <v>11745318</v>
      </c>
      <c r="AO37" s="272">
        <f t="shared" si="19"/>
        <v>95630</v>
      </c>
      <c r="AP37" s="272">
        <f t="shared" si="19"/>
        <v>7084940</v>
      </c>
      <c r="AQ37" s="272">
        <f t="shared" si="19"/>
        <v>31572614</v>
      </c>
      <c r="AR37" s="272">
        <f t="shared" si="19"/>
        <v>1029435</v>
      </c>
      <c r="AS37" s="272">
        <f t="shared" si="19"/>
        <v>330785</v>
      </c>
      <c r="AT37" s="272">
        <f t="shared" si="19"/>
        <v>88676671</v>
      </c>
      <c r="AU37" s="272">
        <f t="shared" si="19"/>
        <v>31105016</v>
      </c>
      <c r="AV37" s="272">
        <f t="shared" si="19"/>
        <v>5754158</v>
      </c>
      <c r="AW37" s="272">
        <f t="shared" si="19"/>
        <v>3219843</v>
      </c>
      <c r="AX37" s="272">
        <f t="shared" si="19"/>
        <v>57571655</v>
      </c>
      <c r="AY37" s="272">
        <f t="shared" si="19"/>
        <v>17188479</v>
      </c>
      <c r="AZ37" s="272">
        <f t="shared" si="19"/>
        <v>24003518</v>
      </c>
      <c r="BA37" s="272">
        <f t="shared" si="19"/>
        <v>16000141</v>
      </c>
      <c r="BB37" s="272">
        <f t="shared" si="19"/>
        <v>12420176</v>
      </c>
      <c r="BC37" s="272">
        <f t="shared" si="19"/>
        <v>66685556</v>
      </c>
      <c r="BD37" s="272">
        <f t="shared" si="19"/>
        <v>11260177</v>
      </c>
      <c r="BE37" s="272">
        <f t="shared" si="19"/>
        <v>2846758</v>
      </c>
      <c r="BF37" s="272">
        <f t="shared" si="19"/>
        <v>50420855</v>
      </c>
      <c r="BG37" s="272">
        <f t="shared" si="19"/>
        <v>245028</v>
      </c>
      <c r="BH37" s="272">
        <f t="shared" si="19"/>
        <v>18298223</v>
      </c>
      <c r="BI37" s="272">
        <f t="shared" si="19"/>
        <v>9027195</v>
      </c>
      <c r="BJ37" s="272">
        <f t="shared" si="19"/>
        <v>61900274</v>
      </c>
      <c r="BK37" s="272">
        <f t="shared" si="19"/>
        <v>29677458</v>
      </c>
      <c r="BL37" s="272">
        <f t="shared" si="19"/>
        <v>1870378</v>
      </c>
      <c r="BM37" s="272">
        <f t="shared" si="19"/>
        <v>7264288</v>
      </c>
      <c r="BN37" s="272">
        <f t="shared" si="19"/>
        <v>207447565</v>
      </c>
      <c r="BO37" s="455">
        <f t="shared" si="5"/>
        <v>157241965</v>
      </c>
      <c r="BP37" s="455">
        <f t="shared" si="6"/>
        <v>50205600</v>
      </c>
      <c r="BQ37" s="272">
        <f>SUM(BQ6:BQ36)</f>
        <v>50205600</v>
      </c>
      <c r="BR37" s="272"/>
      <c r="BS37" s="272"/>
      <c r="BT37" s="272">
        <v>0</v>
      </c>
      <c r="BU37" s="272">
        <f>SUM(BU6:BU36)</f>
        <v>1644866420</v>
      </c>
      <c r="BV37" s="272"/>
      <c r="BW37" s="272">
        <f t="shared" ref="BW37:CI37" si="20">SUM(BW6:BW36)</f>
        <v>427525812</v>
      </c>
      <c r="BX37" s="272">
        <f t="shared" si="20"/>
        <v>320607008</v>
      </c>
      <c r="BY37" s="272">
        <f t="shared" si="20"/>
        <v>25257073</v>
      </c>
      <c r="BZ37" s="272">
        <f t="shared" si="20"/>
        <v>13875266</v>
      </c>
      <c r="CA37" s="272">
        <f t="shared" si="20"/>
        <v>181234985</v>
      </c>
      <c r="CB37" s="272">
        <f t="shared" si="20"/>
        <v>19696694</v>
      </c>
      <c r="CC37" s="272">
        <f t="shared" si="20"/>
        <v>38208882</v>
      </c>
      <c r="CD37" s="272">
        <f t="shared" si="20"/>
        <v>37628515</v>
      </c>
      <c r="CE37" s="272">
        <f t="shared" si="20"/>
        <v>74341722</v>
      </c>
      <c r="CF37" s="272">
        <f t="shared" si="20"/>
        <v>8176079</v>
      </c>
      <c r="CG37" s="272">
        <f t="shared" si="20"/>
        <v>2943566</v>
      </c>
      <c r="CH37" s="272">
        <f t="shared" si="20"/>
        <v>131347392</v>
      </c>
      <c r="CI37" s="272">
        <f t="shared" si="20"/>
        <v>72073126</v>
      </c>
      <c r="CJ37" s="455">
        <f t="shared" si="7"/>
        <v>59274266</v>
      </c>
      <c r="CK37" s="272">
        <f t="shared" ref="CK37:CS37" si="21">SUM(CK6:CK36)</f>
        <v>170479458</v>
      </c>
      <c r="CL37" s="272">
        <f t="shared" si="21"/>
        <v>95228598</v>
      </c>
      <c r="CM37" s="272">
        <f t="shared" si="21"/>
        <v>8183783</v>
      </c>
      <c r="CN37" s="272">
        <f t="shared" si="21"/>
        <v>38448078</v>
      </c>
      <c r="CO37" s="272">
        <f t="shared" si="21"/>
        <v>16657716</v>
      </c>
      <c r="CP37" s="272">
        <f t="shared" si="21"/>
        <v>118266430</v>
      </c>
      <c r="CQ37" s="272">
        <f t="shared" si="21"/>
        <v>38925044</v>
      </c>
      <c r="CR37" s="272">
        <f t="shared" si="21"/>
        <v>32875580</v>
      </c>
      <c r="CS37" s="272">
        <f t="shared" si="21"/>
        <v>26918296</v>
      </c>
      <c r="CT37" s="455">
        <f t="shared" si="8"/>
        <v>20979561</v>
      </c>
      <c r="CU37" s="272">
        <f>SUM(CU6:CU36)</f>
        <v>7897849</v>
      </c>
      <c r="CV37" s="272">
        <f>SUM(CV6:CV36)</f>
        <v>13081712</v>
      </c>
      <c r="CW37" s="455">
        <f t="shared" si="9"/>
        <v>15646531</v>
      </c>
      <c r="CX37" s="272">
        <f>SUM(CX6:CX36)</f>
        <v>7006402</v>
      </c>
      <c r="CY37" s="272">
        <f>SUM(CY6:CY36)</f>
        <v>8640129</v>
      </c>
      <c r="CZ37" s="455">
        <f t="shared" si="10"/>
        <v>0</v>
      </c>
      <c r="DA37" s="272">
        <f t="shared" ref="DA37:DU37" si="22">SUM(DA6:DA36)</f>
        <v>0</v>
      </c>
      <c r="DB37" s="272">
        <f t="shared" si="22"/>
        <v>0</v>
      </c>
      <c r="DC37" s="272">
        <f t="shared" si="22"/>
        <v>351824638</v>
      </c>
      <c r="DD37" s="272">
        <f t="shared" si="22"/>
        <v>68502132</v>
      </c>
      <c r="DE37" s="272">
        <f t="shared" si="22"/>
        <v>266877292</v>
      </c>
      <c r="DF37" s="272">
        <f t="shared" si="22"/>
        <v>3404301</v>
      </c>
      <c r="DG37" s="272">
        <f t="shared" si="22"/>
        <v>12670285</v>
      </c>
      <c r="DH37" s="272">
        <f t="shared" si="22"/>
        <v>5060021</v>
      </c>
      <c r="DI37" s="272">
        <f t="shared" si="22"/>
        <v>47756913</v>
      </c>
      <c r="DJ37" s="272">
        <f t="shared" si="22"/>
        <v>14957349</v>
      </c>
      <c r="DK37" s="272">
        <f t="shared" si="22"/>
        <v>3536230</v>
      </c>
      <c r="DL37" s="272">
        <f t="shared" si="22"/>
        <v>29263334</v>
      </c>
      <c r="DM37" s="272">
        <f t="shared" si="22"/>
        <v>8345074</v>
      </c>
      <c r="DN37" s="272">
        <f t="shared" si="22"/>
        <v>6421974</v>
      </c>
      <c r="DO37" s="272">
        <f t="shared" si="22"/>
        <v>1244731</v>
      </c>
      <c r="DP37" s="272">
        <f t="shared" si="22"/>
        <v>5177243</v>
      </c>
      <c r="DQ37" s="272">
        <f t="shared" si="22"/>
        <v>32527723</v>
      </c>
      <c r="DR37" s="272">
        <f t="shared" si="22"/>
        <v>1071457</v>
      </c>
      <c r="DS37" s="272">
        <f t="shared" si="22"/>
        <v>1060000</v>
      </c>
      <c r="DT37" s="272">
        <f t="shared" si="22"/>
        <v>136348469</v>
      </c>
      <c r="DU37" s="272">
        <f t="shared" si="22"/>
        <v>83719400</v>
      </c>
      <c r="DV37" s="455">
        <f t="shared" si="11"/>
        <v>1659552</v>
      </c>
      <c r="DW37" s="272">
        <f>SUM(DW6:DW36)</f>
        <v>1659552</v>
      </c>
      <c r="DX37" s="272">
        <v>0</v>
      </c>
      <c r="DY37" s="272">
        <f>SUM(DY6:DY36)</f>
        <v>885461</v>
      </c>
      <c r="DZ37" s="272">
        <f>SUM(DZ6:DZ36)</f>
        <v>32364754</v>
      </c>
      <c r="EA37" s="272">
        <f>SUM(EA6:EA36)</f>
        <v>16732405</v>
      </c>
      <c r="EB37" s="272"/>
      <c r="EC37" s="272">
        <f>SUM(EC6:EC36)</f>
        <v>40068</v>
      </c>
      <c r="ED37" s="272">
        <f>SUM(ED6:ED36)</f>
        <v>1627414699</v>
      </c>
      <c r="EF37" s="272">
        <f>SUM(EF6:EF36)</f>
        <v>17451721</v>
      </c>
      <c r="EG37" s="272">
        <f>SUM(EG6:EG36)</f>
        <v>10349163</v>
      </c>
      <c r="EH37" s="272">
        <f>SUM(EH6:EH36)</f>
        <v>7102558</v>
      </c>
      <c r="EI37" s="272">
        <f>SUM(EI6:EI36)</f>
        <v>-1844411</v>
      </c>
      <c r="EJ37" s="272">
        <f>SUM(EJ6:EJ36)</f>
        <v>1852761</v>
      </c>
      <c r="EL37" s="272">
        <f>SUM(EL6:EL36)</f>
        <v>5162342</v>
      </c>
      <c r="EM37" s="272">
        <f>SUM(EM6:EM36)</f>
        <v>5087551</v>
      </c>
      <c r="EN37" s="272">
        <f>SUM(EN6:EN36)</f>
        <v>27550272</v>
      </c>
      <c r="EO37" s="272">
        <f>SUM(EO6:EO36)</f>
        <v>8557748</v>
      </c>
      <c r="EP37" s="455">
        <f t="shared" si="12"/>
        <v>48512784</v>
      </c>
      <c r="EQ37" s="272">
        <f t="shared" ref="EQ37:EV37" si="23">SUM(EQ6:EQ36)</f>
        <v>978100367</v>
      </c>
      <c r="ER37" s="272">
        <f t="shared" si="23"/>
        <v>-133386896</v>
      </c>
      <c r="ES37" s="272">
        <f t="shared" si="23"/>
        <v>393981875</v>
      </c>
      <c r="ET37" s="272">
        <f t="shared" si="23"/>
        <v>290759998</v>
      </c>
      <c r="EU37" s="272">
        <f t="shared" si="23"/>
        <v>54017888</v>
      </c>
      <c r="EV37" s="272">
        <f t="shared" si="23"/>
        <v>125968483</v>
      </c>
      <c r="EW37" s="455">
        <f t="shared" si="13"/>
        <v>100250430</v>
      </c>
      <c r="EX37" s="272">
        <f>SUM(EX6:EX36)</f>
        <v>98211854</v>
      </c>
      <c r="EY37" s="272">
        <f>SUM(EY6:EY36)</f>
        <v>6974627</v>
      </c>
      <c r="EZ37" s="272">
        <f>SUM(EZ6:EZ36)</f>
        <v>89754387</v>
      </c>
      <c r="FA37" s="272">
        <f>SUM(FA6:FA36)</f>
        <v>2038576</v>
      </c>
      <c r="FB37" s="272"/>
      <c r="FC37" s="272">
        <f>SUM(FC6:FC36)</f>
        <v>131936455</v>
      </c>
      <c r="FD37" s="272">
        <f>SUM(FD6:FD36)</f>
        <v>103327207</v>
      </c>
      <c r="FE37" s="272">
        <f>SUM(FE6:FE36)</f>
        <v>38798644</v>
      </c>
      <c r="FF37" s="272">
        <f>SUM(FF6:FF36)</f>
        <v>131204176</v>
      </c>
      <c r="FG37" s="455">
        <f t="shared" si="14"/>
        <v>53934259</v>
      </c>
      <c r="FH37" s="272">
        <f>SUM(FH6:FH36)</f>
        <v>1094620773</v>
      </c>
      <c r="FI37" s="384">
        <f t="shared" si="15"/>
        <v>0.8</v>
      </c>
      <c r="FJ37" s="272">
        <f>SUM(FJ6:FJ36)</f>
        <v>919029799</v>
      </c>
      <c r="FK37" s="272">
        <f>SUM(FK6:FK36)</f>
        <v>0</v>
      </c>
      <c r="FL37" s="272">
        <f>SUM(FL6:FL36)</f>
        <v>635430723</v>
      </c>
      <c r="FM37" s="272">
        <f>SUM(FM6:FM36)</f>
        <v>689575602</v>
      </c>
      <c r="FN37" s="468">
        <v>0.94099999999999995</v>
      </c>
      <c r="FO37" s="469">
        <v>95.4</v>
      </c>
      <c r="FP37" s="469">
        <v>42.7</v>
      </c>
      <c r="FQ37" s="469">
        <v>6.2</v>
      </c>
      <c r="FR37" s="469">
        <v>13.6</v>
      </c>
      <c r="FS37" s="469">
        <v>13.8</v>
      </c>
      <c r="FT37" s="469">
        <v>9.6999999999999993</v>
      </c>
      <c r="FU37" s="469">
        <v>7.7</v>
      </c>
      <c r="FV37" s="469">
        <v>9.8000000000000007</v>
      </c>
      <c r="FW37" s="272">
        <f>SUM(FW6:FW36)</f>
        <v>1290341062</v>
      </c>
      <c r="FX37" s="384">
        <f t="shared" si="16"/>
        <v>140.4</v>
      </c>
      <c r="FY37" s="272">
        <f t="shared" ref="FY37:GD37" si="24">SUM(FY6:FY36)</f>
        <v>374182711</v>
      </c>
      <c r="FZ37" s="272">
        <f t="shared" si="24"/>
        <v>86094205</v>
      </c>
      <c r="GA37" s="272">
        <f t="shared" si="24"/>
        <v>28660931</v>
      </c>
      <c r="GB37" s="272">
        <f t="shared" si="24"/>
        <v>259427575</v>
      </c>
      <c r="GC37" s="272">
        <f t="shared" si="24"/>
        <v>0</v>
      </c>
      <c r="GD37" s="272">
        <f t="shared" si="24"/>
        <v>443672031</v>
      </c>
      <c r="GE37" s="384">
        <f t="shared" si="17"/>
        <v>48.3</v>
      </c>
      <c r="GF37" s="469">
        <v>97.5</v>
      </c>
      <c r="GG37" s="469">
        <v>26.1</v>
      </c>
      <c r="GH37" s="469">
        <v>93.2</v>
      </c>
      <c r="GI37" s="272">
        <f>SUM(GI6:GI36)</f>
        <v>42126</v>
      </c>
    </row>
    <row r="38" spans="2:191" x14ac:dyDescent="0.15">
      <c r="B38" s="89" t="s">
        <v>69</v>
      </c>
      <c r="C38" s="272">
        <v>5309071</v>
      </c>
      <c r="D38" s="455">
        <f t="shared" si="0"/>
        <v>1905902</v>
      </c>
      <c r="E38" s="272">
        <v>16486</v>
      </c>
      <c r="F38" s="272">
        <v>1889416</v>
      </c>
      <c r="G38" s="455">
        <f t="shared" si="1"/>
        <v>939749</v>
      </c>
      <c r="H38" s="272">
        <v>64640</v>
      </c>
      <c r="I38" s="272">
        <v>875109</v>
      </c>
      <c r="J38" s="272">
        <v>1968241</v>
      </c>
      <c r="K38" s="272">
        <v>886929</v>
      </c>
      <c r="L38" s="272">
        <v>630463</v>
      </c>
      <c r="M38" s="272">
        <v>426197</v>
      </c>
      <c r="N38" s="272">
        <v>91269</v>
      </c>
      <c r="O38" s="272">
        <v>391135</v>
      </c>
      <c r="P38" s="272">
        <v>265634</v>
      </c>
      <c r="Q38" s="272">
        <v>125501</v>
      </c>
      <c r="R38" s="272">
        <v>178826</v>
      </c>
      <c r="S38" s="272">
        <v>116554</v>
      </c>
      <c r="T38" s="455">
        <f t="shared" si="2"/>
        <v>351901</v>
      </c>
      <c r="U38" s="272">
        <v>169513</v>
      </c>
      <c r="V38" s="272"/>
      <c r="W38" s="272"/>
      <c r="X38" s="272"/>
      <c r="Y38" s="272">
        <v>89788</v>
      </c>
      <c r="Z38" s="272">
        <v>0</v>
      </c>
      <c r="AA38" s="272">
        <v>92600</v>
      </c>
      <c r="AB38" s="272"/>
      <c r="AC38" s="272">
        <v>1105136</v>
      </c>
      <c r="AD38" s="272">
        <v>888366</v>
      </c>
      <c r="AE38" s="272">
        <v>216770</v>
      </c>
      <c r="AF38" s="272">
        <v>4944</v>
      </c>
      <c r="AG38" s="272">
        <v>52413</v>
      </c>
      <c r="AH38" s="455">
        <f t="shared" si="3"/>
        <v>201941</v>
      </c>
      <c r="AI38" s="272">
        <v>156571</v>
      </c>
      <c r="AJ38" s="272">
        <v>45370</v>
      </c>
      <c r="AK38" s="272">
        <v>285629</v>
      </c>
      <c r="AL38" s="455">
        <f t="shared" si="4"/>
        <v>134389</v>
      </c>
      <c r="AM38" s="272">
        <v>56804</v>
      </c>
      <c r="AN38" s="272">
        <v>31179</v>
      </c>
      <c r="AO38" s="272">
        <v>0</v>
      </c>
      <c r="AP38" s="272">
        <v>46406</v>
      </c>
      <c r="AQ38" s="272">
        <v>4529</v>
      </c>
      <c r="AR38" s="272">
        <v>0</v>
      </c>
      <c r="AS38" s="272">
        <v>0</v>
      </c>
      <c r="AT38" s="272">
        <v>735057</v>
      </c>
      <c r="AU38" s="272">
        <v>96576</v>
      </c>
      <c r="AV38" s="272">
        <v>15589</v>
      </c>
      <c r="AW38" s="272">
        <v>0</v>
      </c>
      <c r="AX38" s="272">
        <v>638481</v>
      </c>
      <c r="AY38" s="272">
        <v>419432</v>
      </c>
      <c r="AZ38" s="272">
        <v>89964</v>
      </c>
      <c r="BA38" s="272">
        <v>9284</v>
      </c>
      <c r="BB38" s="272">
        <v>35866</v>
      </c>
      <c r="BC38" s="272">
        <v>678850</v>
      </c>
      <c r="BD38" s="272">
        <v>54400</v>
      </c>
      <c r="BE38" s="272">
        <v>47000</v>
      </c>
      <c r="BF38" s="272">
        <v>526768</v>
      </c>
      <c r="BG38" s="272">
        <v>48797</v>
      </c>
      <c r="BH38" s="272">
        <v>332450</v>
      </c>
      <c r="BI38" s="272">
        <v>216389</v>
      </c>
      <c r="BJ38" s="272">
        <v>45982</v>
      </c>
      <c r="BK38" s="272">
        <v>4146</v>
      </c>
      <c r="BL38" s="272">
        <v>0</v>
      </c>
      <c r="BM38" s="272">
        <v>0</v>
      </c>
      <c r="BN38" s="272">
        <v>4149500</v>
      </c>
      <c r="BO38" s="455">
        <f t="shared" si="5"/>
        <v>3807100</v>
      </c>
      <c r="BP38" s="455">
        <f t="shared" si="6"/>
        <v>342400</v>
      </c>
      <c r="BQ38" s="272">
        <v>342400</v>
      </c>
      <c r="BR38" s="272"/>
      <c r="BS38" s="272"/>
      <c r="BT38" s="272">
        <v>0</v>
      </c>
      <c r="BU38" s="272">
        <v>13557530</v>
      </c>
      <c r="BV38" s="272"/>
      <c r="BW38" s="272">
        <v>2870049</v>
      </c>
      <c r="BX38" s="272">
        <v>2194626</v>
      </c>
      <c r="BY38" s="272">
        <v>106177</v>
      </c>
      <c r="BZ38" s="272">
        <v>25129</v>
      </c>
      <c r="CA38" s="272">
        <v>750731</v>
      </c>
      <c r="CB38" s="272">
        <v>211661</v>
      </c>
      <c r="CC38" s="272">
        <v>279624</v>
      </c>
      <c r="CD38" s="272">
        <v>169394</v>
      </c>
      <c r="CE38" s="272">
        <v>78111</v>
      </c>
      <c r="CF38" s="272">
        <v>0</v>
      </c>
      <c r="CG38" s="272">
        <v>11941</v>
      </c>
      <c r="CH38" s="272">
        <v>1091352</v>
      </c>
      <c r="CI38" s="272">
        <v>599411</v>
      </c>
      <c r="CJ38" s="455">
        <f t="shared" si="7"/>
        <v>491941</v>
      </c>
      <c r="CK38" s="272">
        <v>1160279</v>
      </c>
      <c r="CL38" s="272">
        <v>599323</v>
      </c>
      <c r="CM38" s="272">
        <v>81593</v>
      </c>
      <c r="CN38" s="272">
        <v>277010</v>
      </c>
      <c r="CO38" s="272">
        <v>74567</v>
      </c>
      <c r="CP38" s="272">
        <v>319076</v>
      </c>
      <c r="CQ38" s="272">
        <v>4817</v>
      </c>
      <c r="CR38" s="272">
        <v>121680</v>
      </c>
      <c r="CS38" s="272">
        <v>113681</v>
      </c>
      <c r="CT38" s="455">
        <f t="shared" si="8"/>
        <v>4106</v>
      </c>
      <c r="CU38" s="272">
        <v>4106</v>
      </c>
      <c r="CV38" s="272">
        <v>0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5124682</v>
      </c>
      <c r="DD38" s="272">
        <v>30900</v>
      </c>
      <c r="DE38" s="272">
        <v>5093782</v>
      </c>
      <c r="DF38" s="272">
        <v>0</v>
      </c>
      <c r="DG38" s="272">
        <v>0</v>
      </c>
      <c r="DH38" s="272">
        <v>28927</v>
      </c>
      <c r="DI38" s="272">
        <v>669193</v>
      </c>
      <c r="DJ38" s="272">
        <v>421793</v>
      </c>
      <c r="DK38" s="272">
        <v>6260</v>
      </c>
      <c r="DL38" s="272">
        <v>241140</v>
      </c>
      <c r="DM38" s="272">
        <v>0</v>
      </c>
      <c r="DN38" s="272">
        <v>0</v>
      </c>
      <c r="DO38" s="272">
        <v>0</v>
      </c>
      <c r="DP38" s="272">
        <v>0</v>
      </c>
      <c r="DQ38" s="272">
        <v>3866</v>
      </c>
      <c r="DR38" s="272">
        <v>0</v>
      </c>
      <c r="DS38" s="272">
        <v>0</v>
      </c>
      <c r="DT38" s="272">
        <v>740416</v>
      </c>
      <c r="DU38" s="272">
        <v>535201</v>
      </c>
      <c r="DV38" s="455">
        <f t="shared" si="11"/>
        <v>0</v>
      </c>
      <c r="DW38" s="272">
        <v>0</v>
      </c>
      <c r="DX38" s="272">
        <v>0</v>
      </c>
      <c r="DY38" s="272">
        <v>0</v>
      </c>
      <c r="DZ38" s="272">
        <v>109514</v>
      </c>
      <c r="EA38" s="272">
        <v>88027</v>
      </c>
      <c r="EB38" s="272"/>
      <c r="EC38" s="272">
        <v>0</v>
      </c>
      <c r="ED38" s="272">
        <v>12833138</v>
      </c>
      <c r="EF38" s="272">
        <v>724392</v>
      </c>
      <c r="EG38" s="272">
        <v>468247</v>
      </c>
      <c r="EH38" s="272">
        <v>256145</v>
      </c>
      <c r="EI38" s="272">
        <v>39756</v>
      </c>
      <c r="EJ38" s="272">
        <v>407149</v>
      </c>
      <c r="EL38" s="272">
        <v>30339</v>
      </c>
      <c r="EM38" s="272">
        <v>30042</v>
      </c>
      <c r="EN38" s="272">
        <v>157500</v>
      </c>
      <c r="EO38" s="272">
        <v>10911</v>
      </c>
      <c r="EP38" s="455">
        <f t="shared" si="12"/>
        <v>472148</v>
      </c>
      <c r="EQ38" s="272">
        <v>6949878</v>
      </c>
      <c r="ER38" s="272">
        <v>-978015</v>
      </c>
      <c r="ES38" s="272">
        <v>2628859</v>
      </c>
      <c r="ET38" s="272">
        <v>1959597</v>
      </c>
      <c r="EU38" s="272">
        <v>350792</v>
      </c>
      <c r="EV38" s="272">
        <v>1089411</v>
      </c>
      <c r="EW38" s="455">
        <f t="shared" si="13"/>
        <v>801082</v>
      </c>
      <c r="EX38" s="272">
        <v>784852</v>
      </c>
      <c r="EY38" s="272">
        <v>971</v>
      </c>
      <c r="EZ38" s="272">
        <v>783881</v>
      </c>
      <c r="FA38" s="272">
        <v>16230</v>
      </c>
      <c r="FB38" s="272"/>
      <c r="FC38" s="272">
        <v>948670</v>
      </c>
      <c r="FD38" s="272">
        <v>296089</v>
      </c>
      <c r="FE38" s="272">
        <v>4817</v>
      </c>
      <c r="FF38" s="272">
        <v>715744</v>
      </c>
      <c r="FG38" s="455">
        <f t="shared" si="14"/>
        <v>650343</v>
      </c>
      <c r="FH38" s="272">
        <v>7480990</v>
      </c>
      <c r="FI38" s="384">
        <f t="shared" si="15"/>
        <v>4.0999999999999996</v>
      </c>
      <c r="FJ38" s="272">
        <v>6266442</v>
      </c>
      <c r="FK38" s="272"/>
      <c r="FL38" s="272">
        <v>4050196</v>
      </c>
      <c r="FM38" s="272">
        <v>4943490</v>
      </c>
      <c r="FN38" s="460">
        <v>0.82599999999999996</v>
      </c>
      <c r="FO38" s="388">
        <v>85.9</v>
      </c>
      <c r="FP38" s="388">
        <v>40.5</v>
      </c>
      <c r="FQ38" s="388">
        <v>5.5</v>
      </c>
      <c r="FR38" s="388">
        <v>17.100000000000001</v>
      </c>
      <c r="FS38" s="388">
        <v>13.1</v>
      </c>
      <c r="FT38" s="388">
        <v>3.4</v>
      </c>
      <c r="FU38" s="388">
        <v>5.5</v>
      </c>
      <c r="FV38" s="388">
        <v>11.7</v>
      </c>
      <c r="FW38" s="272">
        <v>12109725</v>
      </c>
      <c r="FX38" s="384">
        <f t="shared" si="16"/>
        <v>193.2</v>
      </c>
      <c r="FY38" s="272">
        <v>5144937</v>
      </c>
      <c r="FZ38" s="272">
        <v>1387880</v>
      </c>
      <c r="GA38" s="272">
        <v>375612</v>
      </c>
      <c r="GB38" s="272">
        <v>3381445</v>
      </c>
      <c r="GC38" s="272"/>
      <c r="GD38" s="272"/>
      <c r="GE38" s="384"/>
      <c r="GF38" s="388">
        <v>98.4</v>
      </c>
      <c r="GG38" s="388">
        <v>14.3</v>
      </c>
      <c r="GH38" s="388">
        <v>93.8</v>
      </c>
      <c r="GI38" s="272">
        <v>310</v>
      </c>
    </row>
    <row r="39" spans="2:191" x14ac:dyDescent="0.15">
      <c r="B39" s="89" t="s">
        <v>71</v>
      </c>
      <c r="C39" s="272">
        <v>3251194</v>
      </c>
      <c r="D39" s="455">
        <f t="shared" si="0"/>
        <v>2139877</v>
      </c>
      <c r="E39" s="272">
        <v>13648</v>
      </c>
      <c r="F39" s="272">
        <v>2126229</v>
      </c>
      <c r="G39" s="455">
        <f t="shared" si="1"/>
        <v>40574</v>
      </c>
      <c r="H39" s="272">
        <v>17486</v>
      </c>
      <c r="I39" s="272">
        <v>23088</v>
      </c>
      <c r="J39" s="272">
        <v>1007904</v>
      </c>
      <c r="K39" s="272">
        <v>372691</v>
      </c>
      <c r="L39" s="272">
        <v>556685</v>
      </c>
      <c r="M39" s="272">
        <v>78477</v>
      </c>
      <c r="N39" s="272">
        <v>46891</v>
      </c>
      <c r="O39" s="272">
        <v>0</v>
      </c>
      <c r="P39" s="272">
        <v>0</v>
      </c>
      <c r="Q39" s="272">
        <v>0</v>
      </c>
      <c r="R39" s="272">
        <v>148003</v>
      </c>
      <c r="S39" s="272">
        <v>74477</v>
      </c>
      <c r="T39" s="455">
        <f t="shared" si="2"/>
        <v>298201</v>
      </c>
      <c r="U39" s="272">
        <v>172598</v>
      </c>
      <c r="V39" s="272"/>
      <c r="W39" s="272"/>
      <c r="X39" s="272"/>
      <c r="Y39" s="272">
        <v>16386</v>
      </c>
      <c r="Z39" s="272">
        <v>0</v>
      </c>
      <c r="AA39" s="272">
        <v>109217</v>
      </c>
      <c r="AB39" s="272"/>
      <c r="AC39" s="272">
        <v>1585251</v>
      </c>
      <c r="AD39" s="272">
        <v>1352259</v>
      </c>
      <c r="AE39" s="272">
        <v>232992</v>
      </c>
      <c r="AF39" s="272">
        <v>6067</v>
      </c>
      <c r="AG39" s="272">
        <v>27556</v>
      </c>
      <c r="AH39" s="455">
        <f t="shared" si="3"/>
        <v>137844</v>
      </c>
      <c r="AI39" s="272">
        <v>118119</v>
      </c>
      <c r="AJ39" s="272">
        <v>19725</v>
      </c>
      <c r="AK39" s="272">
        <v>150026</v>
      </c>
      <c r="AL39" s="455">
        <f t="shared" si="4"/>
        <v>40462</v>
      </c>
      <c r="AM39" s="272">
        <v>0</v>
      </c>
      <c r="AN39" s="272">
        <v>11813</v>
      </c>
      <c r="AO39" s="272">
        <v>0</v>
      </c>
      <c r="AP39" s="272">
        <v>28649</v>
      </c>
      <c r="AQ39" s="272">
        <v>34156</v>
      </c>
      <c r="AR39" s="272">
        <v>0</v>
      </c>
      <c r="AS39" s="272">
        <v>0</v>
      </c>
      <c r="AT39" s="272">
        <v>519070</v>
      </c>
      <c r="AU39" s="272">
        <v>107275</v>
      </c>
      <c r="AV39" s="272">
        <v>5907</v>
      </c>
      <c r="AW39" s="272">
        <v>502</v>
      </c>
      <c r="AX39" s="272">
        <v>411795</v>
      </c>
      <c r="AY39" s="272">
        <v>226879</v>
      </c>
      <c r="AZ39" s="272">
        <v>63498</v>
      </c>
      <c r="BA39" s="272">
        <v>30</v>
      </c>
      <c r="BB39" s="272">
        <v>5057</v>
      </c>
      <c r="BC39" s="272">
        <v>1695012</v>
      </c>
      <c r="BD39" s="272">
        <v>200000</v>
      </c>
      <c r="BE39" s="272">
        <v>3937</v>
      </c>
      <c r="BF39" s="272">
        <v>1490186</v>
      </c>
      <c r="BG39" s="272">
        <v>0</v>
      </c>
      <c r="BH39" s="272">
        <v>227419</v>
      </c>
      <c r="BI39" s="272">
        <v>148840</v>
      </c>
      <c r="BJ39" s="272">
        <v>60184</v>
      </c>
      <c r="BK39" s="272">
        <v>353</v>
      </c>
      <c r="BL39" s="272">
        <v>0</v>
      </c>
      <c r="BM39" s="272">
        <v>0</v>
      </c>
      <c r="BN39" s="272">
        <v>1253500</v>
      </c>
      <c r="BO39" s="455">
        <f t="shared" si="5"/>
        <v>907300</v>
      </c>
      <c r="BP39" s="455">
        <f t="shared" si="6"/>
        <v>346200</v>
      </c>
      <c r="BQ39" s="272">
        <v>346200</v>
      </c>
      <c r="BR39" s="272"/>
      <c r="BS39" s="272"/>
      <c r="BT39" s="272">
        <v>0</v>
      </c>
      <c r="BU39" s="272">
        <v>9427882</v>
      </c>
      <c r="BV39" s="272"/>
      <c r="BW39" s="272">
        <v>2216499</v>
      </c>
      <c r="BX39" s="272">
        <v>1497741</v>
      </c>
      <c r="BY39" s="272">
        <v>44749</v>
      </c>
      <c r="BZ39" s="272">
        <v>262765</v>
      </c>
      <c r="CA39" s="272">
        <v>211681</v>
      </c>
      <c r="CB39" s="272">
        <v>46573</v>
      </c>
      <c r="CC39" s="272">
        <v>148896</v>
      </c>
      <c r="CD39" s="272">
        <v>14225</v>
      </c>
      <c r="CE39" s="272">
        <v>0</v>
      </c>
      <c r="CF39" s="272">
        <v>0</v>
      </c>
      <c r="CG39" s="272">
        <v>1904</v>
      </c>
      <c r="CH39" s="272">
        <v>614399</v>
      </c>
      <c r="CI39" s="272">
        <v>377933</v>
      </c>
      <c r="CJ39" s="455">
        <f t="shared" si="7"/>
        <v>236466</v>
      </c>
      <c r="CK39" s="272">
        <v>961967</v>
      </c>
      <c r="CL39" s="272">
        <v>382816</v>
      </c>
      <c r="CM39" s="272">
        <v>27760</v>
      </c>
      <c r="CN39" s="272">
        <v>311707</v>
      </c>
      <c r="CO39" s="272">
        <v>251943</v>
      </c>
      <c r="CP39" s="272">
        <v>595645</v>
      </c>
      <c r="CQ39" s="272">
        <v>339149</v>
      </c>
      <c r="CR39" s="272">
        <v>102379</v>
      </c>
      <c r="CS39" s="272">
        <v>101603</v>
      </c>
      <c r="CT39" s="455">
        <f t="shared" si="8"/>
        <v>39992</v>
      </c>
      <c r="CU39" s="272">
        <v>39992</v>
      </c>
      <c r="CV39" s="272">
        <v>0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3096752</v>
      </c>
      <c r="DD39" s="272">
        <v>93258</v>
      </c>
      <c r="DE39" s="272">
        <v>2997183</v>
      </c>
      <c r="DF39" s="272">
        <v>6311</v>
      </c>
      <c r="DG39" s="272">
        <v>0</v>
      </c>
      <c r="DH39" s="272">
        <v>20801</v>
      </c>
      <c r="DI39" s="272">
        <v>805628</v>
      </c>
      <c r="DJ39" s="272">
        <v>113200</v>
      </c>
      <c r="DK39" s="272">
        <v>106800</v>
      </c>
      <c r="DL39" s="272">
        <v>585628</v>
      </c>
      <c r="DM39" s="272">
        <v>2000</v>
      </c>
      <c r="DN39" s="272">
        <v>0</v>
      </c>
      <c r="DO39" s="272">
        <v>0</v>
      </c>
      <c r="DP39" s="272">
        <v>0</v>
      </c>
      <c r="DQ39" s="272">
        <v>1380</v>
      </c>
      <c r="DR39" s="272">
        <v>0</v>
      </c>
      <c r="DS39" s="272">
        <v>0</v>
      </c>
      <c r="DT39" s="272">
        <v>467838</v>
      </c>
      <c r="DU39" s="272">
        <v>187762</v>
      </c>
      <c r="DV39" s="455">
        <f t="shared" si="11"/>
        <v>0</v>
      </c>
      <c r="DW39" s="272">
        <v>0</v>
      </c>
      <c r="DX39" s="272">
        <v>0</v>
      </c>
      <c r="DY39" s="272">
        <v>0</v>
      </c>
      <c r="DZ39" s="272">
        <v>82774</v>
      </c>
      <c r="EA39" s="272">
        <v>78500</v>
      </c>
      <c r="EB39" s="272"/>
      <c r="EC39" s="272">
        <v>0</v>
      </c>
      <c r="ED39" s="272">
        <v>9246533</v>
      </c>
      <c r="EF39" s="272">
        <v>181349</v>
      </c>
      <c r="EG39" s="272">
        <v>1775</v>
      </c>
      <c r="EH39" s="272">
        <v>179574</v>
      </c>
      <c r="EI39" s="272">
        <v>30734</v>
      </c>
      <c r="EJ39" s="272">
        <v>-56066</v>
      </c>
      <c r="EL39" s="272">
        <v>26617</v>
      </c>
      <c r="EM39" s="272">
        <v>27367</v>
      </c>
      <c r="EN39" s="272">
        <v>255437</v>
      </c>
      <c r="EO39" s="272">
        <v>9962</v>
      </c>
      <c r="EP39" s="455">
        <f t="shared" si="12"/>
        <v>197909</v>
      </c>
      <c r="EQ39" s="272">
        <v>5288716</v>
      </c>
      <c r="ER39" s="272">
        <v>-803441</v>
      </c>
      <c r="ES39" s="272">
        <v>1974904</v>
      </c>
      <c r="ET39" s="272">
        <v>1293914</v>
      </c>
      <c r="EU39" s="272">
        <v>54440</v>
      </c>
      <c r="EV39" s="272">
        <v>590203</v>
      </c>
      <c r="EW39" s="455">
        <f t="shared" si="13"/>
        <v>419231</v>
      </c>
      <c r="EX39" s="272">
        <v>417831</v>
      </c>
      <c r="EY39" s="272">
        <v>44172</v>
      </c>
      <c r="EZ39" s="272">
        <v>373648</v>
      </c>
      <c r="FA39" s="272">
        <v>1400</v>
      </c>
      <c r="FB39" s="272"/>
      <c r="FC39" s="272">
        <v>836587</v>
      </c>
      <c r="FD39" s="272">
        <v>578602</v>
      </c>
      <c r="FE39" s="272">
        <v>339149</v>
      </c>
      <c r="FF39" s="272">
        <v>451599</v>
      </c>
      <c r="FG39" s="455">
        <f t="shared" si="14"/>
        <v>1005242</v>
      </c>
      <c r="FH39" s="272">
        <v>5910808</v>
      </c>
      <c r="FI39" s="384">
        <f t="shared" si="15"/>
        <v>3.3</v>
      </c>
      <c r="FJ39" s="272">
        <v>5378870</v>
      </c>
      <c r="FK39" s="272"/>
      <c r="FL39" s="272">
        <v>3039671</v>
      </c>
      <c r="FM39" s="272">
        <v>4396313</v>
      </c>
      <c r="FN39" s="460">
        <v>0.69</v>
      </c>
      <c r="FO39" s="388">
        <v>84.3</v>
      </c>
      <c r="FP39" s="388">
        <v>38.5</v>
      </c>
      <c r="FQ39" s="388">
        <v>1.1000000000000001</v>
      </c>
      <c r="FR39" s="388">
        <v>11.6</v>
      </c>
      <c r="FS39" s="388">
        <v>15</v>
      </c>
      <c r="FT39" s="388">
        <v>10.5</v>
      </c>
      <c r="FU39" s="388">
        <v>2.6</v>
      </c>
      <c r="FV39" s="388">
        <v>6.9</v>
      </c>
      <c r="FW39" s="272">
        <v>5687346</v>
      </c>
      <c r="FX39" s="384">
        <f t="shared" si="16"/>
        <v>105.7</v>
      </c>
      <c r="FY39" s="272">
        <v>3965450</v>
      </c>
      <c r="FZ39" s="272">
        <v>835200</v>
      </c>
      <c r="GA39" s="272">
        <v>459307</v>
      </c>
      <c r="GB39" s="272">
        <v>2670943</v>
      </c>
      <c r="GC39" s="272"/>
      <c r="GD39" s="272"/>
      <c r="GE39" s="384"/>
      <c r="GF39" s="388">
        <v>98.7</v>
      </c>
      <c r="GG39" s="388">
        <v>24.4</v>
      </c>
      <c r="GH39" s="388">
        <v>95.1</v>
      </c>
      <c r="GI39" s="272">
        <v>261</v>
      </c>
    </row>
    <row r="40" spans="2:191" x14ac:dyDescent="0.15">
      <c r="B40" s="89" t="s">
        <v>73</v>
      </c>
      <c r="C40" s="272">
        <v>1162878</v>
      </c>
      <c r="D40" s="455">
        <f t="shared" si="0"/>
        <v>561352</v>
      </c>
      <c r="E40" s="272">
        <v>6624</v>
      </c>
      <c r="F40" s="272">
        <v>554728</v>
      </c>
      <c r="G40" s="455">
        <f t="shared" si="1"/>
        <v>33958</v>
      </c>
      <c r="H40" s="272">
        <v>14292</v>
      </c>
      <c r="I40" s="272">
        <v>19666</v>
      </c>
      <c r="J40" s="272">
        <v>500514</v>
      </c>
      <c r="K40" s="272">
        <v>139346</v>
      </c>
      <c r="L40" s="272">
        <v>272795</v>
      </c>
      <c r="M40" s="272">
        <v>88218</v>
      </c>
      <c r="N40" s="272">
        <v>43691</v>
      </c>
      <c r="O40" s="272">
        <v>0</v>
      </c>
      <c r="P40" s="272">
        <v>0</v>
      </c>
      <c r="Q40" s="272">
        <v>0</v>
      </c>
      <c r="R40" s="272">
        <v>109807</v>
      </c>
      <c r="S40" s="272">
        <v>44033</v>
      </c>
      <c r="T40" s="455">
        <f t="shared" si="2"/>
        <v>175828</v>
      </c>
      <c r="U40" s="272">
        <v>45907</v>
      </c>
      <c r="V40" s="272"/>
      <c r="W40" s="272"/>
      <c r="X40" s="272"/>
      <c r="Y40" s="272">
        <v>30979</v>
      </c>
      <c r="Z40" s="272">
        <v>689</v>
      </c>
      <c r="AA40" s="272">
        <v>98253</v>
      </c>
      <c r="AB40" s="272"/>
      <c r="AC40" s="272">
        <v>1910493</v>
      </c>
      <c r="AD40" s="272">
        <v>1674498</v>
      </c>
      <c r="AE40" s="272">
        <v>235995</v>
      </c>
      <c r="AF40" s="272">
        <v>2912</v>
      </c>
      <c r="AG40" s="272">
        <v>176775</v>
      </c>
      <c r="AH40" s="455">
        <f t="shared" si="3"/>
        <v>127966</v>
      </c>
      <c r="AI40" s="272">
        <v>72446</v>
      </c>
      <c r="AJ40" s="272">
        <v>55520</v>
      </c>
      <c r="AK40" s="272">
        <v>227557</v>
      </c>
      <c r="AL40" s="455">
        <f t="shared" si="4"/>
        <v>38685</v>
      </c>
      <c r="AM40" s="272">
        <v>0</v>
      </c>
      <c r="AN40" s="272">
        <v>26038</v>
      </c>
      <c r="AO40" s="272">
        <v>0</v>
      </c>
      <c r="AP40" s="272">
        <v>12647</v>
      </c>
      <c r="AQ40" s="272">
        <v>156795</v>
      </c>
      <c r="AR40" s="272">
        <v>0</v>
      </c>
      <c r="AS40" s="272">
        <v>0</v>
      </c>
      <c r="AT40" s="272">
        <v>1264421</v>
      </c>
      <c r="AU40" s="272">
        <v>408008</v>
      </c>
      <c r="AV40" s="272">
        <v>6051</v>
      </c>
      <c r="AW40" s="272">
        <v>313020</v>
      </c>
      <c r="AX40" s="272">
        <v>856413</v>
      </c>
      <c r="AY40" s="272">
        <v>721158</v>
      </c>
      <c r="AZ40" s="272">
        <v>31185</v>
      </c>
      <c r="BA40" s="272">
        <v>0</v>
      </c>
      <c r="BB40" s="272">
        <v>820</v>
      </c>
      <c r="BC40" s="272">
        <v>171361</v>
      </c>
      <c r="BD40" s="272">
        <v>50000</v>
      </c>
      <c r="BE40" s="272">
        <v>0</v>
      </c>
      <c r="BF40" s="272">
        <v>57195</v>
      </c>
      <c r="BG40" s="272">
        <v>0</v>
      </c>
      <c r="BH40" s="272">
        <v>178094</v>
      </c>
      <c r="BI40" s="272">
        <v>178094</v>
      </c>
      <c r="BJ40" s="272">
        <v>55330</v>
      </c>
      <c r="BK40" s="272">
        <v>2490</v>
      </c>
      <c r="BL40" s="272">
        <v>0</v>
      </c>
      <c r="BM40" s="272">
        <v>0</v>
      </c>
      <c r="BN40" s="272">
        <v>248860</v>
      </c>
      <c r="BO40" s="455">
        <f t="shared" si="5"/>
        <v>143260</v>
      </c>
      <c r="BP40" s="455">
        <f t="shared" si="6"/>
        <v>105600</v>
      </c>
      <c r="BQ40" s="272">
        <v>105600</v>
      </c>
      <c r="BR40" s="272"/>
      <c r="BS40" s="272"/>
      <c r="BT40" s="272">
        <v>0</v>
      </c>
      <c r="BU40" s="272">
        <v>5844287</v>
      </c>
      <c r="BV40" s="272"/>
      <c r="BW40" s="272">
        <v>1271928</v>
      </c>
      <c r="BX40" s="272">
        <v>882761</v>
      </c>
      <c r="BY40" s="272">
        <v>61677</v>
      </c>
      <c r="BZ40" s="272">
        <v>43488</v>
      </c>
      <c r="CA40" s="272">
        <v>153391</v>
      </c>
      <c r="CB40" s="272">
        <v>35145</v>
      </c>
      <c r="CC40" s="272">
        <v>67056</v>
      </c>
      <c r="CD40" s="272">
        <v>40819</v>
      </c>
      <c r="CE40" s="272">
        <v>0</v>
      </c>
      <c r="CF40" s="272">
        <v>1743</v>
      </c>
      <c r="CG40" s="272">
        <v>8628</v>
      </c>
      <c r="CH40" s="272">
        <v>412946</v>
      </c>
      <c r="CI40" s="272">
        <v>275586</v>
      </c>
      <c r="CJ40" s="455">
        <f t="shared" si="7"/>
        <v>137360</v>
      </c>
      <c r="CK40" s="272">
        <v>726052</v>
      </c>
      <c r="CL40" s="272">
        <v>370764</v>
      </c>
      <c r="CM40" s="272">
        <v>44588</v>
      </c>
      <c r="CN40" s="272">
        <v>194589</v>
      </c>
      <c r="CO40" s="272">
        <v>49808</v>
      </c>
      <c r="CP40" s="272">
        <v>431751</v>
      </c>
      <c r="CQ40" s="272">
        <v>154370</v>
      </c>
      <c r="CR40" s="272">
        <v>102849</v>
      </c>
      <c r="CS40" s="272">
        <v>102849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1959383</v>
      </c>
      <c r="DD40" s="272">
        <v>831358</v>
      </c>
      <c r="DE40" s="272">
        <v>1113802</v>
      </c>
      <c r="DF40" s="272">
        <v>14223</v>
      </c>
      <c r="DG40" s="272">
        <v>0</v>
      </c>
      <c r="DH40" s="272">
        <v>36596</v>
      </c>
      <c r="DI40" s="272">
        <v>416866</v>
      </c>
      <c r="DJ40" s="272">
        <v>202785</v>
      </c>
      <c r="DK40" s="272">
        <v>0</v>
      </c>
      <c r="DL40" s="272">
        <v>214081</v>
      </c>
      <c r="DM40" s="272">
        <v>500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217633</v>
      </c>
      <c r="DU40" s="272">
        <v>59039</v>
      </c>
      <c r="DV40" s="455">
        <f t="shared" si="11"/>
        <v>0</v>
      </c>
      <c r="DW40" s="272">
        <v>0</v>
      </c>
      <c r="DX40" s="272">
        <v>0</v>
      </c>
      <c r="DY40" s="272">
        <v>0</v>
      </c>
      <c r="DZ40" s="272">
        <v>75188</v>
      </c>
      <c r="EA40" s="272">
        <v>60531</v>
      </c>
      <c r="EB40" s="272"/>
      <c r="EC40" s="272">
        <v>0</v>
      </c>
      <c r="ED40" s="272">
        <v>5676854</v>
      </c>
      <c r="EF40" s="272">
        <v>167433</v>
      </c>
      <c r="EG40" s="272">
        <v>14993</v>
      </c>
      <c r="EH40" s="272">
        <v>152440</v>
      </c>
      <c r="EI40" s="272">
        <v>-25654</v>
      </c>
      <c r="EJ40" s="272">
        <v>131981</v>
      </c>
      <c r="EL40" s="272">
        <v>13876</v>
      </c>
      <c r="EM40" s="272">
        <v>14664</v>
      </c>
      <c r="EN40" s="272">
        <v>171166</v>
      </c>
      <c r="EO40" s="272">
        <v>663</v>
      </c>
      <c r="EP40" s="455">
        <f t="shared" si="12"/>
        <v>211460</v>
      </c>
      <c r="EQ40" s="272">
        <v>3361918</v>
      </c>
      <c r="ER40" s="272">
        <v>-485977</v>
      </c>
      <c r="ES40" s="272">
        <v>1174448</v>
      </c>
      <c r="ET40" s="272">
        <v>795581</v>
      </c>
      <c r="EU40" s="272">
        <v>64590</v>
      </c>
      <c r="EV40" s="272">
        <v>396461</v>
      </c>
      <c r="EW40" s="455">
        <f t="shared" si="13"/>
        <v>462056</v>
      </c>
      <c r="EX40" s="272">
        <v>454781</v>
      </c>
      <c r="EY40" s="272">
        <v>85497</v>
      </c>
      <c r="EZ40" s="272">
        <v>360161</v>
      </c>
      <c r="FA40" s="272">
        <v>7275</v>
      </c>
      <c r="FB40" s="272"/>
      <c r="FC40" s="272">
        <v>553578</v>
      </c>
      <c r="FD40" s="272">
        <v>390004</v>
      </c>
      <c r="FE40" s="272">
        <v>154370</v>
      </c>
      <c r="FF40" s="272">
        <v>210514</v>
      </c>
      <c r="FG40" s="455">
        <f t="shared" si="14"/>
        <v>428811</v>
      </c>
      <c r="FH40" s="272">
        <v>3680462</v>
      </c>
      <c r="FI40" s="384">
        <f t="shared" si="15"/>
        <v>4.8</v>
      </c>
      <c r="FJ40" s="272">
        <v>3165957</v>
      </c>
      <c r="FK40" s="272"/>
      <c r="FL40" s="272">
        <v>1135494</v>
      </c>
      <c r="FM40" s="272">
        <v>2813015</v>
      </c>
      <c r="FN40" s="460">
        <v>0.40400000000000003</v>
      </c>
      <c r="FO40" s="388">
        <v>81.599999999999994</v>
      </c>
      <c r="FP40" s="388">
        <v>37.4</v>
      </c>
      <c r="FQ40" s="388">
        <v>2.1</v>
      </c>
      <c r="FR40" s="388">
        <v>12.5</v>
      </c>
      <c r="FS40" s="388">
        <v>15.5</v>
      </c>
      <c r="FT40" s="388">
        <v>9.1</v>
      </c>
      <c r="FU40" s="388">
        <v>3.6</v>
      </c>
      <c r="FV40" s="388">
        <v>9.4</v>
      </c>
      <c r="FW40" s="272">
        <v>2627723</v>
      </c>
      <c r="FX40" s="384">
        <f t="shared" si="16"/>
        <v>83</v>
      </c>
      <c r="FY40" s="272">
        <v>1983437</v>
      </c>
      <c r="FZ40" s="272">
        <v>1363683</v>
      </c>
      <c r="GA40" s="272"/>
      <c r="GB40" s="272">
        <v>619754</v>
      </c>
      <c r="GC40" s="272"/>
      <c r="GD40" s="272">
        <v>48042</v>
      </c>
      <c r="GE40" s="384">
        <f>ROUND(GD40/FJ40*100,1)</f>
        <v>1.5</v>
      </c>
      <c r="GF40" s="388">
        <v>97</v>
      </c>
      <c r="GG40" s="388">
        <v>31.1</v>
      </c>
      <c r="GH40" s="388">
        <v>91.1</v>
      </c>
      <c r="GI40" s="272">
        <v>164</v>
      </c>
    </row>
    <row r="41" spans="2:191" x14ac:dyDescent="0.15">
      <c r="B41" s="89" t="s">
        <v>75</v>
      </c>
      <c r="C41" s="272">
        <v>2594291</v>
      </c>
      <c r="D41" s="455">
        <f t="shared" si="0"/>
        <v>701085</v>
      </c>
      <c r="E41" s="272">
        <v>10393</v>
      </c>
      <c r="F41" s="272">
        <v>690692</v>
      </c>
      <c r="G41" s="455">
        <f t="shared" si="1"/>
        <v>213298</v>
      </c>
      <c r="H41" s="272">
        <v>43678</v>
      </c>
      <c r="I41" s="272">
        <v>169620</v>
      </c>
      <c r="J41" s="272">
        <v>1266674</v>
      </c>
      <c r="K41" s="272">
        <v>705527</v>
      </c>
      <c r="L41" s="272">
        <v>357612</v>
      </c>
      <c r="M41" s="272">
        <v>198339</v>
      </c>
      <c r="N41" s="272">
        <v>101028</v>
      </c>
      <c r="O41" s="272">
        <v>297105</v>
      </c>
      <c r="P41" s="272">
        <v>216698</v>
      </c>
      <c r="Q41" s="272">
        <v>80407</v>
      </c>
      <c r="R41" s="272">
        <v>129826</v>
      </c>
      <c r="S41" s="272">
        <v>92290</v>
      </c>
      <c r="T41" s="455">
        <f t="shared" si="2"/>
        <v>125912</v>
      </c>
      <c r="U41" s="272">
        <v>70071</v>
      </c>
      <c r="V41" s="272"/>
      <c r="W41" s="272"/>
      <c r="X41" s="272"/>
      <c r="Y41" s="272">
        <v>0</v>
      </c>
      <c r="Z41" s="272">
        <v>0</v>
      </c>
      <c r="AA41" s="272">
        <v>55841</v>
      </c>
      <c r="AB41" s="272"/>
      <c r="AC41" s="272">
        <v>1687484</v>
      </c>
      <c r="AD41" s="272">
        <v>1389258</v>
      </c>
      <c r="AE41" s="272">
        <v>298226</v>
      </c>
      <c r="AF41" s="272">
        <v>4135</v>
      </c>
      <c r="AG41" s="272">
        <v>16815</v>
      </c>
      <c r="AH41" s="455">
        <f t="shared" si="3"/>
        <v>121226</v>
      </c>
      <c r="AI41" s="272">
        <v>103590</v>
      </c>
      <c r="AJ41" s="272">
        <v>17636</v>
      </c>
      <c r="AK41" s="272">
        <v>171945</v>
      </c>
      <c r="AL41" s="455">
        <f t="shared" si="4"/>
        <v>103696</v>
      </c>
      <c r="AM41" s="272">
        <v>0</v>
      </c>
      <c r="AN41" s="272">
        <v>58271</v>
      </c>
      <c r="AO41" s="272">
        <v>0</v>
      </c>
      <c r="AP41" s="272">
        <v>45425</v>
      </c>
      <c r="AQ41" s="272">
        <v>10164</v>
      </c>
      <c r="AR41" s="272">
        <v>4076</v>
      </c>
      <c r="AS41" s="272">
        <v>0</v>
      </c>
      <c r="AT41" s="272">
        <v>385873</v>
      </c>
      <c r="AU41" s="272">
        <v>97958</v>
      </c>
      <c r="AV41" s="272">
        <v>20669</v>
      </c>
      <c r="AW41" s="272">
        <v>0</v>
      </c>
      <c r="AX41" s="272">
        <v>287915</v>
      </c>
      <c r="AY41" s="272">
        <v>120200</v>
      </c>
      <c r="AZ41" s="272">
        <v>43064</v>
      </c>
      <c r="BA41" s="272">
        <v>0</v>
      </c>
      <c r="BB41" s="272">
        <v>7503</v>
      </c>
      <c r="BC41" s="272">
        <v>147</v>
      </c>
      <c r="BD41" s="272">
        <v>0</v>
      </c>
      <c r="BE41" s="272">
        <v>0</v>
      </c>
      <c r="BF41" s="272">
        <v>0</v>
      </c>
      <c r="BG41" s="272">
        <v>0</v>
      </c>
      <c r="BH41" s="272">
        <v>122278</v>
      </c>
      <c r="BI41" s="272">
        <v>101985</v>
      </c>
      <c r="BJ41" s="272">
        <v>286608</v>
      </c>
      <c r="BK41" s="272">
        <v>223963</v>
      </c>
      <c r="BL41" s="272">
        <v>0</v>
      </c>
      <c r="BM41" s="272">
        <v>0</v>
      </c>
      <c r="BN41" s="272">
        <v>257400</v>
      </c>
      <c r="BO41" s="455">
        <f t="shared" si="5"/>
        <v>122000</v>
      </c>
      <c r="BP41" s="455">
        <f t="shared" si="6"/>
        <v>135400</v>
      </c>
      <c r="BQ41" s="272">
        <v>135400</v>
      </c>
      <c r="BR41" s="272"/>
      <c r="BS41" s="272"/>
      <c r="BT41" s="272">
        <v>0</v>
      </c>
      <c r="BU41" s="272">
        <v>5954507</v>
      </c>
      <c r="BV41" s="272"/>
      <c r="BW41" s="272">
        <v>1983664</v>
      </c>
      <c r="BX41" s="272">
        <v>1430099</v>
      </c>
      <c r="BY41" s="272">
        <v>125587</v>
      </c>
      <c r="BZ41" s="272">
        <v>12363</v>
      </c>
      <c r="CA41" s="272">
        <v>289329</v>
      </c>
      <c r="CB41" s="272">
        <v>66515</v>
      </c>
      <c r="CC41" s="272">
        <v>197739</v>
      </c>
      <c r="CD41" s="272">
        <v>21200</v>
      </c>
      <c r="CE41" s="272">
        <v>0</v>
      </c>
      <c r="CF41" s="272">
        <v>0</v>
      </c>
      <c r="CG41" s="272">
        <v>3875</v>
      </c>
      <c r="CH41" s="272">
        <v>639806</v>
      </c>
      <c r="CI41" s="272">
        <v>400260</v>
      </c>
      <c r="CJ41" s="455">
        <f t="shared" si="7"/>
        <v>239546</v>
      </c>
      <c r="CK41" s="272">
        <v>930818</v>
      </c>
      <c r="CL41" s="272">
        <v>506449</v>
      </c>
      <c r="CM41" s="272">
        <v>74737</v>
      </c>
      <c r="CN41" s="272">
        <v>244236</v>
      </c>
      <c r="CO41" s="272">
        <v>28059</v>
      </c>
      <c r="CP41" s="272">
        <v>495031</v>
      </c>
      <c r="CQ41" s="272">
        <v>3922</v>
      </c>
      <c r="CR41" s="272">
        <v>52183</v>
      </c>
      <c r="CS41" s="272">
        <v>52183</v>
      </c>
      <c r="CT41" s="455">
        <f t="shared" si="8"/>
        <v>170692</v>
      </c>
      <c r="CU41" s="272">
        <v>109342</v>
      </c>
      <c r="CV41" s="272">
        <v>61350</v>
      </c>
      <c r="CW41" s="455">
        <f t="shared" si="9"/>
        <v>101792</v>
      </c>
      <c r="CX41" s="272">
        <v>98914</v>
      </c>
      <c r="CY41" s="272">
        <v>2878</v>
      </c>
      <c r="CZ41" s="455">
        <f t="shared" si="10"/>
        <v>0</v>
      </c>
      <c r="DA41" s="272">
        <v>0</v>
      </c>
      <c r="DB41" s="272">
        <v>0</v>
      </c>
      <c r="DC41" s="272">
        <v>371116</v>
      </c>
      <c r="DD41" s="272">
        <v>30492</v>
      </c>
      <c r="DE41" s="272">
        <v>340624</v>
      </c>
      <c r="DF41" s="272">
        <v>0</v>
      </c>
      <c r="DG41" s="272">
        <v>0</v>
      </c>
      <c r="DH41" s="272">
        <v>8659</v>
      </c>
      <c r="DI41" s="272">
        <v>114240</v>
      </c>
      <c r="DJ41" s="272">
        <v>91474</v>
      </c>
      <c r="DK41" s="272">
        <v>0</v>
      </c>
      <c r="DL41" s="272">
        <v>22766</v>
      </c>
      <c r="DM41" s="272">
        <v>0</v>
      </c>
      <c r="DN41" s="272">
        <v>0</v>
      </c>
      <c r="DO41" s="272">
        <v>0</v>
      </c>
      <c r="DP41" s="272">
        <v>0</v>
      </c>
      <c r="DQ41" s="272">
        <v>420</v>
      </c>
      <c r="DR41" s="272">
        <v>0</v>
      </c>
      <c r="DS41" s="272">
        <v>0</v>
      </c>
      <c r="DT41" s="272">
        <v>881242</v>
      </c>
      <c r="DU41" s="272">
        <v>651423</v>
      </c>
      <c r="DV41" s="455">
        <f t="shared" si="11"/>
        <v>0</v>
      </c>
      <c r="DW41" s="272">
        <v>0</v>
      </c>
      <c r="DX41" s="272">
        <v>0</v>
      </c>
      <c r="DY41" s="272">
        <v>0</v>
      </c>
      <c r="DZ41" s="272">
        <v>155426</v>
      </c>
      <c r="EA41" s="272">
        <v>74393</v>
      </c>
      <c r="EB41" s="272"/>
      <c r="EC41" s="272">
        <v>0</v>
      </c>
      <c r="ED41" s="272">
        <v>5742384</v>
      </c>
      <c r="EF41" s="272">
        <v>212123</v>
      </c>
      <c r="EG41" s="272">
        <v>20618</v>
      </c>
      <c r="EH41" s="272">
        <v>191505</v>
      </c>
      <c r="EI41" s="272">
        <v>89520</v>
      </c>
      <c r="EJ41" s="272">
        <v>180994</v>
      </c>
      <c r="EL41" s="272">
        <v>17098</v>
      </c>
      <c r="EM41" s="272">
        <v>16458</v>
      </c>
      <c r="EN41" s="272">
        <v>147</v>
      </c>
      <c r="EO41" s="272">
        <v>394</v>
      </c>
      <c r="EP41" s="455">
        <f t="shared" si="12"/>
        <v>151298</v>
      </c>
      <c r="EQ41" s="272">
        <v>4541648</v>
      </c>
      <c r="ER41" s="272">
        <v>-283104</v>
      </c>
      <c r="ES41" s="272">
        <v>1822169</v>
      </c>
      <c r="ET41" s="272">
        <v>1285019</v>
      </c>
      <c r="EU41" s="272">
        <v>85568</v>
      </c>
      <c r="EV41" s="272">
        <v>416343</v>
      </c>
      <c r="EW41" s="455">
        <f t="shared" si="13"/>
        <v>126820</v>
      </c>
      <c r="EX41" s="272">
        <v>124237</v>
      </c>
      <c r="EY41" s="272">
        <v>6628</v>
      </c>
      <c r="EZ41" s="272">
        <v>117609</v>
      </c>
      <c r="FA41" s="272">
        <v>2583</v>
      </c>
      <c r="FB41" s="272"/>
      <c r="FC41" s="272">
        <v>758253</v>
      </c>
      <c r="FD41" s="272">
        <v>443731</v>
      </c>
      <c r="FE41" s="272">
        <v>3922</v>
      </c>
      <c r="FF41" s="272">
        <v>862180</v>
      </c>
      <c r="FG41" s="455">
        <f t="shared" si="14"/>
        <v>97565</v>
      </c>
      <c r="FH41" s="272">
        <v>4612629</v>
      </c>
      <c r="FI41" s="384">
        <f t="shared" si="15"/>
        <v>4.7</v>
      </c>
      <c r="FJ41" s="272">
        <v>4043754</v>
      </c>
      <c r="FK41" s="272"/>
      <c r="FL41" s="272">
        <v>2001120</v>
      </c>
      <c r="FM41" s="272">
        <v>3393761</v>
      </c>
      <c r="FN41" s="460">
        <v>0.58099999999999996</v>
      </c>
      <c r="FO41" s="388">
        <v>91.2</v>
      </c>
      <c r="FP41" s="388">
        <v>44.2</v>
      </c>
      <c r="FQ41" s="388">
        <v>2.2000000000000002</v>
      </c>
      <c r="FR41" s="388">
        <v>10.5</v>
      </c>
      <c r="FS41" s="388">
        <v>16.7</v>
      </c>
      <c r="FT41" s="388">
        <v>6.4</v>
      </c>
      <c r="FU41" s="388">
        <v>10.6</v>
      </c>
      <c r="FV41" s="388">
        <v>8.3000000000000007</v>
      </c>
      <c r="FW41" s="272">
        <v>4583752</v>
      </c>
      <c r="FX41" s="384">
        <f t="shared" si="16"/>
        <v>113.4</v>
      </c>
      <c r="FY41" s="272">
        <v>2624867</v>
      </c>
      <c r="FZ41" s="272">
        <v>1415705</v>
      </c>
      <c r="GA41" s="272"/>
      <c r="GB41" s="272">
        <v>1209162</v>
      </c>
      <c r="GC41" s="272"/>
      <c r="GD41" s="272"/>
      <c r="GE41" s="384"/>
      <c r="GF41" s="388">
        <v>97</v>
      </c>
      <c r="GG41" s="388">
        <v>18.100000000000001</v>
      </c>
      <c r="GH41" s="388">
        <v>89.6</v>
      </c>
      <c r="GI41" s="272">
        <v>217</v>
      </c>
    </row>
    <row r="42" spans="2:191" x14ac:dyDescent="0.15">
      <c r="B42" s="89" t="s">
        <v>77</v>
      </c>
      <c r="C42" s="272">
        <v>4540442</v>
      </c>
      <c r="D42" s="455">
        <f t="shared" si="0"/>
        <v>2363081</v>
      </c>
      <c r="E42" s="272">
        <v>20312</v>
      </c>
      <c r="F42" s="272">
        <v>2342769</v>
      </c>
      <c r="G42" s="455">
        <f t="shared" si="1"/>
        <v>215556</v>
      </c>
      <c r="H42" s="272">
        <v>45582</v>
      </c>
      <c r="I42" s="272">
        <v>169974</v>
      </c>
      <c r="J42" s="272">
        <v>1789191</v>
      </c>
      <c r="K42" s="272">
        <v>757674</v>
      </c>
      <c r="L42" s="272">
        <v>781738</v>
      </c>
      <c r="M42" s="272">
        <v>237623</v>
      </c>
      <c r="N42" s="272">
        <v>125727</v>
      </c>
      <c r="O42" s="272">
        <v>0</v>
      </c>
      <c r="P42" s="272">
        <v>0</v>
      </c>
      <c r="Q42" s="272">
        <v>0</v>
      </c>
      <c r="R42" s="272">
        <v>239073</v>
      </c>
      <c r="S42" s="272">
        <v>151164</v>
      </c>
      <c r="T42" s="455">
        <f t="shared" si="2"/>
        <v>364444</v>
      </c>
      <c r="U42" s="272">
        <v>202838</v>
      </c>
      <c r="V42" s="272"/>
      <c r="W42" s="272"/>
      <c r="X42" s="272"/>
      <c r="Y42" s="272">
        <v>30577</v>
      </c>
      <c r="Z42" s="272">
        <v>199</v>
      </c>
      <c r="AA42" s="272">
        <v>130830</v>
      </c>
      <c r="AB42" s="272"/>
      <c r="AC42" s="272">
        <v>1742404</v>
      </c>
      <c r="AD42" s="272">
        <v>1526563</v>
      </c>
      <c r="AE42" s="272">
        <v>215841</v>
      </c>
      <c r="AF42" s="272">
        <v>8649</v>
      </c>
      <c r="AG42" s="272">
        <v>40140</v>
      </c>
      <c r="AH42" s="455">
        <f t="shared" si="3"/>
        <v>138989</v>
      </c>
      <c r="AI42" s="272">
        <v>113935</v>
      </c>
      <c r="AJ42" s="272">
        <v>25054</v>
      </c>
      <c r="AK42" s="272">
        <v>540326</v>
      </c>
      <c r="AL42" s="455">
        <f t="shared" si="4"/>
        <v>130084</v>
      </c>
      <c r="AM42" s="272">
        <v>0</v>
      </c>
      <c r="AN42" s="272">
        <v>65240</v>
      </c>
      <c r="AO42" s="272">
        <v>0</v>
      </c>
      <c r="AP42" s="272">
        <v>64844</v>
      </c>
      <c r="AQ42" s="272">
        <v>224975</v>
      </c>
      <c r="AR42" s="272">
        <v>38352</v>
      </c>
      <c r="AS42" s="272">
        <v>0</v>
      </c>
      <c r="AT42" s="272">
        <v>951278</v>
      </c>
      <c r="AU42" s="272">
        <v>283768</v>
      </c>
      <c r="AV42" s="272">
        <v>32620</v>
      </c>
      <c r="AW42" s="272">
        <v>63529</v>
      </c>
      <c r="AX42" s="272">
        <v>667510</v>
      </c>
      <c r="AY42" s="272">
        <v>427598</v>
      </c>
      <c r="AZ42" s="272">
        <v>294479</v>
      </c>
      <c r="BA42" s="272">
        <v>1559</v>
      </c>
      <c r="BB42" s="272">
        <v>1773892</v>
      </c>
      <c r="BC42" s="272">
        <v>360281</v>
      </c>
      <c r="BD42" s="272">
        <v>0</v>
      </c>
      <c r="BE42" s="272">
        <v>0</v>
      </c>
      <c r="BF42" s="272">
        <v>360000</v>
      </c>
      <c r="BG42" s="272">
        <v>0</v>
      </c>
      <c r="BH42" s="272">
        <v>366870</v>
      </c>
      <c r="BI42" s="272">
        <v>298627</v>
      </c>
      <c r="BJ42" s="272">
        <v>34014</v>
      </c>
      <c r="BK42" s="272">
        <v>0</v>
      </c>
      <c r="BL42" s="272">
        <v>0</v>
      </c>
      <c r="BM42" s="272">
        <v>0</v>
      </c>
      <c r="BN42" s="272">
        <v>2117200</v>
      </c>
      <c r="BO42" s="455">
        <f t="shared" si="5"/>
        <v>1710100</v>
      </c>
      <c r="BP42" s="455">
        <f t="shared" si="6"/>
        <v>407100</v>
      </c>
      <c r="BQ42" s="272">
        <v>407100</v>
      </c>
      <c r="BR42" s="272"/>
      <c r="BS42" s="272"/>
      <c r="BT42" s="272">
        <v>0</v>
      </c>
      <c r="BU42" s="272">
        <v>13512481</v>
      </c>
      <c r="BV42" s="272"/>
      <c r="BW42" s="272">
        <v>2722724</v>
      </c>
      <c r="BX42" s="272">
        <v>2094157</v>
      </c>
      <c r="BY42" s="272">
        <v>63538</v>
      </c>
      <c r="BZ42" s="272">
        <v>31863</v>
      </c>
      <c r="CA42" s="272">
        <v>627688</v>
      </c>
      <c r="CB42" s="272">
        <v>93055</v>
      </c>
      <c r="CC42" s="272">
        <v>329505</v>
      </c>
      <c r="CD42" s="272">
        <v>187833</v>
      </c>
      <c r="CE42" s="272">
        <v>0</v>
      </c>
      <c r="CF42" s="272">
        <v>0</v>
      </c>
      <c r="CG42" s="272">
        <v>17295</v>
      </c>
      <c r="CH42" s="272">
        <v>1065205</v>
      </c>
      <c r="CI42" s="272">
        <v>571012</v>
      </c>
      <c r="CJ42" s="455">
        <f t="shared" si="7"/>
        <v>494193</v>
      </c>
      <c r="CK42" s="272">
        <v>1579925</v>
      </c>
      <c r="CL42" s="272">
        <v>689390</v>
      </c>
      <c r="CM42" s="272">
        <v>119179</v>
      </c>
      <c r="CN42" s="272">
        <v>420650</v>
      </c>
      <c r="CO42" s="272">
        <v>132894</v>
      </c>
      <c r="CP42" s="272">
        <v>332652</v>
      </c>
      <c r="CQ42" s="272">
        <v>1280</v>
      </c>
      <c r="CR42" s="272">
        <v>159590</v>
      </c>
      <c r="CS42" s="272">
        <v>159590</v>
      </c>
      <c r="CT42" s="455">
        <f t="shared" si="8"/>
        <v>11873</v>
      </c>
      <c r="CU42" s="272">
        <v>7456</v>
      </c>
      <c r="CV42" s="272">
        <v>4417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3400971</v>
      </c>
      <c r="DD42" s="272">
        <v>577585</v>
      </c>
      <c r="DE42" s="272">
        <v>2814803</v>
      </c>
      <c r="DF42" s="272">
        <v>8583</v>
      </c>
      <c r="DG42" s="272">
        <v>0</v>
      </c>
      <c r="DH42" s="272">
        <v>150666</v>
      </c>
      <c r="DI42" s="272">
        <v>2249551</v>
      </c>
      <c r="DJ42" s="272">
        <v>17609</v>
      </c>
      <c r="DK42" s="272">
        <v>200000</v>
      </c>
      <c r="DL42" s="272">
        <v>2031942</v>
      </c>
      <c r="DM42" s="272">
        <v>0</v>
      </c>
      <c r="DN42" s="272">
        <v>0</v>
      </c>
      <c r="DO42" s="272">
        <v>0</v>
      </c>
      <c r="DP42" s="272">
        <v>0</v>
      </c>
      <c r="DQ42" s="272">
        <v>0</v>
      </c>
      <c r="DR42" s="272">
        <v>0</v>
      </c>
      <c r="DS42" s="272">
        <v>0</v>
      </c>
      <c r="DT42" s="272">
        <v>731744</v>
      </c>
      <c r="DU42" s="272">
        <v>432000</v>
      </c>
      <c r="DV42" s="455">
        <f t="shared" si="11"/>
        <v>0</v>
      </c>
      <c r="DW42" s="272">
        <v>0</v>
      </c>
      <c r="DX42" s="272">
        <v>0</v>
      </c>
      <c r="DY42" s="272">
        <v>0</v>
      </c>
      <c r="DZ42" s="272">
        <v>145628</v>
      </c>
      <c r="EA42" s="272">
        <v>143427</v>
      </c>
      <c r="EB42" s="272"/>
      <c r="EC42" s="272">
        <v>0</v>
      </c>
      <c r="ED42" s="272">
        <v>12994020</v>
      </c>
      <c r="EF42" s="272">
        <v>518461</v>
      </c>
      <c r="EG42" s="272">
        <v>203448</v>
      </c>
      <c r="EH42" s="272">
        <v>315013</v>
      </c>
      <c r="EI42" s="272">
        <v>16386</v>
      </c>
      <c r="EJ42" s="272">
        <v>33995</v>
      </c>
      <c r="EL42" s="272">
        <v>40850</v>
      </c>
      <c r="EM42" s="272">
        <v>40386</v>
      </c>
      <c r="EN42" s="272">
        <v>281</v>
      </c>
      <c r="EO42" s="272">
        <v>82150</v>
      </c>
      <c r="EP42" s="455">
        <f t="shared" si="12"/>
        <v>2120558</v>
      </c>
      <c r="EQ42" s="272">
        <v>6895012</v>
      </c>
      <c r="ER42" s="272">
        <v>-2601440</v>
      </c>
      <c r="ES42" s="272">
        <v>2476788</v>
      </c>
      <c r="ET42" s="272">
        <v>1863911</v>
      </c>
      <c r="EU42" s="272">
        <v>265589</v>
      </c>
      <c r="EV42" s="272">
        <v>1065205</v>
      </c>
      <c r="EW42" s="455">
        <f t="shared" si="13"/>
        <v>653444</v>
      </c>
      <c r="EX42" s="272">
        <v>600585</v>
      </c>
      <c r="EY42" s="272">
        <v>92281</v>
      </c>
      <c r="EZ42" s="272">
        <v>502321</v>
      </c>
      <c r="FA42" s="272">
        <v>52859</v>
      </c>
      <c r="FB42" s="272"/>
      <c r="FC42" s="272">
        <v>1322189</v>
      </c>
      <c r="FD42" s="272">
        <v>318800</v>
      </c>
      <c r="FE42" s="272">
        <v>1280</v>
      </c>
      <c r="FF42" s="272">
        <v>696460</v>
      </c>
      <c r="FG42" s="455">
        <f t="shared" si="14"/>
        <v>2179516</v>
      </c>
      <c r="FH42" s="272">
        <v>8977991</v>
      </c>
      <c r="FI42" s="384">
        <f t="shared" si="15"/>
        <v>4.5</v>
      </c>
      <c r="FJ42" s="272">
        <v>7048000</v>
      </c>
      <c r="FK42" s="272"/>
      <c r="FL42" s="272">
        <v>4164793</v>
      </c>
      <c r="FM42" s="272">
        <v>5694954</v>
      </c>
      <c r="FN42" s="460">
        <v>0.72499999999999998</v>
      </c>
      <c r="FO42" s="388">
        <v>78.3</v>
      </c>
      <c r="FP42" s="388">
        <v>36.299999999999997</v>
      </c>
      <c r="FQ42" s="388">
        <v>2.8</v>
      </c>
      <c r="FR42" s="388">
        <v>15.7</v>
      </c>
      <c r="FS42" s="388">
        <v>13.4</v>
      </c>
      <c r="FT42" s="388">
        <v>4</v>
      </c>
      <c r="FU42" s="388">
        <v>4.0999999999999996</v>
      </c>
      <c r="FV42" s="388">
        <v>8.3000000000000007</v>
      </c>
      <c r="FW42" s="272">
        <v>11487725</v>
      </c>
      <c r="FX42" s="384">
        <f t="shared" si="16"/>
        <v>163</v>
      </c>
      <c r="FY42" s="272">
        <v>12962057</v>
      </c>
      <c r="FZ42" s="272">
        <v>1252746</v>
      </c>
      <c r="GA42" s="272">
        <v>894843</v>
      </c>
      <c r="GB42" s="272">
        <v>10814468</v>
      </c>
      <c r="GC42" s="272"/>
      <c r="GD42" s="272">
        <v>4171102</v>
      </c>
      <c r="GE42" s="384">
        <f>ROUND(GD42/FJ42*100,1)</f>
        <v>59.2</v>
      </c>
      <c r="GF42" s="388">
        <v>96.9</v>
      </c>
      <c r="GG42" s="388">
        <v>21.3</v>
      </c>
      <c r="GH42" s="388">
        <v>89.8</v>
      </c>
      <c r="GI42" s="272">
        <v>361</v>
      </c>
    </row>
    <row r="43" spans="2:191" x14ac:dyDescent="0.15">
      <c r="B43" s="89" t="s">
        <v>79</v>
      </c>
      <c r="C43" s="272">
        <v>4903737</v>
      </c>
      <c r="D43" s="455">
        <f t="shared" si="0"/>
        <v>224207</v>
      </c>
      <c r="E43" s="272">
        <v>2381</v>
      </c>
      <c r="F43" s="272">
        <v>221826</v>
      </c>
      <c r="G43" s="455">
        <f t="shared" si="1"/>
        <v>97145</v>
      </c>
      <c r="H43" s="272">
        <v>41683</v>
      </c>
      <c r="I43" s="272">
        <v>55462</v>
      </c>
      <c r="J43" s="272">
        <v>4467402</v>
      </c>
      <c r="K43" s="272">
        <v>2231021</v>
      </c>
      <c r="L43" s="272">
        <v>953538</v>
      </c>
      <c r="M43" s="272">
        <v>1280174</v>
      </c>
      <c r="N43" s="272">
        <v>53569</v>
      </c>
      <c r="O43" s="272">
        <v>0</v>
      </c>
      <c r="P43" s="272">
        <v>0</v>
      </c>
      <c r="Q43" s="272">
        <v>0</v>
      </c>
      <c r="R43" s="272">
        <v>118194</v>
      </c>
      <c r="S43" s="272">
        <v>29811</v>
      </c>
      <c r="T43" s="455">
        <f t="shared" si="2"/>
        <v>50444</v>
      </c>
      <c r="U43" s="272">
        <v>27298</v>
      </c>
      <c r="V43" s="272"/>
      <c r="W43" s="272"/>
      <c r="X43" s="272"/>
      <c r="Y43" s="272">
        <v>0</v>
      </c>
      <c r="Z43" s="272">
        <v>3002</v>
      </c>
      <c r="AA43" s="272">
        <v>20144</v>
      </c>
      <c r="AB43" s="272"/>
      <c r="AC43" s="272">
        <v>25080</v>
      </c>
      <c r="AD43" s="272">
        <v>0</v>
      </c>
      <c r="AE43" s="272">
        <v>25080</v>
      </c>
      <c r="AF43" s="272">
        <v>1387</v>
      </c>
      <c r="AG43" s="272">
        <v>4996</v>
      </c>
      <c r="AH43" s="455">
        <f t="shared" si="3"/>
        <v>25718</v>
      </c>
      <c r="AI43" s="272">
        <v>21895</v>
      </c>
      <c r="AJ43" s="272">
        <v>3823</v>
      </c>
      <c r="AK43" s="272">
        <v>121344</v>
      </c>
      <c r="AL43" s="455">
        <f t="shared" si="4"/>
        <v>21310</v>
      </c>
      <c r="AM43" s="272">
        <v>0</v>
      </c>
      <c r="AN43" s="272">
        <v>6655</v>
      </c>
      <c r="AO43" s="272">
        <v>0</v>
      </c>
      <c r="AP43" s="272">
        <v>14655</v>
      </c>
      <c r="AQ43" s="272">
        <v>70000</v>
      </c>
      <c r="AR43" s="272">
        <v>0</v>
      </c>
      <c r="AS43" s="272">
        <v>0</v>
      </c>
      <c r="AT43" s="272">
        <v>124305</v>
      </c>
      <c r="AU43" s="272">
        <v>40918</v>
      </c>
      <c r="AV43" s="272">
        <v>3327</v>
      </c>
      <c r="AW43" s="272">
        <v>0</v>
      </c>
      <c r="AX43" s="272">
        <v>83387</v>
      </c>
      <c r="AY43" s="272">
        <v>30780</v>
      </c>
      <c r="AZ43" s="272">
        <v>24688</v>
      </c>
      <c r="BA43" s="272">
        <v>0</v>
      </c>
      <c r="BB43" s="272">
        <v>19250</v>
      </c>
      <c r="BC43" s="272">
        <v>0</v>
      </c>
      <c r="BD43" s="272">
        <v>0</v>
      </c>
      <c r="BE43" s="272">
        <v>0</v>
      </c>
      <c r="BF43" s="272">
        <v>0</v>
      </c>
      <c r="BG43" s="272">
        <v>0</v>
      </c>
      <c r="BH43" s="272">
        <v>179033</v>
      </c>
      <c r="BI43" s="272">
        <v>112457</v>
      </c>
      <c r="BJ43" s="272">
        <v>274972</v>
      </c>
      <c r="BK43" s="272">
        <v>0</v>
      </c>
      <c r="BL43" s="272">
        <v>0</v>
      </c>
      <c r="BM43" s="272">
        <v>0</v>
      </c>
      <c r="BN43" s="272">
        <v>846200</v>
      </c>
      <c r="BO43" s="455">
        <f t="shared" si="5"/>
        <v>798300</v>
      </c>
      <c r="BP43" s="455">
        <f t="shared" si="6"/>
        <v>47900</v>
      </c>
      <c r="BQ43" s="272">
        <v>47900</v>
      </c>
      <c r="BR43" s="272"/>
      <c r="BS43" s="272"/>
      <c r="BT43" s="272">
        <v>0</v>
      </c>
      <c r="BU43" s="272">
        <v>6719348</v>
      </c>
      <c r="BV43" s="272"/>
      <c r="BW43" s="272">
        <v>892627</v>
      </c>
      <c r="BX43" s="272">
        <v>649104</v>
      </c>
      <c r="BY43" s="272">
        <v>1622</v>
      </c>
      <c r="BZ43" s="272">
        <v>8248</v>
      </c>
      <c r="CA43" s="272">
        <v>118214</v>
      </c>
      <c r="CB43" s="272">
        <v>20999</v>
      </c>
      <c r="CC43" s="272">
        <v>77224</v>
      </c>
      <c r="CD43" s="272">
        <v>18388</v>
      </c>
      <c r="CE43" s="272">
        <v>0</v>
      </c>
      <c r="CF43" s="272">
        <v>0</v>
      </c>
      <c r="CG43" s="272">
        <v>1603</v>
      </c>
      <c r="CH43" s="272">
        <v>308493</v>
      </c>
      <c r="CI43" s="272">
        <v>145485</v>
      </c>
      <c r="CJ43" s="455">
        <f t="shared" si="7"/>
        <v>163008</v>
      </c>
      <c r="CK43" s="272">
        <v>393867</v>
      </c>
      <c r="CL43" s="272">
        <v>157517</v>
      </c>
      <c r="CM43" s="272">
        <v>76613</v>
      </c>
      <c r="CN43" s="272">
        <v>95423</v>
      </c>
      <c r="CO43" s="272">
        <v>15228</v>
      </c>
      <c r="CP43" s="272">
        <v>556790</v>
      </c>
      <c r="CQ43" s="272">
        <v>175412</v>
      </c>
      <c r="CR43" s="272">
        <v>54477</v>
      </c>
      <c r="CS43" s="272">
        <v>54477</v>
      </c>
      <c r="CT43" s="455">
        <f t="shared" si="8"/>
        <v>22885</v>
      </c>
      <c r="CU43" s="272">
        <v>585</v>
      </c>
      <c r="CV43" s="272">
        <v>22300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3009704</v>
      </c>
      <c r="DD43" s="272">
        <v>175000</v>
      </c>
      <c r="DE43" s="272">
        <v>2802489</v>
      </c>
      <c r="DF43" s="272">
        <v>32215</v>
      </c>
      <c r="DG43" s="272">
        <v>0</v>
      </c>
      <c r="DH43" s="272">
        <v>0</v>
      </c>
      <c r="DI43" s="272">
        <v>537376</v>
      </c>
      <c r="DJ43" s="272">
        <v>532653</v>
      </c>
      <c r="DK43" s="272">
        <v>0</v>
      </c>
      <c r="DL43" s="272">
        <v>4723</v>
      </c>
      <c r="DM43" s="272">
        <v>500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384378</v>
      </c>
      <c r="DU43" s="272">
        <v>299731</v>
      </c>
      <c r="DV43" s="455">
        <f t="shared" si="11"/>
        <v>0</v>
      </c>
      <c r="DW43" s="272">
        <v>0</v>
      </c>
      <c r="DX43" s="272">
        <v>0</v>
      </c>
      <c r="DY43" s="272">
        <v>0</v>
      </c>
      <c r="DZ43" s="272">
        <v>48743</v>
      </c>
      <c r="EA43" s="272">
        <v>35545</v>
      </c>
      <c r="EB43" s="272"/>
      <c r="EC43" s="272">
        <v>0</v>
      </c>
      <c r="ED43" s="272">
        <v>6217177</v>
      </c>
      <c r="EF43" s="272">
        <v>502171</v>
      </c>
      <c r="EG43" s="272">
        <v>14000</v>
      </c>
      <c r="EH43" s="272">
        <v>488171</v>
      </c>
      <c r="EI43" s="272">
        <v>375714</v>
      </c>
      <c r="EJ43" s="272">
        <v>908367</v>
      </c>
      <c r="EL43" s="272">
        <v>6285</v>
      </c>
      <c r="EM43" s="272">
        <v>6551</v>
      </c>
      <c r="EN43" s="272">
        <v>0</v>
      </c>
      <c r="EO43" s="272">
        <v>280</v>
      </c>
      <c r="EP43" s="455">
        <f t="shared" si="12"/>
        <v>142900</v>
      </c>
      <c r="EQ43" s="272">
        <v>5098842</v>
      </c>
      <c r="ER43" s="272">
        <v>-189693</v>
      </c>
      <c r="ES43" s="272">
        <v>848184</v>
      </c>
      <c r="ET43" s="272">
        <v>607503</v>
      </c>
      <c r="EU43" s="272">
        <v>39875</v>
      </c>
      <c r="EV43" s="272">
        <v>308493</v>
      </c>
      <c r="EW43" s="455">
        <f t="shared" si="13"/>
        <v>1781555</v>
      </c>
      <c r="EX43" s="272">
        <v>1781555</v>
      </c>
      <c r="EY43" s="272"/>
      <c r="EZ43" s="272">
        <v>1749340</v>
      </c>
      <c r="FA43" s="272">
        <v>0</v>
      </c>
      <c r="FB43" s="272"/>
      <c r="FC43" s="272">
        <v>350301</v>
      </c>
      <c r="FD43" s="272">
        <v>547378</v>
      </c>
      <c r="FE43" s="272">
        <v>175410</v>
      </c>
      <c r="FF43" s="272">
        <v>378203</v>
      </c>
      <c r="FG43" s="455">
        <f t="shared" si="14"/>
        <v>532375</v>
      </c>
      <c r="FH43" s="272">
        <v>4786364</v>
      </c>
      <c r="FI43" s="384">
        <f t="shared" si="15"/>
        <v>9.9</v>
      </c>
      <c r="FJ43" s="272">
        <v>4912341</v>
      </c>
      <c r="FK43" s="272"/>
      <c r="FL43" s="272">
        <v>3687809</v>
      </c>
      <c r="FM43" s="272">
        <v>1772043</v>
      </c>
      <c r="FN43" s="460">
        <v>1.194</v>
      </c>
      <c r="FO43" s="388">
        <v>41.2</v>
      </c>
      <c r="FP43" s="388">
        <v>16.600000000000001</v>
      </c>
      <c r="FQ43" s="388">
        <v>0.8</v>
      </c>
      <c r="FR43" s="388">
        <v>6.1</v>
      </c>
      <c r="FS43" s="388">
        <v>5.6</v>
      </c>
      <c r="FT43" s="388">
        <v>8.3000000000000007</v>
      </c>
      <c r="FU43" s="388">
        <v>3.5</v>
      </c>
      <c r="FV43" s="388">
        <v>7.6</v>
      </c>
      <c r="FW43" s="272">
        <v>4371767</v>
      </c>
      <c r="FX43" s="384">
        <f t="shared" si="16"/>
        <v>89</v>
      </c>
      <c r="FY43" s="272">
        <v>1360118</v>
      </c>
      <c r="FZ43" s="272">
        <v>1042193</v>
      </c>
      <c r="GA43" s="272"/>
      <c r="GB43" s="272">
        <v>317925</v>
      </c>
      <c r="GC43" s="272"/>
      <c r="GD43" s="272">
        <v>4508412</v>
      </c>
      <c r="GE43" s="384">
        <f>ROUND(GD43/FJ43*100,1)</f>
        <v>91.8</v>
      </c>
      <c r="GF43" s="388">
        <v>99.6</v>
      </c>
      <c r="GG43" s="388">
        <v>28.7</v>
      </c>
      <c r="GH43" s="388">
        <v>98.8</v>
      </c>
      <c r="GI43" s="272">
        <v>102</v>
      </c>
    </row>
    <row r="44" spans="2:191" x14ac:dyDescent="0.15">
      <c r="B44" s="89" t="s">
        <v>81</v>
      </c>
      <c r="C44" s="272">
        <v>3015088</v>
      </c>
      <c r="D44" s="455">
        <f t="shared" si="0"/>
        <v>971114</v>
      </c>
      <c r="E44" s="272">
        <v>11039</v>
      </c>
      <c r="F44" s="272">
        <v>960075</v>
      </c>
      <c r="G44" s="455">
        <f t="shared" si="1"/>
        <v>220688</v>
      </c>
      <c r="H44" s="272">
        <v>33072</v>
      </c>
      <c r="I44" s="272">
        <v>187616</v>
      </c>
      <c r="J44" s="272">
        <v>1532526</v>
      </c>
      <c r="K44" s="272">
        <v>654061</v>
      </c>
      <c r="L44" s="272">
        <v>441470</v>
      </c>
      <c r="M44" s="272">
        <v>430244</v>
      </c>
      <c r="N44" s="272">
        <v>83481</v>
      </c>
      <c r="O44" s="272">
        <v>0</v>
      </c>
      <c r="P44" s="272">
        <v>0</v>
      </c>
      <c r="Q44" s="272">
        <v>0</v>
      </c>
      <c r="R44" s="272">
        <v>138360</v>
      </c>
      <c r="S44" s="272">
        <v>83422</v>
      </c>
      <c r="T44" s="455">
        <f t="shared" si="2"/>
        <v>258595</v>
      </c>
      <c r="U44" s="272">
        <v>95130</v>
      </c>
      <c r="V44" s="272"/>
      <c r="W44" s="272"/>
      <c r="X44" s="272"/>
      <c r="Y44" s="272">
        <v>80556</v>
      </c>
      <c r="Z44" s="272">
        <v>1002</v>
      </c>
      <c r="AA44" s="272">
        <v>81907</v>
      </c>
      <c r="AB44" s="272"/>
      <c r="AC44" s="272">
        <v>1128379</v>
      </c>
      <c r="AD44" s="272">
        <v>913284</v>
      </c>
      <c r="AE44" s="272">
        <v>215095</v>
      </c>
      <c r="AF44" s="272">
        <v>3865</v>
      </c>
      <c r="AG44" s="272">
        <v>20590</v>
      </c>
      <c r="AH44" s="455">
        <f t="shared" si="3"/>
        <v>182992</v>
      </c>
      <c r="AI44" s="272">
        <v>170995</v>
      </c>
      <c r="AJ44" s="272">
        <v>11997</v>
      </c>
      <c r="AK44" s="272">
        <v>1023295</v>
      </c>
      <c r="AL44" s="455">
        <f t="shared" si="4"/>
        <v>64754</v>
      </c>
      <c r="AM44" s="272">
        <v>0</v>
      </c>
      <c r="AN44" s="272">
        <v>25659</v>
      </c>
      <c r="AO44" s="272">
        <v>0</v>
      </c>
      <c r="AP44" s="272">
        <v>39095</v>
      </c>
      <c r="AQ44" s="272">
        <v>867382</v>
      </c>
      <c r="AR44" s="272">
        <v>3230</v>
      </c>
      <c r="AS44" s="272">
        <v>0</v>
      </c>
      <c r="AT44" s="272">
        <v>967366</v>
      </c>
      <c r="AU44" s="272">
        <v>247318</v>
      </c>
      <c r="AV44" s="272">
        <v>12830</v>
      </c>
      <c r="AW44" s="272">
        <v>77747</v>
      </c>
      <c r="AX44" s="272">
        <v>720048</v>
      </c>
      <c r="AY44" s="272">
        <v>323971</v>
      </c>
      <c r="AZ44" s="272">
        <v>65249</v>
      </c>
      <c r="BA44" s="272">
        <v>30306</v>
      </c>
      <c r="BB44" s="272">
        <v>204385</v>
      </c>
      <c r="BC44" s="272">
        <v>1034743</v>
      </c>
      <c r="BD44" s="272">
        <v>0</v>
      </c>
      <c r="BE44" s="272">
        <v>0</v>
      </c>
      <c r="BF44" s="272">
        <v>397000</v>
      </c>
      <c r="BG44" s="272">
        <v>0</v>
      </c>
      <c r="BH44" s="272">
        <v>65287</v>
      </c>
      <c r="BI44" s="272">
        <v>2668</v>
      </c>
      <c r="BJ44" s="272">
        <v>164476</v>
      </c>
      <c r="BK44" s="272">
        <v>26185</v>
      </c>
      <c r="BL44" s="272">
        <v>0</v>
      </c>
      <c r="BM44" s="272">
        <v>0</v>
      </c>
      <c r="BN44" s="272">
        <v>4011700</v>
      </c>
      <c r="BO44" s="455">
        <f t="shared" si="5"/>
        <v>3830300</v>
      </c>
      <c r="BP44" s="455">
        <f t="shared" si="6"/>
        <v>181400</v>
      </c>
      <c r="BQ44" s="272">
        <v>181400</v>
      </c>
      <c r="BR44" s="272"/>
      <c r="BS44" s="272"/>
      <c r="BT44" s="272">
        <v>0</v>
      </c>
      <c r="BU44" s="272">
        <v>12284370</v>
      </c>
      <c r="BV44" s="272"/>
      <c r="BW44" s="272">
        <v>2029964</v>
      </c>
      <c r="BX44" s="272">
        <v>1515891</v>
      </c>
      <c r="BY44" s="272">
        <v>89678</v>
      </c>
      <c r="BZ44" s="272">
        <v>35935</v>
      </c>
      <c r="CA44" s="272">
        <v>408014</v>
      </c>
      <c r="CB44" s="272">
        <v>122719</v>
      </c>
      <c r="CC44" s="272">
        <v>200728</v>
      </c>
      <c r="CD44" s="272">
        <v>71346</v>
      </c>
      <c r="CE44" s="272">
        <v>0</v>
      </c>
      <c r="CF44" s="272">
        <v>81</v>
      </c>
      <c r="CG44" s="272">
        <v>13060</v>
      </c>
      <c r="CH44" s="272">
        <v>945151</v>
      </c>
      <c r="CI44" s="272">
        <v>625375</v>
      </c>
      <c r="CJ44" s="455">
        <f t="shared" si="7"/>
        <v>319776</v>
      </c>
      <c r="CK44" s="272">
        <v>1248243</v>
      </c>
      <c r="CL44" s="272">
        <v>516685</v>
      </c>
      <c r="CM44" s="272">
        <v>143797</v>
      </c>
      <c r="CN44" s="272">
        <v>373396</v>
      </c>
      <c r="CO44" s="272">
        <v>121433</v>
      </c>
      <c r="CP44" s="272">
        <v>229758</v>
      </c>
      <c r="CQ44" s="272">
        <v>2060</v>
      </c>
      <c r="CR44" s="272">
        <v>103777</v>
      </c>
      <c r="CS44" s="272">
        <v>94539</v>
      </c>
      <c r="CT44" s="455">
        <f t="shared" si="8"/>
        <v>5590</v>
      </c>
      <c r="CU44" s="272">
        <v>5590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5400159</v>
      </c>
      <c r="DD44" s="272">
        <v>1203026</v>
      </c>
      <c r="DE44" s="272">
        <v>4152989</v>
      </c>
      <c r="DF44" s="272">
        <v>44144</v>
      </c>
      <c r="DG44" s="272">
        <v>0</v>
      </c>
      <c r="DH44" s="272">
        <v>54527</v>
      </c>
      <c r="DI44" s="272">
        <v>946244</v>
      </c>
      <c r="DJ44" s="272">
        <v>186253</v>
      </c>
      <c r="DK44" s="272">
        <v>1449</v>
      </c>
      <c r="DL44" s="272">
        <v>758542</v>
      </c>
      <c r="DM44" s="272">
        <v>7000</v>
      </c>
      <c r="DN44" s="272">
        <v>7000</v>
      </c>
      <c r="DO44" s="272">
        <v>7000</v>
      </c>
      <c r="DP44" s="272">
        <v>0</v>
      </c>
      <c r="DQ44" s="272">
        <v>0</v>
      </c>
      <c r="DR44" s="272">
        <v>0</v>
      </c>
      <c r="DS44" s="272">
        <v>0</v>
      </c>
      <c r="DT44" s="272">
        <v>553388</v>
      </c>
      <c r="DU44" s="272">
        <v>227498</v>
      </c>
      <c r="DV44" s="455">
        <f t="shared" si="11"/>
        <v>0</v>
      </c>
      <c r="DW44" s="272">
        <v>0</v>
      </c>
      <c r="DX44" s="272">
        <v>0</v>
      </c>
      <c r="DY44" s="272">
        <v>0</v>
      </c>
      <c r="DZ44" s="272">
        <v>196153</v>
      </c>
      <c r="EA44" s="272">
        <v>127305</v>
      </c>
      <c r="EB44" s="272"/>
      <c r="EC44" s="272">
        <v>0</v>
      </c>
      <c r="ED44" s="272">
        <v>11943881</v>
      </c>
      <c r="EF44" s="272">
        <v>340489</v>
      </c>
      <c r="EG44" s="272">
        <v>336643</v>
      </c>
      <c r="EH44" s="272">
        <v>3846</v>
      </c>
      <c r="EI44" s="272">
        <v>1178</v>
      </c>
      <c r="EJ44" s="272">
        <v>187431</v>
      </c>
      <c r="EL44" s="272">
        <v>20812</v>
      </c>
      <c r="EM44" s="272">
        <v>21196</v>
      </c>
      <c r="EN44" s="272">
        <v>632452</v>
      </c>
      <c r="EO44" s="272">
        <v>31115</v>
      </c>
      <c r="EP44" s="455">
        <f t="shared" si="12"/>
        <v>779638</v>
      </c>
      <c r="EQ44" s="272">
        <v>4544287</v>
      </c>
      <c r="ER44" s="272">
        <v>-1620740</v>
      </c>
      <c r="ES44" s="272">
        <v>1834787</v>
      </c>
      <c r="ET44" s="272">
        <v>1331622</v>
      </c>
      <c r="EU44" s="272">
        <v>140327</v>
      </c>
      <c r="EV44" s="272">
        <v>748600</v>
      </c>
      <c r="EW44" s="455">
        <f t="shared" si="13"/>
        <v>371544</v>
      </c>
      <c r="EX44" s="272">
        <v>326743</v>
      </c>
      <c r="EY44" s="272">
        <v>25164</v>
      </c>
      <c r="EZ44" s="272">
        <v>301535</v>
      </c>
      <c r="FA44" s="272">
        <v>44801</v>
      </c>
      <c r="FB44" s="272"/>
      <c r="FC44" s="272">
        <v>978391</v>
      </c>
      <c r="FD44" s="272">
        <v>202534</v>
      </c>
      <c r="FE44" s="272">
        <v>2060</v>
      </c>
      <c r="FF44" s="272">
        <v>519233</v>
      </c>
      <c r="FG44" s="455">
        <f t="shared" si="14"/>
        <v>1029179</v>
      </c>
      <c r="FH44" s="272">
        <v>5824595</v>
      </c>
      <c r="FI44" s="384">
        <f t="shared" si="15"/>
        <v>0.1</v>
      </c>
      <c r="FJ44" s="272">
        <v>4379994</v>
      </c>
      <c r="FK44" s="272"/>
      <c r="FL44" s="272">
        <v>2614518</v>
      </c>
      <c r="FM44" s="272">
        <v>3526009</v>
      </c>
      <c r="FN44" s="460">
        <v>0.745</v>
      </c>
      <c r="FO44" s="388">
        <v>84.6</v>
      </c>
      <c r="FP44" s="388">
        <v>40.1</v>
      </c>
      <c r="FQ44" s="388">
        <v>2.9</v>
      </c>
      <c r="FR44" s="388">
        <v>12.8</v>
      </c>
      <c r="FS44" s="388">
        <v>17.399999999999999</v>
      </c>
      <c r="FT44" s="388">
        <v>3.1</v>
      </c>
      <c r="FU44" s="388">
        <v>5.8</v>
      </c>
      <c r="FV44" s="388">
        <v>9.3000000000000007</v>
      </c>
      <c r="FW44" s="272">
        <v>9490668</v>
      </c>
      <c r="FX44" s="384">
        <f t="shared" si="16"/>
        <v>216.7</v>
      </c>
      <c r="FY44" s="272">
        <v>3101696</v>
      </c>
      <c r="FZ44" s="272">
        <v>866521</v>
      </c>
      <c r="GA44" s="272">
        <v>118111</v>
      </c>
      <c r="GB44" s="272">
        <v>2117064</v>
      </c>
      <c r="GC44" s="272"/>
      <c r="GD44" s="272"/>
      <c r="GE44" s="384"/>
      <c r="GF44" s="388">
        <v>98.2</v>
      </c>
      <c r="GG44" s="388">
        <v>40.4</v>
      </c>
      <c r="GH44" s="388">
        <v>94.7</v>
      </c>
      <c r="GI44" s="272">
        <v>234</v>
      </c>
    </row>
    <row r="45" spans="2:191" x14ac:dyDescent="0.15">
      <c r="B45" s="89" t="s">
        <v>83</v>
      </c>
      <c r="C45" s="272">
        <v>1345722</v>
      </c>
      <c r="D45" s="455">
        <f t="shared" si="0"/>
        <v>678601</v>
      </c>
      <c r="E45" s="272">
        <v>6254</v>
      </c>
      <c r="F45" s="272">
        <v>672347</v>
      </c>
      <c r="G45" s="455">
        <f t="shared" si="1"/>
        <v>23264</v>
      </c>
      <c r="H45" s="272">
        <v>9806</v>
      </c>
      <c r="I45" s="272">
        <v>13458</v>
      </c>
      <c r="J45" s="272">
        <v>529431</v>
      </c>
      <c r="K45" s="272">
        <v>265090</v>
      </c>
      <c r="L45" s="272">
        <v>210026</v>
      </c>
      <c r="M45" s="272">
        <v>54315</v>
      </c>
      <c r="N45" s="272">
        <v>46556</v>
      </c>
      <c r="O45" s="272">
        <v>0</v>
      </c>
      <c r="P45" s="272">
        <v>0</v>
      </c>
      <c r="Q45" s="272">
        <v>0</v>
      </c>
      <c r="R45" s="272">
        <v>71880</v>
      </c>
      <c r="S45" s="272">
        <v>40842</v>
      </c>
      <c r="T45" s="455">
        <f t="shared" si="2"/>
        <v>104137</v>
      </c>
      <c r="U45" s="272">
        <v>57130</v>
      </c>
      <c r="V45" s="272"/>
      <c r="W45" s="272"/>
      <c r="X45" s="272"/>
      <c r="Y45" s="272">
        <v>0</v>
      </c>
      <c r="Z45" s="272">
        <v>740</v>
      </c>
      <c r="AA45" s="272">
        <v>46267</v>
      </c>
      <c r="AB45" s="272"/>
      <c r="AC45" s="272">
        <v>1444133</v>
      </c>
      <c r="AD45" s="272">
        <v>1272519</v>
      </c>
      <c r="AE45" s="272">
        <v>171614</v>
      </c>
      <c r="AF45" s="272">
        <v>2893</v>
      </c>
      <c r="AG45" s="272">
        <v>46538</v>
      </c>
      <c r="AH45" s="455">
        <f t="shared" si="3"/>
        <v>37823</v>
      </c>
      <c r="AI45" s="272">
        <v>14558</v>
      </c>
      <c r="AJ45" s="272">
        <v>23265</v>
      </c>
      <c r="AK45" s="272">
        <v>136654</v>
      </c>
      <c r="AL45" s="455">
        <f t="shared" si="4"/>
        <v>53672</v>
      </c>
      <c r="AM45" s="272">
        <v>0</v>
      </c>
      <c r="AN45" s="272">
        <v>33147</v>
      </c>
      <c r="AO45" s="272">
        <v>0</v>
      </c>
      <c r="AP45" s="272">
        <v>20525</v>
      </c>
      <c r="AQ45" s="272">
        <v>8205</v>
      </c>
      <c r="AR45" s="272">
        <v>0</v>
      </c>
      <c r="AS45" s="272">
        <v>0</v>
      </c>
      <c r="AT45" s="272">
        <v>476279</v>
      </c>
      <c r="AU45" s="272">
        <v>137328</v>
      </c>
      <c r="AV45" s="272">
        <v>16147</v>
      </c>
      <c r="AW45" s="272">
        <v>0</v>
      </c>
      <c r="AX45" s="272">
        <v>338951</v>
      </c>
      <c r="AY45" s="272">
        <v>227188</v>
      </c>
      <c r="AZ45" s="272">
        <v>15486</v>
      </c>
      <c r="BA45" s="272">
        <v>0</v>
      </c>
      <c r="BB45" s="272">
        <v>3422</v>
      </c>
      <c r="BC45" s="272">
        <v>22694</v>
      </c>
      <c r="BD45" s="272">
        <v>0</v>
      </c>
      <c r="BE45" s="272">
        <v>0</v>
      </c>
      <c r="BF45" s="272">
        <v>20955</v>
      </c>
      <c r="BG45" s="272">
        <v>0</v>
      </c>
      <c r="BH45" s="272">
        <v>87167</v>
      </c>
      <c r="BI45" s="272">
        <v>87167</v>
      </c>
      <c r="BJ45" s="272">
        <v>22858</v>
      </c>
      <c r="BK45" s="272">
        <v>0</v>
      </c>
      <c r="BL45" s="272">
        <v>0</v>
      </c>
      <c r="BM45" s="272">
        <v>0</v>
      </c>
      <c r="BN45" s="272">
        <v>353800</v>
      </c>
      <c r="BO45" s="455">
        <f t="shared" si="5"/>
        <v>243200</v>
      </c>
      <c r="BP45" s="455">
        <f t="shared" si="6"/>
        <v>110600</v>
      </c>
      <c r="BQ45" s="272">
        <v>110600</v>
      </c>
      <c r="BR45" s="272"/>
      <c r="BS45" s="272"/>
      <c r="BT45" s="272">
        <v>0</v>
      </c>
      <c r="BU45" s="272">
        <v>4171486</v>
      </c>
      <c r="BV45" s="272"/>
      <c r="BW45" s="272">
        <v>1015017</v>
      </c>
      <c r="BX45" s="272">
        <v>692549</v>
      </c>
      <c r="BY45" s="272">
        <v>36696</v>
      </c>
      <c r="BZ45" s="272">
        <v>15743</v>
      </c>
      <c r="CA45" s="272">
        <v>304310</v>
      </c>
      <c r="CB45" s="272">
        <v>34176</v>
      </c>
      <c r="CC45" s="272">
        <v>105611</v>
      </c>
      <c r="CD45" s="272">
        <v>156234</v>
      </c>
      <c r="CE45" s="272">
        <v>0</v>
      </c>
      <c r="CF45" s="272">
        <v>0</v>
      </c>
      <c r="CG45" s="272">
        <v>8289</v>
      </c>
      <c r="CH45" s="272">
        <v>544739</v>
      </c>
      <c r="CI45" s="272">
        <v>249198</v>
      </c>
      <c r="CJ45" s="455">
        <f t="shared" si="7"/>
        <v>295541</v>
      </c>
      <c r="CK45" s="272">
        <v>654838</v>
      </c>
      <c r="CL45" s="272">
        <v>347719</v>
      </c>
      <c r="CM45" s="272">
        <v>51005</v>
      </c>
      <c r="CN45" s="272">
        <v>151426</v>
      </c>
      <c r="CO45" s="272">
        <v>29002</v>
      </c>
      <c r="CP45" s="272">
        <v>430945</v>
      </c>
      <c r="CQ45" s="272">
        <v>144856</v>
      </c>
      <c r="CR45" s="272">
        <v>98740</v>
      </c>
      <c r="CS45" s="272">
        <v>87606</v>
      </c>
      <c r="CT45" s="455">
        <f t="shared" si="8"/>
        <v>16068</v>
      </c>
      <c r="CU45" s="272">
        <v>2024</v>
      </c>
      <c r="CV45" s="272">
        <v>14044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650388</v>
      </c>
      <c r="DD45" s="272">
        <v>15210</v>
      </c>
      <c r="DE45" s="272">
        <v>583479</v>
      </c>
      <c r="DF45" s="272">
        <v>556</v>
      </c>
      <c r="DG45" s="272">
        <v>48018</v>
      </c>
      <c r="DH45" s="272">
        <v>0</v>
      </c>
      <c r="DI45" s="272">
        <v>115000</v>
      </c>
      <c r="DJ45" s="272">
        <v>50689</v>
      </c>
      <c r="DK45" s="272">
        <v>2498</v>
      </c>
      <c r="DL45" s="272">
        <v>61813</v>
      </c>
      <c r="DM45" s="272">
        <v>500</v>
      </c>
      <c r="DN45" s="272">
        <v>0</v>
      </c>
      <c r="DO45" s="272">
        <v>0</v>
      </c>
      <c r="DP45" s="272">
        <v>0</v>
      </c>
      <c r="DQ45" s="272">
        <v>0</v>
      </c>
      <c r="DR45" s="272">
        <v>0</v>
      </c>
      <c r="DS45" s="272">
        <v>0</v>
      </c>
      <c r="DT45" s="272">
        <v>322413</v>
      </c>
      <c r="DU45" s="272">
        <v>199009</v>
      </c>
      <c r="DV45" s="455">
        <f t="shared" si="11"/>
        <v>0</v>
      </c>
      <c r="DW45" s="272">
        <v>0</v>
      </c>
      <c r="DX45" s="272">
        <v>0</v>
      </c>
      <c r="DY45" s="272">
        <v>0</v>
      </c>
      <c r="DZ45" s="272">
        <v>68405</v>
      </c>
      <c r="EA45" s="272">
        <v>47321</v>
      </c>
      <c r="EB45" s="272"/>
      <c r="EC45" s="272">
        <v>0</v>
      </c>
      <c r="ED45" s="272">
        <v>4067152</v>
      </c>
      <c r="EF45" s="272">
        <v>104334</v>
      </c>
      <c r="EG45" s="272">
        <v>0</v>
      </c>
      <c r="EH45" s="272">
        <v>104334</v>
      </c>
      <c r="EI45" s="272">
        <v>17167</v>
      </c>
      <c r="EJ45" s="272">
        <v>67856</v>
      </c>
      <c r="EL45" s="272">
        <v>12872</v>
      </c>
      <c r="EM45" s="272">
        <v>12891</v>
      </c>
      <c r="EN45" s="272">
        <v>1739</v>
      </c>
      <c r="EO45" s="272">
        <v>0</v>
      </c>
      <c r="EP45" s="455">
        <f t="shared" si="12"/>
        <v>93379</v>
      </c>
      <c r="EQ45" s="272">
        <v>2968765</v>
      </c>
      <c r="ER45" s="272">
        <v>-202825</v>
      </c>
      <c r="ES45" s="272">
        <v>956484</v>
      </c>
      <c r="ET45" s="272">
        <v>640017</v>
      </c>
      <c r="EU45" s="272">
        <v>97521</v>
      </c>
      <c r="EV45" s="272">
        <v>544739</v>
      </c>
      <c r="EW45" s="455">
        <f t="shared" si="13"/>
        <v>120563</v>
      </c>
      <c r="EX45" s="272">
        <v>120563</v>
      </c>
      <c r="EY45" s="272">
        <v>2405</v>
      </c>
      <c r="EZ45" s="272">
        <v>114459</v>
      </c>
      <c r="FA45" s="272">
        <v>0</v>
      </c>
      <c r="FB45" s="272"/>
      <c r="FC45" s="272">
        <v>529566</v>
      </c>
      <c r="FD45" s="272">
        <v>401573</v>
      </c>
      <c r="FE45" s="272">
        <v>144856</v>
      </c>
      <c r="FF45" s="272">
        <v>290361</v>
      </c>
      <c r="FG45" s="455">
        <f t="shared" si="14"/>
        <v>126449</v>
      </c>
      <c r="FH45" s="272">
        <v>3067256</v>
      </c>
      <c r="FI45" s="384">
        <f t="shared" si="15"/>
        <v>3.6</v>
      </c>
      <c r="FJ45" s="272">
        <v>2865973</v>
      </c>
      <c r="FK45" s="272"/>
      <c r="FL45" s="272">
        <v>1202967</v>
      </c>
      <c r="FM45" s="272">
        <v>2475125</v>
      </c>
      <c r="FN45" s="460">
        <v>0.47799999999999998</v>
      </c>
      <c r="FO45" s="388">
        <v>87.8</v>
      </c>
      <c r="FP45" s="388">
        <v>34</v>
      </c>
      <c r="FQ45" s="388">
        <v>3.5</v>
      </c>
      <c r="FR45" s="388">
        <v>19.5</v>
      </c>
      <c r="FS45" s="388">
        <v>14.9</v>
      </c>
      <c r="FT45" s="388">
        <v>11.2</v>
      </c>
      <c r="FU45" s="388">
        <v>3.7</v>
      </c>
      <c r="FV45" s="388">
        <v>13</v>
      </c>
      <c r="FW45" s="272">
        <v>5949350</v>
      </c>
      <c r="FX45" s="384">
        <f t="shared" si="16"/>
        <v>207.6</v>
      </c>
      <c r="FY45" s="272">
        <v>1195497</v>
      </c>
      <c r="FZ45" s="272">
        <v>543998</v>
      </c>
      <c r="GA45" s="272">
        <v>175193</v>
      </c>
      <c r="GB45" s="272">
        <v>476306</v>
      </c>
      <c r="GC45" s="272"/>
      <c r="GD45" s="272">
        <v>1034264</v>
      </c>
      <c r="GE45" s="384">
        <f>ROUND(GD45/FJ45*100,1)</f>
        <v>36.1</v>
      </c>
      <c r="GF45" s="388">
        <v>97.2</v>
      </c>
      <c r="GG45" s="388">
        <v>35.5</v>
      </c>
      <c r="GH45" s="388">
        <v>93.8</v>
      </c>
      <c r="GI45" s="272">
        <v>110</v>
      </c>
    </row>
    <row r="46" spans="2:191" x14ac:dyDescent="0.15">
      <c r="B46" s="89" t="s">
        <v>85</v>
      </c>
      <c r="C46" s="272">
        <v>1676629</v>
      </c>
      <c r="D46" s="455">
        <f t="shared" si="0"/>
        <v>836336</v>
      </c>
      <c r="E46" s="272">
        <v>7301</v>
      </c>
      <c r="F46" s="272">
        <v>829035</v>
      </c>
      <c r="G46" s="455">
        <f t="shared" si="1"/>
        <v>61710</v>
      </c>
      <c r="H46" s="272">
        <v>16361</v>
      </c>
      <c r="I46" s="272">
        <v>45349</v>
      </c>
      <c r="J46" s="272">
        <v>655213</v>
      </c>
      <c r="K46" s="272">
        <v>325484</v>
      </c>
      <c r="L46" s="272">
        <v>255165</v>
      </c>
      <c r="M46" s="272">
        <v>74564</v>
      </c>
      <c r="N46" s="272">
        <v>54130</v>
      </c>
      <c r="O46" s="272">
        <v>106</v>
      </c>
      <c r="P46" s="272">
        <v>77</v>
      </c>
      <c r="Q46" s="272">
        <v>29</v>
      </c>
      <c r="R46" s="272">
        <v>107967</v>
      </c>
      <c r="S46" s="272">
        <v>59735</v>
      </c>
      <c r="T46" s="455">
        <f t="shared" si="2"/>
        <v>175311</v>
      </c>
      <c r="U46" s="272">
        <v>72500</v>
      </c>
      <c r="V46" s="272"/>
      <c r="W46" s="272"/>
      <c r="X46" s="272"/>
      <c r="Y46" s="272">
        <v>31068</v>
      </c>
      <c r="Z46" s="272">
        <v>0</v>
      </c>
      <c r="AA46" s="272">
        <v>71743</v>
      </c>
      <c r="AB46" s="272"/>
      <c r="AC46" s="272">
        <v>1597147</v>
      </c>
      <c r="AD46" s="272">
        <v>1423627</v>
      </c>
      <c r="AE46" s="272">
        <v>173520</v>
      </c>
      <c r="AF46" s="272">
        <v>2872</v>
      </c>
      <c r="AG46" s="272">
        <v>60364</v>
      </c>
      <c r="AH46" s="455">
        <f t="shared" si="3"/>
        <v>54657</v>
      </c>
      <c r="AI46" s="272">
        <v>41339</v>
      </c>
      <c r="AJ46" s="272">
        <v>13318</v>
      </c>
      <c r="AK46" s="272">
        <v>268576</v>
      </c>
      <c r="AL46" s="455">
        <f t="shared" si="4"/>
        <v>42307</v>
      </c>
      <c r="AM46" s="272">
        <v>0</v>
      </c>
      <c r="AN46" s="272">
        <v>6774</v>
      </c>
      <c r="AO46" s="272">
        <v>0</v>
      </c>
      <c r="AP46" s="272">
        <v>35533</v>
      </c>
      <c r="AQ46" s="272">
        <v>130855</v>
      </c>
      <c r="AR46" s="272">
        <v>34669</v>
      </c>
      <c r="AS46" s="272">
        <v>0</v>
      </c>
      <c r="AT46" s="272">
        <v>527671</v>
      </c>
      <c r="AU46" s="272">
        <v>196935</v>
      </c>
      <c r="AV46" s="272">
        <v>3387</v>
      </c>
      <c r="AW46" s="272">
        <v>102943</v>
      </c>
      <c r="AX46" s="272">
        <v>330736</v>
      </c>
      <c r="AY46" s="272">
        <v>214491</v>
      </c>
      <c r="AZ46" s="272">
        <v>49292</v>
      </c>
      <c r="BA46" s="272">
        <v>0</v>
      </c>
      <c r="BB46" s="272">
        <v>6640</v>
      </c>
      <c r="BC46" s="272">
        <v>189807</v>
      </c>
      <c r="BD46" s="272">
        <v>1000</v>
      </c>
      <c r="BE46" s="272">
        <v>0</v>
      </c>
      <c r="BF46" s="272">
        <v>188807</v>
      </c>
      <c r="BG46" s="272">
        <v>0</v>
      </c>
      <c r="BH46" s="272">
        <v>59772</v>
      </c>
      <c r="BI46" s="272">
        <v>59772</v>
      </c>
      <c r="BJ46" s="272">
        <v>20455</v>
      </c>
      <c r="BK46" s="272">
        <v>0</v>
      </c>
      <c r="BL46" s="272">
        <v>0</v>
      </c>
      <c r="BM46" s="272">
        <v>0</v>
      </c>
      <c r="BN46" s="272">
        <v>817200</v>
      </c>
      <c r="BO46" s="455">
        <f t="shared" si="5"/>
        <v>683800</v>
      </c>
      <c r="BP46" s="455">
        <f t="shared" si="6"/>
        <v>133400</v>
      </c>
      <c r="BQ46" s="272">
        <v>133400</v>
      </c>
      <c r="BR46" s="272"/>
      <c r="BS46" s="272"/>
      <c r="BT46" s="272">
        <v>0</v>
      </c>
      <c r="BU46" s="272">
        <v>5614360</v>
      </c>
      <c r="BV46" s="272"/>
      <c r="BW46" s="272">
        <v>1378792</v>
      </c>
      <c r="BX46" s="272">
        <v>941525</v>
      </c>
      <c r="BY46" s="272">
        <v>69542</v>
      </c>
      <c r="BZ46" s="272">
        <v>42174</v>
      </c>
      <c r="CA46" s="272">
        <v>227737</v>
      </c>
      <c r="CB46" s="272">
        <v>35476</v>
      </c>
      <c r="CC46" s="272">
        <v>152179</v>
      </c>
      <c r="CD46" s="272">
        <v>38537</v>
      </c>
      <c r="CE46" s="272">
        <v>0</v>
      </c>
      <c r="CF46" s="272">
        <v>0</v>
      </c>
      <c r="CG46" s="272">
        <v>1545</v>
      </c>
      <c r="CH46" s="272">
        <v>490831</v>
      </c>
      <c r="CI46" s="272">
        <v>190526</v>
      </c>
      <c r="CJ46" s="455">
        <f t="shared" si="7"/>
        <v>300305</v>
      </c>
      <c r="CK46" s="272">
        <v>707480</v>
      </c>
      <c r="CL46" s="272">
        <v>356041</v>
      </c>
      <c r="CM46" s="272">
        <v>35063</v>
      </c>
      <c r="CN46" s="272">
        <v>193093</v>
      </c>
      <c r="CO46" s="272">
        <v>9236</v>
      </c>
      <c r="CP46" s="272">
        <v>417058</v>
      </c>
      <c r="CQ46" s="272">
        <v>152101</v>
      </c>
      <c r="CR46" s="272">
        <v>149074</v>
      </c>
      <c r="CS46" s="272">
        <v>149074</v>
      </c>
      <c r="CT46" s="455">
        <f t="shared" si="8"/>
        <v>8365</v>
      </c>
      <c r="CU46" s="272">
        <v>1106</v>
      </c>
      <c r="CV46" s="272">
        <v>7259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1586011</v>
      </c>
      <c r="DD46" s="272">
        <v>438893</v>
      </c>
      <c r="DE46" s="272">
        <v>1116245</v>
      </c>
      <c r="DF46" s="272">
        <v>30873</v>
      </c>
      <c r="DG46" s="272">
        <v>0</v>
      </c>
      <c r="DH46" s="272">
        <v>70961</v>
      </c>
      <c r="DI46" s="272">
        <v>209569</v>
      </c>
      <c r="DJ46" s="272">
        <v>180694</v>
      </c>
      <c r="DK46" s="272">
        <v>3558</v>
      </c>
      <c r="DL46" s="272">
        <v>25317</v>
      </c>
      <c r="DM46" s="272">
        <v>4483</v>
      </c>
      <c r="DN46" s="272">
        <v>4183</v>
      </c>
      <c r="DO46" s="272">
        <v>4183</v>
      </c>
      <c r="DP46" s="272">
        <v>0</v>
      </c>
      <c r="DQ46" s="272">
        <v>0</v>
      </c>
      <c r="DR46" s="272">
        <v>0</v>
      </c>
      <c r="DS46" s="272">
        <v>0</v>
      </c>
      <c r="DT46" s="272">
        <v>339680</v>
      </c>
      <c r="DU46" s="272">
        <v>162449</v>
      </c>
      <c r="DV46" s="455">
        <f t="shared" si="11"/>
        <v>0</v>
      </c>
      <c r="DW46" s="272">
        <v>0</v>
      </c>
      <c r="DX46" s="272">
        <v>0</v>
      </c>
      <c r="DY46" s="272">
        <v>0</v>
      </c>
      <c r="DZ46" s="272">
        <v>70604</v>
      </c>
      <c r="EA46" s="272">
        <v>67367</v>
      </c>
      <c r="EB46" s="272"/>
      <c r="EC46" s="272">
        <v>0</v>
      </c>
      <c r="ED46" s="272">
        <v>5441838</v>
      </c>
      <c r="EF46" s="272">
        <v>172522</v>
      </c>
      <c r="EG46" s="272">
        <v>10050</v>
      </c>
      <c r="EH46" s="272">
        <v>162472</v>
      </c>
      <c r="EI46" s="272">
        <v>43700</v>
      </c>
      <c r="EJ46" s="272">
        <v>223394</v>
      </c>
      <c r="EL46" s="272">
        <v>15913</v>
      </c>
      <c r="EM46" s="272">
        <v>15360</v>
      </c>
      <c r="EN46" s="272">
        <v>1000</v>
      </c>
      <c r="EO46" s="272">
        <v>20</v>
      </c>
      <c r="EP46" s="455">
        <f t="shared" si="12"/>
        <v>77245</v>
      </c>
      <c r="EQ46" s="272">
        <v>3559926</v>
      </c>
      <c r="ER46" s="272">
        <v>-208793</v>
      </c>
      <c r="ES46" s="272">
        <v>1305654</v>
      </c>
      <c r="ET46" s="272">
        <v>875855</v>
      </c>
      <c r="EU46" s="272">
        <v>73364</v>
      </c>
      <c r="EV46" s="272">
        <v>490831</v>
      </c>
      <c r="EW46" s="455">
        <f t="shared" si="13"/>
        <v>261430</v>
      </c>
      <c r="EX46" s="272">
        <v>253772</v>
      </c>
      <c r="EY46" s="272">
        <v>33602</v>
      </c>
      <c r="EZ46" s="272">
        <v>219907</v>
      </c>
      <c r="FA46" s="272">
        <v>7658</v>
      </c>
      <c r="FB46" s="272"/>
      <c r="FC46" s="272">
        <v>578475</v>
      </c>
      <c r="FD46" s="272">
        <v>392117</v>
      </c>
      <c r="FE46" s="272">
        <v>152101</v>
      </c>
      <c r="FF46" s="272">
        <v>310216</v>
      </c>
      <c r="FG46" s="455">
        <f t="shared" si="14"/>
        <v>184110</v>
      </c>
      <c r="FH46" s="272">
        <v>3596197</v>
      </c>
      <c r="FI46" s="384">
        <f t="shared" si="15"/>
        <v>4.7</v>
      </c>
      <c r="FJ46" s="272">
        <v>3446577</v>
      </c>
      <c r="FK46" s="272"/>
      <c r="FL46" s="272">
        <v>1528187</v>
      </c>
      <c r="FM46" s="272">
        <v>2954760</v>
      </c>
      <c r="FN46" s="460">
        <v>0.52500000000000002</v>
      </c>
      <c r="FO46" s="388">
        <v>80.7</v>
      </c>
      <c r="FP46" s="388">
        <v>37.200000000000003</v>
      </c>
      <c r="FQ46" s="388">
        <v>2.2000000000000002</v>
      </c>
      <c r="FR46" s="388">
        <v>14.4</v>
      </c>
      <c r="FS46" s="388">
        <v>15.1</v>
      </c>
      <c r="FT46" s="388">
        <v>8</v>
      </c>
      <c r="FU46" s="388">
        <v>3.5</v>
      </c>
      <c r="FV46" s="388">
        <v>9.6999999999999993</v>
      </c>
      <c r="FW46" s="272">
        <v>7564500</v>
      </c>
      <c r="FX46" s="384">
        <f t="shared" si="16"/>
        <v>219.5</v>
      </c>
      <c r="FY46" s="272">
        <v>3177682</v>
      </c>
      <c r="FZ46" s="272">
        <v>1193468</v>
      </c>
      <c r="GA46" s="272">
        <v>371778</v>
      </c>
      <c r="GB46" s="272">
        <v>1612436</v>
      </c>
      <c r="GC46" s="272"/>
      <c r="GD46" s="272">
        <v>1033855</v>
      </c>
      <c r="GE46" s="384">
        <f>ROUND(GD46/FJ46*100,1)</f>
        <v>30</v>
      </c>
      <c r="GF46" s="388">
        <v>97.7</v>
      </c>
      <c r="GG46" s="388">
        <v>37.700000000000003</v>
      </c>
      <c r="GH46" s="388">
        <v>95.2</v>
      </c>
      <c r="GI46" s="272">
        <v>155</v>
      </c>
    </row>
    <row r="47" spans="2:191" x14ac:dyDescent="0.15">
      <c r="B47" s="89" t="s">
        <v>87</v>
      </c>
      <c r="C47" s="272">
        <v>760732</v>
      </c>
      <c r="D47" s="455">
        <f t="shared" si="0"/>
        <v>388166</v>
      </c>
      <c r="E47" s="272">
        <v>3882</v>
      </c>
      <c r="F47" s="272">
        <v>384284</v>
      </c>
      <c r="G47" s="455">
        <f t="shared" si="1"/>
        <v>49324</v>
      </c>
      <c r="H47" s="272">
        <v>9633</v>
      </c>
      <c r="I47" s="272">
        <v>39691</v>
      </c>
      <c r="J47" s="272">
        <v>293546</v>
      </c>
      <c r="K47" s="272">
        <v>92331</v>
      </c>
      <c r="L47" s="272">
        <v>141713</v>
      </c>
      <c r="M47" s="272">
        <v>59502</v>
      </c>
      <c r="N47" s="272">
        <v>17139</v>
      </c>
      <c r="O47" s="272">
        <v>0</v>
      </c>
      <c r="P47" s="272">
        <v>0</v>
      </c>
      <c r="Q47" s="272">
        <v>0</v>
      </c>
      <c r="R47" s="272">
        <v>48786</v>
      </c>
      <c r="S47" s="272">
        <v>27205</v>
      </c>
      <c r="T47" s="455">
        <f t="shared" si="2"/>
        <v>99959</v>
      </c>
      <c r="U47" s="272">
        <v>35965</v>
      </c>
      <c r="V47" s="272"/>
      <c r="W47" s="272"/>
      <c r="X47" s="272"/>
      <c r="Y47" s="272">
        <v>31818</v>
      </c>
      <c r="Z47" s="272">
        <v>0</v>
      </c>
      <c r="AA47" s="272">
        <v>32176</v>
      </c>
      <c r="AB47" s="272"/>
      <c r="AC47" s="272">
        <v>1151172</v>
      </c>
      <c r="AD47" s="272">
        <v>979998</v>
      </c>
      <c r="AE47" s="272">
        <v>171174</v>
      </c>
      <c r="AF47" s="272">
        <v>1207</v>
      </c>
      <c r="AG47" s="272">
        <v>26608</v>
      </c>
      <c r="AH47" s="455">
        <f t="shared" si="3"/>
        <v>21441</v>
      </c>
      <c r="AI47" s="272">
        <v>17442</v>
      </c>
      <c r="AJ47" s="272">
        <v>3999</v>
      </c>
      <c r="AK47" s="272">
        <v>140283</v>
      </c>
      <c r="AL47" s="455">
        <f t="shared" si="4"/>
        <v>35571</v>
      </c>
      <c r="AM47" s="272">
        <v>0</v>
      </c>
      <c r="AN47" s="272">
        <v>17183</v>
      </c>
      <c r="AO47" s="272">
        <v>0</v>
      </c>
      <c r="AP47" s="272">
        <v>18388</v>
      </c>
      <c r="AQ47" s="272">
        <v>73902</v>
      </c>
      <c r="AR47" s="272">
        <v>7910</v>
      </c>
      <c r="AS47" s="272">
        <v>0</v>
      </c>
      <c r="AT47" s="272">
        <v>311918</v>
      </c>
      <c r="AU47" s="272">
        <v>99097</v>
      </c>
      <c r="AV47" s="272">
        <v>8635</v>
      </c>
      <c r="AW47" s="272">
        <v>25735</v>
      </c>
      <c r="AX47" s="272">
        <v>212821</v>
      </c>
      <c r="AY47" s="272">
        <v>145380</v>
      </c>
      <c r="AZ47" s="272">
        <v>25559</v>
      </c>
      <c r="BA47" s="272">
        <v>0</v>
      </c>
      <c r="BB47" s="272">
        <v>50</v>
      </c>
      <c r="BC47" s="272">
        <v>197274</v>
      </c>
      <c r="BD47" s="272">
        <v>60000</v>
      </c>
      <c r="BE47" s="272">
        <v>22591</v>
      </c>
      <c r="BF47" s="272">
        <v>114656</v>
      </c>
      <c r="BG47" s="272">
        <v>0</v>
      </c>
      <c r="BH47" s="272">
        <v>20814</v>
      </c>
      <c r="BI47" s="272">
        <v>20814</v>
      </c>
      <c r="BJ47" s="272">
        <v>24187</v>
      </c>
      <c r="BK47" s="272">
        <v>0</v>
      </c>
      <c r="BL47" s="272">
        <v>0</v>
      </c>
      <c r="BM47" s="272">
        <v>0</v>
      </c>
      <c r="BN47" s="272">
        <v>211000</v>
      </c>
      <c r="BO47" s="455">
        <f t="shared" si="5"/>
        <v>140600</v>
      </c>
      <c r="BP47" s="455">
        <f t="shared" si="6"/>
        <v>70400</v>
      </c>
      <c r="BQ47" s="272">
        <v>70400</v>
      </c>
      <c r="BR47" s="272"/>
      <c r="BS47" s="272"/>
      <c r="BT47" s="272">
        <v>0</v>
      </c>
      <c r="BU47" s="272">
        <v>3040990</v>
      </c>
      <c r="BV47" s="272"/>
      <c r="BW47" s="272">
        <v>914214</v>
      </c>
      <c r="BX47" s="272">
        <v>645417</v>
      </c>
      <c r="BY47" s="272">
        <v>25843</v>
      </c>
      <c r="BZ47" s="272">
        <v>18883</v>
      </c>
      <c r="CA47" s="272">
        <v>149352</v>
      </c>
      <c r="CB47" s="272">
        <v>18367</v>
      </c>
      <c r="CC47" s="272">
        <v>72359</v>
      </c>
      <c r="CD47" s="272">
        <v>57850</v>
      </c>
      <c r="CE47" s="272">
        <v>0</v>
      </c>
      <c r="CF47" s="272">
        <v>0</v>
      </c>
      <c r="CG47" s="272">
        <v>764</v>
      </c>
      <c r="CH47" s="272">
        <v>294880</v>
      </c>
      <c r="CI47" s="272">
        <v>143602</v>
      </c>
      <c r="CJ47" s="455">
        <f t="shared" si="7"/>
        <v>151278</v>
      </c>
      <c r="CK47" s="272">
        <v>443399</v>
      </c>
      <c r="CL47" s="272">
        <v>198083</v>
      </c>
      <c r="CM47" s="272">
        <v>27279</v>
      </c>
      <c r="CN47" s="272">
        <v>125035</v>
      </c>
      <c r="CO47" s="272">
        <v>8306</v>
      </c>
      <c r="CP47" s="272">
        <v>285142</v>
      </c>
      <c r="CQ47" s="272">
        <v>105470</v>
      </c>
      <c r="CR47" s="272">
        <v>84346</v>
      </c>
      <c r="CS47" s="272">
        <v>68748</v>
      </c>
      <c r="CT47" s="455">
        <f t="shared" si="8"/>
        <v>26120</v>
      </c>
      <c r="CU47" s="272">
        <v>6120</v>
      </c>
      <c r="CV47" s="272">
        <v>20000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559504</v>
      </c>
      <c r="DD47" s="272">
        <v>258506</v>
      </c>
      <c r="DE47" s="272">
        <v>290786</v>
      </c>
      <c r="DF47" s="272">
        <v>10212</v>
      </c>
      <c r="DG47" s="272">
        <v>0</v>
      </c>
      <c r="DH47" s="272">
        <v>61686</v>
      </c>
      <c r="DI47" s="272">
        <v>133998</v>
      </c>
      <c r="DJ47" s="272">
        <v>48759</v>
      </c>
      <c r="DK47" s="272">
        <v>4743</v>
      </c>
      <c r="DL47" s="272">
        <v>80496</v>
      </c>
      <c r="DM47" s="272">
        <v>300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164160</v>
      </c>
      <c r="DU47" s="272">
        <v>61837</v>
      </c>
      <c r="DV47" s="455">
        <f t="shared" si="11"/>
        <v>0</v>
      </c>
      <c r="DW47" s="272">
        <v>0</v>
      </c>
      <c r="DX47" s="272">
        <v>0</v>
      </c>
      <c r="DY47" s="272">
        <v>0</v>
      </c>
      <c r="DZ47" s="272">
        <v>36672</v>
      </c>
      <c r="EA47" s="272">
        <v>32502</v>
      </c>
      <c r="EB47" s="272"/>
      <c r="EC47" s="272">
        <v>0</v>
      </c>
      <c r="ED47" s="272">
        <v>3014941</v>
      </c>
      <c r="EF47" s="272">
        <v>26049</v>
      </c>
      <c r="EG47" s="272">
        <v>0</v>
      </c>
      <c r="EH47" s="272">
        <v>26049</v>
      </c>
      <c r="EI47" s="272">
        <v>5235</v>
      </c>
      <c r="EJ47" s="272">
        <v>-6006</v>
      </c>
      <c r="EL47" s="272">
        <v>7459</v>
      </c>
      <c r="EM47" s="272">
        <v>7573</v>
      </c>
      <c r="EN47" s="272">
        <v>117247</v>
      </c>
      <c r="EO47" s="272">
        <v>395</v>
      </c>
      <c r="EP47" s="455">
        <f t="shared" si="12"/>
        <v>27139</v>
      </c>
      <c r="EQ47" s="272">
        <v>2061856</v>
      </c>
      <c r="ER47" s="272">
        <v>-213974</v>
      </c>
      <c r="ES47" s="272">
        <v>875317</v>
      </c>
      <c r="ET47" s="272">
        <v>611474</v>
      </c>
      <c r="EU47" s="272">
        <v>40489</v>
      </c>
      <c r="EV47" s="272">
        <v>294880</v>
      </c>
      <c r="EW47" s="455">
        <f t="shared" si="13"/>
        <v>107854</v>
      </c>
      <c r="EX47" s="272">
        <v>91826</v>
      </c>
      <c r="EY47" s="272">
        <v>11869</v>
      </c>
      <c r="EZ47" s="272">
        <v>74845</v>
      </c>
      <c r="FA47" s="272">
        <v>16028</v>
      </c>
      <c r="FB47" s="272"/>
      <c r="FC47" s="272">
        <v>385288</v>
      </c>
      <c r="FD47" s="272">
        <v>268509</v>
      </c>
      <c r="FE47" s="272">
        <v>105470</v>
      </c>
      <c r="FF47" s="272">
        <v>154838</v>
      </c>
      <c r="FG47" s="455">
        <f t="shared" si="14"/>
        <v>122606</v>
      </c>
      <c r="FH47" s="272">
        <v>2249781</v>
      </c>
      <c r="FI47" s="384">
        <f t="shared" si="15"/>
        <v>1.3</v>
      </c>
      <c r="FJ47" s="272">
        <v>1957912</v>
      </c>
      <c r="FK47" s="272"/>
      <c r="FL47" s="272">
        <v>738962</v>
      </c>
      <c r="FM47" s="272">
        <v>1719962</v>
      </c>
      <c r="FN47" s="460">
        <v>0.42299999999999999</v>
      </c>
      <c r="FO47" s="388">
        <v>94.6</v>
      </c>
      <c r="FP47" s="388">
        <v>45.9</v>
      </c>
      <c r="FQ47" s="388">
        <v>2.1</v>
      </c>
      <c r="FR47" s="388">
        <v>15.6</v>
      </c>
      <c r="FS47" s="388">
        <v>15.5</v>
      </c>
      <c r="FT47" s="388">
        <v>11.4</v>
      </c>
      <c r="FU47" s="388">
        <v>3.6</v>
      </c>
      <c r="FV47" s="388">
        <v>10.7</v>
      </c>
      <c r="FW47" s="272">
        <v>3077312</v>
      </c>
      <c r="FX47" s="384">
        <f t="shared" si="16"/>
        <v>157.19999999999999</v>
      </c>
      <c r="FY47" s="272">
        <v>1485191</v>
      </c>
      <c r="FZ47" s="272">
        <v>463576</v>
      </c>
      <c r="GA47" s="272">
        <v>250074</v>
      </c>
      <c r="GB47" s="272">
        <v>771541</v>
      </c>
      <c r="GC47" s="272"/>
      <c r="GD47" s="272"/>
      <c r="GE47" s="384"/>
      <c r="GF47" s="388">
        <v>99.2</v>
      </c>
      <c r="GG47" s="388">
        <v>23.6</v>
      </c>
      <c r="GH47" s="388">
        <v>96.8</v>
      </c>
      <c r="GI47" s="272">
        <v>102</v>
      </c>
    </row>
    <row r="48" spans="2:191" x14ac:dyDescent="0.15">
      <c r="B48" s="89" t="s">
        <v>839</v>
      </c>
      <c r="C48" s="272">
        <v>6477170</v>
      </c>
      <c r="D48" s="455">
        <f t="shared" si="0"/>
        <v>2209430</v>
      </c>
      <c r="E48" s="272">
        <v>20465</v>
      </c>
      <c r="F48" s="272">
        <v>2188965</v>
      </c>
      <c r="G48" s="455">
        <f t="shared" si="1"/>
        <v>551163</v>
      </c>
      <c r="H48" s="272">
        <v>120223</v>
      </c>
      <c r="I48" s="272">
        <v>430940</v>
      </c>
      <c r="J48" s="272">
        <v>3103130</v>
      </c>
      <c r="K48" s="272">
        <v>1571321</v>
      </c>
      <c r="L48" s="272">
        <v>1040709</v>
      </c>
      <c r="M48" s="272">
        <v>481759</v>
      </c>
      <c r="N48" s="272">
        <v>178074</v>
      </c>
      <c r="O48" s="272">
        <v>395232</v>
      </c>
      <c r="P48" s="272">
        <v>262793</v>
      </c>
      <c r="Q48" s="272">
        <v>132439</v>
      </c>
      <c r="R48" s="272">
        <v>280721</v>
      </c>
      <c r="S48" s="272">
        <v>200779</v>
      </c>
      <c r="T48" s="455">
        <f t="shared" si="2"/>
        <v>331495</v>
      </c>
      <c r="U48" s="272">
        <v>193525</v>
      </c>
      <c r="V48" s="272"/>
      <c r="W48" s="272"/>
      <c r="X48" s="272"/>
      <c r="Y48" s="272">
        <v>19044</v>
      </c>
      <c r="Z48" s="272">
        <v>0</v>
      </c>
      <c r="AA48" s="272">
        <v>118926</v>
      </c>
      <c r="AB48" s="272"/>
      <c r="AC48" s="272">
        <v>864088</v>
      </c>
      <c r="AD48" s="272">
        <v>682378</v>
      </c>
      <c r="AE48" s="272">
        <v>181710</v>
      </c>
      <c r="AF48" s="272">
        <v>10530</v>
      </c>
      <c r="AG48" s="272">
        <v>42495</v>
      </c>
      <c r="AH48" s="455">
        <f t="shared" si="3"/>
        <v>169420</v>
      </c>
      <c r="AI48" s="272">
        <v>122155</v>
      </c>
      <c r="AJ48" s="272">
        <v>47265</v>
      </c>
      <c r="AK48" s="272">
        <v>401514</v>
      </c>
      <c r="AL48" s="455">
        <f t="shared" si="4"/>
        <v>97333</v>
      </c>
      <c r="AM48" s="272">
        <v>0</v>
      </c>
      <c r="AN48" s="272">
        <v>41879</v>
      </c>
      <c r="AO48" s="272">
        <v>0</v>
      </c>
      <c r="AP48" s="272">
        <v>55454</v>
      </c>
      <c r="AQ48" s="272">
        <v>167465</v>
      </c>
      <c r="AR48" s="272">
        <v>0</v>
      </c>
      <c r="AS48" s="272">
        <v>0</v>
      </c>
      <c r="AT48" s="272">
        <v>535554</v>
      </c>
      <c r="AU48" s="272">
        <v>144872</v>
      </c>
      <c r="AV48" s="272">
        <v>20940</v>
      </c>
      <c r="AW48" s="272">
        <v>0</v>
      </c>
      <c r="AX48" s="272">
        <v>390682</v>
      </c>
      <c r="AY48" s="272">
        <v>158752</v>
      </c>
      <c r="AZ48" s="272">
        <v>118554</v>
      </c>
      <c r="BA48" s="272">
        <v>20031</v>
      </c>
      <c r="BB48" s="272">
        <v>54252</v>
      </c>
      <c r="BC48" s="272">
        <v>0</v>
      </c>
      <c r="BD48" s="272">
        <v>0</v>
      </c>
      <c r="BE48" s="272">
        <v>0</v>
      </c>
      <c r="BF48" s="272">
        <v>0</v>
      </c>
      <c r="BG48" s="272">
        <v>0</v>
      </c>
      <c r="BH48" s="272">
        <v>330607</v>
      </c>
      <c r="BI48" s="272">
        <v>141516</v>
      </c>
      <c r="BJ48" s="272">
        <v>112030</v>
      </c>
      <c r="BK48" s="272">
        <v>14797</v>
      </c>
      <c r="BL48" s="272">
        <v>36620</v>
      </c>
      <c r="BM48" s="272">
        <v>0</v>
      </c>
      <c r="BN48" s="272">
        <v>1606900</v>
      </c>
      <c r="BO48" s="455">
        <f t="shared" si="5"/>
        <v>1238500</v>
      </c>
      <c r="BP48" s="455">
        <f t="shared" si="6"/>
        <v>368400</v>
      </c>
      <c r="BQ48" s="272">
        <v>368400</v>
      </c>
      <c r="BR48" s="272"/>
      <c r="BS48" s="272"/>
      <c r="BT48" s="272">
        <v>0</v>
      </c>
      <c r="BU48" s="272">
        <v>11335330</v>
      </c>
      <c r="BV48" s="272"/>
      <c r="BW48" s="272">
        <v>2968851</v>
      </c>
      <c r="BX48" s="272">
        <v>2307390</v>
      </c>
      <c r="BY48" s="272">
        <v>55870</v>
      </c>
      <c r="BZ48" s="272">
        <v>38755</v>
      </c>
      <c r="CA48" s="272">
        <v>488998</v>
      </c>
      <c r="CB48" s="272">
        <v>118507</v>
      </c>
      <c r="CC48" s="272">
        <v>287384</v>
      </c>
      <c r="CD48" s="272">
        <v>74247</v>
      </c>
      <c r="CE48" s="272">
        <v>0</v>
      </c>
      <c r="CF48" s="272">
        <v>0</v>
      </c>
      <c r="CG48" s="272">
        <v>8830</v>
      </c>
      <c r="CH48" s="272">
        <v>790429</v>
      </c>
      <c r="CI48" s="272">
        <v>352759</v>
      </c>
      <c r="CJ48" s="455">
        <f t="shared" si="7"/>
        <v>437670</v>
      </c>
      <c r="CK48" s="272">
        <v>1521060</v>
      </c>
      <c r="CL48" s="272">
        <v>902459</v>
      </c>
      <c r="CM48" s="272">
        <v>106356</v>
      </c>
      <c r="CN48" s="272">
        <v>294229</v>
      </c>
      <c r="CO48" s="272">
        <v>49625</v>
      </c>
      <c r="CP48" s="272">
        <v>714146</v>
      </c>
      <c r="CQ48" s="272">
        <v>379060</v>
      </c>
      <c r="CR48" s="272">
        <v>143190</v>
      </c>
      <c r="CS48" s="272">
        <v>138494</v>
      </c>
      <c r="CT48" s="455">
        <f t="shared" si="8"/>
        <v>25827</v>
      </c>
      <c r="CU48" s="272">
        <v>25827</v>
      </c>
      <c r="CV48" s="272">
        <v>0</v>
      </c>
      <c r="CW48" s="455">
        <f t="shared" si="9"/>
        <v>0</v>
      </c>
      <c r="CX48" s="272">
        <v>0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2856158</v>
      </c>
      <c r="DD48" s="272">
        <v>446735</v>
      </c>
      <c r="DE48" s="272">
        <v>2363051</v>
      </c>
      <c r="DF48" s="272">
        <v>9752</v>
      </c>
      <c r="DG48" s="272">
        <v>36620</v>
      </c>
      <c r="DH48" s="272">
        <v>0</v>
      </c>
      <c r="DI48" s="272">
        <v>736136</v>
      </c>
      <c r="DJ48" s="272">
        <v>91416</v>
      </c>
      <c r="DK48" s="272">
        <v>12127</v>
      </c>
      <c r="DL48" s="272">
        <v>632593</v>
      </c>
      <c r="DM48" s="272">
        <v>0</v>
      </c>
      <c r="DN48" s="272">
        <v>0</v>
      </c>
      <c r="DO48" s="272">
        <v>0</v>
      </c>
      <c r="DP48" s="272">
        <v>0</v>
      </c>
      <c r="DQ48" s="272">
        <v>0</v>
      </c>
      <c r="DR48" s="272">
        <v>0</v>
      </c>
      <c r="DS48" s="272">
        <v>0</v>
      </c>
      <c r="DT48" s="272">
        <v>1061827</v>
      </c>
      <c r="DU48" s="272">
        <v>710536</v>
      </c>
      <c r="DV48" s="455">
        <f t="shared" si="11"/>
        <v>0</v>
      </c>
      <c r="DW48" s="272">
        <v>0</v>
      </c>
      <c r="DX48" s="272">
        <v>0</v>
      </c>
      <c r="DY48" s="272">
        <v>0</v>
      </c>
      <c r="DZ48" s="272">
        <v>175000</v>
      </c>
      <c r="EA48" s="272">
        <v>127456</v>
      </c>
      <c r="EB48" s="272"/>
      <c r="EC48" s="272">
        <v>0</v>
      </c>
      <c r="ED48" s="272">
        <v>11187230</v>
      </c>
      <c r="EF48" s="272">
        <v>148100</v>
      </c>
      <c r="EG48" s="272">
        <v>0</v>
      </c>
      <c r="EH48" s="272">
        <v>148100</v>
      </c>
      <c r="EI48" s="272">
        <v>6584</v>
      </c>
      <c r="EJ48" s="272">
        <v>98000</v>
      </c>
      <c r="EL48" s="272">
        <v>37391</v>
      </c>
      <c r="EM48" s="272">
        <v>37318</v>
      </c>
      <c r="EN48" s="272">
        <v>0</v>
      </c>
      <c r="EO48" s="272">
        <v>23580</v>
      </c>
      <c r="EP48" s="455">
        <f t="shared" si="12"/>
        <v>294086</v>
      </c>
      <c r="EQ48" s="272">
        <v>7964004</v>
      </c>
      <c r="ER48" s="272">
        <v>-675536</v>
      </c>
      <c r="ES48" s="272">
        <v>2701564</v>
      </c>
      <c r="ET48" s="272">
        <v>2062360</v>
      </c>
      <c r="EU48" s="272">
        <v>161995</v>
      </c>
      <c r="EV48" s="272">
        <v>790429</v>
      </c>
      <c r="EW48" s="455">
        <f t="shared" si="13"/>
        <v>1069829</v>
      </c>
      <c r="EX48" s="272">
        <v>1069829</v>
      </c>
      <c r="EY48" s="272">
        <v>51374</v>
      </c>
      <c r="EZ48" s="272">
        <v>1015063</v>
      </c>
      <c r="FA48" s="272">
        <v>0</v>
      </c>
      <c r="FB48" s="272"/>
      <c r="FC48" s="272">
        <v>1343050</v>
      </c>
      <c r="FD48" s="272">
        <v>688999</v>
      </c>
      <c r="FE48" s="272">
        <v>379060</v>
      </c>
      <c r="FF48" s="272">
        <v>1031610</v>
      </c>
      <c r="FG48" s="455">
        <f t="shared" si="14"/>
        <v>703964</v>
      </c>
      <c r="FH48" s="272">
        <v>8491440</v>
      </c>
      <c r="FI48" s="384">
        <f t="shared" si="15"/>
        <v>2</v>
      </c>
      <c r="FJ48" s="272">
        <v>7399462</v>
      </c>
      <c r="FK48" s="272"/>
      <c r="FL48" s="272">
        <v>5061745</v>
      </c>
      <c r="FM48" s="272">
        <v>5749855</v>
      </c>
      <c r="FN48" s="460">
        <v>0.90900000000000003</v>
      </c>
      <c r="FO48" s="388">
        <v>80.099999999999994</v>
      </c>
      <c r="FP48" s="388">
        <v>36.1</v>
      </c>
      <c r="FQ48" s="388">
        <v>2.2000000000000002</v>
      </c>
      <c r="FR48" s="388">
        <v>10.7</v>
      </c>
      <c r="FS48" s="388">
        <v>16.8</v>
      </c>
      <c r="FT48" s="388">
        <v>7.8</v>
      </c>
      <c r="FU48" s="388">
        <v>6</v>
      </c>
      <c r="FV48" s="388">
        <v>8.1</v>
      </c>
      <c r="FW48" s="272">
        <v>9339462</v>
      </c>
      <c r="FX48" s="384">
        <f t="shared" si="16"/>
        <v>126.2</v>
      </c>
      <c r="FY48" s="272">
        <v>8228606</v>
      </c>
      <c r="FZ48" s="272">
        <v>2037877</v>
      </c>
      <c r="GA48" s="272">
        <v>958409</v>
      </c>
      <c r="GB48" s="272">
        <v>5232320</v>
      </c>
      <c r="GC48" s="272"/>
      <c r="GD48" s="272">
        <v>5502206</v>
      </c>
      <c r="GE48" s="384">
        <f>ROUND(GD48/FJ48*100,1)</f>
        <v>74.400000000000006</v>
      </c>
      <c r="GF48" s="388">
        <v>96.5</v>
      </c>
      <c r="GG48" s="388">
        <v>28.4</v>
      </c>
      <c r="GH48" s="388">
        <v>88.7</v>
      </c>
      <c r="GI48" s="272">
        <v>367</v>
      </c>
    </row>
    <row r="49" spans="2:191" x14ac:dyDescent="0.15">
      <c r="B49" s="21" t="s">
        <v>89</v>
      </c>
      <c r="C49" s="272">
        <f>SUM(C38:C48)</f>
        <v>35036954</v>
      </c>
      <c r="D49" s="455">
        <f t="shared" si="0"/>
        <v>12979151</v>
      </c>
      <c r="E49" s="272">
        <f>SUM(E38:E48)</f>
        <v>118785</v>
      </c>
      <c r="F49" s="272">
        <f>SUM(F38:F48)</f>
        <v>12860366</v>
      </c>
      <c r="G49" s="455">
        <f t="shared" si="1"/>
        <v>2446429</v>
      </c>
      <c r="H49" s="272">
        <f t="shared" ref="H49:S49" si="25">SUM(H38:H48)</f>
        <v>416456</v>
      </c>
      <c r="I49" s="272">
        <f t="shared" si="25"/>
        <v>2029973</v>
      </c>
      <c r="J49" s="272">
        <f t="shared" si="25"/>
        <v>17113772</v>
      </c>
      <c r="K49" s="272">
        <f t="shared" si="25"/>
        <v>8001475</v>
      </c>
      <c r="L49" s="272">
        <f t="shared" si="25"/>
        <v>5641914</v>
      </c>
      <c r="M49" s="272">
        <f t="shared" si="25"/>
        <v>3409412</v>
      </c>
      <c r="N49" s="272">
        <f t="shared" si="25"/>
        <v>841555</v>
      </c>
      <c r="O49" s="272">
        <f t="shared" si="25"/>
        <v>1083578</v>
      </c>
      <c r="P49" s="272">
        <f t="shared" si="25"/>
        <v>745202</v>
      </c>
      <c r="Q49" s="272">
        <f t="shared" si="25"/>
        <v>338376</v>
      </c>
      <c r="R49" s="272">
        <f t="shared" si="25"/>
        <v>1571443</v>
      </c>
      <c r="S49" s="272">
        <f t="shared" si="25"/>
        <v>920312</v>
      </c>
      <c r="T49" s="455">
        <f t="shared" si="2"/>
        <v>2336227</v>
      </c>
      <c r="U49" s="272">
        <f>SUM(U38:U48)</f>
        <v>1142475</v>
      </c>
      <c r="V49" s="272"/>
      <c r="W49" s="272"/>
      <c r="X49" s="272"/>
      <c r="Y49" s="272">
        <f>SUM(Y38:Y48)</f>
        <v>330216</v>
      </c>
      <c r="Z49" s="272">
        <f>SUM(Z38:Z48)</f>
        <v>5632</v>
      </c>
      <c r="AA49" s="272">
        <f>SUM(AA38:AA48)</f>
        <v>857904</v>
      </c>
      <c r="AB49" s="272"/>
      <c r="AC49" s="272">
        <f>SUM(AC38:AC48)</f>
        <v>14240767</v>
      </c>
      <c r="AD49" s="272">
        <f>SUM(AD38:AD48)</f>
        <v>12102750</v>
      </c>
      <c r="AE49" s="272">
        <f>SUM(AE38:AE48)</f>
        <v>2138017</v>
      </c>
      <c r="AF49" s="272">
        <f>SUM(AF38:AF48)</f>
        <v>49461</v>
      </c>
      <c r="AG49" s="272">
        <f>SUM(AG38:AG48)</f>
        <v>515290</v>
      </c>
      <c r="AH49" s="455">
        <f t="shared" si="3"/>
        <v>1220017</v>
      </c>
      <c r="AI49" s="272">
        <f>SUM(AI38:AI48)</f>
        <v>953045</v>
      </c>
      <c r="AJ49" s="272">
        <f>SUM(AJ38:AJ48)</f>
        <v>266972</v>
      </c>
      <c r="AK49" s="272">
        <f>SUM(AK38:AK48)</f>
        <v>3467149</v>
      </c>
      <c r="AL49" s="455">
        <f t="shared" si="4"/>
        <v>762263</v>
      </c>
      <c r="AM49" s="272">
        <f t="shared" ref="AM49:BN49" si="26">SUM(AM38:AM48)</f>
        <v>56804</v>
      </c>
      <c r="AN49" s="272">
        <f t="shared" si="26"/>
        <v>323838</v>
      </c>
      <c r="AO49" s="272">
        <f t="shared" si="26"/>
        <v>0</v>
      </c>
      <c r="AP49" s="272">
        <f t="shared" si="26"/>
        <v>381621</v>
      </c>
      <c r="AQ49" s="272">
        <f t="shared" si="26"/>
        <v>1748428</v>
      </c>
      <c r="AR49" s="272">
        <f t="shared" si="26"/>
        <v>88237</v>
      </c>
      <c r="AS49" s="272">
        <f t="shared" si="26"/>
        <v>0</v>
      </c>
      <c r="AT49" s="272">
        <f t="shared" si="26"/>
        <v>6798792</v>
      </c>
      <c r="AU49" s="272">
        <f t="shared" si="26"/>
        <v>1860053</v>
      </c>
      <c r="AV49" s="272">
        <f t="shared" si="26"/>
        <v>146102</v>
      </c>
      <c r="AW49" s="272">
        <f t="shared" si="26"/>
        <v>583476</v>
      </c>
      <c r="AX49" s="272">
        <f t="shared" si="26"/>
        <v>4938739</v>
      </c>
      <c r="AY49" s="272">
        <f t="shared" si="26"/>
        <v>3015829</v>
      </c>
      <c r="AZ49" s="272">
        <f t="shared" si="26"/>
        <v>821018</v>
      </c>
      <c r="BA49" s="272">
        <f t="shared" si="26"/>
        <v>61210</v>
      </c>
      <c r="BB49" s="272">
        <f t="shared" si="26"/>
        <v>2111137</v>
      </c>
      <c r="BC49" s="272">
        <f t="shared" si="26"/>
        <v>4350169</v>
      </c>
      <c r="BD49" s="272">
        <f t="shared" si="26"/>
        <v>365400</v>
      </c>
      <c r="BE49" s="272">
        <f t="shared" si="26"/>
        <v>73528</v>
      </c>
      <c r="BF49" s="272">
        <f t="shared" si="26"/>
        <v>3155567</v>
      </c>
      <c r="BG49" s="272">
        <f t="shared" si="26"/>
        <v>48797</v>
      </c>
      <c r="BH49" s="272">
        <f t="shared" si="26"/>
        <v>1969791</v>
      </c>
      <c r="BI49" s="272">
        <f t="shared" si="26"/>
        <v>1368329</v>
      </c>
      <c r="BJ49" s="272">
        <f t="shared" si="26"/>
        <v>1101096</v>
      </c>
      <c r="BK49" s="272">
        <f t="shared" si="26"/>
        <v>271934</v>
      </c>
      <c r="BL49" s="272">
        <f t="shared" si="26"/>
        <v>36620</v>
      </c>
      <c r="BM49" s="272">
        <f t="shared" si="26"/>
        <v>0</v>
      </c>
      <c r="BN49" s="272">
        <f t="shared" si="26"/>
        <v>15873260</v>
      </c>
      <c r="BO49" s="455">
        <f t="shared" si="5"/>
        <v>13624460</v>
      </c>
      <c r="BP49" s="455">
        <f t="shared" si="6"/>
        <v>2248800</v>
      </c>
      <c r="BQ49" s="272">
        <f>SUM(BQ38:BQ48)</f>
        <v>2248800</v>
      </c>
      <c r="BR49" s="272"/>
      <c r="BS49" s="272"/>
      <c r="BT49" s="272">
        <v>0</v>
      </c>
      <c r="BU49" s="272">
        <f>SUM(BU38:BU48)</f>
        <v>91462571</v>
      </c>
      <c r="BV49" s="272"/>
      <c r="BW49" s="272">
        <f t="shared" ref="BW49:CI49" si="27">SUM(BW38:BW48)</f>
        <v>20264329</v>
      </c>
      <c r="BX49" s="272">
        <f t="shared" si="27"/>
        <v>14851260</v>
      </c>
      <c r="BY49" s="272">
        <f t="shared" si="27"/>
        <v>680979</v>
      </c>
      <c r="BZ49" s="272">
        <f t="shared" si="27"/>
        <v>535346</v>
      </c>
      <c r="CA49" s="272">
        <f t="shared" si="27"/>
        <v>3729445</v>
      </c>
      <c r="CB49" s="272">
        <f t="shared" si="27"/>
        <v>803193</v>
      </c>
      <c r="CC49" s="272">
        <f t="shared" si="27"/>
        <v>1918305</v>
      </c>
      <c r="CD49" s="272">
        <f t="shared" si="27"/>
        <v>850073</v>
      </c>
      <c r="CE49" s="272">
        <f t="shared" si="27"/>
        <v>78111</v>
      </c>
      <c r="CF49" s="272">
        <f t="shared" si="27"/>
        <v>1824</v>
      </c>
      <c r="CG49" s="272">
        <f t="shared" si="27"/>
        <v>77734</v>
      </c>
      <c r="CH49" s="272">
        <f t="shared" si="27"/>
        <v>7198231</v>
      </c>
      <c r="CI49" s="272">
        <f t="shared" si="27"/>
        <v>3931147</v>
      </c>
      <c r="CJ49" s="455">
        <f t="shared" si="7"/>
        <v>3267084</v>
      </c>
      <c r="CK49" s="272">
        <f t="shared" ref="CK49:CS49" si="28">SUM(CK38:CK48)</f>
        <v>10327928</v>
      </c>
      <c r="CL49" s="272">
        <f t="shared" si="28"/>
        <v>5027246</v>
      </c>
      <c r="CM49" s="272">
        <f t="shared" si="28"/>
        <v>787970</v>
      </c>
      <c r="CN49" s="272">
        <f t="shared" si="28"/>
        <v>2680794</v>
      </c>
      <c r="CO49" s="272">
        <f t="shared" si="28"/>
        <v>770101</v>
      </c>
      <c r="CP49" s="272">
        <f t="shared" si="28"/>
        <v>4807994</v>
      </c>
      <c r="CQ49" s="272">
        <f t="shared" si="28"/>
        <v>1462497</v>
      </c>
      <c r="CR49" s="272">
        <f t="shared" si="28"/>
        <v>1172285</v>
      </c>
      <c r="CS49" s="272">
        <f t="shared" si="28"/>
        <v>1122844</v>
      </c>
      <c r="CT49" s="455">
        <f t="shared" si="8"/>
        <v>331518</v>
      </c>
      <c r="CU49" s="272">
        <f>SUM(CU38:CU48)</f>
        <v>202148</v>
      </c>
      <c r="CV49" s="272">
        <f>SUM(CV38:CV48)</f>
        <v>129370</v>
      </c>
      <c r="CW49" s="455">
        <f t="shared" si="9"/>
        <v>101792</v>
      </c>
      <c r="CX49" s="272">
        <f>SUM(CX38:CX48)</f>
        <v>98914</v>
      </c>
      <c r="CY49" s="272">
        <f>SUM(CY38:CY48)</f>
        <v>2878</v>
      </c>
      <c r="CZ49" s="455">
        <f t="shared" si="10"/>
        <v>0</v>
      </c>
      <c r="DA49" s="272">
        <f t="shared" ref="DA49:DU49" si="29">SUM(DA38:DA48)</f>
        <v>0</v>
      </c>
      <c r="DB49" s="272">
        <f t="shared" si="29"/>
        <v>0</v>
      </c>
      <c r="DC49" s="272">
        <f t="shared" si="29"/>
        <v>28014828</v>
      </c>
      <c r="DD49" s="272">
        <f t="shared" si="29"/>
        <v>4100963</v>
      </c>
      <c r="DE49" s="272">
        <f t="shared" si="29"/>
        <v>23669233</v>
      </c>
      <c r="DF49" s="272">
        <f t="shared" si="29"/>
        <v>156869</v>
      </c>
      <c r="DG49" s="272">
        <f t="shared" si="29"/>
        <v>84638</v>
      </c>
      <c r="DH49" s="272">
        <f t="shared" si="29"/>
        <v>432823</v>
      </c>
      <c r="DI49" s="272">
        <f t="shared" si="29"/>
        <v>6933801</v>
      </c>
      <c r="DJ49" s="272">
        <f t="shared" si="29"/>
        <v>1937325</v>
      </c>
      <c r="DK49" s="272">
        <f t="shared" si="29"/>
        <v>337435</v>
      </c>
      <c r="DL49" s="272">
        <f t="shared" si="29"/>
        <v>4659041</v>
      </c>
      <c r="DM49" s="272">
        <f t="shared" si="29"/>
        <v>15283</v>
      </c>
      <c r="DN49" s="272">
        <f t="shared" si="29"/>
        <v>11183</v>
      </c>
      <c r="DO49" s="272">
        <f t="shared" si="29"/>
        <v>11183</v>
      </c>
      <c r="DP49" s="272">
        <f t="shared" si="29"/>
        <v>0</v>
      </c>
      <c r="DQ49" s="272">
        <f t="shared" si="29"/>
        <v>5666</v>
      </c>
      <c r="DR49" s="272">
        <f t="shared" si="29"/>
        <v>0</v>
      </c>
      <c r="DS49" s="272">
        <f t="shared" si="29"/>
        <v>0</v>
      </c>
      <c r="DT49" s="272">
        <f t="shared" si="29"/>
        <v>5864719</v>
      </c>
      <c r="DU49" s="272">
        <f t="shared" si="29"/>
        <v>3526485</v>
      </c>
      <c r="DV49" s="455">
        <f t="shared" si="11"/>
        <v>0</v>
      </c>
      <c r="DW49" s="272">
        <f>SUM(DW38:DW48)</f>
        <v>0</v>
      </c>
      <c r="DX49" s="272">
        <v>0</v>
      </c>
      <c r="DY49" s="272">
        <f>SUM(DY38:DY48)</f>
        <v>0</v>
      </c>
      <c r="DZ49" s="272">
        <f>SUM(DZ38:DZ48)</f>
        <v>1164107</v>
      </c>
      <c r="EA49" s="272">
        <f>SUM(EA38:EA48)</f>
        <v>882374</v>
      </c>
      <c r="EB49" s="272"/>
      <c r="EC49" s="272">
        <f>SUM(EC38:EC48)</f>
        <v>0</v>
      </c>
      <c r="ED49" s="272">
        <f>SUM(ED38:ED48)</f>
        <v>88365148</v>
      </c>
      <c r="EE49" s="272"/>
      <c r="EF49" s="272">
        <f>SUM(EF38:EF48)</f>
        <v>3097423</v>
      </c>
      <c r="EG49" s="272">
        <f>SUM(EG38:EG48)</f>
        <v>1069774</v>
      </c>
      <c r="EH49" s="272">
        <f>SUM(EH38:EH48)</f>
        <v>2027649</v>
      </c>
      <c r="EI49" s="272">
        <f>SUM(EI38:EI48)</f>
        <v>600320</v>
      </c>
      <c r="EJ49" s="272">
        <f>SUM(EJ38:EJ48)</f>
        <v>2177095</v>
      </c>
      <c r="EL49" s="272">
        <f>SUM(EL38:EL48)</f>
        <v>229512</v>
      </c>
      <c r="EM49" s="272">
        <f>SUM(EM38:EM48)</f>
        <v>229806</v>
      </c>
      <c r="EN49" s="272">
        <f>SUM(EN38:EN48)</f>
        <v>1336969</v>
      </c>
      <c r="EO49" s="272">
        <f>SUM(EO38:EO48)</f>
        <v>159470</v>
      </c>
      <c r="EP49" s="455">
        <f t="shared" si="12"/>
        <v>4567760</v>
      </c>
      <c r="EQ49" s="272">
        <f t="shared" ref="EQ49:EV49" si="30">SUM(EQ38:EQ48)</f>
        <v>53234852</v>
      </c>
      <c r="ER49" s="272">
        <f t="shared" si="30"/>
        <v>-8263538</v>
      </c>
      <c r="ES49" s="272">
        <f t="shared" si="30"/>
        <v>18599158</v>
      </c>
      <c r="ET49" s="272">
        <f t="shared" si="30"/>
        <v>13326853</v>
      </c>
      <c r="EU49" s="272">
        <f t="shared" si="30"/>
        <v>1374550</v>
      </c>
      <c r="EV49" s="272">
        <f t="shared" si="30"/>
        <v>6735595</v>
      </c>
      <c r="EW49" s="455">
        <f t="shared" si="13"/>
        <v>6175408</v>
      </c>
      <c r="EX49" s="272">
        <f>SUM(EX38:EX48)</f>
        <v>6026574</v>
      </c>
      <c r="EY49" s="272">
        <f>SUM(EY38:EY48)</f>
        <v>353963</v>
      </c>
      <c r="EZ49" s="272">
        <f>SUM(EZ38:EZ48)</f>
        <v>5612769</v>
      </c>
      <c r="FA49" s="272">
        <f>SUM(FA38:FA48)</f>
        <v>148834</v>
      </c>
      <c r="FB49" s="272"/>
      <c r="FC49" s="272">
        <f>SUM(FC38:FC48)</f>
        <v>8584348</v>
      </c>
      <c r="FD49" s="272">
        <f>SUM(FD38:FD48)</f>
        <v>4528336</v>
      </c>
      <c r="FE49" s="272">
        <f>SUM(FE38:FE48)</f>
        <v>1462495</v>
      </c>
      <c r="FF49" s="272">
        <f>SUM(FF38:FF48)</f>
        <v>5620958</v>
      </c>
      <c r="FG49" s="455">
        <f t="shared" si="14"/>
        <v>7060160</v>
      </c>
      <c r="FH49" s="272">
        <f>SUM(FH38:FH48)</f>
        <v>58678513</v>
      </c>
      <c r="FI49" s="384">
        <f t="shared" si="15"/>
        <v>4</v>
      </c>
      <c r="FJ49" s="272">
        <f>SUM(FJ38:FJ48)</f>
        <v>50865282</v>
      </c>
      <c r="FK49" s="272">
        <f>SUM(FK38:FK48)</f>
        <v>0</v>
      </c>
      <c r="FL49" s="272">
        <f>SUM(FL38:FL48)</f>
        <v>29225462</v>
      </c>
      <c r="FM49" s="272">
        <f>SUM(FM38:FM48)</f>
        <v>39439287</v>
      </c>
      <c r="FN49" s="468">
        <v>0.70499999999999996</v>
      </c>
      <c r="FO49" s="469">
        <v>79.5</v>
      </c>
      <c r="FP49" s="469">
        <v>36.4</v>
      </c>
      <c r="FQ49" s="469">
        <v>2.6</v>
      </c>
      <c r="FR49" s="469">
        <v>13</v>
      </c>
      <c r="FS49" s="469">
        <v>14.3</v>
      </c>
      <c r="FT49" s="469">
        <v>7</v>
      </c>
      <c r="FU49" s="469">
        <v>4.9000000000000004</v>
      </c>
      <c r="FV49" s="469">
        <v>8.6999999999999993</v>
      </c>
      <c r="FW49" s="272">
        <f>SUM(FW38:FW48)</f>
        <v>76289330</v>
      </c>
      <c r="FX49" s="384">
        <f t="shared" si="16"/>
        <v>150</v>
      </c>
      <c r="FY49" s="272">
        <f t="shared" ref="FY49:GD49" si="31">SUM(FY38:FY48)</f>
        <v>45229538</v>
      </c>
      <c r="FZ49" s="272">
        <f t="shared" si="31"/>
        <v>12402847</v>
      </c>
      <c r="GA49" s="272">
        <f t="shared" si="31"/>
        <v>3603327</v>
      </c>
      <c r="GB49" s="272">
        <f t="shared" si="31"/>
        <v>29223364</v>
      </c>
      <c r="GC49" s="272">
        <f t="shared" si="31"/>
        <v>0</v>
      </c>
      <c r="GD49" s="272">
        <f t="shared" si="31"/>
        <v>16297881</v>
      </c>
      <c r="GE49" s="465">
        <f>ROUND(GD49/FJ52*100,1)</f>
        <v>56.5</v>
      </c>
      <c r="GF49" s="469">
        <v>97.8</v>
      </c>
      <c r="GG49" s="469">
        <v>25.5</v>
      </c>
      <c r="GH49" s="469">
        <v>92.9</v>
      </c>
      <c r="GI49" s="272">
        <f>SUM(GI38:GI48)</f>
        <v>2383</v>
      </c>
    </row>
    <row r="50" spans="2:191" x14ac:dyDescent="0.15">
      <c r="B50" s="21" t="s">
        <v>91</v>
      </c>
      <c r="C50" s="272">
        <f>C37+C49</f>
        <v>846185744</v>
      </c>
      <c r="D50" s="455">
        <f t="shared" si="0"/>
        <v>318913094</v>
      </c>
      <c r="E50" s="272">
        <f>E37+E49</f>
        <v>3979574</v>
      </c>
      <c r="F50" s="272">
        <f>F37+F49</f>
        <v>314933520</v>
      </c>
      <c r="G50" s="455">
        <f t="shared" si="1"/>
        <v>68051763</v>
      </c>
      <c r="H50" s="272">
        <f t="shared" ref="H50:S50" si="32">H37+H49</f>
        <v>11483992</v>
      </c>
      <c r="I50" s="272">
        <f t="shared" si="32"/>
        <v>56567771</v>
      </c>
      <c r="J50" s="272">
        <f t="shared" si="32"/>
        <v>339248043</v>
      </c>
      <c r="K50" s="272">
        <f t="shared" si="32"/>
        <v>173889691</v>
      </c>
      <c r="L50" s="272">
        <f t="shared" si="32"/>
        <v>111160403</v>
      </c>
      <c r="M50" s="272">
        <f t="shared" si="32"/>
        <v>49772237</v>
      </c>
      <c r="N50" s="272">
        <f t="shared" si="32"/>
        <v>26989051</v>
      </c>
      <c r="O50" s="272">
        <f t="shared" si="32"/>
        <v>77553280</v>
      </c>
      <c r="P50" s="272">
        <f t="shared" si="32"/>
        <v>54278687</v>
      </c>
      <c r="Q50" s="272">
        <f t="shared" si="32"/>
        <v>23274593</v>
      </c>
      <c r="R50" s="272">
        <f t="shared" si="32"/>
        <v>36334765</v>
      </c>
      <c r="S50" s="272">
        <f t="shared" si="32"/>
        <v>24018491</v>
      </c>
      <c r="T50" s="455">
        <f t="shared" si="2"/>
        <v>45443938</v>
      </c>
      <c r="U50" s="272">
        <f>U37+U49</f>
        <v>28837497</v>
      </c>
      <c r="V50" s="272"/>
      <c r="W50" s="272"/>
      <c r="X50" s="272"/>
      <c r="Y50" s="272">
        <f>Y37+Y49</f>
        <v>1553091</v>
      </c>
      <c r="Z50" s="272">
        <f>Z37+Z49</f>
        <v>258045</v>
      </c>
      <c r="AA50" s="272">
        <f>AA37+AA49</f>
        <v>14795305</v>
      </c>
      <c r="AB50" s="272"/>
      <c r="AC50" s="272">
        <f>AC37+AC49</f>
        <v>101881803</v>
      </c>
      <c r="AD50" s="272">
        <f>AD37+AD49</f>
        <v>88097653</v>
      </c>
      <c r="AE50" s="272">
        <f>AE37+AE49</f>
        <v>13784150</v>
      </c>
      <c r="AF50" s="272">
        <f>AF37+AF49</f>
        <v>1158184</v>
      </c>
      <c r="AG50" s="272">
        <f>AG37+AG49</f>
        <v>18779911</v>
      </c>
      <c r="AH50" s="455">
        <f t="shared" si="3"/>
        <v>31073631</v>
      </c>
      <c r="AI50" s="272">
        <f>AI37+AI49</f>
        <v>24031278</v>
      </c>
      <c r="AJ50" s="272">
        <f>AJ37+AJ49</f>
        <v>7042353</v>
      </c>
      <c r="AK50" s="272">
        <f>AK37+AK49</f>
        <v>142682984</v>
      </c>
      <c r="AL50" s="455">
        <f t="shared" si="4"/>
        <v>76268412</v>
      </c>
      <c r="AM50" s="272">
        <f t="shared" ref="AM50:BN50" si="33">AM37+AM49</f>
        <v>56637065</v>
      </c>
      <c r="AN50" s="272">
        <f t="shared" si="33"/>
        <v>12069156</v>
      </c>
      <c r="AO50" s="272">
        <f t="shared" si="33"/>
        <v>95630</v>
      </c>
      <c r="AP50" s="272">
        <f t="shared" si="33"/>
        <v>7466561</v>
      </c>
      <c r="AQ50" s="272">
        <f t="shared" si="33"/>
        <v>33321042</v>
      </c>
      <c r="AR50" s="272">
        <f t="shared" si="33"/>
        <v>1117672</v>
      </c>
      <c r="AS50" s="272">
        <f t="shared" si="33"/>
        <v>330785</v>
      </c>
      <c r="AT50" s="272">
        <f t="shared" si="33"/>
        <v>95475463</v>
      </c>
      <c r="AU50" s="272">
        <f t="shared" si="33"/>
        <v>32965069</v>
      </c>
      <c r="AV50" s="272">
        <f t="shared" si="33"/>
        <v>5900260</v>
      </c>
      <c r="AW50" s="272">
        <f t="shared" si="33"/>
        <v>3803319</v>
      </c>
      <c r="AX50" s="272">
        <f t="shared" si="33"/>
        <v>62510394</v>
      </c>
      <c r="AY50" s="272">
        <f t="shared" si="33"/>
        <v>20204308</v>
      </c>
      <c r="AZ50" s="272">
        <f t="shared" si="33"/>
        <v>24824536</v>
      </c>
      <c r="BA50" s="272">
        <f t="shared" si="33"/>
        <v>16061351</v>
      </c>
      <c r="BB50" s="272">
        <f t="shared" si="33"/>
        <v>14531313</v>
      </c>
      <c r="BC50" s="272">
        <f t="shared" si="33"/>
        <v>71035725</v>
      </c>
      <c r="BD50" s="272">
        <f t="shared" si="33"/>
        <v>11625577</v>
      </c>
      <c r="BE50" s="272">
        <f t="shared" si="33"/>
        <v>2920286</v>
      </c>
      <c r="BF50" s="272">
        <f t="shared" si="33"/>
        <v>53576422</v>
      </c>
      <c r="BG50" s="272">
        <f t="shared" si="33"/>
        <v>293825</v>
      </c>
      <c r="BH50" s="272">
        <f t="shared" si="33"/>
        <v>20268014</v>
      </c>
      <c r="BI50" s="272">
        <f t="shared" si="33"/>
        <v>10395524</v>
      </c>
      <c r="BJ50" s="272">
        <f t="shared" si="33"/>
        <v>63001370</v>
      </c>
      <c r="BK50" s="272">
        <f t="shared" si="33"/>
        <v>29949392</v>
      </c>
      <c r="BL50" s="272">
        <f t="shared" si="33"/>
        <v>1906998</v>
      </c>
      <c r="BM50" s="272">
        <f t="shared" si="33"/>
        <v>7264288</v>
      </c>
      <c r="BN50" s="272">
        <f t="shared" si="33"/>
        <v>223320825</v>
      </c>
      <c r="BO50" s="455">
        <f t="shared" si="5"/>
        <v>170866425</v>
      </c>
      <c r="BP50" s="455">
        <f t="shared" si="6"/>
        <v>52454400</v>
      </c>
      <c r="BQ50" s="272">
        <f>BQ37+BQ49</f>
        <v>52454400</v>
      </c>
      <c r="BR50" s="272"/>
      <c r="BS50" s="272"/>
      <c r="BT50" s="272">
        <v>0</v>
      </c>
      <c r="BU50" s="272">
        <f>BU37+BU49</f>
        <v>1736328991</v>
      </c>
      <c r="BV50" s="272"/>
      <c r="BW50" s="272">
        <f t="shared" ref="BW50:CI50" si="34">BW37+BW49</f>
        <v>447790141</v>
      </c>
      <c r="BX50" s="272">
        <f t="shared" si="34"/>
        <v>335458268</v>
      </c>
      <c r="BY50" s="272">
        <f t="shared" si="34"/>
        <v>25938052</v>
      </c>
      <c r="BZ50" s="272">
        <f t="shared" si="34"/>
        <v>14410612</v>
      </c>
      <c r="CA50" s="272">
        <f t="shared" si="34"/>
        <v>184964430</v>
      </c>
      <c r="CB50" s="272">
        <f t="shared" si="34"/>
        <v>20499887</v>
      </c>
      <c r="CC50" s="272">
        <f t="shared" si="34"/>
        <v>40127187</v>
      </c>
      <c r="CD50" s="272">
        <f t="shared" si="34"/>
        <v>38478588</v>
      </c>
      <c r="CE50" s="272">
        <f t="shared" si="34"/>
        <v>74419833</v>
      </c>
      <c r="CF50" s="272">
        <f t="shared" si="34"/>
        <v>8177903</v>
      </c>
      <c r="CG50" s="272">
        <f t="shared" si="34"/>
        <v>3021300</v>
      </c>
      <c r="CH50" s="272">
        <f t="shared" si="34"/>
        <v>138545623</v>
      </c>
      <c r="CI50" s="272">
        <f t="shared" si="34"/>
        <v>76004273</v>
      </c>
      <c r="CJ50" s="455">
        <f t="shared" si="7"/>
        <v>62541350</v>
      </c>
      <c r="CK50" s="272">
        <f t="shared" ref="CK50:CS50" si="35">CK37+CK49</f>
        <v>180807386</v>
      </c>
      <c r="CL50" s="272">
        <f t="shared" si="35"/>
        <v>100255844</v>
      </c>
      <c r="CM50" s="272">
        <f t="shared" si="35"/>
        <v>8971753</v>
      </c>
      <c r="CN50" s="272">
        <f t="shared" si="35"/>
        <v>41128872</v>
      </c>
      <c r="CO50" s="272">
        <f t="shared" si="35"/>
        <v>17427817</v>
      </c>
      <c r="CP50" s="272">
        <f t="shared" si="35"/>
        <v>123074424</v>
      </c>
      <c r="CQ50" s="272">
        <f t="shared" si="35"/>
        <v>40387541</v>
      </c>
      <c r="CR50" s="272">
        <f t="shared" si="35"/>
        <v>34047865</v>
      </c>
      <c r="CS50" s="272">
        <f t="shared" si="35"/>
        <v>28041140</v>
      </c>
      <c r="CT50" s="455">
        <f t="shared" si="8"/>
        <v>21311079</v>
      </c>
      <c r="CU50" s="272">
        <f>CU37+CU49</f>
        <v>8099997</v>
      </c>
      <c r="CV50" s="272">
        <f>CV37+CV49</f>
        <v>13211082</v>
      </c>
      <c r="CW50" s="455">
        <f t="shared" si="9"/>
        <v>15748323</v>
      </c>
      <c r="CX50" s="272">
        <f>CX37+CX49</f>
        <v>7105316</v>
      </c>
      <c r="CY50" s="272">
        <f>CY37+CY49</f>
        <v>8643007</v>
      </c>
      <c r="CZ50" s="455">
        <f t="shared" si="10"/>
        <v>0</v>
      </c>
      <c r="DA50" s="272">
        <f t="shared" ref="DA50:DU50" si="36">DA37+DA49</f>
        <v>0</v>
      </c>
      <c r="DB50" s="272">
        <f t="shared" si="36"/>
        <v>0</v>
      </c>
      <c r="DC50" s="272">
        <f t="shared" si="36"/>
        <v>379839466</v>
      </c>
      <c r="DD50" s="272">
        <f t="shared" si="36"/>
        <v>72603095</v>
      </c>
      <c r="DE50" s="272">
        <f t="shared" si="36"/>
        <v>290546525</v>
      </c>
      <c r="DF50" s="272">
        <f t="shared" si="36"/>
        <v>3561170</v>
      </c>
      <c r="DG50" s="272">
        <f t="shared" si="36"/>
        <v>12754923</v>
      </c>
      <c r="DH50" s="272">
        <f t="shared" si="36"/>
        <v>5492844</v>
      </c>
      <c r="DI50" s="272">
        <f t="shared" si="36"/>
        <v>54690714</v>
      </c>
      <c r="DJ50" s="272">
        <f t="shared" si="36"/>
        <v>16894674</v>
      </c>
      <c r="DK50" s="272">
        <f t="shared" si="36"/>
        <v>3873665</v>
      </c>
      <c r="DL50" s="272">
        <f t="shared" si="36"/>
        <v>33922375</v>
      </c>
      <c r="DM50" s="272">
        <f t="shared" si="36"/>
        <v>8360357</v>
      </c>
      <c r="DN50" s="272">
        <f t="shared" si="36"/>
        <v>6433157</v>
      </c>
      <c r="DO50" s="272">
        <f t="shared" si="36"/>
        <v>1255914</v>
      </c>
      <c r="DP50" s="272">
        <f t="shared" si="36"/>
        <v>5177243</v>
      </c>
      <c r="DQ50" s="272">
        <f t="shared" si="36"/>
        <v>32533389</v>
      </c>
      <c r="DR50" s="272">
        <f t="shared" si="36"/>
        <v>1071457</v>
      </c>
      <c r="DS50" s="272">
        <f t="shared" si="36"/>
        <v>1060000</v>
      </c>
      <c r="DT50" s="272">
        <f t="shared" si="36"/>
        <v>142213188</v>
      </c>
      <c r="DU50" s="272">
        <f t="shared" si="36"/>
        <v>87245885</v>
      </c>
      <c r="DV50" s="455">
        <f t="shared" si="11"/>
        <v>1659552</v>
      </c>
      <c r="DW50" s="272">
        <f>DW37+DW49</f>
        <v>1659552</v>
      </c>
      <c r="DX50" s="272">
        <v>0</v>
      </c>
      <c r="DY50" s="272">
        <f>DY37+DY49</f>
        <v>885461</v>
      </c>
      <c r="DZ50" s="272">
        <f>DZ37+DZ49</f>
        <v>33528861</v>
      </c>
      <c r="EA50" s="272">
        <f>EA37+EA49</f>
        <v>17614779</v>
      </c>
      <c r="EB50" s="272"/>
      <c r="EC50" s="272">
        <f>EC37+EC49</f>
        <v>40068</v>
      </c>
      <c r="ED50" s="272">
        <f>ED37+ED49</f>
        <v>1715779847</v>
      </c>
      <c r="EE50" s="272"/>
      <c r="EF50" s="272">
        <f>EF37+EF49</f>
        <v>20549144</v>
      </c>
      <c r="EG50" s="272">
        <f>EG37+EG49</f>
        <v>11418937</v>
      </c>
      <c r="EH50" s="272">
        <f>EH37+EH49</f>
        <v>9130207</v>
      </c>
      <c r="EI50" s="272">
        <f>EI37+EI49</f>
        <v>-1244091</v>
      </c>
      <c r="EJ50" s="272">
        <f>EJ37+EJ49</f>
        <v>4029856</v>
      </c>
      <c r="EL50" s="272">
        <f>EL37+EL49</f>
        <v>5391854</v>
      </c>
      <c r="EM50" s="272">
        <f>EM37+EM49</f>
        <v>5317357</v>
      </c>
      <c r="EN50" s="272">
        <f>EN37+EN49</f>
        <v>28887241</v>
      </c>
      <c r="EO50" s="272">
        <f>EO37+EO49</f>
        <v>8717218</v>
      </c>
      <c r="EP50" s="455">
        <f t="shared" si="12"/>
        <v>53080544</v>
      </c>
      <c r="EQ50" s="272">
        <f t="shared" ref="EQ50:EV50" si="37">EQ37+EQ49</f>
        <v>1031335219</v>
      </c>
      <c r="ER50" s="272">
        <f t="shared" si="37"/>
        <v>-141650434</v>
      </c>
      <c r="ES50" s="272">
        <f t="shared" si="37"/>
        <v>412581033</v>
      </c>
      <c r="ET50" s="272">
        <f t="shared" si="37"/>
        <v>304086851</v>
      </c>
      <c r="EU50" s="272">
        <f t="shared" si="37"/>
        <v>55392438</v>
      </c>
      <c r="EV50" s="272">
        <f t="shared" si="37"/>
        <v>132704078</v>
      </c>
      <c r="EW50" s="455">
        <f t="shared" si="13"/>
        <v>106425838</v>
      </c>
      <c r="EX50" s="272">
        <f>EX37+EX49</f>
        <v>104238428</v>
      </c>
      <c r="EY50" s="272">
        <f>EY37+EY49</f>
        <v>7328590</v>
      </c>
      <c r="EZ50" s="272">
        <f>EZ37+EZ49</f>
        <v>95367156</v>
      </c>
      <c r="FA50" s="272">
        <f>FA37+FA49</f>
        <v>2187410</v>
      </c>
      <c r="FB50" s="272"/>
      <c r="FC50" s="272">
        <f>FC37+FC49</f>
        <v>140520803</v>
      </c>
      <c r="FD50" s="272">
        <f>FD37+FD49</f>
        <v>107855543</v>
      </c>
      <c r="FE50" s="272">
        <f>FE37+FE49</f>
        <v>40261139</v>
      </c>
      <c r="FF50" s="272">
        <f>FF37+FF49</f>
        <v>136825134</v>
      </c>
      <c r="FG50" s="455">
        <f t="shared" si="14"/>
        <v>60994419</v>
      </c>
      <c r="FH50" s="272">
        <f>FH37+FH49</f>
        <v>1153299286</v>
      </c>
      <c r="FI50" s="384">
        <f t="shared" si="15"/>
        <v>0.9</v>
      </c>
      <c r="FJ50" s="272">
        <f>FJ37+FJ49</f>
        <v>969895081</v>
      </c>
      <c r="FK50" s="272">
        <f>FK37+FK49</f>
        <v>0</v>
      </c>
      <c r="FL50" s="272">
        <f>FL37+FL49</f>
        <v>664656185</v>
      </c>
      <c r="FM50" s="272">
        <f>FM37+FM49</f>
        <v>729014889</v>
      </c>
      <c r="FN50" s="468">
        <v>0.93</v>
      </c>
      <c r="FO50" s="469">
        <v>94.6</v>
      </c>
      <c r="FP50" s="469">
        <v>42.4</v>
      </c>
      <c r="FQ50" s="469">
        <v>6</v>
      </c>
      <c r="FR50" s="469">
        <v>13.6</v>
      </c>
      <c r="FS50" s="469">
        <v>13.8</v>
      </c>
      <c r="FT50" s="469">
        <v>9.6</v>
      </c>
      <c r="FU50" s="469">
        <v>7.6</v>
      </c>
      <c r="FV50" s="469">
        <v>9.8000000000000007</v>
      </c>
      <c r="FW50" s="272">
        <f>FW37+FW49</f>
        <v>1366630392</v>
      </c>
      <c r="FX50" s="384">
        <f t="shared" si="16"/>
        <v>140.9</v>
      </c>
      <c r="FY50" s="272">
        <f t="shared" ref="FY50:GD50" si="38">FY37+FY49</f>
        <v>419412249</v>
      </c>
      <c r="FZ50" s="272">
        <f t="shared" si="38"/>
        <v>98497052</v>
      </c>
      <c r="GA50" s="272">
        <f t="shared" si="38"/>
        <v>32264258</v>
      </c>
      <c r="GB50" s="272">
        <f t="shared" si="38"/>
        <v>288650939</v>
      </c>
      <c r="GC50" s="272">
        <f t="shared" si="38"/>
        <v>0</v>
      </c>
      <c r="GD50" s="272">
        <f t="shared" si="38"/>
        <v>459969912</v>
      </c>
      <c r="GE50" s="465">
        <f>ROUND(GD50/FJ53*100,1)</f>
        <v>48.5</v>
      </c>
      <c r="GF50" s="469">
        <v>97.5</v>
      </c>
      <c r="GG50" s="469">
        <v>26.1</v>
      </c>
      <c r="GH50" s="469">
        <v>93.1</v>
      </c>
      <c r="GI50" s="272">
        <f>GI37+GI49</f>
        <v>44509</v>
      </c>
    </row>
    <row r="51" spans="2:191" x14ac:dyDescent="0.15">
      <c r="GE51" s="31" t="s">
        <v>647</v>
      </c>
    </row>
    <row r="52" spans="2:191" x14ac:dyDescent="0.15">
      <c r="FJ52" s="394">
        <f>FJ40+FJ42+FJ43+FJ45+FJ46+FJ48</f>
        <v>28838310</v>
      </c>
      <c r="FO52" s="33"/>
      <c r="FP52" s="89" t="s">
        <v>816</v>
      </c>
    </row>
    <row r="53" spans="2:191" x14ac:dyDescent="0.15">
      <c r="FJ53" s="394">
        <f>FJ37+FJ52</f>
        <v>947868109</v>
      </c>
    </row>
  </sheetData>
  <phoneticPr fontId="3"/>
  <pageMargins left="0.75" right="0.75" top="1" bottom="1" header="0.51200000000000001" footer="0.51200000000000001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7">
    <tabColor indexed="15"/>
  </sheetPr>
  <dimension ref="A1:GI53"/>
  <sheetViews>
    <sheetView workbookViewId="0">
      <pane xSplit="2" ySplit="5" topLeftCell="FP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</cols>
  <sheetData>
    <row r="1" spans="2:191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191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830</v>
      </c>
      <c r="O2" s="28" t="s">
        <v>840</v>
      </c>
      <c r="P2" s="28" t="s">
        <v>831</v>
      </c>
      <c r="Q2" s="28" t="s">
        <v>832</v>
      </c>
      <c r="R2" s="28" t="s">
        <v>351</v>
      </c>
      <c r="S2" s="28" t="s">
        <v>795</v>
      </c>
      <c r="U2" s="28" t="s">
        <v>725</v>
      </c>
      <c r="V2" s="28"/>
      <c r="W2" s="28"/>
      <c r="X2" s="28"/>
      <c r="Y2" s="28" t="s">
        <v>354</v>
      </c>
      <c r="Z2" s="28" t="s">
        <v>355</v>
      </c>
      <c r="AA2" s="28" t="s">
        <v>664</v>
      </c>
      <c r="AB2" s="28"/>
      <c r="AC2" s="28" t="s">
        <v>357</v>
      </c>
      <c r="AD2" s="28" t="s">
        <v>653</v>
      </c>
      <c r="AE2" s="28" t="s">
        <v>358</v>
      </c>
      <c r="AF2" s="28" t="s">
        <v>359</v>
      </c>
      <c r="AG2" s="28" t="s">
        <v>360</v>
      </c>
      <c r="AI2" s="28" t="s">
        <v>726</v>
      </c>
      <c r="AJ2" s="28" t="s">
        <v>667</v>
      </c>
      <c r="AK2" s="28" t="s">
        <v>852</v>
      </c>
      <c r="AL2" s="29"/>
      <c r="AM2" s="28" t="s">
        <v>685</v>
      </c>
      <c r="AN2" s="28" t="s">
        <v>669</v>
      </c>
      <c r="AO2" s="28" t="s">
        <v>796</v>
      </c>
      <c r="AP2" s="28" t="s">
        <v>727</v>
      </c>
      <c r="AQ2" s="28" t="s">
        <v>833</v>
      </c>
      <c r="AR2" s="28" t="s">
        <v>797</v>
      </c>
      <c r="AS2" s="28" t="s">
        <v>373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846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 t="s">
        <v>849</v>
      </c>
      <c r="BR2" s="28"/>
      <c r="BS2" s="28"/>
      <c r="BT2" s="28" t="s">
        <v>850</v>
      </c>
      <c r="BU2" s="28" t="s">
        <v>806</v>
      </c>
      <c r="BW2" s="28" t="s">
        <v>402</v>
      </c>
      <c r="BX2" s="28" t="s">
        <v>403</v>
      </c>
      <c r="BY2" s="28" t="s">
        <v>786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836</v>
      </c>
      <c r="CM2" s="28" t="s">
        <v>837</v>
      </c>
      <c r="CN2" s="28" t="s">
        <v>838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820</v>
      </c>
      <c r="CV2" s="28" t="s">
        <v>821</v>
      </c>
      <c r="CX2" s="28" t="s">
        <v>426</v>
      </c>
      <c r="CY2" s="28" t="s">
        <v>812</v>
      </c>
      <c r="DA2" s="28" t="s">
        <v>822</v>
      </c>
      <c r="DB2" s="28" t="s">
        <v>823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824</v>
      </c>
      <c r="DW2" s="28" t="s">
        <v>449</v>
      </c>
      <c r="DX2" s="28" t="s">
        <v>448</v>
      </c>
      <c r="DY2" s="28" t="s">
        <v>451</v>
      </c>
      <c r="DZ2" s="28" t="s">
        <v>825</v>
      </c>
      <c r="EA2" s="28" t="s">
        <v>826</v>
      </c>
      <c r="EB2" s="28"/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191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827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191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851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203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191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828</v>
      </c>
      <c r="DX5" s="30" t="s">
        <v>829</v>
      </c>
      <c r="DY5" s="30"/>
      <c r="DZ5" s="30"/>
      <c r="EA5" s="30"/>
      <c r="EB5" s="30"/>
      <c r="EC5" s="30"/>
      <c r="ED5" s="3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191" x14ac:dyDescent="0.15">
      <c r="B6" s="89" t="s">
        <v>5</v>
      </c>
      <c r="C6" s="272">
        <v>25795091</v>
      </c>
      <c r="D6" s="455">
        <f t="shared" ref="D6:D50" si="0">E6+F6</f>
        <v>8813876</v>
      </c>
      <c r="E6" s="272">
        <v>131104</v>
      </c>
      <c r="F6" s="272">
        <v>8682772</v>
      </c>
      <c r="G6" s="455">
        <f t="shared" ref="G6:G50" si="1">H6+I6</f>
        <v>2392643</v>
      </c>
      <c r="H6" s="272">
        <v>393330</v>
      </c>
      <c r="I6" s="272">
        <v>1999313</v>
      </c>
      <c r="J6" s="272">
        <v>10674732</v>
      </c>
      <c r="K6" s="272">
        <v>5855546</v>
      </c>
      <c r="L6" s="272">
        <v>3256012</v>
      </c>
      <c r="M6" s="272">
        <v>1336421</v>
      </c>
      <c r="N6" s="272">
        <v>1028286</v>
      </c>
      <c r="O6" s="272">
        <v>2515822</v>
      </c>
      <c r="P6" s="272">
        <v>1846873</v>
      </c>
      <c r="Q6" s="272">
        <v>668949</v>
      </c>
      <c r="R6" s="272">
        <v>1247428</v>
      </c>
      <c r="S6" s="272">
        <v>878886</v>
      </c>
      <c r="T6" s="455">
        <f t="shared" ref="T6:T50" si="2">SUM(U6:AA6)</f>
        <v>1554815</v>
      </c>
      <c r="U6" s="272">
        <v>916309</v>
      </c>
      <c r="V6" s="272"/>
      <c r="W6" s="272"/>
      <c r="X6" s="272"/>
      <c r="Y6" s="272">
        <v>72825</v>
      </c>
      <c r="Z6" s="272">
        <v>15462</v>
      </c>
      <c r="AA6" s="272">
        <v>550219</v>
      </c>
      <c r="AB6" s="272"/>
      <c r="AC6" s="272">
        <v>7736025</v>
      </c>
      <c r="AD6" s="272">
        <v>7636420</v>
      </c>
      <c r="AE6" s="272">
        <v>99605</v>
      </c>
      <c r="AF6" s="272">
        <v>46906</v>
      </c>
      <c r="AG6" s="272">
        <v>310177</v>
      </c>
      <c r="AH6" s="455">
        <f t="shared" ref="AH6:AH50" si="3">AI6+AJ6</f>
        <v>1173308</v>
      </c>
      <c r="AI6" s="272">
        <v>1054792</v>
      </c>
      <c r="AJ6" s="272">
        <v>118516</v>
      </c>
      <c r="AK6" s="272">
        <v>5514442</v>
      </c>
      <c r="AL6" s="455">
        <f t="shared" ref="AL6:AL50" si="4">SUM(AM6:AP6)</f>
        <v>2951069</v>
      </c>
      <c r="AM6" s="272">
        <v>2144503</v>
      </c>
      <c r="AN6" s="272">
        <v>561792</v>
      </c>
      <c r="AO6" s="272">
        <v>0</v>
      </c>
      <c r="AP6" s="272">
        <v>244774</v>
      </c>
      <c r="AQ6" s="272">
        <v>1607586</v>
      </c>
      <c r="AR6" s="272">
        <v>0</v>
      </c>
      <c r="AS6" s="272">
        <v>0</v>
      </c>
      <c r="AT6" s="272">
        <v>3724336</v>
      </c>
      <c r="AU6" s="272">
        <v>1420336</v>
      </c>
      <c r="AV6" s="272">
        <v>315564</v>
      </c>
      <c r="AW6" s="272">
        <v>204215</v>
      </c>
      <c r="AX6" s="272">
        <v>2304000</v>
      </c>
      <c r="AY6" s="272">
        <v>919129</v>
      </c>
      <c r="AZ6" s="272">
        <v>904499</v>
      </c>
      <c r="BA6" s="272">
        <v>450280</v>
      </c>
      <c r="BB6" s="272">
        <v>332966</v>
      </c>
      <c r="BC6" s="272">
        <v>2195828</v>
      </c>
      <c r="BD6" s="272">
        <v>500000</v>
      </c>
      <c r="BE6" s="272">
        <v>295539</v>
      </c>
      <c r="BF6" s="272">
        <v>1369677</v>
      </c>
      <c r="BG6" s="272">
        <v>0</v>
      </c>
      <c r="BH6" s="272">
        <v>997529</v>
      </c>
      <c r="BI6" s="272">
        <v>308622</v>
      </c>
      <c r="BJ6" s="272">
        <v>2688493</v>
      </c>
      <c r="BK6" s="272">
        <v>85273</v>
      </c>
      <c r="BL6" s="272">
        <v>100680</v>
      </c>
      <c r="BM6" s="272">
        <v>1644086</v>
      </c>
      <c r="BN6" s="272">
        <v>9090000</v>
      </c>
      <c r="BO6" s="455">
        <f t="shared" ref="BO6:BO50" si="5">BN6-BP6-BT6</f>
        <v>7379300</v>
      </c>
      <c r="BP6" s="455">
        <f t="shared" ref="BP6:BP50" si="6">BQ6+BR6+BS6</f>
        <v>1710700</v>
      </c>
      <c r="BQ6" s="272">
        <v>1710700</v>
      </c>
      <c r="BR6" s="272"/>
      <c r="BS6" s="272"/>
      <c r="BT6" s="272">
        <v>0</v>
      </c>
      <c r="BU6" s="272">
        <v>63311843</v>
      </c>
      <c r="BV6" s="272"/>
      <c r="BW6" s="272">
        <v>15269550</v>
      </c>
      <c r="BX6" s="272">
        <v>11554122</v>
      </c>
      <c r="BY6" s="272">
        <v>803087</v>
      </c>
      <c r="BZ6" s="272">
        <v>424391</v>
      </c>
      <c r="CA6" s="272">
        <v>7626300</v>
      </c>
      <c r="CB6" s="272">
        <v>1048009</v>
      </c>
      <c r="CC6" s="272">
        <v>1653346</v>
      </c>
      <c r="CD6" s="272">
        <v>1876199</v>
      </c>
      <c r="CE6" s="272">
        <v>2860891</v>
      </c>
      <c r="CF6" s="272">
        <v>272</v>
      </c>
      <c r="CG6" s="272">
        <v>163640</v>
      </c>
      <c r="CH6" s="272">
        <v>5442395</v>
      </c>
      <c r="CI6" s="272">
        <v>3202027</v>
      </c>
      <c r="CJ6" s="455">
        <f t="shared" ref="CJ6:CJ50" si="7">CH6-CI6</f>
        <v>2240368</v>
      </c>
      <c r="CK6" s="272">
        <v>4537755</v>
      </c>
      <c r="CL6" s="272">
        <v>2075648</v>
      </c>
      <c r="CM6" s="272">
        <v>199040</v>
      </c>
      <c r="CN6" s="272">
        <v>1064564</v>
      </c>
      <c r="CO6" s="272">
        <v>396814</v>
      </c>
      <c r="CP6" s="272">
        <v>3947186</v>
      </c>
      <c r="CQ6" s="272">
        <v>872876</v>
      </c>
      <c r="CR6" s="272">
        <v>850169</v>
      </c>
      <c r="CS6" s="272">
        <v>804512</v>
      </c>
      <c r="CT6" s="455">
        <f t="shared" ref="CT6:CT50" si="8">CU6+CV6</f>
        <v>1368348</v>
      </c>
      <c r="CU6" s="272">
        <v>179010</v>
      </c>
      <c r="CV6" s="272">
        <v>1189338</v>
      </c>
      <c r="CW6" s="455">
        <f t="shared" ref="CW6:CW50" si="9">CX6+CY6</f>
        <v>1308213</v>
      </c>
      <c r="CX6" s="272">
        <v>151047</v>
      </c>
      <c r="CY6" s="272">
        <v>1157166</v>
      </c>
      <c r="CZ6" s="455">
        <f t="shared" ref="CZ6:CZ50" si="10">DA6+DB6</f>
        <v>0</v>
      </c>
      <c r="DA6" s="272">
        <v>0</v>
      </c>
      <c r="DB6" s="272">
        <v>0</v>
      </c>
      <c r="DC6" s="272">
        <v>15647640</v>
      </c>
      <c r="DD6" s="272">
        <v>2871524</v>
      </c>
      <c r="DE6" s="272">
        <v>11270991</v>
      </c>
      <c r="DF6" s="272">
        <v>423776</v>
      </c>
      <c r="DG6" s="272">
        <v>1079099</v>
      </c>
      <c r="DH6" s="272">
        <v>0</v>
      </c>
      <c r="DI6" s="272">
        <v>1755593</v>
      </c>
      <c r="DJ6" s="272">
        <v>1067098</v>
      </c>
      <c r="DK6" s="272">
        <v>94187</v>
      </c>
      <c r="DL6" s="272">
        <v>594308</v>
      </c>
      <c r="DM6" s="272">
        <v>107380</v>
      </c>
      <c r="DN6" s="272">
        <v>0</v>
      </c>
      <c r="DO6" s="272">
        <v>0</v>
      </c>
      <c r="DP6" s="272">
        <v>0</v>
      </c>
      <c r="DQ6" s="272">
        <v>90600</v>
      </c>
      <c r="DR6" s="272">
        <v>0</v>
      </c>
      <c r="DS6" s="272">
        <v>0</v>
      </c>
      <c r="DT6" s="272">
        <v>7676118</v>
      </c>
      <c r="DU6" s="272">
        <v>6010637</v>
      </c>
      <c r="DV6" s="455">
        <f t="shared" ref="DV6:DV50" si="11">DW6+DX6</f>
        <v>0</v>
      </c>
      <c r="DW6" s="272">
        <v>0</v>
      </c>
      <c r="DX6" s="272">
        <v>0</v>
      </c>
      <c r="DY6" s="272">
        <v>0</v>
      </c>
      <c r="DZ6" s="272">
        <v>914793</v>
      </c>
      <c r="EA6" s="272">
        <v>720018</v>
      </c>
      <c r="EB6" s="272"/>
      <c r="EC6" s="272">
        <v>0</v>
      </c>
      <c r="ED6" s="272">
        <v>62497331</v>
      </c>
      <c r="EF6" s="272">
        <v>814512</v>
      </c>
      <c r="EG6" s="272">
        <v>517290</v>
      </c>
      <c r="EH6" s="272">
        <v>297222</v>
      </c>
      <c r="EI6" s="272">
        <v>-11400</v>
      </c>
      <c r="EJ6" s="272">
        <v>555698</v>
      </c>
      <c r="EL6" s="272"/>
      <c r="EM6" s="272">
        <v>193511</v>
      </c>
      <c r="EN6" s="272">
        <v>826151</v>
      </c>
      <c r="EO6" s="272">
        <v>524098</v>
      </c>
      <c r="EP6" s="455">
        <f t="shared" ref="EP6:EP50" si="12">EQ6-ER6-C6-R6-T6-AB6-AC6-BP6-EN6-EO6</f>
        <v>3943609</v>
      </c>
      <c r="EQ6" s="272">
        <v>36380265</v>
      </c>
      <c r="ER6" s="272">
        <v>-6957652</v>
      </c>
      <c r="ES6" s="272">
        <v>13991864</v>
      </c>
      <c r="ET6" s="272">
        <v>10489751</v>
      </c>
      <c r="EU6" s="272">
        <v>2569148</v>
      </c>
      <c r="EV6" s="272">
        <v>5363392</v>
      </c>
      <c r="EW6" s="455">
        <f t="shared" ref="EW6:EW50" si="13">EX6+FA6+FB6</f>
        <v>4162651</v>
      </c>
      <c r="EX6" s="272">
        <v>4162651</v>
      </c>
      <c r="EY6" s="272">
        <v>417467</v>
      </c>
      <c r="EZ6" s="272">
        <v>3644085</v>
      </c>
      <c r="FA6" s="272">
        <v>0</v>
      </c>
      <c r="FB6" s="272"/>
      <c r="FC6" s="272">
        <v>3808019</v>
      </c>
      <c r="FD6" s="272">
        <v>3220541</v>
      </c>
      <c r="FE6" s="272">
        <v>872876</v>
      </c>
      <c r="FF6" s="272">
        <v>7634021</v>
      </c>
      <c r="FG6" s="455">
        <f t="shared" ref="FG6:FG50" si="14">FH6-ES6-EU6-EV6-EW6-FC6-FD6-FF6</f>
        <v>1773769</v>
      </c>
      <c r="FH6" s="272">
        <v>42523405</v>
      </c>
      <c r="FI6" s="384">
        <f t="shared" ref="FI6:FI50" si="15">ROUND(EH6/FJ6*100,1)</f>
        <v>0.9</v>
      </c>
      <c r="FJ6" s="272">
        <v>34097494</v>
      </c>
      <c r="FK6" s="272"/>
      <c r="FL6" s="272">
        <v>19950686</v>
      </c>
      <c r="FM6" s="272">
        <v>27626600</v>
      </c>
      <c r="FN6" s="460">
        <v>0.77600000000000002</v>
      </c>
      <c r="FO6" s="388">
        <v>85.8</v>
      </c>
      <c r="FP6" s="388">
        <v>39.9</v>
      </c>
      <c r="FQ6" s="388">
        <v>7.5</v>
      </c>
      <c r="FR6" s="388">
        <v>12.1</v>
      </c>
      <c r="FS6" s="388">
        <v>10.199999999999999</v>
      </c>
      <c r="FT6" s="388">
        <v>6.5</v>
      </c>
      <c r="FU6" s="388">
        <v>8.6</v>
      </c>
      <c r="FV6" s="388">
        <v>10.199999999999999</v>
      </c>
      <c r="FW6" s="272">
        <v>50522605</v>
      </c>
      <c r="FX6" s="384">
        <f t="shared" ref="FX6:FX50" si="16">ROUND(FW6/FJ6*100,1)</f>
        <v>148.19999999999999</v>
      </c>
      <c r="FY6" s="272">
        <v>9792909</v>
      </c>
      <c r="FZ6" s="272">
        <v>1997937</v>
      </c>
      <c r="GA6" s="272">
        <v>2313788</v>
      </c>
      <c r="GB6" s="272">
        <v>5481184</v>
      </c>
      <c r="GC6" s="272"/>
      <c r="GD6" s="272">
        <v>22758644</v>
      </c>
      <c r="GE6" s="384">
        <f t="shared" ref="GE6:GE37" si="17">ROUND(GD6/FJ6*100,1)</f>
        <v>66.7</v>
      </c>
      <c r="GF6" s="388">
        <v>98.2</v>
      </c>
      <c r="GG6" s="388">
        <v>30.2</v>
      </c>
      <c r="GH6" s="388">
        <v>95.1</v>
      </c>
      <c r="GI6" s="272">
        <v>1622</v>
      </c>
    </row>
    <row r="7" spans="2:191" x14ac:dyDescent="0.15">
      <c r="B7" s="89" t="s">
        <v>7</v>
      </c>
      <c r="C7" s="272">
        <v>68300036</v>
      </c>
      <c r="D7" s="455">
        <f t="shared" si="0"/>
        <v>30579568</v>
      </c>
      <c r="E7" s="272">
        <v>298643</v>
      </c>
      <c r="F7" s="272">
        <v>30280925</v>
      </c>
      <c r="G7" s="455">
        <f t="shared" si="1"/>
        <v>5406525</v>
      </c>
      <c r="H7" s="272">
        <v>868097</v>
      </c>
      <c r="I7" s="272">
        <v>4538428</v>
      </c>
      <c r="J7" s="272">
        <v>22010762</v>
      </c>
      <c r="K7" s="272">
        <v>10031562</v>
      </c>
      <c r="L7" s="272">
        <v>8461486</v>
      </c>
      <c r="M7" s="272">
        <v>3016906</v>
      </c>
      <c r="N7" s="272">
        <v>3629436</v>
      </c>
      <c r="O7" s="272">
        <v>5120468</v>
      </c>
      <c r="P7" s="272">
        <v>3508484</v>
      </c>
      <c r="Q7" s="272">
        <v>1611984</v>
      </c>
      <c r="R7" s="272">
        <v>4468628</v>
      </c>
      <c r="S7" s="272">
        <v>1746524</v>
      </c>
      <c r="T7" s="455">
        <f t="shared" si="2"/>
        <v>4296123</v>
      </c>
      <c r="U7" s="272">
        <v>3208915</v>
      </c>
      <c r="V7" s="272"/>
      <c r="W7" s="272"/>
      <c r="X7" s="272"/>
      <c r="Y7" s="272">
        <v>0</v>
      </c>
      <c r="Z7" s="272">
        <v>33954</v>
      </c>
      <c r="AA7" s="272">
        <v>1053254</v>
      </c>
      <c r="AB7" s="272"/>
      <c r="AC7" s="272">
        <v>690727</v>
      </c>
      <c r="AD7" s="272">
        <v>0</v>
      </c>
      <c r="AE7" s="272">
        <v>690727</v>
      </c>
      <c r="AF7" s="272">
        <v>82536</v>
      </c>
      <c r="AG7" s="272">
        <v>950193</v>
      </c>
      <c r="AH7" s="455">
        <f t="shared" si="3"/>
        <v>2083724</v>
      </c>
      <c r="AI7" s="272">
        <v>1906300</v>
      </c>
      <c r="AJ7" s="272">
        <v>177424</v>
      </c>
      <c r="AK7" s="272">
        <v>9570175</v>
      </c>
      <c r="AL7" s="455">
        <f t="shared" si="4"/>
        <v>5661418</v>
      </c>
      <c r="AM7" s="272">
        <v>4771199</v>
      </c>
      <c r="AN7" s="272">
        <v>482073</v>
      </c>
      <c r="AO7" s="272">
        <v>0</v>
      </c>
      <c r="AP7" s="272">
        <v>408146</v>
      </c>
      <c r="AQ7" s="272">
        <v>1648226</v>
      </c>
      <c r="AR7" s="272">
        <v>13275</v>
      </c>
      <c r="AS7" s="272">
        <v>0</v>
      </c>
      <c r="AT7" s="272">
        <v>4456433</v>
      </c>
      <c r="AU7" s="272">
        <v>1343249</v>
      </c>
      <c r="AV7" s="272">
        <v>244206</v>
      </c>
      <c r="AW7" s="272">
        <v>62698</v>
      </c>
      <c r="AX7" s="272">
        <v>3113184</v>
      </c>
      <c r="AY7" s="272">
        <v>199764</v>
      </c>
      <c r="AZ7" s="272">
        <v>1827098</v>
      </c>
      <c r="BA7" s="272">
        <v>9173</v>
      </c>
      <c r="BB7" s="272">
        <v>767247</v>
      </c>
      <c r="BC7" s="272">
        <v>6949384</v>
      </c>
      <c r="BD7" s="272">
        <v>1575780</v>
      </c>
      <c r="BE7" s="272">
        <v>0</v>
      </c>
      <c r="BF7" s="272">
        <v>2826261</v>
      </c>
      <c r="BG7" s="272">
        <v>0</v>
      </c>
      <c r="BH7" s="272">
        <v>1695079</v>
      </c>
      <c r="BI7" s="272">
        <v>554588</v>
      </c>
      <c r="BJ7" s="272">
        <v>3242329</v>
      </c>
      <c r="BK7" s="272">
        <v>1936980</v>
      </c>
      <c r="BL7" s="272">
        <v>0</v>
      </c>
      <c r="BM7" s="272">
        <v>335607</v>
      </c>
      <c r="BN7" s="272">
        <v>11221601</v>
      </c>
      <c r="BO7" s="455">
        <f t="shared" si="5"/>
        <v>5821601</v>
      </c>
      <c r="BP7" s="455">
        <f t="shared" si="6"/>
        <v>5400000</v>
      </c>
      <c r="BQ7" s="272">
        <v>5400000</v>
      </c>
      <c r="BR7" s="272"/>
      <c r="BS7" s="272"/>
      <c r="BT7" s="272">
        <v>0</v>
      </c>
      <c r="BU7" s="272">
        <v>120601313</v>
      </c>
      <c r="BV7" s="272"/>
      <c r="BW7" s="272">
        <v>37584390</v>
      </c>
      <c r="BX7" s="272">
        <v>28170461</v>
      </c>
      <c r="BY7" s="272">
        <v>2727397</v>
      </c>
      <c r="BZ7" s="272">
        <v>1285748</v>
      </c>
      <c r="CA7" s="272">
        <v>12954580</v>
      </c>
      <c r="CB7" s="272">
        <v>1430224</v>
      </c>
      <c r="CC7" s="272">
        <v>2571204</v>
      </c>
      <c r="CD7" s="272">
        <v>1571014</v>
      </c>
      <c r="CE7" s="272">
        <v>6294457</v>
      </c>
      <c r="CF7" s="272">
        <v>127</v>
      </c>
      <c r="CG7" s="272">
        <v>214785</v>
      </c>
      <c r="CH7" s="272">
        <v>8588235</v>
      </c>
      <c r="CI7" s="272">
        <v>4400783</v>
      </c>
      <c r="CJ7" s="455">
        <f t="shared" si="7"/>
        <v>4187452</v>
      </c>
      <c r="CK7" s="272">
        <v>12112463</v>
      </c>
      <c r="CL7" s="272">
        <v>5688014</v>
      </c>
      <c r="CM7" s="272">
        <v>374203</v>
      </c>
      <c r="CN7" s="272">
        <v>3675557</v>
      </c>
      <c r="CO7" s="272">
        <v>1823394</v>
      </c>
      <c r="CP7" s="272">
        <v>12528286</v>
      </c>
      <c r="CQ7" s="272">
        <v>3188331</v>
      </c>
      <c r="CR7" s="272">
        <v>3489349</v>
      </c>
      <c r="CS7" s="272">
        <v>2612626</v>
      </c>
      <c r="CT7" s="455">
        <f t="shared" si="8"/>
        <v>2718700</v>
      </c>
      <c r="CU7" s="272">
        <v>761067</v>
      </c>
      <c r="CV7" s="272">
        <v>1957633</v>
      </c>
      <c r="CW7" s="455">
        <f t="shared" si="9"/>
        <v>1969681</v>
      </c>
      <c r="CX7" s="272">
        <v>722976</v>
      </c>
      <c r="CY7" s="272">
        <v>1246705</v>
      </c>
      <c r="CZ7" s="455">
        <f t="shared" si="10"/>
        <v>0</v>
      </c>
      <c r="DA7" s="272">
        <v>0</v>
      </c>
      <c r="DB7" s="272">
        <v>0</v>
      </c>
      <c r="DC7" s="272">
        <v>16942887</v>
      </c>
      <c r="DD7" s="272">
        <v>2663240</v>
      </c>
      <c r="DE7" s="272">
        <v>13462119</v>
      </c>
      <c r="DF7" s="272">
        <v>806008</v>
      </c>
      <c r="DG7" s="272">
        <v>11520</v>
      </c>
      <c r="DH7" s="272">
        <v>126612</v>
      </c>
      <c r="DI7" s="272">
        <v>3280372</v>
      </c>
      <c r="DJ7" s="272">
        <v>740523</v>
      </c>
      <c r="DK7" s="272">
        <v>0</v>
      </c>
      <c r="DL7" s="272">
        <v>2539849</v>
      </c>
      <c r="DM7" s="272">
        <v>1473134</v>
      </c>
      <c r="DN7" s="272">
        <v>1466724</v>
      </c>
      <c r="DO7" s="272">
        <v>0</v>
      </c>
      <c r="DP7" s="272">
        <v>1466724</v>
      </c>
      <c r="DQ7" s="272">
        <v>2251971</v>
      </c>
      <c r="DR7" s="272">
        <v>0</v>
      </c>
      <c r="DS7" s="272">
        <v>0</v>
      </c>
      <c r="DT7" s="272">
        <v>9408974</v>
      </c>
      <c r="DU7" s="272">
        <v>5274163</v>
      </c>
      <c r="DV7" s="455">
        <f t="shared" si="11"/>
        <v>0</v>
      </c>
      <c r="DW7" s="272">
        <v>0</v>
      </c>
      <c r="DX7" s="272">
        <v>0</v>
      </c>
      <c r="DY7" s="272">
        <v>0</v>
      </c>
      <c r="DZ7" s="272">
        <v>2910487</v>
      </c>
      <c r="EA7" s="272">
        <v>987026</v>
      </c>
      <c r="EB7" s="272"/>
      <c r="EC7" s="272">
        <v>0</v>
      </c>
      <c r="ED7" s="272">
        <v>119075298</v>
      </c>
      <c r="EF7" s="272">
        <v>1526015</v>
      </c>
      <c r="EG7" s="272">
        <v>1002094</v>
      </c>
      <c r="EH7" s="272">
        <v>523921</v>
      </c>
      <c r="EI7" s="272">
        <v>-30667</v>
      </c>
      <c r="EJ7" s="272">
        <v>-865924</v>
      </c>
      <c r="EL7" s="272"/>
      <c r="EM7" s="272">
        <v>393598</v>
      </c>
      <c r="EN7" s="272">
        <v>4077861</v>
      </c>
      <c r="EO7" s="272">
        <v>26030</v>
      </c>
      <c r="EP7" s="455">
        <f t="shared" si="12"/>
        <v>2755310</v>
      </c>
      <c r="EQ7" s="272">
        <v>77838050</v>
      </c>
      <c r="ER7" s="272">
        <v>-12176665</v>
      </c>
      <c r="ES7" s="272">
        <v>34842045</v>
      </c>
      <c r="ET7" s="272">
        <v>25786835</v>
      </c>
      <c r="EU7" s="272">
        <v>4664417</v>
      </c>
      <c r="EV7" s="272">
        <v>8223503</v>
      </c>
      <c r="EW7" s="455">
        <f t="shared" si="13"/>
        <v>8339109</v>
      </c>
      <c r="EX7" s="272">
        <v>8232372</v>
      </c>
      <c r="EY7" s="272">
        <v>710000</v>
      </c>
      <c r="EZ7" s="272">
        <v>6755464</v>
      </c>
      <c r="FA7" s="272">
        <v>106737</v>
      </c>
      <c r="FB7" s="272"/>
      <c r="FC7" s="272">
        <v>9701336</v>
      </c>
      <c r="FD7" s="272">
        <v>10500054</v>
      </c>
      <c r="FE7" s="272">
        <v>2578331</v>
      </c>
      <c r="FF7" s="272">
        <v>9241770</v>
      </c>
      <c r="FG7" s="455">
        <f t="shared" si="14"/>
        <v>2976466</v>
      </c>
      <c r="FH7" s="272">
        <v>88488700</v>
      </c>
      <c r="FI7" s="384">
        <f t="shared" si="15"/>
        <v>0.7</v>
      </c>
      <c r="FJ7" s="272">
        <v>78755061</v>
      </c>
      <c r="FK7" s="272"/>
      <c r="FL7" s="272">
        <v>59750080</v>
      </c>
      <c r="FM7" s="272">
        <v>51094269</v>
      </c>
      <c r="FN7" s="460">
        <v>1.1539999999999999</v>
      </c>
      <c r="FO7" s="388">
        <v>95.8</v>
      </c>
      <c r="FP7" s="388">
        <v>46.3</v>
      </c>
      <c r="FQ7" s="388">
        <v>5.3</v>
      </c>
      <c r="FR7" s="388">
        <v>11.3</v>
      </c>
      <c r="FS7" s="388">
        <v>12.8</v>
      </c>
      <c r="FT7" s="388">
        <v>11.7</v>
      </c>
      <c r="FU7" s="388">
        <v>6.6</v>
      </c>
      <c r="FV7" s="388">
        <v>7.9</v>
      </c>
      <c r="FW7" s="272">
        <v>82928285</v>
      </c>
      <c r="FX7" s="384">
        <f t="shared" si="16"/>
        <v>105.3</v>
      </c>
      <c r="FY7" s="272">
        <v>57761725</v>
      </c>
      <c r="FZ7" s="272">
        <v>9966879</v>
      </c>
      <c r="GA7" s="272"/>
      <c r="GB7" s="272">
        <v>47794846</v>
      </c>
      <c r="GC7" s="272"/>
      <c r="GD7" s="272">
        <v>52121754</v>
      </c>
      <c r="GE7" s="384">
        <f t="shared" si="17"/>
        <v>66.2</v>
      </c>
      <c r="GF7" s="388">
        <v>96.9</v>
      </c>
      <c r="GG7" s="388">
        <v>18</v>
      </c>
      <c r="GH7" s="388">
        <v>91.3</v>
      </c>
      <c r="GI7" s="272">
        <v>3535</v>
      </c>
    </row>
    <row r="8" spans="2:191" x14ac:dyDescent="0.15">
      <c r="B8" s="89" t="s">
        <v>9</v>
      </c>
      <c r="C8" s="272">
        <v>17448925</v>
      </c>
      <c r="D8" s="455">
        <f t="shared" si="0"/>
        <v>7608501</v>
      </c>
      <c r="E8" s="272">
        <v>78814</v>
      </c>
      <c r="F8" s="272">
        <v>7529687</v>
      </c>
      <c r="G8" s="455">
        <f t="shared" si="1"/>
        <v>1398158</v>
      </c>
      <c r="H8" s="272">
        <v>246586</v>
      </c>
      <c r="I8" s="272">
        <v>1151572</v>
      </c>
      <c r="J8" s="272">
        <v>6182402</v>
      </c>
      <c r="K8" s="272">
        <v>3174445</v>
      </c>
      <c r="L8" s="272">
        <v>2023341</v>
      </c>
      <c r="M8" s="272">
        <v>883242</v>
      </c>
      <c r="N8" s="272">
        <v>480194</v>
      </c>
      <c r="O8" s="272">
        <v>1701418</v>
      </c>
      <c r="P8" s="272">
        <v>1263495</v>
      </c>
      <c r="Q8" s="272">
        <v>437923</v>
      </c>
      <c r="R8" s="272">
        <v>813908</v>
      </c>
      <c r="S8" s="272">
        <v>509636</v>
      </c>
      <c r="T8" s="455">
        <f t="shared" si="2"/>
        <v>1198040</v>
      </c>
      <c r="U8" s="272">
        <v>774294</v>
      </c>
      <c r="V8" s="272"/>
      <c r="W8" s="272"/>
      <c r="X8" s="272"/>
      <c r="Y8" s="272">
        <v>127574</v>
      </c>
      <c r="Z8" s="272">
        <v>10865</v>
      </c>
      <c r="AA8" s="272">
        <v>285307</v>
      </c>
      <c r="AB8" s="272"/>
      <c r="AC8" s="272">
        <v>446110</v>
      </c>
      <c r="AD8" s="272">
        <v>111509</v>
      </c>
      <c r="AE8" s="272">
        <v>334601</v>
      </c>
      <c r="AF8" s="272">
        <v>24383</v>
      </c>
      <c r="AG8" s="272">
        <v>155610</v>
      </c>
      <c r="AH8" s="455">
        <f t="shared" si="3"/>
        <v>626164</v>
      </c>
      <c r="AI8" s="272">
        <v>513193</v>
      </c>
      <c r="AJ8" s="272">
        <v>112971</v>
      </c>
      <c r="AK8" s="272">
        <v>1671028</v>
      </c>
      <c r="AL8" s="455">
        <f t="shared" si="4"/>
        <v>834175</v>
      </c>
      <c r="AM8" s="272">
        <v>572508</v>
      </c>
      <c r="AN8" s="272">
        <v>126009</v>
      </c>
      <c r="AO8" s="272">
        <v>0</v>
      </c>
      <c r="AP8" s="272">
        <v>135658</v>
      </c>
      <c r="AQ8" s="272">
        <v>165853</v>
      </c>
      <c r="AR8" s="272">
        <v>16288</v>
      </c>
      <c r="AS8" s="272">
        <v>0</v>
      </c>
      <c r="AT8" s="272">
        <v>1473175</v>
      </c>
      <c r="AU8" s="272">
        <v>292929</v>
      </c>
      <c r="AV8" s="272">
        <v>64080</v>
      </c>
      <c r="AW8" s="272">
        <v>7856</v>
      </c>
      <c r="AX8" s="272">
        <v>1180246</v>
      </c>
      <c r="AY8" s="272">
        <v>304253</v>
      </c>
      <c r="AZ8" s="272">
        <v>553153</v>
      </c>
      <c r="BA8" s="272">
        <v>290968</v>
      </c>
      <c r="BB8" s="272">
        <v>348213</v>
      </c>
      <c r="BC8" s="272">
        <v>666459</v>
      </c>
      <c r="BD8" s="272">
        <v>0</v>
      </c>
      <c r="BE8" s="272">
        <v>0</v>
      </c>
      <c r="BF8" s="272">
        <v>485611</v>
      </c>
      <c r="BG8" s="272">
        <v>0</v>
      </c>
      <c r="BH8" s="272">
        <v>108429</v>
      </c>
      <c r="BI8" s="272">
        <v>92694</v>
      </c>
      <c r="BJ8" s="272">
        <v>1355604</v>
      </c>
      <c r="BK8" s="272">
        <v>786706</v>
      </c>
      <c r="BL8" s="272">
        <v>136703</v>
      </c>
      <c r="BM8" s="272">
        <v>225775</v>
      </c>
      <c r="BN8" s="272">
        <v>3459000</v>
      </c>
      <c r="BO8" s="455">
        <f t="shared" si="5"/>
        <v>2091200</v>
      </c>
      <c r="BP8" s="455">
        <f t="shared" si="6"/>
        <v>1367800</v>
      </c>
      <c r="BQ8" s="272">
        <v>1367800</v>
      </c>
      <c r="BR8" s="272"/>
      <c r="BS8" s="272"/>
      <c r="BT8" s="272">
        <v>0</v>
      </c>
      <c r="BU8" s="272">
        <v>30348201</v>
      </c>
      <c r="BV8" s="272"/>
      <c r="BW8" s="272">
        <v>10633809</v>
      </c>
      <c r="BX8" s="272">
        <v>7877458</v>
      </c>
      <c r="BY8" s="272">
        <v>786494</v>
      </c>
      <c r="BZ8" s="272">
        <v>215462</v>
      </c>
      <c r="CA8" s="272">
        <v>2354464</v>
      </c>
      <c r="CB8" s="272">
        <v>359155</v>
      </c>
      <c r="CC8" s="272">
        <v>709912</v>
      </c>
      <c r="CD8" s="272">
        <v>488531</v>
      </c>
      <c r="CE8" s="272">
        <v>731234</v>
      </c>
      <c r="CF8" s="272">
        <v>4331</v>
      </c>
      <c r="CG8" s="272">
        <v>19730</v>
      </c>
      <c r="CH8" s="272">
        <v>2895702</v>
      </c>
      <c r="CI8" s="272">
        <v>1364334</v>
      </c>
      <c r="CJ8" s="455">
        <f t="shared" si="7"/>
        <v>1531368</v>
      </c>
      <c r="CK8" s="272">
        <v>3123119</v>
      </c>
      <c r="CL8" s="272">
        <v>1573219</v>
      </c>
      <c r="CM8" s="272">
        <v>154226</v>
      </c>
      <c r="CN8" s="272">
        <v>863910</v>
      </c>
      <c r="CO8" s="272">
        <v>903714</v>
      </c>
      <c r="CP8" s="272">
        <v>1857891</v>
      </c>
      <c r="CQ8" s="272">
        <v>0</v>
      </c>
      <c r="CR8" s="272">
        <v>657223</v>
      </c>
      <c r="CS8" s="272">
        <v>566904</v>
      </c>
      <c r="CT8" s="455">
        <f t="shared" si="8"/>
        <v>725024</v>
      </c>
      <c r="CU8" s="272">
        <v>456415</v>
      </c>
      <c r="CV8" s="272">
        <v>268609</v>
      </c>
      <c r="CW8" s="455">
        <f t="shared" si="9"/>
        <v>466124</v>
      </c>
      <c r="CX8" s="272">
        <v>451294</v>
      </c>
      <c r="CY8" s="272">
        <v>14830</v>
      </c>
      <c r="CZ8" s="455">
        <f t="shared" si="10"/>
        <v>0</v>
      </c>
      <c r="DA8" s="272">
        <v>0</v>
      </c>
      <c r="DB8" s="272">
        <v>0</v>
      </c>
      <c r="DC8" s="272">
        <v>3791818</v>
      </c>
      <c r="DD8" s="272">
        <v>399449</v>
      </c>
      <c r="DE8" s="272">
        <v>3216632</v>
      </c>
      <c r="DF8" s="272">
        <v>56981</v>
      </c>
      <c r="DG8" s="272">
        <v>118756</v>
      </c>
      <c r="DH8" s="272">
        <v>268888</v>
      </c>
      <c r="DI8" s="272">
        <v>400028</v>
      </c>
      <c r="DJ8" s="272">
        <v>38510</v>
      </c>
      <c r="DK8" s="272">
        <v>0</v>
      </c>
      <c r="DL8" s="272">
        <v>361518</v>
      </c>
      <c r="DM8" s="272">
        <v>711507</v>
      </c>
      <c r="DN8" s="272">
        <v>709687</v>
      </c>
      <c r="DO8" s="272">
        <v>37100</v>
      </c>
      <c r="DP8" s="272">
        <v>672587</v>
      </c>
      <c r="DQ8" s="272">
        <v>988676</v>
      </c>
      <c r="DR8" s="272">
        <v>0</v>
      </c>
      <c r="DS8" s="272">
        <v>0</v>
      </c>
      <c r="DT8" s="272">
        <v>2100191</v>
      </c>
      <c r="DU8" s="272">
        <v>1314900</v>
      </c>
      <c r="DV8" s="455">
        <f t="shared" si="11"/>
        <v>0</v>
      </c>
      <c r="DW8" s="272">
        <v>0</v>
      </c>
      <c r="DX8" s="272">
        <v>0</v>
      </c>
      <c r="DY8" s="272">
        <v>7287</v>
      </c>
      <c r="DZ8" s="272">
        <v>444600</v>
      </c>
      <c r="EA8" s="272">
        <v>321585</v>
      </c>
      <c r="EB8" s="272"/>
      <c r="EC8" s="272">
        <v>0</v>
      </c>
      <c r="ED8" s="272">
        <v>30029807</v>
      </c>
      <c r="EF8" s="272">
        <v>318394</v>
      </c>
      <c r="EG8" s="272">
        <v>814</v>
      </c>
      <c r="EH8" s="272">
        <v>317580</v>
      </c>
      <c r="EI8" s="272">
        <v>114886</v>
      </c>
      <c r="EJ8" s="272">
        <v>153396</v>
      </c>
      <c r="EL8" s="272"/>
      <c r="EM8" s="272">
        <v>101584</v>
      </c>
      <c r="EN8" s="272">
        <v>156143</v>
      </c>
      <c r="EO8" s="272">
        <v>308175</v>
      </c>
      <c r="EP8" s="455">
        <f t="shared" si="12"/>
        <v>657727</v>
      </c>
      <c r="EQ8" s="272">
        <v>19931366</v>
      </c>
      <c r="ER8" s="272">
        <v>-2465462</v>
      </c>
      <c r="ES8" s="272">
        <v>9947122</v>
      </c>
      <c r="ET8" s="272">
        <v>7214189</v>
      </c>
      <c r="EU8" s="272">
        <v>872359</v>
      </c>
      <c r="EV8" s="272">
        <v>2807475</v>
      </c>
      <c r="EW8" s="455">
        <f t="shared" si="13"/>
        <v>1322286</v>
      </c>
      <c r="EX8" s="272">
        <v>1165191</v>
      </c>
      <c r="EY8" s="272">
        <v>51140</v>
      </c>
      <c r="EZ8" s="272">
        <v>1057070</v>
      </c>
      <c r="FA8" s="272">
        <v>157095</v>
      </c>
      <c r="FB8" s="272"/>
      <c r="FC8" s="272">
        <v>2279430</v>
      </c>
      <c r="FD8" s="272">
        <v>1495541</v>
      </c>
      <c r="FE8" s="272"/>
      <c r="FF8" s="272">
        <v>2063616</v>
      </c>
      <c r="FG8" s="455">
        <f t="shared" si="14"/>
        <v>1290605</v>
      </c>
      <c r="FH8" s="272">
        <v>22078434</v>
      </c>
      <c r="FI8" s="384">
        <f t="shared" si="15"/>
        <v>1.7</v>
      </c>
      <c r="FJ8" s="272">
        <v>18350258</v>
      </c>
      <c r="FK8" s="272"/>
      <c r="FL8" s="272">
        <v>13762321</v>
      </c>
      <c r="FM8" s="272">
        <v>13896430</v>
      </c>
      <c r="FN8" s="460">
        <v>1.0009999999999999</v>
      </c>
      <c r="FO8" s="388">
        <v>104.9</v>
      </c>
      <c r="FP8" s="388">
        <v>53.7</v>
      </c>
      <c r="FQ8" s="388">
        <v>4.5999999999999996</v>
      </c>
      <c r="FR8" s="388">
        <v>15.6</v>
      </c>
      <c r="FS8" s="388">
        <v>11.9</v>
      </c>
      <c r="FT8" s="388">
        <v>6.2</v>
      </c>
      <c r="FU8" s="388">
        <v>8.9</v>
      </c>
      <c r="FV8" s="388">
        <v>13.1</v>
      </c>
      <c r="FW8" s="272">
        <v>22843971</v>
      </c>
      <c r="FX8" s="384">
        <f t="shared" si="16"/>
        <v>124.5</v>
      </c>
      <c r="FY8" s="272">
        <v>10948184</v>
      </c>
      <c r="FZ8" s="272">
        <v>1645590</v>
      </c>
      <c r="GA8" s="272"/>
      <c r="GB8" s="272">
        <v>9302594</v>
      </c>
      <c r="GC8" s="272"/>
      <c r="GD8" s="272">
        <v>13502360</v>
      </c>
      <c r="GE8" s="384">
        <f t="shared" si="17"/>
        <v>73.599999999999994</v>
      </c>
      <c r="GF8" s="388">
        <v>97.9</v>
      </c>
      <c r="GG8" s="388">
        <v>18.5</v>
      </c>
      <c r="GH8" s="388">
        <v>92.7</v>
      </c>
      <c r="GI8" s="272">
        <v>1008</v>
      </c>
    </row>
    <row r="9" spans="2:191" x14ac:dyDescent="0.15">
      <c r="B9" s="89" t="s">
        <v>11</v>
      </c>
      <c r="C9" s="272">
        <v>62662337</v>
      </c>
      <c r="D9" s="455">
        <f t="shared" si="0"/>
        <v>25237244</v>
      </c>
      <c r="E9" s="272">
        <v>252684</v>
      </c>
      <c r="F9" s="272">
        <v>24984560</v>
      </c>
      <c r="G9" s="455">
        <f t="shared" si="1"/>
        <v>6169508</v>
      </c>
      <c r="H9" s="272">
        <v>911431</v>
      </c>
      <c r="I9" s="272">
        <v>5258077</v>
      </c>
      <c r="J9" s="272">
        <v>22771388</v>
      </c>
      <c r="K9" s="272">
        <v>10924735</v>
      </c>
      <c r="L9" s="272">
        <v>8375784</v>
      </c>
      <c r="M9" s="272">
        <v>3036558</v>
      </c>
      <c r="N9" s="272">
        <v>1414727</v>
      </c>
      <c r="O9" s="272">
        <v>5767365</v>
      </c>
      <c r="P9" s="272">
        <v>3897348</v>
      </c>
      <c r="Q9" s="272">
        <v>1870017</v>
      </c>
      <c r="R9" s="272">
        <v>2136890</v>
      </c>
      <c r="S9" s="272">
        <v>1552993</v>
      </c>
      <c r="T9" s="455">
        <f t="shared" si="2"/>
        <v>3541491</v>
      </c>
      <c r="U9" s="272">
        <v>2627349</v>
      </c>
      <c r="V9" s="272"/>
      <c r="W9" s="272"/>
      <c r="X9" s="272"/>
      <c r="Y9" s="272">
        <v>0</v>
      </c>
      <c r="Z9" s="272">
        <v>29979</v>
      </c>
      <c r="AA9" s="272">
        <v>884163</v>
      </c>
      <c r="AB9" s="272"/>
      <c r="AC9" s="272">
        <v>240986</v>
      </c>
      <c r="AD9" s="272">
        <v>0</v>
      </c>
      <c r="AE9" s="272">
        <v>240986</v>
      </c>
      <c r="AF9" s="272">
        <v>65721</v>
      </c>
      <c r="AG9" s="272">
        <v>1235550</v>
      </c>
      <c r="AH9" s="455">
        <f t="shared" si="3"/>
        <v>2393312</v>
      </c>
      <c r="AI9" s="272">
        <v>2007903</v>
      </c>
      <c r="AJ9" s="272">
        <v>385409</v>
      </c>
      <c r="AK9" s="272">
        <v>7223246</v>
      </c>
      <c r="AL9" s="455">
        <f t="shared" si="4"/>
        <v>4337079</v>
      </c>
      <c r="AM9" s="272">
        <v>3081218</v>
      </c>
      <c r="AN9" s="272">
        <v>828296</v>
      </c>
      <c r="AO9" s="272">
        <v>0</v>
      </c>
      <c r="AP9" s="272">
        <v>427565</v>
      </c>
      <c r="AQ9" s="272">
        <v>1102449</v>
      </c>
      <c r="AR9" s="272">
        <v>12322</v>
      </c>
      <c r="AS9" s="272">
        <v>0</v>
      </c>
      <c r="AT9" s="272">
        <v>4928663</v>
      </c>
      <c r="AU9" s="272">
        <v>1507408</v>
      </c>
      <c r="AV9" s="272">
        <v>274700</v>
      </c>
      <c r="AW9" s="272">
        <v>572503</v>
      </c>
      <c r="AX9" s="272">
        <v>3421255</v>
      </c>
      <c r="AY9" s="272">
        <v>954912</v>
      </c>
      <c r="AZ9" s="272">
        <v>4279948</v>
      </c>
      <c r="BA9" s="272">
        <v>3262422</v>
      </c>
      <c r="BB9" s="272">
        <v>67306</v>
      </c>
      <c r="BC9" s="272">
        <v>2272112</v>
      </c>
      <c r="BD9" s="272">
        <v>1000000</v>
      </c>
      <c r="BE9" s="272">
        <v>0</v>
      </c>
      <c r="BF9" s="272">
        <v>1253705</v>
      </c>
      <c r="BG9" s="272">
        <v>0</v>
      </c>
      <c r="BH9" s="272">
        <v>2913441</v>
      </c>
      <c r="BI9" s="272">
        <v>2868184</v>
      </c>
      <c r="BJ9" s="272">
        <v>3309751</v>
      </c>
      <c r="BK9" s="272">
        <v>1305993</v>
      </c>
      <c r="BL9" s="272">
        <v>1037476</v>
      </c>
      <c r="BM9" s="272">
        <v>309853</v>
      </c>
      <c r="BN9" s="272">
        <v>8212800</v>
      </c>
      <c r="BO9" s="455">
        <f t="shared" si="5"/>
        <v>3712800</v>
      </c>
      <c r="BP9" s="455">
        <f t="shared" si="6"/>
        <v>4500000</v>
      </c>
      <c r="BQ9" s="272">
        <v>4500000</v>
      </c>
      <c r="BR9" s="272"/>
      <c r="BS9" s="272"/>
      <c r="BT9" s="272">
        <v>0</v>
      </c>
      <c r="BU9" s="272">
        <v>105483554</v>
      </c>
      <c r="BV9" s="272"/>
      <c r="BW9" s="272">
        <v>29022542</v>
      </c>
      <c r="BX9" s="272">
        <v>22076240</v>
      </c>
      <c r="BY9" s="272">
        <v>1200621</v>
      </c>
      <c r="BZ9" s="272">
        <v>1355637</v>
      </c>
      <c r="CA9" s="272">
        <v>11138808</v>
      </c>
      <c r="CB9" s="272">
        <v>1306557</v>
      </c>
      <c r="CC9" s="272">
        <v>2424883</v>
      </c>
      <c r="CD9" s="272">
        <v>2379830</v>
      </c>
      <c r="CE9" s="272">
        <v>4129881</v>
      </c>
      <c r="CF9" s="272">
        <v>554717</v>
      </c>
      <c r="CG9" s="272">
        <v>304959</v>
      </c>
      <c r="CH9" s="272">
        <v>6794707</v>
      </c>
      <c r="CI9" s="272">
        <v>3263682</v>
      </c>
      <c r="CJ9" s="455">
        <f t="shared" si="7"/>
        <v>3531025</v>
      </c>
      <c r="CK9" s="272">
        <v>11799982</v>
      </c>
      <c r="CL9" s="272">
        <v>6996669</v>
      </c>
      <c r="CM9" s="272">
        <v>274331</v>
      </c>
      <c r="CN9" s="272">
        <v>2561852</v>
      </c>
      <c r="CO9" s="272">
        <v>2990939</v>
      </c>
      <c r="CP9" s="272">
        <v>4175868</v>
      </c>
      <c r="CQ9" s="272">
        <v>1451</v>
      </c>
      <c r="CR9" s="272">
        <v>1391498</v>
      </c>
      <c r="CS9" s="272">
        <v>1187717</v>
      </c>
      <c r="CT9" s="455">
        <f t="shared" si="8"/>
        <v>1243683</v>
      </c>
      <c r="CU9" s="272">
        <v>890710</v>
      </c>
      <c r="CV9" s="272">
        <v>352973</v>
      </c>
      <c r="CW9" s="455">
        <f t="shared" si="9"/>
        <v>1207330</v>
      </c>
      <c r="CX9" s="272">
        <v>854357</v>
      </c>
      <c r="CY9" s="272">
        <v>352973</v>
      </c>
      <c r="CZ9" s="455">
        <f t="shared" si="10"/>
        <v>0</v>
      </c>
      <c r="DA9" s="272">
        <v>0</v>
      </c>
      <c r="DB9" s="272">
        <v>0</v>
      </c>
      <c r="DC9" s="272">
        <v>21836366</v>
      </c>
      <c r="DD9" s="272">
        <v>2350121</v>
      </c>
      <c r="DE9" s="272">
        <v>17373409</v>
      </c>
      <c r="DF9" s="272">
        <v>0</v>
      </c>
      <c r="DG9" s="272">
        <v>2112836</v>
      </c>
      <c r="DH9" s="272">
        <v>185442</v>
      </c>
      <c r="DI9" s="272">
        <v>4266140</v>
      </c>
      <c r="DJ9" s="272">
        <v>1694429</v>
      </c>
      <c r="DK9" s="272">
        <v>0</v>
      </c>
      <c r="DL9" s="272">
        <v>2571711</v>
      </c>
      <c r="DM9" s="272">
        <v>474810</v>
      </c>
      <c r="DN9" s="272">
        <v>405370</v>
      </c>
      <c r="DO9" s="272">
        <v>192000</v>
      </c>
      <c r="DP9" s="272">
        <v>213370</v>
      </c>
      <c r="DQ9" s="272">
        <v>1275800</v>
      </c>
      <c r="DR9" s="272">
        <v>0</v>
      </c>
      <c r="DS9" s="272">
        <v>0</v>
      </c>
      <c r="DT9" s="272">
        <v>10094267</v>
      </c>
      <c r="DU9" s="272">
        <v>4782993</v>
      </c>
      <c r="DV9" s="455">
        <f t="shared" si="11"/>
        <v>1257271</v>
      </c>
      <c r="DW9" s="272">
        <v>1257271</v>
      </c>
      <c r="DX9" s="272">
        <v>0</v>
      </c>
      <c r="DY9" s="272">
        <v>200269</v>
      </c>
      <c r="DZ9" s="272">
        <v>2556587</v>
      </c>
      <c r="EA9" s="272">
        <v>924764</v>
      </c>
      <c r="EB9" s="272"/>
      <c r="EC9" s="272">
        <v>0</v>
      </c>
      <c r="ED9" s="272">
        <v>104055671</v>
      </c>
      <c r="EF9" s="272">
        <v>1427883</v>
      </c>
      <c r="EG9" s="272">
        <v>54530</v>
      </c>
      <c r="EH9" s="272">
        <v>1373353</v>
      </c>
      <c r="EI9" s="272">
        <v>-1494831</v>
      </c>
      <c r="EJ9" s="272">
        <v>-800402</v>
      </c>
      <c r="EL9" s="272"/>
      <c r="EM9" s="272">
        <v>330391</v>
      </c>
      <c r="EN9" s="272">
        <v>1012528</v>
      </c>
      <c r="EO9" s="272">
        <v>108529</v>
      </c>
      <c r="EP9" s="455">
        <f t="shared" si="12"/>
        <v>4354372</v>
      </c>
      <c r="EQ9" s="272">
        <v>68647425</v>
      </c>
      <c r="ER9" s="272">
        <v>-9909708</v>
      </c>
      <c r="ES9" s="272">
        <v>26887027</v>
      </c>
      <c r="ET9" s="272">
        <v>20059274</v>
      </c>
      <c r="EU9" s="272">
        <v>3972480</v>
      </c>
      <c r="EV9" s="272">
        <v>6436756</v>
      </c>
      <c r="EW9" s="455">
        <f t="shared" si="13"/>
        <v>10403409</v>
      </c>
      <c r="EX9" s="272">
        <v>10231440</v>
      </c>
      <c r="EY9" s="272">
        <v>385457</v>
      </c>
      <c r="EZ9" s="272">
        <v>9845983</v>
      </c>
      <c r="FA9" s="272">
        <v>171969</v>
      </c>
      <c r="FB9" s="272"/>
      <c r="FC9" s="272">
        <v>9766323</v>
      </c>
      <c r="FD9" s="272">
        <v>3386452</v>
      </c>
      <c r="FE9" s="272">
        <v>1451</v>
      </c>
      <c r="FF9" s="272">
        <v>9749808</v>
      </c>
      <c r="FG9" s="455">
        <f t="shared" si="14"/>
        <v>6526995</v>
      </c>
      <c r="FH9" s="272">
        <v>77129250</v>
      </c>
      <c r="FI9" s="384">
        <f t="shared" si="15"/>
        <v>2.1</v>
      </c>
      <c r="FJ9" s="272">
        <v>65538434</v>
      </c>
      <c r="FK9" s="272"/>
      <c r="FL9" s="272">
        <v>49319340</v>
      </c>
      <c r="FM9" s="272">
        <v>41627615</v>
      </c>
      <c r="FN9" s="460">
        <v>1.167</v>
      </c>
      <c r="FO9" s="388">
        <v>89.4</v>
      </c>
      <c r="FP9" s="388">
        <v>42</v>
      </c>
      <c r="FQ9" s="388">
        <v>6.2</v>
      </c>
      <c r="FR9" s="388">
        <v>10.199999999999999</v>
      </c>
      <c r="FS9" s="388">
        <v>15.2</v>
      </c>
      <c r="FT9" s="388">
        <v>3.8</v>
      </c>
      <c r="FU9" s="388">
        <v>7.7</v>
      </c>
      <c r="FV9" s="388">
        <v>7</v>
      </c>
      <c r="FW9" s="272">
        <v>65826712</v>
      </c>
      <c r="FX9" s="384">
        <f t="shared" si="16"/>
        <v>100.4</v>
      </c>
      <c r="FY9" s="272">
        <v>36283068</v>
      </c>
      <c r="FZ9" s="272">
        <v>8779872</v>
      </c>
      <c r="GA9" s="272"/>
      <c r="GB9" s="272">
        <v>27503196</v>
      </c>
      <c r="GC9" s="272"/>
      <c r="GD9" s="272">
        <v>17971633</v>
      </c>
      <c r="GE9" s="384">
        <f t="shared" si="17"/>
        <v>27.4</v>
      </c>
      <c r="GF9" s="388">
        <v>97.9</v>
      </c>
      <c r="GG9" s="388">
        <v>19.7</v>
      </c>
      <c r="GH9" s="388">
        <v>93.4</v>
      </c>
      <c r="GI9" s="272">
        <v>2895</v>
      </c>
    </row>
    <row r="10" spans="2:191" x14ac:dyDescent="0.15">
      <c r="B10" s="89" t="s">
        <v>13</v>
      </c>
      <c r="C10" s="272">
        <v>10511980</v>
      </c>
      <c r="D10" s="455">
        <f t="shared" si="0"/>
        <v>3200963</v>
      </c>
      <c r="E10" s="272">
        <v>48101</v>
      </c>
      <c r="F10" s="272">
        <v>3152862</v>
      </c>
      <c r="G10" s="455">
        <f t="shared" si="1"/>
        <v>876730</v>
      </c>
      <c r="H10" s="272">
        <v>169877</v>
      </c>
      <c r="I10" s="272">
        <v>706853</v>
      </c>
      <c r="J10" s="272">
        <v>4879491</v>
      </c>
      <c r="K10" s="272">
        <v>2566221</v>
      </c>
      <c r="L10" s="272">
        <v>1344503</v>
      </c>
      <c r="M10" s="272">
        <v>650460</v>
      </c>
      <c r="N10" s="272">
        <v>383444</v>
      </c>
      <c r="O10" s="272">
        <v>1110808</v>
      </c>
      <c r="P10" s="272">
        <v>806252</v>
      </c>
      <c r="Q10" s="272">
        <v>304556</v>
      </c>
      <c r="R10" s="272">
        <v>521045</v>
      </c>
      <c r="S10" s="272">
        <v>346750</v>
      </c>
      <c r="T10" s="455">
        <f t="shared" si="2"/>
        <v>522805</v>
      </c>
      <c r="U10" s="272">
        <v>323514</v>
      </c>
      <c r="V10" s="272"/>
      <c r="W10" s="272"/>
      <c r="X10" s="272"/>
      <c r="Y10" s="272">
        <v>0</v>
      </c>
      <c r="Z10" s="272">
        <v>2436</v>
      </c>
      <c r="AA10" s="272">
        <v>196855</v>
      </c>
      <c r="AB10" s="272"/>
      <c r="AC10" s="272">
        <v>2076227</v>
      </c>
      <c r="AD10" s="272">
        <v>1775554</v>
      </c>
      <c r="AE10" s="272">
        <v>300673</v>
      </c>
      <c r="AF10" s="272">
        <v>19171</v>
      </c>
      <c r="AG10" s="272">
        <v>108035</v>
      </c>
      <c r="AH10" s="455">
        <f t="shared" si="3"/>
        <v>293457</v>
      </c>
      <c r="AI10" s="272">
        <v>258046</v>
      </c>
      <c r="AJ10" s="272">
        <v>35411</v>
      </c>
      <c r="AK10" s="272">
        <v>2711227</v>
      </c>
      <c r="AL10" s="455">
        <f t="shared" si="4"/>
        <v>886745</v>
      </c>
      <c r="AM10" s="272">
        <v>633805</v>
      </c>
      <c r="AN10" s="272">
        <v>147291</v>
      </c>
      <c r="AO10" s="272">
        <v>0</v>
      </c>
      <c r="AP10" s="272">
        <v>105649</v>
      </c>
      <c r="AQ10" s="272">
        <v>803278</v>
      </c>
      <c r="AR10" s="272">
        <v>0</v>
      </c>
      <c r="AS10" s="272">
        <v>0</v>
      </c>
      <c r="AT10" s="272">
        <v>1074950</v>
      </c>
      <c r="AU10" s="272">
        <v>230023</v>
      </c>
      <c r="AV10" s="272">
        <v>74692</v>
      </c>
      <c r="AW10" s="272">
        <v>13444</v>
      </c>
      <c r="AX10" s="272">
        <v>844927</v>
      </c>
      <c r="AY10" s="272">
        <v>312495</v>
      </c>
      <c r="AZ10" s="272">
        <v>351073</v>
      </c>
      <c r="BA10" s="272">
        <v>239960</v>
      </c>
      <c r="BB10" s="272">
        <v>253431</v>
      </c>
      <c r="BC10" s="272">
        <v>2124445</v>
      </c>
      <c r="BD10" s="272">
        <v>595000</v>
      </c>
      <c r="BE10" s="272">
        <v>700000</v>
      </c>
      <c r="BF10" s="272">
        <v>822423</v>
      </c>
      <c r="BG10" s="272">
        <v>0</v>
      </c>
      <c r="BH10" s="272">
        <v>331835</v>
      </c>
      <c r="BI10" s="272">
        <v>183376</v>
      </c>
      <c r="BJ10" s="272">
        <v>1122905</v>
      </c>
      <c r="BK10" s="272">
        <v>730440</v>
      </c>
      <c r="BL10" s="272">
        <v>0</v>
      </c>
      <c r="BM10" s="272">
        <v>200412</v>
      </c>
      <c r="BN10" s="272">
        <v>3769500</v>
      </c>
      <c r="BO10" s="455">
        <f t="shared" si="5"/>
        <v>3159300</v>
      </c>
      <c r="BP10" s="455">
        <f t="shared" si="6"/>
        <v>610200</v>
      </c>
      <c r="BQ10" s="272">
        <v>610200</v>
      </c>
      <c r="BR10" s="272"/>
      <c r="BS10" s="272"/>
      <c r="BT10" s="272">
        <v>0</v>
      </c>
      <c r="BU10" s="272">
        <v>25792086</v>
      </c>
      <c r="BV10" s="272"/>
      <c r="BW10" s="272">
        <v>6319349</v>
      </c>
      <c r="BX10" s="272">
        <v>4700869</v>
      </c>
      <c r="BY10" s="272">
        <v>368766</v>
      </c>
      <c r="BZ10" s="272">
        <v>162098</v>
      </c>
      <c r="CA10" s="272">
        <v>2370939</v>
      </c>
      <c r="CB10" s="272">
        <v>374574</v>
      </c>
      <c r="CC10" s="272">
        <v>679224</v>
      </c>
      <c r="CD10" s="272">
        <v>444204</v>
      </c>
      <c r="CE10" s="272">
        <v>836730</v>
      </c>
      <c r="CF10" s="272">
        <v>55</v>
      </c>
      <c r="CG10" s="272">
        <v>31555</v>
      </c>
      <c r="CH10" s="272">
        <v>2272809</v>
      </c>
      <c r="CI10" s="272">
        <v>920148</v>
      </c>
      <c r="CJ10" s="455">
        <f t="shared" si="7"/>
        <v>1352661</v>
      </c>
      <c r="CK10" s="272">
        <v>1758060</v>
      </c>
      <c r="CL10" s="272">
        <v>786926</v>
      </c>
      <c r="CM10" s="272">
        <v>72062</v>
      </c>
      <c r="CN10" s="272">
        <v>482539</v>
      </c>
      <c r="CO10" s="272">
        <v>110518</v>
      </c>
      <c r="CP10" s="272">
        <v>2376358</v>
      </c>
      <c r="CQ10" s="272">
        <v>1028695</v>
      </c>
      <c r="CR10" s="272">
        <v>406059</v>
      </c>
      <c r="CS10" s="272">
        <v>321565</v>
      </c>
      <c r="CT10" s="455">
        <f t="shared" si="8"/>
        <v>656038</v>
      </c>
      <c r="CU10" s="272">
        <v>5606</v>
      </c>
      <c r="CV10" s="272">
        <v>650432</v>
      </c>
      <c r="CW10" s="455">
        <f t="shared" si="9"/>
        <v>637249</v>
      </c>
      <c r="CX10" s="272">
        <v>0</v>
      </c>
      <c r="CY10" s="272">
        <v>637249</v>
      </c>
      <c r="CZ10" s="455">
        <f t="shared" si="10"/>
        <v>0</v>
      </c>
      <c r="DA10" s="272">
        <v>0</v>
      </c>
      <c r="DB10" s="272">
        <v>0</v>
      </c>
      <c r="DC10" s="272">
        <v>6149419</v>
      </c>
      <c r="DD10" s="272">
        <v>1737650</v>
      </c>
      <c r="DE10" s="272">
        <v>4243769</v>
      </c>
      <c r="DF10" s="272">
        <v>168000</v>
      </c>
      <c r="DG10" s="272">
        <v>0</v>
      </c>
      <c r="DH10" s="272">
        <v>0</v>
      </c>
      <c r="DI10" s="272">
        <v>930150</v>
      </c>
      <c r="DJ10" s="272">
        <v>218000</v>
      </c>
      <c r="DK10" s="272">
        <v>220000</v>
      </c>
      <c r="DL10" s="272">
        <v>492150</v>
      </c>
      <c r="DM10" s="272">
        <v>132260</v>
      </c>
      <c r="DN10" s="272">
        <v>0</v>
      </c>
      <c r="DO10" s="272">
        <v>0</v>
      </c>
      <c r="DP10" s="272">
        <v>0</v>
      </c>
      <c r="DQ10" s="272">
        <v>840000</v>
      </c>
      <c r="DR10" s="272">
        <v>0</v>
      </c>
      <c r="DS10" s="272">
        <v>0</v>
      </c>
      <c r="DT10" s="272">
        <v>2265317</v>
      </c>
      <c r="DU10" s="272">
        <v>1680276</v>
      </c>
      <c r="DV10" s="455">
        <f t="shared" si="11"/>
        <v>0</v>
      </c>
      <c r="DW10" s="272">
        <v>0</v>
      </c>
      <c r="DX10" s="272">
        <v>0</v>
      </c>
      <c r="DY10" s="272">
        <v>33212</v>
      </c>
      <c r="DZ10" s="272">
        <v>286386</v>
      </c>
      <c r="EA10" s="272">
        <v>249048</v>
      </c>
      <c r="EB10" s="272"/>
      <c r="EC10" s="272">
        <v>0</v>
      </c>
      <c r="ED10" s="272">
        <v>25525179</v>
      </c>
      <c r="EF10" s="272">
        <v>266907</v>
      </c>
      <c r="EG10" s="272">
        <v>2892</v>
      </c>
      <c r="EH10" s="272">
        <v>264015</v>
      </c>
      <c r="EI10" s="272">
        <v>80639</v>
      </c>
      <c r="EJ10" s="272">
        <v>-296361</v>
      </c>
      <c r="EL10" s="272"/>
      <c r="EM10" s="272">
        <v>68375</v>
      </c>
      <c r="EN10" s="272">
        <v>1569522</v>
      </c>
      <c r="EO10" s="272">
        <v>244934</v>
      </c>
      <c r="EP10" s="455">
        <f t="shared" si="12"/>
        <v>964248</v>
      </c>
      <c r="EQ10" s="272">
        <v>13651228</v>
      </c>
      <c r="ER10" s="272">
        <v>-3369733</v>
      </c>
      <c r="ES10" s="272">
        <v>5801769</v>
      </c>
      <c r="ET10" s="272">
        <v>4199973</v>
      </c>
      <c r="EU10" s="272">
        <v>849783</v>
      </c>
      <c r="EV10" s="272">
        <v>1721186</v>
      </c>
      <c r="EW10" s="455">
        <f t="shared" si="13"/>
        <v>1277475</v>
      </c>
      <c r="EX10" s="272">
        <v>1277475</v>
      </c>
      <c r="EY10" s="272">
        <v>16502</v>
      </c>
      <c r="EZ10" s="272">
        <v>1251973</v>
      </c>
      <c r="FA10" s="272">
        <v>0</v>
      </c>
      <c r="FB10" s="272"/>
      <c r="FC10" s="272">
        <v>1616546</v>
      </c>
      <c r="FD10" s="272">
        <v>2054290</v>
      </c>
      <c r="FE10" s="272">
        <v>1028695</v>
      </c>
      <c r="FF10" s="272">
        <v>2235716</v>
      </c>
      <c r="FG10" s="455">
        <f t="shared" si="14"/>
        <v>1197289</v>
      </c>
      <c r="FH10" s="272">
        <v>16754054</v>
      </c>
      <c r="FI10" s="384">
        <f t="shared" si="15"/>
        <v>2.1</v>
      </c>
      <c r="FJ10" s="272">
        <v>12533493</v>
      </c>
      <c r="FK10" s="272"/>
      <c r="FL10" s="272">
        <v>8114696</v>
      </c>
      <c r="FM10" s="272">
        <v>9908418</v>
      </c>
      <c r="FN10" s="460">
        <v>0.81499999999999995</v>
      </c>
      <c r="FO10" s="388">
        <v>99.6</v>
      </c>
      <c r="FP10" s="388">
        <v>43.4</v>
      </c>
      <c r="FQ10" s="388">
        <v>6.8</v>
      </c>
      <c r="FR10" s="388">
        <v>14</v>
      </c>
      <c r="FS10" s="388">
        <v>9.6</v>
      </c>
      <c r="FT10" s="388">
        <v>12.7</v>
      </c>
      <c r="FU10" s="388">
        <v>12.2</v>
      </c>
      <c r="FV10" s="388">
        <v>11.5</v>
      </c>
      <c r="FW10" s="272">
        <v>17904142</v>
      </c>
      <c r="FX10" s="384">
        <f t="shared" si="16"/>
        <v>142.9</v>
      </c>
      <c r="FY10" s="272">
        <v>2577024</v>
      </c>
      <c r="FZ10" s="272">
        <v>491205</v>
      </c>
      <c r="GA10" s="272">
        <v>382200</v>
      </c>
      <c r="GB10" s="272">
        <v>1703619</v>
      </c>
      <c r="GC10" s="272"/>
      <c r="GD10" s="272">
        <v>11887673</v>
      </c>
      <c r="GE10" s="384">
        <f t="shared" si="17"/>
        <v>94.8</v>
      </c>
      <c r="GF10" s="388">
        <v>97.9</v>
      </c>
      <c r="GG10" s="388">
        <v>25.2</v>
      </c>
      <c r="GH10" s="388">
        <v>93.7</v>
      </c>
      <c r="GI10" s="272">
        <v>637</v>
      </c>
    </row>
    <row r="11" spans="2:191" x14ac:dyDescent="0.15">
      <c r="B11" s="89" t="s">
        <v>15</v>
      </c>
      <c r="C11" s="272">
        <v>53185479</v>
      </c>
      <c r="D11" s="455">
        <f t="shared" si="0"/>
        <v>21658348</v>
      </c>
      <c r="E11" s="272">
        <v>273904</v>
      </c>
      <c r="F11" s="272">
        <v>21384444</v>
      </c>
      <c r="G11" s="455">
        <f t="shared" si="1"/>
        <v>4375600</v>
      </c>
      <c r="H11" s="272">
        <v>670793</v>
      </c>
      <c r="I11" s="272">
        <v>3704807</v>
      </c>
      <c r="J11" s="272">
        <v>19280422</v>
      </c>
      <c r="K11" s="272">
        <v>9901417</v>
      </c>
      <c r="L11" s="272">
        <v>6214707</v>
      </c>
      <c r="M11" s="272">
        <v>3008809</v>
      </c>
      <c r="N11" s="272">
        <v>1373670</v>
      </c>
      <c r="O11" s="272">
        <v>4699751</v>
      </c>
      <c r="P11" s="272">
        <v>3373995</v>
      </c>
      <c r="Q11" s="272">
        <v>1325756</v>
      </c>
      <c r="R11" s="272">
        <v>2108465</v>
      </c>
      <c r="S11" s="272">
        <v>1449466</v>
      </c>
      <c r="T11" s="455">
        <f t="shared" si="2"/>
        <v>3307212</v>
      </c>
      <c r="U11" s="272">
        <v>2151815</v>
      </c>
      <c r="V11" s="272"/>
      <c r="W11" s="272"/>
      <c r="X11" s="272"/>
      <c r="Y11" s="272">
        <v>134587</v>
      </c>
      <c r="Z11" s="272">
        <v>22422</v>
      </c>
      <c r="AA11" s="272">
        <v>998388</v>
      </c>
      <c r="AB11" s="272"/>
      <c r="AC11" s="272">
        <v>1558553</v>
      </c>
      <c r="AD11" s="272">
        <v>1219021</v>
      </c>
      <c r="AE11" s="272">
        <v>339532</v>
      </c>
      <c r="AF11" s="272">
        <v>75329</v>
      </c>
      <c r="AG11" s="272">
        <v>696910</v>
      </c>
      <c r="AH11" s="455">
        <f t="shared" si="3"/>
        <v>2092208</v>
      </c>
      <c r="AI11" s="272">
        <v>1316696</v>
      </c>
      <c r="AJ11" s="272">
        <v>775512</v>
      </c>
      <c r="AK11" s="272">
        <v>6455501</v>
      </c>
      <c r="AL11" s="455">
        <f t="shared" si="4"/>
        <v>3072977</v>
      </c>
      <c r="AM11" s="272">
        <v>2183480</v>
      </c>
      <c r="AN11" s="272">
        <v>541741</v>
      </c>
      <c r="AO11" s="272">
        <v>0</v>
      </c>
      <c r="AP11" s="272">
        <v>347756</v>
      </c>
      <c r="AQ11" s="272">
        <v>989558</v>
      </c>
      <c r="AR11" s="272">
        <v>6908</v>
      </c>
      <c r="AS11" s="272">
        <v>0</v>
      </c>
      <c r="AT11" s="272">
        <v>4082667</v>
      </c>
      <c r="AU11" s="272">
        <v>1021465</v>
      </c>
      <c r="AV11" s="272">
        <v>273829</v>
      </c>
      <c r="AW11" s="272">
        <v>122090</v>
      </c>
      <c r="AX11" s="272">
        <v>3061202</v>
      </c>
      <c r="AY11" s="272">
        <v>612893</v>
      </c>
      <c r="AZ11" s="272">
        <v>2221455</v>
      </c>
      <c r="BA11" s="272">
        <v>1748901</v>
      </c>
      <c r="BB11" s="272">
        <v>382435</v>
      </c>
      <c r="BC11" s="272">
        <v>2152889</v>
      </c>
      <c r="BD11" s="272">
        <v>0</v>
      </c>
      <c r="BE11" s="272">
        <v>0</v>
      </c>
      <c r="BF11" s="272">
        <v>2111250</v>
      </c>
      <c r="BG11" s="272">
        <v>0</v>
      </c>
      <c r="BH11" s="272">
        <v>740788</v>
      </c>
      <c r="BI11" s="272">
        <v>321112</v>
      </c>
      <c r="BJ11" s="272">
        <v>4170713</v>
      </c>
      <c r="BK11" s="272">
        <v>2922601</v>
      </c>
      <c r="BL11" s="272">
        <v>30209</v>
      </c>
      <c r="BM11" s="272">
        <v>331721</v>
      </c>
      <c r="BN11" s="272">
        <v>14077900</v>
      </c>
      <c r="BO11" s="455">
        <f t="shared" si="5"/>
        <v>9726500</v>
      </c>
      <c r="BP11" s="455">
        <f t="shared" si="6"/>
        <v>4351400</v>
      </c>
      <c r="BQ11" s="272">
        <v>4351400</v>
      </c>
      <c r="BR11" s="272"/>
      <c r="BS11" s="272"/>
      <c r="BT11" s="272">
        <v>0</v>
      </c>
      <c r="BU11" s="272">
        <v>97308504</v>
      </c>
      <c r="BV11" s="272"/>
      <c r="BW11" s="272">
        <v>25986671</v>
      </c>
      <c r="BX11" s="272">
        <v>20065337</v>
      </c>
      <c r="BY11" s="272">
        <v>1101126</v>
      </c>
      <c r="BZ11" s="272">
        <v>830140</v>
      </c>
      <c r="CA11" s="272">
        <v>7462843</v>
      </c>
      <c r="CB11" s="272">
        <v>533094</v>
      </c>
      <c r="CC11" s="272">
        <v>1976635</v>
      </c>
      <c r="CD11" s="272">
        <v>1978293</v>
      </c>
      <c r="CE11" s="272">
        <v>2824615</v>
      </c>
      <c r="CF11" s="272">
        <v>4534</v>
      </c>
      <c r="CG11" s="272">
        <v>129771</v>
      </c>
      <c r="CH11" s="272">
        <v>11499923</v>
      </c>
      <c r="CI11" s="272">
        <v>7673548</v>
      </c>
      <c r="CJ11" s="455">
        <f t="shared" si="7"/>
        <v>3826375</v>
      </c>
      <c r="CK11" s="272">
        <v>12284603</v>
      </c>
      <c r="CL11" s="272">
        <v>6945156</v>
      </c>
      <c r="CM11" s="272">
        <v>301025</v>
      </c>
      <c r="CN11" s="272">
        <v>3203289</v>
      </c>
      <c r="CO11" s="272">
        <v>1414897</v>
      </c>
      <c r="CP11" s="272">
        <v>4215525</v>
      </c>
      <c r="CQ11" s="272">
        <v>42228</v>
      </c>
      <c r="CR11" s="272">
        <v>2787066</v>
      </c>
      <c r="CS11" s="272">
        <v>2764810</v>
      </c>
      <c r="CT11" s="455">
        <f t="shared" si="8"/>
        <v>998554</v>
      </c>
      <c r="CU11" s="272">
        <v>58435</v>
      </c>
      <c r="CV11" s="272">
        <v>940119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20100888</v>
      </c>
      <c r="DD11" s="272">
        <v>2268983</v>
      </c>
      <c r="DE11" s="272">
        <v>17561161</v>
      </c>
      <c r="DF11" s="272">
        <v>41050</v>
      </c>
      <c r="DG11" s="272">
        <v>229694</v>
      </c>
      <c r="DH11" s="272">
        <v>56718</v>
      </c>
      <c r="DI11" s="272">
        <v>3316489</v>
      </c>
      <c r="DJ11" s="272">
        <v>1050186</v>
      </c>
      <c r="DK11" s="272">
        <v>156101</v>
      </c>
      <c r="DL11" s="272">
        <v>2110202</v>
      </c>
      <c r="DM11" s="272">
        <v>223790</v>
      </c>
      <c r="DN11" s="272">
        <v>0</v>
      </c>
      <c r="DO11" s="272">
        <v>0</v>
      </c>
      <c r="DP11" s="272">
        <v>0</v>
      </c>
      <c r="DQ11" s="272">
        <v>2825241</v>
      </c>
      <c r="DR11" s="272">
        <v>0</v>
      </c>
      <c r="DS11" s="272">
        <v>0</v>
      </c>
      <c r="DT11" s="272">
        <v>6980714</v>
      </c>
      <c r="DU11" s="272">
        <v>4227308</v>
      </c>
      <c r="DV11" s="455">
        <f t="shared" si="11"/>
        <v>0</v>
      </c>
      <c r="DW11" s="272">
        <v>0</v>
      </c>
      <c r="DX11" s="272">
        <v>0</v>
      </c>
      <c r="DY11" s="272">
        <v>165000</v>
      </c>
      <c r="DZ11" s="272">
        <v>1506553</v>
      </c>
      <c r="EA11" s="272">
        <v>1042448</v>
      </c>
      <c r="EB11" s="272"/>
      <c r="EC11" s="272">
        <v>0</v>
      </c>
      <c r="ED11" s="272">
        <v>96368302</v>
      </c>
      <c r="EF11" s="272">
        <v>940202</v>
      </c>
      <c r="EG11" s="272">
        <v>541676</v>
      </c>
      <c r="EH11" s="272">
        <v>398526</v>
      </c>
      <c r="EI11" s="272">
        <v>77414</v>
      </c>
      <c r="EJ11" s="272">
        <v>1184100</v>
      </c>
      <c r="EL11" s="272"/>
      <c r="EM11" s="272">
        <v>360009</v>
      </c>
      <c r="EN11" s="272">
        <v>0</v>
      </c>
      <c r="EO11" s="272">
        <v>1754989</v>
      </c>
      <c r="EP11" s="455">
        <f t="shared" si="12"/>
        <v>3306053</v>
      </c>
      <c r="EQ11" s="272">
        <v>60235038</v>
      </c>
      <c r="ER11" s="272">
        <v>-9337113</v>
      </c>
      <c r="ES11" s="272">
        <v>23722292</v>
      </c>
      <c r="ET11" s="272">
        <v>17800958</v>
      </c>
      <c r="EU11" s="272">
        <v>1982504</v>
      </c>
      <c r="EV11" s="272">
        <v>10701001</v>
      </c>
      <c r="EW11" s="455">
        <f t="shared" si="13"/>
        <v>7123731</v>
      </c>
      <c r="EX11" s="272">
        <v>7075661</v>
      </c>
      <c r="EY11" s="272">
        <v>821652</v>
      </c>
      <c r="EZ11" s="272">
        <v>6245409</v>
      </c>
      <c r="FA11" s="272">
        <v>48070</v>
      </c>
      <c r="FB11" s="272"/>
      <c r="FC11" s="272">
        <v>9950343</v>
      </c>
      <c r="FD11" s="272">
        <v>3946215</v>
      </c>
      <c r="FE11" s="272">
        <v>42228</v>
      </c>
      <c r="FF11" s="272">
        <v>6829252</v>
      </c>
      <c r="FG11" s="455">
        <f t="shared" si="14"/>
        <v>4376611</v>
      </c>
      <c r="FH11" s="272">
        <v>68631949</v>
      </c>
      <c r="FI11" s="384">
        <f t="shared" si="15"/>
        <v>0.7</v>
      </c>
      <c r="FJ11" s="272">
        <v>56757232</v>
      </c>
      <c r="FK11" s="272"/>
      <c r="FL11" s="272">
        <v>41837988</v>
      </c>
      <c r="FM11" s="272">
        <v>43154092</v>
      </c>
      <c r="FN11" s="460">
        <v>0.96199999999999997</v>
      </c>
      <c r="FO11" s="388">
        <v>93.3</v>
      </c>
      <c r="FP11" s="388">
        <v>42.1</v>
      </c>
      <c r="FQ11" s="388">
        <v>3.6</v>
      </c>
      <c r="FR11" s="388">
        <v>14.3</v>
      </c>
      <c r="FS11" s="388">
        <v>17.2</v>
      </c>
      <c r="FT11" s="388">
        <v>6.5</v>
      </c>
      <c r="FU11" s="388">
        <v>7.2</v>
      </c>
      <c r="FV11" s="388">
        <v>9.5</v>
      </c>
      <c r="FW11" s="272">
        <v>70891336</v>
      </c>
      <c r="FX11" s="384">
        <f t="shared" si="16"/>
        <v>124.9</v>
      </c>
      <c r="FY11" s="272">
        <v>20779904</v>
      </c>
      <c r="FZ11" s="272">
        <v>4396699</v>
      </c>
      <c r="GA11" s="272">
        <v>1275931</v>
      </c>
      <c r="GB11" s="272">
        <v>15107274</v>
      </c>
      <c r="GC11" s="272"/>
      <c r="GD11" s="272">
        <v>12828934</v>
      </c>
      <c r="GE11" s="384">
        <f t="shared" si="17"/>
        <v>22.6</v>
      </c>
      <c r="GF11" s="388">
        <v>98.3</v>
      </c>
      <c r="GG11" s="388">
        <v>37.1</v>
      </c>
      <c r="GH11" s="388">
        <v>96.7</v>
      </c>
      <c r="GI11" s="272">
        <v>2601</v>
      </c>
    </row>
    <row r="12" spans="2:191" x14ac:dyDescent="0.15">
      <c r="B12" s="89" t="s">
        <v>17</v>
      </c>
      <c r="C12" s="272">
        <v>10070832</v>
      </c>
      <c r="D12" s="455">
        <f t="shared" si="0"/>
        <v>3470053</v>
      </c>
      <c r="E12" s="272">
        <v>57450</v>
      </c>
      <c r="F12" s="272">
        <v>3412603</v>
      </c>
      <c r="G12" s="455">
        <f t="shared" si="1"/>
        <v>706437</v>
      </c>
      <c r="H12" s="272">
        <v>155560</v>
      </c>
      <c r="I12" s="272">
        <v>550877</v>
      </c>
      <c r="J12" s="272">
        <v>4313913</v>
      </c>
      <c r="K12" s="272">
        <v>2133919</v>
      </c>
      <c r="L12" s="272">
        <v>1468917</v>
      </c>
      <c r="M12" s="272">
        <v>631309</v>
      </c>
      <c r="N12" s="272">
        <v>458816</v>
      </c>
      <c r="O12" s="272">
        <v>950877</v>
      </c>
      <c r="P12" s="272">
        <v>620595</v>
      </c>
      <c r="Q12" s="272">
        <v>330282</v>
      </c>
      <c r="R12" s="272">
        <v>521805</v>
      </c>
      <c r="S12" s="272">
        <v>361527</v>
      </c>
      <c r="T12" s="455">
        <f t="shared" si="2"/>
        <v>592763</v>
      </c>
      <c r="U12" s="272">
        <v>346234</v>
      </c>
      <c r="V12" s="272"/>
      <c r="W12" s="272"/>
      <c r="X12" s="272"/>
      <c r="Y12" s="272">
        <v>0</v>
      </c>
      <c r="Z12" s="272">
        <v>3561</v>
      </c>
      <c r="AA12" s="272">
        <v>242968</v>
      </c>
      <c r="AB12" s="272"/>
      <c r="AC12" s="272">
        <v>3625820</v>
      </c>
      <c r="AD12" s="272">
        <v>3239005</v>
      </c>
      <c r="AE12" s="272">
        <v>386815</v>
      </c>
      <c r="AF12" s="272">
        <v>23503</v>
      </c>
      <c r="AG12" s="272">
        <v>175524</v>
      </c>
      <c r="AH12" s="455">
        <f t="shared" si="3"/>
        <v>565739</v>
      </c>
      <c r="AI12" s="272">
        <v>518740</v>
      </c>
      <c r="AJ12" s="272">
        <v>46999</v>
      </c>
      <c r="AK12" s="272">
        <v>2183793</v>
      </c>
      <c r="AL12" s="455">
        <f t="shared" si="4"/>
        <v>1124193</v>
      </c>
      <c r="AM12" s="272">
        <v>799305</v>
      </c>
      <c r="AN12" s="272">
        <v>245278</v>
      </c>
      <c r="AO12" s="272">
        <v>0</v>
      </c>
      <c r="AP12" s="272">
        <v>79610</v>
      </c>
      <c r="AQ12" s="272">
        <v>655324</v>
      </c>
      <c r="AR12" s="272">
        <v>0</v>
      </c>
      <c r="AS12" s="272">
        <v>0</v>
      </c>
      <c r="AT12" s="272">
        <v>1443190</v>
      </c>
      <c r="AU12" s="272">
        <v>386194</v>
      </c>
      <c r="AV12" s="272">
        <v>123598</v>
      </c>
      <c r="AW12" s="272">
        <v>21210</v>
      </c>
      <c r="AX12" s="272">
        <v>1056996</v>
      </c>
      <c r="AY12" s="272">
        <v>311882</v>
      </c>
      <c r="AZ12" s="272">
        <v>132811</v>
      </c>
      <c r="BA12" s="272">
        <v>61580</v>
      </c>
      <c r="BB12" s="272">
        <v>312082</v>
      </c>
      <c r="BC12" s="272">
        <v>1193787</v>
      </c>
      <c r="BD12" s="272">
        <v>0</v>
      </c>
      <c r="BE12" s="272">
        <v>100000</v>
      </c>
      <c r="BF12" s="272">
        <v>890361</v>
      </c>
      <c r="BG12" s="272">
        <v>0</v>
      </c>
      <c r="BH12" s="272">
        <v>31311</v>
      </c>
      <c r="BI12" s="272">
        <v>20387</v>
      </c>
      <c r="BJ12" s="272">
        <v>727308</v>
      </c>
      <c r="BK12" s="272">
        <v>20046</v>
      </c>
      <c r="BL12" s="272">
        <v>83415</v>
      </c>
      <c r="BM12" s="272">
        <v>204796</v>
      </c>
      <c r="BN12" s="272">
        <v>3112000</v>
      </c>
      <c r="BO12" s="455">
        <f t="shared" si="5"/>
        <v>2434000</v>
      </c>
      <c r="BP12" s="455">
        <f t="shared" si="6"/>
        <v>678000</v>
      </c>
      <c r="BQ12" s="272">
        <v>678000</v>
      </c>
      <c r="BR12" s="272"/>
      <c r="BS12" s="272"/>
      <c r="BT12" s="272">
        <v>0</v>
      </c>
      <c r="BU12" s="272">
        <v>24712268</v>
      </c>
      <c r="BV12" s="272"/>
      <c r="BW12" s="272">
        <v>7478290</v>
      </c>
      <c r="BX12" s="272">
        <v>5099809</v>
      </c>
      <c r="BY12" s="272">
        <v>803087</v>
      </c>
      <c r="BZ12" s="272">
        <v>337994</v>
      </c>
      <c r="CA12" s="272">
        <v>2854533</v>
      </c>
      <c r="CB12" s="272">
        <v>371707</v>
      </c>
      <c r="CC12" s="272">
        <v>599075</v>
      </c>
      <c r="CD12" s="272">
        <v>802736</v>
      </c>
      <c r="CE12" s="272">
        <v>1051920</v>
      </c>
      <c r="CF12" s="272">
        <v>341</v>
      </c>
      <c r="CG12" s="272">
        <v>27354</v>
      </c>
      <c r="CH12" s="272">
        <v>3186664</v>
      </c>
      <c r="CI12" s="272">
        <v>1590575</v>
      </c>
      <c r="CJ12" s="455">
        <f t="shared" si="7"/>
        <v>1596089</v>
      </c>
      <c r="CK12" s="272">
        <v>2274817</v>
      </c>
      <c r="CL12" s="272">
        <v>1114765</v>
      </c>
      <c r="CM12" s="272">
        <v>116499</v>
      </c>
      <c r="CN12" s="272">
        <v>593651</v>
      </c>
      <c r="CO12" s="272">
        <v>147272</v>
      </c>
      <c r="CP12" s="272">
        <v>1905545</v>
      </c>
      <c r="CQ12" s="272">
        <v>443124</v>
      </c>
      <c r="CR12" s="272">
        <v>691958</v>
      </c>
      <c r="CS12" s="272">
        <v>513388</v>
      </c>
      <c r="CT12" s="455">
        <f t="shared" si="8"/>
        <v>359282</v>
      </c>
      <c r="CU12" s="272">
        <v>250966</v>
      </c>
      <c r="CV12" s="272">
        <v>108316</v>
      </c>
      <c r="CW12" s="455">
        <f t="shared" si="9"/>
        <v>350851</v>
      </c>
      <c r="CX12" s="272">
        <v>242535</v>
      </c>
      <c r="CY12" s="272">
        <v>108316</v>
      </c>
      <c r="CZ12" s="455">
        <f t="shared" si="10"/>
        <v>0</v>
      </c>
      <c r="DA12" s="272">
        <v>0</v>
      </c>
      <c r="DB12" s="272">
        <v>0</v>
      </c>
      <c r="DC12" s="272">
        <v>4614807</v>
      </c>
      <c r="DD12" s="272">
        <v>1195821</v>
      </c>
      <c r="DE12" s="272">
        <v>3247967</v>
      </c>
      <c r="DF12" s="272">
        <v>87604</v>
      </c>
      <c r="DG12" s="272">
        <v>83415</v>
      </c>
      <c r="DH12" s="272">
        <v>3</v>
      </c>
      <c r="DI12" s="272">
        <v>592274</v>
      </c>
      <c r="DJ12" s="272">
        <v>70997</v>
      </c>
      <c r="DK12" s="272">
        <v>13687</v>
      </c>
      <c r="DL12" s="272">
        <v>507590</v>
      </c>
      <c r="DM12" s="272">
        <v>2940</v>
      </c>
      <c r="DN12" s="272">
        <v>0</v>
      </c>
      <c r="DO12" s="272">
        <v>0</v>
      </c>
      <c r="DP12" s="272">
        <v>0</v>
      </c>
      <c r="DQ12" s="272">
        <v>7670</v>
      </c>
      <c r="DR12" s="272">
        <v>0</v>
      </c>
      <c r="DS12" s="272">
        <v>0</v>
      </c>
      <c r="DT12" s="272">
        <v>1611024</v>
      </c>
      <c r="DU12" s="272">
        <v>898000</v>
      </c>
      <c r="DV12" s="455">
        <f t="shared" si="11"/>
        <v>0</v>
      </c>
      <c r="DW12" s="272">
        <v>0</v>
      </c>
      <c r="DX12" s="272">
        <v>0</v>
      </c>
      <c r="DY12" s="272">
        <v>0</v>
      </c>
      <c r="DZ12" s="272">
        <v>378326</v>
      </c>
      <c r="EA12" s="272">
        <v>317493</v>
      </c>
      <c r="EB12" s="272"/>
      <c r="EC12" s="272">
        <v>0</v>
      </c>
      <c r="ED12" s="272">
        <v>24675839</v>
      </c>
      <c r="EF12" s="272">
        <v>36429</v>
      </c>
      <c r="EG12" s="272">
        <v>34649</v>
      </c>
      <c r="EH12" s="272">
        <v>1780</v>
      </c>
      <c r="EI12" s="272">
        <v>-18607</v>
      </c>
      <c r="EJ12" s="272">
        <v>52390</v>
      </c>
      <c r="EL12" s="272"/>
      <c r="EM12" s="272">
        <v>83132</v>
      </c>
      <c r="EN12" s="272">
        <v>100000</v>
      </c>
      <c r="EO12" s="272">
        <v>65368</v>
      </c>
      <c r="EP12" s="455">
        <f t="shared" si="12"/>
        <v>775223</v>
      </c>
      <c r="EQ12" s="272">
        <v>14834723</v>
      </c>
      <c r="ER12" s="272">
        <v>-1595088</v>
      </c>
      <c r="ES12" s="272">
        <v>7025081</v>
      </c>
      <c r="ET12" s="272">
        <v>4737939</v>
      </c>
      <c r="EU12" s="272">
        <v>795902</v>
      </c>
      <c r="EV12" s="272">
        <v>2603866</v>
      </c>
      <c r="EW12" s="455">
        <f t="shared" si="13"/>
        <v>649122</v>
      </c>
      <c r="EX12" s="272">
        <v>649119</v>
      </c>
      <c r="EY12" s="272">
        <v>8925</v>
      </c>
      <c r="EZ12" s="272">
        <v>598826</v>
      </c>
      <c r="FA12" s="272">
        <v>3</v>
      </c>
      <c r="FB12" s="272"/>
      <c r="FC12" s="272">
        <v>1905985</v>
      </c>
      <c r="FD12" s="272">
        <v>1651573</v>
      </c>
      <c r="FE12" s="272">
        <v>443124</v>
      </c>
      <c r="FF12" s="272">
        <v>1278482</v>
      </c>
      <c r="FG12" s="455">
        <f t="shared" si="14"/>
        <v>483391</v>
      </c>
      <c r="FH12" s="272">
        <v>16393402</v>
      </c>
      <c r="FI12" s="384">
        <f t="shared" si="15"/>
        <v>0</v>
      </c>
      <c r="FJ12" s="272">
        <v>13872025</v>
      </c>
      <c r="FK12" s="272"/>
      <c r="FL12" s="272">
        <v>8020869</v>
      </c>
      <c r="FM12" s="272">
        <v>11285653</v>
      </c>
      <c r="FN12" s="460">
        <v>0.70799999999999996</v>
      </c>
      <c r="FO12" s="388">
        <v>100.8</v>
      </c>
      <c r="FP12" s="388">
        <v>47.3</v>
      </c>
      <c r="FQ12" s="388">
        <v>5.8</v>
      </c>
      <c r="FR12" s="388">
        <v>19.2</v>
      </c>
      <c r="FS12" s="388">
        <v>11.7</v>
      </c>
      <c r="FT12" s="388">
        <v>9.1</v>
      </c>
      <c r="FU12" s="388">
        <v>6.8</v>
      </c>
      <c r="FV12" s="388">
        <v>14.1</v>
      </c>
      <c r="FW12" s="272">
        <v>30805089</v>
      </c>
      <c r="FX12" s="384">
        <f t="shared" si="16"/>
        <v>222.1</v>
      </c>
      <c r="FY12" s="272">
        <v>2620744</v>
      </c>
      <c r="FZ12" s="272">
        <v>620971</v>
      </c>
      <c r="GA12" s="272">
        <v>521968</v>
      </c>
      <c r="GB12" s="272">
        <v>1477805</v>
      </c>
      <c r="GC12" s="272"/>
      <c r="GD12" s="272">
        <v>6141333</v>
      </c>
      <c r="GE12" s="384">
        <f t="shared" si="17"/>
        <v>44.3</v>
      </c>
      <c r="GF12" s="388">
        <v>97.3</v>
      </c>
      <c r="GG12" s="388">
        <v>22.4</v>
      </c>
      <c r="GH12" s="388">
        <v>93.1</v>
      </c>
      <c r="GI12" s="272">
        <v>707</v>
      </c>
    </row>
    <row r="13" spans="2:191" x14ac:dyDescent="0.15">
      <c r="B13" s="89" t="s">
        <v>19</v>
      </c>
      <c r="C13" s="272">
        <v>25175222</v>
      </c>
      <c r="D13" s="455">
        <f t="shared" si="0"/>
        <v>7166551</v>
      </c>
      <c r="E13" s="272">
        <v>121465</v>
      </c>
      <c r="F13" s="272">
        <v>7045086</v>
      </c>
      <c r="G13" s="455">
        <f t="shared" si="1"/>
        <v>3210430</v>
      </c>
      <c r="H13" s="272">
        <v>348595</v>
      </c>
      <c r="I13" s="272">
        <v>2861835</v>
      </c>
      <c r="J13" s="272">
        <v>10451142</v>
      </c>
      <c r="K13" s="272">
        <v>5038502</v>
      </c>
      <c r="L13" s="272">
        <v>3426175</v>
      </c>
      <c r="M13" s="272">
        <v>1709542</v>
      </c>
      <c r="N13" s="272">
        <v>912460</v>
      </c>
      <c r="O13" s="272">
        <v>2414897</v>
      </c>
      <c r="P13" s="272">
        <v>1633411</v>
      </c>
      <c r="Q13" s="272">
        <v>781486</v>
      </c>
      <c r="R13" s="272">
        <v>1059943</v>
      </c>
      <c r="S13" s="272">
        <v>799875</v>
      </c>
      <c r="T13" s="455">
        <f t="shared" si="2"/>
        <v>1151631</v>
      </c>
      <c r="U13" s="272">
        <v>743671</v>
      </c>
      <c r="V13" s="272"/>
      <c r="W13" s="272"/>
      <c r="X13" s="272"/>
      <c r="Y13" s="272">
        <v>0</v>
      </c>
      <c r="Z13" s="272">
        <v>14048</v>
      </c>
      <c r="AA13" s="272">
        <v>393912</v>
      </c>
      <c r="AB13" s="272"/>
      <c r="AC13" s="272">
        <v>2081138</v>
      </c>
      <c r="AD13" s="272">
        <v>1644773</v>
      </c>
      <c r="AE13" s="272">
        <v>436365</v>
      </c>
      <c r="AF13" s="272">
        <v>38164</v>
      </c>
      <c r="AG13" s="272">
        <v>2593397</v>
      </c>
      <c r="AH13" s="455">
        <f t="shared" si="3"/>
        <v>880188</v>
      </c>
      <c r="AI13" s="272">
        <v>758408</v>
      </c>
      <c r="AJ13" s="272">
        <v>121780</v>
      </c>
      <c r="AK13" s="272">
        <v>3917935</v>
      </c>
      <c r="AL13" s="455">
        <f t="shared" si="4"/>
        <v>2953094</v>
      </c>
      <c r="AM13" s="272">
        <v>2224763</v>
      </c>
      <c r="AN13" s="272">
        <v>496958</v>
      </c>
      <c r="AO13" s="272">
        <v>0</v>
      </c>
      <c r="AP13" s="272">
        <v>231373</v>
      </c>
      <c r="AQ13" s="272">
        <v>342057</v>
      </c>
      <c r="AR13" s="272">
        <v>3002</v>
      </c>
      <c r="AS13" s="272">
        <v>0</v>
      </c>
      <c r="AT13" s="272">
        <v>1807053</v>
      </c>
      <c r="AU13" s="272">
        <v>550789</v>
      </c>
      <c r="AV13" s="272">
        <v>179121</v>
      </c>
      <c r="AW13" s="272">
        <v>6202</v>
      </c>
      <c r="AX13" s="272">
        <v>1256264</v>
      </c>
      <c r="AY13" s="272">
        <v>152300</v>
      </c>
      <c r="AZ13" s="272">
        <v>242320</v>
      </c>
      <c r="BA13" s="272">
        <v>1144</v>
      </c>
      <c r="BB13" s="272">
        <v>252665</v>
      </c>
      <c r="BC13" s="272">
        <v>1985781</v>
      </c>
      <c r="BD13" s="272">
        <v>1100000</v>
      </c>
      <c r="BE13" s="272">
        <v>200000</v>
      </c>
      <c r="BF13" s="272">
        <v>685781</v>
      </c>
      <c r="BG13" s="470">
        <v>0</v>
      </c>
      <c r="BH13" s="272">
        <v>97785</v>
      </c>
      <c r="BI13" s="272">
        <v>77175</v>
      </c>
      <c r="BJ13" s="272">
        <v>640235</v>
      </c>
      <c r="BK13" s="272">
        <v>107815</v>
      </c>
      <c r="BL13" s="272">
        <v>0</v>
      </c>
      <c r="BM13" s="272">
        <v>242917</v>
      </c>
      <c r="BN13" s="272">
        <v>4104100</v>
      </c>
      <c r="BO13" s="455">
        <f t="shared" si="5"/>
        <v>2689200</v>
      </c>
      <c r="BP13" s="455">
        <f t="shared" si="6"/>
        <v>1414900</v>
      </c>
      <c r="BQ13" s="272">
        <v>1414900</v>
      </c>
      <c r="BR13" s="272"/>
      <c r="BS13" s="272"/>
      <c r="BT13" s="272">
        <v>0</v>
      </c>
      <c r="BU13" s="272">
        <v>46027557</v>
      </c>
      <c r="BV13" s="272"/>
      <c r="BW13" s="272">
        <v>16288123</v>
      </c>
      <c r="BX13" s="272">
        <v>12277167</v>
      </c>
      <c r="BY13" s="272">
        <v>903121</v>
      </c>
      <c r="BZ13" s="272">
        <v>532273</v>
      </c>
      <c r="CA13" s="272">
        <v>8187952</v>
      </c>
      <c r="CB13" s="272">
        <v>575666</v>
      </c>
      <c r="CC13" s="272">
        <v>1133952</v>
      </c>
      <c r="CD13" s="272">
        <v>904951</v>
      </c>
      <c r="CE13" s="272">
        <v>2963706</v>
      </c>
      <c r="CF13" s="272">
        <v>2478053</v>
      </c>
      <c r="CG13" s="272">
        <v>128709</v>
      </c>
      <c r="CH13" s="272">
        <v>4506777</v>
      </c>
      <c r="CI13" s="272">
        <v>2155357</v>
      </c>
      <c r="CJ13" s="455">
        <f t="shared" si="7"/>
        <v>2351420</v>
      </c>
      <c r="CK13" s="272">
        <v>3799710</v>
      </c>
      <c r="CL13" s="272">
        <v>1849034</v>
      </c>
      <c r="CM13" s="272">
        <v>243901</v>
      </c>
      <c r="CN13" s="272">
        <v>972391</v>
      </c>
      <c r="CO13" s="272">
        <v>335276</v>
      </c>
      <c r="CP13" s="272">
        <v>3654600</v>
      </c>
      <c r="CQ13" s="272">
        <v>2101880</v>
      </c>
      <c r="CR13" s="272">
        <v>742828</v>
      </c>
      <c r="CS13" s="272">
        <v>198931</v>
      </c>
      <c r="CT13" s="455">
        <f t="shared" si="8"/>
        <v>68237</v>
      </c>
      <c r="CU13" s="272">
        <v>68237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4469658</v>
      </c>
      <c r="DD13" s="272">
        <v>643540</v>
      </c>
      <c r="DE13" s="272">
        <v>3826118</v>
      </c>
      <c r="DF13" s="272">
        <v>0</v>
      </c>
      <c r="DG13" s="272">
        <v>0</v>
      </c>
      <c r="DH13" s="272">
        <v>56320</v>
      </c>
      <c r="DI13" s="272">
        <v>246979</v>
      </c>
      <c r="DJ13" s="272">
        <v>63975</v>
      </c>
      <c r="DK13" s="272">
        <v>11866</v>
      </c>
      <c r="DL13" s="272">
        <v>171138</v>
      </c>
      <c r="DM13" s="272">
        <v>555778</v>
      </c>
      <c r="DN13" s="272">
        <v>303168</v>
      </c>
      <c r="DO13" s="272">
        <v>303168</v>
      </c>
      <c r="DP13" s="272">
        <v>0</v>
      </c>
      <c r="DQ13" s="272">
        <v>80430</v>
      </c>
      <c r="DR13" s="272">
        <v>0</v>
      </c>
      <c r="DS13" s="272">
        <v>0</v>
      </c>
      <c r="DT13" s="272">
        <v>3717751</v>
      </c>
      <c r="DU13" s="272">
        <v>2393299</v>
      </c>
      <c r="DV13" s="455">
        <f t="shared" si="11"/>
        <v>0</v>
      </c>
      <c r="DW13" s="272">
        <v>0</v>
      </c>
      <c r="DX13" s="272">
        <v>0</v>
      </c>
      <c r="DY13" s="272">
        <v>0</v>
      </c>
      <c r="DZ13" s="272">
        <v>724539</v>
      </c>
      <c r="EA13" s="272">
        <v>576267</v>
      </c>
      <c r="EB13" s="272"/>
      <c r="EC13" s="272">
        <v>0</v>
      </c>
      <c r="ED13" s="272">
        <v>45899354</v>
      </c>
      <c r="EF13" s="272">
        <v>128203</v>
      </c>
      <c r="EG13" s="272">
        <v>6893</v>
      </c>
      <c r="EH13" s="272">
        <v>121310</v>
      </c>
      <c r="EI13" s="272">
        <v>-25865</v>
      </c>
      <c r="EJ13" s="272">
        <v>-1061890</v>
      </c>
      <c r="EL13" s="272"/>
      <c r="EM13" s="272">
        <v>154459</v>
      </c>
      <c r="EN13" s="272">
        <v>1600000</v>
      </c>
      <c r="EO13" s="272">
        <v>73795</v>
      </c>
      <c r="EP13" s="455">
        <f t="shared" si="12"/>
        <v>896956</v>
      </c>
      <c r="EQ13" s="272">
        <v>29506098</v>
      </c>
      <c r="ER13" s="272">
        <v>-3947487</v>
      </c>
      <c r="ES13" s="272">
        <v>14978666</v>
      </c>
      <c r="ET13" s="272">
        <v>11290166</v>
      </c>
      <c r="EU13" s="272">
        <v>1884182</v>
      </c>
      <c r="EV13" s="272">
        <v>4388513</v>
      </c>
      <c r="EW13" s="455">
        <f t="shared" si="13"/>
        <v>1582245</v>
      </c>
      <c r="EX13" s="272">
        <v>1549550</v>
      </c>
      <c r="EY13" s="272">
        <v>75943</v>
      </c>
      <c r="EZ13" s="272">
        <v>1473607</v>
      </c>
      <c r="FA13" s="272">
        <v>32695</v>
      </c>
      <c r="FB13" s="272"/>
      <c r="FC13" s="272">
        <v>3069926</v>
      </c>
      <c r="FD13" s="272">
        <v>3326281</v>
      </c>
      <c r="FE13" s="272">
        <v>2101880</v>
      </c>
      <c r="FF13" s="272">
        <v>3626059</v>
      </c>
      <c r="FG13" s="455">
        <f t="shared" si="14"/>
        <v>469510</v>
      </c>
      <c r="FH13" s="272">
        <v>33325382</v>
      </c>
      <c r="FI13" s="384">
        <f t="shared" si="15"/>
        <v>0.4</v>
      </c>
      <c r="FJ13" s="272">
        <v>27555511</v>
      </c>
      <c r="FK13" s="272"/>
      <c r="FL13" s="272">
        <v>19508800</v>
      </c>
      <c r="FM13" s="272">
        <v>21186013</v>
      </c>
      <c r="FN13" s="460">
        <v>0.92800000000000005</v>
      </c>
      <c r="FO13" s="388">
        <v>107.3</v>
      </c>
      <c r="FP13" s="388">
        <v>52.5</v>
      </c>
      <c r="FQ13" s="388">
        <v>5.8</v>
      </c>
      <c r="FR13" s="388">
        <v>16.3</v>
      </c>
      <c r="FS13" s="388">
        <v>8.6999999999999993</v>
      </c>
      <c r="FT13" s="388">
        <v>10.6</v>
      </c>
      <c r="FU13" s="388">
        <v>11.9</v>
      </c>
      <c r="FV13" s="388">
        <v>12.6</v>
      </c>
      <c r="FW13" s="272">
        <v>44165748</v>
      </c>
      <c r="FX13" s="384">
        <f t="shared" si="16"/>
        <v>160.30000000000001</v>
      </c>
      <c r="FY13" s="272">
        <v>4984937</v>
      </c>
      <c r="FZ13" s="272">
        <v>1532279</v>
      </c>
      <c r="GA13" s="272">
        <v>344145</v>
      </c>
      <c r="GB13" s="272">
        <v>3108513</v>
      </c>
      <c r="GC13" s="272"/>
      <c r="GD13" s="272">
        <v>11627675</v>
      </c>
      <c r="GE13" s="384">
        <f t="shared" si="17"/>
        <v>42.2</v>
      </c>
      <c r="GF13" s="388">
        <v>97.1</v>
      </c>
      <c r="GG13" s="388">
        <v>23.7</v>
      </c>
      <c r="GH13" s="388">
        <v>91.8</v>
      </c>
      <c r="GI13" s="272">
        <v>1600</v>
      </c>
    </row>
    <row r="14" spans="2:191" x14ac:dyDescent="0.15">
      <c r="B14" s="89" t="s">
        <v>21</v>
      </c>
      <c r="C14" s="272">
        <v>58020216</v>
      </c>
      <c r="D14" s="455">
        <f t="shared" si="0"/>
        <v>24818500</v>
      </c>
      <c r="E14" s="272">
        <v>286020</v>
      </c>
      <c r="F14" s="272">
        <v>24532480</v>
      </c>
      <c r="G14" s="455">
        <f t="shared" si="1"/>
        <v>3696304</v>
      </c>
      <c r="H14" s="272">
        <v>558932</v>
      </c>
      <c r="I14" s="272">
        <v>3137372</v>
      </c>
      <c r="J14" s="272">
        <v>20827598</v>
      </c>
      <c r="K14" s="272">
        <v>10410273</v>
      </c>
      <c r="L14" s="272">
        <v>7332723</v>
      </c>
      <c r="M14" s="272">
        <v>2629457</v>
      </c>
      <c r="N14" s="272">
        <v>1532295</v>
      </c>
      <c r="O14" s="272">
        <v>5384858</v>
      </c>
      <c r="P14" s="272">
        <v>3760324</v>
      </c>
      <c r="Q14" s="272">
        <v>1624534</v>
      </c>
      <c r="R14" s="272">
        <v>2203898</v>
      </c>
      <c r="S14" s="272">
        <v>1555434</v>
      </c>
      <c r="T14" s="455">
        <f t="shared" si="2"/>
        <v>3605572</v>
      </c>
      <c r="U14" s="272">
        <v>2408202</v>
      </c>
      <c r="V14" s="272"/>
      <c r="W14" s="272"/>
      <c r="X14" s="272"/>
      <c r="Y14" s="272">
        <v>194473</v>
      </c>
      <c r="Z14" s="272">
        <v>19875</v>
      </c>
      <c r="AA14" s="272">
        <v>983022</v>
      </c>
      <c r="AB14" s="272"/>
      <c r="AC14" s="272">
        <v>2094223</v>
      </c>
      <c r="AD14" s="272">
        <v>1935486</v>
      </c>
      <c r="AE14" s="272">
        <v>158737</v>
      </c>
      <c r="AF14" s="272">
        <v>81773</v>
      </c>
      <c r="AG14" s="272">
        <v>745172</v>
      </c>
      <c r="AH14" s="455">
        <f t="shared" si="3"/>
        <v>1741770</v>
      </c>
      <c r="AI14" s="272">
        <v>1369013</v>
      </c>
      <c r="AJ14" s="272">
        <v>372757</v>
      </c>
      <c r="AK14" s="272">
        <v>7817098</v>
      </c>
      <c r="AL14" s="455">
        <f t="shared" si="4"/>
        <v>4983729</v>
      </c>
      <c r="AM14" s="272">
        <v>3622242</v>
      </c>
      <c r="AN14" s="272">
        <v>940336</v>
      </c>
      <c r="AO14" s="272">
        <v>0</v>
      </c>
      <c r="AP14" s="272">
        <v>421151</v>
      </c>
      <c r="AQ14" s="272">
        <v>821743</v>
      </c>
      <c r="AR14" s="272">
        <v>0</v>
      </c>
      <c r="AS14" s="272">
        <v>0</v>
      </c>
      <c r="AT14" s="272">
        <v>5435661</v>
      </c>
      <c r="AU14" s="272">
        <v>2340090</v>
      </c>
      <c r="AV14" s="272">
        <v>474882</v>
      </c>
      <c r="AW14" s="272">
        <v>77971</v>
      </c>
      <c r="AX14" s="272">
        <v>3095571</v>
      </c>
      <c r="AY14" s="272">
        <v>773604</v>
      </c>
      <c r="AZ14" s="272">
        <v>841445</v>
      </c>
      <c r="BA14" s="272">
        <v>344607</v>
      </c>
      <c r="BB14" s="272">
        <v>147805</v>
      </c>
      <c r="BC14" s="272">
        <v>4206219</v>
      </c>
      <c r="BD14" s="272">
        <v>2400000</v>
      </c>
      <c r="BE14" s="272">
        <v>323881</v>
      </c>
      <c r="BF14" s="272">
        <v>768798</v>
      </c>
      <c r="BG14" s="272">
        <v>0</v>
      </c>
      <c r="BH14" s="272">
        <v>689260</v>
      </c>
      <c r="BI14" s="272">
        <v>89354</v>
      </c>
      <c r="BJ14" s="272">
        <v>4932135</v>
      </c>
      <c r="BK14" s="272">
        <v>4005878</v>
      </c>
      <c r="BL14" s="272">
        <v>665</v>
      </c>
      <c r="BM14" s="272">
        <v>328761</v>
      </c>
      <c r="BN14" s="272">
        <v>12446700</v>
      </c>
      <c r="BO14" s="455">
        <f t="shared" si="5"/>
        <v>7610900</v>
      </c>
      <c r="BP14" s="455">
        <f t="shared" si="6"/>
        <v>4835800</v>
      </c>
      <c r="BQ14" s="272">
        <v>4835800</v>
      </c>
      <c r="BR14" s="272"/>
      <c r="BS14" s="272"/>
      <c r="BT14" s="272">
        <v>0</v>
      </c>
      <c r="BU14" s="272">
        <v>105008947</v>
      </c>
      <c r="BV14" s="272"/>
      <c r="BW14" s="272">
        <v>29075769</v>
      </c>
      <c r="BX14" s="272">
        <v>21683261</v>
      </c>
      <c r="BY14" s="272">
        <v>1188124</v>
      </c>
      <c r="BZ14" s="272">
        <v>1913888</v>
      </c>
      <c r="CA14" s="272">
        <v>12164707</v>
      </c>
      <c r="CB14" s="272">
        <v>1230123</v>
      </c>
      <c r="CC14" s="272">
        <v>2339079</v>
      </c>
      <c r="CD14" s="272">
        <v>3478030</v>
      </c>
      <c r="CE14" s="272">
        <v>4862345</v>
      </c>
      <c r="CF14" s="272">
        <v>2381</v>
      </c>
      <c r="CG14" s="272">
        <v>230268</v>
      </c>
      <c r="CH14" s="272">
        <v>9103985</v>
      </c>
      <c r="CI14" s="272">
        <v>4379263</v>
      </c>
      <c r="CJ14" s="455">
        <f t="shared" si="7"/>
        <v>4724722</v>
      </c>
      <c r="CK14" s="272">
        <v>8722743</v>
      </c>
      <c r="CL14" s="272">
        <v>3916067</v>
      </c>
      <c r="CM14" s="272">
        <v>482591</v>
      </c>
      <c r="CN14" s="272">
        <v>2555910</v>
      </c>
      <c r="CO14" s="272">
        <v>1534095</v>
      </c>
      <c r="CP14" s="272">
        <v>10577984</v>
      </c>
      <c r="CQ14" s="272">
        <v>4460629</v>
      </c>
      <c r="CR14" s="272">
        <v>1847094</v>
      </c>
      <c r="CS14" s="272">
        <v>1564924</v>
      </c>
      <c r="CT14" s="455">
        <f t="shared" si="8"/>
        <v>2044312</v>
      </c>
      <c r="CU14" s="272">
        <v>1257588</v>
      </c>
      <c r="CV14" s="272">
        <v>786724</v>
      </c>
      <c r="CW14" s="455">
        <f t="shared" si="9"/>
        <v>1411372</v>
      </c>
      <c r="CX14" s="272">
        <v>1209198</v>
      </c>
      <c r="CY14" s="272">
        <v>202174</v>
      </c>
      <c r="CZ14" s="455">
        <f t="shared" si="10"/>
        <v>0</v>
      </c>
      <c r="DA14" s="272">
        <v>0</v>
      </c>
      <c r="DB14" s="272">
        <v>0</v>
      </c>
      <c r="DC14" s="272">
        <v>19166586</v>
      </c>
      <c r="DD14" s="272">
        <v>2002954</v>
      </c>
      <c r="DE14" s="272">
        <v>15514036</v>
      </c>
      <c r="DF14" s="272">
        <v>103846</v>
      </c>
      <c r="DG14" s="272">
        <v>1545750</v>
      </c>
      <c r="DH14" s="272">
        <v>26144</v>
      </c>
      <c r="DI14" s="272">
        <v>502655</v>
      </c>
      <c r="DJ14" s="272">
        <v>109047</v>
      </c>
      <c r="DK14" s="272">
        <v>0</v>
      </c>
      <c r="DL14" s="272">
        <v>393608</v>
      </c>
      <c r="DM14" s="272">
        <v>19920</v>
      </c>
      <c r="DN14" s="272">
        <v>13800</v>
      </c>
      <c r="DO14" s="272">
        <v>13800</v>
      </c>
      <c r="DP14" s="272">
        <v>0</v>
      </c>
      <c r="DQ14" s="272">
        <v>4000000</v>
      </c>
      <c r="DR14" s="272">
        <v>0</v>
      </c>
      <c r="DS14" s="272">
        <v>0</v>
      </c>
      <c r="DT14" s="272">
        <v>8939576</v>
      </c>
      <c r="DU14" s="272">
        <v>5994066</v>
      </c>
      <c r="DV14" s="455">
        <f t="shared" si="11"/>
        <v>0</v>
      </c>
      <c r="DW14" s="272">
        <v>0</v>
      </c>
      <c r="DX14" s="272">
        <v>0</v>
      </c>
      <c r="DY14" s="272">
        <v>52497</v>
      </c>
      <c r="DZ14" s="272">
        <v>1818316</v>
      </c>
      <c r="EA14" s="272">
        <v>1069373</v>
      </c>
      <c r="EB14" s="272"/>
      <c r="EC14" s="272">
        <v>0</v>
      </c>
      <c r="ED14" s="272">
        <v>103834164</v>
      </c>
      <c r="EF14" s="272">
        <v>1174783</v>
      </c>
      <c r="EG14" s="272">
        <v>1004898</v>
      </c>
      <c r="EH14" s="272">
        <v>169885</v>
      </c>
      <c r="EI14" s="272">
        <v>80531</v>
      </c>
      <c r="EJ14" s="272">
        <v>-2210422</v>
      </c>
      <c r="EL14" s="272"/>
      <c r="EM14" s="272">
        <v>394959</v>
      </c>
      <c r="EN14" s="272">
        <v>4037830</v>
      </c>
      <c r="EO14" s="272">
        <v>387959</v>
      </c>
      <c r="EP14" s="455">
        <f t="shared" si="12"/>
        <v>1373924</v>
      </c>
      <c r="EQ14" s="272">
        <v>66005682</v>
      </c>
      <c r="ER14" s="272">
        <v>-10553740</v>
      </c>
      <c r="ES14" s="272">
        <v>26940660</v>
      </c>
      <c r="ET14" s="272">
        <v>19698722</v>
      </c>
      <c r="EU14" s="272">
        <v>3947435</v>
      </c>
      <c r="EV14" s="272">
        <v>8972031</v>
      </c>
      <c r="EW14" s="455">
        <f t="shared" si="13"/>
        <v>8444297</v>
      </c>
      <c r="EX14" s="272">
        <v>8434100</v>
      </c>
      <c r="EY14" s="272">
        <v>345471</v>
      </c>
      <c r="EZ14" s="272">
        <v>7984783</v>
      </c>
      <c r="FA14" s="272">
        <v>10197</v>
      </c>
      <c r="FB14" s="272"/>
      <c r="FC14" s="272">
        <v>6988786</v>
      </c>
      <c r="FD14" s="272">
        <v>9899622</v>
      </c>
      <c r="FE14" s="272">
        <v>4460629</v>
      </c>
      <c r="FF14" s="272">
        <v>8816369</v>
      </c>
      <c r="FG14" s="455">
        <f t="shared" si="14"/>
        <v>1527439</v>
      </c>
      <c r="FH14" s="272">
        <v>75536639</v>
      </c>
      <c r="FI14" s="384">
        <f t="shared" si="15"/>
        <v>0.3</v>
      </c>
      <c r="FJ14" s="272">
        <v>63707985</v>
      </c>
      <c r="FK14" s="272"/>
      <c r="FL14" s="272">
        <v>46513207</v>
      </c>
      <c r="FM14" s="272">
        <v>48542296</v>
      </c>
      <c r="FN14" s="460">
        <v>0.96</v>
      </c>
      <c r="FO14" s="388">
        <v>97.5</v>
      </c>
      <c r="FP14" s="388">
        <v>43.4</v>
      </c>
      <c r="FQ14" s="388">
        <v>6.4</v>
      </c>
      <c r="FR14" s="388">
        <v>14.8</v>
      </c>
      <c r="FS14" s="388">
        <v>10.6</v>
      </c>
      <c r="FT14" s="388">
        <v>14.3</v>
      </c>
      <c r="FU14" s="388">
        <v>5.6</v>
      </c>
      <c r="FV14" s="388">
        <v>9.6999999999999993</v>
      </c>
      <c r="FW14" s="272">
        <v>87373053</v>
      </c>
      <c r="FX14" s="384">
        <f t="shared" si="16"/>
        <v>137.1</v>
      </c>
      <c r="FY14" s="272">
        <v>15908101</v>
      </c>
      <c r="FZ14" s="272">
        <v>140327</v>
      </c>
      <c r="GA14" s="272">
        <v>4358104</v>
      </c>
      <c r="GB14" s="272">
        <v>11409670</v>
      </c>
      <c r="GC14" s="272"/>
      <c r="GD14" s="272">
        <v>29747596</v>
      </c>
      <c r="GE14" s="384">
        <f t="shared" si="17"/>
        <v>46.7</v>
      </c>
      <c r="GF14" s="388">
        <v>97.4</v>
      </c>
      <c r="GG14" s="388">
        <v>22</v>
      </c>
      <c r="GH14" s="388">
        <v>92.4</v>
      </c>
      <c r="GI14" s="272">
        <v>2856</v>
      </c>
    </row>
    <row r="15" spans="2:191" x14ac:dyDescent="0.15">
      <c r="B15" s="89" t="s">
        <v>23</v>
      </c>
      <c r="C15" s="272">
        <v>45744865</v>
      </c>
      <c r="D15" s="455">
        <f t="shared" si="0"/>
        <v>16493824</v>
      </c>
      <c r="E15" s="272">
        <v>195600</v>
      </c>
      <c r="F15" s="272">
        <v>16298224</v>
      </c>
      <c r="G15" s="455">
        <f t="shared" si="1"/>
        <v>4968208</v>
      </c>
      <c r="H15" s="272">
        <v>645887</v>
      </c>
      <c r="I15" s="272">
        <v>4322321</v>
      </c>
      <c r="J15" s="272">
        <v>17869269</v>
      </c>
      <c r="K15" s="272">
        <v>8975567</v>
      </c>
      <c r="L15" s="272">
        <v>5917092</v>
      </c>
      <c r="M15" s="272">
        <v>2768664</v>
      </c>
      <c r="N15" s="272">
        <v>1163966</v>
      </c>
      <c r="O15" s="272">
        <v>3995083</v>
      </c>
      <c r="P15" s="272">
        <v>2726015</v>
      </c>
      <c r="Q15" s="272">
        <v>1269068</v>
      </c>
      <c r="R15" s="272">
        <v>1628819</v>
      </c>
      <c r="S15" s="272">
        <v>1171141</v>
      </c>
      <c r="T15" s="455">
        <f t="shared" si="2"/>
        <v>2558194</v>
      </c>
      <c r="U15" s="272">
        <v>1660884</v>
      </c>
      <c r="V15" s="272"/>
      <c r="W15" s="272"/>
      <c r="X15" s="272"/>
      <c r="Y15" s="272">
        <v>192113</v>
      </c>
      <c r="Z15" s="272">
        <v>11338</v>
      </c>
      <c r="AA15" s="272">
        <v>693859</v>
      </c>
      <c r="AB15" s="272"/>
      <c r="AC15" s="272">
        <v>240100</v>
      </c>
      <c r="AD15" s="272">
        <v>0</v>
      </c>
      <c r="AE15" s="272">
        <v>240100</v>
      </c>
      <c r="AF15" s="272">
        <v>53960</v>
      </c>
      <c r="AG15" s="272">
        <v>429462</v>
      </c>
      <c r="AH15" s="455">
        <f t="shared" si="3"/>
        <v>1827232</v>
      </c>
      <c r="AI15" s="272">
        <v>1532965</v>
      </c>
      <c r="AJ15" s="272">
        <v>294267</v>
      </c>
      <c r="AK15" s="272">
        <v>6086398</v>
      </c>
      <c r="AL15" s="455">
        <f t="shared" si="4"/>
        <v>2195823</v>
      </c>
      <c r="AM15" s="272">
        <v>1494213</v>
      </c>
      <c r="AN15" s="272">
        <v>454836</v>
      </c>
      <c r="AO15" s="272">
        <v>0</v>
      </c>
      <c r="AP15" s="272">
        <v>246774</v>
      </c>
      <c r="AQ15" s="272">
        <v>2364829</v>
      </c>
      <c r="AR15" s="272">
        <v>2850</v>
      </c>
      <c r="AS15" s="272">
        <v>0</v>
      </c>
      <c r="AT15" s="272">
        <v>4346678</v>
      </c>
      <c r="AU15" s="272">
        <v>1917953</v>
      </c>
      <c r="AV15" s="272">
        <v>230259</v>
      </c>
      <c r="AW15" s="272">
        <v>1073240</v>
      </c>
      <c r="AX15" s="272">
        <v>2428725</v>
      </c>
      <c r="AY15" s="272">
        <v>749080</v>
      </c>
      <c r="AZ15" s="272">
        <v>537061</v>
      </c>
      <c r="BA15" s="272">
        <v>28334</v>
      </c>
      <c r="BB15" s="272">
        <v>201292</v>
      </c>
      <c r="BC15" s="272">
        <v>2515262</v>
      </c>
      <c r="BD15" s="272">
        <v>0</v>
      </c>
      <c r="BE15" s="272">
        <v>0</v>
      </c>
      <c r="BF15" s="272">
        <v>2330000</v>
      </c>
      <c r="BG15" s="272">
        <v>0</v>
      </c>
      <c r="BH15" s="272">
        <v>941938</v>
      </c>
      <c r="BI15" s="272">
        <v>597055</v>
      </c>
      <c r="BJ15" s="272">
        <v>1925647</v>
      </c>
      <c r="BK15" s="272">
        <v>678767</v>
      </c>
      <c r="BL15" s="272">
        <v>58654</v>
      </c>
      <c r="BM15" s="272">
        <v>277379</v>
      </c>
      <c r="BN15" s="272">
        <v>10125700</v>
      </c>
      <c r="BO15" s="455">
        <f t="shared" si="5"/>
        <v>6925700</v>
      </c>
      <c r="BP15" s="455">
        <f t="shared" si="6"/>
        <v>3200000</v>
      </c>
      <c r="BQ15" s="272">
        <v>3200000</v>
      </c>
      <c r="BR15" s="272"/>
      <c r="BS15" s="272"/>
      <c r="BT15" s="272">
        <v>0</v>
      </c>
      <c r="BU15" s="272">
        <v>79162608</v>
      </c>
      <c r="BV15" s="272"/>
      <c r="BW15" s="272">
        <v>18741976</v>
      </c>
      <c r="BX15" s="272">
        <v>14374481</v>
      </c>
      <c r="BY15" s="272">
        <v>725910</v>
      </c>
      <c r="BZ15" s="272">
        <v>543779</v>
      </c>
      <c r="CA15" s="272">
        <v>5884939</v>
      </c>
      <c r="CB15" s="272">
        <v>854022</v>
      </c>
      <c r="CC15" s="272">
        <v>1332052</v>
      </c>
      <c r="CD15" s="272">
        <v>1654927</v>
      </c>
      <c r="CE15" s="272">
        <v>1933138</v>
      </c>
      <c r="CF15" s="272">
        <v>1981</v>
      </c>
      <c r="CG15" s="272">
        <v>100292</v>
      </c>
      <c r="CH15" s="272">
        <v>3237416</v>
      </c>
      <c r="CI15" s="272">
        <v>1728313</v>
      </c>
      <c r="CJ15" s="455">
        <f t="shared" si="7"/>
        <v>1509103</v>
      </c>
      <c r="CK15" s="272">
        <v>10271552</v>
      </c>
      <c r="CL15" s="272">
        <v>5459123</v>
      </c>
      <c r="CM15" s="272">
        <v>369426</v>
      </c>
      <c r="CN15" s="272">
        <v>3068571</v>
      </c>
      <c r="CO15" s="272">
        <v>1495017</v>
      </c>
      <c r="CP15" s="272">
        <v>2278469</v>
      </c>
      <c r="CQ15" s="272">
        <v>1465</v>
      </c>
      <c r="CR15" s="272">
        <v>1177880</v>
      </c>
      <c r="CS15" s="272">
        <v>887691</v>
      </c>
      <c r="CT15" s="455">
        <f t="shared" si="8"/>
        <v>269188</v>
      </c>
      <c r="CU15" s="272">
        <v>119188</v>
      </c>
      <c r="CV15" s="272">
        <v>150000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28070822</v>
      </c>
      <c r="DD15" s="272">
        <v>5507244</v>
      </c>
      <c r="DE15" s="272">
        <v>21819906</v>
      </c>
      <c r="DF15" s="272">
        <v>0</v>
      </c>
      <c r="DG15" s="272">
        <v>743672</v>
      </c>
      <c r="DH15" s="272">
        <v>101747</v>
      </c>
      <c r="DI15" s="272">
        <v>687670</v>
      </c>
      <c r="DJ15" s="272">
        <v>120200</v>
      </c>
      <c r="DK15" s="272">
        <v>0</v>
      </c>
      <c r="DL15" s="272">
        <v>567470</v>
      </c>
      <c r="DM15" s="272">
        <v>34370</v>
      </c>
      <c r="DN15" s="272">
        <v>0</v>
      </c>
      <c r="DO15" s="272">
        <v>0</v>
      </c>
      <c r="DP15" s="272">
        <v>0</v>
      </c>
      <c r="DQ15" s="272">
        <v>667169</v>
      </c>
      <c r="DR15" s="272">
        <v>0</v>
      </c>
      <c r="DS15" s="272">
        <v>0</v>
      </c>
      <c r="DT15" s="272">
        <v>6370208</v>
      </c>
      <c r="DU15" s="272">
        <v>4627584</v>
      </c>
      <c r="DV15" s="455">
        <f t="shared" si="11"/>
        <v>0</v>
      </c>
      <c r="DW15" s="272">
        <v>0</v>
      </c>
      <c r="DX15" s="272">
        <v>0</v>
      </c>
      <c r="DY15" s="272">
        <v>0</v>
      </c>
      <c r="DZ15" s="272">
        <v>1005000</v>
      </c>
      <c r="EA15" s="272">
        <v>700098</v>
      </c>
      <c r="EB15" s="272"/>
      <c r="EC15" s="272">
        <v>0</v>
      </c>
      <c r="ED15" s="272">
        <v>77841355</v>
      </c>
      <c r="EF15" s="272">
        <v>1321253</v>
      </c>
      <c r="EG15" s="272">
        <v>715227</v>
      </c>
      <c r="EH15" s="272">
        <v>606026</v>
      </c>
      <c r="EI15" s="272">
        <v>8971</v>
      </c>
      <c r="EJ15" s="272">
        <v>129171</v>
      </c>
      <c r="EL15" s="272"/>
      <c r="EM15" s="272">
        <v>251899</v>
      </c>
      <c r="EN15" s="272">
        <v>180990</v>
      </c>
      <c r="EO15" s="272">
        <v>44115</v>
      </c>
      <c r="EP15" s="455">
        <f t="shared" si="12"/>
        <v>2103063</v>
      </c>
      <c r="EQ15" s="272">
        <v>50225938</v>
      </c>
      <c r="ER15" s="272">
        <v>-5474208</v>
      </c>
      <c r="ES15" s="272">
        <v>16984224</v>
      </c>
      <c r="ET15" s="272">
        <v>12707373</v>
      </c>
      <c r="EU15" s="272">
        <v>1806281</v>
      </c>
      <c r="EV15" s="272">
        <v>3176164</v>
      </c>
      <c r="EW15" s="455">
        <f t="shared" si="13"/>
        <v>14327180</v>
      </c>
      <c r="EX15" s="272">
        <v>14247568</v>
      </c>
      <c r="EY15" s="272">
        <v>1075232</v>
      </c>
      <c r="EZ15" s="272">
        <v>13172336</v>
      </c>
      <c r="FA15" s="272">
        <v>79612</v>
      </c>
      <c r="FB15" s="272"/>
      <c r="FC15" s="272">
        <v>8119503</v>
      </c>
      <c r="FD15" s="272">
        <v>1969043</v>
      </c>
      <c r="FE15" s="272">
        <v>1465</v>
      </c>
      <c r="FF15" s="272">
        <v>6308196</v>
      </c>
      <c r="FG15" s="455">
        <f t="shared" si="14"/>
        <v>1688302</v>
      </c>
      <c r="FH15" s="272">
        <v>54378893</v>
      </c>
      <c r="FI15" s="384">
        <f t="shared" si="15"/>
        <v>1.2</v>
      </c>
      <c r="FJ15" s="272">
        <v>48594558</v>
      </c>
      <c r="FK15" s="272"/>
      <c r="FL15" s="272">
        <v>36575667</v>
      </c>
      <c r="FM15" s="272">
        <v>32056259</v>
      </c>
      <c r="FN15" s="460">
        <v>1.141</v>
      </c>
      <c r="FO15" s="388">
        <v>77.2</v>
      </c>
      <c r="FP15" s="388">
        <v>36.1</v>
      </c>
      <c r="FQ15" s="388">
        <v>3.9</v>
      </c>
      <c r="FR15" s="388">
        <v>6.9</v>
      </c>
      <c r="FS15" s="388">
        <v>17</v>
      </c>
      <c r="FT15" s="388">
        <v>3.2</v>
      </c>
      <c r="FU15" s="388">
        <v>7.1</v>
      </c>
      <c r="FV15" s="388">
        <v>3.8</v>
      </c>
      <c r="FW15" s="272">
        <v>33262242</v>
      </c>
      <c r="FX15" s="384">
        <f t="shared" si="16"/>
        <v>68.400000000000006</v>
      </c>
      <c r="FY15" s="272">
        <v>18373800</v>
      </c>
      <c r="FZ15" s="272">
        <v>5024100</v>
      </c>
      <c r="GA15" s="272"/>
      <c r="GB15" s="272">
        <v>13349700</v>
      </c>
      <c r="GC15" s="272"/>
      <c r="GD15" s="272">
        <v>18001451</v>
      </c>
      <c r="GE15" s="384">
        <f t="shared" si="17"/>
        <v>37</v>
      </c>
      <c r="GF15" s="388">
        <v>98.7</v>
      </c>
      <c r="GG15" s="388">
        <v>34.200000000000003</v>
      </c>
      <c r="GH15" s="388">
        <v>96.2</v>
      </c>
      <c r="GI15" s="272">
        <v>1936</v>
      </c>
    </row>
    <row r="16" spans="2:191" x14ac:dyDescent="0.15">
      <c r="B16" s="89" t="s">
        <v>25</v>
      </c>
      <c r="C16" s="272">
        <v>41566830</v>
      </c>
      <c r="D16" s="455">
        <f t="shared" si="0"/>
        <v>14671006</v>
      </c>
      <c r="E16" s="272">
        <v>200059</v>
      </c>
      <c r="F16" s="272">
        <v>14470947</v>
      </c>
      <c r="G16" s="455">
        <f t="shared" si="1"/>
        <v>3870258</v>
      </c>
      <c r="H16" s="272">
        <v>581921</v>
      </c>
      <c r="I16" s="272">
        <v>3288337</v>
      </c>
      <c r="J16" s="272">
        <v>17066080</v>
      </c>
      <c r="K16" s="272">
        <v>8813562</v>
      </c>
      <c r="L16" s="272">
        <v>5293831</v>
      </c>
      <c r="M16" s="272">
        <v>2720837</v>
      </c>
      <c r="N16" s="272">
        <v>1642243</v>
      </c>
      <c r="O16" s="272">
        <v>4004710</v>
      </c>
      <c r="P16" s="272">
        <v>2847362</v>
      </c>
      <c r="Q16" s="272">
        <v>1157348</v>
      </c>
      <c r="R16" s="272">
        <v>1839033</v>
      </c>
      <c r="S16" s="272">
        <v>1350175</v>
      </c>
      <c r="T16" s="455">
        <f t="shared" si="2"/>
        <v>2283570</v>
      </c>
      <c r="U16" s="272">
        <v>1537692</v>
      </c>
      <c r="V16" s="272"/>
      <c r="W16" s="272"/>
      <c r="X16" s="272"/>
      <c r="Y16" s="272">
        <v>0</v>
      </c>
      <c r="Z16" s="272">
        <v>6751</v>
      </c>
      <c r="AA16" s="272">
        <v>739127</v>
      </c>
      <c r="AB16" s="272"/>
      <c r="AC16" s="272">
        <v>2271899</v>
      </c>
      <c r="AD16" s="272">
        <v>1398934</v>
      </c>
      <c r="AE16" s="272">
        <v>872965</v>
      </c>
      <c r="AF16" s="272">
        <v>60738</v>
      </c>
      <c r="AG16" s="272">
        <v>2092535</v>
      </c>
      <c r="AH16" s="455">
        <f t="shared" si="3"/>
        <v>1686645</v>
      </c>
      <c r="AI16" s="272">
        <v>1043733</v>
      </c>
      <c r="AJ16" s="272">
        <v>642912</v>
      </c>
      <c r="AK16" s="272">
        <v>8171029</v>
      </c>
      <c r="AL16" s="455">
        <f t="shared" si="4"/>
        <v>4931032</v>
      </c>
      <c r="AM16" s="272">
        <v>3996102</v>
      </c>
      <c r="AN16" s="272">
        <v>609500</v>
      </c>
      <c r="AO16" s="272">
        <v>0</v>
      </c>
      <c r="AP16" s="272">
        <v>325430</v>
      </c>
      <c r="AQ16" s="272">
        <v>1384145</v>
      </c>
      <c r="AR16" s="272">
        <v>13511</v>
      </c>
      <c r="AS16" s="272">
        <v>49080</v>
      </c>
      <c r="AT16" s="272">
        <v>3794709</v>
      </c>
      <c r="AU16" s="272">
        <v>925798</v>
      </c>
      <c r="AV16" s="272">
        <v>306962</v>
      </c>
      <c r="AW16" s="272">
        <v>58445</v>
      </c>
      <c r="AX16" s="272">
        <v>2868911</v>
      </c>
      <c r="AY16" s="272">
        <v>585021</v>
      </c>
      <c r="AZ16" s="272">
        <v>275383</v>
      </c>
      <c r="BA16" s="272">
        <v>3475</v>
      </c>
      <c r="BB16" s="272">
        <v>755254</v>
      </c>
      <c r="BC16" s="272">
        <v>5314809</v>
      </c>
      <c r="BD16" s="272">
        <v>200000</v>
      </c>
      <c r="BE16" s="272">
        <v>0</v>
      </c>
      <c r="BF16" s="272">
        <v>5097349</v>
      </c>
      <c r="BG16" s="272">
        <v>0</v>
      </c>
      <c r="BH16" s="272">
        <v>180340</v>
      </c>
      <c r="BI16" s="272">
        <v>147450</v>
      </c>
      <c r="BJ16" s="272">
        <v>2779919</v>
      </c>
      <c r="BK16" s="272">
        <v>2095307</v>
      </c>
      <c r="BL16" s="272">
        <v>0</v>
      </c>
      <c r="BM16" s="272">
        <v>288073</v>
      </c>
      <c r="BN16" s="272">
        <v>9343700</v>
      </c>
      <c r="BO16" s="455">
        <f t="shared" si="5"/>
        <v>6604800</v>
      </c>
      <c r="BP16" s="455">
        <f t="shared" si="6"/>
        <v>2738900</v>
      </c>
      <c r="BQ16" s="272">
        <v>2738900</v>
      </c>
      <c r="BR16" s="272"/>
      <c r="BS16" s="272"/>
      <c r="BT16" s="272">
        <v>0</v>
      </c>
      <c r="BU16" s="272">
        <v>82465473</v>
      </c>
      <c r="BV16" s="272"/>
      <c r="BW16" s="272">
        <v>20986904</v>
      </c>
      <c r="BX16" s="272">
        <v>15757879</v>
      </c>
      <c r="BY16" s="272">
        <v>1139196</v>
      </c>
      <c r="BZ16" s="272">
        <v>860082</v>
      </c>
      <c r="CA16" s="272">
        <v>12198458</v>
      </c>
      <c r="CB16" s="272">
        <v>1089820</v>
      </c>
      <c r="CC16" s="272">
        <v>1696164</v>
      </c>
      <c r="CD16" s="272">
        <v>2139255</v>
      </c>
      <c r="CE16" s="272">
        <v>5299934</v>
      </c>
      <c r="CF16" s="272">
        <v>1672000</v>
      </c>
      <c r="CG16" s="272">
        <v>296966</v>
      </c>
      <c r="CH16" s="272">
        <v>7473855</v>
      </c>
      <c r="CI16" s="272">
        <v>3940678</v>
      </c>
      <c r="CJ16" s="455">
        <f t="shared" si="7"/>
        <v>3533177</v>
      </c>
      <c r="CK16" s="272">
        <v>8599732</v>
      </c>
      <c r="CL16" s="272">
        <v>4946857</v>
      </c>
      <c r="CM16" s="272">
        <v>624920</v>
      </c>
      <c r="CN16" s="272">
        <v>1925203</v>
      </c>
      <c r="CO16" s="272">
        <v>605076</v>
      </c>
      <c r="CP16" s="272">
        <v>2832952</v>
      </c>
      <c r="CQ16" s="272">
        <v>63111</v>
      </c>
      <c r="CR16" s="272">
        <v>955448</v>
      </c>
      <c r="CS16" s="272">
        <v>473676</v>
      </c>
      <c r="CT16" s="455">
        <f t="shared" si="8"/>
        <v>821132</v>
      </c>
      <c r="CU16" s="272">
        <v>814585</v>
      </c>
      <c r="CV16" s="272">
        <v>6547</v>
      </c>
      <c r="CW16" s="455">
        <f t="shared" si="9"/>
        <v>721402</v>
      </c>
      <c r="CX16" s="272">
        <v>714855</v>
      </c>
      <c r="CY16" s="272">
        <v>6547</v>
      </c>
      <c r="CZ16" s="455">
        <f t="shared" si="10"/>
        <v>0</v>
      </c>
      <c r="DA16" s="272">
        <v>0</v>
      </c>
      <c r="DB16" s="272">
        <v>0</v>
      </c>
      <c r="DC16" s="272">
        <v>15322323</v>
      </c>
      <c r="DD16" s="272">
        <v>2792230</v>
      </c>
      <c r="DE16" s="272">
        <v>12342199</v>
      </c>
      <c r="DF16" s="272">
        <v>58908</v>
      </c>
      <c r="DG16" s="272">
        <v>96486</v>
      </c>
      <c r="DH16" s="272">
        <v>28928</v>
      </c>
      <c r="DI16" s="272">
        <v>5906623</v>
      </c>
      <c r="DJ16" s="272">
        <v>153936</v>
      </c>
      <c r="DK16" s="272">
        <v>0</v>
      </c>
      <c r="DL16" s="272">
        <v>5752687</v>
      </c>
      <c r="DM16" s="272">
        <v>10420</v>
      </c>
      <c r="DN16" s="272">
        <v>0</v>
      </c>
      <c r="DO16" s="272">
        <v>0</v>
      </c>
      <c r="DP16" s="272">
        <v>0</v>
      </c>
      <c r="DQ16" s="272">
        <v>2083959</v>
      </c>
      <c r="DR16" s="272">
        <v>0</v>
      </c>
      <c r="DS16" s="272">
        <v>0</v>
      </c>
      <c r="DT16" s="272">
        <v>6232199</v>
      </c>
      <c r="DU16" s="272">
        <v>3887357</v>
      </c>
      <c r="DV16" s="455">
        <f t="shared" si="11"/>
        <v>0</v>
      </c>
      <c r="DW16" s="272">
        <v>0</v>
      </c>
      <c r="DX16" s="272">
        <v>0</v>
      </c>
      <c r="DY16" s="272">
        <v>0</v>
      </c>
      <c r="DZ16" s="272">
        <v>1422091</v>
      </c>
      <c r="EA16" s="272">
        <v>912751</v>
      </c>
      <c r="EB16" s="272"/>
      <c r="EC16" s="272">
        <v>0</v>
      </c>
      <c r="ED16" s="272">
        <v>82281429</v>
      </c>
      <c r="EF16" s="272">
        <v>184044</v>
      </c>
      <c r="EG16" s="272">
        <v>2907</v>
      </c>
      <c r="EH16" s="272">
        <v>181137</v>
      </c>
      <c r="EI16" s="272">
        <v>33687</v>
      </c>
      <c r="EJ16" s="272">
        <v>-12377</v>
      </c>
      <c r="EL16" s="272"/>
      <c r="EM16" s="272">
        <v>269302</v>
      </c>
      <c r="EN16" s="272">
        <v>200460</v>
      </c>
      <c r="EO16" s="272">
        <v>9030</v>
      </c>
      <c r="EP16" s="455">
        <f t="shared" si="12"/>
        <v>1236901</v>
      </c>
      <c r="EQ16" s="272">
        <v>48071150</v>
      </c>
      <c r="ER16" s="272">
        <v>-4075473</v>
      </c>
      <c r="ES16" s="272">
        <v>19276940</v>
      </c>
      <c r="ET16" s="272">
        <v>14397230</v>
      </c>
      <c r="EU16" s="272">
        <v>3174153</v>
      </c>
      <c r="EV16" s="272">
        <v>6970324</v>
      </c>
      <c r="EW16" s="455">
        <f t="shared" si="13"/>
        <v>5700495</v>
      </c>
      <c r="EX16" s="272">
        <v>5699963</v>
      </c>
      <c r="EY16" s="272">
        <v>225740</v>
      </c>
      <c r="EZ16" s="272">
        <v>5401645</v>
      </c>
      <c r="FA16" s="272">
        <v>532</v>
      </c>
      <c r="FB16" s="272"/>
      <c r="FC16" s="272">
        <v>6852996</v>
      </c>
      <c r="FD16" s="272">
        <v>2403932</v>
      </c>
      <c r="FE16" s="272">
        <v>63111</v>
      </c>
      <c r="FF16" s="272">
        <v>6117989</v>
      </c>
      <c r="FG16" s="455">
        <f t="shared" si="14"/>
        <v>1465750</v>
      </c>
      <c r="FH16" s="272">
        <v>51962579</v>
      </c>
      <c r="FI16" s="384">
        <f t="shared" si="15"/>
        <v>0.4</v>
      </c>
      <c r="FJ16" s="272">
        <v>44872191</v>
      </c>
      <c r="FK16" s="272"/>
      <c r="FL16" s="272">
        <v>32746989</v>
      </c>
      <c r="FM16" s="272">
        <v>34179490</v>
      </c>
      <c r="FN16" s="460">
        <v>0.97499999999999998</v>
      </c>
      <c r="FO16" s="388">
        <v>94.6</v>
      </c>
      <c r="FP16" s="388">
        <v>42.9</v>
      </c>
      <c r="FQ16" s="388">
        <v>7.3</v>
      </c>
      <c r="FR16" s="388">
        <v>16</v>
      </c>
      <c r="FS16" s="388">
        <v>14.7</v>
      </c>
      <c r="FT16" s="388">
        <v>3.9</v>
      </c>
      <c r="FU16" s="388">
        <v>8.5</v>
      </c>
      <c r="FV16" s="388">
        <v>12.6</v>
      </c>
      <c r="FW16" s="272">
        <v>65606607</v>
      </c>
      <c r="FX16" s="384">
        <f t="shared" si="16"/>
        <v>146.19999999999999</v>
      </c>
      <c r="FY16" s="272">
        <v>11751129</v>
      </c>
      <c r="FZ16" s="272">
        <v>2975132</v>
      </c>
      <c r="GA16" s="272"/>
      <c r="GB16" s="272">
        <v>8775997</v>
      </c>
      <c r="GC16" s="272"/>
      <c r="GD16" s="272">
        <v>36860772</v>
      </c>
      <c r="GE16" s="384">
        <f t="shared" si="17"/>
        <v>82.1</v>
      </c>
      <c r="GF16" s="388">
        <v>97.9</v>
      </c>
      <c r="GG16" s="388">
        <v>34.6</v>
      </c>
      <c r="GH16" s="388">
        <v>95.5</v>
      </c>
      <c r="GI16" s="272">
        <v>1997</v>
      </c>
    </row>
    <row r="17" spans="2:191" x14ac:dyDescent="0.15">
      <c r="B17" s="89" t="s">
        <v>27</v>
      </c>
      <c r="C17" s="272">
        <v>14149595</v>
      </c>
      <c r="D17" s="455">
        <f t="shared" si="0"/>
        <v>3890591</v>
      </c>
      <c r="E17" s="272">
        <v>62021</v>
      </c>
      <c r="F17" s="272">
        <v>3828570</v>
      </c>
      <c r="G17" s="455">
        <f t="shared" si="1"/>
        <v>1486922</v>
      </c>
      <c r="H17" s="272">
        <v>333732</v>
      </c>
      <c r="I17" s="272">
        <v>1153190</v>
      </c>
      <c r="J17" s="272">
        <v>6907720</v>
      </c>
      <c r="K17" s="272">
        <v>3780653</v>
      </c>
      <c r="L17" s="272">
        <v>1799443</v>
      </c>
      <c r="M17" s="272">
        <v>1210844</v>
      </c>
      <c r="N17" s="272">
        <v>468993</v>
      </c>
      <c r="O17" s="272">
        <v>1165981</v>
      </c>
      <c r="P17" s="272">
        <v>802344</v>
      </c>
      <c r="Q17" s="272">
        <v>363637</v>
      </c>
      <c r="R17" s="272">
        <v>601615</v>
      </c>
      <c r="S17" s="272">
        <v>433137</v>
      </c>
      <c r="T17" s="455">
        <f t="shared" si="2"/>
        <v>810589</v>
      </c>
      <c r="U17" s="272">
        <v>478195</v>
      </c>
      <c r="V17" s="272"/>
      <c r="W17" s="272"/>
      <c r="X17" s="272"/>
      <c r="Y17" s="272">
        <v>73965</v>
      </c>
      <c r="Z17" s="272">
        <v>10420</v>
      </c>
      <c r="AA17" s="272">
        <v>248009</v>
      </c>
      <c r="AB17" s="272"/>
      <c r="AC17" s="272">
        <v>1806919</v>
      </c>
      <c r="AD17" s="272">
        <v>1162607</v>
      </c>
      <c r="AE17" s="272">
        <v>644312</v>
      </c>
      <c r="AF17" s="272">
        <v>22006</v>
      </c>
      <c r="AG17" s="272">
        <v>256567</v>
      </c>
      <c r="AH17" s="455">
        <f t="shared" si="3"/>
        <v>743988</v>
      </c>
      <c r="AI17" s="272">
        <v>673589</v>
      </c>
      <c r="AJ17" s="272">
        <v>70399</v>
      </c>
      <c r="AK17" s="272">
        <v>3428193</v>
      </c>
      <c r="AL17" s="455">
        <f t="shared" si="4"/>
        <v>1255346</v>
      </c>
      <c r="AM17" s="272">
        <v>773158</v>
      </c>
      <c r="AN17" s="272">
        <v>366642</v>
      </c>
      <c r="AO17" s="272">
        <v>0</v>
      </c>
      <c r="AP17" s="272">
        <v>115546</v>
      </c>
      <c r="AQ17" s="272">
        <v>1613731</v>
      </c>
      <c r="AR17" s="272">
        <v>395</v>
      </c>
      <c r="AS17" s="272">
        <v>0</v>
      </c>
      <c r="AT17" s="272">
        <v>4497903</v>
      </c>
      <c r="AU17" s="272">
        <v>1725265</v>
      </c>
      <c r="AV17" s="272">
        <v>185339</v>
      </c>
      <c r="AW17" s="272">
        <v>198758</v>
      </c>
      <c r="AX17" s="272">
        <v>2772638</v>
      </c>
      <c r="AY17" s="272">
        <v>1844102</v>
      </c>
      <c r="AZ17" s="272">
        <v>528823</v>
      </c>
      <c r="BA17" s="272">
        <v>367114</v>
      </c>
      <c r="BB17" s="272">
        <v>536379</v>
      </c>
      <c r="BC17" s="272">
        <v>2665790</v>
      </c>
      <c r="BD17" s="272">
        <v>0</v>
      </c>
      <c r="BE17" s="272">
        <v>900000</v>
      </c>
      <c r="BF17" s="272">
        <v>1765790</v>
      </c>
      <c r="BG17" s="272">
        <v>0</v>
      </c>
      <c r="BH17" s="272">
        <v>77583</v>
      </c>
      <c r="BI17" s="272">
        <v>75939</v>
      </c>
      <c r="BJ17" s="272">
        <v>3497297</v>
      </c>
      <c r="BK17" s="272">
        <v>77908</v>
      </c>
      <c r="BL17" s="272">
        <v>0</v>
      </c>
      <c r="BM17" s="272">
        <v>208258</v>
      </c>
      <c r="BN17" s="272">
        <v>12218500</v>
      </c>
      <c r="BO17" s="455">
        <f t="shared" si="5"/>
        <v>11488400</v>
      </c>
      <c r="BP17" s="455">
        <f t="shared" si="6"/>
        <v>730100</v>
      </c>
      <c r="BQ17" s="272">
        <v>730100</v>
      </c>
      <c r="BR17" s="272"/>
      <c r="BS17" s="272"/>
      <c r="BT17" s="272">
        <v>0</v>
      </c>
      <c r="BU17" s="272">
        <v>45841747</v>
      </c>
      <c r="BV17" s="272"/>
      <c r="BW17" s="272">
        <v>9189263</v>
      </c>
      <c r="BX17" s="272">
        <v>6732707</v>
      </c>
      <c r="BY17" s="272">
        <v>489916</v>
      </c>
      <c r="BZ17" s="272">
        <v>453331</v>
      </c>
      <c r="CA17" s="272">
        <v>3397707</v>
      </c>
      <c r="CB17" s="272">
        <v>317449</v>
      </c>
      <c r="CC17" s="272">
        <v>853359</v>
      </c>
      <c r="CD17" s="272">
        <v>1150797</v>
      </c>
      <c r="CE17" s="272">
        <v>1029983</v>
      </c>
      <c r="CF17" s="272">
        <v>6673</v>
      </c>
      <c r="CG17" s="272">
        <v>37716</v>
      </c>
      <c r="CH17" s="272">
        <v>2665911</v>
      </c>
      <c r="CI17" s="272">
        <v>1436803</v>
      </c>
      <c r="CJ17" s="455">
        <f t="shared" si="7"/>
        <v>1229108</v>
      </c>
      <c r="CK17" s="272">
        <v>2469417</v>
      </c>
      <c r="CL17" s="272">
        <v>1049538</v>
      </c>
      <c r="CM17" s="272">
        <v>47557</v>
      </c>
      <c r="CN17" s="272">
        <v>729772</v>
      </c>
      <c r="CO17" s="272">
        <v>176794</v>
      </c>
      <c r="CP17" s="272">
        <v>3064268</v>
      </c>
      <c r="CQ17" s="272">
        <v>1338944</v>
      </c>
      <c r="CR17" s="272">
        <v>817537</v>
      </c>
      <c r="CS17" s="272">
        <v>639949</v>
      </c>
      <c r="CT17" s="455">
        <f t="shared" si="8"/>
        <v>333016</v>
      </c>
      <c r="CU17" s="272">
        <v>133452</v>
      </c>
      <c r="CV17" s="272">
        <v>199564</v>
      </c>
      <c r="CW17" s="455">
        <f t="shared" si="9"/>
        <v>311145</v>
      </c>
      <c r="CX17" s="272">
        <v>111581</v>
      </c>
      <c r="CY17" s="272">
        <v>199564</v>
      </c>
      <c r="CZ17" s="455">
        <f t="shared" si="10"/>
        <v>0</v>
      </c>
      <c r="DA17" s="272">
        <v>0</v>
      </c>
      <c r="DB17" s="272">
        <v>0</v>
      </c>
      <c r="DC17" s="272">
        <v>20881480</v>
      </c>
      <c r="DD17" s="272">
        <v>4040339</v>
      </c>
      <c r="DE17" s="272">
        <v>14241442</v>
      </c>
      <c r="DF17" s="272">
        <v>951352</v>
      </c>
      <c r="DG17" s="272">
        <v>1648347</v>
      </c>
      <c r="DH17" s="272">
        <v>16870</v>
      </c>
      <c r="DI17" s="272">
        <v>1234567</v>
      </c>
      <c r="DJ17" s="272">
        <v>51554</v>
      </c>
      <c r="DK17" s="272">
        <v>30433</v>
      </c>
      <c r="DL17" s="272">
        <v>1152580</v>
      </c>
      <c r="DM17" s="272">
        <v>432080</v>
      </c>
      <c r="DN17" s="272">
        <v>0</v>
      </c>
      <c r="DO17" s="272">
        <v>0</v>
      </c>
      <c r="DP17" s="272">
        <v>0</v>
      </c>
      <c r="DQ17" s="272">
        <v>70000</v>
      </c>
      <c r="DR17" s="272">
        <v>0</v>
      </c>
      <c r="DS17" s="272">
        <v>0</v>
      </c>
      <c r="DT17" s="272">
        <v>2136274</v>
      </c>
      <c r="DU17" s="272">
        <v>1110000</v>
      </c>
      <c r="DV17" s="455">
        <f t="shared" si="11"/>
        <v>0</v>
      </c>
      <c r="DW17" s="272">
        <v>0</v>
      </c>
      <c r="DX17" s="272">
        <v>0</v>
      </c>
      <c r="DY17" s="272">
        <v>0</v>
      </c>
      <c r="DZ17" s="272">
        <v>613219</v>
      </c>
      <c r="EA17" s="272">
        <v>389438</v>
      </c>
      <c r="EB17" s="272"/>
      <c r="EC17" s="272">
        <v>0</v>
      </c>
      <c r="ED17" s="272">
        <v>45734631</v>
      </c>
      <c r="EF17" s="272">
        <v>107116</v>
      </c>
      <c r="EG17" s="272">
        <v>2424</v>
      </c>
      <c r="EH17" s="272">
        <v>104692</v>
      </c>
      <c r="EI17" s="272">
        <v>28753</v>
      </c>
      <c r="EJ17" s="272">
        <v>80307</v>
      </c>
      <c r="EL17" s="272"/>
      <c r="EM17" s="272">
        <v>91641</v>
      </c>
      <c r="EN17" s="272">
        <v>900066</v>
      </c>
      <c r="EO17" s="272">
        <v>1105</v>
      </c>
      <c r="EP17" s="455">
        <f t="shared" si="12"/>
        <v>1126212</v>
      </c>
      <c r="EQ17" s="272">
        <v>17390724</v>
      </c>
      <c r="ER17" s="272">
        <v>-2735477</v>
      </c>
      <c r="ES17" s="272">
        <v>8169662</v>
      </c>
      <c r="ET17" s="272">
        <v>5831767</v>
      </c>
      <c r="EU17" s="272">
        <v>1153177</v>
      </c>
      <c r="EV17" s="272">
        <v>2502627</v>
      </c>
      <c r="EW17" s="455">
        <f t="shared" si="13"/>
        <v>1634067</v>
      </c>
      <c r="EX17" s="272">
        <v>1620480</v>
      </c>
      <c r="EY17" s="272">
        <v>78494</v>
      </c>
      <c r="EZ17" s="272">
        <v>1521958</v>
      </c>
      <c r="FA17" s="272">
        <v>13587</v>
      </c>
      <c r="FB17" s="272"/>
      <c r="FC17" s="272">
        <v>1843724</v>
      </c>
      <c r="FD17" s="272">
        <v>2700446</v>
      </c>
      <c r="FE17" s="272">
        <v>1338944</v>
      </c>
      <c r="FF17" s="272">
        <v>1312179</v>
      </c>
      <c r="FG17" s="455">
        <f t="shared" si="14"/>
        <v>703203</v>
      </c>
      <c r="FH17" s="272">
        <v>20019085</v>
      </c>
      <c r="FI17" s="384">
        <f t="shared" si="15"/>
        <v>0.7</v>
      </c>
      <c r="FJ17" s="272">
        <v>15522001</v>
      </c>
      <c r="FK17" s="272"/>
      <c r="FL17" s="272">
        <v>10818439</v>
      </c>
      <c r="FM17" s="272">
        <v>12010573</v>
      </c>
      <c r="FN17" s="460">
        <v>0.94899999999999995</v>
      </c>
      <c r="FO17" s="388">
        <v>102.5</v>
      </c>
      <c r="FP17" s="388">
        <v>50.8</v>
      </c>
      <c r="FQ17" s="388">
        <v>7.4</v>
      </c>
      <c r="FR17" s="388">
        <v>16</v>
      </c>
      <c r="FS17" s="388">
        <v>11</v>
      </c>
      <c r="FT17" s="388">
        <v>12.1</v>
      </c>
      <c r="FU17" s="388">
        <v>4.5</v>
      </c>
      <c r="FV17" s="388">
        <v>12.2</v>
      </c>
      <c r="FW17" s="272">
        <v>36813106</v>
      </c>
      <c r="FX17" s="384">
        <f t="shared" si="16"/>
        <v>237.2</v>
      </c>
      <c r="FY17" s="272">
        <v>4937132</v>
      </c>
      <c r="FZ17" s="272">
        <v>287228</v>
      </c>
      <c r="GA17" s="272">
        <v>496986</v>
      </c>
      <c r="GB17" s="272">
        <v>4152918</v>
      </c>
      <c r="GC17" s="272"/>
      <c r="GD17" s="272">
        <v>8992582</v>
      </c>
      <c r="GE17" s="384">
        <f t="shared" si="17"/>
        <v>57.9</v>
      </c>
      <c r="GF17" s="388">
        <v>97</v>
      </c>
      <c r="GG17" s="388">
        <v>23.5</v>
      </c>
      <c r="GH17" s="388">
        <v>89.8</v>
      </c>
      <c r="GI17" s="272">
        <v>989</v>
      </c>
    </row>
    <row r="18" spans="2:191" x14ac:dyDescent="0.15">
      <c r="B18" s="89" t="s">
        <v>29</v>
      </c>
      <c r="C18" s="272">
        <v>14103299</v>
      </c>
      <c r="D18" s="455">
        <f t="shared" si="0"/>
        <v>6372728</v>
      </c>
      <c r="E18" s="272">
        <v>79638</v>
      </c>
      <c r="F18" s="272">
        <v>6293090</v>
      </c>
      <c r="G18" s="455">
        <f t="shared" si="1"/>
        <v>622797</v>
      </c>
      <c r="H18" s="272">
        <v>157505</v>
      </c>
      <c r="I18" s="272">
        <v>465292</v>
      </c>
      <c r="J18" s="272">
        <v>5279455</v>
      </c>
      <c r="K18" s="272">
        <v>2538743</v>
      </c>
      <c r="L18" s="272">
        <v>2061034</v>
      </c>
      <c r="M18" s="272">
        <v>645829</v>
      </c>
      <c r="N18" s="272">
        <v>436364</v>
      </c>
      <c r="O18" s="272">
        <v>1208695</v>
      </c>
      <c r="P18" s="272">
        <v>791124</v>
      </c>
      <c r="Q18" s="272">
        <v>417571</v>
      </c>
      <c r="R18" s="272">
        <v>669984</v>
      </c>
      <c r="S18" s="272">
        <v>448580</v>
      </c>
      <c r="T18" s="455">
        <f t="shared" si="2"/>
        <v>1056941</v>
      </c>
      <c r="U18" s="272">
        <v>644338</v>
      </c>
      <c r="V18" s="272"/>
      <c r="W18" s="272"/>
      <c r="X18" s="272"/>
      <c r="Y18" s="272">
        <v>74089</v>
      </c>
      <c r="Z18" s="272">
        <v>3256</v>
      </c>
      <c r="AA18" s="272">
        <v>335258</v>
      </c>
      <c r="AB18" s="272"/>
      <c r="AC18" s="272">
        <v>4076749</v>
      </c>
      <c r="AD18" s="272">
        <v>3811143</v>
      </c>
      <c r="AE18" s="272">
        <v>265606</v>
      </c>
      <c r="AF18" s="272">
        <v>25047</v>
      </c>
      <c r="AG18" s="272">
        <v>252495</v>
      </c>
      <c r="AH18" s="455">
        <f t="shared" si="3"/>
        <v>3565467</v>
      </c>
      <c r="AI18" s="272">
        <v>3281804</v>
      </c>
      <c r="AJ18" s="272">
        <v>283663</v>
      </c>
      <c r="AK18" s="272">
        <v>3096357</v>
      </c>
      <c r="AL18" s="455">
        <f t="shared" si="4"/>
        <v>1426703</v>
      </c>
      <c r="AM18" s="272">
        <v>1079578</v>
      </c>
      <c r="AN18" s="272">
        <v>208881</v>
      </c>
      <c r="AO18" s="272">
        <v>0</v>
      </c>
      <c r="AP18" s="272">
        <v>138244</v>
      </c>
      <c r="AQ18" s="272">
        <v>550681</v>
      </c>
      <c r="AR18" s="272">
        <v>0</v>
      </c>
      <c r="AS18" s="272">
        <v>0</v>
      </c>
      <c r="AT18" s="272">
        <v>1479095</v>
      </c>
      <c r="AU18" s="272">
        <v>501927</v>
      </c>
      <c r="AV18" s="272">
        <v>145918</v>
      </c>
      <c r="AW18" s="272">
        <v>167372</v>
      </c>
      <c r="AX18" s="272">
        <v>977168</v>
      </c>
      <c r="AY18" s="272">
        <v>222378</v>
      </c>
      <c r="AZ18" s="272">
        <v>310544</v>
      </c>
      <c r="BA18" s="272">
        <v>92181</v>
      </c>
      <c r="BB18" s="272">
        <v>638813</v>
      </c>
      <c r="BC18" s="272">
        <v>2278691</v>
      </c>
      <c r="BD18" s="272">
        <v>234798</v>
      </c>
      <c r="BE18" s="272">
        <v>0</v>
      </c>
      <c r="BF18" s="272">
        <v>2024642</v>
      </c>
      <c r="BG18" s="272">
        <v>0</v>
      </c>
      <c r="BH18" s="272">
        <v>644169</v>
      </c>
      <c r="BI18" s="272">
        <v>414408</v>
      </c>
      <c r="BJ18" s="272">
        <v>1756610</v>
      </c>
      <c r="BK18" s="272">
        <v>1208044</v>
      </c>
      <c r="BL18" s="272">
        <v>0</v>
      </c>
      <c r="BM18" s="272">
        <v>274195</v>
      </c>
      <c r="BN18" s="272">
        <v>2938400</v>
      </c>
      <c r="BO18" s="455">
        <f t="shared" si="5"/>
        <v>1682600</v>
      </c>
      <c r="BP18" s="455">
        <f t="shared" si="6"/>
        <v>1255800</v>
      </c>
      <c r="BQ18" s="272">
        <v>1255800</v>
      </c>
      <c r="BR18" s="272"/>
      <c r="BS18" s="272"/>
      <c r="BT18" s="272">
        <v>0</v>
      </c>
      <c r="BU18" s="272">
        <v>36892661</v>
      </c>
      <c r="BV18" s="272"/>
      <c r="BW18" s="272">
        <v>7982003</v>
      </c>
      <c r="BX18" s="272">
        <v>6104922</v>
      </c>
      <c r="BY18" s="272">
        <v>427924</v>
      </c>
      <c r="BZ18" s="272">
        <v>49356</v>
      </c>
      <c r="CA18" s="272">
        <v>3608221</v>
      </c>
      <c r="CB18" s="272">
        <v>521802</v>
      </c>
      <c r="CC18" s="272">
        <v>708009</v>
      </c>
      <c r="CD18" s="272">
        <v>866751</v>
      </c>
      <c r="CE18" s="272">
        <v>1445528</v>
      </c>
      <c r="CF18" s="272">
        <v>0</v>
      </c>
      <c r="CG18" s="272">
        <v>65876</v>
      </c>
      <c r="CH18" s="272">
        <v>4282766</v>
      </c>
      <c r="CI18" s="272">
        <v>2423755</v>
      </c>
      <c r="CJ18" s="455">
        <f t="shared" si="7"/>
        <v>1859011</v>
      </c>
      <c r="CK18" s="272">
        <v>4670554</v>
      </c>
      <c r="CL18" s="272">
        <v>2714491</v>
      </c>
      <c r="CM18" s="272">
        <v>520355</v>
      </c>
      <c r="CN18" s="272">
        <v>834428</v>
      </c>
      <c r="CO18" s="272">
        <v>396498</v>
      </c>
      <c r="CP18" s="272">
        <v>2063182</v>
      </c>
      <c r="CQ18" s="272">
        <v>940056</v>
      </c>
      <c r="CR18" s="272">
        <v>678667</v>
      </c>
      <c r="CS18" s="272">
        <v>625590</v>
      </c>
      <c r="CT18" s="455">
        <f t="shared" si="8"/>
        <v>1224</v>
      </c>
      <c r="CU18" s="272">
        <v>1224</v>
      </c>
      <c r="CV18" s="272">
        <v>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5647383</v>
      </c>
      <c r="DD18" s="272">
        <v>1474558</v>
      </c>
      <c r="DE18" s="272">
        <v>4003853</v>
      </c>
      <c r="DF18" s="272">
        <v>168972</v>
      </c>
      <c r="DG18" s="272">
        <v>0</v>
      </c>
      <c r="DH18" s="272">
        <v>0</v>
      </c>
      <c r="DI18" s="272">
        <v>4441486</v>
      </c>
      <c r="DJ18" s="272">
        <v>509244</v>
      </c>
      <c r="DK18" s="272">
        <v>0</v>
      </c>
      <c r="DL18" s="272">
        <v>3932242</v>
      </c>
      <c r="DM18" s="272">
        <v>1910</v>
      </c>
      <c r="DN18" s="272">
        <v>0</v>
      </c>
      <c r="DO18" s="272">
        <v>0</v>
      </c>
      <c r="DP18" s="272">
        <v>0</v>
      </c>
      <c r="DQ18" s="272">
        <v>1176820</v>
      </c>
      <c r="DR18" s="272">
        <v>0</v>
      </c>
      <c r="DS18" s="272">
        <v>0</v>
      </c>
      <c r="DT18" s="272">
        <v>2197980</v>
      </c>
      <c r="DU18" s="272">
        <v>1100000</v>
      </c>
      <c r="DV18" s="455">
        <f t="shared" si="11"/>
        <v>0</v>
      </c>
      <c r="DW18" s="272">
        <v>0</v>
      </c>
      <c r="DX18" s="272">
        <v>0</v>
      </c>
      <c r="DY18" s="272">
        <v>0</v>
      </c>
      <c r="DZ18" s="272">
        <v>771630</v>
      </c>
      <c r="EA18" s="272">
        <v>304889</v>
      </c>
      <c r="EB18" s="272"/>
      <c r="EC18" s="272">
        <v>0</v>
      </c>
      <c r="ED18" s="272">
        <v>36468803</v>
      </c>
      <c r="EF18" s="272">
        <v>423858</v>
      </c>
      <c r="EG18" s="272">
        <v>6065</v>
      </c>
      <c r="EH18" s="272">
        <v>417793</v>
      </c>
      <c r="EI18" s="272">
        <v>3385</v>
      </c>
      <c r="EJ18" s="272">
        <v>277831</v>
      </c>
      <c r="EL18" s="272"/>
      <c r="EM18" s="272">
        <v>119651</v>
      </c>
      <c r="EN18" s="272">
        <v>1102026</v>
      </c>
      <c r="EO18" s="272">
        <v>92189</v>
      </c>
      <c r="EP18" s="455">
        <f t="shared" si="12"/>
        <v>1227041</v>
      </c>
      <c r="EQ18" s="272">
        <v>19932020</v>
      </c>
      <c r="ER18" s="272">
        <v>-3652009</v>
      </c>
      <c r="ES18" s="272">
        <v>7246832</v>
      </c>
      <c r="ET18" s="272">
        <v>5387222</v>
      </c>
      <c r="EU18" s="272">
        <v>1199923</v>
      </c>
      <c r="EV18" s="272">
        <v>3264031</v>
      </c>
      <c r="EW18" s="455">
        <f t="shared" si="13"/>
        <v>2309239</v>
      </c>
      <c r="EX18" s="272">
        <v>2309239</v>
      </c>
      <c r="EY18" s="272">
        <v>413177</v>
      </c>
      <c r="EZ18" s="272">
        <v>1764281</v>
      </c>
      <c r="FA18" s="272">
        <v>0</v>
      </c>
      <c r="FB18" s="272"/>
      <c r="FC18" s="272">
        <v>3842951</v>
      </c>
      <c r="FD18" s="272">
        <v>1917857</v>
      </c>
      <c r="FE18" s="272">
        <v>940056</v>
      </c>
      <c r="FF18" s="272">
        <v>2126387</v>
      </c>
      <c r="FG18" s="455">
        <f t="shared" si="14"/>
        <v>1252951</v>
      </c>
      <c r="FH18" s="272">
        <v>23160171</v>
      </c>
      <c r="FI18" s="384">
        <f t="shared" si="15"/>
        <v>2.2000000000000002</v>
      </c>
      <c r="FJ18" s="272">
        <v>19072980</v>
      </c>
      <c r="FK18" s="272"/>
      <c r="FL18" s="272">
        <v>11507811</v>
      </c>
      <c r="FM18" s="272">
        <v>15343509</v>
      </c>
      <c r="FN18" s="460">
        <v>0.752</v>
      </c>
      <c r="FO18" s="388">
        <v>94.9</v>
      </c>
      <c r="FP18" s="388">
        <v>37.799999999999997</v>
      </c>
      <c r="FQ18" s="388">
        <v>6.5</v>
      </c>
      <c r="FR18" s="388">
        <v>17.399999999999999</v>
      </c>
      <c r="FS18" s="388">
        <v>19.899999999999999</v>
      </c>
      <c r="FT18" s="388">
        <v>8.3000000000000007</v>
      </c>
      <c r="FU18" s="388">
        <v>3.3</v>
      </c>
      <c r="FV18" s="388">
        <v>14.2</v>
      </c>
      <c r="FW18" s="272">
        <v>29189787</v>
      </c>
      <c r="FX18" s="384">
        <f t="shared" si="16"/>
        <v>153</v>
      </c>
      <c r="FY18" s="272">
        <v>11266814</v>
      </c>
      <c r="FZ18" s="272">
        <v>2675185</v>
      </c>
      <c r="GA18" s="272"/>
      <c r="GB18" s="272">
        <v>8591629</v>
      </c>
      <c r="GC18" s="272"/>
      <c r="GD18" s="272">
        <v>1187610</v>
      </c>
      <c r="GE18" s="384">
        <f t="shared" si="17"/>
        <v>6.2</v>
      </c>
      <c r="GF18" s="388">
        <v>96.8</v>
      </c>
      <c r="GG18" s="388">
        <v>27.6</v>
      </c>
      <c r="GH18" s="388">
        <v>92.7</v>
      </c>
      <c r="GI18" s="272">
        <v>860</v>
      </c>
    </row>
    <row r="19" spans="2:191" x14ac:dyDescent="0.15">
      <c r="B19" s="89" t="s">
        <v>31</v>
      </c>
      <c r="C19" s="272">
        <v>30375185</v>
      </c>
      <c r="D19" s="455">
        <f t="shared" si="0"/>
        <v>13342137</v>
      </c>
      <c r="E19" s="272">
        <v>182877</v>
      </c>
      <c r="F19" s="272">
        <v>13159260</v>
      </c>
      <c r="G19" s="455">
        <f t="shared" si="1"/>
        <v>2344545</v>
      </c>
      <c r="H19" s="272">
        <v>481336</v>
      </c>
      <c r="I19" s="272">
        <v>1863209</v>
      </c>
      <c r="J19" s="272">
        <v>10459251</v>
      </c>
      <c r="K19" s="272">
        <v>5242929</v>
      </c>
      <c r="L19" s="272">
        <v>3747430</v>
      </c>
      <c r="M19" s="272">
        <v>1266849</v>
      </c>
      <c r="N19" s="272">
        <v>1281289</v>
      </c>
      <c r="O19" s="272">
        <v>2803025</v>
      </c>
      <c r="P19" s="272">
        <v>1944257</v>
      </c>
      <c r="Q19" s="272">
        <v>858768</v>
      </c>
      <c r="R19" s="272">
        <v>1471367</v>
      </c>
      <c r="S19" s="272">
        <v>1075094</v>
      </c>
      <c r="T19" s="455">
        <f t="shared" si="2"/>
        <v>1952540</v>
      </c>
      <c r="U19" s="272">
        <v>1346191</v>
      </c>
      <c r="V19" s="272"/>
      <c r="W19" s="272"/>
      <c r="X19" s="272"/>
      <c r="Y19" s="272">
        <v>0</v>
      </c>
      <c r="Z19" s="272">
        <v>5256</v>
      </c>
      <c r="AA19" s="272">
        <v>601093</v>
      </c>
      <c r="AB19" s="272"/>
      <c r="AC19" s="272">
        <v>7413662</v>
      </c>
      <c r="AD19" s="272">
        <v>6933244</v>
      </c>
      <c r="AE19" s="272">
        <v>480418</v>
      </c>
      <c r="AF19" s="272">
        <v>46835</v>
      </c>
      <c r="AG19" s="272">
        <v>463151</v>
      </c>
      <c r="AH19" s="455">
        <f t="shared" si="3"/>
        <v>1285246</v>
      </c>
      <c r="AI19" s="272">
        <v>808662</v>
      </c>
      <c r="AJ19" s="272">
        <v>476584</v>
      </c>
      <c r="AK19" s="272">
        <v>6355633</v>
      </c>
      <c r="AL19" s="455">
        <f t="shared" si="4"/>
        <v>4124900</v>
      </c>
      <c r="AM19" s="272">
        <v>2906853</v>
      </c>
      <c r="AN19" s="272">
        <v>852703</v>
      </c>
      <c r="AO19" s="272">
        <v>0</v>
      </c>
      <c r="AP19" s="272">
        <v>365344</v>
      </c>
      <c r="AQ19" s="272">
        <v>974179</v>
      </c>
      <c r="AR19" s="272">
        <v>0</v>
      </c>
      <c r="AS19" s="272">
        <v>0</v>
      </c>
      <c r="AT19" s="272">
        <v>3345014</v>
      </c>
      <c r="AU19" s="272">
        <v>999521</v>
      </c>
      <c r="AV19" s="272">
        <v>502085</v>
      </c>
      <c r="AW19" s="272">
        <v>17149</v>
      </c>
      <c r="AX19" s="272">
        <v>2345493</v>
      </c>
      <c r="AY19" s="272">
        <v>616921</v>
      </c>
      <c r="AZ19" s="272">
        <v>302427</v>
      </c>
      <c r="BA19" s="272">
        <v>108203</v>
      </c>
      <c r="BB19" s="272">
        <v>636381</v>
      </c>
      <c r="BC19" s="272">
        <v>2390843</v>
      </c>
      <c r="BD19" s="272">
        <v>130000</v>
      </c>
      <c r="BE19" s="272">
        <v>312000</v>
      </c>
      <c r="BF19" s="272">
        <v>1928462</v>
      </c>
      <c r="BG19" s="272">
        <v>0</v>
      </c>
      <c r="BH19" s="272">
        <v>355724</v>
      </c>
      <c r="BI19" s="272">
        <v>255339</v>
      </c>
      <c r="BJ19" s="272">
        <v>5767917</v>
      </c>
      <c r="BK19" s="272">
        <v>4181592</v>
      </c>
      <c r="BL19" s="272">
        <v>0</v>
      </c>
      <c r="BM19" s="272">
        <v>280510</v>
      </c>
      <c r="BN19" s="272">
        <v>6876313</v>
      </c>
      <c r="BO19" s="455">
        <f t="shared" si="5"/>
        <v>4249013</v>
      </c>
      <c r="BP19" s="455">
        <f t="shared" si="6"/>
        <v>2627300</v>
      </c>
      <c r="BQ19" s="272">
        <v>2627300</v>
      </c>
      <c r="BR19" s="272"/>
      <c r="BS19" s="272"/>
      <c r="BT19" s="272">
        <v>0</v>
      </c>
      <c r="BU19" s="272">
        <v>69038238</v>
      </c>
      <c r="BV19" s="272"/>
      <c r="BW19" s="272">
        <v>21662294</v>
      </c>
      <c r="BX19" s="272">
        <v>16856967</v>
      </c>
      <c r="BY19" s="272">
        <v>1139268</v>
      </c>
      <c r="BZ19" s="272">
        <v>277069</v>
      </c>
      <c r="CA19" s="272">
        <v>8465528</v>
      </c>
      <c r="CB19" s="272">
        <v>882818</v>
      </c>
      <c r="CC19" s="272">
        <v>1627744</v>
      </c>
      <c r="CD19" s="272">
        <v>1956702</v>
      </c>
      <c r="CE19" s="272">
        <v>3872958</v>
      </c>
      <c r="CF19" s="272">
        <v>787</v>
      </c>
      <c r="CG19" s="272">
        <v>117173</v>
      </c>
      <c r="CH19" s="272">
        <v>6929097</v>
      </c>
      <c r="CI19" s="272">
        <v>4019108</v>
      </c>
      <c r="CJ19" s="455">
        <f t="shared" si="7"/>
        <v>2909989</v>
      </c>
      <c r="CK19" s="272">
        <v>6662892</v>
      </c>
      <c r="CL19" s="272">
        <v>3102307</v>
      </c>
      <c r="CM19" s="272">
        <v>582185</v>
      </c>
      <c r="CN19" s="272">
        <v>1870731</v>
      </c>
      <c r="CO19" s="272">
        <v>360561</v>
      </c>
      <c r="CP19" s="272">
        <v>5651896</v>
      </c>
      <c r="CQ19" s="272">
        <v>3537899</v>
      </c>
      <c r="CR19" s="272">
        <v>1169787</v>
      </c>
      <c r="CS19" s="272">
        <v>1074124</v>
      </c>
      <c r="CT19" s="455">
        <f t="shared" si="8"/>
        <v>4423</v>
      </c>
      <c r="CU19" s="272">
        <v>4423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7414690</v>
      </c>
      <c r="DD19" s="272">
        <v>2748209</v>
      </c>
      <c r="DE19" s="272">
        <v>4662075</v>
      </c>
      <c r="DF19" s="272">
        <v>0</v>
      </c>
      <c r="DG19" s="272">
        <v>4406</v>
      </c>
      <c r="DH19" s="272">
        <v>448681</v>
      </c>
      <c r="DI19" s="272">
        <v>1393081</v>
      </c>
      <c r="DJ19" s="272">
        <v>137501</v>
      </c>
      <c r="DK19" s="272">
        <v>33281</v>
      </c>
      <c r="DL19" s="272">
        <v>1222299</v>
      </c>
      <c r="DM19" s="272">
        <v>10330</v>
      </c>
      <c r="DN19" s="272">
        <v>6230</v>
      </c>
      <c r="DO19" s="272">
        <v>6230</v>
      </c>
      <c r="DP19" s="272">
        <v>0</v>
      </c>
      <c r="DQ19" s="272">
        <v>4060155</v>
      </c>
      <c r="DR19" s="272">
        <v>0</v>
      </c>
      <c r="DS19" s="272">
        <v>0</v>
      </c>
      <c r="DT19" s="272">
        <v>5833730</v>
      </c>
      <c r="DU19" s="272">
        <v>3592200</v>
      </c>
      <c r="DV19" s="455">
        <f t="shared" si="11"/>
        <v>0</v>
      </c>
      <c r="DW19" s="272">
        <v>0</v>
      </c>
      <c r="DX19" s="272">
        <v>0</v>
      </c>
      <c r="DY19" s="272">
        <v>0</v>
      </c>
      <c r="DZ19" s="272">
        <v>1553391</v>
      </c>
      <c r="EA19" s="272">
        <v>677234</v>
      </c>
      <c r="EB19" s="272"/>
      <c r="EC19" s="272">
        <v>0</v>
      </c>
      <c r="ED19" s="272">
        <v>68892935</v>
      </c>
      <c r="EF19" s="272">
        <v>145303</v>
      </c>
      <c r="EG19" s="272">
        <v>74981</v>
      </c>
      <c r="EH19" s="272">
        <v>70322</v>
      </c>
      <c r="EI19" s="272">
        <v>-185017</v>
      </c>
      <c r="EJ19" s="272">
        <v>-177516</v>
      </c>
      <c r="EL19" s="272"/>
      <c r="EM19" s="272">
        <v>256263</v>
      </c>
      <c r="EN19" s="272">
        <v>707305</v>
      </c>
      <c r="EO19" s="272">
        <v>17533</v>
      </c>
      <c r="EP19" s="455">
        <f t="shared" si="12"/>
        <v>3003505</v>
      </c>
      <c r="EQ19" s="272">
        <v>41259589</v>
      </c>
      <c r="ER19" s="272">
        <v>-6308808</v>
      </c>
      <c r="ES19" s="272">
        <v>19875670</v>
      </c>
      <c r="ET19" s="272">
        <v>15115146</v>
      </c>
      <c r="EU19" s="272">
        <v>2478204</v>
      </c>
      <c r="EV19" s="272">
        <v>6713294</v>
      </c>
      <c r="EW19" s="455">
        <f t="shared" si="13"/>
        <v>1169727</v>
      </c>
      <c r="EX19" s="272">
        <v>1163336</v>
      </c>
      <c r="EY19" s="272">
        <v>43145</v>
      </c>
      <c r="EZ19" s="272">
        <v>1120191</v>
      </c>
      <c r="FA19" s="272">
        <v>6391</v>
      </c>
      <c r="FB19" s="272"/>
      <c r="FC19" s="272">
        <v>5065956</v>
      </c>
      <c r="FD19" s="272">
        <v>5161863</v>
      </c>
      <c r="FE19" s="272">
        <v>3537899</v>
      </c>
      <c r="FF19" s="272">
        <v>5377439</v>
      </c>
      <c r="FG19" s="455">
        <f t="shared" si="14"/>
        <v>1580941</v>
      </c>
      <c r="FH19" s="272">
        <v>47423094</v>
      </c>
      <c r="FI19" s="384">
        <f t="shared" si="15"/>
        <v>0.2</v>
      </c>
      <c r="FJ19" s="272">
        <v>39748286</v>
      </c>
      <c r="FK19" s="272"/>
      <c r="FL19" s="272">
        <v>24724590</v>
      </c>
      <c r="FM19" s="272">
        <v>31715753</v>
      </c>
      <c r="FN19" s="460">
        <v>0.77500000000000002</v>
      </c>
      <c r="FO19" s="388">
        <v>105.1</v>
      </c>
      <c r="FP19" s="388">
        <v>51.1</v>
      </c>
      <c r="FQ19" s="388">
        <v>6.5</v>
      </c>
      <c r="FR19" s="388">
        <v>15</v>
      </c>
      <c r="FS19" s="388">
        <v>11.7</v>
      </c>
      <c r="FT19" s="388">
        <v>12.3</v>
      </c>
      <c r="FU19" s="388">
        <v>7.6</v>
      </c>
      <c r="FV19" s="388">
        <v>11.2</v>
      </c>
      <c r="FW19" s="272">
        <v>55131212</v>
      </c>
      <c r="FX19" s="384">
        <f t="shared" si="16"/>
        <v>138.69999999999999</v>
      </c>
      <c r="FY19" s="272">
        <v>7402395</v>
      </c>
      <c r="FZ19" s="272">
        <v>384846</v>
      </c>
      <c r="GA19" s="272">
        <v>1253549</v>
      </c>
      <c r="GB19" s="272">
        <v>5764000</v>
      </c>
      <c r="GC19" s="272"/>
      <c r="GD19" s="272">
        <v>8609159</v>
      </c>
      <c r="GE19" s="384">
        <f t="shared" si="17"/>
        <v>21.7</v>
      </c>
      <c r="GF19" s="388">
        <v>96.4</v>
      </c>
      <c r="GG19" s="388">
        <v>23.7</v>
      </c>
      <c r="GH19" s="388">
        <v>90.2</v>
      </c>
      <c r="GI19" s="272">
        <v>2246</v>
      </c>
    </row>
    <row r="20" spans="2:191" x14ac:dyDescent="0.15">
      <c r="B20" s="89" t="s">
        <v>33</v>
      </c>
      <c r="C20" s="272">
        <v>15016394</v>
      </c>
      <c r="D20" s="455">
        <f t="shared" si="0"/>
        <v>7208052</v>
      </c>
      <c r="E20" s="272">
        <v>77569</v>
      </c>
      <c r="F20" s="272">
        <v>7130483</v>
      </c>
      <c r="G20" s="455">
        <f t="shared" si="1"/>
        <v>623015</v>
      </c>
      <c r="H20" s="272">
        <v>160295</v>
      </c>
      <c r="I20" s="272">
        <v>462720</v>
      </c>
      <c r="J20" s="272">
        <v>5331360</v>
      </c>
      <c r="K20" s="272">
        <v>2282086</v>
      </c>
      <c r="L20" s="272">
        <v>2266718</v>
      </c>
      <c r="M20" s="272">
        <v>759291</v>
      </c>
      <c r="N20" s="272">
        <v>359701</v>
      </c>
      <c r="O20" s="272">
        <v>1332580</v>
      </c>
      <c r="P20" s="272">
        <v>840420</v>
      </c>
      <c r="Q20" s="272">
        <v>492160</v>
      </c>
      <c r="R20" s="272">
        <v>647603</v>
      </c>
      <c r="S20" s="272">
        <v>402507</v>
      </c>
      <c r="T20" s="455">
        <f t="shared" si="2"/>
        <v>1115853</v>
      </c>
      <c r="U20" s="272">
        <v>701673</v>
      </c>
      <c r="V20" s="272"/>
      <c r="W20" s="272"/>
      <c r="X20" s="272"/>
      <c r="Y20" s="272">
        <v>41081</v>
      </c>
      <c r="Z20" s="272">
        <v>1986</v>
      </c>
      <c r="AA20" s="272">
        <v>371113</v>
      </c>
      <c r="AB20" s="272"/>
      <c r="AC20" s="272">
        <v>2793787</v>
      </c>
      <c r="AD20" s="272">
        <v>2532896</v>
      </c>
      <c r="AE20" s="272">
        <v>260891</v>
      </c>
      <c r="AF20" s="272">
        <v>24648</v>
      </c>
      <c r="AG20" s="272">
        <v>260617</v>
      </c>
      <c r="AH20" s="455">
        <f t="shared" si="3"/>
        <v>934437</v>
      </c>
      <c r="AI20" s="272">
        <v>643214</v>
      </c>
      <c r="AJ20" s="272">
        <v>291223</v>
      </c>
      <c r="AK20" s="272">
        <v>1865295</v>
      </c>
      <c r="AL20" s="455">
        <f t="shared" si="4"/>
        <v>1101246</v>
      </c>
      <c r="AM20" s="272">
        <v>772954</v>
      </c>
      <c r="AN20" s="272">
        <v>181500</v>
      </c>
      <c r="AO20" s="272">
        <v>0</v>
      </c>
      <c r="AP20" s="272">
        <v>146792</v>
      </c>
      <c r="AQ20" s="272">
        <v>160630</v>
      </c>
      <c r="AR20" s="272">
        <v>0</v>
      </c>
      <c r="AS20" s="272">
        <v>0</v>
      </c>
      <c r="AT20" s="272">
        <v>1499966</v>
      </c>
      <c r="AU20" s="272">
        <v>381959</v>
      </c>
      <c r="AV20" s="272">
        <v>91730</v>
      </c>
      <c r="AW20" s="272">
        <v>66127</v>
      </c>
      <c r="AX20" s="272">
        <v>1118007</v>
      </c>
      <c r="AY20" s="272">
        <v>461344</v>
      </c>
      <c r="AZ20" s="272">
        <v>336047</v>
      </c>
      <c r="BA20" s="272">
        <v>30</v>
      </c>
      <c r="BB20" s="272">
        <v>193944</v>
      </c>
      <c r="BC20" s="272">
        <v>756773</v>
      </c>
      <c r="BD20" s="272">
        <v>600000</v>
      </c>
      <c r="BE20" s="272">
        <v>83000</v>
      </c>
      <c r="BF20" s="272">
        <v>62280</v>
      </c>
      <c r="BG20" s="272">
        <v>1421</v>
      </c>
      <c r="BH20" s="272">
        <v>402898</v>
      </c>
      <c r="BI20" s="272">
        <v>155922</v>
      </c>
      <c r="BJ20" s="272">
        <v>1354695</v>
      </c>
      <c r="BK20" s="272">
        <v>1114403</v>
      </c>
      <c r="BL20" s="272">
        <v>0</v>
      </c>
      <c r="BM20" s="272">
        <v>0</v>
      </c>
      <c r="BN20" s="272">
        <v>4329600</v>
      </c>
      <c r="BO20" s="455">
        <f t="shared" si="5"/>
        <v>2861400</v>
      </c>
      <c r="BP20" s="455">
        <f t="shared" si="6"/>
        <v>1468200</v>
      </c>
      <c r="BQ20" s="272">
        <v>1468200</v>
      </c>
      <c r="BR20" s="272"/>
      <c r="BS20" s="272"/>
      <c r="BT20" s="272">
        <v>0</v>
      </c>
      <c r="BU20" s="272">
        <v>31532557</v>
      </c>
      <c r="BV20" s="272"/>
      <c r="BW20" s="272">
        <v>6217166</v>
      </c>
      <c r="BX20" s="272">
        <v>4324021</v>
      </c>
      <c r="BY20" s="272">
        <v>305692</v>
      </c>
      <c r="BZ20" s="272">
        <v>465941</v>
      </c>
      <c r="CA20" s="272">
        <v>3048952</v>
      </c>
      <c r="CB20" s="272">
        <v>469709</v>
      </c>
      <c r="CC20" s="272">
        <v>782604</v>
      </c>
      <c r="CD20" s="272">
        <v>771003</v>
      </c>
      <c r="CE20" s="272">
        <v>994364</v>
      </c>
      <c r="CF20" s="272">
        <v>0</v>
      </c>
      <c r="CG20" s="272">
        <v>18386</v>
      </c>
      <c r="CH20" s="272">
        <v>2626291</v>
      </c>
      <c r="CI20" s="272">
        <v>1491928</v>
      </c>
      <c r="CJ20" s="455">
        <f t="shared" si="7"/>
        <v>1134363</v>
      </c>
      <c r="CK20" s="272">
        <v>4887405</v>
      </c>
      <c r="CL20" s="272">
        <v>3265025</v>
      </c>
      <c r="CM20" s="272">
        <v>85660</v>
      </c>
      <c r="CN20" s="272">
        <v>912821</v>
      </c>
      <c r="CO20" s="272">
        <v>193065</v>
      </c>
      <c r="CP20" s="272">
        <v>2237935</v>
      </c>
      <c r="CQ20" s="272">
        <v>669217</v>
      </c>
      <c r="CR20" s="272">
        <v>814650</v>
      </c>
      <c r="CS20" s="272">
        <v>699413</v>
      </c>
      <c r="CT20" s="455">
        <f t="shared" si="8"/>
        <v>140950</v>
      </c>
      <c r="CU20" s="272">
        <v>8558</v>
      </c>
      <c r="CV20" s="272">
        <v>132392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7444296</v>
      </c>
      <c r="DD20" s="272">
        <v>517740</v>
      </c>
      <c r="DE20" s="272">
        <v>6707413</v>
      </c>
      <c r="DF20" s="272">
        <v>219143</v>
      </c>
      <c r="DG20" s="272">
        <v>0</v>
      </c>
      <c r="DH20" s="272">
        <v>24034</v>
      </c>
      <c r="DI20" s="272">
        <v>1215062</v>
      </c>
      <c r="DJ20" s="272">
        <v>618000</v>
      </c>
      <c r="DK20" s="272">
        <v>62000</v>
      </c>
      <c r="DL20" s="272">
        <v>535062</v>
      </c>
      <c r="DM20" s="272">
        <v>1880</v>
      </c>
      <c r="DN20" s="272">
        <v>0</v>
      </c>
      <c r="DO20" s="272">
        <v>0</v>
      </c>
      <c r="DP20" s="272">
        <v>0</v>
      </c>
      <c r="DQ20" s="272">
        <v>1200279</v>
      </c>
      <c r="DR20" s="272">
        <v>93000</v>
      </c>
      <c r="DS20" s="272">
        <v>0</v>
      </c>
      <c r="DT20" s="272">
        <v>1885762</v>
      </c>
      <c r="DU20" s="272">
        <v>1117509</v>
      </c>
      <c r="DV20" s="455">
        <f t="shared" si="11"/>
        <v>0</v>
      </c>
      <c r="DW20" s="272">
        <v>0</v>
      </c>
      <c r="DX20" s="272">
        <v>0</v>
      </c>
      <c r="DY20" s="272">
        <v>0</v>
      </c>
      <c r="DZ20" s="272">
        <v>393823</v>
      </c>
      <c r="EA20" s="272">
        <v>374430</v>
      </c>
      <c r="EB20" s="272"/>
      <c r="EC20" s="272">
        <v>0</v>
      </c>
      <c r="ED20" s="272">
        <v>30982127</v>
      </c>
      <c r="EF20" s="272">
        <v>550430</v>
      </c>
      <c r="EG20" s="272">
        <v>259243</v>
      </c>
      <c r="EH20" s="272">
        <v>291187</v>
      </c>
      <c r="EI20" s="272">
        <v>135265</v>
      </c>
      <c r="EJ20" s="272">
        <v>153265</v>
      </c>
      <c r="EL20" s="272"/>
      <c r="EM20" s="272">
        <v>117312</v>
      </c>
      <c r="EN20" s="272">
        <v>683000</v>
      </c>
      <c r="EO20" s="272">
        <v>11727</v>
      </c>
      <c r="EP20" s="455">
        <f t="shared" si="12"/>
        <v>677248</v>
      </c>
      <c r="EQ20" s="272">
        <v>19598285</v>
      </c>
      <c r="ER20" s="272">
        <v>-2815527</v>
      </c>
      <c r="ES20" s="272">
        <v>5900794</v>
      </c>
      <c r="ET20" s="272">
        <v>4103985</v>
      </c>
      <c r="EU20" s="272">
        <v>917321</v>
      </c>
      <c r="EV20" s="272">
        <v>2626291</v>
      </c>
      <c r="EW20" s="455">
        <f t="shared" si="13"/>
        <v>3683830</v>
      </c>
      <c r="EX20" s="272">
        <v>3661057</v>
      </c>
      <c r="EY20" s="272">
        <v>117103</v>
      </c>
      <c r="EZ20" s="272">
        <v>3382711</v>
      </c>
      <c r="FA20" s="272">
        <v>22773</v>
      </c>
      <c r="FB20" s="272"/>
      <c r="FC20" s="272">
        <v>3763151</v>
      </c>
      <c r="FD20" s="272">
        <v>1956319</v>
      </c>
      <c r="FE20" s="272">
        <v>669217</v>
      </c>
      <c r="FF20" s="272">
        <v>1853525</v>
      </c>
      <c r="FG20" s="455">
        <f t="shared" si="14"/>
        <v>1162151</v>
      </c>
      <c r="FH20" s="272">
        <v>21863382</v>
      </c>
      <c r="FI20" s="384">
        <f t="shared" si="15"/>
        <v>1.6</v>
      </c>
      <c r="FJ20" s="272">
        <v>18674553</v>
      </c>
      <c r="FK20" s="272"/>
      <c r="FL20" s="272">
        <v>12174236</v>
      </c>
      <c r="FM20" s="272">
        <v>14729840</v>
      </c>
      <c r="FN20" s="460">
        <v>0.84299999999999997</v>
      </c>
      <c r="FO20" s="388">
        <v>82.8</v>
      </c>
      <c r="FP20" s="388">
        <v>31.1</v>
      </c>
      <c r="FQ20" s="388">
        <v>5</v>
      </c>
      <c r="FR20" s="388">
        <v>14.5</v>
      </c>
      <c r="FS20" s="388">
        <v>18.899999999999999</v>
      </c>
      <c r="FT20" s="388">
        <v>8.1999999999999993</v>
      </c>
      <c r="FU20" s="388">
        <v>4.2</v>
      </c>
      <c r="FV20" s="388">
        <v>10.3</v>
      </c>
      <c r="FW20" s="272">
        <v>23014224</v>
      </c>
      <c r="FX20" s="384">
        <f t="shared" si="16"/>
        <v>123.2</v>
      </c>
      <c r="FY20" s="272">
        <v>13276416</v>
      </c>
      <c r="FZ20" s="272">
        <v>6344541</v>
      </c>
      <c r="GA20" s="272">
        <v>1786228</v>
      </c>
      <c r="GB20" s="272">
        <v>5145647</v>
      </c>
      <c r="GC20" s="272"/>
      <c r="GD20" s="272">
        <v>6717670</v>
      </c>
      <c r="GE20" s="384">
        <f t="shared" si="17"/>
        <v>36</v>
      </c>
      <c r="GF20" s="388">
        <v>97.5</v>
      </c>
      <c r="GG20" s="388">
        <v>23.6</v>
      </c>
      <c r="GH20" s="388">
        <v>93.1</v>
      </c>
      <c r="GI20" s="272">
        <v>616</v>
      </c>
    </row>
    <row r="21" spans="2:191" x14ac:dyDescent="0.15">
      <c r="B21" s="89" t="s">
        <v>35</v>
      </c>
      <c r="C21" s="272">
        <v>15340610</v>
      </c>
      <c r="D21" s="455">
        <f t="shared" si="0"/>
        <v>6025681</v>
      </c>
      <c r="E21" s="272">
        <v>94377</v>
      </c>
      <c r="F21" s="272">
        <v>5931304</v>
      </c>
      <c r="G21" s="455">
        <f t="shared" si="1"/>
        <v>1428957</v>
      </c>
      <c r="H21" s="272">
        <v>203446</v>
      </c>
      <c r="I21" s="272">
        <v>1225511</v>
      </c>
      <c r="J21" s="272">
        <v>5708417</v>
      </c>
      <c r="K21" s="272">
        <v>3163467</v>
      </c>
      <c r="L21" s="272">
        <v>1853656</v>
      </c>
      <c r="M21" s="272">
        <v>664325</v>
      </c>
      <c r="N21" s="272">
        <v>592898</v>
      </c>
      <c r="O21" s="272">
        <v>1443522</v>
      </c>
      <c r="P21" s="272">
        <v>1039266</v>
      </c>
      <c r="Q21" s="272">
        <v>404256</v>
      </c>
      <c r="R21" s="272">
        <v>774210</v>
      </c>
      <c r="S21" s="272">
        <v>558871</v>
      </c>
      <c r="T21" s="455">
        <f t="shared" si="2"/>
        <v>937720</v>
      </c>
      <c r="U21" s="272">
        <v>610002</v>
      </c>
      <c r="V21" s="272"/>
      <c r="W21" s="272"/>
      <c r="X21" s="272"/>
      <c r="Y21" s="272">
        <v>0</v>
      </c>
      <c r="Z21" s="272">
        <v>730</v>
      </c>
      <c r="AA21" s="272">
        <v>326988</v>
      </c>
      <c r="AB21" s="272"/>
      <c r="AC21" s="272">
        <v>6193397</v>
      </c>
      <c r="AD21" s="272">
        <v>5763201</v>
      </c>
      <c r="AE21" s="272">
        <v>430196</v>
      </c>
      <c r="AF21" s="272">
        <v>25576</v>
      </c>
      <c r="AG21" s="272">
        <v>196395</v>
      </c>
      <c r="AH21" s="455">
        <f t="shared" si="3"/>
        <v>440940</v>
      </c>
      <c r="AI21" s="272">
        <v>408044</v>
      </c>
      <c r="AJ21" s="272">
        <v>32896</v>
      </c>
      <c r="AK21" s="272">
        <v>2915944</v>
      </c>
      <c r="AL21" s="455">
        <f t="shared" si="4"/>
        <v>1822005</v>
      </c>
      <c r="AM21" s="272">
        <v>1323837</v>
      </c>
      <c r="AN21" s="272">
        <v>251786</v>
      </c>
      <c r="AO21" s="272">
        <v>0</v>
      </c>
      <c r="AP21" s="272">
        <v>246382</v>
      </c>
      <c r="AQ21" s="272">
        <v>348504</v>
      </c>
      <c r="AR21" s="272">
        <v>0</v>
      </c>
      <c r="AS21" s="272">
        <v>0</v>
      </c>
      <c r="AT21" s="272">
        <v>1551360</v>
      </c>
      <c r="AU21" s="272">
        <v>454412</v>
      </c>
      <c r="AV21" s="272">
        <v>126082</v>
      </c>
      <c r="AW21" s="272">
        <v>0</v>
      </c>
      <c r="AX21" s="272">
        <v>1096948</v>
      </c>
      <c r="AY21" s="272">
        <v>170929</v>
      </c>
      <c r="AZ21" s="272">
        <v>292130</v>
      </c>
      <c r="BA21" s="272">
        <v>104</v>
      </c>
      <c r="BB21" s="272">
        <v>422857</v>
      </c>
      <c r="BC21" s="272">
        <v>3683504</v>
      </c>
      <c r="BD21" s="272">
        <v>0</v>
      </c>
      <c r="BE21" s="272">
        <v>350000</v>
      </c>
      <c r="BF21" s="272">
        <v>3333504</v>
      </c>
      <c r="BG21" s="272">
        <v>0</v>
      </c>
      <c r="BH21" s="272">
        <v>276149</v>
      </c>
      <c r="BI21" s="272">
        <v>215197</v>
      </c>
      <c r="BJ21" s="272">
        <v>1241934</v>
      </c>
      <c r="BK21" s="272">
        <v>499448</v>
      </c>
      <c r="BL21" s="272">
        <v>0</v>
      </c>
      <c r="BM21" s="272">
        <v>0</v>
      </c>
      <c r="BN21" s="272">
        <v>4285300</v>
      </c>
      <c r="BO21" s="455">
        <f t="shared" si="5"/>
        <v>3101600</v>
      </c>
      <c r="BP21" s="455">
        <f t="shared" si="6"/>
        <v>1183700</v>
      </c>
      <c r="BQ21" s="272">
        <v>1183700</v>
      </c>
      <c r="BR21" s="272"/>
      <c r="BS21" s="272"/>
      <c r="BT21" s="272">
        <v>0</v>
      </c>
      <c r="BU21" s="272">
        <v>38578026</v>
      </c>
      <c r="BV21" s="272"/>
      <c r="BW21" s="272">
        <v>9635523</v>
      </c>
      <c r="BX21" s="272">
        <v>7302345</v>
      </c>
      <c r="BY21" s="272">
        <v>571377</v>
      </c>
      <c r="BZ21" s="272">
        <v>188762</v>
      </c>
      <c r="CA21" s="272">
        <v>4281331</v>
      </c>
      <c r="CB21" s="272">
        <v>498413</v>
      </c>
      <c r="CC21" s="272">
        <v>1093071</v>
      </c>
      <c r="CD21" s="272">
        <v>852884</v>
      </c>
      <c r="CE21" s="272">
        <v>1751289</v>
      </c>
      <c r="CF21" s="272">
        <v>0</v>
      </c>
      <c r="CG21" s="272">
        <v>82301</v>
      </c>
      <c r="CH21" s="272">
        <v>3107677</v>
      </c>
      <c r="CI21" s="272">
        <v>1721041</v>
      </c>
      <c r="CJ21" s="455">
        <f t="shared" si="7"/>
        <v>1386636</v>
      </c>
      <c r="CK21" s="272">
        <v>4639408</v>
      </c>
      <c r="CL21" s="272">
        <v>2960042</v>
      </c>
      <c r="CM21" s="272">
        <v>151290</v>
      </c>
      <c r="CN21" s="272">
        <v>906626</v>
      </c>
      <c r="CO21" s="272">
        <v>268249</v>
      </c>
      <c r="CP21" s="272">
        <v>2052527</v>
      </c>
      <c r="CQ21" s="272">
        <v>6224</v>
      </c>
      <c r="CR21" s="272">
        <v>1250145</v>
      </c>
      <c r="CS21" s="272">
        <v>477402</v>
      </c>
      <c r="CT21" s="455">
        <f t="shared" si="8"/>
        <v>518716</v>
      </c>
      <c r="CU21" s="272">
        <v>12000</v>
      </c>
      <c r="CV21" s="272">
        <v>506716</v>
      </c>
      <c r="CW21" s="455">
        <f t="shared" si="9"/>
        <v>483316</v>
      </c>
      <c r="CX21" s="272">
        <v>0</v>
      </c>
      <c r="CY21" s="272">
        <v>483316</v>
      </c>
      <c r="CZ21" s="455">
        <f t="shared" si="10"/>
        <v>0</v>
      </c>
      <c r="DA21" s="272">
        <v>0</v>
      </c>
      <c r="DB21" s="272">
        <v>0</v>
      </c>
      <c r="DC21" s="272">
        <v>8016709</v>
      </c>
      <c r="DD21" s="272">
        <v>847860</v>
      </c>
      <c r="DE21" s="272">
        <v>7168849</v>
      </c>
      <c r="DF21" s="272">
        <v>0</v>
      </c>
      <c r="DG21" s="272">
        <v>0</v>
      </c>
      <c r="DH21" s="272">
        <v>50</v>
      </c>
      <c r="DI21" s="272">
        <v>675580</v>
      </c>
      <c r="DJ21" s="272">
        <v>0</v>
      </c>
      <c r="DK21" s="272">
        <v>135198</v>
      </c>
      <c r="DL21" s="272">
        <v>540382</v>
      </c>
      <c r="DM21" s="272">
        <v>2290</v>
      </c>
      <c r="DN21" s="272">
        <v>0</v>
      </c>
      <c r="DO21" s="272">
        <v>0</v>
      </c>
      <c r="DP21" s="272">
        <v>0</v>
      </c>
      <c r="DQ21" s="272">
        <v>487150</v>
      </c>
      <c r="DR21" s="272">
        <v>0</v>
      </c>
      <c r="DS21" s="272">
        <v>0</v>
      </c>
      <c r="DT21" s="272">
        <v>4331192</v>
      </c>
      <c r="DU21" s="272">
        <v>3220000</v>
      </c>
      <c r="DV21" s="455">
        <f t="shared" si="11"/>
        <v>0</v>
      </c>
      <c r="DW21" s="272">
        <v>0</v>
      </c>
      <c r="DX21" s="272">
        <v>0</v>
      </c>
      <c r="DY21" s="272">
        <v>0</v>
      </c>
      <c r="DZ21" s="272">
        <v>698588</v>
      </c>
      <c r="EA21" s="272">
        <v>402962</v>
      </c>
      <c r="EB21" s="272"/>
      <c r="EC21" s="272">
        <v>0</v>
      </c>
      <c r="ED21" s="272">
        <v>37497686</v>
      </c>
      <c r="EF21" s="272">
        <v>1080340</v>
      </c>
      <c r="EG21" s="272">
        <v>909426</v>
      </c>
      <c r="EH21" s="272">
        <v>170914</v>
      </c>
      <c r="EI21" s="272">
        <v>-44283</v>
      </c>
      <c r="EJ21" s="272">
        <v>-44283</v>
      </c>
      <c r="EL21" s="272"/>
      <c r="EM21" s="272">
        <v>132640</v>
      </c>
      <c r="EN21" s="272">
        <v>350000</v>
      </c>
      <c r="EO21" s="272">
        <v>161572</v>
      </c>
      <c r="EP21" s="455">
        <f t="shared" si="12"/>
        <v>940759</v>
      </c>
      <c r="EQ21" s="272">
        <v>23271513</v>
      </c>
      <c r="ER21" s="272">
        <v>-2610455</v>
      </c>
      <c r="ES21" s="272">
        <v>9019337</v>
      </c>
      <c r="ET21" s="272">
        <v>6715222</v>
      </c>
      <c r="EU21" s="272">
        <v>1364909</v>
      </c>
      <c r="EV21" s="272">
        <v>3091691</v>
      </c>
      <c r="EW21" s="455">
        <f t="shared" si="13"/>
        <v>653129</v>
      </c>
      <c r="EX21" s="272">
        <v>653079</v>
      </c>
      <c r="EY21" s="272">
        <v>2256</v>
      </c>
      <c r="EZ21" s="272">
        <v>650823</v>
      </c>
      <c r="FA21" s="272">
        <v>50</v>
      </c>
      <c r="FB21" s="272"/>
      <c r="FC21" s="272">
        <v>4113666</v>
      </c>
      <c r="FD21" s="272">
        <v>1726615</v>
      </c>
      <c r="FE21" s="272">
        <v>6224</v>
      </c>
      <c r="FF21" s="272">
        <v>4039849</v>
      </c>
      <c r="FG21" s="455">
        <f t="shared" si="14"/>
        <v>792432</v>
      </c>
      <c r="FH21" s="272">
        <v>24801628</v>
      </c>
      <c r="FI21" s="384">
        <f t="shared" si="15"/>
        <v>0.8</v>
      </c>
      <c r="FJ21" s="272">
        <v>22007423</v>
      </c>
      <c r="FK21" s="272"/>
      <c r="FL21" s="272">
        <v>12244616</v>
      </c>
      <c r="FM21" s="272">
        <v>18034483</v>
      </c>
      <c r="FN21" s="460">
        <v>0.67900000000000005</v>
      </c>
      <c r="FO21" s="388">
        <v>96.4</v>
      </c>
      <c r="FP21" s="388">
        <v>40.700000000000003</v>
      </c>
      <c r="FQ21" s="388">
        <v>6.3</v>
      </c>
      <c r="FR21" s="388">
        <v>14.3</v>
      </c>
      <c r="FS21" s="388">
        <v>17.8</v>
      </c>
      <c r="FT21" s="388">
        <v>6</v>
      </c>
      <c r="FU21" s="388">
        <v>10.3</v>
      </c>
      <c r="FV21" s="388">
        <v>11.1</v>
      </c>
      <c r="FW21" s="272">
        <v>29925325</v>
      </c>
      <c r="FX21" s="384">
        <f t="shared" si="16"/>
        <v>136</v>
      </c>
      <c r="FY21" s="272">
        <v>5192135</v>
      </c>
      <c r="FZ21" s="272"/>
      <c r="GA21" s="272">
        <v>761321</v>
      </c>
      <c r="GB21" s="272">
        <v>4430814</v>
      </c>
      <c r="GC21" s="272"/>
      <c r="GD21" s="272">
        <v>2772154</v>
      </c>
      <c r="GE21" s="384">
        <f t="shared" si="17"/>
        <v>12.6</v>
      </c>
      <c r="GF21" s="388">
        <v>96.5</v>
      </c>
      <c r="GG21" s="388">
        <v>22</v>
      </c>
      <c r="GH21" s="388">
        <v>90.5</v>
      </c>
      <c r="GI21" s="272">
        <v>973</v>
      </c>
    </row>
    <row r="22" spans="2:191" x14ac:dyDescent="0.15">
      <c r="B22" s="89" t="s">
        <v>37</v>
      </c>
      <c r="C22" s="272">
        <v>18532503</v>
      </c>
      <c r="D22" s="455">
        <f t="shared" si="0"/>
        <v>5810585</v>
      </c>
      <c r="E22" s="272">
        <v>92969</v>
      </c>
      <c r="F22" s="272">
        <v>5717616</v>
      </c>
      <c r="G22" s="455">
        <f t="shared" si="1"/>
        <v>1801977</v>
      </c>
      <c r="H22" s="272">
        <v>255881</v>
      </c>
      <c r="I22" s="272">
        <v>1546096</v>
      </c>
      <c r="J22" s="272">
        <v>8288629</v>
      </c>
      <c r="K22" s="272">
        <v>4488111</v>
      </c>
      <c r="L22" s="272">
        <v>2459429</v>
      </c>
      <c r="M22" s="272">
        <v>1218386</v>
      </c>
      <c r="N22" s="272">
        <v>648025</v>
      </c>
      <c r="O22" s="272">
        <v>1876165</v>
      </c>
      <c r="P22" s="272">
        <v>1328325</v>
      </c>
      <c r="Q22" s="272">
        <v>547840</v>
      </c>
      <c r="R22" s="272">
        <v>812778</v>
      </c>
      <c r="S22" s="272">
        <v>605951</v>
      </c>
      <c r="T22" s="455">
        <f t="shared" si="2"/>
        <v>906465</v>
      </c>
      <c r="U22" s="272">
        <v>585369</v>
      </c>
      <c r="V22" s="272"/>
      <c r="W22" s="272"/>
      <c r="X22" s="272"/>
      <c r="Y22" s="272">
        <v>4923</v>
      </c>
      <c r="Z22" s="272">
        <v>2679</v>
      </c>
      <c r="AA22" s="272">
        <v>313494</v>
      </c>
      <c r="AB22" s="272"/>
      <c r="AC22" s="272">
        <v>2524736</v>
      </c>
      <c r="AD22" s="272">
        <v>2148130</v>
      </c>
      <c r="AE22" s="272">
        <v>376606</v>
      </c>
      <c r="AF22" s="272">
        <v>27023</v>
      </c>
      <c r="AG22" s="272">
        <v>300909</v>
      </c>
      <c r="AH22" s="455">
        <f t="shared" si="3"/>
        <v>809049</v>
      </c>
      <c r="AI22" s="272">
        <v>453917</v>
      </c>
      <c r="AJ22" s="272">
        <v>355132</v>
      </c>
      <c r="AK22" s="272">
        <v>2746993</v>
      </c>
      <c r="AL22" s="455">
        <f t="shared" si="4"/>
        <v>1702469</v>
      </c>
      <c r="AM22" s="272">
        <v>1121931</v>
      </c>
      <c r="AN22" s="272">
        <v>427418</v>
      </c>
      <c r="AO22" s="272">
        <v>0</v>
      </c>
      <c r="AP22" s="272">
        <v>153120</v>
      </c>
      <c r="AQ22" s="272">
        <v>184561</v>
      </c>
      <c r="AR22" s="272">
        <v>724</v>
      </c>
      <c r="AS22" s="272">
        <v>0</v>
      </c>
      <c r="AT22" s="272">
        <v>1833322</v>
      </c>
      <c r="AU22" s="272">
        <v>517574</v>
      </c>
      <c r="AV22" s="272">
        <v>216490</v>
      </c>
      <c r="AW22" s="272">
        <v>18555</v>
      </c>
      <c r="AX22" s="272">
        <v>1315748</v>
      </c>
      <c r="AY22" s="272">
        <v>246839</v>
      </c>
      <c r="AZ22" s="272">
        <v>162757</v>
      </c>
      <c r="BA22" s="272">
        <v>0</v>
      </c>
      <c r="BB22" s="272">
        <v>533662</v>
      </c>
      <c r="BC22" s="272">
        <v>616643</v>
      </c>
      <c r="BD22" s="272">
        <v>500000</v>
      </c>
      <c r="BE22" s="272">
        <v>110000</v>
      </c>
      <c r="BF22" s="272">
        <v>6643</v>
      </c>
      <c r="BG22" s="272">
        <v>0</v>
      </c>
      <c r="BH22" s="272">
        <v>0</v>
      </c>
      <c r="BI22" s="272">
        <v>0</v>
      </c>
      <c r="BJ22" s="272">
        <v>2462624</v>
      </c>
      <c r="BK22" s="272">
        <v>1750016</v>
      </c>
      <c r="BL22" s="272">
        <v>411379</v>
      </c>
      <c r="BM22" s="272">
        <v>0</v>
      </c>
      <c r="BN22" s="272">
        <v>1161500</v>
      </c>
      <c r="BO22" s="455">
        <f t="shared" si="5"/>
        <v>661500</v>
      </c>
      <c r="BP22" s="455">
        <f t="shared" si="6"/>
        <v>500000</v>
      </c>
      <c r="BQ22" s="272">
        <v>500000</v>
      </c>
      <c r="BR22" s="272"/>
      <c r="BS22" s="272"/>
      <c r="BT22" s="272">
        <v>0</v>
      </c>
      <c r="BU22" s="272">
        <v>33430964</v>
      </c>
      <c r="BV22" s="272"/>
      <c r="BW22" s="272">
        <v>11044329</v>
      </c>
      <c r="BX22" s="272">
        <v>8756531</v>
      </c>
      <c r="BY22" s="272">
        <v>357827</v>
      </c>
      <c r="BZ22" s="272">
        <v>181453</v>
      </c>
      <c r="CA22" s="272">
        <v>4186647</v>
      </c>
      <c r="CB22" s="272">
        <v>389838</v>
      </c>
      <c r="CC22" s="272">
        <v>762733</v>
      </c>
      <c r="CD22" s="272">
        <v>1496669</v>
      </c>
      <c r="CE22" s="272">
        <v>1461816</v>
      </c>
      <c r="CF22" s="272">
        <v>973</v>
      </c>
      <c r="CG22" s="272">
        <v>72433</v>
      </c>
      <c r="CH22" s="272">
        <v>3280131</v>
      </c>
      <c r="CI22" s="272">
        <v>1974095</v>
      </c>
      <c r="CJ22" s="455">
        <f t="shared" si="7"/>
        <v>1306036</v>
      </c>
      <c r="CK22" s="272">
        <v>3195945</v>
      </c>
      <c r="CL22" s="272">
        <v>2017837</v>
      </c>
      <c r="CM22" s="272">
        <v>67846</v>
      </c>
      <c r="CN22" s="272">
        <v>699630</v>
      </c>
      <c r="CO22" s="272">
        <v>155344</v>
      </c>
      <c r="CP22" s="272">
        <v>2524244</v>
      </c>
      <c r="CQ22" s="272">
        <v>1372674</v>
      </c>
      <c r="CR22" s="272">
        <v>525433</v>
      </c>
      <c r="CS22" s="272">
        <v>417014</v>
      </c>
      <c r="CT22" s="455">
        <f t="shared" si="8"/>
        <v>47674</v>
      </c>
      <c r="CU22" s="272">
        <v>17674</v>
      </c>
      <c r="CV22" s="272">
        <v>30000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2724034</v>
      </c>
      <c r="DD22" s="272">
        <v>493416</v>
      </c>
      <c r="DE22" s="272">
        <v>2229140</v>
      </c>
      <c r="DF22" s="272">
        <v>0</v>
      </c>
      <c r="DG22" s="272">
        <v>1478</v>
      </c>
      <c r="DH22" s="272">
        <v>109583</v>
      </c>
      <c r="DI22" s="272">
        <v>1639164</v>
      </c>
      <c r="DJ22" s="272">
        <v>881536</v>
      </c>
      <c r="DK22" s="272">
        <v>26532</v>
      </c>
      <c r="DL22" s="272">
        <v>731096</v>
      </c>
      <c r="DM22" s="272">
        <v>3150</v>
      </c>
      <c r="DN22" s="272">
        <v>0</v>
      </c>
      <c r="DO22" s="272">
        <v>0</v>
      </c>
      <c r="DP22" s="272">
        <v>0</v>
      </c>
      <c r="DQ22" s="272">
        <v>1731944</v>
      </c>
      <c r="DR22" s="272">
        <v>0</v>
      </c>
      <c r="DS22" s="272">
        <v>0</v>
      </c>
      <c r="DT22" s="272">
        <v>2706406</v>
      </c>
      <c r="DU22" s="272">
        <v>1872957</v>
      </c>
      <c r="DV22" s="455">
        <f t="shared" si="11"/>
        <v>0</v>
      </c>
      <c r="DW22" s="272">
        <v>0</v>
      </c>
      <c r="DX22" s="272">
        <v>0</v>
      </c>
      <c r="DY22" s="272">
        <v>0</v>
      </c>
      <c r="DZ22" s="272">
        <v>486696</v>
      </c>
      <c r="EA22" s="272">
        <v>331340</v>
      </c>
      <c r="EB22" s="272"/>
      <c r="EC22" s="272">
        <v>170111</v>
      </c>
      <c r="ED22" s="272">
        <v>33471032</v>
      </c>
      <c r="EF22" s="272">
        <v>-40068</v>
      </c>
      <c r="EG22" s="272">
        <v>55891</v>
      </c>
      <c r="EH22" s="272">
        <v>-95959</v>
      </c>
      <c r="EI22" s="272">
        <v>156344</v>
      </c>
      <c r="EJ22" s="272">
        <v>537880</v>
      </c>
      <c r="EL22" s="272"/>
      <c r="EM22" s="272">
        <v>125846</v>
      </c>
      <c r="EN22" s="272">
        <v>610000</v>
      </c>
      <c r="EO22" s="272">
        <v>1153</v>
      </c>
      <c r="EP22" s="455">
        <f t="shared" si="12"/>
        <v>915844</v>
      </c>
      <c r="EQ22" s="272">
        <v>22803505</v>
      </c>
      <c r="ER22" s="272">
        <v>-1999974</v>
      </c>
      <c r="ES22" s="272">
        <v>10175087</v>
      </c>
      <c r="ET22" s="272">
        <v>7909728</v>
      </c>
      <c r="EU22" s="272">
        <v>1328289</v>
      </c>
      <c r="EV22" s="272">
        <v>3105567</v>
      </c>
      <c r="EW22" s="455">
        <f t="shared" si="13"/>
        <v>1296897</v>
      </c>
      <c r="EX22" s="272">
        <v>1189300</v>
      </c>
      <c r="EY22" s="272">
        <v>72912</v>
      </c>
      <c r="EZ22" s="272">
        <v>1116388</v>
      </c>
      <c r="FA22" s="272">
        <v>107597</v>
      </c>
      <c r="FB22" s="272"/>
      <c r="FC22" s="272">
        <v>2242842</v>
      </c>
      <c r="FD22" s="272">
        <v>2284281</v>
      </c>
      <c r="FE22" s="272">
        <v>1372674</v>
      </c>
      <c r="FF22" s="272">
        <v>2623202</v>
      </c>
      <c r="FG22" s="455">
        <f t="shared" si="14"/>
        <v>1787382</v>
      </c>
      <c r="FH22" s="272">
        <v>24843547</v>
      </c>
      <c r="FI22" s="384">
        <f t="shared" si="15"/>
        <v>-0.5</v>
      </c>
      <c r="FJ22" s="272">
        <v>20620032</v>
      </c>
      <c r="FK22" s="272"/>
      <c r="FL22" s="272">
        <v>13913658</v>
      </c>
      <c r="FM22" s="272">
        <v>16088280</v>
      </c>
      <c r="FN22" s="460">
        <v>0.86799999999999999</v>
      </c>
      <c r="FO22" s="388">
        <v>100.3</v>
      </c>
      <c r="FP22" s="388">
        <v>48.7</v>
      </c>
      <c r="FQ22" s="388">
        <v>6.4</v>
      </c>
      <c r="FR22" s="388">
        <v>15.1</v>
      </c>
      <c r="FS22" s="388">
        <v>10.4</v>
      </c>
      <c r="FT22" s="388">
        <v>9.1</v>
      </c>
      <c r="FU22" s="388">
        <v>10</v>
      </c>
      <c r="FV22" s="388">
        <v>11.1</v>
      </c>
      <c r="FW22" s="272">
        <v>20655501</v>
      </c>
      <c r="FX22" s="384">
        <f t="shared" si="16"/>
        <v>100.2</v>
      </c>
      <c r="FY22" s="272">
        <v>7620311</v>
      </c>
      <c r="FZ22" s="272">
        <v>2317271</v>
      </c>
      <c r="GA22" s="272">
        <v>1090749</v>
      </c>
      <c r="GB22" s="272">
        <v>4212291</v>
      </c>
      <c r="GC22" s="272"/>
      <c r="GD22" s="272">
        <v>12272939</v>
      </c>
      <c r="GE22" s="384">
        <f t="shared" si="17"/>
        <v>59.5</v>
      </c>
      <c r="GF22" s="388">
        <v>98.2</v>
      </c>
      <c r="GG22" s="388">
        <v>28.1</v>
      </c>
      <c r="GH22" s="388">
        <v>95.3</v>
      </c>
      <c r="GI22" s="272">
        <v>1099</v>
      </c>
    </row>
    <row r="23" spans="2:191" x14ac:dyDescent="0.15">
      <c r="B23" s="89" t="s">
        <v>39</v>
      </c>
      <c r="C23" s="272">
        <v>17666981</v>
      </c>
      <c r="D23" s="455">
        <f t="shared" si="0"/>
        <v>7255822</v>
      </c>
      <c r="E23" s="272">
        <v>103195</v>
      </c>
      <c r="F23" s="272">
        <v>7152627</v>
      </c>
      <c r="G23" s="455">
        <f t="shared" si="1"/>
        <v>949283</v>
      </c>
      <c r="H23" s="272">
        <v>222489</v>
      </c>
      <c r="I23" s="272">
        <v>726794</v>
      </c>
      <c r="J23" s="272">
        <v>6825394</v>
      </c>
      <c r="K23" s="272">
        <v>3611737</v>
      </c>
      <c r="L23" s="272">
        <v>2507355</v>
      </c>
      <c r="M23" s="272">
        <v>658758</v>
      </c>
      <c r="N23" s="272">
        <v>671503</v>
      </c>
      <c r="O23" s="272">
        <v>1653526</v>
      </c>
      <c r="P23" s="272">
        <v>1138798</v>
      </c>
      <c r="Q23" s="272">
        <v>514728</v>
      </c>
      <c r="R23" s="272">
        <v>852873</v>
      </c>
      <c r="S23" s="272">
        <v>589666</v>
      </c>
      <c r="T23" s="455">
        <f t="shared" si="2"/>
        <v>1139647</v>
      </c>
      <c r="U23" s="272">
        <v>740375</v>
      </c>
      <c r="V23" s="272"/>
      <c r="W23" s="272"/>
      <c r="X23" s="272"/>
      <c r="Y23" s="272">
        <v>0</v>
      </c>
      <c r="Z23" s="272">
        <v>442</v>
      </c>
      <c r="AA23" s="272">
        <v>398830</v>
      </c>
      <c r="AB23" s="272"/>
      <c r="AC23" s="272">
        <v>6019391</v>
      </c>
      <c r="AD23" s="272">
        <v>5172120</v>
      </c>
      <c r="AE23" s="272">
        <v>847271</v>
      </c>
      <c r="AF23" s="272">
        <v>26952</v>
      </c>
      <c r="AG23" s="272">
        <v>291351</v>
      </c>
      <c r="AH23" s="455">
        <f t="shared" si="3"/>
        <v>830577</v>
      </c>
      <c r="AI23" s="272">
        <v>772031</v>
      </c>
      <c r="AJ23" s="272">
        <v>58546</v>
      </c>
      <c r="AK23" s="272">
        <v>5277672</v>
      </c>
      <c r="AL23" s="455">
        <f t="shared" si="4"/>
        <v>2373320</v>
      </c>
      <c r="AM23" s="272">
        <v>1798822</v>
      </c>
      <c r="AN23" s="272">
        <v>386608</v>
      </c>
      <c r="AO23" s="272">
        <v>0</v>
      </c>
      <c r="AP23" s="272">
        <v>187890</v>
      </c>
      <c r="AQ23" s="272">
        <v>1131873</v>
      </c>
      <c r="AR23" s="272">
        <v>4411</v>
      </c>
      <c r="AS23" s="272">
        <v>269271</v>
      </c>
      <c r="AT23" s="272">
        <v>2675731</v>
      </c>
      <c r="AU23" s="272">
        <v>642184</v>
      </c>
      <c r="AV23" s="272">
        <v>196132</v>
      </c>
      <c r="AW23" s="272">
        <v>83395</v>
      </c>
      <c r="AX23" s="272">
        <v>2033547</v>
      </c>
      <c r="AY23" s="272">
        <v>508894</v>
      </c>
      <c r="AZ23" s="272">
        <v>441407</v>
      </c>
      <c r="BA23" s="272">
        <v>238137</v>
      </c>
      <c r="BB23" s="272">
        <v>1700708</v>
      </c>
      <c r="BC23" s="272">
        <v>1056080</v>
      </c>
      <c r="BD23" s="272">
        <v>26080</v>
      </c>
      <c r="BE23" s="272">
        <v>200000</v>
      </c>
      <c r="BF23" s="272">
        <v>830000</v>
      </c>
      <c r="BG23" s="272">
        <v>0</v>
      </c>
      <c r="BH23" s="272">
        <v>140448</v>
      </c>
      <c r="BI23" s="272">
        <v>90496</v>
      </c>
      <c r="BJ23" s="272">
        <v>3066183</v>
      </c>
      <c r="BK23" s="272">
        <v>576830</v>
      </c>
      <c r="BL23" s="272">
        <v>0</v>
      </c>
      <c r="BM23" s="272">
        <v>0</v>
      </c>
      <c r="BN23" s="272">
        <v>3793000</v>
      </c>
      <c r="BO23" s="455">
        <f t="shared" si="5"/>
        <v>2326700</v>
      </c>
      <c r="BP23" s="455">
        <f t="shared" si="6"/>
        <v>1466300</v>
      </c>
      <c r="BQ23" s="272">
        <v>1466300</v>
      </c>
      <c r="BR23" s="272"/>
      <c r="BS23" s="272"/>
      <c r="BT23" s="272">
        <v>0</v>
      </c>
      <c r="BU23" s="272">
        <v>45248272</v>
      </c>
      <c r="BV23" s="272"/>
      <c r="BW23" s="272">
        <v>13282411</v>
      </c>
      <c r="BX23" s="272">
        <v>9883424</v>
      </c>
      <c r="BY23" s="272">
        <v>1154493</v>
      </c>
      <c r="BZ23" s="272">
        <v>238995</v>
      </c>
      <c r="CA23" s="272">
        <v>5427378</v>
      </c>
      <c r="CB23" s="272">
        <v>643000</v>
      </c>
      <c r="CC23" s="272">
        <v>1146765</v>
      </c>
      <c r="CD23" s="272">
        <v>1110479</v>
      </c>
      <c r="CE23" s="272">
        <v>2430033</v>
      </c>
      <c r="CF23" s="272">
        <v>1865</v>
      </c>
      <c r="CG23" s="272">
        <v>86788</v>
      </c>
      <c r="CH23" s="272">
        <v>5015278</v>
      </c>
      <c r="CI23" s="272">
        <v>2413504</v>
      </c>
      <c r="CJ23" s="455">
        <f t="shared" si="7"/>
        <v>2601774</v>
      </c>
      <c r="CK23" s="272">
        <v>3297817</v>
      </c>
      <c r="CL23" s="272">
        <v>1867306</v>
      </c>
      <c r="CM23" s="272">
        <v>107141</v>
      </c>
      <c r="CN23" s="272">
        <v>749317</v>
      </c>
      <c r="CO23" s="272">
        <v>216916</v>
      </c>
      <c r="CP23" s="272">
        <v>3637831</v>
      </c>
      <c r="CQ23" s="272">
        <v>1547604</v>
      </c>
      <c r="CR23" s="272">
        <v>742833</v>
      </c>
      <c r="CS23" s="272">
        <v>626592</v>
      </c>
      <c r="CT23" s="455">
        <f t="shared" si="8"/>
        <v>754660</v>
      </c>
      <c r="CU23" s="272">
        <v>13000</v>
      </c>
      <c r="CV23" s="272">
        <v>741660</v>
      </c>
      <c r="CW23" s="455">
        <f t="shared" si="9"/>
        <v>728000</v>
      </c>
      <c r="CX23" s="272">
        <v>0</v>
      </c>
      <c r="CY23" s="272">
        <v>728000</v>
      </c>
      <c r="CZ23" s="455">
        <f t="shared" si="10"/>
        <v>0</v>
      </c>
      <c r="DA23" s="272">
        <v>0</v>
      </c>
      <c r="DB23" s="272">
        <v>0</v>
      </c>
      <c r="DC23" s="272">
        <v>8308591</v>
      </c>
      <c r="DD23" s="272">
        <v>3058001</v>
      </c>
      <c r="DE23" s="272">
        <v>5250590</v>
      </c>
      <c r="DF23" s="272">
        <v>0</v>
      </c>
      <c r="DG23" s="272">
        <v>0</v>
      </c>
      <c r="DH23" s="272">
        <v>32079</v>
      </c>
      <c r="DI23" s="272">
        <v>1712922</v>
      </c>
      <c r="DJ23" s="272">
        <v>1940</v>
      </c>
      <c r="DK23" s="272">
        <v>22380</v>
      </c>
      <c r="DL23" s="272">
        <v>1688602</v>
      </c>
      <c r="DM23" s="272">
        <v>6850</v>
      </c>
      <c r="DN23" s="272">
        <v>0</v>
      </c>
      <c r="DO23" s="272">
        <v>0</v>
      </c>
      <c r="DP23" s="272">
        <v>0</v>
      </c>
      <c r="DQ23" s="272">
        <v>1571150</v>
      </c>
      <c r="DR23" s="272">
        <v>1000000</v>
      </c>
      <c r="DS23" s="272">
        <v>1000000</v>
      </c>
      <c r="DT23" s="272">
        <v>2402390</v>
      </c>
      <c r="DU23" s="272">
        <v>1318328</v>
      </c>
      <c r="DV23" s="455">
        <f t="shared" si="11"/>
        <v>0</v>
      </c>
      <c r="DW23" s="272">
        <v>0</v>
      </c>
      <c r="DX23" s="272">
        <v>0</v>
      </c>
      <c r="DY23" s="272">
        <v>0</v>
      </c>
      <c r="DZ23" s="272">
        <v>630291</v>
      </c>
      <c r="EA23" s="272">
        <v>443771</v>
      </c>
      <c r="EB23" s="272"/>
      <c r="EC23" s="272">
        <v>0</v>
      </c>
      <c r="ED23" s="272">
        <v>44911613</v>
      </c>
      <c r="EF23" s="272">
        <v>336659</v>
      </c>
      <c r="EG23" s="272">
        <v>128153</v>
      </c>
      <c r="EH23" s="272">
        <v>208506</v>
      </c>
      <c r="EI23" s="272">
        <v>118010</v>
      </c>
      <c r="EJ23" s="272">
        <v>93870</v>
      </c>
      <c r="EL23" s="272"/>
      <c r="EM23" s="272">
        <v>154205</v>
      </c>
      <c r="EN23" s="272">
        <v>1056080</v>
      </c>
      <c r="EO23" s="272">
        <v>396826</v>
      </c>
      <c r="EP23" s="455">
        <f t="shared" si="12"/>
        <v>2867868</v>
      </c>
      <c r="EQ23" s="272">
        <v>25975115</v>
      </c>
      <c r="ER23" s="272">
        <v>-5490851</v>
      </c>
      <c r="ES23" s="272">
        <v>12063146</v>
      </c>
      <c r="ET23" s="272">
        <v>8976170</v>
      </c>
      <c r="EU23" s="272">
        <v>1839411</v>
      </c>
      <c r="EV23" s="272">
        <v>3648250</v>
      </c>
      <c r="EW23" s="455">
        <f t="shared" si="13"/>
        <v>2903160</v>
      </c>
      <c r="EX23" s="272">
        <v>2875492</v>
      </c>
      <c r="EY23" s="272">
        <v>270713</v>
      </c>
      <c r="EZ23" s="272">
        <v>2604779</v>
      </c>
      <c r="FA23" s="272">
        <v>27668</v>
      </c>
      <c r="FB23" s="272"/>
      <c r="FC23" s="272">
        <v>2631214</v>
      </c>
      <c r="FD23" s="272">
        <v>3320640</v>
      </c>
      <c r="FE23" s="272">
        <v>1547604</v>
      </c>
      <c r="FF23" s="272">
        <v>2348157</v>
      </c>
      <c r="FG23" s="455">
        <f t="shared" si="14"/>
        <v>2375329</v>
      </c>
      <c r="FH23" s="272">
        <v>31129307</v>
      </c>
      <c r="FI23" s="384">
        <f t="shared" si="15"/>
        <v>0.9</v>
      </c>
      <c r="FJ23" s="272">
        <v>23766754</v>
      </c>
      <c r="FK23" s="272"/>
      <c r="FL23" s="272">
        <v>14020053</v>
      </c>
      <c r="FM23" s="272">
        <v>19221836</v>
      </c>
      <c r="FN23" s="460">
        <v>0.75700000000000001</v>
      </c>
      <c r="FO23" s="388">
        <v>102.1</v>
      </c>
      <c r="FP23" s="388">
        <v>50.5</v>
      </c>
      <c r="FQ23" s="388">
        <v>7.8</v>
      </c>
      <c r="FR23" s="388">
        <v>15.5</v>
      </c>
      <c r="FS23" s="388">
        <v>10.6</v>
      </c>
      <c r="FT23" s="388">
        <v>12.1</v>
      </c>
      <c r="FU23" s="388">
        <v>4.8</v>
      </c>
      <c r="FV23" s="388">
        <v>11.8</v>
      </c>
      <c r="FW23" s="272">
        <v>33813719</v>
      </c>
      <c r="FX23" s="384">
        <f t="shared" si="16"/>
        <v>142.30000000000001</v>
      </c>
      <c r="FY23" s="272">
        <v>10972700</v>
      </c>
      <c r="FZ23" s="272">
        <v>73420</v>
      </c>
      <c r="GA23" s="272">
        <v>1322530</v>
      </c>
      <c r="GB23" s="272">
        <v>9576750</v>
      </c>
      <c r="GC23" s="272"/>
      <c r="GD23" s="272">
        <v>5648458</v>
      </c>
      <c r="GE23" s="384">
        <f t="shared" si="17"/>
        <v>23.8</v>
      </c>
      <c r="GF23" s="388">
        <v>97.6</v>
      </c>
      <c r="GG23" s="388">
        <v>34.299999999999997</v>
      </c>
      <c r="GH23" s="388">
        <v>94.2</v>
      </c>
      <c r="GI23" s="272">
        <v>1336</v>
      </c>
    </row>
    <row r="24" spans="2:191" x14ac:dyDescent="0.15">
      <c r="B24" s="89" t="s">
        <v>41</v>
      </c>
      <c r="C24" s="272">
        <v>22635237</v>
      </c>
      <c r="D24" s="455">
        <f t="shared" si="0"/>
        <v>10875094</v>
      </c>
      <c r="E24" s="272">
        <v>90390</v>
      </c>
      <c r="F24" s="272">
        <v>10784704</v>
      </c>
      <c r="G24" s="455">
        <f t="shared" si="1"/>
        <v>1123893</v>
      </c>
      <c r="H24" s="272">
        <v>238538</v>
      </c>
      <c r="I24" s="272">
        <v>885355</v>
      </c>
      <c r="J24" s="272">
        <v>7441262</v>
      </c>
      <c r="K24" s="272">
        <v>3792520</v>
      </c>
      <c r="L24" s="272">
        <v>3119410</v>
      </c>
      <c r="M24" s="272">
        <v>496588</v>
      </c>
      <c r="N24" s="272">
        <v>428295</v>
      </c>
      <c r="O24" s="272">
        <v>2159650</v>
      </c>
      <c r="P24" s="272">
        <v>1463572</v>
      </c>
      <c r="Q24" s="272">
        <v>696078</v>
      </c>
      <c r="R24" s="272">
        <v>752029</v>
      </c>
      <c r="S24" s="272">
        <v>510188</v>
      </c>
      <c r="T24" s="455">
        <f t="shared" si="2"/>
        <v>1476761</v>
      </c>
      <c r="U24" s="272">
        <v>1093103</v>
      </c>
      <c r="V24" s="272"/>
      <c r="W24" s="272"/>
      <c r="X24" s="272"/>
      <c r="Y24" s="272">
        <v>6346</v>
      </c>
      <c r="Z24" s="272">
        <v>11156</v>
      </c>
      <c r="AA24" s="272">
        <v>366156</v>
      </c>
      <c r="AB24" s="272"/>
      <c r="AC24" s="272">
        <v>100959</v>
      </c>
      <c r="AD24" s="272">
        <v>0</v>
      </c>
      <c r="AE24" s="272">
        <v>100959</v>
      </c>
      <c r="AF24" s="272">
        <v>32214</v>
      </c>
      <c r="AG24" s="272">
        <v>164155</v>
      </c>
      <c r="AH24" s="455">
        <f t="shared" si="3"/>
        <v>603755</v>
      </c>
      <c r="AI24" s="272">
        <v>488560</v>
      </c>
      <c r="AJ24" s="272">
        <v>115195</v>
      </c>
      <c r="AK24" s="272">
        <v>4617791</v>
      </c>
      <c r="AL24" s="455">
        <f t="shared" si="4"/>
        <v>803151</v>
      </c>
      <c r="AM24" s="272">
        <v>356983</v>
      </c>
      <c r="AN24" s="272">
        <v>262931</v>
      </c>
      <c r="AO24" s="272">
        <v>0</v>
      </c>
      <c r="AP24" s="272">
        <v>183237</v>
      </c>
      <c r="AQ24" s="272">
        <v>730189</v>
      </c>
      <c r="AR24" s="272">
        <v>14415</v>
      </c>
      <c r="AS24" s="272">
        <v>0</v>
      </c>
      <c r="AT24" s="272">
        <v>1727947</v>
      </c>
      <c r="AU24" s="272">
        <v>519188</v>
      </c>
      <c r="AV24" s="272">
        <v>79392</v>
      </c>
      <c r="AW24" s="272">
        <v>95344</v>
      </c>
      <c r="AX24" s="272">
        <v>1208759</v>
      </c>
      <c r="AY24" s="272">
        <v>239234</v>
      </c>
      <c r="AZ24" s="272">
        <v>1732643</v>
      </c>
      <c r="BA24" s="272">
        <v>8906</v>
      </c>
      <c r="BB24" s="272">
        <v>196694</v>
      </c>
      <c r="BC24" s="272">
        <v>5726932</v>
      </c>
      <c r="BD24" s="272">
        <v>1275631</v>
      </c>
      <c r="BE24" s="272">
        <v>162387</v>
      </c>
      <c r="BF24" s="272">
        <v>4152732</v>
      </c>
      <c r="BG24" s="272">
        <v>0</v>
      </c>
      <c r="BH24" s="272">
        <v>1107961</v>
      </c>
      <c r="BI24" s="272">
        <v>393195</v>
      </c>
      <c r="BJ24" s="272">
        <v>6761873</v>
      </c>
      <c r="BK24" s="272">
        <v>3020152</v>
      </c>
      <c r="BL24" s="272">
        <v>10600</v>
      </c>
      <c r="BM24" s="272">
        <v>3500000</v>
      </c>
      <c r="BN24" s="272">
        <v>4496000</v>
      </c>
      <c r="BO24" s="455">
        <f t="shared" si="5"/>
        <v>2637600</v>
      </c>
      <c r="BP24" s="455">
        <f t="shared" si="6"/>
        <v>1858400</v>
      </c>
      <c r="BQ24" s="272">
        <v>1858400</v>
      </c>
      <c r="BR24" s="272"/>
      <c r="BS24" s="272"/>
      <c r="BT24" s="272">
        <v>0</v>
      </c>
      <c r="BU24" s="272">
        <v>52132951</v>
      </c>
      <c r="BV24" s="272"/>
      <c r="BW24" s="272">
        <v>11405457</v>
      </c>
      <c r="BX24" s="272">
        <v>8532471</v>
      </c>
      <c r="BY24" s="272">
        <v>527132</v>
      </c>
      <c r="BZ24" s="272">
        <v>534167</v>
      </c>
      <c r="CA24" s="272">
        <v>2051596</v>
      </c>
      <c r="CB24" s="272">
        <v>253334</v>
      </c>
      <c r="CC24" s="272">
        <v>751914</v>
      </c>
      <c r="CD24" s="272">
        <v>447672</v>
      </c>
      <c r="CE24" s="272">
        <v>531002</v>
      </c>
      <c r="CF24" s="272">
        <v>0</v>
      </c>
      <c r="CG24" s="272">
        <v>22758</v>
      </c>
      <c r="CH24" s="272">
        <v>4785992</v>
      </c>
      <c r="CI24" s="272">
        <v>990076</v>
      </c>
      <c r="CJ24" s="455">
        <f t="shared" si="7"/>
        <v>3795916</v>
      </c>
      <c r="CK24" s="272">
        <v>5915139</v>
      </c>
      <c r="CL24" s="272">
        <v>3449320</v>
      </c>
      <c r="CM24" s="272">
        <v>141634</v>
      </c>
      <c r="CN24" s="272">
        <v>1370030</v>
      </c>
      <c r="CO24" s="272">
        <v>248522</v>
      </c>
      <c r="CP24" s="272">
        <v>3371943</v>
      </c>
      <c r="CQ24" s="272">
        <v>92653</v>
      </c>
      <c r="CR24" s="272">
        <v>940566</v>
      </c>
      <c r="CS24" s="272">
        <v>694085</v>
      </c>
      <c r="CT24" s="455">
        <f t="shared" si="8"/>
        <v>1694371</v>
      </c>
      <c r="CU24" s="272">
        <v>514857</v>
      </c>
      <c r="CV24" s="272">
        <v>1179514</v>
      </c>
      <c r="CW24" s="455">
        <f t="shared" si="9"/>
        <v>1416729</v>
      </c>
      <c r="CX24" s="272">
        <v>509150</v>
      </c>
      <c r="CY24" s="272">
        <v>907579</v>
      </c>
      <c r="CZ24" s="455">
        <f t="shared" si="10"/>
        <v>0</v>
      </c>
      <c r="DA24" s="272">
        <v>0</v>
      </c>
      <c r="DB24" s="272">
        <v>0</v>
      </c>
      <c r="DC24" s="272">
        <v>10637188</v>
      </c>
      <c r="DD24" s="272">
        <v>1603093</v>
      </c>
      <c r="DE24" s="272">
        <v>9028101</v>
      </c>
      <c r="DF24" s="272">
        <v>0</v>
      </c>
      <c r="DG24" s="272">
        <v>5994</v>
      </c>
      <c r="DH24" s="272">
        <v>121076</v>
      </c>
      <c r="DI24" s="272">
        <v>3114191</v>
      </c>
      <c r="DJ24" s="272">
        <v>829494</v>
      </c>
      <c r="DK24" s="272">
        <v>132757</v>
      </c>
      <c r="DL24" s="272">
        <v>2151940</v>
      </c>
      <c r="DM24" s="272">
        <v>738966</v>
      </c>
      <c r="DN24" s="272">
        <v>729886</v>
      </c>
      <c r="DO24" s="272">
        <v>277</v>
      </c>
      <c r="DP24" s="272">
        <v>729609</v>
      </c>
      <c r="DQ24" s="272">
        <v>3263610</v>
      </c>
      <c r="DR24" s="272">
        <v>3648</v>
      </c>
      <c r="DS24" s="272">
        <v>0</v>
      </c>
      <c r="DT24" s="272">
        <v>3048001</v>
      </c>
      <c r="DU24" s="272">
        <v>1860000</v>
      </c>
      <c r="DV24" s="455">
        <f t="shared" si="11"/>
        <v>0</v>
      </c>
      <c r="DW24" s="272">
        <v>0</v>
      </c>
      <c r="DX24" s="272">
        <v>0</v>
      </c>
      <c r="DY24" s="272">
        <v>0</v>
      </c>
      <c r="DZ24" s="272">
        <v>682956</v>
      </c>
      <c r="EA24" s="272">
        <v>363956</v>
      </c>
      <c r="EB24" s="272"/>
      <c r="EC24" s="272">
        <v>0</v>
      </c>
      <c r="ED24" s="272">
        <v>48701681</v>
      </c>
      <c r="EF24" s="272">
        <v>3431270</v>
      </c>
      <c r="EG24" s="272">
        <v>2417027</v>
      </c>
      <c r="EH24" s="272">
        <v>1014243</v>
      </c>
      <c r="EI24" s="272">
        <v>221048</v>
      </c>
      <c r="EJ24" s="272">
        <v>-225089</v>
      </c>
      <c r="EL24" s="272"/>
      <c r="EM24" s="272">
        <v>122265</v>
      </c>
      <c r="EN24" s="272">
        <v>3246540</v>
      </c>
      <c r="EO24" s="272">
        <v>58001</v>
      </c>
      <c r="EP24" s="455">
        <f t="shared" si="12"/>
        <v>4227758</v>
      </c>
      <c r="EQ24" s="272">
        <v>24997200</v>
      </c>
      <c r="ER24" s="272">
        <v>-9358485</v>
      </c>
      <c r="ES24" s="272">
        <v>10877832</v>
      </c>
      <c r="ET24" s="272">
        <v>8137691</v>
      </c>
      <c r="EU24" s="272">
        <v>609124</v>
      </c>
      <c r="EV24" s="272">
        <v>2106423</v>
      </c>
      <c r="EW24" s="455">
        <f t="shared" si="13"/>
        <v>5337306</v>
      </c>
      <c r="EX24" s="272">
        <v>5231067</v>
      </c>
      <c r="EY24" s="272">
        <v>219577</v>
      </c>
      <c r="EZ24" s="272">
        <v>5011490</v>
      </c>
      <c r="FA24" s="272">
        <v>106239</v>
      </c>
      <c r="FB24" s="272"/>
      <c r="FC24" s="272">
        <v>4743963</v>
      </c>
      <c r="FD24" s="272">
        <v>2421031</v>
      </c>
      <c r="FE24" s="272">
        <v>92653</v>
      </c>
      <c r="FF24" s="272">
        <v>2981478</v>
      </c>
      <c r="FG24" s="455">
        <f t="shared" si="14"/>
        <v>1864551</v>
      </c>
      <c r="FH24" s="272">
        <v>30941708</v>
      </c>
      <c r="FI24" s="384">
        <f t="shared" si="15"/>
        <v>4.2</v>
      </c>
      <c r="FJ24" s="272">
        <v>23958049</v>
      </c>
      <c r="FK24" s="272"/>
      <c r="FL24" s="272">
        <v>18038312</v>
      </c>
      <c r="FM24" s="272">
        <v>16082489</v>
      </c>
      <c r="FN24" s="460">
        <v>1.1539999999999999</v>
      </c>
      <c r="FO24" s="388">
        <v>87.5</v>
      </c>
      <c r="FP24" s="388">
        <v>46.4</v>
      </c>
      <c r="FQ24" s="388">
        <v>2.6</v>
      </c>
      <c r="FR24" s="388">
        <v>9.1999999999999993</v>
      </c>
      <c r="FS24" s="388">
        <v>17.600000000000001</v>
      </c>
      <c r="FT24" s="388">
        <v>7.1</v>
      </c>
      <c r="FU24" s="388">
        <v>3.6</v>
      </c>
      <c r="FV24" s="388">
        <v>5.7</v>
      </c>
      <c r="FW24" s="272">
        <v>23911224</v>
      </c>
      <c r="FX24" s="384">
        <f t="shared" si="16"/>
        <v>99.8</v>
      </c>
      <c r="FY24" s="272">
        <v>40549535</v>
      </c>
      <c r="FZ24" s="272">
        <v>7574779</v>
      </c>
      <c r="GA24" s="272">
        <v>3660066</v>
      </c>
      <c r="GB24" s="272">
        <v>29314690</v>
      </c>
      <c r="GC24" s="272"/>
      <c r="GD24" s="272">
        <v>17318534</v>
      </c>
      <c r="GE24" s="384">
        <f t="shared" si="17"/>
        <v>72.3</v>
      </c>
      <c r="GF24" s="388">
        <v>97.7</v>
      </c>
      <c r="GG24" s="388">
        <v>18.100000000000001</v>
      </c>
      <c r="GH24" s="388">
        <v>93.2</v>
      </c>
      <c r="GI24" s="272">
        <v>1211</v>
      </c>
    </row>
    <row r="25" spans="2:191" x14ac:dyDescent="0.15">
      <c r="B25" s="89" t="s">
        <v>43</v>
      </c>
      <c r="C25" s="272">
        <v>9677768</v>
      </c>
      <c r="D25" s="455">
        <f t="shared" si="0"/>
        <v>3654980</v>
      </c>
      <c r="E25" s="272">
        <v>55092</v>
      </c>
      <c r="F25" s="272">
        <v>3599888</v>
      </c>
      <c r="G25" s="455">
        <f t="shared" si="1"/>
        <v>944864</v>
      </c>
      <c r="H25" s="272">
        <v>116953</v>
      </c>
      <c r="I25" s="272">
        <v>827911</v>
      </c>
      <c r="J25" s="272">
        <v>3849852</v>
      </c>
      <c r="K25" s="272">
        <v>1741314</v>
      </c>
      <c r="L25" s="272">
        <v>1248169</v>
      </c>
      <c r="M25" s="272">
        <v>831456</v>
      </c>
      <c r="N25" s="272">
        <v>297619</v>
      </c>
      <c r="O25" s="272">
        <v>879245</v>
      </c>
      <c r="P25" s="272">
        <v>602257</v>
      </c>
      <c r="Q25" s="272">
        <v>276988</v>
      </c>
      <c r="R25" s="272">
        <v>471685</v>
      </c>
      <c r="S25" s="272">
        <v>330520</v>
      </c>
      <c r="T25" s="455">
        <f t="shared" si="2"/>
        <v>599375</v>
      </c>
      <c r="U25" s="272">
        <v>383979</v>
      </c>
      <c r="V25" s="272"/>
      <c r="W25" s="272"/>
      <c r="X25" s="272"/>
      <c r="Y25" s="272">
        <v>0</v>
      </c>
      <c r="Z25" s="272">
        <v>1327</v>
      </c>
      <c r="AA25" s="272">
        <v>214069</v>
      </c>
      <c r="AB25" s="272"/>
      <c r="AC25" s="272">
        <v>3491936</v>
      </c>
      <c r="AD25" s="272">
        <v>3166082</v>
      </c>
      <c r="AE25" s="272">
        <v>325854</v>
      </c>
      <c r="AF25" s="272">
        <v>16389</v>
      </c>
      <c r="AG25" s="272">
        <v>175725</v>
      </c>
      <c r="AH25" s="455">
        <f t="shared" si="3"/>
        <v>328206</v>
      </c>
      <c r="AI25" s="272">
        <v>261183</v>
      </c>
      <c r="AJ25" s="272">
        <v>67023</v>
      </c>
      <c r="AK25" s="272">
        <v>1525466</v>
      </c>
      <c r="AL25" s="455">
        <f t="shared" si="4"/>
        <v>962511</v>
      </c>
      <c r="AM25" s="272">
        <v>630522</v>
      </c>
      <c r="AN25" s="272">
        <v>225164</v>
      </c>
      <c r="AO25" s="272">
        <v>0</v>
      </c>
      <c r="AP25" s="272">
        <v>106825</v>
      </c>
      <c r="AQ25" s="272">
        <v>300004</v>
      </c>
      <c r="AR25" s="272">
        <v>0</v>
      </c>
      <c r="AS25" s="272">
        <v>0</v>
      </c>
      <c r="AT25" s="272">
        <v>963312</v>
      </c>
      <c r="AU25" s="272">
        <v>223969</v>
      </c>
      <c r="AV25" s="272">
        <v>68854</v>
      </c>
      <c r="AW25" s="272">
        <v>0</v>
      </c>
      <c r="AX25" s="272">
        <v>739343</v>
      </c>
      <c r="AY25" s="272">
        <v>184071</v>
      </c>
      <c r="AZ25" s="272">
        <v>238090</v>
      </c>
      <c r="BA25" s="272">
        <v>47776</v>
      </c>
      <c r="BB25" s="272">
        <v>482171</v>
      </c>
      <c r="BC25" s="272">
        <v>1146225</v>
      </c>
      <c r="BD25" s="272">
        <v>100000</v>
      </c>
      <c r="BE25" s="272">
        <v>0</v>
      </c>
      <c r="BF25" s="272">
        <v>1046225</v>
      </c>
      <c r="BG25" s="272">
        <v>0</v>
      </c>
      <c r="BH25" s="272">
        <v>33598</v>
      </c>
      <c r="BI25" s="272">
        <v>26630</v>
      </c>
      <c r="BJ25" s="272">
        <v>2425483</v>
      </c>
      <c r="BK25" s="272">
        <v>2236096</v>
      </c>
      <c r="BL25" s="272">
        <v>1691</v>
      </c>
      <c r="BM25" s="272">
        <v>0</v>
      </c>
      <c r="BN25" s="272">
        <v>1078500</v>
      </c>
      <c r="BO25" s="455">
        <f t="shared" si="5"/>
        <v>334700</v>
      </c>
      <c r="BP25" s="455">
        <f t="shared" si="6"/>
        <v>743800</v>
      </c>
      <c r="BQ25" s="272">
        <v>743800</v>
      </c>
      <c r="BR25" s="272"/>
      <c r="BS25" s="272"/>
      <c r="BT25" s="272">
        <v>0</v>
      </c>
      <c r="BU25" s="272">
        <v>22653929</v>
      </c>
      <c r="BV25" s="272"/>
      <c r="BW25" s="272">
        <v>4695571</v>
      </c>
      <c r="BX25" s="272">
        <v>3438200</v>
      </c>
      <c r="BY25" s="272">
        <v>299048</v>
      </c>
      <c r="BZ25" s="272">
        <v>81971</v>
      </c>
      <c r="CA25" s="272">
        <v>2228299</v>
      </c>
      <c r="CB25" s="272">
        <v>224291</v>
      </c>
      <c r="CC25" s="272">
        <v>547739</v>
      </c>
      <c r="CD25" s="272">
        <v>574254</v>
      </c>
      <c r="CE25" s="272">
        <v>802572</v>
      </c>
      <c r="CF25" s="272">
        <v>0</v>
      </c>
      <c r="CG25" s="272">
        <v>78240</v>
      </c>
      <c r="CH25" s="272">
        <v>1420338</v>
      </c>
      <c r="CI25" s="272">
        <v>685733</v>
      </c>
      <c r="CJ25" s="455">
        <f t="shared" si="7"/>
        <v>734605</v>
      </c>
      <c r="CK25" s="272">
        <v>2162992</v>
      </c>
      <c r="CL25" s="272">
        <v>1166700</v>
      </c>
      <c r="CM25" s="272">
        <v>95567</v>
      </c>
      <c r="CN25" s="272">
        <v>431660</v>
      </c>
      <c r="CO25" s="272">
        <v>201414</v>
      </c>
      <c r="CP25" s="272">
        <v>3173479</v>
      </c>
      <c r="CQ25" s="272">
        <v>2058818</v>
      </c>
      <c r="CR25" s="272">
        <v>455504</v>
      </c>
      <c r="CS25" s="272">
        <v>428026</v>
      </c>
      <c r="CT25" s="455">
        <f t="shared" si="8"/>
        <v>252654</v>
      </c>
      <c r="CU25" s="272">
        <v>3644</v>
      </c>
      <c r="CV25" s="272">
        <v>249010</v>
      </c>
      <c r="CW25" s="455">
        <f t="shared" si="9"/>
        <v>249010</v>
      </c>
      <c r="CX25" s="272">
        <v>0</v>
      </c>
      <c r="CY25" s="272">
        <v>249010</v>
      </c>
      <c r="CZ25" s="455">
        <f t="shared" si="10"/>
        <v>0</v>
      </c>
      <c r="DA25" s="272">
        <v>0</v>
      </c>
      <c r="DB25" s="272">
        <v>0</v>
      </c>
      <c r="DC25" s="272">
        <v>2767864</v>
      </c>
      <c r="DD25" s="272">
        <v>600962</v>
      </c>
      <c r="DE25" s="272">
        <v>2158373</v>
      </c>
      <c r="DF25" s="272">
        <v>8529</v>
      </c>
      <c r="DG25" s="272">
        <v>0</v>
      </c>
      <c r="DH25" s="272">
        <v>0</v>
      </c>
      <c r="DI25" s="272">
        <v>1743595</v>
      </c>
      <c r="DJ25" s="272">
        <v>69080</v>
      </c>
      <c r="DK25" s="272">
        <v>16509</v>
      </c>
      <c r="DL25" s="272">
        <v>1658006</v>
      </c>
      <c r="DM25" s="272">
        <v>3500</v>
      </c>
      <c r="DN25" s="272">
        <v>0</v>
      </c>
      <c r="DO25" s="272">
        <v>0</v>
      </c>
      <c r="DP25" s="272">
        <v>0</v>
      </c>
      <c r="DQ25" s="272">
        <v>2161800</v>
      </c>
      <c r="DR25" s="272">
        <v>0</v>
      </c>
      <c r="DS25" s="272">
        <v>0</v>
      </c>
      <c r="DT25" s="272">
        <v>1967751</v>
      </c>
      <c r="DU25" s="272">
        <v>1300000</v>
      </c>
      <c r="DV25" s="455">
        <f t="shared" si="11"/>
        <v>0</v>
      </c>
      <c r="DW25" s="272">
        <v>0</v>
      </c>
      <c r="DX25" s="272">
        <v>0</v>
      </c>
      <c r="DY25" s="272">
        <v>0</v>
      </c>
      <c r="DZ25" s="272">
        <v>389558</v>
      </c>
      <c r="EA25" s="272">
        <v>257280</v>
      </c>
      <c r="EB25" s="272"/>
      <c r="EC25" s="272">
        <v>0</v>
      </c>
      <c r="ED25" s="272">
        <v>22526603</v>
      </c>
      <c r="EF25" s="272">
        <v>127326</v>
      </c>
      <c r="EG25" s="272">
        <v>87785</v>
      </c>
      <c r="EH25" s="272">
        <v>39541</v>
      </c>
      <c r="EI25" s="272">
        <v>-17089</v>
      </c>
      <c r="EJ25" s="272">
        <v>-48009</v>
      </c>
      <c r="EL25" s="272"/>
      <c r="EM25" s="272">
        <v>77210</v>
      </c>
      <c r="EN25" s="272">
        <v>100000</v>
      </c>
      <c r="EO25" s="272">
        <v>55164</v>
      </c>
      <c r="EP25" s="455">
        <f t="shared" si="12"/>
        <v>706141</v>
      </c>
      <c r="EQ25" s="272">
        <v>14257153</v>
      </c>
      <c r="ER25" s="272">
        <v>-1588716</v>
      </c>
      <c r="ES25" s="272">
        <v>4339070</v>
      </c>
      <c r="ET25" s="272">
        <v>3082496</v>
      </c>
      <c r="EU25" s="272">
        <v>665299</v>
      </c>
      <c r="EV25" s="272">
        <v>1416528</v>
      </c>
      <c r="EW25" s="455">
        <f t="shared" si="13"/>
        <v>1723209</v>
      </c>
      <c r="EX25" s="272">
        <v>1723209</v>
      </c>
      <c r="EY25" s="272">
        <v>158583</v>
      </c>
      <c r="EZ25" s="272">
        <v>1556097</v>
      </c>
      <c r="FA25" s="272">
        <v>0</v>
      </c>
      <c r="FB25" s="272"/>
      <c r="FC25" s="272">
        <v>1805749</v>
      </c>
      <c r="FD25" s="272">
        <v>2916576</v>
      </c>
      <c r="FE25" s="272">
        <v>2058818</v>
      </c>
      <c r="FF25" s="272">
        <v>1916497</v>
      </c>
      <c r="FG25" s="455">
        <f t="shared" si="14"/>
        <v>935615</v>
      </c>
      <c r="FH25" s="272">
        <v>15718543</v>
      </c>
      <c r="FI25" s="384">
        <f t="shared" si="15"/>
        <v>0.3</v>
      </c>
      <c r="FJ25" s="272">
        <v>13298178</v>
      </c>
      <c r="FK25" s="272"/>
      <c r="FL25" s="272">
        <v>7638896</v>
      </c>
      <c r="FM25" s="272">
        <v>10816653</v>
      </c>
      <c r="FN25" s="460">
        <v>0.71699999999999997</v>
      </c>
      <c r="FO25" s="388">
        <v>89.9</v>
      </c>
      <c r="FP25" s="388">
        <v>32.5</v>
      </c>
      <c r="FQ25" s="388">
        <v>5.0999999999999996</v>
      </c>
      <c r="FR25" s="388">
        <v>10.8</v>
      </c>
      <c r="FS25" s="388">
        <v>13.6</v>
      </c>
      <c r="FT25" s="388">
        <v>19.2</v>
      </c>
      <c r="FU25" s="388">
        <v>7.2</v>
      </c>
      <c r="FV25" s="388">
        <v>7.8</v>
      </c>
      <c r="FW25" s="272">
        <v>11903332</v>
      </c>
      <c r="FX25" s="384">
        <f t="shared" si="16"/>
        <v>89.5</v>
      </c>
      <c r="FY25" s="272">
        <v>7167827</v>
      </c>
      <c r="FZ25" s="272">
        <v>2456706</v>
      </c>
      <c r="GA25" s="272">
        <v>602909</v>
      </c>
      <c r="GB25" s="272">
        <v>4108212</v>
      </c>
      <c r="GC25" s="272"/>
      <c r="GD25" s="272">
        <v>3486517</v>
      </c>
      <c r="GE25" s="384">
        <f t="shared" si="17"/>
        <v>26.2</v>
      </c>
      <c r="GF25" s="388">
        <v>96.9</v>
      </c>
      <c r="GG25" s="388">
        <v>35.5</v>
      </c>
      <c r="GH25" s="388">
        <v>92.9</v>
      </c>
      <c r="GI25" s="272">
        <v>476</v>
      </c>
    </row>
    <row r="26" spans="2:191" x14ac:dyDescent="0.15">
      <c r="B26" s="89" t="s">
        <v>45</v>
      </c>
      <c r="C26" s="272">
        <v>13115053</v>
      </c>
      <c r="D26" s="455">
        <f t="shared" si="0"/>
        <v>6225853</v>
      </c>
      <c r="E26" s="272">
        <v>81346</v>
      </c>
      <c r="F26" s="272">
        <v>6144507</v>
      </c>
      <c r="G26" s="455">
        <f t="shared" si="1"/>
        <v>811446</v>
      </c>
      <c r="H26" s="272">
        <v>143804</v>
      </c>
      <c r="I26" s="272">
        <v>667642</v>
      </c>
      <c r="J26" s="272">
        <v>4365578</v>
      </c>
      <c r="K26" s="272">
        <v>2203407</v>
      </c>
      <c r="L26" s="272">
        <v>1682165</v>
      </c>
      <c r="M26" s="272">
        <v>467339</v>
      </c>
      <c r="N26" s="272">
        <v>424740</v>
      </c>
      <c r="O26" s="272">
        <v>1173503</v>
      </c>
      <c r="P26" s="272">
        <v>815305</v>
      </c>
      <c r="Q26" s="272">
        <v>358198</v>
      </c>
      <c r="R26" s="272">
        <v>656293</v>
      </c>
      <c r="S26" s="272">
        <v>450097</v>
      </c>
      <c r="T26" s="455">
        <f t="shared" si="2"/>
        <v>944420</v>
      </c>
      <c r="U26" s="272">
        <v>631403</v>
      </c>
      <c r="V26" s="272"/>
      <c r="W26" s="272"/>
      <c r="X26" s="272"/>
      <c r="Y26" s="272">
        <v>0</v>
      </c>
      <c r="Z26" s="272">
        <v>240</v>
      </c>
      <c r="AA26" s="272">
        <v>312777</v>
      </c>
      <c r="AB26" s="272"/>
      <c r="AC26" s="272">
        <v>4821824</v>
      </c>
      <c r="AD26" s="272">
        <v>4483379</v>
      </c>
      <c r="AE26" s="272">
        <v>338445</v>
      </c>
      <c r="AF26" s="272">
        <v>26201</v>
      </c>
      <c r="AG26" s="272">
        <v>193554</v>
      </c>
      <c r="AH26" s="455">
        <f t="shared" si="3"/>
        <v>352370</v>
      </c>
      <c r="AI26" s="272">
        <v>320940</v>
      </c>
      <c r="AJ26" s="272">
        <v>31430</v>
      </c>
      <c r="AK26" s="272">
        <v>2658860</v>
      </c>
      <c r="AL26" s="455">
        <f t="shared" si="4"/>
        <v>1435978</v>
      </c>
      <c r="AM26" s="272">
        <v>1119784</v>
      </c>
      <c r="AN26" s="272">
        <v>263409</v>
      </c>
      <c r="AO26" s="272">
        <v>0</v>
      </c>
      <c r="AP26" s="272">
        <v>52785</v>
      </c>
      <c r="AQ26" s="272">
        <v>214969</v>
      </c>
      <c r="AR26" s="272">
        <v>0</v>
      </c>
      <c r="AS26" s="272">
        <v>0</v>
      </c>
      <c r="AT26" s="272">
        <v>2442328</v>
      </c>
      <c r="AU26" s="272">
        <v>712944</v>
      </c>
      <c r="AV26" s="272">
        <v>165309</v>
      </c>
      <c r="AW26" s="272">
        <v>12376</v>
      </c>
      <c r="AX26" s="272">
        <v>1729384</v>
      </c>
      <c r="AY26" s="272">
        <v>873689</v>
      </c>
      <c r="AZ26" s="272">
        <v>539420</v>
      </c>
      <c r="BA26" s="272">
        <v>370894</v>
      </c>
      <c r="BB26" s="272">
        <v>186802</v>
      </c>
      <c r="BC26" s="272">
        <v>804000</v>
      </c>
      <c r="BD26" s="272">
        <v>0</v>
      </c>
      <c r="BE26" s="272">
        <v>74000</v>
      </c>
      <c r="BF26" s="272">
        <v>730000</v>
      </c>
      <c r="BG26" s="470">
        <v>0</v>
      </c>
      <c r="BH26" s="272">
        <v>1037781</v>
      </c>
      <c r="BI26" s="272">
        <v>1011774</v>
      </c>
      <c r="BJ26" s="272">
        <v>300989</v>
      </c>
      <c r="BK26" s="272">
        <v>2200</v>
      </c>
      <c r="BL26" s="272">
        <v>0</v>
      </c>
      <c r="BM26" s="272">
        <v>0</v>
      </c>
      <c r="BN26" s="272">
        <v>2805500</v>
      </c>
      <c r="BO26" s="455">
        <f t="shared" si="5"/>
        <v>1603400</v>
      </c>
      <c r="BP26" s="455">
        <f t="shared" si="6"/>
        <v>1202100</v>
      </c>
      <c r="BQ26" s="272">
        <v>1202100</v>
      </c>
      <c r="BR26" s="272"/>
      <c r="BS26" s="272"/>
      <c r="BT26" s="272">
        <v>0</v>
      </c>
      <c r="BU26" s="272">
        <v>30885395</v>
      </c>
      <c r="BV26" s="272"/>
      <c r="BW26" s="272">
        <v>7425149</v>
      </c>
      <c r="BX26" s="272">
        <v>5712305</v>
      </c>
      <c r="BY26" s="272">
        <v>357199</v>
      </c>
      <c r="BZ26" s="272">
        <v>66871</v>
      </c>
      <c r="CA26" s="272">
        <v>3753122</v>
      </c>
      <c r="CB26" s="272">
        <v>509367</v>
      </c>
      <c r="CC26" s="272">
        <v>722952</v>
      </c>
      <c r="CD26" s="272">
        <v>955358</v>
      </c>
      <c r="CE26" s="272">
        <v>1500396</v>
      </c>
      <c r="CF26" s="272">
        <v>0</v>
      </c>
      <c r="CG26" s="272">
        <v>64494</v>
      </c>
      <c r="CH26" s="272">
        <v>2349002</v>
      </c>
      <c r="CI26" s="272">
        <v>1145909</v>
      </c>
      <c r="CJ26" s="455">
        <f t="shared" si="7"/>
        <v>1203093</v>
      </c>
      <c r="CK26" s="272">
        <v>3273811</v>
      </c>
      <c r="CL26" s="272">
        <v>1647940</v>
      </c>
      <c r="CM26" s="272">
        <v>354162</v>
      </c>
      <c r="CN26" s="272">
        <v>661003</v>
      </c>
      <c r="CO26" s="272">
        <v>272868</v>
      </c>
      <c r="CP26" s="272">
        <v>3568235</v>
      </c>
      <c r="CQ26" s="272">
        <v>2279449</v>
      </c>
      <c r="CR26" s="272">
        <v>819711</v>
      </c>
      <c r="CS26" s="272">
        <v>750516</v>
      </c>
      <c r="CT26" s="455">
        <f t="shared" si="8"/>
        <v>50292</v>
      </c>
      <c r="CU26" s="272">
        <v>17376</v>
      </c>
      <c r="CV26" s="272">
        <v>32916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5711856</v>
      </c>
      <c r="DD26" s="272">
        <v>740788</v>
      </c>
      <c r="DE26" s="272">
        <v>4096612</v>
      </c>
      <c r="DF26" s="272">
        <v>14879</v>
      </c>
      <c r="DG26" s="272">
        <v>859577</v>
      </c>
      <c r="DH26" s="272">
        <v>0</v>
      </c>
      <c r="DI26" s="272">
        <v>816705</v>
      </c>
      <c r="DJ26" s="272">
        <v>541460</v>
      </c>
      <c r="DK26" s="272">
        <v>17297</v>
      </c>
      <c r="DL26" s="272">
        <v>257948</v>
      </c>
      <c r="DM26" s="272">
        <v>3480</v>
      </c>
      <c r="DN26" s="272">
        <v>0</v>
      </c>
      <c r="DO26" s="272">
        <v>0</v>
      </c>
      <c r="DP26" s="272">
        <v>0</v>
      </c>
      <c r="DQ26" s="272">
        <v>391</v>
      </c>
      <c r="DR26" s="272">
        <v>0</v>
      </c>
      <c r="DS26" s="272">
        <v>0</v>
      </c>
      <c r="DT26" s="272">
        <v>2640064</v>
      </c>
      <c r="DU26" s="272">
        <v>1573686</v>
      </c>
      <c r="DV26" s="455">
        <f t="shared" si="11"/>
        <v>0</v>
      </c>
      <c r="DW26" s="272">
        <v>0</v>
      </c>
      <c r="DX26" s="272">
        <v>0</v>
      </c>
      <c r="DY26" s="272">
        <v>0</v>
      </c>
      <c r="DZ26" s="272">
        <v>644624</v>
      </c>
      <c r="EA26" s="272">
        <v>378004</v>
      </c>
      <c r="EB26" s="272"/>
      <c r="EC26" s="272">
        <v>0</v>
      </c>
      <c r="ED26" s="272">
        <v>29814683</v>
      </c>
      <c r="EF26" s="272">
        <v>1070712</v>
      </c>
      <c r="EG26" s="272">
        <v>20492</v>
      </c>
      <c r="EH26" s="272">
        <v>1050220</v>
      </c>
      <c r="EI26" s="272">
        <v>38446</v>
      </c>
      <c r="EJ26" s="272">
        <v>579906</v>
      </c>
      <c r="EL26" s="272"/>
      <c r="EM26" s="272">
        <v>116992</v>
      </c>
      <c r="EN26" s="272">
        <v>74000</v>
      </c>
      <c r="EO26" s="272">
        <v>172960</v>
      </c>
      <c r="EP26" s="455">
        <f t="shared" si="12"/>
        <v>1471417</v>
      </c>
      <c r="EQ26" s="272">
        <v>19563791</v>
      </c>
      <c r="ER26" s="272">
        <v>-2894276</v>
      </c>
      <c r="ES26" s="272">
        <v>6899175</v>
      </c>
      <c r="ET26" s="272">
        <v>5225139</v>
      </c>
      <c r="EU26" s="272">
        <v>1167821</v>
      </c>
      <c r="EV26" s="272">
        <v>1757366</v>
      </c>
      <c r="EW26" s="455">
        <f t="shared" si="13"/>
        <v>2527720</v>
      </c>
      <c r="EX26" s="272">
        <v>2527720</v>
      </c>
      <c r="EY26" s="272">
        <v>81968</v>
      </c>
      <c r="EZ26" s="272">
        <v>2443273</v>
      </c>
      <c r="FA26" s="272">
        <v>0</v>
      </c>
      <c r="FB26" s="272"/>
      <c r="FC26" s="272">
        <v>2916011</v>
      </c>
      <c r="FD26" s="272">
        <v>3412314</v>
      </c>
      <c r="FE26" s="272">
        <v>2279449</v>
      </c>
      <c r="FF26" s="272">
        <v>1785860</v>
      </c>
      <c r="FG26" s="455">
        <f t="shared" si="14"/>
        <v>921088</v>
      </c>
      <c r="FH26" s="272">
        <v>21387355</v>
      </c>
      <c r="FI26" s="384">
        <f t="shared" si="15"/>
        <v>5.7</v>
      </c>
      <c r="FJ26" s="272">
        <v>18505202</v>
      </c>
      <c r="FK26" s="272"/>
      <c r="FL26" s="272">
        <v>10574741</v>
      </c>
      <c r="FM26" s="272">
        <v>15066162</v>
      </c>
      <c r="FN26" s="460">
        <v>0.71199999999999997</v>
      </c>
      <c r="FO26" s="388">
        <v>91.7</v>
      </c>
      <c r="FP26" s="388">
        <v>37.700000000000003</v>
      </c>
      <c r="FQ26" s="388">
        <v>6.4</v>
      </c>
      <c r="FR26" s="388">
        <v>9.6999999999999993</v>
      </c>
      <c r="FS26" s="388">
        <v>14.5</v>
      </c>
      <c r="FT26" s="388">
        <v>16.7</v>
      </c>
      <c r="FU26" s="388">
        <v>5.4</v>
      </c>
      <c r="FV26" s="388">
        <v>6.9</v>
      </c>
      <c r="FW26" s="272">
        <v>18111896</v>
      </c>
      <c r="FX26" s="384">
        <f t="shared" si="16"/>
        <v>97.9</v>
      </c>
      <c r="FY26" s="272">
        <v>4703356</v>
      </c>
      <c r="FZ26" s="272">
        <v>965812</v>
      </c>
      <c r="GA26" s="272">
        <v>565865</v>
      </c>
      <c r="GB26" s="272">
        <v>3171679</v>
      </c>
      <c r="GC26" s="272"/>
      <c r="GD26" s="272">
        <v>10938335</v>
      </c>
      <c r="GE26" s="384">
        <f t="shared" si="17"/>
        <v>59.1</v>
      </c>
      <c r="GF26" s="388">
        <v>97.8</v>
      </c>
      <c r="GG26" s="388">
        <v>35.299999999999997</v>
      </c>
      <c r="GH26" s="388">
        <v>95.2</v>
      </c>
      <c r="GI26" s="272">
        <v>759</v>
      </c>
    </row>
    <row r="27" spans="2:191" x14ac:dyDescent="0.15">
      <c r="B27" s="89" t="s">
        <v>47</v>
      </c>
      <c r="C27" s="272">
        <v>21841235</v>
      </c>
      <c r="D27" s="455">
        <f t="shared" si="0"/>
        <v>6128200</v>
      </c>
      <c r="E27" s="272">
        <v>106679</v>
      </c>
      <c r="F27" s="272">
        <v>6021521</v>
      </c>
      <c r="G27" s="455">
        <f t="shared" si="1"/>
        <v>2862070</v>
      </c>
      <c r="H27" s="272">
        <v>366937</v>
      </c>
      <c r="I27" s="272">
        <v>2495133</v>
      </c>
      <c r="J27" s="272">
        <v>9701028</v>
      </c>
      <c r="K27" s="272">
        <v>5032765</v>
      </c>
      <c r="L27" s="272">
        <v>2824533</v>
      </c>
      <c r="M27" s="272">
        <v>1756366</v>
      </c>
      <c r="N27" s="272">
        <v>900400</v>
      </c>
      <c r="O27" s="272">
        <v>2132813</v>
      </c>
      <c r="P27" s="272">
        <v>1493562</v>
      </c>
      <c r="Q27" s="272">
        <v>639251</v>
      </c>
      <c r="R27" s="272">
        <v>1038810</v>
      </c>
      <c r="S27" s="272">
        <v>816146</v>
      </c>
      <c r="T27" s="455">
        <f t="shared" si="2"/>
        <v>970751</v>
      </c>
      <c r="U27" s="272">
        <v>629743</v>
      </c>
      <c r="V27" s="272"/>
      <c r="W27" s="272"/>
      <c r="X27" s="272"/>
      <c r="Y27" s="272">
        <v>0</v>
      </c>
      <c r="Z27" s="272">
        <v>3721</v>
      </c>
      <c r="AA27" s="272">
        <v>337287</v>
      </c>
      <c r="AB27" s="272"/>
      <c r="AC27" s="272">
        <v>1972589</v>
      </c>
      <c r="AD27" s="272">
        <v>1824799</v>
      </c>
      <c r="AE27" s="272">
        <v>147790</v>
      </c>
      <c r="AF27" s="272">
        <v>31931</v>
      </c>
      <c r="AG27" s="272">
        <v>205136</v>
      </c>
      <c r="AH27" s="455">
        <f t="shared" si="3"/>
        <v>482634</v>
      </c>
      <c r="AI27" s="272">
        <v>317445</v>
      </c>
      <c r="AJ27" s="272">
        <v>165189</v>
      </c>
      <c r="AK27" s="272">
        <v>5552351</v>
      </c>
      <c r="AL27" s="455">
        <f t="shared" si="4"/>
        <v>2776796</v>
      </c>
      <c r="AM27" s="272">
        <v>2299095</v>
      </c>
      <c r="AN27" s="272">
        <v>308405</v>
      </c>
      <c r="AO27" s="272">
        <v>0</v>
      </c>
      <c r="AP27" s="272">
        <v>169296</v>
      </c>
      <c r="AQ27" s="272">
        <v>1292642</v>
      </c>
      <c r="AR27" s="272">
        <v>0</v>
      </c>
      <c r="AS27" s="272">
        <v>0</v>
      </c>
      <c r="AT27" s="272">
        <v>1556369</v>
      </c>
      <c r="AU27" s="272">
        <v>582570</v>
      </c>
      <c r="AV27" s="272">
        <v>148864</v>
      </c>
      <c r="AW27" s="272">
        <v>0</v>
      </c>
      <c r="AX27" s="272">
        <v>973799</v>
      </c>
      <c r="AY27" s="272">
        <v>175356</v>
      </c>
      <c r="AZ27" s="272">
        <v>1984815</v>
      </c>
      <c r="BA27" s="272">
        <v>1590342</v>
      </c>
      <c r="BB27" s="272">
        <v>248219</v>
      </c>
      <c r="BC27" s="272">
        <v>1806159</v>
      </c>
      <c r="BD27" s="272">
        <v>660000</v>
      </c>
      <c r="BE27" s="272">
        <v>103458</v>
      </c>
      <c r="BF27" s="272">
        <v>1042701</v>
      </c>
      <c r="BG27" s="272">
        <v>0</v>
      </c>
      <c r="BH27" s="272">
        <v>711083</v>
      </c>
      <c r="BI27" s="272">
        <v>694589</v>
      </c>
      <c r="BJ27" s="272">
        <v>405489</v>
      </c>
      <c r="BK27" s="272">
        <v>104200</v>
      </c>
      <c r="BL27" s="272">
        <v>0</v>
      </c>
      <c r="BM27" s="272">
        <v>0</v>
      </c>
      <c r="BN27" s="272">
        <v>5910600</v>
      </c>
      <c r="BO27" s="455">
        <f t="shared" si="5"/>
        <v>4726600</v>
      </c>
      <c r="BP27" s="455">
        <f t="shared" si="6"/>
        <v>1184000</v>
      </c>
      <c r="BQ27" s="272">
        <v>1184000</v>
      </c>
      <c r="BR27" s="272"/>
      <c r="BS27" s="272"/>
      <c r="BT27" s="272">
        <v>0</v>
      </c>
      <c r="BU27" s="272">
        <v>44718171</v>
      </c>
      <c r="BV27" s="272"/>
      <c r="BW27" s="272">
        <v>12537549</v>
      </c>
      <c r="BX27" s="272">
        <v>9823139</v>
      </c>
      <c r="BY27" s="272">
        <v>639770</v>
      </c>
      <c r="BZ27" s="272">
        <v>50151</v>
      </c>
      <c r="CA27" s="272">
        <v>5475732</v>
      </c>
      <c r="CB27" s="272">
        <v>510871</v>
      </c>
      <c r="CC27" s="272">
        <v>797468</v>
      </c>
      <c r="CD27" s="272">
        <v>1086116</v>
      </c>
      <c r="CE27" s="272">
        <v>2991935</v>
      </c>
      <c r="CF27" s="272">
        <v>32</v>
      </c>
      <c r="CG27" s="272">
        <v>87633</v>
      </c>
      <c r="CH27" s="272">
        <v>3305778</v>
      </c>
      <c r="CI27" s="272">
        <v>1287586</v>
      </c>
      <c r="CJ27" s="455">
        <f t="shared" si="7"/>
        <v>2018192</v>
      </c>
      <c r="CK27" s="272">
        <v>3447527</v>
      </c>
      <c r="CL27" s="272">
        <v>1853579</v>
      </c>
      <c r="CM27" s="272">
        <v>87136</v>
      </c>
      <c r="CN27" s="272">
        <v>1004369</v>
      </c>
      <c r="CO27" s="272">
        <v>546589</v>
      </c>
      <c r="CP27" s="272">
        <v>3080193</v>
      </c>
      <c r="CQ27" s="272">
        <v>1903127</v>
      </c>
      <c r="CR27" s="272">
        <v>554811</v>
      </c>
      <c r="CS27" s="272">
        <v>437185</v>
      </c>
      <c r="CT27" s="455">
        <f t="shared" si="8"/>
        <v>7442</v>
      </c>
      <c r="CU27" s="272">
        <v>7442</v>
      </c>
      <c r="CV27" s="272">
        <v>0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10526015</v>
      </c>
      <c r="DD27" s="272">
        <v>2625335</v>
      </c>
      <c r="DE27" s="272">
        <v>7822380</v>
      </c>
      <c r="DF27" s="272">
        <v>0</v>
      </c>
      <c r="DG27" s="272">
        <v>6997</v>
      </c>
      <c r="DH27" s="272">
        <v>95</v>
      </c>
      <c r="DI27" s="272">
        <v>2111864</v>
      </c>
      <c r="DJ27" s="272">
        <v>409463</v>
      </c>
      <c r="DK27" s="272">
        <v>151831</v>
      </c>
      <c r="DL27" s="272">
        <v>1550570</v>
      </c>
      <c r="DM27" s="272">
        <v>2390</v>
      </c>
      <c r="DN27" s="272">
        <v>0</v>
      </c>
      <c r="DO27" s="272">
        <v>0</v>
      </c>
      <c r="DP27" s="272">
        <v>0</v>
      </c>
      <c r="DQ27" s="272">
        <v>101500</v>
      </c>
      <c r="DR27" s="272">
        <v>0</v>
      </c>
      <c r="DS27" s="272">
        <v>0</v>
      </c>
      <c r="DT27" s="272">
        <v>3090387</v>
      </c>
      <c r="DU27" s="272">
        <v>1666701</v>
      </c>
      <c r="DV27" s="455">
        <f t="shared" si="11"/>
        <v>0</v>
      </c>
      <c r="DW27" s="272">
        <v>0</v>
      </c>
      <c r="DX27" s="272">
        <v>0</v>
      </c>
      <c r="DY27" s="272">
        <v>0</v>
      </c>
      <c r="DZ27" s="272">
        <v>1078638</v>
      </c>
      <c r="EA27" s="272">
        <v>341337</v>
      </c>
      <c r="EB27" s="272"/>
      <c r="EC27" s="272">
        <v>0</v>
      </c>
      <c r="ED27" s="272">
        <v>44225619</v>
      </c>
      <c r="EF27" s="272">
        <v>492552</v>
      </c>
      <c r="EG27" s="272">
        <v>9319</v>
      </c>
      <c r="EH27" s="272">
        <v>483233</v>
      </c>
      <c r="EI27" s="272">
        <v>-211356</v>
      </c>
      <c r="EJ27" s="272">
        <v>-461893</v>
      </c>
      <c r="EL27" s="272"/>
      <c r="EM27" s="272">
        <v>139705</v>
      </c>
      <c r="EN27" s="272">
        <v>904480</v>
      </c>
      <c r="EO27" s="272">
        <v>807927</v>
      </c>
      <c r="EP27" s="455">
        <f t="shared" si="12"/>
        <v>1189983</v>
      </c>
      <c r="EQ27" s="272">
        <v>25855316</v>
      </c>
      <c r="ER27" s="272">
        <v>-4054459</v>
      </c>
      <c r="ES27" s="272">
        <v>11790462</v>
      </c>
      <c r="ET27" s="272">
        <v>9095416</v>
      </c>
      <c r="EU27" s="272">
        <v>1560428</v>
      </c>
      <c r="EV27" s="272">
        <v>2465539</v>
      </c>
      <c r="EW27" s="455">
        <f t="shared" si="13"/>
        <v>3417889</v>
      </c>
      <c r="EX27" s="272">
        <v>3417794</v>
      </c>
      <c r="EY27" s="272">
        <v>99084</v>
      </c>
      <c r="EZ27" s="272">
        <v>3289547</v>
      </c>
      <c r="FA27" s="272">
        <v>95</v>
      </c>
      <c r="FB27" s="272"/>
      <c r="FC27" s="272">
        <v>2851558</v>
      </c>
      <c r="FD27" s="272">
        <v>2884528</v>
      </c>
      <c r="FE27" s="272">
        <v>1903127</v>
      </c>
      <c r="FF27" s="272">
        <v>2997889</v>
      </c>
      <c r="FG27" s="455">
        <f t="shared" si="14"/>
        <v>1448930</v>
      </c>
      <c r="FH27" s="272">
        <v>29417223</v>
      </c>
      <c r="FI27" s="384">
        <f t="shared" si="15"/>
        <v>2</v>
      </c>
      <c r="FJ27" s="272">
        <v>23624284</v>
      </c>
      <c r="FK27" s="272"/>
      <c r="FL27" s="272">
        <v>16414018</v>
      </c>
      <c r="FM27" s="272">
        <v>18272467</v>
      </c>
      <c r="FN27" s="460">
        <v>0.95499999999999996</v>
      </c>
      <c r="FO27" s="388">
        <v>99.2</v>
      </c>
      <c r="FP27" s="388">
        <v>49.4</v>
      </c>
      <c r="FQ27" s="388">
        <v>6.6</v>
      </c>
      <c r="FR27" s="388">
        <v>10.4</v>
      </c>
      <c r="FS27" s="388">
        <v>11.1</v>
      </c>
      <c r="FT27" s="388">
        <v>11.4</v>
      </c>
      <c r="FU27" s="388">
        <v>8.1</v>
      </c>
      <c r="FV27" s="388">
        <v>7.9</v>
      </c>
      <c r="FW27" s="272">
        <v>26741064</v>
      </c>
      <c r="FX27" s="384">
        <f t="shared" si="16"/>
        <v>113.2</v>
      </c>
      <c r="FY27" s="272">
        <v>17850289</v>
      </c>
      <c r="FZ27" s="272">
        <v>3540027</v>
      </c>
      <c r="GA27" s="272">
        <v>1936510</v>
      </c>
      <c r="GB27" s="272">
        <v>12373752</v>
      </c>
      <c r="GC27" s="272"/>
      <c r="GD27" s="272">
        <v>11055215</v>
      </c>
      <c r="GE27" s="384">
        <f t="shared" si="17"/>
        <v>46.8</v>
      </c>
      <c r="GF27" s="388">
        <v>97.1</v>
      </c>
      <c r="GG27" s="388">
        <v>25.5</v>
      </c>
      <c r="GH27" s="388">
        <v>92.8</v>
      </c>
      <c r="GI27" s="272">
        <v>1241</v>
      </c>
    </row>
    <row r="28" spans="2:191" x14ac:dyDescent="0.15">
      <c r="B28" s="89" t="s">
        <v>49</v>
      </c>
      <c r="C28" s="272">
        <v>17721422</v>
      </c>
      <c r="D28" s="455">
        <f t="shared" si="0"/>
        <v>4600987</v>
      </c>
      <c r="E28" s="272">
        <v>68765</v>
      </c>
      <c r="F28" s="272">
        <v>4532222</v>
      </c>
      <c r="G28" s="455">
        <f t="shared" si="1"/>
        <v>2319795</v>
      </c>
      <c r="H28" s="272">
        <v>319301</v>
      </c>
      <c r="I28" s="272">
        <v>2000494</v>
      </c>
      <c r="J28" s="272">
        <v>8579217</v>
      </c>
      <c r="K28" s="272">
        <v>4090179</v>
      </c>
      <c r="L28" s="272">
        <v>2290190</v>
      </c>
      <c r="M28" s="272">
        <v>2120920</v>
      </c>
      <c r="N28" s="272">
        <v>502065</v>
      </c>
      <c r="O28" s="272">
        <v>1658179</v>
      </c>
      <c r="P28" s="272">
        <v>1145774</v>
      </c>
      <c r="Q28" s="272">
        <v>512405</v>
      </c>
      <c r="R28" s="272">
        <v>660048</v>
      </c>
      <c r="S28" s="272">
        <v>498979</v>
      </c>
      <c r="T28" s="455">
        <f t="shared" si="2"/>
        <v>704463</v>
      </c>
      <c r="U28" s="272">
        <v>452771</v>
      </c>
      <c r="V28" s="272"/>
      <c r="W28" s="272"/>
      <c r="X28" s="272"/>
      <c r="Y28" s="272">
        <v>6595</v>
      </c>
      <c r="Z28" s="272">
        <v>1125</v>
      </c>
      <c r="AA28" s="272">
        <v>243972</v>
      </c>
      <c r="AB28" s="272"/>
      <c r="AC28" s="272">
        <v>284011</v>
      </c>
      <c r="AD28" s="272">
        <v>0</v>
      </c>
      <c r="AE28" s="272">
        <v>284011</v>
      </c>
      <c r="AF28" s="272">
        <v>21711</v>
      </c>
      <c r="AG28" s="272">
        <v>204034</v>
      </c>
      <c r="AH28" s="455">
        <f t="shared" si="3"/>
        <v>555127</v>
      </c>
      <c r="AI28" s="272">
        <v>424308</v>
      </c>
      <c r="AJ28" s="272">
        <v>130819</v>
      </c>
      <c r="AK28" s="272">
        <v>1978392</v>
      </c>
      <c r="AL28" s="455">
        <f t="shared" si="4"/>
        <v>1128764</v>
      </c>
      <c r="AM28" s="272">
        <v>614336</v>
      </c>
      <c r="AN28" s="272">
        <v>378077</v>
      </c>
      <c r="AO28" s="272">
        <v>0</v>
      </c>
      <c r="AP28" s="272">
        <v>136351</v>
      </c>
      <c r="AQ28" s="272">
        <v>542270</v>
      </c>
      <c r="AR28" s="272">
        <v>0</v>
      </c>
      <c r="AS28" s="272">
        <v>0</v>
      </c>
      <c r="AT28" s="272">
        <v>1231609</v>
      </c>
      <c r="AU28" s="272">
        <v>331072</v>
      </c>
      <c r="AV28" s="272">
        <v>120481</v>
      </c>
      <c r="AW28" s="272">
        <v>35217</v>
      </c>
      <c r="AX28" s="272">
        <v>900537</v>
      </c>
      <c r="AY28" s="272">
        <v>428522</v>
      </c>
      <c r="AZ28" s="272">
        <v>611533</v>
      </c>
      <c r="BA28" s="272">
        <v>263000</v>
      </c>
      <c r="BB28" s="272">
        <v>143002</v>
      </c>
      <c r="BC28" s="272">
        <v>1446141</v>
      </c>
      <c r="BD28" s="272">
        <v>440000</v>
      </c>
      <c r="BE28" s="272">
        <v>0</v>
      </c>
      <c r="BF28" s="272">
        <v>996217</v>
      </c>
      <c r="BG28" s="272">
        <v>0</v>
      </c>
      <c r="BH28" s="272">
        <v>679498</v>
      </c>
      <c r="BI28" s="272">
        <v>474496</v>
      </c>
      <c r="BJ28" s="272">
        <v>563449</v>
      </c>
      <c r="BK28" s="272">
        <v>147575</v>
      </c>
      <c r="BL28" s="272">
        <v>48056</v>
      </c>
      <c r="BM28" s="272">
        <v>0</v>
      </c>
      <c r="BN28" s="272">
        <v>4938900</v>
      </c>
      <c r="BO28" s="455">
        <f t="shared" si="5"/>
        <v>4026200</v>
      </c>
      <c r="BP28" s="455">
        <f t="shared" si="6"/>
        <v>912700</v>
      </c>
      <c r="BQ28" s="272">
        <v>912700</v>
      </c>
      <c r="BR28" s="272"/>
      <c r="BS28" s="272"/>
      <c r="BT28" s="272">
        <v>0</v>
      </c>
      <c r="BU28" s="272">
        <v>31743340</v>
      </c>
      <c r="BV28" s="272"/>
      <c r="BW28" s="272">
        <v>7638212</v>
      </c>
      <c r="BX28" s="272">
        <v>5852392</v>
      </c>
      <c r="BY28" s="272">
        <v>289444</v>
      </c>
      <c r="BZ28" s="272">
        <v>129124</v>
      </c>
      <c r="CA28" s="272">
        <v>2224719</v>
      </c>
      <c r="CB28" s="272">
        <v>217890</v>
      </c>
      <c r="CC28" s="272">
        <v>446926</v>
      </c>
      <c r="CD28" s="272">
        <v>723691</v>
      </c>
      <c r="CE28" s="272">
        <v>807284</v>
      </c>
      <c r="CF28" s="272">
        <v>0</v>
      </c>
      <c r="CG28" s="272">
        <v>27193</v>
      </c>
      <c r="CH28" s="272">
        <v>2648088</v>
      </c>
      <c r="CI28" s="272">
        <v>1137861</v>
      </c>
      <c r="CJ28" s="455">
        <f t="shared" si="7"/>
        <v>1510227</v>
      </c>
      <c r="CK28" s="272">
        <v>3665118</v>
      </c>
      <c r="CL28" s="272">
        <v>1900225</v>
      </c>
      <c r="CM28" s="272">
        <v>244633</v>
      </c>
      <c r="CN28" s="272">
        <v>871379</v>
      </c>
      <c r="CO28" s="272">
        <v>365094</v>
      </c>
      <c r="CP28" s="272">
        <v>1426177</v>
      </c>
      <c r="CQ28" s="272">
        <v>13522</v>
      </c>
      <c r="CR28" s="272">
        <v>500782</v>
      </c>
      <c r="CS28" s="272">
        <v>323729</v>
      </c>
      <c r="CT28" s="455">
        <f t="shared" si="8"/>
        <v>14493</v>
      </c>
      <c r="CU28" s="272">
        <v>14493</v>
      </c>
      <c r="CV28" s="272">
        <v>0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6740855</v>
      </c>
      <c r="DD28" s="272">
        <v>1093663</v>
      </c>
      <c r="DE28" s="272">
        <v>5534814</v>
      </c>
      <c r="DF28" s="272">
        <v>0</v>
      </c>
      <c r="DG28" s="272">
        <v>112378</v>
      </c>
      <c r="DH28" s="272">
        <v>54934</v>
      </c>
      <c r="DI28" s="272">
        <v>1124945</v>
      </c>
      <c r="DJ28" s="272">
        <v>646199</v>
      </c>
      <c r="DK28" s="272">
        <v>77034</v>
      </c>
      <c r="DL28" s="272">
        <v>401712</v>
      </c>
      <c r="DM28" s="272">
        <v>1560</v>
      </c>
      <c r="DN28" s="272">
        <v>0</v>
      </c>
      <c r="DO28" s="272">
        <v>0</v>
      </c>
      <c r="DP28" s="272">
        <v>0</v>
      </c>
      <c r="DQ28" s="272">
        <v>155530</v>
      </c>
      <c r="DR28" s="272">
        <v>0</v>
      </c>
      <c r="DS28" s="272">
        <v>0</v>
      </c>
      <c r="DT28" s="272">
        <v>5239423</v>
      </c>
      <c r="DU28" s="272">
        <v>3003134</v>
      </c>
      <c r="DV28" s="455">
        <f t="shared" si="11"/>
        <v>0</v>
      </c>
      <c r="DW28" s="272">
        <v>0</v>
      </c>
      <c r="DX28" s="272">
        <v>0</v>
      </c>
      <c r="DY28" s="272">
        <v>117464</v>
      </c>
      <c r="DZ28" s="272">
        <v>457926</v>
      </c>
      <c r="EA28" s="272">
        <v>209659</v>
      </c>
      <c r="EB28" s="272"/>
      <c r="EC28" s="272">
        <v>0</v>
      </c>
      <c r="ED28" s="272">
        <v>31284655</v>
      </c>
      <c r="EF28" s="272">
        <v>458685</v>
      </c>
      <c r="EG28" s="272">
        <v>199003</v>
      </c>
      <c r="EH28" s="272">
        <v>259682</v>
      </c>
      <c r="EI28" s="272">
        <v>-214814</v>
      </c>
      <c r="EJ28" s="272">
        <v>-8615</v>
      </c>
      <c r="EL28" s="272"/>
      <c r="EM28" s="272">
        <v>85511</v>
      </c>
      <c r="EN28" s="272">
        <v>1137110</v>
      </c>
      <c r="EO28" s="272">
        <v>268852</v>
      </c>
      <c r="EP28" s="455">
        <f t="shared" si="12"/>
        <v>1277817</v>
      </c>
      <c r="EQ28" s="272">
        <v>19391655</v>
      </c>
      <c r="ER28" s="272">
        <v>-3574768</v>
      </c>
      <c r="ES28" s="272">
        <v>7085147</v>
      </c>
      <c r="ET28" s="272">
        <v>5353110</v>
      </c>
      <c r="EU28" s="272">
        <v>615028</v>
      </c>
      <c r="EV28" s="272">
        <v>2645510</v>
      </c>
      <c r="EW28" s="455">
        <f t="shared" si="13"/>
        <v>1593111</v>
      </c>
      <c r="EX28" s="272">
        <v>1538177</v>
      </c>
      <c r="EY28" s="272">
        <v>81338</v>
      </c>
      <c r="EZ28" s="272">
        <v>1456839</v>
      </c>
      <c r="FA28" s="272">
        <v>54934</v>
      </c>
      <c r="FB28" s="272"/>
      <c r="FC28" s="272">
        <v>3066379</v>
      </c>
      <c r="FD28" s="272">
        <v>1312718</v>
      </c>
      <c r="FE28" s="272">
        <v>13522</v>
      </c>
      <c r="FF28" s="272">
        <v>5214944</v>
      </c>
      <c r="FG28" s="455">
        <f t="shared" si="14"/>
        <v>974901</v>
      </c>
      <c r="FH28" s="272">
        <v>22507738</v>
      </c>
      <c r="FI28" s="384">
        <f t="shared" si="15"/>
        <v>1.4</v>
      </c>
      <c r="FJ28" s="272">
        <v>18059527</v>
      </c>
      <c r="FK28" s="272"/>
      <c r="FL28" s="272">
        <v>13591212</v>
      </c>
      <c r="FM28" s="272">
        <v>13400688</v>
      </c>
      <c r="FN28" s="460">
        <v>1.01</v>
      </c>
      <c r="FO28" s="388">
        <v>96.2</v>
      </c>
      <c r="FP28" s="388">
        <v>39.5</v>
      </c>
      <c r="FQ28" s="388">
        <v>3.5</v>
      </c>
      <c r="FR28" s="388">
        <v>15.1</v>
      </c>
      <c r="FS28" s="388">
        <v>16.3</v>
      </c>
      <c r="FT28" s="388">
        <v>6.6</v>
      </c>
      <c r="FU28" s="388">
        <v>13.3</v>
      </c>
      <c r="FV28" s="388">
        <v>10.5</v>
      </c>
      <c r="FW28" s="272">
        <v>32589993</v>
      </c>
      <c r="FX28" s="384">
        <f t="shared" si="16"/>
        <v>180.5</v>
      </c>
      <c r="FY28" s="272">
        <v>11130775</v>
      </c>
      <c r="FZ28" s="272">
        <v>4699992</v>
      </c>
      <c r="GA28" s="272">
        <v>2328138</v>
      </c>
      <c r="GB28" s="272">
        <v>4102645</v>
      </c>
      <c r="GC28" s="272"/>
      <c r="GD28" s="272">
        <v>7581860</v>
      </c>
      <c r="GE28" s="384">
        <f t="shared" si="17"/>
        <v>42</v>
      </c>
      <c r="GF28" s="388">
        <v>98.6</v>
      </c>
      <c r="GG28" s="388">
        <v>32.1</v>
      </c>
      <c r="GH28" s="388">
        <v>96.4</v>
      </c>
      <c r="GI28" s="272">
        <v>778</v>
      </c>
    </row>
    <row r="29" spans="2:191" x14ac:dyDescent="0.15">
      <c r="B29" s="89" t="s">
        <v>51</v>
      </c>
      <c r="C29" s="272">
        <v>14545091</v>
      </c>
      <c r="D29" s="455">
        <f t="shared" si="0"/>
        <v>3466532</v>
      </c>
      <c r="E29" s="272">
        <v>47507</v>
      </c>
      <c r="F29" s="272">
        <v>3419025</v>
      </c>
      <c r="G29" s="455">
        <f t="shared" si="1"/>
        <v>756260</v>
      </c>
      <c r="H29" s="272">
        <v>130155</v>
      </c>
      <c r="I29" s="272">
        <v>626105</v>
      </c>
      <c r="J29" s="272">
        <v>8280698</v>
      </c>
      <c r="K29" s="272">
        <v>5065722</v>
      </c>
      <c r="L29" s="272">
        <v>1227269</v>
      </c>
      <c r="M29" s="272">
        <v>1952109</v>
      </c>
      <c r="N29" s="272">
        <v>355475</v>
      </c>
      <c r="O29" s="272">
        <v>1641806</v>
      </c>
      <c r="P29" s="272">
        <v>1364167</v>
      </c>
      <c r="Q29" s="272">
        <v>277639</v>
      </c>
      <c r="R29" s="272">
        <v>427857</v>
      </c>
      <c r="S29" s="272">
        <v>282769</v>
      </c>
      <c r="T29" s="455">
        <f t="shared" si="2"/>
        <v>538610</v>
      </c>
      <c r="U29" s="272">
        <v>350074</v>
      </c>
      <c r="V29" s="272"/>
      <c r="W29" s="272"/>
      <c r="X29" s="272"/>
      <c r="Y29" s="272">
        <v>0</v>
      </c>
      <c r="Z29" s="272">
        <v>18366</v>
      </c>
      <c r="AA29" s="272">
        <v>170170</v>
      </c>
      <c r="AB29" s="272"/>
      <c r="AC29" s="272">
        <v>46936</v>
      </c>
      <c r="AD29" s="272">
        <v>0</v>
      </c>
      <c r="AE29" s="272">
        <v>46936</v>
      </c>
      <c r="AF29" s="272">
        <v>12934</v>
      </c>
      <c r="AG29" s="272">
        <v>92717</v>
      </c>
      <c r="AH29" s="455">
        <f t="shared" si="3"/>
        <v>286286</v>
      </c>
      <c r="AI29" s="272">
        <v>269200</v>
      </c>
      <c r="AJ29" s="272">
        <v>17086</v>
      </c>
      <c r="AK29" s="272">
        <v>1451818</v>
      </c>
      <c r="AL29" s="455">
        <f t="shared" si="4"/>
        <v>895316</v>
      </c>
      <c r="AM29" s="272">
        <v>645483</v>
      </c>
      <c r="AN29" s="272">
        <v>134985</v>
      </c>
      <c r="AO29" s="272">
        <v>0</v>
      </c>
      <c r="AP29" s="272">
        <v>114848</v>
      </c>
      <c r="AQ29" s="272">
        <v>35315</v>
      </c>
      <c r="AR29" s="272">
        <v>4844</v>
      </c>
      <c r="AS29" s="272">
        <v>0</v>
      </c>
      <c r="AT29" s="272">
        <v>940491</v>
      </c>
      <c r="AU29" s="272">
        <v>331353</v>
      </c>
      <c r="AV29" s="272">
        <v>70203</v>
      </c>
      <c r="AW29" s="272">
        <v>0</v>
      </c>
      <c r="AX29" s="272">
        <v>609138</v>
      </c>
      <c r="AY29" s="272">
        <v>73676</v>
      </c>
      <c r="AZ29" s="272">
        <v>435199</v>
      </c>
      <c r="BA29" s="272">
        <v>0</v>
      </c>
      <c r="BB29" s="272">
        <v>99508</v>
      </c>
      <c r="BC29" s="272">
        <v>1317008</v>
      </c>
      <c r="BD29" s="272">
        <v>1100000</v>
      </c>
      <c r="BE29" s="272">
        <v>0</v>
      </c>
      <c r="BF29" s="272">
        <v>215921</v>
      </c>
      <c r="BG29" s="272">
        <v>0</v>
      </c>
      <c r="BH29" s="272">
        <v>483618</v>
      </c>
      <c r="BI29" s="272">
        <v>147404</v>
      </c>
      <c r="BJ29" s="272">
        <v>215782</v>
      </c>
      <c r="BK29" s="272">
        <v>50955</v>
      </c>
      <c r="BL29" s="272">
        <v>0</v>
      </c>
      <c r="BM29" s="272">
        <v>0</v>
      </c>
      <c r="BN29" s="272">
        <v>1439700</v>
      </c>
      <c r="BO29" s="455">
        <f t="shared" si="5"/>
        <v>764900</v>
      </c>
      <c r="BP29" s="455">
        <f t="shared" si="6"/>
        <v>674800</v>
      </c>
      <c r="BQ29" s="272">
        <v>674800</v>
      </c>
      <c r="BR29" s="272"/>
      <c r="BS29" s="272"/>
      <c r="BT29" s="272">
        <v>0</v>
      </c>
      <c r="BU29" s="272">
        <v>22333555</v>
      </c>
      <c r="BV29" s="272"/>
      <c r="BW29" s="272">
        <v>5991996</v>
      </c>
      <c r="BX29" s="272">
        <v>4584236</v>
      </c>
      <c r="BY29" s="272">
        <v>226046</v>
      </c>
      <c r="BZ29" s="272">
        <v>113135</v>
      </c>
      <c r="CA29" s="272">
        <v>2157163</v>
      </c>
      <c r="CB29" s="272">
        <v>256232</v>
      </c>
      <c r="CC29" s="272">
        <v>546126</v>
      </c>
      <c r="CD29" s="272">
        <v>472460</v>
      </c>
      <c r="CE29" s="272">
        <v>846300</v>
      </c>
      <c r="CF29" s="272">
        <v>0</v>
      </c>
      <c r="CG29" s="272">
        <v>31939</v>
      </c>
      <c r="CH29" s="272">
        <v>571697</v>
      </c>
      <c r="CI29" s="272">
        <v>263151</v>
      </c>
      <c r="CJ29" s="455">
        <f t="shared" si="7"/>
        <v>308546</v>
      </c>
      <c r="CK29" s="272">
        <v>2386452</v>
      </c>
      <c r="CL29" s="272">
        <v>1425420</v>
      </c>
      <c r="CM29" s="272">
        <v>63564</v>
      </c>
      <c r="CN29" s="272">
        <v>531411</v>
      </c>
      <c r="CO29" s="272">
        <v>52756</v>
      </c>
      <c r="CP29" s="272">
        <v>2810390</v>
      </c>
      <c r="CQ29" s="272">
        <v>1755209</v>
      </c>
      <c r="CR29" s="272">
        <v>516886</v>
      </c>
      <c r="CS29" s="272">
        <v>516886</v>
      </c>
      <c r="CT29" s="455">
        <f t="shared" si="8"/>
        <v>57977</v>
      </c>
      <c r="CU29" s="272">
        <v>4084</v>
      </c>
      <c r="CV29" s="272">
        <v>53893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3826865</v>
      </c>
      <c r="DD29" s="272">
        <v>105145</v>
      </c>
      <c r="DE29" s="272">
        <v>3721720</v>
      </c>
      <c r="DF29" s="272">
        <v>0</v>
      </c>
      <c r="DG29" s="272">
        <v>0</v>
      </c>
      <c r="DH29" s="272">
        <v>36261</v>
      </c>
      <c r="DI29" s="272">
        <v>1448368</v>
      </c>
      <c r="DJ29" s="272">
        <v>173477</v>
      </c>
      <c r="DK29" s="272">
        <v>0</v>
      </c>
      <c r="DL29" s="272">
        <v>1274891</v>
      </c>
      <c r="DM29" s="272">
        <v>112230</v>
      </c>
      <c r="DN29" s="272">
        <v>0</v>
      </c>
      <c r="DO29" s="272">
        <v>0</v>
      </c>
      <c r="DP29" s="272">
        <v>0</v>
      </c>
      <c r="DQ29" s="272">
        <v>62990</v>
      </c>
      <c r="DR29" s="272">
        <v>0</v>
      </c>
      <c r="DS29" s="272">
        <v>0</v>
      </c>
      <c r="DT29" s="272">
        <v>2043626</v>
      </c>
      <c r="DU29" s="272">
        <v>1365287</v>
      </c>
      <c r="DV29" s="455">
        <f t="shared" si="11"/>
        <v>0</v>
      </c>
      <c r="DW29" s="272">
        <v>0</v>
      </c>
      <c r="DX29" s="272">
        <v>0</v>
      </c>
      <c r="DY29" s="272">
        <v>0</v>
      </c>
      <c r="DZ29" s="272">
        <v>439812</v>
      </c>
      <c r="EA29" s="272">
        <v>229186</v>
      </c>
      <c r="EB29" s="272"/>
      <c r="EC29" s="272">
        <v>0</v>
      </c>
      <c r="ED29" s="272">
        <v>21500794</v>
      </c>
      <c r="EF29" s="272">
        <v>832761</v>
      </c>
      <c r="EG29" s="272">
        <v>460102</v>
      </c>
      <c r="EH29" s="272">
        <v>372659</v>
      </c>
      <c r="EI29" s="272">
        <v>225255</v>
      </c>
      <c r="EJ29" s="272">
        <v>-701268</v>
      </c>
      <c r="EL29" s="272"/>
      <c r="EM29" s="272">
        <v>63755</v>
      </c>
      <c r="EN29" s="272">
        <v>1100000</v>
      </c>
      <c r="EO29" s="272">
        <v>12495</v>
      </c>
      <c r="EP29" s="455">
        <f t="shared" si="12"/>
        <v>586185</v>
      </c>
      <c r="EQ29" s="272">
        <v>15571428</v>
      </c>
      <c r="ER29" s="272">
        <v>-2360546</v>
      </c>
      <c r="ES29" s="272">
        <v>5580464</v>
      </c>
      <c r="ET29" s="272">
        <v>4182647</v>
      </c>
      <c r="EU29" s="272">
        <v>692729</v>
      </c>
      <c r="EV29" s="272">
        <v>554955</v>
      </c>
      <c r="EW29" s="455">
        <f t="shared" si="13"/>
        <v>2474345</v>
      </c>
      <c r="EX29" s="272">
        <v>2460528</v>
      </c>
      <c r="EY29" s="272">
        <v>9430</v>
      </c>
      <c r="EZ29" s="272">
        <v>2451098</v>
      </c>
      <c r="FA29" s="272">
        <v>13817</v>
      </c>
      <c r="FB29" s="272"/>
      <c r="FC29" s="272">
        <v>1951581</v>
      </c>
      <c r="FD29" s="272">
        <v>2689170</v>
      </c>
      <c r="FE29" s="272">
        <v>1755209</v>
      </c>
      <c r="FF29" s="272">
        <v>1995438</v>
      </c>
      <c r="FG29" s="455">
        <f t="shared" si="14"/>
        <v>1189191</v>
      </c>
      <c r="FH29" s="272">
        <v>17127873</v>
      </c>
      <c r="FI29" s="384">
        <f t="shared" si="15"/>
        <v>2.6</v>
      </c>
      <c r="FJ29" s="272">
        <v>14481523</v>
      </c>
      <c r="FK29" s="272"/>
      <c r="FL29" s="272">
        <v>10900119</v>
      </c>
      <c r="FM29" s="272">
        <v>8900687</v>
      </c>
      <c r="FN29" s="460">
        <v>1.214</v>
      </c>
      <c r="FO29" s="388">
        <v>88.6</v>
      </c>
      <c r="FP29" s="388">
        <v>39.200000000000003</v>
      </c>
      <c r="FQ29" s="388">
        <v>4.9000000000000004</v>
      </c>
      <c r="FR29" s="388">
        <v>4</v>
      </c>
      <c r="FS29" s="388">
        <v>13.7</v>
      </c>
      <c r="FT29" s="388">
        <v>18.3</v>
      </c>
      <c r="FU29" s="388">
        <v>8.1999999999999993</v>
      </c>
      <c r="FV29" s="388">
        <v>3.3</v>
      </c>
      <c r="FW29" s="272">
        <v>7262051</v>
      </c>
      <c r="FX29" s="384">
        <f t="shared" si="16"/>
        <v>50.1</v>
      </c>
      <c r="FY29" s="272">
        <v>14619288</v>
      </c>
      <c r="FZ29" s="272">
        <v>5277627</v>
      </c>
      <c r="GA29" s="272"/>
      <c r="GB29" s="272">
        <v>9341661</v>
      </c>
      <c r="GC29" s="272"/>
      <c r="GD29" s="272">
        <v>21905614</v>
      </c>
      <c r="GE29" s="384">
        <f t="shared" si="17"/>
        <v>151.30000000000001</v>
      </c>
      <c r="GF29" s="388">
        <v>98.2</v>
      </c>
      <c r="GG29" s="388">
        <v>32.200000000000003</v>
      </c>
      <c r="GH29" s="388">
        <v>95.4</v>
      </c>
      <c r="GI29" s="272">
        <v>618</v>
      </c>
    </row>
    <row r="30" spans="2:191" x14ac:dyDescent="0.15">
      <c r="B30" s="89" t="s">
        <v>53</v>
      </c>
      <c r="C30" s="272">
        <v>8558493</v>
      </c>
      <c r="D30" s="455">
        <f t="shared" si="0"/>
        <v>3666645</v>
      </c>
      <c r="E30" s="272">
        <v>47161</v>
      </c>
      <c r="F30" s="272">
        <v>3619484</v>
      </c>
      <c r="G30" s="455">
        <f t="shared" si="1"/>
        <v>645370</v>
      </c>
      <c r="H30" s="272">
        <v>140186</v>
      </c>
      <c r="I30" s="272">
        <v>505184</v>
      </c>
      <c r="J30" s="272">
        <v>3024166</v>
      </c>
      <c r="K30" s="272">
        <v>1628779</v>
      </c>
      <c r="L30" s="272">
        <v>1094295</v>
      </c>
      <c r="M30" s="272">
        <v>292322</v>
      </c>
      <c r="N30" s="272">
        <v>319577</v>
      </c>
      <c r="O30" s="272">
        <v>852370</v>
      </c>
      <c r="P30" s="272">
        <v>602337</v>
      </c>
      <c r="Q30" s="272">
        <v>250033</v>
      </c>
      <c r="R30" s="272">
        <v>402714</v>
      </c>
      <c r="S30" s="272">
        <v>283718</v>
      </c>
      <c r="T30" s="455">
        <f t="shared" si="2"/>
        <v>560252</v>
      </c>
      <c r="U30" s="272">
        <v>378067</v>
      </c>
      <c r="V30" s="272"/>
      <c r="W30" s="272"/>
      <c r="X30" s="272"/>
      <c r="Y30" s="272">
        <v>0</v>
      </c>
      <c r="Z30" s="272">
        <v>1643</v>
      </c>
      <c r="AA30" s="272">
        <v>180542</v>
      </c>
      <c r="AB30" s="272"/>
      <c r="AC30" s="272">
        <v>2705218</v>
      </c>
      <c r="AD30" s="272">
        <v>2489675</v>
      </c>
      <c r="AE30" s="272">
        <v>215543</v>
      </c>
      <c r="AF30" s="272">
        <v>18660</v>
      </c>
      <c r="AG30" s="272">
        <v>106245</v>
      </c>
      <c r="AH30" s="455">
        <f t="shared" si="3"/>
        <v>285295</v>
      </c>
      <c r="AI30" s="272">
        <v>265784</v>
      </c>
      <c r="AJ30" s="272">
        <v>19511</v>
      </c>
      <c r="AK30" s="272">
        <v>1360244</v>
      </c>
      <c r="AL30" s="455">
        <f t="shared" si="4"/>
        <v>838106</v>
      </c>
      <c r="AM30" s="272">
        <v>582897</v>
      </c>
      <c r="AN30" s="272">
        <v>125220</v>
      </c>
      <c r="AO30" s="272">
        <v>0</v>
      </c>
      <c r="AP30" s="272">
        <v>129989</v>
      </c>
      <c r="AQ30" s="272">
        <v>74843</v>
      </c>
      <c r="AR30" s="272">
        <v>0</v>
      </c>
      <c r="AS30" s="272">
        <v>0</v>
      </c>
      <c r="AT30" s="272">
        <v>845999</v>
      </c>
      <c r="AU30" s="272">
        <v>229549</v>
      </c>
      <c r="AV30" s="272">
        <v>66408</v>
      </c>
      <c r="AW30" s="272">
        <v>0</v>
      </c>
      <c r="AX30" s="272">
        <v>616450</v>
      </c>
      <c r="AY30" s="272">
        <v>174210</v>
      </c>
      <c r="AZ30" s="272">
        <v>222879</v>
      </c>
      <c r="BA30" s="272">
        <v>69759</v>
      </c>
      <c r="BB30" s="272">
        <v>130813</v>
      </c>
      <c r="BC30" s="272">
        <v>3087434</v>
      </c>
      <c r="BD30" s="272">
        <v>0</v>
      </c>
      <c r="BE30" s="272">
        <v>186000</v>
      </c>
      <c r="BF30" s="272">
        <v>2901434</v>
      </c>
      <c r="BG30" s="272">
        <v>0</v>
      </c>
      <c r="BH30" s="272">
        <v>39751</v>
      </c>
      <c r="BI30" s="272">
        <v>19934</v>
      </c>
      <c r="BJ30" s="272">
        <v>756752</v>
      </c>
      <c r="BK30" s="272">
        <v>20680</v>
      </c>
      <c r="BL30" s="272">
        <v>0</v>
      </c>
      <c r="BM30" s="272">
        <v>0</v>
      </c>
      <c r="BN30" s="272">
        <v>3956400</v>
      </c>
      <c r="BO30" s="455">
        <f t="shared" si="5"/>
        <v>3263300</v>
      </c>
      <c r="BP30" s="455">
        <f t="shared" si="6"/>
        <v>693100</v>
      </c>
      <c r="BQ30" s="272">
        <v>693100</v>
      </c>
      <c r="BR30" s="272"/>
      <c r="BS30" s="272"/>
      <c r="BT30" s="272">
        <v>0</v>
      </c>
      <c r="BU30" s="272">
        <v>23037149</v>
      </c>
      <c r="BV30" s="272"/>
      <c r="BW30" s="272">
        <v>5186072</v>
      </c>
      <c r="BX30" s="272">
        <v>3955066</v>
      </c>
      <c r="BY30" s="272">
        <v>161604</v>
      </c>
      <c r="BZ30" s="272">
        <v>127959</v>
      </c>
      <c r="CA30" s="272">
        <v>2137875</v>
      </c>
      <c r="CB30" s="272">
        <v>270504</v>
      </c>
      <c r="CC30" s="272">
        <v>718439</v>
      </c>
      <c r="CD30" s="272">
        <v>359771</v>
      </c>
      <c r="CE30" s="272">
        <v>763237</v>
      </c>
      <c r="CF30" s="272">
        <v>0</v>
      </c>
      <c r="CG30" s="272">
        <v>21578</v>
      </c>
      <c r="CH30" s="272">
        <v>1123242</v>
      </c>
      <c r="CI30" s="272">
        <v>649918</v>
      </c>
      <c r="CJ30" s="455">
        <f t="shared" si="7"/>
        <v>473324</v>
      </c>
      <c r="CK30" s="272">
        <v>1947657</v>
      </c>
      <c r="CL30" s="272">
        <v>959056</v>
      </c>
      <c r="CM30" s="272">
        <v>175957</v>
      </c>
      <c r="CN30" s="272">
        <v>443275</v>
      </c>
      <c r="CO30" s="272">
        <v>129921</v>
      </c>
      <c r="CP30" s="272">
        <v>2590757</v>
      </c>
      <c r="CQ30" s="272">
        <v>1851419</v>
      </c>
      <c r="CR30" s="272">
        <v>192709</v>
      </c>
      <c r="CS30" s="272">
        <v>154841</v>
      </c>
      <c r="CT30" s="455">
        <f t="shared" si="8"/>
        <v>217636</v>
      </c>
      <c r="CU30" s="272">
        <v>134197</v>
      </c>
      <c r="CV30" s="272">
        <v>83439</v>
      </c>
      <c r="CW30" s="455">
        <f t="shared" si="9"/>
        <v>158448</v>
      </c>
      <c r="CX30" s="272">
        <v>130009</v>
      </c>
      <c r="CY30" s="272">
        <v>28439</v>
      </c>
      <c r="CZ30" s="455">
        <f t="shared" si="10"/>
        <v>0</v>
      </c>
      <c r="DA30" s="272">
        <v>0</v>
      </c>
      <c r="DB30" s="272">
        <v>0</v>
      </c>
      <c r="DC30" s="272">
        <v>7310900</v>
      </c>
      <c r="DD30" s="272">
        <v>452722</v>
      </c>
      <c r="DE30" s="272">
        <v>6841994</v>
      </c>
      <c r="DF30" s="272">
        <v>16184</v>
      </c>
      <c r="DG30" s="272">
        <v>0</v>
      </c>
      <c r="DH30" s="272">
        <v>0</v>
      </c>
      <c r="DI30" s="272">
        <v>449716</v>
      </c>
      <c r="DJ30" s="272">
        <v>20903</v>
      </c>
      <c r="DK30" s="272">
        <v>23770</v>
      </c>
      <c r="DL30" s="272">
        <v>405043</v>
      </c>
      <c r="DM30" s="272">
        <v>106640</v>
      </c>
      <c r="DN30" s="272">
        <v>4400</v>
      </c>
      <c r="DO30" s="272">
        <v>4400</v>
      </c>
      <c r="DP30" s="272">
        <v>0</v>
      </c>
      <c r="DQ30" s="272">
        <v>20000</v>
      </c>
      <c r="DR30" s="272">
        <v>0</v>
      </c>
      <c r="DS30" s="272">
        <v>0</v>
      </c>
      <c r="DT30" s="272">
        <v>1926858</v>
      </c>
      <c r="DU30" s="272">
        <v>1394850</v>
      </c>
      <c r="DV30" s="455">
        <f t="shared" si="11"/>
        <v>0</v>
      </c>
      <c r="DW30" s="272">
        <v>0</v>
      </c>
      <c r="DX30" s="272">
        <v>0</v>
      </c>
      <c r="DY30" s="272">
        <v>0</v>
      </c>
      <c r="DZ30" s="272">
        <v>308547</v>
      </c>
      <c r="EA30" s="272">
        <v>223435</v>
      </c>
      <c r="EB30" s="272"/>
      <c r="EC30" s="272">
        <v>0</v>
      </c>
      <c r="ED30" s="272">
        <v>22929638</v>
      </c>
      <c r="EF30" s="272">
        <v>107511</v>
      </c>
      <c r="EG30" s="272">
        <v>77358</v>
      </c>
      <c r="EH30" s="272">
        <v>30153</v>
      </c>
      <c r="EI30" s="272">
        <v>-10781</v>
      </c>
      <c r="EJ30" s="272">
        <v>10122</v>
      </c>
      <c r="EL30" s="272"/>
      <c r="EM30" s="272">
        <v>66140</v>
      </c>
      <c r="EN30" s="272">
        <v>186000</v>
      </c>
      <c r="EO30" s="272">
        <v>71630</v>
      </c>
      <c r="EP30" s="455">
        <f t="shared" si="12"/>
        <v>345261</v>
      </c>
      <c r="EQ30" s="272">
        <v>12245337</v>
      </c>
      <c r="ER30" s="272">
        <v>-1277331</v>
      </c>
      <c r="ES30" s="272">
        <v>4830710</v>
      </c>
      <c r="ET30" s="272">
        <v>3890624</v>
      </c>
      <c r="EU30" s="272">
        <v>701317</v>
      </c>
      <c r="EV30" s="272">
        <v>1075602</v>
      </c>
      <c r="EW30" s="455">
        <f t="shared" si="13"/>
        <v>474927</v>
      </c>
      <c r="EX30" s="272">
        <v>474927</v>
      </c>
      <c r="EY30" s="272">
        <v>16379</v>
      </c>
      <c r="EZ30" s="272">
        <v>455062</v>
      </c>
      <c r="FA30" s="272">
        <v>0</v>
      </c>
      <c r="FB30" s="272"/>
      <c r="FC30" s="272">
        <v>1570941</v>
      </c>
      <c r="FD30" s="272">
        <v>2388331</v>
      </c>
      <c r="FE30" s="272">
        <v>1761419</v>
      </c>
      <c r="FF30" s="272">
        <v>1899458</v>
      </c>
      <c r="FG30" s="455">
        <f t="shared" si="14"/>
        <v>550654</v>
      </c>
      <c r="FH30" s="272">
        <v>13491940</v>
      </c>
      <c r="FI30" s="384">
        <f t="shared" si="15"/>
        <v>0.3</v>
      </c>
      <c r="FJ30" s="272">
        <v>11556904</v>
      </c>
      <c r="FK30" s="272"/>
      <c r="FL30" s="272">
        <v>6835355</v>
      </c>
      <c r="FM30" s="272">
        <v>9339026</v>
      </c>
      <c r="FN30" s="460">
        <v>0.72899999999999998</v>
      </c>
      <c r="FO30" s="388">
        <v>96.9</v>
      </c>
      <c r="FP30" s="388">
        <v>42.6</v>
      </c>
      <c r="FQ30" s="388">
        <v>5.9</v>
      </c>
      <c r="FR30" s="388">
        <v>9.5</v>
      </c>
      <c r="FS30" s="388">
        <v>11.7</v>
      </c>
      <c r="FT30" s="388">
        <v>18.899999999999999</v>
      </c>
      <c r="FU30" s="388">
        <v>7</v>
      </c>
      <c r="FV30" s="388">
        <v>7.3</v>
      </c>
      <c r="FW30" s="272">
        <v>11960960</v>
      </c>
      <c r="FX30" s="384">
        <f t="shared" si="16"/>
        <v>103.5</v>
      </c>
      <c r="FY30" s="272">
        <v>6422721</v>
      </c>
      <c r="FZ30" s="272">
        <v>939271</v>
      </c>
      <c r="GA30" s="272">
        <v>894464</v>
      </c>
      <c r="GB30" s="272">
        <v>4588986</v>
      </c>
      <c r="GC30" s="272"/>
      <c r="GD30" s="272">
        <v>1480408</v>
      </c>
      <c r="GE30" s="384">
        <f t="shared" si="17"/>
        <v>12.8</v>
      </c>
      <c r="GF30" s="388">
        <v>96.1</v>
      </c>
      <c r="GG30" s="388">
        <v>31.5</v>
      </c>
      <c r="GH30" s="388">
        <v>90.4</v>
      </c>
      <c r="GI30" s="272">
        <v>577</v>
      </c>
    </row>
    <row r="31" spans="2:191" x14ac:dyDescent="0.15">
      <c r="B31" s="89" t="s">
        <v>55</v>
      </c>
      <c r="C31" s="272">
        <v>83342925</v>
      </c>
      <c r="D31" s="455">
        <f t="shared" si="0"/>
        <v>25841006</v>
      </c>
      <c r="E31" s="272">
        <v>467954</v>
      </c>
      <c r="F31" s="272">
        <v>25373052</v>
      </c>
      <c r="G31" s="455">
        <f t="shared" si="1"/>
        <v>8248611</v>
      </c>
      <c r="H31" s="272">
        <v>1337980</v>
      </c>
      <c r="I31" s="272">
        <v>6910631</v>
      </c>
      <c r="J31" s="272">
        <v>34587269</v>
      </c>
      <c r="K31" s="272">
        <v>19590464</v>
      </c>
      <c r="L31" s="272">
        <v>10344633</v>
      </c>
      <c r="M31" s="272">
        <v>4516368</v>
      </c>
      <c r="N31" s="272">
        <v>3032843</v>
      </c>
      <c r="O31" s="272">
        <v>8526841</v>
      </c>
      <c r="P31" s="272">
        <v>6195273</v>
      </c>
      <c r="Q31" s="272">
        <v>2331568</v>
      </c>
      <c r="R31" s="272">
        <v>3637896</v>
      </c>
      <c r="S31" s="272">
        <v>2745230</v>
      </c>
      <c r="T31" s="455">
        <f t="shared" si="2"/>
        <v>4124665</v>
      </c>
      <c r="U31" s="272">
        <v>2750888</v>
      </c>
      <c r="V31" s="272"/>
      <c r="W31" s="272"/>
      <c r="X31" s="272"/>
      <c r="Y31" s="272">
        <v>0</v>
      </c>
      <c r="Z31" s="272">
        <v>20860</v>
      </c>
      <c r="AA31" s="272">
        <v>1352917</v>
      </c>
      <c r="AB31" s="272"/>
      <c r="AC31" s="272">
        <v>1994847</v>
      </c>
      <c r="AD31" s="272">
        <v>1074967</v>
      </c>
      <c r="AE31" s="272">
        <v>919880</v>
      </c>
      <c r="AF31" s="272">
        <v>114205</v>
      </c>
      <c r="AG31" s="272">
        <v>4363675</v>
      </c>
      <c r="AH31" s="455">
        <f t="shared" si="3"/>
        <v>2863655</v>
      </c>
      <c r="AI31" s="272">
        <v>2069391</v>
      </c>
      <c r="AJ31" s="272">
        <v>794264</v>
      </c>
      <c r="AK31" s="272">
        <v>17688268</v>
      </c>
      <c r="AL31" s="455">
        <f t="shared" si="4"/>
        <v>11441017</v>
      </c>
      <c r="AM31" s="272">
        <v>9484512</v>
      </c>
      <c r="AN31" s="272">
        <v>1076864</v>
      </c>
      <c r="AO31" s="272">
        <v>148700</v>
      </c>
      <c r="AP31" s="272">
        <v>730941</v>
      </c>
      <c r="AQ31" s="272">
        <v>2380978</v>
      </c>
      <c r="AR31" s="272">
        <v>3186</v>
      </c>
      <c r="AS31" s="272">
        <v>0</v>
      </c>
      <c r="AT31" s="272">
        <v>8971563</v>
      </c>
      <c r="AU31" s="272">
        <v>2974946</v>
      </c>
      <c r="AV31" s="272">
        <v>543584</v>
      </c>
      <c r="AW31" s="272">
        <v>241896</v>
      </c>
      <c r="AX31" s="272">
        <v>5996617</v>
      </c>
      <c r="AY31" s="272">
        <v>1557200</v>
      </c>
      <c r="AZ31" s="272">
        <v>3233063</v>
      </c>
      <c r="BA31" s="272">
        <v>2595124</v>
      </c>
      <c r="BB31" s="272">
        <v>1624306</v>
      </c>
      <c r="BC31" s="272">
        <v>3928856</v>
      </c>
      <c r="BD31" s="272">
        <v>1674500</v>
      </c>
      <c r="BE31" s="272">
        <v>0</v>
      </c>
      <c r="BF31" s="272">
        <v>1947395</v>
      </c>
      <c r="BG31" s="272">
        <v>0</v>
      </c>
      <c r="BH31" s="272">
        <v>3056188</v>
      </c>
      <c r="BI31" s="272">
        <v>2239178</v>
      </c>
      <c r="BJ31" s="272">
        <v>4374832</v>
      </c>
      <c r="BK31" s="272">
        <v>2869317</v>
      </c>
      <c r="BL31" s="272">
        <v>91420</v>
      </c>
      <c r="BM31" s="272">
        <v>371542</v>
      </c>
      <c r="BN31" s="272">
        <v>16502400</v>
      </c>
      <c r="BO31" s="455">
        <f t="shared" si="5"/>
        <v>11722400</v>
      </c>
      <c r="BP31" s="455">
        <f t="shared" si="6"/>
        <v>4780000</v>
      </c>
      <c r="BQ31" s="272">
        <v>4780000</v>
      </c>
      <c r="BR31" s="272"/>
      <c r="BS31" s="272"/>
      <c r="BT31" s="272">
        <v>0</v>
      </c>
      <c r="BU31" s="272">
        <v>159821344</v>
      </c>
      <c r="BV31" s="272"/>
      <c r="BW31" s="272">
        <v>45075465</v>
      </c>
      <c r="BX31" s="272">
        <v>34922025</v>
      </c>
      <c r="BY31" s="272">
        <v>2880421</v>
      </c>
      <c r="BZ31" s="272">
        <v>668770</v>
      </c>
      <c r="CA31" s="272">
        <v>26259387</v>
      </c>
      <c r="CB31" s="272">
        <v>1963552</v>
      </c>
      <c r="CC31" s="272">
        <v>3723943</v>
      </c>
      <c r="CD31" s="272">
        <v>4017769</v>
      </c>
      <c r="CE31" s="272">
        <v>12567868</v>
      </c>
      <c r="CF31" s="272">
        <v>3655798</v>
      </c>
      <c r="CG31" s="272">
        <v>322128</v>
      </c>
      <c r="CH31" s="272">
        <v>14717699</v>
      </c>
      <c r="CI31" s="272">
        <v>7238923</v>
      </c>
      <c r="CJ31" s="455">
        <f t="shared" si="7"/>
        <v>7478776</v>
      </c>
      <c r="CK31" s="272">
        <v>12303943</v>
      </c>
      <c r="CL31" s="272">
        <v>6545734</v>
      </c>
      <c r="CM31" s="272">
        <v>756000</v>
      </c>
      <c r="CN31" s="272">
        <v>2573595</v>
      </c>
      <c r="CO31" s="272">
        <v>1185138</v>
      </c>
      <c r="CP31" s="272">
        <v>11071896</v>
      </c>
      <c r="CQ31" s="272">
        <v>4720499</v>
      </c>
      <c r="CR31" s="272">
        <v>2975759</v>
      </c>
      <c r="CS31" s="272">
        <v>2557469</v>
      </c>
      <c r="CT31" s="455">
        <f t="shared" si="8"/>
        <v>1542643</v>
      </c>
      <c r="CU31" s="272">
        <v>492863</v>
      </c>
      <c r="CV31" s="272">
        <v>1049780</v>
      </c>
      <c r="CW31" s="455">
        <f t="shared" si="9"/>
        <v>1443454</v>
      </c>
      <c r="CX31" s="272">
        <v>399863</v>
      </c>
      <c r="CY31" s="272">
        <v>1043591</v>
      </c>
      <c r="CZ31" s="455">
        <f t="shared" si="10"/>
        <v>0</v>
      </c>
      <c r="DA31" s="272">
        <v>0</v>
      </c>
      <c r="DB31" s="272">
        <v>0</v>
      </c>
      <c r="DC31" s="272">
        <v>25709809</v>
      </c>
      <c r="DD31" s="272">
        <v>5627317</v>
      </c>
      <c r="DE31" s="272">
        <v>18060114</v>
      </c>
      <c r="DF31" s="272">
        <v>146734</v>
      </c>
      <c r="DG31" s="272">
        <v>1465743</v>
      </c>
      <c r="DH31" s="272">
        <v>43325</v>
      </c>
      <c r="DI31" s="272">
        <v>5266600</v>
      </c>
      <c r="DJ31" s="272">
        <v>1804300</v>
      </c>
      <c r="DK31" s="272">
        <v>0</v>
      </c>
      <c r="DL31" s="272">
        <v>3462300</v>
      </c>
      <c r="DM31" s="272">
        <v>391056</v>
      </c>
      <c r="DN31" s="272">
        <v>250016</v>
      </c>
      <c r="DO31" s="272">
        <v>0</v>
      </c>
      <c r="DP31" s="272">
        <v>250016</v>
      </c>
      <c r="DQ31" s="272">
        <v>3387908</v>
      </c>
      <c r="DR31" s="272">
        <v>0</v>
      </c>
      <c r="DS31" s="272">
        <v>0</v>
      </c>
      <c r="DT31" s="272">
        <v>14236782</v>
      </c>
      <c r="DU31" s="272">
        <v>8009975</v>
      </c>
      <c r="DV31" s="455">
        <f t="shared" si="11"/>
        <v>0</v>
      </c>
      <c r="DW31" s="272">
        <v>0</v>
      </c>
      <c r="DX31" s="272">
        <v>0</v>
      </c>
      <c r="DY31" s="272">
        <v>0</v>
      </c>
      <c r="DZ31" s="272">
        <v>4513000</v>
      </c>
      <c r="EA31" s="272">
        <v>1705996</v>
      </c>
      <c r="EB31" s="272"/>
      <c r="EC31" s="272">
        <v>0</v>
      </c>
      <c r="ED31" s="272">
        <v>159649008</v>
      </c>
      <c r="EF31" s="272">
        <v>172336</v>
      </c>
      <c r="EG31" s="272">
        <v>923603</v>
      </c>
      <c r="EH31" s="272">
        <v>-751267</v>
      </c>
      <c r="EI31" s="272">
        <v>-2990445</v>
      </c>
      <c r="EJ31" s="272">
        <v>-2860645</v>
      </c>
      <c r="EL31" s="272"/>
      <c r="EM31" s="272">
        <v>495047</v>
      </c>
      <c r="EN31" s="272">
        <v>1694500</v>
      </c>
      <c r="EO31" s="272">
        <v>732959</v>
      </c>
      <c r="EP31" s="455">
        <f t="shared" si="12"/>
        <v>4689619</v>
      </c>
      <c r="EQ31" s="272">
        <v>93214538</v>
      </c>
      <c r="ER31" s="272">
        <v>-11782873</v>
      </c>
      <c r="ES31" s="272">
        <v>42592706</v>
      </c>
      <c r="ET31" s="272">
        <v>32644417</v>
      </c>
      <c r="EU31" s="272">
        <v>6438842</v>
      </c>
      <c r="EV31" s="272">
        <v>12928829</v>
      </c>
      <c r="EW31" s="455">
        <f t="shared" si="13"/>
        <v>4356260</v>
      </c>
      <c r="EX31" s="272">
        <v>4316121</v>
      </c>
      <c r="EY31" s="272">
        <v>281389</v>
      </c>
      <c r="EZ31" s="272">
        <v>4032957</v>
      </c>
      <c r="FA31" s="272">
        <v>40139</v>
      </c>
      <c r="FB31" s="272"/>
      <c r="FC31" s="272">
        <v>9022353</v>
      </c>
      <c r="FD31" s="272">
        <v>10345463</v>
      </c>
      <c r="FE31" s="272">
        <v>4720499</v>
      </c>
      <c r="FF31" s="272">
        <v>13903489</v>
      </c>
      <c r="FG31" s="455">
        <f t="shared" si="14"/>
        <v>5244333</v>
      </c>
      <c r="FH31" s="272">
        <v>104832275</v>
      </c>
      <c r="FI31" s="384">
        <f t="shared" si="15"/>
        <v>-0.8</v>
      </c>
      <c r="FJ31" s="272">
        <v>88831173</v>
      </c>
      <c r="FK31" s="272"/>
      <c r="FL31" s="272">
        <v>66074214</v>
      </c>
      <c r="FM31" s="272">
        <v>67248774</v>
      </c>
      <c r="FN31" s="460">
        <v>0.98899999999999999</v>
      </c>
      <c r="FO31" s="388">
        <v>105</v>
      </c>
      <c r="FP31" s="388">
        <v>49.7</v>
      </c>
      <c r="FQ31" s="388">
        <v>7.6</v>
      </c>
      <c r="FR31" s="388">
        <v>15.4</v>
      </c>
      <c r="FS31" s="388">
        <v>9.6</v>
      </c>
      <c r="FT31" s="388">
        <v>9.6</v>
      </c>
      <c r="FU31" s="388">
        <v>11.8</v>
      </c>
      <c r="FV31" s="388">
        <v>11.5</v>
      </c>
      <c r="FW31" s="272">
        <v>128988546</v>
      </c>
      <c r="FX31" s="384">
        <f t="shared" si="16"/>
        <v>145.19999999999999</v>
      </c>
      <c r="FY31" s="272">
        <v>16908676</v>
      </c>
      <c r="FZ31" s="272">
        <v>1804300</v>
      </c>
      <c r="GA31" s="272"/>
      <c r="GB31" s="272">
        <v>15104376</v>
      </c>
      <c r="GC31" s="272"/>
      <c r="GD31" s="272">
        <v>42950395</v>
      </c>
      <c r="GE31" s="384">
        <f t="shared" si="17"/>
        <v>48.4</v>
      </c>
      <c r="GF31" s="388">
        <v>95.6</v>
      </c>
      <c r="GG31" s="388">
        <v>30.1</v>
      </c>
      <c r="GH31" s="388">
        <v>90.3</v>
      </c>
      <c r="GI31" s="272">
        <v>4168</v>
      </c>
    </row>
    <row r="32" spans="2:191" x14ac:dyDescent="0.15">
      <c r="B32" s="89" t="s">
        <v>57</v>
      </c>
      <c r="C32" s="272">
        <v>7480851</v>
      </c>
      <c r="D32" s="455">
        <f t="shared" si="0"/>
        <v>2508931</v>
      </c>
      <c r="E32" s="272">
        <v>38844</v>
      </c>
      <c r="F32" s="272">
        <v>2470087</v>
      </c>
      <c r="G32" s="455">
        <f t="shared" si="1"/>
        <v>353128</v>
      </c>
      <c r="H32" s="272">
        <v>104041</v>
      </c>
      <c r="I32" s="272">
        <v>249087</v>
      </c>
      <c r="J32" s="272">
        <v>3601253</v>
      </c>
      <c r="K32" s="272">
        <v>2254718</v>
      </c>
      <c r="L32" s="272">
        <v>982999</v>
      </c>
      <c r="M32" s="272">
        <v>355354</v>
      </c>
      <c r="N32" s="272">
        <v>256648</v>
      </c>
      <c r="O32" s="272">
        <v>611549</v>
      </c>
      <c r="P32" s="272">
        <v>414373</v>
      </c>
      <c r="Q32" s="272">
        <v>197176</v>
      </c>
      <c r="R32" s="272">
        <v>361725</v>
      </c>
      <c r="S32" s="272">
        <v>244864</v>
      </c>
      <c r="T32" s="455">
        <f t="shared" si="2"/>
        <v>525684</v>
      </c>
      <c r="U32" s="272">
        <v>264089</v>
      </c>
      <c r="V32" s="272"/>
      <c r="W32" s="272"/>
      <c r="X32" s="272"/>
      <c r="Y32" s="272">
        <v>83322</v>
      </c>
      <c r="Z32" s="272">
        <v>995</v>
      </c>
      <c r="AA32" s="272">
        <v>177278</v>
      </c>
      <c r="AB32" s="272"/>
      <c r="AC32" s="272">
        <v>2574564</v>
      </c>
      <c r="AD32" s="272">
        <v>2143487</v>
      </c>
      <c r="AE32" s="272">
        <v>431077</v>
      </c>
      <c r="AF32" s="272">
        <v>13794</v>
      </c>
      <c r="AG32" s="272">
        <v>61293</v>
      </c>
      <c r="AH32" s="455">
        <f t="shared" si="3"/>
        <v>278228</v>
      </c>
      <c r="AI32" s="272">
        <v>128768</v>
      </c>
      <c r="AJ32" s="272">
        <v>149460</v>
      </c>
      <c r="AK32" s="272">
        <v>2161656</v>
      </c>
      <c r="AL32" s="455">
        <f t="shared" si="4"/>
        <v>1006192</v>
      </c>
      <c r="AM32" s="272">
        <v>897772</v>
      </c>
      <c r="AN32" s="272">
        <v>108420</v>
      </c>
      <c r="AO32" s="272">
        <v>0</v>
      </c>
      <c r="AP32" s="272">
        <v>0</v>
      </c>
      <c r="AQ32" s="272">
        <v>527854</v>
      </c>
      <c r="AR32" s="272">
        <v>0</v>
      </c>
      <c r="AS32" s="272">
        <v>0</v>
      </c>
      <c r="AT32" s="272">
        <v>893512</v>
      </c>
      <c r="AU32" s="272">
        <v>243897</v>
      </c>
      <c r="AV32" s="272">
        <v>54619</v>
      </c>
      <c r="AW32" s="272">
        <v>32017</v>
      </c>
      <c r="AX32" s="272">
        <v>649615</v>
      </c>
      <c r="AY32" s="272">
        <v>186043</v>
      </c>
      <c r="AZ32" s="272">
        <v>73181</v>
      </c>
      <c r="BA32" s="272">
        <v>0</v>
      </c>
      <c r="BB32" s="272">
        <v>255519</v>
      </c>
      <c r="BC32" s="272">
        <v>1345878</v>
      </c>
      <c r="BD32" s="272">
        <v>0</v>
      </c>
      <c r="BE32" s="272">
        <v>355000</v>
      </c>
      <c r="BF32" s="272">
        <v>971899</v>
      </c>
      <c r="BG32" s="272">
        <v>0</v>
      </c>
      <c r="BH32" s="272">
        <v>95671</v>
      </c>
      <c r="BI32" s="272">
        <v>39964</v>
      </c>
      <c r="BJ32" s="272">
        <v>335383</v>
      </c>
      <c r="BK32" s="272">
        <v>1800</v>
      </c>
      <c r="BL32" s="272">
        <v>0</v>
      </c>
      <c r="BM32" s="272">
        <v>0</v>
      </c>
      <c r="BN32" s="272">
        <v>1942900</v>
      </c>
      <c r="BO32" s="455">
        <f t="shared" si="5"/>
        <v>1426400</v>
      </c>
      <c r="BP32" s="455">
        <f t="shared" si="6"/>
        <v>516500</v>
      </c>
      <c r="BQ32" s="272">
        <v>516500</v>
      </c>
      <c r="BR32" s="272"/>
      <c r="BS32" s="272"/>
      <c r="BT32" s="272">
        <v>0</v>
      </c>
      <c r="BU32" s="272">
        <v>18399839</v>
      </c>
      <c r="BV32" s="272"/>
      <c r="BW32" s="272">
        <v>5701151</v>
      </c>
      <c r="BX32" s="272">
        <v>4313116</v>
      </c>
      <c r="BY32" s="272">
        <v>195497</v>
      </c>
      <c r="BZ32" s="272">
        <v>195092</v>
      </c>
      <c r="CA32" s="272">
        <v>2057405</v>
      </c>
      <c r="CB32" s="272">
        <v>249800</v>
      </c>
      <c r="CC32" s="272">
        <v>407222</v>
      </c>
      <c r="CD32" s="272">
        <v>235177</v>
      </c>
      <c r="CE32" s="272">
        <v>1127876</v>
      </c>
      <c r="CF32" s="272">
        <v>0</v>
      </c>
      <c r="CG32" s="272">
        <v>35521</v>
      </c>
      <c r="CH32" s="272">
        <v>1926141</v>
      </c>
      <c r="CI32" s="272">
        <v>965733</v>
      </c>
      <c r="CJ32" s="455">
        <f t="shared" si="7"/>
        <v>960408</v>
      </c>
      <c r="CK32" s="272">
        <v>2075361</v>
      </c>
      <c r="CL32" s="272">
        <v>1013083</v>
      </c>
      <c r="CM32" s="272">
        <v>120322</v>
      </c>
      <c r="CN32" s="272">
        <v>543039</v>
      </c>
      <c r="CO32" s="272">
        <v>182138</v>
      </c>
      <c r="CP32" s="272">
        <v>1080294</v>
      </c>
      <c r="CQ32" s="272">
        <v>467008</v>
      </c>
      <c r="CR32" s="272">
        <v>304252</v>
      </c>
      <c r="CS32" s="272">
        <v>175710</v>
      </c>
      <c r="CT32" s="455">
        <f t="shared" si="8"/>
        <v>3783</v>
      </c>
      <c r="CU32" s="272">
        <v>3783</v>
      </c>
      <c r="CV32" s="272">
        <v>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3533901</v>
      </c>
      <c r="DD32" s="272">
        <v>1153237</v>
      </c>
      <c r="DE32" s="272">
        <v>2319901</v>
      </c>
      <c r="DF32" s="272">
        <v>60763</v>
      </c>
      <c r="DG32" s="272">
        <v>0</v>
      </c>
      <c r="DH32" s="272">
        <v>1</v>
      </c>
      <c r="DI32" s="272">
        <v>462818</v>
      </c>
      <c r="DJ32" s="272">
        <v>0</v>
      </c>
      <c r="DK32" s="272">
        <v>17374</v>
      </c>
      <c r="DL32" s="272">
        <v>445444</v>
      </c>
      <c r="DM32" s="272">
        <v>102650</v>
      </c>
      <c r="DN32" s="272">
        <v>30000</v>
      </c>
      <c r="DO32" s="272">
        <v>30000</v>
      </c>
      <c r="DP32" s="272">
        <v>0</v>
      </c>
      <c r="DQ32" s="272">
        <v>3400</v>
      </c>
      <c r="DR32" s="272">
        <v>0</v>
      </c>
      <c r="DS32" s="272">
        <v>0</v>
      </c>
      <c r="DT32" s="272">
        <v>1076479</v>
      </c>
      <c r="DU32" s="272">
        <v>398097</v>
      </c>
      <c r="DV32" s="455">
        <f t="shared" si="11"/>
        <v>0</v>
      </c>
      <c r="DW32" s="272">
        <v>0</v>
      </c>
      <c r="DX32" s="272">
        <v>0</v>
      </c>
      <c r="DY32" s="272">
        <v>0</v>
      </c>
      <c r="DZ32" s="272">
        <v>490139</v>
      </c>
      <c r="EA32" s="272">
        <v>188243</v>
      </c>
      <c r="EB32" s="272"/>
      <c r="EC32" s="272">
        <v>0</v>
      </c>
      <c r="ED32" s="272">
        <v>18201739</v>
      </c>
      <c r="EF32" s="272">
        <v>198100</v>
      </c>
      <c r="EG32" s="272">
        <v>142569</v>
      </c>
      <c r="EH32" s="272">
        <v>55531</v>
      </c>
      <c r="EI32" s="272">
        <v>15567</v>
      </c>
      <c r="EJ32" s="272">
        <v>15567</v>
      </c>
      <c r="EL32" s="272"/>
      <c r="EM32" s="272">
        <v>61513</v>
      </c>
      <c r="EN32" s="272">
        <v>361899</v>
      </c>
      <c r="EO32" s="272">
        <v>12570</v>
      </c>
      <c r="EP32" s="455">
        <f t="shared" si="12"/>
        <v>438617</v>
      </c>
      <c r="EQ32" s="272">
        <v>10956618</v>
      </c>
      <c r="ER32" s="272">
        <v>-1315792</v>
      </c>
      <c r="ES32" s="272">
        <v>5309291</v>
      </c>
      <c r="ET32" s="272">
        <v>3921256</v>
      </c>
      <c r="EU32" s="272">
        <v>546144</v>
      </c>
      <c r="EV32" s="272">
        <v>1712465</v>
      </c>
      <c r="EW32" s="455">
        <f t="shared" si="13"/>
        <v>172314</v>
      </c>
      <c r="EX32" s="272">
        <v>172313</v>
      </c>
      <c r="EY32" s="272"/>
      <c r="EZ32" s="272">
        <v>172313</v>
      </c>
      <c r="FA32" s="272">
        <v>1</v>
      </c>
      <c r="FB32" s="272"/>
      <c r="FC32" s="272">
        <v>1702075</v>
      </c>
      <c r="FD32" s="272">
        <v>1004623</v>
      </c>
      <c r="FE32" s="272">
        <v>453582</v>
      </c>
      <c r="FF32" s="272">
        <v>1033849</v>
      </c>
      <c r="FG32" s="455">
        <f t="shared" si="14"/>
        <v>593549</v>
      </c>
      <c r="FH32" s="272">
        <v>12074310</v>
      </c>
      <c r="FI32" s="384">
        <f t="shared" si="15"/>
        <v>0.5</v>
      </c>
      <c r="FJ32" s="272">
        <v>10282611</v>
      </c>
      <c r="FK32" s="272"/>
      <c r="FL32" s="272">
        <v>6137499</v>
      </c>
      <c r="FM32" s="272">
        <v>8289889</v>
      </c>
      <c r="FN32" s="460">
        <v>0.73099999999999998</v>
      </c>
      <c r="FO32" s="388">
        <v>103.6</v>
      </c>
      <c r="FP32" s="388">
        <v>52.2</v>
      </c>
      <c r="FQ32" s="388">
        <v>5.5</v>
      </c>
      <c r="FR32" s="388">
        <v>17.2</v>
      </c>
      <c r="FS32" s="388">
        <v>14.3</v>
      </c>
      <c r="FT32" s="388">
        <v>8.1999999999999993</v>
      </c>
      <c r="FU32" s="388">
        <v>4.4000000000000004</v>
      </c>
      <c r="FV32" s="388">
        <v>13.6</v>
      </c>
      <c r="FW32" s="272">
        <v>16986773</v>
      </c>
      <c r="FX32" s="384">
        <f t="shared" si="16"/>
        <v>165.2</v>
      </c>
      <c r="FY32" s="272">
        <v>2754013</v>
      </c>
      <c r="FZ32" s="272"/>
      <c r="GA32" s="272">
        <v>482504</v>
      </c>
      <c r="GB32" s="272">
        <v>2271509</v>
      </c>
      <c r="GC32" s="272"/>
      <c r="GD32" s="272">
        <v>10026947</v>
      </c>
      <c r="GE32" s="384">
        <f t="shared" si="17"/>
        <v>97.5</v>
      </c>
      <c r="GF32" s="388">
        <v>94.3</v>
      </c>
      <c r="GG32" s="388">
        <v>18.7</v>
      </c>
      <c r="GH32" s="388">
        <v>86.3</v>
      </c>
      <c r="GI32" s="272">
        <v>655</v>
      </c>
    </row>
    <row r="33" spans="2:191" x14ac:dyDescent="0.15">
      <c r="B33" s="89" t="s">
        <v>59</v>
      </c>
      <c r="C33" s="272">
        <v>6240983</v>
      </c>
      <c r="D33" s="455">
        <f t="shared" si="0"/>
        <v>2579914</v>
      </c>
      <c r="E33" s="272">
        <v>38883</v>
      </c>
      <c r="F33" s="272">
        <v>2541031</v>
      </c>
      <c r="G33" s="455">
        <f t="shared" si="1"/>
        <v>326312</v>
      </c>
      <c r="H33" s="272">
        <v>85383</v>
      </c>
      <c r="I33" s="272">
        <v>240929</v>
      </c>
      <c r="J33" s="272">
        <v>2429191</v>
      </c>
      <c r="K33" s="272">
        <v>1368827</v>
      </c>
      <c r="L33" s="272">
        <v>797690</v>
      </c>
      <c r="M33" s="272">
        <v>251904</v>
      </c>
      <c r="N33" s="272">
        <v>226031</v>
      </c>
      <c r="O33" s="272">
        <v>588848</v>
      </c>
      <c r="P33" s="272">
        <v>421770</v>
      </c>
      <c r="Q33" s="272">
        <v>167078</v>
      </c>
      <c r="R33" s="272">
        <v>293575</v>
      </c>
      <c r="S33" s="272">
        <v>202131</v>
      </c>
      <c r="T33" s="455">
        <f t="shared" si="2"/>
        <v>456080</v>
      </c>
      <c r="U33" s="272">
        <v>261736</v>
      </c>
      <c r="V33" s="272"/>
      <c r="W33" s="272"/>
      <c r="X33" s="272"/>
      <c r="Y33" s="272">
        <v>55271</v>
      </c>
      <c r="Z33" s="272">
        <v>358</v>
      </c>
      <c r="AA33" s="272">
        <v>138715</v>
      </c>
      <c r="AB33" s="272"/>
      <c r="AC33" s="272">
        <v>3294753</v>
      </c>
      <c r="AD33" s="272">
        <v>3007159</v>
      </c>
      <c r="AE33" s="272">
        <v>287594</v>
      </c>
      <c r="AF33" s="272">
        <v>12102</v>
      </c>
      <c r="AG33" s="272">
        <v>262540</v>
      </c>
      <c r="AH33" s="455">
        <f t="shared" si="3"/>
        <v>195553</v>
      </c>
      <c r="AI33" s="272">
        <v>89238</v>
      </c>
      <c r="AJ33" s="272">
        <v>106315</v>
      </c>
      <c r="AK33" s="272">
        <v>1482551</v>
      </c>
      <c r="AL33" s="455">
        <f t="shared" si="4"/>
        <v>697717</v>
      </c>
      <c r="AM33" s="272">
        <v>477655</v>
      </c>
      <c r="AN33" s="272">
        <v>119261</v>
      </c>
      <c r="AO33" s="272">
        <v>0</v>
      </c>
      <c r="AP33" s="272">
        <v>100801</v>
      </c>
      <c r="AQ33" s="272">
        <v>482441</v>
      </c>
      <c r="AR33" s="272">
        <v>0</v>
      </c>
      <c r="AS33" s="272">
        <v>0</v>
      </c>
      <c r="AT33" s="272">
        <v>760379</v>
      </c>
      <c r="AU33" s="272">
        <v>210247</v>
      </c>
      <c r="AV33" s="272">
        <v>60151</v>
      </c>
      <c r="AW33" s="272">
        <v>12516</v>
      </c>
      <c r="AX33" s="272">
        <v>550132</v>
      </c>
      <c r="AY33" s="272">
        <v>248068</v>
      </c>
      <c r="AZ33" s="272">
        <v>60371</v>
      </c>
      <c r="BA33" s="272">
        <v>9736</v>
      </c>
      <c r="BB33" s="272">
        <v>397904</v>
      </c>
      <c r="BC33" s="272">
        <v>525846</v>
      </c>
      <c r="BD33" s="272">
        <v>0</v>
      </c>
      <c r="BE33" s="272">
        <v>228000</v>
      </c>
      <c r="BF33" s="272">
        <v>297846</v>
      </c>
      <c r="BG33" s="272">
        <v>0</v>
      </c>
      <c r="BH33" s="272">
        <v>231942</v>
      </c>
      <c r="BI33" s="272">
        <v>224862</v>
      </c>
      <c r="BJ33" s="272">
        <v>120724</v>
      </c>
      <c r="BK33" s="272">
        <v>0</v>
      </c>
      <c r="BL33" s="272">
        <v>18343</v>
      </c>
      <c r="BM33" s="272">
        <v>0</v>
      </c>
      <c r="BN33" s="272">
        <v>3840800</v>
      </c>
      <c r="BO33" s="455">
        <f t="shared" si="5"/>
        <v>3334100</v>
      </c>
      <c r="BP33" s="455">
        <f t="shared" si="6"/>
        <v>506700</v>
      </c>
      <c r="BQ33" s="272">
        <v>506700</v>
      </c>
      <c r="BR33" s="272"/>
      <c r="BS33" s="272"/>
      <c r="BT33" s="272">
        <v>0</v>
      </c>
      <c r="BU33" s="272">
        <v>18176103</v>
      </c>
      <c r="BV33" s="272"/>
      <c r="BW33" s="272">
        <v>4705755</v>
      </c>
      <c r="BX33" s="272">
        <v>3634853</v>
      </c>
      <c r="BY33" s="272">
        <v>112134</v>
      </c>
      <c r="BZ33" s="272">
        <v>89820</v>
      </c>
      <c r="CA33" s="272">
        <v>1760463</v>
      </c>
      <c r="CB33" s="272">
        <v>183704</v>
      </c>
      <c r="CC33" s="272">
        <v>530217</v>
      </c>
      <c r="CD33" s="272">
        <v>364706</v>
      </c>
      <c r="CE33" s="272">
        <v>642529</v>
      </c>
      <c r="CF33" s="272">
        <v>2571</v>
      </c>
      <c r="CG33" s="272">
        <v>35674</v>
      </c>
      <c r="CH33" s="272">
        <v>1219981</v>
      </c>
      <c r="CI33" s="272">
        <v>606593</v>
      </c>
      <c r="CJ33" s="455">
        <f t="shared" si="7"/>
        <v>613388</v>
      </c>
      <c r="CK33" s="272">
        <v>1897165</v>
      </c>
      <c r="CL33" s="272">
        <v>1082084</v>
      </c>
      <c r="CM33" s="272">
        <v>114857</v>
      </c>
      <c r="CN33" s="272">
        <v>298831</v>
      </c>
      <c r="CO33" s="272">
        <v>48683</v>
      </c>
      <c r="CP33" s="272">
        <v>1404555</v>
      </c>
      <c r="CQ33" s="272">
        <v>624900</v>
      </c>
      <c r="CR33" s="272">
        <v>244598</v>
      </c>
      <c r="CS33" s="272">
        <v>157511</v>
      </c>
      <c r="CT33" s="455">
        <f t="shared" si="8"/>
        <v>29621</v>
      </c>
      <c r="CU33" s="272">
        <v>6105</v>
      </c>
      <c r="CV33" s="272">
        <v>23516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5227250</v>
      </c>
      <c r="DD33" s="272">
        <v>1067222</v>
      </c>
      <c r="DE33" s="272">
        <v>4134465</v>
      </c>
      <c r="DF33" s="272">
        <v>14561</v>
      </c>
      <c r="DG33" s="272">
        <v>11002</v>
      </c>
      <c r="DH33" s="272">
        <v>1</v>
      </c>
      <c r="DI33" s="272">
        <v>222722</v>
      </c>
      <c r="DJ33" s="272">
        <v>122301</v>
      </c>
      <c r="DK33" s="272">
        <v>12151</v>
      </c>
      <c r="DL33" s="272">
        <v>88270</v>
      </c>
      <c r="DM33" s="272">
        <v>12000</v>
      </c>
      <c r="DN33" s="272">
        <v>12000</v>
      </c>
      <c r="DO33" s="272">
        <v>12000</v>
      </c>
      <c r="DP33" s="272">
        <v>0</v>
      </c>
      <c r="DQ33" s="272">
        <v>0</v>
      </c>
      <c r="DR33" s="272">
        <v>0</v>
      </c>
      <c r="DS33" s="272">
        <v>0</v>
      </c>
      <c r="DT33" s="272">
        <v>1535773</v>
      </c>
      <c r="DU33" s="272">
        <v>1130000</v>
      </c>
      <c r="DV33" s="455">
        <f t="shared" si="11"/>
        <v>0</v>
      </c>
      <c r="DW33" s="272">
        <v>0</v>
      </c>
      <c r="DX33" s="272">
        <v>0</v>
      </c>
      <c r="DY33" s="272">
        <v>0</v>
      </c>
      <c r="DZ33" s="272">
        <v>247749</v>
      </c>
      <c r="EA33" s="272">
        <v>158024</v>
      </c>
      <c r="EB33" s="272"/>
      <c r="EC33" s="272">
        <v>0</v>
      </c>
      <c r="ED33" s="272">
        <v>18034348</v>
      </c>
      <c r="EF33" s="272">
        <v>141755</v>
      </c>
      <c r="EG33" s="272">
        <v>10333</v>
      </c>
      <c r="EH33" s="272">
        <v>131422</v>
      </c>
      <c r="EI33" s="272">
        <v>-93440</v>
      </c>
      <c r="EJ33" s="272">
        <v>28861</v>
      </c>
      <c r="EL33" s="272"/>
      <c r="EM33" s="272">
        <v>53134</v>
      </c>
      <c r="EN33" s="272">
        <v>228000</v>
      </c>
      <c r="EO33" s="272">
        <v>13017</v>
      </c>
      <c r="EP33" s="455">
        <f t="shared" si="12"/>
        <v>400158</v>
      </c>
      <c r="EQ33" s="272">
        <v>10297493</v>
      </c>
      <c r="ER33" s="272">
        <v>-1135773</v>
      </c>
      <c r="ES33" s="272">
        <v>4423942</v>
      </c>
      <c r="ET33" s="272">
        <v>3375361</v>
      </c>
      <c r="EU33" s="272">
        <v>540976</v>
      </c>
      <c r="EV33" s="272">
        <v>1219981</v>
      </c>
      <c r="EW33" s="455">
        <f t="shared" si="13"/>
        <v>561828</v>
      </c>
      <c r="EX33" s="272">
        <v>561827</v>
      </c>
      <c r="EY33" s="272">
        <v>55083</v>
      </c>
      <c r="EZ33" s="272">
        <v>504308</v>
      </c>
      <c r="FA33" s="272">
        <v>1</v>
      </c>
      <c r="FB33" s="272"/>
      <c r="FC33" s="272">
        <v>1490455</v>
      </c>
      <c r="FD33" s="272">
        <v>1318686</v>
      </c>
      <c r="FE33" s="272">
        <v>624900</v>
      </c>
      <c r="FF33" s="272">
        <v>1513161</v>
      </c>
      <c r="FG33" s="455">
        <f t="shared" si="14"/>
        <v>222482</v>
      </c>
      <c r="FH33" s="272">
        <v>11291511</v>
      </c>
      <c r="FI33" s="384">
        <f t="shared" si="15"/>
        <v>1.4</v>
      </c>
      <c r="FJ33" s="272">
        <v>9533958</v>
      </c>
      <c r="FK33" s="272"/>
      <c r="FL33" s="272">
        <v>4921367</v>
      </c>
      <c r="FM33" s="272">
        <v>7943004</v>
      </c>
      <c r="FN33" s="460">
        <v>0.63900000000000001</v>
      </c>
      <c r="FO33" s="388">
        <v>96.6</v>
      </c>
      <c r="FP33" s="388">
        <v>46.1</v>
      </c>
      <c r="FQ33" s="388">
        <v>5.7</v>
      </c>
      <c r="FR33" s="388">
        <v>12.9</v>
      </c>
      <c r="FS33" s="388">
        <v>13.2</v>
      </c>
      <c r="FT33" s="388">
        <v>8.1999999999999993</v>
      </c>
      <c r="FU33" s="388">
        <v>10</v>
      </c>
      <c r="FV33" s="388">
        <v>9</v>
      </c>
      <c r="FW33" s="272">
        <v>14101780</v>
      </c>
      <c r="FX33" s="384">
        <f t="shared" si="16"/>
        <v>147.9</v>
      </c>
      <c r="FY33" s="272">
        <v>1811376</v>
      </c>
      <c r="FZ33" s="272">
        <v>225196</v>
      </c>
      <c r="GA33" s="272">
        <v>327670</v>
      </c>
      <c r="GB33" s="272">
        <v>1258510</v>
      </c>
      <c r="GC33" s="272"/>
      <c r="GD33" s="272">
        <v>5644398</v>
      </c>
      <c r="GE33" s="384">
        <f t="shared" si="17"/>
        <v>59.2</v>
      </c>
      <c r="GF33" s="388">
        <v>96.5</v>
      </c>
      <c r="GG33" s="388">
        <v>38.4</v>
      </c>
      <c r="GH33" s="388">
        <v>92.4</v>
      </c>
      <c r="GI33" s="272">
        <v>501</v>
      </c>
    </row>
    <row r="34" spans="2:191" x14ac:dyDescent="0.15">
      <c r="B34" s="89" t="s">
        <v>61</v>
      </c>
      <c r="C34" s="272">
        <v>8550222</v>
      </c>
      <c r="D34" s="455">
        <f t="shared" si="0"/>
        <v>4499755</v>
      </c>
      <c r="E34" s="272">
        <v>49191</v>
      </c>
      <c r="F34" s="272">
        <v>4450564</v>
      </c>
      <c r="G34" s="455">
        <f t="shared" si="1"/>
        <v>404166</v>
      </c>
      <c r="H34" s="272">
        <v>94157</v>
      </c>
      <c r="I34" s="272">
        <v>310009</v>
      </c>
      <c r="J34" s="272">
        <v>2711917</v>
      </c>
      <c r="K34" s="272">
        <v>1249368</v>
      </c>
      <c r="L34" s="272">
        <v>991318</v>
      </c>
      <c r="M34" s="272">
        <v>442508</v>
      </c>
      <c r="N34" s="272">
        <v>245097</v>
      </c>
      <c r="O34" s="272">
        <v>640676</v>
      </c>
      <c r="P34" s="272">
        <v>420628</v>
      </c>
      <c r="Q34" s="272">
        <v>220048</v>
      </c>
      <c r="R34" s="272">
        <v>371599</v>
      </c>
      <c r="S34" s="272">
        <v>247322</v>
      </c>
      <c r="T34" s="455">
        <f t="shared" si="2"/>
        <v>747075</v>
      </c>
      <c r="U34" s="272">
        <v>426158</v>
      </c>
      <c r="V34" s="272"/>
      <c r="W34" s="272"/>
      <c r="X34" s="272"/>
      <c r="Y34" s="272">
        <v>132377</v>
      </c>
      <c r="Z34" s="272">
        <v>114</v>
      </c>
      <c r="AA34" s="272">
        <v>188426</v>
      </c>
      <c r="AB34" s="272"/>
      <c r="AC34" s="272">
        <v>3207119</v>
      </c>
      <c r="AD34" s="272">
        <v>2973506</v>
      </c>
      <c r="AE34" s="272">
        <v>233613</v>
      </c>
      <c r="AF34" s="272">
        <v>13141</v>
      </c>
      <c r="AG34" s="272">
        <v>141998</v>
      </c>
      <c r="AH34" s="455">
        <f t="shared" si="3"/>
        <v>143210</v>
      </c>
      <c r="AI34" s="272">
        <v>74469</v>
      </c>
      <c r="AJ34" s="272">
        <v>68741</v>
      </c>
      <c r="AK34" s="272">
        <v>1005643</v>
      </c>
      <c r="AL34" s="455">
        <f t="shared" si="4"/>
        <v>559734</v>
      </c>
      <c r="AM34" s="272">
        <v>316931</v>
      </c>
      <c r="AN34" s="272">
        <v>123484</v>
      </c>
      <c r="AO34" s="272">
        <v>0</v>
      </c>
      <c r="AP34" s="272">
        <v>119319</v>
      </c>
      <c r="AQ34" s="272">
        <v>121989</v>
      </c>
      <c r="AR34" s="272">
        <v>0</v>
      </c>
      <c r="AS34" s="272">
        <v>0</v>
      </c>
      <c r="AT34" s="272">
        <v>770379</v>
      </c>
      <c r="AU34" s="272">
        <v>197003</v>
      </c>
      <c r="AV34" s="272">
        <v>61882</v>
      </c>
      <c r="AW34" s="272">
        <v>9758</v>
      </c>
      <c r="AX34" s="272">
        <v>573376</v>
      </c>
      <c r="AY34" s="272">
        <v>160400</v>
      </c>
      <c r="AZ34" s="272">
        <v>173889</v>
      </c>
      <c r="BA34" s="272">
        <v>36888</v>
      </c>
      <c r="BB34" s="272">
        <v>376410</v>
      </c>
      <c r="BC34" s="272">
        <v>1596500</v>
      </c>
      <c r="BD34" s="272">
        <v>780000</v>
      </c>
      <c r="BE34" s="272">
        <v>350000</v>
      </c>
      <c r="BF34" s="272">
        <v>466500</v>
      </c>
      <c r="BG34" s="272">
        <v>0</v>
      </c>
      <c r="BH34" s="272">
        <v>170829</v>
      </c>
      <c r="BI34" s="272">
        <v>66407</v>
      </c>
      <c r="BJ34" s="272">
        <v>1096604</v>
      </c>
      <c r="BK34" s="272">
        <v>1022692</v>
      </c>
      <c r="BL34" s="272">
        <v>0</v>
      </c>
      <c r="BM34" s="272">
        <v>0</v>
      </c>
      <c r="BN34" s="272">
        <v>6053600</v>
      </c>
      <c r="BO34" s="455">
        <f t="shared" si="5"/>
        <v>5165800</v>
      </c>
      <c r="BP34" s="455">
        <f t="shared" si="6"/>
        <v>887800</v>
      </c>
      <c r="BQ34" s="272">
        <v>887800</v>
      </c>
      <c r="BR34" s="272"/>
      <c r="BS34" s="272"/>
      <c r="BT34" s="272">
        <v>0</v>
      </c>
      <c r="BU34" s="272">
        <v>24418218</v>
      </c>
      <c r="BV34" s="272"/>
      <c r="BW34" s="272">
        <v>5864203</v>
      </c>
      <c r="BX34" s="272">
        <v>4280292</v>
      </c>
      <c r="BY34" s="272">
        <v>392880</v>
      </c>
      <c r="BZ34" s="272">
        <v>199464</v>
      </c>
      <c r="CA34" s="272">
        <v>1805664</v>
      </c>
      <c r="CB34" s="272">
        <v>290969</v>
      </c>
      <c r="CC34" s="272">
        <v>533236</v>
      </c>
      <c r="CD34" s="272">
        <v>490545</v>
      </c>
      <c r="CE34" s="272">
        <v>434862</v>
      </c>
      <c r="CF34" s="272">
        <v>19</v>
      </c>
      <c r="CG34" s="272">
        <v>54085</v>
      </c>
      <c r="CH34" s="272">
        <v>2334608</v>
      </c>
      <c r="CI34" s="272">
        <v>1101554</v>
      </c>
      <c r="CJ34" s="455">
        <f t="shared" si="7"/>
        <v>1233054</v>
      </c>
      <c r="CK34" s="272">
        <v>2228440</v>
      </c>
      <c r="CL34" s="272">
        <v>1324735</v>
      </c>
      <c r="CM34" s="272">
        <v>101513</v>
      </c>
      <c r="CN34" s="272">
        <v>477069</v>
      </c>
      <c r="CO34" s="272">
        <v>113018</v>
      </c>
      <c r="CP34" s="272">
        <v>1184774</v>
      </c>
      <c r="CQ34" s="272">
        <v>569547</v>
      </c>
      <c r="CR34" s="272">
        <v>270660</v>
      </c>
      <c r="CS34" s="272">
        <v>247829</v>
      </c>
      <c r="CT34" s="455">
        <f t="shared" si="8"/>
        <v>5807</v>
      </c>
      <c r="CU34" s="272">
        <v>5807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7955908</v>
      </c>
      <c r="DD34" s="272">
        <v>307857</v>
      </c>
      <c r="DE34" s="272">
        <v>7648051</v>
      </c>
      <c r="DF34" s="272">
        <v>0</v>
      </c>
      <c r="DG34" s="272">
        <v>0</v>
      </c>
      <c r="DH34" s="272">
        <v>296</v>
      </c>
      <c r="DI34" s="272">
        <v>509142</v>
      </c>
      <c r="DJ34" s="272">
        <v>70741</v>
      </c>
      <c r="DK34" s="272">
        <v>37213</v>
      </c>
      <c r="DL34" s="272">
        <v>401188</v>
      </c>
      <c r="DM34" s="272">
        <v>2230</v>
      </c>
      <c r="DN34" s="272">
        <v>0</v>
      </c>
      <c r="DO34" s="272">
        <v>0</v>
      </c>
      <c r="DP34" s="272">
        <v>0</v>
      </c>
      <c r="DQ34" s="272">
        <v>1000000</v>
      </c>
      <c r="DR34" s="272">
        <v>0</v>
      </c>
      <c r="DS34" s="272">
        <v>0</v>
      </c>
      <c r="DT34" s="272">
        <v>1085866</v>
      </c>
      <c r="DU34" s="272">
        <v>628000</v>
      </c>
      <c r="DV34" s="455">
        <f t="shared" si="11"/>
        <v>0</v>
      </c>
      <c r="DW34" s="272">
        <v>0</v>
      </c>
      <c r="DX34" s="272">
        <v>0</v>
      </c>
      <c r="DY34" s="272">
        <v>0</v>
      </c>
      <c r="DZ34" s="272">
        <v>236305</v>
      </c>
      <c r="EA34" s="272">
        <v>199733</v>
      </c>
      <c r="EB34" s="272"/>
      <c r="EC34" s="272">
        <v>0</v>
      </c>
      <c r="ED34" s="272">
        <v>24084149</v>
      </c>
      <c r="EF34" s="272">
        <v>334069</v>
      </c>
      <c r="EG34" s="272">
        <v>272149</v>
      </c>
      <c r="EH34" s="272">
        <v>61920</v>
      </c>
      <c r="EI34" s="272">
        <v>-4487</v>
      </c>
      <c r="EJ34" s="272">
        <v>-713746</v>
      </c>
      <c r="EL34" s="272"/>
      <c r="EM34" s="272">
        <v>71765</v>
      </c>
      <c r="EN34" s="272">
        <v>1130000</v>
      </c>
      <c r="EO34" s="272">
        <v>42027</v>
      </c>
      <c r="EP34" s="455">
        <f t="shared" si="12"/>
        <v>549663</v>
      </c>
      <c r="EQ34" s="272">
        <v>12889156</v>
      </c>
      <c r="ER34" s="272">
        <v>-2596349</v>
      </c>
      <c r="ES34" s="272">
        <v>5634915</v>
      </c>
      <c r="ET34" s="272">
        <v>4063676</v>
      </c>
      <c r="EU34" s="272">
        <v>677929</v>
      </c>
      <c r="EV34" s="272">
        <v>2334608</v>
      </c>
      <c r="EW34" s="455">
        <f t="shared" si="13"/>
        <v>2110380</v>
      </c>
      <c r="EX34" s="272">
        <v>2110084</v>
      </c>
      <c r="EY34" s="272">
        <v>56519</v>
      </c>
      <c r="EZ34" s="272">
        <v>2053565</v>
      </c>
      <c r="FA34" s="272">
        <v>296</v>
      </c>
      <c r="FB34" s="272"/>
      <c r="FC34" s="272">
        <v>1731078</v>
      </c>
      <c r="FD34" s="272">
        <v>1119501</v>
      </c>
      <c r="FE34" s="272">
        <v>569547</v>
      </c>
      <c r="FF34" s="272">
        <v>1042279</v>
      </c>
      <c r="FG34" s="455">
        <f t="shared" si="14"/>
        <v>500746</v>
      </c>
      <c r="FH34" s="272">
        <v>15151436</v>
      </c>
      <c r="FI34" s="384">
        <f t="shared" si="15"/>
        <v>0.5</v>
      </c>
      <c r="FJ34" s="272">
        <v>12513990</v>
      </c>
      <c r="FK34" s="272"/>
      <c r="FL34" s="272">
        <v>7190122</v>
      </c>
      <c r="FM34" s="272">
        <v>10184050</v>
      </c>
      <c r="FN34" s="460">
        <v>0.74399999999999999</v>
      </c>
      <c r="FO34" s="388">
        <v>96.3</v>
      </c>
      <c r="FP34" s="388">
        <v>46.6</v>
      </c>
      <c r="FQ34" s="388">
        <v>5.6</v>
      </c>
      <c r="FR34" s="388">
        <v>19.399999999999999</v>
      </c>
      <c r="FS34" s="388">
        <v>14</v>
      </c>
      <c r="FT34" s="388">
        <v>6.4</v>
      </c>
      <c r="FU34" s="388">
        <v>3.5</v>
      </c>
      <c r="FV34" s="388">
        <v>14.2</v>
      </c>
      <c r="FW34" s="272">
        <v>26803702</v>
      </c>
      <c r="FX34" s="384">
        <f t="shared" si="16"/>
        <v>214.2</v>
      </c>
      <c r="FY34" s="272">
        <v>3162354</v>
      </c>
      <c r="FZ34" s="272">
        <v>572425</v>
      </c>
      <c r="GA34" s="272">
        <v>371500</v>
      </c>
      <c r="GB34" s="272">
        <v>2218429</v>
      </c>
      <c r="GC34" s="272"/>
      <c r="GD34" s="272">
        <v>32550198</v>
      </c>
      <c r="GE34" s="384">
        <f t="shared" si="17"/>
        <v>260.10000000000002</v>
      </c>
      <c r="GF34" s="388">
        <v>97.1</v>
      </c>
      <c r="GG34" s="388">
        <v>29.8</v>
      </c>
      <c r="GH34" s="388">
        <v>93.5</v>
      </c>
      <c r="GI34" s="272">
        <v>591</v>
      </c>
    </row>
    <row r="35" spans="2:191" x14ac:dyDescent="0.15">
      <c r="B35" s="89" t="s">
        <v>63</v>
      </c>
      <c r="C35" s="272">
        <v>7486222</v>
      </c>
      <c r="D35" s="455">
        <f t="shared" si="0"/>
        <v>3925828</v>
      </c>
      <c r="E35" s="272">
        <v>38763</v>
      </c>
      <c r="F35" s="272">
        <v>3887065</v>
      </c>
      <c r="G35" s="455">
        <f t="shared" si="1"/>
        <v>284729</v>
      </c>
      <c r="H35" s="272">
        <v>72231</v>
      </c>
      <c r="I35" s="272">
        <v>212498</v>
      </c>
      <c r="J35" s="272">
        <v>2579578</v>
      </c>
      <c r="K35" s="272">
        <v>1197309</v>
      </c>
      <c r="L35" s="272">
        <v>1073687</v>
      </c>
      <c r="M35" s="272">
        <v>283161</v>
      </c>
      <c r="N35" s="272">
        <v>210128</v>
      </c>
      <c r="O35" s="272">
        <v>436979</v>
      </c>
      <c r="P35" s="272">
        <v>287851</v>
      </c>
      <c r="Q35" s="272">
        <v>149128</v>
      </c>
      <c r="R35" s="272">
        <v>324632</v>
      </c>
      <c r="S35" s="272">
        <v>218685</v>
      </c>
      <c r="T35" s="455">
        <f t="shared" si="2"/>
        <v>534810</v>
      </c>
      <c r="U35" s="272">
        <v>373426</v>
      </c>
      <c r="V35" s="272"/>
      <c r="W35" s="272"/>
      <c r="X35" s="272"/>
      <c r="Y35" s="272">
        <v>0</v>
      </c>
      <c r="Z35" s="272">
        <v>929</v>
      </c>
      <c r="AA35" s="272">
        <v>160455</v>
      </c>
      <c r="AB35" s="272"/>
      <c r="AC35" s="272">
        <v>2251759</v>
      </c>
      <c r="AD35" s="272">
        <v>1935261</v>
      </c>
      <c r="AE35" s="272">
        <v>316498</v>
      </c>
      <c r="AF35" s="272">
        <v>12779</v>
      </c>
      <c r="AG35" s="272">
        <v>95827</v>
      </c>
      <c r="AH35" s="455">
        <f t="shared" si="3"/>
        <v>229868</v>
      </c>
      <c r="AI35" s="272">
        <v>198070</v>
      </c>
      <c r="AJ35" s="272">
        <v>31798</v>
      </c>
      <c r="AK35" s="272">
        <v>770771</v>
      </c>
      <c r="AL35" s="455">
        <f t="shared" si="4"/>
        <v>460184</v>
      </c>
      <c r="AM35" s="272">
        <v>309779</v>
      </c>
      <c r="AN35" s="272">
        <v>69887</v>
      </c>
      <c r="AO35" s="272">
        <v>0</v>
      </c>
      <c r="AP35" s="272">
        <v>80518</v>
      </c>
      <c r="AQ35" s="272">
        <v>106071</v>
      </c>
      <c r="AR35" s="272">
        <v>0</v>
      </c>
      <c r="AS35" s="272">
        <v>0</v>
      </c>
      <c r="AT35" s="272">
        <v>805297</v>
      </c>
      <c r="AU35" s="272">
        <v>155035</v>
      </c>
      <c r="AV35" s="272">
        <v>35366</v>
      </c>
      <c r="AW35" s="272">
        <v>0</v>
      </c>
      <c r="AX35" s="272">
        <v>650262</v>
      </c>
      <c r="AY35" s="272">
        <v>333052</v>
      </c>
      <c r="AZ35" s="272">
        <v>181150</v>
      </c>
      <c r="BA35" s="272">
        <v>41902</v>
      </c>
      <c r="BB35" s="272">
        <v>86715</v>
      </c>
      <c r="BC35" s="272">
        <v>1733655</v>
      </c>
      <c r="BD35" s="272">
        <v>100000</v>
      </c>
      <c r="BE35" s="272">
        <v>0</v>
      </c>
      <c r="BF35" s="272">
        <v>1633655</v>
      </c>
      <c r="BG35" s="272">
        <v>0</v>
      </c>
      <c r="BH35" s="272">
        <v>236872</v>
      </c>
      <c r="BI35" s="272">
        <v>236872</v>
      </c>
      <c r="BJ35" s="272">
        <v>85136</v>
      </c>
      <c r="BK35" s="272">
        <v>590</v>
      </c>
      <c r="BL35" s="272">
        <v>0</v>
      </c>
      <c r="BM35" s="272">
        <v>0</v>
      </c>
      <c r="BN35" s="272">
        <v>5558100</v>
      </c>
      <c r="BO35" s="455">
        <f t="shared" si="5"/>
        <v>4833600</v>
      </c>
      <c r="BP35" s="455">
        <f t="shared" si="6"/>
        <v>724500</v>
      </c>
      <c r="BQ35" s="272">
        <v>724500</v>
      </c>
      <c r="BR35" s="272"/>
      <c r="BS35" s="272"/>
      <c r="BT35" s="272">
        <v>0</v>
      </c>
      <c r="BU35" s="272">
        <v>20393593</v>
      </c>
      <c r="BV35" s="272"/>
      <c r="BW35" s="272">
        <v>4421073</v>
      </c>
      <c r="BX35" s="272">
        <v>3365301</v>
      </c>
      <c r="BY35" s="272">
        <v>225880</v>
      </c>
      <c r="BZ35" s="272">
        <v>27609</v>
      </c>
      <c r="CA35" s="272">
        <v>1167208</v>
      </c>
      <c r="CB35" s="272">
        <v>186047</v>
      </c>
      <c r="CC35" s="272">
        <v>323344</v>
      </c>
      <c r="CD35" s="272">
        <v>223801</v>
      </c>
      <c r="CE35" s="272">
        <v>413923</v>
      </c>
      <c r="CF35" s="272">
        <v>0</v>
      </c>
      <c r="CG35" s="272">
        <v>18183</v>
      </c>
      <c r="CH35" s="272">
        <v>1372764</v>
      </c>
      <c r="CI35" s="272">
        <v>604735</v>
      </c>
      <c r="CJ35" s="455">
        <f t="shared" si="7"/>
        <v>768029</v>
      </c>
      <c r="CK35" s="272">
        <v>2124899</v>
      </c>
      <c r="CL35" s="272">
        <v>1162903</v>
      </c>
      <c r="CM35" s="272">
        <v>110799</v>
      </c>
      <c r="CN35" s="272">
        <v>452414</v>
      </c>
      <c r="CO35" s="272">
        <v>19821</v>
      </c>
      <c r="CP35" s="272">
        <v>1161863</v>
      </c>
      <c r="CQ35" s="272">
        <v>430362</v>
      </c>
      <c r="CR35" s="272">
        <v>322146</v>
      </c>
      <c r="CS35" s="272">
        <v>261087</v>
      </c>
      <c r="CT35" s="455">
        <f t="shared" si="8"/>
        <v>73730</v>
      </c>
      <c r="CU35" s="272">
        <v>6830</v>
      </c>
      <c r="CV35" s="272">
        <v>66900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8056865</v>
      </c>
      <c r="DD35" s="272">
        <v>296940</v>
      </c>
      <c r="DE35" s="272">
        <v>7759925</v>
      </c>
      <c r="DF35" s="272">
        <v>0</v>
      </c>
      <c r="DG35" s="272">
        <v>0</v>
      </c>
      <c r="DH35" s="272">
        <v>0</v>
      </c>
      <c r="DI35" s="272">
        <v>242588</v>
      </c>
      <c r="DJ35" s="272">
        <v>40000</v>
      </c>
      <c r="DK35" s="272">
        <v>3000</v>
      </c>
      <c r="DL35" s="272">
        <v>199588</v>
      </c>
      <c r="DM35" s="272">
        <v>211070</v>
      </c>
      <c r="DN35" s="272">
        <v>0</v>
      </c>
      <c r="DO35" s="272">
        <v>0</v>
      </c>
      <c r="DP35" s="272">
        <v>0</v>
      </c>
      <c r="DQ35" s="272">
        <v>504</v>
      </c>
      <c r="DR35" s="272">
        <v>0</v>
      </c>
      <c r="DS35" s="272">
        <v>0</v>
      </c>
      <c r="DT35" s="272">
        <v>1314813</v>
      </c>
      <c r="DU35" s="272">
        <v>873283</v>
      </c>
      <c r="DV35" s="455">
        <f t="shared" si="11"/>
        <v>0</v>
      </c>
      <c r="DW35" s="272">
        <v>0</v>
      </c>
      <c r="DX35" s="272">
        <v>0</v>
      </c>
      <c r="DY35" s="272">
        <v>0</v>
      </c>
      <c r="DZ35" s="272">
        <v>275448</v>
      </c>
      <c r="EA35" s="272">
        <v>163083</v>
      </c>
      <c r="EB35" s="272"/>
      <c r="EC35" s="272">
        <v>0</v>
      </c>
      <c r="ED35" s="272">
        <v>20093468</v>
      </c>
      <c r="EF35" s="272">
        <v>300125</v>
      </c>
      <c r="EG35" s="272">
        <v>21749</v>
      </c>
      <c r="EH35" s="272">
        <v>278376</v>
      </c>
      <c r="EI35" s="272">
        <v>41504</v>
      </c>
      <c r="EJ35" s="272">
        <v>-18496</v>
      </c>
      <c r="EL35" s="272"/>
      <c r="EM35" s="272">
        <v>56028</v>
      </c>
      <c r="EN35" s="272">
        <v>100000</v>
      </c>
      <c r="EO35" s="272">
        <v>43147</v>
      </c>
      <c r="EP35" s="455">
        <f t="shared" si="12"/>
        <v>466143</v>
      </c>
      <c r="EQ35" s="272">
        <v>10610202</v>
      </c>
      <c r="ER35" s="272">
        <v>-1321011</v>
      </c>
      <c r="ES35" s="272">
        <v>4143515</v>
      </c>
      <c r="ET35" s="272">
        <v>3094275</v>
      </c>
      <c r="EU35" s="272">
        <v>344808</v>
      </c>
      <c r="EV35" s="272">
        <v>1346764</v>
      </c>
      <c r="EW35" s="455">
        <f t="shared" si="13"/>
        <v>1225591</v>
      </c>
      <c r="EX35" s="272">
        <v>1225591</v>
      </c>
      <c r="EY35" s="272">
        <v>45069</v>
      </c>
      <c r="EZ35" s="272">
        <v>1180522</v>
      </c>
      <c r="FA35" s="272">
        <v>0</v>
      </c>
      <c r="FB35" s="272"/>
      <c r="FC35" s="272">
        <v>1840705</v>
      </c>
      <c r="FD35" s="272">
        <v>1128853</v>
      </c>
      <c r="FE35" s="272">
        <v>430362</v>
      </c>
      <c r="FF35" s="272">
        <v>1264872</v>
      </c>
      <c r="FG35" s="455">
        <f t="shared" si="14"/>
        <v>335980</v>
      </c>
      <c r="FH35" s="272">
        <v>11631088</v>
      </c>
      <c r="FI35" s="384">
        <f t="shared" si="15"/>
        <v>2.7</v>
      </c>
      <c r="FJ35" s="272">
        <v>10139699</v>
      </c>
      <c r="FK35" s="272"/>
      <c r="FL35" s="272">
        <v>6183418</v>
      </c>
      <c r="FM35" s="272">
        <v>8132663</v>
      </c>
      <c r="FN35" s="460">
        <v>0.78</v>
      </c>
      <c r="FO35" s="388">
        <v>88</v>
      </c>
      <c r="FP35" s="388">
        <v>40.6</v>
      </c>
      <c r="FQ35" s="388">
        <v>3.5</v>
      </c>
      <c r="FR35" s="388">
        <v>13.5</v>
      </c>
      <c r="FS35" s="388">
        <v>18</v>
      </c>
      <c r="FT35" s="388">
        <v>9.1999999999999993</v>
      </c>
      <c r="FU35" s="388">
        <v>3.2</v>
      </c>
      <c r="FV35" s="388">
        <v>8.9</v>
      </c>
      <c r="FW35" s="272">
        <v>19944824</v>
      </c>
      <c r="FX35" s="384">
        <f t="shared" si="16"/>
        <v>196.7</v>
      </c>
      <c r="FY35" s="272">
        <v>6322200</v>
      </c>
      <c r="FZ35" s="272">
        <v>2335000</v>
      </c>
      <c r="GA35" s="272">
        <v>117000</v>
      </c>
      <c r="GB35" s="272">
        <v>3870200</v>
      </c>
      <c r="GC35" s="272"/>
      <c r="GD35" s="272">
        <v>6888929</v>
      </c>
      <c r="GE35" s="384">
        <f t="shared" si="17"/>
        <v>67.900000000000006</v>
      </c>
      <c r="GF35" s="388">
        <v>98</v>
      </c>
      <c r="GG35" s="388">
        <v>25.7</v>
      </c>
      <c r="GH35" s="388">
        <v>94.3</v>
      </c>
      <c r="GI35" s="272">
        <v>513</v>
      </c>
    </row>
    <row r="36" spans="2:191" x14ac:dyDescent="0.15">
      <c r="B36" s="89" t="s">
        <v>65</v>
      </c>
      <c r="C36" s="272">
        <v>5701600</v>
      </c>
      <c r="D36" s="455">
        <f t="shared" si="0"/>
        <v>2611458</v>
      </c>
      <c r="E36" s="272">
        <v>37631</v>
      </c>
      <c r="F36" s="272">
        <v>2573827</v>
      </c>
      <c r="G36" s="455">
        <f t="shared" si="1"/>
        <v>179722</v>
      </c>
      <c r="H36" s="272">
        <v>61984</v>
      </c>
      <c r="I36" s="272">
        <v>117738</v>
      </c>
      <c r="J36" s="272">
        <v>2193732</v>
      </c>
      <c r="K36" s="272">
        <v>1102390</v>
      </c>
      <c r="L36" s="272">
        <v>855052</v>
      </c>
      <c r="M36" s="272">
        <v>208555</v>
      </c>
      <c r="N36" s="272">
        <v>207986</v>
      </c>
      <c r="O36" s="272">
        <v>373977</v>
      </c>
      <c r="P36" s="272">
        <v>252864</v>
      </c>
      <c r="Q36" s="272">
        <v>121113</v>
      </c>
      <c r="R36" s="272">
        <v>320822</v>
      </c>
      <c r="S36" s="272">
        <v>211985</v>
      </c>
      <c r="T36" s="455">
        <f t="shared" si="2"/>
        <v>447631</v>
      </c>
      <c r="U36" s="272">
        <v>265837</v>
      </c>
      <c r="V36" s="272"/>
      <c r="W36" s="272"/>
      <c r="X36" s="272"/>
      <c r="Y36" s="272">
        <v>15968</v>
      </c>
      <c r="Z36" s="272">
        <v>735</v>
      </c>
      <c r="AA36" s="272">
        <v>165091</v>
      </c>
      <c r="AB36" s="272"/>
      <c r="AC36" s="272">
        <v>2880843</v>
      </c>
      <c r="AD36" s="272">
        <v>2582311</v>
      </c>
      <c r="AE36" s="272">
        <v>298532</v>
      </c>
      <c r="AF36" s="272">
        <v>15132</v>
      </c>
      <c r="AG36" s="272">
        <v>74200</v>
      </c>
      <c r="AH36" s="455">
        <f t="shared" si="3"/>
        <v>214076</v>
      </c>
      <c r="AI36" s="272">
        <v>190750</v>
      </c>
      <c r="AJ36" s="272">
        <v>23326</v>
      </c>
      <c r="AK36" s="272">
        <v>2744846</v>
      </c>
      <c r="AL36" s="455">
        <f t="shared" si="4"/>
        <v>566633</v>
      </c>
      <c r="AM36" s="272">
        <v>368960</v>
      </c>
      <c r="AN36" s="272">
        <v>154875</v>
      </c>
      <c r="AO36" s="272">
        <v>0</v>
      </c>
      <c r="AP36" s="272">
        <v>42798</v>
      </c>
      <c r="AQ36" s="272">
        <v>1949168</v>
      </c>
      <c r="AR36" s="272">
        <v>0</v>
      </c>
      <c r="AS36" s="272">
        <v>0</v>
      </c>
      <c r="AT36" s="272">
        <v>1095630</v>
      </c>
      <c r="AU36" s="272">
        <v>510170</v>
      </c>
      <c r="AV36" s="272">
        <v>52826</v>
      </c>
      <c r="AW36" s="272">
        <v>0</v>
      </c>
      <c r="AX36" s="272">
        <v>585460</v>
      </c>
      <c r="AY36" s="272">
        <v>226849</v>
      </c>
      <c r="AZ36" s="272">
        <v>106563</v>
      </c>
      <c r="BA36" s="272">
        <v>9730</v>
      </c>
      <c r="BB36" s="272">
        <v>186325</v>
      </c>
      <c r="BC36" s="272">
        <v>3663750</v>
      </c>
      <c r="BD36" s="272">
        <v>1386641</v>
      </c>
      <c r="BE36" s="272">
        <v>40860</v>
      </c>
      <c r="BF36" s="272">
        <v>2234455</v>
      </c>
      <c r="BG36" s="272">
        <v>0</v>
      </c>
      <c r="BH36" s="272">
        <v>202922</v>
      </c>
      <c r="BI36" s="272">
        <v>176172</v>
      </c>
      <c r="BJ36" s="272">
        <v>2252802</v>
      </c>
      <c r="BK36" s="272">
        <v>12216</v>
      </c>
      <c r="BL36" s="272">
        <v>0</v>
      </c>
      <c r="BM36" s="272">
        <v>0</v>
      </c>
      <c r="BN36" s="272">
        <v>3059900</v>
      </c>
      <c r="BO36" s="455">
        <f t="shared" si="5"/>
        <v>2518400</v>
      </c>
      <c r="BP36" s="455">
        <f t="shared" si="6"/>
        <v>541500</v>
      </c>
      <c r="BQ36" s="272">
        <v>541500</v>
      </c>
      <c r="BR36" s="272"/>
      <c r="BS36" s="272"/>
      <c r="BT36" s="272">
        <v>0</v>
      </c>
      <c r="BU36" s="272">
        <v>22967042</v>
      </c>
      <c r="BV36" s="272"/>
      <c r="BW36" s="272">
        <v>4473676</v>
      </c>
      <c r="BX36" s="272">
        <v>3445417</v>
      </c>
      <c r="BY36" s="272">
        <v>144457</v>
      </c>
      <c r="BZ36" s="272">
        <v>17063</v>
      </c>
      <c r="CA36" s="272">
        <v>1183822</v>
      </c>
      <c r="CB36" s="272">
        <v>196106</v>
      </c>
      <c r="CC36" s="272">
        <v>289955</v>
      </c>
      <c r="CD36" s="272">
        <v>192794</v>
      </c>
      <c r="CE36" s="272">
        <v>490184</v>
      </c>
      <c r="CF36" s="272">
        <v>2576</v>
      </c>
      <c r="CG36" s="272">
        <v>12207</v>
      </c>
      <c r="CH36" s="272">
        <v>1348248</v>
      </c>
      <c r="CI36" s="272">
        <v>614249</v>
      </c>
      <c r="CJ36" s="455">
        <f t="shared" si="7"/>
        <v>733999</v>
      </c>
      <c r="CK36" s="272">
        <v>2151637</v>
      </c>
      <c r="CL36" s="272">
        <v>1077959</v>
      </c>
      <c r="CM36" s="272">
        <v>273287</v>
      </c>
      <c r="CN36" s="272">
        <v>498208</v>
      </c>
      <c r="CO36" s="272">
        <v>149723</v>
      </c>
      <c r="CP36" s="272">
        <v>1242727</v>
      </c>
      <c r="CQ36" s="272">
        <v>431460</v>
      </c>
      <c r="CR36" s="272">
        <v>169547</v>
      </c>
      <c r="CS36" s="272">
        <v>169547</v>
      </c>
      <c r="CT36" s="455">
        <f t="shared" si="8"/>
        <v>402221</v>
      </c>
      <c r="CU36" s="272">
        <v>294047</v>
      </c>
      <c r="CV36" s="272">
        <v>108174</v>
      </c>
      <c r="CW36" s="455">
        <f t="shared" si="9"/>
        <v>381339</v>
      </c>
      <c r="CX36" s="272">
        <v>273165</v>
      </c>
      <c r="CY36" s="272">
        <v>108174</v>
      </c>
      <c r="CZ36" s="455">
        <f t="shared" si="10"/>
        <v>0</v>
      </c>
      <c r="DA36" s="272">
        <v>0</v>
      </c>
      <c r="DB36" s="272">
        <v>0</v>
      </c>
      <c r="DC36" s="272">
        <v>7892796</v>
      </c>
      <c r="DD36" s="272">
        <v>4573209</v>
      </c>
      <c r="DE36" s="272">
        <v>2997538</v>
      </c>
      <c r="DF36" s="272">
        <v>12028</v>
      </c>
      <c r="DG36" s="272">
        <v>310021</v>
      </c>
      <c r="DH36" s="272">
        <v>0</v>
      </c>
      <c r="DI36" s="272">
        <v>3105688</v>
      </c>
      <c r="DJ36" s="272">
        <v>973954</v>
      </c>
      <c r="DK36" s="272">
        <v>6305</v>
      </c>
      <c r="DL36" s="272">
        <v>2125429</v>
      </c>
      <c r="DM36" s="272">
        <v>4760</v>
      </c>
      <c r="DN36" s="272">
        <v>0</v>
      </c>
      <c r="DO36" s="272">
        <v>0</v>
      </c>
      <c r="DP36" s="272">
        <v>0</v>
      </c>
      <c r="DQ36" s="272">
        <v>67000</v>
      </c>
      <c r="DR36" s="272">
        <v>55000</v>
      </c>
      <c r="DS36" s="272">
        <v>55000</v>
      </c>
      <c r="DT36" s="272">
        <v>731275</v>
      </c>
      <c r="DU36" s="272">
        <v>452155</v>
      </c>
      <c r="DV36" s="455">
        <f t="shared" si="11"/>
        <v>0</v>
      </c>
      <c r="DW36" s="272">
        <v>0</v>
      </c>
      <c r="DX36" s="272">
        <v>0</v>
      </c>
      <c r="DY36" s="272">
        <v>0</v>
      </c>
      <c r="DZ36" s="272">
        <v>110924</v>
      </c>
      <c r="EA36" s="272">
        <v>168117</v>
      </c>
      <c r="EB36" s="272"/>
      <c r="EC36" s="272">
        <v>0</v>
      </c>
      <c r="ED36" s="272">
        <v>22351352</v>
      </c>
      <c r="EF36" s="272">
        <v>615690</v>
      </c>
      <c r="EG36" s="272">
        <v>116644</v>
      </c>
      <c r="EH36" s="272">
        <v>499046</v>
      </c>
      <c r="EI36" s="272">
        <v>322874</v>
      </c>
      <c r="EJ36" s="272">
        <v>-89813</v>
      </c>
      <c r="EL36" s="272"/>
      <c r="EM36" s="272">
        <v>56126</v>
      </c>
      <c r="EN36" s="272">
        <v>2255344</v>
      </c>
      <c r="EO36" s="272">
        <v>12119</v>
      </c>
      <c r="EP36" s="455">
        <f t="shared" si="12"/>
        <v>435127</v>
      </c>
      <c r="EQ36" s="272">
        <v>9366028</v>
      </c>
      <c r="ER36" s="272">
        <v>-3228958</v>
      </c>
      <c r="ES36" s="272">
        <v>4120621</v>
      </c>
      <c r="ET36" s="272">
        <v>3092362</v>
      </c>
      <c r="EU36" s="272">
        <v>321750</v>
      </c>
      <c r="EV36" s="272">
        <v>1348248</v>
      </c>
      <c r="EW36" s="455">
        <f t="shared" si="13"/>
        <v>1020378</v>
      </c>
      <c r="EX36" s="272">
        <v>1020378</v>
      </c>
      <c r="EY36" s="272">
        <v>122985</v>
      </c>
      <c r="EZ36" s="272">
        <v>887146</v>
      </c>
      <c r="FA36" s="272">
        <v>0</v>
      </c>
      <c r="FB36" s="272"/>
      <c r="FC36" s="272">
        <v>1841891</v>
      </c>
      <c r="FD36" s="272">
        <v>1095192</v>
      </c>
      <c r="FE36" s="272">
        <v>431460</v>
      </c>
      <c r="FF36" s="272">
        <v>722526</v>
      </c>
      <c r="FG36" s="455">
        <f t="shared" si="14"/>
        <v>1508690</v>
      </c>
      <c r="FH36" s="272">
        <v>11979296</v>
      </c>
      <c r="FI36" s="384">
        <f t="shared" si="15"/>
        <v>5.5</v>
      </c>
      <c r="FJ36" s="272">
        <v>9024923</v>
      </c>
      <c r="FK36" s="272"/>
      <c r="FL36" s="272">
        <v>4863546</v>
      </c>
      <c r="FM36" s="272">
        <v>7455801</v>
      </c>
      <c r="FN36" s="460">
        <v>0.65400000000000003</v>
      </c>
      <c r="FO36" s="388">
        <v>101.7</v>
      </c>
      <c r="FP36" s="388">
        <v>46.9</v>
      </c>
      <c r="FQ36" s="388">
        <v>3.7</v>
      </c>
      <c r="FR36" s="388">
        <v>15.4</v>
      </c>
      <c r="FS36" s="388">
        <v>20.100000000000001</v>
      </c>
      <c r="FT36" s="388">
        <v>10.7</v>
      </c>
      <c r="FU36" s="388">
        <v>3.2</v>
      </c>
      <c r="FV36" s="388">
        <v>10.8</v>
      </c>
      <c r="FW36" s="272">
        <v>14977839</v>
      </c>
      <c r="FX36" s="384">
        <f t="shared" si="16"/>
        <v>166</v>
      </c>
      <c r="FY36" s="272">
        <v>4334750</v>
      </c>
      <c r="FZ36" s="272">
        <v>2095414</v>
      </c>
      <c r="GA36" s="272">
        <v>267334</v>
      </c>
      <c r="GB36" s="272">
        <v>1972002</v>
      </c>
      <c r="GC36" s="272"/>
      <c r="GD36" s="272">
        <v>51142</v>
      </c>
      <c r="GE36" s="384">
        <f t="shared" si="17"/>
        <v>0.6</v>
      </c>
      <c r="GF36" s="388">
        <v>96.5</v>
      </c>
      <c r="GG36" s="388">
        <v>22.5</v>
      </c>
      <c r="GH36" s="388">
        <v>90.6</v>
      </c>
      <c r="GI36" s="272">
        <v>551</v>
      </c>
    </row>
    <row r="37" spans="2:191" x14ac:dyDescent="0.15">
      <c r="B37" s="21" t="s">
        <v>67</v>
      </c>
      <c r="C37" s="272">
        <f>SUM(C6:C36)</f>
        <v>770563482</v>
      </c>
      <c r="D37" s="455">
        <f t="shared" si="0"/>
        <v>294209213</v>
      </c>
      <c r="E37" s="272">
        <f>SUM(E6:E36)</f>
        <v>3804696</v>
      </c>
      <c r="F37" s="272">
        <f>SUM(F6:F36)</f>
        <v>290404517</v>
      </c>
      <c r="G37" s="455">
        <f t="shared" si="1"/>
        <v>65588663</v>
      </c>
      <c r="H37" s="272">
        <f t="shared" ref="H37:S37" si="18">SUM(H6:H36)</f>
        <v>10577343</v>
      </c>
      <c r="I37" s="272">
        <f t="shared" si="18"/>
        <v>55011320</v>
      </c>
      <c r="J37" s="272">
        <f t="shared" si="18"/>
        <v>298472166</v>
      </c>
      <c r="K37" s="272">
        <f t="shared" si="18"/>
        <v>153251237</v>
      </c>
      <c r="L37" s="272">
        <f t="shared" si="18"/>
        <v>98341046</v>
      </c>
      <c r="M37" s="272">
        <f t="shared" si="18"/>
        <v>42791437</v>
      </c>
      <c r="N37" s="272">
        <f t="shared" si="18"/>
        <v>25885214</v>
      </c>
      <c r="O37" s="272">
        <f t="shared" si="18"/>
        <v>70825987</v>
      </c>
      <c r="P37" s="272">
        <f t="shared" si="18"/>
        <v>49648421</v>
      </c>
      <c r="Q37" s="272">
        <f t="shared" si="18"/>
        <v>21177566</v>
      </c>
      <c r="R37" s="272">
        <f t="shared" si="18"/>
        <v>34099977</v>
      </c>
      <c r="S37" s="272">
        <f t="shared" si="18"/>
        <v>22878847</v>
      </c>
      <c r="T37" s="455">
        <f t="shared" si="2"/>
        <v>45162548</v>
      </c>
      <c r="U37" s="272">
        <f>SUM(U6:U36)</f>
        <v>30066296</v>
      </c>
      <c r="V37" s="272"/>
      <c r="W37" s="272"/>
      <c r="X37" s="272"/>
      <c r="Y37" s="272">
        <f>SUM(Y6:Y36)</f>
        <v>1215509</v>
      </c>
      <c r="Z37" s="272">
        <f>SUM(Z6:Z36)</f>
        <v>257029</v>
      </c>
      <c r="AA37" s="272">
        <f>SUM(AA6:AA36)</f>
        <v>13623714</v>
      </c>
      <c r="AB37" s="272"/>
      <c r="AC37" s="272">
        <f>SUM(AC6:AC36)</f>
        <v>83517807</v>
      </c>
      <c r="AD37" s="272">
        <f>SUM(AD6:AD36)</f>
        <v>72164669</v>
      </c>
      <c r="AE37" s="272">
        <f>SUM(AE6:AE36)</f>
        <v>11353138</v>
      </c>
      <c r="AF37" s="272">
        <f>SUM(AF6:AF36)</f>
        <v>1111464</v>
      </c>
      <c r="AG37" s="272">
        <f>SUM(AG6:AG36)</f>
        <v>17655149</v>
      </c>
      <c r="AH37" s="455">
        <f t="shared" si="3"/>
        <v>30791714</v>
      </c>
      <c r="AI37" s="272">
        <f>SUM(AI6:AI36)</f>
        <v>24419156</v>
      </c>
      <c r="AJ37" s="272">
        <f>SUM(AJ6:AJ36)</f>
        <v>6372558</v>
      </c>
      <c r="AK37" s="272">
        <f>SUM(AK6:AK36)</f>
        <v>132006616</v>
      </c>
      <c r="AL37" s="455">
        <f t="shared" si="4"/>
        <v>71309422</v>
      </c>
      <c r="AM37" s="272">
        <f t="shared" ref="AM37:BN37" si="19">SUM(AM6:AM36)</f>
        <v>53405180</v>
      </c>
      <c r="AN37" s="272">
        <f t="shared" si="19"/>
        <v>11460630</v>
      </c>
      <c r="AO37" s="272">
        <f t="shared" si="19"/>
        <v>148700</v>
      </c>
      <c r="AP37" s="272">
        <f t="shared" si="19"/>
        <v>6294912</v>
      </c>
      <c r="AQ37" s="272">
        <f t="shared" si="19"/>
        <v>25607940</v>
      </c>
      <c r="AR37" s="272">
        <f t="shared" si="19"/>
        <v>96131</v>
      </c>
      <c r="AS37" s="272">
        <f t="shared" si="19"/>
        <v>318351</v>
      </c>
      <c r="AT37" s="272">
        <f t="shared" si="19"/>
        <v>76454721</v>
      </c>
      <c r="AU37" s="272">
        <f t="shared" si="19"/>
        <v>24381019</v>
      </c>
      <c r="AV37" s="272">
        <f t="shared" si="19"/>
        <v>5553608</v>
      </c>
      <c r="AW37" s="272">
        <f t="shared" si="19"/>
        <v>3210354</v>
      </c>
      <c r="AX37" s="272">
        <f t="shared" si="19"/>
        <v>52073702</v>
      </c>
      <c r="AY37" s="272">
        <f t="shared" si="19"/>
        <v>14807110</v>
      </c>
      <c r="AZ37" s="272">
        <f t="shared" si="19"/>
        <v>24133177</v>
      </c>
      <c r="BA37" s="272">
        <f t="shared" si="19"/>
        <v>12290670</v>
      </c>
      <c r="BB37" s="272">
        <f t="shared" si="19"/>
        <v>12897828</v>
      </c>
      <c r="BC37" s="272">
        <f t="shared" si="19"/>
        <v>73153683</v>
      </c>
      <c r="BD37" s="272">
        <f t="shared" si="19"/>
        <v>16378430</v>
      </c>
      <c r="BE37" s="272">
        <f t="shared" si="19"/>
        <v>5074125</v>
      </c>
      <c r="BF37" s="272">
        <f t="shared" si="19"/>
        <v>47229517</v>
      </c>
      <c r="BG37" s="272">
        <f t="shared" si="19"/>
        <v>1421</v>
      </c>
      <c r="BH37" s="272">
        <f t="shared" si="19"/>
        <v>18712420</v>
      </c>
      <c r="BI37" s="272">
        <f t="shared" si="19"/>
        <v>12218775</v>
      </c>
      <c r="BJ37" s="272">
        <f t="shared" si="19"/>
        <v>65737597</v>
      </c>
      <c r="BK37" s="272">
        <f t="shared" si="19"/>
        <v>33572520</v>
      </c>
      <c r="BL37" s="272">
        <f t="shared" si="19"/>
        <v>2029291</v>
      </c>
      <c r="BM37" s="272">
        <f t="shared" si="19"/>
        <v>9023885</v>
      </c>
      <c r="BN37" s="272">
        <f t="shared" si="19"/>
        <v>186148914</v>
      </c>
      <c r="BO37" s="455">
        <f t="shared" si="5"/>
        <v>130883914</v>
      </c>
      <c r="BP37" s="455">
        <f t="shared" si="6"/>
        <v>55265000</v>
      </c>
      <c r="BQ37" s="272">
        <f>SUM(BQ6:BQ36)</f>
        <v>55265000</v>
      </c>
      <c r="BR37" s="272"/>
      <c r="BS37" s="272"/>
      <c r="BT37" s="272">
        <v>0</v>
      </c>
      <c r="BU37" s="272">
        <f>SUM(BU6:BU36)</f>
        <v>1572465448</v>
      </c>
      <c r="BV37" s="272"/>
      <c r="BW37" s="272">
        <f t="shared" ref="BW37:CI37" si="20">SUM(BW6:BW36)</f>
        <v>421521691</v>
      </c>
      <c r="BX37" s="272">
        <f t="shared" si="20"/>
        <v>319456814</v>
      </c>
      <c r="BY37" s="272">
        <f t="shared" si="20"/>
        <v>22644938</v>
      </c>
      <c r="BZ37" s="272">
        <f t="shared" si="20"/>
        <v>12617595</v>
      </c>
      <c r="CA37" s="272">
        <f t="shared" si="20"/>
        <v>171876742</v>
      </c>
      <c r="CB37" s="272">
        <f t="shared" si="20"/>
        <v>18208647</v>
      </c>
      <c r="CC37" s="272">
        <f t="shared" si="20"/>
        <v>34429292</v>
      </c>
      <c r="CD37" s="272">
        <f t="shared" si="20"/>
        <v>36067369</v>
      </c>
      <c r="CE37" s="272">
        <f t="shared" si="20"/>
        <v>70694790</v>
      </c>
      <c r="CF37" s="272">
        <f t="shared" si="20"/>
        <v>8390086</v>
      </c>
      <c r="CG37" s="272">
        <f t="shared" si="20"/>
        <v>2940335</v>
      </c>
      <c r="CH37" s="272">
        <f t="shared" si="20"/>
        <v>132033197</v>
      </c>
      <c r="CI37" s="272">
        <f t="shared" si="20"/>
        <v>67390963</v>
      </c>
      <c r="CJ37" s="455">
        <f t="shared" si="7"/>
        <v>64642234</v>
      </c>
      <c r="CK37" s="272">
        <f t="shared" ref="CK37:CS37" si="21">SUM(CK6:CK36)</f>
        <v>154688115</v>
      </c>
      <c r="CL37" s="272">
        <f t="shared" si="21"/>
        <v>82936762</v>
      </c>
      <c r="CM37" s="272">
        <f t="shared" si="21"/>
        <v>7413689</v>
      </c>
      <c r="CN37" s="272">
        <f t="shared" si="21"/>
        <v>37827045</v>
      </c>
      <c r="CO37" s="272">
        <f t="shared" si="21"/>
        <v>17040124</v>
      </c>
      <c r="CP37" s="272">
        <f t="shared" si="21"/>
        <v>108749830</v>
      </c>
      <c r="CQ37" s="272">
        <f t="shared" si="21"/>
        <v>38814381</v>
      </c>
      <c r="CR37" s="272">
        <f t="shared" si="21"/>
        <v>29263555</v>
      </c>
      <c r="CS37" s="272">
        <f t="shared" si="21"/>
        <v>23331249</v>
      </c>
      <c r="CT37" s="455">
        <f t="shared" si="8"/>
        <v>17425831</v>
      </c>
      <c r="CU37" s="272">
        <f>SUM(CU6:CU36)</f>
        <v>6557666</v>
      </c>
      <c r="CV37" s="272">
        <f>SUM(CV6:CV36)</f>
        <v>10868165</v>
      </c>
      <c r="CW37" s="455">
        <f t="shared" si="9"/>
        <v>13243663</v>
      </c>
      <c r="CX37" s="272">
        <f>SUM(CX6:CX36)</f>
        <v>5770030</v>
      </c>
      <c r="CY37" s="272">
        <f>SUM(CY6:CY36)</f>
        <v>7473633</v>
      </c>
      <c r="CZ37" s="455">
        <f t="shared" si="10"/>
        <v>0</v>
      </c>
      <c r="DA37" s="272">
        <f t="shared" ref="DA37:DU37" si="22">SUM(DA6:DA36)</f>
        <v>0</v>
      </c>
      <c r="DB37" s="272">
        <f t="shared" si="22"/>
        <v>0</v>
      </c>
      <c r="DC37" s="272">
        <f t="shared" si="22"/>
        <v>322448469</v>
      </c>
      <c r="DD37" s="272">
        <f t="shared" si="22"/>
        <v>57860369</v>
      </c>
      <c r="DE37" s="272">
        <f t="shared" si="22"/>
        <v>250265657</v>
      </c>
      <c r="DF37" s="272">
        <f t="shared" si="22"/>
        <v>3359318</v>
      </c>
      <c r="DG37" s="272">
        <f t="shared" si="22"/>
        <v>10447171</v>
      </c>
      <c r="DH37" s="272">
        <f t="shared" si="22"/>
        <v>1738088</v>
      </c>
      <c r="DI37" s="272">
        <f t="shared" si="22"/>
        <v>54815777</v>
      </c>
      <c r="DJ37" s="272">
        <f t="shared" si="22"/>
        <v>13228048</v>
      </c>
      <c r="DK37" s="272">
        <f t="shared" si="22"/>
        <v>1300906</v>
      </c>
      <c r="DL37" s="272">
        <f t="shared" si="22"/>
        <v>40286823</v>
      </c>
      <c r="DM37" s="272">
        <f t="shared" si="22"/>
        <v>5897331</v>
      </c>
      <c r="DN37" s="272">
        <f t="shared" si="22"/>
        <v>3931281</v>
      </c>
      <c r="DO37" s="272">
        <f t="shared" si="22"/>
        <v>598975</v>
      </c>
      <c r="DP37" s="272">
        <f t="shared" si="22"/>
        <v>3332306</v>
      </c>
      <c r="DQ37" s="272">
        <f t="shared" si="22"/>
        <v>35633647</v>
      </c>
      <c r="DR37" s="272">
        <f t="shared" si="22"/>
        <v>1151648</v>
      </c>
      <c r="DS37" s="272">
        <f t="shared" si="22"/>
        <v>1055000</v>
      </c>
      <c r="DT37" s="272">
        <f t="shared" si="22"/>
        <v>126827171</v>
      </c>
      <c r="DU37" s="272">
        <f t="shared" si="22"/>
        <v>78076745</v>
      </c>
      <c r="DV37" s="455">
        <f t="shared" si="11"/>
        <v>1257271</v>
      </c>
      <c r="DW37" s="272">
        <f>SUM(DW6:DW36)</f>
        <v>1257271</v>
      </c>
      <c r="DX37" s="272">
        <v>0</v>
      </c>
      <c r="DY37" s="272">
        <f>SUM(DY6:DY36)</f>
        <v>575729</v>
      </c>
      <c r="DZ37" s="272">
        <f>SUM(DZ6:DZ36)</f>
        <v>28990942</v>
      </c>
      <c r="EA37" s="272">
        <f>SUM(EA6:EA36)</f>
        <v>15330988</v>
      </c>
      <c r="EB37" s="272"/>
      <c r="EC37" s="272">
        <f>SUM(EC6:EC36)</f>
        <v>170111</v>
      </c>
      <c r="ED37" s="272">
        <f>SUM(ED6:ED36)</f>
        <v>1553440293</v>
      </c>
      <c r="EF37" s="272">
        <f>SUM(EF6:EF36)</f>
        <v>19025155</v>
      </c>
      <c r="EG37" s="272">
        <f>SUM(EG6:EG36)</f>
        <v>10078186</v>
      </c>
      <c r="EH37" s="272">
        <f>SUM(EH6:EH36)</f>
        <v>8946969</v>
      </c>
      <c r="EI37" s="272">
        <f>SUM(EI6:EI36)</f>
        <v>-3650503</v>
      </c>
      <c r="EJ37" s="272">
        <f>SUM(EJ6:EJ36)</f>
        <v>-6744385</v>
      </c>
      <c r="EL37" s="272"/>
      <c r="EM37" s="272">
        <f>SUM(EM6:EM36)</f>
        <v>5063968</v>
      </c>
      <c r="EN37" s="272">
        <f>SUM(EN6:EN36)</f>
        <v>31687835</v>
      </c>
      <c r="EO37" s="272">
        <f>SUM(EO6:EO36)</f>
        <v>6531995</v>
      </c>
      <c r="EP37" s="455">
        <f t="shared" si="12"/>
        <v>49909752</v>
      </c>
      <c r="EQ37" s="272">
        <f t="shared" ref="EQ37:EV37" si="23">SUM(EQ6:EQ36)</f>
        <v>934773629</v>
      </c>
      <c r="ER37" s="272">
        <f t="shared" si="23"/>
        <v>-141964767</v>
      </c>
      <c r="ES37" s="272">
        <f t="shared" si="23"/>
        <v>390476068</v>
      </c>
      <c r="ET37" s="272">
        <f t="shared" si="23"/>
        <v>291580120</v>
      </c>
      <c r="EU37" s="272">
        <f t="shared" si="23"/>
        <v>51682073</v>
      </c>
      <c r="EV37" s="272">
        <f t="shared" si="23"/>
        <v>119228780</v>
      </c>
      <c r="EW37" s="455">
        <f t="shared" si="13"/>
        <v>103977307</v>
      </c>
      <c r="EX37" s="272">
        <f>SUM(EX6:EX36)</f>
        <v>102976809</v>
      </c>
      <c r="EY37" s="272">
        <f>SUM(EY6:EY36)</f>
        <v>6358733</v>
      </c>
      <c r="EZ37" s="272">
        <f>SUM(EZ6:EZ36)</f>
        <v>95086529</v>
      </c>
      <c r="FA37" s="272">
        <f>SUM(FA6:FA36)</f>
        <v>1000498</v>
      </c>
      <c r="FB37" s="272"/>
      <c r="FC37" s="272">
        <f>SUM(FC6:FC36)</f>
        <v>124097436</v>
      </c>
      <c r="FD37" s="272">
        <f>SUM(FD6:FD36)</f>
        <v>96958551</v>
      </c>
      <c r="FE37" s="272">
        <f>SUM(FE6:FE36)</f>
        <v>38100955</v>
      </c>
      <c r="FF37" s="272">
        <f>SUM(FF6:FF36)</f>
        <v>121853756</v>
      </c>
      <c r="FG37" s="455">
        <f t="shared" si="14"/>
        <v>49721226</v>
      </c>
      <c r="FH37" s="272">
        <f>SUM(FH6:FH36)</f>
        <v>1057995197</v>
      </c>
      <c r="FI37" s="384">
        <f t="shared" si="15"/>
        <v>1</v>
      </c>
      <c r="FJ37" s="272">
        <f>SUM(FJ6:FJ36)</f>
        <v>887856292</v>
      </c>
      <c r="FK37" s="272">
        <f>SUM(FK6:FK36)</f>
        <v>0</v>
      </c>
      <c r="FL37" s="272">
        <f>SUM(FL6:FL36)</f>
        <v>614866865</v>
      </c>
      <c r="FM37" s="272">
        <f>SUM(FM6:FM36)</f>
        <v>662833762</v>
      </c>
      <c r="FN37" s="468">
        <v>0.94499999999999995</v>
      </c>
      <c r="FO37" s="469">
        <v>95.8</v>
      </c>
      <c r="FP37" s="469">
        <v>44</v>
      </c>
      <c r="FQ37" s="469">
        <v>6</v>
      </c>
      <c r="FR37" s="469">
        <v>13.4</v>
      </c>
      <c r="FS37" s="469">
        <v>13.6</v>
      </c>
      <c r="FT37" s="469">
        <v>9.6</v>
      </c>
      <c r="FU37" s="469">
        <v>7.4</v>
      </c>
      <c r="FV37" s="469">
        <v>9.8000000000000007</v>
      </c>
      <c r="FW37" s="272">
        <f>SUM(FW6:FW36)</f>
        <v>1154956648</v>
      </c>
      <c r="FX37" s="384">
        <f t="shared" si="16"/>
        <v>130.1</v>
      </c>
      <c r="FY37" s="272">
        <f t="shared" ref="FY37:GD37" si="24">SUM(FY6:FY36)</f>
        <v>390186588</v>
      </c>
      <c r="FZ37" s="272">
        <f t="shared" si="24"/>
        <v>82140031</v>
      </c>
      <c r="GA37" s="272">
        <f t="shared" si="24"/>
        <v>27461459</v>
      </c>
      <c r="GB37" s="272">
        <f t="shared" si="24"/>
        <v>280585098</v>
      </c>
      <c r="GC37" s="272">
        <f t="shared" si="24"/>
        <v>0</v>
      </c>
      <c r="GD37" s="272">
        <f t="shared" si="24"/>
        <v>451528889</v>
      </c>
      <c r="GE37" s="384">
        <f t="shared" si="17"/>
        <v>50.9</v>
      </c>
      <c r="GF37" s="469">
        <v>97.4</v>
      </c>
      <c r="GG37" s="469">
        <v>26.4</v>
      </c>
      <c r="GH37" s="469">
        <v>93.3</v>
      </c>
      <c r="GI37" s="272">
        <f>SUM(GI6:GI36)</f>
        <v>42152</v>
      </c>
    </row>
    <row r="38" spans="2:191" x14ac:dyDescent="0.15">
      <c r="B38" s="89" t="s">
        <v>69</v>
      </c>
      <c r="C38" s="272">
        <v>4867326</v>
      </c>
      <c r="D38" s="455">
        <f t="shared" si="0"/>
        <v>1799650</v>
      </c>
      <c r="E38" s="272">
        <v>17054</v>
      </c>
      <c r="F38" s="272">
        <v>1782596</v>
      </c>
      <c r="G38" s="455">
        <f t="shared" si="1"/>
        <v>619809</v>
      </c>
      <c r="H38" s="272">
        <v>55985</v>
      </c>
      <c r="I38" s="272">
        <v>563824</v>
      </c>
      <c r="J38" s="272">
        <v>1924939</v>
      </c>
      <c r="K38" s="272">
        <v>849310</v>
      </c>
      <c r="L38" s="272">
        <v>610457</v>
      </c>
      <c r="M38" s="272">
        <v>440928</v>
      </c>
      <c r="N38" s="272">
        <v>94099</v>
      </c>
      <c r="O38" s="272">
        <v>382409</v>
      </c>
      <c r="P38" s="272">
        <v>260098</v>
      </c>
      <c r="Q38" s="272">
        <v>122311</v>
      </c>
      <c r="R38" s="272">
        <v>175327</v>
      </c>
      <c r="S38" s="272">
        <v>115447</v>
      </c>
      <c r="T38" s="455">
        <f t="shared" si="2"/>
        <v>363728</v>
      </c>
      <c r="U38" s="272">
        <v>183340</v>
      </c>
      <c r="V38" s="272"/>
      <c r="W38" s="272"/>
      <c r="X38" s="272"/>
      <c r="Y38" s="272">
        <v>89760</v>
      </c>
      <c r="Z38" s="272">
        <v>0</v>
      </c>
      <c r="AA38" s="272">
        <v>90628</v>
      </c>
      <c r="AB38" s="272"/>
      <c r="AC38" s="272">
        <v>925644</v>
      </c>
      <c r="AD38" s="272">
        <v>716914</v>
      </c>
      <c r="AE38" s="272">
        <v>208730</v>
      </c>
      <c r="AF38" s="272">
        <v>5072</v>
      </c>
      <c r="AG38" s="272">
        <v>45416</v>
      </c>
      <c r="AH38" s="455">
        <f t="shared" si="3"/>
        <v>205055</v>
      </c>
      <c r="AI38" s="272">
        <v>157814</v>
      </c>
      <c r="AJ38" s="272">
        <v>47241</v>
      </c>
      <c r="AK38" s="272">
        <v>276304</v>
      </c>
      <c r="AL38" s="455">
        <f t="shared" si="4"/>
        <v>118726</v>
      </c>
      <c r="AM38" s="272">
        <v>44163</v>
      </c>
      <c r="AN38" s="272">
        <v>32942</v>
      </c>
      <c r="AO38" s="272">
        <v>0</v>
      </c>
      <c r="AP38" s="272">
        <v>41621</v>
      </c>
      <c r="AQ38" s="272">
        <v>14173</v>
      </c>
      <c r="AR38" s="272">
        <v>0</v>
      </c>
      <c r="AS38" s="272">
        <v>0</v>
      </c>
      <c r="AT38" s="272">
        <v>387856</v>
      </c>
      <c r="AU38" s="272">
        <v>73564</v>
      </c>
      <c r="AV38" s="272">
        <v>16530</v>
      </c>
      <c r="AW38" s="272">
        <v>0</v>
      </c>
      <c r="AX38" s="272">
        <v>314292</v>
      </c>
      <c r="AY38" s="272">
        <v>125832</v>
      </c>
      <c r="AZ38" s="272">
        <v>147106</v>
      </c>
      <c r="BA38" s="272">
        <v>28344</v>
      </c>
      <c r="BB38" s="272">
        <v>2040</v>
      </c>
      <c r="BC38" s="272">
        <v>285441</v>
      </c>
      <c r="BD38" s="272">
        <v>0</v>
      </c>
      <c r="BE38" s="272">
        <v>47300</v>
      </c>
      <c r="BF38" s="272">
        <v>34039</v>
      </c>
      <c r="BG38" s="272">
        <v>201694</v>
      </c>
      <c r="BH38" s="272">
        <v>253608</v>
      </c>
      <c r="BI38" s="272">
        <v>124342</v>
      </c>
      <c r="BJ38" s="272">
        <v>73972</v>
      </c>
      <c r="BK38" s="272">
        <v>4181</v>
      </c>
      <c r="BL38" s="272">
        <v>5002</v>
      </c>
      <c r="BM38" s="272">
        <v>0</v>
      </c>
      <c r="BN38" s="272">
        <v>644000</v>
      </c>
      <c r="BO38" s="455">
        <f t="shared" si="5"/>
        <v>359000</v>
      </c>
      <c r="BP38" s="455">
        <f t="shared" si="6"/>
        <v>285000</v>
      </c>
      <c r="BQ38" s="272">
        <v>285000</v>
      </c>
      <c r="BR38" s="272"/>
      <c r="BS38" s="272"/>
      <c r="BT38" s="272">
        <v>0</v>
      </c>
      <c r="BU38" s="272">
        <v>8657895</v>
      </c>
      <c r="BV38" s="272"/>
      <c r="BW38" s="272">
        <v>2750862</v>
      </c>
      <c r="BX38" s="272">
        <v>2136064</v>
      </c>
      <c r="BY38" s="272">
        <v>65341</v>
      </c>
      <c r="BZ38" s="272">
        <v>22337</v>
      </c>
      <c r="CA38" s="272">
        <v>690611</v>
      </c>
      <c r="CB38" s="272">
        <v>217635</v>
      </c>
      <c r="CC38" s="272">
        <v>235287</v>
      </c>
      <c r="CD38" s="272">
        <v>168230</v>
      </c>
      <c r="CE38" s="272">
        <v>57989</v>
      </c>
      <c r="CF38" s="272">
        <v>0</v>
      </c>
      <c r="CG38" s="272">
        <v>10427</v>
      </c>
      <c r="CH38" s="272">
        <v>964939</v>
      </c>
      <c r="CI38" s="272">
        <v>488991</v>
      </c>
      <c r="CJ38" s="455">
        <f t="shared" si="7"/>
        <v>475948</v>
      </c>
      <c r="CK38" s="272">
        <v>1098414</v>
      </c>
      <c r="CL38" s="272">
        <v>543105</v>
      </c>
      <c r="CM38" s="272">
        <v>75299</v>
      </c>
      <c r="CN38" s="272">
        <v>284332</v>
      </c>
      <c r="CO38" s="272">
        <v>73779</v>
      </c>
      <c r="CP38" s="272">
        <v>264798</v>
      </c>
      <c r="CQ38" s="272">
        <v>4624</v>
      </c>
      <c r="CR38" s="272">
        <v>100671</v>
      </c>
      <c r="CS38" s="272">
        <v>88271</v>
      </c>
      <c r="CT38" s="455">
        <f t="shared" si="8"/>
        <v>4949</v>
      </c>
      <c r="CU38" s="272">
        <v>4949</v>
      </c>
      <c r="CV38" s="272">
        <v>0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1244317</v>
      </c>
      <c r="DD38" s="272">
        <v>42520</v>
      </c>
      <c r="DE38" s="272">
        <v>1201797</v>
      </c>
      <c r="DF38" s="272">
        <v>0</v>
      </c>
      <c r="DG38" s="272">
        <v>0</v>
      </c>
      <c r="DH38" s="272">
        <v>8101</v>
      </c>
      <c r="DI38" s="272">
        <v>451222</v>
      </c>
      <c r="DJ38" s="272">
        <v>105017</v>
      </c>
      <c r="DK38" s="272">
        <v>11056</v>
      </c>
      <c r="DL38" s="272">
        <v>335149</v>
      </c>
      <c r="DM38" s="272">
        <v>3011</v>
      </c>
      <c r="DN38" s="272">
        <v>0</v>
      </c>
      <c r="DO38" s="272">
        <v>0</v>
      </c>
      <c r="DP38" s="272">
        <v>0</v>
      </c>
      <c r="DQ38" s="272">
        <v>3836</v>
      </c>
      <c r="DR38" s="272">
        <v>0</v>
      </c>
      <c r="DS38" s="272">
        <v>0</v>
      </c>
      <c r="DT38" s="272">
        <v>771555</v>
      </c>
      <c r="DU38" s="272">
        <v>569223</v>
      </c>
      <c r="DV38" s="455">
        <f t="shared" si="11"/>
        <v>0</v>
      </c>
      <c r="DW38" s="272">
        <v>0</v>
      </c>
      <c r="DX38" s="272">
        <v>0</v>
      </c>
      <c r="DY38" s="272">
        <v>0</v>
      </c>
      <c r="DZ38" s="272">
        <v>110070</v>
      </c>
      <c r="EA38" s="272">
        <v>75335</v>
      </c>
      <c r="EB38" s="272"/>
      <c r="EC38" s="272">
        <v>0</v>
      </c>
      <c r="ED38" s="272">
        <v>8325445</v>
      </c>
      <c r="EF38" s="272">
        <v>332450</v>
      </c>
      <c r="EG38" s="272">
        <v>116061</v>
      </c>
      <c r="EH38" s="272">
        <v>216389</v>
      </c>
      <c r="EI38" s="272">
        <v>92047</v>
      </c>
      <c r="EJ38" s="272">
        <v>197064</v>
      </c>
      <c r="EL38" s="272"/>
      <c r="EM38" s="272">
        <v>30022</v>
      </c>
      <c r="EN38" s="272">
        <v>49708</v>
      </c>
      <c r="EO38" s="272">
        <v>29609</v>
      </c>
      <c r="EP38" s="455">
        <f t="shared" si="12"/>
        <v>185245</v>
      </c>
      <c r="EQ38" s="272">
        <v>6337097</v>
      </c>
      <c r="ER38" s="272">
        <v>-544490</v>
      </c>
      <c r="ES38" s="272">
        <v>2517811</v>
      </c>
      <c r="ET38" s="272">
        <v>1907193</v>
      </c>
      <c r="EU38" s="272">
        <v>328665</v>
      </c>
      <c r="EV38" s="272">
        <v>962998</v>
      </c>
      <c r="EW38" s="455">
        <f t="shared" si="13"/>
        <v>507253</v>
      </c>
      <c r="EX38" s="272">
        <v>499152</v>
      </c>
      <c r="EY38" s="272">
        <v>28347</v>
      </c>
      <c r="EZ38" s="272">
        <v>470805</v>
      </c>
      <c r="FA38" s="272">
        <v>8101</v>
      </c>
      <c r="FB38" s="272"/>
      <c r="FC38" s="272">
        <v>924997</v>
      </c>
      <c r="FD38" s="272">
        <v>245972</v>
      </c>
      <c r="FE38" s="272">
        <v>4624</v>
      </c>
      <c r="FF38" s="272">
        <v>744840</v>
      </c>
      <c r="FG38" s="455">
        <f t="shared" si="14"/>
        <v>410042</v>
      </c>
      <c r="FH38" s="272">
        <v>6642578</v>
      </c>
      <c r="FI38" s="384">
        <f t="shared" si="15"/>
        <v>3.6</v>
      </c>
      <c r="FJ38" s="272">
        <v>5941270</v>
      </c>
      <c r="FK38" s="272"/>
      <c r="FL38" s="272">
        <v>3934602</v>
      </c>
      <c r="FM38" s="272">
        <v>4688706</v>
      </c>
      <c r="FN38" s="460">
        <v>0.76600000000000001</v>
      </c>
      <c r="FO38" s="388">
        <v>89.8</v>
      </c>
      <c r="FP38" s="388">
        <v>42.9</v>
      </c>
      <c r="FQ38" s="388">
        <v>5.7</v>
      </c>
      <c r="FR38" s="388">
        <v>16.7</v>
      </c>
      <c r="FS38" s="388">
        <v>14.4</v>
      </c>
      <c r="FT38" s="388">
        <v>3.4</v>
      </c>
      <c r="FU38" s="388">
        <v>5.6</v>
      </c>
      <c r="FV38" s="388">
        <v>10.4</v>
      </c>
      <c r="FW38" s="272">
        <v>8559636</v>
      </c>
      <c r="FX38" s="384">
        <f t="shared" si="16"/>
        <v>144.1</v>
      </c>
      <c r="FY38" s="272">
        <v>5103912</v>
      </c>
      <c r="FZ38" s="272">
        <v>1020487</v>
      </c>
      <c r="GA38" s="272">
        <v>416352</v>
      </c>
      <c r="GB38" s="272">
        <v>3667073</v>
      </c>
      <c r="GC38" s="272"/>
      <c r="GD38" s="272"/>
      <c r="GE38" s="384"/>
      <c r="GF38" s="388">
        <v>98.3</v>
      </c>
      <c r="GG38" s="388">
        <v>22.2</v>
      </c>
      <c r="GH38" s="388">
        <v>94</v>
      </c>
      <c r="GI38" s="272">
        <v>307</v>
      </c>
    </row>
    <row r="39" spans="2:191" x14ac:dyDescent="0.15">
      <c r="B39" s="89" t="s">
        <v>71</v>
      </c>
      <c r="C39" s="272">
        <v>3054487</v>
      </c>
      <c r="D39" s="455">
        <f t="shared" si="0"/>
        <v>1993905</v>
      </c>
      <c r="E39" s="272">
        <v>12767</v>
      </c>
      <c r="F39" s="272">
        <v>1981138</v>
      </c>
      <c r="G39" s="455">
        <f t="shared" si="1"/>
        <v>37091</v>
      </c>
      <c r="H39" s="272">
        <v>16623</v>
      </c>
      <c r="I39" s="272">
        <v>20468</v>
      </c>
      <c r="J39" s="272">
        <v>964058</v>
      </c>
      <c r="K39" s="272">
        <v>363136</v>
      </c>
      <c r="L39" s="272">
        <v>525156</v>
      </c>
      <c r="M39" s="272">
        <v>75715</v>
      </c>
      <c r="N39" s="272">
        <v>44179</v>
      </c>
      <c r="O39" s="272">
        <v>0</v>
      </c>
      <c r="P39" s="272">
        <v>0</v>
      </c>
      <c r="Q39" s="272">
        <v>0</v>
      </c>
      <c r="R39" s="272">
        <v>144482</v>
      </c>
      <c r="S39" s="272">
        <v>73770</v>
      </c>
      <c r="T39" s="455">
        <f t="shared" si="2"/>
        <v>308650</v>
      </c>
      <c r="U39" s="272">
        <v>184638</v>
      </c>
      <c r="V39" s="272"/>
      <c r="W39" s="272"/>
      <c r="X39" s="272"/>
      <c r="Y39" s="272">
        <v>17119</v>
      </c>
      <c r="Z39" s="272">
        <v>0</v>
      </c>
      <c r="AA39" s="272">
        <v>106893</v>
      </c>
      <c r="AB39" s="272"/>
      <c r="AC39" s="272">
        <v>1529271</v>
      </c>
      <c r="AD39" s="272">
        <v>1307481</v>
      </c>
      <c r="AE39" s="272">
        <v>221790</v>
      </c>
      <c r="AF39" s="272">
        <v>6240</v>
      </c>
      <c r="AG39" s="272">
        <v>6312</v>
      </c>
      <c r="AH39" s="455">
        <f t="shared" si="3"/>
        <v>137297</v>
      </c>
      <c r="AI39" s="272">
        <v>119023</v>
      </c>
      <c r="AJ39" s="272">
        <v>18274</v>
      </c>
      <c r="AK39" s="272">
        <v>108708</v>
      </c>
      <c r="AL39" s="455">
        <f t="shared" si="4"/>
        <v>33895</v>
      </c>
      <c r="AM39" s="272">
        <v>0</v>
      </c>
      <c r="AN39" s="272">
        <v>6784</v>
      </c>
      <c r="AO39" s="272">
        <v>0</v>
      </c>
      <c r="AP39" s="272">
        <v>27111</v>
      </c>
      <c r="AQ39" s="272">
        <v>3129</v>
      </c>
      <c r="AR39" s="272">
        <v>0</v>
      </c>
      <c r="AS39" s="272">
        <v>0</v>
      </c>
      <c r="AT39" s="272">
        <v>494736</v>
      </c>
      <c r="AU39" s="272">
        <v>91459</v>
      </c>
      <c r="AV39" s="272">
        <v>3392</v>
      </c>
      <c r="AW39" s="272">
        <v>3881</v>
      </c>
      <c r="AX39" s="272">
        <v>403277</v>
      </c>
      <c r="AY39" s="272">
        <v>230379</v>
      </c>
      <c r="AZ39" s="272">
        <v>113054</v>
      </c>
      <c r="BA39" s="272">
        <v>15</v>
      </c>
      <c r="BB39" s="272">
        <v>3735</v>
      </c>
      <c r="BC39" s="272">
        <v>875643</v>
      </c>
      <c r="BD39" s="272">
        <v>130000</v>
      </c>
      <c r="BE39" s="272">
        <v>3938</v>
      </c>
      <c r="BF39" s="272">
        <v>713457</v>
      </c>
      <c r="BG39" s="272">
        <v>0</v>
      </c>
      <c r="BH39" s="272">
        <v>141998</v>
      </c>
      <c r="BI39" s="272">
        <v>133758</v>
      </c>
      <c r="BJ39" s="272">
        <v>79037</v>
      </c>
      <c r="BK39" s="272">
        <v>200</v>
      </c>
      <c r="BL39" s="272">
        <v>0</v>
      </c>
      <c r="BM39" s="272">
        <v>0</v>
      </c>
      <c r="BN39" s="272">
        <v>858000</v>
      </c>
      <c r="BO39" s="455">
        <f t="shared" si="5"/>
        <v>439100</v>
      </c>
      <c r="BP39" s="455">
        <f t="shared" si="6"/>
        <v>418900</v>
      </c>
      <c r="BQ39" s="272">
        <v>418900</v>
      </c>
      <c r="BR39" s="272"/>
      <c r="BS39" s="272"/>
      <c r="BT39" s="272">
        <v>0</v>
      </c>
      <c r="BU39" s="272">
        <v>7861650</v>
      </c>
      <c r="BV39" s="272"/>
      <c r="BW39" s="272">
        <v>2141302</v>
      </c>
      <c r="BX39" s="272">
        <v>1434148</v>
      </c>
      <c r="BY39" s="272">
        <v>65487</v>
      </c>
      <c r="BZ39" s="272">
        <v>242272</v>
      </c>
      <c r="CA39" s="272">
        <v>196773</v>
      </c>
      <c r="CB39" s="272">
        <v>37124</v>
      </c>
      <c r="CC39" s="272">
        <v>144560</v>
      </c>
      <c r="CD39" s="272">
        <v>13270</v>
      </c>
      <c r="CE39" s="272">
        <v>0</v>
      </c>
      <c r="CF39" s="272">
        <v>0</v>
      </c>
      <c r="CG39" s="272">
        <v>1689</v>
      </c>
      <c r="CH39" s="272">
        <v>587350</v>
      </c>
      <c r="CI39" s="272">
        <v>352171</v>
      </c>
      <c r="CJ39" s="455">
        <f t="shared" si="7"/>
        <v>235179</v>
      </c>
      <c r="CK39" s="272">
        <v>863262</v>
      </c>
      <c r="CL39" s="272">
        <v>337150</v>
      </c>
      <c r="CM39" s="272">
        <v>22774</v>
      </c>
      <c r="CN39" s="272">
        <v>285929</v>
      </c>
      <c r="CO39" s="272">
        <v>262266</v>
      </c>
      <c r="CP39" s="272">
        <v>564059</v>
      </c>
      <c r="CQ39" s="272">
        <v>305395</v>
      </c>
      <c r="CR39" s="272">
        <v>105489</v>
      </c>
      <c r="CS39" s="272">
        <v>104712</v>
      </c>
      <c r="CT39" s="455">
        <f t="shared" si="8"/>
        <v>44275</v>
      </c>
      <c r="CU39" s="272">
        <v>44275</v>
      </c>
      <c r="CV39" s="272">
        <v>0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1941860</v>
      </c>
      <c r="DD39" s="272">
        <v>13574</v>
      </c>
      <c r="DE39" s="272">
        <v>1919376</v>
      </c>
      <c r="DF39" s="272">
        <v>8910</v>
      </c>
      <c r="DG39" s="272">
        <v>0</v>
      </c>
      <c r="DH39" s="272">
        <v>9075</v>
      </c>
      <c r="DI39" s="272">
        <v>651534</v>
      </c>
      <c r="DJ39" s="272">
        <v>97000</v>
      </c>
      <c r="DK39" s="272">
        <v>52000</v>
      </c>
      <c r="DL39" s="272">
        <v>502534</v>
      </c>
      <c r="DM39" s="272">
        <v>2028</v>
      </c>
      <c r="DN39" s="272">
        <v>0</v>
      </c>
      <c r="DO39" s="272">
        <v>0</v>
      </c>
      <c r="DP39" s="272">
        <v>0</v>
      </c>
      <c r="DQ39" s="272">
        <v>1368</v>
      </c>
      <c r="DR39" s="272">
        <v>0</v>
      </c>
      <c r="DS39" s="272">
        <v>0</v>
      </c>
      <c r="DT39" s="272">
        <v>413354</v>
      </c>
      <c r="DU39" s="272">
        <v>185488</v>
      </c>
      <c r="DV39" s="455">
        <f t="shared" si="11"/>
        <v>0</v>
      </c>
      <c r="DW39" s="272">
        <v>0</v>
      </c>
      <c r="DX39" s="272">
        <v>0</v>
      </c>
      <c r="DY39" s="272">
        <v>0</v>
      </c>
      <c r="DZ39" s="272">
        <v>65500</v>
      </c>
      <c r="EA39" s="272">
        <v>75300</v>
      </c>
      <c r="EB39" s="272"/>
      <c r="EC39" s="272">
        <v>0</v>
      </c>
      <c r="ED39" s="272">
        <v>7634231</v>
      </c>
      <c r="EF39" s="272">
        <v>227419</v>
      </c>
      <c r="EG39" s="272">
        <v>78579</v>
      </c>
      <c r="EH39" s="272">
        <v>148840</v>
      </c>
      <c r="EI39" s="272">
        <v>15082</v>
      </c>
      <c r="EJ39" s="272">
        <v>-17918</v>
      </c>
      <c r="EL39" s="272"/>
      <c r="EM39" s="272">
        <v>27259</v>
      </c>
      <c r="EN39" s="272">
        <v>158668</v>
      </c>
      <c r="EO39" s="272">
        <v>13877</v>
      </c>
      <c r="EP39" s="455">
        <f t="shared" si="12"/>
        <v>204469</v>
      </c>
      <c r="EQ39" s="272">
        <v>5043130</v>
      </c>
      <c r="ER39" s="272">
        <v>-789674</v>
      </c>
      <c r="ES39" s="272">
        <v>1931171</v>
      </c>
      <c r="ET39" s="272">
        <v>1252510</v>
      </c>
      <c r="EU39" s="272">
        <v>50070</v>
      </c>
      <c r="EV39" s="272">
        <v>563122</v>
      </c>
      <c r="EW39" s="455">
        <f t="shared" si="13"/>
        <v>551494</v>
      </c>
      <c r="EX39" s="272">
        <v>542419</v>
      </c>
      <c r="EY39" s="272">
        <v>5690</v>
      </c>
      <c r="EZ39" s="272">
        <v>527819</v>
      </c>
      <c r="FA39" s="272">
        <v>9075</v>
      </c>
      <c r="FB39" s="272"/>
      <c r="FC39" s="272">
        <v>743276</v>
      </c>
      <c r="FD39" s="272">
        <v>546632</v>
      </c>
      <c r="FE39" s="272">
        <v>305395</v>
      </c>
      <c r="FF39" s="272">
        <v>402705</v>
      </c>
      <c r="FG39" s="455">
        <f t="shared" si="14"/>
        <v>816915</v>
      </c>
      <c r="FH39" s="272">
        <v>5605385</v>
      </c>
      <c r="FI39" s="384">
        <f t="shared" si="15"/>
        <v>2.9</v>
      </c>
      <c r="FJ39" s="272">
        <v>5128452</v>
      </c>
      <c r="FK39" s="272"/>
      <c r="FL39" s="272">
        <v>2885138</v>
      </c>
      <c r="FM39" s="272">
        <v>4199612</v>
      </c>
      <c r="FN39" s="460">
        <v>0.67300000000000004</v>
      </c>
      <c r="FO39" s="388">
        <v>84.8</v>
      </c>
      <c r="FP39" s="388">
        <v>38.9</v>
      </c>
      <c r="FQ39" s="388">
        <v>1</v>
      </c>
      <c r="FR39" s="388">
        <v>11.5</v>
      </c>
      <c r="FS39" s="388">
        <v>14.5</v>
      </c>
      <c r="FT39" s="388">
        <v>10.9</v>
      </c>
      <c r="FU39" s="388">
        <v>2.6</v>
      </c>
      <c r="FV39" s="388">
        <v>5.8</v>
      </c>
      <c r="FW39" s="272">
        <v>4811779</v>
      </c>
      <c r="FX39" s="384">
        <f t="shared" si="16"/>
        <v>93.8</v>
      </c>
      <c r="FY39" s="272">
        <v>4853945</v>
      </c>
      <c r="FZ39" s="272">
        <v>922000</v>
      </c>
      <c r="GA39" s="272">
        <v>356444</v>
      </c>
      <c r="GB39" s="272">
        <v>3575501</v>
      </c>
      <c r="GC39" s="272"/>
      <c r="GD39" s="272"/>
      <c r="GE39" s="384"/>
      <c r="GF39" s="388">
        <v>98.3</v>
      </c>
      <c r="GG39" s="388">
        <v>22.1</v>
      </c>
      <c r="GH39" s="388">
        <v>94.8</v>
      </c>
      <c r="GI39" s="272">
        <v>251</v>
      </c>
    </row>
    <row r="40" spans="2:191" x14ac:dyDescent="0.15">
      <c r="B40" s="89" t="s">
        <v>73</v>
      </c>
      <c r="C40" s="272">
        <v>1067396</v>
      </c>
      <c r="D40" s="455">
        <f t="shared" si="0"/>
        <v>506663</v>
      </c>
      <c r="E40" s="272">
        <v>5901</v>
      </c>
      <c r="F40" s="272">
        <v>500762</v>
      </c>
      <c r="G40" s="455">
        <f t="shared" si="1"/>
        <v>36309</v>
      </c>
      <c r="H40" s="272">
        <v>12371</v>
      </c>
      <c r="I40" s="272">
        <v>23938</v>
      </c>
      <c r="J40" s="272">
        <v>460207</v>
      </c>
      <c r="K40" s="272">
        <v>132523</v>
      </c>
      <c r="L40" s="272">
        <v>241438</v>
      </c>
      <c r="M40" s="272">
        <v>86100</v>
      </c>
      <c r="N40" s="272">
        <v>42185</v>
      </c>
      <c r="O40" s="272">
        <v>0</v>
      </c>
      <c r="P40" s="272">
        <v>0</v>
      </c>
      <c r="Q40" s="272">
        <v>0</v>
      </c>
      <c r="R40" s="272">
        <v>106820</v>
      </c>
      <c r="S40" s="272">
        <v>43615</v>
      </c>
      <c r="T40" s="455">
        <f t="shared" si="2"/>
        <v>167284</v>
      </c>
      <c r="U40" s="272">
        <v>48379</v>
      </c>
      <c r="V40" s="272"/>
      <c r="W40" s="272"/>
      <c r="X40" s="272"/>
      <c r="Y40" s="272">
        <v>21989</v>
      </c>
      <c r="Z40" s="272">
        <v>758</v>
      </c>
      <c r="AA40" s="272">
        <v>96158</v>
      </c>
      <c r="AB40" s="272"/>
      <c r="AC40" s="272">
        <v>1768049</v>
      </c>
      <c r="AD40" s="272">
        <v>1546979</v>
      </c>
      <c r="AE40" s="272">
        <v>221070</v>
      </c>
      <c r="AF40" s="272">
        <v>2756</v>
      </c>
      <c r="AG40" s="272">
        <v>133180</v>
      </c>
      <c r="AH40" s="455">
        <f t="shared" si="3"/>
        <v>124891</v>
      </c>
      <c r="AI40" s="272">
        <v>74414</v>
      </c>
      <c r="AJ40" s="272">
        <v>50477</v>
      </c>
      <c r="AK40" s="272">
        <v>108338</v>
      </c>
      <c r="AL40" s="455">
        <f t="shared" si="4"/>
        <v>43051</v>
      </c>
      <c r="AM40" s="272">
        <v>0</v>
      </c>
      <c r="AN40" s="272">
        <v>25247</v>
      </c>
      <c r="AO40" s="272">
        <v>0</v>
      </c>
      <c r="AP40" s="272">
        <v>17804</v>
      </c>
      <c r="AQ40" s="272">
        <v>39113</v>
      </c>
      <c r="AR40" s="272">
        <v>0</v>
      </c>
      <c r="AS40" s="272">
        <v>0</v>
      </c>
      <c r="AT40" s="272">
        <v>850335</v>
      </c>
      <c r="AU40" s="272">
        <v>434117</v>
      </c>
      <c r="AV40" s="272">
        <v>4976</v>
      </c>
      <c r="AW40" s="272">
        <v>373272</v>
      </c>
      <c r="AX40" s="272">
        <v>416218</v>
      </c>
      <c r="AY40" s="272">
        <v>290352</v>
      </c>
      <c r="AZ40" s="272">
        <v>32722</v>
      </c>
      <c r="BA40" s="272">
        <v>0</v>
      </c>
      <c r="BB40" s="272">
        <v>1474</v>
      </c>
      <c r="BC40" s="272">
        <v>123086</v>
      </c>
      <c r="BD40" s="272">
        <v>50000</v>
      </c>
      <c r="BE40" s="272">
        <v>0</v>
      </c>
      <c r="BF40" s="272">
        <v>70000</v>
      </c>
      <c r="BG40" s="272">
        <v>0</v>
      </c>
      <c r="BH40" s="272">
        <v>170120</v>
      </c>
      <c r="BI40" s="272">
        <v>169620</v>
      </c>
      <c r="BJ40" s="272">
        <v>39872</v>
      </c>
      <c r="BK40" s="272">
        <v>3166</v>
      </c>
      <c r="BL40" s="272">
        <v>0</v>
      </c>
      <c r="BM40" s="272">
        <v>0</v>
      </c>
      <c r="BN40" s="272">
        <v>186240</v>
      </c>
      <c r="BO40" s="455">
        <f t="shared" si="5"/>
        <v>83040</v>
      </c>
      <c r="BP40" s="455">
        <f t="shared" si="6"/>
        <v>103200</v>
      </c>
      <c r="BQ40" s="272">
        <v>103200</v>
      </c>
      <c r="BR40" s="272"/>
      <c r="BS40" s="272"/>
      <c r="BT40" s="272">
        <v>0</v>
      </c>
      <c r="BU40" s="272">
        <v>4882563</v>
      </c>
      <c r="BV40" s="272"/>
      <c r="BW40" s="272">
        <v>1181435</v>
      </c>
      <c r="BX40" s="272">
        <v>827601</v>
      </c>
      <c r="BY40" s="272">
        <v>45060</v>
      </c>
      <c r="BZ40" s="272">
        <v>37436</v>
      </c>
      <c r="CA40" s="272">
        <v>148445</v>
      </c>
      <c r="CB40" s="272">
        <v>28656</v>
      </c>
      <c r="CC40" s="272">
        <v>70165</v>
      </c>
      <c r="CD40" s="272">
        <v>40609</v>
      </c>
      <c r="CE40" s="272">
        <v>0</v>
      </c>
      <c r="CF40" s="272">
        <v>1336</v>
      </c>
      <c r="CG40" s="272">
        <v>7607</v>
      </c>
      <c r="CH40" s="272">
        <v>426066</v>
      </c>
      <c r="CI40" s="272">
        <v>274508</v>
      </c>
      <c r="CJ40" s="455">
        <f t="shared" si="7"/>
        <v>151558</v>
      </c>
      <c r="CK40" s="272">
        <v>651322</v>
      </c>
      <c r="CL40" s="272">
        <v>313242</v>
      </c>
      <c r="CM40" s="272">
        <v>46212</v>
      </c>
      <c r="CN40" s="272">
        <v>186513</v>
      </c>
      <c r="CO40" s="272">
        <v>39244</v>
      </c>
      <c r="CP40" s="272">
        <v>343591</v>
      </c>
      <c r="CQ40" s="272">
        <v>133308</v>
      </c>
      <c r="CR40" s="272">
        <v>96437</v>
      </c>
      <c r="CS40" s="272">
        <v>96437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1319004</v>
      </c>
      <c r="DD40" s="272">
        <v>618273</v>
      </c>
      <c r="DE40" s="272">
        <v>683056</v>
      </c>
      <c r="DF40" s="272">
        <v>17675</v>
      </c>
      <c r="DG40" s="272">
        <v>0</v>
      </c>
      <c r="DH40" s="272">
        <v>12020</v>
      </c>
      <c r="DI40" s="272">
        <v>322745</v>
      </c>
      <c r="DJ40" s="272">
        <v>175000</v>
      </c>
      <c r="DK40" s="272">
        <v>0</v>
      </c>
      <c r="DL40" s="272">
        <v>147745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260597</v>
      </c>
      <c r="DU40" s="272">
        <v>30509</v>
      </c>
      <c r="DV40" s="455">
        <f t="shared" si="11"/>
        <v>0</v>
      </c>
      <c r="DW40" s="272">
        <v>0</v>
      </c>
      <c r="DX40" s="272">
        <v>0</v>
      </c>
      <c r="DY40" s="272">
        <v>0</v>
      </c>
      <c r="DZ40" s="272">
        <v>71667</v>
      </c>
      <c r="EA40" s="272">
        <v>74603</v>
      </c>
      <c r="EB40" s="272"/>
      <c r="EC40" s="272">
        <v>0</v>
      </c>
      <c r="ED40" s="272">
        <v>4704469</v>
      </c>
      <c r="EF40" s="272">
        <v>178094</v>
      </c>
      <c r="EG40" s="272">
        <v>0</v>
      </c>
      <c r="EH40" s="272">
        <v>178094</v>
      </c>
      <c r="EI40" s="272">
        <v>8474</v>
      </c>
      <c r="EJ40" s="272">
        <v>137074</v>
      </c>
      <c r="EL40" s="272"/>
      <c r="EM40" s="272">
        <v>14112</v>
      </c>
      <c r="EN40" s="272">
        <v>123086</v>
      </c>
      <c r="EO40" s="272">
        <v>631</v>
      </c>
      <c r="EP40" s="455">
        <f t="shared" si="12"/>
        <v>203707</v>
      </c>
      <c r="EQ40" s="272">
        <v>3112305</v>
      </c>
      <c r="ER40" s="272">
        <v>-427868</v>
      </c>
      <c r="ES40" s="272">
        <v>1094729</v>
      </c>
      <c r="ET40" s="272">
        <v>747985</v>
      </c>
      <c r="EU40" s="272">
        <v>58113</v>
      </c>
      <c r="EV40" s="272">
        <v>409068</v>
      </c>
      <c r="EW40" s="455">
        <f t="shared" si="13"/>
        <v>414099</v>
      </c>
      <c r="EX40" s="272">
        <v>402079</v>
      </c>
      <c r="EY40" s="272">
        <v>55215</v>
      </c>
      <c r="EZ40" s="272">
        <v>329189</v>
      </c>
      <c r="FA40" s="272">
        <v>12020</v>
      </c>
      <c r="FB40" s="272"/>
      <c r="FC40" s="272">
        <v>497991</v>
      </c>
      <c r="FD40" s="272">
        <v>306055</v>
      </c>
      <c r="FE40" s="272">
        <v>133308</v>
      </c>
      <c r="FF40" s="272">
        <v>254565</v>
      </c>
      <c r="FG40" s="455">
        <f t="shared" si="14"/>
        <v>327459</v>
      </c>
      <c r="FH40" s="272">
        <v>3362079</v>
      </c>
      <c r="FI40" s="384">
        <f t="shared" si="15"/>
        <v>6</v>
      </c>
      <c r="FJ40" s="272">
        <v>2957661</v>
      </c>
      <c r="FK40" s="272"/>
      <c r="FL40" s="272">
        <v>1074260</v>
      </c>
      <c r="FM40" s="272">
        <v>2625489</v>
      </c>
      <c r="FN40" s="460">
        <v>0.40200000000000002</v>
      </c>
      <c r="FO40" s="388">
        <v>83.5</v>
      </c>
      <c r="FP40" s="388">
        <v>37.6</v>
      </c>
      <c r="FQ40" s="388">
        <v>2</v>
      </c>
      <c r="FR40" s="388">
        <v>13.9</v>
      </c>
      <c r="FS40" s="388">
        <v>15.2</v>
      </c>
      <c r="FT40" s="388">
        <v>9.4</v>
      </c>
      <c r="FU40" s="388">
        <v>4.2</v>
      </c>
      <c r="FV40" s="388">
        <v>9.3000000000000007</v>
      </c>
      <c r="FW40" s="272">
        <v>2654449</v>
      </c>
      <c r="FX40" s="384">
        <f t="shared" si="16"/>
        <v>89.7</v>
      </c>
      <c r="FY40" s="272">
        <v>1673766</v>
      </c>
      <c r="FZ40" s="272">
        <v>1210898</v>
      </c>
      <c r="GA40" s="272"/>
      <c r="GB40" s="272">
        <v>462868</v>
      </c>
      <c r="GC40" s="272"/>
      <c r="GD40" s="272">
        <v>46755</v>
      </c>
      <c r="GE40" s="384">
        <f>ROUND(GD40/FJ40*100,1)</f>
        <v>1.6</v>
      </c>
      <c r="GF40" s="388">
        <v>94.8</v>
      </c>
      <c r="GG40" s="388">
        <v>24.2</v>
      </c>
      <c r="GH40" s="388">
        <v>89.8</v>
      </c>
      <c r="GI40" s="272">
        <v>159</v>
      </c>
    </row>
    <row r="41" spans="2:191" x14ac:dyDescent="0.15">
      <c r="B41" s="89" t="s">
        <v>75</v>
      </c>
      <c r="C41" s="272">
        <v>2567190</v>
      </c>
      <c r="D41" s="455">
        <f t="shared" si="0"/>
        <v>732691</v>
      </c>
      <c r="E41" s="272">
        <v>9157</v>
      </c>
      <c r="F41" s="272">
        <v>723534</v>
      </c>
      <c r="G41" s="455">
        <f t="shared" si="1"/>
        <v>230465</v>
      </c>
      <c r="H41" s="272">
        <v>41599</v>
      </c>
      <c r="I41" s="272">
        <v>188866</v>
      </c>
      <c r="J41" s="272">
        <v>1210736</v>
      </c>
      <c r="K41" s="272">
        <v>659929</v>
      </c>
      <c r="L41" s="272">
        <v>334453</v>
      </c>
      <c r="M41" s="272">
        <v>211453</v>
      </c>
      <c r="N41" s="272">
        <v>99128</v>
      </c>
      <c r="O41" s="272">
        <v>279397</v>
      </c>
      <c r="P41" s="272">
        <v>203822</v>
      </c>
      <c r="Q41" s="272">
        <v>75575</v>
      </c>
      <c r="R41" s="272">
        <v>127134</v>
      </c>
      <c r="S41" s="272">
        <v>91414</v>
      </c>
      <c r="T41" s="455">
        <f t="shared" si="2"/>
        <v>129494</v>
      </c>
      <c r="U41" s="272">
        <v>75273</v>
      </c>
      <c r="V41" s="272"/>
      <c r="W41" s="272"/>
      <c r="X41" s="272"/>
      <c r="Y41" s="272">
        <v>0</v>
      </c>
      <c r="Z41" s="272">
        <v>122</v>
      </c>
      <c r="AA41" s="272">
        <v>54099</v>
      </c>
      <c r="AB41" s="272"/>
      <c r="AC41" s="272">
        <v>1661467</v>
      </c>
      <c r="AD41" s="272">
        <v>1389967</v>
      </c>
      <c r="AE41" s="272">
        <v>271500</v>
      </c>
      <c r="AF41" s="272">
        <v>4289</v>
      </c>
      <c r="AG41" s="272">
        <v>26129</v>
      </c>
      <c r="AH41" s="455">
        <f t="shared" si="3"/>
        <v>118090</v>
      </c>
      <c r="AI41" s="272">
        <v>102215</v>
      </c>
      <c r="AJ41" s="272">
        <v>15875</v>
      </c>
      <c r="AK41" s="272">
        <v>216547</v>
      </c>
      <c r="AL41" s="455">
        <f t="shared" si="4"/>
        <v>102848</v>
      </c>
      <c r="AM41" s="272">
        <v>0</v>
      </c>
      <c r="AN41" s="272">
        <v>61226</v>
      </c>
      <c r="AO41" s="272">
        <v>0</v>
      </c>
      <c r="AP41" s="272">
        <v>41622</v>
      </c>
      <c r="AQ41" s="272">
        <v>74463</v>
      </c>
      <c r="AR41" s="272">
        <v>0</v>
      </c>
      <c r="AS41" s="272">
        <v>0</v>
      </c>
      <c r="AT41" s="272">
        <v>383844</v>
      </c>
      <c r="AU41" s="272">
        <v>84174</v>
      </c>
      <c r="AV41" s="272">
        <v>21338</v>
      </c>
      <c r="AW41" s="272">
        <v>0</v>
      </c>
      <c r="AX41" s="272">
        <v>299670</v>
      </c>
      <c r="AY41" s="272">
        <v>144500</v>
      </c>
      <c r="AZ41" s="272">
        <v>52248</v>
      </c>
      <c r="BA41" s="272">
        <v>0</v>
      </c>
      <c r="BB41" s="272">
        <v>2658</v>
      </c>
      <c r="BC41" s="272">
        <v>201</v>
      </c>
      <c r="BD41" s="272">
        <v>0</v>
      </c>
      <c r="BE41" s="272">
        <v>0</v>
      </c>
      <c r="BF41" s="272">
        <v>0</v>
      </c>
      <c r="BG41" s="272">
        <v>0</v>
      </c>
      <c r="BH41" s="272">
        <v>167137</v>
      </c>
      <c r="BI41" s="272">
        <v>141786</v>
      </c>
      <c r="BJ41" s="272">
        <v>41059</v>
      </c>
      <c r="BK41" s="272">
        <v>217</v>
      </c>
      <c r="BL41" s="272">
        <v>0</v>
      </c>
      <c r="BM41" s="272">
        <v>0</v>
      </c>
      <c r="BN41" s="272">
        <v>2308700</v>
      </c>
      <c r="BO41" s="455">
        <f t="shared" si="5"/>
        <v>2168600</v>
      </c>
      <c r="BP41" s="455">
        <f t="shared" si="6"/>
        <v>140100</v>
      </c>
      <c r="BQ41" s="272">
        <v>140100</v>
      </c>
      <c r="BR41" s="272"/>
      <c r="BS41" s="272"/>
      <c r="BT41" s="272">
        <v>0</v>
      </c>
      <c r="BU41" s="272">
        <v>7806187</v>
      </c>
      <c r="BV41" s="272"/>
      <c r="BW41" s="272">
        <v>1885866</v>
      </c>
      <c r="BX41" s="272">
        <v>1399629</v>
      </c>
      <c r="BY41" s="272">
        <v>78576</v>
      </c>
      <c r="BZ41" s="272">
        <v>12508</v>
      </c>
      <c r="CA41" s="272">
        <v>272046</v>
      </c>
      <c r="CB41" s="272">
        <v>68012</v>
      </c>
      <c r="CC41" s="272">
        <v>176273</v>
      </c>
      <c r="CD41" s="272">
        <v>23535</v>
      </c>
      <c r="CE41" s="272">
        <v>0</v>
      </c>
      <c r="CF41" s="272">
        <v>0</v>
      </c>
      <c r="CG41" s="272">
        <v>4226</v>
      </c>
      <c r="CH41" s="272">
        <v>401187</v>
      </c>
      <c r="CI41" s="272">
        <v>239179</v>
      </c>
      <c r="CJ41" s="455">
        <f t="shared" si="7"/>
        <v>162008</v>
      </c>
      <c r="CK41" s="272">
        <v>863410</v>
      </c>
      <c r="CL41" s="272">
        <v>459324</v>
      </c>
      <c r="CM41" s="272">
        <v>76181</v>
      </c>
      <c r="CN41" s="272">
        <v>202104</v>
      </c>
      <c r="CO41" s="272">
        <v>56139</v>
      </c>
      <c r="CP41" s="272">
        <v>413834</v>
      </c>
      <c r="CQ41" s="272">
        <v>3696</v>
      </c>
      <c r="CR41" s="272">
        <v>43739</v>
      </c>
      <c r="CS41" s="272">
        <v>43739</v>
      </c>
      <c r="CT41" s="455">
        <f t="shared" si="8"/>
        <v>170384</v>
      </c>
      <c r="CU41" s="272">
        <v>103943</v>
      </c>
      <c r="CV41" s="272">
        <v>66441</v>
      </c>
      <c r="CW41" s="455">
        <f t="shared" si="9"/>
        <v>110384</v>
      </c>
      <c r="CX41" s="272">
        <v>101211</v>
      </c>
      <c r="CY41" s="272">
        <v>9173</v>
      </c>
      <c r="CZ41" s="455">
        <f t="shared" si="10"/>
        <v>0</v>
      </c>
      <c r="DA41" s="272">
        <v>0</v>
      </c>
      <c r="DB41" s="272">
        <v>0</v>
      </c>
      <c r="DC41" s="272">
        <v>798868</v>
      </c>
      <c r="DD41" s="272">
        <v>139926</v>
      </c>
      <c r="DE41" s="272">
        <v>658942</v>
      </c>
      <c r="DF41" s="272">
        <v>0</v>
      </c>
      <c r="DG41" s="272">
        <v>0</v>
      </c>
      <c r="DH41" s="272">
        <v>13</v>
      </c>
      <c r="DI41" s="272">
        <v>264943</v>
      </c>
      <c r="DJ41" s="272">
        <v>95327</v>
      </c>
      <c r="DK41" s="272">
        <v>0</v>
      </c>
      <c r="DL41" s="272">
        <v>169616</v>
      </c>
      <c r="DM41" s="272">
        <v>285</v>
      </c>
      <c r="DN41" s="272">
        <v>0</v>
      </c>
      <c r="DO41" s="272">
        <v>0</v>
      </c>
      <c r="DP41" s="272">
        <v>0</v>
      </c>
      <c r="DQ41" s="272">
        <v>1782068</v>
      </c>
      <c r="DR41" s="272">
        <v>0</v>
      </c>
      <c r="DS41" s="272">
        <v>0</v>
      </c>
      <c r="DT41" s="272">
        <v>945250</v>
      </c>
      <c r="DU41" s="272">
        <v>720085</v>
      </c>
      <c r="DV41" s="455">
        <f t="shared" si="11"/>
        <v>0</v>
      </c>
      <c r="DW41" s="272">
        <v>0</v>
      </c>
      <c r="DX41" s="272">
        <v>0</v>
      </c>
      <c r="DY41" s="272">
        <v>0</v>
      </c>
      <c r="DZ41" s="272">
        <v>162571</v>
      </c>
      <c r="EA41" s="272">
        <v>62594</v>
      </c>
      <c r="EB41" s="272"/>
      <c r="EC41" s="272">
        <v>0</v>
      </c>
      <c r="ED41" s="272">
        <v>7683909</v>
      </c>
      <c r="EF41" s="272">
        <v>122278</v>
      </c>
      <c r="EG41" s="272">
        <v>20293</v>
      </c>
      <c r="EH41" s="272">
        <v>101985</v>
      </c>
      <c r="EI41" s="272">
        <v>-39801</v>
      </c>
      <c r="EJ41" s="272">
        <v>55526</v>
      </c>
      <c r="EL41" s="272"/>
      <c r="EM41" s="272">
        <v>16515</v>
      </c>
      <c r="EN41" s="272">
        <v>201</v>
      </c>
      <c r="EO41" s="272">
        <v>375</v>
      </c>
      <c r="EP41" s="455">
        <f t="shared" si="12"/>
        <v>177584</v>
      </c>
      <c r="EQ41" s="272">
        <v>4489574</v>
      </c>
      <c r="ER41" s="272">
        <v>-313971</v>
      </c>
      <c r="ES41" s="272">
        <v>1741311</v>
      </c>
      <c r="ET41" s="272">
        <v>1255074</v>
      </c>
      <c r="EU41" s="272">
        <v>83028</v>
      </c>
      <c r="EV41" s="272">
        <v>401187</v>
      </c>
      <c r="EW41" s="455">
        <f t="shared" si="13"/>
        <v>198218</v>
      </c>
      <c r="EX41" s="272">
        <v>198205</v>
      </c>
      <c r="EY41" s="272">
        <v>21963</v>
      </c>
      <c r="EZ41" s="272">
        <v>176242</v>
      </c>
      <c r="FA41" s="272">
        <v>13</v>
      </c>
      <c r="FB41" s="272"/>
      <c r="FC41" s="272">
        <v>701534</v>
      </c>
      <c r="FD41" s="272">
        <v>355798</v>
      </c>
      <c r="FE41" s="272">
        <v>3696</v>
      </c>
      <c r="FF41" s="272">
        <v>929781</v>
      </c>
      <c r="FG41" s="455">
        <f t="shared" si="14"/>
        <v>270410</v>
      </c>
      <c r="FH41" s="272">
        <v>4681267</v>
      </c>
      <c r="FI41" s="384">
        <f t="shared" si="15"/>
        <v>2.6</v>
      </c>
      <c r="FJ41" s="272">
        <v>3932970</v>
      </c>
      <c r="FK41" s="272"/>
      <c r="FL41" s="272">
        <v>1917477</v>
      </c>
      <c r="FM41" s="272">
        <v>3316204</v>
      </c>
      <c r="FN41" s="460">
        <v>0.57799999999999996</v>
      </c>
      <c r="FO41" s="388">
        <v>88.3</v>
      </c>
      <c r="FP41" s="388">
        <v>42.7</v>
      </c>
      <c r="FQ41" s="388">
        <v>2.1</v>
      </c>
      <c r="FR41" s="388">
        <v>10.1</v>
      </c>
      <c r="FS41" s="388">
        <v>16.2</v>
      </c>
      <c r="FT41" s="388">
        <v>6.5</v>
      </c>
      <c r="FU41" s="388">
        <v>9.3000000000000007</v>
      </c>
      <c r="FV41" s="388">
        <v>8.6</v>
      </c>
      <c r="FW41" s="272">
        <v>4726612</v>
      </c>
      <c r="FX41" s="384">
        <f t="shared" si="16"/>
        <v>120.2</v>
      </c>
      <c r="FY41" s="272">
        <v>2510627</v>
      </c>
      <c r="FZ41" s="272">
        <v>1324231</v>
      </c>
      <c r="GA41" s="272"/>
      <c r="GB41" s="272">
        <v>1186396</v>
      </c>
      <c r="GC41" s="272"/>
      <c r="GD41" s="272"/>
      <c r="GE41" s="384"/>
      <c r="GF41" s="388">
        <v>97</v>
      </c>
      <c r="GG41" s="388">
        <v>14.5</v>
      </c>
      <c r="GH41" s="388">
        <v>90.1</v>
      </c>
      <c r="GI41" s="272">
        <v>219</v>
      </c>
    </row>
    <row r="42" spans="2:191" x14ac:dyDescent="0.15">
      <c r="B42" s="89" t="s">
        <v>77</v>
      </c>
      <c r="C42" s="272">
        <v>4289402</v>
      </c>
      <c r="D42" s="455">
        <f t="shared" si="0"/>
        <v>2169417</v>
      </c>
      <c r="E42" s="272">
        <v>19708</v>
      </c>
      <c r="F42" s="272">
        <v>2149709</v>
      </c>
      <c r="G42" s="455">
        <f t="shared" si="1"/>
        <v>254873</v>
      </c>
      <c r="H42" s="272">
        <v>43081</v>
      </c>
      <c r="I42" s="272">
        <v>211792</v>
      </c>
      <c r="J42" s="272">
        <v>1696967</v>
      </c>
      <c r="K42" s="272">
        <v>704798</v>
      </c>
      <c r="L42" s="272">
        <v>741885</v>
      </c>
      <c r="M42" s="272">
        <v>238218</v>
      </c>
      <c r="N42" s="272">
        <v>125513</v>
      </c>
      <c r="O42" s="272">
        <v>0</v>
      </c>
      <c r="P42" s="272">
        <v>0</v>
      </c>
      <c r="Q42" s="272">
        <v>0</v>
      </c>
      <c r="R42" s="272">
        <v>233303</v>
      </c>
      <c r="S42" s="272">
        <v>149729</v>
      </c>
      <c r="T42" s="455">
        <f t="shared" si="2"/>
        <v>387960</v>
      </c>
      <c r="U42" s="272">
        <v>225737</v>
      </c>
      <c r="V42" s="272"/>
      <c r="W42" s="272"/>
      <c r="X42" s="272"/>
      <c r="Y42" s="272">
        <v>35413</v>
      </c>
      <c r="Z42" s="272">
        <v>195</v>
      </c>
      <c r="AA42" s="272">
        <v>126615</v>
      </c>
      <c r="AB42" s="272"/>
      <c r="AC42" s="272">
        <v>1671561</v>
      </c>
      <c r="AD42" s="272">
        <v>1463398</v>
      </c>
      <c r="AE42" s="272">
        <v>208163</v>
      </c>
      <c r="AF42" s="272">
        <v>9007</v>
      </c>
      <c r="AG42" s="272">
        <v>20064</v>
      </c>
      <c r="AH42" s="455">
        <f t="shared" si="3"/>
        <v>142708</v>
      </c>
      <c r="AI42" s="272">
        <v>120167</v>
      </c>
      <c r="AJ42" s="272">
        <v>22541</v>
      </c>
      <c r="AK42" s="272">
        <v>329645</v>
      </c>
      <c r="AL42" s="455">
        <f t="shared" si="4"/>
        <v>108316</v>
      </c>
      <c r="AM42" s="272">
        <v>0</v>
      </c>
      <c r="AN42" s="272">
        <v>66231</v>
      </c>
      <c r="AO42" s="272">
        <v>0</v>
      </c>
      <c r="AP42" s="272">
        <v>42085</v>
      </c>
      <c r="AQ42" s="272">
        <v>84890</v>
      </c>
      <c r="AR42" s="272">
        <v>178</v>
      </c>
      <c r="AS42" s="272">
        <v>0</v>
      </c>
      <c r="AT42" s="272">
        <v>654932</v>
      </c>
      <c r="AU42" s="272">
        <v>127160</v>
      </c>
      <c r="AV42" s="272">
        <v>33116</v>
      </c>
      <c r="AW42" s="272">
        <v>48363</v>
      </c>
      <c r="AX42" s="272">
        <v>527772</v>
      </c>
      <c r="AY42" s="272">
        <v>281292</v>
      </c>
      <c r="AZ42" s="272">
        <v>428452</v>
      </c>
      <c r="BA42" s="272">
        <v>125961</v>
      </c>
      <c r="BB42" s="272">
        <v>2211685</v>
      </c>
      <c r="BC42" s="272">
        <v>580427</v>
      </c>
      <c r="BD42" s="272">
        <v>0</v>
      </c>
      <c r="BE42" s="272">
        <v>0</v>
      </c>
      <c r="BF42" s="272">
        <v>580115</v>
      </c>
      <c r="BG42" s="272">
        <v>0</v>
      </c>
      <c r="BH42" s="272">
        <v>698244</v>
      </c>
      <c r="BI42" s="272">
        <v>304512</v>
      </c>
      <c r="BJ42" s="272">
        <v>62757</v>
      </c>
      <c r="BK42" s="272">
        <v>0</v>
      </c>
      <c r="BL42" s="272">
        <v>196</v>
      </c>
      <c r="BM42" s="272">
        <v>0</v>
      </c>
      <c r="BN42" s="272">
        <v>1922900</v>
      </c>
      <c r="BO42" s="455">
        <f t="shared" si="5"/>
        <v>1467700</v>
      </c>
      <c r="BP42" s="455">
        <f t="shared" si="6"/>
        <v>455200</v>
      </c>
      <c r="BQ42" s="272">
        <v>455200</v>
      </c>
      <c r="BR42" s="272"/>
      <c r="BS42" s="272"/>
      <c r="BT42" s="272">
        <v>0</v>
      </c>
      <c r="BU42" s="272">
        <v>13643047</v>
      </c>
      <c r="BV42" s="272"/>
      <c r="BW42" s="272">
        <v>2646417</v>
      </c>
      <c r="BX42" s="272">
        <v>2061104</v>
      </c>
      <c r="BY42" s="272">
        <v>44860</v>
      </c>
      <c r="BZ42" s="272">
        <v>20463</v>
      </c>
      <c r="CA42" s="272">
        <v>536597</v>
      </c>
      <c r="CB42" s="272">
        <v>84685</v>
      </c>
      <c r="CC42" s="272">
        <v>244427</v>
      </c>
      <c r="CD42" s="272">
        <v>191841</v>
      </c>
      <c r="CE42" s="272">
        <v>0</v>
      </c>
      <c r="CF42" s="272">
        <v>0</v>
      </c>
      <c r="CG42" s="272">
        <v>15382</v>
      </c>
      <c r="CH42" s="272">
        <v>868335</v>
      </c>
      <c r="CI42" s="272">
        <v>381216</v>
      </c>
      <c r="CJ42" s="455">
        <f t="shared" si="7"/>
        <v>487119</v>
      </c>
      <c r="CK42" s="272">
        <v>1319912</v>
      </c>
      <c r="CL42" s="272">
        <v>460077</v>
      </c>
      <c r="CM42" s="272">
        <v>117672</v>
      </c>
      <c r="CN42" s="272">
        <v>422624</v>
      </c>
      <c r="CO42" s="272">
        <v>100740</v>
      </c>
      <c r="CP42" s="272">
        <v>316087</v>
      </c>
      <c r="CQ42" s="272">
        <v>1112</v>
      </c>
      <c r="CR42" s="272">
        <v>152392</v>
      </c>
      <c r="CS42" s="272">
        <v>152051</v>
      </c>
      <c r="CT42" s="455">
        <f t="shared" si="8"/>
        <v>9181</v>
      </c>
      <c r="CU42" s="272">
        <v>6184</v>
      </c>
      <c r="CV42" s="272">
        <v>2997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3983605</v>
      </c>
      <c r="DD42" s="272">
        <v>262760</v>
      </c>
      <c r="DE42" s="272">
        <v>3720662</v>
      </c>
      <c r="DF42" s="272">
        <v>183</v>
      </c>
      <c r="DG42" s="272">
        <v>0</v>
      </c>
      <c r="DH42" s="272">
        <v>29</v>
      </c>
      <c r="DI42" s="272">
        <v>2826896</v>
      </c>
      <c r="DJ42" s="272">
        <v>27290</v>
      </c>
      <c r="DK42" s="272">
        <v>200000</v>
      </c>
      <c r="DL42" s="272">
        <v>2599606</v>
      </c>
      <c r="DM42" s="272">
        <v>993</v>
      </c>
      <c r="DN42" s="272">
        <v>0</v>
      </c>
      <c r="DO42" s="272">
        <v>0</v>
      </c>
      <c r="DP42" s="272">
        <v>0</v>
      </c>
      <c r="DQ42" s="272">
        <v>0</v>
      </c>
      <c r="DR42" s="272">
        <v>0</v>
      </c>
      <c r="DS42" s="272">
        <v>0</v>
      </c>
      <c r="DT42" s="272">
        <v>676566</v>
      </c>
      <c r="DU42" s="272">
        <v>399200</v>
      </c>
      <c r="DV42" s="455">
        <f t="shared" si="11"/>
        <v>0</v>
      </c>
      <c r="DW42" s="272">
        <v>0</v>
      </c>
      <c r="DX42" s="272">
        <v>0</v>
      </c>
      <c r="DY42" s="272">
        <v>0</v>
      </c>
      <c r="DZ42" s="272">
        <v>137030</v>
      </c>
      <c r="EA42" s="272">
        <v>122253</v>
      </c>
      <c r="EB42" s="272"/>
      <c r="EC42" s="272">
        <v>0</v>
      </c>
      <c r="ED42" s="272">
        <v>13276177</v>
      </c>
      <c r="EF42" s="272">
        <v>366870</v>
      </c>
      <c r="EG42" s="272">
        <v>68243</v>
      </c>
      <c r="EH42" s="272">
        <v>298627</v>
      </c>
      <c r="EI42" s="272">
        <v>-5885</v>
      </c>
      <c r="EJ42" s="272">
        <v>21405</v>
      </c>
      <c r="EL42" s="272"/>
      <c r="EM42" s="272">
        <v>39913</v>
      </c>
      <c r="EN42" s="272">
        <v>312</v>
      </c>
      <c r="EO42" s="272">
        <v>198311</v>
      </c>
      <c r="EP42" s="455">
        <f t="shared" si="12"/>
        <v>2595983</v>
      </c>
      <c r="EQ42" s="272">
        <v>6591233</v>
      </c>
      <c r="ER42" s="272">
        <v>-3240799</v>
      </c>
      <c r="ES42" s="272">
        <v>2413560</v>
      </c>
      <c r="ET42" s="272">
        <v>1836045</v>
      </c>
      <c r="EU42" s="272">
        <v>244093</v>
      </c>
      <c r="EV42" s="272">
        <v>842085</v>
      </c>
      <c r="EW42" s="455">
        <f t="shared" si="13"/>
        <v>1149159</v>
      </c>
      <c r="EX42" s="272">
        <v>1149130</v>
      </c>
      <c r="EY42" s="272">
        <v>81217</v>
      </c>
      <c r="EZ42" s="272">
        <v>1067730</v>
      </c>
      <c r="FA42" s="272">
        <v>29</v>
      </c>
      <c r="FB42" s="272"/>
      <c r="FC42" s="272">
        <v>1162844</v>
      </c>
      <c r="FD42" s="272">
        <v>294762</v>
      </c>
      <c r="FE42" s="272">
        <v>1112</v>
      </c>
      <c r="FF42" s="272">
        <v>642970</v>
      </c>
      <c r="FG42" s="455">
        <f t="shared" si="14"/>
        <v>2715689</v>
      </c>
      <c r="FH42" s="272">
        <v>9465162</v>
      </c>
      <c r="FI42" s="384">
        <f t="shared" si="15"/>
        <v>4.5</v>
      </c>
      <c r="FJ42" s="272">
        <v>6572499</v>
      </c>
      <c r="FK42" s="272"/>
      <c r="FL42" s="272">
        <v>3855532</v>
      </c>
      <c r="FM42" s="272">
        <v>5331631</v>
      </c>
      <c r="FN42" s="460">
        <v>0.71199999999999997</v>
      </c>
      <c r="FO42" s="388">
        <v>74.5</v>
      </c>
      <c r="FP42" s="388">
        <v>36.5</v>
      </c>
      <c r="FQ42" s="388">
        <v>2.7</v>
      </c>
      <c r="FR42" s="388">
        <v>13</v>
      </c>
      <c r="FS42" s="388">
        <v>13.5</v>
      </c>
      <c r="FT42" s="388">
        <v>4.3</v>
      </c>
      <c r="FU42" s="388">
        <v>3</v>
      </c>
      <c r="FV42" s="388">
        <v>7.1</v>
      </c>
      <c r="FW42" s="272">
        <v>9941537</v>
      </c>
      <c r="FX42" s="384">
        <f t="shared" si="16"/>
        <v>151.30000000000001</v>
      </c>
      <c r="FY42" s="272">
        <v>11072506</v>
      </c>
      <c r="FZ42" s="272">
        <v>1235137</v>
      </c>
      <c r="GA42" s="272">
        <v>694843</v>
      </c>
      <c r="GB42" s="272">
        <v>9142526</v>
      </c>
      <c r="GC42" s="272"/>
      <c r="GD42" s="272">
        <v>3125353</v>
      </c>
      <c r="GE42" s="384">
        <f>ROUND(GD42/FJ42*100,1)</f>
        <v>47.6</v>
      </c>
      <c r="GF42" s="388">
        <v>96.8</v>
      </c>
      <c r="GG42" s="388">
        <v>19.5</v>
      </c>
      <c r="GH42" s="388">
        <v>89.6</v>
      </c>
      <c r="GI42" s="272">
        <v>359</v>
      </c>
    </row>
    <row r="43" spans="2:191" x14ac:dyDescent="0.15">
      <c r="B43" s="89" t="s">
        <v>79</v>
      </c>
      <c r="C43" s="272">
        <v>1731565</v>
      </c>
      <c r="D43" s="455">
        <f t="shared" si="0"/>
        <v>282207</v>
      </c>
      <c r="E43" s="272">
        <v>3370</v>
      </c>
      <c r="F43" s="272">
        <v>278837</v>
      </c>
      <c r="G43" s="455">
        <f t="shared" si="1"/>
        <v>42532</v>
      </c>
      <c r="H43" s="272">
        <v>15658</v>
      </c>
      <c r="I43" s="272">
        <v>26874</v>
      </c>
      <c r="J43" s="272">
        <v>1303818</v>
      </c>
      <c r="K43" s="272">
        <v>976257</v>
      </c>
      <c r="L43" s="272">
        <v>145972</v>
      </c>
      <c r="M43" s="272">
        <v>178949</v>
      </c>
      <c r="N43" s="272">
        <v>40919</v>
      </c>
      <c r="O43" s="272">
        <v>0</v>
      </c>
      <c r="P43" s="272">
        <v>0</v>
      </c>
      <c r="Q43" s="272">
        <v>0</v>
      </c>
      <c r="R43" s="272">
        <v>42155</v>
      </c>
      <c r="S43" s="272">
        <v>29527</v>
      </c>
      <c r="T43" s="455">
        <f t="shared" si="2"/>
        <v>49883</v>
      </c>
      <c r="U43" s="272">
        <v>30371</v>
      </c>
      <c r="V43" s="272"/>
      <c r="W43" s="272"/>
      <c r="X43" s="272"/>
      <c r="Y43" s="272">
        <v>0</v>
      </c>
      <c r="Z43" s="272">
        <v>313</v>
      </c>
      <c r="AA43" s="272">
        <v>19199</v>
      </c>
      <c r="AB43" s="272"/>
      <c r="AC43" s="272">
        <v>297803</v>
      </c>
      <c r="AD43" s="272">
        <v>187803</v>
      </c>
      <c r="AE43" s="272">
        <v>110000</v>
      </c>
      <c r="AF43" s="272">
        <v>1243</v>
      </c>
      <c r="AG43" s="272">
        <v>4961</v>
      </c>
      <c r="AH43" s="455">
        <f t="shared" si="3"/>
        <v>23369</v>
      </c>
      <c r="AI43" s="272">
        <v>19697</v>
      </c>
      <c r="AJ43" s="272">
        <v>3672</v>
      </c>
      <c r="AK43" s="272">
        <v>538212</v>
      </c>
      <c r="AL43" s="455">
        <f t="shared" si="4"/>
        <v>17007</v>
      </c>
      <c r="AM43" s="272">
        <v>0</v>
      </c>
      <c r="AN43" s="272">
        <v>2408</v>
      </c>
      <c r="AO43" s="272">
        <v>0</v>
      </c>
      <c r="AP43" s="272">
        <v>14599</v>
      </c>
      <c r="AQ43" s="272">
        <v>362000</v>
      </c>
      <c r="AR43" s="272">
        <v>0</v>
      </c>
      <c r="AS43" s="272">
        <v>0</v>
      </c>
      <c r="AT43" s="272">
        <v>122074</v>
      </c>
      <c r="AU43" s="272">
        <v>31884</v>
      </c>
      <c r="AV43" s="272">
        <v>1204</v>
      </c>
      <c r="AW43" s="272">
        <v>0</v>
      </c>
      <c r="AX43" s="272">
        <v>90190</v>
      </c>
      <c r="AY43" s="272">
        <v>39700</v>
      </c>
      <c r="AZ43" s="272">
        <v>28666</v>
      </c>
      <c r="BA43" s="272">
        <v>0</v>
      </c>
      <c r="BB43" s="272">
        <v>33064</v>
      </c>
      <c r="BC43" s="272">
        <v>455000</v>
      </c>
      <c r="BD43" s="272">
        <v>355000</v>
      </c>
      <c r="BE43" s="272">
        <v>0</v>
      </c>
      <c r="BF43" s="272">
        <v>100000</v>
      </c>
      <c r="BG43" s="272">
        <v>0</v>
      </c>
      <c r="BH43" s="272">
        <v>98222</v>
      </c>
      <c r="BI43" s="272">
        <v>98222</v>
      </c>
      <c r="BJ43" s="272">
        <v>688891</v>
      </c>
      <c r="BK43" s="272">
        <v>0</v>
      </c>
      <c r="BL43" s="272">
        <v>0</v>
      </c>
      <c r="BM43" s="272">
        <v>0</v>
      </c>
      <c r="BN43" s="272">
        <v>524200</v>
      </c>
      <c r="BO43" s="455">
        <f t="shared" si="5"/>
        <v>474200</v>
      </c>
      <c r="BP43" s="455">
        <f t="shared" si="6"/>
        <v>50000</v>
      </c>
      <c r="BQ43" s="272">
        <v>50000</v>
      </c>
      <c r="BR43" s="272"/>
      <c r="BS43" s="272"/>
      <c r="BT43" s="272">
        <v>0</v>
      </c>
      <c r="BU43" s="272">
        <v>4639308</v>
      </c>
      <c r="BV43" s="272"/>
      <c r="BW43" s="272">
        <v>924771</v>
      </c>
      <c r="BX43" s="272">
        <v>615801</v>
      </c>
      <c r="BY43" s="272">
        <v>67823</v>
      </c>
      <c r="BZ43" s="272">
        <v>7735</v>
      </c>
      <c r="CA43" s="272">
        <v>110427</v>
      </c>
      <c r="CB43" s="272">
        <v>20508</v>
      </c>
      <c r="CC43" s="272">
        <v>71816</v>
      </c>
      <c r="CD43" s="272">
        <v>17315</v>
      </c>
      <c r="CE43" s="272">
        <v>0</v>
      </c>
      <c r="CF43" s="272">
        <v>0</v>
      </c>
      <c r="CG43" s="272">
        <v>788</v>
      </c>
      <c r="CH43" s="272">
        <v>288836</v>
      </c>
      <c r="CI43" s="272">
        <v>98584</v>
      </c>
      <c r="CJ43" s="455">
        <f t="shared" si="7"/>
        <v>190252</v>
      </c>
      <c r="CK43" s="272">
        <v>358635</v>
      </c>
      <c r="CL43" s="272">
        <v>151957</v>
      </c>
      <c r="CM43" s="272">
        <v>66926</v>
      </c>
      <c r="CN43" s="272">
        <v>84901</v>
      </c>
      <c r="CO43" s="272">
        <v>9358</v>
      </c>
      <c r="CP43" s="272">
        <v>529445</v>
      </c>
      <c r="CQ43" s="272">
        <v>170478</v>
      </c>
      <c r="CR43" s="272">
        <v>64330</v>
      </c>
      <c r="CS43" s="272">
        <v>64330</v>
      </c>
      <c r="CT43" s="455">
        <f t="shared" si="8"/>
        <v>24612</v>
      </c>
      <c r="CU43" s="272">
        <v>1800</v>
      </c>
      <c r="CV43" s="272">
        <v>22812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1843193</v>
      </c>
      <c r="DD43" s="272">
        <v>905000</v>
      </c>
      <c r="DE43" s="272">
        <v>836292</v>
      </c>
      <c r="DF43" s="272">
        <v>101901</v>
      </c>
      <c r="DG43" s="272">
        <v>0</v>
      </c>
      <c r="DH43" s="272">
        <v>0</v>
      </c>
      <c r="DI43" s="272">
        <v>95480</v>
      </c>
      <c r="DJ43" s="272">
        <v>69915</v>
      </c>
      <c r="DK43" s="272">
        <v>0</v>
      </c>
      <c r="DL43" s="272">
        <v>25565</v>
      </c>
      <c r="DM43" s="272">
        <v>40189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259941</v>
      </c>
      <c r="DU43" s="272">
        <v>191941</v>
      </c>
      <c r="DV43" s="455">
        <f t="shared" si="11"/>
        <v>0</v>
      </c>
      <c r="DW43" s="272">
        <v>0</v>
      </c>
      <c r="DX43" s="272">
        <v>0</v>
      </c>
      <c r="DY43" s="272">
        <v>0</v>
      </c>
      <c r="DZ43" s="272">
        <v>34541</v>
      </c>
      <c r="EA43" s="272">
        <v>32957</v>
      </c>
      <c r="EB43" s="272"/>
      <c r="EC43" s="272">
        <v>0</v>
      </c>
      <c r="ED43" s="272">
        <v>4460275</v>
      </c>
      <c r="EF43" s="272">
        <v>179033</v>
      </c>
      <c r="EG43" s="272">
        <v>66576</v>
      </c>
      <c r="EH43" s="272">
        <v>112457</v>
      </c>
      <c r="EI43" s="272">
        <v>14235</v>
      </c>
      <c r="EJ43" s="272">
        <v>-270850</v>
      </c>
      <c r="EL43" s="272"/>
      <c r="EM43" s="272">
        <v>6480</v>
      </c>
      <c r="EN43" s="272">
        <v>355000</v>
      </c>
      <c r="EO43" s="272">
        <v>225</v>
      </c>
      <c r="EP43" s="455">
        <f t="shared" si="12"/>
        <v>239132</v>
      </c>
      <c r="EQ43" s="272">
        <v>2122649</v>
      </c>
      <c r="ER43" s="272">
        <v>-643114</v>
      </c>
      <c r="ES43" s="272">
        <v>888038</v>
      </c>
      <c r="ET43" s="272">
        <v>580281</v>
      </c>
      <c r="EU43" s="272">
        <v>36877</v>
      </c>
      <c r="EV43" s="272">
        <v>251036</v>
      </c>
      <c r="EW43" s="455">
        <f t="shared" si="13"/>
        <v>323350</v>
      </c>
      <c r="EX43" s="272">
        <v>323350</v>
      </c>
      <c r="EY43" s="272"/>
      <c r="EZ43" s="272">
        <v>221449</v>
      </c>
      <c r="FA43" s="272">
        <v>0</v>
      </c>
      <c r="FB43" s="272"/>
      <c r="FC43" s="272">
        <v>326827</v>
      </c>
      <c r="FD43" s="272">
        <v>515815</v>
      </c>
      <c r="FE43" s="272">
        <v>170478</v>
      </c>
      <c r="FF43" s="272">
        <v>154622</v>
      </c>
      <c r="FG43" s="455">
        <f t="shared" si="14"/>
        <v>99465</v>
      </c>
      <c r="FH43" s="272">
        <v>2596030</v>
      </c>
      <c r="FI43" s="384">
        <f t="shared" si="15"/>
        <v>5.4</v>
      </c>
      <c r="FJ43" s="272">
        <v>2088300</v>
      </c>
      <c r="FK43" s="272"/>
      <c r="FL43" s="272">
        <v>1428886</v>
      </c>
      <c r="FM43" s="272">
        <v>1620203</v>
      </c>
      <c r="FN43" s="460">
        <v>0.67700000000000005</v>
      </c>
      <c r="FO43" s="388">
        <v>90.6</v>
      </c>
      <c r="FP43" s="388">
        <v>42.1</v>
      </c>
      <c r="FQ43" s="388">
        <v>1.8</v>
      </c>
      <c r="FR43" s="388">
        <v>12.4</v>
      </c>
      <c r="FS43" s="388">
        <v>12.4</v>
      </c>
      <c r="FT43" s="388">
        <v>18.899999999999999</v>
      </c>
      <c r="FU43" s="388">
        <v>2.6</v>
      </c>
      <c r="FV43" s="388">
        <v>7.5</v>
      </c>
      <c r="FW43" s="272">
        <v>3671052</v>
      </c>
      <c r="FX43" s="384">
        <f t="shared" si="16"/>
        <v>175.8</v>
      </c>
      <c r="FY43" s="272">
        <v>822742</v>
      </c>
      <c r="FZ43" s="272">
        <v>509540</v>
      </c>
      <c r="GA43" s="272"/>
      <c r="GB43" s="272">
        <v>313202</v>
      </c>
      <c r="GC43" s="272"/>
      <c r="GD43" s="272">
        <v>1469003</v>
      </c>
      <c r="GE43" s="384">
        <f>ROUND(GD43/FJ43*100,1)</f>
        <v>70.3</v>
      </c>
      <c r="GF43" s="388">
        <v>98.9</v>
      </c>
      <c r="GG43" s="388">
        <v>35</v>
      </c>
      <c r="GH43" s="388">
        <v>96.7</v>
      </c>
      <c r="GI43" s="272">
        <v>107</v>
      </c>
    </row>
    <row r="44" spans="2:191" x14ac:dyDescent="0.15">
      <c r="B44" s="89" t="s">
        <v>81</v>
      </c>
      <c r="C44" s="272">
        <v>2915385</v>
      </c>
      <c r="D44" s="455">
        <f t="shared" si="0"/>
        <v>936684</v>
      </c>
      <c r="E44" s="272">
        <v>11087</v>
      </c>
      <c r="F44" s="272">
        <v>925597</v>
      </c>
      <c r="G44" s="455">
        <f t="shared" si="1"/>
        <v>187591</v>
      </c>
      <c r="H44" s="272">
        <v>32409</v>
      </c>
      <c r="I44" s="272">
        <v>155182</v>
      </c>
      <c r="J44" s="272">
        <v>1437056</v>
      </c>
      <c r="K44" s="272">
        <v>601696</v>
      </c>
      <c r="L44" s="272">
        <v>402869</v>
      </c>
      <c r="M44" s="272">
        <v>425877</v>
      </c>
      <c r="N44" s="272">
        <v>84506</v>
      </c>
      <c r="O44" s="272">
        <v>0</v>
      </c>
      <c r="P44" s="272">
        <v>0</v>
      </c>
      <c r="Q44" s="272">
        <v>0</v>
      </c>
      <c r="R44" s="272">
        <v>135158</v>
      </c>
      <c r="S44" s="272">
        <v>82628</v>
      </c>
      <c r="T44" s="455">
        <f t="shared" si="2"/>
        <v>264633</v>
      </c>
      <c r="U44" s="272">
        <v>103898</v>
      </c>
      <c r="V44" s="272"/>
      <c r="W44" s="272"/>
      <c r="X44" s="272"/>
      <c r="Y44" s="272">
        <v>79918</v>
      </c>
      <c r="Z44" s="272">
        <v>1073</v>
      </c>
      <c r="AA44" s="272">
        <v>79744</v>
      </c>
      <c r="AB44" s="272"/>
      <c r="AC44" s="272">
        <v>1216036</v>
      </c>
      <c r="AD44" s="272">
        <v>1018066</v>
      </c>
      <c r="AE44" s="272">
        <v>197970</v>
      </c>
      <c r="AF44" s="272">
        <v>4015</v>
      </c>
      <c r="AG44" s="272">
        <v>15260</v>
      </c>
      <c r="AH44" s="455">
        <f t="shared" si="3"/>
        <v>180783</v>
      </c>
      <c r="AI44" s="272">
        <v>170569</v>
      </c>
      <c r="AJ44" s="272">
        <v>10214</v>
      </c>
      <c r="AK44" s="272">
        <v>245470</v>
      </c>
      <c r="AL44" s="455">
        <f t="shared" si="4"/>
        <v>62343</v>
      </c>
      <c r="AM44" s="272">
        <v>0</v>
      </c>
      <c r="AN44" s="272">
        <v>22763</v>
      </c>
      <c r="AO44" s="272">
        <v>0</v>
      </c>
      <c r="AP44" s="272">
        <v>39580</v>
      </c>
      <c r="AQ44" s="272">
        <v>99121</v>
      </c>
      <c r="AR44" s="272">
        <v>0</v>
      </c>
      <c r="AS44" s="272">
        <v>0</v>
      </c>
      <c r="AT44" s="272">
        <v>706268</v>
      </c>
      <c r="AU44" s="272">
        <v>162831</v>
      </c>
      <c r="AV44" s="272">
        <v>11381</v>
      </c>
      <c r="AW44" s="272">
        <v>72596</v>
      </c>
      <c r="AX44" s="272">
        <v>543437</v>
      </c>
      <c r="AY44" s="272">
        <v>165746</v>
      </c>
      <c r="AZ44" s="272">
        <v>72287</v>
      </c>
      <c r="BA44" s="272">
        <v>14759</v>
      </c>
      <c r="BB44" s="272">
        <v>34358</v>
      </c>
      <c r="BC44" s="272">
        <v>191935</v>
      </c>
      <c r="BD44" s="272">
        <v>126000</v>
      </c>
      <c r="BE44" s="272">
        <v>0</v>
      </c>
      <c r="BF44" s="272">
        <v>0</v>
      </c>
      <c r="BG44" s="272">
        <v>0</v>
      </c>
      <c r="BH44" s="272">
        <v>14408</v>
      </c>
      <c r="BI44" s="272">
        <v>2184</v>
      </c>
      <c r="BJ44" s="272">
        <v>166234</v>
      </c>
      <c r="BK44" s="272">
        <v>27765</v>
      </c>
      <c r="BL44" s="272">
        <v>0</v>
      </c>
      <c r="BM44" s="272">
        <v>0</v>
      </c>
      <c r="BN44" s="272">
        <v>670400</v>
      </c>
      <c r="BO44" s="455">
        <f t="shared" si="5"/>
        <v>472600</v>
      </c>
      <c r="BP44" s="455">
        <f t="shared" si="6"/>
        <v>197800</v>
      </c>
      <c r="BQ44" s="272">
        <v>197800</v>
      </c>
      <c r="BR44" s="272"/>
      <c r="BS44" s="272"/>
      <c r="BT44" s="272">
        <v>0</v>
      </c>
      <c r="BU44" s="272">
        <v>6832630</v>
      </c>
      <c r="BV44" s="272"/>
      <c r="BW44" s="272">
        <v>2103392</v>
      </c>
      <c r="BX44" s="272">
        <v>1484154</v>
      </c>
      <c r="BY44" s="272">
        <v>201393</v>
      </c>
      <c r="BZ44" s="272">
        <v>25638</v>
      </c>
      <c r="CA44" s="272">
        <v>370055</v>
      </c>
      <c r="CB44" s="272">
        <v>81598</v>
      </c>
      <c r="CC44" s="272">
        <v>198828</v>
      </c>
      <c r="CD44" s="272">
        <v>67232</v>
      </c>
      <c r="CE44" s="272">
        <v>0</v>
      </c>
      <c r="CF44" s="272">
        <v>867</v>
      </c>
      <c r="CG44" s="272">
        <v>21139</v>
      </c>
      <c r="CH44" s="272">
        <v>819254</v>
      </c>
      <c r="CI44" s="272">
        <v>499099</v>
      </c>
      <c r="CJ44" s="455">
        <f t="shared" si="7"/>
        <v>320155</v>
      </c>
      <c r="CK44" s="272">
        <v>1117644</v>
      </c>
      <c r="CL44" s="272">
        <v>461268</v>
      </c>
      <c r="CM44" s="272">
        <v>135905</v>
      </c>
      <c r="CN44" s="272">
        <v>368917</v>
      </c>
      <c r="CO44" s="272">
        <v>105464</v>
      </c>
      <c r="CP44" s="272">
        <v>225636</v>
      </c>
      <c r="CQ44" s="272">
        <v>2397</v>
      </c>
      <c r="CR44" s="272">
        <v>108725</v>
      </c>
      <c r="CS44" s="272">
        <v>100314</v>
      </c>
      <c r="CT44" s="455">
        <f t="shared" si="8"/>
        <v>1201</v>
      </c>
      <c r="CU44" s="272">
        <v>1201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1337056</v>
      </c>
      <c r="DD44" s="272">
        <v>236025</v>
      </c>
      <c r="DE44" s="272">
        <v>1081375</v>
      </c>
      <c r="DF44" s="272">
        <v>19656</v>
      </c>
      <c r="DG44" s="272">
        <v>0</v>
      </c>
      <c r="DH44" s="272">
        <v>20412</v>
      </c>
      <c r="DI44" s="272">
        <v>170826</v>
      </c>
      <c r="DJ44" s="272">
        <v>18557</v>
      </c>
      <c r="DK44" s="272">
        <v>2387</v>
      </c>
      <c r="DL44" s="272">
        <v>149882</v>
      </c>
      <c r="DM44" s="272">
        <v>8928</v>
      </c>
      <c r="DN44" s="272">
        <v>8000</v>
      </c>
      <c r="DO44" s="272">
        <v>8000</v>
      </c>
      <c r="DP44" s="272">
        <v>0</v>
      </c>
      <c r="DQ44" s="272">
        <v>0</v>
      </c>
      <c r="DR44" s="272">
        <v>0</v>
      </c>
      <c r="DS44" s="272">
        <v>0</v>
      </c>
      <c r="DT44" s="272">
        <v>488676</v>
      </c>
      <c r="DU44" s="272">
        <v>182320</v>
      </c>
      <c r="DV44" s="455">
        <f t="shared" si="11"/>
        <v>0</v>
      </c>
      <c r="DW44" s="272">
        <v>0</v>
      </c>
      <c r="DX44" s="272">
        <v>0</v>
      </c>
      <c r="DY44" s="272">
        <v>0</v>
      </c>
      <c r="DZ44" s="272">
        <v>184631</v>
      </c>
      <c r="EA44" s="272">
        <v>117718</v>
      </c>
      <c r="EB44" s="272"/>
      <c r="EC44" s="272">
        <v>0</v>
      </c>
      <c r="ED44" s="272">
        <v>6767343</v>
      </c>
      <c r="EF44" s="272">
        <v>65287</v>
      </c>
      <c r="EG44" s="272">
        <v>62619</v>
      </c>
      <c r="EH44" s="272">
        <v>2668</v>
      </c>
      <c r="EI44" s="272">
        <v>484</v>
      </c>
      <c r="EJ44" s="272">
        <v>-106959</v>
      </c>
      <c r="EL44" s="272"/>
      <c r="EM44" s="272">
        <v>21233</v>
      </c>
      <c r="EN44" s="272">
        <v>126000</v>
      </c>
      <c r="EO44" s="272">
        <v>15893</v>
      </c>
      <c r="EP44" s="455">
        <f t="shared" si="12"/>
        <v>251578</v>
      </c>
      <c r="EQ44" s="272">
        <v>4535227</v>
      </c>
      <c r="ER44" s="272">
        <v>-587256</v>
      </c>
      <c r="ES44" s="272">
        <v>1925674</v>
      </c>
      <c r="ET44" s="272">
        <v>1312031</v>
      </c>
      <c r="EU44" s="272">
        <v>138752</v>
      </c>
      <c r="EV44" s="272">
        <v>635416</v>
      </c>
      <c r="EW44" s="455">
        <f t="shared" si="13"/>
        <v>559794</v>
      </c>
      <c r="EX44" s="272">
        <v>543182</v>
      </c>
      <c r="EY44" s="272">
        <v>20098</v>
      </c>
      <c r="EZ44" s="272">
        <v>523028</v>
      </c>
      <c r="FA44" s="272">
        <v>16612</v>
      </c>
      <c r="FB44" s="272"/>
      <c r="FC44" s="272">
        <v>946705</v>
      </c>
      <c r="FD44" s="272">
        <v>173613</v>
      </c>
      <c r="FE44" s="272">
        <v>2397</v>
      </c>
      <c r="FF44" s="272">
        <v>456962</v>
      </c>
      <c r="FG44" s="455">
        <f t="shared" si="14"/>
        <v>220356</v>
      </c>
      <c r="FH44" s="272">
        <v>5057272</v>
      </c>
      <c r="FI44" s="384">
        <f t="shared" si="15"/>
        <v>0.1</v>
      </c>
      <c r="FJ44" s="272">
        <v>4203028</v>
      </c>
      <c r="FK44" s="272"/>
      <c r="FL44" s="272">
        <v>2403197</v>
      </c>
      <c r="FM44" s="272">
        <v>3425836</v>
      </c>
      <c r="FN44" s="460">
        <v>0.75900000000000001</v>
      </c>
      <c r="FO44" s="388">
        <v>86.7</v>
      </c>
      <c r="FP44" s="388">
        <v>42.6</v>
      </c>
      <c r="FQ44" s="388">
        <v>3.2</v>
      </c>
      <c r="FR44" s="388">
        <v>13.3</v>
      </c>
      <c r="FS44" s="388">
        <v>17.3</v>
      </c>
      <c r="FT44" s="388">
        <v>3</v>
      </c>
      <c r="FU44" s="388">
        <v>5</v>
      </c>
      <c r="FV44" s="388">
        <v>9.6999999999999993</v>
      </c>
      <c r="FW44" s="272">
        <v>6104343</v>
      </c>
      <c r="FX44" s="384">
        <f t="shared" si="16"/>
        <v>145.19999999999999</v>
      </c>
      <c r="FY44" s="272">
        <v>2552452</v>
      </c>
      <c r="FZ44" s="272">
        <v>680268</v>
      </c>
      <c r="GA44" s="272">
        <v>116662</v>
      </c>
      <c r="GB44" s="272">
        <v>1755522</v>
      </c>
      <c r="GC44" s="272"/>
      <c r="GD44" s="272"/>
      <c r="GE44" s="384"/>
      <c r="GF44" s="388">
        <v>97.4</v>
      </c>
      <c r="GG44" s="388">
        <v>24.7</v>
      </c>
      <c r="GH44" s="388">
        <v>93.8</v>
      </c>
      <c r="GI44" s="272">
        <v>238</v>
      </c>
    </row>
    <row r="45" spans="2:191" x14ac:dyDescent="0.15">
      <c r="B45" s="89" t="s">
        <v>83</v>
      </c>
      <c r="C45" s="272">
        <v>1275813</v>
      </c>
      <c r="D45" s="455">
        <f t="shared" si="0"/>
        <v>616908</v>
      </c>
      <c r="E45" s="272">
        <v>5651</v>
      </c>
      <c r="F45" s="272">
        <v>611257</v>
      </c>
      <c r="G45" s="455">
        <f t="shared" si="1"/>
        <v>21688</v>
      </c>
      <c r="H45" s="272">
        <v>9165</v>
      </c>
      <c r="I45" s="272">
        <v>12523</v>
      </c>
      <c r="J45" s="272">
        <v>488715</v>
      </c>
      <c r="K45" s="272">
        <v>258999</v>
      </c>
      <c r="L45" s="272">
        <v>181425</v>
      </c>
      <c r="M45" s="272">
        <v>48291</v>
      </c>
      <c r="N45" s="272">
        <v>45101</v>
      </c>
      <c r="O45" s="272">
        <v>0</v>
      </c>
      <c r="P45" s="272">
        <v>0</v>
      </c>
      <c r="Q45" s="272">
        <v>0</v>
      </c>
      <c r="R45" s="272">
        <v>68609</v>
      </c>
      <c r="S45" s="272">
        <v>40453</v>
      </c>
      <c r="T45" s="455">
        <f t="shared" si="2"/>
        <v>103922</v>
      </c>
      <c r="U45" s="272">
        <v>60495</v>
      </c>
      <c r="V45" s="272"/>
      <c r="W45" s="272"/>
      <c r="X45" s="272"/>
      <c r="Y45" s="272">
        <v>0</v>
      </c>
      <c r="Z45" s="272">
        <v>674</v>
      </c>
      <c r="AA45" s="272">
        <v>42753</v>
      </c>
      <c r="AB45" s="272"/>
      <c r="AC45" s="272">
        <v>1378840</v>
      </c>
      <c r="AD45" s="272">
        <v>1219274</v>
      </c>
      <c r="AE45" s="272">
        <v>159566</v>
      </c>
      <c r="AF45" s="272">
        <v>2593</v>
      </c>
      <c r="AG45" s="272">
        <v>47999</v>
      </c>
      <c r="AH45" s="455">
        <f t="shared" si="3"/>
        <v>27553</v>
      </c>
      <c r="AI45" s="272">
        <v>10507</v>
      </c>
      <c r="AJ45" s="272">
        <v>17046</v>
      </c>
      <c r="AK45" s="272">
        <v>114271</v>
      </c>
      <c r="AL45" s="455">
        <f t="shared" si="4"/>
        <v>51626</v>
      </c>
      <c r="AM45" s="272">
        <v>0</v>
      </c>
      <c r="AN45" s="272">
        <v>29059</v>
      </c>
      <c r="AO45" s="272">
        <v>0</v>
      </c>
      <c r="AP45" s="272">
        <v>22567</v>
      </c>
      <c r="AQ45" s="272">
        <v>6600</v>
      </c>
      <c r="AR45" s="272">
        <v>1534</v>
      </c>
      <c r="AS45" s="272">
        <v>0</v>
      </c>
      <c r="AT45" s="272">
        <v>420293</v>
      </c>
      <c r="AU45" s="272">
        <v>100322</v>
      </c>
      <c r="AV45" s="272">
        <v>14832</v>
      </c>
      <c r="AW45" s="272">
        <v>0</v>
      </c>
      <c r="AX45" s="272">
        <v>319971</v>
      </c>
      <c r="AY45" s="272">
        <v>266750</v>
      </c>
      <c r="AZ45" s="272">
        <v>24018</v>
      </c>
      <c r="BA45" s="272">
        <v>0</v>
      </c>
      <c r="BB45" s="272">
        <v>49517</v>
      </c>
      <c r="BC45" s="272">
        <v>126060</v>
      </c>
      <c r="BD45" s="272">
        <v>0</v>
      </c>
      <c r="BE45" s="272">
        <v>0</v>
      </c>
      <c r="BF45" s="272">
        <v>125999</v>
      </c>
      <c r="BG45" s="272">
        <v>0</v>
      </c>
      <c r="BH45" s="272">
        <v>92195</v>
      </c>
      <c r="BI45" s="272">
        <v>92195</v>
      </c>
      <c r="BJ45" s="272">
        <v>23079</v>
      </c>
      <c r="BK45" s="272">
        <v>0</v>
      </c>
      <c r="BL45" s="272">
        <v>0</v>
      </c>
      <c r="BM45" s="272">
        <v>0</v>
      </c>
      <c r="BN45" s="272">
        <v>1042300</v>
      </c>
      <c r="BO45" s="455">
        <f t="shared" si="5"/>
        <v>919200</v>
      </c>
      <c r="BP45" s="455">
        <f t="shared" si="6"/>
        <v>123100</v>
      </c>
      <c r="BQ45" s="272">
        <v>123100</v>
      </c>
      <c r="BR45" s="272"/>
      <c r="BS45" s="272"/>
      <c r="BT45" s="272">
        <v>0</v>
      </c>
      <c r="BU45" s="272">
        <v>4797062</v>
      </c>
      <c r="BV45" s="272"/>
      <c r="BW45" s="272">
        <v>897405</v>
      </c>
      <c r="BX45" s="272">
        <v>616643</v>
      </c>
      <c r="BY45" s="272">
        <v>15479</v>
      </c>
      <c r="BZ45" s="272">
        <v>12817</v>
      </c>
      <c r="CA45" s="272">
        <v>283962</v>
      </c>
      <c r="CB45" s="272">
        <v>25351</v>
      </c>
      <c r="CC45" s="272">
        <v>99963</v>
      </c>
      <c r="CD45" s="272">
        <v>150586</v>
      </c>
      <c r="CE45" s="272">
        <v>0</v>
      </c>
      <c r="CF45" s="272">
        <v>0</v>
      </c>
      <c r="CG45" s="272">
        <v>8062</v>
      </c>
      <c r="CH45" s="272">
        <v>478078</v>
      </c>
      <c r="CI45" s="272">
        <v>211052</v>
      </c>
      <c r="CJ45" s="455">
        <f t="shared" si="7"/>
        <v>267026</v>
      </c>
      <c r="CK45" s="272">
        <v>574768</v>
      </c>
      <c r="CL45" s="272">
        <v>306901</v>
      </c>
      <c r="CM45" s="272">
        <v>33636</v>
      </c>
      <c r="CN45" s="272">
        <v>142631</v>
      </c>
      <c r="CO45" s="272">
        <v>44576</v>
      </c>
      <c r="CP45" s="272">
        <v>397449</v>
      </c>
      <c r="CQ45" s="272">
        <v>143149</v>
      </c>
      <c r="CR45" s="272">
        <v>94211</v>
      </c>
      <c r="CS45" s="272">
        <v>78698</v>
      </c>
      <c r="CT45" s="455">
        <f t="shared" si="8"/>
        <v>15660</v>
      </c>
      <c r="CU45" s="272">
        <v>1416</v>
      </c>
      <c r="CV45" s="272">
        <v>14244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1561313</v>
      </c>
      <c r="DD45" s="272">
        <v>12000</v>
      </c>
      <c r="DE45" s="272">
        <v>1530637</v>
      </c>
      <c r="DF45" s="272">
        <v>15176</v>
      </c>
      <c r="DG45" s="272">
        <v>0</v>
      </c>
      <c r="DH45" s="272">
        <v>2522</v>
      </c>
      <c r="DI45" s="272">
        <v>139718</v>
      </c>
      <c r="DJ45" s="272">
        <v>55968</v>
      </c>
      <c r="DK45" s="272">
        <v>4252</v>
      </c>
      <c r="DL45" s="272">
        <v>79498</v>
      </c>
      <c r="DM45" s="272">
        <v>735</v>
      </c>
      <c r="DN45" s="272">
        <v>0</v>
      </c>
      <c r="DO45" s="272">
        <v>0</v>
      </c>
      <c r="DP45" s="272">
        <v>0</v>
      </c>
      <c r="DQ45" s="272">
        <v>0</v>
      </c>
      <c r="DR45" s="272">
        <v>0</v>
      </c>
      <c r="DS45" s="272">
        <v>0</v>
      </c>
      <c r="DT45" s="272">
        <v>329369</v>
      </c>
      <c r="DU45" s="272">
        <v>216659</v>
      </c>
      <c r="DV45" s="455">
        <f t="shared" si="11"/>
        <v>0</v>
      </c>
      <c r="DW45" s="272">
        <v>0</v>
      </c>
      <c r="DX45" s="272">
        <v>0</v>
      </c>
      <c r="DY45" s="272">
        <v>0</v>
      </c>
      <c r="DZ45" s="272">
        <v>59838</v>
      </c>
      <c r="EA45" s="272">
        <v>42334</v>
      </c>
      <c r="EB45" s="272"/>
      <c r="EC45" s="272">
        <v>0</v>
      </c>
      <c r="ED45" s="272">
        <v>4709895</v>
      </c>
      <c r="EF45" s="272">
        <v>87167</v>
      </c>
      <c r="EG45" s="272">
        <v>0</v>
      </c>
      <c r="EH45" s="272">
        <v>87167</v>
      </c>
      <c r="EI45" s="272">
        <v>-5028</v>
      </c>
      <c r="EJ45" s="272">
        <v>50940</v>
      </c>
      <c r="EL45" s="272"/>
      <c r="EM45" s="272">
        <v>12431</v>
      </c>
      <c r="EN45" s="272">
        <v>15180</v>
      </c>
      <c r="EO45" s="272">
        <v>0</v>
      </c>
      <c r="EP45" s="455">
        <f t="shared" si="12"/>
        <v>150503</v>
      </c>
      <c r="EQ45" s="272">
        <v>2829777</v>
      </c>
      <c r="ER45" s="272">
        <v>-286190</v>
      </c>
      <c r="ES45" s="272">
        <v>853765</v>
      </c>
      <c r="ET45" s="272">
        <v>575395</v>
      </c>
      <c r="EU45" s="272">
        <v>87589</v>
      </c>
      <c r="EV45" s="272">
        <v>478078</v>
      </c>
      <c r="EW45" s="455">
        <f t="shared" si="13"/>
        <v>292547</v>
      </c>
      <c r="EX45" s="272">
        <v>291825</v>
      </c>
      <c r="EY45" s="272">
        <v>1800</v>
      </c>
      <c r="EZ45" s="272">
        <v>285949</v>
      </c>
      <c r="FA45" s="272">
        <v>722</v>
      </c>
      <c r="FB45" s="272"/>
      <c r="FC45" s="272">
        <v>490932</v>
      </c>
      <c r="FD45" s="272">
        <v>370070</v>
      </c>
      <c r="FE45" s="272">
        <v>143149</v>
      </c>
      <c r="FF45" s="272">
        <v>304931</v>
      </c>
      <c r="FG45" s="455">
        <f t="shared" si="14"/>
        <v>150888</v>
      </c>
      <c r="FH45" s="272">
        <v>3028800</v>
      </c>
      <c r="FI45" s="384">
        <f t="shared" si="15"/>
        <v>3.3</v>
      </c>
      <c r="FJ45" s="272">
        <v>2637482</v>
      </c>
      <c r="FK45" s="272"/>
      <c r="FL45" s="272">
        <v>1071519</v>
      </c>
      <c r="FM45" s="272">
        <v>2294415</v>
      </c>
      <c r="FN45" s="460">
        <v>0.46500000000000002</v>
      </c>
      <c r="FO45" s="388">
        <v>82.8</v>
      </c>
      <c r="FP45" s="388">
        <v>31.8</v>
      </c>
      <c r="FQ45" s="388">
        <v>3.2</v>
      </c>
      <c r="FR45" s="388">
        <v>17.8</v>
      </c>
      <c r="FS45" s="388">
        <v>14.7</v>
      </c>
      <c r="FT45" s="388">
        <v>10.7</v>
      </c>
      <c r="FU45" s="388">
        <v>2.9</v>
      </c>
      <c r="FV45" s="388">
        <v>12.7</v>
      </c>
      <c r="FW45" s="272">
        <v>5844748</v>
      </c>
      <c r="FX45" s="384">
        <f t="shared" si="16"/>
        <v>221.6</v>
      </c>
      <c r="FY45" s="272">
        <v>1101452</v>
      </c>
      <c r="FZ45" s="272">
        <v>493309</v>
      </c>
      <c r="GA45" s="272">
        <v>172695</v>
      </c>
      <c r="GB45" s="272">
        <v>435448</v>
      </c>
      <c r="GC45" s="272"/>
      <c r="GD45" s="272">
        <v>1158749</v>
      </c>
      <c r="GE45" s="384">
        <f>ROUND(GD45/FJ45*100,1)</f>
        <v>43.9</v>
      </c>
      <c r="GF45" s="388">
        <v>97.2</v>
      </c>
      <c r="GG45" s="388">
        <v>40.799999999999997</v>
      </c>
      <c r="GH45" s="388">
        <v>94.1</v>
      </c>
      <c r="GI45" s="272">
        <v>110</v>
      </c>
    </row>
    <row r="46" spans="2:191" x14ac:dyDescent="0.15">
      <c r="B46" s="89" t="s">
        <v>85</v>
      </c>
      <c r="C46" s="272">
        <v>1600423</v>
      </c>
      <c r="D46" s="455">
        <f t="shared" si="0"/>
        <v>787810</v>
      </c>
      <c r="E46" s="272">
        <v>6867</v>
      </c>
      <c r="F46" s="272">
        <v>780943</v>
      </c>
      <c r="G46" s="455">
        <f t="shared" si="1"/>
        <v>53233</v>
      </c>
      <c r="H46" s="272">
        <v>14014</v>
      </c>
      <c r="I46" s="272">
        <v>39219</v>
      </c>
      <c r="J46" s="272">
        <v>633138</v>
      </c>
      <c r="K46" s="272">
        <v>331985</v>
      </c>
      <c r="L46" s="272">
        <v>228518</v>
      </c>
      <c r="M46" s="272">
        <v>72635</v>
      </c>
      <c r="N46" s="272">
        <v>52308</v>
      </c>
      <c r="O46" s="272">
        <v>24</v>
      </c>
      <c r="P46" s="272">
        <v>18</v>
      </c>
      <c r="Q46" s="272">
        <v>6</v>
      </c>
      <c r="R46" s="272">
        <v>99431</v>
      </c>
      <c r="S46" s="272">
        <v>59168</v>
      </c>
      <c r="T46" s="455">
        <f t="shared" si="2"/>
        <v>174213</v>
      </c>
      <c r="U46" s="272">
        <v>79224</v>
      </c>
      <c r="V46" s="272"/>
      <c r="W46" s="272"/>
      <c r="X46" s="272"/>
      <c r="Y46" s="272">
        <v>33966</v>
      </c>
      <c r="Z46" s="272">
        <v>0</v>
      </c>
      <c r="AA46" s="272">
        <v>61023</v>
      </c>
      <c r="AB46" s="272"/>
      <c r="AC46" s="272">
        <v>1329437</v>
      </c>
      <c r="AD46" s="272">
        <v>1170757</v>
      </c>
      <c r="AE46" s="272">
        <v>158680</v>
      </c>
      <c r="AF46" s="272">
        <v>2574</v>
      </c>
      <c r="AG46" s="272">
        <v>52181</v>
      </c>
      <c r="AH46" s="455">
        <f t="shared" si="3"/>
        <v>42443</v>
      </c>
      <c r="AI46" s="272">
        <v>35322</v>
      </c>
      <c r="AJ46" s="272">
        <v>7121</v>
      </c>
      <c r="AK46" s="272">
        <v>126042</v>
      </c>
      <c r="AL46" s="455">
        <f t="shared" si="4"/>
        <v>40018</v>
      </c>
      <c r="AM46" s="272">
        <v>0</v>
      </c>
      <c r="AN46" s="272">
        <v>6307</v>
      </c>
      <c r="AO46" s="272">
        <v>0</v>
      </c>
      <c r="AP46" s="272">
        <v>33711</v>
      </c>
      <c r="AQ46" s="272">
        <v>34310</v>
      </c>
      <c r="AR46" s="272">
        <v>0</v>
      </c>
      <c r="AS46" s="272">
        <v>0</v>
      </c>
      <c r="AT46" s="272">
        <v>799187</v>
      </c>
      <c r="AU46" s="272">
        <v>208254</v>
      </c>
      <c r="AV46" s="272">
        <v>3154</v>
      </c>
      <c r="AW46" s="272">
        <v>141804</v>
      </c>
      <c r="AX46" s="272">
        <v>590933</v>
      </c>
      <c r="AY46" s="272">
        <v>490326</v>
      </c>
      <c r="AZ46" s="272">
        <v>126462</v>
      </c>
      <c r="BA46" s="272">
        <v>53509</v>
      </c>
      <c r="BB46" s="272">
        <v>10180</v>
      </c>
      <c r="BC46" s="272">
        <v>322027</v>
      </c>
      <c r="BD46" s="272">
        <v>0</v>
      </c>
      <c r="BE46" s="272">
        <v>0</v>
      </c>
      <c r="BF46" s="272">
        <v>322027</v>
      </c>
      <c r="BG46" s="272">
        <v>0</v>
      </c>
      <c r="BH46" s="272">
        <v>65586</v>
      </c>
      <c r="BI46" s="272">
        <v>65496</v>
      </c>
      <c r="BJ46" s="272">
        <v>23894</v>
      </c>
      <c r="BK46" s="272">
        <v>0</v>
      </c>
      <c r="BL46" s="272">
        <v>0</v>
      </c>
      <c r="BM46" s="272">
        <v>0</v>
      </c>
      <c r="BN46" s="272">
        <v>1597000</v>
      </c>
      <c r="BO46" s="455">
        <f t="shared" si="5"/>
        <v>1444200</v>
      </c>
      <c r="BP46" s="455">
        <f t="shared" si="6"/>
        <v>152800</v>
      </c>
      <c r="BQ46" s="272">
        <v>152800</v>
      </c>
      <c r="BR46" s="272"/>
      <c r="BS46" s="272"/>
      <c r="BT46" s="272">
        <v>0</v>
      </c>
      <c r="BU46" s="272">
        <v>6371080</v>
      </c>
      <c r="BV46" s="272"/>
      <c r="BW46" s="272">
        <v>1270913</v>
      </c>
      <c r="BX46" s="272">
        <v>879945</v>
      </c>
      <c r="BY46" s="272">
        <v>35958</v>
      </c>
      <c r="BZ46" s="272">
        <v>37491</v>
      </c>
      <c r="CA46" s="272">
        <v>198286</v>
      </c>
      <c r="CB46" s="272">
        <v>29644</v>
      </c>
      <c r="CC46" s="272">
        <v>134473</v>
      </c>
      <c r="CD46" s="272">
        <v>32230</v>
      </c>
      <c r="CE46" s="272">
        <v>0</v>
      </c>
      <c r="CF46" s="272">
        <v>81</v>
      </c>
      <c r="CG46" s="272">
        <v>1697</v>
      </c>
      <c r="CH46" s="272">
        <v>414131</v>
      </c>
      <c r="CI46" s="272">
        <v>167698</v>
      </c>
      <c r="CJ46" s="455">
        <f t="shared" si="7"/>
        <v>246433</v>
      </c>
      <c r="CK46" s="272">
        <v>629225</v>
      </c>
      <c r="CL46" s="272">
        <v>304080</v>
      </c>
      <c r="CM46" s="272">
        <v>36657</v>
      </c>
      <c r="CN46" s="272">
        <v>185093</v>
      </c>
      <c r="CO46" s="272">
        <v>7677</v>
      </c>
      <c r="CP46" s="272">
        <v>393627</v>
      </c>
      <c r="CQ46" s="272">
        <v>160874</v>
      </c>
      <c r="CR46" s="272">
        <v>122368</v>
      </c>
      <c r="CS46" s="272">
        <v>122368</v>
      </c>
      <c r="CT46" s="455">
        <f t="shared" si="8"/>
        <v>8273</v>
      </c>
      <c r="CU46" s="272">
        <v>720</v>
      </c>
      <c r="CV46" s="272">
        <v>7553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2750280</v>
      </c>
      <c r="DD46" s="272">
        <v>306950</v>
      </c>
      <c r="DE46" s="272">
        <v>2435554</v>
      </c>
      <c r="DF46" s="272">
        <v>7776</v>
      </c>
      <c r="DG46" s="272">
        <v>0</v>
      </c>
      <c r="DH46" s="272">
        <v>0</v>
      </c>
      <c r="DI46" s="272">
        <v>305870</v>
      </c>
      <c r="DJ46" s="272">
        <v>44666</v>
      </c>
      <c r="DK46" s="272">
        <v>106683</v>
      </c>
      <c r="DL46" s="272">
        <v>154521</v>
      </c>
      <c r="DM46" s="272">
        <v>6427</v>
      </c>
      <c r="DN46" s="272">
        <v>5268</v>
      </c>
      <c r="DO46" s="272">
        <v>5268</v>
      </c>
      <c r="DP46" s="272">
        <v>0</v>
      </c>
      <c r="DQ46" s="272">
        <v>0</v>
      </c>
      <c r="DR46" s="272">
        <v>0</v>
      </c>
      <c r="DS46" s="272">
        <v>0</v>
      </c>
      <c r="DT46" s="272">
        <v>275872</v>
      </c>
      <c r="DU46" s="272">
        <v>126997</v>
      </c>
      <c r="DV46" s="455">
        <f t="shared" si="11"/>
        <v>0</v>
      </c>
      <c r="DW46" s="272">
        <v>0</v>
      </c>
      <c r="DX46" s="272">
        <v>0</v>
      </c>
      <c r="DY46" s="272">
        <v>0</v>
      </c>
      <c r="DZ46" s="272">
        <v>61036</v>
      </c>
      <c r="EA46" s="272">
        <v>59655</v>
      </c>
      <c r="EB46" s="272"/>
      <c r="EC46" s="272">
        <v>0</v>
      </c>
      <c r="ED46" s="272">
        <v>6252308</v>
      </c>
      <c r="EF46" s="272">
        <v>118772</v>
      </c>
      <c r="EG46" s="272">
        <v>0</v>
      </c>
      <c r="EH46" s="272">
        <v>118772</v>
      </c>
      <c r="EI46" s="272">
        <v>-11724</v>
      </c>
      <c r="EJ46" s="272">
        <v>32942</v>
      </c>
      <c r="EL46" s="272"/>
      <c r="EM46" s="272">
        <v>15033</v>
      </c>
      <c r="EN46" s="272">
        <v>0</v>
      </c>
      <c r="EO46" s="272">
        <v>53860</v>
      </c>
      <c r="EP46" s="455">
        <f t="shared" si="12"/>
        <v>84522</v>
      </c>
      <c r="EQ46" s="272">
        <v>3206078</v>
      </c>
      <c r="ER46" s="272">
        <v>-288608</v>
      </c>
      <c r="ES46" s="272">
        <v>1210000</v>
      </c>
      <c r="ET46" s="272">
        <v>824442</v>
      </c>
      <c r="EU46" s="272">
        <v>56653</v>
      </c>
      <c r="EV46" s="272">
        <v>414131</v>
      </c>
      <c r="EW46" s="455">
        <f t="shared" si="13"/>
        <v>284027</v>
      </c>
      <c r="EX46" s="272">
        <v>284027</v>
      </c>
      <c r="EY46" s="272">
        <v>31000</v>
      </c>
      <c r="EZ46" s="272">
        <v>250651</v>
      </c>
      <c r="FA46" s="272">
        <v>0</v>
      </c>
      <c r="FB46" s="272"/>
      <c r="FC46" s="272">
        <v>523027</v>
      </c>
      <c r="FD46" s="272">
        <v>377106</v>
      </c>
      <c r="FE46" s="272">
        <v>160874</v>
      </c>
      <c r="FF46" s="272">
        <v>269213</v>
      </c>
      <c r="FG46" s="455">
        <f t="shared" si="14"/>
        <v>241757</v>
      </c>
      <c r="FH46" s="272">
        <v>3375914</v>
      </c>
      <c r="FI46" s="384">
        <f t="shared" si="15"/>
        <v>3.8</v>
      </c>
      <c r="FJ46" s="272">
        <v>3134007</v>
      </c>
      <c r="FK46" s="272"/>
      <c r="FL46" s="272">
        <v>1483135</v>
      </c>
      <c r="FM46" s="272">
        <v>2658188</v>
      </c>
      <c r="FN46" s="460">
        <v>0.52800000000000002</v>
      </c>
      <c r="FO46" s="388">
        <v>82.5</v>
      </c>
      <c r="FP46" s="388">
        <v>39.299999999999997</v>
      </c>
      <c r="FQ46" s="388">
        <v>1.8</v>
      </c>
      <c r="FR46" s="388">
        <v>13.5</v>
      </c>
      <c r="FS46" s="388">
        <v>15.2</v>
      </c>
      <c r="FT46" s="388">
        <v>8.8000000000000007</v>
      </c>
      <c r="FU46" s="388">
        <v>3.5</v>
      </c>
      <c r="FV46" s="388">
        <v>9.1999999999999993</v>
      </c>
      <c r="FW46" s="272">
        <v>6937826</v>
      </c>
      <c r="FX46" s="384">
        <f t="shared" si="16"/>
        <v>221.4</v>
      </c>
      <c r="FY46" s="272">
        <v>3098920</v>
      </c>
      <c r="FZ46" s="272">
        <v>954774</v>
      </c>
      <c r="GA46" s="272">
        <v>368220</v>
      </c>
      <c r="GB46" s="272">
        <v>1775926</v>
      </c>
      <c r="GC46" s="272"/>
      <c r="GD46" s="272">
        <v>1146568</v>
      </c>
      <c r="GE46" s="384">
        <f>ROUND(GD46/FJ46*100,1)</f>
        <v>36.6</v>
      </c>
      <c r="GF46" s="388">
        <v>98.2</v>
      </c>
      <c r="GG46" s="388">
        <v>30.6</v>
      </c>
      <c r="GH46" s="388">
        <v>95.6</v>
      </c>
      <c r="GI46" s="272">
        <v>153</v>
      </c>
    </row>
    <row r="47" spans="2:191" x14ac:dyDescent="0.15">
      <c r="B47" s="89" t="s">
        <v>87</v>
      </c>
      <c r="C47" s="272">
        <v>738939</v>
      </c>
      <c r="D47" s="455">
        <f t="shared" si="0"/>
        <v>365271</v>
      </c>
      <c r="E47" s="272">
        <v>3744</v>
      </c>
      <c r="F47" s="272">
        <v>361527</v>
      </c>
      <c r="G47" s="455">
        <f t="shared" si="1"/>
        <v>61014</v>
      </c>
      <c r="H47" s="272">
        <v>8685</v>
      </c>
      <c r="I47" s="272">
        <v>52329</v>
      </c>
      <c r="J47" s="272">
        <v>278530</v>
      </c>
      <c r="K47" s="272">
        <v>86294</v>
      </c>
      <c r="L47" s="272">
        <v>137035</v>
      </c>
      <c r="M47" s="272">
        <v>55201</v>
      </c>
      <c r="N47" s="272">
        <v>17618</v>
      </c>
      <c r="O47" s="272">
        <v>0</v>
      </c>
      <c r="P47" s="272">
        <v>0</v>
      </c>
      <c r="Q47" s="272">
        <v>0</v>
      </c>
      <c r="R47" s="272">
        <v>47347</v>
      </c>
      <c r="S47" s="272">
        <v>26945</v>
      </c>
      <c r="T47" s="455">
        <f t="shared" si="2"/>
        <v>104872</v>
      </c>
      <c r="U47" s="272">
        <v>39107</v>
      </c>
      <c r="V47" s="272"/>
      <c r="W47" s="272"/>
      <c r="X47" s="272"/>
      <c r="Y47" s="272">
        <v>34787</v>
      </c>
      <c r="Z47" s="272">
        <v>0</v>
      </c>
      <c r="AA47" s="272">
        <v>30978</v>
      </c>
      <c r="AB47" s="272"/>
      <c r="AC47" s="272">
        <v>1099112</v>
      </c>
      <c r="AD47" s="272">
        <v>940242</v>
      </c>
      <c r="AE47" s="272">
        <v>158870</v>
      </c>
      <c r="AF47" s="272">
        <v>1170</v>
      </c>
      <c r="AG47" s="272">
        <v>25704</v>
      </c>
      <c r="AH47" s="455">
        <f t="shared" si="3"/>
        <v>21749</v>
      </c>
      <c r="AI47" s="272">
        <v>19005</v>
      </c>
      <c r="AJ47" s="272">
        <v>2744</v>
      </c>
      <c r="AK47" s="272">
        <v>60468</v>
      </c>
      <c r="AL47" s="455">
        <f t="shared" si="4"/>
        <v>35768</v>
      </c>
      <c r="AM47" s="272">
        <v>0</v>
      </c>
      <c r="AN47" s="272">
        <v>17847</v>
      </c>
      <c r="AO47" s="272">
        <v>0</v>
      </c>
      <c r="AP47" s="272">
        <v>17921</v>
      </c>
      <c r="AQ47" s="272">
        <v>0</v>
      </c>
      <c r="AR47" s="272">
        <v>0</v>
      </c>
      <c r="AS47" s="272">
        <v>0</v>
      </c>
      <c r="AT47" s="272">
        <v>310154</v>
      </c>
      <c r="AU47" s="272">
        <v>124074</v>
      </c>
      <c r="AV47" s="272">
        <v>8924</v>
      </c>
      <c r="AW47" s="272">
        <v>88225</v>
      </c>
      <c r="AX47" s="272">
        <v>186080</v>
      </c>
      <c r="AY47" s="272">
        <v>127123</v>
      </c>
      <c r="AZ47" s="272">
        <v>39312</v>
      </c>
      <c r="BA47" s="272">
        <v>273</v>
      </c>
      <c r="BB47" s="272">
        <v>32528</v>
      </c>
      <c r="BC47" s="272">
        <v>98178</v>
      </c>
      <c r="BD47" s="272">
        <v>23000</v>
      </c>
      <c r="BE47" s="272">
        <v>31239</v>
      </c>
      <c r="BF47" s="272">
        <v>43887</v>
      </c>
      <c r="BG47" s="272">
        <v>0</v>
      </c>
      <c r="BH47" s="272">
        <v>20559</v>
      </c>
      <c r="BI47" s="272">
        <v>20559</v>
      </c>
      <c r="BJ47" s="272">
        <v>21372</v>
      </c>
      <c r="BK47" s="272">
        <v>0</v>
      </c>
      <c r="BL47" s="272">
        <v>0</v>
      </c>
      <c r="BM47" s="272">
        <v>0</v>
      </c>
      <c r="BN47" s="272">
        <v>84100</v>
      </c>
      <c r="BO47" s="455">
        <f t="shared" si="5"/>
        <v>29300</v>
      </c>
      <c r="BP47" s="455">
        <f t="shared" si="6"/>
        <v>54800</v>
      </c>
      <c r="BQ47" s="272">
        <v>54800</v>
      </c>
      <c r="BR47" s="272"/>
      <c r="BS47" s="272"/>
      <c r="BT47" s="272">
        <v>0</v>
      </c>
      <c r="BU47" s="272">
        <v>2705564</v>
      </c>
      <c r="BV47" s="272"/>
      <c r="BW47" s="272">
        <v>852259</v>
      </c>
      <c r="BX47" s="272">
        <v>598323</v>
      </c>
      <c r="BY47" s="272">
        <v>22904</v>
      </c>
      <c r="BZ47" s="272">
        <v>16511</v>
      </c>
      <c r="CA47" s="272">
        <v>147890</v>
      </c>
      <c r="CB47" s="272">
        <v>14275</v>
      </c>
      <c r="CC47" s="272">
        <v>71290</v>
      </c>
      <c r="CD47" s="272">
        <v>61022</v>
      </c>
      <c r="CE47" s="272">
        <v>0</v>
      </c>
      <c r="CF47" s="272">
        <v>0</v>
      </c>
      <c r="CG47" s="272">
        <v>1088</v>
      </c>
      <c r="CH47" s="272">
        <v>268366</v>
      </c>
      <c r="CI47" s="272">
        <v>112070</v>
      </c>
      <c r="CJ47" s="455">
        <f t="shared" si="7"/>
        <v>156296</v>
      </c>
      <c r="CK47" s="272">
        <v>433717</v>
      </c>
      <c r="CL47" s="272">
        <v>188436</v>
      </c>
      <c r="CM47" s="272">
        <v>28718</v>
      </c>
      <c r="CN47" s="272">
        <v>131868</v>
      </c>
      <c r="CO47" s="272">
        <v>6842</v>
      </c>
      <c r="CP47" s="272">
        <v>289567</v>
      </c>
      <c r="CQ47" s="272">
        <v>104665</v>
      </c>
      <c r="CR47" s="272">
        <v>90530</v>
      </c>
      <c r="CS47" s="272">
        <v>83377</v>
      </c>
      <c r="CT47" s="455">
        <f t="shared" si="8"/>
        <v>25616</v>
      </c>
      <c r="CU47" s="272">
        <v>5616</v>
      </c>
      <c r="CV47" s="272">
        <v>20000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400833</v>
      </c>
      <c r="DD47" s="272">
        <v>103850</v>
      </c>
      <c r="DE47" s="272">
        <v>279723</v>
      </c>
      <c r="DF47" s="272">
        <v>17260</v>
      </c>
      <c r="DG47" s="272">
        <v>0</v>
      </c>
      <c r="DH47" s="272">
        <v>0</v>
      </c>
      <c r="DI47" s="272">
        <v>119908</v>
      </c>
      <c r="DJ47" s="272">
        <v>23170</v>
      </c>
      <c r="DK47" s="272">
        <v>6806</v>
      </c>
      <c r="DL47" s="272">
        <v>89932</v>
      </c>
      <c r="DM47" s="272">
        <v>1300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164068</v>
      </c>
      <c r="DU47" s="272">
        <v>57842</v>
      </c>
      <c r="DV47" s="455">
        <f t="shared" si="11"/>
        <v>0</v>
      </c>
      <c r="DW47" s="272">
        <v>0</v>
      </c>
      <c r="DX47" s="272">
        <v>0</v>
      </c>
      <c r="DY47" s="272">
        <v>0</v>
      </c>
      <c r="DZ47" s="272">
        <v>44895</v>
      </c>
      <c r="EA47" s="272">
        <v>31151</v>
      </c>
      <c r="EB47" s="272"/>
      <c r="EC47" s="272">
        <v>0</v>
      </c>
      <c r="ED47" s="272">
        <v>2684750</v>
      </c>
      <c r="EF47" s="272">
        <v>20814</v>
      </c>
      <c r="EG47" s="272">
        <v>0</v>
      </c>
      <c r="EH47" s="272">
        <v>20814</v>
      </c>
      <c r="EI47" s="272">
        <v>255</v>
      </c>
      <c r="EJ47" s="272">
        <v>425</v>
      </c>
      <c r="EL47" s="272"/>
      <c r="EM47" s="272">
        <v>7605</v>
      </c>
      <c r="EN47" s="272">
        <v>77143</v>
      </c>
      <c r="EO47" s="272">
        <v>667</v>
      </c>
      <c r="EP47" s="455">
        <f t="shared" si="12"/>
        <v>60826</v>
      </c>
      <c r="EQ47" s="272">
        <v>1991440</v>
      </c>
      <c r="ER47" s="272">
        <v>-192266</v>
      </c>
      <c r="ES47" s="272">
        <v>829248</v>
      </c>
      <c r="ET47" s="272">
        <v>577124</v>
      </c>
      <c r="EU47" s="272">
        <v>36429</v>
      </c>
      <c r="EV47" s="272">
        <v>268366</v>
      </c>
      <c r="EW47" s="455">
        <f t="shared" si="13"/>
        <v>143768</v>
      </c>
      <c r="EX47" s="272">
        <v>143768</v>
      </c>
      <c r="EY47" s="272">
        <v>8325</v>
      </c>
      <c r="EZ47" s="272">
        <v>126783</v>
      </c>
      <c r="FA47" s="272">
        <v>0</v>
      </c>
      <c r="FB47" s="272"/>
      <c r="FC47" s="272">
        <v>364702</v>
      </c>
      <c r="FD47" s="272">
        <v>271526</v>
      </c>
      <c r="FE47" s="272">
        <v>104665</v>
      </c>
      <c r="FF47" s="272">
        <v>155268</v>
      </c>
      <c r="FG47" s="455">
        <f t="shared" si="14"/>
        <v>93585</v>
      </c>
      <c r="FH47" s="272">
        <v>2162892</v>
      </c>
      <c r="FI47" s="384">
        <f t="shared" si="15"/>
        <v>1.1000000000000001</v>
      </c>
      <c r="FJ47" s="272">
        <v>1852644</v>
      </c>
      <c r="FK47" s="272"/>
      <c r="FL47" s="272">
        <v>689804</v>
      </c>
      <c r="FM47" s="272">
        <v>1632673</v>
      </c>
      <c r="FN47" s="460">
        <v>0.41799999999999998</v>
      </c>
      <c r="FO47" s="388">
        <v>91.2</v>
      </c>
      <c r="FP47" s="388">
        <v>44.6</v>
      </c>
      <c r="FQ47" s="388">
        <v>2</v>
      </c>
      <c r="FR47" s="388">
        <v>14.6</v>
      </c>
      <c r="FS47" s="388">
        <v>14.7</v>
      </c>
      <c r="FT47" s="388">
        <v>11.7</v>
      </c>
      <c r="FU47" s="388">
        <v>3.3</v>
      </c>
      <c r="FV47" s="388">
        <v>10</v>
      </c>
      <c r="FW47" s="272">
        <v>3009914</v>
      </c>
      <c r="FX47" s="384">
        <f t="shared" si="16"/>
        <v>162.5</v>
      </c>
      <c r="FY47" s="272">
        <v>1548440</v>
      </c>
      <c r="FZ47" s="272">
        <v>474817</v>
      </c>
      <c r="GA47" s="272">
        <v>267922</v>
      </c>
      <c r="GB47" s="272">
        <v>805701</v>
      </c>
      <c r="GC47" s="272"/>
      <c r="GD47" s="272"/>
      <c r="GE47" s="384"/>
      <c r="GF47" s="388">
        <v>99.2</v>
      </c>
      <c r="GG47" s="388">
        <v>27.5</v>
      </c>
      <c r="GH47" s="388">
        <v>96.7</v>
      </c>
      <c r="GI47" s="272">
        <v>100</v>
      </c>
    </row>
    <row r="48" spans="2:191" x14ac:dyDescent="0.15">
      <c r="B48" s="89" t="s">
        <v>839</v>
      </c>
      <c r="C48" s="272">
        <v>6133837</v>
      </c>
      <c r="D48" s="455">
        <f t="shared" si="0"/>
        <v>2062484</v>
      </c>
      <c r="E48" s="272">
        <v>19032</v>
      </c>
      <c r="F48" s="272">
        <v>2043452</v>
      </c>
      <c r="G48" s="455">
        <f t="shared" si="1"/>
        <v>541598</v>
      </c>
      <c r="H48" s="272">
        <v>105393</v>
      </c>
      <c r="I48" s="272">
        <v>436205</v>
      </c>
      <c r="J48" s="272">
        <v>2972050</v>
      </c>
      <c r="K48" s="272">
        <v>1462594</v>
      </c>
      <c r="L48" s="272">
        <v>994300</v>
      </c>
      <c r="M48" s="272">
        <v>505165</v>
      </c>
      <c r="N48" s="272">
        <v>172192</v>
      </c>
      <c r="O48" s="272">
        <v>346659</v>
      </c>
      <c r="P48" s="272">
        <v>227923</v>
      </c>
      <c r="Q48" s="272">
        <v>118736</v>
      </c>
      <c r="R48" s="272">
        <v>281624</v>
      </c>
      <c r="S48" s="272">
        <v>198871</v>
      </c>
      <c r="T48" s="455">
        <f t="shared" si="2"/>
        <v>351549</v>
      </c>
      <c r="U48" s="272">
        <v>207458</v>
      </c>
      <c r="V48" s="272"/>
      <c r="W48" s="272"/>
      <c r="X48" s="272"/>
      <c r="Y48" s="272">
        <v>18674</v>
      </c>
      <c r="Z48" s="272">
        <v>0</v>
      </c>
      <c r="AA48" s="272">
        <v>125417</v>
      </c>
      <c r="AB48" s="272"/>
      <c r="AC48" s="272">
        <v>576459</v>
      </c>
      <c r="AD48" s="272">
        <v>405599</v>
      </c>
      <c r="AE48" s="272">
        <v>170860</v>
      </c>
      <c r="AF48" s="272">
        <v>10683</v>
      </c>
      <c r="AG48" s="272">
        <v>34610</v>
      </c>
      <c r="AH48" s="455">
        <f t="shared" si="3"/>
        <v>174152</v>
      </c>
      <c r="AI48" s="272">
        <v>124584</v>
      </c>
      <c r="AJ48" s="272">
        <v>49568</v>
      </c>
      <c r="AK48" s="272">
        <v>318161</v>
      </c>
      <c r="AL48" s="455">
        <f t="shared" si="4"/>
        <v>92321</v>
      </c>
      <c r="AM48" s="272">
        <v>0</v>
      </c>
      <c r="AN48" s="272">
        <v>40850</v>
      </c>
      <c r="AO48" s="272">
        <v>0</v>
      </c>
      <c r="AP48" s="272">
        <v>51471</v>
      </c>
      <c r="AQ48" s="272">
        <v>119591</v>
      </c>
      <c r="AR48" s="272">
        <v>0</v>
      </c>
      <c r="AS48" s="272">
        <v>0</v>
      </c>
      <c r="AT48" s="272">
        <v>455514</v>
      </c>
      <c r="AU48" s="272">
        <v>111666</v>
      </c>
      <c r="AV48" s="272">
        <v>20426</v>
      </c>
      <c r="AW48" s="272">
        <v>1375</v>
      </c>
      <c r="AX48" s="272">
        <v>343848</v>
      </c>
      <c r="AY48" s="272">
        <v>132927</v>
      </c>
      <c r="AZ48" s="272">
        <v>220746</v>
      </c>
      <c r="BA48" s="272">
        <v>49503</v>
      </c>
      <c r="BB48" s="272">
        <v>67474</v>
      </c>
      <c r="BC48" s="272">
        <v>419087</v>
      </c>
      <c r="BD48" s="272">
        <v>29069</v>
      </c>
      <c r="BE48" s="272">
        <v>0</v>
      </c>
      <c r="BF48" s="272">
        <v>385000</v>
      </c>
      <c r="BG48" s="272">
        <v>0</v>
      </c>
      <c r="BH48" s="272">
        <v>146121</v>
      </c>
      <c r="BI48" s="272">
        <v>146121</v>
      </c>
      <c r="BJ48" s="272">
        <v>80925</v>
      </c>
      <c r="BK48" s="272">
        <v>1520</v>
      </c>
      <c r="BL48" s="272">
        <v>24000</v>
      </c>
      <c r="BM48" s="272">
        <v>0</v>
      </c>
      <c r="BN48" s="272">
        <v>776600</v>
      </c>
      <c r="BO48" s="455">
        <f t="shared" si="5"/>
        <v>364300</v>
      </c>
      <c r="BP48" s="455">
        <f t="shared" si="6"/>
        <v>412300</v>
      </c>
      <c r="BQ48" s="272">
        <v>412300</v>
      </c>
      <c r="BR48" s="272"/>
      <c r="BS48" s="272"/>
      <c r="BT48" s="272">
        <v>0</v>
      </c>
      <c r="BU48" s="272">
        <v>10047542</v>
      </c>
      <c r="BV48" s="272"/>
      <c r="BW48" s="272">
        <v>2986052</v>
      </c>
      <c r="BX48" s="272">
        <v>2226547</v>
      </c>
      <c r="BY48" s="272">
        <v>198833</v>
      </c>
      <c r="BZ48" s="272">
        <v>30346</v>
      </c>
      <c r="CA48" s="272">
        <v>459808</v>
      </c>
      <c r="CB48" s="272">
        <v>106783</v>
      </c>
      <c r="CC48" s="272">
        <v>266999</v>
      </c>
      <c r="CD48" s="272">
        <v>77876</v>
      </c>
      <c r="CE48" s="272">
        <v>0</v>
      </c>
      <c r="CF48" s="272">
        <v>0</v>
      </c>
      <c r="CG48" s="272">
        <v>6409</v>
      </c>
      <c r="CH48" s="272">
        <v>743960</v>
      </c>
      <c r="CI48" s="272">
        <v>317191</v>
      </c>
      <c r="CJ48" s="455">
        <f t="shared" si="7"/>
        <v>426769</v>
      </c>
      <c r="CK48" s="272">
        <v>1430042</v>
      </c>
      <c r="CL48" s="272">
        <v>859026</v>
      </c>
      <c r="CM48" s="272">
        <v>94179</v>
      </c>
      <c r="CN48" s="272">
        <v>290792</v>
      </c>
      <c r="CO48" s="272">
        <v>53763</v>
      </c>
      <c r="CP48" s="272">
        <v>692387</v>
      </c>
      <c r="CQ48" s="272">
        <v>369329</v>
      </c>
      <c r="CR48" s="272">
        <v>125808</v>
      </c>
      <c r="CS48" s="272">
        <v>121731</v>
      </c>
      <c r="CT48" s="455">
        <f t="shared" si="8"/>
        <v>3963</v>
      </c>
      <c r="CU48" s="272">
        <v>3963</v>
      </c>
      <c r="CV48" s="272">
        <v>0</v>
      </c>
      <c r="CW48" s="455">
        <f t="shared" si="9"/>
        <v>0</v>
      </c>
      <c r="CX48" s="272">
        <v>0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1746514</v>
      </c>
      <c r="DD48" s="272">
        <v>356031</v>
      </c>
      <c r="DE48" s="272">
        <v>1360097</v>
      </c>
      <c r="DF48" s="272">
        <v>6386</v>
      </c>
      <c r="DG48" s="272">
        <v>24000</v>
      </c>
      <c r="DH48" s="272">
        <v>0</v>
      </c>
      <c r="DI48" s="272">
        <v>589350</v>
      </c>
      <c r="DJ48" s="272">
        <v>112478</v>
      </c>
      <c r="DK48" s="272">
        <v>22101</v>
      </c>
      <c r="DL48" s="272">
        <v>454771</v>
      </c>
      <c r="DM48" s="272">
        <v>473</v>
      </c>
      <c r="DN48" s="272">
        <v>0</v>
      </c>
      <c r="DO48" s="272">
        <v>0</v>
      </c>
      <c r="DP48" s="272">
        <v>0</v>
      </c>
      <c r="DQ48" s="272">
        <v>0</v>
      </c>
      <c r="DR48" s="272">
        <v>0</v>
      </c>
      <c r="DS48" s="272">
        <v>0</v>
      </c>
      <c r="DT48" s="272">
        <v>1014586</v>
      </c>
      <c r="DU48" s="272">
        <v>659039</v>
      </c>
      <c r="DV48" s="455">
        <f t="shared" si="11"/>
        <v>0</v>
      </c>
      <c r="DW48" s="272">
        <v>0</v>
      </c>
      <c r="DX48" s="272">
        <v>0</v>
      </c>
      <c r="DY48" s="272">
        <v>0</v>
      </c>
      <c r="DZ48" s="272">
        <v>175000</v>
      </c>
      <c r="EA48" s="272">
        <v>113534</v>
      </c>
      <c r="EB48" s="272"/>
      <c r="EC48" s="272">
        <v>0</v>
      </c>
      <c r="ED48" s="272">
        <v>9716935</v>
      </c>
      <c r="EF48" s="272">
        <v>330607</v>
      </c>
      <c r="EG48" s="272">
        <v>189091</v>
      </c>
      <c r="EH48" s="272">
        <v>141516</v>
      </c>
      <c r="EI48" s="272">
        <v>-4605</v>
      </c>
      <c r="EJ48" s="272">
        <v>78804</v>
      </c>
      <c r="EL48" s="272"/>
      <c r="EM48" s="272">
        <v>37124</v>
      </c>
      <c r="EN48" s="272">
        <v>419087</v>
      </c>
      <c r="EO48" s="272">
        <v>53004</v>
      </c>
      <c r="EP48" s="455">
        <f t="shared" si="12"/>
        <v>268180</v>
      </c>
      <c r="EQ48" s="272">
        <v>7354152</v>
      </c>
      <c r="ER48" s="272">
        <v>-1141888</v>
      </c>
      <c r="ES48" s="272">
        <v>2745064</v>
      </c>
      <c r="ET48" s="272">
        <v>1991555</v>
      </c>
      <c r="EU48" s="272">
        <v>155865</v>
      </c>
      <c r="EV48" s="272">
        <v>743960</v>
      </c>
      <c r="EW48" s="455">
        <f t="shared" si="13"/>
        <v>1099212</v>
      </c>
      <c r="EX48" s="272">
        <v>1099212</v>
      </c>
      <c r="EY48" s="272">
        <v>97965</v>
      </c>
      <c r="EZ48" s="272">
        <v>999970</v>
      </c>
      <c r="FA48" s="272">
        <v>0</v>
      </c>
      <c r="FB48" s="272"/>
      <c r="FC48" s="272">
        <v>1262860</v>
      </c>
      <c r="FD48" s="272">
        <v>669405</v>
      </c>
      <c r="FE48" s="272">
        <v>369329</v>
      </c>
      <c r="FF48" s="272">
        <v>994577</v>
      </c>
      <c r="FG48" s="455">
        <f t="shared" si="14"/>
        <v>494490</v>
      </c>
      <c r="FH48" s="272">
        <v>8165433</v>
      </c>
      <c r="FI48" s="384">
        <f t="shared" si="15"/>
        <v>2</v>
      </c>
      <c r="FJ48" s="272">
        <v>7115407</v>
      </c>
      <c r="FK48" s="272"/>
      <c r="FL48" s="272">
        <v>5056079</v>
      </c>
      <c r="FM48" s="272">
        <v>5475116</v>
      </c>
      <c r="FN48" s="460">
        <v>0.92</v>
      </c>
      <c r="FO48" s="388">
        <v>82.7</v>
      </c>
      <c r="FP48" s="388">
        <v>37.5</v>
      </c>
      <c r="FQ48" s="388">
        <v>2.2000000000000002</v>
      </c>
      <c r="FR48" s="388">
        <v>10.8</v>
      </c>
      <c r="FS48" s="388">
        <v>17.7</v>
      </c>
      <c r="FT48" s="388">
        <v>8.1</v>
      </c>
      <c r="FU48" s="388">
        <v>5.6</v>
      </c>
      <c r="FV48" s="388">
        <v>7.5</v>
      </c>
      <c r="FW48" s="272">
        <v>8085321</v>
      </c>
      <c r="FX48" s="384">
        <f t="shared" si="16"/>
        <v>113.6</v>
      </c>
      <c r="FY48" s="272">
        <v>7492470</v>
      </c>
      <c r="FZ48" s="272">
        <v>1946461</v>
      </c>
      <c r="GA48" s="272">
        <v>946282</v>
      </c>
      <c r="GB48" s="272">
        <v>4599727</v>
      </c>
      <c r="GC48" s="272"/>
      <c r="GD48" s="272">
        <v>5630553</v>
      </c>
      <c r="GE48" s="384">
        <f>ROUND(GD48/FJ48*100,1)</f>
        <v>79.099999999999994</v>
      </c>
      <c r="GF48" s="388">
        <v>96.3</v>
      </c>
      <c r="GG48" s="388">
        <v>22.3</v>
      </c>
      <c r="GH48" s="388">
        <v>88</v>
      </c>
      <c r="GI48" s="272">
        <v>362</v>
      </c>
    </row>
    <row r="49" spans="2:191" x14ac:dyDescent="0.15">
      <c r="B49" s="21" t="s">
        <v>89</v>
      </c>
      <c r="C49" s="272">
        <f>SUM(C38:C48)</f>
        <v>30241763</v>
      </c>
      <c r="D49" s="455">
        <f t="shared" si="0"/>
        <v>12253690</v>
      </c>
      <c r="E49" s="272">
        <f>SUM(E38:E48)</f>
        <v>114338</v>
      </c>
      <c r="F49" s="272">
        <f>SUM(F38:F48)</f>
        <v>12139352</v>
      </c>
      <c r="G49" s="455">
        <f t="shared" si="1"/>
        <v>2086203</v>
      </c>
      <c r="H49" s="272">
        <f t="shared" ref="H49:S49" si="25">SUM(H38:H48)</f>
        <v>354983</v>
      </c>
      <c r="I49" s="272">
        <f t="shared" si="25"/>
        <v>1731220</v>
      </c>
      <c r="J49" s="272">
        <f t="shared" si="25"/>
        <v>13370214</v>
      </c>
      <c r="K49" s="272">
        <f t="shared" si="25"/>
        <v>6427521</v>
      </c>
      <c r="L49" s="272">
        <f t="shared" si="25"/>
        <v>4543508</v>
      </c>
      <c r="M49" s="272">
        <f t="shared" si="25"/>
        <v>2338532</v>
      </c>
      <c r="N49" s="272">
        <f t="shared" si="25"/>
        <v>817748</v>
      </c>
      <c r="O49" s="272">
        <f t="shared" si="25"/>
        <v>1008489</v>
      </c>
      <c r="P49" s="272">
        <f t="shared" si="25"/>
        <v>691861</v>
      </c>
      <c r="Q49" s="272">
        <f t="shared" si="25"/>
        <v>316628</v>
      </c>
      <c r="R49" s="272">
        <f t="shared" si="25"/>
        <v>1461390</v>
      </c>
      <c r="S49" s="272">
        <f t="shared" si="25"/>
        <v>911567</v>
      </c>
      <c r="T49" s="455">
        <f t="shared" si="2"/>
        <v>2406188</v>
      </c>
      <c r="U49" s="272">
        <f>SUM(U38:U48)</f>
        <v>1237920</v>
      </c>
      <c r="V49" s="272"/>
      <c r="W49" s="272"/>
      <c r="X49" s="272"/>
      <c r="Y49" s="272">
        <f>SUM(Y38:Y48)</f>
        <v>331626</v>
      </c>
      <c r="Z49" s="272">
        <f>SUM(Z38:Z48)</f>
        <v>3135</v>
      </c>
      <c r="AA49" s="272">
        <f>SUM(AA38:AA48)</f>
        <v>833507</v>
      </c>
      <c r="AB49" s="272"/>
      <c r="AC49" s="272">
        <f>SUM(AC38:AC48)</f>
        <v>13453679</v>
      </c>
      <c r="AD49" s="272">
        <f>SUM(AD38:AD48)</f>
        <v>11366480</v>
      </c>
      <c r="AE49" s="272">
        <f>SUM(AE38:AE48)</f>
        <v>2087199</v>
      </c>
      <c r="AF49" s="272">
        <f>SUM(AF38:AF48)</f>
        <v>49642</v>
      </c>
      <c r="AG49" s="272">
        <f>SUM(AG38:AG48)</f>
        <v>411816</v>
      </c>
      <c r="AH49" s="455">
        <f t="shared" si="3"/>
        <v>1198090</v>
      </c>
      <c r="AI49" s="272">
        <f>SUM(AI38:AI48)</f>
        <v>953317</v>
      </c>
      <c r="AJ49" s="272">
        <f>SUM(AJ38:AJ48)</f>
        <v>244773</v>
      </c>
      <c r="AK49" s="272">
        <f>SUM(AK38:AK48)</f>
        <v>2442166</v>
      </c>
      <c r="AL49" s="455">
        <f t="shared" si="4"/>
        <v>705919</v>
      </c>
      <c r="AM49" s="272">
        <f t="shared" ref="AM49:BN49" si="26">SUM(AM38:AM48)</f>
        <v>44163</v>
      </c>
      <c r="AN49" s="272">
        <f t="shared" si="26"/>
        <v>311664</v>
      </c>
      <c r="AO49" s="272">
        <f t="shared" si="26"/>
        <v>0</v>
      </c>
      <c r="AP49" s="272">
        <f t="shared" si="26"/>
        <v>350092</v>
      </c>
      <c r="AQ49" s="272">
        <f t="shared" si="26"/>
        <v>837390</v>
      </c>
      <c r="AR49" s="272">
        <f t="shared" si="26"/>
        <v>1712</v>
      </c>
      <c r="AS49" s="272">
        <f t="shared" si="26"/>
        <v>0</v>
      </c>
      <c r="AT49" s="272">
        <f t="shared" si="26"/>
        <v>5585193</v>
      </c>
      <c r="AU49" s="272">
        <f t="shared" si="26"/>
        <v>1549505</v>
      </c>
      <c r="AV49" s="272">
        <f t="shared" si="26"/>
        <v>139273</v>
      </c>
      <c r="AW49" s="272">
        <f t="shared" si="26"/>
        <v>729516</v>
      </c>
      <c r="AX49" s="272">
        <f t="shared" si="26"/>
        <v>4035688</v>
      </c>
      <c r="AY49" s="272">
        <f t="shared" si="26"/>
        <v>2294927</v>
      </c>
      <c r="AZ49" s="272">
        <f t="shared" si="26"/>
        <v>1285073</v>
      </c>
      <c r="BA49" s="272">
        <f t="shared" si="26"/>
        <v>272364</v>
      </c>
      <c r="BB49" s="272">
        <f t="shared" si="26"/>
        <v>2448713</v>
      </c>
      <c r="BC49" s="272">
        <f t="shared" si="26"/>
        <v>3477085</v>
      </c>
      <c r="BD49" s="272">
        <f t="shared" si="26"/>
        <v>713069</v>
      </c>
      <c r="BE49" s="272">
        <f t="shared" si="26"/>
        <v>82477</v>
      </c>
      <c r="BF49" s="272">
        <f t="shared" si="26"/>
        <v>2374524</v>
      </c>
      <c r="BG49" s="272">
        <f t="shared" si="26"/>
        <v>201694</v>
      </c>
      <c r="BH49" s="272">
        <f t="shared" si="26"/>
        <v>1868198</v>
      </c>
      <c r="BI49" s="272">
        <f t="shared" si="26"/>
        <v>1298795</v>
      </c>
      <c r="BJ49" s="272">
        <f t="shared" si="26"/>
        <v>1301092</v>
      </c>
      <c r="BK49" s="272">
        <f t="shared" si="26"/>
        <v>37049</v>
      </c>
      <c r="BL49" s="272">
        <f t="shared" si="26"/>
        <v>29198</v>
      </c>
      <c r="BM49" s="272">
        <f t="shared" si="26"/>
        <v>0</v>
      </c>
      <c r="BN49" s="272">
        <f t="shared" si="26"/>
        <v>10614440</v>
      </c>
      <c r="BO49" s="455">
        <f t="shared" si="5"/>
        <v>8221240</v>
      </c>
      <c r="BP49" s="455">
        <f t="shared" si="6"/>
        <v>2393200</v>
      </c>
      <c r="BQ49" s="272">
        <f>SUM(BQ38:BQ48)</f>
        <v>2393200</v>
      </c>
      <c r="BR49" s="272"/>
      <c r="BS49" s="272"/>
      <c r="BT49" s="272">
        <v>0</v>
      </c>
      <c r="BU49" s="272">
        <f>SUM(BU38:BU48)</f>
        <v>78244528</v>
      </c>
      <c r="BV49" s="272"/>
      <c r="BW49" s="272">
        <f t="shared" ref="BW49:CI49" si="27">SUM(BW38:BW48)</f>
        <v>19640674</v>
      </c>
      <c r="BX49" s="272">
        <f t="shared" si="27"/>
        <v>14279959</v>
      </c>
      <c r="BY49" s="272">
        <f t="shared" si="27"/>
        <v>841714</v>
      </c>
      <c r="BZ49" s="272">
        <f t="shared" si="27"/>
        <v>465554</v>
      </c>
      <c r="CA49" s="272">
        <f t="shared" si="27"/>
        <v>3414900</v>
      </c>
      <c r="CB49" s="272">
        <f t="shared" si="27"/>
        <v>714271</v>
      </c>
      <c r="CC49" s="272">
        <f t="shared" si="27"/>
        <v>1714081</v>
      </c>
      <c r="CD49" s="272">
        <f t="shared" si="27"/>
        <v>843746</v>
      </c>
      <c r="CE49" s="272">
        <f t="shared" si="27"/>
        <v>57989</v>
      </c>
      <c r="CF49" s="272">
        <f t="shared" si="27"/>
        <v>2284</v>
      </c>
      <c r="CG49" s="272">
        <f t="shared" si="27"/>
        <v>78514</v>
      </c>
      <c r="CH49" s="272">
        <f t="shared" si="27"/>
        <v>6260502</v>
      </c>
      <c r="CI49" s="272">
        <f t="shared" si="27"/>
        <v>3141759</v>
      </c>
      <c r="CJ49" s="455">
        <f t="shared" si="7"/>
        <v>3118743</v>
      </c>
      <c r="CK49" s="272">
        <f t="shared" ref="CK49:CS49" si="28">SUM(CK38:CK48)</f>
        <v>9340351</v>
      </c>
      <c r="CL49" s="272">
        <f t="shared" si="28"/>
        <v>4384566</v>
      </c>
      <c r="CM49" s="272">
        <f t="shared" si="28"/>
        <v>734159</v>
      </c>
      <c r="CN49" s="272">
        <f t="shared" si="28"/>
        <v>2585704</v>
      </c>
      <c r="CO49" s="272">
        <f t="shared" si="28"/>
        <v>759848</v>
      </c>
      <c r="CP49" s="272">
        <f t="shared" si="28"/>
        <v>4430480</v>
      </c>
      <c r="CQ49" s="272">
        <f t="shared" si="28"/>
        <v>1399027</v>
      </c>
      <c r="CR49" s="272">
        <f t="shared" si="28"/>
        <v>1104700</v>
      </c>
      <c r="CS49" s="272">
        <f t="shared" si="28"/>
        <v>1056028</v>
      </c>
      <c r="CT49" s="455">
        <f t="shared" si="8"/>
        <v>308114</v>
      </c>
      <c r="CU49" s="272">
        <f>SUM(CU38:CU48)</f>
        <v>174067</v>
      </c>
      <c r="CV49" s="272">
        <f>SUM(CV38:CV48)</f>
        <v>134047</v>
      </c>
      <c r="CW49" s="455">
        <f t="shared" si="9"/>
        <v>110384</v>
      </c>
      <c r="CX49" s="272">
        <f>SUM(CX38:CX48)</f>
        <v>101211</v>
      </c>
      <c r="CY49" s="272">
        <f>SUM(CY38:CY48)</f>
        <v>9173</v>
      </c>
      <c r="CZ49" s="455">
        <f t="shared" si="10"/>
        <v>0</v>
      </c>
      <c r="DA49" s="272">
        <f t="shared" ref="DA49:DU49" si="29">SUM(DA38:DA48)</f>
        <v>0</v>
      </c>
      <c r="DB49" s="272">
        <f t="shared" si="29"/>
        <v>0</v>
      </c>
      <c r="DC49" s="272">
        <f t="shared" si="29"/>
        <v>18926843</v>
      </c>
      <c r="DD49" s="272">
        <f t="shared" si="29"/>
        <v>2996909</v>
      </c>
      <c r="DE49" s="272">
        <f t="shared" si="29"/>
        <v>15707511</v>
      </c>
      <c r="DF49" s="272">
        <f t="shared" si="29"/>
        <v>194923</v>
      </c>
      <c r="DG49" s="272">
        <f t="shared" si="29"/>
        <v>24000</v>
      </c>
      <c r="DH49" s="272">
        <f t="shared" si="29"/>
        <v>52172</v>
      </c>
      <c r="DI49" s="272">
        <f t="shared" si="29"/>
        <v>5938492</v>
      </c>
      <c r="DJ49" s="272">
        <f t="shared" si="29"/>
        <v>824388</v>
      </c>
      <c r="DK49" s="272">
        <f t="shared" si="29"/>
        <v>405285</v>
      </c>
      <c r="DL49" s="272">
        <f t="shared" si="29"/>
        <v>4708819</v>
      </c>
      <c r="DM49" s="272">
        <f t="shared" si="29"/>
        <v>64369</v>
      </c>
      <c r="DN49" s="272">
        <f t="shared" si="29"/>
        <v>13268</v>
      </c>
      <c r="DO49" s="272">
        <f t="shared" si="29"/>
        <v>13268</v>
      </c>
      <c r="DP49" s="272">
        <f t="shared" si="29"/>
        <v>0</v>
      </c>
      <c r="DQ49" s="272">
        <f t="shared" si="29"/>
        <v>1787272</v>
      </c>
      <c r="DR49" s="272">
        <f t="shared" si="29"/>
        <v>0</v>
      </c>
      <c r="DS49" s="272">
        <f t="shared" si="29"/>
        <v>0</v>
      </c>
      <c r="DT49" s="272">
        <f t="shared" si="29"/>
        <v>5599834</v>
      </c>
      <c r="DU49" s="272">
        <f t="shared" si="29"/>
        <v>3339303</v>
      </c>
      <c r="DV49" s="455">
        <f t="shared" si="11"/>
        <v>0</v>
      </c>
      <c r="DW49" s="272">
        <f>SUM(DW38:DW48)</f>
        <v>0</v>
      </c>
      <c r="DX49" s="272">
        <v>0</v>
      </c>
      <c r="DY49" s="272">
        <f>SUM(DY38:DY48)</f>
        <v>0</v>
      </c>
      <c r="DZ49" s="272">
        <f>SUM(DZ38:DZ48)</f>
        <v>1106779</v>
      </c>
      <c r="EA49" s="272">
        <f>SUM(EA38:EA48)</f>
        <v>807434</v>
      </c>
      <c r="EB49" s="272"/>
      <c r="EC49" s="272">
        <f>SUM(EC38:EC48)</f>
        <v>0</v>
      </c>
      <c r="ED49" s="272">
        <f>SUM(ED38:ED48)</f>
        <v>76215737</v>
      </c>
      <c r="EE49" s="272"/>
      <c r="EF49" s="272">
        <f>SUM(EF38:EF48)</f>
        <v>2028791</v>
      </c>
      <c r="EG49" s="272">
        <f>SUM(EG38:EG48)</f>
        <v>601462</v>
      </c>
      <c r="EH49" s="272">
        <f>SUM(EH38:EH48)</f>
        <v>1427329</v>
      </c>
      <c r="EI49" s="272">
        <f>SUM(EI38:EI48)</f>
        <v>63534</v>
      </c>
      <c r="EJ49" s="272">
        <f>SUM(EJ38:EJ48)</f>
        <v>178453</v>
      </c>
      <c r="EL49" s="272"/>
      <c r="EM49" s="272">
        <f>SUM(EM38:EM48)</f>
        <v>227727</v>
      </c>
      <c r="EN49" s="272">
        <f>SUM(EN38:EN48)</f>
        <v>1324385</v>
      </c>
      <c r="EO49" s="272">
        <f>SUM(EO38:EO48)</f>
        <v>366452</v>
      </c>
      <c r="EP49" s="455">
        <f t="shared" si="12"/>
        <v>4421729</v>
      </c>
      <c r="EQ49" s="272">
        <f t="shared" ref="EQ49:EV49" si="30">SUM(EQ38:EQ48)</f>
        <v>47612662</v>
      </c>
      <c r="ER49" s="272">
        <f t="shared" si="30"/>
        <v>-8456124</v>
      </c>
      <c r="ES49" s="272">
        <f t="shared" si="30"/>
        <v>18150371</v>
      </c>
      <c r="ET49" s="272">
        <f t="shared" si="30"/>
        <v>12859635</v>
      </c>
      <c r="EU49" s="272">
        <f t="shared" si="30"/>
        <v>1276134</v>
      </c>
      <c r="EV49" s="272">
        <f t="shared" si="30"/>
        <v>5969447</v>
      </c>
      <c r="EW49" s="455">
        <f t="shared" si="13"/>
        <v>5522921</v>
      </c>
      <c r="EX49" s="272">
        <f>SUM(EX38:EX48)</f>
        <v>5476349</v>
      </c>
      <c r="EY49" s="272">
        <f>SUM(EY38:EY48)</f>
        <v>351620</v>
      </c>
      <c r="EZ49" s="272">
        <f>SUM(EZ38:EZ48)</f>
        <v>4979615</v>
      </c>
      <c r="FA49" s="272">
        <f>SUM(FA38:FA48)</f>
        <v>46572</v>
      </c>
      <c r="FB49" s="272"/>
      <c r="FC49" s="272">
        <f>SUM(FC38:FC48)</f>
        <v>7945695</v>
      </c>
      <c r="FD49" s="272">
        <f>SUM(FD38:FD48)</f>
        <v>4126754</v>
      </c>
      <c r="FE49" s="272">
        <f>SUM(FE38:FE48)</f>
        <v>1399027</v>
      </c>
      <c r="FF49" s="272">
        <f>SUM(FF38:FF48)</f>
        <v>5310434</v>
      </c>
      <c r="FG49" s="455">
        <f t="shared" si="14"/>
        <v>5841056</v>
      </c>
      <c r="FH49" s="272">
        <f>SUM(FH38:FH48)</f>
        <v>54142812</v>
      </c>
      <c r="FI49" s="384">
        <f t="shared" si="15"/>
        <v>3.1</v>
      </c>
      <c r="FJ49" s="272">
        <f>SUM(FJ38:FJ48)</f>
        <v>45563720</v>
      </c>
      <c r="FK49" s="272">
        <f>SUM(FK38:FK48)</f>
        <v>0</v>
      </c>
      <c r="FL49" s="272">
        <f>SUM(FL38:FL48)</f>
        <v>25799629</v>
      </c>
      <c r="FM49" s="272">
        <f>SUM(FM38:FM48)</f>
        <v>37268073</v>
      </c>
      <c r="FN49" s="468">
        <v>0.67700000000000005</v>
      </c>
      <c r="FO49" s="469">
        <v>84.3</v>
      </c>
      <c r="FP49" s="469">
        <v>39.5</v>
      </c>
      <c r="FQ49" s="469">
        <v>2.7</v>
      </c>
      <c r="FR49" s="469">
        <v>13.2</v>
      </c>
      <c r="FS49" s="469">
        <v>15.3</v>
      </c>
      <c r="FT49" s="469">
        <v>7.5</v>
      </c>
      <c r="FU49" s="469">
        <v>4.5999999999999996</v>
      </c>
      <c r="FV49" s="469">
        <v>8.6</v>
      </c>
      <c r="FW49" s="272">
        <f>SUM(FW38:FW48)</f>
        <v>64347217</v>
      </c>
      <c r="FX49" s="384">
        <f t="shared" si="16"/>
        <v>141.19999999999999</v>
      </c>
      <c r="FY49" s="272">
        <f t="shared" ref="FY49:GD49" si="31">SUM(FY38:FY48)</f>
        <v>41831232</v>
      </c>
      <c r="FZ49" s="272">
        <f t="shared" si="31"/>
        <v>10771922</v>
      </c>
      <c r="GA49" s="272">
        <f t="shared" si="31"/>
        <v>3339420</v>
      </c>
      <c r="GB49" s="272">
        <f t="shared" si="31"/>
        <v>27719890</v>
      </c>
      <c r="GC49" s="272">
        <f t="shared" si="31"/>
        <v>0</v>
      </c>
      <c r="GD49" s="272">
        <f t="shared" si="31"/>
        <v>12576981</v>
      </c>
      <c r="GE49" s="465">
        <f>ROUND(GD49/FJ52*100,1)</f>
        <v>51.3</v>
      </c>
      <c r="GF49" s="469">
        <v>97.4</v>
      </c>
      <c r="GG49" s="469">
        <v>22.4</v>
      </c>
      <c r="GH49" s="469">
        <v>92</v>
      </c>
      <c r="GI49" s="272">
        <f>SUM(GI38:GI48)</f>
        <v>2365</v>
      </c>
    </row>
    <row r="50" spans="2:191" x14ac:dyDescent="0.15">
      <c r="B50" s="21" t="s">
        <v>91</v>
      </c>
      <c r="C50" s="272">
        <f>C37+C49</f>
        <v>800805245</v>
      </c>
      <c r="D50" s="455">
        <f t="shared" si="0"/>
        <v>306462903</v>
      </c>
      <c r="E50" s="272">
        <f>E37+E49</f>
        <v>3919034</v>
      </c>
      <c r="F50" s="272">
        <f>F37+F49</f>
        <v>302543869</v>
      </c>
      <c r="G50" s="455">
        <f t="shared" si="1"/>
        <v>67674866</v>
      </c>
      <c r="H50" s="272">
        <f t="shared" ref="H50:S50" si="32">H37+H49</f>
        <v>10932326</v>
      </c>
      <c r="I50" s="272">
        <f t="shared" si="32"/>
        <v>56742540</v>
      </c>
      <c r="J50" s="272">
        <f t="shared" si="32"/>
        <v>311842380</v>
      </c>
      <c r="K50" s="272">
        <f t="shared" si="32"/>
        <v>159678758</v>
      </c>
      <c r="L50" s="272">
        <f t="shared" si="32"/>
        <v>102884554</v>
      </c>
      <c r="M50" s="272">
        <f t="shared" si="32"/>
        <v>45129969</v>
      </c>
      <c r="N50" s="272">
        <f t="shared" si="32"/>
        <v>26702962</v>
      </c>
      <c r="O50" s="272">
        <f t="shared" si="32"/>
        <v>71834476</v>
      </c>
      <c r="P50" s="272">
        <f t="shared" si="32"/>
        <v>50340282</v>
      </c>
      <c r="Q50" s="272">
        <f t="shared" si="32"/>
        <v>21494194</v>
      </c>
      <c r="R50" s="272">
        <f t="shared" si="32"/>
        <v>35561367</v>
      </c>
      <c r="S50" s="272">
        <f t="shared" si="32"/>
        <v>23790414</v>
      </c>
      <c r="T50" s="455">
        <f t="shared" si="2"/>
        <v>47568736</v>
      </c>
      <c r="U50" s="272">
        <f>U37+U49</f>
        <v>31304216</v>
      </c>
      <c r="V50" s="272"/>
      <c r="W50" s="272"/>
      <c r="X50" s="272"/>
      <c r="Y50" s="272">
        <f>Y37+Y49</f>
        <v>1547135</v>
      </c>
      <c r="Z50" s="272">
        <f>Z37+Z49</f>
        <v>260164</v>
      </c>
      <c r="AA50" s="272">
        <f>AA37+AA49</f>
        <v>14457221</v>
      </c>
      <c r="AB50" s="272"/>
      <c r="AC50" s="272">
        <f>AC37+AC49</f>
        <v>96971486</v>
      </c>
      <c r="AD50" s="272">
        <f>AD37+AD49</f>
        <v>83531149</v>
      </c>
      <c r="AE50" s="272">
        <f>AE37+AE49</f>
        <v>13440337</v>
      </c>
      <c r="AF50" s="272">
        <f>AF37+AF49</f>
        <v>1161106</v>
      </c>
      <c r="AG50" s="272">
        <f>AG37+AG49</f>
        <v>18066965</v>
      </c>
      <c r="AH50" s="455">
        <f t="shared" si="3"/>
        <v>31989804</v>
      </c>
      <c r="AI50" s="272">
        <f>AI37+AI49</f>
        <v>25372473</v>
      </c>
      <c r="AJ50" s="272">
        <f>AJ37+AJ49</f>
        <v>6617331</v>
      </c>
      <c r="AK50" s="272">
        <f>AK37+AK49</f>
        <v>134448782</v>
      </c>
      <c r="AL50" s="455">
        <f t="shared" si="4"/>
        <v>72015341</v>
      </c>
      <c r="AM50" s="272">
        <f t="shared" ref="AM50:BN50" si="33">AM37+AM49</f>
        <v>53449343</v>
      </c>
      <c r="AN50" s="272">
        <f t="shared" si="33"/>
        <v>11772294</v>
      </c>
      <c r="AO50" s="272">
        <f t="shared" si="33"/>
        <v>148700</v>
      </c>
      <c r="AP50" s="272">
        <f t="shared" si="33"/>
        <v>6645004</v>
      </c>
      <c r="AQ50" s="272">
        <f t="shared" si="33"/>
        <v>26445330</v>
      </c>
      <c r="AR50" s="272">
        <f t="shared" si="33"/>
        <v>97843</v>
      </c>
      <c r="AS50" s="272">
        <f t="shared" si="33"/>
        <v>318351</v>
      </c>
      <c r="AT50" s="272">
        <f t="shared" si="33"/>
        <v>82039914</v>
      </c>
      <c r="AU50" s="272">
        <f t="shared" si="33"/>
        <v>25930524</v>
      </c>
      <c r="AV50" s="272">
        <f t="shared" si="33"/>
        <v>5692881</v>
      </c>
      <c r="AW50" s="272">
        <f t="shared" si="33"/>
        <v>3939870</v>
      </c>
      <c r="AX50" s="272">
        <f t="shared" si="33"/>
        <v>56109390</v>
      </c>
      <c r="AY50" s="272">
        <f t="shared" si="33"/>
        <v>17102037</v>
      </c>
      <c r="AZ50" s="272">
        <f t="shared" si="33"/>
        <v>25418250</v>
      </c>
      <c r="BA50" s="272">
        <f t="shared" si="33"/>
        <v>12563034</v>
      </c>
      <c r="BB50" s="272">
        <f t="shared" si="33"/>
        <v>15346541</v>
      </c>
      <c r="BC50" s="272">
        <f t="shared" si="33"/>
        <v>76630768</v>
      </c>
      <c r="BD50" s="272">
        <f t="shared" si="33"/>
        <v>17091499</v>
      </c>
      <c r="BE50" s="272">
        <f t="shared" si="33"/>
        <v>5156602</v>
      </c>
      <c r="BF50" s="272">
        <f t="shared" si="33"/>
        <v>49604041</v>
      </c>
      <c r="BG50" s="272">
        <f t="shared" si="33"/>
        <v>203115</v>
      </c>
      <c r="BH50" s="272">
        <f t="shared" si="33"/>
        <v>20580618</v>
      </c>
      <c r="BI50" s="272">
        <f t="shared" si="33"/>
        <v>13517570</v>
      </c>
      <c r="BJ50" s="272">
        <f t="shared" si="33"/>
        <v>67038689</v>
      </c>
      <c r="BK50" s="272">
        <f t="shared" si="33"/>
        <v>33609569</v>
      </c>
      <c r="BL50" s="272">
        <f t="shared" si="33"/>
        <v>2058489</v>
      </c>
      <c r="BM50" s="272">
        <f t="shared" si="33"/>
        <v>9023885</v>
      </c>
      <c r="BN50" s="272">
        <f t="shared" si="33"/>
        <v>196763354</v>
      </c>
      <c r="BO50" s="455">
        <f t="shared" si="5"/>
        <v>139105154</v>
      </c>
      <c r="BP50" s="455">
        <f t="shared" si="6"/>
        <v>57658200</v>
      </c>
      <c r="BQ50" s="272">
        <f>BQ37+BQ49</f>
        <v>57658200</v>
      </c>
      <c r="BR50" s="272"/>
      <c r="BS50" s="272"/>
      <c r="BT50" s="272">
        <v>0</v>
      </c>
      <c r="BU50" s="272">
        <f>BU37+BU49</f>
        <v>1650709976</v>
      </c>
      <c r="BV50" s="272"/>
      <c r="BW50" s="272">
        <f t="shared" ref="BW50:CI50" si="34">BW37+BW49</f>
        <v>441162365</v>
      </c>
      <c r="BX50" s="272">
        <f t="shared" si="34"/>
        <v>333736773</v>
      </c>
      <c r="BY50" s="272">
        <f t="shared" si="34"/>
        <v>23486652</v>
      </c>
      <c r="BZ50" s="272">
        <f t="shared" si="34"/>
        <v>13083149</v>
      </c>
      <c r="CA50" s="272">
        <f t="shared" si="34"/>
        <v>175291642</v>
      </c>
      <c r="CB50" s="272">
        <f t="shared" si="34"/>
        <v>18922918</v>
      </c>
      <c r="CC50" s="272">
        <f t="shared" si="34"/>
        <v>36143373</v>
      </c>
      <c r="CD50" s="272">
        <f t="shared" si="34"/>
        <v>36911115</v>
      </c>
      <c r="CE50" s="272">
        <f t="shared" si="34"/>
        <v>70752779</v>
      </c>
      <c r="CF50" s="272">
        <f t="shared" si="34"/>
        <v>8392370</v>
      </c>
      <c r="CG50" s="272">
        <f t="shared" si="34"/>
        <v>3018849</v>
      </c>
      <c r="CH50" s="272">
        <f t="shared" si="34"/>
        <v>138293699</v>
      </c>
      <c r="CI50" s="272">
        <f t="shared" si="34"/>
        <v>70532722</v>
      </c>
      <c r="CJ50" s="455">
        <f t="shared" si="7"/>
        <v>67760977</v>
      </c>
      <c r="CK50" s="272">
        <f t="shared" ref="CK50:CS50" si="35">CK37+CK49</f>
        <v>164028466</v>
      </c>
      <c r="CL50" s="272">
        <f t="shared" si="35"/>
        <v>87321328</v>
      </c>
      <c r="CM50" s="272">
        <f t="shared" si="35"/>
        <v>8147848</v>
      </c>
      <c r="CN50" s="272">
        <f t="shared" si="35"/>
        <v>40412749</v>
      </c>
      <c r="CO50" s="272">
        <f t="shared" si="35"/>
        <v>17799972</v>
      </c>
      <c r="CP50" s="272">
        <f t="shared" si="35"/>
        <v>113180310</v>
      </c>
      <c r="CQ50" s="272">
        <f t="shared" si="35"/>
        <v>40213408</v>
      </c>
      <c r="CR50" s="272">
        <f t="shared" si="35"/>
        <v>30368255</v>
      </c>
      <c r="CS50" s="272">
        <f t="shared" si="35"/>
        <v>24387277</v>
      </c>
      <c r="CT50" s="455">
        <f t="shared" si="8"/>
        <v>17733945</v>
      </c>
      <c r="CU50" s="272">
        <f>CU37+CU49</f>
        <v>6731733</v>
      </c>
      <c r="CV50" s="272">
        <f>CV37+CV49</f>
        <v>11002212</v>
      </c>
      <c r="CW50" s="455">
        <f t="shared" si="9"/>
        <v>13354047</v>
      </c>
      <c r="CX50" s="272">
        <f>CX37+CX49</f>
        <v>5871241</v>
      </c>
      <c r="CY50" s="272">
        <f>CY37+CY49</f>
        <v>7482806</v>
      </c>
      <c r="CZ50" s="455">
        <f t="shared" si="10"/>
        <v>0</v>
      </c>
      <c r="DA50" s="272">
        <f t="shared" ref="DA50:DU50" si="36">DA37+DA49</f>
        <v>0</v>
      </c>
      <c r="DB50" s="272">
        <f t="shared" si="36"/>
        <v>0</v>
      </c>
      <c r="DC50" s="272">
        <f t="shared" si="36"/>
        <v>341375312</v>
      </c>
      <c r="DD50" s="272">
        <f t="shared" si="36"/>
        <v>60857278</v>
      </c>
      <c r="DE50" s="272">
        <f t="shared" si="36"/>
        <v>265973168</v>
      </c>
      <c r="DF50" s="272">
        <f t="shared" si="36"/>
        <v>3554241</v>
      </c>
      <c r="DG50" s="272">
        <f t="shared" si="36"/>
        <v>10471171</v>
      </c>
      <c r="DH50" s="272">
        <f t="shared" si="36"/>
        <v>1790260</v>
      </c>
      <c r="DI50" s="272">
        <f t="shared" si="36"/>
        <v>60754269</v>
      </c>
      <c r="DJ50" s="272">
        <f t="shared" si="36"/>
        <v>14052436</v>
      </c>
      <c r="DK50" s="272">
        <f t="shared" si="36"/>
        <v>1706191</v>
      </c>
      <c r="DL50" s="272">
        <f t="shared" si="36"/>
        <v>44995642</v>
      </c>
      <c r="DM50" s="272">
        <f t="shared" si="36"/>
        <v>5961700</v>
      </c>
      <c r="DN50" s="272">
        <f t="shared" si="36"/>
        <v>3944549</v>
      </c>
      <c r="DO50" s="272">
        <f t="shared" si="36"/>
        <v>612243</v>
      </c>
      <c r="DP50" s="272">
        <f t="shared" si="36"/>
        <v>3332306</v>
      </c>
      <c r="DQ50" s="272">
        <f t="shared" si="36"/>
        <v>37420919</v>
      </c>
      <c r="DR50" s="272">
        <f t="shared" si="36"/>
        <v>1151648</v>
      </c>
      <c r="DS50" s="272">
        <f t="shared" si="36"/>
        <v>1055000</v>
      </c>
      <c r="DT50" s="272">
        <f t="shared" si="36"/>
        <v>132427005</v>
      </c>
      <c r="DU50" s="272">
        <f t="shared" si="36"/>
        <v>81416048</v>
      </c>
      <c r="DV50" s="455">
        <f t="shared" si="11"/>
        <v>1257271</v>
      </c>
      <c r="DW50" s="272">
        <f>DW37+DW49</f>
        <v>1257271</v>
      </c>
      <c r="DX50" s="272">
        <v>0</v>
      </c>
      <c r="DY50" s="272">
        <f>DY37+DY49</f>
        <v>575729</v>
      </c>
      <c r="DZ50" s="272">
        <f>DZ37+DZ49</f>
        <v>30097721</v>
      </c>
      <c r="EA50" s="272">
        <f>EA37+EA49</f>
        <v>16138422</v>
      </c>
      <c r="EB50" s="272"/>
      <c r="EC50" s="272">
        <f>EC37+EC49</f>
        <v>170111</v>
      </c>
      <c r="ED50" s="272">
        <f>ED37+ED49</f>
        <v>1629656030</v>
      </c>
      <c r="EE50" s="272"/>
      <c r="EF50" s="272">
        <f>EF37+EF49</f>
        <v>21053946</v>
      </c>
      <c r="EG50" s="272">
        <f>EG37+EG49</f>
        <v>10679648</v>
      </c>
      <c r="EH50" s="272">
        <f>EH37+EH49</f>
        <v>10374298</v>
      </c>
      <c r="EI50" s="272">
        <f>EI37+EI49</f>
        <v>-3586969</v>
      </c>
      <c r="EJ50" s="272">
        <f>EJ37+EJ49</f>
        <v>-6565932</v>
      </c>
      <c r="EL50" s="272"/>
      <c r="EM50" s="272">
        <f>EM37+EM49</f>
        <v>5291695</v>
      </c>
      <c r="EN50" s="272">
        <f>EN37+EN49</f>
        <v>33012220</v>
      </c>
      <c r="EO50" s="272">
        <f>EO37+EO49</f>
        <v>6898447</v>
      </c>
      <c r="EP50" s="455">
        <f t="shared" si="12"/>
        <v>54331481</v>
      </c>
      <c r="EQ50" s="272">
        <f t="shared" ref="EQ50:EV50" si="37">EQ37+EQ49</f>
        <v>982386291</v>
      </c>
      <c r="ER50" s="272">
        <f t="shared" si="37"/>
        <v>-150420891</v>
      </c>
      <c r="ES50" s="272">
        <f t="shared" si="37"/>
        <v>408626439</v>
      </c>
      <c r="ET50" s="272">
        <f t="shared" si="37"/>
        <v>304439755</v>
      </c>
      <c r="EU50" s="272">
        <f t="shared" si="37"/>
        <v>52958207</v>
      </c>
      <c r="EV50" s="272">
        <f t="shared" si="37"/>
        <v>125198227</v>
      </c>
      <c r="EW50" s="455">
        <f t="shared" si="13"/>
        <v>109500228</v>
      </c>
      <c r="EX50" s="272">
        <f>EX37+EX49</f>
        <v>108453158</v>
      </c>
      <c r="EY50" s="272">
        <f>EY37+EY49</f>
        <v>6710353</v>
      </c>
      <c r="EZ50" s="272">
        <f>EZ37+EZ49</f>
        <v>100066144</v>
      </c>
      <c r="FA50" s="272">
        <f>FA37+FA49</f>
        <v>1047070</v>
      </c>
      <c r="FB50" s="272"/>
      <c r="FC50" s="272">
        <f>FC37+FC49</f>
        <v>132043131</v>
      </c>
      <c r="FD50" s="272">
        <f>FD37+FD49</f>
        <v>101085305</v>
      </c>
      <c r="FE50" s="272">
        <f>FE37+FE49</f>
        <v>39499982</v>
      </c>
      <c r="FF50" s="272">
        <f>FF37+FF49</f>
        <v>127164190</v>
      </c>
      <c r="FG50" s="455">
        <f t="shared" si="14"/>
        <v>55562282</v>
      </c>
      <c r="FH50" s="272">
        <f>FH37+FH49</f>
        <v>1112138009</v>
      </c>
      <c r="FI50" s="384">
        <f t="shared" si="15"/>
        <v>1.1000000000000001</v>
      </c>
      <c r="FJ50" s="272">
        <f>FJ37+FJ49</f>
        <v>933420012</v>
      </c>
      <c r="FK50" s="272">
        <f>FK37+FK49</f>
        <v>0</v>
      </c>
      <c r="FL50" s="272">
        <f>FL37+FL49</f>
        <v>640666494</v>
      </c>
      <c r="FM50" s="272">
        <f>FM37+FM49</f>
        <v>700101835</v>
      </c>
      <c r="FN50" s="468">
        <v>0.93200000000000005</v>
      </c>
      <c r="FO50" s="469">
        <v>95.3</v>
      </c>
      <c r="FP50" s="469">
        <v>43.8</v>
      </c>
      <c r="FQ50" s="469">
        <v>5.9</v>
      </c>
      <c r="FR50" s="469">
        <v>13.4</v>
      </c>
      <c r="FS50" s="469">
        <v>13.7</v>
      </c>
      <c r="FT50" s="469">
        <v>9.6</v>
      </c>
      <c r="FU50" s="469">
        <v>7.3</v>
      </c>
      <c r="FV50" s="469">
        <v>9.6999999999999993</v>
      </c>
      <c r="FW50" s="272">
        <f>FW37+FW49</f>
        <v>1219303865</v>
      </c>
      <c r="FX50" s="384">
        <f t="shared" si="16"/>
        <v>130.6</v>
      </c>
      <c r="FY50" s="272">
        <f t="shared" ref="FY50:GD50" si="38">FY37+FY49</f>
        <v>432017820</v>
      </c>
      <c r="FZ50" s="272">
        <f t="shared" si="38"/>
        <v>92911953</v>
      </c>
      <c r="GA50" s="272">
        <f t="shared" si="38"/>
        <v>30800879</v>
      </c>
      <c r="GB50" s="272">
        <f t="shared" si="38"/>
        <v>308304988</v>
      </c>
      <c r="GC50" s="272">
        <f t="shared" si="38"/>
        <v>0</v>
      </c>
      <c r="GD50" s="272">
        <f t="shared" si="38"/>
        <v>464105870</v>
      </c>
      <c r="GE50" s="465">
        <f>ROUND(GD50/FJ53*100,1)</f>
        <v>50.9</v>
      </c>
      <c r="GF50" s="469">
        <v>97.4</v>
      </c>
      <c r="GG50" s="469">
        <v>26.3</v>
      </c>
      <c r="GH50" s="469">
        <v>93.3</v>
      </c>
      <c r="GI50" s="272">
        <f>GI37+GI49</f>
        <v>44517</v>
      </c>
    </row>
    <row r="51" spans="2:191" x14ac:dyDescent="0.15">
      <c r="GE51" s="31" t="s">
        <v>647</v>
      </c>
    </row>
    <row r="52" spans="2:191" x14ac:dyDescent="0.15">
      <c r="FJ52" s="394">
        <f>FJ40+FJ42+FJ43+FJ45+FJ46+FJ48</f>
        <v>24505356</v>
      </c>
      <c r="FO52" s="33"/>
      <c r="FP52" s="89" t="s">
        <v>816</v>
      </c>
    </row>
    <row r="53" spans="2:191" x14ac:dyDescent="0.15">
      <c r="FJ53" s="394">
        <f>FJ37+FJ52</f>
        <v>912361648</v>
      </c>
    </row>
  </sheetData>
  <phoneticPr fontId="3"/>
  <pageMargins left="0.75" right="0.75" top="1" bottom="1" header="0.51200000000000001" footer="0.51200000000000001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8">
    <tabColor indexed="15"/>
  </sheetPr>
  <dimension ref="A1:GI53"/>
  <sheetViews>
    <sheetView workbookViewId="0">
      <pane xSplit="2" ySplit="5" topLeftCell="FO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</cols>
  <sheetData>
    <row r="1" spans="2:191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191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830</v>
      </c>
      <c r="O2" s="28" t="s">
        <v>840</v>
      </c>
      <c r="P2" s="28" t="s">
        <v>831</v>
      </c>
      <c r="Q2" s="28" t="s">
        <v>832</v>
      </c>
      <c r="R2" s="28" t="s">
        <v>351</v>
      </c>
      <c r="S2" s="28" t="s">
        <v>795</v>
      </c>
      <c r="U2" s="28" t="s">
        <v>725</v>
      </c>
      <c r="V2" s="28"/>
      <c r="W2" s="28"/>
      <c r="X2" s="28"/>
      <c r="Y2" s="28" t="s">
        <v>354</v>
      </c>
      <c r="Z2" s="28" t="s">
        <v>355</v>
      </c>
      <c r="AA2" s="28" t="s">
        <v>664</v>
      </c>
      <c r="AB2" s="28"/>
      <c r="AC2" s="28" t="s">
        <v>357</v>
      </c>
      <c r="AD2" s="28" t="s">
        <v>653</v>
      </c>
      <c r="AE2" s="28" t="s">
        <v>358</v>
      </c>
      <c r="AF2" s="28" t="s">
        <v>359</v>
      </c>
      <c r="AG2" s="28" t="s">
        <v>360</v>
      </c>
      <c r="AI2" s="28" t="s">
        <v>726</v>
      </c>
      <c r="AJ2" s="28" t="s">
        <v>667</v>
      </c>
      <c r="AK2" s="28" t="s">
        <v>852</v>
      </c>
      <c r="AL2" s="29"/>
      <c r="AM2" s="28" t="s">
        <v>685</v>
      </c>
      <c r="AN2" s="28" t="s">
        <v>669</v>
      </c>
      <c r="AO2" s="28" t="s">
        <v>796</v>
      </c>
      <c r="AP2" s="28" t="s">
        <v>727</v>
      </c>
      <c r="AQ2" s="28" t="s">
        <v>833</v>
      </c>
      <c r="AR2" s="28" t="s">
        <v>797</v>
      </c>
      <c r="AS2" s="28" t="s">
        <v>373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846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 t="s">
        <v>849</v>
      </c>
      <c r="BR2" s="28" t="s">
        <v>847</v>
      </c>
      <c r="BS2" s="28"/>
      <c r="BT2" s="28" t="s">
        <v>850</v>
      </c>
      <c r="BU2" s="28" t="s">
        <v>806</v>
      </c>
      <c r="BW2" s="28" t="s">
        <v>402</v>
      </c>
      <c r="BX2" s="28" t="s">
        <v>403</v>
      </c>
      <c r="BY2" s="28" t="s">
        <v>786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836</v>
      </c>
      <c r="CM2" s="28" t="s">
        <v>837</v>
      </c>
      <c r="CN2" s="28" t="s">
        <v>838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820</v>
      </c>
      <c r="CV2" s="28" t="s">
        <v>821</v>
      </c>
      <c r="CX2" s="28" t="s">
        <v>426</v>
      </c>
      <c r="CY2" s="28" t="s">
        <v>812</v>
      </c>
      <c r="DA2" s="28" t="s">
        <v>822</v>
      </c>
      <c r="DB2" s="28" t="s">
        <v>823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824</v>
      </c>
      <c r="DW2" s="28" t="s">
        <v>449</v>
      </c>
      <c r="DX2" s="28" t="s">
        <v>448</v>
      </c>
      <c r="DY2" s="28" t="s">
        <v>451</v>
      </c>
      <c r="DZ2" s="28" t="s">
        <v>825</v>
      </c>
      <c r="EA2" s="28" t="s">
        <v>826</v>
      </c>
      <c r="EB2" s="28"/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191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827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191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851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203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191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828</v>
      </c>
      <c r="DX5" s="30" t="s">
        <v>829</v>
      </c>
      <c r="DY5" s="30"/>
      <c r="DZ5" s="30"/>
      <c r="EA5" s="30"/>
      <c r="EB5" s="30"/>
      <c r="EC5" s="30"/>
      <c r="ED5" s="3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191" x14ac:dyDescent="0.15">
      <c r="B6" s="89" t="s">
        <v>5</v>
      </c>
      <c r="C6" s="272">
        <v>26868296</v>
      </c>
      <c r="D6" s="455">
        <f t="shared" ref="D6:D50" si="0">E6+F6</f>
        <v>10471421</v>
      </c>
      <c r="E6" s="272">
        <v>118676</v>
      </c>
      <c r="F6" s="272">
        <v>10352745</v>
      </c>
      <c r="G6" s="455">
        <f t="shared" ref="G6:G50" si="1">H6+I6</f>
        <v>2605036</v>
      </c>
      <c r="H6" s="272">
        <v>360495</v>
      </c>
      <c r="I6" s="272">
        <v>2244541</v>
      </c>
      <c r="J6" s="272">
        <v>10037367</v>
      </c>
      <c r="K6" s="272">
        <v>5339944</v>
      </c>
      <c r="L6" s="272">
        <v>3175639</v>
      </c>
      <c r="M6" s="272">
        <v>1320521</v>
      </c>
      <c r="N6" s="272">
        <v>1011057</v>
      </c>
      <c r="O6" s="272">
        <v>2385366</v>
      </c>
      <c r="P6" s="272">
        <v>1739416</v>
      </c>
      <c r="Q6" s="272">
        <v>645950</v>
      </c>
      <c r="R6" s="272">
        <v>1238746</v>
      </c>
      <c r="S6" s="272">
        <v>880088</v>
      </c>
      <c r="T6" s="455">
        <f t="shared" ref="T6:T50" si="2">SUM(U6:AA6)</f>
        <v>1336655</v>
      </c>
      <c r="U6" s="272">
        <v>769227</v>
      </c>
      <c r="V6" s="272"/>
      <c r="W6" s="272"/>
      <c r="X6" s="272"/>
      <c r="Y6" s="272">
        <v>73392</v>
      </c>
      <c r="Z6" s="272">
        <v>14681</v>
      </c>
      <c r="AA6" s="272">
        <v>479355</v>
      </c>
      <c r="AB6" s="272"/>
      <c r="AC6" s="272">
        <v>5168404</v>
      </c>
      <c r="AD6" s="272">
        <v>5064088</v>
      </c>
      <c r="AE6" s="272">
        <v>104316</v>
      </c>
      <c r="AF6" s="272">
        <v>45379</v>
      </c>
      <c r="AG6" s="272">
        <v>286793</v>
      </c>
      <c r="AH6" s="455">
        <f t="shared" ref="AH6:AH50" si="3">AI6+AJ6</f>
        <v>1152068</v>
      </c>
      <c r="AI6" s="272">
        <v>1040272</v>
      </c>
      <c r="AJ6" s="272">
        <v>111796</v>
      </c>
      <c r="AK6" s="272">
        <v>5721478</v>
      </c>
      <c r="AL6" s="455">
        <f t="shared" ref="AL6:AL50" si="4">SUM(AM6:AP6)</f>
        <v>2808556</v>
      </c>
      <c r="AM6" s="272">
        <v>2068265</v>
      </c>
      <c r="AN6" s="272">
        <v>539727</v>
      </c>
      <c r="AO6" s="272">
        <v>0</v>
      </c>
      <c r="AP6" s="272">
        <v>200564</v>
      </c>
      <c r="AQ6" s="272">
        <v>1606812</v>
      </c>
      <c r="AR6" s="272">
        <v>0</v>
      </c>
      <c r="AS6" s="272">
        <v>0</v>
      </c>
      <c r="AT6" s="272">
        <v>3251157</v>
      </c>
      <c r="AU6" s="272">
        <v>1441306</v>
      </c>
      <c r="AV6" s="272">
        <v>300529</v>
      </c>
      <c r="AW6" s="272">
        <v>310531</v>
      </c>
      <c r="AX6" s="272">
        <v>1809851</v>
      </c>
      <c r="AY6" s="272">
        <v>488393</v>
      </c>
      <c r="AZ6" s="272">
        <v>583363</v>
      </c>
      <c r="BA6" s="272">
        <v>82735</v>
      </c>
      <c r="BB6" s="272">
        <v>169516</v>
      </c>
      <c r="BC6" s="272">
        <v>2554481</v>
      </c>
      <c r="BD6" s="272">
        <v>500000</v>
      </c>
      <c r="BE6" s="272">
        <v>207676</v>
      </c>
      <c r="BF6" s="272">
        <v>1061896</v>
      </c>
      <c r="BG6" s="272">
        <v>0</v>
      </c>
      <c r="BH6" s="272">
        <v>1081855</v>
      </c>
      <c r="BI6" s="272">
        <v>489145</v>
      </c>
      <c r="BJ6" s="272">
        <v>2397229</v>
      </c>
      <c r="BK6" s="272">
        <v>94435</v>
      </c>
      <c r="BL6" s="272">
        <v>122010</v>
      </c>
      <c r="BM6" s="272">
        <v>1786406</v>
      </c>
      <c r="BN6" s="272">
        <v>9416300</v>
      </c>
      <c r="BO6" s="455">
        <f t="shared" ref="BO6:BO50" si="5">BN6-BP6-BT6</f>
        <v>9416300</v>
      </c>
      <c r="BP6" s="455">
        <f t="shared" ref="BP6:BP50" si="6">BQ6+BR6+BS6</f>
        <v>0</v>
      </c>
      <c r="BQ6" s="272"/>
      <c r="BR6" s="272"/>
      <c r="BS6" s="272"/>
      <c r="BT6" s="272">
        <v>0</v>
      </c>
      <c r="BU6" s="272">
        <v>61271720</v>
      </c>
      <c r="BV6" s="272"/>
      <c r="BW6" s="272">
        <v>14704928</v>
      </c>
      <c r="BX6" s="272">
        <v>11273640</v>
      </c>
      <c r="BY6" s="272">
        <v>642566</v>
      </c>
      <c r="BZ6" s="272">
        <v>418639</v>
      </c>
      <c r="CA6" s="272">
        <v>7098633</v>
      </c>
      <c r="CB6" s="272">
        <v>970321</v>
      </c>
      <c r="CC6" s="272">
        <v>1388404</v>
      </c>
      <c r="CD6" s="272">
        <v>1828292</v>
      </c>
      <c r="CE6" s="272">
        <v>2747156</v>
      </c>
      <c r="CF6" s="272">
        <v>270</v>
      </c>
      <c r="CG6" s="272">
        <v>159865</v>
      </c>
      <c r="CH6" s="272">
        <v>4301128</v>
      </c>
      <c r="CI6" s="272">
        <v>2152603</v>
      </c>
      <c r="CJ6" s="455">
        <f t="shared" ref="CJ6:CJ50" si="7">CH6-CI6</f>
        <v>2148525</v>
      </c>
      <c r="CK6" s="272">
        <v>4380960</v>
      </c>
      <c r="CL6" s="272">
        <v>2026055</v>
      </c>
      <c r="CM6" s="272">
        <v>193931</v>
      </c>
      <c r="CN6" s="272">
        <v>1035429</v>
      </c>
      <c r="CO6" s="272">
        <v>293967</v>
      </c>
      <c r="CP6" s="272">
        <v>3969527</v>
      </c>
      <c r="CQ6" s="272">
        <v>1091919</v>
      </c>
      <c r="CR6" s="272">
        <v>790347</v>
      </c>
      <c r="CS6" s="272">
        <v>761295</v>
      </c>
      <c r="CT6" s="455">
        <f t="shared" ref="CT6:CT50" si="8">CU6+CV6</f>
        <v>1339222</v>
      </c>
      <c r="CU6" s="272">
        <v>146985</v>
      </c>
      <c r="CV6" s="272">
        <v>1192237</v>
      </c>
      <c r="CW6" s="455">
        <f t="shared" ref="CW6:CW50" si="9">CX6+CY6</f>
        <v>1281087</v>
      </c>
      <c r="CX6" s="272">
        <v>122078</v>
      </c>
      <c r="CY6" s="272">
        <v>1159009</v>
      </c>
      <c r="CZ6" s="455">
        <f t="shared" ref="CZ6:CZ50" si="10">DA6+DB6</f>
        <v>0</v>
      </c>
      <c r="DA6" s="272">
        <v>0</v>
      </c>
      <c r="DB6" s="272">
        <v>0</v>
      </c>
      <c r="DC6" s="272">
        <v>18206395</v>
      </c>
      <c r="DD6" s="272">
        <v>3959633</v>
      </c>
      <c r="DE6" s="272">
        <v>12996059</v>
      </c>
      <c r="DF6" s="272">
        <v>548706</v>
      </c>
      <c r="DG6" s="272">
        <v>699897</v>
      </c>
      <c r="DH6" s="272">
        <v>0</v>
      </c>
      <c r="DI6" s="272">
        <v>916113</v>
      </c>
      <c r="DJ6" s="272">
        <v>48785</v>
      </c>
      <c r="DK6" s="272">
        <v>91351</v>
      </c>
      <c r="DL6" s="272">
        <v>775977</v>
      </c>
      <c r="DM6" s="272">
        <v>344800</v>
      </c>
      <c r="DN6" s="272">
        <v>2700</v>
      </c>
      <c r="DO6" s="272">
        <v>2700</v>
      </c>
      <c r="DP6" s="272">
        <v>0</v>
      </c>
      <c r="DQ6" s="272">
        <v>81000</v>
      </c>
      <c r="DR6" s="272">
        <v>0</v>
      </c>
      <c r="DS6" s="272">
        <v>0</v>
      </c>
      <c r="DT6" s="272">
        <v>5976740</v>
      </c>
      <c r="DU6" s="272">
        <v>4390084</v>
      </c>
      <c r="DV6" s="455">
        <f t="shared" ref="DV6:DV50" si="11">DW6+DX6</f>
        <v>0</v>
      </c>
      <c r="DW6" s="272">
        <v>0</v>
      </c>
      <c r="DX6" s="272">
        <v>0</v>
      </c>
      <c r="DY6" s="272">
        <v>0</v>
      </c>
      <c r="DZ6" s="272">
        <v>904728</v>
      </c>
      <c r="EA6" s="272">
        <v>652311</v>
      </c>
      <c r="EB6" s="272"/>
      <c r="EC6" s="272">
        <v>0</v>
      </c>
      <c r="ED6" s="272">
        <v>60274191</v>
      </c>
      <c r="EF6" s="272">
        <v>997529</v>
      </c>
      <c r="EG6" s="272">
        <v>688907</v>
      </c>
      <c r="EH6" s="272">
        <v>308622</v>
      </c>
      <c r="EI6" s="272">
        <v>-180523</v>
      </c>
      <c r="EJ6" s="272">
        <v>-631738</v>
      </c>
      <c r="EL6" s="272"/>
      <c r="EM6" s="272">
        <v>190860</v>
      </c>
      <c r="EN6" s="272">
        <v>1521508</v>
      </c>
      <c r="EO6" s="272">
        <v>169075</v>
      </c>
      <c r="EP6" s="455">
        <f t="shared" ref="EP6:EP50" si="12">EQ6-ER6-C6-R6-T6-AB6-AC6-BP6-EN6-EO6</f>
        <v>3614722</v>
      </c>
      <c r="EQ6" s="272">
        <v>34657480</v>
      </c>
      <c r="ER6" s="272">
        <v>-5259926</v>
      </c>
      <c r="ES6" s="272">
        <v>13382080</v>
      </c>
      <c r="ET6" s="272">
        <v>10107956</v>
      </c>
      <c r="EU6" s="272">
        <v>2363342</v>
      </c>
      <c r="EV6" s="272">
        <v>4177307</v>
      </c>
      <c r="EW6" s="455">
        <f t="shared" ref="EW6:EW50" si="13">EX6+FA6+FB6</f>
        <v>4983210</v>
      </c>
      <c r="EX6" s="272">
        <v>4983210</v>
      </c>
      <c r="EY6" s="272">
        <v>731038</v>
      </c>
      <c r="EZ6" s="272">
        <v>4038015</v>
      </c>
      <c r="FA6" s="272">
        <v>0</v>
      </c>
      <c r="FB6" s="272"/>
      <c r="FC6" s="272">
        <v>3635029</v>
      </c>
      <c r="FD6" s="272">
        <v>3660428</v>
      </c>
      <c r="FE6" s="272">
        <v>1091919</v>
      </c>
      <c r="FF6" s="272">
        <v>5935692</v>
      </c>
      <c r="FG6" s="455">
        <f t="shared" ref="FG6:FG50" si="14">FH6-ES6-EU6-EV6-EW6-FC6-FD6-FF6</f>
        <v>880489</v>
      </c>
      <c r="FH6" s="272">
        <v>39017577</v>
      </c>
      <c r="FI6" s="384">
        <f t="shared" ref="FI6:FI50" si="15">ROUND(EH6/FJ6*100,1)</f>
        <v>1</v>
      </c>
      <c r="FJ6" s="272">
        <v>32110902</v>
      </c>
      <c r="FK6" s="272"/>
      <c r="FL6" s="272">
        <v>20384579</v>
      </c>
      <c r="FM6" s="272">
        <v>25498608</v>
      </c>
      <c r="FN6" s="460">
        <v>0.81899999999999995</v>
      </c>
      <c r="FO6" s="388">
        <v>86.7</v>
      </c>
      <c r="FP6" s="388">
        <v>40.1</v>
      </c>
      <c r="FQ6" s="388">
        <v>7.3</v>
      </c>
      <c r="FR6" s="388">
        <v>12.9</v>
      </c>
      <c r="FS6" s="388">
        <v>10.1</v>
      </c>
      <c r="FT6" s="388">
        <v>6.6</v>
      </c>
      <c r="FU6" s="388">
        <v>8.8000000000000007</v>
      </c>
      <c r="FV6" s="388">
        <v>10.3</v>
      </c>
      <c r="FW6" s="272">
        <v>44648632</v>
      </c>
      <c r="FX6" s="384">
        <f t="shared" ref="FX6:FX50" si="16">ROUND(FW6/FJ6*100,1)</f>
        <v>139</v>
      </c>
      <c r="FY6" s="272">
        <v>10202532</v>
      </c>
      <c r="FZ6" s="272">
        <v>1430839</v>
      </c>
      <c r="GA6" s="272">
        <v>2515140</v>
      </c>
      <c r="GB6" s="272">
        <v>6256553</v>
      </c>
      <c r="GC6" s="272"/>
      <c r="GD6" s="272">
        <v>21289414</v>
      </c>
      <c r="GE6" s="384">
        <f t="shared" ref="GE6:GE37" si="17">ROUND(GD6/FJ6*100,1)</f>
        <v>66.3</v>
      </c>
      <c r="GF6" s="388">
        <v>97.9</v>
      </c>
      <c r="GG6" s="388">
        <v>27.8</v>
      </c>
      <c r="GH6" s="388">
        <v>95.4</v>
      </c>
      <c r="GI6" s="272">
        <v>1581</v>
      </c>
    </row>
    <row r="7" spans="2:191" x14ac:dyDescent="0.15">
      <c r="B7" s="89" t="s">
        <v>7</v>
      </c>
      <c r="C7" s="272">
        <v>75205481</v>
      </c>
      <c r="D7" s="455">
        <f t="shared" si="0"/>
        <v>36845578</v>
      </c>
      <c r="E7" s="272">
        <v>300181</v>
      </c>
      <c r="F7" s="272">
        <v>36545397</v>
      </c>
      <c r="G7" s="455">
        <f t="shared" si="1"/>
        <v>6129473</v>
      </c>
      <c r="H7" s="272">
        <v>835984</v>
      </c>
      <c r="I7" s="272">
        <v>5293489</v>
      </c>
      <c r="J7" s="272">
        <v>21376782</v>
      </c>
      <c r="K7" s="272">
        <v>9398687</v>
      </c>
      <c r="L7" s="272">
        <v>8385762</v>
      </c>
      <c r="M7" s="272">
        <v>3108900</v>
      </c>
      <c r="N7" s="272">
        <v>3800720</v>
      </c>
      <c r="O7" s="272">
        <v>4942549</v>
      </c>
      <c r="P7" s="272">
        <v>3338237</v>
      </c>
      <c r="Q7" s="272">
        <v>1604312</v>
      </c>
      <c r="R7" s="272">
        <v>4333097</v>
      </c>
      <c r="S7" s="272">
        <v>1748913</v>
      </c>
      <c r="T7" s="455">
        <f t="shared" si="2"/>
        <v>3794081</v>
      </c>
      <c r="U7" s="272">
        <v>2817158</v>
      </c>
      <c r="V7" s="272"/>
      <c r="W7" s="272"/>
      <c r="X7" s="272"/>
      <c r="Y7" s="272">
        <v>0</v>
      </c>
      <c r="Z7" s="272">
        <v>38434</v>
      </c>
      <c r="AA7" s="272">
        <v>938489</v>
      </c>
      <c r="AB7" s="272"/>
      <c r="AC7" s="272">
        <v>214823</v>
      </c>
      <c r="AD7" s="272">
        <v>0</v>
      </c>
      <c r="AE7" s="272">
        <v>214823</v>
      </c>
      <c r="AF7" s="272">
        <v>81828</v>
      </c>
      <c r="AG7" s="272">
        <v>946309</v>
      </c>
      <c r="AH7" s="455">
        <f t="shared" si="3"/>
        <v>2093941</v>
      </c>
      <c r="AI7" s="272">
        <v>1923470</v>
      </c>
      <c r="AJ7" s="272">
        <v>170471</v>
      </c>
      <c r="AK7" s="272">
        <v>8208447</v>
      </c>
      <c r="AL7" s="455">
        <f t="shared" si="4"/>
        <v>5130187</v>
      </c>
      <c r="AM7" s="272">
        <v>4269208</v>
      </c>
      <c r="AN7" s="272">
        <v>467951</v>
      </c>
      <c r="AO7" s="272">
        <v>0</v>
      </c>
      <c r="AP7" s="272">
        <v>393028</v>
      </c>
      <c r="AQ7" s="272">
        <v>1389964</v>
      </c>
      <c r="AR7" s="272">
        <v>0</v>
      </c>
      <c r="AS7" s="272">
        <v>0</v>
      </c>
      <c r="AT7" s="272">
        <v>4554965</v>
      </c>
      <c r="AU7" s="272">
        <v>1373789</v>
      </c>
      <c r="AV7" s="272">
        <v>231094</v>
      </c>
      <c r="AW7" s="272">
        <v>188595</v>
      </c>
      <c r="AX7" s="272">
        <v>3181176</v>
      </c>
      <c r="AY7" s="272">
        <v>159157</v>
      </c>
      <c r="AZ7" s="272">
        <v>1779657</v>
      </c>
      <c r="BA7" s="272">
        <v>68616</v>
      </c>
      <c r="BB7" s="272">
        <v>722680</v>
      </c>
      <c r="BC7" s="272">
        <v>1354453</v>
      </c>
      <c r="BD7" s="272">
        <v>400000</v>
      </c>
      <c r="BE7" s="272">
        <v>0</v>
      </c>
      <c r="BF7" s="272">
        <v>733554</v>
      </c>
      <c r="BG7" s="272">
        <v>0</v>
      </c>
      <c r="BH7" s="272">
        <v>1284192</v>
      </c>
      <c r="BI7" s="272">
        <v>926722</v>
      </c>
      <c r="BJ7" s="272">
        <v>2622876</v>
      </c>
      <c r="BK7" s="272">
        <v>1102012</v>
      </c>
      <c r="BL7" s="272">
        <v>0</v>
      </c>
      <c r="BM7" s="272">
        <v>406297</v>
      </c>
      <c r="BN7" s="272">
        <v>7254000</v>
      </c>
      <c r="BO7" s="455">
        <f t="shared" si="5"/>
        <v>7254000</v>
      </c>
      <c r="BP7" s="455">
        <f t="shared" si="6"/>
        <v>0</v>
      </c>
      <c r="BQ7" s="272"/>
      <c r="BR7" s="272"/>
      <c r="BS7" s="272"/>
      <c r="BT7" s="272">
        <v>0</v>
      </c>
      <c r="BU7" s="272">
        <v>114450830</v>
      </c>
      <c r="BV7" s="272"/>
      <c r="BW7" s="272">
        <v>34793074</v>
      </c>
      <c r="BX7" s="272">
        <v>27227371</v>
      </c>
      <c r="BY7" s="272">
        <v>1160121</v>
      </c>
      <c r="BZ7" s="272">
        <v>1092703</v>
      </c>
      <c r="CA7" s="272">
        <v>11351432</v>
      </c>
      <c r="CB7" s="272">
        <v>1340206</v>
      </c>
      <c r="CC7" s="272">
        <v>2383614</v>
      </c>
      <c r="CD7" s="272">
        <v>1600370</v>
      </c>
      <c r="CE7" s="272">
        <v>5830068</v>
      </c>
      <c r="CF7" s="272">
        <v>381</v>
      </c>
      <c r="CG7" s="272">
        <v>192883</v>
      </c>
      <c r="CH7" s="272">
        <v>8400089</v>
      </c>
      <c r="CI7" s="272">
        <v>4386590</v>
      </c>
      <c r="CJ7" s="455">
        <f t="shared" si="7"/>
        <v>4013499</v>
      </c>
      <c r="CK7" s="272">
        <v>11467729</v>
      </c>
      <c r="CL7" s="272">
        <v>4945251</v>
      </c>
      <c r="CM7" s="272">
        <v>346775</v>
      </c>
      <c r="CN7" s="272">
        <v>3507452</v>
      </c>
      <c r="CO7" s="272">
        <v>2454841</v>
      </c>
      <c r="CP7" s="272">
        <v>12031774</v>
      </c>
      <c r="CQ7" s="272">
        <v>3306876</v>
      </c>
      <c r="CR7" s="272">
        <v>3226569</v>
      </c>
      <c r="CS7" s="272">
        <v>2391592</v>
      </c>
      <c r="CT7" s="455">
        <f t="shared" si="8"/>
        <v>2632036</v>
      </c>
      <c r="CU7" s="272">
        <v>678051</v>
      </c>
      <c r="CV7" s="272">
        <v>1953985</v>
      </c>
      <c r="CW7" s="455">
        <f t="shared" si="9"/>
        <v>1971091</v>
      </c>
      <c r="CX7" s="272">
        <v>630394</v>
      </c>
      <c r="CY7" s="272">
        <v>1340697</v>
      </c>
      <c r="CZ7" s="455">
        <f t="shared" si="10"/>
        <v>0</v>
      </c>
      <c r="DA7" s="272">
        <v>0</v>
      </c>
      <c r="DB7" s="272">
        <v>0</v>
      </c>
      <c r="DC7" s="272">
        <v>19020256</v>
      </c>
      <c r="DD7" s="272">
        <v>2881930</v>
      </c>
      <c r="DE7" s="272">
        <v>15225836</v>
      </c>
      <c r="DF7" s="272">
        <v>883833</v>
      </c>
      <c r="DG7" s="272">
        <v>28657</v>
      </c>
      <c r="DH7" s="272">
        <v>0</v>
      </c>
      <c r="DI7" s="272">
        <v>2400308</v>
      </c>
      <c r="DJ7" s="272">
        <v>345464</v>
      </c>
      <c r="DK7" s="272">
        <v>0</v>
      </c>
      <c r="DL7" s="272">
        <v>2054844</v>
      </c>
      <c r="DM7" s="272">
        <v>582490</v>
      </c>
      <c r="DN7" s="272">
        <v>377490</v>
      </c>
      <c r="DO7" s="272">
        <v>0</v>
      </c>
      <c r="DP7" s="272">
        <v>377490</v>
      </c>
      <c r="DQ7" s="272">
        <v>1079968</v>
      </c>
      <c r="DR7" s="272">
        <v>0</v>
      </c>
      <c r="DS7" s="272">
        <v>0</v>
      </c>
      <c r="DT7" s="272">
        <v>9173790</v>
      </c>
      <c r="DU7" s="272">
        <v>5277385</v>
      </c>
      <c r="DV7" s="455">
        <f t="shared" si="11"/>
        <v>0</v>
      </c>
      <c r="DW7" s="272">
        <v>0</v>
      </c>
      <c r="DX7" s="272">
        <v>0</v>
      </c>
      <c r="DY7" s="272">
        <v>40532</v>
      </c>
      <c r="DZ7" s="272">
        <v>2862844</v>
      </c>
      <c r="EA7" s="272">
        <v>938817</v>
      </c>
      <c r="EB7" s="272"/>
      <c r="EC7" s="272">
        <v>0</v>
      </c>
      <c r="ED7" s="272">
        <v>112755751</v>
      </c>
      <c r="EF7" s="272">
        <v>1695079</v>
      </c>
      <c r="EG7" s="272">
        <v>1140491</v>
      </c>
      <c r="EH7" s="272">
        <v>554588</v>
      </c>
      <c r="EI7" s="272">
        <v>-372134</v>
      </c>
      <c r="EJ7" s="272">
        <v>-426670</v>
      </c>
      <c r="EL7" s="272"/>
      <c r="EM7" s="272">
        <v>396309</v>
      </c>
      <c r="EN7" s="272">
        <v>400899</v>
      </c>
      <c r="EO7" s="272">
        <v>69941</v>
      </c>
      <c r="EP7" s="455">
        <f t="shared" si="12"/>
        <v>3125320</v>
      </c>
      <c r="EQ7" s="272">
        <v>83629310</v>
      </c>
      <c r="ER7" s="272">
        <v>-3514332</v>
      </c>
      <c r="ES7" s="272">
        <v>31996230</v>
      </c>
      <c r="ET7" s="272">
        <v>24634614</v>
      </c>
      <c r="EU7" s="272">
        <v>3853779</v>
      </c>
      <c r="EV7" s="272">
        <v>8219583</v>
      </c>
      <c r="EW7" s="455">
        <f t="shared" si="13"/>
        <v>9179342</v>
      </c>
      <c r="EX7" s="272">
        <v>9179342</v>
      </c>
      <c r="EY7" s="272">
        <v>580127</v>
      </c>
      <c r="EZ7" s="272">
        <v>7973982</v>
      </c>
      <c r="FA7" s="272">
        <v>0</v>
      </c>
      <c r="FB7" s="272"/>
      <c r="FC7" s="272">
        <v>9764316</v>
      </c>
      <c r="FD7" s="272">
        <v>10758070</v>
      </c>
      <c r="FE7" s="272">
        <v>3306876</v>
      </c>
      <c r="FF7" s="272">
        <v>9013753</v>
      </c>
      <c r="FG7" s="455">
        <f t="shared" si="14"/>
        <v>2663490</v>
      </c>
      <c r="FH7" s="272">
        <v>85448563</v>
      </c>
      <c r="FI7" s="384">
        <f t="shared" si="15"/>
        <v>0.7</v>
      </c>
      <c r="FJ7" s="272">
        <v>77820459</v>
      </c>
      <c r="FK7" s="272"/>
      <c r="FL7" s="272">
        <v>59036175</v>
      </c>
      <c r="FM7" s="272">
        <v>50434839</v>
      </c>
      <c r="FN7" s="460">
        <v>1.169</v>
      </c>
      <c r="FO7" s="388">
        <v>84.3</v>
      </c>
      <c r="FP7" s="388">
        <v>39.9</v>
      </c>
      <c r="FQ7" s="388">
        <v>4.9000000000000004</v>
      </c>
      <c r="FR7" s="388">
        <v>10.4</v>
      </c>
      <c r="FS7" s="388">
        <v>11.8</v>
      </c>
      <c r="FT7" s="388">
        <v>9.1</v>
      </c>
      <c r="FU7" s="388">
        <v>5.9</v>
      </c>
      <c r="FV7" s="388">
        <v>7.7</v>
      </c>
      <c r="FW7" s="272">
        <v>76107467</v>
      </c>
      <c r="FX7" s="384">
        <f t="shared" si="16"/>
        <v>97.8</v>
      </c>
      <c r="FY7" s="272">
        <v>58883394</v>
      </c>
      <c r="FZ7" s="272">
        <v>10802135</v>
      </c>
      <c r="GA7" s="272"/>
      <c r="GB7" s="272">
        <v>48081259</v>
      </c>
      <c r="GC7" s="272"/>
      <c r="GD7" s="272">
        <v>56195712</v>
      </c>
      <c r="GE7" s="384">
        <f t="shared" si="17"/>
        <v>72.2</v>
      </c>
      <c r="GF7" s="388">
        <v>97.3</v>
      </c>
      <c r="GG7" s="388">
        <v>21.1</v>
      </c>
      <c r="GH7" s="388">
        <v>93.2</v>
      </c>
      <c r="GI7" s="272">
        <v>3525</v>
      </c>
    </row>
    <row r="8" spans="2:191" x14ac:dyDescent="0.15">
      <c r="B8" s="89" t="s">
        <v>9</v>
      </c>
      <c r="C8" s="272">
        <v>18370505</v>
      </c>
      <c r="D8" s="455">
        <f t="shared" si="0"/>
        <v>8849657</v>
      </c>
      <c r="E8" s="272">
        <v>78319</v>
      </c>
      <c r="F8" s="272">
        <v>8771338</v>
      </c>
      <c r="G8" s="455">
        <f t="shared" si="1"/>
        <v>1404394</v>
      </c>
      <c r="H8" s="272">
        <v>234452</v>
      </c>
      <c r="I8" s="272">
        <v>1169942</v>
      </c>
      <c r="J8" s="272">
        <v>5937275</v>
      </c>
      <c r="K8" s="272">
        <v>2959953</v>
      </c>
      <c r="L8" s="272">
        <v>1986704</v>
      </c>
      <c r="M8" s="272">
        <v>890050</v>
      </c>
      <c r="N8" s="272">
        <v>467853</v>
      </c>
      <c r="O8" s="272">
        <v>1637802</v>
      </c>
      <c r="P8" s="272">
        <v>1203950</v>
      </c>
      <c r="Q8" s="272">
        <v>433852</v>
      </c>
      <c r="R8" s="272">
        <v>808762</v>
      </c>
      <c r="S8" s="272">
        <v>510333</v>
      </c>
      <c r="T8" s="455">
        <f t="shared" si="2"/>
        <v>1075834</v>
      </c>
      <c r="U8" s="272">
        <v>677670</v>
      </c>
      <c r="V8" s="272"/>
      <c r="W8" s="272"/>
      <c r="X8" s="272"/>
      <c r="Y8" s="272">
        <v>135204</v>
      </c>
      <c r="Z8" s="272">
        <v>11999</v>
      </c>
      <c r="AA8" s="272">
        <v>250961</v>
      </c>
      <c r="AB8" s="272"/>
      <c r="AC8" s="272">
        <v>413789</v>
      </c>
      <c r="AD8" s="272">
        <v>140190</v>
      </c>
      <c r="AE8" s="272">
        <v>273599</v>
      </c>
      <c r="AF8" s="272">
        <v>24298</v>
      </c>
      <c r="AG8" s="272">
        <v>169158</v>
      </c>
      <c r="AH8" s="455">
        <f t="shared" si="3"/>
        <v>630656</v>
      </c>
      <c r="AI8" s="272">
        <v>518737</v>
      </c>
      <c r="AJ8" s="272">
        <v>111919</v>
      </c>
      <c r="AK8" s="272">
        <v>1471659</v>
      </c>
      <c r="AL8" s="455">
        <f t="shared" si="4"/>
        <v>762424</v>
      </c>
      <c r="AM8" s="272">
        <v>508079</v>
      </c>
      <c r="AN8" s="272">
        <v>120651</v>
      </c>
      <c r="AO8" s="272">
        <v>0</v>
      </c>
      <c r="AP8" s="272">
        <v>133694</v>
      </c>
      <c r="AQ8" s="272">
        <v>150253</v>
      </c>
      <c r="AR8" s="272">
        <v>0</v>
      </c>
      <c r="AS8" s="272">
        <v>0</v>
      </c>
      <c r="AT8" s="272">
        <v>1370131</v>
      </c>
      <c r="AU8" s="272">
        <v>359247</v>
      </c>
      <c r="AV8" s="272">
        <v>60652</v>
      </c>
      <c r="AW8" s="272">
        <v>67772</v>
      </c>
      <c r="AX8" s="272">
        <v>1010884</v>
      </c>
      <c r="AY8" s="272">
        <v>134373</v>
      </c>
      <c r="AZ8" s="272">
        <v>462018</v>
      </c>
      <c r="BA8" s="272">
        <v>149969</v>
      </c>
      <c r="BB8" s="272">
        <v>332140</v>
      </c>
      <c r="BC8" s="272">
        <v>367757</v>
      </c>
      <c r="BD8" s="272">
        <v>0</v>
      </c>
      <c r="BE8" s="272">
        <v>0</v>
      </c>
      <c r="BF8" s="272">
        <v>67248</v>
      </c>
      <c r="BG8" s="272">
        <v>0</v>
      </c>
      <c r="BH8" s="272">
        <v>118566</v>
      </c>
      <c r="BI8" s="272">
        <v>118135</v>
      </c>
      <c r="BJ8" s="272">
        <v>1269311</v>
      </c>
      <c r="BK8" s="272">
        <v>748801</v>
      </c>
      <c r="BL8" s="272">
        <v>77287</v>
      </c>
      <c r="BM8" s="272">
        <v>272473</v>
      </c>
      <c r="BN8" s="272">
        <v>1789000</v>
      </c>
      <c r="BO8" s="455">
        <f t="shared" si="5"/>
        <v>1789000</v>
      </c>
      <c r="BP8" s="455">
        <f t="shared" si="6"/>
        <v>0</v>
      </c>
      <c r="BQ8" s="272"/>
      <c r="BR8" s="272"/>
      <c r="BS8" s="272"/>
      <c r="BT8" s="272">
        <v>0</v>
      </c>
      <c r="BU8" s="272">
        <v>28673584</v>
      </c>
      <c r="BV8" s="272"/>
      <c r="BW8" s="272">
        <v>10158826</v>
      </c>
      <c r="BX8" s="272">
        <v>7687110</v>
      </c>
      <c r="BY8" s="272">
        <v>540983</v>
      </c>
      <c r="BZ8" s="272">
        <v>191003</v>
      </c>
      <c r="CA8" s="272">
        <v>2208647</v>
      </c>
      <c r="CB8" s="272">
        <v>318705</v>
      </c>
      <c r="CC8" s="272">
        <v>679718</v>
      </c>
      <c r="CD8" s="272">
        <v>496199</v>
      </c>
      <c r="CE8" s="272">
        <v>690726</v>
      </c>
      <c r="CF8" s="272">
        <v>3979</v>
      </c>
      <c r="CG8" s="272">
        <v>18890</v>
      </c>
      <c r="CH8" s="272">
        <v>2818374</v>
      </c>
      <c r="CI8" s="272">
        <v>1392644</v>
      </c>
      <c r="CJ8" s="455">
        <f t="shared" si="7"/>
        <v>1425730</v>
      </c>
      <c r="CK8" s="272">
        <v>2857811</v>
      </c>
      <c r="CL8" s="272">
        <v>1289112</v>
      </c>
      <c r="CM8" s="272">
        <v>154306</v>
      </c>
      <c r="CN8" s="272">
        <v>884650</v>
      </c>
      <c r="CO8" s="272">
        <v>1023805</v>
      </c>
      <c r="CP8" s="272">
        <v>1765473</v>
      </c>
      <c r="CQ8" s="272">
        <v>0</v>
      </c>
      <c r="CR8" s="272">
        <v>536201</v>
      </c>
      <c r="CS8" s="272">
        <v>438921</v>
      </c>
      <c r="CT8" s="455">
        <f t="shared" si="8"/>
        <v>823450</v>
      </c>
      <c r="CU8" s="272">
        <v>466156</v>
      </c>
      <c r="CV8" s="272">
        <v>357294</v>
      </c>
      <c r="CW8" s="455">
        <f t="shared" si="9"/>
        <v>674039</v>
      </c>
      <c r="CX8" s="272">
        <v>461039</v>
      </c>
      <c r="CY8" s="272">
        <v>213000</v>
      </c>
      <c r="CZ8" s="455">
        <f t="shared" si="10"/>
        <v>0</v>
      </c>
      <c r="DA8" s="272">
        <v>0</v>
      </c>
      <c r="DB8" s="272">
        <v>0</v>
      </c>
      <c r="DC8" s="272">
        <v>3438574</v>
      </c>
      <c r="DD8" s="272">
        <v>528090</v>
      </c>
      <c r="DE8" s="272">
        <v>2807495</v>
      </c>
      <c r="DF8" s="272">
        <v>25702</v>
      </c>
      <c r="DG8" s="272">
        <v>77287</v>
      </c>
      <c r="DH8" s="272">
        <v>0</v>
      </c>
      <c r="DI8" s="272">
        <v>1108538</v>
      </c>
      <c r="DJ8" s="272">
        <v>46400</v>
      </c>
      <c r="DK8" s="272">
        <v>0</v>
      </c>
      <c r="DL8" s="272">
        <v>1062138</v>
      </c>
      <c r="DM8" s="272">
        <v>267396</v>
      </c>
      <c r="DN8" s="272">
        <v>265396</v>
      </c>
      <c r="DO8" s="272">
        <v>34593</v>
      </c>
      <c r="DP8" s="272">
        <v>230803</v>
      </c>
      <c r="DQ8" s="272">
        <v>752018</v>
      </c>
      <c r="DR8" s="272">
        <v>0</v>
      </c>
      <c r="DS8" s="272">
        <v>0</v>
      </c>
      <c r="DT8" s="272">
        <v>2055693</v>
      </c>
      <c r="DU8" s="272">
        <v>1310723</v>
      </c>
      <c r="DV8" s="455">
        <f t="shared" si="11"/>
        <v>0</v>
      </c>
      <c r="DW8" s="272">
        <v>0</v>
      </c>
      <c r="DX8" s="272">
        <v>0</v>
      </c>
      <c r="DY8" s="272">
        <v>0</v>
      </c>
      <c r="DZ8" s="272">
        <v>439829</v>
      </c>
      <c r="EA8" s="272">
        <v>296720</v>
      </c>
      <c r="EB8" s="272"/>
      <c r="EC8" s="272">
        <v>0</v>
      </c>
      <c r="ED8" s="272">
        <v>28455155</v>
      </c>
      <c r="EF8" s="272">
        <v>218429</v>
      </c>
      <c r="EG8" s="272">
        <v>15735</v>
      </c>
      <c r="EH8" s="272">
        <v>202694</v>
      </c>
      <c r="EI8" s="272">
        <v>-45441</v>
      </c>
      <c r="EJ8" s="272">
        <v>959</v>
      </c>
      <c r="EL8" s="272"/>
      <c r="EM8" s="272">
        <v>101236</v>
      </c>
      <c r="EN8" s="272">
        <v>245911</v>
      </c>
      <c r="EO8" s="272">
        <v>165221</v>
      </c>
      <c r="EP8" s="455">
        <f t="shared" si="12"/>
        <v>836565</v>
      </c>
      <c r="EQ8" s="272">
        <v>20693188</v>
      </c>
      <c r="ER8" s="272">
        <v>-1223399</v>
      </c>
      <c r="ES8" s="272">
        <v>9443798</v>
      </c>
      <c r="ET8" s="272">
        <v>7007494</v>
      </c>
      <c r="EU8" s="272">
        <v>821153</v>
      </c>
      <c r="EV8" s="272">
        <v>2735746</v>
      </c>
      <c r="EW8" s="455">
        <f t="shared" si="13"/>
        <v>1133543</v>
      </c>
      <c r="EX8" s="272">
        <v>1133543</v>
      </c>
      <c r="EY8" s="272">
        <v>78965</v>
      </c>
      <c r="EZ8" s="272">
        <v>1028876</v>
      </c>
      <c r="FA8" s="272">
        <v>0</v>
      </c>
      <c r="FB8" s="272"/>
      <c r="FC8" s="272">
        <v>2271239</v>
      </c>
      <c r="FD8" s="272">
        <v>1534866</v>
      </c>
      <c r="FE8" s="272"/>
      <c r="FF8" s="272">
        <v>2020120</v>
      </c>
      <c r="FG8" s="455">
        <f t="shared" si="14"/>
        <v>1737693</v>
      </c>
      <c r="FH8" s="272">
        <v>21698158</v>
      </c>
      <c r="FI8" s="384">
        <f t="shared" si="15"/>
        <v>1.1000000000000001</v>
      </c>
      <c r="FJ8" s="272">
        <v>18152717</v>
      </c>
      <c r="FK8" s="272"/>
      <c r="FL8" s="272">
        <v>13588031</v>
      </c>
      <c r="FM8" s="272">
        <v>13753459</v>
      </c>
      <c r="FN8" s="460">
        <v>1.046</v>
      </c>
      <c r="FO8" s="388">
        <v>97</v>
      </c>
      <c r="FP8" s="388">
        <v>48.9</v>
      </c>
      <c r="FQ8" s="388">
        <v>4.3</v>
      </c>
      <c r="FR8" s="388">
        <v>14.5</v>
      </c>
      <c r="FS8" s="388">
        <v>11.1</v>
      </c>
      <c r="FT8" s="388">
        <v>5.9</v>
      </c>
      <c r="FU8" s="388">
        <v>8.1999999999999993</v>
      </c>
      <c r="FV8" s="388">
        <v>13.3</v>
      </c>
      <c r="FW8" s="272">
        <v>20797805</v>
      </c>
      <c r="FX8" s="384">
        <f t="shared" si="16"/>
        <v>114.6</v>
      </c>
      <c r="FY8" s="272">
        <v>10923767</v>
      </c>
      <c r="FZ8" s="272">
        <v>1497080</v>
      </c>
      <c r="GA8" s="272"/>
      <c r="GB8" s="272">
        <v>9426687</v>
      </c>
      <c r="GC8" s="272"/>
      <c r="GD8" s="272">
        <v>12169593</v>
      </c>
      <c r="GE8" s="384">
        <f t="shared" si="17"/>
        <v>67</v>
      </c>
      <c r="GF8" s="388">
        <v>97.9</v>
      </c>
      <c r="GG8" s="388">
        <v>22.3</v>
      </c>
      <c r="GH8" s="388">
        <v>93.6</v>
      </c>
      <c r="GI8" s="272">
        <v>1005</v>
      </c>
    </row>
    <row r="9" spans="2:191" x14ac:dyDescent="0.15">
      <c r="B9" s="89" t="s">
        <v>11</v>
      </c>
      <c r="C9" s="272">
        <v>66041582</v>
      </c>
      <c r="D9" s="455">
        <f t="shared" si="0"/>
        <v>29376965</v>
      </c>
      <c r="E9" s="272">
        <v>254973</v>
      </c>
      <c r="F9" s="272">
        <v>29121992</v>
      </c>
      <c r="G9" s="455">
        <f t="shared" si="1"/>
        <v>6862522</v>
      </c>
      <c r="H9" s="272">
        <v>856178</v>
      </c>
      <c r="I9" s="272">
        <v>6006344</v>
      </c>
      <c r="J9" s="272">
        <v>21617991</v>
      </c>
      <c r="K9" s="272">
        <v>9956711</v>
      </c>
      <c r="L9" s="272">
        <v>8293337</v>
      </c>
      <c r="M9" s="272">
        <v>2958959</v>
      </c>
      <c r="N9" s="272">
        <v>1408019</v>
      </c>
      <c r="O9" s="272">
        <v>5476701</v>
      </c>
      <c r="P9" s="272">
        <v>3620128</v>
      </c>
      <c r="Q9" s="272">
        <v>1856573</v>
      </c>
      <c r="R9" s="272">
        <v>2127120</v>
      </c>
      <c r="S9" s="272">
        <v>1555117</v>
      </c>
      <c r="T9" s="455">
        <f t="shared" si="2"/>
        <v>3128814</v>
      </c>
      <c r="U9" s="272">
        <v>2319146</v>
      </c>
      <c r="V9" s="272"/>
      <c r="W9" s="272"/>
      <c r="X9" s="272"/>
      <c r="Y9" s="272">
        <v>0</v>
      </c>
      <c r="Z9" s="272">
        <v>32368</v>
      </c>
      <c r="AA9" s="272">
        <v>777300</v>
      </c>
      <c r="AB9" s="272"/>
      <c r="AC9" s="272">
        <v>217254</v>
      </c>
      <c r="AD9" s="272">
        <v>0</v>
      </c>
      <c r="AE9" s="272">
        <v>217254</v>
      </c>
      <c r="AF9" s="272">
        <v>65783</v>
      </c>
      <c r="AG9" s="272">
        <v>1171809</v>
      </c>
      <c r="AH9" s="455">
        <f t="shared" si="3"/>
        <v>2286188</v>
      </c>
      <c r="AI9" s="272">
        <v>1931698</v>
      </c>
      <c r="AJ9" s="272">
        <v>354490</v>
      </c>
      <c r="AK9" s="272">
        <v>7837915</v>
      </c>
      <c r="AL9" s="455">
        <f t="shared" si="4"/>
        <v>4238365</v>
      </c>
      <c r="AM9" s="272">
        <v>3004725</v>
      </c>
      <c r="AN9" s="272">
        <v>850365</v>
      </c>
      <c r="AO9" s="272">
        <v>0</v>
      </c>
      <c r="AP9" s="272">
        <v>383275</v>
      </c>
      <c r="AQ9" s="272">
        <v>1991071</v>
      </c>
      <c r="AR9" s="272">
        <v>0</v>
      </c>
      <c r="AS9" s="272">
        <v>0</v>
      </c>
      <c r="AT9" s="272">
        <v>4274164</v>
      </c>
      <c r="AU9" s="272">
        <v>1102775</v>
      </c>
      <c r="AV9" s="272">
        <v>258534</v>
      </c>
      <c r="AW9" s="272">
        <v>154878</v>
      </c>
      <c r="AX9" s="272">
        <v>3171389</v>
      </c>
      <c r="AY9" s="272">
        <v>681085</v>
      </c>
      <c r="AZ9" s="272">
        <v>1496527</v>
      </c>
      <c r="BA9" s="272">
        <v>217735</v>
      </c>
      <c r="BB9" s="272">
        <v>53931</v>
      </c>
      <c r="BC9" s="272">
        <v>4560333</v>
      </c>
      <c r="BD9" s="272">
        <v>2000000</v>
      </c>
      <c r="BE9" s="272">
        <v>0</v>
      </c>
      <c r="BF9" s="272">
        <v>2540605</v>
      </c>
      <c r="BG9" s="272">
        <v>0</v>
      </c>
      <c r="BH9" s="272">
        <v>1943148</v>
      </c>
      <c r="BI9" s="272">
        <v>1925751</v>
      </c>
      <c r="BJ9" s="272">
        <v>3223408</v>
      </c>
      <c r="BK9" s="272">
        <v>1211055</v>
      </c>
      <c r="BL9" s="272">
        <v>807442</v>
      </c>
      <c r="BM9" s="272">
        <v>493013</v>
      </c>
      <c r="BN9" s="272">
        <v>12645992</v>
      </c>
      <c r="BO9" s="455">
        <f t="shared" si="5"/>
        <v>12645992</v>
      </c>
      <c r="BP9" s="455">
        <f t="shared" si="6"/>
        <v>0</v>
      </c>
      <c r="BQ9" s="272"/>
      <c r="BR9" s="272"/>
      <c r="BS9" s="272"/>
      <c r="BT9" s="272">
        <v>0</v>
      </c>
      <c r="BU9" s="272">
        <v>111073968</v>
      </c>
      <c r="BV9" s="272"/>
      <c r="BW9" s="272">
        <v>28863991</v>
      </c>
      <c r="BX9" s="272">
        <v>21924169</v>
      </c>
      <c r="BY9" s="272">
        <v>1338284</v>
      </c>
      <c r="BZ9" s="272">
        <v>1272616</v>
      </c>
      <c r="CA9" s="272">
        <v>10608740</v>
      </c>
      <c r="CB9" s="272">
        <v>1233409</v>
      </c>
      <c r="CC9" s="272">
        <v>2153577</v>
      </c>
      <c r="CD9" s="272">
        <v>2295571</v>
      </c>
      <c r="CE9" s="272">
        <v>4057136</v>
      </c>
      <c r="CF9" s="272">
        <v>562670</v>
      </c>
      <c r="CG9" s="272">
        <v>306377</v>
      </c>
      <c r="CH9" s="272">
        <v>6320882</v>
      </c>
      <c r="CI9" s="272">
        <v>3201414</v>
      </c>
      <c r="CJ9" s="455">
        <f t="shared" si="7"/>
        <v>3119468</v>
      </c>
      <c r="CK9" s="272">
        <v>11721283</v>
      </c>
      <c r="CL9" s="272">
        <v>6857864</v>
      </c>
      <c r="CM9" s="272">
        <v>227190</v>
      </c>
      <c r="CN9" s="272">
        <v>2644655</v>
      </c>
      <c r="CO9" s="272">
        <v>3211702</v>
      </c>
      <c r="CP9" s="272">
        <v>4025741</v>
      </c>
      <c r="CQ9" s="272">
        <v>1083</v>
      </c>
      <c r="CR9" s="272">
        <v>1347030</v>
      </c>
      <c r="CS9" s="272">
        <v>1153909</v>
      </c>
      <c r="CT9" s="455">
        <f t="shared" si="8"/>
        <v>1300158</v>
      </c>
      <c r="CU9" s="272">
        <v>924004</v>
      </c>
      <c r="CV9" s="272">
        <v>376154</v>
      </c>
      <c r="CW9" s="455">
        <f t="shared" si="9"/>
        <v>1278390</v>
      </c>
      <c r="CX9" s="272">
        <v>902236</v>
      </c>
      <c r="CY9" s="272">
        <v>376154</v>
      </c>
      <c r="CZ9" s="455">
        <f t="shared" si="10"/>
        <v>0</v>
      </c>
      <c r="DA9" s="272">
        <v>0</v>
      </c>
      <c r="DB9" s="272">
        <v>0</v>
      </c>
      <c r="DC9" s="272">
        <v>28577686</v>
      </c>
      <c r="DD9" s="272">
        <v>4209281</v>
      </c>
      <c r="DE9" s="272">
        <v>23288308</v>
      </c>
      <c r="DF9" s="272">
        <v>0</v>
      </c>
      <c r="DG9" s="272">
        <v>1080097</v>
      </c>
      <c r="DH9" s="272">
        <v>0</v>
      </c>
      <c r="DI9" s="272">
        <v>3764734</v>
      </c>
      <c r="DJ9" s="272">
        <v>1252069</v>
      </c>
      <c r="DK9" s="272">
        <v>0</v>
      </c>
      <c r="DL9" s="272">
        <v>2512665</v>
      </c>
      <c r="DM9" s="272">
        <v>176500</v>
      </c>
      <c r="DN9" s="272">
        <v>172500</v>
      </c>
      <c r="DO9" s="272">
        <v>0</v>
      </c>
      <c r="DP9" s="272">
        <v>172500</v>
      </c>
      <c r="DQ9" s="272">
        <v>1166000</v>
      </c>
      <c r="DR9" s="272">
        <v>0</v>
      </c>
      <c r="DS9" s="272">
        <v>0</v>
      </c>
      <c r="DT9" s="272">
        <v>9723268</v>
      </c>
      <c r="DU9" s="272">
        <v>5049400</v>
      </c>
      <c r="DV9" s="455">
        <f t="shared" si="11"/>
        <v>1314147</v>
      </c>
      <c r="DW9" s="272">
        <v>1314147</v>
      </c>
      <c r="DX9" s="272">
        <v>0</v>
      </c>
      <c r="DY9" s="272">
        <v>22913</v>
      </c>
      <c r="DZ9" s="272">
        <v>2200779</v>
      </c>
      <c r="EA9" s="272">
        <v>844229</v>
      </c>
      <c r="EB9" s="272"/>
      <c r="EC9" s="272">
        <v>0</v>
      </c>
      <c r="ED9" s="272">
        <v>108160527</v>
      </c>
      <c r="EF9" s="272">
        <v>2913441</v>
      </c>
      <c r="EG9" s="272">
        <v>45257</v>
      </c>
      <c r="EH9" s="272">
        <v>2868184</v>
      </c>
      <c r="EI9" s="272">
        <v>942433</v>
      </c>
      <c r="EJ9" s="272">
        <v>194502</v>
      </c>
      <c r="EL9" s="272"/>
      <c r="EM9" s="272">
        <v>329691</v>
      </c>
      <c r="EN9" s="272">
        <v>2019728</v>
      </c>
      <c r="EO9" s="272">
        <v>241164</v>
      </c>
      <c r="EP9" s="455">
        <f t="shared" si="12"/>
        <v>3751705</v>
      </c>
      <c r="EQ9" s="272">
        <v>71580553</v>
      </c>
      <c r="ER9" s="272">
        <v>-5946814</v>
      </c>
      <c r="ES9" s="272">
        <v>26732640</v>
      </c>
      <c r="ET9" s="272">
        <v>19889883</v>
      </c>
      <c r="EU9" s="272">
        <v>3653897</v>
      </c>
      <c r="EV9" s="272">
        <v>6130273</v>
      </c>
      <c r="EW9" s="455">
        <f t="shared" si="13"/>
        <v>9754326</v>
      </c>
      <c r="EX9" s="272">
        <v>9754326</v>
      </c>
      <c r="EY9" s="272">
        <v>433966</v>
      </c>
      <c r="EZ9" s="272">
        <v>9320360</v>
      </c>
      <c r="FA9" s="272">
        <v>0</v>
      </c>
      <c r="FB9" s="272"/>
      <c r="FC9" s="272">
        <v>9762601</v>
      </c>
      <c r="FD9" s="272">
        <v>3279285</v>
      </c>
      <c r="FE9" s="272">
        <v>1083</v>
      </c>
      <c r="FF9" s="272">
        <v>9335654</v>
      </c>
      <c r="FG9" s="455">
        <f t="shared" si="14"/>
        <v>5965250</v>
      </c>
      <c r="FH9" s="272">
        <v>74613926</v>
      </c>
      <c r="FI9" s="384">
        <f t="shared" si="15"/>
        <v>4.4000000000000004</v>
      </c>
      <c r="FJ9" s="272">
        <v>65300770</v>
      </c>
      <c r="FK9" s="272"/>
      <c r="FL9" s="272">
        <v>49133966</v>
      </c>
      <c r="FM9" s="272">
        <v>40595949</v>
      </c>
      <c r="FN9" s="460">
        <v>1.236</v>
      </c>
      <c r="FO9" s="388">
        <v>83.4</v>
      </c>
      <c r="FP9" s="388">
        <v>39.5</v>
      </c>
      <c r="FQ9" s="388">
        <v>5.5</v>
      </c>
      <c r="FR9" s="388">
        <v>9.1999999999999993</v>
      </c>
      <c r="FS9" s="388">
        <v>14.4</v>
      </c>
      <c r="FT9" s="388">
        <v>3.6</v>
      </c>
      <c r="FU9" s="388">
        <v>6.6</v>
      </c>
      <c r="FV9" s="388">
        <v>6.9</v>
      </c>
      <c r="FW9" s="272">
        <v>61168844</v>
      </c>
      <c r="FX9" s="384">
        <f t="shared" si="16"/>
        <v>93.7</v>
      </c>
      <c r="FY9" s="272">
        <v>34270633</v>
      </c>
      <c r="FZ9" s="272">
        <v>8085443</v>
      </c>
      <c r="GA9" s="272"/>
      <c r="GB9" s="272">
        <v>26185190</v>
      </c>
      <c r="GC9" s="272"/>
      <c r="GD9" s="272">
        <v>23717685</v>
      </c>
      <c r="GE9" s="384">
        <f t="shared" si="17"/>
        <v>36.299999999999997</v>
      </c>
      <c r="GF9" s="388">
        <v>97.4</v>
      </c>
      <c r="GG9" s="388">
        <v>22.3</v>
      </c>
      <c r="GH9" s="388">
        <v>94.3</v>
      </c>
      <c r="GI9" s="272">
        <v>2894</v>
      </c>
    </row>
    <row r="10" spans="2:191" x14ac:dyDescent="0.15">
      <c r="B10" s="89" t="s">
        <v>13</v>
      </c>
      <c r="C10" s="272">
        <v>10673366</v>
      </c>
      <c r="D10" s="455">
        <f t="shared" si="0"/>
        <v>3600861</v>
      </c>
      <c r="E10" s="272">
        <v>47587</v>
      </c>
      <c r="F10" s="272">
        <v>3553274</v>
      </c>
      <c r="G10" s="455">
        <f t="shared" si="1"/>
        <v>995606</v>
      </c>
      <c r="H10" s="272">
        <v>160434</v>
      </c>
      <c r="I10" s="272">
        <v>835172</v>
      </c>
      <c r="J10" s="272">
        <v>4577399</v>
      </c>
      <c r="K10" s="272">
        <v>2351870</v>
      </c>
      <c r="L10" s="272">
        <v>1329092</v>
      </c>
      <c r="M10" s="272">
        <v>607988</v>
      </c>
      <c r="N10" s="272">
        <v>374420</v>
      </c>
      <c r="O10" s="272">
        <v>1050054</v>
      </c>
      <c r="P10" s="272">
        <v>751418</v>
      </c>
      <c r="Q10" s="272">
        <v>298636</v>
      </c>
      <c r="R10" s="272">
        <v>511422</v>
      </c>
      <c r="S10" s="272">
        <v>347223</v>
      </c>
      <c r="T10" s="455">
        <f t="shared" si="2"/>
        <v>447642</v>
      </c>
      <c r="U10" s="272">
        <v>276727</v>
      </c>
      <c r="V10" s="272"/>
      <c r="W10" s="272"/>
      <c r="X10" s="272"/>
      <c r="Y10" s="272">
        <v>0</v>
      </c>
      <c r="Z10" s="272">
        <v>1952</v>
      </c>
      <c r="AA10" s="272">
        <v>168963</v>
      </c>
      <c r="AB10" s="272"/>
      <c r="AC10" s="272">
        <v>1991576</v>
      </c>
      <c r="AD10" s="272">
        <v>1699061</v>
      </c>
      <c r="AE10" s="272">
        <v>292515</v>
      </c>
      <c r="AF10" s="272">
        <v>19608</v>
      </c>
      <c r="AG10" s="272">
        <v>87827</v>
      </c>
      <c r="AH10" s="455">
        <f t="shared" si="3"/>
        <v>369301</v>
      </c>
      <c r="AI10" s="272">
        <v>340304</v>
      </c>
      <c r="AJ10" s="272">
        <v>28997</v>
      </c>
      <c r="AK10" s="272">
        <v>2986597</v>
      </c>
      <c r="AL10" s="455">
        <f t="shared" si="4"/>
        <v>845287</v>
      </c>
      <c r="AM10" s="272">
        <v>595127</v>
      </c>
      <c r="AN10" s="272">
        <v>150564</v>
      </c>
      <c r="AO10" s="272">
        <v>0</v>
      </c>
      <c r="AP10" s="272">
        <v>99596</v>
      </c>
      <c r="AQ10" s="272">
        <v>1582307</v>
      </c>
      <c r="AR10" s="272">
        <v>0</v>
      </c>
      <c r="AS10" s="272">
        <v>0</v>
      </c>
      <c r="AT10" s="272">
        <v>972381</v>
      </c>
      <c r="AU10" s="272">
        <v>212326</v>
      </c>
      <c r="AV10" s="272">
        <v>74236</v>
      </c>
      <c r="AW10" s="272">
        <v>0</v>
      </c>
      <c r="AX10" s="272">
        <v>760055</v>
      </c>
      <c r="AY10" s="272">
        <v>263172</v>
      </c>
      <c r="AZ10" s="272">
        <v>1517742</v>
      </c>
      <c r="BA10" s="272">
        <v>1333259</v>
      </c>
      <c r="BB10" s="272">
        <v>236470</v>
      </c>
      <c r="BC10" s="272">
        <v>2425436</v>
      </c>
      <c r="BD10" s="272">
        <v>1450000</v>
      </c>
      <c r="BE10" s="272">
        <v>0</v>
      </c>
      <c r="BF10" s="272">
        <v>965684</v>
      </c>
      <c r="BG10" s="272">
        <v>0</v>
      </c>
      <c r="BH10" s="272">
        <v>203450</v>
      </c>
      <c r="BI10" s="272">
        <v>190646</v>
      </c>
      <c r="BJ10" s="272">
        <v>1157547</v>
      </c>
      <c r="BK10" s="272">
        <v>735680</v>
      </c>
      <c r="BL10" s="272">
        <v>0</v>
      </c>
      <c r="BM10" s="272">
        <v>244191</v>
      </c>
      <c r="BN10" s="272">
        <v>2373400</v>
      </c>
      <c r="BO10" s="455">
        <f t="shared" si="5"/>
        <v>2373400</v>
      </c>
      <c r="BP10" s="455">
        <f t="shared" si="6"/>
        <v>0</v>
      </c>
      <c r="BQ10" s="272"/>
      <c r="BR10" s="272"/>
      <c r="BS10" s="272"/>
      <c r="BT10" s="272">
        <v>0</v>
      </c>
      <c r="BU10" s="272">
        <v>25973765</v>
      </c>
      <c r="BV10" s="272"/>
      <c r="BW10" s="272">
        <v>6011989</v>
      </c>
      <c r="BX10" s="272">
        <v>4519342</v>
      </c>
      <c r="BY10" s="272">
        <v>299502</v>
      </c>
      <c r="BZ10" s="272">
        <v>150122</v>
      </c>
      <c r="CA10" s="272">
        <v>2184359</v>
      </c>
      <c r="CB10" s="272">
        <v>340821</v>
      </c>
      <c r="CC10" s="272">
        <v>595350</v>
      </c>
      <c r="CD10" s="272">
        <v>436203</v>
      </c>
      <c r="CE10" s="272">
        <v>783025</v>
      </c>
      <c r="CF10" s="272">
        <v>63</v>
      </c>
      <c r="CG10" s="272">
        <v>28867</v>
      </c>
      <c r="CH10" s="272">
        <v>1728207</v>
      </c>
      <c r="CI10" s="272">
        <v>851661</v>
      </c>
      <c r="CJ10" s="455">
        <f t="shared" si="7"/>
        <v>876546</v>
      </c>
      <c r="CK10" s="272">
        <v>1621098</v>
      </c>
      <c r="CL10" s="272">
        <v>714796</v>
      </c>
      <c r="CM10" s="272">
        <v>71040</v>
      </c>
      <c r="CN10" s="272">
        <v>456737</v>
      </c>
      <c r="CO10" s="272">
        <v>111488</v>
      </c>
      <c r="CP10" s="272">
        <v>2336119</v>
      </c>
      <c r="CQ10" s="272">
        <v>986563</v>
      </c>
      <c r="CR10" s="272">
        <v>383874</v>
      </c>
      <c r="CS10" s="272">
        <v>383874</v>
      </c>
      <c r="CT10" s="455">
        <f t="shared" si="8"/>
        <v>679801</v>
      </c>
      <c r="CU10" s="272">
        <v>7884</v>
      </c>
      <c r="CV10" s="272">
        <v>671917</v>
      </c>
      <c r="CW10" s="455">
        <f t="shared" si="9"/>
        <v>657930</v>
      </c>
      <c r="CX10" s="272">
        <v>0</v>
      </c>
      <c r="CY10" s="272">
        <v>657930</v>
      </c>
      <c r="CZ10" s="455">
        <f t="shared" si="10"/>
        <v>0</v>
      </c>
      <c r="DA10" s="272">
        <v>0</v>
      </c>
      <c r="DB10" s="272">
        <v>0</v>
      </c>
      <c r="DC10" s="272">
        <v>6563577</v>
      </c>
      <c r="DD10" s="272">
        <v>3222616</v>
      </c>
      <c r="DE10" s="272">
        <v>3263558</v>
      </c>
      <c r="DF10" s="272">
        <v>77403</v>
      </c>
      <c r="DG10" s="272">
        <v>0</v>
      </c>
      <c r="DH10" s="272">
        <v>0</v>
      </c>
      <c r="DI10" s="272">
        <v>2121905</v>
      </c>
      <c r="DJ10" s="272">
        <v>1312700</v>
      </c>
      <c r="DK10" s="272">
        <v>103500</v>
      </c>
      <c r="DL10" s="272">
        <v>705705</v>
      </c>
      <c r="DM10" s="272">
        <v>101000</v>
      </c>
      <c r="DN10" s="272">
        <v>0</v>
      </c>
      <c r="DO10" s="272">
        <v>0</v>
      </c>
      <c r="DP10" s="272">
        <v>0</v>
      </c>
      <c r="DQ10" s="272">
        <v>710000</v>
      </c>
      <c r="DR10" s="272">
        <v>0</v>
      </c>
      <c r="DS10" s="272">
        <v>0</v>
      </c>
      <c r="DT10" s="272">
        <v>2152188</v>
      </c>
      <c r="DU10" s="272">
        <v>1653999</v>
      </c>
      <c r="DV10" s="455">
        <f t="shared" si="11"/>
        <v>0</v>
      </c>
      <c r="DW10" s="272">
        <v>0</v>
      </c>
      <c r="DX10" s="272">
        <v>0</v>
      </c>
      <c r="DY10" s="272">
        <v>0</v>
      </c>
      <c r="DZ10" s="272">
        <v>250896</v>
      </c>
      <c r="EA10" s="272">
        <v>231863</v>
      </c>
      <c r="EB10" s="272"/>
      <c r="EC10" s="272">
        <v>0</v>
      </c>
      <c r="ED10" s="272">
        <v>25641930</v>
      </c>
      <c r="EF10" s="272">
        <v>331835</v>
      </c>
      <c r="EG10" s="272">
        <v>148459</v>
      </c>
      <c r="EH10" s="272">
        <v>183376</v>
      </c>
      <c r="EI10" s="272">
        <v>-7270</v>
      </c>
      <c r="EJ10" s="272">
        <v>-144570</v>
      </c>
      <c r="EL10" s="272"/>
      <c r="EM10" s="272">
        <v>67251</v>
      </c>
      <c r="EN10" s="272">
        <v>1468256</v>
      </c>
      <c r="EO10" s="272">
        <v>1338320</v>
      </c>
      <c r="EP10" s="455">
        <f t="shared" si="12"/>
        <v>976381</v>
      </c>
      <c r="EQ10" s="272">
        <v>13643614</v>
      </c>
      <c r="ER10" s="272">
        <v>-3763349</v>
      </c>
      <c r="ES10" s="272">
        <v>5503713</v>
      </c>
      <c r="ET10" s="272">
        <v>4028063</v>
      </c>
      <c r="EU10" s="272">
        <v>772160</v>
      </c>
      <c r="EV10" s="272">
        <v>1585893</v>
      </c>
      <c r="EW10" s="455">
        <f t="shared" si="13"/>
        <v>1265686</v>
      </c>
      <c r="EX10" s="272">
        <v>1265686</v>
      </c>
      <c r="EY10" s="272">
        <v>93544</v>
      </c>
      <c r="EZ10" s="272">
        <v>1169142</v>
      </c>
      <c r="FA10" s="272">
        <v>0</v>
      </c>
      <c r="FB10" s="272"/>
      <c r="FC10" s="272">
        <v>1485834</v>
      </c>
      <c r="FD10" s="272">
        <v>2170326</v>
      </c>
      <c r="FE10" s="272">
        <v>986563</v>
      </c>
      <c r="FF10" s="272">
        <v>2123679</v>
      </c>
      <c r="FG10" s="455">
        <f t="shared" si="14"/>
        <v>2167837</v>
      </c>
      <c r="FH10" s="272">
        <v>17075128</v>
      </c>
      <c r="FI10" s="384">
        <f t="shared" si="15"/>
        <v>1.5</v>
      </c>
      <c r="FJ10" s="272">
        <v>12225549</v>
      </c>
      <c r="FK10" s="272"/>
      <c r="FL10" s="272">
        <v>7941315</v>
      </c>
      <c r="FM10" s="272">
        <v>9657307</v>
      </c>
      <c r="FN10" s="460">
        <v>0.81599999999999995</v>
      </c>
      <c r="FO10" s="388">
        <v>94.2</v>
      </c>
      <c r="FP10" s="388">
        <v>41.8</v>
      </c>
      <c r="FQ10" s="388">
        <v>6.2</v>
      </c>
      <c r="FR10" s="388">
        <v>12.8</v>
      </c>
      <c r="FS10" s="388">
        <v>9.1</v>
      </c>
      <c r="FT10" s="388">
        <v>12.3</v>
      </c>
      <c r="FU10" s="388">
        <v>11</v>
      </c>
      <c r="FV10" s="388">
        <v>11.2</v>
      </c>
      <c r="FW10" s="272">
        <v>15578906</v>
      </c>
      <c r="FX10" s="384">
        <f t="shared" si="16"/>
        <v>127.4</v>
      </c>
      <c r="FY10" s="272">
        <v>3764297</v>
      </c>
      <c r="FZ10" s="272">
        <v>868205</v>
      </c>
      <c r="GA10" s="272">
        <v>862200</v>
      </c>
      <c r="GB10" s="272">
        <v>2033892</v>
      </c>
      <c r="GC10" s="272"/>
      <c r="GD10" s="272">
        <v>12770852</v>
      </c>
      <c r="GE10" s="384">
        <f t="shared" si="17"/>
        <v>104.5</v>
      </c>
      <c r="GF10" s="388">
        <v>97.9</v>
      </c>
      <c r="GG10" s="388">
        <v>27.8</v>
      </c>
      <c r="GH10" s="388">
        <v>94.3</v>
      </c>
      <c r="GI10" s="272">
        <v>627</v>
      </c>
    </row>
    <row r="11" spans="2:191" x14ac:dyDescent="0.15">
      <c r="B11" s="89" t="s">
        <v>15</v>
      </c>
      <c r="C11" s="272">
        <v>55588075</v>
      </c>
      <c r="D11" s="455">
        <f t="shared" si="0"/>
        <v>25367630</v>
      </c>
      <c r="E11" s="272">
        <v>269626</v>
      </c>
      <c r="F11" s="272">
        <v>25098004</v>
      </c>
      <c r="G11" s="455">
        <f t="shared" si="1"/>
        <v>4551229</v>
      </c>
      <c r="H11" s="272">
        <v>625821</v>
      </c>
      <c r="I11" s="272">
        <v>3925408</v>
      </c>
      <c r="J11" s="272">
        <v>18197121</v>
      </c>
      <c r="K11" s="272">
        <v>9293124</v>
      </c>
      <c r="L11" s="272">
        <v>5968101</v>
      </c>
      <c r="M11" s="272">
        <v>2785719</v>
      </c>
      <c r="N11" s="272">
        <v>1362794</v>
      </c>
      <c r="O11" s="272">
        <v>4172336</v>
      </c>
      <c r="P11" s="272">
        <v>3016242</v>
      </c>
      <c r="Q11" s="272">
        <v>1156094</v>
      </c>
      <c r="R11" s="272">
        <v>2086693</v>
      </c>
      <c r="S11" s="272">
        <v>1451448</v>
      </c>
      <c r="T11" s="455">
        <f t="shared" si="2"/>
        <v>2901004</v>
      </c>
      <c r="U11" s="272">
        <v>1867878</v>
      </c>
      <c r="V11" s="272"/>
      <c r="W11" s="272"/>
      <c r="X11" s="272"/>
      <c r="Y11" s="272">
        <v>143955</v>
      </c>
      <c r="Z11" s="272">
        <v>25274</v>
      </c>
      <c r="AA11" s="272">
        <v>863897</v>
      </c>
      <c r="AB11" s="272"/>
      <c r="AC11" s="272">
        <v>1257322</v>
      </c>
      <c r="AD11" s="272">
        <v>926156</v>
      </c>
      <c r="AE11" s="272">
        <v>331166</v>
      </c>
      <c r="AF11" s="272">
        <v>75063</v>
      </c>
      <c r="AG11" s="272">
        <v>659538</v>
      </c>
      <c r="AH11" s="455">
        <f t="shared" si="3"/>
        <v>1848010</v>
      </c>
      <c r="AI11" s="272">
        <v>1199577</v>
      </c>
      <c r="AJ11" s="272">
        <v>648433</v>
      </c>
      <c r="AK11" s="272">
        <v>7306042</v>
      </c>
      <c r="AL11" s="455">
        <f t="shared" si="4"/>
        <v>2712306</v>
      </c>
      <c r="AM11" s="272">
        <v>1880609</v>
      </c>
      <c r="AN11" s="272">
        <v>518318</v>
      </c>
      <c r="AO11" s="272">
        <v>0</v>
      </c>
      <c r="AP11" s="272">
        <v>313379</v>
      </c>
      <c r="AQ11" s="272">
        <v>1762924</v>
      </c>
      <c r="AR11" s="272">
        <v>79443</v>
      </c>
      <c r="AS11" s="272">
        <v>0</v>
      </c>
      <c r="AT11" s="272">
        <v>4147614</v>
      </c>
      <c r="AU11" s="272">
        <v>1177871</v>
      </c>
      <c r="AV11" s="272">
        <v>255523</v>
      </c>
      <c r="AW11" s="272">
        <v>287258</v>
      </c>
      <c r="AX11" s="272">
        <v>2969743</v>
      </c>
      <c r="AY11" s="272">
        <v>509674</v>
      </c>
      <c r="AZ11" s="272">
        <v>855026</v>
      </c>
      <c r="BA11" s="272">
        <v>131610</v>
      </c>
      <c r="BB11" s="272">
        <v>373333</v>
      </c>
      <c r="BC11" s="272">
        <v>7046226</v>
      </c>
      <c r="BD11" s="272">
        <v>150000</v>
      </c>
      <c r="BE11" s="272">
        <v>0</v>
      </c>
      <c r="BF11" s="272">
        <v>6890000</v>
      </c>
      <c r="BG11" s="272">
        <v>0</v>
      </c>
      <c r="BH11" s="272">
        <v>574966</v>
      </c>
      <c r="BI11" s="272">
        <v>487684</v>
      </c>
      <c r="BJ11" s="272">
        <v>4193105</v>
      </c>
      <c r="BK11" s="272">
        <v>2805157</v>
      </c>
      <c r="BL11" s="272">
        <v>81045</v>
      </c>
      <c r="BM11" s="272">
        <v>501451</v>
      </c>
      <c r="BN11" s="272">
        <v>12531000</v>
      </c>
      <c r="BO11" s="455">
        <f t="shared" si="5"/>
        <v>12531000</v>
      </c>
      <c r="BP11" s="455">
        <f t="shared" si="6"/>
        <v>0</v>
      </c>
      <c r="BQ11" s="272"/>
      <c r="BR11" s="272"/>
      <c r="BS11" s="272"/>
      <c r="BT11" s="272">
        <v>0</v>
      </c>
      <c r="BU11" s="272">
        <v>101443017</v>
      </c>
      <c r="BV11" s="272"/>
      <c r="BW11" s="272">
        <v>26486896</v>
      </c>
      <c r="BX11" s="272">
        <v>20093663</v>
      </c>
      <c r="BY11" s="272">
        <v>1629743</v>
      </c>
      <c r="BZ11" s="272">
        <v>776081</v>
      </c>
      <c r="CA11" s="272">
        <v>6939325</v>
      </c>
      <c r="CB11" s="272">
        <v>482595</v>
      </c>
      <c r="CC11" s="272">
        <v>1789544</v>
      </c>
      <c r="CD11" s="272">
        <v>1933708</v>
      </c>
      <c r="CE11" s="272">
        <v>2610116</v>
      </c>
      <c r="CF11" s="272">
        <v>3852</v>
      </c>
      <c r="CG11" s="272">
        <v>118020</v>
      </c>
      <c r="CH11" s="272">
        <v>8140045</v>
      </c>
      <c r="CI11" s="272">
        <v>4644528</v>
      </c>
      <c r="CJ11" s="455">
        <f t="shared" si="7"/>
        <v>3495517</v>
      </c>
      <c r="CK11" s="272">
        <v>12011507</v>
      </c>
      <c r="CL11" s="272">
        <v>6489256</v>
      </c>
      <c r="CM11" s="272">
        <v>271616</v>
      </c>
      <c r="CN11" s="272">
        <v>3199184</v>
      </c>
      <c r="CO11" s="272">
        <v>1304374</v>
      </c>
      <c r="CP11" s="272">
        <v>4417272</v>
      </c>
      <c r="CQ11" s="272">
        <v>44956</v>
      </c>
      <c r="CR11" s="272">
        <v>2119199</v>
      </c>
      <c r="CS11" s="272">
        <v>2119199</v>
      </c>
      <c r="CT11" s="455">
        <f t="shared" si="8"/>
        <v>988580</v>
      </c>
      <c r="CU11" s="272">
        <v>71228</v>
      </c>
      <c r="CV11" s="272">
        <v>917352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30742823</v>
      </c>
      <c r="DD11" s="272">
        <v>4229941</v>
      </c>
      <c r="DE11" s="272">
        <v>26149611</v>
      </c>
      <c r="DF11" s="272">
        <v>226158</v>
      </c>
      <c r="DG11" s="272">
        <v>137113</v>
      </c>
      <c r="DH11" s="272">
        <v>203805</v>
      </c>
      <c r="DI11" s="272">
        <v>1264167</v>
      </c>
      <c r="DJ11" s="272">
        <v>303489</v>
      </c>
      <c r="DK11" s="272">
        <v>28885</v>
      </c>
      <c r="DL11" s="272">
        <v>931793</v>
      </c>
      <c r="DM11" s="272">
        <v>29200</v>
      </c>
      <c r="DN11" s="272">
        <v>0</v>
      </c>
      <c r="DO11" s="272">
        <v>0</v>
      </c>
      <c r="DP11" s="272">
        <v>0</v>
      </c>
      <c r="DQ11" s="272">
        <v>2742809</v>
      </c>
      <c r="DR11" s="272">
        <v>0</v>
      </c>
      <c r="DS11" s="272">
        <v>0</v>
      </c>
      <c r="DT11" s="272">
        <v>6420006</v>
      </c>
      <c r="DU11" s="272">
        <v>4040330</v>
      </c>
      <c r="DV11" s="455">
        <f t="shared" si="11"/>
        <v>0</v>
      </c>
      <c r="DW11" s="272">
        <v>0</v>
      </c>
      <c r="DX11" s="272">
        <v>0</v>
      </c>
      <c r="DY11" s="272">
        <v>0</v>
      </c>
      <c r="DZ11" s="272">
        <v>1377020</v>
      </c>
      <c r="EA11" s="272">
        <v>954664</v>
      </c>
      <c r="EB11" s="272"/>
      <c r="EC11" s="272">
        <v>0</v>
      </c>
      <c r="ED11" s="272">
        <v>100702229</v>
      </c>
      <c r="EF11" s="272">
        <v>740788</v>
      </c>
      <c r="EG11" s="272">
        <v>419676</v>
      </c>
      <c r="EH11" s="272">
        <v>321112</v>
      </c>
      <c r="EI11" s="272">
        <v>-166572</v>
      </c>
      <c r="EJ11" s="272">
        <v>-13083</v>
      </c>
      <c r="EL11" s="272"/>
      <c r="EM11" s="272">
        <v>358985</v>
      </c>
      <c r="EN11" s="272">
        <v>150000</v>
      </c>
      <c r="EO11" s="272">
        <v>138987</v>
      </c>
      <c r="EP11" s="455">
        <f t="shared" si="12"/>
        <v>2761276</v>
      </c>
      <c r="EQ11" s="272">
        <v>61908157</v>
      </c>
      <c r="ER11" s="272">
        <v>-2975200</v>
      </c>
      <c r="ES11" s="272">
        <v>24230023</v>
      </c>
      <c r="ET11" s="272">
        <v>17836790</v>
      </c>
      <c r="EU11" s="272">
        <v>1944247</v>
      </c>
      <c r="EV11" s="272">
        <v>7462454</v>
      </c>
      <c r="EW11" s="455">
        <f t="shared" si="13"/>
        <v>8431112</v>
      </c>
      <c r="EX11" s="272">
        <v>8337723</v>
      </c>
      <c r="EY11" s="272">
        <v>1001076</v>
      </c>
      <c r="EZ11" s="272">
        <v>7166489</v>
      </c>
      <c r="FA11" s="272">
        <v>93389</v>
      </c>
      <c r="FB11" s="272"/>
      <c r="FC11" s="272">
        <v>9720232</v>
      </c>
      <c r="FD11" s="272">
        <v>4165171</v>
      </c>
      <c r="FE11" s="272">
        <v>44956</v>
      </c>
      <c r="FF11" s="272">
        <v>6277721</v>
      </c>
      <c r="FG11" s="455">
        <f t="shared" si="14"/>
        <v>1911609</v>
      </c>
      <c r="FH11" s="272">
        <v>64142569</v>
      </c>
      <c r="FI11" s="384">
        <f t="shared" si="15"/>
        <v>0.6</v>
      </c>
      <c r="FJ11" s="272">
        <v>55740655</v>
      </c>
      <c r="FK11" s="272"/>
      <c r="FL11" s="272">
        <v>41287320</v>
      </c>
      <c r="FM11" s="272">
        <v>42323987</v>
      </c>
      <c r="FN11" s="460">
        <v>0.97699999999999998</v>
      </c>
      <c r="FO11" s="388">
        <v>88.1</v>
      </c>
      <c r="FP11" s="388">
        <v>40.799999999999997</v>
      </c>
      <c r="FQ11" s="388">
        <v>3.4</v>
      </c>
      <c r="FR11" s="388">
        <v>12.9</v>
      </c>
      <c r="FS11" s="388">
        <v>16</v>
      </c>
      <c r="FT11" s="388">
        <v>6.4</v>
      </c>
      <c r="FU11" s="388">
        <v>6.3</v>
      </c>
      <c r="FV11" s="388">
        <v>9.1</v>
      </c>
      <c r="FW11" s="272">
        <v>64980722</v>
      </c>
      <c r="FX11" s="384">
        <f t="shared" si="16"/>
        <v>116.6</v>
      </c>
      <c r="FY11" s="272">
        <v>19574665</v>
      </c>
      <c r="FZ11" s="272">
        <v>3346513</v>
      </c>
      <c r="GA11" s="272">
        <v>1119830</v>
      </c>
      <c r="GB11" s="272">
        <v>15108322</v>
      </c>
      <c r="GC11" s="272"/>
      <c r="GD11" s="272">
        <v>12269147</v>
      </c>
      <c r="GE11" s="384">
        <f t="shared" si="17"/>
        <v>22</v>
      </c>
      <c r="GF11" s="388">
        <v>98.7</v>
      </c>
      <c r="GG11" s="388">
        <v>39.4</v>
      </c>
      <c r="GH11" s="388">
        <v>97.4</v>
      </c>
      <c r="GI11" s="272">
        <v>2629</v>
      </c>
    </row>
    <row r="12" spans="2:191" x14ac:dyDescent="0.15">
      <c r="B12" s="89" t="s">
        <v>17</v>
      </c>
      <c r="C12" s="272">
        <v>10230850</v>
      </c>
      <c r="D12" s="455">
        <f t="shared" si="0"/>
        <v>3897648</v>
      </c>
      <c r="E12" s="272">
        <v>56761</v>
      </c>
      <c r="F12" s="272">
        <v>3840887</v>
      </c>
      <c r="G12" s="455">
        <f t="shared" si="1"/>
        <v>731824</v>
      </c>
      <c r="H12" s="272">
        <v>145028</v>
      </c>
      <c r="I12" s="272">
        <v>586796</v>
      </c>
      <c r="J12" s="272">
        <v>4022162</v>
      </c>
      <c r="K12" s="272">
        <v>1892144</v>
      </c>
      <c r="L12" s="272">
        <v>1387330</v>
      </c>
      <c r="M12" s="272">
        <v>658386</v>
      </c>
      <c r="N12" s="272">
        <v>459347</v>
      </c>
      <c r="O12" s="272">
        <v>862823</v>
      </c>
      <c r="P12" s="272">
        <v>560443</v>
      </c>
      <c r="Q12" s="272">
        <v>302380</v>
      </c>
      <c r="R12" s="272">
        <v>517579</v>
      </c>
      <c r="S12" s="272">
        <v>362021</v>
      </c>
      <c r="T12" s="455">
        <f t="shared" si="2"/>
        <v>508226</v>
      </c>
      <c r="U12" s="272">
        <v>292492</v>
      </c>
      <c r="V12" s="272"/>
      <c r="W12" s="272"/>
      <c r="X12" s="272"/>
      <c r="Y12" s="272">
        <v>0</v>
      </c>
      <c r="Z12" s="272">
        <v>4175</v>
      </c>
      <c r="AA12" s="272">
        <v>211559</v>
      </c>
      <c r="AB12" s="272"/>
      <c r="AC12" s="272">
        <v>3441725</v>
      </c>
      <c r="AD12" s="272">
        <v>3059299</v>
      </c>
      <c r="AE12" s="272">
        <v>382426</v>
      </c>
      <c r="AF12" s="272">
        <v>22213</v>
      </c>
      <c r="AG12" s="272">
        <v>153807</v>
      </c>
      <c r="AH12" s="455">
        <f t="shared" si="3"/>
        <v>920682</v>
      </c>
      <c r="AI12" s="272">
        <v>859959</v>
      </c>
      <c r="AJ12" s="272">
        <v>60723</v>
      </c>
      <c r="AK12" s="272">
        <v>1854862</v>
      </c>
      <c r="AL12" s="455">
        <f t="shared" si="4"/>
        <v>1065621</v>
      </c>
      <c r="AM12" s="272">
        <v>747204</v>
      </c>
      <c r="AN12" s="272">
        <v>250564</v>
      </c>
      <c r="AO12" s="272">
        <v>0</v>
      </c>
      <c r="AP12" s="272">
        <v>67853</v>
      </c>
      <c r="AQ12" s="272">
        <v>375212</v>
      </c>
      <c r="AR12" s="272">
        <v>0</v>
      </c>
      <c r="AS12" s="272">
        <v>0</v>
      </c>
      <c r="AT12" s="272">
        <v>1360655</v>
      </c>
      <c r="AU12" s="272">
        <v>399440</v>
      </c>
      <c r="AV12" s="272">
        <v>123658</v>
      </c>
      <c r="AW12" s="272">
        <v>40831</v>
      </c>
      <c r="AX12" s="272">
        <v>961215</v>
      </c>
      <c r="AY12" s="272">
        <v>232309</v>
      </c>
      <c r="AZ12" s="272">
        <v>129482</v>
      </c>
      <c r="BA12" s="272">
        <v>9594</v>
      </c>
      <c r="BB12" s="272">
        <v>350076</v>
      </c>
      <c r="BC12" s="272">
        <v>1287271</v>
      </c>
      <c r="BD12" s="272">
        <v>100000</v>
      </c>
      <c r="BE12" s="272">
        <v>0</v>
      </c>
      <c r="BF12" s="272">
        <v>1151589</v>
      </c>
      <c r="BG12" s="272">
        <v>0</v>
      </c>
      <c r="BH12" s="272">
        <v>150100</v>
      </c>
      <c r="BI12" s="272">
        <v>97192</v>
      </c>
      <c r="BJ12" s="272">
        <v>641419</v>
      </c>
      <c r="BK12" s="272">
        <v>26813</v>
      </c>
      <c r="BL12" s="272">
        <v>0</v>
      </c>
      <c r="BM12" s="272">
        <v>249533</v>
      </c>
      <c r="BN12" s="272">
        <v>3298700</v>
      </c>
      <c r="BO12" s="455">
        <f t="shared" si="5"/>
        <v>3298700</v>
      </c>
      <c r="BP12" s="455">
        <f t="shared" si="6"/>
        <v>0</v>
      </c>
      <c r="BQ12" s="272"/>
      <c r="BR12" s="272"/>
      <c r="BS12" s="272"/>
      <c r="BT12" s="272">
        <v>0</v>
      </c>
      <c r="BU12" s="272">
        <v>24867647</v>
      </c>
      <c r="BV12" s="272"/>
      <c r="BW12" s="272">
        <v>7210077</v>
      </c>
      <c r="BX12" s="272">
        <v>5067574</v>
      </c>
      <c r="BY12" s="272">
        <v>603235</v>
      </c>
      <c r="BZ12" s="272">
        <v>313928</v>
      </c>
      <c r="CA12" s="272">
        <v>2696331</v>
      </c>
      <c r="CB12" s="272">
        <v>356913</v>
      </c>
      <c r="CC12" s="272">
        <v>545886</v>
      </c>
      <c r="CD12" s="272">
        <v>775670</v>
      </c>
      <c r="CE12" s="272">
        <v>993483</v>
      </c>
      <c r="CF12" s="272">
        <v>475</v>
      </c>
      <c r="CG12" s="272">
        <v>23904</v>
      </c>
      <c r="CH12" s="272">
        <v>2765124</v>
      </c>
      <c r="CI12" s="272">
        <v>1293837</v>
      </c>
      <c r="CJ12" s="455">
        <f t="shared" si="7"/>
        <v>1471287</v>
      </c>
      <c r="CK12" s="272">
        <v>2434658</v>
      </c>
      <c r="CL12" s="272">
        <v>1305323</v>
      </c>
      <c r="CM12" s="272">
        <v>110794</v>
      </c>
      <c r="CN12" s="272">
        <v>623722</v>
      </c>
      <c r="CO12" s="272">
        <v>130268</v>
      </c>
      <c r="CP12" s="272">
        <v>2202482</v>
      </c>
      <c r="CQ12" s="272">
        <v>554322</v>
      </c>
      <c r="CR12" s="272">
        <v>754428</v>
      </c>
      <c r="CS12" s="272">
        <v>602679</v>
      </c>
      <c r="CT12" s="455">
        <f t="shared" si="8"/>
        <v>483418</v>
      </c>
      <c r="CU12" s="272">
        <v>310655</v>
      </c>
      <c r="CV12" s="272">
        <v>172763</v>
      </c>
      <c r="CW12" s="455">
        <f t="shared" si="9"/>
        <v>432302</v>
      </c>
      <c r="CX12" s="272">
        <v>259539</v>
      </c>
      <c r="CY12" s="272">
        <v>172763</v>
      </c>
      <c r="CZ12" s="455">
        <f t="shared" si="10"/>
        <v>0</v>
      </c>
      <c r="DA12" s="272">
        <v>0</v>
      </c>
      <c r="DB12" s="272">
        <v>0</v>
      </c>
      <c r="DC12" s="272">
        <v>5139407</v>
      </c>
      <c r="DD12" s="272">
        <v>587738</v>
      </c>
      <c r="DE12" s="272">
        <v>4483144</v>
      </c>
      <c r="DF12" s="272">
        <v>68525</v>
      </c>
      <c r="DG12" s="272">
        <v>0</v>
      </c>
      <c r="DH12" s="272">
        <v>11400</v>
      </c>
      <c r="DI12" s="272">
        <v>792763</v>
      </c>
      <c r="DJ12" s="272">
        <v>18238</v>
      </c>
      <c r="DK12" s="272">
        <v>16872</v>
      </c>
      <c r="DL12" s="272">
        <v>757653</v>
      </c>
      <c r="DM12" s="272">
        <v>3500</v>
      </c>
      <c r="DN12" s="272">
        <v>0</v>
      </c>
      <c r="DO12" s="272">
        <v>0</v>
      </c>
      <c r="DP12" s="272">
        <v>0</v>
      </c>
      <c r="DQ12" s="272">
        <v>6800</v>
      </c>
      <c r="DR12" s="272">
        <v>0</v>
      </c>
      <c r="DS12" s="272">
        <v>0</v>
      </c>
      <c r="DT12" s="272">
        <v>1443526</v>
      </c>
      <c r="DU12" s="272">
        <v>781000</v>
      </c>
      <c r="DV12" s="455">
        <f t="shared" si="11"/>
        <v>0</v>
      </c>
      <c r="DW12" s="272">
        <v>0</v>
      </c>
      <c r="DX12" s="272">
        <v>0</v>
      </c>
      <c r="DY12" s="272">
        <v>0</v>
      </c>
      <c r="DZ12" s="272">
        <v>350886</v>
      </c>
      <c r="EA12" s="272">
        <v>297483</v>
      </c>
      <c r="EB12" s="272"/>
      <c r="EC12" s="272">
        <v>0</v>
      </c>
      <c r="ED12" s="272">
        <v>24836336</v>
      </c>
      <c r="EF12" s="272">
        <v>31311</v>
      </c>
      <c r="EG12" s="272">
        <v>10924</v>
      </c>
      <c r="EH12" s="272">
        <v>20387</v>
      </c>
      <c r="EI12" s="272">
        <v>-76805</v>
      </c>
      <c r="EJ12" s="272">
        <v>-158567</v>
      </c>
      <c r="EL12" s="272"/>
      <c r="EM12" s="272">
        <v>81473</v>
      </c>
      <c r="EN12" s="272">
        <v>1250000</v>
      </c>
      <c r="EO12" s="272">
        <v>5567</v>
      </c>
      <c r="EP12" s="455">
        <f t="shared" si="12"/>
        <v>1067903</v>
      </c>
      <c r="EQ12" s="272">
        <v>14720593</v>
      </c>
      <c r="ER12" s="272">
        <v>-2301257</v>
      </c>
      <c r="ES12" s="272">
        <v>6738629</v>
      </c>
      <c r="ET12" s="272">
        <v>4757401</v>
      </c>
      <c r="EU12" s="272">
        <v>761334</v>
      </c>
      <c r="EV12" s="272">
        <v>2401151</v>
      </c>
      <c r="EW12" s="455">
        <f t="shared" si="13"/>
        <v>1197723</v>
      </c>
      <c r="EX12" s="272">
        <v>1189323</v>
      </c>
      <c r="EY12" s="272">
        <v>52594</v>
      </c>
      <c r="EZ12" s="272">
        <v>1101322</v>
      </c>
      <c r="FA12" s="272">
        <v>8400</v>
      </c>
      <c r="FB12" s="272"/>
      <c r="FC12" s="272">
        <v>2050695</v>
      </c>
      <c r="FD12" s="272">
        <v>1958670</v>
      </c>
      <c r="FE12" s="272">
        <v>554322</v>
      </c>
      <c r="FF12" s="272">
        <v>1399060</v>
      </c>
      <c r="FG12" s="455">
        <f t="shared" si="14"/>
        <v>483277</v>
      </c>
      <c r="FH12" s="272">
        <v>16990539</v>
      </c>
      <c r="FI12" s="384">
        <f t="shared" si="15"/>
        <v>0.2</v>
      </c>
      <c r="FJ12" s="272">
        <v>13404543</v>
      </c>
      <c r="FK12" s="272"/>
      <c r="FL12" s="272">
        <v>7801667</v>
      </c>
      <c r="FM12" s="272">
        <v>10894740</v>
      </c>
      <c r="FN12" s="460">
        <v>0.71299999999999997</v>
      </c>
      <c r="FO12" s="388">
        <v>97.1</v>
      </c>
      <c r="FP12" s="388">
        <v>46.5</v>
      </c>
      <c r="FQ12" s="388">
        <v>5.6</v>
      </c>
      <c r="FR12" s="388">
        <v>17.5</v>
      </c>
      <c r="FS12" s="388">
        <v>11.4</v>
      </c>
      <c r="FT12" s="388">
        <v>8.6999999999999993</v>
      </c>
      <c r="FU12" s="388">
        <v>6.3</v>
      </c>
      <c r="FV12" s="388">
        <v>13.6</v>
      </c>
      <c r="FW12" s="272">
        <v>29286964</v>
      </c>
      <c r="FX12" s="384">
        <f t="shared" si="16"/>
        <v>218.5</v>
      </c>
      <c r="FY12" s="272">
        <v>3018832</v>
      </c>
      <c r="FZ12" s="272">
        <v>549974</v>
      </c>
      <c r="GA12" s="272">
        <v>608281</v>
      </c>
      <c r="GB12" s="272">
        <v>1860577</v>
      </c>
      <c r="GC12" s="272"/>
      <c r="GD12" s="272">
        <v>5699774</v>
      </c>
      <c r="GE12" s="384">
        <f t="shared" si="17"/>
        <v>42.5</v>
      </c>
      <c r="GF12" s="388">
        <v>97.8</v>
      </c>
      <c r="GG12" s="388">
        <v>26.7</v>
      </c>
      <c r="GH12" s="388">
        <v>94.2</v>
      </c>
      <c r="GI12" s="272">
        <v>698</v>
      </c>
    </row>
    <row r="13" spans="2:191" x14ac:dyDescent="0.15">
      <c r="B13" s="89" t="s">
        <v>19</v>
      </c>
      <c r="C13" s="272">
        <v>26207936</v>
      </c>
      <c r="D13" s="455">
        <f t="shared" si="0"/>
        <v>8462940</v>
      </c>
      <c r="E13" s="272">
        <v>119828</v>
      </c>
      <c r="F13" s="272">
        <v>8343112</v>
      </c>
      <c r="G13" s="455">
        <f t="shared" si="1"/>
        <v>3291082</v>
      </c>
      <c r="H13" s="272">
        <v>310770</v>
      </c>
      <c r="I13" s="272">
        <v>2980312</v>
      </c>
      <c r="J13" s="272">
        <v>10180438</v>
      </c>
      <c r="K13" s="272">
        <v>4702423</v>
      </c>
      <c r="L13" s="272">
        <v>3382488</v>
      </c>
      <c r="M13" s="272">
        <v>1826526</v>
      </c>
      <c r="N13" s="272">
        <v>908398</v>
      </c>
      <c r="O13" s="272">
        <v>2327901</v>
      </c>
      <c r="P13" s="272">
        <v>1547315</v>
      </c>
      <c r="Q13" s="272">
        <v>780586</v>
      </c>
      <c r="R13" s="272">
        <v>1054251</v>
      </c>
      <c r="S13" s="272">
        <v>800969</v>
      </c>
      <c r="T13" s="455">
        <f t="shared" si="2"/>
        <v>1003569</v>
      </c>
      <c r="U13" s="272">
        <v>644931</v>
      </c>
      <c r="V13" s="272"/>
      <c r="W13" s="272"/>
      <c r="X13" s="272"/>
      <c r="Y13" s="272">
        <v>0</v>
      </c>
      <c r="Z13" s="272">
        <v>14361</v>
      </c>
      <c r="AA13" s="272">
        <v>344277</v>
      </c>
      <c r="AB13" s="272"/>
      <c r="AC13" s="272">
        <v>1789814</v>
      </c>
      <c r="AD13" s="272">
        <v>1364447</v>
      </c>
      <c r="AE13" s="272">
        <v>425367</v>
      </c>
      <c r="AF13" s="272">
        <v>38679</v>
      </c>
      <c r="AG13" s="272">
        <v>2736536</v>
      </c>
      <c r="AH13" s="455">
        <f t="shared" si="3"/>
        <v>880060</v>
      </c>
      <c r="AI13" s="272">
        <v>766363</v>
      </c>
      <c r="AJ13" s="272">
        <v>113697</v>
      </c>
      <c r="AK13" s="272">
        <v>4043884</v>
      </c>
      <c r="AL13" s="455">
        <f t="shared" si="4"/>
        <v>2689803</v>
      </c>
      <c r="AM13" s="272">
        <v>1985739</v>
      </c>
      <c r="AN13" s="272">
        <v>477986</v>
      </c>
      <c r="AO13" s="272">
        <v>0</v>
      </c>
      <c r="AP13" s="272">
        <v>226078</v>
      </c>
      <c r="AQ13" s="272">
        <v>324815</v>
      </c>
      <c r="AR13" s="272">
        <v>0</v>
      </c>
      <c r="AS13" s="272">
        <v>0</v>
      </c>
      <c r="AT13" s="272">
        <v>1802147</v>
      </c>
      <c r="AU13" s="272">
        <v>536436</v>
      </c>
      <c r="AV13" s="272">
        <v>161289</v>
      </c>
      <c r="AW13" s="272">
        <v>9580</v>
      </c>
      <c r="AX13" s="272">
        <v>1265711</v>
      </c>
      <c r="AY13" s="272">
        <v>198100</v>
      </c>
      <c r="AZ13" s="272">
        <v>320945</v>
      </c>
      <c r="BA13" s="272">
        <v>352</v>
      </c>
      <c r="BB13" s="272">
        <v>243922</v>
      </c>
      <c r="BC13" s="272">
        <v>2636958</v>
      </c>
      <c r="BD13" s="272">
        <v>1994652</v>
      </c>
      <c r="BE13" s="272">
        <v>330000</v>
      </c>
      <c r="BF13" s="272">
        <v>312306</v>
      </c>
      <c r="BG13" s="470">
        <v>0</v>
      </c>
      <c r="BH13" s="272">
        <v>220346</v>
      </c>
      <c r="BI13" s="272">
        <v>88008</v>
      </c>
      <c r="BJ13" s="272">
        <v>824195</v>
      </c>
      <c r="BK13" s="272">
        <v>109073</v>
      </c>
      <c r="BL13" s="272">
        <v>0</v>
      </c>
      <c r="BM13" s="272">
        <v>384918</v>
      </c>
      <c r="BN13" s="272">
        <v>3289800</v>
      </c>
      <c r="BO13" s="455">
        <f t="shared" si="5"/>
        <v>3289800</v>
      </c>
      <c r="BP13" s="455">
        <f t="shared" si="6"/>
        <v>0</v>
      </c>
      <c r="BQ13" s="272"/>
      <c r="BR13" s="272"/>
      <c r="BS13" s="272"/>
      <c r="BT13" s="272">
        <v>0</v>
      </c>
      <c r="BU13" s="272">
        <v>47093042</v>
      </c>
      <c r="BV13" s="272"/>
      <c r="BW13" s="272">
        <v>16427901</v>
      </c>
      <c r="BX13" s="272">
        <v>12319826</v>
      </c>
      <c r="BY13" s="272">
        <v>1036389</v>
      </c>
      <c r="BZ13" s="272">
        <v>472554</v>
      </c>
      <c r="CA13" s="272">
        <v>8012447</v>
      </c>
      <c r="CB13" s="272">
        <v>541280</v>
      </c>
      <c r="CC13" s="272">
        <v>1223578</v>
      </c>
      <c r="CD13" s="272">
        <v>838448</v>
      </c>
      <c r="CE13" s="272">
        <v>2666079</v>
      </c>
      <c r="CF13" s="272">
        <v>2618458</v>
      </c>
      <c r="CG13" s="272">
        <v>123730</v>
      </c>
      <c r="CH13" s="272">
        <v>4850773</v>
      </c>
      <c r="CI13" s="272">
        <v>2217361</v>
      </c>
      <c r="CJ13" s="455">
        <f t="shared" si="7"/>
        <v>2633412</v>
      </c>
      <c r="CK13" s="272">
        <v>3591556</v>
      </c>
      <c r="CL13" s="272">
        <v>1716533</v>
      </c>
      <c r="CM13" s="272">
        <v>196275</v>
      </c>
      <c r="CN13" s="272">
        <v>958669</v>
      </c>
      <c r="CO13" s="272">
        <v>361061</v>
      </c>
      <c r="CP13" s="272">
        <v>3336866</v>
      </c>
      <c r="CQ13" s="272">
        <v>2057974</v>
      </c>
      <c r="CR13" s="272">
        <v>537928</v>
      </c>
      <c r="CS13" s="272">
        <v>323620</v>
      </c>
      <c r="CT13" s="455">
        <f t="shared" si="8"/>
        <v>67765</v>
      </c>
      <c r="CU13" s="272">
        <v>67765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6085704</v>
      </c>
      <c r="DD13" s="272">
        <v>691829</v>
      </c>
      <c r="DE13" s="272">
        <v>5393875</v>
      </c>
      <c r="DF13" s="272">
        <v>0</v>
      </c>
      <c r="DG13" s="272">
        <v>0</v>
      </c>
      <c r="DH13" s="272">
        <v>0</v>
      </c>
      <c r="DI13" s="272">
        <v>317639</v>
      </c>
      <c r="DJ13" s="272">
        <v>122467</v>
      </c>
      <c r="DK13" s="272">
        <v>21367</v>
      </c>
      <c r="DL13" s="272">
        <v>173805</v>
      </c>
      <c r="DM13" s="272">
        <v>387800</v>
      </c>
      <c r="DN13" s="272">
        <v>382125</v>
      </c>
      <c r="DO13" s="272">
        <v>382125</v>
      </c>
      <c r="DP13" s="272">
        <v>0</v>
      </c>
      <c r="DQ13" s="272">
        <v>82142</v>
      </c>
      <c r="DR13" s="272">
        <v>0</v>
      </c>
      <c r="DS13" s="272">
        <v>0</v>
      </c>
      <c r="DT13" s="272">
        <v>3471368</v>
      </c>
      <c r="DU13" s="272">
        <v>2301029</v>
      </c>
      <c r="DV13" s="455">
        <f t="shared" si="11"/>
        <v>0</v>
      </c>
      <c r="DW13" s="272">
        <v>0</v>
      </c>
      <c r="DX13" s="272">
        <v>0</v>
      </c>
      <c r="DY13" s="272">
        <v>0</v>
      </c>
      <c r="DZ13" s="272">
        <v>658009</v>
      </c>
      <c r="EA13" s="272">
        <v>488583</v>
      </c>
      <c r="EB13" s="272"/>
      <c r="EC13" s="272">
        <v>0</v>
      </c>
      <c r="ED13" s="272">
        <v>46925257</v>
      </c>
      <c r="EF13" s="272">
        <v>167785</v>
      </c>
      <c r="EG13" s="272">
        <v>20610</v>
      </c>
      <c r="EH13" s="272">
        <v>147175</v>
      </c>
      <c r="EI13" s="272">
        <v>-40833</v>
      </c>
      <c r="EJ13" s="272">
        <v>-1913018</v>
      </c>
      <c r="EL13" s="272"/>
      <c r="EM13" s="272">
        <v>155350</v>
      </c>
      <c r="EN13" s="272">
        <v>2630000</v>
      </c>
      <c r="EO13" s="272">
        <v>74471</v>
      </c>
      <c r="EP13" s="455">
        <f t="shared" si="12"/>
        <v>1042010</v>
      </c>
      <c r="EQ13" s="272">
        <v>30094249</v>
      </c>
      <c r="ER13" s="272">
        <v>-3707802</v>
      </c>
      <c r="ES13" s="272">
        <v>15070052</v>
      </c>
      <c r="ET13" s="272">
        <v>11301533</v>
      </c>
      <c r="EU13" s="272">
        <v>1903400</v>
      </c>
      <c r="EV13" s="272">
        <v>4290959</v>
      </c>
      <c r="EW13" s="455">
        <f t="shared" si="13"/>
        <v>2461104</v>
      </c>
      <c r="EX13" s="272">
        <v>2461104</v>
      </c>
      <c r="EY13" s="272">
        <v>114574</v>
      </c>
      <c r="EZ13" s="272">
        <v>2346530</v>
      </c>
      <c r="FA13" s="272">
        <v>0</v>
      </c>
      <c r="FB13" s="272"/>
      <c r="FC13" s="272">
        <v>2913645</v>
      </c>
      <c r="FD13" s="272">
        <v>3105730</v>
      </c>
      <c r="FE13" s="272">
        <v>2057974</v>
      </c>
      <c r="FF13" s="272">
        <v>3389805</v>
      </c>
      <c r="FG13" s="455">
        <f t="shared" si="14"/>
        <v>499571</v>
      </c>
      <c r="FH13" s="272">
        <v>33634266</v>
      </c>
      <c r="FI13" s="384">
        <f t="shared" si="15"/>
        <v>0.5</v>
      </c>
      <c r="FJ13" s="272">
        <v>27032970</v>
      </c>
      <c r="FK13" s="272"/>
      <c r="FL13" s="272">
        <v>19324053</v>
      </c>
      <c r="FM13" s="272">
        <v>20725916</v>
      </c>
      <c r="FN13" s="460">
        <v>0.95399999999999996</v>
      </c>
      <c r="FO13" s="388">
        <v>102.9</v>
      </c>
      <c r="FP13" s="388">
        <v>51.2</v>
      </c>
      <c r="FQ13" s="388">
        <v>5.9</v>
      </c>
      <c r="FR13" s="388">
        <v>15.5</v>
      </c>
      <c r="FS13" s="388">
        <v>8.1</v>
      </c>
      <c r="FT13" s="388">
        <v>9.6999999999999993</v>
      </c>
      <c r="FU13" s="388">
        <v>10.8</v>
      </c>
      <c r="FV13" s="388">
        <v>12</v>
      </c>
      <c r="FW13" s="272">
        <v>42217005</v>
      </c>
      <c r="FX13" s="384">
        <f t="shared" si="16"/>
        <v>156.19999999999999</v>
      </c>
      <c r="FY13" s="272">
        <v>6653739</v>
      </c>
      <c r="FZ13" s="272">
        <v>2568304</v>
      </c>
      <c r="GA13" s="272">
        <v>462279</v>
      </c>
      <c r="GB13" s="272">
        <v>3623156</v>
      </c>
      <c r="GC13" s="272"/>
      <c r="GD13" s="272">
        <v>11256850</v>
      </c>
      <c r="GE13" s="384">
        <f t="shared" si="17"/>
        <v>41.6</v>
      </c>
      <c r="GF13" s="388">
        <v>97</v>
      </c>
      <c r="GG13" s="388">
        <v>25.7</v>
      </c>
      <c r="GH13" s="388">
        <v>92.6</v>
      </c>
      <c r="GI13" s="272">
        <v>1653</v>
      </c>
    </row>
    <row r="14" spans="2:191" x14ac:dyDescent="0.15">
      <c r="B14" s="89" t="s">
        <v>21</v>
      </c>
      <c r="C14" s="272">
        <v>60992193</v>
      </c>
      <c r="D14" s="455">
        <f t="shared" si="0"/>
        <v>28725156</v>
      </c>
      <c r="E14" s="272">
        <v>280027</v>
      </c>
      <c r="F14" s="272">
        <v>28445129</v>
      </c>
      <c r="G14" s="455">
        <f t="shared" si="1"/>
        <v>3912389</v>
      </c>
      <c r="H14" s="272">
        <v>512002</v>
      </c>
      <c r="I14" s="272">
        <v>3400387</v>
      </c>
      <c r="J14" s="272">
        <v>19895847</v>
      </c>
      <c r="K14" s="272">
        <v>9557569</v>
      </c>
      <c r="L14" s="272">
        <v>7227563</v>
      </c>
      <c r="M14" s="272">
        <v>2665585</v>
      </c>
      <c r="N14" s="272">
        <v>1502475</v>
      </c>
      <c r="O14" s="272">
        <v>5115565</v>
      </c>
      <c r="P14" s="272">
        <v>3514874</v>
      </c>
      <c r="Q14" s="272">
        <v>1600691</v>
      </c>
      <c r="R14" s="272">
        <v>2184630</v>
      </c>
      <c r="S14" s="272">
        <v>1557562</v>
      </c>
      <c r="T14" s="455">
        <f t="shared" si="2"/>
        <v>3163344</v>
      </c>
      <c r="U14" s="272">
        <v>2085298</v>
      </c>
      <c r="V14" s="272"/>
      <c r="W14" s="272"/>
      <c r="X14" s="272"/>
      <c r="Y14" s="272">
        <v>206621</v>
      </c>
      <c r="Z14" s="272">
        <v>18231</v>
      </c>
      <c r="AA14" s="272">
        <v>853194</v>
      </c>
      <c r="AB14" s="272"/>
      <c r="AC14" s="272">
        <v>1275346</v>
      </c>
      <c r="AD14" s="272">
        <v>1107850</v>
      </c>
      <c r="AE14" s="272">
        <v>167496</v>
      </c>
      <c r="AF14" s="272">
        <v>81388</v>
      </c>
      <c r="AG14" s="272">
        <v>723559</v>
      </c>
      <c r="AH14" s="455">
        <f t="shared" si="3"/>
        <v>1572703</v>
      </c>
      <c r="AI14" s="272">
        <v>1240614</v>
      </c>
      <c r="AJ14" s="272">
        <v>332089</v>
      </c>
      <c r="AK14" s="272">
        <v>8048438</v>
      </c>
      <c r="AL14" s="455">
        <f t="shared" si="4"/>
        <v>4800650</v>
      </c>
      <c r="AM14" s="272">
        <v>3484562</v>
      </c>
      <c r="AN14" s="272">
        <v>896372</v>
      </c>
      <c r="AO14" s="272">
        <v>0</v>
      </c>
      <c r="AP14" s="272">
        <v>419716</v>
      </c>
      <c r="AQ14" s="272">
        <v>1267727</v>
      </c>
      <c r="AR14" s="272">
        <v>0</v>
      </c>
      <c r="AS14" s="272">
        <v>0</v>
      </c>
      <c r="AT14" s="272">
        <v>4328907</v>
      </c>
      <c r="AU14" s="272">
        <v>1630352</v>
      </c>
      <c r="AV14" s="272">
        <v>442384</v>
      </c>
      <c r="AW14" s="272">
        <v>112036</v>
      </c>
      <c r="AX14" s="272">
        <v>2698555</v>
      </c>
      <c r="AY14" s="272">
        <v>371648</v>
      </c>
      <c r="AZ14" s="272">
        <v>861097</v>
      </c>
      <c r="BA14" s="272">
        <v>165667</v>
      </c>
      <c r="BB14" s="272">
        <v>82533</v>
      </c>
      <c r="BC14" s="272">
        <v>3964344</v>
      </c>
      <c r="BD14" s="272">
        <v>2400000</v>
      </c>
      <c r="BE14" s="272">
        <v>298325</v>
      </c>
      <c r="BF14" s="272">
        <v>1209160</v>
      </c>
      <c r="BG14" s="272">
        <v>0</v>
      </c>
      <c r="BH14" s="272">
        <v>738130</v>
      </c>
      <c r="BI14" s="272">
        <v>164398</v>
      </c>
      <c r="BJ14" s="272">
        <v>5081096</v>
      </c>
      <c r="BK14" s="272">
        <v>4006812</v>
      </c>
      <c r="BL14" s="272">
        <v>5188</v>
      </c>
      <c r="BM14" s="272">
        <v>397956</v>
      </c>
      <c r="BN14" s="272">
        <v>9547800</v>
      </c>
      <c r="BO14" s="455">
        <f t="shared" si="5"/>
        <v>9547800</v>
      </c>
      <c r="BP14" s="455">
        <f t="shared" si="6"/>
        <v>0</v>
      </c>
      <c r="BQ14" s="272"/>
      <c r="BR14" s="272"/>
      <c r="BS14" s="272"/>
      <c r="BT14" s="272">
        <v>0</v>
      </c>
      <c r="BU14" s="272">
        <v>102645508</v>
      </c>
      <c r="BV14" s="272"/>
      <c r="BW14" s="272">
        <v>28203293</v>
      </c>
      <c r="BX14" s="272">
        <v>21115880</v>
      </c>
      <c r="BY14" s="272">
        <v>1047651</v>
      </c>
      <c r="BZ14" s="272">
        <v>1859398</v>
      </c>
      <c r="CA14" s="272">
        <v>11652447</v>
      </c>
      <c r="CB14" s="272">
        <v>1153363</v>
      </c>
      <c r="CC14" s="272">
        <v>2192235</v>
      </c>
      <c r="CD14" s="272">
        <v>3376053</v>
      </c>
      <c r="CE14" s="272">
        <v>4699245</v>
      </c>
      <c r="CF14" s="272">
        <v>1475</v>
      </c>
      <c r="CG14" s="272">
        <v>227506</v>
      </c>
      <c r="CH14" s="272">
        <v>9005853</v>
      </c>
      <c r="CI14" s="272">
        <v>4325355</v>
      </c>
      <c r="CJ14" s="455">
        <f t="shared" si="7"/>
        <v>4680498</v>
      </c>
      <c r="CK14" s="272">
        <v>8271962</v>
      </c>
      <c r="CL14" s="272">
        <v>3721504</v>
      </c>
      <c r="CM14" s="272">
        <v>488634</v>
      </c>
      <c r="CN14" s="272">
        <v>2426207</v>
      </c>
      <c r="CO14" s="272">
        <v>1644519</v>
      </c>
      <c r="CP14" s="272">
        <v>10572424</v>
      </c>
      <c r="CQ14" s="272">
        <v>4420251</v>
      </c>
      <c r="CR14" s="272">
        <v>1766610</v>
      </c>
      <c r="CS14" s="272">
        <v>1443301</v>
      </c>
      <c r="CT14" s="455">
        <f t="shared" si="8"/>
        <v>1916058</v>
      </c>
      <c r="CU14" s="272">
        <v>1236019</v>
      </c>
      <c r="CV14" s="272">
        <v>680039</v>
      </c>
      <c r="CW14" s="455">
        <f t="shared" si="9"/>
        <v>1417891</v>
      </c>
      <c r="CX14" s="272">
        <v>1188466</v>
      </c>
      <c r="CY14" s="272">
        <v>229425</v>
      </c>
      <c r="CZ14" s="455">
        <f t="shared" si="10"/>
        <v>0</v>
      </c>
      <c r="DA14" s="272">
        <v>0</v>
      </c>
      <c r="DB14" s="272">
        <v>0</v>
      </c>
      <c r="DC14" s="272">
        <v>16097682</v>
      </c>
      <c r="DD14" s="272">
        <v>3032791</v>
      </c>
      <c r="DE14" s="272">
        <v>12680444</v>
      </c>
      <c r="DF14" s="272">
        <v>3659</v>
      </c>
      <c r="DG14" s="272">
        <v>380788</v>
      </c>
      <c r="DH14" s="272">
        <v>179556</v>
      </c>
      <c r="DI14" s="272">
        <v>1057905</v>
      </c>
      <c r="DJ14" s="272">
        <v>228022</v>
      </c>
      <c r="DK14" s="272">
        <v>0</v>
      </c>
      <c r="DL14" s="272">
        <v>829883</v>
      </c>
      <c r="DM14" s="272">
        <v>2037700</v>
      </c>
      <c r="DN14" s="272">
        <v>2032700</v>
      </c>
      <c r="DO14" s="272">
        <v>2032700</v>
      </c>
      <c r="DP14" s="272">
        <v>0</v>
      </c>
      <c r="DQ14" s="272">
        <v>4035000</v>
      </c>
      <c r="DR14" s="272">
        <v>0</v>
      </c>
      <c r="DS14" s="272">
        <v>0</v>
      </c>
      <c r="DT14" s="272">
        <v>9197907</v>
      </c>
      <c r="DU14" s="272">
        <v>6646253</v>
      </c>
      <c r="DV14" s="455">
        <f t="shared" si="11"/>
        <v>0</v>
      </c>
      <c r="DW14" s="272">
        <v>0</v>
      </c>
      <c r="DX14" s="272">
        <v>0</v>
      </c>
      <c r="DY14" s="272">
        <v>14420</v>
      </c>
      <c r="DZ14" s="272">
        <v>1580145</v>
      </c>
      <c r="EA14" s="272">
        <v>952068</v>
      </c>
      <c r="EB14" s="272"/>
      <c r="EC14" s="272">
        <v>0</v>
      </c>
      <c r="ED14" s="272">
        <v>101956248</v>
      </c>
      <c r="EF14" s="272">
        <v>689260</v>
      </c>
      <c r="EG14" s="272">
        <v>599906</v>
      </c>
      <c r="EH14" s="272">
        <v>89354</v>
      </c>
      <c r="EI14" s="272">
        <v>-75044</v>
      </c>
      <c r="EJ14" s="272">
        <v>-2247022</v>
      </c>
      <c r="EL14" s="272"/>
      <c r="EM14" s="272">
        <v>394066</v>
      </c>
      <c r="EN14" s="272">
        <v>3755315</v>
      </c>
      <c r="EO14" s="272">
        <v>212254</v>
      </c>
      <c r="EP14" s="455">
        <f t="shared" si="12"/>
        <v>1337804</v>
      </c>
      <c r="EQ14" s="272">
        <v>67696901</v>
      </c>
      <c r="ER14" s="272">
        <v>-5223985</v>
      </c>
      <c r="ES14" s="272">
        <v>25969563</v>
      </c>
      <c r="ET14" s="272">
        <v>19024752</v>
      </c>
      <c r="EU14" s="272">
        <v>3742646</v>
      </c>
      <c r="EV14" s="272">
        <v>8651583</v>
      </c>
      <c r="EW14" s="455">
        <f t="shared" si="13"/>
        <v>6038992</v>
      </c>
      <c r="EX14" s="272">
        <v>5869904</v>
      </c>
      <c r="EY14" s="272">
        <v>259532</v>
      </c>
      <c r="EZ14" s="272">
        <v>5606713</v>
      </c>
      <c r="FA14" s="272">
        <v>169088</v>
      </c>
      <c r="FB14" s="272"/>
      <c r="FC14" s="272">
        <v>6648077</v>
      </c>
      <c r="FD14" s="272">
        <v>9986279</v>
      </c>
      <c r="FE14" s="272">
        <v>4420251</v>
      </c>
      <c r="FF14" s="272">
        <v>9079253</v>
      </c>
      <c r="FG14" s="455">
        <f t="shared" si="14"/>
        <v>2115233</v>
      </c>
      <c r="FH14" s="272">
        <v>72231626</v>
      </c>
      <c r="FI14" s="384">
        <f t="shared" si="15"/>
        <v>0.1</v>
      </c>
      <c r="FJ14" s="272">
        <v>62224422</v>
      </c>
      <c r="FK14" s="272"/>
      <c r="FL14" s="272">
        <v>46010758</v>
      </c>
      <c r="FM14" s="272">
        <v>47238696</v>
      </c>
      <c r="FN14" s="460">
        <v>0.98199999999999998</v>
      </c>
      <c r="FO14" s="388">
        <v>92.2</v>
      </c>
      <c r="FP14" s="388">
        <v>40.9</v>
      </c>
      <c r="FQ14" s="388">
        <v>6</v>
      </c>
      <c r="FR14" s="388">
        <v>13.8</v>
      </c>
      <c r="FS14" s="388">
        <v>9.6999999999999993</v>
      </c>
      <c r="FT14" s="388">
        <v>14.1</v>
      </c>
      <c r="FU14" s="388">
        <v>5.2</v>
      </c>
      <c r="FV14" s="388">
        <v>9.8000000000000007</v>
      </c>
      <c r="FW14" s="272">
        <v>79341616</v>
      </c>
      <c r="FX14" s="384">
        <f t="shared" si="16"/>
        <v>127.5</v>
      </c>
      <c r="FY14" s="272">
        <v>18898126</v>
      </c>
      <c r="FZ14" s="272">
        <v>2431280</v>
      </c>
      <c r="GA14" s="272">
        <v>4681985</v>
      </c>
      <c r="GB14" s="272">
        <v>11784861</v>
      </c>
      <c r="GC14" s="272"/>
      <c r="GD14" s="272">
        <v>28336130</v>
      </c>
      <c r="GE14" s="384">
        <f t="shared" si="17"/>
        <v>45.5</v>
      </c>
      <c r="GF14" s="388">
        <v>97.3</v>
      </c>
      <c r="GG14" s="388">
        <v>21.5</v>
      </c>
      <c r="GH14" s="388">
        <v>93.5</v>
      </c>
      <c r="GI14" s="272">
        <v>2811</v>
      </c>
    </row>
    <row r="15" spans="2:191" x14ac:dyDescent="0.15">
      <c r="B15" s="89" t="s">
        <v>23</v>
      </c>
      <c r="C15" s="272">
        <v>48396484</v>
      </c>
      <c r="D15" s="455">
        <f t="shared" si="0"/>
        <v>19607009</v>
      </c>
      <c r="E15" s="272">
        <v>193578</v>
      </c>
      <c r="F15" s="272">
        <v>19413431</v>
      </c>
      <c r="G15" s="455">
        <f t="shared" si="1"/>
        <v>5311614</v>
      </c>
      <c r="H15" s="272">
        <v>582490</v>
      </c>
      <c r="I15" s="272">
        <v>4729124</v>
      </c>
      <c r="J15" s="272">
        <v>16966107</v>
      </c>
      <c r="K15" s="272">
        <v>8218699</v>
      </c>
      <c r="L15" s="272">
        <v>5784422</v>
      </c>
      <c r="M15" s="272">
        <v>2764781</v>
      </c>
      <c r="N15" s="272">
        <v>1194876</v>
      </c>
      <c r="O15" s="272">
        <v>3778661</v>
      </c>
      <c r="P15" s="272">
        <v>2545165</v>
      </c>
      <c r="Q15" s="272">
        <v>1233496</v>
      </c>
      <c r="R15" s="272">
        <v>1618009</v>
      </c>
      <c r="S15" s="272">
        <v>1172741</v>
      </c>
      <c r="T15" s="455">
        <f t="shared" si="2"/>
        <v>2260420</v>
      </c>
      <c r="U15" s="272">
        <v>1442332</v>
      </c>
      <c r="V15" s="272"/>
      <c r="W15" s="272"/>
      <c r="X15" s="272"/>
      <c r="Y15" s="272">
        <v>199896</v>
      </c>
      <c r="Z15" s="272">
        <v>12349</v>
      </c>
      <c r="AA15" s="272">
        <v>605843</v>
      </c>
      <c r="AB15" s="272"/>
      <c r="AC15" s="272">
        <v>234757</v>
      </c>
      <c r="AD15" s="272">
        <v>0</v>
      </c>
      <c r="AE15" s="272">
        <v>234757</v>
      </c>
      <c r="AF15" s="272">
        <v>54732</v>
      </c>
      <c r="AG15" s="272">
        <v>406604</v>
      </c>
      <c r="AH15" s="455">
        <f t="shared" si="3"/>
        <v>1685149</v>
      </c>
      <c r="AI15" s="272">
        <v>1400240</v>
      </c>
      <c r="AJ15" s="272">
        <v>284909</v>
      </c>
      <c r="AK15" s="272">
        <v>4161577</v>
      </c>
      <c r="AL15" s="455">
        <f t="shared" si="4"/>
        <v>2101183</v>
      </c>
      <c r="AM15" s="272">
        <v>1405640</v>
      </c>
      <c r="AN15" s="272">
        <v>456134</v>
      </c>
      <c r="AO15" s="272">
        <v>0</v>
      </c>
      <c r="AP15" s="272">
        <v>239409</v>
      </c>
      <c r="AQ15" s="272">
        <v>781511</v>
      </c>
      <c r="AR15" s="272">
        <v>0</v>
      </c>
      <c r="AS15" s="272">
        <v>0</v>
      </c>
      <c r="AT15" s="272">
        <v>4145000</v>
      </c>
      <c r="AU15" s="272">
        <v>1480700</v>
      </c>
      <c r="AV15" s="272">
        <v>224862</v>
      </c>
      <c r="AW15" s="272">
        <v>575963</v>
      </c>
      <c r="AX15" s="272">
        <v>2664300</v>
      </c>
      <c r="AY15" s="272">
        <v>992090</v>
      </c>
      <c r="AZ15" s="272">
        <v>760115</v>
      </c>
      <c r="BA15" s="272">
        <v>47483</v>
      </c>
      <c r="BB15" s="272">
        <v>303465</v>
      </c>
      <c r="BC15" s="272">
        <v>1806727</v>
      </c>
      <c r="BD15" s="272">
        <v>0</v>
      </c>
      <c r="BE15" s="272">
        <v>0</v>
      </c>
      <c r="BF15" s="272">
        <v>1530000</v>
      </c>
      <c r="BG15" s="272">
        <v>0</v>
      </c>
      <c r="BH15" s="272">
        <v>932638</v>
      </c>
      <c r="BI15" s="272">
        <v>762311</v>
      </c>
      <c r="BJ15" s="272">
        <v>2027992</v>
      </c>
      <c r="BK15" s="272">
        <v>653771</v>
      </c>
      <c r="BL15" s="272">
        <v>32578</v>
      </c>
      <c r="BM15" s="272">
        <v>440571</v>
      </c>
      <c r="BN15" s="272">
        <v>2761900</v>
      </c>
      <c r="BO15" s="455">
        <f t="shared" si="5"/>
        <v>2761900</v>
      </c>
      <c r="BP15" s="455">
        <f t="shared" si="6"/>
        <v>0</v>
      </c>
      <c r="BQ15" s="272"/>
      <c r="BR15" s="272"/>
      <c r="BS15" s="272"/>
      <c r="BT15" s="272">
        <v>0</v>
      </c>
      <c r="BU15" s="272">
        <v>71555569</v>
      </c>
      <c r="BV15" s="272"/>
      <c r="BW15" s="272">
        <v>18151832</v>
      </c>
      <c r="BX15" s="272">
        <v>13921371</v>
      </c>
      <c r="BY15" s="272">
        <v>711504</v>
      </c>
      <c r="BZ15" s="272">
        <v>489940</v>
      </c>
      <c r="CA15" s="272">
        <v>5696934</v>
      </c>
      <c r="CB15" s="272">
        <v>813875</v>
      </c>
      <c r="CC15" s="272">
        <v>1252098</v>
      </c>
      <c r="CD15" s="272">
        <v>1607567</v>
      </c>
      <c r="CE15" s="272">
        <v>1919199</v>
      </c>
      <c r="CF15" s="272">
        <v>1967</v>
      </c>
      <c r="CG15" s="272">
        <v>102228</v>
      </c>
      <c r="CH15" s="272">
        <v>3306533</v>
      </c>
      <c r="CI15" s="272">
        <v>1764843</v>
      </c>
      <c r="CJ15" s="455">
        <f t="shared" si="7"/>
        <v>1541690</v>
      </c>
      <c r="CK15" s="272">
        <v>9785417</v>
      </c>
      <c r="CL15" s="272">
        <v>5089267</v>
      </c>
      <c r="CM15" s="272">
        <v>352462</v>
      </c>
      <c r="CN15" s="272">
        <v>2955333</v>
      </c>
      <c r="CO15" s="272">
        <v>1746076</v>
      </c>
      <c r="CP15" s="272">
        <v>2161016</v>
      </c>
      <c r="CQ15" s="272">
        <v>1403</v>
      </c>
      <c r="CR15" s="272">
        <v>1003553</v>
      </c>
      <c r="CS15" s="272">
        <v>767975</v>
      </c>
      <c r="CT15" s="455">
        <f t="shared" si="8"/>
        <v>64732</v>
      </c>
      <c r="CU15" s="272">
        <v>64732</v>
      </c>
      <c r="CV15" s="272">
        <v>0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22137915</v>
      </c>
      <c r="DD15" s="272">
        <v>2138035</v>
      </c>
      <c r="DE15" s="272">
        <v>19332759</v>
      </c>
      <c r="DF15" s="272">
        <v>0</v>
      </c>
      <c r="DG15" s="272">
        <v>667121</v>
      </c>
      <c r="DH15" s="272">
        <v>133398</v>
      </c>
      <c r="DI15" s="272">
        <v>983400</v>
      </c>
      <c r="DJ15" s="272">
        <v>162700</v>
      </c>
      <c r="DK15" s="272">
        <v>0</v>
      </c>
      <c r="DL15" s="272">
        <v>820700</v>
      </c>
      <c r="DM15" s="272">
        <v>59200</v>
      </c>
      <c r="DN15" s="272">
        <v>0</v>
      </c>
      <c r="DO15" s="272">
        <v>0</v>
      </c>
      <c r="DP15" s="272">
        <v>0</v>
      </c>
      <c r="DQ15" s="272">
        <v>716248</v>
      </c>
      <c r="DR15" s="272">
        <v>0</v>
      </c>
      <c r="DS15" s="272">
        <v>0</v>
      </c>
      <c r="DT15" s="272">
        <v>5735662</v>
      </c>
      <c r="DU15" s="272">
        <v>4145011</v>
      </c>
      <c r="DV15" s="455">
        <f t="shared" si="11"/>
        <v>0</v>
      </c>
      <c r="DW15" s="272">
        <v>0</v>
      </c>
      <c r="DX15" s="272">
        <v>0</v>
      </c>
      <c r="DY15" s="272">
        <v>0</v>
      </c>
      <c r="DZ15" s="272">
        <v>970000</v>
      </c>
      <c r="EA15" s="272">
        <v>578593</v>
      </c>
      <c r="EB15" s="272"/>
      <c r="EC15" s="272">
        <v>0</v>
      </c>
      <c r="ED15" s="272">
        <v>70613631</v>
      </c>
      <c r="EF15" s="272">
        <v>941938</v>
      </c>
      <c r="EG15" s="272">
        <v>344883</v>
      </c>
      <c r="EH15" s="272">
        <v>597055</v>
      </c>
      <c r="EI15" s="272">
        <v>-165256</v>
      </c>
      <c r="EJ15" s="272">
        <v>-2556</v>
      </c>
      <c r="EL15" s="272"/>
      <c r="EM15" s="272">
        <v>250824</v>
      </c>
      <c r="EN15" s="272">
        <v>272185</v>
      </c>
      <c r="EO15" s="272">
        <v>59867</v>
      </c>
      <c r="EP15" s="455">
        <f t="shared" si="12"/>
        <v>2270500</v>
      </c>
      <c r="EQ15" s="272">
        <v>52564402</v>
      </c>
      <c r="ER15" s="272">
        <v>-2547820</v>
      </c>
      <c r="ES15" s="272">
        <v>16317303</v>
      </c>
      <c r="ET15" s="272">
        <v>12186913</v>
      </c>
      <c r="EU15" s="272">
        <v>1788524</v>
      </c>
      <c r="EV15" s="272">
        <v>3219431</v>
      </c>
      <c r="EW15" s="455">
        <f t="shared" si="13"/>
        <v>15353583</v>
      </c>
      <c r="EX15" s="272">
        <v>15305461</v>
      </c>
      <c r="EY15" s="272">
        <v>609965</v>
      </c>
      <c r="EZ15" s="272">
        <v>14695496</v>
      </c>
      <c r="FA15" s="272">
        <v>48122</v>
      </c>
      <c r="FB15" s="272"/>
      <c r="FC15" s="272">
        <v>7930220</v>
      </c>
      <c r="FD15" s="272">
        <v>1823594</v>
      </c>
      <c r="FE15" s="272">
        <v>1403</v>
      </c>
      <c r="FF15" s="272">
        <v>5677810</v>
      </c>
      <c r="FG15" s="455">
        <f t="shared" si="14"/>
        <v>2059819</v>
      </c>
      <c r="FH15" s="272">
        <v>54170284</v>
      </c>
      <c r="FI15" s="384">
        <f t="shared" si="15"/>
        <v>1.3</v>
      </c>
      <c r="FJ15" s="272">
        <v>47379712</v>
      </c>
      <c r="FK15" s="272"/>
      <c r="FL15" s="272">
        <v>35661728</v>
      </c>
      <c r="FM15" s="272">
        <v>30892162</v>
      </c>
      <c r="FN15" s="460">
        <v>1.1759999999999999</v>
      </c>
      <c r="FO15" s="388">
        <v>71.900000000000006</v>
      </c>
      <c r="FP15" s="388">
        <v>32.9</v>
      </c>
      <c r="FQ15" s="388">
        <v>3.7</v>
      </c>
      <c r="FR15" s="388">
        <v>6.6</v>
      </c>
      <c r="FS15" s="388">
        <v>15.7</v>
      </c>
      <c r="FT15" s="388">
        <v>3</v>
      </c>
      <c r="FU15" s="388">
        <v>6.5</v>
      </c>
      <c r="FV15" s="388">
        <v>3.9</v>
      </c>
      <c r="FW15" s="272">
        <v>24864855</v>
      </c>
      <c r="FX15" s="384">
        <f t="shared" si="16"/>
        <v>52.5</v>
      </c>
      <c r="FY15" s="272">
        <v>20016130</v>
      </c>
      <c r="FZ15" s="272">
        <v>4903900</v>
      </c>
      <c r="GA15" s="272"/>
      <c r="GB15" s="272">
        <v>15112230</v>
      </c>
      <c r="GC15" s="272"/>
      <c r="GD15" s="272">
        <v>22803702</v>
      </c>
      <c r="GE15" s="384">
        <f t="shared" si="17"/>
        <v>48.1</v>
      </c>
      <c r="GF15" s="388">
        <v>97.8</v>
      </c>
      <c r="GG15" s="388">
        <v>28.5</v>
      </c>
      <c r="GH15" s="388">
        <v>96.3</v>
      </c>
      <c r="GI15" s="272">
        <v>1923</v>
      </c>
    </row>
    <row r="16" spans="2:191" x14ac:dyDescent="0.15">
      <c r="B16" s="89" t="s">
        <v>25</v>
      </c>
      <c r="C16" s="272">
        <v>43994552</v>
      </c>
      <c r="D16" s="455">
        <f t="shared" si="0"/>
        <v>17692007</v>
      </c>
      <c r="E16" s="272">
        <v>202864</v>
      </c>
      <c r="F16" s="272">
        <v>17489143</v>
      </c>
      <c r="G16" s="455">
        <f t="shared" si="1"/>
        <v>4211144</v>
      </c>
      <c r="H16" s="272">
        <v>532518</v>
      </c>
      <c r="I16" s="272">
        <v>3678626</v>
      </c>
      <c r="J16" s="272">
        <v>16249010</v>
      </c>
      <c r="K16" s="272">
        <v>8112660</v>
      </c>
      <c r="L16" s="272">
        <v>5144973</v>
      </c>
      <c r="M16" s="272">
        <v>2754305</v>
      </c>
      <c r="N16" s="272">
        <v>1666717</v>
      </c>
      <c r="O16" s="272">
        <v>3798860</v>
      </c>
      <c r="P16" s="272">
        <v>2671470</v>
      </c>
      <c r="Q16" s="272">
        <v>1127390</v>
      </c>
      <c r="R16" s="272">
        <v>1840791</v>
      </c>
      <c r="S16" s="272">
        <v>1352020</v>
      </c>
      <c r="T16" s="455">
        <f t="shared" si="2"/>
        <v>2001126</v>
      </c>
      <c r="U16" s="272">
        <v>1331351</v>
      </c>
      <c r="V16" s="272"/>
      <c r="W16" s="272"/>
      <c r="X16" s="272"/>
      <c r="Y16" s="272">
        <v>0</v>
      </c>
      <c r="Z16" s="272">
        <v>7037</v>
      </c>
      <c r="AA16" s="272">
        <v>662738</v>
      </c>
      <c r="AB16" s="272"/>
      <c r="AC16" s="272">
        <v>984132</v>
      </c>
      <c r="AD16" s="272">
        <v>87282</v>
      </c>
      <c r="AE16" s="272">
        <v>896850</v>
      </c>
      <c r="AF16" s="272">
        <v>58636</v>
      </c>
      <c r="AG16" s="272">
        <v>2230697</v>
      </c>
      <c r="AH16" s="455">
        <f t="shared" si="3"/>
        <v>1652940</v>
      </c>
      <c r="AI16" s="272">
        <v>998861</v>
      </c>
      <c r="AJ16" s="272">
        <v>654079</v>
      </c>
      <c r="AK16" s="272">
        <v>7925315</v>
      </c>
      <c r="AL16" s="455">
        <f t="shared" si="4"/>
        <v>4808076</v>
      </c>
      <c r="AM16" s="272">
        <v>3921125</v>
      </c>
      <c r="AN16" s="272">
        <v>606897</v>
      </c>
      <c r="AO16" s="272">
        <v>0</v>
      </c>
      <c r="AP16" s="272">
        <v>280054</v>
      </c>
      <c r="AQ16" s="272">
        <v>1475692</v>
      </c>
      <c r="AR16" s="272">
        <v>0</v>
      </c>
      <c r="AS16" s="272">
        <v>49080</v>
      </c>
      <c r="AT16" s="272">
        <v>3601857</v>
      </c>
      <c r="AU16" s="272">
        <v>864072</v>
      </c>
      <c r="AV16" s="272">
        <v>299343</v>
      </c>
      <c r="AW16" s="272">
        <v>6841</v>
      </c>
      <c r="AX16" s="272">
        <v>2737785</v>
      </c>
      <c r="AY16" s="272">
        <v>431743</v>
      </c>
      <c r="AZ16" s="272">
        <v>500783</v>
      </c>
      <c r="BA16" s="272">
        <v>27011</v>
      </c>
      <c r="BB16" s="272">
        <v>763275</v>
      </c>
      <c r="BC16" s="272">
        <v>7107064</v>
      </c>
      <c r="BD16" s="272">
        <v>200000</v>
      </c>
      <c r="BE16" s="272">
        <v>0</v>
      </c>
      <c r="BF16" s="272">
        <v>6897534</v>
      </c>
      <c r="BG16" s="272">
        <v>0</v>
      </c>
      <c r="BH16" s="272">
        <v>243203</v>
      </c>
      <c r="BI16" s="272">
        <v>187611</v>
      </c>
      <c r="BJ16" s="272">
        <v>3884707</v>
      </c>
      <c r="BK16" s="272">
        <v>2603156</v>
      </c>
      <c r="BL16" s="272">
        <v>1525</v>
      </c>
      <c r="BM16" s="272">
        <v>348379</v>
      </c>
      <c r="BN16" s="272">
        <v>9342700</v>
      </c>
      <c r="BO16" s="455">
        <f t="shared" si="5"/>
        <v>9342700</v>
      </c>
      <c r="BP16" s="455">
        <f t="shared" si="6"/>
        <v>0</v>
      </c>
      <c r="BQ16" s="272"/>
      <c r="BR16" s="272"/>
      <c r="BS16" s="272"/>
      <c r="BT16" s="272">
        <v>0</v>
      </c>
      <c r="BU16" s="272">
        <v>86180858</v>
      </c>
      <c r="BV16" s="272"/>
      <c r="BW16" s="272">
        <v>20388985</v>
      </c>
      <c r="BX16" s="272">
        <v>15501151</v>
      </c>
      <c r="BY16" s="272">
        <v>936017</v>
      </c>
      <c r="BZ16" s="272">
        <v>737103</v>
      </c>
      <c r="CA16" s="272">
        <v>11850827</v>
      </c>
      <c r="CB16" s="272">
        <v>947313</v>
      </c>
      <c r="CC16" s="272">
        <v>1495694</v>
      </c>
      <c r="CD16" s="272">
        <v>2084038</v>
      </c>
      <c r="CE16" s="272">
        <v>5214270</v>
      </c>
      <c r="CF16" s="272">
        <v>1833005</v>
      </c>
      <c r="CG16" s="272">
        <v>275637</v>
      </c>
      <c r="CH16" s="272">
        <v>7130030</v>
      </c>
      <c r="CI16" s="272">
        <v>3919329</v>
      </c>
      <c r="CJ16" s="455">
        <f t="shared" si="7"/>
        <v>3210701</v>
      </c>
      <c r="CK16" s="272">
        <v>8260132</v>
      </c>
      <c r="CL16" s="272">
        <v>4628114</v>
      </c>
      <c r="CM16" s="272">
        <v>680706</v>
      </c>
      <c r="CN16" s="272">
        <v>1827829</v>
      </c>
      <c r="CO16" s="272">
        <v>552355</v>
      </c>
      <c r="CP16" s="272">
        <v>2805605</v>
      </c>
      <c r="CQ16" s="272">
        <v>62727</v>
      </c>
      <c r="CR16" s="272">
        <v>557432</v>
      </c>
      <c r="CS16" s="272">
        <v>394947</v>
      </c>
      <c r="CT16" s="455">
        <f t="shared" si="8"/>
        <v>806652</v>
      </c>
      <c r="CU16" s="272">
        <v>800308</v>
      </c>
      <c r="CV16" s="272">
        <v>6344</v>
      </c>
      <c r="CW16" s="455">
        <f t="shared" si="9"/>
        <v>708570</v>
      </c>
      <c r="CX16" s="272">
        <v>702226</v>
      </c>
      <c r="CY16" s="272">
        <v>6344</v>
      </c>
      <c r="CZ16" s="455">
        <f t="shared" si="10"/>
        <v>0</v>
      </c>
      <c r="DA16" s="272">
        <v>0</v>
      </c>
      <c r="DB16" s="272">
        <v>0</v>
      </c>
      <c r="DC16" s="272">
        <v>23970309</v>
      </c>
      <c r="DD16" s="272">
        <v>2859110</v>
      </c>
      <c r="DE16" s="272">
        <v>20885677</v>
      </c>
      <c r="DF16" s="272">
        <v>81312</v>
      </c>
      <c r="DG16" s="272">
        <v>80160</v>
      </c>
      <c r="DH16" s="272">
        <v>12000</v>
      </c>
      <c r="DI16" s="272">
        <v>2378671</v>
      </c>
      <c r="DJ16" s="272">
        <v>170200</v>
      </c>
      <c r="DK16" s="272">
        <v>0</v>
      </c>
      <c r="DL16" s="272">
        <v>2208471</v>
      </c>
      <c r="DM16" s="272">
        <v>31000</v>
      </c>
      <c r="DN16" s="272">
        <v>0</v>
      </c>
      <c r="DO16" s="272">
        <v>0</v>
      </c>
      <c r="DP16" s="272">
        <v>0</v>
      </c>
      <c r="DQ16" s="272">
        <v>2597187</v>
      </c>
      <c r="DR16" s="272">
        <v>0</v>
      </c>
      <c r="DS16" s="272">
        <v>0</v>
      </c>
      <c r="DT16" s="272">
        <v>6023417</v>
      </c>
      <c r="DU16" s="272">
        <v>3943615</v>
      </c>
      <c r="DV16" s="455">
        <f t="shared" si="11"/>
        <v>0</v>
      </c>
      <c r="DW16" s="272">
        <v>0</v>
      </c>
      <c r="DX16" s="272">
        <v>0</v>
      </c>
      <c r="DY16" s="272">
        <v>0</v>
      </c>
      <c r="DZ16" s="272">
        <v>1244330</v>
      </c>
      <c r="EA16" s="272">
        <v>823472</v>
      </c>
      <c r="EB16" s="272"/>
      <c r="EC16" s="272">
        <v>0</v>
      </c>
      <c r="ED16" s="272">
        <v>86000518</v>
      </c>
      <c r="EF16" s="272">
        <v>180340</v>
      </c>
      <c r="EG16" s="272">
        <v>32890</v>
      </c>
      <c r="EH16" s="272">
        <v>147450</v>
      </c>
      <c r="EI16" s="272">
        <v>-40161</v>
      </c>
      <c r="EJ16" s="272">
        <v>-69961</v>
      </c>
      <c r="EL16" s="272"/>
      <c r="EM16" s="272">
        <v>268974</v>
      </c>
      <c r="EN16" s="272">
        <v>200224</v>
      </c>
      <c r="EO16" s="272">
        <v>41704</v>
      </c>
      <c r="EP16" s="455">
        <f t="shared" si="12"/>
        <v>1260197</v>
      </c>
      <c r="EQ16" s="272">
        <v>48928317</v>
      </c>
      <c r="ER16" s="272">
        <v>-1394409</v>
      </c>
      <c r="ES16" s="272">
        <v>18575251</v>
      </c>
      <c r="ET16" s="272">
        <v>14059838</v>
      </c>
      <c r="EU16" s="272">
        <v>2933835</v>
      </c>
      <c r="EV16" s="272">
        <v>6717348</v>
      </c>
      <c r="EW16" s="455">
        <f t="shared" si="13"/>
        <v>5205259</v>
      </c>
      <c r="EX16" s="272">
        <v>5193259</v>
      </c>
      <c r="EY16" s="272">
        <v>263051</v>
      </c>
      <c r="EZ16" s="272">
        <v>4830846</v>
      </c>
      <c r="FA16" s="272">
        <v>12000</v>
      </c>
      <c r="FB16" s="272"/>
      <c r="FC16" s="272">
        <v>6600223</v>
      </c>
      <c r="FD16" s="272">
        <v>2402442</v>
      </c>
      <c r="FE16" s="272">
        <v>62727</v>
      </c>
      <c r="FF16" s="272">
        <v>5912739</v>
      </c>
      <c r="FG16" s="455">
        <f t="shared" si="14"/>
        <v>1795289</v>
      </c>
      <c r="FH16" s="272">
        <v>50142386</v>
      </c>
      <c r="FI16" s="384">
        <f t="shared" si="15"/>
        <v>0.3</v>
      </c>
      <c r="FJ16" s="272">
        <v>43537230</v>
      </c>
      <c r="FK16" s="272"/>
      <c r="FL16" s="272">
        <v>32722514</v>
      </c>
      <c r="FM16" s="272">
        <v>32862632</v>
      </c>
      <c r="FN16" s="460">
        <v>0.999</v>
      </c>
      <c r="FO16" s="388">
        <v>88.4</v>
      </c>
      <c r="FP16" s="388">
        <v>40.5</v>
      </c>
      <c r="FQ16" s="388">
        <v>6.6</v>
      </c>
      <c r="FR16" s="388">
        <v>15.1</v>
      </c>
      <c r="FS16" s="388">
        <v>14</v>
      </c>
      <c r="FT16" s="388">
        <v>3.6</v>
      </c>
      <c r="FU16" s="388">
        <v>7.4</v>
      </c>
      <c r="FV16" s="388">
        <v>12.6</v>
      </c>
      <c r="FW16" s="272">
        <v>60455531</v>
      </c>
      <c r="FX16" s="384">
        <f t="shared" si="16"/>
        <v>138.9</v>
      </c>
      <c r="FY16" s="272">
        <v>11141854</v>
      </c>
      <c r="FZ16" s="272">
        <v>3021195</v>
      </c>
      <c r="GA16" s="272"/>
      <c r="GB16" s="272">
        <v>8120659</v>
      </c>
      <c r="GC16" s="272"/>
      <c r="GD16" s="272">
        <v>38239047</v>
      </c>
      <c r="GE16" s="384">
        <f t="shared" si="17"/>
        <v>87.8</v>
      </c>
      <c r="GF16" s="388">
        <v>97.9</v>
      </c>
      <c r="GG16" s="388">
        <v>41</v>
      </c>
      <c r="GH16" s="388">
        <v>96.2</v>
      </c>
      <c r="GI16" s="272">
        <v>1997</v>
      </c>
    </row>
    <row r="17" spans="2:191" x14ac:dyDescent="0.15">
      <c r="B17" s="89" t="s">
        <v>27</v>
      </c>
      <c r="C17" s="272">
        <v>14660326</v>
      </c>
      <c r="D17" s="455">
        <f t="shared" si="0"/>
        <v>4786320</v>
      </c>
      <c r="E17" s="272">
        <v>59965</v>
      </c>
      <c r="F17" s="272">
        <v>4726355</v>
      </c>
      <c r="G17" s="455">
        <f t="shared" si="1"/>
        <v>1722874</v>
      </c>
      <c r="H17" s="272">
        <v>305157</v>
      </c>
      <c r="I17" s="272">
        <v>1417717</v>
      </c>
      <c r="J17" s="272">
        <v>6459084</v>
      </c>
      <c r="K17" s="272">
        <v>3343078</v>
      </c>
      <c r="L17" s="272">
        <v>1738647</v>
      </c>
      <c r="M17" s="272">
        <v>1270692</v>
      </c>
      <c r="N17" s="272">
        <v>460533</v>
      </c>
      <c r="O17" s="272">
        <v>1077279</v>
      </c>
      <c r="P17" s="272">
        <v>725207</v>
      </c>
      <c r="Q17" s="272">
        <v>352072</v>
      </c>
      <c r="R17" s="272">
        <v>599685</v>
      </c>
      <c r="S17" s="272">
        <v>433729</v>
      </c>
      <c r="T17" s="455">
        <f t="shared" si="2"/>
        <v>703397</v>
      </c>
      <c r="U17" s="272">
        <v>400219</v>
      </c>
      <c r="V17" s="272"/>
      <c r="W17" s="272"/>
      <c r="X17" s="272"/>
      <c r="Y17" s="272">
        <v>78507</v>
      </c>
      <c r="Z17" s="272">
        <v>8066</v>
      </c>
      <c r="AA17" s="272">
        <v>216605</v>
      </c>
      <c r="AB17" s="272"/>
      <c r="AC17" s="272">
        <v>874043</v>
      </c>
      <c r="AD17" s="272">
        <v>221488</v>
      </c>
      <c r="AE17" s="272">
        <v>652555</v>
      </c>
      <c r="AF17" s="272">
        <v>22057</v>
      </c>
      <c r="AG17" s="272">
        <v>259535</v>
      </c>
      <c r="AH17" s="455">
        <f t="shared" si="3"/>
        <v>924446</v>
      </c>
      <c r="AI17" s="272">
        <v>860357</v>
      </c>
      <c r="AJ17" s="272">
        <v>64089</v>
      </c>
      <c r="AK17" s="272">
        <v>2030152</v>
      </c>
      <c r="AL17" s="455">
        <f t="shared" si="4"/>
        <v>1245146</v>
      </c>
      <c r="AM17" s="272">
        <v>784377</v>
      </c>
      <c r="AN17" s="272">
        <v>356280</v>
      </c>
      <c r="AO17" s="272">
        <v>0</v>
      </c>
      <c r="AP17" s="272">
        <v>104489</v>
      </c>
      <c r="AQ17" s="272">
        <v>245892</v>
      </c>
      <c r="AR17" s="272">
        <v>0</v>
      </c>
      <c r="AS17" s="272">
        <v>0</v>
      </c>
      <c r="AT17" s="272">
        <v>4071492</v>
      </c>
      <c r="AU17" s="272">
        <v>1469371</v>
      </c>
      <c r="AV17" s="272">
        <v>175908</v>
      </c>
      <c r="AW17" s="272">
        <v>82914</v>
      </c>
      <c r="AX17" s="272">
        <v>2602121</v>
      </c>
      <c r="AY17" s="272">
        <v>1690736</v>
      </c>
      <c r="AZ17" s="272">
        <v>584887</v>
      </c>
      <c r="BA17" s="272">
        <v>421004</v>
      </c>
      <c r="BB17" s="272">
        <v>426187</v>
      </c>
      <c r="BC17" s="272">
        <v>3039908</v>
      </c>
      <c r="BD17" s="272">
        <v>220000</v>
      </c>
      <c r="BE17" s="272">
        <v>0</v>
      </c>
      <c r="BF17" s="272">
        <v>2819908</v>
      </c>
      <c r="BG17" s="272">
        <v>0</v>
      </c>
      <c r="BH17" s="272">
        <v>149591</v>
      </c>
      <c r="BI17" s="272">
        <v>125903</v>
      </c>
      <c r="BJ17" s="272">
        <v>1657256</v>
      </c>
      <c r="BK17" s="272">
        <v>88334</v>
      </c>
      <c r="BL17" s="272">
        <v>0</v>
      </c>
      <c r="BM17" s="272">
        <v>253750</v>
      </c>
      <c r="BN17" s="272">
        <v>5267336</v>
      </c>
      <c r="BO17" s="455">
        <f t="shared" si="5"/>
        <v>5267336</v>
      </c>
      <c r="BP17" s="455">
        <f t="shared" si="6"/>
        <v>0</v>
      </c>
      <c r="BQ17" s="272"/>
      <c r="BR17" s="272"/>
      <c r="BS17" s="272"/>
      <c r="BT17" s="272">
        <v>0</v>
      </c>
      <c r="BU17" s="272">
        <v>35270298</v>
      </c>
      <c r="BV17" s="272"/>
      <c r="BW17" s="272">
        <v>8907082</v>
      </c>
      <c r="BX17" s="272">
        <v>6569699</v>
      </c>
      <c r="BY17" s="272">
        <v>422957</v>
      </c>
      <c r="BZ17" s="272">
        <v>424598</v>
      </c>
      <c r="CA17" s="272">
        <v>3242271</v>
      </c>
      <c r="CB17" s="272">
        <v>300071</v>
      </c>
      <c r="CC17" s="272">
        <v>787950</v>
      </c>
      <c r="CD17" s="272">
        <v>1088198</v>
      </c>
      <c r="CE17" s="272">
        <v>1020369</v>
      </c>
      <c r="CF17" s="272">
        <v>4723</v>
      </c>
      <c r="CG17" s="272">
        <v>40960</v>
      </c>
      <c r="CH17" s="272">
        <v>2467060</v>
      </c>
      <c r="CI17" s="272">
        <v>1382924</v>
      </c>
      <c r="CJ17" s="455">
        <f t="shared" si="7"/>
        <v>1084136</v>
      </c>
      <c r="CK17" s="272">
        <v>2245933</v>
      </c>
      <c r="CL17" s="272">
        <v>943572</v>
      </c>
      <c r="CM17" s="272">
        <v>48155</v>
      </c>
      <c r="CN17" s="272">
        <v>686355</v>
      </c>
      <c r="CO17" s="272">
        <v>170324</v>
      </c>
      <c r="CP17" s="272">
        <v>3054543</v>
      </c>
      <c r="CQ17" s="272">
        <v>1193394</v>
      </c>
      <c r="CR17" s="272">
        <v>657947</v>
      </c>
      <c r="CS17" s="272">
        <v>555806</v>
      </c>
      <c r="CT17" s="455">
        <f t="shared" si="8"/>
        <v>773655</v>
      </c>
      <c r="CU17" s="272">
        <v>117311</v>
      </c>
      <c r="CV17" s="272">
        <v>656344</v>
      </c>
      <c r="CW17" s="455">
        <f t="shared" si="9"/>
        <v>753082</v>
      </c>
      <c r="CX17" s="272">
        <v>96738</v>
      </c>
      <c r="CY17" s="272">
        <v>656344</v>
      </c>
      <c r="CZ17" s="455">
        <f t="shared" si="10"/>
        <v>0</v>
      </c>
      <c r="DA17" s="272">
        <v>0</v>
      </c>
      <c r="DB17" s="272">
        <v>0</v>
      </c>
      <c r="DC17" s="272">
        <v>11778837</v>
      </c>
      <c r="DD17" s="272">
        <v>663270</v>
      </c>
      <c r="DE17" s="272">
        <v>8932290</v>
      </c>
      <c r="DF17" s="272">
        <v>1041832</v>
      </c>
      <c r="DG17" s="272">
        <v>1141445</v>
      </c>
      <c r="DH17" s="272">
        <v>9562</v>
      </c>
      <c r="DI17" s="272">
        <v>1299387</v>
      </c>
      <c r="DJ17" s="272">
        <v>64318</v>
      </c>
      <c r="DK17" s="272">
        <v>19149</v>
      </c>
      <c r="DL17" s="272">
        <v>1215920</v>
      </c>
      <c r="DM17" s="272">
        <v>2000</v>
      </c>
      <c r="DN17" s="272">
        <v>0</v>
      </c>
      <c r="DO17" s="272">
        <v>0</v>
      </c>
      <c r="DP17" s="272">
        <v>0</v>
      </c>
      <c r="DQ17" s="272">
        <v>122000</v>
      </c>
      <c r="DR17" s="272">
        <v>42000</v>
      </c>
      <c r="DS17" s="272">
        <v>42000</v>
      </c>
      <c r="DT17" s="272">
        <v>1893716</v>
      </c>
      <c r="DU17" s="272">
        <v>901700</v>
      </c>
      <c r="DV17" s="455">
        <f t="shared" si="11"/>
        <v>0</v>
      </c>
      <c r="DW17" s="272">
        <v>0</v>
      </c>
      <c r="DX17" s="272">
        <v>0</v>
      </c>
      <c r="DY17" s="272">
        <v>0</v>
      </c>
      <c r="DZ17" s="272">
        <v>599885</v>
      </c>
      <c r="EA17" s="272">
        <v>369166</v>
      </c>
      <c r="EB17" s="272"/>
      <c r="EC17" s="272">
        <v>0</v>
      </c>
      <c r="ED17" s="272">
        <v>35192715</v>
      </c>
      <c r="EF17" s="272">
        <v>77583</v>
      </c>
      <c r="EG17" s="272">
        <v>1644</v>
      </c>
      <c r="EH17" s="272">
        <v>75939</v>
      </c>
      <c r="EI17" s="272">
        <v>-49964</v>
      </c>
      <c r="EJ17" s="272">
        <v>-205646</v>
      </c>
      <c r="EL17" s="272"/>
      <c r="EM17" s="272">
        <v>89864</v>
      </c>
      <c r="EN17" s="272">
        <v>784200</v>
      </c>
      <c r="EO17" s="272">
        <v>1241</v>
      </c>
      <c r="EP17" s="455">
        <f t="shared" si="12"/>
        <v>1275560</v>
      </c>
      <c r="EQ17" s="272">
        <v>16859508</v>
      </c>
      <c r="ER17" s="272">
        <v>-2038944</v>
      </c>
      <c r="ES17" s="272">
        <v>7932235</v>
      </c>
      <c r="ET17" s="272">
        <v>5684708</v>
      </c>
      <c r="EU17" s="272">
        <v>1078795</v>
      </c>
      <c r="EV17" s="272">
        <v>2160635</v>
      </c>
      <c r="EW17" s="455">
        <f t="shared" si="13"/>
        <v>1399829</v>
      </c>
      <c r="EX17" s="272">
        <v>1394346</v>
      </c>
      <c r="EY17" s="272">
        <v>26128</v>
      </c>
      <c r="EZ17" s="272">
        <v>1337703</v>
      </c>
      <c r="FA17" s="272">
        <v>5483</v>
      </c>
      <c r="FB17" s="272"/>
      <c r="FC17" s="272">
        <v>1656278</v>
      </c>
      <c r="FD17" s="272">
        <v>2737164</v>
      </c>
      <c r="FE17" s="272">
        <v>1193394</v>
      </c>
      <c r="FF17" s="272">
        <v>971263</v>
      </c>
      <c r="FG17" s="455">
        <f t="shared" si="14"/>
        <v>884670</v>
      </c>
      <c r="FH17" s="272">
        <v>18820869</v>
      </c>
      <c r="FI17" s="384">
        <f t="shared" si="15"/>
        <v>0.5</v>
      </c>
      <c r="FJ17" s="272">
        <v>15452471</v>
      </c>
      <c r="FK17" s="272"/>
      <c r="FL17" s="272">
        <v>11469564</v>
      </c>
      <c r="FM17" s="272">
        <v>11707273</v>
      </c>
      <c r="FN17" s="460">
        <v>0.96</v>
      </c>
      <c r="FO17" s="388">
        <v>99.2</v>
      </c>
      <c r="FP17" s="388">
        <v>50.6</v>
      </c>
      <c r="FQ17" s="388">
        <v>7.1</v>
      </c>
      <c r="FR17" s="388">
        <v>14.2</v>
      </c>
      <c r="FS17" s="388">
        <v>10.4</v>
      </c>
      <c r="FT17" s="388">
        <v>11.9</v>
      </c>
      <c r="FU17" s="388">
        <v>4.0999999999999996</v>
      </c>
      <c r="FV17" s="388">
        <v>12.2</v>
      </c>
      <c r="FW17" s="272">
        <v>26047115</v>
      </c>
      <c r="FX17" s="384">
        <f t="shared" si="16"/>
        <v>168.6</v>
      </c>
      <c r="FY17" s="272">
        <v>6368355</v>
      </c>
      <c r="FZ17" s="272">
        <v>235674</v>
      </c>
      <c r="GA17" s="272">
        <v>1366553</v>
      </c>
      <c r="GB17" s="272">
        <v>4766128</v>
      </c>
      <c r="GC17" s="272"/>
      <c r="GD17" s="272">
        <v>9694133</v>
      </c>
      <c r="GE17" s="384">
        <f t="shared" si="17"/>
        <v>62.7</v>
      </c>
      <c r="GF17" s="388">
        <v>96.2</v>
      </c>
      <c r="GG17" s="388">
        <v>20.3</v>
      </c>
      <c r="GH17" s="388">
        <v>90.2</v>
      </c>
      <c r="GI17" s="272">
        <v>975</v>
      </c>
    </row>
    <row r="18" spans="2:191" x14ac:dyDescent="0.15">
      <c r="B18" s="89" t="s">
        <v>29</v>
      </c>
      <c r="C18" s="272">
        <v>14805225</v>
      </c>
      <c r="D18" s="455">
        <f t="shared" si="0"/>
        <v>7331374</v>
      </c>
      <c r="E18" s="272">
        <v>80464</v>
      </c>
      <c r="F18" s="272">
        <v>7250910</v>
      </c>
      <c r="G18" s="455">
        <f t="shared" si="1"/>
        <v>619212</v>
      </c>
      <c r="H18" s="272">
        <v>141634</v>
      </c>
      <c r="I18" s="272">
        <v>477578</v>
      </c>
      <c r="J18" s="272">
        <v>5093783</v>
      </c>
      <c r="K18" s="272">
        <v>2350313</v>
      </c>
      <c r="L18" s="272">
        <v>2053741</v>
      </c>
      <c r="M18" s="272">
        <v>663824</v>
      </c>
      <c r="N18" s="272">
        <v>424129</v>
      </c>
      <c r="O18" s="272">
        <v>1178263</v>
      </c>
      <c r="P18" s="272">
        <v>763619</v>
      </c>
      <c r="Q18" s="272">
        <v>414644</v>
      </c>
      <c r="R18" s="272">
        <v>661418</v>
      </c>
      <c r="S18" s="272">
        <v>449193</v>
      </c>
      <c r="T18" s="455">
        <f t="shared" si="2"/>
        <v>925894</v>
      </c>
      <c r="U18" s="272">
        <v>554294</v>
      </c>
      <c r="V18" s="272"/>
      <c r="W18" s="272"/>
      <c r="X18" s="272"/>
      <c r="Y18" s="272">
        <v>79675</v>
      </c>
      <c r="Z18" s="272">
        <v>3543</v>
      </c>
      <c r="AA18" s="272">
        <v>288382</v>
      </c>
      <c r="AB18" s="272"/>
      <c r="AC18" s="272">
        <v>3851499</v>
      </c>
      <c r="AD18" s="272">
        <v>3575627</v>
      </c>
      <c r="AE18" s="272">
        <v>275872</v>
      </c>
      <c r="AF18" s="272">
        <v>24500</v>
      </c>
      <c r="AG18" s="272">
        <v>239414</v>
      </c>
      <c r="AH18" s="455">
        <f t="shared" si="3"/>
        <v>3131712</v>
      </c>
      <c r="AI18" s="272">
        <v>2839386</v>
      </c>
      <c r="AJ18" s="272">
        <v>292326</v>
      </c>
      <c r="AK18" s="272">
        <v>2530306</v>
      </c>
      <c r="AL18" s="455">
        <f t="shared" si="4"/>
        <v>1342855</v>
      </c>
      <c r="AM18" s="272">
        <v>1012200</v>
      </c>
      <c r="AN18" s="272">
        <v>191388</v>
      </c>
      <c r="AO18" s="272">
        <v>0</v>
      </c>
      <c r="AP18" s="272">
        <v>139267</v>
      </c>
      <c r="AQ18" s="272">
        <v>501603</v>
      </c>
      <c r="AR18" s="272">
        <v>0</v>
      </c>
      <c r="AS18" s="272">
        <v>0</v>
      </c>
      <c r="AT18" s="272">
        <v>1737623</v>
      </c>
      <c r="AU18" s="272">
        <v>716721</v>
      </c>
      <c r="AV18" s="272">
        <v>123620</v>
      </c>
      <c r="AW18" s="272">
        <v>387910</v>
      </c>
      <c r="AX18" s="272">
        <v>1020902</v>
      </c>
      <c r="AY18" s="272">
        <v>273231</v>
      </c>
      <c r="AZ18" s="272">
        <v>417875</v>
      </c>
      <c r="BA18" s="272">
        <v>0</v>
      </c>
      <c r="BB18" s="272">
        <v>395665</v>
      </c>
      <c r="BC18" s="272">
        <v>3733105</v>
      </c>
      <c r="BD18" s="272">
        <v>1325242</v>
      </c>
      <c r="BE18" s="272">
        <v>0</v>
      </c>
      <c r="BF18" s="272">
        <v>2344707</v>
      </c>
      <c r="BG18" s="272">
        <v>0</v>
      </c>
      <c r="BH18" s="272">
        <v>834217</v>
      </c>
      <c r="BI18" s="272">
        <v>412942</v>
      </c>
      <c r="BJ18" s="272">
        <v>1871718</v>
      </c>
      <c r="BK18" s="272">
        <v>1183046</v>
      </c>
      <c r="BL18" s="272">
        <v>0</v>
      </c>
      <c r="BM18" s="272">
        <v>410913</v>
      </c>
      <c r="BN18" s="272">
        <v>5800500</v>
      </c>
      <c r="BO18" s="455">
        <f t="shared" si="5"/>
        <v>5800500</v>
      </c>
      <c r="BP18" s="455">
        <f t="shared" si="6"/>
        <v>0</v>
      </c>
      <c r="BQ18" s="272"/>
      <c r="BR18" s="272"/>
      <c r="BS18" s="272"/>
      <c r="BT18" s="272">
        <v>0</v>
      </c>
      <c r="BU18" s="272">
        <v>40960671</v>
      </c>
      <c r="BV18" s="272"/>
      <c r="BW18" s="272">
        <v>7481885</v>
      </c>
      <c r="BX18" s="272">
        <v>5900301</v>
      </c>
      <c r="BY18" s="272">
        <v>166666</v>
      </c>
      <c r="BZ18" s="272">
        <v>49742</v>
      </c>
      <c r="CA18" s="272">
        <v>3350341</v>
      </c>
      <c r="CB18" s="272">
        <v>448868</v>
      </c>
      <c r="CC18" s="272">
        <v>647820</v>
      </c>
      <c r="CD18" s="272">
        <v>842027</v>
      </c>
      <c r="CE18" s="272">
        <v>1347580</v>
      </c>
      <c r="CF18" s="272">
        <v>0</v>
      </c>
      <c r="CG18" s="272">
        <v>64046</v>
      </c>
      <c r="CH18" s="272">
        <v>3626121</v>
      </c>
      <c r="CI18" s="272">
        <v>2193752</v>
      </c>
      <c r="CJ18" s="455">
        <f t="shared" si="7"/>
        <v>1432369</v>
      </c>
      <c r="CK18" s="272">
        <v>4514939</v>
      </c>
      <c r="CL18" s="272">
        <v>2587499</v>
      </c>
      <c r="CM18" s="272">
        <v>472548</v>
      </c>
      <c r="CN18" s="272">
        <v>831899</v>
      </c>
      <c r="CO18" s="272">
        <v>370096</v>
      </c>
      <c r="CP18" s="272">
        <v>4400893</v>
      </c>
      <c r="CQ18" s="272">
        <v>914969</v>
      </c>
      <c r="CR18" s="272">
        <v>3035831</v>
      </c>
      <c r="CS18" s="272">
        <v>2912625</v>
      </c>
      <c r="CT18" s="455">
        <f t="shared" si="8"/>
        <v>696</v>
      </c>
      <c r="CU18" s="272">
        <v>696</v>
      </c>
      <c r="CV18" s="272">
        <v>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11325158</v>
      </c>
      <c r="DD18" s="272">
        <v>1604638</v>
      </c>
      <c r="DE18" s="272">
        <v>9590001</v>
      </c>
      <c r="DF18" s="272">
        <v>130519</v>
      </c>
      <c r="DG18" s="272">
        <v>0</v>
      </c>
      <c r="DH18" s="272">
        <v>18312</v>
      </c>
      <c r="DI18" s="272">
        <v>1725021</v>
      </c>
      <c r="DJ18" s="272">
        <v>480700</v>
      </c>
      <c r="DK18" s="272">
        <v>0</v>
      </c>
      <c r="DL18" s="272">
        <v>1244321</v>
      </c>
      <c r="DM18" s="272">
        <v>55100</v>
      </c>
      <c r="DN18" s="272">
        <v>0</v>
      </c>
      <c r="DO18" s="272">
        <v>0</v>
      </c>
      <c r="DP18" s="272">
        <v>0</v>
      </c>
      <c r="DQ18" s="272">
        <v>1163360</v>
      </c>
      <c r="DR18" s="272">
        <v>0</v>
      </c>
      <c r="DS18" s="272">
        <v>0</v>
      </c>
      <c r="DT18" s="272">
        <v>2285276</v>
      </c>
      <c r="DU18" s="272">
        <v>1023288</v>
      </c>
      <c r="DV18" s="455">
        <f t="shared" si="11"/>
        <v>0</v>
      </c>
      <c r="DW18" s="272">
        <v>0</v>
      </c>
      <c r="DX18" s="272">
        <v>0</v>
      </c>
      <c r="DY18" s="272">
        <v>0</v>
      </c>
      <c r="DZ18" s="272">
        <v>719869</v>
      </c>
      <c r="EA18" s="272">
        <v>353709</v>
      </c>
      <c r="EB18" s="272"/>
      <c r="EC18" s="272">
        <v>0</v>
      </c>
      <c r="ED18" s="272">
        <v>40316502</v>
      </c>
      <c r="EF18" s="272">
        <v>644169</v>
      </c>
      <c r="EG18" s="272">
        <v>229761</v>
      </c>
      <c r="EH18" s="272">
        <v>414408</v>
      </c>
      <c r="EI18" s="272">
        <v>1466</v>
      </c>
      <c r="EJ18" s="272">
        <v>-843076</v>
      </c>
      <c r="EL18" s="272"/>
      <c r="EM18" s="272">
        <v>117795</v>
      </c>
      <c r="EN18" s="272">
        <v>1388398</v>
      </c>
      <c r="EO18" s="272">
        <v>241</v>
      </c>
      <c r="EP18" s="455">
        <f t="shared" si="12"/>
        <v>1394018</v>
      </c>
      <c r="EQ18" s="272">
        <v>20268536</v>
      </c>
      <c r="ER18" s="272">
        <v>-2758157</v>
      </c>
      <c r="ES18" s="272">
        <v>6711524</v>
      </c>
      <c r="ET18" s="272">
        <v>5147706</v>
      </c>
      <c r="EU18" s="272">
        <v>1151657</v>
      </c>
      <c r="EV18" s="272">
        <v>3532954</v>
      </c>
      <c r="EW18" s="455">
        <f t="shared" si="13"/>
        <v>1829540</v>
      </c>
      <c r="EX18" s="272">
        <v>1820934</v>
      </c>
      <c r="EY18" s="272">
        <v>387272</v>
      </c>
      <c r="EZ18" s="272">
        <v>1307893</v>
      </c>
      <c r="FA18" s="272">
        <v>8606</v>
      </c>
      <c r="FB18" s="272"/>
      <c r="FC18" s="272">
        <v>3723384</v>
      </c>
      <c r="FD18" s="272">
        <v>1887245</v>
      </c>
      <c r="FE18" s="272">
        <v>914969</v>
      </c>
      <c r="FF18" s="272">
        <v>2190295</v>
      </c>
      <c r="FG18" s="455">
        <f t="shared" si="14"/>
        <v>1355925</v>
      </c>
      <c r="FH18" s="272">
        <v>22382524</v>
      </c>
      <c r="FI18" s="384">
        <f t="shared" si="15"/>
        <v>2.2000000000000002</v>
      </c>
      <c r="FJ18" s="272">
        <v>18748392</v>
      </c>
      <c r="FK18" s="272"/>
      <c r="FL18" s="272">
        <v>11438285</v>
      </c>
      <c r="FM18" s="272">
        <v>15057848</v>
      </c>
      <c r="FN18" s="460">
        <v>0.76900000000000002</v>
      </c>
      <c r="FO18" s="388">
        <v>91.9</v>
      </c>
      <c r="FP18" s="388">
        <v>34.700000000000003</v>
      </c>
      <c r="FQ18" s="388">
        <v>6.1</v>
      </c>
      <c r="FR18" s="388">
        <v>18.7</v>
      </c>
      <c r="FS18" s="388">
        <v>18.899999999999999</v>
      </c>
      <c r="FT18" s="388">
        <v>8.5</v>
      </c>
      <c r="FU18" s="388">
        <v>3.3</v>
      </c>
      <c r="FV18" s="388">
        <v>12.5</v>
      </c>
      <c r="FW18" s="272">
        <v>28984045</v>
      </c>
      <c r="FX18" s="384">
        <f t="shared" si="16"/>
        <v>154.6</v>
      </c>
      <c r="FY18" s="272">
        <v>9084768</v>
      </c>
      <c r="FZ18" s="272">
        <v>2400739</v>
      </c>
      <c r="GA18" s="272"/>
      <c r="GB18" s="272">
        <v>6684029</v>
      </c>
      <c r="GC18" s="272"/>
      <c r="GD18" s="272">
        <v>1764866</v>
      </c>
      <c r="GE18" s="384">
        <f t="shared" si="17"/>
        <v>9.4</v>
      </c>
      <c r="GF18" s="388">
        <v>97.5</v>
      </c>
      <c r="GG18" s="388">
        <v>33.4</v>
      </c>
      <c r="GH18" s="388">
        <v>94.2</v>
      </c>
      <c r="GI18" s="272">
        <v>860</v>
      </c>
    </row>
    <row r="19" spans="2:191" x14ac:dyDescent="0.15">
      <c r="B19" s="89" t="s">
        <v>31</v>
      </c>
      <c r="C19" s="272">
        <v>32434622</v>
      </c>
      <c r="D19" s="455">
        <f t="shared" si="0"/>
        <v>15924216</v>
      </c>
      <c r="E19" s="272">
        <v>185095</v>
      </c>
      <c r="F19" s="272">
        <v>15739121</v>
      </c>
      <c r="G19" s="455">
        <f t="shared" si="1"/>
        <v>2399012</v>
      </c>
      <c r="H19" s="272">
        <v>431394</v>
      </c>
      <c r="I19" s="272">
        <v>1967618</v>
      </c>
      <c r="J19" s="272">
        <v>10041919</v>
      </c>
      <c r="K19" s="272">
        <v>4866048</v>
      </c>
      <c r="L19" s="272">
        <v>3689512</v>
      </c>
      <c r="M19" s="272">
        <v>1291397</v>
      </c>
      <c r="N19" s="272">
        <v>1247757</v>
      </c>
      <c r="O19" s="272">
        <v>2681506</v>
      </c>
      <c r="P19" s="272">
        <v>1835875</v>
      </c>
      <c r="Q19" s="272">
        <v>845631</v>
      </c>
      <c r="R19" s="272">
        <v>1465095</v>
      </c>
      <c r="S19" s="272">
        <v>1076564</v>
      </c>
      <c r="T19" s="455">
        <f t="shared" si="2"/>
        <v>1678352</v>
      </c>
      <c r="U19" s="272">
        <v>1144612</v>
      </c>
      <c r="V19" s="272"/>
      <c r="W19" s="272"/>
      <c r="X19" s="272"/>
      <c r="Y19" s="272">
        <v>0</v>
      </c>
      <c r="Z19" s="272">
        <v>4793</v>
      </c>
      <c r="AA19" s="272">
        <v>528947</v>
      </c>
      <c r="AB19" s="272"/>
      <c r="AC19" s="272">
        <v>7251019</v>
      </c>
      <c r="AD19" s="272">
        <v>6785068</v>
      </c>
      <c r="AE19" s="272">
        <v>465951</v>
      </c>
      <c r="AF19" s="272">
        <v>48117</v>
      </c>
      <c r="AG19" s="272">
        <v>435285</v>
      </c>
      <c r="AH19" s="455">
        <f t="shared" si="3"/>
        <v>1244013</v>
      </c>
      <c r="AI19" s="272">
        <v>772381</v>
      </c>
      <c r="AJ19" s="272">
        <v>471632</v>
      </c>
      <c r="AK19" s="272">
        <v>6059457</v>
      </c>
      <c r="AL19" s="455">
        <f t="shared" si="4"/>
        <v>3518631</v>
      </c>
      <c r="AM19" s="272">
        <v>2403051</v>
      </c>
      <c r="AN19" s="272">
        <v>760715</v>
      </c>
      <c r="AO19" s="272">
        <v>0</v>
      </c>
      <c r="AP19" s="272">
        <v>354865</v>
      </c>
      <c r="AQ19" s="272">
        <v>1411377</v>
      </c>
      <c r="AR19" s="272">
        <v>0</v>
      </c>
      <c r="AS19" s="272">
        <v>0</v>
      </c>
      <c r="AT19" s="272">
        <v>3202279</v>
      </c>
      <c r="AU19" s="272">
        <v>1051994</v>
      </c>
      <c r="AV19" s="272">
        <v>515681</v>
      </c>
      <c r="AW19" s="272">
        <v>67154</v>
      </c>
      <c r="AX19" s="272">
        <v>2150285</v>
      </c>
      <c r="AY19" s="272">
        <v>400099</v>
      </c>
      <c r="AZ19" s="272">
        <v>623443</v>
      </c>
      <c r="BA19" s="272">
        <v>317025</v>
      </c>
      <c r="BB19" s="272">
        <v>573905</v>
      </c>
      <c r="BC19" s="272">
        <v>4176249</v>
      </c>
      <c r="BD19" s="272">
        <v>500000</v>
      </c>
      <c r="BE19" s="272">
        <v>321000</v>
      </c>
      <c r="BF19" s="272">
        <v>3333541</v>
      </c>
      <c r="BG19" s="272">
        <v>0</v>
      </c>
      <c r="BH19" s="272">
        <v>850077</v>
      </c>
      <c r="BI19" s="272">
        <v>476242</v>
      </c>
      <c r="BJ19" s="272">
        <v>5447579</v>
      </c>
      <c r="BK19" s="272">
        <v>4116257</v>
      </c>
      <c r="BL19" s="272">
        <v>0</v>
      </c>
      <c r="BM19" s="272">
        <v>339164</v>
      </c>
      <c r="BN19" s="272">
        <v>8718913</v>
      </c>
      <c r="BO19" s="455">
        <f t="shared" si="5"/>
        <v>8718913</v>
      </c>
      <c r="BP19" s="455">
        <f t="shared" si="6"/>
        <v>0</v>
      </c>
      <c r="BQ19" s="272"/>
      <c r="BR19" s="272"/>
      <c r="BS19" s="272"/>
      <c r="BT19" s="272">
        <v>0</v>
      </c>
      <c r="BU19" s="272">
        <v>74208405</v>
      </c>
      <c r="BV19" s="272"/>
      <c r="BW19" s="272">
        <v>21729824</v>
      </c>
      <c r="BX19" s="272">
        <v>16801113</v>
      </c>
      <c r="BY19" s="272">
        <v>1271694</v>
      </c>
      <c r="BZ19" s="272">
        <v>262920</v>
      </c>
      <c r="CA19" s="272">
        <v>7397567</v>
      </c>
      <c r="CB19" s="272">
        <v>798651</v>
      </c>
      <c r="CC19" s="272">
        <v>1542182</v>
      </c>
      <c r="CD19" s="272">
        <v>1849317</v>
      </c>
      <c r="CE19" s="272">
        <v>3084315</v>
      </c>
      <c r="CF19" s="272">
        <v>498</v>
      </c>
      <c r="CG19" s="272">
        <v>122065</v>
      </c>
      <c r="CH19" s="272">
        <v>6958073</v>
      </c>
      <c r="CI19" s="272">
        <v>4170619</v>
      </c>
      <c r="CJ19" s="455">
        <f t="shared" si="7"/>
        <v>2787454</v>
      </c>
      <c r="CK19" s="272">
        <v>6269762</v>
      </c>
      <c r="CL19" s="272">
        <v>2889958</v>
      </c>
      <c r="CM19" s="272">
        <v>521284</v>
      </c>
      <c r="CN19" s="272">
        <v>1803207</v>
      </c>
      <c r="CO19" s="272">
        <v>352682</v>
      </c>
      <c r="CP19" s="272">
        <v>5405761</v>
      </c>
      <c r="CQ19" s="272">
        <v>3414244</v>
      </c>
      <c r="CR19" s="272">
        <v>1069009</v>
      </c>
      <c r="CS19" s="272">
        <v>975015</v>
      </c>
      <c r="CT19" s="455">
        <f t="shared" si="8"/>
        <v>4793</v>
      </c>
      <c r="CU19" s="272">
        <v>4793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14220622</v>
      </c>
      <c r="DD19" s="272">
        <v>3638875</v>
      </c>
      <c r="DE19" s="272">
        <v>10538118</v>
      </c>
      <c r="DF19" s="272">
        <v>0</v>
      </c>
      <c r="DG19" s="272">
        <v>43629</v>
      </c>
      <c r="DH19" s="272">
        <v>0</v>
      </c>
      <c r="DI19" s="272">
        <v>1772677</v>
      </c>
      <c r="DJ19" s="272">
        <v>254965</v>
      </c>
      <c r="DK19" s="272">
        <v>49591</v>
      </c>
      <c r="DL19" s="272">
        <v>1468121</v>
      </c>
      <c r="DM19" s="272">
        <v>713535</v>
      </c>
      <c r="DN19" s="272">
        <v>709535</v>
      </c>
      <c r="DO19" s="272">
        <v>709535</v>
      </c>
      <c r="DP19" s="272">
        <v>0</v>
      </c>
      <c r="DQ19" s="272">
        <v>4090348</v>
      </c>
      <c r="DR19" s="272">
        <v>0</v>
      </c>
      <c r="DS19" s="272">
        <v>0</v>
      </c>
      <c r="DT19" s="272">
        <v>4941830</v>
      </c>
      <c r="DU19" s="272">
        <v>2855434</v>
      </c>
      <c r="DV19" s="455">
        <f t="shared" si="11"/>
        <v>0</v>
      </c>
      <c r="DW19" s="272">
        <v>0</v>
      </c>
      <c r="DX19" s="272">
        <v>0</v>
      </c>
      <c r="DY19" s="272">
        <v>0</v>
      </c>
      <c r="DZ19" s="272">
        <v>1453752</v>
      </c>
      <c r="EA19" s="272">
        <v>618412</v>
      </c>
      <c r="EB19" s="272"/>
      <c r="EC19" s="272">
        <v>0</v>
      </c>
      <c r="ED19" s="272">
        <v>73852681</v>
      </c>
      <c r="EF19" s="272">
        <v>355724</v>
      </c>
      <c r="EG19" s="272">
        <v>100385</v>
      </c>
      <c r="EH19" s="272">
        <v>255339</v>
      </c>
      <c r="EI19" s="272">
        <v>-220903</v>
      </c>
      <c r="EJ19" s="272">
        <v>-465938</v>
      </c>
      <c r="EL19" s="272"/>
      <c r="EM19" s="272">
        <v>255428</v>
      </c>
      <c r="EN19" s="272">
        <v>1284672</v>
      </c>
      <c r="EO19" s="272">
        <v>197412</v>
      </c>
      <c r="EP19" s="455">
        <f t="shared" si="12"/>
        <v>2974027</v>
      </c>
      <c r="EQ19" s="272">
        <v>42877205</v>
      </c>
      <c r="ER19" s="272">
        <v>-4407994</v>
      </c>
      <c r="ES19" s="272">
        <v>19865714</v>
      </c>
      <c r="ET19" s="272">
        <v>14957704</v>
      </c>
      <c r="EU19" s="272">
        <v>2113504</v>
      </c>
      <c r="EV19" s="272">
        <v>6807128</v>
      </c>
      <c r="EW19" s="455">
        <f t="shared" si="13"/>
        <v>1866151</v>
      </c>
      <c r="EX19" s="272">
        <v>1866151</v>
      </c>
      <c r="EY19" s="272">
        <v>112685</v>
      </c>
      <c r="EZ19" s="272">
        <v>1753466</v>
      </c>
      <c r="FA19" s="272">
        <v>0</v>
      </c>
      <c r="FB19" s="272"/>
      <c r="FC19" s="272">
        <v>4680267</v>
      </c>
      <c r="FD19" s="272">
        <v>4996803</v>
      </c>
      <c r="FE19" s="272">
        <v>3414244</v>
      </c>
      <c r="FF19" s="272">
        <v>4769004</v>
      </c>
      <c r="FG19" s="455">
        <f t="shared" si="14"/>
        <v>1830904</v>
      </c>
      <c r="FH19" s="272">
        <v>46929475</v>
      </c>
      <c r="FI19" s="384">
        <f t="shared" si="15"/>
        <v>0.7</v>
      </c>
      <c r="FJ19" s="272">
        <v>38842997</v>
      </c>
      <c r="FK19" s="272"/>
      <c r="FL19" s="272">
        <v>24153640</v>
      </c>
      <c r="FM19" s="272">
        <v>30985950</v>
      </c>
      <c r="FN19" s="460">
        <v>0.78900000000000003</v>
      </c>
      <c r="FO19" s="388">
        <v>97.8</v>
      </c>
      <c r="FP19" s="388">
        <v>48.9</v>
      </c>
      <c r="FQ19" s="388">
        <v>5.3</v>
      </c>
      <c r="FR19" s="388">
        <v>14.4</v>
      </c>
      <c r="FS19" s="388">
        <v>10.5</v>
      </c>
      <c r="FT19" s="388">
        <v>11.5</v>
      </c>
      <c r="FU19" s="388">
        <v>6.5</v>
      </c>
      <c r="FV19" s="388">
        <v>11.1</v>
      </c>
      <c r="FW19" s="272">
        <v>52323673</v>
      </c>
      <c r="FX19" s="384">
        <f t="shared" si="16"/>
        <v>134.69999999999999</v>
      </c>
      <c r="FY19" s="272">
        <v>8379776</v>
      </c>
      <c r="FZ19" s="272">
        <v>377345</v>
      </c>
      <c r="GA19" s="272">
        <v>1532268</v>
      </c>
      <c r="GB19" s="272">
        <v>6470163</v>
      </c>
      <c r="GC19" s="272"/>
      <c r="GD19" s="272">
        <v>8389085</v>
      </c>
      <c r="GE19" s="384">
        <f t="shared" si="17"/>
        <v>21.6</v>
      </c>
      <c r="GF19" s="388">
        <v>96.7</v>
      </c>
      <c r="GG19" s="388">
        <v>23.6</v>
      </c>
      <c r="GH19" s="388">
        <v>91.3</v>
      </c>
      <c r="GI19" s="272">
        <v>2265</v>
      </c>
    </row>
    <row r="20" spans="2:191" x14ac:dyDescent="0.15">
      <c r="B20" s="89" t="s">
        <v>33</v>
      </c>
      <c r="C20" s="272">
        <v>15867075</v>
      </c>
      <c r="D20" s="455">
        <f t="shared" si="0"/>
        <v>8319841</v>
      </c>
      <c r="E20" s="272">
        <v>76438</v>
      </c>
      <c r="F20" s="272">
        <v>8243403</v>
      </c>
      <c r="G20" s="455">
        <f t="shared" si="1"/>
        <v>685051</v>
      </c>
      <c r="H20" s="272">
        <v>145105</v>
      </c>
      <c r="I20" s="272">
        <v>539946</v>
      </c>
      <c r="J20" s="272">
        <v>5083582</v>
      </c>
      <c r="K20" s="272">
        <v>2095841</v>
      </c>
      <c r="L20" s="272">
        <v>2258414</v>
      </c>
      <c r="M20" s="272">
        <v>706294</v>
      </c>
      <c r="N20" s="272">
        <v>354243</v>
      </c>
      <c r="O20" s="272">
        <v>1279480</v>
      </c>
      <c r="P20" s="272">
        <v>791611</v>
      </c>
      <c r="Q20" s="272">
        <v>487869</v>
      </c>
      <c r="R20" s="272">
        <v>640494</v>
      </c>
      <c r="S20" s="272">
        <v>403057</v>
      </c>
      <c r="T20" s="455">
        <f t="shared" si="2"/>
        <v>968129</v>
      </c>
      <c r="U20" s="272">
        <v>602405</v>
      </c>
      <c r="V20" s="272"/>
      <c r="W20" s="272"/>
      <c r="X20" s="272"/>
      <c r="Y20" s="272">
        <v>41317</v>
      </c>
      <c r="Z20" s="272">
        <v>1765</v>
      </c>
      <c r="AA20" s="272">
        <v>322642</v>
      </c>
      <c r="AB20" s="272"/>
      <c r="AC20" s="272">
        <v>2127996</v>
      </c>
      <c r="AD20" s="272">
        <v>1869648</v>
      </c>
      <c r="AE20" s="272">
        <v>258348</v>
      </c>
      <c r="AF20" s="272">
        <v>24541</v>
      </c>
      <c r="AG20" s="272">
        <v>234709</v>
      </c>
      <c r="AH20" s="455">
        <f t="shared" si="3"/>
        <v>932675</v>
      </c>
      <c r="AI20" s="272">
        <v>646785</v>
      </c>
      <c r="AJ20" s="272">
        <v>285890</v>
      </c>
      <c r="AK20" s="272">
        <v>1736877</v>
      </c>
      <c r="AL20" s="455">
        <f t="shared" si="4"/>
        <v>901688</v>
      </c>
      <c r="AM20" s="272">
        <v>594337</v>
      </c>
      <c r="AN20" s="272">
        <v>169678</v>
      </c>
      <c r="AO20" s="272">
        <v>0</v>
      </c>
      <c r="AP20" s="272">
        <v>137673</v>
      </c>
      <c r="AQ20" s="272">
        <v>260999</v>
      </c>
      <c r="AR20" s="272">
        <v>0</v>
      </c>
      <c r="AS20" s="272">
        <v>0</v>
      </c>
      <c r="AT20" s="272">
        <v>1400407</v>
      </c>
      <c r="AU20" s="272">
        <v>366493</v>
      </c>
      <c r="AV20" s="272">
        <v>83793</v>
      </c>
      <c r="AW20" s="272">
        <v>67124</v>
      </c>
      <c r="AX20" s="272">
        <v>1033914</v>
      </c>
      <c r="AY20" s="272">
        <v>399779</v>
      </c>
      <c r="AZ20" s="272">
        <v>448756</v>
      </c>
      <c r="BA20" s="272">
        <v>5644</v>
      </c>
      <c r="BB20" s="272">
        <v>153379</v>
      </c>
      <c r="BC20" s="272">
        <v>1399547</v>
      </c>
      <c r="BD20" s="272">
        <v>1270897</v>
      </c>
      <c r="BE20" s="272">
        <v>79000</v>
      </c>
      <c r="BF20" s="272">
        <v>32518</v>
      </c>
      <c r="BG20" s="272">
        <v>6910</v>
      </c>
      <c r="BH20" s="272">
        <v>879814</v>
      </c>
      <c r="BI20" s="272">
        <v>151928</v>
      </c>
      <c r="BJ20" s="272">
        <v>1280984</v>
      </c>
      <c r="BK20" s="272">
        <v>1090943</v>
      </c>
      <c r="BL20" s="272">
        <v>0</v>
      </c>
      <c r="BM20" s="272">
        <v>0</v>
      </c>
      <c r="BN20" s="272">
        <v>1800300</v>
      </c>
      <c r="BO20" s="455">
        <f t="shared" si="5"/>
        <v>1800300</v>
      </c>
      <c r="BP20" s="455">
        <f t="shared" si="6"/>
        <v>0</v>
      </c>
      <c r="BQ20" s="272"/>
      <c r="BR20" s="272"/>
      <c r="BS20" s="272"/>
      <c r="BT20" s="272">
        <v>0</v>
      </c>
      <c r="BU20" s="272">
        <v>29895683</v>
      </c>
      <c r="BV20" s="272"/>
      <c r="BW20" s="272">
        <v>5960696</v>
      </c>
      <c r="BX20" s="272">
        <v>4226240</v>
      </c>
      <c r="BY20" s="272">
        <v>246784</v>
      </c>
      <c r="BZ20" s="272">
        <v>404628</v>
      </c>
      <c r="CA20" s="272">
        <v>2647948</v>
      </c>
      <c r="CB20" s="272">
        <v>401887</v>
      </c>
      <c r="CC20" s="272">
        <v>695903</v>
      </c>
      <c r="CD20" s="272">
        <v>725755</v>
      </c>
      <c r="CE20" s="272">
        <v>807950</v>
      </c>
      <c r="CF20" s="272">
        <v>0</v>
      </c>
      <c r="CG20" s="272">
        <v>16453</v>
      </c>
      <c r="CH20" s="272">
        <v>2427387</v>
      </c>
      <c r="CI20" s="272">
        <v>1299090</v>
      </c>
      <c r="CJ20" s="455">
        <f t="shared" si="7"/>
        <v>1128297</v>
      </c>
      <c r="CK20" s="272">
        <v>4683037</v>
      </c>
      <c r="CL20" s="272">
        <v>3093149</v>
      </c>
      <c r="CM20" s="272">
        <v>78032</v>
      </c>
      <c r="CN20" s="272">
        <v>947563</v>
      </c>
      <c r="CO20" s="272">
        <v>306469</v>
      </c>
      <c r="CP20" s="272">
        <v>2380885</v>
      </c>
      <c r="CQ20" s="272">
        <v>661219</v>
      </c>
      <c r="CR20" s="272">
        <v>780253</v>
      </c>
      <c r="CS20" s="272">
        <v>663681</v>
      </c>
      <c r="CT20" s="455">
        <f t="shared" si="8"/>
        <v>95184</v>
      </c>
      <c r="CU20" s="272">
        <v>9995</v>
      </c>
      <c r="CV20" s="272">
        <v>85189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6727096</v>
      </c>
      <c r="DD20" s="272">
        <v>756479</v>
      </c>
      <c r="DE20" s="272">
        <v>5903882</v>
      </c>
      <c r="DF20" s="272">
        <v>66735</v>
      </c>
      <c r="DG20" s="272">
        <v>0</v>
      </c>
      <c r="DH20" s="272">
        <v>18557</v>
      </c>
      <c r="DI20" s="272">
        <v>1503635</v>
      </c>
      <c r="DJ20" s="272">
        <v>589456</v>
      </c>
      <c r="DK20" s="272">
        <v>80000</v>
      </c>
      <c r="DL20" s="272">
        <v>834179</v>
      </c>
      <c r="DM20" s="272">
        <v>3000</v>
      </c>
      <c r="DN20" s="272">
        <v>0</v>
      </c>
      <c r="DO20" s="272">
        <v>0</v>
      </c>
      <c r="DP20" s="272">
        <v>0</v>
      </c>
      <c r="DQ20" s="272">
        <v>1076086</v>
      </c>
      <c r="DR20" s="272">
        <v>0</v>
      </c>
      <c r="DS20" s="272">
        <v>0</v>
      </c>
      <c r="DT20" s="272">
        <v>1757989</v>
      </c>
      <c r="DU20" s="272">
        <v>1090885</v>
      </c>
      <c r="DV20" s="455">
        <f t="shared" si="11"/>
        <v>0</v>
      </c>
      <c r="DW20" s="272">
        <v>0</v>
      </c>
      <c r="DX20" s="272">
        <v>0</v>
      </c>
      <c r="DY20" s="272">
        <v>0</v>
      </c>
      <c r="DZ20" s="272">
        <v>331738</v>
      </c>
      <c r="EA20" s="272">
        <v>335366</v>
      </c>
      <c r="EB20" s="272"/>
      <c r="EC20" s="272">
        <v>0</v>
      </c>
      <c r="ED20" s="272">
        <v>29492785</v>
      </c>
      <c r="EF20" s="272">
        <v>402898</v>
      </c>
      <c r="EG20" s="272">
        <v>246976</v>
      </c>
      <c r="EH20" s="272">
        <v>155922</v>
      </c>
      <c r="EI20" s="272">
        <v>3994</v>
      </c>
      <c r="EJ20" s="272">
        <v>-677447</v>
      </c>
      <c r="EL20" s="272"/>
      <c r="EM20" s="272">
        <v>115824</v>
      </c>
      <c r="EN20" s="272">
        <v>1349897</v>
      </c>
      <c r="EO20" s="272">
        <v>19836</v>
      </c>
      <c r="EP20" s="455">
        <f t="shared" si="12"/>
        <v>723678</v>
      </c>
      <c r="EQ20" s="272">
        <v>19628235</v>
      </c>
      <c r="ER20" s="272">
        <v>-2068870</v>
      </c>
      <c r="ES20" s="272">
        <v>5629831</v>
      </c>
      <c r="ET20" s="272">
        <v>3977952</v>
      </c>
      <c r="EU20" s="272">
        <v>775295</v>
      </c>
      <c r="EV20" s="272">
        <v>2427387</v>
      </c>
      <c r="EW20" s="455">
        <f t="shared" si="13"/>
        <v>3568949</v>
      </c>
      <c r="EX20" s="272">
        <v>3554410</v>
      </c>
      <c r="EY20" s="272">
        <v>204438</v>
      </c>
      <c r="EZ20" s="272">
        <v>3283237</v>
      </c>
      <c r="FA20" s="272">
        <v>14539</v>
      </c>
      <c r="FB20" s="272"/>
      <c r="FC20" s="272">
        <v>3751479</v>
      </c>
      <c r="FD20" s="272">
        <v>2060739</v>
      </c>
      <c r="FE20" s="272">
        <v>661219</v>
      </c>
      <c r="FF20" s="272">
        <v>1729546</v>
      </c>
      <c r="FG20" s="455">
        <f t="shared" si="14"/>
        <v>1350981</v>
      </c>
      <c r="FH20" s="272">
        <v>21294207</v>
      </c>
      <c r="FI20" s="384">
        <f t="shared" si="15"/>
        <v>0.9</v>
      </c>
      <c r="FJ20" s="272">
        <v>18114725</v>
      </c>
      <c r="FK20" s="272"/>
      <c r="FL20" s="272">
        <v>12248665</v>
      </c>
      <c r="FM20" s="272">
        <v>14157760</v>
      </c>
      <c r="FN20" s="460">
        <v>0.871</v>
      </c>
      <c r="FO20" s="388">
        <v>80.599999999999994</v>
      </c>
      <c r="FP20" s="388">
        <v>30.1</v>
      </c>
      <c r="FQ20" s="388">
        <v>4.3</v>
      </c>
      <c r="FR20" s="388">
        <v>13.3</v>
      </c>
      <c r="FS20" s="388">
        <v>19.5</v>
      </c>
      <c r="FT20" s="388">
        <v>8.1</v>
      </c>
      <c r="FU20" s="388">
        <v>3.9</v>
      </c>
      <c r="FV20" s="388">
        <v>9.8000000000000007</v>
      </c>
      <c r="FW20" s="272">
        <v>20176552</v>
      </c>
      <c r="FX20" s="384">
        <f t="shared" si="16"/>
        <v>111.4</v>
      </c>
      <c r="FY20" s="272">
        <v>12806634</v>
      </c>
      <c r="FZ20" s="272">
        <v>6326541</v>
      </c>
      <c r="GA20" s="272">
        <v>1807228</v>
      </c>
      <c r="GB20" s="272">
        <v>4672865</v>
      </c>
      <c r="GC20" s="272"/>
      <c r="GD20" s="272">
        <v>5390882</v>
      </c>
      <c r="GE20" s="384">
        <f t="shared" si="17"/>
        <v>29.8</v>
      </c>
      <c r="GF20" s="388">
        <v>97.4</v>
      </c>
      <c r="GG20" s="388">
        <v>25.4</v>
      </c>
      <c r="GH20" s="388">
        <v>94.1</v>
      </c>
      <c r="GI20" s="272">
        <v>605</v>
      </c>
    </row>
    <row r="21" spans="2:191" x14ac:dyDescent="0.15">
      <c r="B21" s="89" t="s">
        <v>35</v>
      </c>
      <c r="C21" s="272">
        <v>15761298</v>
      </c>
      <c r="D21" s="455">
        <f t="shared" si="0"/>
        <v>6807127</v>
      </c>
      <c r="E21" s="272">
        <v>93483</v>
      </c>
      <c r="F21" s="272">
        <v>6713644</v>
      </c>
      <c r="G21" s="455">
        <f t="shared" si="1"/>
        <v>1494791</v>
      </c>
      <c r="H21" s="272">
        <v>189493</v>
      </c>
      <c r="I21" s="272">
        <v>1305298</v>
      </c>
      <c r="J21" s="272">
        <v>5358950</v>
      </c>
      <c r="K21" s="272">
        <v>2896632</v>
      </c>
      <c r="L21" s="272">
        <v>1809039</v>
      </c>
      <c r="M21" s="272">
        <v>626736</v>
      </c>
      <c r="N21" s="272">
        <v>584322</v>
      </c>
      <c r="O21" s="272">
        <v>1389608</v>
      </c>
      <c r="P21" s="272">
        <v>996587</v>
      </c>
      <c r="Q21" s="272">
        <v>393021</v>
      </c>
      <c r="R21" s="272">
        <v>770193</v>
      </c>
      <c r="S21" s="272">
        <v>559636</v>
      </c>
      <c r="T21" s="455">
        <f t="shared" si="2"/>
        <v>816901</v>
      </c>
      <c r="U21" s="272">
        <v>529096</v>
      </c>
      <c r="V21" s="272"/>
      <c r="W21" s="272"/>
      <c r="X21" s="272"/>
      <c r="Y21" s="272">
        <v>0</v>
      </c>
      <c r="Z21" s="272">
        <v>786</v>
      </c>
      <c r="AA21" s="272">
        <v>287019</v>
      </c>
      <c r="AB21" s="272"/>
      <c r="AC21" s="272">
        <v>5965153</v>
      </c>
      <c r="AD21" s="272">
        <v>5514437</v>
      </c>
      <c r="AE21" s="272">
        <v>450716</v>
      </c>
      <c r="AF21" s="272">
        <v>26249</v>
      </c>
      <c r="AG21" s="272">
        <v>179923</v>
      </c>
      <c r="AH21" s="455">
        <f t="shared" si="3"/>
        <v>418059</v>
      </c>
      <c r="AI21" s="272">
        <v>386471</v>
      </c>
      <c r="AJ21" s="272">
        <v>31588</v>
      </c>
      <c r="AK21" s="272">
        <v>3137569</v>
      </c>
      <c r="AL21" s="455">
        <f t="shared" si="4"/>
        <v>1739657</v>
      </c>
      <c r="AM21" s="272">
        <v>1249443</v>
      </c>
      <c r="AN21" s="272">
        <v>256648</v>
      </c>
      <c r="AO21" s="272">
        <v>0</v>
      </c>
      <c r="AP21" s="272">
        <v>233566</v>
      </c>
      <c r="AQ21" s="272">
        <v>621250</v>
      </c>
      <c r="AR21" s="272">
        <v>0</v>
      </c>
      <c r="AS21" s="272">
        <v>0</v>
      </c>
      <c r="AT21" s="272">
        <v>1765475</v>
      </c>
      <c r="AU21" s="272">
        <v>472579</v>
      </c>
      <c r="AV21" s="272">
        <v>126717</v>
      </c>
      <c r="AW21" s="272">
        <v>940</v>
      </c>
      <c r="AX21" s="272">
        <v>1292896</v>
      </c>
      <c r="AY21" s="272">
        <v>404272</v>
      </c>
      <c r="AZ21" s="272">
        <v>721019</v>
      </c>
      <c r="BA21" s="272">
        <v>33</v>
      </c>
      <c r="BB21" s="272">
        <v>1755100</v>
      </c>
      <c r="BC21" s="272">
        <v>3757750</v>
      </c>
      <c r="BD21" s="272">
        <v>0</v>
      </c>
      <c r="BE21" s="272">
        <v>630000</v>
      </c>
      <c r="BF21" s="272">
        <v>3121080</v>
      </c>
      <c r="BG21" s="272">
        <v>0</v>
      </c>
      <c r="BH21" s="272">
        <v>446167</v>
      </c>
      <c r="BI21" s="272">
        <v>389851</v>
      </c>
      <c r="BJ21" s="272">
        <v>833000</v>
      </c>
      <c r="BK21" s="272">
        <v>521549</v>
      </c>
      <c r="BL21" s="272">
        <v>0</v>
      </c>
      <c r="BM21" s="272">
        <v>0</v>
      </c>
      <c r="BN21" s="272">
        <v>3397300</v>
      </c>
      <c r="BO21" s="455">
        <f t="shared" si="5"/>
        <v>3397300</v>
      </c>
      <c r="BP21" s="455">
        <f t="shared" si="6"/>
        <v>0</v>
      </c>
      <c r="BQ21" s="272"/>
      <c r="BR21" s="272"/>
      <c r="BS21" s="272"/>
      <c r="BT21" s="272">
        <v>0</v>
      </c>
      <c r="BU21" s="272">
        <v>39751156</v>
      </c>
      <c r="BV21" s="272"/>
      <c r="BW21" s="272">
        <v>9035761</v>
      </c>
      <c r="BX21" s="272">
        <v>7037030</v>
      </c>
      <c r="BY21" s="272">
        <v>265168</v>
      </c>
      <c r="BZ21" s="272">
        <v>192268</v>
      </c>
      <c r="CA21" s="272">
        <v>4010082</v>
      </c>
      <c r="CB21" s="272">
        <v>462585</v>
      </c>
      <c r="CC21" s="272">
        <v>991035</v>
      </c>
      <c r="CD21" s="272">
        <v>829120</v>
      </c>
      <c r="CE21" s="272">
        <v>1647399</v>
      </c>
      <c r="CF21" s="272">
        <v>0</v>
      </c>
      <c r="CG21" s="272">
        <v>79663</v>
      </c>
      <c r="CH21" s="272">
        <v>3041080</v>
      </c>
      <c r="CI21" s="272">
        <v>1716122</v>
      </c>
      <c r="CJ21" s="455">
        <f t="shared" si="7"/>
        <v>1324958</v>
      </c>
      <c r="CK21" s="272">
        <v>4505407</v>
      </c>
      <c r="CL21" s="272">
        <v>2832436</v>
      </c>
      <c r="CM21" s="272">
        <v>142192</v>
      </c>
      <c r="CN21" s="272">
        <v>809039</v>
      </c>
      <c r="CO21" s="272">
        <v>287626</v>
      </c>
      <c r="CP21" s="272">
        <v>1952840</v>
      </c>
      <c r="CQ21" s="272">
        <v>6242</v>
      </c>
      <c r="CR21" s="272">
        <v>735749</v>
      </c>
      <c r="CS21" s="272">
        <v>464767</v>
      </c>
      <c r="CT21" s="455">
        <f t="shared" si="8"/>
        <v>383071</v>
      </c>
      <c r="CU21" s="272">
        <v>12000</v>
      </c>
      <c r="CV21" s="272">
        <v>371071</v>
      </c>
      <c r="CW21" s="455">
        <f t="shared" si="9"/>
        <v>347841</v>
      </c>
      <c r="CX21" s="272">
        <v>0</v>
      </c>
      <c r="CY21" s="272">
        <v>347841</v>
      </c>
      <c r="CZ21" s="455">
        <f t="shared" si="10"/>
        <v>0</v>
      </c>
      <c r="DA21" s="272">
        <v>0</v>
      </c>
      <c r="DB21" s="272">
        <v>0</v>
      </c>
      <c r="DC21" s="272">
        <v>9741359</v>
      </c>
      <c r="DD21" s="272">
        <v>1388220</v>
      </c>
      <c r="DE21" s="272">
        <v>8353139</v>
      </c>
      <c r="DF21" s="272">
        <v>0</v>
      </c>
      <c r="DG21" s="272">
        <v>0</v>
      </c>
      <c r="DH21" s="272">
        <v>0</v>
      </c>
      <c r="DI21" s="272">
        <v>2349233</v>
      </c>
      <c r="DJ21" s="272">
        <v>0</v>
      </c>
      <c r="DK21" s="272">
        <v>229041</v>
      </c>
      <c r="DL21" s="272">
        <v>2120192</v>
      </c>
      <c r="DM21" s="272">
        <v>302000</v>
      </c>
      <c r="DN21" s="272">
        <v>0</v>
      </c>
      <c r="DO21" s="272">
        <v>0</v>
      </c>
      <c r="DP21" s="272">
        <v>0</v>
      </c>
      <c r="DQ21" s="272">
        <v>506310</v>
      </c>
      <c r="DR21" s="272">
        <v>0</v>
      </c>
      <c r="DS21" s="272">
        <v>0</v>
      </c>
      <c r="DT21" s="272">
        <v>3743309</v>
      </c>
      <c r="DU21" s="272">
        <v>2652588</v>
      </c>
      <c r="DV21" s="455">
        <f t="shared" si="11"/>
        <v>0</v>
      </c>
      <c r="DW21" s="272">
        <v>0</v>
      </c>
      <c r="DX21" s="272">
        <v>0</v>
      </c>
      <c r="DY21" s="272">
        <v>0</v>
      </c>
      <c r="DZ21" s="272">
        <v>714966</v>
      </c>
      <c r="EA21" s="272">
        <v>366778</v>
      </c>
      <c r="EB21" s="272"/>
      <c r="EC21" s="272">
        <v>0</v>
      </c>
      <c r="ED21" s="272">
        <v>39475007</v>
      </c>
      <c r="EF21" s="272">
        <v>276149</v>
      </c>
      <c r="EG21" s="272">
        <v>60952</v>
      </c>
      <c r="EH21" s="272">
        <v>215197</v>
      </c>
      <c r="EI21" s="272">
        <v>-174654</v>
      </c>
      <c r="EJ21" s="272">
        <v>-174654</v>
      </c>
      <c r="EL21" s="272"/>
      <c r="EM21" s="272">
        <v>132787</v>
      </c>
      <c r="EN21" s="272">
        <v>636670</v>
      </c>
      <c r="EO21" s="272">
        <v>376561</v>
      </c>
      <c r="EP21" s="455">
        <f t="shared" si="12"/>
        <v>2073001</v>
      </c>
      <c r="EQ21" s="272">
        <v>23339794</v>
      </c>
      <c r="ER21" s="272">
        <v>-3059983</v>
      </c>
      <c r="ES21" s="272">
        <v>8368744</v>
      </c>
      <c r="ET21" s="272">
        <v>6411049</v>
      </c>
      <c r="EU21" s="272">
        <v>1235293</v>
      </c>
      <c r="EV21" s="272">
        <v>3020453</v>
      </c>
      <c r="EW21" s="455">
        <f t="shared" si="13"/>
        <v>1611094</v>
      </c>
      <c r="EX21" s="272">
        <v>1611094</v>
      </c>
      <c r="EY21" s="272">
        <v>12998</v>
      </c>
      <c r="EZ21" s="272">
        <v>1598096</v>
      </c>
      <c r="FA21" s="272">
        <v>0</v>
      </c>
      <c r="FB21" s="272"/>
      <c r="FC21" s="272">
        <v>4036543</v>
      </c>
      <c r="FD21" s="272">
        <v>1656691</v>
      </c>
      <c r="FE21" s="272">
        <v>6242</v>
      </c>
      <c r="FF21" s="272">
        <v>3620831</v>
      </c>
      <c r="FG21" s="455">
        <f t="shared" si="14"/>
        <v>2573979</v>
      </c>
      <c r="FH21" s="272">
        <v>26123628</v>
      </c>
      <c r="FI21" s="384">
        <f t="shared" si="15"/>
        <v>1</v>
      </c>
      <c r="FJ21" s="272">
        <v>21643034</v>
      </c>
      <c r="FK21" s="272"/>
      <c r="FL21" s="272">
        <v>12155115</v>
      </c>
      <c r="FM21" s="272">
        <v>17689523</v>
      </c>
      <c r="FN21" s="460">
        <v>0.68899999999999995</v>
      </c>
      <c r="FO21" s="388">
        <v>90.6</v>
      </c>
      <c r="FP21" s="388">
        <v>38</v>
      </c>
      <c r="FQ21" s="388">
        <v>5.6</v>
      </c>
      <c r="FR21" s="388">
        <v>13.8</v>
      </c>
      <c r="FS21" s="388">
        <v>17.100000000000001</v>
      </c>
      <c r="FT21" s="388">
        <v>6</v>
      </c>
      <c r="FU21" s="388">
        <v>8.9</v>
      </c>
      <c r="FV21" s="388">
        <v>11.7</v>
      </c>
      <c r="FW21" s="272">
        <v>27361066</v>
      </c>
      <c r="FX21" s="384">
        <f t="shared" si="16"/>
        <v>126.4</v>
      </c>
      <c r="FY21" s="272">
        <v>8200060</v>
      </c>
      <c r="FZ21" s="272"/>
      <c r="GA21" s="272">
        <v>976123</v>
      </c>
      <c r="GB21" s="272">
        <v>7223937</v>
      </c>
      <c r="GC21" s="272"/>
      <c r="GD21" s="272">
        <v>3116506</v>
      </c>
      <c r="GE21" s="384">
        <f t="shared" si="17"/>
        <v>14.4</v>
      </c>
      <c r="GF21" s="388">
        <v>96.8</v>
      </c>
      <c r="GG21" s="388">
        <v>23</v>
      </c>
      <c r="GH21" s="388">
        <v>91.7</v>
      </c>
      <c r="GI21" s="272">
        <v>946</v>
      </c>
    </row>
    <row r="22" spans="2:191" x14ac:dyDescent="0.15">
      <c r="B22" s="89" t="s">
        <v>37</v>
      </c>
      <c r="C22" s="272">
        <v>19022042</v>
      </c>
      <c r="D22" s="455">
        <f t="shared" si="0"/>
        <v>6791518</v>
      </c>
      <c r="E22" s="272">
        <v>94269</v>
      </c>
      <c r="F22" s="272">
        <v>6697249</v>
      </c>
      <c r="G22" s="455">
        <f t="shared" si="1"/>
        <v>1780110</v>
      </c>
      <c r="H22" s="272">
        <v>236722</v>
      </c>
      <c r="I22" s="272">
        <v>1543388</v>
      </c>
      <c r="J22" s="272">
        <v>7920581</v>
      </c>
      <c r="K22" s="272">
        <v>4155055</v>
      </c>
      <c r="L22" s="272">
        <v>2409308</v>
      </c>
      <c r="M22" s="272">
        <v>1237652</v>
      </c>
      <c r="N22" s="272">
        <v>650295</v>
      </c>
      <c r="O22" s="272">
        <v>1781566</v>
      </c>
      <c r="P22" s="272">
        <v>1249012</v>
      </c>
      <c r="Q22" s="272">
        <v>532554</v>
      </c>
      <c r="R22" s="272">
        <v>809752</v>
      </c>
      <c r="S22" s="272">
        <v>606780</v>
      </c>
      <c r="T22" s="455">
        <f t="shared" si="2"/>
        <v>791281</v>
      </c>
      <c r="U22" s="272">
        <v>500660</v>
      </c>
      <c r="V22" s="272"/>
      <c r="W22" s="272"/>
      <c r="X22" s="272"/>
      <c r="Y22" s="272">
        <v>11515</v>
      </c>
      <c r="Z22" s="272">
        <v>2995</v>
      </c>
      <c r="AA22" s="272">
        <v>276111</v>
      </c>
      <c r="AB22" s="272"/>
      <c r="AC22" s="272">
        <v>2369682</v>
      </c>
      <c r="AD22" s="272">
        <v>1976603</v>
      </c>
      <c r="AE22" s="272">
        <v>393079</v>
      </c>
      <c r="AF22" s="272">
        <v>27229</v>
      </c>
      <c r="AG22" s="272">
        <v>306979</v>
      </c>
      <c r="AH22" s="455">
        <f t="shared" si="3"/>
        <v>786956</v>
      </c>
      <c r="AI22" s="272">
        <v>425051</v>
      </c>
      <c r="AJ22" s="272">
        <v>361905</v>
      </c>
      <c r="AK22" s="272">
        <v>2625646</v>
      </c>
      <c r="AL22" s="455">
        <f t="shared" si="4"/>
        <v>1683443</v>
      </c>
      <c r="AM22" s="272">
        <v>1126160</v>
      </c>
      <c r="AN22" s="272">
        <v>412755</v>
      </c>
      <c r="AO22" s="272">
        <v>0</v>
      </c>
      <c r="AP22" s="272">
        <v>144528</v>
      </c>
      <c r="AQ22" s="272">
        <v>248732</v>
      </c>
      <c r="AR22" s="272">
        <v>1497</v>
      </c>
      <c r="AS22" s="272">
        <v>0</v>
      </c>
      <c r="AT22" s="272">
        <v>2025634</v>
      </c>
      <c r="AU22" s="272">
        <v>533655</v>
      </c>
      <c r="AV22" s="272">
        <v>203734</v>
      </c>
      <c r="AW22" s="272">
        <v>25492</v>
      </c>
      <c r="AX22" s="272">
        <v>1491979</v>
      </c>
      <c r="AY22" s="272">
        <v>508624</v>
      </c>
      <c r="AZ22" s="272">
        <v>564595</v>
      </c>
      <c r="BA22" s="272">
        <v>380461</v>
      </c>
      <c r="BB22" s="272">
        <v>441354</v>
      </c>
      <c r="BC22" s="272">
        <v>428328</v>
      </c>
      <c r="BD22" s="272">
        <v>200000</v>
      </c>
      <c r="BE22" s="272">
        <v>110000</v>
      </c>
      <c r="BF22" s="272">
        <v>118328</v>
      </c>
      <c r="BG22" s="272">
        <v>0</v>
      </c>
      <c r="BH22" s="272">
        <v>0</v>
      </c>
      <c r="BI22" s="272">
        <v>0</v>
      </c>
      <c r="BJ22" s="272">
        <v>2093094</v>
      </c>
      <c r="BK22" s="272">
        <v>1751150</v>
      </c>
      <c r="BL22" s="272">
        <v>47893</v>
      </c>
      <c r="BM22" s="272">
        <v>0</v>
      </c>
      <c r="BN22" s="272">
        <v>609600</v>
      </c>
      <c r="BO22" s="455">
        <f t="shared" si="5"/>
        <v>609600</v>
      </c>
      <c r="BP22" s="455">
        <f t="shared" si="6"/>
        <v>0</v>
      </c>
      <c r="BQ22" s="272"/>
      <c r="BR22" s="272"/>
      <c r="BS22" s="272"/>
      <c r="BT22" s="272">
        <v>0</v>
      </c>
      <c r="BU22" s="272">
        <v>32902172</v>
      </c>
      <c r="BV22" s="272"/>
      <c r="BW22" s="272">
        <v>11145392</v>
      </c>
      <c r="BX22" s="272">
        <v>8758717</v>
      </c>
      <c r="BY22" s="272">
        <v>443248</v>
      </c>
      <c r="BZ22" s="272">
        <v>181010</v>
      </c>
      <c r="CA22" s="272">
        <v>3981263</v>
      </c>
      <c r="CB22" s="272">
        <v>343415</v>
      </c>
      <c r="CC22" s="272">
        <v>711247</v>
      </c>
      <c r="CD22" s="272">
        <v>1402555</v>
      </c>
      <c r="CE22" s="272">
        <v>1453757</v>
      </c>
      <c r="CF22" s="272">
        <v>823</v>
      </c>
      <c r="CG22" s="272">
        <v>68756</v>
      </c>
      <c r="CH22" s="272">
        <v>3350447</v>
      </c>
      <c r="CI22" s="272">
        <v>1946676</v>
      </c>
      <c r="CJ22" s="455">
        <f t="shared" si="7"/>
        <v>1403771</v>
      </c>
      <c r="CK22" s="272">
        <v>2997447</v>
      </c>
      <c r="CL22" s="272">
        <v>1828263</v>
      </c>
      <c r="CM22" s="272">
        <v>60009</v>
      </c>
      <c r="CN22" s="272">
        <v>717241</v>
      </c>
      <c r="CO22" s="272">
        <v>183672</v>
      </c>
      <c r="CP22" s="272">
        <v>2453615</v>
      </c>
      <c r="CQ22" s="272">
        <v>1318457</v>
      </c>
      <c r="CR22" s="272">
        <v>518173</v>
      </c>
      <c r="CS22" s="272">
        <v>418414</v>
      </c>
      <c r="CT22" s="455">
        <f t="shared" si="8"/>
        <v>46469</v>
      </c>
      <c r="CU22" s="272">
        <v>16469</v>
      </c>
      <c r="CV22" s="272">
        <v>30000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2573678</v>
      </c>
      <c r="DD22" s="272">
        <v>620432</v>
      </c>
      <c r="DE22" s="272">
        <v>1950544</v>
      </c>
      <c r="DF22" s="272">
        <v>0</v>
      </c>
      <c r="DG22" s="272">
        <v>2702</v>
      </c>
      <c r="DH22" s="272">
        <v>6549</v>
      </c>
      <c r="DI22" s="272">
        <v>1874214</v>
      </c>
      <c r="DJ22" s="272">
        <v>1007830</v>
      </c>
      <c r="DK22" s="272">
        <v>37091</v>
      </c>
      <c r="DL22" s="272">
        <v>829293</v>
      </c>
      <c r="DM22" s="272">
        <v>1000</v>
      </c>
      <c r="DN22" s="272">
        <v>0</v>
      </c>
      <c r="DO22" s="272">
        <v>0</v>
      </c>
      <c r="DP22" s="272">
        <v>0</v>
      </c>
      <c r="DQ22" s="272">
        <v>1728881</v>
      </c>
      <c r="DR22" s="272">
        <v>0</v>
      </c>
      <c r="DS22" s="272">
        <v>0</v>
      </c>
      <c r="DT22" s="272">
        <v>2498404</v>
      </c>
      <c r="DU22" s="272">
        <v>1737968</v>
      </c>
      <c r="DV22" s="455">
        <f t="shared" si="11"/>
        <v>0</v>
      </c>
      <c r="DW22" s="272">
        <v>0</v>
      </c>
      <c r="DX22" s="272">
        <v>0</v>
      </c>
      <c r="DY22" s="272">
        <v>0</v>
      </c>
      <c r="DZ22" s="272">
        <v>432514</v>
      </c>
      <c r="EA22" s="272">
        <v>311270</v>
      </c>
      <c r="EB22" s="272"/>
      <c r="EC22" s="272">
        <v>277721</v>
      </c>
      <c r="ED22" s="272">
        <v>33072283</v>
      </c>
      <c r="EF22" s="272">
        <v>-170111</v>
      </c>
      <c r="EG22" s="272">
        <v>82192</v>
      </c>
      <c r="EH22" s="272">
        <v>-252303</v>
      </c>
      <c r="EI22" s="272">
        <v>43162</v>
      </c>
      <c r="EJ22" s="272">
        <v>850992</v>
      </c>
      <c r="EL22" s="272"/>
      <c r="EM22" s="272">
        <v>125561</v>
      </c>
      <c r="EN22" s="272">
        <v>310000</v>
      </c>
      <c r="EO22" s="272">
        <v>381314</v>
      </c>
      <c r="EP22" s="455">
        <f t="shared" si="12"/>
        <v>685550</v>
      </c>
      <c r="EQ22" s="272">
        <v>23019986</v>
      </c>
      <c r="ER22" s="272">
        <v>-1349635</v>
      </c>
      <c r="ES22" s="272">
        <v>10238869</v>
      </c>
      <c r="ET22" s="272">
        <v>7870224</v>
      </c>
      <c r="EU22" s="272">
        <v>1208870</v>
      </c>
      <c r="EV22" s="272">
        <v>3132021</v>
      </c>
      <c r="EW22" s="455">
        <f t="shared" si="13"/>
        <v>1033004</v>
      </c>
      <c r="EX22" s="272">
        <v>1027952</v>
      </c>
      <c r="EY22" s="272">
        <v>120396</v>
      </c>
      <c r="EZ22" s="272">
        <v>907556</v>
      </c>
      <c r="FA22" s="272">
        <v>5052</v>
      </c>
      <c r="FB22" s="272"/>
      <c r="FC22" s="272">
        <v>2161759</v>
      </c>
      <c r="FD22" s="272">
        <v>2235814</v>
      </c>
      <c r="FE22" s="272">
        <v>1318457</v>
      </c>
      <c r="FF22" s="272">
        <v>2417545</v>
      </c>
      <c r="FG22" s="455">
        <f t="shared" si="14"/>
        <v>2111850</v>
      </c>
      <c r="FH22" s="272">
        <v>24539732</v>
      </c>
      <c r="FI22" s="384">
        <f t="shared" si="15"/>
        <v>-1.2</v>
      </c>
      <c r="FJ22" s="272">
        <v>20245087</v>
      </c>
      <c r="FK22" s="272"/>
      <c r="FL22" s="272">
        <v>13758096</v>
      </c>
      <c r="FM22" s="272">
        <v>15756954</v>
      </c>
      <c r="FN22" s="460">
        <v>0.88500000000000001</v>
      </c>
      <c r="FO22" s="388">
        <v>97.6</v>
      </c>
      <c r="FP22" s="388">
        <v>48.4</v>
      </c>
      <c r="FQ22" s="388">
        <v>5.8</v>
      </c>
      <c r="FR22" s="388">
        <v>15</v>
      </c>
      <c r="FS22" s="388">
        <v>9.9</v>
      </c>
      <c r="FT22" s="388">
        <v>9</v>
      </c>
      <c r="FU22" s="388">
        <v>9.1999999999999993</v>
      </c>
      <c r="FV22" s="388">
        <v>11.4</v>
      </c>
      <c r="FW22" s="272">
        <v>21468096</v>
      </c>
      <c r="FX22" s="384">
        <f t="shared" si="16"/>
        <v>106</v>
      </c>
      <c r="FY22" s="272">
        <v>6597790</v>
      </c>
      <c r="FZ22" s="272">
        <v>1935735</v>
      </c>
      <c r="GA22" s="272">
        <v>1174217</v>
      </c>
      <c r="GB22" s="272">
        <v>3487838</v>
      </c>
      <c r="GC22" s="272"/>
      <c r="GD22" s="272">
        <v>12837961</v>
      </c>
      <c r="GE22" s="384">
        <f t="shared" si="17"/>
        <v>63.4</v>
      </c>
      <c r="GF22" s="388">
        <v>98.4</v>
      </c>
      <c r="GG22" s="388">
        <v>30</v>
      </c>
      <c r="GH22" s="388">
        <v>95.9</v>
      </c>
      <c r="GI22" s="272">
        <v>1125</v>
      </c>
    </row>
    <row r="23" spans="2:191" x14ac:dyDescent="0.15">
      <c r="B23" s="89" t="s">
        <v>39</v>
      </c>
      <c r="C23" s="272">
        <v>18256550</v>
      </c>
      <c r="D23" s="455">
        <f t="shared" si="0"/>
        <v>8271179</v>
      </c>
      <c r="E23" s="272">
        <v>100435</v>
      </c>
      <c r="F23" s="272">
        <v>8170744</v>
      </c>
      <c r="G23" s="455">
        <f t="shared" si="1"/>
        <v>995832</v>
      </c>
      <c r="H23" s="272">
        <v>197595</v>
      </c>
      <c r="I23" s="272">
        <v>798237</v>
      </c>
      <c r="J23" s="272">
        <v>6425432</v>
      </c>
      <c r="K23" s="272">
        <v>3232116</v>
      </c>
      <c r="L23" s="272">
        <v>2498634</v>
      </c>
      <c r="M23" s="272">
        <v>649684</v>
      </c>
      <c r="N23" s="272">
        <v>647457</v>
      </c>
      <c r="O23" s="272">
        <v>1538916</v>
      </c>
      <c r="P23" s="272">
        <v>1035283</v>
      </c>
      <c r="Q23" s="272">
        <v>503633</v>
      </c>
      <c r="R23" s="272">
        <v>848389</v>
      </c>
      <c r="S23" s="272">
        <v>590474</v>
      </c>
      <c r="T23" s="455">
        <f t="shared" si="2"/>
        <v>985567</v>
      </c>
      <c r="U23" s="272">
        <v>634479</v>
      </c>
      <c r="V23" s="272"/>
      <c r="W23" s="272"/>
      <c r="X23" s="272"/>
      <c r="Y23" s="272">
        <v>0</v>
      </c>
      <c r="Z23" s="272">
        <v>550</v>
      </c>
      <c r="AA23" s="272">
        <v>350538</v>
      </c>
      <c r="AB23" s="272"/>
      <c r="AC23" s="272">
        <v>4955027</v>
      </c>
      <c r="AD23" s="272">
        <v>4070603</v>
      </c>
      <c r="AE23" s="272">
        <v>884424</v>
      </c>
      <c r="AF23" s="272">
        <v>27514</v>
      </c>
      <c r="AG23" s="272">
        <v>255327</v>
      </c>
      <c r="AH23" s="455">
        <f t="shared" si="3"/>
        <v>812106</v>
      </c>
      <c r="AI23" s="272">
        <v>754975</v>
      </c>
      <c r="AJ23" s="272">
        <v>57131</v>
      </c>
      <c r="AK23" s="272">
        <v>6004392</v>
      </c>
      <c r="AL23" s="455">
        <f t="shared" si="4"/>
        <v>2195720</v>
      </c>
      <c r="AM23" s="272">
        <v>1661357</v>
      </c>
      <c r="AN23" s="272">
        <v>388182</v>
      </c>
      <c r="AO23" s="272">
        <v>0</v>
      </c>
      <c r="AP23" s="272">
        <v>146181</v>
      </c>
      <c r="AQ23" s="272">
        <v>1517429</v>
      </c>
      <c r="AR23" s="272">
        <v>0</v>
      </c>
      <c r="AS23" s="272">
        <v>274766</v>
      </c>
      <c r="AT23" s="272">
        <v>2540924</v>
      </c>
      <c r="AU23" s="272">
        <v>607147</v>
      </c>
      <c r="AV23" s="272">
        <v>191480</v>
      </c>
      <c r="AW23" s="272">
        <v>79726</v>
      </c>
      <c r="AX23" s="272">
        <v>1933777</v>
      </c>
      <c r="AY23" s="272">
        <v>363248</v>
      </c>
      <c r="AZ23" s="272">
        <v>465971</v>
      </c>
      <c r="BA23" s="272">
        <v>147616</v>
      </c>
      <c r="BB23" s="272">
        <v>1273977</v>
      </c>
      <c r="BC23" s="272">
        <v>2230648</v>
      </c>
      <c r="BD23" s="272">
        <v>129280</v>
      </c>
      <c r="BE23" s="272">
        <v>100000</v>
      </c>
      <c r="BF23" s="272">
        <v>1798900</v>
      </c>
      <c r="BG23" s="272">
        <v>0</v>
      </c>
      <c r="BH23" s="272">
        <v>327029</v>
      </c>
      <c r="BI23" s="272">
        <v>239407</v>
      </c>
      <c r="BJ23" s="272">
        <v>2530303</v>
      </c>
      <c r="BK23" s="272">
        <v>77361</v>
      </c>
      <c r="BL23" s="272">
        <v>0</v>
      </c>
      <c r="BM23" s="272">
        <v>0</v>
      </c>
      <c r="BN23" s="272">
        <v>3675700</v>
      </c>
      <c r="BO23" s="455">
        <f t="shared" si="5"/>
        <v>3675700</v>
      </c>
      <c r="BP23" s="455">
        <f t="shared" si="6"/>
        <v>0</v>
      </c>
      <c r="BQ23" s="272"/>
      <c r="BR23" s="272"/>
      <c r="BS23" s="272"/>
      <c r="BT23" s="272">
        <v>0</v>
      </c>
      <c r="BU23" s="272">
        <v>45464190</v>
      </c>
      <c r="BV23" s="272"/>
      <c r="BW23" s="272">
        <v>12606777</v>
      </c>
      <c r="BX23" s="272">
        <v>9769334</v>
      </c>
      <c r="BY23" s="272">
        <v>617474</v>
      </c>
      <c r="BZ23" s="272">
        <v>230985</v>
      </c>
      <c r="CA23" s="272">
        <v>4998472</v>
      </c>
      <c r="CB23" s="272">
        <v>587805</v>
      </c>
      <c r="CC23" s="272">
        <v>960035</v>
      </c>
      <c r="CD23" s="272">
        <v>1118027</v>
      </c>
      <c r="CE23" s="272">
        <v>2246875</v>
      </c>
      <c r="CF23" s="272">
        <v>2122</v>
      </c>
      <c r="CG23" s="272">
        <v>83448</v>
      </c>
      <c r="CH23" s="272">
        <v>5747217</v>
      </c>
      <c r="CI23" s="272">
        <v>2634051</v>
      </c>
      <c r="CJ23" s="455">
        <f t="shared" si="7"/>
        <v>3113166</v>
      </c>
      <c r="CK23" s="272">
        <v>3179745</v>
      </c>
      <c r="CL23" s="272">
        <v>1742555</v>
      </c>
      <c r="CM23" s="272">
        <v>119341</v>
      </c>
      <c r="CN23" s="272">
        <v>760561</v>
      </c>
      <c r="CO23" s="272">
        <v>212101</v>
      </c>
      <c r="CP23" s="272">
        <v>3513409</v>
      </c>
      <c r="CQ23" s="272">
        <v>1499636</v>
      </c>
      <c r="CR23" s="272">
        <v>683515</v>
      </c>
      <c r="CS23" s="272">
        <v>577797</v>
      </c>
      <c r="CT23" s="455">
        <f t="shared" si="8"/>
        <v>731341</v>
      </c>
      <c r="CU23" s="272">
        <v>13000</v>
      </c>
      <c r="CV23" s="272">
        <v>718341</v>
      </c>
      <c r="CW23" s="455">
        <f t="shared" si="9"/>
        <v>704681</v>
      </c>
      <c r="CX23" s="272">
        <v>0</v>
      </c>
      <c r="CY23" s="272">
        <v>704681</v>
      </c>
      <c r="CZ23" s="455">
        <f t="shared" si="10"/>
        <v>0</v>
      </c>
      <c r="DA23" s="272">
        <v>0</v>
      </c>
      <c r="DB23" s="272">
        <v>0</v>
      </c>
      <c r="DC23" s="272">
        <v>8882680</v>
      </c>
      <c r="DD23" s="272">
        <v>3521643</v>
      </c>
      <c r="DE23" s="272">
        <v>5361037</v>
      </c>
      <c r="DF23" s="272">
        <v>0</v>
      </c>
      <c r="DG23" s="272">
        <v>0</v>
      </c>
      <c r="DH23" s="272">
        <v>0</v>
      </c>
      <c r="DI23" s="272">
        <v>1348241</v>
      </c>
      <c r="DJ23" s="272">
        <v>15723</v>
      </c>
      <c r="DK23" s="272">
        <v>45931</v>
      </c>
      <c r="DL23" s="272">
        <v>1286587</v>
      </c>
      <c r="DM23" s="272">
        <v>202400</v>
      </c>
      <c r="DN23" s="272">
        <v>0</v>
      </c>
      <c r="DO23" s="272">
        <v>0</v>
      </c>
      <c r="DP23" s="272">
        <v>0</v>
      </c>
      <c r="DQ23" s="272">
        <v>2429533</v>
      </c>
      <c r="DR23" s="272">
        <v>1000000</v>
      </c>
      <c r="DS23" s="272">
        <v>1000000</v>
      </c>
      <c r="DT23" s="272">
        <v>2203167</v>
      </c>
      <c r="DU23" s="272">
        <v>1200989</v>
      </c>
      <c r="DV23" s="455">
        <f t="shared" si="11"/>
        <v>0</v>
      </c>
      <c r="DW23" s="272">
        <v>0</v>
      </c>
      <c r="DX23" s="272">
        <v>0</v>
      </c>
      <c r="DY23" s="272">
        <v>0</v>
      </c>
      <c r="DZ23" s="272">
        <v>612260</v>
      </c>
      <c r="EA23" s="272">
        <v>389918</v>
      </c>
      <c r="EB23" s="272"/>
      <c r="EC23" s="272">
        <v>0</v>
      </c>
      <c r="ED23" s="272">
        <v>45323742</v>
      </c>
      <c r="EF23" s="272">
        <v>140448</v>
      </c>
      <c r="EG23" s="272">
        <v>49952</v>
      </c>
      <c r="EH23" s="272">
        <v>90496</v>
      </c>
      <c r="EI23" s="272">
        <v>-148911</v>
      </c>
      <c r="EJ23" s="272">
        <v>-262468</v>
      </c>
      <c r="EL23" s="272"/>
      <c r="EM23" s="272">
        <v>151209</v>
      </c>
      <c r="EN23" s="272">
        <v>2230648</v>
      </c>
      <c r="EO23" s="272">
        <v>387980</v>
      </c>
      <c r="EP23" s="455">
        <f t="shared" si="12"/>
        <v>2062896</v>
      </c>
      <c r="EQ23" s="272">
        <v>25347813</v>
      </c>
      <c r="ER23" s="272">
        <v>-4379244</v>
      </c>
      <c r="ES23" s="272">
        <v>11396117</v>
      </c>
      <c r="ET23" s="272">
        <v>8831161</v>
      </c>
      <c r="EU23" s="272">
        <v>1707534</v>
      </c>
      <c r="EV23" s="272">
        <v>3759104</v>
      </c>
      <c r="EW23" s="455">
        <f t="shared" si="13"/>
        <v>2634446</v>
      </c>
      <c r="EX23" s="272">
        <v>2634446</v>
      </c>
      <c r="EY23" s="272">
        <v>135442</v>
      </c>
      <c r="EZ23" s="272">
        <v>2499004</v>
      </c>
      <c r="FA23" s="272">
        <v>0</v>
      </c>
      <c r="FB23" s="272"/>
      <c r="FC23" s="272">
        <v>2587980</v>
      </c>
      <c r="FD23" s="272">
        <v>3201107</v>
      </c>
      <c r="FE23" s="272">
        <v>1499636</v>
      </c>
      <c r="FF23" s="272">
        <v>2157508</v>
      </c>
      <c r="FG23" s="455">
        <f t="shared" si="14"/>
        <v>2142813</v>
      </c>
      <c r="FH23" s="272">
        <v>29586609</v>
      </c>
      <c r="FI23" s="384">
        <f t="shared" si="15"/>
        <v>0.4</v>
      </c>
      <c r="FJ23" s="272">
        <v>22831527</v>
      </c>
      <c r="FK23" s="272"/>
      <c r="FL23" s="272">
        <v>14141515</v>
      </c>
      <c r="FM23" s="272">
        <v>18247523</v>
      </c>
      <c r="FN23" s="460">
        <v>0.77200000000000002</v>
      </c>
      <c r="FO23" s="388">
        <v>99.9</v>
      </c>
      <c r="FP23" s="388">
        <v>49</v>
      </c>
      <c r="FQ23" s="388">
        <v>7.4</v>
      </c>
      <c r="FR23" s="388">
        <v>16.100000000000001</v>
      </c>
      <c r="FS23" s="388">
        <v>10.199999999999999</v>
      </c>
      <c r="FT23" s="388">
        <v>12.1</v>
      </c>
      <c r="FU23" s="388">
        <v>4.4000000000000004</v>
      </c>
      <c r="FV23" s="388">
        <v>12.6</v>
      </c>
      <c r="FW23" s="272">
        <v>33162238</v>
      </c>
      <c r="FX23" s="384">
        <f t="shared" si="16"/>
        <v>145.19999999999999</v>
      </c>
      <c r="FY23" s="272">
        <v>10315858</v>
      </c>
      <c r="FZ23" s="272">
        <v>97560</v>
      </c>
      <c r="GA23" s="272">
        <v>1500150</v>
      </c>
      <c r="GB23" s="272">
        <v>8718148</v>
      </c>
      <c r="GC23" s="272"/>
      <c r="GD23" s="272">
        <v>6668147</v>
      </c>
      <c r="GE23" s="384">
        <f t="shared" si="17"/>
        <v>29.2</v>
      </c>
      <c r="GF23" s="388">
        <v>97.7</v>
      </c>
      <c r="GG23" s="388">
        <v>29.3</v>
      </c>
      <c r="GH23" s="388">
        <v>94.6</v>
      </c>
      <c r="GI23" s="272">
        <v>1325</v>
      </c>
    </row>
    <row r="24" spans="2:191" x14ac:dyDescent="0.15">
      <c r="B24" s="89" t="s">
        <v>41</v>
      </c>
      <c r="C24" s="272">
        <v>24321903</v>
      </c>
      <c r="D24" s="455">
        <f t="shared" si="0"/>
        <v>12977578</v>
      </c>
      <c r="E24" s="272">
        <v>98518</v>
      </c>
      <c r="F24" s="272">
        <v>12879060</v>
      </c>
      <c r="G24" s="455">
        <f t="shared" si="1"/>
        <v>1167677</v>
      </c>
      <c r="H24" s="272">
        <v>226283</v>
      </c>
      <c r="I24" s="272">
        <v>941394</v>
      </c>
      <c r="J24" s="272">
        <v>7115079</v>
      </c>
      <c r="K24" s="272">
        <v>3456396</v>
      </c>
      <c r="L24" s="272">
        <v>3140607</v>
      </c>
      <c r="M24" s="272">
        <v>485996</v>
      </c>
      <c r="N24" s="272">
        <v>403721</v>
      </c>
      <c r="O24" s="272">
        <v>2062839</v>
      </c>
      <c r="P24" s="272">
        <v>1362211</v>
      </c>
      <c r="Q24" s="272">
        <v>700628</v>
      </c>
      <c r="R24" s="272">
        <v>747643</v>
      </c>
      <c r="S24" s="272">
        <v>510886</v>
      </c>
      <c r="T24" s="455">
        <f t="shared" si="2"/>
        <v>1281035</v>
      </c>
      <c r="U24" s="272">
        <v>939074</v>
      </c>
      <c r="V24" s="272"/>
      <c r="W24" s="272"/>
      <c r="X24" s="272"/>
      <c r="Y24" s="272">
        <v>7163</v>
      </c>
      <c r="Z24" s="272">
        <v>12889</v>
      </c>
      <c r="AA24" s="272">
        <v>321909</v>
      </c>
      <c r="AB24" s="272"/>
      <c r="AC24" s="272">
        <v>87153</v>
      </c>
      <c r="AD24" s="272">
        <v>0</v>
      </c>
      <c r="AE24" s="272">
        <v>87153</v>
      </c>
      <c r="AF24" s="272">
        <v>32154</v>
      </c>
      <c r="AG24" s="272">
        <v>158796</v>
      </c>
      <c r="AH24" s="455">
        <f t="shared" si="3"/>
        <v>574441</v>
      </c>
      <c r="AI24" s="272">
        <v>463097</v>
      </c>
      <c r="AJ24" s="272">
        <v>111344</v>
      </c>
      <c r="AK24" s="272">
        <v>1517070</v>
      </c>
      <c r="AL24" s="455">
        <f t="shared" si="4"/>
        <v>846616</v>
      </c>
      <c r="AM24" s="272">
        <v>415391</v>
      </c>
      <c r="AN24" s="272">
        <v>263194</v>
      </c>
      <c r="AO24" s="272">
        <v>0</v>
      </c>
      <c r="AP24" s="272">
        <v>168031</v>
      </c>
      <c r="AQ24" s="272">
        <v>244941</v>
      </c>
      <c r="AR24" s="272">
        <v>2259</v>
      </c>
      <c r="AS24" s="272">
        <v>0</v>
      </c>
      <c r="AT24" s="272">
        <v>1671665</v>
      </c>
      <c r="AU24" s="272">
        <v>460908</v>
      </c>
      <c r="AV24" s="272">
        <v>72886</v>
      </c>
      <c r="AW24" s="272">
        <v>31898</v>
      </c>
      <c r="AX24" s="272">
        <v>1210757</v>
      </c>
      <c r="AY24" s="272">
        <v>218432</v>
      </c>
      <c r="AZ24" s="272">
        <v>1915316</v>
      </c>
      <c r="BA24" s="272">
        <v>7172</v>
      </c>
      <c r="BB24" s="272">
        <v>168850</v>
      </c>
      <c r="BC24" s="272">
        <v>5812118</v>
      </c>
      <c r="BD24" s="272">
        <v>0</v>
      </c>
      <c r="BE24" s="272">
        <v>525169</v>
      </c>
      <c r="BF24" s="272">
        <v>5144023</v>
      </c>
      <c r="BG24" s="272">
        <v>0</v>
      </c>
      <c r="BH24" s="272">
        <v>699136</v>
      </c>
      <c r="BI24" s="272">
        <v>506554</v>
      </c>
      <c r="BJ24" s="272">
        <v>7306129</v>
      </c>
      <c r="BK24" s="272">
        <v>2020654</v>
      </c>
      <c r="BL24" s="272">
        <v>9604</v>
      </c>
      <c r="BM24" s="272">
        <v>5000000</v>
      </c>
      <c r="BN24" s="272">
        <v>2346700</v>
      </c>
      <c r="BO24" s="455">
        <f t="shared" si="5"/>
        <v>2346700</v>
      </c>
      <c r="BP24" s="455">
        <f t="shared" si="6"/>
        <v>0</v>
      </c>
      <c r="BQ24" s="272"/>
      <c r="BR24" s="272"/>
      <c r="BS24" s="272"/>
      <c r="BT24" s="272">
        <v>0</v>
      </c>
      <c r="BU24" s="272">
        <v>48640109</v>
      </c>
      <c r="BV24" s="272"/>
      <c r="BW24" s="272">
        <v>10764098</v>
      </c>
      <c r="BX24" s="272">
        <v>8070268</v>
      </c>
      <c r="BY24" s="272">
        <v>425563</v>
      </c>
      <c r="BZ24" s="272">
        <v>520500</v>
      </c>
      <c r="CA24" s="272">
        <v>1893958</v>
      </c>
      <c r="CB24" s="272">
        <v>227362</v>
      </c>
      <c r="CC24" s="272">
        <v>686587</v>
      </c>
      <c r="CD24" s="272">
        <v>402141</v>
      </c>
      <c r="CE24" s="272">
        <v>556294</v>
      </c>
      <c r="CF24" s="272">
        <v>0</v>
      </c>
      <c r="CG24" s="272">
        <v>21574</v>
      </c>
      <c r="CH24" s="272">
        <v>2079852</v>
      </c>
      <c r="CI24" s="272">
        <v>944829</v>
      </c>
      <c r="CJ24" s="455">
        <f t="shared" si="7"/>
        <v>1135023</v>
      </c>
      <c r="CK24" s="272">
        <v>5311055</v>
      </c>
      <c r="CL24" s="272">
        <v>2917424</v>
      </c>
      <c r="CM24" s="272">
        <v>127932</v>
      </c>
      <c r="CN24" s="272">
        <v>1282584</v>
      </c>
      <c r="CO24" s="272">
        <v>237335</v>
      </c>
      <c r="CP24" s="272">
        <v>2621132</v>
      </c>
      <c r="CQ24" s="272">
        <v>93645</v>
      </c>
      <c r="CR24" s="272">
        <v>785449</v>
      </c>
      <c r="CS24" s="272">
        <v>575395</v>
      </c>
      <c r="CT24" s="455">
        <f t="shared" si="8"/>
        <v>980848</v>
      </c>
      <c r="CU24" s="272">
        <v>466276</v>
      </c>
      <c r="CV24" s="272">
        <v>514572</v>
      </c>
      <c r="CW24" s="455">
        <f t="shared" si="9"/>
        <v>800048</v>
      </c>
      <c r="CX24" s="272">
        <v>464005</v>
      </c>
      <c r="CY24" s="272">
        <v>336043</v>
      </c>
      <c r="CZ24" s="455">
        <f t="shared" si="10"/>
        <v>0</v>
      </c>
      <c r="DA24" s="272">
        <v>0</v>
      </c>
      <c r="DB24" s="272">
        <v>0</v>
      </c>
      <c r="DC24" s="272">
        <v>14257835</v>
      </c>
      <c r="DD24" s="272">
        <v>571621</v>
      </c>
      <c r="DE24" s="272">
        <v>13677344</v>
      </c>
      <c r="DF24" s="272">
        <v>1992</v>
      </c>
      <c r="DG24" s="272">
        <v>6878</v>
      </c>
      <c r="DH24" s="272">
        <v>53304</v>
      </c>
      <c r="DI24" s="272">
        <v>4742946</v>
      </c>
      <c r="DJ24" s="272">
        <v>332460</v>
      </c>
      <c r="DK24" s="272">
        <v>163323</v>
      </c>
      <c r="DL24" s="272">
        <v>4247163</v>
      </c>
      <c r="DM24" s="272">
        <v>262760</v>
      </c>
      <c r="DN24" s="272">
        <v>234760</v>
      </c>
      <c r="DO24" s="272">
        <v>4256</v>
      </c>
      <c r="DP24" s="272">
        <v>230504</v>
      </c>
      <c r="DQ24" s="272">
        <v>2026662</v>
      </c>
      <c r="DR24" s="272">
        <v>2842</v>
      </c>
      <c r="DS24" s="272">
        <v>0</v>
      </c>
      <c r="DT24" s="272">
        <v>2881211</v>
      </c>
      <c r="DU24" s="272">
        <v>1870000</v>
      </c>
      <c r="DV24" s="455">
        <f t="shared" si="11"/>
        <v>0</v>
      </c>
      <c r="DW24" s="272">
        <v>0</v>
      </c>
      <c r="DX24" s="272">
        <v>0</v>
      </c>
      <c r="DY24" s="272">
        <v>0</v>
      </c>
      <c r="DZ24" s="272">
        <v>432612</v>
      </c>
      <c r="EA24" s="272">
        <v>334771</v>
      </c>
      <c r="EB24" s="272"/>
      <c r="EC24" s="272">
        <v>0</v>
      </c>
      <c r="ED24" s="272">
        <v>47132148</v>
      </c>
      <c r="EF24" s="272">
        <v>1507961</v>
      </c>
      <c r="EG24" s="272">
        <v>714766</v>
      </c>
      <c r="EH24" s="272">
        <v>793195</v>
      </c>
      <c r="EI24" s="272">
        <v>-263359</v>
      </c>
      <c r="EJ24" s="272">
        <v>69101</v>
      </c>
      <c r="EL24" s="272"/>
      <c r="EM24" s="272">
        <v>121646</v>
      </c>
      <c r="EN24" s="272">
        <v>668225</v>
      </c>
      <c r="EO24" s="272">
        <v>63366</v>
      </c>
      <c r="EP24" s="455">
        <f t="shared" si="12"/>
        <v>5868326</v>
      </c>
      <c r="EQ24" s="272">
        <v>26469888</v>
      </c>
      <c r="ER24" s="272">
        <v>-6567763</v>
      </c>
      <c r="ES24" s="272">
        <v>10132552</v>
      </c>
      <c r="ET24" s="272">
        <v>7606460</v>
      </c>
      <c r="EU24" s="272">
        <v>475069</v>
      </c>
      <c r="EV24" s="272">
        <v>1988288</v>
      </c>
      <c r="EW24" s="455">
        <f t="shared" si="13"/>
        <v>6228381</v>
      </c>
      <c r="EX24" s="272">
        <v>6191866</v>
      </c>
      <c r="EY24" s="272">
        <v>197579</v>
      </c>
      <c r="EZ24" s="272">
        <v>5992295</v>
      </c>
      <c r="FA24" s="272">
        <v>36515</v>
      </c>
      <c r="FB24" s="272"/>
      <c r="FC24" s="272">
        <v>4350677</v>
      </c>
      <c r="FD24" s="272">
        <v>2238552</v>
      </c>
      <c r="FE24" s="272">
        <v>93645</v>
      </c>
      <c r="FF24" s="272">
        <v>2809890</v>
      </c>
      <c r="FG24" s="455">
        <f t="shared" si="14"/>
        <v>3308511</v>
      </c>
      <c r="FH24" s="272">
        <v>31531920</v>
      </c>
      <c r="FI24" s="384">
        <f t="shared" si="15"/>
        <v>3.2</v>
      </c>
      <c r="FJ24" s="272">
        <v>24448586</v>
      </c>
      <c r="FK24" s="272"/>
      <c r="FL24" s="272">
        <v>18402589</v>
      </c>
      <c r="FM24" s="272">
        <v>15673518</v>
      </c>
      <c r="FN24" s="460">
        <v>1.1850000000000001</v>
      </c>
      <c r="FO24" s="388">
        <v>76.8</v>
      </c>
      <c r="FP24" s="388">
        <v>40.799999999999997</v>
      </c>
      <c r="FQ24" s="388">
        <v>1.9</v>
      </c>
      <c r="FR24" s="388">
        <v>8.1</v>
      </c>
      <c r="FS24" s="388">
        <v>15.8</v>
      </c>
      <c r="FT24" s="388">
        <v>6.1</v>
      </c>
      <c r="FU24" s="388">
        <v>3.3</v>
      </c>
      <c r="FV24" s="388">
        <v>5.4</v>
      </c>
      <c r="FW24" s="272">
        <v>22993250</v>
      </c>
      <c r="FX24" s="384">
        <f t="shared" si="16"/>
        <v>94</v>
      </c>
      <c r="FY24" s="272">
        <v>42626094</v>
      </c>
      <c r="FZ24" s="272">
        <v>8020916</v>
      </c>
      <c r="GA24" s="272">
        <v>3289696</v>
      </c>
      <c r="GB24" s="272">
        <v>31315482</v>
      </c>
      <c r="GC24" s="272"/>
      <c r="GD24" s="272">
        <v>16078817</v>
      </c>
      <c r="GE24" s="384">
        <f t="shared" si="17"/>
        <v>65.8</v>
      </c>
      <c r="GF24" s="388">
        <v>97.6</v>
      </c>
      <c r="GG24" s="388">
        <v>19</v>
      </c>
      <c r="GH24" s="388">
        <v>94.6</v>
      </c>
      <c r="GI24" s="272">
        <v>1188</v>
      </c>
    </row>
    <row r="25" spans="2:191" x14ac:dyDescent="0.15">
      <c r="B25" s="89" t="s">
        <v>43</v>
      </c>
      <c r="C25" s="272">
        <v>10190710</v>
      </c>
      <c r="D25" s="455">
        <f t="shared" si="0"/>
        <v>4319280</v>
      </c>
      <c r="E25" s="272">
        <v>53382</v>
      </c>
      <c r="F25" s="272">
        <v>4265898</v>
      </c>
      <c r="G25" s="455">
        <f t="shared" si="1"/>
        <v>995568</v>
      </c>
      <c r="H25" s="272">
        <v>106479</v>
      </c>
      <c r="I25" s="272">
        <v>889089</v>
      </c>
      <c r="J25" s="272">
        <v>3701987</v>
      </c>
      <c r="K25" s="272">
        <v>1608559</v>
      </c>
      <c r="L25" s="272">
        <v>1203165</v>
      </c>
      <c r="M25" s="272">
        <v>861747</v>
      </c>
      <c r="N25" s="272">
        <v>287730</v>
      </c>
      <c r="O25" s="272">
        <v>835271</v>
      </c>
      <c r="P25" s="272">
        <v>567968</v>
      </c>
      <c r="Q25" s="272">
        <v>267303</v>
      </c>
      <c r="R25" s="272">
        <v>467907</v>
      </c>
      <c r="S25" s="272">
        <v>330972</v>
      </c>
      <c r="T25" s="455">
        <f t="shared" si="2"/>
        <v>521121</v>
      </c>
      <c r="U25" s="272">
        <v>333441</v>
      </c>
      <c r="V25" s="272"/>
      <c r="W25" s="272"/>
      <c r="X25" s="272"/>
      <c r="Y25" s="272">
        <v>0</v>
      </c>
      <c r="Z25" s="272">
        <v>1292</v>
      </c>
      <c r="AA25" s="272">
        <v>186388</v>
      </c>
      <c r="AB25" s="272"/>
      <c r="AC25" s="272">
        <v>3286484</v>
      </c>
      <c r="AD25" s="272">
        <v>2957673</v>
      </c>
      <c r="AE25" s="272">
        <v>328811</v>
      </c>
      <c r="AF25" s="272">
        <v>16527</v>
      </c>
      <c r="AG25" s="272">
        <v>165611</v>
      </c>
      <c r="AH25" s="455">
        <f t="shared" si="3"/>
        <v>296630</v>
      </c>
      <c r="AI25" s="272">
        <v>233876</v>
      </c>
      <c r="AJ25" s="272">
        <v>62754</v>
      </c>
      <c r="AK25" s="272">
        <v>1410683</v>
      </c>
      <c r="AL25" s="455">
        <f t="shared" si="4"/>
        <v>956073</v>
      </c>
      <c r="AM25" s="272">
        <v>597914</v>
      </c>
      <c r="AN25" s="272">
        <v>267975</v>
      </c>
      <c r="AO25" s="272">
        <v>0</v>
      </c>
      <c r="AP25" s="272">
        <v>90184</v>
      </c>
      <c r="AQ25" s="272">
        <v>184560</v>
      </c>
      <c r="AR25" s="272">
        <v>8828</v>
      </c>
      <c r="AS25" s="272">
        <v>0</v>
      </c>
      <c r="AT25" s="272">
        <v>971541</v>
      </c>
      <c r="AU25" s="272">
        <v>245965</v>
      </c>
      <c r="AV25" s="272">
        <v>87021</v>
      </c>
      <c r="AW25" s="272">
        <v>2708</v>
      </c>
      <c r="AX25" s="272">
        <v>725576</v>
      </c>
      <c r="AY25" s="272">
        <v>188730</v>
      </c>
      <c r="AZ25" s="272">
        <v>283090</v>
      </c>
      <c r="BA25" s="272">
        <v>23150</v>
      </c>
      <c r="BB25" s="272">
        <v>347942</v>
      </c>
      <c r="BC25" s="272">
        <v>713067</v>
      </c>
      <c r="BD25" s="272">
        <v>0</v>
      </c>
      <c r="BE25" s="272">
        <v>93567</v>
      </c>
      <c r="BF25" s="272">
        <v>619500</v>
      </c>
      <c r="BG25" s="272">
        <v>0</v>
      </c>
      <c r="BH25" s="272">
        <v>112404</v>
      </c>
      <c r="BI25" s="272">
        <v>109335</v>
      </c>
      <c r="BJ25" s="272">
        <v>2696547</v>
      </c>
      <c r="BK25" s="272">
        <v>2535443</v>
      </c>
      <c r="BL25" s="272">
        <v>4489</v>
      </c>
      <c r="BM25" s="272">
        <v>0</v>
      </c>
      <c r="BN25" s="272">
        <v>1698200</v>
      </c>
      <c r="BO25" s="455">
        <f t="shared" si="5"/>
        <v>1698200</v>
      </c>
      <c r="BP25" s="455">
        <f t="shared" si="6"/>
        <v>0</v>
      </c>
      <c r="BQ25" s="272"/>
      <c r="BR25" s="272"/>
      <c r="BS25" s="272"/>
      <c r="BT25" s="272">
        <v>0</v>
      </c>
      <c r="BU25" s="272">
        <v>23178464</v>
      </c>
      <c r="BV25" s="272"/>
      <c r="BW25" s="272">
        <v>4578723</v>
      </c>
      <c r="BX25" s="272">
        <v>3344873</v>
      </c>
      <c r="BY25" s="272">
        <v>294352</v>
      </c>
      <c r="BZ25" s="272">
        <v>84046</v>
      </c>
      <c r="CA25" s="272">
        <v>2083588</v>
      </c>
      <c r="CB25" s="272">
        <v>201553</v>
      </c>
      <c r="CC25" s="272">
        <v>496669</v>
      </c>
      <c r="CD25" s="272">
        <v>549297</v>
      </c>
      <c r="CE25" s="272">
        <v>760662</v>
      </c>
      <c r="CF25" s="272">
        <v>0</v>
      </c>
      <c r="CG25" s="272">
        <v>75407</v>
      </c>
      <c r="CH25" s="272">
        <v>1459325</v>
      </c>
      <c r="CI25" s="272">
        <v>730222</v>
      </c>
      <c r="CJ25" s="455">
        <f t="shared" si="7"/>
        <v>729103</v>
      </c>
      <c r="CK25" s="272">
        <v>2151702</v>
      </c>
      <c r="CL25" s="272">
        <v>1151020</v>
      </c>
      <c r="CM25" s="272">
        <v>94220</v>
      </c>
      <c r="CN25" s="272">
        <v>448718</v>
      </c>
      <c r="CO25" s="272">
        <v>221649</v>
      </c>
      <c r="CP25" s="272">
        <v>3142615</v>
      </c>
      <c r="CQ25" s="272">
        <v>1876513</v>
      </c>
      <c r="CR25" s="272">
        <v>533148</v>
      </c>
      <c r="CS25" s="272">
        <v>519767</v>
      </c>
      <c r="CT25" s="455">
        <f t="shared" si="8"/>
        <v>211163</v>
      </c>
      <c r="CU25" s="272">
        <v>2932</v>
      </c>
      <c r="CV25" s="272">
        <v>208231</v>
      </c>
      <c r="CW25" s="455">
        <f t="shared" si="9"/>
        <v>207288</v>
      </c>
      <c r="CX25" s="272">
        <v>0</v>
      </c>
      <c r="CY25" s="272">
        <v>207288</v>
      </c>
      <c r="CZ25" s="455">
        <f t="shared" si="10"/>
        <v>0</v>
      </c>
      <c r="DA25" s="272">
        <v>0</v>
      </c>
      <c r="DB25" s="272">
        <v>0</v>
      </c>
      <c r="DC25" s="272">
        <v>4213912</v>
      </c>
      <c r="DD25" s="272">
        <v>726625</v>
      </c>
      <c r="DE25" s="272">
        <v>3482798</v>
      </c>
      <c r="DF25" s="272">
        <v>0</v>
      </c>
      <c r="DG25" s="272">
        <v>4489</v>
      </c>
      <c r="DH25" s="272">
        <v>133688</v>
      </c>
      <c r="DI25" s="272">
        <v>834153</v>
      </c>
      <c r="DJ25" s="272">
        <v>84911</v>
      </c>
      <c r="DK25" s="272">
        <v>24846</v>
      </c>
      <c r="DL25" s="272">
        <v>724396</v>
      </c>
      <c r="DM25" s="272">
        <v>2700</v>
      </c>
      <c r="DN25" s="272">
        <v>0</v>
      </c>
      <c r="DO25" s="272">
        <v>0</v>
      </c>
      <c r="DP25" s="272">
        <v>0</v>
      </c>
      <c r="DQ25" s="272">
        <v>2446850</v>
      </c>
      <c r="DR25" s="272">
        <v>0</v>
      </c>
      <c r="DS25" s="272">
        <v>0</v>
      </c>
      <c r="DT25" s="272">
        <v>1845961</v>
      </c>
      <c r="DU25" s="272">
        <v>1155478</v>
      </c>
      <c r="DV25" s="455">
        <f t="shared" si="11"/>
        <v>0</v>
      </c>
      <c r="DW25" s="272">
        <v>0</v>
      </c>
      <c r="DX25" s="272">
        <v>0</v>
      </c>
      <c r="DY25" s="272">
        <v>0</v>
      </c>
      <c r="DZ25" s="272">
        <v>363295</v>
      </c>
      <c r="EA25" s="272">
        <v>231970</v>
      </c>
      <c r="EB25" s="272"/>
      <c r="EC25" s="272">
        <v>0</v>
      </c>
      <c r="ED25" s="272">
        <v>23114866</v>
      </c>
      <c r="EF25" s="272">
        <v>63598</v>
      </c>
      <c r="EG25" s="272">
        <v>6968</v>
      </c>
      <c r="EH25" s="272">
        <v>56630</v>
      </c>
      <c r="EI25" s="272">
        <v>-172705</v>
      </c>
      <c r="EJ25" s="272">
        <v>-87794</v>
      </c>
      <c r="EL25" s="272"/>
      <c r="EM25" s="272">
        <v>76099</v>
      </c>
      <c r="EN25" s="272">
        <v>93567</v>
      </c>
      <c r="EO25" s="272">
        <v>30582</v>
      </c>
      <c r="EP25" s="455">
        <f t="shared" si="12"/>
        <v>3117233</v>
      </c>
      <c r="EQ25" s="272">
        <v>14482749</v>
      </c>
      <c r="ER25" s="272">
        <v>-3224855</v>
      </c>
      <c r="ES25" s="272">
        <v>4178813</v>
      </c>
      <c r="ET25" s="272">
        <v>2945967</v>
      </c>
      <c r="EU25" s="272">
        <v>572913</v>
      </c>
      <c r="EV25" s="272">
        <v>1459325</v>
      </c>
      <c r="EW25" s="455">
        <f t="shared" si="13"/>
        <v>1627763</v>
      </c>
      <c r="EX25" s="272">
        <v>1517467</v>
      </c>
      <c r="EY25" s="272">
        <v>166607</v>
      </c>
      <c r="EZ25" s="272">
        <v>1350860</v>
      </c>
      <c r="FA25" s="272">
        <v>110296</v>
      </c>
      <c r="FB25" s="272"/>
      <c r="FC25" s="272">
        <v>1825058</v>
      </c>
      <c r="FD25" s="272">
        <v>2914289</v>
      </c>
      <c r="FE25" s="272">
        <v>1876513</v>
      </c>
      <c r="FF25" s="272">
        <v>1799696</v>
      </c>
      <c r="FG25" s="455">
        <f t="shared" si="14"/>
        <v>3266149</v>
      </c>
      <c r="FH25" s="272">
        <v>17644006</v>
      </c>
      <c r="FI25" s="384">
        <f t="shared" si="15"/>
        <v>0.4</v>
      </c>
      <c r="FJ25" s="272">
        <v>13019553</v>
      </c>
      <c r="FK25" s="272"/>
      <c r="FL25" s="272">
        <v>7584336</v>
      </c>
      <c r="FM25" s="272">
        <v>10562088</v>
      </c>
      <c r="FN25" s="460">
        <v>0.746</v>
      </c>
      <c r="FO25" s="388">
        <v>86.7</v>
      </c>
      <c r="FP25" s="388">
        <v>30.7</v>
      </c>
      <c r="FQ25" s="388">
        <v>4.3</v>
      </c>
      <c r="FR25" s="388">
        <v>10.9</v>
      </c>
      <c r="FS25" s="388">
        <v>13.2</v>
      </c>
      <c r="FT25" s="388">
        <v>18.3</v>
      </c>
      <c r="FU25" s="388">
        <v>7.6</v>
      </c>
      <c r="FV25" s="388">
        <v>8.1</v>
      </c>
      <c r="FW25" s="272">
        <v>11510564</v>
      </c>
      <c r="FX25" s="384">
        <f t="shared" si="16"/>
        <v>88.4</v>
      </c>
      <c r="FY25" s="272">
        <v>6540457</v>
      </c>
      <c r="FZ25" s="272">
        <v>2457626</v>
      </c>
      <c r="GA25" s="272">
        <v>586400</v>
      </c>
      <c r="GB25" s="272">
        <v>3496431</v>
      </c>
      <c r="GC25" s="272"/>
      <c r="GD25" s="272">
        <v>3417131</v>
      </c>
      <c r="GE25" s="384">
        <f t="shared" si="17"/>
        <v>26.2</v>
      </c>
      <c r="GF25" s="388">
        <v>96.7</v>
      </c>
      <c r="GG25" s="388">
        <v>34.5</v>
      </c>
      <c r="GH25" s="388">
        <v>93.7</v>
      </c>
      <c r="GI25" s="272">
        <v>466</v>
      </c>
    </row>
    <row r="26" spans="2:191" x14ac:dyDescent="0.15">
      <c r="B26" s="89" t="s">
        <v>45</v>
      </c>
      <c r="C26" s="272">
        <v>13981315</v>
      </c>
      <c r="D26" s="455">
        <f t="shared" si="0"/>
        <v>7324450</v>
      </c>
      <c r="E26" s="272">
        <v>81657</v>
      </c>
      <c r="F26" s="272">
        <v>7242793</v>
      </c>
      <c r="G26" s="455">
        <f t="shared" si="1"/>
        <v>820220</v>
      </c>
      <c r="H26" s="272">
        <v>127885</v>
      </c>
      <c r="I26" s="272">
        <v>692335</v>
      </c>
      <c r="J26" s="272">
        <v>4175710</v>
      </c>
      <c r="K26" s="272">
        <v>2028057</v>
      </c>
      <c r="L26" s="272">
        <v>1691297</v>
      </c>
      <c r="M26" s="272">
        <v>444007</v>
      </c>
      <c r="N26" s="272">
        <v>421123</v>
      </c>
      <c r="O26" s="272">
        <v>1123392</v>
      </c>
      <c r="P26" s="272">
        <v>767131</v>
      </c>
      <c r="Q26" s="272">
        <v>356261</v>
      </c>
      <c r="R26" s="272">
        <v>649972</v>
      </c>
      <c r="S26" s="272">
        <v>450712</v>
      </c>
      <c r="T26" s="455">
        <f t="shared" si="2"/>
        <v>817003</v>
      </c>
      <c r="U26" s="272">
        <v>545539</v>
      </c>
      <c r="V26" s="272"/>
      <c r="W26" s="272"/>
      <c r="X26" s="272"/>
      <c r="Y26" s="272">
        <v>0</v>
      </c>
      <c r="Z26" s="272">
        <v>152</v>
      </c>
      <c r="AA26" s="272">
        <v>271312</v>
      </c>
      <c r="AB26" s="272"/>
      <c r="AC26" s="272">
        <v>4296364</v>
      </c>
      <c r="AD26" s="272">
        <v>3962761</v>
      </c>
      <c r="AE26" s="272">
        <v>333603</v>
      </c>
      <c r="AF26" s="272">
        <v>25699</v>
      </c>
      <c r="AG26" s="272">
        <v>197466</v>
      </c>
      <c r="AH26" s="455">
        <f t="shared" si="3"/>
        <v>343419</v>
      </c>
      <c r="AI26" s="272">
        <v>312594</v>
      </c>
      <c r="AJ26" s="272">
        <v>30825</v>
      </c>
      <c r="AK26" s="272">
        <v>2756045</v>
      </c>
      <c r="AL26" s="455">
        <f t="shared" si="4"/>
        <v>1379135</v>
      </c>
      <c r="AM26" s="272">
        <v>1070672</v>
      </c>
      <c r="AN26" s="272">
        <v>266358</v>
      </c>
      <c r="AO26" s="272">
        <v>0</v>
      </c>
      <c r="AP26" s="272">
        <v>42105</v>
      </c>
      <c r="AQ26" s="272">
        <v>511069</v>
      </c>
      <c r="AR26" s="272">
        <v>0</v>
      </c>
      <c r="AS26" s="272">
        <v>0</v>
      </c>
      <c r="AT26" s="272">
        <v>1660715</v>
      </c>
      <c r="AU26" s="272">
        <v>491643</v>
      </c>
      <c r="AV26" s="272">
        <v>155013</v>
      </c>
      <c r="AW26" s="272">
        <v>73102</v>
      </c>
      <c r="AX26" s="272">
        <v>1169072</v>
      </c>
      <c r="AY26" s="272">
        <v>311612</v>
      </c>
      <c r="AZ26" s="272">
        <v>379240</v>
      </c>
      <c r="BA26" s="272">
        <v>147320</v>
      </c>
      <c r="BB26" s="272">
        <v>215393</v>
      </c>
      <c r="BC26" s="272">
        <v>2788734</v>
      </c>
      <c r="BD26" s="272">
        <v>1010000</v>
      </c>
      <c r="BE26" s="272">
        <v>120000</v>
      </c>
      <c r="BF26" s="272">
        <v>1648800</v>
      </c>
      <c r="BG26" s="470">
        <v>0</v>
      </c>
      <c r="BH26" s="272">
        <v>1024288</v>
      </c>
      <c r="BI26" s="272">
        <v>1001679</v>
      </c>
      <c r="BJ26" s="272">
        <v>285523</v>
      </c>
      <c r="BK26" s="272">
        <v>2200</v>
      </c>
      <c r="BL26" s="272">
        <v>0</v>
      </c>
      <c r="BM26" s="272">
        <v>0</v>
      </c>
      <c r="BN26" s="272">
        <v>1980100</v>
      </c>
      <c r="BO26" s="455">
        <f t="shared" si="5"/>
        <v>1980100</v>
      </c>
      <c r="BP26" s="455">
        <f t="shared" si="6"/>
        <v>0</v>
      </c>
      <c r="BQ26" s="272"/>
      <c r="BR26" s="272"/>
      <c r="BS26" s="272"/>
      <c r="BT26" s="272">
        <v>0</v>
      </c>
      <c r="BU26" s="272">
        <v>31401276</v>
      </c>
      <c r="BV26" s="272"/>
      <c r="BW26" s="272">
        <v>7125594</v>
      </c>
      <c r="BX26" s="272">
        <v>5614286</v>
      </c>
      <c r="BY26" s="272">
        <v>189999</v>
      </c>
      <c r="BZ26" s="272">
        <v>70072</v>
      </c>
      <c r="CA26" s="272">
        <v>3494522</v>
      </c>
      <c r="CB26" s="272">
        <v>452760</v>
      </c>
      <c r="CC26" s="272">
        <v>627231</v>
      </c>
      <c r="CD26" s="272">
        <v>936277</v>
      </c>
      <c r="CE26" s="272">
        <v>1412836</v>
      </c>
      <c r="CF26" s="272">
        <v>0</v>
      </c>
      <c r="CG26" s="272">
        <v>65283</v>
      </c>
      <c r="CH26" s="272">
        <v>2177860</v>
      </c>
      <c r="CI26" s="272">
        <v>1164058</v>
      </c>
      <c r="CJ26" s="455">
        <f t="shared" si="7"/>
        <v>1013802</v>
      </c>
      <c r="CK26" s="272">
        <v>3450741</v>
      </c>
      <c r="CL26" s="272">
        <v>1804303</v>
      </c>
      <c r="CM26" s="272">
        <v>314405</v>
      </c>
      <c r="CN26" s="272">
        <v>731864</v>
      </c>
      <c r="CO26" s="272">
        <v>244274</v>
      </c>
      <c r="CP26" s="272">
        <v>3195771</v>
      </c>
      <c r="CQ26" s="272">
        <v>1997423</v>
      </c>
      <c r="CR26" s="272">
        <v>811157</v>
      </c>
      <c r="CS26" s="272">
        <v>761635</v>
      </c>
      <c r="CT26" s="455">
        <f t="shared" si="8"/>
        <v>15689</v>
      </c>
      <c r="CU26" s="272">
        <v>11273</v>
      </c>
      <c r="CV26" s="272">
        <v>4416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6104055</v>
      </c>
      <c r="DD26" s="272">
        <v>1499535</v>
      </c>
      <c r="DE26" s="272">
        <v>4577100</v>
      </c>
      <c r="DF26" s="272">
        <v>9138</v>
      </c>
      <c r="DG26" s="272">
        <v>18282</v>
      </c>
      <c r="DH26" s="272">
        <v>0</v>
      </c>
      <c r="DI26" s="272">
        <v>1085699</v>
      </c>
      <c r="DJ26" s="272">
        <v>554793</v>
      </c>
      <c r="DK26" s="272">
        <v>23334</v>
      </c>
      <c r="DL26" s="272">
        <v>507572</v>
      </c>
      <c r="DM26" s="272">
        <v>3000</v>
      </c>
      <c r="DN26" s="272">
        <v>0</v>
      </c>
      <c r="DO26" s="272">
        <v>0</v>
      </c>
      <c r="DP26" s="272">
        <v>0</v>
      </c>
      <c r="DQ26" s="272">
        <v>0</v>
      </c>
      <c r="DR26" s="272">
        <v>0</v>
      </c>
      <c r="DS26" s="272">
        <v>0</v>
      </c>
      <c r="DT26" s="272">
        <v>3481979</v>
      </c>
      <c r="DU26" s="272">
        <v>1446264</v>
      </c>
      <c r="DV26" s="455">
        <f t="shared" si="11"/>
        <v>0</v>
      </c>
      <c r="DW26" s="272">
        <v>0</v>
      </c>
      <c r="DX26" s="272">
        <v>0</v>
      </c>
      <c r="DY26" s="272">
        <v>0</v>
      </c>
      <c r="DZ26" s="272">
        <v>622901</v>
      </c>
      <c r="EA26" s="272">
        <v>348277</v>
      </c>
      <c r="EB26" s="272"/>
      <c r="EC26" s="272">
        <v>0</v>
      </c>
      <c r="ED26" s="272">
        <v>30363495</v>
      </c>
      <c r="EF26" s="272">
        <v>1037781</v>
      </c>
      <c r="EG26" s="272">
        <v>26007</v>
      </c>
      <c r="EH26" s="272">
        <v>1011774</v>
      </c>
      <c r="EI26" s="272">
        <v>10095</v>
      </c>
      <c r="EJ26" s="272">
        <v>-445112</v>
      </c>
      <c r="EL26" s="272"/>
      <c r="EM26" s="272">
        <v>116516</v>
      </c>
      <c r="EN26" s="272">
        <v>1139934</v>
      </c>
      <c r="EO26" s="272">
        <v>42262</v>
      </c>
      <c r="EP26" s="455">
        <f t="shared" si="12"/>
        <v>1419756</v>
      </c>
      <c r="EQ26" s="272">
        <v>19770353</v>
      </c>
      <c r="ER26" s="272">
        <v>-2576253</v>
      </c>
      <c r="ES26" s="272">
        <v>6502645</v>
      </c>
      <c r="ET26" s="272">
        <v>5027870</v>
      </c>
      <c r="EU26" s="272">
        <v>1010708</v>
      </c>
      <c r="EV26" s="272">
        <v>1725960</v>
      </c>
      <c r="EW26" s="455">
        <f t="shared" si="13"/>
        <v>2393482</v>
      </c>
      <c r="EX26" s="272">
        <v>2393482</v>
      </c>
      <c r="EY26" s="272">
        <v>231944</v>
      </c>
      <c r="EZ26" s="272">
        <v>2152400</v>
      </c>
      <c r="FA26" s="272">
        <v>0</v>
      </c>
      <c r="FB26" s="272"/>
      <c r="FC26" s="272">
        <v>3084661</v>
      </c>
      <c r="FD26" s="272">
        <v>3062179</v>
      </c>
      <c r="FE26" s="272">
        <v>1997423</v>
      </c>
      <c r="FF26" s="272">
        <v>2414274</v>
      </c>
      <c r="FG26" s="455">
        <f t="shared" si="14"/>
        <v>1114916</v>
      </c>
      <c r="FH26" s="272">
        <v>21308825</v>
      </c>
      <c r="FI26" s="384">
        <f t="shared" si="15"/>
        <v>5.7</v>
      </c>
      <c r="FJ26" s="272">
        <v>17869100</v>
      </c>
      <c r="FK26" s="272"/>
      <c r="FL26" s="272">
        <v>10484846</v>
      </c>
      <c r="FM26" s="272">
        <v>14474665</v>
      </c>
      <c r="FN26" s="460">
        <v>0.73699999999999999</v>
      </c>
      <c r="FO26" s="388">
        <v>84.9</v>
      </c>
      <c r="FP26" s="388">
        <v>34.700000000000003</v>
      </c>
      <c r="FQ26" s="388">
        <v>5.5</v>
      </c>
      <c r="FR26" s="388">
        <v>9.4</v>
      </c>
      <c r="FS26" s="388">
        <v>13.6</v>
      </c>
      <c r="FT26" s="388">
        <v>15.6</v>
      </c>
      <c r="FU26" s="388">
        <v>5</v>
      </c>
      <c r="FV26" s="388">
        <v>8.9</v>
      </c>
      <c r="FW26" s="272">
        <v>16734485</v>
      </c>
      <c r="FX26" s="384">
        <f t="shared" si="16"/>
        <v>93.7</v>
      </c>
      <c r="FY26" s="272">
        <v>4690651</v>
      </c>
      <c r="FZ26" s="272">
        <v>424352</v>
      </c>
      <c r="GA26" s="272">
        <v>622568</v>
      </c>
      <c r="GB26" s="272">
        <v>3643731</v>
      </c>
      <c r="GC26" s="272"/>
      <c r="GD26" s="272">
        <v>9895216</v>
      </c>
      <c r="GE26" s="384">
        <f t="shared" si="17"/>
        <v>55.4</v>
      </c>
      <c r="GF26" s="388">
        <v>98</v>
      </c>
      <c r="GG26" s="388">
        <v>41.3</v>
      </c>
      <c r="GH26" s="388">
        <v>95.9</v>
      </c>
      <c r="GI26" s="272">
        <v>751</v>
      </c>
    </row>
    <row r="27" spans="2:191" x14ac:dyDescent="0.15">
      <c r="B27" s="89" t="s">
        <v>47</v>
      </c>
      <c r="C27" s="272">
        <v>23133766</v>
      </c>
      <c r="D27" s="455">
        <f t="shared" si="0"/>
        <v>7065461</v>
      </c>
      <c r="E27" s="272">
        <v>106418</v>
      </c>
      <c r="F27" s="272">
        <v>6959043</v>
      </c>
      <c r="G27" s="455">
        <f t="shared" si="1"/>
        <v>3576839</v>
      </c>
      <c r="H27" s="272">
        <v>335295</v>
      </c>
      <c r="I27" s="272">
        <v>3241544</v>
      </c>
      <c r="J27" s="272">
        <v>9452024</v>
      </c>
      <c r="K27" s="272">
        <v>4646127</v>
      </c>
      <c r="L27" s="272">
        <v>2815111</v>
      </c>
      <c r="M27" s="272">
        <v>1911153</v>
      </c>
      <c r="N27" s="272">
        <v>891336</v>
      </c>
      <c r="O27" s="272">
        <v>2037416</v>
      </c>
      <c r="P27" s="272">
        <v>1402210</v>
      </c>
      <c r="Q27" s="272">
        <v>635206</v>
      </c>
      <c r="R27" s="272">
        <v>1034107</v>
      </c>
      <c r="S27" s="272">
        <v>817262</v>
      </c>
      <c r="T27" s="455">
        <f t="shared" si="2"/>
        <v>844948</v>
      </c>
      <c r="U27" s="272">
        <v>546153</v>
      </c>
      <c r="V27" s="272"/>
      <c r="W27" s="272"/>
      <c r="X27" s="272"/>
      <c r="Y27" s="272">
        <v>0</v>
      </c>
      <c r="Z27" s="272">
        <v>3829</v>
      </c>
      <c r="AA27" s="272">
        <v>294966</v>
      </c>
      <c r="AB27" s="272"/>
      <c r="AC27" s="272">
        <v>978339</v>
      </c>
      <c r="AD27" s="272">
        <v>833926</v>
      </c>
      <c r="AE27" s="272">
        <v>144413</v>
      </c>
      <c r="AF27" s="272">
        <v>31383</v>
      </c>
      <c r="AG27" s="272">
        <v>189785</v>
      </c>
      <c r="AH27" s="455">
        <f t="shared" si="3"/>
        <v>462878</v>
      </c>
      <c r="AI27" s="272">
        <v>307291</v>
      </c>
      <c r="AJ27" s="272">
        <v>155587</v>
      </c>
      <c r="AK27" s="272">
        <v>3918884</v>
      </c>
      <c r="AL27" s="455">
        <f t="shared" si="4"/>
        <v>2301796</v>
      </c>
      <c r="AM27" s="272">
        <v>1863059</v>
      </c>
      <c r="AN27" s="272">
        <v>298252</v>
      </c>
      <c r="AO27" s="272">
        <v>0</v>
      </c>
      <c r="AP27" s="272">
        <v>140485</v>
      </c>
      <c r="AQ27" s="272">
        <v>587409</v>
      </c>
      <c r="AR27" s="272">
        <v>0</v>
      </c>
      <c r="AS27" s="272">
        <v>0</v>
      </c>
      <c r="AT27" s="272">
        <v>1501958</v>
      </c>
      <c r="AU27" s="272">
        <v>567707</v>
      </c>
      <c r="AV27" s="272">
        <v>147208</v>
      </c>
      <c r="AW27" s="272">
        <v>0</v>
      </c>
      <c r="AX27" s="272">
        <v>934251</v>
      </c>
      <c r="AY27" s="272">
        <v>162973</v>
      </c>
      <c r="AZ27" s="272">
        <v>793571</v>
      </c>
      <c r="BA27" s="272">
        <v>255847</v>
      </c>
      <c r="BB27" s="272">
        <v>664599</v>
      </c>
      <c r="BC27" s="272">
        <v>3947469</v>
      </c>
      <c r="BD27" s="272">
        <v>1100000</v>
      </c>
      <c r="BE27" s="272">
        <v>400000</v>
      </c>
      <c r="BF27" s="272">
        <v>2447469</v>
      </c>
      <c r="BG27" s="272">
        <v>0</v>
      </c>
      <c r="BH27" s="272">
        <v>1052728</v>
      </c>
      <c r="BI27" s="272">
        <v>948570</v>
      </c>
      <c r="BJ27" s="272">
        <v>372470</v>
      </c>
      <c r="BK27" s="272">
        <v>110200</v>
      </c>
      <c r="BL27" s="272">
        <v>0</v>
      </c>
      <c r="BM27" s="272">
        <v>0</v>
      </c>
      <c r="BN27" s="272">
        <v>2540300</v>
      </c>
      <c r="BO27" s="455">
        <f t="shared" si="5"/>
        <v>2540300</v>
      </c>
      <c r="BP27" s="455">
        <f t="shared" si="6"/>
        <v>0</v>
      </c>
      <c r="BQ27" s="272"/>
      <c r="BR27" s="272"/>
      <c r="BS27" s="272"/>
      <c r="BT27" s="272">
        <v>0</v>
      </c>
      <c r="BU27" s="272">
        <v>41467185</v>
      </c>
      <c r="BV27" s="272"/>
      <c r="BW27" s="272">
        <v>12515890</v>
      </c>
      <c r="BX27" s="272">
        <v>9825621</v>
      </c>
      <c r="BY27" s="272">
        <v>637613</v>
      </c>
      <c r="BZ27" s="272">
        <v>49911</v>
      </c>
      <c r="CA27" s="272">
        <v>4756344</v>
      </c>
      <c r="CB27" s="272">
        <v>490506</v>
      </c>
      <c r="CC27" s="272">
        <v>698837</v>
      </c>
      <c r="CD27" s="272">
        <v>998632</v>
      </c>
      <c r="CE27" s="272">
        <v>2480260</v>
      </c>
      <c r="CF27" s="272">
        <v>10</v>
      </c>
      <c r="CG27" s="272">
        <v>87699</v>
      </c>
      <c r="CH27" s="272">
        <v>3236191</v>
      </c>
      <c r="CI27" s="272">
        <v>1674934</v>
      </c>
      <c r="CJ27" s="455">
        <f t="shared" si="7"/>
        <v>1561257</v>
      </c>
      <c r="CK27" s="272">
        <v>3479364</v>
      </c>
      <c r="CL27" s="272">
        <v>1933645</v>
      </c>
      <c r="CM27" s="272">
        <v>68635</v>
      </c>
      <c r="CN27" s="272">
        <v>980684</v>
      </c>
      <c r="CO27" s="272">
        <v>540225</v>
      </c>
      <c r="CP27" s="272">
        <v>3409549</v>
      </c>
      <c r="CQ27" s="272">
        <v>1856142</v>
      </c>
      <c r="CR27" s="272">
        <v>515266</v>
      </c>
      <c r="CS27" s="272">
        <v>324318</v>
      </c>
      <c r="CT27" s="455">
        <f t="shared" si="8"/>
        <v>359193</v>
      </c>
      <c r="CU27" s="272">
        <v>9193</v>
      </c>
      <c r="CV27" s="272">
        <v>350000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7010037</v>
      </c>
      <c r="DD27" s="272">
        <v>1292676</v>
      </c>
      <c r="DE27" s="272">
        <v>5628529</v>
      </c>
      <c r="DF27" s="272">
        <v>0</v>
      </c>
      <c r="DG27" s="272">
        <v>0</v>
      </c>
      <c r="DH27" s="272">
        <v>0</v>
      </c>
      <c r="DI27" s="272">
        <v>1977009</v>
      </c>
      <c r="DJ27" s="272">
        <v>577357</v>
      </c>
      <c r="DK27" s="272">
        <v>53264</v>
      </c>
      <c r="DL27" s="272">
        <v>1346388</v>
      </c>
      <c r="DM27" s="272">
        <v>902000</v>
      </c>
      <c r="DN27" s="272">
        <v>0</v>
      </c>
      <c r="DO27" s="272">
        <v>0</v>
      </c>
      <c r="DP27" s="272">
        <v>0</v>
      </c>
      <c r="DQ27" s="272">
        <v>307500</v>
      </c>
      <c r="DR27" s="272">
        <v>200000</v>
      </c>
      <c r="DS27" s="272">
        <v>0</v>
      </c>
      <c r="DT27" s="272">
        <v>2621993</v>
      </c>
      <c r="DU27" s="272">
        <v>1542600</v>
      </c>
      <c r="DV27" s="455">
        <f t="shared" si="11"/>
        <v>0</v>
      </c>
      <c r="DW27" s="272">
        <v>0</v>
      </c>
      <c r="DX27" s="272">
        <v>0</v>
      </c>
      <c r="DY27" s="272">
        <v>0</v>
      </c>
      <c r="DZ27" s="272">
        <v>749923</v>
      </c>
      <c r="EA27" s="272">
        <v>325846</v>
      </c>
      <c r="EB27" s="272"/>
      <c r="EC27" s="272">
        <v>0</v>
      </c>
      <c r="ED27" s="272">
        <v>40756102</v>
      </c>
      <c r="EF27" s="272">
        <v>711083</v>
      </c>
      <c r="EG27" s="272">
        <v>16494</v>
      </c>
      <c r="EH27" s="272">
        <v>694589</v>
      </c>
      <c r="EI27" s="272">
        <v>-253981</v>
      </c>
      <c r="EJ27" s="272">
        <v>-776624</v>
      </c>
      <c r="EL27" s="272"/>
      <c r="EM27" s="272">
        <v>140312</v>
      </c>
      <c r="EN27" s="272">
        <v>3059464</v>
      </c>
      <c r="EO27" s="272">
        <v>262761</v>
      </c>
      <c r="EP27" s="455">
        <f t="shared" si="12"/>
        <v>1777017</v>
      </c>
      <c r="EQ27" s="272">
        <v>26022543</v>
      </c>
      <c r="ER27" s="272">
        <v>-5067859</v>
      </c>
      <c r="ES27" s="272">
        <v>11740214</v>
      </c>
      <c r="ET27" s="272">
        <v>9067980</v>
      </c>
      <c r="EU27" s="272">
        <v>1417777</v>
      </c>
      <c r="EV27" s="272">
        <v>2851111</v>
      </c>
      <c r="EW27" s="455">
        <f t="shared" si="13"/>
        <v>3196273</v>
      </c>
      <c r="EX27" s="272">
        <v>3196273</v>
      </c>
      <c r="EY27" s="272">
        <v>109884</v>
      </c>
      <c r="EZ27" s="272">
        <v>3033397</v>
      </c>
      <c r="FA27" s="272">
        <v>0</v>
      </c>
      <c r="FB27" s="272"/>
      <c r="FC27" s="272">
        <v>2842395</v>
      </c>
      <c r="FD27" s="272">
        <v>3225504</v>
      </c>
      <c r="FE27" s="272">
        <v>1856142</v>
      </c>
      <c r="FF27" s="272">
        <v>2539758</v>
      </c>
      <c r="FG27" s="455">
        <f t="shared" si="14"/>
        <v>2567719</v>
      </c>
      <c r="FH27" s="272">
        <v>30380751</v>
      </c>
      <c r="FI27" s="384">
        <f t="shared" si="15"/>
        <v>3</v>
      </c>
      <c r="FJ27" s="272">
        <v>23531224</v>
      </c>
      <c r="FK27" s="272"/>
      <c r="FL27" s="272">
        <v>17082605</v>
      </c>
      <c r="FM27" s="272">
        <v>17949469</v>
      </c>
      <c r="FN27" s="460">
        <v>1.032</v>
      </c>
      <c r="FO27" s="388">
        <v>96.5</v>
      </c>
      <c r="FP27" s="388">
        <v>48.3</v>
      </c>
      <c r="FQ27" s="388">
        <v>5.9</v>
      </c>
      <c r="FR27" s="388">
        <v>11.5</v>
      </c>
      <c r="FS27" s="388">
        <v>10.4</v>
      </c>
      <c r="FT27" s="388">
        <v>10.8</v>
      </c>
      <c r="FU27" s="388">
        <v>7.4</v>
      </c>
      <c r="FV27" s="388">
        <v>7.6</v>
      </c>
      <c r="FW27" s="272">
        <v>22924899</v>
      </c>
      <c r="FX27" s="384">
        <f t="shared" si="16"/>
        <v>97.4</v>
      </c>
      <c r="FY27" s="272">
        <v>17544584</v>
      </c>
      <c r="FZ27" s="272">
        <v>3790564</v>
      </c>
      <c r="GA27" s="272">
        <v>1888137</v>
      </c>
      <c r="GB27" s="272">
        <v>11865883</v>
      </c>
      <c r="GC27" s="272"/>
      <c r="GD27" s="272">
        <v>9386340</v>
      </c>
      <c r="GE27" s="384">
        <f t="shared" si="17"/>
        <v>39.9</v>
      </c>
      <c r="GF27" s="388">
        <v>97.6</v>
      </c>
      <c r="GG27" s="388">
        <v>28.1</v>
      </c>
      <c r="GH27" s="388">
        <v>94.1</v>
      </c>
      <c r="GI27" s="272">
        <v>1258</v>
      </c>
    </row>
    <row r="28" spans="2:191" x14ac:dyDescent="0.15">
      <c r="B28" s="89" t="s">
        <v>49</v>
      </c>
      <c r="C28" s="272">
        <v>18354506</v>
      </c>
      <c r="D28" s="455">
        <f t="shared" si="0"/>
        <v>5443838</v>
      </c>
      <c r="E28" s="272">
        <v>66897</v>
      </c>
      <c r="F28" s="272">
        <v>5376941</v>
      </c>
      <c r="G28" s="455">
        <f t="shared" si="1"/>
        <v>2559380</v>
      </c>
      <c r="H28" s="272">
        <v>278923</v>
      </c>
      <c r="I28" s="272">
        <v>2280457</v>
      </c>
      <c r="J28" s="272">
        <v>8229593</v>
      </c>
      <c r="K28" s="272">
        <v>3749771</v>
      </c>
      <c r="L28" s="272">
        <v>2259070</v>
      </c>
      <c r="M28" s="272">
        <v>2144738</v>
      </c>
      <c r="N28" s="272">
        <v>480367</v>
      </c>
      <c r="O28" s="272">
        <v>1568861</v>
      </c>
      <c r="P28" s="272">
        <v>1062782</v>
      </c>
      <c r="Q28" s="272">
        <v>506079</v>
      </c>
      <c r="R28" s="272">
        <v>657752</v>
      </c>
      <c r="S28" s="272">
        <v>499662</v>
      </c>
      <c r="T28" s="455">
        <f t="shared" si="2"/>
        <v>607946</v>
      </c>
      <c r="U28" s="272">
        <v>385022</v>
      </c>
      <c r="V28" s="272"/>
      <c r="W28" s="272"/>
      <c r="X28" s="272"/>
      <c r="Y28" s="272">
        <v>6901</v>
      </c>
      <c r="Z28" s="272">
        <v>1132</v>
      </c>
      <c r="AA28" s="272">
        <v>214891</v>
      </c>
      <c r="AB28" s="272"/>
      <c r="AC28" s="272">
        <v>279626</v>
      </c>
      <c r="AD28" s="272">
        <v>0</v>
      </c>
      <c r="AE28" s="272">
        <v>279626</v>
      </c>
      <c r="AF28" s="272">
        <v>21376</v>
      </c>
      <c r="AG28" s="272">
        <v>189677</v>
      </c>
      <c r="AH28" s="455">
        <f t="shared" si="3"/>
        <v>500003</v>
      </c>
      <c r="AI28" s="272">
        <v>373215</v>
      </c>
      <c r="AJ28" s="272">
        <v>126788</v>
      </c>
      <c r="AK28" s="272">
        <v>1801209</v>
      </c>
      <c r="AL28" s="455">
        <f t="shared" si="4"/>
        <v>1098932</v>
      </c>
      <c r="AM28" s="272">
        <v>627048</v>
      </c>
      <c r="AN28" s="272">
        <v>379691</v>
      </c>
      <c r="AO28" s="272">
        <v>0</v>
      </c>
      <c r="AP28" s="272">
        <v>92193</v>
      </c>
      <c r="AQ28" s="272">
        <v>413136</v>
      </c>
      <c r="AR28" s="272">
        <v>0</v>
      </c>
      <c r="AS28" s="272">
        <v>0</v>
      </c>
      <c r="AT28" s="272">
        <v>1235866</v>
      </c>
      <c r="AU28" s="272">
        <v>415605</v>
      </c>
      <c r="AV28" s="272">
        <v>138937</v>
      </c>
      <c r="AW28" s="272">
        <v>137839</v>
      </c>
      <c r="AX28" s="272">
        <v>820261</v>
      </c>
      <c r="AY28" s="272">
        <v>381253</v>
      </c>
      <c r="AZ28" s="272">
        <v>510923</v>
      </c>
      <c r="BA28" s="272">
        <v>250007</v>
      </c>
      <c r="BB28" s="272">
        <v>499496</v>
      </c>
      <c r="BC28" s="272">
        <v>856077</v>
      </c>
      <c r="BD28" s="272">
        <v>250000</v>
      </c>
      <c r="BE28" s="272">
        <v>232621</v>
      </c>
      <c r="BF28" s="272">
        <v>364493</v>
      </c>
      <c r="BG28" s="272">
        <v>0</v>
      </c>
      <c r="BH28" s="272">
        <v>1624690</v>
      </c>
      <c r="BI28" s="272">
        <v>771658</v>
      </c>
      <c r="BJ28" s="272">
        <v>591152</v>
      </c>
      <c r="BK28" s="272">
        <v>150302</v>
      </c>
      <c r="BL28" s="272">
        <v>69300</v>
      </c>
      <c r="BM28" s="272">
        <v>0</v>
      </c>
      <c r="BN28" s="272">
        <v>7098000</v>
      </c>
      <c r="BO28" s="455">
        <f t="shared" si="5"/>
        <v>7098000</v>
      </c>
      <c r="BP28" s="455">
        <f t="shared" si="6"/>
        <v>0</v>
      </c>
      <c r="BQ28" s="272"/>
      <c r="BR28" s="272"/>
      <c r="BS28" s="272"/>
      <c r="BT28" s="272">
        <v>0</v>
      </c>
      <c r="BU28" s="272">
        <v>34828299</v>
      </c>
      <c r="BV28" s="272"/>
      <c r="BW28" s="272">
        <v>7531146</v>
      </c>
      <c r="BX28" s="272">
        <v>5744046</v>
      </c>
      <c r="BY28" s="272">
        <v>311224</v>
      </c>
      <c r="BZ28" s="272">
        <v>149988</v>
      </c>
      <c r="CA28" s="272">
        <v>2138265</v>
      </c>
      <c r="CB28" s="272">
        <v>189230</v>
      </c>
      <c r="CC28" s="272">
        <v>389916</v>
      </c>
      <c r="CD28" s="272">
        <v>691635</v>
      </c>
      <c r="CE28" s="272">
        <v>842065</v>
      </c>
      <c r="CF28" s="272">
        <v>0</v>
      </c>
      <c r="CG28" s="272">
        <v>24704</v>
      </c>
      <c r="CH28" s="272">
        <v>2505362</v>
      </c>
      <c r="CI28" s="272">
        <v>1107662</v>
      </c>
      <c r="CJ28" s="455">
        <f t="shared" si="7"/>
        <v>1397700</v>
      </c>
      <c r="CK28" s="272">
        <v>3297242</v>
      </c>
      <c r="CL28" s="272">
        <v>1711609</v>
      </c>
      <c r="CM28" s="272">
        <v>212592</v>
      </c>
      <c r="CN28" s="272">
        <v>833982</v>
      </c>
      <c r="CO28" s="272">
        <v>408009</v>
      </c>
      <c r="CP28" s="272">
        <v>1374579</v>
      </c>
      <c r="CQ28" s="272">
        <v>12304</v>
      </c>
      <c r="CR28" s="272">
        <v>496366</v>
      </c>
      <c r="CS28" s="272">
        <v>333621</v>
      </c>
      <c r="CT28" s="455">
        <f t="shared" si="8"/>
        <v>10570</v>
      </c>
      <c r="CU28" s="272">
        <v>10570</v>
      </c>
      <c r="CV28" s="272">
        <v>0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10892883</v>
      </c>
      <c r="DD28" s="272">
        <v>901592</v>
      </c>
      <c r="DE28" s="272">
        <v>9778897</v>
      </c>
      <c r="DF28" s="272">
        <v>0</v>
      </c>
      <c r="DG28" s="272">
        <v>212394</v>
      </c>
      <c r="DH28" s="272">
        <v>0</v>
      </c>
      <c r="DI28" s="272">
        <v>2089879</v>
      </c>
      <c r="DJ28" s="272">
        <v>667192</v>
      </c>
      <c r="DK28" s="272">
        <v>576784</v>
      </c>
      <c r="DL28" s="272">
        <v>845903</v>
      </c>
      <c r="DM28" s="272">
        <v>12000</v>
      </c>
      <c r="DN28" s="272">
        <v>0</v>
      </c>
      <c r="DO28" s="272">
        <v>0</v>
      </c>
      <c r="DP28" s="272">
        <v>0</v>
      </c>
      <c r="DQ28" s="272">
        <v>142872</v>
      </c>
      <c r="DR28" s="272">
        <v>0</v>
      </c>
      <c r="DS28" s="272">
        <v>0</v>
      </c>
      <c r="DT28" s="272">
        <v>3756564</v>
      </c>
      <c r="DU28" s="272">
        <v>2866267</v>
      </c>
      <c r="DV28" s="455">
        <f t="shared" si="11"/>
        <v>0</v>
      </c>
      <c r="DW28" s="272">
        <v>0</v>
      </c>
      <c r="DX28" s="272">
        <v>0</v>
      </c>
      <c r="DY28" s="272">
        <v>107497</v>
      </c>
      <c r="DZ28" s="272">
        <v>447158</v>
      </c>
      <c r="EA28" s="272">
        <v>203789</v>
      </c>
      <c r="EB28" s="272"/>
      <c r="EC28" s="272">
        <v>0</v>
      </c>
      <c r="ED28" s="272">
        <v>34148801</v>
      </c>
      <c r="EF28" s="272">
        <v>679498</v>
      </c>
      <c r="EG28" s="272">
        <v>205002</v>
      </c>
      <c r="EH28" s="272">
        <v>474496</v>
      </c>
      <c r="EI28" s="272">
        <v>-297162</v>
      </c>
      <c r="EJ28" s="272">
        <v>120030</v>
      </c>
      <c r="EL28" s="272"/>
      <c r="EM28" s="272">
        <v>85584</v>
      </c>
      <c r="EN28" s="272">
        <v>491584</v>
      </c>
      <c r="EO28" s="272">
        <v>251939</v>
      </c>
      <c r="EP28" s="455">
        <f t="shared" si="12"/>
        <v>1368504</v>
      </c>
      <c r="EQ28" s="272">
        <v>19921206</v>
      </c>
      <c r="ER28" s="272">
        <v>-2090651</v>
      </c>
      <c r="ES28" s="272">
        <v>7011112</v>
      </c>
      <c r="ET28" s="272">
        <v>5262543</v>
      </c>
      <c r="EU28" s="272">
        <v>587656</v>
      </c>
      <c r="EV28" s="272">
        <v>2484085</v>
      </c>
      <c r="EW28" s="455">
        <f t="shared" si="13"/>
        <v>1828119</v>
      </c>
      <c r="EX28" s="272">
        <v>1828119</v>
      </c>
      <c r="EY28" s="272">
        <v>153900</v>
      </c>
      <c r="EZ28" s="272">
        <v>1669707</v>
      </c>
      <c r="FA28" s="272">
        <v>0</v>
      </c>
      <c r="FB28" s="272"/>
      <c r="FC28" s="272">
        <v>2690014</v>
      </c>
      <c r="FD28" s="272">
        <v>1272524</v>
      </c>
      <c r="FE28" s="272">
        <v>12304</v>
      </c>
      <c r="FF28" s="272">
        <v>3732742</v>
      </c>
      <c r="FG28" s="455">
        <f t="shared" si="14"/>
        <v>1726107</v>
      </c>
      <c r="FH28" s="272">
        <v>21332359</v>
      </c>
      <c r="FI28" s="384">
        <f t="shared" si="15"/>
        <v>2.7</v>
      </c>
      <c r="FJ28" s="272">
        <v>17802265</v>
      </c>
      <c r="FK28" s="272"/>
      <c r="FL28" s="272">
        <v>13396516</v>
      </c>
      <c r="FM28" s="272">
        <v>12790653</v>
      </c>
      <c r="FN28" s="460">
        <v>1.0129999999999999</v>
      </c>
      <c r="FO28" s="388">
        <v>88.8</v>
      </c>
      <c r="FP28" s="388">
        <v>37.9</v>
      </c>
      <c r="FQ28" s="388">
        <v>3.2</v>
      </c>
      <c r="FR28" s="388">
        <v>13.7</v>
      </c>
      <c r="FS28" s="388">
        <v>13.7</v>
      </c>
      <c r="FT28" s="388">
        <v>6.3</v>
      </c>
      <c r="FU28" s="388">
        <v>11.8</v>
      </c>
      <c r="FV28" s="388">
        <v>10.9</v>
      </c>
      <c r="FW28" s="272">
        <v>28788954</v>
      </c>
      <c r="FX28" s="384">
        <f t="shared" si="16"/>
        <v>161.69999999999999</v>
      </c>
      <c r="FY28" s="272">
        <v>11442046</v>
      </c>
      <c r="FZ28" s="272">
        <v>4493793</v>
      </c>
      <c r="GA28" s="272">
        <v>2251104</v>
      </c>
      <c r="GB28" s="272">
        <v>4697149</v>
      </c>
      <c r="GC28" s="272"/>
      <c r="GD28" s="272">
        <v>7269725</v>
      </c>
      <c r="GE28" s="384">
        <f t="shared" si="17"/>
        <v>40.799999999999997</v>
      </c>
      <c r="GF28" s="388">
        <v>98.3</v>
      </c>
      <c r="GG28" s="388">
        <v>38.200000000000003</v>
      </c>
      <c r="GH28" s="388">
        <v>96.7</v>
      </c>
      <c r="GI28" s="272">
        <v>753</v>
      </c>
    </row>
    <row r="29" spans="2:191" x14ac:dyDescent="0.15">
      <c r="B29" s="89" t="s">
        <v>51</v>
      </c>
      <c r="C29" s="272">
        <v>15208289</v>
      </c>
      <c r="D29" s="455">
        <f t="shared" si="0"/>
        <v>4211487</v>
      </c>
      <c r="E29" s="272">
        <v>46248</v>
      </c>
      <c r="F29" s="272">
        <v>4165239</v>
      </c>
      <c r="G29" s="455">
        <f t="shared" si="1"/>
        <v>955621</v>
      </c>
      <c r="H29" s="272">
        <v>123677</v>
      </c>
      <c r="I29" s="272">
        <v>831944</v>
      </c>
      <c r="J29" s="272">
        <v>8013275</v>
      </c>
      <c r="K29" s="272">
        <v>4798636</v>
      </c>
      <c r="L29" s="272">
        <v>1216913</v>
      </c>
      <c r="M29" s="272">
        <v>1962940</v>
      </c>
      <c r="N29" s="272">
        <v>407640</v>
      </c>
      <c r="O29" s="272">
        <v>1572181</v>
      </c>
      <c r="P29" s="272">
        <v>1298363</v>
      </c>
      <c r="Q29" s="272">
        <v>273818</v>
      </c>
      <c r="R29" s="272">
        <v>431317</v>
      </c>
      <c r="S29" s="272">
        <v>283155</v>
      </c>
      <c r="T29" s="455">
        <f t="shared" si="2"/>
        <v>475106</v>
      </c>
      <c r="U29" s="272">
        <v>305475</v>
      </c>
      <c r="V29" s="272"/>
      <c r="W29" s="272"/>
      <c r="X29" s="272"/>
      <c r="Y29" s="272">
        <v>0</v>
      </c>
      <c r="Z29" s="272">
        <v>20616</v>
      </c>
      <c r="AA29" s="272">
        <v>149015</v>
      </c>
      <c r="AB29" s="272"/>
      <c r="AC29" s="272">
        <v>46079</v>
      </c>
      <c r="AD29" s="272">
        <v>0</v>
      </c>
      <c r="AE29" s="272">
        <v>46079</v>
      </c>
      <c r="AF29" s="272">
        <v>13184</v>
      </c>
      <c r="AG29" s="272">
        <v>78158</v>
      </c>
      <c r="AH29" s="455">
        <f t="shared" si="3"/>
        <v>258287</v>
      </c>
      <c r="AI29" s="272">
        <v>242029</v>
      </c>
      <c r="AJ29" s="272">
        <v>16258</v>
      </c>
      <c r="AK29" s="272">
        <v>1420021</v>
      </c>
      <c r="AL29" s="455">
        <f t="shared" si="4"/>
        <v>788651</v>
      </c>
      <c r="AM29" s="272">
        <v>559999</v>
      </c>
      <c r="AN29" s="272">
        <v>119897</v>
      </c>
      <c r="AO29" s="272">
        <v>0</v>
      </c>
      <c r="AP29" s="272">
        <v>108755</v>
      </c>
      <c r="AQ29" s="272">
        <v>155982</v>
      </c>
      <c r="AR29" s="272">
        <v>0</v>
      </c>
      <c r="AS29" s="272">
        <v>0</v>
      </c>
      <c r="AT29" s="272">
        <v>880484</v>
      </c>
      <c r="AU29" s="272">
        <v>299031</v>
      </c>
      <c r="AV29" s="272">
        <v>60472</v>
      </c>
      <c r="AW29" s="272">
        <v>0</v>
      </c>
      <c r="AX29" s="272">
        <v>581453</v>
      </c>
      <c r="AY29" s="272">
        <v>72027</v>
      </c>
      <c r="AZ29" s="272">
        <v>727463</v>
      </c>
      <c r="BA29" s="272">
        <v>84</v>
      </c>
      <c r="BB29" s="272">
        <v>95408</v>
      </c>
      <c r="BC29" s="272">
        <v>3114958</v>
      </c>
      <c r="BD29" s="272">
        <v>600000</v>
      </c>
      <c r="BE29" s="272">
        <v>0</v>
      </c>
      <c r="BF29" s="272">
        <v>2514045</v>
      </c>
      <c r="BG29" s="272">
        <v>0</v>
      </c>
      <c r="BH29" s="272">
        <v>586342</v>
      </c>
      <c r="BI29" s="272">
        <v>330453</v>
      </c>
      <c r="BJ29" s="272">
        <v>244558</v>
      </c>
      <c r="BK29" s="272">
        <v>51700</v>
      </c>
      <c r="BL29" s="272">
        <v>0</v>
      </c>
      <c r="BM29" s="272">
        <v>0</v>
      </c>
      <c r="BN29" s="272">
        <v>1052500</v>
      </c>
      <c r="BO29" s="455">
        <f t="shared" si="5"/>
        <v>1052500</v>
      </c>
      <c r="BP29" s="455">
        <f t="shared" si="6"/>
        <v>0</v>
      </c>
      <c r="BQ29" s="272"/>
      <c r="BR29" s="272"/>
      <c r="BS29" s="272"/>
      <c r="BT29" s="272">
        <v>0</v>
      </c>
      <c r="BU29" s="272">
        <v>24632154</v>
      </c>
      <c r="BV29" s="272"/>
      <c r="BW29" s="272">
        <v>5823698</v>
      </c>
      <c r="BX29" s="272">
        <v>4486408</v>
      </c>
      <c r="BY29" s="272">
        <v>164508</v>
      </c>
      <c r="BZ29" s="272">
        <v>113910</v>
      </c>
      <c r="CA29" s="272">
        <v>1959430</v>
      </c>
      <c r="CB29" s="272">
        <v>240748</v>
      </c>
      <c r="CC29" s="272">
        <v>502849</v>
      </c>
      <c r="CD29" s="272">
        <v>438912</v>
      </c>
      <c r="CE29" s="272">
        <v>748021</v>
      </c>
      <c r="CF29" s="272">
        <v>0</v>
      </c>
      <c r="CG29" s="272">
        <v>28900</v>
      </c>
      <c r="CH29" s="272">
        <v>539624</v>
      </c>
      <c r="CI29" s="272">
        <v>264138</v>
      </c>
      <c r="CJ29" s="455">
        <f t="shared" si="7"/>
        <v>275486</v>
      </c>
      <c r="CK29" s="272">
        <v>2175376</v>
      </c>
      <c r="CL29" s="272">
        <v>1269425</v>
      </c>
      <c r="CM29" s="272">
        <v>58072</v>
      </c>
      <c r="CN29" s="272">
        <v>500661</v>
      </c>
      <c r="CO29" s="272">
        <v>96796</v>
      </c>
      <c r="CP29" s="272">
        <v>2565675</v>
      </c>
      <c r="CQ29" s="272">
        <v>1673166</v>
      </c>
      <c r="CR29" s="272">
        <v>395275</v>
      </c>
      <c r="CS29" s="272">
        <v>395275</v>
      </c>
      <c r="CT29" s="455">
        <f t="shared" si="8"/>
        <v>58047</v>
      </c>
      <c r="CU29" s="272">
        <v>8091</v>
      </c>
      <c r="CV29" s="272">
        <v>49956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7570585</v>
      </c>
      <c r="DD29" s="272">
        <v>340860</v>
      </c>
      <c r="DE29" s="272">
        <v>7229725</v>
      </c>
      <c r="DF29" s="272">
        <v>0</v>
      </c>
      <c r="DG29" s="272">
        <v>0</v>
      </c>
      <c r="DH29" s="272">
        <v>0</v>
      </c>
      <c r="DI29" s="272">
        <v>1398094</v>
      </c>
      <c r="DJ29" s="272">
        <v>289297</v>
      </c>
      <c r="DK29" s="272">
        <v>0</v>
      </c>
      <c r="DL29" s="272">
        <v>1108797</v>
      </c>
      <c r="DM29" s="272">
        <v>1000</v>
      </c>
      <c r="DN29" s="272">
        <v>0</v>
      </c>
      <c r="DO29" s="272">
        <v>0</v>
      </c>
      <c r="DP29" s="272">
        <v>0</v>
      </c>
      <c r="DQ29" s="272">
        <v>55840</v>
      </c>
      <c r="DR29" s="272">
        <v>0</v>
      </c>
      <c r="DS29" s="272">
        <v>0</v>
      </c>
      <c r="DT29" s="272">
        <v>1962418</v>
      </c>
      <c r="DU29" s="272">
        <v>1415843</v>
      </c>
      <c r="DV29" s="455">
        <f t="shared" si="11"/>
        <v>0</v>
      </c>
      <c r="DW29" s="272">
        <v>0</v>
      </c>
      <c r="DX29" s="272">
        <v>0</v>
      </c>
      <c r="DY29" s="272">
        <v>0</v>
      </c>
      <c r="DZ29" s="272">
        <v>344590</v>
      </c>
      <c r="EA29" s="272">
        <v>188256</v>
      </c>
      <c r="EB29" s="272"/>
      <c r="EC29" s="272">
        <v>0</v>
      </c>
      <c r="ED29" s="272">
        <v>24148536</v>
      </c>
      <c r="EF29" s="272">
        <v>483618</v>
      </c>
      <c r="EG29" s="272">
        <v>336214</v>
      </c>
      <c r="EH29" s="272">
        <v>147404</v>
      </c>
      <c r="EI29" s="272">
        <v>-183049</v>
      </c>
      <c r="EJ29" s="272">
        <v>-493752</v>
      </c>
      <c r="EL29" s="272"/>
      <c r="EM29" s="272">
        <v>63621</v>
      </c>
      <c r="EN29" s="272">
        <v>600913</v>
      </c>
      <c r="EO29" s="272">
        <v>10309</v>
      </c>
      <c r="EP29" s="455">
        <f t="shared" si="12"/>
        <v>771777</v>
      </c>
      <c r="EQ29" s="272">
        <v>16173975</v>
      </c>
      <c r="ER29" s="272">
        <v>-1369815</v>
      </c>
      <c r="ES29" s="272">
        <v>5408818</v>
      </c>
      <c r="ET29" s="272">
        <v>4082499</v>
      </c>
      <c r="EU29" s="272">
        <v>637722</v>
      </c>
      <c r="EV29" s="272">
        <v>526158</v>
      </c>
      <c r="EW29" s="455">
        <f t="shared" si="13"/>
        <v>3533927</v>
      </c>
      <c r="EX29" s="272">
        <v>3533927</v>
      </c>
      <c r="EY29" s="272">
        <v>170318</v>
      </c>
      <c r="EZ29" s="272">
        <v>3363609</v>
      </c>
      <c r="FA29" s="272">
        <v>0</v>
      </c>
      <c r="FB29" s="272"/>
      <c r="FC29" s="272">
        <v>1795482</v>
      </c>
      <c r="FD29" s="272">
        <v>2458713</v>
      </c>
      <c r="FE29" s="272">
        <v>1673166</v>
      </c>
      <c r="FF29" s="272">
        <v>1919918</v>
      </c>
      <c r="FG29" s="455">
        <f t="shared" si="14"/>
        <v>783390</v>
      </c>
      <c r="FH29" s="272">
        <v>17064128</v>
      </c>
      <c r="FI29" s="384">
        <f t="shared" si="15"/>
        <v>1.1000000000000001</v>
      </c>
      <c r="FJ29" s="272">
        <v>13956335</v>
      </c>
      <c r="FK29" s="272"/>
      <c r="FL29" s="272">
        <v>10507535</v>
      </c>
      <c r="FM29" s="272">
        <v>8702819</v>
      </c>
      <c r="FN29" s="460">
        <v>1.214</v>
      </c>
      <c r="FO29" s="388">
        <v>80.3</v>
      </c>
      <c r="FP29" s="388">
        <v>36.4</v>
      </c>
      <c r="FQ29" s="388">
        <v>4.4000000000000004</v>
      </c>
      <c r="FR29" s="388">
        <v>3.6</v>
      </c>
      <c r="FS29" s="388">
        <v>12.1</v>
      </c>
      <c r="FT29" s="388">
        <v>16.100000000000001</v>
      </c>
      <c r="FU29" s="388">
        <v>7.1</v>
      </c>
      <c r="FV29" s="388">
        <v>3.2</v>
      </c>
      <c r="FW29" s="272">
        <v>6085502</v>
      </c>
      <c r="FX29" s="384">
        <f t="shared" si="16"/>
        <v>43.6</v>
      </c>
      <c r="FY29" s="272">
        <v>14486839</v>
      </c>
      <c r="FZ29" s="272">
        <v>6204150</v>
      </c>
      <c r="GA29" s="272"/>
      <c r="GB29" s="272">
        <v>8282689</v>
      </c>
      <c r="GC29" s="272"/>
      <c r="GD29" s="272">
        <v>18775980</v>
      </c>
      <c r="GE29" s="384">
        <f t="shared" si="17"/>
        <v>134.5</v>
      </c>
      <c r="GF29" s="388">
        <v>98.3</v>
      </c>
      <c r="GG29" s="388">
        <v>32.799999999999997</v>
      </c>
      <c r="GH29" s="388">
        <v>95.9</v>
      </c>
      <c r="GI29" s="272">
        <v>612</v>
      </c>
    </row>
    <row r="30" spans="2:191" x14ac:dyDescent="0.15">
      <c r="B30" s="89" t="s">
        <v>53</v>
      </c>
      <c r="C30" s="272">
        <v>8988934</v>
      </c>
      <c r="D30" s="455">
        <f t="shared" si="0"/>
        <v>4327501</v>
      </c>
      <c r="E30" s="272">
        <v>47543</v>
      </c>
      <c r="F30" s="272">
        <v>4279958</v>
      </c>
      <c r="G30" s="455">
        <f t="shared" si="1"/>
        <v>685503</v>
      </c>
      <c r="H30" s="272">
        <v>126504</v>
      </c>
      <c r="I30" s="272">
        <v>558999</v>
      </c>
      <c r="J30" s="272">
        <v>2816892</v>
      </c>
      <c r="K30" s="272">
        <v>1466234</v>
      </c>
      <c r="L30" s="272">
        <v>1053422</v>
      </c>
      <c r="M30" s="272">
        <v>288610</v>
      </c>
      <c r="N30" s="272">
        <v>307571</v>
      </c>
      <c r="O30" s="272">
        <v>793960</v>
      </c>
      <c r="P30" s="272">
        <v>554284</v>
      </c>
      <c r="Q30" s="272">
        <v>239676</v>
      </c>
      <c r="R30" s="272">
        <v>400350</v>
      </c>
      <c r="S30" s="272">
        <v>284106</v>
      </c>
      <c r="T30" s="455">
        <f t="shared" si="2"/>
        <v>494409</v>
      </c>
      <c r="U30" s="272">
        <v>334468</v>
      </c>
      <c r="V30" s="272"/>
      <c r="W30" s="272"/>
      <c r="X30" s="272"/>
      <c r="Y30" s="272">
        <v>0</v>
      </c>
      <c r="Z30" s="272">
        <v>1634</v>
      </c>
      <c r="AA30" s="272">
        <v>158307</v>
      </c>
      <c r="AB30" s="272"/>
      <c r="AC30" s="272">
        <v>2631110</v>
      </c>
      <c r="AD30" s="272">
        <v>2420214</v>
      </c>
      <c r="AE30" s="272">
        <v>210896</v>
      </c>
      <c r="AF30" s="272">
        <v>18411</v>
      </c>
      <c r="AG30" s="272">
        <v>92186</v>
      </c>
      <c r="AH30" s="455">
        <f t="shared" si="3"/>
        <v>282500</v>
      </c>
      <c r="AI30" s="272">
        <v>263823</v>
      </c>
      <c r="AJ30" s="272">
        <v>18677</v>
      </c>
      <c r="AK30" s="272">
        <v>1347750</v>
      </c>
      <c r="AL30" s="455">
        <f t="shared" si="4"/>
        <v>744362</v>
      </c>
      <c r="AM30" s="272">
        <v>524016</v>
      </c>
      <c r="AN30" s="272">
        <v>119235</v>
      </c>
      <c r="AO30" s="272">
        <v>0</v>
      </c>
      <c r="AP30" s="272">
        <v>101111</v>
      </c>
      <c r="AQ30" s="272">
        <v>182562</v>
      </c>
      <c r="AR30" s="272">
        <v>0</v>
      </c>
      <c r="AS30" s="272">
        <v>0</v>
      </c>
      <c r="AT30" s="272">
        <v>777638</v>
      </c>
      <c r="AU30" s="272">
        <v>202323</v>
      </c>
      <c r="AV30" s="272">
        <v>60105</v>
      </c>
      <c r="AW30" s="272">
        <v>1559</v>
      </c>
      <c r="AX30" s="272">
        <v>575315</v>
      </c>
      <c r="AY30" s="272">
        <v>154651</v>
      </c>
      <c r="AZ30" s="272">
        <v>303446</v>
      </c>
      <c r="BA30" s="272">
        <v>3020</v>
      </c>
      <c r="BB30" s="272">
        <v>243236</v>
      </c>
      <c r="BC30" s="272">
        <v>993577</v>
      </c>
      <c r="BD30" s="272">
        <v>0</v>
      </c>
      <c r="BE30" s="272">
        <v>85000</v>
      </c>
      <c r="BF30" s="272">
        <v>908577</v>
      </c>
      <c r="BG30" s="272">
        <v>0</v>
      </c>
      <c r="BH30" s="272">
        <v>81675</v>
      </c>
      <c r="BI30" s="272">
        <v>25118</v>
      </c>
      <c r="BJ30" s="272">
        <v>332411</v>
      </c>
      <c r="BK30" s="272">
        <v>20958</v>
      </c>
      <c r="BL30" s="272">
        <v>0</v>
      </c>
      <c r="BM30" s="272">
        <v>0</v>
      </c>
      <c r="BN30" s="272">
        <v>1636400</v>
      </c>
      <c r="BO30" s="455">
        <f t="shared" si="5"/>
        <v>1636400</v>
      </c>
      <c r="BP30" s="455">
        <f t="shared" si="6"/>
        <v>0</v>
      </c>
      <c r="BQ30" s="272"/>
      <c r="BR30" s="272"/>
      <c r="BS30" s="272"/>
      <c r="BT30" s="272">
        <v>0</v>
      </c>
      <c r="BU30" s="272">
        <v>18624033</v>
      </c>
      <c r="BV30" s="272"/>
      <c r="BW30" s="272">
        <v>5087060</v>
      </c>
      <c r="BX30" s="272">
        <v>3866508</v>
      </c>
      <c r="BY30" s="272">
        <v>161352</v>
      </c>
      <c r="BZ30" s="272">
        <v>123606</v>
      </c>
      <c r="CA30" s="272">
        <v>1874967</v>
      </c>
      <c r="CB30" s="272">
        <v>243919</v>
      </c>
      <c r="CC30" s="272">
        <v>566907</v>
      </c>
      <c r="CD30" s="272">
        <v>334838</v>
      </c>
      <c r="CE30" s="272">
        <v>709329</v>
      </c>
      <c r="CF30" s="272">
        <v>0</v>
      </c>
      <c r="CG30" s="272">
        <v>19724</v>
      </c>
      <c r="CH30" s="272">
        <v>993913</v>
      </c>
      <c r="CI30" s="272">
        <v>578916</v>
      </c>
      <c r="CJ30" s="455">
        <f t="shared" si="7"/>
        <v>414997</v>
      </c>
      <c r="CK30" s="272">
        <v>1743117</v>
      </c>
      <c r="CL30" s="272">
        <v>840512</v>
      </c>
      <c r="CM30" s="272">
        <v>168649</v>
      </c>
      <c r="CN30" s="272">
        <v>384031</v>
      </c>
      <c r="CO30" s="272">
        <v>150135</v>
      </c>
      <c r="CP30" s="272">
        <v>2323103</v>
      </c>
      <c r="CQ30" s="272">
        <v>1685212</v>
      </c>
      <c r="CR30" s="272">
        <v>184810</v>
      </c>
      <c r="CS30" s="272">
        <v>151894</v>
      </c>
      <c r="CT30" s="455">
        <f t="shared" si="8"/>
        <v>168160</v>
      </c>
      <c r="CU30" s="272">
        <v>136621</v>
      </c>
      <c r="CV30" s="272">
        <v>31539</v>
      </c>
      <c r="CW30" s="455">
        <f t="shared" si="9"/>
        <v>160986</v>
      </c>
      <c r="CX30" s="272">
        <v>132844</v>
      </c>
      <c r="CY30" s="272">
        <v>28142</v>
      </c>
      <c r="CZ30" s="455">
        <f t="shared" si="10"/>
        <v>0</v>
      </c>
      <c r="DA30" s="272">
        <v>0</v>
      </c>
      <c r="DB30" s="272">
        <v>0</v>
      </c>
      <c r="DC30" s="272">
        <v>3856663</v>
      </c>
      <c r="DD30" s="272">
        <v>292554</v>
      </c>
      <c r="DE30" s="272">
        <v>3564109</v>
      </c>
      <c r="DF30" s="272">
        <v>0</v>
      </c>
      <c r="DG30" s="272">
        <v>0</v>
      </c>
      <c r="DH30" s="272">
        <v>0</v>
      </c>
      <c r="DI30" s="272">
        <v>795627</v>
      </c>
      <c r="DJ30" s="272">
        <v>29250</v>
      </c>
      <c r="DK30" s="272">
        <v>34883</v>
      </c>
      <c r="DL30" s="272">
        <v>731494</v>
      </c>
      <c r="DM30" s="272">
        <v>1000</v>
      </c>
      <c r="DN30" s="272">
        <v>0</v>
      </c>
      <c r="DO30" s="272">
        <v>0</v>
      </c>
      <c r="DP30" s="272">
        <v>0</v>
      </c>
      <c r="DQ30" s="272">
        <v>20000</v>
      </c>
      <c r="DR30" s="272">
        <v>0</v>
      </c>
      <c r="DS30" s="272">
        <v>0</v>
      </c>
      <c r="DT30" s="272">
        <v>1717697</v>
      </c>
      <c r="DU30" s="272">
        <v>1242513</v>
      </c>
      <c r="DV30" s="455">
        <f t="shared" si="11"/>
        <v>0</v>
      </c>
      <c r="DW30" s="272">
        <v>0</v>
      </c>
      <c r="DX30" s="272">
        <v>0</v>
      </c>
      <c r="DY30" s="272">
        <v>0</v>
      </c>
      <c r="DZ30" s="272">
        <v>273013</v>
      </c>
      <c r="EA30" s="272">
        <v>202134</v>
      </c>
      <c r="EB30" s="272"/>
      <c r="EC30" s="272">
        <v>0</v>
      </c>
      <c r="ED30" s="272">
        <v>18563282</v>
      </c>
      <c r="EF30" s="272">
        <v>60751</v>
      </c>
      <c r="EG30" s="272">
        <v>19817</v>
      </c>
      <c r="EH30" s="272">
        <v>40934</v>
      </c>
      <c r="EI30" s="272">
        <v>-10684</v>
      </c>
      <c r="EJ30" s="272">
        <v>18566</v>
      </c>
      <c r="EL30" s="272"/>
      <c r="EM30" s="272">
        <v>65599</v>
      </c>
      <c r="EN30" s="272">
        <v>85000</v>
      </c>
      <c r="EO30" s="272">
        <v>4890</v>
      </c>
      <c r="EP30" s="455">
        <f t="shared" si="12"/>
        <v>440561</v>
      </c>
      <c r="EQ30" s="272">
        <v>12533214</v>
      </c>
      <c r="ER30" s="272">
        <v>-512040</v>
      </c>
      <c r="ES30" s="272">
        <v>4714291</v>
      </c>
      <c r="ET30" s="272">
        <v>3560677</v>
      </c>
      <c r="EU30" s="272">
        <v>621129</v>
      </c>
      <c r="EV30" s="272">
        <v>961744</v>
      </c>
      <c r="EW30" s="455">
        <f t="shared" si="13"/>
        <v>758938</v>
      </c>
      <c r="EX30" s="272">
        <v>758938</v>
      </c>
      <c r="EY30" s="272">
        <v>53032</v>
      </c>
      <c r="EZ30" s="272">
        <v>705906</v>
      </c>
      <c r="FA30" s="272">
        <v>0</v>
      </c>
      <c r="FB30" s="272"/>
      <c r="FC30" s="272">
        <v>1364252</v>
      </c>
      <c r="FD30" s="272">
        <v>2224080</v>
      </c>
      <c r="FE30" s="272">
        <v>1685212</v>
      </c>
      <c r="FF30" s="272">
        <v>1690576</v>
      </c>
      <c r="FG30" s="455">
        <f t="shared" si="14"/>
        <v>668243</v>
      </c>
      <c r="FH30" s="272">
        <v>13003253</v>
      </c>
      <c r="FI30" s="384">
        <f t="shared" si="15"/>
        <v>0.4</v>
      </c>
      <c r="FJ30" s="272">
        <v>11315885</v>
      </c>
      <c r="FK30" s="272"/>
      <c r="FL30" s="272">
        <v>6704918</v>
      </c>
      <c r="FM30" s="272">
        <v>9139851</v>
      </c>
      <c r="FN30" s="460">
        <v>0.75900000000000001</v>
      </c>
      <c r="FO30" s="388">
        <v>88.3</v>
      </c>
      <c r="FP30" s="388">
        <v>39.799999999999997</v>
      </c>
      <c r="FQ30" s="388">
        <v>5.0999999999999996</v>
      </c>
      <c r="FR30" s="388">
        <v>8.3000000000000007</v>
      </c>
      <c r="FS30" s="388">
        <v>10.199999999999999</v>
      </c>
      <c r="FT30" s="388">
        <v>17.3</v>
      </c>
      <c r="FU30" s="388">
        <v>6.2</v>
      </c>
      <c r="FV30" s="388">
        <v>7.5</v>
      </c>
      <c r="FW30" s="272">
        <v>8654478</v>
      </c>
      <c r="FX30" s="384">
        <f t="shared" si="16"/>
        <v>76.5</v>
      </c>
      <c r="FY30" s="272">
        <v>9039439</v>
      </c>
      <c r="FZ30" s="272">
        <v>897368</v>
      </c>
      <c r="GA30" s="272">
        <v>1056694</v>
      </c>
      <c r="GB30" s="272">
        <v>7085377</v>
      </c>
      <c r="GC30" s="272"/>
      <c r="GD30" s="272">
        <v>1267235</v>
      </c>
      <c r="GE30" s="384">
        <f t="shared" si="17"/>
        <v>11.2</v>
      </c>
      <c r="GF30" s="388">
        <v>96.3</v>
      </c>
      <c r="GG30" s="388">
        <v>19.2</v>
      </c>
      <c r="GH30" s="388">
        <v>91.1</v>
      </c>
      <c r="GI30" s="272">
        <v>567</v>
      </c>
    </row>
    <row r="31" spans="2:191" x14ac:dyDescent="0.15">
      <c r="B31" s="89" t="s">
        <v>55</v>
      </c>
      <c r="C31" s="272">
        <v>88081433</v>
      </c>
      <c r="D31" s="455">
        <f t="shared" si="0"/>
        <v>30727944</v>
      </c>
      <c r="E31" s="272">
        <v>474382</v>
      </c>
      <c r="F31" s="272">
        <v>30253562</v>
      </c>
      <c r="G31" s="455">
        <f t="shared" si="1"/>
        <v>9307950</v>
      </c>
      <c r="H31" s="272">
        <v>1201787</v>
      </c>
      <c r="I31" s="272">
        <v>8106163</v>
      </c>
      <c r="J31" s="272">
        <v>33202271</v>
      </c>
      <c r="K31" s="272">
        <v>18065730</v>
      </c>
      <c r="L31" s="272">
        <v>10358101</v>
      </c>
      <c r="M31" s="272">
        <v>4657250</v>
      </c>
      <c r="N31" s="272">
        <v>2995662</v>
      </c>
      <c r="O31" s="272">
        <v>8173072</v>
      </c>
      <c r="P31" s="272">
        <v>5812293</v>
      </c>
      <c r="Q31" s="272">
        <v>2360779</v>
      </c>
      <c r="R31" s="272">
        <v>3621458</v>
      </c>
      <c r="S31" s="272">
        <v>2748985</v>
      </c>
      <c r="T31" s="455">
        <f t="shared" si="2"/>
        <v>3588744</v>
      </c>
      <c r="U31" s="272">
        <v>2383601</v>
      </c>
      <c r="V31" s="272"/>
      <c r="W31" s="272"/>
      <c r="X31" s="272"/>
      <c r="Y31" s="272">
        <v>0</v>
      </c>
      <c r="Z31" s="272">
        <v>18369</v>
      </c>
      <c r="AA31" s="272">
        <v>1186774</v>
      </c>
      <c r="AB31" s="272"/>
      <c r="AC31" s="272">
        <v>1320956</v>
      </c>
      <c r="AD31" s="272">
        <v>422993</v>
      </c>
      <c r="AE31" s="272">
        <v>897963</v>
      </c>
      <c r="AF31" s="272">
        <v>118225</v>
      </c>
      <c r="AG31" s="272">
        <v>6648264</v>
      </c>
      <c r="AH31" s="455">
        <f t="shared" si="3"/>
        <v>2131405</v>
      </c>
      <c r="AI31" s="272">
        <v>1417606</v>
      </c>
      <c r="AJ31" s="272">
        <v>713799</v>
      </c>
      <c r="AK31" s="272">
        <v>22311454</v>
      </c>
      <c r="AL31" s="455">
        <f t="shared" si="4"/>
        <v>10349916</v>
      </c>
      <c r="AM31" s="272">
        <v>8603621</v>
      </c>
      <c r="AN31" s="272">
        <v>1045353</v>
      </c>
      <c r="AO31" s="272">
        <v>106098</v>
      </c>
      <c r="AP31" s="272">
        <v>594844</v>
      </c>
      <c r="AQ31" s="272">
        <v>7794014</v>
      </c>
      <c r="AR31" s="272">
        <v>0</v>
      </c>
      <c r="AS31" s="272">
        <v>0</v>
      </c>
      <c r="AT31" s="272">
        <v>8779322</v>
      </c>
      <c r="AU31" s="272">
        <v>2870475</v>
      </c>
      <c r="AV31" s="272">
        <v>515595</v>
      </c>
      <c r="AW31" s="272">
        <v>74366</v>
      </c>
      <c r="AX31" s="272">
        <v>5908847</v>
      </c>
      <c r="AY31" s="272">
        <v>1510520</v>
      </c>
      <c r="AZ31" s="272">
        <v>844766</v>
      </c>
      <c r="BA31" s="272">
        <v>160989</v>
      </c>
      <c r="BB31" s="272">
        <v>1268596</v>
      </c>
      <c r="BC31" s="272">
        <v>3218360</v>
      </c>
      <c r="BD31" s="272">
        <v>1673500</v>
      </c>
      <c r="BE31" s="272">
        <v>0</v>
      </c>
      <c r="BF31" s="272">
        <v>1342100</v>
      </c>
      <c r="BG31" s="272">
        <v>0</v>
      </c>
      <c r="BH31" s="272">
        <v>5355036</v>
      </c>
      <c r="BI31" s="272">
        <v>3471514</v>
      </c>
      <c r="BJ31" s="272">
        <v>4891259</v>
      </c>
      <c r="BK31" s="272">
        <v>2843715</v>
      </c>
      <c r="BL31" s="272">
        <v>100133</v>
      </c>
      <c r="BM31" s="272">
        <v>592638</v>
      </c>
      <c r="BN31" s="272">
        <v>17977681</v>
      </c>
      <c r="BO31" s="455">
        <f t="shared" si="5"/>
        <v>17977681</v>
      </c>
      <c r="BP31" s="455">
        <f t="shared" si="6"/>
        <v>0</v>
      </c>
      <c r="BQ31" s="272"/>
      <c r="BR31" s="272"/>
      <c r="BS31" s="272"/>
      <c r="BT31" s="272">
        <v>0</v>
      </c>
      <c r="BU31" s="272">
        <v>170156959</v>
      </c>
      <c r="BV31" s="272"/>
      <c r="BW31" s="272">
        <v>45732798</v>
      </c>
      <c r="BX31" s="272">
        <v>35535805</v>
      </c>
      <c r="BY31" s="272">
        <v>2940878</v>
      </c>
      <c r="BZ31" s="272">
        <v>571357</v>
      </c>
      <c r="CA31" s="272">
        <v>24805894</v>
      </c>
      <c r="CB31" s="272">
        <v>1802567</v>
      </c>
      <c r="CC31" s="272">
        <v>3187645</v>
      </c>
      <c r="CD31" s="272">
        <v>3938233</v>
      </c>
      <c r="CE31" s="272">
        <v>11708852</v>
      </c>
      <c r="CF31" s="272">
        <v>3847744</v>
      </c>
      <c r="CG31" s="272">
        <v>320853</v>
      </c>
      <c r="CH31" s="272">
        <v>14705334</v>
      </c>
      <c r="CI31" s="272">
        <v>7389680</v>
      </c>
      <c r="CJ31" s="455">
        <f t="shared" si="7"/>
        <v>7315654</v>
      </c>
      <c r="CK31" s="272">
        <v>11771552</v>
      </c>
      <c r="CL31" s="272">
        <v>5987951</v>
      </c>
      <c r="CM31" s="272">
        <v>806304</v>
      </c>
      <c r="CN31" s="272">
        <v>2596807</v>
      </c>
      <c r="CO31" s="272">
        <v>1155982</v>
      </c>
      <c r="CP31" s="272">
        <v>10602600</v>
      </c>
      <c r="CQ31" s="272">
        <v>4814108</v>
      </c>
      <c r="CR31" s="272">
        <v>2834399</v>
      </c>
      <c r="CS31" s="272">
        <v>2507030</v>
      </c>
      <c r="CT31" s="455">
        <f t="shared" si="8"/>
        <v>1357285</v>
      </c>
      <c r="CU31" s="272">
        <v>437376</v>
      </c>
      <c r="CV31" s="272">
        <v>919909</v>
      </c>
      <c r="CW31" s="455">
        <f t="shared" si="9"/>
        <v>1266524</v>
      </c>
      <c r="CX31" s="272">
        <v>346615</v>
      </c>
      <c r="CY31" s="272">
        <v>919909</v>
      </c>
      <c r="CZ31" s="455">
        <f t="shared" si="10"/>
        <v>0</v>
      </c>
      <c r="DA31" s="272">
        <v>0</v>
      </c>
      <c r="DB31" s="272">
        <v>0</v>
      </c>
      <c r="DC31" s="272">
        <v>36525392</v>
      </c>
      <c r="DD31" s="272">
        <v>15190953</v>
      </c>
      <c r="DE31" s="272">
        <v>19834677</v>
      </c>
      <c r="DF31" s="272">
        <v>67972</v>
      </c>
      <c r="DG31" s="272">
        <v>1386598</v>
      </c>
      <c r="DH31" s="272">
        <v>0</v>
      </c>
      <c r="DI31" s="272">
        <v>4223700</v>
      </c>
      <c r="DJ31" s="272">
        <v>1674500</v>
      </c>
      <c r="DK31" s="272">
        <v>0</v>
      </c>
      <c r="DL31" s="272">
        <v>2549200</v>
      </c>
      <c r="DM31" s="272">
        <v>336476</v>
      </c>
      <c r="DN31" s="272">
        <v>233476</v>
      </c>
      <c r="DO31" s="272">
        <v>0</v>
      </c>
      <c r="DP31" s="272">
        <v>233476</v>
      </c>
      <c r="DQ31" s="272">
        <v>3400171</v>
      </c>
      <c r="DR31" s="272">
        <v>0</v>
      </c>
      <c r="DS31" s="272">
        <v>0</v>
      </c>
      <c r="DT31" s="272">
        <v>13840872</v>
      </c>
      <c r="DU31" s="272">
        <v>7779199</v>
      </c>
      <c r="DV31" s="455">
        <f t="shared" si="11"/>
        <v>0</v>
      </c>
      <c r="DW31" s="272">
        <v>0</v>
      </c>
      <c r="DX31" s="272">
        <v>0</v>
      </c>
      <c r="DY31" s="272">
        <v>0</v>
      </c>
      <c r="DZ31" s="272">
        <v>4480000</v>
      </c>
      <c r="EA31" s="272">
        <v>1573777</v>
      </c>
      <c r="EB31" s="272"/>
      <c r="EC31" s="272">
        <v>0</v>
      </c>
      <c r="ED31" s="272">
        <v>167100771</v>
      </c>
      <c r="EF31" s="272">
        <v>3056188</v>
      </c>
      <c r="EG31" s="272">
        <v>817010</v>
      </c>
      <c r="EH31" s="272">
        <v>2239178</v>
      </c>
      <c r="EI31" s="272">
        <v>-1232336</v>
      </c>
      <c r="EJ31" s="272">
        <v>-1231336</v>
      </c>
      <c r="EL31" s="272"/>
      <c r="EM31" s="272">
        <v>495005</v>
      </c>
      <c r="EN31" s="272">
        <v>1673500</v>
      </c>
      <c r="EO31" s="272">
        <v>48027</v>
      </c>
      <c r="EP31" s="455">
        <f t="shared" si="12"/>
        <v>8403888</v>
      </c>
      <c r="EQ31" s="272">
        <v>96730816</v>
      </c>
      <c r="ER31" s="272">
        <v>-10007190</v>
      </c>
      <c r="ES31" s="272">
        <v>43208251</v>
      </c>
      <c r="ET31" s="272">
        <v>33218775</v>
      </c>
      <c r="EU31" s="272">
        <v>6088538</v>
      </c>
      <c r="EV31" s="272">
        <v>12636740</v>
      </c>
      <c r="EW31" s="455">
        <f t="shared" si="13"/>
        <v>4707465</v>
      </c>
      <c r="EX31" s="272">
        <v>4707465</v>
      </c>
      <c r="EY31" s="272">
        <v>579201</v>
      </c>
      <c r="EZ31" s="272">
        <v>4081300</v>
      </c>
      <c r="FA31" s="272">
        <v>0</v>
      </c>
      <c r="FB31" s="272"/>
      <c r="FC31" s="272">
        <v>9101900</v>
      </c>
      <c r="FD31" s="272">
        <v>10000744</v>
      </c>
      <c r="FE31" s="272">
        <v>4814108</v>
      </c>
      <c r="FF31" s="272">
        <v>13517911</v>
      </c>
      <c r="FG31" s="455">
        <f t="shared" si="14"/>
        <v>4530769</v>
      </c>
      <c r="FH31" s="272">
        <v>103792318</v>
      </c>
      <c r="FI31" s="384">
        <f t="shared" si="15"/>
        <v>2.6</v>
      </c>
      <c r="FJ31" s="272">
        <v>87206923</v>
      </c>
      <c r="FK31" s="272"/>
      <c r="FL31" s="272">
        <v>65334609</v>
      </c>
      <c r="FM31" s="272">
        <v>65869512</v>
      </c>
      <c r="FN31" s="460">
        <v>1.004</v>
      </c>
      <c r="FO31" s="388">
        <v>97.8</v>
      </c>
      <c r="FP31" s="388">
        <v>48</v>
      </c>
      <c r="FQ31" s="388">
        <v>6.9</v>
      </c>
      <c r="FR31" s="388">
        <v>13</v>
      </c>
      <c r="FS31" s="388">
        <v>9.1999999999999993</v>
      </c>
      <c r="FT31" s="388">
        <v>9.1999999999999993</v>
      </c>
      <c r="FU31" s="388">
        <v>10.199999999999999</v>
      </c>
      <c r="FV31" s="388">
        <v>11.9</v>
      </c>
      <c r="FW31" s="272">
        <v>120555287</v>
      </c>
      <c r="FX31" s="384">
        <f t="shared" si="16"/>
        <v>138.19999999999999</v>
      </c>
      <c r="FY31" s="272">
        <v>15263971</v>
      </c>
      <c r="FZ31" s="272">
        <v>1674500</v>
      </c>
      <c r="GA31" s="272"/>
      <c r="GB31" s="272">
        <v>13589471</v>
      </c>
      <c r="GC31" s="272"/>
      <c r="GD31" s="272">
        <v>44042319</v>
      </c>
      <c r="GE31" s="384">
        <f t="shared" si="17"/>
        <v>50.5</v>
      </c>
      <c r="GF31" s="388">
        <v>95.7</v>
      </c>
      <c r="GG31" s="388">
        <v>36.1</v>
      </c>
      <c r="GH31" s="388">
        <v>92.1</v>
      </c>
      <c r="GI31" s="272">
        <v>4268</v>
      </c>
    </row>
    <row r="32" spans="2:191" x14ac:dyDescent="0.15">
      <c r="B32" s="89" t="s">
        <v>57</v>
      </c>
      <c r="C32" s="272">
        <v>7777419</v>
      </c>
      <c r="D32" s="455">
        <f t="shared" si="0"/>
        <v>3001440</v>
      </c>
      <c r="E32" s="272">
        <v>37878</v>
      </c>
      <c r="F32" s="272">
        <v>2963562</v>
      </c>
      <c r="G32" s="455">
        <f t="shared" si="1"/>
        <v>361567</v>
      </c>
      <c r="H32" s="272">
        <v>91541</v>
      </c>
      <c r="I32" s="272">
        <v>270026</v>
      </c>
      <c r="J32" s="272">
        <v>3351767</v>
      </c>
      <c r="K32" s="272">
        <v>2053534</v>
      </c>
      <c r="L32" s="272">
        <v>948604</v>
      </c>
      <c r="M32" s="272">
        <v>341650</v>
      </c>
      <c r="N32" s="272">
        <v>240677</v>
      </c>
      <c r="O32" s="272">
        <v>597072</v>
      </c>
      <c r="P32" s="272">
        <v>403936</v>
      </c>
      <c r="Q32" s="272">
        <v>193136</v>
      </c>
      <c r="R32" s="272">
        <v>359440</v>
      </c>
      <c r="S32" s="272">
        <v>245200</v>
      </c>
      <c r="T32" s="455">
        <f t="shared" si="2"/>
        <v>477136</v>
      </c>
      <c r="U32" s="272">
        <v>226220</v>
      </c>
      <c r="V32" s="272"/>
      <c r="W32" s="272"/>
      <c r="X32" s="272"/>
      <c r="Y32" s="272">
        <v>94209</v>
      </c>
      <c r="Z32" s="272">
        <v>1143</v>
      </c>
      <c r="AA32" s="272">
        <v>155564</v>
      </c>
      <c r="AB32" s="272"/>
      <c r="AC32" s="272">
        <v>2438200</v>
      </c>
      <c r="AD32" s="272">
        <v>1989919</v>
      </c>
      <c r="AE32" s="272">
        <v>448281</v>
      </c>
      <c r="AF32" s="272">
        <v>13525</v>
      </c>
      <c r="AG32" s="272">
        <v>54022</v>
      </c>
      <c r="AH32" s="455">
        <f t="shared" si="3"/>
        <v>287934</v>
      </c>
      <c r="AI32" s="272">
        <v>133112</v>
      </c>
      <c r="AJ32" s="272">
        <v>154822</v>
      </c>
      <c r="AK32" s="272">
        <v>2004242</v>
      </c>
      <c r="AL32" s="455">
        <f t="shared" si="4"/>
        <v>1000159</v>
      </c>
      <c r="AM32" s="272">
        <v>836950</v>
      </c>
      <c r="AN32" s="272">
        <v>102971</v>
      </c>
      <c r="AO32" s="272">
        <v>0</v>
      </c>
      <c r="AP32" s="272">
        <v>60238</v>
      </c>
      <c r="AQ32" s="272">
        <v>431881</v>
      </c>
      <c r="AR32" s="272">
        <v>0</v>
      </c>
      <c r="AS32" s="272">
        <v>0</v>
      </c>
      <c r="AT32" s="272">
        <v>926784</v>
      </c>
      <c r="AU32" s="272">
        <v>302344</v>
      </c>
      <c r="AV32" s="272">
        <v>51259</v>
      </c>
      <c r="AW32" s="272">
        <v>81637</v>
      </c>
      <c r="AX32" s="272">
        <v>624440</v>
      </c>
      <c r="AY32" s="272">
        <v>203909</v>
      </c>
      <c r="AZ32" s="272">
        <v>561104</v>
      </c>
      <c r="BA32" s="272">
        <v>446418</v>
      </c>
      <c r="BB32" s="272">
        <v>147602</v>
      </c>
      <c r="BC32" s="272">
        <v>2925982</v>
      </c>
      <c r="BD32" s="272">
        <v>0</v>
      </c>
      <c r="BE32" s="272">
        <v>450000</v>
      </c>
      <c r="BF32" s="272">
        <v>1833102</v>
      </c>
      <c r="BG32" s="272">
        <v>0</v>
      </c>
      <c r="BH32" s="272">
        <v>91461</v>
      </c>
      <c r="BI32" s="272">
        <v>34811</v>
      </c>
      <c r="BJ32" s="272">
        <v>512127</v>
      </c>
      <c r="BK32" s="272">
        <v>1800</v>
      </c>
      <c r="BL32" s="272">
        <v>0</v>
      </c>
      <c r="BM32" s="272">
        <v>0</v>
      </c>
      <c r="BN32" s="272">
        <v>2763392</v>
      </c>
      <c r="BO32" s="455">
        <f t="shared" si="5"/>
        <v>2763392</v>
      </c>
      <c r="BP32" s="455">
        <f t="shared" si="6"/>
        <v>0</v>
      </c>
      <c r="BQ32" s="272"/>
      <c r="BR32" s="272"/>
      <c r="BS32" s="272"/>
      <c r="BT32" s="272">
        <v>0</v>
      </c>
      <c r="BU32" s="272">
        <v>21340370</v>
      </c>
      <c r="BV32" s="272"/>
      <c r="BW32" s="272">
        <v>5362380</v>
      </c>
      <c r="BX32" s="272">
        <v>4007129</v>
      </c>
      <c r="BY32" s="272">
        <v>180257</v>
      </c>
      <c r="BZ32" s="272">
        <v>186225</v>
      </c>
      <c r="CA32" s="272">
        <v>1982912</v>
      </c>
      <c r="CB32" s="272">
        <v>217944</v>
      </c>
      <c r="CC32" s="272">
        <v>371808</v>
      </c>
      <c r="CD32" s="272">
        <v>236107</v>
      </c>
      <c r="CE32" s="272">
        <v>1120334</v>
      </c>
      <c r="CF32" s="272">
        <v>0</v>
      </c>
      <c r="CG32" s="272">
        <v>36669</v>
      </c>
      <c r="CH32" s="272">
        <v>1879799</v>
      </c>
      <c r="CI32" s="272">
        <v>971107</v>
      </c>
      <c r="CJ32" s="455">
        <f t="shared" si="7"/>
        <v>908692</v>
      </c>
      <c r="CK32" s="272">
        <v>2078734</v>
      </c>
      <c r="CL32" s="272">
        <v>1029042</v>
      </c>
      <c r="CM32" s="272">
        <v>129595</v>
      </c>
      <c r="CN32" s="272">
        <v>530724</v>
      </c>
      <c r="CO32" s="272">
        <v>166411</v>
      </c>
      <c r="CP32" s="272">
        <v>1166931</v>
      </c>
      <c r="CQ32" s="272">
        <v>606031</v>
      </c>
      <c r="CR32" s="272">
        <v>294869</v>
      </c>
      <c r="CS32" s="272">
        <v>205564</v>
      </c>
      <c r="CT32" s="455">
        <f t="shared" si="8"/>
        <v>11597</v>
      </c>
      <c r="CU32" s="272">
        <v>3797</v>
      </c>
      <c r="CV32" s="272">
        <v>7800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6052331</v>
      </c>
      <c r="DD32" s="272">
        <v>1012012</v>
      </c>
      <c r="DE32" s="272">
        <v>4968326</v>
      </c>
      <c r="DF32" s="272">
        <v>71993</v>
      </c>
      <c r="DG32" s="272">
        <v>0</v>
      </c>
      <c r="DH32" s="272">
        <v>0</v>
      </c>
      <c r="DI32" s="272">
        <v>1565779</v>
      </c>
      <c r="DJ32" s="272">
        <v>0</v>
      </c>
      <c r="DK32" s="272">
        <v>29819</v>
      </c>
      <c r="DL32" s="272">
        <v>1535960</v>
      </c>
      <c r="DM32" s="272">
        <v>33000</v>
      </c>
      <c r="DN32" s="272">
        <v>31000</v>
      </c>
      <c r="DO32" s="272">
        <v>31000</v>
      </c>
      <c r="DP32" s="272">
        <v>0</v>
      </c>
      <c r="DQ32" s="272">
        <v>0</v>
      </c>
      <c r="DR32" s="272">
        <v>0</v>
      </c>
      <c r="DS32" s="272">
        <v>0</v>
      </c>
      <c r="DT32" s="272">
        <v>956422</v>
      </c>
      <c r="DU32" s="272">
        <v>368700</v>
      </c>
      <c r="DV32" s="455">
        <f t="shared" si="11"/>
        <v>0</v>
      </c>
      <c r="DW32" s="272">
        <v>0</v>
      </c>
      <c r="DX32" s="272">
        <v>0</v>
      </c>
      <c r="DY32" s="272">
        <v>0</v>
      </c>
      <c r="DZ32" s="272">
        <v>417437</v>
      </c>
      <c r="EA32" s="272">
        <v>170285</v>
      </c>
      <c r="EB32" s="272"/>
      <c r="EC32" s="272">
        <v>0</v>
      </c>
      <c r="ED32" s="272">
        <v>21244699</v>
      </c>
      <c r="EF32" s="272">
        <v>95671</v>
      </c>
      <c r="EG32" s="272">
        <v>55707</v>
      </c>
      <c r="EH32" s="272">
        <v>39964</v>
      </c>
      <c r="EI32" s="272">
        <v>5153</v>
      </c>
      <c r="EJ32" s="272">
        <v>5153</v>
      </c>
      <c r="EL32" s="272"/>
      <c r="EM32" s="272">
        <v>60884</v>
      </c>
      <c r="EN32" s="272">
        <v>1049165</v>
      </c>
      <c r="EO32" s="272">
        <v>457708</v>
      </c>
      <c r="EP32" s="455">
        <f t="shared" si="12"/>
        <v>357646</v>
      </c>
      <c r="EQ32" s="272">
        <v>11065720</v>
      </c>
      <c r="ER32" s="272">
        <v>-1850994</v>
      </c>
      <c r="ES32" s="272">
        <v>4997847</v>
      </c>
      <c r="ET32" s="272">
        <v>3642596</v>
      </c>
      <c r="EU32" s="272">
        <v>588146</v>
      </c>
      <c r="EV32" s="272">
        <v>1671128</v>
      </c>
      <c r="EW32" s="455">
        <f t="shared" si="13"/>
        <v>331174</v>
      </c>
      <c r="EX32" s="272">
        <v>331174</v>
      </c>
      <c r="EY32" s="272">
        <v>6498</v>
      </c>
      <c r="EZ32" s="272">
        <v>324639</v>
      </c>
      <c r="FA32" s="272">
        <v>0</v>
      </c>
      <c r="FB32" s="272"/>
      <c r="FC32" s="272">
        <v>1671879</v>
      </c>
      <c r="FD32" s="272">
        <v>1010605</v>
      </c>
      <c r="FE32" s="272">
        <v>507371</v>
      </c>
      <c r="FF32" s="272">
        <v>919320</v>
      </c>
      <c r="FG32" s="455">
        <f t="shared" si="14"/>
        <v>1630944</v>
      </c>
      <c r="FH32" s="272">
        <v>12821043</v>
      </c>
      <c r="FI32" s="384">
        <f t="shared" si="15"/>
        <v>0.4</v>
      </c>
      <c r="FJ32" s="272">
        <v>10054547</v>
      </c>
      <c r="FK32" s="272"/>
      <c r="FL32" s="272">
        <v>6080127</v>
      </c>
      <c r="FM32" s="272">
        <v>8073897</v>
      </c>
      <c r="FN32" s="460">
        <v>0.71499999999999997</v>
      </c>
      <c r="FO32" s="388">
        <v>97.2</v>
      </c>
      <c r="FP32" s="388">
        <v>49.4</v>
      </c>
      <c r="FQ32" s="388">
        <v>5.8</v>
      </c>
      <c r="FR32" s="388">
        <v>16.600000000000001</v>
      </c>
      <c r="FS32" s="388">
        <v>11.5</v>
      </c>
      <c r="FT32" s="388">
        <v>8.6</v>
      </c>
      <c r="FU32" s="388">
        <v>3.7</v>
      </c>
      <c r="FV32" s="388">
        <v>13.9</v>
      </c>
      <c r="FW32" s="272">
        <v>16183736</v>
      </c>
      <c r="FX32" s="384">
        <f t="shared" si="16"/>
        <v>161</v>
      </c>
      <c r="FY32" s="272">
        <v>3618094</v>
      </c>
      <c r="FZ32" s="272"/>
      <c r="GA32" s="272">
        <v>820130</v>
      </c>
      <c r="GB32" s="272">
        <v>2797964</v>
      </c>
      <c r="GC32" s="272"/>
      <c r="GD32" s="272">
        <v>8636167</v>
      </c>
      <c r="GE32" s="384">
        <f t="shared" si="17"/>
        <v>85.9</v>
      </c>
      <c r="GF32" s="388">
        <v>95.6</v>
      </c>
      <c r="GG32" s="388">
        <v>19.899999999999999</v>
      </c>
      <c r="GH32" s="388">
        <v>89.1</v>
      </c>
      <c r="GI32" s="272">
        <v>624</v>
      </c>
    </row>
    <row r="33" spans="2:191" x14ac:dyDescent="0.15">
      <c r="B33" s="89" t="s">
        <v>59</v>
      </c>
      <c r="C33" s="272">
        <v>6518197</v>
      </c>
      <c r="D33" s="455">
        <f t="shared" si="0"/>
        <v>3074804</v>
      </c>
      <c r="E33" s="272">
        <v>38211</v>
      </c>
      <c r="F33" s="272">
        <v>3036593</v>
      </c>
      <c r="G33" s="455">
        <f t="shared" si="1"/>
        <v>330294</v>
      </c>
      <c r="H33" s="272">
        <v>75601</v>
      </c>
      <c r="I33" s="272">
        <v>254693</v>
      </c>
      <c r="J33" s="272">
        <v>2289588</v>
      </c>
      <c r="K33" s="272">
        <v>1280992</v>
      </c>
      <c r="L33" s="272">
        <v>759188</v>
      </c>
      <c r="M33" s="272">
        <v>238925</v>
      </c>
      <c r="N33" s="272">
        <v>218175</v>
      </c>
      <c r="O33" s="272">
        <v>552913</v>
      </c>
      <c r="P33" s="272">
        <v>400989</v>
      </c>
      <c r="Q33" s="272">
        <v>151924</v>
      </c>
      <c r="R33" s="272">
        <v>291600</v>
      </c>
      <c r="S33" s="272">
        <v>202407</v>
      </c>
      <c r="T33" s="455">
        <f t="shared" si="2"/>
        <v>399880</v>
      </c>
      <c r="U33" s="272">
        <v>218828</v>
      </c>
      <c r="V33" s="272"/>
      <c r="W33" s="272"/>
      <c r="X33" s="272"/>
      <c r="Y33" s="272">
        <v>59295</v>
      </c>
      <c r="Z33" s="272">
        <v>308</v>
      </c>
      <c r="AA33" s="272">
        <v>121449</v>
      </c>
      <c r="AB33" s="272"/>
      <c r="AC33" s="272">
        <v>2734900</v>
      </c>
      <c r="AD33" s="272">
        <v>2451406</v>
      </c>
      <c r="AE33" s="272">
        <v>283494</v>
      </c>
      <c r="AF33" s="272">
        <v>12041</v>
      </c>
      <c r="AG33" s="272">
        <v>221081</v>
      </c>
      <c r="AH33" s="455">
        <f t="shared" si="3"/>
        <v>193640</v>
      </c>
      <c r="AI33" s="272">
        <v>85464</v>
      </c>
      <c r="AJ33" s="272">
        <v>108176</v>
      </c>
      <c r="AK33" s="272">
        <v>966890</v>
      </c>
      <c r="AL33" s="455">
        <f t="shared" si="4"/>
        <v>590735</v>
      </c>
      <c r="AM33" s="272">
        <v>386343</v>
      </c>
      <c r="AN33" s="272">
        <v>113977</v>
      </c>
      <c r="AO33" s="272">
        <v>0</v>
      </c>
      <c r="AP33" s="272">
        <v>90415</v>
      </c>
      <c r="AQ33" s="272">
        <v>68333</v>
      </c>
      <c r="AR33" s="272">
        <v>0</v>
      </c>
      <c r="AS33" s="272">
        <v>0</v>
      </c>
      <c r="AT33" s="272">
        <v>718969</v>
      </c>
      <c r="AU33" s="272">
        <v>211504</v>
      </c>
      <c r="AV33" s="272">
        <v>56201</v>
      </c>
      <c r="AW33" s="272">
        <v>10605</v>
      </c>
      <c r="AX33" s="272">
        <v>507465</v>
      </c>
      <c r="AY33" s="272">
        <v>225520</v>
      </c>
      <c r="AZ33" s="272">
        <v>67104</v>
      </c>
      <c r="BA33" s="272">
        <v>8505</v>
      </c>
      <c r="BB33" s="272">
        <v>297140</v>
      </c>
      <c r="BC33" s="272">
        <v>961396</v>
      </c>
      <c r="BD33" s="272">
        <v>0</v>
      </c>
      <c r="BE33" s="272">
        <v>69400</v>
      </c>
      <c r="BF33" s="272">
        <v>294350</v>
      </c>
      <c r="BG33" s="272">
        <v>0</v>
      </c>
      <c r="BH33" s="272">
        <v>116427</v>
      </c>
      <c r="BI33" s="272">
        <v>108053</v>
      </c>
      <c r="BJ33" s="272">
        <v>168721</v>
      </c>
      <c r="BK33" s="272">
        <v>0</v>
      </c>
      <c r="BL33" s="272">
        <v>0</v>
      </c>
      <c r="BM33" s="272">
        <v>0</v>
      </c>
      <c r="BN33" s="272">
        <v>1187800</v>
      </c>
      <c r="BO33" s="455">
        <f t="shared" si="5"/>
        <v>1187800</v>
      </c>
      <c r="BP33" s="455">
        <f t="shared" si="6"/>
        <v>0</v>
      </c>
      <c r="BQ33" s="272"/>
      <c r="BR33" s="272"/>
      <c r="BS33" s="272"/>
      <c r="BT33" s="272">
        <v>0</v>
      </c>
      <c r="BU33" s="272">
        <v>14855786</v>
      </c>
      <c r="BV33" s="272"/>
      <c r="BW33" s="272">
        <v>4615446</v>
      </c>
      <c r="BX33" s="272">
        <v>3534284</v>
      </c>
      <c r="BY33" s="272">
        <v>150804</v>
      </c>
      <c r="BZ33" s="272">
        <v>91831</v>
      </c>
      <c r="CA33" s="272">
        <v>1546899</v>
      </c>
      <c r="CB33" s="272">
        <v>183080</v>
      </c>
      <c r="CC33" s="272">
        <v>465263</v>
      </c>
      <c r="CD33" s="272">
        <v>343534</v>
      </c>
      <c r="CE33" s="272">
        <v>515547</v>
      </c>
      <c r="CF33" s="272">
        <v>1934</v>
      </c>
      <c r="CG33" s="272">
        <v>37232</v>
      </c>
      <c r="CH33" s="272">
        <v>1095886</v>
      </c>
      <c r="CI33" s="272">
        <v>560853</v>
      </c>
      <c r="CJ33" s="455">
        <f t="shared" si="7"/>
        <v>535033</v>
      </c>
      <c r="CK33" s="272">
        <v>1655982</v>
      </c>
      <c r="CL33" s="272">
        <v>958978</v>
      </c>
      <c r="CM33" s="272">
        <v>105240</v>
      </c>
      <c r="CN33" s="272">
        <v>292313</v>
      </c>
      <c r="CO33" s="272">
        <v>44970</v>
      </c>
      <c r="CP33" s="272">
        <v>957674</v>
      </c>
      <c r="CQ33" s="272">
        <v>369542</v>
      </c>
      <c r="CR33" s="272">
        <v>237553</v>
      </c>
      <c r="CS33" s="272">
        <v>173148</v>
      </c>
      <c r="CT33" s="455">
        <f t="shared" si="8"/>
        <v>29626</v>
      </c>
      <c r="CU33" s="272">
        <v>6641</v>
      </c>
      <c r="CV33" s="272">
        <v>22985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2708811</v>
      </c>
      <c r="DD33" s="272">
        <v>186651</v>
      </c>
      <c r="DE33" s="272">
        <v>2510652</v>
      </c>
      <c r="DF33" s="272">
        <v>11508</v>
      </c>
      <c r="DG33" s="272">
        <v>0</v>
      </c>
      <c r="DH33" s="272">
        <v>0</v>
      </c>
      <c r="DI33" s="272">
        <v>561471</v>
      </c>
      <c r="DJ33" s="272">
        <v>61170</v>
      </c>
      <c r="DK33" s="272">
        <v>17359</v>
      </c>
      <c r="DL33" s="272">
        <v>482942</v>
      </c>
      <c r="DM33" s="272">
        <v>0</v>
      </c>
      <c r="DN33" s="272">
        <v>0</v>
      </c>
      <c r="DO33" s="272">
        <v>0</v>
      </c>
      <c r="DP33" s="272">
        <v>0</v>
      </c>
      <c r="DQ33" s="272">
        <v>0</v>
      </c>
      <c r="DR33" s="272">
        <v>0</v>
      </c>
      <c r="DS33" s="272">
        <v>0</v>
      </c>
      <c r="DT33" s="272">
        <v>1436705</v>
      </c>
      <c r="DU33" s="272">
        <v>1034203</v>
      </c>
      <c r="DV33" s="455">
        <f t="shared" si="11"/>
        <v>0</v>
      </c>
      <c r="DW33" s="272">
        <v>0</v>
      </c>
      <c r="DX33" s="272">
        <v>0</v>
      </c>
      <c r="DY33" s="272">
        <v>0</v>
      </c>
      <c r="DZ33" s="272">
        <v>251309</v>
      </c>
      <c r="EA33" s="272">
        <v>151193</v>
      </c>
      <c r="EB33" s="272"/>
      <c r="EC33" s="272">
        <v>0</v>
      </c>
      <c r="ED33" s="272">
        <v>14623844</v>
      </c>
      <c r="EF33" s="272">
        <v>231942</v>
      </c>
      <c r="EG33" s="272">
        <v>7080</v>
      </c>
      <c r="EH33" s="272">
        <v>224862</v>
      </c>
      <c r="EI33" s="272">
        <v>116809</v>
      </c>
      <c r="EJ33" s="272">
        <v>177979</v>
      </c>
      <c r="EL33" s="272"/>
      <c r="EM33" s="272">
        <v>51914</v>
      </c>
      <c r="EN33" s="272">
        <v>631046</v>
      </c>
      <c r="EO33" s="272">
        <v>11692</v>
      </c>
      <c r="EP33" s="455">
        <f t="shared" si="12"/>
        <v>389418</v>
      </c>
      <c r="EQ33" s="272">
        <v>9956618</v>
      </c>
      <c r="ER33" s="272">
        <v>-1020115</v>
      </c>
      <c r="ES33" s="272">
        <v>4274302</v>
      </c>
      <c r="ET33" s="272">
        <v>3261876</v>
      </c>
      <c r="EU33" s="272">
        <v>474231</v>
      </c>
      <c r="EV33" s="272">
        <v>1095886</v>
      </c>
      <c r="EW33" s="455">
        <f t="shared" si="13"/>
        <v>769621</v>
      </c>
      <c r="EX33" s="272">
        <v>769621</v>
      </c>
      <c r="EY33" s="272">
        <v>9940</v>
      </c>
      <c r="EZ33" s="272">
        <v>753473</v>
      </c>
      <c r="FA33" s="272">
        <v>0</v>
      </c>
      <c r="FB33" s="272"/>
      <c r="FC33" s="272">
        <v>1314150</v>
      </c>
      <c r="FD33" s="272">
        <v>853896</v>
      </c>
      <c r="FE33" s="272">
        <v>369542</v>
      </c>
      <c r="FF33" s="272">
        <v>1413806</v>
      </c>
      <c r="FG33" s="455">
        <f t="shared" si="14"/>
        <v>548899</v>
      </c>
      <c r="FH33" s="272">
        <v>10744791</v>
      </c>
      <c r="FI33" s="384">
        <f t="shared" si="15"/>
        <v>2.5</v>
      </c>
      <c r="FJ33" s="272">
        <v>9028730</v>
      </c>
      <c r="FK33" s="272"/>
      <c r="FL33" s="272">
        <v>4957507</v>
      </c>
      <c r="FM33" s="272">
        <v>7422395</v>
      </c>
      <c r="FN33" s="460">
        <v>0.65400000000000003</v>
      </c>
      <c r="FO33" s="388">
        <v>91.9</v>
      </c>
      <c r="FP33" s="388">
        <v>46.4</v>
      </c>
      <c r="FQ33" s="388">
        <v>5.0999999999999996</v>
      </c>
      <c r="FR33" s="388">
        <v>11.9</v>
      </c>
      <c r="FS33" s="388">
        <v>10.8</v>
      </c>
      <c r="FT33" s="388">
        <v>7.8</v>
      </c>
      <c r="FU33" s="388">
        <v>9.5</v>
      </c>
      <c r="FV33" s="388">
        <v>8.9</v>
      </c>
      <c r="FW33" s="272">
        <v>10867573</v>
      </c>
      <c r="FX33" s="384">
        <f t="shared" si="16"/>
        <v>120.4</v>
      </c>
      <c r="FY33" s="272">
        <v>2114500</v>
      </c>
      <c r="FZ33" s="272">
        <v>102895</v>
      </c>
      <c r="GA33" s="272">
        <v>543519</v>
      </c>
      <c r="GB33" s="272">
        <v>1468086</v>
      </c>
      <c r="GC33" s="272"/>
      <c r="GD33" s="272">
        <v>4871150</v>
      </c>
      <c r="GE33" s="384">
        <f t="shared" si="17"/>
        <v>54</v>
      </c>
      <c r="GF33" s="388">
        <v>96.5</v>
      </c>
      <c r="GG33" s="388">
        <v>40.5</v>
      </c>
      <c r="GH33" s="388">
        <v>93.1</v>
      </c>
      <c r="GI33" s="272">
        <v>498</v>
      </c>
    </row>
    <row r="34" spans="2:191" x14ac:dyDescent="0.15">
      <c r="B34" s="89" t="s">
        <v>61</v>
      </c>
      <c r="C34" s="272">
        <v>9128017</v>
      </c>
      <c r="D34" s="455">
        <f t="shared" si="0"/>
        <v>5278693</v>
      </c>
      <c r="E34" s="272">
        <v>48233</v>
      </c>
      <c r="F34" s="272">
        <v>5230460</v>
      </c>
      <c r="G34" s="455">
        <f t="shared" si="1"/>
        <v>464186</v>
      </c>
      <c r="H34" s="272">
        <v>80460</v>
      </c>
      <c r="I34" s="272">
        <v>383726</v>
      </c>
      <c r="J34" s="272">
        <v>2502677</v>
      </c>
      <c r="K34" s="272">
        <v>1117403</v>
      </c>
      <c r="L34" s="272">
        <v>975015</v>
      </c>
      <c r="M34" s="272">
        <v>383975</v>
      </c>
      <c r="N34" s="272">
        <v>234497</v>
      </c>
      <c r="O34" s="272">
        <v>598799</v>
      </c>
      <c r="P34" s="272">
        <v>386239</v>
      </c>
      <c r="Q34" s="272">
        <v>212560</v>
      </c>
      <c r="R34" s="272">
        <v>368330</v>
      </c>
      <c r="S34" s="272">
        <v>247661</v>
      </c>
      <c r="T34" s="455">
        <f t="shared" si="2"/>
        <v>664131</v>
      </c>
      <c r="U34" s="272">
        <v>360038</v>
      </c>
      <c r="V34" s="272"/>
      <c r="W34" s="272"/>
      <c r="X34" s="272"/>
      <c r="Y34" s="272">
        <v>139877</v>
      </c>
      <c r="Z34" s="272">
        <v>0</v>
      </c>
      <c r="AA34" s="272">
        <v>164216</v>
      </c>
      <c r="AB34" s="272"/>
      <c r="AC34" s="272">
        <v>2287458</v>
      </c>
      <c r="AD34" s="272">
        <v>2047430</v>
      </c>
      <c r="AE34" s="272">
        <v>240028</v>
      </c>
      <c r="AF34" s="272">
        <v>13265</v>
      </c>
      <c r="AG34" s="272">
        <v>129790</v>
      </c>
      <c r="AH34" s="455">
        <f t="shared" si="3"/>
        <v>138482</v>
      </c>
      <c r="AI34" s="272">
        <v>68493</v>
      </c>
      <c r="AJ34" s="272">
        <v>69989</v>
      </c>
      <c r="AK34" s="272">
        <v>960765</v>
      </c>
      <c r="AL34" s="455">
        <f t="shared" si="4"/>
        <v>511648</v>
      </c>
      <c r="AM34" s="272">
        <v>291992</v>
      </c>
      <c r="AN34" s="272">
        <v>115120</v>
      </c>
      <c r="AO34" s="272">
        <v>0</v>
      </c>
      <c r="AP34" s="272">
        <v>104536</v>
      </c>
      <c r="AQ34" s="272">
        <v>146111</v>
      </c>
      <c r="AR34" s="272">
        <v>0</v>
      </c>
      <c r="AS34" s="272">
        <v>0</v>
      </c>
      <c r="AT34" s="272">
        <v>784487</v>
      </c>
      <c r="AU34" s="272">
        <v>202084</v>
      </c>
      <c r="AV34" s="272">
        <v>56752</v>
      </c>
      <c r="AW34" s="272">
        <v>10962</v>
      </c>
      <c r="AX34" s="272">
        <v>582403</v>
      </c>
      <c r="AY34" s="272">
        <v>186840</v>
      </c>
      <c r="AZ34" s="272">
        <v>237789</v>
      </c>
      <c r="BA34" s="272">
        <v>3417</v>
      </c>
      <c r="BB34" s="272">
        <v>442851</v>
      </c>
      <c r="BC34" s="272">
        <v>2115226</v>
      </c>
      <c r="BD34" s="272">
        <v>1246000</v>
      </c>
      <c r="BE34" s="272">
        <v>350000</v>
      </c>
      <c r="BF34" s="272">
        <v>511000</v>
      </c>
      <c r="BG34" s="272">
        <v>0</v>
      </c>
      <c r="BH34" s="272">
        <v>137978</v>
      </c>
      <c r="BI34" s="272">
        <v>137978</v>
      </c>
      <c r="BJ34" s="272">
        <v>1088540</v>
      </c>
      <c r="BK34" s="272">
        <v>1028608</v>
      </c>
      <c r="BL34" s="272">
        <v>0</v>
      </c>
      <c r="BM34" s="272">
        <v>0</v>
      </c>
      <c r="BN34" s="272">
        <v>2104000</v>
      </c>
      <c r="BO34" s="455">
        <f t="shared" si="5"/>
        <v>2104000</v>
      </c>
      <c r="BP34" s="455">
        <f t="shared" si="6"/>
        <v>0</v>
      </c>
      <c r="BQ34" s="272"/>
      <c r="BR34" s="272"/>
      <c r="BS34" s="272"/>
      <c r="BT34" s="272">
        <v>0</v>
      </c>
      <c r="BU34" s="272">
        <v>20601109</v>
      </c>
      <c r="BV34" s="272"/>
      <c r="BW34" s="272">
        <v>5463051</v>
      </c>
      <c r="BX34" s="272">
        <v>4116304</v>
      </c>
      <c r="BY34" s="272">
        <v>226543</v>
      </c>
      <c r="BZ34" s="272">
        <v>163045</v>
      </c>
      <c r="CA34" s="272">
        <v>1592678</v>
      </c>
      <c r="CB34" s="272">
        <v>268648</v>
      </c>
      <c r="CC34" s="272">
        <v>475851</v>
      </c>
      <c r="CD34" s="272">
        <v>425149</v>
      </c>
      <c r="CE34" s="272">
        <v>371110</v>
      </c>
      <c r="CF34" s="272">
        <v>0</v>
      </c>
      <c r="CG34" s="272">
        <v>51920</v>
      </c>
      <c r="CH34" s="272">
        <v>2309929</v>
      </c>
      <c r="CI34" s="272">
        <v>1068082</v>
      </c>
      <c r="CJ34" s="455">
        <f t="shared" si="7"/>
        <v>1241847</v>
      </c>
      <c r="CK34" s="272">
        <v>2555599</v>
      </c>
      <c r="CL34" s="272">
        <v>1690364</v>
      </c>
      <c r="CM34" s="272">
        <v>106661</v>
      </c>
      <c r="CN34" s="272">
        <v>472167</v>
      </c>
      <c r="CO34" s="272">
        <v>93611</v>
      </c>
      <c r="CP34" s="272">
        <v>872249</v>
      </c>
      <c r="CQ34" s="272">
        <v>287648</v>
      </c>
      <c r="CR34" s="272">
        <v>241462</v>
      </c>
      <c r="CS34" s="272">
        <v>220564</v>
      </c>
      <c r="CT34" s="455">
        <f t="shared" si="8"/>
        <v>4836</v>
      </c>
      <c r="CU34" s="272">
        <v>4836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4585282</v>
      </c>
      <c r="DD34" s="272">
        <v>370867</v>
      </c>
      <c r="DE34" s="272">
        <v>4214415</v>
      </c>
      <c r="DF34" s="272">
        <v>0</v>
      </c>
      <c r="DG34" s="272">
        <v>0</v>
      </c>
      <c r="DH34" s="272">
        <v>948</v>
      </c>
      <c r="DI34" s="272">
        <v>771831</v>
      </c>
      <c r="DJ34" s="272">
        <v>158038</v>
      </c>
      <c r="DK34" s="272">
        <v>34632</v>
      </c>
      <c r="DL34" s="272">
        <v>579161</v>
      </c>
      <c r="DM34" s="272">
        <v>51000</v>
      </c>
      <c r="DN34" s="272">
        <v>0</v>
      </c>
      <c r="DO34" s="272">
        <v>0</v>
      </c>
      <c r="DP34" s="272">
        <v>0</v>
      </c>
      <c r="DQ34" s="272">
        <v>1000000</v>
      </c>
      <c r="DR34" s="272">
        <v>0</v>
      </c>
      <c r="DS34" s="272">
        <v>0</v>
      </c>
      <c r="DT34" s="272">
        <v>1134102</v>
      </c>
      <c r="DU34" s="272">
        <v>690000</v>
      </c>
      <c r="DV34" s="455">
        <f t="shared" si="11"/>
        <v>0</v>
      </c>
      <c r="DW34" s="272">
        <v>0</v>
      </c>
      <c r="DX34" s="272">
        <v>0</v>
      </c>
      <c r="DY34" s="272">
        <v>0</v>
      </c>
      <c r="DZ34" s="272">
        <v>228769</v>
      </c>
      <c r="EA34" s="272">
        <v>183527</v>
      </c>
      <c r="EB34" s="272"/>
      <c r="EC34" s="272">
        <v>0</v>
      </c>
      <c r="ED34" s="272">
        <v>20430280</v>
      </c>
      <c r="EF34" s="272">
        <v>170829</v>
      </c>
      <c r="EG34" s="272">
        <v>104422</v>
      </c>
      <c r="EH34" s="272">
        <v>66407</v>
      </c>
      <c r="EI34" s="272">
        <v>-71571</v>
      </c>
      <c r="EJ34" s="272">
        <v>-1159533</v>
      </c>
      <c r="EL34" s="272"/>
      <c r="EM34" s="272">
        <v>68969</v>
      </c>
      <c r="EN34" s="272">
        <v>1604226</v>
      </c>
      <c r="EO34" s="272">
        <v>4750</v>
      </c>
      <c r="EP34" s="455">
        <f t="shared" si="12"/>
        <v>630584</v>
      </c>
      <c r="EQ34" s="272">
        <v>12461201</v>
      </c>
      <c r="ER34" s="272">
        <v>-2226295</v>
      </c>
      <c r="ES34" s="272">
        <v>5219751</v>
      </c>
      <c r="ET34" s="272">
        <v>3886503</v>
      </c>
      <c r="EU34" s="272">
        <v>525072</v>
      </c>
      <c r="EV34" s="272">
        <v>2309929</v>
      </c>
      <c r="EW34" s="455">
        <f t="shared" si="13"/>
        <v>1730293</v>
      </c>
      <c r="EX34" s="272">
        <v>1729345</v>
      </c>
      <c r="EY34" s="272">
        <v>105745</v>
      </c>
      <c r="EZ34" s="272">
        <v>1623600</v>
      </c>
      <c r="FA34" s="272">
        <v>948</v>
      </c>
      <c r="FB34" s="272"/>
      <c r="FC34" s="272">
        <v>2104797</v>
      </c>
      <c r="FD34" s="272">
        <v>828300</v>
      </c>
      <c r="FE34" s="272">
        <v>287648</v>
      </c>
      <c r="FF34" s="272">
        <v>1083762</v>
      </c>
      <c r="FG34" s="455">
        <f t="shared" si="14"/>
        <v>714763</v>
      </c>
      <c r="FH34" s="272">
        <v>14516667</v>
      </c>
      <c r="FI34" s="384">
        <f t="shared" si="15"/>
        <v>0.6</v>
      </c>
      <c r="FJ34" s="272">
        <v>11426090</v>
      </c>
      <c r="FK34" s="272"/>
      <c r="FL34" s="272">
        <v>7066948</v>
      </c>
      <c r="FM34" s="272">
        <v>9118937</v>
      </c>
      <c r="FN34" s="460">
        <v>0.77100000000000002</v>
      </c>
      <c r="FO34" s="388">
        <v>92.5</v>
      </c>
      <c r="FP34" s="388">
        <v>44.8</v>
      </c>
      <c r="FQ34" s="388">
        <v>4.5</v>
      </c>
      <c r="FR34" s="388">
        <v>19.8</v>
      </c>
      <c r="FS34" s="388">
        <v>12.9</v>
      </c>
      <c r="FT34" s="388">
        <v>6.2</v>
      </c>
      <c r="FU34" s="388">
        <v>3.5</v>
      </c>
      <c r="FV34" s="388">
        <v>14.2</v>
      </c>
      <c r="FW34" s="272">
        <v>21851656</v>
      </c>
      <c r="FX34" s="384">
        <f t="shared" si="16"/>
        <v>191.2</v>
      </c>
      <c r="FY34" s="272">
        <v>4249712</v>
      </c>
      <c r="FZ34" s="272">
        <v>1281684</v>
      </c>
      <c r="GA34" s="272">
        <v>684287</v>
      </c>
      <c r="GB34" s="272">
        <v>2283741</v>
      </c>
      <c r="GC34" s="272"/>
      <c r="GD34" s="272">
        <v>29551417</v>
      </c>
      <c r="GE34" s="384">
        <f t="shared" si="17"/>
        <v>258.60000000000002</v>
      </c>
      <c r="GF34" s="388">
        <v>97.6</v>
      </c>
      <c r="GG34" s="388">
        <v>32.200000000000003</v>
      </c>
      <c r="GH34" s="388">
        <v>94.8</v>
      </c>
      <c r="GI34" s="272">
        <v>560</v>
      </c>
    </row>
    <row r="35" spans="2:191" x14ac:dyDescent="0.15">
      <c r="B35" s="89" t="s">
        <v>63</v>
      </c>
      <c r="C35" s="272">
        <v>7842895</v>
      </c>
      <c r="D35" s="455">
        <f t="shared" si="0"/>
        <v>4378461</v>
      </c>
      <c r="E35" s="272">
        <v>38552</v>
      </c>
      <c r="F35" s="272">
        <v>4339909</v>
      </c>
      <c r="G35" s="455">
        <f t="shared" si="1"/>
        <v>305934</v>
      </c>
      <c r="H35" s="272">
        <v>65791</v>
      </c>
      <c r="I35" s="272">
        <v>240143</v>
      </c>
      <c r="J35" s="272">
        <v>2458959</v>
      </c>
      <c r="K35" s="272">
        <v>1076438</v>
      </c>
      <c r="L35" s="272">
        <v>1079018</v>
      </c>
      <c r="M35" s="272">
        <v>278806</v>
      </c>
      <c r="N35" s="272">
        <v>210037</v>
      </c>
      <c r="O35" s="272">
        <v>420272</v>
      </c>
      <c r="P35" s="272">
        <v>269959</v>
      </c>
      <c r="Q35" s="272">
        <v>150313</v>
      </c>
      <c r="R35" s="272">
        <v>322234</v>
      </c>
      <c r="S35" s="272">
        <v>218985</v>
      </c>
      <c r="T35" s="455">
        <f t="shared" si="2"/>
        <v>466970</v>
      </c>
      <c r="U35" s="272">
        <v>325582</v>
      </c>
      <c r="V35" s="272"/>
      <c r="W35" s="272"/>
      <c r="X35" s="272"/>
      <c r="Y35" s="272">
        <v>0</v>
      </c>
      <c r="Z35" s="272">
        <v>1060</v>
      </c>
      <c r="AA35" s="272">
        <v>140328</v>
      </c>
      <c r="AB35" s="272"/>
      <c r="AC35" s="272">
        <v>1890946</v>
      </c>
      <c r="AD35" s="272">
        <v>1584348</v>
      </c>
      <c r="AE35" s="272">
        <v>306598</v>
      </c>
      <c r="AF35" s="272">
        <v>12704</v>
      </c>
      <c r="AG35" s="272">
        <v>89672</v>
      </c>
      <c r="AH35" s="455">
        <f t="shared" si="3"/>
        <v>197250</v>
      </c>
      <c r="AI35" s="272">
        <v>165455</v>
      </c>
      <c r="AJ35" s="272">
        <v>31795</v>
      </c>
      <c r="AK35" s="272">
        <v>686259</v>
      </c>
      <c r="AL35" s="455">
        <f t="shared" si="4"/>
        <v>425020</v>
      </c>
      <c r="AM35" s="272">
        <v>279805</v>
      </c>
      <c r="AN35" s="272">
        <v>68104</v>
      </c>
      <c r="AO35" s="272">
        <v>0</v>
      </c>
      <c r="AP35" s="272">
        <v>77111</v>
      </c>
      <c r="AQ35" s="272">
        <v>80102</v>
      </c>
      <c r="AR35" s="272">
        <v>0</v>
      </c>
      <c r="AS35" s="272">
        <v>0</v>
      </c>
      <c r="AT35" s="272">
        <v>815376</v>
      </c>
      <c r="AU35" s="272">
        <v>152953</v>
      </c>
      <c r="AV35" s="272">
        <v>33634</v>
      </c>
      <c r="AW35" s="272">
        <v>0</v>
      </c>
      <c r="AX35" s="272">
        <v>662423</v>
      </c>
      <c r="AY35" s="272">
        <v>350325</v>
      </c>
      <c r="AZ35" s="272">
        <v>3376683</v>
      </c>
      <c r="BA35" s="272">
        <v>3165903</v>
      </c>
      <c r="BB35" s="272">
        <v>170757</v>
      </c>
      <c r="BC35" s="272">
        <v>2036900</v>
      </c>
      <c r="BD35" s="272">
        <v>130000</v>
      </c>
      <c r="BE35" s="272">
        <v>0</v>
      </c>
      <c r="BF35" s="272">
        <v>1906900</v>
      </c>
      <c r="BG35" s="272">
        <v>0</v>
      </c>
      <c r="BH35" s="272">
        <v>276595</v>
      </c>
      <c r="BI35" s="272">
        <v>263349</v>
      </c>
      <c r="BJ35" s="272">
        <v>79274</v>
      </c>
      <c r="BK35" s="272">
        <v>628</v>
      </c>
      <c r="BL35" s="272">
        <v>0</v>
      </c>
      <c r="BM35" s="272">
        <v>0</v>
      </c>
      <c r="BN35" s="272">
        <v>4156800</v>
      </c>
      <c r="BO35" s="455">
        <f t="shared" si="5"/>
        <v>4156800</v>
      </c>
      <c r="BP35" s="455">
        <f t="shared" si="6"/>
        <v>0</v>
      </c>
      <c r="BQ35" s="272"/>
      <c r="BR35" s="272"/>
      <c r="BS35" s="272"/>
      <c r="BT35" s="272">
        <v>0</v>
      </c>
      <c r="BU35" s="272">
        <v>22421315</v>
      </c>
      <c r="BV35" s="272"/>
      <c r="BW35" s="272">
        <v>4089314</v>
      </c>
      <c r="BX35" s="272">
        <v>3275643</v>
      </c>
      <c r="BY35" s="272">
        <v>14517</v>
      </c>
      <c r="BZ35" s="272">
        <v>29896</v>
      </c>
      <c r="CA35" s="272">
        <v>1095003</v>
      </c>
      <c r="CB35" s="272">
        <v>166632</v>
      </c>
      <c r="CC35" s="272">
        <v>303045</v>
      </c>
      <c r="CD35" s="272">
        <v>224455</v>
      </c>
      <c r="CE35" s="272">
        <v>383262</v>
      </c>
      <c r="CF35" s="272">
        <v>0</v>
      </c>
      <c r="CG35" s="272">
        <v>17609</v>
      </c>
      <c r="CH35" s="272">
        <v>1197786</v>
      </c>
      <c r="CI35" s="272">
        <v>580812</v>
      </c>
      <c r="CJ35" s="455">
        <f t="shared" si="7"/>
        <v>616974</v>
      </c>
      <c r="CK35" s="272">
        <v>1929915</v>
      </c>
      <c r="CL35" s="272">
        <v>1002903</v>
      </c>
      <c r="CM35" s="272">
        <v>103903</v>
      </c>
      <c r="CN35" s="272">
        <v>428472</v>
      </c>
      <c r="CO35" s="272">
        <v>25523</v>
      </c>
      <c r="CP35" s="272">
        <v>1140825</v>
      </c>
      <c r="CQ35" s="272">
        <v>431136</v>
      </c>
      <c r="CR35" s="272">
        <v>314048</v>
      </c>
      <c r="CS35" s="272">
        <v>253667</v>
      </c>
      <c r="CT35" s="455">
        <f t="shared" si="8"/>
        <v>49440</v>
      </c>
      <c r="CU35" s="272">
        <v>3090</v>
      </c>
      <c r="CV35" s="272">
        <v>46350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7437148</v>
      </c>
      <c r="DD35" s="272">
        <v>207865</v>
      </c>
      <c r="DE35" s="272">
        <v>7207774</v>
      </c>
      <c r="DF35" s="272">
        <v>21509</v>
      </c>
      <c r="DG35" s="272">
        <v>0</v>
      </c>
      <c r="DH35" s="272">
        <v>0</v>
      </c>
      <c r="DI35" s="272">
        <v>3790205</v>
      </c>
      <c r="DJ35" s="272">
        <v>475000</v>
      </c>
      <c r="DK35" s="272">
        <v>4000</v>
      </c>
      <c r="DL35" s="272">
        <v>3311205</v>
      </c>
      <c r="DM35" s="272">
        <v>303000</v>
      </c>
      <c r="DN35" s="272">
        <v>0</v>
      </c>
      <c r="DO35" s="272">
        <v>0</v>
      </c>
      <c r="DP35" s="272">
        <v>0</v>
      </c>
      <c r="DQ35" s="272">
        <v>144</v>
      </c>
      <c r="DR35" s="272">
        <v>0</v>
      </c>
      <c r="DS35" s="272">
        <v>0</v>
      </c>
      <c r="DT35" s="272">
        <v>1175580</v>
      </c>
      <c r="DU35" s="272">
        <v>778106</v>
      </c>
      <c r="DV35" s="455">
        <f t="shared" si="11"/>
        <v>0</v>
      </c>
      <c r="DW35" s="272">
        <v>0</v>
      </c>
      <c r="DX35" s="272">
        <v>0</v>
      </c>
      <c r="DY35" s="272">
        <v>0</v>
      </c>
      <c r="DZ35" s="272">
        <v>261830</v>
      </c>
      <c r="EA35" s="272">
        <v>130140</v>
      </c>
      <c r="EB35" s="272"/>
      <c r="EC35" s="272">
        <v>0</v>
      </c>
      <c r="ED35" s="272">
        <v>22184443</v>
      </c>
      <c r="EF35" s="272">
        <v>236872</v>
      </c>
      <c r="EG35" s="272">
        <v>0</v>
      </c>
      <c r="EH35" s="272">
        <v>236872</v>
      </c>
      <c r="EI35" s="272">
        <v>-26477</v>
      </c>
      <c r="EJ35" s="272">
        <v>318523</v>
      </c>
      <c r="EL35" s="272"/>
      <c r="EM35" s="272">
        <v>54764</v>
      </c>
      <c r="EN35" s="272">
        <v>130000</v>
      </c>
      <c r="EO35" s="272">
        <v>3168380</v>
      </c>
      <c r="EP35" s="455">
        <f t="shared" si="12"/>
        <v>576092</v>
      </c>
      <c r="EQ35" s="272">
        <v>10535749</v>
      </c>
      <c r="ER35" s="272">
        <v>-3861768</v>
      </c>
      <c r="ES35" s="272">
        <v>3811154</v>
      </c>
      <c r="ET35" s="272">
        <v>3005381</v>
      </c>
      <c r="EU35" s="272">
        <v>327143</v>
      </c>
      <c r="EV35" s="272">
        <v>1197786</v>
      </c>
      <c r="EW35" s="455">
        <f t="shared" si="13"/>
        <v>1234163</v>
      </c>
      <c r="EX35" s="272">
        <v>1234163</v>
      </c>
      <c r="EY35" s="272">
        <v>16367</v>
      </c>
      <c r="EZ35" s="272">
        <v>1196287</v>
      </c>
      <c r="FA35" s="272">
        <v>0</v>
      </c>
      <c r="FB35" s="272"/>
      <c r="FC35" s="272">
        <v>1715411</v>
      </c>
      <c r="FD35" s="272">
        <v>1104718</v>
      </c>
      <c r="FE35" s="272">
        <v>431136</v>
      </c>
      <c r="FF35" s="272">
        <v>1159701</v>
      </c>
      <c r="FG35" s="455">
        <f t="shared" si="14"/>
        <v>3610569</v>
      </c>
      <c r="FH35" s="272">
        <v>14160645</v>
      </c>
      <c r="FI35" s="384">
        <f t="shared" si="15"/>
        <v>2.4</v>
      </c>
      <c r="FJ35" s="272">
        <v>9745510</v>
      </c>
      <c r="FK35" s="272"/>
      <c r="FL35" s="272">
        <v>6149603</v>
      </c>
      <c r="FM35" s="272">
        <v>7748062</v>
      </c>
      <c r="FN35" s="460">
        <v>0.80800000000000005</v>
      </c>
      <c r="FO35" s="388">
        <v>82.8</v>
      </c>
      <c r="FP35" s="388">
        <v>38.6</v>
      </c>
      <c r="FQ35" s="388">
        <v>3.3</v>
      </c>
      <c r="FR35" s="388">
        <v>12.1</v>
      </c>
      <c r="FS35" s="388">
        <v>16.5</v>
      </c>
      <c r="FT35" s="388">
        <v>9.1</v>
      </c>
      <c r="FU35" s="388">
        <v>2.9</v>
      </c>
      <c r="FV35" s="388">
        <v>9.1</v>
      </c>
      <c r="FW35" s="272">
        <v>15017459</v>
      </c>
      <c r="FX35" s="384">
        <f t="shared" si="16"/>
        <v>154.1</v>
      </c>
      <c r="FY35" s="272">
        <v>7813267</v>
      </c>
      <c r="FZ35" s="272">
        <v>2395000</v>
      </c>
      <c r="GA35" s="272">
        <v>114000</v>
      </c>
      <c r="GB35" s="272">
        <v>5304267</v>
      </c>
      <c r="GC35" s="272"/>
      <c r="GD35" s="272">
        <v>6485819</v>
      </c>
      <c r="GE35" s="384">
        <f t="shared" si="17"/>
        <v>66.599999999999994</v>
      </c>
      <c r="GF35" s="388">
        <v>98.4</v>
      </c>
      <c r="GG35" s="388">
        <v>23.1</v>
      </c>
      <c r="GH35" s="388">
        <v>95</v>
      </c>
      <c r="GI35" s="272">
        <v>504</v>
      </c>
    </row>
    <row r="36" spans="2:191" x14ac:dyDescent="0.15">
      <c r="B36" s="89" t="s">
        <v>65</v>
      </c>
      <c r="C36" s="272">
        <v>6121692</v>
      </c>
      <c r="D36" s="455">
        <f t="shared" si="0"/>
        <v>2978474</v>
      </c>
      <c r="E36" s="272">
        <v>36862</v>
      </c>
      <c r="F36" s="272">
        <v>2941612</v>
      </c>
      <c r="G36" s="455">
        <f t="shared" si="1"/>
        <v>208233</v>
      </c>
      <c r="H36" s="272">
        <v>59389</v>
      </c>
      <c r="I36" s="272">
        <v>148844</v>
      </c>
      <c r="J36" s="272">
        <v>2082142</v>
      </c>
      <c r="K36" s="272">
        <v>1005063</v>
      </c>
      <c r="L36" s="272">
        <v>841853</v>
      </c>
      <c r="M36" s="272">
        <v>207649</v>
      </c>
      <c r="N36" s="272">
        <v>206894</v>
      </c>
      <c r="O36" s="272">
        <v>354114</v>
      </c>
      <c r="P36" s="272">
        <v>234716</v>
      </c>
      <c r="Q36" s="272">
        <v>119398</v>
      </c>
      <c r="R36" s="272">
        <v>319037</v>
      </c>
      <c r="S36" s="272">
        <v>212276</v>
      </c>
      <c r="T36" s="455">
        <f t="shared" si="2"/>
        <v>396128</v>
      </c>
      <c r="U36" s="272">
        <v>230948</v>
      </c>
      <c r="V36" s="272"/>
      <c r="W36" s="272"/>
      <c r="X36" s="272"/>
      <c r="Y36" s="272">
        <v>19106</v>
      </c>
      <c r="Z36" s="272">
        <v>723</v>
      </c>
      <c r="AA36" s="272">
        <v>145351</v>
      </c>
      <c r="AB36" s="272"/>
      <c r="AC36" s="272">
        <v>2533797</v>
      </c>
      <c r="AD36" s="272">
        <v>2235610</v>
      </c>
      <c r="AE36" s="272">
        <v>298187</v>
      </c>
      <c r="AF36" s="272">
        <v>14979</v>
      </c>
      <c r="AG36" s="272">
        <v>59657</v>
      </c>
      <c r="AH36" s="455">
        <f t="shared" si="3"/>
        <v>207354</v>
      </c>
      <c r="AI36" s="272">
        <v>183937</v>
      </c>
      <c r="AJ36" s="272">
        <v>23417</v>
      </c>
      <c r="AK36" s="272">
        <v>2458643</v>
      </c>
      <c r="AL36" s="455">
        <f t="shared" si="4"/>
        <v>554643</v>
      </c>
      <c r="AM36" s="272">
        <v>351250</v>
      </c>
      <c r="AN36" s="272">
        <v>162581</v>
      </c>
      <c r="AO36" s="272">
        <v>0</v>
      </c>
      <c r="AP36" s="272">
        <v>40812</v>
      </c>
      <c r="AQ36" s="272">
        <v>1705536</v>
      </c>
      <c r="AR36" s="272">
        <v>0</v>
      </c>
      <c r="AS36" s="272">
        <v>0</v>
      </c>
      <c r="AT36" s="272">
        <v>1188728</v>
      </c>
      <c r="AU36" s="272">
        <v>510192</v>
      </c>
      <c r="AV36" s="272">
        <v>53204</v>
      </c>
      <c r="AW36" s="272">
        <v>0</v>
      </c>
      <c r="AX36" s="272">
        <v>678536</v>
      </c>
      <c r="AY36" s="272">
        <v>285181</v>
      </c>
      <c r="AZ36" s="272">
        <v>509904</v>
      </c>
      <c r="BA36" s="272">
        <v>350292</v>
      </c>
      <c r="BB36" s="272">
        <v>172288</v>
      </c>
      <c r="BC36" s="272">
        <v>5260356</v>
      </c>
      <c r="BD36" s="272">
        <v>1403004</v>
      </c>
      <c r="BE36" s="272">
        <v>43062</v>
      </c>
      <c r="BF36" s="272">
        <v>3812292</v>
      </c>
      <c r="BG36" s="272">
        <v>0</v>
      </c>
      <c r="BH36" s="272">
        <v>266996</v>
      </c>
      <c r="BI36" s="272">
        <v>265396</v>
      </c>
      <c r="BJ36" s="272">
        <v>3711596</v>
      </c>
      <c r="BK36" s="272">
        <v>12408</v>
      </c>
      <c r="BL36" s="272">
        <v>0</v>
      </c>
      <c r="BM36" s="272">
        <v>0</v>
      </c>
      <c r="BN36" s="272">
        <v>1295100</v>
      </c>
      <c r="BO36" s="455">
        <f t="shared" si="5"/>
        <v>1295100</v>
      </c>
      <c r="BP36" s="455">
        <f t="shared" si="6"/>
        <v>0</v>
      </c>
      <c r="BQ36" s="272"/>
      <c r="BR36" s="272"/>
      <c r="BS36" s="272"/>
      <c r="BT36" s="272">
        <v>0</v>
      </c>
      <c r="BU36" s="272">
        <v>24516255</v>
      </c>
      <c r="BV36" s="272"/>
      <c r="BW36" s="272">
        <v>4273687</v>
      </c>
      <c r="BX36" s="272">
        <v>3341341</v>
      </c>
      <c r="BY36" s="272">
        <v>86188</v>
      </c>
      <c r="BZ36" s="272">
        <v>16967</v>
      </c>
      <c r="CA36" s="272">
        <v>1129096</v>
      </c>
      <c r="CB36" s="272">
        <v>181135</v>
      </c>
      <c r="CC36" s="272">
        <v>267367</v>
      </c>
      <c r="CD36" s="272">
        <v>194343</v>
      </c>
      <c r="CE36" s="272">
        <v>474869</v>
      </c>
      <c r="CF36" s="272">
        <v>1836</v>
      </c>
      <c r="CG36" s="272">
        <v>9546</v>
      </c>
      <c r="CH36" s="272">
        <v>1239912</v>
      </c>
      <c r="CI36" s="272">
        <v>552392</v>
      </c>
      <c r="CJ36" s="455">
        <f t="shared" si="7"/>
        <v>687520</v>
      </c>
      <c r="CK36" s="272">
        <v>2271423</v>
      </c>
      <c r="CL36" s="272">
        <v>1166251</v>
      </c>
      <c r="CM36" s="272">
        <v>253983</v>
      </c>
      <c r="CN36" s="272">
        <v>525831</v>
      </c>
      <c r="CO36" s="272">
        <v>127184</v>
      </c>
      <c r="CP36" s="272">
        <v>1951130</v>
      </c>
      <c r="CQ36" s="272">
        <v>559021</v>
      </c>
      <c r="CR36" s="272">
        <v>728593</v>
      </c>
      <c r="CS36" s="272">
        <v>728593</v>
      </c>
      <c r="CT36" s="455">
        <f t="shared" si="8"/>
        <v>344334</v>
      </c>
      <c r="CU36" s="272">
        <v>8490</v>
      </c>
      <c r="CV36" s="272">
        <v>335844</v>
      </c>
      <c r="CW36" s="455">
        <f t="shared" si="9"/>
        <v>335844</v>
      </c>
      <c r="CX36" s="272">
        <v>0</v>
      </c>
      <c r="CY36" s="272">
        <v>335844</v>
      </c>
      <c r="CZ36" s="455">
        <f t="shared" si="10"/>
        <v>0</v>
      </c>
      <c r="DA36" s="272">
        <v>0</v>
      </c>
      <c r="DB36" s="272">
        <v>0</v>
      </c>
      <c r="DC36" s="272">
        <v>7751085</v>
      </c>
      <c r="DD36" s="272">
        <v>4136560</v>
      </c>
      <c r="DE36" s="272">
        <v>3154469</v>
      </c>
      <c r="DF36" s="272">
        <v>16583</v>
      </c>
      <c r="DG36" s="272">
        <v>443473</v>
      </c>
      <c r="DH36" s="272">
        <v>0</v>
      </c>
      <c r="DI36" s="272">
        <v>4694888</v>
      </c>
      <c r="DJ36" s="272">
        <v>754286</v>
      </c>
      <c r="DK36" s="272">
        <v>10709</v>
      </c>
      <c r="DL36" s="272">
        <v>3929893</v>
      </c>
      <c r="DM36" s="272">
        <v>24400</v>
      </c>
      <c r="DN36" s="272">
        <v>21000</v>
      </c>
      <c r="DO36" s="272">
        <v>21000</v>
      </c>
      <c r="DP36" s="272">
        <v>0</v>
      </c>
      <c r="DQ36" s="272">
        <v>37000</v>
      </c>
      <c r="DR36" s="272">
        <v>25000</v>
      </c>
      <c r="DS36" s="272">
        <v>25000</v>
      </c>
      <c r="DT36" s="272">
        <v>813528</v>
      </c>
      <c r="DU36" s="272">
        <v>550403</v>
      </c>
      <c r="DV36" s="455">
        <f t="shared" si="11"/>
        <v>0</v>
      </c>
      <c r="DW36" s="272">
        <v>0</v>
      </c>
      <c r="DX36" s="272">
        <v>0</v>
      </c>
      <c r="DY36" s="272">
        <v>0</v>
      </c>
      <c r="DZ36" s="272">
        <v>106034</v>
      </c>
      <c r="EA36" s="272">
        <v>156911</v>
      </c>
      <c r="EB36" s="272"/>
      <c r="EC36" s="272">
        <v>0</v>
      </c>
      <c r="ED36" s="272">
        <v>24313333</v>
      </c>
      <c r="EF36" s="272">
        <v>202922</v>
      </c>
      <c r="EG36" s="272">
        <v>26750</v>
      </c>
      <c r="EH36" s="272">
        <v>176172</v>
      </c>
      <c r="EI36" s="272">
        <v>-89224</v>
      </c>
      <c r="EJ36" s="272">
        <v>-737942</v>
      </c>
      <c r="EL36" s="272"/>
      <c r="EM36" s="272">
        <v>55348</v>
      </c>
      <c r="EN36" s="272">
        <v>1639172</v>
      </c>
      <c r="EO36" s="272">
        <v>2708</v>
      </c>
      <c r="EP36" s="455">
        <f t="shared" si="12"/>
        <v>494346</v>
      </c>
      <c r="EQ36" s="272">
        <v>9385633</v>
      </c>
      <c r="ER36" s="272">
        <v>-2121247</v>
      </c>
      <c r="ES36" s="272">
        <v>3992949</v>
      </c>
      <c r="ET36" s="272">
        <v>3060603</v>
      </c>
      <c r="EU36" s="272">
        <v>312012</v>
      </c>
      <c r="EV36" s="272">
        <v>1239912</v>
      </c>
      <c r="EW36" s="455">
        <f t="shared" si="13"/>
        <v>1060226</v>
      </c>
      <c r="EX36" s="272">
        <v>1060226</v>
      </c>
      <c r="EY36" s="272">
        <v>22119</v>
      </c>
      <c r="EZ36" s="272">
        <v>977248</v>
      </c>
      <c r="FA36" s="272">
        <v>0</v>
      </c>
      <c r="FB36" s="272"/>
      <c r="FC36" s="272">
        <v>1842579</v>
      </c>
      <c r="FD36" s="272">
        <v>1262708</v>
      </c>
      <c r="FE36" s="272">
        <v>559021</v>
      </c>
      <c r="FF36" s="272">
        <v>626537</v>
      </c>
      <c r="FG36" s="455">
        <f t="shared" si="14"/>
        <v>967035</v>
      </c>
      <c r="FH36" s="272">
        <v>11303958</v>
      </c>
      <c r="FI36" s="384">
        <f t="shared" si="15"/>
        <v>2</v>
      </c>
      <c r="FJ36" s="272">
        <v>8706696</v>
      </c>
      <c r="FK36" s="272"/>
      <c r="FL36" s="272">
        <v>4883453</v>
      </c>
      <c r="FM36" s="272">
        <v>7134924</v>
      </c>
      <c r="FN36" s="460">
        <v>0.7</v>
      </c>
      <c r="FO36" s="388">
        <v>99.3</v>
      </c>
      <c r="FP36" s="388">
        <v>45.3</v>
      </c>
      <c r="FQ36" s="388">
        <v>3.6</v>
      </c>
      <c r="FR36" s="388">
        <v>14.1</v>
      </c>
      <c r="FS36" s="388">
        <v>19.899999999999999</v>
      </c>
      <c r="FT36" s="388">
        <v>11.8</v>
      </c>
      <c r="FU36" s="388">
        <v>3.2</v>
      </c>
      <c r="FV36" s="388">
        <v>10.3</v>
      </c>
      <c r="FW36" s="272">
        <v>12532188</v>
      </c>
      <c r="FX36" s="384">
        <f t="shared" si="16"/>
        <v>143.9</v>
      </c>
      <c r="FY36" s="272">
        <v>4891018</v>
      </c>
      <c r="FZ36" s="272">
        <v>2508100</v>
      </c>
      <c r="GA36" s="272">
        <v>301888</v>
      </c>
      <c r="GB36" s="272">
        <v>2081030</v>
      </c>
      <c r="GC36" s="272"/>
      <c r="GD36" s="272">
        <v>1885833</v>
      </c>
      <c r="GE36" s="384">
        <f t="shared" si="17"/>
        <v>21.7</v>
      </c>
      <c r="GF36" s="388">
        <v>96.7</v>
      </c>
      <c r="GG36" s="388">
        <v>28.9</v>
      </c>
      <c r="GH36" s="388">
        <v>92.3</v>
      </c>
      <c r="GI36" s="272">
        <v>532</v>
      </c>
    </row>
    <row r="37" spans="2:191" x14ac:dyDescent="0.15">
      <c r="B37" s="22" t="s">
        <v>67</v>
      </c>
      <c r="C37" s="272">
        <f>SUM(C6:C36)</f>
        <v>813025534</v>
      </c>
      <c r="D37" s="455">
        <f t="shared" si="0"/>
        <v>346237858</v>
      </c>
      <c r="E37" s="272">
        <f>SUM(E6:E36)</f>
        <v>3787350</v>
      </c>
      <c r="F37" s="272">
        <f>SUM(F6:F36)</f>
        <v>342450508</v>
      </c>
      <c r="G37" s="455">
        <f t="shared" si="1"/>
        <v>71442167</v>
      </c>
      <c r="H37" s="272">
        <f t="shared" ref="H37:S37" si="18">SUM(H6:H36)</f>
        <v>9702887</v>
      </c>
      <c r="I37" s="272">
        <f t="shared" si="18"/>
        <v>61739280</v>
      </c>
      <c r="J37" s="272">
        <f t="shared" si="18"/>
        <v>284832794</v>
      </c>
      <c r="K37" s="272">
        <f t="shared" si="18"/>
        <v>141075807</v>
      </c>
      <c r="L37" s="272">
        <f t="shared" si="18"/>
        <v>96864070</v>
      </c>
      <c r="M37" s="272">
        <f t="shared" si="18"/>
        <v>42995445</v>
      </c>
      <c r="N37" s="272">
        <f t="shared" si="18"/>
        <v>25830842</v>
      </c>
      <c r="O37" s="272">
        <f t="shared" si="18"/>
        <v>67165398</v>
      </c>
      <c r="P37" s="272">
        <f t="shared" si="18"/>
        <v>46428933</v>
      </c>
      <c r="Q37" s="272">
        <f t="shared" si="18"/>
        <v>20736465</v>
      </c>
      <c r="R37" s="272">
        <f t="shared" si="18"/>
        <v>33787273</v>
      </c>
      <c r="S37" s="272">
        <f t="shared" si="18"/>
        <v>22910137</v>
      </c>
      <c r="T37" s="455">
        <f t="shared" si="2"/>
        <v>39524793</v>
      </c>
      <c r="U37" s="272">
        <f>SUM(U6:U36)</f>
        <v>26024364</v>
      </c>
      <c r="V37" s="272"/>
      <c r="W37" s="272"/>
      <c r="X37" s="272"/>
      <c r="Y37" s="272">
        <f>SUM(Y6:Y36)</f>
        <v>1296633</v>
      </c>
      <c r="Z37" s="272">
        <f>SUM(Z6:Z36)</f>
        <v>266506</v>
      </c>
      <c r="AA37" s="272">
        <f>SUM(AA6:AA36)</f>
        <v>11937290</v>
      </c>
      <c r="AB37" s="272"/>
      <c r="AC37" s="272">
        <f>SUM(AC6:AC36)</f>
        <v>69194773</v>
      </c>
      <c r="AD37" s="272">
        <f>SUM(AD6:AD36)</f>
        <v>58368127</v>
      </c>
      <c r="AE37" s="272">
        <f>SUM(AE6:AE36)</f>
        <v>10826646</v>
      </c>
      <c r="AF37" s="272">
        <f>SUM(AF6:AF36)</f>
        <v>1111287</v>
      </c>
      <c r="AG37" s="272">
        <f>SUM(AG6:AG36)</f>
        <v>19757974</v>
      </c>
      <c r="AH37" s="455">
        <f t="shared" si="3"/>
        <v>29215888</v>
      </c>
      <c r="AI37" s="272">
        <f>SUM(AI6:AI36)</f>
        <v>23155493</v>
      </c>
      <c r="AJ37" s="272">
        <f>SUM(AJ6:AJ36)</f>
        <v>6060395</v>
      </c>
      <c r="AK37" s="272">
        <f>SUM(AK6:AK36)</f>
        <v>127250528</v>
      </c>
      <c r="AL37" s="455">
        <f t="shared" si="4"/>
        <v>66137284</v>
      </c>
      <c r="AM37" s="272">
        <f t="shared" ref="AM37:BN37" si="19">SUM(AM6:AM36)</f>
        <v>49109268</v>
      </c>
      <c r="AN37" s="272">
        <f t="shared" si="19"/>
        <v>11193883</v>
      </c>
      <c r="AO37" s="272">
        <f t="shared" si="19"/>
        <v>106098</v>
      </c>
      <c r="AP37" s="272">
        <f t="shared" si="19"/>
        <v>5728035</v>
      </c>
      <c r="AQ37" s="272">
        <f t="shared" si="19"/>
        <v>30021206</v>
      </c>
      <c r="AR37" s="272">
        <f t="shared" si="19"/>
        <v>92027</v>
      </c>
      <c r="AS37" s="272">
        <f t="shared" si="19"/>
        <v>323846</v>
      </c>
      <c r="AT37" s="272">
        <f t="shared" si="19"/>
        <v>72466345</v>
      </c>
      <c r="AU37" s="272">
        <f t="shared" si="19"/>
        <v>22729008</v>
      </c>
      <c r="AV37" s="272">
        <f t="shared" si="19"/>
        <v>5341324</v>
      </c>
      <c r="AW37" s="272">
        <f t="shared" si="19"/>
        <v>2890221</v>
      </c>
      <c r="AX37" s="272">
        <f t="shared" si="19"/>
        <v>49737337</v>
      </c>
      <c r="AY37" s="272">
        <f t="shared" si="19"/>
        <v>12753706</v>
      </c>
      <c r="AZ37" s="272">
        <f t="shared" si="19"/>
        <v>23603700</v>
      </c>
      <c r="BA37" s="272">
        <f t="shared" si="19"/>
        <v>8327938</v>
      </c>
      <c r="BB37" s="272">
        <f t="shared" si="19"/>
        <v>13385066</v>
      </c>
      <c r="BC37" s="272">
        <f t="shared" si="19"/>
        <v>88620805</v>
      </c>
      <c r="BD37" s="272">
        <f t="shared" si="19"/>
        <v>20252575</v>
      </c>
      <c r="BE37" s="272">
        <f t="shared" si="19"/>
        <v>4444820</v>
      </c>
      <c r="BF37" s="272">
        <f t="shared" si="19"/>
        <v>60275209</v>
      </c>
      <c r="BG37" s="272">
        <f t="shared" si="19"/>
        <v>6910</v>
      </c>
      <c r="BH37" s="272">
        <f t="shared" si="19"/>
        <v>22403245</v>
      </c>
      <c r="BI37" s="272">
        <f t="shared" si="19"/>
        <v>15208344</v>
      </c>
      <c r="BJ37" s="272">
        <f t="shared" si="19"/>
        <v>65317126</v>
      </c>
      <c r="BK37" s="272">
        <f t="shared" si="19"/>
        <v>31704021</v>
      </c>
      <c r="BL37" s="272">
        <f t="shared" si="19"/>
        <v>1358494</v>
      </c>
      <c r="BM37" s="272">
        <f t="shared" si="19"/>
        <v>12121653</v>
      </c>
      <c r="BN37" s="272">
        <f t="shared" si="19"/>
        <v>151357214</v>
      </c>
      <c r="BO37" s="455">
        <f t="shared" si="5"/>
        <v>151357214</v>
      </c>
      <c r="BP37" s="455">
        <f t="shared" si="6"/>
        <v>0</v>
      </c>
      <c r="BQ37" s="272"/>
      <c r="BR37" s="272"/>
      <c r="BS37" s="272"/>
      <c r="BT37" s="272">
        <v>0</v>
      </c>
      <c r="BU37" s="272">
        <f>SUM(BU6:BU36)</f>
        <v>1570345397</v>
      </c>
      <c r="BV37" s="272"/>
      <c r="BW37" s="272">
        <f t="shared" ref="BW37:CI37" si="20">SUM(BW6:BW36)</f>
        <v>411232094</v>
      </c>
      <c r="BX37" s="272">
        <f t="shared" si="20"/>
        <v>314476047</v>
      </c>
      <c r="BY37" s="272">
        <f t="shared" si="20"/>
        <v>19163784</v>
      </c>
      <c r="BZ37" s="272">
        <f t="shared" si="20"/>
        <v>11691592</v>
      </c>
      <c r="CA37" s="272">
        <f t="shared" si="20"/>
        <v>160281622</v>
      </c>
      <c r="CB37" s="272">
        <f t="shared" si="20"/>
        <v>16708167</v>
      </c>
      <c r="CC37" s="272">
        <f t="shared" si="20"/>
        <v>31075845</v>
      </c>
      <c r="CD37" s="272">
        <f t="shared" si="20"/>
        <v>34840671</v>
      </c>
      <c r="CE37" s="272">
        <f t="shared" si="20"/>
        <v>65902189</v>
      </c>
      <c r="CF37" s="272">
        <f t="shared" si="20"/>
        <v>8886285</v>
      </c>
      <c r="CG37" s="272">
        <f t="shared" si="20"/>
        <v>2850418</v>
      </c>
      <c r="CH37" s="272">
        <f t="shared" si="20"/>
        <v>121805196</v>
      </c>
      <c r="CI37" s="272">
        <f t="shared" si="20"/>
        <v>63081084</v>
      </c>
      <c r="CJ37" s="455">
        <f t="shared" si="7"/>
        <v>58724112</v>
      </c>
      <c r="CK37" s="272">
        <f t="shared" ref="CK37:CS37" si="21">SUM(CK6:CK36)</f>
        <v>148672185</v>
      </c>
      <c r="CL37" s="272">
        <f t="shared" si="21"/>
        <v>78163934</v>
      </c>
      <c r="CM37" s="272">
        <f t="shared" si="21"/>
        <v>7085481</v>
      </c>
      <c r="CN37" s="272">
        <f t="shared" si="21"/>
        <v>37084570</v>
      </c>
      <c r="CO37" s="272">
        <f t="shared" si="21"/>
        <v>18229530</v>
      </c>
      <c r="CP37" s="272">
        <f t="shared" si="21"/>
        <v>108110078</v>
      </c>
      <c r="CQ37" s="272">
        <f t="shared" si="21"/>
        <v>37798126</v>
      </c>
      <c r="CR37" s="272">
        <f t="shared" si="21"/>
        <v>28876043</v>
      </c>
      <c r="CS37" s="272">
        <f t="shared" si="21"/>
        <v>24499888</v>
      </c>
      <c r="CT37" s="455">
        <f t="shared" si="8"/>
        <v>16737869</v>
      </c>
      <c r="CU37" s="272">
        <f>SUM(CU6:CU36)</f>
        <v>6057237</v>
      </c>
      <c r="CV37" s="272">
        <f>SUM(CV6:CV36)</f>
        <v>10680632</v>
      </c>
      <c r="CW37" s="455">
        <f t="shared" si="9"/>
        <v>12997594</v>
      </c>
      <c r="CX37" s="272">
        <f>SUM(CX6:CX36)</f>
        <v>5306180</v>
      </c>
      <c r="CY37" s="272">
        <f>SUM(CY6:CY36)</f>
        <v>7691414</v>
      </c>
      <c r="CZ37" s="455">
        <f t="shared" si="10"/>
        <v>0</v>
      </c>
      <c r="DA37" s="272">
        <f t="shared" ref="DA37:DU37" si="22">SUM(DA6:DA36)</f>
        <v>0</v>
      </c>
      <c r="DB37" s="272">
        <f t="shared" si="22"/>
        <v>0</v>
      </c>
      <c r="DC37" s="272">
        <f t="shared" si="22"/>
        <v>364195777</v>
      </c>
      <c r="DD37" s="272">
        <f t="shared" si="22"/>
        <v>67264922</v>
      </c>
      <c r="DE37" s="272">
        <f t="shared" si="22"/>
        <v>286964592</v>
      </c>
      <c r="DF37" s="272">
        <f t="shared" si="22"/>
        <v>3355079</v>
      </c>
      <c r="DG37" s="272">
        <f t="shared" si="22"/>
        <v>6411010</v>
      </c>
      <c r="DH37" s="272">
        <f t="shared" si="22"/>
        <v>781079</v>
      </c>
      <c r="DI37" s="272">
        <f t="shared" si="22"/>
        <v>57509832</v>
      </c>
      <c r="DJ37" s="272">
        <f t="shared" si="22"/>
        <v>12081780</v>
      </c>
      <c r="DK37" s="272">
        <f t="shared" si="22"/>
        <v>1695731</v>
      </c>
      <c r="DL37" s="272">
        <f t="shared" si="22"/>
        <v>43732321</v>
      </c>
      <c r="DM37" s="272">
        <f t="shared" si="22"/>
        <v>7231957</v>
      </c>
      <c r="DN37" s="272">
        <f t="shared" si="22"/>
        <v>4462682</v>
      </c>
      <c r="DO37" s="272">
        <f t="shared" si="22"/>
        <v>3217909</v>
      </c>
      <c r="DP37" s="272">
        <f t="shared" si="22"/>
        <v>1244773</v>
      </c>
      <c r="DQ37" s="272">
        <f t="shared" si="22"/>
        <v>34522729</v>
      </c>
      <c r="DR37" s="272">
        <f t="shared" si="22"/>
        <v>1269842</v>
      </c>
      <c r="DS37" s="272">
        <f t="shared" si="22"/>
        <v>1067000</v>
      </c>
      <c r="DT37" s="272">
        <f t="shared" si="22"/>
        <v>118322288</v>
      </c>
      <c r="DU37" s="272">
        <f t="shared" si="22"/>
        <v>73741257</v>
      </c>
      <c r="DV37" s="455">
        <f t="shared" si="11"/>
        <v>1314147</v>
      </c>
      <c r="DW37" s="272">
        <f>SUM(DW6:DW36)</f>
        <v>1314147</v>
      </c>
      <c r="DX37" s="272">
        <v>0</v>
      </c>
      <c r="DY37" s="272">
        <f>SUM(DY6:DY36)</f>
        <v>185362</v>
      </c>
      <c r="DZ37" s="272">
        <f>SUM(DZ6:DZ36)</f>
        <v>26683321</v>
      </c>
      <c r="EA37" s="272">
        <f>SUM(EA6:EA36)</f>
        <v>14004298</v>
      </c>
      <c r="EB37" s="272"/>
      <c r="EC37" s="272">
        <f>SUM(EC6:EC36)</f>
        <v>277721</v>
      </c>
      <c r="ED37" s="272">
        <f>SUM(ED6:ED36)</f>
        <v>1551172088</v>
      </c>
      <c r="EF37" s="272">
        <f>SUM(EF6:EF36)</f>
        <v>19173309</v>
      </c>
      <c r="EG37" s="272">
        <f>SUM(EG6:EG36)</f>
        <v>6575837</v>
      </c>
      <c r="EH37" s="272">
        <f>SUM(EH6:EH36)</f>
        <v>12597472</v>
      </c>
      <c r="EI37" s="272">
        <f>SUM(EI6:EI36)</f>
        <v>-3241907</v>
      </c>
      <c r="EJ37" s="272">
        <f>SUM(EJ6:EJ36)</f>
        <v>-11412702</v>
      </c>
      <c r="EL37" s="272"/>
      <c r="EM37" s="272">
        <f>SUM(EM6:EM36)</f>
        <v>5039748</v>
      </c>
      <c r="EN37" s="272">
        <f>SUM(EN6:EN36)</f>
        <v>34764307</v>
      </c>
      <c r="EO37" s="272">
        <f>SUM(EO6:EO36)</f>
        <v>8240530</v>
      </c>
      <c r="EP37" s="455">
        <f t="shared" si="12"/>
        <v>58848261</v>
      </c>
      <c r="EQ37" s="272">
        <f t="shared" ref="EQ37:EV37" si="23">SUM(EQ6:EQ36)</f>
        <v>956967506</v>
      </c>
      <c r="ER37" s="272">
        <f t="shared" si="23"/>
        <v>-100417965</v>
      </c>
      <c r="ES37" s="272">
        <f t="shared" si="23"/>
        <v>379295015</v>
      </c>
      <c r="ET37" s="272">
        <f t="shared" si="23"/>
        <v>285345471</v>
      </c>
      <c r="EU37" s="272">
        <f t="shared" si="23"/>
        <v>47447381</v>
      </c>
      <c r="EV37" s="272">
        <f t="shared" si="23"/>
        <v>112579462</v>
      </c>
      <c r="EW37" s="455">
        <f t="shared" si="13"/>
        <v>108346718</v>
      </c>
      <c r="EX37" s="272">
        <f>SUM(EX6:EX36)</f>
        <v>107834280</v>
      </c>
      <c r="EY37" s="272">
        <f>SUM(EY6:EY36)</f>
        <v>7040925</v>
      </c>
      <c r="EZ37" s="272">
        <f>SUM(EZ6:EZ36)</f>
        <v>99189447</v>
      </c>
      <c r="FA37" s="272">
        <f>SUM(FA6:FA36)</f>
        <v>512438</v>
      </c>
      <c r="FB37" s="272"/>
      <c r="FC37" s="272">
        <f>SUM(FC6:FC36)</f>
        <v>121083056</v>
      </c>
      <c r="FD37" s="272">
        <f>SUM(FD6:FD36)</f>
        <v>96077236</v>
      </c>
      <c r="FE37" s="272">
        <f>SUM(FE6:FE36)</f>
        <v>37699466</v>
      </c>
      <c r="FF37" s="272">
        <f>SUM(FF6:FF36)</f>
        <v>113649169</v>
      </c>
      <c r="FG37" s="455">
        <f t="shared" si="14"/>
        <v>59968693</v>
      </c>
      <c r="FH37" s="272">
        <f>SUM(FH6:FH36)</f>
        <v>1038446730</v>
      </c>
      <c r="FI37" s="384">
        <f t="shared" si="15"/>
        <v>1.4</v>
      </c>
      <c r="FJ37" s="272">
        <f>SUM(FJ6:FJ36)</f>
        <v>868919606</v>
      </c>
      <c r="FK37" s="272">
        <f>SUM(FK6:FK36)</f>
        <v>0</v>
      </c>
      <c r="FL37" s="272">
        <f>SUM(FL6:FL36)</f>
        <v>610892578</v>
      </c>
      <c r="FM37" s="272">
        <f>SUM(FM6:FM36)</f>
        <v>643141916</v>
      </c>
      <c r="FN37" s="468">
        <v>0.96899999999999997</v>
      </c>
      <c r="FO37" s="469">
        <v>89.6</v>
      </c>
      <c r="FP37" s="469">
        <v>41.5</v>
      </c>
      <c r="FQ37" s="469">
        <v>5.4</v>
      </c>
      <c r="FR37" s="469">
        <v>12.5</v>
      </c>
      <c r="FS37" s="469">
        <v>12.6</v>
      </c>
      <c r="FT37" s="469">
        <v>9</v>
      </c>
      <c r="FU37" s="469">
        <v>6.8</v>
      </c>
      <c r="FV37" s="469">
        <v>9.6999999999999993</v>
      </c>
      <c r="FW37" s="272">
        <f>SUM(FW6:FW36)</f>
        <v>1043671163</v>
      </c>
      <c r="FX37" s="384">
        <f t="shared" si="16"/>
        <v>120.1</v>
      </c>
      <c r="FY37" s="272">
        <f t="shared" ref="FY37:GD37" si="24">SUM(FY6:FY36)</f>
        <v>403421882</v>
      </c>
      <c r="FZ37" s="272">
        <f t="shared" si="24"/>
        <v>85129410</v>
      </c>
      <c r="GA37" s="272">
        <f t="shared" si="24"/>
        <v>30764677</v>
      </c>
      <c r="GB37" s="272">
        <f t="shared" si="24"/>
        <v>287527795</v>
      </c>
      <c r="GC37" s="272">
        <f t="shared" si="24"/>
        <v>0</v>
      </c>
      <c r="GD37" s="272">
        <f t="shared" si="24"/>
        <v>454172635</v>
      </c>
      <c r="GE37" s="384">
        <f t="shared" si="17"/>
        <v>52.3</v>
      </c>
      <c r="GF37" s="469">
        <v>97.4</v>
      </c>
      <c r="GG37" s="469">
        <v>28.5</v>
      </c>
      <c r="GH37" s="469">
        <v>94.3</v>
      </c>
      <c r="GI37" s="272">
        <f>SUM(GI6:GI36)</f>
        <v>42025</v>
      </c>
    </row>
    <row r="38" spans="2:191" x14ac:dyDescent="0.15">
      <c r="B38" s="89" t="s">
        <v>69</v>
      </c>
      <c r="C38" s="272">
        <v>5189943</v>
      </c>
      <c r="D38" s="455">
        <f t="shared" si="0"/>
        <v>2182489</v>
      </c>
      <c r="E38" s="272">
        <v>16857</v>
      </c>
      <c r="F38" s="272">
        <v>2165632</v>
      </c>
      <c r="G38" s="455">
        <f t="shared" si="1"/>
        <v>613371</v>
      </c>
      <c r="H38" s="272">
        <v>53862</v>
      </c>
      <c r="I38" s="272">
        <v>559509</v>
      </c>
      <c r="J38" s="272">
        <v>1876161</v>
      </c>
      <c r="K38" s="272">
        <v>799316</v>
      </c>
      <c r="L38" s="272">
        <v>608178</v>
      </c>
      <c r="M38" s="272">
        <v>444721</v>
      </c>
      <c r="N38" s="272">
        <v>93390</v>
      </c>
      <c r="O38" s="272">
        <v>377977</v>
      </c>
      <c r="P38" s="272">
        <v>257025</v>
      </c>
      <c r="Q38" s="272">
        <v>120952</v>
      </c>
      <c r="R38" s="272">
        <v>173359</v>
      </c>
      <c r="S38" s="272">
        <v>115605</v>
      </c>
      <c r="T38" s="455">
        <f t="shared" si="2"/>
        <v>331603</v>
      </c>
      <c r="U38" s="272">
        <v>158267</v>
      </c>
      <c r="V38" s="272"/>
      <c r="W38" s="272"/>
      <c r="X38" s="272"/>
      <c r="Y38" s="272">
        <v>94897</v>
      </c>
      <c r="Z38" s="272">
        <v>0</v>
      </c>
      <c r="AA38" s="272">
        <v>78439</v>
      </c>
      <c r="AB38" s="272"/>
      <c r="AC38" s="272">
        <v>1043464</v>
      </c>
      <c r="AD38" s="272">
        <v>838527</v>
      </c>
      <c r="AE38" s="272">
        <v>204937</v>
      </c>
      <c r="AF38" s="272">
        <v>5178</v>
      </c>
      <c r="AG38" s="272">
        <v>41034</v>
      </c>
      <c r="AH38" s="455">
        <f t="shared" si="3"/>
        <v>198388</v>
      </c>
      <c r="AI38" s="272">
        <v>149211</v>
      </c>
      <c r="AJ38" s="272">
        <v>49177</v>
      </c>
      <c r="AK38" s="272">
        <v>305920</v>
      </c>
      <c r="AL38" s="455">
        <f t="shared" si="4"/>
        <v>114798</v>
      </c>
      <c r="AM38" s="272">
        <v>44821</v>
      </c>
      <c r="AN38" s="272">
        <v>34132</v>
      </c>
      <c r="AO38" s="272">
        <v>0</v>
      </c>
      <c r="AP38" s="272">
        <v>35845</v>
      </c>
      <c r="AQ38" s="272">
        <v>47651</v>
      </c>
      <c r="AR38" s="272">
        <v>0</v>
      </c>
      <c r="AS38" s="272">
        <v>0</v>
      </c>
      <c r="AT38" s="272">
        <v>434986</v>
      </c>
      <c r="AU38" s="272">
        <v>76246</v>
      </c>
      <c r="AV38" s="272">
        <v>17067</v>
      </c>
      <c r="AW38" s="272">
        <v>0</v>
      </c>
      <c r="AX38" s="272">
        <v>358740</v>
      </c>
      <c r="AY38" s="272">
        <v>170574</v>
      </c>
      <c r="AZ38" s="272">
        <v>241894</v>
      </c>
      <c r="BA38" s="272">
        <v>110167</v>
      </c>
      <c r="BB38" s="272">
        <v>11622</v>
      </c>
      <c r="BC38" s="272">
        <v>601354</v>
      </c>
      <c r="BD38" s="272">
        <v>0</v>
      </c>
      <c r="BE38" s="272">
        <v>47300</v>
      </c>
      <c r="BF38" s="272">
        <v>430000</v>
      </c>
      <c r="BG38" s="470">
        <v>124054</v>
      </c>
      <c r="BH38" s="272">
        <v>250312</v>
      </c>
      <c r="BI38" s="272">
        <v>38068</v>
      </c>
      <c r="BJ38" s="272">
        <v>276169</v>
      </c>
      <c r="BK38" s="272">
        <v>4812</v>
      </c>
      <c r="BL38" s="272">
        <v>0</v>
      </c>
      <c r="BM38" s="272">
        <v>0</v>
      </c>
      <c r="BN38" s="272">
        <v>914200</v>
      </c>
      <c r="BO38" s="455">
        <f t="shared" si="5"/>
        <v>914200</v>
      </c>
      <c r="BP38" s="455">
        <f t="shared" si="6"/>
        <v>0</v>
      </c>
      <c r="BQ38" s="272"/>
      <c r="BR38" s="272"/>
      <c r="BS38" s="272"/>
      <c r="BT38" s="272">
        <v>0</v>
      </c>
      <c r="BU38" s="272">
        <v>10019426</v>
      </c>
      <c r="BV38" s="272"/>
      <c r="BW38" s="272">
        <v>2687439</v>
      </c>
      <c r="BX38" s="272">
        <v>2078854</v>
      </c>
      <c r="BY38" s="272">
        <v>80824</v>
      </c>
      <c r="BZ38" s="272">
        <v>22670</v>
      </c>
      <c r="CA38" s="272">
        <v>632708</v>
      </c>
      <c r="CB38" s="272">
        <v>194035</v>
      </c>
      <c r="CC38" s="272">
        <v>198229</v>
      </c>
      <c r="CD38" s="272">
        <v>174275</v>
      </c>
      <c r="CE38" s="272">
        <v>55303</v>
      </c>
      <c r="CF38" s="272">
        <v>0</v>
      </c>
      <c r="CG38" s="272">
        <v>10866</v>
      </c>
      <c r="CH38" s="272">
        <v>829605</v>
      </c>
      <c r="CI38" s="272">
        <v>380371</v>
      </c>
      <c r="CJ38" s="455">
        <f t="shared" si="7"/>
        <v>449234</v>
      </c>
      <c r="CK38" s="272">
        <v>1020259</v>
      </c>
      <c r="CL38" s="272">
        <v>526447</v>
      </c>
      <c r="CM38" s="272">
        <v>58308</v>
      </c>
      <c r="CN38" s="272">
        <v>283925</v>
      </c>
      <c r="CO38" s="272">
        <v>80693</v>
      </c>
      <c r="CP38" s="272">
        <v>247067</v>
      </c>
      <c r="CQ38" s="272">
        <v>4558</v>
      </c>
      <c r="CR38" s="272">
        <v>95674</v>
      </c>
      <c r="CS38" s="272">
        <v>83464</v>
      </c>
      <c r="CT38" s="455">
        <f t="shared" si="8"/>
        <v>5748</v>
      </c>
      <c r="CU38" s="272">
        <v>5748</v>
      </c>
      <c r="CV38" s="272">
        <v>0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2384657</v>
      </c>
      <c r="DD38" s="272">
        <v>126954</v>
      </c>
      <c r="DE38" s="272">
        <v>2257703</v>
      </c>
      <c r="DF38" s="272">
        <v>0</v>
      </c>
      <c r="DG38" s="272">
        <v>0</v>
      </c>
      <c r="DH38" s="272">
        <v>1706</v>
      </c>
      <c r="DI38" s="272">
        <v>1014005</v>
      </c>
      <c r="DJ38" s="272">
        <v>390179</v>
      </c>
      <c r="DK38" s="272">
        <v>12382</v>
      </c>
      <c r="DL38" s="272">
        <v>611444</v>
      </c>
      <c r="DM38" s="272">
        <v>600</v>
      </c>
      <c r="DN38" s="272">
        <v>0</v>
      </c>
      <c r="DO38" s="272">
        <v>0</v>
      </c>
      <c r="DP38" s="272">
        <v>0</v>
      </c>
      <c r="DQ38" s="272">
        <v>3826</v>
      </c>
      <c r="DR38" s="272">
        <v>0</v>
      </c>
      <c r="DS38" s="272">
        <v>0</v>
      </c>
      <c r="DT38" s="272">
        <v>863253</v>
      </c>
      <c r="DU38" s="272">
        <v>551670</v>
      </c>
      <c r="DV38" s="455">
        <f t="shared" si="11"/>
        <v>0</v>
      </c>
      <c r="DW38" s="272">
        <v>0</v>
      </c>
      <c r="DX38" s="272">
        <v>0</v>
      </c>
      <c r="DY38" s="272">
        <v>0</v>
      </c>
      <c r="DZ38" s="272">
        <v>86722</v>
      </c>
      <c r="EA38" s="272">
        <v>68735</v>
      </c>
      <c r="EB38" s="272"/>
      <c r="EC38" s="272">
        <v>0</v>
      </c>
      <c r="ED38" s="272">
        <v>9765818</v>
      </c>
      <c r="EF38" s="272">
        <v>253608</v>
      </c>
      <c r="EG38" s="272">
        <v>129266</v>
      </c>
      <c r="EH38" s="272">
        <v>124342</v>
      </c>
      <c r="EI38" s="272">
        <v>86274</v>
      </c>
      <c r="EJ38" s="272">
        <v>476453</v>
      </c>
      <c r="EL38" s="272"/>
      <c r="EM38" s="272">
        <v>30139</v>
      </c>
      <c r="EN38" s="272">
        <v>596278</v>
      </c>
      <c r="EO38" s="272">
        <v>66381</v>
      </c>
      <c r="EP38" s="455">
        <f t="shared" si="12"/>
        <v>253452</v>
      </c>
      <c r="EQ38" s="272">
        <v>6743547</v>
      </c>
      <c r="ER38" s="272">
        <v>-910933</v>
      </c>
      <c r="ES38" s="272">
        <v>2443795</v>
      </c>
      <c r="ET38" s="272">
        <v>1838930</v>
      </c>
      <c r="EU38" s="272">
        <v>294503</v>
      </c>
      <c r="EV38" s="272">
        <v>827664</v>
      </c>
      <c r="EW38" s="455">
        <f t="shared" si="13"/>
        <v>924147</v>
      </c>
      <c r="EX38" s="272">
        <v>922441</v>
      </c>
      <c r="EY38" s="272">
        <v>60303</v>
      </c>
      <c r="EZ38" s="272">
        <v>862138</v>
      </c>
      <c r="FA38" s="272">
        <v>1706</v>
      </c>
      <c r="FB38" s="272"/>
      <c r="FC38" s="272">
        <v>872567</v>
      </c>
      <c r="FD38" s="272">
        <v>225695</v>
      </c>
      <c r="FE38" s="272">
        <v>4558</v>
      </c>
      <c r="FF38" s="272">
        <v>850574</v>
      </c>
      <c r="FG38" s="455">
        <f t="shared" si="14"/>
        <v>961927</v>
      </c>
      <c r="FH38" s="272">
        <v>7400872</v>
      </c>
      <c r="FI38" s="384">
        <f t="shared" si="15"/>
        <v>2.1</v>
      </c>
      <c r="FJ38" s="272">
        <v>6013369</v>
      </c>
      <c r="FK38" s="272"/>
      <c r="FL38" s="272">
        <v>3896759</v>
      </c>
      <c r="FM38" s="272">
        <v>4746036</v>
      </c>
      <c r="FN38" s="460">
        <v>0.80300000000000005</v>
      </c>
      <c r="FO38" s="388">
        <v>77.8</v>
      </c>
      <c r="FP38" s="388">
        <v>38.5</v>
      </c>
      <c r="FQ38" s="388">
        <v>4.7</v>
      </c>
      <c r="FR38" s="388">
        <v>13.3</v>
      </c>
      <c r="FS38" s="388">
        <v>12.6</v>
      </c>
      <c r="FT38" s="388">
        <v>3.1</v>
      </c>
      <c r="FU38" s="388">
        <v>4.4000000000000004</v>
      </c>
      <c r="FV38" s="388">
        <v>9.9</v>
      </c>
      <c r="FW38" s="272">
        <v>8404627</v>
      </c>
      <c r="FX38" s="384">
        <f t="shared" si="16"/>
        <v>139.80000000000001</v>
      </c>
      <c r="FY38" s="272">
        <v>4734029</v>
      </c>
      <c r="FZ38" s="272">
        <v>915470</v>
      </c>
      <c r="GA38" s="272">
        <v>452596</v>
      </c>
      <c r="GB38" s="272">
        <v>3365963</v>
      </c>
      <c r="GC38" s="272"/>
      <c r="GD38" s="272"/>
      <c r="GE38" s="384"/>
      <c r="GF38" s="388">
        <v>98.2</v>
      </c>
      <c r="GG38" s="388">
        <v>19.899999999999999</v>
      </c>
      <c r="GH38" s="388">
        <v>94.6</v>
      </c>
      <c r="GI38" s="272">
        <v>305</v>
      </c>
    </row>
    <row r="39" spans="2:191" x14ac:dyDescent="0.15">
      <c r="B39" s="89" t="s">
        <v>71</v>
      </c>
      <c r="C39" s="272">
        <v>3377127</v>
      </c>
      <c r="D39" s="455">
        <f t="shared" si="0"/>
        <v>2346771</v>
      </c>
      <c r="E39" s="272">
        <v>12587</v>
      </c>
      <c r="F39" s="272">
        <v>2334184</v>
      </c>
      <c r="G39" s="455">
        <f t="shared" si="1"/>
        <v>42506</v>
      </c>
      <c r="H39" s="272">
        <v>14533</v>
      </c>
      <c r="I39" s="272">
        <v>27973</v>
      </c>
      <c r="J39" s="272">
        <v>931960</v>
      </c>
      <c r="K39" s="272">
        <v>354433</v>
      </c>
      <c r="L39" s="272">
        <v>503945</v>
      </c>
      <c r="M39" s="272">
        <v>73532</v>
      </c>
      <c r="N39" s="272">
        <v>41536</v>
      </c>
      <c r="O39" s="272">
        <v>0</v>
      </c>
      <c r="P39" s="272">
        <v>0</v>
      </c>
      <c r="Q39" s="272">
        <v>0</v>
      </c>
      <c r="R39" s="272">
        <v>142639</v>
      </c>
      <c r="S39" s="272">
        <v>73870</v>
      </c>
      <c r="T39" s="455">
        <f t="shared" si="2"/>
        <v>260525</v>
      </c>
      <c r="U39" s="272">
        <v>150238</v>
      </c>
      <c r="V39" s="272"/>
      <c r="W39" s="272"/>
      <c r="X39" s="272"/>
      <c r="Y39" s="272">
        <v>17020</v>
      </c>
      <c r="Z39" s="272">
        <v>0</v>
      </c>
      <c r="AA39" s="272">
        <v>93267</v>
      </c>
      <c r="AB39" s="272"/>
      <c r="AC39" s="272">
        <v>1485582</v>
      </c>
      <c r="AD39" s="272">
        <v>1269939</v>
      </c>
      <c r="AE39" s="272">
        <v>215643</v>
      </c>
      <c r="AF39" s="272">
        <v>6008</v>
      </c>
      <c r="AG39" s="272">
        <v>11413</v>
      </c>
      <c r="AH39" s="455">
        <f t="shared" si="3"/>
        <v>146628</v>
      </c>
      <c r="AI39" s="272">
        <v>127378</v>
      </c>
      <c r="AJ39" s="272">
        <v>19250</v>
      </c>
      <c r="AK39" s="272">
        <v>107167</v>
      </c>
      <c r="AL39" s="455">
        <f t="shared" si="4"/>
        <v>27319</v>
      </c>
      <c r="AM39" s="272">
        <v>0</v>
      </c>
      <c r="AN39" s="272">
        <v>7828</v>
      </c>
      <c r="AO39" s="272">
        <v>0</v>
      </c>
      <c r="AP39" s="272">
        <v>19491</v>
      </c>
      <c r="AQ39" s="272">
        <v>4304</v>
      </c>
      <c r="AR39" s="272">
        <v>1918</v>
      </c>
      <c r="AS39" s="272">
        <v>0</v>
      </c>
      <c r="AT39" s="272">
        <v>448423</v>
      </c>
      <c r="AU39" s="272">
        <v>112867</v>
      </c>
      <c r="AV39" s="272">
        <v>3914</v>
      </c>
      <c r="AW39" s="272">
        <v>1097</v>
      </c>
      <c r="AX39" s="272">
        <v>335556</v>
      </c>
      <c r="AY39" s="272">
        <v>147902</v>
      </c>
      <c r="AZ39" s="272">
        <v>141705</v>
      </c>
      <c r="BA39" s="272">
        <v>4468</v>
      </c>
      <c r="BB39" s="272">
        <v>2059</v>
      </c>
      <c r="BC39" s="272">
        <v>166474</v>
      </c>
      <c r="BD39" s="272">
        <v>150000</v>
      </c>
      <c r="BE39" s="272">
        <v>3938</v>
      </c>
      <c r="BF39" s="272">
        <v>10388</v>
      </c>
      <c r="BG39" s="272">
        <v>0</v>
      </c>
      <c r="BH39" s="272">
        <v>221908</v>
      </c>
      <c r="BI39" s="272">
        <v>221908</v>
      </c>
      <c r="BJ39" s="272">
        <v>65865</v>
      </c>
      <c r="BK39" s="272">
        <v>18</v>
      </c>
      <c r="BL39" s="272">
        <v>0</v>
      </c>
      <c r="BM39" s="272">
        <v>0</v>
      </c>
      <c r="BN39" s="272">
        <v>172500</v>
      </c>
      <c r="BO39" s="455">
        <f t="shared" si="5"/>
        <v>172500</v>
      </c>
      <c r="BP39" s="455">
        <f t="shared" si="6"/>
        <v>0</v>
      </c>
      <c r="BQ39" s="272"/>
      <c r="BR39" s="272"/>
      <c r="BS39" s="272"/>
      <c r="BT39" s="272">
        <v>0</v>
      </c>
      <c r="BU39" s="272">
        <v>6756023</v>
      </c>
      <c r="BV39" s="272"/>
      <c r="BW39" s="272">
        <v>1985874</v>
      </c>
      <c r="BX39" s="272">
        <v>1332939</v>
      </c>
      <c r="BY39" s="272">
        <v>13266</v>
      </c>
      <c r="BZ39" s="272">
        <v>257651</v>
      </c>
      <c r="CA39" s="272">
        <v>166640</v>
      </c>
      <c r="CB39" s="272">
        <v>33318</v>
      </c>
      <c r="CC39" s="272">
        <v>115677</v>
      </c>
      <c r="CD39" s="272">
        <v>15570</v>
      </c>
      <c r="CE39" s="272">
        <v>0</v>
      </c>
      <c r="CF39" s="272">
        <v>0</v>
      </c>
      <c r="CG39" s="272">
        <v>2075</v>
      </c>
      <c r="CH39" s="272">
        <v>507680</v>
      </c>
      <c r="CI39" s="272">
        <v>288130</v>
      </c>
      <c r="CJ39" s="455">
        <f t="shared" si="7"/>
        <v>219550</v>
      </c>
      <c r="CK39" s="272">
        <v>893521</v>
      </c>
      <c r="CL39" s="272">
        <v>333928</v>
      </c>
      <c r="CM39" s="272">
        <v>23280</v>
      </c>
      <c r="CN39" s="272">
        <v>311008</v>
      </c>
      <c r="CO39" s="272">
        <v>212920</v>
      </c>
      <c r="CP39" s="272">
        <v>550476</v>
      </c>
      <c r="CQ39" s="272">
        <v>302802</v>
      </c>
      <c r="CR39" s="272">
        <v>106241</v>
      </c>
      <c r="CS39" s="272">
        <v>104368</v>
      </c>
      <c r="CT39" s="455">
        <f t="shared" si="8"/>
        <v>39551</v>
      </c>
      <c r="CU39" s="272">
        <v>39551</v>
      </c>
      <c r="CV39" s="272">
        <v>0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704441</v>
      </c>
      <c r="DD39" s="272">
        <v>12534</v>
      </c>
      <c r="DE39" s="272">
        <v>678287</v>
      </c>
      <c r="DF39" s="272">
        <v>13620</v>
      </c>
      <c r="DG39" s="272">
        <v>0</v>
      </c>
      <c r="DH39" s="272">
        <v>102526</v>
      </c>
      <c r="DI39" s="272">
        <v>937456</v>
      </c>
      <c r="DJ39" s="272">
        <v>141000</v>
      </c>
      <c r="DK39" s="272">
        <v>10000</v>
      </c>
      <c r="DL39" s="272">
        <v>786456</v>
      </c>
      <c r="DM39" s="272">
        <v>1650</v>
      </c>
      <c r="DN39" s="272">
        <v>0</v>
      </c>
      <c r="DO39" s="272">
        <v>0</v>
      </c>
      <c r="DP39" s="272">
        <v>0</v>
      </c>
      <c r="DQ39" s="272">
        <v>1272</v>
      </c>
      <c r="DR39" s="272">
        <v>0</v>
      </c>
      <c r="DS39" s="272">
        <v>0</v>
      </c>
      <c r="DT39" s="272">
        <v>549569</v>
      </c>
      <c r="DU39" s="272">
        <v>209263</v>
      </c>
      <c r="DV39" s="455">
        <f t="shared" si="11"/>
        <v>0</v>
      </c>
      <c r="DW39" s="272">
        <v>0</v>
      </c>
      <c r="DX39" s="272">
        <v>0</v>
      </c>
      <c r="DY39" s="272">
        <v>0</v>
      </c>
      <c r="DZ39" s="272">
        <v>55655</v>
      </c>
      <c r="EA39" s="272">
        <v>95792</v>
      </c>
      <c r="EB39" s="272"/>
      <c r="EC39" s="272">
        <v>0</v>
      </c>
      <c r="ED39" s="272">
        <v>6614025</v>
      </c>
      <c r="EF39" s="272">
        <v>141998</v>
      </c>
      <c r="EG39" s="272">
        <v>8240</v>
      </c>
      <c r="EH39" s="272">
        <v>133758</v>
      </c>
      <c r="EI39" s="272">
        <v>-88150</v>
      </c>
      <c r="EJ39" s="272">
        <v>-97150</v>
      </c>
      <c r="EL39" s="272"/>
      <c r="EM39" s="272">
        <v>26959</v>
      </c>
      <c r="EN39" s="272">
        <v>153938</v>
      </c>
      <c r="EO39" s="272">
        <v>18264</v>
      </c>
      <c r="EP39" s="455">
        <f t="shared" si="12"/>
        <v>278878</v>
      </c>
      <c r="EQ39" s="272">
        <v>5271881</v>
      </c>
      <c r="ER39" s="272">
        <v>-445072</v>
      </c>
      <c r="ES39" s="272">
        <v>1753787</v>
      </c>
      <c r="ET39" s="272">
        <v>1126950</v>
      </c>
      <c r="EU39" s="272">
        <v>48038</v>
      </c>
      <c r="EV39" s="272">
        <v>483419</v>
      </c>
      <c r="EW39" s="455">
        <f t="shared" si="13"/>
        <v>416299</v>
      </c>
      <c r="EX39" s="272">
        <v>372471</v>
      </c>
      <c r="EY39" s="272">
        <v>6168</v>
      </c>
      <c r="EZ39" s="272">
        <v>352683</v>
      </c>
      <c r="FA39" s="272">
        <v>43828</v>
      </c>
      <c r="FB39" s="272"/>
      <c r="FC39" s="272">
        <v>773007</v>
      </c>
      <c r="FD39" s="272">
        <v>528983</v>
      </c>
      <c r="FE39" s="272">
        <v>302802</v>
      </c>
      <c r="FF39" s="272">
        <v>543877</v>
      </c>
      <c r="FG39" s="455">
        <f t="shared" si="14"/>
        <v>1027545</v>
      </c>
      <c r="FH39" s="272">
        <v>5574955</v>
      </c>
      <c r="FI39" s="384">
        <f t="shared" si="15"/>
        <v>2.6</v>
      </c>
      <c r="FJ39" s="272">
        <v>5066401</v>
      </c>
      <c r="FK39" s="272"/>
      <c r="FL39" s="272">
        <v>2866234</v>
      </c>
      <c r="FM39" s="272">
        <v>4144180</v>
      </c>
      <c r="FN39" s="460">
        <v>0.68799999999999994</v>
      </c>
      <c r="FO39" s="388">
        <v>76.599999999999994</v>
      </c>
      <c r="FP39" s="388">
        <v>34.200000000000003</v>
      </c>
      <c r="FQ39" s="388">
        <v>0.9</v>
      </c>
      <c r="FR39" s="388">
        <v>9.5</v>
      </c>
      <c r="FS39" s="388">
        <v>14.4</v>
      </c>
      <c r="FT39" s="388">
        <v>10.1</v>
      </c>
      <c r="FU39" s="388">
        <v>3.2</v>
      </c>
      <c r="FV39" s="388">
        <v>4.8</v>
      </c>
      <c r="FW39" s="272">
        <v>4305950</v>
      </c>
      <c r="FX39" s="384">
        <f t="shared" si="16"/>
        <v>85</v>
      </c>
      <c r="FY39" s="272">
        <v>5049806</v>
      </c>
      <c r="FZ39" s="272">
        <v>955000</v>
      </c>
      <c r="GA39" s="272">
        <v>308382</v>
      </c>
      <c r="GB39" s="272">
        <v>3786424</v>
      </c>
      <c r="GC39" s="272"/>
      <c r="GD39" s="272"/>
      <c r="GE39" s="384"/>
      <c r="GF39" s="388">
        <v>98.3</v>
      </c>
      <c r="GG39" s="388">
        <v>20.8</v>
      </c>
      <c r="GH39" s="388">
        <v>95.7</v>
      </c>
      <c r="GI39" s="272">
        <v>238</v>
      </c>
    </row>
    <row r="40" spans="2:191" x14ac:dyDescent="0.15">
      <c r="B40" s="89" t="s">
        <v>73</v>
      </c>
      <c r="C40" s="272">
        <v>1091693</v>
      </c>
      <c r="D40" s="455">
        <f t="shared" si="0"/>
        <v>563537</v>
      </c>
      <c r="E40" s="272">
        <v>5635</v>
      </c>
      <c r="F40" s="272">
        <v>557902</v>
      </c>
      <c r="G40" s="455">
        <f t="shared" si="1"/>
        <v>42818</v>
      </c>
      <c r="H40" s="272">
        <v>11616</v>
      </c>
      <c r="I40" s="272">
        <v>31202</v>
      </c>
      <c r="J40" s="272">
        <v>423853</v>
      </c>
      <c r="K40" s="272">
        <v>122640</v>
      </c>
      <c r="L40" s="272">
        <v>222823</v>
      </c>
      <c r="M40" s="272">
        <v>78142</v>
      </c>
      <c r="N40" s="272">
        <v>40577</v>
      </c>
      <c r="O40" s="272">
        <v>0</v>
      </c>
      <c r="P40" s="272">
        <v>0</v>
      </c>
      <c r="Q40" s="272">
        <v>0</v>
      </c>
      <c r="R40" s="272">
        <v>103913</v>
      </c>
      <c r="S40" s="272">
        <v>43675</v>
      </c>
      <c r="T40" s="455">
        <f t="shared" si="2"/>
        <v>144759</v>
      </c>
      <c r="U40" s="272">
        <v>40092</v>
      </c>
      <c r="V40" s="272"/>
      <c r="W40" s="272"/>
      <c r="X40" s="272"/>
      <c r="Y40" s="272">
        <v>21506</v>
      </c>
      <c r="Z40" s="272">
        <v>859</v>
      </c>
      <c r="AA40" s="272">
        <v>82302</v>
      </c>
      <c r="AB40" s="272"/>
      <c r="AC40" s="272">
        <v>1782370</v>
      </c>
      <c r="AD40" s="272">
        <v>1567432</v>
      </c>
      <c r="AE40" s="272">
        <v>214938</v>
      </c>
      <c r="AF40" s="272">
        <v>2332</v>
      </c>
      <c r="AG40" s="272">
        <v>211924</v>
      </c>
      <c r="AH40" s="455">
        <f t="shared" si="3"/>
        <v>122633</v>
      </c>
      <c r="AI40" s="272">
        <v>74496</v>
      </c>
      <c r="AJ40" s="272">
        <v>48137</v>
      </c>
      <c r="AK40" s="272">
        <v>138584</v>
      </c>
      <c r="AL40" s="455">
        <f t="shared" si="4"/>
        <v>45304</v>
      </c>
      <c r="AM40" s="272">
        <v>0</v>
      </c>
      <c r="AN40" s="272">
        <v>25769</v>
      </c>
      <c r="AO40" s="272">
        <v>0</v>
      </c>
      <c r="AP40" s="272">
        <v>19535</v>
      </c>
      <c r="AQ40" s="272">
        <v>65801</v>
      </c>
      <c r="AR40" s="272">
        <v>4493</v>
      </c>
      <c r="AS40" s="272">
        <v>0</v>
      </c>
      <c r="AT40" s="272">
        <v>955789</v>
      </c>
      <c r="AU40" s="272">
        <v>662471</v>
      </c>
      <c r="AV40" s="272">
        <v>417</v>
      </c>
      <c r="AW40" s="272">
        <v>572686</v>
      </c>
      <c r="AX40" s="272">
        <v>293318</v>
      </c>
      <c r="AY40" s="272">
        <v>179859</v>
      </c>
      <c r="AZ40" s="272">
        <v>36869</v>
      </c>
      <c r="BA40" s="272">
        <v>0</v>
      </c>
      <c r="BB40" s="272">
        <v>300</v>
      </c>
      <c r="BC40" s="272">
        <v>328833</v>
      </c>
      <c r="BD40" s="272">
        <v>100000</v>
      </c>
      <c r="BE40" s="272">
        <v>0</v>
      </c>
      <c r="BF40" s="272">
        <v>215000</v>
      </c>
      <c r="BG40" s="272">
        <v>0</v>
      </c>
      <c r="BH40" s="272">
        <v>188576</v>
      </c>
      <c r="BI40" s="272">
        <v>185088</v>
      </c>
      <c r="BJ40" s="272">
        <v>32363</v>
      </c>
      <c r="BK40" s="272">
        <v>3344</v>
      </c>
      <c r="BL40" s="272">
        <v>0</v>
      </c>
      <c r="BM40" s="272">
        <v>0</v>
      </c>
      <c r="BN40" s="272">
        <v>24600</v>
      </c>
      <c r="BO40" s="455">
        <f t="shared" si="5"/>
        <v>24600</v>
      </c>
      <c r="BP40" s="455">
        <f t="shared" si="6"/>
        <v>0</v>
      </c>
      <c r="BQ40" s="272"/>
      <c r="BR40" s="272"/>
      <c r="BS40" s="272"/>
      <c r="BT40" s="272">
        <v>0</v>
      </c>
      <c r="BU40" s="272">
        <v>5165538</v>
      </c>
      <c r="BV40" s="272"/>
      <c r="BW40" s="272">
        <v>1252223</v>
      </c>
      <c r="BX40" s="272">
        <v>819822</v>
      </c>
      <c r="BY40" s="272">
        <v>142398</v>
      </c>
      <c r="BZ40" s="272">
        <v>28076</v>
      </c>
      <c r="CA40" s="272">
        <v>142440</v>
      </c>
      <c r="CB40" s="272">
        <v>24392</v>
      </c>
      <c r="CC40" s="272">
        <v>74573</v>
      </c>
      <c r="CD40" s="272">
        <v>38328</v>
      </c>
      <c r="CE40" s="272">
        <v>0</v>
      </c>
      <c r="CF40" s="272">
        <v>963</v>
      </c>
      <c r="CG40" s="272">
        <v>4184</v>
      </c>
      <c r="CH40" s="272">
        <v>425189</v>
      </c>
      <c r="CI40" s="272">
        <v>278265</v>
      </c>
      <c r="CJ40" s="455">
        <f t="shared" si="7"/>
        <v>146924</v>
      </c>
      <c r="CK40" s="272">
        <v>635946</v>
      </c>
      <c r="CL40" s="272">
        <v>300715</v>
      </c>
      <c r="CM40" s="272">
        <v>42473</v>
      </c>
      <c r="CN40" s="272">
        <v>172865</v>
      </c>
      <c r="CO40" s="272">
        <v>18169</v>
      </c>
      <c r="CP40" s="272">
        <v>307350</v>
      </c>
      <c r="CQ40" s="272">
        <v>126175</v>
      </c>
      <c r="CR40" s="272">
        <v>83219</v>
      </c>
      <c r="CS40" s="272">
        <v>83219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1666815</v>
      </c>
      <c r="DD40" s="272">
        <v>1009878</v>
      </c>
      <c r="DE40" s="272">
        <v>643510</v>
      </c>
      <c r="DF40" s="272">
        <v>13427</v>
      </c>
      <c r="DG40" s="272">
        <v>0</v>
      </c>
      <c r="DH40" s="272">
        <v>16051</v>
      </c>
      <c r="DI40" s="272">
        <v>366094</v>
      </c>
      <c r="DJ40" s="272">
        <v>126860</v>
      </c>
      <c r="DK40" s="272">
        <v>0</v>
      </c>
      <c r="DL40" s="272">
        <v>239234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165141</v>
      </c>
      <c r="DU40" s="272">
        <v>34680</v>
      </c>
      <c r="DV40" s="455">
        <f t="shared" si="11"/>
        <v>0</v>
      </c>
      <c r="DW40" s="272">
        <v>0</v>
      </c>
      <c r="DX40" s="272">
        <v>0</v>
      </c>
      <c r="DY40" s="272">
        <v>0</v>
      </c>
      <c r="DZ40" s="272">
        <v>57187</v>
      </c>
      <c r="EA40" s="272">
        <v>42072</v>
      </c>
      <c r="EB40" s="272"/>
      <c r="EC40" s="272">
        <v>0</v>
      </c>
      <c r="ED40" s="272">
        <v>4995418</v>
      </c>
      <c r="EF40" s="272">
        <v>170120</v>
      </c>
      <c r="EG40" s="272">
        <v>500</v>
      </c>
      <c r="EH40" s="272">
        <v>169620</v>
      </c>
      <c r="EI40" s="272">
        <v>-15468</v>
      </c>
      <c r="EJ40" s="272">
        <v>11392</v>
      </c>
      <c r="EL40" s="272"/>
      <c r="EM40" s="272">
        <v>13434</v>
      </c>
      <c r="EN40" s="272">
        <v>113833</v>
      </c>
      <c r="EO40" s="272">
        <v>828</v>
      </c>
      <c r="EP40" s="455">
        <f t="shared" si="12"/>
        <v>212039</v>
      </c>
      <c r="EQ40" s="272">
        <v>3125067</v>
      </c>
      <c r="ER40" s="272">
        <v>-324368</v>
      </c>
      <c r="ES40" s="272">
        <v>1022259</v>
      </c>
      <c r="ET40" s="272">
        <v>724672</v>
      </c>
      <c r="EU40" s="272">
        <v>52279</v>
      </c>
      <c r="EV40" s="272">
        <v>411096</v>
      </c>
      <c r="EW40" s="455">
        <f t="shared" si="13"/>
        <v>528497</v>
      </c>
      <c r="EX40" s="272">
        <v>528094</v>
      </c>
      <c r="EY40" s="272">
        <v>96332</v>
      </c>
      <c r="EZ40" s="272">
        <v>418335</v>
      </c>
      <c r="FA40" s="272">
        <v>403</v>
      </c>
      <c r="FB40" s="272"/>
      <c r="FC40" s="272">
        <v>487429</v>
      </c>
      <c r="FD40" s="272">
        <v>270354</v>
      </c>
      <c r="FE40" s="272">
        <v>126175</v>
      </c>
      <c r="FF40" s="272">
        <v>159036</v>
      </c>
      <c r="FG40" s="455">
        <f t="shared" si="14"/>
        <v>348365</v>
      </c>
      <c r="FH40" s="272">
        <v>3279315</v>
      </c>
      <c r="FI40" s="384">
        <f t="shared" si="15"/>
        <v>5.8</v>
      </c>
      <c r="FJ40" s="272">
        <v>2939205</v>
      </c>
      <c r="FK40" s="272"/>
      <c r="FL40" s="272">
        <v>1044400</v>
      </c>
      <c r="FM40" s="272">
        <v>2613042</v>
      </c>
      <c r="FN40" s="460">
        <v>0.40600000000000003</v>
      </c>
      <c r="FO40" s="388">
        <v>77.599999999999994</v>
      </c>
      <c r="FP40" s="388">
        <v>34.799999999999997</v>
      </c>
      <c r="FQ40" s="388">
        <v>1.8</v>
      </c>
      <c r="FR40" s="388">
        <v>14</v>
      </c>
      <c r="FS40" s="388">
        <v>14.7</v>
      </c>
      <c r="FT40" s="388">
        <v>8.1999999999999993</v>
      </c>
      <c r="FU40" s="388">
        <v>3.5</v>
      </c>
      <c r="FV40" s="388">
        <v>8.9</v>
      </c>
      <c r="FW40" s="272">
        <v>2742717</v>
      </c>
      <c r="FX40" s="384">
        <f t="shared" si="16"/>
        <v>93.3</v>
      </c>
      <c r="FY40" s="272">
        <v>1471021</v>
      </c>
      <c r="FZ40" s="272">
        <v>1085898</v>
      </c>
      <c r="GA40" s="272"/>
      <c r="GB40" s="272">
        <v>385123</v>
      </c>
      <c r="GC40" s="272"/>
      <c r="GD40" s="272">
        <v>45830</v>
      </c>
      <c r="GE40" s="384">
        <f>ROUND(GD40/FJ40*100,1)</f>
        <v>1.6</v>
      </c>
      <c r="GF40" s="388">
        <v>96.6</v>
      </c>
      <c r="GG40" s="388">
        <v>21</v>
      </c>
      <c r="GH40" s="388">
        <v>92.7</v>
      </c>
      <c r="GI40" s="272">
        <v>152</v>
      </c>
    </row>
    <row r="41" spans="2:191" x14ac:dyDescent="0.15">
      <c r="B41" s="89" t="s">
        <v>75</v>
      </c>
      <c r="C41" s="272">
        <v>2555322</v>
      </c>
      <c r="D41" s="455">
        <f t="shared" si="0"/>
        <v>843278</v>
      </c>
      <c r="E41" s="272">
        <v>9290</v>
      </c>
      <c r="F41" s="272">
        <v>833988</v>
      </c>
      <c r="G41" s="455">
        <f t="shared" si="1"/>
        <v>192976</v>
      </c>
      <c r="H41" s="272">
        <v>41188</v>
      </c>
      <c r="I41" s="272">
        <v>151788</v>
      </c>
      <c r="J41" s="272">
        <v>1143529</v>
      </c>
      <c r="K41" s="272">
        <v>606663</v>
      </c>
      <c r="L41" s="272">
        <v>334534</v>
      </c>
      <c r="M41" s="272">
        <v>198648</v>
      </c>
      <c r="N41" s="272">
        <v>95829</v>
      </c>
      <c r="O41" s="272">
        <v>265745</v>
      </c>
      <c r="P41" s="272">
        <v>189712</v>
      </c>
      <c r="Q41" s="272">
        <v>76033</v>
      </c>
      <c r="R41" s="272">
        <v>126371</v>
      </c>
      <c r="S41" s="272">
        <v>91539</v>
      </c>
      <c r="T41" s="455">
        <f t="shared" si="2"/>
        <v>112438</v>
      </c>
      <c r="U41" s="272">
        <v>64984</v>
      </c>
      <c r="V41" s="272"/>
      <c r="W41" s="272"/>
      <c r="X41" s="272"/>
      <c r="Y41" s="272">
        <v>0</v>
      </c>
      <c r="Z41" s="272">
        <v>113</v>
      </c>
      <c r="AA41" s="272">
        <v>47341</v>
      </c>
      <c r="AB41" s="272"/>
      <c r="AC41" s="272">
        <v>1600176</v>
      </c>
      <c r="AD41" s="272">
        <v>1341545</v>
      </c>
      <c r="AE41" s="272">
        <v>258631</v>
      </c>
      <c r="AF41" s="272">
        <v>4572</v>
      </c>
      <c r="AG41" s="272">
        <v>12542</v>
      </c>
      <c r="AH41" s="455">
        <f t="shared" si="3"/>
        <v>120493</v>
      </c>
      <c r="AI41" s="272">
        <v>104462</v>
      </c>
      <c r="AJ41" s="272">
        <v>16031</v>
      </c>
      <c r="AK41" s="272">
        <v>152830</v>
      </c>
      <c r="AL41" s="455">
        <f t="shared" si="4"/>
        <v>103457</v>
      </c>
      <c r="AM41" s="272">
        <v>0</v>
      </c>
      <c r="AN41" s="272">
        <v>63849</v>
      </c>
      <c r="AO41" s="272">
        <v>0</v>
      </c>
      <c r="AP41" s="272">
        <v>39608</v>
      </c>
      <c r="AQ41" s="272">
        <v>2658</v>
      </c>
      <c r="AR41" s="272">
        <v>0</v>
      </c>
      <c r="AS41" s="272">
        <v>0</v>
      </c>
      <c r="AT41" s="272">
        <v>367278</v>
      </c>
      <c r="AU41" s="272">
        <v>70043</v>
      </c>
      <c r="AV41" s="272">
        <v>21828</v>
      </c>
      <c r="AW41" s="272">
        <v>0</v>
      </c>
      <c r="AX41" s="272">
        <v>297235</v>
      </c>
      <c r="AY41" s="272">
        <v>152700</v>
      </c>
      <c r="AZ41" s="272">
        <v>85180</v>
      </c>
      <c r="BA41" s="272">
        <v>0</v>
      </c>
      <c r="BB41" s="272">
        <v>10714</v>
      </c>
      <c r="BC41" s="272">
        <v>62</v>
      </c>
      <c r="BD41" s="272">
        <v>0</v>
      </c>
      <c r="BE41" s="272">
        <v>0</v>
      </c>
      <c r="BF41" s="272">
        <v>0</v>
      </c>
      <c r="BG41" s="272">
        <v>0</v>
      </c>
      <c r="BH41" s="272">
        <v>167543</v>
      </c>
      <c r="BI41" s="272">
        <v>133566</v>
      </c>
      <c r="BJ41" s="272">
        <v>98335</v>
      </c>
      <c r="BK41" s="272">
        <v>631</v>
      </c>
      <c r="BL41" s="272">
        <v>0</v>
      </c>
      <c r="BM41" s="272">
        <v>0</v>
      </c>
      <c r="BN41" s="272">
        <v>137500</v>
      </c>
      <c r="BO41" s="455">
        <f t="shared" si="5"/>
        <v>137500</v>
      </c>
      <c r="BP41" s="455">
        <f t="shared" si="6"/>
        <v>0</v>
      </c>
      <c r="BQ41" s="272"/>
      <c r="BR41" s="272"/>
      <c r="BS41" s="272"/>
      <c r="BT41" s="272">
        <v>0</v>
      </c>
      <c r="BU41" s="272">
        <v>5551356</v>
      </c>
      <c r="BV41" s="272"/>
      <c r="BW41" s="272">
        <v>1880943</v>
      </c>
      <c r="BX41" s="272">
        <v>1385000</v>
      </c>
      <c r="BY41" s="272">
        <v>92777</v>
      </c>
      <c r="BZ41" s="272">
        <v>11527</v>
      </c>
      <c r="CA41" s="272">
        <v>239454</v>
      </c>
      <c r="CB41" s="272">
        <v>51729</v>
      </c>
      <c r="CC41" s="272">
        <v>156925</v>
      </c>
      <c r="CD41" s="272">
        <v>26770</v>
      </c>
      <c r="CE41" s="272">
        <v>0</v>
      </c>
      <c r="CF41" s="272">
        <v>0</v>
      </c>
      <c r="CG41" s="272">
        <v>4030</v>
      </c>
      <c r="CH41" s="272">
        <v>411446</v>
      </c>
      <c r="CI41" s="272">
        <v>242537</v>
      </c>
      <c r="CJ41" s="455">
        <f t="shared" si="7"/>
        <v>168909</v>
      </c>
      <c r="CK41" s="272">
        <v>768092</v>
      </c>
      <c r="CL41" s="272">
        <v>372445</v>
      </c>
      <c r="CM41" s="272">
        <v>66364</v>
      </c>
      <c r="CN41" s="272">
        <v>205700</v>
      </c>
      <c r="CO41" s="272">
        <v>54999</v>
      </c>
      <c r="CP41" s="272">
        <v>503923</v>
      </c>
      <c r="CQ41" s="272">
        <v>5738</v>
      </c>
      <c r="CR41" s="272">
        <v>55756</v>
      </c>
      <c r="CS41" s="272">
        <v>55756</v>
      </c>
      <c r="CT41" s="455">
        <f t="shared" si="8"/>
        <v>250540</v>
      </c>
      <c r="CU41" s="272">
        <v>107472</v>
      </c>
      <c r="CV41" s="272">
        <v>143068</v>
      </c>
      <c r="CW41" s="455">
        <f t="shared" si="9"/>
        <v>190540</v>
      </c>
      <c r="CX41" s="272">
        <v>104790</v>
      </c>
      <c r="CY41" s="272">
        <v>85750</v>
      </c>
      <c r="CZ41" s="455">
        <f t="shared" si="10"/>
        <v>0</v>
      </c>
      <c r="DA41" s="272">
        <v>0</v>
      </c>
      <c r="DB41" s="272">
        <v>0</v>
      </c>
      <c r="DC41" s="272">
        <v>610288</v>
      </c>
      <c r="DD41" s="272">
        <v>7974</v>
      </c>
      <c r="DE41" s="272">
        <v>569409</v>
      </c>
      <c r="DF41" s="272">
        <v>32905</v>
      </c>
      <c r="DG41" s="272">
        <v>0</v>
      </c>
      <c r="DH41" s="272">
        <v>0</v>
      </c>
      <c r="DI41" s="272">
        <v>106375</v>
      </c>
      <c r="DJ41" s="272">
        <v>65365</v>
      </c>
      <c r="DK41" s="272">
        <v>0</v>
      </c>
      <c r="DL41" s="272">
        <v>41010</v>
      </c>
      <c r="DM41" s="272">
        <v>1000</v>
      </c>
      <c r="DN41" s="272">
        <v>0</v>
      </c>
      <c r="DO41" s="272">
        <v>0</v>
      </c>
      <c r="DP41" s="272">
        <v>0</v>
      </c>
      <c r="DQ41" s="272">
        <v>168</v>
      </c>
      <c r="DR41" s="272">
        <v>0</v>
      </c>
      <c r="DS41" s="272">
        <v>0</v>
      </c>
      <c r="DT41" s="272">
        <v>807531</v>
      </c>
      <c r="DU41" s="272">
        <v>589020</v>
      </c>
      <c r="DV41" s="455">
        <f t="shared" si="11"/>
        <v>0</v>
      </c>
      <c r="DW41" s="272">
        <v>0</v>
      </c>
      <c r="DX41" s="272">
        <v>0</v>
      </c>
      <c r="DY41" s="272">
        <v>0</v>
      </c>
      <c r="DZ41" s="272">
        <v>158276</v>
      </c>
      <c r="EA41" s="272">
        <v>60235</v>
      </c>
      <c r="EB41" s="272"/>
      <c r="EC41" s="272">
        <v>0</v>
      </c>
      <c r="ED41" s="272">
        <v>5384219</v>
      </c>
      <c r="EF41" s="272">
        <v>167137</v>
      </c>
      <c r="EG41" s="272">
        <v>25351</v>
      </c>
      <c r="EH41" s="272">
        <v>141786</v>
      </c>
      <c r="EI41" s="272">
        <v>8220</v>
      </c>
      <c r="EJ41" s="272">
        <v>73585</v>
      </c>
      <c r="EL41" s="272"/>
      <c r="EM41" s="272">
        <v>16582</v>
      </c>
      <c r="EN41" s="272">
        <v>62</v>
      </c>
      <c r="EO41" s="272">
        <v>369</v>
      </c>
      <c r="EP41" s="455">
        <f t="shared" si="12"/>
        <v>227232</v>
      </c>
      <c r="EQ41" s="272">
        <v>4398879</v>
      </c>
      <c r="ER41" s="272">
        <v>-223091</v>
      </c>
      <c r="ES41" s="272">
        <v>1729639</v>
      </c>
      <c r="ET41" s="272">
        <v>1260679</v>
      </c>
      <c r="EU41" s="272">
        <v>61944</v>
      </c>
      <c r="EV41" s="272">
        <v>411446</v>
      </c>
      <c r="EW41" s="455">
        <f t="shared" si="13"/>
        <v>278715</v>
      </c>
      <c r="EX41" s="272">
        <v>278715</v>
      </c>
      <c r="EY41" s="272">
        <v>616</v>
      </c>
      <c r="EZ41" s="272">
        <v>278099</v>
      </c>
      <c r="FA41" s="272">
        <v>0</v>
      </c>
      <c r="FB41" s="272"/>
      <c r="FC41" s="272">
        <v>648253</v>
      </c>
      <c r="FD41" s="272">
        <v>446383</v>
      </c>
      <c r="FE41" s="272">
        <v>5738</v>
      </c>
      <c r="FF41" s="272">
        <v>800218</v>
      </c>
      <c r="FG41" s="455">
        <f t="shared" si="14"/>
        <v>78235</v>
      </c>
      <c r="FH41" s="272">
        <v>4454833</v>
      </c>
      <c r="FI41" s="384">
        <f t="shared" si="15"/>
        <v>3.8</v>
      </c>
      <c r="FJ41" s="272">
        <v>3760686</v>
      </c>
      <c r="FK41" s="272"/>
      <c r="FL41" s="272">
        <v>1824083</v>
      </c>
      <c r="FM41" s="272">
        <v>3171694</v>
      </c>
      <c r="FN41" s="460">
        <v>0.60299999999999998</v>
      </c>
      <c r="FO41" s="388">
        <v>90.4</v>
      </c>
      <c r="FP41" s="388">
        <v>43.3</v>
      </c>
      <c r="FQ41" s="388">
        <v>1.6</v>
      </c>
      <c r="FR41" s="388">
        <v>10.5</v>
      </c>
      <c r="FS41" s="388">
        <v>15.7</v>
      </c>
      <c r="FT41" s="388">
        <v>6.9</v>
      </c>
      <c r="FU41" s="388">
        <v>11</v>
      </c>
      <c r="FV41" s="388">
        <v>9.1999999999999993</v>
      </c>
      <c r="FW41" s="272">
        <v>2657091</v>
      </c>
      <c r="FX41" s="384">
        <f t="shared" si="16"/>
        <v>70.7</v>
      </c>
      <c r="FY41" s="272">
        <v>2245683</v>
      </c>
      <c r="FZ41" s="272">
        <v>1228904</v>
      </c>
      <c r="GA41" s="272"/>
      <c r="GB41" s="272">
        <v>1016779</v>
      </c>
      <c r="GC41" s="272"/>
      <c r="GD41" s="272"/>
      <c r="GE41" s="384"/>
      <c r="GF41" s="388">
        <v>97.2</v>
      </c>
      <c r="GG41" s="388">
        <v>15.5</v>
      </c>
      <c r="GH41" s="388">
        <v>90.5</v>
      </c>
      <c r="GI41" s="272">
        <v>222</v>
      </c>
    </row>
    <row r="42" spans="2:191" x14ac:dyDescent="0.15">
      <c r="B42" s="89" t="s">
        <v>77</v>
      </c>
      <c r="C42" s="272">
        <v>4487969</v>
      </c>
      <c r="D42" s="455">
        <f t="shared" si="0"/>
        <v>2524841</v>
      </c>
      <c r="E42" s="272">
        <v>18969</v>
      </c>
      <c r="F42" s="272">
        <v>2505872</v>
      </c>
      <c r="G42" s="455">
        <f t="shared" si="1"/>
        <v>190349</v>
      </c>
      <c r="H42" s="272">
        <v>40747</v>
      </c>
      <c r="I42" s="272">
        <v>149602</v>
      </c>
      <c r="J42" s="272">
        <v>1608089</v>
      </c>
      <c r="K42" s="272">
        <v>636871</v>
      </c>
      <c r="L42" s="272">
        <v>744871</v>
      </c>
      <c r="M42" s="272">
        <v>214281</v>
      </c>
      <c r="N42" s="272">
        <v>123733</v>
      </c>
      <c r="O42" s="272">
        <v>0</v>
      </c>
      <c r="P42" s="272">
        <v>0</v>
      </c>
      <c r="Q42" s="272">
        <v>0</v>
      </c>
      <c r="R42" s="272">
        <v>231962</v>
      </c>
      <c r="S42" s="272">
        <v>149934</v>
      </c>
      <c r="T42" s="455">
        <f t="shared" si="2"/>
        <v>344311</v>
      </c>
      <c r="U42" s="272">
        <v>196068</v>
      </c>
      <c r="V42" s="272"/>
      <c r="W42" s="272"/>
      <c r="X42" s="272"/>
      <c r="Y42" s="272">
        <v>36538</v>
      </c>
      <c r="Z42" s="272">
        <v>183</v>
      </c>
      <c r="AA42" s="272">
        <v>111522</v>
      </c>
      <c r="AB42" s="272"/>
      <c r="AC42" s="272">
        <v>1701945</v>
      </c>
      <c r="AD42" s="272">
        <v>1497567</v>
      </c>
      <c r="AE42" s="272">
        <v>204378</v>
      </c>
      <c r="AF42" s="272">
        <v>9319</v>
      </c>
      <c r="AG42" s="272">
        <v>18195</v>
      </c>
      <c r="AH42" s="455">
        <f t="shared" si="3"/>
        <v>205960</v>
      </c>
      <c r="AI42" s="272">
        <v>184553</v>
      </c>
      <c r="AJ42" s="272">
        <v>21407</v>
      </c>
      <c r="AK42" s="272">
        <v>582797</v>
      </c>
      <c r="AL42" s="455">
        <f t="shared" si="4"/>
        <v>103161</v>
      </c>
      <c r="AM42" s="272">
        <v>0</v>
      </c>
      <c r="AN42" s="272">
        <v>63853</v>
      </c>
      <c r="AO42" s="272">
        <v>0</v>
      </c>
      <c r="AP42" s="272">
        <v>39308</v>
      </c>
      <c r="AQ42" s="272">
        <v>168357</v>
      </c>
      <c r="AR42" s="272">
        <v>1248</v>
      </c>
      <c r="AS42" s="272">
        <v>0</v>
      </c>
      <c r="AT42" s="272">
        <v>568373</v>
      </c>
      <c r="AU42" s="272">
        <v>118969</v>
      </c>
      <c r="AV42" s="272">
        <v>31926</v>
      </c>
      <c r="AW42" s="272">
        <v>7224</v>
      </c>
      <c r="AX42" s="272">
        <v>449404</v>
      </c>
      <c r="AY42" s="272">
        <v>232149</v>
      </c>
      <c r="AZ42" s="272">
        <v>325488</v>
      </c>
      <c r="BA42" s="272">
        <v>0</v>
      </c>
      <c r="BB42" s="272">
        <v>334877</v>
      </c>
      <c r="BC42" s="272">
        <v>665650</v>
      </c>
      <c r="BD42" s="272">
        <v>0</v>
      </c>
      <c r="BE42" s="272">
        <v>0</v>
      </c>
      <c r="BF42" s="272">
        <v>659296</v>
      </c>
      <c r="BG42" s="272">
        <v>0</v>
      </c>
      <c r="BH42" s="272">
        <v>549785</v>
      </c>
      <c r="BI42" s="272">
        <v>295811</v>
      </c>
      <c r="BJ42" s="272">
        <v>53891</v>
      </c>
      <c r="BK42" s="272">
        <v>0</v>
      </c>
      <c r="BL42" s="272">
        <v>353</v>
      </c>
      <c r="BM42" s="272">
        <v>0</v>
      </c>
      <c r="BN42" s="272">
        <v>1587100</v>
      </c>
      <c r="BO42" s="455">
        <f t="shared" si="5"/>
        <v>1587100</v>
      </c>
      <c r="BP42" s="455">
        <f t="shared" si="6"/>
        <v>0</v>
      </c>
      <c r="BQ42" s="272"/>
      <c r="BR42" s="272"/>
      <c r="BS42" s="272"/>
      <c r="BT42" s="272">
        <v>0</v>
      </c>
      <c r="BU42" s="272">
        <v>11667622</v>
      </c>
      <c r="BV42" s="272"/>
      <c r="BW42" s="272">
        <v>2610343</v>
      </c>
      <c r="BX42" s="272">
        <v>1978552</v>
      </c>
      <c r="BY42" s="272">
        <v>110608</v>
      </c>
      <c r="BZ42" s="272">
        <v>20384</v>
      </c>
      <c r="CA42" s="272">
        <v>512504</v>
      </c>
      <c r="CB42" s="272">
        <v>73664</v>
      </c>
      <c r="CC42" s="272">
        <v>227703</v>
      </c>
      <c r="CD42" s="272">
        <v>199189</v>
      </c>
      <c r="CE42" s="272">
        <v>0</v>
      </c>
      <c r="CF42" s="272">
        <v>0</v>
      </c>
      <c r="CG42" s="272">
        <v>11948</v>
      </c>
      <c r="CH42" s="272">
        <v>876261</v>
      </c>
      <c r="CI42" s="272">
        <v>293910</v>
      </c>
      <c r="CJ42" s="455">
        <f t="shared" si="7"/>
        <v>582351</v>
      </c>
      <c r="CK42" s="272">
        <v>1341286</v>
      </c>
      <c r="CL42" s="272">
        <v>537490</v>
      </c>
      <c r="CM42" s="272">
        <v>111168</v>
      </c>
      <c r="CN42" s="272">
        <v>409534</v>
      </c>
      <c r="CO42" s="272">
        <v>50945</v>
      </c>
      <c r="CP42" s="272">
        <v>413461</v>
      </c>
      <c r="CQ42" s="272">
        <v>1148</v>
      </c>
      <c r="CR42" s="272">
        <v>154450</v>
      </c>
      <c r="CS42" s="272">
        <v>154450</v>
      </c>
      <c r="CT42" s="455">
        <f t="shared" si="8"/>
        <v>12446</v>
      </c>
      <c r="CU42" s="272">
        <v>9449</v>
      </c>
      <c r="CV42" s="272">
        <v>2997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3466323</v>
      </c>
      <c r="DD42" s="272">
        <v>434891</v>
      </c>
      <c r="DE42" s="272">
        <v>3027954</v>
      </c>
      <c r="DF42" s="272">
        <v>3478</v>
      </c>
      <c r="DG42" s="272">
        <v>0</v>
      </c>
      <c r="DH42" s="272">
        <v>17162</v>
      </c>
      <c r="DI42" s="272">
        <v>784935</v>
      </c>
      <c r="DJ42" s="272">
        <v>36590</v>
      </c>
      <c r="DK42" s="272">
        <v>16272</v>
      </c>
      <c r="DL42" s="272">
        <v>732073</v>
      </c>
      <c r="DM42" s="272">
        <v>300000</v>
      </c>
      <c r="DN42" s="272">
        <v>0</v>
      </c>
      <c r="DO42" s="272">
        <v>0</v>
      </c>
      <c r="DP42" s="272">
        <v>0</v>
      </c>
      <c r="DQ42" s="272">
        <v>0</v>
      </c>
      <c r="DR42" s="272">
        <v>0</v>
      </c>
      <c r="DS42" s="272">
        <v>0</v>
      </c>
      <c r="DT42" s="272">
        <v>596158</v>
      </c>
      <c r="DU42" s="272">
        <v>355500</v>
      </c>
      <c r="DV42" s="455">
        <f t="shared" si="11"/>
        <v>0</v>
      </c>
      <c r="DW42" s="272">
        <v>0</v>
      </c>
      <c r="DX42" s="272">
        <v>0</v>
      </c>
      <c r="DY42" s="272">
        <v>0</v>
      </c>
      <c r="DZ42" s="272">
        <v>116811</v>
      </c>
      <c r="EA42" s="272">
        <v>109446</v>
      </c>
      <c r="EB42" s="272"/>
      <c r="EC42" s="272">
        <v>0</v>
      </c>
      <c r="ED42" s="272">
        <v>10969378</v>
      </c>
      <c r="EF42" s="272">
        <v>698244</v>
      </c>
      <c r="EG42" s="272">
        <v>393732</v>
      </c>
      <c r="EH42" s="272">
        <v>304512</v>
      </c>
      <c r="EI42" s="272">
        <v>8701</v>
      </c>
      <c r="EJ42" s="272">
        <v>45291</v>
      </c>
      <c r="EL42" s="272"/>
      <c r="EM42" s="272">
        <v>39236</v>
      </c>
      <c r="EN42" s="272">
        <v>6354</v>
      </c>
      <c r="EO42" s="272">
        <v>62880</v>
      </c>
      <c r="EP42" s="455">
        <f t="shared" si="12"/>
        <v>789740</v>
      </c>
      <c r="EQ42" s="272">
        <v>6775506</v>
      </c>
      <c r="ER42" s="272">
        <v>-849655</v>
      </c>
      <c r="ES42" s="272">
        <v>2372811</v>
      </c>
      <c r="ET42" s="272">
        <v>1812174</v>
      </c>
      <c r="EU42" s="272">
        <v>233518</v>
      </c>
      <c r="EV42" s="272">
        <v>702679</v>
      </c>
      <c r="EW42" s="455">
        <f t="shared" si="13"/>
        <v>770085</v>
      </c>
      <c r="EX42" s="272">
        <v>761457</v>
      </c>
      <c r="EY42" s="272">
        <v>54096</v>
      </c>
      <c r="EZ42" s="272">
        <v>703883</v>
      </c>
      <c r="FA42" s="272">
        <v>8628</v>
      </c>
      <c r="FB42" s="272"/>
      <c r="FC42" s="272">
        <v>1121872</v>
      </c>
      <c r="FD42" s="272">
        <v>395791</v>
      </c>
      <c r="FE42" s="272">
        <v>1148</v>
      </c>
      <c r="FF42" s="272">
        <v>570781</v>
      </c>
      <c r="FG42" s="455">
        <f t="shared" si="14"/>
        <v>759380</v>
      </c>
      <c r="FH42" s="272">
        <v>6926917</v>
      </c>
      <c r="FI42" s="384">
        <f t="shared" si="15"/>
        <v>4.5999999999999996</v>
      </c>
      <c r="FJ42" s="272">
        <v>6617325</v>
      </c>
      <c r="FK42" s="272"/>
      <c r="FL42" s="272">
        <v>3862318</v>
      </c>
      <c r="FM42" s="272">
        <v>5364306</v>
      </c>
      <c r="FN42" s="460">
        <v>0.70099999999999996</v>
      </c>
      <c r="FO42" s="388">
        <v>67.900000000000006</v>
      </c>
      <c r="FP42" s="388">
        <v>35.5</v>
      </c>
      <c r="FQ42" s="388">
        <v>2.4</v>
      </c>
      <c r="FR42" s="388">
        <v>10.5</v>
      </c>
      <c r="FS42" s="388">
        <v>12.3</v>
      </c>
      <c r="FT42" s="388">
        <v>3.9</v>
      </c>
      <c r="FU42" s="388">
        <v>2.6</v>
      </c>
      <c r="FV42" s="388">
        <v>6</v>
      </c>
      <c r="FW42" s="272">
        <v>8426103</v>
      </c>
      <c r="FX42" s="384">
        <f t="shared" si="16"/>
        <v>127.3</v>
      </c>
      <c r="FY42" s="272">
        <v>8825725</v>
      </c>
      <c r="FZ42" s="272">
        <v>1207847</v>
      </c>
      <c r="GA42" s="272">
        <v>494843</v>
      </c>
      <c r="GB42" s="272">
        <v>7123035</v>
      </c>
      <c r="GC42" s="272"/>
      <c r="GD42" s="272">
        <v>3659114</v>
      </c>
      <c r="GE42" s="384">
        <f>ROUND(GD42/FJ42*100,1)</f>
        <v>55.3</v>
      </c>
      <c r="GF42" s="388">
        <v>96.5</v>
      </c>
      <c r="GG42" s="388">
        <v>19.100000000000001</v>
      </c>
      <c r="GH42" s="388">
        <v>90.6</v>
      </c>
      <c r="GI42" s="272">
        <v>356</v>
      </c>
    </row>
    <row r="43" spans="2:191" x14ac:dyDescent="0.15">
      <c r="B43" s="89" t="s">
        <v>79</v>
      </c>
      <c r="C43" s="272">
        <v>1555014</v>
      </c>
      <c r="D43" s="455">
        <f t="shared" si="0"/>
        <v>318854</v>
      </c>
      <c r="E43" s="272">
        <v>3608</v>
      </c>
      <c r="F43" s="272">
        <v>315246</v>
      </c>
      <c r="G43" s="455">
        <f t="shared" si="1"/>
        <v>34591</v>
      </c>
      <c r="H43" s="272">
        <v>11569</v>
      </c>
      <c r="I43" s="272">
        <v>23022</v>
      </c>
      <c r="J43" s="272">
        <v>1001609</v>
      </c>
      <c r="K43" s="272">
        <v>844203</v>
      </c>
      <c r="L43" s="272">
        <v>98739</v>
      </c>
      <c r="M43" s="272">
        <v>56108</v>
      </c>
      <c r="N43" s="272">
        <v>26545</v>
      </c>
      <c r="O43" s="272">
        <v>0</v>
      </c>
      <c r="P43" s="272">
        <v>0</v>
      </c>
      <c r="Q43" s="272">
        <v>0</v>
      </c>
      <c r="R43" s="272">
        <v>41947</v>
      </c>
      <c r="S43" s="272">
        <v>29568</v>
      </c>
      <c r="T43" s="455">
        <f t="shared" si="2"/>
        <v>44072</v>
      </c>
      <c r="U43" s="272">
        <v>27173</v>
      </c>
      <c r="V43" s="272"/>
      <c r="W43" s="272"/>
      <c r="X43" s="272"/>
      <c r="Y43" s="272">
        <v>0</v>
      </c>
      <c r="Z43" s="272">
        <v>0</v>
      </c>
      <c r="AA43" s="272">
        <v>16899</v>
      </c>
      <c r="AB43" s="272"/>
      <c r="AC43" s="272">
        <v>765015</v>
      </c>
      <c r="AD43" s="272">
        <v>655055</v>
      </c>
      <c r="AE43" s="272">
        <v>109960</v>
      </c>
      <c r="AF43" s="272">
        <v>1157</v>
      </c>
      <c r="AG43" s="272">
        <v>4775</v>
      </c>
      <c r="AH43" s="455">
        <f t="shared" si="3"/>
        <v>23970</v>
      </c>
      <c r="AI43" s="272">
        <v>20399</v>
      </c>
      <c r="AJ43" s="272">
        <v>3571</v>
      </c>
      <c r="AK43" s="272">
        <v>143134</v>
      </c>
      <c r="AL43" s="455">
        <f t="shared" si="4"/>
        <v>20956</v>
      </c>
      <c r="AM43" s="272">
        <v>0</v>
      </c>
      <c r="AN43" s="272">
        <v>6406</v>
      </c>
      <c r="AO43" s="272">
        <v>0</v>
      </c>
      <c r="AP43" s="272">
        <v>14550</v>
      </c>
      <c r="AQ43" s="272">
        <v>0</v>
      </c>
      <c r="AR43" s="272">
        <v>0</v>
      </c>
      <c r="AS43" s="272">
        <v>0</v>
      </c>
      <c r="AT43" s="272">
        <v>174925</v>
      </c>
      <c r="AU43" s="272">
        <v>28036</v>
      </c>
      <c r="AV43" s="272">
        <v>3203</v>
      </c>
      <c r="AW43" s="272">
        <v>0</v>
      </c>
      <c r="AX43" s="272">
        <v>146889</v>
      </c>
      <c r="AY43" s="272">
        <v>95085</v>
      </c>
      <c r="AZ43" s="272">
        <v>37428</v>
      </c>
      <c r="BA43" s="272">
        <v>0</v>
      </c>
      <c r="BB43" s="272">
        <v>300</v>
      </c>
      <c r="BC43" s="272">
        <v>0</v>
      </c>
      <c r="BD43" s="272">
        <v>0</v>
      </c>
      <c r="BE43" s="272">
        <v>0</v>
      </c>
      <c r="BF43" s="272">
        <v>0</v>
      </c>
      <c r="BG43" s="272">
        <v>0</v>
      </c>
      <c r="BH43" s="272">
        <v>98701</v>
      </c>
      <c r="BI43" s="272">
        <v>88701</v>
      </c>
      <c r="BJ43" s="272">
        <v>123799</v>
      </c>
      <c r="BK43" s="272">
        <v>0</v>
      </c>
      <c r="BL43" s="272">
        <v>800</v>
      </c>
      <c r="BM43" s="272">
        <v>0</v>
      </c>
      <c r="BN43" s="272">
        <v>191600</v>
      </c>
      <c r="BO43" s="455">
        <f t="shared" si="5"/>
        <v>191600</v>
      </c>
      <c r="BP43" s="455">
        <f t="shared" si="6"/>
        <v>0</v>
      </c>
      <c r="BQ43" s="272"/>
      <c r="BR43" s="272"/>
      <c r="BS43" s="272"/>
      <c r="BT43" s="272">
        <v>0</v>
      </c>
      <c r="BU43" s="272">
        <v>3205837</v>
      </c>
      <c r="BV43" s="272"/>
      <c r="BW43" s="272">
        <v>912496</v>
      </c>
      <c r="BX43" s="272">
        <v>621114</v>
      </c>
      <c r="BY43" s="272">
        <v>41322</v>
      </c>
      <c r="BZ43" s="272">
        <v>7694</v>
      </c>
      <c r="CA43" s="272">
        <v>109599</v>
      </c>
      <c r="CB43" s="272">
        <v>18777</v>
      </c>
      <c r="CC43" s="272">
        <v>71890</v>
      </c>
      <c r="CD43" s="272">
        <v>18150</v>
      </c>
      <c r="CE43" s="272">
        <v>0</v>
      </c>
      <c r="CF43" s="272">
        <v>0</v>
      </c>
      <c r="CG43" s="272">
        <v>782</v>
      </c>
      <c r="CH43" s="272">
        <v>218796</v>
      </c>
      <c r="CI43" s="272">
        <v>89065</v>
      </c>
      <c r="CJ43" s="455">
        <f t="shared" si="7"/>
        <v>129731</v>
      </c>
      <c r="CK43" s="272">
        <v>322221</v>
      </c>
      <c r="CL43" s="272">
        <v>128077</v>
      </c>
      <c r="CM43" s="272">
        <v>50721</v>
      </c>
      <c r="CN43" s="272">
        <v>88382</v>
      </c>
      <c r="CO43" s="272">
        <v>14349</v>
      </c>
      <c r="CP43" s="272">
        <v>476008</v>
      </c>
      <c r="CQ43" s="272">
        <v>143363</v>
      </c>
      <c r="CR43" s="272">
        <v>40708</v>
      </c>
      <c r="CS43" s="272">
        <v>40708</v>
      </c>
      <c r="CT43" s="455">
        <f t="shared" si="8"/>
        <v>26807</v>
      </c>
      <c r="CU43" s="272">
        <v>1800</v>
      </c>
      <c r="CV43" s="272">
        <v>25007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677656</v>
      </c>
      <c r="DD43" s="272">
        <v>0</v>
      </c>
      <c r="DE43" s="272">
        <v>676856</v>
      </c>
      <c r="DF43" s="272">
        <v>0</v>
      </c>
      <c r="DG43" s="272">
        <v>800</v>
      </c>
      <c r="DH43" s="272">
        <v>0</v>
      </c>
      <c r="DI43" s="272">
        <v>109552</v>
      </c>
      <c r="DJ43" s="272">
        <v>41889</v>
      </c>
      <c r="DK43" s="272">
        <v>0</v>
      </c>
      <c r="DL43" s="272">
        <v>67663</v>
      </c>
      <c r="DM43" s="272">
        <v>200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266738</v>
      </c>
      <c r="DU43" s="272">
        <v>173739</v>
      </c>
      <c r="DV43" s="455">
        <f t="shared" si="11"/>
        <v>0</v>
      </c>
      <c r="DW43" s="272">
        <v>0</v>
      </c>
      <c r="DX43" s="272">
        <v>0</v>
      </c>
      <c r="DY43" s="272">
        <v>0</v>
      </c>
      <c r="DZ43" s="272">
        <v>62107</v>
      </c>
      <c r="EA43" s="272">
        <v>30279</v>
      </c>
      <c r="EB43" s="272"/>
      <c r="EC43" s="272">
        <v>0</v>
      </c>
      <c r="ED43" s="272">
        <v>3107615</v>
      </c>
      <c r="EF43" s="272">
        <v>98222</v>
      </c>
      <c r="EG43" s="272">
        <v>0</v>
      </c>
      <c r="EH43" s="272">
        <v>98222</v>
      </c>
      <c r="EI43" s="272">
        <v>9521</v>
      </c>
      <c r="EJ43" s="272">
        <v>51410</v>
      </c>
      <c r="EL43" s="272"/>
      <c r="EM43" s="272">
        <v>6458</v>
      </c>
      <c r="EN43" s="272">
        <v>0</v>
      </c>
      <c r="EO43" s="272">
        <v>438</v>
      </c>
      <c r="EP43" s="455">
        <f t="shared" si="12"/>
        <v>171621</v>
      </c>
      <c r="EQ43" s="272">
        <v>2407205</v>
      </c>
      <c r="ER43" s="272">
        <v>-170902</v>
      </c>
      <c r="ES43" s="272">
        <v>865777</v>
      </c>
      <c r="ET43" s="272">
        <v>576352</v>
      </c>
      <c r="EU43" s="272">
        <v>36521</v>
      </c>
      <c r="EV43" s="272">
        <v>193596</v>
      </c>
      <c r="EW43" s="455">
        <f t="shared" si="13"/>
        <v>278372</v>
      </c>
      <c r="EX43" s="272">
        <v>278372</v>
      </c>
      <c r="EY43" s="272"/>
      <c r="EZ43" s="272">
        <v>278372</v>
      </c>
      <c r="FA43" s="272">
        <v>0</v>
      </c>
      <c r="FB43" s="272"/>
      <c r="FC43" s="272">
        <v>287210</v>
      </c>
      <c r="FD43" s="272">
        <v>468189</v>
      </c>
      <c r="FE43" s="272">
        <v>143363</v>
      </c>
      <c r="FF43" s="272">
        <v>262047</v>
      </c>
      <c r="FG43" s="455">
        <f t="shared" si="14"/>
        <v>88173</v>
      </c>
      <c r="FH43" s="272">
        <v>2479885</v>
      </c>
      <c r="FI43" s="384">
        <f t="shared" si="15"/>
        <v>4.7</v>
      </c>
      <c r="FJ43" s="272">
        <v>2082075</v>
      </c>
      <c r="FK43" s="272"/>
      <c r="FL43" s="272">
        <v>1073629</v>
      </c>
      <c r="FM43" s="272">
        <v>1731304</v>
      </c>
      <c r="FN43" s="460">
        <v>0.52800000000000002</v>
      </c>
      <c r="FO43" s="388">
        <v>78.7</v>
      </c>
      <c r="FP43" s="388">
        <v>37.4</v>
      </c>
      <c r="FQ43" s="388">
        <v>1.6</v>
      </c>
      <c r="FR43" s="388">
        <v>8.4</v>
      </c>
      <c r="FS43" s="388">
        <v>10.6</v>
      </c>
      <c r="FT43" s="388">
        <v>15</v>
      </c>
      <c r="FU43" s="388">
        <v>5.2</v>
      </c>
      <c r="FV43" s="388">
        <v>6.2</v>
      </c>
      <c r="FW43" s="272">
        <v>3283236</v>
      </c>
      <c r="FX43" s="384">
        <f t="shared" si="16"/>
        <v>157.69999999999999</v>
      </c>
      <c r="FY43" s="272">
        <v>1182262</v>
      </c>
      <c r="FZ43" s="272">
        <v>794625</v>
      </c>
      <c r="GA43" s="272"/>
      <c r="GB43" s="272">
        <v>387637</v>
      </c>
      <c r="GC43" s="272"/>
      <c r="GD43" s="272">
        <v>1557711</v>
      </c>
      <c r="GE43" s="384">
        <f>ROUND(GD43/FJ43*100,1)</f>
        <v>74.8</v>
      </c>
      <c r="GF43" s="388">
        <v>98.3</v>
      </c>
      <c r="GG43" s="388">
        <v>48.3</v>
      </c>
      <c r="GH43" s="388">
        <v>96.1</v>
      </c>
      <c r="GI43" s="272">
        <v>106</v>
      </c>
    </row>
    <row r="44" spans="2:191" x14ac:dyDescent="0.15">
      <c r="B44" s="89" t="s">
        <v>81</v>
      </c>
      <c r="C44" s="272">
        <v>2938138</v>
      </c>
      <c r="D44" s="455">
        <f t="shared" si="0"/>
        <v>1114953</v>
      </c>
      <c r="E44" s="272">
        <v>10940</v>
      </c>
      <c r="F44" s="272">
        <v>1104013</v>
      </c>
      <c r="G44" s="455">
        <f t="shared" si="1"/>
        <v>187231</v>
      </c>
      <c r="H44" s="272">
        <v>31011</v>
      </c>
      <c r="I44" s="272">
        <v>156220</v>
      </c>
      <c r="J44" s="272">
        <v>1400387</v>
      </c>
      <c r="K44" s="272">
        <v>563876</v>
      </c>
      <c r="L44" s="272">
        <v>393208</v>
      </c>
      <c r="M44" s="272">
        <v>436856</v>
      </c>
      <c r="N44" s="272">
        <v>84045</v>
      </c>
      <c r="O44" s="272">
        <v>0</v>
      </c>
      <c r="P44" s="272">
        <v>0</v>
      </c>
      <c r="Q44" s="272">
        <v>0</v>
      </c>
      <c r="R44" s="272">
        <v>134143</v>
      </c>
      <c r="S44" s="272">
        <v>82741</v>
      </c>
      <c r="T44" s="455">
        <f t="shared" si="2"/>
        <v>248215</v>
      </c>
      <c r="U44" s="272">
        <v>90115</v>
      </c>
      <c r="V44" s="272"/>
      <c r="W44" s="272"/>
      <c r="X44" s="272"/>
      <c r="Y44" s="272">
        <v>86903</v>
      </c>
      <c r="Z44" s="272">
        <v>1153</v>
      </c>
      <c r="AA44" s="272">
        <v>70044</v>
      </c>
      <c r="AB44" s="272"/>
      <c r="AC44" s="272">
        <v>906433</v>
      </c>
      <c r="AD44" s="272">
        <v>714884</v>
      </c>
      <c r="AE44" s="272">
        <v>191549</v>
      </c>
      <c r="AF44" s="272">
        <v>4365</v>
      </c>
      <c r="AG44" s="272">
        <v>15062</v>
      </c>
      <c r="AH44" s="455">
        <f t="shared" si="3"/>
        <v>169549</v>
      </c>
      <c r="AI44" s="272">
        <v>160088</v>
      </c>
      <c r="AJ44" s="272">
        <v>9461</v>
      </c>
      <c r="AK44" s="272">
        <v>538455</v>
      </c>
      <c r="AL44" s="455">
        <f t="shared" si="4"/>
        <v>55357</v>
      </c>
      <c r="AM44" s="272">
        <v>0</v>
      </c>
      <c r="AN44" s="272">
        <v>20030</v>
      </c>
      <c r="AO44" s="272">
        <v>0</v>
      </c>
      <c r="AP44" s="272">
        <v>35327</v>
      </c>
      <c r="AQ44" s="272">
        <v>407761</v>
      </c>
      <c r="AR44" s="272">
        <v>0</v>
      </c>
      <c r="AS44" s="272">
        <v>0</v>
      </c>
      <c r="AT44" s="272">
        <v>658513</v>
      </c>
      <c r="AU44" s="272">
        <v>128099</v>
      </c>
      <c r="AV44" s="272">
        <v>10016</v>
      </c>
      <c r="AW44" s="272">
        <v>34107</v>
      </c>
      <c r="AX44" s="272">
        <v>530414</v>
      </c>
      <c r="AY44" s="272">
        <v>155057</v>
      </c>
      <c r="AZ44" s="272">
        <v>85569</v>
      </c>
      <c r="BA44" s="272">
        <v>7438</v>
      </c>
      <c r="BB44" s="272">
        <v>81850</v>
      </c>
      <c r="BC44" s="272">
        <v>328690</v>
      </c>
      <c r="BD44" s="272">
        <v>86000</v>
      </c>
      <c r="BE44" s="272">
        <v>0</v>
      </c>
      <c r="BF44" s="272">
        <v>214000</v>
      </c>
      <c r="BG44" s="272">
        <v>0</v>
      </c>
      <c r="BH44" s="272">
        <v>137061</v>
      </c>
      <c r="BI44" s="272">
        <v>104780</v>
      </c>
      <c r="BJ44" s="272">
        <v>161490</v>
      </c>
      <c r="BK44" s="272">
        <v>20749</v>
      </c>
      <c r="BL44" s="272">
        <v>0</v>
      </c>
      <c r="BM44" s="272">
        <v>0</v>
      </c>
      <c r="BN44" s="272">
        <v>1186200</v>
      </c>
      <c r="BO44" s="455">
        <f t="shared" si="5"/>
        <v>1186200</v>
      </c>
      <c r="BP44" s="455">
        <f t="shared" si="6"/>
        <v>0</v>
      </c>
      <c r="BQ44" s="272"/>
      <c r="BR44" s="272"/>
      <c r="BS44" s="272"/>
      <c r="BT44" s="272">
        <v>0</v>
      </c>
      <c r="BU44" s="272">
        <v>7593733</v>
      </c>
      <c r="BV44" s="272"/>
      <c r="BW44" s="272">
        <v>2015351</v>
      </c>
      <c r="BX44" s="272">
        <v>1484565</v>
      </c>
      <c r="BY44" s="272">
        <v>113824</v>
      </c>
      <c r="BZ44" s="272">
        <v>28827</v>
      </c>
      <c r="CA44" s="272">
        <v>359987</v>
      </c>
      <c r="CB44" s="272">
        <v>79249</v>
      </c>
      <c r="CC44" s="272">
        <v>183760</v>
      </c>
      <c r="CD44" s="272">
        <v>73840</v>
      </c>
      <c r="CE44" s="272">
        <v>0</v>
      </c>
      <c r="CF44" s="272">
        <v>1692</v>
      </c>
      <c r="CG44" s="272">
        <v>21446</v>
      </c>
      <c r="CH44" s="272">
        <v>771216</v>
      </c>
      <c r="CI44" s="272">
        <v>461523</v>
      </c>
      <c r="CJ44" s="455">
        <f t="shared" si="7"/>
        <v>309693</v>
      </c>
      <c r="CK44" s="272">
        <v>1125927</v>
      </c>
      <c r="CL44" s="272">
        <v>465376</v>
      </c>
      <c r="CM44" s="272">
        <v>132398</v>
      </c>
      <c r="CN44" s="272">
        <v>377305</v>
      </c>
      <c r="CO44" s="272">
        <v>111082</v>
      </c>
      <c r="CP44" s="272">
        <v>186570</v>
      </c>
      <c r="CQ44" s="272">
        <v>2894</v>
      </c>
      <c r="CR44" s="272">
        <v>67730</v>
      </c>
      <c r="CS44" s="272">
        <v>59887</v>
      </c>
      <c r="CT44" s="455">
        <f t="shared" si="8"/>
        <v>3134</v>
      </c>
      <c r="CU44" s="272">
        <v>3134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2279612</v>
      </c>
      <c r="DD44" s="272">
        <v>675003</v>
      </c>
      <c r="DE44" s="272">
        <v>1584891</v>
      </c>
      <c r="DF44" s="272">
        <v>19718</v>
      </c>
      <c r="DG44" s="272">
        <v>0</v>
      </c>
      <c r="DH44" s="272">
        <v>0</v>
      </c>
      <c r="DI44" s="272">
        <v>337833</v>
      </c>
      <c r="DJ44" s="272">
        <v>75504</v>
      </c>
      <c r="DK44" s="272">
        <v>3133</v>
      </c>
      <c r="DL44" s="272">
        <v>259196</v>
      </c>
      <c r="DM44" s="272">
        <v>10600</v>
      </c>
      <c r="DN44" s="272">
        <v>10000</v>
      </c>
      <c r="DO44" s="272">
        <v>10000</v>
      </c>
      <c r="DP44" s="272">
        <v>0</v>
      </c>
      <c r="DQ44" s="272">
        <v>0</v>
      </c>
      <c r="DR44" s="272">
        <v>0</v>
      </c>
      <c r="DS44" s="272">
        <v>0</v>
      </c>
      <c r="DT44" s="272">
        <v>381147</v>
      </c>
      <c r="DU44" s="272">
        <v>102532</v>
      </c>
      <c r="DV44" s="455">
        <f t="shared" si="11"/>
        <v>0</v>
      </c>
      <c r="DW44" s="272">
        <v>0</v>
      </c>
      <c r="DX44" s="272">
        <v>0</v>
      </c>
      <c r="DY44" s="272">
        <v>0</v>
      </c>
      <c r="DZ44" s="272">
        <v>158470</v>
      </c>
      <c r="EA44" s="272">
        <v>114885</v>
      </c>
      <c r="EB44" s="272"/>
      <c r="EC44" s="272">
        <v>0</v>
      </c>
      <c r="ED44" s="272">
        <v>7579325</v>
      </c>
      <c r="EF44" s="272">
        <v>14408</v>
      </c>
      <c r="EG44" s="272">
        <v>12224</v>
      </c>
      <c r="EH44" s="272">
        <v>2184</v>
      </c>
      <c r="EI44" s="272">
        <v>-102596</v>
      </c>
      <c r="EJ44" s="272">
        <v>-113092</v>
      </c>
      <c r="EL44" s="272"/>
      <c r="EM44" s="272">
        <v>21287</v>
      </c>
      <c r="EN44" s="272">
        <v>86000</v>
      </c>
      <c r="EO44" s="272">
        <v>8677</v>
      </c>
      <c r="EP44" s="455">
        <f t="shared" si="12"/>
        <v>320842</v>
      </c>
      <c r="EQ44" s="272">
        <v>4231294</v>
      </c>
      <c r="ER44" s="272">
        <v>-411154</v>
      </c>
      <c r="ES44" s="272">
        <v>1812473</v>
      </c>
      <c r="ET44" s="272">
        <v>1284200</v>
      </c>
      <c r="EU44" s="272">
        <v>140525</v>
      </c>
      <c r="EV44" s="272">
        <v>566818</v>
      </c>
      <c r="EW44" s="455">
        <f t="shared" si="13"/>
        <v>231052</v>
      </c>
      <c r="EX44" s="272">
        <v>231052</v>
      </c>
      <c r="EY44" s="272">
        <v>2249</v>
      </c>
      <c r="EZ44" s="272">
        <v>225685</v>
      </c>
      <c r="FA44" s="272">
        <v>0</v>
      </c>
      <c r="FB44" s="272"/>
      <c r="FC44" s="272">
        <v>982630</v>
      </c>
      <c r="FD44" s="272">
        <v>168101</v>
      </c>
      <c r="FE44" s="272">
        <v>2894</v>
      </c>
      <c r="FF44" s="272">
        <v>348955</v>
      </c>
      <c r="FG44" s="455">
        <f t="shared" si="14"/>
        <v>377486</v>
      </c>
      <c r="FH44" s="272">
        <v>4628040</v>
      </c>
      <c r="FI44" s="384">
        <f t="shared" si="15"/>
        <v>0</v>
      </c>
      <c r="FJ44" s="272">
        <v>4401646</v>
      </c>
      <c r="FK44" s="272"/>
      <c r="FL44" s="272">
        <v>2778877</v>
      </c>
      <c r="FM44" s="272">
        <v>3500173</v>
      </c>
      <c r="FN44" s="460">
        <v>0.78400000000000003</v>
      </c>
      <c r="FO44" s="388">
        <v>86.8</v>
      </c>
      <c r="FP44" s="388">
        <v>41.7</v>
      </c>
      <c r="FQ44" s="388">
        <v>3.4</v>
      </c>
      <c r="FR44" s="388">
        <v>13.6</v>
      </c>
      <c r="FS44" s="388">
        <v>17.899999999999999</v>
      </c>
      <c r="FT44" s="388">
        <v>3.1</v>
      </c>
      <c r="FU44" s="388">
        <v>4.5</v>
      </c>
      <c r="FV44" s="388">
        <v>10.5</v>
      </c>
      <c r="FW44" s="272">
        <v>5933042</v>
      </c>
      <c r="FX44" s="384">
        <f t="shared" si="16"/>
        <v>134.80000000000001</v>
      </c>
      <c r="FY44" s="272">
        <v>2507626</v>
      </c>
      <c r="FZ44" s="272">
        <v>787711</v>
      </c>
      <c r="GA44" s="272">
        <v>114275</v>
      </c>
      <c r="GB44" s="272">
        <v>1605640</v>
      </c>
      <c r="GC44" s="272"/>
      <c r="GD44" s="272"/>
      <c r="GE44" s="384"/>
      <c r="GF44" s="388">
        <v>98.1</v>
      </c>
      <c r="GG44" s="388">
        <v>25.5</v>
      </c>
      <c r="GH44" s="388">
        <v>94.9</v>
      </c>
      <c r="GI44" s="272">
        <v>241</v>
      </c>
    </row>
    <row r="45" spans="2:191" x14ac:dyDescent="0.15">
      <c r="B45" s="89" t="s">
        <v>83</v>
      </c>
      <c r="C45" s="272">
        <v>1250265</v>
      </c>
      <c r="D45" s="455">
        <f t="shared" si="0"/>
        <v>690124</v>
      </c>
      <c r="E45" s="272">
        <v>5588</v>
      </c>
      <c r="F45" s="272">
        <v>684536</v>
      </c>
      <c r="G45" s="455">
        <f t="shared" si="1"/>
        <v>21584</v>
      </c>
      <c r="H45" s="272">
        <v>7037</v>
      </c>
      <c r="I45" s="272">
        <v>14547</v>
      </c>
      <c r="J45" s="272">
        <v>448824</v>
      </c>
      <c r="K45" s="272">
        <v>230981</v>
      </c>
      <c r="L45" s="272">
        <v>171592</v>
      </c>
      <c r="M45" s="272">
        <v>46251</v>
      </c>
      <c r="N45" s="272">
        <v>37609</v>
      </c>
      <c r="O45" s="272">
        <v>0</v>
      </c>
      <c r="P45" s="272">
        <v>0</v>
      </c>
      <c r="Q45" s="272">
        <v>0</v>
      </c>
      <c r="R45" s="272">
        <v>68132</v>
      </c>
      <c r="S45" s="272">
        <v>40508</v>
      </c>
      <c r="T45" s="455">
        <f t="shared" si="2"/>
        <v>88284</v>
      </c>
      <c r="U45" s="272">
        <v>49975</v>
      </c>
      <c r="V45" s="272"/>
      <c r="W45" s="272"/>
      <c r="X45" s="272"/>
      <c r="Y45" s="272">
        <v>0</v>
      </c>
      <c r="Z45" s="272">
        <v>658</v>
      </c>
      <c r="AA45" s="272">
        <v>37651</v>
      </c>
      <c r="AB45" s="272"/>
      <c r="AC45" s="272">
        <v>1328974</v>
      </c>
      <c r="AD45" s="272">
        <v>1174136</v>
      </c>
      <c r="AE45" s="272">
        <v>154838</v>
      </c>
      <c r="AF45" s="272">
        <v>2670</v>
      </c>
      <c r="AG45" s="272">
        <v>44316</v>
      </c>
      <c r="AH45" s="455">
        <f t="shared" si="3"/>
        <v>27862</v>
      </c>
      <c r="AI45" s="272">
        <v>8841</v>
      </c>
      <c r="AJ45" s="272">
        <v>19021</v>
      </c>
      <c r="AK45" s="272">
        <v>109453</v>
      </c>
      <c r="AL45" s="455">
        <f t="shared" si="4"/>
        <v>42596</v>
      </c>
      <c r="AM45" s="272">
        <v>0</v>
      </c>
      <c r="AN45" s="272">
        <v>28160</v>
      </c>
      <c r="AO45" s="272">
        <v>0</v>
      </c>
      <c r="AP45" s="272">
        <v>14436</v>
      </c>
      <c r="AQ45" s="272">
        <v>9939</v>
      </c>
      <c r="AR45" s="272">
        <v>2428</v>
      </c>
      <c r="AS45" s="272">
        <v>0</v>
      </c>
      <c r="AT45" s="272">
        <v>393539</v>
      </c>
      <c r="AU45" s="272">
        <v>54945</v>
      </c>
      <c r="AV45" s="272">
        <v>14080</v>
      </c>
      <c r="AW45" s="272">
        <v>0</v>
      </c>
      <c r="AX45" s="272">
        <v>338594</v>
      </c>
      <c r="AY45" s="272">
        <v>257540</v>
      </c>
      <c r="AZ45" s="272">
        <v>89785</v>
      </c>
      <c r="BA45" s="272">
        <v>0</v>
      </c>
      <c r="BB45" s="272">
        <v>26610</v>
      </c>
      <c r="BC45" s="272">
        <v>1303443</v>
      </c>
      <c r="BD45" s="272">
        <v>152182</v>
      </c>
      <c r="BE45" s="272">
        <v>0</v>
      </c>
      <c r="BF45" s="272">
        <v>1151240</v>
      </c>
      <c r="BG45" s="272">
        <v>0</v>
      </c>
      <c r="BH45" s="272">
        <v>73282</v>
      </c>
      <c r="BI45" s="272">
        <v>73282</v>
      </c>
      <c r="BJ45" s="272">
        <v>19301</v>
      </c>
      <c r="BK45" s="272">
        <v>0</v>
      </c>
      <c r="BL45" s="272">
        <v>0</v>
      </c>
      <c r="BM45" s="272">
        <v>0</v>
      </c>
      <c r="BN45" s="272">
        <v>1055600</v>
      </c>
      <c r="BO45" s="455">
        <f t="shared" si="5"/>
        <v>1055600</v>
      </c>
      <c r="BP45" s="455">
        <f t="shared" si="6"/>
        <v>0</v>
      </c>
      <c r="BQ45" s="272"/>
      <c r="BR45" s="272"/>
      <c r="BS45" s="272"/>
      <c r="BT45" s="272">
        <v>0</v>
      </c>
      <c r="BU45" s="272">
        <v>5881516</v>
      </c>
      <c r="BV45" s="272"/>
      <c r="BW45" s="272">
        <v>896406</v>
      </c>
      <c r="BX45" s="272">
        <v>581188</v>
      </c>
      <c r="BY45" s="272">
        <v>54921</v>
      </c>
      <c r="BZ45" s="272">
        <v>12162</v>
      </c>
      <c r="CA45" s="272">
        <v>245808</v>
      </c>
      <c r="CB45" s="272">
        <v>18162</v>
      </c>
      <c r="CC45" s="272">
        <v>78866</v>
      </c>
      <c r="CD45" s="272">
        <v>142174</v>
      </c>
      <c r="CE45" s="272">
        <v>0</v>
      </c>
      <c r="CF45" s="272">
        <v>0</v>
      </c>
      <c r="CG45" s="272">
        <v>6606</v>
      </c>
      <c r="CH45" s="272">
        <v>409686</v>
      </c>
      <c r="CI45" s="272">
        <v>173360</v>
      </c>
      <c r="CJ45" s="455">
        <f t="shared" si="7"/>
        <v>236326</v>
      </c>
      <c r="CK45" s="272">
        <v>522370</v>
      </c>
      <c r="CL45" s="272">
        <v>268330</v>
      </c>
      <c r="CM45" s="272">
        <v>39962</v>
      </c>
      <c r="CN45" s="272">
        <v>123973</v>
      </c>
      <c r="CO45" s="272">
        <v>54108</v>
      </c>
      <c r="CP45" s="272">
        <v>384089</v>
      </c>
      <c r="CQ45" s="272">
        <v>136065</v>
      </c>
      <c r="CR45" s="272">
        <v>102576</v>
      </c>
      <c r="CS45" s="272">
        <v>102576</v>
      </c>
      <c r="CT45" s="455">
        <f t="shared" si="8"/>
        <v>19619</v>
      </c>
      <c r="CU45" s="272">
        <v>4673</v>
      </c>
      <c r="CV45" s="272">
        <v>14946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2761862</v>
      </c>
      <c r="DD45" s="272">
        <v>29817</v>
      </c>
      <c r="DE45" s="272">
        <v>2694629</v>
      </c>
      <c r="DF45" s="272">
        <v>34991</v>
      </c>
      <c r="DG45" s="272">
        <v>0</v>
      </c>
      <c r="DH45" s="272">
        <v>3641</v>
      </c>
      <c r="DI45" s="272">
        <v>149288</v>
      </c>
      <c r="DJ45" s="272">
        <v>56995</v>
      </c>
      <c r="DK45" s="272">
        <v>7176</v>
      </c>
      <c r="DL45" s="272">
        <v>85117</v>
      </c>
      <c r="DM45" s="272">
        <v>0</v>
      </c>
      <c r="DN45" s="272">
        <v>0</v>
      </c>
      <c r="DO45" s="272">
        <v>0</v>
      </c>
      <c r="DP45" s="272">
        <v>0</v>
      </c>
      <c r="DQ45" s="272">
        <v>0</v>
      </c>
      <c r="DR45" s="272">
        <v>0</v>
      </c>
      <c r="DS45" s="272">
        <v>0</v>
      </c>
      <c r="DT45" s="272">
        <v>362063</v>
      </c>
      <c r="DU45" s="272">
        <v>249651</v>
      </c>
      <c r="DV45" s="455">
        <f t="shared" si="11"/>
        <v>0</v>
      </c>
      <c r="DW45" s="272">
        <v>0</v>
      </c>
      <c r="DX45" s="272">
        <v>0</v>
      </c>
      <c r="DY45" s="272">
        <v>0</v>
      </c>
      <c r="DZ45" s="272">
        <v>58106</v>
      </c>
      <c r="EA45" s="272">
        <v>40370</v>
      </c>
      <c r="EB45" s="272"/>
      <c r="EC45" s="272">
        <v>0</v>
      </c>
      <c r="ED45" s="272">
        <v>5789321</v>
      </c>
      <c r="EF45" s="272">
        <v>92195</v>
      </c>
      <c r="EG45" s="272">
        <v>0</v>
      </c>
      <c r="EH45" s="272">
        <v>92195</v>
      </c>
      <c r="EI45" s="272">
        <v>18913</v>
      </c>
      <c r="EJ45" s="272">
        <v>-76274</v>
      </c>
      <c r="EL45" s="272"/>
      <c r="EM45" s="272">
        <v>11909</v>
      </c>
      <c r="EN45" s="272">
        <v>152203</v>
      </c>
      <c r="EO45" s="272">
        <v>0</v>
      </c>
      <c r="EP45" s="455">
        <f t="shared" si="12"/>
        <v>116075</v>
      </c>
      <c r="EQ45" s="272">
        <v>2738325</v>
      </c>
      <c r="ER45" s="272">
        <v>-265608</v>
      </c>
      <c r="ES45" s="272">
        <v>850502</v>
      </c>
      <c r="ET45" s="272">
        <v>535284</v>
      </c>
      <c r="EU45" s="272">
        <v>74814</v>
      </c>
      <c r="EV45" s="272">
        <v>409686</v>
      </c>
      <c r="EW45" s="455">
        <f t="shared" si="13"/>
        <v>455224</v>
      </c>
      <c r="EX45" s="272">
        <v>455211</v>
      </c>
      <c r="EY45" s="272">
        <v>4978</v>
      </c>
      <c r="EZ45" s="272">
        <v>415189</v>
      </c>
      <c r="FA45" s="272">
        <v>13</v>
      </c>
      <c r="FB45" s="272"/>
      <c r="FC45" s="272">
        <v>455485</v>
      </c>
      <c r="FD45" s="272">
        <v>363615</v>
      </c>
      <c r="FE45" s="272">
        <v>136065</v>
      </c>
      <c r="FF45" s="272">
        <v>185569</v>
      </c>
      <c r="FG45" s="455">
        <f t="shared" si="14"/>
        <v>116843</v>
      </c>
      <c r="FH45" s="272">
        <v>2911738</v>
      </c>
      <c r="FI45" s="384">
        <f t="shared" si="15"/>
        <v>3.5</v>
      </c>
      <c r="FJ45" s="272">
        <v>2597676</v>
      </c>
      <c r="FK45" s="272"/>
      <c r="FL45" s="272">
        <v>1075164</v>
      </c>
      <c r="FM45" s="272">
        <v>2241592</v>
      </c>
      <c r="FN45" s="460">
        <v>0.46600000000000003</v>
      </c>
      <c r="FO45" s="388">
        <v>80.8</v>
      </c>
      <c r="FP45" s="388">
        <v>32.700000000000003</v>
      </c>
      <c r="FQ45" s="388">
        <v>2.9</v>
      </c>
      <c r="FR45" s="388">
        <v>15.8</v>
      </c>
      <c r="FS45" s="388">
        <v>13.2</v>
      </c>
      <c r="FT45" s="388">
        <v>11.2</v>
      </c>
      <c r="FU45" s="388">
        <v>2.9</v>
      </c>
      <c r="FV45" s="388">
        <v>12.2</v>
      </c>
      <c r="FW45" s="272">
        <v>5013500</v>
      </c>
      <c r="FX45" s="384">
        <f t="shared" si="16"/>
        <v>193</v>
      </c>
      <c r="FY45" s="272">
        <v>1087733</v>
      </c>
      <c r="FZ45" s="272">
        <v>437341</v>
      </c>
      <c r="GA45" s="272">
        <v>168443</v>
      </c>
      <c r="GB45" s="272">
        <v>481949</v>
      </c>
      <c r="GC45" s="272"/>
      <c r="GD45" s="272">
        <v>1158029</v>
      </c>
      <c r="GE45" s="384">
        <f>ROUND(GD45/FJ45*100,1)</f>
        <v>44.6</v>
      </c>
      <c r="GF45" s="388">
        <v>97.1</v>
      </c>
      <c r="GG45" s="388">
        <v>28.9</v>
      </c>
      <c r="GH45" s="388">
        <v>94.3</v>
      </c>
      <c r="GI45" s="272">
        <v>106</v>
      </c>
    </row>
    <row r="46" spans="2:191" x14ac:dyDescent="0.15">
      <c r="B46" s="89" t="s">
        <v>85</v>
      </c>
      <c r="C46" s="272">
        <v>1772552</v>
      </c>
      <c r="D46" s="455">
        <f t="shared" si="0"/>
        <v>933361</v>
      </c>
      <c r="E46" s="272">
        <v>7054</v>
      </c>
      <c r="F46" s="272">
        <v>926307</v>
      </c>
      <c r="G46" s="455">
        <f t="shared" si="1"/>
        <v>59797</v>
      </c>
      <c r="H46" s="272">
        <v>13358</v>
      </c>
      <c r="I46" s="272">
        <v>46439</v>
      </c>
      <c r="J46" s="272">
        <v>622130</v>
      </c>
      <c r="K46" s="272">
        <v>321323</v>
      </c>
      <c r="L46" s="272">
        <v>231773</v>
      </c>
      <c r="M46" s="272">
        <v>69034</v>
      </c>
      <c r="N46" s="272">
        <v>50126</v>
      </c>
      <c r="O46" s="272">
        <v>45</v>
      </c>
      <c r="P46" s="272">
        <v>33</v>
      </c>
      <c r="Q46" s="272">
        <v>12</v>
      </c>
      <c r="R46" s="272">
        <v>97842</v>
      </c>
      <c r="S46" s="272">
        <v>59249</v>
      </c>
      <c r="T46" s="455">
        <f t="shared" si="2"/>
        <v>158028</v>
      </c>
      <c r="U46" s="272">
        <v>68194</v>
      </c>
      <c r="V46" s="272"/>
      <c r="W46" s="272"/>
      <c r="X46" s="272"/>
      <c r="Y46" s="272">
        <v>37326</v>
      </c>
      <c r="Z46" s="272">
        <v>0</v>
      </c>
      <c r="AA46" s="272">
        <v>52508</v>
      </c>
      <c r="AB46" s="272"/>
      <c r="AC46" s="272">
        <v>1618025</v>
      </c>
      <c r="AD46" s="272">
        <v>1463882</v>
      </c>
      <c r="AE46" s="272">
        <v>154143</v>
      </c>
      <c r="AF46" s="272">
        <v>2612</v>
      </c>
      <c r="AG46" s="272">
        <v>33324</v>
      </c>
      <c r="AH46" s="455">
        <f t="shared" si="3"/>
        <v>36469</v>
      </c>
      <c r="AI46" s="272">
        <v>30723</v>
      </c>
      <c r="AJ46" s="272">
        <v>5746</v>
      </c>
      <c r="AK46" s="272">
        <v>126886</v>
      </c>
      <c r="AL46" s="455">
        <f t="shared" si="4"/>
        <v>40218</v>
      </c>
      <c r="AM46" s="272">
        <v>0</v>
      </c>
      <c r="AN46" s="272">
        <v>6501</v>
      </c>
      <c r="AO46" s="272">
        <v>0</v>
      </c>
      <c r="AP46" s="272">
        <v>33717</v>
      </c>
      <c r="AQ46" s="272">
        <v>34305</v>
      </c>
      <c r="AR46" s="272">
        <v>1213</v>
      </c>
      <c r="AS46" s="272">
        <v>0</v>
      </c>
      <c r="AT46" s="272">
        <v>481300</v>
      </c>
      <c r="AU46" s="272">
        <v>169043</v>
      </c>
      <c r="AV46" s="272">
        <v>3250</v>
      </c>
      <c r="AW46" s="272">
        <v>101000</v>
      </c>
      <c r="AX46" s="272">
        <v>312257</v>
      </c>
      <c r="AY46" s="272">
        <v>209557</v>
      </c>
      <c r="AZ46" s="272">
        <v>360588</v>
      </c>
      <c r="BA46" s="272">
        <v>49102</v>
      </c>
      <c r="BB46" s="272">
        <v>6450</v>
      </c>
      <c r="BC46" s="272">
        <v>2562303</v>
      </c>
      <c r="BD46" s="272">
        <v>0</v>
      </c>
      <c r="BE46" s="272">
        <v>0</v>
      </c>
      <c r="BF46" s="272">
        <v>2562303</v>
      </c>
      <c r="BG46" s="272">
        <v>0</v>
      </c>
      <c r="BH46" s="272">
        <v>43726</v>
      </c>
      <c r="BI46" s="272">
        <v>41926</v>
      </c>
      <c r="BJ46" s="272">
        <v>29828</v>
      </c>
      <c r="BK46" s="272">
        <v>0</v>
      </c>
      <c r="BL46" s="272">
        <v>0</v>
      </c>
      <c r="BM46" s="272">
        <v>0</v>
      </c>
      <c r="BN46" s="272">
        <v>2296100</v>
      </c>
      <c r="BO46" s="455">
        <f t="shared" si="5"/>
        <v>2296100</v>
      </c>
      <c r="BP46" s="455">
        <f t="shared" si="6"/>
        <v>0</v>
      </c>
      <c r="BQ46" s="272"/>
      <c r="BR46" s="272"/>
      <c r="BS46" s="272"/>
      <c r="BT46" s="272">
        <v>0</v>
      </c>
      <c r="BU46" s="272">
        <v>9626033</v>
      </c>
      <c r="BV46" s="272"/>
      <c r="BW46" s="272">
        <v>1269037</v>
      </c>
      <c r="BX46" s="272">
        <v>873004</v>
      </c>
      <c r="BY46" s="272">
        <v>41935</v>
      </c>
      <c r="BZ46" s="272">
        <v>35071</v>
      </c>
      <c r="CA46" s="272">
        <v>188814</v>
      </c>
      <c r="CB46" s="272">
        <v>25067</v>
      </c>
      <c r="CC46" s="272">
        <v>129187</v>
      </c>
      <c r="CD46" s="272">
        <v>32883</v>
      </c>
      <c r="CE46" s="272">
        <v>0</v>
      </c>
      <c r="CF46" s="272">
        <v>0</v>
      </c>
      <c r="CG46" s="272">
        <v>1677</v>
      </c>
      <c r="CH46" s="272">
        <v>364720</v>
      </c>
      <c r="CI46" s="272">
        <v>183831</v>
      </c>
      <c r="CJ46" s="455">
        <f t="shared" si="7"/>
        <v>180889</v>
      </c>
      <c r="CK46" s="272">
        <v>542845</v>
      </c>
      <c r="CL46" s="272">
        <v>276269</v>
      </c>
      <c r="CM46" s="272">
        <v>30308</v>
      </c>
      <c r="CN46" s="272">
        <v>156496</v>
      </c>
      <c r="CO46" s="272">
        <v>6207</v>
      </c>
      <c r="CP46" s="272">
        <v>396966</v>
      </c>
      <c r="CQ46" s="272">
        <v>158991</v>
      </c>
      <c r="CR46" s="272">
        <v>124396</v>
      </c>
      <c r="CS46" s="272">
        <v>123349</v>
      </c>
      <c r="CT46" s="455">
        <f t="shared" si="8"/>
        <v>16078</v>
      </c>
      <c r="CU46" s="272">
        <v>4319</v>
      </c>
      <c r="CV46" s="272">
        <v>11759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5706400</v>
      </c>
      <c r="DD46" s="272">
        <v>247760</v>
      </c>
      <c r="DE46" s="272">
        <v>5449870</v>
      </c>
      <c r="DF46" s="272">
        <v>8770</v>
      </c>
      <c r="DG46" s="272">
        <v>0</v>
      </c>
      <c r="DH46" s="272">
        <v>1829</v>
      </c>
      <c r="DI46" s="272">
        <v>404698</v>
      </c>
      <c r="DJ46" s="272">
        <v>22773</v>
      </c>
      <c r="DK46" s="272">
        <v>55434</v>
      </c>
      <c r="DL46" s="272">
        <v>326491</v>
      </c>
      <c r="DM46" s="272">
        <v>7488</v>
      </c>
      <c r="DN46" s="272">
        <v>6888</v>
      </c>
      <c r="DO46" s="272">
        <v>6888</v>
      </c>
      <c r="DP46" s="272">
        <v>0</v>
      </c>
      <c r="DQ46" s="272">
        <v>0</v>
      </c>
      <c r="DR46" s="272">
        <v>0</v>
      </c>
      <c r="DS46" s="272">
        <v>0</v>
      </c>
      <c r="DT46" s="272">
        <v>606443</v>
      </c>
      <c r="DU46" s="272">
        <v>274159</v>
      </c>
      <c r="DV46" s="455">
        <f t="shared" si="11"/>
        <v>0</v>
      </c>
      <c r="DW46" s="272">
        <v>0</v>
      </c>
      <c r="DX46" s="272">
        <v>0</v>
      </c>
      <c r="DY46" s="272">
        <v>0</v>
      </c>
      <c r="DZ46" s="272">
        <v>73309</v>
      </c>
      <c r="EA46" s="272">
        <v>55746</v>
      </c>
      <c r="EB46" s="272"/>
      <c r="EC46" s="272">
        <v>0</v>
      </c>
      <c r="ED46" s="272">
        <v>9495447</v>
      </c>
      <c r="EF46" s="272">
        <v>130586</v>
      </c>
      <c r="EG46" s="272">
        <v>90</v>
      </c>
      <c r="EH46" s="272">
        <v>130496</v>
      </c>
      <c r="EI46" s="272">
        <v>43570</v>
      </c>
      <c r="EJ46" s="272">
        <v>66343</v>
      </c>
      <c r="EL46" s="272"/>
      <c r="EM46" s="272">
        <v>14234</v>
      </c>
      <c r="EN46" s="272">
        <v>0</v>
      </c>
      <c r="EO46" s="272">
        <v>49155</v>
      </c>
      <c r="EP46" s="455">
        <f t="shared" si="12"/>
        <v>67981</v>
      </c>
      <c r="EQ46" s="272">
        <v>3649059</v>
      </c>
      <c r="ER46" s="272">
        <v>-114524</v>
      </c>
      <c r="ES46" s="272">
        <v>1201797</v>
      </c>
      <c r="ET46" s="272">
        <v>808088</v>
      </c>
      <c r="EU46" s="272">
        <v>52965</v>
      </c>
      <c r="EV46" s="272">
        <v>364720</v>
      </c>
      <c r="EW46" s="455">
        <f t="shared" si="13"/>
        <v>549411</v>
      </c>
      <c r="EX46" s="272">
        <v>548795</v>
      </c>
      <c r="EY46" s="272">
        <v>28765</v>
      </c>
      <c r="EZ46" s="272">
        <v>511960</v>
      </c>
      <c r="FA46" s="272">
        <v>616</v>
      </c>
      <c r="FB46" s="272"/>
      <c r="FC46" s="272">
        <v>453854</v>
      </c>
      <c r="FD46" s="272">
        <v>371052</v>
      </c>
      <c r="FE46" s="272">
        <v>158991</v>
      </c>
      <c r="FF46" s="272">
        <v>344112</v>
      </c>
      <c r="FG46" s="455">
        <f t="shared" si="14"/>
        <v>295086</v>
      </c>
      <c r="FH46" s="272">
        <v>3632997</v>
      </c>
      <c r="FI46" s="384">
        <f t="shared" si="15"/>
        <v>3.8</v>
      </c>
      <c r="FJ46" s="272">
        <v>3403673</v>
      </c>
      <c r="FK46" s="272"/>
      <c r="FL46" s="272">
        <v>1464755</v>
      </c>
      <c r="FM46" s="272">
        <v>2934121</v>
      </c>
      <c r="FN46" s="460">
        <v>0.52700000000000002</v>
      </c>
      <c r="FO46" s="388">
        <v>67.8</v>
      </c>
      <c r="FP46" s="388">
        <v>34.200000000000003</v>
      </c>
      <c r="FQ46" s="388">
        <v>1.5</v>
      </c>
      <c r="FR46" s="388">
        <v>10.4</v>
      </c>
      <c r="FS46" s="388">
        <v>11.2</v>
      </c>
      <c r="FT46" s="388">
        <v>7.5</v>
      </c>
      <c r="FU46" s="388">
        <v>2.9</v>
      </c>
      <c r="FV46" s="388">
        <v>8.4</v>
      </c>
      <c r="FW46" s="272">
        <v>5508524</v>
      </c>
      <c r="FX46" s="384">
        <f t="shared" si="16"/>
        <v>161.80000000000001</v>
      </c>
      <c r="FY46" s="272">
        <v>3050077</v>
      </c>
      <c r="FZ46" s="272">
        <v>845108</v>
      </c>
      <c r="GA46" s="272">
        <v>261537</v>
      </c>
      <c r="GB46" s="272">
        <v>1943432</v>
      </c>
      <c r="GC46" s="272"/>
      <c r="GD46" s="272">
        <v>523987</v>
      </c>
      <c r="GE46" s="384">
        <f>ROUND(GD46/FJ46*100,1)</f>
        <v>15.4</v>
      </c>
      <c r="GF46" s="388">
        <v>98.2</v>
      </c>
      <c r="GG46" s="388">
        <v>38</v>
      </c>
      <c r="GH46" s="388">
        <v>96.4</v>
      </c>
      <c r="GI46" s="272">
        <v>154</v>
      </c>
    </row>
    <row r="47" spans="2:191" x14ac:dyDescent="0.15">
      <c r="B47" s="89" t="s">
        <v>87</v>
      </c>
      <c r="C47" s="272">
        <v>807718</v>
      </c>
      <c r="D47" s="455">
        <f t="shared" si="0"/>
        <v>460501</v>
      </c>
      <c r="E47" s="272">
        <v>3823</v>
      </c>
      <c r="F47" s="272">
        <v>456678</v>
      </c>
      <c r="G47" s="455">
        <f t="shared" si="1"/>
        <v>34704</v>
      </c>
      <c r="H47" s="272">
        <v>7904</v>
      </c>
      <c r="I47" s="272">
        <v>26800</v>
      </c>
      <c r="J47" s="272">
        <v>277710</v>
      </c>
      <c r="K47" s="272">
        <v>79581</v>
      </c>
      <c r="L47" s="272">
        <v>144593</v>
      </c>
      <c r="M47" s="272">
        <v>53536</v>
      </c>
      <c r="N47" s="272">
        <v>17901</v>
      </c>
      <c r="O47" s="272">
        <v>0</v>
      </c>
      <c r="P47" s="272">
        <v>0</v>
      </c>
      <c r="Q47" s="272">
        <v>0</v>
      </c>
      <c r="R47" s="272">
        <v>46999</v>
      </c>
      <c r="S47" s="272">
        <v>26983</v>
      </c>
      <c r="T47" s="455">
        <f t="shared" si="2"/>
        <v>98948</v>
      </c>
      <c r="U47" s="272">
        <v>33438</v>
      </c>
      <c r="V47" s="272"/>
      <c r="W47" s="272"/>
      <c r="X47" s="272"/>
      <c r="Y47" s="272">
        <v>38228</v>
      </c>
      <c r="Z47" s="272">
        <v>0</v>
      </c>
      <c r="AA47" s="272">
        <v>27282</v>
      </c>
      <c r="AB47" s="272"/>
      <c r="AC47" s="272">
        <v>1115836</v>
      </c>
      <c r="AD47" s="272">
        <v>961381</v>
      </c>
      <c r="AE47" s="272">
        <v>154455</v>
      </c>
      <c r="AF47" s="272">
        <v>1176</v>
      </c>
      <c r="AG47" s="272">
        <v>26233</v>
      </c>
      <c r="AH47" s="455">
        <f t="shared" si="3"/>
        <v>21574</v>
      </c>
      <c r="AI47" s="272">
        <v>18759</v>
      </c>
      <c r="AJ47" s="272">
        <v>2815</v>
      </c>
      <c r="AK47" s="272">
        <v>83888</v>
      </c>
      <c r="AL47" s="455">
        <f t="shared" si="4"/>
        <v>32522</v>
      </c>
      <c r="AM47" s="272">
        <v>0</v>
      </c>
      <c r="AN47" s="272">
        <v>15563</v>
      </c>
      <c r="AO47" s="272">
        <v>0</v>
      </c>
      <c r="AP47" s="272">
        <v>16959</v>
      </c>
      <c r="AQ47" s="272">
        <v>28667</v>
      </c>
      <c r="AR47" s="272">
        <v>0</v>
      </c>
      <c r="AS47" s="272">
        <v>0</v>
      </c>
      <c r="AT47" s="272">
        <v>234769</v>
      </c>
      <c r="AU47" s="272">
        <v>71794</v>
      </c>
      <c r="AV47" s="272">
        <v>7782</v>
      </c>
      <c r="AW47" s="272">
        <v>33338</v>
      </c>
      <c r="AX47" s="272">
        <v>162975</v>
      </c>
      <c r="AY47" s="272">
        <v>100650</v>
      </c>
      <c r="AZ47" s="272">
        <v>48925</v>
      </c>
      <c r="BA47" s="272">
        <v>0</v>
      </c>
      <c r="BB47" s="272">
        <v>50</v>
      </c>
      <c r="BC47" s="272">
        <v>232812</v>
      </c>
      <c r="BD47" s="272">
        <v>0</v>
      </c>
      <c r="BE47" s="272">
        <v>38779</v>
      </c>
      <c r="BF47" s="272">
        <v>193984</v>
      </c>
      <c r="BG47" s="272">
        <v>0</v>
      </c>
      <c r="BH47" s="272">
        <v>23632</v>
      </c>
      <c r="BI47" s="272">
        <v>23560</v>
      </c>
      <c r="BJ47" s="272">
        <v>32652</v>
      </c>
      <c r="BK47" s="272">
        <v>0</v>
      </c>
      <c r="BL47" s="272">
        <v>0</v>
      </c>
      <c r="BM47" s="272">
        <v>0</v>
      </c>
      <c r="BN47" s="272">
        <v>53100</v>
      </c>
      <c r="BO47" s="455">
        <f t="shared" si="5"/>
        <v>53100</v>
      </c>
      <c r="BP47" s="455">
        <f t="shared" si="6"/>
        <v>0</v>
      </c>
      <c r="BQ47" s="272"/>
      <c r="BR47" s="272"/>
      <c r="BS47" s="272"/>
      <c r="BT47" s="272">
        <v>0</v>
      </c>
      <c r="BU47" s="272">
        <v>2828312</v>
      </c>
      <c r="BV47" s="272"/>
      <c r="BW47" s="272">
        <v>851780</v>
      </c>
      <c r="BX47" s="272">
        <v>607578</v>
      </c>
      <c r="BY47" s="272">
        <v>12816</v>
      </c>
      <c r="BZ47" s="272">
        <v>16431</v>
      </c>
      <c r="CA47" s="272">
        <v>135564</v>
      </c>
      <c r="CB47" s="272">
        <v>11941</v>
      </c>
      <c r="CC47" s="272">
        <v>67100</v>
      </c>
      <c r="CD47" s="272">
        <v>55704</v>
      </c>
      <c r="CE47" s="272">
        <v>0</v>
      </c>
      <c r="CF47" s="272">
        <v>0</v>
      </c>
      <c r="CG47" s="272">
        <v>819</v>
      </c>
      <c r="CH47" s="272">
        <v>249197</v>
      </c>
      <c r="CI47" s="272">
        <v>99734</v>
      </c>
      <c r="CJ47" s="455">
        <f t="shared" si="7"/>
        <v>149463</v>
      </c>
      <c r="CK47" s="272">
        <v>445682</v>
      </c>
      <c r="CL47" s="272">
        <v>183368</v>
      </c>
      <c r="CM47" s="272">
        <v>26685</v>
      </c>
      <c r="CN47" s="272">
        <v>132266</v>
      </c>
      <c r="CO47" s="272">
        <v>6667</v>
      </c>
      <c r="CP47" s="272">
        <v>286949</v>
      </c>
      <c r="CQ47" s="272">
        <v>101409</v>
      </c>
      <c r="CR47" s="272">
        <v>86465</v>
      </c>
      <c r="CS47" s="272">
        <v>86465</v>
      </c>
      <c r="CT47" s="455">
        <f t="shared" si="8"/>
        <v>25508</v>
      </c>
      <c r="CU47" s="272">
        <v>5508</v>
      </c>
      <c r="CV47" s="272">
        <v>20000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474959</v>
      </c>
      <c r="DD47" s="272">
        <v>135872</v>
      </c>
      <c r="DE47" s="272">
        <v>216448</v>
      </c>
      <c r="DF47" s="272">
        <v>122639</v>
      </c>
      <c r="DG47" s="272">
        <v>0</v>
      </c>
      <c r="DH47" s="272">
        <v>0</v>
      </c>
      <c r="DI47" s="272">
        <v>202957</v>
      </c>
      <c r="DJ47" s="272">
        <v>28262</v>
      </c>
      <c r="DK47" s="272">
        <v>8884</v>
      </c>
      <c r="DL47" s="272">
        <v>165811</v>
      </c>
      <c r="DM47" s="272">
        <v>700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153298</v>
      </c>
      <c r="DU47" s="272">
        <v>23004</v>
      </c>
      <c r="DV47" s="455">
        <f t="shared" si="11"/>
        <v>0</v>
      </c>
      <c r="DW47" s="272">
        <v>0</v>
      </c>
      <c r="DX47" s="272">
        <v>0</v>
      </c>
      <c r="DY47" s="272">
        <v>0</v>
      </c>
      <c r="DZ47" s="272">
        <v>43472</v>
      </c>
      <c r="EA47" s="272">
        <v>28152</v>
      </c>
      <c r="EB47" s="272"/>
      <c r="EC47" s="272">
        <v>0</v>
      </c>
      <c r="ED47" s="272">
        <v>2807753</v>
      </c>
      <c r="EF47" s="272">
        <v>20559</v>
      </c>
      <c r="EG47" s="272">
        <v>0</v>
      </c>
      <c r="EH47" s="272">
        <v>20559</v>
      </c>
      <c r="EI47" s="272">
        <v>-3001</v>
      </c>
      <c r="EJ47" s="272">
        <v>25261</v>
      </c>
      <c r="EL47" s="272"/>
      <c r="EM47" s="272">
        <v>7636</v>
      </c>
      <c r="EN47" s="272">
        <v>58317</v>
      </c>
      <c r="EO47" s="272">
        <v>377</v>
      </c>
      <c r="EP47" s="455">
        <f t="shared" si="12"/>
        <v>43626</v>
      </c>
      <c r="EQ47" s="272">
        <v>2070677</v>
      </c>
      <c r="ER47" s="272">
        <v>-101144</v>
      </c>
      <c r="ES47" s="272">
        <v>815584</v>
      </c>
      <c r="ET47" s="272">
        <v>574072</v>
      </c>
      <c r="EU47" s="272">
        <v>32122</v>
      </c>
      <c r="EV47" s="272">
        <v>247544</v>
      </c>
      <c r="EW47" s="455">
        <f t="shared" si="13"/>
        <v>85566</v>
      </c>
      <c r="EX47" s="272">
        <v>85566</v>
      </c>
      <c r="EY47" s="272">
        <v>10667</v>
      </c>
      <c r="EZ47" s="272">
        <v>67260</v>
      </c>
      <c r="FA47" s="272">
        <v>0</v>
      </c>
      <c r="FB47" s="272"/>
      <c r="FC47" s="272">
        <v>388657</v>
      </c>
      <c r="FD47" s="272">
        <v>269651</v>
      </c>
      <c r="FE47" s="272">
        <v>101409</v>
      </c>
      <c r="FF47" s="272">
        <v>144413</v>
      </c>
      <c r="FG47" s="455">
        <f t="shared" si="14"/>
        <v>167725</v>
      </c>
      <c r="FH47" s="272">
        <v>2151262</v>
      </c>
      <c r="FI47" s="384">
        <f t="shared" si="15"/>
        <v>1.1000000000000001</v>
      </c>
      <c r="FJ47" s="272">
        <v>1876390</v>
      </c>
      <c r="FK47" s="272"/>
      <c r="FL47" s="272">
        <v>691504</v>
      </c>
      <c r="FM47" s="272">
        <v>1655486</v>
      </c>
      <c r="FN47" s="460">
        <v>0.41199999999999998</v>
      </c>
      <c r="FO47" s="388">
        <v>83.9</v>
      </c>
      <c r="FP47" s="388">
        <v>41.9</v>
      </c>
      <c r="FQ47" s="388">
        <v>1.7</v>
      </c>
      <c r="FR47" s="388">
        <v>12.9</v>
      </c>
      <c r="FS47" s="388">
        <v>12.7</v>
      </c>
      <c r="FT47" s="388">
        <v>10.8</v>
      </c>
      <c r="FU47" s="388">
        <v>3.6</v>
      </c>
      <c r="FV47" s="388">
        <v>9</v>
      </c>
      <c r="FW47" s="272">
        <v>3037884</v>
      </c>
      <c r="FX47" s="384">
        <f t="shared" si="16"/>
        <v>161.9</v>
      </c>
      <c r="FY47" s="272">
        <v>1526658</v>
      </c>
      <c r="FZ47" s="272">
        <v>474647</v>
      </c>
      <c r="GA47" s="272">
        <v>292355</v>
      </c>
      <c r="GB47" s="272">
        <v>759656</v>
      </c>
      <c r="GC47" s="272"/>
      <c r="GD47" s="272"/>
      <c r="GE47" s="384"/>
      <c r="GF47" s="388">
        <v>99.1</v>
      </c>
      <c r="GG47" s="388">
        <v>30.8</v>
      </c>
      <c r="GH47" s="388">
        <v>96.6</v>
      </c>
      <c r="GI47" s="272">
        <v>100</v>
      </c>
    </row>
    <row r="48" spans="2:191" x14ac:dyDescent="0.15">
      <c r="B48" s="89" t="s">
        <v>839</v>
      </c>
      <c r="C48" s="272">
        <v>6374068</v>
      </c>
      <c r="D48" s="455">
        <f t="shared" si="0"/>
        <v>2478189</v>
      </c>
      <c r="E48" s="272">
        <v>18807</v>
      </c>
      <c r="F48" s="272">
        <v>2459382</v>
      </c>
      <c r="G48" s="455">
        <f t="shared" si="1"/>
        <v>566473</v>
      </c>
      <c r="H48" s="272">
        <v>97809</v>
      </c>
      <c r="I48" s="272">
        <v>468664</v>
      </c>
      <c r="J48" s="272">
        <v>2803871</v>
      </c>
      <c r="K48" s="272">
        <v>1305040</v>
      </c>
      <c r="L48" s="272">
        <v>977363</v>
      </c>
      <c r="M48" s="272">
        <v>509776</v>
      </c>
      <c r="N48" s="272">
        <v>165486</v>
      </c>
      <c r="O48" s="272">
        <v>323214</v>
      </c>
      <c r="P48" s="272">
        <v>206741</v>
      </c>
      <c r="Q48" s="272">
        <v>116473</v>
      </c>
      <c r="R48" s="272">
        <v>280176</v>
      </c>
      <c r="S48" s="272">
        <v>199144</v>
      </c>
      <c r="T48" s="455">
        <f t="shared" si="2"/>
        <v>307808</v>
      </c>
      <c r="U48" s="272">
        <v>176221</v>
      </c>
      <c r="V48" s="272"/>
      <c r="W48" s="272"/>
      <c r="X48" s="272"/>
      <c r="Y48" s="272">
        <v>21369</v>
      </c>
      <c r="Z48" s="272">
        <v>0</v>
      </c>
      <c r="AA48" s="272">
        <v>110218</v>
      </c>
      <c r="AB48" s="272"/>
      <c r="AC48" s="272">
        <v>577468</v>
      </c>
      <c r="AD48" s="272">
        <v>410540</v>
      </c>
      <c r="AE48" s="272">
        <v>166928</v>
      </c>
      <c r="AF48" s="272">
        <v>10390</v>
      </c>
      <c r="AG48" s="272">
        <v>26713</v>
      </c>
      <c r="AH48" s="455">
        <f t="shared" si="3"/>
        <v>165625</v>
      </c>
      <c r="AI48" s="272">
        <v>116124</v>
      </c>
      <c r="AJ48" s="272">
        <v>49501</v>
      </c>
      <c r="AK48" s="272">
        <v>259383</v>
      </c>
      <c r="AL48" s="455">
        <f t="shared" si="4"/>
        <v>87917</v>
      </c>
      <c r="AM48" s="272">
        <v>0</v>
      </c>
      <c r="AN48" s="272">
        <v>37239</v>
      </c>
      <c r="AO48" s="272">
        <v>0</v>
      </c>
      <c r="AP48" s="272">
        <v>50678</v>
      </c>
      <c r="AQ48" s="272">
        <v>62575</v>
      </c>
      <c r="AR48" s="272">
        <v>0</v>
      </c>
      <c r="AS48" s="272">
        <v>0</v>
      </c>
      <c r="AT48" s="272">
        <v>461773</v>
      </c>
      <c r="AU48" s="272">
        <v>113988</v>
      </c>
      <c r="AV48" s="272">
        <v>18619</v>
      </c>
      <c r="AW48" s="272">
        <v>0</v>
      </c>
      <c r="AX48" s="272">
        <v>347785</v>
      </c>
      <c r="AY48" s="272">
        <v>136977</v>
      </c>
      <c r="AZ48" s="272">
        <v>207401</v>
      </c>
      <c r="BA48" s="272">
        <v>6656</v>
      </c>
      <c r="BB48" s="272">
        <v>49053</v>
      </c>
      <c r="BC48" s="272">
        <v>567531</v>
      </c>
      <c r="BD48" s="272">
        <v>121737</v>
      </c>
      <c r="BE48" s="272">
        <v>0</v>
      </c>
      <c r="BF48" s="272">
        <v>444000</v>
      </c>
      <c r="BG48" s="272">
        <v>0</v>
      </c>
      <c r="BH48" s="272">
        <v>162222</v>
      </c>
      <c r="BI48" s="272">
        <v>162222</v>
      </c>
      <c r="BJ48" s="272">
        <v>58319</v>
      </c>
      <c r="BK48" s="272">
        <v>1603</v>
      </c>
      <c r="BL48" s="272">
        <v>0</v>
      </c>
      <c r="BM48" s="272">
        <v>0</v>
      </c>
      <c r="BN48" s="272">
        <v>571100</v>
      </c>
      <c r="BO48" s="455">
        <f t="shared" si="5"/>
        <v>571100</v>
      </c>
      <c r="BP48" s="455">
        <f t="shared" si="6"/>
        <v>0</v>
      </c>
      <c r="BQ48" s="272"/>
      <c r="BR48" s="272"/>
      <c r="BS48" s="272"/>
      <c r="BT48" s="272">
        <v>0</v>
      </c>
      <c r="BU48" s="272">
        <v>10079030</v>
      </c>
      <c r="BV48" s="272"/>
      <c r="BW48" s="272">
        <v>2850925</v>
      </c>
      <c r="BX48" s="272">
        <v>2184928</v>
      </c>
      <c r="BY48" s="272">
        <v>126332</v>
      </c>
      <c r="BZ48" s="272">
        <v>29397</v>
      </c>
      <c r="CA48" s="272">
        <v>445120</v>
      </c>
      <c r="CB48" s="272">
        <v>96399</v>
      </c>
      <c r="CC48" s="272">
        <v>253636</v>
      </c>
      <c r="CD48" s="272">
        <v>88700</v>
      </c>
      <c r="CE48" s="272">
        <v>0</v>
      </c>
      <c r="CF48" s="272">
        <v>0</v>
      </c>
      <c r="CG48" s="272">
        <v>6235</v>
      </c>
      <c r="CH48" s="272">
        <v>702969</v>
      </c>
      <c r="CI48" s="272">
        <v>297221</v>
      </c>
      <c r="CJ48" s="455">
        <f t="shared" si="7"/>
        <v>405748</v>
      </c>
      <c r="CK48" s="272">
        <v>1430124</v>
      </c>
      <c r="CL48" s="272">
        <v>860009</v>
      </c>
      <c r="CM48" s="272">
        <v>94599</v>
      </c>
      <c r="CN48" s="272">
        <v>284746</v>
      </c>
      <c r="CO48" s="272">
        <v>57278</v>
      </c>
      <c r="CP48" s="272">
        <v>669868</v>
      </c>
      <c r="CQ48" s="272">
        <v>359997</v>
      </c>
      <c r="CR48" s="272">
        <v>146695</v>
      </c>
      <c r="CS48" s="272">
        <v>140579</v>
      </c>
      <c r="CT48" s="455">
        <f t="shared" si="8"/>
        <v>5145</v>
      </c>
      <c r="CU48" s="272">
        <v>5145</v>
      </c>
      <c r="CV48" s="272">
        <v>0</v>
      </c>
      <c r="CW48" s="455">
        <f t="shared" si="9"/>
        <v>0</v>
      </c>
      <c r="CX48" s="272">
        <v>0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1967794</v>
      </c>
      <c r="DD48" s="272">
        <v>187728</v>
      </c>
      <c r="DE48" s="272">
        <v>1780066</v>
      </c>
      <c r="DF48" s="272">
        <v>0</v>
      </c>
      <c r="DG48" s="272">
        <v>0</v>
      </c>
      <c r="DH48" s="272">
        <v>0</v>
      </c>
      <c r="DI48" s="272">
        <v>601787</v>
      </c>
      <c r="DJ48" s="272">
        <v>127290</v>
      </c>
      <c r="DK48" s="272">
        <v>23440</v>
      </c>
      <c r="DL48" s="272">
        <v>451057</v>
      </c>
      <c r="DM48" s="272">
        <v>2000</v>
      </c>
      <c r="DN48" s="272">
        <v>0</v>
      </c>
      <c r="DO48" s="272">
        <v>0</v>
      </c>
      <c r="DP48" s="272">
        <v>0</v>
      </c>
      <c r="DQ48" s="272">
        <v>0</v>
      </c>
      <c r="DR48" s="272">
        <v>0</v>
      </c>
      <c r="DS48" s="272">
        <v>0</v>
      </c>
      <c r="DT48" s="272">
        <v>1205044</v>
      </c>
      <c r="DU48" s="272">
        <v>781840</v>
      </c>
      <c r="DV48" s="455">
        <f t="shared" si="11"/>
        <v>0</v>
      </c>
      <c r="DW48" s="272">
        <v>0</v>
      </c>
      <c r="DX48" s="272">
        <v>0</v>
      </c>
      <c r="DY48" s="272">
        <v>0</v>
      </c>
      <c r="DZ48" s="272">
        <v>175000</v>
      </c>
      <c r="EA48" s="272">
        <v>104655</v>
      </c>
      <c r="EB48" s="272"/>
      <c r="EC48" s="272">
        <v>0</v>
      </c>
      <c r="ED48" s="272">
        <v>9932909</v>
      </c>
      <c r="EF48" s="272">
        <v>146121</v>
      </c>
      <c r="EG48" s="272">
        <v>0</v>
      </c>
      <c r="EH48" s="272">
        <v>146121</v>
      </c>
      <c r="EI48" s="272">
        <v>-16101</v>
      </c>
      <c r="EJ48" s="272">
        <v>-10548</v>
      </c>
      <c r="EL48" s="272"/>
      <c r="EM48" s="272">
        <v>36918</v>
      </c>
      <c r="EN48" s="272">
        <v>563531</v>
      </c>
      <c r="EO48" s="272">
        <v>10209</v>
      </c>
      <c r="EP48" s="455">
        <f t="shared" si="12"/>
        <v>268871</v>
      </c>
      <c r="EQ48" s="272">
        <v>7549910</v>
      </c>
      <c r="ER48" s="272">
        <v>-832221</v>
      </c>
      <c r="ES48" s="272">
        <v>2608137</v>
      </c>
      <c r="ET48" s="272">
        <v>1947355</v>
      </c>
      <c r="EU48" s="272">
        <v>154201</v>
      </c>
      <c r="EV48" s="272">
        <v>698019</v>
      </c>
      <c r="EW48" s="455">
        <f t="shared" si="13"/>
        <v>1193782</v>
      </c>
      <c r="EX48" s="272">
        <v>1193782</v>
      </c>
      <c r="EY48" s="272">
        <v>15153</v>
      </c>
      <c r="EZ48" s="272">
        <v>1178629</v>
      </c>
      <c r="FA48" s="272">
        <v>0</v>
      </c>
      <c r="FB48" s="272"/>
      <c r="FC48" s="272">
        <v>1267597</v>
      </c>
      <c r="FD48" s="272">
        <v>641242</v>
      </c>
      <c r="FE48" s="272">
        <v>359997</v>
      </c>
      <c r="FF48" s="272">
        <v>1184147</v>
      </c>
      <c r="FG48" s="455">
        <f t="shared" si="14"/>
        <v>488885</v>
      </c>
      <c r="FH48" s="272">
        <v>8236010</v>
      </c>
      <c r="FI48" s="384">
        <f t="shared" si="15"/>
        <v>2.1</v>
      </c>
      <c r="FJ48" s="272">
        <v>7077438</v>
      </c>
      <c r="FK48" s="272"/>
      <c r="FL48" s="272">
        <v>5021699</v>
      </c>
      <c r="FM48" s="272">
        <v>5442072</v>
      </c>
      <c r="FN48" s="460">
        <v>0.94099999999999995</v>
      </c>
      <c r="FO48" s="388">
        <v>77.5</v>
      </c>
      <c r="FP48" s="388">
        <v>35.9</v>
      </c>
      <c r="FQ48" s="388">
        <v>2.2000000000000002</v>
      </c>
      <c r="FR48" s="388">
        <v>9.8000000000000007</v>
      </c>
      <c r="FS48" s="388">
        <v>16.8</v>
      </c>
      <c r="FT48" s="388">
        <v>7.4</v>
      </c>
      <c r="FU48" s="388">
        <v>4.5999999999999996</v>
      </c>
      <c r="FV48" s="388">
        <v>7.1</v>
      </c>
      <c r="FW48" s="272">
        <v>7625912</v>
      </c>
      <c r="FX48" s="384">
        <f t="shared" si="16"/>
        <v>107.7</v>
      </c>
      <c r="FY48" s="272">
        <v>7317189</v>
      </c>
      <c r="FZ48" s="272">
        <v>1863052</v>
      </c>
      <c r="GA48" s="272">
        <v>924181</v>
      </c>
      <c r="GB48" s="272">
        <v>4529956</v>
      </c>
      <c r="GC48" s="272"/>
      <c r="GD48" s="272">
        <v>4387879</v>
      </c>
      <c r="GE48" s="384">
        <f>ROUND(GD48/FJ48*100,1)</f>
        <v>62</v>
      </c>
      <c r="GF48" s="388">
        <v>95.8</v>
      </c>
      <c r="GG48" s="388">
        <v>18.5</v>
      </c>
      <c r="GH48" s="388">
        <v>89.1</v>
      </c>
      <c r="GI48" s="272">
        <v>360</v>
      </c>
    </row>
    <row r="49" spans="2:191" x14ac:dyDescent="0.15">
      <c r="B49" s="21" t="s">
        <v>89</v>
      </c>
      <c r="C49" s="272">
        <f>SUM(C38:C48)</f>
        <v>31399809</v>
      </c>
      <c r="D49" s="455">
        <f t="shared" si="0"/>
        <v>14456898</v>
      </c>
      <c r="E49" s="272">
        <f>SUM(E38:E48)</f>
        <v>113158</v>
      </c>
      <c r="F49" s="272">
        <f>SUM(F38:F48)</f>
        <v>14343740</v>
      </c>
      <c r="G49" s="455">
        <f t="shared" si="1"/>
        <v>1986400</v>
      </c>
      <c r="H49" s="272">
        <f t="shared" ref="H49:S49" si="25">SUM(H38:H48)</f>
        <v>330634</v>
      </c>
      <c r="I49" s="272">
        <f t="shared" si="25"/>
        <v>1655766</v>
      </c>
      <c r="J49" s="272">
        <f t="shared" si="25"/>
        <v>12538123</v>
      </c>
      <c r="K49" s="272">
        <f t="shared" si="25"/>
        <v>5864927</v>
      </c>
      <c r="L49" s="272">
        <f t="shared" si="25"/>
        <v>4431619</v>
      </c>
      <c r="M49" s="272">
        <f t="shared" si="25"/>
        <v>2180885</v>
      </c>
      <c r="N49" s="272">
        <f t="shared" si="25"/>
        <v>776777</v>
      </c>
      <c r="O49" s="272">
        <f t="shared" si="25"/>
        <v>966981</v>
      </c>
      <c r="P49" s="272">
        <f t="shared" si="25"/>
        <v>653511</v>
      </c>
      <c r="Q49" s="272">
        <f t="shared" si="25"/>
        <v>313470</v>
      </c>
      <c r="R49" s="272">
        <f t="shared" si="25"/>
        <v>1447483</v>
      </c>
      <c r="S49" s="272">
        <f t="shared" si="25"/>
        <v>912816</v>
      </c>
      <c r="T49" s="455">
        <f t="shared" si="2"/>
        <v>2138991</v>
      </c>
      <c r="U49" s="272">
        <f>SUM(U38:U48)</f>
        <v>1054765</v>
      </c>
      <c r="V49" s="272"/>
      <c r="W49" s="272"/>
      <c r="X49" s="272"/>
      <c r="Y49" s="272">
        <f>SUM(Y38:Y48)</f>
        <v>353787</v>
      </c>
      <c r="Z49" s="272">
        <f>SUM(Z38:Z48)</f>
        <v>2966</v>
      </c>
      <c r="AA49" s="272">
        <f>SUM(AA38:AA48)</f>
        <v>727473</v>
      </c>
      <c r="AB49" s="272"/>
      <c r="AC49" s="272">
        <f>SUM(AC38:AC48)</f>
        <v>13925288</v>
      </c>
      <c r="AD49" s="272">
        <f>SUM(AD38:AD48)</f>
        <v>11894888</v>
      </c>
      <c r="AE49" s="272">
        <f>SUM(AE38:AE48)</f>
        <v>2030400</v>
      </c>
      <c r="AF49" s="272">
        <f>SUM(AF38:AF48)</f>
        <v>49779</v>
      </c>
      <c r="AG49" s="272">
        <f>SUM(AG38:AG48)</f>
        <v>445531</v>
      </c>
      <c r="AH49" s="455">
        <f t="shared" si="3"/>
        <v>1239151</v>
      </c>
      <c r="AI49" s="272">
        <f>SUM(AI38:AI48)</f>
        <v>995034</v>
      </c>
      <c r="AJ49" s="272">
        <f>SUM(AJ38:AJ48)</f>
        <v>244117</v>
      </c>
      <c r="AK49" s="272">
        <f>SUM(AK38:AK48)</f>
        <v>2548497</v>
      </c>
      <c r="AL49" s="455">
        <f t="shared" si="4"/>
        <v>673605</v>
      </c>
      <c r="AM49" s="272">
        <f t="shared" ref="AM49:BN49" si="26">SUM(AM38:AM48)</f>
        <v>44821</v>
      </c>
      <c r="AN49" s="272">
        <f t="shared" si="26"/>
        <v>309330</v>
      </c>
      <c r="AO49" s="272">
        <f t="shared" si="26"/>
        <v>0</v>
      </c>
      <c r="AP49" s="272">
        <f t="shared" si="26"/>
        <v>319454</v>
      </c>
      <c r="AQ49" s="272">
        <f t="shared" si="26"/>
        <v>832018</v>
      </c>
      <c r="AR49" s="272">
        <f t="shared" si="26"/>
        <v>11300</v>
      </c>
      <c r="AS49" s="272">
        <f t="shared" si="26"/>
        <v>0</v>
      </c>
      <c r="AT49" s="272">
        <f t="shared" si="26"/>
        <v>5179668</v>
      </c>
      <c r="AU49" s="272">
        <f t="shared" si="26"/>
        <v>1606501</v>
      </c>
      <c r="AV49" s="272">
        <f t="shared" si="26"/>
        <v>132102</v>
      </c>
      <c r="AW49" s="272">
        <f t="shared" si="26"/>
        <v>749452</v>
      </c>
      <c r="AX49" s="272">
        <f t="shared" si="26"/>
        <v>3573167</v>
      </c>
      <c r="AY49" s="272">
        <f t="shared" si="26"/>
        <v>1838050</v>
      </c>
      <c r="AZ49" s="272">
        <f t="shared" si="26"/>
        <v>1660832</v>
      </c>
      <c r="BA49" s="272">
        <f t="shared" si="26"/>
        <v>177831</v>
      </c>
      <c r="BB49" s="272">
        <f t="shared" si="26"/>
        <v>523885</v>
      </c>
      <c r="BC49" s="272">
        <f t="shared" si="26"/>
        <v>6757152</v>
      </c>
      <c r="BD49" s="272">
        <f t="shared" si="26"/>
        <v>609919</v>
      </c>
      <c r="BE49" s="272">
        <f t="shared" si="26"/>
        <v>90017</v>
      </c>
      <c r="BF49" s="272">
        <f t="shared" si="26"/>
        <v>5880211</v>
      </c>
      <c r="BG49" s="272">
        <f t="shared" si="26"/>
        <v>124054</v>
      </c>
      <c r="BH49" s="272">
        <f t="shared" si="26"/>
        <v>1916748</v>
      </c>
      <c r="BI49" s="272">
        <f t="shared" si="26"/>
        <v>1368912</v>
      </c>
      <c r="BJ49" s="272">
        <f t="shared" si="26"/>
        <v>952012</v>
      </c>
      <c r="BK49" s="272">
        <f t="shared" si="26"/>
        <v>31157</v>
      </c>
      <c r="BL49" s="272">
        <f t="shared" si="26"/>
        <v>1153</v>
      </c>
      <c r="BM49" s="272">
        <f t="shared" si="26"/>
        <v>0</v>
      </c>
      <c r="BN49" s="272">
        <f t="shared" si="26"/>
        <v>8189600</v>
      </c>
      <c r="BO49" s="455">
        <f t="shared" si="5"/>
        <v>8189600</v>
      </c>
      <c r="BP49" s="455">
        <f t="shared" si="6"/>
        <v>0</v>
      </c>
      <c r="BQ49" s="272"/>
      <c r="BR49" s="272"/>
      <c r="BS49" s="272"/>
      <c r="BT49" s="272">
        <v>0</v>
      </c>
      <c r="BU49" s="272">
        <f>SUM(BU38:BU48)</f>
        <v>78374426</v>
      </c>
      <c r="BV49" s="272"/>
      <c r="BW49" s="272">
        <f t="shared" ref="BW49:CI49" si="27">SUM(BW38:BW48)</f>
        <v>19212817</v>
      </c>
      <c r="BX49" s="272">
        <f t="shared" si="27"/>
        <v>13947544</v>
      </c>
      <c r="BY49" s="272">
        <f t="shared" si="27"/>
        <v>831023</v>
      </c>
      <c r="BZ49" s="272">
        <f t="shared" si="27"/>
        <v>469890</v>
      </c>
      <c r="CA49" s="272">
        <f t="shared" si="27"/>
        <v>3178638</v>
      </c>
      <c r="CB49" s="272">
        <f t="shared" si="27"/>
        <v>626733</v>
      </c>
      <c r="CC49" s="272">
        <f t="shared" si="27"/>
        <v>1557546</v>
      </c>
      <c r="CD49" s="272">
        <f t="shared" si="27"/>
        <v>865583</v>
      </c>
      <c r="CE49" s="272">
        <f t="shared" si="27"/>
        <v>55303</v>
      </c>
      <c r="CF49" s="272">
        <f t="shared" si="27"/>
        <v>2655</v>
      </c>
      <c r="CG49" s="272">
        <f t="shared" si="27"/>
        <v>70668</v>
      </c>
      <c r="CH49" s="272">
        <f t="shared" si="27"/>
        <v>5766765</v>
      </c>
      <c r="CI49" s="272">
        <f t="shared" si="27"/>
        <v>2787947</v>
      </c>
      <c r="CJ49" s="455">
        <f t="shared" si="7"/>
        <v>2978818</v>
      </c>
      <c r="CK49" s="272">
        <f t="shared" ref="CK49:CS49" si="28">SUM(CK38:CK48)</f>
        <v>9048273</v>
      </c>
      <c r="CL49" s="272">
        <f t="shared" si="28"/>
        <v>4252454</v>
      </c>
      <c r="CM49" s="272">
        <f t="shared" si="28"/>
        <v>676266</v>
      </c>
      <c r="CN49" s="272">
        <f t="shared" si="28"/>
        <v>2546200</v>
      </c>
      <c r="CO49" s="272">
        <f t="shared" si="28"/>
        <v>667417</v>
      </c>
      <c r="CP49" s="272">
        <f t="shared" si="28"/>
        <v>4422727</v>
      </c>
      <c r="CQ49" s="272">
        <f t="shared" si="28"/>
        <v>1343140</v>
      </c>
      <c r="CR49" s="272">
        <f t="shared" si="28"/>
        <v>1063910</v>
      </c>
      <c r="CS49" s="272">
        <f t="shared" si="28"/>
        <v>1034821</v>
      </c>
      <c r="CT49" s="455">
        <f t="shared" si="8"/>
        <v>404576</v>
      </c>
      <c r="CU49" s="272">
        <f>SUM(CU38:CU48)</f>
        <v>186799</v>
      </c>
      <c r="CV49" s="272">
        <f>SUM(CV38:CV48)</f>
        <v>217777</v>
      </c>
      <c r="CW49" s="455">
        <f t="shared" si="9"/>
        <v>190540</v>
      </c>
      <c r="CX49" s="272">
        <f>SUM(CX38:CX48)</f>
        <v>104790</v>
      </c>
      <c r="CY49" s="272">
        <f>SUM(CY38:CY48)</f>
        <v>85750</v>
      </c>
      <c r="CZ49" s="455">
        <f t="shared" si="10"/>
        <v>0</v>
      </c>
      <c r="DA49" s="272">
        <f t="shared" ref="DA49:DU49" si="29">SUM(DA38:DA48)</f>
        <v>0</v>
      </c>
      <c r="DB49" s="272">
        <f t="shared" si="29"/>
        <v>0</v>
      </c>
      <c r="DC49" s="272">
        <f t="shared" si="29"/>
        <v>22700807</v>
      </c>
      <c r="DD49" s="272">
        <f t="shared" si="29"/>
        <v>2868411</v>
      </c>
      <c r="DE49" s="272">
        <f t="shared" si="29"/>
        <v>19579623</v>
      </c>
      <c r="DF49" s="272">
        <f t="shared" si="29"/>
        <v>249548</v>
      </c>
      <c r="DG49" s="272">
        <f t="shared" si="29"/>
        <v>800</v>
      </c>
      <c r="DH49" s="272">
        <f t="shared" si="29"/>
        <v>142915</v>
      </c>
      <c r="DI49" s="272">
        <f t="shared" si="29"/>
        <v>5014980</v>
      </c>
      <c r="DJ49" s="272">
        <f t="shared" si="29"/>
        <v>1112707</v>
      </c>
      <c r="DK49" s="272">
        <f t="shared" si="29"/>
        <v>136721</v>
      </c>
      <c r="DL49" s="272">
        <f t="shared" si="29"/>
        <v>3765552</v>
      </c>
      <c r="DM49" s="272">
        <f t="shared" si="29"/>
        <v>324238</v>
      </c>
      <c r="DN49" s="272">
        <f t="shared" si="29"/>
        <v>16888</v>
      </c>
      <c r="DO49" s="272">
        <f t="shared" si="29"/>
        <v>16888</v>
      </c>
      <c r="DP49" s="272">
        <f t="shared" si="29"/>
        <v>0</v>
      </c>
      <c r="DQ49" s="272">
        <f t="shared" si="29"/>
        <v>5266</v>
      </c>
      <c r="DR49" s="272">
        <f t="shared" si="29"/>
        <v>0</v>
      </c>
      <c r="DS49" s="272">
        <f t="shared" si="29"/>
        <v>0</v>
      </c>
      <c r="DT49" s="272">
        <f t="shared" si="29"/>
        <v>5956385</v>
      </c>
      <c r="DU49" s="272">
        <f t="shared" si="29"/>
        <v>3345058</v>
      </c>
      <c r="DV49" s="455">
        <f t="shared" si="11"/>
        <v>0</v>
      </c>
      <c r="DW49" s="272">
        <f>SUM(DW38:DW48)</f>
        <v>0</v>
      </c>
      <c r="DX49" s="272">
        <v>0</v>
      </c>
      <c r="DY49" s="272">
        <f>SUM(DY38:DY48)</f>
        <v>0</v>
      </c>
      <c r="DZ49" s="272">
        <f>SUM(DZ38:DZ48)</f>
        <v>1045115</v>
      </c>
      <c r="EA49" s="272">
        <f>SUM(EA38:EA48)</f>
        <v>750367</v>
      </c>
      <c r="EB49" s="272"/>
      <c r="EC49" s="272">
        <f>SUM(EC38:EC48)</f>
        <v>0</v>
      </c>
      <c r="ED49" s="272">
        <f>SUM(ED38:ED48)</f>
        <v>76441228</v>
      </c>
      <c r="EE49" s="272"/>
      <c r="EF49" s="272">
        <f>SUM(EF38:EF48)</f>
        <v>1933198</v>
      </c>
      <c r="EG49" s="272">
        <f>SUM(EG38:EG48)</f>
        <v>569403</v>
      </c>
      <c r="EH49" s="272">
        <f>SUM(EH38:EH48)</f>
        <v>1363795</v>
      </c>
      <c r="EI49" s="272">
        <f>SUM(EI38:EI48)</f>
        <v>-50117</v>
      </c>
      <c r="EJ49" s="272">
        <f>SUM(EJ38:EJ48)</f>
        <v>452671</v>
      </c>
      <c r="EL49" s="272"/>
      <c r="EM49" s="272">
        <f>SUM(EM38:EM48)</f>
        <v>224792</v>
      </c>
      <c r="EN49" s="272">
        <f>SUM(EN38:EN48)</f>
        <v>1730516</v>
      </c>
      <c r="EO49" s="272">
        <f>SUM(EO38:EO48)</f>
        <v>217578</v>
      </c>
      <c r="EP49" s="455">
        <f t="shared" si="12"/>
        <v>2750357</v>
      </c>
      <c r="EQ49" s="272">
        <f t="shared" ref="EQ49:EV49" si="30">SUM(EQ38:EQ48)</f>
        <v>48961350</v>
      </c>
      <c r="ER49" s="272">
        <f t="shared" si="30"/>
        <v>-4648672</v>
      </c>
      <c r="ES49" s="272">
        <f t="shared" si="30"/>
        <v>17476561</v>
      </c>
      <c r="ET49" s="272">
        <f t="shared" si="30"/>
        <v>12488756</v>
      </c>
      <c r="EU49" s="272">
        <f t="shared" si="30"/>
        <v>1181430</v>
      </c>
      <c r="EV49" s="272">
        <f t="shared" si="30"/>
        <v>5316687</v>
      </c>
      <c r="EW49" s="455">
        <f t="shared" si="13"/>
        <v>5711150</v>
      </c>
      <c r="EX49" s="272">
        <f>SUM(EX38:EX48)</f>
        <v>5655956</v>
      </c>
      <c r="EY49" s="272">
        <f>SUM(EY38:EY48)</f>
        <v>279327</v>
      </c>
      <c r="EZ49" s="272">
        <f>SUM(EZ38:EZ48)</f>
        <v>5292233</v>
      </c>
      <c r="FA49" s="272">
        <f>SUM(FA38:FA48)</f>
        <v>55194</v>
      </c>
      <c r="FB49" s="272"/>
      <c r="FC49" s="272">
        <f>SUM(FC38:FC48)</f>
        <v>7738561</v>
      </c>
      <c r="FD49" s="272">
        <f>SUM(FD38:FD48)</f>
        <v>4149056</v>
      </c>
      <c r="FE49" s="272">
        <f>SUM(FE38:FE48)</f>
        <v>1343140</v>
      </c>
      <c r="FF49" s="272">
        <f>SUM(FF38:FF48)</f>
        <v>5393729</v>
      </c>
      <c r="FG49" s="455">
        <f t="shared" si="14"/>
        <v>4709650</v>
      </c>
      <c r="FH49" s="272">
        <f>SUM(FH38:FH48)</f>
        <v>51676824</v>
      </c>
      <c r="FI49" s="384">
        <f t="shared" si="15"/>
        <v>3</v>
      </c>
      <c r="FJ49" s="272">
        <f>SUM(FJ38:FJ48)</f>
        <v>45835884</v>
      </c>
      <c r="FK49" s="272">
        <f>SUM(FK38:FK48)</f>
        <v>0</v>
      </c>
      <c r="FL49" s="272">
        <f>SUM(FL38:FL48)</f>
        <v>25599422</v>
      </c>
      <c r="FM49" s="272">
        <f>SUM(FM38:FM48)</f>
        <v>37544006</v>
      </c>
      <c r="FN49" s="468">
        <v>0.67900000000000005</v>
      </c>
      <c r="FO49" s="469">
        <v>77.8</v>
      </c>
      <c r="FP49" s="469">
        <v>37.1</v>
      </c>
      <c r="FQ49" s="469">
        <v>2.4</v>
      </c>
      <c r="FR49" s="469">
        <v>11.4</v>
      </c>
      <c r="FS49" s="469">
        <v>14.1</v>
      </c>
      <c r="FT49" s="469">
        <v>7</v>
      </c>
      <c r="FU49" s="469">
        <v>4.4000000000000004</v>
      </c>
      <c r="FV49" s="469">
        <v>8.1</v>
      </c>
      <c r="FW49" s="272">
        <f>SUM(FW38:FW48)</f>
        <v>56938586</v>
      </c>
      <c r="FX49" s="384">
        <f t="shared" si="16"/>
        <v>124.2</v>
      </c>
      <c r="FY49" s="272">
        <f t="shared" ref="FY49:GD49" si="31">SUM(FY38:FY48)</f>
        <v>38997809</v>
      </c>
      <c r="FZ49" s="272">
        <f t="shared" si="31"/>
        <v>10595603</v>
      </c>
      <c r="GA49" s="272">
        <f t="shared" si="31"/>
        <v>3016612</v>
      </c>
      <c r="GB49" s="272">
        <f t="shared" si="31"/>
        <v>25385594</v>
      </c>
      <c r="GC49" s="272">
        <f t="shared" si="31"/>
        <v>0</v>
      </c>
      <c r="GD49" s="272">
        <f t="shared" si="31"/>
        <v>11332550</v>
      </c>
      <c r="GE49" s="465">
        <f>ROUND(GD49/FJ52*100,1)</f>
        <v>45.8</v>
      </c>
      <c r="GF49" s="469">
        <v>97.3</v>
      </c>
      <c r="GG49" s="469">
        <v>21.2</v>
      </c>
      <c r="GH49" s="469">
        <v>92.8</v>
      </c>
      <c r="GI49" s="272">
        <f>SUM(GI38:GI48)</f>
        <v>2340</v>
      </c>
    </row>
    <row r="50" spans="2:191" x14ac:dyDescent="0.15">
      <c r="B50" s="21" t="s">
        <v>91</v>
      </c>
      <c r="C50" s="272">
        <f>C37+C49</f>
        <v>844425343</v>
      </c>
      <c r="D50" s="455">
        <f t="shared" si="0"/>
        <v>360694756</v>
      </c>
      <c r="E50" s="272">
        <f>E37+E49</f>
        <v>3900508</v>
      </c>
      <c r="F50" s="272">
        <f>F37+F49</f>
        <v>356794248</v>
      </c>
      <c r="G50" s="455">
        <f t="shared" si="1"/>
        <v>73428567</v>
      </c>
      <c r="H50" s="272">
        <f t="shared" ref="H50:S50" si="32">H37+H49</f>
        <v>10033521</v>
      </c>
      <c r="I50" s="272">
        <f t="shared" si="32"/>
        <v>63395046</v>
      </c>
      <c r="J50" s="272">
        <f t="shared" si="32"/>
        <v>297370917</v>
      </c>
      <c r="K50" s="272">
        <f t="shared" si="32"/>
        <v>146940734</v>
      </c>
      <c r="L50" s="272">
        <f t="shared" si="32"/>
        <v>101295689</v>
      </c>
      <c r="M50" s="272">
        <f t="shared" si="32"/>
        <v>45176330</v>
      </c>
      <c r="N50" s="272">
        <f t="shared" si="32"/>
        <v>26607619</v>
      </c>
      <c r="O50" s="272">
        <f t="shared" si="32"/>
        <v>68132379</v>
      </c>
      <c r="P50" s="272">
        <f t="shared" si="32"/>
        <v>47082444</v>
      </c>
      <c r="Q50" s="272">
        <f t="shared" si="32"/>
        <v>21049935</v>
      </c>
      <c r="R50" s="272">
        <f t="shared" si="32"/>
        <v>35234756</v>
      </c>
      <c r="S50" s="272">
        <f t="shared" si="32"/>
        <v>23822953</v>
      </c>
      <c r="T50" s="455">
        <f t="shared" si="2"/>
        <v>41663784</v>
      </c>
      <c r="U50" s="272">
        <f>U37+U49</f>
        <v>27079129</v>
      </c>
      <c r="V50" s="272"/>
      <c r="W50" s="272"/>
      <c r="X50" s="272"/>
      <c r="Y50" s="272">
        <f>Y37+Y49</f>
        <v>1650420</v>
      </c>
      <c r="Z50" s="272">
        <f>Z37+Z49</f>
        <v>269472</v>
      </c>
      <c r="AA50" s="272">
        <f>AA37+AA49</f>
        <v>12664763</v>
      </c>
      <c r="AB50" s="272"/>
      <c r="AC50" s="272">
        <f>AC37+AC49</f>
        <v>83120061</v>
      </c>
      <c r="AD50" s="272">
        <f>AD37+AD49</f>
        <v>70263015</v>
      </c>
      <c r="AE50" s="272">
        <f>AE37+AE49</f>
        <v>12857046</v>
      </c>
      <c r="AF50" s="272">
        <f>AF37+AF49</f>
        <v>1161066</v>
      </c>
      <c r="AG50" s="272">
        <f>AG37+AG49</f>
        <v>20203505</v>
      </c>
      <c r="AH50" s="455">
        <f t="shared" si="3"/>
        <v>30455039</v>
      </c>
      <c r="AI50" s="272">
        <f>AI37+AI49</f>
        <v>24150527</v>
      </c>
      <c r="AJ50" s="272">
        <f>AJ37+AJ49</f>
        <v>6304512</v>
      </c>
      <c r="AK50" s="272">
        <f>AK37+AK49</f>
        <v>129799025</v>
      </c>
      <c r="AL50" s="455">
        <f t="shared" si="4"/>
        <v>66810889</v>
      </c>
      <c r="AM50" s="272">
        <f t="shared" ref="AM50:BN50" si="33">AM37+AM49</f>
        <v>49154089</v>
      </c>
      <c r="AN50" s="272">
        <f t="shared" si="33"/>
        <v>11503213</v>
      </c>
      <c r="AO50" s="272">
        <f t="shared" si="33"/>
        <v>106098</v>
      </c>
      <c r="AP50" s="272">
        <f t="shared" si="33"/>
        <v>6047489</v>
      </c>
      <c r="AQ50" s="272">
        <f t="shared" si="33"/>
        <v>30853224</v>
      </c>
      <c r="AR50" s="272">
        <f t="shared" si="33"/>
        <v>103327</v>
      </c>
      <c r="AS50" s="272">
        <f t="shared" si="33"/>
        <v>323846</v>
      </c>
      <c r="AT50" s="272">
        <f t="shared" si="33"/>
        <v>77646013</v>
      </c>
      <c r="AU50" s="272">
        <f t="shared" si="33"/>
        <v>24335509</v>
      </c>
      <c r="AV50" s="272">
        <f t="shared" si="33"/>
        <v>5473426</v>
      </c>
      <c r="AW50" s="272">
        <f t="shared" si="33"/>
        <v>3639673</v>
      </c>
      <c r="AX50" s="272">
        <f t="shared" si="33"/>
        <v>53310504</v>
      </c>
      <c r="AY50" s="272">
        <f t="shared" si="33"/>
        <v>14591756</v>
      </c>
      <c r="AZ50" s="272">
        <f t="shared" si="33"/>
        <v>25264532</v>
      </c>
      <c r="BA50" s="272">
        <f t="shared" si="33"/>
        <v>8505769</v>
      </c>
      <c r="BB50" s="272">
        <f t="shared" si="33"/>
        <v>13908951</v>
      </c>
      <c r="BC50" s="272">
        <f t="shared" si="33"/>
        <v>95377957</v>
      </c>
      <c r="BD50" s="272">
        <f t="shared" si="33"/>
        <v>20862494</v>
      </c>
      <c r="BE50" s="272">
        <f t="shared" si="33"/>
        <v>4534837</v>
      </c>
      <c r="BF50" s="272">
        <f t="shared" si="33"/>
        <v>66155420</v>
      </c>
      <c r="BG50" s="272">
        <f t="shared" si="33"/>
        <v>130964</v>
      </c>
      <c r="BH50" s="272">
        <f t="shared" si="33"/>
        <v>24319993</v>
      </c>
      <c r="BI50" s="272">
        <f t="shared" si="33"/>
        <v>16577256</v>
      </c>
      <c r="BJ50" s="272">
        <f t="shared" si="33"/>
        <v>66269138</v>
      </c>
      <c r="BK50" s="272">
        <f t="shared" si="33"/>
        <v>31735178</v>
      </c>
      <c r="BL50" s="272">
        <f t="shared" si="33"/>
        <v>1359647</v>
      </c>
      <c r="BM50" s="272">
        <f t="shared" si="33"/>
        <v>12121653</v>
      </c>
      <c r="BN50" s="272">
        <f t="shared" si="33"/>
        <v>159546814</v>
      </c>
      <c r="BO50" s="455">
        <f t="shared" si="5"/>
        <v>159546814</v>
      </c>
      <c r="BP50" s="455">
        <f t="shared" si="6"/>
        <v>0</v>
      </c>
      <c r="BQ50" s="272"/>
      <c r="BR50" s="272"/>
      <c r="BS50" s="272"/>
      <c r="BT50" s="272">
        <v>0</v>
      </c>
      <c r="BU50" s="272">
        <f>BU37+BU49</f>
        <v>1648719823</v>
      </c>
      <c r="BV50" s="272"/>
      <c r="BW50" s="272">
        <f t="shared" ref="BW50:CI50" si="34">BW37+BW49</f>
        <v>430444911</v>
      </c>
      <c r="BX50" s="272">
        <f t="shared" si="34"/>
        <v>328423591</v>
      </c>
      <c r="BY50" s="272">
        <f t="shared" si="34"/>
        <v>19994807</v>
      </c>
      <c r="BZ50" s="272">
        <f t="shared" si="34"/>
        <v>12161482</v>
      </c>
      <c r="CA50" s="272">
        <f t="shared" si="34"/>
        <v>163460260</v>
      </c>
      <c r="CB50" s="272">
        <f t="shared" si="34"/>
        <v>17334900</v>
      </c>
      <c r="CC50" s="272">
        <f t="shared" si="34"/>
        <v>32633391</v>
      </c>
      <c r="CD50" s="272">
        <f t="shared" si="34"/>
        <v>35706254</v>
      </c>
      <c r="CE50" s="272">
        <f t="shared" si="34"/>
        <v>65957492</v>
      </c>
      <c r="CF50" s="272">
        <f t="shared" si="34"/>
        <v>8888940</v>
      </c>
      <c r="CG50" s="272">
        <f t="shared" si="34"/>
        <v>2921086</v>
      </c>
      <c r="CH50" s="272">
        <f t="shared" si="34"/>
        <v>127571961</v>
      </c>
      <c r="CI50" s="272">
        <f t="shared" si="34"/>
        <v>65869031</v>
      </c>
      <c r="CJ50" s="455">
        <f t="shared" si="7"/>
        <v>61702930</v>
      </c>
      <c r="CK50" s="272">
        <f t="shared" ref="CK50:CS50" si="35">CK37+CK49</f>
        <v>157720458</v>
      </c>
      <c r="CL50" s="272">
        <f t="shared" si="35"/>
        <v>82416388</v>
      </c>
      <c r="CM50" s="272">
        <f t="shared" si="35"/>
        <v>7761747</v>
      </c>
      <c r="CN50" s="272">
        <f t="shared" si="35"/>
        <v>39630770</v>
      </c>
      <c r="CO50" s="272">
        <f t="shared" si="35"/>
        <v>18896947</v>
      </c>
      <c r="CP50" s="272">
        <f t="shared" si="35"/>
        <v>112532805</v>
      </c>
      <c r="CQ50" s="272">
        <f t="shared" si="35"/>
        <v>39141266</v>
      </c>
      <c r="CR50" s="272">
        <f t="shared" si="35"/>
        <v>29939953</v>
      </c>
      <c r="CS50" s="272">
        <f t="shared" si="35"/>
        <v>25534709</v>
      </c>
      <c r="CT50" s="455">
        <f t="shared" si="8"/>
        <v>17142445</v>
      </c>
      <c r="CU50" s="272">
        <f>CU37+CU49</f>
        <v>6244036</v>
      </c>
      <c r="CV50" s="272">
        <f>CV37+CV49</f>
        <v>10898409</v>
      </c>
      <c r="CW50" s="455">
        <f t="shared" si="9"/>
        <v>13188134</v>
      </c>
      <c r="CX50" s="272">
        <f>CX37+CX49</f>
        <v>5410970</v>
      </c>
      <c r="CY50" s="272">
        <f>CY37+CY49</f>
        <v>7777164</v>
      </c>
      <c r="CZ50" s="455">
        <f t="shared" si="10"/>
        <v>0</v>
      </c>
      <c r="DA50" s="272">
        <f t="shared" ref="DA50:DU50" si="36">DA37+DA49</f>
        <v>0</v>
      </c>
      <c r="DB50" s="272">
        <f t="shared" si="36"/>
        <v>0</v>
      </c>
      <c r="DC50" s="272">
        <f t="shared" si="36"/>
        <v>386896584</v>
      </c>
      <c r="DD50" s="272">
        <f t="shared" si="36"/>
        <v>70133333</v>
      </c>
      <c r="DE50" s="272">
        <f t="shared" si="36"/>
        <v>306544215</v>
      </c>
      <c r="DF50" s="272">
        <f t="shared" si="36"/>
        <v>3604627</v>
      </c>
      <c r="DG50" s="272">
        <f t="shared" si="36"/>
        <v>6411810</v>
      </c>
      <c r="DH50" s="272">
        <f t="shared" si="36"/>
        <v>923994</v>
      </c>
      <c r="DI50" s="272">
        <f t="shared" si="36"/>
        <v>62524812</v>
      </c>
      <c r="DJ50" s="272">
        <f t="shared" si="36"/>
        <v>13194487</v>
      </c>
      <c r="DK50" s="272">
        <f t="shared" si="36"/>
        <v>1832452</v>
      </c>
      <c r="DL50" s="272">
        <f t="shared" si="36"/>
        <v>47497873</v>
      </c>
      <c r="DM50" s="272">
        <f t="shared" si="36"/>
        <v>7556195</v>
      </c>
      <c r="DN50" s="272">
        <f t="shared" si="36"/>
        <v>4479570</v>
      </c>
      <c r="DO50" s="272">
        <f t="shared" si="36"/>
        <v>3234797</v>
      </c>
      <c r="DP50" s="272">
        <f t="shared" si="36"/>
        <v>1244773</v>
      </c>
      <c r="DQ50" s="272">
        <f t="shared" si="36"/>
        <v>34527995</v>
      </c>
      <c r="DR50" s="272">
        <f t="shared" si="36"/>
        <v>1269842</v>
      </c>
      <c r="DS50" s="272">
        <f t="shared" si="36"/>
        <v>1067000</v>
      </c>
      <c r="DT50" s="272">
        <f t="shared" si="36"/>
        <v>124278673</v>
      </c>
      <c r="DU50" s="272">
        <f t="shared" si="36"/>
        <v>77086315</v>
      </c>
      <c r="DV50" s="455">
        <f t="shared" si="11"/>
        <v>1314147</v>
      </c>
      <c r="DW50" s="272">
        <f>DW37+DW49</f>
        <v>1314147</v>
      </c>
      <c r="DX50" s="272">
        <v>0</v>
      </c>
      <c r="DY50" s="272">
        <f>DY37+DY49</f>
        <v>185362</v>
      </c>
      <c r="DZ50" s="272">
        <f>DZ37+DZ49</f>
        <v>27728436</v>
      </c>
      <c r="EA50" s="272">
        <f>EA37+EA49</f>
        <v>14754665</v>
      </c>
      <c r="EB50" s="272"/>
      <c r="EC50" s="272">
        <f>EC37+EC49</f>
        <v>277721</v>
      </c>
      <c r="ED50" s="272">
        <f>ED37+ED49</f>
        <v>1627613316</v>
      </c>
      <c r="EE50" s="272"/>
      <c r="EF50" s="272">
        <f>EF37+EF49</f>
        <v>21106507</v>
      </c>
      <c r="EG50" s="272">
        <f>EG37+EG49</f>
        <v>7145240</v>
      </c>
      <c r="EH50" s="272">
        <f>EH37+EH49</f>
        <v>13961267</v>
      </c>
      <c r="EI50" s="272">
        <f>EI37+EI49</f>
        <v>-3292024</v>
      </c>
      <c r="EJ50" s="272">
        <f>EJ37+EJ49</f>
        <v>-10960031</v>
      </c>
      <c r="EL50" s="272"/>
      <c r="EM50" s="272">
        <f>EM37+EM49</f>
        <v>5264540</v>
      </c>
      <c r="EN50" s="272">
        <f>EN37+EN49</f>
        <v>36494823</v>
      </c>
      <c r="EO50" s="272">
        <f>EO37+EO49</f>
        <v>8458108</v>
      </c>
      <c r="EP50" s="455">
        <f t="shared" si="12"/>
        <v>61598618</v>
      </c>
      <c r="EQ50" s="272">
        <f t="shared" ref="EQ50:EV50" si="37">EQ37+EQ49</f>
        <v>1005928856</v>
      </c>
      <c r="ER50" s="272">
        <f t="shared" si="37"/>
        <v>-105066637</v>
      </c>
      <c r="ES50" s="272">
        <f t="shared" si="37"/>
        <v>396771576</v>
      </c>
      <c r="ET50" s="272">
        <f t="shared" si="37"/>
        <v>297834227</v>
      </c>
      <c r="EU50" s="272">
        <f t="shared" si="37"/>
        <v>48628811</v>
      </c>
      <c r="EV50" s="272">
        <f t="shared" si="37"/>
        <v>117896149</v>
      </c>
      <c r="EW50" s="455">
        <f t="shared" si="13"/>
        <v>114057868</v>
      </c>
      <c r="EX50" s="272">
        <f>EX37+EX49</f>
        <v>113490236</v>
      </c>
      <c r="EY50" s="272">
        <f>EY37+EY49</f>
        <v>7320252</v>
      </c>
      <c r="EZ50" s="272">
        <f>EZ37+EZ49</f>
        <v>104481680</v>
      </c>
      <c r="FA50" s="272">
        <f>FA37+FA49</f>
        <v>567632</v>
      </c>
      <c r="FB50" s="272"/>
      <c r="FC50" s="272">
        <f>FC37+FC49</f>
        <v>128821617</v>
      </c>
      <c r="FD50" s="272">
        <f>FD37+FD49</f>
        <v>100226292</v>
      </c>
      <c r="FE50" s="272">
        <f>FE37+FE49</f>
        <v>39042606</v>
      </c>
      <c r="FF50" s="272">
        <f>FF37+FF49</f>
        <v>119042898</v>
      </c>
      <c r="FG50" s="455">
        <f t="shared" si="14"/>
        <v>64678343</v>
      </c>
      <c r="FH50" s="272">
        <f>FH37+FH49</f>
        <v>1090123554</v>
      </c>
      <c r="FI50" s="384">
        <f t="shared" si="15"/>
        <v>1.5</v>
      </c>
      <c r="FJ50" s="272">
        <f>FJ37+FJ49</f>
        <v>914755490</v>
      </c>
      <c r="FK50" s="272">
        <f>FK37+FK49</f>
        <v>0</v>
      </c>
      <c r="FL50" s="272">
        <f>FL37+FL49</f>
        <v>636492000</v>
      </c>
      <c r="FM50" s="272">
        <f>FM37+FM49</f>
        <v>680685922</v>
      </c>
      <c r="FN50" s="468">
        <v>0.95499999999999996</v>
      </c>
      <c r="FO50" s="469">
        <v>89.1</v>
      </c>
      <c r="FP50" s="469">
        <v>41.3</v>
      </c>
      <c r="FQ50" s="469">
        <v>5.3</v>
      </c>
      <c r="FR50" s="469">
        <v>12.4</v>
      </c>
      <c r="FS50" s="469">
        <v>12.7</v>
      </c>
      <c r="FT50" s="469">
        <v>8.9</v>
      </c>
      <c r="FU50" s="469">
        <v>6.7</v>
      </c>
      <c r="FV50" s="469">
        <v>9.6</v>
      </c>
      <c r="FW50" s="272">
        <f>FW37+FW49</f>
        <v>1100609749</v>
      </c>
      <c r="FX50" s="384">
        <f t="shared" si="16"/>
        <v>120.3</v>
      </c>
      <c r="FY50" s="272">
        <f t="shared" ref="FY50:GD50" si="38">FY37+FY49</f>
        <v>442419691</v>
      </c>
      <c r="FZ50" s="272">
        <f t="shared" si="38"/>
        <v>95725013</v>
      </c>
      <c r="GA50" s="272">
        <f t="shared" si="38"/>
        <v>33781289</v>
      </c>
      <c r="GB50" s="272">
        <f t="shared" si="38"/>
        <v>312913389</v>
      </c>
      <c r="GC50" s="272">
        <f t="shared" si="38"/>
        <v>0</v>
      </c>
      <c r="GD50" s="272">
        <f t="shared" si="38"/>
        <v>465505185</v>
      </c>
      <c r="GE50" s="465">
        <f>ROUND(GD50/FJ53*100,1)</f>
        <v>52.1</v>
      </c>
      <c r="GF50" s="469">
        <v>97.4</v>
      </c>
      <c r="GG50" s="469">
        <v>28.2</v>
      </c>
      <c r="GH50" s="469">
        <v>94.2</v>
      </c>
      <c r="GI50" s="272">
        <f>GI37+GI49</f>
        <v>44365</v>
      </c>
    </row>
    <row r="51" spans="2:191" x14ac:dyDescent="0.15">
      <c r="GE51" s="31" t="s">
        <v>647</v>
      </c>
    </row>
    <row r="52" spans="2:191" x14ac:dyDescent="0.15">
      <c r="FJ52" s="394">
        <f>FJ40+FJ42+FJ43+FJ45+FJ46+FJ48</f>
        <v>24717392</v>
      </c>
      <c r="FO52" s="33"/>
      <c r="FP52" s="89" t="s">
        <v>816</v>
      </c>
    </row>
    <row r="53" spans="2:191" x14ac:dyDescent="0.15">
      <c r="FJ53" s="394">
        <f>FJ37+FJ52</f>
        <v>893636998</v>
      </c>
    </row>
  </sheetData>
  <phoneticPr fontId="3"/>
  <pageMargins left="0.75" right="0.75" top="1" bottom="1" header="0.51200000000000001" footer="0.51200000000000001"/>
  <pageSetup paperSize="9"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9">
    <tabColor indexed="15"/>
  </sheetPr>
  <dimension ref="A1:GI53"/>
  <sheetViews>
    <sheetView workbookViewId="0">
      <pane xSplit="2" ySplit="5" topLeftCell="FT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</cols>
  <sheetData>
    <row r="1" spans="2:191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191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830</v>
      </c>
      <c r="O2" s="28" t="s">
        <v>840</v>
      </c>
      <c r="P2" s="28" t="s">
        <v>831</v>
      </c>
      <c r="Q2" s="28" t="s">
        <v>832</v>
      </c>
      <c r="R2" s="28" t="s">
        <v>351</v>
      </c>
      <c r="S2" s="28" t="s">
        <v>351</v>
      </c>
      <c r="U2" s="28" t="s">
        <v>725</v>
      </c>
      <c r="V2" s="28"/>
      <c r="W2" s="28"/>
      <c r="X2" s="28"/>
      <c r="Y2" s="28" t="s">
        <v>354</v>
      </c>
      <c r="Z2" s="28" t="s">
        <v>355</v>
      </c>
      <c r="AA2" s="28" t="s">
        <v>355</v>
      </c>
      <c r="AB2" s="28"/>
      <c r="AC2" s="28" t="s">
        <v>357</v>
      </c>
      <c r="AD2" s="28" t="s">
        <v>653</v>
      </c>
      <c r="AE2" s="28" t="s">
        <v>358</v>
      </c>
      <c r="AF2" s="28" t="s">
        <v>359</v>
      </c>
      <c r="AG2" s="28" t="s">
        <v>360</v>
      </c>
      <c r="AI2" s="28" t="s">
        <v>726</v>
      </c>
      <c r="AJ2" s="28" t="s">
        <v>667</v>
      </c>
      <c r="AK2" s="28" t="s">
        <v>852</v>
      </c>
      <c r="AL2" s="29"/>
      <c r="AM2" s="28" t="s">
        <v>685</v>
      </c>
      <c r="AN2" s="28" t="s">
        <v>669</v>
      </c>
      <c r="AO2" s="28" t="s">
        <v>796</v>
      </c>
      <c r="AP2" s="28" t="s">
        <v>727</v>
      </c>
      <c r="AQ2" s="28" t="s">
        <v>833</v>
      </c>
      <c r="AR2" s="28" t="s">
        <v>797</v>
      </c>
      <c r="AS2" s="28" t="s">
        <v>373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846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/>
      <c r="BR2" s="28"/>
      <c r="BS2" s="28"/>
      <c r="BT2" s="28" t="s">
        <v>850</v>
      </c>
      <c r="BU2" s="28" t="s">
        <v>806</v>
      </c>
      <c r="BW2" s="28" t="s">
        <v>402</v>
      </c>
      <c r="BX2" s="28" t="s">
        <v>403</v>
      </c>
      <c r="BY2" s="28" t="s">
        <v>853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836</v>
      </c>
      <c r="CM2" s="28" t="s">
        <v>837</v>
      </c>
      <c r="CN2" s="28" t="s">
        <v>838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854</v>
      </c>
      <c r="CV2" s="28" t="s">
        <v>855</v>
      </c>
      <c r="CX2" s="28" t="s">
        <v>426</v>
      </c>
      <c r="CY2" s="28" t="s">
        <v>812</v>
      </c>
      <c r="DA2" s="28" t="s">
        <v>822</v>
      </c>
      <c r="DB2" s="28" t="s">
        <v>823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824</v>
      </c>
      <c r="DW2" s="28" t="s">
        <v>449</v>
      </c>
      <c r="DX2" s="28" t="s">
        <v>448</v>
      </c>
      <c r="DY2" s="28"/>
      <c r="DZ2" s="28" t="s">
        <v>856</v>
      </c>
      <c r="EA2" s="28" t="s">
        <v>452</v>
      </c>
      <c r="EB2" s="28"/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191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827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191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851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203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191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828</v>
      </c>
      <c r="DX5" s="30" t="s">
        <v>829</v>
      </c>
      <c r="DY5" s="30"/>
      <c r="DZ5" s="30"/>
      <c r="EA5" s="30"/>
      <c r="EB5" s="30"/>
      <c r="EC5" s="30"/>
      <c r="ED5" s="3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191" x14ac:dyDescent="0.15">
      <c r="B6" s="89" t="s">
        <v>5</v>
      </c>
      <c r="C6" s="272">
        <v>27427201</v>
      </c>
      <c r="D6" s="455">
        <f t="shared" ref="D6:D50" si="0">E6+F6</f>
        <v>11012937</v>
      </c>
      <c r="E6" s="272">
        <v>129764</v>
      </c>
      <c r="F6" s="272">
        <v>10883173</v>
      </c>
      <c r="G6" s="455">
        <f t="shared" ref="G6:G50" si="1">H6+I6</f>
        <v>3115659</v>
      </c>
      <c r="H6" s="272">
        <v>345410</v>
      </c>
      <c r="I6" s="272">
        <v>2770249</v>
      </c>
      <c r="J6" s="272">
        <v>9589183</v>
      </c>
      <c r="K6" s="272">
        <v>5114690</v>
      </c>
      <c r="L6" s="272">
        <v>2966926</v>
      </c>
      <c r="M6" s="272">
        <v>1325415</v>
      </c>
      <c r="N6" s="272">
        <v>969438</v>
      </c>
      <c r="O6" s="272">
        <v>2264329</v>
      </c>
      <c r="P6" s="272">
        <v>1659325</v>
      </c>
      <c r="Q6" s="272">
        <v>605004</v>
      </c>
      <c r="R6" s="272">
        <v>1135527</v>
      </c>
      <c r="S6" s="272">
        <v>794334</v>
      </c>
      <c r="T6" s="455">
        <f t="shared" ref="T6:T50" si="2">SUM(U6:AA6)</f>
        <v>1172017</v>
      </c>
      <c r="U6" s="272">
        <v>574473</v>
      </c>
      <c r="V6" s="272"/>
      <c r="W6" s="272"/>
      <c r="X6" s="272"/>
      <c r="Y6" s="272">
        <v>80433</v>
      </c>
      <c r="Z6" s="272">
        <v>14543</v>
      </c>
      <c r="AA6" s="272">
        <v>502568</v>
      </c>
      <c r="AB6" s="272"/>
      <c r="AC6" s="272">
        <v>4879802</v>
      </c>
      <c r="AD6" s="272">
        <v>4764460</v>
      </c>
      <c r="AE6" s="272">
        <v>115342</v>
      </c>
      <c r="AF6" s="272">
        <v>44540</v>
      </c>
      <c r="AG6" s="272">
        <v>267267</v>
      </c>
      <c r="AH6" s="455">
        <f t="shared" ref="AH6:AH50" si="3">AI6+AJ6</f>
        <v>1084530</v>
      </c>
      <c r="AI6" s="272">
        <v>977194</v>
      </c>
      <c r="AJ6" s="272">
        <v>107336</v>
      </c>
      <c r="AK6" s="272">
        <v>5153809</v>
      </c>
      <c r="AL6" s="455">
        <f t="shared" ref="AL6:AL50" si="4">SUM(AM6:AP6)</f>
        <v>2620199</v>
      </c>
      <c r="AM6" s="272">
        <v>1898388</v>
      </c>
      <c r="AN6" s="272">
        <v>529917</v>
      </c>
      <c r="AO6" s="272">
        <v>0</v>
      </c>
      <c r="AP6" s="272">
        <v>191894</v>
      </c>
      <c r="AQ6" s="272">
        <v>1058193</v>
      </c>
      <c r="AR6" s="272">
        <v>0</v>
      </c>
      <c r="AS6" s="272">
        <v>0</v>
      </c>
      <c r="AT6" s="272">
        <v>3002664</v>
      </c>
      <c r="AU6" s="272">
        <v>1174529</v>
      </c>
      <c r="AV6" s="272">
        <v>300089</v>
      </c>
      <c r="AW6" s="272">
        <v>110029</v>
      </c>
      <c r="AX6" s="272">
        <v>1828135</v>
      </c>
      <c r="AY6" s="272">
        <v>572501</v>
      </c>
      <c r="AZ6" s="272">
        <v>1081187</v>
      </c>
      <c r="BA6" s="272">
        <v>277812</v>
      </c>
      <c r="BB6" s="272">
        <v>156802</v>
      </c>
      <c r="BC6" s="272">
        <v>1962445</v>
      </c>
      <c r="BD6" s="272">
        <v>0</v>
      </c>
      <c r="BE6" s="272">
        <v>173000</v>
      </c>
      <c r="BF6" s="272">
        <v>1665652</v>
      </c>
      <c r="BG6" s="272">
        <v>0</v>
      </c>
      <c r="BH6" s="272">
        <v>1055325</v>
      </c>
      <c r="BI6" s="272">
        <v>451879</v>
      </c>
      <c r="BJ6" s="272">
        <v>4200861</v>
      </c>
      <c r="BK6" s="272">
        <v>87845</v>
      </c>
      <c r="BL6" s="272">
        <v>1165</v>
      </c>
      <c r="BM6" s="272">
        <v>3150854</v>
      </c>
      <c r="BN6" s="272">
        <v>7831400</v>
      </c>
      <c r="BO6" s="455">
        <f t="shared" ref="BO6:BO50" si="5">BN6-BP6-BT6</f>
        <v>7831400</v>
      </c>
      <c r="BP6" s="455">
        <f t="shared" ref="BP6:BP50" si="6">BQ6+BR6+BS6</f>
        <v>0</v>
      </c>
      <c r="BQ6" s="272"/>
      <c r="BR6" s="272"/>
      <c r="BS6" s="272"/>
      <c r="BT6" s="272">
        <v>0</v>
      </c>
      <c r="BU6" s="272">
        <v>60455377</v>
      </c>
      <c r="BV6" s="272"/>
      <c r="BW6" s="272">
        <v>14240443</v>
      </c>
      <c r="BX6" s="272">
        <v>10744709</v>
      </c>
      <c r="BY6" s="272">
        <v>796714</v>
      </c>
      <c r="BZ6" s="272">
        <v>385881</v>
      </c>
      <c r="CA6" s="272">
        <v>6536064</v>
      </c>
      <c r="CB6" s="272">
        <v>878479</v>
      </c>
      <c r="CC6" s="272">
        <v>1239804</v>
      </c>
      <c r="CD6" s="272">
        <v>1709965</v>
      </c>
      <c r="CE6" s="272">
        <v>2546217</v>
      </c>
      <c r="CF6" s="272">
        <v>217</v>
      </c>
      <c r="CG6" s="272">
        <v>154392</v>
      </c>
      <c r="CH6" s="272">
        <v>4074856</v>
      </c>
      <c r="CI6" s="272">
        <v>2177953</v>
      </c>
      <c r="CJ6" s="455">
        <f t="shared" ref="CJ6:CJ50" si="7">CH6-CI6</f>
        <v>1896903</v>
      </c>
      <c r="CK6" s="272">
        <v>4500689</v>
      </c>
      <c r="CL6" s="272">
        <v>2028410</v>
      </c>
      <c r="CM6" s="272">
        <v>206686</v>
      </c>
      <c r="CN6" s="272">
        <v>1113626</v>
      </c>
      <c r="CO6" s="272">
        <v>337087</v>
      </c>
      <c r="CP6" s="272">
        <v>3659334</v>
      </c>
      <c r="CQ6" s="272">
        <v>1059390</v>
      </c>
      <c r="CR6" s="272">
        <v>790540</v>
      </c>
      <c r="CS6" s="272">
        <v>732668</v>
      </c>
      <c r="CT6" s="455">
        <f t="shared" ref="CT6:CT50" si="8">CU6+CV6</f>
        <v>925947</v>
      </c>
      <c r="CU6" s="272">
        <v>145686</v>
      </c>
      <c r="CV6" s="272">
        <v>780261</v>
      </c>
      <c r="CW6" s="455">
        <f t="shared" ref="CW6:CW50" si="9">CX6+CY6</f>
        <v>864907</v>
      </c>
      <c r="CX6" s="272">
        <v>118856</v>
      </c>
      <c r="CY6" s="272">
        <v>746051</v>
      </c>
      <c r="CZ6" s="455">
        <f t="shared" ref="CZ6:CZ50" si="10">DA6+DB6</f>
        <v>0</v>
      </c>
      <c r="DA6" s="272">
        <v>0</v>
      </c>
      <c r="DB6" s="272">
        <v>0</v>
      </c>
      <c r="DC6" s="272">
        <v>17683107</v>
      </c>
      <c r="DD6" s="272">
        <v>2570975</v>
      </c>
      <c r="DE6" s="272">
        <v>14145277</v>
      </c>
      <c r="DF6" s="272">
        <v>413427</v>
      </c>
      <c r="DG6" s="272">
        <v>552228</v>
      </c>
      <c r="DH6" s="272">
        <v>0</v>
      </c>
      <c r="DI6" s="272">
        <v>2682304</v>
      </c>
      <c r="DJ6" s="272">
        <v>871015</v>
      </c>
      <c r="DK6" s="272">
        <v>922111</v>
      </c>
      <c r="DL6" s="272">
        <v>889178</v>
      </c>
      <c r="DM6" s="272">
        <v>118680</v>
      </c>
      <c r="DN6" s="272">
        <v>15600</v>
      </c>
      <c r="DO6" s="272">
        <v>15600</v>
      </c>
      <c r="DP6" s="272">
        <v>0</v>
      </c>
      <c r="DQ6" s="272">
        <v>84000</v>
      </c>
      <c r="DR6" s="272">
        <v>0</v>
      </c>
      <c r="DS6" s="272">
        <v>0</v>
      </c>
      <c r="DT6" s="272">
        <v>5456958</v>
      </c>
      <c r="DU6" s="272">
        <v>3251462</v>
      </c>
      <c r="DV6" s="455">
        <f t="shared" ref="DV6:DV50" si="11">DW6+DX6</f>
        <v>0</v>
      </c>
      <c r="DW6" s="272">
        <v>0</v>
      </c>
      <c r="DX6" s="272">
        <v>0</v>
      </c>
      <c r="DY6" s="457" t="s">
        <v>646</v>
      </c>
      <c r="DZ6" s="272">
        <v>945699</v>
      </c>
      <c r="EA6" s="272">
        <v>601513</v>
      </c>
      <c r="EB6" s="272"/>
      <c r="EC6" s="272">
        <v>0</v>
      </c>
      <c r="ED6" s="272">
        <v>59373522</v>
      </c>
      <c r="EF6" s="272">
        <v>1081855</v>
      </c>
      <c r="EG6" s="272">
        <v>592710</v>
      </c>
      <c r="EH6" s="272">
        <v>489145</v>
      </c>
      <c r="EI6" s="272">
        <v>37266</v>
      </c>
      <c r="EJ6" s="272">
        <v>908281</v>
      </c>
      <c r="EL6" s="272"/>
      <c r="EM6" s="272">
        <v>189389</v>
      </c>
      <c r="EN6" s="272">
        <v>296793</v>
      </c>
      <c r="EO6" s="272">
        <v>409224</v>
      </c>
      <c r="EP6" s="455">
        <f t="shared" ref="EP6:EP50" si="12">EQ6-ER6-C6-R6-T6-AB6-AC6-BP6-EN6-EO6</f>
        <v>4996415</v>
      </c>
      <c r="EQ6" s="272">
        <v>34659087</v>
      </c>
      <c r="ER6" s="272">
        <v>-5657892</v>
      </c>
      <c r="ES6" s="272">
        <v>12956297</v>
      </c>
      <c r="ET6" s="272">
        <v>9598464</v>
      </c>
      <c r="EU6" s="272">
        <v>2151468</v>
      </c>
      <c r="EV6" s="272">
        <v>4015087</v>
      </c>
      <c r="EW6" s="455">
        <f t="shared" ref="EW6:EW50" si="13">EX6+FA6+FB6</f>
        <v>5571418</v>
      </c>
      <c r="EX6" s="272">
        <v>5571418</v>
      </c>
      <c r="EY6" s="272">
        <v>643333</v>
      </c>
      <c r="EZ6" s="272">
        <v>4803330</v>
      </c>
      <c r="FA6" s="272">
        <v>0</v>
      </c>
      <c r="FB6" s="272"/>
      <c r="FC6" s="272">
        <v>3524834</v>
      </c>
      <c r="FD6" s="272">
        <v>3251642</v>
      </c>
      <c r="FE6" s="272">
        <v>1059390</v>
      </c>
      <c r="FF6" s="272">
        <v>5365132</v>
      </c>
      <c r="FG6" s="455">
        <f t="shared" ref="FG6:FG50" si="14">FH6-ES6-EU6-EV6-EW6-FC6-FD6-FF6</f>
        <v>2421213</v>
      </c>
      <c r="FH6" s="272">
        <v>39257091</v>
      </c>
      <c r="FI6" s="384">
        <f t="shared" ref="FI6:FI50" si="15">ROUND(EH6/FJ6*100,1)</f>
        <v>1.6</v>
      </c>
      <c r="FJ6" s="272">
        <v>31046555</v>
      </c>
      <c r="FK6" s="272"/>
      <c r="FL6" s="272">
        <v>19804570</v>
      </c>
      <c r="FM6" s="272">
        <v>24562837</v>
      </c>
      <c r="FN6" s="460">
        <v>0.83299999999999996</v>
      </c>
      <c r="FO6" s="388">
        <v>82.6</v>
      </c>
      <c r="FP6" s="388">
        <v>38.700000000000003</v>
      </c>
      <c r="FQ6" s="388">
        <v>6.6</v>
      </c>
      <c r="FR6" s="388">
        <v>11.3</v>
      </c>
      <c r="FS6" s="388">
        <v>9.6999999999999993</v>
      </c>
      <c r="FT6" s="388">
        <v>6.6</v>
      </c>
      <c r="FU6" s="388">
        <v>8.8000000000000007</v>
      </c>
      <c r="FV6" s="388">
        <v>10.199999999999999</v>
      </c>
      <c r="FW6" s="272">
        <v>37445447</v>
      </c>
      <c r="FX6" s="384">
        <f t="shared" ref="FX6:FX50" si="16">ROUND(FW6/FJ6*100,1)</f>
        <v>120.6</v>
      </c>
      <c r="FY6" s="272">
        <v>11055991</v>
      </c>
      <c r="FZ6" s="272">
        <v>1882054</v>
      </c>
      <c r="GA6" s="272">
        <v>2631465</v>
      </c>
      <c r="GB6" s="272">
        <v>6542472</v>
      </c>
      <c r="GC6" s="272"/>
      <c r="GD6" s="272">
        <v>23544614</v>
      </c>
      <c r="GE6" s="384">
        <f t="shared" ref="GE6:GE37" si="17">ROUND(GD6/FJ6*100,1)</f>
        <v>75.8</v>
      </c>
      <c r="GF6" s="388">
        <v>98.3</v>
      </c>
      <c r="GG6" s="388">
        <v>32.700000000000003</v>
      </c>
      <c r="GH6" s="388">
        <v>96.3</v>
      </c>
      <c r="GI6" s="272">
        <v>1553</v>
      </c>
    </row>
    <row r="7" spans="2:191" x14ac:dyDescent="0.15">
      <c r="B7" s="89" t="s">
        <v>7</v>
      </c>
      <c r="C7" s="272">
        <v>75325839</v>
      </c>
      <c r="D7" s="455">
        <f t="shared" si="0"/>
        <v>37896877</v>
      </c>
      <c r="E7" s="272">
        <v>298928</v>
      </c>
      <c r="F7" s="272">
        <v>37597949</v>
      </c>
      <c r="G7" s="455">
        <f t="shared" si="1"/>
        <v>7055014</v>
      </c>
      <c r="H7" s="272">
        <v>780364</v>
      </c>
      <c r="I7" s="272">
        <v>6274650</v>
      </c>
      <c r="J7" s="272">
        <v>20317246</v>
      </c>
      <c r="K7" s="272">
        <v>9123402</v>
      </c>
      <c r="L7" s="272">
        <v>7751864</v>
      </c>
      <c r="M7" s="272">
        <v>2985180</v>
      </c>
      <c r="N7" s="272">
        <v>3264264</v>
      </c>
      <c r="O7" s="272">
        <v>4717300</v>
      </c>
      <c r="P7" s="272">
        <v>3221560</v>
      </c>
      <c r="Q7" s="272">
        <v>1495740</v>
      </c>
      <c r="R7" s="272">
        <v>4114255</v>
      </c>
      <c r="S7" s="272">
        <v>1578506</v>
      </c>
      <c r="T7" s="455">
        <f t="shared" si="2"/>
        <v>3173407</v>
      </c>
      <c r="U7" s="272">
        <v>2149731</v>
      </c>
      <c r="V7" s="272"/>
      <c r="W7" s="272"/>
      <c r="X7" s="272"/>
      <c r="Y7" s="272">
        <v>0</v>
      </c>
      <c r="Z7" s="272">
        <v>35663</v>
      </c>
      <c r="AA7" s="272">
        <v>988013</v>
      </c>
      <c r="AB7" s="272"/>
      <c r="AC7" s="272">
        <v>228580</v>
      </c>
      <c r="AD7" s="272">
        <v>0</v>
      </c>
      <c r="AE7" s="272">
        <v>228580</v>
      </c>
      <c r="AF7" s="272">
        <v>81310</v>
      </c>
      <c r="AG7" s="272">
        <v>877768</v>
      </c>
      <c r="AH7" s="455">
        <f t="shared" si="3"/>
        <v>2044550</v>
      </c>
      <c r="AI7" s="272">
        <v>1880674</v>
      </c>
      <c r="AJ7" s="272">
        <v>163876</v>
      </c>
      <c r="AK7" s="272">
        <v>7585259</v>
      </c>
      <c r="AL7" s="455">
        <f t="shared" si="4"/>
        <v>4723974</v>
      </c>
      <c r="AM7" s="272">
        <v>3951310</v>
      </c>
      <c r="AN7" s="272">
        <v>445929</v>
      </c>
      <c r="AO7" s="272">
        <v>0</v>
      </c>
      <c r="AP7" s="272">
        <v>326735</v>
      </c>
      <c r="AQ7" s="272">
        <v>967714</v>
      </c>
      <c r="AR7" s="272">
        <v>0</v>
      </c>
      <c r="AS7" s="272">
        <v>0</v>
      </c>
      <c r="AT7" s="272">
        <v>4239171</v>
      </c>
      <c r="AU7" s="272">
        <v>1246386</v>
      </c>
      <c r="AV7" s="272">
        <v>222823</v>
      </c>
      <c r="AW7" s="272">
        <v>100085</v>
      </c>
      <c r="AX7" s="272">
        <v>2992785</v>
      </c>
      <c r="AY7" s="272">
        <v>247417</v>
      </c>
      <c r="AZ7" s="272">
        <v>2269523</v>
      </c>
      <c r="BA7" s="272">
        <v>50239</v>
      </c>
      <c r="BB7" s="272">
        <v>511995</v>
      </c>
      <c r="BC7" s="272">
        <v>4161997</v>
      </c>
      <c r="BD7" s="272">
        <v>1600000</v>
      </c>
      <c r="BE7" s="272">
        <v>0</v>
      </c>
      <c r="BF7" s="272">
        <v>2004066</v>
      </c>
      <c r="BG7" s="272">
        <v>0</v>
      </c>
      <c r="BH7" s="272">
        <v>1889785</v>
      </c>
      <c r="BI7" s="272">
        <v>958534</v>
      </c>
      <c r="BJ7" s="272">
        <v>2821090</v>
      </c>
      <c r="BK7" s="272">
        <v>1144299</v>
      </c>
      <c r="BL7" s="272">
        <v>0</v>
      </c>
      <c r="BM7" s="272">
        <v>530208</v>
      </c>
      <c r="BN7" s="272">
        <v>16640100</v>
      </c>
      <c r="BO7" s="455">
        <f t="shared" si="5"/>
        <v>16640100</v>
      </c>
      <c r="BP7" s="455">
        <f t="shared" si="6"/>
        <v>0</v>
      </c>
      <c r="BQ7" s="272"/>
      <c r="BR7" s="272"/>
      <c r="BS7" s="272"/>
      <c r="BT7" s="272">
        <v>0</v>
      </c>
      <c r="BU7" s="272">
        <v>125964629</v>
      </c>
      <c r="BV7" s="272"/>
      <c r="BW7" s="272">
        <v>33146184</v>
      </c>
      <c r="BX7" s="272">
        <v>26116451</v>
      </c>
      <c r="BY7" s="272">
        <v>1208877</v>
      </c>
      <c r="BZ7" s="272">
        <v>804785</v>
      </c>
      <c r="CA7" s="272">
        <v>10271534</v>
      </c>
      <c r="CB7" s="272">
        <v>1181153</v>
      </c>
      <c r="CC7" s="272">
        <v>1995899</v>
      </c>
      <c r="CD7" s="272">
        <v>1573542</v>
      </c>
      <c r="CE7" s="272">
        <v>5320514</v>
      </c>
      <c r="CF7" s="272">
        <v>250</v>
      </c>
      <c r="CG7" s="272">
        <v>192373</v>
      </c>
      <c r="CH7" s="272">
        <v>7823619</v>
      </c>
      <c r="CI7" s="272">
        <v>4155700</v>
      </c>
      <c r="CJ7" s="455">
        <f t="shared" si="7"/>
        <v>3667919</v>
      </c>
      <c r="CK7" s="272">
        <v>11282245</v>
      </c>
      <c r="CL7" s="272">
        <v>4945578</v>
      </c>
      <c r="CM7" s="272">
        <v>275944</v>
      </c>
      <c r="CN7" s="272">
        <v>3440959</v>
      </c>
      <c r="CO7" s="272">
        <v>2976932</v>
      </c>
      <c r="CP7" s="272">
        <v>9491226</v>
      </c>
      <c r="CQ7" s="272">
        <v>2295362</v>
      </c>
      <c r="CR7" s="272">
        <v>2846939</v>
      </c>
      <c r="CS7" s="272">
        <v>1956055</v>
      </c>
      <c r="CT7" s="455">
        <f t="shared" si="8"/>
        <v>1951720</v>
      </c>
      <c r="CU7" s="272">
        <v>556357</v>
      </c>
      <c r="CV7" s="272">
        <v>1395363</v>
      </c>
      <c r="CW7" s="455">
        <f t="shared" si="9"/>
        <v>1637265</v>
      </c>
      <c r="CX7" s="272">
        <v>522056</v>
      </c>
      <c r="CY7" s="272">
        <v>1115209</v>
      </c>
      <c r="CZ7" s="455">
        <f t="shared" si="10"/>
        <v>0</v>
      </c>
      <c r="DA7" s="272">
        <v>0</v>
      </c>
      <c r="DB7" s="272">
        <v>0</v>
      </c>
      <c r="DC7" s="272">
        <v>31331440</v>
      </c>
      <c r="DD7" s="272">
        <v>1942706</v>
      </c>
      <c r="DE7" s="272">
        <v>28491651</v>
      </c>
      <c r="DF7" s="272">
        <v>804283</v>
      </c>
      <c r="DG7" s="272">
        <v>92800</v>
      </c>
      <c r="DH7" s="272">
        <v>0</v>
      </c>
      <c r="DI7" s="272">
        <v>7561047</v>
      </c>
      <c r="DJ7" s="272">
        <v>847969</v>
      </c>
      <c r="DK7" s="272">
        <v>0</v>
      </c>
      <c r="DL7" s="272">
        <v>6713078</v>
      </c>
      <c r="DM7" s="272">
        <v>470590</v>
      </c>
      <c r="DN7" s="272">
        <v>464180</v>
      </c>
      <c r="DO7" s="272">
        <v>307000</v>
      </c>
      <c r="DP7" s="272">
        <v>157180</v>
      </c>
      <c r="DQ7" s="272">
        <v>1126695</v>
      </c>
      <c r="DR7" s="272">
        <v>0</v>
      </c>
      <c r="DS7" s="272">
        <v>0</v>
      </c>
      <c r="DT7" s="272">
        <v>9198925</v>
      </c>
      <c r="DU7" s="272">
        <v>5327250</v>
      </c>
      <c r="DV7" s="455">
        <f t="shared" si="11"/>
        <v>0</v>
      </c>
      <c r="DW7" s="272">
        <v>0</v>
      </c>
      <c r="DX7" s="272">
        <v>0</v>
      </c>
      <c r="DY7" s="457" t="s">
        <v>646</v>
      </c>
      <c r="DZ7" s="272">
        <v>2769559</v>
      </c>
      <c r="EA7" s="272">
        <v>894398</v>
      </c>
      <c r="EB7" s="272"/>
      <c r="EC7" s="272">
        <v>0</v>
      </c>
      <c r="ED7" s="272">
        <v>124680437</v>
      </c>
      <c r="EF7" s="272">
        <v>1284192</v>
      </c>
      <c r="EG7" s="272">
        <v>357470</v>
      </c>
      <c r="EH7" s="272">
        <v>926722</v>
      </c>
      <c r="EI7" s="272">
        <v>-31812</v>
      </c>
      <c r="EJ7" s="272">
        <v>-783843</v>
      </c>
      <c r="EL7" s="272"/>
      <c r="EM7" s="272">
        <v>398808</v>
      </c>
      <c r="EN7" s="272">
        <v>1858730</v>
      </c>
      <c r="EO7" s="272">
        <v>54081</v>
      </c>
      <c r="EP7" s="455">
        <f t="shared" si="12"/>
        <v>3184692</v>
      </c>
      <c r="EQ7" s="272">
        <v>82923391</v>
      </c>
      <c r="ER7" s="272">
        <v>-5016193</v>
      </c>
      <c r="ES7" s="272">
        <v>30409896</v>
      </c>
      <c r="ET7" s="272">
        <v>23528681</v>
      </c>
      <c r="EU7" s="272">
        <v>3360113</v>
      </c>
      <c r="EV7" s="272">
        <v>7706010</v>
      </c>
      <c r="EW7" s="455">
        <f t="shared" si="13"/>
        <v>10722485</v>
      </c>
      <c r="EX7" s="272">
        <v>10722485</v>
      </c>
      <c r="EY7" s="272">
        <v>432186</v>
      </c>
      <c r="EZ7" s="272">
        <v>9932950</v>
      </c>
      <c r="FA7" s="272">
        <v>0</v>
      </c>
      <c r="FB7" s="272"/>
      <c r="FC7" s="272">
        <v>9652922</v>
      </c>
      <c r="FD7" s="272">
        <v>8216243</v>
      </c>
      <c r="FE7" s="272">
        <v>2295362</v>
      </c>
      <c r="FF7" s="272">
        <v>8854199</v>
      </c>
      <c r="FG7" s="455">
        <f t="shared" si="14"/>
        <v>7739430</v>
      </c>
      <c r="FH7" s="272">
        <v>86661298</v>
      </c>
      <c r="FI7" s="384">
        <f t="shared" si="15"/>
        <v>1.2</v>
      </c>
      <c r="FJ7" s="272">
        <v>74327820</v>
      </c>
      <c r="FK7" s="272"/>
      <c r="FL7" s="272">
        <v>56370253</v>
      </c>
      <c r="FM7" s="272">
        <v>50283763</v>
      </c>
      <c r="FN7" s="460">
        <v>1.167</v>
      </c>
      <c r="FO7" s="388">
        <v>80.3</v>
      </c>
      <c r="FP7" s="388">
        <v>38.6</v>
      </c>
      <c r="FQ7" s="388">
        <v>4.3</v>
      </c>
      <c r="FR7" s="388">
        <v>9.8000000000000007</v>
      </c>
      <c r="FS7" s="388">
        <v>11.3</v>
      </c>
      <c r="FT7" s="388">
        <v>7.9</v>
      </c>
      <c r="FU7" s="388">
        <v>5.4</v>
      </c>
      <c r="FV7" s="388">
        <v>7.9</v>
      </c>
      <c r="FW7" s="272">
        <v>73263992</v>
      </c>
      <c r="FX7" s="384">
        <f t="shared" si="16"/>
        <v>98.6</v>
      </c>
      <c r="FY7" s="272">
        <v>57616638</v>
      </c>
      <c r="FZ7" s="272">
        <v>10856671</v>
      </c>
      <c r="GA7" s="272"/>
      <c r="GB7" s="272">
        <v>46759967</v>
      </c>
      <c r="GC7" s="272"/>
      <c r="GD7" s="272">
        <v>54940634</v>
      </c>
      <c r="GE7" s="384">
        <f t="shared" si="17"/>
        <v>73.900000000000006</v>
      </c>
      <c r="GF7" s="388">
        <v>97.8</v>
      </c>
      <c r="GG7" s="388">
        <v>22</v>
      </c>
      <c r="GH7" s="388">
        <v>94.4</v>
      </c>
      <c r="GI7" s="272">
        <v>3464</v>
      </c>
    </row>
    <row r="8" spans="2:191" x14ac:dyDescent="0.15">
      <c r="B8" s="89" t="s">
        <v>9</v>
      </c>
      <c r="C8" s="272">
        <v>18518624</v>
      </c>
      <c r="D8" s="455">
        <f t="shared" si="0"/>
        <v>9130120</v>
      </c>
      <c r="E8" s="272">
        <v>76476</v>
      </c>
      <c r="F8" s="272">
        <v>9053644</v>
      </c>
      <c r="G8" s="455">
        <f t="shared" si="1"/>
        <v>1532847</v>
      </c>
      <c r="H8" s="272">
        <v>225461</v>
      </c>
      <c r="I8" s="272">
        <v>1307386</v>
      </c>
      <c r="J8" s="272">
        <v>5751195</v>
      </c>
      <c r="K8" s="272">
        <v>2867054</v>
      </c>
      <c r="L8" s="272">
        <v>1859163</v>
      </c>
      <c r="M8" s="272">
        <v>925938</v>
      </c>
      <c r="N8" s="272">
        <v>462251</v>
      </c>
      <c r="O8" s="272">
        <v>1568458</v>
      </c>
      <c r="P8" s="272">
        <v>1158851</v>
      </c>
      <c r="Q8" s="272">
        <v>409607</v>
      </c>
      <c r="R8" s="272">
        <v>743173</v>
      </c>
      <c r="S8" s="272">
        <v>460608</v>
      </c>
      <c r="T8" s="455">
        <f t="shared" si="2"/>
        <v>939283</v>
      </c>
      <c r="U8" s="272">
        <v>517651</v>
      </c>
      <c r="V8" s="272"/>
      <c r="W8" s="272"/>
      <c r="X8" s="272"/>
      <c r="Y8" s="272">
        <v>146143</v>
      </c>
      <c r="Z8" s="272">
        <v>12613</v>
      </c>
      <c r="AA8" s="272">
        <v>262876</v>
      </c>
      <c r="AB8" s="272"/>
      <c r="AC8" s="272">
        <v>286368</v>
      </c>
      <c r="AD8" s="272">
        <v>0</v>
      </c>
      <c r="AE8" s="272">
        <v>286368</v>
      </c>
      <c r="AF8" s="272">
        <v>23369</v>
      </c>
      <c r="AG8" s="272">
        <v>151971</v>
      </c>
      <c r="AH8" s="455">
        <f t="shared" si="3"/>
        <v>632768</v>
      </c>
      <c r="AI8" s="272">
        <v>525020</v>
      </c>
      <c r="AJ8" s="272">
        <v>107748</v>
      </c>
      <c r="AK8" s="272">
        <v>1497205</v>
      </c>
      <c r="AL8" s="455">
        <f t="shared" si="4"/>
        <v>783689</v>
      </c>
      <c r="AM8" s="272">
        <v>527688</v>
      </c>
      <c r="AN8" s="272">
        <v>123208</v>
      </c>
      <c r="AO8" s="272">
        <v>0</v>
      </c>
      <c r="AP8" s="272">
        <v>132793</v>
      </c>
      <c r="AQ8" s="272">
        <v>276388</v>
      </c>
      <c r="AR8" s="272">
        <v>0</v>
      </c>
      <c r="AS8" s="272">
        <v>0</v>
      </c>
      <c r="AT8" s="272">
        <v>1361050</v>
      </c>
      <c r="AU8" s="272">
        <v>271211</v>
      </c>
      <c r="AV8" s="272">
        <v>62679</v>
      </c>
      <c r="AW8" s="272">
        <v>1863</v>
      </c>
      <c r="AX8" s="272">
        <v>1089839</v>
      </c>
      <c r="AY8" s="272">
        <v>239443</v>
      </c>
      <c r="AZ8" s="272">
        <v>380712</v>
      </c>
      <c r="BA8" s="272">
        <v>62</v>
      </c>
      <c r="BB8" s="272">
        <v>305255</v>
      </c>
      <c r="BC8" s="272">
        <v>99707</v>
      </c>
      <c r="BD8" s="272">
        <v>0</v>
      </c>
      <c r="BE8" s="272">
        <v>0</v>
      </c>
      <c r="BF8" s="272">
        <v>52745</v>
      </c>
      <c r="BG8" s="272">
        <v>0</v>
      </c>
      <c r="BH8" s="272">
        <v>103366</v>
      </c>
      <c r="BI8" s="272">
        <v>102990</v>
      </c>
      <c r="BJ8" s="272">
        <v>1778055</v>
      </c>
      <c r="BK8" s="272">
        <v>762162</v>
      </c>
      <c r="BL8" s="272">
        <v>74915</v>
      </c>
      <c r="BM8" s="272">
        <v>418866</v>
      </c>
      <c r="BN8" s="272">
        <v>1771100</v>
      </c>
      <c r="BO8" s="455">
        <f t="shared" si="5"/>
        <v>1771100</v>
      </c>
      <c r="BP8" s="455">
        <f t="shared" si="6"/>
        <v>0</v>
      </c>
      <c r="BQ8" s="272"/>
      <c r="BR8" s="272"/>
      <c r="BS8" s="272"/>
      <c r="BT8" s="272">
        <v>0</v>
      </c>
      <c r="BU8" s="272">
        <v>28592006</v>
      </c>
      <c r="BV8" s="272"/>
      <c r="BW8" s="272">
        <v>9747405</v>
      </c>
      <c r="BX8" s="272">
        <v>7417647</v>
      </c>
      <c r="BY8" s="272">
        <v>489778</v>
      </c>
      <c r="BZ8" s="272">
        <v>160700</v>
      </c>
      <c r="CA8" s="272">
        <v>2180733</v>
      </c>
      <c r="CB8" s="272">
        <v>301911</v>
      </c>
      <c r="CC8" s="272">
        <v>642255</v>
      </c>
      <c r="CD8" s="272">
        <v>511748</v>
      </c>
      <c r="CE8" s="272">
        <v>703795</v>
      </c>
      <c r="CF8" s="272">
        <v>4097</v>
      </c>
      <c r="CG8" s="272">
        <v>16777</v>
      </c>
      <c r="CH8" s="272">
        <v>2873394</v>
      </c>
      <c r="CI8" s="272">
        <v>1487309</v>
      </c>
      <c r="CJ8" s="455">
        <f t="shared" si="7"/>
        <v>1386085</v>
      </c>
      <c r="CK8" s="272">
        <v>2811640</v>
      </c>
      <c r="CL8" s="272">
        <v>1256421</v>
      </c>
      <c r="CM8" s="272">
        <v>137704</v>
      </c>
      <c r="CN8" s="272">
        <v>879488</v>
      </c>
      <c r="CO8" s="272">
        <v>834848</v>
      </c>
      <c r="CP8" s="272">
        <v>1639008</v>
      </c>
      <c r="CQ8" s="272">
        <v>0</v>
      </c>
      <c r="CR8" s="272">
        <v>465285</v>
      </c>
      <c r="CS8" s="272">
        <v>371879</v>
      </c>
      <c r="CT8" s="455">
        <f t="shared" si="8"/>
        <v>715334</v>
      </c>
      <c r="CU8" s="272">
        <v>385066</v>
      </c>
      <c r="CV8" s="272">
        <v>330268</v>
      </c>
      <c r="CW8" s="455">
        <f t="shared" si="9"/>
        <v>561287</v>
      </c>
      <c r="CX8" s="272">
        <v>379287</v>
      </c>
      <c r="CY8" s="272">
        <v>182000</v>
      </c>
      <c r="CZ8" s="455">
        <f t="shared" si="10"/>
        <v>0</v>
      </c>
      <c r="DA8" s="272">
        <v>0</v>
      </c>
      <c r="DB8" s="272">
        <v>0</v>
      </c>
      <c r="DC8" s="272">
        <v>4215553</v>
      </c>
      <c r="DD8" s="272">
        <v>676808</v>
      </c>
      <c r="DE8" s="272">
        <v>3463830</v>
      </c>
      <c r="DF8" s="272">
        <v>0</v>
      </c>
      <c r="DG8" s="272">
        <v>74915</v>
      </c>
      <c r="DH8" s="272">
        <v>0</v>
      </c>
      <c r="DI8" s="272">
        <v>1137474</v>
      </c>
      <c r="DJ8" s="272">
        <v>54480</v>
      </c>
      <c r="DK8" s="272">
        <v>0</v>
      </c>
      <c r="DL8" s="272">
        <v>1082994</v>
      </c>
      <c r="DM8" s="272">
        <v>137400</v>
      </c>
      <c r="DN8" s="272">
        <v>135580</v>
      </c>
      <c r="DO8" s="272">
        <v>32266</v>
      </c>
      <c r="DP8" s="272">
        <v>103314</v>
      </c>
      <c r="DQ8" s="272">
        <v>737918</v>
      </c>
      <c r="DR8" s="272">
        <v>0</v>
      </c>
      <c r="DS8" s="272">
        <v>0</v>
      </c>
      <c r="DT8" s="272">
        <v>2028067</v>
      </c>
      <c r="DU8" s="272">
        <v>1334854</v>
      </c>
      <c r="DV8" s="455">
        <f t="shared" si="11"/>
        <v>0</v>
      </c>
      <c r="DW8" s="272">
        <v>0</v>
      </c>
      <c r="DX8" s="272">
        <v>0</v>
      </c>
      <c r="DY8" s="457" t="s">
        <v>646</v>
      </c>
      <c r="DZ8" s="272">
        <v>364617</v>
      </c>
      <c r="EA8" s="272">
        <v>274568</v>
      </c>
      <c r="EB8" s="272"/>
      <c r="EC8" s="272">
        <v>0</v>
      </c>
      <c r="ED8" s="272">
        <v>28343440</v>
      </c>
      <c r="EF8" s="272">
        <v>248566</v>
      </c>
      <c r="EG8" s="272">
        <v>431</v>
      </c>
      <c r="EH8" s="272">
        <v>248135</v>
      </c>
      <c r="EI8" s="272">
        <v>15145</v>
      </c>
      <c r="EJ8" s="272">
        <v>69625</v>
      </c>
      <c r="EL8" s="272"/>
      <c r="EM8" s="272">
        <v>102133</v>
      </c>
      <c r="EN8" s="272">
        <v>7246</v>
      </c>
      <c r="EO8" s="272">
        <v>18437</v>
      </c>
      <c r="EP8" s="455">
        <f t="shared" si="12"/>
        <v>1020489</v>
      </c>
      <c r="EQ8" s="272">
        <v>20510817</v>
      </c>
      <c r="ER8" s="272">
        <v>-1022803</v>
      </c>
      <c r="ES8" s="272">
        <v>9039751</v>
      </c>
      <c r="ET8" s="272">
        <v>6728664</v>
      </c>
      <c r="EU8" s="272">
        <v>803442</v>
      </c>
      <c r="EV8" s="272">
        <v>2822690</v>
      </c>
      <c r="EW8" s="455">
        <f t="shared" si="13"/>
        <v>1416926</v>
      </c>
      <c r="EX8" s="272">
        <v>1416926</v>
      </c>
      <c r="EY8" s="272">
        <v>90001</v>
      </c>
      <c r="EZ8" s="272">
        <v>1326925</v>
      </c>
      <c r="FA8" s="272">
        <v>0</v>
      </c>
      <c r="FB8" s="272"/>
      <c r="FC8" s="272">
        <v>2252741</v>
      </c>
      <c r="FD8" s="272">
        <v>1412390</v>
      </c>
      <c r="FE8" s="272"/>
      <c r="FF8" s="272">
        <v>1952807</v>
      </c>
      <c r="FG8" s="455">
        <f t="shared" si="14"/>
        <v>1584323</v>
      </c>
      <c r="FH8" s="272">
        <v>21285070</v>
      </c>
      <c r="FI8" s="384">
        <f t="shared" si="15"/>
        <v>1.4</v>
      </c>
      <c r="FJ8" s="272">
        <v>18323269</v>
      </c>
      <c r="FK8" s="272"/>
      <c r="FL8" s="272">
        <v>13810761</v>
      </c>
      <c r="FM8" s="272">
        <v>13454449</v>
      </c>
      <c r="FN8" s="460">
        <v>1.07</v>
      </c>
      <c r="FO8" s="388">
        <v>93.6</v>
      </c>
      <c r="FP8" s="388">
        <v>47.1</v>
      </c>
      <c r="FQ8" s="388">
        <v>4.3</v>
      </c>
      <c r="FR8" s="388">
        <v>15</v>
      </c>
      <c r="FS8" s="388">
        <v>10.8</v>
      </c>
      <c r="FT8" s="388">
        <v>4.9000000000000004</v>
      </c>
      <c r="FU8" s="388">
        <v>7.9</v>
      </c>
      <c r="FV8" s="388">
        <v>15</v>
      </c>
      <c r="FW8" s="272">
        <v>20434449</v>
      </c>
      <c r="FX8" s="384">
        <f t="shared" si="16"/>
        <v>111.5</v>
      </c>
      <c r="FY8" s="272">
        <v>9752477</v>
      </c>
      <c r="FZ8" s="272">
        <v>1320680</v>
      </c>
      <c r="GA8" s="272"/>
      <c r="GB8" s="272">
        <v>8431797</v>
      </c>
      <c r="GC8" s="272"/>
      <c r="GD8" s="272">
        <v>11752854</v>
      </c>
      <c r="GE8" s="384">
        <f t="shared" si="17"/>
        <v>64.099999999999994</v>
      </c>
      <c r="GF8" s="388">
        <v>98</v>
      </c>
      <c r="GG8" s="388">
        <v>21.4</v>
      </c>
      <c r="GH8" s="388">
        <v>94.3</v>
      </c>
      <c r="GI8" s="272">
        <v>985</v>
      </c>
    </row>
    <row r="9" spans="2:191" x14ac:dyDescent="0.15">
      <c r="B9" s="89" t="s">
        <v>11</v>
      </c>
      <c r="C9" s="272">
        <v>67122199</v>
      </c>
      <c r="D9" s="455">
        <f t="shared" si="0"/>
        <v>31367976</v>
      </c>
      <c r="E9" s="272">
        <v>249502</v>
      </c>
      <c r="F9" s="272">
        <v>31118474</v>
      </c>
      <c r="G9" s="455">
        <f t="shared" si="1"/>
        <v>7002764</v>
      </c>
      <c r="H9" s="272">
        <v>809416</v>
      </c>
      <c r="I9" s="272">
        <v>6193348</v>
      </c>
      <c r="J9" s="272">
        <v>20529439</v>
      </c>
      <c r="K9" s="272">
        <v>9385873</v>
      </c>
      <c r="L9" s="272">
        <v>7807676</v>
      </c>
      <c r="M9" s="272">
        <v>2955519</v>
      </c>
      <c r="N9" s="272">
        <v>1386418</v>
      </c>
      <c r="O9" s="272">
        <v>5173854</v>
      </c>
      <c r="P9" s="272">
        <v>3421921</v>
      </c>
      <c r="Q9" s="272">
        <v>1751933</v>
      </c>
      <c r="R9" s="272">
        <v>1951364</v>
      </c>
      <c r="S9" s="272">
        <v>1403593</v>
      </c>
      <c r="T9" s="455">
        <f t="shared" si="2"/>
        <v>2619831</v>
      </c>
      <c r="U9" s="272">
        <v>1765852</v>
      </c>
      <c r="V9" s="272"/>
      <c r="W9" s="272"/>
      <c r="X9" s="272"/>
      <c r="Y9" s="272">
        <v>0</v>
      </c>
      <c r="Z9" s="272">
        <v>34972</v>
      </c>
      <c r="AA9" s="272">
        <v>819007</v>
      </c>
      <c r="AB9" s="272"/>
      <c r="AC9" s="272">
        <v>241165</v>
      </c>
      <c r="AD9" s="272">
        <v>0</v>
      </c>
      <c r="AE9" s="272">
        <v>241165</v>
      </c>
      <c r="AF9" s="272">
        <v>66589</v>
      </c>
      <c r="AG9" s="272">
        <v>1145395</v>
      </c>
      <c r="AH9" s="455">
        <f t="shared" si="3"/>
        <v>2027180</v>
      </c>
      <c r="AI9" s="272">
        <v>1688015</v>
      </c>
      <c r="AJ9" s="272">
        <v>339165</v>
      </c>
      <c r="AK9" s="272">
        <v>8775838</v>
      </c>
      <c r="AL9" s="455">
        <f t="shared" si="4"/>
        <v>3974076</v>
      </c>
      <c r="AM9" s="272">
        <v>2770143</v>
      </c>
      <c r="AN9" s="272">
        <v>842319</v>
      </c>
      <c r="AO9" s="272">
        <v>0</v>
      </c>
      <c r="AP9" s="272">
        <v>361614</v>
      </c>
      <c r="AQ9" s="272">
        <v>2930582</v>
      </c>
      <c r="AR9" s="272">
        <v>0</v>
      </c>
      <c r="AS9" s="272">
        <v>0</v>
      </c>
      <c r="AT9" s="272">
        <v>4349788</v>
      </c>
      <c r="AU9" s="272">
        <v>1080709</v>
      </c>
      <c r="AV9" s="272">
        <v>244046</v>
      </c>
      <c r="AW9" s="272">
        <v>231144</v>
      </c>
      <c r="AX9" s="272">
        <v>3269079</v>
      </c>
      <c r="AY9" s="272">
        <v>886961</v>
      </c>
      <c r="AZ9" s="272">
        <v>2165132</v>
      </c>
      <c r="BA9" s="272">
        <v>242724</v>
      </c>
      <c r="BB9" s="272">
        <v>129881</v>
      </c>
      <c r="BC9" s="272">
        <v>13300533</v>
      </c>
      <c r="BD9" s="272">
        <v>0</v>
      </c>
      <c r="BE9" s="272">
        <v>0</v>
      </c>
      <c r="BF9" s="272">
        <v>12932085</v>
      </c>
      <c r="BG9" s="272">
        <v>0</v>
      </c>
      <c r="BH9" s="272">
        <v>2166378</v>
      </c>
      <c r="BI9" s="272">
        <v>2099531</v>
      </c>
      <c r="BJ9" s="272">
        <v>3056148</v>
      </c>
      <c r="BK9" s="272">
        <v>1104186</v>
      </c>
      <c r="BL9" s="272">
        <v>887437</v>
      </c>
      <c r="BM9" s="272">
        <v>290251</v>
      </c>
      <c r="BN9" s="272">
        <v>11266900</v>
      </c>
      <c r="BO9" s="455">
        <f t="shared" si="5"/>
        <v>11266900</v>
      </c>
      <c r="BP9" s="455">
        <f t="shared" si="6"/>
        <v>0</v>
      </c>
      <c r="BQ9" s="272"/>
      <c r="BR9" s="272"/>
      <c r="BS9" s="272"/>
      <c r="BT9" s="272">
        <v>0</v>
      </c>
      <c r="BU9" s="272">
        <v>120384321</v>
      </c>
      <c r="BV9" s="272"/>
      <c r="BW9" s="272">
        <v>26760230</v>
      </c>
      <c r="BX9" s="272">
        <v>20655340</v>
      </c>
      <c r="BY9" s="272">
        <v>860303</v>
      </c>
      <c r="BZ9" s="272">
        <v>1160679</v>
      </c>
      <c r="CA9" s="272">
        <v>9864977</v>
      </c>
      <c r="CB9" s="272">
        <v>1184702</v>
      </c>
      <c r="CC9" s="272">
        <v>1953286</v>
      </c>
      <c r="CD9" s="272">
        <v>2198965</v>
      </c>
      <c r="CE9" s="272">
        <v>3668828</v>
      </c>
      <c r="CF9" s="272">
        <v>560624</v>
      </c>
      <c r="CG9" s="272">
        <v>298572</v>
      </c>
      <c r="CH9" s="272">
        <v>5962688</v>
      </c>
      <c r="CI9" s="272">
        <v>3148656</v>
      </c>
      <c r="CJ9" s="455">
        <f t="shared" si="7"/>
        <v>2814032</v>
      </c>
      <c r="CK9" s="272">
        <v>10939826</v>
      </c>
      <c r="CL9" s="272">
        <v>6170392</v>
      </c>
      <c r="CM9" s="272">
        <v>208901</v>
      </c>
      <c r="CN9" s="272">
        <v>2637476</v>
      </c>
      <c r="CO9" s="272">
        <v>2628069</v>
      </c>
      <c r="CP9" s="272">
        <v>4175006</v>
      </c>
      <c r="CQ9" s="272">
        <v>1033</v>
      </c>
      <c r="CR9" s="272">
        <v>1332428</v>
      </c>
      <c r="CS9" s="272">
        <v>1164711</v>
      </c>
      <c r="CT9" s="455">
        <f t="shared" si="8"/>
        <v>1481531</v>
      </c>
      <c r="CU9" s="272">
        <v>919175</v>
      </c>
      <c r="CV9" s="272">
        <v>562356</v>
      </c>
      <c r="CW9" s="455">
        <f t="shared" si="9"/>
        <v>1459243</v>
      </c>
      <c r="CX9" s="272">
        <v>896887</v>
      </c>
      <c r="CY9" s="272">
        <v>562356</v>
      </c>
      <c r="CZ9" s="455">
        <f t="shared" si="10"/>
        <v>0</v>
      </c>
      <c r="DA9" s="272">
        <v>0</v>
      </c>
      <c r="DB9" s="272">
        <v>0</v>
      </c>
      <c r="DC9" s="272">
        <v>37851315</v>
      </c>
      <c r="DD9" s="272">
        <v>5902298</v>
      </c>
      <c r="DE9" s="272">
        <v>30843303</v>
      </c>
      <c r="DF9" s="272">
        <v>0</v>
      </c>
      <c r="DG9" s="272">
        <v>1105714</v>
      </c>
      <c r="DH9" s="272">
        <v>0</v>
      </c>
      <c r="DI9" s="272">
        <v>7624048</v>
      </c>
      <c r="DJ9" s="272">
        <v>1312124</v>
      </c>
      <c r="DK9" s="272">
        <v>0</v>
      </c>
      <c r="DL9" s="272">
        <v>6311924</v>
      </c>
      <c r="DM9" s="272">
        <v>15440</v>
      </c>
      <c r="DN9" s="272">
        <v>0</v>
      </c>
      <c r="DO9" s="272">
        <v>0</v>
      </c>
      <c r="DP9" s="272">
        <v>0</v>
      </c>
      <c r="DQ9" s="272">
        <v>1081500</v>
      </c>
      <c r="DR9" s="272">
        <v>0</v>
      </c>
      <c r="DS9" s="272">
        <v>0</v>
      </c>
      <c r="DT9" s="272">
        <v>11538074</v>
      </c>
      <c r="DU9" s="272">
        <v>5040625</v>
      </c>
      <c r="DV9" s="455">
        <f t="shared" si="11"/>
        <v>1120080</v>
      </c>
      <c r="DW9" s="272">
        <v>1120080</v>
      </c>
      <c r="DX9" s="272">
        <v>0</v>
      </c>
      <c r="DY9" s="457" t="s">
        <v>646</v>
      </c>
      <c r="DZ9" s="272">
        <v>2056680</v>
      </c>
      <c r="EA9" s="272">
        <v>820557</v>
      </c>
      <c r="EB9" s="272"/>
      <c r="EC9" s="272">
        <v>0</v>
      </c>
      <c r="ED9" s="272">
        <v>118441173</v>
      </c>
      <c r="EF9" s="272">
        <v>1943148</v>
      </c>
      <c r="EG9" s="272">
        <v>17397</v>
      </c>
      <c r="EH9" s="272">
        <v>1925751</v>
      </c>
      <c r="EI9" s="272">
        <v>-173780</v>
      </c>
      <c r="EJ9" s="272">
        <v>1138344</v>
      </c>
      <c r="EL9" s="272"/>
      <c r="EM9" s="272">
        <v>331217</v>
      </c>
      <c r="EN9" s="272">
        <v>367956</v>
      </c>
      <c r="EO9" s="272">
        <v>259530</v>
      </c>
      <c r="EP9" s="455">
        <f t="shared" si="12"/>
        <v>4189789</v>
      </c>
      <c r="EQ9" s="272">
        <v>72001148</v>
      </c>
      <c r="ER9" s="272">
        <v>-4750686</v>
      </c>
      <c r="ES9" s="272">
        <v>24657442</v>
      </c>
      <c r="ET9" s="272">
        <v>18759783</v>
      </c>
      <c r="EU9" s="272">
        <v>3393222</v>
      </c>
      <c r="EV9" s="272">
        <v>5912271</v>
      </c>
      <c r="EW9" s="455">
        <f t="shared" si="13"/>
        <v>9661382</v>
      </c>
      <c r="EX9" s="272">
        <v>9661382</v>
      </c>
      <c r="EY9" s="272">
        <v>782819</v>
      </c>
      <c r="EZ9" s="272">
        <v>8876822</v>
      </c>
      <c r="FA9" s="272">
        <v>0</v>
      </c>
      <c r="FB9" s="272"/>
      <c r="FC9" s="272">
        <v>9165443</v>
      </c>
      <c r="FD9" s="272">
        <v>3453967</v>
      </c>
      <c r="FE9" s="272">
        <v>1033</v>
      </c>
      <c r="FF9" s="272">
        <v>10007501</v>
      </c>
      <c r="FG9" s="455">
        <f t="shared" si="14"/>
        <v>8597126</v>
      </c>
      <c r="FH9" s="272">
        <v>74848354</v>
      </c>
      <c r="FI9" s="384">
        <f t="shared" si="15"/>
        <v>3</v>
      </c>
      <c r="FJ9" s="272">
        <v>64669870</v>
      </c>
      <c r="FK9" s="272"/>
      <c r="FL9" s="272">
        <v>48656159</v>
      </c>
      <c r="FM9" s="272">
        <v>40700626</v>
      </c>
      <c r="FN9" s="460">
        <v>1.2370000000000001</v>
      </c>
      <c r="FO9" s="388">
        <v>75.900000000000006</v>
      </c>
      <c r="FP9" s="388">
        <v>36.4</v>
      </c>
      <c r="FQ9" s="388">
        <v>5.0999999999999996</v>
      </c>
      <c r="FR9" s="388">
        <v>8.8000000000000007</v>
      </c>
      <c r="FS9" s="388">
        <v>12.8</v>
      </c>
      <c r="FT9" s="388">
        <v>3.4</v>
      </c>
      <c r="FU9" s="388">
        <v>5.7</v>
      </c>
      <c r="FV9" s="388">
        <v>7.2</v>
      </c>
      <c r="FW9" s="272">
        <v>51848566</v>
      </c>
      <c r="FX9" s="384">
        <f t="shared" si="16"/>
        <v>80.2</v>
      </c>
      <c r="FY9" s="272">
        <v>35046504</v>
      </c>
      <c r="FZ9" s="272">
        <v>8833374</v>
      </c>
      <c r="GA9" s="272"/>
      <c r="GB9" s="272">
        <v>26213130</v>
      </c>
      <c r="GC9" s="272"/>
      <c r="GD9" s="272">
        <v>29296085</v>
      </c>
      <c r="GE9" s="384">
        <f t="shared" si="17"/>
        <v>45.3</v>
      </c>
      <c r="GF9" s="388">
        <v>98.1</v>
      </c>
      <c r="GG9" s="388">
        <v>28</v>
      </c>
      <c r="GH9" s="388">
        <v>95.8</v>
      </c>
      <c r="GI9" s="272">
        <v>2794</v>
      </c>
    </row>
    <row r="10" spans="2:191" x14ac:dyDescent="0.15">
      <c r="B10" s="89" t="s">
        <v>13</v>
      </c>
      <c r="C10" s="272">
        <v>10748590</v>
      </c>
      <c r="D10" s="455">
        <f t="shared" si="0"/>
        <v>3924539</v>
      </c>
      <c r="E10" s="272">
        <v>47176</v>
      </c>
      <c r="F10" s="272">
        <v>3877363</v>
      </c>
      <c r="G10" s="455">
        <f t="shared" si="1"/>
        <v>1129624</v>
      </c>
      <c r="H10" s="272">
        <v>159014</v>
      </c>
      <c r="I10" s="272">
        <v>970610</v>
      </c>
      <c r="J10" s="272">
        <v>4307552</v>
      </c>
      <c r="K10" s="272">
        <v>2224912</v>
      </c>
      <c r="L10" s="272">
        <v>1225301</v>
      </c>
      <c r="M10" s="272">
        <v>587160</v>
      </c>
      <c r="N10" s="272">
        <v>345764</v>
      </c>
      <c r="O10" s="272">
        <v>988397</v>
      </c>
      <c r="P10" s="272">
        <v>712519</v>
      </c>
      <c r="Q10" s="272">
        <v>275878</v>
      </c>
      <c r="R10" s="272">
        <v>478353</v>
      </c>
      <c r="S10" s="272">
        <v>313391</v>
      </c>
      <c r="T10" s="455">
        <f t="shared" si="2"/>
        <v>397712</v>
      </c>
      <c r="U10" s="272">
        <v>211483</v>
      </c>
      <c r="V10" s="272"/>
      <c r="W10" s="272"/>
      <c r="X10" s="272"/>
      <c r="Y10" s="272">
        <v>0</v>
      </c>
      <c r="Z10" s="272">
        <v>2272</v>
      </c>
      <c r="AA10" s="272">
        <v>183957</v>
      </c>
      <c r="AB10" s="272"/>
      <c r="AC10" s="272">
        <v>2215865</v>
      </c>
      <c r="AD10" s="272">
        <v>1903668</v>
      </c>
      <c r="AE10" s="272">
        <v>312197</v>
      </c>
      <c r="AF10" s="272">
        <v>19476</v>
      </c>
      <c r="AG10" s="272">
        <v>75819</v>
      </c>
      <c r="AH10" s="455">
        <f t="shared" si="3"/>
        <v>269464</v>
      </c>
      <c r="AI10" s="272">
        <v>240480</v>
      </c>
      <c r="AJ10" s="272">
        <v>28984</v>
      </c>
      <c r="AK10" s="272">
        <v>2731635</v>
      </c>
      <c r="AL10" s="455">
        <f t="shared" si="4"/>
        <v>887638</v>
      </c>
      <c r="AM10" s="272">
        <v>647143</v>
      </c>
      <c r="AN10" s="272">
        <v>147369</v>
      </c>
      <c r="AO10" s="272">
        <v>0</v>
      </c>
      <c r="AP10" s="272">
        <v>93126</v>
      </c>
      <c r="AQ10" s="272">
        <v>1309264</v>
      </c>
      <c r="AR10" s="272">
        <v>0</v>
      </c>
      <c r="AS10" s="272">
        <v>0</v>
      </c>
      <c r="AT10" s="272">
        <v>1077849</v>
      </c>
      <c r="AU10" s="272">
        <v>203388</v>
      </c>
      <c r="AV10" s="272">
        <v>73684</v>
      </c>
      <c r="AW10" s="272">
        <v>0</v>
      </c>
      <c r="AX10" s="272">
        <v>874461</v>
      </c>
      <c r="AY10" s="272">
        <v>403438</v>
      </c>
      <c r="AZ10" s="272">
        <v>295248</v>
      </c>
      <c r="BA10" s="272">
        <v>76067</v>
      </c>
      <c r="BB10" s="272">
        <v>171278</v>
      </c>
      <c r="BC10" s="272">
        <v>477750</v>
      </c>
      <c r="BD10" s="272">
        <v>0</v>
      </c>
      <c r="BE10" s="272">
        <v>0</v>
      </c>
      <c r="BF10" s="272">
        <v>465264</v>
      </c>
      <c r="BG10" s="272">
        <v>0</v>
      </c>
      <c r="BH10" s="272">
        <v>244912</v>
      </c>
      <c r="BI10" s="272">
        <v>203032</v>
      </c>
      <c r="BJ10" s="272">
        <v>2021835</v>
      </c>
      <c r="BK10" s="272">
        <v>736608</v>
      </c>
      <c r="BL10" s="272">
        <v>0</v>
      </c>
      <c r="BM10" s="272">
        <v>320930</v>
      </c>
      <c r="BN10" s="272">
        <v>2675100</v>
      </c>
      <c r="BO10" s="455">
        <f t="shared" si="5"/>
        <v>2675100</v>
      </c>
      <c r="BP10" s="455">
        <f t="shared" si="6"/>
        <v>0</v>
      </c>
      <c r="BQ10" s="272"/>
      <c r="BR10" s="272"/>
      <c r="BS10" s="272"/>
      <c r="BT10" s="272">
        <v>0</v>
      </c>
      <c r="BU10" s="272">
        <v>23900886</v>
      </c>
      <c r="BV10" s="272"/>
      <c r="BW10" s="272">
        <v>5768553</v>
      </c>
      <c r="BX10" s="272">
        <v>4357896</v>
      </c>
      <c r="BY10" s="272">
        <v>282208</v>
      </c>
      <c r="BZ10" s="272">
        <v>135721</v>
      </c>
      <c r="CA10" s="272">
        <v>2100782</v>
      </c>
      <c r="CB10" s="272">
        <v>305992</v>
      </c>
      <c r="CC10" s="272">
        <v>540940</v>
      </c>
      <c r="CD10" s="272">
        <v>401003</v>
      </c>
      <c r="CE10" s="272">
        <v>820947</v>
      </c>
      <c r="CF10" s="272">
        <v>8</v>
      </c>
      <c r="CG10" s="272">
        <v>31782</v>
      </c>
      <c r="CH10" s="272">
        <v>1557344</v>
      </c>
      <c r="CI10" s="272">
        <v>851017</v>
      </c>
      <c r="CJ10" s="455">
        <f t="shared" si="7"/>
        <v>706327</v>
      </c>
      <c r="CK10" s="272">
        <v>1620570</v>
      </c>
      <c r="CL10" s="272">
        <v>756235</v>
      </c>
      <c r="CM10" s="272">
        <v>61061</v>
      </c>
      <c r="CN10" s="272">
        <v>478356</v>
      </c>
      <c r="CO10" s="272">
        <v>134793</v>
      </c>
      <c r="CP10" s="272">
        <v>2309779</v>
      </c>
      <c r="CQ10" s="272">
        <v>1023799</v>
      </c>
      <c r="CR10" s="272">
        <v>489423</v>
      </c>
      <c r="CS10" s="272">
        <v>326525</v>
      </c>
      <c r="CT10" s="455">
        <f t="shared" si="8"/>
        <v>553461</v>
      </c>
      <c r="CU10" s="272">
        <v>13876</v>
      </c>
      <c r="CV10" s="272">
        <v>539585</v>
      </c>
      <c r="CW10" s="455">
        <f t="shared" si="9"/>
        <v>525802</v>
      </c>
      <c r="CX10" s="272">
        <v>0</v>
      </c>
      <c r="CY10" s="272">
        <v>525802</v>
      </c>
      <c r="CZ10" s="455">
        <f t="shared" si="10"/>
        <v>0</v>
      </c>
      <c r="DA10" s="272">
        <v>0</v>
      </c>
      <c r="DB10" s="272">
        <v>0</v>
      </c>
      <c r="DC10" s="272">
        <v>6437483</v>
      </c>
      <c r="DD10" s="272">
        <v>2569899</v>
      </c>
      <c r="DE10" s="272">
        <v>3776687</v>
      </c>
      <c r="DF10" s="272">
        <v>90897</v>
      </c>
      <c r="DG10" s="272">
        <v>0</v>
      </c>
      <c r="DH10" s="272">
        <v>0</v>
      </c>
      <c r="DI10" s="272">
        <v>903300</v>
      </c>
      <c r="DJ10" s="272">
        <v>189699</v>
      </c>
      <c r="DK10" s="272">
        <v>230500</v>
      </c>
      <c r="DL10" s="272">
        <v>483101</v>
      </c>
      <c r="DM10" s="272">
        <v>35260</v>
      </c>
      <c r="DN10" s="272">
        <v>0</v>
      </c>
      <c r="DO10" s="272">
        <v>0</v>
      </c>
      <c r="DP10" s="272">
        <v>0</v>
      </c>
      <c r="DQ10" s="272">
        <v>710000</v>
      </c>
      <c r="DR10" s="272">
        <v>0</v>
      </c>
      <c r="DS10" s="272">
        <v>0</v>
      </c>
      <c r="DT10" s="272">
        <v>2119572</v>
      </c>
      <c r="DU10" s="272">
        <v>1371212</v>
      </c>
      <c r="DV10" s="455">
        <f t="shared" si="11"/>
        <v>0</v>
      </c>
      <c r="DW10" s="272">
        <v>0</v>
      </c>
      <c r="DX10" s="272">
        <v>0</v>
      </c>
      <c r="DY10" s="457" t="s">
        <v>646</v>
      </c>
      <c r="DZ10" s="272">
        <v>276213</v>
      </c>
      <c r="EA10" s="272">
        <v>210877</v>
      </c>
      <c r="EB10" s="272"/>
      <c r="EC10" s="272">
        <v>0</v>
      </c>
      <c r="ED10" s="272">
        <v>23697436</v>
      </c>
      <c r="EF10" s="272">
        <v>203450</v>
      </c>
      <c r="EG10" s="272">
        <v>12804</v>
      </c>
      <c r="EH10" s="272">
        <v>190646</v>
      </c>
      <c r="EI10" s="272">
        <v>-12386</v>
      </c>
      <c r="EJ10" s="272">
        <v>177313</v>
      </c>
      <c r="EL10" s="272"/>
      <c r="EM10" s="272">
        <v>67597</v>
      </c>
      <c r="EN10" s="272">
        <v>62486</v>
      </c>
      <c r="EO10" s="272">
        <v>80157</v>
      </c>
      <c r="EP10" s="455">
        <f t="shared" si="12"/>
        <v>1750396</v>
      </c>
      <c r="EQ10" s="272">
        <v>13859996</v>
      </c>
      <c r="ER10" s="272">
        <v>-1873563</v>
      </c>
      <c r="ES10" s="272">
        <v>5237859</v>
      </c>
      <c r="ET10" s="272">
        <v>3841210</v>
      </c>
      <c r="EU10" s="272">
        <v>712879</v>
      </c>
      <c r="EV10" s="272">
        <v>1544992</v>
      </c>
      <c r="EW10" s="455">
        <f t="shared" si="13"/>
        <v>1611645</v>
      </c>
      <c r="EX10" s="272">
        <v>1611645</v>
      </c>
      <c r="EY10" s="272">
        <v>187597</v>
      </c>
      <c r="EZ10" s="272">
        <v>1405353</v>
      </c>
      <c r="FA10" s="272">
        <v>0</v>
      </c>
      <c r="FB10" s="272"/>
      <c r="FC10" s="272">
        <v>1491477</v>
      </c>
      <c r="FD10" s="272">
        <v>2026699</v>
      </c>
      <c r="FE10" s="272">
        <v>1023799</v>
      </c>
      <c r="FF10" s="272">
        <v>2080107</v>
      </c>
      <c r="FG10" s="455">
        <f t="shared" si="14"/>
        <v>850624</v>
      </c>
      <c r="FH10" s="272">
        <v>15556282</v>
      </c>
      <c r="FI10" s="384">
        <f t="shared" si="15"/>
        <v>1.5</v>
      </c>
      <c r="FJ10" s="272">
        <v>12326906</v>
      </c>
      <c r="FK10" s="272"/>
      <c r="FL10" s="272">
        <v>7867049</v>
      </c>
      <c r="FM10" s="272">
        <v>9788896</v>
      </c>
      <c r="FN10" s="460">
        <v>0.82799999999999996</v>
      </c>
      <c r="FO10" s="388">
        <v>87.2</v>
      </c>
      <c r="FP10" s="388">
        <v>40</v>
      </c>
      <c r="FQ10" s="388">
        <v>5.6</v>
      </c>
      <c r="FR10" s="388">
        <v>12.2</v>
      </c>
      <c r="FS10" s="388">
        <v>8.1999999999999993</v>
      </c>
      <c r="FT10" s="388">
        <v>10.5</v>
      </c>
      <c r="FU10" s="388">
        <v>9.6999999999999993</v>
      </c>
      <c r="FV10" s="388">
        <v>12</v>
      </c>
      <c r="FW10" s="272">
        <v>14173549</v>
      </c>
      <c r="FX10" s="384">
        <f t="shared" si="16"/>
        <v>115</v>
      </c>
      <c r="FY10" s="272">
        <v>4058076</v>
      </c>
      <c r="FZ10" s="272">
        <v>1005505</v>
      </c>
      <c r="GA10" s="272">
        <v>758700</v>
      </c>
      <c r="GB10" s="272">
        <v>2293871</v>
      </c>
      <c r="GC10" s="272"/>
      <c r="GD10" s="272">
        <v>11128961</v>
      </c>
      <c r="GE10" s="384">
        <f t="shared" si="17"/>
        <v>90.3</v>
      </c>
      <c r="GF10" s="388">
        <v>97.7</v>
      </c>
      <c r="GG10" s="388">
        <v>25</v>
      </c>
      <c r="GH10" s="388">
        <v>94.7</v>
      </c>
      <c r="GI10" s="272">
        <v>618</v>
      </c>
    </row>
    <row r="11" spans="2:191" x14ac:dyDescent="0.15">
      <c r="B11" s="89" t="s">
        <v>15</v>
      </c>
      <c r="C11" s="272">
        <v>55428302</v>
      </c>
      <c r="D11" s="455">
        <f t="shared" si="0"/>
        <v>25150483</v>
      </c>
      <c r="E11" s="272">
        <v>263866</v>
      </c>
      <c r="F11" s="272">
        <v>24886617</v>
      </c>
      <c r="G11" s="455">
        <f t="shared" si="1"/>
        <v>5261069</v>
      </c>
      <c r="H11" s="272">
        <v>585312</v>
      </c>
      <c r="I11" s="272">
        <v>4675757</v>
      </c>
      <c r="J11" s="272">
        <v>17504353</v>
      </c>
      <c r="K11" s="272">
        <v>9059778</v>
      </c>
      <c r="L11" s="272">
        <v>5605671</v>
      </c>
      <c r="M11" s="272">
        <v>2709580</v>
      </c>
      <c r="N11" s="272">
        <v>1316286</v>
      </c>
      <c r="O11" s="272">
        <v>4023390</v>
      </c>
      <c r="P11" s="272">
        <v>2929452</v>
      </c>
      <c r="Q11" s="272">
        <v>1093938</v>
      </c>
      <c r="R11" s="272">
        <v>1918003</v>
      </c>
      <c r="S11" s="272">
        <v>1310026</v>
      </c>
      <c r="T11" s="455">
        <f t="shared" si="2"/>
        <v>2521338</v>
      </c>
      <c r="U11" s="272">
        <v>1440180</v>
      </c>
      <c r="V11" s="272"/>
      <c r="W11" s="272"/>
      <c r="X11" s="272"/>
      <c r="Y11" s="272">
        <v>147188</v>
      </c>
      <c r="Z11" s="272">
        <v>24094</v>
      </c>
      <c r="AA11" s="272">
        <v>909876</v>
      </c>
      <c r="AB11" s="272"/>
      <c r="AC11" s="272">
        <v>2906678</v>
      </c>
      <c r="AD11" s="272">
        <v>2553147</v>
      </c>
      <c r="AE11" s="272">
        <v>353531</v>
      </c>
      <c r="AF11" s="272">
        <v>76512</v>
      </c>
      <c r="AG11" s="272">
        <v>827220</v>
      </c>
      <c r="AH11" s="455">
        <f t="shared" si="3"/>
        <v>1584579</v>
      </c>
      <c r="AI11" s="272">
        <v>1059956</v>
      </c>
      <c r="AJ11" s="272">
        <v>524623</v>
      </c>
      <c r="AK11" s="272">
        <v>9188308</v>
      </c>
      <c r="AL11" s="455">
        <f t="shared" si="4"/>
        <v>2807424</v>
      </c>
      <c r="AM11" s="272">
        <v>2026989</v>
      </c>
      <c r="AN11" s="272">
        <v>482245</v>
      </c>
      <c r="AO11" s="272">
        <v>0</v>
      </c>
      <c r="AP11" s="272">
        <v>298190</v>
      </c>
      <c r="AQ11" s="272">
        <v>3731279</v>
      </c>
      <c r="AR11" s="272">
        <v>0</v>
      </c>
      <c r="AS11" s="272">
        <v>0</v>
      </c>
      <c r="AT11" s="272">
        <v>4513727</v>
      </c>
      <c r="AU11" s="272">
        <v>1707512</v>
      </c>
      <c r="AV11" s="272">
        <v>241122</v>
      </c>
      <c r="AW11" s="272">
        <v>485421</v>
      </c>
      <c r="AX11" s="272">
        <v>2806215</v>
      </c>
      <c r="AY11" s="272">
        <v>552012</v>
      </c>
      <c r="AZ11" s="272">
        <v>1400621</v>
      </c>
      <c r="BA11" s="272">
        <v>267186</v>
      </c>
      <c r="BB11" s="272">
        <v>494933</v>
      </c>
      <c r="BC11" s="272">
        <v>4062200</v>
      </c>
      <c r="BD11" s="272">
        <v>488000</v>
      </c>
      <c r="BE11" s="272">
        <v>0</v>
      </c>
      <c r="BF11" s="272">
        <v>3287000</v>
      </c>
      <c r="BG11" s="272">
        <v>0</v>
      </c>
      <c r="BH11" s="272">
        <v>1348498</v>
      </c>
      <c r="BI11" s="272">
        <v>701446</v>
      </c>
      <c r="BJ11" s="272">
        <v>3755257</v>
      </c>
      <c r="BK11" s="272">
        <v>2819910</v>
      </c>
      <c r="BL11" s="272">
        <v>123273</v>
      </c>
      <c r="BM11" s="272">
        <v>295132</v>
      </c>
      <c r="BN11" s="272">
        <v>10446332</v>
      </c>
      <c r="BO11" s="455">
        <f t="shared" si="5"/>
        <v>10446332</v>
      </c>
      <c r="BP11" s="455">
        <f t="shared" si="6"/>
        <v>0</v>
      </c>
      <c r="BQ11" s="272"/>
      <c r="BR11" s="272"/>
      <c r="BS11" s="272"/>
      <c r="BT11" s="272">
        <v>0</v>
      </c>
      <c r="BU11" s="272">
        <v>100472508</v>
      </c>
      <c r="BV11" s="272"/>
      <c r="BW11" s="272">
        <v>25472191</v>
      </c>
      <c r="BX11" s="272">
        <v>19962258</v>
      </c>
      <c r="BY11" s="272">
        <v>850341</v>
      </c>
      <c r="BZ11" s="272">
        <v>718166</v>
      </c>
      <c r="CA11" s="272">
        <v>6724790</v>
      </c>
      <c r="CB11" s="272">
        <v>438419</v>
      </c>
      <c r="CC11" s="272">
        <v>1601587</v>
      </c>
      <c r="CD11" s="272">
        <v>1903065</v>
      </c>
      <c r="CE11" s="272">
        <v>2661269</v>
      </c>
      <c r="CF11" s="272">
        <v>3594</v>
      </c>
      <c r="CG11" s="272">
        <v>114426</v>
      </c>
      <c r="CH11" s="272">
        <v>7292414</v>
      </c>
      <c r="CI11" s="272">
        <v>4265174</v>
      </c>
      <c r="CJ11" s="455">
        <f t="shared" si="7"/>
        <v>3027240</v>
      </c>
      <c r="CK11" s="272">
        <v>10593121</v>
      </c>
      <c r="CL11" s="272">
        <v>5125469</v>
      </c>
      <c r="CM11" s="272">
        <v>254539</v>
      </c>
      <c r="CN11" s="272">
        <v>3124517</v>
      </c>
      <c r="CO11" s="272">
        <v>1728890</v>
      </c>
      <c r="CP11" s="272">
        <v>3985339</v>
      </c>
      <c r="CQ11" s="272">
        <v>47388</v>
      </c>
      <c r="CR11" s="272">
        <v>2645028</v>
      </c>
      <c r="CS11" s="272">
        <v>2497716</v>
      </c>
      <c r="CT11" s="455">
        <f t="shared" si="8"/>
        <v>907300</v>
      </c>
      <c r="CU11" s="272">
        <v>52347</v>
      </c>
      <c r="CV11" s="272">
        <v>854953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31659522</v>
      </c>
      <c r="DD11" s="272">
        <v>7933135</v>
      </c>
      <c r="DE11" s="272">
        <v>22641988</v>
      </c>
      <c r="DF11" s="272">
        <v>403845</v>
      </c>
      <c r="DG11" s="272">
        <v>651281</v>
      </c>
      <c r="DH11" s="272">
        <v>3005</v>
      </c>
      <c r="DI11" s="272">
        <v>2779192</v>
      </c>
      <c r="DJ11" s="272">
        <v>447091</v>
      </c>
      <c r="DK11" s="272">
        <v>619690</v>
      </c>
      <c r="DL11" s="272">
        <v>1712411</v>
      </c>
      <c r="DM11" s="272">
        <v>223472</v>
      </c>
      <c r="DN11" s="272">
        <v>0</v>
      </c>
      <c r="DO11" s="272">
        <v>0</v>
      </c>
      <c r="DP11" s="272">
        <v>0</v>
      </c>
      <c r="DQ11" s="272">
        <v>2732551</v>
      </c>
      <c r="DR11" s="272">
        <v>0</v>
      </c>
      <c r="DS11" s="272">
        <v>0</v>
      </c>
      <c r="DT11" s="272">
        <v>6703055</v>
      </c>
      <c r="DU11" s="272">
        <v>4230133</v>
      </c>
      <c r="DV11" s="455">
        <f t="shared" si="11"/>
        <v>0</v>
      </c>
      <c r="DW11" s="272">
        <v>0</v>
      </c>
      <c r="DX11" s="272">
        <v>0</v>
      </c>
      <c r="DY11" s="457" t="s">
        <v>646</v>
      </c>
      <c r="DZ11" s="272">
        <v>1381903</v>
      </c>
      <c r="EA11" s="272">
        <v>892049</v>
      </c>
      <c r="EB11" s="272"/>
      <c r="EC11" s="272">
        <v>0</v>
      </c>
      <c r="ED11" s="272">
        <v>99897542</v>
      </c>
      <c r="EF11" s="272">
        <v>574966</v>
      </c>
      <c r="EG11" s="272">
        <v>87282</v>
      </c>
      <c r="EH11" s="272">
        <v>487684</v>
      </c>
      <c r="EI11" s="272">
        <v>-213762</v>
      </c>
      <c r="EJ11" s="272">
        <v>-254671</v>
      </c>
      <c r="EL11" s="272"/>
      <c r="EM11" s="272">
        <v>359099</v>
      </c>
      <c r="EN11" s="272">
        <v>488000</v>
      </c>
      <c r="EO11" s="272">
        <v>277202</v>
      </c>
      <c r="EP11" s="455">
        <f t="shared" si="12"/>
        <v>3199016</v>
      </c>
      <c r="EQ11" s="272">
        <v>62850833</v>
      </c>
      <c r="ER11" s="272">
        <v>-3887706</v>
      </c>
      <c r="ES11" s="272">
        <v>23248124</v>
      </c>
      <c r="ET11" s="272">
        <v>17738191</v>
      </c>
      <c r="EU11" s="272">
        <v>1669340</v>
      </c>
      <c r="EV11" s="272">
        <v>7026753</v>
      </c>
      <c r="EW11" s="455">
        <f t="shared" si="13"/>
        <v>11713057</v>
      </c>
      <c r="EX11" s="272">
        <v>11712052</v>
      </c>
      <c r="EY11" s="272">
        <v>1329760</v>
      </c>
      <c r="EZ11" s="272">
        <v>10231191</v>
      </c>
      <c r="FA11" s="272">
        <v>1005</v>
      </c>
      <c r="FB11" s="272"/>
      <c r="FC11" s="272">
        <v>8970473</v>
      </c>
      <c r="FD11" s="272">
        <v>3710654</v>
      </c>
      <c r="FE11" s="272">
        <v>47388</v>
      </c>
      <c r="FF11" s="272">
        <v>6455197</v>
      </c>
      <c r="FG11" s="455">
        <f t="shared" si="14"/>
        <v>3369975</v>
      </c>
      <c r="FH11" s="272">
        <v>66163573</v>
      </c>
      <c r="FI11" s="384">
        <f t="shared" si="15"/>
        <v>0.9</v>
      </c>
      <c r="FJ11" s="272">
        <v>56714712</v>
      </c>
      <c r="FK11" s="272"/>
      <c r="FL11" s="272">
        <v>40791403</v>
      </c>
      <c r="FM11" s="272">
        <v>43438536</v>
      </c>
      <c r="FN11" s="460">
        <v>0.99099999999999999</v>
      </c>
      <c r="FO11" s="388">
        <v>82.4</v>
      </c>
      <c r="FP11" s="388">
        <v>39.200000000000003</v>
      </c>
      <c r="FQ11" s="388">
        <v>2.8</v>
      </c>
      <c r="FR11" s="388">
        <v>11.9</v>
      </c>
      <c r="FS11" s="388">
        <v>14</v>
      </c>
      <c r="FT11" s="388">
        <v>5.8</v>
      </c>
      <c r="FU11" s="388">
        <v>5.7</v>
      </c>
      <c r="FV11" s="388">
        <v>8.9</v>
      </c>
      <c r="FW11" s="272">
        <v>57489550</v>
      </c>
      <c r="FX11" s="384">
        <f t="shared" si="16"/>
        <v>101.4</v>
      </c>
      <c r="FY11" s="272">
        <v>25350498</v>
      </c>
      <c r="FZ11" s="272">
        <v>3193024</v>
      </c>
      <c r="GA11" s="272">
        <v>1090945</v>
      </c>
      <c r="GB11" s="272">
        <v>21066529</v>
      </c>
      <c r="GC11" s="272"/>
      <c r="GD11" s="272">
        <v>15257860</v>
      </c>
      <c r="GE11" s="384">
        <f t="shared" si="17"/>
        <v>26.9</v>
      </c>
      <c r="GF11" s="388">
        <v>98.8</v>
      </c>
      <c r="GG11" s="388">
        <v>41</v>
      </c>
      <c r="GH11" s="388">
        <v>97.8</v>
      </c>
      <c r="GI11" s="272">
        <v>2639</v>
      </c>
    </row>
    <row r="12" spans="2:191" x14ac:dyDescent="0.15">
      <c r="B12" s="89" t="s">
        <v>17</v>
      </c>
      <c r="C12" s="272">
        <v>10171172</v>
      </c>
      <c r="D12" s="455">
        <f t="shared" si="0"/>
        <v>3905698</v>
      </c>
      <c r="E12" s="272">
        <v>54117</v>
      </c>
      <c r="F12" s="272">
        <v>3851581</v>
      </c>
      <c r="G12" s="455">
        <f t="shared" si="1"/>
        <v>1036322</v>
      </c>
      <c r="H12" s="272">
        <v>140376</v>
      </c>
      <c r="I12" s="272">
        <v>895946</v>
      </c>
      <c r="J12" s="272">
        <v>3684074</v>
      </c>
      <c r="K12" s="272">
        <v>1811898</v>
      </c>
      <c r="L12" s="272">
        <v>1220242</v>
      </c>
      <c r="M12" s="272">
        <v>572725</v>
      </c>
      <c r="N12" s="272">
        <v>446142</v>
      </c>
      <c r="O12" s="272">
        <v>790245</v>
      </c>
      <c r="P12" s="272">
        <v>532866</v>
      </c>
      <c r="Q12" s="272">
        <v>257379</v>
      </c>
      <c r="R12" s="272">
        <v>471412</v>
      </c>
      <c r="S12" s="272">
        <v>326747</v>
      </c>
      <c r="T12" s="455">
        <f t="shared" si="2"/>
        <v>436406</v>
      </c>
      <c r="U12" s="272">
        <v>216981</v>
      </c>
      <c r="V12" s="272"/>
      <c r="W12" s="272"/>
      <c r="X12" s="272"/>
      <c r="Y12" s="272">
        <v>0</v>
      </c>
      <c r="Z12" s="272">
        <v>2963</v>
      </c>
      <c r="AA12" s="272">
        <v>216462</v>
      </c>
      <c r="AB12" s="272"/>
      <c r="AC12" s="272">
        <v>3600366</v>
      </c>
      <c r="AD12" s="272">
        <v>3190443</v>
      </c>
      <c r="AE12" s="272">
        <v>409923</v>
      </c>
      <c r="AF12" s="272">
        <v>21073</v>
      </c>
      <c r="AG12" s="272">
        <v>156478</v>
      </c>
      <c r="AH12" s="455">
        <f t="shared" si="3"/>
        <v>502103</v>
      </c>
      <c r="AI12" s="272">
        <v>458681</v>
      </c>
      <c r="AJ12" s="272">
        <v>43422</v>
      </c>
      <c r="AK12" s="272">
        <v>1635685</v>
      </c>
      <c r="AL12" s="455">
        <f t="shared" si="4"/>
        <v>1026890</v>
      </c>
      <c r="AM12" s="272">
        <v>726030</v>
      </c>
      <c r="AN12" s="272">
        <v>247389</v>
      </c>
      <c r="AO12" s="272">
        <v>0</v>
      </c>
      <c r="AP12" s="272">
        <v>53471</v>
      </c>
      <c r="AQ12" s="272">
        <v>128441</v>
      </c>
      <c r="AR12" s="272">
        <v>0</v>
      </c>
      <c r="AS12" s="272">
        <v>0</v>
      </c>
      <c r="AT12" s="272">
        <v>1406501</v>
      </c>
      <c r="AU12" s="272">
        <v>433377</v>
      </c>
      <c r="AV12" s="272">
        <v>123695</v>
      </c>
      <c r="AW12" s="272">
        <v>87709</v>
      </c>
      <c r="AX12" s="272">
        <v>973124</v>
      </c>
      <c r="AY12" s="272">
        <v>326003</v>
      </c>
      <c r="AZ12" s="272">
        <v>2373723</v>
      </c>
      <c r="BA12" s="272">
        <v>2214969</v>
      </c>
      <c r="BB12" s="272">
        <v>348233</v>
      </c>
      <c r="BC12" s="272">
        <v>3797190</v>
      </c>
      <c r="BD12" s="272">
        <v>0</v>
      </c>
      <c r="BE12" s="272">
        <v>0</v>
      </c>
      <c r="BF12" s="272">
        <v>3641383</v>
      </c>
      <c r="BG12" s="272">
        <v>0</v>
      </c>
      <c r="BH12" s="272">
        <v>277003</v>
      </c>
      <c r="BI12" s="272">
        <v>21662</v>
      </c>
      <c r="BJ12" s="272">
        <v>3060643</v>
      </c>
      <c r="BK12" s="272">
        <v>31122</v>
      </c>
      <c r="BL12" s="272">
        <v>473762</v>
      </c>
      <c r="BM12" s="272">
        <v>327950</v>
      </c>
      <c r="BN12" s="272">
        <v>7421100</v>
      </c>
      <c r="BO12" s="455">
        <f t="shared" si="5"/>
        <v>7421100</v>
      </c>
      <c r="BP12" s="455">
        <f t="shared" si="6"/>
        <v>0</v>
      </c>
      <c r="BQ12" s="272"/>
      <c r="BR12" s="272"/>
      <c r="BS12" s="272"/>
      <c r="BT12" s="272">
        <v>0</v>
      </c>
      <c r="BU12" s="272">
        <v>35679088</v>
      </c>
      <c r="BV12" s="272"/>
      <c r="BW12" s="272">
        <v>6762947</v>
      </c>
      <c r="BX12" s="272">
        <v>4916355</v>
      </c>
      <c r="BY12" s="272">
        <v>375313</v>
      </c>
      <c r="BZ12" s="272">
        <v>275327</v>
      </c>
      <c r="CA12" s="272">
        <v>2543572</v>
      </c>
      <c r="CB12" s="272">
        <v>338766</v>
      </c>
      <c r="CC12" s="272">
        <v>473692</v>
      </c>
      <c r="CD12" s="272">
        <v>778023</v>
      </c>
      <c r="CE12" s="272">
        <v>928899</v>
      </c>
      <c r="CF12" s="272">
        <v>365</v>
      </c>
      <c r="CG12" s="272">
        <v>23827</v>
      </c>
      <c r="CH12" s="272">
        <v>2253550</v>
      </c>
      <c r="CI12" s="272">
        <v>1058418</v>
      </c>
      <c r="CJ12" s="455">
        <f t="shared" si="7"/>
        <v>1195132</v>
      </c>
      <c r="CK12" s="272">
        <v>1911242</v>
      </c>
      <c r="CL12" s="272">
        <v>764483</v>
      </c>
      <c r="CM12" s="272">
        <v>102315</v>
      </c>
      <c r="CN12" s="272">
        <v>643131</v>
      </c>
      <c r="CO12" s="272">
        <v>88486</v>
      </c>
      <c r="CP12" s="272">
        <v>1998406</v>
      </c>
      <c r="CQ12" s="272">
        <v>537809</v>
      </c>
      <c r="CR12" s="272">
        <v>695545</v>
      </c>
      <c r="CS12" s="272">
        <v>550477</v>
      </c>
      <c r="CT12" s="455">
        <f t="shared" si="8"/>
        <v>333947</v>
      </c>
      <c r="CU12" s="272">
        <v>169486</v>
      </c>
      <c r="CV12" s="272">
        <v>164461</v>
      </c>
      <c r="CW12" s="455">
        <f t="shared" si="9"/>
        <v>322347</v>
      </c>
      <c r="CX12" s="272">
        <v>157886</v>
      </c>
      <c r="CY12" s="272">
        <v>164461</v>
      </c>
      <c r="CZ12" s="455">
        <f t="shared" si="10"/>
        <v>0</v>
      </c>
      <c r="DA12" s="272">
        <v>0</v>
      </c>
      <c r="DB12" s="272">
        <v>0</v>
      </c>
      <c r="DC12" s="272">
        <v>14424178</v>
      </c>
      <c r="DD12" s="272">
        <v>421266</v>
      </c>
      <c r="DE12" s="272">
        <v>13519640</v>
      </c>
      <c r="DF12" s="272">
        <v>2404</v>
      </c>
      <c r="DG12" s="272">
        <v>480868</v>
      </c>
      <c r="DH12" s="272">
        <v>0</v>
      </c>
      <c r="DI12" s="272">
        <v>4326560</v>
      </c>
      <c r="DJ12" s="272">
        <v>458359</v>
      </c>
      <c r="DK12" s="272">
        <v>458612</v>
      </c>
      <c r="DL12" s="272">
        <v>3409589</v>
      </c>
      <c r="DM12" s="272">
        <v>1440</v>
      </c>
      <c r="DN12" s="272">
        <v>0</v>
      </c>
      <c r="DO12" s="272">
        <v>0</v>
      </c>
      <c r="DP12" s="272">
        <v>0</v>
      </c>
      <c r="DQ12" s="272">
        <v>7560</v>
      </c>
      <c r="DR12" s="272">
        <v>0</v>
      </c>
      <c r="DS12" s="272">
        <v>0</v>
      </c>
      <c r="DT12" s="272">
        <v>1211047</v>
      </c>
      <c r="DU12" s="272">
        <v>564500</v>
      </c>
      <c r="DV12" s="455">
        <f t="shared" si="11"/>
        <v>0</v>
      </c>
      <c r="DW12" s="272">
        <v>0</v>
      </c>
      <c r="DX12" s="272">
        <v>0</v>
      </c>
      <c r="DY12" s="457" t="s">
        <v>646</v>
      </c>
      <c r="DZ12" s="272">
        <v>361420</v>
      </c>
      <c r="EA12" s="272">
        <v>268940</v>
      </c>
      <c r="EB12" s="272"/>
      <c r="EC12" s="272">
        <v>0</v>
      </c>
      <c r="ED12" s="272">
        <v>35528988</v>
      </c>
      <c r="EF12" s="272">
        <v>150100</v>
      </c>
      <c r="EG12" s="272">
        <v>52908</v>
      </c>
      <c r="EH12" s="272">
        <v>97192</v>
      </c>
      <c r="EI12" s="272">
        <v>75530</v>
      </c>
      <c r="EJ12" s="272">
        <v>533889</v>
      </c>
      <c r="EL12" s="272"/>
      <c r="EM12" s="272">
        <v>80350</v>
      </c>
      <c r="EN12" s="272">
        <v>940774</v>
      </c>
      <c r="EO12" s="272">
        <v>618754</v>
      </c>
      <c r="EP12" s="455">
        <f t="shared" si="12"/>
        <v>2994300</v>
      </c>
      <c r="EQ12" s="272">
        <v>14700429</v>
      </c>
      <c r="ER12" s="272">
        <v>-4532755</v>
      </c>
      <c r="ES12" s="272">
        <v>6294736</v>
      </c>
      <c r="ET12" s="272">
        <v>4544599</v>
      </c>
      <c r="EU12" s="272">
        <v>761045</v>
      </c>
      <c r="EV12" s="272">
        <v>2159819</v>
      </c>
      <c r="EW12" s="455">
        <f t="shared" si="13"/>
        <v>1438188</v>
      </c>
      <c r="EX12" s="272">
        <v>1438188</v>
      </c>
      <c r="EY12" s="272">
        <v>118963</v>
      </c>
      <c r="EZ12" s="272">
        <v>1273399</v>
      </c>
      <c r="FA12" s="272">
        <v>0</v>
      </c>
      <c r="FB12" s="272"/>
      <c r="FC12" s="272">
        <v>1628703</v>
      </c>
      <c r="FD12" s="272">
        <v>1793934</v>
      </c>
      <c r="FE12" s="272">
        <v>537809</v>
      </c>
      <c r="FF12" s="272">
        <v>1105805</v>
      </c>
      <c r="FG12" s="455">
        <f t="shared" si="14"/>
        <v>3934025</v>
      </c>
      <c r="FH12" s="272">
        <v>19116255</v>
      </c>
      <c r="FI12" s="384">
        <f t="shared" si="15"/>
        <v>0.7</v>
      </c>
      <c r="FJ12" s="272">
        <v>13035270</v>
      </c>
      <c r="FK12" s="272"/>
      <c r="FL12" s="272">
        <v>7425156</v>
      </c>
      <c r="FM12" s="272">
        <v>10646093</v>
      </c>
      <c r="FN12" s="460">
        <v>0.72299999999999998</v>
      </c>
      <c r="FO12" s="388">
        <v>87.1</v>
      </c>
      <c r="FP12" s="388">
        <v>44.6</v>
      </c>
      <c r="FQ12" s="388">
        <v>5.6</v>
      </c>
      <c r="FR12" s="388">
        <v>15.9</v>
      </c>
      <c r="FS12" s="388">
        <v>9.3000000000000007</v>
      </c>
      <c r="FT12" s="388">
        <v>8.1999999999999993</v>
      </c>
      <c r="FU12" s="388">
        <v>2.9</v>
      </c>
      <c r="FV12" s="388">
        <v>13.5</v>
      </c>
      <c r="FW12" s="272">
        <v>27302956</v>
      </c>
      <c r="FX12" s="384">
        <f t="shared" si="16"/>
        <v>209.5</v>
      </c>
      <c r="FY12" s="272">
        <v>3477658</v>
      </c>
      <c r="FZ12" s="272">
        <v>631736</v>
      </c>
      <c r="GA12" s="272">
        <v>591409</v>
      </c>
      <c r="GB12" s="272">
        <v>2254513</v>
      </c>
      <c r="GC12" s="272"/>
      <c r="GD12" s="272">
        <v>6766882</v>
      </c>
      <c r="GE12" s="384">
        <f t="shared" si="17"/>
        <v>51.9</v>
      </c>
      <c r="GF12" s="388">
        <v>97.8</v>
      </c>
      <c r="GG12" s="388">
        <v>24</v>
      </c>
      <c r="GH12" s="388">
        <v>94.8</v>
      </c>
      <c r="GI12" s="272">
        <v>703</v>
      </c>
    </row>
    <row r="13" spans="2:191" x14ac:dyDescent="0.15">
      <c r="B13" s="89" t="s">
        <v>19</v>
      </c>
      <c r="C13" s="272">
        <v>26418270</v>
      </c>
      <c r="D13" s="455">
        <f t="shared" si="0"/>
        <v>8229588</v>
      </c>
      <c r="E13" s="272">
        <v>117645</v>
      </c>
      <c r="F13" s="272">
        <v>8111943</v>
      </c>
      <c r="G13" s="455">
        <f t="shared" si="1"/>
        <v>4337975</v>
      </c>
      <c r="H13" s="272">
        <v>315616</v>
      </c>
      <c r="I13" s="272">
        <v>4022359</v>
      </c>
      <c r="J13" s="272">
        <v>9691440</v>
      </c>
      <c r="K13" s="272">
        <v>4552041</v>
      </c>
      <c r="L13" s="272">
        <v>3132476</v>
      </c>
      <c r="M13" s="272">
        <v>1762278</v>
      </c>
      <c r="N13" s="272">
        <v>889113</v>
      </c>
      <c r="O13" s="272">
        <v>2217308</v>
      </c>
      <c r="P13" s="272">
        <v>1491820</v>
      </c>
      <c r="Q13" s="272">
        <v>725488</v>
      </c>
      <c r="R13" s="272">
        <v>965699</v>
      </c>
      <c r="S13" s="272">
        <v>722926</v>
      </c>
      <c r="T13" s="455">
        <f t="shared" si="2"/>
        <v>872102</v>
      </c>
      <c r="U13" s="272">
        <v>495696</v>
      </c>
      <c r="V13" s="272"/>
      <c r="W13" s="272"/>
      <c r="X13" s="272"/>
      <c r="Y13" s="272">
        <v>0</v>
      </c>
      <c r="Z13" s="272">
        <v>13310</v>
      </c>
      <c r="AA13" s="272">
        <v>363096</v>
      </c>
      <c r="AB13" s="272"/>
      <c r="AC13" s="272">
        <v>1883241</v>
      </c>
      <c r="AD13" s="272">
        <v>1426878</v>
      </c>
      <c r="AE13" s="272">
        <v>456363</v>
      </c>
      <c r="AF13" s="272">
        <v>39394</v>
      </c>
      <c r="AG13" s="272">
        <v>2742924</v>
      </c>
      <c r="AH13" s="455">
        <f t="shared" si="3"/>
        <v>736568</v>
      </c>
      <c r="AI13" s="272">
        <v>643387</v>
      </c>
      <c r="AJ13" s="272">
        <v>93181</v>
      </c>
      <c r="AK13" s="272">
        <v>3633833</v>
      </c>
      <c r="AL13" s="455">
        <f t="shared" si="4"/>
        <v>2502617</v>
      </c>
      <c r="AM13" s="272">
        <v>1983354</v>
      </c>
      <c r="AN13" s="272">
        <v>310176</v>
      </c>
      <c r="AO13" s="272">
        <v>0</v>
      </c>
      <c r="AP13" s="272">
        <v>209087</v>
      </c>
      <c r="AQ13" s="272">
        <v>391412</v>
      </c>
      <c r="AR13" s="272">
        <v>0</v>
      </c>
      <c r="AS13" s="272">
        <v>0</v>
      </c>
      <c r="AT13" s="272">
        <v>1771851</v>
      </c>
      <c r="AU13" s="272">
        <v>530504</v>
      </c>
      <c r="AV13" s="272">
        <v>164400</v>
      </c>
      <c r="AW13" s="272">
        <v>3669</v>
      </c>
      <c r="AX13" s="272">
        <v>1241347</v>
      </c>
      <c r="AY13" s="272">
        <v>277800</v>
      </c>
      <c r="AZ13" s="272">
        <v>881209</v>
      </c>
      <c r="BA13" s="272">
        <v>368858</v>
      </c>
      <c r="BB13" s="272">
        <v>182400</v>
      </c>
      <c r="BC13" s="272">
        <v>1498830</v>
      </c>
      <c r="BD13" s="272">
        <v>4423</v>
      </c>
      <c r="BE13" s="272">
        <v>177330</v>
      </c>
      <c r="BF13" s="272">
        <v>1317077</v>
      </c>
      <c r="BG13" s="470">
        <v>0</v>
      </c>
      <c r="BH13" s="272">
        <v>481822</v>
      </c>
      <c r="BI13" s="272">
        <v>158484</v>
      </c>
      <c r="BJ13" s="272">
        <v>757152</v>
      </c>
      <c r="BK13" s="272">
        <v>109378</v>
      </c>
      <c r="BL13" s="272">
        <v>0</v>
      </c>
      <c r="BM13" s="272">
        <v>227722</v>
      </c>
      <c r="BN13" s="272">
        <v>12047000</v>
      </c>
      <c r="BO13" s="455">
        <f t="shared" si="5"/>
        <v>12047000</v>
      </c>
      <c r="BP13" s="455">
        <f t="shared" si="6"/>
        <v>0</v>
      </c>
      <c r="BQ13" s="272"/>
      <c r="BR13" s="272"/>
      <c r="BS13" s="272"/>
      <c r="BT13" s="272">
        <v>0</v>
      </c>
      <c r="BU13" s="272">
        <v>54912295</v>
      </c>
      <c r="BV13" s="272"/>
      <c r="BW13" s="272">
        <v>15626864</v>
      </c>
      <c r="BX13" s="272">
        <v>11972082</v>
      </c>
      <c r="BY13" s="272">
        <v>729140</v>
      </c>
      <c r="BZ13" s="272">
        <v>433670</v>
      </c>
      <c r="CA13" s="272">
        <v>7665010</v>
      </c>
      <c r="CB13" s="272">
        <v>502643</v>
      </c>
      <c r="CC13" s="272">
        <v>986412</v>
      </c>
      <c r="CD13" s="272">
        <v>794662</v>
      </c>
      <c r="CE13" s="272">
        <v>2616265</v>
      </c>
      <c r="CF13" s="272">
        <v>2634859</v>
      </c>
      <c r="CG13" s="272">
        <v>129460</v>
      </c>
      <c r="CH13" s="272">
        <v>4210814</v>
      </c>
      <c r="CI13" s="272">
        <v>2269551</v>
      </c>
      <c r="CJ13" s="455">
        <f t="shared" si="7"/>
        <v>1941263</v>
      </c>
      <c r="CK13" s="272">
        <v>3071043</v>
      </c>
      <c r="CL13" s="272">
        <v>1237724</v>
      </c>
      <c r="CM13" s="272">
        <v>151258</v>
      </c>
      <c r="CN13" s="272">
        <v>975185</v>
      </c>
      <c r="CO13" s="272">
        <v>388647</v>
      </c>
      <c r="CP13" s="272">
        <v>3327085</v>
      </c>
      <c r="CQ13" s="272">
        <v>1962042</v>
      </c>
      <c r="CR13" s="272">
        <v>564690</v>
      </c>
      <c r="CS13" s="272">
        <v>294360</v>
      </c>
      <c r="CT13" s="455">
        <f t="shared" si="8"/>
        <v>67265</v>
      </c>
      <c r="CU13" s="272">
        <v>67265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15859424</v>
      </c>
      <c r="DD13" s="272">
        <v>904040</v>
      </c>
      <c r="DE13" s="272">
        <v>14925317</v>
      </c>
      <c r="DF13" s="272">
        <v>0</v>
      </c>
      <c r="DG13" s="272">
        <v>0</v>
      </c>
      <c r="DH13" s="272">
        <v>0</v>
      </c>
      <c r="DI13" s="272">
        <v>796718</v>
      </c>
      <c r="DJ13" s="272">
        <v>232499</v>
      </c>
      <c r="DK13" s="272">
        <v>36242</v>
      </c>
      <c r="DL13" s="272">
        <v>527977</v>
      </c>
      <c r="DM13" s="272">
        <v>313113</v>
      </c>
      <c r="DN13" s="272">
        <v>87003</v>
      </c>
      <c r="DO13" s="272">
        <v>87003</v>
      </c>
      <c r="DP13" s="272">
        <v>0</v>
      </c>
      <c r="DQ13" s="272">
        <v>86969</v>
      </c>
      <c r="DR13" s="272">
        <v>0</v>
      </c>
      <c r="DS13" s="272">
        <v>0</v>
      </c>
      <c r="DT13" s="272">
        <v>3246262</v>
      </c>
      <c r="DU13" s="272">
        <v>2099282</v>
      </c>
      <c r="DV13" s="455">
        <f t="shared" si="11"/>
        <v>0</v>
      </c>
      <c r="DW13" s="272">
        <v>0</v>
      </c>
      <c r="DX13" s="272">
        <v>0</v>
      </c>
      <c r="DY13" s="457" t="s">
        <v>646</v>
      </c>
      <c r="DZ13" s="272">
        <v>624210</v>
      </c>
      <c r="EA13" s="272">
        <v>499820</v>
      </c>
      <c r="EB13" s="272"/>
      <c r="EC13" s="272">
        <v>0</v>
      </c>
      <c r="ED13" s="272">
        <v>54591949</v>
      </c>
      <c r="EF13" s="272">
        <v>320346</v>
      </c>
      <c r="EG13" s="272">
        <v>132338</v>
      </c>
      <c r="EH13" s="272">
        <v>188008</v>
      </c>
      <c r="EI13" s="272">
        <v>-122476</v>
      </c>
      <c r="EJ13" s="272">
        <v>105600</v>
      </c>
      <c r="EL13" s="272"/>
      <c r="EM13" s="272">
        <v>155951</v>
      </c>
      <c r="EN13" s="272">
        <v>1381753</v>
      </c>
      <c r="EO13" s="272">
        <v>273166</v>
      </c>
      <c r="EP13" s="455">
        <f t="shared" si="12"/>
        <v>998158</v>
      </c>
      <c r="EQ13" s="272">
        <v>30178706</v>
      </c>
      <c r="ER13" s="272">
        <v>-2613683</v>
      </c>
      <c r="ES13" s="272">
        <v>14374478</v>
      </c>
      <c r="ET13" s="272">
        <v>11017199</v>
      </c>
      <c r="EU13" s="272">
        <v>1643255</v>
      </c>
      <c r="EV13" s="272">
        <v>4127258</v>
      </c>
      <c r="EW13" s="455">
        <f t="shared" si="13"/>
        <v>2652656</v>
      </c>
      <c r="EX13" s="272">
        <v>2652656</v>
      </c>
      <c r="EY13" s="272">
        <v>83528</v>
      </c>
      <c r="EZ13" s="272">
        <v>2569061</v>
      </c>
      <c r="FA13" s="272">
        <v>0</v>
      </c>
      <c r="FB13" s="272"/>
      <c r="FC13" s="272">
        <v>2521584</v>
      </c>
      <c r="FD13" s="272">
        <v>3142750</v>
      </c>
      <c r="FE13" s="272">
        <v>1962042</v>
      </c>
      <c r="FF13" s="272">
        <v>3071788</v>
      </c>
      <c r="FG13" s="455">
        <f t="shared" si="14"/>
        <v>938274</v>
      </c>
      <c r="FH13" s="272">
        <v>32472043</v>
      </c>
      <c r="FI13" s="384">
        <f t="shared" si="15"/>
        <v>0.7</v>
      </c>
      <c r="FJ13" s="272">
        <v>27716303</v>
      </c>
      <c r="FK13" s="272"/>
      <c r="FL13" s="272">
        <v>19787562</v>
      </c>
      <c r="FM13" s="272">
        <v>21252626</v>
      </c>
      <c r="FN13" s="460">
        <v>0.96199999999999997</v>
      </c>
      <c r="FO13" s="388">
        <v>97.3</v>
      </c>
      <c r="FP13" s="388">
        <v>48.1</v>
      </c>
      <c r="FQ13" s="388">
        <v>5</v>
      </c>
      <c r="FR13" s="388">
        <v>14.8</v>
      </c>
      <c r="FS13" s="388">
        <v>8</v>
      </c>
      <c r="FT13" s="388">
        <v>9.4</v>
      </c>
      <c r="FU13" s="388">
        <v>10.3</v>
      </c>
      <c r="FV13" s="388">
        <v>11.9</v>
      </c>
      <c r="FW13" s="272">
        <v>41587966</v>
      </c>
      <c r="FX13" s="384">
        <f t="shared" si="16"/>
        <v>150</v>
      </c>
      <c r="FY13" s="272">
        <v>8873058</v>
      </c>
      <c r="FZ13" s="272">
        <v>4400489</v>
      </c>
      <c r="GA13" s="272">
        <v>710912</v>
      </c>
      <c r="GB13" s="272">
        <v>3761657</v>
      </c>
      <c r="GC13" s="272"/>
      <c r="GD13" s="272">
        <v>10572834</v>
      </c>
      <c r="GE13" s="384">
        <f t="shared" si="17"/>
        <v>38.1</v>
      </c>
      <c r="GF13" s="388">
        <v>97.4</v>
      </c>
      <c r="GG13" s="388">
        <v>24.6</v>
      </c>
      <c r="GH13" s="388">
        <v>93.6</v>
      </c>
      <c r="GI13" s="272">
        <v>1649</v>
      </c>
    </row>
    <row r="14" spans="2:191" x14ac:dyDescent="0.15">
      <c r="B14" s="89" t="s">
        <v>21</v>
      </c>
      <c r="C14" s="272">
        <v>61364318</v>
      </c>
      <c r="D14" s="455">
        <f t="shared" si="0"/>
        <v>29024408</v>
      </c>
      <c r="E14" s="272">
        <v>275294</v>
      </c>
      <c r="F14" s="272">
        <v>28749114</v>
      </c>
      <c r="G14" s="455">
        <f t="shared" si="1"/>
        <v>4865217</v>
      </c>
      <c r="H14" s="272">
        <v>503907</v>
      </c>
      <c r="I14" s="272">
        <v>4361310</v>
      </c>
      <c r="J14" s="272">
        <v>19243022</v>
      </c>
      <c r="K14" s="272">
        <v>9380269</v>
      </c>
      <c r="L14" s="272">
        <v>6819085</v>
      </c>
      <c r="M14" s="272">
        <v>2617067</v>
      </c>
      <c r="N14" s="272">
        <v>1441937</v>
      </c>
      <c r="O14" s="272">
        <v>4960506</v>
      </c>
      <c r="P14" s="272">
        <v>3448791</v>
      </c>
      <c r="Q14" s="272">
        <v>1511715</v>
      </c>
      <c r="R14" s="272">
        <v>1997140</v>
      </c>
      <c r="S14" s="272">
        <v>1405800</v>
      </c>
      <c r="T14" s="455">
        <f t="shared" si="2"/>
        <v>2729438</v>
      </c>
      <c r="U14" s="272">
        <v>1610313</v>
      </c>
      <c r="V14" s="272"/>
      <c r="W14" s="272"/>
      <c r="X14" s="272"/>
      <c r="Y14" s="272">
        <v>215988</v>
      </c>
      <c r="Z14" s="272">
        <v>17527</v>
      </c>
      <c r="AA14" s="272">
        <v>885610</v>
      </c>
      <c r="AB14" s="272"/>
      <c r="AC14" s="272">
        <v>2618065</v>
      </c>
      <c r="AD14" s="272">
        <v>2432776</v>
      </c>
      <c r="AE14" s="272">
        <v>185289</v>
      </c>
      <c r="AF14" s="272">
        <v>81285</v>
      </c>
      <c r="AG14" s="272">
        <v>703893</v>
      </c>
      <c r="AH14" s="455">
        <f t="shared" si="3"/>
        <v>1515318</v>
      </c>
      <c r="AI14" s="272">
        <v>1191567</v>
      </c>
      <c r="AJ14" s="272">
        <v>323751</v>
      </c>
      <c r="AK14" s="272">
        <v>9223273</v>
      </c>
      <c r="AL14" s="455">
        <f t="shared" si="4"/>
        <v>4726860</v>
      </c>
      <c r="AM14" s="272">
        <v>3497886</v>
      </c>
      <c r="AN14" s="272">
        <v>859773</v>
      </c>
      <c r="AO14" s="272">
        <v>0</v>
      </c>
      <c r="AP14" s="272">
        <v>369201</v>
      </c>
      <c r="AQ14" s="272">
        <v>2746511</v>
      </c>
      <c r="AR14" s="272">
        <v>0</v>
      </c>
      <c r="AS14" s="272">
        <v>0</v>
      </c>
      <c r="AT14" s="272">
        <v>4138546</v>
      </c>
      <c r="AU14" s="272">
        <v>1705499</v>
      </c>
      <c r="AV14" s="272">
        <v>429886</v>
      </c>
      <c r="AW14" s="272">
        <v>201462</v>
      </c>
      <c r="AX14" s="272">
        <v>2433047</v>
      </c>
      <c r="AY14" s="272">
        <v>217101</v>
      </c>
      <c r="AZ14" s="272">
        <v>1769133</v>
      </c>
      <c r="BA14" s="272">
        <v>611636</v>
      </c>
      <c r="BB14" s="272">
        <v>356724</v>
      </c>
      <c r="BC14" s="272">
        <v>4684188</v>
      </c>
      <c r="BD14" s="272">
        <v>0</v>
      </c>
      <c r="BE14" s="272">
        <v>232919</v>
      </c>
      <c r="BF14" s="272">
        <v>3688239</v>
      </c>
      <c r="BG14" s="272">
        <v>527701</v>
      </c>
      <c r="BH14" s="272">
        <v>1331047</v>
      </c>
      <c r="BI14" s="272">
        <v>149063</v>
      </c>
      <c r="BJ14" s="272">
        <v>5425012</v>
      </c>
      <c r="BK14" s="272">
        <v>4012413</v>
      </c>
      <c r="BL14" s="272">
        <v>1004</v>
      </c>
      <c r="BM14" s="272">
        <v>519245</v>
      </c>
      <c r="BN14" s="272">
        <v>9886100</v>
      </c>
      <c r="BO14" s="455">
        <f t="shared" si="5"/>
        <v>9886100</v>
      </c>
      <c r="BP14" s="455">
        <f t="shared" si="6"/>
        <v>0</v>
      </c>
      <c r="BQ14" s="272"/>
      <c r="BR14" s="272"/>
      <c r="BS14" s="272"/>
      <c r="BT14" s="272">
        <v>0</v>
      </c>
      <c r="BU14" s="272">
        <v>107823480</v>
      </c>
      <c r="BV14" s="272"/>
      <c r="BW14" s="272">
        <v>26985374</v>
      </c>
      <c r="BX14" s="272">
        <v>20345672</v>
      </c>
      <c r="BY14" s="272">
        <v>855572</v>
      </c>
      <c r="BZ14" s="272">
        <v>1775018</v>
      </c>
      <c r="CA14" s="272">
        <v>11187813</v>
      </c>
      <c r="CB14" s="272">
        <v>1086863</v>
      </c>
      <c r="CC14" s="272">
        <v>1881767</v>
      </c>
      <c r="CD14" s="272">
        <v>3272422</v>
      </c>
      <c r="CE14" s="272">
        <v>4722425</v>
      </c>
      <c r="CF14" s="272">
        <v>159</v>
      </c>
      <c r="CG14" s="272">
        <v>221649</v>
      </c>
      <c r="CH14" s="272">
        <v>9117543</v>
      </c>
      <c r="CI14" s="272">
        <v>4779619</v>
      </c>
      <c r="CJ14" s="455">
        <f t="shared" si="7"/>
        <v>4337924</v>
      </c>
      <c r="CK14" s="272">
        <v>7921252</v>
      </c>
      <c r="CL14" s="272">
        <v>3353432</v>
      </c>
      <c r="CM14" s="272">
        <v>410150</v>
      </c>
      <c r="CN14" s="272">
        <v>2551131</v>
      </c>
      <c r="CO14" s="272">
        <v>2004246</v>
      </c>
      <c r="CP14" s="272">
        <v>9610038</v>
      </c>
      <c r="CQ14" s="272">
        <v>4044215</v>
      </c>
      <c r="CR14" s="272">
        <v>1672445</v>
      </c>
      <c r="CS14" s="272">
        <v>1357923</v>
      </c>
      <c r="CT14" s="455">
        <f t="shared" si="8"/>
        <v>1660247</v>
      </c>
      <c r="CU14" s="272">
        <v>1024133</v>
      </c>
      <c r="CV14" s="272">
        <v>636114</v>
      </c>
      <c r="CW14" s="455">
        <f t="shared" si="9"/>
        <v>1268962</v>
      </c>
      <c r="CX14" s="272">
        <v>999467</v>
      </c>
      <c r="CY14" s="272">
        <v>269495</v>
      </c>
      <c r="CZ14" s="455">
        <f t="shared" si="10"/>
        <v>0</v>
      </c>
      <c r="DA14" s="272">
        <v>0</v>
      </c>
      <c r="DB14" s="272">
        <v>0</v>
      </c>
      <c r="DC14" s="272">
        <v>22250739</v>
      </c>
      <c r="DD14" s="272">
        <v>6015517</v>
      </c>
      <c r="DE14" s="272">
        <v>15536660</v>
      </c>
      <c r="DF14" s="272">
        <v>390139</v>
      </c>
      <c r="DG14" s="272">
        <v>308423</v>
      </c>
      <c r="DH14" s="272">
        <v>0</v>
      </c>
      <c r="DI14" s="272">
        <v>4821157</v>
      </c>
      <c r="DJ14" s="272">
        <v>360346</v>
      </c>
      <c r="DK14" s="272">
        <v>1807150</v>
      </c>
      <c r="DL14" s="272">
        <v>2653661</v>
      </c>
      <c r="DM14" s="272">
        <v>6120</v>
      </c>
      <c r="DN14" s="272">
        <v>0</v>
      </c>
      <c r="DO14" s="272">
        <v>0</v>
      </c>
      <c r="DP14" s="272">
        <v>0</v>
      </c>
      <c r="DQ14" s="272">
        <v>4000000</v>
      </c>
      <c r="DR14" s="272">
        <v>0</v>
      </c>
      <c r="DS14" s="272">
        <v>0</v>
      </c>
      <c r="DT14" s="272">
        <v>9181068</v>
      </c>
      <c r="DU14" s="272">
        <v>5561880</v>
      </c>
      <c r="DV14" s="455">
        <f t="shared" si="11"/>
        <v>0</v>
      </c>
      <c r="DW14" s="272">
        <v>0</v>
      </c>
      <c r="DX14" s="272">
        <v>0</v>
      </c>
      <c r="DY14" s="457" t="s">
        <v>646</v>
      </c>
      <c r="DZ14" s="272">
        <v>1521208</v>
      </c>
      <c r="EA14" s="272">
        <v>889799</v>
      </c>
      <c r="EB14" s="272"/>
      <c r="EC14" s="272">
        <v>0</v>
      </c>
      <c r="ED14" s="272">
        <v>107085350</v>
      </c>
      <c r="EF14" s="272">
        <v>738130</v>
      </c>
      <c r="EG14" s="272">
        <v>573732</v>
      </c>
      <c r="EH14" s="272">
        <v>164398</v>
      </c>
      <c r="EI14" s="272">
        <v>15335</v>
      </c>
      <c r="EJ14" s="272">
        <v>375681</v>
      </c>
      <c r="EL14" s="272"/>
      <c r="EM14" s="272">
        <v>392718</v>
      </c>
      <c r="EN14" s="272">
        <v>3992399</v>
      </c>
      <c r="EO14" s="272">
        <v>684385</v>
      </c>
      <c r="EP14" s="455">
        <f t="shared" si="12"/>
        <v>1765360</v>
      </c>
      <c r="EQ14" s="272">
        <v>68790246</v>
      </c>
      <c r="ER14" s="272">
        <v>-6360859</v>
      </c>
      <c r="ES14" s="272">
        <v>24822831</v>
      </c>
      <c r="ET14" s="272">
        <v>18297828</v>
      </c>
      <c r="EU14" s="272">
        <v>3467827</v>
      </c>
      <c r="EV14" s="272">
        <v>8891941</v>
      </c>
      <c r="EW14" s="455">
        <f t="shared" si="13"/>
        <v>7038889</v>
      </c>
      <c r="EX14" s="272">
        <v>7038889</v>
      </c>
      <c r="EY14" s="272">
        <v>271443</v>
      </c>
      <c r="EZ14" s="272">
        <v>6455307</v>
      </c>
      <c r="FA14" s="272">
        <v>0</v>
      </c>
      <c r="FB14" s="272"/>
      <c r="FC14" s="272">
        <v>6399215</v>
      </c>
      <c r="FD14" s="272">
        <v>9003818</v>
      </c>
      <c r="FE14" s="272">
        <v>4044215</v>
      </c>
      <c r="FF14" s="272">
        <v>8930658</v>
      </c>
      <c r="FG14" s="455">
        <f t="shared" si="14"/>
        <v>5858976</v>
      </c>
      <c r="FH14" s="272">
        <v>74414155</v>
      </c>
      <c r="FI14" s="384">
        <f t="shared" si="15"/>
        <v>0.3</v>
      </c>
      <c r="FJ14" s="272">
        <v>62524681</v>
      </c>
      <c r="FK14" s="272"/>
      <c r="FL14" s="272">
        <v>45239547</v>
      </c>
      <c r="FM14" s="272">
        <v>47763864</v>
      </c>
      <c r="FN14" s="460">
        <v>0.98799999999999999</v>
      </c>
      <c r="FO14" s="388">
        <v>86.8</v>
      </c>
      <c r="FP14" s="388">
        <v>38.5</v>
      </c>
      <c r="FQ14" s="388">
        <v>5.4</v>
      </c>
      <c r="FR14" s="388">
        <v>13.9</v>
      </c>
      <c r="FS14" s="388">
        <v>8.9</v>
      </c>
      <c r="FT14" s="388">
        <v>12.8</v>
      </c>
      <c r="FU14" s="388">
        <v>4.3</v>
      </c>
      <c r="FV14" s="388">
        <v>10.1</v>
      </c>
      <c r="FW14" s="272">
        <v>74331171</v>
      </c>
      <c r="FX14" s="384">
        <f t="shared" si="16"/>
        <v>118.9</v>
      </c>
      <c r="FY14" s="272">
        <v>21747706</v>
      </c>
      <c r="FZ14" s="272">
        <v>4603258</v>
      </c>
      <c r="GA14" s="272">
        <v>4980310</v>
      </c>
      <c r="GB14" s="272">
        <v>12164138</v>
      </c>
      <c r="GC14" s="272"/>
      <c r="GD14" s="272">
        <v>29633640</v>
      </c>
      <c r="GE14" s="384">
        <f t="shared" si="17"/>
        <v>47.4</v>
      </c>
      <c r="GF14" s="388">
        <v>97.6</v>
      </c>
      <c r="GG14" s="388">
        <v>25.2</v>
      </c>
      <c r="GH14" s="388">
        <v>94.5</v>
      </c>
      <c r="GI14" s="272">
        <v>2772</v>
      </c>
    </row>
    <row r="15" spans="2:191" x14ac:dyDescent="0.15">
      <c r="B15" s="89" t="s">
        <v>23</v>
      </c>
      <c r="C15" s="272">
        <v>48552760</v>
      </c>
      <c r="D15" s="455">
        <f t="shared" si="0"/>
        <v>19250588</v>
      </c>
      <c r="E15" s="272">
        <v>187028</v>
      </c>
      <c r="F15" s="272">
        <v>19063560</v>
      </c>
      <c r="G15" s="455">
        <f t="shared" si="1"/>
        <v>6975273</v>
      </c>
      <c r="H15" s="272">
        <v>589147</v>
      </c>
      <c r="I15" s="272">
        <v>6386126</v>
      </c>
      <c r="J15" s="272">
        <v>16426709</v>
      </c>
      <c r="K15" s="272">
        <v>8017310</v>
      </c>
      <c r="L15" s="272">
        <v>5446869</v>
      </c>
      <c r="M15" s="272">
        <v>2769482</v>
      </c>
      <c r="N15" s="272">
        <v>1145752</v>
      </c>
      <c r="O15" s="272">
        <v>3534265</v>
      </c>
      <c r="P15" s="272">
        <v>2411480</v>
      </c>
      <c r="Q15" s="272">
        <v>1122785</v>
      </c>
      <c r="R15" s="272">
        <v>1494548</v>
      </c>
      <c r="S15" s="272">
        <v>1058474</v>
      </c>
      <c r="T15" s="455">
        <f t="shared" si="2"/>
        <v>1980873</v>
      </c>
      <c r="U15" s="272">
        <v>1105301</v>
      </c>
      <c r="V15" s="272"/>
      <c r="W15" s="272"/>
      <c r="X15" s="272"/>
      <c r="Y15" s="272">
        <v>214062</v>
      </c>
      <c r="Z15" s="272">
        <v>9336</v>
      </c>
      <c r="AA15" s="272">
        <v>652174</v>
      </c>
      <c r="AB15" s="272"/>
      <c r="AC15" s="272">
        <v>250691</v>
      </c>
      <c r="AD15" s="272">
        <v>0</v>
      </c>
      <c r="AE15" s="272">
        <v>250691</v>
      </c>
      <c r="AF15" s="272">
        <v>56433</v>
      </c>
      <c r="AG15" s="272">
        <v>372355</v>
      </c>
      <c r="AH15" s="455">
        <f t="shared" si="3"/>
        <v>1613854</v>
      </c>
      <c r="AI15" s="272">
        <v>1335782</v>
      </c>
      <c r="AJ15" s="272">
        <v>278072</v>
      </c>
      <c r="AK15" s="272">
        <v>3506932</v>
      </c>
      <c r="AL15" s="455">
        <f t="shared" si="4"/>
        <v>2030239</v>
      </c>
      <c r="AM15" s="272">
        <v>1394028</v>
      </c>
      <c r="AN15" s="272">
        <v>419219</v>
      </c>
      <c r="AO15" s="272">
        <v>0</v>
      </c>
      <c r="AP15" s="272">
        <v>216992</v>
      </c>
      <c r="AQ15" s="272">
        <v>295050</v>
      </c>
      <c r="AR15" s="272">
        <v>0</v>
      </c>
      <c r="AS15" s="272">
        <v>0</v>
      </c>
      <c r="AT15" s="272">
        <v>3555285</v>
      </c>
      <c r="AU15" s="272">
        <v>1310439</v>
      </c>
      <c r="AV15" s="272">
        <v>209609</v>
      </c>
      <c r="AW15" s="272">
        <v>571557</v>
      </c>
      <c r="AX15" s="272">
        <v>2244846</v>
      </c>
      <c r="AY15" s="272">
        <v>649246</v>
      </c>
      <c r="AZ15" s="272">
        <v>916695</v>
      </c>
      <c r="BA15" s="272">
        <v>15303</v>
      </c>
      <c r="BB15" s="272">
        <v>188389</v>
      </c>
      <c r="BC15" s="272">
        <v>548015</v>
      </c>
      <c r="BD15" s="272">
        <v>0</v>
      </c>
      <c r="BE15" s="272">
        <v>0</v>
      </c>
      <c r="BF15" s="272">
        <v>500000</v>
      </c>
      <c r="BG15" s="272">
        <v>0</v>
      </c>
      <c r="BH15" s="272">
        <v>593673</v>
      </c>
      <c r="BI15" s="272">
        <v>573930</v>
      </c>
      <c r="BJ15" s="272">
        <v>1838273</v>
      </c>
      <c r="BK15" s="272">
        <v>595865</v>
      </c>
      <c r="BL15" s="272">
        <v>43246</v>
      </c>
      <c r="BM15" s="272">
        <v>259916</v>
      </c>
      <c r="BN15" s="272">
        <v>1623600</v>
      </c>
      <c r="BO15" s="455">
        <f t="shared" si="5"/>
        <v>1623600</v>
      </c>
      <c r="BP15" s="455">
        <f t="shared" si="6"/>
        <v>0</v>
      </c>
      <c r="BQ15" s="272"/>
      <c r="BR15" s="272"/>
      <c r="BS15" s="272"/>
      <c r="BT15" s="272">
        <v>0</v>
      </c>
      <c r="BU15" s="272">
        <v>67092376</v>
      </c>
      <c r="BV15" s="272"/>
      <c r="BW15" s="272">
        <v>17429134</v>
      </c>
      <c r="BX15" s="272">
        <v>13423031</v>
      </c>
      <c r="BY15" s="272">
        <v>694213</v>
      </c>
      <c r="BZ15" s="272">
        <v>438086</v>
      </c>
      <c r="CA15" s="272">
        <v>5225427</v>
      </c>
      <c r="CB15" s="272">
        <v>758821</v>
      </c>
      <c r="CC15" s="272">
        <v>1088625</v>
      </c>
      <c r="CD15" s="272">
        <v>1518392</v>
      </c>
      <c r="CE15" s="272">
        <v>1755601</v>
      </c>
      <c r="CF15" s="272">
        <v>3047</v>
      </c>
      <c r="CG15" s="272">
        <v>100941</v>
      </c>
      <c r="CH15" s="272">
        <v>3322679</v>
      </c>
      <c r="CI15" s="272">
        <v>1757680</v>
      </c>
      <c r="CJ15" s="455">
        <f t="shared" si="7"/>
        <v>1564999</v>
      </c>
      <c r="CK15" s="272">
        <v>9487099</v>
      </c>
      <c r="CL15" s="272">
        <v>4850000</v>
      </c>
      <c r="CM15" s="272">
        <v>308711</v>
      </c>
      <c r="CN15" s="272">
        <v>2939749</v>
      </c>
      <c r="CO15" s="272">
        <v>1389710</v>
      </c>
      <c r="CP15" s="272">
        <v>1915380</v>
      </c>
      <c r="CQ15" s="272">
        <v>1337</v>
      </c>
      <c r="CR15" s="272">
        <v>904350</v>
      </c>
      <c r="CS15" s="272">
        <v>632769</v>
      </c>
      <c r="CT15" s="455">
        <f t="shared" si="8"/>
        <v>45434</v>
      </c>
      <c r="CU15" s="272">
        <v>45434</v>
      </c>
      <c r="CV15" s="272">
        <v>0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17301250</v>
      </c>
      <c r="DD15" s="272">
        <v>976459</v>
      </c>
      <c r="DE15" s="272">
        <v>15600595</v>
      </c>
      <c r="DF15" s="272">
        <v>0</v>
      </c>
      <c r="DG15" s="272">
        <v>724196</v>
      </c>
      <c r="DH15" s="272">
        <v>19166</v>
      </c>
      <c r="DI15" s="272">
        <v>1912710</v>
      </c>
      <c r="DJ15" s="272">
        <v>247000</v>
      </c>
      <c r="DK15" s="272">
        <v>0</v>
      </c>
      <c r="DL15" s="272">
        <v>1665710</v>
      </c>
      <c r="DM15" s="272">
        <v>31410</v>
      </c>
      <c r="DN15" s="272">
        <v>0</v>
      </c>
      <c r="DO15" s="272">
        <v>0</v>
      </c>
      <c r="DP15" s="272">
        <v>0</v>
      </c>
      <c r="DQ15" s="272">
        <v>656148</v>
      </c>
      <c r="DR15" s="272">
        <v>0</v>
      </c>
      <c r="DS15" s="272">
        <v>0</v>
      </c>
      <c r="DT15" s="272">
        <v>7469625</v>
      </c>
      <c r="DU15" s="272">
        <v>5130602</v>
      </c>
      <c r="DV15" s="455">
        <f t="shared" si="11"/>
        <v>0</v>
      </c>
      <c r="DW15" s="272">
        <v>0</v>
      </c>
      <c r="DX15" s="272">
        <v>0</v>
      </c>
      <c r="DY15" s="457" t="s">
        <v>646</v>
      </c>
      <c r="DZ15" s="272">
        <v>900000</v>
      </c>
      <c r="EA15" s="272">
        <v>573110</v>
      </c>
      <c r="EB15" s="272"/>
      <c r="EC15" s="272">
        <v>0</v>
      </c>
      <c r="ED15" s="272">
        <v>66159738</v>
      </c>
      <c r="EF15" s="272">
        <v>932638</v>
      </c>
      <c r="EG15" s="272">
        <v>170327</v>
      </c>
      <c r="EH15" s="272">
        <v>762311</v>
      </c>
      <c r="EI15" s="272">
        <v>188381</v>
      </c>
      <c r="EJ15" s="272">
        <v>435381</v>
      </c>
      <c r="EL15" s="272"/>
      <c r="EM15" s="272">
        <v>250778</v>
      </c>
      <c r="EN15" s="272">
        <v>44084</v>
      </c>
      <c r="EO15" s="272">
        <v>28484</v>
      </c>
      <c r="EP15" s="455">
        <f t="shared" si="12"/>
        <v>1836735</v>
      </c>
      <c r="EQ15" s="272">
        <v>52335305</v>
      </c>
      <c r="ER15" s="272">
        <v>-1852870</v>
      </c>
      <c r="ES15" s="272">
        <v>15621565</v>
      </c>
      <c r="ET15" s="272">
        <v>11737376</v>
      </c>
      <c r="EU15" s="272">
        <v>1459637</v>
      </c>
      <c r="EV15" s="272">
        <v>3260354</v>
      </c>
      <c r="EW15" s="455">
        <f t="shared" si="13"/>
        <v>13614385</v>
      </c>
      <c r="EX15" s="272">
        <v>13605639</v>
      </c>
      <c r="EY15" s="272">
        <v>279905</v>
      </c>
      <c r="EZ15" s="272">
        <v>13325734</v>
      </c>
      <c r="FA15" s="272">
        <v>8746</v>
      </c>
      <c r="FB15" s="272"/>
      <c r="FC15" s="272">
        <v>7853772</v>
      </c>
      <c r="FD15" s="272">
        <v>1638691</v>
      </c>
      <c r="FE15" s="272">
        <v>1337</v>
      </c>
      <c r="FF15" s="272">
        <v>7344625</v>
      </c>
      <c r="FG15" s="455">
        <f t="shared" si="14"/>
        <v>2462508</v>
      </c>
      <c r="FH15" s="272">
        <v>53255537</v>
      </c>
      <c r="FI15" s="384">
        <f t="shared" si="15"/>
        <v>1.7</v>
      </c>
      <c r="FJ15" s="272">
        <v>45948468</v>
      </c>
      <c r="FK15" s="272"/>
      <c r="FL15" s="272">
        <v>34581902</v>
      </c>
      <c r="FM15" s="272">
        <v>30677602</v>
      </c>
      <c r="FN15" s="460">
        <v>1.1879999999999999</v>
      </c>
      <c r="FO15" s="388">
        <v>68</v>
      </c>
      <c r="FP15" s="388">
        <v>31.6</v>
      </c>
      <c r="FQ15" s="388">
        <v>3</v>
      </c>
      <c r="FR15" s="388">
        <v>6.6</v>
      </c>
      <c r="FS15" s="388">
        <v>14.9</v>
      </c>
      <c r="FT15" s="388">
        <v>2.9</v>
      </c>
      <c r="FU15" s="388">
        <v>6.2</v>
      </c>
      <c r="FV15" s="388">
        <v>4.0999999999999996</v>
      </c>
      <c r="FW15" s="272">
        <v>23893648</v>
      </c>
      <c r="FX15" s="384">
        <f t="shared" si="16"/>
        <v>52</v>
      </c>
      <c r="FY15" s="272">
        <v>20562730</v>
      </c>
      <c r="FZ15" s="272">
        <v>4741200</v>
      </c>
      <c r="GA15" s="272"/>
      <c r="GB15" s="272">
        <v>15821530</v>
      </c>
      <c r="GC15" s="272"/>
      <c r="GD15" s="272">
        <v>19524606</v>
      </c>
      <c r="GE15" s="384">
        <f t="shared" si="17"/>
        <v>42.5</v>
      </c>
      <c r="GF15" s="388">
        <v>98.8</v>
      </c>
      <c r="GG15" s="388">
        <v>30</v>
      </c>
      <c r="GH15" s="388">
        <v>97.7</v>
      </c>
      <c r="GI15" s="272">
        <v>1888</v>
      </c>
    </row>
    <row r="16" spans="2:191" x14ac:dyDescent="0.15">
      <c r="B16" s="89" t="s">
        <v>25</v>
      </c>
      <c r="C16" s="272">
        <v>44453427</v>
      </c>
      <c r="D16" s="455">
        <f t="shared" si="0"/>
        <v>17715632</v>
      </c>
      <c r="E16" s="272">
        <v>198361</v>
      </c>
      <c r="F16" s="272">
        <v>17517271</v>
      </c>
      <c r="G16" s="455">
        <f t="shared" si="1"/>
        <v>5396406</v>
      </c>
      <c r="H16" s="272">
        <v>508778</v>
      </c>
      <c r="I16" s="272">
        <v>4887628</v>
      </c>
      <c r="J16" s="272">
        <v>15627428</v>
      </c>
      <c r="K16" s="272">
        <v>7816358</v>
      </c>
      <c r="L16" s="272">
        <v>4855731</v>
      </c>
      <c r="M16" s="272">
        <v>2722175</v>
      </c>
      <c r="N16" s="272">
        <v>1599639</v>
      </c>
      <c r="O16" s="272">
        <v>3645529</v>
      </c>
      <c r="P16" s="272">
        <v>2576241</v>
      </c>
      <c r="Q16" s="272">
        <v>1069288</v>
      </c>
      <c r="R16" s="272">
        <v>1685726</v>
      </c>
      <c r="S16" s="272">
        <v>1220285</v>
      </c>
      <c r="T16" s="455">
        <f t="shared" si="2"/>
        <v>1714678</v>
      </c>
      <c r="U16" s="272">
        <v>1013165</v>
      </c>
      <c r="V16" s="272"/>
      <c r="W16" s="272"/>
      <c r="X16" s="272"/>
      <c r="Y16" s="272">
        <v>0</v>
      </c>
      <c r="Z16" s="272">
        <v>7408</v>
      </c>
      <c r="AA16" s="272">
        <v>694105</v>
      </c>
      <c r="AB16" s="272"/>
      <c r="AC16" s="272">
        <v>1783353</v>
      </c>
      <c r="AD16" s="272">
        <v>867319</v>
      </c>
      <c r="AE16" s="272">
        <v>916034</v>
      </c>
      <c r="AF16" s="272">
        <v>58492</v>
      </c>
      <c r="AG16" s="272">
        <v>2334364</v>
      </c>
      <c r="AH16" s="455">
        <f t="shared" si="3"/>
        <v>1534571</v>
      </c>
      <c r="AI16" s="272">
        <v>982945</v>
      </c>
      <c r="AJ16" s="272">
        <v>551626</v>
      </c>
      <c r="AK16" s="272">
        <v>8017582</v>
      </c>
      <c r="AL16" s="455">
        <f t="shared" si="4"/>
        <v>4689353</v>
      </c>
      <c r="AM16" s="272">
        <v>3832978</v>
      </c>
      <c r="AN16" s="272">
        <v>574745</v>
      </c>
      <c r="AO16" s="272">
        <v>0</v>
      </c>
      <c r="AP16" s="272">
        <v>281630</v>
      </c>
      <c r="AQ16" s="272">
        <v>1686546</v>
      </c>
      <c r="AR16" s="272">
        <v>0</v>
      </c>
      <c r="AS16" s="272">
        <v>50082</v>
      </c>
      <c r="AT16" s="272">
        <v>3576729</v>
      </c>
      <c r="AU16" s="272">
        <v>845737</v>
      </c>
      <c r="AV16" s="272">
        <v>287372</v>
      </c>
      <c r="AW16" s="272">
        <v>0</v>
      </c>
      <c r="AX16" s="272">
        <v>2730992</v>
      </c>
      <c r="AY16" s="272">
        <v>521995</v>
      </c>
      <c r="AZ16" s="272">
        <v>948333</v>
      </c>
      <c r="BA16" s="272">
        <v>245448</v>
      </c>
      <c r="BB16" s="272">
        <v>481324</v>
      </c>
      <c r="BC16" s="272">
        <v>969568</v>
      </c>
      <c r="BD16" s="272">
        <v>200000</v>
      </c>
      <c r="BE16" s="272">
        <v>0</v>
      </c>
      <c r="BF16" s="272">
        <v>768697</v>
      </c>
      <c r="BG16" s="272">
        <v>0</v>
      </c>
      <c r="BH16" s="272">
        <v>781657</v>
      </c>
      <c r="BI16" s="272">
        <v>220861</v>
      </c>
      <c r="BJ16" s="272">
        <v>3662026</v>
      </c>
      <c r="BK16" s="272">
        <v>2603341</v>
      </c>
      <c r="BL16" s="272">
        <v>839</v>
      </c>
      <c r="BM16" s="272">
        <v>454089</v>
      </c>
      <c r="BN16" s="272">
        <v>8106372</v>
      </c>
      <c r="BO16" s="455">
        <f t="shared" si="5"/>
        <v>8106372</v>
      </c>
      <c r="BP16" s="455">
        <f t="shared" si="6"/>
        <v>0</v>
      </c>
      <c r="BQ16" s="272"/>
      <c r="BR16" s="272"/>
      <c r="BS16" s="272"/>
      <c r="BT16" s="272">
        <v>0</v>
      </c>
      <c r="BU16" s="272">
        <v>80158284</v>
      </c>
      <c r="BV16" s="272"/>
      <c r="BW16" s="272">
        <v>20237912</v>
      </c>
      <c r="BX16" s="272">
        <v>15237605</v>
      </c>
      <c r="BY16" s="272">
        <v>1180017</v>
      </c>
      <c r="BZ16" s="272">
        <v>675465</v>
      </c>
      <c r="CA16" s="272">
        <v>11557462</v>
      </c>
      <c r="CB16" s="272">
        <v>855216</v>
      </c>
      <c r="CC16" s="272">
        <v>1415064</v>
      </c>
      <c r="CD16" s="272">
        <v>2011089</v>
      </c>
      <c r="CE16" s="272">
        <v>5044477</v>
      </c>
      <c r="CF16" s="272">
        <v>1945126</v>
      </c>
      <c r="CG16" s="272">
        <v>285560</v>
      </c>
      <c r="CH16" s="272">
        <v>6898492</v>
      </c>
      <c r="CI16" s="272">
        <v>3890836</v>
      </c>
      <c r="CJ16" s="455">
        <f t="shared" si="7"/>
        <v>3007656</v>
      </c>
      <c r="CK16" s="272">
        <v>8197241</v>
      </c>
      <c r="CL16" s="272">
        <v>4670437</v>
      </c>
      <c r="CM16" s="272">
        <v>623252</v>
      </c>
      <c r="CN16" s="272">
        <v>1850004</v>
      </c>
      <c r="CO16" s="272">
        <v>635919</v>
      </c>
      <c r="CP16" s="272">
        <v>3386862</v>
      </c>
      <c r="CQ16" s="272">
        <v>61343</v>
      </c>
      <c r="CR16" s="272">
        <v>793983</v>
      </c>
      <c r="CS16" s="272">
        <v>371391</v>
      </c>
      <c r="CT16" s="455">
        <f t="shared" si="8"/>
        <v>1380130</v>
      </c>
      <c r="CU16" s="272">
        <v>1374784</v>
      </c>
      <c r="CV16" s="272">
        <v>5346</v>
      </c>
      <c r="CW16" s="455">
        <f t="shared" si="9"/>
        <v>1284630</v>
      </c>
      <c r="CX16" s="272">
        <v>1279284</v>
      </c>
      <c r="CY16" s="272">
        <v>5346</v>
      </c>
      <c r="CZ16" s="455">
        <f t="shared" si="10"/>
        <v>0</v>
      </c>
      <c r="DA16" s="272">
        <v>0</v>
      </c>
      <c r="DB16" s="272">
        <v>0</v>
      </c>
      <c r="DC16" s="272">
        <v>18978137</v>
      </c>
      <c r="DD16" s="272">
        <v>3402332</v>
      </c>
      <c r="DE16" s="272">
        <v>15516242</v>
      </c>
      <c r="DF16" s="272">
        <v>0</v>
      </c>
      <c r="DG16" s="272">
        <v>59563</v>
      </c>
      <c r="DH16" s="272">
        <v>0</v>
      </c>
      <c r="DI16" s="272">
        <v>2282486</v>
      </c>
      <c r="DJ16" s="272">
        <v>226219</v>
      </c>
      <c r="DK16" s="272">
        <v>0</v>
      </c>
      <c r="DL16" s="272">
        <v>2056267</v>
      </c>
      <c r="DM16" s="272">
        <v>32420</v>
      </c>
      <c r="DN16" s="272">
        <v>0</v>
      </c>
      <c r="DO16" s="272">
        <v>0</v>
      </c>
      <c r="DP16" s="272">
        <v>0</v>
      </c>
      <c r="DQ16" s="272">
        <v>2592386</v>
      </c>
      <c r="DR16" s="272">
        <v>0</v>
      </c>
      <c r="DS16" s="272">
        <v>0</v>
      </c>
      <c r="DT16" s="272">
        <v>5115764</v>
      </c>
      <c r="DU16" s="272">
        <v>3231218</v>
      </c>
      <c r="DV16" s="455">
        <f t="shared" si="11"/>
        <v>0</v>
      </c>
      <c r="DW16" s="272">
        <v>0</v>
      </c>
      <c r="DX16" s="272">
        <v>0</v>
      </c>
      <c r="DY16" s="457" t="s">
        <v>646</v>
      </c>
      <c r="DZ16" s="272">
        <v>1119471</v>
      </c>
      <c r="EA16" s="272">
        <v>757075</v>
      </c>
      <c r="EB16" s="272"/>
      <c r="EC16" s="272">
        <v>0</v>
      </c>
      <c r="ED16" s="272">
        <v>79915081</v>
      </c>
      <c r="EF16" s="272">
        <v>243203</v>
      </c>
      <c r="EG16" s="272">
        <v>55592</v>
      </c>
      <c r="EH16" s="272">
        <v>187611</v>
      </c>
      <c r="EI16" s="272">
        <v>-33250</v>
      </c>
      <c r="EJ16" s="272">
        <v>-7031</v>
      </c>
      <c r="EL16" s="272"/>
      <c r="EM16" s="272">
        <v>269444</v>
      </c>
      <c r="EN16" s="272">
        <v>200371</v>
      </c>
      <c r="EO16" s="272">
        <v>77930</v>
      </c>
      <c r="EP16" s="455">
        <f t="shared" si="12"/>
        <v>1484027</v>
      </c>
      <c r="EQ16" s="272">
        <v>49745758</v>
      </c>
      <c r="ER16" s="272">
        <v>-1653754</v>
      </c>
      <c r="ES16" s="272">
        <v>18453353</v>
      </c>
      <c r="ET16" s="272">
        <v>13688579</v>
      </c>
      <c r="EU16" s="272">
        <v>2729071</v>
      </c>
      <c r="EV16" s="272">
        <v>6621888</v>
      </c>
      <c r="EW16" s="455">
        <f t="shared" si="13"/>
        <v>7104701</v>
      </c>
      <c r="EX16" s="272">
        <v>7104701</v>
      </c>
      <c r="EY16" s="272">
        <v>190088</v>
      </c>
      <c r="EZ16" s="272">
        <v>6914613</v>
      </c>
      <c r="FA16" s="272">
        <v>0</v>
      </c>
      <c r="FB16" s="272"/>
      <c r="FC16" s="272">
        <v>6625683</v>
      </c>
      <c r="FD16" s="272">
        <v>2930592</v>
      </c>
      <c r="FE16" s="272">
        <v>61343</v>
      </c>
      <c r="FF16" s="272">
        <v>4882911</v>
      </c>
      <c r="FG16" s="455">
        <f t="shared" si="14"/>
        <v>1808110</v>
      </c>
      <c r="FH16" s="272">
        <v>51156309</v>
      </c>
      <c r="FI16" s="384">
        <f t="shared" si="15"/>
        <v>0.4</v>
      </c>
      <c r="FJ16" s="272">
        <v>44001135</v>
      </c>
      <c r="FK16" s="272"/>
      <c r="FL16" s="272">
        <v>32479759</v>
      </c>
      <c r="FM16" s="272">
        <v>33411112</v>
      </c>
      <c r="FN16" s="460">
        <v>1.008</v>
      </c>
      <c r="FO16" s="388">
        <v>84.6</v>
      </c>
      <c r="FP16" s="388">
        <v>39.4</v>
      </c>
      <c r="FQ16" s="388">
        <v>6</v>
      </c>
      <c r="FR16" s="388">
        <v>14.6</v>
      </c>
      <c r="FS16" s="388">
        <v>13.5</v>
      </c>
      <c r="FT16" s="388">
        <v>3.3</v>
      </c>
      <c r="FU16" s="388">
        <v>6.4</v>
      </c>
      <c r="FV16" s="388">
        <v>12.9</v>
      </c>
      <c r="FW16" s="272">
        <v>55171974</v>
      </c>
      <c r="FX16" s="384">
        <f t="shared" si="16"/>
        <v>125.4</v>
      </c>
      <c r="FY16" s="272">
        <v>15860716</v>
      </c>
      <c r="FZ16" s="272">
        <v>3050995</v>
      </c>
      <c r="GA16" s="272"/>
      <c r="GB16" s="272">
        <v>12809721</v>
      </c>
      <c r="GC16" s="272"/>
      <c r="GD16" s="272">
        <v>35737808</v>
      </c>
      <c r="GE16" s="384">
        <f t="shared" si="17"/>
        <v>81.2</v>
      </c>
      <c r="GF16" s="388">
        <v>98</v>
      </c>
      <c r="GG16" s="388">
        <v>38.299999999999997</v>
      </c>
      <c r="GH16" s="388">
        <v>97</v>
      </c>
      <c r="GI16" s="272">
        <v>2000</v>
      </c>
    </row>
    <row r="17" spans="2:191" x14ac:dyDescent="0.15">
      <c r="B17" s="89" t="s">
        <v>27</v>
      </c>
      <c r="C17" s="272">
        <v>15538618</v>
      </c>
      <c r="D17" s="455">
        <f t="shared" si="0"/>
        <v>6299004</v>
      </c>
      <c r="E17" s="272">
        <v>60661</v>
      </c>
      <c r="F17" s="272">
        <v>6238343</v>
      </c>
      <c r="G17" s="455">
        <f t="shared" si="1"/>
        <v>1761558</v>
      </c>
      <c r="H17" s="272">
        <v>281029</v>
      </c>
      <c r="I17" s="272">
        <v>1480529</v>
      </c>
      <c r="J17" s="272">
        <v>5838010</v>
      </c>
      <c r="K17" s="272">
        <v>3043052</v>
      </c>
      <c r="L17" s="272">
        <v>1540042</v>
      </c>
      <c r="M17" s="272">
        <v>1175016</v>
      </c>
      <c r="N17" s="272">
        <v>438855</v>
      </c>
      <c r="O17" s="272">
        <v>1001759</v>
      </c>
      <c r="P17" s="272">
        <v>690827</v>
      </c>
      <c r="Q17" s="272">
        <v>310932</v>
      </c>
      <c r="R17" s="272">
        <v>547924</v>
      </c>
      <c r="S17" s="272">
        <v>391468</v>
      </c>
      <c r="T17" s="455">
        <f t="shared" si="2"/>
        <v>604408</v>
      </c>
      <c r="U17" s="272">
        <v>287852</v>
      </c>
      <c r="V17" s="272"/>
      <c r="W17" s="272"/>
      <c r="X17" s="272"/>
      <c r="Y17" s="272">
        <v>82432</v>
      </c>
      <c r="Z17" s="272">
        <v>8431</v>
      </c>
      <c r="AA17" s="272">
        <v>225693</v>
      </c>
      <c r="AB17" s="272"/>
      <c r="AC17" s="272">
        <v>1071977</v>
      </c>
      <c r="AD17" s="272">
        <v>378996</v>
      </c>
      <c r="AE17" s="272">
        <v>692981</v>
      </c>
      <c r="AF17" s="272">
        <v>22537</v>
      </c>
      <c r="AG17" s="272">
        <v>246827</v>
      </c>
      <c r="AH17" s="455">
        <f t="shared" si="3"/>
        <v>648697</v>
      </c>
      <c r="AI17" s="272">
        <v>584854</v>
      </c>
      <c r="AJ17" s="272">
        <v>63843</v>
      </c>
      <c r="AK17" s="272">
        <v>2188412</v>
      </c>
      <c r="AL17" s="455">
        <f t="shared" si="4"/>
        <v>1204533</v>
      </c>
      <c r="AM17" s="272">
        <v>765750</v>
      </c>
      <c r="AN17" s="272">
        <v>345145</v>
      </c>
      <c r="AO17" s="272">
        <v>0</v>
      </c>
      <c r="AP17" s="272">
        <v>93638</v>
      </c>
      <c r="AQ17" s="272">
        <v>418914</v>
      </c>
      <c r="AR17" s="272">
        <v>0</v>
      </c>
      <c r="AS17" s="272">
        <v>0</v>
      </c>
      <c r="AT17" s="272">
        <v>5852439</v>
      </c>
      <c r="AU17" s="272">
        <v>1016834</v>
      </c>
      <c r="AV17" s="272">
        <v>172572</v>
      </c>
      <c r="AW17" s="272">
        <v>192105</v>
      </c>
      <c r="AX17" s="272">
        <v>4835605</v>
      </c>
      <c r="AY17" s="272">
        <v>3940775</v>
      </c>
      <c r="AZ17" s="272">
        <v>1155253</v>
      </c>
      <c r="BA17" s="272">
        <v>773316</v>
      </c>
      <c r="BB17" s="272">
        <v>383278</v>
      </c>
      <c r="BC17" s="272">
        <v>1874301</v>
      </c>
      <c r="BD17" s="272">
        <v>0</v>
      </c>
      <c r="BE17" s="272">
        <v>0</v>
      </c>
      <c r="BF17" s="272">
        <v>1874301</v>
      </c>
      <c r="BG17" s="272">
        <v>0</v>
      </c>
      <c r="BH17" s="272">
        <v>218975</v>
      </c>
      <c r="BI17" s="272">
        <v>189926</v>
      </c>
      <c r="BJ17" s="272">
        <v>1609182</v>
      </c>
      <c r="BK17" s="272">
        <v>86229</v>
      </c>
      <c r="BL17" s="272">
        <v>0</v>
      </c>
      <c r="BM17" s="272">
        <v>333493</v>
      </c>
      <c r="BN17" s="272">
        <v>5158300</v>
      </c>
      <c r="BO17" s="455">
        <f t="shared" si="5"/>
        <v>5158300</v>
      </c>
      <c r="BP17" s="455">
        <f t="shared" si="6"/>
        <v>0</v>
      </c>
      <c r="BQ17" s="272"/>
      <c r="BR17" s="272"/>
      <c r="BS17" s="272"/>
      <c r="BT17" s="272">
        <v>0</v>
      </c>
      <c r="BU17" s="272">
        <v>37121128</v>
      </c>
      <c r="BV17" s="272"/>
      <c r="BW17" s="272">
        <v>8357767</v>
      </c>
      <c r="BX17" s="272">
        <v>6209825</v>
      </c>
      <c r="BY17" s="272">
        <v>359335</v>
      </c>
      <c r="BZ17" s="272">
        <v>398544</v>
      </c>
      <c r="CA17" s="272">
        <v>3111148</v>
      </c>
      <c r="CB17" s="272">
        <v>279745</v>
      </c>
      <c r="CC17" s="272">
        <v>706364</v>
      </c>
      <c r="CD17" s="272">
        <v>1076032</v>
      </c>
      <c r="CE17" s="272">
        <v>1002928</v>
      </c>
      <c r="CF17" s="272">
        <v>6494</v>
      </c>
      <c r="CG17" s="272">
        <v>39585</v>
      </c>
      <c r="CH17" s="272">
        <v>2370269</v>
      </c>
      <c r="CI17" s="272">
        <v>1353837</v>
      </c>
      <c r="CJ17" s="455">
        <f t="shared" si="7"/>
        <v>1016432</v>
      </c>
      <c r="CK17" s="272">
        <v>2122707</v>
      </c>
      <c r="CL17" s="272">
        <v>875532</v>
      </c>
      <c r="CM17" s="272">
        <v>45769</v>
      </c>
      <c r="CN17" s="272">
        <v>675232</v>
      </c>
      <c r="CO17" s="272">
        <v>159142</v>
      </c>
      <c r="CP17" s="272">
        <v>3372633</v>
      </c>
      <c r="CQ17" s="272">
        <v>1186866</v>
      </c>
      <c r="CR17" s="272">
        <v>1082864</v>
      </c>
      <c r="CS17" s="272">
        <v>978892</v>
      </c>
      <c r="CT17" s="455">
        <f t="shared" si="8"/>
        <v>659471</v>
      </c>
      <c r="CU17" s="272">
        <v>659471</v>
      </c>
      <c r="CV17" s="272">
        <v>0</v>
      </c>
      <c r="CW17" s="455">
        <f t="shared" si="9"/>
        <v>639139</v>
      </c>
      <c r="CX17" s="272">
        <v>639139</v>
      </c>
      <c r="CY17" s="272">
        <v>0</v>
      </c>
      <c r="CZ17" s="455">
        <f t="shared" si="10"/>
        <v>0</v>
      </c>
      <c r="DA17" s="272">
        <v>0</v>
      </c>
      <c r="DB17" s="272">
        <v>0</v>
      </c>
      <c r="DC17" s="272">
        <v>14397758</v>
      </c>
      <c r="DD17" s="272">
        <v>1036030</v>
      </c>
      <c r="DE17" s="272">
        <v>10207945</v>
      </c>
      <c r="DF17" s="272">
        <v>707202</v>
      </c>
      <c r="DG17" s="272">
        <v>2446581</v>
      </c>
      <c r="DH17" s="272">
        <v>0</v>
      </c>
      <c r="DI17" s="272">
        <v>1398912</v>
      </c>
      <c r="DJ17" s="272">
        <v>247356</v>
      </c>
      <c r="DK17" s="272">
        <v>53574</v>
      </c>
      <c r="DL17" s="272">
        <v>1097982</v>
      </c>
      <c r="DM17" s="272">
        <v>1580</v>
      </c>
      <c r="DN17" s="272">
        <v>0</v>
      </c>
      <c r="DO17" s="272">
        <v>0</v>
      </c>
      <c r="DP17" s="272">
        <v>0</v>
      </c>
      <c r="DQ17" s="272">
        <v>172683</v>
      </c>
      <c r="DR17" s="272">
        <v>92000</v>
      </c>
      <c r="DS17" s="272">
        <v>92000</v>
      </c>
      <c r="DT17" s="272">
        <v>1506938</v>
      </c>
      <c r="DU17" s="272">
        <v>632500</v>
      </c>
      <c r="DV17" s="455">
        <f t="shared" si="11"/>
        <v>0</v>
      </c>
      <c r="DW17" s="272">
        <v>0</v>
      </c>
      <c r="DX17" s="272">
        <v>0</v>
      </c>
      <c r="DY17" s="457" t="s">
        <v>646</v>
      </c>
      <c r="DZ17" s="272">
        <v>512078</v>
      </c>
      <c r="EA17" s="272">
        <v>343515</v>
      </c>
      <c r="EB17" s="272"/>
      <c r="EC17" s="272">
        <v>0</v>
      </c>
      <c r="ED17" s="272">
        <v>36971537</v>
      </c>
      <c r="EF17" s="272">
        <v>149591</v>
      </c>
      <c r="EG17" s="272">
        <v>23688</v>
      </c>
      <c r="EH17" s="272">
        <v>125903</v>
      </c>
      <c r="EI17" s="272">
        <v>-64023</v>
      </c>
      <c r="EJ17" s="272">
        <v>183333</v>
      </c>
      <c r="EL17" s="272"/>
      <c r="EM17" s="272">
        <v>89304</v>
      </c>
      <c r="EN17" s="272">
        <v>0</v>
      </c>
      <c r="EO17" s="272">
        <v>2088</v>
      </c>
      <c r="EP17" s="455">
        <f t="shared" si="12"/>
        <v>1407562</v>
      </c>
      <c r="EQ17" s="272">
        <v>17785464</v>
      </c>
      <c r="ER17" s="272">
        <v>-1387113</v>
      </c>
      <c r="ES17" s="272">
        <v>7523403</v>
      </c>
      <c r="ET17" s="272">
        <v>5437914</v>
      </c>
      <c r="EU17" s="272">
        <v>1049380</v>
      </c>
      <c r="EV17" s="272">
        <v>2274444</v>
      </c>
      <c r="EW17" s="455">
        <f t="shared" si="13"/>
        <v>1972395</v>
      </c>
      <c r="EX17" s="272">
        <v>1972395</v>
      </c>
      <c r="EY17" s="272">
        <v>91548</v>
      </c>
      <c r="EZ17" s="272">
        <v>1676289</v>
      </c>
      <c r="FA17" s="272">
        <v>0</v>
      </c>
      <c r="FB17" s="272"/>
      <c r="FC17" s="272">
        <v>1587565</v>
      </c>
      <c r="FD17" s="272">
        <v>2619705</v>
      </c>
      <c r="FE17" s="272">
        <v>1186866</v>
      </c>
      <c r="FF17" s="272">
        <v>954099</v>
      </c>
      <c r="FG17" s="455">
        <f t="shared" si="14"/>
        <v>1041995</v>
      </c>
      <c r="FH17" s="272">
        <v>19022986</v>
      </c>
      <c r="FI17" s="384">
        <f t="shared" si="15"/>
        <v>0.8</v>
      </c>
      <c r="FJ17" s="272">
        <v>15414756</v>
      </c>
      <c r="FK17" s="272"/>
      <c r="FL17" s="272">
        <v>11322787</v>
      </c>
      <c r="FM17" s="272">
        <v>11738259</v>
      </c>
      <c r="FN17" s="460">
        <v>0.94499999999999995</v>
      </c>
      <c r="FO17" s="388">
        <v>90.6</v>
      </c>
      <c r="FP17" s="388">
        <v>45.5</v>
      </c>
      <c r="FQ17" s="388">
        <v>6.5</v>
      </c>
      <c r="FR17" s="388">
        <v>14</v>
      </c>
      <c r="FS17" s="388">
        <v>9.1999999999999993</v>
      </c>
      <c r="FT17" s="388">
        <v>11.3</v>
      </c>
      <c r="FU17" s="388">
        <v>3.2</v>
      </c>
      <c r="FV17" s="388">
        <v>12.5</v>
      </c>
      <c r="FW17" s="272">
        <v>22178653</v>
      </c>
      <c r="FX17" s="384">
        <f t="shared" si="16"/>
        <v>143.9</v>
      </c>
      <c r="FY17" s="272">
        <v>8108876</v>
      </c>
      <c r="FZ17" s="272">
        <v>391356</v>
      </c>
      <c r="GA17" s="272">
        <v>1347404</v>
      </c>
      <c r="GB17" s="272">
        <v>6370116</v>
      </c>
      <c r="GC17" s="272"/>
      <c r="GD17" s="272">
        <v>10100466</v>
      </c>
      <c r="GE17" s="384">
        <f t="shared" si="17"/>
        <v>65.5</v>
      </c>
      <c r="GF17" s="388">
        <v>97.1</v>
      </c>
      <c r="GG17" s="388">
        <v>20.3</v>
      </c>
      <c r="GH17" s="388">
        <v>92.1</v>
      </c>
      <c r="GI17" s="272">
        <v>938</v>
      </c>
    </row>
    <row r="18" spans="2:191" x14ac:dyDescent="0.15">
      <c r="B18" s="89" t="s">
        <v>29</v>
      </c>
      <c r="C18" s="272">
        <v>14688411</v>
      </c>
      <c r="D18" s="455">
        <f t="shared" si="0"/>
        <v>7390697</v>
      </c>
      <c r="E18" s="272">
        <v>76859</v>
      </c>
      <c r="F18" s="272">
        <v>7313838</v>
      </c>
      <c r="G18" s="455">
        <f t="shared" si="1"/>
        <v>756108</v>
      </c>
      <c r="H18" s="272">
        <v>140176</v>
      </c>
      <c r="I18" s="272">
        <v>615932</v>
      </c>
      <c r="J18" s="272">
        <v>4863546</v>
      </c>
      <c r="K18" s="272">
        <v>2272855</v>
      </c>
      <c r="L18" s="272">
        <v>1911105</v>
      </c>
      <c r="M18" s="272">
        <v>653012</v>
      </c>
      <c r="N18" s="272">
        <v>410426</v>
      </c>
      <c r="O18" s="272">
        <v>1125901</v>
      </c>
      <c r="P18" s="272">
        <v>740643</v>
      </c>
      <c r="Q18" s="272">
        <v>385258</v>
      </c>
      <c r="R18" s="272">
        <v>608119</v>
      </c>
      <c r="S18" s="272">
        <v>405425</v>
      </c>
      <c r="T18" s="455">
        <f t="shared" si="2"/>
        <v>813216</v>
      </c>
      <c r="U18" s="272">
        <v>406054</v>
      </c>
      <c r="V18" s="272"/>
      <c r="W18" s="272"/>
      <c r="X18" s="272"/>
      <c r="Y18" s="272">
        <v>100174</v>
      </c>
      <c r="Z18" s="272">
        <v>3941</v>
      </c>
      <c r="AA18" s="272">
        <v>303047</v>
      </c>
      <c r="AB18" s="272"/>
      <c r="AC18" s="272">
        <v>4028194</v>
      </c>
      <c r="AD18" s="272">
        <v>3726293</v>
      </c>
      <c r="AE18" s="272">
        <v>301901</v>
      </c>
      <c r="AF18" s="272">
        <v>25049</v>
      </c>
      <c r="AG18" s="272">
        <v>265330</v>
      </c>
      <c r="AH18" s="455">
        <f t="shared" si="3"/>
        <v>5197084</v>
      </c>
      <c r="AI18" s="272">
        <v>4897137</v>
      </c>
      <c r="AJ18" s="272">
        <v>299947</v>
      </c>
      <c r="AK18" s="272">
        <v>3444771</v>
      </c>
      <c r="AL18" s="455">
        <f t="shared" si="4"/>
        <v>1287707</v>
      </c>
      <c r="AM18" s="272">
        <v>963952</v>
      </c>
      <c r="AN18" s="272">
        <v>184120</v>
      </c>
      <c r="AO18" s="272">
        <v>0</v>
      </c>
      <c r="AP18" s="272">
        <v>139635</v>
      </c>
      <c r="AQ18" s="272">
        <v>1417201</v>
      </c>
      <c r="AR18" s="272">
        <v>0</v>
      </c>
      <c r="AS18" s="272">
        <v>0</v>
      </c>
      <c r="AT18" s="272">
        <v>1518632</v>
      </c>
      <c r="AU18" s="272">
        <v>557406</v>
      </c>
      <c r="AV18" s="272">
        <v>118276</v>
      </c>
      <c r="AW18" s="272">
        <v>257117</v>
      </c>
      <c r="AX18" s="272">
        <v>961226</v>
      </c>
      <c r="AY18" s="272">
        <v>296177</v>
      </c>
      <c r="AZ18" s="272">
        <v>686020</v>
      </c>
      <c r="BA18" s="272">
        <v>0</v>
      </c>
      <c r="BB18" s="272">
        <v>295190</v>
      </c>
      <c r="BC18" s="272">
        <v>3443723</v>
      </c>
      <c r="BD18" s="272">
        <v>557681</v>
      </c>
      <c r="BE18" s="272">
        <v>0</v>
      </c>
      <c r="BF18" s="272">
        <v>2885734</v>
      </c>
      <c r="BG18" s="272">
        <v>0</v>
      </c>
      <c r="BH18" s="272">
        <v>898649</v>
      </c>
      <c r="BI18" s="272">
        <v>405026</v>
      </c>
      <c r="BJ18" s="272">
        <v>1130692</v>
      </c>
      <c r="BK18" s="272">
        <v>573556</v>
      </c>
      <c r="BL18" s="272">
        <v>0</v>
      </c>
      <c r="BM18" s="272">
        <v>280101</v>
      </c>
      <c r="BN18" s="272">
        <v>2945252</v>
      </c>
      <c r="BO18" s="455">
        <f t="shared" si="5"/>
        <v>2945252</v>
      </c>
      <c r="BP18" s="455">
        <f t="shared" si="6"/>
        <v>0</v>
      </c>
      <c r="BQ18" s="272"/>
      <c r="BR18" s="272"/>
      <c r="BS18" s="272"/>
      <c r="BT18" s="272">
        <v>0</v>
      </c>
      <c r="BU18" s="272">
        <v>39988332</v>
      </c>
      <c r="BV18" s="272"/>
      <c r="BW18" s="272">
        <v>7013118</v>
      </c>
      <c r="BX18" s="272">
        <v>5416793</v>
      </c>
      <c r="BY18" s="272">
        <v>274210</v>
      </c>
      <c r="BZ18" s="272">
        <v>40589</v>
      </c>
      <c r="CA18" s="272">
        <v>3088394</v>
      </c>
      <c r="CB18" s="272">
        <v>399351</v>
      </c>
      <c r="CC18" s="272">
        <v>599793</v>
      </c>
      <c r="CD18" s="272">
        <v>788236</v>
      </c>
      <c r="CE18" s="272">
        <v>1238111</v>
      </c>
      <c r="CF18" s="272">
        <v>0</v>
      </c>
      <c r="CG18" s="272">
        <v>62903</v>
      </c>
      <c r="CH18" s="272">
        <v>2740611</v>
      </c>
      <c r="CI18" s="272">
        <v>1348692</v>
      </c>
      <c r="CJ18" s="455">
        <f t="shared" si="7"/>
        <v>1391919</v>
      </c>
      <c r="CK18" s="272">
        <v>8579092</v>
      </c>
      <c r="CL18" s="272">
        <v>6822385</v>
      </c>
      <c r="CM18" s="272">
        <v>388831</v>
      </c>
      <c r="CN18" s="272">
        <v>800325</v>
      </c>
      <c r="CO18" s="272">
        <v>424365</v>
      </c>
      <c r="CP18" s="272">
        <v>1814854</v>
      </c>
      <c r="CQ18" s="272">
        <v>752946</v>
      </c>
      <c r="CR18" s="272">
        <v>638948</v>
      </c>
      <c r="CS18" s="272">
        <v>524647</v>
      </c>
      <c r="CT18" s="455">
        <f t="shared" si="8"/>
        <v>2142</v>
      </c>
      <c r="CU18" s="272">
        <v>2142</v>
      </c>
      <c r="CV18" s="272">
        <v>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10375081</v>
      </c>
      <c r="DD18" s="272">
        <v>3324323</v>
      </c>
      <c r="DE18" s="272">
        <v>6999086</v>
      </c>
      <c r="DF18" s="272">
        <v>51672</v>
      </c>
      <c r="DG18" s="272">
        <v>0</v>
      </c>
      <c r="DH18" s="272">
        <v>2639</v>
      </c>
      <c r="DI18" s="272">
        <v>1978999</v>
      </c>
      <c r="DJ18" s="272">
        <v>677528</v>
      </c>
      <c r="DK18" s="272">
        <v>0</v>
      </c>
      <c r="DL18" s="272">
        <v>1301471</v>
      </c>
      <c r="DM18" s="272">
        <v>101910</v>
      </c>
      <c r="DN18" s="272">
        <v>0</v>
      </c>
      <c r="DO18" s="272">
        <v>0</v>
      </c>
      <c r="DP18" s="272">
        <v>0</v>
      </c>
      <c r="DQ18" s="272">
        <v>541270</v>
      </c>
      <c r="DR18" s="272">
        <v>0</v>
      </c>
      <c r="DS18" s="272">
        <v>0</v>
      </c>
      <c r="DT18" s="272">
        <v>2493782</v>
      </c>
      <c r="DU18" s="272">
        <v>899500</v>
      </c>
      <c r="DV18" s="455">
        <f t="shared" si="11"/>
        <v>0</v>
      </c>
      <c r="DW18" s="272">
        <v>0</v>
      </c>
      <c r="DX18" s="272">
        <v>0</v>
      </c>
      <c r="DY18" s="457" t="s">
        <v>646</v>
      </c>
      <c r="DZ18" s="272">
        <v>716759</v>
      </c>
      <c r="EA18" s="272">
        <v>256840</v>
      </c>
      <c r="EB18" s="272"/>
      <c r="EC18" s="272">
        <v>0</v>
      </c>
      <c r="ED18" s="272">
        <v>39154115</v>
      </c>
      <c r="EF18" s="272">
        <v>834217</v>
      </c>
      <c r="EG18" s="272">
        <v>421275</v>
      </c>
      <c r="EH18" s="272">
        <v>412942</v>
      </c>
      <c r="EI18" s="272">
        <v>7916</v>
      </c>
      <c r="EJ18" s="272">
        <v>127763</v>
      </c>
      <c r="EL18" s="272"/>
      <c r="EM18" s="272">
        <v>115931</v>
      </c>
      <c r="EN18" s="272">
        <v>557989</v>
      </c>
      <c r="EO18" s="272">
        <v>1808</v>
      </c>
      <c r="EP18" s="455">
        <f t="shared" si="12"/>
        <v>1148575</v>
      </c>
      <c r="EQ18" s="272">
        <v>20162989</v>
      </c>
      <c r="ER18" s="272">
        <v>-1683323</v>
      </c>
      <c r="ES18" s="272">
        <v>6308717</v>
      </c>
      <c r="ET18" s="272">
        <v>4721776</v>
      </c>
      <c r="EU18" s="272">
        <v>1032006</v>
      </c>
      <c r="EV18" s="272">
        <v>2660747</v>
      </c>
      <c r="EW18" s="455">
        <f t="shared" si="13"/>
        <v>2163241</v>
      </c>
      <c r="EX18" s="272">
        <v>2162634</v>
      </c>
      <c r="EY18" s="272">
        <v>929642</v>
      </c>
      <c r="EZ18" s="272">
        <v>1182676</v>
      </c>
      <c r="FA18" s="272">
        <v>607</v>
      </c>
      <c r="FB18" s="272"/>
      <c r="FC18" s="272">
        <v>3355732</v>
      </c>
      <c r="FD18" s="272">
        <v>1688538</v>
      </c>
      <c r="FE18" s="272">
        <v>752946</v>
      </c>
      <c r="FF18" s="272">
        <v>2345443</v>
      </c>
      <c r="FG18" s="455">
        <f t="shared" si="14"/>
        <v>1543994</v>
      </c>
      <c r="FH18" s="272">
        <v>21098418</v>
      </c>
      <c r="FI18" s="384">
        <f t="shared" si="15"/>
        <v>2.2000000000000002</v>
      </c>
      <c r="FJ18" s="272">
        <v>18434264</v>
      </c>
      <c r="FK18" s="272"/>
      <c r="FL18" s="272">
        <v>11086744</v>
      </c>
      <c r="FM18" s="272">
        <v>14851839</v>
      </c>
      <c r="FN18" s="460">
        <v>0.78800000000000003</v>
      </c>
      <c r="FO18" s="388">
        <v>81.7</v>
      </c>
      <c r="FP18" s="388">
        <v>32.5</v>
      </c>
      <c r="FQ18" s="388">
        <v>5.5</v>
      </c>
      <c r="FR18" s="388">
        <v>14.1</v>
      </c>
      <c r="FS18" s="388">
        <v>17.2</v>
      </c>
      <c r="FT18" s="388">
        <v>7.8</v>
      </c>
      <c r="FU18" s="388">
        <v>2.5</v>
      </c>
      <c r="FV18" s="388">
        <v>9.8000000000000007</v>
      </c>
      <c r="FW18" s="272">
        <v>25377297</v>
      </c>
      <c r="FX18" s="384">
        <f t="shared" si="16"/>
        <v>137.69999999999999</v>
      </c>
      <c r="FY18" s="272">
        <v>11029696</v>
      </c>
      <c r="FZ18" s="272">
        <v>3245281</v>
      </c>
      <c r="GA18" s="272"/>
      <c r="GB18" s="272">
        <v>7784415</v>
      </c>
      <c r="GC18" s="272"/>
      <c r="GD18" s="272">
        <v>2326411</v>
      </c>
      <c r="GE18" s="384">
        <f t="shared" si="17"/>
        <v>12.6</v>
      </c>
      <c r="GF18" s="388">
        <v>97.1</v>
      </c>
      <c r="GG18" s="388">
        <v>33.6</v>
      </c>
      <c r="GH18" s="388">
        <v>94.8</v>
      </c>
      <c r="GI18" s="272">
        <v>802</v>
      </c>
    </row>
    <row r="19" spans="2:191" x14ac:dyDescent="0.15">
      <c r="B19" s="89" t="s">
        <v>31</v>
      </c>
      <c r="C19" s="272">
        <v>32172251</v>
      </c>
      <c r="D19" s="455">
        <f t="shared" si="0"/>
        <v>15727208</v>
      </c>
      <c r="E19" s="272">
        <v>181594</v>
      </c>
      <c r="F19" s="272">
        <v>15545614</v>
      </c>
      <c r="G19" s="455">
        <f t="shared" si="1"/>
        <v>2918489</v>
      </c>
      <c r="H19" s="272">
        <v>429178</v>
      </c>
      <c r="I19" s="272">
        <v>2489311</v>
      </c>
      <c r="J19" s="272">
        <v>9642000</v>
      </c>
      <c r="K19" s="272">
        <v>4706394</v>
      </c>
      <c r="L19" s="272">
        <v>3465691</v>
      </c>
      <c r="M19" s="272">
        <v>1291561</v>
      </c>
      <c r="N19" s="272">
        <v>1198405</v>
      </c>
      <c r="O19" s="272">
        <v>2557734</v>
      </c>
      <c r="P19" s="272">
        <v>1756395</v>
      </c>
      <c r="Q19" s="272">
        <v>801339</v>
      </c>
      <c r="R19" s="272">
        <v>1350434</v>
      </c>
      <c r="S19" s="272">
        <v>971668</v>
      </c>
      <c r="T19" s="455">
        <f t="shared" si="2"/>
        <v>1441530</v>
      </c>
      <c r="U19" s="272">
        <v>869125</v>
      </c>
      <c r="V19" s="272"/>
      <c r="W19" s="272"/>
      <c r="X19" s="272"/>
      <c r="Y19" s="272">
        <v>0</v>
      </c>
      <c r="Z19" s="272">
        <v>5233</v>
      </c>
      <c r="AA19" s="272">
        <v>567172</v>
      </c>
      <c r="AB19" s="272"/>
      <c r="AC19" s="272">
        <v>7701352</v>
      </c>
      <c r="AD19" s="272">
        <v>7200932</v>
      </c>
      <c r="AE19" s="272">
        <v>500420</v>
      </c>
      <c r="AF19" s="272">
        <v>48743</v>
      </c>
      <c r="AG19" s="272">
        <v>568128</v>
      </c>
      <c r="AH19" s="455">
        <f t="shared" si="3"/>
        <v>1259625</v>
      </c>
      <c r="AI19" s="272">
        <v>783188</v>
      </c>
      <c r="AJ19" s="272">
        <v>476437</v>
      </c>
      <c r="AK19" s="272">
        <v>6546983</v>
      </c>
      <c r="AL19" s="455">
        <f t="shared" si="4"/>
        <v>3196030</v>
      </c>
      <c r="AM19" s="272">
        <v>2107957</v>
      </c>
      <c r="AN19" s="272">
        <v>741807</v>
      </c>
      <c r="AO19" s="272">
        <v>0</v>
      </c>
      <c r="AP19" s="272">
        <v>346266</v>
      </c>
      <c r="AQ19" s="272">
        <v>2121073</v>
      </c>
      <c r="AR19" s="272">
        <v>0</v>
      </c>
      <c r="AS19" s="272">
        <v>0</v>
      </c>
      <c r="AT19" s="272">
        <v>3042562</v>
      </c>
      <c r="AU19" s="272">
        <v>932985</v>
      </c>
      <c r="AV19" s="272">
        <v>491998</v>
      </c>
      <c r="AW19" s="272">
        <v>22253</v>
      </c>
      <c r="AX19" s="272">
        <v>2109577</v>
      </c>
      <c r="AY19" s="272">
        <v>504001</v>
      </c>
      <c r="AZ19" s="272">
        <v>556514</v>
      </c>
      <c r="BA19" s="272">
        <v>162179</v>
      </c>
      <c r="BB19" s="272">
        <v>544085</v>
      </c>
      <c r="BC19" s="272">
        <v>2670790</v>
      </c>
      <c r="BD19" s="272">
        <v>200000</v>
      </c>
      <c r="BE19" s="272">
        <v>275000</v>
      </c>
      <c r="BF19" s="272">
        <v>2145921</v>
      </c>
      <c r="BG19" s="272">
        <v>0</v>
      </c>
      <c r="BH19" s="272">
        <v>865524</v>
      </c>
      <c r="BI19" s="272">
        <v>848911</v>
      </c>
      <c r="BJ19" s="272">
        <v>5723839</v>
      </c>
      <c r="BK19" s="272">
        <v>4167431</v>
      </c>
      <c r="BL19" s="272">
        <v>12944</v>
      </c>
      <c r="BM19" s="272">
        <v>519966</v>
      </c>
      <c r="BN19" s="272">
        <v>8249319</v>
      </c>
      <c r="BO19" s="455">
        <f t="shared" si="5"/>
        <v>8249319</v>
      </c>
      <c r="BP19" s="455">
        <f t="shared" si="6"/>
        <v>0</v>
      </c>
      <c r="BQ19" s="272"/>
      <c r="BR19" s="272"/>
      <c r="BS19" s="272"/>
      <c r="BT19" s="272">
        <v>0</v>
      </c>
      <c r="BU19" s="272">
        <v>72741679</v>
      </c>
      <c r="BV19" s="272"/>
      <c r="BW19" s="272">
        <v>21385630</v>
      </c>
      <c r="BX19" s="272">
        <v>16564156</v>
      </c>
      <c r="BY19" s="272">
        <v>1277785</v>
      </c>
      <c r="BZ19" s="272">
        <v>255538</v>
      </c>
      <c r="CA19" s="272">
        <v>6789332</v>
      </c>
      <c r="CB19" s="272">
        <v>716231</v>
      </c>
      <c r="CC19" s="272">
        <v>1450770</v>
      </c>
      <c r="CD19" s="272">
        <v>1772987</v>
      </c>
      <c r="CE19" s="272">
        <v>2719287</v>
      </c>
      <c r="CF19" s="272">
        <v>1110</v>
      </c>
      <c r="CG19" s="272">
        <v>126779</v>
      </c>
      <c r="CH19" s="272">
        <v>7105295</v>
      </c>
      <c r="CI19" s="272">
        <v>4397146</v>
      </c>
      <c r="CJ19" s="455">
        <f t="shared" si="7"/>
        <v>2708149</v>
      </c>
      <c r="CK19" s="272">
        <v>5830354</v>
      </c>
      <c r="CL19" s="272">
        <v>2536295</v>
      </c>
      <c r="CM19" s="272">
        <v>472544</v>
      </c>
      <c r="CN19" s="272">
        <v>1812990</v>
      </c>
      <c r="CO19" s="272">
        <v>318835</v>
      </c>
      <c r="CP19" s="272">
        <v>4941833</v>
      </c>
      <c r="CQ19" s="272">
        <v>3094334</v>
      </c>
      <c r="CR19" s="272">
        <v>991066</v>
      </c>
      <c r="CS19" s="272">
        <v>901455</v>
      </c>
      <c r="CT19" s="455">
        <f t="shared" si="8"/>
        <v>3266</v>
      </c>
      <c r="CU19" s="272">
        <v>3266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13070173</v>
      </c>
      <c r="DD19" s="272">
        <v>4784251</v>
      </c>
      <c r="DE19" s="272">
        <v>8037864</v>
      </c>
      <c r="DF19" s="272">
        <v>0</v>
      </c>
      <c r="DG19" s="272">
        <v>248058</v>
      </c>
      <c r="DH19" s="272">
        <v>0</v>
      </c>
      <c r="DI19" s="272">
        <v>3827697</v>
      </c>
      <c r="DJ19" s="272">
        <v>442380</v>
      </c>
      <c r="DK19" s="272">
        <v>477605</v>
      </c>
      <c r="DL19" s="272">
        <v>2907712</v>
      </c>
      <c r="DM19" s="272">
        <v>93327</v>
      </c>
      <c r="DN19" s="272">
        <v>89227</v>
      </c>
      <c r="DO19" s="272">
        <v>89227</v>
      </c>
      <c r="DP19" s="272">
        <v>0</v>
      </c>
      <c r="DQ19" s="272">
        <v>4088828</v>
      </c>
      <c r="DR19" s="272">
        <v>0</v>
      </c>
      <c r="DS19" s="272">
        <v>0</v>
      </c>
      <c r="DT19" s="272">
        <v>4440298</v>
      </c>
      <c r="DU19" s="272">
        <v>2515469</v>
      </c>
      <c r="DV19" s="455">
        <f t="shared" si="11"/>
        <v>0</v>
      </c>
      <c r="DW19" s="272">
        <v>0</v>
      </c>
      <c r="DX19" s="272">
        <v>0</v>
      </c>
      <c r="DY19" s="457" t="s">
        <v>646</v>
      </c>
      <c r="DZ19" s="272">
        <v>1331164</v>
      </c>
      <c r="EA19" s="272">
        <v>573776</v>
      </c>
      <c r="EB19" s="272"/>
      <c r="EC19" s="272">
        <v>0</v>
      </c>
      <c r="ED19" s="272">
        <v>71891602</v>
      </c>
      <c r="EF19" s="272">
        <v>850077</v>
      </c>
      <c r="EG19" s="272">
        <v>373835</v>
      </c>
      <c r="EH19" s="272">
        <v>476242</v>
      </c>
      <c r="EI19" s="272">
        <v>-372669</v>
      </c>
      <c r="EJ19" s="272">
        <v>-130289</v>
      </c>
      <c r="EL19" s="272"/>
      <c r="EM19" s="272">
        <v>255609</v>
      </c>
      <c r="EN19" s="272">
        <v>1061445</v>
      </c>
      <c r="EO19" s="272">
        <v>57952</v>
      </c>
      <c r="EP19" s="455">
        <f t="shared" si="12"/>
        <v>3747139</v>
      </c>
      <c r="EQ19" s="272">
        <v>42714310</v>
      </c>
      <c r="ER19" s="272">
        <v>-4817793</v>
      </c>
      <c r="ES19" s="272">
        <v>19707366</v>
      </c>
      <c r="ET19" s="272">
        <v>14919700</v>
      </c>
      <c r="EU19" s="272">
        <v>1907726</v>
      </c>
      <c r="EV19" s="272">
        <v>6955188</v>
      </c>
      <c r="EW19" s="455">
        <f t="shared" si="13"/>
        <v>1467493</v>
      </c>
      <c r="EX19" s="272">
        <v>1467493</v>
      </c>
      <c r="EY19" s="272">
        <v>16130</v>
      </c>
      <c r="EZ19" s="272">
        <v>1451363</v>
      </c>
      <c r="FA19" s="272">
        <v>0</v>
      </c>
      <c r="FB19" s="272"/>
      <c r="FC19" s="272">
        <v>4270691</v>
      </c>
      <c r="FD19" s="272">
        <v>4496279</v>
      </c>
      <c r="FE19" s="272">
        <v>3094334</v>
      </c>
      <c r="FF19" s="272">
        <v>4137463</v>
      </c>
      <c r="FG19" s="455">
        <f t="shared" si="14"/>
        <v>3751778</v>
      </c>
      <c r="FH19" s="272">
        <v>46693984</v>
      </c>
      <c r="FI19" s="384">
        <f t="shared" si="15"/>
        <v>1.2</v>
      </c>
      <c r="FJ19" s="272">
        <v>38755978</v>
      </c>
      <c r="FK19" s="272"/>
      <c r="FL19" s="272">
        <v>23772424</v>
      </c>
      <c r="FM19" s="272">
        <v>31023570</v>
      </c>
      <c r="FN19" s="460">
        <v>0.79900000000000004</v>
      </c>
      <c r="FO19" s="388">
        <v>94.4</v>
      </c>
      <c r="FP19" s="388">
        <v>48.7</v>
      </c>
      <c r="FQ19" s="388">
        <v>4.8</v>
      </c>
      <c r="FR19" s="388">
        <v>14.3</v>
      </c>
      <c r="FS19" s="388">
        <v>9.8000000000000007</v>
      </c>
      <c r="FT19" s="388">
        <v>10.4</v>
      </c>
      <c r="FU19" s="388">
        <v>5.6</v>
      </c>
      <c r="FV19" s="388">
        <v>11.4</v>
      </c>
      <c r="FW19" s="272">
        <v>47775379</v>
      </c>
      <c r="FX19" s="384">
        <f t="shared" si="16"/>
        <v>123.3</v>
      </c>
      <c r="FY19" s="272">
        <v>10761640</v>
      </c>
      <c r="FZ19" s="272">
        <v>622380</v>
      </c>
      <c r="GA19" s="272">
        <v>1803677</v>
      </c>
      <c r="GB19" s="272">
        <v>8335583</v>
      </c>
      <c r="GC19" s="272"/>
      <c r="GD19" s="272">
        <v>10554915</v>
      </c>
      <c r="GE19" s="384">
        <f t="shared" si="17"/>
        <v>27.2</v>
      </c>
      <c r="GF19" s="388">
        <v>96.8</v>
      </c>
      <c r="GG19" s="388">
        <v>22.6</v>
      </c>
      <c r="GH19" s="388">
        <v>92</v>
      </c>
      <c r="GI19" s="272">
        <v>2231</v>
      </c>
    </row>
    <row r="20" spans="2:191" x14ac:dyDescent="0.15">
      <c r="B20" s="89" t="s">
        <v>33</v>
      </c>
      <c r="C20" s="272">
        <v>15783521</v>
      </c>
      <c r="D20" s="455">
        <f t="shared" si="0"/>
        <v>8470941</v>
      </c>
      <c r="E20" s="272">
        <v>74353</v>
      </c>
      <c r="F20" s="272">
        <v>8396588</v>
      </c>
      <c r="G20" s="455">
        <f t="shared" si="1"/>
        <v>791216</v>
      </c>
      <c r="H20" s="272">
        <v>140722</v>
      </c>
      <c r="I20" s="272">
        <v>650494</v>
      </c>
      <c r="J20" s="272">
        <v>4799424</v>
      </c>
      <c r="K20" s="272">
        <v>2009360</v>
      </c>
      <c r="L20" s="272">
        <v>2089298</v>
      </c>
      <c r="M20" s="272">
        <v>677217</v>
      </c>
      <c r="N20" s="272">
        <v>343541</v>
      </c>
      <c r="O20" s="272">
        <v>1219563</v>
      </c>
      <c r="P20" s="272">
        <v>757989</v>
      </c>
      <c r="Q20" s="272">
        <v>461574</v>
      </c>
      <c r="R20" s="272">
        <v>589638</v>
      </c>
      <c r="S20" s="272">
        <v>363786</v>
      </c>
      <c r="T20" s="455">
        <f t="shared" si="2"/>
        <v>814653</v>
      </c>
      <c r="U20" s="272">
        <v>444812</v>
      </c>
      <c r="V20" s="272"/>
      <c r="W20" s="272"/>
      <c r="X20" s="272"/>
      <c r="Y20" s="272">
        <v>30441</v>
      </c>
      <c r="Z20" s="272">
        <v>1688</v>
      </c>
      <c r="AA20" s="272">
        <v>337712</v>
      </c>
      <c r="AB20" s="272"/>
      <c r="AC20" s="272">
        <v>2627593</v>
      </c>
      <c r="AD20" s="272">
        <v>2350596</v>
      </c>
      <c r="AE20" s="272">
        <v>276997</v>
      </c>
      <c r="AF20" s="272">
        <v>25658</v>
      </c>
      <c r="AG20" s="272">
        <v>229243</v>
      </c>
      <c r="AH20" s="455">
        <f t="shared" si="3"/>
        <v>915580</v>
      </c>
      <c r="AI20" s="272">
        <v>641923</v>
      </c>
      <c r="AJ20" s="272">
        <v>273657</v>
      </c>
      <c r="AK20" s="272">
        <v>1597857</v>
      </c>
      <c r="AL20" s="455">
        <f t="shared" si="4"/>
        <v>830740</v>
      </c>
      <c r="AM20" s="272">
        <v>540000</v>
      </c>
      <c r="AN20" s="272">
        <v>176794</v>
      </c>
      <c r="AO20" s="272">
        <v>0</v>
      </c>
      <c r="AP20" s="272">
        <v>113946</v>
      </c>
      <c r="AQ20" s="272">
        <v>212796</v>
      </c>
      <c r="AR20" s="272">
        <v>0</v>
      </c>
      <c r="AS20" s="272">
        <v>0</v>
      </c>
      <c r="AT20" s="272">
        <v>1160724</v>
      </c>
      <c r="AU20" s="272">
        <v>321736</v>
      </c>
      <c r="AV20" s="272">
        <v>88397</v>
      </c>
      <c r="AW20" s="272">
        <v>53563</v>
      </c>
      <c r="AX20" s="272">
        <v>838988</v>
      </c>
      <c r="AY20" s="272">
        <v>246721</v>
      </c>
      <c r="AZ20" s="272">
        <v>899555</v>
      </c>
      <c r="BA20" s="272">
        <v>357158</v>
      </c>
      <c r="BB20" s="272">
        <v>217683</v>
      </c>
      <c r="BC20" s="272">
        <v>2275838</v>
      </c>
      <c r="BD20" s="272">
        <v>1300000</v>
      </c>
      <c r="BE20" s="272">
        <v>63000</v>
      </c>
      <c r="BF20" s="272">
        <v>77845</v>
      </c>
      <c r="BG20" s="272">
        <v>820974</v>
      </c>
      <c r="BH20" s="272">
        <v>1054667</v>
      </c>
      <c r="BI20" s="272">
        <v>81494</v>
      </c>
      <c r="BJ20" s="272">
        <v>1425991</v>
      </c>
      <c r="BK20" s="272">
        <v>1062597</v>
      </c>
      <c r="BL20" s="272">
        <v>0</v>
      </c>
      <c r="BM20" s="272">
        <v>0</v>
      </c>
      <c r="BN20" s="272">
        <v>1702500</v>
      </c>
      <c r="BO20" s="455">
        <f t="shared" si="5"/>
        <v>1702500</v>
      </c>
      <c r="BP20" s="455">
        <f t="shared" si="6"/>
        <v>0</v>
      </c>
      <c r="BQ20" s="272"/>
      <c r="BR20" s="272"/>
      <c r="BS20" s="272"/>
      <c r="BT20" s="272">
        <v>0</v>
      </c>
      <c r="BU20" s="272">
        <v>31320701</v>
      </c>
      <c r="BV20" s="272"/>
      <c r="BW20" s="272">
        <v>5591055</v>
      </c>
      <c r="BX20" s="272">
        <v>3976284</v>
      </c>
      <c r="BY20" s="272">
        <v>263956</v>
      </c>
      <c r="BZ20" s="272">
        <v>341025</v>
      </c>
      <c r="CA20" s="272">
        <v>2404252</v>
      </c>
      <c r="CB20" s="272">
        <v>358582</v>
      </c>
      <c r="CC20" s="272">
        <v>588068</v>
      </c>
      <c r="CD20" s="272">
        <v>722494</v>
      </c>
      <c r="CE20" s="272">
        <v>719731</v>
      </c>
      <c r="CF20" s="272">
        <v>0</v>
      </c>
      <c r="CG20" s="272">
        <v>15377</v>
      </c>
      <c r="CH20" s="272">
        <v>2296133</v>
      </c>
      <c r="CI20" s="272">
        <v>1166525</v>
      </c>
      <c r="CJ20" s="455">
        <f t="shared" si="7"/>
        <v>1129608</v>
      </c>
      <c r="CK20" s="272">
        <v>4423430</v>
      </c>
      <c r="CL20" s="272">
        <v>2873112</v>
      </c>
      <c r="CM20" s="272">
        <v>74115</v>
      </c>
      <c r="CN20" s="272">
        <v>942620</v>
      </c>
      <c r="CO20" s="272">
        <v>417502</v>
      </c>
      <c r="CP20" s="272">
        <v>1892108</v>
      </c>
      <c r="CQ20" s="272">
        <v>522962</v>
      </c>
      <c r="CR20" s="272">
        <v>837798</v>
      </c>
      <c r="CS20" s="272">
        <v>662683</v>
      </c>
      <c r="CT20" s="455">
        <f t="shared" si="8"/>
        <v>73096</v>
      </c>
      <c r="CU20" s="272">
        <v>8495</v>
      </c>
      <c r="CV20" s="272">
        <v>64601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8407426</v>
      </c>
      <c r="DD20" s="272">
        <v>569944</v>
      </c>
      <c r="DE20" s="272">
        <v>7685982</v>
      </c>
      <c r="DF20" s="272">
        <v>151500</v>
      </c>
      <c r="DG20" s="272">
        <v>0</v>
      </c>
      <c r="DH20" s="272">
        <v>15389</v>
      </c>
      <c r="DI20" s="272">
        <v>2097065</v>
      </c>
      <c r="DJ20" s="272">
        <v>882000</v>
      </c>
      <c r="DK20" s="272">
        <v>490000</v>
      </c>
      <c r="DL20" s="272">
        <v>725065</v>
      </c>
      <c r="DM20" s="272">
        <v>23480</v>
      </c>
      <c r="DN20" s="272">
        <v>0</v>
      </c>
      <c r="DO20" s="272">
        <v>0</v>
      </c>
      <c r="DP20" s="272">
        <v>0</v>
      </c>
      <c r="DQ20" s="272">
        <v>1044777</v>
      </c>
      <c r="DR20" s="272">
        <v>0</v>
      </c>
      <c r="DS20" s="272">
        <v>0</v>
      </c>
      <c r="DT20" s="272">
        <v>1828270</v>
      </c>
      <c r="DU20" s="272">
        <v>763538</v>
      </c>
      <c r="DV20" s="455">
        <f t="shared" si="11"/>
        <v>0</v>
      </c>
      <c r="DW20" s="272">
        <v>0</v>
      </c>
      <c r="DX20" s="272">
        <v>0</v>
      </c>
      <c r="DY20" s="457" t="s">
        <v>646</v>
      </c>
      <c r="DZ20" s="272">
        <v>354185</v>
      </c>
      <c r="EA20" s="272">
        <v>310547</v>
      </c>
      <c r="EB20" s="272"/>
      <c r="EC20" s="272">
        <v>0</v>
      </c>
      <c r="ED20" s="272">
        <v>30440887</v>
      </c>
      <c r="EF20" s="272">
        <v>879814</v>
      </c>
      <c r="EG20" s="272">
        <v>727886</v>
      </c>
      <c r="EH20" s="272">
        <v>151928</v>
      </c>
      <c r="EI20" s="272">
        <v>70434</v>
      </c>
      <c r="EJ20" s="272">
        <v>-347566</v>
      </c>
      <c r="EL20" s="272"/>
      <c r="EM20" s="272">
        <v>114032</v>
      </c>
      <c r="EN20" s="272">
        <v>1363000</v>
      </c>
      <c r="EO20" s="272">
        <v>236966</v>
      </c>
      <c r="EP20" s="455">
        <f t="shared" si="12"/>
        <v>931974</v>
      </c>
      <c r="EQ20" s="272">
        <v>19841063</v>
      </c>
      <c r="ER20" s="272">
        <v>-2506282</v>
      </c>
      <c r="ES20" s="272">
        <v>5246533</v>
      </c>
      <c r="ET20" s="272">
        <v>3731265</v>
      </c>
      <c r="EU20" s="272">
        <v>672964</v>
      </c>
      <c r="EV20" s="272">
        <v>2296133</v>
      </c>
      <c r="EW20" s="455">
        <f t="shared" si="13"/>
        <v>4420271</v>
      </c>
      <c r="EX20" s="272">
        <v>4406234</v>
      </c>
      <c r="EY20" s="272">
        <v>176288</v>
      </c>
      <c r="EZ20" s="272">
        <v>4078446</v>
      </c>
      <c r="FA20" s="272">
        <v>14037</v>
      </c>
      <c r="FB20" s="272"/>
      <c r="FC20" s="272">
        <v>3413192</v>
      </c>
      <c r="FD20" s="272">
        <v>1619530</v>
      </c>
      <c r="FE20" s="272">
        <v>522962</v>
      </c>
      <c r="FF20" s="272">
        <v>1763054</v>
      </c>
      <c r="FG20" s="455">
        <f t="shared" si="14"/>
        <v>2035854</v>
      </c>
      <c r="FH20" s="272">
        <v>21467531</v>
      </c>
      <c r="FI20" s="384">
        <f t="shared" si="15"/>
        <v>0.8</v>
      </c>
      <c r="FJ20" s="272">
        <v>18023497</v>
      </c>
      <c r="FK20" s="272"/>
      <c r="FL20" s="272">
        <v>11813799</v>
      </c>
      <c r="FM20" s="272">
        <v>14106706</v>
      </c>
      <c r="FN20" s="460">
        <v>0.88</v>
      </c>
      <c r="FO20" s="388">
        <v>74.2</v>
      </c>
      <c r="FP20" s="388">
        <v>27.7</v>
      </c>
      <c r="FQ20" s="388">
        <v>3.6</v>
      </c>
      <c r="FR20" s="388">
        <v>12.4</v>
      </c>
      <c r="FS20" s="388">
        <v>17</v>
      </c>
      <c r="FT20" s="388">
        <v>7.8</v>
      </c>
      <c r="FU20" s="388">
        <v>3.5</v>
      </c>
      <c r="FV20" s="388">
        <v>9.8000000000000007</v>
      </c>
      <c r="FW20" s="272">
        <v>19675342</v>
      </c>
      <c r="FX20" s="384">
        <f t="shared" si="16"/>
        <v>109.2</v>
      </c>
      <c r="FY20" s="272">
        <v>12685414</v>
      </c>
      <c r="FZ20" s="272">
        <v>7007982</v>
      </c>
      <c r="GA20" s="272">
        <v>1806228</v>
      </c>
      <c r="GB20" s="272">
        <v>3871204</v>
      </c>
      <c r="GC20" s="272"/>
      <c r="GD20" s="272">
        <v>4622709</v>
      </c>
      <c r="GE20" s="384">
        <f t="shared" si="17"/>
        <v>25.6</v>
      </c>
      <c r="GF20" s="388">
        <v>97.8</v>
      </c>
      <c r="GG20" s="388">
        <v>27.7</v>
      </c>
      <c r="GH20" s="388">
        <v>95.2</v>
      </c>
      <c r="GI20" s="272">
        <v>591</v>
      </c>
    </row>
    <row r="21" spans="2:191" x14ac:dyDescent="0.15">
      <c r="B21" s="89" t="s">
        <v>35</v>
      </c>
      <c r="C21" s="272">
        <v>15817770</v>
      </c>
      <c r="D21" s="455">
        <f t="shared" si="0"/>
        <v>6975193</v>
      </c>
      <c r="E21" s="272">
        <v>92460</v>
      </c>
      <c r="F21" s="272">
        <v>6882733</v>
      </c>
      <c r="G21" s="455">
        <f t="shared" si="1"/>
        <v>1768615</v>
      </c>
      <c r="H21" s="272">
        <v>177213</v>
      </c>
      <c r="I21" s="272">
        <v>1591402</v>
      </c>
      <c r="J21" s="272">
        <v>5031354</v>
      </c>
      <c r="K21" s="272">
        <v>2734440</v>
      </c>
      <c r="L21" s="272">
        <v>1647095</v>
      </c>
      <c r="M21" s="272">
        <v>622911</v>
      </c>
      <c r="N21" s="272">
        <v>563135</v>
      </c>
      <c r="O21" s="272">
        <v>1316290</v>
      </c>
      <c r="P21" s="272">
        <v>945296</v>
      </c>
      <c r="Q21" s="272">
        <v>370994</v>
      </c>
      <c r="R21" s="272">
        <v>706763</v>
      </c>
      <c r="S21" s="272">
        <v>505106</v>
      </c>
      <c r="T21" s="455">
        <f t="shared" si="2"/>
        <v>709250</v>
      </c>
      <c r="U21" s="272">
        <v>405722</v>
      </c>
      <c r="V21" s="272"/>
      <c r="W21" s="272"/>
      <c r="X21" s="272"/>
      <c r="Y21" s="272">
        <v>0</v>
      </c>
      <c r="Z21" s="272">
        <v>981</v>
      </c>
      <c r="AA21" s="272">
        <v>302547</v>
      </c>
      <c r="AB21" s="272"/>
      <c r="AC21" s="272">
        <v>6117409</v>
      </c>
      <c r="AD21" s="272">
        <v>5620359</v>
      </c>
      <c r="AE21" s="272">
        <v>497050</v>
      </c>
      <c r="AF21" s="272">
        <v>25951</v>
      </c>
      <c r="AG21" s="272">
        <v>160516</v>
      </c>
      <c r="AH21" s="455">
        <f t="shared" si="3"/>
        <v>394646</v>
      </c>
      <c r="AI21" s="272">
        <v>364778</v>
      </c>
      <c r="AJ21" s="272">
        <v>29868</v>
      </c>
      <c r="AK21" s="272">
        <v>4530547</v>
      </c>
      <c r="AL21" s="455">
        <f t="shared" si="4"/>
        <v>1675151</v>
      </c>
      <c r="AM21" s="272">
        <v>1200459</v>
      </c>
      <c r="AN21" s="272">
        <v>245554</v>
      </c>
      <c r="AO21" s="272">
        <v>0</v>
      </c>
      <c r="AP21" s="272">
        <v>229138</v>
      </c>
      <c r="AQ21" s="272">
        <v>1821932</v>
      </c>
      <c r="AR21" s="272">
        <v>0</v>
      </c>
      <c r="AS21" s="272">
        <v>0</v>
      </c>
      <c r="AT21" s="272">
        <v>1639303</v>
      </c>
      <c r="AU21" s="272">
        <v>420665</v>
      </c>
      <c r="AV21" s="272">
        <v>122777</v>
      </c>
      <c r="AW21" s="272">
        <v>0</v>
      </c>
      <c r="AX21" s="272">
        <v>1218638</v>
      </c>
      <c r="AY21" s="272">
        <v>382684</v>
      </c>
      <c r="AZ21" s="272">
        <v>583924</v>
      </c>
      <c r="BA21" s="272">
        <v>41404</v>
      </c>
      <c r="BB21" s="272">
        <v>647265</v>
      </c>
      <c r="BC21" s="272">
        <v>1513070</v>
      </c>
      <c r="BD21" s="272">
        <v>0</v>
      </c>
      <c r="BE21" s="272">
        <v>250000</v>
      </c>
      <c r="BF21" s="272">
        <v>1220520</v>
      </c>
      <c r="BG21" s="272">
        <v>0</v>
      </c>
      <c r="BH21" s="272">
        <v>327658</v>
      </c>
      <c r="BI21" s="272">
        <v>308354</v>
      </c>
      <c r="BJ21" s="272">
        <v>727503</v>
      </c>
      <c r="BK21" s="272">
        <v>439532</v>
      </c>
      <c r="BL21" s="272">
        <v>0</v>
      </c>
      <c r="BM21" s="272">
        <v>0</v>
      </c>
      <c r="BN21" s="272">
        <v>3603400</v>
      </c>
      <c r="BO21" s="455">
        <f t="shared" si="5"/>
        <v>3603400</v>
      </c>
      <c r="BP21" s="455">
        <f t="shared" si="6"/>
        <v>0</v>
      </c>
      <c r="BQ21" s="272"/>
      <c r="BR21" s="272"/>
      <c r="BS21" s="272"/>
      <c r="BT21" s="272">
        <v>0</v>
      </c>
      <c r="BU21" s="272">
        <v>37504975</v>
      </c>
      <c r="BV21" s="272"/>
      <c r="BW21" s="272">
        <v>8886466</v>
      </c>
      <c r="BX21" s="272">
        <v>6768090</v>
      </c>
      <c r="BY21" s="272">
        <v>445361</v>
      </c>
      <c r="BZ21" s="272">
        <v>204057</v>
      </c>
      <c r="CA21" s="272">
        <v>3755959</v>
      </c>
      <c r="CB21" s="272">
        <v>429846</v>
      </c>
      <c r="CC21" s="272">
        <v>912546</v>
      </c>
      <c r="CD21" s="272">
        <v>767353</v>
      </c>
      <c r="CE21" s="272">
        <v>1569435</v>
      </c>
      <c r="CF21" s="272">
        <v>0</v>
      </c>
      <c r="CG21" s="272">
        <v>76644</v>
      </c>
      <c r="CH21" s="272">
        <v>2939652</v>
      </c>
      <c r="CI21" s="272">
        <v>1654306</v>
      </c>
      <c r="CJ21" s="455">
        <f t="shared" si="7"/>
        <v>1285346</v>
      </c>
      <c r="CK21" s="272">
        <v>4049984</v>
      </c>
      <c r="CL21" s="272">
        <v>2452256</v>
      </c>
      <c r="CM21" s="272">
        <v>118635</v>
      </c>
      <c r="CN21" s="272">
        <v>886281</v>
      </c>
      <c r="CO21" s="272">
        <v>331957</v>
      </c>
      <c r="CP21" s="272">
        <v>2075127</v>
      </c>
      <c r="CQ21" s="272">
        <v>6271</v>
      </c>
      <c r="CR21" s="272">
        <v>698166</v>
      </c>
      <c r="CS21" s="272">
        <v>455816</v>
      </c>
      <c r="CT21" s="455">
        <f t="shared" si="8"/>
        <v>348365</v>
      </c>
      <c r="CU21" s="272">
        <v>12000</v>
      </c>
      <c r="CV21" s="272">
        <v>336365</v>
      </c>
      <c r="CW21" s="455">
        <f t="shared" si="9"/>
        <v>336365</v>
      </c>
      <c r="CX21" s="272">
        <v>0</v>
      </c>
      <c r="CY21" s="272">
        <v>336365</v>
      </c>
      <c r="CZ21" s="455">
        <f t="shared" si="10"/>
        <v>0</v>
      </c>
      <c r="DA21" s="272">
        <v>0</v>
      </c>
      <c r="DB21" s="272">
        <v>0</v>
      </c>
      <c r="DC21" s="272">
        <v>9683194</v>
      </c>
      <c r="DD21" s="272">
        <v>3532072</v>
      </c>
      <c r="DE21" s="272">
        <v>6125742</v>
      </c>
      <c r="DF21" s="272">
        <v>25380</v>
      </c>
      <c r="DG21" s="272">
        <v>0</v>
      </c>
      <c r="DH21" s="272">
        <v>0</v>
      </c>
      <c r="DI21" s="272">
        <v>1648597</v>
      </c>
      <c r="DJ21" s="272">
        <v>0</v>
      </c>
      <c r="DK21" s="272">
        <v>253117</v>
      </c>
      <c r="DL21" s="272">
        <v>1395480</v>
      </c>
      <c r="DM21" s="272">
        <v>2290</v>
      </c>
      <c r="DN21" s="272">
        <v>0</v>
      </c>
      <c r="DO21" s="272">
        <v>0</v>
      </c>
      <c r="DP21" s="272">
        <v>0</v>
      </c>
      <c r="DQ21" s="272">
        <v>423420</v>
      </c>
      <c r="DR21" s="272">
        <v>0</v>
      </c>
      <c r="DS21" s="272">
        <v>0</v>
      </c>
      <c r="DT21" s="272">
        <v>3262162</v>
      </c>
      <c r="DU21" s="272">
        <v>2264542</v>
      </c>
      <c r="DV21" s="455">
        <f t="shared" si="11"/>
        <v>0</v>
      </c>
      <c r="DW21" s="272">
        <v>0</v>
      </c>
      <c r="DX21" s="272">
        <v>0</v>
      </c>
      <c r="DY21" s="457" t="s">
        <v>646</v>
      </c>
      <c r="DZ21" s="272">
        <v>643271</v>
      </c>
      <c r="EA21" s="272">
        <v>344766</v>
      </c>
      <c r="EB21" s="272"/>
      <c r="EC21" s="272">
        <v>0</v>
      </c>
      <c r="ED21" s="272">
        <v>37058808</v>
      </c>
      <c r="EF21" s="272">
        <v>446167</v>
      </c>
      <c r="EG21" s="272">
        <v>56316</v>
      </c>
      <c r="EH21" s="272">
        <v>389851</v>
      </c>
      <c r="EI21" s="272">
        <v>81497</v>
      </c>
      <c r="EJ21" s="272">
        <v>81497</v>
      </c>
      <c r="EL21" s="272"/>
      <c r="EM21" s="272">
        <v>133224</v>
      </c>
      <c r="EN21" s="272">
        <v>292550</v>
      </c>
      <c r="EO21" s="272">
        <v>57505</v>
      </c>
      <c r="EP21" s="455">
        <f t="shared" si="12"/>
        <v>1544049</v>
      </c>
      <c r="EQ21" s="272">
        <v>23377143</v>
      </c>
      <c r="ER21" s="272">
        <v>-1868153</v>
      </c>
      <c r="ES21" s="272">
        <v>8221632</v>
      </c>
      <c r="ET21" s="272">
        <v>6131431</v>
      </c>
      <c r="EU21" s="272">
        <v>1131545</v>
      </c>
      <c r="EV21" s="272">
        <v>2917975</v>
      </c>
      <c r="EW21" s="455">
        <f t="shared" si="13"/>
        <v>2629152</v>
      </c>
      <c r="EX21" s="272">
        <v>2629152</v>
      </c>
      <c r="EY21" s="272">
        <v>215251</v>
      </c>
      <c r="EZ21" s="272">
        <v>2388521</v>
      </c>
      <c r="FA21" s="272">
        <v>0</v>
      </c>
      <c r="FB21" s="272"/>
      <c r="FC21" s="272">
        <v>3615567</v>
      </c>
      <c r="FD21" s="272">
        <v>1786097</v>
      </c>
      <c r="FE21" s="272">
        <v>6271</v>
      </c>
      <c r="FF21" s="272">
        <v>3069357</v>
      </c>
      <c r="FG21" s="455">
        <f t="shared" si="14"/>
        <v>1438126</v>
      </c>
      <c r="FH21" s="272">
        <v>24809451</v>
      </c>
      <c r="FI21" s="384">
        <f t="shared" si="15"/>
        <v>1.9</v>
      </c>
      <c r="FJ21" s="272">
        <v>20894116</v>
      </c>
      <c r="FK21" s="272"/>
      <c r="FL21" s="272">
        <v>11511406</v>
      </c>
      <c r="FM21" s="272">
        <v>17159649</v>
      </c>
      <c r="FN21" s="460">
        <v>0.69299999999999995</v>
      </c>
      <c r="FO21" s="388">
        <v>87</v>
      </c>
      <c r="FP21" s="388">
        <v>37.4</v>
      </c>
      <c r="FQ21" s="388">
        <v>5.2</v>
      </c>
      <c r="FR21" s="388">
        <v>13.4</v>
      </c>
      <c r="FS21" s="388">
        <v>15.9</v>
      </c>
      <c r="FT21" s="388">
        <v>5.9</v>
      </c>
      <c r="FU21" s="388">
        <v>7.7</v>
      </c>
      <c r="FV21" s="388">
        <v>12</v>
      </c>
      <c r="FW21" s="272">
        <v>25679888</v>
      </c>
      <c r="FX21" s="384">
        <f t="shared" si="16"/>
        <v>122.9</v>
      </c>
      <c r="FY21" s="272">
        <v>9601907</v>
      </c>
      <c r="FZ21" s="272"/>
      <c r="GA21" s="272">
        <v>1377082</v>
      </c>
      <c r="GB21" s="272">
        <v>8224825</v>
      </c>
      <c r="GC21" s="272"/>
      <c r="GD21" s="272">
        <v>2264381</v>
      </c>
      <c r="GE21" s="384">
        <f t="shared" si="17"/>
        <v>10.8</v>
      </c>
      <c r="GF21" s="388">
        <v>96.1</v>
      </c>
      <c r="GG21" s="388">
        <v>25.5</v>
      </c>
      <c r="GH21" s="388">
        <v>92.7</v>
      </c>
      <c r="GI21" s="272">
        <v>935</v>
      </c>
    </row>
    <row r="22" spans="2:191" x14ac:dyDescent="0.15">
      <c r="B22" s="89" t="s">
        <v>37</v>
      </c>
      <c r="C22" s="272">
        <v>18775710</v>
      </c>
      <c r="D22" s="455">
        <f t="shared" si="0"/>
        <v>6524472</v>
      </c>
      <c r="E22" s="272">
        <v>92803</v>
      </c>
      <c r="F22" s="272">
        <v>6431669</v>
      </c>
      <c r="G22" s="455">
        <f t="shared" si="1"/>
        <v>2155969</v>
      </c>
      <c r="H22" s="272">
        <v>225357</v>
      </c>
      <c r="I22" s="272">
        <v>1930612</v>
      </c>
      <c r="J22" s="272">
        <v>7653101</v>
      </c>
      <c r="K22" s="272">
        <v>4029243</v>
      </c>
      <c r="L22" s="272">
        <v>2261188</v>
      </c>
      <c r="M22" s="272">
        <v>1246442</v>
      </c>
      <c r="N22" s="272">
        <v>629699</v>
      </c>
      <c r="O22" s="272">
        <v>1711603</v>
      </c>
      <c r="P22" s="272">
        <v>1209785</v>
      </c>
      <c r="Q22" s="272">
        <v>501818</v>
      </c>
      <c r="R22" s="272">
        <v>740414</v>
      </c>
      <c r="S22" s="272">
        <v>547657</v>
      </c>
      <c r="T22" s="455">
        <f t="shared" si="2"/>
        <v>692842</v>
      </c>
      <c r="U22" s="272">
        <v>380065</v>
      </c>
      <c r="V22" s="272"/>
      <c r="W22" s="272"/>
      <c r="X22" s="272"/>
      <c r="Y22" s="272">
        <v>20962</v>
      </c>
      <c r="Z22" s="272">
        <v>3249</v>
      </c>
      <c r="AA22" s="272">
        <v>288566</v>
      </c>
      <c r="AB22" s="272"/>
      <c r="AC22" s="272">
        <v>2521502</v>
      </c>
      <c r="AD22" s="272">
        <v>2108982</v>
      </c>
      <c r="AE22" s="272">
        <v>412520</v>
      </c>
      <c r="AF22" s="272">
        <v>27431</v>
      </c>
      <c r="AG22" s="272">
        <v>274118</v>
      </c>
      <c r="AH22" s="455">
        <f t="shared" si="3"/>
        <v>788092</v>
      </c>
      <c r="AI22" s="272">
        <v>423187</v>
      </c>
      <c r="AJ22" s="272">
        <v>364905</v>
      </c>
      <c r="AK22" s="272">
        <v>2780732</v>
      </c>
      <c r="AL22" s="455">
        <f t="shared" si="4"/>
        <v>1698163</v>
      </c>
      <c r="AM22" s="272">
        <v>1151916</v>
      </c>
      <c r="AN22" s="272">
        <v>397903</v>
      </c>
      <c r="AO22" s="272">
        <v>0</v>
      </c>
      <c r="AP22" s="272">
        <v>148344</v>
      </c>
      <c r="AQ22" s="272">
        <v>325890</v>
      </c>
      <c r="AR22" s="272">
        <v>0</v>
      </c>
      <c r="AS22" s="272">
        <v>0</v>
      </c>
      <c r="AT22" s="272">
        <v>2219151</v>
      </c>
      <c r="AU22" s="272">
        <v>493188</v>
      </c>
      <c r="AV22" s="272">
        <v>209509</v>
      </c>
      <c r="AW22" s="272">
        <v>4128</v>
      </c>
      <c r="AX22" s="272">
        <v>1725963</v>
      </c>
      <c r="AY22" s="272">
        <v>768873</v>
      </c>
      <c r="AZ22" s="272">
        <v>212866</v>
      </c>
      <c r="BA22" s="272">
        <v>23861</v>
      </c>
      <c r="BB22" s="272">
        <v>374726</v>
      </c>
      <c r="BC22" s="272">
        <v>110000</v>
      </c>
      <c r="BD22" s="272">
        <v>0</v>
      </c>
      <c r="BE22" s="272">
        <v>110000</v>
      </c>
      <c r="BF22" s="272">
        <v>0</v>
      </c>
      <c r="BG22" s="272">
        <v>0</v>
      </c>
      <c r="BH22" s="272">
        <v>0</v>
      </c>
      <c r="BI22" s="272">
        <v>0</v>
      </c>
      <c r="BJ22" s="272">
        <v>2065740</v>
      </c>
      <c r="BK22" s="272">
        <v>1754356</v>
      </c>
      <c r="BL22" s="272">
        <v>54354</v>
      </c>
      <c r="BM22" s="272">
        <v>0</v>
      </c>
      <c r="BN22" s="272">
        <v>474100</v>
      </c>
      <c r="BO22" s="455">
        <f t="shared" si="5"/>
        <v>474100</v>
      </c>
      <c r="BP22" s="455">
        <f t="shared" si="6"/>
        <v>0</v>
      </c>
      <c r="BQ22" s="272"/>
      <c r="BR22" s="272"/>
      <c r="BS22" s="272"/>
      <c r="BT22" s="272">
        <v>0</v>
      </c>
      <c r="BU22" s="272">
        <v>32057424</v>
      </c>
      <c r="BV22" s="272"/>
      <c r="BW22" s="272">
        <v>10529906</v>
      </c>
      <c r="BX22" s="272">
        <v>8348755</v>
      </c>
      <c r="BY22" s="272">
        <v>353972</v>
      </c>
      <c r="BZ22" s="272">
        <v>165340</v>
      </c>
      <c r="CA22" s="272">
        <v>3849239</v>
      </c>
      <c r="CB22" s="272">
        <v>333480</v>
      </c>
      <c r="CC22" s="272">
        <v>671289</v>
      </c>
      <c r="CD22" s="272">
        <v>1343211</v>
      </c>
      <c r="CE22" s="272">
        <v>1433043</v>
      </c>
      <c r="CF22" s="272">
        <v>1000</v>
      </c>
      <c r="CG22" s="272">
        <v>67036</v>
      </c>
      <c r="CH22" s="272">
        <v>3567610</v>
      </c>
      <c r="CI22" s="272">
        <v>2008276</v>
      </c>
      <c r="CJ22" s="455">
        <f t="shared" si="7"/>
        <v>1559334</v>
      </c>
      <c r="CK22" s="272">
        <v>3026683</v>
      </c>
      <c r="CL22" s="272">
        <v>1735469</v>
      </c>
      <c r="CM22" s="272">
        <v>69071</v>
      </c>
      <c r="CN22" s="272">
        <v>775149</v>
      </c>
      <c r="CO22" s="272">
        <v>238882</v>
      </c>
      <c r="CP22" s="272">
        <v>2363717</v>
      </c>
      <c r="CQ22" s="272">
        <v>1243541</v>
      </c>
      <c r="CR22" s="272">
        <v>477954</v>
      </c>
      <c r="CS22" s="272">
        <v>384058</v>
      </c>
      <c r="CT22" s="455">
        <f t="shared" si="8"/>
        <v>45455</v>
      </c>
      <c r="CU22" s="272">
        <v>15455</v>
      </c>
      <c r="CV22" s="272">
        <v>30000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2345492</v>
      </c>
      <c r="DD22" s="272">
        <v>674443</v>
      </c>
      <c r="DE22" s="272">
        <v>1668176</v>
      </c>
      <c r="DF22" s="272">
        <v>0</v>
      </c>
      <c r="DG22" s="272">
        <v>2873</v>
      </c>
      <c r="DH22" s="272">
        <v>0</v>
      </c>
      <c r="DI22" s="272">
        <v>1577911</v>
      </c>
      <c r="DJ22" s="272">
        <v>403932</v>
      </c>
      <c r="DK22" s="272">
        <v>443735</v>
      </c>
      <c r="DL22" s="272">
        <v>730244</v>
      </c>
      <c r="DM22" s="272">
        <v>2150</v>
      </c>
      <c r="DN22" s="272">
        <v>0</v>
      </c>
      <c r="DO22" s="272">
        <v>0</v>
      </c>
      <c r="DP22" s="272">
        <v>0</v>
      </c>
      <c r="DQ22" s="272">
        <v>1764087</v>
      </c>
      <c r="DR22" s="272">
        <v>0</v>
      </c>
      <c r="DS22" s="272">
        <v>0</v>
      </c>
      <c r="DT22" s="272">
        <v>2869688</v>
      </c>
      <c r="DU22" s="272">
        <v>1619704</v>
      </c>
      <c r="DV22" s="455">
        <f t="shared" si="11"/>
        <v>0</v>
      </c>
      <c r="DW22" s="272">
        <v>0</v>
      </c>
      <c r="DX22" s="272">
        <v>0</v>
      </c>
      <c r="DY22" s="457" t="s">
        <v>646</v>
      </c>
      <c r="DZ22" s="272">
        <v>492453</v>
      </c>
      <c r="EA22" s="272">
        <v>292288</v>
      </c>
      <c r="EB22" s="272"/>
      <c r="EC22" s="272">
        <v>199780</v>
      </c>
      <c r="ED22" s="272">
        <v>32335145</v>
      </c>
      <c r="EF22" s="272">
        <v>-277721</v>
      </c>
      <c r="EG22" s="272">
        <v>17744</v>
      </c>
      <c r="EH22" s="272">
        <v>-295465</v>
      </c>
      <c r="EI22" s="272">
        <v>-59875</v>
      </c>
      <c r="EJ22" s="272">
        <v>344057</v>
      </c>
      <c r="EL22" s="272"/>
      <c r="EM22" s="272">
        <v>125193</v>
      </c>
      <c r="EN22" s="272">
        <v>110000</v>
      </c>
      <c r="EO22" s="272">
        <v>24844</v>
      </c>
      <c r="EP22" s="455">
        <f t="shared" si="12"/>
        <v>646529</v>
      </c>
      <c r="EQ22" s="272">
        <v>22757899</v>
      </c>
      <c r="ER22" s="272">
        <v>-753942</v>
      </c>
      <c r="ES22" s="272">
        <v>9660823</v>
      </c>
      <c r="ET22" s="272">
        <v>7494993</v>
      </c>
      <c r="EU22" s="272">
        <v>1192858</v>
      </c>
      <c r="EV22" s="272">
        <v>3341779</v>
      </c>
      <c r="EW22" s="455">
        <f t="shared" si="13"/>
        <v>747647</v>
      </c>
      <c r="EX22" s="272">
        <v>747647</v>
      </c>
      <c r="EY22" s="272">
        <v>59766</v>
      </c>
      <c r="EZ22" s="272">
        <v>687881</v>
      </c>
      <c r="FA22" s="272">
        <v>0</v>
      </c>
      <c r="FB22" s="272"/>
      <c r="FC22" s="272">
        <v>2284804</v>
      </c>
      <c r="FD22" s="272">
        <v>2110769</v>
      </c>
      <c r="FE22" s="272">
        <v>1243541</v>
      </c>
      <c r="FF22" s="272">
        <v>2719485</v>
      </c>
      <c r="FG22" s="455">
        <f t="shared" si="14"/>
        <v>1817810</v>
      </c>
      <c r="FH22" s="272">
        <v>23875975</v>
      </c>
      <c r="FI22" s="384">
        <f t="shared" si="15"/>
        <v>-1.4</v>
      </c>
      <c r="FJ22" s="272">
        <v>20679054</v>
      </c>
      <c r="FK22" s="272"/>
      <c r="FL22" s="272">
        <v>13982522</v>
      </c>
      <c r="FM22" s="272">
        <v>16122627</v>
      </c>
      <c r="FN22" s="460">
        <v>0.9</v>
      </c>
      <c r="FO22" s="388">
        <v>95.6</v>
      </c>
      <c r="FP22" s="388">
        <v>46</v>
      </c>
      <c r="FQ22" s="388">
        <v>5.8</v>
      </c>
      <c r="FR22" s="388">
        <v>15.8</v>
      </c>
      <c r="FS22" s="388">
        <v>10.4</v>
      </c>
      <c r="FT22" s="388">
        <v>8.4</v>
      </c>
      <c r="FU22" s="388">
        <v>8.3000000000000007</v>
      </c>
      <c r="FV22" s="388">
        <v>12.1</v>
      </c>
      <c r="FW22" s="272">
        <v>22810672</v>
      </c>
      <c r="FX22" s="384">
        <f t="shared" si="16"/>
        <v>110.3</v>
      </c>
      <c r="FY22" s="272">
        <v>5151904</v>
      </c>
      <c r="FZ22" s="272">
        <v>1127905</v>
      </c>
      <c r="GA22" s="272">
        <v>1247126</v>
      </c>
      <c r="GB22" s="272">
        <v>2776873</v>
      </c>
      <c r="GC22" s="272"/>
      <c r="GD22" s="272">
        <v>13656567</v>
      </c>
      <c r="GE22" s="384">
        <f t="shared" si="17"/>
        <v>66</v>
      </c>
      <c r="GF22" s="388">
        <v>98.3</v>
      </c>
      <c r="GG22" s="388">
        <v>28.8</v>
      </c>
      <c r="GH22" s="388">
        <v>96.2</v>
      </c>
      <c r="GI22" s="272">
        <v>1091</v>
      </c>
    </row>
    <row r="23" spans="2:191" x14ac:dyDescent="0.15">
      <c r="B23" s="89" t="s">
        <v>39</v>
      </c>
      <c r="C23" s="272">
        <v>18772122</v>
      </c>
      <c r="D23" s="455">
        <f t="shared" si="0"/>
        <v>8810708</v>
      </c>
      <c r="E23" s="272">
        <v>97447</v>
      </c>
      <c r="F23" s="272">
        <v>8713261</v>
      </c>
      <c r="G23" s="455">
        <f t="shared" si="1"/>
        <v>1334891</v>
      </c>
      <c r="H23" s="272">
        <v>197548</v>
      </c>
      <c r="I23" s="272">
        <v>1137343</v>
      </c>
      <c r="J23" s="272">
        <v>6153350</v>
      </c>
      <c r="K23" s="272">
        <v>3116248</v>
      </c>
      <c r="L23" s="272">
        <v>2326694</v>
      </c>
      <c r="M23" s="272">
        <v>667188</v>
      </c>
      <c r="N23" s="272">
        <v>632610</v>
      </c>
      <c r="O23" s="272">
        <v>1457473</v>
      </c>
      <c r="P23" s="272">
        <v>998383</v>
      </c>
      <c r="Q23" s="272">
        <v>459090</v>
      </c>
      <c r="R23" s="272">
        <v>780211</v>
      </c>
      <c r="S23" s="272">
        <v>532940</v>
      </c>
      <c r="T23" s="455">
        <f t="shared" si="2"/>
        <v>839842</v>
      </c>
      <c r="U23" s="272">
        <v>469475</v>
      </c>
      <c r="V23" s="272"/>
      <c r="W23" s="272"/>
      <c r="X23" s="272"/>
      <c r="Y23" s="272">
        <v>0</v>
      </c>
      <c r="Z23" s="272">
        <v>585</v>
      </c>
      <c r="AA23" s="272">
        <v>369782</v>
      </c>
      <c r="AB23" s="272"/>
      <c r="AC23" s="272">
        <v>5185621</v>
      </c>
      <c r="AD23" s="272">
        <v>4251800</v>
      </c>
      <c r="AE23" s="272">
        <v>933821</v>
      </c>
      <c r="AF23" s="272">
        <v>27345</v>
      </c>
      <c r="AG23" s="272">
        <v>238638</v>
      </c>
      <c r="AH23" s="455">
        <f t="shared" si="3"/>
        <v>760348</v>
      </c>
      <c r="AI23" s="272">
        <v>707718</v>
      </c>
      <c r="AJ23" s="272">
        <v>52630</v>
      </c>
      <c r="AK23" s="272">
        <v>4215800</v>
      </c>
      <c r="AL23" s="455">
        <f t="shared" si="4"/>
        <v>2084723</v>
      </c>
      <c r="AM23" s="272">
        <v>1591662</v>
      </c>
      <c r="AN23" s="272">
        <v>352360</v>
      </c>
      <c r="AO23" s="272">
        <v>0</v>
      </c>
      <c r="AP23" s="272">
        <v>140701</v>
      </c>
      <c r="AQ23" s="272">
        <v>791527</v>
      </c>
      <c r="AR23" s="272">
        <v>0</v>
      </c>
      <c r="AS23" s="272">
        <v>277541</v>
      </c>
      <c r="AT23" s="272">
        <v>2766120</v>
      </c>
      <c r="AU23" s="272">
        <v>605763</v>
      </c>
      <c r="AV23" s="272">
        <v>176322</v>
      </c>
      <c r="AW23" s="272">
        <v>121918</v>
      </c>
      <c r="AX23" s="272">
        <v>2160357</v>
      </c>
      <c r="AY23" s="272">
        <v>623679</v>
      </c>
      <c r="AZ23" s="272">
        <v>1994024</v>
      </c>
      <c r="BA23" s="272">
        <v>1631684</v>
      </c>
      <c r="BB23" s="272">
        <v>658522</v>
      </c>
      <c r="BC23" s="272">
        <v>520741</v>
      </c>
      <c r="BD23" s="272">
        <v>0</v>
      </c>
      <c r="BE23" s="272">
        <v>0</v>
      </c>
      <c r="BF23" s="272">
        <v>350000</v>
      </c>
      <c r="BG23" s="272">
        <v>0</v>
      </c>
      <c r="BH23" s="272">
        <v>387127</v>
      </c>
      <c r="BI23" s="272">
        <v>321379</v>
      </c>
      <c r="BJ23" s="272">
        <v>2151233</v>
      </c>
      <c r="BK23" s="272">
        <v>78051</v>
      </c>
      <c r="BL23" s="272">
        <v>0</v>
      </c>
      <c r="BM23" s="272">
        <v>0</v>
      </c>
      <c r="BN23" s="272">
        <v>1567500</v>
      </c>
      <c r="BO23" s="455">
        <f t="shared" si="5"/>
        <v>1567500</v>
      </c>
      <c r="BP23" s="455">
        <f t="shared" si="6"/>
        <v>0</v>
      </c>
      <c r="BQ23" s="272"/>
      <c r="BR23" s="272"/>
      <c r="BS23" s="272"/>
      <c r="BT23" s="272">
        <v>0</v>
      </c>
      <c r="BU23" s="272">
        <v>41142735</v>
      </c>
      <c r="BV23" s="272"/>
      <c r="BW23" s="272">
        <v>12183663</v>
      </c>
      <c r="BX23" s="272">
        <v>9481579</v>
      </c>
      <c r="BY23" s="272">
        <v>636982</v>
      </c>
      <c r="BZ23" s="272">
        <v>177962</v>
      </c>
      <c r="CA23" s="272">
        <v>4667737</v>
      </c>
      <c r="CB23" s="272">
        <v>540054</v>
      </c>
      <c r="CC23" s="272">
        <v>894110</v>
      </c>
      <c r="CD23" s="272">
        <v>1003993</v>
      </c>
      <c r="CE23" s="272">
        <v>2148201</v>
      </c>
      <c r="CF23" s="272">
        <v>2345</v>
      </c>
      <c r="CG23" s="272">
        <v>78631</v>
      </c>
      <c r="CH23" s="272">
        <v>5168566</v>
      </c>
      <c r="CI23" s="272">
        <v>3134655</v>
      </c>
      <c r="CJ23" s="455">
        <f t="shared" si="7"/>
        <v>2033911</v>
      </c>
      <c r="CK23" s="272">
        <v>3027176</v>
      </c>
      <c r="CL23" s="272">
        <v>1560895</v>
      </c>
      <c r="CM23" s="272">
        <v>102854</v>
      </c>
      <c r="CN23" s="272">
        <v>766995</v>
      </c>
      <c r="CO23" s="272">
        <v>199569</v>
      </c>
      <c r="CP23" s="272">
        <v>3561411</v>
      </c>
      <c r="CQ23" s="272">
        <v>1582976</v>
      </c>
      <c r="CR23" s="272">
        <v>622190</v>
      </c>
      <c r="CS23" s="272">
        <v>507447</v>
      </c>
      <c r="CT23" s="455">
        <f t="shared" si="8"/>
        <v>740437</v>
      </c>
      <c r="CU23" s="272">
        <v>13000</v>
      </c>
      <c r="CV23" s="272">
        <v>727437</v>
      </c>
      <c r="CW23" s="455">
        <f t="shared" si="9"/>
        <v>713777</v>
      </c>
      <c r="CX23" s="272">
        <v>0</v>
      </c>
      <c r="CY23" s="272">
        <v>713777</v>
      </c>
      <c r="CZ23" s="455">
        <f t="shared" si="10"/>
        <v>0</v>
      </c>
      <c r="DA23" s="272">
        <v>0</v>
      </c>
      <c r="DB23" s="272">
        <v>0</v>
      </c>
      <c r="DC23" s="272">
        <v>6512092</v>
      </c>
      <c r="DD23" s="272">
        <v>1915408</v>
      </c>
      <c r="DE23" s="272">
        <v>4596684</v>
      </c>
      <c r="DF23" s="272">
        <v>0</v>
      </c>
      <c r="DG23" s="272">
        <v>0</v>
      </c>
      <c r="DH23" s="272">
        <v>0</v>
      </c>
      <c r="DI23" s="272">
        <v>2575625</v>
      </c>
      <c r="DJ23" s="272">
        <v>98575</v>
      </c>
      <c r="DK23" s="272">
        <v>300000</v>
      </c>
      <c r="DL23" s="272">
        <v>2177050</v>
      </c>
      <c r="DM23" s="272">
        <v>2440</v>
      </c>
      <c r="DN23" s="272">
        <v>0</v>
      </c>
      <c r="DO23" s="272">
        <v>0</v>
      </c>
      <c r="DP23" s="272">
        <v>0</v>
      </c>
      <c r="DQ23" s="272">
        <v>1071050</v>
      </c>
      <c r="DR23" s="272">
        <v>1000000</v>
      </c>
      <c r="DS23" s="272">
        <v>1000000</v>
      </c>
      <c r="DT23" s="272">
        <v>1846377</v>
      </c>
      <c r="DU23" s="272">
        <v>1002789</v>
      </c>
      <c r="DV23" s="455">
        <f t="shared" si="11"/>
        <v>0</v>
      </c>
      <c r="DW23" s="272">
        <v>0</v>
      </c>
      <c r="DX23" s="272">
        <v>0</v>
      </c>
      <c r="DY23" s="457" t="s">
        <v>646</v>
      </c>
      <c r="DZ23" s="272">
        <v>486906</v>
      </c>
      <c r="EA23" s="272">
        <v>356682</v>
      </c>
      <c r="EB23" s="272"/>
      <c r="EC23" s="272">
        <v>0</v>
      </c>
      <c r="ED23" s="272">
        <v>40815706</v>
      </c>
      <c r="EF23" s="272">
        <v>327029</v>
      </c>
      <c r="EG23" s="272">
        <v>87622</v>
      </c>
      <c r="EH23" s="272">
        <v>239407</v>
      </c>
      <c r="EI23" s="272">
        <v>-81972</v>
      </c>
      <c r="EJ23" s="272">
        <v>289798</v>
      </c>
      <c r="EL23" s="272"/>
      <c r="EM23" s="272">
        <v>148577</v>
      </c>
      <c r="EN23" s="272">
        <v>520741</v>
      </c>
      <c r="EO23" s="272">
        <v>1941861</v>
      </c>
      <c r="EP23" s="455">
        <f t="shared" si="12"/>
        <v>1886972</v>
      </c>
      <c r="EQ23" s="272">
        <v>25882682</v>
      </c>
      <c r="ER23" s="272">
        <v>-4044688</v>
      </c>
      <c r="ES23" s="272">
        <v>10979427</v>
      </c>
      <c r="ET23" s="272">
        <v>8544418</v>
      </c>
      <c r="EU23" s="272">
        <v>1538480</v>
      </c>
      <c r="EV23" s="272">
        <v>4330788</v>
      </c>
      <c r="EW23" s="455">
        <f t="shared" si="13"/>
        <v>2578467</v>
      </c>
      <c r="EX23" s="272">
        <v>2578467</v>
      </c>
      <c r="EY23" s="272">
        <v>242579</v>
      </c>
      <c r="EZ23" s="272">
        <v>2335888</v>
      </c>
      <c r="FA23" s="272">
        <v>0</v>
      </c>
      <c r="FB23" s="272"/>
      <c r="FC23" s="272">
        <v>2498368</v>
      </c>
      <c r="FD23" s="272">
        <v>3222177</v>
      </c>
      <c r="FE23" s="272">
        <v>1582976</v>
      </c>
      <c r="FF23" s="272">
        <v>1752762</v>
      </c>
      <c r="FG23" s="455">
        <f t="shared" si="14"/>
        <v>2700283</v>
      </c>
      <c r="FH23" s="272">
        <v>29600752</v>
      </c>
      <c r="FI23" s="384">
        <f t="shared" si="15"/>
        <v>1.1000000000000001</v>
      </c>
      <c r="FJ23" s="272">
        <v>22784639</v>
      </c>
      <c r="FK23" s="272"/>
      <c r="FL23" s="272">
        <v>13968991</v>
      </c>
      <c r="FM23" s="272">
        <v>18242295</v>
      </c>
      <c r="FN23" s="460">
        <v>1.764</v>
      </c>
      <c r="FO23" s="388">
        <v>93.5</v>
      </c>
      <c r="FP23" s="388">
        <v>45.9</v>
      </c>
      <c r="FQ23" s="388">
        <v>6.5</v>
      </c>
      <c r="FR23" s="388">
        <v>16.2</v>
      </c>
      <c r="FS23" s="388">
        <v>9.6999999999999993</v>
      </c>
      <c r="FT23" s="388">
        <v>10.9</v>
      </c>
      <c r="FU23" s="388">
        <v>3.6</v>
      </c>
      <c r="FV23" s="388">
        <v>13.2</v>
      </c>
      <c r="FW23" s="272">
        <v>33325659</v>
      </c>
      <c r="FX23" s="384">
        <f t="shared" si="16"/>
        <v>146.30000000000001</v>
      </c>
      <c r="FY23" s="272">
        <v>10995797</v>
      </c>
      <c r="FZ23" s="272">
        <v>211117</v>
      </c>
      <c r="GA23" s="272">
        <v>1554219</v>
      </c>
      <c r="GB23" s="272">
        <v>9230461</v>
      </c>
      <c r="GC23" s="272"/>
      <c r="GD23" s="272">
        <v>7069494</v>
      </c>
      <c r="GE23" s="384">
        <f t="shared" si="17"/>
        <v>31</v>
      </c>
      <c r="GF23" s="388">
        <v>97.8</v>
      </c>
      <c r="GG23" s="388">
        <v>34.299999999999997</v>
      </c>
      <c r="GH23" s="388">
        <v>95.3</v>
      </c>
      <c r="GI23" s="272">
        <v>1314</v>
      </c>
    </row>
    <row r="24" spans="2:191" x14ac:dyDescent="0.15">
      <c r="B24" s="89" t="s">
        <v>41</v>
      </c>
      <c r="C24" s="272">
        <v>24867953</v>
      </c>
      <c r="D24" s="455">
        <f t="shared" si="0"/>
        <v>13455555</v>
      </c>
      <c r="E24" s="272">
        <v>86651</v>
      </c>
      <c r="F24" s="272">
        <v>13368904</v>
      </c>
      <c r="G24" s="455">
        <f t="shared" si="1"/>
        <v>1390857</v>
      </c>
      <c r="H24" s="272">
        <v>215927</v>
      </c>
      <c r="I24" s="272">
        <v>1174930</v>
      </c>
      <c r="J24" s="272">
        <v>6841815</v>
      </c>
      <c r="K24" s="272">
        <v>3385862</v>
      </c>
      <c r="L24" s="272">
        <v>2931995</v>
      </c>
      <c r="M24" s="272">
        <v>492371</v>
      </c>
      <c r="N24" s="272">
        <v>393733</v>
      </c>
      <c r="O24" s="272">
        <v>1982024</v>
      </c>
      <c r="P24" s="272">
        <v>1322067</v>
      </c>
      <c r="Q24" s="272">
        <v>659957</v>
      </c>
      <c r="R24" s="272">
        <v>685893</v>
      </c>
      <c r="S24" s="272">
        <v>461107</v>
      </c>
      <c r="T24" s="455">
        <f t="shared" si="2"/>
        <v>1061207</v>
      </c>
      <c r="U24" s="272">
        <v>704708</v>
      </c>
      <c r="V24" s="272"/>
      <c r="W24" s="272"/>
      <c r="X24" s="272"/>
      <c r="Y24" s="272">
        <v>7664</v>
      </c>
      <c r="Z24" s="272">
        <v>12497</v>
      </c>
      <c r="AA24" s="272">
        <v>336338</v>
      </c>
      <c r="AB24" s="272"/>
      <c r="AC24" s="272">
        <v>93630</v>
      </c>
      <c r="AD24" s="272">
        <v>0</v>
      </c>
      <c r="AE24" s="272">
        <v>93630</v>
      </c>
      <c r="AF24" s="272">
        <v>31951</v>
      </c>
      <c r="AG24" s="272">
        <v>145611</v>
      </c>
      <c r="AH24" s="455">
        <f t="shared" si="3"/>
        <v>543015</v>
      </c>
      <c r="AI24" s="272">
        <v>447322</v>
      </c>
      <c r="AJ24" s="272">
        <v>95693</v>
      </c>
      <c r="AK24" s="272">
        <v>1561563</v>
      </c>
      <c r="AL24" s="455">
        <f t="shared" si="4"/>
        <v>812198</v>
      </c>
      <c r="AM24" s="272">
        <v>415938</v>
      </c>
      <c r="AN24" s="272">
        <v>254936</v>
      </c>
      <c r="AO24" s="272">
        <v>0</v>
      </c>
      <c r="AP24" s="272">
        <v>141324</v>
      </c>
      <c r="AQ24" s="272">
        <v>336276</v>
      </c>
      <c r="AR24" s="272">
        <v>0</v>
      </c>
      <c r="AS24" s="272">
        <v>0</v>
      </c>
      <c r="AT24" s="272">
        <v>1602022</v>
      </c>
      <c r="AU24" s="272">
        <v>408824</v>
      </c>
      <c r="AV24" s="272">
        <v>67730</v>
      </c>
      <c r="AW24" s="272">
        <v>40477</v>
      </c>
      <c r="AX24" s="272">
        <v>1193198</v>
      </c>
      <c r="AY24" s="272">
        <v>250835</v>
      </c>
      <c r="AZ24" s="272">
        <v>2846308</v>
      </c>
      <c r="BA24" s="272">
        <v>5004</v>
      </c>
      <c r="BB24" s="272">
        <v>239627</v>
      </c>
      <c r="BC24" s="272">
        <v>9932180</v>
      </c>
      <c r="BD24" s="272">
        <v>3000000</v>
      </c>
      <c r="BE24" s="272">
        <v>826222</v>
      </c>
      <c r="BF24" s="272">
        <v>6052191</v>
      </c>
      <c r="BG24" s="272">
        <v>0</v>
      </c>
      <c r="BH24" s="272">
        <v>1567549</v>
      </c>
      <c r="BI24" s="272">
        <v>328548</v>
      </c>
      <c r="BJ24" s="272">
        <v>8243221</v>
      </c>
      <c r="BK24" s="272">
        <v>2024750</v>
      </c>
      <c r="BL24" s="272">
        <v>10472</v>
      </c>
      <c r="BM24" s="272">
        <v>5900000</v>
      </c>
      <c r="BN24" s="272">
        <v>1267700</v>
      </c>
      <c r="BO24" s="455">
        <f t="shared" si="5"/>
        <v>1267700</v>
      </c>
      <c r="BP24" s="455">
        <f t="shared" si="6"/>
        <v>0</v>
      </c>
      <c r="BQ24" s="272"/>
      <c r="BR24" s="272"/>
      <c r="BS24" s="272"/>
      <c r="BT24" s="272">
        <v>0</v>
      </c>
      <c r="BU24" s="272">
        <v>54689430</v>
      </c>
      <c r="BV24" s="272"/>
      <c r="BW24" s="272">
        <v>10413026</v>
      </c>
      <c r="BX24" s="272">
        <v>7726620</v>
      </c>
      <c r="BY24" s="272">
        <v>582396</v>
      </c>
      <c r="BZ24" s="272">
        <v>411663</v>
      </c>
      <c r="CA24" s="272">
        <v>1736701</v>
      </c>
      <c r="CB24" s="272">
        <v>207926</v>
      </c>
      <c r="CC24" s="272">
        <v>585317</v>
      </c>
      <c r="CD24" s="272">
        <v>370005</v>
      </c>
      <c r="CE24" s="272">
        <v>552518</v>
      </c>
      <c r="CF24" s="272">
        <v>0</v>
      </c>
      <c r="CG24" s="272">
        <v>20935</v>
      </c>
      <c r="CH24" s="272">
        <v>2034379</v>
      </c>
      <c r="CI24" s="272">
        <v>902691</v>
      </c>
      <c r="CJ24" s="455">
        <f t="shared" si="7"/>
        <v>1131688</v>
      </c>
      <c r="CK24" s="272">
        <v>5071307</v>
      </c>
      <c r="CL24" s="272">
        <v>2845771</v>
      </c>
      <c r="CM24" s="272">
        <v>119219</v>
      </c>
      <c r="CN24" s="272">
        <v>1307037</v>
      </c>
      <c r="CO24" s="272">
        <v>186542</v>
      </c>
      <c r="CP24" s="272">
        <v>3566242</v>
      </c>
      <c r="CQ24" s="272">
        <v>96001</v>
      </c>
      <c r="CR24" s="272">
        <v>776799</v>
      </c>
      <c r="CS24" s="272">
        <v>570844</v>
      </c>
      <c r="CT24" s="455">
        <f t="shared" si="8"/>
        <v>1983464</v>
      </c>
      <c r="CU24" s="272">
        <v>386043</v>
      </c>
      <c r="CV24" s="272">
        <v>1597421</v>
      </c>
      <c r="CW24" s="455">
        <f t="shared" si="9"/>
        <v>702658</v>
      </c>
      <c r="CX24" s="272">
        <v>378837</v>
      </c>
      <c r="CY24" s="272">
        <v>323821</v>
      </c>
      <c r="CZ24" s="455">
        <f t="shared" si="10"/>
        <v>0</v>
      </c>
      <c r="DA24" s="272">
        <v>0</v>
      </c>
      <c r="DB24" s="272">
        <v>0</v>
      </c>
      <c r="DC24" s="272">
        <v>12999337</v>
      </c>
      <c r="DD24" s="272">
        <v>841451</v>
      </c>
      <c r="DE24" s="272">
        <v>12142852</v>
      </c>
      <c r="DF24" s="272">
        <v>8040</v>
      </c>
      <c r="DG24" s="272">
        <v>6994</v>
      </c>
      <c r="DH24" s="272">
        <v>868</v>
      </c>
      <c r="DI24" s="272">
        <v>10873521</v>
      </c>
      <c r="DJ24" s="272">
        <v>548875</v>
      </c>
      <c r="DK24" s="272">
        <v>232742</v>
      </c>
      <c r="DL24" s="272">
        <v>10091904</v>
      </c>
      <c r="DM24" s="272">
        <v>797440</v>
      </c>
      <c r="DN24" s="272">
        <v>194360</v>
      </c>
      <c r="DO24" s="272">
        <v>191</v>
      </c>
      <c r="DP24" s="272">
        <v>194169</v>
      </c>
      <c r="DQ24" s="272">
        <v>2034967</v>
      </c>
      <c r="DR24" s="272">
        <v>2517</v>
      </c>
      <c r="DS24" s="272">
        <v>0</v>
      </c>
      <c r="DT24" s="272">
        <v>3725964</v>
      </c>
      <c r="DU24" s="272">
        <v>1860000</v>
      </c>
      <c r="DV24" s="455">
        <f t="shared" si="11"/>
        <v>0</v>
      </c>
      <c r="DW24" s="272">
        <v>0</v>
      </c>
      <c r="DX24" s="272">
        <v>0</v>
      </c>
      <c r="DY24" s="457" t="s">
        <v>646</v>
      </c>
      <c r="DZ24" s="272">
        <v>395116</v>
      </c>
      <c r="EA24" s="272">
        <v>415918</v>
      </c>
      <c r="EB24" s="272"/>
      <c r="EC24" s="272">
        <v>0</v>
      </c>
      <c r="ED24" s="272">
        <v>53440294</v>
      </c>
      <c r="EF24" s="272">
        <v>1249136</v>
      </c>
      <c r="EG24" s="272">
        <v>192582</v>
      </c>
      <c r="EH24" s="272">
        <v>1056554</v>
      </c>
      <c r="EI24" s="272">
        <v>-471994</v>
      </c>
      <c r="EJ24" s="272">
        <v>-2923119</v>
      </c>
      <c r="EL24" s="272"/>
      <c r="EM24" s="272">
        <v>121276</v>
      </c>
      <c r="EN24" s="272">
        <v>6038725</v>
      </c>
      <c r="EO24" s="272">
        <v>77651</v>
      </c>
      <c r="EP24" s="455">
        <f t="shared" si="12"/>
        <v>6684404</v>
      </c>
      <c r="EQ24" s="272">
        <v>26740634</v>
      </c>
      <c r="ER24" s="272">
        <v>-12768829</v>
      </c>
      <c r="ES24" s="272">
        <v>9794959</v>
      </c>
      <c r="ET24" s="272">
        <v>7235854</v>
      </c>
      <c r="EU24" s="272">
        <v>402111</v>
      </c>
      <c r="EV24" s="272">
        <v>1967082</v>
      </c>
      <c r="EW24" s="455">
        <f t="shared" si="13"/>
        <v>7693033</v>
      </c>
      <c r="EX24" s="272">
        <v>7692165</v>
      </c>
      <c r="EY24" s="272">
        <v>383658</v>
      </c>
      <c r="EZ24" s="272">
        <v>7300467</v>
      </c>
      <c r="FA24" s="272">
        <v>868</v>
      </c>
      <c r="FB24" s="272"/>
      <c r="FC24" s="272">
        <v>4173255</v>
      </c>
      <c r="FD24" s="272">
        <v>3201428</v>
      </c>
      <c r="FE24" s="272">
        <v>96001</v>
      </c>
      <c r="FF24" s="272">
        <v>3580559</v>
      </c>
      <c r="FG24" s="455">
        <f t="shared" si="14"/>
        <v>7537853</v>
      </c>
      <c r="FH24" s="272">
        <v>38350280</v>
      </c>
      <c r="FI24" s="384">
        <f t="shared" si="15"/>
        <v>4.4000000000000004</v>
      </c>
      <c r="FJ24" s="272">
        <v>24146376</v>
      </c>
      <c r="FK24" s="272"/>
      <c r="FL24" s="272">
        <v>18173790</v>
      </c>
      <c r="FM24" s="272">
        <v>15601284</v>
      </c>
      <c r="FN24" s="460">
        <v>1.1639999999999999</v>
      </c>
      <c r="FO24" s="388">
        <v>73.3</v>
      </c>
      <c r="FP24" s="388">
        <v>39.200000000000003</v>
      </c>
      <c r="FQ24" s="388">
        <v>1.6</v>
      </c>
      <c r="FR24" s="388">
        <v>7.6</v>
      </c>
      <c r="FS24" s="388">
        <v>15.1</v>
      </c>
      <c r="FT24" s="388">
        <v>5.7</v>
      </c>
      <c r="FU24" s="388">
        <v>3.5</v>
      </c>
      <c r="FV24" s="388">
        <v>5.4</v>
      </c>
      <c r="FW24" s="272">
        <v>21591379</v>
      </c>
      <c r="FX24" s="384">
        <f t="shared" si="16"/>
        <v>89.4</v>
      </c>
      <c r="FY24" s="272">
        <v>43002340</v>
      </c>
      <c r="FZ24" s="272">
        <v>7138456</v>
      </c>
      <c r="GA24" s="272">
        <v>3651542</v>
      </c>
      <c r="GB24" s="272">
        <v>32212342</v>
      </c>
      <c r="GC24" s="272"/>
      <c r="GD24" s="272">
        <v>19768429</v>
      </c>
      <c r="GE24" s="384">
        <f t="shared" si="17"/>
        <v>81.900000000000006</v>
      </c>
      <c r="GF24" s="388">
        <v>98.2</v>
      </c>
      <c r="GG24" s="388">
        <v>21</v>
      </c>
      <c r="GH24" s="388">
        <v>96</v>
      </c>
      <c r="GI24" s="272">
        <v>1159</v>
      </c>
    </row>
    <row r="25" spans="2:191" x14ac:dyDescent="0.15">
      <c r="B25" s="89" t="s">
        <v>43</v>
      </c>
      <c r="C25" s="272">
        <v>10274810</v>
      </c>
      <c r="D25" s="455">
        <f t="shared" si="0"/>
        <v>4395068</v>
      </c>
      <c r="E25" s="272">
        <v>53376</v>
      </c>
      <c r="F25" s="272">
        <v>4341692</v>
      </c>
      <c r="G25" s="455">
        <f t="shared" si="1"/>
        <v>1209971</v>
      </c>
      <c r="H25" s="272">
        <v>108915</v>
      </c>
      <c r="I25" s="272">
        <v>1101056</v>
      </c>
      <c r="J25" s="272">
        <v>3549592</v>
      </c>
      <c r="K25" s="272">
        <v>1542687</v>
      </c>
      <c r="L25" s="272">
        <v>1113867</v>
      </c>
      <c r="M25" s="272">
        <v>865170</v>
      </c>
      <c r="N25" s="272">
        <v>280312</v>
      </c>
      <c r="O25" s="272">
        <v>792548</v>
      </c>
      <c r="P25" s="272">
        <v>542769</v>
      </c>
      <c r="Q25" s="272">
        <v>249779</v>
      </c>
      <c r="R25" s="272">
        <v>430072</v>
      </c>
      <c r="S25" s="272">
        <v>298724</v>
      </c>
      <c r="T25" s="455">
        <f t="shared" si="2"/>
        <v>449065</v>
      </c>
      <c r="U25" s="272">
        <v>251101</v>
      </c>
      <c r="V25" s="272"/>
      <c r="W25" s="272"/>
      <c r="X25" s="272"/>
      <c r="Y25" s="272">
        <v>0</v>
      </c>
      <c r="Z25" s="272">
        <v>1181</v>
      </c>
      <c r="AA25" s="272">
        <v>196783</v>
      </c>
      <c r="AB25" s="272"/>
      <c r="AC25" s="272">
        <v>3172239</v>
      </c>
      <c r="AD25" s="272">
        <v>2823787</v>
      </c>
      <c r="AE25" s="272">
        <v>348452</v>
      </c>
      <c r="AF25" s="272">
        <v>15754</v>
      </c>
      <c r="AG25" s="272">
        <v>164937</v>
      </c>
      <c r="AH25" s="455">
        <f t="shared" si="3"/>
        <v>262297</v>
      </c>
      <c r="AI25" s="272">
        <v>200238</v>
      </c>
      <c r="AJ25" s="272">
        <v>62059</v>
      </c>
      <c r="AK25" s="272">
        <v>1302677</v>
      </c>
      <c r="AL25" s="455">
        <f t="shared" si="4"/>
        <v>992163</v>
      </c>
      <c r="AM25" s="272">
        <v>633119</v>
      </c>
      <c r="AN25" s="272">
        <v>270465</v>
      </c>
      <c r="AO25" s="272">
        <v>0</v>
      </c>
      <c r="AP25" s="272">
        <v>88579</v>
      </c>
      <c r="AQ25" s="272">
        <v>71553</v>
      </c>
      <c r="AR25" s="272">
        <v>0</v>
      </c>
      <c r="AS25" s="272">
        <v>0</v>
      </c>
      <c r="AT25" s="272">
        <v>922382</v>
      </c>
      <c r="AU25" s="272">
        <v>263083</v>
      </c>
      <c r="AV25" s="272">
        <v>88942</v>
      </c>
      <c r="AW25" s="272">
        <v>16493</v>
      </c>
      <c r="AX25" s="272">
        <v>659299</v>
      </c>
      <c r="AY25" s="272">
        <v>167688</v>
      </c>
      <c r="AZ25" s="272">
        <v>311240</v>
      </c>
      <c r="BA25" s="272">
        <v>41832</v>
      </c>
      <c r="BB25" s="272">
        <v>257451</v>
      </c>
      <c r="BC25" s="272">
        <v>388873</v>
      </c>
      <c r="BD25" s="272">
        <v>0</v>
      </c>
      <c r="BE25" s="272">
        <v>53000</v>
      </c>
      <c r="BF25" s="272">
        <v>322200</v>
      </c>
      <c r="BG25" s="272">
        <v>0</v>
      </c>
      <c r="BH25" s="272">
        <v>311433</v>
      </c>
      <c r="BI25" s="272">
        <v>118506</v>
      </c>
      <c r="BJ25" s="272">
        <v>2620806</v>
      </c>
      <c r="BK25" s="272">
        <v>2456674</v>
      </c>
      <c r="BL25" s="272">
        <v>3687</v>
      </c>
      <c r="BM25" s="272">
        <v>0</v>
      </c>
      <c r="BN25" s="272">
        <v>398400</v>
      </c>
      <c r="BO25" s="455">
        <f t="shared" si="5"/>
        <v>398400</v>
      </c>
      <c r="BP25" s="455">
        <f t="shared" si="6"/>
        <v>0</v>
      </c>
      <c r="BQ25" s="272"/>
      <c r="BR25" s="272"/>
      <c r="BS25" s="272"/>
      <c r="BT25" s="272">
        <v>0</v>
      </c>
      <c r="BU25" s="272">
        <v>21282436</v>
      </c>
      <c r="BV25" s="272"/>
      <c r="BW25" s="272">
        <v>4165831</v>
      </c>
      <c r="BX25" s="272">
        <v>3180006</v>
      </c>
      <c r="BY25" s="272">
        <v>82085</v>
      </c>
      <c r="BZ25" s="272">
        <v>80193</v>
      </c>
      <c r="CA25" s="272">
        <v>2031988</v>
      </c>
      <c r="CB25" s="272">
        <v>185767</v>
      </c>
      <c r="CC25" s="272">
        <v>457469</v>
      </c>
      <c r="CD25" s="272">
        <v>551770</v>
      </c>
      <c r="CE25" s="272">
        <v>761377</v>
      </c>
      <c r="CF25" s="272">
        <v>0</v>
      </c>
      <c r="CG25" s="272">
        <v>75530</v>
      </c>
      <c r="CH25" s="272">
        <v>1650406</v>
      </c>
      <c r="CI25" s="272">
        <v>914100</v>
      </c>
      <c r="CJ25" s="455">
        <f t="shared" si="7"/>
        <v>736306</v>
      </c>
      <c r="CK25" s="272">
        <v>1993847</v>
      </c>
      <c r="CL25" s="272">
        <v>1044092</v>
      </c>
      <c r="CM25" s="272">
        <v>91894</v>
      </c>
      <c r="CN25" s="272">
        <v>438021</v>
      </c>
      <c r="CO25" s="272">
        <v>202152</v>
      </c>
      <c r="CP25" s="272">
        <v>2843431</v>
      </c>
      <c r="CQ25" s="272">
        <v>1707767</v>
      </c>
      <c r="CR25" s="272">
        <v>469434</v>
      </c>
      <c r="CS25" s="272">
        <v>460819</v>
      </c>
      <c r="CT25" s="455">
        <f t="shared" si="8"/>
        <v>201894</v>
      </c>
      <c r="CU25" s="272">
        <v>1991</v>
      </c>
      <c r="CV25" s="272">
        <v>199903</v>
      </c>
      <c r="CW25" s="455">
        <f t="shared" si="9"/>
        <v>198503</v>
      </c>
      <c r="CX25" s="272">
        <v>0</v>
      </c>
      <c r="CY25" s="272">
        <v>198503</v>
      </c>
      <c r="CZ25" s="455">
        <f t="shared" si="10"/>
        <v>0</v>
      </c>
      <c r="DA25" s="272">
        <v>0</v>
      </c>
      <c r="DB25" s="272">
        <v>0</v>
      </c>
      <c r="DC25" s="272">
        <v>2923384</v>
      </c>
      <c r="DD25" s="272">
        <v>152720</v>
      </c>
      <c r="DE25" s="272">
        <v>2766977</v>
      </c>
      <c r="DF25" s="272">
        <v>0</v>
      </c>
      <c r="DG25" s="272">
        <v>3687</v>
      </c>
      <c r="DH25" s="272">
        <v>0</v>
      </c>
      <c r="DI25" s="272">
        <v>1230701</v>
      </c>
      <c r="DJ25" s="272">
        <v>103632</v>
      </c>
      <c r="DK25" s="272">
        <v>306471</v>
      </c>
      <c r="DL25" s="272">
        <v>820598</v>
      </c>
      <c r="DM25" s="272">
        <v>2400</v>
      </c>
      <c r="DN25" s="272">
        <v>0</v>
      </c>
      <c r="DO25" s="272">
        <v>0</v>
      </c>
      <c r="DP25" s="272">
        <v>0</v>
      </c>
      <c r="DQ25" s="272">
        <v>2345100</v>
      </c>
      <c r="DR25" s="272">
        <v>0</v>
      </c>
      <c r="DS25" s="272">
        <v>0</v>
      </c>
      <c r="DT25" s="272">
        <v>1660792</v>
      </c>
      <c r="DU25" s="272">
        <v>1030000</v>
      </c>
      <c r="DV25" s="455">
        <f t="shared" si="11"/>
        <v>0</v>
      </c>
      <c r="DW25" s="272">
        <v>0</v>
      </c>
      <c r="DX25" s="272">
        <v>0</v>
      </c>
      <c r="DY25" s="457" t="s">
        <v>646</v>
      </c>
      <c r="DZ25" s="272">
        <v>329358</v>
      </c>
      <c r="EA25" s="272">
        <v>207534</v>
      </c>
      <c r="EB25" s="272"/>
      <c r="EC25" s="272">
        <v>0</v>
      </c>
      <c r="ED25" s="272">
        <v>21050032</v>
      </c>
      <c r="EF25" s="272">
        <v>232404</v>
      </c>
      <c r="EG25" s="272">
        <v>3069</v>
      </c>
      <c r="EH25" s="272">
        <v>229335</v>
      </c>
      <c r="EI25" s="272">
        <v>-29171</v>
      </c>
      <c r="EJ25" s="272">
        <v>74461</v>
      </c>
      <c r="EL25" s="272"/>
      <c r="EM25" s="272">
        <v>75478</v>
      </c>
      <c r="EN25" s="272">
        <v>53000</v>
      </c>
      <c r="EO25" s="272">
        <v>44398</v>
      </c>
      <c r="EP25" s="455">
        <f t="shared" si="12"/>
        <v>2926090</v>
      </c>
      <c r="EQ25" s="272">
        <v>14341940</v>
      </c>
      <c r="ER25" s="272">
        <v>-3007734</v>
      </c>
      <c r="ES25" s="272">
        <v>3790195</v>
      </c>
      <c r="ET25" s="272">
        <v>2805390</v>
      </c>
      <c r="EU25" s="272">
        <v>575680</v>
      </c>
      <c r="EV25" s="272">
        <v>1650406</v>
      </c>
      <c r="EW25" s="455">
        <f t="shared" si="13"/>
        <v>1725563</v>
      </c>
      <c r="EX25" s="272">
        <v>1725563</v>
      </c>
      <c r="EY25" s="272">
        <v>36924</v>
      </c>
      <c r="EZ25" s="272">
        <v>1688639</v>
      </c>
      <c r="FA25" s="272">
        <v>0</v>
      </c>
      <c r="FB25" s="272"/>
      <c r="FC25" s="272">
        <v>1701646</v>
      </c>
      <c r="FD25" s="272">
        <v>2629885</v>
      </c>
      <c r="FE25" s="272">
        <v>1707767</v>
      </c>
      <c r="FF25" s="272">
        <v>1581241</v>
      </c>
      <c r="FG25" s="455">
        <f t="shared" si="14"/>
        <v>3525737</v>
      </c>
      <c r="FH25" s="272">
        <v>17180353</v>
      </c>
      <c r="FI25" s="384">
        <f t="shared" si="15"/>
        <v>1.8</v>
      </c>
      <c r="FJ25" s="272">
        <v>12955303</v>
      </c>
      <c r="FK25" s="272"/>
      <c r="FL25" s="272">
        <v>7634827</v>
      </c>
      <c r="FM25" s="272">
        <v>10501501</v>
      </c>
      <c r="FN25" s="460">
        <v>0.76900000000000002</v>
      </c>
      <c r="FO25" s="388">
        <v>84.2</v>
      </c>
      <c r="FP25" s="388">
        <v>28.1</v>
      </c>
      <c r="FQ25" s="388">
        <v>4.3</v>
      </c>
      <c r="FR25" s="388">
        <v>12.5</v>
      </c>
      <c r="FS25" s="388">
        <v>12.6</v>
      </c>
      <c r="FT25" s="388">
        <v>17.8</v>
      </c>
      <c r="FU25" s="388">
        <v>7.3</v>
      </c>
      <c r="FV25" s="388">
        <v>8.4</v>
      </c>
      <c r="FW25" s="272">
        <v>10542586</v>
      </c>
      <c r="FX25" s="384">
        <f t="shared" si="16"/>
        <v>81.400000000000006</v>
      </c>
      <c r="FY25" s="272">
        <v>6299371</v>
      </c>
      <c r="FZ25" s="272">
        <v>2252715</v>
      </c>
      <c r="GA25" s="272">
        <v>655121</v>
      </c>
      <c r="GB25" s="272">
        <v>3391535</v>
      </c>
      <c r="GC25" s="272"/>
      <c r="GD25" s="272">
        <v>3446663</v>
      </c>
      <c r="GE25" s="384">
        <f t="shared" si="17"/>
        <v>26.6</v>
      </c>
      <c r="GF25" s="388">
        <v>97.1</v>
      </c>
      <c r="GG25" s="388">
        <v>38.9</v>
      </c>
      <c r="GH25" s="388">
        <v>94.8</v>
      </c>
      <c r="GI25" s="272">
        <v>456</v>
      </c>
    </row>
    <row r="26" spans="2:191" x14ac:dyDescent="0.15">
      <c r="B26" s="89" t="s">
        <v>45</v>
      </c>
      <c r="C26" s="272">
        <v>13905587</v>
      </c>
      <c r="D26" s="455">
        <f t="shared" si="0"/>
        <v>7407716</v>
      </c>
      <c r="E26" s="272">
        <v>79850</v>
      </c>
      <c r="F26" s="272">
        <v>7327866</v>
      </c>
      <c r="G26" s="455">
        <f t="shared" si="1"/>
        <v>890547</v>
      </c>
      <c r="H26" s="272">
        <v>122071</v>
      </c>
      <c r="I26" s="272">
        <v>768476</v>
      </c>
      <c r="J26" s="272">
        <v>4006733</v>
      </c>
      <c r="K26" s="272">
        <v>1980747</v>
      </c>
      <c r="L26" s="272">
        <v>1582949</v>
      </c>
      <c r="M26" s="272">
        <v>429885</v>
      </c>
      <c r="N26" s="272">
        <v>410436</v>
      </c>
      <c r="O26" s="272">
        <v>1080737</v>
      </c>
      <c r="P26" s="272">
        <v>744797</v>
      </c>
      <c r="Q26" s="272">
        <v>335940</v>
      </c>
      <c r="R26" s="272">
        <v>595612</v>
      </c>
      <c r="S26" s="272">
        <v>406797</v>
      </c>
      <c r="T26" s="455">
        <f t="shared" si="2"/>
        <v>698051</v>
      </c>
      <c r="U26" s="272">
        <v>414868</v>
      </c>
      <c r="V26" s="272"/>
      <c r="W26" s="272"/>
      <c r="X26" s="272"/>
      <c r="Y26" s="272">
        <v>0</v>
      </c>
      <c r="Z26" s="272">
        <v>188</v>
      </c>
      <c r="AA26" s="272">
        <v>282995</v>
      </c>
      <c r="AB26" s="272"/>
      <c r="AC26" s="272">
        <v>4498259</v>
      </c>
      <c r="AD26" s="272">
        <v>4164641</v>
      </c>
      <c r="AE26" s="272">
        <v>333618</v>
      </c>
      <c r="AF26" s="272">
        <v>24941</v>
      </c>
      <c r="AG26" s="272">
        <v>188425</v>
      </c>
      <c r="AH26" s="455">
        <f t="shared" si="3"/>
        <v>334097</v>
      </c>
      <c r="AI26" s="272">
        <v>305159</v>
      </c>
      <c r="AJ26" s="272">
        <v>28938</v>
      </c>
      <c r="AK26" s="272">
        <v>2881565</v>
      </c>
      <c r="AL26" s="455">
        <f t="shared" si="4"/>
        <v>1320078</v>
      </c>
      <c r="AM26" s="272">
        <v>1004941</v>
      </c>
      <c r="AN26" s="272">
        <v>270761</v>
      </c>
      <c r="AO26" s="272">
        <v>0</v>
      </c>
      <c r="AP26" s="272">
        <v>44376</v>
      </c>
      <c r="AQ26" s="272">
        <v>1022485</v>
      </c>
      <c r="AR26" s="272">
        <v>0</v>
      </c>
      <c r="AS26" s="272">
        <v>0</v>
      </c>
      <c r="AT26" s="272">
        <v>1797962</v>
      </c>
      <c r="AU26" s="272">
        <v>730201</v>
      </c>
      <c r="AV26" s="272">
        <v>165297</v>
      </c>
      <c r="AW26" s="272">
        <v>77466</v>
      </c>
      <c r="AX26" s="272">
        <v>1067761</v>
      </c>
      <c r="AY26" s="272">
        <v>259970</v>
      </c>
      <c r="AZ26" s="272">
        <v>545257</v>
      </c>
      <c r="BA26" s="272">
        <v>227287</v>
      </c>
      <c r="BB26" s="272">
        <v>277681</v>
      </c>
      <c r="BC26" s="272">
        <v>1371921</v>
      </c>
      <c r="BD26" s="272">
        <v>0</v>
      </c>
      <c r="BE26" s="272">
        <v>445000</v>
      </c>
      <c r="BF26" s="272">
        <v>900000</v>
      </c>
      <c r="BG26" s="470">
        <v>0</v>
      </c>
      <c r="BH26" s="272">
        <v>876307</v>
      </c>
      <c r="BI26" s="272">
        <v>875079</v>
      </c>
      <c r="BJ26" s="272">
        <v>190787</v>
      </c>
      <c r="BK26" s="272">
        <v>2200</v>
      </c>
      <c r="BL26" s="272">
        <v>0</v>
      </c>
      <c r="BM26" s="272">
        <v>0</v>
      </c>
      <c r="BN26" s="272">
        <v>3503300</v>
      </c>
      <c r="BO26" s="455">
        <f t="shared" si="5"/>
        <v>3503300</v>
      </c>
      <c r="BP26" s="455">
        <f t="shared" si="6"/>
        <v>0</v>
      </c>
      <c r="BQ26" s="272"/>
      <c r="BR26" s="272"/>
      <c r="BS26" s="272"/>
      <c r="BT26" s="272">
        <v>0</v>
      </c>
      <c r="BU26" s="272">
        <v>31689752</v>
      </c>
      <c r="BV26" s="272"/>
      <c r="BW26" s="272">
        <v>6823314</v>
      </c>
      <c r="BX26" s="272">
        <v>5296441</v>
      </c>
      <c r="BY26" s="272">
        <v>269552</v>
      </c>
      <c r="BZ26" s="272">
        <v>52591</v>
      </c>
      <c r="CA26" s="272">
        <v>3315639</v>
      </c>
      <c r="CB26" s="272">
        <v>380376</v>
      </c>
      <c r="CC26" s="272">
        <v>579553</v>
      </c>
      <c r="CD26" s="272">
        <v>914541</v>
      </c>
      <c r="CE26" s="272">
        <v>1371592</v>
      </c>
      <c r="CF26" s="272">
        <v>892</v>
      </c>
      <c r="CG26" s="272">
        <v>68100</v>
      </c>
      <c r="CH26" s="272">
        <v>1840957</v>
      </c>
      <c r="CI26" s="272">
        <v>1022053</v>
      </c>
      <c r="CJ26" s="455">
        <f t="shared" si="7"/>
        <v>818904</v>
      </c>
      <c r="CK26" s="272">
        <v>3047462</v>
      </c>
      <c r="CL26" s="272">
        <v>1529210</v>
      </c>
      <c r="CM26" s="272">
        <v>279815</v>
      </c>
      <c r="CN26" s="272">
        <v>654716</v>
      </c>
      <c r="CO26" s="272">
        <v>233821</v>
      </c>
      <c r="CP26" s="272">
        <v>2941993</v>
      </c>
      <c r="CQ26" s="272">
        <v>1752429</v>
      </c>
      <c r="CR26" s="272">
        <v>700336</v>
      </c>
      <c r="CS26" s="272">
        <v>565661</v>
      </c>
      <c r="CT26" s="455">
        <f t="shared" si="8"/>
        <v>11518</v>
      </c>
      <c r="CU26" s="272">
        <v>11518</v>
      </c>
      <c r="CV26" s="272">
        <v>0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7883189</v>
      </c>
      <c r="DD26" s="272">
        <v>3976297</v>
      </c>
      <c r="DE26" s="272">
        <v>3614150</v>
      </c>
      <c r="DF26" s="272">
        <v>4347</v>
      </c>
      <c r="DG26" s="272">
        <v>288395</v>
      </c>
      <c r="DH26" s="272">
        <v>0</v>
      </c>
      <c r="DI26" s="272">
        <v>1694097</v>
      </c>
      <c r="DJ26" s="272">
        <v>453559</v>
      </c>
      <c r="DK26" s="272">
        <v>223228</v>
      </c>
      <c r="DL26" s="272">
        <v>1017310</v>
      </c>
      <c r="DM26" s="272">
        <v>1980</v>
      </c>
      <c r="DN26" s="272">
        <v>0</v>
      </c>
      <c r="DO26" s="272">
        <v>0</v>
      </c>
      <c r="DP26" s="272">
        <v>0</v>
      </c>
      <c r="DQ26" s="272">
        <v>0</v>
      </c>
      <c r="DR26" s="272">
        <v>0</v>
      </c>
      <c r="DS26" s="272">
        <v>0</v>
      </c>
      <c r="DT26" s="272">
        <v>2883012</v>
      </c>
      <c r="DU26" s="272">
        <v>1255212</v>
      </c>
      <c r="DV26" s="455">
        <f t="shared" si="11"/>
        <v>0</v>
      </c>
      <c r="DW26" s="272">
        <v>0</v>
      </c>
      <c r="DX26" s="272">
        <v>0</v>
      </c>
      <c r="DY26" s="457" t="s">
        <v>646</v>
      </c>
      <c r="DZ26" s="272">
        <v>621047</v>
      </c>
      <c r="EA26" s="272">
        <v>322022</v>
      </c>
      <c r="EB26" s="272"/>
      <c r="EC26" s="272">
        <v>0</v>
      </c>
      <c r="ED26" s="272">
        <v>30665464</v>
      </c>
      <c r="EF26" s="272">
        <v>1024288</v>
      </c>
      <c r="EG26" s="272">
        <v>22609</v>
      </c>
      <c r="EH26" s="272">
        <v>1001679</v>
      </c>
      <c r="EI26" s="272">
        <v>126600</v>
      </c>
      <c r="EJ26" s="272">
        <v>580159</v>
      </c>
      <c r="EL26" s="272"/>
      <c r="EM26" s="272">
        <v>115692</v>
      </c>
      <c r="EN26" s="272">
        <v>1371921</v>
      </c>
      <c r="EO26" s="272">
        <v>262685</v>
      </c>
      <c r="EP26" s="455">
        <f t="shared" si="12"/>
        <v>1295045</v>
      </c>
      <c r="EQ26" s="272">
        <v>19722450</v>
      </c>
      <c r="ER26" s="272">
        <v>-2904710</v>
      </c>
      <c r="ES26" s="272">
        <v>6189413</v>
      </c>
      <c r="ET26" s="272">
        <v>4698449</v>
      </c>
      <c r="EU26" s="272">
        <v>996868</v>
      </c>
      <c r="EV26" s="272">
        <v>1737849</v>
      </c>
      <c r="EW26" s="455">
        <f t="shared" si="13"/>
        <v>2726693</v>
      </c>
      <c r="EX26" s="272">
        <v>2726693</v>
      </c>
      <c r="EY26" s="272">
        <v>684372</v>
      </c>
      <c r="EZ26" s="272">
        <v>2037974</v>
      </c>
      <c r="FA26" s="272">
        <v>0</v>
      </c>
      <c r="FB26" s="272"/>
      <c r="FC26" s="272">
        <v>2755425</v>
      </c>
      <c r="FD26" s="272">
        <v>2796078</v>
      </c>
      <c r="FE26" s="272">
        <v>1752429</v>
      </c>
      <c r="FF26" s="272">
        <v>2783421</v>
      </c>
      <c r="FG26" s="455">
        <f t="shared" si="14"/>
        <v>1637116</v>
      </c>
      <c r="FH26" s="272">
        <v>21622863</v>
      </c>
      <c r="FI26" s="384">
        <f t="shared" si="15"/>
        <v>5.6</v>
      </c>
      <c r="FJ26" s="272">
        <v>17755885</v>
      </c>
      <c r="FK26" s="272"/>
      <c r="FL26" s="272">
        <v>10246589</v>
      </c>
      <c r="FM26" s="272">
        <v>14431088</v>
      </c>
      <c r="FN26" s="460">
        <v>0.752</v>
      </c>
      <c r="FO26" s="388">
        <v>80.900000000000006</v>
      </c>
      <c r="FP26" s="388">
        <v>33.6</v>
      </c>
      <c r="FQ26" s="388">
        <v>5.4</v>
      </c>
      <c r="FR26" s="388">
        <v>9.4</v>
      </c>
      <c r="FS26" s="388">
        <v>12.8</v>
      </c>
      <c r="FT26" s="388">
        <v>14.3</v>
      </c>
      <c r="FU26" s="388">
        <v>4.3</v>
      </c>
      <c r="FV26" s="388">
        <v>9.5</v>
      </c>
      <c r="FW26" s="272">
        <v>16040835</v>
      </c>
      <c r="FX26" s="384">
        <f t="shared" si="16"/>
        <v>90.3</v>
      </c>
      <c r="FY26" s="272">
        <v>6383752</v>
      </c>
      <c r="FZ26" s="272">
        <v>879559</v>
      </c>
      <c r="GA26" s="272">
        <v>719234</v>
      </c>
      <c r="GB26" s="272">
        <v>4784959</v>
      </c>
      <c r="GC26" s="272"/>
      <c r="GD26" s="272">
        <v>8860762</v>
      </c>
      <c r="GE26" s="384">
        <f t="shared" si="17"/>
        <v>49.9</v>
      </c>
      <c r="GF26" s="388">
        <v>97.8</v>
      </c>
      <c r="GG26" s="388">
        <v>46.5</v>
      </c>
      <c r="GH26" s="388">
        <v>96.1</v>
      </c>
      <c r="GI26" s="272">
        <v>738</v>
      </c>
    </row>
    <row r="27" spans="2:191" x14ac:dyDescent="0.15">
      <c r="B27" s="89" t="s">
        <v>47</v>
      </c>
      <c r="C27" s="272">
        <v>24329078</v>
      </c>
      <c r="D27" s="455">
        <f t="shared" si="0"/>
        <v>7072806</v>
      </c>
      <c r="E27" s="272">
        <v>104811</v>
      </c>
      <c r="F27" s="272">
        <v>6967995</v>
      </c>
      <c r="G27" s="455">
        <f t="shared" si="1"/>
        <v>5077572</v>
      </c>
      <c r="H27" s="272">
        <v>337078</v>
      </c>
      <c r="I27" s="272">
        <v>4740494</v>
      </c>
      <c r="J27" s="272">
        <v>9221459</v>
      </c>
      <c r="K27" s="272">
        <v>4501061</v>
      </c>
      <c r="L27" s="272">
        <v>2641890</v>
      </c>
      <c r="M27" s="272">
        <v>1999378</v>
      </c>
      <c r="N27" s="272">
        <v>859092</v>
      </c>
      <c r="O27" s="272">
        <v>1955260</v>
      </c>
      <c r="P27" s="272">
        <v>1357668</v>
      </c>
      <c r="Q27" s="272">
        <v>597592</v>
      </c>
      <c r="R27" s="272">
        <v>940863</v>
      </c>
      <c r="S27" s="272">
        <v>737631</v>
      </c>
      <c r="T27" s="455">
        <f t="shared" si="2"/>
        <v>733363</v>
      </c>
      <c r="U27" s="272">
        <v>424850</v>
      </c>
      <c r="V27" s="272"/>
      <c r="W27" s="272"/>
      <c r="X27" s="272"/>
      <c r="Y27" s="272">
        <v>0</v>
      </c>
      <c r="Z27" s="272">
        <v>4380</v>
      </c>
      <c r="AA27" s="272">
        <v>304133</v>
      </c>
      <c r="AB27" s="272"/>
      <c r="AC27" s="272">
        <v>155246</v>
      </c>
      <c r="AD27" s="272">
        <v>0</v>
      </c>
      <c r="AE27" s="272">
        <v>155246</v>
      </c>
      <c r="AF27" s="272">
        <v>28184</v>
      </c>
      <c r="AG27" s="272">
        <v>167619</v>
      </c>
      <c r="AH27" s="455">
        <f t="shared" si="3"/>
        <v>409666</v>
      </c>
      <c r="AI27" s="272">
        <v>255173</v>
      </c>
      <c r="AJ27" s="272">
        <v>154493</v>
      </c>
      <c r="AK27" s="272">
        <v>3127223</v>
      </c>
      <c r="AL27" s="455">
        <f t="shared" si="4"/>
        <v>2235762</v>
      </c>
      <c r="AM27" s="272">
        <v>1858494</v>
      </c>
      <c r="AN27" s="272">
        <v>286954</v>
      </c>
      <c r="AO27" s="272">
        <v>0</v>
      </c>
      <c r="AP27" s="272">
        <v>90314</v>
      </c>
      <c r="AQ27" s="272">
        <v>171725</v>
      </c>
      <c r="AR27" s="272">
        <v>0</v>
      </c>
      <c r="AS27" s="272">
        <v>0</v>
      </c>
      <c r="AT27" s="272">
        <v>1384455</v>
      </c>
      <c r="AU27" s="272">
        <v>530905</v>
      </c>
      <c r="AV27" s="272">
        <v>143223</v>
      </c>
      <c r="AW27" s="272">
        <v>6322</v>
      </c>
      <c r="AX27" s="272">
        <v>853550</v>
      </c>
      <c r="AY27" s="272">
        <v>123576</v>
      </c>
      <c r="AZ27" s="272">
        <v>823905</v>
      </c>
      <c r="BA27" s="272">
        <v>8319</v>
      </c>
      <c r="BB27" s="272">
        <v>687812</v>
      </c>
      <c r="BC27" s="272">
        <v>4134190</v>
      </c>
      <c r="BD27" s="272">
        <v>0</v>
      </c>
      <c r="BE27" s="272">
        <v>0</v>
      </c>
      <c r="BF27" s="272">
        <v>4134190</v>
      </c>
      <c r="BG27" s="272">
        <v>0</v>
      </c>
      <c r="BH27" s="272">
        <v>1305431</v>
      </c>
      <c r="BI27" s="272">
        <v>871053</v>
      </c>
      <c r="BJ27" s="272">
        <v>473097</v>
      </c>
      <c r="BK27" s="272">
        <v>110200</v>
      </c>
      <c r="BL27" s="272">
        <v>0</v>
      </c>
      <c r="BM27" s="272">
        <v>0</v>
      </c>
      <c r="BN27" s="272">
        <v>2685700</v>
      </c>
      <c r="BO27" s="455">
        <f t="shared" si="5"/>
        <v>2685700</v>
      </c>
      <c r="BP27" s="455">
        <f t="shared" si="6"/>
        <v>0</v>
      </c>
      <c r="BQ27" s="272"/>
      <c r="BR27" s="272"/>
      <c r="BS27" s="272"/>
      <c r="BT27" s="272">
        <v>0</v>
      </c>
      <c r="BU27" s="272">
        <v>41385832</v>
      </c>
      <c r="BV27" s="272"/>
      <c r="BW27" s="272">
        <v>12118443</v>
      </c>
      <c r="BX27" s="272">
        <v>9494076</v>
      </c>
      <c r="BY27" s="272">
        <v>626169</v>
      </c>
      <c r="BZ27" s="272">
        <v>41473</v>
      </c>
      <c r="CA27" s="272">
        <v>4447002</v>
      </c>
      <c r="CB27" s="272">
        <v>463858</v>
      </c>
      <c r="CC27" s="272">
        <v>525594</v>
      </c>
      <c r="CD27" s="272">
        <v>948839</v>
      </c>
      <c r="CE27" s="272">
        <v>2415670</v>
      </c>
      <c r="CF27" s="272">
        <v>62</v>
      </c>
      <c r="CG27" s="272">
        <v>91939</v>
      </c>
      <c r="CH27" s="272">
        <v>2416564</v>
      </c>
      <c r="CI27" s="272">
        <v>1229486</v>
      </c>
      <c r="CJ27" s="455">
        <f t="shared" si="7"/>
        <v>1187078</v>
      </c>
      <c r="CK27" s="272">
        <v>2843375</v>
      </c>
      <c r="CL27" s="272">
        <v>1467724</v>
      </c>
      <c r="CM27" s="272">
        <v>73188</v>
      </c>
      <c r="CN27" s="272">
        <v>940610</v>
      </c>
      <c r="CO27" s="272">
        <v>523329</v>
      </c>
      <c r="CP27" s="272">
        <v>2880824</v>
      </c>
      <c r="CQ27" s="272">
        <v>1778735</v>
      </c>
      <c r="CR27" s="272">
        <v>467940</v>
      </c>
      <c r="CS27" s="272">
        <v>345423</v>
      </c>
      <c r="CT27" s="455">
        <f t="shared" si="8"/>
        <v>3819</v>
      </c>
      <c r="CU27" s="272">
        <v>3819</v>
      </c>
      <c r="CV27" s="272">
        <v>0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8413681</v>
      </c>
      <c r="DD27" s="272">
        <v>500377</v>
      </c>
      <c r="DE27" s="272">
        <v>7832344</v>
      </c>
      <c r="DF27" s="272">
        <v>0</v>
      </c>
      <c r="DG27" s="272">
        <v>0</v>
      </c>
      <c r="DH27" s="272">
        <v>0</v>
      </c>
      <c r="DI27" s="272">
        <v>3261487</v>
      </c>
      <c r="DJ27" s="272">
        <v>170749</v>
      </c>
      <c r="DK27" s="272">
        <v>788214</v>
      </c>
      <c r="DL27" s="272">
        <v>2302524</v>
      </c>
      <c r="DM27" s="272">
        <v>902390</v>
      </c>
      <c r="DN27" s="272">
        <v>0</v>
      </c>
      <c r="DO27" s="272">
        <v>0</v>
      </c>
      <c r="DP27" s="272">
        <v>0</v>
      </c>
      <c r="DQ27" s="272">
        <v>107500</v>
      </c>
      <c r="DR27" s="272">
        <v>0</v>
      </c>
      <c r="DS27" s="272">
        <v>0</v>
      </c>
      <c r="DT27" s="272">
        <v>2418509</v>
      </c>
      <c r="DU27" s="272">
        <v>1322700</v>
      </c>
      <c r="DV27" s="455">
        <f t="shared" si="11"/>
        <v>0</v>
      </c>
      <c r="DW27" s="272">
        <v>0</v>
      </c>
      <c r="DX27" s="272">
        <v>0</v>
      </c>
      <c r="DY27" s="457" t="s">
        <v>646</v>
      </c>
      <c r="DZ27" s="272">
        <v>782747</v>
      </c>
      <c r="EA27" s="272">
        <v>309347</v>
      </c>
      <c r="EB27" s="272"/>
      <c r="EC27" s="272">
        <v>0</v>
      </c>
      <c r="ED27" s="272">
        <v>40333104</v>
      </c>
      <c r="EF27" s="272">
        <v>1052728</v>
      </c>
      <c r="EG27" s="272">
        <v>104158</v>
      </c>
      <c r="EH27" s="272">
        <v>948570</v>
      </c>
      <c r="EI27" s="272">
        <v>77517</v>
      </c>
      <c r="EJ27" s="272">
        <v>248266</v>
      </c>
      <c r="EL27" s="272"/>
      <c r="EM27" s="272">
        <v>140846</v>
      </c>
      <c r="EN27" s="272">
        <v>99599</v>
      </c>
      <c r="EO27" s="272">
        <v>18261</v>
      </c>
      <c r="EP27" s="455">
        <f t="shared" si="12"/>
        <v>1575923</v>
      </c>
      <c r="EQ27" s="272">
        <v>26186734</v>
      </c>
      <c r="ER27" s="272">
        <v>-1665599</v>
      </c>
      <c r="ES27" s="272">
        <v>11361270</v>
      </c>
      <c r="ET27" s="272">
        <v>8750131</v>
      </c>
      <c r="EU27" s="272">
        <v>1213565</v>
      </c>
      <c r="EV27" s="272">
        <v>2395705</v>
      </c>
      <c r="EW27" s="455">
        <f t="shared" si="13"/>
        <v>1653470</v>
      </c>
      <c r="EX27" s="272">
        <v>1653470</v>
      </c>
      <c r="EY27" s="272">
        <v>60454</v>
      </c>
      <c r="EZ27" s="272">
        <v>1550091</v>
      </c>
      <c r="FA27" s="272">
        <v>0</v>
      </c>
      <c r="FB27" s="272"/>
      <c r="FC27" s="272">
        <v>2425167</v>
      </c>
      <c r="FD27" s="272">
        <v>2673356</v>
      </c>
      <c r="FE27" s="272">
        <v>1778735</v>
      </c>
      <c r="FF27" s="272">
        <v>2245235</v>
      </c>
      <c r="FG27" s="455">
        <f t="shared" si="14"/>
        <v>2858824</v>
      </c>
      <c r="FH27" s="272">
        <v>26826592</v>
      </c>
      <c r="FI27" s="384">
        <f t="shared" si="15"/>
        <v>4</v>
      </c>
      <c r="FJ27" s="272">
        <v>23477995</v>
      </c>
      <c r="FK27" s="272"/>
      <c r="FL27" s="272">
        <v>17666689</v>
      </c>
      <c r="FM27" s="272">
        <v>17387940</v>
      </c>
      <c r="FN27" s="460">
        <v>1.085</v>
      </c>
      <c r="FO27" s="388">
        <v>87.8</v>
      </c>
      <c r="FP27" s="388">
        <v>46.4</v>
      </c>
      <c r="FQ27" s="388">
        <v>5</v>
      </c>
      <c r="FR27" s="388">
        <v>9.9</v>
      </c>
      <c r="FS27" s="388">
        <v>8.6999999999999993</v>
      </c>
      <c r="FT27" s="388">
        <v>9.6</v>
      </c>
      <c r="FU27" s="388">
        <v>6.2</v>
      </c>
      <c r="FV27" s="388">
        <v>6.5</v>
      </c>
      <c r="FW27" s="272">
        <v>22421618</v>
      </c>
      <c r="FX27" s="384">
        <f t="shared" si="16"/>
        <v>95.5</v>
      </c>
      <c r="FY27" s="272">
        <v>19515044</v>
      </c>
      <c r="FZ27" s="272">
        <v>4313207</v>
      </c>
      <c r="GA27" s="272">
        <v>2234873</v>
      </c>
      <c r="GB27" s="272">
        <v>12966964</v>
      </c>
      <c r="GC27" s="272"/>
      <c r="GD27" s="272">
        <v>8024449</v>
      </c>
      <c r="GE27" s="384">
        <f t="shared" si="17"/>
        <v>34.200000000000003</v>
      </c>
      <c r="GF27" s="388">
        <v>97.8</v>
      </c>
      <c r="GG27" s="388">
        <v>29.6</v>
      </c>
      <c r="GH27" s="388">
        <v>95</v>
      </c>
      <c r="GI27" s="272">
        <v>1234</v>
      </c>
    </row>
    <row r="28" spans="2:191" x14ac:dyDescent="0.15">
      <c r="B28" s="89" t="s">
        <v>49</v>
      </c>
      <c r="C28" s="272">
        <v>18386591</v>
      </c>
      <c r="D28" s="455">
        <f t="shared" si="0"/>
        <v>5157336</v>
      </c>
      <c r="E28" s="272">
        <v>66014</v>
      </c>
      <c r="F28" s="272">
        <v>5091322</v>
      </c>
      <c r="G28" s="455">
        <f t="shared" si="1"/>
        <v>3120213</v>
      </c>
      <c r="H28" s="272">
        <v>278635</v>
      </c>
      <c r="I28" s="272">
        <v>2841578</v>
      </c>
      <c r="J28" s="272">
        <v>8017380</v>
      </c>
      <c r="K28" s="272">
        <v>3656051</v>
      </c>
      <c r="L28" s="272">
        <v>2115156</v>
      </c>
      <c r="M28" s="272">
        <v>2171550</v>
      </c>
      <c r="N28" s="272">
        <v>474720</v>
      </c>
      <c r="O28" s="272">
        <v>1508236</v>
      </c>
      <c r="P28" s="272">
        <v>1033895</v>
      </c>
      <c r="Q28" s="272">
        <v>474341</v>
      </c>
      <c r="R28" s="272">
        <v>602656</v>
      </c>
      <c r="S28" s="272">
        <v>450976</v>
      </c>
      <c r="T28" s="455">
        <f t="shared" si="2"/>
        <v>529399</v>
      </c>
      <c r="U28" s="272">
        <v>294929</v>
      </c>
      <c r="V28" s="272"/>
      <c r="W28" s="272"/>
      <c r="X28" s="272"/>
      <c r="Y28" s="272">
        <v>6370</v>
      </c>
      <c r="Z28" s="272">
        <v>1239</v>
      </c>
      <c r="AA28" s="272">
        <v>226861</v>
      </c>
      <c r="AB28" s="272"/>
      <c r="AC28" s="272">
        <v>715987</v>
      </c>
      <c r="AD28" s="272">
        <v>415429</v>
      </c>
      <c r="AE28" s="272">
        <v>300558</v>
      </c>
      <c r="AF28" s="272">
        <v>22286</v>
      </c>
      <c r="AG28" s="272">
        <v>179502</v>
      </c>
      <c r="AH28" s="455">
        <f t="shared" si="3"/>
        <v>490186</v>
      </c>
      <c r="AI28" s="272">
        <v>364584</v>
      </c>
      <c r="AJ28" s="272">
        <v>125602</v>
      </c>
      <c r="AK28" s="272">
        <v>2738824</v>
      </c>
      <c r="AL28" s="455">
        <f t="shared" si="4"/>
        <v>1113058</v>
      </c>
      <c r="AM28" s="272">
        <v>649964</v>
      </c>
      <c r="AN28" s="272">
        <v>372621</v>
      </c>
      <c r="AO28" s="272">
        <v>0</v>
      </c>
      <c r="AP28" s="272">
        <v>90473</v>
      </c>
      <c r="AQ28" s="272">
        <v>1079477</v>
      </c>
      <c r="AR28" s="272">
        <v>0</v>
      </c>
      <c r="AS28" s="272">
        <v>0</v>
      </c>
      <c r="AT28" s="272">
        <v>1429659</v>
      </c>
      <c r="AU28" s="272">
        <v>284475</v>
      </c>
      <c r="AV28" s="272">
        <v>136690</v>
      </c>
      <c r="AW28" s="272">
        <v>9750</v>
      </c>
      <c r="AX28" s="272">
        <v>1145184</v>
      </c>
      <c r="AY28" s="272">
        <v>738740</v>
      </c>
      <c r="AZ28" s="272">
        <v>979751</v>
      </c>
      <c r="BA28" s="272">
        <v>497043</v>
      </c>
      <c r="BB28" s="272">
        <v>294561</v>
      </c>
      <c r="BC28" s="272">
        <v>2222696</v>
      </c>
      <c r="BD28" s="272">
        <v>909049</v>
      </c>
      <c r="BE28" s="272">
        <v>157530</v>
      </c>
      <c r="BF28" s="272">
        <v>1147154</v>
      </c>
      <c r="BG28" s="272">
        <v>0</v>
      </c>
      <c r="BH28" s="272">
        <v>1392172</v>
      </c>
      <c r="BI28" s="272">
        <v>664432</v>
      </c>
      <c r="BJ28" s="272">
        <v>736040</v>
      </c>
      <c r="BK28" s="272">
        <v>152569</v>
      </c>
      <c r="BL28" s="272">
        <v>69300</v>
      </c>
      <c r="BM28" s="272">
        <v>0</v>
      </c>
      <c r="BN28" s="272">
        <v>4436400</v>
      </c>
      <c r="BO28" s="455">
        <f t="shared" si="5"/>
        <v>4436400</v>
      </c>
      <c r="BP28" s="455">
        <f t="shared" si="6"/>
        <v>0</v>
      </c>
      <c r="BQ28" s="272"/>
      <c r="BR28" s="272"/>
      <c r="BS28" s="272"/>
      <c r="BT28" s="272">
        <v>0</v>
      </c>
      <c r="BU28" s="272">
        <v>35156710</v>
      </c>
      <c r="BV28" s="272"/>
      <c r="BW28" s="272">
        <v>7118439</v>
      </c>
      <c r="BX28" s="272">
        <v>5467175</v>
      </c>
      <c r="BY28" s="272">
        <v>240088</v>
      </c>
      <c r="BZ28" s="272">
        <v>123740</v>
      </c>
      <c r="CA28" s="272">
        <v>2095446</v>
      </c>
      <c r="CB28" s="272">
        <v>188330</v>
      </c>
      <c r="CC28" s="272">
        <v>367050</v>
      </c>
      <c r="CD28" s="272">
        <v>662085</v>
      </c>
      <c r="CE28" s="272">
        <v>851455</v>
      </c>
      <c r="CF28" s="272">
        <v>0</v>
      </c>
      <c r="CG28" s="272">
        <v>26211</v>
      </c>
      <c r="CH28" s="272">
        <v>2775076</v>
      </c>
      <c r="CI28" s="272">
        <v>1492293</v>
      </c>
      <c r="CJ28" s="455">
        <f t="shared" si="7"/>
        <v>1282783</v>
      </c>
      <c r="CK28" s="272">
        <v>2968816</v>
      </c>
      <c r="CL28" s="272">
        <v>1423216</v>
      </c>
      <c r="CM28" s="272">
        <v>199033</v>
      </c>
      <c r="CN28" s="272">
        <v>750523</v>
      </c>
      <c r="CO28" s="272">
        <v>432234</v>
      </c>
      <c r="CP28" s="272">
        <v>1413707</v>
      </c>
      <c r="CQ28" s="272">
        <v>12890</v>
      </c>
      <c r="CR28" s="272">
        <v>476893</v>
      </c>
      <c r="CS28" s="272">
        <v>332477</v>
      </c>
      <c r="CT28" s="455">
        <f t="shared" si="8"/>
        <v>8801</v>
      </c>
      <c r="CU28" s="272">
        <v>8801</v>
      </c>
      <c r="CV28" s="272">
        <v>0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11143833</v>
      </c>
      <c r="DD28" s="272">
        <v>2161624</v>
      </c>
      <c r="DE28" s="272">
        <v>8884619</v>
      </c>
      <c r="DF28" s="272">
        <v>0</v>
      </c>
      <c r="DG28" s="272">
        <v>97590</v>
      </c>
      <c r="DH28" s="272">
        <v>0</v>
      </c>
      <c r="DI28" s="272">
        <v>2063502</v>
      </c>
      <c r="DJ28" s="272">
        <v>854083</v>
      </c>
      <c r="DK28" s="272">
        <v>777831</v>
      </c>
      <c r="DL28" s="272">
        <v>431588</v>
      </c>
      <c r="DM28" s="272">
        <v>1560</v>
      </c>
      <c r="DN28" s="272">
        <v>0</v>
      </c>
      <c r="DO28" s="272">
        <v>0</v>
      </c>
      <c r="DP28" s="272">
        <v>0</v>
      </c>
      <c r="DQ28" s="272">
        <v>142208</v>
      </c>
      <c r="DR28" s="272">
        <v>0</v>
      </c>
      <c r="DS28" s="272">
        <v>0</v>
      </c>
      <c r="DT28" s="272">
        <v>3377199</v>
      </c>
      <c r="DU28" s="272">
        <v>2390274</v>
      </c>
      <c r="DV28" s="455">
        <f t="shared" si="11"/>
        <v>0</v>
      </c>
      <c r="DW28" s="272">
        <v>0</v>
      </c>
      <c r="DX28" s="272">
        <v>0</v>
      </c>
      <c r="DY28" s="457" t="s">
        <v>646</v>
      </c>
      <c r="DZ28" s="272">
        <v>414833</v>
      </c>
      <c r="EA28" s="272">
        <v>158369</v>
      </c>
      <c r="EB28" s="272"/>
      <c r="EC28" s="272">
        <v>0</v>
      </c>
      <c r="ED28" s="272">
        <v>33532020</v>
      </c>
      <c r="EF28" s="272">
        <v>1624690</v>
      </c>
      <c r="EG28" s="272">
        <v>853032</v>
      </c>
      <c r="EH28" s="272">
        <v>771658</v>
      </c>
      <c r="EI28" s="272">
        <v>107226</v>
      </c>
      <c r="EJ28" s="272">
        <v>52260</v>
      </c>
      <c r="EL28" s="272"/>
      <c r="EM28" s="272">
        <v>85800</v>
      </c>
      <c r="EN28" s="272">
        <v>1075542</v>
      </c>
      <c r="EO28" s="272">
        <v>472730</v>
      </c>
      <c r="EP28" s="455">
        <f t="shared" si="12"/>
        <v>1524015</v>
      </c>
      <c r="EQ28" s="272">
        <v>20256919</v>
      </c>
      <c r="ER28" s="272">
        <v>-3050001</v>
      </c>
      <c r="ES28" s="272">
        <v>6593439</v>
      </c>
      <c r="ET28" s="272">
        <v>4969001</v>
      </c>
      <c r="EU28" s="272">
        <v>558320</v>
      </c>
      <c r="EV28" s="272">
        <v>2771389</v>
      </c>
      <c r="EW28" s="455">
        <f t="shared" si="13"/>
        <v>3234952</v>
      </c>
      <c r="EX28" s="272">
        <v>3234952</v>
      </c>
      <c r="EY28" s="272">
        <v>125147</v>
      </c>
      <c r="EZ28" s="272">
        <v>3109805</v>
      </c>
      <c r="FA28" s="272">
        <v>0</v>
      </c>
      <c r="FB28" s="272"/>
      <c r="FC28" s="272">
        <v>2402060</v>
      </c>
      <c r="FD28" s="272">
        <v>1321131</v>
      </c>
      <c r="FE28" s="272">
        <v>12890</v>
      </c>
      <c r="FF28" s="272">
        <v>3329548</v>
      </c>
      <c r="FG28" s="455">
        <f t="shared" si="14"/>
        <v>1996992</v>
      </c>
      <c r="FH28" s="272">
        <v>22207831</v>
      </c>
      <c r="FI28" s="384">
        <f t="shared" si="15"/>
        <v>4.3</v>
      </c>
      <c r="FJ28" s="272">
        <v>18079326</v>
      </c>
      <c r="FK28" s="272"/>
      <c r="FL28" s="272">
        <v>13291659</v>
      </c>
      <c r="FM28" s="272">
        <v>13733357</v>
      </c>
      <c r="FN28" s="460">
        <v>1.0169999999999999</v>
      </c>
      <c r="FO28" s="388">
        <v>84.7</v>
      </c>
      <c r="FP28" s="388">
        <v>35</v>
      </c>
      <c r="FQ28" s="388">
        <v>3</v>
      </c>
      <c r="FR28" s="388">
        <v>14.9</v>
      </c>
      <c r="FS28" s="388">
        <v>12.1</v>
      </c>
      <c r="FT28" s="388">
        <v>6.4</v>
      </c>
      <c r="FU28" s="388">
        <v>10.9</v>
      </c>
      <c r="FV28" s="388">
        <v>11</v>
      </c>
      <c r="FW28" s="272">
        <v>22816216</v>
      </c>
      <c r="FX28" s="384">
        <f t="shared" si="16"/>
        <v>126.2</v>
      </c>
      <c r="FY28" s="272">
        <v>10199281</v>
      </c>
      <c r="FZ28" s="272">
        <v>4076601</v>
      </c>
      <c r="GA28" s="272">
        <v>1906941</v>
      </c>
      <c r="GB28" s="272">
        <v>4215739</v>
      </c>
      <c r="GC28" s="272"/>
      <c r="GD28" s="272">
        <v>9593696</v>
      </c>
      <c r="GE28" s="384">
        <f t="shared" si="17"/>
        <v>53.1</v>
      </c>
      <c r="GF28" s="388">
        <v>98.6</v>
      </c>
      <c r="GG28" s="388">
        <v>38.200000000000003</v>
      </c>
      <c r="GH28" s="388">
        <v>97.2</v>
      </c>
      <c r="GI28" s="272">
        <v>739</v>
      </c>
    </row>
    <row r="29" spans="2:191" x14ac:dyDescent="0.15">
      <c r="B29" s="89" t="s">
        <v>51</v>
      </c>
      <c r="C29" s="272">
        <v>15001334</v>
      </c>
      <c r="D29" s="455">
        <f t="shared" si="0"/>
        <v>3975814</v>
      </c>
      <c r="E29" s="272">
        <v>45004</v>
      </c>
      <c r="F29" s="272">
        <v>3930810</v>
      </c>
      <c r="G29" s="455">
        <f t="shared" si="1"/>
        <v>1095683</v>
      </c>
      <c r="H29" s="272">
        <v>121343</v>
      </c>
      <c r="I29" s="272">
        <v>974340</v>
      </c>
      <c r="J29" s="272">
        <v>7923449</v>
      </c>
      <c r="K29" s="272">
        <v>4745902</v>
      </c>
      <c r="L29" s="272">
        <v>1151667</v>
      </c>
      <c r="M29" s="272">
        <v>1991900</v>
      </c>
      <c r="N29" s="272">
        <v>384827</v>
      </c>
      <c r="O29" s="272">
        <v>1538878</v>
      </c>
      <c r="P29" s="272">
        <v>1278020</v>
      </c>
      <c r="Q29" s="272">
        <v>260858</v>
      </c>
      <c r="R29" s="272">
        <v>405639</v>
      </c>
      <c r="S29" s="272">
        <v>255567</v>
      </c>
      <c r="T29" s="455">
        <f t="shared" si="2"/>
        <v>418661</v>
      </c>
      <c r="U29" s="272">
        <v>239349</v>
      </c>
      <c r="V29" s="272"/>
      <c r="W29" s="272"/>
      <c r="X29" s="272"/>
      <c r="Y29" s="272">
        <v>0</v>
      </c>
      <c r="Z29" s="272">
        <v>23321</v>
      </c>
      <c r="AA29" s="272">
        <v>155991</v>
      </c>
      <c r="AB29" s="272"/>
      <c r="AC29" s="272">
        <v>50511</v>
      </c>
      <c r="AD29" s="272">
        <v>0</v>
      </c>
      <c r="AE29" s="272">
        <v>50511</v>
      </c>
      <c r="AF29" s="272">
        <v>13000</v>
      </c>
      <c r="AG29" s="272">
        <v>74030</v>
      </c>
      <c r="AH29" s="455">
        <f t="shared" si="3"/>
        <v>259930</v>
      </c>
      <c r="AI29" s="272">
        <v>245087</v>
      </c>
      <c r="AJ29" s="272">
        <v>14843</v>
      </c>
      <c r="AK29" s="272">
        <v>1384586</v>
      </c>
      <c r="AL29" s="455">
        <f t="shared" si="4"/>
        <v>816389</v>
      </c>
      <c r="AM29" s="272">
        <v>596082</v>
      </c>
      <c r="AN29" s="272">
        <v>116508</v>
      </c>
      <c r="AO29" s="272">
        <v>0</v>
      </c>
      <c r="AP29" s="272">
        <v>103799</v>
      </c>
      <c r="AQ29" s="272">
        <v>124632</v>
      </c>
      <c r="AR29" s="272">
        <v>0</v>
      </c>
      <c r="AS29" s="272">
        <v>0</v>
      </c>
      <c r="AT29" s="272">
        <v>863511</v>
      </c>
      <c r="AU29" s="272">
        <v>313854</v>
      </c>
      <c r="AV29" s="272">
        <v>59896</v>
      </c>
      <c r="AW29" s="272">
        <v>26880</v>
      </c>
      <c r="AX29" s="272">
        <v>549657</v>
      </c>
      <c r="AY29" s="272">
        <v>65375</v>
      </c>
      <c r="AZ29" s="272">
        <v>987488</v>
      </c>
      <c r="BA29" s="272">
        <v>855</v>
      </c>
      <c r="BB29" s="272">
        <v>107604</v>
      </c>
      <c r="BC29" s="272">
        <v>154149</v>
      </c>
      <c r="BD29" s="272">
        <v>40000</v>
      </c>
      <c r="BE29" s="272">
        <v>0</v>
      </c>
      <c r="BF29" s="272">
        <v>61500</v>
      </c>
      <c r="BG29" s="272">
        <v>0</v>
      </c>
      <c r="BH29" s="272">
        <v>890428</v>
      </c>
      <c r="BI29" s="272">
        <v>312792</v>
      </c>
      <c r="BJ29" s="272">
        <v>278144</v>
      </c>
      <c r="BK29" s="272">
        <v>52375</v>
      </c>
      <c r="BL29" s="272">
        <v>0</v>
      </c>
      <c r="BM29" s="272">
        <v>0</v>
      </c>
      <c r="BN29" s="272">
        <v>1209300</v>
      </c>
      <c r="BO29" s="455">
        <f t="shared" si="5"/>
        <v>1209300</v>
      </c>
      <c r="BP29" s="455">
        <f t="shared" si="6"/>
        <v>0</v>
      </c>
      <c r="BQ29" s="272"/>
      <c r="BR29" s="272"/>
      <c r="BS29" s="272"/>
      <c r="BT29" s="272">
        <v>0</v>
      </c>
      <c r="BU29" s="272">
        <v>22098315</v>
      </c>
      <c r="BV29" s="272"/>
      <c r="BW29" s="272">
        <v>5641421</v>
      </c>
      <c r="BX29" s="272">
        <v>4279943</v>
      </c>
      <c r="BY29" s="272">
        <v>262065</v>
      </c>
      <c r="BZ29" s="272">
        <v>101310</v>
      </c>
      <c r="CA29" s="272">
        <v>1921769</v>
      </c>
      <c r="CB29" s="272">
        <v>219876</v>
      </c>
      <c r="CC29" s="272">
        <v>461166</v>
      </c>
      <c r="CD29" s="272">
        <v>432757</v>
      </c>
      <c r="CE29" s="272">
        <v>781364</v>
      </c>
      <c r="CF29" s="272">
        <v>0</v>
      </c>
      <c r="CG29" s="272">
        <v>26606</v>
      </c>
      <c r="CH29" s="272">
        <v>534267</v>
      </c>
      <c r="CI29" s="272">
        <v>278608</v>
      </c>
      <c r="CJ29" s="455">
        <f t="shared" si="7"/>
        <v>255659</v>
      </c>
      <c r="CK29" s="272">
        <v>2063007</v>
      </c>
      <c r="CL29" s="272">
        <v>1193474</v>
      </c>
      <c r="CM29" s="272">
        <v>53505</v>
      </c>
      <c r="CN29" s="272">
        <v>476583</v>
      </c>
      <c r="CO29" s="272">
        <v>77005</v>
      </c>
      <c r="CP29" s="272">
        <v>2451949</v>
      </c>
      <c r="CQ29" s="272">
        <v>1648101</v>
      </c>
      <c r="CR29" s="272">
        <v>304084</v>
      </c>
      <c r="CS29" s="272">
        <v>304084</v>
      </c>
      <c r="CT29" s="455">
        <f t="shared" si="8"/>
        <v>42833</v>
      </c>
      <c r="CU29" s="272">
        <v>4828</v>
      </c>
      <c r="CV29" s="272">
        <v>38005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5394126</v>
      </c>
      <c r="DD29" s="272">
        <v>386319</v>
      </c>
      <c r="DE29" s="272">
        <v>5007807</v>
      </c>
      <c r="DF29" s="272">
        <v>0</v>
      </c>
      <c r="DG29" s="272">
        <v>0</v>
      </c>
      <c r="DH29" s="272">
        <v>0</v>
      </c>
      <c r="DI29" s="272">
        <v>1550724</v>
      </c>
      <c r="DJ29" s="272">
        <v>428074</v>
      </c>
      <c r="DK29" s="272">
        <v>0</v>
      </c>
      <c r="DL29" s="272">
        <v>1122650</v>
      </c>
      <c r="DM29" s="272">
        <v>1230</v>
      </c>
      <c r="DN29" s="272">
        <v>0</v>
      </c>
      <c r="DO29" s="272">
        <v>0</v>
      </c>
      <c r="DP29" s="272">
        <v>0</v>
      </c>
      <c r="DQ29" s="272">
        <v>50000</v>
      </c>
      <c r="DR29" s="272">
        <v>0</v>
      </c>
      <c r="DS29" s="272">
        <v>0</v>
      </c>
      <c r="DT29" s="272">
        <v>1826535</v>
      </c>
      <c r="DU29" s="272">
        <v>1298625</v>
      </c>
      <c r="DV29" s="455">
        <f t="shared" si="11"/>
        <v>0</v>
      </c>
      <c r="DW29" s="272">
        <v>0</v>
      </c>
      <c r="DX29" s="272">
        <v>0</v>
      </c>
      <c r="DY29" s="457" t="s">
        <v>646</v>
      </c>
      <c r="DZ29" s="272">
        <v>327350</v>
      </c>
      <c r="EA29" s="272">
        <v>180558</v>
      </c>
      <c r="EB29" s="272"/>
      <c r="EC29" s="272">
        <v>0</v>
      </c>
      <c r="ED29" s="272">
        <v>21512033</v>
      </c>
      <c r="EF29" s="272">
        <v>586282</v>
      </c>
      <c r="EG29" s="272">
        <v>255889</v>
      </c>
      <c r="EH29" s="272">
        <v>330393</v>
      </c>
      <c r="EI29" s="272">
        <v>17601</v>
      </c>
      <c r="EJ29" s="272">
        <v>405675</v>
      </c>
      <c r="EL29" s="272"/>
      <c r="EM29" s="272">
        <v>63552</v>
      </c>
      <c r="EN29" s="272">
        <v>44510</v>
      </c>
      <c r="EO29" s="272">
        <v>11329</v>
      </c>
      <c r="EP29" s="455">
        <f t="shared" si="12"/>
        <v>724749</v>
      </c>
      <c r="EQ29" s="272">
        <v>15889145</v>
      </c>
      <c r="ER29" s="272">
        <v>-767588</v>
      </c>
      <c r="ES29" s="272">
        <v>5194698</v>
      </c>
      <c r="ET29" s="272">
        <v>3839888</v>
      </c>
      <c r="EU29" s="272">
        <v>607472</v>
      </c>
      <c r="EV29" s="272">
        <v>519474</v>
      </c>
      <c r="EW29" s="455">
        <f t="shared" si="13"/>
        <v>3424546</v>
      </c>
      <c r="EX29" s="272">
        <v>3424546</v>
      </c>
      <c r="EY29" s="272">
        <v>92440</v>
      </c>
      <c r="EZ29" s="272">
        <v>3332106</v>
      </c>
      <c r="FA29" s="272">
        <v>0</v>
      </c>
      <c r="FB29" s="272"/>
      <c r="FC29" s="272">
        <v>1674277</v>
      </c>
      <c r="FD29" s="272">
        <v>2342954</v>
      </c>
      <c r="FE29" s="272">
        <v>1648101</v>
      </c>
      <c r="FF29" s="272">
        <v>1741021</v>
      </c>
      <c r="FG29" s="455">
        <f t="shared" si="14"/>
        <v>656376</v>
      </c>
      <c r="FH29" s="272">
        <v>16160818</v>
      </c>
      <c r="FI29" s="384">
        <f t="shared" si="15"/>
        <v>2.2999999999999998</v>
      </c>
      <c r="FJ29" s="272">
        <v>14254997</v>
      </c>
      <c r="FK29" s="272"/>
      <c r="FL29" s="272">
        <v>10737796</v>
      </c>
      <c r="FM29" s="272">
        <v>8883729</v>
      </c>
      <c r="FN29" s="460">
        <v>1.244</v>
      </c>
      <c r="FO29" s="388">
        <v>75.400000000000006</v>
      </c>
      <c r="FP29" s="388">
        <v>34.9</v>
      </c>
      <c r="FQ29" s="388">
        <v>4.2</v>
      </c>
      <c r="FR29" s="388">
        <v>3.6</v>
      </c>
      <c r="FS29" s="388">
        <v>11.5</v>
      </c>
      <c r="FT29" s="388">
        <v>14.6</v>
      </c>
      <c r="FU29" s="388">
        <v>6.1</v>
      </c>
      <c r="FV29" s="388">
        <v>3.3</v>
      </c>
      <c r="FW29" s="272">
        <v>5297140</v>
      </c>
      <c r="FX29" s="384">
        <f t="shared" si="16"/>
        <v>37.200000000000003</v>
      </c>
      <c r="FY29" s="272">
        <v>16202790</v>
      </c>
      <c r="FZ29" s="272">
        <v>6514853</v>
      </c>
      <c r="GA29" s="272"/>
      <c r="GB29" s="272">
        <v>9687937</v>
      </c>
      <c r="GC29" s="272"/>
      <c r="GD29" s="272">
        <v>19335075</v>
      </c>
      <c r="GE29" s="384">
        <f t="shared" si="17"/>
        <v>135.6</v>
      </c>
      <c r="GF29" s="388">
        <v>98.3</v>
      </c>
      <c r="GG29" s="388">
        <v>28.1</v>
      </c>
      <c r="GH29" s="388">
        <v>96.1</v>
      </c>
      <c r="GI29" s="272">
        <v>595</v>
      </c>
    </row>
    <row r="30" spans="2:191" x14ac:dyDescent="0.15">
      <c r="B30" s="89" t="s">
        <v>53</v>
      </c>
      <c r="C30" s="272">
        <v>8880607</v>
      </c>
      <c r="D30" s="455">
        <f t="shared" si="0"/>
        <v>4254284</v>
      </c>
      <c r="E30" s="272">
        <v>47002</v>
      </c>
      <c r="F30" s="272">
        <v>4207282</v>
      </c>
      <c r="G30" s="455">
        <f t="shared" si="1"/>
        <v>817679</v>
      </c>
      <c r="H30" s="272">
        <v>124769</v>
      </c>
      <c r="I30" s="272">
        <v>692910</v>
      </c>
      <c r="J30" s="272">
        <v>2700328</v>
      </c>
      <c r="K30" s="272">
        <v>1414422</v>
      </c>
      <c r="L30" s="272">
        <v>989660</v>
      </c>
      <c r="M30" s="272">
        <v>286929</v>
      </c>
      <c r="N30" s="272">
        <v>302670</v>
      </c>
      <c r="O30" s="272">
        <v>761154</v>
      </c>
      <c r="P30" s="272">
        <v>533476</v>
      </c>
      <c r="Q30" s="272">
        <v>227678</v>
      </c>
      <c r="R30" s="272">
        <v>366979</v>
      </c>
      <c r="S30" s="272">
        <v>256423</v>
      </c>
      <c r="T30" s="455">
        <f t="shared" si="2"/>
        <v>427188</v>
      </c>
      <c r="U30" s="272">
        <v>259819</v>
      </c>
      <c r="V30" s="272"/>
      <c r="W30" s="272"/>
      <c r="X30" s="272"/>
      <c r="Y30" s="272">
        <v>0</v>
      </c>
      <c r="Z30" s="272">
        <v>1621</v>
      </c>
      <c r="AA30" s="272">
        <v>165748</v>
      </c>
      <c r="AB30" s="272"/>
      <c r="AC30" s="272">
        <v>2753776</v>
      </c>
      <c r="AD30" s="272">
        <v>2529276</v>
      </c>
      <c r="AE30" s="272">
        <v>224500</v>
      </c>
      <c r="AF30" s="272">
        <v>18243</v>
      </c>
      <c r="AG30" s="272">
        <v>65754</v>
      </c>
      <c r="AH30" s="455">
        <f t="shared" si="3"/>
        <v>271684</v>
      </c>
      <c r="AI30" s="272">
        <v>254486</v>
      </c>
      <c r="AJ30" s="272">
        <v>17198</v>
      </c>
      <c r="AK30" s="272">
        <v>1181740</v>
      </c>
      <c r="AL30" s="455">
        <f t="shared" si="4"/>
        <v>692139</v>
      </c>
      <c r="AM30" s="272">
        <v>504453</v>
      </c>
      <c r="AN30" s="272">
        <v>108650</v>
      </c>
      <c r="AO30" s="272">
        <v>0</v>
      </c>
      <c r="AP30" s="272">
        <v>79036</v>
      </c>
      <c r="AQ30" s="272">
        <v>83672</v>
      </c>
      <c r="AR30" s="272">
        <v>0</v>
      </c>
      <c r="AS30" s="272">
        <v>0</v>
      </c>
      <c r="AT30" s="272">
        <v>745034</v>
      </c>
      <c r="AU30" s="272">
        <v>187922</v>
      </c>
      <c r="AV30" s="272">
        <v>57596</v>
      </c>
      <c r="AW30" s="272">
        <v>0</v>
      </c>
      <c r="AX30" s="272">
        <v>557112</v>
      </c>
      <c r="AY30" s="272">
        <v>148470</v>
      </c>
      <c r="AZ30" s="272">
        <v>432843</v>
      </c>
      <c r="BA30" s="272">
        <v>55771</v>
      </c>
      <c r="BB30" s="272">
        <v>202907</v>
      </c>
      <c r="BC30" s="272">
        <v>363731</v>
      </c>
      <c r="BD30" s="272">
        <v>0</v>
      </c>
      <c r="BE30" s="272">
        <v>42000</v>
      </c>
      <c r="BF30" s="272">
        <v>295731</v>
      </c>
      <c r="BG30" s="272">
        <v>0</v>
      </c>
      <c r="BH30" s="272">
        <v>87852</v>
      </c>
      <c r="BI30" s="272">
        <v>27748</v>
      </c>
      <c r="BJ30" s="272">
        <v>210153</v>
      </c>
      <c r="BK30" s="272">
        <v>30219</v>
      </c>
      <c r="BL30" s="272">
        <v>0</v>
      </c>
      <c r="BM30" s="272">
        <v>0</v>
      </c>
      <c r="BN30" s="272">
        <v>1086000</v>
      </c>
      <c r="BO30" s="455">
        <f t="shared" si="5"/>
        <v>1086000</v>
      </c>
      <c r="BP30" s="455">
        <f t="shared" si="6"/>
        <v>0</v>
      </c>
      <c r="BQ30" s="272"/>
      <c r="BR30" s="272"/>
      <c r="BS30" s="272"/>
      <c r="BT30" s="272">
        <v>0</v>
      </c>
      <c r="BU30" s="272">
        <v>17094491</v>
      </c>
      <c r="BV30" s="272"/>
      <c r="BW30" s="272">
        <v>4885215</v>
      </c>
      <c r="BX30" s="272">
        <v>3671637</v>
      </c>
      <c r="BY30" s="272">
        <v>212332</v>
      </c>
      <c r="BZ30" s="272">
        <v>99811</v>
      </c>
      <c r="CA30" s="272">
        <v>1719053</v>
      </c>
      <c r="CB30" s="272">
        <v>218973</v>
      </c>
      <c r="CC30" s="272">
        <v>484825</v>
      </c>
      <c r="CD30" s="272">
        <v>326176</v>
      </c>
      <c r="CE30" s="272">
        <v>668912</v>
      </c>
      <c r="CF30" s="272">
        <v>0</v>
      </c>
      <c r="CG30" s="272">
        <v>20057</v>
      </c>
      <c r="CH30" s="272">
        <v>1027835</v>
      </c>
      <c r="CI30" s="272">
        <v>610895</v>
      </c>
      <c r="CJ30" s="455">
        <f t="shared" si="7"/>
        <v>416940</v>
      </c>
      <c r="CK30" s="272">
        <v>1570938</v>
      </c>
      <c r="CL30" s="272">
        <v>752223</v>
      </c>
      <c r="CM30" s="272">
        <v>150670</v>
      </c>
      <c r="CN30" s="272">
        <v>373279</v>
      </c>
      <c r="CO30" s="272">
        <v>95845</v>
      </c>
      <c r="CP30" s="272">
        <v>2164552</v>
      </c>
      <c r="CQ30" s="272">
        <v>1509986</v>
      </c>
      <c r="CR30" s="272">
        <v>190276</v>
      </c>
      <c r="CS30" s="272">
        <v>153994</v>
      </c>
      <c r="CT30" s="455">
        <f t="shared" si="8"/>
        <v>176944</v>
      </c>
      <c r="CU30" s="272">
        <v>126567</v>
      </c>
      <c r="CV30" s="272">
        <v>50377</v>
      </c>
      <c r="CW30" s="455">
        <f t="shared" si="9"/>
        <v>146398</v>
      </c>
      <c r="CX30" s="272">
        <v>121925</v>
      </c>
      <c r="CY30" s="272">
        <v>24473</v>
      </c>
      <c r="CZ30" s="455">
        <f t="shared" si="10"/>
        <v>0</v>
      </c>
      <c r="DA30" s="272">
        <v>0</v>
      </c>
      <c r="DB30" s="272">
        <v>0</v>
      </c>
      <c r="DC30" s="272">
        <v>2344711</v>
      </c>
      <c r="DD30" s="272">
        <v>421018</v>
      </c>
      <c r="DE30" s="272">
        <v>1923693</v>
      </c>
      <c r="DF30" s="272">
        <v>0</v>
      </c>
      <c r="DG30" s="272">
        <v>0</v>
      </c>
      <c r="DH30" s="272">
        <v>0</v>
      </c>
      <c r="DI30" s="272">
        <v>1693284</v>
      </c>
      <c r="DJ30" s="272">
        <v>39546</v>
      </c>
      <c r="DK30" s="272">
        <v>372832</v>
      </c>
      <c r="DL30" s="272">
        <v>1280906</v>
      </c>
      <c r="DM30" s="272">
        <v>1240</v>
      </c>
      <c r="DN30" s="272">
        <v>0</v>
      </c>
      <c r="DO30" s="272">
        <v>0</v>
      </c>
      <c r="DP30" s="272">
        <v>0</v>
      </c>
      <c r="DQ30" s="272">
        <v>20000</v>
      </c>
      <c r="DR30" s="272">
        <v>0</v>
      </c>
      <c r="DS30" s="272">
        <v>0</v>
      </c>
      <c r="DT30" s="272">
        <v>1463643</v>
      </c>
      <c r="DU30" s="272">
        <v>1047875</v>
      </c>
      <c r="DV30" s="455">
        <f t="shared" si="11"/>
        <v>0</v>
      </c>
      <c r="DW30" s="272">
        <v>0</v>
      </c>
      <c r="DX30" s="272">
        <v>0</v>
      </c>
      <c r="DY30" s="457" t="s">
        <v>646</v>
      </c>
      <c r="DZ30" s="272">
        <v>230567</v>
      </c>
      <c r="EA30" s="272">
        <v>185133</v>
      </c>
      <c r="EB30" s="272"/>
      <c r="EC30" s="272">
        <v>0</v>
      </c>
      <c r="ED30" s="272">
        <v>16986316</v>
      </c>
      <c r="EF30" s="272">
        <v>108175</v>
      </c>
      <c r="EG30" s="272">
        <v>56557</v>
      </c>
      <c r="EH30" s="272">
        <v>51618</v>
      </c>
      <c r="EI30" s="272">
        <v>-4630</v>
      </c>
      <c r="EJ30" s="272">
        <v>34916</v>
      </c>
      <c r="EL30" s="272"/>
      <c r="EM30" s="272">
        <v>65467</v>
      </c>
      <c r="EN30" s="272">
        <v>123744</v>
      </c>
      <c r="EO30" s="272">
        <v>57650</v>
      </c>
      <c r="EP30" s="455">
        <f t="shared" si="12"/>
        <v>433743</v>
      </c>
      <c r="EQ30" s="272">
        <v>12446793</v>
      </c>
      <c r="ER30" s="272">
        <v>-596894</v>
      </c>
      <c r="ES30" s="272">
        <v>4542974</v>
      </c>
      <c r="ET30" s="272">
        <v>3390496</v>
      </c>
      <c r="EU30" s="272">
        <v>555087</v>
      </c>
      <c r="EV30" s="272">
        <v>987373</v>
      </c>
      <c r="EW30" s="455">
        <f t="shared" si="13"/>
        <v>743632</v>
      </c>
      <c r="EX30" s="272">
        <v>743632</v>
      </c>
      <c r="EY30" s="272">
        <v>28046</v>
      </c>
      <c r="EZ30" s="272">
        <v>715586</v>
      </c>
      <c r="FA30" s="272">
        <v>0</v>
      </c>
      <c r="FB30" s="272"/>
      <c r="FC30" s="272">
        <v>1225711</v>
      </c>
      <c r="FD30" s="272">
        <v>2043418</v>
      </c>
      <c r="FE30" s="272">
        <v>1509986</v>
      </c>
      <c r="FF30" s="272">
        <v>1406869</v>
      </c>
      <c r="FG30" s="455">
        <f t="shared" si="14"/>
        <v>1435244</v>
      </c>
      <c r="FH30" s="272">
        <v>12940308</v>
      </c>
      <c r="FI30" s="384">
        <f t="shared" si="15"/>
        <v>0.5</v>
      </c>
      <c r="FJ30" s="272">
        <v>11313061</v>
      </c>
      <c r="FK30" s="272"/>
      <c r="FL30" s="272">
        <v>6619933</v>
      </c>
      <c r="FM30" s="272">
        <v>9172117</v>
      </c>
      <c r="FN30" s="460">
        <v>0.78700000000000003</v>
      </c>
      <c r="FO30" s="388">
        <v>83.6</v>
      </c>
      <c r="FP30" s="388">
        <v>38.299999999999997</v>
      </c>
      <c r="FQ30" s="388">
        <v>4.5</v>
      </c>
      <c r="FR30" s="388">
        <v>8.5</v>
      </c>
      <c r="FS30" s="388">
        <v>9.3000000000000007</v>
      </c>
      <c r="FT30" s="388">
        <v>16.2</v>
      </c>
      <c r="FU30" s="388">
        <v>5.8</v>
      </c>
      <c r="FV30" s="388">
        <v>8</v>
      </c>
      <c r="FW30" s="272">
        <v>7596994</v>
      </c>
      <c r="FX30" s="384">
        <f t="shared" si="16"/>
        <v>67.2</v>
      </c>
      <c r="FY30" s="272">
        <v>9210889</v>
      </c>
      <c r="FZ30" s="272">
        <v>841618</v>
      </c>
      <c r="GA30" s="272">
        <v>1106811</v>
      </c>
      <c r="GB30" s="272">
        <v>7262460</v>
      </c>
      <c r="GC30" s="272"/>
      <c r="GD30" s="272">
        <v>931216</v>
      </c>
      <c r="GE30" s="384">
        <f t="shared" si="17"/>
        <v>8.1999999999999993</v>
      </c>
      <c r="GF30" s="388">
        <v>97.1</v>
      </c>
      <c r="GG30" s="388">
        <v>24.8</v>
      </c>
      <c r="GH30" s="388">
        <v>92.7</v>
      </c>
      <c r="GI30" s="272">
        <v>544</v>
      </c>
    </row>
    <row r="31" spans="2:191" x14ac:dyDescent="0.15">
      <c r="B31" s="89" t="s">
        <v>55</v>
      </c>
      <c r="C31" s="272">
        <v>88986136</v>
      </c>
      <c r="D31" s="455">
        <f t="shared" si="0"/>
        <v>31496399</v>
      </c>
      <c r="E31" s="272">
        <v>475067</v>
      </c>
      <c r="F31" s="272">
        <v>31021332</v>
      </c>
      <c r="G31" s="455">
        <f t="shared" si="1"/>
        <v>10957964</v>
      </c>
      <c r="H31" s="272">
        <v>1189806</v>
      </c>
      <c r="I31" s="272">
        <v>9768158</v>
      </c>
      <c r="J31" s="272">
        <v>32109765</v>
      </c>
      <c r="K31" s="272">
        <v>17641308</v>
      </c>
      <c r="L31" s="272">
        <v>9792274</v>
      </c>
      <c r="M31" s="272">
        <v>4534250</v>
      </c>
      <c r="N31" s="272">
        <v>2973234</v>
      </c>
      <c r="O31" s="272">
        <v>7890839</v>
      </c>
      <c r="P31" s="272">
        <v>5676817</v>
      </c>
      <c r="Q31" s="272">
        <v>2214022</v>
      </c>
      <c r="R31" s="272">
        <v>3317506</v>
      </c>
      <c r="S31" s="272">
        <v>2481134</v>
      </c>
      <c r="T31" s="455">
        <f t="shared" si="2"/>
        <v>3069453</v>
      </c>
      <c r="U31" s="272">
        <v>1798366</v>
      </c>
      <c r="V31" s="272"/>
      <c r="W31" s="272"/>
      <c r="X31" s="272"/>
      <c r="Y31" s="272">
        <v>0</v>
      </c>
      <c r="Z31" s="272">
        <v>19020</v>
      </c>
      <c r="AA31" s="272">
        <v>1252067</v>
      </c>
      <c r="AB31" s="272"/>
      <c r="AC31" s="272">
        <v>1427955</v>
      </c>
      <c r="AD31" s="272">
        <v>475342</v>
      </c>
      <c r="AE31" s="272">
        <v>952613</v>
      </c>
      <c r="AF31" s="272">
        <v>121027</v>
      </c>
      <c r="AG31" s="272">
        <v>6316632</v>
      </c>
      <c r="AH31" s="455">
        <f t="shared" si="3"/>
        <v>1867238</v>
      </c>
      <c r="AI31" s="272">
        <v>1173063</v>
      </c>
      <c r="AJ31" s="272">
        <v>694175</v>
      </c>
      <c r="AK31" s="272">
        <v>18936154</v>
      </c>
      <c r="AL31" s="455">
        <f t="shared" si="4"/>
        <v>10079702</v>
      </c>
      <c r="AM31" s="272">
        <v>8393472</v>
      </c>
      <c r="AN31" s="272">
        <v>1021696</v>
      </c>
      <c r="AO31" s="272">
        <v>101790</v>
      </c>
      <c r="AP31" s="272">
        <v>562744</v>
      </c>
      <c r="AQ31" s="272">
        <v>5564013</v>
      </c>
      <c r="AR31" s="272">
        <v>0</v>
      </c>
      <c r="AS31" s="272">
        <v>0</v>
      </c>
      <c r="AT31" s="272">
        <v>7550432</v>
      </c>
      <c r="AU31" s="272">
        <v>1713679</v>
      </c>
      <c r="AV31" s="272">
        <v>510848</v>
      </c>
      <c r="AW31" s="272">
        <v>92156</v>
      </c>
      <c r="AX31" s="272">
        <v>5836753</v>
      </c>
      <c r="AY31" s="272">
        <v>1173820</v>
      </c>
      <c r="AZ31" s="272">
        <v>2861328</v>
      </c>
      <c r="BA31" s="272">
        <v>2124452</v>
      </c>
      <c r="BB31" s="272">
        <v>1349646</v>
      </c>
      <c r="BC31" s="272">
        <v>3271776</v>
      </c>
      <c r="BD31" s="272">
        <v>1760800</v>
      </c>
      <c r="BE31" s="272">
        <v>0</v>
      </c>
      <c r="BF31" s="272">
        <v>1340200</v>
      </c>
      <c r="BG31" s="272">
        <v>0</v>
      </c>
      <c r="BH31" s="272">
        <v>5334226</v>
      </c>
      <c r="BI31" s="272">
        <v>3206352</v>
      </c>
      <c r="BJ31" s="272">
        <v>4995537</v>
      </c>
      <c r="BK31" s="272">
        <v>2798640</v>
      </c>
      <c r="BL31" s="272">
        <v>88758</v>
      </c>
      <c r="BM31" s="272">
        <v>347876</v>
      </c>
      <c r="BN31" s="272">
        <v>15842731</v>
      </c>
      <c r="BO31" s="455">
        <f t="shared" si="5"/>
        <v>15842731</v>
      </c>
      <c r="BP31" s="455">
        <f t="shared" si="6"/>
        <v>0</v>
      </c>
      <c r="BQ31" s="272"/>
      <c r="BR31" s="272"/>
      <c r="BS31" s="272"/>
      <c r="BT31" s="272">
        <v>0</v>
      </c>
      <c r="BU31" s="272">
        <v>165247777</v>
      </c>
      <c r="BV31" s="272"/>
      <c r="BW31" s="272">
        <v>45063270</v>
      </c>
      <c r="BX31" s="272">
        <v>35239357</v>
      </c>
      <c r="BY31" s="272">
        <v>2676138</v>
      </c>
      <c r="BZ31" s="272">
        <v>551892</v>
      </c>
      <c r="CA31" s="272">
        <v>23991038</v>
      </c>
      <c r="CB31" s="272">
        <v>1642997</v>
      </c>
      <c r="CC31" s="272">
        <v>2992591</v>
      </c>
      <c r="CD31" s="272">
        <v>3928249</v>
      </c>
      <c r="CE31" s="272">
        <v>11213661</v>
      </c>
      <c r="CF31" s="272">
        <v>3881865</v>
      </c>
      <c r="CG31" s="272">
        <v>331669</v>
      </c>
      <c r="CH31" s="272">
        <v>13300536</v>
      </c>
      <c r="CI31" s="272">
        <v>7281350</v>
      </c>
      <c r="CJ31" s="455">
        <f t="shared" si="7"/>
        <v>6019186</v>
      </c>
      <c r="CK31" s="272">
        <v>11132329</v>
      </c>
      <c r="CL31" s="272">
        <v>5542208</v>
      </c>
      <c r="CM31" s="272">
        <v>799848</v>
      </c>
      <c r="CN31" s="272">
        <v>2579402</v>
      </c>
      <c r="CO31" s="272">
        <v>1199282</v>
      </c>
      <c r="CP31" s="272">
        <v>10820627</v>
      </c>
      <c r="CQ31" s="272">
        <v>4627241</v>
      </c>
      <c r="CR31" s="272">
        <v>2655059</v>
      </c>
      <c r="CS31" s="272">
        <v>2352751</v>
      </c>
      <c r="CT31" s="455">
        <f t="shared" si="8"/>
        <v>1786218</v>
      </c>
      <c r="CU31" s="272">
        <v>481343</v>
      </c>
      <c r="CV31" s="272">
        <v>1304875</v>
      </c>
      <c r="CW31" s="455">
        <f t="shared" si="9"/>
        <v>1699979</v>
      </c>
      <c r="CX31" s="272">
        <v>395104</v>
      </c>
      <c r="CY31" s="272">
        <v>1304875</v>
      </c>
      <c r="CZ31" s="455">
        <f t="shared" si="10"/>
        <v>0</v>
      </c>
      <c r="DA31" s="272">
        <v>0</v>
      </c>
      <c r="DB31" s="272">
        <v>0</v>
      </c>
      <c r="DC31" s="272">
        <v>33101661</v>
      </c>
      <c r="DD31" s="272">
        <v>11219916</v>
      </c>
      <c r="DE31" s="272">
        <v>21668155</v>
      </c>
      <c r="DF31" s="272">
        <v>25953</v>
      </c>
      <c r="DG31" s="272">
        <v>136156</v>
      </c>
      <c r="DH31" s="272">
        <v>0</v>
      </c>
      <c r="DI31" s="272">
        <v>4885900</v>
      </c>
      <c r="DJ31" s="272">
        <v>1673500</v>
      </c>
      <c r="DK31" s="272">
        <v>0</v>
      </c>
      <c r="DL31" s="272">
        <v>3212400</v>
      </c>
      <c r="DM31" s="272">
        <v>98051</v>
      </c>
      <c r="DN31" s="272">
        <v>90021</v>
      </c>
      <c r="DO31" s="272">
        <v>0</v>
      </c>
      <c r="DP31" s="272">
        <v>90021</v>
      </c>
      <c r="DQ31" s="272">
        <v>2855357</v>
      </c>
      <c r="DR31" s="272">
        <v>0</v>
      </c>
      <c r="DS31" s="272">
        <v>0</v>
      </c>
      <c r="DT31" s="272">
        <v>13444690</v>
      </c>
      <c r="DU31" s="272">
        <v>7013298</v>
      </c>
      <c r="DV31" s="455">
        <f t="shared" si="11"/>
        <v>0</v>
      </c>
      <c r="DW31" s="272">
        <v>0</v>
      </c>
      <c r="DX31" s="272">
        <v>0</v>
      </c>
      <c r="DY31" s="457" t="s">
        <v>646</v>
      </c>
      <c r="DZ31" s="272">
        <v>4936000</v>
      </c>
      <c r="EA31" s="272">
        <v>1488012</v>
      </c>
      <c r="EB31" s="272"/>
      <c r="EC31" s="272">
        <v>0</v>
      </c>
      <c r="ED31" s="272">
        <v>159892741</v>
      </c>
      <c r="EF31" s="272">
        <v>5355036</v>
      </c>
      <c r="EG31" s="272">
        <v>1883522</v>
      </c>
      <c r="EH31" s="272">
        <v>3471514</v>
      </c>
      <c r="EI31" s="272">
        <v>265162</v>
      </c>
      <c r="EJ31" s="272">
        <v>177862</v>
      </c>
      <c r="EL31" s="272"/>
      <c r="EM31" s="272">
        <v>496063</v>
      </c>
      <c r="EN31" s="272">
        <v>1779926</v>
      </c>
      <c r="EO31" s="272">
        <v>1273874</v>
      </c>
      <c r="EP31" s="455">
        <f t="shared" si="12"/>
        <v>6971626</v>
      </c>
      <c r="EQ31" s="272">
        <v>96922077</v>
      </c>
      <c r="ER31" s="272">
        <v>-9904399</v>
      </c>
      <c r="ES31" s="272">
        <v>42661411</v>
      </c>
      <c r="ET31" s="272">
        <v>33002221</v>
      </c>
      <c r="EU31" s="272">
        <v>5767721</v>
      </c>
      <c r="EV31" s="272">
        <v>12362266</v>
      </c>
      <c r="EW31" s="455">
        <f t="shared" si="13"/>
        <v>5339722</v>
      </c>
      <c r="EX31" s="272">
        <v>5339722</v>
      </c>
      <c r="EY31" s="272">
        <v>262344</v>
      </c>
      <c r="EZ31" s="272">
        <v>5013544</v>
      </c>
      <c r="FA31" s="272">
        <v>0</v>
      </c>
      <c r="FB31" s="272"/>
      <c r="FC31" s="272">
        <v>8600711</v>
      </c>
      <c r="FD31" s="272">
        <v>9999503</v>
      </c>
      <c r="FE31" s="272">
        <v>4627241</v>
      </c>
      <c r="FF31" s="272">
        <v>12851203</v>
      </c>
      <c r="FG31" s="455">
        <f t="shared" si="14"/>
        <v>4017598</v>
      </c>
      <c r="FH31" s="272">
        <v>101600135</v>
      </c>
      <c r="FI31" s="384">
        <f t="shared" si="15"/>
        <v>4</v>
      </c>
      <c r="FJ31" s="272">
        <v>87313921</v>
      </c>
      <c r="FK31" s="272"/>
      <c r="FL31" s="272">
        <v>65365180</v>
      </c>
      <c r="FM31" s="272">
        <v>65973785</v>
      </c>
      <c r="FN31" s="460">
        <v>1.0109999999999999</v>
      </c>
      <c r="FO31" s="388">
        <v>95.1</v>
      </c>
      <c r="FP31" s="388">
        <v>47.2</v>
      </c>
      <c r="FQ31" s="388">
        <v>6.5</v>
      </c>
      <c r="FR31" s="388">
        <v>13.4</v>
      </c>
      <c r="FS31" s="388">
        <v>8.8000000000000007</v>
      </c>
      <c r="FT31" s="388">
        <v>8.6</v>
      </c>
      <c r="FU31" s="388">
        <v>9.5</v>
      </c>
      <c r="FV31" s="388">
        <v>12.3</v>
      </c>
      <c r="FW31" s="272">
        <v>111050486</v>
      </c>
      <c r="FX31" s="384">
        <f t="shared" si="16"/>
        <v>127.2</v>
      </c>
      <c r="FY31" s="272">
        <v>14055871</v>
      </c>
      <c r="FZ31" s="272">
        <v>1673500</v>
      </c>
      <c r="GA31" s="272"/>
      <c r="GB31" s="272">
        <v>12382371</v>
      </c>
      <c r="GC31" s="272"/>
      <c r="GD31" s="272">
        <v>44155852</v>
      </c>
      <c r="GE31" s="384">
        <f t="shared" si="17"/>
        <v>50.6</v>
      </c>
      <c r="GF31" s="388">
        <v>96.6</v>
      </c>
      <c r="GG31" s="388">
        <v>38</v>
      </c>
      <c r="GH31" s="388">
        <v>93.5</v>
      </c>
      <c r="GI31" s="272">
        <v>4270</v>
      </c>
    </row>
    <row r="32" spans="2:191" x14ac:dyDescent="0.15">
      <c r="B32" s="89" t="s">
        <v>57</v>
      </c>
      <c r="C32" s="272">
        <v>7530931</v>
      </c>
      <c r="D32" s="455">
        <f t="shared" si="0"/>
        <v>3145770</v>
      </c>
      <c r="E32" s="272">
        <v>37668</v>
      </c>
      <c r="F32" s="272">
        <v>3108102</v>
      </c>
      <c r="G32" s="455">
        <f t="shared" si="1"/>
        <v>402356</v>
      </c>
      <c r="H32" s="272">
        <v>82245</v>
      </c>
      <c r="I32" s="272">
        <v>320111</v>
      </c>
      <c r="J32" s="272">
        <v>2956143</v>
      </c>
      <c r="K32" s="272">
        <v>1773400</v>
      </c>
      <c r="L32" s="272">
        <v>843376</v>
      </c>
      <c r="M32" s="272">
        <v>331633</v>
      </c>
      <c r="N32" s="272">
        <v>222079</v>
      </c>
      <c r="O32" s="272">
        <v>554701</v>
      </c>
      <c r="P32" s="272">
        <v>389918</v>
      </c>
      <c r="Q32" s="272">
        <v>164783</v>
      </c>
      <c r="R32" s="272">
        <v>330556</v>
      </c>
      <c r="S32" s="272">
        <v>221309</v>
      </c>
      <c r="T32" s="455">
        <f t="shared" si="2"/>
        <v>444177</v>
      </c>
      <c r="U32" s="272">
        <v>172050</v>
      </c>
      <c r="V32" s="272"/>
      <c r="W32" s="272"/>
      <c r="X32" s="272"/>
      <c r="Y32" s="272">
        <v>107493</v>
      </c>
      <c r="Z32" s="272">
        <v>872</v>
      </c>
      <c r="AA32" s="272">
        <v>163762</v>
      </c>
      <c r="AB32" s="272"/>
      <c r="AC32" s="272">
        <v>2880572</v>
      </c>
      <c r="AD32" s="272">
        <v>2401586</v>
      </c>
      <c r="AE32" s="272">
        <v>478986</v>
      </c>
      <c r="AF32" s="272">
        <v>13552</v>
      </c>
      <c r="AG32" s="272">
        <v>55621</v>
      </c>
      <c r="AH32" s="455">
        <f t="shared" si="3"/>
        <v>289927</v>
      </c>
      <c r="AI32" s="272">
        <v>138971</v>
      </c>
      <c r="AJ32" s="272">
        <v>150956</v>
      </c>
      <c r="AK32" s="272">
        <v>1713196</v>
      </c>
      <c r="AL32" s="455">
        <f t="shared" si="4"/>
        <v>969072</v>
      </c>
      <c r="AM32" s="272">
        <v>811572</v>
      </c>
      <c r="AN32" s="272">
        <v>102053</v>
      </c>
      <c r="AO32" s="272">
        <v>0</v>
      </c>
      <c r="AP32" s="272">
        <v>55447</v>
      </c>
      <c r="AQ32" s="272">
        <v>316419</v>
      </c>
      <c r="AR32" s="272">
        <v>0</v>
      </c>
      <c r="AS32" s="272">
        <v>0</v>
      </c>
      <c r="AT32" s="272">
        <v>1058780</v>
      </c>
      <c r="AU32" s="272">
        <v>247943</v>
      </c>
      <c r="AV32" s="272">
        <v>51026</v>
      </c>
      <c r="AW32" s="272">
        <v>54952</v>
      </c>
      <c r="AX32" s="272">
        <v>810837</v>
      </c>
      <c r="AY32" s="272">
        <v>393967</v>
      </c>
      <c r="AZ32" s="272">
        <v>200212</v>
      </c>
      <c r="BA32" s="272">
        <v>0</v>
      </c>
      <c r="BB32" s="272">
        <v>141026</v>
      </c>
      <c r="BC32" s="272">
        <v>1827618</v>
      </c>
      <c r="BD32" s="272">
        <v>0</v>
      </c>
      <c r="BE32" s="272">
        <v>0</v>
      </c>
      <c r="BF32" s="272">
        <v>1526786</v>
      </c>
      <c r="BG32" s="272">
        <v>0</v>
      </c>
      <c r="BH32" s="272">
        <v>75308</v>
      </c>
      <c r="BI32" s="272">
        <v>75308</v>
      </c>
      <c r="BJ32" s="272">
        <v>594683</v>
      </c>
      <c r="BK32" s="272">
        <v>1800</v>
      </c>
      <c r="BL32" s="272">
        <v>0</v>
      </c>
      <c r="BM32" s="272">
        <v>0</v>
      </c>
      <c r="BN32" s="272">
        <v>1387627</v>
      </c>
      <c r="BO32" s="455">
        <f t="shared" si="5"/>
        <v>1387627</v>
      </c>
      <c r="BP32" s="455">
        <f t="shared" si="6"/>
        <v>0</v>
      </c>
      <c r="BQ32" s="272"/>
      <c r="BR32" s="272"/>
      <c r="BS32" s="272"/>
      <c r="BT32" s="272">
        <v>0</v>
      </c>
      <c r="BU32" s="272">
        <v>18543786</v>
      </c>
      <c r="BV32" s="272"/>
      <c r="BW32" s="272">
        <v>4848363</v>
      </c>
      <c r="BX32" s="272">
        <v>3689411</v>
      </c>
      <c r="BY32" s="272">
        <v>139720</v>
      </c>
      <c r="BZ32" s="272">
        <v>150186</v>
      </c>
      <c r="CA32" s="272">
        <v>1866753</v>
      </c>
      <c r="CB32" s="272">
        <v>158170</v>
      </c>
      <c r="CC32" s="272">
        <v>341623</v>
      </c>
      <c r="CD32" s="272">
        <v>235573</v>
      </c>
      <c r="CE32" s="272">
        <v>1093691</v>
      </c>
      <c r="CF32" s="272">
        <v>0</v>
      </c>
      <c r="CG32" s="272">
        <v>37506</v>
      </c>
      <c r="CH32" s="272">
        <v>1770335</v>
      </c>
      <c r="CI32" s="272">
        <v>989881</v>
      </c>
      <c r="CJ32" s="455">
        <f t="shared" si="7"/>
        <v>780454</v>
      </c>
      <c r="CK32" s="272">
        <v>1982888</v>
      </c>
      <c r="CL32" s="272">
        <v>902010</v>
      </c>
      <c r="CM32" s="272">
        <v>123807</v>
      </c>
      <c r="CN32" s="272">
        <v>574025</v>
      </c>
      <c r="CO32" s="272">
        <v>199877</v>
      </c>
      <c r="CP32" s="272">
        <v>1026727</v>
      </c>
      <c r="CQ32" s="272">
        <v>453278</v>
      </c>
      <c r="CR32" s="272">
        <v>273380</v>
      </c>
      <c r="CS32" s="272">
        <v>189973</v>
      </c>
      <c r="CT32" s="455">
        <f t="shared" si="8"/>
        <v>3985</v>
      </c>
      <c r="CU32" s="272">
        <v>3985</v>
      </c>
      <c r="CV32" s="272">
        <v>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4875519</v>
      </c>
      <c r="DD32" s="272">
        <v>780662</v>
      </c>
      <c r="DE32" s="272">
        <v>4047332</v>
      </c>
      <c r="DF32" s="272">
        <v>47525</v>
      </c>
      <c r="DG32" s="272">
        <v>0</v>
      </c>
      <c r="DH32" s="272">
        <v>0</v>
      </c>
      <c r="DI32" s="272">
        <v>796927</v>
      </c>
      <c r="DJ32" s="272">
        <v>0</v>
      </c>
      <c r="DK32" s="272">
        <v>95315</v>
      </c>
      <c r="DL32" s="272">
        <v>701612</v>
      </c>
      <c r="DM32" s="272">
        <v>1150</v>
      </c>
      <c r="DN32" s="272">
        <v>0</v>
      </c>
      <c r="DO32" s="272">
        <v>0</v>
      </c>
      <c r="DP32" s="272">
        <v>0</v>
      </c>
      <c r="DQ32" s="272">
        <v>0</v>
      </c>
      <c r="DR32" s="272">
        <v>0</v>
      </c>
      <c r="DS32" s="272">
        <v>0</v>
      </c>
      <c r="DT32" s="272">
        <v>1083786</v>
      </c>
      <c r="DU32" s="272">
        <v>336529</v>
      </c>
      <c r="DV32" s="455">
        <f t="shared" si="11"/>
        <v>0</v>
      </c>
      <c r="DW32" s="272">
        <v>0</v>
      </c>
      <c r="DX32" s="272">
        <v>0</v>
      </c>
      <c r="DY32" s="457" t="s">
        <v>646</v>
      </c>
      <c r="DZ32" s="272">
        <v>358463</v>
      </c>
      <c r="EA32" s="272">
        <v>157062</v>
      </c>
      <c r="EB32" s="272"/>
      <c r="EC32" s="272">
        <v>0</v>
      </c>
      <c r="ED32" s="272">
        <v>18452325</v>
      </c>
      <c r="EF32" s="272">
        <v>91461</v>
      </c>
      <c r="EG32" s="272">
        <v>56650</v>
      </c>
      <c r="EH32" s="272">
        <v>34811</v>
      </c>
      <c r="EI32" s="272">
        <v>-40497</v>
      </c>
      <c r="EJ32" s="272">
        <v>-40497</v>
      </c>
      <c r="EL32" s="272"/>
      <c r="EM32" s="272">
        <v>60535</v>
      </c>
      <c r="EN32" s="272">
        <v>261680</v>
      </c>
      <c r="EO32" s="272">
        <v>157238</v>
      </c>
      <c r="EP32" s="455">
        <f t="shared" si="12"/>
        <v>420349</v>
      </c>
      <c r="EQ32" s="272">
        <v>11199788</v>
      </c>
      <c r="ER32" s="272">
        <v>-825715</v>
      </c>
      <c r="ES32" s="272">
        <v>4477101</v>
      </c>
      <c r="ET32" s="272">
        <v>3318149</v>
      </c>
      <c r="EU32" s="272">
        <v>551531</v>
      </c>
      <c r="EV32" s="272">
        <v>1730789</v>
      </c>
      <c r="EW32" s="455">
        <f t="shared" si="13"/>
        <v>681149</v>
      </c>
      <c r="EX32" s="272">
        <v>681149</v>
      </c>
      <c r="EY32" s="272">
        <v>102752</v>
      </c>
      <c r="EZ32" s="272">
        <v>545591</v>
      </c>
      <c r="FA32" s="272">
        <v>0</v>
      </c>
      <c r="FB32" s="272"/>
      <c r="FC32" s="272">
        <v>1582924</v>
      </c>
      <c r="FD32" s="272">
        <v>968545</v>
      </c>
      <c r="FE32" s="272">
        <v>453278</v>
      </c>
      <c r="FF32" s="272">
        <v>1013540</v>
      </c>
      <c r="FG32" s="455">
        <f t="shared" si="14"/>
        <v>938538</v>
      </c>
      <c r="FH32" s="272">
        <v>11944117</v>
      </c>
      <c r="FI32" s="384">
        <f t="shared" si="15"/>
        <v>0.4</v>
      </c>
      <c r="FJ32" s="272">
        <v>9840290</v>
      </c>
      <c r="FK32" s="272"/>
      <c r="FL32" s="272">
        <v>5609196</v>
      </c>
      <c r="FM32" s="272">
        <v>8015181</v>
      </c>
      <c r="FN32" s="460">
        <v>0.69499999999999995</v>
      </c>
      <c r="FO32" s="388">
        <v>88.3</v>
      </c>
      <c r="FP32" s="388">
        <v>43.5</v>
      </c>
      <c r="FQ32" s="388">
        <v>5.4</v>
      </c>
      <c r="FR32" s="388">
        <v>16.899999999999999</v>
      </c>
      <c r="FS32" s="388">
        <v>11.4</v>
      </c>
      <c r="FT32" s="388">
        <v>7.8</v>
      </c>
      <c r="FU32" s="388">
        <v>2.2000000000000002</v>
      </c>
      <c r="FV32" s="388">
        <v>14.2</v>
      </c>
      <c r="FW32" s="272">
        <v>14560576</v>
      </c>
      <c r="FX32" s="384">
        <f t="shared" si="16"/>
        <v>148</v>
      </c>
      <c r="FY32" s="272">
        <v>4335417</v>
      </c>
      <c r="FZ32" s="272"/>
      <c r="GA32" s="272">
        <v>1240311</v>
      </c>
      <c r="GB32" s="272">
        <v>3095106</v>
      </c>
      <c r="GC32" s="272"/>
      <c r="GD32" s="272">
        <v>8147322</v>
      </c>
      <c r="GE32" s="384">
        <f t="shared" si="17"/>
        <v>82.8</v>
      </c>
      <c r="GF32" s="388">
        <v>95.5</v>
      </c>
      <c r="GG32" s="388">
        <v>31.3</v>
      </c>
      <c r="GH32" s="388">
        <v>90.1</v>
      </c>
      <c r="GI32" s="272">
        <v>592</v>
      </c>
    </row>
    <row r="33" spans="2:191" x14ac:dyDescent="0.15">
      <c r="B33" s="89" t="s">
        <v>59</v>
      </c>
      <c r="C33" s="272">
        <v>6409048</v>
      </c>
      <c r="D33" s="455">
        <f t="shared" si="0"/>
        <v>2994185</v>
      </c>
      <c r="E33" s="272">
        <v>37053</v>
      </c>
      <c r="F33" s="272">
        <v>2957132</v>
      </c>
      <c r="G33" s="455">
        <f t="shared" si="1"/>
        <v>449372</v>
      </c>
      <c r="H33" s="272">
        <v>69530</v>
      </c>
      <c r="I33" s="272">
        <v>379842</v>
      </c>
      <c r="J33" s="272">
        <v>2173226</v>
      </c>
      <c r="K33" s="272">
        <v>1219095</v>
      </c>
      <c r="L33" s="272">
        <v>719478</v>
      </c>
      <c r="M33" s="272">
        <v>225306</v>
      </c>
      <c r="N33" s="272">
        <v>209646</v>
      </c>
      <c r="O33" s="272">
        <v>519903</v>
      </c>
      <c r="P33" s="272">
        <v>377983</v>
      </c>
      <c r="Q33" s="272">
        <v>141920</v>
      </c>
      <c r="R33" s="272">
        <v>266281</v>
      </c>
      <c r="S33" s="272">
        <v>182686</v>
      </c>
      <c r="T33" s="455">
        <f t="shared" si="2"/>
        <v>340873</v>
      </c>
      <c r="U33" s="272">
        <v>161599</v>
      </c>
      <c r="V33" s="272"/>
      <c r="W33" s="272"/>
      <c r="X33" s="272"/>
      <c r="Y33" s="272">
        <v>53630</v>
      </c>
      <c r="Z33" s="272">
        <v>324</v>
      </c>
      <c r="AA33" s="272">
        <v>125320</v>
      </c>
      <c r="AB33" s="272"/>
      <c r="AC33" s="272">
        <v>3083249</v>
      </c>
      <c r="AD33" s="272">
        <v>2782257</v>
      </c>
      <c r="AE33" s="272">
        <v>300992</v>
      </c>
      <c r="AF33" s="272">
        <v>11536</v>
      </c>
      <c r="AG33" s="272">
        <v>184062</v>
      </c>
      <c r="AH33" s="455">
        <f t="shared" si="3"/>
        <v>200633</v>
      </c>
      <c r="AI33" s="272">
        <v>83929</v>
      </c>
      <c r="AJ33" s="272">
        <v>116704</v>
      </c>
      <c r="AK33" s="272">
        <v>942821</v>
      </c>
      <c r="AL33" s="455">
        <f t="shared" si="4"/>
        <v>523998</v>
      </c>
      <c r="AM33" s="272">
        <v>349335</v>
      </c>
      <c r="AN33" s="272">
        <v>108993</v>
      </c>
      <c r="AO33" s="272">
        <v>0</v>
      </c>
      <c r="AP33" s="272">
        <v>65670</v>
      </c>
      <c r="AQ33" s="272">
        <v>83530</v>
      </c>
      <c r="AR33" s="272">
        <v>0</v>
      </c>
      <c r="AS33" s="272">
        <v>0</v>
      </c>
      <c r="AT33" s="272">
        <v>630689</v>
      </c>
      <c r="AU33" s="272">
        <v>197268</v>
      </c>
      <c r="AV33" s="272">
        <v>54496</v>
      </c>
      <c r="AW33" s="272">
        <v>8484</v>
      </c>
      <c r="AX33" s="272">
        <v>433421</v>
      </c>
      <c r="AY33" s="272">
        <v>166820</v>
      </c>
      <c r="AZ33" s="272">
        <v>98841</v>
      </c>
      <c r="BA33" s="272">
        <v>23422</v>
      </c>
      <c r="BB33" s="272">
        <v>464048</v>
      </c>
      <c r="BC33" s="272">
        <v>556948</v>
      </c>
      <c r="BD33" s="272">
        <v>0</v>
      </c>
      <c r="BE33" s="272">
        <v>41300</v>
      </c>
      <c r="BF33" s="272">
        <v>505648</v>
      </c>
      <c r="BG33" s="272">
        <v>0</v>
      </c>
      <c r="BH33" s="272">
        <v>411824</v>
      </c>
      <c r="BI33" s="272">
        <v>49884</v>
      </c>
      <c r="BJ33" s="272">
        <v>328037</v>
      </c>
      <c r="BK33" s="272">
        <v>0</v>
      </c>
      <c r="BL33" s="272">
        <v>157379</v>
      </c>
      <c r="BM33" s="272">
        <v>0</v>
      </c>
      <c r="BN33" s="272">
        <v>2851100</v>
      </c>
      <c r="BO33" s="455">
        <f t="shared" si="5"/>
        <v>2851100</v>
      </c>
      <c r="BP33" s="455">
        <f t="shared" si="6"/>
        <v>0</v>
      </c>
      <c r="BQ33" s="272"/>
      <c r="BR33" s="272"/>
      <c r="BS33" s="272"/>
      <c r="BT33" s="272">
        <v>0</v>
      </c>
      <c r="BU33" s="272">
        <v>16779990</v>
      </c>
      <c r="BV33" s="272"/>
      <c r="BW33" s="272">
        <v>4281980</v>
      </c>
      <c r="BX33" s="272">
        <v>3317221</v>
      </c>
      <c r="BY33" s="272">
        <v>84236</v>
      </c>
      <c r="BZ33" s="272">
        <v>83323</v>
      </c>
      <c r="CA33" s="272">
        <v>1395706</v>
      </c>
      <c r="CB33" s="272">
        <v>178969</v>
      </c>
      <c r="CC33" s="272">
        <v>381408</v>
      </c>
      <c r="CD33" s="272">
        <v>329401</v>
      </c>
      <c r="CE33" s="272">
        <v>465849</v>
      </c>
      <c r="CF33" s="272">
        <v>1921</v>
      </c>
      <c r="CG33" s="272">
        <v>37701</v>
      </c>
      <c r="CH33" s="272">
        <v>1023233</v>
      </c>
      <c r="CI33" s="272">
        <v>511930</v>
      </c>
      <c r="CJ33" s="455">
        <f t="shared" si="7"/>
        <v>511303</v>
      </c>
      <c r="CK33" s="272">
        <v>1571692</v>
      </c>
      <c r="CL33" s="272">
        <v>907773</v>
      </c>
      <c r="CM33" s="272">
        <v>92583</v>
      </c>
      <c r="CN33" s="272">
        <v>284170</v>
      </c>
      <c r="CO33" s="272">
        <v>51954</v>
      </c>
      <c r="CP33" s="272">
        <v>888151</v>
      </c>
      <c r="CQ33" s="272">
        <v>360453</v>
      </c>
      <c r="CR33" s="272">
        <v>200087</v>
      </c>
      <c r="CS33" s="272">
        <v>125852</v>
      </c>
      <c r="CT33" s="455">
        <f t="shared" si="8"/>
        <v>16117</v>
      </c>
      <c r="CU33" s="272">
        <v>5639</v>
      </c>
      <c r="CV33" s="272">
        <v>10478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5320843</v>
      </c>
      <c r="DD33" s="272">
        <v>227716</v>
      </c>
      <c r="DE33" s="272">
        <v>4932295</v>
      </c>
      <c r="DF33" s="272">
        <v>3453</v>
      </c>
      <c r="DG33" s="272">
        <v>157379</v>
      </c>
      <c r="DH33" s="272">
        <v>0</v>
      </c>
      <c r="DI33" s="272">
        <v>793964</v>
      </c>
      <c r="DJ33" s="272">
        <v>28560</v>
      </c>
      <c r="DK33" s="272">
        <v>291200</v>
      </c>
      <c r="DL33" s="272">
        <v>474204</v>
      </c>
      <c r="DM33" s="272">
        <v>0</v>
      </c>
      <c r="DN33" s="272">
        <v>0</v>
      </c>
      <c r="DO33" s="272">
        <v>0</v>
      </c>
      <c r="DP33" s="272">
        <v>0</v>
      </c>
      <c r="DQ33" s="272">
        <v>0</v>
      </c>
      <c r="DR33" s="272">
        <v>0</v>
      </c>
      <c r="DS33" s="272">
        <v>0</v>
      </c>
      <c r="DT33" s="272">
        <v>1336040</v>
      </c>
      <c r="DU33" s="272">
        <v>955234</v>
      </c>
      <c r="DV33" s="455">
        <f t="shared" si="11"/>
        <v>0</v>
      </c>
      <c r="DW33" s="272">
        <v>0</v>
      </c>
      <c r="DX33" s="272">
        <v>0</v>
      </c>
      <c r="DY33" s="457" t="s">
        <v>646</v>
      </c>
      <c r="DZ33" s="272">
        <v>240804</v>
      </c>
      <c r="EA33" s="272">
        <v>139540</v>
      </c>
      <c r="EB33" s="272"/>
      <c r="EC33" s="272">
        <v>0</v>
      </c>
      <c r="ED33" s="272">
        <v>16663563</v>
      </c>
      <c r="EF33" s="272">
        <v>116427</v>
      </c>
      <c r="EG33" s="272">
        <v>8374</v>
      </c>
      <c r="EH33" s="272">
        <v>108053</v>
      </c>
      <c r="EI33" s="272">
        <v>58169</v>
      </c>
      <c r="EJ33" s="272">
        <v>86729</v>
      </c>
      <c r="EL33" s="272"/>
      <c r="EM33" s="272">
        <v>50652</v>
      </c>
      <c r="EN33" s="272">
        <v>51300</v>
      </c>
      <c r="EO33" s="272">
        <v>26046</v>
      </c>
      <c r="EP33" s="455">
        <f t="shared" si="12"/>
        <v>829387</v>
      </c>
      <c r="EQ33" s="272">
        <v>10110987</v>
      </c>
      <c r="ER33" s="272">
        <v>-895197</v>
      </c>
      <c r="ES33" s="272">
        <v>4005930</v>
      </c>
      <c r="ET33" s="272">
        <v>3051551</v>
      </c>
      <c r="EU33" s="272">
        <v>439682</v>
      </c>
      <c r="EV33" s="272">
        <v>1023233</v>
      </c>
      <c r="EW33" s="455">
        <f t="shared" si="13"/>
        <v>1361582</v>
      </c>
      <c r="EX33" s="272">
        <v>1361582</v>
      </c>
      <c r="EY33" s="272">
        <v>46184</v>
      </c>
      <c r="EZ33" s="272">
        <v>1311945</v>
      </c>
      <c r="FA33" s="272">
        <v>0</v>
      </c>
      <c r="FB33" s="272"/>
      <c r="FC33" s="272">
        <v>1231458</v>
      </c>
      <c r="FD33" s="272">
        <v>813113</v>
      </c>
      <c r="FE33" s="272">
        <v>360453</v>
      </c>
      <c r="FF33" s="272">
        <v>1288319</v>
      </c>
      <c r="FG33" s="455">
        <f t="shared" si="14"/>
        <v>726440</v>
      </c>
      <c r="FH33" s="272">
        <v>10889757</v>
      </c>
      <c r="FI33" s="384">
        <f t="shared" si="15"/>
        <v>1.2</v>
      </c>
      <c r="FJ33" s="272">
        <v>9077831</v>
      </c>
      <c r="FK33" s="272"/>
      <c r="FL33" s="272">
        <v>4745140</v>
      </c>
      <c r="FM33" s="272">
        <v>7540711</v>
      </c>
      <c r="FN33" s="460">
        <v>0.64700000000000002</v>
      </c>
      <c r="FO33" s="388">
        <v>85.8</v>
      </c>
      <c r="FP33" s="388">
        <v>42.5</v>
      </c>
      <c r="FQ33" s="388">
        <v>4.5999999999999996</v>
      </c>
      <c r="FR33" s="388">
        <v>10.9</v>
      </c>
      <c r="FS33" s="388">
        <v>9.6999999999999993</v>
      </c>
      <c r="FT33" s="388">
        <v>7.5</v>
      </c>
      <c r="FU33" s="388">
        <v>10.1</v>
      </c>
      <c r="FV33" s="388">
        <v>9.5</v>
      </c>
      <c r="FW33" s="272">
        <v>10240626</v>
      </c>
      <c r="FX33" s="384">
        <f t="shared" si="16"/>
        <v>112.8</v>
      </c>
      <c r="FY33" s="272">
        <v>1916779</v>
      </c>
      <c r="FZ33" s="272">
        <v>41725</v>
      </c>
      <c r="GA33" s="272">
        <v>595560</v>
      </c>
      <c r="GB33" s="272">
        <v>1279494</v>
      </c>
      <c r="GC33" s="272"/>
      <c r="GD33" s="272">
        <v>4654220</v>
      </c>
      <c r="GE33" s="384">
        <f t="shared" si="17"/>
        <v>51.3</v>
      </c>
      <c r="GF33" s="388">
        <v>96.5</v>
      </c>
      <c r="GG33" s="388">
        <v>45.7</v>
      </c>
      <c r="GH33" s="388">
        <v>93.6</v>
      </c>
      <c r="GI33" s="272">
        <v>469</v>
      </c>
    </row>
    <row r="34" spans="2:191" x14ac:dyDescent="0.15">
      <c r="B34" s="89" t="s">
        <v>61</v>
      </c>
      <c r="C34" s="272">
        <v>9029115</v>
      </c>
      <c r="D34" s="455">
        <f t="shared" si="0"/>
        <v>5252688</v>
      </c>
      <c r="E34" s="272">
        <v>45956</v>
      </c>
      <c r="F34" s="272">
        <v>5206732</v>
      </c>
      <c r="G34" s="455">
        <f t="shared" si="1"/>
        <v>599964</v>
      </c>
      <c r="H34" s="272">
        <v>76388</v>
      </c>
      <c r="I34" s="272">
        <v>523576</v>
      </c>
      <c r="J34" s="272">
        <v>2346709</v>
      </c>
      <c r="K34" s="272">
        <v>1067269</v>
      </c>
      <c r="L34" s="272">
        <v>889857</v>
      </c>
      <c r="M34" s="272">
        <v>363628</v>
      </c>
      <c r="N34" s="272">
        <v>222677</v>
      </c>
      <c r="O34" s="272">
        <v>559732</v>
      </c>
      <c r="P34" s="272">
        <v>366362</v>
      </c>
      <c r="Q34" s="272">
        <v>193370</v>
      </c>
      <c r="R34" s="272">
        <v>337739</v>
      </c>
      <c r="S34" s="272">
        <v>223529</v>
      </c>
      <c r="T34" s="455">
        <f t="shared" si="2"/>
        <v>597749</v>
      </c>
      <c r="U34" s="272">
        <v>274968</v>
      </c>
      <c r="V34" s="272"/>
      <c r="W34" s="272"/>
      <c r="X34" s="272"/>
      <c r="Y34" s="272">
        <v>151520</v>
      </c>
      <c r="Z34" s="272">
        <v>171</v>
      </c>
      <c r="AA34" s="272">
        <v>171090</v>
      </c>
      <c r="AB34" s="272"/>
      <c r="AC34" s="272">
        <v>2504254</v>
      </c>
      <c r="AD34" s="272">
        <v>2240548</v>
      </c>
      <c r="AE34" s="272">
        <v>263706</v>
      </c>
      <c r="AF34" s="272">
        <v>13601</v>
      </c>
      <c r="AG34" s="272">
        <v>96187</v>
      </c>
      <c r="AH34" s="455">
        <f t="shared" si="3"/>
        <v>138669</v>
      </c>
      <c r="AI34" s="272">
        <v>67060</v>
      </c>
      <c r="AJ34" s="272">
        <v>71609</v>
      </c>
      <c r="AK34" s="272">
        <v>818093</v>
      </c>
      <c r="AL34" s="455">
        <f t="shared" si="4"/>
        <v>450167</v>
      </c>
      <c r="AM34" s="272">
        <v>299999</v>
      </c>
      <c r="AN34" s="272">
        <v>97302</v>
      </c>
      <c r="AO34" s="272">
        <v>0</v>
      </c>
      <c r="AP34" s="272">
        <v>52866</v>
      </c>
      <c r="AQ34" s="272">
        <v>74130</v>
      </c>
      <c r="AR34" s="272">
        <v>0</v>
      </c>
      <c r="AS34" s="272">
        <v>0</v>
      </c>
      <c r="AT34" s="272">
        <v>754551</v>
      </c>
      <c r="AU34" s="272">
        <v>163373</v>
      </c>
      <c r="AV34" s="272">
        <v>48651</v>
      </c>
      <c r="AW34" s="272">
        <v>5656</v>
      </c>
      <c r="AX34" s="272">
        <v>591178</v>
      </c>
      <c r="AY34" s="272">
        <v>223928</v>
      </c>
      <c r="AZ34" s="272">
        <v>271819</v>
      </c>
      <c r="BA34" s="272">
        <v>2927</v>
      </c>
      <c r="BB34" s="272">
        <v>706393</v>
      </c>
      <c r="BC34" s="272">
        <v>1192802</v>
      </c>
      <c r="BD34" s="272">
        <v>300000</v>
      </c>
      <c r="BE34" s="272">
        <v>434060</v>
      </c>
      <c r="BF34" s="272">
        <v>458742</v>
      </c>
      <c r="BG34" s="272">
        <v>0</v>
      </c>
      <c r="BH34" s="272">
        <v>97425</v>
      </c>
      <c r="BI34" s="272">
        <v>97425</v>
      </c>
      <c r="BJ34" s="272">
        <v>1132867</v>
      </c>
      <c r="BK34" s="272">
        <v>1036362</v>
      </c>
      <c r="BL34" s="272">
        <v>5168</v>
      </c>
      <c r="BM34" s="272">
        <v>0</v>
      </c>
      <c r="BN34" s="272">
        <v>1096700</v>
      </c>
      <c r="BO34" s="455">
        <f t="shared" si="5"/>
        <v>1096700</v>
      </c>
      <c r="BP34" s="455">
        <f t="shared" si="6"/>
        <v>0</v>
      </c>
      <c r="BQ34" s="272"/>
      <c r="BR34" s="272"/>
      <c r="BS34" s="272"/>
      <c r="BT34" s="272">
        <v>0</v>
      </c>
      <c r="BU34" s="272">
        <v>18787964</v>
      </c>
      <c r="BV34" s="272"/>
      <c r="BW34" s="272">
        <v>5102171</v>
      </c>
      <c r="BX34" s="272">
        <v>3927694</v>
      </c>
      <c r="BY34" s="272">
        <v>95355</v>
      </c>
      <c r="BZ34" s="272">
        <v>154266</v>
      </c>
      <c r="CA34" s="272">
        <v>1316135</v>
      </c>
      <c r="CB34" s="272">
        <v>222493</v>
      </c>
      <c r="CC34" s="272">
        <v>290957</v>
      </c>
      <c r="CD34" s="272">
        <v>382017</v>
      </c>
      <c r="CE34" s="272">
        <v>371772</v>
      </c>
      <c r="CF34" s="272">
        <v>0</v>
      </c>
      <c r="CG34" s="272">
        <v>48896</v>
      </c>
      <c r="CH34" s="272">
        <v>2116178</v>
      </c>
      <c r="CI34" s="272">
        <v>1008166</v>
      </c>
      <c r="CJ34" s="455">
        <f t="shared" si="7"/>
        <v>1108012</v>
      </c>
      <c r="CK34" s="272">
        <v>1985832</v>
      </c>
      <c r="CL34" s="272">
        <v>1160314</v>
      </c>
      <c r="CM34" s="272">
        <v>79905</v>
      </c>
      <c r="CN34" s="272">
        <v>469479</v>
      </c>
      <c r="CO34" s="272">
        <v>90603</v>
      </c>
      <c r="CP34" s="272">
        <v>807343</v>
      </c>
      <c r="CQ34" s="272">
        <v>289863</v>
      </c>
      <c r="CR34" s="272">
        <v>215842</v>
      </c>
      <c r="CS34" s="272">
        <v>198891</v>
      </c>
      <c r="CT34" s="455">
        <f t="shared" si="8"/>
        <v>6518</v>
      </c>
      <c r="CU34" s="272">
        <v>6518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3459601</v>
      </c>
      <c r="DD34" s="272">
        <v>183970</v>
      </c>
      <c r="DE34" s="272">
        <v>3270463</v>
      </c>
      <c r="DF34" s="272">
        <v>0</v>
      </c>
      <c r="DG34" s="272">
        <v>5168</v>
      </c>
      <c r="DH34" s="272">
        <v>634</v>
      </c>
      <c r="DI34" s="272">
        <v>1430614</v>
      </c>
      <c r="DJ34" s="272">
        <v>158635</v>
      </c>
      <c r="DK34" s="272">
        <v>434983</v>
      </c>
      <c r="DL34" s="272">
        <v>836996</v>
      </c>
      <c r="DM34" s="272">
        <v>51230</v>
      </c>
      <c r="DN34" s="272">
        <v>0</v>
      </c>
      <c r="DO34" s="272">
        <v>0</v>
      </c>
      <c r="DP34" s="272">
        <v>0</v>
      </c>
      <c r="DQ34" s="272">
        <v>1000000</v>
      </c>
      <c r="DR34" s="272">
        <v>0</v>
      </c>
      <c r="DS34" s="272">
        <v>0</v>
      </c>
      <c r="DT34" s="272">
        <v>1289645</v>
      </c>
      <c r="DU34" s="272">
        <v>690000</v>
      </c>
      <c r="DV34" s="455">
        <f t="shared" si="11"/>
        <v>0</v>
      </c>
      <c r="DW34" s="272">
        <v>0</v>
      </c>
      <c r="DX34" s="272">
        <v>0</v>
      </c>
      <c r="DY34" s="457" t="s">
        <v>646</v>
      </c>
      <c r="DZ34" s="272">
        <v>163442</v>
      </c>
      <c r="EA34" s="272">
        <v>162483</v>
      </c>
      <c r="EB34" s="272"/>
      <c r="EC34" s="272">
        <v>0</v>
      </c>
      <c r="ED34" s="272">
        <v>18649986</v>
      </c>
      <c r="EF34" s="272">
        <v>137978</v>
      </c>
      <c r="EG34" s="272">
        <v>0</v>
      </c>
      <c r="EH34" s="272">
        <v>137978</v>
      </c>
      <c r="EI34" s="272">
        <v>40553</v>
      </c>
      <c r="EJ34" s="272">
        <v>-100812</v>
      </c>
      <c r="EL34" s="272"/>
      <c r="EM34" s="272">
        <v>66747</v>
      </c>
      <c r="EN34" s="272">
        <v>734060</v>
      </c>
      <c r="EO34" s="272">
        <v>4580</v>
      </c>
      <c r="EP34" s="455">
        <f t="shared" si="12"/>
        <v>888394</v>
      </c>
      <c r="EQ34" s="272">
        <v>12482458</v>
      </c>
      <c r="ER34" s="272">
        <v>-1613433</v>
      </c>
      <c r="ES34" s="272">
        <v>4882487</v>
      </c>
      <c r="ET34" s="272">
        <v>3720005</v>
      </c>
      <c r="EU34" s="272">
        <v>410171</v>
      </c>
      <c r="EV34" s="272">
        <v>2116178</v>
      </c>
      <c r="EW34" s="455">
        <f t="shared" si="13"/>
        <v>1610386</v>
      </c>
      <c r="EX34" s="272">
        <v>1609752</v>
      </c>
      <c r="EY34" s="272">
        <v>67843</v>
      </c>
      <c r="EZ34" s="272">
        <v>1541909</v>
      </c>
      <c r="FA34" s="272">
        <v>634</v>
      </c>
      <c r="FB34" s="272"/>
      <c r="FC34" s="272">
        <v>1647962</v>
      </c>
      <c r="FD34" s="272">
        <v>759763</v>
      </c>
      <c r="FE34" s="272">
        <v>289863</v>
      </c>
      <c r="FF34" s="272">
        <v>1223263</v>
      </c>
      <c r="FG34" s="455">
        <f t="shared" si="14"/>
        <v>1330726</v>
      </c>
      <c r="FH34" s="272">
        <v>13980936</v>
      </c>
      <c r="FI34" s="384">
        <f t="shared" si="15"/>
        <v>1.2</v>
      </c>
      <c r="FJ34" s="272">
        <v>11292437</v>
      </c>
      <c r="FK34" s="272"/>
      <c r="FL34" s="272">
        <v>6821491</v>
      </c>
      <c r="FM34" s="272">
        <v>9079094</v>
      </c>
      <c r="FN34" s="460">
        <v>0.77</v>
      </c>
      <c r="FO34" s="388">
        <v>84.6</v>
      </c>
      <c r="FP34" s="388">
        <v>41.6</v>
      </c>
      <c r="FQ34" s="388">
        <v>3.5</v>
      </c>
      <c r="FR34" s="388">
        <v>18.100000000000001</v>
      </c>
      <c r="FS34" s="388">
        <v>12</v>
      </c>
      <c r="FT34" s="388">
        <v>5.9</v>
      </c>
      <c r="FU34" s="388">
        <v>2.7</v>
      </c>
      <c r="FV34" s="388">
        <v>14.4</v>
      </c>
      <c r="FW34" s="272">
        <v>20815738</v>
      </c>
      <c r="FX34" s="384">
        <f t="shared" si="16"/>
        <v>184.3</v>
      </c>
      <c r="FY34" s="272">
        <v>5584881</v>
      </c>
      <c r="FZ34" s="272">
        <v>2369646</v>
      </c>
      <c r="GA34" s="272">
        <v>999655</v>
      </c>
      <c r="GB34" s="272">
        <v>2215580</v>
      </c>
      <c r="GC34" s="272"/>
      <c r="GD34" s="272">
        <v>24451173</v>
      </c>
      <c r="GE34" s="384">
        <f t="shared" si="17"/>
        <v>216.5</v>
      </c>
      <c r="GF34" s="388">
        <v>97.6</v>
      </c>
      <c r="GG34" s="388">
        <v>38.6</v>
      </c>
      <c r="GH34" s="388">
        <v>95.3</v>
      </c>
      <c r="GI34" s="272">
        <v>554</v>
      </c>
    </row>
    <row r="35" spans="2:191" x14ac:dyDescent="0.15">
      <c r="B35" s="89" t="s">
        <v>63</v>
      </c>
      <c r="C35" s="272">
        <v>7945491</v>
      </c>
      <c r="D35" s="455">
        <f t="shared" si="0"/>
        <v>4512117</v>
      </c>
      <c r="E35" s="272">
        <v>37371</v>
      </c>
      <c r="F35" s="272">
        <v>4474746</v>
      </c>
      <c r="G35" s="455">
        <f t="shared" si="1"/>
        <v>410770</v>
      </c>
      <c r="H35" s="272">
        <v>66217</v>
      </c>
      <c r="I35" s="272">
        <v>344553</v>
      </c>
      <c r="J35" s="272">
        <v>2370559</v>
      </c>
      <c r="K35" s="272">
        <v>1050397</v>
      </c>
      <c r="L35" s="272">
        <v>1008642</v>
      </c>
      <c r="M35" s="272">
        <v>287559</v>
      </c>
      <c r="N35" s="272">
        <v>200886</v>
      </c>
      <c r="O35" s="272">
        <v>399327</v>
      </c>
      <c r="P35" s="272">
        <v>259694</v>
      </c>
      <c r="Q35" s="272">
        <v>139633</v>
      </c>
      <c r="R35" s="272">
        <v>295838</v>
      </c>
      <c r="S35" s="272">
        <v>197647</v>
      </c>
      <c r="T35" s="455">
        <f t="shared" si="2"/>
        <v>396756</v>
      </c>
      <c r="U35" s="272">
        <v>248802</v>
      </c>
      <c r="V35" s="272"/>
      <c r="W35" s="272"/>
      <c r="X35" s="272"/>
      <c r="Y35" s="272">
        <v>0</v>
      </c>
      <c r="Z35" s="272">
        <v>1105</v>
      </c>
      <c r="AA35" s="272">
        <v>146849</v>
      </c>
      <c r="AB35" s="272"/>
      <c r="AC35" s="272">
        <v>1946315</v>
      </c>
      <c r="AD35" s="272">
        <v>1624992</v>
      </c>
      <c r="AE35" s="272">
        <v>321323</v>
      </c>
      <c r="AF35" s="272">
        <v>13300</v>
      </c>
      <c r="AG35" s="272">
        <v>85168</v>
      </c>
      <c r="AH35" s="455">
        <f t="shared" si="3"/>
        <v>195116</v>
      </c>
      <c r="AI35" s="272">
        <v>163326</v>
      </c>
      <c r="AJ35" s="272">
        <v>31790</v>
      </c>
      <c r="AK35" s="272">
        <v>1073534</v>
      </c>
      <c r="AL35" s="455">
        <f t="shared" si="4"/>
        <v>396688</v>
      </c>
      <c r="AM35" s="272">
        <v>267227</v>
      </c>
      <c r="AN35" s="272">
        <v>53729</v>
      </c>
      <c r="AO35" s="272">
        <v>0</v>
      </c>
      <c r="AP35" s="272">
        <v>75732</v>
      </c>
      <c r="AQ35" s="272">
        <v>296778</v>
      </c>
      <c r="AR35" s="272">
        <v>0</v>
      </c>
      <c r="AS35" s="272">
        <v>0</v>
      </c>
      <c r="AT35" s="272">
        <v>636732</v>
      </c>
      <c r="AU35" s="272">
        <v>135900</v>
      </c>
      <c r="AV35" s="272">
        <v>26864</v>
      </c>
      <c r="AW35" s="272">
        <v>0</v>
      </c>
      <c r="AX35" s="272">
        <v>500832</v>
      </c>
      <c r="AY35" s="272">
        <v>217500</v>
      </c>
      <c r="AZ35" s="272">
        <v>426927</v>
      </c>
      <c r="BA35" s="272">
        <v>146058</v>
      </c>
      <c r="BB35" s="272">
        <v>148400</v>
      </c>
      <c r="BC35" s="272">
        <v>2109276</v>
      </c>
      <c r="BD35" s="272">
        <v>350000</v>
      </c>
      <c r="BE35" s="272">
        <v>250000</v>
      </c>
      <c r="BF35" s="272">
        <v>1298538</v>
      </c>
      <c r="BG35" s="272">
        <v>0</v>
      </c>
      <c r="BH35" s="272">
        <v>344501</v>
      </c>
      <c r="BI35" s="272">
        <v>245799</v>
      </c>
      <c r="BJ35" s="272">
        <v>104999</v>
      </c>
      <c r="BK35" s="272">
        <v>291</v>
      </c>
      <c r="BL35" s="272">
        <v>0</v>
      </c>
      <c r="BM35" s="272">
        <v>0</v>
      </c>
      <c r="BN35" s="272">
        <v>3077900</v>
      </c>
      <c r="BO35" s="455">
        <f t="shared" si="5"/>
        <v>3077900</v>
      </c>
      <c r="BP35" s="455">
        <f t="shared" si="6"/>
        <v>0</v>
      </c>
      <c r="BQ35" s="272"/>
      <c r="BR35" s="272"/>
      <c r="BS35" s="272"/>
      <c r="BT35" s="272">
        <v>0</v>
      </c>
      <c r="BU35" s="272">
        <v>18800253</v>
      </c>
      <c r="BV35" s="272"/>
      <c r="BW35" s="272">
        <v>3888801</v>
      </c>
      <c r="BX35" s="272">
        <v>3079242</v>
      </c>
      <c r="BY35" s="272">
        <v>58388</v>
      </c>
      <c r="BZ35" s="272">
        <v>27246</v>
      </c>
      <c r="CA35" s="272">
        <v>989488</v>
      </c>
      <c r="CB35" s="272">
        <v>130489</v>
      </c>
      <c r="CC35" s="272">
        <v>277761</v>
      </c>
      <c r="CD35" s="272">
        <v>217966</v>
      </c>
      <c r="CE35" s="272">
        <v>346603</v>
      </c>
      <c r="CF35" s="272">
        <v>0</v>
      </c>
      <c r="CG35" s="272">
        <v>16669</v>
      </c>
      <c r="CH35" s="272">
        <v>1625265</v>
      </c>
      <c r="CI35" s="272">
        <v>1032813</v>
      </c>
      <c r="CJ35" s="455">
        <f t="shared" si="7"/>
        <v>592452</v>
      </c>
      <c r="CK35" s="272">
        <v>1860428</v>
      </c>
      <c r="CL35" s="272">
        <v>911156</v>
      </c>
      <c r="CM35" s="272">
        <v>89964</v>
      </c>
      <c r="CN35" s="272">
        <v>479685</v>
      </c>
      <c r="CO35" s="272">
        <v>15001</v>
      </c>
      <c r="CP35" s="272">
        <v>944331</v>
      </c>
      <c r="CQ35" s="272">
        <v>365156</v>
      </c>
      <c r="CR35" s="272">
        <v>270263</v>
      </c>
      <c r="CS35" s="272">
        <v>211728</v>
      </c>
      <c r="CT35" s="455">
        <f t="shared" si="8"/>
        <v>23690</v>
      </c>
      <c r="CU35" s="272">
        <v>3090</v>
      </c>
      <c r="CV35" s="272">
        <v>20600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7329152</v>
      </c>
      <c r="DD35" s="272">
        <v>568505</v>
      </c>
      <c r="DE35" s="272">
        <v>6669387</v>
      </c>
      <c r="DF35" s="272">
        <v>91260</v>
      </c>
      <c r="DG35" s="272">
        <v>0</v>
      </c>
      <c r="DH35" s="272">
        <v>247</v>
      </c>
      <c r="DI35" s="272">
        <v>782400</v>
      </c>
      <c r="DJ35" s="272">
        <v>150000</v>
      </c>
      <c r="DK35" s="272">
        <v>110000</v>
      </c>
      <c r="DL35" s="272">
        <v>522400</v>
      </c>
      <c r="DM35" s="272">
        <v>1070</v>
      </c>
      <c r="DN35" s="272">
        <v>0</v>
      </c>
      <c r="DO35" s="272">
        <v>0</v>
      </c>
      <c r="DP35" s="272">
        <v>0</v>
      </c>
      <c r="DQ35" s="272">
        <v>144</v>
      </c>
      <c r="DR35" s="272">
        <v>0</v>
      </c>
      <c r="DS35" s="272">
        <v>0</v>
      </c>
      <c r="DT35" s="272">
        <v>1087331</v>
      </c>
      <c r="DU35" s="272">
        <v>690516</v>
      </c>
      <c r="DV35" s="455">
        <f t="shared" si="11"/>
        <v>0</v>
      </c>
      <c r="DW35" s="272">
        <v>0</v>
      </c>
      <c r="DX35" s="272">
        <v>0</v>
      </c>
      <c r="DY35" s="457" t="s">
        <v>646</v>
      </c>
      <c r="DZ35" s="272">
        <v>271000</v>
      </c>
      <c r="EA35" s="272">
        <v>121257</v>
      </c>
      <c r="EB35" s="272"/>
      <c r="EC35" s="272">
        <v>0</v>
      </c>
      <c r="ED35" s="272">
        <v>18523658</v>
      </c>
      <c r="EF35" s="272">
        <v>276595</v>
      </c>
      <c r="EG35" s="272">
        <v>13246</v>
      </c>
      <c r="EH35" s="272">
        <v>263349</v>
      </c>
      <c r="EI35" s="272">
        <v>17550</v>
      </c>
      <c r="EJ35" s="272">
        <v>85510</v>
      </c>
      <c r="EL35" s="272"/>
      <c r="EM35" s="272">
        <v>54241</v>
      </c>
      <c r="EN35" s="272">
        <v>810738</v>
      </c>
      <c r="EO35" s="272">
        <v>147392</v>
      </c>
      <c r="EP35" s="455">
        <f t="shared" si="12"/>
        <v>730297</v>
      </c>
      <c r="EQ35" s="272">
        <v>10597700</v>
      </c>
      <c r="ER35" s="272">
        <v>-1675127</v>
      </c>
      <c r="ES35" s="272">
        <v>3604057</v>
      </c>
      <c r="ET35" s="272">
        <v>2799438</v>
      </c>
      <c r="EU35" s="272">
        <v>280007</v>
      </c>
      <c r="EV35" s="272">
        <v>1625265</v>
      </c>
      <c r="EW35" s="455">
        <f t="shared" si="13"/>
        <v>2343672</v>
      </c>
      <c r="EX35" s="272">
        <v>2343425</v>
      </c>
      <c r="EY35" s="272">
        <v>87827</v>
      </c>
      <c r="EZ35" s="272">
        <v>2164338</v>
      </c>
      <c r="FA35" s="272">
        <v>247</v>
      </c>
      <c r="FB35" s="272"/>
      <c r="FC35" s="272">
        <v>1661299</v>
      </c>
      <c r="FD35" s="272">
        <v>917734</v>
      </c>
      <c r="FE35" s="272">
        <v>365156</v>
      </c>
      <c r="FF35" s="272">
        <v>1053196</v>
      </c>
      <c r="FG35" s="455">
        <f t="shared" si="14"/>
        <v>519080</v>
      </c>
      <c r="FH35" s="272">
        <v>12004310</v>
      </c>
      <c r="FI35" s="384">
        <f t="shared" si="15"/>
        <v>2.7</v>
      </c>
      <c r="FJ35" s="272">
        <v>9634977</v>
      </c>
      <c r="FK35" s="272"/>
      <c r="FL35" s="272">
        <v>6035418</v>
      </c>
      <c r="FM35" s="272">
        <v>7677604</v>
      </c>
      <c r="FN35" s="460">
        <v>0.82299999999999995</v>
      </c>
      <c r="FO35" s="388">
        <v>77.2</v>
      </c>
      <c r="FP35" s="388">
        <v>35.9</v>
      </c>
      <c r="FQ35" s="388">
        <v>2.8</v>
      </c>
      <c r="FR35" s="388">
        <v>11.6</v>
      </c>
      <c r="FS35" s="388">
        <v>16</v>
      </c>
      <c r="FT35" s="388">
        <v>8.1999999999999993</v>
      </c>
      <c r="FU35" s="388">
        <v>2.6</v>
      </c>
      <c r="FV35" s="388">
        <v>9.6</v>
      </c>
      <c r="FW35" s="272">
        <v>11441471</v>
      </c>
      <c r="FX35" s="384">
        <f t="shared" si="16"/>
        <v>118.7</v>
      </c>
      <c r="FY35" s="272">
        <v>6059962</v>
      </c>
      <c r="FZ35" s="272">
        <v>2050000</v>
      </c>
      <c r="GA35" s="272">
        <v>110000</v>
      </c>
      <c r="GB35" s="272">
        <v>3899962</v>
      </c>
      <c r="GC35" s="272"/>
      <c r="GD35" s="272">
        <v>5763260</v>
      </c>
      <c r="GE35" s="384">
        <f t="shared" si="17"/>
        <v>59.8</v>
      </c>
      <c r="GF35" s="388">
        <v>98.3</v>
      </c>
      <c r="GG35" s="388">
        <v>24.8</v>
      </c>
      <c r="GH35" s="388">
        <v>95.3</v>
      </c>
      <c r="GI35" s="272">
        <v>492</v>
      </c>
    </row>
    <row r="36" spans="2:191" x14ac:dyDescent="0.15">
      <c r="B36" s="89" t="s">
        <v>65</v>
      </c>
      <c r="C36" s="272">
        <v>6068005</v>
      </c>
      <c r="D36" s="455">
        <f t="shared" si="0"/>
        <v>2995908</v>
      </c>
      <c r="E36" s="272">
        <v>35529</v>
      </c>
      <c r="F36" s="272">
        <v>2960379</v>
      </c>
      <c r="G36" s="455">
        <f t="shared" si="1"/>
        <v>244393</v>
      </c>
      <c r="H36" s="272">
        <v>56281</v>
      </c>
      <c r="I36" s="272">
        <v>188112</v>
      </c>
      <c r="J36" s="272">
        <v>2014171</v>
      </c>
      <c r="K36" s="272">
        <v>969065</v>
      </c>
      <c r="L36" s="272">
        <v>810307</v>
      </c>
      <c r="M36" s="272">
        <v>207379</v>
      </c>
      <c r="N36" s="272">
        <v>203765</v>
      </c>
      <c r="O36" s="272">
        <v>337224</v>
      </c>
      <c r="P36" s="272">
        <v>223243</v>
      </c>
      <c r="Q36" s="272">
        <v>113981</v>
      </c>
      <c r="R36" s="272">
        <v>293668</v>
      </c>
      <c r="S36" s="272">
        <v>191592</v>
      </c>
      <c r="T36" s="455">
        <f t="shared" si="2"/>
        <v>347146</v>
      </c>
      <c r="U36" s="272">
        <v>171899</v>
      </c>
      <c r="V36" s="272"/>
      <c r="W36" s="272"/>
      <c r="X36" s="272"/>
      <c r="Y36" s="272">
        <v>21801</v>
      </c>
      <c r="Z36" s="272">
        <v>471</v>
      </c>
      <c r="AA36" s="272">
        <v>152975</v>
      </c>
      <c r="AB36" s="272"/>
      <c r="AC36" s="272">
        <v>3195051</v>
      </c>
      <c r="AD36" s="272">
        <v>2881080</v>
      </c>
      <c r="AE36" s="272">
        <v>313971</v>
      </c>
      <c r="AF36" s="272">
        <v>14910</v>
      </c>
      <c r="AG36" s="272">
        <v>72843</v>
      </c>
      <c r="AH36" s="455">
        <f t="shared" si="3"/>
        <v>197588</v>
      </c>
      <c r="AI36" s="272">
        <v>175696</v>
      </c>
      <c r="AJ36" s="272">
        <v>21892</v>
      </c>
      <c r="AK36" s="272">
        <v>820867</v>
      </c>
      <c r="AL36" s="455">
        <f t="shared" si="4"/>
        <v>593530</v>
      </c>
      <c r="AM36" s="272">
        <v>388891</v>
      </c>
      <c r="AN36" s="272">
        <v>161669</v>
      </c>
      <c r="AO36" s="272">
        <v>0</v>
      </c>
      <c r="AP36" s="272">
        <v>42970</v>
      </c>
      <c r="AQ36" s="272">
        <v>40235</v>
      </c>
      <c r="AR36" s="272">
        <v>0</v>
      </c>
      <c r="AS36" s="272">
        <v>0</v>
      </c>
      <c r="AT36" s="272">
        <v>1471750</v>
      </c>
      <c r="AU36" s="272">
        <v>860919</v>
      </c>
      <c r="AV36" s="272">
        <v>52333</v>
      </c>
      <c r="AW36" s="272">
        <v>17675</v>
      </c>
      <c r="AX36" s="272">
        <v>610831</v>
      </c>
      <c r="AY36" s="272">
        <v>258415</v>
      </c>
      <c r="AZ36" s="272">
        <v>444792</v>
      </c>
      <c r="BA36" s="272">
        <v>229293</v>
      </c>
      <c r="BB36" s="272">
        <v>82892</v>
      </c>
      <c r="BC36" s="272">
        <v>1014368</v>
      </c>
      <c r="BD36" s="272">
        <v>785000</v>
      </c>
      <c r="BE36" s="272">
        <v>38434</v>
      </c>
      <c r="BF36" s="272">
        <v>189000</v>
      </c>
      <c r="BG36" s="272">
        <v>0</v>
      </c>
      <c r="BH36" s="272">
        <v>294426</v>
      </c>
      <c r="BI36" s="272">
        <v>294426</v>
      </c>
      <c r="BJ36" s="272">
        <v>114259</v>
      </c>
      <c r="BK36" s="272">
        <v>12579</v>
      </c>
      <c r="BL36" s="272">
        <v>0</v>
      </c>
      <c r="BM36" s="272">
        <v>0</v>
      </c>
      <c r="BN36" s="272">
        <v>824500</v>
      </c>
      <c r="BO36" s="455">
        <f t="shared" si="5"/>
        <v>824500</v>
      </c>
      <c r="BP36" s="455">
        <f t="shared" si="6"/>
        <v>0</v>
      </c>
      <c r="BQ36" s="272"/>
      <c r="BR36" s="272"/>
      <c r="BS36" s="272"/>
      <c r="BT36" s="272">
        <v>0</v>
      </c>
      <c r="BU36" s="272">
        <v>15257065</v>
      </c>
      <c r="BV36" s="272"/>
      <c r="BW36" s="272">
        <v>3979487</v>
      </c>
      <c r="BX36" s="272">
        <v>3081451</v>
      </c>
      <c r="BY36" s="272">
        <v>153130</v>
      </c>
      <c r="BZ36" s="272">
        <v>16504</v>
      </c>
      <c r="CA36" s="272">
        <v>1110320</v>
      </c>
      <c r="CB36" s="272">
        <v>161363</v>
      </c>
      <c r="CC36" s="272">
        <v>253273</v>
      </c>
      <c r="CD36" s="272">
        <v>198942</v>
      </c>
      <c r="CE36" s="272">
        <v>483035</v>
      </c>
      <c r="CF36" s="272">
        <v>2963</v>
      </c>
      <c r="CG36" s="272">
        <v>10744</v>
      </c>
      <c r="CH36" s="272">
        <v>1148038</v>
      </c>
      <c r="CI36" s="272">
        <v>468294</v>
      </c>
      <c r="CJ36" s="455">
        <f t="shared" si="7"/>
        <v>679744</v>
      </c>
      <c r="CK36" s="272">
        <v>2176534</v>
      </c>
      <c r="CL36" s="272">
        <v>1075051</v>
      </c>
      <c r="CM36" s="272">
        <v>227811</v>
      </c>
      <c r="CN36" s="272">
        <v>538634</v>
      </c>
      <c r="CO36" s="272">
        <v>116624</v>
      </c>
      <c r="CP36" s="272">
        <v>1530684</v>
      </c>
      <c r="CQ36" s="272">
        <v>419328</v>
      </c>
      <c r="CR36" s="272">
        <v>418908</v>
      </c>
      <c r="CS36" s="272">
        <v>386414</v>
      </c>
      <c r="CT36" s="455">
        <f t="shared" si="8"/>
        <v>432864</v>
      </c>
      <c r="CU36" s="272">
        <v>7000</v>
      </c>
      <c r="CV36" s="272">
        <v>425864</v>
      </c>
      <c r="CW36" s="455">
        <f t="shared" si="9"/>
        <v>341864</v>
      </c>
      <c r="CX36" s="272">
        <v>0</v>
      </c>
      <c r="CY36" s="272">
        <v>341864</v>
      </c>
      <c r="CZ36" s="455">
        <f t="shared" si="10"/>
        <v>0</v>
      </c>
      <c r="DA36" s="272">
        <v>0</v>
      </c>
      <c r="DB36" s="272">
        <v>0</v>
      </c>
      <c r="DC36" s="272">
        <v>2896648</v>
      </c>
      <c r="DD36" s="272">
        <v>135632</v>
      </c>
      <c r="DE36" s="272">
        <v>1955507</v>
      </c>
      <c r="DF36" s="272">
        <v>68099</v>
      </c>
      <c r="DG36" s="272">
        <v>737410</v>
      </c>
      <c r="DH36" s="272">
        <v>0</v>
      </c>
      <c r="DI36" s="272">
        <v>1396018</v>
      </c>
      <c r="DJ36" s="272">
        <v>1011359</v>
      </c>
      <c r="DK36" s="272">
        <v>81470</v>
      </c>
      <c r="DL36" s="272">
        <v>303189</v>
      </c>
      <c r="DM36" s="272">
        <v>1060</v>
      </c>
      <c r="DN36" s="272">
        <v>0</v>
      </c>
      <c r="DO36" s="272">
        <v>0</v>
      </c>
      <c r="DP36" s="272">
        <v>0</v>
      </c>
      <c r="DQ36" s="272">
        <v>62000</v>
      </c>
      <c r="DR36" s="272">
        <v>50000</v>
      </c>
      <c r="DS36" s="272">
        <v>50000</v>
      </c>
      <c r="DT36" s="272">
        <v>572656</v>
      </c>
      <c r="DU36" s="272">
        <v>327286</v>
      </c>
      <c r="DV36" s="455">
        <f t="shared" si="11"/>
        <v>0</v>
      </c>
      <c r="DW36" s="272">
        <v>0</v>
      </c>
      <c r="DX36" s="272">
        <v>0</v>
      </c>
      <c r="DY36" s="457" t="s">
        <v>646</v>
      </c>
      <c r="DZ36" s="272">
        <v>92658</v>
      </c>
      <c r="EA36" s="272">
        <v>152490</v>
      </c>
      <c r="EB36" s="272"/>
      <c r="EC36" s="272">
        <v>0</v>
      </c>
      <c r="ED36" s="272">
        <v>14990069</v>
      </c>
      <c r="EF36" s="272">
        <v>266996</v>
      </c>
      <c r="EG36" s="272">
        <v>1600</v>
      </c>
      <c r="EH36" s="272">
        <v>265396</v>
      </c>
      <c r="EI36" s="272">
        <v>-29030</v>
      </c>
      <c r="EJ36" s="272">
        <v>197329</v>
      </c>
      <c r="EL36" s="272"/>
      <c r="EM36" s="272">
        <v>55000</v>
      </c>
      <c r="EN36" s="272">
        <v>825183</v>
      </c>
      <c r="EO36" s="272">
        <v>10309</v>
      </c>
      <c r="EP36" s="455">
        <f t="shared" si="12"/>
        <v>468051</v>
      </c>
      <c r="EQ36" s="272">
        <v>9918780</v>
      </c>
      <c r="ER36" s="272">
        <v>-1288633</v>
      </c>
      <c r="ES36" s="272">
        <v>3786374</v>
      </c>
      <c r="ET36" s="272">
        <v>2888338</v>
      </c>
      <c r="EU36" s="272">
        <v>274910</v>
      </c>
      <c r="EV36" s="272">
        <v>1148038</v>
      </c>
      <c r="EW36" s="455">
        <f t="shared" si="13"/>
        <v>1039430</v>
      </c>
      <c r="EX36" s="272">
        <v>1039430</v>
      </c>
      <c r="EY36" s="272">
        <v>24701</v>
      </c>
      <c r="EZ36" s="272">
        <v>906116</v>
      </c>
      <c r="FA36" s="272">
        <v>0</v>
      </c>
      <c r="FB36" s="272"/>
      <c r="FC36" s="272">
        <v>1771476</v>
      </c>
      <c r="FD36" s="272">
        <v>1164526</v>
      </c>
      <c r="FE36" s="272">
        <v>419328</v>
      </c>
      <c r="FF36" s="272">
        <v>474040</v>
      </c>
      <c r="FG36" s="455">
        <f t="shared" si="14"/>
        <v>1283223</v>
      </c>
      <c r="FH36" s="272">
        <v>10942017</v>
      </c>
      <c r="FI36" s="384">
        <f t="shared" si="15"/>
        <v>2.9</v>
      </c>
      <c r="FJ36" s="272">
        <v>9288612</v>
      </c>
      <c r="FK36" s="272"/>
      <c r="FL36" s="272">
        <v>4835152</v>
      </c>
      <c r="FM36" s="272">
        <v>7720214</v>
      </c>
      <c r="FN36" s="460">
        <v>0.70299999999999996</v>
      </c>
      <c r="FO36" s="388">
        <v>86.7</v>
      </c>
      <c r="FP36" s="388">
        <v>40.5</v>
      </c>
      <c r="FQ36" s="388">
        <v>2.9</v>
      </c>
      <c r="FR36" s="388">
        <v>12.3</v>
      </c>
      <c r="FS36" s="388">
        <v>17.2</v>
      </c>
      <c r="FT36" s="388">
        <v>10.4</v>
      </c>
      <c r="FU36" s="388">
        <v>2.2000000000000002</v>
      </c>
      <c r="FV36" s="388">
        <v>9.9</v>
      </c>
      <c r="FW36" s="272">
        <v>11789480</v>
      </c>
      <c r="FX36" s="384">
        <f t="shared" si="16"/>
        <v>126.9</v>
      </c>
      <c r="FY36" s="272">
        <v>5454488</v>
      </c>
      <c r="FZ36" s="272">
        <v>3156818</v>
      </c>
      <c r="GA36" s="272">
        <v>334241</v>
      </c>
      <c r="GB36" s="272">
        <v>1963429</v>
      </c>
      <c r="GC36" s="272"/>
      <c r="GD36" s="272">
        <v>2243180</v>
      </c>
      <c r="GE36" s="384">
        <f t="shared" si="17"/>
        <v>24.1</v>
      </c>
      <c r="GF36" s="388">
        <v>97</v>
      </c>
      <c r="GG36" s="388">
        <v>21</v>
      </c>
      <c r="GH36" s="388">
        <v>93.3</v>
      </c>
      <c r="GI36" s="272">
        <v>512</v>
      </c>
    </row>
    <row r="37" spans="2:191" x14ac:dyDescent="0.15">
      <c r="B37" s="21" t="s">
        <v>67</v>
      </c>
      <c r="C37" s="272">
        <f>SUM(C6:C36)</f>
        <v>818693791</v>
      </c>
      <c r="D37" s="455">
        <f t="shared" si="0"/>
        <v>352922715</v>
      </c>
      <c r="E37" s="272">
        <f>SUM(E6:E36)</f>
        <v>3725686</v>
      </c>
      <c r="F37" s="272">
        <f>SUM(F6:F36)</f>
        <v>349197029</v>
      </c>
      <c r="G37" s="455">
        <f t="shared" si="1"/>
        <v>85862357</v>
      </c>
      <c r="H37" s="272">
        <f t="shared" ref="H37:S37" si="18">SUM(H6:H36)</f>
        <v>9403229</v>
      </c>
      <c r="I37" s="272">
        <f t="shared" si="18"/>
        <v>76459128</v>
      </c>
      <c r="J37" s="272">
        <f t="shared" si="18"/>
        <v>272883755</v>
      </c>
      <c r="K37" s="272">
        <f t="shared" si="18"/>
        <v>136212443</v>
      </c>
      <c r="L37" s="272">
        <f t="shared" si="18"/>
        <v>90523235</v>
      </c>
      <c r="M37" s="272">
        <f t="shared" si="18"/>
        <v>42452804</v>
      </c>
      <c r="N37" s="272">
        <f t="shared" si="18"/>
        <v>24621752</v>
      </c>
      <c r="O37" s="272">
        <f t="shared" si="18"/>
        <v>64154467</v>
      </c>
      <c r="P37" s="272">
        <f t="shared" si="18"/>
        <v>44770853</v>
      </c>
      <c r="Q37" s="272">
        <f t="shared" si="18"/>
        <v>19383614</v>
      </c>
      <c r="R37" s="272">
        <f t="shared" si="18"/>
        <v>31148005</v>
      </c>
      <c r="S37" s="272">
        <f t="shared" si="18"/>
        <v>20677862</v>
      </c>
      <c r="T37" s="455">
        <f t="shared" si="2"/>
        <v>33985914</v>
      </c>
      <c r="U37" s="272">
        <f>SUM(U6:U36)</f>
        <v>19781239</v>
      </c>
      <c r="V37" s="272"/>
      <c r="W37" s="272"/>
      <c r="X37" s="272"/>
      <c r="Y37" s="272">
        <f>SUM(Y6:Y36)</f>
        <v>1386301</v>
      </c>
      <c r="Z37" s="272">
        <f>SUM(Z6:Z36)</f>
        <v>265199</v>
      </c>
      <c r="AA37" s="272">
        <f>SUM(AA6:AA36)</f>
        <v>12553175</v>
      </c>
      <c r="AB37" s="272"/>
      <c r="AC37" s="272">
        <f>SUM(AC6:AC36)</f>
        <v>76624866</v>
      </c>
      <c r="AD37" s="272">
        <f>SUM(AD6:AD36)</f>
        <v>65115587</v>
      </c>
      <c r="AE37" s="272">
        <f>SUM(AE6:AE36)</f>
        <v>11509279</v>
      </c>
      <c r="AF37" s="272">
        <f>SUM(AF6:AF36)</f>
        <v>1113472</v>
      </c>
      <c r="AG37" s="272">
        <f>SUM(AG6:AG36)</f>
        <v>19434645</v>
      </c>
      <c r="AH37" s="455">
        <f t="shared" si="3"/>
        <v>28969603</v>
      </c>
      <c r="AI37" s="272">
        <f>SUM(AI6:AI36)</f>
        <v>23260580</v>
      </c>
      <c r="AJ37" s="272">
        <f>SUM(AJ6:AJ36)</f>
        <v>5709023</v>
      </c>
      <c r="AK37" s="272">
        <f>SUM(AK6:AK36)</f>
        <v>124737304</v>
      </c>
      <c r="AL37" s="455">
        <f t="shared" si="4"/>
        <v>63744950</v>
      </c>
      <c r="AM37" s="272">
        <f t="shared" ref="AM37:BN37" si="19">SUM(AM6:AM36)</f>
        <v>47751120</v>
      </c>
      <c r="AN37" s="272">
        <f t="shared" si="19"/>
        <v>10652309</v>
      </c>
      <c r="AO37" s="272">
        <f t="shared" si="19"/>
        <v>101790</v>
      </c>
      <c r="AP37" s="272">
        <f t="shared" si="19"/>
        <v>5239731</v>
      </c>
      <c r="AQ37" s="272">
        <f t="shared" si="19"/>
        <v>31895638</v>
      </c>
      <c r="AR37" s="272">
        <f t="shared" si="19"/>
        <v>0</v>
      </c>
      <c r="AS37" s="272">
        <f t="shared" si="19"/>
        <v>327623</v>
      </c>
      <c r="AT37" s="272">
        <f t="shared" si="19"/>
        <v>72040051</v>
      </c>
      <c r="AU37" s="272">
        <f t="shared" si="19"/>
        <v>20896214</v>
      </c>
      <c r="AV37" s="272">
        <f t="shared" si="19"/>
        <v>5202848</v>
      </c>
      <c r="AW37" s="272">
        <f t="shared" si="19"/>
        <v>2800334</v>
      </c>
      <c r="AX37" s="272">
        <f t="shared" si="19"/>
        <v>51143837</v>
      </c>
      <c r="AY37" s="272">
        <f t="shared" si="19"/>
        <v>15845931</v>
      </c>
      <c r="AZ37" s="272">
        <f t="shared" si="19"/>
        <v>31800383</v>
      </c>
      <c r="BA37" s="272">
        <f t="shared" si="19"/>
        <v>10722169</v>
      </c>
      <c r="BB37" s="272">
        <f t="shared" si="19"/>
        <v>11408011</v>
      </c>
      <c r="BC37" s="272">
        <f t="shared" si="19"/>
        <v>76511414</v>
      </c>
      <c r="BD37" s="272">
        <f t="shared" si="19"/>
        <v>11494953</v>
      </c>
      <c r="BE37" s="272">
        <f t="shared" si="19"/>
        <v>3568795</v>
      </c>
      <c r="BF37" s="272">
        <f t="shared" si="19"/>
        <v>57108409</v>
      </c>
      <c r="BG37" s="272">
        <f t="shared" si="19"/>
        <v>1348675</v>
      </c>
      <c r="BH37" s="272">
        <f t="shared" si="19"/>
        <v>27014948</v>
      </c>
      <c r="BI37" s="272">
        <f t="shared" si="19"/>
        <v>14963854</v>
      </c>
      <c r="BJ37" s="272">
        <f t="shared" si="19"/>
        <v>67233162</v>
      </c>
      <c r="BK37" s="272">
        <f t="shared" si="19"/>
        <v>30847540</v>
      </c>
      <c r="BL37" s="272">
        <f t="shared" si="19"/>
        <v>2007703</v>
      </c>
      <c r="BM37" s="272">
        <f t="shared" si="19"/>
        <v>14176599</v>
      </c>
      <c r="BN37" s="272">
        <f t="shared" si="19"/>
        <v>153082833</v>
      </c>
      <c r="BO37" s="455">
        <f t="shared" si="5"/>
        <v>153082833</v>
      </c>
      <c r="BP37" s="455">
        <f t="shared" si="6"/>
        <v>0</v>
      </c>
      <c r="BQ37" s="272"/>
      <c r="BR37" s="272"/>
      <c r="BS37" s="272"/>
      <c r="BT37" s="272">
        <v>0</v>
      </c>
      <c r="BU37" s="272">
        <f>SUM(BU6:BU36)</f>
        <v>1574126025</v>
      </c>
      <c r="BV37" s="272"/>
      <c r="BW37" s="272">
        <f t="shared" ref="BW37:CI37" si="20">SUM(BW6:BW36)</f>
        <v>394454603</v>
      </c>
      <c r="BX37" s="272">
        <f t="shared" si="20"/>
        <v>303364802</v>
      </c>
      <c r="BY37" s="272">
        <f t="shared" si="20"/>
        <v>17415731</v>
      </c>
      <c r="BZ37" s="272">
        <f t="shared" si="20"/>
        <v>10440751</v>
      </c>
      <c r="CA37" s="272">
        <f t="shared" si="20"/>
        <v>151461263</v>
      </c>
      <c r="CB37" s="272">
        <f t="shared" si="20"/>
        <v>15249841</v>
      </c>
      <c r="CC37" s="272">
        <f t="shared" si="20"/>
        <v>27640858</v>
      </c>
      <c r="CD37" s="272">
        <f t="shared" si="20"/>
        <v>33645503</v>
      </c>
      <c r="CE37" s="272">
        <f t="shared" si="20"/>
        <v>62997472</v>
      </c>
      <c r="CF37" s="272">
        <f t="shared" si="20"/>
        <v>9050998</v>
      </c>
      <c r="CG37" s="272">
        <f t="shared" si="20"/>
        <v>2849277</v>
      </c>
      <c r="CH37" s="272">
        <f t="shared" si="20"/>
        <v>114838598</v>
      </c>
      <c r="CI37" s="272">
        <f t="shared" si="20"/>
        <v>62647910</v>
      </c>
      <c r="CJ37" s="455">
        <f t="shared" si="7"/>
        <v>52190688</v>
      </c>
      <c r="CK37" s="272">
        <f t="shared" ref="CK37:CS37" si="21">SUM(CK6:CK36)</f>
        <v>143663849</v>
      </c>
      <c r="CL37" s="272">
        <f t="shared" si="21"/>
        <v>74768747</v>
      </c>
      <c r="CM37" s="272">
        <f t="shared" si="21"/>
        <v>6393582</v>
      </c>
      <c r="CN37" s="272">
        <f t="shared" si="21"/>
        <v>37159378</v>
      </c>
      <c r="CO37" s="272">
        <f t="shared" si="21"/>
        <v>18662148</v>
      </c>
      <c r="CP37" s="272">
        <f t="shared" si="21"/>
        <v>99799707</v>
      </c>
      <c r="CQ37" s="272">
        <f t="shared" si="21"/>
        <v>34444842</v>
      </c>
      <c r="CR37" s="272">
        <f t="shared" si="21"/>
        <v>25968943</v>
      </c>
      <c r="CS37" s="272">
        <f t="shared" si="21"/>
        <v>20870383</v>
      </c>
      <c r="CT37" s="455">
        <f t="shared" si="8"/>
        <v>16593213</v>
      </c>
      <c r="CU37" s="272">
        <f>SUM(CU6:CU36)</f>
        <v>6518580</v>
      </c>
      <c r="CV37" s="272">
        <f>SUM(CV6:CV36)</f>
        <v>10074633</v>
      </c>
      <c r="CW37" s="455">
        <f t="shared" si="9"/>
        <v>12703126</v>
      </c>
      <c r="CX37" s="272">
        <f>SUM(CX6:CX36)</f>
        <v>5888728</v>
      </c>
      <c r="CY37" s="272">
        <f>SUM(CY6:CY36)</f>
        <v>6814398</v>
      </c>
      <c r="CZ37" s="455">
        <f t="shared" si="10"/>
        <v>0</v>
      </c>
      <c r="DA37" s="272">
        <f t="shared" ref="DA37:DU37" si="22">SUM(DA6:DA36)</f>
        <v>0</v>
      </c>
      <c r="DB37" s="272">
        <f t="shared" si="22"/>
        <v>0</v>
      </c>
      <c r="DC37" s="272">
        <f t="shared" si="22"/>
        <v>390869049</v>
      </c>
      <c r="DD37" s="272">
        <f t="shared" si="22"/>
        <v>70708113</v>
      </c>
      <c r="DE37" s="272">
        <f t="shared" si="22"/>
        <v>308498250</v>
      </c>
      <c r="DF37" s="272">
        <f t="shared" si="22"/>
        <v>3289426</v>
      </c>
      <c r="DG37" s="272">
        <f t="shared" si="22"/>
        <v>8180279</v>
      </c>
      <c r="DH37" s="272">
        <f t="shared" si="22"/>
        <v>41948</v>
      </c>
      <c r="DI37" s="272">
        <f t="shared" si="22"/>
        <v>84384941</v>
      </c>
      <c r="DJ37" s="272">
        <f t="shared" si="22"/>
        <v>13619144</v>
      </c>
      <c r="DK37" s="272">
        <f t="shared" si="22"/>
        <v>9806622</v>
      </c>
      <c r="DL37" s="272">
        <f t="shared" si="22"/>
        <v>60959175</v>
      </c>
      <c r="DM37" s="272">
        <f t="shared" si="22"/>
        <v>3473323</v>
      </c>
      <c r="DN37" s="272">
        <f t="shared" si="22"/>
        <v>1075971</v>
      </c>
      <c r="DO37" s="272">
        <f t="shared" si="22"/>
        <v>531287</v>
      </c>
      <c r="DP37" s="272">
        <f t="shared" si="22"/>
        <v>544684</v>
      </c>
      <c r="DQ37" s="272">
        <f t="shared" si="22"/>
        <v>31539118</v>
      </c>
      <c r="DR37" s="272">
        <f t="shared" si="22"/>
        <v>1144517</v>
      </c>
      <c r="DS37" s="272">
        <f t="shared" si="22"/>
        <v>1142000</v>
      </c>
      <c r="DT37" s="272">
        <f t="shared" si="22"/>
        <v>117685734</v>
      </c>
      <c r="DU37" s="272">
        <f t="shared" si="22"/>
        <v>67058609</v>
      </c>
      <c r="DV37" s="455">
        <f t="shared" si="11"/>
        <v>1120080</v>
      </c>
      <c r="DW37" s="272">
        <f>SUM(DW6:DW36)</f>
        <v>1120080</v>
      </c>
      <c r="DX37" s="272">
        <v>0</v>
      </c>
      <c r="DY37" s="457" t="s">
        <v>646</v>
      </c>
      <c r="DZ37" s="272">
        <f>SUM(DZ6:DZ36)</f>
        <v>26021181</v>
      </c>
      <c r="EA37" s="272">
        <f>SUM(EA6:EA36)</f>
        <v>13160845</v>
      </c>
      <c r="EB37" s="272"/>
      <c r="EC37" s="272">
        <f>SUM(EC6:EC36)</f>
        <v>199780</v>
      </c>
      <c r="ED37" s="272">
        <f>SUM(ED6:ED36)</f>
        <v>1551074061</v>
      </c>
      <c r="EF37" s="272">
        <f>SUM(EF6:EF36)</f>
        <v>23051964</v>
      </c>
      <c r="EG37" s="272">
        <f>SUM(EG6:EG36)</f>
        <v>7212645</v>
      </c>
      <c r="EH37" s="272">
        <f>SUM(EH6:EH36)</f>
        <v>15839319</v>
      </c>
      <c r="EI37" s="272">
        <f>SUM(EI6:EI36)</f>
        <v>-539445</v>
      </c>
      <c r="EJ37" s="272">
        <f>SUM(EJ6:EJ36)</f>
        <v>2125901</v>
      </c>
      <c r="EL37" s="272"/>
      <c r="EM37" s="272">
        <f>SUM(EM6:EM36)</f>
        <v>5030703</v>
      </c>
      <c r="EN37" s="272">
        <f>SUM(EN6:EN36)</f>
        <v>26816245</v>
      </c>
      <c r="EO37" s="272">
        <f>SUM(EO6:EO36)</f>
        <v>7668517</v>
      </c>
      <c r="EP37" s="455">
        <f t="shared" si="12"/>
        <v>64204250</v>
      </c>
      <c r="EQ37" s="272">
        <f t="shared" ref="EQ37:EV37" si="23">SUM(EQ6:EQ36)</f>
        <v>961893671</v>
      </c>
      <c r="ER37" s="272">
        <f t="shared" si="23"/>
        <v>-97247917</v>
      </c>
      <c r="ES37" s="272">
        <f t="shared" si="23"/>
        <v>363648541</v>
      </c>
      <c r="ET37" s="272">
        <f t="shared" si="23"/>
        <v>274930982</v>
      </c>
      <c r="EU37" s="272">
        <f t="shared" si="23"/>
        <v>43309383</v>
      </c>
      <c r="EV37" s="272">
        <f t="shared" si="23"/>
        <v>110901164</v>
      </c>
      <c r="EW37" s="455">
        <f t="shared" si="13"/>
        <v>122102228</v>
      </c>
      <c r="EX37" s="272">
        <f>SUM(EX6:EX36)</f>
        <v>122076084</v>
      </c>
      <c r="EY37" s="272">
        <f>SUM(EY6:EY36)</f>
        <v>8143519</v>
      </c>
      <c r="EZ37" s="272">
        <f>SUM(EZ6:EZ36)</f>
        <v>112133860</v>
      </c>
      <c r="FA37" s="272">
        <f>SUM(FA6:FA36)</f>
        <v>26144</v>
      </c>
      <c r="FB37" s="272"/>
      <c r="FC37" s="272">
        <f>SUM(FC6:FC36)</f>
        <v>113966137</v>
      </c>
      <c r="FD37" s="272">
        <f>SUM(FD6:FD36)</f>
        <v>89755909</v>
      </c>
      <c r="FE37" s="272">
        <f>SUM(FE6:FE36)</f>
        <v>34444842</v>
      </c>
      <c r="FF37" s="272">
        <f>SUM(FF6:FF36)</f>
        <v>111363848</v>
      </c>
      <c r="FG37" s="455">
        <f t="shared" si="14"/>
        <v>82358171</v>
      </c>
      <c r="FH37" s="272">
        <f>SUM(FH6:FH36)</f>
        <v>1037405381</v>
      </c>
      <c r="FI37" s="384">
        <f t="shared" si="15"/>
        <v>1.8</v>
      </c>
      <c r="FJ37" s="272">
        <f>SUM(FJ6:FJ36)</f>
        <v>864052304</v>
      </c>
      <c r="FK37" s="272">
        <f>SUM(FK6:FK36)</f>
        <v>0</v>
      </c>
      <c r="FL37" s="272">
        <f>SUM(FL6:FL36)</f>
        <v>602055654</v>
      </c>
      <c r="FM37" s="272">
        <f>SUM(FM6:FM36)</f>
        <v>644942954</v>
      </c>
      <c r="FN37" s="468">
        <v>0.97799999999999998</v>
      </c>
      <c r="FO37" s="469">
        <v>84.7</v>
      </c>
      <c r="FP37" s="469">
        <v>39.700000000000003</v>
      </c>
      <c r="FQ37" s="469">
        <v>4.9000000000000004</v>
      </c>
      <c r="FR37" s="469">
        <v>12.1</v>
      </c>
      <c r="FS37" s="469">
        <v>11.8</v>
      </c>
      <c r="FT37" s="469">
        <v>8.3000000000000007</v>
      </c>
      <c r="FU37" s="469">
        <v>6.1</v>
      </c>
      <c r="FV37" s="469">
        <v>9.8000000000000007</v>
      </c>
      <c r="FW37" s="272">
        <f>SUM(FW6:FW36)</f>
        <v>959971303</v>
      </c>
      <c r="FX37" s="384">
        <f t="shared" si="16"/>
        <v>111.1</v>
      </c>
      <c r="FY37" s="272">
        <f t="shared" ref="FY37:GD37" si="24">SUM(FY6:FY36)</f>
        <v>429958151</v>
      </c>
      <c r="FZ37" s="272">
        <f t="shared" si="24"/>
        <v>92433705</v>
      </c>
      <c r="GA37" s="272">
        <f t="shared" si="24"/>
        <v>33453766</v>
      </c>
      <c r="GB37" s="272">
        <f t="shared" si="24"/>
        <v>304070680</v>
      </c>
      <c r="GC37" s="272">
        <f t="shared" si="24"/>
        <v>0</v>
      </c>
      <c r="GD37" s="272">
        <f t="shared" si="24"/>
        <v>458127018</v>
      </c>
      <c r="GE37" s="384">
        <f t="shared" si="17"/>
        <v>53</v>
      </c>
      <c r="GF37" s="469">
        <v>97.8</v>
      </c>
      <c r="GG37" s="469">
        <v>30.4</v>
      </c>
      <c r="GH37" s="469">
        <v>95.2</v>
      </c>
      <c r="GI37" s="272">
        <f>SUM(GI6:GI36)</f>
        <v>41321</v>
      </c>
    </row>
    <row r="38" spans="2:191" x14ac:dyDescent="0.15">
      <c r="B38" s="89" t="s">
        <v>69</v>
      </c>
      <c r="C38" s="272">
        <v>5066433</v>
      </c>
      <c r="D38" s="455">
        <f t="shared" si="0"/>
        <v>2229543</v>
      </c>
      <c r="E38" s="272">
        <v>16180</v>
      </c>
      <c r="F38" s="272">
        <v>2213363</v>
      </c>
      <c r="G38" s="455">
        <f t="shared" si="1"/>
        <v>515576</v>
      </c>
      <c r="H38" s="272">
        <v>54079</v>
      </c>
      <c r="I38" s="272">
        <v>461497</v>
      </c>
      <c r="J38" s="272">
        <v>1807334</v>
      </c>
      <c r="K38" s="272">
        <v>791276</v>
      </c>
      <c r="L38" s="272">
        <v>580003</v>
      </c>
      <c r="M38" s="272">
        <v>425224</v>
      </c>
      <c r="N38" s="272">
        <v>92796</v>
      </c>
      <c r="O38" s="272">
        <v>369727</v>
      </c>
      <c r="P38" s="272">
        <v>253365</v>
      </c>
      <c r="Q38" s="272">
        <v>116362</v>
      </c>
      <c r="R38" s="272">
        <v>159760</v>
      </c>
      <c r="S38" s="272">
        <v>104341</v>
      </c>
      <c r="T38" s="455">
        <f t="shared" si="2"/>
        <v>307005</v>
      </c>
      <c r="U38" s="272">
        <v>123632</v>
      </c>
      <c r="V38" s="272"/>
      <c r="W38" s="272"/>
      <c r="X38" s="272"/>
      <c r="Y38" s="272">
        <v>100567</v>
      </c>
      <c r="Z38" s="272">
        <v>0</v>
      </c>
      <c r="AA38" s="272">
        <v>82806</v>
      </c>
      <c r="AB38" s="272"/>
      <c r="AC38" s="272">
        <v>1616257</v>
      </c>
      <c r="AD38" s="272">
        <v>1405472</v>
      </c>
      <c r="AE38" s="272">
        <v>210785</v>
      </c>
      <c r="AF38" s="272">
        <v>5144</v>
      </c>
      <c r="AG38" s="272">
        <v>37372</v>
      </c>
      <c r="AH38" s="455">
        <f t="shared" si="3"/>
        <v>196909</v>
      </c>
      <c r="AI38" s="272">
        <v>148793</v>
      </c>
      <c r="AJ38" s="272">
        <v>48116</v>
      </c>
      <c r="AK38" s="272">
        <v>463622</v>
      </c>
      <c r="AL38" s="455">
        <f t="shared" si="4"/>
        <v>111679</v>
      </c>
      <c r="AM38" s="272">
        <v>45521</v>
      </c>
      <c r="AN38" s="272">
        <v>31637</v>
      </c>
      <c r="AO38" s="272">
        <v>0</v>
      </c>
      <c r="AP38" s="272">
        <v>34521</v>
      </c>
      <c r="AQ38" s="272">
        <v>203870</v>
      </c>
      <c r="AR38" s="272">
        <v>0</v>
      </c>
      <c r="AS38" s="272">
        <v>0</v>
      </c>
      <c r="AT38" s="272">
        <v>431079</v>
      </c>
      <c r="AU38" s="272">
        <v>69502</v>
      </c>
      <c r="AV38" s="272">
        <v>15818</v>
      </c>
      <c r="AW38" s="272">
        <v>0</v>
      </c>
      <c r="AX38" s="272">
        <v>361577</v>
      </c>
      <c r="AY38" s="272">
        <v>186880</v>
      </c>
      <c r="AZ38" s="272">
        <v>451896</v>
      </c>
      <c r="BA38" s="272">
        <v>298391</v>
      </c>
      <c r="BB38" s="272">
        <v>83300</v>
      </c>
      <c r="BC38" s="272">
        <v>405313</v>
      </c>
      <c r="BD38" s="272">
        <v>99438</v>
      </c>
      <c r="BE38" s="272">
        <v>24500</v>
      </c>
      <c r="BF38" s="272">
        <v>187017</v>
      </c>
      <c r="BG38" s="272">
        <v>26746</v>
      </c>
      <c r="BH38" s="272">
        <v>27303</v>
      </c>
      <c r="BI38" s="272">
        <v>25765</v>
      </c>
      <c r="BJ38" s="272">
        <v>2366497</v>
      </c>
      <c r="BK38" s="272">
        <v>5674</v>
      </c>
      <c r="BL38" s="272">
        <v>0</v>
      </c>
      <c r="BM38" s="272">
        <v>0</v>
      </c>
      <c r="BN38" s="272">
        <v>1640800</v>
      </c>
      <c r="BO38" s="455">
        <f t="shared" si="5"/>
        <v>1640800</v>
      </c>
      <c r="BP38" s="455">
        <f t="shared" si="6"/>
        <v>0</v>
      </c>
      <c r="BQ38" s="272"/>
      <c r="BR38" s="272"/>
      <c r="BS38" s="272"/>
      <c r="BT38" s="272">
        <v>0</v>
      </c>
      <c r="BU38" s="272">
        <v>13258690</v>
      </c>
      <c r="BV38" s="272"/>
      <c r="BW38" s="272">
        <v>2666303</v>
      </c>
      <c r="BX38" s="272">
        <v>1996099</v>
      </c>
      <c r="BY38" s="272">
        <v>154910</v>
      </c>
      <c r="BZ38" s="272">
        <v>21918</v>
      </c>
      <c r="CA38" s="272">
        <v>600077</v>
      </c>
      <c r="CB38" s="272">
        <v>177058</v>
      </c>
      <c r="CC38" s="272">
        <v>184317</v>
      </c>
      <c r="CD38" s="272">
        <v>168462</v>
      </c>
      <c r="CE38" s="272">
        <v>60658</v>
      </c>
      <c r="CF38" s="272">
        <v>0</v>
      </c>
      <c r="CG38" s="272">
        <v>9582</v>
      </c>
      <c r="CH38" s="272">
        <v>833192</v>
      </c>
      <c r="CI38" s="272">
        <v>365038</v>
      </c>
      <c r="CJ38" s="455">
        <f t="shared" si="7"/>
        <v>468154</v>
      </c>
      <c r="CK38" s="272">
        <v>972306</v>
      </c>
      <c r="CL38" s="272">
        <v>477018</v>
      </c>
      <c r="CM38" s="272">
        <v>48979</v>
      </c>
      <c r="CN38" s="272">
        <v>281256</v>
      </c>
      <c r="CO38" s="272">
        <v>71577</v>
      </c>
      <c r="CP38" s="272">
        <v>275424</v>
      </c>
      <c r="CQ38" s="272">
        <v>4793</v>
      </c>
      <c r="CR38" s="272">
        <v>104363</v>
      </c>
      <c r="CS38" s="272">
        <v>92851</v>
      </c>
      <c r="CT38" s="455">
        <f t="shared" si="8"/>
        <v>3345</v>
      </c>
      <c r="CU38" s="272">
        <v>3345</v>
      </c>
      <c r="CV38" s="272">
        <v>0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5096979</v>
      </c>
      <c r="DD38" s="272">
        <v>436110</v>
      </c>
      <c r="DE38" s="272">
        <v>4660869</v>
      </c>
      <c r="DF38" s="272">
        <v>0</v>
      </c>
      <c r="DG38" s="272">
        <v>0</v>
      </c>
      <c r="DH38" s="272">
        <v>0</v>
      </c>
      <c r="DI38" s="272">
        <v>1801167</v>
      </c>
      <c r="DJ38" s="272">
        <v>40990</v>
      </c>
      <c r="DK38" s="272">
        <v>303890</v>
      </c>
      <c r="DL38" s="272">
        <v>1456287</v>
      </c>
      <c r="DM38" s="272">
        <v>1014</v>
      </c>
      <c r="DN38" s="272">
        <v>0</v>
      </c>
      <c r="DO38" s="272">
        <v>0</v>
      </c>
      <c r="DP38" s="272">
        <v>0</v>
      </c>
      <c r="DQ38" s="272">
        <v>3712</v>
      </c>
      <c r="DR38" s="272">
        <v>0</v>
      </c>
      <c r="DS38" s="272">
        <v>0</v>
      </c>
      <c r="DT38" s="272">
        <v>686627</v>
      </c>
      <c r="DU38" s="272">
        <v>404175</v>
      </c>
      <c r="DV38" s="455">
        <f t="shared" si="11"/>
        <v>0</v>
      </c>
      <c r="DW38" s="272">
        <v>0</v>
      </c>
      <c r="DX38" s="272">
        <v>0</v>
      </c>
      <c r="DY38" s="457" t="s">
        <v>646</v>
      </c>
      <c r="DZ38" s="272">
        <v>89229</v>
      </c>
      <c r="EA38" s="272">
        <v>60612</v>
      </c>
      <c r="EB38" s="272"/>
      <c r="EC38" s="272">
        <v>0</v>
      </c>
      <c r="ED38" s="272">
        <v>13008378</v>
      </c>
      <c r="EF38" s="272">
        <v>250312</v>
      </c>
      <c r="EG38" s="272">
        <v>212244</v>
      </c>
      <c r="EH38" s="272">
        <v>38068</v>
      </c>
      <c r="EI38" s="272">
        <v>12303</v>
      </c>
      <c r="EJ38" s="272">
        <v>-46145</v>
      </c>
      <c r="EL38" s="272"/>
      <c r="EM38" s="272">
        <v>30207</v>
      </c>
      <c r="EN38" s="272">
        <v>376270</v>
      </c>
      <c r="EO38" s="272">
        <v>225454</v>
      </c>
      <c r="EP38" s="455">
        <f t="shared" si="12"/>
        <v>944990</v>
      </c>
      <c r="EQ38" s="272">
        <v>7154599</v>
      </c>
      <c r="ER38" s="272">
        <v>-1541570</v>
      </c>
      <c r="ES38" s="272">
        <v>2425604</v>
      </c>
      <c r="ET38" s="272">
        <v>1758285</v>
      </c>
      <c r="EU38" s="272">
        <v>275327</v>
      </c>
      <c r="EV38" s="272">
        <v>831251</v>
      </c>
      <c r="EW38" s="455">
        <f t="shared" si="13"/>
        <v>1562367</v>
      </c>
      <c r="EX38" s="272">
        <v>1562367</v>
      </c>
      <c r="EY38" s="272">
        <v>94940</v>
      </c>
      <c r="EZ38" s="272">
        <v>1467427</v>
      </c>
      <c r="FA38" s="272">
        <v>0</v>
      </c>
      <c r="FB38" s="272"/>
      <c r="FC38" s="272">
        <v>838663</v>
      </c>
      <c r="FD38" s="272">
        <v>257385</v>
      </c>
      <c r="FE38" s="272">
        <v>4793</v>
      </c>
      <c r="FF38" s="272">
        <v>666740</v>
      </c>
      <c r="FG38" s="455">
        <f t="shared" si="14"/>
        <v>1716465</v>
      </c>
      <c r="FH38" s="272">
        <v>8573802</v>
      </c>
      <c r="FI38" s="384">
        <f t="shared" si="15"/>
        <v>0.6</v>
      </c>
      <c r="FJ38" s="272">
        <v>6463073</v>
      </c>
      <c r="FK38" s="272"/>
      <c r="FL38" s="272">
        <v>3808296</v>
      </c>
      <c r="FM38" s="272">
        <v>5221052</v>
      </c>
      <c r="FN38" s="460">
        <v>0.82099999999999995</v>
      </c>
      <c r="FO38" s="388">
        <v>72.2</v>
      </c>
      <c r="FP38" s="388">
        <v>36.6</v>
      </c>
      <c r="FQ38" s="388">
        <v>4.2</v>
      </c>
      <c r="FR38" s="388">
        <v>12.5</v>
      </c>
      <c r="FS38" s="388">
        <v>11.3</v>
      </c>
      <c r="FT38" s="388">
        <v>3</v>
      </c>
      <c r="FU38" s="388">
        <v>3.8</v>
      </c>
      <c r="FV38" s="388">
        <v>10.1</v>
      </c>
      <c r="FW38" s="272">
        <v>7870798</v>
      </c>
      <c r="FX38" s="384">
        <f t="shared" si="16"/>
        <v>121.8</v>
      </c>
      <c r="FY38" s="272">
        <v>4197324</v>
      </c>
      <c r="FZ38" s="272">
        <v>525291</v>
      </c>
      <c r="GA38" s="272">
        <v>487514</v>
      </c>
      <c r="GB38" s="272">
        <v>3184519</v>
      </c>
      <c r="GC38" s="272"/>
      <c r="GD38" s="272"/>
      <c r="GE38" s="384"/>
      <c r="GF38" s="388">
        <v>98.2</v>
      </c>
      <c r="GG38" s="388">
        <v>10.7</v>
      </c>
      <c r="GH38" s="388">
        <v>95.1</v>
      </c>
      <c r="GI38" s="272">
        <v>306</v>
      </c>
    </row>
    <row r="39" spans="2:191" x14ac:dyDescent="0.15">
      <c r="B39" s="89" t="s">
        <v>71</v>
      </c>
      <c r="C39" s="272">
        <v>3281030</v>
      </c>
      <c r="D39" s="455">
        <f t="shared" si="0"/>
        <v>2298623</v>
      </c>
      <c r="E39" s="272">
        <v>12000</v>
      </c>
      <c r="F39" s="272">
        <v>2286623</v>
      </c>
      <c r="G39" s="455">
        <f t="shared" si="1"/>
        <v>48236</v>
      </c>
      <c r="H39" s="272">
        <v>11947</v>
      </c>
      <c r="I39" s="272">
        <v>36289</v>
      </c>
      <c r="J39" s="272">
        <v>876412</v>
      </c>
      <c r="K39" s="272">
        <v>349094</v>
      </c>
      <c r="L39" s="272">
        <v>455084</v>
      </c>
      <c r="M39" s="272">
        <v>72184</v>
      </c>
      <c r="N39" s="272">
        <v>40285</v>
      </c>
      <c r="O39" s="272">
        <v>0</v>
      </c>
      <c r="P39" s="272">
        <v>0</v>
      </c>
      <c r="Q39" s="272">
        <v>0</v>
      </c>
      <c r="R39" s="272">
        <v>133683</v>
      </c>
      <c r="S39" s="272">
        <v>66673</v>
      </c>
      <c r="T39" s="455">
        <f t="shared" si="2"/>
        <v>220718</v>
      </c>
      <c r="U39" s="272">
        <v>102878</v>
      </c>
      <c r="V39" s="272"/>
      <c r="W39" s="272"/>
      <c r="X39" s="272"/>
      <c r="Y39" s="272">
        <v>17561</v>
      </c>
      <c r="Z39" s="272">
        <v>0</v>
      </c>
      <c r="AA39" s="272">
        <v>100279</v>
      </c>
      <c r="AB39" s="272"/>
      <c r="AC39" s="272">
        <v>1757891</v>
      </c>
      <c r="AD39" s="272">
        <v>1532016</v>
      </c>
      <c r="AE39" s="272">
        <v>225875</v>
      </c>
      <c r="AF39" s="272">
        <v>6188</v>
      </c>
      <c r="AG39" s="272">
        <v>2096</v>
      </c>
      <c r="AH39" s="455">
        <f t="shared" si="3"/>
        <v>142914</v>
      </c>
      <c r="AI39" s="272">
        <v>124474</v>
      </c>
      <c r="AJ39" s="272">
        <v>18440</v>
      </c>
      <c r="AK39" s="272">
        <v>205193</v>
      </c>
      <c r="AL39" s="455">
        <f t="shared" si="4"/>
        <v>7431</v>
      </c>
      <c r="AM39" s="272">
        <v>0</v>
      </c>
      <c r="AN39" s="272">
        <v>7431</v>
      </c>
      <c r="AO39" s="272">
        <v>0</v>
      </c>
      <c r="AP39" s="272">
        <v>0</v>
      </c>
      <c r="AQ39" s="272">
        <v>127725</v>
      </c>
      <c r="AR39" s="272">
        <v>0</v>
      </c>
      <c r="AS39" s="272">
        <v>0</v>
      </c>
      <c r="AT39" s="272">
        <v>413924</v>
      </c>
      <c r="AU39" s="272">
        <v>68207</v>
      </c>
      <c r="AV39" s="272">
        <v>3715</v>
      </c>
      <c r="AW39" s="272">
        <v>7996</v>
      </c>
      <c r="AX39" s="272">
        <v>345717</v>
      </c>
      <c r="AY39" s="272">
        <v>171965</v>
      </c>
      <c r="AZ39" s="272">
        <v>151515</v>
      </c>
      <c r="BA39" s="272">
        <v>354</v>
      </c>
      <c r="BB39" s="272">
        <v>2150</v>
      </c>
      <c r="BC39" s="272">
        <v>964493</v>
      </c>
      <c r="BD39" s="272">
        <v>0</v>
      </c>
      <c r="BE39" s="272">
        <v>0</v>
      </c>
      <c r="BF39" s="272">
        <v>961343</v>
      </c>
      <c r="BG39" s="272">
        <v>0</v>
      </c>
      <c r="BH39" s="272">
        <v>209064</v>
      </c>
      <c r="BI39" s="272">
        <v>189136</v>
      </c>
      <c r="BJ39" s="272">
        <v>40872</v>
      </c>
      <c r="BK39" s="272">
        <v>850</v>
      </c>
      <c r="BL39" s="272">
        <v>0</v>
      </c>
      <c r="BM39" s="272">
        <v>0</v>
      </c>
      <c r="BN39" s="272">
        <v>1245399</v>
      </c>
      <c r="BO39" s="455">
        <f t="shared" si="5"/>
        <v>1245399</v>
      </c>
      <c r="BP39" s="455">
        <f t="shared" si="6"/>
        <v>0</v>
      </c>
      <c r="BQ39" s="272"/>
      <c r="BR39" s="272"/>
      <c r="BS39" s="272"/>
      <c r="BT39" s="272">
        <v>0</v>
      </c>
      <c r="BU39" s="272">
        <v>8777130</v>
      </c>
      <c r="BV39" s="272"/>
      <c r="BW39" s="272">
        <v>1937616</v>
      </c>
      <c r="BX39" s="272">
        <v>1226440</v>
      </c>
      <c r="BY39" s="272">
        <v>141420</v>
      </c>
      <c r="BZ39" s="272">
        <v>222926</v>
      </c>
      <c r="CA39" s="272">
        <v>100667</v>
      </c>
      <c r="CB39" s="272">
        <v>21094</v>
      </c>
      <c r="CC39" s="272">
        <v>58762</v>
      </c>
      <c r="CD39" s="272">
        <v>17430</v>
      </c>
      <c r="CE39" s="272">
        <v>0</v>
      </c>
      <c r="CF39" s="272">
        <v>0</v>
      </c>
      <c r="CG39" s="272">
        <v>3381</v>
      </c>
      <c r="CH39" s="272">
        <v>377759</v>
      </c>
      <c r="CI39" s="272">
        <v>191582</v>
      </c>
      <c r="CJ39" s="455">
        <f t="shared" si="7"/>
        <v>186177</v>
      </c>
      <c r="CK39" s="272">
        <v>848980</v>
      </c>
      <c r="CL39" s="272">
        <v>285479</v>
      </c>
      <c r="CM39" s="272">
        <v>16237</v>
      </c>
      <c r="CN39" s="272">
        <v>298820</v>
      </c>
      <c r="CO39" s="272">
        <v>170433</v>
      </c>
      <c r="CP39" s="272">
        <v>509253</v>
      </c>
      <c r="CQ39" s="272">
        <v>274007</v>
      </c>
      <c r="CR39" s="272">
        <v>93810</v>
      </c>
      <c r="CS39" s="272">
        <v>73650</v>
      </c>
      <c r="CT39" s="455">
        <f t="shared" si="8"/>
        <v>39381</v>
      </c>
      <c r="CU39" s="272">
        <v>39381</v>
      </c>
      <c r="CV39" s="272">
        <v>0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3013482</v>
      </c>
      <c r="DD39" s="272">
        <v>282240</v>
      </c>
      <c r="DE39" s="272">
        <v>2711182</v>
      </c>
      <c r="DF39" s="272">
        <v>13645</v>
      </c>
      <c r="DG39" s="272">
        <v>0</v>
      </c>
      <c r="DH39" s="272">
        <v>7270</v>
      </c>
      <c r="DI39" s="272">
        <v>1089000</v>
      </c>
      <c r="DJ39" s="272">
        <v>141000</v>
      </c>
      <c r="DK39" s="272">
        <v>61000</v>
      </c>
      <c r="DL39" s="272">
        <v>887000</v>
      </c>
      <c r="DM39" s="272">
        <v>354</v>
      </c>
      <c r="DN39" s="272">
        <v>0</v>
      </c>
      <c r="DO39" s="272">
        <v>0</v>
      </c>
      <c r="DP39" s="272">
        <v>0</v>
      </c>
      <c r="DQ39" s="272">
        <v>6816</v>
      </c>
      <c r="DR39" s="272">
        <v>0</v>
      </c>
      <c r="DS39" s="272">
        <v>0</v>
      </c>
      <c r="DT39" s="272">
        <v>493592</v>
      </c>
      <c r="DU39" s="272">
        <v>238150</v>
      </c>
      <c r="DV39" s="455">
        <f t="shared" si="11"/>
        <v>0</v>
      </c>
      <c r="DW39" s="272">
        <v>0</v>
      </c>
      <c r="DX39" s="272">
        <v>0</v>
      </c>
      <c r="DY39" s="457" t="s">
        <v>646</v>
      </c>
      <c r="DZ39" s="272">
        <v>51720</v>
      </c>
      <c r="EA39" s="272">
        <v>58181</v>
      </c>
      <c r="EB39" s="272"/>
      <c r="EC39" s="272">
        <v>0</v>
      </c>
      <c r="ED39" s="272">
        <v>8555222</v>
      </c>
      <c r="EF39" s="272">
        <v>221908</v>
      </c>
      <c r="EG39" s="272">
        <v>0</v>
      </c>
      <c r="EH39" s="272">
        <v>221908</v>
      </c>
      <c r="EI39" s="272">
        <v>32772</v>
      </c>
      <c r="EJ39" s="272">
        <v>173772</v>
      </c>
      <c r="EL39" s="272"/>
      <c r="EM39" s="272">
        <v>26452</v>
      </c>
      <c r="EN39" s="272">
        <v>0</v>
      </c>
      <c r="EO39" s="272">
        <v>9875</v>
      </c>
      <c r="EP39" s="455">
        <f t="shared" si="12"/>
        <v>239384</v>
      </c>
      <c r="EQ39" s="272">
        <v>5399510</v>
      </c>
      <c r="ER39" s="272">
        <v>-243071</v>
      </c>
      <c r="ES39" s="272">
        <v>1666053</v>
      </c>
      <c r="ET39" s="272">
        <v>1006969</v>
      </c>
      <c r="EU39" s="272">
        <v>26697</v>
      </c>
      <c r="EV39" s="272">
        <v>360462</v>
      </c>
      <c r="EW39" s="455">
        <f t="shared" si="13"/>
        <v>547164</v>
      </c>
      <c r="EX39" s="272">
        <v>545869</v>
      </c>
      <c r="EY39" s="272">
        <v>92903</v>
      </c>
      <c r="EZ39" s="272">
        <v>432906</v>
      </c>
      <c r="FA39" s="272">
        <v>1295</v>
      </c>
      <c r="FB39" s="272"/>
      <c r="FC39" s="272">
        <v>723871</v>
      </c>
      <c r="FD39" s="272">
        <v>489158</v>
      </c>
      <c r="FE39" s="272">
        <v>274007</v>
      </c>
      <c r="FF39" s="272">
        <v>482822</v>
      </c>
      <c r="FG39" s="455">
        <f t="shared" si="14"/>
        <v>1124446</v>
      </c>
      <c r="FH39" s="272">
        <v>5420673</v>
      </c>
      <c r="FI39" s="384">
        <f t="shared" si="15"/>
        <v>4.3</v>
      </c>
      <c r="FJ39" s="272">
        <v>5150052</v>
      </c>
      <c r="FK39" s="272"/>
      <c r="FL39" s="272">
        <v>2730577</v>
      </c>
      <c r="FM39" s="272">
        <v>4270857</v>
      </c>
      <c r="FN39" s="460">
        <v>0.67600000000000005</v>
      </c>
      <c r="FO39" s="388">
        <v>65.599999999999994</v>
      </c>
      <c r="FP39" s="388">
        <v>31.7</v>
      </c>
      <c r="FQ39" s="388">
        <v>0.5</v>
      </c>
      <c r="FR39" s="388">
        <v>6.9</v>
      </c>
      <c r="FS39" s="388">
        <v>12.9</v>
      </c>
      <c r="FT39" s="388">
        <v>8.6</v>
      </c>
      <c r="FU39" s="388">
        <v>1.8</v>
      </c>
      <c r="FV39" s="388">
        <v>4.5999999999999996</v>
      </c>
      <c r="FW39" s="272">
        <v>4421580</v>
      </c>
      <c r="FX39" s="384">
        <f t="shared" si="16"/>
        <v>85.9</v>
      </c>
      <c r="FY39" s="272">
        <v>4276676</v>
      </c>
      <c r="FZ39" s="272">
        <v>964000</v>
      </c>
      <c r="GA39" s="272">
        <v>302320</v>
      </c>
      <c r="GB39" s="272">
        <v>3010356</v>
      </c>
      <c r="GC39" s="272"/>
      <c r="GD39" s="272"/>
      <c r="GE39" s="384"/>
      <c r="GF39" s="388">
        <v>98.3</v>
      </c>
      <c r="GG39" s="388">
        <v>21.1</v>
      </c>
      <c r="GH39" s="388">
        <v>96.5</v>
      </c>
      <c r="GI39" s="272">
        <v>225</v>
      </c>
    </row>
    <row r="40" spans="2:191" x14ac:dyDescent="0.15">
      <c r="B40" s="89" t="s">
        <v>73</v>
      </c>
      <c r="C40" s="272">
        <v>1060553</v>
      </c>
      <c r="D40" s="455">
        <f t="shared" si="0"/>
        <v>550124</v>
      </c>
      <c r="E40" s="272">
        <v>5233</v>
      </c>
      <c r="F40" s="272">
        <v>544891</v>
      </c>
      <c r="G40" s="455">
        <f t="shared" si="1"/>
        <v>51421</v>
      </c>
      <c r="H40" s="272">
        <v>11014</v>
      </c>
      <c r="I40" s="272">
        <v>40407</v>
      </c>
      <c r="J40" s="272">
        <v>376691</v>
      </c>
      <c r="K40" s="272">
        <v>114324</v>
      </c>
      <c r="L40" s="272">
        <v>192291</v>
      </c>
      <c r="M40" s="272">
        <v>69939</v>
      </c>
      <c r="N40" s="272">
        <v>40776</v>
      </c>
      <c r="O40" s="272">
        <v>0</v>
      </c>
      <c r="P40" s="272">
        <v>0</v>
      </c>
      <c r="Q40" s="272">
        <v>0</v>
      </c>
      <c r="R40" s="272">
        <v>97159</v>
      </c>
      <c r="S40" s="272">
        <v>39419</v>
      </c>
      <c r="T40" s="455">
        <f t="shared" si="2"/>
        <v>136905</v>
      </c>
      <c r="U40" s="272">
        <v>28650</v>
      </c>
      <c r="V40" s="272"/>
      <c r="W40" s="272"/>
      <c r="X40" s="272"/>
      <c r="Y40" s="272">
        <v>20486</v>
      </c>
      <c r="Z40" s="272">
        <v>863</v>
      </c>
      <c r="AA40" s="272">
        <v>86906</v>
      </c>
      <c r="AB40" s="272"/>
      <c r="AC40" s="272">
        <v>1703209</v>
      </c>
      <c r="AD40" s="272">
        <v>1478857</v>
      </c>
      <c r="AE40" s="272">
        <v>224352</v>
      </c>
      <c r="AF40" s="272">
        <v>2504</v>
      </c>
      <c r="AG40" s="272">
        <v>79767</v>
      </c>
      <c r="AH40" s="455">
        <f t="shared" si="3"/>
        <v>128312</v>
      </c>
      <c r="AI40" s="272">
        <v>81854</v>
      </c>
      <c r="AJ40" s="272">
        <v>46458</v>
      </c>
      <c r="AK40" s="272">
        <v>114609</v>
      </c>
      <c r="AL40" s="455">
        <f t="shared" si="4"/>
        <v>32127</v>
      </c>
      <c r="AM40" s="272">
        <v>0</v>
      </c>
      <c r="AN40" s="272">
        <v>25130</v>
      </c>
      <c r="AO40" s="272">
        <v>0</v>
      </c>
      <c r="AP40" s="272">
        <v>6997</v>
      </c>
      <c r="AQ40" s="272">
        <v>47110</v>
      </c>
      <c r="AR40" s="272">
        <v>0</v>
      </c>
      <c r="AS40" s="272">
        <v>0</v>
      </c>
      <c r="AT40" s="272">
        <v>810900</v>
      </c>
      <c r="AU40" s="272">
        <v>503561</v>
      </c>
      <c r="AV40" s="272">
        <v>386</v>
      </c>
      <c r="AW40" s="272">
        <v>437018</v>
      </c>
      <c r="AX40" s="272">
        <v>307339</v>
      </c>
      <c r="AY40" s="272">
        <v>198149</v>
      </c>
      <c r="AZ40" s="272">
        <v>70640</v>
      </c>
      <c r="BA40" s="272">
        <v>0</v>
      </c>
      <c r="BB40" s="272">
        <v>1110</v>
      </c>
      <c r="BC40" s="272">
        <v>582966</v>
      </c>
      <c r="BD40" s="272">
        <v>350000</v>
      </c>
      <c r="BE40" s="272">
        <v>0</v>
      </c>
      <c r="BF40" s="272">
        <v>221877</v>
      </c>
      <c r="BG40" s="272">
        <v>0</v>
      </c>
      <c r="BH40" s="272">
        <v>196200</v>
      </c>
      <c r="BI40" s="272">
        <v>195481</v>
      </c>
      <c r="BJ40" s="272">
        <v>73100</v>
      </c>
      <c r="BK40" s="272">
        <v>4708</v>
      </c>
      <c r="BL40" s="272">
        <v>0</v>
      </c>
      <c r="BM40" s="272">
        <v>0</v>
      </c>
      <c r="BN40" s="272">
        <v>1010100</v>
      </c>
      <c r="BO40" s="455">
        <f t="shared" si="5"/>
        <v>1010100</v>
      </c>
      <c r="BP40" s="455">
        <f t="shared" si="6"/>
        <v>0</v>
      </c>
      <c r="BQ40" s="272"/>
      <c r="BR40" s="272"/>
      <c r="BS40" s="272"/>
      <c r="BT40" s="272">
        <v>0</v>
      </c>
      <c r="BU40" s="272">
        <v>6068034</v>
      </c>
      <c r="BV40" s="272"/>
      <c r="BW40" s="272">
        <v>1214984</v>
      </c>
      <c r="BX40" s="272">
        <v>776413</v>
      </c>
      <c r="BY40" s="272">
        <v>160327</v>
      </c>
      <c r="BZ40" s="272">
        <v>25275</v>
      </c>
      <c r="CA40" s="272">
        <v>91343</v>
      </c>
      <c r="CB40" s="272">
        <v>13087</v>
      </c>
      <c r="CC40" s="272">
        <v>40323</v>
      </c>
      <c r="CD40" s="272">
        <v>34968</v>
      </c>
      <c r="CE40" s="272">
        <v>0</v>
      </c>
      <c r="CF40" s="272">
        <v>945</v>
      </c>
      <c r="CG40" s="272">
        <v>2020</v>
      </c>
      <c r="CH40" s="272">
        <v>342967</v>
      </c>
      <c r="CI40" s="272">
        <v>212396</v>
      </c>
      <c r="CJ40" s="455">
        <f t="shared" si="7"/>
        <v>130571</v>
      </c>
      <c r="CK40" s="272">
        <v>601735</v>
      </c>
      <c r="CL40" s="272">
        <v>291058</v>
      </c>
      <c r="CM40" s="272">
        <v>42463</v>
      </c>
      <c r="CN40" s="272">
        <v>171760</v>
      </c>
      <c r="CO40" s="272">
        <v>38647</v>
      </c>
      <c r="CP40" s="272">
        <v>332948</v>
      </c>
      <c r="CQ40" s="272">
        <v>127799</v>
      </c>
      <c r="CR40" s="272">
        <v>93244</v>
      </c>
      <c r="CS40" s="272">
        <v>90513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2663557</v>
      </c>
      <c r="DD40" s="272">
        <v>748711</v>
      </c>
      <c r="DE40" s="272">
        <v>1899481</v>
      </c>
      <c r="DF40" s="272">
        <v>15365</v>
      </c>
      <c r="DG40" s="272">
        <v>0</v>
      </c>
      <c r="DH40" s="272">
        <v>0</v>
      </c>
      <c r="DI40" s="272">
        <v>447069</v>
      </c>
      <c r="DJ40" s="272">
        <v>231983</v>
      </c>
      <c r="DK40" s="272">
        <v>0</v>
      </c>
      <c r="DL40" s="272">
        <v>215086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146208</v>
      </c>
      <c r="DU40" s="272">
        <v>0</v>
      </c>
      <c r="DV40" s="455">
        <f t="shared" si="11"/>
        <v>0</v>
      </c>
      <c r="DW40" s="272">
        <v>0</v>
      </c>
      <c r="DX40" s="272">
        <v>0</v>
      </c>
      <c r="DY40" s="457" t="s">
        <v>646</v>
      </c>
      <c r="DZ40" s="272">
        <v>45564</v>
      </c>
      <c r="EA40" s="272">
        <v>48506</v>
      </c>
      <c r="EB40" s="272"/>
      <c r="EC40" s="272">
        <v>0</v>
      </c>
      <c r="ED40" s="272">
        <v>5879458</v>
      </c>
      <c r="EF40" s="272">
        <v>188576</v>
      </c>
      <c r="EG40" s="272">
        <v>3488</v>
      </c>
      <c r="EH40" s="272">
        <v>185088</v>
      </c>
      <c r="EI40" s="272">
        <v>-10393</v>
      </c>
      <c r="EJ40" s="272">
        <v>-128410</v>
      </c>
      <c r="EL40" s="272"/>
      <c r="EM40" s="272">
        <v>12818</v>
      </c>
      <c r="EN40" s="272">
        <v>361089</v>
      </c>
      <c r="EO40" s="272">
        <v>2275</v>
      </c>
      <c r="EP40" s="455">
        <f t="shared" si="12"/>
        <v>235691</v>
      </c>
      <c r="EQ40" s="272">
        <v>3000330</v>
      </c>
      <c r="ER40" s="272">
        <v>-596551</v>
      </c>
      <c r="ES40" s="272">
        <v>1106464</v>
      </c>
      <c r="ET40" s="272">
        <v>673119</v>
      </c>
      <c r="EU40" s="272">
        <v>37058</v>
      </c>
      <c r="EV40" s="272">
        <v>328065</v>
      </c>
      <c r="EW40" s="455">
        <f t="shared" si="13"/>
        <v>649168</v>
      </c>
      <c r="EX40" s="272">
        <v>649168</v>
      </c>
      <c r="EY40" s="272">
        <v>90612</v>
      </c>
      <c r="EZ40" s="272">
        <v>543191</v>
      </c>
      <c r="FA40" s="272">
        <v>0</v>
      </c>
      <c r="FB40" s="272"/>
      <c r="FC40" s="272">
        <v>451960</v>
      </c>
      <c r="FD40" s="272">
        <v>284949</v>
      </c>
      <c r="FE40" s="272">
        <v>127799</v>
      </c>
      <c r="FF40" s="272">
        <v>132621</v>
      </c>
      <c r="FG40" s="455">
        <f t="shared" si="14"/>
        <v>418020</v>
      </c>
      <c r="FH40" s="272">
        <v>3408305</v>
      </c>
      <c r="FI40" s="384">
        <f t="shared" si="15"/>
        <v>6.7</v>
      </c>
      <c r="FJ40" s="272">
        <v>2764443</v>
      </c>
      <c r="FK40" s="272"/>
      <c r="FL40" s="272">
        <v>978252</v>
      </c>
      <c r="FM40" s="272">
        <v>2461827</v>
      </c>
      <c r="FN40" s="460">
        <v>0.39100000000000001</v>
      </c>
      <c r="FO40" s="388">
        <v>74.7</v>
      </c>
      <c r="FP40" s="388">
        <v>34.4</v>
      </c>
      <c r="FQ40" s="388">
        <v>1.3</v>
      </c>
      <c r="FR40" s="388">
        <v>11.7</v>
      </c>
      <c r="FS40" s="388">
        <v>13.5</v>
      </c>
      <c r="FT40" s="388">
        <v>8.6</v>
      </c>
      <c r="FU40" s="388">
        <v>3.8</v>
      </c>
      <c r="FV40" s="388">
        <v>8.9</v>
      </c>
      <c r="FW40" s="272">
        <v>2996382</v>
      </c>
      <c r="FX40" s="384">
        <f t="shared" si="16"/>
        <v>108.4</v>
      </c>
      <c r="FY40" s="272">
        <v>1419927</v>
      </c>
      <c r="FZ40" s="272">
        <v>1059038</v>
      </c>
      <c r="GA40" s="272"/>
      <c r="GB40" s="272">
        <v>360889</v>
      </c>
      <c r="GC40" s="272"/>
      <c r="GD40" s="272">
        <v>44340</v>
      </c>
      <c r="GE40" s="384">
        <f>ROUND(GD40/FJ40*100,1)</f>
        <v>1.6</v>
      </c>
      <c r="GF40" s="388">
        <v>97.8</v>
      </c>
      <c r="GG40" s="388">
        <v>22.2</v>
      </c>
      <c r="GH40" s="388">
        <v>94.4</v>
      </c>
      <c r="GI40" s="272">
        <v>151</v>
      </c>
    </row>
    <row r="41" spans="2:191" x14ac:dyDescent="0.15">
      <c r="B41" s="89" t="s">
        <v>75</v>
      </c>
      <c r="C41" s="272">
        <v>2506992</v>
      </c>
      <c r="D41" s="455">
        <f t="shared" si="0"/>
        <v>815751</v>
      </c>
      <c r="E41" s="272">
        <v>9180</v>
      </c>
      <c r="F41" s="272">
        <v>806571</v>
      </c>
      <c r="G41" s="455">
        <f t="shared" si="1"/>
        <v>228270</v>
      </c>
      <c r="H41" s="272">
        <v>40645</v>
      </c>
      <c r="I41" s="272">
        <v>187625</v>
      </c>
      <c r="J41" s="272">
        <v>1103646</v>
      </c>
      <c r="K41" s="272">
        <v>583427</v>
      </c>
      <c r="L41" s="272">
        <v>314945</v>
      </c>
      <c r="M41" s="272">
        <v>200551</v>
      </c>
      <c r="N41" s="272">
        <v>93680</v>
      </c>
      <c r="O41" s="272">
        <v>251858</v>
      </c>
      <c r="P41" s="272">
        <v>181062</v>
      </c>
      <c r="Q41" s="272">
        <v>70796</v>
      </c>
      <c r="R41" s="272">
        <v>115743</v>
      </c>
      <c r="S41" s="272">
        <v>82619</v>
      </c>
      <c r="T41" s="455">
        <f t="shared" si="2"/>
        <v>99236</v>
      </c>
      <c r="U41" s="272">
        <v>49596</v>
      </c>
      <c r="V41" s="272"/>
      <c r="W41" s="272"/>
      <c r="X41" s="272"/>
      <c r="Y41" s="272">
        <v>0</v>
      </c>
      <c r="Z41" s="272">
        <v>105</v>
      </c>
      <c r="AA41" s="272">
        <v>49535</v>
      </c>
      <c r="AB41" s="272"/>
      <c r="AC41" s="272">
        <v>1583343</v>
      </c>
      <c r="AD41" s="272">
        <v>1314721</v>
      </c>
      <c r="AE41" s="272">
        <v>268622</v>
      </c>
      <c r="AF41" s="272">
        <v>4627</v>
      </c>
      <c r="AG41" s="272">
        <v>2811</v>
      </c>
      <c r="AH41" s="455">
        <f t="shared" si="3"/>
        <v>105719</v>
      </c>
      <c r="AI41" s="272">
        <v>90574</v>
      </c>
      <c r="AJ41" s="272">
        <v>15145</v>
      </c>
      <c r="AK41" s="272">
        <v>145084</v>
      </c>
      <c r="AL41" s="455">
        <f t="shared" si="4"/>
        <v>64678</v>
      </c>
      <c r="AM41" s="272">
        <v>0</v>
      </c>
      <c r="AN41" s="272">
        <v>64678</v>
      </c>
      <c r="AO41" s="272">
        <v>0</v>
      </c>
      <c r="AP41" s="272">
        <v>0</v>
      </c>
      <c r="AQ41" s="272">
        <v>2552</v>
      </c>
      <c r="AR41" s="272">
        <v>0</v>
      </c>
      <c r="AS41" s="272">
        <v>0</v>
      </c>
      <c r="AT41" s="272">
        <v>333948</v>
      </c>
      <c r="AU41" s="272">
        <v>49824</v>
      </c>
      <c r="AV41" s="272">
        <v>21070</v>
      </c>
      <c r="AW41" s="272">
        <v>1276</v>
      </c>
      <c r="AX41" s="272">
        <v>284124</v>
      </c>
      <c r="AY41" s="272">
        <v>141500</v>
      </c>
      <c r="AZ41" s="272">
        <v>100213</v>
      </c>
      <c r="BA41" s="272">
        <v>0</v>
      </c>
      <c r="BB41" s="272">
        <v>6604</v>
      </c>
      <c r="BC41" s="272">
        <v>91813</v>
      </c>
      <c r="BD41" s="272">
        <v>91600</v>
      </c>
      <c r="BE41" s="272">
        <v>0</v>
      </c>
      <c r="BF41" s="272">
        <v>0</v>
      </c>
      <c r="BG41" s="272">
        <v>0</v>
      </c>
      <c r="BH41" s="272">
        <v>83631</v>
      </c>
      <c r="BI41" s="272">
        <v>41909</v>
      </c>
      <c r="BJ41" s="272">
        <v>115861</v>
      </c>
      <c r="BK41" s="272">
        <v>275</v>
      </c>
      <c r="BL41" s="272">
        <v>0</v>
      </c>
      <c r="BM41" s="272">
        <v>0</v>
      </c>
      <c r="BN41" s="272">
        <v>329400</v>
      </c>
      <c r="BO41" s="455">
        <f t="shared" si="5"/>
        <v>329400</v>
      </c>
      <c r="BP41" s="455">
        <f t="shared" si="6"/>
        <v>0</v>
      </c>
      <c r="BQ41" s="272"/>
      <c r="BR41" s="272"/>
      <c r="BS41" s="272"/>
      <c r="BT41" s="272">
        <v>0</v>
      </c>
      <c r="BU41" s="272">
        <v>5625025</v>
      </c>
      <c r="BV41" s="272"/>
      <c r="BW41" s="272">
        <v>1722490</v>
      </c>
      <c r="BX41" s="272">
        <v>1261369</v>
      </c>
      <c r="BY41" s="272">
        <v>91735</v>
      </c>
      <c r="BZ41" s="272">
        <v>11763</v>
      </c>
      <c r="CA41" s="272">
        <v>155534</v>
      </c>
      <c r="CB41" s="272">
        <v>55539</v>
      </c>
      <c r="CC41" s="272">
        <v>64828</v>
      </c>
      <c r="CD41" s="272">
        <v>29205</v>
      </c>
      <c r="CE41" s="272">
        <v>0</v>
      </c>
      <c r="CF41" s="272">
        <v>0</v>
      </c>
      <c r="CG41" s="272">
        <v>5962</v>
      </c>
      <c r="CH41" s="272">
        <v>402781</v>
      </c>
      <c r="CI41" s="272">
        <v>231901</v>
      </c>
      <c r="CJ41" s="455">
        <f t="shared" si="7"/>
        <v>170880</v>
      </c>
      <c r="CK41" s="272">
        <v>731870</v>
      </c>
      <c r="CL41" s="272">
        <v>335016</v>
      </c>
      <c r="CM41" s="272">
        <v>65867</v>
      </c>
      <c r="CN41" s="272">
        <v>206767</v>
      </c>
      <c r="CO41" s="272">
        <v>45861</v>
      </c>
      <c r="CP41" s="272">
        <v>544388</v>
      </c>
      <c r="CQ41" s="272">
        <v>3662</v>
      </c>
      <c r="CR41" s="272">
        <v>43908</v>
      </c>
      <c r="CS41" s="272">
        <v>43908</v>
      </c>
      <c r="CT41" s="455">
        <f t="shared" si="8"/>
        <v>259548</v>
      </c>
      <c r="CU41" s="272">
        <v>129761</v>
      </c>
      <c r="CV41" s="272">
        <v>129787</v>
      </c>
      <c r="CW41" s="455">
        <f t="shared" si="9"/>
        <v>219548</v>
      </c>
      <c r="CX41" s="272">
        <v>129761</v>
      </c>
      <c r="CY41" s="272">
        <v>89787</v>
      </c>
      <c r="CZ41" s="455">
        <f t="shared" si="10"/>
        <v>0</v>
      </c>
      <c r="DA41" s="272">
        <v>0</v>
      </c>
      <c r="DB41" s="272">
        <v>0</v>
      </c>
      <c r="DC41" s="272">
        <v>836182</v>
      </c>
      <c r="DD41" s="272">
        <v>5104</v>
      </c>
      <c r="DE41" s="272">
        <v>738583</v>
      </c>
      <c r="DF41" s="272">
        <v>92495</v>
      </c>
      <c r="DG41" s="272">
        <v>0</v>
      </c>
      <c r="DH41" s="272">
        <v>0</v>
      </c>
      <c r="DI41" s="272">
        <v>243720</v>
      </c>
      <c r="DJ41" s="272">
        <v>146789</v>
      </c>
      <c r="DK41" s="272">
        <v>0</v>
      </c>
      <c r="DL41" s="272">
        <v>96931</v>
      </c>
      <c r="DM41" s="272">
        <v>296</v>
      </c>
      <c r="DN41" s="272">
        <v>0</v>
      </c>
      <c r="DO41" s="272">
        <v>0</v>
      </c>
      <c r="DP41" s="272">
        <v>0</v>
      </c>
      <c r="DQ41" s="272">
        <v>252</v>
      </c>
      <c r="DR41" s="272">
        <v>0</v>
      </c>
      <c r="DS41" s="272">
        <v>0</v>
      </c>
      <c r="DT41" s="272">
        <v>774108</v>
      </c>
      <c r="DU41" s="272">
        <v>572000</v>
      </c>
      <c r="DV41" s="455">
        <f t="shared" si="11"/>
        <v>0</v>
      </c>
      <c r="DW41" s="272">
        <v>0</v>
      </c>
      <c r="DX41" s="272">
        <v>0</v>
      </c>
      <c r="DY41" s="457" t="s">
        <v>646</v>
      </c>
      <c r="DZ41" s="272">
        <v>147379</v>
      </c>
      <c r="EA41" s="272">
        <v>54729</v>
      </c>
      <c r="EB41" s="272"/>
      <c r="EC41" s="272">
        <v>0</v>
      </c>
      <c r="ED41" s="272">
        <v>5457482</v>
      </c>
      <c r="EF41" s="272">
        <v>167543</v>
      </c>
      <c r="EG41" s="272">
        <v>33977</v>
      </c>
      <c r="EH41" s="272">
        <v>133566</v>
      </c>
      <c r="EI41" s="272">
        <v>91657</v>
      </c>
      <c r="EJ41" s="272">
        <v>146846</v>
      </c>
      <c r="EL41" s="272"/>
      <c r="EM41" s="272">
        <v>16831</v>
      </c>
      <c r="EN41" s="272">
        <v>91813</v>
      </c>
      <c r="EO41" s="272">
        <v>320</v>
      </c>
      <c r="EP41" s="455">
        <f t="shared" si="12"/>
        <v>121466</v>
      </c>
      <c r="EQ41" s="272">
        <v>4309941</v>
      </c>
      <c r="ER41" s="272">
        <v>-208972</v>
      </c>
      <c r="ES41" s="272">
        <v>1589889</v>
      </c>
      <c r="ET41" s="272">
        <v>1128768</v>
      </c>
      <c r="EU41" s="272">
        <v>48034</v>
      </c>
      <c r="EV41" s="272">
        <v>402781</v>
      </c>
      <c r="EW41" s="455">
        <f t="shared" si="13"/>
        <v>313252</v>
      </c>
      <c r="EX41" s="272">
        <v>313252</v>
      </c>
      <c r="EY41" s="272">
        <v>1276</v>
      </c>
      <c r="EZ41" s="272">
        <v>280883</v>
      </c>
      <c r="FA41" s="272">
        <v>0</v>
      </c>
      <c r="FB41" s="272"/>
      <c r="FC41" s="272">
        <v>606136</v>
      </c>
      <c r="FD41" s="272">
        <v>498212</v>
      </c>
      <c r="FE41" s="272">
        <v>3662</v>
      </c>
      <c r="FF41" s="272">
        <v>758602</v>
      </c>
      <c r="FG41" s="455">
        <f t="shared" si="14"/>
        <v>134464</v>
      </c>
      <c r="FH41" s="272">
        <v>4351370</v>
      </c>
      <c r="FI41" s="384">
        <f t="shared" si="15"/>
        <v>3.5</v>
      </c>
      <c r="FJ41" s="272">
        <v>3763278</v>
      </c>
      <c r="FK41" s="272"/>
      <c r="FL41" s="272">
        <v>1845833</v>
      </c>
      <c r="FM41" s="272">
        <v>3178227</v>
      </c>
      <c r="FN41" s="460">
        <v>0.63500000000000001</v>
      </c>
      <c r="FO41" s="388">
        <v>87.1</v>
      </c>
      <c r="FP41" s="388">
        <v>40.6</v>
      </c>
      <c r="FQ41" s="388">
        <v>1.3</v>
      </c>
      <c r="FR41" s="388">
        <v>10.5</v>
      </c>
      <c r="FS41" s="388">
        <v>15.1</v>
      </c>
      <c r="FT41" s="388">
        <v>7.6</v>
      </c>
      <c r="FU41" s="388">
        <v>10.9</v>
      </c>
      <c r="FV41" s="388">
        <v>9.4</v>
      </c>
      <c r="FW41" s="272">
        <v>2762128</v>
      </c>
      <c r="FX41" s="384">
        <f t="shared" si="16"/>
        <v>73.400000000000006</v>
      </c>
      <c r="FY41" s="272">
        <v>2139308</v>
      </c>
      <c r="FZ41" s="272">
        <v>1163539</v>
      </c>
      <c r="GA41" s="272"/>
      <c r="GB41" s="272">
        <v>975769</v>
      </c>
      <c r="GC41" s="272"/>
      <c r="GD41" s="272"/>
      <c r="GE41" s="384"/>
      <c r="GF41" s="388">
        <v>97.5</v>
      </c>
      <c r="GG41" s="388">
        <v>15.5</v>
      </c>
      <c r="GH41" s="388">
        <v>91.3</v>
      </c>
      <c r="GI41" s="272">
        <v>203</v>
      </c>
    </row>
    <row r="42" spans="2:191" x14ac:dyDescent="0.15">
      <c r="B42" s="89" t="s">
        <v>77</v>
      </c>
      <c r="C42" s="272">
        <v>4594178</v>
      </c>
      <c r="D42" s="455">
        <f t="shared" si="0"/>
        <v>2577627</v>
      </c>
      <c r="E42" s="272">
        <v>18577</v>
      </c>
      <c r="F42" s="272">
        <v>2559050</v>
      </c>
      <c r="G42" s="455">
        <f t="shared" si="1"/>
        <v>286927</v>
      </c>
      <c r="H42" s="272">
        <v>39244</v>
      </c>
      <c r="I42" s="272">
        <v>247683</v>
      </c>
      <c r="J42" s="272">
        <v>1559941</v>
      </c>
      <c r="K42" s="272">
        <v>609821</v>
      </c>
      <c r="L42" s="272">
        <v>724912</v>
      </c>
      <c r="M42" s="272">
        <v>213142</v>
      </c>
      <c r="N42" s="272">
        <v>123456</v>
      </c>
      <c r="O42" s="272">
        <v>0</v>
      </c>
      <c r="P42" s="272">
        <v>0</v>
      </c>
      <c r="Q42" s="272">
        <v>0</v>
      </c>
      <c r="R42" s="272">
        <v>213223</v>
      </c>
      <c r="S42" s="272">
        <v>135325</v>
      </c>
      <c r="T42" s="455">
        <f t="shared" si="2"/>
        <v>299109</v>
      </c>
      <c r="U42" s="272">
        <v>144065</v>
      </c>
      <c r="V42" s="272"/>
      <c r="W42" s="272"/>
      <c r="X42" s="272"/>
      <c r="Y42" s="272">
        <v>38388</v>
      </c>
      <c r="Z42" s="272">
        <v>110</v>
      </c>
      <c r="AA42" s="272">
        <v>116546</v>
      </c>
      <c r="AB42" s="272"/>
      <c r="AC42" s="272">
        <v>1854845</v>
      </c>
      <c r="AD42" s="272">
        <v>1642366</v>
      </c>
      <c r="AE42" s="272">
        <v>212479</v>
      </c>
      <c r="AF42" s="272">
        <v>9370</v>
      </c>
      <c r="AG42" s="272">
        <v>2254</v>
      </c>
      <c r="AH42" s="455">
        <f t="shared" si="3"/>
        <v>236837</v>
      </c>
      <c r="AI42" s="272">
        <v>216567</v>
      </c>
      <c r="AJ42" s="272">
        <v>20270</v>
      </c>
      <c r="AK42" s="272">
        <v>352295</v>
      </c>
      <c r="AL42" s="455">
        <f t="shared" si="4"/>
        <v>61437</v>
      </c>
      <c r="AM42" s="272">
        <v>0</v>
      </c>
      <c r="AN42" s="272">
        <v>61437</v>
      </c>
      <c r="AO42" s="272">
        <v>0</v>
      </c>
      <c r="AP42" s="272">
        <v>0</v>
      </c>
      <c r="AQ42" s="272">
        <v>127296</v>
      </c>
      <c r="AR42" s="272">
        <v>0</v>
      </c>
      <c r="AS42" s="272">
        <v>0</v>
      </c>
      <c r="AT42" s="272">
        <v>472493</v>
      </c>
      <c r="AU42" s="272">
        <v>98087</v>
      </c>
      <c r="AV42" s="272">
        <v>30719</v>
      </c>
      <c r="AW42" s="272">
        <v>27573</v>
      </c>
      <c r="AX42" s="272">
        <v>374406</v>
      </c>
      <c r="AY42" s="272">
        <v>167150</v>
      </c>
      <c r="AZ42" s="272">
        <v>350010</v>
      </c>
      <c r="BA42" s="272">
        <v>92890</v>
      </c>
      <c r="BB42" s="272">
        <v>196702</v>
      </c>
      <c r="BC42" s="272">
        <v>488851</v>
      </c>
      <c r="BD42" s="272">
        <v>0</v>
      </c>
      <c r="BE42" s="272">
        <v>0</v>
      </c>
      <c r="BF42" s="272">
        <v>466000</v>
      </c>
      <c r="BG42" s="272">
        <v>0</v>
      </c>
      <c r="BH42" s="272">
        <v>433371</v>
      </c>
      <c r="BI42" s="272">
        <v>326731</v>
      </c>
      <c r="BJ42" s="272">
        <v>109667</v>
      </c>
      <c r="BK42" s="272">
        <v>0</v>
      </c>
      <c r="BL42" s="272">
        <v>500</v>
      </c>
      <c r="BM42" s="272">
        <v>0</v>
      </c>
      <c r="BN42" s="272">
        <v>271700</v>
      </c>
      <c r="BO42" s="455">
        <f t="shared" si="5"/>
        <v>271700</v>
      </c>
      <c r="BP42" s="455">
        <f t="shared" si="6"/>
        <v>0</v>
      </c>
      <c r="BQ42" s="272"/>
      <c r="BR42" s="272"/>
      <c r="BS42" s="272"/>
      <c r="BT42" s="272">
        <v>0</v>
      </c>
      <c r="BU42" s="272">
        <v>9884905</v>
      </c>
      <c r="BV42" s="272"/>
      <c r="BW42" s="272">
        <v>2399432</v>
      </c>
      <c r="BX42" s="272">
        <v>1863782</v>
      </c>
      <c r="BY42" s="272">
        <v>36076</v>
      </c>
      <c r="BZ42" s="272">
        <v>19158</v>
      </c>
      <c r="CA42" s="272">
        <v>387329</v>
      </c>
      <c r="CB42" s="272">
        <v>53179</v>
      </c>
      <c r="CC42" s="272">
        <v>125846</v>
      </c>
      <c r="CD42" s="272">
        <v>196121</v>
      </c>
      <c r="CE42" s="272">
        <v>0</v>
      </c>
      <c r="CF42" s="272">
        <v>0</v>
      </c>
      <c r="CG42" s="272">
        <v>12183</v>
      </c>
      <c r="CH42" s="272">
        <v>658206</v>
      </c>
      <c r="CI42" s="272">
        <v>265694</v>
      </c>
      <c r="CJ42" s="455">
        <f t="shared" si="7"/>
        <v>392512</v>
      </c>
      <c r="CK42" s="272">
        <v>1317081</v>
      </c>
      <c r="CL42" s="272">
        <v>478235</v>
      </c>
      <c r="CM42" s="272">
        <v>95788</v>
      </c>
      <c r="CN42" s="272">
        <v>424838</v>
      </c>
      <c r="CO42" s="272">
        <v>120489</v>
      </c>
      <c r="CP42" s="272">
        <v>339887</v>
      </c>
      <c r="CQ42" s="272">
        <v>1108</v>
      </c>
      <c r="CR42" s="272">
        <v>147670</v>
      </c>
      <c r="CS42" s="272">
        <v>147670</v>
      </c>
      <c r="CT42" s="455">
        <f t="shared" si="8"/>
        <v>10511</v>
      </c>
      <c r="CU42" s="272">
        <v>7513</v>
      </c>
      <c r="CV42" s="272">
        <v>2998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2694036</v>
      </c>
      <c r="DD42" s="272">
        <v>362781</v>
      </c>
      <c r="DE42" s="272">
        <v>2326081</v>
      </c>
      <c r="DF42" s="272">
        <v>5174</v>
      </c>
      <c r="DG42" s="272">
        <v>0</v>
      </c>
      <c r="DH42" s="272">
        <v>0</v>
      </c>
      <c r="DI42" s="272">
        <v>859229</v>
      </c>
      <c r="DJ42" s="272">
        <v>43880</v>
      </c>
      <c r="DK42" s="272">
        <v>201400</v>
      </c>
      <c r="DL42" s="272">
        <v>613949</v>
      </c>
      <c r="DM42" s="272">
        <v>500</v>
      </c>
      <c r="DN42" s="272">
        <v>0</v>
      </c>
      <c r="DO42" s="272">
        <v>0</v>
      </c>
      <c r="DP42" s="272">
        <v>0</v>
      </c>
      <c r="DQ42" s="272">
        <v>0</v>
      </c>
      <c r="DR42" s="272">
        <v>0</v>
      </c>
      <c r="DS42" s="272">
        <v>0</v>
      </c>
      <c r="DT42" s="272">
        <v>558931</v>
      </c>
      <c r="DU42" s="272">
        <v>354250</v>
      </c>
      <c r="DV42" s="455">
        <f t="shared" si="11"/>
        <v>0</v>
      </c>
      <c r="DW42" s="272">
        <v>0</v>
      </c>
      <c r="DX42" s="272">
        <v>0</v>
      </c>
      <c r="DY42" s="457" t="s">
        <v>646</v>
      </c>
      <c r="DZ42" s="272">
        <v>104766</v>
      </c>
      <c r="EA42" s="272">
        <v>93930</v>
      </c>
      <c r="EB42" s="272"/>
      <c r="EC42" s="272">
        <v>0</v>
      </c>
      <c r="ED42" s="272">
        <v>9335120</v>
      </c>
      <c r="EF42" s="272">
        <v>549785</v>
      </c>
      <c r="EG42" s="272">
        <v>253974</v>
      </c>
      <c r="EH42" s="272">
        <v>295811</v>
      </c>
      <c r="EI42" s="272">
        <v>-30920</v>
      </c>
      <c r="EJ42" s="272">
        <v>12960</v>
      </c>
      <c r="EL42" s="272"/>
      <c r="EM42" s="272">
        <v>38886</v>
      </c>
      <c r="EN42" s="272">
        <v>22851</v>
      </c>
      <c r="EO42" s="272">
        <v>147534</v>
      </c>
      <c r="EP42" s="455">
        <f t="shared" si="12"/>
        <v>761123</v>
      </c>
      <c r="EQ42" s="272">
        <v>6970725</v>
      </c>
      <c r="ER42" s="272">
        <v>-922138</v>
      </c>
      <c r="ES42" s="272">
        <v>2157863</v>
      </c>
      <c r="ET42" s="272">
        <v>1625845</v>
      </c>
      <c r="EU42" s="272">
        <v>203269</v>
      </c>
      <c r="EV42" s="272">
        <v>658206</v>
      </c>
      <c r="EW42" s="455">
        <f t="shared" si="13"/>
        <v>1598922</v>
      </c>
      <c r="EX42" s="272">
        <v>1598922</v>
      </c>
      <c r="EY42" s="272">
        <v>156512</v>
      </c>
      <c r="EZ42" s="272">
        <v>1437236</v>
      </c>
      <c r="FA42" s="272">
        <v>0</v>
      </c>
      <c r="FB42" s="272"/>
      <c r="FC42" s="272">
        <v>1087527</v>
      </c>
      <c r="FD42" s="272">
        <v>325399</v>
      </c>
      <c r="FE42" s="272">
        <v>1108</v>
      </c>
      <c r="FF42" s="272">
        <v>527632</v>
      </c>
      <c r="FG42" s="455">
        <f t="shared" si="14"/>
        <v>784260</v>
      </c>
      <c r="FH42" s="272">
        <v>7343078</v>
      </c>
      <c r="FI42" s="384">
        <f t="shared" si="15"/>
        <v>4.5</v>
      </c>
      <c r="FJ42" s="272">
        <v>6593817</v>
      </c>
      <c r="FK42" s="272"/>
      <c r="FL42" s="272">
        <v>3734340</v>
      </c>
      <c r="FM42" s="272">
        <v>5392931</v>
      </c>
      <c r="FN42" s="460">
        <v>0.71099999999999997</v>
      </c>
      <c r="FO42" s="388">
        <v>60.2</v>
      </c>
      <c r="FP42" s="388">
        <v>31.3</v>
      </c>
      <c r="FQ42" s="388">
        <v>2</v>
      </c>
      <c r="FR42" s="388">
        <v>9.5</v>
      </c>
      <c r="FS42" s="388">
        <v>11.1</v>
      </c>
      <c r="FT42" s="388">
        <v>3.1</v>
      </c>
      <c r="FU42" s="388">
        <v>1.5</v>
      </c>
      <c r="FV42" s="388">
        <v>5.8</v>
      </c>
      <c r="FW42" s="272">
        <v>7306495</v>
      </c>
      <c r="FX42" s="384">
        <f t="shared" si="16"/>
        <v>110.8</v>
      </c>
      <c r="FY42" s="272">
        <v>8700086</v>
      </c>
      <c r="FZ42" s="272">
        <v>1171257</v>
      </c>
      <c r="GA42" s="272">
        <v>478571</v>
      </c>
      <c r="GB42" s="272">
        <v>7050258</v>
      </c>
      <c r="GC42" s="272"/>
      <c r="GD42" s="272">
        <v>2365253</v>
      </c>
      <c r="GE42" s="384">
        <f>ROUND(GD42/FJ42*100,1)</f>
        <v>35.9</v>
      </c>
      <c r="GF42" s="388">
        <v>97.3</v>
      </c>
      <c r="GG42" s="388">
        <v>26.1</v>
      </c>
      <c r="GH42" s="388">
        <v>92.2</v>
      </c>
      <c r="GI42" s="272">
        <v>346</v>
      </c>
    </row>
    <row r="43" spans="2:191" x14ac:dyDescent="0.15">
      <c r="B43" s="89" t="s">
        <v>79</v>
      </c>
      <c r="C43" s="272">
        <v>1115924</v>
      </c>
      <c r="D43" s="455">
        <f t="shared" si="0"/>
        <v>298249</v>
      </c>
      <c r="E43" s="272">
        <v>3518</v>
      </c>
      <c r="F43" s="272">
        <v>294731</v>
      </c>
      <c r="G43" s="455">
        <f t="shared" si="1"/>
        <v>36497</v>
      </c>
      <c r="H43" s="272">
        <v>11154</v>
      </c>
      <c r="I43" s="272">
        <v>25343</v>
      </c>
      <c r="J43" s="272">
        <v>735539</v>
      </c>
      <c r="K43" s="272">
        <v>590650</v>
      </c>
      <c r="L43" s="272">
        <v>83176</v>
      </c>
      <c r="M43" s="272">
        <v>59235</v>
      </c>
      <c r="N43" s="272">
        <v>27100</v>
      </c>
      <c r="O43" s="272">
        <v>0</v>
      </c>
      <c r="P43" s="272">
        <v>0</v>
      </c>
      <c r="Q43" s="272">
        <v>0</v>
      </c>
      <c r="R43" s="272">
        <v>38555</v>
      </c>
      <c r="S43" s="272">
        <v>26687</v>
      </c>
      <c r="T43" s="455">
        <f t="shared" si="2"/>
        <v>37755</v>
      </c>
      <c r="U43" s="272">
        <v>19912</v>
      </c>
      <c r="V43" s="272"/>
      <c r="W43" s="272"/>
      <c r="X43" s="272"/>
      <c r="Y43" s="272">
        <v>0</v>
      </c>
      <c r="Z43" s="272">
        <v>0</v>
      </c>
      <c r="AA43" s="272">
        <v>17843</v>
      </c>
      <c r="AB43" s="272"/>
      <c r="AC43" s="272">
        <v>900724</v>
      </c>
      <c r="AD43" s="272">
        <v>786485</v>
      </c>
      <c r="AE43" s="272">
        <v>114239</v>
      </c>
      <c r="AF43" s="272">
        <v>1170</v>
      </c>
      <c r="AG43" s="272">
        <v>2639</v>
      </c>
      <c r="AH43" s="455">
        <f t="shared" si="3"/>
        <v>23421</v>
      </c>
      <c r="AI43" s="272">
        <v>20817</v>
      </c>
      <c r="AJ43" s="272">
        <v>2604</v>
      </c>
      <c r="AK43" s="272">
        <v>120450</v>
      </c>
      <c r="AL43" s="455">
        <f t="shared" si="4"/>
        <v>6146</v>
      </c>
      <c r="AM43" s="272">
        <v>0</v>
      </c>
      <c r="AN43" s="272">
        <v>6146</v>
      </c>
      <c r="AO43" s="272">
        <v>0</v>
      </c>
      <c r="AP43" s="272">
        <v>0</v>
      </c>
      <c r="AQ43" s="272">
        <v>12031</v>
      </c>
      <c r="AR43" s="272">
        <v>0</v>
      </c>
      <c r="AS43" s="272">
        <v>0</v>
      </c>
      <c r="AT43" s="272">
        <v>224448</v>
      </c>
      <c r="AU43" s="272">
        <v>31782</v>
      </c>
      <c r="AV43" s="272">
        <v>3073</v>
      </c>
      <c r="AW43" s="272">
        <v>10605</v>
      </c>
      <c r="AX43" s="272">
        <v>192666</v>
      </c>
      <c r="AY43" s="272">
        <v>143400</v>
      </c>
      <c r="AZ43" s="272">
        <v>43299</v>
      </c>
      <c r="BA43" s="272">
        <v>30</v>
      </c>
      <c r="BB43" s="272">
        <v>0</v>
      </c>
      <c r="BC43" s="272">
        <v>85551</v>
      </c>
      <c r="BD43" s="272">
        <v>0</v>
      </c>
      <c r="BE43" s="272">
        <v>0</v>
      </c>
      <c r="BF43" s="272">
        <v>85551</v>
      </c>
      <c r="BG43" s="272">
        <v>0</v>
      </c>
      <c r="BH43" s="272">
        <v>152368</v>
      </c>
      <c r="BI43" s="272">
        <v>152368</v>
      </c>
      <c r="BJ43" s="272">
        <v>122433</v>
      </c>
      <c r="BK43" s="272">
        <v>0</v>
      </c>
      <c r="BL43" s="272">
        <v>769</v>
      </c>
      <c r="BM43" s="272">
        <v>0</v>
      </c>
      <c r="BN43" s="272">
        <v>1734500</v>
      </c>
      <c r="BO43" s="455">
        <f t="shared" si="5"/>
        <v>1734500</v>
      </c>
      <c r="BP43" s="455">
        <f t="shared" si="6"/>
        <v>0</v>
      </c>
      <c r="BQ43" s="272"/>
      <c r="BR43" s="272"/>
      <c r="BS43" s="272"/>
      <c r="BT43" s="272">
        <v>0</v>
      </c>
      <c r="BU43" s="272">
        <v>4603237</v>
      </c>
      <c r="BV43" s="272"/>
      <c r="BW43" s="272">
        <v>828587</v>
      </c>
      <c r="BX43" s="272">
        <v>577940</v>
      </c>
      <c r="BY43" s="272">
        <v>13227</v>
      </c>
      <c r="BZ43" s="272">
        <v>12428</v>
      </c>
      <c r="CA43" s="272">
        <v>70030</v>
      </c>
      <c r="CB43" s="272">
        <v>14223</v>
      </c>
      <c r="CC43" s="272">
        <v>36764</v>
      </c>
      <c r="CD43" s="272">
        <v>17974</v>
      </c>
      <c r="CE43" s="272">
        <v>0</v>
      </c>
      <c r="CF43" s="272">
        <v>0</v>
      </c>
      <c r="CG43" s="272">
        <v>1069</v>
      </c>
      <c r="CH43" s="272">
        <v>150914</v>
      </c>
      <c r="CI43" s="272">
        <v>57867</v>
      </c>
      <c r="CJ43" s="455">
        <f t="shared" si="7"/>
        <v>93047</v>
      </c>
      <c r="CK43" s="272">
        <v>452954</v>
      </c>
      <c r="CL43" s="272">
        <v>249377</v>
      </c>
      <c r="CM43" s="272">
        <v>39040</v>
      </c>
      <c r="CN43" s="272">
        <v>96558</v>
      </c>
      <c r="CO43" s="272">
        <v>14188</v>
      </c>
      <c r="CP43" s="272">
        <v>263358</v>
      </c>
      <c r="CQ43" s="272">
        <v>144629</v>
      </c>
      <c r="CR43" s="272">
        <v>37845</v>
      </c>
      <c r="CS43" s="272">
        <v>37845</v>
      </c>
      <c r="CT43" s="455">
        <f t="shared" si="8"/>
        <v>24243</v>
      </c>
      <c r="CU43" s="272">
        <v>1800</v>
      </c>
      <c r="CV43" s="272">
        <v>22443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2361481</v>
      </c>
      <c r="DD43" s="272">
        <v>51245</v>
      </c>
      <c r="DE43" s="272">
        <v>2309467</v>
      </c>
      <c r="DF43" s="272">
        <v>0</v>
      </c>
      <c r="DG43" s="272">
        <v>769</v>
      </c>
      <c r="DH43" s="272">
        <v>0</v>
      </c>
      <c r="DI43" s="272">
        <v>230772</v>
      </c>
      <c r="DJ43" s="272">
        <v>166530</v>
      </c>
      <c r="DK43" s="272">
        <v>0</v>
      </c>
      <c r="DL43" s="272">
        <v>64242</v>
      </c>
      <c r="DM43" s="272">
        <v>290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131962</v>
      </c>
      <c r="DU43" s="272">
        <v>85551</v>
      </c>
      <c r="DV43" s="455">
        <f t="shared" si="11"/>
        <v>0</v>
      </c>
      <c r="DW43" s="272">
        <v>0</v>
      </c>
      <c r="DX43" s="272">
        <v>0</v>
      </c>
      <c r="DY43" s="457" t="s">
        <v>646</v>
      </c>
      <c r="DZ43" s="272">
        <v>19041</v>
      </c>
      <c r="EA43" s="272">
        <v>27071</v>
      </c>
      <c r="EB43" s="272"/>
      <c r="EC43" s="272">
        <v>0</v>
      </c>
      <c r="ED43" s="272">
        <v>4504536</v>
      </c>
      <c r="EF43" s="272">
        <v>98701</v>
      </c>
      <c r="EG43" s="272">
        <v>10000</v>
      </c>
      <c r="EH43" s="272">
        <v>88701</v>
      </c>
      <c r="EI43" s="272">
        <v>-63667</v>
      </c>
      <c r="EJ43" s="272">
        <v>102863</v>
      </c>
      <c r="EL43" s="272"/>
      <c r="EM43" s="272">
        <v>6590</v>
      </c>
      <c r="EN43" s="272">
        <v>0</v>
      </c>
      <c r="EO43" s="272">
        <v>552</v>
      </c>
      <c r="EP43" s="455">
        <f t="shared" si="12"/>
        <v>241415</v>
      </c>
      <c r="EQ43" s="272">
        <v>2094128</v>
      </c>
      <c r="ER43" s="272">
        <v>-240797</v>
      </c>
      <c r="ES43" s="272">
        <v>784184</v>
      </c>
      <c r="ET43" s="272">
        <v>535734</v>
      </c>
      <c r="EU43" s="272">
        <v>29857</v>
      </c>
      <c r="EV43" s="272">
        <v>150914</v>
      </c>
      <c r="EW43" s="455">
        <f t="shared" si="13"/>
        <v>356548</v>
      </c>
      <c r="EX43" s="272">
        <v>356548</v>
      </c>
      <c r="EY43" s="272">
        <v>11936</v>
      </c>
      <c r="EZ43" s="272">
        <v>344612</v>
      </c>
      <c r="FA43" s="272">
        <v>0</v>
      </c>
      <c r="FB43" s="272"/>
      <c r="FC43" s="272">
        <v>420339</v>
      </c>
      <c r="FD43" s="272">
        <v>253227</v>
      </c>
      <c r="FE43" s="272">
        <v>144629</v>
      </c>
      <c r="FF43" s="272">
        <v>38999</v>
      </c>
      <c r="FG43" s="455">
        <f t="shared" si="14"/>
        <v>202156</v>
      </c>
      <c r="FH43" s="272">
        <v>2236224</v>
      </c>
      <c r="FI43" s="384">
        <f t="shared" si="15"/>
        <v>4.5</v>
      </c>
      <c r="FJ43" s="272">
        <v>1966818</v>
      </c>
      <c r="FK43" s="272"/>
      <c r="FL43" s="272">
        <v>888450</v>
      </c>
      <c r="FM43" s="272">
        <v>1679454</v>
      </c>
      <c r="FN43" s="460">
        <v>0.46800000000000003</v>
      </c>
      <c r="FO43" s="388">
        <v>76.5</v>
      </c>
      <c r="FP43" s="388">
        <v>39.4</v>
      </c>
      <c r="FQ43" s="388">
        <v>1.5</v>
      </c>
      <c r="FR43" s="388">
        <v>7.6</v>
      </c>
      <c r="FS43" s="388">
        <v>16.5</v>
      </c>
      <c r="FT43" s="388">
        <v>9.1999999999999993</v>
      </c>
      <c r="FU43" s="388">
        <v>1.8</v>
      </c>
      <c r="FV43" s="388">
        <v>5.4</v>
      </c>
      <c r="FW43" s="272">
        <v>3205901</v>
      </c>
      <c r="FX43" s="384">
        <f t="shared" si="16"/>
        <v>163</v>
      </c>
      <c r="FY43" s="272">
        <v>1072710</v>
      </c>
      <c r="FZ43" s="272">
        <v>752736</v>
      </c>
      <c r="GA43" s="272"/>
      <c r="GB43" s="272">
        <v>319974</v>
      </c>
      <c r="GC43" s="272"/>
      <c r="GD43" s="272">
        <v>825168</v>
      </c>
      <c r="GE43" s="384">
        <f>ROUND(GD43/FJ43*100,1)</f>
        <v>42</v>
      </c>
      <c r="GF43" s="388">
        <v>97.6</v>
      </c>
      <c r="GG43" s="388">
        <v>25.1</v>
      </c>
      <c r="GH43" s="388">
        <v>93.6</v>
      </c>
      <c r="GI43" s="272">
        <v>102</v>
      </c>
    </row>
    <row r="44" spans="2:191" x14ac:dyDescent="0.15">
      <c r="B44" s="89" t="s">
        <v>81</v>
      </c>
      <c r="C44" s="272">
        <v>3361896</v>
      </c>
      <c r="D44" s="455">
        <f t="shared" si="0"/>
        <v>1285299</v>
      </c>
      <c r="E44" s="272">
        <v>10950</v>
      </c>
      <c r="F44" s="272">
        <v>1274349</v>
      </c>
      <c r="G44" s="455">
        <f t="shared" si="1"/>
        <v>330404</v>
      </c>
      <c r="H44" s="272">
        <v>28718</v>
      </c>
      <c r="I44" s="272">
        <v>301686</v>
      </c>
      <c r="J44" s="272">
        <v>1366464</v>
      </c>
      <c r="K44" s="272">
        <v>547453</v>
      </c>
      <c r="L44" s="272">
        <v>372901</v>
      </c>
      <c r="M44" s="272">
        <v>440912</v>
      </c>
      <c r="N44" s="272">
        <v>84014</v>
      </c>
      <c r="O44" s="272">
        <v>0</v>
      </c>
      <c r="P44" s="272">
        <v>0</v>
      </c>
      <c r="Q44" s="272">
        <v>0</v>
      </c>
      <c r="R44" s="272">
        <v>123915</v>
      </c>
      <c r="S44" s="272">
        <v>74680</v>
      </c>
      <c r="T44" s="455">
        <f t="shared" si="2"/>
        <v>237306</v>
      </c>
      <c r="U44" s="272">
        <v>68371</v>
      </c>
      <c r="V44" s="272"/>
      <c r="W44" s="272"/>
      <c r="X44" s="272"/>
      <c r="Y44" s="272">
        <v>93837</v>
      </c>
      <c r="Z44" s="272">
        <v>1231</v>
      </c>
      <c r="AA44" s="272">
        <v>73867</v>
      </c>
      <c r="AB44" s="272"/>
      <c r="AC44" s="272">
        <v>925921</v>
      </c>
      <c r="AD44" s="272">
        <v>725279</v>
      </c>
      <c r="AE44" s="272">
        <v>200642</v>
      </c>
      <c r="AF44" s="272">
        <v>4257</v>
      </c>
      <c r="AG44" s="272">
        <v>2732</v>
      </c>
      <c r="AH44" s="455">
        <f t="shared" si="3"/>
        <v>176212</v>
      </c>
      <c r="AI44" s="272">
        <v>167456</v>
      </c>
      <c r="AJ44" s="272">
        <v>8756</v>
      </c>
      <c r="AK44" s="272">
        <v>119777</v>
      </c>
      <c r="AL44" s="455">
        <f t="shared" si="4"/>
        <v>22680</v>
      </c>
      <c r="AM44" s="272">
        <v>0</v>
      </c>
      <c r="AN44" s="272">
        <v>22680</v>
      </c>
      <c r="AO44" s="272">
        <v>0</v>
      </c>
      <c r="AP44" s="272">
        <v>0</v>
      </c>
      <c r="AQ44" s="272">
        <v>8866</v>
      </c>
      <c r="AR44" s="272">
        <v>0</v>
      </c>
      <c r="AS44" s="272">
        <v>0</v>
      </c>
      <c r="AT44" s="272">
        <v>652828</v>
      </c>
      <c r="AU44" s="272">
        <v>161758</v>
      </c>
      <c r="AV44" s="272">
        <v>11340</v>
      </c>
      <c r="AW44" s="272">
        <v>93795</v>
      </c>
      <c r="AX44" s="272">
        <v>491070</v>
      </c>
      <c r="AY44" s="272">
        <v>106425</v>
      </c>
      <c r="AZ44" s="272">
        <v>90715</v>
      </c>
      <c r="BA44" s="272">
        <v>12577</v>
      </c>
      <c r="BB44" s="272">
        <v>77441</v>
      </c>
      <c r="BC44" s="272">
        <v>88460</v>
      </c>
      <c r="BD44" s="272">
        <v>0</v>
      </c>
      <c r="BE44" s="272">
        <v>0</v>
      </c>
      <c r="BF44" s="272">
        <v>50000</v>
      </c>
      <c r="BG44" s="272">
        <v>0</v>
      </c>
      <c r="BH44" s="272">
        <v>54390</v>
      </c>
      <c r="BI44" s="272">
        <v>53089</v>
      </c>
      <c r="BJ44" s="272">
        <v>188988</v>
      </c>
      <c r="BK44" s="272">
        <v>20546</v>
      </c>
      <c r="BL44" s="272">
        <v>0</v>
      </c>
      <c r="BM44" s="272">
        <v>0</v>
      </c>
      <c r="BN44" s="272">
        <v>145100</v>
      </c>
      <c r="BO44" s="455">
        <f t="shared" si="5"/>
        <v>145100</v>
      </c>
      <c r="BP44" s="455">
        <f t="shared" si="6"/>
        <v>0</v>
      </c>
      <c r="BQ44" s="272"/>
      <c r="BR44" s="272"/>
      <c r="BS44" s="272"/>
      <c r="BT44" s="272">
        <v>0</v>
      </c>
      <c r="BU44" s="272">
        <v>6249938</v>
      </c>
      <c r="BV44" s="272"/>
      <c r="BW44" s="272">
        <v>1912289</v>
      </c>
      <c r="BX44" s="272">
        <v>1429501</v>
      </c>
      <c r="BY44" s="272">
        <v>69243</v>
      </c>
      <c r="BZ44" s="272">
        <v>27445</v>
      </c>
      <c r="CA44" s="272">
        <v>256803</v>
      </c>
      <c r="CB44" s="272">
        <v>62153</v>
      </c>
      <c r="CC44" s="272">
        <v>88537</v>
      </c>
      <c r="CD44" s="272">
        <v>76713</v>
      </c>
      <c r="CE44" s="272">
        <v>0</v>
      </c>
      <c r="CF44" s="272">
        <v>695</v>
      </c>
      <c r="CG44" s="272">
        <v>28705</v>
      </c>
      <c r="CH44" s="272">
        <v>789017</v>
      </c>
      <c r="CI44" s="272">
        <v>464133</v>
      </c>
      <c r="CJ44" s="455">
        <f t="shared" si="7"/>
        <v>324884</v>
      </c>
      <c r="CK44" s="272">
        <v>1068968</v>
      </c>
      <c r="CL44" s="272">
        <v>381459</v>
      </c>
      <c r="CM44" s="272">
        <v>124501</v>
      </c>
      <c r="CN44" s="272">
        <v>410436</v>
      </c>
      <c r="CO44" s="272">
        <v>129626</v>
      </c>
      <c r="CP44" s="272">
        <v>181570</v>
      </c>
      <c r="CQ44" s="272">
        <v>2048</v>
      </c>
      <c r="CR44" s="272">
        <v>61034</v>
      </c>
      <c r="CS44" s="272">
        <v>52968</v>
      </c>
      <c r="CT44" s="455">
        <f t="shared" si="8"/>
        <v>1621</v>
      </c>
      <c r="CU44" s="272">
        <v>1621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678865</v>
      </c>
      <c r="DD44" s="272">
        <v>133375</v>
      </c>
      <c r="DE44" s="272">
        <v>531612</v>
      </c>
      <c r="DF44" s="272">
        <v>13878</v>
      </c>
      <c r="DG44" s="272">
        <v>0</v>
      </c>
      <c r="DH44" s="272">
        <v>0</v>
      </c>
      <c r="DI44" s="272">
        <v>656227</v>
      </c>
      <c r="DJ44" s="272">
        <v>340699</v>
      </c>
      <c r="DK44" s="272">
        <v>5495</v>
      </c>
      <c r="DL44" s="272">
        <v>310033</v>
      </c>
      <c r="DM44" s="272">
        <v>10934</v>
      </c>
      <c r="DN44" s="272">
        <v>10000</v>
      </c>
      <c r="DO44" s="272">
        <v>10000</v>
      </c>
      <c r="DP44" s="272">
        <v>0</v>
      </c>
      <c r="DQ44" s="272">
        <v>0</v>
      </c>
      <c r="DR44" s="272">
        <v>0</v>
      </c>
      <c r="DS44" s="272">
        <v>0</v>
      </c>
      <c r="DT44" s="272">
        <v>428578</v>
      </c>
      <c r="DU44" s="272">
        <v>70276</v>
      </c>
      <c r="DV44" s="455">
        <f t="shared" si="11"/>
        <v>0</v>
      </c>
      <c r="DW44" s="272">
        <v>0</v>
      </c>
      <c r="DX44" s="272">
        <v>0</v>
      </c>
      <c r="DY44" s="457" t="s">
        <v>646</v>
      </c>
      <c r="DZ44" s="272">
        <v>150041</v>
      </c>
      <c r="EA44" s="272">
        <v>100501</v>
      </c>
      <c r="EB44" s="272"/>
      <c r="EC44" s="272">
        <v>0</v>
      </c>
      <c r="ED44" s="272">
        <v>6112877</v>
      </c>
      <c r="EF44" s="272">
        <v>137061</v>
      </c>
      <c r="EG44" s="272">
        <v>32281</v>
      </c>
      <c r="EH44" s="272">
        <v>104780</v>
      </c>
      <c r="EI44" s="272">
        <v>51691</v>
      </c>
      <c r="EJ44" s="272">
        <v>392390</v>
      </c>
      <c r="EL44" s="272"/>
      <c r="EM44" s="272">
        <v>21430</v>
      </c>
      <c r="EN44" s="272">
        <v>0</v>
      </c>
      <c r="EO44" s="272">
        <v>15062</v>
      </c>
      <c r="EP44" s="455">
        <f t="shared" si="12"/>
        <v>296070</v>
      </c>
      <c r="EQ44" s="272">
        <v>4653295</v>
      </c>
      <c r="ER44" s="272">
        <v>-306875</v>
      </c>
      <c r="ES44" s="272">
        <v>1699180</v>
      </c>
      <c r="ET44" s="272">
        <v>1221234</v>
      </c>
      <c r="EU44" s="272">
        <v>115955</v>
      </c>
      <c r="EV44" s="272">
        <v>582081</v>
      </c>
      <c r="EW44" s="455">
        <f t="shared" si="13"/>
        <v>305092</v>
      </c>
      <c r="EX44" s="272">
        <v>305092</v>
      </c>
      <c r="EY44" s="272">
        <v>17175</v>
      </c>
      <c r="EZ44" s="272">
        <v>284639</v>
      </c>
      <c r="FA44" s="272">
        <v>0</v>
      </c>
      <c r="FB44" s="272"/>
      <c r="FC44" s="272">
        <v>912585</v>
      </c>
      <c r="FD44" s="272">
        <v>154240</v>
      </c>
      <c r="FE44" s="272">
        <v>2048</v>
      </c>
      <c r="FF44" s="272">
        <v>380095</v>
      </c>
      <c r="FG44" s="455">
        <f t="shared" si="14"/>
        <v>695981</v>
      </c>
      <c r="FH44" s="272">
        <v>4845209</v>
      </c>
      <c r="FI44" s="384">
        <f t="shared" si="15"/>
        <v>2.5</v>
      </c>
      <c r="FJ44" s="272">
        <v>4211612</v>
      </c>
      <c r="FK44" s="272"/>
      <c r="FL44" s="272">
        <v>2628055</v>
      </c>
      <c r="FM44" s="272">
        <v>3355283</v>
      </c>
      <c r="FN44" s="460">
        <v>0.79100000000000004</v>
      </c>
      <c r="FO44" s="388">
        <v>77.599999999999994</v>
      </c>
      <c r="FP44" s="388">
        <v>36.700000000000003</v>
      </c>
      <c r="FQ44" s="388">
        <v>2.5</v>
      </c>
      <c r="FR44" s="388">
        <v>12.7</v>
      </c>
      <c r="FS44" s="388">
        <v>15.8</v>
      </c>
      <c r="FT44" s="388">
        <v>2.8</v>
      </c>
      <c r="FU44" s="388">
        <v>4.4000000000000004</v>
      </c>
      <c r="FV44" s="388">
        <v>12</v>
      </c>
      <c r="FW44" s="272">
        <v>5208365</v>
      </c>
      <c r="FX44" s="384">
        <f t="shared" si="16"/>
        <v>123.7</v>
      </c>
      <c r="FY44" s="272">
        <v>2469793</v>
      </c>
      <c r="FZ44" s="272">
        <v>798207</v>
      </c>
      <c r="GA44" s="272">
        <v>111142</v>
      </c>
      <c r="GB44" s="272">
        <v>1560444</v>
      </c>
      <c r="GC44" s="272"/>
      <c r="GD44" s="272"/>
      <c r="GE44" s="384"/>
      <c r="GF44" s="388">
        <v>98.4</v>
      </c>
      <c r="GG44" s="388">
        <v>28.7</v>
      </c>
      <c r="GH44" s="388">
        <v>96</v>
      </c>
      <c r="GI44" s="272">
        <v>229</v>
      </c>
    </row>
    <row r="45" spans="2:191" x14ac:dyDescent="0.15">
      <c r="B45" s="89" t="s">
        <v>83</v>
      </c>
      <c r="C45" s="272">
        <v>1289372</v>
      </c>
      <c r="D45" s="455">
        <f t="shared" si="0"/>
        <v>775820</v>
      </c>
      <c r="E45" s="272">
        <v>5375</v>
      </c>
      <c r="F45" s="272">
        <v>770445</v>
      </c>
      <c r="G45" s="455">
        <f t="shared" si="1"/>
        <v>28279</v>
      </c>
      <c r="H45" s="272">
        <v>6529</v>
      </c>
      <c r="I45" s="272">
        <v>21750</v>
      </c>
      <c r="J45" s="272">
        <v>403247</v>
      </c>
      <c r="K45" s="272">
        <v>208713</v>
      </c>
      <c r="L45" s="272">
        <v>148124</v>
      </c>
      <c r="M45" s="272">
        <v>46410</v>
      </c>
      <c r="N45" s="272">
        <v>31182</v>
      </c>
      <c r="O45" s="272">
        <v>0</v>
      </c>
      <c r="P45" s="272">
        <v>0</v>
      </c>
      <c r="Q45" s="272">
        <v>0</v>
      </c>
      <c r="R45" s="272">
        <v>62895</v>
      </c>
      <c r="S45" s="272">
        <v>36561</v>
      </c>
      <c r="T45" s="455">
        <f t="shared" si="2"/>
        <v>75572</v>
      </c>
      <c r="U45" s="272">
        <v>35636</v>
      </c>
      <c r="V45" s="272"/>
      <c r="W45" s="272"/>
      <c r="X45" s="272"/>
      <c r="Y45" s="272">
        <v>0</v>
      </c>
      <c r="Z45" s="272">
        <v>486</v>
      </c>
      <c r="AA45" s="272">
        <v>39450</v>
      </c>
      <c r="AB45" s="272"/>
      <c r="AC45" s="272">
        <v>1382080</v>
      </c>
      <c r="AD45" s="272">
        <v>1221472</v>
      </c>
      <c r="AE45" s="272">
        <v>160608</v>
      </c>
      <c r="AF45" s="272">
        <v>2777</v>
      </c>
      <c r="AG45" s="272">
        <v>42540</v>
      </c>
      <c r="AH45" s="455">
        <f t="shared" si="3"/>
        <v>25116</v>
      </c>
      <c r="AI45" s="272">
        <v>5933</v>
      </c>
      <c r="AJ45" s="272">
        <v>19183</v>
      </c>
      <c r="AK45" s="272">
        <v>130073</v>
      </c>
      <c r="AL45" s="455">
        <f t="shared" si="4"/>
        <v>39817</v>
      </c>
      <c r="AM45" s="272">
        <v>0</v>
      </c>
      <c r="AN45" s="272">
        <v>39817</v>
      </c>
      <c r="AO45" s="272">
        <v>0</v>
      </c>
      <c r="AP45" s="272">
        <v>0</v>
      </c>
      <c r="AQ45" s="272">
        <v>50385</v>
      </c>
      <c r="AR45" s="272">
        <v>0</v>
      </c>
      <c r="AS45" s="272">
        <v>0</v>
      </c>
      <c r="AT45" s="272">
        <v>268375</v>
      </c>
      <c r="AU45" s="272">
        <v>87472</v>
      </c>
      <c r="AV45" s="272">
        <v>13304</v>
      </c>
      <c r="AW45" s="272">
        <v>8648</v>
      </c>
      <c r="AX45" s="272">
        <v>180903</v>
      </c>
      <c r="AY45" s="272">
        <v>137450</v>
      </c>
      <c r="AZ45" s="272">
        <v>95846</v>
      </c>
      <c r="BA45" s="272">
        <v>0</v>
      </c>
      <c r="BB45" s="272">
        <v>428150</v>
      </c>
      <c r="BC45" s="272">
        <v>347162</v>
      </c>
      <c r="BD45" s="272">
        <v>0</v>
      </c>
      <c r="BE45" s="272">
        <v>0</v>
      </c>
      <c r="BF45" s="272">
        <v>347121</v>
      </c>
      <c r="BG45" s="272">
        <v>0</v>
      </c>
      <c r="BH45" s="272">
        <v>74243</v>
      </c>
      <c r="BI45" s="272">
        <v>74243</v>
      </c>
      <c r="BJ45" s="272">
        <v>24657</v>
      </c>
      <c r="BK45" s="272">
        <v>0</v>
      </c>
      <c r="BL45" s="272">
        <v>0</v>
      </c>
      <c r="BM45" s="272">
        <v>0</v>
      </c>
      <c r="BN45" s="272">
        <v>433900</v>
      </c>
      <c r="BO45" s="455">
        <f t="shared" si="5"/>
        <v>433900</v>
      </c>
      <c r="BP45" s="455">
        <f t="shared" si="6"/>
        <v>0</v>
      </c>
      <c r="BQ45" s="272"/>
      <c r="BR45" s="272"/>
      <c r="BS45" s="272"/>
      <c r="BT45" s="272">
        <v>0</v>
      </c>
      <c r="BU45" s="272">
        <v>4682758</v>
      </c>
      <c r="BV45" s="272"/>
      <c r="BW45" s="272">
        <v>866152</v>
      </c>
      <c r="BX45" s="272">
        <v>536249</v>
      </c>
      <c r="BY45" s="272">
        <v>97708</v>
      </c>
      <c r="BZ45" s="272">
        <v>11613</v>
      </c>
      <c r="CA45" s="272">
        <v>198862</v>
      </c>
      <c r="CB45" s="272">
        <v>15505</v>
      </c>
      <c r="CC45" s="272">
        <v>40237</v>
      </c>
      <c r="CD45" s="272">
        <v>137242</v>
      </c>
      <c r="CE45" s="272">
        <v>0</v>
      </c>
      <c r="CF45" s="272">
        <v>0</v>
      </c>
      <c r="CG45" s="272">
        <v>5878</v>
      </c>
      <c r="CH45" s="272">
        <v>355630</v>
      </c>
      <c r="CI45" s="272">
        <v>135764</v>
      </c>
      <c r="CJ45" s="455">
        <f t="shared" si="7"/>
        <v>219866</v>
      </c>
      <c r="CK45" s="272">
        <v>462852</v>
      </c>
      <c r="CL45" s="272">
        <v>218870</v>
      </c>
      <c r="CM45" s="272">
        <v>35298</v>
      </c>
      <c r="CN45" s="272">
        <v>114881</v>
      </c>
      <c r="CO45" s="272">
        <v>57542</v>
      </c>
      <c r="CP45" s="272">
        <v>335198</v>
      </c>
      <c r="CQ45" s="272">
        <v>114816</v>
      </c>
      <c r="CR45" s="272">
        <v>86927</v>
      </c>
      <c r="CS45" s="272">
        <v>86927</v>
      </c>
      <c r="CT45" s="455">
        <f t="shared" si="8"/>
        <v>17625</v>
      </c>
      <c r="CU45" s="272">
        <v>2507</v>
      </c>
      <c r="CV45" s="272">
        <v>15118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1321305</v>
      </c>
      <c r="DD45" s="272">
        <v>117433</v>
      </c>
      <c r="DE45" s="272">
        <v>1118960</v>
      </c>
      <c r="DF45" s="272">
        <v>82962</v>
      </c>
      <c r="DG45" s="272">
        <v>0</v>
      </c>
      <c r="DH45" s="272">
        <v>0</v>
      </c>
      <c r="DI45" s="272">
        <v>729638</v>
      </c>
      <c r="DJ45" s="272">
        <v>58944</v>
      </c>
      <c r="DK45" s="272">
        <v>53492</v>
      </c>
      <c r="DL45" s="272">
        <v>617202</v>
      </c>
      <c r="DM45" s="272">
        <v>231</v>
      </c>
      <c r="DN45" s="272">
        <v>0</v>
      </c>
      <c r="DO45" s="272">
        <v>0</v>
      </c>
      <c r="DP45" s="272">
        <v>0</v>
      </c>
      <c r="DQ45" s="272">
        <v>0</v>
      </c>
      <c r="DR45" s="272">
        <v>0</v>
      </c>
      <c r="DS45" s="272">
        <v>0</v>
      </c>
      <c r="DT45" s="272">
        <v>282066</v>
      </c>
      <c r="DU45" s="272">
        <v>184129</v>
      </c>
      <c r="DV45" s="455">
        <f t="shared" si="11"/>
        <v>0</v>
      </c>
      <c r="DW45" s="272">
        <v>0</v>
      </c>
      <c r="DX45" s="272">
        <v>0</v>
      </c>
      <c r="DY45" s="457" t="s">
        <v>646</v>
      </c>
      <c r="DZ45" s="272">
        <v>52752</v>
      </c>
      <c r="EA45" s="272">
        <v>35333</v>
      </c>
      <c r="EB45" s="272"/>
      <c r="EC45" s="272">
        <v>0</v>
      </c>
      <c r="ED45" s="272">
        <v>4609476</v>
      </c>
      <c r="EF45" s="272">
        <v>73282</v>
      </c>
      <c r="EG45" s="272">
        <v>0</v>
      </c>
      <c r="EH45" s="272">
        <v>73282</v>
      </c>
      <c r="EI45" s="272">
        <v>-961</v>
      </c>
      <c r="EJ45" s="272">
        <v>57983</v>
      </c>
      <c r="EL45" s="272"/>
      <c r="EM45" s="272">
        <v>11511</v>
      </c>
      <c r="EN45" s="272">
        <v>36041</v>
      </c>
      <c r="EO45" s="272">
        <v>0</v>
      </c>
      <c r="EP45" s="455">
        <f t="shared" si="12"/>
        <v>523001</v>
      </c>
      <c r="EQ45" s="272">
        <v>2812696</v>
      </c>
      <c r="ER45" s="272">
        <v>-556265</v>
      </c>
      <c r="ES45" s="272">
        <v>819786</v>
      </c>
      <c r="ET45" s="272">
        <v>490140</v>
      </c>
      <c r="EU45" s="272">
        <v>64718</v>
      </c>
      <c r="EV45" s="272">
        <v>355630</v>
      </c>
      <c r="EW45" s="455">
        <f t="shared" si="13"/>
        <v>525922</v>
      </c>
      <c r="EX45" s="272">
        <v>525922</v>
      </c>
      <c r="EY45" s="272">
        <v>23800</v>
      </c>
      <c r="EZ45" s="272">
        <v>459810</v>
      </c>
      <c r="FA45" s="272">
        <v>0</v>
      </c>
      <c r="FB45" s="272"/>
      <c r="FC45" s="272">
        <v>394847</v>
      </c>
      <c r="FD45" s="272">
        <v>319890</v>
      </c>
      <c r="FE45" s="272">
        <v>114816</v>
      </c>
      <c r="FF45" s="272">
        <v>120190</v>
      </c>
      <c r="FG45" s="455">
        <f t="shared" si="14"/>
        <v>694696</v>
      </c>
      <c r="FH45" s="272">
        <v>3295679</v>
      </c>
      <c r="FI45" s="384">
        <f t="shared" si="15"/>
        <v>2.9</v>
      </c>
      <c r="FJ45" s="272">
        <v>2536483</v>
      </c>
      <c r="FK45" s="272"/>
      <c r="FL45" s="272">
        <v>992622</v>
      </c>
      <c r="FM45" s="272">
        <v>2220053</v>
      </c>
      <c r="FN45" s="460">
        <v>0.45200000000000001</v>
      </c>
      <c r="FO45" s="388">
        <v>69.3</v>
      </c>
      <c r="FP45" s="388">
        <v>27</v>
      </c>
      <c r="FQ45" s="388">
        <v>2.4</v>
      </c>
      <c r="FR45" s="388">
        <v>13.3</v>
      </c>
      <c r="FS45" s="388">
        <v>12.2</v>
      </c>
      <c r="FT45" s="388">
        <v>10.1</v>
      </c>
      <c r="FU45" s="388">
        <v>2.2000000000000002</v>
      </c>
      <c r="FV45" s="388">
        <v>11.2</v>
      </c>
      <c r="FW45" s="272">
        <v>4131260</v>
      </c>
      <c r="FX45" s="384">
        <f t="shared" si="16"/>
        <v>162.9</v>
      </c>
      <c r="FY45" s="272">
        <v>2241867</v>
      </c>
      <c r="FZ45" s="272">
        <v>532528</v>
      </c>
      <c r="GA45" s="272">
        <v>161267</v>
      </c>
      <c r="GB45" s="272">
        <v>1548072</v>
      </c>
      <c r="GC45" s="272"/>
      <c r="GD45" s="272">
        <v>889707</v>
      </c>
      <c r="GE45" s="384">
        <f>ROUND(GD45/FJ45*100,1)</f>
        <v>35.1</v>
      </c>
      <c r="GF45" s="388">
        <v>97.2</v>
      </c>
      <c r="GG45" s="388">
        <v>32.6</v>
      </c>
      <c r="GH45" s="388">
        <v>95.8</v>
      </c>
      <c r="GI45" s="272">
        <v>98</v>
      </c>
    </row>
    <row r="46" spans="2:191" x14ac:dyDescent="0.15">
      <c r="B46" s="89" t="s">
        <v>85</v>
      </c>
      <c r="C46" s="272">
        <v>1693103</v>
      </c>
      <c r="D46" s="455">
        <f t="shared" si="0"/>
        <v>908727</v>
      </c>
      <c r="E46" s="272">
        <v>6633</v>
      </c>
      <c r="F46" s="272">
        <v>902094</v>
      </c>
      <c r="G46" s="455">
        <f t="shared" si="1"/>
        <v>63798</v>
      </c>
      <c r="H46" s="272">
        <v>11783</v>
      </c>
      <c r="I46" s="272">
        <v>52015</v>
      </c>
      <c r="J46" s="272">
        <v>569556</v>
      </c>
      <c r="K46" s="272">
        <v>279196</v>
      </c>
      <c r="L46" s="272">
        <v>219450</v>
      </c>
      <c r="M46" s="272">
        <v>70910</v>
      </c>
      <c r="N46" s="272">
        <v>48966</v>
      </c>
      <c r="O46" s="272">
        <v>5</v>
      </c>
      <c r="P46" s="272">
        <v>4</v>
      </c>
      <c r="Q46" s="272">
        <v>1</v>
      </c>
      <c r="R46" s="272">
        <v>89461</v>
      </c>
      <c r="S46" s="272">
        <v>53475</v>
      </c>
      <c r="T46" s="455">
        <f t="shared" si="2"/>
        <v>144410</v>
      </c>
      <c r="U46" s="272">
        <v>50974</v>
      </c>
      <c r="V46" s="272"/>
      <c r="W46" s="272"/>
      <c r="X46" s="272"/>
      <c r="Y46" s="272">
        <v>39608</v>
      </c>
      <c r="Z46" s="272">
        <v>0</v>
      </c>
      <c r="AA46" s="272">
        <v>53828</v>
      </c>
      <c r="AB46" s="272"/>
      <c r="AC46" s="272">
        <v>1377327</v>
      </c>
      <c r="AD46" s="272">
        <v>1216743</v>
      </c>
      <c r="AE46" s="272">
        <v>160584</v>
      </c>
      <c r="AF46" s="272">
        <v>2393</v>
      </c>
      <c r="AG46" s="272">
        <v>25564</v>
      </c>
      <c r="AH46" s="455">
        <f t="shared" si="3"/>
        <v>36294</v>
      </c>
      <c r="AI46" s="272">
        <v>30805</v>
      </c>
      <c r="AJ46" s="272">
        <v>5489</v>
      </c>
      <c r="AK46" s="272">
        <v>98807</v>
      </c>
      <c r="AL46" s="455">
        <f t="shared" si="4"/>
        <v>6328</v>
      </c>
      <c r="AM46" s="272">
        <v>0</v>
      </c>
      <c r="AN46" s="272">
        <v>6328</v>
      </c>
      <c r="AO46" s="272">
        <v>0</v>
      </c>
      <c r="AP46" s="272">
        <v>0</v>
      </c>
      <c r="AQ46" s="272">
        <v>30658</v>
      </c>
      <c r="AR46" s="272">
        <v>1690</v>
      </c>
      <c r="AS46" s="272">
        <v>0</v>
      </c>
      <c r="AT46" s="272">
        <v>451993</v>
      </c>
      <c r="AU46" s="272">
        <v>151595</v>
      </c>
      <c r="AV46" s="272">
        <v>3164</v>
      </c>
      <c r="AW46" s="272">
        <v>100370</v>
      </c>
      <c r="AX46" s="272">
        <v>300398</v>
      </c>
      <c r="AY46" s="272">
        <v>211650</v>
      </c>
      <c r="AZ46" s="272">
        <v>207871</v>
      </c>
      <c r="BA46" s="272">
        <v>3665</v>
      </c>
      <c r="BB46" s="272">
        <v>70396</v>
      </c>
      <c r="BC46" s="272">
        <v>287508</v>
      </c>
      <c r="BD46" s="272">
        <v>120708</v>
      </c>
      <c r="BE46" s="272">
        <v>0</v>
      </c>
      <c r="BF46" s="272">
        <v>166800</v>
      </c>
      <c r="BG46" s="272">
        <v>0</v>
      </c>
      <c r="BH46" s="272">
        <v>46601</v>
      </c>
      <c r="BI46" s="272">
        <v>46601</v>
      </c>
      <c r="BJ46" s="272">
        <v>40437</v>
      </c>
      <c r="BK46" s="272">
        <v>288</v>
      </c>
      <c r="BL46" s="272">
        <v>0</v>
      </c>
      <c r="BM46" s="272">
        <v>0</v>
      </c>
      <c r="BN46" s="272">
        <v>506900</v>
      </c>
      <c r="BO46" s="455">
        <f t="shared" si="5"/>
        <v>506900</v>
      </c>
      <c r="BP46" s="455">
        <f t="shared" si="6"/>
        <v>0</v>
      </c>
      <c r="BQ46" s="272"/>
      <c r="BR46" s="272"/>
      <c r="BS46" s="272"/>
      <c r="BT46" s="272">
        <v>0</v>
      </c>
      <c r="BU46" s="272">
        <v>5079065</v>
      </c>
      <c r="BV46" s="272"/>
      <c r="BW46" s="272">
        <v>1263361</v>
      </c>
      <c r="BX46" s="272">
        <v>851395</v>
      </c>
      <c r="BY46" s="272">
        <v>86408</v>
      </c>
      <c r="BZ46" s="272">
        <v>30453</v>
      </c>
      <c r="CA46" s="272">
        <v>101948</v>
      </c>
      <c r="CB46" s="272">
        <v>19065</v>
      </c>
      <c r="CC46" s="272">
        <v>48372</v>
      </c>
      <c r="CD46" s="272">
        <v>33001</v>
      </c>
      <c r="CE46" s="272">
        <v>0</v>
      </c>
      <c r="CF46" s="272">
        <v>0</v>
      </c>
      <c r="CG46" s="272">
        <v>1510</v>
      </c>
      <c r="CH46" s="272">
        <v>329623</v>
      </c>
      <c r="CI46" s="272">
        <v>171018</v>
      </c>
      <c r="CJ46" s="455">
        <f t="shared" si="7"/>
        <v>158605</v>
      </c>
      <c r="CK46" s="272">
        <v>550588</v>
      </c>
      <c r="CL46" s="272">
        <v>248182</v>
      </c>
      <c r="CM46" s="272">
        <v>35656</v>
      </c>
      <c r="CN46" s="272">
        <v>171674</v>
      </c>
      <c r="CO46" s="272">
        <v>2860</v>
      </c>
      <c r="CP46" s="272">
        <v>362897</v>
      </c>
      <c r="CQ46" s="272">
        <v>135569</v>
      </c>
      <c r="CR46" s="272">
        <v>113047</v>
      </c>
      <c r="CS46" s="272">
        <v>113047</v>
      </c>
      <c r="CT46" s="455">
        <f t="shared" si="8"/>
        <v>14473</v>
      </c>
      <c r="CU46" s="272">
        <v>2163</v>
      </c>
      <c r="CV46" s="272">
        <v>12310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1283796</v>
      </c>
      <c r="DD46" s="272">
        <v>237524</v>
      </c>
      <c r="DE46" s="272">
        <v>1015199</v>
      </c>
      <c r="DF46" s="272">
        <v>31073</v>
      </c>
      <c r="DG46" s="272">
        <v>0</v>
      </c>
      <c r="DH46" s="272">
        <v>7446</v>
      </c>
      <c r="DI46" s="272">
        <v>740067</v>
      </c>
      <c r="DJ46" s="272">
        <v>37880</v>
      </c>
      <c r="DK46" s="272">
        <v>37339</v>
      </c>
      <c r="DL46" s="272">
        <v>664848</v>
      </c>
      <c r="DM46" s="272">
        <v>7369</v>
      </c>
      <c r="DN46" s="272">
        <v>6502</v>
      </c>
      <c r="DO46" s="272">
        <v>6502</v>
      </c>
      <c r="DP46" s="272">
        <v>0</v>
      </c>
      <c r="DQ46" s="272">
        <v>0</v>
      </c>
      <c r="DR46" s="272">
        <v>0</v>
      </c>
      <c r="DS46" s="272">
        <v>0</v>
      </c>
      <c r="DT46" s="272">
        <v>340384</v>
      </c>
      <c r="DU46" s="272">
        <v>194355</v>
      </c>
      <c r="DV46" s="455">
        <f t="shared" si="11"/>
        <v>0</v>
      </c>
      <c r="DW46" s="272">
        <v>0</v>
      </c>
      <c r="DX46" s="272">
        <v>0</v>
      </c>
      <c r="DY46" s="457" t="s">
        <v>646</v>
      </c>
      <c r="DZ46" s="272">
        <v>72106</v>
      </c>
      <c r="EA46" s="272">
        <v>51427</v>
      </c>
      <c r="EB46" s="272"/>
      <c r="EC46" s="272">
        <v>0</v>
      </c>
      <c r="ED46" s="272">
        <v>4990339</v>
      </c>
      <c r="EF46" s="272">
        <v>88726</v>
      </c>
      <c r="EG46" s="272">
        <v>1800</v>
      </c>
      <c r="EH46" s="272">
        <v>86926</v>
      </c>
      <c r="EI46" s="272">
        <v>-9675</v>
      </c>
      <c r="EJ46" s="272">
        <v>-92503</v>
      </c>
      <c r="EL46" s="272"/>
      <c r="EM46" s="272">
        <v>14030</v>
      </c>
      <c r="EN46" s="272">
        <v>120708</v>
      </c>
      <c r="EO46" s="272">
        <v>3758</v>
      </c>
      <c r="EP46" s="455">
        <f t="shared" si="12"/>
        <v>83867</v>
      </c>
      <c r="EQ46" s="272">
        <v>3306694</v>
      </c>
      <c r="ER46" s="272">
        <v>-205940</v>
      </c>
      <c r="ES46" s="272">
        <v>1168746</v>
      </c>
      <c r="ET46" s="272">
        <v>788035</v>
      </c>
      <c r="EU46" s="272">
        <v>33842</v>
      </c>
      <c r="EV46" s="272">
        <v>329366</v>
      </c>
      <c r="EW46" s="455">
        <f t="shared" si="13"/>
        <v>327988</v>
      </c>
      <c r="EX46" s="272">
        <v>325717</v>
      </c>
      <c r="EY46" s="272">
        <v>34546</v>
      </c>
      <c r="EZ46" s="272">
        <v>272098</v>
      </c>
      <c r="FA46" s="272">
        <v>2271</v>
      </c>
      <c r="FB46" s="272"/>
      <c r="FC46" s="272">
        <v>466763</v>
      </c>
      <c r="FD46" s="272">
        <v>339824</v>
      </c>
      <c r="FE46" s="272">
        <v>135569</v>
      </c>
      <c r="FF46" s="272">
        <v>273939</v>
      </c>
      <c r="FG46" s="455">
        <f t="shared" si="14"/>
        <v>483440</v>
      </c>
      <c r="FH46" s="272">
        <v>3423908</v>
      </c>
      <c r="FI46" s="384">
        <f t="shared" si="15"/>
        <v>2.9</v>
      </c>
      <c r="FJ46" s="272">
        <v>3016260</v>
      </c>
      <c r="FK46" s="272"/>
      <c r="FL46" s="272">
        <v>1359257</v>
      </c>
      <c r="FM46" s="272">
        <v>2581380</v>
      </c>
      <c r="FN46" s="460">
        <v>0.54200000000000004</v>
      </c>
      <c r="FO46" s="388">
        <v>69.7</v>
      </c>
      <c r="FP46" s="388">
        <v>36.200000000000003</v>
      </c>
      <c r="FQ46" s="388">
        <v>1.1000000000000001</v>
      </c>
      <c r="FR46" s="388">
        <v>10.4</v>
      </c>
      <c r="FS46" s="388">
        <v>12</v>
      </c>
      <c r="FT46" s="388">
        <v>7.5</v>
      </c>
      <c r="FU46" s="388">
        <v>2.5</v>
      </c>
      <c r="FV46" s="388">
        <v>8.5</v>
      </c>
      <c r="FW46" s="272">
        <v>3396255</v>
      </c>
      <c r="FX46" s="384">
        <f t="shared" si="16"/>
        <v>112.6</v>
      </c>
      <c r="FY46" s="272">
        <v>5162682</v>
      </c>
      <c r="FZ46" s="272">
        <v>777335</v>
      </c>
      <c r="GA46" s="272">
        <v>206103</v>
      </c>
      <c r="GB46" s="272">
        <v>4179244</v>
      </c>
      <c r="GC46" s="272"/>
      <c r="GD46" s="272">
        <v>428662</v>
      </c>
      <c r="GE46" s="384">
        <f>ROUND(GD46/FJ46*100,1)</f>
        <v>14.2</v>
      </c>
      <c r="GF46" s="388">
        <v>98.4</v>
      </c>
      <c r="GG46" s="388">
        <v>45.4</v>
      </c>
      <c r="GH46" s="388">
        <v>96.9</v>
      </c>
      <c r="GI46" s="272">
        <v>155</v>
      </c>
    </row>
    <row r="47" spans="2:191" x14ac:dyDescent="0.15">
      <c r="B47" s="89" t="s">
        <v>87</v>
      </c>
      <c r="C47" s="272">
        <v>775137</v>
      </c>
      <c r="D47" s="455">
        <f t="shared" si="0"/>
        <v>477250</v>
      </c>
      <c r="E47" s="272">
        <v>3693</v>
      </c>
      <c r="F47" s="272">
        <v>473557</v>
      </c>
      <c r="G47" s="455">
        <f t="shared" si="1"/>
        <v>20159</v>
      </c>
      <c r="H47" s="272">
        <v>6720</v>
      </c>
      <c r="I47" s="272">
        <v>13439</v>
      </c>
      <c r="J47" s="272">
        <v>243207</v>
      </c>
      <c r="K47" s="272">
        <v>76027</v>
      </c>
      <c r="L47" s="272">
        <v>113567</v>
      </c>
      <c r="M47" s="272">
        <v>53565</v>
      </c>
      <c r="N47" s="272">
        <v>17534</v>
      </c>
      <c r="O47" s="272">
        <v>0</v>
      </c>
      <c r="P47" s="272">
        <v>0</v>
      </c>
      <c r="Q47" s="272">
        <v>0</v>
      </c>
      <c r="R47" s="272">
        <v>43546</v>
      </c>
      <c r="S47" s="272">
        <v>24352</v>
      </c>
      <c r="T47" s="455">
        <f t="shared" si="2"/>
        <v>94348</v>
      </c>
      <c r="U47" s="272">
        <v>24978</v>
      </c>
      <c r="V47" s="272"/>
      <c r="W47" s="272"/>
      <c r="X47" s="272"/>
      <c r="Y47" s="272">
        <v>40565</v>
      </c>
      <c r="Z47" s="272">
        <v>0</v>
      </c>
      <c r="AA47" s="272">
        <v>28805</v>
      </c>
      <c r="AB47" s="272"/>
      <c r="AC47" s="272">
        <v>1119419</v>
      </c>
      <c r="AD47" s="272">
        <v>958564</v>
      </c>
      <c r="AE47" s="272">
        <v>160855</v>
      </c>
      <c r="AF47" s="272">
        <v>1118</v>
      </c>
      <c r="AG47" s="272">
        <v>16776</v>
      </c>
      <c r="AH47" s="455">
        <f t="shared" si="3"/>
        <v>21790</v>
      </c>
      <c r="AI47" s="272">
        <v>19010</v>
      </c>
      <c r="AJ47" s="272">
        <v>2780</v>
      </c>
      <c r="AK47" s="272">
        <v>84784</v>
      </c>
      <c r="AL47" s="455">
        <f t="shared" si="4"/>
        <v>13315</v>
      </c>
      <c r="AM47" s="272">
        <v>0</v>
      </c>
      <c r="AN47" s="272">
        <v>13315</v>
      </c>
      <c r="AO47" s="272">
        <v>0</v>
      </c>
      <c r="AP47" s="272">
        <v>0</v>
      </c>
      <c r="AQ47" s="272">
        <v>44767</v>
      </c>
      <c r="AR47" s="272">
        <v>0</v>
      </c>
      <c r="AS47" s="272">
        <v>0</v>
      </c>
      <c r="AT47" s="272">
        <v>293820</v>
      </c>
      <c r="AU47" s="272">
        <v>65581</v>
      </c>
      <c r="AV47" s="272">
        <v>6657</v>
      </c>
      <c r="AW47" s="272">
        <v>32850</v>
      </c>
      <c r="AX47" s="272">
        <v>228239</v>
      </c>
      <c r="AY47" s="272">
        <v>172661</v>
      </c>
      <c r="AZ47" s="272">
        <v>70413</v>
      </c>
      <c r="BA47" s="272">
        <v>0</v>
      </c>
      <c r="BB47" s="272">
        <v>4984</v>
      </c>
      <c r="BC47" s="272">
        <v>465794</v>
      </c>
      <c r="BD47" s="272">
        <v>0</v>
      </c>
      <c r="BE47" s="272">
        <v>0</v>
      </c>
      <c r="BF47" s="272">
        <v>465717</v>
      </c>
      <c r="BG47" s="272">
        <v>0</v>
      </c>
      <c r="BH47" s="272">
        <v>27514</v>
      </c>
      <c r="BI47" s="272">
        <v>27404</v>
      </c>
      <c r="BJ47" s="272">
        <v>26870</v>
      </c>
      <c r="BK47" s="272">
        <v>281</v>
      </c>
      <c r="BL47" s="272">
        <v>0</v>
      </c>
      <c r="BM47" s="272">
        <v>0</v>
      </c>
      <c r="BN47" s="272">
        <v>1316700</v>
      </c>
      <c r="BO47" s="455">
        <f t="shared" si="5"/>
        <v>1316700</v>
      </c>
      <c r="BP47" s="455">
        <f t="shared" si="6"/>
        <v>0</v>
      </c>
      <c r="BQ47" s="272"/>
      <c r="BR47" s="272"/>
      <c r="BS47" s="272"/>
      <c r="BT47" s="272">
        <v>0</v>
      </c>
      <c r="BU47" s="272">
        <v>4363013</v>
      </c>
      <c r="BV47" s="272"/>
      <c r="BW47" s="272">
        <v>880067</v>
      </c>
      <c r="BX47" s="272">
        <v>542023</v>
      </c>
      <c r="BY47" s="272">
        <v>124465</v>
      </c>
      <c r="BZ47" s="272">
        <v>17040</v>
      </c>
      <c r="CA47" s="272">
        <v>86158</v>
      </c>
      <c r="CB47" s="272">
        <v>10500</v>
      </c>
      <c r="CC47" s="272">
        <v>24610</v>
      </c>
      <c r="CD47" s="272">
        <v>50589</v>
      </c>
      <c r="CE47" s="272">
        <v>0</v>
      </c>
      <c r="CF47" s="272">
        <v>0</v>
      </c>
      <c r="CG47" s="272">
        <v>459</v>
      </c>
      <c r="CH47" s="272">
        <v>204699</v>
      </c>
      <c r="CI47" s="272">
        <v>97679</v>
      </c>
      <c r="CJ47" s="455">
        <f t="shared" si="7"/>
        <v>107020</v>
      </c>
      <c r="CK47" s="272">
        <v>334078</v>
      </c>
      <c r="CL47" s="272">
        <v>109975</v>
      </c>
      <c r="CM47" s="272">
        <v>20773</v>
      </c>
      <c r="CN47" s="272">
        <v>108569</v>
      </c>
      <c r="CO47" s="272">
        <v>3847</v>
      </c>
      <c r="CP47" s="272">
        <v>255777</v>
      </c>
      <c r="CQ47" s="272">
        <v>86373</v>
      </c>
      <c r="CR47" s="272">
        <v>54779</v>
      </c>
      <c r="CS47" s="272">
        <v>54779</v>
      </c>
      <c r="CT47" s="455">
        <f t="shared" si="8"/>
        <v>24500</v>
      </c>
      <c r="CU47" s="272">
        <v>5400</v>
      </c>
      <c r="CV47" s="272">
        <v>19100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2074061</v>
      </c>
      <c r="DD47" s="272">
        <v>140924</v>
      </c>
      <c r="DE47" s="272">
        <v>1761053</v>
      </c>
      <c r="DF47" s="272">
        <v>167145</v>
      </c>
      <c r="DG47" s="272">
        <v>4578</v>
      </c>
      <c r="DH47" s="272">
        <v>0</v>
      </c>
      <c r="DI47" s="272">
        <v>347168</v>
      </c>
      <c r="DJ47" s="272">
        <v>33798</v>
      </c>
      <c r="DK47" s="272">
        <v>15820</v>
      </c>
      <c r="DL47" s="272">
        <v>297550</v>
      </c>
      <c r="DM47" s="272">
        <v>900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152626</v>
      </c>
      <c r="DU47" s="272">
        <v>23478</v>
      </c>
      <c r="DV47" s="455">
        <f t="shared" si="11"/>
        <v>0</v>
      </c>
      <c r="DW47" s="272">
        <v>0</v>
      </c>
      <c r="DX47" s="272">
        <v>0</v>
      </c>
      <c r="DY47" s="457" t="s">
        <v>646</v>
      </c>
      <c r="DZ47" s="272">
        <v>40277</v>
      </c>
      <c r="EA47" s="272">
        <v>26477</v>
      </c>
      <c r="EB47" s="272"/>
      <c r="EC47" s="272">
        <v>0</v>
      </c>
      <c r="ED47" s="272">
        <v>4339381</v>
      </c>
      <c r="EF47" s="272">
        <v>23632</v>
      </c>
      <c r="EG47" s="272">
        <v>72</v>
      </c>
      <c r="EH47" s="272">
        <v>23560</v>
      </c>
      <c r="EI47" s="272">
        <v>-3844</v>
      </c>
      <c r="EJ47" s="272">
        <v>29954</v>
      </c>
      <c r="EL47" s="272"/>
      <c r="EM47" s="272">
        <v>7771</v>
      </c>
      <c r="EN47" s="272">
        <v>124466</v>
      </c>
      <c r="EO47" s="272">
        <v>394</v>
      </c>
      <c r="EP47" s="455">
        <f t="shared" si="12"/>
        <v>44574</v>
      </c>
      <c r="EQ47" s="272">
        <v>2033568</v>
      </c>
      <c r="ER47" s="272">
        <v>-168316</v>
      </c>
      <c r="ES47" s="272">
        <v>841589</v>
      </c>
      <c r="ET47" s="272">
        <v>505697</v>
      </c>
      <c r="EU47" s="272">
        <v>23033</v>
      </c>
      <c r="EV47" s="272">
        <v>202790</v>
      </c>
      <c r="EW47" s="455">
        <f t="shared" si="13"/>
        <v>161178</v>
      </c>
      <c r="EX47" s="272">
        <v>161178</v>
      </c>
      <c r="EY47" s="272">
        <v>27607</v>
      </c>
      <c r="EZ47" s="272">
        <v>97623</v>
      </c>
      <c r="FA47" s="272">
        <v>0</v>
      </c>
      <c r="FB47" s="272"/>
      <c r="FC47" s="272">
        <v>279153</v>
      </c>
      <c r="FD47" s="272">
        <v>243527</v>
      </c>
      <c r="FE47" s="272">
        <v>86373</v>
      </c>
      <c r="FF47" s="272">
        <v>139568</v>
      </c>
      <c r="FG47" s="455">
        <f t="shared" si="14"/>
        <v>287414</v>
      </c>
      <c r="FH47" s="272">
        <v>2178252</v>
      </c>
      <c r="FI47" s="384">
        <f t="shared" si="15"/>
        <v>1.3</v>
      </c>
      <c r="FJ47" s="272">
        <v>1852842</v>
      </c>
      <c r="FK47" s="272"/>
      <c r="FL47" s="272">
        <v>675770</v>
      </c>
      <c r="FM47" s="272">
        <v>1637761</v>
      </c>
      <c r="FN47" s="460">
        <v>0.40899999999999997</v>
      </c>
      <c r="FO47" s="388">
        <v>77</v>
      </c>
      <c r="FP47" s="388">
        <v>39.1</v>
      </c>
      <c r="FQ47" s="388">
        <v>1.2</v>
      </c>
      <c r="FR47" s="388">
        <v>10.8</v>
      </c>
      <c r="FS47" s="388">
        <v>11</v>
      </c>
      <c r="FT47" s="388">
        <v>10.1</v>
      </c>
      <c r="FU47" s="388">
        <v>4.5</v>
      </c>
      <c r="FV47" s="388">
        <v>8.1999999999999993</v>
      </c>
      <c r="FW47" s="272">
        <v>3084518</v>
      </c>
      <c r="FX47" s="384">
        <f t="shared" si="16"/>
        <v>166.5</v>
      </c>
      <c r="FY47" s="272">
        <v>1556464</v>
      </c>
      <c r="FZ47" s="272">
        <v>446385</v>
      </c>
      <c r="GA47" s="272">
        <v>322250</v>
      </c>
      <c r="GB47" s="272">
        <v>787829</v>
      </c>
      <c r="GC47" s="272"/>
      <c r="GD47" s="272"/>
      <c r="GE47" s="384"/>
      <c r="GF47" s="388">
        <v>98.4</v>
      </c>
      <c r="GG47" s="388">
        <v>21</v>
      </c>
      <c r="GH47" s="388">
        <v>96.1</v>
      </c>
      <c r="GI47" s="272">
        <v>99</v>
      </c>
    </row>
    <row r="48" spans="2:191" x14ac:dyDescent="0.15">
      <c r="B48" s="89" t="s">
        <v>839</v>
      </c>
      <c r="C48" s="272">
        <v>6387749</v>
      </c>
      <c r="D48" s="455">
        <f t="shared" si="0"/>
        <v>2448474</v>
      </c>
      <c r="E48" s="272">
        <v>18772</v>
      </c>
      <c r="F48" s="272">
        <v>2429702</v>
      </c>
      <c r="G48" s="455">
        <f t="shared" si="1"/>
        <v>733865</v>
      </c>
      <c r="H48" s="272">
        <v>92622</v>
      </c>
      <c r="I48" s="272">
        <v>641243</v>
      </c>
      <c r="J48" s="272">
        <v>2691210</v>
      </c>
      <c r="K48" s="272">
        <v>1257464</v>
      </c>
      <c r="L48" s="272">
        <v>931827</v>
      </c>
      <c r="M48" s="272">
        <v>491223</v>
      </c>
      <c r="N48" s="272">
        <v>163960</v>
      </c>
      <c r="O48" s="272">
        <v>314676</v>
      </c>
      <c r="P48" s="272">
        <v>201185</v>
      </c>
      <c r="Q48" s="272">
        <v>113491</v>
      </c>
      <c r="R48" s="272">
        <v>253380</v>
      </c>
      <c r="S48" s="272">
        <v>179740</v>
      </c>
      <c r="T48" s="455">
        <f t="shared" si="2"/>
        <v>264842</v>
      </c>
      <c r="U48" s="272">
        <v>131565</v>
      </c>
      <c r="V48" s="272"/>
      <c r="W48" s="272"/>
      <c r="X48" s="272"/>
      <c r="Y48" s="272">
        <v>23253</v>
      </c>
      <c r="Z48" s="272">
        <v>0</v>
      </c>
      <c r="AA48" s="272">
        <v>110024</v>
      </c>
      <c r="AB48" s="272"/>
      <c r="AC48" s="272">
        <v>628633</v>
      </c>
      <c r="AD48" s="272">
        <v>454712</v>
      </c>
      <c r="AE48" s="272">
        <v>173921</v>
      </c>
      <c r="AF48" s="272">
        <v>9885</v>
      </c>
      <c r="AG48" s="272">
        <v>6929</v>
      </c>
      <c r="AH48" s="455">
        <f t="shared" si="3"/>
        <v>152195</v>
      </c>
      <c r="AI48" s="272">
        <v>99545</v>
      </c>
      <c r="AJ48" s="272">
        <v>52650</v>
      </c>
      <c r="AK48" s="272">
        <v>331365</v>
      </c>
      <c r="AL48" s="455">
        <f t="shared" si="4"/>
        <v>39768</v>
      </c>
      <c r="AM48" s="272">
        <v>0</v>
      </c>
      <c r="AN48" s="272">
        <v>39768</v>
      </c>
      <c r="AO48" s="272">
        <v>0</v>
      </c>
      <c r="AP48" s="272">
        <v>0</v>
      </c>
      <c r="AQ48" s="272">
        <v>184547</v>
      </c>
      <c r="AR48" s="272">
        <v>0</v>
      </c>
      <c r="AS48" s="272">
        <v>0</v>
      </c>
      <c r="AT48" s="272">
        <v>475992</v>
      </c>
      <c r="AU48" s="272">
        <v>82591</v>
      </c>
      <c r="AV48" s="272">
        <v>19884</v>
      </c>
      <c r="AW48" s="272">
        <v>0</v>
      </c>
      <c r="AX48" s="272">
        <v>393401</v>
      </c>
      <c r="AY48" s="272">
        <v>198513</v>
      </c>
      <c r="AZ48" s="272">
        <v>347786</v>
      </c>
      <c r="BA48" s="272">
        <v>29538</v>
      </c>
      <c r="BB48" s="272">
        <v>29799</v>
      </c>
      <c r="BC48" s="272">
        <v>593446</v>
      </c>
      <c r="BD48" s="272">
        <v>110685</v>
      </c>
      <c r="BE48" s="272">
        <v>0</v>
      </c>
      <c r="BF48" s="272">
        <v>468000</v>
      </c>
      <c r="BG48" s="272">
        <v>0</v>
      </c>
      <c r="BH48" s="272">
        <v>197616</v>
      </c>
      <c r="BI48" s="272">
        <v>197616</v>
      </c>
      <c r="BJ48" s="272">
        <v>81072</v>
      </c>
      <c r="BK48" s="272">
        <v>9191</v>
      </c>
      <c r="BL48" s="272">
        <v>0</v>
      </c>
      <c r="BM48" s="272">
        <v>0</v>
      </c>
      <c r="BN48" s="272">
        <v>2340400</v>
      </c>
      <c r="BO48" s="455">
        <f t="shared" si="5"/>
        <v>2340400</v>
      </c>
      <c r="BP48" s="455">
        <f t="shared" si="6"/>
        <v>0</v>
      </c>
      <c r="BQ48" s="272"/>
      <c r="BR48" s="272"/>
      <c r="BS48" s="272"/>
      <c r="BT48" s="272">
        <v>0</v>
      </c>
      <c r="BU48" s="272">
        <v>12101089</v>
      </c>
      <c r="BV48" s="272"/>
      <c r="BW48" s="272">
        <v>2688270</v>
      </c>
      <c r="BX48" s="272">
        <v>2056064</v>
      </c>
      <c r="BY48" s="272">
        <v>111395</v>
      </c>
      <c r="BZ48" s="272">
        <v>28256</v>
      </c>
      <c r="CA48" s="272">
        <v>267436</v>
      </c>
      <c r="CB48" s="272">
        <v>52972</v>
      </c>
      <c r="CC48" s="272">
        <v>122448</v>
      </c>
      <c r="CD48" s="272">
        <v>86614</v>
      </c>
      <c r="CE48" s="272">
        <v>0</v>
      </c>
      <c r="CF48" s="272">
        <v>0</v>
      </c>
      <c r="CG48" s="272">
        <v>5352</v>
      </c>
      <c r="CH48" s="272">
        <v>614601</v>
      </c>
      <c r="CI48" s="272">
        <v>285233</v>
      </c>
      <c r="CJ48" s="455">
        <f t="shared" si="7"/>
        <v>329368</v>
      </c>
      <c r="CK48" s="272">
        <v>1412844</v>
      </c>
      <c r="CL48" s="272">
        <v>803544</v>
      </c>
      <c r="CM48" s="272">
        <v>79054</v>
      </c>
      <c r="CN48" s="272">
        <v>296691</v>
      </c>
      <c r="CO48" s="272">
        <v>50196</v>
      </c>
      <c r="CP48" s="272">
        <v>603289</v>
      </c>
      <c r="CQ48" s="272">
        <v>309255</v>
      </c>
      <c r="CR48" s="272">
        <v>144208</v>
      </c>
      <c r="CS48" s="272">
        <v>134486</v>
      </c>
      <c r="CT48" s="455">
        <f t="shared" si="8"/>
        <v>6521</v>
      </c>
      <c r="CU48" s="272">
        <v>6521</v>
      </c>
      <c r="CV48" s="272">
        <v>0</v>
      </c>
      <c r="CW48" s="455">
        <f t="shared" si="9"/>
        <v>0</v>
      </c>
      <c r="CX48" s="272">
        <v>0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4010271</v>
      </c>
      <c r="DD48" s="272">
        <v>476170</v>
      </c>
      <c r="DE48" s="272">
        <v>3534101</v>
      </c>
      <c r="DF48" s="272">
        <v>0</v>
      </c>
      <c r="DG48" s="272">
        <v>0</v>
      </c>
      <c r="DH48" s="272">
        <v>0</v>
      </c>
      <c r="DI48" s="272">
        <v>850603</v>
      </c>
      <c r="DJ48" s="272">
        <v>180020</v>
      </c>
      <c r="DK48" s="272">
        <v>147172</v>
      </c>
      <c r="DL48" s="272">
        <v>523411</v>
      </c>
      <c r="DM48" s="272">
        <v>483</v>
      </c>
      <c r="DN48" s="272">
        <v>0</v>
      </c>
      <c r="DO48" s="272">
        <v>0</v>
      </c>
      <c r="DP48" s="272">
        <v>0</v>
      </c>
      <c r="DQ48" s="272">
        <v>0</v>
      </c>
      <c r="DR48" s="272">
        <v>0</v>
      </c>
      <c r="DS48" s="272">
        <v>0</v>
      </c>
      <c r="DT48" s="272">
        <v>1440874</v>
      </c>
      <c r="DU48" s="272">
        <v>860241</v>
      </c>
      <c r="DV48" s="455">
        <f t="shared" si="11"/>
        <v>0</v>
      </c>
      <c r="DW48" s="272">
        <v>0</v>
      </c>
      <c r="DX48" s="272">
        <v>0</v>
      </c>
      <c r="DY48" s="457" t="s">
        <v>646</v>
      </c>
      <c r="DZ48" s="272">
        <v>175000</v>
      </c>
      <c r="EA48" s="272">
        <v>97909</v>
      </c>
      <c r="EB48" s="272"/>
      <c r="EC48" s="272">
        <v>0</v>
      </c>
      <c r="ED48" s="272">
        <v>11938867</v>
      </c>
      <c r="EF48" s="272">
        <v>162222</v>
      </c>
      <c r="EG48" s="272">
        <v>0</v>
      </c>
      <c r="EH48" s="272">
        <v>162222</v>
      </c>
      <c r="EI48" s="272">
        <v>-35394</v>
      </c>
      <c r="EJ48" s="272">
        <v>33941</v>
      </c>
      <c r="EL48" s="272"/>
      <c r="EM48" s="272">
        <v>36852</v>
      </c>
      <c r="EN48" s="272">
        <v>585446</v>
      </c>
      <c r="EO48" s="272">
        <v>33287</v>
      </c>
      <c r="EP48" s="455">
        <f t="shared" si="12"/>
        <v>300010</v>
      </c>
      <c r="EQ48" s="272">
        <v>7544489</v>
      </c>
      <c r="ER48" s="272">
        <v>-908858</v>
      </c>
      <c r="ES48" s="272">
        <v>2451472</v>
      </c>
      <c r="ET48" s="272">
        <v>1832105</v>
      </c>
      <c r="EU48" s="272">
        <v>108943</v>
      </c>
      <c r="EV48" s="272">
        <v>614601</v>
      </c>
      <c r="EW48" s="455">
        <f t="shared" si="13"/>
        <v>1280602</v>
      </c>
      <c r="EX48" s="272">
        <v>1280602</v>
      </c>
      <c r="EY48" s="272">
        <v>107223</v>
      </c>
      <c r="EZ48" s="272">
        <v>1173379</v>
      </c>
      <c r="FA48" s="272">
        <v>0</v>
      </c>
      <c r="FB48" s="272"/>
      <c r="FC48" s="272">
        <v>1249864</v>
      </c>
      <c r="FD48" s="272">
        <v>573238</v>
      </c>
      <c r="FE48" s="272">
        <v>309255</v>
      </c>
      <c r="FF48" s="272">
        <v>1399748</v>
      </c>
      <c r="FG48" s="455">
        <f t="shared" si="14"/>
        <v>612657</v>
      </c>
      <c r="FH48" s="272">
        <v>8291125</v>
      </c>
      <c r="FI48" s="384">
        <f t="shared" si="15"/>
        <v>2.2999999999999998</v>
      </c>
      <c r="FJ48" s="272">
        <v>7015648</v>
      </c>
      <c r="FK48" s="272"/>
      <c r="FL48" s="272">
        <v>4942583</v>
      </c>
      <c r="FM48" s="272">
        <v>5405225</v>
      </c>
      <c r="FN48" s="460">
        <v>0.95199999999999996</v>
      </c>
      <c r="FO48" s="388">
        <v>72</v>
      </c>
      <c r="FP48" s="388">
        <v>33.700000000000003</v>
      </c>
      <c r="FQ48" s="388">
        <v>1.5</v>
      </c>
      <c r="FR48" s="388">
        <v>8.6999999999999993</v>
      </c>
      <c r="FS48" s="388">
        <v>15.8</v>
      </c>
      <c r="FT48" s="388">
        <v>6.6</v>
      </c>
      <c r="FU48" s="388">
        <v>5</v>
      </c>
      <c r="FV48" s="388">
        <v>7</v>
      </c>
      <c r="FW48" s="272">
        <v>7356983</v>
      </c>
      <c r="FX48" s="384">
        <f t="shared" si="16"/>
        <v>104.9</v>
      </c>
      <c r="FY48" s="272">
        <v>7281139</v>
      </c>
      <c r="FZ48" s="272">
        <v>1857499</v>
      </c>
      <c r="GA48" s="272">
        <v>900741</v>
      </c>
      <c r="GB48" s="272">
        <v>4522899</v>
      </c>
      <c r="GC48" s="272"/>
      <c r="GD48" s="272">
        <v>3918161</v>
      </c>
      <c r="GE48" s="384">
        <f>ROUND(GD48/FJ48*100,1)</f>
        <v>55.8</v>
      </c>
      <c r="GF48" s="388">
        <v>96.5</v>
      </c>
      <c r="GG48" s="388">
        <v>21.7</v>
      </c>
      <c r="GH48" s="388">
        <v>91.2</v>
      </c>
      <c r="GI48" s="272">
        <v>341</v>
      </c>
    </row>
    <row r="49" spans="2:191" x14ac:dyDescent="0.15">
      <c r="B49" s="21" t="s">
        <v>89</v>
      </c>
      <c r="C49" s="272">
        <f>SUM(C38:C48)</f>
        <v>31132367</v>
      </c>
      <c r="D49" s="455">
        <f t="shared" si="0"/>
        <v>14665487</v>
      </c>
      <c r="E49" s="272">
        <f>SUM(E38:E48)</f>
        <v>110111</v>
      </c>
      <c r="F49" s="272">
        <f>SUM(F38:F48)</f>
        <v>14555376</v>
      </c>
      <c r="G49" s="455">
        <f t="shared" si="1"/>
        <v>2343432</v>
      </c>
      <c r="H49" s="272">
        <f t="shared" ref="H49:S49" si="25">SUM(H38:H48)</f>
        <v>314455</v>
      </c>
      <c r="I49" s="272">
        <f t="shared" si="25"/>
        <v>2028977</v>
      </c>
      <c r="J49" s="272">
        <f t="shared" si="25"/>
        <v>11733247</v>
      </c>
      <c r="K49" s="272">
        <f t="shared" si="25"/>
        <v>5407445</v>
      </c>
      <c r="L49" s="272">
        <f t="shared" si="25"/>
        <v>4136280</v>
      </c>
      <c r="M49" s="272">
        <f t="shared" si="25"/>
        <v>2143295</v>
      </c>
      <c r="N49" s="272">
        <f t="shared" si="25"/>
        <v>763749</v>
      </c>
      <c r="O49" s="272">
        <f t="shared" si="25"/>
        <v>936266</v>
      </c>
      <c r="P49" s="272">
        <f t="shared" si="25"/>
        <v>635616</v>
      </c>
      <c r="Q49" s="272">
        <f t="shared" si="25"/>
        <v>300650</v>
      </c>
      <c r="R49" s="272">
        <f t="shared" si="25"/>
        <v>1331320</v>
      </c>
      <c r="S49" s="272">
        <f t="shared" si="25"/>
        <v>823872</v>
      </c>
      <c r="T49" s="455">
        <f t="shared" si="2"/>
        <v>1917206</v>
      </c>
      <c r="U49" s="272">
        <f>SUM(U38:U48)</f>
        <v>780257</v>
      </c>
      <c r="V49" s="272"/>
      <c r="W49" s="272"/>
      <c r="X49" s="272"/>
      <c r="Y49" s="272">
        <f>SUM(Y38:Y48)</f>
        <v>374265</v>
      </c>
      <c r="Z49" s="272">
        <f>SUM(Z38:Z48)</f>
        <v>2795</v>
      </c>
      <c r="AA49" s="272">
        <f>SUM(AA38:AA48)</f>
        <v>759889</v>
      </c>
      <c r="AB49" s="272"/>
      <c r="AC49" s="272">
        <f>SUM(AC38:AC48)</f>
        <v>14849649</v>
      </c>
      <c r="AD49" s="272">
        <f>SUM(AD38:AD48)</f>
        <v>12736687</v>
      </c>
      <c r="AE49" s="272">
        <f>SUM(AE38:AE48)</f>
        <v>2112962</v>
      </c>
      <c r="AF49" s="272">
        <f>SUM(AF38:AF48)</f>
        <v>49433</v>
      </c>
      <c r="AG49" s="272">
        <f>SUM(AG38:AG48)</f>
        <v>221480</v>
      </c>
      <c r="AH49" s="455">
        <f t="shared" si="3"/>
        <v>1245719</v>
      </c>
      <c r="AI49" s="272">
        <f>SUM(AI38:AI48)</f>
        <v>1005828</v>
      </c>
      <c r="AJ49" s="272">
        <f>SUM(AJ38:AJ48)</f>
        <v>239891</v>
      </c>
      <c r="AK49" s="272">
        <f>SUM(AK38:AK48)</f>
        <v>2166059</v>
      </c>
      <c r="AL49" s="455">
        <f t="shared" si="4"/>
        <v>405406</v>
      </c>
      <c r="AM49" s="272">
        <f t="shared" ref="AM49:BN49" si="26">SUM(AM38:AM48)</f>
        <v>45521</v>
      </c>
      <c r="AN49" s="272">
        <f t="shared" si="26"/>
        <v>318367</v>
      </c>
      <c r="AO49" s="272">
        <f t="shared" si="26"/>
        <v>0</v>
      </c>
      <c r="AP49" s="272">
        <f t="shared" si="26"/>
        <v>41518</v>
      </c>
      <c r="AQ49" s="272">
        <f t="shared" si="26"/>
        <v>839807</v>
      </c>
      <c r="AR49" s="272">
        <f t="shared" si="26"/>
        <v>1690</v>
      </c>
      <c r="AS49" s="272">
        <f t="shared" si="26"/>
        <v>0</v>
      </c>
      <c r="AT49" s="272">
        <f t="shared" si="26"/>
        <v>4829800</v>
      </c>
      <c r="AU49" s="272">
        <f t="shared" si="26"/>
        <v>1369960</v>
      </c>
      <c r="AV49" s="272">
        <f t="shared" si="26"/>
        <v>129130</v>
      </c>
      <c r="AW49" s="272">
        <f t="shared" si="26"/>
        <v>720131</v>
      </c>
      <c r="AX49" s="272">
        <f t="shared" si="26"/>
        <v>3459840</v>
      </c>
      <c r="AY49" s="272">
        <f t="shared" si="26"/>
        <v>1835743</v>
      </c>
      <c r="AZ49" s="272">
        <f t="shared" si="26"/>
        <v>1980204</v>
      </c>
      <c r="BA49" s="272">
        <f t="shared" si="26"/>
        <v>437445</v>
      </c>
      <c r="BB49" s="272">
        <f t="shared" si="26"/>
        <v>900636</v>
      </c>
      <c r="BC49" s="272">
        <f t="shared" si="26"/>
        <v>4401357</v>
      </c>
      <c r="BD49" s="272">
        <f t="shared" si="26"/>
        <v>772431</v>
      </c>
      <c r="BE49" s="272">
        <f t="shared" si="26"/>
        <v>24500</v>
      </c>
      <c r="BF49" s="272">
        <f t="shared" si="26"/>
        <v>3419426</v>
      </c>
      <c r="BG49" s="272">
        <f t="shared" si="26"/>
        <v>26746</v>
      </c>
      <c r="BH49" s="272">
        <f t="shared" si="26"/>
        <v>1502301</v>
      </c>
      <c r="BI49" s="272">
        <f t="shared" si="26"/>
        <v>1330343</v>
      </c>
      <c r="BJ49" s="272">
        <f t="shared" si="26"/>
        <v>3190454</v>
      </c>
      <c r="BK49" s="272">
        <f t="shared" si="26"/>
        <v>41813</v>
      </c>
      <c r="BL49" s="272">
        <f t="shared" si="26"/>
        <v>1269</v>
      </c>
      <c r="BM49" s="272">
        <f t="shared" si="26"/>
        <v>0</v>
      </c>
      <c r="BN49" s="272">
        <f t="shared" si="26"/>
        <v>10974899</v>
      </c>
      <c r="BO49" s="455">
        <f t="shared" si="5"/>
        <v>10974899</v>
      </c>
      <c r="BP49" s="455">
        <f t="shared" si="6"/>
        <v>0</v>
      </c>
      <c r="BQ49" s="272"/>
      <c r="BR49" s="272"/>
      <c r="BS49" s="272"/>
      <c r="BT49" s="272">
        <v>0</v>
      </c>
      <c r="BU49" s="272">
        <f>SUM(BU38:BU48)</f>
        <v>80692884</v>
      </c>
      <c r="BV49" s="272"/>
      <c r="BW49" s="272">
        <f t="shared" ref="BW49:CI49" si="27">SUM(BW38:BW48)</f>
        <v>18379551</v>
      </c>
      <c r="BX49" s="272">
        <f t="shared" si="27"/>
        <v>13117275</v>
      </c>
      <c r="BY49" s="272">
        <f t="shared" si="27"/>
        <v>1086914</v>
      </c>
      <c r="BZ49" s="272">
        <f t="shared" si="27"/>
        <v>428275</v>
      </c>
      <c r="CA49" s="272">
        <f t="shared" si="27"/>
        <v>2316187</v>
      </c>
      <c r="CB49" s="272">
        <f t="shared" si="27"/>
        <v>494375</v>
      </c>
      <c r="CC49" s="272">
        <f t="shared" si="27"/>
        <v>835044</v>
      </c>
      <c r="CD49" s="272">
        <f t="shared" si="27"/>
        <v>848319</v>
      </c>
      <c r="CE49" s="272">
        <f t="shared" si="27"/>
        <v>60658</v>
      </c>
      <c r="CF49" s="272">
        <f t="shared" si="27"/>
        <v>1640</v>
      </c>
      <c r="CG49" s="272">
        <f t="shared" si="27"/>
        <v>76101</v>
      </c>
      <c r="CH49" s="272">
        <f t="shared" si="27"/>
        <v>5059389</v>
      </c>
      <c r="CI49" s="272">
        <f t="shared" si="27"/>
        <v>2478305</v>
      </c>
      <c r="CJ49" s="455">
        <f t="shared" si="7"/>
        <v>2581084</v>
      </c>
      <c r="CK49" s="272">
        <f t="shared" ref="CK49:CS49" si="28">SUM(CK38:CK48)</f>
        <v>8754256</v>
      </c>
      <c r="CL49" s="272">
        <f t="shared" si="28"/>
        <v>3878213</v>
      </c>
      <c r="CM49" s="272">
        <f t="shared" si="28"/>
        <v>603656</v>
      </c>
      <c r="CN49" s="272">
        <f t="shared" si="28"/>
        <v>2582250</v>
      </c>
      <c r="CO49" s="272">
        <f t="shared" si="28"/>
        <v>705266</v>
      </c>
      <c r="CP49" s="272">
        <f t="shared" si="28"/>
        <v>4003989</v>
      </c>
      <c r="CQ49" s="272">
        <f t="shared" si="28"/>
        <v>1204059</v>
      </c>
      <c r="CR49" s="272">
        <f t="shared" si="28"/>
        <v>980835</v>
      </c>
      <c r="CS49" s="272">
        <f t="shared" si="28"/>
        <v>928644</v>
      </c>
      <c r="CT49" s="455">
        <f t="shared" si="8"/>
        <v>401768</v>
      </c>
      <c r="CU49" s="272">
        <f>SUM(CU38:CU48)</f>
        <v>200012</v>
      </c>
      <c r="CV49" s="272">
        <f>SUM(CV38:CV48)</f>
        <v>201756</v>
      </c>
      <c r="CW49" s="455">
        <f t="shared" si="9"/>
        <v>219548</v>
      </c>
      <c r="CX49" s="272">
        <f>SUM(CX38:CX48)</f>
        <v>129761</v>
      </c>
      <c r="CY49" s="272">
        <f>SUM(CY38:CY48)</f>
        <v>89787</v>
      </c>
      <c r="CZ49" s="455">
        <f t="shared" si="10"/>
        <v>0</v>
      </c>
      <c r="DA49" s="272">
        <f t="shared" ref="DA49:DU49" si="29">SUM(DA38:DA48)</f>
        <v>0</v>
      </c>
      <c r="DB49" s="272">
        <f t="shared" si="29"/>
        <v>0</v>
      </c>
      <c r="DC49" s="272">
        <f t="shared" si="29"/>
        <v>26034015</v>
      </c>
      <c r="DD49" s="272">
        <f t="shared" si="29"/>
        <v>2991617</v>
      </c>
      <c r="DE49" s="272">
        <f t="shared" si="29"/>
        <v>22606588</v>
      </c>
      <c r="DF49" s="272">
        <f t="shared" si="29"/>
        <v>421737</v>
      </c>
      <c r="DG49" s="272">
        <f t="shared" si="29"/>
        <v>5347</v>
      </c>
      <c r="DH49" s="272">
        <f t="shared" si="29"/>
        <v>14716</v>
      </c>
      <c r="DI49" s="272">
        <f t="shared" si="29"/>
        <v>7994660</v>
      </c>
      <c r="DJ49" s="272">
        <f t="shared" si="29"/>
        <v>1422513</v>
      </c>
      <c r="DK49" s="272">
        <f t="shared" si="29"/>
        <v>825608</v>
      </c>
      <c r="DL49" s="272">
        <f t="shared" si="29"/>
        <v>5746539</v>
      </c>
      <c r="DM49" s="272">
        <f t="shared" si="29"/>
        <v>22371</v>
      </c>
      <c r="DN49" s="272">
        <f t="shared" si="29"/>
        <v>16502</v>
      </c>
      <c r="DO49" s="272">
        <f t="shared" si="29"/>
        <v>16502</v>
      </c>
      <c r="DP49" s="272">
        <f t="shared" si="29"/>
        <v>0</v>
      </c>
      <c r="DQ49" s="272">
        <f t="shared" si="29"/>
        <v>10780</v>
      </c>
      <c r="DR49" s="272">
        <f t="shared" si="29"/>
        <v>0</v>
      </c>
      <c r="DS49" s="272">
        <f t="shared" si="29"/>
        <v>0</v>
      </c>
      <c r="DT49" s="272">
        <f t="shared" si="29"/>
        <v>5435956</v>
      </c>
      <c r="DU49" s="272">
        <f t="shared" si="29"/>
        <v>2986605</v>
      </c>
      <c r="DV49" s="455">
        <f t="shared" si="11"/>
        <v>0</v>
      </c>
      <c r="DW49" s="272">
        <f>SUM(DW38:DW48)</f>
        <v>0</v>
      </c>
      <c r="DX49" s="272">
        <v>0</v>
      </c>
      <c r="DY49" s="457" t="s">
        <v>646</v>
      </c>
      <c r="DZ49" s="272">
        <f>SUM(DZ38:DZ48)</f>
        <v>947875</v>
      </c>
      <c r="EA49" s="272">
        <f>SUM(EA38:EA48)</f>
        <v>654676</v>
      </c>
      <c r="EB49" s="272"/>
      <c r="EC49" s="272">
        <f>SUM(EC38:EC48)</f>
        <v>0</v>
      </c>
      <c r="ED49" s="272">
        <f>SUM(ED38:ED48)</f>
        <v>78731136</v>
      </c>
      <c r="EE49" s="272"/>
      <c r="EF49" s="272">
        <f>SUM(EF38:EF48)</f>
        <v>1961748</v>
      </c>
      <c r="EG49" s="272">
        <f>SUM(EG38:EG48)</f>
        <v>547836</v>
      </c>
      <c r="EH49" s="272">
        <f>SUM(EH38:EH48)</f>
        <v>1413912</v>
      </c>
      <c r="EI49" s="272">
        <f>SUM(EI38:EI48)</f>
        <v>33569</v>
      </c>
      <c r="EJ49" s="272">
        <f>SUM(EJ38:EJ48)</f>
        <v>683651</v>
      </c>
      <c r="EL49" s="272"/>
      <c r="EM49" s="272">
        <f>SUM(EM38:EM48)</f>
        <v>223378</v>
      </c>
      <c r="EN49" s="272">
        <f>SUM(EN38:EN48)</f>
        <v>1718684</v>
      </c>
      <c r="EO49" s="272">
        <f>SUM(EO38:EO48)</f>
        <v>438511</v>
      </c>
      <c r="EP49" s="455">
        <f t="shared" si="12"/>
        <v>3791591</v>
      </c>
      <c r="EQ49" s="272">
        <f t="shared" ref="EQ49:EV49" si="30">SUM(EQ38:EQ48)</f>
        <v>49279975</v>
      </c>
      <c r="ER49" s="272">
        <f t="shared" si="30"/>
        <v>-5899353</v>
      </c>
      <c r="ES49" s="272">
        <f t="shared" si="30"/>
        <v>16710830</v>
      </c>
      <c r="ET49" s="272">
        <f t="shared" si="30"/>
        <v>11565931</v>
      </c>
      <c r="EU49" s="272">
        <f t="shared" si="30"/>
        <v>966733</v>
      </c>
      <c r="EV49" s="272">
        <f t="shared" si="30"/>
        <v>4816147</v>
      </c>
      <c r="EW49" s="455">
        <f t="shared" si="13"/>
        <v>7628203</v>
      </c>
      <c r="EX49" s="272">
        <f>SUM(EX38:EX48)</f>
        <v>7624637</v>
      </c>
      <c r="EY49" s="272">
        <f>SUM(EY38:EY48)</f>
        <v>658530</v>
      </c>
      <c r="EZ49" s="272">
        <f>SUM(EZ38:EZ48)</f>
        <v>6793804</v>
      </c>
      <c r="FA49" s="272">
        <f>SUM(FA38:FA48)</f>
        <v>3566</v>
      </c>
      <c r="FB49" s="272"/>
      <c r="FC49" s="272">
        <f>SUM(FC38:FC48)</f>
        <v>7431708</v>
      </c>
      <c r="FD49" s="272">
        <f>SUM(FD38:FD48)</f>
        <v>3739049</v>
      </c>
      <c r="FE49" s="272">
        <f>SUM(FE38:FE48)</f>
        <v>1204059</v>
      </c>
      <c r="FF49" s="272">
        <f>SUM(FF38:FF48)</f>
        <v>4920956</v>
      </c>
      <c r="FG49" s="455">
        <f t="shared" si="14"/>
        <v>7153999</v>
      </c>
      <c r="FH49" s="272">
        <f>SUM(FH38:FH48)</f>
        <v>53367625</v>
      </c>
      <c r="FI49" s="384">
        <f t="shared" si="15"/>
        <v>3.1</v>
      </c>
      <c r="FJ49" s="272">
        <f>SUM(FJ38:FJ48)</f>
        <v>45334326</v>
      </c>
      <c r="FK49" s="272">
        <f>SUM(FK38:FK48)</f>
        <v>0</v>
      </c>
      <c r="FL49" s="272">
        <f>SUM(FL38:FL48)</f>
        <v>24584035</v>
      </c>
      <c r="FM49" s="272">
        <f>SUM(FM38:FM48)</f>
        <v>37404050</v>
      </c>
      <c r="FN49" s="468">
        <v>0.68400000000000005</v>
      </c>
      <c r="FO49" s="469">
        <v>71.599999999999994</v>
      </c>
      <c r="FP49" s="469">
        <v>34.700000000000003</v>
      </c>
      <c r="FQ49" s="469">
        <v>1.9</v>
      </c>
      <c r="FR49" s="469">
        <v>10.3</v>
      </c>
      <c r="FS49" s="469">
        <v>13.3</v>
      </c>
      <c r="FT49" s="469">
        <v>6.1</v>
      </c>
      <c r="FU49" s="469">
        <v>3.8</v>
      </c>
      <c r="FV49" s="469">
        <v>8.1</v>
      </c>
      <c r="FW49" s="272">
        <f>SUM(FW38:FW48)</f>
        <v>51740665</v>
      </c>
      <c r="FX49" s="384">
        <f t="shared" si="16"/>
        <v>114.1</v>
      </c>
      <c r="FY49" s="272">
        <f t="shared" ref="FY49:GD49" si="31">SUM(FY38:FY48)</f>
        <v>40517976</v>
      </c>
      <c r="FZ49" s="272">
        <f t="shared" si="31"/>
        <v>10047815</v>
      </c>
      <c r="GA49" s="272">
        <f t="shared" si="31"/>
        <v>2969908</v>
      </c>
      <c r="GB49" s="272">
        <f t="shared" si="31"/>
        <v>27500253</v>
      </c>
      <c r="GC49" s="272">
        <f t="shared" si="31"/>
        <v>0</v>
      </c>
      <c r="GD49" s="272">
        <f t="shared" si="31"/>
        <v>8471291</v>
      </c>
      <c r="GE49" s="465">
        <f>ROUND(GD49/FJ52*100,1)</f>
        <v>35.5</v>
      </c>
      <c r="GF49" s="469">
        <v>97.6</v>
      </c>
      <c r="GG49" s="469">
        <v>22.2</v>
      </c>
      <c r="GH49" s="469">
        <v>93.8</v>
      </c>
      <c r="GI49" s="272">
        <f>SUM(GI38:GI48)</f>
        <v>2255</v>
      </c>
    </row>
    <row r="50" spans="2:191" x14ac:dyDescent="0.15">
      <c r="B50" s="21" t="s">
        <v>91</v>
      </c>
      <c r="C50" s="272">
        <f>C37+C49</f>
        <v>849826158</v>
      </c>
      <c r="D50" s="455">
        <f t="shared" si="0"/>
        <v>367588202</v>
      </c>
      <c r="E50" s="272">
        <f>E37+E49</f>
        <v>3835797</v>
      </c>
      <c r="F50" s="272">
        <f>F37+F49</f>
        <v>363752405</v>
      </c>
      <c r="G50" s="455">
        <f t="shared" si="1"/>
        <v>88205789</v>
      </c>
      <c r="H50" s="272">
        <f t="shared" ref="H50:S50" si="32">H37+H49</f>
        <v>9717684</v>
      </c>
      <c r="I50" s="272">
        <f t="shared" si="32"/>
        <v>78488105</v>
      </c>
      <c r="J50" s="272">
        <f t="shared" si="32"/>
        <v>284617002</v>
      </c>
      <c r="K50" s="272">
        <f t="shared" si="32"/>
        <v>141619888</v>
      </c>
      <c r="L50" s="272">
        <f t="shared" si="32"/>
        <v>94659515</v>
      </c>
      <c r="M50" s="272">
        <f t="shared" si="32"/>
        <v>44596099</v>
      </c>
      <c r="N50" s="272">
        <f t="shared" si="32"/>
        <v>25385501</v>
      </c>
      <c r="O50" s="272">
        <f t="shared" si="32"/>
        <v>65090733</v>
      </c>
      <c r="P50" s="272">
        <f t="shared" si="32"/>
        <v>45406469</v>
      </c>
      <c r="Q50" s="272">
        <f t="shared" si="32"/>
        <v>19684264</v>
      </c>
      <c r="R50" s="272">
        <f t="shared" si="32"/>
        <v>32479325</v>
      </c>
      <c r="S50" s="272">
        <f t="shared" si="32"/>
        <v>21501734</v>
      </c>
      <c r="T50" s="455">
        <f t="shared" si="2"/>
        <v>35903120</v>
      </c>
      <c r="U50" s="272">
        <f>U37+U49</f>
        <v>20561496</v>
      </c>
      <c r="V50" s="272"/>
      <c r="W50" s="272"/>
      <c r="X50" s="272"/>
      <c r="Y50" s="272">
        <f>Y37+Y49</f>
        <v>1760566</v>
      </c>
      <c r="Z50" s="272">
        <f>Z37+Z49</f>
        <v>267994</v>
      </c>
      <c r="AA50" s="272">
        <f>AA37+AA49</f>
        <v>13313064</v>
      </c>
      <c r="AB50" s="272"/>
      <c r="AC50" s="272">
        <f>AC37+AC49</f>
        <v>91474515</v>
      </c>
      <c r="AD50" s="272">
        <f>AD37+AD49</f>
        <v>77852274</v>
      </c>
      <c r="AE50" s="272">
        <f>AE37+AE49</f>
        <v>13622241</v>
      </c>
      <c r="AF50" s="272">
        <f>AF37+AF49</f>
        <v>1162905</v>
      </c>
      <c r="AG50" s="272">
        <f>AG37+AG49</f>
        <v>19656125</v>
      </c>
      <c r="AH50" s="455">
        <f t="shared" si="3"/>
        <v>30215322</v>
      </c>
      <c r="AI50" s="272">
        <f>AI37+AI49</f>
        <v>24266408</v>
      </c>
      <c r="AJ50" s="272">
        <f>AJ37+AJ49</f>
        <v>5948914</v>
      </c>
      <c r="AK50" s="272">
        <f>AK37+AK49</f>
        <v>126903363</v>
      </c>
      <c r="AL50" s="455">
        <f t="shared" si="4"/>
        <v>64150356</v>
      </c>
      <c r="AM50" s="272">
        <f t="shared" ref="AM50:BN50" si="33">AM37+AM49</f>
        <v>47796641</v>
      </c>
      <c r="AN50" s="272">
        <f t="shared" si="33"/>
        <v>10970676</v>
      </c>
      <c r="AO50" s="272">
        <f t="shared" si="33"/>
        <v>101790</v>
      </c>
      <c r="AP50" s="272">
        <f t="shared" si="33"/>
        <v>5281249</v>
      </c>
      <c r="AQ50" s="272">
        <f t="shared" si="33"/>
        <v>32735445</v>
      </c>
      <c r="AR50" s="272">
        <f t="shared" si="33"/>
        <v>1690</v>
      </c>
      <c r="AS50" s="272">
        <f t="shared" si="33"/>
        <v>327623</v>
      </c>
      <c r="AT50" s="272">
        <f t="shared" si="33"/>
        <v>76869851</v>
      </c>
      <c r="AU50" s="272">
        <f t="shared" si="33"/>
        <v>22266174</v>
      </c>
      <c r="AV50" s="272">
        <f t="shared" si="33"/>
        <v>5331978</v>
      </c>
      <c r="AW50" s="272">
        <f t="shared" si="33"/>
        <v>3520465</v>
      </c>
      <c r="AX50" s="272">
        <f t="shared" si="33"/>
        <v>54603677</v>
      </c>
      <c r="AY50" s="272">
        <f t="shared" si="33"/>
        <v>17681674</v>
      </c>
      <c r="AZ50" s="272">
        <f t="shared" si="33"/>
        <v>33780587</v>
      </c>
      <c r="BA50" s="272">
        <f t="shared" si="33"/>
        <v>11159614</v>
      </c>
      <c r="BB50" s="272">
        <f t="shared" si="33"/>
        <v>12308647</v>
      </c>
      <c r="BC50" s="272">
        <f t="shared" si="33"/>
        <v>80912771</v>
      </c>
      <c r="BD50" s="272">
        <f t="shared" si="33"/>
        <v>12267384</v>
      </c>
      <c r="BE50" s="272">
        <f t="shared" si="33"/>
        <v>3593295</v>
      </c>
      <c r="BF50" s="272">
        <f t="shared" si="33"/>
        <v>60527835</v>
      </c>
      <c r="BG50" s="272">
        <f t="shared" si="33"/>
        <v>1375421</v>
      </c>
      <c r="BH50" s="272">
        <f t="shared" si="33"/>
        <v>28517249</v>
      </c>
      <c r="BI50" s="272">
        <f t="shared" si="33"/>
        <v>16294197</v>
      </c>
      <c r="BJ50" s="272">
        <f t="shared" si="33"/>
        <v>70423616</v>
      </c>
      <c r="BK50" s="272">
        <f t="shared" si="33"/>
        <v>30889353</v>
      </c>
      <c r="BL50" s="272">
        <f t="shared" si="33"/>
        <v>2008972</v>
      </c>
      <c r="BM50" s="272">
        <f t="shared" si="33"/>
        <v>14176599</v>
      </c>
      <c r="BN50" s="272">
        <f t="shared" si="33"/>
        <v>164057732</v>
      </c>
      <c r="BO50" s="455">
        <f t="shared" si="5"/>
        <v>164057732</v>
      </c>
      <c r="BP50" s="455">
        <f t="shared" si="6"/>
        <v>0</v>
      </c>
      <c r="BQ50" s="272"/>
      <c r="BR50" s="272"/>
      <c r="BS50" s="272"/>
      <c r="BT50" s="272">
        <v>0</v>
      </c>
      <c r="BU50" s="272">
        <f>BU37+BU49</f>
        <v>1654818909</v>
      </c>
      <c r="BV50" s="272"/>
      <c r="BW50" s="272">
        <f t="shared" ref="BW50:CI50" si="34">BW37+BW49</f>
        <v>412834154</v>
      </c>
      <c r="BX50" s="272">
        <f t="shared" si="34"/>
        <v>316482077</v>
      </c>
      <c r="BY50" s="272">
        <f t="shared" si="34"/>
        <v>18502645</v>
      </c>
      <c r="BZ50" s="272">
        <f t="shared" si="34"/>
        <v>10869026</v>
      </c>
      <c r="CA50" s="272">
        <f t="shared" si="34"/>
        <v>153777450</v>
      </c>
      <c r="CB50" s="272">
        <f t="shared" si="34"/>
        <v>15744216</v>
      </c>
      <c r="CC50" s="272">
        <f t="shared" si="34"/>
        <v>28475902</v>
      </c>
      <c r="CD50" s="272">
        <f t="shared" si="34"/>
        <v>34493822</v>
      </c>
      <c r="CE50" s="272">
        <f t="shared" si="34"/>
        <v>63058130</v>
      </c>
      <c r="CF50" s="272">
        <f t="shared" si="34"/>
        <v>9052638</v>
      </c>
      <c r="CG50" s="272">
        <f t="shared" si="34"/>
        <v>2925378</v>
      </c>
      <c r="CH50" s="272">
        <f t="shared" si="34"/>
        <v>119897987</v>
      </c>
      <c r="CI50" s="272">
        <f t="shared" si="34"/>
        <v>65126215</v>
      </c>
      <c r="CJ50" s="455">
        <f t="shared" si="7"/>
        <v>54771772</v>
      </c>
      <c r="CK50" s="272">
        <f t="shared" ref="CK50:CS50" si="35">CK37+CK49</f>
        <v>152418105</v>
      </c>
      <c r="CL50" s="272">
        <f t="shared" si="35"/>
        <v>78646960</v>
      </c>
      <c r="CM50" s="272">
        <f t="shared" si="35"/>
        <v>6997238</v>
      </c>
      <c r="CN50" s="272">
        <f t="shared" si="35"/>
        <v>39741628</v>
      </c>
      <c r="CO50" s="272">
        <f t="shared" si="35"/>
        <v>19367414</v>
      </c>
      <c r="CP50" s="272">
        <f t="shared" si="35"/>
        <v>103803696</v>
      </c>
      <c r="CQ50" s="272">
        <f t="shared" si="35"/>
        <v>35648901</v>
      </c>
      <c r="CR50" s="272">
        <f t="shared" si="35"/>
        <v>26949778</v>
      </c>
      <c r="CS50" s="272">
        <f t="shared" si="35"/>
        <v>21799027</v>
      </c>
      <c r="CT50" s="455">
        <f t="shared" si="8"/>
        <v>16994981</v>
      </c>
      <c r="CU50" s="272">
        <f>CU37+CU49</f>
        <v>6718592</v>
      </c>
      <c r="CV50" s="272">
        <f>CV37+CV49</f>
        <v>10276389</v>
      </c>
      <c r="CW50" s="455">
        <f t="shared" si="9"/>
        <v>12922674</v>
      </c>
      <c r="CX50" s="272">
        <f>CX37+CX49</f>
        <v>6018489</v>
      </c>
      <c r="CY50" s="272">
        <f>CY37+CY49</f>
        <v>6904185</v>
      </c>
      <c r="CZ50" s="455">
        <f t="shared" si="10"/>
        <v>0</v>
      </c>
      <c r="DA50" s="272">
        <f t="shared" ref="DA50:DU50" si="36">DA37+DA49</f>
        <v>0</v>
      </c>
      <c r="DB50" s="272">
        <f t="shared" si="36"/>
        <v>0</v>
      </c>
      <c r="DC50" s="272">
        <f t="shared" si="36"/>
        <v>416903064</v>
      </c>
      <c r="DD50" s="272">
        <f t="shared" si="36"/>
        <v>73699730</v>
      </c>
      <c r="DE50" s="272">
        <f t="shared" si="36"/>
        <v>331104838</v>
      </c>
      <c r="DF50" s="272">
        <f t="shared" si="36"/>
        <v>3711163</v>
      </c>
      <c r="DG50" s="272">
        <f t="shared" si="36"/>
        <v>8185626</v>
      </c>
      <c r="DH50" s="272">
        <f t="shared" si="36"/>
        <v>56664</v>
      </c>
      <c r="DI50" s="272">
        <f t="shared" si="36"/>
        <v>92379601</v>
      </c>
      <c r="DJ50" s="272">
        <f t="shared" si="36"/>
        <v>15041657</v>
      </c>
      <c r="DK50" s="272">
        <f t="shared" si="36"/>
        <v>10632230</v>
      </c>
      <c r="DL50" s="272">
        <f t="shared" si="36"/>
        <v>66705714</v>
      </c>
      <c r="DM50" s="272">
        <f t="shared" si="36"/>
        <v>3495694</v>
      </c>
      <c r="DN50" s="272">
        <f t="shared" si="36"/>
        <v>1092473</v>
      </c>
      <c r="DO50" s="272">
        <f t="shared" si="36"/>
        <v>547789</v>
      </c>
      <c r="DP50" s="272">
        <f t="shared" si="36"/>
        <v>544684</v>
      </c>
      <c r="DQ50" s="272">
        <f t="shared" si="36"/>
        <v>31549898</v>
      </c>
      <c r="DR50" s="272">
        <f t="shared" si="36"/>
        <v>1144517</v>
      </c>
      <c r="DS50" s="272">
        <f t="shared" si="36"/>
        <v>1142000</v>
      </c>
      <c r="DT50" s="272">
        <f t="shared" si="36"/>
        <v>123121690</v>
      </c>
      <c r="DU50" s="272">
        <f t="shared" si="36"/>
        <v>70045214</v>
      </c>
      <c r="DV50" s="455">
        <f t="shared" si="11"/>
        <v>1120080</v>
      </c>
      <c r="DW50" s="272">
        <f>DW37+DW49</f>
        <v>1120080</v>
      </c>
      <c r="DX50" s="272">
        <v>0</v>
      </c>
      <c r="DY50" s="457" t="s">
        <v>646</v>
      </c>
      <c r="DZ50" s="272">
        <f>DZ37+DZ49</f>
        <v>26969056</v>
      </c>
      <c r="EA50" s="272">
        <f>EA37+EA49</f>
        <v>13815521</v>
      </c>
      <c r="EB50" s="272"/>
      <c r="EC50" s="272">
        <f>EC37+EC49</f>
        <v>199780</v>
      </c>
      <c r="ED50" s="272">
        <f>ED37+ED49</f>
        <v>1629805197</v>
      </c>
      <c r="EE50" s="272"/>
      <c r="EF50" s="272">
        <f>EF37+EF49</f>
        <v>25013712</v>
      </c>
      <c r="EG50" s="272">
        <f>EG37+EG49</f>
        <v>7760481</v>
      </c>
      <c r="EH50" s="272">
        <f>EH37+EH49</f>
        <v>17253231</v>
      </c>
      <c r="EI50" s="272">
        <f>EI37+EI49</f>
        <v>-505876</v>
      </c>
      <c r="EJ50" s="272">
        <f>EJ37+EJ49</f>
        <v>2809552</v>
      </c>
      <c r="EL50" s="272"/>
      <c r="EM50" s="272">
        <f>EM37+EM49</f>
        <v>5254081</v>
      </c>
      <c r="EN50" s="272">
        <f>EN37+EN49</f>
        <v>28534929</v>
      </c>
      <c r="EO50" s="272">
        <f>EO37+EO49</f>
        <v>8107028</v>
      </c>
      <c r="EP50" s="455">
        <f t="shared" si="12"/>
        <v>67995841</v>
      </c>
      <c r="EQ50" s="272">
        <f t="shared" ref="EQ50:EV50" si="37">EQ37+EQ49</f>
        <v>1011173646</v>
      </c>
      <c r="ER50" s="272">
        <f t="shared" si="37"/>
        <v>-103147270</v>
      </c>
      <c r="ES50" s="272">
        <f t="shared" si="37"/>
        <v>380359371</v>
      </c>
      <c r="ET50" s="272">
        <f t="shared" si="37"/>
        <v>286496913</v>
      </c>
      <c r="EU50" s="272">
        <f t="shared" si="37"/>
        <v>44276116</v>
      </c>
      <c r="EV50" s="272">
        <f t="shared" si="37"/>
        <v>115717311</v>
      </c>
      <c r="EW50" s="455">
        <f t="shared" si="13"/>
        <v>129730431</v>
      </c>
      <c r="EX50" s="272">
        <f>EX37+EX49</f>
        <v>129700721</v>
      </c>
      <c r="EY50" s="272">
        <f>EY37+EY49</f>
        <v>8802049</v>
      </c>
      <c r="EZ50" s="272">
        <f>EZ37+EZ49</f>
        <v>118927664</v>
      </c>
      <c r="FA50" s="272">
        <f>FA37+FA49</f>
        <v>29710</v>
      </c>
      <c r="FB50" s="272"/>
      <c r="FC50" s="272">
        <f>FC37+FC49</f>
        <v>121397845</v>
      </c>
      <c r="FD50" s="272">
        <f>FD37+FD49</f>
        <v>93494958</v>
      </c>
      <c r="FE50" s="272">
        <f>FE37+FE49</f>
        <v>35648901</v>
      </c>
      <c r="FF50" s="272">
        <f>FF37+FF49</f>
        <v>116284804</v>
      </c>
      <c r="FG50" s="455">
        <f t="shared" si="14"/>
        <v>89512170</v>
      </c>
      <c r="FH50" s="272">
        <f>FH37+FH49</f>
        <v>1090773006</v>
      </c>
      <c r="FI50" s="384">
        <f t="shared" si="15"/>
        <v>1.9</v>
      </c>
      <c r="FJ50" s="272">
        <f>FJ37+FJ49</f>
        <v>909386630</v>
      </c>
      <c r="FK50" s="272">
        <f>FK37+FK49</f>
        <v>0</v>
      </c>
      <c r="FL50" s="272">
        <f>FL37+FL49</f>
        <v>626639689</v>
      </c>
      <c r="FM50" s="272">
        <f>FM37+FM49</f>
        <v>682347004</v>
      </c>
      <c r="FN50" s="468">
        <v>0.96399999999999997</v>
      </c>
      <c r="FO50" s="469">
        <v>84.1</v>
      </c>
      <c r="FP50" s="469">
        <v>39.5</v>
      </c>
      <c r="FQ50" s="469">
        <v>4.8</v>
      </c>
      <c r="FR50" s="469">
        <v>12</v>
      </c>
      <c r="FS50" s="469">
        <v>11.8</v>
      </c>
      <c r="FT50" s="469">
        <v>8.1999999999999993</v>
      </c>
      <c r="FU50" s="469">
        <v>6</v>
      </c>
      <c r="FV50" s="469">
        <v>9.8000000000000007</v>
      </c>
      <c r="FW50" s="272">
        <f>FW37+FW49</f>
        <v>1011711968</v>
      </c>
      <c r="FX50" s="384">
        <f t="shared" si="16"/>
        <v>111.3</v>
      </c>
      <c r="FY50" s="272">
        <f t="shared" ref="FY50:GD50" si="38">FY37+FY49</f>
        <v>470476127</v>
      </c>
      <c r="FZ50" s="272">
        <f t="shared" si="38"/>
        <v>102481520</v>
      </c>
      <c r="GA50" s="272">
        <f t="shared" si="38"/>
        <v>36423674</v>
      </c>
      <c r="GB50" s="272">
        <f t="shared" si="38"/>
        <v>331570933</v>
      </c>
      <c r="GC50" s="272">
        <f t="shared" si="38"/>
        <v>0</v>
      </c>
      <c r="GD50" s="272">
        <f t="shared" si="38"/>
        <v>466598309</v>
      </c>
      <c r="GE50" s="465">
        <f>ROUND(GD50/FJ53*100,1)</f>
        <v>52.5</v>
      </c>
      <c r="GF50" s="469">
        <v>97.8</v>
      </c>
      <c r="GG50" s="469">
        <v>30</v>
      </c>
      <c r="GH50" s="469">
        <v>95.2</v>
      </c>
      <c r="GI50" s="272">
        <f>GI37+GI49</f>
        <v>43576</v>
      </c>
    </row>
    <row r="51" spans="2:191" x14ac:dyDescent="0.15">
      <c r="GE51" s="31" t="s">
        <v>647</v>
      </c>
    </row>
    <row r="52" spans="2:191" x14ac:dyDescent="0.15">
      <c r="FJ52" s="394">
        <f>FJ40+FJ42+FJ43+FJ45+FJ46+FJ48</f>
        <v>23893469</v>
      </c>
      <c r="FO52" s="33"/>
      <c r="FP52" s="89" t="s">
        <v>816</v>
      </c>
    </row>
    <row r="53" spans="2:191" x14ac:dyDescent="0.15">
      <c r="FJ53" s="394">
        <f>FJ37+FJ52</f>
        <v>887945773</v>
      </c>
    </row>
  </sheetData>
  <phoneticPr fontId="3"/>
  <pageMargins left="0.75" right="0.75" top="1" bottom="1" header="0.51200000000000001" footer="0.51200000000000001"/>
  <pageSetup paperSize="9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0">
    <tabColor indexed="15"/>
  </sheetPr>
  <dimension ref="A1:GI53"/>
  <sheetViews>
    <sheetView workbookViewId="0">
      <pane xSplit="2" ySplit="5" topLeftCell="FT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</cols>
  <sheetData>
    <row r="1" spans="2:191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191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830</v>
      </c>
      <c r="O2" s="28" t="s">
        <v>857</v>
      </c>
      <c r="P2" s="28" t="s">
        <v>840</v>
      </c>
      <c r="Q2" s="28" t="s">
        <v>831</v>
      </c>
      <c r="R2" s="28" t="s">
        <v>351</v>
      </c>
      <c r="S2" s="28" t="s">
        <v>795</v>
      </c>
      <c r="U2" s="28" t="s">
        <v>725</v>
      </c>
      <c r="V2" s="28"/>
      <c r="W2" s="28"/>
      <c r="X2" s="28"/>
      <c r="Y2" s="28" t="s">
        <v>354</v>
      </c>
      <c r="Z2" s="28" t="s">
        <v>355</v>
      </c>
      <c r="AA2" s="28" t="s">
        <v>664</v>
      </c>
      <c r="AB2" s="28"/>
      <c r="AC2" s="28" t="s">
        <v>357</v>
      </c>
      <c r="AD2" s="28" t="s">
        <v>653</v>
      </c>
      <c r="AE2" s="28" t="s">
        <v>358</v>
      </c>
      <c r="AF2" s="28" t="s">
        <v>359</v>
      </c>
      <c r="AG2" s="28" t="s">
        <v>360</v>
      </c>
      <c r="AI2" s="28" t="s">
        <v>726</v>
      </c>
      <c r="AJ2" s="28" t="s">
        <v>667</v>
      </c>
      <c r="AK2" s="28" t="s">
        <v>852</v>
      </c>
      <c r="AL2" s="29"/>
      <c r="AM2" s="28" t="s">
        <v>685</v>
      </c>
      <c r="AN2" s="28" t="s">
        <v>669</v>
      </c>
      <c r="AO2" s="28" t="s">
        <v>796</v>
      </c>
      <c r="AP2" s="28" t="s">
        <v>727</v>
      </c>
      <c r="AQ2" s="28" t="s">
        <v>833</v>
      </c>
      <c r="AR2" s="28" t="s">
        <v>797</v>
      </c>
      <c r="AS2" s="28" t="s">
        <v>373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846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/>
      <c r="BR2" s="28"/>
      <c r="BS2" s="28"/>
      <c r="BT2" s="28" t="s">
        <v>850</v>
      </c>
      <c r="BU2" s="28" t="s">
        <v>806</v>
      </c>
      <c r="BW2" s="28" t="s">
        <v>402</v>
      </c>
      <c r="BX2" s="28" t="s">
        <v>403</v>
      </c>
      <c r="BY2" s="28" t="s">
        <v>853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836</v>
      </c>
      <c r="CM2" s="28" t="s">
        <v>837</v>
      </c>
      <c r="CN2" s="28" t="s">
        <v>838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854</v>
      </c>
      <c r="CV2" s="28" t="s">
        <v>855</v>
      </c>
      <c r="CX2" s="28" t="s">
        <v>426</v>
      </c>
      <c r="CY2" s="28" t="s">
        <v>812</v>
      </c>
      <c r="DA2" s="28" t="s">
        <v>822</v>
      </c>
      <c r="DB2" s="28" t="s">
        <v>823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824</v>
      </c>
      <c r="DW2" s="28" t="s">
        <v>449</v>
      </c>
      <c r="DX2" s="28" t="s">
        <v>448</v>
      </c>
      <c r="DY2" s="28"/>
      <c r="DZ2" s="28" t="s">
        <v>856</v>
      </c>
      <c r="EA2" s="28" t="s">
        <v>452</v>
      </c>
      <c r="EB2" s="28"/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191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827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191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851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203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191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828</v>
      </c>
      <c r="DX5" s="30" t="s">
        <v>829</v>
      </c>
      <c r="DY5" s="30"/>
      <c r="DZ5" s="30"/>
      <c r="EA5" s="30"/>
      <c r="EB5" s="30"/>
      <c r="EC5" s="30"/>
      <c r="ED5" s="3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191" x14ac:dyDescent="0.15">
      <c r="B6" s="89" t="s">
        <v>5</v>
      </c>
      <c r="C6" s="272">
        <v>24827738</v>
      </c>
      <c r="D6" s="455">
        <f t="shared" ref="D6:D50" si="0">E6+F6</f>
        <v>9511633</v>
      </c>
      <c r="E6" s="272">
        <v>126678</v>
      </c>
      <c r="F6" s="272">
        <v>9384955</v>
      </c>
      <c r="G6" s="455">
        <f t="shared" ref="G6:G50" si="1">H6+I6</f>
        <v>3444606</v>
      </c>
      <c r="H6" s="272">
        <v>342444</v>
      </c>
      <c r="I6" s="272">
        <v>3102162</v>
      </c>
      <c r="J6" s="272">
        <v>8638901</v>
      </c>
      <c r="K6" s="272">
        <v>4507273</v>
      </c>
      <c r="L6" s="272">
        <v>2757524</v>
      </c>
      <c r="M6" s="272">
        <v>1208292</v>
      </c>
      <c r="N6" s="272">
        <v>965987</v>
      </c>
      <c r="O6" s="272">
        <v>2045172</v>
      </c>
      <c r="P6" s="272">
        <v>1475150</v>
      </c>
      <c r="Q6" s="272">
        <v>570022</v>
      </c>
      <c r="R6" s="272">
        <v>1011141</v>
      </c>
      <c r="S6" s="272">
        <v>688273</v>
      </c>
      <c r="T6" s="455">
        <f t="shared" ref="T6:T50" si="2">SUM(U6:AA6)</f>
        <v>1685758</v>
      </c>
      <c r="U6" s="272">
        <v>1028191</v>
      </c>
      <c r="V6" s="272"/>
      <c r="W6" s="272"/>
      <c r="X6" s="272"/>
      <c r="Y6" s="272">
        <v>80712</v>
      </c>
      <c r="Z6" s="272">
        <v>6037</v>
      </c>
      <c r="AA6" s="272">
        <v>570818</v>
      </c>
      <c r="AB6" s="272"/>
      <c r="AC6" s="272">
        <v>3353487</v>
      </c>
      <c r="AD6" s="272">
        <v>3244927</v>
      </c>
      <c r="AE6" s="272">
        <v>108560</v>
      </c>
      <c r="AF6" s="272">
        <v>46671</v>
      </c>
      <c r="AG6" s="272">
        <v>250768</v>
      </c>
      <c r="AH6" s="455">
        <f t="shared" ref="AH6:AH50" si="3">AI6+AJ6</f>
        <v>1055504</v>
      </c>
      <c r="AI6" s="272">
        <v>956091</v>
      </c>
      <c r="AJ6" s="272">
        <v>99413</v>
      </c>
      <c r="AK6" s="272">
        <v>4165945</v>
      </c>
      <c r="AL6" s="455">
        <f t="shared" ref="AL6:AL50" si="4">SUM(AM6:AP6)</f>
        <v>2567083</v>
      </c>
      <c r="AM6" s="272">
        <v>1881105</v>
      </c>
      <c r="AN6" s="272">
        <v>508773</v>
      </c>
      <c r="AO6" s="272">
        <v>0</v>
      </c>
      <c r="AP6" s="272">
        <v>177205</v>
      </c>
      <c r="AQ6" s="272">
        <v>300148</v>
      </c>
      <c r="AR6" s="272">
        <v>9324</v>
      </c>
      <c r="AS6" s="272">
        <v>0</v>
      </c>
      <c r="AT6" s="272">
        <v>2614442</v>
      </c>
      <c r="AU6" s="272">
        <v>845540</v>
      </c>
      <c r="AV6" s="272">
        <v>282555</v>
      </c>
      <c r="AW6" s="272">
        <v>175125</v>
      </c>
      <c r="AX6" s="272">
        <v>1768902</v>
      </c>
      <c r="AY6" s="272">
        <v>608703</v>
      </c>
      <c r="AZ6" s="272">
        <v>970036</v>
      </c>
      <c r="BA6" s="272">
        <v>438294</v>
      </c>
      <c r="BB6" s="272">
        <v>176688</v>
      </c>
      <c r="BC6" s="272">
        <v>706117</v>
      </c>
      <c r="BD6" s="272">
        <v>0</v>
      </c>
      <c r="BE6" s="272">
        <v>211196</v>
      </c>
      <c r="BF6" s="272">
        <v>261184</v>
      </c>
      <c r="BG6" s="272">
        <v>0</v>
      </c>
      <c r="BH6" s="272">
        <v>1074683</v>
      </c>
      <c r="BI6" s="272">
        <v>440465</v>
      </c>
      <c r="BJ6" s="272">
        <v>3532400</v>
      </c>
      <c r="BK6" s="272">
        <v>91314</v>
      </c>
      <c r="BL6" s="272">
        <v>0</v>
      </c>
      <c r="BM6" s="272">
        <v>2713918</v>
      </c>
      <c r="BN6" s="272">
        <v>3274000</v>
      </c>
      <c r="BO6" s="455">
        <f t="shared" ref="BO6:BO50" si="5">BN6-BP6-BT6</f>
        <v>3274000</v>
      </c>
      <c r="BP6" s="455">
        <f t="shared" ref="BP6:BP50" si="6">BQ6+BR6+BS6</f>
        <v>0</v>
      </c>
      <c r="BQ6" s="272"/>
      <c r="BR6" s="272"/>
      <c r="BS6" s="272"/>
      <c r="BT6" s="272">
        <v>0</v>
      </c>
      <c r="BU6" s="272">
        <v>48745378</v>
      </c>
      <c r="BV6" s="272"/>
      <c r="BW6" s="272">
        <v>14035274</v>
      </c>
      <c r="BX6" s="272">
        <v>10499308</v>
      </c>
      <c r="BY6" s="272">
        <v>994169</v>
      </c>
      <c r="BZ6" s="272">
        <v>353836</v>
      </c>
      <c r="CA6" s="272">
        <v>5987095</v>
      </c>
      <c r="CB6" s="272">
        <v>804130</v>
      </c>
      <c r="CC6" s="272">
        <v>1129922</v>
      </c>
      <c r="CD6" s="272">
        <v>1492081</v>
      </c>
      <c r="CE6" s="272">
        <v>2398554</v>
      </c>
      <c r="CF6" s="272">
        <v>260</v>
      </c>
      <c r="CG6" s="272">
        <v>159978</v>
      </c>
      <c r="CH6" s="272">
        <v>4003490</v>
      </c>
      <c r="CI6" s="272">
        <v>2143940</v>
      </c>
      <c r="CJ6" s="455">
        <f t="shared" ref="CJ6:CJ50" si="7">CH6-CI6</f>
        <v>1859550</v>
      </c>
      <c r="CK6" s="272">
        <v>3983834</v>
      </c>
      <c r="CL6" s="272">
        <v>1683254</v>
      </c>
      <c r="CM6" s="272">
        <v>191204</v>
      </c>
      <c r="CN6" s="272">
        <v>1095332</v>
      </c>
      <c r="CO6" s="272">
        <v>527873</v>
      </c>
      <c r="CP6" s="272">
        <v>3492648</v>
      </c>
      <c r="CQ6" s="272">
        <v>904473</v>
      </c>
      <c r="CR6" s="272">
        <v>638306</v>
      </c>
      <c r="CS6" s="272">
        <v>596648</v>
      </c>
      <c r="CT6" s="455">
        <f t="shared" ref="CT6:CT50" si="8">CU6+CV6</f>
        <v>954029</v>
      </c>
      <c r="CU6" s="272">
        <v>177187</v>
      </c>
      <c r="CV6" s="272">
        <v>776842</v>
      </c>
      <c r="CW6" s="455">
        <f t="shared" ref="CW6:CW50" si="9">CX6+CY6</f>
        <v>898257</v>
      </c>
      <c r="CX6" s="272">
        <v>156537</v>
      </c>
      <c r="CY6" s="272">
        <v>741720</v>
      </c>
      <c r="CZ6" s="455">
        <f t="shared" ref="CZ6:CZ50" si="10">DA6+DB6</f>
        <v>0</v>
      </c>
      <c r="DA6" s="272">
        <v>0</v>
      </c>
      <c r="DB6" s="272">
        <v>0</v>
      </c>
      <c r="DC6" s="272">
        <v>9572405</v>
      </c>
      <c r="DD6" s="272">
        <v>983335</v>
      </c>
      <c r="DE6" s="272">
        <v>7907368</v>
      </c>
      <c r="DF6" s="272">
        <v>452402</v>
      </c>
      <c r="DG6" s="272">
        <v>229300</v>
      </c>
      <c r="DH6" s="272">
        <v>46324</v>
      </c>
      <c r="DI6" s="272">
        <v>1079761</v>
      </c>
      <c r="DJ6" s="272">
        <v>39682</v>
      </c>
      <c r="DK6" s="272">
        <v>388550</v>
      </c>
      <c r="DL6" s="272">
        <v>651529</v>
      </c>
      <c r="DM6" s="272">
        <v>1800</v>
      </c>
      <c r="DN6" s="272">
        <v>0</v>
      </c>
      <c r="DO6" s="272">
        <v>0</v>
      </c>
      <c r="DP6" s="272">
        <v>0</v>
      </c>
      <c r="DQ6" s="272">
        <v>85244</v>
      </c>
      <c r="DR6" s="272">
        <v>0</v>
      </c>
      <c r="DS6" s="272">
        <v>0</v>
      </c>
      <c r="DT6" s="272">
        <v>4874305</v>
      </c>
      <c r="DU6" s="272">
        <v>2935834</v>
      </c>
      <c r="DV6" s="455">
        <f t="shared" ref="DV6:DV50" si="11">DW6+DX6</f>
        <v>0</v>
      </c>
      <c r="DW6" s="272">
        <v>0</v>
      </c>
      <c r="DX6" s="272">
        <v>0</v>
      </c>
      <c r="DY6" s="457" t="s">
        <v>646</v>
      </c>
      <c r="DZ6" s="272">
        <v>739435</v>
      </c>
      <c r="EA6" s="272">
        <v>530690</v>
      </c>
      <c r="EB6" s="272"/>
      <c r="EC6" s="272">
        <v>0</v>
      </c>
      <c r="ED6" s="272">
        <v>47690053</v>
      </c>
      <c r="EF6" s="272">
        <v>1055325</v>
      </c>
      <c r="EG6" s="272">
        <v>603446</v>
      </c>
      <c r="EH6" s="272">
        <v>451879</v>
      </c>
      <c r="EI6" s="272">
        <v>11414</v>
      </c>
      <c r="EJ6" s="272">
        <v>51096</v>
      </c>
      <c r="EL6" s="272"/>
      <c r="EM6" s="272">
        <v>189053</v>
      </c>
      <c r="EN6" s="272">
        <v>467291</v>
      </c>
      <c r="EO6" s="272">
        <v>544162</v>
      </c>
      <c r="EP6" s="455">
        <f t="shared" ref="EP6:EP50" si="12">EQ6-ER6-C6-R6-T6-AB6-AC6-BP6-EN6-EO6</f>
        <v>4671543</v>
      </c>
      <c r="EQ6" s="272">
        <v>30924795</v>
      </c>
      <c r="ER6" s="272">
        <v>-5636325</v>
      </c>
      <c r="ES6" s="272">
        <v>12860740</v>
      </c>
      <c r="ET6" s="272">
        <v>9514113</v>
      </c>
      <c r="EU6" s="272">
        <v>1978402</v>
      </c>
      <c r="EV6" s="272">
        <v>3950018</v>
      </c>
      <c r="EW6" s="455">
        <f t="shared" ref="EW6:EW50" si="13">EX6+FA6+FB6</f>
        <v>4447846</v>
      </c>
      <c r="EX6" s="272">
        <v>4444755</v>
      </c>
      <c r="EY6" s="272">
        <v>197448</v>
      </c>
      <c r="EZ6" s="272">
        <v>3964205</v>
      </c>
      <c r="FA6" s="272">
        <v>3091</v>
      </c>
      <c r="FB6" s="272"/>
      <c r="FC6" s="272">
        <v>3366772</v>
      </c>
      <c r="FD6" s="272">
        <v>3094064</v>
      </c>
      <c r="FE6" s="272">
        <v>904473</v>
      </c>
      <c r="FF6" s="272">
        <v>4787209</v>
      </c>
      <c r="FG6" s="455">
        <f t="shared" ref="FG6:FG50" si="14">FH6-ES6-EU6-EV6-EW6-FC6-FD6-FF6</f>
        <v>1109261</v>
      </c>
      <c r="FH6" s="272">
        <v>35594312</v>
      </c>
      <c r="FI6" s="384">
        <f t="shared" ref="FI6:FI50" si="15">ROUND(EH6/FJ6*100,1)</f>
        <v>1.6</v>
      </c>
      <c r="FJ6" s="272">
        <v>28278957</v>
      </c>
      <c r="FK6" s="272"/>
      <c r="FL6" s="272">
        <v>18863825</v>
      </c>
      <c r="FM6" s="272">
        <v>22161211</v>
      </c>
      <c r="FN6" s="460">
        <v>0.84099999999999997</v>
      </c>
      <c r="FO6" s="388">
        <v>88.8</v>
      </c>
      <c r="FP6" s="388">
        <v>43.6</v>
      </c>
      <c r="FQ6" s="388">
        <v>6.8</v>
      </c>
      <c r="FR6" s="388">
        <v>12.1</v>
      </c>
      <c r="FS6" s="388">
        <v>10.8</v>
      </c>
      <c r="FT6" s="388">
        <v>5.4</v>
      </c>
      <c r="FU6" s="388">
        <v>8.6999999999999993</v>
      </c>
      <c r="FV6" s="388">
        <v>10.6</v>
      </c>
      <c r="FW6" s="272">
        <v>31792000</v>
      </c>
      <c r="FX6" s="384">
        <f t="shared" ref="FX6:FX50" si="16">ROUND(FW6/FJ6*100,1)</f>
        <v>112.4</v>
      </c>
      <c r="FY6" s="272">
        <v>10212339</v>
      </c>
      <c r="FZ6" s="272">
        <v>1011039</v>
      </c>
      <c r="GA6" s="272">
        <v>1882354</v>
      </c>
      <c r="GB6" s="272">
        <v>7318946</v>
      </c>
      <c r="GC6" s="272"/>
      <c r="GD6" s="272">
        <v>17082779</v>
      </c>
      <c r="GE6" s="384">
        <f t="shared" ref="GE6:GE37" si="17">ROUND(GD6/FJ6*100,1)</f>
        <v>60.4</v>
      </c>
      <c r="GF6" s="388">
        <v>98.6</v>
      </c>
      <c r="GG6" s="388">
        <v>32.1</v>
      </c>
      <c r="GH6" s="388">
        <v>96.4</v>
      </c>
      <c r="GI6" s="272">
        <v>1544</v>
      </c>
    </row>
    <row r="7" spans="2:191" x14ac:dyDescent="0.15">
      <c r="B7" s="89" t="s">
        <v>7</v>
      </c>
      <c r="C7" s="272">
        <v>72755149</v>
      </c>
      <c r="D7" s="455">
        <f t="shared" si="0"/>
        <v>38048239</v>
      </c>
      <c r="E7" s="272">
        <v>294891</v>
      </c>
      <c r="F7" s="272">
        <v>37753348</v>
      </c>
      <c r="G7" s="455">
        <f t="shared" si="1"/>
        <v>7988179</v>
      </c>
      <c r="H7" s="272">
        <v>771863</v>
      </c>
      <c r="I7" s="272">
        <v>7216316</v>
      </c>
      <c r="J7" s="272">
        <v>18896217</v>
      </c>
      <c r="K7" s="272">
        <v>8394147</v>
      </c>
      <c r="L7" s="272">
        <v>7289630</v>
      </c>
      <c r="M7" s="272">
        <v>2894156</v>
      </c>
      <c r="N7" s="272">
        <v>1912759</v>
      </c>
      <c r="O7" s="272">
        <v>4412510</v>
      </c>
      <c r="P7" s="272">
        <v>3000456</v>
      </c>
      <c r="Q7" s="272">
        <v>1412054</v>
      </c>
      <c r="R7" s="272">
        <v>3793555</v>
      </c>
      <c r="S7" s="272">
        <v>1384982</v>
      </c>
      <c r="T7" s="455">
        <f t="shared" si="2"/>
        <v>4992085</v>
      </c>
      <c r="U7" s="272">
        <v>3822595</v>
      </c>
      <c r="V7" s="272"/>
      <c r="W7" s="272"/>
      <c r="X7" s="272"/>
      <c r="Y7" s="272">
        <v>0</v>
      </c>
      <c r="Z7" s="272">
        <v>15002</v>
      </c>
      <c r="AA7" s="272">
        <v>1154488</v>
      </c>
      <c r="AB7" s="272"/>
      <c r="AC7" s="272">
        <v>228100</v>
      </c>
      <c r="AD7" s="272">
        <v>0</v>
      </c>
      <c r="AE7" s="272">
        <v>228100</v>
      </c>
      <c r="AF7" s="272">
        <v>88200</v>
      </c>
      <c r="AG7" s="272">
        <v>849163</v>
      </c>
      <c r="AH7" s="455">
        <f t="shared" si="3"/>
        <v>1963184</v>
      </c>
      <c r="AI7" s="272">
        <v>1802228</v>
      </c>
      <c r="AJ7" s="272">
        <v>160956</v>
      </c>
      <c r="AK7" s="272">
        <v>7514743</v>
      </c>
      <c r="AL7" s="455">
        <f t="shared" si="4"/>
        <v>4253588</v>
      </c>
      <c r="AM7" s="272">
        <v>3580994</v>
      </c>
      <c r="AN7" s="272">
        <v>380145</v>
      </c>
      <c r="AO7" s="272">
        <v>0</v>
      </c>
      <c r="AP7" s="272">
        <v>292449</v>
      </c>
      <c r="AQ7" s="272">
        <v>1484951</v>
      </c>
      <c r="AR7" s="272">
        <v>0</v>
      </c>
      <c r="AS7" s="272">
        <v>0</v>
      </c>
      <c r="AT7" s="272">
        <v>4192949</v>
      </c>
      <c r="AU7" s="272">
        <v>1116609</v>
      </c>
      <c r="AV7" s="272">
        <v>211857</v>
      </c>
      <c r="AW7" s="272">
        <v>33309</v>
      </c>
      <c r="AX7" s="272">
        <v>3076340</v>
      </c>
      <c r="AY7" s="272">
        <v>275110</v>
      </c>
      <c r="AZ7" s="272">
        <v>3485192</v>
      </c>
      <c r="BA7" s="272">
        <v>298437</v>
      </c>
      <c r="BB7" s="272">
        <v>345193</v>
      </c>
      <c r="BC7" s="272">
        <v>5360147</v>
      </c>
      <c r="BD7" s="272">
        <v>2800000</v>
      </c>
      <c r="BE7" s="272">
        <v>0</v>
      </c>
      <c r="BF7" s="272">
        <v>2305920</v>
      </c>
      <c r="BG7" s="272">
        <v>0</v>
      </c>
      <c r="BH7" s="272">
        <v>2267830</v>
      </c>
      <c r="BI7" s="272">
        <v>988487</v>
      </c>
      <c r="BJ7" s="272">
        <v>3553621</v>
      </c>
      <c r="BK7" s="272">
        <v>1225806</v>
      </c>
      <c r="BL7" s="272">
        <v>0</v>
      </c>
      <c r="BM7" s="272">
        <v>788947</v>
      </c>
      <c r="BN7" s="272">
        <v>5116239</v>
      </c>
      <c r="BO7" s="455">
        <f t="shared" si="5"/>
        <v>5116239</v>
      </c>
      <c r="BP7" s="455">
        <f t="shared" si="6"/>
        <v>0</v>
      </c>
      <c r="BQ7" s="272"/>
      <c r="BR7" s="272"/>
      <c r="BS7" s="272"/>
      <c r="BT7" s="272">
        <v>0</v>
      </c>
      <c r="BU7" s="272">
        <v>116505350</v>
      </c>
      <c r="BV7" s="272"/>
      <c r="BW7" s="272">
        <v>31807999</v>
      </c>
      <c r="BX7" s="272">
        <v>25044143</v>
      </c>
      <c r="BY7" s="272">
        <v>1465263</v>
      </c>
      <c r="BZ7" s="272">
        <v>648227</v>
      </c>
      <c r="CA7" s="272">
        <v>9352295</v>
      </c>
      <c r="CB7" s="272">
        <v>1085576</v>
      </c>
      <c r="CC7" s="272">
        <v>1795315</v>
      </c>
      <c r="CD7" s="272">
        <v>1449146</v>
      </c>
      <c r="CE7" s="272">
        <v>4826311</v>
      </c>
      <c r="CF7" s="272">
        <v>151</v>
      </c>
      <c r="CG7" s="272">
        <v>191486</v>
      </c>
      <c r="CH7" s="272">
        <v>8178883</v>
      </c>
      <c r="CI7" s="272">
        <v>4517474</v>
      </c>
      <c r="CJ7" s="455">
        <f t="shared" si="7"/>
        <v>3661409</v>
      </c>
      <c r="CK7" s="272">
        <v>10552407</v>
      </c>
      <c r="CL7" s="272">
        <v>4302731</v>
      </c>
      <c r="CM7" s="272">
        <v>253969</v>
      </c>
      <c r="CN7" s="272">
        <v>3271770</v>
      </c>
      <c r="CO7" s="272">
        <v>3051844</v>
      </c>
      <c r="CP7" s="272">
        <v>10171119</v>
      </c>
      <c r="CQ7" s="272">
        <v>2938341</v>
      </c>
      <c r="CR7" s="272">
        <v>2309896</v>
      </c>
      <c r="CS7" s="272">
        <v>1410002</v>
      </c>
      <c r="CT7" s="455">
        <f t="shared" si="8"/>
        <v>1904136</v>
      </c>
      <c r="CU7" s="272">
        <v>1559257</v>
      </c>
      <c r="CV7" s="272">
        <v>344879</v>
      </c>
      <c r="CW7" s="455">
        <f t="shared" si="9"/>
        <v>1544889</v>
      </c>
      <c r="CX7" s="272">
        <v>1527105</v>
      </c>
      <c r="CY7" s="272">
        <v>17784</v>
      </c>
      <c r="CZ7" s="455">
        <f t="shared" si="10"/>
        <v>0</v>
      </c>
      <c r="DA7" s="272">
        <v>0</v>
      </c>
      <c r="DB7" s="272">
        <v>0</v>
      </c>
      <c r="DC7" s="272">
        <v>21320613</v>
      </c>
      <c r="DD7" s="272">
        <v>3400893</v>
      </c>
      <c r="DE7" s="272">
        <v>17039959</v>
      </c>
      <c r="DF7" s="272">
        <v>761961</v>
      </c>
      <c r="DG7" s="272">
        <v>117800</v>
      </c>
      <c r="DH7" s="272">
        <v>0</v>
      </c>
      <c r="DI7" s="272">
        <v>9421189</v>
      </c>
      <c r="DJ7" s="272">
        <v>1263353</v>
      </c>
      <c r="DK7" s="272">
        <v>0</v>
      </c>
      <c r="DL7" s="272">
        <v>8157836</v>
      </c>
      <c r="DM7" s="272">
        <v>742237</v>
      </c>
      <c r="DN7" s="272">
        <v>739937</v>
      </c>
      <c r="DO7" s="272">
        <v>288000</v>
      </c>
      <c r="DP7" s="272">
        <v>451937</v>
      </c>
      <c r="DQ7" s="272">
        <v>1204990</v>
      </c>
      <c r="DR7" s="272">
        <v>0</v>
      </c>
      <c r="DS7" s="272">
        <v>0</v>
      </c>
      <c r="DT7" s="272">
        <v>8811989</v>
      </c>
      <c r="DU7" s="272">
        <v>5559425</v>
      </c>
      <c r="DV7" s="455">
        <f t="shared" si="11"/>
        <v>0</v>
      </c>
      <c r="DW7" s="272">
        <v>0</v>
      </c>
      <c r="DX7" s="272">
        <v>0</v>
      </c>
      <c r="DY7" s="457" t="s">
        <v>646</v>
      </c>
      <c r="DZ7" s="272">
        <v>2414418</v>
      </c>
      <c r="EA7" s="272">
        <v>789686</v>
      </c>
      <c r="EB7" s="272"/>
      <c r="EC7" s="272">
        <v>0</v>
      </c>
      <c r="ED7" s="272">
        <v>114615565</v>
      </c>
      <c r="EF7" s="272">
        <v>1889785</v>
      </c>
      <c r="EG7" s="272">
        <v>931251</v>
      </c>
      <c r="EH7" s="272">
        <v>958534</v>
      </c>
      <c r="EI7" s="272">
        <v>-29953</v>
      </c>
      <c r="EJ7" s="272">
        <v>-1566600</v>
      </c>
      <c r="EL7" s="272"/>
      <c r="EM7" s="272">
        <v>401506</v>
      </c>
      <c r="EN7" s="272">
        <v>2800000</v>
      </c>
      <c r="EO7" s="272">
        <v>162138</v>
      </c>
      <c r="EP7" s="455">
        <f t="shared" si="12"/>
        <v>3762646</v>
      </c>
      <c r="EQ7" s="272">
        <v>81857089</v>
      </c>
      <c r="ER7" s="272">
        <v>-6636584</v>
      </c>
      <c r="ES7" s="272">
        <v>29314096</v>
      </c>
      <c r="ET7" s="272">
        <v>22645856</v>
      </c>
      <c r="EU7" s="272">
        <v>3146328</v>
      </c>
      <c r="EV7" s="272">
        <v>7937539</v>
      </c>
      <c r="EW7" s="455">
        <f t="shared" si="13"/>
        <v>10717313</v>
      </c>
      <c r="EX7" s="272">
        <v>10717313</v>
      </c>
      <c r="EY7" s="272">
        <v>460202</v>
      </c>
      <c r="EZ7" s="272">
        <v>9680350</v>
      </c>
      <c r="FA7" s="272">
        <v>0</v>
      </c>
      <c r="FB7" s="272"/>
      <c r="FC7" s="272">
        <v>9059714</v>
      </c>
      <c r="FD7" s="272">
        <v>8865060</v>
      </c>
      <c r="FE7" s="272">
        <v>2938341</v>
      </c>
      <c r="FF7" s="272">
        <v>8477150</v>
      </c>
      <c r="FG7" s="455">
        <f t="shared" si="14"/>
        <v>9092556</v>
      </c>
      <c r="FH7" s="272">
        <v>86609756</v>
      </c>
      <c r="FI7" s="384">
        <f t="shared" si="15"/>
        <v>1.3</v>
      </c>
      <c r="FJ7" s="272">
        <v>73556706</v>
      </c>
      <c r="FK7" s="272"/>
      <c r="FL7" s="272">
        <v>55745187</v>
      </c>
      <c r="FM7" s="272">
        <v>45896806</v>
      </c>
      <c r="FN7" s="460">
        <v>1.1990000000000001</v>
      </c>
      <c r="FO7" s="388">
        <v>78.5</v>
      </c>
      <c r="FP7" s="388">
        <v>37.299999999999997</v>
      </c>
      <c r="FQ7" s="388">
        <v>4</v>
      </c>
      <c r="FR7" s="388">
        <v>10.1</v>
      </c>
      <c r="FS7" s="388">
        <v>11.3</v>
      </c>
      <c r="FT7" s="388">
        <v>8.1999999999999993</v>
      </c>
      <c r="FU7" s="388">
        <v>4.4000000000000004</v>
      </c>
      <c r="FV7" s="388">
        <v>8.4</v>
      </c>
      <c r="FW7" s="272">
        <v>60779592</v>
      </c>
      <c r="FX7" s="384">
        <f t="shared" si="16"/>
        <v>82.6</v>
      </c>
      <c r="FY7" s="272">
        <v>53659657</v>
      </c>
      <c r="FZ7" s="272">
        <v>11608702</v>
      </c>
      <c r="GA7" s="272"/>
      <c r="GB7" s="272">
        <v>42050955</v>
      </c>
      <c r="GC7" s="272"/>
      <c r="GD7" s="272">
        <v>57348374</v>
      </c>
      <c r="GE7" s="384">
        <f t="shared" si="17"/>
        <v>78</v>
      </c>
      <c r="GF7" s="388">
        <v>97.9</v>
      </c>
      <c r="GG7" s="388">
        <v>27.6</v>
      </c>
      <c r="GH7" s="388">
        <v>95.2</v>
      </c>
      <c r="GI7" s="272">
        <v>3413</v>
      </c>
    </row>
    <row r="8" spans="2:191" x14ac:dyDescent="0.15">
      <c r="B8" s="89" t="s">
        <v>9</v>
      </c>
      <c r="C8" s="272">
        <v>18769640</v>
      </c>
      <c r="D8" s="455">
        <f t="shared" si="0"/>
        <v>9220656</v>
      </c>
      <c r="E8" s="272">
        <v>74212</v>
      </c>
      <c r="F8" s="272">
        <v>9146444</v>
      </c>
      <c r="G8" s="455">
        <f t="shared" si="1"/>
        <v>2295049</v>
      </c>
      <c r="H8" s="272">
        <v>219336</v>
      </c>
      <c r="I8" s="272">
        <v>2075713</v>
      </c>
      <c r="J8" s="272">
        <v>5239161</v>
      </c>
      <c r="K8" s="272">
        <v>2606514</v>
      </c>
      <c r="L8" s="272">
        <v>1747436</v>
      </c>
      <c r="M8" s="272">
        <v>827941</v>
      </c>
      <c r="N8" s="272">
        <v>484884</v>
      </c>
      <c r="O8" s="272">
        <v>1439404</v>
      </c>
      <c r="P8" s="272">
        <v>1054498</v>
      </c>
      <c r="Q8" s="272">
        <v>384906</v>
      </c>
      <c r="R8" s="272">
        <v>665881</v>
      </c>
      <c r="S8" s="272">
        <v>419099</v>
      </c>
      <c r="T8" s="455">
        <f t="shared" si="2"/>
        <v>1378360</v>
      </c>
      <c r="U8" s="272">
        <v>921510</v>
      </c>
      <c r="V8" s="272"/>
      <c r="W8" s="272"/>
      <c r="X8" s="272"/>
      <c r="Y8" s="272">
        <v>142602</v>
      </c>
      <c r="Z8" s="272">
        <v>5946</v>
      </c>
      <c r="AA8" s="272">
        <v>308302</v>
      </c>
      <c r="AB8" s="272"/>
      <c r="AC8" s="272">
        <v>272352</v>
      </c>
      <c r="AD8" s="272">
        <v>0</v>
      </c>
      <c r="AE8" s="272">
        <v>272352</v>
      </c>
      <c r="AF8" s="272">
        <v>24697</v>
      </c>
      <c r="AG8" s="272">
        <v>111584</v>
      </c>
      <c r="AH8" s="455">
        <f t="shared" si="3"/>
        <v>595392</v>
      </c>
      <c r="AI8" s="272">
        <v>492739</v>
      </c>
      <c r="AJ8" s="272">
        <v>102653</v>
      </c>
      <c r="AK8" s="272">
        <v>1329698</v>
      </c>
      <c r="AL8" s="455">
        <f t="shared" si="4"/>
        <v>718510</v>
      </c>
      <c r="AM8" s="272">
        <v>512686</v>
      </c>
      <c r="AN8" s="272">
        <v>108043</v>
      </c>
      <c r="AO8" s="272">
        <v>0</v>
      </c>
      <c r="AP8" s="272">
        <v>97781</v>
      </c>
      <c r="AQ8" s="272">
        <v>244821</v>
      </c>
      <c r="AR8" s="272">
        <v>0</v>
      </c>
      <c r="AS8" s="272">
        <v>0</v>
      </c>
      <c r="AT8" s="272">
        <v>1530995</v>
      </c>
      <c r="AU8" s="272">
        <v>272165</v>
      </c>
      <c r="AV8" s="272">
        <v>55271</v>
      </c>
      <c r="AW8" s="272">
        <v>58771</v>
      </c>
      <c r="AX8" s="272">
        <v>1258830</v>
      </c>
      <c r="AY8" s="272">
        <v>405614</v>
      </c>
      <c r="AZ8" s="272">
        <v>490270</v>
      </c>
      <c r="BA8" s="272">
        <v>66723</v>
      </c>
      <c r="BB8" s="272">
        <v>238665</v>
      </c>
      <c r="BC8" s="272">
        <v>37141</v>
      </c>
      <c r="BD8" s="272">
        <v>0</v>
      </c>
      <c r="BE8" s="272">
        <v>0</v>
      </c>
      <c r="BF8" s="272">
        <v>34376</v>
      </c>
      <c r="BG8" s="272">
        <v>0</v>
      </c>
      <c r="BH8" s="272">
        <v>260190</v>
      </c>
      <c r="BI8" s="272">
        <v>79777</v>
      </c>
      <c r="BJ8" s="272">
        <v>2040733</v>
      </c>
      <c r="BK8" s="272">
        <v>743068</v>
      </c>
      <c r="BL8" s="272">
        <v>69474</v>
      </c>
      <c r="BM8" s="272">
        <v>514644</v>
      </c>
      <c r="BN8" s="272">
        <v>1484000</v>
      </c>
      <c r="BO8" s="455">
        <f t="shared" si="5"/>
        <v>1484000</v>
      </c>
      <c r="BP8" s="455">
        <f t="shared" si="6"/>
        <v>0</v>
      </c>
      <c r="BQ8" s="272"/>
      <c r="BR8" s="272"/>
      <c r="BS8" s="272"/>
      <c r="BT8" s="272">
        <v>0</v>
      </c>
      <c r="BU8" s="272">
        <v>29229598</v>
      </c>
      <c r="BV8" s="272"/>
      <c r="BW8" s="272">
        <v>9377507</v>
      </c>
      <c r="BX8" s="272">
        <v>7230758</v>
      </c>
      <c r="BY8" s="272">
        <v>383786</v>
      </c>
      <c r="BZ8" s="272">
        <v>169414</v>
      </c>
      <c r="CA8" s="272">
        <v>1887133</v>
      </c>
      <c r="CB8" s="272">
        <v>255173</v>
      </c>
      <c r="CC8" s="272">
        <v>499769</v>
      </c>
      <c r="CD8" s="272">
        <v>426355</v>
      </c>
      <c r="CE8" s="272">
        <v>685750</v>
      </c>
      <c r="CF8" s="272">
        <v>3905</v>
      </c>
      <c r="CG8" s="272">
        <v>16066</v>
      </c>
      <c r="CH8" s="272">
        <v>3037089</v>
      </c>
      <c r="CI8" s="272">
        <v>1648628</v>
      </c>
      <c r="CJ8" s="455">
        <f t="shared" si="7"/>
        <v>1388461</v>
      </c>
      <c r="CK8" s="272">
        <v>2716137</v>
      </c>
      <c r="CL8" s="272">
        <v>1180877</v>
      </c>
      <c r="CM8" s="272">
        <v>113004</v>
      </c>
      <c r="CN8" s="272">
        <v>873504</v>
      </c>
      <c r="CO8" s="272">
        <v>809288</v>
      </c>
      <c r="CP8" s="272">
        <v>1451178</v>
      </c>
      <c r="CQ8" s="272">
        <v>0</v>
      </c>
      <c r="CR8" s="272">
        <v>437626</v>
      </c>
      <c r="CS8" s="272">
        <v>295610</v>
      </c>
      <c r="CT8" s="455">
        <f t="shared" si="8"/>
        <v>661423</v>
      </c>
      <c r="CU8" s="272">
        <v>347662</v>
      </c>
      <c r="CV8" s="272">
        <v>313761</v>
      </c>
      <c r="CW8" s="455">
        <f t="shared" si="9"/>
        <v>504521</v>
      </c>
      <c r="CX8" s="272">
        <v>343421</v>
      </c>
      <c r="CY8" s="272">
        <v>161100</v>
      </c>
      <c r="CZ8" s="455">
        <f t="shared" si="10"/>
        <v>0</v>
      </c>
      <c r="DA8" s="272">
        <v>0</v>
      </c>
      <c r="DB8" s="272">
        <v>0</v>
      </c>
      <c r="DC8" s="272">
        <v>4303334</v>
      </c>
      <c r="DD8" s="272">
        <v>699437</v>
      </c>
      <c r="DE8" s="272">
        <v>3523761</v>
      </c>
      <c r="DF8" s="272">
        <v>10662</v>
      </c>
      <c r="DG8" s="272">
        <v>69474</v>
      </c>
      <c r="DH8" s="272">
        <v>4893</v>
      </c>
      <c r="DI8" s="272">
        <v>2626015</v>
      </c>
      <c r="DJ8" s="272">
        <v>392720</v>
      </c>
      <c r="DK8" s="272">
        <v>0</v>
      </c>
      <c r="DL8" s="272">
        <v>2233295</v>
      </c>
      <c r="DM8" s="272">
        <v>113096</v>
      </c>
      <c r="DN8" s="272">
        <v>112336</v>
      </c>
      <c r="DO8" s="272">
        <v>30107</v>
      </c>
      <c r="DP8" s="272">
        <v>82229</v>
      </c>
      <c r="DQ8" s="272">
        <v>717106</v>
      </c>
      <c r="DR8" s="272">
        <v>0</v>
      </c>
      <c r="DS8" s="272">
        <v>0</v>
      </c>
      <c r="DT8" s="272">
        <v>1953456</v>
      </c>
      <c r="DU8" s="272">
        <v>1403635</v>
      </c>
      <c r="DV8" s="455">
        <f t="shared" si="11"/>
        <v>0</v>
      </c>
      <c r="DW8" s="272">
        <v>0</v>
      </c>
      <c r="DX8" s="272">
        <v>0</v>
      </c>
      <c r="DY8" s="457" t="s">
        <v>646</v>
      </c>
      <c r="DZ8" s="272">
        <v>285932</v>
      </c>
      <c r="EA8" s="272">
        <v>259878</v>
      </c>
      <c r="EB8" s="272"/>
      <c r="EC8" s="272">
        <v>0</v>
      </c>
      <c r="ED8" s="272">
        <v>28996232</v>
      </c>
      <c r="EF8" s="272">
        <v>233366</v>
      </c>
      <c r="EG8" s="272">
        <v>376</v>
      </c>
      <c r="EH8" s="272">
        <v>232990</v>
      </c>
      <c r="EI8" s="272">
        <v>53213</v>
      </c>
      <c r="EJ8" s="272">
        <v>445933</v>
      </c>
      <c r="EL8" s="272"/>
      <c r="EM8" s="272">
        <v>101936</v>
      </c>
      <c r="EN8" s="272">
        <v>0</v>
      </c>
      <c r="EO8" s="272">
        <v>91472</v>
      </c>
      <c r="EP8" s="455">
        <f t="shared" si="12"/>
        <v>1021827</v>
      </c>
      <c r="EQ8" s="272">
        <v>21110930</v>
      </c>
      <c r="ER8" s="272">
        <v>-1088602</v>
      </c>
      <c r="ES8" s="272">
        <v>8664795</v>
      </c>
      <c r="ET8" s="272">
        <v>6540962</v>
      </c>
      <c r="EU8" s="272">
        <v>694654</v>
      </c>
      <c r="EV8" s="272">
        <v>2985406</v>
      </c>
      <c r="EW8" s="455">
        <f t="shared" si="13"/>
        <v>1379050</v>
      </c>
      <c r="EX8" s="272">
        <v>1379050</v>
      </c>
      <c r="EY8" s="272">
        <v>129233</v>
      </c>
      <c r="EZ8" s="272">
        <v>1239155</v>
      </c>
      <c r="FA8" s="272">
        <v>0</v>
      </c>
      <c r="FB8" s="272"/>
      <c r="FC8" s="272">
        <v>2206768</v>
      </c>
      <c r="FD8" s="272">
        <v>1215225</v>
      </c>
      <c r="FE8" s="272"/>
      <c r="FF8" s="272">
        <v>1881487</v>
      </c>
      <c r="FG8" s="455">
        <f t="shared" si="14"/>
        <v>2939183</v>
      </c>
      <c r="FH8" s="272">
        <v>21966568</v>
      </c>
      <c r="FI8" s="384">
        <f t="shared" si="15"/>
        <v>1.3</v>
      </c>
      <c r="FJ8" s="272">
        <v>18581508</v>
      </c>
      <c r="FK8" s="272"/>
      <c r="FL8" s="272">
        <v>14001394</v>
      </c>
      <c r="FM8" s="272">
        <v>12453396</v>
      </c>
      <c r="FN8" s="460">
        <v>1.089</v>
      </c>
      <c r="FO8" s="388">
        <v>87.2</v>
      </c>
      <c r="FP8" s="388">
        <v>43.7</v>
      </c>
      <c r="FQ8" s="388">
        <v>3.5</v>
      </c>
      <c r="FR8" s="388">
        <v>15.2</v>
      </c>
      <c r="FS8" s="388">
        <v>10.199999999999999</v>
      </c>
      <c r="FT8" s="388">
        <v>4.0999999999999996</v>
      </c>
      <c r="FU8" s="388">
        <v>7</v>
      </c>
      <c r="FV8" s="388">
        <v>15.8</v>
      </c>
      <c r="FW8" s="272">
        <v>20150658</v>
      </c>
      <c r="FX8" s="384">
        <f t="shared" si="16"/>
        <v>108.4</v>
      </c>
      <c r="FY8" s="272">
        <v>8537748</v>
      </c>
      <c r="FZ8" s="272">
        <v>1136200</v>
      </c>
      <c r="GA8" s="272"/>
      <c r="GB8" s="272">
        <v>7401548</v>
      </c>
      <c r="GC8" s="272"/>
      <c r="GD8" s="272">
        <v>11873323</v>
      </c>
      <c r="GE8" s="384">
        <f t="shared" si="17"/>
        <v>63.9</v>
      </c>
      <c r="GF8" s="388">
        <v>97.5</v>
      </c>
      <c r="GG8" s="388">
        <v>28.5</v>
      </c>
      <c r="GH8" s="388">
        <v>95</v>
      </c>
      <c r="GI8" s="272">
        <v>980</v>
      </c>
    </row>
    <row r="9" spans="2:191" x14ac:dyDescent="0.15">
      <c r="B9" s="89" t="s">
        <v>11</v>
      </c>
      <c r="C9" s="272">
        <v>66192888</v>
      </c>
      <c r="D9" s="455">
        <f t="shared" si="0"/>
        <v>31642592</v>
      </c>
      <c r="E9" s="272">
        <v>250832</v>
      </c>
      <c r="F9" s="272">
        <v>31391760</v>
      </c>
      <c r="G9" s="455">
        <f t="shared" si="1"/>
        <v>8367707</v>
      </c>
      <c r="H9" s="272">
        <v>773970</v>
      </c>
      <c r="I9" s="272">
        <v>7593737</v>
      </c>
      <c r="J9" s="272">
        <v>18624675</v>
      </c>
      <c r="K9" s="272">
        <v>8357816</v>
      </c>
      <c r="L9" s="272">
        <v>7249646</v>
      </c>
      <c r="M9" s="272">
        <v>2695521</v>
      </c>
      <c r="N9" s="272">
        <v>1390041</v>
      </c>
      <c r="O9" s="272">
        <v>4741344</v>
      </c>
      <c r="P9" s="272">
        <v>3105608</v>
      </c>
      <c r="Q9" s="272">
        <v>1635736</v>
      </c>
      <c r="R9" s="272">
        <v>1730104</v>
      </c>
      <c r="S9" s="272">
        <v>1193934</v>
      </c>
      <c r="T9" s="455">
        <f t="shared" si="2"/>
        <v>4118109</v>
      </c>
      <c r="U9" s="272">
        <v>3136085</v>
      </c>
      <c r="V9" s="272"/>
      <c r="W9" s="272"/>
      <c r="X9" s="272"/>
      <c r="Y9" s="272">
        <v>0</v>
      </c>
      <c r="Z9" s="272">
        <v>17981</v>
      </c>
      <c r="AA9" s="272">
        <v>964043</v>
      </c>
      <c r="AB9" s="272"/>
      <c r="AC9" s="272">
        <v>240503</v>
      </c>
      <c r="AD9" s="272">
        <v>0</v>
      </c>
      <c r="AE9" s="272">
        <v>240503</v>
      </c>
      <c r="AF9" s="272">
        <v>72243</v>
      </c>
      <c r="AG9" s="272">
        <v>1098671</v>
      </c>
      <c r="AH9" s="455">
        <f t="shared" si="3"/>
        <v>1813285</v>
      </c>
      <c r="AI9" s="272">
        <v>1476573</v>
      </c>
      <c r="AJ9" s="272">
        <v>336712</v>
      </c>
      <c r="AK9" s="272">
        <v>9564459</v>
      </c>
      <c r="AL9" s="455">
        <f t="shared" si="4"/>
        <v>3746989</v>
      </c>
      <c r="AM9" s="272">
        <v>2739259</v>
      </c>
      <c r="AN9" s="272">
        <v>674363</v>
      </c>
      <c r="AO9" s="272">
        <v>0</v>
      </c>
      <c r="AP9" s="272">
        <v>333367</v>
      </c>
      <c r="AQ9" s="272">
        <v>2946402</v>
      </c>
      <c r="AR9" s="272">
        <v>0</v>
      </c>
      <c r="AS9" s="272">
        <v>0</v>
      </c>
      <c r="AT9" s="272">
        <v>3974916</v>
      </c>
      <c r="AU9" s="272">
        <v>845019</v>
      </c>
      <c r="AV9" s="272">
        <v>227106</v>
      </c>
      <c r="AW9" s="272">
        <v>151359</v>
      </c>
      <c r="AX9" s="272">
        <v>3129897</v>
      </c>
      <c r="AY9" s="272">
        <v>851464</v>
      </c>
      <c r="AZ9" s="272">
        <v>7587916</v>
      </c>
      <c r="BA9" s="272">
        <v>4461666</v>
      </c>
      <c r="BB9" s="272">
        <v>218403</v>
      </c>
      <c r="BC9" s="272">
        <v>12085380</v>
      </c>
      <c r="BD9" s="272">
        <v>0</v>
      </c>
      <c r="BE9" s="272">
        <v>0</v>
      </c>
      <c r="BF9" s="272">
        <v>12085380</v>
      </c>
      <c r="BG9" s="272">
        <v>0</v>
      </c>
      <c r="BH9" s="272">
        <v>6205289</v>
      </c>
      <c r="BI9" s="272">
        <v>3381061</v>
      </c>
      <c r="BJ9" s="272">
        <v>4387746</v>
      </c>
      <c r="BK9" s="272">
        <v>1104136</v>
      </c>
      <c r="BL9" s="272">
        <v>846555</v>
      </c>
      <c r="BM9" s="272">
        <v>718801</v>
      </c>
      <c r="BN9" s="272">
        <v>3556700</v>
      </c>
      <c r="BO9" s="455">
        <f t="shared" si="5"/>
        <v>3556700</v>
      </c>
      <c r="BP9" s="455">
        <f t="shared" si="6"/>
        <v>0</v>
      </c>
      <c r="BQ9" s="272"/>
      <c r="BR9" s="272"/>
      <c r="BS9" s="272"/>
      <c r="BT9" s="272">
        <v>0</v>
      </c>
      <c r="BU9" s="272">
        <v>122846612</v>
      </c>
      <c r="BV9" s="272"/>
      <c r="BW9" s="272">
        <v>25470383</v>
      </c>
      <c r="BX9" s="272">
        <v>19654506</v>
      </c>
      <c r="BY9" s="272">
        <v>1021211</v>
      </c>
      <c r="BZ9" s="272">
        <v>1056439</v>
      </c>
      <c r="CA9" s="272">
        <v>9295228</v>
      </c>
      <c r="CB9" s="272">
        <v>1103742</v>
      </c>
      <c r="CC9" s="272">
        <v>1739000</v>
      </c>
      <c r="CD9" s="272">
        <v>1981446</v>
      </c>
      <c r="CE9" s="272">
        <v>3568725</v>
      </c>
      <c r="CF9" s="272">
        <v>575438</v>
      </c>
      <c r="CG9" s="272">
        <v>326877</v>
      </c>
      <c r="CH9" s="272">
        <v>6049396</v>
      </c>
      <c r="CI9" s="272">
        <v>3238271</v>
      </c>
      <c r="CJ9" s="455">
        <f t="shared" si="7"/>
        <v>2811125</v>
      </c>
      <c r="CK9" s="272">
        <v>9758593</v>
      </c>
      <c r="CL9" s="272">
        <v>5291116</v>
      </c>
      <c r="CM9" s="272">
        <v>187352</v>
      </c>
      <c r="CN9" s="272">
        <v>2519123</v>
      </c>
      <c r="CO9" s="272">
        <v>2318680</v>
      </c>
      <c r="CP9" s="272">
        <v>3790920</v>
      </c>
      <c r="CQ9" s="272">
        <v>995</v>
      </c>
      <c r="CR9" s="272">
        <v>1177206</v>
      </c>
      <c r="CS9" s="272">
        <v>1008319</v>
      </c>
      <c r="CT9" s="455">
        <f t="shared" si="8"/>
        <v>1436057</v>
      </c>
      <c r="CU9" s="272">
        <v>943226</v>
      </c>
      <c r="CV9" s="272">
        <v>492831</v>
      </c>
      <c r="CW9" s="455">
        <f t="shared" si="9"/>
        <v>1404000</v>
      </c>
      <c r="CX9" s="272">
        <v>911169</v>
      </c>
      <c r="CY9" s="272">
        <v>492831</v>
      </c>
      <c r="CZ9" s="455">
        <f t="shared" si="10"/>
        <v>0</v>
      </c>
      <c r="DA9" s="272">
        <v>0</v>
      </c>
      <c r="DB9" s="272">
        <v>0</v>
      </c>
      <c r="DC9" s="272">
        <v>34685265</v>
      </c>
      <c r="DD9" s="272">
        <v>6504361</v>
      </c>
      <c r="DE9" s="272">
        <v>27045609</v>
      </c>
      <c r="DF9" s="272">
        <v>0</v>
      </c>
      <c r="DG9" s="272">
        <v>1135295</v>
      </c>
      <c r="DH9" s="272">
        <v>0</v>
      </c>
      <c r="DI9" s="272">
        <v>13780493</v>
      </c>
      <c r="DJ9" s="272">
        <v>2364042</v>
      </c>
      <c r="DK9" s="272">
        <v>0</v>
      </c>
      <c r="DL9" s="272">
        <v>11416451</v>
      </c>
      <c r="DM9" s="272">
        <v>731140</v>
      </c>
      <c r="DN9" s="272">
        <v>0</v>
      </c>
      <c r="DO9" s="272">
        <v>0</v>
      </c>
      <c r="DP9" s="272">
        <v>0</v>
      </c>
      <c r="DQ9" s="272">
        <v>1055000</v>
      </c>
      <c r="DR9" s="272">
        <v>0</v>
      </c>
      <c r="DS9" s="272">
        <v>0</v>
      </c>
      <c r="DT9" s="272">
        <v>10521623</v>
      </c>
      <c r="DU9" s="272">
        <v>5274709</v>
      </c>
      <c r="DV9" s="455">
        <f t="shared" si="11"/>
        <v>508922</v>
      </c>
      <c r="DW9" s="272">
        <v>508922</v>
      </c>
      <c r="DX9" s="272">
        <v>0</v>
      </c>
      <c r="DY9" s="457" t="s">
        <v>646</v>
      </c>
      <c r="DZ9" s="272">
        <v>1860831</v>
      </c>
      <c r="EA9" s="272">
        <v>728402</v>
      </c>
      <c r="EB9" s="272"/>
      <c r="EC9" s="272">
        <v>0</v>
      </c>
      <c r="ED9" s="272">
        <v>117456721</v>
      </c>
      <c r="EF9" s="272">
        <v>5389891</v>
      </c>
      <c r="EG9" s="272">
        <v>3290360</v>
      </c>
      <c r="EH9" s="272">
        <v>2099531</v>
      </c>
      <c r="EI9" s="272">
        <v>-1281530</v>
      </c>
      <c r="EJ9" s="272">
        <v>1082512</v>
      </c>
      <c r="EL9" s="272"/>
      <c r="EM9" s="272">
        <v>333313</v>
      </c>
      <c r="EN9" s="272">
        <v>0</v>
      </c>
      <c r="EO9" s="272">
        <v>19839</v>
      </c>
      <c r="EP9" s="455">
        <f t="shared" si="12"/>
        <v>10078911</v>
      </c>
      <c r="EQ9" s="272">
        <v>72353847</v>
      </c>
      <c r="ER9" s="272">
        <v>-10026507</v>
      </c>
      <c r="ES9" s="272">
        <v>23596819</v>
      </c>
      <c r="ET9" s="272">
        <v>17876025</v>
      </c>
      <c r="EU9" s="272">
        <v>3118074</v>
      </c>
      <c r="EV9" s="272">
        <v>5968495</v>
      </c>
      <c r="EW9" s="455">
        <f t="shared" si="13"/>
        <v>9791445</v>
      </c>
      <c r="EX9" s="272">
        <v>9791445</v>
      </c>
      <c r="EY9" s="272">
        <v>581483</v>
      </c>
      <c r="EZ9" s="272">
        <v>9209962</v>
      </c>
      <c r="FA9" s="272">
        <v>0</v>
      </c>
      <c r="FB9" s="272"/>
      <c r="FC9" s="272">
        <v>8290965</v>
      </c>
      <c r="FD9" s="272">
        <v>3047392</v>
      </c>
      <c r="FE9" s="272">
        <v>995</v>
      </c>
      <c r="FF9" s="272">
        <v>9450047</v>
      </c>
      <c r="FG9" s="455">
        <f t="shared" si="14"/>
        <v>13727226</v>
      </c>
      <c r="FH9" s="272">
        <v>76990463</v>
      </c>
      <c r="FI9" s="384">
        <f t="shared" si="15"/>
        <v>3.3</v>
      </c>
      <c r="FJ9" s="272">
        <v>64549632</v>
      </c>
      <c r="FK9" s="272"/>
      <c r="FL9" s="272">
        <v>48562006</v>
      </c>
      <c r="FM9" s="272">
        <v>37308442</v>
      </c>
      <c r="FN9" s="460">
        <v>1.2470000000000001</v>
      </c>
      <c r="FO9" s="388">
        <v>69.2</v>
      </c>
      <c r="FP9" s="388">
        <v>33.799999999999997</v>
      </c>
      <c r="FQ9" s="388">
        <v>4.5999999999999996</v>
      </c>
      <c r="FR9" s="388">
        <v>8.8000000000000007</v>
      </c>
      <c r="FS9" s="388">
        <v>11.2</v>
      </c>
      <c r="FT9" s="388">
        <v>3.2</v>
      </c>
      <c r="FU9" s="388">
        <v>4.8</v>
      </c>
      <c r="FV9" s="388">
        <v>7.5</v>
      </c>
      <c r="FW9" s="272">
        <v>43730322</v>
      </c>
      <c r="FX9" s="384">
        <f t="shared" si="16"/>
        <v>67.7</v>
      </c>
      <c r="FY9" s="272">
        <v>40354542</v>
      </c>
      <c r="FZ9" s="272">
        <v>7521250</v>
      </c>
      <c r="GA9" s="272"/>
      <c r="GB9" s="272">
        <v>32833292</v>
      </c>
      <c r="GC9" s="272"/>
      <c r="GD9" s="272">
        <v>40652294</v>
      </c>
      <c r="GE9" s="384">
        <f t="shared" si="17"/>
        <v>63</v>
      </c>
      <c r="GF9" s="388">
        <v>98.3</v>
      </c>
      <c r="GG9" s="388">
        <v>30.7</v>
      </c>
      <c r="GH9" s="388">
        <v>96.6</v>
      </c>
      <c r="GI9" s="272">
        <v>2746</v>
      </c>
    </row>
    <row r="10" spans="2:191" x14ac:dyDescent="0.15">
      <c r="B10" s="89" t="s">
        <v>13</v>
      </c>
      <c r="C10" s="272">
        <v>9930257</v>
      </c>
      <c r="D10" s="455">
        <f t="shared" si="0"/>
        <v>3366293</v>
      </c>
      <c r="E10" s="272">
        <v>46168</v>
      </c>
      <c r="F10" s="272">
        <v>3320125</v>
      </c>
      <c r="G10" s="455">
        <f t="shared" si="1"/>
        <v>1241448</v>
      </c>
      <c r="H10" s="272">
        <v>150225</v>
      </c>
      <c r="I10" s="272">
        <v>1091223</v>
      </c>
      <c r="J10" s="272">
        <v>3998520</v>
      </c>
      <c r="K10" s="272">
        <v>2028084</v>
      </c>
      <c r="L10" s="272">
        <v>1149694</v>
      </c>
      <c r="M10" s="272">
        <v>564646</v>
      </c>
      <c r="N10" s="272">
        <v>341202</v>
      </c>
      <c r="O10" s="272">
        <v>903675</v>
      </c>
      <c r="P10" s="272">
        <v>644625</v>
      </c>
      <c r="Q10" s="272">
        <v>259050</v>
      </c>
      <c r="R10" s="272">
        <v>471659</v>
      </c>
      <c r="S10" s="272">
        <v>300983</v>
      </c>
      <c r="T10" s="455">
        <f t="shared" si="2"/>
        <v>602475</v>
      </c>
      <c r="U10" s="272">
        <v>385396</v>
      </c>
      <c r="V10" s="272"/>
      <c r="W10" s="272"/>
      <c r="X10" s="272"/>
      <c r="Y10" s="272">
        <v>0</v>
      </c>
      <c r="Z10" s="272">
        <v>916</v>
      </c>
      <c r="AA10" s="272">
        <v>216163</v>
      </c>
      <c r="AB10" s="272"/>
      <c r="AC10" s="272">
        <v>1834740</v>
      </c>
      <c r="AD10" s="272">
        <v>1531547</v>
      </c>
      <c r="AE10" s="272">
        <v>303193</v>
      </c>
      <c r="AF10" s="272">
        <v>20396</v>
      </c>
      <c r="AG10" s="272">
        <v>70989</v>
      </c>
      <c r="AH10" s="455">
        <f t="shared" si="3"/>
        <v>266917</v>
      </c>
      <c r="AI10" s="272">
        <v>238290</v>
      </c>
      <c r="AJ10" s="272">
        <v>28627</v>
      </c>
      <c r="AK10" s="272">
        <v>1466720</v>
      </c>
      <c r="AL10" s="455">
        <f t="shared" si="4"/>
        <v>919077</v>
      </c>
      <c r="AM10" s="272">
        <v>699993</v>
      </c>
      <c r="AN10" s="272">
        <v>139968</v>
      </c>
      <c r="AO10" s="272">
        <v>0</v>
      </c>
      <c r="AP10" s="272">
        <v>79116</v>
      </c>
      <c r="AQ10" s="272">
        <v>80447</v>
      </c>
      <c r="AR10" s="272">
        <v>0</v>
      </c>
      <c r="AS10" s="272">
        <v>0</v>
      </c>
      <c r="AT10" s="272">
        <v>828170</v>
      </c>
      <c r="AU10" s="272">
        <v>162249</v>
      </c>
      <c r="AV10" s="272">
        <v>69985</v>
      </c>
      <c r="AW10" s="272">
        <v>0</v>
      </c>
      <c r="AX10" s="272">
        <v>665921</v>
      </c>
      <c r="AY10" s="272">
        <v>233416</v>
      </c>
      <c r="AZ10" s="272">
        <v>317231</v>
      </c>
      <c r="BA10" s="272">
        <v>58951</v>
      </c>
      <c r="BB10" s="272">
        <v>153242</v>
      </c>
      <c r="BC10" s="272">
        <v>171719</v>
      </c>
      <c r="BD10" s="272">
        <v>0</v>
      </c>
      <c r="BE10" s="272">
        <v>0</v>
      </c>
      <c r="BF10" s="272">
        <v>163224</v>
      </c>
      <c r="BG10" s="272">
        <v>0</v>
      </c>
      <c r="BH10" s="272">
        <v>320197</v>
      </c>
      <c r="BI10" s="272">
        <v>241201</v>
      </c>
      <c r="BJ10" s="272">
        <v>1584849</v>
      </c>
      <c r="BK10" s="272">
        <v>738902</v>
      </c>
      <c r="BL10" s="272">
        <v>145641</v>
      </c>
      <c r="BM10" s="272">
        <v>481173</v>
      </c>
      <c r="BN10" s="272">
        <v>1256100</v>
      </c>
      <c r="BO10" s="455">
        <f t="shared" si="5"/>
        <v>1256100</v>
      </c>
      <c r="BP10" s="455">
        <f t="shared" si="6"/>
        <v>0</v>
      </c>
      <c r="BQ10" s="272"/>
      <c r="BR10" s="272"/>
      <c r="BS10" s="272"/>
      <c r="BT10" s="272">
        <v>0</v>
      </c>
      <c r="BU10" s="272">
        <v>19295661</v>
      </c>
      <c r="BV10" s="272"/>
      <c r="BW10" s="272">
        <v>5662254</v>
      </c>
      <c r="BX10" s="272">
        <v>4208678</v>
      </c>
      <c r="BY10" s="272">
        <v>386546</v>
      </c>
      <c r="BZ10" s="272">
        <v>125645</v>
      </c>
      <c r="CA10" s="272">
        <v>2003169</v>
      </c>
      <c r="CB10" s="272">
        <v>275562</v>
      </c>
      <c r="CC10" s="272">
        <v>473346</v>
      </c>
      <c r="CD10" s="272">
        <v>335550</v>
      </c>
      <c r="CE10" s="272">
        <v>888884</v>
      </c>
      <c r="CF10" s="272">
        <v>12</v>
      </c>
      <c r="CG10" s="272">
        <v>29765</v>
      </c>
      <c r="CH10" s="272">
        <v>1531892</v>
      </c>
      <c r="CI10" s="272">
        <v>822527</v>
      </c>
      <c r="CJ10" s="455">
        <f t="shared" si="7"/>
        <v>709365</v>
      </c>
      <c r="CK10" s="272">
        <v>1403154</v>
      </c>
      <c r="CL10" s="272">
        <v>632866</v>
      </c>
      <c r="CM10" s="272">
        <v>57030</v>
      </c>
      <c r="CN10" s="272">
        <v>435808</v>
      </c>
      <c r="CO10" s="272">
        <v>77735</v>
      </c>
      <c r="CP10" s="272">
        <v>1714502</v>
      </c>
      <c r="CQ10" s="272">
        <v>742826</v>
      </c>
      <c r="CR10" s="272">
        <v>358498</v>
      </c>
      <c r="CS10" s="272">
        <v>212300</v>
      </c>
      <c r="CT10" s="455">
        <f t="shared" si="8"/>
        <v>366687</v>
      </c>
      <c r="CU10" s="272">
        <v>4920</v>
      </c>
      <c r="CV10" s="272">
        <v>361767</v>
      </c>
      <c r="CW10" s="455">
        <f t="shared" si="9"/>
        <v>350620</v>
      </c>
      <c r="CX10" s="272">
        <v>0</v>
      </c>
      <c r="CY10" s="272">
        <v>350620</v>
      </c>
      <c r="CZ10" s="455">
        <f t="shared" si="10"/>
        <v>0</v>
      </c>
      <c r="DA10" s="272">
        <v>0</v>
      </c>
      <c r="DB10" s="272">
        <v>0</v>
      </c>
      <c r="DC10" s="272">
        <v>3205742</v>
      </c>
      <c r="DD10" s="272">
        <v>468580</v>
      </c>
      <c r="DE10" s="272">
        <v>2529225</v>
      </c>
      <c r="DF10" s="272">
        <v>62296</v>
      </c>
      <c r="DG10" s="272">
        <v>145641</v>
      </c>
      <c r="DH10" s="272">
        <v>0</v>
      </c>
      <c r="DI10" s="272">
        <v>567400</v>
      </c>
      <c r="DJ10" s="272">
        <v>84000</v>
      </c>
      <c r="DK10" s="272">
        <v>103200</v>
      </c>
      <c r="DL10" s="272">
        <v>380200</v>
      </c>
      <c r="DM10" s="272">
        <v>272540</v>
      </c>
      <c r="DN10" s="272">
        <v>0</v>
      </c>
      <c r="DO10" s="272">
        <v>0</v>
      </c>
      <c r="DP10" s="272">
        <v>0</v>
      </c>
      <c r="DQ10" s="272">
        <v>710000</v>
      </c>
      <c r="DR10" s="272">
        <v>0</v>
      </c>
      <c r="DS10" s="272">
        <v>0</v>
      </c>
      <c r="DT10" s="272">
        <v>1902361</v>
      </c>
      <c r="DU10" s="272">
        <v>1267904</v>
      </c>
      <c r="DV10" s="455">
        <f t="shared" si="11"/>
        <v>0</v>
      </c>
      <c r="DW10" s="272">
        <v>0</v>
      </c>
      <c r="DX10" s="272">
        <v>0</v>
      </c>
      <c r="DY10" s="457" t="s">
        <v>646</v>
      </c>
      <c r="DZ10" s="272">
        <v>188079</v>
      </c>
      <c r="EA10" s="272">
        <v>190685</v>
      </c>
      <c r="EB10" s="272"/>
      <c r="EC10" s="272">
        <v>0</v>
      </c>
      <c r="ED10" s="272">
        <v>19050749</v>
      </c>
      <c r="EF10" s="272">
        <v>244912</v>
      </c>
      <c r="EG10" s="272">
        <v>41880</v>
      </c>
      <c r="EH10" s="272">
        <v>203032</v>
      </c>
      <c r="EI10" s="272">
        <v>-38169</v>
      </c>
      <c r="EJ10" s="272">
        <v>45831</v>
      </c>
      <c r="EL10" s="272"/>
      <c r="EM10" s="272">
        <v>67410</v>
      </c>
      <c r="EN10" s="272">
        <v>8495</v>
      </c>
      <c r="EO10" s="272">
        <v>32079</v>
      </c>
      <c r="EP10" s="455">
        <f t="shared" si="12"/>
        <v>1272807</v>
      </c>
      <c r="EQ10" s="272">
        <v>12859527</v>
      </c>
      <c r="ER10" s="272">
        <v>-1292985</v>
      </c>
      <c r="ES10" s="272">
        <v>5171955</v>
      </c>
      <c r="ET10" s="272">
        <v>3734709</v>
      </c>
      <c r="EU10" s="272">
        <v>675699</v>
      </c>
      <c r="EV10" s="272">
        <v>1508197</v>
      </c>
      <c r="EW10" s="455">
        <f t="shared" si="13"/>
        <v>1397545</v>
      </c>
      <c r="EX10" s="272">
        <v>1397545</v>
      </c>
      <c r="EY10" s="272">
        <v>162515</v>
      </c>
      <c r="EZ10" s="272">
        <v>1201334</v>
      </c>
      <c r="FA10" s="272">
        <v>0</v>
      </c>
      <c r="FB10" s="272"/>
      <c r="FC10" s="272">
        <v>1288893</v>
      </c>
      <c r="FD10" s="272">
        <v>1546730</v>
      </c>
      <c r="FE10" s="272">
        <v>742826</v>
      </c>
      <c r="FF10" s="272">
        <v>1870051</v>
      </c>
      <c r="FG10" s="455">
        <f t="shared" si="14"/>
        <v>473996</v>
      </c>
      <c r="FH10" s="272">
        <v>13933066</v>
      </c>
      <c r="FI10" s="384">
        <f t="shared" si="15"/>
        <v>1.8</v>
      </c>
      <c r="FJ10" s="272">
        <v>11127105</v>
      </c>
      <c r="FK10" s="272"/>
      <c r="FL10" s="272">
        <v>7242062</v>
      </c>
      <c r="FM10" s="272">
        <v>8796381</v>
      </c>
      <c r="FN10" s="460">
        <v>0.85</v>
      </c>
      <c r="FO10" s="388">
        <v>86.3</v>
      </c>
      <c r="FP10" s="388">
        <v>41.2</v>
      </c>
      <c r="FQ10" s="388">
        <v>5.8</v>
      </c>
      <c r="FR10" s="388">
        <v>12.9</v>
      </c>
      <c r="FS10" s="388">
        <v>8.5</v>
      </c>
      <c r="FT10" s="388">
        <v>8.6999999999999993</v>
      </c>
      <c r="FU10" s="388">
        <v>8.6999999999999993</v>
      </c>
      <c r="FV10" s="388">
        <v>12.3</v>
      </c>
      <c r="FW10" s="272">
        <v>12349466</v>
      </c>
      <c r="FX10" s="384">
        <f t="shared" si="16"/>
        <v>111</v>
      </c>
      <c r="FY10" s="272">
        <v>3620040</v>
      </c>
      <c r="FZ10" s="272">
        <v>815806</v>
      </c>
      <c r="GA10" s="272">
        <v>528200</v>
      </c>
      <c r="GB10" s="272">
        <v>2276034</v>
      </c>
      <c r="GC10" s="272"/>
      <c r="GD10" s="272">
        <v>9065679</v>
      </c>
      <c r="GE10" s="384">
        <f t="shared" si="17"/>
        <v>81.5</v>
      </c>
      <c r="GF10" s="388">
        <v>98.1</v>
      </c>
      <c r="GG10" s="388">
        <v>26.8</v>
      </c>
      <c r="GH10" s="388">
        <v>95.4</v>
      </c>
      <c r="GI10" s="272">
        <v>616</v>
      </c>
    </row>
    <row r="11" spans="2:191" x14ac:dyDescent="0.15">
      <c r="B11" s="89" t="s">
        <v>15</v>
      </c>
      <c r="C11" s="272">
        <v>53834950</v>
      </c>
      <c r="D11" s="455">
        <f t="shared" si="0"/>
        <v>24454082</v>
      </c>
      <c r="E11" s="272">
        <v>258658</v>
      </c>
      <c r="F11" s="272">
        <v>24195424</v>
      </c>
      <c r="G11" s="455">
        <f t="shared" si="1"/>
        <v>6464888</v>
      </c>
      <c r="H11" s="272">
        <v>585125</v>
      </c>
      <c r="I11" s="272">
        <v>5879763</v>
      </c>
      <c r="J11" s="272">
        <v>16044792</v>
      </c>
      <c r="K11" s="272">
        <v>8412096</v>
      </c>
      <c r="L11" s="272">
        <v>5280926</v>
      </c>
      <c r="M11" s="272">
        <v>2233278</v>
      </c>
      <c r="N11" s="272">
        <v>1321431</v>
      </c>
      <c r="O11" s="272">
        <v>3768507</v>
      </c>
      <c r="P11" s="272">
        <v>2729231</v>
      </c>
      <c r="Q11" s="272">
        <v>1039276</v>
      </c>
      <c r="R11" s="272">
        <v>1737595</v>
      </c>
      <c r="S11" s="272">
        <v>1145685</v>
      </c>
      <c r="T11" s="455">
        <f t="shared" si="2"/>
        <v>3831907</v>
      </c>
      <c r="U11" s="272">
        <v>2605583</v>
      </c>
      <c r="V11" s="272"/>
      <c r="W11" s="272"/>
      <c r="X11" s="272"/>
      <c r="Y11" s="272">
        <v>149423</v>
      </c>
      <c r="Z11" s="272">
        <v>11589</v>
      </c>
      <c r="AA11" s="272">
        <v>1065312</v>
      </c>
      <c r="AB11" s="272"/>
      <c r="AC11" s="272">
        <v>324266</v>
      </c>
      <c r="AD11" s="272">
        <v>0</v>
      </c>
      <c r="AE11" s="272">
        <v>324266</v>
      </c>
      <c r="AF11" s="272">
        <v>81774</v>
      </c>
      <c r="AG11" s="272">
        <v>844064</v>
      </c>
      <c r="AH11" s="455">
        <f t="shared" si="3"/>
        <v>1536276</v>
      </c>
      <c r="AI11" s="272">
        <v>1019855</v>
      </c>
      <c r="AJ11" s="272">
        <v>516421</v>
      </c>
      <c r="AK11" s="272">
        <v>6146107</v>
      </c>
      <c r="AL11" s="455">
        <f t="shared" si="4"/>
        <v>2647962</v>
      </c>
      <c r="AM11" s="272">
        <v>1931363</v>
      </c>
      <c r="AN11" s="272">
        <v>462009</v>
      </c>
      <c r="AO11" s="272">
        <v>0</v>
      </c>
      <c r="AP11" s="272">
        <v>254590</v>
      </c>
      <c r="AQ11" s="272">
        <v>2135444</v>
      </c>
      <c r="AR11" s="272">
        <v>6183</v>
      </c>
      <c r="AS11" s="272">
        <v>0</v>
      </c>
      <c r="AT11" s="272">
        <v>4543378</v>
      </c>
      <c r="AU11" s="272">
        <v>1514303</v>
      </c>
      <c r="AV11" s="272">
        <v>231004</v>
      </c>
      <c r="AW11" s="272">
        <v>243910</v>
      </c>
      <c r="AX11" s="272">
        <v>3029075</v>
      </c>
      <c r="AY11" s="272">
        <v>871762</v>
      </c>
      <c r="AZ11" s="272">
        <v>1940692</v>
      </c>
      <c r="BA11" s="272">
        <v>219058</v>
      </c>
      <c r="BB11" s="272">
        <v>447621</v>
      </c>
      <c r="BC11" s="272">
        <v>7233974</v>
      </c>
      <c r="BD11" s="272">
        <v>187000</v>
      </c>
      <c r="BE11" s="272">
        <v>0</v>
      </c>
      <c r="BF11" s="272">
        <v>7013309</v>
      </c>
      <c r="BG11" s="272">
        <v>0</v>
      </c>
      <c r="BH11" s="272">
        <v>897800</v>
      </c>
      <c r="BI11" s="272">
        <v>720034</v>
      </c>
      <c r="BJ11" s="272">
        <v>4053314</v>
      </c>
      <c r="BK11" s="272">
        <v>2627582</v>
      </c>
      <c r="BL11" s="272">
        <v>87417</v>
      </c>
      <c r="BM11" s="272">
        <v>730159</v>
      </c>
      <c r="BN11" s="272">
        <v>7023790</v>
      </c>
      <c r="BO11" s="455">
        <f t="shared" si="5"/>
        <v>7023790</v>
      </c>
      <c r="BP11" s="455">
        <f t="shared" si="6"/>
        <v>0</v>
      </c>
      <c r="BQ11" s="272"/>
      <c r="BR11" s="272"/>
      <c r="BS11" s="272"/>
      <c r="BT11" s="272">
        <v>0</v>
      </c>
      <c r="BU11" s="272">
        <v>94477508</v>
      </c>
      <c r="BV11" s="272"/>
      <c r="BW11" s="272">
        <v>24536569</v>
      </c>
      <c r="BX11" s="272">
        <v>19325926</v>
      </c>
      <c r="BY11" s="272">
        <v>834509</v>
      </c>
      <c r="BZ11" s="272">
        <v>669994</v>
      </c>
      <c r="CA11" s="272">
        <v>6178630</v>
      </c>
      <c r="CB11" s="272">
        <v>402164</v>
      </c>
      <c r="CC11" s="272">
        <v>1423740</v>
      </c>
      <c r="CD11" s="272">
        <v>1653002</v>
      </c>
      <c r="CE11" s="272">
        <v>2580622</v>
      </c>
      <c r="CF11" s="272">
        <v>4059</v>
      </c>
      <c r="CG11" s="272">
        <v>112423</v>
      </c>
      <c r="CH11" s="272">
        <v>7227079</v>
      </c>
      <c r="CI11" s="272">
        <v>4266973</v>
      </c>
      <c r="CJ11" s="455">
        <f t="shared" si="7"/>
        <v>2960106</v>
      </c>
      <c r="CK11" s="272">
        <v>9318733</v>
      </c>
      <c r="CL11" s="272">
        <v>4580074</v>
      </c>
      <c r="CM11" s="272">
        <v>219562</v>
      </c>
      <c r="CN11" s="272">
        <v>2964533</v>
      </c>
      <c r="CO11" s="272">
        <v>1576877</v>
      </c>
      <c r="CP11" s="272">
        <v>3952808</v>
      </c>
      <c r="CQ11" s="272">
        <v>46473</v>
      </c>
      <c r="CR11" s="272">
        <v>2618035</v>
      </c>
      <c r="CS11" s="272">
        <v>2168552</v>
      </c>
      <c r="CT11" s="455">
        <f t="shared" si="8"/>
        <v>959147</v>
      </c>
      <c r="CU11" s="272">
        <v>31033</v>
      </c>
      <c r="CV11" s="272">
        <v>928114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23304937</v>
      </c>
      <c r="DD11" s="272">
        <v>3641357</v>
      </c>
      <c r="DE11" s="272">
        <v>18259538</v>
      </c>
      <c r="DF11" s="272">
        <v>303748</v>
      </c>
      <c r="DG11" s="272">
        <v>1070294</v>
      </c>
      <c r="DH11" s="272">
        <v>21194</v>
      </c>
      <c r="DI11" s="272">
        <v>8728963</v>
      </c>
      <c r="DJ11" s="272">
        <v>1722477</v>
      </c>
      <c r="DK11" s="272">
        <v>30602</v>
      </c>
      <c r="DL11" s="272">
        <v>6975884</v>
      </c>
      <c r="DM11" s="272">
        <v>204140</v>
      </c>
      <c r="DN11" s="272">
        <v>0</v>
      </c>
      <c r="DO11" s="272">
        <v>0</v>
      </c>
      <c r="DP11" s="272">
        <v>0</v>
      </c>
      <c r="DQ11" s="272">
        <v>2532633</v>
      </c>
      <c r="DR11" s="272">
        <v>0</v>
      </c>
      <c r="DS11" s="272">
        <v>0</v>
      </c>
      <c r="DT11" s="272">
        <v>5546447</v>
      </c>
      <c r="DU11" s="272">
        <v>3437083</v>
      </c>
      <c r="DV11" s="455">
        <f t="shared" si="11"/>
        <v>0</v>
      </c>
      <c r="DW11" s="272">
        <v>0</v>
      </c>
      <c r="DX11" s="272">
        <v>0</v>
      </c>
      <c r="DY11" s="457" t="s">
        <v>646</v>
      </c>
      <c r="DZ11" s="272">
        <v>1109532</v>
      </c>
      <c r="EA11" s="272">
        <v>806830</v>
      </c>
      <c r="EB11" s="272"/>
      <c r="EC11" s="272">
        <v>0</v>
      </c>
      <c r="ED11" s="272">
        <v>93129010</v>
      </c>
      <c r="EF11" s="272">
        <v>1348498</v>
      </c>
      <c r="EG11" s="272">
        <v>647052</v>
      </c>
      <c r="EH11" s="272">
        <v>701446</v>
      </c>
      <c r="EI11" s="272">
        <v>-18588</v>
      </c>
      <c r="EJ11" s="272">
        <v>1516889</v>
      </c>
      <c r="EL11" s="272"/>
      <c r="EM11" s="272">
        <v>358299</v>
      </c>
      <c r="EN11" s="272">
        <v>865309</v>
      </c>
      <c r="EO11" s="272">
        <v>234652</v>
      </c>
      <c r="EP11" s="455">
        <f t="shared" si="12"/>
        <v>3455173</v>
      </c>
      <c r="EQ11" s="272">
        <v>59810492</v>
      </c>
      <c r="ER11" s="272">
        <v>-4473360</v>
      </c>
      <c r="ES11" s="272">
        <v>22334690</v>
      </c>
      <c r="ET11" s="272">
        <v>17124047</v>
      </c>
      <c r="EU11" s="272">
        <v>1568665</v>
      </c>
      <c r="EV11" s="272">
        <v>6974929</v>
      </c>
      <c r="EW11" s="455">
        <f t="shared" si="13"/>
        <v>10889389</v>
      </c>
      <c r="EX11" s="272">
        <v>10875977</v>
      </c>
      <c r="EY11" s="272">
        <v>1092418</v>
      </c>
      <c r="EZ11" s="272">
        <v>9679811</v>
      </c>
      <c r="FA11" s="272">
        <v>13412</v>
      </c>
      <c r="FB11" s="272"/>
      <c r="FC11" s="272">
        <v>7882209</v>
      </c>
      <c r="FD11" s="272">
        <v>3691071</v>
      </c>
      <c r="FE11" s="272">
        <v>46473</v>
      </c>
      <c r="FF11" s="272">
        <v>5289697</v>
      </c>
      <c r="FG11" s="455">
        <f t="shared" si="14"/>
        <v>4569704</v>
      </c>
      <c r="FH11" s="272">
        <v>63200354</v>
      </c>
      <c r="FI11" s="384">
        <f t="shared" si="15"/>
        <v>1.3</v>
      </c>
      <c r="FJ11" s="272">
        <v>53172851</v>
      </c>
      <c r="FK11" s="272"/>
      <c r="FL11" s="272">
        <v>40041120</v>
      </c>
      <c r="FM11" s="272">
        <v>39442231</v>
      </c>
      <c r="FN11" s="460">
        <v>1.0169999999999999</v>
      </c>
      <c r="FO11" s="388">
        <v>81.5</v>
      </c>
      <c r="FP11" s="388">
        <v>39.6</v>
      </c>
      <c r="FQ11" s="388">
        <v>2.8</v>
      </c>
      <c r="FR11" s="388">
        <v>12.3</v>
      </c>
      <c r="FS11" s="388">
        <v>13.3</v>
      </c>
      <c r="FT11" s="388">
        <v>6.3</v>
      </c>
      <c r="FU11" s="388">
        <v>4.4000000000000004</v>
      </c>
      <c r="FV11" s="388">
        <v>8.4</v>
      </c>
      <c r="FW11" s="272">
        <v>51308392</v>
      </c>
      <c r="FX11" s="384">
        <f t="shared" si="16"/>
        <v>96.5</v>
      </c>
      <c r="FY11" s="272">
        <v>26346306</v>
      </c>
      <c r="FZ11" s="272">
        <v>3233933</v>
      </c>
      <c r="GA11" s="272">
        <v>471255</v>
      </c>
      <c r="GB11" s="272">
        <v>22641118</v>
      </c>
      <c r="GC11" s="272"/>
      <c r="GD11" s="272">
        <v>17287877</v>
      </c>
      <c r="GE11" s="384">
        <f t="shared" si="17"/>
        <v>32.5</v>
      </c>
      <c r="GF11" s="388">
        <v>99</v>
      </c>
      <c r="GG11" s="388">
        <v>43.7</v>
      </c>
      <c r="GH11" s="388">
        <v>98</v>
      </c>
      <c r="GI11" s="272">
        <v>2644</v>
      </c>
    </row>
    <row r="12" spans="2:191" x14ac:dyDescent="0.15">
      <c r="B12" s="89" t="s">
        <v>17</v>
      </c>
      <c r="C12" s="272">
        <v>9349644</v>
      </c>
      <c r="D12" s="455">
        <f t="shared" si="0"/>
        <v>3644048</v>
      </c>
      <c r="E12" s="272">
        <v>53260</v>
      </c>
      <c r="F12" s="272">
        <v>3590788</v>
      </c>
      <c r="G12" s="455">
        <f t="shared" si="1"/>
        <v>1033382</v>
      </c>
      <c r="H12" s="272">
        <v>136386</v>
      </c>
      <c r="I12" s="272">
        <v>896996</v>
      </c>
      <c r="J12" s="272">
        <v>3295540</v>
      </c>
      <c r="K12" s="272">
        <v>1659017</v>
      </c>
      <c r="L12" s="272">
        <v>1071092</v>
      </c>
      <c r="M12" s="272">
        <v>500504</v>
      </c>
      <c r="N12" s="272">
        <v>419287</v>
      </c>
      <c r="O12" s="272">
        <v>707896</v>
      </c>
      <c r="P12" s="272">
        <v>484523</v>
      </c>
      <c r="Q12" s="272">
        <v>223373</v>
      </c>
      <c r="R12" s="272">
        <v>452856</v>
      </c>
      <c r="S12" s="272">
        <v>311583</v>
      </c>
      <c r="T12" s="455">
        <f t="shared" si="2"/>
        <v>640645</v>
      </c>
      <c r="U12" s="272">
        <v>384839</v>
      </c>
      <c r="V12" s="272"/>
      <c r="W12" s="272"/>
      <c r="X12" s="272"/>
      <c r="Y12" s="272">
        <v>0</v>
      </c>
      <c r="Z12" s="272">
        <v>1351</v>
      </c>
      <c r="AA12" s="272">
        <v>254455</v>
      </c>
      <c r="AB12" s="272"/>
      <c r="AC12" s="272">
        <v>2981714</v>
      </c>
      <c r="AD12" s="272">
        <v>2593872</v>
      </c>
      <c r="AE12" s="272">
        <v>387842</v>
      </c>
      <c r="AF12" s="272">
        <v>23305</v>
      </c>
      <c r="AG12" s="272">
        <v>145596</v>
      </c>
      <c r="AH12" s="455">
        <f t="shared" si="3"/>
        <v>274231</v>
      </c>
      <c r="AI12" s="272">
        <v>237609</v>
      </c>
      <c r="AJ12" s="272">
        <v>36622</v>
      </c>
      <c r="AK12" s="272">
        <v>2120061</v>
      </c>
      <c r="AL12" s="455">
        <f t="shared" si="4"/>
        <v>992460</v>
      </c>
      <c r="AM12" s="272">
        <v>712375</v>
      </c>
      <c r="AN12" s="272">
        <v>233623</v>
      </c>
      <c r="AO12" s="272">
        <v>0</v>
      </c>
      <c r="AP12" s="272">
        <v>46462</v>
      </c>
      <c r="AQ12" s="272">
        <v>566733</v>
      </c>
      <c r="AR12" s="272">
        <v>0</v>
      </c>
      <c r="AS12" s="272">
        <v>0</v>
      </c>
      <c r="AT12" s="272">
        <v>1460466</v>
      </c>
      <c r="AU12" s="272">
        <v>342759</v>
      </c>
      <c r="AV12" s="272">
        <v>116812</v>
      </c>
      <c r="AW12" s="272">
        <v>38178</v>
      </c>
      <c r="AX12" s="272">
        <v>1117707</v>
      </c>
      <c r="AY12" s="272">
        <v>394741</v>
      </c>
      <c r="AZ12" s="272">
        <v>491539</v>
      </c>
      <c r="BA12" s="272">
        <v>39627</v>
      </c>
      <c r="BB12" s="272">
        <v>280100</v>
      </c>
      <c r="BC12" s="272">
        <v>2068222</v>
      </c>
      <c r="BD12" s="272">
        <v>200000</v>
      </c>
      <c r="BE12" s="272">
        <v>390000</v>
      </c>
      <c r="BF12" s="272">
        <v>1475000</v>
      </c>
      <c r="BG12" s="272">
        <v>0</v>
      </c>
      <c r="BH12" s="272">
        <v>283466</v>
      </c>
      <c r="BI12" s="272">
        <v>57369</v>
      </c>
      <c r="BJ12" s="272">
        <v>2106443</v>
      </c>
      <c r="BK12" s="272">
        <v>37688</v>
      </c>
      <c r="BL12" s="272">
        <v>1368466</v>
      </c>
      <c r="BM12" s="272">
        <v>491698</v>
      </c>
      <c r="BN12" s="272">
        <v>4335900</v>
      </c>
      <c r="BO12" s="455">
        <f t="shared" si="5"/>
        <v>4335900</v>
      </c>
      <c r="BP12" s="455">
        <f t="shared" si="6"/>
        <v>0</v>
      </c>
      <c r="BQ12" s="272"/>
      <c r="BR12" s="272"/>
      <c r="BS12" s="272"/>
      <c r="BT12" s="272">
        <v>0</v>
      </c>
      <c r="BU12" s="272">
        <v>27014188</v>
      </c>
      <c r="BV12" s="272"/>
      <c r="BW12" s="272">
        <v>6293646</v>
      </c>
      <c r="BX12" s="272">
        <v>4690903</v>
      </c>
      <c r="BY12" s="272">
        <v>266740</v>
      </c>
      <c r="BZ12" s="272">
        <v>231745</v>
      </c>
      <c r="CA12" s="272">
        <v>2410531</v>
      </c>
      <c r="CB12" s="272">
        <v>313017</v>
      </c>
      <c r="CC12" s="272">
        <v>432543</v>
      </c>
      <c r="CD12" s="272">
        <v>692046</v>
      </c>
      <c r="CE12" s="272">
        <v>945550</v>
      </c>
      <c r="CF12" s="272">
        <v>378</v>
      </c>
      <c r="CG12" s="272">
        <v>26997</v>
      </c>
      <c r="CH12" s="272">
        <v>1977163</v>
      </c>
      <c r="CI12" s="272">
        <v>903876</v>
      </c>
      <c r="CJ12" s="455">
        <f t="shared" si="7"/>
        <v>1073287</v>
      </c>
      <c r="CK12" s="272">
        <v>1638152</v>
      </c>
      <c r="CL12" s="272">
        <v>611948</v>
      </c>
      <c r="CM12" s="272">
        <v>81602</v>
      </c>
      <c r="CN12" s="272">
        <v>594847</v>
      </c>
      <c r="CO12" s="272">
        <v>121513</v>
      </c>
      <c r="CP12" s="272">
        <v>1949741</v>
      </c>
      <c r="CQ12" s="272">
        <v>459164</v>
      </c>
      <c r="CR12" s="272">
        <v>605345</v>
      </c>
      <c r="CS12" s="272">
        <v>467056</v>
      </c>
      <c r="CT12" s="455">
        <f t="shared" si="8"/>
        <v>477284</v>
      </c>
      <c r="CU12" s="272">
        <v>162833</v>
      </c>
      <c r="CV12" s="272">
        <v>314451</v>
      </c>
      <c r="CW12" s="455">
        <f t="shared" si="9"/>
        <v>469000</v>
      </c>
      <c r="CX12" s="272">
        <v>154549</v>
      </c>
      <c r="CY12" s="272">
        <v>314451</v>
      </c>
      <c r="CZ12" s="455">
        <f t="shared" si="10"/>
        <v>0</v>
      </c>
      <c r="DA12" s="272">
        <v>0</v>
      </c>
      <c r="DB12" s="272">
        <v>0</v>
      </c>
      <c r="DC12" s="272">
        <v>10156712</v>
      </c>
      <c r="DD12" s="272">
        <v>1280237</v>
      </c>
      <c r="DE12" s="272">
        <v>7157966</v>
      </c>
      <c r="DF12" s="272">
        <v>1643</v>
      </c>
      <c r="DG12" s="272">
        <v>1716866</v>
      </c>
      <c r="DH12" s="272">
        <v>0</v>
      </c>
      <c r="DI12" s="272">
        <v>792321</v>
      </c>
      <c r="DJ12" s="272">
        <v>36446</v>
      </c>
      <c r="DK12" s="272">
        <v>43086</v>
      </c>
      <c r="DL12" s="272">
        <v>712789</v>
      </c>
      <c r="DM12" s="272">
        <v>200610</v>
      </c>
      <c r="DN12" s="272">
        <v>0</v>
      </c>
      <c r="DO12" s="272">
        <v>0</v>
      </c>
      <c r="DP12" s="272">
        <v>0</v>
      </c>
      <c r="DQ12" s="272">
        <v>6770</v>
      </c>
      <c r="DR12" s="272">
        <v>0</v>
      </c>
      <c r="DS12" s="272">
        <v>0</v>
      </c>
      <c r="DT12" s="272">
        <v>1190026</v>
      </c>
      <c r="DU12" s="272">
        <v>558000</v>
      </c>
      <c r="DV12" s="455">
        <f t="shared" si="11"/>
        <v>0</v>
      </c>
      <c r="DW12" s="272">
        <v>0</v>
      </c>
      <c r="DX12" s="272">
        <v>0</v>
      </c>
      <c r="DY12" s="457" t="s">
        <v>646</v>
      </c>
      <c r="DZ12" s="272">
        <v>378968</v>
      </c>
      <c r="EA12" s="272">
        <v>238355</v>
      </c>
      <c r="EB12" s="272"/>
      <c r="EC12" s="272">
        <v>0</v>
      </c>
      <c r="ED12" s="272">
        <v>26737185</v>
      </c>
      <c r="EF12" s="272">
        <v>277003</v>
      </c>
      <c r="EG12" s="272">
        <v>255341</v>
      </c>
      <c r="EH12" s="272">
        <v>21662</v>
      </c>
      <c r="EI12" s="272">
        <v>-35707</v>
      </c>
      <c r="EJ12" s="272">
        <v>-199261</v>
      </c>
      <c r="EL12" s="272"/>
      <c r="EM12" s="272">
        <v>79311</v>
      </c>
      <c r="EN12" s="272">
        <v>2065000</v>
      </c>
      <c r="EO12" s="272">
        <v>32869</v>
      </c>
      <c r="EP12" s="455">
        <f t="shared" si="12"/>
        <v>1344523</v>
      </c>
      <c r="EQ12" s="272">
        <v>13448164</v>
      </c>
      <c r="ER12" s="272">
        <v>-3419087</v>
      </c>
      <c r="ES12" s="272">
        <v>5910643</v>
      </c>
      <c r="ET12" s="272">
        <v>4386855</v>
      </c>
      <c r="EU12" s="272">
        <v>734385</v>
      </c>
      <c r="EV12" s="272">
        <v>1938584</v>
      </c>
      <c r="EW12" s="455">
        <f t="shared" si="13"/>
        <v>3219527</v>
      </c>
      <c r="EX12" s="272">
        <v>3219527</v>
      </c>
      <c r="EY12" s="272">
        <v>113080</v>
      </c>
      <c r="EZ12" s="272">
        <v>2968743</v>
      </c>
      <c r="FA12" s="272">
        <v>0</v>
      </c>
      <c r="FB12" s="272"/>
      <c r="FC12" s="272">
        <v>1327892</v>
      </c>
      <c r="FD12" s="272">
        <v>1739400</v>
      </c>
      <c r="FE12" s="272">
        <v>459164</v>
      </c>
      <c r="FF12" s="272">
        <v>1084579</v>
      </c>
      <c r="FG12" s="455">
        <f t="shared" si="14"/>
        <v>660860</v>
      </c>
      <c r="FH12" s="272">
        <v>16615870</v>
      </c>
      <c r="FI12" s="384">
        <f t="shared" si="15"/>
        <v>0.2</v>
      </c>
      <c r="FJ12" s="272">
        <v>11835348</v>
      </c>
      <c r="FK12" s="272"/>
      <c r="FL12" s="272">
        <v>6969610</v>
      </c>
      <c r="FM12" s="272">
        <v>9592578</v>
      </c>
      <c r="FN12" s="460">
        <v>0.73799999999999999</v>
      </c>
      <c r="FO12" s="388">
        <v>87.6</v>
      </c>
      <c r="FP12" s="388">
        <v>46</v>
      </c>
      <c r="FQ12" s="388">
        <v>5.9</v>
      </c>
      <c r="FR12" s="388">
        <v>15.5</v>
      </c>
      <c r="FS12" s="388">
        <v>8.6999999999999993</v>
      </c>
      <c r="FT12" s="388">
        <v>8.5</v>
      </c>
      <c r="FU12" s="388">
        <v>2.2000000000000002</v>
      </c>
      <c r="FV12" s="388">
        <v>13.6</v>
      </c>
      <c r="FW12" s="272">
        <v>20940274</v>
      </c>
      <c r="FX12" s="384">
        <f t="shared" si="16"/>
        <v>176.9</v>
      </c>
      <c r="FY12" s="272">
        <v>2792481</v>
      </c>
      <c r="FZ12" s="272">
        <v>173377</v>
      </c>
      <c r="GA12" s="272">
        <v>132797</v>
      </c>
      <c r="GB12" s="272">
        <v>2486307</v>
      </c>
      <c r="GC12" s="272"/>
      <c r="GD12" s="272">
        <v>8036389</v>
      </c>
      <c r="GE12" s="384">
        <f t="shared" si="17"/>
        <v>67.900000000000006</v>
      </c>
      <c r="GF12" s="388">
        <v>98.3</v>
      </c>
      <c r="GG12" s="388">
        <v>25.8</v>
      </c>
      <c r="GH12" s="388">
        <v>95.4</v>
      </c>
      <c r="GI12" s="272">
        <v>698</v>
      </c>
    </row>
    <row r="13" spans="2:191" x14ac:dyDescent="0.15">
      <c r="B13" s="89" t="s">
        <v>19</v>
      </c>
      <c r="C13" s="272">
        <v>27223000</v>
      </c>
      <c r="D13" s="455">
        <f t="shared" si="0"/>
        <v>8026326</v>
      </c>
      <c r="E13" s="272">
        <v>114974</v>
      </c>
      <c r="F13" s="272">
        <v>7911352</v>
      </c>
      <c r="G13" s="455">
        <f t="shared" si="1"/>
        <v>6059640</v>
      </c>
      <c r="H13" s="272">
        <v>317147</v>
      </c>
      <c r="I13" s="272">
        <v>5742493</v>
      </c>
      <c r="J13" s="272">
        <v>8994907</v>
      </c>
      <c r="K13" s="272">
        <v>4164832</v>
      </c>
      <c r="L13" s="272">
        <v>2926449</v>
      </c>
      <c r="M13" s="272">
        <v>1675947</v>
      </c>
      <c r="N13" s="272">
        <v>903616</v>
      </c>
      <c r="O13" s="272">
        <v>2050261</v>
      </c>
      <c r="P13" s="272">
        <v>1373656</v>
      </c>
      <c r="Q13" s="272">
        <v>676605</v>
      </c>
      <c r="R13" s="272">
        <v>914746</v>
      </c>
      <c r="S13" s="272">
        <v>677406</v>
      </c>
      <c r="T13" s="455">
        <f t="shared" si="2"/>
        <v>1319797</v>
      </c>
      <c r="U13" s="272">
        <v>886332</v>
      </c>
      <c r="V13" s="272"/>
      <c r="W13" s="272"/>
      <c r="X13" s="272"/>
      <c r="Y13" s="272">
        <v>0</v>
      </c>
      <c r="Z13" s="272">
        <v>6600</v>
      </c>
      <c r="AA13" s="272">
        <v>426865</v>
      </c>
      <c r="AB13" s="272"/>
      <c r="AC13" s="272">
        <v>435833</v>
      </c>
      <c r="AD13" s="272">
        <v>0</v>
      </c>
      <c r="AE13" s="272">
        <v>435833</v>
      </c>
      <c r="AF13" s="272">
        <v>42028</v>
      </c>
      <c r="AG13" s="272">
        <v>2716958</v>
      </c>
      <c r="AH13" s="455">
        <f t="shared" si="3"/>
        <v>761058</v>
      </c>
      <c r="AI13" s="272">
        <v>668018</v>
      </c>
      <c r="AJ13" s="272">
        <v>93040</v>
      </c>
      <c r="AK13" s="272">
        <v>3595545</v>
      </c>
      <c r="AL13" s="455">
        <f t="shared" si="4"/>
        <v>2611251</v>
      </c>
      <c r="AM13" s="272">
        <v>2019514</v>
      </c>
      <c r="AN13" s="272">
        <v>393089</v>
      </c>
      <c r="AO13" s="272">
        <v>0</v>
      </c>
      <c r="AP13" s="272">
        <v>198648</v>
      </c>
      <c r="AQ13" s="272">
        <v>450817</v>
      </c>
      <c r="AR13" s="272">
        <v>0</v>
      </c>
      <c r="AS13" s="272">
        <v>0</v>
      </c>
      <c r="AT13" s="272">
        <v>1576178</v>
      </c>
      <c r="AU13" s="272">
        <v>466137</v>
      </c>
      <c r="AV13" s="272">
        <v>151969</v>
      </c>
      <c r="AW13" s="272">
        <v>14258</v>
      </c>
      <c r="AX13" s="272">
        <v>1110041</v>
      </c>
      <c r="AY13" s="272">
        <v>156700</v>
      </c>
      <c r="AZ13" s="272">
        <v>974801</v>
      </c>
      <c r="BA13" s="272">
        <v>398884</v>
      </c>
      <c r="BB13" s="272">
        <v>170990</v>
      </c>
      <c r="BC13" s="272">
        <v>1500</v>
      </c>
      <c r="BD13" s="272">
        <v>0</v>
      </c>
      <c r="BE13" s="272">
        <v>0</v>
      </c>
      <c r="BF13" s="272">
        <v>1500</v>
      </c>
      <c r="BG13" s="272">
        <v>0</v>
      </c>
      <c r="BH13" s="272">
        <v>1593847</v>
      </c>
      <c r="BI13" s="272">
        <v>1547356</v>
      </c>
      <c r="BJ13" s="272">
        <v>1314709</v>
      </c>
      <c r="BK13" s="272">
        <v>105701</v>
      </c>
      <c r="BL13" s="272">
        <v>0</v>
      </c>
      <c r="BM13" s="272">
        <v>559898</v>
      </c>
      <c r="BN13" s="272">
        <v>3744100</v>
      </c>
      <c r="BO13" s="455">
        <f t="shared" si="5"/>
        <v>3744100</v>
      </c>
      <c r="BP13" s="455">
        <f t="shared" si="6"/>
        <v>0</v>
      </c>
      <c r="BQ13" s="272"/>
      <c r="BR13" s="272"/>
      <c r="BS13" s="272"/>
      <c r="BT13" s="272">
        <v>0</v>
      </c>
      <c r="BU13" s="272">
        <v>46385090</v>
      </c>
      <c r="BV13" s="272"/>
      <c r="BW13" s="272">
        <v>15374316</v>
      </c>
      <c r="BX13" s="272">
        <v>11540572</v>
      </c>
      <c r="BY13" s="272">
        <v>907235</v>
      </c>
      <c r="BZ13" s="272">
        <v>569424</v>
      </c>
      <c r="CA13" s="272">
        <v>7395673</v>
      </c>
      <c r="CB13" s="272">
        <v>461512</v>
      </c>
      <c r="CC13" s="272">
        <v>892277</v>
      </c>
      <c r="CD13" s="272">
        <v>634221</v>
      </c>
      <c r="CE13" s="272">
        <v>2665798</v>
      </c>
      <c r="CF13" s="272">
        <v>2614054</v>
      </c>
      <c r="CG13" s="272">
        <v>127297</v>
      </c>
      <c r="CH13" s="272">
        <v>3972870</v>
      </c>
      <c r="CI13" s="272">
        <v>2185456</v>
      </c>
      <c r="CJ13" s="455">
        <f t="shared" si="7"/>
        <v>1787414</v>
      </c>
      <c r="CK13" s="272">
        <v>2870657</v>
      </c>
      <c r="CL13" s="272">
        <v>1169237</v>
      </c>
      <c r="CM13" s="272">
        <v>74860</v>
      </c>
      <c r="CN13" s="272">
        <v>952307</v>
      </c>
      <c r="CO13" s="272">
        <v>200585</v>
      </c>
      <c r="CP13" s="272">
        <v>2957509</v>
      </c>
      <c r="CQ13" s="272">
        <v>1850976</v>
      </c>
      <c r="CR13" s="272">
        <v>313580</v>
      </c>
      <c r="CS13" s="272">
        <v>283984</v>
      </c>
      <c r="CT13" s="455">
        <f t="shared" si="8"/>
        <v>26313</v>
      </c>
      <c r="CU13" s="272">
        <v>26313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7341867</v>
      </c>
      <c r="DD13" s="272">
        <v>1079000</v>
      </c>
      <c r="DE13" s="272">
        <v>6179182</v>
      </c>
      <c r="DF13" s="272">
        <v>0</v>
      </c>
      <c r="DG13" s="272">
        <v>0</v>
      </c>
      <c r="DH13" s="272">
        <v>0</v>
      </c>
      <c r="DI13" s="272">
        <v>2175881</v>
      </c>
      <c r="DJ13" s="272">
        <v>265117</v>
      </c>
      <c r="DK13" s="272">
        <v>800000</v>
      </c>
      <c r="DL13" s="272">
        <v>1110764</v>
      </c>
      <c r="DM13" s="272">
        <v>0</v>
      </c>
      <c r="DN13" s="272">
        <v>0</v>
      </c>
      <c r="DO13" s="272">
        <v>0</v>
      </c>
      <c r="DP13" s="272">
        <v>0</v>
      </c>
      <c r="DQ13" s="272">
        <v>94967</v>
      </c>
      <c r="DR13" s="272">
        <v>0</v>
      </c>
      <c r="DS13" s="272">
        <v>0</v>
      </c>
      <c r="DT13" s="272">
        <v>3366943</v>
      </c>
      <c r="DU13" s="272">
        <v>2336049</v>
      </c>
      <c r="DV13" s="455">
        <f t="shared" si="11"/>
        <v>0</v>
      </c>
      <c r="DW13" s="272">
        <v>0</v>
      </c>
      <c r="DX13" s="272">
        <v>0</v>
      </c>
      <c r="DY13" s="457" t="s">
        <v>646</v>
      </c>
      <c r="DZ13" s="272">
        <v>542469</v>
      </c>
      <c r="EA13" s="272">
        <v>466445</v>
      </c>
      <c r="EB13" s="272"/>
      <c r="EC13" s="272">
        <v>0</v>
      </c>
      <c r="ED13" s="272">
        <v>45751268</v>
      </c>
      <c r="EF13" s="272">
        <v>633822</v>
      </c>
      <c r="EG13" s="272">
        <v>323338</v>
      </c>
      <c r="EH13" s="272">
        <v>310484</v>
      </c>
      <c r="EI13" s="272">
        <v>-1236872</v>
      </c>
      <c r="EJ13" s="272">
        <v>-971755</v>
      </c>
      <c r="EL13" s="272"/>
      <c r="EM13" s="272">
        <v>156342</v>
      </c>
      <c r="EN13" s="272">
        <v>0</v>
      </c>
      <c r="EO13" s="272">
        <v>78377</v>
      </c>
      <c r="EP13" s="455">
        <f t="shared" si="12"/>
        <v>3008483</v>
      </c>
      <c r="EQ13" s="272">
        <v>29935404</v>
      </c>
      <c r="ER13" s="272">
        <v>-3044832</v>
      </c>
      <c r="ES13" s="272">
        <v>14128045</v>
      </c>
      <c r="ET13" s="272">
        <v>10605072</v>
      </c>
      <c r="EU13" s="272">
        <v>1490094</v>
      </c>
      <c r="EV13" s="272">
        <v>3885881</v>
      </c>
      <c r="EW13" s="455">
        <f t="shared" si="13"/>
        <v>2509227</v>
      </c>
      <c r="EX13" s="272">
        <v>2509227</v>
      </c>
      <c r="EY13" s="272">
        <v>279145</v>
      </c>
      <c r="EZ13" s="272">
        <v>2212597</v>
      </c>
      <c r="FA13" s="272">
        <v>0</v>
      </c>
      <c r="FB13" s="272"/>
      <c r="FC13" s="272">
        <v>2402495</v>
      </c>
      <c r="FD13" s="272">
        <v>2779932</v>
      </c>
      <c r="FE13" s="272">
        <v>1850976</v>
      </c>
      <c r="FF13" s="272">
        <v>3207592</v>
      </c>
      <c r="FG13" s="455">
        <f t="shared" si="14"/>
        <v>1943148</v>
      </c>
      <c r="FH13" s="272">
        <v>32346414</v>
      </c>
      <c r="FI13" s="384">
        <f t="shared" si="15"/>
        <v>1.2</v>
      </c>
      <c r="FJ13" s="272">
        <v>25695248</v>
      </c>
      <c r="FK13" s="272"/>
      <c r="FL13" s="272">
        <v>19338065</v>
      </c>
      <c r="FM13" s="272">
        <v>19364133</v>
      </c>
      <c r="FN13" s="460">
        <v>0.97</v>
      </c>
      <c r="FO13" s="388">
        <v>94.7</v>
      </c>
      <c r="FP13" s="388">
        <v>47.1</v>
      </c>
      <c r="FQ13" s="388">
        <v>5.3</v>
      </c>
      <c r="FR13" s="388">
        <v>13.8</v>
      </c>
      <c r="FS13" s="388">
        <v>8</v>
      </c>
      <c r="FT13" s="388">
        <v>9.4</v>
      </c>
      <c r="FU13" s="388">
        <v>10.199999999999999</v>
      </c>
      <c r="FV13" s="388">
        <v>12.3</v>
      </c>
      <c r="FW13" s="272">
        <v>31810517</v>
      </c>
      <c r="FX13" s="384">
        <f t="shared" si="16"/>
        <v>123.8</v>
      </c>
      <c r="FY13" s="272">
        <v>9423170</v>
      </c>
      <c r="FZ13" s="272">
        <v>4072413</v>
      </c>
      <c r="GA13" s="272">
        <v>800000</v>
      </c>
      <c r="GB13" s="272">
        <v>4550757</v>
      </c>
      <c r="GC13" s="272"/>
      <c r="GD13" s="272">
        <v>14479743</v>
      </c>
      <c r="GE13" s="384">
        <f t="shared" si="17"/>
        <v>56.4</v>
      </c>
      <c r="GF13" s="388">
        <v>97.9</v>
      </c>
      <c r="GG13" s="388">
        <v>30.1</v>
      </c>
      <c r="GH13" s="388">
        <v>94.8</v>
      </c>
      <c r="GI13" s="272">
        <v>1631</v>
      </c>
    </row>
    <row r="14" spans="2:191" x14ac:dyDescent="0.15">
      <c r="B14" s="89" t="s">
        <v>21</v>
      </c>
      <c r="C14" s="272">
        <v>58969476</v>
      </c>
      <c r="D14" s="455">
        <f t="shared" si="0"/>
        <v>27246564</v>
      </c>
      <c r="E14" s="272">
        <v>267921</v>
      </c>
      <c r="F14" s="272">
        <v>26978643</v>
      </c>
      <c r="G14" s="455">
        <f t="shared" si="1"/>
        <v>5777027</v>
      </c>
      <c r="H14" s="272">
        <v>493329</v>
      </c>
      <c r="I14" s="272">
        <v>5283698</v>
      </c>
      <c r="J14" s="272">
        <v>18120767</v>
      </c>
      <c r="K14" s="272">
        <v>8860521</v>
      </c>
      <c r="L14" s="272">
        <v>6424178</v>
      </c>
      <c r="M14" s="272">
        <v>2433141</v>
      </c>
      <c r="N14" s="272">
        <v>1442625</v>
      </c>
      <c r="O14" s="272">
        <v>4676728</v>
      </c>
      <c r="P14" s="272">
        <v>3252163</v>
      </c>
      <c r="Q14" s="272">
        <v>1424565</v>
      </c>
      <c r="R14" s="272">
        <v>1794477</v>
      </c>
      <c r="S14" s="272">
        <v>1206435</v>
      </c>
      <c r="T14" s="455">
        <f t="shared" si="2"/>
        <v>4206463</v>
      </c>
      <c r="U14" s="272">
        <v>2933916</v>
      </c>
      <c r="V14" s="272"/>
      <c r="W14" s="272"/>
      <c r="X14" s="272"/>
      <c r="Y14" s="272">
        <v>205794</v>
      </c>
      <c r="Z14" s="272">
        <v>8669</v>
      </c>
      <c r="AA14" s="272">
        <v>1058084</v>
      </c>
      <c r="AB14" s="272"/>
      <c r="AC14" s="272">
        <v>172165</v>
      </c>
      <c r="AD14" s="272">
        <v>0</v>
      </c>
      <c r="AE14" s="272">
        <v>172165</v>
      </c>
      <c r="AF14" s="272">
        <v>87442</v>
      </c>
      <c r="AG14" s="272">
        <v>1301966</v>
      </c>
      <c r="AH14" s="455">
        <f t="shared" si="3"/>
        <v>1465031</v>
      </c>
      <c r="AI14" s="272">
        <v>1139594</v>
      </c>
      <c r="AJ14" s="272">
        <v>325437</v>
      </c>
      <c r="AK14" s="272">
        <v>7639887</v>
      </c>
      <c r="AL14" s="455">
        <f t="shared" si="4"/>
        <v>4784490</v>
      </c>
      <c r="AM14" s="272">
        <v>3611367</v>
      </c>
      <c r="AN14" s="272">
        <v>833995</v>
      </c>
      <c r="AO14" s="272">
        <v>0</v>
      </c>
      <c r="AP14" s="272">
        <v>339128</v>
      </c>
      <c r="AQ14" s="272">
        <v>1362496</v>
      </c>
      <c r="AR14" s="272">
        <v>0</v>
      </c>
      <c r="AS14" s="272">
        <v>0</v>
      </c>
      <c r="AT14" s="272">
        <v>3605042</v>
      </c>
      <c r="AU14" s="272">
        <v>1374727</v>
      </c>
      <c r="AV14" s="272">
        <v>416997</v>
      </c>
      <c r="AW14" s="272">
        <v>172718</v>
      </c>
      <c r="AX14" s="272">
        <v>2230315</v>
      </c>
      <c r="AY14" s="272">
        <v>93982</v>
      </c>
      <c r="AZ14" s="272">
        <v>2038000</v>
      </c>
      <c r="BA14" s="272">
        <v>766378</v>
      </c>
      <c r="BB14" s="272">
        <v>584864</v>
      </c>
      <c r="BC14" s="272">
        <v>2245542</v>
      </c>
      <c r="BD14" s="272">
        <v>0</v>
      </c>
      <c r="BE14" s="272">
        <v>160308</v>
      </c>
      <c r="BF14" s="272">
        <v>1966793</v>
      </c>
      <c r="BG14" s="272">
        <v>0</v>
      </c>
      <c r="BH14" s="272">
        <v>2452532</v>
      </c>
      <c r="BI14" s="272">
        <v>1647782</v>
      </c>
      <c r="BJ14" s="272">
        <v>5796930</v>
      </c>
      <c r="BK14" s="272">
        <v>4113342</v>
      </c>
      <c r="BL14" s="272">
        <v>4039</v>
      </c>
      <c r="BM14" s="272">
        <v>772508</v>
      </c>
      <c r="BN14" s="272">
        <v>4372700</v>
      </c>
      <c r="BO14" s="455">
        <f t="shared" si="5"/>
        <v>4372700</v>
      </c>
      <c r="BP14" s="455">
        <f t="shared" si="6"/>
        <v>0</v>
      </c>
      <c r="BQ14" s="272"/>
      <c r="BR14" s="272"/>
      <c r="BS14" s="272"/>
      <c r="BT14" s="272">
        <v>0</v>
      </c>
      <c r="BU14" s="272">
        <v>96732517</v>
      </c>
      <c r="BV14" s="272"/>
      <c r="BW14" s="272">
        <v>25579809</v>
      </c>
      <c r="BX14" s="272">
        <v>19347137</v>
      </c>
      <c r="BY14" s="272">
        <v>1184581</v>
      </c>
      <c r="BZ14" s="272">
        <v>1316904</v>
      </c>
      <c r="CA14" s="272">
        <v>10701604</v>
      </c>
      <c r="CB14" s="272">
        <v>1019708</v>
      </c>
      <c r="CC14" s="272">
        <v>1688302</v>
      </c>
      <c r="CD14" s="272">
        <v>2915450</v>
      </c>
      <c r="CE14" s="272">
        <v>4852726</v>
      </c>
      <c r="CF14" s="272">
        <v>75</v>
      </c>
      <c r="CG14" s="272">
        <v>222620</v>
      </c>
      <c r="CH14" s="272">
        <v>8617449</v>
      </c>
      <c r="CI14" s="272">
        <v>4239431</v>
      </c>
      <c r="CJ14" s="455">
        <f t="shared" si="7"/>
        <v>4378018</v>
      </c>
      <c r="CK14" s="272">
        <v>7147298</v>
      </c>
      <c r="CL14" s="272">
        <v>2583447</v>
      </c>
      <c r="CM14" s="272">
        <v>518375</v>
      </c>
      <c r="CN14" s="272">
        <v>2457833</v>
      </c>
      <c r="CO14" s="272">
        <v>1742690</v>
      </c>
      <c r="CP14" s="272">
        <v>8782788</v>
      </c>
      <c r="CQ14" s="272">
        <v>3699721</v>
      </c>
      <c r="CR14" s="272">
        <v>1753056</v>
      </c>
      <c r="CS14" s="272">
        <v>1553751</v>
      </c>
      <c r="CT14" s="455">
        <f t="shared" si="8"/>
        <v>1250194</v>
      </c>
      <c r="CU14" s="272">
        <v>906025</v>
      </c>
      <c r="CV14" s="272">
        <v>344169</v>
      </c>
      <c r="CW14" s="455">
        <f t="shared" si="9"/>
        <v>1101551</v>
      </c>
      <c r="CX14" s="272">
        <v>884653</v>
      </c>
      <c r="CY14" s="272">
        <v>216898</v>
      </c>
      <c r="CZ14" s="455">
        <f t="shared" si="10"/>
        <v>0</v>
      </c>
      <c r="DA14" s="272">
        <v>0</v>
      </c>
      <c r="DB14" s="272">
        <v>0</v>
      </c>
      <c r="DC14" s="272">
        <v>16595216</v>
      </c>
      <c r="DD14" s="272">
        <v>3258816</v>
      </c>
      <c r="DE14" s="272">
        <v>12898454</v>
      </c>
      <c r="DF14" s="272">
        <v>395857</v>
      </c>
      <c r="DG14" s="272">
        <v>42089</v>
      </c>
      <c r="DH14" s="272">
        <v>0</v>
      </c>
      <c r="DI14" s="272">
        <v>4865967</v>
      </c>
      <c r="DJ14" s="272">
        <v>1070901</v>
      </c>
      <c r="DK14" s="272">
        <v>783718</v>
      </c>
      <c r="DL14" s="272">
        <v>3011348</v>
      </c>
      <c r="DM14" s="272">
        <v>402650</v>
      </c>
      <c r="DN14" s="272">
        <v>0</v>
      </c>
      <c r="DO14" s="272">
        <v>0</v>
      </c>
      <c r="DP14" s="272">
        <v>0</v>
      </c>
      <c r="DQ14" s="272">
        <v>4000000</v>
      </c>
      <c r="DR14" s="272">
        <v>0</v>
      </c>
      <c r="DS14" s="272">
        <v>0</v>
      </c>
      <c r="DT14" s="272">
        <v>6965999</v>
      </c>
      <c r="DU14" s="272">
        <v>5234188</v>
      </c>
      <c r="DV14" s="455">
        <f t="shared" si="11"/>
        <v>0</v>
      </c>
      <c r="DW14" s="272">
        <v>0</v>
      </c>
      <c r="DX14" s="272">
        <v>0</v>
      </c>
      <c r="DY14" s="457" t="s">
        <v>646</v>
      </c>
      <c r="DZ14" s="272">
        <v>900417</v>
      </c>
      <c r="EA14" s="272">
        <v>820051</v>
      </c>
      <c r="EB14" s="272"/>
      <c r="EC14" s="272">
        <v>0</v>
      </c>
      <c r="ED14" s="272">
        <v>95401470</v>
      </c>
      <c r="EF14" s="272">
        <v>1331047</v>
      </c>
      <c r="EG14" s="272">
        <v>1181984</v>
      </c>
      <c r="EH14" s="272">
        <v>149063</v>
      </c>
      <c r="EI14" s="272">
        <v>-1498719</v>
      </c>
      <c r="EJ14" s="272">
        <v>-427818</v>
      </c>
      <c r="EL14" s="272"/>
      <c r="EM14" s="272">
        <v>390160</v>
      </c>
      <c r="EN14" s="272">
        <v>1981577</v>
      </c>
      <c r="EO14" s="272">
        <v>763734</v>
      </c>
      <c r="EP14" s="455">
        <f t="shared" si="12"/>
        <v>3706645</v>
      </c>
      <c r="EQ14" s="272">
        <v>65230023</v>
      </c>
      <c r="ER14" s="272">
        <v>-6364514</v>
      </c>
      <c r="ES14" s="272">
        <v>23532564</v>
      </c>
      <c r="ET14" s="272">
        <v>17412693</v>
      </c>
      <c r="EU14" s="272">
        <v>3214383</v>
      </c>
      <c r="EV14" s="272">
        <v>8340193</v>
      </c>
      <c r="EW14" s="455">
        <f t="shared" si="13"/>
        <v>9026933</v>
      </c>
      <c r="EX14" s="272">
        <v>9026933</v>
      </c>
      <c r="EY14" s="272">
        <v>657241</v>
      </c>
      <c r="EZ14" s="272">
        <v>8182335</v>
      </c>
      <c r="FA14" s="272">
        <v>0</v>
      </c>
      <c r="FB14" s="272"/>
      <c r="FC14" s="272">
        <v>5929766</v>
      </c>
      <c r="FD14" s="272">
        <v>8134745</v>
      </c>
      <c r="FE14" s="272">
        <v>3699721</v>
      </c>
      <c r="FF14" s="272">
        <v>6733124</v>
      </c>
      <c r="FG14" s="455">
        <f t="shared" si="14"/>
        <v>5352003</v>
      </c>
      <c r="FH14" s="272">
        <v>70263711</v>
      </c>
      <c r="FI14" s="384">
        <f t="shared" si="15"/>
        <v>0.3</v>
      </c>
      <c r="FJ14" s="272">
        <v>58603049</v>
      </c>
      <c r="FK14" s="272"/>
      <c r="FL14" s="272">
        <v>44112770</v>
      </c>
      <c r="FM14" s="272">
        <v>43061161</v>
      </c>
      <c r="FN14" s="460">
        <v>1.012</v>
      </c>
      <c r="FO14" s="388">
        <v>83.8</v>
      </c>
      <c r="FP14" s="388">
        <v>37.6</v>
      </c>
      <c r="FQ14" s="388">
        <v>5.3</v>
      </c>
      <c r="FR14" s="388">
        <v>13.7</v>
      </c>
      <c r="FS14" s="388">
        <v>8.8000000000000007</v>
      </c>
      <c r="FT14" s="388">
        <v>12.1</v>
      </c>
      <c r="FU14" s="388">
        <v>3.6</v>
      </c>
      <c r="FV14" s="388">
        <v>10</v>
      </c>
      <c r="FW14" s="272">
        <v>69224690</v>
      </c>
      <c r="FX14" s="384">
        <f t="shared" si="16"/>
        <v>118.1</v>
      </c>
      <c r="FY14" s="272">
        <v>20847707</v>
      </c>
      <c r="FZ14" s="272">
        <v>4242912</v>
      </c>
      <c r="GA14" s="272">
        <v>3406080</v>
      </c>
      <c r="GB14" s="272">
        <v>13198715</v>
      </c>
      <c r="GC14" s="272"/>
      <c r="GD14" s="272">
        <v>24375880</v>
      </c>
      <c r="GE14" s="384">
        <f t="shared" si="17"/>
        <v>41.6</v>
      </c>
      <c r="GF14" s="388">
        <v>97.8</v>
      </c>
      <c r="GG14" s="388">
        <v>31.1</v>
      </c>
      <c r="GH14" s="388">
        <v>95.2</v>
      </c>
      <c r="GI14" s="272">
        <v>2740</v>
      </c>
    </row>
    <row r="15" spans="2:191" x14ac:dyDescent="0.15">
      <c r="B15" s="89" t="s">
        <v>23</v>
      </c>
      <c r="C15" s="272">
        <v>46861988</v>
      </c>
      <c r="D15" s="455">
        <f t="shared" si="0"/>
        <v>19635793</v>
      </c>
      <c r="E15" s="272">
        <v>182718</v>
      </c>
      <c r="F15" s="272">
        <v>19453075</v>
      </c>
      <c r="G15" s="455">
        <f t="shared" si="1"/>
        <v>7243802</v>
      </c>
      <c r="H15" s="272">
        <v>563519</v>
      </c>
      <c r="I15" s="272">
        <v>6680283</v>
      </c>
      <c r="J15" s="272">
        <v>14806360</v>
      </c>
      <c r="K15" s="272">
        <v>7237634</v>
      </c>
      <c r="L15" s="272">
        <v>5033497</v>
      </c>
      <c r="M15" s="272">
        <v>2344536</v>
      </c>
      <c r="N15" s="272">
        <v>1108504</v>
      </c>
      <c r="O15" s="272">
        <v>3223167</v>
      </c>
      <c r="P15" s="272">
        <v>2183308</v>
      </c>
      <c r="Q15" s="272">
        <v>1039859</v>
      </c>
      <c r="R15" s="272">
        <v>1341372</v>
      </c>
      <c r="S15" s="272">
        <v>926326</v>
      </c>
      <c r="T15" s="455">
        <f t="shared" si="2"/>
        <v>2956719</v>
      </c>
      <c r="U15" s="272">
        <v>1994010</v>
      </c>
      <c r="V15" s="272"/>
      <c r="W15" s="272"/>
      <c r="X15" s="272"/>
      <c r="Y15" s="272">
        <v>212909</v>
      </c>
      <c r="Z15" s="272">
        <v>3210</v>
      </c>
      <c r="AA15" s="272">
        <v>746590</v>
      </c>
      <c r="AB15" s="272"/>
      <c r="AC15" s="272">
        <v>230666</v>
      </c>
      <c r="AD15" s="272">
        <v>0</v>
      </c>
      <c r="AE15" s="272">
        <v>230666</v>
      </c>
      <c r="AF15" s="272">
        <v>62242</v>
      </c>
      <c r="AG15" s="272">
        <v>337341</v>
      </c>
      <c r="AH15" s="455">
        <f t="shared" si="3"/>
        <v>1587989</v>
      </c>
      <c r="AI15" s="272">
        <v>1304014</v>
      </c>
      <c r="AJ15" s="272">
        <v>283975</v>
      </c>
      <c r="AK15" s="272">
        <v>3739003</v>
      </c>
      <c r="AL15" s="455">
        <f t="shared" si="4"/>
        <v>2074076</v>
      </c>
      <c r="AM15" s="272">
        <v>1481025</v>
      </c>
      <c r="AN15" s="272">
        <v>404202</v>
      </c>
      <c r="AO15" s="272">
        <v>0</v>
      </c>
      <c r="AP15" s="272">
        <v>188849</v>
      </c>
      <c r="AQ15" s="272">
        <v>777594</v>
      </c>
      <c r="AR15" s="272">
        <v>0</v>
      </c>
      <c r="AS15" s="272">
        <v>0</v>
      </c>
      <c r="AT15" s="272">
        <v>2979321</v>
      </c>
      <c r="AU15" s="272">
        <v>743911</v>
      </c>
      <c r="AV15" s="272">
        <v>202101</v>
      </c>
      <c r="AW15" s="272">
        <v>85104</v>
      </c>
      <c r="AX15" s="272">
        <v>2235410</v>
      </c>
      <c r="AY15" s="272">
        <v>672077</v>
      </c>
      <c r="AZ15" s="272">
        <v>1503577</v>
      </c>
      <c r="BA15" s="272">
        <v>70173</v>
      </c>
      <c r="BB15" s="272">
        <v>146968</v>
      </c>
      <c r="BC15" s="272">
        <v>2299452</v>
      </c>
      <c r="BD15" s="272">
        <v>0</v>
      </c>
      <c r="BE15" s="272">
        <v>0</v>
      </c>
      <c r="BF15" s="272">
        <v>2296600</v>
      </c>
      <c r="BG15" s="272">
        <v>0</v>
      </c>
      <c r="BH15" s="272">
        <v>1617429</v>
      </c>
      <c r="BI15" s="272">
        <v>1355804</v>
      </c>
      <c r="BJ15" s="272">
        <v>2726159</v>
      </c>
      <c r="BK15" s="272">
        <v>542760</v>
      </c>
      <c r="BL15" s="272">
        <v>143430</v>
      </c>
      <c r="BM15" s="272">
        <v>641258</v>
      </c>
      <c r="BN15" s="272">
        <v>1894165</v>
      </c>
      <c r="BO15" s="455">
        <f t="shared" si="5"/>
        <v>1894165</v>
      </c>
      <c r="BP15" s="455">
        <f t="shared" si="6"/>
        <v>0</v>
      </c>
      <c r="BQ15" s="272"/>
      <c r="BR15" s="272"/>
      <c r="BS15" s="272"/>
      <c r="BT15" s="272">
        <v>0</v>
      </c>
      <c r="BU15" s="272">
        <v>70284391</v>
      </c>
      <c r="BV15" s="272"/>
      <c r="BW15" s="272">
        <v>16595226</v>
      </c>
      <c r="BX15" s="272">
        <v>12782332</v>
      </c>
      <c r="BY15" s="272">
        <v>758348</v>
      </c>
      <c r="BZ15" s="272">
        <v>374703</v>
      </c>
      <c r="CA15" s="272">
        <v>4959342</v>
      </c>
      <c r="CB15" s="272">
        <v>692640</v>
      </c>
      <c r="CC15" s="272">
        <v>962642</v>
      </c>
      <c r="CD15" s="272">
        <v>1299969</v>
      </c>
      <c r="CE15" s="272">
        <v>1898476</v>
      </c>
      <c r="CF15" s="272">
        <v>4386</v>
      </c>
      <c r="CG15" s="272">
        <v>101229</v>
      </c>
      <c r="CH15" s="272">
        <v>3315111</v>
      </c>
      <c r="CI15" s="272">
        <v>1719914</v>
      </c>
      <c r="CJ15" s="455">
        <f t="shared" si="7"/>
        <v>1595197</v>
      </c>
      <c r="CK15" s="272">
        <v>8669076</v>
      </c>
      <c r="CL15" s="272">
        <v>4256487</v>
      </c>
      <c r="CM15" s="272">
        <v>312222</v>
      </c>
      <c r="CN15" s="272">
        <v>2764732</v>
      </c>
      <c r="CO15" s="272">
        <v>1203842</v>
      </c>
      <c r="CP15" s="272">
        <v>2218323</v>
      </c>
      <c r="CQ15" s="272">
        <v>1289</v>
      </c>
      <c r="CR15" s="272">
        <v>865929</v>
      </c>
      <c r="CS15" s="272">
        <v>752927</v>
      </c>
      <c r="CT15" s="455">
        <f t="shared" si="8"/>
        <v>104435</v>
      </c>
      <c r="CU15" s="272">
        <v>103565</v>
      </c>
      <c r="CV15" s="272">
        <v>870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21682823</v>
      </c>
      <c r="DD15" s="272">
        <v>2085058</v>
      </c>
      <c r="DE15" s="272">
        <v>19365323</v>
      </c>
      <c r="DF15" s="272">
        <v>0</v>
      </c>
      <c r="DG15" s="272">
        <v>232442</v>
      </c>
      <c r="DH15" s="272">
        <v>27712</v>
      </c>
      <c r="DI15" s="272">
        <v>1823110</v>
      </c>
      <c r="DJ15" s="272">
        <v>305500</v>
      </c>
      <c r="DK15" s="272">
        <v>0</v>
      </c>
      <c r="DL15" s="272">
        <v>1517610</v>
      </c>
      <c r="DM15" s="272">
        <v>16000</v>
      </c>
      <c r="DN15" s="272">
        <v>0</v>
      </c>
      <c r="DO15" s="272">
        <v>0</v>
      </c>
      <c r="DP15" s="272">
        <v>0</v>
      </c>
      <c r="DQ15" s="272">
        <v>627399</v>
      </c>
      <c r="DR15" s="272">
        <v>0</v>
      </c>
      <c r="DS15" s="272">
        <v>0</v>
      </c>
      <c r="DT15" s="272">
        <v>8552754</v>
      </c>
      <c r="DU15" s="272">
        <v>4782634</v>
      </c>
      <c r="DV15" s="455">
        <f t="shared" si="11"/>
        <v>0</v>
      </c>
      <c r="DW15" s="272">
        <v>0</v>
      </c>
      <c r="DX15" s="272">
        <v>0</v>
      </c>
      <c r="DY15" s="457" t="s">
        <v>646</v>
      </c>
      <c r="DZ15" s="272">
        <v>830000</v>
      </c>
      <c r="EA15" s="272">
        <v>544502</v>
      </c>
      <c r="EB15" s="272"/>
      <c r="EC15" s="272">
        <v>0</v>
      </c>
      <c r="ED15" s="272">
        <v>69690718</v>
      </c>
      <c r="EF15" s="272">
        <v>593673</v>
      </c>
      <c r="EG15" s="272">
        <v>19743</v>
      </c>
      <c r="EH15" s="272">
        <v>573930</v>
      </c>
      <c r="EI15" s="272">
        <v>-781874</v>
      </c>
      <c r="EJ15" s="272">
        <v>-476374</v>
      </c>
      <c r="EL15" s="272"/>
      <c r="EM15" s="272">
        <v>250350</v>
      </c>
      <c r="EN15" s="272">
        <v>294</v>
      </c>
      <c r="EO15" s="272">
        <v>83717</v>
      </c>
      <c r="EP15" s="455">
        <f t="shared" si="12"/>
        <v>3320343</v>
      </c>
      <c r="EQ15" s="272">
        <v>51452987</v>
      </c>
      <c r="ER15" s="272">
        <v>-3342112</v>
      </c>
      <c r="ES15" s="272">
        <v>14773545</v>
      </c>
      <c r="ET15" s="272">
        <v>11029047</v>
      </c>
      <c r="EU15" s="272">
        <v>1463620</v>
      </c>
      <c r="EV15" s="272">
        <v>3257855</v>
      </c>
      <c r="EW15" s="455">
        <f t="shared" si="13"/>
        <v>15598627</v>
      </c>
      <c r="EX15" s="272">
        <v>15593782</v>
      </c>
      <c r="EY15" s="272">
        <v>679783</v>
      </c>
      <c r="EZ15" s="272">
        <v>14912273</v>
      </c>
      <c r="FA15" s="272">
        <v>4845</v>
      </c>
      <c r="FB15" s="272"/>
      <c r="FC15" s="272">
        <v>7059198</v>
      </c>
      <c r="FD15" s="272">
        <v>1930040</v>
      </c>
      <c r="FE15" s="272">
        <v>1289</v>
      </c>
      <c r="FF15" s="272">
        <v>8433412</v>
      </c>
      <c r="FG15" s="455">
        <f t="shared" si="14"/>
        <v>1685129</v>
      </c>
      <c r="FH15" s="272">
        <v>54201426</v>
      </c>
      <c r="FI15" s="384">
        <f t="shared" si="15"/>
        <v>1.3</v>
      </c>
      <c r="FJ15" s="272">
        <v>45700772</v>
      </c>
      <c r="FK15" s="272"/>
      <c r="FL15" s="272">
        <v>34390383</v>
      </c>
      <c r="FM15" s="272">
        <v>27599392</v>
      </c>
      <c r="FN15" s="460">
        <v>1.2150000000000001</v>
      </c>
      <c r="FO15" s="388">
        <v>64.099999999999994</v>
      </c>
      <c r="FP15" s="388">
        <v>30</v>
      </c>
      <c r="FQ15" s="388">
        <v>3</v>
      </c>
      <c r="FR15" s="388">
        <v>6.6</v>
      </c>
      <c r="FS15" s="388">
        <v>13.8</v>
      </c>
      <c r="FT15" s="388">
        <v>2.7</v>
      </c>
      <c r="FU15" s="388">
        <v>5.4</v>
      </c>
      <c r="FV15" s="388">
        <v>4.2</v>
      </c>
      <c r="FW15" s="272">
        <v>24027728</v>
      </c>
      <c r="FX15" s="384">
        <f t="shared" si="16"/>
        <v>52.6</v>
      </c>
      <c r="FY15" s="272">
        <v>19150020</v>
      </c>
      <c r="FZ15" s="272">
        <v>4494200</v>
      </c>
      <c r="GA15" s="272"/>
      <c r="GB15" s="272">
        <v>14655820</v>
      </c>
      <c r="GC15" s="272"/>
      <c r="GD15" s="272">
        <v>19471106</v>
      </c>
      <c r="GE15" s="384">
        <f t="shared" si="17"/>
        <v>42.6</v>
      </c>
      <c r="GF15" s="388">
        <v>98.9</v>
      </c>
      <c r="GG15" s="388">
        <v>39.299999999999997</v>
      </c>
      <c r="GH15" s="388">
        <v>98.2</v>
      </c>
      <c r="GI15" s="272">
        <v>1866</v>
      </c>
    </row>
    <row r="16" spans="2:191" x14ac:dyDescent="0.15">
      <c r="B16" s="89" t="s">
        <v>25</v>
      </c>
      <c r="C16" s="272">
        <v>43080879</v>
      </c>
      <c r="D16" s="455">
        <f t="shared" si="0"/>
        <v>17111684</v>
      </c>
      <c r="E16" s="272">
        <v>194023</v>
      </c>
      <c r="F16" s="272">
        <v>16917661</v>
      </c>
      <c r="G16" s="455">
        <f t="shared" si="1"/>
        <v>6454277</v>
      </c>
      <c r="H16" s="272">
        <v>494995</v>
      </c>
      <c r="I16" s="272">
        <v>5959282</v>
      </c>
      <c r="J16" s="272">
        <v>14141468</v>
      </c>
      <c r="K16" s="272">
        <v>6994182</v>
      </c>
      <c r="L16" s="272">
        <v>4497957</v>
      </c>
      <c r="M16" s="272">
        <v>2486045</v>
      </c>
      <c r="N16" s="272">
        <v>1554705</v>
      </c>
      <c r="O16" s="272">
        <v>3323845</v>
      </c>
      <c r="P16" s="272">
        <v>2325943</v>
      </c>
      <c r="Q16" s="272">
        <v>997902</v>
      </c>
      <c r="R16" s="272">
        <v>1569843</v>
      </c>
      <c r="S16" s="272">
        <v>1121237</v>
      </c>
      <c r="T16" s="455">
        <f t="shared" si="2"/>
        <v>2612673</v>
      </c>
      <c r="U16" s="272">
        <v>1804389</v>
      </c>
      <c r="V16" s="272"/>
      <c r="W16" s="272"/>
      <c r="X16" s="272"/>
      <c r="Y16" s="272">
        <v>0</v>
      </c>
      <c r="Z16" s="272">
        <v>3570</v>
      </c>
      <c r="AA16" s="272">
        <v>804714</v>
      </c>
      <c r="AB16" s="272"/>
      <c r="AC16" s="272">
        <v>834042</v>
      </c>
      <c r="AD16" s="272">
        <v>0</v>
      </c>
      <c r="AE16" s="272">
        <v>834042</v>
      </c>
      <c r="AF16" s="272">
        <v>63589</v>
      </c>
      <c r="AG16" s="272">
        <v>2258387</v>
      </c>
      <c r="AH16" s="455">
        <f t="shared" si="3"/>
        <v>1434819</v>
      </c>
      <c r="AI16" s="272">
        <v>945826</v>
      </c>
      <c r="AJ16" s="272">
        <v>488993</v>
      </c>
      <c r="AK16" s="272">
        <v>6370453</v>
      </c>
      <c r="AL16" s="455">
        <f t="shared" si="4"/>
        <v>4494879</v>
      </c>
      <c r="AM16" s="272">
        <v>3676482</v>
      </c>
      <c r="AN16" s="272">
        <v>559172</v>
      </c>
      <c r="AO16" s="272">
        <v>0</v>
      </c>
      <c r="AP16" s="272">
        <v>259225</v>
      </c>
      <c r="AQ16" s="272">
        <v>450389</v>
      </c>
      <c r="AR16" s="272">
        <v>0</v>
      </c>
      <c r="AS16" s="272">
        <v>19103</v>
      </c>
      <c r="AT16" s="272">
        <v>3638982</v>
      </c>
      <c r="AU16" s="272">
        <v>1052493</v>
      </c>
      <c r="AV16" s="272">
        <v>279586</v>
      </c>
      <c r="AW16" s="272">
        <v>24812</v>
      </c>
      <c r="AX16" s="272">
        <v>2586489</v>
      </c>
      <c r="AY16" s="272">
        <v>516921</v>
      </c>
      <c r="AZ16" s="272">
        <v>1346558</v>
      </c>
      <c r="BA16" s="272">
        <v>333035</v>
      </c>
      <c r="BB16" s="272">
        <v>281440</v>
      </c>
      <c r="BC16" s="272">
        <v>1770746</v>
      </c>
      <c r="BD16" s="272">
        <v>0</v>
      </c>
      <c r="BE16" s="272">
        <v>0</v>
      </c>
      <c r="BF16" s="272">
        <v>1769104</v>
      </c>
      <c r="BG16" s="272">
        <v>0</v>
      </c>
      <c r="BH16" s="272">
        <v>658350</v>
      </c>
      <c r="BI16" s="272">
        <v>499881</v>
      </c>
      <c r="BJ16" s="272">
        <v>3518780</v>
      </c>
      <c r="BK16" s="272">
        <v>2381690</v>
      </c>
      <c r="BL16" s="272">
        <v>1315</v>
      </c>
      <c r="BM16" s="272">
        <v>674955</v>
      </c>
      <c r="BN16" s="272">
        <v>2895738</v>
      </c>
      <c r="BO16" s="455">
        <f t="shared" si="5"/>
        <v>2895738</v>
      </c>
      <c r="BP16" s="455">
        <f t="shared" si="6"/>
        <v>0</v>
      </c>
      <c r="BQ16" s="272"/>
      <c r="BR16" s="272"/>
      <c r="BS16" s="272"/>
      <c r="BT16" s="272">
        <v>0</v>
      </c>
      <c r="BU16" s="272">
        <v>72354382</v>
      </c>
      <c r="BV16" s="272"/>
      <c r="BW16" s="272">
        <v>19460162</v>
      </c>
      <c r="BX16" s="272">
        <v>14884198</v>
      </c>
      <c r="BY16" s="272">
        <v>904640</v>
      </c>
      <c r="BZ16" s="272">
        <v>695472</v>
      </c>
      <c r="CA16" s="272">
        <v>10840407</v>
      </c>
      <c r="CB16" s="272">
        <v>762704</v>
      </c>
      <c r="CC16" s="272">
        <v>1306424</v>
      </c>
      <c r="CD16" s="272">
        <v>1790562</v>
      </c>
      <c r="CE16" s="272">
        <v>4787423</v>
      </c>
      <c r="CF16" s="272">
        <v>1906233</v>
      </c>
      <c r="CG16" s="272">
        <v>286561</v>
      </c>
      <c r="CH16" s="272">
        <v>6578012</v>
      </c>
      <c r="CI16" s="272">
        <v>3544608</v>
      </c>
      <c r="CJ16" s="455">
        <f t="shared" si="7"/>
        <v>3033404</v>
      </c>
      <c r="CK16" s="272">
        <v>7950894</v>
      </c>
      <c r="CL16" s="272">
        <v>4534552</v>
      </c>
      <c r="CM16" s="272">
        <v>591000</v>
      </c>
      <c r="CN16" s="272">
        <v>1852946</v>
      </c>
      <c r="CO16" s="272">
        <v>429200</v>
      </c>
      <c r="CP16" s="272">
        <v>3223972</v>
      </c>
      <c r="CQ16" s="272">
        <v>60527</v>
      </c>
      <c r="CR16" s="272">
        <v>786430</v>
      </c>
      <c r="CS16" s="272">
        <v>397305</v>
      </c>
      <c r="CT16" s="455">
        <f t="shared" si="8"/>
        <v>1386358</v>
      </c>
      <c r="CU16" s="272">
        <v>1381345</v>
      </c>
      <c r="CV16" s="272">
        <v>5013</v>
      </c>
      <c r="CW16" s="455">
        <f t="shared" si="9"/>
        <v>1287755</v>
      </c>
      <c r="CX16" s="272">
        <v>1282742</v>
      </c>
      <c r="CY16" s="272">
        <v>5013</v>
      </c>
      <c r="CZ16" s="455">
        <f t="shared" si="10"/>
        <v>0</v>
      </c>
      <c r="DA16" s="272">
        <v>0</v>
      </c>
      <c r="DB16" s="272">
        <v>0</v>
      </c>
      <c r="DC16" s="272">
        <v>13195128</v>
      </c>
      <c r="DD16" s="272">
        <v>1352535</v>
      </c>
      <c r="DE16" s="272">
        <v>11469886</v>
      </c>
      <c r="DF16" s="272">
        <v>0</v>
      </c>
      <c r="DG16" s="272">
        <v>372707</v>
      </c>
      <c r="DH16" s="272">
        <v>0</v>
      </c>
      <c r="DI16" s="272">
        <v>3139042</v>
      </c>
      <c r="DJ16" s="272">
        <v>439538</v>
      </c>
      <c r="DK16" s="272">
        <v>0</v>
      </c>
      <c r="DL16" s="272">
        <v>2699504</v>
      </c>
      <c r="DM16" s="272">
        <v>52170</v>
      </c>
      <c r="DN16" s="272">
        <v>0</v>
      </c>
      <c r="DO16" s="272">
        <v>0</v>
      </c>
      <c r="DP16" s="272">
        <v>0</v>
      </c>
      <c r="DQ16" s="272">
        <v>2368485</v>
      </c>
      <c r="DR16" s="272">
        <v>0</v>
      </c>
      <c r="DS16" s="272">
        <v>0</v>
      </c>
      <c r="DT16" s="272">
        <v>4335253</v>
      </c>
      <c r="DU16" s="272">
        <v>2663831</v>
      </c>
      <c r="DV16" s="455">
        <f t="shared" si="11"/>
        <v>0</v>
      </c>
      <c r="DW16" s="272">
        <v>0</v>
      </c>
      <c r="DX16" s="272">
        <v>0</v>
      </c>
      <c r="DY16" s="457" t="s">
        <v>646</v>
      </c>
      <c r="DZ16" s="272">
        <v>963940</v>
      </c>
      <c r="EA16" s="272">
        <v>701482</v>
      </c>
      <c r="EB16" s="272"/>
      <c r="EC16" s="272">
        <v>0</v>
      </c>
      <c r="ED16" s="272">
        <v>71572725</v>
      </c>
      <c r="EF16" s="272">
        <v>781657</v>
      </c>
      <c r="EG16" s="272">
        <v>560796</v>
      </c>
      <c r="EH16" s="272">
        <v>220861</v>
      </c>
      <c r="EI16" s="272">
        <v>-279020</v>
      </c>
      <c r="EJ16" s="272">
        <v>160518</v>
      </c>
      <c r="EL16" s="272"/>
      <c r="EM16" s="272">
        <v>270224</v>
      </c>
      <c r="EN16" s="272">
        <v>1642</v>
      </c>
      <c r="EO16" s="272">
        <v>129378</v>
      </c>
      <c r="EP16" s="455">
        <f t="shared" si="12"/>
        <v>1994465</v>
      </c>
      <c r="EQ16" s="272">
        <v>48180129</v>
      </c>
      <c r="ER16" s="272">
        <v>-2042793</v>
      </c>
      <c r="ES16" s="272">
        <v>17789965</v>
      </c>
      <c r="ET16" s="272">
        <v>13449687</v>
      </c>
      <c r="EU16" s="272">
        <v>2638397</v>
      </c>
      <c r="EV16" s="272">
        <v>6346296</v>
      </c>
      <c r="EW16" s="455">
        <f t="shared" si="13"/>
        <v>7343625</v>
      </c>
      <c r="EX16" s="272">
        <v>7343625</v>
      </c>
      <c r="EY16" s="272">
        <v>243753</v>
      </c>
      <c r="EZ16" s="272">
        <v>7098988</v>
      </c>
      <c r="FA16" s="272">
        <v>0</v>
      </c>
      <c r="FB16" s="272"/>
      <c r="FC16" s="272">
        <v>6494910</v>
      </c>
      <c r="FD16" s="272">
        <v>2841741</v>
      </c>
      <c r="FE16" s="272">
        <v>60527</v>
      </c>
      <c r="FF16" s="272">
        <v>4117873</v>
      </c>
      <c r="FG16" s="455">
        <f t="shared" si="14"/>
        <v>2399651</v>
      </c>
      <c r="FH16" s="272">
        <v>49972458</v>
      </c>
      <c r="FI16" s="384">
        <f t="shared" si="15"/>
        <v>0.5</v>
      </c>
      <c r="FJ16" s="272">
        <v>40999969</v>
      </c>
      <c r="FK16" s="272"/>
      <c r="FL16" s="272">
        <v>30871774</v>
      </c>
      <c r="FM16" s="272">
        <v>30030513</v>
      </c>
      <c r="FN16" s="460">
        <v>1.0289999999999999</v>
      </c>
      <c r="FO16" s="388">
        <v>82.7</v>
      </c>
      <c r="FP16" s="388">
        <v>39.200000000000003</v>
      </c>
      <c r="FQ16" s="388">
        <v>5.9</v>
      </c>
      <c r="FR16" s="388">
        <v>14.3</v>
      </c>
      <c r="FS16" s="388">
        <v>13.6</v>
      </c>
      <c r="FT16" s="388">
        <v>3.2</v>
      </c>
      <c r="FU16" s="388">
        <v>5.5</v>
      </c>
      <c r="FV16" s="388">
        <v>13.2</v>
      </c>
      <c r="FW16" s="272">
        <v>50956438</v>
      </c>
      <c r="FX16" s="384">
        <f t="shared" si="16"/>
        <v>124.3</v>
      </c>
      <c r="FY16" s="272">
        <v>14546927</v>
      </c>
      <c r="FZ16" s="272">
        <v>3024776</v>
      </c>
      <c r="GA16" s="272"/>
      <c r="GB16" s="272">
        <v>11522151</v>
      </c>
      <c r="GC16" s="272"/>
      <c r="GD16" s="272">
        <v>31297230</v>
      </c>
      <c r="GE16" s="384">
        <f t="shared" si="17"/>
        <v>76.3</v>
      </c>
      <c r="GF16" s="388">
        <v>98.7</v>
      </c>
      <c r="GG16" s="388">
        <v>45.7</v>
      </c>
      <c r="GH16" s="388">
        <v>98</v>
      </c>
      <c r="GI16" s="272">
        <v>1984</v>
      </c>
    </row>
    <row r="17" spans="2:191" x14ac:dyDescent="0.15">
      <c r="B17" s="89" t="s">
        <v>27</v>
      </c>
      <c r="C17" s="272">
        <v>13243191</v>
      </c>
      <c r="D17" s="455">
        <f t="shared" si="0"/>
        <v>4846179</v>
      </c>
      <c r="E17" s="272">
        <v>59994</v>
      </c>
      <c r="F17" s="272">
        <v>4786185</v>
      </c>
      <c r="G17" s="455">
        <f t="shared" si="1"/>
        <v>1903446</v>
      </c>
      <c r="H17" s="272">
        <v>258533</v>
      </c>
      <c r="I17" s="272">
        <v>1644913</v>
      </c>
      <c r="J17" s="272">
        <v>4986747</v>
      </c>
      <c r="K17" s="272">
        <v>2470709</v>
      </c>
      <c r="L17" s="272">
        <v>1432145</v>
      </c>
      <c r="M17" s="272">
        <v>1043539</v>
      </c>
      <c r="N17" s="272">
        <v>422405</v>
      </c>
      <c r="O17" s="272">
        <v>912894</v>
      </c>
      <c r="P17" s="272">
        <v>618750</v>
      </c>
      <c r="Q17" s="272">
        <v>294144</v>
      </c>
      <c r="R17" s="272">
        <v>552705</v>
      </c>
      <c r="S17" s="272">
        <v>396248</v>
      </c>
      <c r="T17" s="455">
        <f t="shared" si="2"/>
        <v>862045</v>
      </c>
      <c r="U17" s="272">
        <v>505087</v>
      </c>
      <c r="V17" s="272"/>
      <c r="W17" s="272"/>
      <c r="X17" s="272"/>
      <c r="Y17" s="272">
        <v>81375</v>
      </c>
      <c r="Z17" s="272">
        <v>3285</v>
      </c>
      <c r="AA17" s="272">
        <v>272298</v>
      </c>
      <c r="AB17" s="272"/>
      <c r="AC17" s="272">
        <v>1332026</v>
      </c>
      <c r="AD17" s="272">
        <v>663382</v>
      </c>
      <c r="AE17" s="272">
        <v>668644</v>
      </c>
      <c r="AF17" s="272">
        <v>25082</v>
      </c>
      <c r="AG17" s="272">
        <v>187535</v>
      </c>
      <c r="AH17" s="455">
        <f t="shared" si="3"/>
        <v>625869</v>
      </c>
      <c r="AI17" s="272">
        <v>560406</v>
      </c>
      <c r="AJ17" s="272">
        <v>65463</v>
      </c>
      <c r="AK17" s="272">
        <v>2294811</v>
      </c>
      <c r="AL17" s="455">
        <f t="shared" si="4"/>
        <v>1258189</v>
      </c>
      <c r="AM17" s="272">
        <v>833487</v>
      </c>
      <c r="AN17" s="272">
        <v>330321</v>
      </c>
      <c r="AO17" s="272">
        <v>0</v>
      </c>
      <c r="AP17" s="272">
        <v>94381</v>
      </c>
      <c r="AQ17" s="272">
        <v>495337</v>
      </c>
      <c r="AR17" s="272">
        <v>0</v>
      </c>
      <c r="AS17" s="272">
        <v>0</v>
      </c>
      <c r="AT17" s="272">
        <v>5161388</v>
      </c>
      <c r="AU17" s="272">
        <v>2042211</v>
      </c>
      <c r="AV17" s="272">
        <v>165160</v>
      </c>
      <c r="AW17" s="272">
        <v>84495</v>
      </c>
      <c r="AX17" s="272">
        <v>3119177</v>
      </c>
      <c r="AY17" s="272">
        <v>2147594</v>
      </c>
      <c r="AZ17" s="272">
        <v>3006499</v>
      </c>
      <c r="BA17" s="272">
        <v>2341468</v>
      </c>
      <c r="BB17" s="272">
        <v>244359</v>
      </c>
      <c r="BC17" s="272">
        <v>3921963</v>
      </c>
      <c r="BD17" s="272">
        <v>0</v>
      </c>
      <c r="BE17" s="272">
        <v>0</v>
      </c>
      <c r="BF17" s="272">
        <v>3921963</v>
      </c>
      <c r="BG17" s="272">
        <v>0</v>
      </c>
      <c r="BH17" s="272">
        <v>168525</v>
      </c>
      <c r="BI17" s="272">
        <v>141612</v>
      </c>
      <c r="BJ17" s="272">
        <v>1494041</v>
      </c>
      <c r="BK17" s="272">
        <v>87865</v>
      </c>
      <c r="BL17" s="272">
        <v>0</v>
      </c>
      <c r="BM17" s="272">
        <v>499840</v>
      </c>
      <c r="BN17" s="272">
        <v>3079746</v>
      </c>
      <c r="BO17" s="455">
        <f t="shared" si="5"/>
        <v>3079746</v>
      </c>
      <c r="BP17" s="455">
        <f t="shared" si="6"/>
        <v>0</v>
      </c>
      <c r="BQ17" s="272"/>
      <c r="BR17" s="272"/>
      <c r="BS17" s="272"/>
      <c r="BT17" s="272">
        <v>0</v>
      </c>
      <c r="BU17" s="272">
        <v>36199785</v>
      </c>
      <c r="BV17" s="272"/>
      <c r="BW17" s="272">
        <v>8112172</v>
      </c>
      <c r="BX17" s="272">
        <v>6096652</v>
      </c>
      <c r="BY17" s="272">
        <v>303501</v>
      </c>
      <c r="BZ17" s="272">
        <v>370755</v>
      </c>
      <c r="CA17" s="272">
        <v>2948830</v>
      </c>
      <c r="CB17" s="272">
        <v>266716</v>
      </c>
      <c r="CC17" s="272">
        <v>663129</v>
      </c>
      <c r="CD17" s="272">
        <v>957738</v>
      </c>
      <c r="CE17" s="272">
        <v>1014745</v>
      </c>
      <c r="CF17" s="272">
        <v>10199</v>
      </c>
      <c r="CG17" s="272">
        <v>36303</v>
      </c>
      <c r="CH17" s="272">
        <v>2327165</v>
      </c>
      <c r="CI17" s="272">
        <v>1286627</v>
      </c>
      <c r="CJ17" s="455">
        <f t="shared" si="7"/>
        <v>1040538</v>
      </c>
      <c r="CK17" s="272">
        <v>1921342</v>
      </c>
      <c r="CL17" s="272">
        <v>781131</v>
      </c>
      <c r="CM17" s="272">
        <v>42677</v>
      </c>
      <c r="CN17" s="272">
        <v>629070</v>
      </c>
      <c r="CO17" s="272">
        <v>112892</v>
      </c>
      <c r="CP17" s="272">
        <v>2692242</v>
      </c>
      <c r="CQ17" s="272">
        <v>1120613</v>
      </c>
      <c r="CR17" s="272">
        <v>567487</v>
      </c>
      <c r="CS17" s="272">
        <v>397928</v>
      </c>
      <c r="CT17" s="455">
        <f t="shared" si="8"/>
        <v>518646</v>
      </c>
      <c r="CU17" s="272">
        <v>518646</v>
      </c>
      <c r="CV17" s="272">
        <v>0</v>
      </c>
      <c r="CW17" s="455">
        <f t="shared" si="9"/>
        <v>500000</v>
      </c>
      <c r="CX17" s="272">
        <v>500000</v>
      </c>
      <c r="CY17" s="272">
        <v>0</v>
      </c>
      <c r="CZ17" s="455">
        <f t="shared" si="10"/>
        <v>0</v>
      </c>
      <c r="DA17" s="272">
        <v>0</v>
      </c>
      <c r="DB17" s="272">
        <v>0</v>
      </c>
      <c r="DC17" s="272">
        <v>13522573</v>
      </c>
      <c r="DD17" s="272">
        <v>1010909</v>
      </c>
      <c r="DE17" s="272">
        <v>9699744</v>
      </c>
      <c r="DF17" s="272">
        <v>559749</v>
      </c>
      <c r="DG17" s="272">
        <v>2252171</v>
      </c>
      <c r="DH17" s="272">
        <v>15371</v>
      </c>
      <c r="DI17" s="272">
        <v>2297922</v>
      </c>
      <c r="DJ17" s="272">
        <v>144000</v>
      </c>
      <c r="DK17" s="272">
        <v>257830</v>
      </c>
      <c r="DL17" s="272">
        <v>1896092</v>
      </c>
      <c r="DM17" s="272">
        <v>404800</v>
      </c>
      <c r="DN17" s="272">
        <v>0</v>
      </c>
      <c r="DO17" s="272">
        <v>0</v>
      </c>
      <c r="DP17" s="272">
        <v>0</v>
      </c>
      <c r="DQ17" s="272">
        <v>304000</v>
      </c>
      <c r="DR17" s="272">
        <v>224000</v>
      </c>
      <c r="DS17" s="272">
        <v>224000</v>
      </c>
      <c r="DT17" s="272">
        <v>1321501</v>
      </c>
      <c r="DU17" s="272">
        <v>559500</v>
      </c>
      <c r="DV17" s="455">
        <f t="shared" si="11"/>
        <v>0</v>
      </c>
      <c r="DW17" s="272">
        <v>0</v>
      </c>
      <c r="DX17" s="272">
        <v>0</v>
      </c>
      <c r="DY17" s="457" t="s">
        <v>646</v>
      </c>
      <c r="DZ17" s="272">
        <v>437624</v>
      </c>
      <c r="EA17" s="272">
        <v>306327</v>
      </c>
      <c r="EB17" s="272"/>
      <c r="EC17" s="272">
        <v>0</v>
      </c>
      <c r="ED17" s="272">
        <v>35980810</v>
      </c>
      <c r="EF17" s="272">
        <v>218975</v>
      </c>
      <c r="EG17" s="272">
        <v>29049</v>
      </c>
      <c r="EH17" s="272">
        <v>189926</v>
      </c>
      <c r="EI17" s="272">
        <v>48314</v>
      </c>
      <c r="EJ17" s="272">
        <v>192314</v>
      </c>
      <c r="EL17" s="272"/>
      <c r="EM17" s="272">
        <v>89395</v>
      </c>
      <c r="EN17" s="272">
        <v>240000</v>
      </c>
      <c r="EO17" s="272">
        <v>1959</v>
      </c>
      <c r="EP17" s="455">
        <f t="shared" si="12"/>
        <v>1534193</v>
      </c>
      <c r="EQ17" s="272">
        <v>16015049</v>
      </c>
      <c r="ER17" s="272">
        <v>-1751070</v>
      </c>
      <c r="ES17" s="272">
        <v>7364523</v>
      </c>
      <c r="ET17" s="272">
        <v>5468486</v>
      </c>
      <c r="EU17" s="272">
        <v>1020541</v>
      </c>
      <c r="EV17" s="272">
        <v>2229265</v>
      </c>
      <c r="EW17" s="455">
        <f t="shared" si="13"/>
        <v>1336209</v>
      </c>
      <c r="EX17" s="272">
        <v>1320838</v>
      </c>
      <c r="EY17" s="272">
        <v>104747</v>
      </c>
      <c r="EZ17" s="272">
        <v>1186443</v>
      </c>
      <c r="FA17" s="272">
        <v>15371</v>
      </c>
      <c r="FB17" s="272"/>
      <c r="FC17" s="272">
        <v>1454503</v>
      </c>
      <c r="FD17" s="272">
        <v>2396558</v>
      </c>
      <c r="FE17" s="272">
        <v>1120613</v>
      </c>
      <c r="FF17" s="272">
        <v>706464</v>
      </c>
      <c r="FG17" s="455">
        <f t="shared" si="14"/>
        <v>1106345</v>
      </c>
      <c r="FH17" s="272">
        <v>17614408</v>
      </c>
      <c r="FI17" s="384">
        <f t="shared" si="15"/>
        <v>1.4</v>
      </c>
      <c r="FJ17" s="272">
        <v>13701757</v>
      </c>
      <c r="FK17" s="272"/>
      <c r="FL17" s="272">
        <v>9823390</v>
      </c>
      <c r="FM17" s="272">
        <v>10509971</v>
      </c>
      <c r="FN17" s="460">
        <v>0.92800000000000005</v>
      </c>
      <c r="FO17" s="388">
        <v>95.3</v>
      </c>
      <c r="FP17" s="388">
        <v>50</v>
      </c>
      <c r="FQ17" s="388">
        <v>6.9</v>
      </c>
      <c r="FR17" s="388">
        <v>15.2</v>
      </c>
      <c r="FS17" s="388">
        <v>9.1</v>
      </c>
      <c r="FT17" s="388">
        <v>11.1</v>
      </c>
      <c r="FU17" s="388">
        <v>2.2999999999999998</v>
      </c>
      <c r="FV17" s="388">
        <v>12.5</v>
      </c>
      <c r="FW17" s="272">
        <v>18374190</v>
      </c>
      <c r="FX17" s="384">
        <f t="shared" si="16"/>
        <v>134.1</v>
      </c>
      <c r="FY17" s="272">
        <v>8584265</v>
      </c>
      <c r="FZ17" s="272">
        <v>144000</v>
      </c>
      <c r="GA17" s="272">
        <v>1293830</v>
      </c>
      <c r="GB17" s="272">
        <v>7146435</v>
      </c>
      <c r="GC17" s="272"/>
      <c r="GD17" s="272">
        <v>9222538</v>
      </c>
      <c r="GE17" s="384">
        <f t="shared" si="17"/>
        <v>67.3</v>
      </c>
      <c r="GF17" s="388">
        <v>97</v>
      </c>
      <c r="GG17" s="388">
        <v>23.3</v>
      </c>
      <c r="GH17" s="388">
        <v>92.1</v>
      </c>
      <c r="GI17" s="272">
        <v>908</v>
      </c>
    </row>
    <row r="18" spans="2:191" x14ac:dyDescent="0.15">
      <c r="B18" s="89" t="s">
        <v>29</v>
      </c>
      <c r="C18" s="272">
        <v>14472699</v>
      </c>
      <c r="D18" s="455">
        <f t="shared" si="0"/>
        <v>7592924</v>
      </c>
      <c r="E18" s="272">
        <v>73823</v>
      </c>
      <c r="F18" s="272">
        <v>7519101</v>
      </c>
      <c r="G18" s="455">
        <f t="shared" si="1"/>
        <v>932319</v>
      </c>
      <c r="H18" s="272">
        <v>134700</v>
      </c>
      <c r="I18" s="272">
        <v>797619</v>
      </c>
      <c r="J18" s="272">
        <v>4406123</v>
      </c>
      <c r="K18" s="272">
        <v>2062106</v>
      </c>
      <c r="L18" s="272">
        <v>1729850</v>
      </c>
      <c r="M18" s="272">
        <v>590991</v>
      </c>
      <c r="N18" s="272">
        <v>406982</v>
      </c>
      <c r="O18" s="272">
        <v>998968</v>
      </c>
      <c r="P18" s="272">
        <v>657232</v>
      </c>
      <c r="Q18" s="272">
        <v>341736</v>
      </c>
      <c r="R18" s="272">
        <v>523770</v>
      </c>
      <c r="S18" s="272">
        <v>329454</v>
      </c>
      <c r="T18" s="455">
        <f t="shared" si="2"/>
        <v>1168082</v>
      </c>
      <c r="U18" s="272">
        <v>703585</v>
      </c>
      <c r="V18" s="272"/>
      <c r="W18" s="272"/>
      <c r="X18" s="272"/>
      <c r="Y18" s="272">
        <v>113213</v>
      </c>
      <c r="Z18" s="272">
        <v>1862</v>
      </c>
      <c r="AA18" s="272">
        <v>349422</v>
      </c>
      <c r="AB18" s="272"/>
      <c r="AC18" s="272">
        <v>2932203</v>
      </c>
      <c r="AD18" s="272">
        <v>2645359</v>
      </c>
      <c r="AE18" s="272">
        <v>286844</v>
      </c>
      <c r="AF18" s="272">
        <v>26357</v>
      </c>
      <c r="AG18" s="272">
        <v>363872</v>
      </c>
      <c r="AH18" s="455">
        <f t="shared" si="3"/>
        <v>4581114</v>
      </c>
      <c r="AI18" s="272">
        <v>4274475</v>
      </c>
      <c r="AJ18" s="272">
        <v>306639</v>
      </c>
      <c r="AK18" s="272">
        <v>1965772</v>
      </c>
      <c r="AL18" s="455">
        <f t="shared" si="4"/>
        <v>1269662</v>
      </c>
      <c r="AM18" s="272">
        <v>962104</v>
      </c>
      <c r="AN18" s="272">
        <v>174885</v>
      </c>
      <c r="AO18" s="272">
        <v>0</v>
      </c>
      <c r="AP18" s="272">
        <v>132673</v>
      </c>
      <c r="AQ18" s="272">
        <v>94963</v>
      </c>
      <c r="AR18" s="272">
        <v>0</v>
      </c>
      <c r="AS18" s="272">
        <v>0</v>
      </c>
      <c r="AT18" s="272">
        <v>1467591</v>
      </c>
      <c r="AU18" s="272">
        <v>444027</v>
      </c>
      <c r="AV18" s="272">
        <v>107956</v>
      </c>
      <c r="AW18" s="272">
        <v>195250</v>
      </c>
      <c r="AX18" s="272">
        <v>1023564</v>
      </c>
      <c r="AY18" s="272">
        <v>362453</v>
      </c>
      <c r="AZ18" s="272">
        <v>648308</v>
      </c>
      <c r="BA18" s="272">
        <v>0</v>
      </c>
      <c r="BB18" s="272">
        <v>285285</v>
      </c>
      <c r="BC18" s="272">
        <v>1843146</v>
      </c>
      <c r="BD18" s="272">
        <v>130869</v>
      </c>
      <c r="BE18" s="272">
        <v>0</v>
      </c>
      <c r="BF18" s="272">
        <v>1711917</v>
      </c>
      <c r="BG18" s="272">
        <v>0</v>
      </c>
      <c r="BH18" s="272">
        <v>1020546</v>
      </c>
      <c r="BI18" s="272">
        <v>398368</v>
      </c>
      <c r="BJ18" s="272">
        <v>1401318</v>
      </c>
      <c r="BK18" s="272">
        <v>579504</v>
      </c>
      <c r="BL18" s="272">
        <v>0</v>
      </c>
      <c r="BM18" s="272">
        <v>587532</v>
      </c>
      <c r="BN18" s="272">
        <v>7738066</v>
      </c>
      <c r="BO18" s="455">
        <f t="shared" si="5"/>
        <v>7738066</v>
      </c>
      <c r="BP18" s="455">
        <f t="shared" si="6"/>
        <v>0</v>
      </c>
      <c r="BQ18" s="272"/>
      <c r="BR18" s="272"/>
      <c r="BS18" s="272"/>
      <c r="BT18" s="272">
        <v>0</v>
      </c>
      <c r="BU18" s="272">
        <v>40438129</v>
      </c>
      <c r="BV18" s="272"/>
      <c r="BW18" s="272">
        <v>6744885</v>
      </c>
      <c r="BX18" s="272">
        <v>5192481</v>
      </c>
      <c r="BY18" s="272">
        <v>300042</v>
      </c>
      <c r="BZ18" s="272">
        <v>39016</v>
      </c>
      <c r="CA18" s="272">
        <v>2846325</v>
      </c>
      <c r="CB18" s="272">
        <v>359112</v>
      </c>
      <c r="CC18" s="272">
        <v>543471</v>
      </c>
      <c r="CD18" s="272">
        <v>671873</v>
      </c>
      <c r="CE18" s="272">
        <v>1213106</v>
      </c>
      <c r="CF18" s="272">
        <v>0</v>
      </c>
      <c r="CG18" s="272">
        <v>58763</v>
      </c>
      <c r="CH18" s="272">
        <v>1928780</v>
      </c>
      <c r="CI18" s="272">
        <v>903612</v>
      </c>
      <c r="CJ18" s="455">
        <f t="shared" si="7"/>
        <v>1025168</v>
      </c>
      <c r="CK18" s="272">
        <v>7416295</v>
      </c>
      <c r="CL18" s="272">
        <v>5876442</v>
      </c>
      <c r="CM18" s="272">
        <v>275222</v>
      </c>
      <c r="CN18" s="272">
        <v>763641</v>
      </c>
      <c r="CO18" s="272">
        <v>388430</v>
      </c>
      <c r="CP18" s="272">
        <v>1736903</v>
      </c>
      <c r="CQ18" s="272">
        <v>621691</v>
      </c>
      <c r="CR18" s="272">
        <v>509163</v>
      </c>
      <c r="CS18" s="272">
        <v>387933</v>
      </c>
      <c r="CT18" s="455">
        <f t="shared" si="8"/>
        <v>1962</v>
      </c>
      <c r="CU18" s="272">
        <v>1962</v>
      </c>
      <c r="CV18" s="272">
        <v>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13659822</v>
      </c>
      <c r="DD18" s="272">
        <v>956483</v>
      </c>
      <c r="DE18" s="272">
        <v>12670937</v>
      </c>
      <c r="DF18" s="272">
        <v>32402</v>
      </c>
      <c r="DG18" s="272">
        <v>0</v>
      </c>
      <c r="DH18" s="272">
        <v>0</v>
      </c>
      <c r="DI18" s="272">
        <v>2324822</v>
      </c>
      <c r="DJ18" s="272">
        <v>729667</v>
      </c>
      <c r="DK18" s="272">
        <v>0</v>
      </c>
      <c r="DL18" s="272">
        <v>1595155</v>
      </c>
      <c r="DM18" s="272">
        <v>10870</v>
      </c>
      <c r="DN18" s="272">
        <v>0</v>
      </c>
      <c r="DO18" s="272">
        <v>0</v>
      </c>
      <c r="DP18" s="272">
        <v>0</v>
      </c>
      <c r="DQ18" s="272">
        <v>558550</v>
      </c>
      <c r="DR18" s="272">
        <v>0</v>
      </c>
      <c r="DS18" s="272">
        <v>0</v>
      </c>
      <c r="DT18" s="272">
        <v>1923798</v>
      </c>
      <c r="DU18" s="272">
        <v>654000</v>
      </c>
      <c r="DV18" s="455">
        <f t="shared" si="11"/>
        <v>0</v>
      </c>
      <c r="DW18" s="272">
        <v>0</v>
      </c>
      <c r="DX18" s="272">
        <v>0</v>
      </c>
      <c r="DY18" s="457" t="s">
        <v>646</v>
      </c>
      <c r="DZ18" s="272">
        <v>466946</v>
      </c>
      <c r="EA18" s="272">
        <v>278203</v>
      </c>
      <c r="EB18" s="272"/>
      <c r="EC18" s="272">
        <v>0</v>
      </c>
      <c r="ED18" s="272">
        <v>39539480</v>
      </c>
      <c r="EF18" s="272">
        <v>898649</v>
      </c>
      <c r="EG18" s="272">
        <v>493623</v>
      </c>
      <c r="EH18" s="272">
        <v>405026</v>
      </c>
      <c r="EI18" s="272">
        <v>6658</v>
      </c>
      <c r="EJ18" s="272">
        <v>605878</v>
      </c>
      <c r="EL18" s="272"/>
      <c r="EM18" s="272">
        <v>114082</v>
      </c>
      <c r="EN18" s="272">
        <v>1679306</v>
      </c>
      <c r="EO18" s="272">
        <v>6966</v>
      </c>
      <c r="EP18" s="455">
        <f t="shared" si="12"/>
        <v>1558187</v>
      </c>
      <c r="EQ18" s="272">
        <v>19123111</v>
      </c>
      <c r="ER18" s="272">
        <v>-3218102</v>
      </c>
      <c r="ES18" s="272">
        <v>6035160</v>
      </c>
      <c r="ET18" s="272">
        <v>4496341</v>
      </c>
      <c r="EU18" s="272">
        <v>957431</v>
      </c>
      <c r="EV18" s="272">
        <v>1845947</v>
      </c>
      <c r="EW18" s="455">
        <f t="shared" si="13"/>
        <v>4782314</v>
      </c>
      <c r="EX18" s="272">
        <v>4782314</v>
      </c>
      <c r="EY18" s="272">
        <v>278226</v>
      </c>
      <c r="EZ18" s="272">
        <v>4472922</v>
      </c>
      <c r="FA18" s="272">
        <v>0</v>
      </c>
      <c r="FB18" s="272"/>
      <c r="FC18" s="272">
        <v>2888871</v>
      </c>
      <c r="FD18" s="272">
        <v>1605246</v>
      </c>
      <c r="FE18" s="272">
        <v>621691</v>
      </c>
      <c r="FF18" s="272">
        <v>1844900</v>
      </c>
      <c r="FG18" s="455">
        <f t="shared" si="14"/>
        <v>1727213</v>
      </c>
      <c r="FH18" s="272">
        <v>21687082</v>
      </c>
      <c r="FI18" s="384">
        <f t="shared" si="15"/>
        <v>2.4</v>
      </c>
      <c r="FJ18" s="272">
        <v>17008345</v>
      </c>
      <c r="FK18" s="272"/>
      <c r="FL18" s="272">
        <v>10823433</v>
      </c>
      <c r="FM18" s="272">
        <v>13502131</v>
      </c>
      <c r="FN18" s="460">
        <v>0.80500000000000005</v>
      </c>
      <c r="FO18" s="388">
        <v>75.900000000000006</v>
      </c>
      <c r="FP18" s="388">
        <v>32.6</v>
      </c>
      <c r="FQ18" s="388">
        <v>5.3</v>
      </c>
      <c r="FR18" s="388">
        <v>10.3</v>
      </c>
      <c r="FS18" s="388">
        <v>15.5</v>
      </c>
      <c r="FT18" s="388">
        <v>8.1999999999999993</v>
      </c>
      <c r="FU18" s="388">
        <v>2</v>
      </c>
      <c r="FV18" s="388">
        <v>8.8000000000000007</v>
      </c>
      <c r="FW18" s="272">
        <v>23780737</v>
      </c>
      <c r="FX18" s="384">
        <f t="shared" si="16"/>
        <v>139.80000000000001</v>
      </c>
      <c r="FY18" s="272">
        <v>12494113</v>
      </c>
      <c r="FZ18" s="272">
        <v>3125434</v>
      </c>
      <c r="GA18" s="272"/>
      <c r="GB18" s="272">
        <v>9368679</v>
      </c>
      <c r="GC18" s="272"/>
      <c r="GD18" s="272">
        <v>2070881</v>
      </c>
      <c r="GE18" s="384">
        <f t="shared" si="17"/>
        <v>12.2</v>
      </c>
      <c r="GF18" s="388">
        <v>97.8</v>
      </c>
      <c r="GG18" s="388">
        <v>40.799999999999997</v>
      </c>
      <c r="GH18" s="388">
        <v>96.1</v>
      </c>
      <c r="GI18" s="272">
        <v>800</v>
      </c>
    </row>
    <row r="19" spans="2:191" x14ac:dyDescent="0.15">
      <c r="B19" s="89" t="s">
        <v>31</v>
      </c>
      <c r="C19" s="272">
        <v>30881728</v>
      </c>
      <c r="D19" s="455">
        <f t="shared" si="0"/>
        <v>14716443</v>
      </c>
      <c r="E19" s="272">
        <v>176911</v>
      </c>
      <c r="F19" s="272">
        <v>14539532</v>
      </c>
      <c r="G19" s="455">
        <f t="shared" si="1"/>
        <v>3484989</v>
      </c>
      <c r="H19" s="272">
        <v>401350</v>
      </c>
      <c r="I19" s="272">
        <v>3083639</v>
      </c>
      <c r="J19" s="272">
        <v>8972408</v>
      </c>
      <c r="K19" s="272">
        <v>4329024</v>
      </c>
      <c r="L19" s="272">
        <v>3256632</v>
      </c>
      <c r="M19" s="272">
        <v>1217092</v>
      </c>
      <c r="N19" s="272">
        <v>1199912</v>
      </c>
      <c r="O19" s="272">
        <v>2378679</v>
      </c>
      <c r="P19" s="272">
        <v>1633438</v>
      </c>
      <c r="Q19" s="272">
        <v>745241</v>
      </c>
      <c r="R19" s="272">
        <v>1212027</v>
      </c>
      <c r="S19" s="272">
        <v>845153</v>
      </c>
      <c r="T19" s="455">
        <f t="shared" si="2"/>
        <v>2233280</v>
      </c>
      <c r="U19" s="272">
        <v>1569892</v>
      </c>
      <c r="V19" s="272"/>
      <c r="W19" s="272"/>
      <c r="X19" s="272"/>
      <c r="Y19" s="272">
        <v>0</v>
      </c>
      <c r="Z19" s="272">
        <v>2598</v>
      </c>
      <c r="AA19" s="272">
        <v>660790</v>
      </c>
      <c r="AB19" s="272"/>
      <c r="AC19" s="272">
        <v>5402663</v>
      </c>
      <c r="AD19" s="272">
        <v>4922550</v>
      </c>
      <c r="AE19" s="272">
        <v>480113</v>
      </c>
      <c r="AF19" s="272">
        <v>53282</v>
      </c>
      <c r="AG19" s="272">
        <v>500206</v>
      </c>
      <c r="AH19" s="455">
        <f t="shared" si="3"/>
        <v>1586098</v>
      </c>
      <c r="AI19" s="272">
        <v>1104325</v>
      </c>
      <c r="AJ19" s="272">
        <v>481773</v>
      </c>
      <c r="AK19" s="272">
        <v>5568947</v>
      </c>
      <c r="AL19" s="455">
        <f t="shared" si="4"/>
        <v>3069923</v>
      </c>
      <c r="AM19" s="272">
        <v>2084571</v>
      </c>
      <c r="AN19" s="272">
        <v>695008</v>
      </c>
      <c r="AO19" s="272">
        <v>0</v>
      </c>
      <c r="AP19" s="272">
        <v>290344</v>
      </c>
      <c r="AQ19" s="272">
        <v>1545999</v>
      </c>
      <c r="AR19" s="272">
        <v>0</v>
      </c>
      <c r="AS19" s="272">
        <v>0</v>
      </c>
      <c r="AT19" s="272">
        <v>3022986</v>
      </c>
      <c r="AU19" s="272">
        <v>816285</v>
      </c>
      <c r="AV19" s="272">
        <v>421604</v>
      </c>
      <c r="AW19" s="272">
        <v>78244</v>
      </c>
      <c r="AX19" s="272">
        <v>2206701</v>
      </c>
      <c r="AY19" s="272">
        <v>669297</v>
      </c>
      <c r="AZ19" s="272">
        <v>901719</v>
      </c>
      <c r="BA19" s="272">
        <v>337098</v>
      </c>
      <c r="BB19" s="272">
        <v>392084</v>
      </c>
      <c r="BC19" s="272">
        <v>1786380</v>
      </c>
      <c r="BD19" s="272">
        <v>0</v>
      </c>
      <c r="BE19" s="272">
        <v>0</v>
      </c>
      <c r="BF19" s="272">
        <v>1625960</v>
      </c>
      <c r="BG19" s="272">
        <v>0</v>
      </c>
      <c r="BH19" s="272">
        <v>783363</v>
      </c>
      <c r="BI19" s="272">
        <v>751320</v>
      </c>
      <c r="BJ19" s="272">
        <v>5916469</v>
      </c>
      <c r="BK19" s="272">
        <v>4243011</v>
      </c>
      <c r="BL19" s="272">
        <v>52219</v>
      </c>
      <c r="BM19" s="272">
        <v>643699</v>
      </c>
      <c r="BN19" s="272">
        <v>8050428</v>
      </c>
      <c r="BO19" s="455">
        <f t="shared" si="5"/>
        <v>8050428</v>
      </c>
      <c r="BP19" s="455">
        <f t="shared" si="6"/>
        <v>0</v>
      </c>
      <c r="BQ19" s="272"/>
      <c r="BR19" s="272"/>
      <c r="BS19" s="272"/>
      <c r="BT19" s="272">
        <v>0</v>
      </c>
      <c r="BU19" s="272">
        <v>68291660</v>
      </c>
      <c r="BV19" s="272"/>
      <c r="BW19" s="272">
        <v>19989318</v>
      </c>
      <c r="BX19" s="272">
        <v>15791710</v>
      </c>
      <c r="BY19" s="272">
        <v>893262</v>
      </c>
      <c r="BZ19" s="272">
        <v>269702</v>
      </c>
      <c r="CA19" s="272">
        <v>6275750</v>
      </c>
      <c r="CB19" s="272">
        <v>593552</v>
      </c>
      <c r="CC19" s="272">
        <v>1280685</v>
      </c>
      <c r="CD19" s="272">
        <v>1586936</v>
      </c>
      <c r="CE19" s="272">
        <v>2673497</v>
      </c>
      <c r="CF19" s="272">
        <v>377</v>
      </c>
      <c r="CG19" s="272">
        <v>139320</v>
      </c>
      <c r="CH19" s="272">
        <v>5870274</v>
      </c>
      <c r="CI19" s="272">
        <v>3297776</v>
      </c>
      <c r="CJ19" s="455">
        <f t="shared" si="7"/>
        <v>2572498</v>
      </c>
      <c r="CK19" s="272">
        <v>5595460</v>
      </c>
      <c r="CL19" s="272">
        <v>2487139</v>
      </c>
      <c r="CM19" s="272">
        <v>328484</v>
      </c>
      <c r="CN19" s="272">
        <v>1736060</v>
      </c>
      <c r="CO19" s="272">
        <v>340776</v>
      </c>
      <c r="CP19" s="272">
        <v>4538731</v>
      </c>
      <c r="CQ19" s="272">
        <v>2900447</v>
      </c>
      <c r="CR19" s="272">
        <v>889556</v>
      </c>
      <c r="CS19" s="272">
        <v>793418</v>
      </c>
      <c r="CT19" s="455">
        <f t="shared" si="8"/>
        <v>3951</v>
      </c>
      <c r="CU19" s="272">
        <v>3951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13997878</v>
      </c>
      <c r="DD19" s="272">
        <v>3277764</v>
      </c>
      <c r="DE19" s="272">
        <v>10537786</v>
      </c>
      <c r="DF19" s="272">
        <v>0</v>
      </c>
      <c r="DG19" s="272">
        <v>182328</v>
      </c>
      <c r="DH19" s="272">
        <v>0</v>
      </c>
      <c r="DI19" s="272">
        <v>3521183</v>
      </c>
      <c r="DJ19" s="272">
        <v>380000</v>
      </c>
      <c r="DK19" s="272">
        <v>277467</v>
      </c>
      <c r="DL19" s="272">
        <v>2863716</v>
      </c>
      <c r="DM19" s="272">
        <v>1760</v>
      </c>
      <c r="DN19" s="272">
        <v>0</v>
      </c>
      <c r="DO19" s="272">
        <v>0</v>
      </c>
      <c r="DP19" s="272">
        <v>0</v>
      </c>
      <c r="DQ19" s="272">
        <v>4074026</v>
      </c>
      <c r="DR19" s="272">
        <v>0</v>
      </c>
      <c r="DS19" s="272">
        <v>0</v>
      </c>
      <c r="DT19" s="272">
        <v>3220980</v>
      </c>
      <c r="DU19" s="272">
        <v>1917421</v>
      </c>
      <c r="DV19" s="455">
        <f t="shared" si="11"/>
        <v>0</v>
      </c>
      <c r="DW19" s="272">
        <v>0</v>
      </c>
      <c r="DX19" s="272">
        <v>0</v>
      </c>
      <c r="DY19" s="457" t="s">
        <v>646</v>
      </c>
      <c r="DZ19" s="272">
        <v>717471</v>
      </c>
      <c r="EA19" s="272">
        <v>553996</v>
      </c>
      <c r="EB19" s="272"/>
      <c r="EC19" s="272">
        <v>0</v>
      </c>
      <c r="ED19" s="272">
        <v>67426136</v>
      </c>
      <c r="EF19" s="272">
        <v>865524</v>
      </c>
      <c r="EG19" s="272">
        <v>16613</v>
      </c>
      <c r="EH19" s="272">
        <v>848911</v>
      </c>
      <c r="EI19" s="272">
        <v>97591</v>
      </c>
      <c r="EJ19" s="272">
        <v>477591</v>
      </c>
      <c r="EL19" s="272"/>
      <c r="EM19" s="272">
        <v>255814</v>
      </c>
      <c r="EN19" s="272">
        <v>160169</v>
      </c>
      <c r="EO19" s="272">
        <v>80880</v>
      </c>
      <c r="EP19" s="455">
        <f t="shared" si="12"/>
        <v>2815208</v>
      </c>
      <c r="EQ19" s="272">
        <v>39782980</v>
      </c>
      <c r="ER19" s="272">
        <v>-3002975</v>
      </c>
      <c r="ES19" s="272">
        <v>18401660</v>
      </c>
      <c r="ET19" s="272">
        <v>14315794</v>
      </c>
      <c r="EU19" s="272">
        <v>1763789</v>
      </c>
      <c r="EV19" s="272">
        <v>5418717</v>
      </c>
      <c r="EW19" s="455">
        <f t="shared" si="13"/>
        <v>1901229</v>
      </c>
      <c r="EX19" s="272">
        <v>1901229</v>
      </c>
      <c r="EY19" s="272">
        <v>114931</v>
      </c>
      <c r="EZ19" s="272">
        <v>1786298</v>
      </c>
      <c r="FA19" s="272">
        <v>0</v>
      </c>
      <c r="FB19" s="272"/>
      <c r="FC19" s="272">
        <v>4130681</v>
      </c>
      <c r="FD19" s="272">
        <v>4095103</v>
      </c>
      <c r="FE19" s="272">
        <v>2900447</v>
      </c>
      <c r="FF19" s="272">
        <v>2961739</v>
      </c>
      <c r="FG19" s="455">
        <f t="shared" si="14"/>
        <v>3247513</v>
      </c>
      <c r="FH19" s="272">
        <v>41920431</v>
      </c>
      <c r="FI19" s="384">
        <f t="shared" si="15"/>
        <v>2.4</v>
      </c>
      <c r="FJ19" s="272">
        <v>35575882</v>
      </c>
      <c r="FK19" s="272"/>
      <c r="FL19" s="272">
        <v>23091567</v>
      </c>
      <c r="FM19" s="272">
        <v>28079001</v>
      </c>
      <c r="FN19" s="460">
        <v>0.81399999999999995</v>
      </c>
      <c r="FO19" s="388">
        <v>93.6</v>
      </c>
      <c r="FP19" s="388">
        <v>49.1</v>
      </c>
      <c r="FQ19" s="388">
        <v>4.8</v>
      </c>
      <c r="FR19" s="388">
        <v>14.1</v>
      </c>
      <c r="FS19" s="388">
        <v>9.5</v>
      </c>
      <c r="FT19" s="388">
        <v>10.3</v>
      </c>
      <c r="FU19" s="388">
        <v>4.9000000000000004</v>
      </c>
      <c r="FV19" s="388">
        <v>11.7</v>
      </c>
      <c r="FW19" s="272">
        <v>43923434</v>
      </c>
      <c r="FX19" s="384">
        <f t="shared" si="16"/>
        <v>123.5</v>
      </c>
      <c r="FY19" s="272">
        <v>9554864</v>
      </c>
      <c r="FZ19" s="272">
        <v>380000</v>
      </c>
      <c r="GA19" s="272">
        <v>1601072</v>
      </c>
      <c r="GB19" s="272">
        <v>7573792</v>
      </c>
      <c r="GC19" s="272"/>
      <c r="GD19" s="272">
        <v>10151553</v>
      </c>
      <c r="GE19" s="384">
        <f t="shared" si="17"/>
        <v>28.5</v>
      </c>
      <c r="GF19" s="388">
        <v>97</v>
      </c>
      <c r="GG19" s="388">
        <v>26.4</v>
      </c>
      <c r="GH19" s="388">
        <v>92.7</v>
      </c>
      <c r="GI19" s="272">
        <v>2206</v>
      </c>
    </row>
    <row r="20" spans="2:191" x14ac:dyDescent="0.15">
      <c r="B20" s="89" t="s">
        <v>33</v>
      </c>
      <c r="C20" s="272">
        <v>14993608</v>
      </c>
      <c r="D20" s="455">
        <f t="shared" si="0"/>
        <v>8154806</v>
      </c>
      <c r="E20" s="272">
        <v>72482</v>
      </c>
      <c r="F20" s="272">
        <v>8082324</v>
      </c>
      <c r="G20" s="455">
        <f t="shared" si="1"/>
        <v>834544</v>
      </c>
      <c r="H20" s="272">
        <v>133843</v>
      </c>
      <c r="I20" s="272">
        <v>700701</v>
      </c>
      <c r="J20" s="272">
        <v>4440712</v>
      </c>
      <c r="K20" s="272">
        <v>1829522</v>
      </c>
      <c r="L20" s="272">
        <v>1936021</v>
      </c>
      <c r="M20" s="272">
        <v>655708</v>
      </c>
      <c r="N20" s="272">
        <v>337034</v>
      </c>
      <c r="O20" s="272">
        <v>1128545</v>
      </c>
      <c r="P20" s="272">
        <v>695233</v>
      </c>
      <c r="Q20" s="272">
        <v>433312</v>
      </c>
      <c r="R20" s="272">
        <v>510895</v>
      </c>
      <c r="S20" s="272">
        <v>305142</v>
      </c>
      <c r="T20" s="455">
        <f t="shared" si="2"/>
        <v>1188693</v>
      </c>
      <c r="U20" s="272">
        <v>770863</v>
      </c>
      <c r="V20" s="272"/>
      <c r="W20" s="272"/>
      <c r="X20" s="272"/>
      <c r="Y20" s="272">
        <v>46972</v>
      </c>
      <c r="Z20" s="272">
        <v>821</v>
      </c>
      <c r="AA20" s="272">
        <v>370037</v>
      </c>
      <c r="AB20" s="272"/>
      <c r="AC20" s="272">
        <v>1337941</v>
      </c>
      <c r="AD20" s="272">
        <v>1074920</v>
      </c>
      <c r="AE20" s="272">
        <v>263021</v>
      </c>
      <c r="AF20" s="272">
        <v>28219</v>
      </c>
      <c r="AG20" s="272">
        <v>200552</v>
      </c>
      <c r="AH20" s="455">
        <f t="shared" si="3"/>
        <v>815140</v>
      </c>
      <c r="AI20" s="272">
        <v>573509</v>
      </c>
      <c r="AJ20" s="272">
        <v>241631</v>
      </c>
      <c r="AK20" s="272">
        <v>2012049</v>
      </c>
      <c r="AL20" s="455">
        <f t="shared" si="4"/>
        <v>768195</v>
      </c>
      <c r="AM20" s="272">
        <v>525000</v>
      </c>
      <c r="AN20" s="272">
        <v>159403</v>
      </c>
      <c r="AO20" s="272">
        <v>0</v>
      </c>
      <c r="AP20" s="272">
        <v>83792</v>
      </c>
      <c r="AQ20" s="272">
        <v>753859</v>
      </c>
      <c r="AR20" s="272">
        <v>0</v>
      </c>
      <c r="AS20" s="272">
        <v>0</v>
      </c>
      <c r="AT20" s="272">
        <v>1746051</v>
      </c>
      <c r="AU20" s="272">
        <v>644525</v>
      </c>
      <c r="AV20" s="272">
        <v>79702</v>
      </c>
      <c r="AW20" s="272">
        <v>420941</v>
      </c>
      <c r="AX20" s="272">
        <v>1101526</v>
      </c>
      <c r="AY20" s="272">
        <v>541373</v>
      </c>
      <c r="AZ20" s="272">
        <v>5076481</v>
      </c>
      <c r="BA20" s="272">
        <v>4307172</v>
      </c>
      <c r="BB20" s="272">
        <v>1047203</v>
      </c>
      <c r="BC20" s="272">
        <v>1879347</v>
      </c>
      <c r="BD20" s="272">
        <v>600000</v>
      </c>
      <c r="BE20" s="272">
        <v>54000</v>
      </c>
      <c r="BF20" s="272">
        <v>1206920</v>
      </c>
      <c r="BG20" s="272">
        <v>0</v>
      </c>
      <c r="BH20" s="272">
        <v>1412202</v>
      </c>
      <c r="BI20" s="272">
        <v>450060</v>
      </c>
      <c r="BJ20" s="272">
        <v>1643109</v>
      </c>
      <c r="BK20" s="272">
        <v>1182250</v>
      </c>
      <c r="BL20" s="272">
        <v>0</v>
      </c>
      <c r="BM20" s="272">
        <v>0</v>
      </c>
      <c r="BN20" s="272">
        <v>3183300</v>
      </c>
      <c r="BO20" s="455">
        <f t="shared" si="5"/>
        <v>3183300</v>
      </c>
      <c r="BP20" s="455">
        <f t="shared" si="6"/>
        <v>0</v>
      </c>
      <c r="BQ20" s="272"/>
      <c r="BR20" s="272"/>
      <c r="BS20" s="272"/>
      <c r="BT20" s="272">
        <v>0</v>
      </c>
      <c r="BU20" s="272">
        <v>37074790</v>
      </c>
      <c r="BV20" s="272"/>
      <c r="BW20" s="272">
        <v>5166198</v>
      </c>
      <c r="BX20" s="272">
        <v>3766172</v>
      </c>
      <c r="BY20" s="272">
        <v>147777</v>
      </c>
      <c r="BZ20" s="272">
        <v>293417</v>
      </c>
      <c r="CA20" s="272">
        <v>2124687</v>
      </c>
      <c r="CB20" s="272">
        <v>320814</v>
      </c>
      <c r="CC20" s="272">
        <v>490940</v>
      </c>
      <c r="CD20" s="272">
        <v>600193</v>
      </c>
      <c r="CE20" s="272">
        <v>697713</v>
      </c>
      <c r="CF20" s="272">
        <v>0</v>
      </c>
      <c r="CG20" s="272">
        <v>15027</v>
      </c>
      <c r="CH20" s="272">
        <v>3848987</v>
      </c>
      <c r="CI20" s="272">
        <v>2755656</v>
      </c>
      <c r="CJ20" s="455">
        <f t="shared" si="7"/>
        <v>1093331</v>
      </c>
      <c r="CK20" s="272">
        <v>3640817</v>
      </c>
      <c r="CL20" s="272">
        <v>2228532</v>
      </c>
      <c r="CM20" s="272">
        <v>71476</v>
      </c>
      <c r="CN20" s="272">
        <v>832241</v>
      </c>
      <c r="CO20" s="272">
        <v>308140</v>
      </c>
      <c r="CP20" s="272">
        <v>1638847</v>
      </c>
      <c r="CQ20" s="272">
        <v>442862</v>
      </c>
      <c r="CR20" s="272">
        <v>606311</v>
      </c>
      <c r="CS20" s="272">
        <v>535784</v>
      </c>
      <c r="CT20" s="455">
        <f t="shared" si="8"/>
        <v>99253</v>
      </c>
      <c r="CU20" s="272">
        <v>7261</v>
      </c>
      <c r="CV20" s="272">
        <v>91992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13361655</v>
      </c>
      <c r="DD20" s="272">
        <v>2196166</v>
      </c>
      <c r="DE20" s="272">
        <v>11048610</v>
      </c>
      <c r="DF20" s="272">
        <v>116879</v>
      </c>
      <c r="DG20" s="272">
        <v>0</v>
      </c>
      <c r="DH20" s="272">
        <v>40976</v>
      </c>
      <c r="DI20" s="272">
        <v>3088721</v>
      </c>
      <c r="DJ20" s="272">
        <v>1715000</v>
      </c>
      <c r="DK20" s="272">
        <v>553900</v>
      </c>
      <c r="DL20" s="272">
        <v>819821</v>
      </c>
      <c r="DM20" s="272">
        <v>200980</v>
      </c>
      <c r="DN20" s="272">
        <v>0</v>
      </c>
      <c r="DO20" s="272">
        <v>0</v>
      </c>
      <c r="DP20" s="272">
        <v>0</v>
      </c>
      <c r="DQ20" s="272">
        <v>1146516</v>
      </c>
      <c r="DR20" s="272">
        <v>0</v>
      </c>
      <c r="DS20" s="272">
        <v>0</v>
      </c>
      <c r="DT20" s="272">
        <v>1453599</v>
      </c>
      <c r="DU20" s="272">
        <v>576311</v>
      </c>
      <c r="DV20" s="455">
        <f t="shared" si="11"/>
        <v>0</v>
      </c>
      <c r="DW20" s="272">
        <v>0</v>
      </c>
      <c r="DX20" s="272">
        <v>0</v>
      </c>
      <c r="DY20" s="457" t="s">
        <v>646</v>
      </c>
      <c r="DZ20" s="272">
        <v>218015</v>
      </c>
      <c r="EA20" s="272">
        <v>269273</v>
      </c>
      <c r="EB20" s="272"/>
      <c r="EC20" s="272">
        <v>0</v>
      </c>
      <c r="ED20" s="272">
        <v>36020123</v>
      </c>
      <c r="EF20" s="272">
        <v>1054667</v>
      </c>
      <c r="EG20" s="272">
        <v>973173</v>
      </c>
      <c r="EH20" s="272">
        <v>81494</v>
      </c>
      <c r="EI20" s="272">
        <v>-368566</v>
      </c>
      <c r="EJ20" s="272">
        <v>746434</v>
      </c>
      <c r="EL20" s="272"/>
      <c r="EM20" s="272">
        <v>112104</v>
      </c>
      <c r="EN20" s="272">
        <v>654000</v>
      </c>
      <c r="EO20" s="272">
        <v>308171</v>
      </c>
      <c r="EP20" s="455">
        <f t="shared" si="12"/>
        <v>2298796</v>
      </c>
      <c r="EQ20" s="272">
        <v>18059356</v>
      </c>
      <c r="ER20" s="272">
        <v>-3232748</v>
      </c>
      <c r="ES20" s="272">
        <v>4823009</v>
      </c>
      <c r="ET20" s="272">
        <v>3541336</v>
      </c>
      <c r="EU20" s="272">
        <v>585917</v>
      </c>
      <c r="EV20" s="272">
        <v>2023716</v>
      </c>
      <c r="EW20" s="455">
        <f t="shared" si="13"/>
        <v>4358731</v>
      </c>
      <c r="EX20" s="272">
        <v>4329984</v>
      </c>
      <c r="EY20" s="272">
        <v>269414</v>
      </c>
      <c r="EZ20" s="272">
        <v>3943691</v>
      </c>
      <c r="FA20" s="272">
        <v>28747</v>
      </c>
      <c r="FB20" s="272"/>
      <c r="FC20" s="272">
        <v>2759094</v>
      </c>
      <c r="FD20" s="272">
        <v>1433018</v>
      </c>
      <c r="FE20" s="272">
        <v>442862</v>
      </c>
      <c r="FF20" s="272">
        <v>1392742</v>
      </c>
      <c r="FG20" s="455">
        <f t="shared" si="14"/>
        <v>2861210</v>
      </c>
      <c r="FH20" s="272">
        <v>20237437</v>
      </c>
      <c r="FI20" s="384">
        <f t="shared" si="15"/>
        <v>0.5</v>
      </c>
      <c r="FJ20" s="272">
        <v>16278879</v>
      </c>
      <c r="FK20" s="272"/>
      <c r="FL20" s="272">
        <v>11455633</v>
      </c>
      <c r="FM20" s="272">
        <v>12561804</v>
      </c>
      <c r="FN20" s="460">
        <v>0.89500000000000002</v>
      </c>
      <c r="FO20" s="388">
        <v>72</v>
      </c>
      <c r="FP20" s="388">
        <v>28.2</v>
      </c>
      <c r="FQ20" s="388">
        <v>3.5</v>
      </c>
      <c r="FR20" s="388">
        <v>12</v>
      </c>
      <c r="FS20" s="388">
        <v>15.5</v>
      </c>
      <c r="FT20" s="388">
        <v>7.7</v>
      </c>
      <c r="FU20" s="388">
        <v>3.4</v>
      </c>
      <c r="FV20" s="388">
        <v>10.3</v>
      </c>
      <c r="FW20" s="272">
        <v>19139367</v>
      </c>
      <c r="FX20" s="384">
        <f t="shared" si="16"/>
        <v>117.6</v>
      </c>
      <c r="FY20" s="272">
        <v>12029194</v>
      </c>
      <c r="FZ20" s="272">
        <v>7425982</v>
      </c>
      <c r="GA20" s="272">
        <v>1379228</v>
      </c>
      <c r="GB20" s="272">
        <v>3223984</v>
      </c>
      <c r="GC20" s="272"/>
      <c r="GD20" s="272">
        <v>3653716</v>
      </c>
      <c r="GE20" s="384">
        <f t="shared" si="17"/>
        <v>22.4</v>
      </c>
      <c r="GF20" s="388">
        <v>97.8</v>
      </c>
      <c r="GG20" s="388">
        <v>33.799999999999997</v>
      </c>
      <c r="GH20" s="388">
        <v>96</v>
      </c>
      <c r="GI20" s="272">
        <v>583</v>
      </c>
    </row>
    <row r="21" spans="2:191" x14ac:dyDescent="0.15">
      <c r="B21" s="89" t="s">
        <v>35</v>
      </c>
      <c r="C21" s="272">
        <v>14932271</v>
      </c>
      <c r="D21" s="455">
        <f t="shared" si="0"/>
        <v>6672673</v>
      </c>
      <c r="E21" s="272">
        <v>91041</v>
      </c>
      <c r="F21" s="272">
        <v>6581632</v>
      </c>
      <c r="G21" s="455">
        <f t="shared" si="1"/>
        <v>1713538</v>
      </c>
      <c r="H21" s="272">
        <v>172536</v>
      </c>
      <c r="I21" s="272">
        <v>1541002</v>
      </c>
      <c r="J21" s="272">
        <v>4602059</v>
      </c>
      <c r="K21" s="272">
        <v>2446421</v>
      </c>
      <c r="L21" s="272">
        <v>1557484</v>
      </c>
      <c r="M21" s="272">
        <v>571740</v>
      </c>
      <c r="N21" s="272">
        <v>571326</v>
      </c>
      <c r="O21" s="272">
        <v>1200320</v>
      </c>
      <c r="P21" s="272">
        <v>847823</v>
      </c>
      <c r="Q21" s="272">
        <v>352497</v>
      </c>
      <c r="R21" s="272">
        <v>629907</v>
      </c>
      <c r="S21" s="272">
        <v>435413</v>
      </c>
      <c r="T21" s="455">
        <f t="shared" si="2"/>
        <v>1083197</v>
      </c>
      <c r="U21" s="272">
        <v>731738</v>
      </c>
      <c r="V21" s="272"/>
      <c r="W21" s="272"/>
      <c r="X21" s="272"/>
      <c r="Y21" s="272">
        <v>0</v>
      </c>
      <c r="Z21" s="272">
        <v>462</v>
      </c>
      <c r="AA21" s="272">
        <v>350997</v>
      </c>
      <c r="AB21" s="272"/>
      <c r="AC21" s="272">
        <v>4997566</v>
      </c>
      <c r="AD21" s="272">
        <v>4524847</v>
      </c>
      <c r="AE21" s="272">
        <v>472719</v>
      </c>
      <c r="AF21" s="272">
        <v>27502</v>
      </c>
      <c r="AG21" s="272">
        <v>164083</v>
      </c>
      <c r="AH21" s="455">
        <f t="shared" si="3"/>
        <v>376691</v>
      </c>
      <c r="AI21" s="272">
        <v>346052</v>
      </c>
      <c r="AJ21" s="272">
        <v>30639</v>
      </c>
      <c r="AK21" s="272">
        <v>3122075</v>
      </c>
      <c r="AL21" s="455">
        <f t="shared" si="4"/>
        <v>1638012</v>
      </c>
      <c r="AM21" s="272">
        <v>1203632</v>
      </c>
      <c r="AN21" s="272">
        <v>219848</v>
      </c>
      <c r="AO21" s="272">
        <v>0</v>
      </c>
      <c r="AP21" s="272">
        <v>214532</v>
      </c>
      <c r="AQ21" s="272">
        <v>763156</v>
      </c>
      <c r="AR21" s="272">
        <v>0</v>
      </c>
      <c r="AS21" s="272">
        <v>0</v>
      </c>
      <c r="AT21" s="272">
        <v>1359637</v>
      </c>
      <c r="AU21" s="272">
        <v>355531</v>
      </c>
      <c r="AV21" s="272">
        <v>109924</v>
      </c>
      <c r="AW21" s="272">
        <v>599</v>
      </c>
      <c r="AX21" s="272">
        <v>1004106</v>
      </c>
      <c r="AY21" s="272">
        <v>195654</v>
      </c>
      <c r="AZ21" s="272">
        <v>590233</v>
      </c>
      <c r="BA21" s="272">
        <v>28381</v>
      </c>
      <c r="BB21" s="272">
        <v>134889</v>
      </c>
      <c r="BC21" s="272">
        <v>811129</v>
      </c>
      <c r="BD21" s="272">
        <v>0</v>
      </c>
      <c r="BE21" s="272">
        <v>216100</v>
      </c>
      <c r="BF21" s="272">
        <v>595029</v>
      </c>
      <c r="BG21" s="272">
        <v>0</v>
      </c>
      <c r="BH21" s="272">
        <v>760492</v>
      </c>
      <c r="BI21" s="272">
        <v>667153</v>
      </c>
      <c r="BJ21" s="272">
        <v>849143</v>
      </c>
      <c r="BK21" s="272">
        <v>483946</v>
      </c>
      <c r="BL21" s="272">
        <v>0</v>
      </c>
      <c r="BM21" s="272">
        <v>0</v>
      </c>
      <c r="BN21" s="272">
        <v>1166900</v>
      </c>
      <c r="BO21" s="455">
        <f t="shared" si="5"/>
        <v>1166900</v>
      </c>
      <c r="BP21" s="455">
        <f t="shared" si="6"/>
        <v>0</v>
      </c>
      <c r="BQ21" s="272"/>
      <c r="BR21" s="272"/>
      <c r="BS21" s="272"/>
      <c r="BT21" s="272">
        <v>0</v>
      </c>
      <c r="BU21" s="272">
        <v>31005715</v>
      </c>
      <c r="BV21" s="272"/>
      <c r="BW21" s="272">
        <v>8268779</v>
      </c>
      <c r="BX21" s="272">
        <v>6549510</v>
      </c>
      <c r="BY21" s="272">
        <v>152381</v>
      </c>
      <c r="BZ21" s="272">
        <v>179303</v>
      </c>
      <c r="CA21" s="272">
        <v>3525760</v>
      </c>
      <c r="CB21" s="272">
        <v>399810</v>
      </c>
      <c r="CC21" s="272">
        <v>856603</v>
      </c>
      <c r="CD21" s="272">
        <v>657047</v>
      </c>
      <c r="CE21" s="272">
        <v>1544108</v>
      </c>
      <c r="CF21" s="272">
        <v>0</v>
      </c>
      <c r="CG21" s="272">
        <v>67792</v>
      </c>
      <c r="CH21" s="272">
        <v>3038710</v>
      </c>
      <c r="CI21" s="272">
        <v>1716100</v>
      </c>
      <c r="CJ21" s="455">
        <f t="shared" si="7"/>
        <v>1322610</v>
      </c>
      <c r="CK21" s="272">
        <v>3841831</v>
      </c>
      <c r="CL21" s="272">
        <v>2320873</v>
      </c>
      <c r="CM21" s="272">
        <v>113464</v>
      </c>
      <c r="CN21" s="272">
        <v>822541</v>
      </c>
      <c r="CO21" s="272">
        <v>329807</v>
      </c>
      <c r="CP21" s="272">
        <v>2066139</v>
      </c>
      <c r="CQ21" s="272">
        <v>6954</v>
      </c>
      <c r="CR21" s="272">
        <v>611951</v>
      </c>
      <c r="CS21" s="272">
        <v>395291</v>
      </c>
      <c r="CT21" s="455">
        <f t="shared" si="8"/>
        <v>337992</v>
      </c>
      <c r="CU21" s="272">
        <v>12000</v>
      </c>
      <c r="CV21" s="272">
        <v>325992</v>
      </c>
      <c r="CW21" s="455">
        <f t="shared" si="9"/>
        <v>325992</v>
      </c>
      <c r="CX21" s="272">
        <v>0</v>
      </c>
      <c r="CY21" s="272">
        <v>325992</v>
      </c>
      <c r="CZ21" s="455">
        <f t="shared" si="10"/>
        <v>0</v>
      </c>
      <c r="DA21" s="272">
        <v>0</v>
      </c>
      <c r="DB21" s="272">
        <v>0</v>
      </c>
      <c r="DC21" s="272">
        <v>4575539</v>
      </c>
      <c r="DD21" s="272">
        <v>1576048</v>
      </c>
      <c r="DE21" s="272">
        <v>2999491</v>
      </c>
      <c r="DF21" s="272">
        <v>0</v>
      </c>
      <c r="DG21" s="272">
        <v>0</v>
      </c>
      <c r="DH21" s="272">
        <v>0</v>
      </c>
      <c r="DI21" s="272">
        <v>1513995</v>
      </c>
      <c r="DJ21" s="272">
        <v>0</v>
      </c>
      <c r="DK21" s="272">
        <v>409000</v>
      </c>
      <c r="DL21" s="272">
        <v>1104995</v>
      </c>
      <c r="DM21" s="272">
        <v>980</v>
      </c>
      <c r="DN21" s="272">
        <v>0</v>
      </c>
      <c r="DO21" s="272">
        <v>0</v>
      </c>
      <c r="DP21" s="272">
        <v>0</v>
      </c>
      <c r="DQ21" s="272">
        <v>455570</v>
      </c>
      <c r="DR21" s="272">
        <v>0</v>
      </c>
      <c r="DS21" s="272">
        <v>0</v>
      </c>
      <c r="DT21" s="272">
        <v>3060947</v>
      </c>
      <c r="DU21" s="272">
        <v>2213800</v>
      </c>
      <c r="DV21" s="455">
        <f t="shared" si="11"/>
        <v>0</v>
      </c>
      <c r="DW21" s="272">
        <v>0</v>
      </c>
      <c r="DX21" s="272">
        <v>0</v>
      </c>
      <c r="DY21" s="457" t="s">
        <v>646</v>
      </c>
      <c r="DZ21" s="272">
        <v>527090</v>
      </c>
      <c r="EA21" s="272">
        <v>310456</v>
      </c>
      <c r="EB21" s="272"/>
      <c r="EC21" s="272">
        <v>0</v>
      </c>
      <c r="ED21" s="272">
        <v>30678057</v>
      </c>
      <c r="EF21" s="272">
        <v>327658</v>
      </c>
      <c r="EG21" s="272">
        <v>19304</v>
      </c>
      <c r="EH21" s="272">
        <v>308354</v>
      </c>
      <c r="EI21" s="272">
        <v>-358799</v>
      </c>
      <c r="EJ21" s="272">
        <v>-358799</v>
      </c>
      <c r="EL21" s="272"/>
      <c r="EM21" s="272">
        <v>133990</v>
      </c>
      <c r="EN21" s="272">
        <v>811129</v>
      </c>
      <c r="EO21" s="272">
        <v>41241</v>
      </c>
      <c r="EP21" s="455">
        <f t="shared" si="12"/>
        <v>1338086</v>
      </c>
      <c r="EQ21" s="272">
        <v>21670443</v>
      </c>
      <c r="ER21" s="272">
        <v>-2162954</v>
      </c>
      <c r="ES21" s="272">
        <v>7649857</v>
      </c>
      <c r="ET21" s="272">
        <v>5974876</v>
      </c>
      <c r="EU21" s="272">
        <v>1059650</v>
      </c>
      <c r="EV21" s="272">
        <v>3018963</v>
      </c>
      <c r="EW21" s="455">
        <f t="shared" si="13"/>
        <v>2368350</v>
      </c>
      <c r="EX21" s="272">
        <v>2368350</v>
      </c>
      <c r="EY21" s="272">
        <v>345190</v>
      </c>
      <c r="EZ21" s="272">
        <v>2023160</v>
      </c>
      <c r="FA21" s="272">
        <v>0</v>
      </c>
      <c r="FB21" s="272"/>
      <c r="FC21" s="272">
        <v>3474119</v>
      </c>
      <c r="FD21" s="272">
        <v>1781454</v>
      </c>
      <c r="FE21" s="272">
        <v>6954</v>
      </c>
      <c r="FF21" s="272">
        <v>2912621</v>
      </c>
      <c r="FG21" s="455">
        <f t="shared" si="14"/>
        <v>1277547</v>
      </c>
      <c r="FH21" s="272">
        <v>23542561</v>
      </c>
      <c r="FI21" s="384">
        <f t="shared" si="15"/>
        <v>1.6</v>
      </c>
      <c r="FJ21" s="272">
        <v>19276398</v>
      </c>
      <c r="FK21" s="272"/>
      <c r="FL21" s="272">
        <v>11117157</v>
      </c>
      <c r="FM21" s="272">
        <v>15674729</v>
      </c>
      <c r="FN21" s="460">
        <v>0.71099999999999997</v>
      </c>
      <c r="FO21" s="388">
        <v>88</v>
      </c>
      <c r="FP21" s="388">
        <v>37.799999999999997</v>
      </c>
      <c r="FQ21" s="388">
        <v>5.2</v>
      </c>
      <c r="FR21" s="388">
        <v>14.9</v>
      </c>
      <c r="FS21" s="388">
        <v>16.399999999999999</v>
      </c>
      <c r="FT21" s="388">
        <v>6.1</v>
      </c>
      <c r="FU21" s="388">
        <v>6</v>
      </c>
      <c r="FV21" s="388">
        <v>12.2</v>
      </c>
      <c r="FW21" s="272">
        <v>23730794</v>
      </c>
      <c r="FX21" s="384">
        <f t="shared" si="16"/>
        <v>123.1</v>
      </c>
      <c r="FY21" s="272">
        <v>9423830</v>
      </c>
      <c r="FZ21" s="272"/>
      <c r="GA21" s="272">
        <v>1373966</v>
      </c>
      <c r="GB21" s="272">
        <v>8049864</v>
      </c>
      <c r="GC21" s="272"/>
      <c r="GD21" s="272">
        <v>2315515</v>
      </c>
      <c r="GE21" s="384">
        <f t="shared" si="17"/>
        <v>12</v>
      </c>
      <c r="GF21" s="388">
        <v>97.8</v>
      </c>
      <c r="GG21" s="388">
        <v>22</v>
      </c>
      <c r="GH21" s="388">
        <v>94.4</v>
      </c>
      <c r="GI21" s="272">
        <v>928</v>
      </c>
    </row>
    <row r="22" spans="2:191" x14ac:dyDescent="0.15">
      <c r="B22" s="89" t="s">
        <v>37</v>
      </c>
      <c r="C22" s="272">
        <v>18614731</v>
      </c>
      <c r="D22" s="455">
        <f t="shared" si="0"/>
        <v>6294976</v>
      </c>
      <c r="E22" s="272">
        <v>90936</v>
      </c>
      <c r="F22" s="272">
        <v>6204040</v>
      </c>
      <c r="G22" s="455">
        <f t="shared" si="1"/>
        <v>3029691</v>
      </c>
      <c r="H22" s="272">
        <v>223291</v>
      </c>
      <c r="I22" s="272">
        <v>2806400</v>
      </c>
      <c r="J22" s="272">
        <v>6988471</v>
      </c>
      <c r="K22" s="272">
        <v>3654082</v>
      </c>
      <c r="L22" s="272">
        <v>2117291</v>
      </c>
      <c r="M22" s="272">
        <v>1114285</v>
      </c>
      <c r="N22" s="272">
        <v>625546</v>
      </c>
      <c r="O22" s="272">
        <v>1567894</v>
      </c>
      <c r="P22" s="272">
        <v>1097436</v>
      </c>
      <c r="Q22" s="272">
        <v>470458</v>
      </c>
      <c r="R22" s="272">
        <v>688851</v>
      </c>
      <c r="S22" s="272">
        <v>501644</v>
      </c>
      <c r="T22" s="455">
        <f t="shared" si="2"/>
        <v>1065736</v>
      </c>
      <c r="U22" s="272">
        <v>681343</v>
      </c>
      <c r="V22" s="272"/>
      <c r="W22" s="272"/>
      <c r="X22" s="272"/>
      <c r="Y22" s="272">
        <v>45634</v>
      </c>
      <c r="Z22" s="272">
        <v>1688</v>
      </c>
      <c r="AA22" s="272">
        <v>337071</v>
      </c>
      <c r="AB22" s="272"/>
      <c r="AC22" s="272">
        <v>1613281</v>
      </c>
      <c r="AD22" s="272">
        <v>1210769</v>
      </c>
      <c r="AE22" s="272">
        <v>402512</v>
      </c>
      <c r="AF22" s="272">
        <v>30525</v>
      </c>
      <c r="AG22" s="272">
        <v>257080</v>
      </c>
      <c r="AH22" s="455">
        <f t="shared" si="3"/>
        <v>721802</v>
      </c>
      <c r="AI22" s="272">
        <v>357870</v>
      </c>
      <c r="AJ22" s="272">
        <v>363932</v>
      </c>
      <c r="AK22" s="272">
        <v>3218993</v>
      </c>
      <c r="AL22" s="455">
        <f t="shared" si="4"/>
        <v>1719005</v>
      </c>
      <c r="AM22" s="272">
        <v>1216918</v>
      </c>
      <c r="AN22" s="272">
        <v>382878</v>
      </c>
      <c r="AO22" s="272">
        <v>0</v>
      </c>
      <c r="AP22" s="272">
        <v>119209</v>
      </c>
      <c r="AQ22" s="272">
        <v>897811</v>
      </c>
      <c r="AR22" s="272">
        <v>0</v>
      </c>
      <c r="AS22" s="272">
        <v>0</v>
      </c>
      <c r="AT22" s="272">
        <v>1905731</v>
      </c>
      <c r="AU22" s="272">
        <v>441013</v>
      </c>
      <c r="AV22" s="272">
        <v>191462</v>
      </c>
      <c r="AW22" s="272">
        <v>2062</v>
      </c>
      <c r="AX22" s="272">
        <v>1464718</v>
      </c>
      <c r="AY22" s="272">
        <v>491750</v>
      </c>
      <c r="AZ22" s="272">
        <v>746569</v>
      </c>
      <c r="BA22" s="272">
        <v>480651</v>
      </c>
      <c r="BB22" s="272">
        <v>264779</v>
      </c>
      <c r="BC22" s="272">
        <v>1228555</v>
      </c>
      <c r="BD22" s="272">
        <v>800000</v>
      </c>
      <c r="BE22" s="272">
        <v>110000</v>
      </c>
      <c r="BF22" s="272">
        <v>318555</v>
      </c>
      <c r="BG22" s="272">
        <v>0</v>
      </c>
      <c r="BH22" s="272">
        <v>0</v>
      </c>
      <c r="BI22" s="272">
        <v>0</v>
      </c>
      <c r="BJ22" s="272">
        <v>1877683</v>
      </c>
      <c r="BK22" s="272">
        <v>1557535</v>
      </c>
      <c r="BL22" s="272">
        <v>22302</v>
      </c>
      <c r="BM22" s="272">
        <v>0</v>
      </c>
      <c r="BN22" s="272">
        <v>1050900</v>
      </c>
      <c r="BO22" s="455">
        <f t="shared" si="5"/>
        <v>1050900</v>
      </c>
      <c r="BP22" s="455">
        <f t="shared" si="6"/>
        <v>0</v>
      </c>
      <c r="BQ22" s="272"/>
      <c r="BR22" s="272"/>
      <c r="BS22" s="272"/>
      <c r="BT22" s="272">
        <v>0</v>
      </c>
      <c r="BU22" s="272">
        <v>33285216</v>
      </c>
      <c r="BV22" s="272"/>
      <c r="BW22" s="272">
        <v>9846653</v>
      </c>
      <c r="BX22" s="272">
        <v>7980215</v>
      </c>
      <c r="BY22" s="272">
        <v>180040</v>
      </c>
      <c r="BZ22" s="272">
        <v>157254</v>
      </c>
      <c r="CA22" s="272">
        <v>3735798</v>
      </c>
      <c r="CB22" s="272">
        <v>303563</v>
      </c>
      <c r="CC22" s="272">
        <v>599268</v>
      </c>
      <c r="CD22" s="272">
        <v>1194204</v>
      </c>
      <c r="CE22" s="272">
        <v>1570697</v>
      </c>
      <c r="CF22" s="272">
        <v>981</v>
      </c>
      <c r="CG22" s="272">
        <v>66965</v>
      </c>
      <c r="CH22" s="272">
        <v>3525884</v>
      </c>
      <c r="CI22" s="272">
        <v>1874013</v>
      </c>
      <c r="CJ22" s="455">
        <f t="shared" si="7"/>
        <v>1651871</v>
      </c>
      <c r="CK22" s="272">
        <v>2797734</v>
      </c>
      <c r="CL22" s="272">
        <v>1591876</v>
      </c>
      <c r="CM22" s="272">
        <v>51804</v>
      </c>
      <c r="CN22" s="272">
        <v>696088</v>
      </c>
      <c r="CO22" s="272">
        <v>284438</v>
      </c>
      <c r="CP22" s="272">
        <v>2197150</v>
      </c>
      <c r="CQ22" s="272">
        <v>1165974</v>
      </c>
      <c r="CR22" s="272">
        <v>460987</v>
      </c>
      <c r="CS22" s="272">
        <v>260699</v>
      </c>
      <c r="CT22" s="455">
        <f t="shared" si="8"/>
        <v>44800</v>
      </c>
      <c r="CU22" s="272">
        <v>14800</v>
      </c>
      <c r="CV22" s="272">
        <v>30000</v>
      </c>
      <c r="CW22" s="455">
        <f t="shared" si="9"/>
        <v>0</v>
      </c>
      <c r="CX22" s="272">
        <v>0</v>
      </c>
      <c r="CY22" s="272">
        <v>0</v>
      </c>
      <c r="CZ22" s="455">
        <f t="shared" si="10"/>
        <v>0</v>
      </c>
      <c r="DA22" s="272">
        <v>0</v>
      </c>
      <c r="DB22" s="272">
        <v>0</v>
      </c>
      <c r="DC22" s="272">
        <v>5129489</v>
      </c>
      <c r="DD22" s="272">
        <v>1651166</v>
      </c>
      <c r="DE22" s="272">
        <v>3300063</v>
      </c>
      <c r="DF22" s="272">
        <v>21120</v>
      </c>
      <c r="DG22" s="272">
        <v>157140</v>
      </c>
      <c r="DH22" s="272">
        <v>0</v>
      </c>
      <c r="DI22" s="272">
        <v>981549</v>
      </c>
      <c r="DJ22" s="272">
        <v>207474</v>
      </c>
      <c r="DK22" s="272">
        <v>231161</v>
      </c>
      <c r="DL22" s="272">
        <v>542914</v>
      </c>
      <c r="DM22" s="272">
        <v>1910</v>
      </c>
      <c r="DN22" s="272">
        <v>0</v>
      </c>
      <c r="DO22" s="272">
        <v>0</v>
      </c>
      <c r="DP22" s="272">
        <v>0</v>
      </c>
      <c r="DQ22" s="272">
        <v>1550700</v>
      </c>
      <c r="DR22" s="272">
        <v>0</v>
      </c>
      <c r="DS22" s="272">
        <v>0</v>
      </c>
      <c r="DT22" s="272">
        <v>2397653</v>
      </c>
      <c r="DU22" s="272">
        <v>1340353</v>
      </c>
      <c r="DV22" s="455">
        <f t="shared" si="11"/>
        <v>0</v>
      </c>
      <c r="DW22" s="272">
        <v>0</v>
      </c>
      <c r="DX22" s="272">
        <v>0</v>
      </c>
      <c r="DY22" s="457" t="s">
        <v>646</v>
      </c>
      <c r="DZ22" s="272">
        <v>297600</v>
      </c>
      <c r="EA22" s="272">
        <v>269042</v>
      </c>
      <c r="EB22" s="272"/>
      <c r="EC22" s="272">
        <v>1036038</v>
      </c>
      <c r="ED22" s="272">
        <v>33484996</v>
      </c>
      <c r="EF22" s="272">
        <v>-199780</v>
      </c>
      <c r="EG22" s="272">
        <v>35810</v>
      </c>
      <c r="EH22" s="272">
        <v>-235590</v>
      </c>
      <c r="EI22" s="272">
        <v>855816</v>
      </c>
      <c r="EJ22" s="272">
        <v>263290</v>
      </c>
      <c r="EL22" s="272"/>
      <c r="EM22" s="272">
        <v>125305</v>
      </c>
      <c r="EN22" s="272">
        <v>1228555</v>
      </c>
      <c r="EO22" s="272">
        <v>461903</v>
      </c>
      <c r="EP22" s="455">
        <f t="shared" si="12"/>
        <v>550269</v>
      </c>
      <c r="EQ22" s="272">
        <v>22013124</v>
      </c>
      <c r="ER22" s="272">
        <v>-2210202</v>
      </c>
      <c r="ES22" s="272">
        <v>9045046</v>
      </c>
      <c r="ET22" s="272">
        <v>7195348</v>
      </c>
      <c r="EU22" s="272">
        <v>1158072</v>
      </c>
      <c r="EV22" s="272">
        <v>3296672</v>
      </c>
      <c r="EW22" s="455">
        <f t="shared" si="13"/>
        <v>2700662</v>
      </c>
      <c r="EX22" s="272">
        <v>2700662</v>
      </c>
      <c r="EY22" s="272">
        <v>228453</v>
      </c>
      <c r="EZ22" s="272">
        <v>2451089</v>
      </c>
      <c r="FA22" s="272">
        <v>0</v>
      </c>
      <c r="FB22" s="272"/>
      <c r="FC22" s="272">
        <v>2106440</v>
      </c>
      <c r="FD22" s="272">
        <v>1928759</v>
      </c>
      <c r="FE22" s="272">
        <v>1165974</v>
      </c>
      <c r="FF22" s="272">
        <v>2260636</v>
      </c>
      <c r="FG22" s="455">
        <f t="shared" si="14"/>
        <v>1993024</v>
      </c>
      <c r="FH22" s="272">
        <v>24489311</v>
      </c>
      <c r="FI22" s="384">
        <f t="shared" si="15"/>
        <v>-1.2</v>
      </c>
      <c r="FJ22" s="272">
        <v>19025837</v>
      </c>
      <c r="FK22" s="272"/>
      <c r="FL22" s="272">
        <v>13413618</v>
      </c>
      <c r="FM22" s="272">
        <v>14661190</v>
      </c>
      <c r="FN22" s="460">
        <v>0.91300000000000003</v>
      </c>
      <c r="FO22" s="388">
        <v>93.2</v>
      </c>
      <c r="FP22" s="388">
        <v>44.9</v>
      </c>
      <c r="FQ22" s="388">
        <v>5.7</v>
      </c>
      <c r="FR22" s="388">
        <v>16.399999999999999</v>
      </c>
      <c r="FS22" s="388">
        <v>10.1</v>
      </c>
      <c r="FT22" s="388">
        <v>8</v>
      </c>
      <c r="FU22" s="388">
        <v>7</v>
      </c>
      <c r="FV22" s="388">
        <v>13.2</v>
      </c>
      <c r="FW22" s="272">
        <v>24344848</v>
      </c>
      <c r="FX22" s="384">
        <f t="shared" si="16"/>
        <v>128</v>
      </c>
      <c r="FY22" s="272">
        <v>3683995</v>
      </c>
      <c r="FZ22" s="272">
        <v>723974</v>
      </c>
      <c r="GA22" s="272">
        <v>913391</v>
      </c>
      <c r="GB22" s="272">
        <v>2046630</v>
      </c>
      <c r="GC22" s="272"/>
      <c r="GD22" s="272">
        <v>12676510</v>
      </c>
      <c r="GE22" s="384">
        <f t="shared" si="17"/>
        <v>66.599999999999994</v>
      </c>
      <c r="GF22" s="388">
        <v>98.8</v>
      </c>
      <c r="GG22" s="388">
        <v>28.6</v>
      </c>
      <c r="GH22" s="388">
        <v>96.7</v>
      </c>
      <c r="GI22" s="272">
        <v>1112</v>
      </c>
    </row>
    <row r="23" spans="2:191" x14ac:dyDescent="0.15">
      <c r="B23" s="89" t="s">
        <v>39</v>
      </c>
      <c r="C23" s="272">
        <v>17382649</v>
      </c>
      <c r="D23" s="455">
        <f t="shared" si="0"/>
        <v>8237333</v>
      </c>
      <c r="E23" s="272">
        <v>93905</v>
      </c>
      <c r="F23" s="272">
        <v>8143428</v>
      </c>
      <c r="G23" s="455">
        <f t="shared" si="1"/>
        <v>1310321</v>
      </c>
      <c r="H23" s="272">
        <v>180258</v>
      </c>
      <c r="I23" s="272">
        <v>1130063</v>
      </c>
      <c r="J23" s="272">
        <v>5566068</v>
      </c>
      <c r="K23" s="272">
        <v>2738911</v>
      </c>
      <c r="L23" s="272">
        <v>2161631</v>
      </c>
      <c r="M23" s="272">
        <v>624323</v>
      </c>
      <c r="N23" s="272">
        <v>674305</v>
      </c>
      <c r="O23" s="272">
        <v>1345230</v>
      </c>
      <c r="P23" s="272">
        <v>894175</v>
      </c>
      <c r="Q23" s="272">
        <v>451055</v>
      </c>
      <c r="R23" s="272">
        <v>701585</v>
      </c>
      <c r="S23" s="272">
        <v>455588</v>
      </c>
      <c r="T23" s="455">
        <f t="shared" si="2"/>
        <v>1262685</v>
      </c>
      <c r="U23" s="272">
        <v>819679</v>
      </c>
      <c r="V23" s="272"/>
      <c r="W23" s="272"/>
      <c r="X23" s="272"/>
      <c r="Y23" s="272">
        <v>0</v>
      </c>
      <c r="Z23" s="272">
        <v>222</v>
      </c>
      <c r="AA23" s="272">
        <v>442784</v>
      </c>
      <c r="AB23" s="272"/>
      <c r="AC23" s="272">
        <v>4563859</v>
      </c>
      <c r="AD23" s="272">
        <v>3662415</v>
      </c>
      <c r="AE23" s="272">
        <v>901444</v>
      </c>
      <c r="AF23" s="272">
        <v>28259</v>
      </c>
      <c r="AG23" s="272">
        <v>232390</v>
      </c>
      <c r="AH23" s="455">
        <f t="shared" si="3"/>
        <v>660884</v>
      </c>
      <c r="AI23" s="272">
        <v>608352</v>
      </c>
      <c r="AJ23" s="272">
        <v>52532</v>
      </c>
      <c r="AK23" s="272">
        <v>4011008</v>
      </c>
      <c r="AL23" s="455">
        <f t="shared" si="4"/>
        <v>2098519</v>
      </c>
      <c r="AM23" s="272">
        <v>1662176</v>
      </c>
      <c r="AN23" s="272">
        <v>327180</v>
      </c>
      <c r="AO23" s="272">
        <v>0</v>
      </c>
      <c r="AP23" s="272">
        <v>109163</v>
      </c>
      <c r="AQ23" s="272">
        <v>732940</v>
      </c>
      <c r="AR23" s="272">
        <v>0</v>
      </c>
      <c r="AS23" s="272">
        <v>261634</v>
      </c>
      <c r="AT23" s="272">
        <v>2552883</v>
      </c>
      <c r="AU23" s="272">
        <v>464931</v>
      </c>
      <c r="AV23" s="272">
        <v>163590</v>
      </c>
      <c r="AW23" s="272">
        <v>54269</v>
      </c>
      <c r="AX23" s="272">
        <v>2087952</v>
      </c>
      <c r="AY23" s="272">
        <v>614096</v>
      </c>
      <c r="AZ23" s="272">
        <v>789899</v>
      </c>
      <c r="BA23" s="272">
        <v>259492</v>
      </c>
      <c r="BB23" s="272">
        <v>729761</v>
      </c>
      <c r="BC23" s="272">
        <v>100000</v>
      </c>
      <c r="BD23" s="272">
        <v>0</v>
      </c>
      <c r="BE23" s="272">
        <v>0</v>
      </c>
      <c r="BF23" s="272">
        <v>100000</v>
      </c>
      <c r="BG23" s="272">
        <v>0</v>
      </c>
      <c r="BH23" s="272">
        <v>758259</v>
      </c>
      <c r="BI23" s="272">
        <v>669749</v>
      </c>
      <c r="BJ23" s="272">
        <v>2844209</v>
      </c>
      <c r="BK23" s="272">
        <v>77783</v>
      </c>
      <c r="BL23" s="272">
        <v>0</v>
      </c>
      <c r="BM23" s="272">
        <v>0</v>
      </c>
      <c r="BN23" s="272">
        <v>2515882</v>
      </c>
      <c r="BO23" s="455">
        <f t="shared" si="5"/>
        <v>2515882</v>
      </c>
      <c r="BP23" s="455">
        <f t="shared" si="6"/>
        <v>0</v>
      </c>
      <c r="BQ23" s="272"/>
      <c r="BR23" s="272"/>
      <c r="BS23" s="272"/>
      <c r="BT23" s="272">
        <v>0</v>
      </c>
      <c r="BU23" s="272">
        <v>39395846</v>
      </c>
      <c r="BV23" s="272"/>
      <c r="BW23" s="272">
        <v>11847605</v>
      </c>
      <c r="BX23" s="272">
        <v>9038871</v>
      </c>
      <c r="BY23" s="272">
        <v>901359</v>
      </c>
      <c r="BZ23" s="272">
        <v>146433</v>
      </c>
      <c r="CA23" s="272">
        <v>4348400</v>
      </c>
      <c r="CB23" s="272">
        <v>430127</v>
      </c>
      <c r="CC23" s="272">
        <v>763422</v>
      </c>
      <c r="CD23" s="272">
        <v>844382</v>
      </c>
      <c r="CE23" s="272">
        <v>2226157</v>
      </c>
      <c r="CF23" s="272">
        <v>2762</v>
      </c>
      <c r="CG23" s="272">
        <v>80946</v>
      </c>
      <c r="CH23" s="272">
        <v>4647047</v>
      </c>
      <c r="CI23" s="272">
        <v>2548712</v>
      </c>
      <c r="CJ23" s="455">
        <f t="shared" si="7"/>
        <v>2098335</v>
      </c>
      <c r="CK23" s="272">
        <v>2537257</v>
      </c>
      <c r="CL23" s="272">
        <v>1212147</v>
      </c>
      <c r="CM23" s="272">
        <v>91191</v>
      </c>
      <c r="CN23" s="272">
        <v>714002</v>
      </c>
      <c r="CO23" s="272">
        <v>165992</v>
      </c>
      <c r="CP23" s="272">
        <v>2953809</v>
      </c>
      <c r="CQ23" s="272">
        <v>1165294</v>
      </c>
      <c r="CR23" s="272">
        <v>617622</v>
      </c>
      <c r="CS23" s="272">
        <v>500862</v>
      </c>
      <c r="CT23" s="455">
        <f t="shared" si="8"/>
        <v>644973</v>
      </c>
      <c r="CU23" s="272">
        <v>13000</v>
      </c>
      <c r="CV23" s="272">
        <v>631973</v>
      </c>
      <c r="CW23" s="455">
        <f t="shared" si="9"/>
        <v>620844</v>
      </c>
      <c r="CX23" s="272">
        <v>0</v>
      </c>
      <c r="CY23" s="272">
        <v>620844</v>
      </c>
      <c r="CZ23" s="455">
        <f t="shared" si="10"/>
        <v>0</v>
      </c>
      <c r="DA23" s="272">
        <v>0</v>
      </c>
      <c r="DB23" s="272">
        <v>0</v>
      </c>
      <c r="DC23" s="272">
        <v>8097335</v>
      </c>
      <c r="DD23" s="272">
        <v>2752165</v>
      </c>
      <c r="DE23" s="272">
        <v>5345170</v>
      </c>
      <c r="DF23" s="272">
        <v>0</v>
      </c>
      <c r="DG23" s="272">
        <v>0</v>
      </c>
      <c r="DH23" s="272">
        <v>0</v>
      </c>
      <c r="DI23" s="272">
        <v>1675902</v>
      </c>
      <c r="DJ23" s="272">
        <v>6642</v>
      </c>
      <c r="DK23" s="272">
        <v>423862</v>
      </c>
      <c r="DL23" s="272">
        <v>1245398</v>
      </c>
      <c r="DM23" s="272">
        <v>201120</v>
      </c>
      <c r="DN23" s="272">
        <v>0</v>
      </c>
      <c r="DO23" s="272">
        <v>0</v>
      </c>
      <c r="DP23" s="272">
        <v>0</v>
      </c>
      <c r="DQ23" s="272">
        <v>1071638</v>
      </c>
      <c r="DR23" s="272">
        <v>1000000</v>
      </c>
      <c r="DS23" s="272">
        <v>1000000</v>
      </c>
      <c r="DT23" s="272">
        <v>1462614</v>
      </c>
      <c r="DU23" s="272">
        <v>813934</v>
      </c>
      <c r="DV23" s="455">
        <f t="shared" si="11"/>
        <v>0</v>
      </c>
      <c r="DW23" s="272">
        <v>0</v>
      </c>
      <c r="DX23" s="272">
        <v>0</v>
      </c>
      <c r="DY23" s="457" t="s">
        <v>646</v>
      </c>
      <c r="DZ23" s="272">
        <v>322206</v>
      </c>
      <c r="EA23" s="272">
        <v>326474</v>
      </c>
      <c r="EB23" s="272"/>
      <c r="EC23" s="272">
        <v>0</v>
      </c>
      <c r="ED23" s="272">
        <v>39008719</v>
      </c>
      <c r="EF23" s="272">
        <v>387127</v>
      </c>
      <c r="EG23" s="272">
        <v>65748</v>
      </c>
      <c r="EH23" s="272">
        <v>321379</v>
      </c>
      <c r="EI23" s="272">
        <v>-348370</v>
      </c>
      <c r="EJ23" s="272">
        <v>-341728</v>
      </c>
      <c r="EL23" s="272"/>
      <c r="EM23" s="272">
        <v>146902</v>
      </c>
      <c r="EN23" s="272">
        <v>100000</v>
      </c>
      <c r="EO23" s="272">
        <v>728681</v>
      </c>
      <c r="EP23" s="455">
        <f t="shared" si="12"/>
        <v>2537254</v>
      </c>
      <c r="EQ23" s="272">
        <v>24200671</v>
      </c>
      <c r="ER23" s="272">
        <v>-3076042</v>
      </c>
      <c r="ES23" s="272">
        <v>10706609</v>
      </c>
      <c r="ET23" s="272">
        <v>8168373</v>
      </c>
      <c r="EU23" s="272">
        <v>1389206</v>
      </c>
      <c r="EV23" s="272">
        <v>3835322</v>
      </c>
      <c r="EW23" s="455">
        <f t="shared" si="13"/>
        <v>2881715</v>
      </c>
      <c r="EX23" s="272">
        <v>2881715</v>
      </c>
      <c r="EY23" s="272">
        <v>145208</v>
      </c>
      <c r="EZ23" s="272">
        <v>2736507</v>
      </c>
      <c r="FA23" s="272">
        <v>0</v>
      </c>
      <c r="FB23" s="272"/>
      <c r="FC23" s="272">
        <v>2101439</v>
      </c>
      <c r="FD23" s="272">
        <v>2657436</v>
      </c>
      <c r="FE23" s="272">
        <v>1165294</v>
      </c>
      <c r="FF23" s="272">
        <v>1365559</v>
      </c>
      <c r="FG23" s="455">
        <f t="shared" si="14"/>
        <v>1955255</v>
      </c>
      <c r="FH23" s="272">
        <v>26892541</v>
      </c>
      <c r="FI23" s="384">
        <f t="shared" si="15"/>
        <v>1.6</v>
      </c>
      <c r="FJ23" s="272">
        <v>20650250</v>
      </c>
      <c r="FK23" s="272"/>
      <c r="FL23" s="272">
        <v>12802540</v>
      </c>
      <c r="FM23" s="272">
        <v>16498877</v>
      </c>
      <c r="FN23" s="460">
        <v>0.75800000000000001</v>
      </c>
      <c r="FO23" s="388">
        <v>94</v>
      </c>
      <c r="FP23" s="388">
        <v>47.7</v>
      </c>
      <c r="FQ23" s="388">
        <v>6.3</v>
      </c>
      <c r="FR23" s="388">
        <v>16.899999999999999</v>
      </c>
      <c r="FS23" s="388">
        <v>9</v>
      </c>
      <c r="FT23" s="388">
        <v>10.9</v>
      </c>
      <c r="FU23" s="388">
        <v>2.6</v>
      </c>
      <c r="FV23" s="388">
        <v>14</v>
      </c>
      <c r="FW23" s="272">
        <v>34892814</v>
      </c>
      <c r="FX23" s="384">
        <f t="shared" si="16"/>
        <v>169</v>
      </c>
      <c r="FY23" s="272">
        <v>8770172</v>
      </c>
      <c r="FZ23" s="272">
        <v>112542</v>
      </c>
      <c r="GA23" s="272">
        <v>1254219</v>
      </c>
      <c r="GB23" s="272">
        <v>7403411</v>
      </c>
      <c r="GC23" s="272"/>
      <c r="GD23" s="272">
        <v>6797922</v>
      </c>
      <c r="GE23" s="384">
        <f t="shared" si="17"/>
        <v>32.9</v>
      </c>
      <c r="GF23" s="388">
        <v>97.7</v>
      </c>
      <c r="GG23" s="388">
        <v>37.5</v>
      </c>
      <c r="GH23" s="388">
        <v>95.6</v>
      </c>
      <c r="GI23" s="272">
        <v>1308</v>
      </c>
    </row>
    <row r="24" spans="2:191" x14ac:dyDescent="0.15">
      <c r="B24" s="89" t="s">
        <v>41</v>
      </c>
      <c r="C24" s="272">
        <v>23486170</v>
      </c>
      <c r="D24" s="455">
        <f t="shared" si="0"/>
        <v>12840686</v>
      </c>
      <c r="E24" s="272">
        <v>82902</v>
      </c>
      <c r="F24" s="272">
        <v>12757784</v>
      </c>
      <c r="G24" s="455">
        <f t="shared" si="1"/>
        <v>1598682</v>
      </c>
      <c r="H24" s="272">
        <v>207889</v>
      </c>
      <c r="I24" s="272">
        <v>1390793</v>
      </c>
      <c r="J24" s="272">
        <v>6258045</v>
      </c>
      <c r="K24" s="272">
        <v>3027999</v>
      </c>
      <c r="L24" s="272">
        <v>2756657</v>
      </c>
      <c r="M24" s="272">
        <v>441924</v>
      </c>
      <c r="N24" s="272">
        <v>401247</v>
      </c>
      <c r="O24" s="272">
        <v>1804919</v>
      </c>
      <c r="P24" s="272">
        <v>1185760</v>
      </c>
      <c r="Q24" s="272">
        <v>619159</v>
      </c>
      <c r="R24" s="272">
        <v>600314</v>
      </c>
      <c r="S24" s="272">
        <v>381000</v>
      </c>
      <c r="T24" s="455">
        <f t="shared" si="2"/>
        <v>1651797</v>
      </c>
      <c r="U24" s="272">
        <v>1243505</v>
      </c>
      <c r="V24" s="272"/>
      <c r="W24" s="272"/>
      <c r="X24" s="272"/>
      <c r="Y24" s="272">
        <v>7226</v>
      </c>
      <c r="Z24" s="272">
        <v>6433</v>
      </c>
      <c r="AA24" s="272">
        <v>394633</v>
      </c>
      <c r="AB24" s="272"/>
      <c r="AC24" s="272">
        <v>87333</v>
      </c>
      <c r="AD24" s="272">
        <v>0</v>
      </c>
      <c r="AE24" s="272">
        <v>87333</v>
      </c>
      <c r="AF24" s="272">
        <v>34161</v>
      </c>
      <c r="AG24" s="272">
        <v>145324</v>
      </c>
      <c r="AH24" s="455">
        <f t="shared" si="3"/>
        <v>544447</v>
      </c>
      <c r="AI24" s="272">
        <v>456811</v>
      </c>
      <c r="AJ24" s="272">
        <v>87636</v>
      </c>
      <c r="AK24" s="272">
        <v>1531492</v>
      </c>
      <c r="AL24" s="455">
        <f t="shared" si="4"/>
        <v>749470</v>
      </c>
      <c r="AM24" s="272">
        <v>410842</v>
      </c>
      <c r="AN24" s="272">
        <v>208263</v>
      </c>
      <c r="AO24" s="272">
        <v>0</v>
      </c>
      <c r="AP24" s="272">
        <v>130365</v>
      </c>
      <c r="AQ24" s="272">
        <v>390773</v>
      </c>
      <c r="AR24" s="272">
        <v>0</v>
      </c>
      <c r="AS24" s="272">
        <v>0</v>
      </c>
      <c r="AT24" s="272">
        <v>1326982</v>
      </c>
      <c r="AU24" s="272">
        <v>340597</v>
      </c>
      <c r="AV24" s="272">
        <v>66928</v>
      </c>
      <c r="AW24" s="272">
        <v>22052</v>
      </c>
      <c r="AX24" s="272">
        <v>986385</v>
      </c>
      <c r="AY24" s="272">
        <v>121800</v>
      </c>
      <c r="AZ24" s="272">
        <v>3076178</v>
      </c>
      <c r="BA24" s="272">
        <v>1974</v>
      </c>
      <c r="BB24" s="272">
        <v>135938</v>
      </c>
      <c r="BC24" s="272">
        <v>4556673</v>
      </c>
      <c r="BD24" s="272">
        <v>1000000</v>
      </c>
      <c r="BE24" s="272">
        <v>390000</v>
      </c>
      <c r="BF24" s="272">
        <v>3136090</v>
      </c>
      <c r="BG24" s="272">
        <v>0</v>
      </c>
      <c r="BH24" s="272">
        <v>943885</v>
      </c>
      <c r="BI24" s="272">
        <v>306020</v>
      </c>
      <c r="BJ24" s="272">
        <v>9458721</v>
      </c>
      <c r="BK24" s="272">
        <v>2011371</v>
      </c>
      <c r="BL24" s="272">
        <v>10063</v>
      </c>
      <c r="BM24" s="272">
        <v>7000000</v>
      </c>
      <c r="BN24" s="272">
        <v>3745260</v>
      </c>
      <c r="BO24" s="455">
        <f t="shared" si="5"/>
        <v>3745260</v>
      </c>
      <c r="BP24" s="455">
        <f t="shared" si="6"/>
        <v>0</v>
      </c>
      <c r="BQ24" s="272"/>
      <c r="BR24" s="272"/>
      <c r="BS24" s="272"/>
      <c r="BT24" s="272">
        <v>0</v>
      </c>
      <c r="BU24" s="272">
        <v>51324675</v>
      </c>
      <c r="BV24" s="272"/>
      <c r="BW24" s="272">
        <v>9740958</v>
      </c>
      <c r="BX24" s="272">
        <v>7344983</v>
      </c>
      <c r="BY24" s="272">
        <v>471931</v>
      </c>
      <c r="BZ24" s="272">
        <v>362438</v>
      </c>
      <c r="CA24" s="272">
        <v>1611870</v>
      </c>
      <c r="CB24" s="272">
        <v>194854</v>
      </c>
      <c r="CC24" s="272">
        <v>534610</v>
      </c>
      <c r="CD24" s="272">
        <v>319969</v>
      </c>
      <c r="CE24" s="272">
        <v>542658</v>
      </c>
      <c r="CF24" s="272">
        <v>0</v>
      </c>
      <c r="CG24" s="272">
        <v>19779</v>
      </c>
      <c r="CH24" s="272">
        <v>1832293</v>
      </c>
      <c r="CI24" s="272">
        <v>742820</v>
      </c>
      <c r="CJ24" s="455">
        <f t="shared" si="7"/>
        <v>1089473</v>
      </c>
      <c r="CK24" s="272">
        <v>4170440</v>
      </c>
      <c r="CL24" s="272">
        <v>2210125</v>
      </c>
      <c r="CM24" s="272">
        <v>105559</v>
      </c>
      <c r="CN24" s="272">
        <v>1144116</v>
      </c>
      <c r="CO24" s="272">
        <v>181978</v>
      </c>
      <c r="CP24" s="272">
        <v>2763573</v>
      </c>
      <c r="CQ24" s="272">
        <v>94443</v>
      </c>
      <c r="CR24" s="272">
        <v>764753</v>
      </c>
      <c r="CS24" s="272">
        <v>563743</v>
      </c>
      <c r="CT24" s="455">
        <f t="shared" si="8"/>
        <v>1134747</v>
      </c>
      <c r="CU24" s="272">
        <v>379747</v>
      </c>
      <c r="CV24" s="272">
        <v>755000</v>
      </c>
      <c r="CW24" s="455">
        <f t="shared" si="9"/>
        <v>804442</v>
      </c>
      <c r="CX24" s="272">
        <v>373136</v>
      </c>
      <c r="CY24" s="272">
        <v>431306</v>
      </c>
      <c r="CZ24" s="455">
        <f t="shared" si="10"/>
        <v>0</v>
      </c>
      <c r="DA24" s="272">
        <v>0</v>
      </c>
      <c r="DB24" s="272">
        <v>0</v>
      </c>
      <c r="DC24" s="272">
        <v>16086971</v>
      </c>
      <c r="DD24" s="272">
        <v>4774811</v>
      </c>
      <c r="DE24" s="272">
        <v>11282141</v>
      </c>
      <c r="DF24" s="272">
        <v>22023</v>
      </c>
      <c r="DG24" s="272">
        <v>7996</v>
      </c>
      <c r="DH24" s="272">
        <v>1074</v>
      </c>
      <c r="DI24" s="272">
        <v>6813762</v>
      </c>
      <c r="DJ24" s="272">
        <v>594228</v>
      </c>
      <c r="DK24" s="272">
        <v>235905</v>
      </c>
      <c r="DL24" s="272">
        <v>5983629</v>
      </c>
      <c r="DM24" s="272">
        <v>227067</v>
      </c>
      <c r="DN24" s="272">
        <v>225127</v>
      </c>
      <c r="DO24" s="272">
        <v>133</v>
      </c>
      <c r="DP24" s="272">
        <v>224994</v>
      </c>
      <c r="DQ24" s="272">
        <v>2031723</v>
      </c>
      <c r="DR24" s="272">
        <v>1753</v>
      </c>
      <c r="DS24" s="272">
        <v>0</v>
      </c>
      <c r="DT24" s="272">
        <v>3095417</v>
      </c>
      <c r="DU24" s="272">
        <v>2000000</v>
      </c>
      <c r="DV24" s="455">
        <f t="shared" si="11"/>
        <v>0</v>
      </c>
      <c r="DW24" s="272">
        <v>0</v>
      </c>
      <c r="DX24" s="272">
        <v>0</v>
      </c>
      <c r="DY24" s="457" t="s">
        <v>646</v>
      </c>
      <c r="DZ24" s="272">
        <v>277799</v>
      </c>
      <c r="EA24" s="272">
        <v>295152</v>
      </c>
      <c r="EB24" s="272"/>
      <c r="EC24" s="272">
        <v>0</v>
      </c>
      <c r="ED24" s="272">
        <v>48557126</v>
      </c>
      <c r="EF24" s="272">
        <v>2767549</v>
      </c>
      <c r="EG24" s="272">
        <v>1239001</v>
      </c>
      <c r="EH24" s="272">
        <v>1528548</v>
      </c>
      <c r="EI24" s="272">
        <v>872528</v>
      </c>
      <c r="EJ24" s="272">
        <v>466756</v>
      </c>
      <c r="EL24" s="272"/>
      <c r="EM24" s="272">
        <v>119987</v>
      </c>
      <c r="EN24" s="272">
        <v>1426769</v>
      </c>
      <c r="EO24" s="272">
        <v>69813</v>
      </c>
      <c r="EP24" s="455">
        <f t="shared" si="12"/>
        <v>7871855</v>
      </c>
      <c r="EQ24" s="272">
        <v>25859775</v>
      </c>
      <c r="ER24" s="272">
        <v>-9334276</v>
      </c>
      <c r="ES24" s="272">
        <v>9260756</v>
      </c>
      <c r="ET24" s="272">
        <v>6949823</v>
      </c>
      <c r="EU24" s="272">
        <v>362203</v>
      </c>
      <c r="EV24" s="272">
        <v>1780656</v>
      </c>
      <c r="EW24" s="455">
        <f t="shared" si="13"/>
        <v>8427892</v>
      </c>
      <c r="EX24" s="272">
        <v>8426818</v>
      </c>
      <c r="EY24" s="272">
        <v>661008</v>
      </c>
      <c r="EZ24" s="272">
        <v>7743787</v>
      </c>
      <c r="FA24" s="272">
        <v>1074</v>
      </c>
      <c r="FB24" s="272"/>
      <c r="FC24" s="272">
        <v>3251641</v>
      </c>
      <c r="FD24" s="272">
        <v>2373390</v>
      </c>
      <c r="FE24" s="272">
        <v>94443</v>
      </c>
      <c r="FF24" s="272">
        <v>2902103</v>
      </c>
      <c r="FG24" s="455">
        <f t="shared" si="14"/>
        <v>4118447</v>
      </c>
      <c r="FH24" s="272">
        <v>32477088</v>
      </c>
      <c r="FI24" s="384">
        <f t="shared" si="15"/>
        <v>6.6</v>
      </c>
      <c r="FJ24" s="272">
        <v>23250638</v>
      </c>
      <c r="FK24" s="272"/>
      <c r="FL24" s="272">
        <v>17496738</v>
      </c>
      <c r="FM24" s="272">
        <v>14392079</v>
      </c>
      <c r="FN24" s="460">
        <v>1.157</v>
      </c>
      <c r="FO24" s="388">
        <v>67.8</v>
      </c>
      <c r="FP24" s="388">
        <v>37.9</v>
      </c>
      <c r="FQ24" s="388">
        <v>1.5</v>
      </c>
      <c r="FR24" s="388">
        <v>7.3</v>
      </c>
      <c r="FS24" s="388">
        <v>12.2</v>
      </c>
      <c r="FT24" s="388">
        <v>5.8</v>
      </c>
      <c r="FU24" s="388">
        <v>2.5</v>
      </c>
      <c r="FV24" s="388">
        <v>5.4</v>
      </c>
      <c r="FW24" s="272">
        <v>21226370</v>
      </c>
      <c r="FX24" s="384">
        <f t="shared" si="16"/>
        <v>91.3</v>
      </c>
      <c r="FY24" s="272">
        <v>41407230</v>
      </c>
      <c r="FZ24" s="272">
        <v>9589581</v>
      </c>
      <c r="GA24" s="272">
        <v>3045022</v>
      </c>
      <c r="GB24" s="272">
        <v>28772627</v>
      </c>
      <c r="GC24" s="272"/>
      <c r="GD24" s="272">
        <v>18851685</v>
      </c>
      <c r="GE24" s="384">
        <f t="shared" si="17"/>
        <v>81.099999999999994</v>
      </c>
      <c r="GF24" s="388">
        <v>98.5</v>
      </c>
      <c r="GG24" s="388">
        <v>28.5</v>
      </c>
      <c r="GH24" s="388">
        <v>96.9</v>
      </c>
      <c r="GI24" s="272">
        <v>1109</v>
      </c>
    </row>
    <row r="25" spans="2:191" x14ac:dyDescent="0.15">
      <c r="B25" s="89" t="s">
        <v>43</v>
      </c>
      <c r="C25" s="272">
        <v>10094495</v>
      </c>
      <c r="D25" s="455">
        <f t="shared" si="0"/>
        <v>4283447</v>
      </c>
      <c r="E25" s="272">
        <v>52529</v>
      </c>
      <c r="F25" s="272">
        <v>4230918</v>
      </c>
      <c r="G25" s="455">
        <f t="shared" si="1"/>
        <v>1497491</v>
      </c>
      <c r="H25" s="272">
        <v>108191</v>
      </c>
      <c r="I25" s="272">
        <v>1389300</v>
      </c>
      <c r="J25" s="272">
        <v>3247985</v>
      </c>
      <c r="K25" s="272">
        <v>1400061</v>
      </c>
      <c r="L25" s="272">
        <v>1051161</v>
      </c>
      <c r="M25" s="272">
        <v>770652</v>
      </c>
      <c r="N25" s="272">
        <v>285536</v>
      </c>
      <c r="O25" s="272">
        <v>734275</v>
      </c>
      <c r="P25" s="272">
        <v>492837</v>
      </c>
      <c r="Q25" s="272">
        <v>241438</v>
      </c>
      <c r="R25" s="272">
        <v>417262</v>
      </c>
      <c r="S25" s="272">
        <v>290863</v>
      </c>
      <c r="T25" s="455">
        <f t="shared" si="2"/>
        <v>670051</v>
      </c>
      <c r="U25" s="272">
        <v>441768</v>
      </c>
      <c r="V25" s="272"/>
      <c r="W25" s="272"/>
      <c r="X25" s="272"/>
      <c r="Y25" s="272">
        <v>0</v>
      </c>
      <c r="Z25" s="272">
        <v>547</v>
      </c>
      <c r="AA25" s="272">
        <v>227736</v>
      </c>
      <c r="AB25" s="272"/>
      <c r="AC25" s="272">
        <v>2269249</v>
      </c>
      <c r="AD25" s="272">
        <v>1937861</v>
      </c>
      <c r="AE25" s="272">
        <v>331388</v>
      </c>
      <c r="AF25" s="272">
        <v>16794</v>
      </c>
      <c r="AG25" s="272">
        <v>156810</v>
      </c>
      <c r="AH25" s="455">
        <f t="shared" si="3"/>
        <v>279437</v>
      </c>
      <c r="AI25" s="272">
        <v>226449</v>
      </c>
      <c r="AJ25" s="272">
        <v>52988</v>
      </c>
      <c r="AK25" s="272">
        <v>1308262</v>
      </c>
      <c r="AL25" s="455">
        <f t="shared" si="4"/>
        <v>945193</v>
      </c>
      <c r="AM25" s="272">
        <v>643448</v>
      </c>
      <c r="AN25" s="272">
        <v>223091</v>
      </c>
      <c r="AO25" s="272">
        <v>0</v>
      </c>
      <c r="AP25" s="272">
        <v>78654</v>
      </c>
      <c r="AQ25" s="272">
        <v>151337</v>
      </c>
      <c r="AR25" s="272">
        <v>6169</v>
      </c>
      <c r="AS25" s="272">
        <v>0</v>
      </c>
      <c r="AT25" s="272">
        <v>852074</v>
      </c>
      <c r="AU25" s="272">
        <v>236785</v>
      </c>
      <c r="AV25" s="272">
        <v>84560</v>
      </c>
      <c r="AW25" s="272">
        <v>22624</v>
      </c>
      <c r="AX25" s="272">
        <v>615289</v>
      </c>
      <c r="AY25" s="272">
        <v>142135</v>
      </c>
      <c r="AZ25" s="272">
        <v>405962</v>
      </c>
      <c r="BA25" s="272">
        <v>32265</v>
      </c>
      <c r="BB25" s="272">
        <v>183567</v>
      </c>
      <c r="BC25" s="272">
        <v>485124</v>
      </c>
      <c r="BD25" s="272">
        <v>0</v>
      </c>
      <c r="BE25" s="272">
        <v>42000</v>
      </c>
      <c r="BF25" s="272">
        <v>429907</v>
      </c>
      <c r="BG25" s="272">
        <v>0</v>
      </c>
      <c r="BH25" s="272">
        <v>105825</v>
      </c>
      <c r="BI25" s="272">
        <v>62535</v>
      </c>
      <c r="BJ25" s="272">
        <v>2562677</v>
      </c>
      <c r="BK25" s="272">
        <v>2447523</v>
      </c>
      <c r="BL25" s="272">
        <v>6865</v>
      </c>
      <c r="BM25" s="272">
        <v>0</v>
      </c>
      <c r="BN25" s="272">
        <v>793000</v>
      </c>
      <c r="BO25" s="455">
        <f t="shared" si="5"/>
        <v>793000</v>
      </c>
      <c r="BP25" s="455">
        <f t="shared" si="6"/>
        <v>0</v>
      </c>
      <c r="BQ25" s="272"/>
      <c r="BR25" s="272"/>
      <c r="BS25" s="272"/>
      <c r="BT25" s="272">
        <v>0</v>
      </c>
      <c r="BU25" s="272">
        <v>20600589</v>
      </c>
      <c r="BV25" s="272"/>
      <c r="BW25" s="272">
        <v>3965862</v>
      </c>
      <c r="BX25" s="272">
        <v>3014433</v>
      </c>
      <c r="BY25" s="272">
        <v>125013</v>
      </c>
      <c r="BZ25" s="272">
        <v>69284</v>
      </c>
      <c r="CA25" s="272">
        <v>1923286</v>
      </c>
      <c r="CB25" s="272">
        <v>168138</v>
      </c>
      <c r="CC25" s="272">
        <v>401269</v>
      </c>
      <c r="CD25" s="272">
        <v>476430</v>
      </c>
      <c r="CE25" s="272">
        <v>800170</v>
      </c>
      <c r="CF25" s="272">
        <v>0</v>
      </c>
      <c r="CG25" s="272">
        <v>77249</v>
      </c>
      <c r="CH25" s="272">
        <v>1542549</v>
      </c>
      <c r="CI25" s="272">
        <v>756104</v>
      </c>
      <c r="CJ25" s="455">
        <f t="shared" si="7"/>
        <v>786445</v>
      </c>
      <c r="CK25" s="272">
        <v>1879904</v>
      </c>
      <c r="CL25" s="272">
        <v>959685</v>
      </c>
      <c r="CM25" s="272">
        <v>79067</v>
      </c>
      <c r="CN25" s="272">
        <v>462281</v>
      </c>
      <c r="CO25" s="272">
        <v>204014</v>
      </c>
      <c r="CP25" s="272">
        <v>2816339</v>
      </c>
      <c r="CQ25" s="272">
        <v>1808592</v>
      </c>
      <c r="CR25" s="272">
        <v>403149</v>
      </c>
      <c r="CS25" s="272">
        <v>363541</v>
      </c>
      <c r="CT25" s="455">
        <f t="shared" si="8"/>
        <v>195529</v>
      </c>
      <c r="CU25" s="272">
        <v>6806</v>
      </c>
      <c r="CV25" s="272">
        <v>188723</v>
      </c>
      <c r="CW25" s="455">
        <f t="shared" si="9"/>
        <v>187197</v>
      </c>
      <c r="CX25" s="272">
        <v>0</v>
      </c>
      <c r="CY25" s="272">
        <v>187197</v>
      </c>
      <c r="CZ25" s="455">
        <f t="shared" si="10"/>
        <v>0</v>
      </c>
      <c r="DA25" s="272">
        <v>0</v>
      </c>
      <c r="DB25" s="272">
        <v>0</v>
      </c>
      <c r="DC25" s="272">
        <v>3137927</v>
      </c>
      <c r="DD25" s="272">
        <v>462630</v>
      </c>
      <c r="DE25" s="272">
        <v>2668432</v>
      </c>
      <c r="DF25" s="272">
        <v>0</v>
      </c>
      <c r="DG25" s="272">
        <v>6865</v>
      </c>
      <c r="DH25" s="272">
        <v>25035</v>
      </c>
      <c r="DI25" s="272">
        <v>1003414</v>
      </c>
      <c r="DJ25" s="272">
        <v>137792</v>
      </c>
      <c r="DK25" s="272">
        <v>78607</v>
      </c>
      <c r="DL25" s="272">
        <v>787015</v>
      </c>
      <c r="DM25" s="272">
        <v>880</v>
      </c>
      <c r="DN25" s="272">
        <v>300</v>
      </c>
      <c r="DO25" s="272">
        <v>0</v>
      </c>
      <c r="DP25" s="272">
        <v>0</v>
      </c>
      <c r="DQ25" s="272">
        <v>2298300</v>
      </c>
      <c r="DR25" s="272">
        <v>0</v>
      </c>
      <c r="DS25" s="272">
        <v>0</v>
      </c>
      <c r="DT25" s="272">
        <v>1351646</v>
      </c>
      <c r="DU25" s="272">
        <v>950000</v>
      </c>
      <c r="DV25" s="455">
        <f t="shared" si="11"/>
        <v>0</v>
      </c>
      <c r="DW25" s="272">
        <v>0</v>
      </c>
      <c r="DX25" s="272">
        <v>0</v>
      </c>
      <c r="DY25" s="457" t="s">
        <v>646</v>
      </c>
      <c r="DZ25" s="272">
        <v>192885</v>
      </c>
      <c r="EA25" s="272">
        <v>195868</v>
      </c>
      <c r="EB25" s="272"/>
      <c r="EC25" s="272">
        <v>0</v>
      </c>
      <c r="ED25" s="272">
        <v>20149156</v>
      </c>
      <c r="EF25" s="272">
        <v>451433</v>
      </c>
      <c r="EG25" s="272">
        <v>192927</v>
      </c>
      <c r="EH25" s="272">
        <v>258506</v>
      </c>
      <c r="EI25" s="272">
        <v>115971</v>
      </c>
      <c r="EJ25" s="272">
        <v>370463</v>
      </c>
      <c r="EL25" s="272"/>
      <c r="EM25" s="272">
        <v>75319</v>
      </c>
      <c r="EN25" s="272">
        <v>471907</v>
      </c>
      <c r="EO25" s="272">
        <v>34880</v>
      </c>
      <c r="EP25" s="455">
        <f t="shared" si="12"/>
        <v>2795441</v>
      </c>
      <c r="EQ25" s="272">
        <v>13467851</v>
      </c>
      <c r="ER25" s="272">
        <v>-3285434</v>
      </c>
      <c r="ES25" s="272">
        <v>3598358</v>
      </c>
      <c r="ET25" s="272">
        <v>2650144</v>
      </c>
      <c r="EU25" s="272">
        <v>541052</v>
      </c>
      <c r="EV25" s="272">
        <v>1542549</v>
      </c>
      <c r="EW25" s="455">
        <f t="shared" si="13"/>
        <v>1993772</v>
      </c>
      <c r="EX25" s="272">
        <v>1977906</v>
      </c>
      <c r="EY25" s="272">
        <v>183544</v>
      </c>
      <c r="EZ25" s="272">
        <v>1794362</v>
      </c>
      <c r="FA25" s="272">
        <v>15866</v>
      </c>
      <c r="FB25" s="272"/>
      <c r="FC25" s="272">
        <v>1598495</v>
      </c>
      <c r="FD25" s="272">
        <v>2634586</v>
      </c>
      <c r="FE25" s="272">
        <v>1808592</v>
      </c>
      <c r="FF25" s="272">
        <v>1281331</v>
      </c>
      <c r="FG25" s="455">
        <f t="shared" si="14"/>
        <v>3152804</v>
      </c>
      <c r="FH25" s="272">
        <v>16342947</v>
      </c>
      <c r="FI25" s="384">
        <f t="shared" si="15"/>
        <v>2.2000000000000002</v>
      </c>
      <c r="FJ25" s="272">
        <v>11846621</v>
      </c>
      <c r="FK25" s="272"/>
      <c r="FL25" s="272">
        <v>7465278</v>
      </c>
      <c r="FM25" s="272">
        <v>9417347</v>
      </c>
      <c r="FN25" s="460">
        <v>0.79100000000000004</v>
      </c>
      <c r="FO25" s="388">
        <v>81.900000000000006</v>
      </c>
      <c r="FP25" s="388">
        <v>28.7</v>
      </c>
      <c r="FQ25" s="388">
        <v>4.3</v>
      </c>
      <c r="FR25" s="388">
        <v>11.4</v>
      </c>
      <c r="FS25" s="388">
        <v>12.8</v>
      </c>
      <c r="FT25" s="388">
        <v>18.399999999999999</v>
      </c>
      <c r="FU25" s="388">
        <v>4.5999999999999996</v>
      </c>
      <c r="FV25" s="388">
        <v>8.1999999999999993</v>
      </c>
      <c r="FW25" s="272">
        <v>11058286</v>
      </c>
      <c r="FX25" s="384">
        <f t="shared" si="16"/>
        <v>93.3</v>
      </c>
      <c r="FY25" s="272">
        <v>5303870</v>
      </c>
      <c r="FZ25" s="272">
        <v>2009083</v>
      </c>
      <c r="GA25" s="272">
        <v>401650</v>
      </c>
      <c r="GB25" s="272">
        <v>2893137</v>
      </c>
      <c r="GC25" s="272"/>
      <c r="GD25" s="272">
        <v>2298778</v>
      </c>
      <c r="GE25" s="384">
        <f t="shared" si="17"/>
        <v>19.399999999999999</v>
      </c>
      <c r="GF25" s="388">
        <v>97.9</v>
      </c>
      <c r="GG25" s="388">
        <v>46.7</v>
      </c>
      <c r="GH25" s="388">
        <v>95.9</v>
      </c>
      <c r="GI25" s="272">
        <v>446</v>
      </c>
    </row>
    <row r="26" spans="2:191" x14ac:dyDescent="0.15">
      <c r="B26" s="89" t="s">
        <v>45</v>
      </c>
      <c r="C26" s="272">
        <v>13138531</v>
      </c>
      <c r="D26" s="455">
        <f t="shared" si="0"/>
        <v>7056021</v>
      </c>
      <c r="E26" s="272">
        <v>77646</v>
      </c>
      <c r="F26" s="272">
        <v>6978375</v>
      </c>
      <c r="G26" s="455">
        <f t="shared" si="1"/>
        <v>907512</v>
      </c>
      <c r="H26" s="272">
        <v>111293</v>
      </c>
      <c r="I26" s="272">
        <v>796219</v>
      </c>
      <c r="J26" s="272">
        <v>3675249</v>
      </c>
      <c r="K26" s="272">
        <v>1786629</v>
      </c>
      <c r="L26" s="272">
        <v>1479493</v>
      </c>
      <c r="M26" s="272">
        <v>396291</v>
      </c>
      <c r="N26" s="272">
        <v>410158</v>
      </c>
      <c r="O26" s="272">
        <v>987527</v>
      </c>
      <c r="P26" s="272">
        <v>672167</v>
      </c>
      <c r="Q26" s="272">
        <v>315360</v>
      </c>
      <c r="R26" s="272">
        <v>529876</v>
      </c>
      <c r="S26" s="272">
        <v>345908</v>
      </c>
      <c r="T26" s="455">
        <f t="shared" si="2"/>
        <v>1073717</v>
      </c>
      <c r="U26" s="272">
        <v>741973</v>
      </c>
      <c r="V26" s="272"/>
      <c r="W26" s="272"/>
      <c r="X26" s="272"/>
      <c r="Y26" s="272">
        <v>0</v>
      </c>
      <c r="Z26" s="272">
        <v>103</v>
      </c>
      <c r="AA26" s="272">
        <v>331641</v>
      </c>
      <c r="AB26" s="272"/>
      <c r="AC26" s="272">
        <v>3154664</v>
      </c>
      <c r="AD26" s="272">
        <v>2838247</v>
      </c>
      <c r="AE26" s="272">
        <v>316417</v>
      </c>
      <c r="AF26" s="272">
        <v>26440</v>
      </c>
      <c r="AG26" s="272">
        <v>180591</v>
      </c>
      <c r="AH26" s="455">
        <f t="shared" si="3"/>
        <v>319253</v>
      </c>
      <c r="AI26" s="272">
        <v>291463</v>
      </c>
      <c r="AJ26" s="272">
        <v>27790</v>
      </c>
      <c r="AK26" s="272">
        <v>2174404</v>
      </c>
      <c r="AL26" s="455">
        <f t="shared" si="4"/>
        <v>1313782</v>
      </c>
      <c r="AM26" s="272">
        <v>1012759</v>
      </c>
      <c r="AN26" s="272">
        <v>250022</v>
      </c>
      <c r="AO26" s="272">
        <v>0</v>
      </c>
      <c r="AP26" s="272">
        <v>51001</v>
      </c>
      <c r="AQ26" s="272">
        <v>344107</v>
      </c>
      <c r="AR26" s="272">
        <v>0</v>
      </c>
      <c r="AS26" s="272">
        <v>0</v>
      </c>
      <c r="AT26" s="272">
        <v>1636675</v>
      </c>
      <c r="AU26" s="272">
        <v>501023</v>
      </c>
      <c r="AV26" s="272">
        <v>151133</v>
      </c>
      <c r="AW26" s="272">
        <v>50422</v>
      </c>
      <c r="AX26" s="272">
        <v>1135652</v>
      </c>
      <c r="AY26" s="272">
        <v>347767</v>
      </c>
      <c r="AZ26" s="272">
        <v>762786</v>
      </c>
      <c r="BA26" s="272">
        <v>116220</v>
      </c>
      <c r="BB26" s="272">
        <v>187409</v>
      </c>
      <c r="BC26" s="272">
        <v>2217659</v>
      </c>
      <c r="BD26" s="272">
        <v>0</v>
      </c>
      <c r="BE26" s="272">
        <v>940000</v>
      </c>
      <c r="BF26" s="272">
        <v>1130000</v>
      </c>
      <c r="BG26" s="470">
        <v>0</v>
      </c>
      <c r="BH26" s="272">
        <v>853530</v>
      </c>
      <c r="BI26" s="272">
        <v>851378</v>
      </c>
      <c r="BJ26" s="272">
        <v>263458</v>
      </c>
      <c r="BK26" s="272">
        <v>2200</v>
      </c>
      <c r="BL26" s="272">
        <v>11393</v>
      </c>
      <c r="BM26" s="272">
        <v>0</v>
      </c>
      <c r="BN26" s="272">
        <v>1164650</v>
      </c>
      <c r="BO26" s="455">
        <f t="shared" si="5"/>
        <v>1164650</v>
      </c>
      <c r="BP26" s="455">
        <f t="shared" si="6"/>
        <v>0</v>
      </c>
      <c r="BQ26" s="272"/>
      <c r="BR26" s="272"/>
      <c r="BS26" s="272"/>
      <c r="BT26" s="272">
        <v>0</v>
      </c>
      <c r="BU26" s="272">
        <v>27683643</v>
      </c>
      <c r="BV26" s="272"/>
      <c r="BW26" s="272">
        <v>6483789</v>
      </c>
      <c r="BX26" s="272">
        <v>5153222</v>
      </c>
      <c r="BY26" s="272">
        <v>156615</v>
      </c>
      <c r="BZ26" s="272">
        <v>53860</v>
      </c>
      <c r="CA26" s="272">
        <v>3100947</v>
      </c>
      <c r="CB26" s="272">
        <v>358888</v>
      </c>
      <c r="CC26" s="272">
        <v>548242</v>
      </c>
      <c r="CD26" s="272">
        <v>816259</v>
      </c>
      <c r="CE26" s="272">
        <v>1302315</v>
      </c>
      <c r="CF26" s="272">
        <v>1165</v>
      </c>
      <c r="CG26" s="272">
        <v>74033</v>
      </c>
      <c r="CH26" s="272">
        <v>2565634</v>
      </c>
      <c r="CI26" s="272">
        <v>1718197</v>
      </c>
      <c r="CJ26" s="455">
        <f t="shared" si="7"/>
        <v>847437</v>
      </c>
      <c r="CK26" s="272">
        <v>2735707</v>
      </c>
      <c r="CL26" s="272">
        <v>1348964</v>
      </c>
      <c r="CM26" s="272">
        <v>250737</v>
      </c>
      <c r="CN26" s="272">
        <v>568931</v>
      </c>
      <c r="CO26" s="272">
        <v>264155</v>
      </c>
      <c r="CP26" s="272">
        <v>2959871</v>
      </c>
      <c r="CQ26" s="272">
        <v>1864128</v>
      </c>
      <c r="CR26" s="272">
        <v>665877</v>
      </c>
      <c r="CS26" s="272">
        <v>521465</v>
      </c>
      <c r="CT26" s="455">
        <f t="shared" si="8"/>
        <v>17620</v>
      </c>
      <c r="CU26" s="272">
        <v>17620</v>
      </c>
      <c r="CV26" s="272">
        <v>0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4589275</v>
      </c>
      <c r="DD26" s="272">
        <v>1072309</v>
      </c>
      <c r="DE26" s="272">
        <v>3328955</v>
      </c>
      <c r="DF26" s="272">
        <v>8731</v>
      </c>
      <c r="DG26" s="272">
        <v>179280</v>
      </c>
      <c r="DH26" s="272">
        <v>0</v>
      </c>
      <c r="DI26" s="272">
        <v>1248329</v>
      </c>
      <c r="DJ26" s="272">
        <v>426000</v>
      </c>
      <c r="DK26" s="272">
        <v>186515</v>
      </c>
      <c r="DL26" s="272">
        <v>635814</v>
      </c>
      <c r="DM26" s="272">
        <v>110820</v>
      </c>
      <c r="DN26" s="272">
        <v>0</v>
      </c>
      <c r="DO26" s="272">
        <v>0</v>
      </c>
      <c r="DP26" s="272">
        <v>0</v>
      </c>
      <c r="DQ26" s="272">
        <v>0</v>
      </c>
      <c r="DR26" s="272">
        <v>0</v>
      </c>
      <c r="DS26" s="272">
        <v>0</v>
      </c>
      <c r="DT26" s="272">
        <v>2748809</v>
      </c>
      <c r="DU26" s="272">
        <v>1543197</v>
      </c>
      <c r="DV26" s="455">
        <f t="shared" si="11"/>
        <v>0</v>
      </c>
      <c r="DW26" s="272">
        <v>0</v>
      </c>
      <c r="DX26" s="272">
        <v>0</v>
      </c>
      <c r="DY26" s="457" t="s">
        <v>646</v>
      </c>
      <c r="DZ26" s="272">
        <v>372226</v>
      </c>
      <c r="EA26" s="272">
        <v>288635</v>
      </c>
      <c r="EB26" s="272"/>
      <c r="EC26" s="272">
        <v>0</v>
      </c>
      <c r="ED26" s="272">
        <v>26807336</v>
      </c>
      <c r="EF26" s="272">
        <v>876307</v>
      </c>
      <c r="EG26" s="272">
        <v>1228</v>
      </c>
      <c r="EH26" s="272">
        <v>875079</v>
      </c>
      <c r="EI26" s="272">
        <v>23701</v>
      </c>
      <c r="EJ26" s="272">
        <v>449701</v>
      </c>
      <c r="EL26" s="272"/>
      <c r="EM26" s="272">
        <v>115426</v>
      </c>
      <c r="EN26" s="272">
        <v>2217659</v>
      </c>
      <c r="EO26" s="272">
        <v>85237</v>
      </c>
      <c r="EP26" s="455">
        <f t="shared" si="12"/>
        <v>1350003</v>
      </c>
      <c r="EQ26" s="272">
        <v>17923228</v>
      </c>
      <c r="ER26" s="272">
        <v>-3626459</v>
      </c>
      <c r="ES26" s="272">
        <v>5957765</v>
      </c>
      <c r="ET26" s="272">
        <v>4661721</v>
      </c>
      <c r="EU26" s="272">
        <v>904436</v>
      </c>
      <c r="EV26" s="272">
        <v>2473417</v>
      </c>
      <c r="EW26" s="455">
        <f t="shared" si="13"/>
        <v>2423674</v>
      </c>
      <c r="EX26" s="272">
        <v>2423674</v>
      </c>
      <c r="EY26" s="272">
        <v>202167</v>
      </c>
      <c r="EZ26" s="272">
        <v>2212776</v>
      </c>
      <c r="FA26" s="272">
        <v>0</v>
      </c>
      <c r="FB26" s="272"/>
      <c r="FC26" s="272">
        <v>2429201</v>
      </c>
      <c r="FD26" s="272">
        <v>2835136</v>
      </c>
      <c r="FE26" s="272">
        <v>1864128</v>
      </c>
      <c r="FF26" s="272">
        <v>2657139</v>
      </c>
      <c r="FG26" s="455">
        <f t="shared" si="14"/>
        <v>1030867</v>
      </c>
      <c r="FH26" s="272">
        <v>20711635</v>
      </c>
      <c r="FI26" s="384">
        <f t="shared" si="15"/>
        <v>5.4</v>
      </c>
      <c r="FJ26" s="272">
        <v>16058861</v>
      </c>
      <c r="FK26" s="272"/>
      <c r="FL26" s="272">
        <v>9965348</v>
      </c>
      <c r="FM26" s="272">
        <v>12826356</v>
      </c>
      <c r="FN26" s="460">
        <v>0.77300000000000002</v>
      </c>
      <c r="FO26" s="388">
        <v>87.1</v>
      </c>
      <c r="FP26" s="388">
        <v>35.4</v>
      </c>
      <c r="FQ26" s="388">
        <v>5.4</v>
      </c>
      <c r="FR26" s="388">
        <v>14.7</v>
      </c>
      <c r="FS26" s="388">
        <v>12.2</v>
      </c>
      <c r="FT26" s="388">
        <v>14.3</v>
      </c>
      <c r="FU26" s="388">
        <v>3.7</v>
      </c>
      <c r="FV26" s="388">
        <v>10.199999999999999</v>
      </c>
      <c r="FW26" s="272">
        <v>13559588</v>
      </c>
      <c r="FX26" s="384">
        <f t="shared" si="16"/>
        <v>84.4</v>
      </c>
      <c r="FY26" s="272">
        <v>6034655</v>
      </c>
      <c r="FZ26" s="272">
        <v>426000</v>
      </c>
      <c r="GA26" s="272">
        <v>941006</v>
      </c>
      <c r="GB26" s="272">
        <v>4667649</v>
      </c>
      <c r="GC26" s="272"/>
      <c r="GD26" s="272">
        <v>9148708</v>
      </c>
      <c r="GE26" s="384">
        <f t="shared" si="17"/>
        <v>57</v>
      </c>
      <c r="GF26" s="388">
        <v>97.8</v>
      </c>
      <c r="GG26" s="388">
        <v>45.4</v>
      </c>
      <c r="GH26" s="388">
        <v>96.3</v>
      </c>
      <c r="GI26" s="272">
        <v>725</v>
      </c>
    </row>
    <row r="27" spans="2:191" x14ac:dyDescent="0.15">
      <c r="B27" s="89" t="s">
        <v>47</v>
      </c>
      <c r="C27" s="272">
        <v>24676518</v>
      </c>
      <c r="D27" s="455">
        <f t="shared" si="0"/>
        <v>6551207</v>
      </c>
      <c r="E27" s="272">
        <v>104259</v>
      </c>
      <c r="F27" s="272">
        <v>6446948</v>
      </c>
      <c r="G27" s="455">
        <f t="shared" si="1"/>
        <v>7009172</v>
      </c>
      <c r="H27" s="272">
        <v>323134</v>
      </c>
      <c r="I27" s="272">
        <v>6686038</v>
      </c>
      <c r="J27" s="272">
        <v>8362464</v>
      </c>
      <c r="K27" s="272">
        <v>4005798</v>
      </c>
      <c r="L27" s="272">
        <v>2504494</v>
      </c>
      <c r="M27" s="272">
        <v>1779292</v>
      </c>
      <c r="N27" s="272">
        <v>872404</v>
      </c>
      <c r="O27" s="272">
        <v>1782382</v>
      </c>
      <c r="P27" s="272">
        <v>1213672</v>
      </c>
      <c r="Q27" s="272">
        <v>568710</v>
      </c>
      <c r="R27" s="272">
        <v>836128</v>
      </c>
      <c r="S27" s="272">
        <v>634662</v>
      </c>
      <c r="T27" s="455">
        <f t="shared" si="2"/>
        <v>1127970</v>
      </c>
      <c r="U27" s="272">
        <v>762924</v>
      </c>
      <c r="V27" s="272"/>
      <c r="W27" s="272"/>
      <c r="X27" s="272"/>
      <c r="Y27" s="272">
        <v>0</v>
      </c>
      <c r="Z27" s="272">
        <v>2153</v>
      </c>
      <c r="AA27" s="272">
        <v>362893</v>
      </c>
      <c r="AB27" s="272"/>
      <c r="AC27" s="272">
        <v>149169</v>
      </c>
      <c r="AD27" s="272">
        <v>0</v>
      </c>
      <c r="AE27" s="272">
        <v>149169</v>
      </c>
      <c r="AF27" s="272">
        <v>28876</v>
      </c>
      <c r="AG27" s="272">
        <v>158665</v>
      </c>
      <c r="AH27" s="455">
        <f t="shared" si="3"/>
        <v>399394</v>
      </c>
      <c r="AI27" s="272">
        <v>238095</v>
      </c>
      <c r="AJ27" s="272">
        <v>161299</v>
      </c>
      <c r="AK27" s="272">
        <v>2900835</v>
      </c>
      <c r="AL27" s="455">
        <f t="shared" si="4"/>
        <v>2148081</v>
      </c>
      <c r="AM27" s="272">
        <v>1801855</v>
      </c>
      <c r="AN27" s="272">
        <v>281515</v>
      </c>
      <c r="AO27" s="272">
        <v>0</v>
      </c>
      <c r="AP27" s="272">
        <v>64711</v>
      </c>
      <c r="AQ27" s="272">
        <v>126428</v>
      </c>
      <c r="AR27" s="272">
        <v>0</v>
      </c>
      <c r="AS27" s="272">
        <v>0</v>
      </c>
      <c r="AT27" s="272">
        <v>1274764</v>
      </c>
      <c r="AU27" s="272">
        <v>485012</v>
      </c>
      <c r="AV27" s="272">
        <v>140757</v>
      </c>
      <c r="AW27" s="272">
        <v>1084</v>
      </c>
      <c r="AX27" s="272">
        <v>789752</v>
      </c>
      <c r="AY27" s="272">
        <v>102100</v>
      </c>
      <c r="AZ27" s="272">
        <v>1196571</v>
      </c>
      <c r="BA27" s="272">
        <v>14605</v>
      </c>
      <c r="BB27" s="272">
        <v>177607</v>
      </c>
      <c r="BC27" s="272">
        <v>1150734</v>
      </c>
      <c r="BD27" s="272">
        <v>0</v>
      </c>
      <c r="BE27" s="272">
        <v>0</v>
      </c>
      <c r="BF27" s="272">
        <v>1150734</v>
      </c>
      <c r="BG27" s="272">
        <v>0</v>
      </c>
      <c r="BH27" s="272">
        <v>844599</v>
      </c>
      <c r="BI27" s="272">
        <v>777646</v>
      </c>
      <c r="BJ27" s="272">
        <v>645181</v>
      </c>
      <c r="BK27" s="272">
        <v>108700</v>
      </c>
      <c r="BL27" s="272">
        <v>0</v>
      </c>
      <c r="BM27" s="272">
        <v>0</v>
      </c>
      <c r="BN27" s="272">
        <v>2389237</v>
      </c>
      <c r="BO27" s="455">
        <f t="shared" si="5"/>
        <v>2389237</v>
      </c>
      <c r="BP27" s="455">
        <f t="shared" si="6"/>
        <v>0</v>
      </c>
      <c r="BQ27" s="272"/>
      <c r="BR27" s="272"/>
      <c r="BS27" s="272"/>
      <c r="BT27" s="272">
        <v>0</v>
      </c>
      <c r="BU27" s="272">
        <v>37956248</v>
      </c>
      <c r="BV27" s="272"/>
      <c r="BW27" s="272">
        <v>11450422</v>
      </c>
      <c r="BX27" s="272">
        <v>9204530</v>
      </c>
      <c r="BY27" s="272">
        <v>366727</v>
      </c>
      <c r="BZ27" s="272">
        <v>46472</v>
      </c>
      <c r="CA27" s="272">
        <v>4160673</v>
      </c>
      <c r="CB27" s="272">
        <v>438973</v>
      </c>
      <c r="CC27" s="272">
        <v>474687</v>
      </c>
      <c r="CD27" s="272">
        <v>798378</v>
      </c>
      <c r="CE27" s="272">
        <v>2345501</v>
      </c>
      <c r="CF27" s="272">
        <v>43</v>
      </c>
      <c r="CG27" s="272">
        <v>102151</v>
      </c>
      <c r="CH27" s="272">
        <v>2454482</v>
      </c>
      <c r="CI27" s="272">
        <v>1318938</v>
      </c>
      <c r="CJ27" s="455">
        <f t="shared" si="7"/>
        <v>1135544</v>
      </c>
      <c r="CK27" s="272">
        <v>2589462</v>
      </c>
      <c r="CL27" s="272">
        <v>1263722</v>
      </c>
      <c r="CM27" s="272">
        <v>61504</v>
      </c>
      <c r="CN27" s="272">
        <v>924866</v>
      </c>
      <c r="CO27" s="272">
        <v>518332</v>
      </c>
      <c r="CP27" s="272">
        <v>2787704</v>
      </c>
      <c r="CQ27" s="272">
        <v>1677291</v>
      </c>
      <c r="CR27" s="272">
        <v>494666</v>
      </c>
      <c r="CS27" s="272">
        <v>323280</v>
      </c>
      <c r="CT27" s="455">
        <f t="shared" si="8"/>
        <v>1513</v>
      </c>
      <c r="CU27" s="272">
        <v>1513</v>
      </c>
      <c r="CV27" s="272">
        <v>0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6368461</v>
      </c>
      <c r="DD27" s="272">
        <v>1560439</v>
      </c>
      <c r="DE27" s="272">
        <v>4715197</v>
      </c>
      <c r="DF27" s="272">
        <v>0</v>
      </c>
      <c r="DG27" s="272">
        <v>0</v>
      </c>
      <c r="DH27" s="272">
        <v>0</v>
      </c>
      <c r="DI27" s="272">
        <v>4035397</v>
      </c>
      <c r="DJ27" s="272">
        <v>258304</v>
      </c>
      <c r="DK27" s="272">
        <v>446659</v>
      </c>
      <c r="DL27" s="272">
        <v>3330434</v>
      </c>
      <c r="DM27" s="272">
        <v>1010</v>
      </c>
      <c r="DN27" s="272">
        <v>0</v>
      </c>
      <c r="DO27" s="272">
        <v>0</v>
      </c>
      <c r="DP27" s="272">
        <v>0</v>
      </c>
      <c r="DQ27" s="272">
        <v>122500</v>
      </c>
      <c r="DR27" s="272">
        <v>0</v>
      </c>
      <c r="DS27" s="272">
        <v>0</v>
      </c>
      <c r="DT27" s="272">
        <v>2162374</v>
      </c>
      <c r="DU27" s="272">
        <v>1034000</v>
      </c>
      <c r="DV27" s="455">
        <f t="shared" si="11"/>
        <v>0</v>
      </c>
      <c r="DW27" s="272">
        <v>0</v>
      </c>
      <c r="DX27" s="272">
        <v>0</v>
      </c>
      <c r="DY27" s="457" t="s">
        <v>646</v>
      </c>
      <c r="DZ27" s="272">
        <v>843766</v>
      </c>
      <c r="EA27" s="272">
        <v>280524</v>
      </c>
      <c r="EB27" s="272"/>
      <c r="EC27" s="272">
        <v>0</v>
      </c>
      <c r="ED27" s="272">
        <v>36650817</v>
      </c>
      <c r="EF27" s="272">
        <v>1305431</v>
      </c>
      <c r="EG27" s="272">
        <v>434378</v>
      </c>
      <c r="EH27" s="272">
        <v>871053</v>
      </c>
      <c r="EI27" s="272">
        <v>93407</v>
      </c>
      <c r="EJ27" s="272">
        <v>351711</v>
      </c>
      <c r="EL27" s="272"/>
      <c r="EM27" s="272">
        <v>140693</v>
      </c>
      <c r="EN27" s="272">
        <v>611292</v>
      </c>
      <c r="EO27" s="272">
        <v>31644</v>
      </c>
      <c r="EP27" s="455">
        <f t="shared" si="12"/>
        <v>1486721</v>
      </c>
      <c r="EQ27" s="272">
        <v>26818661</v>
      </c>
      <c r="ER27" s="272">
        <v>-2100781</v>
      </c>
      <c r="ES27" s="272">
        <v>10739407</v>
      </c>
      <c r="ET27" s="272">
        <v>8511017</v>
      </c>
      <c r="EU27" s="272">
        <v>1156001</v>
      </c>
      <c r="EV27" s="272">
        <v>2446217</v>
      </c>
      <c r="EW27" s="455">
        <f t="shared" si="13"/>
        <v>3167883</v>
      </c>
      <c r="EX27" s="272">
        <v>3167883</v>
      </c>
      <c r="EY27" s="272">
        <v>189890</v>
      </c>
      <c r="EZ27" s="272">
        <v>2925188</v>
      </c>
      <c r="FA27" s="272">
        <v>0</v>
      </c>
      <c r="FB27" s="272"/>
      <c r="FC27" s="272">
        <v>2201895</v>
      </c>
      <c r="FD27" s="272">
        <v>2627009</v>
      </c>
      <c r="FE27" s="272">
        <v>1677291</v>
      </c>
      <c r="FF27" s="272">
        <v>1959185</v>
      </c>
      <c r="FG27" s="455">
        <f t="shared" si="14"/>
        <v>3359769</v>
      </c>
      <c r="FH27" s="272">
        <v>27657366</v>
      </c>
      <c r="FI27" s="384">
        <f t="shared" si="15"/>
        <v>3.7</v>
      </c>
      <c r="FJ27" s="272">
        <v>23709367</v>
      </c>
      <c r="FK27" s="272"/>
      <c r="FL27" s="272">
        <v>17836695</v>
      </c>
      <c r="FM27" s="272">
        <v>15806260</v>
      </c>
      <c r="FN27" s="460">
        <v>1.1359999999999999</v>
      </c>
      <c r="FO27" s="388">
        <v>80.099999999999994</v>
      </c>
      <c r="FP27" s="388">
        <v>42.3</v>
      </c>
      <c r="FQ27" s="388">
        <v>4.5999999999999996</v>
      </c>
      <c r="FR27" s="388">
        <v>9.3000000000000007</v>
      </c>
      <c r="FS27" s="388">
        <v>8</v>
      </c>
      <c r="FT27" s="388">
        <v>9.3000000000000007</v>
      </c>
      <c r="FU27" s="388">
        <v>4.5999999999999996</v>
      </c>
      <c r="FV27" s="388">
        <v>6.3</v>
      </c>
      <c r="FW27" s="272">
        <v>20965404</v>
      </c>
      <c r="FX27" s="384">
        <f t="shared" si="16"/>
        <v>88.4</v>
      </c>
      <c r="FY27" s="272">
        <v>20387747</v>
      </c>
      <c r="FZ27" s="272">
        <v>4142458</v>
      </c>
      <c r="GA27" s="272">
        <v>1446659</v>
      </c>
      <c r="GB27" s="272">
        <v>14798630</v>
      </c>
      <c r="GC27" s="272"/>
      <c r="GD27" s="272">
        <v>5454096</v>
      </c>
      <c r="GE27" s="384">
        <f t="shared" si="17"/>
        <v>23</v>
      </c>
      <c r="GF27" s="388">
        <v>98.3</v>
      </c>
      <c r="GG27" s="388">
        <v>31.3</v>
      </c>
      <c r="GH27" s="388">
        <v>95.7</v>
      </c>
      <c r="GI27" s="272">
        <v>1244</v>
      </c>
    </row>
    <row r="28" spans="2:191" x14ac:dyDescent="0.15">
      <c r="B28" s="89" t="s">
        <v>49</v>
      </c>
      <c r="C28" s="272">
        <v>17255581</v>
      </c>
      <c r="D28" s="455">
        <f t="shared" si="0"/>
        <v>4858117</v>
      </c>
      <c r="E28" s="272">
        <v>66071</v>
      </c>
      <c r="F28" s="272">
        <v>4792046</v>
      </c>
      <c r="G28" s="455">
        <f t="shared" si="1"/>
        <v>3614920</v>
      </c>
      <c r="H28" s="272">
        <v>274373</v>
      </c>
      <c r="I28" s="272">
        <v>3340547</v>
      </c>
      <c r="J28" s="272">
        <v>6799314</v>
      </c>
      <c r="K28" s="272">
        <v>3304655</v>
      </c>
      <c r="L28" s="272">
        <v>1989538</v>
      </c>
      <c r="M28" s="272">
        <v>1449998</v>
      </c>
      <c r="N28" s="272">
        <v>474452</v>
      </c>
      <c r="O28" s="272">
        <v>1379871</v>
      </c>
      <c r="P28" s="272">
        <v>933483</v>
      </c>
      <c r="Q28" s="272">
        <v>446388</v>
      </c>
      <c r="R28" s="272">
        <v>564210</v>
      </c>
      <c r="S28" s="272">
        <v>415502</v>
      </c>
      <c r="T28" s="455">
        <f t="shared" si="2"/>
        <v>805346</v>
      </c>
      <c r="U28" s="272">
        <v>530826</v>
      </c>
      <c r="V28" s="272"/>
      <c r="W28" s="272"/>
      <c r="X28" s="272"/>
      <c r="Y28" s="272">
        <v>6610</v>
      </c>
      <c r="Z28" s="272">
        <v>436</v>
      </c>
      <c r="AA28" s="272">
        <v>267474</v>
      </c>
      <c r="AB28" s="272"/>
      <c r="AC28" s="272">
        <v>275388</v>
      </c>
      <c r="AD28" s="272">
        <v>0</v>
      </c>
      <c r="AE28" s="272">
        <v>275388</v>
      </c>
      <c r="AF28" s="272">
        <v>24548</v>
      </c>
      <c r="AG28" s="272">
        <v>165651</v>
      </c>
      <c r="AH28" s="455">
        <f t="shared" si="3"/>
        <v>410653</v>
      </c>
      <c r="AI28" s="272">
        <v>282666</v>
      </c>
      <c r="AJ28" s="272">
        <v>127987</v>
      </c>
      <c r="AK28" s="272">
        <v>2331517</v>
      </c>
      <c r="AL28" s="455">
        <f t="shared" si="4"/>
        <v>1057179</v>
      </c>
      <c r="AM28" s="272">
        <v>674227</v>
      </c>
      <c r="AN28" s="272">
        <v>304689</v>
      </c>
      <c r="AO28" s="272">
        <v>0</v>
      </c>
      <c r="AP28" s="272">
        <v>78263</v>
      </c>
      <c r="AQ28" s="272">
        <v>913310</v>
      </c>
      <c r="AR28" s="272">
        <v>0</v>
      </c>
      <c r="AS28" s="272">
        <v>0</v>
      </c>
      <c r="AT28" s="272">
        <v>844807</v>
      </c>
      <c r="AU28" s="272">
        <v>221989</v>
      </c>
      <c r="AV28" s="272">
        <v>118708</v>
      </c>
      <c r="AW28" s="272">
        <v>4500</v>
      </c>
      <c r="AX28" s="272">
        <v>622818</v>
      </c>
      <c r="AY28" s="272">
        <v>225243</v>
      </c>
      <c r="AZ28" s="272">
        <v>788212</v>
      </c>
      <c r="BA28" s="272">
        <v>101600</v>
      </c>
      <c r="BB28" s="272">
        <v>76524</v>
      </c>
      <c r="BC28" s="272">
        <v>758482</v>
      </c>
      <c r="BD28" s="272">
        <v>600000</v>
      </c>
      <c r="BE28" s="272">
        <v>142895</v>
      </c>
      <c r="BF28" s="272">
        <v>7002</v>
      </c>
      <c r="BG28" s="272">
        <v>0</v>
      </c>
      <c r="BH28" s="272">
        <v>713248</v>
      </c>
      <c r="BI28" s="272">
        <v>669413</v>
      </c>
      <c r="BJ28" s="272">
        <v>632507</v>
      </c>
      <c r="BK28" s="272">
        <v>153637</v>
      </c>
      <c r="BL28" s="272">
        <v>49500</v>
      </c>
      <c r="BM28" s="272">
        <v>0</v>
      </c>
      <c r="BN28" s="272">
        <v>2777800</v>
      </c>
      <c r="BO28" s="455">
        <f t="shared" si="5"/>
        <v>2777800</v>
      </c>
      <c r="BP28" s="455">
        <f t="shared" si="6"/>
        <v>0</v>
      </c>
      <c r="BQ28" s="272"/>
      <c r="BR28" s="272"/>
      <c r="BS28" s="272"/>
      <c r="BT28" s="272">
        <v>0</v>
      </c>
      <c r="BU28" s="272">
        <v>28424474</v>
      </c>
      <c r="BV28" s="272"/>
      <c r="BW28" s="272">
        <v>6955927</v>
      </c>
      <c r="BX28" s="272">
        <v>5371568</v>
      </c>
      <c r="BY28" s="272">
        <v>257534</v>
      </c>
      <c r="BZ28" s="272">
        <v>107728</v>
      </c>
      <c r="CA28" s="272">
        <v>1955667</v>
      </c>
      <c r="CB28" s="272">
        <v>172107</v>
      </c>
      <c r="CC28" s="272">
        <v>351608</v>
      </c>
      <c r="CD28" s="272">
        <v>541812</v>
      </c>
      <c r="CE28" s="272">
        <v>864205</v>
      </c>
      <c r="CF28" s="272">
        <v>0</v>
      </c>
      <c r="CG28" s="272">
        <v>25935</v>
      </c>
      <c r="CH28" s="272">
        <v>2565164</v>
      </c>
      <c r="CI28" s="272">
        <v>1298889</v>
      </c>
      <c r="CJ28" s="455">
        <f t="shared" si="7"/>
        <v>1266275</v>
      </c>
      <c r="CK28" s="272">
        <v>2558737</v>
      </c>
      <c r="CL28" s="272">
        <v>1218498</v>
      </c>
      <c r="CM28" s="272">
        <v>176374</v>
      </c>
      <c r="CN28" s="272">
        <v>713036</v>
      </c>
      <c r="CO28" s="272">
        <v>501851</v>
      </c>
      <c r="CP28" s="272">
        <v>1383636</v>
      </c>
      <c r="CQ28" s="272">
        <v>12675</v>
      </c>
      <c r="CR28" s="272">
        <v>420324</v>
      </c>
      <c r="CS28" s="272">
        <v>323828</v>
      </c>
      <c r="CT28" s="455">
        <f t="shared" si="8"/>
        <v>7536</v>
      </c>
      <c r="CU28" s="272">
        <v>0</v>
      </c>
      <c r="CV28" s="272">
        <v>7536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6358000</v>
      </c>
      <c r="DD28" s="272">
        <v>1813403</v>
      </c>
      <c r="DE28" s="272">
        <v>4463954</v>
      </c>
      <c r="DF28" s="272">
        <v>0</v>
      </c>
      <c r="DG28" s="272">
        <v>80643</v>
      </c>
      <c r="DH28" s="272">
        <v>0</v>
      </c>
      <c r="DI28" s="272">
        <v>1282811</v>
      </c>
      <c r="DJ28" s="272">
        <v>620977</v>
      </c>
      <c r="DK28" s="272">
        <v>298404</v>
      </c>
      <c r="DL28" s="272">
        <v>363430</v>
      </c>
      <c r="DM28" s="272">
        <v>860</v>
      </c>
      <c r="DN28" s="272">
        <v>0</v>
      </c>
      <c r="DO28" s="272">
        <v>0</v>
      </c>
      <c r="DP28" s="272">
        <v>0</v>
      </c>
      <c r="DQ28" s="272">
        <v>143060</v>
      </c>
      <c r="DR28" s="272">
        <v>0</v>
      </c>
      <c r="DS28" s="272">
        <v>0</v>
      </c>
      <c r="DT28" s="272">
        <v>3326589</v>
      </c>
      <c r="DU28" s="272">
        <v>2144495</v>
      </c>
      <c r="DV28" s="455">
        <f t="shared" si="11"/>
        <v>0</v>
      </c>
      <c r="DW28" s="272">
        <v>0</v>
      </c>
      <c r="DX28" s="272">
        <v>0</v>
      </c>
      <c r="DY28" s="457" t="s">
        <v>646</v>
      </c>
      <c r="DZ28" s="272">
        <v>409807</v>
      </c>
      <c r="EA28" s="272">
        <v>180530</v>
      </c>
      <c r="EB28" s="272"/>
      <c r="EC28" s="272">
        <v>0</v>
      </c>
      <c r="ED28" s="272">
        <v>27032302</v>
      </c>
      <c r="EF28" s="272">
        <v>1392172</v>
      </c>
      <c r="EG28" s="272">
        <v>727740</v>
      </c>
      <c r="EH28" s="272">
        <v>664432</v>
      </c>
      <c r="EI28" s="272">
        <v>-4981</v>
      </c>
      <c r="EJ28" s="272">
        <v>15996</v>
      </c>
      <c r="EL28" s="272"/>
      <c r="EM28" s="272">
        <v>85975</v>
      </c>
      <c r="EN28" s="272">
        <v>751480</v>
      </c>
      <c r="EO28" s="272">
        <v>106028</v>
      </c>
      <c r="EP28" s="455">
        <f t="shared" si="12"/>
        <v>1353796</v>
      </c>
      <c r="EQ28" s="272">
        <v>18925073</v>
      </c>
      <c r="ER28" s="272">
        <v>-2186756</v>
      </c>
      <c r="ES28" s="272">
        <v>6458312</v>
      </c>
      <c r="ET28" s="272">
        <v>4898549</v>
      </c>
      <c r="EU28" s="272">
        <v>532362</v>
      </c>
      <c r="EV28" s="272">
        <v>2564988</v>
      </c>
      <c r="EW28" s="455">
        <f t="shared" si="13"/>
        <v>2292977</v>
      </c>
      <c r="EX28" s="272">
        <v>2292977</v>
      </c>
      <c r="EY28" s="272">
        <v>159242</v>
      </c>
      <c r="EZ28" s="272">
        <v>2133735</v>
      </c>
      <c r="FA28" s="272">
        <v>0</v>
      </c>
      <c r="FB28" s="272"/>
      <c r="FC28" s="272">
        <v>2095534</v>
      </c>
      <c r="FD28" s="272">
        <v>1300749</v>
      </c>
      <c r="FE28" s="272">
        <v>12675</v>
      </c>
      <c r="FF28" s="272">
        <v>3282662</v>
      </c>
      <c r="FG28" s="455">
        <f t="shared" si="14"/>
        <v>1220933</v>
      </c>
      <c r="FH28" s="272">
        <v>19748517</v>
      </c>
      <c r="FI28" s="384">
        <f t="shared" si="15"/>
        <v>4.2</v>
      </c>
      <c r="FJ28" s="272">
        <v>15909076</v>
      </c>
      <c r="FK28" s="272"/>
      <c r="FL28" s="272">
        <v>11973567</v>
      </c>
      <c r="FM28" s="272">
        <v>11691276</v>
      </c>
      <c r="FN28" s="460">
        <v>1.052</v>
      </c>
      <c r="FO28" s="388">
        <v>84.2</v>
      </c>
      <c r="FP28" s="388">
        <v>36.5</v>
      </c>
      <c r="FQ28" s="388">
        <v>3</v>
      </c>
      <c r="FR28" s="388">
        <v>14.7</v>
      </c>
      <c r="FS28" s="388">
        <v>11.6</v>
      </c>
      <c r="FT28" s="388">
        <v>6.3</v>
      </c>
      <c r="FU28" s="388">
        <v>9.4</v>
      </c>
      <c r="FV28" s="388">
        <v>9.6</v>
      </c>
      <c r="FW28" s="272">
        <v>19872109</v>
      </c>
      <c r="FX28" s="384">
        <f t="shared" si="16"/>
        <v>124.9</v>
      </c>
      <c r="FY28" s="272">
        <v>10349512</v>
      </c>
      <c r="FZ28" s="272">
        <v>4131567</v>
      </c>
      <c r="GA28" s="272">
        <v>1286640</v>
      </c>
      <c r="GB28" s="272">
        <v>4931305</v>
      </c>
      <c r="GC28" s="272"/>
      <c r="GD28" s="272">
        <v>4999346</v>
      </c>
      <c r="GE28" s="384">
        <f t="shared" si="17"/>
        <v>31.4</v>
      </c>
      <c r="GF28" s="388">
        <v>98.7</v>
      </c>
      <c r="GG28" s="388">
        <v>39.200000000000003</v>
      </c>
      <c r="GH28" s="388">
        <v>97.4</v>
      </c>
      <c r="GI28" s="272">
        <v>735</v>
      </c>
    </row>
    <row r="29" spans="2:191" x14ac:dyDescent="0.15">
      <c r="B29" s="89" t="s">
        <v>51</v>
      </c>
      <c r="C29" s="272">
        <v>14726909</v>
      </c>
      <c r="D29" s="455">
        <f t="shared" si="0"/>
        <v>3915703</v>
      </c>
      <c r="E29" s="272">
        <v>45106</v>
      </c>
      <c r="F29" s="272">
        <v>3870597</v>
      </c>
      <c r="G29" s="455">
        <f t="shared" si="1"/>
        <v>1570894</v>
      </c>
      <c r="H29" s="272">
        <v>121208</v>
      </c>
      <c r="I29" s="272">
        <v>1449686</v>
      </c>
      <c r="J29" s="272">
        <v>7401407</v>
      </c>
      <c r="K29" s="272">
        <v>4503207</v>
      </c>
      <c r="L29" s="272">
        <v>1064719</v>
      </c>
      <c r="M29" s="272">
        <v>1800696</v>
      </c>
      <c r="N29" s="272">
        <v>355697</v>
      </c>
      <c r="O29" s="272">
        <v>1444518</v>
      </c>
      <c r="P29" s="272">
        <v>1202362</v>
      </c>
      <c r="Q29" s="272">
        <v>242156</v>
      </c>
      <c r="R29" s="272">
        <v>445398</v>
      </c>
      <c r="S29" s="272">
        <v>285964</v>
      </c>
      <c r="T29" s="455">
        <f t="shared" si="2"/>
        <v>631477</v>
      </c>
      <c r="U29" s="272">
        <v>437095</v>
      </c>
      <c r="V29" s="272"/>
      <c r="W29" s="272"/>
      <c r="X29" s="272"/>
      <c r="Y29" s="272">
        <v>0</v>
      </c>
      <c r="Z29" s="272">
        <v>11055</v>
      </c>
      <c r="AA29" s="272">
        <v>183327</v>
      </c>
      <c r="AB29" s="272"/>
      <c r="AC29" s="272">
        <v>50058</v>
      </c>
      <c r="AD29" s="272">
        <v>0</v>
      </c>
      <c r="AE29" s="272">
        <v>50058</v>
      </c>
      <c r="AF29" s="272">
        <v>14170</v>
      </c>
      <c r="AG29" s="272">
        <v>64303</v>
      </c>
      <c r="AH29" s="455">
        <f t="shared" si="3"/>
        <v>262155</v>
      </c>
      <c r="AI29" s="272">
        <v>246903</v>
      </c>
      <c r="AJ29" s="272">
        <v>15252</v>
      </c>
      <c r="AK29" s="272">
        <v>1269291</v>
      </c>
      <c r="AL29" s="455">
        <f t="shared" si="4"/>
        <v>844951</v>
      </c>
      <c r="AM29" s="272">
        <v>639131</v>
      </c>
      <c r="AN29" s="272">
        <v>115726</v>
      </c>
      <c r="AO29" s="272">
        <v>0</v>
      </c>
      <c r="AP29" s="272">
        <v>90094</v>
      </c>
      <c r="AQ29" s="272">
        <v>62829</v>
      </c>
      <c r="AR29" s="272">
        <v>0</v>
      </c>
      <c r="AS29" s="272">
        <v>0</v>
      </c>
      <c r="AT29" s="272">
        <v>810612</v>
      </c>
      <c r="AU29" s="272">
        <v>310722</v>
      </c>
      <c r="AV29" s="272">
        <v>59912</v>
      </c>
      <c r="AW29" s="272">
        <v>35413</v>
      </c>
      <c r="AX29" s="272">
        <v>499890</v>
      </c>
      <c r="AY29" s="272">
        <v>40740</v>
      </c>
      <c r="AZ29" s="272">
        <v>1059115</v>
      </c>
      <c r="BA29" s="272">
        <v>61</v>
      </c>
      <c r="BB29" s="272">
        <v>81762</v>
      </c>
      <c r="BC29" s="272">
        <v>708108</v>
      </c>
      <c r="BD29" s="272">
        <v>0</v>
      </c>
      <c r="BE29" s="272">
        <v>0</v>
      </c>
      <c r="BF29" s="272">
        <v>668500</v>
      </c>
      <c r="BG29" s="272">
        <v>0</v>
      </c>
      <c r="BH29" s="272">
        <v>602196</v>
      </c>
      <c r="BI29" s="272">
        <v>415196</v>
      </c>
      <c r="BJ29" s="272">
        <v>446612</v>
      </c>
      <c r="BK29" s="272">
        <v>53048</v>
      </c>
      <c r="BL29" s="272">
        <v>0</v>
      </c>
      <c r="BM29" s="272">
        <v>0</v>
      </c>
      <c r="BN29" s="272">
        <v>320000</v>
      </c>
      <c r="BO29" s="455">
        <f t="shared" si="5"/>
        <v>320000</v>
      </c>
      <c r="BP29" s="455">
        <f t="shared" si="6"/>
        <v>0</v>
      </c>
      <c r="BQ29" s="272"/>
      <c r="BR29" s="272"/>
      <c r="BS29" s="272"/>
      <c r="BT29" s="272">
        <v>0</v>
      </c>
      <c r="BU29" s="272">
        <v>21492166</v>
      </c>
      <c r="BV29" s="272"/>
      <c r="BW29" s="272">
        <v>5508053</v>
      </c>
      <c r="BX29" s="272">
        <v>4111756</v>
      </c>
      <c r="BY29" s="272">
        <v>361183</v>
      </c>
      <c r="BZ29" s="272">
        <v>93777</v>
      </c>
      <c r="CA29" s="272">
        <v>1814532</v>
      </c>
      <c r="CB29" s="272">
        <v>205247</v>
      </c>
      <c r="CC29" s="272">
        <v>415128</v>
      </c>
      <c r="CD29" s="272">
        <v>364740</v>
      </c>
      <c r="CE29" s="272">
        <v>804508</v>
      </c>
      <c r="CF29" s="272">
        <v>0</v>
      </c>
      <c r="CG29" s="272">
        <v>24909</v>
      </c>
      <c r="CH29" s="272">
        <v>526353</v>
      </c>
      <c r="CI29" s="272">
        <v>262899</v>
      </c>
      <c r="CJ29" s="455">
        <f t="shared" si="7"/>
        <v>263454</v>
      </c>
      <c r="CK29" s="272">
        <v>1833749</v>
      </c>
      <c r="CL29" s="272">
        <v>1009538</v>
      </c>
      <c r="CM29" s="272">
        <v>48669</v>
      </c>
      <c r="CN29" s="272">
        <v>457622</v>
      </c>
      <c r="CO29" s="272">
        <v>89609</v>
      </c>
      <c r="CP29" s="272">
        <v>2028046</v>
      </c>
      <c r="CQ29" s="272">
        <v>1369581</v>
      </c>
      <c r="CR29" s="272">
        <v>234001</v>
      </c>
      <c r="CS29" s="272">
        <v>234001</v>
      </c>
      <c r="CT29" s="455">
        <f t="shared" si="8"/>
        <v>44527</v>
      </c>
      <c r="CU29" s="272">
        <v>8140</v>
      </c>
      <c r="CV29" s="272">
        <v>36387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5497353</v>
      </c>
      <c r="DD29" s="272">
        <v>224292</v>
      </c>
      <c r="DE29" s="272">
        <v>5273061</v>
      </c>
      <c r="DF29" s="272">
        <v>0</v>
      </c>
      <c r="DG29" s="272">
        <v>0</v>
      </c>
      <c r="DH29" s="272">
        <v>0</v>
      </c>
      <c r="DI29" s="272">
        <v>1538345</v>
      </c>
      <c r="DJ29" s="272">
        <v>525072</v>
      </c>
      <c r="DK29" s="272">
        <v>0</v>
      </c>
      <c r="DL29" s="272">
        <v>1013273</v>
      </c>
      <c r="DM29" s="272">
        <v>530</v>
      </c>
      <c r="DN29" s="272">
        <v>0</v>
      </c>
      <c r="DO29" s="272">
        <v>0</v>
      </c>
      <c r="DP29" s="272">
        <v>0</v>
      </c>
      <c r="DQ29" s="272">
        <v>50000</v>
      </c>
      <c r="DR29" s="272">
        <v>0</v>
      </c>
      <c r="DS29" s="272">
        <v>0</v>
      </c>
      <c r="DT29" s="272">
        <v>1715168</v>
      </c>
      <c r="DU29" s="272">
        <v>1107200</v>
      </c>
      <c r="DV29" s="455">
        <f t="shared" si="11"/>
        <v>0</v>
      </c>
      <c r="DW29" s="272">
        <v>0</v>
      </c>
      <c r="DX29" s="272">
        <v>0</v>
      </c>
      <c r="DY29" s="457" t="s">
        <v>646</v>
      </c>
      <c r="DZ29" s="272">
        <v>411895</v>
      </c>
      <c r="EA29" s="272">
        <v>170704</v>
      </c>
      <c r="EB29" s="272"/>
      <c r="EC29" s="272">
        <v>0</v>
      </c>
      <c r="ED29" s="272">
        <v>20601738</v>
      </c>
      <c r="EF29" s="272">
        <v>890428</v>
      </c>
      <c r="EG29" s="272">
        <v>577636</v>
      </c>
      <c r="EH29" s="272">
        <v>312792</v>
      </c>
      <c r="EI29" s="272">
        <v>-102404</v>
      </c>
      <c r="EJ29" s="272">
        <v>422668</v>
      </c>
      <c r="EL29" s="272"/>
      <c r="EM29" s="272">
        <v>63852</v>
      </c>
      <c r="EN29" s="272">
        <v>25266</v>
      </c>
      <c r="EO29" s="272">
        <v>11705</v>
      </c>
      <c r="EP29" s="455">
        <f t="shared" si="12"/>
        <v>1005649</v>
      </c>
      <c r="EQ29" s="272">
        <v>15868012</v>
      </c>
      <c r="ER29" s="272">
        <v>-1028450</v>
      </c>
      <c r="ES29" s="272">
        <v>5111205</v>
      </c>
      <c r="ET29" s="272">
        <v>3725495</v>
      </c>
      <c r="EU29" s="272">
        <v>555117</v>
      </c>
      <c r="EV29" s="272">
        <v>512189</v>
      </c>
      <c r="EW29" s="455">
        <f t="shared" si="13"/>
        <v>4473924</v>
      </c>
      <c r="EX29" s="272">
        <v>4473924</v>
      </c>
      <c r="EY29" s="272">
        <v>125610</v>
      </c>
      <c r="EZ29" s="272">
        <v>4348314</v>
      </c>
      <c r="FA29" s="272">
        <v>0</v>
      </c>
      <c r="FB29" s="272"/>
      <c r="FC29" s="272">
        <v>1487429</v>
      </c>
      <c r="FD29" s="272">
        <v>1941159</v>
      </c>
      <c r="FE29" s="272">
        <v>1369581</v>
      </c>
      <c r="FF29" s="272">
        <v>1628378</v>
      </c>
      <c r="FG29" s="455">
        <f t="shared" si="14"/>
        <v>588596</v>
      </c>
      <c r="FH29" s="272">
        <v>16297997</v>
      </c>
      <c r="FI29" s="384">
        <f t="shared" si="15"/>
        <v>2.4</v>
      </c>
      <c r="FJ29" s="272">
        <v>13287441</v>
      </c>
      <c r="FK29" s="272"/>
      <c r="FL29" s="272">
        <v>10003479</v>
      </c>
      <c r="FM29" s="272">
        <v>8161095</v>
      </c>
      <c r="FN29" s="460">
        <v>1.29</v>
      </c>
      <c r="FO29" s="388">
        <v>68.900000000000006</v>
      </c>
      <c r="FP29" s="388">
        <v>34</v>
      </c>
      <c r="FQ29" s="388">
        <v>3.8</v>
      </c>
      <c r="FR29" s="388">
        <v>3.5</v>
      </c>
      <c r="FS29" s="388">
        <v>9.9</v>
      </c>
      <c r="FT29" s="388">
        <v>12.5</v>
      </c>
      <c r="FU29" s="388">
        <v>4.7</v>
      </c>
      <c r="FV29" s="388">
        <v>3.3</v>
      </c>
      <c r="FW29" s="272">
        <v>4366448</v>
      </c>
      <c r="FX29" s="384">
        <f t="shared" si="16"/>
        <v>32.9</v>
      </c>
      <c r="FY29" s="272">
        <v>14753566</v>
      </c>
      <c r="FZ29" s="272">
        <v>6126779</v>
      </c>
      <c r="GA29" s="272"/>
      <c r="GB29" s="272">
        <v>8626787</v>
      </c>
      <c r="GC29" s="272"/>
      <c r="GD29" s="272">
        <v>16203979</v>
      </c>
      <c r="GE29" s="384">
        <f t="shared" si="17"/>
        <v>121.9</v>
      </c>
      <c r="GF29" s="388">
        <v>98.6</v>
      </c>
      <c r="GG29" s="388">
        <v>36.6</v>
      </c>
      <c r="GH29" s="388">
        <v>96.6</v>
      </c>
      <c r="GI29" s="272">
        <v>589</v>
      </c>
    </row>
    <row r="30" spans="2:191" x14ac:dyDescent="0.15">
      <c r="B30" s="89" t="s">
        <v>53</v>
      </c>
      <c r="C30" s="272">
        <v>8863182</v>
      </c>
      <c r="D30" s="455">
        <f t="shared" si="0"/>
        <v>4422910</v>
      </c>
      <c r="E30" s="272">
        <v>45999</v>
      </c>
      <c r="F30" s="272">
        <v>4376911</v>
      </c>
      <c r="G30" s="455">
        <f t="shared" si="1"/>
        <v>854624</v>
      </c>
      <c r="H30" s="272">
        <v>118682</v>
      </c>
      <c r="I30" s="272">
        <v>735942</v>
      </c>
      <c r="J30" s="272">
        <v>2490242</v>
      </c>
      <c r="K30" s="272">
        <v>1255311</v>
      </c>
      <c r="L30" s="272">
        <v>947878</v>
      </c>
      <c r="M30" s="272">
        <v>280384</v>
      </c>
      <c r="N30" s="272">
        <v>299067</v>
      </c>
      <c r="O30" s="272">
        <v>697465</v>
      </c>
      <c r="P30" s="272">
        <v>476246</v>
      </c>
      <c r="Q30" s="272">
        <v>221219</v>
      </c>
      <c r="R30" s="272">
        <v>330423</v>
      </c>
      <c r="S30" s="272">
        <v>222569</v>
      </c>
      <c r="T30" s="455">
        <f t="shared" si="2"/>
        <v>662123</v>
      </c>
      <c r="U30" s="272">
        <v>467111</v>
      </c>
      <c r="V30" s="272"/>
      <c r="W30" s="272"/>
      <c r="X30" s="272"/>
      <c r="Y30" s="272">
        <v>0</v>
      </c>
      <c r="Z30" s="272">
        <v>518</v>
      </c>
      <c r="AA30" s="272">
        <v>194494</v>
      </c>
      <c r="AB30" s="272"/>
      <c r="AC30" s="272">
        <v>1647798</v>
      </c>
      <c r="AD30" s="272">
        <v>1434278</v>
      </c>
      <c r="AE30" s="272">
        <v>213520</v>
      </c>
      <c r="AF30" s="272">
        <v>19348</v>
      </c>
      <c r="AG30" s="272">
        <v>56729</v>
      </c>
      <c r="AH30" s="455">
        <f t="shared" si="3"/>
        <v>249847</v>
      </c>
      <c r="AI30" s="272">
        <v>234131</v>
      </c>
      <c r="AJ30" s="272">
        <v>15716</v>
      </c>
      <c r="AK30" s="272">
        <v>1059612</v>
      </c>
      <c r="AL30" s="455">
        <f t="shared" si="4"/>
        <v>664158</v>
      </c>
      <c r="AM30" s="272">
        <v>488985</v>
      </c>
      <c r="AN30" s="272">
        <v>105492</v>
      </c>
      <c r="AO30" s="272">
        <v>0</v>
      </c>
      <c r="AP30" s="272">
        <v>69681</v>
      </c>
      <c r="AQ30" s="272">
        <v>94868</v>
      </c>
      <c r="AR30" s="272">
        <v>0</v>
      </c>
      <c r="AS30" s="272">
        <v>0</v>
      </c>
      <c r="AT30" s="272">
        <v>659645</v>
      </c>
      <c r="AU30" s="272">
        <v>139957</v>
      </c>
      <c r="AV30" s="272">
        <v>54570</v>
      </c>
      <c r="AW30" s="272">
        <v>0</v>
      </c>
      <c r="AX30" s="272">
        <v>519688</v>
      </c>
      <c r="AY30" s="272">
        <v>122615</v>
      </c>
      <c r="AZ30" s="272">
        <v>1900802</v>
      </c>
      <c r="BA30" s="272">
        <v>1441303</v>
      </c>
      <c r="BB30" s="272">
        <v>171946</v>
      </c>
      <c r="BC30" s="272">
        <v>481445</v>
      </c>
      <c r="BD30" s="272">
        <v>0</v>
      </c>
      <c r="BE30" s="272">
        <v>42000</v>
      </c>
      <c r="BF30" s="272">
        <v>413445</v>
      </c>
      <c r="BG30" s="272">
        <v>0</v>
      </c>
      <c r="BH30" s="272">
        <v>31585</v>
      </c>
      <c r="BI30" s="272">
        <v>31316</v>
      </c>
      <c r="BJ30" s="272">
        <v>389991</v>
      </c>
      <c r="BK30" s="272">
        <v>29626</v>
      </c>
      <c r="BL30" s="272">
        <v>205600</v>
      </c>
      <c r="BM30" s="272">
        <v>0</v>
      </c>
      <c r="BN30" s="272">
        <v>620100</v>
      </c>
      <c r="BO30" s="455">
        <f t="shared" si="5"/>
        <v>620100</v>
      </c>
      <c r="BP30" s="455">
        <f t="shared" si="6"/>
        <v>0</v>
      </c>
      <c r="BQ30" s="272"/>
      <c r="BR30" s="272"/>
      <c r="BS30" s="272"/>
      <c r="BT30" s="272">
        <v>0</v>
      </c>
      <c r="BU30" s="272">
        <v>17144576</v>
      </c>
      <c r="BV30" s="272"/>
      <c r="BW30" s="272">
        <v>4755212</v>
      </c>
      <c r="BX30" s="272">
        <v>3533404</v>
      </c>
      <c r="BY30" s="272">
        <v>292168</v>
      </c>
      <c r="BZ30" s="272">
        <v>115015</v>
      </c>
      <c r="CA30" s="272">
        <v>1529372</v>
      </c>
      <c r="CB30" s="272">
        <v>195359</v>
      </c>
      <c r="CC30" s="272">
        <v>416108</v>
      </c>
      <c r="CD30" s="272">
        <v>263446</v>
      </c>
      <c r="CE30" s="272">
        <v>636914</v>
      </c>
      <c r="CF30" s="272">
        <v>0</v>
      </c>
      <c r="CG30" s="272">
        <v>17355</v>
      </c>
      <c r="CH30" s="272">
        <v>1059476</v>
      </c>
      <c r="CI30" s="272">
        <v>637211</v>
      </c>
      <c r="CJ30" s="455">
        <f t="shared" si="7"/>
        <v>422265</v>
      </c>
      <c r="CK30" s="272">
        <v>1430796</v>
      </c>
      <c r="CL30" s="272">
        <v>674686</v>
      </c>
      <c r="CM30" s="272">
        <v>138005</v>
      </c>
      <c r="CN30" s="272">
        <v>359175</v>
      </c>
      <c r="CO30" s="272">
        <v>93429</v>
      </c>
      <c r="CP30" s="272">
        <v>2241607</v>
      </c>
      <c r="CQ30" s="272">
        <v>1613978</v>
      </c>
      <c r="CR30" s="272">
        <v>193551</v>
      </c>
      <c r="CS30" s="272">
        <v>142181</v>
      </c>
      <c r="CT30" s="455">
        <f t="shared" si="8"/>
        <v>158441</v>
      </c>
      <c r="CU30" s="272">
        <v>145404</v>
      </c>
      <c r="CV30" s="272">
        <v>13037</v>
      </c>
      <c r="CW30" s="455">
        <f t="shared" si="9"/>
        <v>151053</v>
      </c>
      <c r="CX30" s="272">
        <v>140814</v>
      </c>
      <c r="CY30" s="272">
        <v>10239</v>
      </c>
      <c r="CZ30" s="455">
        <f t="shared" si="10"/>
        <v>0</v>
      </c>
      <c r="DA30" s="272">
        <v>0</v>
      </c>
      <c r="DB30" s="272">
        <v>0</v>
      </c>
      <c r="DC30" s="272">
        <v>2526964</v>
      </c>
      <c r="DD30" s="272">
        <v>315005</v>
      </c>
      <c r="DE30" s="272">
        <v>2006359</v>
      </c>
      <c r="DF30" s="272">
        <v>0</v>
      </c>
      <c r="DG30" s="272">
        <v>205600</v>
      </c>
      <c r="DH30" s="272">
        <v>0</v>
      </c>
      <c r="DI30" s="272">
        <v>2033989</v>
      </c>
      <c r="DJ30" s="272">
        <v>54139</v>
      </c>
      <c r="DK30" s="272">
        <v>146572</v>
      </c>
      <c r="DL30" s="272">
        <v>1833278</v>
      </c>
      <c r="DM30" s="272">
        <v>530</v>
      </c>
      <c r="DN30" s="272">
        <v>0</v>
      </c>
      <c r="DO30" s="272">
        <v>0</v>
      </c>
      <c r="DP30" s="272">
        <v>0</v>
      </c>
      <c r="DQ30" s="272">
        <v>20000</v>
      </c>
      <c r="DR30" s="272">
        <v>0</v>
      </c>
      <c r="DS30" s="272">
        <v>0</v>
      </c>
      <c r="DT30" s="272">
        <v>1336849</v>
      </c>
      <c r="DU30" s="272">
        <v>1071327</v>
      </c>
      <c r="DV30" s="455">
        <f t="shared" si="11"/>
        <v>0</v>
      </c>
      <c r="DW30" s="272">
        <v>0</v>
      </c>
      <c r="DX30" s="272">
        <v>0</v>
      </c>
      <c r="DY30" s="457" t="s">
        <v>646</v>
      </c>
      <c r="DZ30" s="272">
        <v>85236</v>
      </c>
      <c r="EA30" s="272">
        <v>180209</v>
      </c>
      <c r="EB30" s="272"/>
      <c r="EC30" s="272">
        <v>0</v>
      </c>
      <c r="ED30" s="272">
        <v>17028224</v>
      </c>
      <c r="EF30" s="272">
        <v>116352</v>
      </c>
      <c r="EG30" s="272">
        <v>60104</v>
      </c>
      <c r="EH30" s="272">
        <v>56248</v>
      </c>
      <c r="EI30" s="272">
        <v>-8068</v>
      </c>
      <c r="EJ30" s="272">
        <v>46071</v>
      </c>
      <c r="EL30" s="272"/>
      <c r="EM30" s="272">
        <v>65487</v>
      </c>
      <c r="EN30" s="272">
        <v>467325</v>
      </c>
      <c r="EO30" s="272">
        <v>1443228</v>
      </c>
      <c r="EP30" s="455">
        <f t="shared" si="12"/>
        <v>362287</v>
      </c>
      <c r="EQ30" s="272">
        <v>11522874</v>
      </c>
      <c r="ER30" s="272">
        <v>-2253492</v>
      </c>
      <c r="ES30" s="272">
        <v>4407108</v>
      </c>
      <c r="ET30" s="272">
        <v>3248245</v>
      </c>
      <c r="EU30" s="272">
        <v>502725</v>
      </c>
      <c r="EV30" s="272">
        <v>1022180</v>
      </c>
      <c r="EW30" s="455">
        <f t="shared" si="13"/>
        <v>1480306</v>
      </c>
      <c r="EX30" s="272">
        <v>1480306</v>
      </c>
      <c r="EY30" s="272">
        <v>40037</v>
      </c>
      <c r="EZ30" s="272">
        <v>1440269</v>
      </c>
      <c r="FA30" s="272">
        <v>0</v>
      </c>
      <c r="FB30" s="272"/>
      <c r="FC30" s="272">
        <v>1138550</v>
      </c>
      <c r="FD30" s="272">
        <v>2144690</v>
      </c>
      <c r="FE30" s="272">
        <v>1613978</v>
      </c>
      <c r="FF30" s="272">
        <v>1287116</v>
      </c>
      <c r="FG30" s="455">
        <f t="shared" si="14"/>
        <v>1690451</v>
      </c>
      <c r="FH30" s="272">
        <v>13673126</v>
      </c>
      <c r="FI30" s="384">
        <f t="shared" si="15"/>
        <v>0.5</v>
      </c>
      <c r="FJ30" s="272">
        <v>10368445</v>
      </c>
      <c r="FK30" s="272"/>
      <c r="FL30" s="272">
        <v>6730640</v>
      </c>
      <c r="FM30" s="272">
        <v>8183263</v>
      </c>
      <c r="FN30" s="460">
        <v>0.82099999999999995</v>
      </c>
      <c r="FO30" s="388">
        <v>84.8</v>
      </c>
      <c r="FP30" s="388">
        <v>38.9</v>
      </c>
      <c r="FQ30" s="388">
        <v>4.4000000000000004</v>
      </c>
      <c r="FR30" s="388">
        <v>9.5</v>
      </c>
      <c r="FS30" s="388">
        <v>9.4</v>
      </c>
      <c r="FT30" s="388">
        <v>16.899999999999999</v>
      </c>
      <c r="FU30" s="388">
        <v>4.5999999999999996</v>
      </c>
      <c r="FV30" s="388">
        <v>8.6999999999999993</v>
      </c>
      <c r="FW30" s="272">
        <v>7121889</v>
      </c>
      <c r="FX30" s="384">
        <f t="shared" si="16"/>
        <v>68.7</v>
      </c>
      <c r="FY30" s="272">
        <v>7826836</v>
      </c>
      <c r="FZ30" s="272">
        <v>773572</v>
      </c>
      <c r="GA30" s="272">
        <v>775979</v>
      </c>
      <c r="GB30" s="272">
        <v>6277285</v>
      </c>
      <c r="GC30" s="272"/>
      <c r="GD30" s="272">
        <v>887397</v>
      </c>
      <c r="GE30" s="384">
        <f t="shared" si="17"/>
        <v>8.6</v>
      </c>
      <c r="GF30" s="388">
        <v>96.8</v>
      </c>
      <c r="GG30" s="388">
        <v>31.8</v>
      </c>
      <c r="GH30" s="388">
        <v>93.6</v>
      </c>
      <c r="GI30" s="272">
        <v>534</v>
      </c>
    </row>
    <row r="31" spans="2:191" x14ac:dyDescent="0.15">
      <c r="B31" s="89" t="s">
        <v>55</v>
      </c>
      <c r="C31" s="272">
        <v>86915030</v>
      </c>
      <c r="D31" s="455">
        <f t="shared" si="0"/>
        <v>30530852</v>
      </c>
      <c r="E31" s="272">
        <v>462273</v>
      </c>
      <c r="F31" s="272">
        <v>30068579</v>
      </c>
      <c r="G31" s="455">
        <f t="shared" si="1"/>
        <v>13507253</v>
      </c>
      <c r="H31" s="272">
        <v>1164786</v>
      </c>
      <c r="I31" s="272">
        <v>12342467</v>
      </c>
      <c r="J31" s="272">
        <v>29151536</v>
      </c>
      <c r="K31" s="272">
        <v>16055132</v>
      </c>
      <c r="L31" s="272">
        <v>8931254</v>
      </c>
      <c r="M31" s="272">
        <v>4039513</v>
      </c>
      <c r="N31" s="272">
        <v>2948054</v>
      </c>
      <c r="O31" s="272">
        <v>7262868</v>
      </c>
      <c r="P31" s="272">
        <v>5222907</v>
      </c>
      <c r="Q31" s="272">
        <v>2039961</v>
      </c>
      <c r="R31" s="272">
        <v>3100356</v>
      </c>
      <c r="S31" s="272">
        <v>2284597</v>
      </c>
      <c r="T31" s="455">
        <f t="shared" si="2"/>
        <v>4656321</v>
      </c>
      <c r="U31" s="272">
        <v>3178488</v>
      </c>
      <c r="V31" s="272"/>
      <c r="W31" s="272"/>
      <c r="X31" s="272"/>
      <c r="Y31" s="272">
        <v>0</v>
      </c>
      <c r="Z31" s="272">
        <v>9157</v>
      </c>
      <c r="AA31" s="272">
        <v>1468676</v>
      </c>
      <c r="AB31" s="272"/>
      <c r="AC31" s="272">
        <v>866559</v>
      </c>
      <c r="AD31" s="272">
        <v>0</v>
      </c>
      <c r="AE31" s="272">
        <v>866559</v>
      </c>
      <c r="AF31" s="272">
        <v>119470</v>
      </c>
      <c r="AG31" s="272">
        <v>4431525</v>
      </c>
      <c r="AH31" s="455">
        <f t="shared" si="3"/>
        <v>1823338</v>
      </c>
      <c r="AI31" s="272">
        <v>1089771</v>
      </c>
      <c r="AJ31" s="272">
        <v>733567</v>
      </c>
      <c r="AK31" s="272">
        <v>14499982</v>
      </c>
      <c r="AL31" s="455">
        <f t="shared" si="4"/>
        <v>10064541</v>
      </c>
      <c r="AM31" s="272">
        <v>8399215</v>
      </c>
      <c r="AN31" s="272">
        <v>986548</v>
      </c>
      <c r="AO31" s="272">
        <v>123717</v>
      </c>
      <c r="AP31" s="272">
        <v>555061</v>
      </c>
      <c r="AQ31" s="272">
        <v>1810804</v>
      </c>
      <c r="AR31" s="272">
        <v>0</v>
      </c>
      <c r="AS31" s="272">
        <v>0</v>
      </c>
      <c r="AT31" s="272">
        <v>6637163</v>
      </c>
      <c r="AU31" s="272">
        <v>1475148</v>
      </c>
      <c r="AV31" s="272">
        <v>493273</v>
      </c>
      <c r="AW31" s="272">
        <v>87571</v>
      </c>
      <c r="AX31" s="272">
        <v>5162015</v>
      </c>
      <c r="AY31" s="272">
        <v>1168911</v>
      </c>
      <c r="AZ31" s="272">
        <v>1954743</v>
      </c>
      <c r="BA31" s="272">
        <v>1100752</v>
      </c>
      <c r="BB31" s="272">
        <v>926952</v>
      </c>
      <c r="BC31" s="272">
        <v>1709412</v>
      </c>
      <c r="BD31" s="272">
        <v>450000</v>
      </c>
      <c r="BE31" s="272">
        <v>0</v>
      </c>
      <c r="BF31" s="272">
        <v>1103514</v>
      </c>
      <c r="BG31" s="272">
        <v>0</v>
      </c>
      <c r="BH31" s="272">
        <v>5634514</v>
      </c>
      <c r="BI31" s="272">
        <v>3139835</v>
      </c>
      <c r="BJ31" s="272">
        <v>4884255</v>
      </c>
      <c r="BK31" s="272">
        <v>2637633</v>
      </c>
      <c r="BL31" s="272">
        <v>106074</v>
      </c>
      <c r="BM31" s="272">
        <v>865162</v>
      </c>
      <c r="BN31" s="272">
        <v>13494546</v>
      </c>
      <c r="BO31" s="455">
        <f t="shared" si="5"/>
        <v>13494546</v>
      </c>
      <c r="BP31" s="455">
        <f t="shared" si="6"/>
        <v>0</v>
      </c>
      <c r="BQ31" s="272"/>
      <c r="BR31" s="272"/>
      <c r="BS31" s="272"/>
      <c r="BT31" s="272">
        <v>0</v>
      </c>
      <c r="BU31" s="272">
        <v>151654166</v>
      </c>
      <c r="BV31" s="272"/>
      <c r="BW31" s="272">
        <v>43935064</v>
      </c>
      <c r="BX31" s="272">
        <v>34256522</v>
      </c>
      <c r="BY31" s="272">
        <v>2965825</v>
      </c>
      <c r="BZ31" s="272">
        <v>508824</v>
      </c>
      <c r="CA31" s="272">
        <v>23176462</v>
      </c>
      <c r="CB31" s="272">
        <v>1530711</v>
      </c>
      <c r="CC31" s="272">
        <v>2847897</v>
      </c>
      <c r="CD31" s="272">
        <v>3485225</v>
      </c>
      <c r="CE31" s="272">
        <v>10941309</v>
      </c>
      <c r="CF31" s="272">
        <v>3992606</v>
      </c>
      <c r="CG31" s="272">
        <v>378714</v>
      </c>
      <c r="CH31" s="272">
        <v>14298708</v>
      </c>
      <c r="CI31" s="272">
        <v>8469688</v>
      </c>
      <c r="CJ31" s="455">
        <f t="shared" si="7"/>
        <v>5829020</v>
      </c>
      <c r="CK31" s="272">
        <v>10079744</v>
      </c>
      <c r="CL31" s="272">
        <v>5136609</v>
      </c>
      <c r="CM31" s="272">
        <v>787802</v>
      </c>
      <c r="CN31" s="272">
        <v>2321344</v>
      </c>
      <c r="CO31" s="272">
        <v>1130608</v>
      </c>
      <c r="CP31" s="272">
        <v>9740580</v>
      </c>
      <c r="CQ31" s="272">
        <v>4413788</v>
      </c>
      <c r="CR31" s="272">
        <v>2389902</v>
      </c>
      <c r="CS31" s="272">
        <v>2090703</v>
      </c>
      <c r="CT31" s="455">
        <f t="shared" si="8"/>
        <v>1471509</v>
      </c>
      <c r="CU31" s="272">
        <v>522484</v>
      </c>
      <c r="CV31" s="272">
        <v>949025</v>
      </c>
      <c r="CW31" s="455">
        <f t="shared" si="9"/>
        <v>1394912</v>
      </c>
      <c r="CX31" s="272">
        <v>445887</v>
      </c>
      <c r="CY31" s="272">
        <v>949025</v>
      </c>
      <c r="CZ31" s="455">
        <f t="shared" si="10"/>
        <v>0</v>
      </c>
      <c r="DA31" s="272">
        <v>0</v>
      </c>
      <c r="DB31" s="272">
        <v>0</v>
      </c>
      <c r="DC31" s="272">
        <v>25835161</v>
      </c>
      <c r="DD31" s="272">
        <v>4880022</v>
      </c>
      <c r="DE31" s="272">
        <v>20718480</v>
      </c>
      <c r="DF31" s="272">
        <v>1667</v>
      </c>
      <c r="DG31" s="272">
        <v>215495</v>
      </c>
      <c r="DH31" s="272">
        <v>0</v>
      </c>
      <c r="DI31" s="272">
        <v>3252000</v>
      </c>
      <c r="DJ31" s="272">
        <v>802700</v>
      </c>
      <c r="DK31" s="272">
        <v>0</v>
      </c>
      <c r="DL31" s="272">
        <v>2449300</v>
      </c>
      <c r="DM31" s="272">
        <v>536558</v>
      </c>
      <c r="DN31" s="272">
        <v>277088</v>
      </c>
      <c r="DO31" s="272">
        <v>0</v>
      </c>
      <c r="DP31" s="272">
        <v>277088</v>
      </c>
      <c r="DQ31" s="272">
        <v>2679484</v>
      </c>
      <c r="DR31" s="272">
        <v>0</v>
      </c>
      <c r="DS31" s="272">
        <v>0</v>
      </c>
      <c r="DT31" s="272">
        <v>11655571</v>
      </c>
      <c r="DU31" s="272">
        <v>6618241</v>
      </c>
      <c r="DV31" s="455">
        <f t="shared" si="11"/>
        <v>0</v>
      </c>
      <c r="DW31" s="272">
        <v>0</v>
      </c>
      <c r="DX31" s="272">
        <v>0</v>
      </c>
      <c r="DY31" s="457" t="s">
        <v>646</v>
      </c>
      <c r="DZ31" s="272">
        <v>3654000</v>
      </c>
      <c r="EA31" s="272">
        <v>1375631</v>
      </c>
      <c r="EB31" s="272"/>
      <c r="EC31" s="272">
        <v>0</v>
      </c>
      <c r="ED31" s="272">
        <v>146319940</v>
      </c>
      <c r="EF31" s="272">
        <v>5334226</v>
      </c>
      <c r="EG31" s="272">
        <v>2127874</v>
      </c>
      <c r="EH31" s="272">
        <v>3206352</v>
      </c>
      <c r="EI31" s="272">
        <v>66517</v>
      </c>
      <c r="EJ31" s="272">
        <v>419217</v>
      </c>
      <c r="EL31" s="272"/>
      <c r="EM31" s="272">
        <v>496731</v>
      </c>
      <c r="EN31" s="272">
        <v>450000</v>
      </c>
      <c r="EO31" s="272">
        <v>357313</v>
      </c>
      <c r="EP31" s="455">
        <f t="shared" si="12"/>
        <v>7113083</v>
      </c>
      <c r="EQ31" s="272">
        <v>95657736</v>
      </c>
      <c r="ER31" s="272">
        <v>-7800926</v>
      </c>
      <c r="ES31" s="272">
        <v>41653455</v>
      </c>
      <c r="ET31" s="272">
        <v>32100930</v>
      </c>
      <c r="EU31" s="272">
        <v>5628724</v>
      </c>
      <c r="EV31" s="272">
        <v>13652499</v>
      </c>
      <c r="EW31" s="455">
        <f t="shared" si="13"/>
        <v>6269725</v>
      </c>
      <c r="EX31" s="272">
        <v>6269725</v>
      </c>
      <c r="EY31" s="272">
        <v>633748</v>
      </c>
      <c r="EZ31" s="272">
        <v>5614813</v>
      </c>
      <c r="FA31" s="272">
        <v>0</v>
      </c>
      <c r="FB31" s="272"/>
      <c r="FC31" s="272">
        <v>8004667</v>
      </c>
      <c r="FD31" s="272">
        <v>9034690</v>
      </c>
      <c r="FE31" s="272">
        <v>4413788</v>
      </c>
      <c r="FF31" s="272">
        <v>11145091</v>
      </c>
      <c r="FG31" s="455">
        <f t="shared" si="14"/>
        <v>2996355</v>
      </c>
      <c r="FH31" s="272">
        <v>98385206</v>
      </c>
      <c r="FI31" s="384">
        <f t="shared" si="15"/>
        <v>3.9</v>
      </c>
      <c r="FJ31" s="272">
        <v>83202189</v>
      </c>
      <c r="FK31" s="272"/>
      <c r="FL31" s="272">
        <v>62627324</v>
      </c>
      <c r="FM31" s="272">
        <v>60891824</v>
      </c>
      <c r="FN31" s="460">
        <v>1.022</v>
      </c>
      <c r="FO31" s="388">
        <v>93.5</v>
      </c>
      <c r="FP31" s="388">
        <v>46</v>
      </c>
      <c r="FQ31" s="388">
        <v>6.4</v>
      </c>
      <c r="FR31" s="388">
        <v>15.4</v>
      </c>
      <c r="FS31" s="388">
        <v>8.6</v>
      </c>
      <c r="FT31" s="388">
        <v>8.4</v>
      </c>
      <c r="FU31" s="388">
        <v>7.7</v>
      </c>
      <c r="FV31" s="388">
        <v>12.5</v>
      </c>
      <c r="FW31" s="272">
        <v>102489105</v>
      </c>
      <c r="FX31" s="384">
        <f t="shared" si="16"/>
        <v>123.2</v>
      </c>
      <c r="FY31" s="272">
        <v>12270971</v>
      </c>
      <c r="FZ31" s="272">
        <v>1760800</v>
      </c>
      <c r="GA31" s="272"/>
      <c r="GB31" s="272">
        <v>10510171</v>
      </c>
      <c r="GC31" s="272"/>
      <c r="GD31" s="272">
        <v>43667225</v>
      </c>
      <c r="GE31" s="384">
        <f t="shared" si="17"/>
        <v>52.5</v>
      </c>
      <c r="GF31" s="388">
        <v>96.6</v>
      </c>
      <c r="GG31" s="388">
        <v>39</v>
      </c>
      <c r="GH31" s="388">
        <v>94.4</v>
      </c>
      <c r="GI31" s="272">
        <v>4335</v>
      </c>
    </row>
    <row r="32" spans="2:191" x14ac:dyDescent="0.15">
      <c r="B32" s="89" t="s">
        <v>57</v>
      </c>
      <c r="C32" s="272">
        <v>6373166</v>
      </c>
      <c r="D32" s="455">
        <f t="shared" si="0"/>
        <v>2764203</v>
      </c>
      <c r="E32" s="272">
        <v>35978</v>
      </c>
      <c r="F32" s="272">
        <v>2728225</v>
      </c>
      <c r="G32" s="455">
        <f t="shared" si="1"/>
        <v>383501</v>
      </c>
      <c r="H32" s="272">
        <v>81248</v>
      </c>
      <c r="I32" s="272">
        <v>302253</v>
      </c>
      <c r="J32" s="272">
        <v>2349479</v>
      </c>
      <c r="K32" s="272">
        <v>1191541</v>
      </c>
      <c r="L32" s="272">
        <v>799722</v>
      </c>
      <c r="M32" s="272">
        <v>350760</v>
      </c>
      <c r="N32" s="272">
        <v>220145</v>
      </c>
      <c r="O32" s="272">
        <v>515880</v>
      </c>
      <c r="P32" s="272">
        <v>358588</v>
      </c>
      <c r="Q32" s="272">
        <v>157292</v>
      </c>
      <c r="R32" s="272">
        <v>311097</v>
      </c>
      <c r="S32" s="272">
        <v>206824</v>
      </c>
      <c r="T32" s="455">
        <f t="shared" si="2"/>
        <v>598831</v>
      </c>
      <c r="U32" s="272">
        <v>309894</v>
      </c>
      <c r="V32" s="272"/>
      <c r="W32" s="272"/>
      <c r="X32" s="272"/>
      <c r="Y32" s="272">
        <v>100599</v>
      </c>
      <c r="Z32" s="272">
        <v>291</v>
      </c>
      <c r="AA32" s="272">
        <v>188047</v>
      </c>
      <c r="AB32" s="272"/>
      <c r="AC32" s="272">
        <v>2707755</v>
      </c>
      <c r="AD32" s="272">
        <v>2248445</v>
      </c>
      <c r="AE32" s="272">
        <v>459310</v>
      </c>
      <c r="AF32" s="272">
        <v>15149</v>
      </c>
      <c r="AG32" s="272">
        <v>57806</v>
      </c>
      <c r="AH32" s="455">
        <f t="shared" si="3"/>
        <v>309335</v>
      </c>
      <c r="AI32" s="272">
        <v>138469</v>
      </c>
      <c r="AJ32" s="272">
        <v>170866</v>
      </c>
      <c r="AK32" s="272">
        <v>1850511</v>
      </c>
      <c r="AL32" s="455">
        <f t="shared" si="4"/>
        <v>999111</v>
      </c>
      <c r="AM32" s="272">
        <v>849250</v>
      </c>
      <c r="AN32" s="272">
        <v>98062</v>
      </c>
      <c r="AO32" s="272">
        <v>0</v>
      </c>
      <c r="AP32" s="272">
        <v>51799</v>
      </c>
      <c r="AQ32" s="272">
        <v>434820</v>
      </c>
      <c r="AR32" s="272">
        <v>0</v>
      </c>
      <c r="AS32" s="272">
        <v>0</v>
      </c>
      <c r="AT32" s="272">
        <v>927862</v>
      </c>
      <c r="AU32" s="272">
        <v>273638</v>
      </c>
      <c r="AV32" s="272">
        <v>49030</v>
      </c>
      <c r="AW32" s="272">
        <v>93259</v>
      </c>
      <c r="AX32" s="272">
        <v>654224</v>
      </c>
      <c r="AY32" s="272">
        <v>265133</v>
      </c>
      <c r="AZ32" s="272">
        <v>545474</v>
      </c>
      <c r="BA32" s="272">
        <v>249704</v>
      </c>
      <c r="BB32" s="272">
        <v>250482</v>
      </c>
      <c r="BC32" s="272">
        <v>567991</v>
      </c>
      <c r="BD32" s="272">
        <v>0</v>
      </c>
      <c r="BE32" s="272">
        <v>0</v>
      </c>
      <c r="BF32" s="272">
        <v>553037</v>
      </c>
      <c r="BG32" s="272">
        <v>0</v>
      </c>
      <c r="BH32" s="272">
        <v>104124</v>
      </c>
      <c r="BI32" s="272">
        <v>104124</v>
      </c>
      <c r="BJ32" s="272">
        <v>657231</v>
      </c>
      <c r="BK32" s="272">
        <v>1800</v>
      </c>
      <c r="BL32" s="272">
        <v>18053</v>
      </c>
      <c r="BM32" s="272">
        <v>0</v>
      </c>
      <c r="BN32" s="272">
        <v>1509185</v>
      </c>
      <c r="BO32" s="455">
        <f t="shared" si="5"/>
        <v>1509185</v>
      </c>
      <c r="BP32" s="455">
        <f t="shared" si="6"/>
        <v>0</v>
      </c>
      <c r="BQ32" s="272"/>
      <c r="BR32" s="272"/>
      <c r="BS32" s="272"/>
      <c r="BT32" s="272">
        <v>0</v>
      </c>
      <c r="BU32" s="272">
        <v>16785999</v>
      </c>
      <c r="BV32" s="272"/>
      <c r="BW32" s="272">
        <v>4508467</v>
      </c>
      <c r="BX32" s="272">
        <v>3378910</v>
      </c>
      <c r="BY32" s="272">
        <v>202185</v>
      </c>
      <c r="BZ32" s="272">
        <v>129485</v>
      </c>
      <c r="CA32" s="272">
        <v>1785098</v>
      </c>
      <c r="CB32" s="272">
        <v>146127</v>
      </c>
      <c r="CC32" s="272">
        <v>312989</v>
      </c>
      <c r="CD32" s="272">
        <v>176127</v>
      </c>
      <c r="CE32" s="272">
        <v>1112745</v>
      </c>
      <c r="CF32" s="272">
        <v>0</v>
      </c>
      <c r="CG32" s="272">
        <v>37110</v>
      </c>
      <c r="CH32" s="272">
        <v>1597373</v>
      </c>
      <c r="CI32" s="272">
        <v>827967</v>
      </c>
      <c r="CJ32" s="455">
        <f t="shared" si="7"/>
        <v>769406</v>
      </c>
      <c r="CK32" s="272">
        <v>1711899</v>
      </c>
      <c r="CL32" s="272">
        <v>766048</v>
      </c>
      <c r="CM32" s="272">
        <v>109658</v>
      </c>
      <c r="CN32" s="272">
        <v>525519</v>
      </c>
      <c r="CO32" s="272">
        <v>119653</v>
      </c>
      <c r="CP32" s="272">
        <v>986413</v>
      </c>
      <c r="CQ32" s="272">
        <v>456171</v>
      </c>
      <c r="CR32" s="272">
        <v>239582</v>
      </c>
      <c r="CS32" s="272">
        <v>170943</v>
      </c>
      <c r="CT32" s="455">
        <f t="shared" si="8"/>
        <v>3676</v>
      </c>
      <c r="CU32" s="272">
        <v>3676</v>
      </c>
      <c r="CV32" s="272">
        <v>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4170464</v>
      </c>
      <c r="DD32" s="272">
        <v>1388585</v>
      </c>
      <c r="DE32" s="272">
        <v>2728036</v>
      </c>
      <c r="DF32" s="272">
        <v>35790</v>
      </c>
      <c r="DG32" s="272">
        <v>18053</v>
      </c>
      <c r="DH32" s="272">
        <v>0</v>
      </c>
      <c r="DI32" s="272">
        <v>1060168</v>
      </c>
      <c r="DJ32" s="272">
        <v>0</v>
      </c>
      <c r="DK32" s="272">
        <v>194180</v>
      </c>
      <c r="DL32" s="272">
        <v>865988</v>
      </c>
      <c r="DM32" s="272">
        <v>490</v>
      </c>
      <c r="DN32" s="272">
        <v>0</v>
      </c>
      <c r="DO32" s="272">
        <v>0</v>
      </c>
      <c r="DP32" s="272">
        <v>0</v>
      </c>
      <c r="DQ32" s="272">
        <v>0</v>
      </c>
      <c r="DR32" s="272">
        <v>0</v>
      </c>
      <c r="DS32" s="272">
        <v>0</v>
      </c>
      <c r="DT32" s="272">
        <v>770666</v>
      </c>
      <c r="DU32" s="272">
        <v>171326</v>
      </c>
      <c r="DV32" s="455">
        <f t="shared" si="11"/>
        <v>0</v>
      </c>
      <c r="DW32" s="272">
        <v>0</v>
      </c>
      <c r="DX32" s="272">
        <v>0</v>
      </c>
      <c r="DY32" s="457" t="s">
        <v>646</v>
      </c>
      <c r="DZ32" s="272">
        <v>219894</v>
      </c>
      <c r="EA32" s="272">
        <v>146496</v>
      </c>
      <c r="EB32" s="272"/>
      <c r="EC32" s="272">
        <v>0</v>
      </c>
      <c r="ED32" s="272">
        <v>16710691</v>
      </c>
      <c r="EF32" s="272">
        <v>75308</v>
      </c>
      <c r="EG32" s="272">
        <v>0</v>
      </c>
      <c r="EH32" s="272">
        <v>75308</v>
      </c>
      <c r="EI32" s="272">
        <v>-28816</v>
      </c>
      <c r="EJ32" s="272">
        <v>-28816</v>
      </c>
      <c r="EL32" s="272"/>
      <c r="EM32" s="272">
        <v>60087</v>
      </c>
      <c r="EN32" s="272">
        <v>3442</v>
      </c>
      <c r="EO32" s="272">
        <v>486463</v>
      </c>
      <c r="EP32" s="455">
        <f t="shared" si="12"/>
        <v>610838</v>
      </c>
      <c r="EQ32" s="272">
        <v>10005998</v>
      </c>
      <c r="ER32" s="272">
        <v>-1085594</v>
      </c>
      <c r="ES32" s="272">
        <v>4133354</v>
      </c>
      <c r="ET32" s="272">
        <v>3003797</v>
      </c>
      <c r="EU32" s="272">
        <v>520151</v>
      </c>
      <c r="EV32" s="272">
        <v>1557827</v>
      </c>
      <c r="EW32" s="455">
        <f t="shared" si="13"/>
        <v>763424</v>
      </c>
      <c r="EX32" s="272">
        <v>763424</v>
      </c>
      <c r="EY32" s="272">
        <v>139871</v>
      </c>
      <c r="EZ32" s="272">
        <v>596689</v>
      </c>
      <c r="FA32" s="272">
        <v>0</v>
      </c>
      <c r="FB32" s="272"/>
      <c r="FC32" s="272">
        <v>1297508</v>
      </c>
      <c r="FD32" s="272">
        <v>947529</v>
      </c>
      <c r="FE32" s="272">
        <v>456171</v>
      </c>
      <c r="FF32" s="272">
        <v>702952</v>
      </c>
      <c r="FG32" s="455">
        <f t="shared" si="14"/>
        <v>1122218</v>
      </c>
      <c r="FH32" s="272">
        <v>11044963</v>
      </c>
      <c r="FI32" s="384">
        <f t="shared" si="15"/>
        <v>0.8</v>
      </c>
      <c r="FJ32" s="272">
        <v>8982895</v>
      </c>
      <c r="FK32" s="272"/>
      <c r="FL32" s="272">
        <v>5080734</v>
      </c>
      <c r="FM32" s="272">
        <v>7355980</v>
      </c>
      <c r="FN32" s="460">
        <v>0.69299999999999995</v>
      </c>
      <c r="FO32" s="388">
        <v>90.5</v>
      </c>
      <c r="FP32" s="388">
        <v>45</v>
      </c>
      <c r="FQ32" s="388">
        <v>5.7</v>
      </c>
      <c r="FR32" s="388">
        <v>17.100000000000001</v>
      </c>
      <c r="FS32" s="388">
        <v>11.2</v>
      </c>
      <c r="FT32" s="388">
        <v>8.4</v>
      </c>
      <c r="FU32" s="388">
        <v>1.9</v>
      </c>
      <c r="FV32" s="388">
        <v>14.1</v>
      </c>
      <c r="FW32" s="272">
        <v>14162830</v>
      </c>
      <c r="FX32" s="384">
        <f t="shared" si="16"/>
        <v>157.69999999999999</v>
      </c>
      <c r="FY32" s="272">
        <v>5065276</v>
      </c>
      <c r="FZ32" s="272"/>
      <c r="GA32" s="272">
        <v>1144996</v>
      </c>
      <c r="GB32" s="272">
        <v>3920280</v>
      </c>
      <c r="GC32" s="272"/>
      <c r="GD32" s="272">
        <v>6291850</v>
      </c>
      <c r="GE32" s="384">
        <f t="shared" si="17"/>
        <v>70</v>
      </c>
      <c r="GF32" s="388">
        <v>95.4</v>
      </c>
      <c r="GG32" s="388">
        <v>24.9</v>
      </c>
      <c r="GH32" s="388">
        <v>89.1</v>
      </c>
      <c r="GI32" s="272">
        <v>576</v>
      </c>
    </row>
    <row r="33" spans="2:191" x14ac:dyDescent="0.15">
      <c r="B33" s="89" t="s">
        <v>59</v>
      </c>
      <c r="C33" s="272">
        <v>5932855</v>
      </c>
      <c r="D33" s="455">
        <f t="shared" si="0"/>
        <v>2808704</v>
      </c>
      <c r="E33" s="272">
        <v>35574</v>
      </c>
      <c r="F33" s="272">
        <v>2773130</v>
      </c>
      <c r="G33" s="455">
        <f t="shared" si="1"/>
        <v>487428</v>
      </c>
      <c r="H33" s="272">
        <v>66660</v>
      </c>
      <c r="I33" s="272">
        <v>420768</v>
      </c>
      <c r="J33" s="272">
        <v>1921775</v>
      </c>
      <c r="K33" s="272">
        <v>1060516</v>
      </c>
      <c r="L33" s="272">
        <v>649617</v>
      </c>
      <c r="M33" s="272">
        <v>202651</v>
      </c>
      <c r="N33" s="272">
        <v>204712</v>
      </c>
      <c r="O33" s="272">
        <v>458881</v>
      </c>
      <c r="P33" s="272">
        <v>333354</v>
      </c>
      <c r="Q33" s="272">
        <v>125527</v>
      </c>
      <c r="R33" s="272">
        <v>232038</v>
      </c>
      <c r="S33" s="272">
        <v>151882</v>
      </c>
      <c r="T33" s="455">
        <f t="shared" si="2"/>
        <v>486091</v>
      </c>
      <c r="U33" s="272">
        <v>287192</v>
      </c>
      <c r="V33" s="272"/>
      <c r="W33" s="272"/>
      <c r="X33" s="272"/>
      <c r="Y33" s="272">
        <v>54168</v>
      </c>
      <c r="Z33" s="272">
        <v>160</v>
      </c>
      <c r="AA33" s="272">
        <v>144571</v>
      </c>
      <c r="AB33" s="272"/>
      <c r="AC33" s="272">
        <v>2523917</v>
      </c>
      <c r="AD33" s="272">
        <v>2237839</v>
      </c>
      <c r="AE33" s="272">
        <v>286078</v>
      </c>
      <c r="AF33" s="272">
        <v>12755</v>
      </c>
      <c r="AG33" s="272">
        <v>150171</v>
      </c>
      <c r="AH33" s="455">
        <f t="shared" si="3"/>
        <v>211474</v>
      </c>
      <c r="AI33" s="272">
        <v>90212</v>
      </c>
      <c r="AJ33" s="272">
        <v>121262</v>
      </c>
      <c r="AK33" s="272">
        <v>947412</v>
      </c>
      <c r="AL33" s="455">
        <f t="shared" si="4"/>
        <v>521088</v>
      </c>
      <c r="AM33" s="272">
        <v>357290</v>
      </c>
      <c r="AN33" s="272">
        <v>105632</v>
      </c>
      <c r="AO33" s="272">
        <v>0</v>
      </c>
      <c r="AP33" s="272">
        <v>58166</v>
      </c>
      <c r="AQ33" s="272">
        <v>111968</v>
      </c>
      <c r="AR33" s="272">
        <v>0</v>
      </c>
      <c r="AS33" s="272">
        <v>0</v>
      </c>
      <c r="AT33" s="272">
        <v>567505</v>
      </c>
      <c r="AU33" s="272">
        <v>165616</v>
      </c>
      <c r="AV33" s="272">
        <v>52815</v>
      </c>
      <c r="AW33" s="272">
        <v>2121</v>
      </c>
      <c r="AX33" s="272">
        <v>401889</v>
      </c>
      <c r="AY33" s="272">
        <v>146086</v>
      </c>
      <c r="AZ33" s="272">
        <v>446815</v>
      </c>
      <c r="BA33" s="272">
        <v>318357</v>
      </c>
      <c r="BB33" s="272">
        <v>202037</v>
      </c>
      <c r="BC33" s="272">
        <v>520535</v>
      </c>
      <c r="BD33" s="272">
        <v>55000</v>
      </c>
      <c r="BE33" s="272">
        <v>34200</v>
      </c>
      <c r="BF33" s="272">
        <v>431335</v>
      </c>
      <c r="BG33" s="272">
        <v>0</v>
      </c>
      <c r="BH33" s="272">
        <v>0</v>
      </c>
      <c r="BI33" s="272">
        <v>0</v>
      </c>
      <c r="BJ33" s="272">
        <v>171975</v>
      </c>
      <c r="BK33" s="272">
        <v>0</v>
      </c>
      <c r="BL33" s="272">
        <v>4585</v>
      </c>
      <c r="BM33" s="272">
        <v>0</v>
      </c>
      <c r="BN33" s="272">
        <v>629100</v>
      </c>
      <c r="BO33" s="455">
        <f t="shared" si="5"/>
        <v>629100</v>
      </c>
      <c r="BP33" s="455">
        <f t="shared" si="6"/>
        <v>0</v>
      </c>
      <c r="BQ33" s="272"/>
      <c r="BR33" s="272"/>
      <c r="BS33" s="272"/>
      <c r="BT33" s="272">
        <v>0</v>
      </c>
      <c r="BU33" s="272">
        <v>13034680</v>
      </c>
      <c r="BV33" s="272"/>
      <c r="BW33" s="272">
        <v>4007782</v>
      </c>
      <c r="BX33" s="272">
        <v>3121004</v>
      </c>
      <c r="BY33" s="272">
        <v>85538</v>
      </c>
      <c r="BZ33" s="272">
        <v>75961</v>
      </c>
      <c r="CA33" s="272">
        <v>1315417</v>
      </c>
      <c r="CB33" s="272">
        <v>171201</v>
      </c>
      <c r="CC33" s="272">
        <v>315766</v>
      </c>
      <c r="CD33" s="272">
        <v>305882</v>
      </c>
      <c r="CE33" s="272">
        <v>480360</v>
      </c>
      <c r="CF33" s="272">
        <v>1853</v>
      </c>
      <c r="CG33" s="272">
        <v>40084</v>
      </c>
      <c r="CH33" s="272">
        <v>1016295</v>
      </c>
      <c r="CI33" s="272">
        <v>509044</v>
      </c>
      <c r="CJ33" s="455">
        <f t="shared" si="7"/>
        <v>507251</v>
      </c>
      <c r="CK33" s="272">
        <v>1414600</v>
      </c>
      <c r="CL33" s="272">
        <v>791853</v>
      </c>
      <c r="CM33" s="272">
        <v>91834</v>
      </c>
      <c r="CN33" s="272">
        <v>283644</v>
      </c>
      <c r="CO33" s="272">
        <v>42783</v>
      </c>
      <c r="CP33" s="272">
        <v>801263</v>
      </c>
      <c r="CQ33" s="272">
        <v>337200</v>
      </c>
      <c r="CR33" s="272">
        <v>178194</v>
      </c>
      <c r="CS33" s="272">
        <v>76346</v>
      </c>
      <c r="CT33" s="455">
        <f t="shared" si="8"/>
        <v>16969</v>
      </c>
      <c r="CU33" s="272">
        <v>6569</v>
      </c>
      <c r="CV33" s="272">
        <v>10400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2391714</v>
      </c>
      <c r="DD33" s="272">
        <v>270075</v>
      </c>
      <c r="DE33" s="272">
        <v>2103371</v>
      </c>
      <c r="DF33" s="272">
        <v>13683</v>
      </c>
      <c r="DG33" s="272">
        <v>4585</v>
      </c>
      <c r="DH33" s="272">
        <v>0</v>
      </c>
      <c r="DI33" s="272">
        <v>439826</v>
      </c>
      <c r="DJ33" s="272">
        <v>4590</v>
      </c>
      <c r="DK33" s="272">
        <v>90086</v>
      </c>
      <c r="DL33" s="272">
        <v>345150</v>
      </c>
      <c r="DM33" s="272">
        <v>0</v>
      </c>
      <c r="DN33" s="272">
        <v>0</v>
      </c>
      <c r="DO33" s="272">
        <v>0</v>
      </c>
      <c r="DP33" s="272">
        <v>0</v>
      </c>
      <c r="DQ33" s="272">
        <v>0</v>
      </c>
      <c r="DR33" s="272">
        <v>0</v>
      </c>
      <c r="DS33" s="272">
        <v>0</v>
      </c>
      <c r="DT33" s="272">
        <v>1078141</v>
      </c>
      <c r="DU33" s="272">
        <v>764424</v>
      </c>
      <c r="DV33" s="455">
        <f t="shared" si="11"/>
        <v>0</v>
      </c>
      <c r="DW33" s="272">
        <v>0</v>
      </c>
      <c r="DX33" s="272">
        <v>0</v>
      </c>
      <c r="DY33" s="457" t="s">
        <v>646</v>
      </c>
      <c r="DZ33" s="272">
        <v>192400</v>
      </c>
      <c r="EA33" s="272">
        <v>121317</v>
      </c>
      <c r="EB33" s="272"/>
      <c r="EC33" s="272">
        <v>115035</v>
      </c>
      <c r="ED33" s="272">
        <v>12622856</v>
      </c>
      <c r="EF33" s="272">
        <v>411824</v>
      </c>
      <c r="EG33" s="272">
        <v>361940</v>
      </c>
      <c r="EH33" s="272">
        <v>49884</v>
      </c>
      <c r="EI33" s="272">
        <v>265762</v>
      </c>
      <c r="EJ33" s="272">
        <v>215352</v>
      </c>
      <c r="EL33" s="272"/>
      <c r="EM33" s="272">
        <v>50130</v>
      </c>
      <c r="EN33" s="272">
        <v>424750</v>
      </c>
      <c r="EO33" s="272">
        <v>321319</v>
      </c>
      <c r="EP33" s="455">
        <f t="shared" si="12"/>
        <v>328857</v>
      </c>
      <c r="EQ33" s="272">
        <v>9187656</v>
      </c>
      <c r="ER33" s="272">
        <v>-1062171</v>
      </c>
      <c r="ES33" s="272">
        <v>3680095</v>
      </c>
      <c r="ET33" s="272">
        <v>2854957</v>
      </c>
      <c r="EU33" s="272">
        <v>414509</v>
      </c>
      <c r="EV33" s="272">
        <v>1016295</v>
      </c>
      <c r="EW33" s="455">
        <f t="shared" si="13"/>
        <v>1367397</v>
      </c>
      <c r="EX33" s="272">
        <v>1367397</v>
      </c>
      <c r="EY33" s="272">
        <v>31632</v>
      </c>
      <c r="EZ33" s="272">
        <v>1330502</v>
      </c>
      <c r="FA33" s="272">
        <v>0</v>
      </c>
      <c r="FB33" s="272"/>
      <c r="FC33" s="272">
        <v>1115322</v>
      </c>
      <c r="FD33" s="272">
        <v>732067</v>
      </c>
      <c r="FE33" s="272">
        <v>337200</v>
      </c>
      <c r="FF33" s="272">
        <v>1041457</v>
      </c>
      <c r="FG33" s="455">
        <f t="shared" si="14"/>
        <v>471128</v>
      </c>
      <c r="FH33" s="272">
        <v>9838270</v>
      </c>
      <c r="FI33" s="384">
        <f t="shared" si="15"/>
        <v>0.6</v>
      </c>
      <c r="FJ33" s="272">
        <v>8113177</v>
      </c>
      <c r="FK33" s="272"/>
      <c r="FL33" s="272">
        <v>4428691</v>
      </c>
      <c r="FM33" s="272">
        <v>6670141</v>
      </c>
      <c r="FN33" s="460">
        <v>0.65200000000000002</v>
      </c>
      <c r="FO33" s="388">
        <v>83.9</v>
      </c>
      <c r="FP33" s="388">
        <v>42.7</v>
      </c>
      <c r="FQ33" s="388">
        <v>4.8</v>
      </c>
      <c r="FR33" s="388">
        <v>11.9</v>
      </c>
      <c r="FS33" s="388">
        <v>10.1</v>
      </c>
      <c r="FT33" s="388">
        <v>7</v>
      </c>
      <c r="FU33" s="388">
        <v>6.8</v>
      </c>
      <c r="FV33" s="388">
        <v>10.7</v>
      </c>
      <c r="FW33" s="272">
        <v>7901456</v>
      </c>
      <c r="FX33" s="384">
        <f t="shared" si="16"/>
        <v>97.4</v>
      </c>
      <c r="FY33" s="272">
        <v>1669763</v>
      </c>
      <c r="FZ33" s="272">
        <v>13165</v>
      </c>
      <c r="GA33" s="272">
        <v>345660</v>
      </c>
      <c r="GB33" s="272">
        <v>1310938</v>
      </c>
      <c r="GC33" s="272"/>
      <c r="GD33" s="272">
        <v>6022957</v>
      </c>
      <c r="GE33" s="384">
        <f t="shared" si="17"/>
        <v>74.2</v>
      </c>
      <c r="GF33" s="388">
        <v>96.7</v>
      </c>
      <c r="GG33" s="388">
        <v>39.299999999999997</v>
      </c>
      <c r="GH33" s="388">
        <v>93.5</v>
      </c>
      <c r="GI33" s="272">
        <v>460</v>
      </c>
    </row>
    <row r="34" spans="2:191" x14ac:dyDescent="0.15">
      <c r="B34" s="89" t="s">
        <v>61</v>
      </c>
      <c r="C34" s="272">
        <v>8339008</v>
      </c>
      <c r="D34" s="455">
        <f t="shared" si="0"/>
        <v>4815203</v>
      </c>
      <c r="E34" s="272">
        <v>44057</v>
      </c>
      <c r="F34" s="272">
        <v>4771146</v>
      </c>
      <c r="G34" s="455">
        <f t="shared" si="1"/>
        <v>602695</v>
      </c>
      <c r="H34" s="272">
        <v>71062</v>
      </c>
      <c r="I34" s="272">
        <v>531633</v>
      </c>
      <c r="J34" s="272">
        <v>2138640</v>
      </c>
      <c r="K34" s="272">
        <v>947477</v>
      </c>
      <c r="L34" s="272">
        <v>828468</v>
      </c>
      <c r="M34" s="272">
        <v>337250</v>
      </c>
      <c r="N34" s="272">
        <v>227281</v>
      </c>
      <c r="O34" s="272">
        <v>506951</v>
      </c>
      <c r="P34" s="272">
        <v>326338</v>
      </c>
      <c r="Q34" s="272">
        <v>180613</v>
      </c>
      <c r="R34" s="272">
        <v>302470</v>
      </c>
      <c r="S34" s="272">
        <v>188060</v>
      </c>
      <c r="T34" s="455">
        <f t="shared" si="2"/>
        <v>857811</v>
      </c>
      <c r="U34" s="272">
        <v>501620</v>
      </c>
      <c r="V34" s="272"/>
      <c r="W34" s="272"/>
      <c r="X34" s="272"/>
      <c r="Y34" s="272">
        <v>150312</v>
      </c>
      <c r="Z34" s="272">
        <v>0</v>
      </c>
      <c r="AA34" s="272">
        <v>205879</v>
      </c>
      <c r="AB34" s="272"/>
      <c r="AC34" s="272">
        <v>1978953</v>
      </c>
      <c r="AD34" s="272">
        <v>1729089</v>
      </c>
      <c r="AE34" s="272">
        <v>249864</v>
      </c>
      <c r="AF34" s="272">
        <v>14445</v>
      </c>
      <c r="AG34" s="272">
        <v>88286</v>
      </c>
      <c r="AH34" s="455">
        <f t="shared" si="3"/>
        <v>135073</v>
      </c>
      <c r="AI34" s="272">
        <v>62046</v>
      </c>
      <c r="AJ34" s="272">
        <v>73027</v>
      </c>
      <c r="AK34" s="272">
        <v>706557</v>
      </c>
      <c r="AL34" s="455">
        <f t="shared" si="4"/>
        <v>375751</v>
      </c>
      <c r="AM34" s="272">
        <v>239561</v>
      </c>
      <c r="AN34" s="272">
        <v>88231</v>
      </c>
      <c r="AO34" s="272">
        <v>0</v>
      </c>
      <c r="AP34" s="272">
        <v>47959</v>
      </c>
      <c r="AQ34" s="272">
        <v>87458</v>
      </c>
      <c r="AR34" s="272">
        <v>0</v>
      </c>
      <c r="AS34" s="272">
        <v>0</v>
      </c>
      <c r="AT34" s="272">
        <v>864999</v>
      </c>
      <c r="AU34" s="272">
        <v>181383</v>
      </c>
      <c r="AV34" s="272">
        <v>44115</v>
      </c>
      <c r="AW34" s="272">
        <v>58220</v>
      </c>
      <c r="AX34" s="272">
        <v>683616</v>
      </c>
      <c r="AY34" s="272">
        <v>346906</v>
      </c>
      <c r="AZ34" s="272">
        <v>381518</v>
      </c>
      <c r="BA34" s="272">
        <v>1548</v>
      </c>
      <c r="BB34" s="272">
        <v>745322</v>
      </c>
      <c r="BC34" s="272">
        <v>1350843</v>
      </c>
      <c r="BD34" s="272">
        <v>0</v>
      </c>
      <c r="BE34" s="272">
        <v>88767</v>
      </c>
      <c r="BF34" s="272">
        <v>1262076</v>
      </c>
      <c r="BG34" s="272">
        <v>0</v>
      </c>
      <c r="BH34" s="272">
        <v>79813</v>
      </c>
      <c r="BI34" s="272">
        <v>67213</v>
      </c>
      <c r="BJ34" s="272">
        <v>1141076</v>
      </c>
      <c r="BK34" s="272">
        <v>1056721</v>
      </c>
      <c r="BL34" s="272">
        <v>0</v>
      </c>
      <c r="BM34" s="272">
        <v>0</v>
      </c>
      <c r="BN34" s="272">
        <v>6161700</v>
      </c>
      <c r="BO34" s="455">
        <f t="shared" si="5"/>
        <v>6161700</v>
      </c>
      <c r="BP34" s="455">
        <f t="shared" si="6"/>
        <v>0</v>
      </c>
      <c r="BQ34" s="272"/>
      <c r="BR34" s="272"/>
      <c r="BS34" s="272"/>
      <c r="BT34" s="272">
        <v>0</v>
      </c>
      <c r="BU34" s="272">
        <v>23147874</v>
      </c>
      <c r="BV34" s="272"/>
      <c r="BW34" s="272">
        <v>4722506</v>
      </c>
      <c r="BX34" s="272">
        <v>3577080</v>
      </c>
      <c r="BY34" s="272">
        <v>189389</v>
      </c>
      <c r="BZ34" s="272">
        <v>133745</v>
      </c>
      <c r="CA34" s="272">
        <v>1161551</v>
      </c>
      <c r="CB34" s="272">
        <v>195320</v>
      </c>
      <c r="CC34" s="272">
        <v>263612</v>
      </c>
      <c r="CD34" s="272">
        <v>332041</v>
      </c>
      <c r="CE34" s="272">
        <v>315925</v>
      </c>
      <c r="CF34" s="272">
        <v>0</v>
      </c>
      <c r="CG34" s="272">
        <v>54653</v>
      </c>
      <c r="CH34" s="272">
        <v>2018518</v>
      </c>
      <c r="CI34" s="272">
        <v>1023041</v>
      </c>
      <c r="CJ34" s="455">
        <f t="shared" si="7"/>
        <v>995477</v>
      </c>
      <c r="CK34" s="272">
        <v>1626657</v>
      </c>
      <c r="CL34" s="272">
        <v>893176</v>
      </c>
      <c r="CM34" s="272">
        <v>61235</v>
      </c>
      <c r="CN34" s="272">
        <v>431824</v>
      </c>
      <c r="CO34" s="272">
        <v>97592</v>
      </c>
      <c r="CP34" s="272">
        <v>1270015</v>
      </c>
      <c r="CQ34" s="272">
        <v>267871</v>
      </c>
      <c r="CR34" s="272">
        <v>196977</v>
      </c>
      <c r="CS34" s="272">
        <v>179367</v>
      </c>
      <c r="CT34" s="455">
        <f t="shared" si="8"/>
        <v>4474</v>
      </c>
      <c r="CU34" s="272">
        <v>4474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8620509</v>
      </c>
      <c r="DD34" s="272">
        <v>324226</v>
      </c>
      <c r="DE34" s="272">
        <v>8296283</v>
      </c>
      <c r="DF34" s="272">
        <v>0</v>
      </c>
      <c r="DG34" s="272">
        <v>0</v>
      </c>
      <c r="DH34" s="272">
        <v>1113</v>
      </c>
      <c r="DI34" s="272">
        <v>1383429</v>
      </c>
      <c r="DJ34" s="272">
        <v>447495</v>
      </c>
      <c r="DK34" s="272">
        <v>100971</v>
      </c>
      <c r="DL34" s="272">
        <v>834963</v>
      </c>
      <c r="DM34" s="272">
        <v>820</v>
      </c>
      <c r="DN34" s="272">
        <v>0</v>
      </c>
      <c r="DO34" s="272">
        <v>0</v>
      </c>
      <c r="DP34" s="272">
        <v>0</v>
      </c>
      <c r="DQ34" s="272">
        <v>1000000</v>
      </c>
      <c r="DR34" s="272">
        <v>0</v>
      </c>
      <c r="DS34" s="272">
        <v>0</v>
      </c>
      <c r="DT34" s="272">
        <v>1147739</v>
      </c>
      <c r="DU34" s="272">
        <v>599000</v>
      </c>
      <c r="DV34" s="455">
        <f t="shared" si="11"/>
        <v>0</v>
      </c>
      <c r="DW34" s="272">
        <v>0</v>
      </c>
      <c r="DX34" s="272">
        <v>0</v>
      </c>
      <c r="DY34" s="457" t="s">
        <v>646</v>
      </c>
      <c r="DZ34" s="272">
        <v>105595</v>
      </c>
      <c r="EA34" s="272">
        <v>168187</v>
      </c>
      <c r="EB34" s="272"/>
      <c r="EC34" s="272">
        <v>0</v>
      </c>
      <c r="ED34" s="272">
        <v>23050449</v>
      </c>
      <c r="EF34" s="272">
        <v>97425</v>
      </c>
      <c r="EG34" s="272">
        <v>0</v>
      </c>
      <c r="EH34" s="272">
        <v>97425</v>
      </c>
      <c r="EI34" s="272">
        <v>30212</v>
      </c>
      <c r="EJ34" s="272">
        <v>477707</v>
      </c>
      <c r="EL34" s="272"/>
      <c r="EM34" s="272">
        <v>66056</v>
      </c>
      <c r="EN34" s="272">
        <v>88767</v>
      </c>
      <c r="EO34" s="272">
        <v>75097</v>
      </c>
      <c r="EP34" s="455">
        <f t="shared" si="12"/>
        <v>922183</v>
      </c>
      <c r="EQ34" s="272">
        <v>11492687</v>
      </c>
      <c r="ER34" s="272">
        <v>-1071602</v>
      </c>
      <c r="ES34" s="272">
        <v>4504860</v>
      </c>
      <c r="ET34" s="272">
        <v>3368948</v>
      </c>
      <c r="EU34" s="272">
        <v>385001</v>
      </c>
      <c r="EV34" s="272">
        <v>2018518</v>
      </c>
      <c r="EW34" s="455">
        <f t="shared" si="13"/>
        <v>1192196</v>
      </c>
      <c r="EX34" s="272">
        <v>1191083</v>
      </c>
      <c r="EY34" s="272">
        <v>117371</v>
      </c>
      <c r="EZ34" s="272">
        <v>1073712</v>
      </c>
      <c r="FA34" s="272">
        <v>1113</v>
      </c>
      <c r="FB34" s="272"/>
      <c r="FC34" s="272">
        <v>1379446</v>
      </c>
      <c r="FD34" s="272">
        <v>720629</v>
      </c>
      <c r="FE34" s="272">
        <v>267871</v>
      </c>
      <c r="FF34" s="272">
        <v>1084160</v>
      </c>
      <c r="FG34" s="455">
        <f t="shared" si="14"/>
        <v>1187029</v>
      </c>
      <c r="FH34" s="272">
        <v>12471839</v>
      </c>
      <c r="FI34" s="384">
        <f t="shared" si="15"/>
        <v>0.9</v>
      </c>
      <c r="FJ34" s="272">
        <v>10260946</v>
      </c>
      <c r="FK34" s="272"/>
      <c r="FL34" s="272">
        <v>6429674</v>
      </c>
      <c r="FM34" s="272">
        <v>8179581</v>
      </c>
      <c r="FN34" s="460">
        <v>0.78500000000000003</v>
      </c>
      <c r="FO34" s="388">
        <v>83.8</v>
      </c>
      <c r="FP34" s="388">
        <v>41.2</v>
      </c>
      <c r="FQ34" s="388">
        <v>3.6</v>
      </c>
      <c r="FR34" s="388">
        <v>18.7</v>
      </c>
      <c r="FS34" s="388">
        <v>11.6</v>
      </c>
      <c r="FT34" s="388">
        <v>5.6</v>
      </c>
      <c r="FU34" s="388">
        <v>2.2000000000000002</v>
      </c>
      <c r="FV34" s="388">
        <v>15.1</v>
      </c>
      <c r="FW34" s="272">
        <v>20727204</v>
      </c>
      <c r="FX34" s="384">
        <f t="shared" si="16"/>
        <v>202</v>
      </c>
      <c r="FY34" s="272">
        <v>5347069</v>
      </c>
      <c r="FZ34" s="272">
        <v>2511011</v>
      </c>
      <c r="GA34" s="272">
        <v>998732</v>
      </c>
      <c r="GB34" s="272">
        <v>1837326</v>
      </c>
      <c r="GC34" s="272"/>
      <c r="GD34" s="272">
        <v>24087152</v>
      </c>
      <c r="GE34" s="384">
        <f t="shared" si="17"/>
        <v>234.7</v>
      </c>
      <c r="GF34" s="388">
        <v>97.5</v>
      </c>
      <c r="GG34" s="388">
        <v>43.6</v>
      </c>
      <c r="GH34" s="388">
        <v>95.5</v>
      </c>
      <c r="GI34" s="272">
        <v>506</v>
      </c>
    </row>
    <row r="35" spans="2:191" x14ac:dyDescent="0.15">
      <c r="B35" s="89" t="s">
        <v>63</v>
      </c>
      <c r="C35" s="272">
        <v>7538843</v>
      </c>
      <c r="D35" s="455">
        <f t="shared" si="0"/>
        <v>4349769</v>
      </c>
      <c r="E35" s="272">
        <v>36198</v>
      </c>
      <c r="F35" s="272">
        <v>4313571</v>
      </c>
      <c r="G35" s="455">
        <f t="shared" si="1"/>
        <v>409008</v>
      </c>
      <c r="H35" s="272">
        <v>60093</v>
      </c>
      <c r="I35" s="272">
        <v>348915</v>
      </c>
      <c r="J35" s="272">
        <v>2168958</v>
      </c>
      <c r="K35" s="272">
        <v>924826</v>
      </c>
      <c r="L35" s="272">
        <v>935452</v>
      </c>
      <c r="M35" s="272">
        <v>285446</v>
      </c>
      <c r="N35" s="272">
        <v>200267</v>
      </c>
      <c r="O35" s="272">
        <v>366502</v>
      </c>
      <c r="P35" s="272">
        <v>231157</v>
      </c>
      <c r="Q35" s="272">
        <v>135345</v>
      </c>
      <c r="R35" s="272">
        <v>265189</v>
      </c>
      <c r="S35" s="272">
        <v>169866</v>
      </c>
      <c r="T35" s="455">
        <f t="shared" si="2"/>
        <v>615580</v>
      </c>
      <c r="U35" s="272">
        <v>443518</v>
      </c>
      <c r="V35" s="272"/>
      <c r="W35" s="272"/>
      <c r="X35" s="272"/>
      <c r="Y35" s="272">
        <v>0</v>
      </c>
      <c r="Z35" s="272">
        <v>642</v>
      </c>
      <c r="AA35" s="272">
        <v>171420</v>
      </c>
      <c r="AB35" s="272"/>
      <c r="AC35" s="272">
        <v>1390478</v>
      </c>
      <c r="AD35" s="272">
        <v>1088274</v>
      </c>
      <c r="AE35" s="272">
        <v>302204</v>
      </c>
      <c r="AF35" s="272">
        <v>15297</v>
      </c>
      <c r="AG35" s="272">
        <v>74806</v>
      </c>
      <c r="AH35" s="455">
        <f t="shared" si="3"/>
        <v>183458</v>
      </c>
      <c r="AI35" s="272">
        <v>151196</v>
      </c>
      <c r="AJ35" s="272">
        <v>32262</v>
      </c>
      <c r="AK35" s="272">
        <v>1185409</v>
      </c>
      <c r="AL35" s="455">
        <f t="shared" si="4"/>
        <v>324630</v>
      </c>
      <c r="AM35" s="272">
        <v>241517</v>
      </c>
      <c r="AN35" s="272">
        <v>50135</v>
      </c>
      <c r="AO35" s="272">
        <v>0</v>
      </c>
      <c r="AP35" s="272">
        <v>32978</v>
      </c>
      <c r="AQ35" s="272">
        <v>407940</v>
      </c>
      <c r="AR35" s="272">
        <v>0</v>
      </c>
      <c r="AS35" s="272">
        <v>0</v>
      </c>
      <c r="AT35" s="272">
        <v>483436</v>
      </c>
      <c r="AU35" s="272">
        <v>95530</v>
      </c>
      <c r="AV35" s="272">
        <v>25067</v>
      </c>
      <c r="AW35" s="272">
        <v>0</v>
      </c>
      <c r="AX35" s="272">
        <v>387906</v>
      </c>
      <c r="AY35" s="272">
        <v>109567</v>
      </c>
      <c r="AZ35" s="272">
        <v>567417</v>
      </c>
      <c r="BA35" s="272">
        <v>97825</v>
      </c>
      <c r="BB35" s="272">
        <v>100105</v>
      </c>
      <c r="BC35" s="272">
        <v>337374</v>
      </c>
      <c r="BD35" s="272">
        <v>200000</v>
      </c>
      <c r="BE35" s="272">
        <v>0</v>
      </c>
      <c r="BF35" s="272">
        <v>137374</v>
      </c>
      <c r="BG35" s="272">
        <v>0</v>
      </c>
      <c r="BH35" s="272">
        <v>224668</v>
      </c>
      <c r="BI35" s="272">
        <v>224668</v>
      </c>
      <c r="BJ35" s="272">
        <v>207118</v>
      </c>
      <c r="BK35" s="272">
        <v>213</v>
      </c>
      <c r="BL35" s="272">
        <v>0</v>
      </c>
      <c r="BM35" s="272">
        <v>0</v>
      </c>
      <c r="BN35" s="272">
        <v>482400</v>
      </c>
      <c r="BO35" s="455">
        <f t="shared" si="5"/>
        <v>482400</v>
      </c>
      <c r="BP35" s="455">
        <f t="shared" si="6"/>
        <v>0</v>
      </c>
      <c r="BQ35" s="272"/>
      <c r="BR35" s="272"/>
      <c r="BS35" s="272"/>
      <c r="BT35" s="272">
        <v>0</v>
      </c>
      <c r="BU35" s="272">
        <v>13671578</v>
      </c>
      <c r="BV35" s="272"/>
      <c r="BW35" s="272">
        <v>3563943</v>
      </c>
      <c r="BX35" s="272">
        <v>2842340</v>
      </c>
      <c r="BY35" s="272">
        <v>19524</v>
      </c>
      <c r="BZ35" s="272">
        <v>22719</v>
      </c>
      <c r="CA35" s="272">
        <v>834348</v>
      </c>
      <c r="CB35" s="272">
        <v>112657</v>
      </c>
      <c r="CC35" s="272">
        <v>212043</v>
      </c>
      <c r="CD35" s="272">
        <v>173182</v>
      </c>
      <c r="CE35" s="272">
        <v>320398</v>
      </c>
      <c r="CF35" s="272">
        <v>0</v>
      </c>
      <c r="CG35" s="272">
        <v>16068</v>
      </c>
      <c r="CH35" s="272">
        <v>1524279</v>
      </c>
      <c r="CI35" s="272">
        <v>902960</v>
      </c>
      <c r="CJ35" s="455">
        <f t="shared" si="7"/>
        <v>621319</v>
      </c>
      <c r="CK35" s="272">
        <v>1654166</v>
      </c>
      <c r="CL35" s="272">
        <v>818026</v>
      </c>
      <c r="CM35" s="272">
        <v>84524</v>
      </c>
      <c r="CN35" s="272">
        <v>450620</v>
      </c>
      <c r="CO35" s="272">
        <v>16825</v>
      </c>
      <c r="CP35" s="272">
        <v>900802</v>
      </c>
      <c r="CQ35" s="272">
        <v>308985</v>
      </c>
      <c r="CR35" s="272">
        <v>246715</v>
      </c>
      <c r="CS35" s="272">
        <v>197590</v>
      </c>
      <c r="CT35" s="455">
        <f t="shared" si="8"/>
        <v>23690</v>
      </c>
      <c r="CU35" s="272">
        <v>3090</v>
      </c>
      <c r="CV35" s="272">
        <v>20600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2811055</v>
      </c>
      <c r="DD35" s="272">
        <v>878432</v>
      </c>
      <c r="DE35" s="272">
        <v>1932623</v>
      </c>
      <c r="DF35" s="272">
        <v>0</v>
      </c>
      <c r="DG35" s="272">
        <v>0</v>
      </c>
      <c r="DH35" s="272">
        <v>0</v>
      </c>
      <c r="DI35" s="272">
        <v>889495</v>
      </c>
      <c r="DJ35" s="272">
        <v>180000</v>
      </c>
      <c r="DK35" s="272">
        <v>100000</v>
      </c>
      <c r="DL35" s="272">
        <v>609495</v>
      </c>
      <c r="DM35" s="272">
        <v>430</v>
      </c>
      <c r="DN35" s="272">
        <v>0</v>
      </c>
      <c r="DO35" s="272">
        <v>0</v>
      </c>
      <c r="DP35" s="272">
        <v>0</v>
      </c>
      <c r="DQ35" s="272">
        <v>462</v>
      </c>
      <c r="DR35" s="272">
        <v>0</v>
      </c>
      <c r="DS35" s="272">
        <v>0</v>
      </c>
      <c r="DT35" s="272">
        <v>1131272</v>
      </c>
      <c r="DU35" s="272">
        <v>566120</v>
      </c>
      <c r="DV35" s="455">
        <f t="shared" si="11"/>
        <v>0</v>
      </c>
      <c r="DW35" s="272">
        <v>0</v>
      </c>
      <c r="DX35" s="272">
        <v>0</v>
      </c>
      <c r="DY35" s="457" t="s">
        <v>646</v>
      </c>
      <c r="DZ35" s="272">
        <v>242558</v>
      </c>
      <c r="EA35" s="272">
        <v>109071</v>
      </c>
      <c r="EB35" s="272"/>
      <c r="EC35" s="272">
        <v>0</v>
      </c>
      <c r="ED35" s="272">
        <v>13327077</v>
      </c>
      <c r="EF35" s="272">
        <v>344501</v>
      </c>
      <c r="EG35" s="272">
        <v>98702</v>
      </c>
      <c r="EH35" s="272">
        <v>245799</v>
      </c>
      <c r="EI35" s="272">
        <v>21131</v>
      </c>
      <c r="EJ35" s="272">
        <v>1131</v>
      </c>
      <c r="EL35" s="272"/>
      <c r="EM35" s="272">
        <v>53709</v>
      </c>
      <c r="EN35" s="272">
        <v>200000</v>
      </c>
      <c r="EO35" s="272">
        <v>99212</v>
      </c>
      <c r="EP35" s="455">
        <f t="shared" si="12"/>
        <v>869499</v>
      </c>
      <c r="EQ35" s="272">
        <v>9825387</v>
      </c>
      <c r="ER35" s="272">
        <v>-1153414</v>
      </c>
      <c r="ES35" s="272">
        <v>3289622</v>
      </c>
      <c r="ET35" s="272">
        <v>2573611</v>
      </c>
      <c r="EU35" s="272">
        <v>239435</v>
      </c>
      <c r="EV35" s="272">
        <v>1524279</v>
      </c>
      <c r="EW35" s="455">
        <f t="shared" si="13"/>
        <v>1671557</v>
      </c>
      <c r="EX35" s="272">
        <v>1671557</v>
      </c>
      <c r="EY35" s="272">
        <v>354992</v>
      </c>
      <c r="EZ35" s="272">
        <v>1316565</v>
      </c>
      <c r="FA35" s="272">
        <v>0</v>
      </c>
      <c r="FB35" s="272"/>
      <c r="FC35" s="272">
        <v>1500892</v>
      </c>
      <c r="FD35" s="272">
        <v>871540</v>
      </c>
      <c r="FE35" s="272">
        <v>308985</v>
      </c>
      <c r="FF35" s="272">
        <v>1099429</v>
      </c>
      <c r="FG35" s="455">
        <f t="shared" si="14"/>
        <v>439007</v>
      </c>
      <c r="FH35" s="272">
        <v>10635761</v>
      </c>
      <c r="FI35" s="384">
        <f t="shared" si="15"/>
        <v>2.7</v>
      </c>
      <c r="FJ35" s="272">
        <v>8991381</v>
      </c>
      <c r="FK35" s="272"/>
      <c r="FL35" s="272">
        <v>5953872</v>
      </c>
      <c r="FM35" s="272">
        <v>7064100</v>
      </c>
      <c r="FN35" s="460">
        <v>0.85099999999999998</v>
      </c>
      <c r="FO35" s="388">
        <v>77.3</v>
      </c>
      <c r="FP35" s="388">
        <v>35.299999999999997</v>
      </c>
      <c r="FQ35" s="388">
        <v>2.6</v>
      </c>
      <c r="FR35" s="388">
        <v>12.8</v>
      </c>
      <c r="FS35" s="388">
        <v>16</v>
      </c>
      <c r="FT35" s="388">
        <v>8.5</v>
      </c>
      <c r="FU35" s="388">
        <v>1.9</v>
      </c>
      <c r="FV35" s="388">
        <v>10.3</v>
      </c>
      <c r="FW35" s="272">
        <v>9396384</v>
      </c>
      <c r="FX35" s="384">
        <f t="shared" si="16"/>
        <v>104.5</v>
      </c>
      <c r="FY35" s="272">
        <v>7176100</v>
      </c>
      <c r="FZ35" s="272">
        <v>2250000</v>
      </c>
      <c r="GA35" s="272">
        <v>250000</v>
      </c>
      <c r="GB35" s="272">
        <v>4676100</v>
      </c>
      <c r="GC35" s="272"/>
      <c r="GD35" s="272">
        <v>5821460</v>
      </c>
      <c r="GE35" s="384">
        <f t="shared" si="17"/>
        <v>64.7</v>
      </c>
      <c r="GF35" s="388">
        <v>97.4</v>
      </c>
      <c r="GG35" s="388">
        <v>41</v>
      </c>
      <c r="GH35" s="388">
        <v>95.5</v>
      </c>
      <c r="GI35" s="272">
        <v>470</v>
      </c>
    </row>
    <row r="36" spans="2:191" x14ac:dyDescent="0.15">
      <c r="B36" s="89" t="s">
        <v>65</v>
      </c>
      <c r="C36" s="272">
        <v>6208345</v>
      </c>
      <c r="D36" s="455">
        <f t="shared" si="0"/>
        <v>3185166</v>
      </c>
      <c r="E36" s="272">
        <v>26609</v>
      </c>
      <c r="F36" s="272">
        <v>3158557</v>
      </c>
      <c r="G36" s="455">
        <f t="shared" si="1"/>
        <v>291252</v>
      </c>
      <c r="H36" s="272">
        <v>58909</v>
      </c>
      <c r="I36" s="272">
        <v>232343</v>
      </c>
      <c r="J36" s="272">
        <v>1901103</v>
      </c>
      <c r="K36" s="272">
        <v>894811</v>
      </c>
      <c r="L36" s="272">
        <v>760548</v>
      </c>
      <c r="M36" s="272">
        <v>218489</v>
      </c>
      <c r="N36" s="272">
        <v>203242</v>
      </c>
      <c r="O36" s="272">
        <v>322410</v>
      </c>
      <c r="P36" s="272">
        <v>211589</v>
      </c>
      <c r="Q36" s="272">
        <v>110821</v>
      </c>
      <c r="R36" s="272">
        <v>258627</v>
      </c>
      <c r="S36" s="272">
        <v>158813</v>
      </c>
      <c r="T36" s="455">
        <f t="shared" si="2"/>
        <v>500499</v>
      </c>
      <c r="U36" s="272">
        <v>301404</v>
      </c>
      <c r="V36" s="272"/>
      <c r="W36" s="272"/>
      <c r="X36" s="272"/>
      <c r="Y36" s="272">
        <v>19007</v>
      </c>
      <c r="Z36" s="272">
        <v>184</v>
      </c>
      <c r="AA36" s="272">
        <v>179904</v>
      </c>
      <c r="AB36" s="272"/>
      <c r="AC36" s="272">
        <v>1886734</v>
      </c>
      <c r="AD36" s="272">
        <v>1351403</v>
      </c>
      <c r="AE36" s="272">
        <v>535331</v>
      </c>
      <c r="AF36" s="272">
        <v>17082</v>
      </c>
      <c r="AG36" s="272">
        <v>70335</v>
      </c>
      <c r="AH36" s="455">
        <f t="shared" si="3"/>
        <v>194086</v>
      </c>
      <c r="AI36" s="272">
        <v>171899</v>
      </c>
      <c r="AJ36" s="272">
        <v>22187</v>
      </c>
      <c r="AK36" s="272">
        <v>793683</v>
      </c>
      <c r="AL36" s="455">
        <f t="shared" si="4"/>
        <v>596101</v>
      </c>
      <c r="AM36" s="272">
        <v>431858</v>
      </c>
      <c r="AN36" s="272">
        <v>123529</v>
      </c>
      <c r="AO36" s="272">
        <v>0</v>
      </c>
      <c r="AP36" s="272">
        <v>40714</v>
      </c>
      <c r="AQ36" s="272">
        <v>51493</v>
      </c>
      <c r="AR36" s="272">
        <v>0</v>
      </c>
      <c r="AS36" s="272">
        <v>0</v>
      </c>
      <c r="AT36" s="272">
        <v>1721200</v>
      </c>
      <c r="AU36" s="272">
        <v>1160038</v>
      </c>
      <c r="AV36" s="272">
        <v>43447</v>
      </c>
      <c r="AW36" s="272">
        <v>23331</v>
      </c>
      <c r="AX36" s="272">
        <v>561162</v>
      </c>
      <c r="AY36" s="272">
        <v>219324</v>
      </c>
      <c r="AZ36" s="272">
        <v>328215</v>
      </c>
      <c r="BA36" s="272">
        <v>11592</v>
      </c>
      <c r="BB36" s="272">
        <v>84865</v>
      </c>
      <c r="BC36" s="272">
        <v>1381373</v>
      </c>
      <c r="BD36" s="272">
        <v>1110000</v>
      </c>
      <c r="BE36" s="272">
        <v>50228</v>
      </c>
      <c r="BF36" s="272">
        <v>219238</v>
      </c>
      <c r="BG36" s="272">
        <v>0</v>
      </c>
      <c r="BH36" s="272">
        <v>290343</v>
      </c>
      <c r="BI36" s="272">
        <v>290339</v>
      </c>
      <c r="BJ36" s="272">
        <v>478649</v>
      </c>
      <c r="BK36" s="272">
        <v>13267</v>
      </c>
      <c r="BL36" s="272">
        <v>0</v>
      </c>
      <c r="BM36" s="272">
        <v>0</v>
      </c>
      <c r="BN36" s="272">
        <v>1182300</v>
      </c>
      <c r="BO36" s="455">
        <f t="shared" si="5"/>
        <v>1182300</v>
      </c>
      <c r="BP36" s="455">
        <f t="shared" si="6"/>
        <v>0</v>
      </c>
      <c r="BQ36" s="272"/>
      <c r="BR36" s="272"/>
      <c r="BS36" s="272"/>
      <c r="BT36" s="272">
        <v>0</v>
      </c>
      <c r="BU36" s="272">
        <v>15396336</v>
      </c>
      <c r="BV36" s="272"/>
      <c r="BW36" s="272">
        <v>3751245</v>
      </c>
      <c r="BX36" s="272">
        <v>2927677</v>
      </c>
      <c r="BY36" s="272">
        <v>149460</v>
      </c>
      <c r="BZ36" s="272">
        <v>14727</v>
      </c>
      <c r="CA36" s="272">
        <v>1080718</v>
      </c>
      <c r="CB36" s="272">
        <v>131024</v>
      </c>
      <c r="CC36" s="272">
        <v>241856</v>
      </c>
      <c r="CD36" s="272">
        <v>160030</v>
      </c>
      <c r="CE36" s="272">
        <v>531293</v>
      </c>
      <c r="CF36" s="272">
        <v>6096</v>
      </c>
      <c r="CG36" s="272">
        <v>10419</v>
      </c>
      <c r="CH36" s="272">
        <v>1050130</v>
      </c>
      <c r="CI36" s="272">
        <v>409038</v>
      </c>
      <c r="CJ36" s="455">
        <f t="shared" si="7"/>
        <v>641092</v>
      </c>
      <c r="CK36" s="272">
        <v>2021632</v>
      </c>
      <c r="CL36" s="272">
        <v>1013111</v>
      </c>
      <c r="CM36" s="272">
        <v>191525</v>
      </c>
      <c r="CN36" s="272">
        <v>520851</v>
      </c>
      <c r="CO36" s="272">
        <v>92394</v>
      </c>
      <c r="CP36" s="272">
        <v>1150867</v>
      </c>
      <c r="CQ36" s="272">
        <v>422422</v>
      </c>
      <c r="CR36" s="272">
        <v>175267</v>
      </c>
      <c r="CS36" s="272">
        <v>175267</v>
      </c>
      <c r="CT36" s="455">
        <f t="shared" si="8"/>
        <v>280920</v>
      </c>
      <c r="CU36" s="272">
        <v>7000</v>
      </c>
      <c r="CV36" s="272">
        <v>273920</v>
      </c>
      <c r="CW36" s="455">
        <f t="shared" si="9"/>
        <v>273920</v>
      </c>
      <c r="CX36" s="272">
        <v>0</v>
      </c>
      <c r="CY36" s="272">
        <v>273920</v>
      </c>
      <c r="CZ36" s="455">
        <f t="shared" si="10"/>
        <v>0</v>
      </c>
      <c r="DA36" s="272">
        <v>0</v>
      </c>
      <c r="DB36" s="272">
        <v>0</v>
      </c>
      <c r="DC36" s="272">
        <v>3944820</v>
      </c>
      <c r="DD36" s="272">
        <v>183546</v>
      </c>
      <c r="DE36" s="272">
        <v>2662981</v>
      </c>
      <c r="DF36" s="272">
        <v>20832</v>
      </c>
      <c r="DG36" s="272">
        <v>1062008</v>
      </c>
      <c r="DH36" s="272">
        <v>0</v>
      </c>
      <c r="DI36" s="272">
        <v>1598022</v>
      </c>
      <c r="DJ36" s="272">
        <v>755244</v>
      </c>
      <c r="DK36" s="272">
        <v>85685</v>
      </c>
      <c r="DL36" s="272">
        <v>757093</v>
      </c>
      <c r="DM36" s="272">
        <v>454</v>
      </c>
      <c r="DN36" s="272">
        <v>0</v>
      </c>
      <c r="DO36" s="272">
        <v>0</v>
      </c>
      <c r="DP36" s="272">
        <v>0</v>
      </c>
      <c r="DQ36" s="272">
        <v>12441</v>
      </c>
      <c r="DR36" s="272">
        <v>0</v>
      </c>
      <c r="DS36" s="272">
        <v>0</v>
      </c>
      <c r="DT36" s="272">
        <v>399187</v>
      </c>
      <c r="DU36" s="272">
        <v>176956</v>
      </c>
      <c r="DV36" s="455">
        <f t="shared" si="11"/>
        <v>0</v>
      </c>
      <c r="DW36" s="272">
        <v>0</v>
      </c>
      <c r="DX36" s="272">
        <v>0</v>
      </c>
      <c r="DY36" s="457" t="s">
        <v>646</v>
      </c>
      <c r="DZ36" s="272">
        <v>91121</v>
      </c>
      <c r="EA36" s="272">
        <v>130793</v>
      </c>
      <c r="EB36" s="272"/>
      <c r="EC36" s="272">
        <v>0</v>
      </c>
      <c r="ED36" s="272">
        <v>15101910</v>
      </c>
      <c r="EF36" s="272">
        <v>294426</v>
      </c>
      <c r="EG36" s="272">
        <v>0</v>
      </c>
      <c r="EH36" s="272">
        <v>294426</v>
      </c>
      <c r="EI36" s="272">
        <v>4087</v>
      </c>
      <c r="EJ36" s="272">
        <v>-350669</v>
      </c>
      <c r="EL36" s="272"/>
      <c r="EM36" s="272">
        <v>54654</v>
      </c>
      <c r="EN36" s="272">
        <v>1318698</v>
      </c>
      <c r="EO36" s="272">
        <v>13823</v>
      </c>
      <c r="EP36" s="455">
        <f t="shared" si="12"/>
        <v>472380</v>
      </c>
      <c r="EQ36" s="272">
        <v>8871287</v>
      </c>
      <c r="ER36" s="272">
        <v>-1787819</v>
      </c>
      <c r="ES36" s="272">
        <v>3522465</v>
      </c>
      <c r="ET36" s="272">
        <v>2927677</v>
      </c>
      <c r="EU36" s="272">
        <v>265283</v>
      </c>
      <c r="EV36" s="272">
        <v>1050130</v>
      </c>
      <c r="EW36" s="455">
        <f t="shared" si="13"/>
        <v>1338978</v>
      </c>
      <c r="EX36" s="272">
        <v>1338978</v>
      </c>
      <c r="EY36" s="272">
        <v>37501</v>
      </c>
      <c r="EZ36" s="272">
        <v>1265192</v>
      </c>
      <c r="FA36" s="272">
        <v>0</v>
      </c>
      <c r="FB36" s="272"/>
      <c r="FC36" s="272">
        <v>1725864</v>
      </c>
      <c r="FD36" s="272">
        <v>1045253</v>
      </c>
      <c r="FE36" s="272">
        <v>422422</v>
      </c>
      <c r="FF36" s="272">
        <v>351129</v>
      </c>
      <c r="FG36" s="455">
        <f t="shared" si="14"/>
        <v>1065578</v>
      </c>
      <c r="FH36" s="272">
        <v>10364680</v>
      </c>
      <c r="FI36" s="384">
        <f t="shared" si="15"/>
        <v>3.6</v>
      </c>
      <c r="FJ36" s="272">
        <v>8176693</v>
      </c>
      <c r="FK36" s="272"/>
      <c r="FL36" s="272">
        <v>5146946</v>
      </c>
      <c r="FM36" s="272">
        <v>6521757</v>
      </c>
      <c r="FN36" s="460">
        <v>0.73099999999999998</v>
      </c>
      <c r="FO36" s="388">
        <v>91.5</v>
      </c>
      <c r="FP36" s="388">
        <v>43.2</v>
      </c>
      <c r="FQ36" s="388">
        <v>3.3</v>
      </c>
      <c r="FR36" s="388">
        <v>12.9</v>
      </c>
      <c r="FS36" s="388">
        <v>18.5</v>
      </c>
      <c r="FT36" s="388">
        <v>10.7</v>
      </c>
      <c r="FU36" s="388">
        <v>1.7</v>
      </c>
      <c r="FV36" s="388">
        <v>9.6</v>
      </c>
      <c r="FW36" s="272">
        <v>11468474</v>
      </c>
      <c r="FX36" s="384">
        <f t="shared" si="16"/>
        <v>140.30000000000001</v>
      </c>
      <c r="FY36" s="272">
        <v>5070904</v>
      </c>
      <c r="FZ36" s="272">
        <v>2930459</v>
      </c>
      <c r="GA36" s="272">
        <v>291205</v>
      </c>
      <c r="GB36" s="272">
        <v>1849240</v>
      </c>
      <c r="GC36" s="272"/>
      <c r="GD36" s="272">
        <v>2508154</v>
      </c>
      <c r="GE36" s="384">
        <f t="shared" si="17"/>
        <v>30.7</v>
      </c>
      <c r="GF36" s="388">
        <v>97.7</v>
      </c>
      <c r="GG36" s="388">
        <v>19.2</v>
      </c>
      <c r="GH36" s="388">
        <v>95</v>
      </c>
      <c r="GI36" s="272">
        <v>505</v>
      </c>
    </row>
    <row r="37" spans="2:191" x14ac:dyDescent="0.15">
      <c r="B37" s="21" t="s">
        <v>67</v>
      </c>
      <c r="C37" s="272">
        <f>SUM(C6:C36)</f>
        <v>789865119</v>
      </c>
      <c r="D37" s="455">
        <f t="shared" si="0"/>
        <v>340805232</v>
      </c>
      <c r="E37" s="272">
        <f>SUM(E6:E36)</f>
        <v>3638628</v>
      </c>
      <c r="F37" s="272">
        <f>SUM(F6:F36)</f>
        <v>337166604</v>
      </c>
      <c r="G37" s="455">
        <f t="shared" si="1"/>
        <v>102313285</v>
      </c>
      <c r="H37" s="272">
        <f t="shared" ref="H37:S37" si="18">SUM(H6:H36)</f>
        <v>9120378</v>
      </c>
      <c r="I37" s="272">
        <f t="shared" si="18"/>
        <v>93192907</v>
      </c>
      <c r="J37" s="272">
        <f t="shared" si="18"/>
        <v>248630093</v>
      </c>
      <c r="K37" s="272">
        <f t="shared" si="18"/>
        <v>123110854</v>
      </c>
      <c r="L37" s="272">
        <f t="shared" si="18"/>
        <v>84318084</v>
      </c>
      <c r="M37" s="272">
        <f t="shared" si="18"/>
        <v>38035031</v>
      </c>
      <c r="N37" s="272">
        <f t="shared" si="18"/>
        <v>23184813</v>
      </c>
      <c r="O37" s="272">
        <f t="shared" si="18"/>
        <v>59089488</v>
      </c>
      <c r="P37" s="272">
        <f t="shared" si="18"/>
        <v>40933708</v>
      </c>
      <c r="Q37" s="272">
        <f t="shared" si="18"/>
        <v>18155780</v>
      </c>
      <c r="R37" s="272">
        <f t="shared" si="18"/>
        <v>28496357</v>
      </c>
      <c r="S37" s="272">
        <f t="shared" si="18"/>
        <v>18381095</v>
      </c>
      <c r="T37" s="455">
        <f t="shared" si="2"/>
        <v>51546323</v>
      </c>
      <c r="U37" s="272">
        <f>SUM(U6:U36)</f>
        <v>35332351</v>
      </c>
      <c r="V37" s="272"/>
      <c r="W37" s="272"/>
      <c r="X37" s="272"/>
      <c r="Y37" s="272">
        <f>SUM(Y6:Y36)</f>
        <v>1416556</v>
      </c>
      <c r="Z37" s="272">
        <f>SUM(Z6:Z36)</f>
        <v>123488</v>
      </c>
      <c r="AA37" s="272">
        <f>SUM(AA6:AA36)</f>
        <v>14673928</v>
      </c>
      <c r="AB37" s="272"/>
      <c r="AC37" s="272">
        <f>SUM(AC6:AC36)</f>
        <v>52075462</v>
      </c>
      <c r="AD37" s="272">
        <f>SUM(AD6:AD36)</f>
        <v>40940024</v>
      </c>
      <c r="AE37" s="272">
        <f>SUM(AE6:AE36)</f>
        <v>11135438</v>
      </c>
      <c r="AF37" s="272">
        <f>SUM(AF6:AF36)</f>
        <v>1190348</v>
      </c>
      <c r="AG37" s="272">
        <f>SUM(AG6:AG36)</f>
        <v>17692207</v>
      </c>
      <c r="AH37" s="455">
        <f t="shared" si="3"/>
        <v>27443234</v>
      </c>
      <c r="AI37" s="272">
        <f>SUM(AI6:AI36)</f>
        <v>21785937</v>
      </c>
      <c r="AJ37" s="272">
        <f>SUM(AJ6:AJ36)</f>
        <v>5657297</v>
      </c>
      <c r="AK37" s="272">
        <f>SUM(AK6:AK36)</f>
        <v>108405243</v>
      </c>
      <c r="AL37" s="455">
        <f t="shared" si="4"/>
        <v>62235906</v>
      </c>
      <c r="AM37" s="272">
        <f t="shared" ref="AM37:BN37" si="19">SUM(AM6:AM36)</f>
        <v>47523989</v>
      </c>
      <c r="AN37" s="272">
        <f t="shared" si="19"/>
        <v>9927840</v>
      </c>
      <c r="AO37" s="272">
        <f t="shared" si="19"/>
        <v>123717</v>
      </c>
      <c r="AP37" s="272">
        <f t="shared" si="19"/>
        <v>4660360</v>
      </c>
      <c r="AQ37" s="272">
        <f t="shared" si="19"/>
        <v>21072442</v>
      </c>
      <c r="AR37" s="272">
        <f t="shared" si="19"/>
        <v>21676</v>
      </c>
      <c r="AS37" s="272">
        <f t="shared" si="19"/>
        <v>280737</v>
      </c>
      <c r="AT37" s="272">
        <f t="shared" si="19"/>
        <v>66768830</v>
      </c>
      <c r="AU37" s="272">
        <f t="shared" si="19"/>
        <v>19531873</v>
      </c>
      <c r="AV37" s="272">
        <f t="shared" si="19"/>
        <v>4868956</v>
      </c>
      <c r="AW37" s="272">
        <f t="shared" si="19"/>
        <v>2234001</v>
      </c>
      <c r="AX37" s="272">
        <f t="shared" si="19"/>
        <v>47236957</v>
      </c>
      <c r="AY37" s="272">
        <f t="shared" si="19"/>
        <v>13461034</v>
      </c>
      <c r="AZ37" s="272">
        <f t="shared" si="19"/>
        <v>46319328</v>
      </c>
      <c r="BA37" s="272">
        <f t="shared" si="19"/>
        <v>18393294</v>
      </c>
      <c r="BB37" s="272">
        <f t="shared" si="19"/>
        <v>9467050</v>
      </c>
      <c r="BC37" s="272">
        <f t="shared" si="19"/>
        <v>61776213</v>
      </c>
      <c r="BD37" s="272">
        <f t="shared" si="19"/>
        <v>8132869</v>
      </c>
      <c r="BE37" s="272">
        <f t="shared" si="19"/>
        <v>2871694</v>
      </c>
      <c r="BF37" s="272">
        <f t="shared" si="19"/>
        <v>49494986</v>
      </c>
      <c r="BG37" s="272">
        <f t="shared" si="19"/>
        <v>0</v>
      </c>
      <c r="BH37" s="272">
        <f t="shared" si="19"/>
        <v>32963330</v>
      </c>
      <c r="BI37" s="272">
        <f t="shared" si="19"/>
        <v>20977162</v>
      </c>
      <c r="BJ37" s="272">
        <f t="shared" si="19"/>
        <v>72581107</v>
      </c>
      <c r="BK37" s="272">
        <f t="shared" si="19"/>
        <v>30439622</v>
      </c>
      <c r="BL37" s="272">
        <f t="shared" si="19"/>
        <v>3152991</v>
      </c>
      <c r="BM37" s="272">
        <f t="shared" si="19"/>
        <v>18684192</v>
      </c>
      <c r="BN37" s="272">
        <f t="shared" si="19"/>
        <v>101007932</v>
      </c>
      <c r="BO37" s="455">
        <f t="shared" si="5"/>
        <v>101007932</v>
      </c>
      <c r="BP37" s="455">
        <f t="shared" si="6"/>
        <v>0</v>
      </c>
      <c r="BQ37" s="272"/>
      <c r="BR37" s="272"/>
      <c r="BS37" s="272"/>
      <c r="BT37" s="272">
        <v>0</v>
      </c>
      <c r="BU37" s="272">
        <f>SUM(BU6:BU36)</f>
        <v>1467878820</v>
      </c>
      <c r="BV37" s="272"/>
      <c r="BW37" s="272">
        <f t="shared" ref="BW37:CI37" si="20">SUM(BW6:BW36)</f>
        <v>377517985</v>
      </c>
      <c r="BX37" s="272">
        <f t="shared" si="20"/>
        <v>291461501</v>
      </c>
      <c r="BY37" s="272">
        <f t="shared" si="20"/>
        <v>17628482</v>
      </c>
      <c r="BZ37" s="272">
        <f t="shared" si="20"/>
        <v>9401718</v>
      </c>
      <c r="CA37" s="272">
        <f t="shared" si="20"/>
        <v>142266598</v>
      </c>
      <c r="CB37" s="272">
        <f t="shared" si="20"/>
        <v>13870228</v>
      </c>
      <c r="CC37" s="272">
        <f t="shared" si="20"/>
        <v>24876613</v>
      </c>
      <c r="CD37" s="272">
        <f t="shared" si="20"/>
        <v>29395722</v>
      </c>
      <c r="CE37" s="272">
        <f t="shared" si="20"/>
        <v>62037143</v>
      </c>
      <c r="CF37" s="272">
        <f t="shared" si="20"/>
        <v>9125033</v>
      </c>
      <c r="CG37" s="272">
        <f t="shared" si="20"/>
        <v>2944874</v>
      </c>
      <c r="CH37" s="272">
        <f t="shared" si="20"/>
        <v>113726535</v>
      </c>
      <c r="CI37" s="272">
        <f t="shared" si="20"/>
        <v>62490390</v>
      </c>
      <c r="CJ37" s="455">
        <f t="shared" si="7"/>
        <v>51236145</v>
      </c>
      <c r="CK37" s="272">
        <f t="shared" ref="CK37:CS37" si="21">SUM(CK6:CK36)</f>
        <v>129467164</v>
      </c>
      <c r="CL37" s="272">
        <f t="shared" si="21"/>
        <v>65428770</v>
      </c>
      <c r="CM37" s="272">
        <f t="shared" si="21"/>
        <v>5760991</v>
      </c>
      <c r="CN37" s="272">
        <f t="shared" si="21"/>
        <v>35140207</v>
      </c>
      <c r="CO37" s="272">
        <f t="shared" si="21"/>
        <v>17343825</v>
      </c>
      <c r="CP37" s="272">
        <f t="shared" si="21"/>
        <v>93360045</v>
      </c>
      <c r="CQ37" s="272">
        <f t="shared" si="21"/>
        <v>32775745</v>
      </c>
      <c r="CR37" s="272">
        <f t="shared" si="21"/>
        <v>22729942</v>
      </c>
      <c r="CS37" s="272">
        <f t="shared" si="21"/>
        <v>17780624</v>
      </c>
      <c r="CT37" s="455">
        <f t="shared" si="8"/>
        <v>14538791</v>
      </c>
      <c r="CU37" s="272">
        <f>SUM(CU6:CU36)</f>
        <v>7321509</v>
      </c>
      <c r="CV37" s="272">
        <f>SUM(CV6:CV36)</f>
        <v>7217282</v>
      </c>
      <c r="CW37" s="455">
        <f t="shared" si="9"/>
        <v>11818953</v>
      </c>
      <c r="CX37" s="272">
        <f>SUM(CX6:CX36)</f>
        <v>6720013</v>
      </c>
      <c r="CY37" s="272">
        <f>SUM(CY6:CY36)</f>
        <v>5098940</v>
      </c>
      <c r="CZ37" s="455">
        <f t="shared" si="10"/>
        <v>0</v>
      </c>
      <c r="DA37" s="272">
        <f t="shared" ref="DA37:DU37" si="22">SUM(DA6:DA36)</f>
        <v>0</v>
      </c>
      <c r="DB37" s="272">
        <f t="shared" si="22"/>
        <v>0</v>
      </c>
      <c r="DC37" s="272">
        <f t="shared" si="22"/>
        <v>330047007</v>
      </c>
      <c r="DD37" s="272">
        <f t="shared" si="22"/>
        <v>56322085</v>
      </c>
      <c r="DE37" s="272">
        <f t="shared" si="22"/>
        <v>261157945</v>
      </c>
      <c r="DF37" s="272">
        <f t="shared" si="22"/>
        <v>2821445</v>
      </c>
      <c r="DG37" s="272">
        <f t="shared" si="22"/>
        <v>9504072</v>
      </c>
      <c r="DH37" s="272">
        <f t="shared" si="22"/>
        <v>183692</v>
      </c>
      <c r="DI37" s="272">
        <f t="shared" si="22"/>
        <v>90983223</v>
      </c>
      <c r="DJ37" s="272">
        <f t="shared" si="22"/>
        <v>15973100</v>
      </c>
      <c r="DK37" s="272">
        <f t="shared" si="22"/>
        <v>6265960</v>
      </c>
      <c r="DL37" s="272">
        <f t="shared" si="22"/>
        <v>68744163</v>
      </c>
      <c r="DM37" s="272">
        <f t="shared" si="22"/>
        <v>4439252</v>
      </c>
      <c r="DN37" s="272">
        <f t="shared" si="22"/>
        <v>1354788</v>
      </c>
      <c r="DO37" s="272">
        <f t="shared" si="22"/>
        <v>318240</v>
      </c>
      <c r="DP37" s="272">
        <f t="shared" si="22"/>
        <v>1036248</v>
      </c>
      <c r="DQ37" s="272">
        <f t="shared" si="22"/>
        <v>30921564</v>
      </c>
      <c r="DR37" s="272">
        <f t="shared" si="22"/>
        <v>1225753</v>
      </c>
      <c r="DS37" s="272">
        <f t="shared" si="22"/>
        <v>1224000</v>
      </c>
      <c r="DT37" s="272">
        <f t="shared" si="22"/>
        <v>104781676</v>
      </c>
      <c r="DU37" s="272">
        <f t="shared" si="22"/>
        <v>62274897</v>
      </c>
      <c r="DV37" s="455">
        <f t="shared" si="11"/>
        <v>508922</v>
      </c>
      <c r="DW37" s="272">
        <f>SUM(DW6:DW36)</f>
        <v>508922</v>
      </c>
      <c r="DX37" s="272">
        <v>0</v>
      </c>
      <c r="DY37" s="457" t="s">
        <v>646</v>
      </c>
      <c r="DZ37" s="272">
        <f>SUM(DZ6:DZ36)</f>
        <v>20300155</v>
      </c>
      <c r="EA37" s="272">
        <f>SUM(EA6:EA36)</f>
        <v>12033894</v>
      </c>
      <c r="EB37" s="272"/>
      <c r="EC37" s="272">
        <f>SUM(EC6:EC36)</f>
        <v>1151073</v>
      </c>
      <c r="ED37" s="272">
        <f>SUM(ED6:ED36)</f>
        <v>1436189639</v>
      </c>
      <c r="EF37" s="272">
        <f>SUM(EF6:EF36)</f>
        <v>31689181</v>
      </c>
      <c r="EG37" s="272">
        <f>SUM(EG6:EG36)</f>
        <v>15310417</v>
      </c>
      <c r="EH37" s="272">
        <f>SUM(EH6:EH36)</f>
        <v>16378764</v>
      </c>
      <c r="EI37" s="272">
        <f>SUM(EI6:EI36)</f>
        <v>-3854114</v>
      </c>
      <c r="EJ37" s="272">
        <f>SUM(EJ6:EJ36)</f>
        <v>4103239</v>
      </c>
      <c r="EL37" s="272"/>
      <c r="EM37" s="272">
        <f>SUM(EM6:EM36)</f>
        <v>5023602</v>
      </c>
      <c r="EN37" s="272">
        <f>SUM(EN6:EN36)</f>
        <v>21520122</v>
      </c>
      <c r="EO37" s="272">
        <f>SUM(EO6:EO36)</f>
        <v>6937980</v>
      </c>
      <c r="EP37" s="455">
        <f t="shared" si="12"/>
        <v>76811951</v>
      </c>
      <c r="EQ37" s="272">
        <f t="shared" ref="EQ37:EV37" si="23">SUM(EQ6:EQ36)</f>
        <v>923454346</v>
      </c>
      <c r="ER37" s="272">
        <f t="shared" si="23"/>
        <v>-103798968</v>
      </c>
      <c r="ES37" s="272">
        <f t="shared" si="23"/>
        <v>348420483</v>
      </c>
      <c r="ET37" s="272">
        <f t="shared" si="23"/>
        <v>264954534</v>
      </c>
      <c r="EU37" s="272">
        <f t="shared" si="23"/>
        <v>40664306</v>
      </c>
      <c r="EV37" s="272">
        <f t="shared" si="23"/>
        <v>107923739</v>
      </c>
      <c r="EW37" s="455">
        <f t="shared" si="13"/>
        <v>133513442</v>
      </c>
      <c r="EX37" s="272">
        <f>SUM(EX6:EX36)</f>
        <v>133429923</v>
      </c>
      <c r="EY37" s="272">
        <f>SUM(EY6:EY36)</f>
        <v>8959083</v>
      </c>
      <c r="EZ37" s="272">
        <f>SUM(EZ6:EZ36)</f>
        <v>122745767</v>
      </c>
      <c r="FA37" s="272">
        <f>SUM(FA6:FA36)</f>
        <v>83519</v>
      </c>
      <c r="FB37" s="272"/>
      <c r="FC37" s="272">
        <f>SUM(FC6:FC36)</f>
        <v>103451173</v>
      </c>
      <c r="FD37" s="272">
        <f>SUM(FD6:FD36)</f>
        <v>83991401</v>
      </c>
      <c r="FE37" s="272">
        <f>SUM(FE6:FE36)</f>
        <v>32775745</v>
      </c>
      <c r="FF37" s="272">
        <f>SUM(FF6:FF36)</f>
        <v>99199014</v>
      </c>
      <c r="FG37" s="455">
        <f t="shared" si="14"/>
        <v>80564006</v>
      </c>
      <c r="FH37" s="272">
        <f>SUM(FH6:FH36)</f>
        <v>997727564</v>
      </c>
      <c r="FI37" s="384">
        <f t="shared" si="15"/>
        <v>2</v>
      </c>
      <c r="FJ37" s="272">
        <f>SUM(FJ6:FJ36)</f>
        <v>815776223</v>
      </c>
      <c r="FK37" s="272">
        <f>SUM(FK6:FK36)</f>
        <v>0</v>
      </c>
      <c r="FL37" s="272">
        <f>SUM(FL6:FL36)</f>
        <v>583804520</v>
      </c>
      <c r="FM37" s="272">
        <f>SUM(FM6:FM36)</f>
        <v>584355006</v>
      </c>
      <c r="FN37" s="468">
        <v>0.999</v>
      </c>
      <c r="FO37" s="469">
        <v>82.4</v>
      </c>
      <c r="FP37" s="469">
        <v>39</v>
      </c>
      <c r="FQ37" s="469">
        <v>4.8</v>
      </c>
      <c r="FR37" s="469">
        <v>12.3</v>
      </c>
      <c r="FS37" s="469">
        <v>11.3</v>
      </c>
      <c r="FT37" s="469">
        <v>8.1999999999999993</v>
      </c>
      <c r="FU37" s="469">
        <v>5.0999999999999996</v>
      </c>
      <c r="FV37" s="469">
        <v>10</v>
      </c>
      <c r="FW37" s="272">
        <f>SUM(FW6:FW36)</f>
        <v>869571808</v>
      </c>
      <c r="FX37" s="384">
        <f t="shared" si="16"/>
        <v>106.6</v>
      </c>
      <c r="FY37" s="272">
        <f t="shared" ref="FY37:GD37" si="24">SUM(FY6:FY36)</f>
        <v>416694869</v>
      </c>
      <c r="FZ37" s="272">
        <f t="shared" si="24"/>
        <v>89911015</v>
      </c>
      <c r="GA37" s="272">
        <f t="shared" si="24"/>
        <v>25963941</v>
      </c>
      <c r="GB37" s="272">
        <f t="shared" si="24"/>
        <v>300819913</v>
      </c>
      <c r="GC37" s="272">
        <f t="shared" si="24"/>
        <v>0</v>
      </c>
      <c r="GD37" s="272">
        <f t="shared" si="24"/>
        <v>444102096</v>
      </c>
      <c r="GE37" s="384">
        <f t="shared" si="17"/>
        <v>54.4</v>
      </c>
      <c r="GF37" s="469">
        <v>98</v>
      </c>
      <c r="GG37" s="469">
        <v>33.5</v>
      </c>
      <c r="GH37" s="469">
        <v>95.9</v>
      </c>
      <c r="GI37" s="272">
        <f>SUM(GI6:GI36)</f>
        <v>40941</v>
      </c>
    </row>
    <row r="38" spans="2:191" x14ac:dyDescent="0.15">
      <c r="B38" s="89" t="s">
        <v>69</v>
      </c>
      <c r="C38" s="272">
        <v>4899138</v>
      </c>
      <c r="D38" s="455">
        <f t="shared" si="0"/>
        <v>2050186</v>
      </c>
      <c r="E38" s="272">
        <v>15899</v>
      </c>
      <c r="F38" s="272">
        <v>2034287</v>
      </c>
      <c r="G38" s="455">
        <f t="shared" si="1"/>
        <v>602398</v>
      </c>
      <c r="H38" s="272">
        <v>46160</v>
      </c>
      <c r="I38" s="272">
        <v>556238</v>
      </c>
      <c r="J38" s="272">
        <v>1712188</v>
      </c>
      <c r="K38" s="272">
        <v>764934</v>
      </c>
      <c r="L38" s="272">
        <v>562982</v>
      </c>
      <c r="M38" s="272">
        <v>373460</v>
      </c>
      <c r="N38" s="272">
        <v>92970</v>
      </c>
      <c r="O38" s="272">
        <v>360902</v>
      </c>
      <c r="P38" s="272">
        <v>246497</v>
      </c>
      <c r="Q38" s="272">
        <v>114405</v>
      </c>
      <c r="R38" s="272">
        <v>153050</v>
      </c>
      <c r="S38" s="272">
        <v>98819</v>
      </c>
      <c r="T38" s="455">
        <f t="shared" si="2"/>
        <v>424818</v>
      </c>
      <c r="U38" s="272">
        <v>227458</v>
      </c>
      <c r="V38" s="272"/>
      <c r="W38" s="272"/>
      <c r="X38" s="272"/>
      <c r="Y38" s="272">
        <v>99925</v>
      </c>
      <c r="Z38" s="272">
        <v>0</v>
      </c>
      <c r="AA38" s="272">
        <v>97435</v>
      </c>
      <c r="AB38" s="272"/>
      <c r="AC38" s="272">
        <v>760246</v>
      </c>
      <c r="AD38" s="272">
        <v>587220</v>
      </c>
      <c r="AE38" s="272">
        <v>173026</v>
      </c>
      <c r="AF38" s="272">
        <v>5419</v>
      </c>
      <c r="AG38" s="272">
        <v>56875</v>
      </c>
      <c r="AH38" s="455">
        <f t="shared" si="3"/>
        <v>207287</v>
      </c>
      <c r="AI38" s="272">
        <v>153073</v>
      </c>
      <c r="AJ38" s="272">
        <v>54214</v>
      </c>
      <c r="AK38" s="272">
        <v>230379</v>
      </c>
      <c r="AL38" s="455">
        <f t="shared" si="4"/>
        <v>92694</v>
      </c>
      <c r="AM38" s="272">
        <v>40507</v>
      </c>
      <c r="AN38" s="272">
        <v>27552</v>
      </c>
      <c r="AO38" s="272">
        <v>0</v>
      </c>
      <c r="AP38" s="272">
        <v>24635</v>
      </c>
      <c r="AQ38" s="272">
        <v>30386</v>
      </c>
      <c r="AR38" s="272">
        <v>0</v>
      </c>
      <c r="AS38" s="272">
        <v>0</v>
      </c>
      <c r="AT38" s="272">
        <v>384474</v>
      </c>
      <c r="AU38" s="272">
        <v>94734</v>
      </c>
      <c r="AV38" s="272">
        <v>13775</v>
      </c>
      <c r="AW38" s="272">
        <v>43211</v>
      </c>
      <c r="AX38" s="272">
        <v>289740</v>
      </c>
      <c r="AY38" s="272">
        <v>120873</v>
      </c>
      <c r="AZ38" s="272">
        <v>247734</v>
      </c>
      <c r="BA38" s="272">
        <v>68808</v>
      </c>
      <c r="BB38" s="272">
        <v>20930</v>
      </c>
      <c r="BC38" s="272">
        <v>424700</v>
      </c>
      <c r="BD38" s="272">
        <v>196700</v>
      </c>
      <c r="BE38" s="272">
        <v>22000</v>
      </c>
      <c r="BF38" s="272">
        <v>206000</v>
      </c>
      <c r="BG38" s="272">
        <v>0</v>
      </c>
      <c r="BH38" s="272">
        <v>0</v>
      </c>
      <c r="BI38" s="272">
        <v>0</v>
      </c>
      <c r="BJ38" s="272">
        <v>152876</v>
      </c>
      <c r="BK38" s="272">
        <v>5551</v>
      </c>
      <c r="BL38" s="272">
        <v>0</v>
      </c>
      <c r="BM38" s="272">
        <v>0</v>
      </c>
      <c r="BN38" s="272">
        <v>186066</v>
      </c>
      <c r="BO38" s="455">
        <f t="shared" si="5"/>
        <v>186066</v>
      </c>
      <c r="BP38" s="455">
        <f t="shared" si="6"/>
        <v>0</v>
      </c>
      <c r="BQ38" s="272"/>
      <c r="BR38" s="272"/>
      <c r="BS38" s="272"/>
      <c r="BT38" s="272">
        <v>0</v>
      </c>
      <c r="BU38" s="272">
        <v>8153992</v>
      </c>
      <c r="BV38" s="272"/>
      <c r="BW38" s="272">
        <v>2377969</v>
      </c>
      <c r="BX38" s="272">
        <v>1868127</v>
      </c>
      <c r="BY38" s="272">
        <v>55499</v>
      </c>
      <c r="BZ38" s="272">
        <v>18713</v>
      </c>
      <c r="CA38" s="272">
        <v>445455</v>
      </c>
      <c r="CB38" s="272">
        <v>100326</v>
      </c>
      <c r="CC38" s="272">
        <v>146294</v>
      </c>
      <c r="CD38" s="272">
        <v>136385</v>
      </c>
      <c r="CE38" s="272">
        <v>52744</v>
      </c>
      <c r="CF38" s="272">
        <v>0</v>
      </c>
      <c r="CG38" s="272">
        <v>9706</v>
      </c>
      <c r="CH38" s="272">
        <v>851227</v>
      </c>
      <c r="CI38" s="272">
        <v>386431</v>
      </c>
      <c r="CJ38" s="455">
        <f t="shared" si="7"/>
        <v>464796</v>
      </c>
      <c r="CK38" s="272">
        <v>886990</v>
      </c>
      <c r="CL38" s="272">
        <v>409760</v>
      </c>
      <c r="CM38" s="272">
        <v>47209</v>
      </c>
      <c r="CN38" s="272">
        <v>272249</v>
      </c>
      <c r="CO38" s="272">
        <v>67437</v>
      </c>
      <c r="CP38" s="272">
        <v>216741</v>
      </c>
      <c r="CQ38" s="272">
        <v>4710</v>
      </c>
      <c r="CR38" s="272">
        <v>86499</v>
      </c>
      <c r="CS38" s="272">
        <v>79574</v>
      </c>
      <c r="CT38" s="455">
        <f t="shared" si="8"/>
        <v>1770</v>
      </c>
      <c r="CU38" s="272">
        <v>1770</v>
      </c>
      <c r="CV38" s="272">
        <v>0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1634747</v>
      </c>
      <c r="DD38" s="272">
        <v>117549</v>
      </c>
      <c r="DE38" s="272">
        <v>1517198</v>
      </c>
      <c r="DF38" s="272">
        <v>0</v>
      </c>
      <c r="DG38" s="272">
        <v>0</v>
      </c>
      <c r="DH38" s="272">
        <v>5562</v>
      </c>
      <c r="DI38" s="272">
        <v>541611</v>
      </c>
      <c r="DJ38" s="272">
        <v>52042</v>
      </c>
      <c r="DK38" s="272">
        <v>58160</v>
      </c>
      <c r="DL38" s="272">
        <v>431409</v>
      </c>
      <c r="DM38" s="272">
        <v>274</v>
      </c>
      <c r="DN38" s="272">
        <v>0</v>
      </c>
      <c r="DO38" s="272">
        <v>0</v>
      </c>
      <c r="DP38" s="272">
        <v>0</v>
      </c>
      <c r="DQ38" s="272">
        <v>3762</v>
      </c>
      <c r="DR38" s="272">
        <v>0</v>
      </c>
      <c r="DS38" s="272">
        <v>0</v>
      </c>
      <c r="DT38" s="272">
        <v>600041</v>
      </c>
      <c r="DU38" s="272">
        <v>358055</v>
      </c>
      <c r="DV38" s="455">
        <f t="shared" si="11"/>
        <v>0</v>
      </c>
      <c r="DW38" s="272">
        <v>0</v>
      </c>
      <c r="DX38" s="272">
        <v>0</v>
      </c>
      <c r="DY38" s="457" t="s">
        <v>646</v>
      </c>
      <c r="DZ38" s="272">
        <v>55690</v>
      </c>
      <c r="EA38" s="272">
        <v>54989</v>
      </c>
      <c r="EB38" s="272"/>
      <c r="EC38" s="272">
        <v>494873</v>
      </c>
      <c r="ED38" s="272">
        <v>8126689</v>
      </c>
      <c r="EF38" s="272">
        <v>27303</v>
      </c>
      <c r="EG38" s="272">
        <v>1538</v>
      </c>
      <c r="EH38" s="272">
        <v>25765</v>
      </c>
      <c r="EI38" s="272">
        <v>572348</v>
      </c>
      <c r="EJ38" s="272">
        <v>427690</v>
      </c>
      <c r="EL38" s="272"/>
      <c r="EM38" s="272">
        <v>30199</v>
      </c>
      <c r="EN38" s="272">
        <v>424700</v>
      </c>
      <c r="EO38" s="272">
        <v>69566</v>
      </c>
      <c r="EP38" s="455">
        <f t="shared" si="12"/>
        <v>134946</v>
      </c>
      <c r="EQ38" s="272">
        <v>6242671</v>
      </c>
      <c r="ER38" s="272">
        <v>-623793</v>
      </c>
      <c r="ES38" s="272">
        <v>2141843</v>
      </c>
      <c r="ET38" s="272">
        <v>1634326</v>
      </c>
      <c r="EU38" s="272">
        <v>194762</v>
      </c>
      <c r="EV38" s="272">
        <v>849286</v>
      </c>
      <c r="EW38" s="455">
        <f t="shared" si="13"/>
        <v>1188983</v>
      </c>
      <c r="EX38" s="272">
        <v>1183421</v>
      </c>
      <c r="EY38" s="272">
        <v>14452</v>
      </c>
      <c r="EZ38" s="272">
        <v>1168969</v>
      </c>
      <c r="FA38" s="272">
        <v>5562</v>
      </c>
      <c r="FB38" s="272"/>
      <c r="FC38" s="272">
        <v>765639</v>
      </c>
      <c r="FD38" s="272">
        <v>199199</v>
      </c>
      <c r="FE38" s="272">
        <v>4710</v>
      </c>
      <c r="FF38" s="272">
        <v>583227</v>
      </c>
      <c r="FG38" s="455">
        <f t="shared" si="14"/>
        <v>916222</v>
      </c>
      <c r="FH38" s="272">
        <v>6839161</v>
      </c>
      <c r="FI38" s="384">
        <f t="shared" si="15"/>
        <v>0.5</v>
      </c>
      <c r="FJ38" s="272">
        <v>5455229</v>
      </c>
      <c r="FK38" s="272"/>
      <c r="FL38" s="272">
        <v>3665539</v>
      </c>
      <c r="FM38" s="272">
        <v>4263216</v>
      </c>
      <c r="FN38" s="460">
        <v>0.89800000000000002</v>
      </c>
      <c r="FO38" s="388">
        <v>73.900000000000006</v>
      </c>
      <c r="FP38" s="388">
        <v>37</v>
      </c>
      <c r="FQ38" s="388">
        <v>3.4</v>
      </c>
      <c r="FR38" s="388">
        <v>13.7</v>
      </c>
      <c r="FS38" s="388">
        <v>12.1</v>
      </c>
      <c r="FT38" s="388">
        <v>3.1</v>
      </c>
      <c r="FU38" s="388">
        <v>3.6</v>
      </c>
      <c r="FV38" s="388">
        <v>10.7</v>
      </c>
      <c r="FW38" s="272">
        <v>6595036</v>
      </c>
      <c r="FX38" s="384">
        <f t="shared" si="16"/>
        <v>120.9</v>
      </c>
      <c r="FY38" s="272">
        <v>2707112</v>
      </c>
      <c r="FZ38" s="272">
        <v>583739</v>
      </c>
      <c r="GA38" s="272">
        <v>208124</v>
      </c>
      <c r="GB38" s="272">
        <v>1915249</v>
      </c>
      <c r="GC38" s="272"/>
      <c r="GD38" s="272"/>
      <c r="GE38" s="384"/>
      <c r="GF38" s="388">
        <v>98.9</v>
      </c>
      <c r="GG38" s="388">
        <v>19.3</v>
      </c>
      <c r="GH38" s="388">
        <v>96.3</v>
      </c>
      <c r="GI38" s="272">
        <v>302</v>
      </c>
    </row>
    <row r="39" spans="2:191" x14ac:dyDescent="0.15">
      <c r="B39" s="89" t="s">
        <v>71</v>
      </c>
      <c r="C39" s="272">
        <v>3177403</v>
      </c>
      <c r="D39" s="455">
        <f t="shared" si="0"/>
        <v>2252894</v>
      </c>
      <c r="E39" s="272">
        <v>11409</v>
      </c>
      <c r="F39" s="272">
        <v>2241485</v>
      </c>
      <c r="G39" s="455">
        <f t="shared" si="1"/>
        <v>69919</v>
      </c>
      <c r="H39" s="272">
        <v>11779</v>
      </c>
      <c r="I39" s="272">
        <v>58140</v>
      </c>
      <c r="J39" s="272">
        <v>801362</v>
      </c>
      <c r="K39" s="272">
        <v>351320</v>
      </c>
      <c r="L39" s="272">
        <v>389390</v>
      </c>
      <c r="M39" s="272">
        <v>60602</v>
      </c>
      <c r="N39" s="272">
        <v>40940</v>
      </c>
      <c r="O39" s="272">
        <v>0</v>
      </c>
      <c r="P39" s="272">
        <v>0</v>
      </c>
      <c r="Q39" s="272">
        <v>0</v>
      </c>
      <c r="R39" s="272">
        <v>111610</v>
      </c>
      <c r="S39" s="272">
        <v>49964</v>
      </c>
      <c r="T39" s="455">
        <f t="shared" si="2"/>
        <v>298459</v>
      </c>
      <c r="U39" s="272">
        <v>170488</v>
      </c>
      <c r="V39" s="272"/>
      <c r="W39" s="272"/>
      <c r="X39" s="272"/>
      <c r="Y39" s="272">
        <v>16866</v>
      </c>
      <c r="Z39" s="272">
        <v>0</v>
      </c>
      <c r="AA39" s="272">
        <v>111105</v>
      </c>
      <c r="AB39" s="272"/>
      <c r="AC39" s="272">
        <v>1166809</v>
      </c>
      <c r="AD39" s="272">
        <v>954096</v>
      </c>
      <c r="AE39" s="272">
        <v>212713</v>
      </c>
      <c r="AF39" s="272">
        <v>5710</v>
      </c>
      <c r="AG39" s="272">
        <v>1376</v>
      </c>
      <c r="AH39" s="455">
        <f t="shared" si="3"/>
        <v>120747</v>
      </c>
      <c r="AI39" s="272">
        <v>101161</v>
      </c>
      <c r="AJ39" s="272">
        <v>19586</v>
      </c>
      <c r="AK39" s="272">
        <v>76870</v>
      </c>
      <c r="AL39" s="455">
        <f t="shared" si="4"/>
        <v>5108</v>
      </c>
      <c r="AM39" s="272">
        <v>0</v>
      </c>
      <c r="AN39" s="272">
        <v>5108</v>
      </c>
      <c r="AO39" s="272">
        <v>0</v>
      </c>
      <c r="AP39" s="272">
        <v>0</v>
      </c>
      <c r="AQ39" s="272">
        <v>18935</v>
      </c>
      <c r="AR39" s="272">
        <v>0</v>
      </c>
      <c r="AS39" s="272">
        <v>0</v>
      </c>
      <c r="AT39" s="272">
        <v>396491</v>
      </c>
      <c r="AU39" s="272">
        <v>59402</v>
      </c>
      <c r="AV39" s="272">
        <v>2554</v>
      </c>
      <c r="AW39" s="272">
        <v>20971</v>
      </c>
      <c r="AX39" s="272">
        <v>337089</v>
      </c>
      <c r="AY39" s="272">
        <v>168364</v>
      </c>
      <c r="AZ39" s="272">
        <v>226996</v>
      </c>
      <c r="BA39" s="272">
        <v>11120</v>
      </c>
      <c r="BB39" s="272">
        <v>12500</v>
      </c>
      <c r="BC39" s="272">
        <v>445424</v>
      </c>
      <c r="BD39" s="272">
        <v>0</v>
      </c>
      <c r="BE39" s="272">
        <v>0</v>
      </c>
      <c r="BF39" s="272">
        <v>442536</v>
      </c>
      <c r="BG39" s="272">
        <v>0</v>
      </c>
      <c r="BH39" s="272">
        <v>226711</v>
      </c>
      <c r="BI39" s="272">
        <v>208922</v>
      </c>
      <c r="BJ39" s="272">
        <v>105800</v>
      </c>
      <c r="BK39" s="272">
        <v>337</v>
      </c>
      <c r="BL39" s="272">
        <v>0</v>
      </c>
      <c r="BM39" s="272">
        <v>0</v>
      </c>
      <c r="BN39" s="272">
        <v>680526</v>
      </c>
      <c r="BO39" s="455">
        <f t="shared" si="5"/>
        <v>680526</v>
      </c>
      <c r="BP39" s="455">
        <f t="shared" si="6"/>
        <v>0</v>
      </c>
      <c r="BQ39" s="272"/>
      <c r="BR39" s="272"/>
      <c r="BS39" s="272"/>
      <c r="BT39" s="272">
        <v>0</v>
      </c>
      <c r="BU39" s="272">
        <v>7053432</v>
      </c>
      <c r="BV39" s="272"/>
      <c r="BW39" s="272">
        <v>1591158</v>
      </c>
      <c r="BX39" s="272">
        <v>1077612</v>
      </c>
      <c r="BY39" s="272">
        <v>4528</v>
      </c>
      <c r="BZ39" s="272">
        <v>199221</v>
      </c>
      <c r="CA39" s="272">
        <v>86679</v>
      </c>
      <c r="CB39" s="272">
        <v>18778</v>
      </c>
      <c r="CC39" s="272">
        <v>51958</v>
      </c>
      <c r="CD39" s="272">
        <v>12625</v>
      </c>
      <c r="CE39" s="272">
        <v>0</v>
      </c>
      <c r="CF39" s="272">
        <v>0</v>
      </c>
      <c r="CG39" s="272">
        <v>3318</v>
      </c>
      <c r="CH39" s="272">
        <v>326352</v>
      </c>
      <c r="CI39" s="272">
        <v>151946</v>
      </c>
      <c r="CJ39" s="455">
        <f t="shared" si="7"/>
        <v>174406</v>
      </c>
      <c r="CK39" s="272">
        <v>660682</v>
      </c>
      <c r="CL39" s="272">
        <v>191444</v>
      </c>
      <c r="CM39" s="272">
        <v>18791</v>
      </c>
      <c r="CN39" s="272">
        <v>254790</v>
      </c>
      <c r="CO39" s="272">
        <v>174976</v>
      </c>
      <c r="CP39" s="272">
        <v>471829</v>
      </c>
      <c r="CQ39" s="272">
        <v>248574</v>
      </c>
      <c r="CR39" s="272">
        <v>124215</v>
      </c>
      <c r="CS39" s="272">
        <v>122632</v>
      </c>
      <c r="CT39" s="455">
        <f t="shared" si="8"/>
        <v>39814</v>
      </c>
      <c r="CU39" s="272">
        <v>1009</v>
      </c>
      <c r="CV39" s="272">
        <v>38805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2114311</v>
      </c>
      <c r="DD39" s="272">
        <v>60968</v>
      </c>
      <c r="DE39" s="272">
        <v>2031536</v>
      </c>
      <c r="DF39" s="272">
        <v>14522</v>
      </c>
      <c r="DG39" s="272">
        <v>0</v>
      </c>
      <c r="DH39" s="272">
        <v>2601</v>
      </c>
      <c r="DI39" s="272">
        <v>1025000</v>
      </c>
      <c r="DJ39" s="272">
        <v>60000</v>
      </c>
      <c r="DK39" s="272">
        <v>20000</v>
      </c>
      <c r="DL39" s="272">
        <v>945000</v>
      </c>
      <c r="DM39" s="272">
        <v>10800</v>
      </c>
      <c r="DN39" s="272">
        <v>0</v>
      </c>
      <c r="DO39" s="272">
        <v>0</v>
      </c>
      <c r="DP39" s="272">
        <v>0</v>
      </c>
      <c r="DQ39" s="272">
        <v>9456</v>
      </c>
      <c r="DR39" s="272">
        <v>0</v>
      </c>
      <c r="DS39" s="272">
        <v>0</v>
      </c>
      <c r="DT39" s="272">
        <v>370524</v>
      </c>
      <c r="DU39" s="272">
        <v>153413</v>
      </c>
      <c r="DV39" s="455">
        <f t="shared" si="11"/>
        <v>0</v>
      </c>
      <c r="DW39" s="272">
        <v>0</v>
      </c>
      <c r="DX39" s="272">
        <v>0</v>
      </c>
      <c r="DY39" s="457" t="s">
        <v>646</v>
      </c>
      <c r="DZ39" s="272">
        <v>31487</v>
      </c>
      <c r="EA39" s="272">
        <v>48005</v>
      </c>
      <c r="EB39" s="272"/>
      <c r="EC39" s="272">
        <v>0</v>
      </c>
      <c r="ED39" s="272">
        <v>6844368</v>
      </c>
      <c r="EF39" s="272">
        <v>209064</v>
      </c>
      <c r="EG39" s="272">
        <v>19928</v>
      </c>
      <c r="EH39" s="272">
        <v>189136</v>
      </c>
      <c r="EI39" s="272">
        <v>-19786</v>
      </c>
      <c r="EJ39" s="272">
        <v>40214</v>
      </c>
      <c r="EL39" s="272"/>
      <c r="EM39" s="272">
        <v>25880</v>
      </c>
      <c r="EN39" s="272">
        <v>20254</v>
      </c>
      <c r="EO39" s="272">
        <v>7559</v>
      </c>
      <c r="EP39" s="455">
        <f t="shared" si="12"/>
        <v>323450</v>
      </c>
      <c r="EQ39" s="272">
        <v>4759991</v>
      </c>
      <c r="ER39" s="272">
        <v>-345553</v>
      </c>
      <c r="ES39" s="272">
        <v>1375850</v>
      </c>
      <c r="ET39" s="272">
        <v>878329</v>
      </c>
      <c r="EU39" s="272">
        <v>25900</v>
      </c>
      <c r="EV39" s="272">
        <v>310523</v>
      </c>
      <c r="EW39" s="455">
        <f t="shared" si="13"/>
        <v>784606</v>
      </c>
      <c r="EX39" s="272">
        <v>784289</v>
      </c>
      <c r="EY39" s="272">
        <v>20672</v>
      </c>
      <c r="EZ39" s="272">
        <v>741810</v>
      </c>
      <c r="FA39" s="272">
        <v>317</v>
      </c>
      <c r="FB39" s="272"/>
      <c r="FC39" s="272">
        <v>592866</v>
      </c>
      <c r="FD39" s="272">
        <v>445144</v>
      </c>
      <c r="FE39" s="272">
        <v>248574</v>
      </c>
      <c r="FF39" s="272">
        <v>350909</v>
      </c>
      <c r="FG39" s="455">
        <f t="shared" si="14"/>
        <v>1010682</v>
      </c>
      <c r="FH39" s="272">
        <v>4896480</v>
      </c>
      <c r="FI39" s="384">
        <f t="shared" si="15"/>
        <v>4.2</v>
      </c>
      <c r="FJ39" s="272">
        <v>4471716</v>
      </c>
      <c r="FK39" s="272"/>
      <c r="FL39" s="272">
        <v>2651466</v>
      </c>
      <c r="FM39" s="272">
        <v>3613426</v>
      </c>
      <c r="FN39" s="460">
        <v>0.67700000000000005</v>
      </c>
      <c r="FO39" s="388">
        <v>63.5</v>
      </c>
      <c r="FP39" s="388">
        <v>29.7</v>
      </c>
      <c r="FQ39" s="388">
        <v>0.6</v>
      </c>
      <c r="FR39" s="388">
        <v>6.7</v>
      </c>
      <c r="FS39" s="388">
        <v>12.4</v>
      </c>
      <c r="FT39" s="388">
        <v>8.8000000000000007</v>
      </c>
      <c r="FU39" s="388">
        <v>1.6</v>
      </c>
      <c r="FV39" s="388">
        <v>5.2</v>
      </c>
      <c r="FW39" s="272">
        <v>3367763</v>
      </c>
      <c r="FX39" s="384">
        <f t="shared" si="16"/>
        <v>75.3</v>
      </c>
      <c r="FY39" s="272">
        <v>4149019</v>
      </c>
      <c r="FZ39" s="272">
        <v>823000</v>
      </c>
      <c r="GA39" s="272">
        <v>241320</v>
      </c>
      <c r="GB39" s="272">
        <v>3084699</v>
      </c>
      <c r="GC39" s="272"/>
      <c r="GD39" s="272"/>
      <c r="GE39" s="384"/>
      <c r="GF39" s="388">
        <v>98.7</v>
      </c>
      <c r="GG39" s="388">
        <v>16.8</v>
      </c>
      <c r="GH39" s="388">
        <v>97.4</v>
      </c>
      <c r="GI39" s="272">
        <v>216</v>
      </c>
    </row>
    <row r="40" spans="2:191" x14ac:dyDescent="0.15">
      <c r="B40" s="89" t="s">
        <v>73</v>
      </c>
      <c r="C40" s="272">
        <v>1004762</v>
      </c>
      <c r="D40" s="455">
        <f t="shared" si="0"/>
        <v>535715</v>
      </c>
      <c r="E40" s="272">
        <v>4915</v>
      </c>
      <c r="F40" s="272">
        <v>530800</v>
      </c>
      <c r="G40" s="455">
        <f t="shared" si="1"/>
        <v>71649</v>
      </c>
      <c r="H40" s="272">
        <v>10782</v>
      </c>
      <c r="I40" s="272">
        <v>60867</v>
      </c>
      <c r="J40" s="272">
        <v>324569</v>
      </c>
      <c r="K40" s="272">
        <v>102822</v>
      </c>
      <c r="L40" s="272">
        <v>153553</v>
      </c>
      <c r="M40" s="272">
        <v>67958</v>
      </c>
      <c r="N40" s="272">
        <v>41318</v>
      </c>
      <c r="O40" s="272">
        <v>0</v>
      </c>
      <c r="P40" s="272">
        <v>0</v>
      </c>
      <c r="Q40" s="272">
        <v>0</v>
      </c>
      <c r="R40" s="272">
        <v>85534</v>
      </c>
      <c r="S40" s="272">
        <v>32603</v>
      </c>
      <c r="T40" s="455">
        <f t="shared" si="2"/>
        <v>154957</v>
      </c>
      <c r="U40" s="272">
        <v>49719</v>
      </c>
      <c r="V40" s="272"/>
      <c r="W40" s="272"/>
      <c r="X40" s="272"/>
      <c r="Y40" s="272">
        <v>8985</v>
      </c>
      <c r="Z40" s="272">
        <v>313</v>
      </c>
      <c r="AA40" s="272">
        <v>95940</v>
      </c>
      <c r="AB40" s="272"/>
      <c r="AC40" s="272">
        <v>1499832</v>
      </c>
      <c r="AD40" s="272">
        <v>1287837</v>
      </c>
      <c r="AE40" s="272">
        <v>211995</v>
      </c>
      <c r="AF40" s="272">
        <v>2520</v>
      </c>
      <c r="AG40" s="272">
        <v>96658</v>
      </c>
      <c r="AH40" s="455">
        <f t="shared" si="3"/>
        <v>126310</v>
      </c>
      <c r="AI40" s="272">
        <v>82260</v>
      </c>
      <c r="AJ40" s="272">
        <v>44050</v>
      </c>
      <c r="AK40" s="272">
        <v>121873</v>
      </c>
      <c r="AL40" s="455">
        <f t="shared" si="4"/>
        <v>23111</v>
      </c>
      <c r="AM40" s="272">
        <v>0</v>
      </c>
      <c r="AN40" s="272">
        <v>17577</v>
      </c>
      <c r="AO40" s="272">
        <v>0</v>
      </c>
      <c r="AP40" s="272">
        <v>5534</v>
      </c>
      <c r="AQ40" s="272">
        <v>72464</v>
      </c>
      <c r="AR40" s="272">
        <v>0</v>
      </c>
      <c r="AS40" s="272">
        <v>0</v>
      </c>
      <c r="AT40" s="272">
        <v>818888</v>
      </c>
      <c r="AU40" s="272">
        <v>444576</v>
      </c>
      <c r="AV40" s="272">
        <v>1112</v>
      </c>
      <c r="AW40" s="272">
        <v>394800</v>
      </c>
      <c r="AX40" s="272">
        <v>374312</v>
      </c>
      <c r="AY40" s="272">
        <v>190493</v>
      </c>
      <c r="AZ40" s="272">
        <v>129233</v>
      </c>
      <c r="BA40" s="272">
        <v>62</v>
      </c>
      <c r="BB40" s="272">
        <v>500</v>
      </c>
      <c r="BC40" s="272">
        <v>41332</v>
      </c>
      <c r="BD40" s="272">
        <v>0</v>
      </c>
      <c r="BE40" s="272">
        <v>0</v>
      </c>
      <c r="BF40" s="272">
        <v>40000</v>
      </c>
      <c r="BG40" s="272">
        <v>0</v>
      </c>
      <c r="BH40" s="272">
        <v>179369</v>
      </c>
      <c r="BI40" s="272">
        <v>172069</v>
      </c>
      <c r="BJ40" s="272">
        <v>70838</v>
      </c>
      <c r="BK40" s="272">
        <v>5924</v>
      </c>
      <c r="BL40" s="272">
        <v>0</v>
      </c>
      <c r="BM40" s="272">
        <v>0</v>
      </c>
      <c r="BN40" s="272">
        <v>288700</v>
      </c>
      <c r="BO40" s="455">
        <f t="shared" si="5"/>
        <v>288700</v>
      </c>
      <c r="BP40" s="455">
        <f t="shared" si="6"/>
        <v>0</v>
      </c>
      <c r="BQ40" s="272"/>
      <c r="BR40" s="272"/>
      <c r="BS40" s="272"/>
      <c r="BT40" s="272">
        <v>0</v>
      </c>
      <c r="BU40" s="272">
        <v>4621306</v>
      </c>
      <c r="BV40" s="272"/>
      <c r="BW40" s="272">
        <v>1032690</v>
      </c>
      <c r="BX40" s="272">
        <v>726132</v>
      </c>
      <c r="BY40" s="272">
        <v>40471</v>
      </c>
      <c r="BZ40" s="272">
        <v>23909</v>
      </c>
      <c r="CA40" s="272">
        <v>76003</v>
      </c>
      <c r="CB40" s="272">
        <v>10750</v>
      </c>
      <c r="CC40" s="272">
        <v>37447</v>
      </c>
      <c r="CD40" s="272">
        <v>24351</v>
      </c>
      <c r="CE40" s="272">
        <v>0</v>
      </c>
      <c r="CF40" s="272">
        <v>1255</v>
      </c>
      <c r="CG40" s="272">
        <v>2200</v>
      </c>
      <c r="CH40" s="272">
        <v>335387</v>
      </c>
      <c r="CI40" s="272">
        <v>201699</v>
      </c>
      <c r="CJ40" s="455">
        <f t="shared" si="7"/>
        <v>133688</v>
      </c>
      <c r="CK40" s="272">
        <v>502308</v>
      </c>
      <c r="CL40" s="272">
        <v>232581</v>
      </c>
      <c r="CM40" s="272">
        <v>27578</v>
      </c>
      <c r="CN40" s="272">
        <v>161174</v>
      </c>
      <c r="CO40" s="272">
        <v>27176</v>
      </c>
      <c r="CP40" s="272">
        <v>358151</v>
      </c>
      <c r="CQ40" s="272">
        <v>100654</v>
      </c>
      <c r="CR40" s="272">
        <v>159950</v>
      </c>
      <c r="CS40" s="272">
        <v>66712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1670664</v>
      </c>
      <c r="DD40" s="272">
        <v>710151</v>
      </c>
      <c r="DE40" s="272">
        <v>943759</v>
      </c>
      <c r="DF40" s="272">
        <v>16754</v>
      </c>
      <c r="DG40" s="272">
        <v>0</v>
      </c>
      <c r="DH40" s="272">
        <v>4245</v>
      </c>
      <c r="DI40" s="272">
        <v>293870</v>
      </c>
      <c r="DJ40" s="272">
        <v>230252</v>
      </c>
      <c r="DK40" s="272">
        <v>0</v>
      </c>
      <c r="DL40" s="272">
        <v>63618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124612</v>
      </c>
      <c r="DU40" s="272">
        <v>0</v>
      </c>
      <c r="DV40" s="455">
        <f t="shared" si="11"/>
        <v>0</v>
      </c>
      <c r="DW40" s="272">
        <v>0</v>
      </c>
      <c r="DX40" s="272">
        <v>0</v>
      </c>
      <c r="DY40" s="457" t="s">
        <v>646</v>
      </c>
      <c r="DZ40" s="272">
        <v>23645</v>
      </c>
      <c r="EA40" s="272">
        <v>39854</v>
      </c>
      <c r="EB40" s="272"/>
      <c r="EC40" s="272">
        <v>0</v>
      </c>
      <c r="ED40" s="272">
        <v>4425106</v>
      </c>
      <c r="EF40" s="272">
        <v>196200</v>
      </c>
      <c r="EG40" s="272">
        <v>719</v>
      </c>
      <c r="EH40" s="272">
        <v>195481</v>
      </c>
      <c r="EI40" s="272">
        <v>23412</v>
      </c>
      <c r="EJ40" s="272">
        <v>253664</v>
      </c>
      <c r="EL40" s="272"/>
      <c r="EM40" s="272">
        <v>12101</v>
      </c>
      <c r="EN40" s="272">
        <v>1332</v>
      </c>
      <c r="EO40" s="272">
        <v>1573</v>
      </c>
      <c r="EP40" s="455">
        <f t="shared" si="12"/>
        <v>242168</v>
      </c>
      <c r="EQ40" s="272">
        <v>2747605</v>
      </c>
      <c r="ER40" s="272">
        <v>-242553</v>
      </c>
      <c r="ES40" s="272">
        <v>923401</v>
      </c>
      <c r="ET40" s="272">
        <v>616843</v>
      </c>
      <c r="EU40" s="272">
        <v>32069</v>
      </c>
      <c r="EV40" s="272">
        <v>320242</v>
      </c>
      <c r="EW40" s="455">
        <f t="shared" si="13"/>
        <v>588335</v>
      </c>
      <c r="EX40" s="272">
        <v>588223</v>
      </c>
      <c r="EY40" s="272">
        <v>90050</v>
      </c>
      <c r="EZ40" s="272">
        <v>481419</v>
      </c>
      <c r="FA40" s="272">
        <v>112</v>
      </c>
      <c r="FB40" s="272"/>
      <c r="FC40" s="272">
        <v>371730</v>
      </c>
      <c r="FD40" s="272">
        <v>254988</v>
      </c>
      <c r="FE40" s="272">
        <v>100654</v>
      </c>
      <c r="FF40" s="272">
        <v>111160</v>
      </c>
      <c r="FG40" s="455">
        <f t="shared" si="14"/>
        <v>192033</v>
      </c>
      <c r="FH40" s="272">
        <v>2793958</v>
      </c>
      <c r="FI40" s="384">
        <f t="shared" si="15"/>
        <v>7.8</v>
      </c>
      <c r="FJ40" s="272">
        <v>2517287</v>
      </c>
      <c r="FK40" s="272"/>
      <c r="FL40" s="272">
        <v>935377</v>
      </c>
      <c r="FM40" s="272">
        <v>2227782</v>
      </c>
      <c r="FN40" s="460">
        <v>0.38100000000000001</v>
      </c>
      <c r="FO40" s="388">
        <v>73.3</v>
      </c>
      <c r="FP40" s="388">
        <v>35.4</v>
      </c>
      <c r="FQ40" s="388">
        <v>1.2</v>
      </c>
      <c r="FR40" s="388">
        <v>12.4</v>
      </c>
      <c r="FS40" s="388">
        <v>11.8</v>
      </c>
      <c r="FT40" s="388">
        <v>8.6999999999999993</v>
      </c>
      <c r="FU40" s="388">
        <v>2.8</v>
      </c>
      <c r="FV40" s="388">
        <v>10.1</v>
      </c>
      <c r="FW40" s="272">
        <v>2198678</v>
      </c>
      <c r="FX40" s="384">
        <f t="shared" si="16"/>
        <v>87.3</v>
      </c>
      <c r="FY40" s="272">
        <v>1544735</v>
      </c>
      <c r="FZ40" s="272">
        <v>1177055</v>
      </c>
      <c r="GA40" s="272"/>
      <c r="GB40" s="272">
        <v>367680</v>
      </c>
      <c r="GC40" s="272"/>
      <c r="GD40" s="272">
        <v>67662</v>
      </c>
      <c r="GE40" s="384">
        <f>ROUND(GD40/FJ40*100,1)</f>
        <v>2.7</v>
      </c>
      <c r="GF40" s="388">
        <v>97.4</v>
      </c>
      <c r="GG40" s="388">
        <v>18.399999999999999</v>
      </c>
      <c r="GH40" s="388">
        <v>95.2</v>
      </c>
      <c r="GI40" s="272">
        <v>146</v>
      </c>
    </row>
    <row r="41" spans="2:191" x14ac:dyDescent="0.15">
      <c r="B41" s="89" t="s">
        <v>75</v>
      </c>
      <c r="C41" s="272">
        <v>2535557</v>
      </c>
      <c r="D41" s="455">
        <f t="shared" si="0"/>
        <v>813642</v>
      </c>
      <c r="E41" s="272">
        <v>9130</v>
      </c>
      <c r="F41" s="272">
        <v>804512</v>
      </c>
      <c r="G41" s="455">
        <f t="shared" si="1"/>
        <v>335597</v>
      </c>
      <c r="H41" s="272">
        <v>40574</v>
      </c>
      <c r="I41" s="272">
        <v>295023</v>
      </c>
      <c r="J41" s="272">
        <v>1030844</v>
      </c>
      <c r="K41" s="272">
        <v>543298</v>
      </c>
      <c r="L41" s="272">
        <v>295329</v>
      </c>
      <c r="M41" s="272">
        <v>187781</v>
      </c>
      <c r="N41" s="272">
        <v>103963</v>
      </c>
      <c r="O41" s="272">
        <v>238455</v>
      </c>
      <c r="P41" s="272">
        <v>170852</v>
      </c>
      <c r="Q41" s="272">
        <v>67603</v>
      </c>
      <c r="R41" s="272">
        <v>116004</v>
      </c>
      <c r="S41" s="272">
        <v>83719</v>
      </c>
      <c r="T41" s="455">
        <f t="shared" si="2"/>
        <v>146276</v>
      </c>
      <c r="U41" s="272">
        <v>88216</v>
      </c>
      <c r="V41" s="272"/>
      <c r="W41" s="272"/>
      <c r="X41" s="272"/>
      <c r="Y41" s="272">
        <v>0</v>
      </c>
      <c r="Z41" s="272">
        <v>0</v>
      </c>
      <c r="AA41" s="272">
        <v>58060</v>
      </c>
      <c r="AB41" s="272"/>
      <c r="AC41" s="272">
        <v>1235506</v>
      </c>
      <c r="AD41" s="272">
        <v>981195</v>
      </c>
      <c r="AE41" s="272">
        <v>254311</v>
      </c>
      <c r="AF41" s="272">
        <v>4999</v>
      </c>
      <c r="AG41" s="272">
        <v>2273</v>
      </c>
      <c r="AH41" s="455">
        <f t="shared" si="3"/>
        <v>97222</v>
      </c>
      <c r="AI41" s="272">
        <v>84758</v>
      </c>
      <c r="AJ41" s="272">
        <v>12464</v>
      </c>
      <c r="AK41" s="272">
        <v>127831</v>
      </c>
      <c r="AL41" s="455">
        <f t="shared" si="4"/>
        <v>51450</v>
      </c>
      <c r="AM41" s="272">
        <v>0</v>
      </c>
      <c r="AN41" s="272">
        <v>51450</v>
      </c>
      <c r="AO41" s="272">
        <v>0</v>
      </c>
      <c r="AP41" s="272">
        <v>0</v>
      </c>
      <c r="AQ41" s="272">
        <v>10300</v>
      </c>
      <c r="AR41" s="272">
        <v>0</v>
      </c>
      <c r="AS41" s="272">
        <v>0</v>
      </c>
      <c r="AT41" s="272">
        <v>267518</v>
      </c>
      <c r="AU41" s="272">
        <v>33237</v>
      </c>
      <c r="AV41" s="272">
        <v>19246</v>
      </c>
      <c r="AW41" s="272">
        <v>0</v>
      </c>
      <c r="AX41" s="272">
        <v>234281</v>
      </c>
      <c r="AY41" s="272">
        <v>86200</v>
      </c>
      <c r="AZ41" s="272">
        <v>121040</v>
      </c>
      <c r="BA41" s="272">
        <v>0</v>
      </c>
      <c r="BB41" s="272">
        <v>4166</v>
      </c>
      <c r="BC41" s="272">
        <v>787</v>
      </c>
      <c r="BD41" s="272">
        <v>0</v>
      </c>
      <c r="BE41" s="272">
        <v>0</v>
      </c>
      <c r="BF41" s="272">
        <v>0</v>
      </c>
      <c r="BG41" s="272">
        <v>0</v>
      </c>
      <c r="BH41" s="272">
        <v>147329</v>
      </c>
      <c r="BI41" s="272">
        <v>137713</v>
      </c>
      <c r="BJ41" s="272">
        <v>306844</v>
      </c>
      <c r="BK41" s="272">
        <v>303</v>
      </c>
      <c r="BL41" s="272">
        <v>0</v>
      </c>
      <c r="BM41" s="272">
        <v>0</v>
      </c>
      <c r="BN41" s="272">
        <v>0</v>
      </c>
      <c r="BO41" s="455">
        <f t="shared" si="5"/>
        <v>0</v>
      </c>
      <c r="BP41" s="455">
        <f t="shared" si="6"/>
        <v>0</v>
      </c>
      <c r="BQ41" s="272"/>
      <c r="BR41" s="272"/>
      <c r="BS41" s="272"/>
      <c r="BT41" s="272">
        <v>0</v>
      </c>
      <c r="BU41" s="272">
        <v>5113352</v>
      </c>
      <c r="BV41" s="272"/>
      <c r="BW41" s="272">
        <v>1620382</v>
      </c>
      <c r="BX41" s="272">
        <v>1185518</v>
      </c>
      <c r="BY41" s="272">
        <v>99293</v>
      </c>
      <c r="BZ41" s="272">
        <v>11423</v>
      </c>
      <c r="CA41" s="272">
        <v>136932</v>
      </c>
      <c r="CB41" s="272">
        <v>55306</v>
      </c>
      <c r="CC41" s="272">
        <v>56794</v>
      </c>
      <c r="CD41" s="272">
        <v>17332</v>
      </c>
      <c r="CE41" s="272">
        <v>0</v>
      </c>
      <c r="CF41" s="272">
        <v>0</v>
      </c>
      <c r="CG41" s="272">
        <v>7500</v>
      </c>
      <c r="CH41" s="272">
        <v>397029</v>
      </c>
      <c r="CI41" s="272">
        <v>216627</v>
      </c>
      <c r="CJ41" s="455">
        <f t="shared" si="7"/>
        <v>180402</v>
      </c>
      <c r="CK41" s="272">
        <v>721930</v>
      </c>
      <c r="CL41" s="272">
        <v>240902</v>
      </c>
      <c r="CM41" s="272">
        <v>59526</v>
      </c>
      <c r="CN41" s="272">
        <v>216136</v>
      </c>
      <c r="CO41" s="272">
        <v>61806</v>
      </c>
      <c r="CP41" s="272">
        <v>739636</v>
      </c>
      <c r="CQ41" s="272">
        <v>3642</v>
      </c>
      <c r="CR41" s="272">
        <v>39776</v>
      </c>
      <c r="CS41" s="272">
        <v>39776</v>
      </c>
      <c r="CT41" s="455">
        <f t="shared" si="8"/>
        <v>256196</v>
      </c>
      <c r="CU41" s="272">
        <v>0</v>
      </c>
      <c r="CV41" s="272">
        <v>256196</v>
      </c>
      <c r="CW41" s="455">
        <f t="shared" si="9"/>
        <v>216196</v>
      </c>
      <c r="CX41" s="272">
        <v>0</v>
      </c>
      <c r="CY41" s="272">
        <v>216196</v>
      </c>
      <c r="CZ41" s="455">
        <f t="shared" si="10"/>
        <v>0</v>
      </c>
      <c r="DA41" s="272">
        <v>0</v>
      </c>
      <c r="DB41" s="272">
        <v>0</v>
      </c>
      <c r="DC41" s="272">
        <v>364661</v>
      </c>
      <c r="DD41" s="272">
        <v>30900</v>
      </c>
      <c r="DE41" s="272">
        <v>277982</v>
      </c>
      <c r="DF41" s="272">
        <v>55779</v>
      </c>
      <c r="DG41" s="272">
        <v>0</v>
      </c>
      <c r="DH41" s="272">
        <v>0</v>
      </c>
      <c r="DI41" s="272">
        <v>293039</v>
      </c>
      <c r="DJ41" s="272">
        <v>75859</v>
      </c>
      <c r="DK41" s="272">
        <v>0</v>
      </c>
      <c r="DL41" s="272">
        <v>217180</v>
      </c>
      <c r="DM41" s="272">
        <v>104</v>
      </c>
      <c r="DN41" s="272">
        <v>0</v>
      </c>
      <c r="DO41" s="272">
        <v>0</v>
      </c>
      <c r="DP41" s="272">
        <v>0</v>
      </c>
      <c r="DQ41" s="272">
        <v>336</v>
      </c>
      <c r="DR41" s="272">
        <v>0</v>
      </c>
      <c r="DS41" s="272">
        <v>0</v>
      </c>
      <c r="DT41" s="272">
        <v>693866</v>
      </c>
      <c r="DU41" s="272">
        <v>525000</v>
      </c>
      <c r="DV41" s="455">
        <f t="shared" si="11"/>
        <v>0</v>
      </c>
      <c r="DW41" s="272">
        <v>0</v>
      </c>
      <c r="DX41" s="272">
        <v>0</v>
      </c>
      <c r="DY41" s="457" t="s">
        <v>646</v>
      </c>
      <c r="DZ41" s="272">
        <v>122000</v>
      </c>
      <c r="EA41" s="272">
        <v>46866</v>
      </c>
      <c r="EB41" s="272"/>
      <c r="EC41" s="272">
        <v>0</v>
      </c>
      <c r="ED41" s="272">
        <v>5029721</v>
      </c>
      <c r="EF41" s="272">
        <v>83631</v>
      </c>
      <c r="EG41" s="272">
        <v>41722</v>
      </c>
      <c r="EH41" s="272">
        <v>41909</v>
      </c>
      <c r="EI41" s="272">
        <v>-95804</v>
      </c>
      <c r="EJ41" s="272">
        <v>-19945</v>
      </c>
      <c r="EL41" s="272"/>
      <c r="EM41" s="272">
        <v>16759</v>
      </c>
      <c r="EN41" s="272">
        <v>787</v>
      </c>
      <c r="EO41" s="272">
        <v>1125</v>
      </c>
      <c r="EP41" s="455">
        <f t="shared" si="12"/>
        <v>226809</v>
      </c>
      <c r="EQ41" s="272">
        <v>4038342</v>
      </c>
      <c r="ER41" s="272">
        <v>-223722</v>
      </c>
      <c r="ES41" s="272">
        <v>1477803</v>
      </c>
      <c r="ET41" s="272">
        <v>1042939</v>
      </c>
      <c r="EU41" s="272">
        <v>45662</v>
      </c>
      <c r="EV41" s="272">
        <v>397029</v>
      </c>
      <c r="EW41" s="455">
        <f t="shared" si="13"/>
        <v>253561</v>
      </c>
      <c r="EX41" s="272">
        <v>253561</v>
      </c>
      <c r="EY41" s="272">
        <v>14600</v>
      </c>
      <c r="EZ41" s="272">
        <v>207852</v>
      </c>
      <c r="FA41" s="272">
        <v>0</v>
      </c>
      <c r="FB41" s="272"/>
      <c r="FC41" s="272">
        <v>625673</v>
      </c>
      <c r="FD41" s="272">
        <v>536639</v>
      </c>
      <c r="FE41" s="272">
        <v>3642</v>
      </c>
      <c r="FF41" s="272">
        <v>671308</v>
      </c>
      <c r="FG41" s="455">
        <f t="shared" si="14"/>
        <v>170758</v>
      </c>
      <c r="FH41" s="272">
        <v>4178433</v>
      </c>
      <c r="FI41" s="384">
        <f t="shared" si="15"/>
        <v>1.2</v>
      </c>
      <c r="FJ41" s="272">
        <v>3447549</v>
      </c>
      <c r="FK41" s="272"/>
      <c r="FL41" s="272">
        <v>1858770</v>
      </c>
      <c r="FM41" s="272">
        <v>2845946</v>
      </c>
      <c r="FN41" s="460">
        <v>0.68</v>
      </c>
      <c r="FO41" s="388">
        <v>86.5</v>
      </c>
      <c r="FP41" s="388">
        <v>39.5</v>
      </c>
      <c r="FQ41" s="388">
        <v>1.3</v>
      </c>
      <c r="FR41" s="388">
        <v>11</v>
      </c>
      <c r="FS41" s="388">
        <v>16.3</v>
      </c>
      <c r="FT41" s="388">
        <v>7.1</v>
      </c>
      <c r="FU41" s="388">
        <v>9.8000000000000007</v>
      </c>
      <c r="FV41" s="388">
        <v>9.6</v>
      </c>
      <c r="FW41" s="272">
        <v>2664629</v>
      </c>
      <c r="FX41" s="384">
        <f t="shared" si="16"/>
        <v>77.3</v>
      </c>
      <c r="FY41" s="272">
        <v>1987188</v>
      </c>
      <c r="FZ41" s="272">
        <v>1108350</v>
      </c>
      <c r="GA41" s="272"/>
      <c r="GB41" s="272">
        <v>878838</v>
      </c>
      <c r="GC41" s="272"/>
      <c r="GD41" s="272"/>
      <c r="GE41" s="384"/>
      <c r="GF41" s="388">
        <v>97.6</v>
      </c>
      <c r="GG41" s="388">
        <v>30.5</v>
      </c>
      <c r="GH41" s="388">
        <v>92.5</v>
      </c>
      <c r="GI41" s="272">
        <v>199</v>
      </c>
    </row>
    <row r="42" spans="2:191" x14ac:dyDescent="0.15">
      <c r="B42" s="89" t="s">
        <v>77</v>
      </c>
      <c r="C42" s="272">
        <v>4561356</v>
      </c>
      <c r="D42" s="455">
        <f t="shared" si="0"/>
        <v>2645969</v>
      </c>
      <c r="E42" s="272">
        <v>18021</v>
      </c>
      <c r="F42" s="272">
        <v>2627948</v>
      </c>
      <c r="G42" s="455">
        <f t="shared" si="1"/>
        <v>287425</v>
      </c>
      <c r="H42" s="272">
        <v>37474</v>
      </c>
      <c r="I42" s="272">
        <v>249951</v>
      </c>
      <c r="J42" s="272">
        <v>1473452</v>
      </c>
      <c r="K42" s="272">
        <v>551548</v>
      </c>
      <c r="L42" s="272">
        <v>695565</v>
      </c>
      <c r="M42" s="272">
        <v>214376</v>
      </c>
      <c r="N42" s="272">
        <v>121773</v>
      </c>
      <c r="O42" s="272">
        <v>0</v>
      </c>
      <c r="P42" s="272">
        <v>0</v>
      </c>
      <c r="Q42" s="272">
        <v>0</v>
      </c>
      <c r="R42" s="272">
        <v>186694</v>
      </c>
      <c r="S42" s="272">
        <v>114286</v>
      </c>
      <c r="T42" s="455">
        <f t="shared" si="2"/>
        <v>413827</v>
      </c>
      <c r="U42" s="272">
        <v>247287</v>
      </c>
      <c r="V42" s="272"/>
      <c r="W42" s="272"/>
      <c r="X42" s="272"/>
      <c r="Y42" s="272">
        <v>36215</v>
      </c>
      <c r="Z42" s="272">
        <v>0</v>
      </c>
      <c r="AA42" s="272">
        <v>130325</v>
      </c>
      <c r="AB42" s="272"/>
      <c r="AC42" s="272">
        <v>1866857</v>
      </c>
      <c r="AD42" s="272">
        <v>1666801</v>
      </c>
      <c r="AE42" s="272">
        <v>200056</v>
      </c>
      <c r="AF42" s="272">
        <v>9703</v>
      </c>
      <c r="AG42" s="272">
        <v>17238</v>
      </c>
      <c r="AH42" s="455">
        <f t="shared" si="3"/>
        <v>225152</v>
      </c>
      <c r="AI42" s="272">
        <v>204504</v>
      </c>
      <c r="AJ42" s="272">
        <v>20648</v>
      </c>
      <c r="AK42" s="272">
        <v>893850</v>
      </c>
      <c r="AL42" s="455">
        <f t="shared" si="4"/>
        <v>57210</v>
      </c>
      <c r="AM42" s="272">
        <v>0</v>
      </c>
      <c r="AN42" s="272">
        <v>57210</v>
      </c>
      <c r="AO42" s="272">
        <v>0</v>
      </c>
      <c r="AP42" s="272">
        <v>0</v>
      </c>
      <c r="AQ42" s="272">
        <v>703978</v>
      </c>
      <c r="AR42" s="272">
        <v>0</v>
      </c>
      <c r="AS42" s="272">
        <v>0</v>
      </c>
      <c r="AT42" s="272">
        <v>416490</v>
      </c>
      <c r="AU42" s="272">
        <v>82587</v>
      </c>
      <c r="AV42" s="272">
        <v>28605</v>
      </c>
      <c r="AW42" s="272">
        <v>21917</v>
      </c>
      <c r="AX42" s="272">
        <v>333903</v>
      </c>
      <c r="AY42" s="272">
        <v>131120</v>
      </c>
      <c r="AZ42" s="272">
        <v>399486</v>
      </c>
      <c r="BA42" s="272">
        <v>0</v>
      </c>
      <c r="BB42" s="272">
        <v>199701</v>
      </c>
      <c r="BC42" s="272">
        <v>6495</v>
      </c>
      <c r="BD42" s="272">
        <v>0</v>
      </c>
      <c r="BE42" s="272">
        <v>0</v>
      </c>
      <c r="BF42" s="272">
        <v>0</v>
      </c>
      <c r="BG42" s="272">
        <v>0</v>
      </c>
      <c r="BH42" s="272">
        <v>568317</v>
      </c>
      <c r="BI42" s="272">
        <v>299940</v>
      </c>
      <c r="BJ42" s="272">
        <v>115601</v>
      </c>
      <c r="BK42" s="272">
        <v>0</v>
      </c>
      <c r="BL42" s="272">
        <v>126</v>
      </c>
      <c r="BM42" s="272">
        <v>0</v>
      </c>
      <c r="BN42" s="272">
        <v>2515700</v>
      </c>
      <c r="BO42" s="455">
        <f t="shared" si="5"/>
        <v>2515700</v>
      </c>
      <c r="BP42" s="455">
        <f t="shared" si="6"/>
        <v>0</v>
      </c>
      <c r="BQ42" s="272"/>
      <c r="BR42" s="272"/>
      <c r="BS42" s="272"/>
      <c r="BT42" s="272">
        <v>0</v>
      </c>
      <c r="BU42" s="272">
        <v>12396467</v>
      </c>
      <c r="BV42" s="272"/>
      <c r="BW42" s="272">
        <v>2250185</v>
      </c>
      <c r="BX42" s="272">
        <v>1741847</v>
      </c>
      <c r="BY42" s="272">
        <v>64288</v>
      </c>
      <c r="BZ42" s="272">
        <v>19153</v>
      </c>
      <c r="CA42" s="272">
        <v>353247</v>
      </c>
      <c r="CB42" s="272">
        <v>49624</v>
      </c>
      <c r="CC42" s="272">
        <v>115726</v>
      </c>
      <c r="CD42" s="272">
        <v>175925</v>
      </c>
      <c r="CE42" s="272">
        <v>0</v>
      </c>
      <c r="CF42" s="272">
        <v>0</v>
      </c>
      <c r="CG42" s="272">
        <v>11972</v>
      </c>
      <c r="CH42" s="272">
        <v>518627</v>
      </c>
      <c r="CI42" s="272">
        <v>226932</v>
      </c>
      <c r="CJ42" s="455">
        <f t="shared" si="7"/>
        <v>291695</v>
      </c>
      <c r="CK42" s="272">
        <v>1207106</v>
      </c>
      <c r="CL42" s="272">
        <v>470029</v>
      </c>
      <c r="CM42" s="272">
        <v>89427</v>
      </c>
      <c r="CN42" s="272">
        <v>380774</v>
      </c>
      <c r="CO42" s="272">
        <v>124463</v>
      </c>
      <c r="CP42" s="272">
        <v>285449</v>
      </c>
      <c r="CQ42" s="272">
        <v>1027</v>
      </c>
      <c r="CR42" s="272">
        <v>143023</v>
      </c>
      <c r="CS42" s="272">
        <v>140677</v>
      </c>
      <c r="CT42" s="455">
        <f t="shared" si="8"/>
        <v>11142</v>
      </c>
      <c r="CU42" s="272">
        <v>8145</v>
      </c>
      <c r="CV42" s="272">
        <v>2997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5780362</v>
      </c>
      <c r="DD42" s="272">
        <v>1483671</v>
      </c>
      <c r="DE42" s="272">
        <v>4292511</v>
      </c>
      <c r="DF42" s="272">
        <v>4180</v>
      </c>
      <c r="DG42" s="272">
        <v>0</v>
      </c>
      <c r="DH42" s="272">
        <v>205</v>
      </c>
      <c r="DI42" s="272">
        <v>883854</v>
      </c>
      <c r="DJ42" s="272">
        <v>150000</v>
      </c>
      <c r="DK42" s="272">
        <v>91457</v>
      </c>
      <c r="DL42" s="272">
        <v>642397</v>
      </c>
      <c r="DM42" s="272">
        <v>190</v>
      </c>
      <c r="DN42" s="272">
        <v>0</v>
      </c>
      <c r="DO42" s="272">
        <v>0</v>
      </c>
      <c r="DP42" s="272">
        <v>0</v>
      </c>
      <c r="DQ42" s="272">
        <v>0</v>
      </c>
      <c r="DR42" s="272">
        <v>0</v>
      </c>
      <c r="DS42" s="272">
        <v>0</v>
      </c>
      <c r="DT42" s="272">
        <v>559408</v>
      </c>
      <c r="DU42" s="272">
        <v>230317</v>
      </c>
      <c r="DV42" s="455">
        <f t="shared" si="11"/>
        <v>0</v>
      </c>
      <c r="DW42" s="272">
        <v>0</v>
      </c>
      <c r="DX42" s="272">
        <v>0</v>
      </c>
      <c r="DY42" s="457" t="s">
        <v>646</v>
      </c>
      <c r="DZ42" s="272">
        <v>71721</v>
      </c>
      <c r="EA42" s="272">
        <v>85574</v>
      </c>
      <c r="EB42" s="272"/>
      <c r="EC42" s="272">
        <v>0</v>
      </c>
      <c r="ED42" s="272">
        <v>11963096</v>
      </c>
      <c r="EF42" s="272">
        <v>433371</v>
      </c>
      <c r="EG42" s="272">
        <v>106640</v>
      </c>
      <c r="EH42" s="272">
        <v>326731</v>
      </c>
      <c r="EI42" s="272">
        <v>26791</v>
      </c>
      <c r="EJ42" s="272">
        <v>176791</v>
      </c>
      <c r="EL42" s="272"/>
      <c r="EM42" s="272">
        <v>38560</v>
      </c>
      <c r="EN42" s="272">
        <v>6495</v>
      </c>
      <c r="EO42" s="272">
        <v>51417</v>
      </c>
      <c r="EP42" s="455">
        <f t="shared" si="12"/>
        <v>669320</v>
      </c>
      <c r="EQ42" s="272">
        <v>7038437</v>
      </c>
      <c r="ER42" s="272">
        <v>-717529</v>
      </c>
      <c r="ES42" s="272">
        <v>2021389</v>
      </c>
      <c r="ET42" s="272">
        <v>1517180</v>
      </c>
      <c r="EU42" s="272">
        <v>195888</v>
      </c>
      <c r="EV42" s="272">
        <v>518627</v>
      </c>
      <c r="EW42" s="455">
        <f t="shared" si="13"/>
        <v>2140760</v>
      </c>
      <c r="EX42" s="272">
        <v>2140555</v>
      </c>
      <c r="EY42" s="272">
        <v>224726</v>
      </c>
      <c r="EZ42" s="272">
        <v>1911649</v>
      </c>
      <c r="FA42" s="272">
        <v>205</v>
      </c>
      <c r="FB42" s="272"/>
      <c r="FC42" s="272">
        <v>978055</v>
      </c>
      <c r="FD42" s="272">
        <v>272441</v>
      </c>
      <c r="FE42" s="272">
        <v>1027</v>
      </c>
      <c r="FF42" s="272">
        <v>519322</v>
      </c>
      <c r="FG42" s="455">
        <f t="shared" si="14"/>
        <v>676113</v>
      </c>
      <c r="FH42" s="272">
        <v>7322595</v>
      </c>
      <c r="FI42" s="384">
        <f t="shared" si="15"/>
        <v>4.9000000000000004</v>
      </c>
      <c r="FJ42" s="272">
        <v>6646649</v>
      </c>
      <c r="FK42" s="272"/>
      <c r="FL42" s="272">
        <v>3753147</v>
      </c>
      <c r="FM42" s="272">
        <v>5422406</v>
      </c>
      <c r="FN42" s="460">
        <v>0.73599999999999999</v>
      </c>
      <c r="FO42" s="388">
        <v>51.9</v>
      </c>
      <c r="FP42" s="388">
        <v>28.2</v>
      </c>
      <c r="FQ42" s="388">
        <v>1.9</v>
      </c>
      <c r="FR42" s="388">
        <v>7.4</v>
      </c>
      <c r="FS42" s="388">
        <v>9.3000000000000007</v>
      </c>
      <c r="FT42" s="388">
        <v>2.9</v>
      </c>
      <c r="FU42" s="388">
        <v>1.3</v>
      </c>
      <c r="FV42" s="388">
        <v>5.9</v>
      </c>
      <c r="FW42" s="272">
        <v>7300489</v>
      </c>
      <c r="FX42" s="384">
        <f t="shared" si="16"/>
        <v>109.8</v>
      </c>
      <c r="FY42" s="272">
        <v>8306857</v>
      </c>
      <c r="FZ42" s="272">
        <v>1127377</v>
      </c>
      <c r="GA42" s="272">
        <v>277171</v>
      </c>
      <c r="GB42" s="272">
        <v>6902309</v>
      </c>
      <c r="GC42" s="272"/>
      <c r="GD42" s="272">
        <v>2620744</v>
      </c>
      <c r="GE42" s="384">
        <f>ROUND(GD42/FJ42*100,1)</f>
        <v>39.4</v>
      </c>
      <c r="GF42" s="388">
        <v>97.2</v>
      </c>
      <c r="GG42" s="388">
        <v>27.3</v>
      </c>
      <c r="GH42" s="388">
        <v>92.6</v>
      </c>
      <c r="GI42" s="272">
        <v>322</v>
      </c>
    </row>
    <row r="43" spans="2:191" x14ac:dyDescent="0.15">
      <c r="B43" s="89" t="s">
        <v>79</v>
      </c>
      <c r="C43" s="272">
        <v>704066</v>
      </c>
      <c r="D43" s="455">
        <f t="shared" si="0"/>
        <v>344240</v>
      </c>
      <c r="E43" s="272">
        <v>3500</v>
      </c>
      <c r="F43" s="272">
        <v>340740</v>
      </c>
      <c r="G43" s="455">
        <f t="shared" si="1"/>
        <v>39247</v>
      </c>
      <c r="H43" s="272">
        <v>10930</v>
      </c>
      <c r="I43" s="272">
        <v>28317</v>
      </c>
      <c r="J43" s="272">
        <v>273060</v>
      </c>
      <c r="K43" s="272">
        <v>131956</v>
      </c>
      <c r="L43" s="272">
        <v>78087</v>
      </c>
      <c r="M43" s="272">
        <v>60636</v>
      </c>
      <c r="N43" s="272">
        <v>27577</v>
      </c>
      <c r="O43" s="272">
        <v>0</v>
      </c>
      <c r="P43" s="272">
        <v>0</v>
      </c>
      <c r="Q43" s="272">
        <v>0</v>
      </c>
      <c r="R43" s="272">
        <v>36404</v>
      </c>
      <c r="S43" s="272">
        <v>25128</v>
      </c>
      <c r="T43" s="455">
        <f t="shared" si="2"/>
        <v>54020</v>
      </c>
      <c r="U43" s="272">
        <v>33613</v>
      </c>
      <c r="V43" s="272"/>
      <c r="W43" s="272"/>
      <c r="X43" s="272"/>
      <c r="Y43" s="272">
        <v>0</v>
      </c>
      <c r="Z43" s="272">
        <v>0</v>
      </c>
      <c r="AA43" s="272">
        <v>20407</v>
      </c>
      <c r="AB43" s="272"/>
      <c r="AC43" s="272">
        <v>854393</v>
      </c>
      <c r="AD43" s="272">
        <v>748106</v>
      </c>
      <c r="AE43" s="272">
        <v>106287</v>
      </c>
      <c r="AF43" s="272">
        <v>1382</v>
      </c>
      <c r="AG43" s="272">
        <v>4448</v>
      </c>
      <c r="AH43" s="455">
        <f t="shared" si="3"/>
        <v>23232</v>
      </c>
      <c r="AI43" s="272">
        <v>20664</v>
      </c>
      <c r="AJ43" s="272">
        <v>2568</v>
      </c>
      <c r="AK43" s="272">
        <v>105084</v>
      </c>
      <c r="AL43" s="455">
        <f t="shared" si="4"/>
        <v>6110</v>
      </c>
      <c r="AM43" s="272">
        <v>0</v>
      </c>
      <c r="AN43" s="272">
        <v>6110</v>
      </c>
      <c r="AO43" s="272">
        <v>0</v>
      </c>
      <c r="AP43" s="272">
        <v>0</v>
      </c>
      <c r="AQ43" s="272">
        <v>0</v>
      </c>
      <c r="AR43" s="272">
        <v>0</v>
      </c>
      <c r="AS43" s="272">
        <v>0</v>
      </c>
      <c r="AT43" s="272">
        <v>190825</v>
      </c>
      <c r="AU43" s="272">
        <v>36742</v>
      </c>
      <c r="AV43" s="272">
        <v>3055</v>
      </c>
      <c r="AW43" s="272">
        <v>19089</v>
      </c>
      <c r="AX43" s="272">
        <v>154083</v>
      </c>
      <c r="AY43" s="272">
        <v>97757</v>
      </c>
      <c r="AZ43" s="272">
        <v>98869</v>
      </c>
      <c r="BA43" s="272">
        <v>36157</v>
      </c>
      <c r="BB43" s="272">
        <v>400</v>
      </c>
      <c r="BC43" s="272">
        <v>100000</v>
      </c>
      <c r="BD43" s="272">
        <v>100000</v>
      </c>
      <c r="BE43" s="272">
        <v>0</v>
      </c>
      <c r="BF43" s="272">
        <v>0</v>
      </c>
      <c r="BG43" s="272">
        <v>0</v>
      </c>
      <c r="BH43" s="272">
        <v>243962</v>
      </c>
      <c r="BI43" s="272">
        <v>243962</v>
      </c>
      <c r="BJ43" s="272">
        <v>251936</v>
      </c>
      <c r="BK43" s="272">
        <v>0</v>
      </c>
      <c r="BL43" s="272">
        <v>0</v>
      </c>
      <c r="BM43" s="272">
        <v>0</v>
      </c>
      <c r="BN43" s="272">
        <v>140900</v>
      </c>
      <c r="BO43" s="455">
        <f t="shared" si="5"/>
        <v>140900</v>
      </c>
      <c r="BP43" s="455">
        <f t="shared" si="6"/>
        <v>0</v>
      </c>
      <c r="BQ43" s="272"/>
      <c r="BR43" s="272"/>
      <c r="BS43" s="272"/>
      <c r="BT43" s="272">
        <v>0</v>
      </c>
      <c r="BU43" s="272">
        <v>2809921</v>
      </c>
      <c r="BV43" s="272"/>
      <c r="BW43" s="272">
        <v>742855</v>
      </c>
      <c r="BX43" s="272">
        <v>509968</v>
      </c>
      <c r="BY43" s="272">
        <v>8741</v>
      </c>
      <c r="BZ43" s="272">
        <v>13867</v>
      </c>
      <c r="CA43" s="272">
        <v>66971</v>
      </c>
      <c r="CB43" s="272">
        <v>13824</v>
      </c>
      <c r="CC43" s="272">
        <v>34780</v>
      </c>
      <c r="CD43" s="272">
        <v>17218</v>
      </c>
      <c r="CE43" s="272">
        <v>0</v>
      </c>
      <c r="CF43" s="272">
        <v>0</v>
      </c>
      <c r="CG43" s="272">
        <v>1149</v>
      </c>
      <c r="CH43" s="272">
        <v>128403</v>
      </c>
      <c r="CI43" s="272">
        <v>53245</v>
      </c>
      <c r="CJ43" s="455">
        <f t="shared" si="7"/>
        <v>75158</v>
      </c>
      <c r="CK43" s="272">
        <v>337127</v>
      </c>
      <c r="CL43" s="272">
        <v>156507</v>
      </c>
      <c r="CM43" s="272">
        <v>30614</v>
      </c>
      <c r="CN43" s="272">
        <v>89294</v>
      </c>
      <c r="CO43" s="272">
        <v>16241</v>
      </c>
      <c r="CP43" s="272">
        <v>284780</v>
      </c>
      <c r="CQ43" s="272">
        <v>134153</v>
      </c>
      <c r="CR43" s="272">
        <v>28976</v>
      </c>
      <c r="CS43" s="272">
        <v>28976</v>
      </c>
      <c r="CT43" s="455">
        <f t="shared" si="8"/>
        <v>22917</v>
      </c>
      <c r="CU43" s="272">
        <v>300</v>
      </c>
      <c r="CV43" s="272">
        <v>22617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722974</v>
      </c>
      <c r="DD43" s="272">
        <v>27270</v>
      </c>
      <c r="DE43" s="272">
        <v>695704</v>
      </c>
      <c r="DF43" s="272">
        <v>0</v>
      </c>
      <c r="DG43" s="272">
        <v>0</v>
      </c>
      <c r="DH43" s="272">
        <v>0</v>
      </c>
      <c r="DI43" s="272">
        <v>182041</v>
      </c>
      <c r="DJ43" s="272">
        <v>141679</v>
      </c>
      <c r="DK43" s="272">
        <v>0</v>
      </c>
      <c r="DL43" s="272">
        <v>40362</v>
      </c>
      <c r="DM43" s="272">
        <v>185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175976</v>
      </c>
      <c r="DU43" s="272">
        <v>100839</v>
      </c>
      <c r="DV43" s="455">
        <f t="shared" si="11"/>
        <v>0</v>
      </c>
      <c r="DW43" s="272">
        <v>0</v>
      </c>
      <c r="DX43" s="272">
        <v>0</v>
      </c>
      <c r="DY43" s="457" t="s">
        <v>646</v>
      </c>
      <c r="DZ43" s="272">
        <v>49489</v>
      </c>
      <c r="EA43" s="272">
        <v>24805</v>
      </c>
      <c r="EB43" s="272"/>
      <c r="EC43" s="272">
        <v>0</v>
      </c>
      <c r="ED43" s="272">
        <v>2657553</v>
      </c>
      <c r="EF43" s="272">
        <v>152368</v>
      </c>
      <c r="EG43" s="272">
        <v>0</v>
      </c>
      <c r="EH43" s="272">
        <v>152368</v>
      </c>
      <c r="EI43" s="272">
        <v>-91594</v>
      </c>
      <c r="EJ43" s="272">
        <v>-49915</v>
      </c>
      <c r="EL43" s="272"/>
      <c r="EM43" s="272">
        <v>6650</v>
      </c>
      <c r="EN43" s="272">
        <v>100000</v>
      </c>
      <c r="EO43" s="272">
        <v>37264</v>
      </c>
      <c r="EP43" s="455">
        <f t="shared" si="12"/>
        <v>327322</v>
      </c>
      <c r="EQ43" s="272">
        <v>1650265</v>
      </c>
      <c r="ER43" s="272">
        <v>-463204</v>
      </c>
      <c r="ES43" s="272">
        <v>695673</v>
      </c>
      <c r="ET43" s="272">
        <v>465300</v>
      </c>
      <c r="EU43" s="272">
        <v>28421</v>
      </c>
      <c r="EV43" s="272">
        <v>128403</v>
      </c>
      <c r="EW43" s="455">
        <f t="shared" si="13"/>
        <v>230678</v>
      </c>
      <c r="EX43" s="272">
        <v>230678</v>
      </c>
      <c r="EY43" s="272">
        <v>2791</v>
      </c>
      <c r="EZ43" s="272">
        <v>227887</v>
      </c>
      <c r="FA43" s="272">
        <v>0</v>
      </c>
      <c r="FB43" s="272"/>
      <c r="FC43" s="272">
        <v>295119</v>
      </c>
      <c r="FD43" s="272">
        <v>276948</v>
      </c>
      <c r="FE43" s="272">
        <v>134153</v>
      </c>
      <c r="FF43" s="272">
        <v>164675</v>
      </c>
      <c r="FG43" s="455">
        <f t="shared" si="14"/>
        <v>141184</v>
      </c>
      <c r="FH43" s="272">
        <v>1961101</v>
      </c>
      <c r="FI43" s="384">
        <f t="shared" si="15"/>
        <v>10</v>
      </c>
      <c r="FJ43" s="272">
        <v>1519010</v>
      </c>
      <c r="FK43" s="272"/>
      <c r="FL43" s="272">
        <v>581508</v>
      </c>
      <c r="FM43" s="272">
        <v>1332278</v>
      </c>
      <c r="FN43" s="460">
        <v>0.42699999999999999</v>
      </c>
      <c r="FO43" s="388">
        <v>81.400000000000006</v>
      </c>
      <c r="FP43" s="388">
        <v>44.4</v>
      </c>
      <c r="FQ43" s="388">
        <v>1.8</v>
      </c>
      <c r="FR43" s="388">
        <v>8.1999999999999993</v>
      </c>
      <c r="FS43" s="388">
        <v>13</v>
      </c>
      <c r="FT43" s="388">
        <v>11.2</v>
      </c>
      <c r="FU43" s="388">
        <v>1.8</v>
      </c>
      <c r="FV43" s="388">
        <v>5.7</v>
      </c>
      <c r="FW43" s="272">
        <v>1529268</v>
      </c>
      <c r="FX43" s="384">
        <f t="shared" si="16"/>
        <v>100.7</v>
      </c>
      <c r="FY43" s="272">
        <v>927489</v>
      </c>
      <c r="FZ43" s="272">
        <v>586206</v>
      </c>
      <c r="GA43" s="272"/>
      <c r="GB43" s="272">
        <v>341283</v>
      </c>
      <c r="GC43" s="272"/>
      <c r="GD43" s="272">
        <v>685813</v>
      </c>
      <c r="GE43" s="384">
        <f>ROUND(GD43/FJ43*100,1)</f>
        <v>45.1</v>
      </c>
      <c r="GF43" s="388">
        <v>94.6</v>
      </c>
      <c r="GG43" s="388">
        <v>41.9</v>
      </c>
      <c r="GH43" s="388">
        <v>91.4</v>
      </c>
      <c r="GI43" s="272">
        <v>96</v>
      </c>
    </row>
    <row r="44" spans="2:191" x14ac:dyDescent="0.15">
      <c r="B44" s="89" t="s">
        <v>81</v>
      </c>
      <c r="C44" s="272">
        <v>2972509</v>
      </c>
      <c r="D44" s="455">
        <f t="shared" si="0"/>
        <v>1086461</v>
      </c>
      <c r="E44" s="272">
        <v>10622</v>
      </c>
      <c r="F44" s="272">
        <v>1075839</v>
      </c>
      <c r="G44" s="455">
        <f t="shared" si="1"/>
        <v>293216</v>
      </c>
      <c r="H44" s="272">
        <v>28054</v>
      </c>
      <c r="I44" s="272">
        <v>265162</v>
      </c>
      <c r="J44" s="272">
        <v>1337541</v>
      </c>
      <c r="K44" s="272">
        <v>519125</v>
      </c>
      <c r="L44" s="272">
        <v>346444</v>
      </c>
      <c r="M44" s="272">
        <v>467770</v>
      </c>
      <c r="N44" s="272">
        <v>84821</v>
      </c>
      <c r="O44" s="272">
        <v>0</v>
      </c>
      <c r="P44" s="272">
        <v>0</v>
      </c>
      <c r="Q44" s="272">
        <v>0</v>
      </c>
      <c r="R44" s="272">
        <v>117799</v>
      </c>
      <c r="S44" s="272">
        <v>69730</v>
      </c>
      <c r="T44" s="455">
        <f t="shared" si="2"/>
        <v>305722</v>
      </c>
      <c r="U44" s="272">
        <v>123121</v>
      </c>
      <c r="V44" s="272"/>
      <c r="W44" s="272"/>
      <c r="X44" s="272"/>
      <c r="Y44" s="272">
        <v>95492</v>
      </c>
      <c r="Z44" s="272">
        <v>377</v>
      </c>
      <c r="AA44" s="272">
        <v>86732</v>
      </c>
      <c r="AB44" s="272"/>
      <c r="AC44" s="272">
        <v>877348</v>
      </c>
      <c r="AD44" s="272">
        <v>683160</v>
      </c>
      <c r="AE44" s="272">
        <v>194188</v>
      </c>
      <c r="AF44" s="272">
        <v>4497</v>
      </c>
      <c r="AG44" s="272">
        <v>7198</v>
      </c>
      <c r="AH44" s="455">
        <f t="shared" si="3"/>
        <v>170631</v>
      </c>
      <c r="AI44" s="272">
        <v>161892</v>
      </c>
      <c r="AJ44" s="272">
        <v>8739</v>
      </c>
      <c r="AK44" s="272">
        <v>119496</v>
      </c>
      <c r="AL44" s="455">
        <f t="shared" si="4"/>
        <v>26140</v>
      </c>
      <c r="AM44" s="272">
        <v>0</v>
      </c>
      <c r="AN44" s="272">
        <v>26140</v>
      </c>
      <c r="AO44" s="272">
        <v>0</v>
      </c>
      <c r="AP44" s="272">
        <v>0</v>
      </c>
      <c r="AQ44" s="272">
        <v>18123</v>
      </c>
      <c r="AR44" s="272">
        <v>0</v>
      </c>
      <c r="AS44" s="272">
        <v>0</v>
      </c>
      <c r="AT44" s="272">
        <v>610709</v>
      </c>
      <c r="AU44" s="272">
        <v>129232</v>
      </c>
      <c r="AV44" s="272">
        <v>12620</v>
      </c>
      <c r="AW44" s="272">
        <v>74546</v>
      </c>
      <c r="AX44" s="272">
        <v>481477</v>
      </c>
      <c r="AY44" s="272">
        <v>113314</v>
      </c>
      <c r="AZ44" s="272">
        <v>107512</v>
      </c>
      <c r="BA44" s="272">
        <v>10206</v>
      </c>
      <c r="BB44" s="272">
        <v>116277</v>
      </c>
      <c r="BC44" s="272">
        <v>175985</v>
      </c>
      <c r="BD44" s="272">
        <v>0</v>
      </c>
      <c r="BE44" s="272">
        <v>128410</v>
      </c>
      <c r="BF44" s="272">
        <v>738</v>
      </c>
      <c r="BG44" s="272">
        <v>0</v>
      </c>
      <c r="BH44" s="272">
        <v>42855</v>
      </c>
      <c r="BI44" s="272">
        <v>42855</v>
      </c>
      <c r="BJ44" s="272">
        <v>213547</v>
      </c>
      <c r="BK44" s="272">
        <v>25595</v>
      </c>
      <c r="BL44" s="272">
        <v>0</v>
      </c>
      <c r="BM44" s="272">
        <v>0</v>
      </c>
      <c r="BN44" s="272">
        <v>53500</v>
      </c>
      <c r="BO44" s="455">
        <f t="shared" si="5"/>
        <v>53500</v>
      </c>
      <c r="BP44" s="455">
        <f t="shared" si="6"/>
        <v>0</v>
      </c>
      <c r="BQ44" s="272"/>
      <c r="BR44" s="272"/>
      <c r="BS44" s="272"/>
      <c r="BT44" s="272">
        <v>0</v>
      </c>
      <c r="BU44" s="272">
        <v>5895585</v>
      </c>
      <c r="BV44" s="272"/>
      <c r="BW44" s="272">
        <v>1843465</v>
      </c>
      <c r="BX44" s="272">
        <v>1354193</v>
      </c>
      <c r="BY44" s="272">
        <v>105792</v>
      </c>
      <c r="BZ44" s="272">
        <v>25047</v>
      </c>
      <c r="CA44" s="272">
        <v>228729</v>
      </c>
      <c r="CB44" s="272">
        <v>58652</v>
      </c>
      <c r="CC44" s="272">
        <v>80588</v>
      </c>
      <c r="CD44" s="272">
        <v>61168</v>
      </c>
      <c r="CE44" s="272">
        <v>0</v>
      </c>
      <c r="CF44" s="272">
        <v>1541</v>
      </c>
      <c r="CG44" s="272">
        <v>26780</v>
      </c>
      <c r="CH44" s="272">
        <v>963892</v>
      </c>
      <c r="CI44" s="272">
        <v>603562</v>
      </c>
      <c r="CJ44" s="455">
        <f t="shared" si="7"/>
        <v>360330</v>
      </c>
      <c r="CK44" s="272">
        <v>1017862</v>
      </c>
      <c r="CL44" s="272">
        <v>368026</v>
      </c>
      <c r="CM44" s="272">
        <v>139584</v>
      </c>
      <c r="CN44" s="272">
        <v>370088</v>
      </c>
      <c r="CO44" s="272">
        <v>87443</v>
      </c>
      <c r="CP44" s="272">
        <v>152464</v>
      </c>
      <c r="CQ44" s="272">
        <v>1767</v>
      </c>
      <c r="CR44" s="272">
        <v>63372</v>
      </c>
      <c r="CS44" s="272">
        <v>55237</v>
      </c>
      <c r="CT44" s="455">
        <f t="shared" si="8"/>
        <v>0</v>
      </c>
      <c r="CU44" s="272">
        <v>0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560077</v>
      </c>
      <c r="DD44" s="272">
        <v>133222</v>
      </c>
      <c r="DE44" s="272">
        <v>410212</v>
      </c>
      <c r="DF44" s="272">
        <v>16643</v>
      </c>
      <c r="DG44" s="272">
        <v>0</v>
      </c>
      <c r="DH44" s="272">
        <v>0</v>
      </c>
      <c r="DI44" s="272">
        <v>609408</v>
      </c>
      <c r="DJ44" s="272">
        <v>207165</v>
      </c>
      <c r="DK44" s="272">
        <v>52016</v>
      </c>
      <c r="DL44" s="272">
        <v>350227</v>
      </c>
      <c r="DM44" s="272">
        <v>24</v>
      </c>
      <c r="DN44" s="272">
        <v>0</v>
      </c>
      <c r="DO44" s="272">
        <v>0</v>
      </c>
      <c r="DP44" s="272">
        <v>0</v>
      </c>
      <c r="DQ44" s="272">
        <v>0</v>
      </c>
      <c r="DR44" s="272">
        <v>0</v>
      </c>
      <c r="DS44" s="272">
        <v>0</v>
      </c>
      <c r="DT44" s="272">
        <v>377831</v>
      </c>
      <c r="DU44" s="272">
        <v>62992</v>
      </c>
      <c r="DV44" s="455">
        <f t="shared" si="11"/>
        <v>0</v>
      </c>
      <c r="DW44" s="272">
        <v>0</v>
      </c>
      <c r="DX44" s="272">
        <v>0</v>
      </c>
      <c r="DY44" s="457" t="s">
        <v>646</v>
      </c>
      <c r="DZ44" s="272">
        <v>124653</v>
      </c>
      <c r="EA44" s="272">
        <v>92581</v>
      </c>
      <c r="EB44" s="272"/>
      <c r="EC44" s="272">
        <v>0</v>
      </c>
      <c r="ED44" s="272">
        <v>5841195</v>
      </c>
      <c r="EF44" s="272">
        <v>54390</v>
      </c>
      <c r="EG44" s="272">
        <v>1301</v>
      </c>
      <c r="EH44" s="272">
        <v>53089</v>
      </c>
      <c r="EI44" s="272">
        <v>10234</v>
      </c>
      <c r="EJ44" s="272">
        <v>246729</v>
      </c>
      <c r="EL44" s="272"/>
      <c r="EM44" s="272">
        <v>21593</v>
      </c>
      <c r="EN44" s="272">
        <v>147139</v>
      </c>
      <c r="EO44" s="272">
        <v>29802</v>
      </c>
      <c r="EP44" s="455">
        <f t="shared" si="12"/>
        <v>255338</v>
      </c>
      <c r="EQ44" s="272">
        <v>4277875</v>
      </c>
      <c r="ER44" s="272">
        <v>-427782</v>
      </c>
      <c r="ES44" s="272">
        <v>1642942</v>
      </c>
      <c r="ET44" s="272">
        <v>1166241</v>
      </c>
      <c r="EU44" s="272">
        <v>103339</v>
      </c>
      <c r="EV44" s="272">
        <v>758640</v>
      </c>
      <c r="EW44" s="455">
        <f t="shared" si="13"/>
        <v>287579</v>
      </c>
      <c r="EX44" s="272">
        <v>287579</v>
      </c>
      <c r="EY44" s="272">
        <v>9137</v>
      </c>
      <c r="EZ44" s="272">
        <v>275799</v>
      </c>
      <c r="FA44" s="272">
        <v>0</v>
      </c>
      <c r="FB44" s="272"/>
      <c r="FC44" s="272">
        <v>843761</v>
      </c>
      <c r="FD44" s="272">
        <v>135971</v>
      </c>
      <c r="FE44" s="272">
        <v>1767</v>
      </c>
      <c r="FF44" s="272">
        <v>335300</v>
      </c>
      <c r="FG44" s="455">
        <f t="shared" si="14"/>
        <v>544964</v>
      </c>
      <c r="FH44" s="272">
        <v>4652496</v>
      </c>
      <c r="FI44" s="384">
        <f t="shared" si="15"/>
        <v>1.4</v>
      </c>
      <c r="FJ44" s="272">
        <v>3849783</v>
      </c>
      <c r="FK44" s="272"/>
      <c r="FL44" s="272">
        <v>2388090</v>
      </c>
      <c r="FM44" s="272">
        <v>3079531</v>
      </c>
      <c r="FN44" s="460">
        <v>0.80500000000000005</v>
      </c>
      <c r="FO44" s="388">
        <v>80.2</v>
      </c>
      <c r="FP44" s="388">
        <v>38.299999999999997</v>
      </c>
      <c r="FQ44" s="388">
        <v>2.5</v>
      </c>
      <c r="FR44" s="388">
        <v>14.9</v>
      </c>
      <c r="FS44" s="388">
        <v>17.2</v>
      </c>
      <c r="FT44" s="388">
        <v>2.2999999999999998</v>
      </c>
      <c r="FU44" s="388">
        <v>3</v>
      </c>
      <c r="FV44" s="388">
        <v>13.3</v>
      </c>
      <c r="FW44" s="272">
        <v>5527398</v>
      </c>
      <c r="FX44" s="384">
        <f t="shared" si="16"/>
        <v>143.6</v>
      </c>
      <c r="FY44" s="272">
        <v>1863566</v>
      </c>
      <c r="FZ44" s="272">
        <v>457508</v>
      </c>
      <c r="GA44" s="272">
        <v>105647</v>
      </c>
      <c r="GB44" s="272">
        <v>1300411</v>
      </c>
      <c r="GC44" s="272"/>
      <c r="GD44" s="272"/>
      <c r="GE44" s="384"/>
      <c r="GF44" s="388">
        <v>98.2</v>
      </c>
      <c r="GG44" s="388">
        <v>32.6</v>
      </c>
      <c r="GH44" s="388">
        <v>96</v>
      </c>
      <c r="GI44" s="272">
        <v>217</v>
      </c>
    </row>
    <row r="45" spans="2:191" x14ac:dyDescent="0.15">
      <c r="B45" s="89" t="s">
        <v>83</v>
      </c>
      <c r="C45" s="272">
        <v>1105723</v>
      </c>
      <c r="D45" s="455">
        <f t="shared" si="0"/>
        <v>638174</v>
      </c>
      <c r="E45" s="272">
        <v>5208</v>
      </c>
      <c r="F45" s="272">
        <v>632966</v>
      </c>
      <c r="G45" s="455">
        <f t="shared" si="1"/>
        <v>26946</v>
      </c>
      <c r="H45" s="272">
        <v>6576</v>
      </c>
      <c r="I45" s="272">
        <v>20370</v>
      </c>
      <c r="J45" s="272">
        <v>361662</v>
      </c>
      <c r="K45" s="272">
        <v>190716</v>
      </c>
      <c r="L45" s="272">
        <v>127145</v>
      </c>
      <c r="M45" s="272">
        <v>43801</v>
      </c>
      <c r="N45" s="272">
        <v>31693</v>
      </c>
      <c r="O45" s="272">
        <v>0</v>
      </c>
      <c r="P45" s="272">
        <v>0</v>
      </c>
      <c r="Q45" s="272">
        <v>0</v>
      </c>
      <c r="R45" s="272">
        <v>52354</v>
      </c>
      <c r="S45" s="272">
        <v>29430</v>
      </c>
      <c r="T45" s="455">
        <f t="shared" si="2"/>
        <v>103602</v>
      </c>
      <c r="U45" s="272">
        <v>61939</v>
      </c>
      <c r="V45" s="272"/>
      <c r="W45" s="272"/>
      <c r="X45" s="272"/>
      <c r="Y45" s="272">
        <v>0</v>
      </c>
      <c r="Z45" s="272">
        <v>289</v>
      </c>
      <c r="AA45" s="272">
        <v>41374</v>
      </c>
      <c r="AB45" s="272"/>
      <c r="AC45" s="272">
        <v>1192698</v>
      </c>
      <c r="AD45" s="272">
        <v>1040467</v>
      </c>
      <c r="AE45" s="272">
        <v>152231</v>
      </c>
      <c r="AF45" s="272">
        <v>2220</v>
      </c>
      <c r="AG45" s="272">
        <v>39531</v>
      </c>
      <c r="AH45" s="455">
        <f t="shared" si="3"/>
        <v>25231</v>
      </c>
      <c r="AI45" s="272">
        <v>6375</v>
      </c>
      <c r="AJ45" s="272">
        <v>18856</v>
      </c>
      <c r="AK45" s="272">
        <v>63358</v>
      </c>
      <c r="AL45" s="455">
        <f t="shared" si="4"/>
        <v>25466</v>
      </c>
      <c r="AM45" s="272">
        <v>0</v>
      </c>
      <c r="AN45" s="272">
        <v>25466</v>
      </c>
      <c r="AO45" s="272">
        <v>0</v>
      </c>
      <c r="AP45" s="272">
        <v>0</v>
      </c>
      <c r="AQ45" s="272">
        <v>1133</v>
      </c>
      <c r="AR45" s="272">
        <v>0</v>
      </c>
      <c r="AS45" s="272">
        <v>0</v>
      </c>
      <c r="AT45" s="272">
        <v>393562</v>
      </c>
      <c r="AU45" s="272">
        <v>38434</v>
      </c>
      <c r="AV45" s="272">
        <v>12732</v>
      </c>
      <c r="AW45" s="272">
        <v>5904</v>
      </c>
      <c r="AX45" s="272">
        <v>355128</v>
      </c>
      <c r="AY45" s="272">
        <v>266679</v>
      </c>
      <c r="AZ45" s="272">
        <v>170014</v>
      </c>
      <c r="BA45" s="272">
        <v>74433</v>
      </c>
      <c r="BB45" s="272">
        <v>11442</v>
      </c>
      <c r="BC45" s="272">
        <v>165866</v>
      </c>
      <c r="BD45" s="272">
        <v>0</v>
      </c>
      <c r="BE45" s="272">
        <v>0</v>
      </c>
      <c r="BF45" s="272">
        <v>30000</v>
      </c>
      <c r="BG45" s="272">
        <v>0</v>
      </c>
      <c r="BH45" s="272">
        <v>95692</v>
      </c>
      <c r="BI45" s="272">
        <v>95692</v>
      </c>
      <c r="BJ45" s="272">
        <v>29764</v>
      </c>
      <c r="BK45" s="272">
        <v>0</v>
      </c>
      <c r="BL45" s="272">
        <v>0</v>
      </c>
      <c r="BM45" s="272">
        <v>0</v>
      </c>
      <c r="BN45" s="272">
        <v>846000</v>
      </c>
      <c r="BO45" s="455">
        <f t="shared" si="5"/>
        <v>846000</v>
      </c>
      <c r="BP45" s="455">
        <f t="shared" si="6"/>
        <v>0</v>
      </c>
      <c r="BQ45" s="272"/>
      <c r="BR45" s="272"/>
      <c r="BS45" s="272"/>
      <c r="BT45" s="272">
        <v>0</v>
      </c>
      <c r="BU45" s="272">
        <v>4297057</v>
      </c>
      <c r="BV45" s="272"/>
      <c r="BW45" s="272">
        <v>712924</v>
      </c>
      <c r="BX45" s="272">
        <v>477561</v>
      </c>
      <c r="BY45" s="272">
        <v>15771</v>
      </c>
      <c r="BZ45" s="272">
        <v>10533</v>
      </c>
      <c r="CA45" s="272">
        <v>176625</v>
      </c>
      <c r="CB45" s="272">
        <v>16467</v>
      </c>
      <c r="CC45" s="272">
        <v>33220</v>
      </c>
      <c r="CD45" s="272">
        <v>123879</v>
      </c>
      <c r="CE45" s="272">
        <v>0</v>
      </c>
      <c r="CF45" s="272">
        <v>0</v>
      </c>
      <c r="CG45" s="272">
        <v>3059</v>
      </c>
      <c r="CH45" s="272">
        <v>321141</v>
      </c>
      <c r="CI45" s="272">
        <v>129144</v>
      </c>
      <c r="CJ45" s="455">
        <f t="shared" si="7"/>
        <v>191997</v>
      </c>
      <c r="CK45" s="272">
        <v>474250</v>
      </c>
      <c r="CL45" s="272">
        <v>230686</v>
      </c>
      <c r="CM45" s="272">
        <v>32482</v>
      </c>
      <c r="CN45" s="272">
        <v>111602</v>
      </c>
      <c r="CO45" s="272">
        <v>38543</v>
      </c>
      <c r="CP45" s="272">
        <v>299432</v>
      </c>
      <c r="CQ45" s="272">
        <v>97695</v>
      </c>
      <c r="CR45" s="272">
        <v>65158</v>
      </c>
      <c r="CS45" s="272">
        <v>57158</v>
      </c>
      <c r="CT45" s="455">
        <f t="shared" si="8"/>
        <v>18215</v>
      </c>
      <c r="CU45" s="272">
        <v>3028</v>
      </c>
      <c r="CV45" s="272">
        <v>15187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1576480</v>
      </c>
      <c r="DD45" s="272">
        <v>9507</v>
      </c>
      <c r="DE45" s="272">
        <v>1428134</v>
      </c>
      <c r="DF45" s="272">
        <v>137264</v>
      </c>
      <c r="DG45" s="272">
        <v>0</v>
      </c>
      <c r="DH45" s="272">
        <v>0</v>
      </c>
      <c r="DI45" s="272">
        <v>435907</v>
      </c>
      <c r="DJ45" s="272">
        <v>74655</v>
      </c>
      <c r="DK45" s="272">
        <v>34538</v>
      </c>
      <c r="DL45" s="272">
        <v>326714</v>
      </c>
      <c r="DM45" s="272">
        <v>96</v>
      </c>
      <c r="DN45" s="272">
        <v>0</v>
      </c>
      <c r="DO45" s="272">
        <v>0</v>
      </c>
      <c r="DP45" s="272">
        <v>0</v>
      </c>
      <c r="DQ45" s="272">
        <v>0</v>
      </c>
      <c r="DR45" s="272">
        <v>0</v>
      </c>
      <c r="DS45" s="272">
        <v>0</v>
      </c>
      <c r="DT45" s="272">
        <v>187416</v>
      </c>
      <c r="DU45" s="272">
        <v>107621</v>
      </c>
      <c r="DV45" s="455">
        <f t="shared" si="11"/>
        <v>0</v>
      </c>
      <c r="DW45" s="272">
        <v>0</v>
      </c>
      <c r="DX45" s="272">
        <v>0</v>
      </c>
      <c r="DY45" s="457" t="s">
        <v>646</v>
      </c>
      <c r="DZ45" s="272">
        <v>36012</v>
      </c>
      <c r="EA45" s="272">
        <v>28238</v>
      </c>
      <c r="EB45" s="272"/>
      <c r="EC45" s="272">
        <v>0</v>
      </c>
      <c r="ED45" s="272">
        <v>4222814</v>
      </c>
      <c r="EF45" s="272">
        <v>74243</v>
      </c>
      <c r="EG45" s="272">
        <v>0</v>
      </c>
      <c r="EH45" s="272">
        <v>74243</v>
      </c>
      <c r="EI45" s="272">
        <v>-21449</v>
      </c>
      <c r="EJ45" s="272">
        <v>53206</v>
      </c>
      <c r="EL45" s="272"/>
      <c r="EM45" s="272">
        <v>11288</v>
      </c>
      <c r="EN45" s="272">
        <v>135866</v>
      </c>
      <c r="EO45" s="272">
        <v>74433</v>
      </c>
      <c r="EP45" s="455">
        <f t="shared" si="12"/>
        <v>122697</v>
      </c>
      <c r="EQ45" s="272">
        <v>2456597</v>
      </c>
      <c r="ER45" s="272">
        <v>-330776</v>
      </c>
      <c r="ES45" s="272">
        <v>667822</v>
      </c>
      <c r="ET45" s="272">
        <v>432459</v>
      </c>
      <c r="EU45" s="272">
        <v>56069</v>
      </c>
      <c r="EV45" s="272">
        <v>321141</v>
      </c>
      <c r="EW45" s="455">
        <f t="shared" si="13"/>
        <v>424964</v>
      </c>
      <c r="EX45" s="272">
        <v>424964</v>
      </c>
      <c r="EY45" s="272">
        <v>2470</v>
      </c>
      <c r="EZ45" s="272">
        <v>375455</v>
      </c>
      <c r="FA45" s="272">
        <v>0</v>
      </c>
      <c r="FB45" s="272"/>
      <c r="FC45" s="272">
        <v>403368</v>
      </c>
      <c r="FD45" s="272">
        <v>287455</v>
      </c>
      <c r="FE45" s="272">
        <v>97695</v>
      </c>
      <c r="FF45" s="272">
        <v>175513</v>
      </c>
      <c r="FG45" s="455">
        <f t="shared" si="14"/>
        <v>376798</v>
      </c>
      <c r="FH45" s="272">
        <v>2713130</v>
      </c>
      <c r="FI45" s="384">
        <f t="shared" si="15"/>
        <v>3.3</v>
      </c>
      <c r="FJ45" s="272">
        <v>2262835</v>
      </c>
      <c r="FK45" s="272"/>
      <c r="FL45" s="272">
        <v>922391</v>
      </c>
      <c r="FM45" s="272">
        <v>1964598</v>
      </c>
      <c r="FN45" s="460">
        <v>0.44400000000000001</v>
      </c>
      <c r="FO45" s="388">
        <v>72.400000000000006</v>
      </c>
      <c r="FP45" s="388">
        <v>28.7</v>
      </c>
      <c r="FQ45" s="388">
        <v>2.4</v>
      </c>
      <c r="FR45" s="388">
        <v>13.8</v>
      </c>
      <c r="FS45" s="388">
        <v>13.6</v>
      </c>
      <c r="FT45" s="388">
        <v>10.8</v>
      </c>
      <c r="FU45" s="388">
        <v>1.4</v>
      </c>
      <c r="FV45" s="388">
        <v>10.4</v>
      </c>
      <c r="FW45" s="272">
        <v>3833124</v>
      </c>
      <c r="FX45" s="384">
        <f t="shared" si="16"/>
        <v>169.4</v>
      </c>
      <c r="FY45" s="272">
        <v>1859350</v>
      </c>
      <c r="FZ45" s="272">
        <v>473584</v>
      </c>
      <c r="GA45" s="272">
        <v>107775</v>
      </c>
      <c r="GB45" s="272">
        <v>1277991</v>
      </c>
      <c r="GC45" s="272"/>
      <c r="GD45" s="272">
        <v>743885</v>
      </c>
      <c r="GE45" s="384">
        <f>ROUND(GD45/FJ45*100,1)</f>
        <v>32.9</v>
      </c>
      <c r="GF45" s="388">
        <v>98.4</v>
      </c>
      <c r="GG45" s="388">
        <v>15.1</v>
      </c>
      <c r="GH45" s="388">
        <v>96.4</v>
      </c>
      <c r="GI45" s="272">
        <v>96</v>
      </c>
    </row>
    <row r="46" spans="2:191" x14ac:dyDescent="0.15">
      <c r="B46" s="89" t="s">
        <v>85</v>
      </c>
      <c r="C46" s="272">
        <v>1589899</v>
      </c>
      <c r="D46" s="455">
        <f t="shared" si="0"/>
        <v>933819</v>
      </c>
      <c r="E46" s="272">
        <v>6712</v>
      </c>
      <c r="F46" s="272">
        <v>927107</v>
      </c>
      <c r="G46" s="455">
        <f t="shared" si="1"/>
        <v>63182</v>
      </c>
      <c r="H46" s="272">
        <v>10083</v>
      </c>
      <c r="I46" s="272">
        <v>53099</v>
      </c>
      <c r="J46" s="272">
        <v>509275</v>
      </c>
      <c r="K46" s="272">
        <v>232355</v>
      </c>
      <c r="L46" s="272">
        <v>206041</v>
      </c>
      <c r="M46" s="272">
        <v>70879</v>
      </c>
      <c r="N46" s="272">
        <v>49210</v>
      </c>
      <c r="O46" s="272">
        <v>63</v>
      </c>
      <c r="P46" s="272">
        <v>46</v>
      </c>
      <c r="Q46" s="272">
        <v>17</v>
      </c>
      <c r="R46" s="272">
        <v>77937</v>
      </c>
      <c r="S46" s="272">
        <v>42808</v>
      </c>
      <c r="T46" s="455">
        <f t="shared" si="2"/>
        <v>189202</v>
      </c>
      <c r="U46" s="272">
        <v>90225</v>
      </c>
      <c r="V46" s="272"/>
      <c r="W46" s="272"/>
      <c r="X46" s="272"/>
      <c r="Y46" s="272">
        <v>35790</v>
      </c>
      <c r="Z46" s="272">
        <v>0</v>
      </c>
      <c r="AA46" s="272">
        <v>63187</v>
      </c>
      <c r="AB46" s="272"/>
      <c r="AC46" s="272">
        <v>1238110</v>
      </c>
      <c r="AD46" s="272">
        <v>1087054</v>
      </c>
      <c r="AE46" s="272">
        <v>151056</v>
      </c>
      <c r="AF46" s="272">
        <v>2854</v>
      </c>
      <c r="AG46" s="272">
        <v>22447</v>
      </c>
      <c r="AH46" s="455">
        <f t="shared" si="3"/>
        <v>35906</v>
      </c>
      <c r="AI46" s="272">
        <v>30340</v>
      </c>
      <c r="AJ46" s="272">
        <v>5566</v>
      </c>
      <c r="AK46" s="272">
        <v>153977</v>
      </c>
      <c r="AL46" s="455">
        <f t="shared" si="4"/>
        <v>4905</v>
      </c>
      <c r="AM46" s="272">
        <v>0</v>
      </c>
      <c r="AN46" s="272">
        <v>4905</v>
      </c>
      <c r="AO46" s="272">
        <v>0</v>
      </c>
      <c r="AP46" s="272">
        <v>0</v>
      </c>
      <c r="AQ46" s="272">
        <v>102714</v>
      </c>
      <c r="AR46" s="272">
        <v>0</v>
      </c>
      <c r="AS46" s="272">
        <v>0</v>
      </c>
      <c r="AT46" s="272">
        <v>484436</v>
      </c>
      <c r="AU46" s="272">
        <v>194117</v>
      </c>
      <c r="AV46" s="272">
        <v>2452</v>
      </c>
      <c r="AW46" s="272">
        <v>163921</v>
      </c>
      <c r="AX46" s="272">
        <v>290319</v>
      </c>
      <c r="AY46" s="272">
        <v>206650</v>
      </c>
      <c r="AZ46" s="272">
        <v>302439</v>
      </c>
      <c r="BA46" s="272">
        <v>0</v>
      </c>
      <c r="BB46" s="272">
        <v>2950</v>
      </c>
      <c r="BC46" s="272">
        <v>398340</v>
      </c>
      <c r="BD46" s="272">
        <v>249340</v>
      </c>
      <c r="BE46" s="272">
        <v>0</v>
      </c>
      <c r="BF46" s="272">
        <v>149000</v>
      </c>
      <c r="BG46" s="272">
        <v>0</v>
      </c>
      <c r="BH46" s="272">
        <v>30970</v>
      </c>
      <c r="BI46" s="272">
        <v>30970</v>
      </c>
      <c r="BJ46" s="272">
        <v>60814</v>
      </c>
      <c r="BK46" s="272">
        <v>288</v>
      </c>
      <c r="BL46" s="272">
        <v>0</v>
      </c>
      <c r="BM46" s="272">
        <v>0</v>
      </c>
      <c r="BN46" s="272">
        <v>987900</v>
      </c>
      <c r="BO46" s="455">
        <f t="shared" si="5"/>
        <v>987900</v>
      </c>
      <c r="BP46" s="455">
        <f t="shared" si="6"/>
        <v>0</v>
      </c>
      <c r="BQ46" s="272"/>
      <c r="BR46" s="272"/>
      <c r="BS46" s="272"/>
      <c r="BT46" s="272">
        <v>0</v>
      </c>
      <c r="BU46" s="272">
        <v>5578181</v>
      </c>
      <c r="BV46" s="272"/>
      <c r="BW46" s="272">
        <v>1089587</v>
      </c>
      <c r="BX46" s="272">
        <v>782377</v>
      </c>
      <c r="BY46" s="272">
        <v>9538</v>
      </c>
      <c r="BZ46" s="272">
        <v>21698</v>
      </c>
      <c r="CA46" s="272">
        <v>90330</v>
      </c>
      <c r="CB46" s="272">
        <v>19260</v>
      </c>
      <c r="CC46" s="272">
        <v>43456</v>
      </c>
      <c r="CD46" s="272">
        <v>26368</v>
      </c>
      <c r="CE46" s="272">
        <v>0</v>
      </c>
      <c r="CF46" s="272">
        <v>0</v>
      </c>
      <c r="CG46" s="272">
        <v>1246</v>
      </c>
      <c r="CH46" s="272">
        <v>294278</v>
      </c>
      <c r="CI46" s="272">
        <v>163306</v>
      </c>
      <c r="CJ46" s="455">
        <f t="shared" si="7"/>
        <v>130972</v>
      </c>
      <c r="CK46" s="272">
        <v>510487</v>
      </c>
      <c r="CL46" s="272">
        <v>237454</v>
      </c>
      <c r="CM46" s="272">
        <v>27575</v>
      </c>
      <c r="CN46" s="272">
        <v>145434</v>
      </c>
      <c r="CO46" s="272">
        <v>6908</v>
      </c>
      <c r="CP46" s="272">
        <v>324503</v>
      </c>
      <c r="CQ46" s="272">
        <v>117335</v>
      </c>
      <c r="CR46" s="272">
        <v>104352</v>
      </c>
      <c r="CS46" s="272">
        <v>104352</v>
      </c>
      <c r="CT46" s="455">
        <f t="shared" si="8"/>
        <v>16297</v>
      </c>
      <c r="CU46" s="272">
        <v>4318</v>
      </c>
      <c r="CV46" s="272">
        <v>11979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2155560</v>
      </c>
      <c r="DD46" s="272">
        <v>460239</v>
      </c>
      <c r="DE46" s="272">
        <v>1633700</v>
      </c>
      <c r="DF46" s="272">
        <v>61621</v>
      </c>
      <c r="DG46" s="272">
        <v>0</v>
      </c>
      <c r="DH46" s="272">
        <v>0</v>
      </c>
      <c r="DI46" s="272">
        <v>761174</v>
      </c>
      <c r="DJ46" s="272">
        <v>70213</v>
      </c>
      <c r="DK46" s="272">
        <v>11081</v>
      </c>
      <c r="DL46" s="272">
        <v>679880</v>
      </c>
      <c r="DM46" s="272">
        <v>5668</v>
      </c>
      <c r="DN46" s="272">
        <v>5554</v>
      </c>
      <c r="DO46" s="272">
        <v>5554</v>
      </c>
      <c r="DP46" s="272">
        <v>0</v>
      </c>
      <c r="DQ46" s="272">
        <v>0</v>
      </c>
      <c r="DR46" s="272">
        <v>0</v>
      </c>
      <c r="DS46" s="272">
        <v>0</v>
      </c>
      <c r="DT46" s="272">
        <v>243085</v>
      </c>
      <c r="DU46" s="272">
        <v>111088</v>
      </c>
      <c r="DV46" s="455">
        <f t="shared" si="11"/>
        <v>0</v>
      </c>
      <c r="DW46" s="272">
        <v>0</v>
      </c>
      <c r="DX46" s="272">
        <v>0</v>
      </c>
      <c r="DY46" s="457" t="s">
        <v>646</v>
      </c>
      <c r="DZ46" s="272">
        <v>51613</v>
      </c>
      <c r="EA46" s="272">
        <v>46415</v>
      </c>
      <c r="EB46" s="272"/>
      <c r="EC46" s="272">
        <v>0</v>
      </c>
      <c r="ED46" s="272">
        <v>5481580</v>
      </c>
      <c r="EF46" s="272">
        <v>96601</v>
      </c>
      <c r="EG46" s="272">
        <v>0</v>
      </c>
      <c r="EH46" s="272">
        <v>96601</v>
      </c>
      <c r="EI46" s="272">
        <v>35631</v>
      </c>
      <c r="EJ46" s="272">
        <v>-143496</v>
      </c>
      <c r="EL46" s="272"/>
      <c r="EM46" s="272">
        <v>13967</v>
      </c>
      <c r="EN46" s="272">
        <v>249340</v>
      </c>
      <c r="EO46" s="272">
        <v>126</v>
      </c>
      <c r="EP46" s="455">
        <f t="shared" si="12"/>
        <v>89842</v>
      </c>
      <c r="EQ46" s="272">
        <v>3098002</v>
      </c>
      <c r="ER46" s="272">
        <v>-336454</v>
      </c>
      <c r="ES46" s="272">
        <v>1026337</v>
      </c>
      <c r="ET46" s="272">
        <v>721409</v>
      </c>
      <c r="EU46" s="272">
        <v>31650</v>
      </c>
      <c r="EV46" s="272">
        <v>294021</v>
      </c>
      <c r="EW46" s="455">
        <f t="shared" si="13"/>
        <v>530262</v>
      </c>
      <c r="EX46" s="272">
        <v>530262</v>
      </c>
      <c r="EY46" s="272">
        <v>94329</v>
      </c>
      <c r="EZ46" s="272">
        <v>414612</v>
      </c>
      <c r="FA46" s="272">
        <v>0</v>
      </c>
      <c r="FB46" s="272"/>
      <c r="FC46" s="272">
        <v>446464</v>
      </c>
      <c r="FD46" s="272">
        <v>309216</v>
      </c>
      <c r="FE46" s="272">
        <v>117335</v>
      </c>
      <c r="FF46" s="272">
        <v>218765</v>
      </c>
      <c r="FG46" s="455">
        <f t="shared" si="14"/>
        <v>481140</v>
      </c>
      <c r="FH46" s="272">
        <v>3337855</v>
      </c>
      <c r="FI46" s="384">
        <f t="shared" si="15"/>
        <v>3.3</v>
      </c>
      <c r="FJ46" s="272">
        <v>2893414</v>
      </c>
      <c r="FK46" s="272"/>
      <c r="FL46" s="272">
        <v>1364407</v>
      </c>
      <c r="FM46" s="272">
        <v>2455953</v>
      </c>
      <c r="FN46" s="460">
        <v>0.54500000000000004</v>
      </c>
      <c r="FO46" s="388">
        <v>66.3</v>
      </c>
      <c r="FP46" s="388">
        <v>34.299999999999997</v>
      </c>
      <c r="FQ46" s="388">
        <v>1.1000000000000001</v>
      </c>
      <c r="FR46" s="388">
        <v>9.8000000000000007</v>
      </c>
      <c r="FS46" s="388">
        <v>11.5</v>
      </c>
      <c r="FT46" s="388">
        <v>7.7</v>
      </c>
      <c r="FU46" s="388">
        <v>1.7</v>
      </c>
      <c r="FV46" s="388">
        <v>8.4</v>
      </c>
      <c r="FW46" s="272">
        <v>3060373</v>
      </c>
      <c r="FX46" s="384">
        <f t="shared" si="16"/>
        <v>105.8</v>
      </c>
      <c r="FY46" s="272">
        <v>4660126</v>
      </c>
      <c r="FZ46" s="272">
        <v>810163</v>
      </c>
      <c r="GA46" s="272">
        <v>168764</v>
      </c>
      <c r="GB46" s="272">
        <v>3681199</v>
      </c>
      <c r="GC46" s="272"/>
      <c r="GD46" s="272">
        <v>547987</v>
      </c>
      <c r="GE46" s="384">
        <f>ROUND(GD46/FJ46*100,1)</f>
        <v>18.899999999999999</v>
      </c>
      <c r="GF46" s="388">
        <v>98.3</v>
      </c>
      <c r="GG46" s="388">
        <v>44.1</v>
      </c>
      <c r="GH46" s="388">
        <v>96.9</v>
      </c>
      <c r="GI46" s="272">
        <v>153</v>
      </c>
    </row>
    <row r="47" spans="2:191" x14ac:dyDescent="0.15">
      <c r="B47" s="89" t="s">
        <v>87</v>
      </c>
      <c r="C47" s="272">
        <v>718967</v>
      </c>
      <c r="D47" s="455">
        <f t="shared" si="0"/>
        <v>411476</v>
      </c>
      <c r="E47" s="272">
        <v>3579</v>
      </c>
      <c r="F47" s="272">
        <v>407897</v>
      </c>
      <c r="G47" s="455">
        <f t="shared" si="1"/>
        <v>36678</v>
      </c>
      <c r="H47" s="272">
        <v>6440</v>
      </c>
      <c r="I47" s="272">
        <v>30238</v>
      </c>
      <c r="J47" s="272">
        <v>236523</v>
      </c>
      <c r="K47" s="272">
        <v>75176</v>
      </c>
      <c r="L47" s="272">
        <v>106347</v>
      </c>
      <c r="M47" s="272">
        <v>54952</v>
      </c>
      <c r="N47" s="272">
        <v>17709</v>
      </c>
      <c r="O47" s="272">
        <v>0</v>
      </c>
      <c r="P47" s="272">
        <v>0</v>
      </c>
      <c r="Q47" s="272">
        <v>0</v>
      </c>
      <c r="R47" s="272">
        <v>39407</v>
      </c>
      <c r="S47" s="272">
        <v>20633</v>
      </c>
      <c r="T47" s="455">
        <f t="shared" si="2"/>
        <v>114736</v>
      </c>
      <c r="U47" s="272">
        <v>44194</v>
      </c>
      <c r="V47" s="272"/>
      <c r="W47" s="272"/>
      <c r="X47" s="272"/>
      <c r="Y47" s="272">
        <v>36655</v>
      </c>
      <c r="Z47" s="272">
        <v>0</v>
      </c>
      <c r="AA47" s="272">
        <v>33887</v>
      </c>
      <c r="AB47" s="272"/>
      <c r="AC47" s="272">
        <v>1108434</v>
      </c>
      <c r="AD47" s="272">
        <v>955734</v>
      </c>
      <c r="AE47" s="272">
        <v>152700</v>
      </c>
      <c r="AF47" s="272">
        <v>1198</v>
      </c>
      <c r="AG47" s="272">
        <v>18296</v>
      </c>
      <c r="AH47" s="455">
        <f t="shared" si="3"/>
        <v>28344</v>
      </c>
      <c r="AI47" s="272">
        <v>25577</v>
      </c>
      <c r="AJ47" s="272">
        <v>2767</v>
      </c>
      <c r="AK47" s="272">
        <v>55826</v>
      </c>
      <c r="AL47" s="455">
        <f t="shared" si="4"/>
        <v>15173</v>
      </c>
      <c r="AM47" s="272">
        <v>0</v>
      </c>
      <c r="AN47" s="272">
        <v>15173</v>
      </c>
      <c r="AO47" s="272">
        <v>0</v>
      </c>
      <c r="AP47" s="272">
        <v>0</v>
      </c>
      <c r="AQ47" s="272">
        <v>0</v>
      </c>
      <c r="AR47" s="272">
        <v>16675</v>
      </c>
      <c r="AS47" s="272">
        <v>0</v>
      </c>
      <c r="AT47" s="272">
        <v>255179</v>
      </c>
      <c r="AU47" s="272">
        <v>51038</v>
      </c>
      <c r="AV47" s="272">
        <v>7587</v>
      </c>
      <c r="AW47" s="272">
        <v>22338</v>
      </c>
      <c r="AX47" s="272">
        <v>204141</v>
      </c>
      <c r="AY47" s="272">
        <v>151219</v>
      </c>
      <c r="AZ47" s="272">
        <v>94898</v>
      </c>
      <c r="BA47" s="272">
        <v>1855</v>
      </c>
      <c r="BB47" s="272">
        <v>1809</v>
      </c>
      <c r="BC47" s="272">
        <v>184481</v>
      </c>
      <c r="BD47" s="272">
        <v>0</v>
      </c>
      <c r="BE47" s="272">
        <v>0</v>
      </c>
      <c r="BF47" s="272">
        <v>184074</v>
      </c>
      <c r="BG47" s="272">
        <v>0</v>
      </c>
      <c r="BH47" s="272">
        <v>31666</v>
      </c>
      <c r="BI47" s="272">
        <v>31666</v>
      </c>
      <c r="BJ47" s="272">
        <v>40103</v>
      </c>
      <c r="BK47" s="272">
        <v>284</v>
      </c>
      <c r="BL47" s="272">
        <v>0</v>
      </c>
      <c r="BM47" s="272">
        <v>0</v>
      </c>
      <c r="BN47" s="272">
        <v>440300</v>
      </c>
      <c r="BO47" s="455">
        <f t="shared" si="5"/>
        <v>440300</v>
      </c>
      <c r="BP47" s="455">
        <f t="shared" si="6"/>
        <v>0</v>
      </c>
      <c r="BQ47" s="272"/>
      <c r="BR47" s="272"/>
      <c r="BS47" s="272"/>
      <c r="BT47" s="272">
        <v>0</v>
      </c>
      <c r="BU47" s="272">
        <v>3133644</v>
      </c>
      <c r="BV47" s="272"/>
      <c r="BW47" s="272">
        <v>798565</v>
      </c>
      <c r="BX47" s="272">
        <v>524554</v>
      </c>
      <c r="BY47" s="272">
        <v>62333</v>
      </c>
      <c r="BZ47" s="272">
        <v>18526</v>
      </c>
      <c r="CA47" s="272">
        <v>85231</v>
      </c>
      <c r="CB47" s="272">
        <v>10346</v>
      </c>
      <c r="CC47" s="272">
        <v>23906</v>
      </c>
      <c r="CD47" s="272">
        <v>50308</v>
      </c>
      <c r="CE47" s="272">
        <v>0</v>
      </c>
      <c r="CF47" s="272">
        <v>0</v>
      </c>
      <c r="CG47" s="272">
        <v>671</v>
      </c>
      <c r="CH47" s="272">
        <v>181472</v>
      </c>
      <c r="CI47" s="272">
        <v>93978</v>
      </c>
      <c r="CJ47" s="455">
        <f t="shared" si="7"/>
        <v>87494</v>
      </c>
      <c r="CK47" s="272">
        <v>283881</v>
      </c>
      <c r="CL47" s="272">
        <v>98821</v>
      </c>
      <c r="CM47" s="272">
        <v>17060</v>
      </c>
      <c r="CN47" s="272">
        <v>99712</v>
      </c>
      <c r="CO47" s="272">
        <v>6326</v>
      </c>
      <c r="CP47" s="272">
        <v>234931</v>
      </c>
      <c r="CQ47" s="272">
        <v>76939</v>
      </c>
      <c r="CR47" s="272">
        <v>55282</v>
      </c>
      <c r="CS47" s="272">
        <v>55282</v>
      </c>
      <c r="CT47" s="455">
        <f t="shared" si="8"/>
        <v>23976</v>
      </c>
      <c r="CU47" s="272">
        <v>5076</v>
      </c>
      <c r="CV47" s="272">
        <v>18900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794714</v>
      </c>
      <c r="DD47" s="272">
        <v>34340</v>
      </c>
      <c r="DE47" s="272">
        <v>738031</v>
      </c>
      <c r="DF47" s="272">
        <v>22343</v>
      </c>
      <c r="DG47" s="272">
        <v>0</v>
      </c>
      <c r="DH47" s="272">
        <v>28718</v>
      </c>
      <c r="DI47" s="272">
        <v>536866</v>
      </c>
      <c r="DJ47" s="272">
        <v>41560</v>
      </c>
      <c r="DK47" s="272">
        <v>120402</v>
      </c>
      <c r="DL47" s="272">
        <v>374904</v>
      </c>
      <c r="DM47" s="272">
        <v>16072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139354</v>
      </c>
      <c r="DU47" s="272">
        <v>7132</v>
      </c>
      <c r="DV47" s="455">
        <f t="shared" si="11"/>
        <v>0</v>
      </c>
      <c r="DW47" s="272">
        <v>0</v>
      </c>
      <c r="DX47" s="272">
        <v>0</v>
      </c>
      <c r="DY47" s="457" t="s">
        <v>646</v>
      </c>
      <c r="DZ47" s="272">
        <v>36431</v>
      </c>
      <c r="EA47" s="272">
        <v>23140</v>
      </c>
      <c r="EB47" s="272"/>
      <c r="EC47" s="272">
        <v>0</v>
      </c>
      <c r="ED47" s="272">
        <v>3106130</v>
      </c>
      <c r="EF47" s="272">
        <v>27514</v>
      </c>
      <c r="EG47" s="272">
        <v>110</v>
      </c>
      <c r="EH47" s="272">
        <v>27404</v>
      </c>
      <c r="EI47" s="272">
        <v>-4262</v>
      </c>
      <c r="EJ47" s="272">
        <v>37298</v>
      </c>
      <c r="EL47" s="272"/>
      <c r="EM47" s="272">
        <v>7770</v>
      </c>
      <c r="EN47" s="272">
        <v>0</v>
      </c>
      <c r="EO47" s="272">
        <v>2379</v>
      </c>
      <c r="EP47" s="455">
        <f t="shared" si="12"/>
        <v>60038</v>
      </c>
      <c r="EQ47" s="272">
        <v>1982742</v>
      </c>
      <c r="ER47" s="272">
        <v>-61219</v>
      </c>
      <c r="ES47" s="272">
        <v>700440</v>
      </c>
      <c r="ET47" s="272">
        <v>483884</v>
      </c>
      <c r="EU47" s="272">
        <v>32040</v>
      </c>
      <c r="EV47" s="272">
        <v>179563</v>
      </c>
      <c r="EW47" s="455">
        <f t="shared" si="13"/>
        <v>59650</v>
      </c>
      <c r="EX47" s="272">
        <v>58907</v>
      </c>
      <c r="EY47" s="272">
        <v>1902</v>
      </c>
      <c r="EZ47" s="272">
        <v>50662</v>
      </c>
      <c r="FA47" s="272">
        <v>743</v>
      </c>
      <c r="FB47" s="272"/>
      <c r="FC47" s="272">
        <v>226952</v>
      </c>
      <c r="FD47" s="272">
        <v>219442</v>
      </c>
      <c r="FE47" s="272">
        <v>76939</v>
      </c>
      <c r="FF47" s="272">
        <v>124405</v>
      </c>
      <c r="FG47" s="455">
        <f t="shared" si="14"/>
        <v>473955</v>
      </c>
      <c r="FH47" s="272">
        <v>2016447</v>
      </c>
      <c r="FI47" s="384">
        <f t="shared" si="15"/>
        <v>1.5</v>
      </c>
      <c r="FJ47" s="272">
        <v>1815084</v>
      </c>
      <c r="FK47" s="272"/>
      <c r="FL47" s="272">
        <v>649328</v>
      </c>
      <c r="FM47" s="272">
        <v>1607696</v>
      </c>
      <c r="FN47" s="460">
        <v>0.40100000000000002</v>
      </c>
      <c r="FO47" s="388">
        <v>70.099999999999994</v>
      </c>
      <c r="FP47" s="388">
        <v>37.4</v>
      </c>
      <c r="FQ47" s="388">
        <v>1.7</v>
      </c>
      <c r="FR47" s="388">
        <v>9.6999999999999993</v>
      </c>
      <c r="FS47" s="388">
        <v>9.5</v>
      </c>
      <c r="FT47" s="388">
        <v>10.199999999999999</v>
      </c>
      <c r="FU47" s="388">
        <v>1.3</v>
      </c>
      <c r="FV47" s="388">
        <v>8</v>
      </c>
      <c r="FW47" s="272">
        <v>1865497</v>
      </c>
      <c r="FX47" s="384">
        <f t="shared" si="16"/>
        <v>102.8</v>
      </c>
      <c r="FY47" s="272">
        <v>1675013</v>
      </c>
      <c r="FZ47" s="272">
        <v>412587</v>
      </c>
      <c r="GA47" s="272">
        <v>306430</v>
      </c>
      <c r="GB47" s="272">
        <v>955996</v>
      </c>
      <c r="GC47" s="272"/>
      <c r="GD47" s="272"/>
      <c r="GE47" s="384"/>
      <c r="GF47" s="388">
        <v>98</v>
      </c>
      <c r="GG47" s="388">
        <v>25.3</v>
      </c>
      <c r="GH47" s="388">
        <v>96.5</v>
      </c>
      <c r="GI47" s="272">
        <v>96</v>
      </c>
    </row>
    <row r="48" spans="2:191" x14ac:dyDescent="0.15">
      <c r="B48" s="89" t="s">
        <v>839</v>
      </c>
      <c r="C48" s="272">
        <v>6222135</v>
      </c>
      <c r="D48" s="455">
        <f t="shared" si="0"/>
        <v>2342269</v>
      </c>
      <c r="E48" s="272">
        <v>18460</v>
      </c>
      <c r="F48" s="272">
        <v>2323809</v>
      </c>
      <c r="G48" s="455">
        <f t="shared" si="1"/>
        <v>879532</v>
      </c>
      <c r="H48" s="272">
        <v>90026</v>
      </c>
      <c r="I48" s="272">
        <v>789506</v>
      </c>
      <c r="J48" s="272">
        <v>2510113</v>
      </c>
      <c r="K48" s="272">
        <v>1153525</v>
      </c>
      <c r="L48" s="272">
        <v>871599</v>
      </c>
      <c r="M48" s="272">
        <v>474911</v>
      </c>
      <c r="N48" s="272">
        <v>163982</v>
      </c>
      <c r="O48" s="272">
        <v>292159</v>
      </c>
      <c r="P48" s="272">
        <v>185686</v>
      </c>
      <c r="Q48" s="272">
        <v>106473</v>
      </c>
      <c r="R48" s="272">
        <v>240645</v>
      </c>
      <c r="S48" s="272">
        <v>164772</v>
      </c>
      <c r="T48" s="455">
        <f t="shared" si="2"/>
        <v>391451</v>
      </c>
      <c r="U48" s="272">
        <v>231296</v>
      </c>
      <c r="V48" s="272"/>
      <c r="W48" s="272"/>
      <c r="X48" s="272"/>
      <c r="Y48" s="272">
        <v>23564</v>
      </c>
      <c r="Z48" s="272">
        <v>0</v>
      </c>
      <c r="AA48" s="272">
        <v>136591</v>
      </c>
      <c r="AB48" s="272"/>
      <c r="AC48" s="272">
        <v>221930</v>
      </c>
      <c r="AD48" s="272">
        <v>56606</v>
      </c>
      <c r="AE48" s="272">
        <v>165324</v>
      </c>
      <c r="AF48" s="272">
        <v>10731</v>
      </c>
      <c r="AG48" s="272">
        <v>9113</v>
      </c>
      <c r="AH48" s="455">
        <f t="shared" si="3"/>
        <v>147571</v>
      </c>
      <c r="AI48" s="272">
        <v>93430</v>
      </c>
      <c r="AJ48" s="272">
        <v>54141</v>
      </c>
      <c r="AK48" s="272">
        <v>243162</v>
      </c>
      <c r="AL48" s="455">
        <f t="shared" si="4"/>
        <v>40836</v>
      </c>
      <c r="AM48" s="272">
        <v>0</v>
      </c>
      <c r="AN48" s="272">
        <v>40836</v>
      </c>
      <c r="AO48" s="272">
        <v>0</v>
      </c>
      <c r="AP48" s="272">
        <v>0</v>
      </c>
      <c r="AQ48" s="272">
        <v>115811</v>
      </c>
      <c r="AR48" s="272">
        <v>0</v>
      </c>
      <c r="AS48" s="272">
        <v>0</v>
      </c>
      <c r="AT48" s="272">
        <v>427148</v>
      </c>
      <c r="AU48" s="272">
        <v>61577</v>
      </c>
      <c r="AV48" s="272">
        <v>20418</v>
      </c>
      <c r="AW48" s="272">
        <v>0</v>
      </c>
      <c r="AX48" s="272">
        <v>365571</v>
      </c>
      <c r="AY48" s="272">
        <v>168800</v>
      </c>
      <c r="AZ48" s="272">
        <v>548017</v>
      </c>
      <c r="BA48" s="272">
        <v>14243</v>
      </c>
      <c r="BB48" s="272">
        <v>37685</v>
      </c>
      <c r="BC48" s="272">
        <v>291023</v>
      </c>
      <c r="BD48" s="272">
        <v>154912</v>
      </c>
      <c r="BE48" s="272">
        <v>0</v>
      </c>
      <c r="BF48" s="272">
        <v>120000</v>
      </c>
      <c r="BG48" s="272">
        <v>0</v>
      </c>
      <c r="BH48" s="272">
        <v>195803</v>
      </c>
      <c r="BI48" s="272">
        <v>195803</v>
      </c>
      <c r="BJ48" s="272">
        <v>94214</v>
      </c>
      <c r="BK48" s="272">
        <v>10867</v>
      </c>
      <c r="BL48" s="272">
        <v>0</v>
      </c>
      <c r="BM48" s="272">
        <v>0</v>
      </c>
      <c r="BN48" s="272">
        <v>567200</v>
      </c>
      <c r="BO48" s="455">
        <f t="shared" si="5"/>
        <v>567200</v>
      </c>
      <c r="BP48" s="455">
        <f t="shared" si="6"/>
        <v>0</v>
      </c>
      <c r="BQ48" s="272"/>
      <c r="BR48" s="272"/>
      <c r="BS48" s="272"/>
      <c r="BT48" s="272">
        <v>0</v>
      </c>
      <c r="BU48" s="272">
        <v>9647828</v>
      </c>
      <c r="BV48" s="272"/>
      <c r="BW48" s="272">
        <v>2512244</v>
      </c>
      <c r="BX48" s="272">
        <v>1884242</v>
      </c>
      <c r="BY48" s="272">
        <v>141606</v>
      </c>
      <c r="BZ48" s="272">
        <v>29052</v>
      </c>
      <c r="CA48" s="272">
        <v>249128</v>
      </c>
      <c r="CB48" s="272">
        <v>46430</v>
      </c>
      <c r="CC48" s="272">
        <v>113666</v>
      </c>
      <c r="CD48" s="272">
        <v>83190</v>
      </c>
      <c r="CE48" s="272">
        <v>0</v>
      </c>
      <c r="CF48" s="272">
        <v>0</v>
      </c>
      <c r="CG48" s="272">
        <v>5782</v>
      </c>
      <c r="CH48" s="272">
        <v>589269</v>
      </c>
      <c r="CI48" s="272">
        <v>267393</v>
      </c>
      <c r="CJ48" s="455">
        <f t="shared" si="7"/>
        <v>321876</v>
      </c>
      <c r="CK48" s="272">
        <v>1273085</v>
      </c>
      <c r="CL48" s="272">
        <v>719996</v>
      </c>
      <c r="CM48" s="272">
        <v>74004</v>
      </c>
      <c r="CN48" s="272">
        <v>284235</v>
      </c>
      <c r="CO48" s="272">
        <v>46451</v>
      </c>
      <c r="CP48" s="272">
        <v>567283</v>
      </c>
      <c r="CQ48" s="272">
        <v>277282</v>
      </c>
      <c r="CR48" s="272">
        <v>137188</v>
      </c>
      <c r="CS48" s="272">
        <v>126314</v>
      </c>
      <c r="CT48" s="455">
        <f t="shared" si="8"/>
        <v>5637</v>
      </c>
      <c r="CU48" s="272">
        <v>5637</v>
      </c>
      <c r="CV48" s="272">
        <v>0</v>
      </c>
      <c r="CW48" s="455">
        <f t="shared" si="9"/>
        <v>0</v>
      </c>
      <c r="CX48" s="272">
        <v>0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2003560</v>
      </c>
      <c r="DD48" s="272">
        <v>297433</v>
      </c>
      <c r="DE48" s="272">
        <v>1706127</v>
      </c>
      <c r="DF48" s="272">
        <v>0</v>
      </c>
      <c r="DG48" s="272">
        <v>0</v>
      </c>
      <c r="DH48" s="272">
        <v>0</v>
      </c>
      <c r="DI48" s="272">
        <v>907460</v>
      </c>
      <c r="DJ48" s="272">
        <v>229433</v>
      </c>
      <c r="DK48" s="272">
        <v>71945</v>
      </c>
      <c r="DL48" s="272">
        <v>606082</v>
      </c>
      <c r="DM48" s="272">
        <v>193</v>
      </c>
      <c r="DN48" s="272">
        <v>0</v>
      </c>
      <c r="DO48" s="272">
        <v>0</v>
      </c>
      <c r="DP48" s="272">
        <v>0</v>
      </c>
      <c r="DQ48" s="272">
        <v>0</v>
      </c>
      <c r="DR48" s="272">
        <v>0</v>
      </c>
      <c r="DS48" s="272">
        <v>0</v>
      </c>
      <c r="DT48" s="272">
        <v>1301539</v>
      </c>
      <c r="DU48" s="272">
        <v>779538</v>
      </c>
      <c r="DV48" s="455">
        <f t="shared" si="11"/>
        <v>0</v>
      </c>
      <c r="DW48" s="272">
        <v>0</v>
      </c>
      <c r="DX48" s="272">
        <v>0</v>
      </c>
      <c r="DY48" s="457" t="s">
        <v>646</v>
      </c>
      <c r="DZ48" s="272">
        <v>151790</v>
      </c>
      <c r="EA48" s="272">
        <v>102738</v>
      </c>
      <c r="EB48" s="272"/>
      <c r="EC48" s="272">
        <v>0</v>
      </c>
      <c r="ED48" s="272">
        <v>9450212</v>
      </c>
      <c r="EF48" s="272">
        <v>197616</v>
      </c>
      <c r="EG48" s="272">
        <v>0</v>
      </c>
      <c r="EH48" s="272">
        <v>197616</v>
      </c>
      <c r="EI48" s="272">
        <v>1813</v>
      </c>
      <c r="EJ48" s="272">
        <v>76334</v>
      </c>
      <c r="EL48" s="272"/>
      <c r="EM48" s="272">
        <v>36989</v>
      </c>
      <c r="EN48" s="272">
        <v>291023</v>
      </c>
      <c r="EO48" s="272">
        <v>19131</v>
      </c>
      <c r="EP48" s="455">
        <f t="shared" si="12"/>
        <v>353045</v>
      </c>
      <c r="EQ48" s="272">
        <v>7086892</v>
      </c>
      <c r="ER48" s="272">
        <v>-652468</v>
      </c>
      <c r="ES48" s="272">
        <v>2284822</v>
      </c>
      <c r="ET48" s="272">
        <v>1660023</v>
      </c>
      <c r="EU48" s="272">
        <v>121455</v>
      </c>
      <c r="EV48" s="272">
        <v>589269</v>
      </c>
      <c r="EW48" s="455">
        <f t="shared" si="13"/>
        <v>1140541</v>
      </c>
      <c r="EX48" s="272">
        <v>1140541</v>
      </c>
      <c r="EY48" s="272">
        <v>78088</v>
      </c>
      <c r="EZ48" s="272">
        <v>1062453</v>
      </c>
      <c r="FA48" s="272">
        <v>0</v>
      </c>
      <c r="FB48" s="272"/>
      <c r="FC48" s="272">
        <v>1137662</v>
      </c>
      <c r="FD48" s="272">
        <v>546648</v>
      </c>
      <c r="FE48" s="272">
        <v>277282</v>
      </c>
      <c r="FF48" s="272">
        <v>1232664</v>
      </c>
      <c r="FG48" s="455">
        <f t="shared" si="14"/>
        <v>489029</v>
      </c>
      <c r="FH48" s="272">
        <v>7542090</v>
      </c>
      <c r="FI48" s="384">
        <f t="shared" si="15"/>
        <v>3.1</v>
      </c>
      <c r="FJ48" s="272">
        <v>6369419</v>
      </c>
      <c r="FK48" s="272"/>
      <c r="FL48" s="272">
        <v>4753758</v>
      </c>
      <c r="FM48" s="272">
        <v>4821607</v>
      </c>
      <c r="FN48" s="460">
        <v>0.98399999999999999</v>
      </c>
      <c r="FO48" s="388">
        <v>70.400000000000006</v>
      </c>
      <c r="FP48" s="388">
        <v>33</v>
      </c>
      <c r="FQ48" s="388">
        <v>1.8</v>
      </c>
      <c r="FR48" s="388">
        <v>8.8000000000000007</v>
      </c>
      <c r="FS48" s="388">
        <v>16.2</v>
      </c>
      <c r="FT48" s="388">
        <v>6.8</v>
      </c>
      <c r="FU48" s="388">
        <v>3.1</v>
      </c>
      <c r="FV48" s="388">
        <v>7.4</v>
      </c>
      <c r="FW48" s="272">
        <v>5301816</v>
      </c>
      <c r="FX48" s="384">
        <f t="shared" si="16"/>
        <v>83.2</v>
      </c>
      <c r="FY48" s="272">
        <v>7009221</v>
      </c>
      <c r="FZ48" s="272">
        <v>1788164</v>
      </c>
      <c r="GA48" s="272">
        <v>753569</v>
      </c>
      <c r="GB48" s="272">
        <v>4467488</v>
      </c>
      <c r="GC48" s="272"/>
      <c r="GD48" s="272">
        <v>4763915</v>
      </c>
      <c r="GE48" s="384">
        <f>ROUND(GD48/FJ48*100,1)</f>
        <v>74.8</v>
      </c>
      <c r="GF48" s="388">
        <v>96.5</v>
      </c>
      <c r="GG48" s="388">
        <v>29.6</v>
      </c>
      <c r="GH48" s="388">
        <v>92.6</v>
      </c>
      <c r="GI48" s="272">
        <v>325</v>
      </c>
    </row>
    <row r="49" spans="2:191" x14ac:dyDescent="0.15">
      <c r="B49" s="21" t="s">
        <v>89</v>
      </c>
      <c r="C49" s="272">
        <f>SUM(C38:C48)</f>
        <v>29491515</v>
      </c>
      <c r="D49" s="455">
        <f t="shared" si="0"/>
        <v>14054845</v>
      </c>
      <c r="E49" s="272">
        <f>SUM(E38:E48)</f>
        <v>107455</v>
      </c>
      <c r="F49" s="272">
        <f>SUM(F38:F48)</f>
        <v>13947390</v>
      </c>
      <c r="G49" s="455">
        <f t="shared" si="1"/>
        <v>2705789</v>
      </c>
      <c r="H49" s="272">
        <f t="shared" ref="H49:S49" si="25">SUM(H38:H48)</f>
        <v>298878</v>
      </c>
      <c r="I49" s="272">
        <f t="shared" si="25"/>
        <v>2406911</v>
      </c>
      <c r="J49" s="272">
        <f t="shared" si="25"/>
        <v>10570589</v>
      </c>
      <c r="K49" s="272">
        <f t="shared" si="25"/>
        <v>4616775</v>
      </c>
      <c r="L49" s="272">
        <f t="shared" si="25"/>
        <v>3832482</v>
      </c>
      <c r="M49" s="272">
        <f t="shared" si="25"/>
        <v>2077126</v>
      </c>
      <c r="N49" s="272">
        <f t="shared" si="25"/>
        <v>775956</v>
      </c>
      <c r="O49" s="272">
        <f t="shared" si="25"/>
        <v>891579</v>
      </c>
      <c r="P49" s="272">
        <f t="shared" si="25"/>
        <v>603081</v>
      </c>
      <c r="Q49" s="272">
        <f t="shared" si="25"/>
        <v>288498</v>
      </c>
      <c r="R49" s="272">
        <f t="shared" si="25"/>
        <v>1217438</v>
      </c>
      <c r="S49" s="272">
        <f t="shared" si="25"/>
        <v>731892</v>
      </c>
      <c r="T49" s="455">
        <f t="shared" si="2"/>
        <v>2597070</v>
      </c>
      <c r="U49" s="272">
        <f>SUM(U38:U48)</f>
        <v>1367556</v>
      </c>
      <c r="V49" s="272"/>
      <c r="W49" s="272"/>
      <c r="X49" s="272"/>
      <c r="Y49" s="272">
        <f>SUM(Y38:Y48)</f>
        <v>353492</v>
      </c>
      <c r="Z49" s="272">
        <f>SUM(Z38:Z48)</f>
        <v>979</v>
      </c>
      <c r="AA49" s="272">
        <f>SUM(AA38:AA48)</f>
        <v>875043</v>
      </c>
      <c r="AB49" s="272"/>
      <c r="AC49" s="272">
        <f>SUM(AC38:AC48)</f>
        <v>12022163</v>
      </c>
      <c r="AD49" s="272">
        <f>SUM(AD38:AD48)</f>
        <v>10048276</v>
      </c>
      <c r="AE49" s="272">
        <f>SUM(AE38:AE48)</f>
        <v>1973887</v>
      </c>
      <c r="AF49" s="272">
        <f>SUM(AF38:AF48)</f>
        <v>51233</v>
      </c>
      <c r="AG49" s="272">
        <f>SUM(AG38:AG48)</f>
        <v>275453</v>
      </c>
      <c r="AH49" s="455">
        <f t="shared" si="3"/>
        <v>1207633</v>
      </c>
      <c r="AI49" s="272">
        <f>SUM(AI38:AI48)</f>
        <v>964034</v>
      </c>
      <c r="AJ49" s="272">
        <f>SUM(AJ38:AJ48)</f>
        <v>243599</v>
      </c>
      <c r="AK49" s="272">
        <f>SUM(AK38:AK48)</f>
        <v>2191706</v>
      </c>
      <c r="AL49" s="455">
        <f t="shared" si="4"/>
        <v>348203</v>
      </c>
      <c r="AM49" s="272">
        <f t="shared" ref="AM49:BN49" si="26">SUM(AM38:AM48)</f>
        <v>40507</v>
      </c>
      <c r="AN49" s="272">
        <f t="shared" si="26"/>
        <v>277527</v>
      </c>
      <c r="AO49" s="272">
        <f t="shared" si="26"/>
        <v>0</v>
      </c>
      <c r="AP49" s="272">
        <f t="shared" si="26"/>
        <v>30169</v>
      </c>
      <c r="AQ49" s="272">
        <f t="shared" si="26"/>
        <v>1073844</v>
      </c>
      <c r="AR49" s="272">
        <f t="shared" si="26"/>
        <v>16675</v>
      </c>
      <c r="AS49" s="272">
        <f t="shared" si="26"/>
        <v>0</v>
      </c>
      <c r="AT49" s="272">
        <f t="shared" si="26"/>
        <v>4645720</v>
      </c>
      <c r="AU49" s="272">
        <f t="shared" si="26"/>
        <v>1225676</v>
      </c>
      <c r="AV49" s="272">
        <f t="shared" si="26"/>
        <v>124156</v>
      </c>
      <c r="AW49" s="272">
        <f t="shared" si="26"/>
        <v>766697</v>
      </c>
      <c r="AX49" s="272">
        <f t="shared" si="26"/>
        <v>3420044</v>
      </c>
      <c r="AY49" s="272">
        <f t="shared" si="26"/>
        <v>1701469</v>
      </c>
      <c r="AZ49" s="272">
        <f t="shared" si="26"/>
        <v>2446238</v>
      </c>
      <c r="BA49" s="272">
        <f t="shared" si="26"/>
        <v>216884</v>
      </c>
      <c r="BB49" s="272">
        <f t="shared" si="26"/>
        <v>408360</v>
      </c>
      <c r="BC49" s="272">
        <f t="shared" si="26"/>
        <v>2234433</v>
      </c>
      <c r="BD49" s="272">
        <f t="shared" si="26"/>
        <v>700952</v>
      </c>
      <c r="BE49" s="272">
        <f t="shared" si="26"/>
        <v>150410</v>
      </c>
      <c r="BF49" s="272">
        <f t="shared" si="26"/>
        <v>1172348</v>
      </c>
      <c r="BG49" s="272">
        <f t="shared" si="26"/>
        <v>0</v>
      </c>
      <c r="BH49" s="272">
        <f t="shared" si="26"/>
        <v>1762674</v>
      </c>
      <c r="BI49" s="272">
        <f t="shared" si="26"/>
        <v>1459592</v>
      </c>
      <c r="BJ49" s="272">
        <f t="shared" si="26"/>
        <v>1442337</v>
      </c>
      <c r="BK49" s="272">
        <f t="shared" si="26"/>
        <v>49149</v>
      </c>
      <c r="BL49" s="272">
        <f t="shared" si="26"/>
        <v>126</v>
      </c>
      <c r="BM49" s="272">
        <f t="shared" si="26"/>
        <v>0</v>
      </c>
      <c r="BN49" s="272">
        <f t="shared" si="26"/>
        <v>6706792</v>
      </c>
      <c r="BO49" s="455">
        <f t="shared" si="5"/>
        <v>6706792</v>
      </c>
      <c r="BP49" s="455">
        <f t="shared" si="6"/>
        <v>0</v>
      </c>
      <c r="BQ49" s="272"/>
      <c r="BR49" s="272"/>
      <c r="BS49" s="272"/>
      <c r="BT49" s="272">
        <v>0</v>
      </c>
      <c r="BU49" s="272">
        <f>SUM(BU38:BU48)</f>
        <v>68700765</v>
      </c>
      <c r="BV49" s="272"/>
      <c r="BW49" s="272">
        <f t="shared" ref="BW49:CI49" si="27">SUM(BW38:BW48)</f>
        <v>16572024</v>
      </c>
      <c r="BX49" s="272">
        <f t="shared" si="27"/>
        <v>12132131</v>
      </c>
      <c r="BY49" s="272">
        <f t="shared" si="27"/>
        <v>607860</v>
      </c>
      <c r="BZ49" s="272">
        <f t="shared" si="27"/>
        <v>391142</v>
      </c>
      <c r="CA49" s="272">
        <f t="shared" si="27"/>
        <v>1995330</v>
      </c>
      <c r="CB49" s="272">
        <f t="shared" si="27"/>
        <v>399763</v>
      </c>
      <c r="CC49" s="272">
        <f t="shared" si="27"/>
        <v>737835</v>
      </c>
      <c r="CD49" s="272">
        <f t="shared" si="27"/>
        <v>728749</v>
      </c>
      <c r="CE49" s="272">
        <f t="shared" si="27"/>
        <v>52744</v>
      </c>
      <c r="CF49" s="272">
        <f t="shared" si="27"/>
        <v>2796</v>
      </c>
      <c r="CG49" s="272">
        <f t="shared" si="27"/>
        <v>73383</v>
      </c>
      <c r="CH49" s="272">
        <f t="shared" si="27"/>
        <v>4907077</v>
      </c>
      <c r="CI49" s="272">
        <f t="shared" si="27"/>
        <v>2494263</v>
      </c>
      <c r="CJ49" s="455">
        <f t="shared" si="7"/>
        <v>2412814</v>
      </c>
      <c r="CK49" s="272">
        <f t="shared" ref="CK49:CS49" si="28">SUM(CK38:CK48)</f>
        <v>7875708</v>
      </c>
      <c r="CL49" s="272">
        <f t="shared" si="28"/>
        <v>3356206</v>
      </c>
      <c r="CM49" s="272">
        <f t="shared" si="28"/>
        <v>563850</v>
      </c>
      <c r="CN49" s="272">
        <f t="shared" si="28"/>
        <v>2385488</v>
      </c>
      <c r="CO49" s="272">
        <f t="shared" si="28"/>
        <v>657770</v>
      </c>
      <c r="CP49" s="272">
        <f t="shared" si="28"/>
        <v>3935199</v>
      </c>
      <c r="CQ49" s="272">
        <f t="shared" si="28"/>
        <v>1063778</v>
      </c>
      <c r="CR49" s="272">
        <f t="shared" si="28"/>
        <v>1007791</v>
      </c>
      <c r="CS49" s="272">
        <f t="shared" si="28"/>
        <v>876690</v>
      </c>
      <c r="CT49" s="455">
        <f t="shared" si="8"/>
        <v>395964</v>
      </c>
      <c r="CU49" s="272">
        <f>SUM(CU38:CU48)</f>
        <v>29283</v>
      </c>
      <c r="CV49" s="272">
        <f>SUM(CV38:CV48)</f>
        <v>366681</v>
      </c>
      <c r="CW49" s="455">
        <f t="shared" si="9"/>
        <v>216196</v>
      </c>
      <c r="CX49" s="272">
        <f>SUM(CX38:CX48)</f>
        <v>0</v>
      </c>
      <c r="CY49" s="272">
        <f>SUM(CY38:CY48)</f>
        <v>216196</v>
      </c>
      <c r="CZ49" s="455">
        <f t="shared" si="10"/>
        <v>0</v>
      </c>
      <c r="DA49" s="272">
        <f t="shared" ref="DA49:DU49" si="29">SUM(DA38:DA48)</f>
        <v>0</v>
      </c>
      <c r="DB49" s="272">
        <f t="shared" si="29"/>
        <v>0</v>
      </c>
      <c r="DC49" s="272">
        <f t="shared" si="29"/>
        <v>19378110</v>
      </c>
      <c r="DD49" s="272">
        <f t="shared" si="29"/>
        <v>3365250</v>
      </c>
      <c r="DE49" s="272">
        <f t="shared" si="29"/>
        <v>15674894</v>
      </c>
      <c r="DF49" s="272">
        <f t="shared" si="29"/>
        <v>329106</v>
      </c>
      <c r="DG49" s="272">
        <f t="shared" si="29"/>
        <v>0</v>
      </c>
      <c r="DH49" s="272">
        <f t="shared" si="29"/>
        <v>41331</v>
      </c>
      <c r="DI49" s="272">
        <f t="shared" si="29"/>
        <v>6470230</v>
      </c>
      <c r="DJ49" s="272">
        <f t="shared" si="29"/>
        <v>1332858</v>
      </c>
      <c r="DK49" s="272">
        <f t="shared" si="29"/>
        <v>459599</v>
      </c>
      <c r="DL49" s="272">
        <f t="shared" si="29"/>
        <v>4677773</v>
      </c>
      <c r="DM49" s="272">
        <f t="shared" si="29"/>
        <v>33606</v>
      </c>
      <c r="DN49" s="272">
        <f t="shared" si="29"/>
        <v>5554</v>
      </c>
      <c r="DO49" s="272">
        <f t="shared" si="29"/>
        <v>5554</v>
      </c>
      <c r="DP49" s="272">
        <f t="shared" si="29"/>
        <v>0</v>
      </c>
      <c r="DQ49" s="272">
        <f t="shared" si="29"/>
        <v>13554</v>
      </c>
      <c r="DR49" s="272">
        <f t="shared" si="29"/>
        <v>0</v>
      </c>
      <c r="DS49" s="272">
        <f t="shared" si="29"/>
        <v>0</v>
      </c>
      <c r="DT49" s="272">
        <f t="shared" si="29"/>
        <v>4773652</v>
      </c>
      <c r="DU49" s="272">
        <f t="shared" si="29"/>
        <v>2435995</v>
      </c>
      <c r="DV49" s="455">
        <f t="shared" si="11"/>
        <v>0</v>
      </c>
      <c r="DW49" s="272">
        <f>SUM(DW38:DW48)</f>
        <v>0</v>
      </c>
      <c r="DX49" s="272">
        <v>0</v>
      </c>
      <c r="DY49" s="457" t="s">
        <v>646</v>
      </c>
      <c r="DZ49" s="272">
        <f>SUM(DZ38:DZ48)</f>
        <v>754531</v>
      </c>
      <c r="EA49" s="272">
        <f>SUM(EA38:EA48)</f>
        <v>593205</v>
      </c>
      <c r="EB49" s="272"/>
      <c r="EC49" s="272">
        <f>SUM(EC38:EC48)</f>
        <v>494873</v>
      </c>
      <c r="ED49" s="272">
        <f>SUM(ED38:ED48)</f>
        <v>67148464</v>
      </c>
      <c r="EE49" s="272"/>
      <c r="EF49" s="272">
        <f>SUM(EF38:EF48)</f>
        <v>1552301</v>
      </c>
      <c r="EG49" s="272">
        <f>SUM(EG38:EG48)</f>
        <v>171958</v>
      </c>
      <c r="EH49" s="272">
        <f>SUM(EH38:EH48)</f>
        <v>1380343</v>
      </c>
      <c r="EI49" s="272">
        <f>SUM(EI38:EI48)</f>
        <v>437334</v>
      </c>
      <c r="EJ49" s="272">
        <f>SUM(EJ38:EJ48)</f>
        <v>1098570</v>
      </c>
      <c r="EL49" s="272"/>
      <c r="EM49" s="272">
        <f>SUM(EM38:EM48)</f>
        <v>221756</v>
      </c>
      <c r="EN49" s="272">
        <f>SUM(EN38:EN48)</f>
        <v>1376936</v>
      </c>
      <c r="EO49" s="272">
        <f>SUM(EO38:EO48)</f>
        <v>294375</v>
      </c>
      <c r="EP49" s="455">
        <f t="shared" si="12"/>
        <v>2804975</v>
      </c>
      <c r="EQ49" s="272">
        <f t="shared" ref="EQ49:EV49" si="30">SUM(EQ38:EQ48)</f>
        <v>45379419</v>
      </c>
      <c r="ER49" s="272">
        <f t="shared" si="30"/>
        <v>-4425053</v>
      </c>
      <c r="ES49" s="272">
        <f t="shared" si="30"/>
        <v>14958322</v>
      </c>
      <c r="ET49" s="272">
        <f t="shared" si="30"/>
        <v>10618933</v>
      </c>
      <c r="EU49" s="272">
        <f t="shared" si="30"/>
        <v>867255</v>
      </c>
      <c r="EV49" s="272">
        <f t="shared" si="30"/>
        <v>4666744</v>
      </c>
      <c r="EW49" s="455">
        <f t="shared" si="13"/>
        <v>7629919</v>
      </c>
      <c r="EX49" s="272">
        <f>SUM(EX38:EX48)</f>
        <v>7622980</v>
      </c>
      <c r="EY49" s="272">
        <f>SUM(EY38:EY48)</f>
        <v>553217</v>
      </c>
      <c r="EZ49" s="272">
        <f>SUM(EZ38:EZ48)</f>
        <v>6918567</v>
      </c>
      <c r="FA49" s="272">
        <f>SUM(FA38:FA48)</f>
        <v>6939</v>
      </c>
      <c r="FB49" s="272"/>
      <c r="FC49" s="272">
        <f>SUM(FC38:FC48)</f>
        <v>6687289</v>
      </c>
      <c r="FD49" s="272">
        <f>SUM(FD38:FD48)</f>
        <v>3484091</v>
      </c>
      <c r="FE49" s="272">
        <f>SUM(FE38:FE48)</f>
        <v>1063778</v>
      </c>
      <c r="FF49" s="272">
        <f>SUM(FF38:FF48)</f>
        <v>4487248</v>
      </c>
      <c r="FG49" s="455">
        <f t="shared" si="14"/>
        <v>5472878</v>
      </c>
      <c r="FH49" s="272">
        <f>SUM(FH38:FH48)</f>
        <v>48253746</v>
      </c>
      <c r="FI49" s="384">
        <f t="shared" si="15"/>
        <v>3.3</v>
      </c>
      <c r="FJ49" s="272">
        <f>SUM(FJ38:FJ48)</f>
        <v>41247975</v>
      </c>
      <c r="FK49" s="272">
        <f>SUM(FK38:FK48)</f>
        <v>0</v>
      </c>
      <c r="FL49" s="272">
        <f>SUM(FL38:FL48)</f>
        <v>23523781</v>
      </c>
      <c r="FM49" s="272">
        <f>SUM(FM38:FM48)</f>
        <v>33634439</v>
      </c>
      <c r="FN49" s="468">
        <v>0.71</v>
      </c>
      <c r="FO49" s="469">
        <v>69.8</v>
      </c>
      <c r="FP49" s="469">
        <v>34.1</v>
      </c>
      <c r="FQ49" s="469">
        <v>1.9</v>
      </c>
      <c r="FR49" s="469">
        <v>10.4</v>
      </c>
      <c r="FS49" s="469">
        <v>13.1</v>
      </c>
      <c r="FT49" s="469">
        <v>6.2</v>
      </c>
      <c r="FU49" s="469">
        <v>2.9</v>
      </c>
      <c r="FV49" s="469">
        <v>8.5</v>
      </c>
      <c r="FW49" s="272">
        <f>SUM(FW38:FW48)</f>
        <v>43244071</v>
      </c>
      <c r="FX49" s="384">
        <f t="shared" si="16"/>
        <v>104.8</v>
      </c>
      <c r="FY49" s="272">
        <f t="shared" ref="FY49:GD49" si="31">SUM(FY38:FY48)</f>
        <v>36689676</v>
      </c>
      <c r="FZ49" s="272">
        <f t="shared" si="31"/>
        <v>9347733</v>
      </c>
      <c r="GA49" s="272">
        <f t="shared" si="31"/>
        <v>2168800</v>
      </c>
      <c r="GB49" s="272">
        <f t="shared" si="31"/>
        <v>25173143</v>
      </c>
      <c r="GC49" s="272">
        <f t="shared" si="31"/>
        <v>0</v>
      </c>
      <c r="GD49" s="272">
        <f t="shared" si="31"/>
        <v>9430006</v>
      </c>
      <c r="GE49" s="465">
        <f>ROUND(GD49/FJ52*100,1)</f>
        <v>42.5</v>
      </c>
      <c r="GF49" s="469">
        <v>97.7</v>
      </c>
      <c r="GG49" s="469">
        <v>28</v>
      </c>
      <c r="GH49" s="469">
        <v>94.5</v>
      </c>
      <c r="GI49" s="272">
        <f>SUM(GI38:GI48)</f>
        <v>2168</v>
      </c>
    </row>
    <row r="50" spans="2:191" x14ac:dyDescent="0.15">
      <c r="B50" s="21" t="s">
        <v>91</v>
      </c>
      <c r="C50" s="272">
        <f>C37+C49</f>
        <v>819356634</v>
      </c>
      <c r="D50" s="455">
        <f t="shared" si="0"/>
        <v>354860077</v>
      </c>
      <c r="E50" s="272">
        <f>E37+E49</f>
        <v>3746083</v>
      </c>
      <c r="F50" s="272">
        <f>F37+F49</f>
        <v>351113994</v>
      </c>
      <c r="G50" s="455">
        <f t="shared" si="1"/>
        <v>105019074</v>
      </c>
      <c r="H50" s="272">
        <f t="shared" ref="H50:S50" si="32">H37+H49</f>
        <v>9419256</v>
      </c>
      <c r="I50" s="272">
        <f t="shared" si="32"/>
        <v>95599818</v>
      </c>
      <c r="J50" s="272">
        <f t="shared" si="32"/>
        <v>259200682</v>
      </c>
      <c r="K50" s="272">
        <f t="shared" si="32"/>
        <v>127727629</v>
      </c>
      <c r="L50" s="272">
        <f t="shared" si="32"/>
        <v>88150566</v>
      </c>
      <c r="M50" s="272">
        <f t="shared" si="32"/>
        <v>40112157</v>
      </c>
      <c r="N50" s="272">
        <f t="shared" si="32"/>
        <v>23960769</v>
      </c>
      <c r="O50" s="272">
        <f t="shared" si="32"/>
        <v>59981067</v>
      </c>
      <c r="P50" s="272">
        <f t="shared" si="32"/>
        <v>41536789</v>
      </c>
      <c r="Q50" s="272">
        <f t="shared" si="32"/>
        <v>18444278</v>
      </c>
      <c r="R50" s="272">
        <f t="shared" si="32"/>
        <v>29713795</v>
      </c>
      <c r="S50" s="272">
        <f t="shared" si="32"/>
        <v>19112987</v>
      </c>
      <c r="T50" s="455">
        <f t="shared" si="2"/>
        <v>54143393</v>
      </c>
      <c r="U50" s="272">
        <f>U37+U49</f>
        <v>36699907</v>
      </c>
      <c r="V50" s="272"/>
      <c r="W50" s="272"/>
      <c r="X50" s="272"/>
      <c r="Y50" s="272">
        <f>Y37+Y49</f>
        <v>1770048</v>
      </c>
      <c r="Z50" s="272">
        <f>Z37+Z49</f>
        <v>124467</v>
      </c>
      <c r="AA50" s="272">
        <f>AA37+AA49</f>
        <v>15548971</v>
      </c>
      <c r="AB50" s="272"/>
      <c r="AC50" s="272">
        <f>AC37+AC49</f>
        <v>64097625</v>
      </c>
      <c r="AD50" s="272">
        <f>AD37+AD49</f>
        <v>50988300</v>
      </c>
      <c r="AE50" s="272">
        <f>AE37+AE49</f>
        <v>13109325</v>
      </c>
      <c r="AF50" s="272">
        <f>AF37+AF49</f>
        <v>1241581</v>
      </c>
      <c r="AG50" s="272">
        <f>AG37+AG49</f>
        <v>17967660</v>
      </c>
      <c r="AH50" s="455">
        <f t="shared" si="3"/>
        <v>28650867</v>
      </c>
      <c r="AI50" s="272">
        <f>AI37+AI49</f>
        <v>22749971</v>
      </c>
      <c r="AJ50" s="272">
        <f>AJ37+AJ49</f>
        <v>5900896</v>
      </c>
      <c r="AK50" s="272">
        <f>AK37+AK49</f>
        <v>110596949</v>
      </c>
      <c r="AL50" s="455">
        <f t="shared" si="4"/>
        <v>62584109</v>
      </c>
      <c r="AM50" s="272">
        <f t="shared" ref="AM50:BN50" si="33">AM37+AM49</f>
        <v>47564496</v>
      </c>
      <c r="AN50" s="272">
        <f t="shared" si="33"/>
        <v>10205367</v>
      </c>
      <c r="AO50" s="272">
        <f t="shared" si="33"/>
        <v>123717</v>
      </c>
      <c r="AP50" s="272">
        <f t="shared" si="33"/>
        <v>4690529</v>
      </c>
      <c r="AQ50" s="272">
        <f t="shared" si="33"/>
        <v>22146286</v>
      </c>
      <c r="AR50" s="272">
        <f t="shared" si="33"/>
        <v>38351</v>
      </c>
      <c r="AS50" s="272">
        <f t="shared" si="33"/>
        <v>280737</v>
      </c>
      <c r="AT50" s="272">
        <f t="shared" si="33"/>
        <v>71414550</v>
      </c>
      <c r="AU50" s="272">
        <f t="shared" si="33"/>
        <v>20757549</v>
      </c>
      <c r="AV50" s="272">
        <f t="shared" si="33"/>
        <v>4993112</v>
      </c>
      <c r="AW50" s="272">
        <f t="shared" si="33"/>
        <v>3000698</v>
      </c>
      <c r="AX50" s="272">
        <f t="shared" si="33"/>
        <v>50657001</v>
      </c>
      <c r="AY50" s="272">
        <f t="shared" si="33"/>
        <v>15162503</v>
      </c>
      <c r="AZ50" s="272">
        <f t="shared" si="33"/>
        <v>48765566</v>
      </c>
      <c r="BA50" s="272">
        <f t="shared" si="33"/>
        <v>18610178</v>
      </c>
      <c r="BB50" s="272">
        <f t="shared" si="33"/>
        <v>9875410</v>
      </c>
      <c r="BC50" s="272">
        <f t="shared" si="33"/>
        <v>64010646</v>
      </c>
      <c r="BD50" s="272">
        <f t="shared" si="33"/>
        <v>8833821</v>
      </c>
      <c r="BE50" s="272">
        <f t="shared" si="33"/>
        <v>3022104</v>
      </c>
      <c r="BF50" s="272">
        <f t="shared" si="33"/>
        <v>50667334</v>
      </c>
      <c r="BG50" s="272">
        <f t="shared" si="33"/>
        <v>0</v>
      </c>
      <c r="BH50" s="272">
        <f t="shared" si="33"/>
        <v>34726004</v>
      </c>
      <c r="BI50" s="272">
        <f t="shared" si="33"/>
        <v>22436754</v>
      </c>
      <c r="BJ50" s="272">
        <f t="shared" si="33"/>
        <v>74023444</v>
      </c>
      <c r="BK50" s="272">
        <f t="shared" si="33"/>
        <v>30488771</v>
      </c>
      <c r="BL50" s="272">
        <f t="shared" si="33"/>
        <v>3153117</v>
      </c>
      <c r="BM50" s="272">
        <f t="shared" si="33"/>
        <v>18684192</v>
      </c>
      <c r="BN50" s="272">
        <f t="shared" si="33"/>
        <v>107714724</v>
      </c>
      <c r="BO50" s="455">
        <f t="shared" si="5"/>
        <v>107714724</v>
      </c>
      <c r="BP50" s="455">
        <f t="shared" si="6"/>
        <v>0</v>
      </c>
      <c r="BQ50" s="272"/>
      <c r="BR50" s="272"/>
      <c r="BS50" s="272"/>
      <c r="BT50" s="272">
        <v>0</v>
      </c>
      <c r="BU50" s="272">
        <f>BU37+BU49</f>
        <v>1536579585</v>
      </c>
      <c r="BV50" s="272"/>
      <c r="BW50" s="272">
        <f t="shared" ref="BW50:CI50" si="34">BW37+BW49</f>
        <v>394090009</v>
      </c>
      <c r="BX50" s="272">
        <f t="shared" si="34"/>
        <v>303593632</v>
      </c>
      <c r="BY50" s="272">
        <f t="shared" si="34"/>
        <v>18236342</v>
      </c>
      <c r="BZ50" s="272">
        <f t="shared" si="34"/>
        <v>9792860</v>
      </c>
      <c r="CA50" s="272">
        <f t="shared" si="34"/>
        <v>144261928</v>
      </c>
      <c r="CB50" s="272">
        <f t="shared" si="34"/>
        <v>14269991</v>
      </c>
      <c r="CC50" s="272">
        <f t="shared" si="34"/>
        <v>25614448</v>
      </c>
      <c r="CD50" s="272">
        <f t="shared" si="34"/>
        <v>30124471</v>
      </c>
      <c r="CE50" s="272">
        <f t="shared" si="34"/>
        <v>62089887</v>
      </c>
      <c r="CF50" s="272">
        <f t="shared" si="34"/>
        <v>9127829</v>
      </c>
      <c r="CG50" s="272">
        <f t="shared" si="34"/>
        <v>3018257</v>
      </c>
      <c r="CH50" s="272">
        <f t="shared" si="34"/>
        <v>118633612</v>
      </c>
      <c r="CI50" s="272">
        <f t="shared" si="34"/>
        <v>64984653</v>
      </c>
      <c r="CJ50" s="455">
        <f t="shared" si="7"/>
        <v>53648959</v>
      </c>
      <c r="CK50" s="272">
        <f t="shared" ref="CK50:CS50" si="35">CK37+CK49</f>
        <v>137342872</v>
      </c>
      <c r="CL50" s="272">
        <f t="shared" si="35"/>
        <v>68784976</v>
      </c>
      <c r="CM50" s="272">
        <f t="shared" si="35"/>
        <v>6324841</v>
      </c>
      <c r="CN50" s="272">
        <f t="shared" si="35"/>
        <v>37525695</v>
      </c>
      <c r="CO50" s="272">
        <f t="shared" si="35"/>
        <v>18001595</v>
      </c>
      <c r="CP50" s="272">
        <f t="shared" si="35"/>
        <v>97295244</v>
      </c>
      <c r="CQ50" s="272">
        <f t="shared" si="35"/>
        <v>33839523</v>
      </c>
      <c r="CR50" s="272">
        <f t="shared" si="35"/>
        <v>23737733</v>
      </c>
      <c r="CS50" s="272">
        <f t="shared" si="35"/>
        <v>18657314</v>
      </c>
      <c r="CT50" s="455">
        <f t="shared" si="8"/>
        <v>14934755</v>
      </c>
      <c r="CU50" s="272">
        <f>CU37+CU49</f>
        <v>7350792</v>
      </c>
      <c r="CV50" s="272">
        <f>CV37+CV49</f>
        <v>7583963</v>
      </c>
      <c r="CW50" s="455">
        <f t="shared" si="9"/>
        <v>12035149</v>
      </c>
      <c r="CX50" s="272">
        <f>CX37+CX49</f>
        <v>6720013</v>
      </c>
      <c r="CY50" s="272">
        <f>CY37+CY49</f>
        <v>5315136</v>
      </c>
      <c r="CZ50" s="455">
        <f t="shared" si="10"/>
        <v>0</v>
      </c>
      <c r="DA50" s="272">
        <f t="shared" ref="DA50:DU50" si="36">DA37+DA49</f>
        <v>0</v>
      </c>
      <c r="DB50" s="272">
        <f t="shared" si="36"/>
        <v>0</v>
      </c>
      <c r="DC50" s="272">
        <f t="shared" si="36"/>
        <v>349425117</v>
      </c>
      <c r="DD50" s="272">
        <f t="shared" si="36"/>
        <v>59687335</v>
      </c>
      <c r="DE50" s="272">
        <f t="shared" si="36"/>
        <v>276832839</v>
      </c>
      <c r="DF50" s="272">
        <f t="shared" si="36"/>
        <v>3150551</v>
      </c>
      <c r="DG50" s="272">
        <f t="shared" si="36"/>
        <v>9504072</v>
      </c>
      <c r="DH50" s="272">
        <f t="shared" si="36"/>
        <v>225023</v>
      </c>
      <c r="DI50" s="272">
        <f t="shared" si="36"/>
        <v>97453453</v>
      </c>
      <c r="DJ50" s="272">
        <f t="shared" si="36"/>
        <v>17305958</v>
      </c>
      <c r="DK50" s="272">
        <f t="shared" si="36"/>
        <v>6725559</v>
      </c>
      <c r="DL50" s="272">
        <f t="shared" si="36"/>
        <v>73421936</v>
      </c>
      <c r="DM50" s="272">
        <f t="shared" si="36"/>
        <v>4472858</v>
      </c>
      <c r="DN50" s="272">
        <f t="shared" si="36"/>
        <v>1360342</v>
      </c>
      <c r="DO50" s="272">
        <f t="shared" si="36"/>
        <v>323794</v>
      </c>
      <c r="DP50" s="272">
        <f t="shared" si="36"/>
        <v>1036248</v>
      </c>
      <c r="DQ50" s="272">
        <f t="shared" si="36"/>
        <v>30935118</v>
      </c>
      <c r="DR50" s="272">
        <f t="shared" si="36"/>
        <v>1225753</v>
      </c>
      <c r="DS50" s="272">
        <f t="shared" si="36"/>
        <v>1224000</v>
      </c>
      <c r="DT50" s="272">
        <f t="shared" si="36"/>
        <v>109555328</v>
      </c>
      <c r="DU50" s="272">
        <f t="shared" si="36"/>
        <v>64710892</v>
      </c>
      <c r="DV50" s="455">
        <f t="shared" si="11"/>
        <v>508922</v>
      </c>
      <c r="DW50" s="272">
        <f>DW37+DW49</f>
        <v>508922</v>
      </c>
      <c r="DX50" s="272">
        <v>0</v>
      </c>
      <c r="DY50" s="457" t="s">
        <v>646</v>
      </c>
      <c r="DZ50" s="272">
        <f>DZ37+DZ49</f>
        <v>21054686</v>
      </c>
      <c r="EA50" s="272">
        <f>EA37+EA49</f>
        <v>12627099</v>
      </c>
      <c r="EB50" s="272"/>
      <c r="EC50" s="272">
        <f>EC37+EC49</f>
        <v>1645946</v>
      </c>
      <c r="ED50" s="272">
        <f>ED37+ED49</f>
        <v>1503338103</v>
      </c>
      <c r="EE50" s="272"/>
      <c r="EF50" s="272">
        <f>EF37+EF49</f>
        <v>33241482</v>
      </c>
      <c r="EG50" s="272">
        <f>EG37+EG49</f>
        <v>15482375</v>
      </c>
      <c r="EH50" s="272">
        <f>EH37+EH49</f>
        <v>17759107</v>
      </c>
      <c r="EI50" s="272">
        <f>EI37+EI49</f>
        <v>-3416780</v>
      </c>
      <c r="EJ50" s="272">
        <f>EJ37+EJ49</f>
        <v>5201809</v>
      </c>
      <c r="EL50" s="272"/>
      <c r="EM50" s="272">
        <f>EM37+EM49</f>
        <v>5245358</v>
      </c>
      <c r="EN50" s="272">
        <f>EN37+EN49</f>
        <v>22897058</v>
      </c>
      <c r="EO50" s="272">
        <f>EO37+EO49</f>
        <v>7232355</v>
      </c>
      <c r="EP50" s="455">
        <f t="shared" si="12"/>
        <v>79616926</v>
      </c>
      <c r="EQ50" s="272">
        <f t="shared" ref="EQ50:EV50" si="37">EQ37+EQ49</f>
        <v>968833765</v>
      </c>
      <c r="ER50" s="272">
        <f t="shared" si="37"/>
        <v>-108224021</v>
      </c>
      <c r="ES50" s="272">
        <f t="shared" si="37"/>
        <v>363378805</v>
      </c>
      <c r="ET50" s="272">
        <f t="shared" si="37"/>
        <v>275573467</v>
      </c>
      <c r="EU50" s="272">
        <f t="shared" si="37"/>
        <v>41531561</v>
      </c>
      <c r="EV50" s="272">
        <f t="shared" si="37"/>
        <v>112590483</v>
      </c>
      <c r="EW50" s="455">
        <f t="shared" si="13"/>
        <v>141143361</v>
      </c>
      <c r="EX50" s="272">
        <f>EX37+EX49</f>
        <v>141052903</v>
      </c>
      <c r="EY50" s="272">
        <f>EY37+EY49</f>
        <v>9512300</v>
      </c>
      <c r="EZ50" s="272">
        <f>EZ37+EZ49</f>
        <v>129664334</v>
      </c>
      <c r="FA50" s="272">
        <f>FA37+FA49</f>
        <v>90458</v>
      </c>
      <c r="FB50" s="272"/>
      <c r="FC50" s="272">
        <f>FC37+FC49</f>
        <v>110138462</v>
      </c>
      <c r="FD50" s="272">
        <f>FD37+FD49</f>
        <v>87475492</v>
      </c>
      <c r="FE50" s="272">
        <f>FE37+FE49</f>
        <v>33839523</v>
      </c>
      <c r="FF50" s="272">
        <f>FF37+FF49</f>
        <v>103686262</v>
      </c>
      <c r="FG50" s="455">
        <f t="shared" si="14"/>
        <v>86036884</v>
      </c>
      <c r="FH50" s="272">
        <f>FH37+FH49</f>
        <v>1045981310</v>
      </c>
      <c r="FI50" s="384">
        <f t="shared" si="15"/>
        <v>2.1</v>
      </c>
      <c r="FJ50" s="272">
        <f>FJ37+FJ49</f>
        <v>857024198</v>
      </c>
      <c r="FK50" s="272">
        <f>FK37+FK49</f>
        <v>0</v>
      </c>
      <c r="FL50" s="272">
        <f>FL37+FL49</f>
        <v>607328301</v>
      </c>
      <c r="FM50" s="272">
        <f>FM37+FM49</f>
        <v>617989445</v>
      </c>
      <c r="FN50" s="468">
        <v>0.98299999999999998</v>
      </c>
      <c r="FO50" s="469">
        <v>81.900000000000006</v>
      </c>
      <c r="FP50" s="469">
        <v>38.799999999999997</v>
      </c>
      <c r="FQ50" s="469">
        <v>4.7</v>
      </c>
      <c r="FR50" s="469">
        <v>12.2</v>
      </c>
      <c r="FS50" s="469">
        <v>11.4</v>
      </c>
      <c r="FT50" s="469">
        <v>8.1</v>
      </c>
      <c r="FU50" s="469">
        <v>5</v>
      </c>
      <c r="FV50" s="469">
        <v>9.9</v>
      </c>
      <c r="FW50" s="272">
        <f>FW37+FW49</f>
        <v>912815879</v>
      </c>
      <c r="FX50" s="384">
        <f t="shared" si="16"/>
        <v>106.5</v>
      </c>
      <c r="FY50" s="272">
        <f t="shared" ref="FY50:GD50" si="38">FY37+FY49</f>
        <v>453384545</v>
      </c>
      <c r="FZ50" s="272">
        <f t="shared" si="38"/>
        <v>99258748</v>
      </c>
      <c r="GA50" s="272">
        <f t="shared" si="38"/>
        <v>28132741</v>
      </c>
      <c r="GB50" s="272">
        <f t="shared" si="38"/>
        <v>325993056</v>
      </c>
      <c r="GC50" s="272">
        <f t="shared" si="38"/>
        <v>0</v>
      </c>
      <c r="GD50" s="272">
        <f t="shared" si="38"/>
        <v>453532102</v>
      </c>
      <c r="GE50" s="465">
        <f>ROUND(GD50/FJ53*100,1)</f>
        <v>54.1</v>
      </c>
      <c r="GF50" s="469">
        <v>98</v>
      </c>
      <c r="GG50" s="469">
        <v>33.200000000000003</v>
      </c>
      <c r="GH50" s="469">
        <v>95.8</v>
      </c>
      <c r="GI50" s="272">
        <f>GI37+GI49</f>
        <v>43109</v>
      </c>
    </row>
    <row r="51" spans="2:191" x14ac:dyDescent="0.15">
      <c r="GE51" s="31" t="s">
        <v>647</v>
      </c>
    </row>
    <row r="52" spans="2:191" x14ac:dyDescent="0.15">
      <c r="FJ52" s="394">
        <f>FJ40+FJ42+FJ43+FJ45+FJ46+FJ48</f>
        <v>22208614</v>
      </c>
      <c r="FO52" s="33"/>
      <c r="FP52" s="89" t="s">
        <v>816</v>
      </c>
    </row>
    <row r="53" spans="2:191" x14ac:dyDescent="0.15">
      <c r="FJ53" s="394">
        <f>FJ37+FJ52</f>
        <v>837984837</v>
      </c>
    </row>
  </sheetData>
  <phoneticPr fontId="3"/>
  <pageMargins left="0.75" right="0.75" top="1" bottom="1" header="0.51200000000000001" footer="0.51200000000000001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1">
    <tabColor indexed="15"/>
  </sheetPr>
  <dimension ref="A1:GI53"/>
  <sheetViews>
    <sheetView workbookViewId="0">
      <pane xSplit="2" ySplit="5" topLeftCell="FX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9" width="13.6640625" style="174" customWidth="1"/>
    <col min="170" max="170" width="10.6640625" style="174" customWidth="1"/>
    <col min="171" max="177" width="8.6640625" style="174" customWidth="1"/>
    <col min="178" max="178" width="10.6640625" style="174" customWidth="1"/>
    <col min="179" max="179" width="13.6640625" style="174" customWidth="1"/>
    <col min="180" max="180" width="10.6640625" style="174" customWidth="1"/>
    <col min="181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</cols>
  <sheetData>
    <row r="1" spans="2:191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191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830</v>
      </c>
      <c r="O2" s="28" t="s">
        <v>857</v>
      </c>
      <c r="P2" s="28" t="s">
        <v>840</v>
      </c>
      <c r="Q2" s="28" t="s">
        <v>831</v>
      </c>
      <c r="R2" s="28" t="s">
        <v>351</v>
      </c>
      <c r="S2" s="28" t="s">
        <v>795</v>
      </c>
      <c r="U2" s="28" t="s">
        <v>725</v>
      </c>
      <c r="V2" s="28"/>
      <c r="W2" s="28"/>
      <c r="X2" s="28"/>
      <c r="Y2" s="28" t="s">
        <v>354</v>
      </c>
      <c r="Z2" s="28"/>
      <c r="AA2" s="28" t="s">
        <v>355</v>
      </c>
      <c r="AB2" s="28"/>
      <c r="AC2" s="28" t="s">
        <v>356</v>
      </c>
      <c r="AD2" s="28" t="s">
        <v>357</v>
      </c>
      <c r="AE2" s="28" t="s">
        <v>653</v>
      </c>
      <c r="AF2" s="28" t="s">
        <v>358</v>
      </c>
      <c r="AG2" s="28" t="s">
        <v>359</v>
      </c>
      <c r="AI2" s="28" t="s">
        <v>665</v>
      </c>
      <c r="AJ2" s="28" t="s">
        <v>684</v>
      </c>
      <c r="AK2" s="28" t="s">
        <v>367</v>
      </c>
      <c r="AL2" s="29"/>
      <c r="AM2" s="28" t="s">
        <v>852</v>
      </c>
      <c r="AN2" s="28" t="s">
        <v>685</v>
      </c>
      <c r="AO2" s="28" t="s">
        <v>669</v>
      </c>
      <c r="AP2" s="28" t="s">
        <v>796</v>
      </c>
      <c r="AQ2" s="28" t="s">
        <v>727</v>
      </c>
      <c r="AR2" s="28" t="s">
        <v>833</v>
      </c>
      <c r="AS2" s="28" t="s">
        <v>671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858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/>
      <c r="BR2" s="28"/>
      <c r="BS2" s="28"/>
      <c r="BT2" s="28" t="s">
        <v>850</v>
      </c>
      <c r="BU2" s="28" t="s">
        <v>806</v>
      </c>
      <c r="BW2" s="28" t="s">
        <v>402</v>
      </c>
      <c r="BX2" s="28" t="s">
        <v>403</v>
      </c>
      <c r="BY2" s="28" t="s">
        <v>859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836</v>
      </c>
      <c r="CM2" s="28" t="s">
        <v>837</v>
      </c>
      <c r="CN2" s="28" t="s">
        <v>838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854</v>
      </c>
      <c r="CV2" s="28" t="s">
        <v>855</v>
      </c>
      <c r="CX2" s="28" t="s">
        <v>426</v>
      </c>
      <c r="CY2" s="28" t="s">
        <v>812</v>
      </c>
      <c r="DA2" s="28" t="s">
        <v>822</v>
      </c>
      <c r="DB2" s="28" t="s">
        <v>823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824</v>
      </c>
      <c r="DW2" s="28" t="s">
        <v>449</v>
      </c>
      <c r="DX2" s="28" t="s">
        <v>448</v>
      </c>
      <c r="DY2" s="28"/>
      <c r="DZ2" s="28" t="s">
        <v>856</v>
      </c>
      <c r="EA2" s="28" t="s">
        <v>452</v>
      </c>
      <c r="EB2" s="28"/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191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827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191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851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203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191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828</v>
      </c>
      <c r="DX5" s="30" t="s">
        <v>829</v>
      </c>
      <c r="DY5" s="30"/>
      <c r="DZ5" s="30"/>
      <c r="EA5" s="30"/>
      <c r="EB5" s="30"/>
      <c r="EC5" s="30"/>
      <c r="ED5" s="3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191" x14ac:dyDescent="0.15">
      <c r="B6" s="89" t="s">
        <v>5</v>
      </c>
      <c r="C6" s="272">
        <v>24226343</v>
      </c>
      <c r="D6" s="455">
        <f t="shared" ref="D6:D50" si="0">E6+F6</f>
        <v>8993247</v>
      </c>
      <c r="E6" s="272">
        <v>122671</v>
      </c>
      <c r="F6" s="272">
        <v>8870576</v>
      </c>
      <c r="G6" s="455">
        <f t="shared" ref="G6:G50" si="1">H6+I6</f>
        <v>4147188</v>
      </c>
      <c r="H6" s="272">
        <v>317559</v>
      </c>
      <c r="I6" s="272">
        <v>3829629</v>
      </c>
      <c r="J6" s="272">
        <v>8012696</v>
      </c>
      <c r="K6" s="272">
        <v>4137482</v>
      </c>
      <c r="L6" s="272">
        <v>2594704</v>
      </c>
      <c r="M6" s="272">
        <v>1117714</v>
      </c>
      <c r="N6" s="272">
        <v>961997</v>
      </c>
      <c r="O6" s="272">
        <v>1904894</v>
      </c>
      <c r="P6" s="272">
        <v>1369528</v>
      </c>
      <c r="Q6" s="272">
        <v>535366</v>
      </c>
      <c r="R6" s="272">
        <v>974840</v>
      </c>
      <c r="S6" s="272">
        <v>659689</v>
      </c>
      <c r="T6" s="455">
        <f t="shared" ref="T6:T50" si="2">SUM(U6:AA6)</f>
        <v>1933169</v>
      </c>
      <c r="U6" s="272">
        <v>1245518</v>
      </c>
      <c r="V6" s="272"/>
      <c r="W6" s="272"/>
      <c r="X6" s="272"/>
      <c r="Y6" s="272">
        <v>78476</v>
      </c>
      <c r="Z6" s="272"/>
      <c r="AA6" s="272">
        <v>609175</v>
      </c>
      <c r="AB6" s="272"/>
      <c r="AC6" s="272">
        <v>3363697</v>
      </c>
      <c r="AD6" s="272">
        <v>3258201</v>
      </c>
      <c r="AE6" s="272">
        <v>105496</v>
      </c>
      <c r="AF6" s="272">
        <v>38955</v>
      </c>
      <c r="AG6" s="272">
        <v>248827</v>
      </c>
      <c r="AH6" s="455">
        <f t="shared" ref="AH6:AH50" si="3">AI6+AJ6</f>
        <v>1261118</v>
      </c>
      <c r="AI6" s="272">
        <v>1125222</v>
      </c>
      <c r="AJ6" s="272">
        <v>135896</v>
      </c>
      <c r="AK6" s="272">
        <v>4078317</v>
      </c>
      <c r="AL6" s="455">
        <f t="shared" ref="AL6:AL50" si="4">SUM(AM6:AP6)</f>
        <v>2595336</v>
      </c>
      <c r="AM6" s="272">
        <v>1975389</v>
      </c>
      <c r="AN6" s="272">
        <v>447149</v>
      </c>
      <c r="AO6" s="272">
        <v>0</v>
      </c>
      <c r="AP6" s="272">
        <v>172798</v>
      </c>
      <c r="AQ6" s="272">
        <v>722899</v>
      </c>
      <c r="AR6" s="272">
        <v>28754</v>
      </c>
      <c r="AS6" s="272">
        <v>0</v>
      </c>
      <c r="AT6" s="272">
        <v>2388001</v>
      </c>
      <c r="AU6" s="272">
        <v>941776</v>
      </c>
      <c r="AV6" s="272">
        <v>239757</v>
      </c>
      <c r="AW6" s="272">
        <v>228528</v>
      </c>
      <c r="AX6" s="272">
        <v>1446225</v>
      </c>
      <c r="AY6" s="272">
        <v>388173</v>
      </c>
      <c r="AZ6" s="272">
        <v>452197</v>
      </c>
      <c r="BA6" s="272">
        <v>193500</v>
      </c>
      <c r="BB6" s="272">
        <v>168219</v>
      </c>
      <c r="BC6" s="272">
        <v>137228</v>
      </c>
      <c r="BD6" s="272">
        <v>0</v>
      </c>
      <c r="BE6" s="272">
        <v>0</v>
      </c>
      <c r="BF6" s="272">
        <v>18027</v>
      </c>
      <c r="BG6" s="272">
        <v>0</v>
      </c>
      <c r="BH6" s="272">
        <v>906207</v>
      </c>
      <c r="BI6" s="272">
        <v>234194</v>
      </c>
      <c r="BJ6" s="272">
        <v>3857347</v>
      </c>
      <c r="BK6" s="272">
        <v>86847</v>
      </c>
      <c r="BL6" s="272">
        <v>0</v>
      </c>
      <c r="BM6" s="272">
        <v>3193886</v>
      </c>
      <c r="BN6" s="272">
        <v>3309200</v>
      </c>
      <c r="BO6" s="455">
        <f t="shared" ref="BO6:BO50" si="5">BN6-BP6-BT6</f>
        <v>3309200</v>
      </c>
      <c r="BP6" s="455">
        <f t="shared" ref="BP6:BP50" si="6">BQ6+BR6+BS6</f>
        <v>0</v>
      </c>
      <c r="BQ6" s="272"/>
      <c r="BR6" s="272"/>
      <c r="BS6" s="272"/>
      <c r="BT6" s="272">
        <v>0</v>
      </c>
      <c r="BU6" s="272">
        <v>47343665</v>
      </c>
      <c r="BV6" s="272"/>
      <c r="BW6" s="272">
        <v>12920112</v>
      </c>
      <c r="BX6" s="272">
        <v>9767315</v>
      </c>
      <c r="BY6" s="272">
        <v>787048</v>
      </c>
      <c r="BZ6" s="272">
        <v>321740</v>
      </c>
      <c r="CA6" s="272">
        <v>5856312</v>
      </c>
      <c r="CB6" s="272">
        <v>737428</v>
      </c>
      <c r="CC6" s="272">
        <v>1036234</v>
      </c>
      <c r="CD6" s="272">
        <v>1400893</v>
      </c>
      <c r="CE6" s="272">
        <v>2521872</v>
      </c>
      <c r="CF6" s="272">
        <v>239</v>
      </c>
      <c r="CG6" s="272">
        <v>154556</v>
      </c>
      <c r="CH6" s="272">
        <v>3683674</v>
      </c>
      <c r="CI6" s="272">
        <v>1870648</v>
      </c>
      <c r="CJ6" s="455">
        <f t="shared" ref="CJ6:CJ50" si="7">CH6-CI6</f>
        <v>1813026</v>
      </c>
      <c r="CK6" s="272">
        <v>3523752</v>
      </c>
      <c r="CL6" s="272">
        <v>1424938</v>
      </c>
      <c r="CM6" s="272">
        <v>157467</v>
      </c>
      <c r="CN6" s="272">
        <v>999974</v>
      </c>
      <c r="CO6" s="272">
        <v>581982</v>
      </c>
      <c r="CP6" s="272">
        <v>3072574</v>
      </c>
      <c r="CQ6" s="272">
        <v>815915</v>
      </c>
      <c r="CR6" s="272">
        <v>616093</v>
      </c>
      <c r="CS6" s="272">
        <v>554317</v>
      </c>
      <c r="CT6" s="455">
        <f t="shared" ref="CT6:CT50" si="8">CU6+CV6</f>
        <v>756553</v>
      </c>
      <c r="CU6" s="272">
        <v>226958</v>
      </c>
      <c r="CV6" s="272">
        <v>529595</v>
      </c>
      <c r="CW6" s="455">
        <f t="shared" ref="CW6:CW50" si="9">CX6+CY6</f>
        <v>659355</v>
      </c>
      <c r="CX6" s="272">
        <v>205730</v>
      </c>
      <c r="CY6" s="272">
        <v>453625</v>
      </c>
      <c r="CZ6" s="455">
        <f t="shared" ref="CZ6:CZ50" si="10">DA6+DB6</f>
        <v>0</v>
      </c>
      <c r="DA6" s="272">
        <v>0</v>
      </c>
      <c r="DB6" s="272">
        <v>0</v>
      </c>
      <c r="DC6" s="272">
        <v>9460494</v>
      </c>
      <c r="DD6" s="272">
        <v>3839824</v>
      </c>
      <c r="DE6" s="272">
        <v>5198935</v>
      </c>
      <c r="DF6" s="272">
        <v>323704</v>
      </c>
      <c r="DG6" s="272">
        <v>98031</v>
      </c>
      <c r="DH6" s="272">
        <v>83209</v>
      </c>
      <c r="DI6" s="272">
        <v>3425964</v>
      </c>
      <c r="DJ6" s="272">
        <v>446084</v>
      </c>
      <c r="DK6" s="272">
        <v>685000</v>
      </c>
      <c r="DL6" s="272">
        <v>2294880</v>
      </c>
      <c r="DM6" s="272">
        <v>35500</v>
      </c>
      <c r="DN6" s="272">
        <v>0</v>
      </c>
      <c r="DO6" s="272">
        <v>0</v>
      </c>
      <c r="DP6" s="272">
        <v>0</v>
      </c>
      <c r="DQ6" s="272">
        <v>80790</v>
      </c>
      <c r="DR6" s="272">
        <v>0</v>
      </c>
      <c r="DS6" s="272">
        <v>0</v>
      </c>
      <c r="DT6" s="272">
        <v>3544619</v>
      </c>
      <c r="DU6" s="272">
        <v>2308130</v>
      </c>
      <c r="DV6" s="455">
        <f t="shared" ref="DV6:DV50" si="11">DW6+DX6</f>
        <v>0</v>
      </c>
      <c r="DW6" s="272">
        <v>0</v>
      </c>
      <c r="DX6" s="272">
        <v>0</v>
      </c>
      <c r="DY6" s="457" t="s">
        <v>646</v>
      </c>
      <c r="DZ6" s="272">
        <v>721431</v>
      </c>
      <c r="EA6" s="272">
        <v>481881</v>
      </c>
      <c r="EB6" s="272"/>
      <c r="EC6" s="272">
        <v>0</v>
      </c>
      <c r="ED6" s="272">
        <v>46268982</v>
      </c>
      <c r="EF6" s="272">
        <v>1074683</v>
      </c>
      <c r="EG6" s="272">
        <v>634218</v>
      </c>
      <c r="EH6" s="272">
        <v>440465</v>
      </c>
      <c r="EI6" s="272">
        <v>206271</v>
      </c>
      <c r="EJ6" s="272">
        <v>652355</v>
      </c>
      <c r="EL6" s="272">
        <v>188563</v>
      </c>
      <c r="EM6" s="272">
        <v>188820</v>
      </c>
      <c r="EN6" s="272">
        <v>120650</v>
      </c>
      <c r="EO6" s="272">
        <v>305655</v>
      </c>
      <c r="EP6" s="455">
        <f t="shared" ref="EP6:EP50" si="12">EQ6-ER6-C6-R6-T6-AB6-AC6-BP6-EN6-EO6</f>
        <v>4482744</v>
      </c>
      <c r="EQ6" s="272">
        <v>30537004</v>
      </c>
      <c r="ER6" s="272">
        <v>-4870094</v>
      </c>
      <c r="ES6" s="272">
        <v>11842894</v>
      </c>
      <c r="ET6" s="272">
        <v>8859255</v>
      </c>
      <c r="EU6" s="272">
        <v>1900189</v>
      </c>
      <c r="EV6" s="272">
        <v>3667708</v>
      </c>
      <c r="EW6" s="455">
        <f t="shared" ref="EW6:EW50" si="13">EX6+FA6+FB6</f>
        <v>4322578</v>
      </c>
      <c r="EX6" s="272">
        <v>4301906</v>
      </c>
      <c r="EY6" s="272">
        <v>383091</v>
      </c>
      <c r="EZ6" s="272">
        <v>3790651</v>
      </c>
      <c r="FA6" s="272">
        <v>20672</v>
      </c>
      <c r="FB6" s="272"/>
      <c r="FC6" s="272">
        <v>3004190</v>
      </c>
      <c r="FD6" s="272">
        <v>2702026</v>
      </c>
      <c r="FE6" s="272">
        <v>815915</v>
      </c>
      <c r="FF6" s="272">
        <v>3464989</v>
      </c>
      <c r="FG6" s="455">
        <f t="shared" ref="FG6:FG50" si="14">FH6-ES6-EU6-EV6-EW6-FC6-FD6-FF6</f>
        <v>3531075</v>
      </c>
      <c r="FH6" s="272">
        <v>34435649</v>
      </c>
      <c r="FI6" s="384">
        <f t="shared" ref="FI6:FI50" si="15">ROUND(EH6/FJ6*100,1)</f>
        <v>1.7</v>
      </c>
      <c r="FJ6" s="272">
        <v>26246096</v>
      </c>
      <c r="FK6" s="272"/>
      <c r="FL6" s="272">
        <v>17324600</v>
      </c>
      <c r="FM6" s="272">
        <v>20579491</v>
      </c>
      <c r="FN6" s="460">
        <v>0.82899999999999996</v>
      </c>
      <c r="FO6" s="388">
        <v>81.900000000000006</v>
      </c>
      <c r="FP6" s="388">
        <v>40.6</v>
      </c>
      <c r="FQ6" s="388">
        <v>6.5</v>
      </c>
      <c r="FR6" s="388">
        <v>11.7</v>
      </c>
      <c r="FS6" s="388">
        <v>9.6</v>
      </c>
      <c r="FT6" s="388">
        <v>5.5</v>
      </c>
      <c r="FU6" s="388">
        <v>7.6</v>
      </c>
      <c r="FV6" s="388">
        <v>10.9</v>
      </c>
      <c r="FW6" s="272">
        <v>30661940</v>
      </c>
      <c r="FX6" s="384">
        <f t="shared" ref="FX6:FX50" si="16">ROUND(FW6/FJ6*100,1)</f>
        <v>116.8</v>
      </c>
      <c r="FY6" s="272">
        <v>9604958</v>
      </c>
      <c r="FZ6" s="272">
        <v>971357</v>
      </c>
      <c r="GA6" s="272">
        <v>1705000</v>
      </c>
      <c r="GB6" s="272">
        <v>6928601</v>
      </c>
      <c r="GC6" s="272"/>
      <c r="GD6" s="272">
        <v>13327218</v>
      </c>
      <c r="GE6" s="384">
        <f t="shared" ref="GE6:GE37" si="17">ROUND(GD6/FJ6*100,1)</f>
        <v>50.8</v>
      </c>
      <c r="GF6" s="388">
        <v>98.6</v>
      </c>
      <c r="GG6" s="388">
        <v>29.7</v>
      </c>
      <c r="GH6" s="388">
        <v>96.4</v>
      </c>
      <c r="GI6" s="272">
        <v>1514</v>
      </c>
    </row>
    <row r="7" spans="2:191" x14ac:dyDescent="0.15">
      <c r="B7" s="89" t="s">
        <v>7</v>
      </c>
      <c r="C7" s="272">
        <v>69588392</v>
      </c>
      <c r="D7" s="455">
        <f t="shared" si="0"/>
        <v>35389144</v>
      </c>
      <c r="E7" s="272">
        <v>288148</v>
      </c>
      <c r="F7" s="272">
        <v>35100996</v>
      </c>
      <c r="G7" s="455">
        <f t="shared" si="1"/>
        <v>8832780</v>
      </c>
      <c r="H7" s="272">
        <v>739367</v>
      </c>
      <c r="I7" s="272">
        <v>8093413</v>
      </c>
      <c r="J7" s="272">
        <v>17229164</v>
      </c>
      <c r="K7" s="272">
        <v>7722408</v>
      </c>
      <c r="L7" s="272">
        <v>6700756</v>
      </c>
      <c r="M7" s="272">
        <v>2491288</v>
      </c>
      <c r="N7" s="272">
        <v>1864580</v>
      </c>
      <c r="O7" s="272">
        <v>4916097</v>
      </c>
      <c r="P7" s="272">
        <v>3353898</v>
      </c>
      <c r="Q7" s="272">
        <v>1562199</v>
      </c>
      <c r="R7" s="272">
        <v>3551432</v>
      </c>
      <c r="S7" s="272">
        <v>1338565</v>
      </c>
      <c r="T7" s="455">
        <f t="shared" si="2"/>
        <v>5872428</v>
      </c>
      <c r="U7" s="272">
        <v>4608921</v>
      </c>
      <c r="V7" s="272"/>
      <c r="W7" s="272"/>
      <c r="X7" s="272"/>
      <c r="Y7" s="272">
        <v>0</v>
      </c>
      <c r="Z7" s="272"/>
      <c r="AA7" s="272">
        <v>1263507</v>
      </c>
      <c r="AB7" s="272"/>
      <c r="AC7" s="272">
        <v>235631</v>
      </c>
      <c r="AD7" s="272">
        <v>0</v>
      </c>
      <c r="AE7" s="272">
        <v>235631</v>
      </c>
      <c r="AF7" s="272">
        <v>74591</v>
      </c>
      <c r="AG7" s="272">
        <v>827664</v>
      </c>
      <c r="AH7" s="455">
        <f t="shared" si="3"/>
        <v>1842726</v>
      </c>
      <c r="AI7" s="272">
        <v>1680400</v>
      </c>
      <c r="AJ7" s="272">
        <v>162326</v>
      </c>
      <c r="AK7" s="272">
        <v>7189559</v>
      </c>
      <c r="AL7" s="455">
        <f t="shared" si="4"/>
        <v>4250971</v>
      </c>
      <c r="AM7" s="272">
        <v>3616237</v>
      </c>
      <c r="AN7" s="272">
        <v>369635</v>
      </c>
      <c r="AO7" s="272">
        <v>0</v>
      </c>
      <c r="AP7" s="272">
        <v>265099</v>
      </c>
      <c r="AQ7" s="272">
        <v>1358845</v>
      </c>
      <c r="AR7" s="272">
        <v>0</v>
      </c>
      <c r="AS7" s="272">
        <v>0</v>
      </c>
      <c r="AT7" s="272">
        <v>4065873</v>
      </c>
      <c r="AU7" s="272">
        <v>1166481</v>
      </c>
      <c r="AV7" s="272">
        <v>184816</v>
      </c>
      <c r="AW7" s="272">
        <v>4455</v>
      </c>
      <c r="AX7" s="272">
        <v>2899392</v>
      </c>
      <c r="AY7" s="272">
        <v>286480</v>
      </c>
      <c r="AZ7" s="272">
        <v>3240211</v>
      </c>
      <c r="BA7" s="272">
        <v>76467</v>
      </c>
      <c r="BB7" s="272">
        <v>522122</v>
      </c>
      <c r="BC7" s="272">
        <v>867050</v>
      </c>
      <c r="BD7" s="272">
        <v>260865</v>
      </c>
      <c r="BE7" s="272">
        <v>0</v>
      </c>
      <c r="BF7" s="272">
        <v>324411</v>
      </c>
      <c r="BG7" s="272">
        <v>0</v>
      </c>
      <c r="BH7" s="272">
        <v>1782053</v>
      </c>
      <c r="BI7" s="272">
        <v>1184583</v>
      </c>
      <c r="BJ7" s="272">
        <v>3858006</v>
      </c>
      <c r="BK7" s="272">
        <v>1265260</v>
      </c>
      <c r="BL7" s="272">
        <v>146638</v>
      </c>
      <c r="BM7" s="272">
        <v>872506</v>
      </c>
      <c r="BN7" s="272">
        <v>3917900</v>
      </c>
      <c r="BO7" s="455">
        <f t="shared" si="5"/>
        <v>3917900</v>
      </c>
      <c r="BP7" s="455">
        <f t="shared" si="6"/>
        <v>0</v>
      </c>
      <c r="BQ7" s="272"/>
      <c r="BR7" s="272"/>
      <c r="BS7" s="272"/>
      <c r="BT7" s="272">
        <v>0</v>
      </c>
      <c r="BU7" s="272">
        <v>107435638</v>
      </c>
      <c r="BV7" s="272"/>
      <c r="BW7" s="272">
        <v>29598139</v>
      </c>
      <c r="BX7" s="272">
        <v>23405345</v>
      </c>
      <c r="BY7" s="272">
        <v>1306638</v>
      </c>
      <c r="BZ7" s="272">
        <v>527616</v>
      </c>
      <c r="CA7" s="272">
        <v>8865447</v>
      </c>
      <c r="CB7" s="272">
        <v>1023744</v>
      </c>
      <c r="CC7" s="272">
        <v>1627183</v>
      </c>
      <c r="CD7" s="272">
        <v>1296964</v>
      </c>
      <c r="CE7" s="272">
        <v>4716628</v>
      </c>
      <c r="CF7" s="272">
        <v>665</v>
      </c>
      <c r="CG7" s="272">
        <v>199505</v>
      </c>
      <c r="CH7" s="272">
        <v>8182868</v>
      </c>
      <c r="CI7" s="272">
        <v>4458903</v>
      </c>
      <c r="CJ7" s="455">
        <f t="shared" si="7"/>
        <v>3723965</v>
      </c>
      <c r="CK7" s="272">
        <v>9485115</v>
      </c>
      <c r="CL7" s="272">
        <v>3940940</v>
      </c>
      <c r="CM7" s="272">
        <v>220091</v>
      </c>
      <c r="CN7" s="272">
        <v>3154245</v>
      </c>
      <c r="CO7" s="272">
        <v>2900248</v>
      </c>
      <c r="CP7" s="272">
        <v>7800146</v>
      </c>
      <c r="CQ7" s="272">
        <v>2001512</v>
      </c>
      <c r="CR7" s="272">
        <v>1800005</v>
      </c>
      <c r="CS7" s="272">
        <v>865441</v>
      </c>
      <c r="CT7" s="455">
        <f t="shared" si="8"/>
        <v>1751771</v>
      </c>
      <c r="CU7" s="272">
        <v>1393070</v>
      </c>
      <c r="CV7" s="272">
        <v>358701</v>
      </c>
      <c r="CW7" s="455">
        <f t="shared" si="9"/>
        <v>1378859</v>
      </c>
      <c r="CX7" s="272">
        <v>1361819</v>
      </c>
      <c r="CY7" s="272">
        <v>17040</v>
      </c>
      <c r="CZ7" s="455">
        <f t="shared" si="10"/>
        <v>0</v>
      </c>
      <c r="DA7" s="272">
        <v>0</v>
      </c>
      <c r="DB7" s="272">
        <v>0</v>
      </c>
      <c r="DC7" s="272">
        <v>19039445</v>
      </c>
      <c r="DD7" s="272">
        <v>3459054</v>
      </c>
      <c r="DE7" s="272">
        <v>14856760</v>
      </c>
      <c r="DF7" s="272">
        <v>581731</v>
      </c>
      <c r="DG7" s="272">
        <v>141900</v>
      </c>
      <c r="DH7" s="272">
        <v>0</v>
      </c>
      <c r="DI7" s="272">
        <v>9377360</v>
      </c>
      <c r="DJ7" s="272">
        <v>2325297</v>
      </c>
      <c r="DK7" s="272">
        <v>0</v>
      </c>
      <c r="DL7" s="272">
        <v>7052063</v>
      </c>
      <c r="DM7" s="272">
        <v>511298</v>
      </c>
      <c r="DN7" s="272">
        <v>411298</v>
      </c>
      <c r="DO7" s="272">
        <v>144500</v>
      </c>
      <c r="DP7" s="272">
        <v>266798</v>
      </c>
      <c r="DQ7" s="272">
        <v>1242205</v>
      </c>
      <c r="DR7" s="272">
        <v>0</v>
      </c>
      <c r="DS7" s="272">
        <v>0</v>
      </c>
      <c r="DT7" s="272">
        <v>8165537</v>
      </c>
      <c r="DU7" s="272">
        <v>4660091</v>
      </c>
      <c r="DV7" s="455">
        <f t="shared" si="11"/>
        <v>0</v>
      </c>
      <c r="DW7" s="272">
        <v>0</v>
      </c>
      <c r="DX7" s="272">
        <v>0</v>
      </c>
      <c r="DY7" s="457" t="s">
        <v>646</v>
      </c>
      <c r="DZ7" s="272">
        <v>2696867</v>
      </c>
      <c r="EA7" s="272">
        <v>767476</v>
      </c>
      <c r="EB7" s="272"/>
      <c r="EC7" s="272">
        <v>0</v>
      </c>
      <c r="ED7" s="272">
        <v>105167808</v>
      </c>
      <c r="EF7" s="272">
        <v>2267830</v>
      </c>
      <c r="EG7" s="272">
        <v>1279343</v>
      </c>
      <c r="EH7" s="272">
        <v>988487</v>
      </c>
      <c r="EI7" s="272">
        <v>-196096</v>
      </c>
      <c r="EJ7" s="272">
        <v>1868336</v>
      </c>
      <c r="EL7" s="272">
        <v>409837</v>
      </c>
      <c r="EM7" s="272">
        <v>403193</v>
      </c>
      <c r="EN7" s="272">
        <v>260865</v>
      </c>
      <c r="EO7" s="272">
        <v>36987</v>
      </c>
      <c r="EP7" s="455">
        <f t="shared" si="12"/>
        <v>3994001</v>
      </c>
      <c r="EQ7" s="272">
        <v>79322474</v>
      </c>
      <c r="ER7" s="272">
        <v>-4217262</v>
      </c>
      <c r="ES7" s="272">
        <v>27428301</v>
      </c>
      <c r="ET7" s="272">
        <v>21250082</v>
      </c>
      <c r="EU7" s="272">
        <v>2941563</v>
      </c>
      <c r="EV7" s="272">
        <v>7763646</v>
      </c>
      <c r="EW7" s="455">
        <f t="shared" si="13"/>
        <v>12104787</v>
      </c>
      <c r="EX7" s="272">
        <v>12104787</v>
      </c>
      <c r="EY7" s="272">
        <v>1004651</v>
      </c>
      <c r="EZ7" s="272">
        <v>10713205</v>
      </c>
      <c r="FA7" s="272">
        <v>0</v>
      </c>
      <c r="FB7" s="272"/>
      <c r="FC7" s="272">
        <v>8105442</v>
      </c>
      <c r="FD7" s="272">
        <v>6467884</v>
      </c>
      <c r="FE7" s="272">
        <v>2001512</v>
      </c>
      <c r="FF7" s="272">
        <v>7821462</v>
      </c>
      <c r="FG7" s="455">
        <f t="shared" si="14"/>
        <v>8764870</v>
      </c>
      <c r="FH7" s="272">
        <v>81397955</v>
      </c>
      <c r="FI7" s="384">
        <f t="shared" si="15"/>
        <v>1.5</v>
      </c>
      <c r="FJ7" s="272">
        <v>66026165</v>
      </c>
      <c r="FK7" s="272"/>
      <c r="FL7" s="272">
        <v>50036257</v>
      </c>
      <c r="FM7" s="272">
        <v>42964242</v>
      </c>
      <c r="FN7" s="460">
        <v>1.1739999999999999</v>
      </c>
      <c r="FO7" s="388">
        <v>74.7</v>
      </c>
      <c r="FP7" s="388">
        <v>36.1</v>
      </c>
      <c r="FQ7" s="388">
        <v>3.9</v>
      </c>
      <c r="FR7" s="388">
        <v>10.3</v>
      </c>
      <c r="FS7" s="388">
        <v>9.6999999999999993</v>
      </c>
      <c r="FT7" s="388">
        <v>7</v>
      </c>
      <c r="FU7" s="388">
        <v>4.5999999999999996</v>
      </c>
      <c r="FV7" s="388">
        <v>9.1999999999999993</v>
      </c>
      <c r="FW7" s="272">
        <v>60180827</v>
      </c>
      <c r="FX7" s="384">
        <f t="shared" si="16"/>
        <v>91.1</v>
      </c>
      <c r="FY7" s="272">
        <v>49344388</v>
      </c>
      <c r="FZ7" s="272">
        <v>13145349</v>
      </c>
      <c r="GA7" s="272"/>
      <c r="GB7" s="272">
        <v>36199039</v>
      </c>
      <c r="GC7" s="272"/>
      <c r="GD7" s="272">
        <v>27222704</v>
      </c>
      <c r="GE7" s="384">
        <f t="shared" si="17"/>
        <v>41.2</v>
      </c>
      <c r="GF7" s="388">
        <v>98.4</v>
      </c>
      <c r="GG7" s="388">
        <v>32.1</v>
      </c>
      <c r="GH7" s="388">
        <v>95.8</v>
      </c>
      <c r="GI7" s="272">
        <v>3328</v>
      </c>
    </row>
    <row r="8" spans="2:191" x14ac:dyDescent="0.15">
      <c r="B8" s="89" t="s">
        <v>9</v>
      </c>
      <c r="C8" s="272">
        <v>17267583</v>
      </c>
      <c r="D8" s="455">
        <f t="shared" si="0"/>
        <v>8372996</v>
      </c>
      <c r="E8" s="272">
        <v>72344</v>
      </c>
      <c r="F8" s="272">
        <v>8300652</v>
      </c>
      <c r="G8" s="455">
        <f t="shared" si="1"/>
        <v>2137819</v>
      </c>
      <c r="H8" s="272">
        <v>209653</v>
      </c>
      <c r="I8" s="272">
        <v>1928166</v>
      </c>
      <c r="J8" s="272">
        <v>4836946</v>
      </c>
      <c r="K8" s="272">
        <v>2389131</v>
      </c>
      <c r="L8" s="272">
        <v>1620489</v>
      </c>
      <c r="M8" s="272">
        <v>770872</v>
      </c>
      <c r="N8" s="272">
        <v>500726</v>
      </c>
      <c r="O8" s="272">
        <v>1343073</v>
      </c>
      <c r="P8" s="272">
        <v>980989</v>
      </c>
      <c r="Q8" s="272">
        <v>362084</v>
      </c>
      <c r="R8" s="272">
        <v>643906</v>
      </c>
      <c r="S8" s="272">
        <v>405516</v>
      </c>
      <c r="T8" s="455">
        <f t="shared" si="2"/>
        <v>1577206</v>
      </c>
      <c r="U8" s="272">
        <v>1108245</v>
      </c>
      <c r="V8" s="272"/>
      <c r="W8" s="272"/>
      <c r="X8" s="272"/>
      <c r="Y8" s="272">
        <v>137071</v>
      </c>
      <c r="Z8" s="272"/>
      <c r="AA8" s="272">
        <v>331890</v>
      </c>
      <c r="AB8" s="272"/>
      <c r="AC8" s="272">
        <v>261324</v>
      </c>
      <c r="AD8" s="272">
        <v>0</v>
      </c>
      <c r="AE8" s="272">
        <v>261324</v>
      </c>
      <c r="AF8" s="272">
        <v>21851</v>
      </c>
      <c r="AG8" s="272">
        <v>100508</v>
      </c>
      <c r="AH8" s="455">
        <f t="shared" si="3"/>
        <v>573743</v>
      </c>
      <c r="AI8" s="272">
        <v>471553</v>
      </c>
      <c r="AJ8" s="272">
        <v>102190</v>
      </c>
      <c r="AK8" s="272">
        <v>1263520</v>
      </c>
      <c r="AL8" s="455">
        <f t="shared" si="4"/>
        <v>649409</v>
      </c>
      <c r="AM8" s="272">
        <v>459488</v>
      </c>
      <c r="AN8" s="272">
        <v>100398</v>
      </c>
      <c r="AO8" s="272">
        <v>0</v>
      </c>
      <c r="AP8" s="272">
        <v>89523</v>
      </c>
      <c r="AQ8" s="272">
        <v>286933</v>
      </c>
      <c r="AR8" s="272">
        <v>0</v>
      </c>
      <c r="AS8" s="272">
        <v>0</v>
      </c>
      <c r="AT8" s="272">
        <v>1098166</v>
      </c>
      <c r="AU8" s="272">
        <v>239654</v>
      </c>
      <c r="AV8" s="272">
        <v>51229</v>
      </c>
      <c r="AW8" s="272">
        <v>1386</v>
      </c>
      <c r="AX8" s="272">
        <v>858512</v>
      </c>
      <c r="AY8" s="272">
        <v>99477</v>
      </c>
      <c r="AZ8" s="272">
        <v>315446</v>
      </c>
      <c r="BA8" s="272">
        <v>2903</v>
      </c>
      <c r="BB8" s="272">
        <v>211008</v>
      </c>
      <c r="BC8" s="272">
        <v>25738</v>
      </c>
      <c r="BD8" s="272">
        <v>0</v>
      </c>
      <c r="BE8" s="272">
        <v>0</v>
      </c>
      <c r="BF8" s="272">
        <v>23438</v>
      </c>
      <c r="BG8" s="272">
        <v>0</v>
      </c>
      <c r="BH8" s="272">
        <v>42429</v>
      </c>
      <c r="BI8" s="272">
        <v>41620</v>
      </c>
      <c r="BJ8" s="272">
        <v>1321105</v>
      </c>
      <c r="BK8" s="272">
        <v>370631</v>
      </c>
      <c r="BL8" s="272">
        <v>75036</v>
      </c>
      <c r="BM8" s="272">
        <v>628428</v>
      </c>
      <c r="BN8" s="272">
        <v>3771900</v>
      </c>
      <c r="BO8" s="455">
        <f t="shared" si="5"/>
        <v>3771900</v>
      </c>
      <c r="BP8" s="455">
        <f t="shared" si="6"/>
        <v>0</v>
      </c>
      <c r="BQ8" s="272"/>
      <c r="BR8" s="272"/>
      <c r="BS8" s="272"/>
      <c r="BT8" s="272">
        <v>0</v>
      </c>
      <c r="BU8" s="272">
        <v>28495433</v>
      </c>
      <c r="BV8" s="272"/>
      <c r="BW8" s="272">
        <v>8868374</v>
      </c>
      <c r="BX8" s="272">
        <v>6776431</v>
      </c>
      <c r="BY8" s="272">
        <v>403643</v>
      </c>
      <c r="BZ8" s="272">
        <v>179839</v>
      </c>
      <c r="CA8" s="272">
        <v>1748783</v>
      </c>
      <c r="CB8" s="272">
        <v>231692</v>
      </c>
      <c r="CC8" s="272">
        <v>469306</v>
      </c>
      <c r="CD8" s="272">
        <v>400967</v>
      </c>
      <c r="CE8" s="272">
        <v>613152</v>
      </c>
      <c r="CF8" s="272">
        <v>3966</v>
      </c>
      <c r="CG8" s="272">
        <v>29610</v>
      </c>
      <c r="CH8" s="272">
        <v>3374686</v>
      </c>
      <c r="CI8" s="272">
        <v>2073806</v>
      </c>
      <c r="CJ8" s="455">
        <f t="shared" si="7"/>
        <v>1300880</v>
      </c>
      <c r="CK8" s="272">
        <v>2526661</v>
      </c>
      <c r="CL8" s="272">
        <v>952850</v>
      </c>
      <c r="CM8" s="272">
        <v>91301</v>
      </c>
      <c r="CN8" s="272">
        <v>832583</v>
      </c>
      <c r="CO8" s="272">
        <v>650623</v>
      </c>
      <c r="CP8" s="272">
        <v>1309346</v>
      </c>
      <c r="CQ8" s="272">
        <v>0</v>
      </c>
      <c r="CR8" s="272">
        <v>385954</v>
      </c>
      <c r="CS8" s="272">
        <v>307711</v>
      </c>
      <c r="CT8" s="455">
        <f t="shared" si="8"/>
        <v>558401</v>
      </c>
      <c r="CU8" s="272">
        <v>391448</v>
      </c>
      <c r="CV8" s="272">
        <v>166953</v>
      </c>
      <c r="CW8" s="455">
        <f t="shared" si="9"/>
        <v>399140</v>
      </c>
      <c r="CX8" s="272">
        <v>388640</v>
      </c>
      <c r="CY8" s="272">
        <v>10500</v>
      </c>
      <c r="CZ8" s="455">
        <f t="shared" si="10"/>
        <v>0</v>
      </c>
      <c r="DA8" s="272">
        <v>0</v>
      </c>
      <c r="DB8" s="272">
        <v>0</v>
      </c>
      <c r="DC8" s="272">
        <v>6035346</v>
      </c>
      <c r="DD8" s="272">
        <v>772446</v>
      </c>
      <c r="DE8" s="272">
        <v>5171342</v>
      </c>
      <c r="DF8" s="272">
        <v>16522</v>
      </c>
      <c r="DG8" s="272">
        <v>75036</v>
      </c>
      <c r="DH8" s="272">
        <v>3348</v>
      </c>
      <c r="DI8" s="272">
        <v>1232241</v>
      </c>
      <c r="DJ8" s="272">
        <v>134540</v>
      </c>
      <c r="DK8" s="272">
        <v>0</v>
      </c>
      <c r="DL8" s="272">
        <v>1097701</v>
      </c>
      <c r="DM8" s="272">
        <v>111621</v>
      </c>
      <c r="DN8" s="272">
        <v>110041</v>
      </c>
      <c r="DO8" s="272">
        <v>28101</v>
      </c>
      <c r="DP8" s="272">
        <v>81940</v>
      </c>
      <c r="DQ8" s="272">
        <v>356940</v>
      </c>
      <c r="DR8" s="272">
        <v>0</v>
      </c>
      <c r="DS8" s="272">
        <v>0</v>
      </c>
      <c r="DT8" s="272">
        <v>1917274</v>
      </c>
      <c r="DU8" s="272">
        <v>1373642</v>
      </c>
      <c r="DV8" s="455">
        <f t="shared" si="11"/>
        <v>0</v>
      </c>
      <c r="DW8" s="272">
        <v>0</v>
      </c>
      <c r="DX8" s="272">
        <v>0</v>
      </c>
      <c r="DY8" s="457" t="s">
        <v>646</v>
      </c>
      <c r="DZ8" s="272">
        <v>289787</v>
      </c>
      <c r="EA8" s="272">
        <v>249783</v>
      </c>
      <c r="EB8" s="272"/>
      <c r="EC8" s="272">
        <v>0</v>
      </c>
      <c r="ED8" s="272">
        <v>28135243</v>
      </c>
      <c r="EF8" s="272">
        <v>360190</v>
      </c>
      <c r="EG8" s="272">
        <v>180413</v>
      </c>
      <c r="EH8" s="272">
        <v>179777</v>
      </c>
      <c r="EI8" s="272">
        <v>98157</v>
      </c>
      <c r="EJ8" s="272">
        <v>232697</v>
      </c>
      <c r="EL8" s="272">
        <v>104218</v>
      </c>
      <c r="EM8" s="272">
        <v>102427</v>
      </c>
      <c r="EN8" s="272">
        <v>137</v>
      </c>
      <c r="EO8" s="272">
        <v>25610</v>
      </c>
      <c r="EP8" s="455">
        <f t="shared" si="12"/>
        <v>1078517</v>
      </c>
      <c r="EQ8" s="272">
        <v>19771870</v>
      </c>
      <c r="ER8" s="272">
        <v>-1082413</v>
      </c>
      <c r="ES8" s="272">
        <v>8261837</v>
      </c>
      <c r="ET8" s="272">
        <v>6192426</v>
      </c>
      <c r="EU8" s="272">
        <v>650045</v>
      </c>
      <c r="EV8" s="272">
        <v>3324033</v>
      </c>
      <c r="EW8" s="455">
        <f t="shared" si="13"/>
        <v>1763599</v>
      </c>
      <c r="EX8" s="272">
        <v>1763599</v>
      </c>
      <c r="EY8" s="272">
        <v>197727</v>
      </c>
      <c r="EZ8" s="272">
        <v>1549350</v>
      </c>
      <c r="FA8" s="272">
        <v>0</v>
      </c>
      <c r="FB8" s="272"/>
      <c r="FC8" s="272">
        <v>2013681</v>
      </c>
      <c r="FD8" s="272">
        <v>1061756</v>
      </c>
      <c r="FE8" s="272"/>
      <c r="FF8" s="272">
        <v>1842420</v>
      </c>
      <c r="FG8" s="455">
        <f t="shared" si="14"/>
        <v>1576830</v>
      </c>
      <c r="FH8" s="272">
        <v>20494201</v>
      </c>
      <c r="FI8" s="384">
        <f t="shared" si="15"/>
        <v>1.1000000000000001</v>
      </c>
      <c r="FJ8" s="272">
        <v>16450195</v>
      </c>
      <c r="FK8" s="272"/>
      <c r="FL8" s="272">
        <v>12400068</v>
      </c>
      <c r="FM8" s="272">
        <v>11692840</v>
      </c>
      <c r="FN8" s="460">
        <v>1.075</v>
      </c>
      <c r="FO8" s="388">
        <v>89.9</v>
      </c>
      <c r="FP8" s="388">
        <v>43.6</v>
      </c>
      <c r="FQ8" s="388">
        <v>3.5</v>
      </c>
      <c r="FR8" s="388">
        <v>18.100000000000001</v>
      </c>
      <c r="FS8" s="388">
        <v>9.9</v>
      </c>
      <c r="FT8" s="388">
        <v>4.2</v>
      </c>
      <c r="FU8" s="388">
        <v>7.6</v>
      </c>
      <c r="FV8" s="388">
        <v>17.2</v>
      </c>
      <c r="FW8" s="272">
        <v>20315286</v>
      </c>
      <c r="FX8" s="384">
        <f t="shared" si="16"/>
        <v>123.5</v>
      </c>
      <c r="FY8" s="272">
        <v>5846109</v>
      </c>
      <c r="FZ8" s="272">
        <v>643480</v>
      </c>
      <c r="GA8" s="272"/>
      <c r="GB8" s="272">
        <v>5202629</v>
      </c>
      <c r="GC8" s="272"/>
      <c r="GD8" s="272">
        <v>12152879</v>
      </c>
      <c r="GE8" s="384">
        <f t="shared" si="17"/>
        <v>73.900000000000006</v>
      </c>
      <c r="GF8" s="388">
        <v>97.7</v>
      </c>
      <c r="GG8" s="388">
        <v>37.700000000000003</v>
      </c>
      <c r="GH8" s="388">
        <v>95.9</v>
      </c>
      <c r="GI8" s="272">
        <v>985</v>
      </c>
    </row>
    <row r="9" spans="2:191" x14ac:dyDescent="0.15">
      <c r="B9" s="89" t="s">
        <v>11</v>
      </c>
      <c r="C9" s="272">
        <v>61246563</v>
      </c>
      <c r="D9" s="455">
        <f t="shared" si="0"/>
        <v>29046282</v>
      </c>
      <c r="E9" s="272">
        <v>244268</v>
      </c>
      <c r="F9" s="272">
        <v>28802014</v>
      </c>
      <c r="G9" s="455">
        <f t="shared" si="1"/>
        <v>8315475</v>
      </c>
      <c r="H9" s="272">
        <v>739092</v>
      </c>
      <c r="I9" s="272">
        <v>7576383</v>
      </c>
      <c r="J9" s="272">
        <v>16895903</v>
      </c>
      <c r="K9" s="272">
        <v>7533859</v>
      </c>
      <c r="L9" s="272">
        <v>6716485</v>
      </c>
      <c r="M9" s="272">
        <v>2339674</v>
      </c>
      <c r="N9" s="272">
        <v>1383334</v>
      </c>
      <c r="O9" s="272">
        <v>4367828</v>
      </c>
      <c r="P9" s="272">
        <v>2841617</v>
      </c>
      <c r="Q9" s="272">
        <v>1526211</v>
      </c>
      <c r="R9" s="272">
        <v>1677269</v>
      </c>
      <c r="S9" s="272">
        <v>1140863</v>
      </c>
      <c r="T9" s="455">
        <f t="shared" si="2"/>
        <v>4838706</v>
      </c>
      <c r="U9" s="272">
        <v>3779353</v>
      </c>
      <c r="V9" s="272"/>
      <c r="W9" s="272"/>
      <c r="X9" s="272"/>
      <c r="Y9" s="272">
        <v>0</v>
      </c>
      <c r="Z9" s="272"/>
      <c r="AA9" s="272">
        <v>1059353</v>
      </c>
      <c r="AB9" s="272"/>
      <c r="AC9" s="272">
        <v>237350</v>
      </c>
      <c r="AD9" s="272">
        <v>0</v>
      </c>
      <c r="AE9" s="272">
        <v>237350</v>
      </c>
      <c r="AF9" s="272">
        <v>63119</v>
      </c>
      <c r="AG9" s="272">
        <v>1035189</v>
      </c>
      <c r="AH9" s="455">
        <f t="shared" si="3"/>
        <v>1710482</v>
      </c>
      <c r="AI9" s="272">
        <v>1379963</v>
      </c>
      <c r="AJ9" s="272">
        <v>330519</v>
      </c>
      <c r="AK9" s="272">
        <v>7430875</v>
      </c>
      <c r="AL9" s="455">
        <f t="shared" si="4"/>
        <v>3676435</v>
      </c>
      <c r="AM9" s="272">
        <v>2739271</v>
      </c>
      <c r="AN9" s="272">
        <v>632705</v>
      </c>
      <c r="AO9" s="272">
        <v>0</v>
      </c>
      <c r="AP9" s="272">
        <v>304459</v>
      </c>
      <c r="AQ9" s="272">
        <v>1112934</v>
      </c>
      <c r="AR9" s="272">
        <v>0</v>
      </c>
      <c r="AS9" s="272">
        <v>0</v>
      </c>
      <c r="AT9" s="272">
        <v>3404603</v>
      </c>
      <c r="AU9" s="272">
        <v>915696</v>
      </c>
      <c r="AV9" s="272">
        <v>202922</v>
      </c>
      <c r="AW9" s="272">
        <v>153197</v>
      </c>
      <c r="AX9" s="272">
        <v>2488907</v>
      </c>
      <c r="AY9" s="272">
        <v>489890</v>
      </c>
      <c r="AZ9" s="272">
        <v>2598016</v>
      </c>
      <c r="BA9" s="272">
        <v>72020</v>
      </c>
      <c r="BB9" s="272">
        <v>282611</v>
      </c>
      <c r="BC9" s="272">
        <v>1692281</v>
      </c>
      <c r="BD9" s="272">
        <v>0</v>
      </c>
      <c r="BE9" s="272">
        <v>0</v>
      </c>
      <c r="BF9" s="272">
        <v>1690000</v>
      </c>
      <c r="BG9" s="272">
        <v>0</v>
      </c>
      <c r="BH9" s="272">
        <v>5492873</v>
      </c>
      <c r="BI9" s="272">
        <v>2091073</v>
      </c>
      <c r="BJ9" s="272">
        <v>4567586</v>
      </c>
      <c r="BK9" s="272">
        <v>1099315</v>
      </c>
      <c r="BL9" s="272">
        <v>891205</v>
      </c>
      <c r="BM9" s="272">
        <v>886145</v>
      </c>
      <c r="BN9" s="272">
        <v>1028150</v>
      </c>
      <c r="BO9" s="455">
        <f t="shared" si="5"/>
        <v>1028150</v>
      </c>
      <c r="BP9" s="455">
        <f t="shared" si="6"/>
        <v>0</v>
      </c>
      <c r="BQ9" s="272"/>
      <c r="BR9" s="272"/>
      <c r="BS9" s="272"/>
      <c r="BT9" s="272">
        <v>0</v>
      </c>
      <c r="BU9" s="272">
        <v>97305673</v>
      </c>
      <c r="BV9" s="272"/>
      <c r="BW9" s="272">
        <v>23771698</v>
      </c>
      <c r="BX9" s="272">
        <v>18429728</v>
      </c>
      <c r="BY9" s="272">
        <v>714585</v>
      </c>
      <c r="BZ9" s="272">
        <v>1060707</v>
      </c>
      <c r="CA9" s="272">
        <v>8924792</v>
      </c>
      <c r="CB9" s="272">
        <v>1035256</v>
      </c>
      <c r="CC9" s="272">
        <v>1533123</v>
      </c>
      <c r="CD9" s="272">
        <v>1886725</v>
      </c>
      <c r="CE9" s="272">
        <v>3565940</v>
      </c>
      <c r="CF9" s="272">
        <v>553359</v>
      </c>
      <c r="CG9" s="272">
        <v>350389</v>
      </c>
      <c r="CH9" s="272">
        <v>6124500</v>
      </c>
      <c r="CI9" s="272">
        <v>3187396</v>
      </c>
      <c r="CJ9" s="455">
        <f t="shared" si="7"/>
        <v>2937104</v>
      </c>
      <c r="CK9" s="272">
        <v>9361505</v>
      </c>
      <c r="CL9" s="272">
        <v>5084880</v>
      </c>
      <c r="CM9" s="272">
        <v>191092</v>
      </c>
      <c r="CN9" s="272">
        <v>2499184</v>
      </c>
      <c r="CO9" s="272">
        <v>2197666</v>
      </c>
      <c r="CP9" s="272">
        <v>3386781</v>
      </c>
      <c r="CQ9" s="272">
        <v>987</v>
      </c>
      <c r="CR9" s="272">
        <v>1050492</v>
      </c>
      <c r="CS9" s="272">
        <v>650436</v>
      </c>
      <c r="CT9" s="455">
        <f t="shared" si="8"/>
        <v>1275882</v>
      </c>
      <c r="CU9" s="272">
        <v>869728</v>
      </c>
      <c r="CV9" s="272">
        <v>406154</v>
      </c>
      <c r="CW9" s="455">
        <f t="shared" si="9"/>
        <v>1254465</v>
      </c>
      <c r="CX9" s="272">
        <v>848311</v>
      </c>
      <c r="CY9" s="272">
        <v>406154</v>
      </c>
      <c r="CZ9" s="455">
        <f t="shared" si="10"/>
        <v>0</v>
      </c>
      <c r="DA9" s="272">
        <v>0</v>
      </c>
      <c r="DB9" s="272">
        <v>0</v>
      </c>
      <c r="DC9" s="272">
        <v>14570703</v>
      </c>
      <c r="DD9" s="272">
        <v>2648698</v>
      </c>
      <c r="DE9" s="272">
        <v>10907961</v>
      </c>
      <c r="DF9" s="272">
        <v>0</v>
      </c>
      <c r="DG9" s="272">
        <v>1014044</v>
      </c>
      <c r="DH9" s="272">
        <v>0</v>
      </c>
      <c r="DI9" s="272">
        <v>13267267</v>
      </c>
      <c r="DJ9" s="272">
        <v>3157208</v>
      </c>
      <c r="DK9" s="272">
        <v>0</v>
      </c>
      <c r="DL9" s="272">
        <v>10110059</v>
      </c>
      <c r="DM9" s="272">
        <v>564600</v>
      </c>
      <c r="DN9" s="272">
        <v>0</v>
      </c>
      <c r="DO9" s="272">
        <v>0</v>
      </c>
      <c r="DP9" s="272">
        <v>0</v>
      </c>
      <c r="DQ9" s="272">
        <v>1055000</v>
      </c>
      <c r="DR9" s="272">
        <v>0</v>
      </c>
      <c r="DS9" s="272">
        <v>0</v>
      </c>
      <c r="DT9" s="272">
        <v>7875872</v>
      </c>
      <c r="DU9" s="272">
        <v>4666011</v>
      </c>
      <c r="DV9" s="455">
        <f t="shared" si="11"/>
        <v>329429</v>
      </c>
      <c r="DW9" s="272">
        <v>329429</v>
      </c>
      <c r="DX9" s="272">
        <v>0</v>
      </c>
      <c r="DY9" s="457" t="s">
        <v>646</v>
      </c>
      <c r="DZ9" s="272">
        <v>1802329</v>
      </c>
      <c r="EA9" s="272">
        <v>666556</v>
      </c>
      <c r="EB9" s="272"/>
      <c r="EC9" s="272">
        <v>0</v>
      </c>
      <c r="ED9" s="272">
        <v>91100384</v>
      </c>
      <c r="EF9" s="272">
        <v>6205289</v>
      </c>
      <c r="EG9" s="272">
        <v>2824228</v>
      </c>
      <c r="EH9" s="272">
        <v>3381061</v>
      </c>
      <c r="EI9" s="272">
        <v>1289988</v>
      </c>
      <c r="EJ9" s="272">
        <v>4447196</v>
      </c>
      <c r="EL9" s="272">
        <v>345206</v>
      </c>
      <c r="EM9" s="272">
        <v>334554</v>
      </c>
      <c r="EN9" s="272">
        <v>2281</v>
      </c>
      <c r="EO9" s="272">
        <v>83030</v>
      </c>
      <c r="EP9" s="455">
        <f t="shared" si="12"/>
        <v>9526441</v>
      </c>
      <c r="EQ9" s="272">
        <v>68063007</v>
      </c>
      <c r="ER9" s="272">
        <v>-9548633</v>
      </c>
      <c r="ES9" s="272">
        <v>22071746</v>
      </c>
      <c r="ET9" s="272">
        <v>16912259</v>
      </c>
      <c r="EU9" s="272">
        <v>3062172</v>
      </c>
      <c r="EV9" s="272">
        <v>6049585</v>
      </c>
      <c r="EW9" s="455">
        <f t="shared" si="13"/>
        <v>9052949</v>
      </c>
      <c r="EX9" s="272">
        <v>9052949</v>
      </c>
      <c r="EY9" s="272">
        <v>592635</v>
      </c>
      <c r="EZ9" s="272">
        <v>8460314</v>
      </c>
      <c r="FA9" s="272">
        <v>0</v>
      </c>
      <c r="FB9" s="272"/>
      <c r="FC9" s="272">
        <v>7881068</v>
      </c>
      <c r="FD9" s="272">
        <v>2684063</v>
      </c>
      <c r="FE9" s="272">
        <v>987</v>
      </c>
      <c r="FF9" s="272">
        <v>7106968</v>
      </c>
      <c r="FG9" s="455">
        <f t="shared" si="14"/>
        <v>13588668</v>
      </c>
      <c r="FH9" s="272">
        <v>71497219</v>
      </c>
      <c r="FI9" s="384">
        <f t="shared" si="15"/>
        <v>5.9</v>
      </c>
      <c r="FJ9" s="272">
        <v>57344784</v>
      </c>
      <c r="FK9" s="272"/>
      <c r="FL9" s="272">
        <v>43151988</v>
      </c>
      <c r="FM9" s="272">
        <v>35565946</v>
      </c>
      <c r="FN9" s="460">
        <v>1.1970000000000001</v>
      </c>
      <c r="FO9" s="388">
        <v>69.8</v>
      </c>
      <c r="FP9" s="388">
        <v>33.799999999999997</v>
      </c>
      <c r="FQ9" s="388">
        <v>4.7</v>
      </c>
      <c r="FR9" s="388">
        <v>9.3000000000000007</v>
      </c>
      <c r="FS9" s="388">
        <v>11</v>
      </c>
      <c r="FT9" s="388">
        <v>3.3</v>
      </c>
      <c r="FU9" s="388">
        <v>4.7</v>
      </c>
      <c r="FV9" s="388">
        <v>8.3000000000000007</v>
      </c>
      <c r="FW9" s="272">
        <v>43411893</v>
      </c>
      <c r="FX9" s="384">
        <f t="shared" si="16"/>
        <v>75.7</v>
      </c>
      <c r="FY9" s="272">
        <v>38659429</v>
      </c>
      <c r="FZ9" s="272">
        <v>5157208</v>
      </c>
      <c r="GA9" s="272"/>
      <c r="GB9" s="272">
        <v>33502221</v>
      </c>
      <c r="GC9" s="272"/>
      <c r="GD9" s="272">
        <v>29465007</v>
      </c>
      <c r="GE9" s="384">
        <f t="shared" si="17"/>
        <v>51.4</v>
      </c>
      <c r="GF9" s="388">
        <v>98.8</v>
      </c>
      <c r="GG9" s="388">
        <v>25</v>
      </c>
      <c r="GH9" s="388">
        <v>97</v>
      </c>
      <c r="GI9" s="272">
        <v>2726</v>
      </c>
    </row>
    <row r="10" spans="2:191" x14ac:dyDescent="0.15">
      <c r="B10" s="89" t="s">
        <v>13</v>
      </c>
      <c r="C10" s="272">
        <v>9408328</v>
      </c>
      <c r="D10" s="455">
        <f t="shared" si="0"/>
        <v>3302913</v>
      </c>
      <c r="E10" s="272">
        <v>45272</v>
      </c>
      <c r="F10" s="272">
        <v>3257641</v>
      </c>
      <c r="G10" s="455">
        <f t="shared" si="1"/>
        <v>1178818</v>
      </c>
      <c r="H10" s="272">
        <v>148670</v>
      </c>
      <c r="I10" s="272">
        <v>1030148</v>
      </c>
      <c r="J10" s="272">
        <v>3685748</v>
      </c>
      <c r="K10" s="272">
        <v>1874774</v>
      </c>
      <c r="L10" s="272">
        <v>1059993</v>
      </c>
      <c r="M10" s="272">
        <v>499340</v>
      </c>
      <c r="N10" s="272">
        <v>353214</v>
      </c>
      <c r="O10" s="272">
        <v>845544</v>
      </c>
      <c r="P10" s="272">
        <v>604456</v>
      </c>
      <c r="Q10" s="272">
        <v>241088</v>
      </c>
      <c r="R10" s="272">
        <v>462802</v>
      </c>
      <c r="S10" s="272">
        <v>302565</v>
      </c>
      <c r="T10" s="455">
        <f t="shared" si="2"/>
        <v>704899</v>
      </c>
      <c r="U10" s="272">
        <v>473203</v>
      </c>
      <c r="V10" s="272"/>
      <c r="W10" s="272"/>
      <c r="X10" s="272"/>
      <c r="Y10" s="272">
        <v>0</v>
      </c>
      <c r="Z10" s="272"/>
      <c r="AA10" s="272">
        <v>231696</v>
      </c>
      <c r="AB10" s="272"/>
      <c r="AC10" s="272">
        <v>1437042</v>
      </c>
      <c r="AD10" s="272">
        <v>1147982</v>
      </c>
      <c r="AE10" s="272">
        <v>289060</v>
      </c>
      <c r="AF10" s="272">
        <v>17291</v>
      </c>
      <c r="AG10" s="272">
        <v>70751</v>
      </c>
      <c r="AH10" s="455">
        <f t="shared" si="3"/>
        <v>536647</v>
      </c>
      <c r="AI10" s="272">
        <v>508504</v>
      </c>
      <c r="AJ10" s="272">
        <v>28143</v>
      </c>
      <c r="AK10" s="272">
        <v>1567749</v>
      </c>
      <c r="AL10" s="455">
        <f t="shared" si="4"/>
        <v>902847</v>
      </c>
      <c r="AM10" s="272">
        <v>710885</v>
      </c>
      <c r="AN10" s="272">
        <v>130220</v>
      </c>
      <c r="AO10" s="272">
        <v>0</v>
      </c>
      <c r="AP10" s="272">
        <v>61742</v>
      </c>
      <c r="AQ10" s="272">
        <v>127352</v>
      </c>
      <c r="AR10" s="272">
        <v>0</v>
      </c>
      <c r="AS10" s="272">
        <v>0</v>
      </c>
      <c r="AT10" s="272">
        <v>866862</v>
      </c>
      <c r="AU10" s="272">
        <v>190136</v>
      </c>
      <c r="AV10" s="272">
        <v>65110</v>
      </c>
      <c r="AW10" s="272">
        <v>0</v>
      </c>
      <c r="AX10" s="272">
        <v>676726</v>
      </c>
      <c r="AY10" s="272">
        <v>272544</v>
      </c>
      <c r="AZ10" s="272">
        <v>422073</v>
      </c>
      <c r="BA10" s="272">
        <v>224078</v>
      </c>
      <c r="BB10" s="272">
        <v>105804</v>
      </c>
      <c r="BC10" s="272">
        <v>136571</v>
      </c>
      <c r="BD10" s="272">
        <v>0</v>
      </c>
      <c r="BE10" s="272">
        <v>0</v>
      </c>
      <c r="BF10" s="272">
        <v>127048</v>
      </c>
      <c r="BG10" s="272">
        <v>0</v>
      </c>
      <c r="BH10" s="272">
        <v>426830</v>
      </c>
      <c r="BI10" s="272">
        <v>356449</v>
      </c>
      <c r="BJ10" s="272">
        <v>2605512</v>
      </c>
      <c r="BK10" s="272">
        <v>729216</v>
      </c>
      <c r="BL10" s="272">
        <v>1099735</v>
      </c>
      <c r="BM10" s="272">
        <v>531289</v>
      </c>
      <c r="BN10" s="272">
        <v>1637416</v>
      </c>
      <c r="BO10" s="455">
        <f t="shared" si="5"/>
        <v>1637416</v>
      </c>
      <c r="BP10" s="455">
        <f t="shared" si="6"/>
        <v>0</v>
      </c>
      <c r="BQ10" s="272"/>
      <c r="BR10" s="272"/>
      <c r="BS10" s="272"/>
      <c r="BT10" s="272">
        <v>0</v>
      </c>
      <c r="BU10" s="272">
        <v>20406577</v>
      </c>
      <c r="BV10" s="272"/>
      <c r="BW10" s="272">
        <v>5395358</v>
      </c>
      <c r="BX10" s="272">
        <v>4012169</v>
      </c>
      <c r="BY10" s="272">
        <v>305642</v>
      </c>
      <c r="BZ10" s="272">
        <v>139424</v>
      </c>
      <c r="CA10" s="272">
        <v>1897008</v>
      </c>
      <c r="CB10" s="272">
        <v>240293</v>
      </c>
      <c r="CC10" s="272">
        <v>408452</v>
      </c>
      <c r="CD10" s="272">
        <v>326680</v>
      </c>
      <c r="CE10" s="272">
        <v>888748</v>
      </c>
      <c r="CF10" s="272">
        <v>35</v>
      </c>
      <c r="CG10" s="272">
        <v>32460</v>
      </c>
      <c r="CH10" s="272">
        <v>1545580</v>
      </c>
      <c r="CI10" s="272">
        <v>849570</v>
      </c>
      <c r="CJ10" s="455">
        <f t="shared" si="7"/>
        <v>696010</v>
      </c>
      <c r="CK10" s="272">
        <v>1346687</v>
      </c>
      <c r="CL10" s="272">
        <v>580042</v>
      </c>
      <c r="CM10" s="272">
        <v>57001</v>
      </c>
      <c r="CN10" s="272">
        <v>439957</v>
      </c>
      <c r="CO10" s="272">
        <v>124403</v>
      </c>
      <c r="CP10" s="272">
        <v>1693936</v>
      </c>
      <c r="CQ10" s="272">
        <v>815965</v>
      </c>
      <c r="CR10" s="272">
        <v>319348</v>
      </c>
      <c r="CS10" s="272">
        <v>159155</v>
      </c>
      <c r="CT10" s="455">
        <f t="shared" si="8"/>
        <v>274407</v>
      </c>
      <c r="CU10" s="272">
        <v>4063</v>
      </c>
      <c r="CV10" s="272">
        <v>270344</v>
      </c>
      <c r="CW10" s="455">
        <f t="shared" si="9"/>
        <v>258323</v>
      </c>
      <c r="CX10" s="272">
        <v>0</v>
      </c>
      <c r="CY10" s="272">
        <v>258323</v>
      </c>
      <c r="CZ10" s="455">
        <f t="shared" si="10"/>
        <v>0</v>
      </c>
      <c r="DA10" s="272">
        <v>0</v>
      </c>
      <c r="DB10" s="272">
        <v>0</v>
      </c>
      <c r="DC10" s="272">
        <v>4953586</v>
      </c>
      <c r="DD10" s="272">
        <v>1065244</v>
      </c>
      <c r="DE10" s="272">
        <v>2764700</v>
      </c>
      <c r="DF10" s="272">
        <v>23907</v>
      </c>
      <c r="DG10" s="272">
        <v>1099735</v>
      </c>
      <c r="DH10" s="272">
        <v>0</v>
      </c>
      <c r="DI10" s="272">
        <v>924893</v>
      </c>
      <c r="DJ10" s="272">
        <v>331806</v>
      </c>
      <c r="DK10" s="272">
        <v>125000</v>
      </c>
      <c r="DL10" s="272">
        <v>468087</v>
      </c>
      <c r="DM10" s="272">
        <v>136000</v>
      </c>
      <c r="DN10" s="272">
        <v>0</v>
      </c>
      <c r="DO10" s="272">
        <v>0</v>
      </c>
      <c r="DP10" s="272">
        <v>0</v>
      </c>
      <c r="DQ10" s="272">
        <v>710710</v>
      </c>
      <c r="DR10" s="272">
        <v>0</v>
      </c>
      <c r="DS10" s="272">
        <v>0</v>
      </c>
      <c r="DT10" s="272">
        <v>1358219</v>
      </c>
      <c r="DU10" s="272">
        <v>1029044</v>
      </c>
      <c r="DV10" s="455">
        <f t="shared" si="11"/>
        <v>0</v>
      </c>
      <c r="DW10" s="272">
        <v>0</v>
      </c>
      <c r="DX10" s="272">
        <v>0</v>
      </c>
      <c r="DY10" s="457" t="s">
        <v>646</v>
      </c>
      <c r="DZ10" s="272">
        <v>142341</v>
      </c>
      <c r="EA10" s="272">
        <v>181439</v>
      </c>
      <c r="EB10" s="272"/>
      <c r="EC10" s="272">
        <v>0</v>
      </c>
      <c r="ED10" s="272">
        <v>20086380</v>
      </c>
      <c r="EF10" s="272">
        <v>320197</v>
      </c>
      <c r="EG10" s="272">
        <v>78996</v>
      </c>
      <c r="EH10" s="272">
        <v>241201</v>
      </c>
      <c r="EI10" s="272">
        <v>-115248</v>
      </c>
      <c r="EJ10" s="272">
        <v>216558</v>
      </c>
      <c r="EL10" s="272">
        <v>67035</v>
      </c>
      <c r="EM10" s="272">
        <v>67034</v>
      </c>
      <c r="EN10" s="272">
        <v>9523</v>
      </c>
      <c r="EO10" s="272">
        <v>235727</v>
      </c>
      <c r="EP10" s="455">
        <f t="shared" si="12"/>
        <v>1497562</v>
      </c>
      <c r="EQ10" s="272">
        <v>12030362</v>
      </c>
      <c r="ER10" s="272">
        <v>-1725521</v>
      </c>
      <c r="ES10" s="272">
        <v>4914531</v>
      </c>
      <c r="ET10" s="272">
        <v>3567605</v>
      </c>
      <c r="EU10" s="272">
        <v>631127</v>
      </c>
      <c r="EV10" s="272">
        <v>1499183</v>
      </c>
      <c r="EW10" s="455">
        <f t="shared" si="13"/>
        <v>1527664</v>
      </c>
      <c r="EX10" s="272">
        <v>1527664</v>
      </c>
      <c r="EY10" s="272">
        <v>79132</v>
      </c>
      <c r="EZ10" s="272">
        <v>1436925</v>
      </c>
      <c r="FA10" s="272">
        <v>0</v>
      </c>
      <c r="FB10" s="272"/>
      <c r="FC10" s="272">
        <v>1225883</v>
      </c>
      <c r="FD10" s="272">
        <v>1566522</v>
      </c>
      <c r="FE10" s="272">
        <v>815965</v>
      </c>
      <c r="FF10" s="272">
        <v>1330214</v>
      </c>
      <c r="FG10" s="455">
        <f t="shared" si="14"/>
        <v>780424</v>
      </c>
      <c r="FH10" s="272">
        <v>13475548</v>
      </c>
      <c r="FI10" s="384">
        <f t="shared" si="15"/>
        <v>2.2999999999999998</v>
      </c>
      <c r="FJ10" s="272">
        <v>10307791</v>
      </c>
      <c r="FK10" s="272"/>
      <c r="FL10" s="272">
        <v>6912005</v>
      </c>
      <c r="FM10" s="272">
        <v>8059063</v>
      </c>
      <c r="FN10" s="460">
        <v>0.86699999999999999</v>
      </c>
      <c r="FO10" s="388">
        <v>89.9</v>
      </c>
      <c r="FP10" s="388">
        <v>43</v>
      </c>
      <c r="FQ10" s="388">
        <v>5.7</v>
      </c>
      <c r="FR10" s="388">
        <v>13.6</v>
      </c>
      <c r="FS10" s="388">
        <v>9.1</v>
      </c>
      <c r="FT10" s="388">
        <v>8.6</v>
      </c>
      <c r="FU10" s="388">
        <v>8.8000000000000007</v>
      </c>
      <c r="FV10" s="388">
        <v>13.1</v>
      </c>
      <c r="FW10" s="272">
        <v>11915893</v>
      </c>
      <c r="FX10" s="384">
        <f t="shared" si="16"/>
        <v>115.6</v>
      </c>
      <c r="FY10" s="272">
        <v>3215864</v>
      </c>
      <c r="FZ10" s="272">
        <v>731806</v>
      </c>
      <c r="GA10" s="272">
        <v>425000</v>
      </c>
      <c r="GB10" s="272">
        <v>2059058</v>
      </c>
      <c r="GC10" s="272"/>
      <c r="GD10" s="272">
        <v>6594042</v>
      </c>
      <c r="GE10" s="384">
        <f t="shared" si="17"/>
        <v>64</v>
      </c>
      <c r="GF10" s="388">
        <v>98.3</v>
      </c>
      <c r="GG10" s="388">
        <v>33.4</v>
      </c>
      <c r="GH10" s="388">
        <v>95.9</v>
      </c>
      <c r="GI10" s="272">
        <v>617</v>
      </c>
    </row>
    <row r="11" spans="2:191" x14ac:dyDescent="0.15">
      <c r="B11" s="89" t="s">
        <v>15</v>
      </c>
      <c r="C11" s="272">
        <v>51132562</v>
      </c>
      <c r="D11" s="455">
        <f t="shared" si="0"/>
        <v>23030184</v>
      </c>
      <c r="E11" s="272">
        <v>249020</v>
      </c>
      <c r="F11" s="272">
        <v>22781164</v>
      </c>
      <c r="G11" s="455">
        <f t="shared" si="1"/>
        <v>6682192</v>
      </c>
      <c r="H11" s="272">
        <v>563261</v>
      </c>
      <c r="I11" s="272">
        <v>6118931</v>
      </c>
      <c r="J11" s="272">
        <v>14844878</v>
      </c>
      <c r="K11" s="272">
        <v>7747473</v>
      </c>
      <c r="L11" s="272">
        <v>4940115</v>
      </c>
      <c r="M11" s="272">
        <v>2036663</v>
      </c>
      <c r="N11" s="272">
        <v>1298873</v>
      </c>
      <c r="O11" s="272">
        <v>3527948</v>
      </c>
      <c r="P11" s="272">
        <v>2548629</v>
      </c>
      <c r="Q11" s="272">
        <v>979319</v>
      </c>
      <c r="R11" s="272">
        <v>1676025</v>
      </c>
      <c r="S11" s="272">
        <v>1100513</v>
      </c>
      <c r="T11" s="455">
        <f t="shared" si="2"/>
        <v>4448699</v>
      </c>
      <c r="U11" s="272">
        <v>3182131</v>
      </c>
      <c r="V11" s="272"/>
      <c r="W11" s="272"/>
      <c r="X11" s="272"/>
      <c r="Y11" s="272">
        <v>129713</v>
      </c>
      <c r="Z11" s="272"/>
      <c r="AA11" s="272">
        <v>1136855</v>
      </c>
      <c r="AB11" s="272"/>
      <c r="AC11" s="272">
        <v>331521</v>
      </c>
      <c r="AD11" s="272">
        <v>0</v>
      </c>
      <c r="AE11" s="272">
        <v>331521</v>
      </c>
      <c r="AF11" s="272">
        <v>71036</v>
      </c>
      <c r="AG11" s="272">
        <v>1035908</v>
      </c>
      <c r="AH11" s="455">
        <f t="shared" si="3"/>
        <v>1415897</v>
      </c>
      <c r="AI11" s="272">
        <v>906707</v>
      </c>
      <c r="AJ11" s="272">
        <v>509190</v>
      </c>
      <c r="AK11" s="272">
        <v>7025476</v>
      </c>
      <c r="AL11" s="455">
        <f t="shared" si="4"/>
        <v>2725761</v>
      </c>
      <c r="AM11" s="272">
        <v>2084586</v>
      </c>
      <c r="AN11" s="272">
        <v>421814</v>
      </c>
      <c r="AO11" s="272">
        <v>0</v>
      </c>
      <c r="AP11" s="272">
        <v>219361</v>
      </c>
      <c r="AQ11" s="272">
        <v>3105711</v>
      </c>
      <c r="AR11" s="272">
        <v>0</v>
      </c>
      <c r="AS11" s="272">
        <v>0</v>
      </c>
      <c r="AT11" s="272">
        <v>4951519</v>
      </c>
      <c r="AU11" s="272">
        <v>2582140</v>
      </c>
      <c r="AV11" s="272">
        <v>210908</v>
      </c>
      <c r="AW11" s="272">
        <v>39327</v>
      </c>
      <c r="AX11" s="272">
        <v>2369379</v>
      </c>
      <c r="AY11" s="272">
        <v>495904</v>
      </c>
      <c r="AZ11" s="272">
        <v>1911655</v>
      </c>
      <c r="BA11" s="272">
        <v>406425</v>
      </c>
      <c r="BB11" s="272">
        <v>1655125</v>
      </c>
      <c r="BC11" s="272">
        <v>676758</v>
      </c>
      <c r="BD11" s="272">
        <v>0</v>
      </c>
      <c r="BE11" s="272">
        <v>0</v>
      </c>
      <c r="BF11" s="272">
        <v>450000</v>
      </c>
      <c r="BG11" s="272">
        <v>0</v>
      </c>
      <c r="BH11" s="272">
        <v>671640</v>
      </c>
      <c r="BI11" s="272">
        <v>516426</v>
      </c>
      <c r="BJ11" s="272">
        <v>4135703</v>
      </c>
      <c r="BK11" s="272">
        <v>2544085</v>
      </c>
      <c r="BL11" s="272">
        <v>140640</v>
      </c>
      <c r="BM11" s="272">
        <v>885973</v>
      </c>
      <c r="BN11" s="272">
        <v>4029000</v>
      </c>
      <c r="BO11" s="455">
        <f t="shared" si="5"/>
        <v>4029000</v>
      </c>
      <c r="BP11" s="455">
        <f t="shared" si="6"/>
        <v>0</v>
      </c>
      <c r="BQ11" s="272"/>
      <c r="BR11" s="272"/>
      <c r="BS11" s="272"/>
      <c r="BT11" s="272">
        <v>0</v>
      </c>
      <c r="BU11" s="272">
        <v>85168524</v>
      </c>
      <c r="BV11" s="272"/>
      <c r="BW11" s="272">
        <v>23272815</v>
      </c>
      <c r="BX11" s="272">
        <v>18490324</v>
      </c>
      <c r="BY11" s="272">
        <v>576099</v>
      </c>
      <c r="BZ11" s="272">
        <v>626919</v>
      </c>
      <c r="CA11" s="272">
        <v>6000311</v>
      </c>
      <c r="CB11" s="272">
        <v>376265</v>
      </c>
      <c r="CC11" s="272">
        <v>1245896</v>
      </c>
      <c r="CD11" s="272">
        <v>1583511</v>
      </c>
      <c r="CE11" s="272">
        <v>2674256</v>
      </c>
      <c r="CF11" s="272">
        <v>2775</v>
      </c>
      <c r="CG11" s="272">
        <v>116008</v>
      </c>
      <c r="CH11" s="272">
        <v>7032042</v>
      </c>
      <c r="CI11" s="272">
        <v>4158362</v>
      </c>
      <c r="CJ11" s="455">
        <f t="shared" si="7"/>
        <v>2873680</v>
      </c>
      <c r="CK11" s="272">
        <v>8540287</v>
      </c>
      <c r="CL11" s="272">
        <v>4039833</v>
      </c>
      <c r="CM11" s="272">
        <v>163015</v>
      </c>
      <c r="CN11" s="272">
        <v>2869038</v>
      </c>
      <c r="CO11" s="272">
        <v>1443582</v>
      </c>
      <c r="CP11" s="272">
        <v>4117529</v>
      </c>
      <c r="CQ11" s="272">
        <v>45811</v>
      </c>
      <c r="CR11" s="272">
        <v>2773215</v>
      </c>
      <c r="CS11" s="272">
        <v>2696248</v>
      </c>
      <c r="CT11" s="455">
        <f t="shared" si="8"/>
        <v>1300770</v>
      </c>
      <c r="CU11" s="272">
        <v>84985</v>
      </c>
      <c r="CV11" s="272">
        <v>1215785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19580275</v>
      </c>
      <c r="DD11" s="272">
        <v>7577682</v>
      </c>
      <c r="DE11" s="272">
        <v>9504440</v>
      </c>
      <c r="DF11" s="272">
        <v>447268</v>
      </c>
      <c r="DG11" s="272">
        <v>2050885</v>
      </c>
      <c r="DH11" s="272">
        <v>927</v>
      </c>
      <c r="DI11" s="272">
        <v>6539788</v>
      </c>
      <c r="DJ11" s="272">
        <v>468861</v>
      </c>
      <c r="DK11" s="272">
        <v>31611</v>
      </c>
      <c r="DL11" s="272">
        <v>6039316</v>
      </c>
      <c r="DM11" s="272">
        <v>212454</v>
      </c>
      <c r="DN11" s="272">
        <v>0</v>
      </c>
      <c r="DO11" s="272">
        <v>0</v>
      </c>
      <c r="DP11" s="272">
        <v>0</v>
      </c>
      <c r="DQ11" s="272">
        <v>2408083</v>
      </c>
      <c r="DR11" s="272">
        <v>0</v>
      </c>
      <c r="DS11" s="272">
        <v>0</v>
      </c>
      <c r="DT11" s="272">
        <v>5122631</v>
      </c>
      <c r="DU11" s="272">
        <v>3125449</v>
      </c>
      <c r="DV11" s="455">
        <f t="shared" si="11"/>
        <v>0</v>
      </c>
      <c r="DW11" s="272">
        <v>0</v>
      </c>
      <c r="DX11" s="272">
        <v>0</v>
      </c>
      <c r="DY11" s="457" t="s">
        <v>646</v>
      </c>
      <c r="DZ11" s="272">
        <v>1051367</v>
      </c>
      <c r="EA11" s="272">
        <v>740981</v>
      </c>
      <c r="EB11" s="272"/>
      <c r="EC11" s="272">
        <v>0</v>
      </c>
      <c r="ED11" s="272">
        <v>84270724</v>
      </c>
      <c r="EF11" s="272">
        <v>897800</v>
      </c>
      <c r="EG11" s="272">
        <v>177766</v>
      </c>
      <c r="EH11" s="272">
        <v>720034</v>
      </c>
      <c r="EI11" s="272">
        <v>203608</v>
      </c>
      <c r="EJ11" s="272">
        <v>672469</v>
      </c>
      <c r="EL11" s="272">
        <v>359867</v>
      </c>
      <c r="EM11" s="272">
        <v>357956</v>
      </c>
      <c r="EN11" s="272">
        <v>0</v>
      </c>
      <c r="EO11" s="272">
        <v>411339</v>
      </c>
      <c r="EP11" s="455">
        <f t="shared" si="12"/>
        <v>3295529</v>
      </c>
      <c r="EQ11" s="272">
        <v>57659843</v>
      </c>
      <c r="ER11" s="272">
        <v>-3635832</v>
      </c>
      <c r="ES11" s="272">
        <v>21239792</v>
      </c>
      <c r="ET11" s="272">
        <v>16516933</v>
      </c>
      <c r="EU11" s="272">
        <v>1434062</v>
      </c>
      <c r="EV11" s="272">
        <v>6769671</v>
      </c>
      <c r="EW11" s="455">
        <f t="shared" si="13"/>
        <v>8682161</v>
      </c>
      <c r="EX11" s="272">
        <v>8681234</v>
      </c>
      <c r="EY11" s="272">
        <v>1451342</v>
      </c>
      <c r="EZ11" s="272">
        <v>7201624</v>
      </c>
      <c r="FA11" s="272">
        <v>927</v>
      </c>
      <c r="FB11" s="272"/>
      <c r="FC11" s="272">
        <v>7206258</v>
      </c>
      <c r="FD11" s="272">
        <v>3803566</v>
      </c>
      <c r="FE11" s="272">
        <v>45811</v>
      </c>
      <c r="FF11" s="272">
        <v>4865335</v>
      </c>
      <c r="FG11" s="455">
        <f t="shared" si="14"/>
        <v>6397030</v>
      </c>
      <c r="FH11" s="272">
        <v>60397875</v>
      </c>
      <c r="FI11" s="384">
        <f t="shared" si="15"/>
        <v>1.5</v>
      </c>
      <c r="FJ11" s="272">
        <v>49163497</v>
      </c>
      <c r="FK11" s="272"/>
      <c r="FL11" s="272">
        <v>37024775</v>
      </c>
      <c r="FM11" s="272">
        <v>36313380</v>
      </c>
      <c r="FN11" s="460">
        <v>1.008</v>
      </c>
      <c r="FO11" s="388">
        <v>79.599999999999994</v>
      </c>
      <c r="FP11" s="388">
        <v>39.1</v>
      </c>
      <c r="FQ11" s="388">
        <v>2.7</v>
      </c>
      <c r="FR11" s="388">
        <v>12.5</v>
      </c>
      <c r="FS11" s="388">
        <v>13</v>
      </c>
      <c r="FT11" s="388">
        <v>6</v>
      </c>
      <c r="FU11" s="388">
        <v>4</v>
      </c>
      <c r="FV11" s="388">
        <v>8.1</v>
      </c>
      <c r="FW11" s="272">
        <v>48551575</v>
      </c>
      <c r="FX11" s="384">
        <f t="shared" si="16"/>
        <v>98.8</v>
      </c>
      <c r="FY11" s="272">
        <v>24817652</v>
      </c>
      <c r="FZ11" s="272">
        <v>1698456</v>
      </c>
      <c r="GA11" s="272">
        <v>440653</v>
      </c>
      <c r="GB11" s="272">
        <v>22678543</v>
      </c>
      <c r="GC11" s="272"/>
      <c r="GD11" s="272">
        <v>15641332</v>
      </c>
      <c r="GE11" s="384">
        <f t="shared" si="17"/>
        <v>31.8</v>
      </c>
      <c r="GF11" s="388">
        <v>99.2</v>
      </c>
      <c r="GG11" s="388">
        <v>43.5</v>
      </c>
      <c r="GH11" s="388">
        <v>98</v>
      </c>
      <c r="GI11" s="272">
        <v>2666</v>
      </c>
    </row>
    <row r="12" spans="2:191" x14ac:dyDescent="0.15">
      <c r="B12" s="89" t="s">
        <v>17</v>
      </c>
      <c r="C12" s="272">
        <v>8564399</v>
      </c>
      <c r="D12" s="455">
        <f t="shared" si="0"/>
        <v>3310498</v>
      </c>
      <c r="E12" s="272">
        <v>50708</v>
      </c>
      <c r="F12" s="272">
        <v>3259790</v>
      </c>
      <c r="G12" s="455">
        <f t="shared" si="1"/>
        <v>1018203</v>
      </c>
      <c r="H12" s="272">
        <v>124931</v>
      </c>
      <c r="I12" s="272">
        <v>893272</v>
      </c>
      <c r="J12" s="272">
        <v>2959688</v>
      </c>
      <c r="K12" s="272">
        <v>1445000</v>
      </c>
      <c r="L12" s="272">
        <v>983597</v>
      </c>
      <c r="M12" s="272">
        <v>459715</v>
      </c>
      <c r="N12" s="272">
        <v>417970</v>
      </c>
      <c r="O12" s="272">
        <v>638164</v>
      </c>
      <c r="P12" s="272">
        <v>433743</v>
      </c>
      <c r="Q12" s="272">
        <v>204421</v>
      </c>
      <c r="R12" s="272">
        <v>457399</v>
      </c>
      <c r="S12" s="272">
        <v>322368</v>
      </c>
      <c r="T12" s="455">
        <f t="shared" si="2"/>
        <v>733884</v>
      </c>
      <c r="U12" s="272">
        <v>466960</v>
      </c>
      <c r="V12" s="272"/>
      <c r="W12" s="272"/>
      <c r="X12" s="272"/>
      <c r="Y12" s="272">
        <v>0</v>
      </c>
      <c r="Z12" s="272"/>
      <c r="AA12" s="272">
        <v>266924</v>
      </c>
      <c r="AB12" s="272"/>
      <c r="AC12" s="272">
        <v>2529511</v>
      </c>
      <c r="AD12" s="272">
        <v>2161331</v>
      </c>
      <c r="AE12" s="272">
        <v>368180</v>
      </c>
      <c r="AF12" s="272">
        <v>19230</v>
      </c>
      <c r="AG12" s="272">
        <v>768377</v>
      </c>
      <c r="AH12" s="455">
        <f t="shared" si="3"/>
        <v>272988</v>
      </c>
      <c r="AI12" s="272">
        <v>236921</v>
      </c>
      <c r="AJ12" s="272">
        <v>36067</v>
      </c>
      <c r="AK12" s="272">
        <v>1860593</v>
      </c>
      <c r="AL12" s="455">
        <f t="shared" si="4"/>
        <v>980064</v>
      </c>
      <c r="AM12" s="272">
        <v>711175</v>
      </c>
      <c r="AN12" s="272">
        <v>221994</v>
      </c>
      <c r="AO12" s="272">
        <v>0</v>
      </c>
      <c r="AP12" s="272">
        <v>46895</v>
      </c>
      <c r="AQ12" s="272">
        <v>352592</v>
      </c>
      <c r="AR12" s="272">
        <v>0</v>
      </c>
      <c r="AS12" s="272">
        <v>0</v>
      </c>
      <c r="AT12" s="272">
        <v>2191070</v>
      </c>
      <c r="AU12" s="272">
        <v>353158</v>
      </c>
      <c r="AV12" s="272">
        <v>110997</v>
      </c>
      <c r="AW12" s="272">
        <v>50869</v>
      </c>
      <c r="AX12" s="272">
        <v>1837912</v>
      </c>
      <c r="AY12" s="272">
        <v>870503</v>
      </c>
      <c r="AZ12" s="272">
        <v>213687</v>
      </c>
      <c r="BA12" s="272">
        <v>18923</v>
      </c>
      <c r="BB12" s="272">
        <v>241050</v>
      </c>
      <c r="BC12" s="272">
        <v>648303</v>
      </c>
      <c r="BD12" s="272">
        <v>0</v>
      </c>
      <c r="BE12" s="272">
        <v>0</v>
      </c>
      <c r="BF12" s="272">
        <v>550000</v>
      </c>
      <c r="BG12" s="272">
        <v>0</v>
      </c>
      <c r="BH12" s="272">
        <v>529378</v>
      </c>
      <c r="BI12" s="272">
        <v>90081</v>
      </c>
      <c r="BJ12" s="272">
        <v>2323408</v>
      </c>
      <c r="BK12" s="272">
        <v>31226</v>
      </c>
      <c r="BL12" s="272">
        <v>1560449</v>
      </c>
      <c r="BM12" s="272">
        <v>542569</v>
      </c>
      <c r="BN12" s="272">
        <v>2940000</v>
      </c>
      <c r="BO12" s="455">
        <f t="shared" si="5"/>
        <v>2940000</v>
      </c>
      <c r="BP12" s="455">
        <f t="shared" si="6"/>
        <v>0</v>
      </c>
      <c r="BQ12" s="272"/>
      <c r="BR12" s="272"/>
      <c r="BS12" s="272"/>
      <c r="BT12" s="272">
        <v>0</v>
      </c>
      <c r="BU12" s="272">
        <v>24293277</v>
      </c>
      <c r="BV12" s="272"/>
      <c r="BW12" s="272">
        <v>5916157</v>
      </c>
      <c r="BX12" s="272">
        <v>4375022</v>
      </c>
      <c r="BY12" s="272">
        <v>297262</v>
      </c>
      <c r="BZ12" s="272">
        <v>210445</v>
      </c>
      <c r="CA12" s="272">
        <v>2253418</v>
      </c>
      <c r="CB12" s="272">
        <v>279542</v>
      </c>
      <c r="CC12" s="272">
        <v>413690</v>
      </c>
      <c r="CD12" s="272">
        <v>650169</v>
      </c>
      <c r="CE12" s="272">
        <v>877079</v>
      </c>
      <c r="CF12" s="272">
        <v>362</v>
      </c>
      <c r="CG12" s="272">
        <v>32576</v>
      </c>
      <c r="CH12" s="272">
        <v>1783858</v>
      </c>
      <c r="CI12" s="272">
        <v>827958</v>
      </c>
      <c r="CJ12" s="455">
        <f t="shared" si="7"/>
        <v>955900</v>
      </c>
      <c r="CK12" s="272">
        <v>1416514</v>
      </c>
      <c r="CL12" s="272">
        <v>493671</v>
      </c>
      <c r="CM12" s="272">
        <v>73944</v>
      </c>
      <c r="CN12" s="272">
        <v>532831</v>
      </c>
      <c r="CO12" s="272">
        <v>95954</v>
      </c>
      <c r="CP12" s="272">
        <v>2106661</v>
      </c>
      <c r="CQ12" s="272">
        <v>420320</v>
      </c>
      <c r="CR12" s="272">
        <v>497500</v>
      </c>
      <c r="CS12" s="272">
        <v>379895</v>
      </c>
      <c r="CT12" s="455">
        <f t="shared" si="8"/>
        <v>693782</v>
      </c>
      <c r="CU12" s="272">
        <v>115935</v>
      </c>
      <c r="CV12" s="272">
        <v>577847</v>
      </c>
      <c r="CW12" s="455">
        <f t="shared" si="9"/>
        <v>683133</v>
      </c>
      <c r="CX12" s="272">
        <v>105286</v>
      </c>
      <c r="CY12" s="272">
        <v>577847</v>
      </c>
      <c r="CZ12" s="455">
        <f t="shared" si="10"/>
        <v>0</v>
      </c>
      <c r="DA12" s="272">
        <v>0</v>
      </c>
      <c r="DB12" s="272">
        <v>0</v>
      </c>
      <c r="DC12" s="272">
        <v>8375837</v>
      </c>
      <c r="DD12" s="272">
        <v>1637141</v>
      </c>
      <c r="DE12" s="272">
        <v>5374705</v>
      </c>
      <c r="DF12" s="272">
        <v>1121</v>
      </c>
      <c r="DG12" s="272">
        <v>1362870</v>
      </c>
      <c r="DH12" s="272">
        <v>339</v>
      </c>
      <c r="DI12" s="272">
        <v>1128096</v>
      </c>
      <c r="DJ12" s="272">
        <v>58014</v>
      </c>
      <c r="DK12" s="272">
        <v>300000</v>
      </c>
      <c r="DL12" s="272">
        <v>770082</v>
      </c>
      <c r="DM12" s="272">
        <v>6500</v>
      </c>
      <c r="DN12" s="272">
        <v>0</v>
      </c>
      <c r="DO12" s="272">
        <v>0</v>
      </c>
      <c r="DP12" s="272">
        <v>0</v>
      </c>
      <c r="DQ12" s="272">
        <v>7090</v>
      </c>
      <c r="DR12" s="272">
        <v>0</v>
      </c>
      <c r="DS12" s="272">
        <v>0</v>
      </c>
      <c r="DT12" s="272">
        <v>919387</v>
      </c>
      <c r="DU12" s="272">
        <v>308200</v>
      </c>
      <c r="DV12" s="455">
        <f t="shared" si="11"/>
        <v>0</v>
      </c>
      <c r="DW12" s="272">
        <v>0</v>
      </c>
      <c r="DX12" s="272">
        <v>0</v>
      </c>
      <c r="DY12" s="457" t="s">
        <v>646</v>
      </c>
      <c r="DZ12" s="272">
        <v>385495</v>
      </c>
      <c r="EA12" s="272">
        <v>211157</v>
      </c>
      <c r="EB12" s="272"/>
      <c r="EC12" s="272">
        <v>0</v>
      </c>
      <c r="ED12" s="272">
        <v>24009811</v>
      </c>
      <c r="EF12" s="272">
        <v>283466</v>
      </c>
      <c r="EG12" s="272">
        <v>226097</v>
      </c>
      <c r="EH12" s="272">
        <v>57369</v>
      </c>
      <c r="EI12" s="272">
        <v>-32712</v>
      </c>
      <c r="EJ12" s="272">
        <v>25302</v>
      </c>
      <c r="EL12" s="272">
        <v>79234</v>
      </c>
      <c r="EM12" s="272">
        <v>78538</v>
      </c>
      <c r="EN12" s="272">
        <v>550000</v>
      </c>
      <c r="EO12" s="272">
        <v>61595</v>
      </c>
      <c r="EP12" s="455">
        <f t="shared" si="12"/>
        <v>1616644</v>
      </c>
      <c r="EQ12" s="272">
        <v>12304423</v>
      </c>
      <c r="ER12" s="272">
        <v>-2209009</v>
      </c>
      <c r="ES12" s="272">
        <v>5534612</v>
      </c>
      <c r="ET12" s="272">
        <v>4091760</v>
      </c>
      <c r="EU12" s="272">
        <v>677888</v>
      </c>
      <c r="EV12" s="272">
        <v>1721877</v>
      </c>
      <c r="EW12" s="455">
        <f t="shared" si="13"/>
        <v>1731575</v>
      </c>
      <c r="EX12" s="272">
        <v>1731542</v>
      </c>
      <c r="EY12" s="272">
        <v>269525</v>
      </c>
      <c r="EZ12" s="272">
        <v>1440612</v>
      </c>
      <c r="FA12" s="272">
        <v>33</v>
      </c>
      <c r="FB12" s="272"/>
      <c r="FC12" s="272">
        <v>1108982</v>
      </c>
      <c r="FD12" s="272">
        <v>1914122</v>
      </c>
      <c r="FE12" s="272">
        <v>420320</v>
      </c>
      <c r="FF12" s="272">
        <v>829841</v>
      </c>
      <c r="FG12" s="455">
        <f t="shared" si="14"/>
        <v>983621</v>
      </c>
      <c r="FH12" s="272">
        <v>14502518</v>
      </c>
      <c r="FI12" s="384">
        <f t="shared" si="15"/>
        <v>0.5</v>
      </c>
      <c r="FJ12" s="272">
        <v>10492938</v>
      </c>
      <c r="FK12" s="272"/>
      <c r="FL12" s="272">
        <v>6285119</v>
      </c>
      <c r="FM12" s="272">
        <v>8449411</v>
      </c>
      <c r="FN12" s="460">
        <v>0.73399999999999999</v>
      </c>
      <c r="FO12" s="388">
        <v>86.2</v>
      </c>
      <c r="FP12" s="388">
        <v>47.2</v>
      </c>
      <c r="FQ12" s="388">
        <v>5.8</v>
      </c>
      <c r="FR12" s="388">
        <v>15.1</v>
      </c>
      <c r="FS12" s="388">
        <v>7.8</v>
      </c>
      <c r="FT12" s="388">
        <v>7.5</v>
      </c>
      <c r="FU12" s="388">
        <v>2.1</v>
      </c>
      <c r="FV12" s="388">
        <v>13.9</v>
      </c>
      <c r="FW12" s="272">
        <v>17508250</v>
      </c>
      <c r="FX12" s="384">
        <f t="shared" si="16"/>
        <v>166.9</v>
      </c>
      <c r="FY12" s="272">
        <v>4065160</v>
      </c>
      <c r="FZ12" s="272">
        <v>336931</v>
      </c>
      <c r="GA12" s="272">
        <v>479711</v>
      </c>
      <c r="GB12" s="272">
        <v>3248518</v>
      </c>
      <c r="GC12" s="272"/>
      <c r="GD12" s="272">
        <v>7684702</v>
      </c>
      <c r="GE12" s="384">
        <f t="shared" si="17"/>
        <v>73.2</v>
      </c>
      <c r="GF12" s="388">
        <v>98.3</v>
      </c>
      <c r="GG12" s="388">
        <v>29.8</v>
      </c>
      <c r="GH12" s="388">
        <v>95.5</v>
      </c>
      <c r="GI12" s="272">
        <v>680</v>
      </c>
    </row>
    <row r="13" spans="2:191" x14ac:dyDescent="0.15">
      <c r="B13" s="89" t="s">
        <v>19</v>
      </c>
      <c r="C13" s="272">
        <v>25449211</v>
      </c>
      <c r="D13" s="455">
        <f t="shared" si="0"/>
        <v>7611105</v>
      </c>
      <c r="E13" s="272">
        <v>110806</v>
      </c>
      <c r="F13" s="272">
        <v>7500299</v>
      </c>
      <c r="G13" s="455">
        <f t="shared" si="1"/>
        <v>5567407</v>
      </c>
      <c r="H13" s="272">
        <v>296295</v>
      </c>
      <c r="I13" s="272">
        <v>5271112</v>
      </c>
      <c r="J13" s="272">
        <v>8333509</v>
      </c>
      <c r="K13" s="272">
        <v>3797409</v>
      </c>
      <c r="L13" s="272">
        <v>2732306</v>
      </c>
      <c r="M13" s="272">
        <v>1578360</v>
      </c>
      <c r="N13" s="272">
        <v>991008</v>
      </c>
      <c r="O13" s="272">
        <v>1906681</v>
      </c>
      <c r="P13" s="272">
        <v>1272869</v>
      </c>
      <c r="Q13" s="272">
        <v>633812</v>
      </c>
      <c r="R13" s="272">
        <v>906620</v>
      </c>
      <c r="S13" s="272">
        <v>673743</v>
      </c>
      <c r="T13" s="455">
        <f t="shared" si="2"/>
        <v>1528519</v>
      </c>
      <c r="U13" s="272">
        <v>1068808</v>
      </c>
      <c r="V13" s="272"/>
      <c r="W13" s="272"/>
      <c r="X13" s="272"/>
      <c r="Y13" s="272">
        <v>0</v>
      </c>
      <c r="Z13" s="272"/>
      <c r="AA13" s="272">
        <v>459711</v>
      </c>
      <c r="AB13" s="272"/>
      <c r="AC13" s="272">
        <v>1220189</v>
      </c>
      <c r="AD13" s="272">
        <v>790280</v>
      </c>
      <c r="AE13" s="272">
        <v>429909</v>
      </c>
      <c r="AF13" s="272">
        <v>34213</v>
      </c>
      <c r="AG13" s="272">
        <v>2720672</v>
      </c>
      <c r="AH13" s="455">
        <f t="shared" si="3"/>
        <v>756212</v>
      </c>
      <c r="AI13" s="272">
        <v>662283</v>
      </c>
      <c r="AJ13" s="272">
        <v>93929</v>
      </c>
      <c r="AK13" s="272">
        <v>3523429</v>
      </c>
      <c r="AL13" s="455">
        <f t="shared" si="4"/>
        <v>2652656</v>
      </c>
      <c r="AM13" s="272">
        <v>2090128</v>
      </c>
      <c r="AN13" s="272">
        <v>375944</v>
      </c>
      <c r="AO13" s="272">
        <v>0</v>
      </c>
      <c r="AP13" s="272">
        <v>186584</v>
      </c>
      <c r="AQ13" s="272">
        <v>385947</v>
      </c>
      <c r="AR13" s="272">
        <v>0</v>
      </c>
      <c r="AS13" s="272">
        <v>0</v>
      </c>
      <c r="AT13" s="272">
        <v>1414465</v>
      </c>
      <c r="AU13" s="272">
        <v>496337</v>
      </c>
      <c r="AV13" s="272">
        <v>144542</v>
      </c>
      <c r="AW13" s="272">
        <v>0</v>
      </c>
      <c r="AX13" s="272">
        <v>918128</v>
      </c>
      <c r="AY13" s="272">
        <v>73964</v>
      </c>
      <c r="AZ13" s="272">
        <v>2486937</v>
      </c>
      <c r="BA13" s="272">
        <v>2001012</v>
      </c>
      <c r="BB13" s="272">
        <v>327950</v>
      </c>
      <c r="BC13" s="272">
        <v>1500</v>
      </c>
      <c r="BD13" s="272">
        <v>0</v>
      </c>
      <c r="BE13" s="272">
        <v>0</v>
      </c>
      <c r="BF13" s="272">
        <v>1500</v>
      </c>
      <c r="BG13" s="272">
        <v>0</v>
      </c>
      <c r="BH13" s="272">
        <v>0</v>
      </c>
      <c r="BI13" s="272">
        <v>0</v>
      </c>
      <c r="BJ13" s="272">
        <v>1412809</v>
      </c>
      <c r="BK13" s="272">
        <v>94856</v>
      </c>
      <c r="BL13" s="272">
        <v>0</v>
      </c>
      <c r="BM13" s="272">
        <v>688585</v>
      </c>
      <c r="BN13" s="272">
        <v>3719300</v>
      </c>
      <c r="BO13" s="455">
        <f t="shared" si="5"/>
        <v>3719300</v>
      </c>
      <c r="BP13" s="455">
        <f t="shared" si="6"/>
        <v>0</v>
      </c>
      <c r="BQ13" s="272"/>
      <c r="BR13" s="272"/>
      <c r="BS13" s="272"/>
      <c r="BT13" s="272">
        <v>0</v>
      </c>
      <c r="BU13" s="272">
        <v>45502026</v>
      </c>
      <c r="BV13" s="272"/>
      <c r="BW13" s="272">
        <v>14428809</v>
      </c>
      <c r="BX13" s="272">
        <v>10858646</v>
      </c>
      <c r="BY13" s="272">
        <v>737495</v>
      </c>
      <c r="BZ13" s="272">
        <v>585467</v>
      </c>
      <c r="CA13" s="272">
        <v>7373990</v>
      </c>
      <c r="CB13" s="272">
        <v>440680</v>
      </c>
      <c r="CC13" s="272">
        <v>818694</v>
      </c>
      <c r="CD13" s="272">
        <v>607501</v>
      </c>
      <c r="CE13" s="272">
        <v>2761341</v>
      </c>
      <c r="CF13" s="272">
        <v>2619880</v>
      </c>
      <c r="CG13" s="272">
        <v>125664</v>
      </c>
      <c r="CH13" s="272">
        <v>3830481</v>
      </c>
      <c r="CI13" s="272">
        <v>2054663</v>
      </c>
      <c r="CJ13" s="455">
        <f t="shared" si="7"/>
        <v>1775818</v>
      </c>
      <c r="CK13" s="272">
        <v>2636560</v>
      </c>
      <c r="CL13" s="272">
        <v>1035738</v>
      </c>
      <c r="CM13" s="272">
        <v>48207</v>
      </c>
      <c r="CN13" s="272">
        <v>970304</v>
      </c>
      <c r="CO13" s="272">
        <v>304220</v>
      </c>
      <c r="CP13" s="272">
        <v>2845327</v>
      </c>
      <c r="CQ13" s="272">
        <v>1759403</v>
      </c>
      <c r="CR13" s="272">
        <v>420403</v>
      </c>
      <c r="CS13" s="272">
        <v>286470</v>
      </c>
      <c r="CT13" s="455">
        <f t="shared" si="8"/>
        <v>17801</v>
      </c>
      <c r="CU13" s="272">
        <v>17801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7529221</v>
      </c>
      <c r="DD13" s="272">
        <v>874966</v>
      </c>
      <c r="DE13" s="272">
        <v>6513470</v>
      </c>
      <c r="DF13" s="272">
        <v>0</v>
      </c>
      <c r="DG13" s="272">
        <v>0</v>
      </c>
      <c r="DH13" s="272">
        <v>0</v>
      </c>
      <c r="DI13" s="272">
        <v>1376788</v>
      </c>
      <c r="DJ13" s="272">
        <v>641174</v>
      </c>
      <c r="DK13" s="272">
        <v>0</v>
      </c>
      <c r="DL13" s="272">
        <v>735614</v>
      </c>
      <c r="DM13" s="272">
        <v>0</v>
      </c>
      <c r="DN13" s="272">
        <v>0</v>
      </c>
      <c r="DO13" s="272">
        <v>0</v>
      </c>
      <c r="DP13" s="272">
        <v>0</v>
      </c>
      <c r="DQ13" s="272">
        <v>93437</v>
      </c>
      <c r="DR13" s="272">
        <v>0</v>
      </c>
      <c r="DS13" s="272">
        <v>0</v>
      </c>
      <c r="DT13" s="272">
        <v>3405591</v>
      </c>
      <c r="DU13" s="272">
        <v>2436157</v>
      </c>
      <c r="DV13" s="455">
        <f t="shared" si="11"/>
        <v>0</v>
      </c>
      <c r="DW13" s="272">
        <v>0</v>
      </c>
      <c r="DX13" s="272">
        <v>0</v>
      </c>
      <c r="DY13" s="457" t="s">
        <v>646</v>
      </c>
      <c r="DZ13" s="272">
        <v>503982</v>
      </c>
      <c r="EA13" s="272">
        <v>444895</v>
      </c>
      <c r="EB13" s="272"/>
      <c r="EC13" s="272">
        <v>83755</v>
      </c>
      <c r="ED13" s="272">
        <v>43908179</v>
      </c>
      <c r="EF13" s="272">
        <v>1593847</v>
      </c>
      <c r="EG13" s="272">
        <v>46491</v>
      </c>
      <c r="EH13" s="272">
        <v>1547356</v>
      </c>
      <c r="EI13" s="272">
        <v>1676432</v>
      </c>
      <c r="EJ13" s="272">
        <v>2317606</v>
      </c>
      <c r="EL13" s="272">
        <v>157372</v>
      </c>
      <c r="EM13" s="272">
        <v>156486</v>
      </c>
      <c r="EN13" s="272">
        <v>0</v>
      </c>
      <c r="EO13" s="272">
        <v>73649</v>
      </c>
      <c r="EP13" s="455">
        <f t="shared" si="12"/>
        <v>1662291</v>
      </c>
      <c r="EQ13" s="272">
        <v>29138752</v>
      </c>
      <c r="ER13" s="272">
        <v>-1701727</v>
      </c>
      <c r="ES13" s="272">
        <v>13230677</v>
      </c>
      <c r="ET13" s="272">
        <v>9696497</v>
      </c>
      <c r="EU13" s="272">
        <v>1469084</v>
      </c>
      <c r="EV13" s="272">
        <v>3723850</v>
      </c>
      <c r="EW13" s="455">
        <f t="shared" si="13"/>
        <v>1688636</v>
      </c>
      <c r="EX13" s="272">
        <v>1688636</v>
      </c>
      <c r="EY13" s="272">
        <v>158859</v>
      </c>
      <c r="EZ13" s="272">
        <v>1500292</v>
      </c>
      <c r="FA13" s="272">
        <v>0</v>
      </c>
      <c r="FB13" s="272"/>
      <c r="FC13" s="272">
        <v>2180905</v>
      </c>
      <c r="FD13" s="272">
        <v>2692146</v>
      </c>
      <c r="FE13" s="272">
        <v>1759403</v>
      </c>
      <c r="FF13" s="272">
        <v>3252604</v>
      </c>
      <c r="FG13" s="455">
        <f t="shared" si="14"/>
        <v>1008730</v>
      </c>
      <c r="FH13" s="272">
        <v>29246632</v>
      </c>
      <c r="FI13" s="384">
        <f t="shared" si="15"/>
        <v>6.4</v>
      </c>
      <c r="FJ13" s="272">
        <v>24305351</v>
      </c>
      <c r="FK13" s="272"/>
      <c r="FL13" s="272">
        <v>17699696</v>
      </c>
      <c r="FM13" s="272">
        <v>18487313</v>
      </c>
      <c r="FN13" s="460">
        <v>0.93100000000000005</v>
      </c>
      <c r="FO13" s="388">
        <v>92.9</v>
      </c>
      <c r="FP13" s="388">
        <v>46.2</v>
      </c>
      <c r="FQ13" s="388">
        <v>5.2</v>
      </c>
      <c r="FR13" s="388">
        <v>13.6</v>
      </c>
      <c r="FS13" s="388">
        <v>7.5</v>
      </c>
      <c r="FT13" s="388">
        <v>8.8000000000000007</v>
      </c>
      <c r="FU13" s="388">
        <v>10.4</v>
      </c>
      <c r="FV13" s="388">
        <v>13</v>
      </c>
      <c r="FW13" s="272">
        <v>30251873</v>
      </c>
      <c r="FX13" s="384">
        <f t="shared" si="16"/>
        <v>124.5</v>
      </c>
      <c r="FY13" s="272">
        <v>7248789</v>
      </c>
      <c r="FZ13" s="272">
        <v>3807296</v>
      </c>
      <c r="GA13" s="272"/>
      <c r="GB13" s="272">
        <v>3441493</v>
      </c>
      <c r="GC13" s="272"/>
      <c r="GD13" s="272">
        <v>9727945</v>
      </c>
      <c r="GE13" s="384">
        <f t="shared" si="17"/>
        <v>40</v>
      </c>
      <c r="GF13" s="388">
        <v>98.1</v>
      </c>
      <c r="GG13" s="388">
        <v>30.3</v>
      </c>
      <c r="GH13" s="388">
        <v>94.9</v>
      </c>
      <c r="GI13" s="272">
        <v>1634</v>
      </c>
    </row>
    <row r="14" spans="2:191" x14ac:dyDescent="0.15">
      <c r="B14" s="89" t="s">
        <v>21</v>
      </c>
      <c r="C14" s="272">
        <v>56791088</v>
      </c>
      <c r="D14" s="455">
        <f t="shared" si="0"/>
        <v>26028707</v>
      </c>
      <c r="E14" s="272">
        <v>260678</v>
      </c>
      <c r="F14" s="272">
        <v>25768029</v>
      </c>
      <c r="G14" s="455">
        <f t="shared" si="1"/>
        <v>6483168</v>
      </c>
      <c r="H14" s="272">
        <v>465569</v>
      </c>
      <c r="I14" s="272">
        <v>6017599</v>
      </c>
      <c r="J14" s="272">
        <v>16718240</v>
      </c>
      <c r="K14" s="272">
        <v>8264409</v>
      </c>
      <c r="L14" s="272">
        <v>5928533</v>
      </c>
      <c r="M14" s="272">
        <v>2131869</v>
      </c>
      <c r="N14" s="272">
        <v>1442930</v>
      </c>
      <c r="O14" s="272">
        <v>4379832</v>
      </c>
      <c r="P14" s="272">
        <v>3072803</v>
      </c>
      <c r="Q14" s="272">
        <v>1307029</v>
      </c>
      <c r="R14" s="272">
        <v>1712886</v>
      </c>
      <c r="S14" s="272">
        <v>1144403</v>
      </c>
      <c r="T14" s="455">
        <f t="shared" si="2"/>
        <v>4929737</v>
      </c>
      <c r="U14" s="272">
        <v>3599319</v>
      </c>
      <c r="V14" s="272"/>
      <c r="W14" s="272"/>
      <c r="X14" s="272"/>
      <c r="Y14" s="272">
        <v>207851</v>
      </c>
      <c r="Z14" s="272"/>
      <c r="AA14" s="272">
        <v>1122567</v>
      </c>
      <c r="AB14" s="272"/>
      <c r="AC14" s="272">
        <v>382731</v>
      </c>
      <c r="AD14" s="272">
        <v>212565</v>
      </c>
      <c r="AE14" s="272">
        <v>170166</v>
      </c>
      <c r="AF14" s="272">
        <v>74308</v>
      </c>
      <c r="AG14" s="272">
        <v>1153853</v>
      </c>
      <c r="AH14" s="455">
        <f t="shared" si="3"/>
        <v>1384059</v>
      </c>
      <c r="AI14" s="272">
        <v>1049395</v>
      </c>
      <c r="AJ14" s="272">
        <v>334664</v>
      </c>
      <c r="AK14" s="272">
        <v>7320765</v>
      </c>
      <c r="AL14" s="455">
        <f t="shared" si="4"/>
        <v>4632111</v>
      </c>
      <c r="AM14" s="272">
        <v>3594507</v>
      </c>
      <c r="AN14" s="272">
        <v>732076</v>
      </c>
      <c r="AO14" s="272">
        <v>0</v>
      </c>
      <c r="AP14" s="272">
        <v>305528</v>
      </c>
      <c r="AQ14" s="272">
        <v>1302919</v>
      </c>
      <c r="AR14" s="272">
        <v>0</v>
      </c>
      <c r="AS14" s="272">
        <v>0</v>
      </c>
      <c r="AT14" s="272">
        <v>3306684</v>
      </c>
      <c r="AU14" s="272">
        <v>1334757</v>
      </c>
      <c r="AV14" s="272">
        <v>366038</v>
      </c>
      <c r="AW14" s="272">
        <v>82434</v>
      </c>
      <c r="AX14" s="272">
        <v>1971927</v>
      </c>
      <c r="AY14" s="272">
        <v>102876</v>
      </c>
      <c r="AZ14" s="272">
        <v>1133102</v>
      </c>
      <c r="BA14" s="272">
        <v>226735</v>
      </c>
      <c r="BB14" s="272">
        <v>675088</v>
      </c>
      <c r="BC14" s="272">
        <v>1815715</v>
      </c>
      <c r="BD14" s="272">
        <v>0</v>
      </c>
      <c r="BE14" s="272">
        <v>91495</v>
      </c>
      <c r="BF14" s="272">
        <v>395514</v>
      </c>
      <c r="BG14" s="470">
        <v>20000</v>
      </c>
      <c r="BH14" s="272">
        <v>1980014</v>
      </c>
      <c r="BI14" s="272">
        <v>1090720</v>
      </c>
      <c r="BJ14" s="272">
        <v>6292864</v>
      </c>
      <c r="BK14" s="272">
        <v>4009031</v>
      </c>
      <c r="BL14" s="272">
        <v>0</v>
      </c>
      <c r="BM14" s="272">
        <v>843005</v>
      </c>
      <c r="BN14" s="272">
        <v>2968200</v>
      </c>
      <c r="BO14" s="455">
        <f t="shared" si="5"/>
        <v>2968200</v>
      </c>
      <c r="BP14" s="455">
        <f t="shared" si="6"/>
        <v>0</v>
      </c>
      <c r="BQ14" s="272"/>
      <c r="BR14" s="272"/>
      <c r="BS14" s="272"/>
      <c r="BT14" s="272">
        <v>0</v>
      </c>
      <c r="BU14" s="272">
        <v>91921094</v>
      </c>
      <c r="BV14" s="272"/>
      <c r="BW14" s="272">
        <v>23756483</v>
      </c>
      <c r="BX14" s="272">
        <v>18068445</v>
      </c>
      <c r="BY14" s="272">
        <v>965084</v>
      </c>
      <c r="BZ14" s="272">
        <v>1198782</v>
      </c>
      <c r="CA14" s="272">
        <v>10202971</v>
      </c>
      <c r="CB14" s="272">
        <v>904477</v>
      </c>
      <c r="CC14" s="272">
        <v>1499779</v>
      </c>
      <c r="CD14" s="272">
        <v>2743553</v>
      </c>
      <c r="CE14" s="272">
        <v>4812208</v>
      </c>
      <c r="CF14" s="272">
        <v>78</v>
      </c>
      <c r="CG14" s="272">
        <v>240843</v>
      </c>
      <c r="CH14" s="272">
        <v>8273763</v>
      </c>
      <c r="CI14" s="272">
        <v>3828583</v>
      </c>
      <c r="CJ14" s="455">
        <f t="shared" si="7"/>
        <v>4445180</v>
      </c>
      <c r="CK14" s="272">
        <v>6451567</v>
      </c>
      <c r="CL14" s="272">
        <v>2111017</v>
      </c>
      <c r="CM14" s="272">
        <v>467169</v>
      </c>
      <c r="CN14" s="272">
        <v>2417863</v>
      </c>
      <c r="CO14" s="272">
        <v>1744342</v>
      </c>
      <c r="CP14" s="272">
        <v>7987525</v>
      </c>
      <c r="CQ14" s="272">
        <v>3338905</v>
      </c>
      <c r="CR14" s="272">
        <v>1454053</v>
      </c>
      <c r="CS14" s="272">
        <v>1264572</v>
      </c>
      <c r="CT14" s="455">
        <f t="shared" si="8"/>
        <v>1156746</v>
      </c>
      <c r="CU14" s="272">
        <v>826659</v>
      </c>
      <c r="CV14" s="272">
        <v>330087</v>
      </c>
      <c r="CW14" s="455">
        <f t="shared" si="9"/>
        <v>996491</v>
      </c>
      <c r="CX14" s="272">
        <v>799383</v>
      </c>
      <c r="CY14" s="272">
        <v>197108</v>
      </c>
      <c r="CZ14" s="455">
        <f t="shared" si="10"/>
        <v>0</v>
      </c>
      <c r="DA14" s="272">
        <v>0</v>
      </c>
      <c r="DB14" s="272">
        <v>0</v>
      </c>
      <c r="DC14" s="272">
        <v>13278892</v>
      </c>
      <c r="DD14" s="272">
        <v>2845530</v>
      </c>
      <c r="DE14" s="272">
        <v>10180754</v>
      </c>
      <c r="DF14" s="272">
        <v>200328</v>
      </c>
      <c r="DG14" s="272">
        <v>52280</v>
      </c>
      <c r="DH14" s="272">
        <v>0</v>
      </c>
      <c r="DI14" s="272">
        <v>6159277</v>
      </c>
      <c r="DJ14" s="272">
        <v>1831969</v>
      </c>
      <c r="DK14" s="272">
        <v>1450407</v>
      </c>
      <c r="DL14" s="272">
        <v>2876901</v>
      </c>
      <c r="DM14" s="272">
        <v>0</v>
      </c>
      <c r="DN14" s="272">
        <v>0</v>
      </c>
      <c r="DO14" s="272">
        <v>0</v>
      </c>
      <c r="DP14" s="272">
        <v>0</v>
      </c>
      <c r="DQ14" s="272">
        <v>4570000</v>
      </c>
      <c r="DR14" s="272">
        <v>500000</v>
      </c>
      <c r="DS14" s="272">
        <v>500000</v>
      </c>
      <c r="DT14" s="272">
        <v>7043742</v>
      </c>
      <c r="DU14" s="272">
        <v>5231517</v>
      </c>
      <c r="DV14" s="455">
        <f t="shared" si="11"/>
        <v>13639</v>
      </c>
      <c r="DW14" s="272">
        <v>13639</v>
      </c>
      <c r="DX14" s="272">
        <v>0</v>
      </c>
      <c r="DY14" s="457" t="s">
        <v>646</v>
      </c>
      <c r="DZ14" s="272">
        <v>1024443</v>
      </c>
      <c r="EA14" s="272">
        <v>763523</v>
      </c>
      <c r="EB14" s="272"/>
      <c r="EC14" s="272">
        <v>0</v>
      </c>
      <c r="ED14" s="272">
        <v>89468562</v>
      </c>
      <c r="EF14" s="272">
        <v>2452532</v>
      </c>
      <c r="EG14" s="272">
        <v>804750</v>
      </c>
      <c r="EH14" s="272">
        <v>1647782</v>
      </c>
      <c r="EI14" s="272">
        <v>557062</v>
      </c>
      <c r="EJ14" s="272">
        <v>2389031</v>
      </c>
      <c r="EL14" s="272">
        <v>390788</v>
      </c>
      <c r="EM14" s="272">
        <v>388161</v>
      </c>
      <c r="EN14" s="272">
        <v>1800405</v>
      </c>
      <c r="EO14" s="272">
        <v>150503</v>
      </c>
      <c r="EP14" s="455">
        <f t="shared" si="12"/>
        <v>3260170</v>
      </c>
      <c r="EQ14" s="272">
        <v>63890750</v>
      </c>
      <c r="ER14" s="272">
        <v>-5136770</v>
      </c>
      <c r="ES14" s="272">
        <v>22135460</v>
      </c>
      <c r="ET14" s="272">
        <v>16521594</v>
      </c>
      <c r="EU14" s="272">
        <v>3070660</v>
      </c>
      <c r="EV14" s="272">
        <v>8030873</v>
      </c>
      <c r="EW14" s="455">
        <f t="shared" si="13"/>
        <v>7505722</v>
      </c>
      <c r="EX14" s="272">
        <v>7505722</v>
      </c>
      <c r="EY14" s="272">
        <v>323998</v>
      </c>
      <c r="EZ14" s="272">
        <v>7173896</v>
      </c>
      <c r="FA14" s="272">
        <v>0</v>
      </c>
      <c r="FB14" s="272"/>
      <c r="FC14" s="272">
        <v>5210914</v>
      </c>
      <c r="FD14" s="272">
        <v>7390501</v>
      </c>
      <c r="FE14" s="272">
        <v>3338905</v>
      </c>
      <c r="FF14" s="272">
        <v>6817347</v>
      </c>
      <c r="FG14" s="455">
        <f t="shared" si="14"/>
        <v>6421511</v>
      </c>
      <c r="FH14" s="272">
        <v>66582988</v>
      </c>
      <c r="FI14" s="384">
        <f t="shared" si="15"/>
        <v>3.1</v>
      </c>
      <c r="FJ14" s="272">
        <v>53838990</v>
      </c>
      <c r="FK14" s="272"/>
      <c r="FL14" s="272">
        <v>40374721</v>
      </c>
      <c r="FM14" s="272">
        <v>40621633</v>
      </c>
      <c r="FN14" s="460">
        <v>0.99399999999999999</v>
      </c>
      <c r="FO14" s="388">
        <v>80.099999999999994</v>
      </c>
      <c r="FP14" s="388">
        <v>36.6</v>
      </c>
      <c r="FQ14" s="388">
        <v>5.0999999999999996</v>
      </c>
      <c r="FR14" s="388">
        <v>13.4</v>
      </c>
      <c r="FS14" s="388">
        <v>8</v>
      </c>
      <c r="FT14" s="388">
        <v>11.1</v>
      </c>
      <c r="FU14" s="388">
        <v>3.3</v>
      </c>
      <c r="FV14" s="388">
        <v>10.4</v>
      </c>
      <c r="FW14" s="272">
        <v>69091421</v>
      </c>
      <c r="FX14" s="384">
        <f t="shared" si="16"/>
        <v>128.30000000000001</v>
      </c>
      <c r="FY14" s="272">
        <v>18108841</v>
      </c>
      <c r="FZ14" s="272">
        <v>3172011</v>
      </c>
      <c r="GA14" s="272">
        <v>2782669</v>
      </c>
      <c r="GB14" s="272">
        <v>12154161</v>
      </c>
      <c r="GC14" s="272"/>
      <c r="GD14" s="272">
        <v>20153303</v>
      </c>
      <c r="GE14" s="384">
        <f t="shared" si="17"/>
        <v>37.4</v>
      </c>
      <c r="GF14" s="388">
        <v>98.4</v>
      </c>
      <c r="GG14" s="388">
        <v>31.3</v>
      </c>
      <c r="GH14" s="388">
        <v>95.7</v>
      </c>
      <c r="GI14" s="272">
        <v>2714</v>
      </c>
    </row>
    <row r="15" spans="2:191" x14ac:dyDescent="0.15">
      <c r="B15" s="89" t="s">
        <v>23</v>
      </c>
      <c r="C15" s="272">
        <v>43398976</v>
      </c>
      <c r="D15" s="455">
        <f t="shared" si="0"/>
        <v>17472950</v>
      </c>
      <c r="E15" s="272">
        <v>179744</v>
      </c>
      <c r="F15" s="272">
        <v>17293206</v>
      </c>
      <c r="G15" s="455">
        <f t="shared" si="1"/>
        <v>7388011</v>
      </c>
      <c r="H15" s="272">
        <v>538347</v>
      </c>
      <c r="I15" s="272">
        <v>6849664</v>
      </c>
      <c r="J15" s="272">
        <v>13528435</v>
      </c>
      <c r="K15" s="272">
        <v>6526871</v>
      </c>
      <c r="L15" s="272">
        <v>4725108</v>
      </c>
      <c r="M15" s="272">
        <v>2088978</v>
      </c>
      <c r="N15" s="272">
        <v>1089296</v>
      </c>
      <c r="O15" s="272">
        <v>2962795</v>
      </c>
      <c r="P15" s="272">
        <v>1996792</v>
      </c>
      <c r="Q15" s="272">
        <v>966003</v>
      </c>
      <c r="R15" s="272">
        <v>1314259</v>
      </c>
      <c r="S15" s="272">
        <v>908341</v>
      </c>
      <c r="T15" s="455">
        <f t="shared" si="2"/>
        <v>3443969</v>
      </c>
      <c r="U15" s="272">
        <v>2434945</v>
      </c>
      <c r="V15" s="272"/>
      <c r="W15" s="272"/>
      <c r="X15" s="272"/>
      <c r="Y15" s="272">
        <v>207730</v>
      </c>
      <c r="Z15" s="272"/>
      <c r="AA15" s="272">
        <v>801294</v>
      </c>
      <c r="AB15" s="272"/>
      <c r="AC15" s="272">
        <v>226522</v>
      </c>
      <c r="AD15" s="272">
        <v>0</v>
      </c>
      <c r="AE15" s="272">
        <v>226522</v>
      </c>
      <c r="AF15" s="272">
        <v>53963</v>
      </c>
      <c r="AG15" s="272">
        <v>297693</v>
      </c>
      <c r="AH15" s="455">
        <f t="shared" si="3"/>
        <v>1468690</v>
      </c>
      <c r="AI15" s="272">
        <v>1190184</v>
      </c>
      <c r="AJ15" s="272">
        <v>278506</v>
      </c>
      <c r="AK15" s="272">
        <v>3918795</v>
      </c>
      <c r="AL15" s="455">
        <f t="shared" si="4"/>
        <v>2141338</v>
      </c>
      <c r="AM15" s="272">
        <v>1611630</v>
      </c>
      <c r="AN15" s="272">
        <v>362818</v>
      </c>
      <c r="AO15" s="272">
        <v>0</v>
      </c>
      <c r="AP15" s="272">
        <v>166890</v>
      </c>
      <c r="AQ15" s="272">
        <v>947485</v>
      </c>
      <c r="AR15" s="272">
        <v>0</v>
      </c>
      <c r="AS15" s="272">
        <v>0</v>
      </c>
      <c r="AT15" s="272">
        <v>2839631</v>
      </c>
      <c r="AU15" s="272">
        <v>1121264</v>
      </c>
      <c r="AV15" s="272">
        <v>181765</v>
      </c>
      <c r="AW15" s="272">
        <v>352536</v>
      </c>
      <c r="AX15" s="272">
        <v>1718367</v>
      </c>
      <c r="AY15" s="272">
        <v>325111</v>
      </c>
      <c r="AZ15" s="272">
        <v>1474413</v>
      </c>
      <c r="BA15" s="272">
        <v>27680</v>
      </c>
      <c r="BB15" s="272">
        <v>163537</v>
      </c>
      <c r="BC15" s="272">
        <v>223474</v>
      </c>
      <c r="BD15" s="272">
        <v>0</v>
      </c>
      <c r="BE15" s="272">
        <v>0</v>
      </c>
      <c r="BF15" s="272">
        <v>0</v>
      </c>
      <c r="BG15" s="272">
        <v>0</v>
      </c>
      <c r="BH15" s="272">
        <v>1562570</v>
      </c>
      <c r="BI15" s="272">
        <v>610241</v>
      </c>
      <c r="BJ15" s="272">
        <v>2592044</v>
      </c>
      <c r="BK15" s="272">
        <v>473334</v>
      </c>
      <c r="BL15" s="272">
        <v>18601</v>
      </c>
      <c r="BM15" s="272">
        <v>783496</v>
      </c>
      <c r="BN15" s="272">
        <v>795100</v>
      </c>
      <c r="BO15" s="455">
        <f t="shared" si="5"/>
        <v>795100</v>
      </c>
      <c r="BP15" s="455">
        <f t="shared" si="6"/>
        <v>0</v>
      </c>
      <c r="BQ15" s="272"/>
      <c r="BR15" s="272"/>
      <c r="BS15" s="272"/>
      <c r="BT15" s="272">
        <v>0</v>
      </c>
      <c r="BU15" s="272">
        <v>63773636</v>
      </c>
      <c r="BV15" s="272"/>
      <c r="BW15" s="272">
        <v>15400819</v>
      </c>
      <c r="BX15" s="272">
        <v>11920685</v>
      </c>
      <c r="BY15" s="272">
        <v>523310</v>
      </c>
      <c r="BZ15" s="272">
        <v>416294</v>
      </c>
      <c r="CA15" s="272">
        <v>4820419</v>
      </c>
      <c r="CB15" s="272">
        <v>604799</v>
      </c>
      <c r="CC15" s="272">
        <v>856554</v>
      </c>
      <c r="CD15" s="272">
        <v>1228458</v>
      </c>
      <c r="CE15" s="272">
        <v>2025148</v>
      </c>
      <c r="CF15" s="272">
        <v>5376</v>
      </c>
      <c r="CG15" s="272">
        <v>100084</v>
      </c>
      <c r="CH15" s="272">
        <v>3326399</v>
      </c>
      <c r="CI15" s="272">
        <v>1638897</v>
      </c>
      <c r="CJ15" s="455">
        <f t="shared" si="7"/>
        <v>1687502</v>
      </c>
      <c r="CK15" s="272">
        <v>8199961</v>
      </c>
      <c r="CL15" s="272">
        <v>4112569</v>
      </c>
      <c r="CM15" s="272">
        <v>264201</v>
      </c>
      <c r="CN15" s="272">
        <v>2564756</v>
      </c>
      <c r="CO15" s="272">
        <v>1466286</v>
      </c>
      <c r="CP15" s="272">
        <v>1390340</v>
      </c>
      <c r="CQ15" s="272">
        <v>1279</v>
      </c>
      <c r="CR15" s="272">
        <v>619595</v>
      </c>
      <c r="CS15" s="272">
        <v>542102</v>
      </c>
      <c r="CT15" s="455">
        <f t="shared" si="8"/>
        <v>14690</v>
      </c>
      <c r="CU15" s="272">
        <v>9142</v>
      </c>
      <c r="CV15" s="272">
        <v>5548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17413508</v>
      </c>
      <c r="DD15" s="272">
        <v>2298240</v>
      </c>
      <c r="DE15" s="272">
        <v>14747239</v>
      </c>
      <c r="DF15" s="272">
        <v>0</v>
      </c>
      <c r="DG15" s="272">
        <v>368029</v>
      </c>
      <c r="DH15" s="272">
        <v>74666</v>
      </c>
      <c r="DI15" s="272">
        <v>2545420</v>
      </c>
      <c r="DJ15" s="272">
        <v>304500</v>
      </c>
      <c r="DK15" s="272">
        <v>0</v>
      </c>
      <c r="DL15" s="272">
        <v>2240920</v>
      </c>
      <c r="DM15" s="272">
        <v>25500</v>
      </c>
      <c r="DN15" s="272">
        <v>0</v>
      </c>
      <c r="DO15" s="272">
        <v>0</v>
      </c>
      <c r="DP15" s="272">
        <v>0</v>
      </c>
      <c r="DQ15" s="272">
        <v>526627</v>
      </c>
      <c r="DR15" s="272">
        <v>0</v>
      </c>
      <c r="DS15" s="272">
        <v>0</v>
      </c>
      <c r="DT15" s="272">
        <v>6966262</v>
      </c>
      <c r="DU15" s="272">
        <v>4130037</v>
      </c>
      <c r="DV15" s="455">
        <f t="shared" si="11"/>
        <v>0</v>
      </c>
      <c r="DW15" s="272">
        <v>0</v>
      </c>
      <c r="DX15" s="272">
        <v>0</v>
      </c>
      <c r="DY15" s="457" t="s">
        <v>646</v>
      </c>
      <c r="DZ15" s="272">
        <v>830000</v>
      </c>
      <c r="EA15" s="272">
        <v>504327</v>
      </c>
      <c r="EB15" s="272"/>
      <c r="EC15" s="272">
        <v>0</v>
      </c>
      <c r="ED15" s="272">
        <v>62156207</v>
      </c>
      <c r="EF15" s="272">
        <v>1617429</v>
      </c>
      <c r="EG15" s="272">
        <v>261625</v>
      </c>
      <c r="EH15" s="272">
        <v>1355804</v>
      </c>
      <c r="EI15" s="272">
        <v>745563</v>
      </c>
      <c r="EJ15" s="272">
        <v>1050063</v>
      </c>
      <c r="EL15" s="272">
        <v>254078</v>
      </c>
      <c r="EM15" s="272">
        <v>250423</v>
      </c>
      <c r="EN15" s="272">
        <v>220952</v>
      </c>
      <c r="EO15" s="272">
        <v>39638</v>
      </c>
      <c r="EP15" s="455">
        <f t="shared" si="12"/>
        <v>2623791</v>
      </c>
      <c r="EQ15" s="272">
        <v>48437689</v>
      </c>
      <c r="ER15" s="272">
        <v>-2830418</v>
      </c>
      <c r="ES15" s="272">
        <v>13709439</v>
      </c>
      <c r="ET15" s="272">
        <v>10366844</v>
      </c>
      <c r="EU15" s="272">
        <v>1296079</v>
      </c>
      <c r="EV15" s="272">
        <v>3267691</v>
      </c>
      <c r="EW15" s="455">
        <f t="shared" si="13"/>
        <v>14035760</v>
      </c>
      <c r="EX15" s="272">
        <v>14012821</v>
      </c>
      <c r="EY15" s="272">
        <v>957186</v>
      </c>
      <c r="EZ15" s="272">
        <v>13055635</v>
      </c>
      <c r="FA15" s="272">
        <v>22939</v>
      </c>
      <c r="FB15" s="272"/>
      <c r="FC15" s="272">
        <v>6704119</v>
      </c>
      <c r="FD15" s="272">
        <v>1159811</v>
      </c>
      <c r="FE15" s="272">
        <v>1279</v>
      </c>
      <c r="FF15" s="272">
        <v>6856834</v>
      </c>
      <c r="FG15" s="455">
        <f t="shared" si="14"/>
        <v>2620945</v>
      </c>
      <c r="FH15" s="272">
        <v>49650678</v>
      </c>
      <c r="FI15" s="384">
        <f t="shared" si="15"/>
        <v>3.3</v>
      </c>
      <c r="FJ15" s="272">
        <v>40648073</v>
      </c>
      <c r="FK15" s="272"/>
      <c r="FL15" s="272">
        <v>30596724</v>
      </c>
      <c r="FM15" s="272">
        <v>25722159</v>
      </c>
      <c r="FN15" s="460">
        <v>1.1819999999999999</v>
      </c>
      <c r="FO15" s="388">
        <v>63.3</v>
      </c>
      <c r="FP15" s="388">
        <v>29.6</v>
      </c>
      <c r="FQ15" s="388">
        <v>2.8</v>
      </c>
      <c r="FR15" s="388">
        <v>7</v>
      </c>
      <c r="FS15" s="388">
        <v>13.1</v>
      </c>
      <c r="FT15" s="388">
        <v>2.2999999999999998</v>
      </c>
      <c r="FU15" s="388">
        <v>5.2</v>
      </c>
      <c r="FV15" s="388">
        <v>4.7</v>
      </c>
      <c r="FW15" s="272">
        <v>23853477</v>
      </c>
      <c r="FX15" s="384">
        <f t="shared" si="16"/>
        <v>58.7</v>
      </c>
      <c r="FY15" s="272">
        <v>19622010</v>
      </c>
      <c r="FZ15" s="272">
        <v>4187200</v>
      </c>
      <c r="GA15" s="272"/>
      <c r="GB15" s="272">
        <v>15434810</v>
      </c>
      <c r="GC15" s="272"/>
      <c r="GD15" s="272">
        <v>13570996</v>
      </c>
      <c r="GE15" s="384">
        <f t="shared" si="17"/>
        <v>33.4</v>
      </c>
      <c r="GF15" s="388">
        <v>99.4</v>
      </c>
      <c r="GG15" s="388">
        <v>44</v>
      </c>
      <c r="GH15" s="388">
        <v>98.7</v>
      </c>
      <c r="GI15" s="272">
        <v>1809</v>
      </c>
    </row>
    <row r="16" spans="2:191" x14ac:dyDescent="0.15">
      <c r="B16" s="89" t="s">
        <v>25</v>
      </c>
      <c r="C16" s="272">
        <v>40421867</v>
      </c>
      <c r="D16" s="455">
        <f t="shared" si="0"/>
        <v>16184096</v>
      </c>
      <c r="E16" s="272">
        <v>188099</v>
      </c>
      <c r="F16" s="272">
        <v>15995997</v>
      </c>
      <c r="G16" s="455">
        <f t="shared" si="1"/>
        <v>6414016</v>
      </c>
      <c r="H16" s="272">
        <v>457755</v>
      </c>
      <c r="I16" s="272">
        <v>5956261</v>
      </c>
      <c r="J16" s="272">
        <v>13090318</v>
      </c>
      <c r="K16" s="272">
        <v>6422810</v>
      </c>
      <c r="L16" s="272">
        <v>4240782</v>
      </c>
      <c r="M16" s="272">
        <v>2269451</v>
      </c>
      <c r="N16" s="272">
        <v>1455634</v>
      </c>
      <c r="O16" s="272">
        <v>3102546</v>
      </c>
      <c r="P16" s="272">
        <v>2170515</v>
      </c>
      <c r="Q16" s="272">
        <v>932031</v>
      </c>
      <c r="R16" s="272">
        <v>1560291</v>
      </c>
      <c r="S16" s="272">
        <v>1128731</v>
      </c>
      <c r="T16" s="455">
        <f t="shared" si="2"/>
        <v>3035102</v>
      </c>
      <c r="U16" s="272">
        <v>2185530</v>
      </c>
      <c r="V16" s="272"/>
      <c r="W16" s="272"/>
      <c r="X16" s="272"/>
      <c r="Y16" s="272">
        <v>0</v>
      </c>
      <c r="Z16" s="272"/>
      <c r="AA16" s="272">
        <v>849572</v>
      </c>
      <c r="AB16" s="272"/>
      <c r="AC16" s="272">
        <v>810120</v>
      </c>
      <c r="AD16" s="272">
        <v>0</v>
      </c>
      <c r="AE16" s="272">
        <v>810120</v>
      </c>
      <c r="AF16" s="272">
        <v>56253</v>
      </c>
      <c r="AG16" s="272">
        <v>2260384</v>
      </c>
      <c r="AH16" s="455">
        <f t="shared" si="3"/>
        <v>1436932</v>
      </c>
      <c r="AI16" s="272">
        <v>941724</v>
      </c>
      <c r="AJ16" s="272">
        <v>495208</v>
      </c>
      <c r="AK16" s="272">
        <v>6388124</v>
      </c>
      <c r="AL16" s="455">
        <f t="shared" si="4"/>
        <v>4434634</v>
      </c>
      <c r="AM16" s="272">
        <v>3704347</v>
      </c>
      <c r="AN16" s="272">
        <v>500411</v>
      </c>
      <c r="AO16" s="272">
        <v>0</v>
      </c>
      <c r="AP16" s="272">
        <v>229876</v>
      </c>
      <c r="AQ16" s="272">
        <v>611739</v>
      </c>
      <c r="AR16" s="272">
        <v>0</v>
      </c>
      <c r="AS16" s="272">
        <v>25912</v>
      </c>
      <c r="AT16" s="272">
        <v>3711659</v>
      </c>
      <c r="AU16" s="272">
        <v>1170400</v>
      </c>
      <c r="AV16" s="272">
        <v>250205</v>
      </c>
      <c r="AW16" s="272">
        <v>5806</v>
      </c>
      <c r="AX16" s="272">
        <v>2541259</v>
      </c>
      <c r="AY16" s="272">
        <v>684817</v>
      </c>
      <c r="AZ16" s="272">
        <v>1587483</v>
      </c>
      <c r="BA16" s="272">
        <v>592160</v>
      </c>
      <c r="BB16" s="272">
        <v>344382</v>
      </c>
      <c r="BC16" s="272">
        <v>2926633</v>
      </c>
      <c r="BD16" s="272">
        <v>0</v>
      </c>
      <c r="BE16" s="272">
        <v>0</v>
      </c>
      <c r="BF16" s="272">
        <v>2803423</v>
      </c>
      <c r="BG16" s="272">
        <v>0</v>
      </c>
      <c r="BH16" s="272">
        <v>1523526</v>
      </c>
      <c r="BI16" s="272">
        <v>1323313</v>
      </c>
      <c r="BJ16" s="272">
        <v>2885507</v>
      </c>
      <c r="BK16" s="272">
        <v>1644153</v>
      </c>
      <c r="BL16" s="272">
        <v>30213</v>
      </c>
      <c r="BM16" s="272">
        <v>742120</v>
      </c>
      <c r="BN16" s="272">
        <v>2737343</v>
      </c>
      <c r="BO16" s="455">
        <f t="shared" si="5"/>
        <v>2737343</v>
      </c>
      <c r="BP16" s="455">
        <f t="shared" si="6"/>
        <v>0</v>
      </c>
      <c r="BQ16" s="272"/>
      <c r="BR16" s="272"/>
      <c r="BS16" s="272"/>
      <c r="BT16" s="272">
        <v>0</v>
      </c>
      <c r="BU16" s="272">
        <v>71711518</v>
      </c>
      <c r="BV16" s="272"/>
      <c r="BW16" s="272">
        <v>18908771</v>
      </c>
      <c r="BX16" s="272">
        <v>14303003</v>
      </c>
      <c r="BY16" s="272">
        <v>1002543</v>
      </c>
      <c r="BZ16" s="272">
        <v>740106</v>
      </c>
      <c r="CA16" s="272">
        <v>10139247</v>
      </c>
      <c r="CB16" s="272">
        <v>677870</v>
      </c>
      <c r="CC16" s="272">
        <v>1159408</v>
      </c>
      <c r="CD16" s="272">
        <v>1327442</v>
      </c>
      <c r="CE16" s="272">
        <v>4726043</v>
      </c>
      <c r="CF16" s="272">
        <v>1936383</v>
      </c>
      <c r="CG16" s="272">
        <v>312101</v>
      </c>
      <c r="CH16" s="272">
        <v>6307218</v>
      </c>
      <c r="CI16" s="272">
        <v>3235942</v>
      </c>
      <c r="CJ16" s="455">
        <f t="shared" si="7"/>
        <v>3071276</v>
      </c>
      <c r="CK16" s="272">
        <v>7772930</v>
      </c>
      <c r="CL16" s="272">
        <v>4316791</v>
      </c>
      <c r="CM16" s="272">
        <v>630080</v>
      </c>
      <c r="CN16" s="272">
        <v>1966718</v>
      </c>
      <c r="CO16" s="272">
        <v>379728</v>
      </c>
      <c r="CP16" s="272">
        <v>2960629</v>
      </c>
      <c r="CQ16" s="272">
        <v>58393</v>
      </c>
      <c r="CR16" s="272">
        <v>830408</v>
      </c>
      <c r="CS16" s="272">
        <v>254675</v>
      </c>
      <c r="CT16" s="455">
        <f t="shared" si="8"/>
        <v>1233464</v>
      </c>
      <c r="CU16" s="272">
        <v>1224030</v>
      </c>
      <c r="CV16" s="272">
        <v>9434</v>
      </c>
      <c r="CW16" s="455">
        <f t="shared" si="9"/>
        <v>1151753</v>
      </c>
      <c r="CX16" s="272">
        <v>1142319</v>
      </c>
      <c r="CY16" s="272">
        <v>9434</v>
      </c>
      <c r="CZ16" s="455">
        <f t="shared" si="10"/>
        <v>0</v>
      </c>
      <c r="DA16" s="272">
        <v>0</v>
      </c>
      <c r="DB16" s="272">
        <v>0</v>
      </c>
      <c r="DC16" s="272">
        <v>14871610</v>
      </c>
      <c r="DD16" s="272">
        <v>1334902</v>
      </c>
      <c r="DE16" s="272">
        <v>13062667</v>
      </c>
      <c r="DF16" s="272">
        <v>0</v>
      </c>
      <c r="DG16" s="272">
        <v>474041</v>
      </c>
      <c r="DH16" s="272">
        <v>0</v>
      </c>
      <c r="DI16" s="272">
        <v>4056077</v>
      </c>
      <c r="DJ16" s="272">
        <v>991276</v>
      </c>
      <c r="DK16" s="272">
        <v>0</v>
      </c>
      <c r="DL16" s="272">
        <v>3064801</v>
      </c>
      <c r="DM16" s="272">
        <v>250000</v>
      </c>
      <c r="DN16" s="272">
        <v>0</v>
      </c>
      <c r="DO16" s="272">
        <v>0</v>
      </c>
      <c r="DP16" s="272">
        <v>0</v>
      </c>
      <c r="DQ16" s="272">
        <v>1612172</v>
      </c>
      <c r="DR16" s="272">
        <v>0</v>
      </c>
      <c r="DS16" s="272">
        <v>0</v>
      </c>
      <c r="DT16" s="272">
        <v>3794786</v>
      </c>
      <c r="DU16" s="272">
        <v>2189511</v>
      </c>
      <c r="DV16" s="455">
        <f t="shared" si="11"/>
        <v>0</v>
      </c>
      <c r="DW16" s="272">
        <v>0</v>
      </c>
      <c r="DX16" s="272">
        <v>0</v>
      </c>
      <c r="DY16" s="457" t="s">
        <v>646</v>
      </c>
      <c r="DZ16" s="272">
        <v>1012518</v>
      </c>
      <c r="EA16" s="272">
        <v>590757</v>
      </c>
      <c r="EB16" s="272"/>
      <c r="EC16" s="272">
        <v>0</v>
      </c>
      <c r="ED16" s="272">
        <v>71053168</v>
      </c>
      <c r="EF16" s="272">
        <v>658350</v>
      </c>
      <c r="EG16" s="272">
        <v>158469</v>
      </c>
      <c r="EH16" s="272">
        <v>499881</v>
      </c>
      <c r="EI16" s="272">
        <v>-823432</v>
      </c>
      <c r="EJ16" s="272">
        <v>167844</v>
      </c>
      <c r="EL16" s="272">
        <v>277568</v>
      </c>
      <c r="EM16" s="272">
        <v>270708</v>
      </c>
      <c r="EN16" s="272">
        <v>3753</v>
      </c>
      <c r="EO16" s="272">
        <v>116665</v>
      </c>
      <c r="EP16" s="455">
        <f t="shared" si="12"/>
        <v>2787094</v>
      </c>
      <c r="EQ16" s="272">
        <v>45909545</v>
      </c>
      <c r="ER16" s="272">
        <v>-2825347</v>
      </c>
      <c r="ES16" s="272">
        <v>17297168</v>
      </c>
      <c r="ET16" s="272">
        <v>13062492</v>
      </c>
      <c r="EU16" s="272">
        <v>2207370</v>
      </c>
      <c r="EV16" s="272">
        <v>6107505</v>
      </c>
      <c r="EW16" s="455">
        <f t="shared" si="13"/>
        <v>6990507</v>
      </c>
      <c r="EX16" s="272">
        <v>6990507</v>
      </c>
      <c r="EY16" s="272">
        <v>194057</v>
      </c>
      <c r="EZ16" s="272">
        <v>6760348</v>
      </c>
      <c r="FA16" s="272">
        <v>0</v>
      </c>
      <c r="FB16" s="272"/>
      <c r="FC16" s="272">
        <v>6294942</v>
      </c>
      <c r="FD16" s="272">
        <v>2605394</v>
      </c>
      <c r="FE16" s="272">
        <v>58393</v>
      </c>
      <c r="FF16" s="272">
        <v>3582898</v>
      </c>
      <c r="FG16" s="455">
        <f t="shared" si="14"/>
        <v>3212626</v>
      </c>
      <c r="FH16" s="272">
        <v>48298410</v>
      </c>
      <c r="FI16" s="384">
        <f t="shared" si="15"/>
        <v>1.3</v>
      </c>
      <c r="FJ16" s="272">
        <v>37696049</v>
      </c>
      <c r="FK16" s="272"/>
      <c r="FL16" s="272">
        <v>28387059</v>
      </c>
      <c r="FM16" s="272">
        <v>27750610</v>
      </c>
      <c r="FN16" s="460">
        <v>1.016</v>
      </c>
      <c r="FO16" s="388">
        <v>81.8</v>
      </c>
      <c r="FP16" s="388">
        <v>39.5</v>
      </c>
      <c r="FQ16" s="388">
        <v>5.2</v>
      </c>
      <c r="FR16" s="388">
        <v>14.5</v>
      </c>
      <c r="FS16" s="388">
        <v>14.1</v>
      </c>
      <c r="FT16" s="388">
        <v>3.2</v>
      </c>
      <c r="FU16" s="388">
        <v>4.9000000000000004</v>
      </c>
      <c r="FV16" s="388">
        <v>14.4</v>
      </c>
      <c r="FW16" s="272">
        <v>51605308</v>
      </c>
      <c r="FX16" s="384">
        <f t="shared" si="16"/>
        <v>136.9</v>
      </c>
      <c r="FY16" s="272">
        <v>13172627</v>
      </c>
      <c r="FZ16" s="272">
        <v>2585239</v>
      </c>
      <c r="GA16" s="272"/>
      <c r="GB16" s="272">
        <v>10587388</v>
      </c>
      <c r="GC16" s="272"/>
      <c r="GD16" s="272">
        <v>23910188</v>
      </c>
      <c r="GE16" s="384">
        <f t="shared" si="17"/>
        <v>63.4</v>
      </c>
      <c r="GF16" s="388">
        <v>99.1</v>
      </c>
      <c r="GG16" s="388">
        <v>42.1</v>
      </c>
      <c r="GH16" s="388">
        <v>98.3</v>
      </c>
      <c r="GI16" s="272">
        <v>1996</v>
      </c>
    </row>
    <row r="17" spans="2:191" x14ac:dyDescent="0.15">
      <c r="B17" s="89" t="s">
        <v>27</v>
      </c>
      <c r="C17" s="272">
        <v>12131108</v>
      </c>
      <c r="D17" s="455">
        <f t="shared" si="0"/>
        <v>4420353</v>
      </c>
      <c r="E17" s="272">
        <v>58349</v>
      </c>
      <c r="F17" s="272">
        <v>4362004</v>
      </c>
      <c r="G17" s="455">
        <f t="shared" si="1"/>
        <v>1893234</v>
      </c>
      <c r="H17" s="272">
        <v>247020</v>
      </c>
      <c r="I17" s="272">
        <v>1646214</v>
      </c>
      <c r="J17" s="272">
        <v>4399632</v>
      </c>
      <c r="K17" s="272">
        <v>2008981</v>
      </c>
      <c r="L17" s="272">
        <v>1372813</v>
      </c>
      <c r="M17" s="272">
        <v>977838</v>
      </c>
      <c r="N17" s="272">
        <v>436526</v>
      </c>
      <c r="O17" s="272">
        <v>853390</v>
      </c>
      <c r="P17" s="272">
        <v>569801</v>
      </c>
      <c r="Q17" s="272">
        <v>283589</v>
      </c>
      <c r="R17" s="272">
        <v>596513</v>
      </c>
      <c r="S17" s="272">
        <v>438663</v>
      </c>
      <c r="T17" s="455">
        <f t="shared" si="2"/>
        <v>979944</v>
      </c>
      <c r="U17" s="272">
        <v>598329</v>
      </c>
      <c r="V17" s="272"/>
      <c r="W17" s="272"/>
      <c r="X17" s="272"/>
      <c r="Y17" s="272">
        <v>78732</v>
      </c>
      <c r="Z17" s="272"/>
      <c r="AA17" s="272">
        <v>302883</v>
      </c>
      <c r="AB17" s="272"/>
      <c r="AC17" s="272">
        <v>1283102</v>
      </c>
      <c r="AD17" s="272">
        <v>635456</v>
      </c>
      <c r="AE17" s="272">
        <v>647646</v>
      </c>
      <c r="AF17" s="272">
        <v>22696</v>
      </c>
      <c r="AG17" s="272">
        <v>185005</v>
      </c>
      <c r="AH17" s="455">
        <f t="shared" si="3"/>
        <v>619815</v>
      </c>
      <c r="AI17" s="272">
        <v>555757</v>
      </c>
      <c r="AJ17" s="272">
        <v>64058</v>
      </c>
      <c r="AK17" s="272">
        <v>2696635</v>
      </c>
      <c r="AL17" s="455">
        <f t="shared" si="4"/>
        <v>1330990</v>
      </c>
      <c r="AM17" s="272">
        <v>914976</v>
      </c>
      <c r="AN17" s="272">
        <v>308208</v>
      </c>
      <c r="AO17" s="272">
        <v>0</v>
      </c>
      <c r="AP17" s="272">
        <v>107806</v>
      </c>
      <c r="AQ17" s="272">
        <v>615713</v>
      </c>
      <c r="AR17" s="272">
        <v>3534</v>
      </c>
      <c r="AS17" s="272">
        <v>0</v>
      </c>
      <c r="AT17" s="272">
        <v>4922406</v>
      </c>
      <c r="AU17" s="272">
        <v>1913500</v>
      </c>
      <c r="AV17" s="272">
        <v>154104</v>
      </c>
      <c r="AW17" s="272">
        <v>88642</v>
      </c>
      <c r="AX17" s="272">
        <v>3008906</v>
      </c>
      <c r="AY17" s="272">
        <v>2155518</v>
      </c>
      <c r="AZ17" s="272">
        <v>6510571</v>
      </c>
      <c r="BA17" s="272">
        <v>6293569</v>
      </c>
      <c r="BB17" s="272">
        <v>330481</v>
      </c>
      <c r="BC17" s="272">
        <v>73755</v>
      </c>
      <c r="BD17" s="272">
        <v>0</v>
      </c>
      <c r="BE17" s="272">
        <v>0</v>
      </c>
      <c r="BF17" s="272">
        <v>73755</v>
      </c>
      <c r="BG17" s="272">
        <v>0</v>
      </c>
      <c r="BH17" s="272">
        <v>0</v>
      </c>
      <c r="BI17" s="272">
        <v>0</v>
      </c>
      <c r="BJ17" s="272">
        <v>2126664</v>
      </c>
      <c r="BK17" s="272">
        <v>85571</v>
      </c>
      <c r="BL17" s="272">
        <v>0</v>
      </c>
      <c r="BM17" s="272">
        <v>553978</v>
      </c>
      <c r="BN17" s="272">
        <v>1841549</v>
      </c>
      <c r="BO17" s="455">
        <f t="shared" si="5"/>
        <v>1841549</v>
      </c>
      <c r="BP17" s="455">
        <f t="shared" si="6"/>
        <v>0</v>
      </c>
      <c r="BQ17" s="272"/>
      <c r="BR17" s="272"/>
      <c r="BS17" s="272"/>
      <c r="BT17" s="272">
        <v>0</v>
      </c>
      <c r="BU17" s="272">
        <v>34320244</v>
      </c>
      <c r="BV17" s="272"/>
      <c r="BW17" s="272">
        <v>7232878</v>
      </c>
      <c r="BX17" s="272">
        <v>5426359</v>
      </c>
      <c r="BY17" s="272">
        <v>260535</v>
      </c>
      <c r="BZ17" s="272">
        <v>347372</v>
      </c>
      <c r="CA17" s="272">
        <v>2855324</v>
      </c>
      <c r="CB17" s="272">
        <v>254827</v>
      </c>
      <c r="CC17" s="272">
        <v>630334</v>
      </c>
      <c r="CD17" s="272">
        <v>858246</v>
      </c>
      <c r="CE17" s="272">
        <v>1062115</v>
      </c>
      <c r="CF17" s="272">
        <v>11294</v>
      </c>
      <c r="CG17" s="272">
        <v>38508</v>
      </c>
      <c r="CH17" s="272">
        <v>1994588</v>
      </c>
      <c r="CI17" s="272">
        <v>1088548</v>
      </c>
      <c r="CJ17" s="455">
        <f t="shared" si="7"/>
        <v>906040</v>
      </c>
      <c r="CK17" s="272">
        <v>1759781</v>
      </c>
      <c r="CL17" s="272">
        <v>743334</v>
      </c>
      <c r="CM17" s="272">
        <v>48140</v>
      </c>
      <c r="CN17" s="272">
        <v>582735</v>
      </c>
      <c r="CO17" s="272">
        <v>85322</v>
      </c>
      <c r="CP17" s="272">
        <v>2574002</v>
      </c>
      <c r="CQ17" s="272">
        <v>1099309</v>
      </c>
      <c r="CR17" s="272">
        <v>497720</v>
      </c>
      <c r="CS17" s="272">
        <v>364529</v>
      </c>
      <c r="CT17" s="455">
        <f t="shared" si="8"/>
        <v>371662</v>
      </c>
      <c r="CU17" s="272">
        <v>371662</v>
      </c>
      <c r="CV17" s="272">
        <v>0</v>
      </c>
      <c r="CW17" s="455">
        <f t="shared" si="9"/>
        <v>353042</v>
      </c>
      <c r="CX17" s="272">
        <v>353042</v>
      </c>
      <c r="CY17" s="272">
        <v>0</v>
      </c>
      <c r="CZ17" s="455">
        <f t="shared" si="10"/>
        <v>0</v>
      </c>
      <c r="DA17" s="272">
        <v>0</v>
      </c>
      <c r="DB17" s="272">
        <v>0</v>
      </c>
      <c r="DC17" s="272">
        <v>10845885</v>
      </c>
      <c r="DD17" s="272">
        <v>1262820</v>
      </c>
      <c r="DE17" s="272">
        <v>6755353</v>
      </c>
      <c r="DF17" s="272">
        <v>345165</v>
      </c>
      <c r="DG17" s="272">
        <v>2482547</v>
      </c>
      <c r="DH17" s="272">
        <v>15778</v>
      </c>
      <c r="DI17" s="272">
        <v>5310095</v>
      </c>
      <c r="DJ17" s="272">
        <v>0</v>
      </c>
      <c r="DK17" s="272">
        <v>294000</v>
      </c>
      <c r="DL17" s="272">
        <v>5016095</v>
      </c>
      <c r="DM17" s="272">
        <v>8500</v>
      </c>
      <c r="DN17" s="272">
        <v>0</v>
      </c>
      <c r="DO17" s="272">
        <v>0</v>
      </c>
      <c r="DP17" s="272">
        <v>0</v>
      </c>
      <c r="DQ17" s="272">
        <v>144000</v>
      </c>
      <c r="DR17" s="272">
        <v>64000</v>
      </c>
      <c r="DS17" s="272">
        <v>64000</v>
      </c>
      <c r="DT17" s="272">
        <v>1104852</v>
      </c>
      <c r="DU17" s="272">
        <v>430678</v>
      </c>
      <c r="DV17" s="455">
        <f t="shared" si="11"/>
        <v>0</v>
      </c>
      <c r="DW17" s="272">
        <v>0</v>
      </c>
      <c r="DX17" s="272">
        <v>0</v>
      </c>
      <c r="DY17" s="457" t="s">
        <v>646</v>
      </c>
      <c r="DZ17" s="272">
        <v>381519</v>
      </c>
      <c r="EA17" s="272">
        <v>280324</v>
      </c>
      <c r="EB17" s="272"/>
      <c r="EC17" s="272">
        <v>220714</v>
      </c>
      <c r="ED17" s="272">
        <v>34151719</v>
      </c>
      <c r="EF17" s="272">
        <v>168525</v>
      </c>
      <c r="EG17" s="272">
        <v>26913</v>
      </c>
      <c r="EH17" s="272">
        <v>141612</v>
      </c>
      <c r="EI17" s="272">
        <v>443963</v>
      </c>
      <c r="EJ17" s="272">
        <v>443963</v>
      </c>
      <c r="EL17" s="272">
        <v>88866</v>
      </c>
      <c r="EM17" s="272">
        <v>89357</v>
      </c>
      <c r="EN17" s="272">
        <v>0</v>
      </c>
      <c r="EO17" s="272">
        <v>2698</v>
      </c>
      <c r="EP17" s="455">
        <f t="shared" si="12"/>
        <v>1935674</v>
      </c>
      <c r="EQ17" s="272">
        <v>15013363</v>
      </c>
      <c r="ER17" s="272">
        <v>-1915676</v>
      </c>
      <c r="ES17" s="272">
        <v>6542846</v>
      </c>
      <c r="ET17" s="272">
        <v>4833696</v>
      </c>
      <c r="EU17" s="272">
        <v>955737</v>
      </c>
      <c r="EV17" s="272">
        <v>1886999</v>
      </c>
      <c r="EW17" s="455">
        <f t="shared" si="13"/>
        <v>1567204</v>
      </c>
      <c r="EX17" s="272">
        <v>1554960</v>
      </c>
      <c r="EY17" s="272">
        <v>93597</v>
      </c>
      <c r="EZ17" s="272">
        <v>1447993</v>
      </c>
      <c r="FA17" s="272">
        <v>12244</v>
      </c>
      <c r="FB17" s="272"/>
      <c r="FC17" s="272">
        <v>1306396</v>
      </c>
      <c r="FD17" s="272">
        <v>2180795</v>
      </c>
      <c r="FE17" s="272">
        <v>1099309</v>
      </c>
      <c r="FF17" s="272">
        <v>1000330</v>
      </c>
      <c r="FG17" s="455">
        <f t="shared" si="14"/>
        <v>1431875</v>
      </c>
      <c r="FH17" s="272">
        <v>16872182</v>
      </c>
      <c r="FI17" s="384">
        <f t="shared" si="15"/>
        <v>1.1000000000000001</v>
      </c>
      <c r="FJ17" s="272">
        <v>12973425</v>
      </c>
      <c r="FK17" s="272"/>
      <c r="FL17" s="272">
        <v>9296825</v>
      </c>
      <c r="FM17" s="272">
        <v>9932924</v>
      </c>
      <c r="FN17" s="460">
        <v>0.92500000000000004</v>
      </c>
      <c r="FO17" s="388">
        <v>90.4</v>
      </c>
      <c r="FP17" s="388">
        <v>47</v>
      </c>
      <c r="FQ17" s="388">
        <v>6.9</v>
      </c>
      <c r="FR17" s="388">
        <v>13.6</v>
      </c>
      <c r="FS17" s="388">
        <v>8.9</v>
      </c>
      <c r="FT17" s="388">
        <v>11.5</v>
      </c>
      <c r="FU17" s="388">
        <v>2.2999999999999998</v>
      </c>
      <c r="FV17" s="388">
        <v>12.5</v>
      </c>
      <c r="FW17" s="272">
        <v>16581071</v>
      </c>
      <c r="FX17" s="384">
        <f t="shared" si="16"/>
        <v>127.8</v>
      </c>
      <c r="FY17" s="272">
        <v>10208306</v>
      </c>
      <c r="FZ17" s="272"/>
      <c r="GA17" s="272">
        <v>1036000</v>
      </c>
      <c r="GB17" s="272">
        <v>9172306</v>
      </c>
      <c r="GC17" s="272"/>
      <c r="GD17" s="272">
        <v>5434701</v>
      </c>
      <c r="GE17" s="384">
        <f t="shared" si="17"/>
        <v>41.9</v>
      </c>
      <c r="GF17" s="388">
        <v>97.2</v>
      </c>
      <c r="GG17" s="388">
        <v>26.2</v>
      </c>
      <c r="GH17" s="388">
        <v>92.2</v>
      </c>
      <c r="GI17" s="272">
        <v>857</v>
      </c>
    </row>
    <row r="18" spans="2:191" x14ac:dyDescent="0.15">
      <c r="B18" s="89" t="s">
        <v>29</v>
      </c>
      <c r="C18" s="272">
        <v>12984937</v>
      </c>
      <c r="D18" s="455">
        <f t="shared" si="0"/>
        <v>6583272</v>
      </c>
      <c r="E18" s="272">
        <v>68797</v>
      </c>
      <c r="F18" s="272">
        <v>6514475</v>
      </c>
      <c r="G18" s="455">
        <f t="shared" si="1"/>
        <v>857904</v>
      </c>
      <c r="H18" s="272">
        <v>126014</v>
      </c>
      <c r="I18" s="272">
        <v>731890</v>
      </c>
      <c r="J18" s="272">
        <v>4064143</v>
      </c>
      <c r="K18" s="272">
        <v>1925167</v>
      </c>
      <c r="L18" s="272">
        <v>1572005</v>
      </c>
      <c r="M18" s="272">
        <v>546095</v>
      </c>
      <c r="N18" s="272">
        <v>409291</v>
      </c>
      <c r="O18" s="272">
        <v>910812</v>
      </c>
      <c r="P18" s="272">
        <v>610480</v>
      </c>
      <c r="Q18" s="272">
        <v>300332</v>
      </c>
      <c r="R18" s="272">
        <v>480970</v>
      </c>
      <c r="S18" s="272">
        <v>297485</v>
      </c>
      <c r="T18" s="455">
        <f t="shared" si="2"/>
        <v>1309151</v>
      </c>
      <c r="U18" s="272">
        <v>839852</v>
      </c>
      <c r="V18" s="272"/>
      <c r="W18" s="272"/>
      <c r="X18" s="272"/>
      <c r="Y18" s="272">
        <v>107686</v>
      </c>
      <c r="Z18" s="272"/>
      <c r="AA18" s="272">
        <v>361613</v>
      </c>
      <c r="AB18" s="272"/>
      <c r="AC18" s="272">
        <v>2379780</v>
      </c>
      <c r="AD18" s="272">
        <v>2117319</v>
      </c>
      <c r="AE18" s="272">
        <v>262461</v>
      </c>
      <c r="AF18" s="272">
        <v>21413</v>
      </c>
      <c r="AG18" s="272">
        <v>282507</v>
      </c>
      <c r="AH18" s="455">
        <f t="shared" si="3"/>
        <v>4187884</v>
      </c>
      <c r="AI18" s="272">
        <v>3876030</v>
      </c>
      <c r="AJ18" s="272">
        <v>311854</v>
      </c>
      <c r="AK18" s="272">
        <v>1927886</v>
      </c>
      <c r="AL18" s="455">
        <f t="shared" si="4"/>
        <v>1222216</v>
      </c>
      <c r="AM18" s="272">
        <v>952274</v>
      </c>
      <c r="AN18" s="272">
        <v>153315</v>
      </c>
      <c r="AO18" s="272">
        <v>0</v>
      </c>
      <c r="AP18" s="272">
        <v>116627</v>
      </c>
      <c r="AQ18" s="272">
        <v>163814</v>
      </c>
      <c r="AR18" s="272">
        <v>0</v>
      </c>
      <c r="AS18" s="272">
        <v>0</v>
      </c>
      <c r="AT18" s="272">
        <v>1384786</v>
      </c>
      <c r="AU18" s="272">
        <v>417030</v>
      </c>
      <c r="AV18" s="272">
        <v>101682</v>
      </c>
      <c r="AW18" s="272">
        <v>147006</v>
      </c>
      <c r="AX18" s="272">
        <v>967756</v>
      </c>
      <c r="AY18" s="272">
        <v>364433</v>
      </c>
      <c r="AZ18" s="272">
        <v>834729</v>
      </c>
      <c r="BA18" s="272">
        <v>35181</v>
      </c>
      <c r="BB18" s="272">
        <v>306443</v>
      </c>
      <c r="BC18" s="272">
        <v>1752686</v>
      </c>
      <c r="BD18" s="272">
        <v>204844</v>
      </c>
      <c r="BE18" s="272">
        <v>0</v>
      </c>
      <c r="BF18" s="272">
        <v>1463370</v>
      </c>
      <c r="BG18" s="272">
        <v>0</v>
      </c>
      <c r="BH18" s="272">
        <v>552551</v>
      </c>
      <c r="BI18" s="272">
        <v>391655</v>
      </c>
      <c r="BJ18" s="272">
        <v>1527761</v>
      </c>
      <c r="BK18" s="272">
        <v>578866</v>
      </c>
      <c r="BL18" s="272">
        <v>0</v>
      </c>
      <c r="BM18" s="272">
        <v>732403</v>
      </c>
      <c r="BN18" s="272">
        <v>3957180</v>
      </c>
      <c r="BO18" s="455">
        <f t="shared" si="5"/>
        <v>3957180</v>
      </c>
      <c r="BP18" s="455">
        <f t="shared" si="6"/>
        <v>0</v>
      </c>
      <c r="BQ18" s="272"/>
      <c r="BR18" s="272"/>
      <c r="BS18" s="272"/>
      <c r="BT18" s="272">
        <v>0</v>
      </c>
      <c r="BU18" s="272">
        <v>33890664</v>
      </c>
      <c r="BV18" s="272"/>
      <c r="BW18" s="272">
        <v>6363898</v>
      </c>
      <c r="BX18" s="272">
        <v>4920196</v>
      </c>
      <c r="BY18" s="272">
        <v>217659</v>
      </c>
      <c r="BZ18" s="272">
        <v>57607</v>
      </c>
      <c r="CA18" s="272">
        <v>2688477</v>
      </c>
      <c r="CB18" s="272">
        <v>319732</v>
      </c>
      <c r="CC18" s="272">
        <v>486609</v>
      </c>
      <c r="CD18" s="272">
        <v>618094</v>
      </c>
      <c r="CE18" s="272">
        <v>1201396</v>
      </c>
      <c r="CF18" s="272">
        <v>0</v>
      </c>
      <c r="CG18" s="272">
        <v>62646</v>
      </c>
      <c r="CH18" s="272">
        <v>1809685</v>
      </c>
      <c r="CI18" s="272">
        <v>930714</v>
      </c>
      <c r="CJ18" s="455">
        <f t="shared" si="7"/>
        <v>878971</v>
      </c>
      <c r="CK18" s="272">
        <v>6610681</v>
      </c>
      <c r="CL18" s="272">
        <v>5148509</v>
      </c>
      <c r="CM18" s="272">
        <v>228134</v>
      </c>
      <c r="CN18" s="272">
        <v>764403</v>
      </c>
      <c r="CO18" s="272">
        <v>287791</v>
      </c>
      <c r="CP18" s="272">
        <v>1572990</v>
      </c>
      <c r="CQ18" s="272">
        <v>534562</v>
      </c>
      <c r="CR18" s="272">
        <v>482577</v>
      </c>
      <c r="CS18" s="272">
        <v>357928</v>
      </c>
      <c r="CT18" s="455">
        <f t="shared" si="8"/>
        <v>643</v>
      </c>
      <c r="CU18" s="272">
        <v>643</v>
      </c>
      <c r="CV18" s="272">
        <v>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9158551</v>
      </c>
      <c r="DD18" s="272">
        <v>614847</v>
      </c>
      <c r="DE18" s="272">
        <v>8510179</v>
      </c>
      <c r="DF18" s="272">
        <v>33525</v>
      </c>
      <c r="DG18" s="272">
        <v>0</v>
      </c>
      <c r="DH18" s="272">
        <v>5798</v>
      </c>
      <c r="DI18" s="272">
        <v>2457709</v>
      </c>
      <c r="DJ18" s="272">
        <v>582881</v>
      </c>
      <c r="DK18" s="272">
        <v>0</v>
      </c>
      <c r="DL18" s="272">
        <v>1874828</v>
      </c>
      <c r="DM18" s="272">
        <v>100000</v>
      </c>
      <c r="DN18" s="272">
        <v>0</v>
      </c>
      <c r="DO18" s="272">
        <v>0</v>
      </c>
      <c r="DP18" s="272">
        <v>0</v>
      </c>
      <c r="DQ18" s="272">
        <v>550400</v>
      </c>
      <c r="DR18" s="272">
        <v>0</v>
      </c>
      <c r="DS18" s="272">
        <v>0</v>
      </c>
      <c r="DT18" s="272">
        <v>1264138</v>
      </c>
      <c r="DU18" s="272">
        <v>488000</v>
      </c>
      <c r="DV18" s="455">
        <f t="shared" si="11"/>
        <v>0</v>
      </c>
      <c r="DW18" s="272">
        <v>0</v>
      </c>
      <c r="DX18" s="272">
        <v>0</v>
      </c>
      <c r="DY18" s="457" t="s">
        <v>646</v>
      </c>
      <c r="DZ18" s="272">
        <v>434410</v>
      </c>
      <c r="EA18" s="272">
        <v>215600</v>
      </c>
      <c r="EB18" s="272"/>
      <c r="EC18" s="272">
        <v>0</v>
      </c>
      <c r="ED18" s="272">
        <v>32870118</v>
      </c>
      <c r="EF18" s="272">
        <v>1020546</v>
      </c>
      <c r="EG18" s="272">
        <v>622178</v>
      </c>
      <c r="EH18" s="272">
        <v>398368</v>
      </c>
      <c r="EI18" s="272">
        <v>6713</v>
      </c>
      <c r="EJ18" s="272">
        <v>384750</v>
      </c>
      <c r="EL18" s="272">
        <v>110447</v>
      </c>
      <c r="EM18" s="272">
        <v>111003</v>
      </c>
      <c r="EN18" s="272">
        <v>1570986</v>
      </c>
      <c r="EO18" s="272">
        <v>4817</v>
      </c>
      <c r="EP18" s="455">
        <f t="shared" si="12"/>
        <v>1581680</v>
      </c>
      <c r="EQ18" s="272">
        <v>17176251</v>
      </c>
      <c r="ER18" s="272">
        <v>-3136070</v>
      </c>
      <c r="ES18" s="272">
        <v>5749282</v>
      </c>
      <c r="ET18" s="272">
        <v>4336690</v>
      </c>
      <c r="EU18" s="272">
        <v>891795</v>
      </c>
      <c r="EV18" s="272">
        <v>1543137</v>
      </c>
      <c r="EW18" s="455">
        <f t="shared" si="13"/>
        <v>4392142</v>
      </c>
      <c r="EX18" s="272">
        <v>4386344</v>
      </c>
      <c r="EY18" s="272">
        <v>218961</v>
      </c>
      <c r="EZ18" s="272">
        <v>4136446</v>
      </c>
      <c r="FA18" s="272">
        <v>5798</v>
      </c>
      <c r="FB18" s="272"/>
      <c r="FC18" s="272">
        <v>2427246</v>
      </c>
      <c r="FD18" s="272">
        <v>1448378</v>
      </c>
      <c r="FE18" s="272">
        <v>534562</v>
      </c>
      <c r="FF18" s="272">
        <v>1187900</v>
      </c>
      <c r="FG18" s="455">
        <f t="shared" si="14"/>
        <v>1801151</v>
      </c>
      <c r="FH18" s="272">
        <v>19441031</v>
      </c>
      <c r="FI18" s="384">
        <f t="shared" si="15"/>
        <v>2.7</v>
      </c>
      <c r="FJ18" s="272">
        <v>14630728</v>
      </c>
      <c r="FK18" s="272"/>
      <c r="FL18" s="272">
        <v>9431394</v>
      </c>
      <c r="FM18" s="272">
        <v>11574061</v>
      </c>
      <c r="FN18" s="460">
        <v>0.79700000000000004</v>
      </c>
      <c r="FO18" s="388">
        <v>76.5</v>
      </c>
      <c r="FP18" s="388">
        <v>35.4</v>
      </c>
      <c r="FQ18" s="388">
        <v>5.5</v>
      </c>
      <c r="FR18" s="388">
        <v>9.6</v>
      </c>
      <c r="FS18" s="388">
        <v>14.2</v>
      </c>
      <c r="FT18" s="388">
        <v>8.4</v>
      </c>
      <c r="FU18" s="388">
        <v>1.7</v>
      </c>
      <c r="FV18" s="388">
        <v>9.4</v>
      </c>
      <c r="FW18" s="272">
        <v>16946283</v>
      </c>
      <c r="FX18" s="384">
        <f t="shared" si="16"/>
        <v>115.8</v>
      </c>
      <c r="FY18" s="272">
        <v>12012078</v>
      </c>
      <c r="FZ18" s="272">
        <v>2526636</v>
      </c>
      <c r="GA18" s="272"/>
      <c r="GB18" s="272">
        <v>9485442</v>
      </c>
      <c r="GC18" s="272"/>
      <c r="GD18" s="272">
        <v>6751230</v>
      </c>
      <c r="GE18" s="384">
        <f t="shared" si="17"/>
        <v>46.1</v>
      </c>
      <c r="GF18" s="388">
        <v>98.3</v>
      </c>
      <c r="GG18" s="388">
        <v>42.6</v>
      </c>
      <c r="GH18" s="388">
        <v>96.5</v>
      </c>
      <c r="GI18" s="272">
        <v>799</v>
      </c>
    </row>
    <row r="19" spans="2:191" x14ac:dyDescent="0.15">
      <c r="B19" s="89" t="s">
        <v>31</v>
      </c>
      <c r="C19" s="272">
        <v>29194450</v>
      </c>
      <c r="D19" s="455">
        <f t="shared" si="0"/>
        <v>13676608</v>
      </c>
      <c r="E19" s="272">
        <v>174925</v>
      </c>
      <c r="F19" s="272">
        <v>13501683</v>
      </c>
      <c r="G19" s="455">
        <f t="shared" si="1"/>
        <v>3621945</v>
      </c>
      <c r="H19" s="272">
        <v>389359</v>
      </c>
      <c r="I19" s="272">
        <v>3232586</v>
      </c>
      <c r="J19" s="272">
        <v>8335431</v>
      </c>
      <c r="K19" s="272">
        <v>3981625</v>
      </c>
      <c r="L19" s="272">
        <v>3056135</v>
      </c>
      <c r="M19" s="272">
        <v>1138006</v>
      </c>
      <c r="N19" s="272">
        <v>1207804</v>
      </c>
      <c r="O19" s="272">
        <v>2225548</v>
      </c>
      <c r="P19" s="272">
        <v>1528284</v>
      </c>
      <c r="Q19" s="272">
        <v>697264</v>
      </c>
      <c r="R19" s="272">
        <v>1159709</v>
      </c>
      <c r="S19" s="272">
        <v>800880</v>
      </c>
      <c r="T19" s="455">
        <f t="shared" si="2"/>
        <v>2635906</v>
      </c>
      <c r="U19" s="272">
        <v>1926529</v>
      </c>
      <c r="V19" s="272"/>
      <c r="W19" s="272"/>
      <c r="X19" s="272"/>
      <c r="Y19" s="272">
        <v>0</v>
      </c>
      <c r="Z19" s="272"/>
      <c r="AA19" s="272">
        <v>709377</v>
      </c>
      <c r="AB19" s="272"/>
      <c r="AC19" s="272">
        <v>5432827</v>
      </c>
      <c r="AD19" s="272">
        <v>4961844</v>
      </c>
      <c r="AE19" s="272">
        <v>470983</v>
      </c>
      <c r="AF19" s="272">
        <v>48052</v>
      </c>
      <c r="AG19" s="272">
        <v>645635</v>
      </c>
      <c r="AH19" s="455">
        <f t="shared" si="3"/>
        <v>1189323</v>
      </c>
      <c r="AI19" s="272">
        <v>694208</v>
      </c>
      <c r="AJ19" s="272">
        <v>495115</v>
      </c>
      <c r="AK19" s="272">
        <v>4922426</v>
      </c>
      <c r="AL19" s="455">
        <f t="shared" si="4"/>
        <v>3061884</v>
      </c>
      <c r="AM19" s="272">
        <v>2178049</v>
      </c>
      <c r="AN19" s="272">
        <v>626516</v>
      </c>
      <c r="AO19" s="272">
        <v>0</v>
      </c>
      <c r="AP19" s="272">
        <v>257319</v>
      </c>
      <c r="AQ19" s="272">
        <v>984024</v>
      </c>
      <c r="AR19" s="272">
        <v>0</v>
      </c>
      <c r="AS19" s="272">
        <v>0</v>
      </c>
      <c r="AT19" s="272">
        <v>3214552</v>
      </c>
      <c r="AU19" s="272">
        <v>1295456</v>
      </c>
      <c r="AV19" s="272">
        <v>373773</v>
      </c>
      <c r="AW19" s="272">
        <v>499046</v>
      </c>
      <c r="AX19" s="272">
        <v>1919096</v>
      </c>
      <c r="AY19" s="272">
        <v>402360</v>
      </c>
      <c r="AZ19" s="272">
        <v>2333925</v>
      </c>
      <c r="BA19" s="272">
        <v>1830820</v>
      </c>
      <c r="BB19" s="272">
        <v>831215</v>
      </c>
      <c r="BC19" s="272">
        <v>952002</v>
      </c>
      <c r="BD19" s="272">
        <v>0</v>
      </c>
      <c r="BE19" s="272">
        <v>0</v>
      </c>
      <c r="BF19" s="272">
        <v>869011</v>
      </c>
      <c r="BG19" s="272">
        <v>0</v>
      </c>
      <c r="BH19" s="272">
        <v>0</v>
      </c>
      <c r="BI19" s="272">
        <v>0</v>
      </c>
      <c r="BJ19" s="272">
        <v>5668351</v>
      </c>
      <c r="BK19" s="272">
        <v>4203788</v>
      </c>
      <c r="BL19" s="272">
        <v>0</v>
      </c>
      <c r="BM19" s="272">
        <v>791590</v>
      </c>
      <c r="BN19" s="272">
        <v>1883346</v>
      </c>
      <c r="BO19" s="455">
        <f t="shared" si="5"/>
        <v>1883346</v>
      </c>
      <c r="BP19" s="455">
        <f t="shared" si="6"/>
        <v>0</v>
      </c>
      <c r="BQ19" s="272"/>
      <c r="BR19" s="272"/>
      <c r="BS19" s="272"/>
      <c r="BT19" s="272">
        <v>0</v>
      </c>
      <c r="BU19" s="272">
        <v>60111719</v>
      </c>
      <c r="BV19" s="272"/>
      <c r="BW19" s="272">
        <v>18468426</v>
      </c>
      <c r="BX19" s="272">
        <v>14427529</v>
      </c>
      <c r="BY19" s="272">
        <v>873247</v>
      </c>
      <c r="BZ19" s="272">
        <v>324645</v>
      </c>
      <c r="CA19" s="272">
        <v>6207248</v>
      </c>
      <c r="CB19" s="272">
        <v>500969</v>
      </c>
      <c r="CC19" s="272">
        <v>1165917</v>
      </c>
      <c r="CD19" s="272">
        <v>1474244</v>
      </c>
      <c r="CE19" s="272">
        <v>2908824</v>
      </c>
      <c r="CF19" s="272">
        <v>335</v>
      </c>
      <c r="CG19" s="272">
        <v>155914</v>
      </c>
      <c r="CH19" s="272">
        <v>5791971</v>
      </c>
      <c r="CI19" s="272">
        <v>3110897</v>
      </c>
      <c r="CJ19" s="455">
        <f t="shared" si="7"/>
        <v>2681074</v>
      </c>
      <c r="CK19" s="272">
        <v>5038845</v>
      </c>
      <c r="CL19" s="272">
        <v>2202558</v>
      </c>
      <c r="CM19" s="272">
        <v>291629</v>
      </c>
      <c r="CN19" s="272">
        <v>1665650</v>
      </c>
      <c r="CO19" s="272">
        <v>282124</v>
      </c>
      <c r="CP19" s="272">
        <v>4122923</v>
      </c>
      <c r="CQ19" s="272">
        <v>2608593</v>
      </c>
      <c r="CR19" s="272">
        <v>760388</v>
      </c>
      <c r="CS19" s="272">
        <v>633099</v>
      </c>
      <c r="CT19" s="455">
        <f t="shared" si="8"/>
        <v>5783</v>
      </c>
      <c r="CU19" s="272">
        <v>5783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7899543</v>
      </c>
      <c r="DD19" s="272">
        <v>2145786</v>
      </c>
      <c r="DE19" s="272">
        <v>5175927</v>
      </c>
      <c r="DF19" s="272">
        <v>0</v>
      </c>
      <c r="DG19" s="272">
        <v>577830</v>
      </c>
      <c r="DH19" s="272">
        <v>0</v>
      </c>
      <c r="DI19" s="272">
        <v>3111281</v>
      </c>
      <c r="DJ19" s="272">
        <v>0</v>
      </c>
      <c r="DK19" s="272">
        <v>474605</v>
      </c>
      <c r="DL19" s="272">
        <v>2636676</v>
      </c>
      <c r="DM19" s="272">
        <v>100000</v>
      </c>
      <c r="DN19" s="272">
        <v>0</v>
      </c>
      <c r="DO19" s="272">
        <v>0</v>
      </c>
      <c r="DP19" s="272">
        <v>0</v>
      </c>
      <c r="DQ19" s="272">
        <v>4062966</v>
      </c>
      <c r="DR19" s="272">
        <v>0</v>
      </c>
      <c r="DS19" s="272">
        <v>0</v>
      </c>
      <c r="DT19" s="272">
        <v>2972398</v>
      </c>
      <c r="DU19" s="272">
        <v>1467349</v>
      </c>
      <c r="DV19" s="455">
        <f t="shared" si="11"/>
        <v>0</v>
      </c>
      <c r="DW19" s="272">
        <v>0</v>
      </c>
      <c r="DX19" s="272">
        <v>0</v>
      </c>
      <c r="DY19" s="457" t="s">
        <v>646</v>
      </c>
      <c r="DZ19" s="272">
        <v>934883</v>
      </c>
      <c r="EA19" s="272">
        <v>527727</v>
      </c>
      <c r="EB19" s="272"/>
      <c r="EC19" s="272">
        <v>1270631</v>
      </c>
      <c r="ED19" s="272">
        <v>59328356</v>
      </c>
      <c r="EF19" s="272">
        <v>783363</v>
      </c>
      <c r="EG19" s="272">
        <v>32043</v>
      </c>
      <c r="EH19" s="272">
        <v>751320</v>
      </c>
      <c r="EI19" s="272">
        <v>2026476</v>
      </c>
      <c r="EJ19" s="272">
        <v>2026476</v>
      </c>
      <c r="EL19" s="272">
        <v>256524</v>
      </c>
      <c r="EM19" s="272">
        <v>255008</v>
      </c>
      <c r="EN19" s="272">
        <v>175602</v>
      </c>
      <c r="EO19" s="272">
        <v>58652</v>
      </c>
      <c r="EP19" s="455">
        <f t="shared" si="12"/>
        <v>2319380</v>
      </c>
      <c r="EQ19" s="272">
        <v>38470944</v>
      </c>
      <c r="ER19" s="272">
        <v>-2505582</v>
      </c>
      <c r="ES19" s="272">
        <v>17013109</v>
      </c>
      <c r="ET19" s="272">
        <v>13082041</v>
      </c>
      <c r="EU19" s="272">
        <v>1796552</v>
      </c>
      <c r="EV19" s="272">
        <v>5625646</v>
      </c>
      <c r="EW19" s="455">
        <f t="shared" si="13"/>
        <v>1547630</v>
      </c>
      <c r="EX19" s="272">
        <v>1547630</v>
      </c>
      <c r="EY19" s="272">
        <v>176169</v>
      </c>
      <c r="EZ19" s="272">
        <v>1371461</v>
      </c>
      <c r="FA19" s="272">
        <v>0</v>
      </c>
      <c r="FB19" s="272"/>
      <c r="FC19" s="272">
        <v>3486227</v>
      </c>
      <c r="FD19" s="272">
        <v>3744448</v>
      </c>
      <c r="FE19" s="272">
        <v>2608593</v>
      </c>
      <c r="FF19" s="272">
        <v>2698103</v>
      </c>
      <c r="FG19" s="455">
        <f t="shared" si="14"/>
        <v>4297390</v>
      </c>
      <c r="FH19" s="272">
        <v>40209105</v>
      </c>
      <c r="FI19" s="384">
        <f t="shared" si="15"/>
        <v>2.2999999999999998</v>
      </c>
      <c r="FJ19" s="272">
        <v>32826378</v>
      </c>
      <c r="FK19" s="272"/>
      <c r="FL19" s="272">
        <v>20997253</v>
      </c>
      <c r="FM19" s="272">
        <v>25956496</v>
      </c>
      <c r="FN19" s="460">
        <v>0.80500000000000005</v>
      </c>
      <c r="FO19" s="388">
        <v>91</v>
      </c>
      <c r="FP19" s="388">
        <v>47.2</v>
      </c>
      <c r="FQ19" s="388">
        <v>5</v>
      </c>
      <c r="FR19" s="388">
        <v>15</v>
      </c>
      <c r="FS19" s="388">
        <v>8.6</v>
      </c>
      <c r="FT19" s="388">
        <v>9.5</v>
      </c>
      <c r="FU19" s="388">
        <v>4.9000000000000004</v>
      </c>
      <c r="FV19" s="388">
        <v>12.7</v>
      </c>
      <c r="FW19" s="272">
        <v>39170782</v>
      </c>
      <c r="FX19" s="384">
        <f t="shared" si="16"/>
        <v>119.3</v>
      </c>
      <c r="FY19" s="272">
        <v>7659641</v>
      </c>
      <c r="FZ19" s="272"/>
      <c r="GA19" s="272">
        <v>1323605</v>
      </c>
      <c r="GB19" s="272">
        <v>6336036</v>
      </c>
      <c r="GC19" s="272"/>
      <c r="GD19" s="272">
        <v>11122332</v>
      </c>
      <c r="GE19" s="384">
        <f t="shared" si="17"/>
        <v>33.9</v>
      </c>
      <c r="GF19" s="388">
        <v>97</v>
      </c>
      <c r="GG19" s="388">
        <v>29.7</v>
      </c>
      <c r="GH19" s="388">
        <v>93.1</v>
      </c>
      <c r="GI19" s="272">
        <v>2156</v>
      </c>
    </row>
    <row r="20" spans="2:191" x14ac:dyDescent="0.15">
      <c r="B20" s="89" t="s">
        <v>33</v>
      </c>
      <c r="C20" s="272">
        <v>14055321</v>
      </c>
      <c r="D20" s="455">
        <f t="shared" si="0"/>
        <v>7598207</v>
      </c>
      <c r="E20" s="272">
        <v>69695</v>
      </c>
      <c r="F20" s="272">
        <v>7528512</v>
      </c>
      <c r="G20" s="455">
        <f t="shared" si="1"/>
        <v>836492</v>
      </c>
      <c r="H20" s="272">
        <v>124608</v>
      </c>
      <c r="I20" s="272">
        <v>711884</v>
      </c>
      <c r="J20" s="272">
        <v>4116580</v>
      </c>
      <c r="K20" s="272">
        <v>1699752</v>
      </c>
      <c r="L20" s="272">
        <v>1783918</v>
      </c>
      <c r="M20" s="272">
        <v>612861</v>
      </c>
      <c r="N20" s="272">
        <v>339187</v>
      </c>
      <c r="O20" s="272">
        <v>1037779</v>
      </c>
      <c r="P20" s="272">
        <v>640886</v>
      </c>
      <c r="Q20" s="272">
        <v>396893</v>
      </c>
      <c r="R20" s="272">
        <v>458557</v>
      </c>
      <c r="S20" s="272">
        <v>272343</v>
      </c>
      <c r="T20" s="455">
        <f t="shared" si="2"/>
        <v>1326934</v>
      </c>
      <c r="U20" s="272">
        <v>913326</v>
      </c>
      <c r="V20" s="272"/>
      <c r="W20" s="272"/>
      <c r="X20" s="272"/>
      <c r="Y20" s="272">
        <v>46556</v>
      </c>
      <c r="Z20" s="272"/>
      <c r="AA20" s="272">
        <v>367052</v>
      </c>
      <c r="AB20" s="272"/>
      <c r="AC20" s="272">
        <v>1508418</v>
      </c>
      <c r="AD20" s="272">
        <v>1262413</v>
      </c>
      <c r="AE20" s="272">
        <v>246005</v>
      </c>
      <c r="AF20" s="272">
        <v>24745</v>
      </c>
      <c r="AG20" s="272">
        <v>178451</v>
      </c>
      <c r="AH20" s="455">
        <f t="shared" si="3"/>
        <v>741322</v>
      </c>
      <c r="AI20" s="272">
        <v>504437</v>
      </c>
      <c r="AJ20" s="272">
        <v>236885</v>
      </c>
      <c r="AK20" s="272">
        <v>2452426</v>
      </c>
      <c r="AL20" s="455">
        <f t="shared" si="4"/>
        <v>737720</v>
      </c>
      <c r="AM20" s="272">
        <v>523386</v>
      </c>
      <c r="AN20" s="272">
        <v>142195</v>
      </c>
      <c r="AO20" s="272">
        <v>0</v>
      </c>
      <c r="AP20" s="272">
        <v>72139</v>
      </c>
      <c r="AQ20" s="272">
        <v>1329821</v>
      </c>
      <c r="AR20" s="272">
        <v>24766</v>
      </c>
      <c r="AS20" s="272">
        <v>0</v>
      </c>
      <c r="AT20" s="272">
        <v>1671026</v>
      </c>
      <c r="AU20" s="272">
        <v>681439</v>
      </c>
      <c r="AV20" s="272">
        <v>71097</v>
      </c>
      <c r="AW20" s="272">
        <v>433312</v>
      </c>
      <c r="AX20" s="272">
        <v>989587</v>
      </c>
      <c r="AY20" s="272">
        <v>502833</v>
      </c>
      <c r="AZ20" s="272">
        <v>5329754</v>
      </c>
      <c r="BA20" s="272">
        <v>4654076</v>
      </c>
      <c r="BB20" s="272">
        <v>265503</v>
      </c>
      <c r="BC20" s="272">
        <v>1032114</v>
      </c>
      <c r="BD20" s="272">
        <v>400000</v>
      </c>
      <c r="BE20" s="272">
        <v>32672</v>
      </c>
      <c r="BF20" s="272">
        <v>589000</v>
      </c>
      <c r="BG20" s="272">
        <v>0</v>
      </c>
      <c r="BH20" s="272">
        <v>750007</v>
      </c>
      <c r="BI20" s="272">
        <v>172926</v>
      </c>
      <c r="BJ20" s="272">
        <v>1520152</v>
      </c>
      <c r="BK20" s="272">
        <v>1013842</v>
      </c>
      <c r="BL20" s="272">
        <v>1741</v>
      </c>
      <c r="BM20" s="272">
        <v>0</v>
      </c>
      <c r="BN20" s="272">
        <v>2057800</v>
      </c>
      <c r="BO20" s="455">
        <f t="shared" si="5"/>
        <v>2057800</v>
      </c>
      <c r="BP20" s="455">
        <f t="shared" si="6"/>
        <v>0</v>
      </c>
      <c r="BQ20" s="272"/>
      <c r="BR20" s="272"/>
      <c r="BS20" s="272"/>
      <c r="BT20" s="272">
        <v>0</v>
      </c>
      <c r="BU20" s="272">
        <v>33372530</v>
      </c>
      <c r="BV20" s="272"/>
      <c r="BW20" s="272">
        <v>4879245</v>
      </c>
      <c r="BX20" s="272">
        <v>3487983</v>
      </c>
      <c r="BY20" s="272">
        <v>257074</v>
      </c>
      <c r="BZ20" s="272">
        <v>253510</v>
      </c>
      <c r="CA20" s="272">
        <v>1979080</v>
      </c>
      <c r="CB20" s="272">
        <v>290027</v>
      </c>
      <c r="CC20" s="272">
        <v>429984</v>
      </c>
      <c r="CD20" s="272">
        <v>560364</v>
      </c>
      <c r="CE20" s="272">
        <v>682184</v>
      </c>
      <c r="CF20" s="272">
        <v>0</v>
      </c>
      <c r="CG20" s="272">
        <v>16521</v>
      </c>
      <c r="CH20" s="272">
        <v>3920421</v>
      </c>
      <c r="CI20" s="272">
        <v>2799762</v>
      </c>
      <c r="CJ20" s="455">
        <f t="shared" si="7"/>
        <v>1120659</v>
      </c>
      <c r="CK20" s="272">
        <v>3179309</v>
      </c>
      <c r="CL20" s="272">
        <v>1939662</v>
      </c>
      <c r="CM20" s="272">
        <v>63757</v>
      </c>
      <c r="CN20" s="272">
        <v>722239</v>
      </c>
      <c r="CO20" s="272">
        <v>208877</v>
      </c>
      <c r="CP20" s="272">
        <v>1459737</v>
      </c>
      <c r="CQ20" s="272">
        <v>369180</v>
      </c>
      <c r="CR20" s="272">
        <v>513361</v>
      </c>
      <c r="CS20" s="272">
        <v>455688</v>
      </c>
      <c r="CT20" s="455">
        <f t="shared" si="8"/>
        <v>73727</v>
      </c>
      <c r="CU20" s="272">
        <v>19389</v>
      </c>
      <c r="CV20" s="272">
        <v>54338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11476316</v>
      </c>
      <c r="DD20" s="272">
        <v>3257794</v>
      </c>
      <c r="DE20" s="272">
        <v>8073182</v>
      </c>
      <c r="DF20" s="272">
        <v>143617</v>
      </c>
      <c r="DG20" s="272">
        <v>1723</v>
      </c>
      <c r="DH20" s="272">
        <v>80299</v>
      </c>
      <c r="DI20" s="272">
        <v>2891434</v>
      </c>
      <c r="DJ20" s="272">
        <v>1265300</v>
      </c>
      <c r="DK20" s="272">
        <v>382000</v>
      </c>
      <c r="DL20" s="272">
        <v>1244134</v>
      </c>
      <c r="DM20" s="272">
        <v>0</v>
      </c>
      <c r="DN20" s="272">
        <v>0</v>
      </c>
      <c r="DO20" s="272">
        <v>0</v>
      </c>
      <c r="DP20" s="272">
        <v>0</v>
      </c>
      <c r="DQ20" s="272">
        <v>983874</v>
      </c>
      <c r="DR20" s="272">
        <v>0</v>
      </c>
      <c r="DS20" s="272">
        <v>0</v>
      </c>
      <c r="DT20" s="272">
        <v>901736</v>
      </c>
      <c r="DU20" s="272">
        <v>431203</v>
      </c>
      <c r="DV20" s="455">
        <f t="shared" si="11"/>
        <v>0</v>
      </c>
      <c r="DW20" s="272">
        <v>0</v>
      </c>
      <c r="DX20" s="272">
        <v>0</v>
      </c>
      <c r="DY20" s="457" t="s">
        <v>646</v>
      </c>
      <c r="DZ20" s="272">
        <v>222693</v>
      </c>
      <c r="EA20" s="272">
        <v>247840</v>
      </c>
      <c r="EB20" s="272"/>
      <c r="EC20" s="272">
        <v>0</v>
      </c>
      <c r="ED20" s="272">
        <v>31960328</v>
      </c>
      <c r="EF20" s="272">
        <v>1412202</v>
      </c>
      <c r="EG20" s="272">
        <v>962142</v>
      </c>
      <c r="EH20" s="272">
        <v>450060</v>
      </c>
      <c r="EI20" s="272">
        <v>277134</v>
      </c>
      <c r="EJ20" s="272">
        <v>1466722</v>
      </c>
      <c r="EL20" s="272">
        <v>108767</v>
      </c>
      <c r="EM20" s="272">
        <v>110332</v>
      </c>
      <c r="EN20" s="272">
        <v>882672</v>
      </c>
      <c r="EO20" s="272">
        <v>196941</v>
      </c>
      <c r="EP20" s="455">
        <f t="shared" si="12"/>
        <v>955556</v>
      </c>
      <c r="EQ20" s="272">
        <v>17373975</v>
      </c>
      <c r="ER20" s="272">
        <v>-2010424</v>
      </c>
      <c r="ES20" s="272">
        <v>4546292</v>
      </c>
      <c r="ET20" s="272">
        <v>3266144</v>
      </c>
      <c r="EU20" s="272">
        <v>565831</v>
      </c>
      <c r="EV20" s="272">
        <v>2380075</v>
      </c>
      <c r="EW20" s="455">
        <f t="shared" si="13"/>
        <v>3691931</v>
      </c>
      <c r="EX20" s="272">
        <v>3663458</v>
      </c>
      <c r="EY20" s="272">
        <v>399335</v>
      </c>
      <c r="EZ20" s="272">
        <v>3120506</v>
      </c>
      <c r="FA20" s="272">
        <v>28473</v>
      </c>
      <c r="FB20" s="272"/>
      <c r="FC20" s="272">
        <v>2360522</v>
      </c>
      <c r="FD20" s="272">
        <v>1254880</v>
      </c>
      <c r="FE20" s="272">
        <v>369180</v>
      </c>
      <c r="FF20" s="272">
        <v>840612</v>
      </c>
      <c r="FG20" s="455">
        <f t="shared" si="14"/>
        <v>2332054</v>
      </c>
      <c r="FH20" s="272">
        <v>17972197</v>
      </c>
      <c r="FI20" s="384">
        <f t="shared" si="15"/>
        <v>3</v>
      </c>
      <c r="FJ20" s="272">
        <v>14882918</v>
      </c>
      <c r="FK20" s="272"/>
      <c r="FL20" s="272">
        <v>10266348</v>
      </c>
      <c r="FM20" s="272">
        <v>11531471</v>
      </c>
      <c r="FN20" s="460">
        <v>0.89</v>
      </c>
      <c r="FO20" s="388">
        <v>67.2</v>
      </c>
      <c r="FP20" s="388">
        <v>27.4</v>
      </c>
      <c r="FQ20" s="388">
        <v>3.5</v>
      </c>
      <c r="FR20" s="388">
        <v>12.2</v>
      </c>
      <c r="FS20" s="388">
        <v>13.5</v>
      </c>
      <c r="FT20" s="388">
        <v>6.9</v>
      </c>
      <c r="FU20" s="388">
        <v>2.5</v>
      </c>
      <c r="FV20" s="388">
        <v>11.5</v>
      </c>
      <c r="FW20" s="272">
        <v>18711723</v>
      </c>
      <c r="FX20" s="384">
        <f t="shared" si="16"/>
        <v>125.7</v>
      </c>
      <c r="FY20" s="272">
        <v>10801393</v>
      </c>
      <c r="FZ20" s="272">
        <v>6310982</v>
      </c>
      <c r="GA20" s="272">
        <v>879328</v>
      </c>
      <c r="GB20" s="272">
        <v>3611083</v>
      </c>
      <c r="GC20" s="272"/>
      <c r="GD20" s="272">
        <v>2288029</v>
      </c>
      <c r="GE20" s="384">
        <f t="shared" si="17"/>
        <v>15.4</v>
      </c>
      <c r="GF20" s="388">
        <v>98.5</v>
      </c>
      <c r="GG20" s="388">
        <v>36.4</v>
      </c>
      <c r="GH20" s="388">
        <v>96.7</v>
      </c>
      <c r="GI20" s="272">
        <v>563</v>
      </c>
    </row>
    <row r="21" spans="2:191" x14ac:dyDescent="0.15">
      <c r="B21" s="89" t="s">
        <v>35</v>
      </c>
      <c r="C21" s="272">
        <v>14314283</v>
      </c>
      <c r="D21" s="455">
        <f t="shared" si="0"/>
        <v>6268502</v>
      </c>
      <c r="E21" s="272">
        <v>88197</v>
      </c>
      <c r="F21" s="272">
        <v>6180305</v>
      </c>
      <c r="G21" s="455">
        <f t="shared" si="1"/>
        <v>1790680</v>
      </c>
      <c r="H21" s="272">
        <v>163276</v>
      </c>
      <c r="I21" s="272">
        <v>1627404</v>
      </c>
      <c r="J21" s="272">
        <v>4342557</v>
      </c>
      <c r="K21" s="272">
        <v>2245008</v>
      </c>
      <c r="L21" s="272">
        <v>1532533</v>
      </c>
      <c r="M21" s="272">
        <v>538729</v>
      </c>
      <c r="N21" s="272">
        <v>575713</v>
      </c>
      <c r="O21" s="272">
        <v>1140929</v>
      </c>
      <c r="P21" s="272">
        <v>796037</v>
      </c>
      <c r="Q21" s="272">
        <v>344892</v>
      </c>
      <c r="R21" s="272">
        <v>604178</v>
      </c>
      <c r="S21" s="272">
        <v>414434</v>
      </c>
      <c r="T21" s="455">
        <f t="shared" si="2"/>
        <v>1266356</v>
      </c>
      <c r="U21" s="272">
        <v>890393</v>
      </c>
      <c r="V21" s="272"/>
      <c r="W21" s="272"/>
      <c r="X21" s="272"/>
      <c r="Y21" s="272">
        <v>0</v>
      </c>
      <c r="Z21" s="272"/>
      <c r="AA21" s="272">
        <v>375963</v>
      </c>
      <c r="AB21" s="272"/>
      <c r="AC21" s="272">
        <v>4830113</v>
      </c>
      <c r="AD21" s="272">
        <v>4378729</v>
      </c>
      <c r="AE21" s="272">
        <v>451384</v>
      </c>
      <c r="AF21" s="272">
        <v>24500</v>
      </c>
      <c r="AG21" s="272">
        <v>151966</v>
      </c>
      <c r="AH21" s="455">
        <f t="shared" si="3"/>
        <v>368716</v>
      </c>
      <c r="AI21" s="272">
        <v>339092</v>
      </c>
      <c r="AJ21" s="272">
        <v>29624</v>
      </c>
      <c r="AK21" s="272">
        <v>2314427</v>
      </c>
      <c r="AL21" s="455">
        <f t="shared" si="4"/>
        <v>1650783</v>
      </c>
      <c r="AM21" s="272">
        <v>1256125</v>
      </c>
      <c r="AN21" s="272">
        <v>195013</v>
      </c>
      <c r="AO21" s="272">
        <v>0</v>
      </c>
      <c r="AP21" s="272">
        <v>199645</v>
      </c>
      <c r="AQ21" s="272">
        <v>122686</v>
      </c>
      <c r="AR21" s="272">
        <v>0</v>
      </c>
      <c r="AS21" s="272">
        <v>0</v>
      </c>
      <c r="AT21" s="272">
        <v>1230842</v>
      </c>
      <c r="AU21" s="272">
        <v>402372</v>
      </c>
      <c r="AV21" s="272">
        <v>97506</v>
      </c>
      <c r="AW21" s="272">
        <v>5098</v>
      </c>
      <c r="AX21" s="272">
        <v>828470</v>
      </c>
      <c r="AY21" s="272">
        <v>77025</v>
      </c>
      <c r="AZ21" s="272">
        <v>318885</v>
      </c>
      <c r="BA21" s="272">
        <v>0</v>
      </c>
      <c r="BB21" s="272">
        <v>667169</v>
      </c>
      <c r="BC21" s="272">
        <v>3000</v>
      </c>
      <c r="BD21" s="272">
        <v>0</v>
      </c>
      <c r="BE21" s="272">
        <v>0</v>
      </c>
      <c r="BF21" s="470">
        <v>3000</v>
      </c>
      <c r="BG21" s="272">
        <v>0</v>
      </c>
      <c r="BH21" s="272">
        <v>550451</v>
      </c>
      <c r="BI21" s="272">
        <v>229458</v>
      </c>
      <c r="BJ21" s="272">
        <v>930971</v>
      </c>
      <c r="BK21" s="272">
        <v>433933</v>
      </c>
      <c r="BL21" s="272">
        <v>0</v>
      </c>
      <c r="BM21" s="272">
        <v>0</v>
      </c>
      <c r="BN21" s="272">
        <v>2371600</v>
      </c>
      <c r="BO21" s="455">
        <f t="shared" si="5"/>
        <v>2371600</v>
      </c>
      <c r="BP21" s="455">
        <f t="shared" si="6"/>
        <v>0</v>
      </c>
      <c r="BQ21" s="272"/>
      <c r="BR21" s="272"/>
      <c r="BS21" s="272"/>
      <c r="BT21" s="272">
        <v>0</v>
      </c>
      <c r="BU21" s="272">
        <v>29947457</v>
      </c>
      <c r="BV21" s="272"/>
      <c r="BW21" s="272">
        <v>8025926</v>
      </c>
      <c r="BX21" s="272">
        <v>6227548</v>
      </c>
      <c r="BY21" s="272">
        <v>284633</v>
      </c>
      <c r="BZ21" s="272">
        <v>197663</v>
      </c>
      <c r="CA21" s="272">
        <v>3489057</v>
      </c>
      <c r="CB21" s="272">
        <v>368152</v>
      </c>
      <c r="CC21" s="272">
        <v>789784</v>
      </c>
      <c r="CD21" s="272">
        <v>610943</v>
      </c>
      <c r="CE21" s="272">
        <v>1650306</v>
      </c>
      <c r="CF21" s="272">
        <v>0</v>
      </c>
      <c r="CG21" s="272">
        <v>69582</v>
      </c>
      <c r="CH21" s="272">
        <v>2693581</v>
      </c>
      <c r="CI21" s="272">
        <v>1308981</v>
      </c>
      <c r="CJ21" s="455">
        <f t="shared" si="7"/>
        <v>1384600</v>
      </c>
      <c r="CK21" s="272">
        <v>3585474</v>
      </c>
      <c r="CL21" s="272">
        <v>2117411</v>
      </c>
      <c r="CM21" s="272">
        <v>102667</v>
      </c>
      <c r="CN21" s="272">
        <v>810926</v>
      </c>
      <c r="CO21" s="272">
        <v>287815</v>
      </c>
      <c r="CP21" s="272">
        <v>1852296</v>
      </c>
      <c r="CQ21" s="272">
        <v>6962</v>
      </c>
      <c r="CR21" s="272">
        <v>582045</v>
      </c>
      <c r="CS21" s="272">
        <v>397664</v>
      </c>
      <c r="CT21" s="455">
        <f t="shared" si="8"/>
        <v>286401</v>
      </c>
      <c r="CU21" s="272">
        <v>12000</v>
      </c>
      <c r="CV21" s="272">
        <v>274401</v>
      </c>
      <c r="CW21" s="455">
        <f t="shared" si="9"/>
        <v>274401</v>
      </c>
      <c r="CX21" s="272">
        <v>0</v>
      </c>
      <c r="CY21" s="272">
        <v>274401</v>
      </c>
      <c r="CZ21" s="455">
        <f t="shared" si="10"/>
        <v>0</v>
      </c>
      <c r="DA21" s="272">
        <v>0</v>
      </c>
      <c r="DB21" s="272">
        <v>0</v>
      </c>
      <c r="DC21" s="272">
        <v>4428633</v>
      </c>
      <c r="DD21" s="272">
        <v>356446</v>
      </c>
      <c r="DE21" s="272">
        <v>4052187</v>
      </c>
      <c r="DF21" s="272">
        <v>20000</v>
      </c>
      <c r="DG21" s="272">
        <v>0</v>
      </c>
      <c r="DH21" s="272">
        <v>0</v>
      </c>
      <c r="DI21" s="272">
        <v>1893472</v>
      </c>
      <c r="DJ21" s="272">
        <v>0</v>
      </c>
      <c r="DK21" s="272">
        <v>246308</v>
      </c>
      <c r="DL21" s="272">
        <v>1647164</v>
      </c>
      <c r="DM21" s="272">
        <v>1580</v>
      </c>
      <c r="DN21" s="272">
        <v>0</v>
      </c>
      <c r="DO21" s="272">
        <v>0</v>
      </c>
      <c r="DP21" s="272">
        <v>0</v>
      </c>
      <c r="DQ21" s="272">
        <v>410650</v>
      </c>
      <c r="DR21" s="272">
        <v>0</v>
      </c>
      <c r="DS21" s="272">
        <v>0</v>
      </c>
      <c r="DT21" s="272">
        <v>2518481</v>
      </c>
      <c r="DU21" s="272">
        <v>1658000</v>
      </c>
      <c r="DV21" s="455">
        <f t="shared" si="11"/>
        <v>0</v>
      </c>
      <c r="DW21" s="272">
        <v>0</v>
      </c>
      <c r="DX21" s="272">
        <v>0</v>
      </c>
      <c r="DY21" s="457" t="s">
        <v>646</v>
      </c>
      <c r="DZ21" s="272">
        <v>557566</v>
      </c>
      <c r="EA21" s="272">
        <v>292265</v>
      </c>
      <c r="EB21" s="272"/>
      <c r="EC21" s="272">
        <v>0</v>
      </c>
      <c r="ED21" s="272">
        <v>29186965</v>
      </c>
      <c r="EF21" s="272">
        <v>760492</v>
      </c>
      <c r="EG21" s="272">
        <v>93339</v>
      </c>
      <c r="EH21" s="272">
        <v>667153</v>
      </c>
      <c r="EI21" s="272">
        <v>437695</v>
      </c>
      <c r="EJ21" s="272">
        <v>437695</v>
      </c>
      <c r="EL21" s="272">
        <v>135919</v>
      </c>
      <c r="EM21" s="272">
        <v>134461</v>
      </c>
      <c r="EN21" s="272">
        <v>3000</v>
      </c>
      <c r="EO21" s="272">
        <v>2675</v>
      </c>
      <c r="EP21" s="455">
        <f t="shared" si="12"/>
        <v>1329583</v>
      </c>
      <c r="EQ21" s="272">
        <v>21039430</v>
      </c>
      <c r="ER21" s="272">
        <v>-1310758</v>
      </c>
      <c r="ES21" s="272">
        <v>7407548</v>
      </c>
      <c r="ET21" s="272">
        <v>5724994</v>
      </c>
      <c r="EU21" s="272">
        <v>1063613</v>
      </c>
      <c r="EV21" s="272">
        <v>2670081</v>
      </c>
      <c r="EW21" s="455">
        <f t="shared" si="13"/>
        <v>1532487</v>
      </c>
      <c r="EX21" s="272">
        <v>1532487</v>
      </c>
      <c r="EY21" s="272">
        <v>73860</v>
      </c>
      <c r="EZ21" s="272">
        <v>1438627</v>
      </c>
      <c r="FA21" s="272">
        <v>0</v>
      </c>
      <c r="FB21" s="272"/>
      <c r="FC21" s="272">
        <v>3239019</v>
      </c>
      <c r="FD21" s="272">
        <v>1585615</v>
      </c>
      <c r="FE21" s="272">
        <v>6962</v>
      </c>
      <c r="FF21" s="272">
        <v>2400701</v>
      </c>
      <c r="FG21" s="455">
        <f t="shared" si="14"/>
        <v>1705205</v>
      </c>
      <c r="FH21" s="272">
        <v>21604269</v>
      </c>
      <c r="FI21" s="384">
        <f t="shared" si="15"/>
        <v>3.7</v>
      </c>
      <c r="FJ21" s="272">
        <v>17794877</v>
      </c>
      <c r="FK21" s="272"/>
      <c r="FL21" s="272">
        <v>10112449</v>
      </c>
      <c r="FM21" s="272">
        <v>14483376</v>
      </c>
      <c r="FN21" s="460">
        <v>0.70699999999999996</v>
      </c>
      <c r="FO21" s="388">
        <v>84.9</v>
      </c>
      <c r="FP21" s="388">
        <v>37.4</v>
      </c>
      <c r="FQ21" s="388">
        <v>5.4</v>
      </c>
      <c r="FR21" s="388">
        <v>13.6</v>
      </c>
      <c r="FS21" s="388">
        <v>16</v>
      </c>
      <c r="FT21" s="388">
        <v>6</v>
      </c>
      <c r="FU21" s="388">
        <v>5.4</v>
      </c>
      <c r="FV21" s="388">
        <v>12.3</v>
      </c>
      <c r="FW21" s="272">
        <v>24279994</v>
      </c>
      <c r="FX21" s="384">
        <f t="shared" si="16"/>
        <v>136.4</v>
      </c>
      <c r="FY21" s="272">
        <v>8720962</v>
      </c>
      <c r="FZ21" s="272"/>
      <c r="GA21" s="272">
        <v>1181065</v>
      </c>
      <c r="GB21" s="272">
        <v>7539897</v>
      </c>
      <c r="GC21" s="272"/>
      <c r="GD21" s="272">
        <v>1966105</v>
      </c>
      <c r="GE21" s="384">
        <f t="shared" si="17"/>
        <v>11</v>
      </c>
      <c r="GF21" s="388">
        <v>98.1</v>
      </c>
      <c r="GG21" s="388">
        <v>30.2</v>
      </c>
      <c r="GH21" s="388">
        <v>94.9</v>
      </c>
      <c r="GI21" s="272">
        <v>919</v>
      </c>
    </row>
    <row r="22" spans="2:191" x14ac:dyDescent="0.15">
      <c r="B22" s="89" t="s">
        <v>37</v>
      </c>
      <c r="C22" s="272">
        <v>17366538</v>
      </c>
      <c r="D22" s="455">
        <f t="shared" si="0"/>
        <v>5789189</v>
      </c>
      <c r="E22" s="272">
        <v>87540</v>
      </c>
      <c r="F22" s="272">
        <v>5701649</v>
      </c>
      <c r="G22" s="455">
        <f t="shared" si="1"/>
        <v>2832845</v>
      </c>
      <c r="H22" s="272">
        <v>211557</v>
      </c>
      <c r="I22" s="272">
        <v>2621288</v>
      </c>
      <c r="J22" s="272">
        <v>6503638</v>
      </c>
      <c r="K22" s="272">
        <v>3316415</v>
      </c>
      <c r="L22" s="272">
        <v>2030458</v>
      </c>
      <c r="M22" s="272">
        <v>1054366</v>
      </c>
      <c r="N22" s="272">
        <v>634591</v>
      </c>
      <c r="O22" s="272">
        <v>1468445</v>
      </c>
      <c r="P22" s="272">
        <v>1017560</v>
      </c>
      <c r="Q22" s="272">
        <v>450885</v>
      </c>
      <c r="R22" s="272">
        <v>657726</v>
      </c>
      <c r="S22" s="272">
        <v>475622</v>
      </c>
      <c r="T22" s="455">
        <f t="shared" si="2"/>
        <v>1237148</v>
      </c>
      <c r="U22" s="272">
        <v>832803</v>
      </c>
      <c r="V22" s="272"/>
      <c r="W22" s="272"/>
      <c r="X22" s="272"/>
      <c r="Y22" s="272">
        <v>44455</v>
      </c>
      <c r="Z22" s="272"/>
      <c r="AA22" s="272">
        <v>359890</v>
      </c>
      <c r="AB22" s="272"/>
      <c r="AC22" s="272">
        <v>1508032</v>
      </c>
      <c r="AD22" s="272">
        <v>1129544</v>
      </c>
      <c r="AE22" s="272">
        <v>378488</v>
      </c>
      <c r="AF22" s="272">
        <v>27667</v>
      </c>
      <c r="AG22" s="272">
        <v>253814</v>
      </c>
      <c r="AH22" s="455">
        <f t="shared" si="3"/>
        <v>674296</v>
      </c>
      <c r="AI22" s="272">
        <v>310550</v>
      </c>
      <c r="AJ22" s="272">
        <v>363746</v>
      </c>
      <c r="AK22" s="272">
        <v>2482419</v>
      </c>
      <c r="AL22" s="455">
        <f t="shared" si="4"/>
        <v>1732907</v>
      </c>
      <c r="AM22" s="272">
        <v>1272486</v>
      </c>
      <c r="AN22" s="272">
        <v>347736</v>
      </c>
      <c r="AO22" s="272">
        <v>0</v>
      </c>
      <c r="AP22" s="272">
        <v>112685</v>
      </c>
      <c r="AQ22" s="272">
        <v>201570</v>
      </c>
      <c r="AR22" s="272">
        <v>0</v>
      </c>
      <c r="AS22" s="272">
        <v>0</v>
      </c>
      <c r="AT22" s="272">
        <v>1945155</v>
      </c>
      <c r="AU22" s="272">
        <v>419077</v>
      </c>
      <c r="AV22" s="272">
        <v>173561</v>
      </c>
      <c r="AW22" s="272">
        <v>0</v>
      </c>
      <c r="AX22" s="272">
        <v>1526078</v>
      </c>
      <c r="AY22" s="272">
        <v>634241</v>
      </c>
      <c r="AZ22" s="272">
        <v>1113571</v>
      </c>
      <c r="BA22" s="272">
        <v>873154</v>
      </c>
      <c r="BB22" s="272">
        <v>271024</v>
      </c>
      <c r="BC22" s="272">
        <v>261299</v>
      </c>
      <c r="BD22" s="272">
        <v>0</v>
      </c>
      <c r="BE22" s="272">
        <v>261299</v>
      </c>
      <c r="BF22" s="272">
        <v>0</v>
      </c>
      <c r="BG22" s="272">
        <v>0</v>
      </c>
      <c r="BH22" s="272">
        <v>0</v>
      </c>
      <c r="BI22" s="272">
        <v>0</v>
      </c>
      <c r="BJ22" s="272">
        <v>1828865</v>
      </c>
      <c r="BK22" s="272">
        <v>1547744</v>
      </c>
      <c r="BL22" s="272">
        <v>3085</v>
      </c>
      <c r="BM22" s="272">
        <v>0</v>
      </c>
      <c r="BN22" s="272">
        <v>962600</v>
      </c>
      <c r="BO22" s="455">
        <f t="shared" si="5"/>
        <v>962600</v>
      </c>
      <c r="BP22" s="455">
        <f t="shared" si="6"/>
        <v>0</v>
      </c>
      <c r="BQ22" s="272"/>
      <c r="BR22" s="272"/>
      <c r="BS22" s="272"/>
      <c r="BT22" s="272">
        <v>0</v>
      </c>
      <c r="BU22" s="272">
        <v>30590154</v>
      </c>
      <c r="BV22" s="272"/>
      <c r="BW22" s="272">
        <v>9226732</v>
      </c>
      <c r="BX22" s="272">
        <v>7421251</v>
      </c>
      <c r="BY22" s="272">
        <v>154533</v>
      </c>
      <c r="BZ22" s="272">
        <v>185896</v>
      </c>
      <c r="CA22" s="272">
        <v>3613156</v>
      </c>
      <c r="CB22" s="272">
        <v>282234</v>
      </c>
      <c r="CC22" s="272">
        <v>551798</v>
      </c>
      <c r="CD22" s="272">
        <v>1101595</v>
      </c>
      <c r="CE22" s="272">
        <v>1606059</v>
      </c>
      <c r="CF22" s="272">
        <v>894</v>
      </c>
      <c r="CG22" s="272">
        <v>70301</v>
      </c>
      <c r="CH22" s="272">
        <v>3742767</v>
      </c>
      <c r="CI22" s="272">
        <v>2024864</v>
      </c>
      <c r="CJ22" s="455">
        <f t="shared" si="7"/>
        <v>1717903</v>
      </c>
      <c r="CK22" s="272">
        <v>2675908</v>
      </c>
      <c r="CL22" s="272">
        <v>1551759</v>
      </c>
      <c r="CM22" s="272">
        <v>25449</v>
      </c>
      <c r="CN22" s="272">
        <v>668064</v>
      </c>
      <c r="CO22" s="272">
        <v>228105</v>
      </c>
      <c r="CP22" s="272">
        <v>2883639</v>
      </c>
      <c r="CQ22" s="272">
        <v>1181202</v>
      </c>
      <c r="CR22" s="272">
        <v>435650</v>
      </c>
      <c r="CS22" s="272">
        <v>155461</v>
      </c>
      <c r="CT22" s="455">
        <f t="shared" si="8"/>
        <v>746337</v>
      </c>
      <c r="CU22" s="272">
        <v>3485</v>
      </c>
      <c r="CV22" s="272">
        <v>742852</v>
      </c>
      <c r="CW22" s="455">
        <f t="shared" si="9"/>
        <v>716337</v>
      </c>
      <c r="CX22" s="272">
        <v>3485</v>
      </c>
      <c r="CY22" s="272">
        <v>712852</v>
      </c>
      <c r="CZ22" s="455">
        <f t="shared" si="10"/>
        <v>0</v>
      </c>
      <c r="DA22" s="272">
        <v>0</v>
      </c>
      <c r="DB22" s="272">
        <v>0</v>
      </c>
      <c r="DC22" s="272">
        <v>3413063</v>
      </c>
      <c r="DD22" s="272">
        <v>423175</v>
      </c>
      <c r="DE22" s="272">
        <v>2665848</v>
      </c>
      <c r="DF22" s="272">
        <v>89455</v>
      </c>
      <c r="DG22" s="272">
        <v>234585</v>
      </c>
      <c r="DH22" s="272">
        <v>0</v>
      </c>
      <c r="DI22" s="272">
        <v>1001458</v>
      </c>
      <c r="DJ22" s="272">
        <v>216000</v>
      </c>
      <c r="DK22" s="272">
        <v>352529</v>
      </c>
      <c r="DL22" s="272">
        <v>432929</v>
      </c>
      <c r="DM22" s="272">
        <v>0</v>
      </c>
      <c r="DN22" s="272">
        <v>0</v>
      </c>
      <c r="DO22" s="272">
        <v>0</v>
      </c>
      <c r="DP22" s="272">
        <v>0</v>
      </c>
      <c r="DQ22" s="272">
        <v>1540600</v>
      </c>
      <c r="DR22" s="272">
        <v>0</v>
      </c>
      <c r="DS22" s="272">
        <v>0</v>
      </c>
      <c r="DT22" s="272">
        <v>1712230</v>
      </c>
      <c r="DU22" s="272">
        <v>1117787</v>
      </c>
      <c r="DV22" s="455">
        <f t="shared" si="11"/>
        <v>0</v>
      </c>
      <c r="DW22" s="272">
        <v>0</v>
      </c>
      <c r="DX22" s="272">
        <v>0</v>
      </c>
      <c r="DY22" s="457" t="s">
        <v>646</v>
      </c>
      <c r="DZ22" s="272">
        <v>327890</v>
      </c>
      <c r="EA22" s="272">
        <v>257882</v>
      </c>
      <c r="EB22" s="272"/>
      <c r="EC22" s="272">
        <v>1588534</v>
      </c>
      <c r="ED22" s="272">
        <v>31626192</v>
      </c>
      <c r="EF22" s="272">
        <v>-1036038</v>
      </c>
      <c r="EG22" s="272">
        <v>55368</v>
      </c>
      <c r="EH22" s="272">
        <v>-1091406</v>
      </c>
      <c r="EI22" s="272">
        <v>574464</v>
      </c>
      <c r="EJ22" s="272">
        <v>790464</v>
      </c>
      <c r="EL22" s="272">
        <v>126460</v>
      </c>
      <c r="EM22" s="272">
        <v>124823</v>
      </c>
      <c r="EN22" s="272">
        <v>261299</v>
      </c>
      <c r="EO22" s="272">
        <v>855310</v>
      </c>
      <c r="EP22" s="455">
        <f t="shared" si="12"/>
        <v>542046</v>
      </c>
      <c r="EQ22" s="272">
        <v>20797111</v>
      </c>
      <c r="ER22" s="272">
        <v>-1630988</v>
      </c>
      <c r="ES22" s="272">
        <v>8462479</v>
      </c>
      <c r="ET22" s="272">
        <v>6703604</v>
      </c>
      <c r="EU22" s="272">
        <v>1115342</v>
      </c>
      <c r="EV22" s="272">
        <v>3525346</v>
      </c>
      <c r="EW22" s="455">
        <f t="shared" si="13"/>
        <v>1605362</v>
      </c>
      <c r="EX22" s="272">
        <v>1605362</v>
      </c>
      <c r="EY22" s="272">
        <v>102247</v>
      </c>
      <c r="EZ22" s="272">
        <v>1417660</v>
      </c>
      <c r="FA22" s="272">
        <v>0</v>
      </c>
      <c r="FB22" s="272"/>
      <c r="FC22" s="272">
        <v>2102051</v>
      </c>
      <c r="FD22" s="272">
        <v>2629580</v>
      </c>
      <c r="FE22" s="272">
        <v>1181202</v>
      </c>
      <c r="FF22" s="272">
        <v>1578569</v>
      </c>
      <c r="FG22" s="455">
        <f t="shared" si="14"/>
        <v>2532477</v>
      </c>
      <c r="FH22" s="272">
        <v>23551206</v>
      </c>
      <c r="FI22" s="384">
        <f t="shared" si="15"/>
        <v>-6.2</v>
      </c>
      <c r="FJ22" s="272">
        <v>17627481</v>
      </c>
      <c r="FK22" s="272"/>
      <c r="FL22" s="272">
        <v>12423033</v>
      </c>
      <c r="FM22" s="272">
        <v>13551786</v>
      </c>
      <c r="FN22" s="460">
        <v>0.89100000000000001</v>
      </c>
      <c r="FO22" s="388">
        <v>93.5</v>
      </c>
      <c r="FP22" s="388">
        <v>44.4</v>
      </c>
      <c r="FQ22" s="388">
        <v>5.9</v>
      </c>
      <c r="FR22" s="388">
        <v>17.100000000000001</v>
      </c>
      <c r="FS22" s="388">
        <v>10.199999999999999</v>
      </c>
      <c r="FT22" s="388">
        <v>8.4</v>
      </c>
      <c r="FU22" s="388">
        <v>6.6</v>
      </c>
      <c r="FV22" s="388">
        <v>14.1</v>
      </c>
      <c r="FW22" s="272">
        <v>25167961</v>
      </c>
      <c r="FX22" s="384">
        <f t="shared" si="16"/>
        <v>142.80000000000001</v>
      </c>
      <c r="FY22" s="272">
        <v>3931001</v>
      </c>
      <c r="FZ22" s="272">
        <v>1316500</v>
      </c>
      <c r="GA22" s="272">
        <v>792230</v>
      </c>
      <c r="GB22" s="272">
        <v>1822271</v>
      </c>
      <c r="GC22" s="272"/>
      <c r="GD22" s="272">
        <v>11397784</v>
      </c>
      <c r="GE22" s="384">
        <f t="shared" si="17"/>
        <v>64.7</v>
      </c>
      <c r="GF22" s="388">
        <v>98.8</v>
      </c>
      <c r="GG22" s="388">
        <v>30.4</v>
      </c>
      <c r="GH22" s="388">
        <v>96.7</v>
      </c>
      <c r="GI22" s="272">
        <v>1086</v>
      </c>
    </row>
    <row r="23" spans="2:191" x14ac:dyDescent="0.15">
      <c r="B23" s="89" t="s">
        <v>39</v>
      </c>
      <c r="C23" s="272">
        <v>15749308</v>
      </c>
      <c r="D23" s="455">
        <f t="shared" si="0"/>
        <v>7473812</v>
      </c>
      <c r="E23" s="272">
        <v>90732</v>
      </c>
      <c r="F23" s="272">
        <v>7383080</v>
      </c>
      <c r="G23" s="455">
        <f t="shared" si="1"/>
        <v>1196870</v>
      </c>
      <c r="H23" s="272">
        <v>157169</v>
      </c>
      <c r="I23" s="272">
        <v>1039701</v>
      </c>
      <c r="J23" s="272">
        <v>4952813</v>
      </c>
      <c r="K23" s="272">
        <v>2431148</v>
      </c>
      <c r="L23" s="272">
        <v>1963314</v>
      </c>
      <c r="M23" s="272">
        <v>523487</v>
      </c>
      <c r="N23" s="272">
        <v>633990</v>
      </c>
      <c r="O23" s="272">
        <v>1222603</v>
      </c>
      <c r="P23" s="272">
        <v>812334</v>
      </c>
      <c r="Q23" s="272">
        <v>410269</v>
      </c>
      <c r="R23" s="272">
        <v>642701</v>
      </c>
      <c r="S23" s="272">
        <v>419798</v>
      </c>
      <c r="T23" s="455">
        <f t="shared" si="2"/>
        <v>1412191</v>
      </c>
      <c r="U23" s="272">
        <v>971593</v>
      </c>
      <c r="V23" s="272"/>
      <c r="W23" s="272"/>
      <c r="X23" s="272"/>
      <c r="Y23" s="272">
        <v>0</v>
      </c>
      <c r="Z23" s="272"/>
      <c r="AA23" s="272">
        <v>440598</v>
      </c>
      <c r="AB23" s="272"/>
      <c r="AC23" s="272">
        <v>4677971</v>
      </c>
      <c r="AD23" s="272">
        <v>3786899</v>
      </c>
      <c r="AE23" s="272">
        <v>891072</v>
      </c>
      <c r="AF23" s="272">
        <v>23772</v>
      </c>
      <c r="AG23" s="272">
        <v>401381</v>
      </c>
      <c r="AH23" s="455">
        <f t="shared" si="3"/>
        <v>630522</v>
      </c>
      <c r="AI23" s="272">
        <v>577408</v>
      </c>
      <c r="AJ23" s="272">
        <v>53114</v>
      </c>
      <c r="AK23" s="272">
        <v>4394115</v>
      </c>
      <c r="AL23" s="455">
        <f t="shared" si="4"/>
        <v>2121921</v>
      </c>
      <c r="AM23" s="272">
        <v>1742722</v>
      </c>
      <c r="AN23" s="272">
        <v>296180</v>
      </c>
      <c r="AO23" s="272">
        <v>0</v>
      </c>
      <c r="AP23" s="272">
        <v>83019</v>
      </c>
      <c r="AQ23" s="272">
        <v>1380085</v>
      </c>
      <c r="AR23" s="272">
        <v>0</v>
      </c>
      <c r="AS23" s="272">
        <v>261634</v>
      </c>
      <c r="AT23" s="272">
        <v>2412496</v>
      </c>
      <c r="AU23" s="272">
        <v>439179</v>
      </c>
      <c r="AV23" s="272">
        <v>148090</v>
      </c>
      <c r="AW23" s="272">
        <v>24978</v>
      </c>
      <c r="AX23" s="272">
        <v>1973317</v>
      </c>
      <c r="AY23" s="272">
        <v>623373</v>
      </c>
      <c r="AZ23" s="272">
        <v>815702</v>
      </c>
      <c r="BA23" s="272">
        <v>393596</v>
      </c>
      <c r="BB23" s="272">
        <v>495085</v>
      </c>
      <c r="BC23" s="272">
        <v>600</v>
      </c>
      <c r="BD23" s="272">
        <v>0</v>
      </c>
      <c r="BE23" s="272">
        <v>0</v>
      </c>
      <c r="BF23" s="272">
        <v>600</v>
      </c>
      <c r="BG23" s="272">
        <v>0</v>
      </c>
      <c r="BH23" s="272">
        <v>202845</v>
      </c>
      <c r="BI23" s="272">
        <v>202663</v>
      </c>
      <c r="BJ23" s="272">
        <v>1332847</v>
      </c>
      <c r="BK23" s="272">
        <v>71954</v>
      </c>
      <c r="BL23" s="272">
        <v>0</v>
      </c>
      <c r="BM23" s="272">
        <v>0</v>
      </c>
      <c r="BN23" s="272">
        <v>3732189</v>
      </c>
      <c r="BO23" s="455">
        <f t="shared" si="5"/>
        <v>3732189</v>
      </c>
      <c r="BP23" s="455">
        <f t="shared" si="6"/>
        <v>0</v>
      </c>
      <c r="BQ23" s="272"/>
      <c r="BR23" s="272"/>
      <c r="BS23" s="272"/>
      <c r="BT23" s="272">
        <v>0</v>
      </c>
      <c r="BU23" s="272">
        <v>37185359</v>
      </c>
      <c r="BV23" s="272"/>
      <c r="BW23" s="272">
        <v>10795739</v>
      </c>
      <c r="BX23" s="272">
        <v>8355557</v>
      </c>
      <c r="BY23" s="272">
        <v>593758</v>
      </c>
      <c r="BZ23" s="272">
        <v>189687</v>
      </c>
      <c r="CA23" s="272">
        <v>4290201</v>
      </c>
      <c r="CB23" s="272">
        <v>405795</v>
      </c>
      <c r="CC23" s="272">
        <v>661516</v>
      </c>
      <c r="CD23" s="272">
        <v>793466</v>
      </c>
      <c r="CE23" s="272">
        <v>2340096</v>
      </c>
      <c r="CF23" s="272">
        <v>3408</v>
      </c>
      <c r="CG23" s="272">
        <v>85460</v>
      </c>
      <c r="CH23" s="272">
        <v>4310588</v>
      </c>
      <c r="CI23" s="272">
        <v>2211892</v>
      </c>
      <c r="CJ23" s="455">
        <f t="shared" si="7"/>
        <v>2098696</v>
      </c>
      <c r="CK23" s="272">
        <v>2388106</v>
      </c>
      <c r="CL23" s="272">
        <v>1090849</v>
      </c>
      <c r="CM23" s="272">
        <v>88857</v>
      </c>
      <c r="CN23" s="272">
        <v>720629</v>
      </c>
      <c r="CO23" s="272">
        <v>146853</v>
      </c>
      <c r="CP23" s="272">
        <v>3144072</v>
      </c>
      <c r="CQ23" s="272">
        <v>1258158</v>
      </c>
      <c r="CR23" s="272">
        <v>563596</v>
      </c>
      <c r="CS23" s="272">
        <v>487298</v>
      </c>
      <c r="CT23" s="455">
        <f t="shared" si="8"/>
        <v>833851</v>
      </c>
      <c r="CU23" s="272">
        <v>13000</v>
      </c>
      <c r="CV23" s="272">
        <v>820851</v>
      </c>
      <c r="CW23" s="455">
        <f t="shared" si="9"/>
        <v>809792</v>
      </c>
      <c r="CX23" s="272">
        <v>0</v>
      </c>
      <c r="CY23" s="272">
        <v>809792</v>
      </c>
      <c r="CZ23" s="455">
        <f t="shared" si="10"/>
        <v>0</v>
      </c>
      <c r="DA23" s="272">
        <v>0</v>
      </c>
      <c r="DB23" s="272">
        <v>0</v>
      </c>
      <c r="DC23" s="272">
        <v>8123749</v>
      </c>
      <c r="DD23" s="272">
        <v>4970803</v>
      </c>
      <c r="DE23" s="272">
        <v>3152946</v>
      </c>
      <c r="DF23" s="272">
        <v>0</v>
      </c>
      <c r="DG23" s="272">
        <v>0</v>
      </c>
      <c r="DH23" s="272">
        <v>0</v>
      </c>
      <c r="DI23" s="272">
        <v>718494</v>
      </c>
      <c r="DJ23" s="272">
        <v>5900</v>
      </c>
      <c r="DK23" s="272">
        <v>280357</v>
      </c>
      <c r="DL23" s="272">
        <v>432237</v>
      </c>
      <c r="DM23" s="272">
        <v>24500</v>
      </c>
      <c r="DN23" s="272">
        <v>0</v>
      </c>
      <c r="DO23" s="272">
        <v>0</v>
      </c>
      <c r="DP23" s="272">
        <v>0</v>
      </c>
      <c r="DQ23" s="272">
        <v>1071200</v>
      </c>
      <c r="DR23" s="272">
        <v>1000000</v>
      </c>
      <c r="DS23" s="272">
        <v>1000000</v>
      </c>
      <c r="DT23" s="272">
        <v>1413598</v>
      </c>
      <c r="DU23" s="272">
        <v>779736</v>
      </c>
      <c r="DV23" s="455">
        <f t="shared" si="11"/>
        <v>0</v>
      </c>
      <c r="DW23" s="272">
        <v>0</v>
      </c>
      <c r="DX23" s="272">
        <v>0</v>
      </c>
      <c r="DY23" s="457" t="s">
        <v>646</v>
      </c>
      <c r="DZ23" s="272">
        <v>324465</v>
      </c>
      <c r="EA23" s="272">
        <v>299397</v>
      </c>
      <c r="EB23" s="272"/>
      <c r="EC23" s="272">
        <v>0</v>
      </c>
      <c r="ED23" s="272">
        <v>36427100</v>
      </c>
      <c r="EF23" s="272">
        <v>758259</v>
      </c>
      <c r="EG23" s="272">
        <v>88510</v>
      </c>
      <c r="EH23" s="272">
        <v>669749</v>
      </c>
      <c r="EI23" s="272">
        <v>467086</v>
      </c>
      <c r="EJ23" s="272">
        <v>472986</v>
      </c>
      <c r="EL23" s="272">
        <v>146127</v>
      </c>
      <c r="EM23" s="272">
        <v>146376</v>
      </c>
      <c r="EN23" s="272">
        <v>0</v>
      </c>
      <c r="EO23" s="272">
        <v>779018</v>
      </c>
      <c r="EP23" s="455">
        <f t="shared" si="12"/>
        <v>1153976</v>
      </c>
      <c r="EQ23" s="272">
        <v>22767577</v>
      </c>
      <c r="ER23" s="272">
        <v>-1647588</v>
      </c>
      <c r="ES23" s="272">
        <v>9742215</v>
      </c>
      <c r="ET23" s="272">
        <v>7540163</v>
      </c>
      <c r="EU23" s="272">
        <v>1377427</v>
      </c>
      <c r="EV23" s="272">
        <v>3507594</v>
      </c>
      <c r="EW23" s="455">
        <f t="shared" si="13"/>
        <v>2070616</v>
      </c>
      <c r="EX23" s="272">
        <v>2070616</v>
      </c>
      <c r="EY23" s="272">
        <v>359833</v>
      </c>
      <c r="EZ23" s="272">
        <v>1710783</v>
      </c>
      <c r="FA23" s="272">
        <v>0</v>
      </c>
      <c r="FB23" s="272"/>
      <c r="FC23" s="272">
        <v>1987062</v>
      </c>
      <c r="FD23" s="272">
        <v>2889791</v>
      </c>
      <c r="FE23" s="272">
        <v>1258158</v>
      </c>
      <c r="FF23" s="272">
        <v>1285279</v>
      </c>
      <c r="FG23" s="455">
        <f t="shared" si="14"/>
        <v>797321</v>
      </c>
      <c r="FH23" s="272">
        <v>23657305</v>
      </c>
      <c r="FI23" s="384">
        <f t="shared" si="15"/>
        <v>3.6</v>
      </c>
      <c r="FJ23" s="272">
        <v>18831286</v>
      </c>
      <c r="FK23" s="272"/>
      <c r="FL23" s="272">
        <v>11341950</v>
      </c>
      <c r="FM23" s="272">
        <v>15125456</v>
      </c>
      <c r="FN23" s="460">
        <v>0.74</v>
      </c>
      <c r="FO23" s="388">
        <v>92.9</v>
      </c>
      <c r="FP23" s="388">
        <v>46.3</v>
      </c>
      <c r="FQ23" s="388">
        <v>6.6</v>
      </c>
      <c r="FR23" s="388">
        <v>16.899999999999999</v>
      </c>
      <c r="FS23" s="388">
        <v>9</v>
      </c>
      <c r="FT23" s="388">
        <v>10.8</v>
      </c>
      <c r="FU23" s="388">
        <v>2.8</v>
      </c>
      <c r="FV23" s="388">
        <v>14.4</v>
      </c>
      <c r="FW23" s="272">
        <v>34925644</v>
      </c>
      <c r="FX23" s="384">
        <f t="shared" si="16"/>
        <v>185.5</v>
      </c>
      <c r="FY23" s="272">
        <v>7194270</v>
      </c>
      <c r="FZ23" s="272">
        <v>105900</v>
      </c>
      <c r="GA23" s="272">
        <v>830357</v>
      </c>
      <c r="GB23" s="272">
        <v>6258013</v>
      </c>
      <c r="GC23" s="272"/>
      <c r="GD23" s="272">
        <v>6602901</v>
      </c>
      <c r="GE23" s="384">
        <f t="shared" si="17"/>
        <v>35.1</v>
      </c>
      <c r="GF23" s="388">
        <v>98.1</v>
      </c>
      <c r="GG23" s="388">
        <v>42.3</v>
      </c>
      <c r="GH23" s="388">
        <v>96</v>
      </c>
      <c r="GI23" s="272">
        <v>1303</v>
      </c>
    </row>
    <row r="24" spans="2:191" x14ac:dyDescent="0.15">
      <c r="B24" s="89" t="s">
        <v>41</v>
      </c>
      <c r="C24" s="272">
        <v>21896523</v>
      </c>
      <c r="D24" s="455">
        <f t="shared" si="0"/>
        <v>11668159</v>
      </c>
      <c r="E24" s="272">
        <v>79918</v>
      </c>
      <c r="F24" s="272">
        <v>11588241</v>
      </c>
      <c r="G24" s="455">
        <f t="shared" si="1"/>
        <v>1687295</v>
      </c>
      <c r="H24" s="272">
        <v>193815</v>
      </c>
      <c r="I24" s="272">
        <v>1493480</v>
      </c>
      <c r="J24" s="272">
        <v>5815130</v>
      </c>
      <c r="K24" s="272">
        <v>2763555</v>
      </c>
      <c r="L24" s="272">
        <v>2618533</v>
      </c>
      <c r="M24" s="272">
        <v>401670</v>
      </c>
      <c r="N24" s="272">
        <v>403401</v>
      </c>
      <c r="O24" s="272">
        <v>1690938</v>
      </c>
      <c r="P24" s="272">
        <v>1102553</v>
      </c>
      <c r="Q24" s="272">
        <v>588385</v>
      </c>
      <c r="R24" s="272">
        <v>557752</v>
      </c>
      <c r="S24" s="272">
        <v>349070</v>
      </c>
      <c r="T24" s="455">
        <f t="shared" si="2"/>
        <v>1901501</v>
      </c>
      <c r="U24" s="272">
        <v>1483598</v>
      </c>
      <c r="V24" s="272"/>
      <c r="W24" s="272"/>
      <c r="X24" s="272"/>
      <c r="Y24" s="272">
        <v>6328</v>
      </c>
      <c r="Z24" s="272"/>
      <c r="AA24" s="272">
        <v>411575</v>
      </c>
      <c r="AB24" s="272"/>
      <c r="AC24" s="272">
        <v>86288</v>
      </c>
      <c r="AD24" s="272">
        <v>0</v>
      </c>
      <c r="AE24" s="272">
        <v>86288</v>
      </c>
      <c r="AF24" s="272">
        <v>26633</v>
      </c>
      <c r="AG24" s="272">
        <v>134214</v>
      </c>
      <c r="AH24" s="455">
        <f t="shared" si="3"/>
        <v>485074</v>
      </c>
      <c r="AI24" s="272">
        <v>399571</v>
      </c>
      <c r="AJ24" s="272">
        <v>85503</v>
      </c>
      <c r="AK24" s="272">
        <v>1300081</v>
      </c>
      <c r="AL24" s="455">
        <f t="shared" si="4"/>
        <v>702622</v>
      </c>
      <c r="AM24" s="272">
        <v>389116</v>
      </c>
      <c r="AN24" s="272">
        <v>194986</v>
      </c>
      <c r="AO24" s="272">
        <v>0</v>
      </c>
      <c r="AP24" s="272">
        <v>118520</v>
      </c>
      <c r="AQ24" s="272">
        <v>229960</v>
      </c>
      <c r="AR24" s="272">
        <v>0</v>
      </c>
      <c r="AS24" s="272">
        <v>0</v>
      </c>
      <c r="AT24" s="272">
        <v>1270493</v>
      </c>
      <c r="AU24" s="272">
        <v>318386</v>
      </c>
      <c r="AV24" s="272">
        <v>59318</v>
      </c>
      <c r="AW24" s="272">
        <v>0</v>
      </c>
      <c r="AX24" s="272">
        <v>952107</v>
      </c>
      <c r="AY24" s="272">
        <v>174750</v>
      </c>
      <c r="AZ24" s="272">
        <v>2401503</v>
      </c>
      <c r="BA24" s="272">
        <v>15135</v>
      </c>
      <c r="BB24" s="272">
        <v>48021</v>
      </c>
      <c r="BC24" s="272">
        <v>2027668</v>
      </c>
      <c r="BD24" s="272">
        <v>0</v>
      </c>
      <c r="BE24" s="272">
        <v>369000</v>
      </c>
      <c r="BF24" s="272">
        <v>1640131</v>
      </c>
      <c r="BG24" s="272">
        <v>0</v>
      </c>
      <c r="BH24" s="272">
        <v>1115362</v>
      </c>
      <c r="BI24" s="272">
        <v>751192</v>
      </c>
      <c r="BJ24" s="272">
        <v>9269863</v>
      </c>
      <c r="BK24" s="272">
        <v>2025287</v>
      </c>
      <c r="BL24" s="272">
        <v>9203</v>
      </c>
      <c r="BM24" s="272">
        <v>7000000</v>
      </c>
      <c r="BN24" s="272">
        <v>1957205</v>
      </c>
      <c r="BO24" s="455">
        <f t="shared" si="5"/>
        <v>1957205</v>
      </c>
      <c r="BP24" s="455">
        <f t="shared" si="6"/>
        <v>0</v>
      </c>
      <c r="BQ24" s="272"/>
      <c r="BR24" s="272"/>
      <c r="BS24" s="272"/>
      <c r="BT24" s="272">
        <v>0</v>
      </c>
      <c r="BU24" s="272">
        <v>44478181</v>
      </c>
      <c r="BV24" s="272"/>
      <c r="BW24" s="272">
        <v>9202986</v>
      </c>
      <c r="BX24" s="272">
        <v>6751689</v>
      </c>
      <c r="BY24" s="272">
        <v>659646</v>
      </c>
      <c r="BZ24" s="272">
        <v>316964</v>
      </c>
      <c r="CA24" s="272">
        <v>1512450</v>
      </c>
      <c r="CB24" s="272">
        <v>182305</v>
      </c>
      <c r="CC24" s="272">
        <v>480155</v>
      </c>
      <c r="CD24" s="272">
        <v>307287</v>
      </c>
      <c r="CE24" s="272">
        <v>522843</v>
      </c>
      <c r="CF24" s="272">
        <v>0</v>
      </c>
      <c r="CG24" s="272">
        <v>19860</v>
      </c>
      <c r="CH24" s="272">
        <v>1734526</v>
      </c>
      <c r="CI24" s="272">
        <v>658157</v>
      </c>
      <c r="CJ24" s="455">
        <f t="shared" si="7"/>
        <v>1076369</v>
      </c>
      <c r="CK24" s="272">
        <v>3816046</v>
      </c>
      <c r="CL24" s="272">
        <v>1944733</v>
      </c>
      <c r="CM24" s="272">
        <v>107140</v>
      </c>
      <c r="CN24" s="272">
        <v>1104199</v>
      </c>
      <c r="CO24" s="272">
        <v>179842</v>
      </c>
      <c r="CP24" s="272">
        <v>2209712</v>
      </c>
      <c r="CQ24" s="272">
        <v>78346</v>
      </c>
      <c r="CR24" s="272">
        <v>740279</v>
      </c>
      <c r="CS24" s="272">
        <v>545672</v>
      </c>
      <c r="CT24" s="455">
        <f t="shared" si="8"/>
        <v>816914</v>
      </c>
      <c r="CU24" s="272">
        <v>370047</v>
      </c>
      <c r="CV24" s="272">
        <v>446867</v>
      </c>
      <c r="CW24" s="455">
        <f t="shared" si="9"/>
        <v>673434</v>
      </c>
      <c r="CX24" s="272">
        <v>363086</v>
      </c>
      <c r="CY24" s="272">
        <v>310348</v>
      </c>
      <c r="CZ24" s="455">
        <f t="shared" si="10"/>
        <v>0</v>
      </c>
      <c r="DA24" s="272">
        <v>0</v>
      </c>
      <c r="DB24" s="272">
        <v>0</v>
      </c>
      <c r="DC24" s="272">
        <v>10197829</v>
      </c>
      <c r="DD24" s="272">
        <v>1825221</v>
      </c>
      <c r="DE24" s="272">
        <v>8353814</v>
      </c>
      <c r="DF24" s="272">
        <v>10797</v>
      </c>
      <c r="DG24" s="272">
        <v>7997</v>
      </c>
      <c r="DH24" s="272">
        <v>21734</v>
      </c>
      <c r="DI24" s="272">
        <v>8377038</v>
      </c>
      <c r="DJ24" s="272">
        <v>653902</v>
      </c>
      <c r="DK24" s="272">
        <v>189995</v>
      </c>
      <c r="DL24" s="272">
        <v>7533141</v>
      </c>
      <c r="DM24" s="272">
        <v>1232629</v>
      </c>
      <c r="DN24" s="272">
        <v>232629</v>
      </c>
      <c r="DO24" s="272">
        <v>29000</v>
      </c>
      <c r="DP24" s="272">
        <v>203629</v>
      </c>
      <c r="DQ24" s="272">
        <v>2020134</v>
      </c>
      <c r="DR24" s="272">
        <v>0</v>
      </c>
      <c r="DS24" s="272">
        <v>0</v>
      </c>
      <c r="DT24" s="272">
        <v>2679370</v>
      </c>
      <c r="DU24" s="272">
        <v>1437293</v>
      </c>
      <c r="DV24" s="455">
        <f t="shared" si="11"/>
        <v>0</v>
      </c>
      <c r="DW24" s="272">
        <v>0</v>
      </c>
      <c r="DX24" s="272">
        <v>0</v>
      </c>
      <c r="DY24" s="457" t="s">
        <v>646</v>
      </c>
      <c r="DZ24" s="272">
        <v>398815</v>
      </c>
      <c r="EA24" s="272">
        <v>291704</v>
      </c>
      <c r="EB24" s="272"/>
      <c r="EC24" s="272">
        <v>0</v>
      </c>
      <c r="ED24" s="272">
        <v>43184296</v>
      </c>
      <c r="EF24" s="272">
        <v>1293885</v>
      </c>
      <c r="EG24" s="272">
        <v>637865</v>
      </c>
      <c r="EH24" s="272">
        <v>656020</v>
      </c>
      <c r="EI24" s="272">
        <v>-895172</v>
      </c>
      <c r="EJ24" s="272">
        <v>-241270</v>
      </c>
      <c r="EL24" s="272">
        <v>122120</v>
      </c>
      <c r="EM24" s="272">
        <v>119132</v>
      </c>
      <c r="EN24" s="272">
        <v>387555</v>
      </c>
      <c r="EO24" s="272">
        <v>176592</v>
      </c>
      <c r="EP24" s="455">
        <f t="shared" si="12"/>
        <v>8083098</v>
      </c>
      <c r="EQ24" s="272">
        <v>24468697</v>
      </c>
      <c r="ER24" s="272">
        <v>-8620612</v>
      </c>
      <c r="ES24" s="272">
        <v>8696055</v>
      </c>
      <c r="ET24" s="272">
        <v>6331300</v>
      </c>
      <c r="EU24" s="272">
        <v>374881</v>
      </c>
      <c r="EV24" s="272">
        <v>1683423</v>
      </c>
      <c r="EW24" s="455">
        <f t="shared" si="13"/>
        <v>6167301</v>
      </c>
      <c r="EX24" s="272">
        <v>6145567</v>
      </c>
      <c r="EY24" s="272">
        <v>143973</v>
      </c>
      <c r="EZ24" s="272">
        <v>5990797</v>
      </c>
      <c r="FA24" s="272">
        <v>21734</v>
      </c>
      <c r="FB24" s="272"/>
      <c r="FC24" s="272">
        <v>3066314</v>
      </c>
      <c r="FD24" s="272">
        <v>1770219</v>
      </c>
      <c r="FE24" s="272">
        <v>78346</v>
      </c>
      <c r="FF24" s="272">
        <v>2615783</v>
      </c>
      <c r="FG24" s="455">
        <f t="shared" si="14"/>
        <v>7421448</v>
      </c>
      <c r="FH24" s="272">
        <v>31795424</v>
      </c>
      <c r="FI24" s="384">
        <f t="shared" si="15"/>
        <v>3.2</v>
      </c>
      <c r="FJ24" s="272">
        <v>20771597</v>
      </c>
      <c r="FK24" s="272"/>
      <c r="FL24" s="272">
        <v>15633414</v>
      </c>
      <c r="FM24" s="272">
        <v>14071713</v>
      </c>
      <c r="FN24" s="460">
        <v>1.131</v>
      </c>
      <c r="FO24" s="388">
        <v>67.900000000000006</v>
      </c>
      <c r="FP24" s="388">
        <v>37.6</v>
      </c>
      <c r="FQ24" s="388">
        <v>1.6</v>
      </c>
      <c r="FR24" s="388">
        <v>7.3</v>
      </c>
      <c r="FS24" s="388">
        <v>12.3</v>
      </c>
      <c r="FT24" s="388">
        <v>5.9</v>
      </c>
      <c r="FU24" s="388">
        <v>2.4</v>
      </c>
      <c r="FV24" s="388">
        <v>5.8</v>
      </c>
      <c r="FW24" s="272">
        <v>18223930</v>
      </c>
      <c r="FX24" s="384">
        <f t="shared" si="16"/>
        <v>87.7</v>
      </c>
      <c r="FY24" s="272">
        <v>38769558</v>
      </c>
      <c r="FZ24" s="272">
        <v>9995353</v>
      </c>
      <c r="GA24" s="272">
        <v>2849117</v>
      </c>
      <c r="GB24" s="272">
        <v>25925088</v>
      </c>
      <c r="GC24" s="272"/>
      <c r="GD24" s="272">
        <v>12815770</v>
      </c>
      <c r="GE24" s="384">
        <f t="shared" si="17"/>
        <v>61.7</v>
      </c>
      <c r="GF24" s="388">
        <v>98.8</v>
      </c>
      <c r="GG24" s="388">
        <v>37.6</v>
      </c>
      <c r="GH24" s="388">
        <v>97.5</v>
      </c>
      <c r="GI24" s="272">
        <v>1072</v>
      </c>
    </row>
    <row r="25" spans="2:191" x14ac:dyDescent="0.15">
      <c r="B25" s="89" t="s">
        <v>43</v>
      </c>
      <c r="C25" s="272">
        <v>9473859</v>
      </c>
      <c r="D25" s="455">
        <f t="shared" si="0"/>
        <v>3936859</v>
      </c>
      <c r="E25" s="272">
        <v>50327</v>
      </c>
      <c r="F25" s="272">
        <v>3886532</v>
      </c>
      <c r="G25" s="455">
        <f t="shared" si="1"/>
        <v>1534928</v>
      </c>
      <c r="H25" s="272">
        <v>103393</v>
      </c>
      <c r="I25" s="272">
        <v>1431535</v>
      </c>
      <c r="J25" s="272">
        <v>2989457</v>
      </c>
      <c r="K25" s="272">
        <v>1252629</v>
      </c>
      <c r="L25" s="272">
        <v>969181</v>
      </c>
      <c r="M25" s="272">
        <v>742128</v>
      </c>
      <c r="N25" s="272">
        <v>290110</v>
      </c>
      <c r="O25" s="272">
        <v>676944</v>
      </c>
      <c r="P25" s="272">
        <v>452755</v>
      </c>
      <c r="Q25" s="272">
        <v>224189</v>
      </c>
      <c r="R25" s="272">
        <v>421599</v>
      </c>
      <c r="S25" s="272">
        <v>301340</v>
      </c>
      <c r="T25" s="455">
        <f t="shared" si="2"/>
        <v>765465</v>
      </c>
      <c r="U25" s="272">
        <v>527798</v>
      </c>
      <c r="V25" s="272"/>
      <c r="W25" s="272"/>
      <c r="X25" s="272"/>
      <c r="Y25" s="272">
        <v>0</v>
      </c>
      <c r="Z25" s="272"/>
      <c r="AA25" s="272">
        <v>237667</v>
      </c>
      <c r="AB25" s="272"/>
      <c r="AC25" s="272">
        <v>2168739</v>
      </c>
      <c r="AD25" s="272">
        <v>1850664</v>
      </c>
      <c r="AE25" s="272">
        <v>318075</v>
      </c>
      <c r="AF25" s="272">
        <v>14694</v>
      </c>
      <c r="AG25" s="272">
        <v>144733</v>
      </c>
      <c r="AH25" s="455">
        <f t="shared" si="3"/>
        <v>278091</v>
      </c>
      <c r="AI25" s="272">
        <v>225847</v>
      </c>
      <c r="AJ25" s="272">
        <v>52244</v>
      </c>
      <c r="AK25" s="272">
        <v>1183838</v>
      </c>
      <c r="AL25" s="455">
        <f t="shared" si="4"/>
        <v>898718</v>
      </c>
      <c r="AM25" s="272">
        <v>637059</v>
      </c>
      <c r="AN25" s="272">
        <v>197036</v>
      </c>
      <c r="AO25" s="272">
        <v>0</v>
      </c>
      <c r="AP25" s="272">
        <v>64623</v>
      </c>
      <c r="AQ25" s="272">
        <v>86792</v>
      </c>
      <c r="AR25" s="272">
        <v>0</v>
      </c>
      <c r="AS25" s="272">
        <v>0</v>
      </c>
      <c r="AT25" s="272">
        <v>768852</v>
      </c>
      <c r="AU25" s="272">
        <v>257571</v>
      </c>
      <c r="AV25" s="272">
        <v>71421</v>
      </c>
      <c r="AW25" s="272">
        <v>33134</v>
      </c>
      <c r="AX25" s="272">
        <v>511281</v>
      </c>
      <c r="AY25" s="272">
        <v>85966</v>
      </c>
      <c r="AZ25" s="272">
        <v>493031</v>
      </c>
      <c r="BA25" s="272">
        <v>174076</v>
      </c>
      <c r="BB25" s="272">
        <v>374013</v>
      </c>
      <c r="BC25" s="272">
        <v>197744</v>
      </c>
      <c r="BD25" s="272">
        <v>0</v>
      </c>
      <c r="BE25" s="272">
        <v>35000</v>
      </c>
      <c r="BF25" s="272">
        <v>132000</v>
      </c>
      <c r="BG25" s="272">
        <v>0</v>
      </c>
      <c r="BH25" s="272">
        <v>102876</v>
      </c>
      <c r="BI25" s="272">
        <v>11849</v>
      </c>
      <c r="BJ25" s="272">
        <v>2023009</v>
      </c>
      <c r="BK25" s="272">
        <v>1882294</v>
      </c>
      <c r="BL25" s="272">
        <v>1940</v>
      </c>
      <c r="BM25" s="272">
        <v>0</v>
      </c>
      <c r="BN25" s="272">
        <v>239300</v>
      </c>
      <c r="BO25" s="455">
        <f t="shared" si="5"/>
        <v>239300</v>
      </c>
      <c r="BP25" s="455">
        <f t="shared" si="6"/>
        <v>0</v>
      </c>
      <c r="BQ25" s="272"/>
      <c r="BR25" s="272"/>
      <c r="BS25" s="272"/>
      <c r="BT25" s="272">
        <v>0</v>
      </c>
      <c r="BU25" s="272">
        <v>18649843</v>
      </c>
      <c r="BV25" s="272"/>
      <c r="BW25" s="272">
        <v>3922596</v>
      </c>
      <c r="BX25" s="272">
        <v>2824621</v>
      </c>
      <c r="BY25" s="272">
        <v>272725</v>
      </c>
      <c r="BZ25" s="272">
        <v>86968</v>
      </c>
      <c r="CA25" s="272">
        <v>1808967</v>
      </c>
      <c r="CB25" s="272">
        <v>157994</v>
      </c>
      <c r="CC25" s="272">
        <v>348985</v>
      </c>
      <c r="CD25" s="272">
        <v>429907</v>
      </c>
      <c r="CE25" s="272">
        <v>788400</v>
      </c>
      <c r="CF25" s="272">
        <v>0</v>
      </c>
      <c r="CG25" s="272">
        <v>83681</v>
      </c>
      <c r="CH25" s="272">
        <v>1422446</v>
      </c>
      <c r="CI25" s="272">
        <v>620355</v>
      </c>
      <c r="CJ25" s="455">
        <f t="shared" si="7"/>
        <v>802091</v>
      </c>
      <c r="CK25" s="272">
        <v>1794296</v>
      </c>
      <c r="CL25" s="272">
        <v>879833</v>
      </c>
      <c r="CM25" s="272">
        <v>73184</v>
      </c>
      <c r="CN25" s="272">
        <v>444593</v>
      </c>
      <c r="CO25" s="272">
        <v>199831</v>
      </c>
      <c r="CP25" s="272">
        <v>2858163</v>
      </c>
      <c r="CQ25" s="272">
        <v>1692504</v>
      </c>
      <c r="CR25" s="272">
        <v>370012</v>
      </c>
      <c r="CS25" s="272">
        <v>323929</v>
      </c>
      <c r="CT25" s="455">
        <f t="shared" si="8"/>
        <v>193273</v>
      </c>
      <c r="CU25" s="272">
        <v>2703</v>
      </c>
      <c r="CV25" s="272">
        <v>190570</v>
      </c>
      <c r="CW25" s="455">
        <f t="shared" si="9"/>
        <v>188805</v>
      </c>
      <c r="CX25" s="272">
        <v>0</v>
      </c>
      <c r="CY25" s="272">
        <v>188805</v>
      </c>
      <c r="CZ25" s="455">
        <f t="shared" si="10"/>
        <v>0</v>
      </c>
      <c r="DA25" s="272">
        <v>0</v>
      </c>
      <c r="DB25" s="272">
        <v>0</v>
      </c>
      <c r="DC25" s="272">
        <v>2129299</v>
      </c>
      <c r="DD25" s="272">
        <v>279523</v>
      </c>
      <c r="DE25" s="272">
        <v>1847836</v>
      </c>
      <c r="DF25" s="272">
        <v>0</v>
      </c>
      <c r="DG25" s="272">
        <v>1940</v>
      </c>
      <c r="DH25" s="272">
        <v>0</v>
      </c>
      <c r="DI25" s="272">
        <v>1165753</v>
      </c>
      <c r="DJ25" s="272">
        <v>133429</v>
      </c>
      <c r="DK25" s="272">
        <v>117433</v>
      </c>
      <c r="DL25" s="272">
        <v>914891</v>
      </c>
      <c r="DM25" s="272">
        <v>0</v>
      </c>
      <c r="DN25" s="272">
        <v>0</v>
      </c>
      <c r="DO25" s="272">
        <v>0</v>
      </c>
      <c r="DP25" s="272">
        <v>0</v>
      </c>
      <c r="DQ25" s="272">
        <v>1749950</v>
      </c>
      <c r="DR25" s="272">
        <v>0</v>
      </c>
      <c r="DS25" s="272">
        <v>0</v>
      </c>
      <c r="DT25" s="272">
        <v>1412717</v>
      </c>
      <c r="DU25" s="272">
        <v>900000</v>
      </c>
      <c r="DV25" s="455">
        <f t="shared" si="11"/>
        <v>0</v>
      </c>
      <c r="DW25" s="272">
        <v>0</v>
      </c>
      <c r="DX25" s="272">
        <v>0</v>
      </c>
      <c r="DY25" s="457" t="s">
        <v>646</v>
      </c>
      <c r="DZ25" s="272">
        <v>200715</v>
      </c>
      <c r="EA25" s="272">
        <v>180541</v>
      </c>
      <c r="EB25" s="272"/>
      <c r="EC25" s="272">
        <v>0</v>
      </c>
      <c r="ED25" s="272">
        <v>18464018</v>
      </c>
      <c r="EF25" s="272">
        <v>185825</v>
      </c>
      <c r="EG25" s="272">
        <v>43290</v>
      </c>
      <c r="EH25" s="272">
        <v>142535</v>
      </c>
      <c r="EI25" s="272">
        <v>116686</v>
      </c>
      <c r="EJ25" s="272">
        <v>250115</v>
      </c>
      <c r="EL25" s="272">
        <v>76819</v>
      </c>
      <c r="EM25" s="272">
        <v>74891</v>
      </c>
      <c r="EN25" s="272">
        <v>167000</v>
      </c>
      <c r="EO25" s="272">
        <v>176104</v>
      </c>
      <c r="EP25" s="455">
        <f t="shared" si="12"/>
        <v>2161452</v>
      </c>
      <c r="EQ25" s="272">
        <v>12844356</v>
      </c>
      <c r="ER25" s="272">
        <v>-2489862</v>
      </c>
      <c r="ES25" s="272">
        <v>3559618</v>
      </c>
      <c r="ET25" s="272">
        <v>2491874</v>
      </c>
      <c r="EU25" s="272">
        <v>495966</v>
      </c>
      <c r="EV25" s="272">
        <v>1422446</v>
      </c>
      <c r="EW25" s="455">
        <f t="shared" si="13"/>
        <v>1555506</v>
      </c>
      <c r="EX25" s="272">
        <v>1555506</v>
      </c>
      <c r="EY25" s="272">
        <v>60927</v>
      </c>
      <c r="EZ25" s="272">
        <v>1494579</v>
      </c>
      <c r="FA25" s="272">
        <v>0</v>
      </c>
      <c r="FB25" s="272"/>
      <c r="FC25" s="272">
        <v>1528245</v>
      </c>
      <c r="FD25" s="272">
        <v>2502246</v>
      </c>
      <c r="FE25" s="272">
        <v>1692504</v>
      </c>
      <c r="FF25" s="272">
        <v>1337109</v>
      </c>
      <c r="FG25" s="455">
        <f t="shared" si="14"/>
        <v>2787791</v>
      </c>
      <c r="FH25" s="272">
        <v>15188927</v>
      </c>
      <c r="FI25" s="384">
        <f t="shared" si="15"/>
        <v>1.3</v>
      </c>
      <c r="FJ25" s="272">
        <v>10834114</v>
      </c>
      <c r="FK25" s="272"/>
      <c r="FL25" s="272">
        <v>6769478</v>
      </c>
      <c r="FM25" s="272">
        <v>8614375</v>
      </c>
      <c r="FN25" s="460">
        <v>0.77900000000000003</v>
      </c>
      <c r="FO25" s="388">
        <v>80.400000000000006</v>
      </c>
      <c r="FP25" s="388">
        <v>29.1</v>
      </c>
      <c r="FQ25" s="388">
        <v>4.2</v>
      </c>
      <c r="FR25" s="388">
        <v>11.9</v>
      </c>
      <c r="FS25" s="388">
        <v>12.8</v>
      </c>
      <c r="FT25" s="388">
        <v>16.399999999999999</v>
      </c>
      <c r="FU25" s="388">
        <v>4.5</v>
      </c>
      <c r="FV25" s="388">
        <v>8.8000000000000007</v>
      </c>
      <c r="FW25" s="272">
        <v>11021390</v>
      </c>
      <c r="FX25" s="384">
        <f t="shared" si="16"/>
        <v>101.7</v>
      </c>
      <c r="FY25" s="272">
        <v>4692364</v>
      </c>
      <c r="FZ25" s="272">
        <v>1791291</v>
      </c>
      <c r="GA25" s="272">
        <v>365044</v>
      </c>
      <c r="GB25" s="272">
        <v>2536029</v>
      </c>
      <c r="GC25" s="272"/>
      <c r="GD25" s="272">
        <v>2025513</v>
      </c>
      <c r="GE25" s="384">
        <f t="shared" si="17"/>
        <v>18.7</v>
      </c>
      <c r="GF25" s="388">
        <v>97.7</v>
      </c>
      <c r="GG25" s="388">
        <v>42.3</v>
      </c>
      <c r="GH25" s="388">
        <v>95.7</v>
      </c>
      <c r="GI25" s="272">
        <v>441</v>
      </c>
    </row>
    <row r="26" spans="2:191" x14ac:dyDescent="0.15">
      <c r="B26" s="89" t="s">
        <v>45</v>
      </c>
      <c r="C26" s="272">
        <v>12434919</v>
      </c>
      <c r="D26" s="455">
        <f t="shared" si="0"/>
        <v>6605188</v>
      </c>
      <c r="E26" s="272">
        <v>75692</v>
      </c>
      <c r="F26" s="272">
        <v>6529496</v>
      </c>
      <c r="G26" s="455">
        <f t="shared" si="1"/>
        <v>950344</v>
      </c>
      <c r="H26" s="272">
        <v>106479</v>
      </c>
      <c r="I26" s="272">
        <v>843865</v>
      </c>
      <c r="J26" s="272">
        <v>3419371</v>
      </c>
      <c r="K26" s="272">
        <v>1638548</v>
      </c>
      <c r="L26" s="272">
        <v>1414273</v>
      </c>
      <c r="M26" s="272">
        <v>353928</v>
      </c>
      <c r="N26" s="272">
        <v>415757</v>
      </c>
      <c r="O26" s="272">
        <v>930773</v>
      </c>
      <c r="P26" s="272">
        <v>627520</v>
      </c>
      <c r="Q26" s="272">
        <v>303253</v>
      </c>
      <c r="R26" s="272">
        <v>503992</v>
      </c>
      <c r="S26" s="272">
        <v>325950</v>
      </c>
      <c r="T26" s="455">
        <f t="shared" si="2"/>
        <v>1249647</v>
      </c>
      <c r="U26" s="272">
        <v>897240</v>
      </c>
      <c r="V26" s="272"/>
      <c r="W26" s="272"/>
      <c r="X26" s="272"/>
      <c r="Y26" s="272">
        <v>0</v>
      </c>
      <c r="Z26" s="272"/>
      <c r="AA26" s="272">
        <v>352407</v>
      </c>
      <c r="AB26" s="272"/>
      <c r="AC26" s="272">
        <v>2975957</v>
      </c>
      <c r="AD26" s="272">
        <v>2684818</v>
      </c>
      <c r="AE26" s="272">
        <v>291139</v>
      </c>
      <c r="AF26" s="272">
        <v>21683</v>
      </c>
      <c r="AG26" s="272">
        <v>170649</v>
      </c>
      <c r="AH26" s="455">
        <f t="shared" si="3"/>
        <v>322975</v>
      </c>
      <c r="AI26" s="272">
        <v>295365</v>
      </c>
      <c r="AJ26" s="272">
        <v>27610</v>
      </c>
      <c r="AK26" s="272">
        <v>1703060</v>
      </c>
      <c r="AL26" s="455">
        <f t="shared" si="4"/>
        <v>1219664</v>
      </c>
      <c r="AM26" s="272">
        <v>953466</v>
      </c>
      <c r="AN26" s="272">
        <v>219706</v>
      </c>
      <c r="AO26" s="272">
        <v>0</v>
      </c>
      <c r="AP26" s="272">
        <v>46492</v>
      </c>
      <c r="AQ26" s="272">
        <v>57003</v>
      </c>
      <c r="AR26" s="272">
        <v>0</v>
      </c>
      <c r="AS26" s="272">
        <v>0</v>
      </c>
      <c r="AT26" s="272">
        <v>1618140</v>
      </c>
      <c r="AU26" s="272">
        <v>555793</v>
      </c>
      <c r="AV26" s="272">
        <v>133582</v>
      </c>
      <c r="AW26" s="272">
        <v>23797</v>
      </c>
      <c r="AX26" s="272">
        <v>1062347</v>
      </c>
      <c r="AY26" s="272">
        <v>342694</v>
      </c>
      <c r="AZ26" s="272">
        <v>669376</v>
      </c>
      <c r="BA26" s="272">
        <v>276243</v>
      </c>
      <c r="BB26" s="272">
        <v>213604</v>
      </c>
      <c r="BC26" s="272">
        <v>1042006</v>
      </c>
      <c r="BD26" s="272">
        <v>0</v>
      </c>
      <c r="BE26" s="272">
        <v>37000</v>
      </c>
      <c r="BF26" s="272">
        <v>1000000</v>
      </c>
      <c r="BG26" s="470">
        <v>0</v>
      </c>
      <c r="BH26" s="272">
        <v>748649</v>
      </c>
      <c r="BI26" s="272">
        <v>742478</v>
      </c>
      <c r="BJ26" s="272">
        <v>245968</v>
      </c>
      <c r="BK26" s="272">
        <v>0</v>
      </c>
      <c r="BL26" s="272">
        <v>63751</v>
      </c>
      <c r="BM26" s="272">
        <v>0</v>
      </c>
      <c r="BN26" s="272">
        <v>1462330</v>
      </c>
      <c r="BO26" s="455">
        <f t="shared" si="5"/>
        <v>1462330</v>
      </c>
      <c r="BP26" s="455">
        <f t="shared" si="6"/>
        <v>0</v>
      </c>
      <c r="BQ26" s="272"/>
      <c r="BR26" s="272"/>
      <c r="BS26" s="272"/>
      <c r="BT26" s="272">
        <v>0</v>
      </c>
      <c r="BU26" s="272">
        <v>25382955</v>
      </c>
      <c r="BV26" s="272"/>
      <c r="BW26" s="272">
        <v>6037771</v>
      </c>
      <c r="BX26" s="272">
        <v>4721565</v>
      </c>
      <c r="BY26" s="272">
        <v>170849</v>
      </c>
      <c r="BZ26" s="272">
        <v>66597</v>
      </c>
      <c r="CA26" s="272">
        <v>2889480</v>
      </c>
      <c r="CB26" s="272">
        <v>332658</v>
      </c>
      <c r="CC26" s="272">
        <v>519680</v>
      </c>
      <c r="CD26" s="272">
        <v>765989</v>
      </c>
      <c r="CE26" s="272">
        <v>1195373</v>
      </c>
      <c r="CF26" s="272">
        <v>1091</v>
      </c>
      <c r="CG26" s="272">
        <v>74524</v>
      </c>
      <c r="CH26" s="272">
        <v>1781282</v>
      </c>
      <c r="CI26" s="272">
        <v>904331</v>
      </c>
      <c r="CJ26" s="455">
        <f t="shared" si="7"/>
        <v>876951</v>
      </c>
      <c r="CK26" s="272">
        <v>2482724</v>
      </c>
      <c r="CL26" s="272">
        <v>1348853</v>
      </c>
      <c r="CM26" s="272">
        <v>212522</v>
      </c>
      <c r="CN26" s="272">
        <v>513180</v>
      </c>
      <c r="CO26" s="272">
        <v>232834</v>
      </c>
      <c r="CP26" s="272">
        <v>2733447</v>
      </c>
      <c r="CQ26" s="272">
        <v>1789755</v>
      </c>
      <c r="CR26" s="272">
        <v>645615</v>
      </c>
      <c r="CS26" s="272">
        <v>505246</v>
      </c>
      <c r="CT26" s="455">
        <f t="shared" si="8"/>
        <v>25785</v>
      </c>
      <c r="CU26" s="272">
        <v>25785</v>
      </c>
      <c r="CV26" s="272">
        <v>0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3906579</v>
      </c>
      <c r="DD26" s="272">
        <v>617791</v>
      </c>
      <c r="DE26" s="272">
        <v>2676183</v>
      </c>
      <c r="DF26" s="272">
        <v>4385</v>
      </c>
      <c r="DG26" s="272">
        <v>608220</v>
      </c>
      <c r="DH26" s="272">
        <v>0</v>
      </c>
      <c r="DI26" s="272">
        <v>1985000</v>
      </c>
      <c r="DJ26" s="272">
        <v>0</v>
      </c>
      <c r="DK26" s="272">
        <v>549000</v>
      </c>
      <c r="DL26" s="272">
        <v>1436000</v>
      </c>
      <c r="DM26" s="272">
        <v>0</v>
      </c>
      <c r="DN26" s="272">
        <v>0</v>
      </c>
      <c r="DO26" s="272">
        <v>0</v>
      </c>
      <c r="DP26" s="272">
        <v>0</v>
      </c>
      <c r="DQ26" s="272">
        <v>0</v>
      </c>
      <c r="DR26" s="272">
        <v>0</v>
      </c>
      <c r="DS26" s="272">
        <v>0</v>
      </c>
      <c r="DT26" s="272">
        <v>2480308</v>
      </c>
      <c r="DU26" s="272">
        <v>1248709</v>
      </c>
      <c r="DV26" s="455">
        <f t="shared" si="11"/>
        <v>0</v>
      </c>
      <c r="DW26" s="272">
        <v>0</v>
      </c>
      <c r="DX26" s="272">
        <v>0</v>
      </c>
      <c r="DY26" s="457" t="s">
        <v>646</v>
      </c>
      <c r="DZ26" s="272">
        <v>337287</v>
      </c>
      <c r="EA26" s="272">
        <v>269517</v>
      </c>
      <c r="EB26" s="272"/>
      <c r="EC26" s="272">
        <v>0</v>
      </c>
      <c r="ED26" s="272">
        <v>24529425</v>
      </c>
      <c r="EF26" s="272">
        <v>853530</v>
      </c>
      <c r="EG26" s="272">
        <v>2152</v>
      </c>
      <c r="EH26" s="272">
        <v>851378</v>
      </c>
      <c r="EI26" s="272">
        <v>108900</v>
      </c>
      <c r="EJ26" s="272">
        <v>108900</v>
      </c>
      <c r="EL26" s="272">
        <v>115049</v>
      </c>
      <c r="EM26" s="272">
        <v>114602</v>
      </c>
      <c r="EN26" s="272">
        <v>1042006</v>
      </c>
      <c r="EO26" s="272">
        <v>310196</v>
      </c>
      <c r="EP26" s="455">
        <f t="shared" si="12"/>
        <v>1193033</v>
      </c>
      <c r="EQ26" s="272">
        <v>17186198</v>
      </c>
      <c r="ER26" s="272">
        <v>-2523552</v>
      </c>
      <c r="ES26" s="272">
        <v>5493588</v>
      </c>
      <c r="ET26" s="272">
        <v>4269866</v>
      </c>
      <c r="EU26" s="272">
        <v>874511</v>
      </c>
      <c r="EV26" s="272">
        <v>1700012</v>
      </c>
      <c r="EW26" s="455">
        <f t="shared" si="13"/>
        <v>1826005</v>
      </c>
      <c r="EX26" s="272">
        <v>1826005</v>
      </c>
      <c r="EY26" s="272">
        <v>120521</v>
      </c>
      <c r="EZ26" s="272">
        <v>1424948</v>
      </c>
      <c r="FA26" s="272">
        <v>0</v>
      </c>
      <c r="FB26" s="272"/>
      <c r="FC26" s="272">
        <v>2147206</v>
      </c>
      <c r="FD26" s="272">
        <v>2608988</v>
      </c>
      <c r="FE26" s="272">
        <v>1789755</v>
      </c>
      <c r="FF26" s="272">
        <v>2406593</v>
      </c>
      <c r="FG26" s="455">
        <f t="shared" si="14"/>
        <v>1842431</v>
      </c>
      <c r="FH26" s="272">
        <v>18899334</v>
      </c>
      <c r="FI26" s="384">
        <f t="shared" si="15"/>
        <v>5.8</v>
      </c>
      <c r="FJ26" s="272">
        <v>14638373</v>
      </c>
      <c r="FK26" s="272"/>
      <c r="FL26" s="272">
        <v>9012059</v>
      </c>
      <c r="FM26" s="272">
        <v>11700645</v>
      </c>
      <c r="FN26" s="460">
        <v>0.76900000000000002</v>
      </c>
      <c r="FO26" s="388">
        <v>79.400000000000006</v>
      </c>
      <c r="FP26" s="388">
        <v>34</v>
      </c>
      <c r="FQ26" s="388">
        <v>5.4</v>
      </c>
      <c r="FR26" s="388">
        <v>10.6</v>
      </c>
      <c r="FS26" s="388">
        <v>11.5</v>
      </c>
      <c r="FT26" s="388">
        <v>13.6</v>
      </c>
      <c r="FU26" s="388">
        <v>3.1</v>
      </c>
      <c r="FV26" s="388">
        <v>9.4</v>
      </c>
      <c r="FW26" s="272">
        <v>14113135</v>
      </c>
      <c r="FX26" s="384">
        <f t="shared" si="16"/>
        <v>96.4</v>
      </c>
      <c r="FY26" s="272">
        <v>6856326</v>
      </c>
      <c r="FZ26" s="272"/>
      <c r="GA26" s="272">
        <v>1694491</v>
      </c>
      <c r="GB26" s="272">
        <v>5161835</v>
      </c>
      <c r="GC26" s="272"/>
      <c r="GD26" s="272">
        <v>6516577</v>
      </c>
      <c r="GE26" s="384">
        <f t="shared" si="17"/>
        <v>44.5</v>
      </c>
      <c r="GF26" s="388">
        <v>98.4</v>
      </c>
      <c r="GG26" s="388">
        <v>46</v>
      </c>
      <c r="GH26" s="388">
        <v>96.6</v>
      </c>
      <c r="GI26" s="272">
        <v>711</v>
      </c>
    </row>
    <row r="27" spans="2:191" x14ac:dyDescent="0.15">
      <c r="B27" s="89" t="s">
        <v>47</v>
      </c>
      <c r="C27" s="272">
        <v>24145545</v>
      </c>
      <c r="D27" s="455">
        <f t="shared" si="0"/>
        <v>6486809</v>
      </c>
      <c r="E27" s="272">
        <v>101259</v>
      </c>
      <c r="F27" s="272">
        <v>6385550</v>
      </c>
      <c r="G27" s="455">
        <f t="shared" si="1"/>
        <v>7449648</v>
      </c>
      <c r="H27" s="272">
        <v>305902</v>
      </c>
      <c r="I27" s="272">
        <v>7143746</v>
      </c>
      <c r="J27" s="272">
        <v>7593392</v>
      </c>
      <c r="K27" s="272">
        <v>3618341</v>
      </c>
      <c r="L27" s="272">
        <v>2327597</v>
      </c>
      <c r="M27" s="272">
        <v>1577044</v>
      </c>
      <c r="N27" s="272">
        <v>894997</v>
      </c>
      <c r="O27" s="272">
        <v>1644203</v>
      </c>
      <c r="P27" s="272">
        <v>1115214</v>
      </c>
      <c r="Q27" s="272">
        <v>528989</v>
      </c>
      <c r="R27" s="272">
        <v>793977</v>
      </c>
      <c r="S27" s="272">
        <v>600507</v>
      </c>
      <c r="T27" s="455">
        <f t="shared" si="2"/>
        <v>1300352</v>
      </c>
      <c r="U27" s="272">
        <v>918189</v>
      </c>
      <c r="V27" s="272"/>
      <c r="W27" s="272"/>
      <c r="X27" s="272"/>
      <c r="Y27" s="272">
        <v>0</v>
      </c>
      <c r="Z27" s="272"/>
      <c r="AA27" s="272">
        <v>382163</v>
      </c>
      <c r="AB27" s="272"/>
      <c r="AC27" s="272">
        <v>143117</v>
      </c>
      <c r="AD27" s="272">
        <v>0</v>
      </c>
      <c r="AE27" s="272">
        <v>143117</v>
      </c>
      <c r="AF27" s="272">
        <v>25514</v>
      </c>
      <c r="AG27" s="272">
        <v>192398</v>
      </c>
      <c r="AH27" s="455">
        <f t="shared" si="3"/>
        <v>407601</v>
      </c>
      <c r="AI27" s="272">
        <v>243282</v>
      </c>
      <c r="AJ27" s="272">
        <v>164319</v>
      </c>
      <c r="AK27" s="272">
        <v>2926857</v>
      </c>
      <c r="AL27" s="455">
        <f t="shared" si="4"/>
        <v>2221936</v>
      </c>
      <c r="AM27" s="272">
        <v>1907583</v>
      </c>
      <c r="AN27" s="272">
        <v>255289</v>
      </c>
      <c r="AO27" s="272">
        <v>0</v>
      </c>
      <c r="AP27" s="272">
        <v>59064</v>
      </c>
      <c r="AQ27" s="272">
        <v>133321</v>
      </c>
      <c r="AR27" s="272">
        <v>0</v>
      </c>
      <c r="AS27" s="272">
        <v>0</v>
      </c>
      <c r="AT27" s="272">
        <v>1277613</v>
      </c>
      <c r="AU27" s="272">
        <v>492925</v>
      </c>
      <c r="AV27" s="272">
        <v>127644</v>
      </c>
      <c r="AW27" s="272">
        <v>6978</v>
      </c>
      <c r="AX27" s="272">
        <v>784688</v>
      </c>
      <c r="AY27" s="272">
        <v>173650</v>
      </c>
      <c r="AZ27" s="272">
        <v>7225513</v>
      </c>
      <c r="BA27" s="272">
        <v>6445412</v>
      </c>
      <c r="BB27" s="272">
        <v>261754</v>
      </c>
      <c r="BC27" s="272">
        <v>7151</v>
      </c>
      <c r="BD27" s="272">
        <v>0</v>
      </c>
      <c r="BE27" s="272">
        <v>0</v>
      </c>
      <c r="BF27" s="272">
        <v>7151</v>
      </c>
      <c r="BG27" s="272">
        <v>0</v>
      </c>
      <c r="BH27" s="272">
        <v>589306</v>
      </c>
      <c r="BI27" s="272">
        <v>520758</v>
      </c>
      <c r="BJ27" s="272">
        <v>650902</v>
      </c>
      <c r="BK27" s="272">
        <v>108700</v>
      </c>
      <c r="BL27" s="272">
        <v>0</v>
      </c>
      <c r="BM27" s="272">
        <v>0</v>
      </c>
      <c r="BN27" s="272">
        <v>2772812</v>
      </c>
      <c r="BO27" s="455">
        <f t="shared" si="5"/>
        <v>2772812</v>
      </c>
      <c r="BP27" s="455">
        <f t="shared" si="6"/>
        <v>0</v>
      </c>
      <c r="BQ27" s="272"/>
      <c r="BR27" s="272"/>
      <c r="BS27" s="272"/>
      <c r="BT27" s="272">
        <v>0</v>
      </c>
      <c r="BU27" s="272">
        <v>42720412</v>
      </c>
      <c r="BV27" s="272"/>
      <c r="BW27" s="272">
        <v>10579451</v>
      </c>
      <c r="BX27" s="272">
        <v>8444554</v>
      </c>
      <c r="BY27" s="272">
        <v>332794</v>
      </c>
      <c r="BZ27" s="272">
        <v>82909</v>
      </c>
      <c r="CA27" s="272">
        <v>4129920</v>
      </c>
      <c r="CB27" s="272">
        <v>413885</v>
      </c>
      <c r="CC27" s="272">
        <v>424543</v>
      </c>
      <c r="CD27" s="272">
        <v>750680</v>
      </c>
      <c r="CE27" s="272">
        <v>2422024</v>
      </c>
      <c r="CF27" s="272">
        <v>165</v>
      </c>
      <c r="CG27" s="272">
        <v>117898</v>
      </c>
      <c r="CH27" s="272">
        <v>2194229</v>
      </c>
      <c r="CI27" s="272">
        <v>1104217</v>
      </c>
      <c r="CJ27" s="455">
        <f t="shared" si="7"/>
        <v>1090012</v>
      </c>
      <c r="CK27" s="272">
        <v>2297584</v>
      </c>
      <c r="CL27" s="272">
        <v>1123189</v>
      </c>
      <c r="CM27" s="272">
        <v>68203</v>
      </c>
      <c r="CN27" s="272">
        <v>792401</v>
      </c>
      <c r="CO27" s="272">
        <v>373038</v>
      </c>
      <c r="CP27" s="272">
        <v>2488941</v>
      </c>
      <c r="CQ27" s="272">
        <v>1577886</v>
      </c>
      <c r="CR27" s="272">
        <v>441113</v>
      </c>
      <c r="CS27" s="272">
        <v>262958</v>
      </c>
      <c r="CT27" s="455">
        <f t="shared" si="8"/>
        <v>4014</v>
      </c>
      <c r="CU27" s="272">
        <v>4014</v>
      </c>
      <c r="CV27" s="272">
        <v>0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11226167</v>
      </c>
      <c r="DD27" s="272">
        <v>714642</v>
      </c>
      <c r="DE27" s="272">
        <v>10458936</v>
      </c>
      <c r="DF27" s="272">
        <v>0</v>
      </c>
      <c r="DG27" s="272">
        <v>0</v>
      </c>
      <c r="DH27" s="272">
        <v>0</v>
      </c>
      <c r="DI27" s="272">
        <v>6196722</v>
      </c>
      <c r="DJ27" s="272">
        <v>1161912</v>
      </c>
      <c r="DK27" s="272">
        <v>1000000</v>
      </c>
      <c r="DL27" s="272">
        <v>4034810</v>
      </c>
      <c r="DM27" s="272">
        <v>100000</v>
      </c>
      <c r="DN27" s="272">
        <v>0</v>
      </c>
      <c r="DO27" s="272">
        <v>0</v>
      </c>
      <c r="DP27" s="272">
        <v>0</v>
      </c>
      <c r="DQ27" s="272">
        <v>107500</v>
      </c>
      <c r="DR27" s="272">
        <v>0</v>
      </c>
      <c r="DS27" s="272">
        <v>0</v>
      </c>
      <c r="DT27" s="272">
        <v>2182261</v>
      </c>
      <c r="DU27" s="272">
        <v>998300</v>
      </c>
      <c r="DV27" s="455">
        <f t="shared" si="11"/>
        <v>0</v>
      </c>
      <c r="DW27" s="272">
        <v>0</v>
      </c>
      <c r="DX27" s="272">
        <v>0</v>
      </c>
      <c r="DY27" s="457" t="s">
        <v>646</v>
      </c>
      <c r="DZ27" s="272">
        <v>915062</v>
      </c>
      <c r="EA27" s="272">
        <v>264583</v>
      </c>
      <c r="EB27" s="272"/>
      <c r="EC27" s="272">
        <v>0</v>
      </c>
      <c r="ED27" s="272">
        <v>41875813</v>
      </c>
      <c r="EF27" s="272">
        <v>844599</v>
      </c>
      <c r="EG27" s="272">
        <v>66953</v>
      </c>
      <c r="EH27" s="272">
        <v>777646</v>
      </c>
      <c r="EI27" s="272">
        <v>256888</v>
      </c>
      <c r="EJ27" s="272">
        <v>1418800</v>
      </c>
      <c r="EL27" s="272">
        <v>142297</v>
      </c>
      <c r="EM27" s="272">
        <v>140857</v>
      </c>
      <c r="EN27" s="272">
        <v>4151</v>
      </c>
      <c r="EO27" s="272">
        <v>6463469</v>
      </c>
      <c r="EP27" s="455">
        <f t="shared" si="12"/>
        <v>1398893</v>
      </c>
      <c r="EQ27" s="272">
        <v>26408505</v>
      </c>
      <c r="ER27" s="272">
        <v>-7840999</v>
      </c>
      <c r="ES27" s="272">
        <v>9874280</v>
      </c>
      <c r="ET27" s="272">
        <v>7793786</v>
      </c>
      <c r="EU27" s="272">
        <v>1142175</v>
      </c>
      <c r="EV27" s="272">
        <v>2179792</v>
      </c>
      <c r="EW27" s="455">
        <f t="shared" si="13"/>
        <v>8120246</v>
      </c>
      <c r="EX27" s="272">
        <v>8120246</v>
      </c>
      <c r="EY27" s="272">
        <v>145281</v>
      </c>
      <c r="EZ27" s="272">
        <v>7936316</v>
      </c>
      <c r="FA27" s="272">
        <v>0</v>
      </c>
      <c r="FB27" s="272"/>
      <c r="FC27" s="272">
        <v>1952290</v>
      </c>
      <c r="FD27" s="272">
        <v>2352806</v>
      </c>
      <c r="FE27" s="272">
        <v>1577886</v>
      </c>
      <c r="FF27" s="272">
        <v>2000898</v>
      </c>
      <c r="FG27" s="455">
        <f t="shared" si="14"/>
        <v>5873360</v>
      </c>
      <c r="FH27" s="272">
        <v>33495847</v>
      </c>
      <c r="FI27" s="384">
        <f t="shared" si="15"/>
        <v>3.5</v>
      </c>
      <c r="FJ27" s="272">
        <v>22104568</v>
      </c>
      <c r="FK27" s="272"/>
      <c r="FL27" s="272">
        <v>16630912</v>
      </c>
      <c r="FM27" s="272">
        <v>14955447</v>
      </c>
      <c r="FN27" s="460">
        <v>1.103</v>
      </c>
      <c r="FO27" s="388">
        <v>73.8</v>
      </c>
      <c r="FP27" s="388">
        <v>39.1</v>
      </c>
      <c r="FQ27" s="388">
        <v>4.5</v>
      </c>
      <c r="FR27" s="388">
        <v>8.6999999999999993</v>
      </c>
      <c r="FS27" s="388">
        <v>6.9</v>
      </c>
      <c r="FT27" s="388">
        <v>8.8000000000000007</v>
      </c>
      <c r="FU27" s="388">
        <v>4.4000000000000004</v>
      </c>
      <c r="FV27" s="388">
        <v>7.3</v>
      </c>
      <c r="FW27" s="272">
        <v>19895105</v>
      </c>
      <c r="FX27" s="384">
        <f t="shared" si="16"/>
        <v>90</v>
      </c>
      <c r="FY27" s="272">
        <v>17503084</v>
      </c>
      <c r="FZ27" s="272">
        <v>3884154</v>
      </c>
      <c r="GA27" s="272">
        <v>1000000</v>
      </c>
      <c r="GB27" s="272">
        <v>12618930</v>
      </c>
      <c r="GC27" s="272"/>
      <c r="GD27" s="272">
        <v>4601713</v>
      </c>
      <c r="GE27" s="384">
        <f t="shared" si="17"/>
        <v>20.8</v>
      </c>
      <c r="GF27" s="388">
        <v>98.4</v>
      </c>
      <c r="GG27" s="388">
        <v>29.2</v>
      </c>
      <c r="GH27" s="388">
        <v>95.8</v>
      </c>
      <c r="GI27" s="272">
        <v>1215</v>
      </c>
    </row>
    <row r="28" spans="2:191" x14ac:dyDescent="0.15">
      <c r="B28" s="89" t="s">
        <v>49</v>
      </c>
      <c r="C28" s="272">
        <v>15960175</v>
      </c>
      <c r="D28" s="455">
        <f t="shared" si="0"/>
        <v>4618773</v>
      </c>
      <c r="E28" s="272">
        <v>62702</v>
      </c>
      <c r="F28" s="272">
        <v>4556071</v>
      </c>
      <c r="G28" s="455">
        <f t="shared" si="1"/>
        <v>3338851</v>
      </c>
      <c r="H28" s="272">
        <v>255011</v>
      </c>
      <c r="I28" s="272">
        <v>3083840</v>
      </c>
      <c r="J28" s="272">
        <v>6200514</v>
      </c>
      <c r="K28" s="272">
        <v>2966796</v>
      </c>
      <c r="L28" s="272">
        <v>1852501</v>
      </c>
      <c r="M28" s="272">
        <v>1326948</v>
      </c>
      <c r="N28" s="272">
        <v>477098</v>
      </c>
      <c r="O28" s="272">
        <v>1268322</v>
      </c>
      <c r="P28" s="272">
        <v>853006</v>
      </c>
      <c r="Q28" s="272">
        <v>415316</v>
      </c>
      <c r="R28" s="272">
        <v>568542</v>
      </c>
      <c r="S28" s="272">
        <v>422183</v>
      </c>
      <c r="T28" s="455">
        <f t="shared" si="2"/>
        <v>937926</v>
      </c>
      <c r="U28" s="272">
        <v>642499</v>
      </c>
      <c r="V28" s="272"/>
      <c r="W28" s="272"/>
      <c r="X28" s="272"/>
      <c r="Y28" s="272">
        <v>6530</v>
      </c>
      <c r="Z28" s="272"/>
      <c r="AA28" s="272">
        <v>288897</v>
      </c>
      <c r="AB28" s="272"/>
      <c r="AC28" s="272">
        <v>268349</v>
      </c>
      <c r="AD28" s="272">
        <v>0</v>
      </c>
      <c r="AE28" s="272">
        <v>268349</v>
      </c>
      <c r="AF28" s="272">
        <v>21014</v>
      </c>
      <c r="AG28" s="272">
        <v>158484</v>
      </c>
      <c r="AH28" s="455">
        <f t="shared" si="3"/>
        <v>404139</v>
      </c>
      <c r="AI28" s="272">
        <v>276471</v>
      </c>
      <c r="AJ28" s="272">
        <v>127668</v>
      </c>
      <c r="AK28" s="272">
        <v>1559801</v>
      </c>
      <c r="AL28" s="455">
        <f t="shared" si="4"/>
        <v>1055502</v>
      </c>
      <c r="AM28" s="272">
        <v>709339</v>
      </c>
      <c r="AN28" s="272">
        <v>279817</v>
      </c>
      <c r="AO28" s="272">
        <v>0</v>
      </c>
      <c r="AP28" s="272">
        <v>66346</v>
      </c>
      <c r="AQ28" s="272">
        <v>155495</v>
      </c>
      <c r="AR28" s="272">
        <v>0</v>
      </c>
      <c r="AS28" s="272">
        <v>0</v>
      </c>
      <c r="AT28" s="272">
        <v>698986</v>
      </c>
      <c r="AU28" s="272">
        <v>236951</v>
      </c>
      <c r="AV28" s="272">
        <v>107136</v>
      </c>
      <c r="AW28" s="272">
        <v>0</v>
      </c>
      <c r="AX28" s="272">
        <v>462035</v>
      </c>
      <c r="AY28" s="272">
        <v>98751</v>
      </c>
      <c r="AZ28" s="272">
        <v>542345</v>
      </c>
      <c r="BA28" s="272">
        <v>4040</v>
      </c>
      <c r="BB28" s="272">
        <v>123304</v>
      </c>
      <c r="BC28" s="272">
        <v>116305</v>
      </c>
      <c r="BD28" s="272">
        <v>100000</v>
      </c>
      <c r="BE28" s="272">
        <v>0</v>
      </c>
      <c r="BF28" s="272">
        <v>9646</v>
      </c>
      <c r="BG28" s="272">
        <v>0</v>
      </c>
      <c r="BH28" s="272">
        <v>807676</v>
      </c>
      <c r="BI28" s="272">
        <v>527073</v>
      </c>
      <c r="BJ28" s="272">
        <v>552642</v>
      </c>
      <c r="BK28" s="272">
        <v>141132</v>
      </c>
      <c r="BL28" s="272">
        <v>49500</v>
      </c>
      <c r="BM28" s="272">
        <v>0</v>
      </c>
      <c r="BN28" s="272">
        <v>290700</v>
      </c>
      <c r="BO28" s="455">
        <f t="shared" si="5"/>
        <v>290700</v>
      </c>
      <c r="BP28" s="455">
        <f t="shared" si="6"/>
        <v>0</v>
      </c>
      <c r="BQ28" s="272"/>
      <c r="BR28" s="272"/>
      <c r="BS28" s="272"/>
      <c r="BT28" s="272">
        <v>0</v>
      </c>
      <c r="BU28" s="272">
        <v>23010388</v>
      </c>
      <c r="BV28" s="272"/>
      <c r="BW28" s="272">
        <v>6477413</v>
      </c>
      <c r="BX28" s="272">
        <v>4999149</v>
      </c>
      <c r="BY28" s="272">
        <v>209681</v>
      </c>
      <c r="BZ28" s="272">
        <v>117989</v>
      </c>
      <c r="CA28" s="272">
        <v>1922797</v>
      </c>
      <c r="CB28" s="272">
        <v>168493</v>
      </c>
      <c r="CC28" s="272">
        <v>316104</v>
      </c>
      <c r="CD28" s="272">
        <v>516135</v>
      </c>
      <c r="CE28" s="272">
        <v>895580</v>
      </c>
      <c r="CF28" s="272">
        <v>0</v>
      </c>
      <c r="CG28" s="272">
        <v>26485</v>
      </c>
      <c r="CH28" s="272">
        <v>2243213</v>
      </c>
      <c r="CI28" s="272">
        <v>963874</v>
      </c>
      <c r="CJ28" s="455">
        <f t="shared" si="7"/>
        <v>1279339</v>
      </c>
      <c r="CK28" s="272">
        <v>2368365</v>
      </c>
      <c r="CL28" s="272">
        <v>1044309</v>
      </c>
      <c r="CM28" s="272">
        <v>160294</v>
      </c>
      <c r="CN28" s="272">
        <v>733431</v>
      </c>
      <c r="CO28" s="272">
        <v>437767</v>
      </c>
      <c r="CP28" s="272">
        <v>1244648</v>
      </c>
      <c r="CQ28" s="272">
        <v>12540</v>
      </c>
      <c r="CR28" s="272">
        <v>370588</v>
      </c>
      <c r="CS28" s="272">
        <v>288794</v>
      </c>
      <c r="CT28" s="455">
        <f t="shared" si="8"/>
        <v>8780</v>
      </c>
      <c r="CU28" s="272">
        <v>0</v>
      </c>
      <c r="CV28" s="272">
        <v>8780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2546230</v>
      </c>
      <c r="DD28" s="272">
        <v>405741</v>
      </c>
      <c r="DE28" s="272">
        <v>2063929</v>
      </c>
      <c r="DF28" s="272">
        <v>0</v>
      </c>
      <c r="DG28" s="272">
        <v>76560</v>
      </c>
      <c r="DH28" s="272">
        <v>0</v>
      </c>
      <c r="DI28" s="272">
        <v>2430280</v>
      </c>
      <c r="DJ28" s="272">
        <v>580155</v>
      </c>
      <c r="DK28" s="272">
        <v>469646</v>
      </c>
      <c r="DL28" s="272">
        <v>1380479</v>
      </c>
      <c r="DM28" s="272">
        <v>111580</v>
      </c>
      <c r="DN28" s="272">
        <v>0</v>
      </c>
      <c r="DO28" s="272">
        <v>0</v>
      </c>
      <c r="DP28" s="272">
        <v>0</v>
      </c>
      <c r="DQ28" s="272">
        <v>133976</v>
      </c>
      <c r="DR28" s="272">
        <v>0</v>
      </c>
      <c r="DS28" s="272">
        <v>0</v>
      </c>
      <c r="DT28" s="272">
        <v>2380871</v>
      </c>
      <c r="DU28" s="272">
        <v>1806931</v>
      </c>
      <c r="DV28" s="455">
        <f t="shared" si="11"/>
        <v>0</v>
      </c>
      <c r="DW28" s="272">
        <v>0</v>
      </c>
      <c r="DX28" s="272">
        <v>0</v>
      </c>
      <c r="DY28" s="457" t="s">
        <v>646</v>
      </c>
      <c r="DZ28" s="272">
        <v>338817</v>
      </c>
      <c r="EA28" s="272">
        <v>151786</v>
      </c>
      <c r="EB28" s="272"/>
      <c r="EC28" s="272">
        <v>0</v>
      </c>
      <c r="ED28" s="272">
        <v>22297140</v>
      </c>
      <c r="EF28" s="272">
        <v>713248</v>
      </c>
      <c r="EG28" s="272">
        <v>43835</v>
      </c>
      <c r="EH28" s="272">
        <v>669413</v>
      </c>
      <c r="EI28" s="272">
        <v>142340</v>
      </c>
      <c r="EJ28" s="272">
        <v>622495</v>
      </c>
      <c r="EL28" s="272">
        <v>87453</v>
      </c>
      <c r="EM28" s="272">
        <v>85993</v>
      </c>
      <c r="EN28" s="272">
        <v>106659</v>
      </c>
      <c r="EO28" s="272">
        <v>8710</v>
      </c>
      <c r="EP28" s="455">
        <f t="shared" si="12"/>
        <v>1303455</v>
      </c>
      <c r="EQ28" s="272">
        <v>17756006</v>
      </c>
      <c r="ER28" s="272">
        <v>-1397810</v>
      </c>
      <c r="ES28" s="272">
        <v>5992581</v>
      </c>
      <c r="ET28" s="272">
        <v>4554326</v>
      </c>
      <c r="EU28" s="272">
        <v>474941</v>
      </c>
      <c r="EV28" s="272">
        <v>2239422</v>
      </c>
      <c r="EW28" s="455">
        <f t="shared" si="13"/>
        <v>1795251</v>
      </c>
      <c r="EX28" s="272">
        <v>1795251</v>
      </c>
      <c r="EY28" s="272">
        <v>182934</v>
      </c>
      <c r="EZ28" s="272">
        <v>1612317</v>
      </c>
      <c r="FA28" s="272">
        <v>0</v>
      </c>
      <c r="FB28" s="272"/>
      <c r="FC28" s="272">
        <v>1923650</v>
      </c>
      <c r="FD28" s="272">
        <v>1167641</v>
      </c>
      <c r="FE28" s="272">
        <v>12540</v>
      </c>
      <c r="FF28" s="272">
        <v>2343874</v>
      </c>
      <c r="FG28" s="455">
        <f t="shared" si="14"/>
        <v>2503208</v>
      </c>
      <c r="FH28" s="272">
        <v>18440568</v>
      </c>
      <c r="FI28" s="384">
        <f t="shared" si="15"/>
        <v>4.4000000000000004</v>
      </c>
      <c r="FJ28" s="272">
        <v>15327732</v>
      </c>
      <c r="FK28" s="272"/>
      <c r="FL28" s="272">
        <v>11535899</v>
      </c>
      <c r="FM28" s="272">
        <v>10896812</v>
      </c>
      <c r="FN28" s="460">
        <v>1.0549999999999999</v>
      </c>
      <c r="FO28" s="388">
        <v>81.5</v>
      </c>
      <c r="FP28" s="388">
        <v>36.4</v>
      </c>
      <c r="FQ28" s="388">
        <v>2.9</v>
      </c>
      <c r="FR28" s="388">
        <v>13.6</v>
      </c>
      <c r="FS28" s="388">
        <v>11.5</v>
      </c>
      <c r="FT28" s="388">
        <v>6.4</v>
      </c>
      <c r="FU28" s="388">
        <v>8.5</v>
      </c>
      <c r="FV28" s="388">
        <v>10.6</v>
      </c>
      <c r="FW28" s="272">
        <v>18393198</v>
      </c>
      <c r="FX28" s="384">
        <f t="shared" si="16"/>
        <v>120</v>
      </c>
      <c r="FY28" s="272">
        <v>9816598</v>
      </c>
      <c r="FZ28" s="272">
        <v>4110590</v>
      </c>
      <c r="GA28" s="272">
        <v>1131131</v>
      </c>
      <c r="GB28" s="272">
        <v>4574877</v>
      </c>
      <c r="GC28" s="272"/>
      <c r="GD28" s="272">
        <v>3380155</v>
      </c>
      <c r="GE28" s="384">
        <f t="shared" si="17"/>
        <v>22.1</v>
      </c>
      <c r="GF28" s="388">
        <v>98.9</v>
      </c>
      <c r="GG28" s="388">
        <v>35.5</v>
      </c>
      <c r="GH28" s="388">
        <v>97.5</v>
      </c>
      <c r="GI28" s="272">
        <v>750</v>
      </c>
    </row>
    <row r="29" spans="2:191" x14ac:dyDescent="0.15">
      <c r="B29" s="89" t="s">
        <v>51</v>
      </c>
      <c r="C29" s="272">
        <v>13517603</v>
      </c>
      <c r="D29" s="455">
        <f t="shared" si="0"/>
        <v>3786915</v>
      </c>
      <c r="E29" s="272">
        <v>44354</v>
      </c>
      <c r="F29" s="272">
        <v>3742561</v>
      </c>
      <c r="G29" s="455">
        <f t="shared" si="1"/>
        <v>1227009</v>
      </c>
      <c r="H29" s="272">
        <v>113186</v>
      </c>
      <c r="I29" s="272">
        <v>1113823</v>
      </c>
      <c r="J29" s="272">
        <v>6784851</v>
      </c>
      <c r="K29" s="272">
        <v>4110663</v>
      </c>
      <c r="L29" s="272">
        <v>987340</v>
      </c>
      <c r="M29" s="272">
        <v>1655317</v>
      </c>
      <c r="N29" s="272">
        <v>341259</v>
      </c>
      <c r="O29" s="272">
        <v>1337035</v>
      </c>
      <c r="P29" s="272">
        <v>1110486</v>
      </c>
      <c r="Q29" s="272">
        <v>226549</v>
      </c>
      <c r="R29" s="272">
        <v>476849</v>
      </c>
      <c r="S29" s="272">
        <v>330362</v>
      </c>
      <c r="T29" s="455">
        <f t="shared" si="2"/>
        <v>740376</v>
      </c>
      <c r="U29" s="272">
        <v>538804</v>
      </c>
      <c r="V29" s="272"/>
      <c r="W29" s="272"/>
      <c r="X29" s="272"/>
      <c r="Y29" s="272">
        <v>0</v>
      </c>
      <c r="Z29" s="272"/>
      <c r="AA29" s="272">
        <v>201572</v>
      </c>
      <c r="AB29" s="272"/>
      <c r="AC29" s="272">
        <v>50037</v>
      </c>
      <c r="AD29" s="272">
        <v>0</v>
      </c>
      <c r="AE29" s="272">
        <v>50037</v>
      </c>
      <c r="AF29" s="272">
        <v>12439</v>
      </c>
      <c r="AG29" s="272">
        <v>55927</v>
      </c>
      <c r="AH29" s="455">
        <f t="shared" si="3"/>
        <v>261777</v>
      </c>
      <c r="AI29" s="272">
        <v>246020</v>
      </c>
      <c r="AJ29" s="272">
        <v>15757</v>
      </c>
      <c r="AK29" s="272">
        <v>1184505</v>
      </c>
      <c r="AL29" s="455">
        <f t="shared" si="4"/>
        <v>788995</v>
      </c>
      <c r="AM29" s="272">
        <v>600780</v>
      </c>
      <c r="AN29" s="272">
        <v>100592</v>
      </c>
      <c r="AO29" s="272">
        <v>0</v>
      </c>
      <c r="AP29" s="272">
        <v>87623</v>
      </c>
      <c r="AQ29" s="272">
        <v>44581</v>
      </c>
      <c r="AR29" s="272">
        <v>0</v>
      </c>
      <c r="AS29" s="272">
        <v>0</v>
      </c>
      <c r="AT29" s="272">
        <v>730244</v>
      </c>
      <c r="AU29" s="272">
        <v>294608</v>
      </c>
      <c r="AV29" s="272">
        <v>50535</v>
      </c>
      <c r="AW29" s="272">
        <v>2928</v>
      </c>
      <c r="AX29" s="272">
        <v>435636</v>
      </c>
      <c r="AY29" s="272">
        <v>20350</v>
      </c>
      <c r="AZ29" s="272">
        <v>902616</v>
      </c>
      <c r="BA29" s="272">
        <v>55225</v>
      </c>
      <c r="BB29" s="272">
        <v>86456</v>
      </c>
      <c r="BC29" s="272">
        <v>60807</v>
      </c>
      <c r="BD29" s="272">
        <v>0</v>
      </c>
      <c r="BE29" s="272">
        <v>0</v>
      </c>
      <c r="BF29" s="272">
        <v>37752</v>
      </c>
      <c r="BG29" s="272">
        <v>0</v>
      </c>
      <c r="BH29" s="272">
        <v>429191</v>
      </c>
      <c r="BI29" s="272">
        <v>274453</v>
      </c>
      <c r="BJ29" s="272">
        <v>409238</v>
      </c>
      <c r="BK29" s="272">
        <v>52375</v>
      </c>
      <c r="BL29" s="272">
        <v>0</v>
      </c>
      <c r="BM29" s="272">
        <v>0</v>
      </c>
      <c r="BN29" s="272">
        <v>162700</v>
      </c>
      <c r="BO29" s="455">
        <f t="shared" si="5"/>
        <v>162700</v>
      </c>
      <c r="BP29" s="455">
        <f t="shared" si="6"/>
        <v>0</v>
      </c>
      <c r="BQ29" s="272"/>
      <c r="BR29" s="272"/>
      <c r="BS29" s="272"/>
      <c r="BT29" s="272">
        <v>0</v>
      </c>
      <c r="BU29" s="272">
        <v>19080765</v>
      </c>
      <c r="BV29" s="272"/>
      <c r="BW29" s="272">
        <v>4938926</v>
      </c>
      <c r="BX29" s="272">
        <v>3804487</v>
      </c>
      <c r="BY29" s="272">
        <v>151523</v>
      </c>
      <c r="BZ29" s="272">
        <v>107337</v>
      </c>
      <c r="CA29" s="272">
        <v>1744700</v>
      </c>
      <c r="CB29" s="272">
        <v>185354</v>
      </c>
      <c r="CC29" s="272">
        <v>388685</v>
      </c>
      <c r="CD29" s="272">
        <v>358034</v>
      </c>
      <c r="CE29" s="272">
        <v>784517</v>
      </c>
      <c r="CF29" s="272">
        <v>0</v>
      </c>
      <c r="CG29" s="272">
        <v>28110</v>
      </c>
      <c r="CH29" s="272">
        <v>525176</v>
      </c>
      <c r="CI29" s="272">
        <v>248183</v>
      </c>
      <c r="CJ29" s="455">
        <f t="shared" si="7"/>
        <v>276993</v>
      </c>
      <c r="CK29" s="272">
        <v>1731999</v>
      </c>
      <c r="CL29" s="272">
        <v>963135</v>
      </c>
      <c r="CM29" s="272">
        <v>31285</v>
      </c>
      <c r="CN29" s="272">
        <v>439367</v>
      </c>
      <c r="CO29" s="272">
        <v>121172</v>
      </c>
      <c r="CP29" s="272">
        <v>2171279</v>
      </c>
      <c r="CQ29" s="272">
        <v>1407891</v>
      </c>
      <c r="CR29" s="272">
        <v>229555</v>
      </c>
      <c r="CS29" s="272">
        <v>229555</v>
      </c>
      <c r="CT29" s="455">
        <f t="shared" si="8"/>
        <v>43243</v>
      </c>
      <c r="CU29" s="272">
        <v>6021</v>
      </c>
      <c r="CV29" s="272">
        <v>37222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3965547</v>
      </c>
      <c r="DD29" s="272">
        <v>150333</v>
      </c>
      <c r="DE29" s="272">
        <v>3815214</v>
      </c>
      <c r="DF29" s="272">
        <v>0</v>
      </c>
      <c r="DG29" s="272">
        <v>0</v>
      </c>
      <c r="DH29" s="272">
        <v>0</v>
      </c>
      <c r="DI29" s="272">
        <v>1696358</v>
      </c>
      <c r="DJ29" s="272">
        <v>689354</v>
      </c>
      <c r="DK29" s="272">
        <v>0</v>
      </c>
      <c r="DL29" s="272">
        <v>1007004</v>
      </c>
      <c r="DM29" s="272">
        <v>2500</v>
      </c>
      <c r="DN29" s="272">
        <v>0</v>
      </c>
      <c r="DO29" s="272">
        <v>0</v>
      </c>
      <c r="DP29" s="272">
        <v>0</v>
      </c>
      <c r="DQ29" s="272">
        <v>50000</v>
      </c>
      <c r="DR29" s="272">
        <v>0</v>
      </c>
      <c r="DS29" s="272">
        <v>0</v>
      </c>
      <c r="DT29" s="272">
        <v>1530912</v>
      </c>
      <c r="DU29" s="272">
        <v>995289</v>
      </c>
      <c r="DV29" s="455">
        <f t="shared" si="11"/>
        <v>0</v>
      </c>
      <c r="DW29" s="272">
        <v>0</v>
      </c>
      <c r="DX29" s="272">
        <v>0</v>
      </c>
      <c r="DY29" s="457" t="s">
        <v>646</v>
      </c>
      <c r="DZ29" s="272">
        <v>327707</v>
      </c>
      <c r="EA29" s="272">
        <v>179659</v>
      </c>
      <c r="EB29" s="272"/>
      <c r="EC29" s="272">
        <v>0</v>
      </c>
      <c r="ED29" s="272">
        <v>18478569</v>
      </c>
      <c r="EF29" s="272">
        <v>602196</v>
      </c>
      <c r="EG29" s="272">
        <v>187000</v>
      </c>
      <c r="EH29" s="272">
        <v>415196</v>
      </c>
      <c r="EI29" s="272">
        <v>140743</v>
      </c>
      <c r="EJ29" s="272">
        <v>830097</v>
      </c>
      <c r="EL29" s="272">
        <v>65086</v>
      </c>
      <c r="EM29" s="272">
        <v>64336</v>
      </c>
      <c r="EN29" s="272">
        <v>3362</v>
      </c>
      <c r="EO29" s="272">
        <v>64962</v>
      </c>
      <c r="EP29" s="455">
        <f t="shared" si="12"/>
        <v>820340</v>
      </c>
      <c r="EQ29" s="272">
        <v>14797304</v>
      </c>
      <c r="ER29" s="272">
        <v>-876225</v>
      </c>
      <c r="ES29" s="272">
        <v>4579634</v>
      </c>
      <c r="ET29" s="272">
        <v>3472266</v>
      </c>
      <c r="EU29" s="272">
        <v>531471</v>
      </c>
      <c r="EV29" s="272">
        <v>509379</v>
      </c>
      <c r="EW29" s="455">
        <f t="shared" si="13"/>
        <v>3566605</v>
      </c>
      <c r="EX29" s="272">
        <v>3566605</v>
      </c>
      <c r="EY29" s="272">
        <v>98374</v>
      </c>
      <c r="EZ29" s="272">
        <v>3468231</v>
      </c>
      <c r="FA29" s="272">
        <v>0</v>
      </c>
      <c r="FB29" s="272"/>
      <c r="FC29" s="272">
        <v>1386351</v>
      </c>
      <c r="FD29" s="272">
        <v>2090756</v>
      </c>
      <c r="FE29" s="272">
        <v>1407891</v>
      </c>
      <c r="FF29" s="272">
        <v>1454374</v>
      </c>
      <c r="FG29" s="455">
        <f t="shared" si="14"/>
        <v>964234</v>
      </c>
      <c r="FH29" s="272">
        <v>15082804</v>
      </c>
      <c r="FI29" s="384">
        <f t="shared" si="15"/>
        <v>3.2</v>
      </c>
      <c r="FJ29" s="272">
        <v>13041681</v>
      </c>
      <c r="FK29" s="272"/>
      <c r="FL29" s="272">
        <v>9823168</v>
      </c>
      <c r="FM29" s="272">
        <v>7579995</v>
      </c>
      <c r="FN29" s="460">
        <v>1.3160000000000001</v>
      </c>
      <c r="FO29" s="388">
        <v>69.599999999999994</v>
      </c>
      <c r="FP29" s="388">
        <v>33.200000000000003</v>
      </c>
      <c r="FQ29" s="388">
        <v>3.9</v>
      </c>
      <c r="FR29" s="388">
        <v>3.7</v>
      </c>
      <c r="FS29" s="388">
        <v>9.8000000000000007</v>
      </c>
      <c r="FT29" s="388">
        <v>12.8</v>
      </c>
      <c r="FU29" s="388">
        <v>5.6</v>
      </c>
      <c r="FV29" s="388">
        <v>3.7</v>
      </c>
      <c r="FW29" s="272">
        <v>4309347</v>
      </c>
      <c r="FX29" s="384">
        <f t="shared" si="16"/>
        <v>33</v>
      </c>
      <c r="FY29" s="272">
        <v>13883721</v>
      </c>
      <c r="FZ29" s="272">
        <v>5601707</v>
      </c>
      <c r="GA29" s="272"/>
      <c r="GB29" s="272">
        <v>8282014</v>
      </c>
      <c r="GC29" s="272"/>
      <c r="GD29" s="272">
        <v>10840496</v>
      </c>
      <c r="GE29" s="384">
        <f t="shared" si="17"/>
        <v>83.1</v>
      </c>
      <c r="GF29" s="388">
        <v>98.7</v>
      </c>
      <c r="GG29" s="388">
        <v>31.2</v>
      </c>
      <c r="GH29" s="388">
        <v>96.2</v>
      </c>
      <c r="GI29" s="272">
        <v>590</v>
      </c>
    </row>
    <row r="30" spans="2:191" x14ac:dyDescent="0.15">
      <c r="B30" s="89" t="s">
        <v>53</v>
      </c>
      <c r="C30" s="272">
        <v>8500741</v>
      </c>
      <c r="D30" s="455">
        <f t="shared" si="0"/>
        <v>4131168</v>
      </c>
      <c r="E30" s="272">
        <v>45178</v>
      </c>
      <c r="F30" s="272">
        <v>4085990</v>
      </c>
      <c r="G30" s="455">
        <f t="shared" si="1"/>
        <v>1033855</v>
      </c>
      <c r="H30" s="272">
        <v>110802</v>
      </c>
      <c r="I30" s="272">
        <v>923053</v>
      </c>
      <c r="J30" s="272">
        <v>2312633</v>
      </c>
      <c r="K30" s="272">
        <v>1144574</v>
      </c>
      <c r="L30" s="272">
        <v>902004</v>
      </c>
      <c r="M30" s="272">
        <v>259237</v>
      </c>
      <c r="N30" s="272">
        <v>308763</v>
      </c>
      <c r="O30" s="272">
        <v>653615</v>
      </c>
      <c r="P30" s="272">
        <v>442479</v>
      </c>
      <c r="Q30" s="272">
        <v>211136</v>
      </c>
      <c r="R30" s="272">
        <v>315328</v>
      </c>
      <c r="S30" s="272">
        <v>210671</v>
      </c>
      <c r="T30" s="455">
        <f t="shared" si="2"/>
        <v>775076</v>
      </c>
      <c r="U30" s="272">
        <v>567880</v>
      </c>
      <c r="V30" s="272"/>
      <c r="W30" s="272"/>
      <c r="X30" s="272"/>
      <c r="Y30" s="272">
        <v>0</v>
      </c>
      <c r="Z30" s="272"/>
      <c r="AA30" s="272">
        <v>207196</v>
      </c>
      <c r="AB30" s="272"/>
      <c r="AC30" s="272">
        <v>1557855</v>
      </c>
      <c r="AD30" s="272">
        <v>1357681</v>
      </c>
      <c r="AE30" s="272">
        <v>200174</v>
      </c>
      <c r="AF30" s="272">
        <v>15678</v>
      </c>
      <c r="AG30" s="272">
        <v>50437</v>
      </c>
      <c r="AH30" s="455">
        <f t="shared" si="3"/>
        <v>241017</v>
      </c>
      <c r="AI30" s="272">
        <v>225517</v>
      </c>
      <c r="AJ30" s="272">
        <v>15500</v>
      </c>
      <c r="AK30" s="272">
        <v>1076589</v>
      </c>
      <c r="AL30" s="455">
        <f t="shared" si="4"/>
        <v>670313</v>
      </c>
      <c r="AM30" s="272">
        <v>525043</v>
      </c>
      <c r="AN30" s="272">
        <v>91761</v>
      </c>
      <c r="AO30" s="272">
        <v>0</v>
      </c>
      <c r="AP30" s="272">
        <v>53509</v>
      </c>
      <c r="AQ30" s="272">
        <v>157823</v>
      </c>
      <c r="AR30" s="272">
        <v>0</v>
      </c>
      <c r="AS30" s="272">
        <v>0</v>
      </c>
      <c r="AT30" s="272">
        <v>725886</v>
      </c>
      <c r="AU30" s="272">
        <v>195463</v>
      </c>
      <c r="AV30" s="272">
        <v>46741</v>
      </c>
      <c r="AW30" s="272">
        <v>33089</v>
      </c>
      <c r="AX30" s="272">
        <v>530423</v>
      </c>
      <c r="AY30" s="272">
        <v>177800</v>
      </c>
      <c r="AZ30" s="272">
        <v>314083</v>
      </c>
      <c r="BA30" s="272">
        <v>13</v>
      </c>
      <c r="BB30" s="272">
        <v>140019</v>
      </c>
      <c r="BC30" s="272">
        <v>539004</v>
      </c>
      <c r="BD30" s="272">
        <v>0</v>
      </c>
      <c r="BE30" s="272">
        <v>35000</v>
      </c>
      <c r="BF30" s="272">
        <v>477004</v>
      </c>
      <c r="BG30" s="272">
        <v>0</v>
      </c>
      <c r="BH30" s="272">
        <v>46060</v>
      </c>
      <c r="BI30" s="272">
        <v>38319</v>
      </c>
      <c r="BJ30" s="272">
        <v>219327</v>
      </c>
      <c r="BK30" s="272">
        <v>29178</v>
      </c>
      <c r="BL30" s="272">
        <v>0</v>
      </c>
      <c r="BM30" s="272">
        <v>0</v>
      </c>
      <c r="BN30" s="272">
        <v>706600</v>
      </c>
      <c r="BO30" s="455">
        <f t="shared" si="5"/>
        <v>706600</v>
      </c>
      <c r="BP30" s="455">
        <f t="shared" si="6"/>
        <v>0</v>
      </c>
      <c r="BQ30" s="272"/>
      <c r="BR30" s="272"/>
      <c r="BS30" s="272"/>
      <c r="BT30" s="272">
        <v>0</v>
      </c>
      <c r="BU30" s="272">
        <v>15223700</v>
      </c>
      <c r="BV30" s="272"/>
      <c r="BW30" s="272">
        <v>4189556</v>
      </c>
      <c r="BX30" s="272">
        <v>3245337</v>
      </c>
      <c r="BY30" s="272">
        <v>56911</v>
      </c>
      <c r="BZ30" s="272">
        <v>112873</v>
      </c>
      <c r="CA30" s="272">
        <v>1477940</v>
      </c>
      <c r="CB30" s="272">
        <v>174638</v>
      </c>
      <c r="CC30" s="272">
        <v>352159</v>
      </c>
      <c r="CD30" s="272">
        <v>250028</v>
      </c>
      <c r="CE30" s="272">
        <v>683615</v>
      </c>
      <c r="CF30" s="272">
        <v>0</v>
      </c>
      <c r="CG30" s="272">
        <v>17450</v>
      </c>
      <c r="CH30" s="272">
        <v>979839</v>
      </c>
      <c r="CI30" s="272">
        <v>560223</v>
      </c>
      <c r="CJ30" s="455">
        <f t="shared" si="7"/>
        <v>419616</v>
      </c>
      <c r="CK30" s="272">
        <v>1322992</v>
      </c>
      <c r="CL30" s="272">
        <v>608542</v>
      </c>
      <c r="CM30" s="272">
        <v>129639</v>
      </c>
      <c r="CN30" s="272">
        <v>342064</v>
      </c>
      <c r="CO30" s="272">
        <v>60300</v>
      </c>
      <c r="CP30" s="272">
        <v>2133313</v>
      </c>
      <c r="CQ30" s="272">
        <v>1545494</v>
      </c>
      <c r="CR30" s="272">
        <v>174578</v>
      </c>
      <c r="CS30" s="272">
        <v>126235</v>
      </c>
      <c r="CT30" s="455">
        <f t="shared" si="8"/>
        <v>144346</v>
      </c>
      <c r="CU30" s="272">
        <v>133025</v>
      </c>
      <c r="CV30" s="272">
        <v>11321</v>
      </c>
      <c r="CW30" s="455">
        <f t="shared" si="9"/>
        <v>137290</v>
      </c>
      <c r="CX30" s="272">
        <v>128360</v>
      </c>
      <c r="CY30" s="272">
        <v>8930</v>
      </c>
      <c r="CZ30" s="455">
        <f t="shared" si="10"/>
        <v>0</v>
      </c>
      <c r="DA30" s="272">
        <v>0</v>
      </c>
      <c r="DB30" s="272">
        <v>0</v>
      </c>
      <c r="DC30" s="272">
        <v>2034030</v>
      </c>
      <c r="DD30" s="272">
        <v>398406</v>
      </c>
      <c r="DE30" s="272">
        <v>1635624</v>
      </c>
      <c r="DF30" s="272">
        <v>0</v>
      </c>
      <c r="DG30" s="272">
        <v>0</v>
      </c>
      <c r="DH30" s="272">
        <v>0</v>
      </c>
      <c r="DI30" s="272">
        <v>1677806</v>
      </c>
      <c r="DJ30" s="272">
        <v>39869</v>
      </c>
      <c r="DK30" s="272">
        <v>86407</v>
      </c>
      <c r="DL30" s="272">
        <v>1551530</v>
      </c>
      <c r="DM30" s="272">
        <v>1000</v>
      </c>
      <c r="DN30" s="272">
        <v>0</v>
      </c>
      <c r="DO30" s="272">
        <v>0</v>
      </c>
      <c r="DP30" s="272">
        <v>0</v>
      </c>
      <c r="DQ30" s="272">
        <v>20000</v>
      </c>
      <c r="DR30" s="272">
        <v>0</v>
      </c>
      <c r="DS30" s="272">
        <v>0</v>
      </c>
      <c r="DT30" s="272">
        <v>1262339</v>
      </c>
      <c r="DU30" s="272">
        <v>905718</v>
      </c>
      <c r="DV30" s="455">
        <f t="shared" si="11"/>
        <v>0</v>
      </c>
      <c r="DW30" s="272">
        <v>0</v>
      </c>
      <c r="DX30" s="272">
        <v>0</v>
      </c>
      <c r="DY30" s="457" t="s">
        <v>646</v>
      </c>
      <c r="DZ30" s="272">
        <v>200940</v>
      </c>
      <c r="EA30" s="272">
        <v>155626</v>
      </c>
      <c r="EB30" s="272"/>
      <c r="EC30" s="272">
        <v>0</v>
      </c>
      <c r="ED30" s="272">
        <v>15159115</v>
      </c>
      <c r="EF30" s="272">
        <v>64585</v>
      </c>
      <c r="EG30" s="272">
        <v>269</v>
      </c>
      <c r="EH30" s="272">
        <v>64316</v>
      </c>
      <c r="EI30" s="272">
        <v>-12903</v>
      </c>
      <c r="EJ30" s="272">
        <v>26966</v>
      </c>
      <c r="EL30" s="272">
        <v>65922</v>
      </c>
      <c r="EM30" s="272">
        <v>65652</v>
      </c>
      <c r="EN30" s="272">
        <v>530000</v>
      </c>
      <c r="EO30" s="272">
        <v>334</v>
      </c>
      <c r="EP30" s="455">
        <f t="shared" si="12"/>
        <v>328587</v>
      </c>
      <c r="EQ30" s="272">
        <v>11164678</v>
      </c>
      <c r="ER30" s="272">
        <v>-843243</v>
      </c>
      <c r="ES30" s="272">
        <v>3862911</v>
      </c>
      <c r="ET30" s="272">
        <v>2985758</v>
      </c>
      <c r="EU30" s="272">
        <v>468559</v>
      </c>
      <c r="EV30" s="272">
        <v>955606</v>
      </c>
      <c r="EW30" s="455">
        <f t="shared" si="13"/>
        <v>907223</v>
      </c>
      <c r="EX30" s="272">
        <v>907223</v>
      </c>
      <c r="EY30" s="272">
        <v>62194</v>
      </c>
      <c r="EZ30" s="272">
        <v>845029</v>
      </c>
      <c r="FA30" s="272">
        <v>0</v>
      </c>
      <c r="FB30" s="272"/>
      <c r="FC30" s="272">
        <v>1054054</v>
      </c>
      <c r="FD30" s="272">
        <v>2045942</v>
      </c>
      <c r="FE30" s="272">
        <v>1545494</v>
      </c>
      <c r="FF30" s="272">
        <v>1213627</v>
      </c>
      <c r="FG30" s="455">
        <f t="shared" si="14"/>
        <v>1445392</v>
      </c>
      <c r="FH30" s="272">
        <v>11953314</v>
      </c>
      <c r="FI30" s="384">
        <f t="shared" si="15"/>
        <v>0.7</v>
      </c>
      <c r="FJ30" s="272">
        <v>9428467</v>
      </c>
      <c r="FK30" s="272"/>
      <c r="FL30" s="272">
        <v>6081625</v>
      </c>
      <c r="FM30" s="272">
        <v>7435687</v>
      </c>
      <c r="FN30" s="460">
        <v>0.81899999999999995</v>
      </c>
      <c r="FO30" s="388">
        <v>80</v>
      </c>
      <c r="FP30" s="388">
        <v>36.799999999999997</v>
      </c>
      <c r="FQ30" s="388">
        <v>4.0999999999999996</v>
      </c>
      <c r="FR30" s="388">
        <v>9.1</v>
      </c>
      <c r="FS30" s="388">
        <v>8.9</v>
      </c>
      <c r="FT30" s="388">
        <v>16</v>
      </c>
      <c r="FU30" s="388">
        <v>4.2</v>
      </c>
      <c r="FV30" s="388">
        <v>8.9</v>
      </c>
      <c r="FW30" s="272">
        <v>7139000</v>
      </c>
      <c r="FX30" s="384">
        <f t="shared" si="16"/>
        <v>75.7</v>
      </c>
      <c r="FY30" s="272">
        <v>6215872</v>
      </c>
      <c r="FZ30" s="272">
        <v>686433</v>
      </c>
      <c r="GA30" s="272">
        <v>671407</v>
      </c>
      <c r="GB30" s="272">
        <v>4858032</v>
      </c>
      <c r="GC30" s="272"/>
      <c r="GD30" s="272">
        <v>166599</v>
      </c>
      <c r="GE30" s="384">
        <f t="shared" si="17"/>
        <v>1.8</v>
      </c>
      <c r="GF30" s="388">
        <v>97.7</v>
      </c>
      <c r="GG30" s="388">
        <v>29.2</v>
      </c>
      <c r="GH30" s="388">
        <v>94.4</v>
      </c>
      <c r="GI30" s="272">
        <v>517</v>
      </c>
    </row>
    <row r="31" spans="2:191" x14ac:dyDescent="0.15">
      <c r="B31" s="89" t="s">
        <v>55</v>
      </c>
      <c r="C31" s="272">
        <v>82381340</v>
      </c>
      <c r="D31" s="455">
        <f t="shared" si="0"/>
        <v>28583941</v>
      </c>
      <c r="E31" s="272">
        <v>448825</v>
      </c>
      <c r="F31" s="272">
        <v>28135116</v>
      </c>
      <c r="G31" s="455">
        <f t="shared" si="1"/>
        <v>14375318</v>
      </c>
      <c r="H31" s="272">
        <v>1108789</v>
      </c>
      <c r="I31" s="272">
        <v>13266529</v>
      </c>
      <c r="J31" s="272">
        <v>27003739</v>
      </c>
      <c r="K31" s="272">
        <v>14569341</v>
      </c>
      <c r="L31" s="272">
        <v>8483178</v>
      </c>
      <c r="M31" s="272">
        <v>3827631</v>
      </c>
      <c r="N31" s="272">
        <v>2976512</v>
      </c>
      <c r="O31" s="272">
        <v>6756532</v>
      </c>
      <c r="P31" s="272">
        <v>4819770</v>
      </c>
      <c r="Q31" s="272">
        <v>1936762</v>
      </c>
      <c r="R31" s="272">
        <v>3083016</v>
      </c>
      <c r="S31" s="272">
        <v>2285414</v>
      </c>
      <c r="T31" s="455">
        <f t="shared" si="2"/>
        <v>5391215</v>
      </c>
      <c r="U31" s="272">
        <v>3815026</v>
      </c>
      <c r="V31" s="272"/>
      <c r="W31" s="272"/>
      <c r="X31" s="272"/>
      <c r="Y31" s="272">
        <v>0</v>
      </c>
      <c r="Z31" s="272"/>
      <c r="AA31" s="272">
        <v>1576189</v>
      </c>
      <c r="AB31" s="272"/>
      <c r="AC31" s="272">
        <v>820660</v>
      </c>
      <c r="AD31" s="272">
        <v>0</v>
      </c>
      <c r="AE31" s="272">
        <v>820660</v>
      </c>
      <c r="AF31" s="272">
        <v>106458</v>
      </c>
      <c r="AG31" s="272">
        <v>4603465</v>
      </c>
      <c r="AH31" s="455">
        <f t="shared" si="3"/>
        <v>1798692</v>
      </c>
      <c r="AI31" s="272">
        <v>1061080</v>
      </c>
      <c r="AJ31" s="272">
        <v>737612</v>
      </c>
      <c r="AK31" s="272">
        <v>14228593</v>
      </c>
      <c r="AL31" s="455">
        <f t="shared" si="4"/>
        <v>9849920</v>
      </c>
      <c r="AM31" s="272">
        <v>8270907</v>
      </c>
      <c r="AN31" s="272">
        <v>907303</v>
      </c>
      <c r="AO31" s="272">
        <v>142837</v>
      </c>
      <c r="AP31" s="272">
        <v>528873</v>
      </c>
      <c r="AQ31" s="272">
        <v>1753154</v>
      </c>
      <c r="AR31" s="272">
        <v>0</v>
      </c>
      <c r="AS31" s="272">
        <v>0</v>
      </c>
      <c r="AT31" s="272">
        <v>6991411</v>
      </c>
      <c r="AU31" s="272">
        <v>1620333</v>
      </c>
      <c r="AV31" s="272">
        <v>453651</v>
      </c>
      <c r="AW31" s="272">
        <v>109587</v>
      </c>
      <c r="AX31" s="272">
        <v>5371078</v>
      </c>
      <c r="AY31" s="272">
        <v>1563104</v>
      </c>
      <c r="AZ31" s="272">
        <v>1081030</v>
      </c>
      <c r="BA31" s="272">
        <v>418050</v>
      </c>
      <c r="BB31" s="272">
        <v>1397178</v>
      </c>
      <c r="BC31" s="272">
        <v>488324</v>
      </c>
      <c r="BD31" s="272">
        <v>0</v>
      </c>
      <c r="BE31" s="272">
        <v>0</v>
      </c>
      <c r="BF31" s="272">
        <v>300000</v>
      </c>
      <c r="BG31" s="272">
        <v>0</v>
      </c>
      <c r="BH31" s="272">
        <v>3803659</v>
      </c>
      <c r="BI31" s="272">
        <v>1449864</v>
      </c>
      <c r="BJ31" s="272">
        <v>3409098</v>
      </c>
      <c r="BK31" s="272">
        <v>730055</v>
      </c>
      <c r="BL31" s="272">
        <v>114199</v>
      </c>
      <c r="BM31" s="272">
        <v>1067351</v>
      </c>
      <c r="BN31" s="272">
        <v>10309678</v>
      </c>
      <c r="BO31" s="455">
        <f t="shared" si="5"/>
        <v>10309678</v>
      </c>
      <c r="BP31" s="455">
        <f t="shared" si="6"/>
        <v>0</v>
      </c>
      <c r="BQ31" s="272"/>
      <c r="BR31" s="272"/>
      <c r="BS31" s="272"/>
      <c r="BT31" s="272">
        <v>0</v>
      </c>
      <c r="BU31" s="272">
        <v>139893817</v>
      </c>
      <c r="BV31" s="272"/>
      <c r="BW31" s="272">
        <v>40043065</v>
      </c>
      <c r="BX31" s="272">
        <v>31818193</v>
      </c>
      <c r="BY31" s="272">
        <v>1810324</v>
      </c>
      <c r="BZ31" s="272">
        <v>472636</v>
      </c>
      <c r="CA31" s="272">
        <v>22917749</v>
      </c>
      <c r="CB31" s="272">
        <v>1429456</v>
      </c>
      <c r="CC31" s="272">
        <v>2682544</v>
      </c>
      <c r="CD31" s="272">
        <v>3267853</v>
      </c>
      <c r="CE31" s="272">
        <v>10923638</v>
      </c>
      <c r="CF31" s="272">
        <v>4170422</v>
      </c>
      <c r="CG31" s="272">
        <v>443818</v>
      </c>
      <c r="CH31" s="272">
        <v>12871679</v>
      </c>
      <c r="CI31" s="272">
        <v>7166058</v>
      </c>
      <c r="CJ31" s="455">
        <f t="shared" si="7"/>
        <v>5705621</v>
      </c>
      <c r="CK31" s="272">
        <v>9057026</v>
      </c>
      <c r="CL31" s="272">
        <v>4386060</v>
      </c>
      <c r="CM31" s="272">
        <v>773105</v>
      </c>
      <c r="CN31" s="272">
        <v>2302776</v>
      </c>
      <c r="CO31" s="272">
        <v>1046301</v>
      </c>
      <c r="CP31" s="272">
        <v>9608255</v>
      </c>
      <c r="CQ31" s="272">
        <v>4395683</v>
      </c>
      <c r="CR31" s="272">
        <v>2198350</v>
      </c>
      <c r="CS31" s="272">
        <v>1922551</v>
      </c>
      <c r="CT31" s="455">
        <f t="shared" si="8"/>
        <v>1454410</v>
      </c>
      <c r="CU31" s="272">
        <v>524985</v>
      </c>
      <c r="CV31" s="272">
        <v>929425</v>
      </c>
      <c r="CW31" s="455">
        <f t="shared" si="9"/>
        <v>1388003</v>
      </c>
      <c r="CX31" s="272">
        <v>458578</v>
      </c>
      <c r="CY31" s="272">
        <v>929425</v>
      </c>
      <c r="CZ31" s="455">
        <f t="shared" si="10"/>
        <v>0</v>
      </c>
      <c r="DA31" s="272">
        <v>0</v>
      </c>
      <c r="DB31" s="272">
        <v>0</v>
      </c>
      <c r="DC31" s="272">
        <v>22954814</v>
      </c>
      <c r="DD31" s="272">
        <v>3455982</v>
      </c>
      <c r="DE31" s="272">
        <v>19205060</v>
      </c>
      <c r="DF31" s="272">
        <v>1667</v>
      </c>
      <c r="DG31" s="272">
        <v>270600</v>
      </c>
      <c r="DH31" s="272">
        <v>36955</v>
      </c>
      <c r="DI31" s="272">
        <v>2656700</v>
      </c>
      <c r="DJ31" s="272">
        <v>87900</v>
      </c>
      <c r="DK31" s="272">
        <v>0</v>
      </c>
      <c r="DL31" s="272">
        <v>2568800</v>
      </c>
      <c r="DM31" s="272">
        <v>409997</v>
      </c>
      <c r="DN31" s="272">
        <v>279997</v>
      </c>
      <c r="DO31" s="272">
        <v>0</v>
      </c>
      <c r="DP31" s="272">
        <v>279997</v>
      </c>
      <c r="DQ31" s="272">
        <v>1088784</v>
      </c>
      <c r="DR31" s="272">
        <v>0</v>
      </c>
      <c r="DS31" s="272">
        <v>0</v>
      </c>
      <c r="DT31" s="272">
        <v>11567978</v>
      </c>
      <c r="DU31" s="272">
        <v>6218989</v>
      </c>
      <c r="DV31" s="455">
        <f t="shared" si="11"/>
        <v>0</v>
      </c>
      <c r="DW31" s="272">
        <v>0</v>
      </c>
      <c r="DX31" s="272">
        <v>0</v>
      </c>
      <c r="DY31" s="457" t="s">
        <v>646</v>
      </c>
      <c r="DZ31" s="272">
        <v>4046000</v>
      </c>
      <c r="EA31" s="272">
        <v>1294922</v>
      </c>
      <c r="EB31" s="272"/>
      <c r="EC31" s="272">
        <v>0</v>
      </c>
      <c r="ED31" s="272">
        <v>134259303</v>
      </c>
      <c r="EF31" s="272">
        <v>5634514</v>
      </c>
      <c r="EG31" s="272">
        <v>2494679</v>
      </c>
      <c r="EH31" s="272">
        <v>3139835</v>
      </c>
      <c r="EI31" s="272">
        <v>1689971</v>
      </c>
      <c r="EJ31" s="272">
        <v>1777871</v>
      </c>
      <c r="EL31" s="272">
        <v>518319</v>
      </c>
      <c r="EM31" s="272">
        <v>497716</v>
      </c>
      <c r="EN31" s="272">
        <v>0</v>
      </c>
      <c r="EO31" s="272">
        <v>105431</v>
      </c>
      <c r="EP31" s="455">
        <f t="shared" si="12"/>
        <v>5715210</v>
      </c>
      <c r="EQ31" s="272">
        <v>91782689</v>
      </c>
      <c r="ER31" s="272">
        <v>-5714183</v>
      </c>
      <c r="ES31" s="272">
        <v>37734308</v>
      </c>
      <c r="ET31" s="272">
        <v>29637522</v>
      </c>
      <c r="EU31" s="272">
        <v>5475566</v>
      </c>
      <c r="EV31" s="272">
        <v>12184598</v>
      </c>
      <c r="EW31" s="455">
        <f t="shared" si="13"/>
        <v>7177267</v>
      </c>
      <c r="EX31" s="272">
        <v>7140312</v>
      </c>
      <c r="EY31" s="272">
        <v>423452</v>
      </c>
      <c r="EZ31" s="272">
        <v>6693688</v>
      </c>
      <c r="FA31" s="272">
        <v>36955</v>
      </c>
      <c r="FB31" s="272"/>
      <c r="FC31" s="272">
        <v>7088765</v>
      </c>
      <c r="FD31" s="272">
        <v>8814055</v>
      </c>
      <c r="FE31" s="272">
        <v>4395683</v>
      </c>
      <c r="FF31" s="272">
        <v>11116622</v>
      </c>
      <c r="FG31" s="455">
        <f t="shared" si="14"/>
        <v>2468693</v>
      </c>
      <c r="FH31" s="272">
        <v>92059874</v>
      </c>
      <c r="FI31" s="384">
        <f t="shared" si="15"/>
        <v>4.0999999999999996</v>
      </c>
      <c r="FJ31" s="272">
        <v>77363411</v>
      </c>
      <c r="FK31" s="272"/>
      <c r="FL31" s="272">
        <v>58236942</v>
      </c>
      <c r="FM31" s="272">
        <v>57424075</v>
      </c>
      <c r="FN31" s="460">
        <v>1.006</v>
      </c>
      <c r="FO31" s="388">
        <v>88.1</v>
      </c>
      <c r="FP31" s="388">
        <v>43.8</v>
      </c>
      <c r="FQ31" s="388">
        <v>6.5</v>
      </c>
      <c r="FR31" s="388">
        <v>13.2</v>
      </c>
      <c r="FS31" s="388">
        <v>7.9</v>
      </c>
      <c r="FT31" s="388">
        <v>8.4</v>
      </c>
      <c r="FU31" s="388">
        <v>7.3</v>
      </c>
      <c r="FV31" s="388">
        <v>12.6</v>
      </c>
      <c r="FW31" s="272">
        <v>97464247</v>
      </c>
      <c r="FX31" s="384">
        <f t="shared" si="16"/>
        <v>126</v>
      </c>
      <c r="FY31" s="272">
        <v>10572484</v>
      </c>
      <c r="FZ31" s="272">
        <v>1408100</v>
      </c>
      <c r="GA31" s="272"/>
      <c r="GB31" s="272">
        <v>9164384</v>
      </c>
      <c r="GC31" s="272"/>
      <c r="GD31" s="272">
        <v>45771684</v>
      </c>
      <c r="GE31" s="384">
        <f t="shared" si="17"/>
        <v>59.2</v>
      </c>
      <c r="GF31" s="388">
        <v>98</v>
      </c>
      <c r="GG31" s="388">
        <v>41</v>
      </c>
      <c r="GH31" s="388">
        <v>95.7</v>
      </c>
      <c r="GI31" s="272">
        <v>4349</v>
      </c>
    </row>
    <row r="32" spans="2:191" x14ac:dyDescent="0.15">
      <c r="B32" s="89" t="s">
        <v>57</v>
      </c>
      <c r="C32" s="272">
        <v>6279981</v>
      </c>
      <c r="D32" s="455">
        <f t="shared" si="0"/>
        <v>2782309</v>
      </c>
      <c r="E32" s="272">
        <v>35838</v>
      </c>
      <c r="F32" s="272">
        <v>2746471</v>
      </c>
      <c r="G32" s="455">
        <f t="shared" si="1"/>
        <v>458857</v>
      </c>
      <c r="H32" s="272">
        <v>68095</v>
      </c>
      <c r="I32" s="272">
        <v>390762</v>
      </c>
      <c r="J32" s="272">
        <v>2178846</v>
      </c>
      <c r="K32" s="272">
        <v>1072336</v>
      </c>
      <c r="L32" s="272">
        <v>773021</v>
      </c>
      <c r="M32" s="272">
        <v>326064</v>
      </c>
      <c r="N32" s="272">
        <v>225298</v>
      </c>
      <c r="O32" s="272">
        <v>486927</v>
      </c>
      <c r="P32" s="272">
        <v>332571</v>
      </c>
      <c r="Q32" s="272">
        <v>154356</v>
      </c>
      <c r="R32" s="272">
        <v>319284</v>
      </c>
      <c r="S32" s="272">
        <v>212785</v>
      </c>
      <c r="T32" s="455">
        <f t="shared" si="2"/>
        <v>691700</v>
      </c>
      <c r="U32" s="272">
        <v>376727</v>
      </c>
      <c r="V32" s="272"/>
      <c r="W32" s="272"/>
      <c r="X32" s="272"/>
      <c r="Y32" s="272">
        <v>104487</v>
      </c>
      <c r="Z32" s="272"/>
      <c r="AA32" s="272">
        <v>210486</v>
      </c>
      <c r="AB32" s="272"/>
      <c r="AC32" s="272">
        <v>2549611</v>
      </c>
      <c r="AD32" s="272">
        <v>2092786</v>
      </c>
      <c r="AE32" s="272">
        <v>456825</v>
      </c>
      <c r="AF32" s="272">
        <v>13205</v>
      </c>
      <c r="AG32" s="272">
        <v>55561</v>
      </c>
      <c r="AH32" s="455">
        <f t="shared" si="3"/>
        <v>277415</v>
      </c>
      <c r="AI32" s="272">
        <v>118812</v>
      </c>
      <c r="AJ32" s="272">
        <v>158603</v>
      </c>
      <c r="AK32" s="272">
        <v>1798376</v>
      </c>
      <c r="AL32" s="455">
        <f t="shared" si="4"/>
        <v>1011545</v>
      </c>
      <c r="AM32" s="272">
        <v>874124</v>
      </c>
      <c r="AN32" s="272">
        <v>89813</v>
      </c>
      <c r="AO32" s="272">
        <v>0</v>
      </c>
      <c r="AP32" s="272">
        <v>47608</v>
      </c>
      <c r="AQ32" s="272">
        <v>446290</v>
      </c>
      <c r="AR32" s="272">
        <v>0</v>
      </c>
      <c r="AS32" s="272">
        <v>0</v>
      </c>
      <c r="AT32" s="272">
        <v>799495</v>
      </c>
      <c r="AU32" s="272">
        <v>271674</v>
      </c>
      <c r="AV32" s="272">
        <v>44906</v>
      </c>
      <c r="AW32" s="272">
        <v>45470</v>
      </c>
      <c r="AX32" s="272">
        <v>527821</v>
      </c>
      <c r="AY32" s="272">
        <v>171384</v>
      </c>
      <c r="AZ32" s="272">
        <v>267010</v>
      </c>
      <c r="BA32" s="272">
        <v>12</v>
      </c>
      <c r="BB32" s="272">
        <v>404736</v>
      </c>
      <c r="BC32" s="272">
        <v>364688</v>
      </c>
      <c r="BD32" s="272">
        <v>0</v>
      </c>
      <c r="BE32" s="272">
        <v>0</v>
      </c>
      <c r="BF32" s="272">
        <v>300914</v>
      </c>
      <c r="BG32" s="272">
        <v>0</v>
      </c>
      <c r="BH32" s="272">
        <v>76929</v>
      </c>
      <c r="BI32" s="272">
        <v>44509</v>
      </c>
      <c r="BJ32" s="272">
        <v>306233</v>
      </c>
      <c r="BK32" s="272">
        <v>0</v>
      </c>
      <c r="BL32" s="272">
        <v>0</v>
      </c>
      <c r="BM32" s="272">
        <v>0</v>
      </c>
      <c r="BN32" s="272">
        <v>978418</v>
      </c>
      <c r="BO32" s="455">
        <f t="shared" si="5"/>
        <v>978418</v>
      </c>
      <c r="BP32" s="455">
        <f t="shared" si="6"/>
        <v>0</v>
      </c>
      <c r="BQ32" s="272"/>
      <c r="BR32" s="272"/>
      <c r="BS32" s="272"/>
      <c r="BT32" s="272">
        <v>0</v>
      </c>
      <c r="BU32" s="272">
        <v>15182642</v>
      </c>
      <c r="BV32" s="272"/>
      <c r="BW32" s="272">
        <v>4108231</v>
      </c>
      <c r="BX32" s="272">
        <v>3103646</v>
      </c>
      <c r="BY32" s="272">
        <v>141091</v>
      </c>
      <c r="BZ32" s="272">
        <v>128563</v>
      </c>
      <c r="CA32" s="272">
        <v>1731818</v>
      </c>
      <c r="CB32" s="272">
        <v>137141</v>
      </c>
      <c r="CC32" s="272">
        <v>284350</v>
      </c>
      <c r="CD32" s="272">
        <v>173168</v>
      </c>
      <c r="CE32" s="272">
        <v>1098142</v>
      </c>
      <c r="CF32" s="272">
        <v>0</v>
      </c>
      <c r="CG32" s="272">
        <v>38997</v>
      </c>
      <c r="CH32" s="272">
        <v>1530028</v>
      </c>
      <c r="CI32" s="272">
        <v>748295</v>
      </c>
      <c r="CJ32" s="455">
        <f t="shared" si="7"/>
        <v>781733</v>
      </c>
      <c r="CK32" s="272">
        <v>1609571</v>
      </c>
      <c r="CL32" s="272">
        <v>676009</v>
      </c>
      <c r="CM32" s="272">
        <v>107404</v>
      </c>
      <c r="CN32" s="272">
        <v>521181</v>
      </c>
      <c r="CO32" s="272">
        <v>192258</v>
      </c>
      <c r="CP32" s="272">
        <v>991263</v>
      </c>
      <c r="CQ32" s="272">
        <v>442973</v>
      </c>
      <c r="CR32" s="272">
        <v>246652</v>
      </c>
      <c r="CS32" s="272">
        <v>145961</v>
      </c>
      <c r="CT32" s="455">
        <f t="shared" si="8"/>
        <v>3675</v>
      </c>
      <c r="CU32" s="272">
        <v>3675</v>
      </c>
      <c r="CV32" s="272">
        <v>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3212295</v>
      </c>
      <c r="DD32" s="272">
        <v>1323437</v>
      </c>
      <c r="DE32" s="272">
        <v>1862217</v>
      </c>
      <c r="DF32" s="272">
        <v>26641</v>
      </c>
      <c r="DG32" s="272">
        <v>0</v>
      </c>
      <c r="DH32" s="272">
        <v>29552</v>
      </c>
      <c r="DI32" s="272">
        <v>1269401</v>
      </c>
      <c r="DJ32" s="272">
        <v>0</v>
      </c>
      <c r="DK32" s="272">
        <v>404296</v>
      </c>
      <c r="DL32" s="272">
        <v>865105</v>
      </c>
      <c r="DM32" s="272">
        <v>6500</v>
      </c>
      <c r="DN32" s="272">
        <v>0</v>
      </c>
      <c r="DO32" s="272">
        <v>0</v>
      </c>
      <c r="DP32" s="272">
        <v>0</v>
      </c>
      <c r="DQ32" s="272">
        <v>0</v>
      </c>
      <c r="DR32" s="272">
        <v>0</v>
      </c>
      <c r="DS32" s="272">
        <v>0</v>
      </c>
      <c r="DT32" s="272">
        <v>397601</v>
      </c>
      <c r="DU32" s="272">
        <v>61083</v>
      </c>
      <c r="DV32" s="455">
        <f t="shared" si="11"/>
        <v>0</v>
      </c>
      <c r="DW32" s="272">
        <v>0</v>
      </c>
      <c r="DX32" s="272">
        <v>0</v>
      </c>
      <c r="DY32" s="457" t="s">
        <v>646</v>
      </c>
      <c r="DZ32" s="272">
        <v>200558</v>
      </c>
      <c r="EA32" s="272">
        <v>135960</v>
      </c>
      <c r="EB32" s="272"/>
      <c r="EC32" s="272">
        <v>0</v>
      </c>
      <c r="ED32" s="272">
        <v>15078518</v>
      </c>
      <c r="EF32" s="272">
        <v>104124</v>
      </c>
      <c r="EG32" s="272">
        <v>0</v>
      </c>
      <c r="EH32" s="272">
        <v>104124</v>
      </c>
      <c r="EI32" s="272">
        <v>59615</v>
      </c>
      <c r="EJ32" s="272">
        <v>59615</v>
      </c>
      <c r="EL32" s="272">
        <v>60065</v>
      </c>
      <c r="EM32" s="272">
        <v>59931</v>
      </c>
      <c r="EN32" s="272">
        <v>54716</v>
      </c>
      <c r="EO32" s="272">
        <v>228566</v>
      </c>
      <c r="EP32" s="455">
        <f t="shared" si="12"/>
        <v>696328</v>
      </c>
      <c r="EQ32" s="272">
        <v>9853781</v>
      </c>
      <c r="ER32" s="272">
        <v>-966405</v>
      </c>
      <c r="ES32" s="272">
        <v>3744676</v>
      </c>
      <c r="ET32" s="272">
        <v>2761336</v>
      </c>
      <c r="EU32" s="272">
        <v>502311</v>
      </c>
      <c r="EV32" s="272">
        <v>1495568</v>
      </c>
      <c r="EW32" s="455">
        <f t="shared" si="13"/>
        <v>1126951</v>
      </c>
      <c r="EX32" s="272">
        <v>1119173</v>
      </c>
      <c r="EY32" s="272">
        <v>243603</v>
      </c>
      <c r="EZ32" s="272">
        <v>855640</v>
      </c>
      <c r="FA32" s="272">
        <v>7778</v>
      </c>
      <c r="FB32" s="272"/>
      <c r="FC32" s="272">
        <v>1221148</v>
      </c>
      <c r="FD32" s="272">
        <v>930519</v>
      </c>
      <c r="FE32" s="272">
        <v>442973</v>
      </c>
      <c r="FF32" s="272">
        <v>342545</v>
      </c>
      <c r="FG32" s="455">
        <f t="shared" si="14"/>
        <v>1412957</v>
      </c>
      <c r="FH32" s="272">
        <v>10776675</v>
      </c>
      <c r="FI32" s="384">
        <f t="shared" si="15"/>
        <v>1.2</v>
      </c>
      <c r="FJ32" s="272">
        <v>8406704</v>
      </c>
      <c r="FK32" s="272"/>
      <c r="FL32" s="272">
        <v>4763443</v>
      </c>
      <c r="FM32" s="272">
        <v>6861368</v>
      </c>
      <c r="FN32" s="460">
        <v>0.69799999999999995</v>
      </c>
      <c r="FO32" s="388">
        <v>87.3</v>
      </c>
      <c r="FP32" s="388">
        <v>41.4</v>
      </c>
      <c r="FQ32" s="388">
        <v>5.6</v>
      </c>
      <c r="FR32" s="388">
        <v>16.7</v>
      </c>
      <c r="FS32" s="388">
        <v>11</v>
      </c>
      <c r="FT32" s="388">
        <v>9</v>
      </c>
      <c r="FU32" s="388">
        <v>1.7</v>
      </c>
      <c r="FV32" s="388">
        <v>14.5</v>
      </c>
      <c r="FW32" s="272">
        <v>13481612</v>
      </c>
      <c r="FX32" s="384">
        <f t="shared" si="16"/>
        <v>160.4</v>
      </c>
      <c r="FY32" s="272">
        <v>4558145</v>
      </c>
      <c r="FZ32" s="272"/>
      <c r="GA32" s="272">
        <v>950816</v>
      </c>
      <c r="GB32" s="272">
        <v>3607329</v>
      </c>
      <c r="GC32" s="272"/>
      <c r="GD32" s="272">
        <v>4157829</v>
      </c>
      <c r="GE32" s="384">
        <f t="shared" si="17"/>
        <v>49.5</v>
      </c>
      <c r="GF32" s="388">
        <v>96.5</v>
      </c>
      <c r="GG32" s="388">
        <v>26.2</v>
      </c>
      <c r="GH32" s="388">
        <v>88.9</v>
      </c>
      <c r="GI32" s="272">
        <v>571</v>
      </c>
    </row>
    <row r="33" spans="2:191" x14ac:dyDescent="0.15">
      <c r="B33" s="89" t="s">
        <v>59</v>
      </c>
      <c r="C33" s="272">
        <v>5314285</v>
      </c>
      <c r="D33" s="455">
        <f t="shared" si="0"/>
        <v>2539980</v>
      </c>
      <c r="E33" s="272">
        <v>34088</v>
      </c>
      <c r="F33" s="272">
        <v>2505892</v>
      </c>
      <c r="G33" s="455">
        <f t="shared" si="1"/>
        <v>428090</v>
      </c>
      <c r="H33" s="272">
        <v>62830</v>
      </c>
      <c r="I33" s="272">
        <v>365260</v>
      </c>
      <c r="J33" s="272">
        <v>1669897</v>
      </c>
      <c r="K33" s="272">
        <v>899980</v>
      </c>
      <c r="L33" s="272">
        <v>588276</v>
      </c>
      <c r="M33" s="272">
        <v>172796</v>
      </c>
      <c r="N33" s="272">
        <v>206868</v>
      </c>
      <c r="O33" s="272">
        <v>411713</v>
      </c>
      <c r="P33" s="272">
        <v>294070</v>
      </c>
      <c r="Q33" s="272">
        <v>117643</v>
      </c>
      <c r="R33" s="272">
        <v>218093</v>
      </c>
      <c r="S33" s="272">
        <v>140409</v>
      </c>
      <c r="T33" s="455">
        <f t="shared" si="2"/>
        <v>558864</v>
      </c>
      <c r="U33" s="272">
        <v>350815</v>
      </c>
      <c r="V33" s="272"/>
      <c r="W33" s="272"/>
      <c r="X33" s="272"/>
      <c r="Y33" s="272">
        <v>54225</v>
      </c>
      <c r="Z33" s="272"/>
      <c r="AA33" s="272">
        <v>153824</v>
      </c>
      <c r="AB33" s="272"/>
      <c r="AC33" s="272">
        <v>2380357</v>
      </c>
      <c r="AD33" s="272">
        <v>2111462</v>
      </c>
      <c r="AE33" s="272">
        <v>268895</v>
      </c>
      <c r="AF33" s="272">
        <v>11249</v>
      </c>
      <c r="AG33" s="272">
        <v>153692</v>
      </c>
      <c r="AH33" s="455">
        <f t="shared" si="3"/>
        <v>215289</v>
      </c>
      <c r="AI33" s="272">
        <v>90490</v>
      </c>
      <c r="AJ33" s="272">
        <v>124799</v>
      </c>
      <c r="AK33" s="272">
        <v>1144281</v>
      </c>
      <c r="AL33" s="455">
        <f t="shared" si="4"/>
        <v>521719</v>
      </c>
      <c r="AM33" s="272">
        <v>375122</v>
      </c>
      <c r="AN33" s="272">
        <v>97459</v>
      </c>
      <c r="AO33" s="272">
        <v>0</v>
      </c>
      <c r="AP33" s="272">
        <v>49138</v>
      </c>
      <c r="AQ33" s="272">
        <v>119049</v>
      </c>
      <c r="AR33" s="272">
        <v>0</v>
      </c>
      <c r="AS33" s="272">
        <v>0</v>
      </c>
      <c r="AT33" s="272">
        <v>516595</v>
      </c>
      <c r="AU33" s="272">
        <v>202486</v>
      </c>
      <c r="AV33" s="272">
        <v>48729</v>
      </c>
      <c r="AW33" s="272">
        <v>16968</v>
      </c>
      <c r="AX33" s="272">
        <v>314109</v>
      </c>
      <c r="AY33" s="272">
        <v>87425</v>
      </c>
      <c r="AZ33" s="272">
        <v>125746</v>
      </c>
      <c r="BA33" s="272">
        <v>6186</v>
      </c>
      <c r="BB33" s="272">
        <v>243157</v>
      </c>
      <c r="BC33" s="272">
        <v>83200</v>
      </c>
      <c r="BD33" s="272">
        <v>28000</v>
      </c>
      <c r="BE33" s="272">
        <v>24400</v>
      </c>
      <c r="BF33" s="272">
        <v>30760</v>
      </c>
      <c r="BG33" s="272">
        <v>0</v>
      </c>
      <c r="BH33" s="272">
        <v>0</v>
      </c>
      <c r="BI33" s="272">
        <v>0</v>
      </c>
      <c r="BJ33" s="272">
        <v>250835</v>
      </c>
      <c r="BK33" s="272">
        <v>0</v>
      </c>
      <c r="BL33" s="272">
        <v>28670</v>
      </c>
      <c r="BM33" s="272">
        <v>0</v>
      </c>
      <c r="BN33" s="272">
        <v>535400</v>
      </c>
      <c r="BO33" s="455">
        <f t="shared" si="5"/>
        <v>535400</v>
      </c>
      <c r="BP33" s="455">
        <f t="shared" si="6"/>
        <v>0</v>
      </c>
      <c r="BQ33" s="272"/>
      <c r="BR33" s="272"/>
      <c r="BS33" s="272"/>
      <c r="BT33" s="272">
        <v>0</v>
      </c>
      <c r="BU33" s="272">
        <v>11751043</v>
      </c>
      <c r="BV33" s="272"/>
      <c r="BW33" s="272">
        <v>3655641</v>
      </c>
      <c r="BX33" s="272">
        <v>2828042</v>
      </c>
      <c r="BY33" s="272">
        <v>77723</v>
      </c>
      <c r="BZ33" s="272">
        <v>73263</v>
      </c>
      <c r="CA33" s="272">
        <v>1240341</v>
      </c>
      <c r="CB33" s="272">
        <v>148883</v>
      </c>
      <c r="CC33" s="272">
        <v>268654</v>
      </c>
      <c r="CD33" s="272">
        <v>267579</v>
      </c>
      <c r="CE33" s="272">
        <v>504363</v>
      </c>
      <c r="CF33" s="272">
        <v>1667</v>
      </c>
      <c r="CG33" s="272">
        <v>48872</v>
      </c>
      <c r="CH33" s="272">
        <v>1048482</v>
      </c>
      <c r="CI33" s="272">
        <v>526503</v>
      </c>
      <c r="CJ33" s="455">
        <f t="shared" si="7"/>
        <v>521979</v>
      </c>
      <c r="CK33" s="272">
        <v>1339901</v>
      </c>
      <c r="CL33" s="272">
        <v>688512</v>
      </c>
      <c r="CM33" s="272">
        <v>79525</v>
      </c>
      <c r="CN33" s="272">
        <v>264501</v>
      </c>
      <c r="CO33" s="272">
        <v>46470</v>
      </c>
      <c r="CP33" s="272">
        <v>734738</v>
      </c>
      <c r="CQ33" s="272">
        <v>303067</v>
      </c>
      <c r="CR33" s="272">
        <v>161945</v>
      </c>
      <c r="CS33" s="272">
        <v>41277</v>
      </c>
      <c r="CT33" s="455">
        <f t="shared" si="8"/>
        <v>14542</v>
      </c>
      <c r="CU33" s="272">
        <v>4596</v>
      </c>
      <c r="CV33" s="272">
        <v>9946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2319323</v>
      </c>
      <c r="DD33" s="272">
        <v>285137</v>
      </c>
      <c r="DE33" s="272">
        <v>1987242</v>
      </c>
      <c r="DF33" s="272">
        <v>18274</v>
      </c>
      <c r="DG33" s="272">
        <v>28670</v>
      </c>
      <c r="DH33" s="272">
        <v>0</v>
      </c>
      <c r="DI33" s="272">
        <v>340721</v>
      </c>
      <c r="DJ33" s="272">
        <v>6586</v>
      </c>
      <c r="DK33" s="272">
        <v>88478</v>
      </c>
      <c r="DL33" s="272">
        <v>245657</v>
      </c>
      <c r="DM33" s="272">
        <v>0</v>
      </c>
      <c r="DN33" s="272">
        <v>0</v>
      </c>
      <c r="DO33" s="272">
        <v>0</v>
      </c>
      <c r="DP33" s="272">
        <v>0</v>
      </c>
      <c r="DQ33" s="272">
        <v>0</v>
      </c>
      <c r="DR33" s="272">
        <v>0</v>
      </c>
      <c r="DS33" s="272">
        <v>0</v>
      </c>
      <c r="DT33" s="272">
        <v>872672</v>
      </c>
      <c r="DU33" s="272">
        <v>571977</v>
      </c>
      <c r="DV33" s="455">
        <f t="shared" si="11"/>
        <v>0</v>
      </c>
      <c r="DW33" s="272">
        <v>0</v>
      </c>
      <c r="DX33" s="272">
        <v>0</v>
      </c>
      <c r="DY33" s="457" t="s">
        <v>646</v>
      </c>
      <c r="DZ33" s="272">
        <v>172375</v>
      </c>
      <c r="EA33" s="272">
        <v>120072</v>
      </c>
      <c r="EB33" s="272"/>
      <c r="EC33" s="272">
        <v>267789</v>
      </c>
      <c r="ED33" s="272">
        <v>11866078</v>
      </c>
      <c r="EF33" s="272">
        <v>-115035</v>
      </c>
      <c r="EG33" s="272">
        <v>100843</v>
      </c>
      <c r="EH33" s="272">
        <v>-215878</v>
      </c>
      <c r="EI33" s="272">
        <v>57316</v>
      </c>
      <c r="EJ33" s="272">
        <v>35902</v>
      </c>
      <c r="EL33" s="272">
        <v>50035</v>
      </c>
      <c r="EM33" s="272">
        <v>49746</v>
      </c>
      <c r="EN33" s="272">
        <v>52440</v>
      </c>
      <c r="EO33" s="272">
        <v>9038</v>
      </c>
      <c r="EP33" s="455">
        <f t="shared" si="12"/>
        <v>464019</v>
      </c>
      <c r="EQ33" s="272">
        <v>8482848</v>
      </c>
      <c r="ER33" s="272">
        <v>-514248</v>
      </c>
      <c r="ES33" s="272">
        <v>3416719</v>
      </c>
      <c r="ET33" s="272">
        <v>2604155</v>
      </c>
      <c r="EU33" s="272">
        <v>386289</v>
      </c>
      <c r="EV33" s="272">
        <v>1048482</v>
      </c>
      <c r="EW33" s="455">
        <f t="shared" si="13"/>
        <v>1224115</v>
      </c>
      <c r="EX33" s="272">
        <v>1224115</v>
      </c>
      <c r="EY33" s="272">
        <v>33084</v>
      </c>
      <c r="EZ33" s="272">
        <v>1181486</v>
      </c>
      <c r="FA33" s="272">
        <v>0</v>
      </c>
      <c r="FB33" s="272"/>
      <c r="FC33" s="272">
        <v>1022643</v>
      </c>
      <c r="FD33" s="272">
        <v>648696</v>
      </c>
      <c r="FE33" s="272">
        <v>303067</v>
      </c>
      <c r="FF33" s="272">
        <v>836709</v>
      </c>
      <c r="FG33" s="455">
        <f t="shared" si="14"/>
        <v>531489</v>
      </c>
      <c r="FH33" s="272">
        <v>9115142</v>
      </c>
      <c r="FI33" s="384">
        <f t="shared" si="15"/>
        <v>-3</v>
      </c>
      <c r="FJ33" s="272">
        <v>7260308</v>
      </c>
      <c r="FK33" s="272"/>
      <c r="FL33" s="272">
        <v>3883138</v>
      </c>
      <c r="FM33" s="272">
        <v>5994271</v>
      </c>
      <c r="FN33" s="460">
        <v>0.64100000000000001</v>
      </c>
      <c r="FO33" s="388">
        <v>84.7</v>
      </c>
      <c r="FP33" s="388">
        <v>42.6</v>
      </c>
      <c r="FQ33" s="388">
        <v>4.9000000000000004</v>
      </c>
      <c r="FR33" s="388">
        <v>13.3</v>
      </c>
      <c r="FS33" s="388">
        <v>9.6999999999999993</v>
      </c>
      <c r="FT33" s="388">
        <v>7.3</v>
      </c>
      <c r="FU33" s="388">
        <v>6.4</v>
      </c>
      <c r="FV33" s="388">
        <v>11.8</v>
      </c>
      <c r="FW33" s="272">
        <v>7781400</v>
      </c>
      <c r="FX33" s="384">
        <f t="shared" si="16"/>
        <v>107.2</v>
      </c>
      <c r="FY33" s="272">
        <v>1750472</v>
      </c>
      <c r="FZ33" s="272">
        <v>63575</v>
      </c>
      <c r="GA33" s="272">
        <v>289774</v>
      </c>
      <c r="GB33" s="272">
        <v>1397123</v>
      </c>
      <c r="GC33" s="272"/>
      <c r="GD33" s="272">
        <v>4388946</v>
      </c>
      <c r="GE33" s="384">
        <f t="shared" si="17"/>
        <v>60.5</v>
      </c>
      <c r="GF33" s="388">
        <v>97.1</v>
      </c>
      <c r="GG33" s="388">
        <v>36.200000000000003</v>
      </c>
      <c r="GH33" s="388">
        <v>93.5</v>
      </c>
      <c r="GI33" s="272">
        <v>439</v>
      </c>
    </row>
    <row r="34" spans="2:191" x14ac:dyDescent="0.15">
      <c r="B34" s="89" t="s">
        <v>61</v>
      </c>
      <c r="C34" s="272">
        <v>7650354</v>
      </c>
      <c r="D34" s="455">
        <f t="shared" si="0"/>
        <v>4392489</v>
      </c>
      <c r="E34" s="272">
        <v>42165</v>
      </c>
      <c r="F34" s="272">
        <v>4350324</v>
      </c>
      <c r="G34" s="455">
        <f t="shared" si="1"/>
        <v>570665</v>
      </c>
      <c r="H34" s="272">
        <v>63991</v>
      </c>
      <c r="I34" s="272">
        <v>506674</v>
      </c>
      <c r="J34" s="272">
        <v>1944267</v>
      </c>
      <c r="K34" s="272">
        <v>850196</v>
      </c>
      <c r="L34" s="272">
        <v>776236</v>
      </c>
      <c r="M34" s="272">
        <v>293459</v>
      </c>
      <c r="N34" s="272">
        <v>233262</v>
      </c>
      <c r="O34" s="272">
        <v>464347</v>
      </c>
      <c r="P34" s="272">
        <v>296445</v>
      </c>
      <c r="Q34" s="272">
        <v>167902</v>
      </c>
      <c r="R34" s="272">
        <v>284111</v>
      </c>
      <c r="S34" s="272">
        <v>173298</v>
      </c>
      <c r="T34" s="455">
        <f t="shared" si="2"/>
        <v>979126</v>
      </c>
      <c r="U34" s="272">
        <v>617129</v>
      </c>
      <c r="V34" s="272"/>
      <c r="W34" s="272"/>
      <c r="X34" s="272"/>
      <c r="Y34" s="272">
        <v>143105</v>
      </c>
      <c r="Z34" s="272"/>
      <c r="AA34" s="272">
        <v>218892</v>
      </c>
      <c r="AB34" s="272"/>
      <c r="AC34" s="272">
        <v>1917149</v>
      </c>
      <c r="AD34" s="272">
        <v>1685614</v>
      </c>
      <c r="AE34" s="272">
        <v>231535</v>
      </c>
      <c r="AF34" s="272">
        <v>12354</v>
      </c>
      <c r="AG34" s="272">
        <v>84793</v>
      </c>
      <c r="AH34" s="455">
        <f t="shared" si="3"/>
        <v>140945</v>
      </c>
      <c r="AI34" s="272">
        <v>64234</v>
      </c>
      <c r="AJ34" s="272">
        <v>76711</v>
      </c>
      <c r="AK34" s="272">
        <v>668716</v>
      </c>
      <c r="AL34" s="455">
        <f t="shared" si="4"/>
        <v>393594</v>
      </c>
      <c r="AM34" s="272">
        <v>268525</v>
      </c>
      <c r="AN34" s="272">
        <v>81747</v>
      </c>
      <c r="AO34" s="272">
        <v>0</v>
      </c>
      <c r="AP34" s="272">
        <v>43322</v>
      </c>
      <c r="AQ34" s="272">
        <v>47666</v>
      </c>
      <c r="AR34" s="272">
        <v>0</v>
      </c>
      <c r="AS34" s="272">
        <v>0</v>
      </c>
      <c r="AT34" s="272">
        <v>701225</v>
      </c>
      <c r="AU34" s="272">
        <v>193563</v>
      </c>
      <c r="AV34" s="272">
        <v>40873</v>
      </c>
      <c r="AW34" s="272">
        <v>63519</v>
      </c>
      <c r="AX34" s="272">
        <v>507662</v>
      </c>
      <c r="AY34" s="272">
        <v>203631</v>
      </c>
      <c r="AZ34" s="272">
        <v>342854</v>
      </c>
      <c r="BA34" s="272">
        <v>66857</v>
      </c>
      <c r="BB34" s="272">
        <v>765785</v>
      </c>
      <c r="BC34" s="272">
        <v>272381</v>
      </c>
      <c r="BD34" s="272">
        <v>0</v>
      </c>
      <c r="BE34" s="272">
        <v>30750</v>
      </c>
      <c r="BF34" s="272">
        <v>213896</v>
      </c>
      <c r="BG34" s="272">
        <v>0</v>
      </c>
      <c r="BH34" s="272">
        <v>38090</v>
      </c>
      <c r="BI34" s="272">
        <v>38090</v>
      </c>
      <c r="BJ34" s="272">
        <v>1135467</v>
      </c>
      <c r="BK34" s="272">
        <v>1052439</v>
      </c>
      <c r="BL34" s="272">
        <v>0</v>
      </c>
      <c r="BM34" s="272">
        <v>0</v>
      </c>
      <c r="BN34" s="272">
        <v>1308800</v>
      </c>
      <c r="BO34" s="455">
        <f t="shared" si="5"/>
        <v>1308800</v>
      </c>
      <c r="BP34" s="455">
        <f t="shared" si="6"/>
        <v>0</v>
      </c>
      <c r="BQ34" s="272"/>
      <c r="BR34" s="272"/>
      <c r="BS34" s="272"/>
      <c r="BT34" s="272">
        <v>0</v>
      </c>
      <c r="BU34" s="272">
        <v>16302150</v>
      </c>
      <c r="BV34" s="272"/>
      <c r="BW34" s="272">
        <v>4579270</v>
      </c>
      <c r="BX34" s="272">
        <v>3404146</v>
      </c>
      <c r="BY34" s="272">
        <v>250476</v>
      </c>
      <c r="BZ34" s="272">
        <v>133644</v>
      </c>
      <c r="CA34" s="272">
        <v>1112330</v>
      </c>
      <c r="CB34" s="272">
        <v>181972</v>
      </c>
      <c r="CC34" s="272">
        <v>239878</v>
      </c>
      <c r="CD34" s="272">
        <v>330993</v>
      </c>
      <c r="CE34" s="272">
        <v>309078</v>
      </c>
      <c r="CF34" s="272">
        <v>13</v>
      </c>
      <c r="CG34" s="272">
        <v>50396</v>
      </c>
      <c r="CH34" s="272">
        <v>1965034</v>
      </c>
      <c r="CI34" s="272">
        <v>1010776</v>
      </c>
      <c r="CJ34" s="455">
        <f t="shared" si="7"/>
        <v>954258</v>
      </c>
      <c r="CK34" s="272">
        <v>1412454</v>
      </c>
      <c r="CL34" s="272">
        <v>737573</v>
      </c>
      <c r="CM34" s="272">
        <v>60043</v>
      </c>
      <c r="CN34" s="272">
        <v>395648</v>
      </c>
      <c r="CO34" s="272">
        <v>85764</v>
      </c>
      <c r="CP34" s="272">
        <v>635681</v>
      </c>
      <c r="CQ34" s="272">
        <v>230580</v>
      </c>
      <c r="CR34" s="272">
        <v>188543</v>
      </c>
      <c r="CS34" s="272">
        <v>171459</v>
      </c>
      <c r="CT34" s="455">
        <f t="shared" si="8"/>
        <v>0</v>
      </c>
      <c r="CU34" s="272">
        <v>0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2710640</v>
      </c>
      <c r="DD34" s="272">
        <v>242668</v>
      </c>
      <c r="DE34" s="272">
        <v>2467972</v>
      </c>
      <c r="DF34" s="272">
        <v>0</v>
      </c>
      <c r="DG34" s="272">
        <v>0</v>
      </c>
      <c r="DH34" s="272">
        <v>14980</v>
      </c>
      <c r="DI34" s="272">
        <v>1946733</v>
      </c>
      <c r="DJ34" s="272">
        <v>899151</v>
      </c>
      <c r="DK34" s="272">
        <v>144468</v>
      </c>
      <c r="DL34" s="272">
        <v>903114</v>
      </c>
      <c r="DM34" s="272">
        <v>0</v>
      </c>
      <c r="DN34" s="272">
        <v>0</v>
      </c>
      <c r="DO34" s="272">
        <v>0</v>
      </c>
      <c r="DP34" s="272">
        <v>0</v>
      </c>
      <c r="DQ34" s="272">
        <v>1000000</v>
      </c>
      <c r="DR34" s="272">
        <v>0</v>
      </c>
      <c r="DS34" s="272">
        <v>0</v>
      </c>
      <c r="DT34" s="272">
        <v>759451</v>
      </c>
      <c r="DU34" s="272">
        <v>495000</v>
      </c>
      <c r="DV34" s="455">
        <f t="shared" si="11"/>
        <v>0</v>
      </c>
      <c r="DW34" s="272">
        <v>0</v>
      </c>
      <c r="DX34" s="272">
        <v>0</v>
      </c>
      <c r="DY34" s="457" t="s">
        <v>646</v>
      </c>
      <c r="DZ34" s="272">
        <v>82273</v>
      </c>
      <c r="EA34" s="272">
        <v>158050</v>
      </c>
      <c r="EB34" s="272"/>
      <c r="EC34" s="272">
        <v>0</v>
      </c>
      <c r="ED34" s="272">
        <v>16222337</v>
      </c>
      <c r="EF34" s="272">
        <v>79813</v>
      </c>
      <c r="EG34" s="272">
        <v>12600</v>
      </c>
      <c r="EH34" s="272">
        <v>67213</v>
      </c>
      <c r="EI34" s="272">
        <v>29123</v>
      </c>
      <c r="EJ34" s="272">
        <v>928274</v>
      </c>
      <c r="EL34" s="272">
        <v>65308</v>
      </c>
      <c r="EM34" s="272">
        <v>65631</v>
      </c>
      <c r="EN34" s="272">
        <v>41676</v>
      </c>
      <c r="EO34" s="272">
        <v>99953</v>
      </c>
      <c r="EP34" s="455">
        <f t="shared" si="12"/>
        <v>861463</v>
      </c>
      <c r="EQ34" s="272">
        <v>10843094</v>
      </c>
      <c r="ER34" s="272">
        <v>-990738</v>
      </c>
      <c r="ES34" s="272">
        <v>4380949</v>
      </c>
      <c r="ET34" s="272">
        <v>3231934</v>
      </c>
      <c r="EU34" s="272">
        <v>356934</v>
      </c>
      <c r="EV34" s="272">
        <v>1965034</v>
      </c>
      <c r="EW34" s="455">
        <f t="shared" si="13"/>
        <v>900105</v>
      </c>
      <c r="EX34" s="272">
        <v>885125</v>
      </c>
      <c r="EY34" s="272">
        <v>48808</v>
      </c>
      <c r="EZ34" s="272">
        <v>836317</v>
      </c>
      <c r="FA34" s="272">
        <v>14980</v>
      </c>
      <c r="FB34" s="272"/>
      <c r="FC34" s="272">
        <v>1171007</v>
      </c>
      <c r="FD34" s="272">
        <v>590448</v>
      </c>
      <c r="FE34" s="272">
        <v>230580</v>
      </c>
      <c r="FF34" s="272">
        <v>697617</v>
      </c>
      <c r="FG34" s="455">
        <f t="shared" si="14"/>
        <v>1730879</v>
      </c>
      <c r="FH34" s="272">
        <v>11792973</v>
      </c>
      <c r="FI34" s="384">
        <f t="shared" si="15"/>
        <v>0.7</v>
      </c>
      <c r="FJ34" s="272">
        <v>9384743</v>
      </c>
      <c r="FK34" s="272"/>
      <c r="FL34" s="272">
        <v>5803692</v>
      </c>
      <c r="FM34" s="272">
        <v>7506053</v>
      </c>
      <c r="FN34" s="460">
        <v>0.76800000000000002</v>
      </c>
      <c r="FO34" s="388">
        <v>84.4</v>
      </c>
      <c r="FP34" s="388">
        <v>42</v>
      </c>
      <c r="FQ34" s="388">
        <v>3.5</v>
      </c>
      <c r="FR34" s="388">
        <v>19.2</v>
      </c>
      <c r="FS34" s="388">
        <v>11.2</v>
      </c>
      <c r="FT34" s="388">
        <v>5.5</v>
      </c>
      <c r="FU34" s="388">
        <v>2.2999999999999998</v>
      </c>
      <c r="FV34" s="388">
        <v>16</v>
      </c>
      <c r="FW34" s="272">
        <v>15588545</v>
      </c>
      <c r="FX34" s="384">
        <f t="shared" si="16"/>
        <v>166.1</v>
      </c>
      <c r="FY34" s="272">
        <v>5314483</v>
      </c>
      <c r="FZ34" s="272">
        <v>2063516</v>
      </c>
      <c r="GA34" s="272">
        <v>986528</v>
      </c>
      <c r="GB34" s="272">
        <v>2264439</v>
      </c>
      <c r="GC34" s="272"/>
      <c r="GD34" s="272">
        <v>15214550</v>
      </c>
      <c r="GE34" s="384">
        <f t="shared" si="17"/>
        <v>162.1</v>
      </c>
      <c r="GF34" s="388">
        <v>97.8</v>
      </c>
      <c r="GG34" s="388">
        <v>39.200000000000003</v>
      </c>
      <c r="GH34" s="388">
        <v>95.7</v>
      </c>
      <c r="GI34" s="272">
        <v>510</v>
      </c>
    </row>
    <row r="35" spans="2:191" x14ac:dyDescent="0.15">
      <c r="B35" s="89" t="s">
        <v>63</v>
      </c>
      <c r="C35" s="272">
        <v>7211601</v>
      </c>
      <c r="D35" s="455">
        <f t="shared" si="0"/>
        <v>4073953</v>
      </c>
      <c r="E35" s="272">
        <v>35444</v>
      </c>
      <c r="F35" s="272">
        <v>4038509</v>
      </c>
      <c r="G35" s="455">
        <f t="shared" si="1"/>
        <v>501071</v>
      </c>
      <c r="H35" s="272">
        <v>57161</v>
      </c>
      <c r="I35" s="272">
        <v>443910</v>
      </c>
      <c r="J35" s="272">
        <v>1986253</v>
      </c>
      <c r="K35" s="272">
        <v>818689</v>
      </c>
      <c r="L35" s="272">
        <v>868166</v>
      </c>
      <c r="M35" s="272">
        <v>276460</v>
      </c>
      <c r="N35" s="272">
        <v>203806</v>
      </c>
      <c r="O35" s="272">
        <v>335618</v>
      </c>
      <c r="P35" s="272">
        <v>211387</v>
      </c>
      <c r="Q35" s="272">
        <v>124231</v>
      </c>
      <c r="R35" s="272">
        <v>248388</v>
      </c>
      <c r="S35" s="272">
        <v>155101</v>
      </c>
      <c r="T35" s="455">
        <f t="shared" si="2"/>
        <v>717105</v>
      </c>
      <c r="U35" s="272">
        <v>533008</v>
      </c>
      <c r="V35" s="272"/>
      <c r="W35" s="272"/>
      <c r="X35" s="272"/>
      <c r="Y35" s="272">
        <v>0</v>
      </c>
      <c r="Z35" s="272"/>
      <c r="AA35" s="272">
        <v>184097</v>
      </c>
      <c r="AB35" s="272"/>
      <c r="AC35" s="272">
        <v>1311356</v>
      </c>
      <c r="AD35" s="272">
        <v>1019279</v>
      </c>
      <c r="AE35" s="272">
        <v>292077</v>
      </c>
      <c r="AF35" s="272">
        <v>13071</v>
      </c>
      <c r="AG35" s="272">
        <v>71226</v>
      </c>
      <c r="AH35" s="455">
        <f t="shared" si="3"/>
        <v>261372</v>
      </c>
      <c r="AI35" s="272">
        <v>228096</v>
      </c>
      <c r="AJ35" s="272">
        <v>33276</v>
      </c>
      <c r="AK35" s="272">
        <v>1203103</v>
      </c>
      <c r="AL35" s="455">
        <f t="shared" si="4"/>
        <v>320599</v>
      </c>
      <c r="AM35" s="272">
        <v>253205</v>
      </c>
      <c r="AN35" s="272">
        <v>44557</v>
      </c>
      <c r="AO35" s="272">
        <v>0</v>
      </c>
      <c r="AP35" s="272">
        <v>22837</v>
      </c>
      <c r="AQ35" s="272">
        <v>623638</v>
      </c>
      <c r="AR35" s="272">
        <v>0</v>
      </c>
      <c r="AS35" s="272">
        <v>0</v>
      </c>
      <c r="AT35" s="272">
        <v>463622</v>
      </c>
      <c r="AU35" s="272">
        <v>112609</v>
      </c>
      <c r="AV35" s="272">
        <v>22279</v>
      </c>
      <c r="AW35" s="272">
        <v>0</v>
      </c>
      <c r="AX35" s="272">
        <v>351013</v>
      </c>
      <c r="AY35" s="272">
        <v>95900</v>
      </c>
      <c r="AZ35" s="272">
        <v>409405</v>
      </c>
      <c r="BA35" s="272">
        <v>0</v>
      </c>
      <c r="BB35" s="272">
        <v>80092</v>
      </c>
      <c r="BC35" s="272">
        <v>101275</v>
      </c>
      <c r="BD35" s="272">
        <v>0</v>
      </c>
      <c r="BE35" s="272">
        <v>0</v>
      </c>
      <c r="BF35" s="272">
        <v>40862</v>
      </c>
      <c r="BG35" s="272">
        <v>0</v>
      </c>
      <c r="BH35" s="272">
        <v>201277</v>
      </c>
      <c r="BI35" s="272">
        <v>201277</v>
      </c>
      <c r="BJ35" s="272">
        <v>156439</v>
      </c>
      <c r="BK35" s="272">
        <v>453</v>
      </c>
      <c r="BL35" s="272">
        <v>0</v>
      </c>
      <c r="BM35" s="272">
        <v>0</v>
      </c>
      <c r="BN35" s="272">
        <v>2094200</v>
      </c>
      <c r="BO35" s="455">
        <f t="shared" si="5"/>
        <v>2094200</v>
      </c>
      <c r="BP35" s="455">
        <f t="shared" si="6"/>
        <v>0</v>
      </c>
      <c r="BQ35" s="272"/>
      <c r="BR35" s="272"/>
      <c r="BS35" s="272"/>
      <c r="BT35" s="272">
        <v>0</v>
      </c>
      <c r="BU35" s="272">
        <v>14543532</v>
      </c>
      <c r="BV35" s="272"/>
      <c r="BW35" s="272">
        <v>3430619</v>
      </c>
      <c r="BX35" s="272">
        <v>2529361</v>
      </c>
      <c r="BY35" s="272">
        <v>277426</v>
      </c>
      <c r="BZ35" s="272">
        <v>37187</v>
      </c>
      <c r="CA35" s="272">
        <v>785760</v>
      </c>
      <c r="CB35" s="272">
        <v>107351</v>
      </c>
      <c r="CC35" s="272">
        <v>186105</v>
      </c>
      <c r="CD35" s="272">
        <v>169072</v>
      </c>
      <c r="CE35" s="272">
        <v>306184</v>
      </c>
      <c r="CF35" s="272">
        <v>0</v>
      </c>
      <c r="CG35" s="272">
        <v>17048</v>
      </c>
      <c r="CH35" s="272">
        <v>1250615</v>
      </c>
      <c r="CI35" s="272">
        <v>677965</v>
      </c>
      <c r="CJ35" s="455">
        <f t="shared" si="7"/>
        <v>572650</v>
      </c>
      <c r="CK35" s="272">
        <v>1544354</v>
      </c>
      <c r="CL35" s="272">
        <v>749442</v>
      </c>
      <c r="CM35" s="272">
        <v>84753</v>
      </c>
      <c r="CN35" s="272">
        <v>415502</v>
      </c>
      <c r="CO35" s="272">
        <v>23298</v>
      </c>
      <c r="CP35" s="272">
        <v>792726</v>
      </c>
      <c r="CQ35" s="272">
        <v>273462</v>
      </c>
      <c r="CR35" s="272">
        <v>209347</v>
      </c>
      <c r="CS35" s="272">
        <v>162993</v>
      </c>
      <c r="CT35" s="455">
        <f t="shared" si="8"/>
        <v>23690</v>
      </c>
      <c r="CU35" s="272">
        <v>3090</v>
      </c>
      <c r="CV35" s="272">
        <v>20600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4344103</v>
      </c>
      <c r="DD35" s="272">
        <v>2921754</v>
      </c>
      <c r="DE35" s="272">
        <v>1414748</v>
      </c>
      <c r="DF35" s="272">
        <v>7601</v>
      </c>
      <c r="DG35" s="272">
        <v>0</v>
      </c>
      <c r="DH35" s="272">
        <v>2781</v>
      </c>
      <c r="DI35" s="272">
        <v>1264780</v>
      </c>
      <c r="DJ35" s="272">
        <v>230000</v>
      </c>
      <c r="DK35" s="272">
        <v>50000</v>
      </c>
      <c r="DL35" s="272">
        <v>984780</v>
      </c>
      <c r="DM35" s="272">
        <v>0</v>
      </c>
      <c r="DN35" s="272">
        <v>0</v>
      </c>
      <c r="DO35" s="272">
        <v>0</v>
      </c>
      <c r="DP35" s="272">
        <v>0</v>
      </c>
      <c r="DQ35" s="272">
        <v>648</v>
      </c>
      <c r="DR35" s="272">
        <v>0</v>
      </c>
      <c r="DS35" s="272">
        <v>0</v>
      </c>
      <c r="DT35" s="272">
        <v>879180</v>
      </c>
      <c r="DU35" s="272">
        <v>577399</v>
      </c>
      <c r="DV35" s="455">
        <f t="shared" si="11"/>
        <v>0</v>
      </c>
      <c r="DW35" s="272">
        <v>0</v>
      </c>
      <c r="DX35" s="272">
        <v>0</v>
      </c>
      <c r="DY35" s="457" t="s">
        <v>646</v>
      </c>
      <c r="DZ35" s="272">
        <v>195190</v>
      </c>
      <c r="EA35" s="272">
        <v>102683</v>
      </c>
      <c r="EB35" s="272"/>
      <c r="EC35" s="272">
        <v>0</v>
      </c>
      <c r="ED35" s="272">
        <v>14318864</v>
      </c>
      <c r="EF35" s="272">
        <v>224668</v>
      </c>
      <c r="EG35" s="272">
        <v>0</v>
      </c>
      <c r="EH35" s="272">
        <v>224668</v>
      </c>
      <c r="EI35" s="272">
        <v>23391</v>
      </c>
      <c r="EJ35" s="272">
        <v>253391</v>
      </c>
      <c r="EL35" s="272">
        <v>54319</v>
      </c>
      <c r="EM35" s="272">
        <v>53393</v>
      </c>
      <c r="EN35" s="272">
        <v>60413</v>
      </c>
      <c r="EO35" s="272">
        <v>1321</v>
      </c>
      <c r="EP35" s="455">
        <f t="shared" si="12"/>
        <v>672784</v>
      </c>
      <c r="EQ35" s="272">
        <v>9501521</v>
      </c>
      <c r="ER35" s="272">
        <v>-721447</v>
      </c>
      <c r="ES35" s="272">
        <v>3181565</v>
      </c>
      <c r="ET35" s="272">
        <v>2298590</v>
      </c>
      <c r="EU35" s="272">
        <v>216136</v>
      </c>
      <c r="EV35" s="272">
        <v>1250615</v>
      </c>
      <c r="EW35" s="455">
        <f t="shared" si="13"/>
        <v>1492632</v>
      </c>
      <c r="EX35" s="272">
        <v>1489851</v>
      </c>
      <c r="EY35" s="272">
        <v>252916</v>
      </c>
      <c r="EZ35" s="272">
        <v>1229334</v>
      </c>
      <c r="FA35" s="272">
        <v>2781</v>
      </c>
      <c r="FB35" s="272"/>
      <c r="FC35" s="272">
        <v>1379103</v>
      </c>
      <c r="FD35" s="272">
        <v>770798</v>
      </c>
      <c r="FE35" s="272">
        <v>273462</v>
      </c>
      <c r="FF35" s="272">
        <v>847934</v>
      </c>
      <c r="FG35" s="455">
        <f t="shared" si="14"/>
        <v>880642</v>
      </c>
      <c r="FH35" s="272">
        <v>10019425</v>
      </c>
      <c r="FI35" s="384">
        <f t="shared" si="15"/>
        <v>2.8</v>
      </c>
      <c r="FJ35" s="272">
        <v>8108321</v>
      </c>
      <c r="FK35" s="272"/>
      <c r="FL35" s="272">
        <v>5341806</v>
      </c>
      <c r="FM35" s="272">
        <v>6362655</v>
      </c>
      <c r="FN35" s="460">
        <v>0.84</v>
      </c>
      <c r="FO35" s="388">
        <v>72.7</v>
      </c>
      <c r="FP35" s="388">
        <v>33</v>
      </c>
      <c r="FQ35" s="388">
        <v>2.4</v>
      </c>
      <c r="FR35" s="388">
        <v>12.5</v>
      </c>
      <c r="FS35" s="388">
        <v>14.7</v>
      </c>
      <c r="FT35" s="388">
        <v>7.9</v>
      </c>
      <c r="FU35" s="388">
        <v>2</v>
      </c>
      <c r="FV35" s="388">
        <v>11.2</v>
      </c>
      <c r="FW35" s="272">
        <v>9816944</v>
      </c>
      <c r="FX35" s="384">
        <f t="shared" si="16"/>
        <v>121.1</v>
      </c>
      <c r="FY35" s="272">
        <v>6623979</v>
      </c>
      <c r="FZ35" s="272">
        <v>2270000</v>
      </c>
      <c r="GA35" s="272">
        <v>150000</v>
      </c>
      <c r="GB35" s="272">
        <v>4203979</v>
      </c>
      <c r="GC35" s="272"/>
      <c r="GD35" s="272">
        <v>4717935</v>
      </c>
      <c r="GE35" s="384">
        <f t="shared" si="17"/>
        <v>58.2</v>
      </c>
      <c r="GF35" s="388">
        <v>98.3</v>
      </c>
      <c r="GG35" s="388">
        <v>40.700000000000003</v>
      </c>
      <c r="GH35" s="388">
        <v>96.5</v>
      </c>
      <c r="GI35" s="272">
        <v>446</v>
      </c>
    </row>
    <row r="36" spans="2:191" x14ac:dyDescent="0.15">
      <c r="B36" s="11" t="s">
        <v>65</v>
      </c>
      <c r="C36" s="272">
        <v>5932981</v>
      </c>
      <c r="D36" s="455">
        <f t="shared" si="0"/>
        <v>2725716</v>
      </c>
      <c r="E36" s="272">
        <v>26238</v>
      </c>
      <c r="F36" s="272">
        <v>2699478</v>
      </c>
      <c r="G36" s="455">
        <f t="shared" si="1"/>
        <v>340937</v>
      </c>
      <c r="H36" s="272">
        <v>53389</v>
      </c>
      <c r="I36" s="272">
        <v>287548</v>
      </c>
      <c r="J36" s="272">
        <v>1762818</v>
      </c>
      <c r="K36" s="272">
        <v>815050</v>
      </c>
      <c r="L36" s="272">
        <v>714720</v>
      </c>
      <c r="M36" s="272">
        <v>205902</v>
      </c>
      <c r="N36" s="272">
        <v>200625</v>
      </c>
      <c r="O36" s="272">
        <v>300222</v>
      </c>
      <c r="P36" s="272">
        <v>195335</v>
      </c>
      <c r="Q36" s="272">
        <v>104887</v>
      </c>
      <c r="R36" s="272">
        <v>243218</v>
      </c>
      <c r="S36" s="272">
        <v>145659</v>
      </c>
      <c r="T36" s="455">
        <f t="shared" si="2"/>
        <v>571735</v>
      </c>
      <c r="U36" s="272">
        <v>361088</v>
      </c>
      <c r="V36" s="272"/>
      <c r="W36" s="272"/>
      <c r="X36" s="272"/>
      <c r="Y36" s="272">
        <v>17607</v>
      </c>
      <c r="Z36" s="272"/>
      <c r="AA36" s="272">
        <v>193040</v>
      </c>
      <c r="AB36" s="272"/>
      <c r="AC36" s="272">
        <v>2075157</v>
      </c>
      <c r="AD36" s="272">
        <v>1832047</v>
      </c>
      <c r="AE36" s="272">
        <v>243110</v>
      </c>
      <c r="AF36" s="272">
        <v>14613</v>
      </c>
      <c r="AG36" s="272">
        <v>57606</v>
      </c>
      <c r="AH36" s="455">
        <f t="shared" si="3"/>
        <v>212565</v>
      </c>
      <c r="AI36" s="272">
        <v>188310</v>
      </c>
      <c r="AJ36" s="272">
        <v>24255</v>
      </c>
      <c r="AK36" s="272">
        <v>274449</v>
      </c>
      <c r="AL36" s="455">
        <f t="shared" si="4"/>
        <v>131080</v>
      </c>
      <c r="AM36" s="272">
        <v>0</v>
      </c>
      <c r="AN36" s="272">
        <v>118591</v>
      </c>
      <c r="AO36" s="272">
        <v>0</v>
      </c>
      <c r="AP36" s="272">
        <v>12489</v>
      </c>
      <c r="AQ36" s="272">
        <v>78803</v>
      </c>
      <c r="AR36" s="272">
        <v>10211</v>
      </c>
      <c r="AS36" s="272">
        <v>0</v>
      </c>
      <c r="AT36" s="272">
        <v>1419714</v>
      </c>
      <c r="AU36" s="272">
        <v>951527</v>
      </c>
      <c r="AV36" s="272">
        <v>39379</v>
      </c>
      <c r="AW36" s="272">
        <v>166477</v>
      </c>
      <c r="AX36" s="272">
        <v>468187</v>
      </c>
      <c r="AY36" s="272">
        <v>185650</v>
      </c>
      <c r="AZ36" s="272">
        <v>400673</v>
      </c>
      <c r="BA36" s="272">
        <v>93629</v>
      </c>
      <c r="BB36" s="272">
        <v>72800</v>
      </c>
      <c r="BC36" s="272">
        <v>1417978</v>
      </c>
      <c r="BD36" s="272">
        <v>1096000</v>
      </c>
      <c r="BE36" s="272">
        <v>0</v>
      </c>
      <c r="BF36" s="272">
        <v>320082</v>
      </c>
      <c r="BG36" s="272">
        <v>0</v>
      </c>
      <c r="BH36" s="272">
        <v>248658</v>
      </c>
      <c r="BI36" s="272">
        <v>187507</v>
      </c>
      <c r="BJ36" s="272">
        <v>147390</v>
      </c>
      <c r="BK36" s="272">
        <v>13286</v>
      </c>
      <c r="BL36" s="272">
        <v>0</v>
      </c>
      <c r="BM36" s="272">
        <v>0</v>
      </c>
      <c r="BN36" s="272">
        <v>1718000</v>
      </c>
      <c r="BO36" s="455">
        <f t="shared" si="5"/>
        <v>1718000</v>
      </c>
      <c r="BP36" s="455">
        <f t="shared" si="6"/>
        <v>0</v>
      </c>
      <c r="BQ36" s="272"/>
      <c r="BR36" s="272"/>
      <c r="BS36" s="272"/>
      <c r="BT36" s="272">
        <v>0</v>
      </c>
      <c r="BU36" s="272">
        <v>14807537</v>
      </c>
      <c r="BV36" s="272"/>
      <c r="BW36" s="272">
        <v>3147873</v>
      </c>
      <c r="BX36" s="272">
        <v>2464767</v>
      </c>
      <c r="BY36" s="272">
        <v>70165</v>
      </c>
      <c r="BZ36" s="272">
        <v>11734</v>
      </c>
      <c r="CA36" s="272">
        <v>345605</v>
      </c>
      <c r="CB36" s="272">
        <v>56217</v>
      </c>
      <c r="CC36" s="272">
        <v>124987</v>
      </c>
      <c r="CD36" s="272">
        <v>151925</v>
      </c>
      <c r="CE36" s="272">
        <v>0</v>
      </c>
      <c r="CF36" s="272">
        <v>349</v>
      </c>
      <c r="CG36" s="272">
        <v>12127</v>
      </c>
      <c r="CH36" s="272">
        <v>968365</v>
      </c>
      <c r="CI36" s="272">
        <v>382046</v>
      </c>
      <c r="CJ36" s="455">
        <f t="shared" si="7"/>
        <v>586319</v>
      </c>
      <c r="CK36" s="272">
        <v>1744021</v>
      </c>
      <c r="CL36" s="272">
        <v>803929</v>
      </c>
      <c r="CM36" s="272">
        <v>195493</v>
      </c>
      <c r="CN36" s="272">
        <v>460249</v>
      </c>
      <c r="CO36" s="272">
        <v>116555</v>
      </c>
      <c r="CP36" s="272">
        <v>1154598</v>
      </c>
      <c r="CQ36" s="272">
        <v>409620</v>
      </c>
      <c r="CR36" s="272">
        <v>529936</v>
      </c>
      <c r="CS36" s="272">
        <v>529936</v>
      </c>
      <c r="CT36" s="455">
        <f t="shared" si="8"/>
        <v>327065</v>
      </c>
      <c r="CU36" s="272">
        <v>7000</v>
      </c>
      <c r="CV36" s="272">
        <v>320065</v>
      </c>
      <c r="CW36" s="455">
        <f t="shared" si="9"/>
        <v>320065</v>
      </c>
      <c r="CX36" s="272">
        <v>0</v>
      </c>
      <c r="CY36" s="272">
        <v>320065</v>
      </c>
      <c r="CZ36" s="455">
        <f t="shared" si="10"/>
        <v>0</v>
      </c>
      <c r="DA36" s="272">
        <v>0</v>
      </c>
      <c r="DB36" s="272">
        <v>0</v>
      </c>
      <c r="DC36" s="272">
        <v>4573966</v>
      </c>
      <c r="DD36" s="272">
        <v>445262</v>
      </c>
      <c r="DE36" s="272">
        <v>3436141</v>
      </c>
      <c r="DF36" s="272">
        <v>23361</v>
      </c>
      <c r="DG36" s="272">
        <v>669202</v>
      </c>
      <c r="DH36" s="272">
        <v>16999</v>
      </c>
      <c r="DI36" s="272">
        <v>2070198</v>
      </c>
      <c r="DJ36" s="272">
        <v>1305566</v>
      </c>
      <c r="DK36" s="272">
        <v>115748</v>
      </c>
      <c r="DL36" s="272">
        <v>648884</v>
      </c>
      <c r="DM36" s="272">
        <v>3500</v>
      </c>
      <c r="DN36" s="272">
        <v>0</v>
      </c>
      <c r="DO36" s="272">
        <v>0</v>
      </c>
      <c r="DP36" s="272">
        <v>0</v>
      </c>
      <c r="DQ36" s="272">
        <v>38517</v>
      </c>
      <c r="DR36" s="272">
        <v>26000</v>
      </c>
      <c r="DS36" s="272">
        <v>26000</v>
      </c>
      <c r="DT36" s="272">
        <v>336997</v>
      </c>
      <c r="DU36" s="272">
        <v>142246</v>
      </c>
      <c r="DV36" s="455">
        <f t="shared" si="11"/>
        <v>0</v>
      </c>
      <c r="DW36" s="272">
        <v>0</v>
      </c>
      <c r="DX36" s="272">
        <v>0</v>
      </c>
      <c r="DY36" s="457" t="s">
        <v>646</v>
      </c>
      <c r="DZ36" s="272">
        <v>92491</v>
      </c>
      <c r="EA36" s="272">
        <v>101980</v>
      </c>
      <c r="EB36" s="272"/>
      <c r="EC36" s="272">
        <v>0</v>
      </c>
      <c r="ED36" s="272">
        <v>14517194</v>
      </c>
      <c r="EF36" s="272">
        <v>290343</v>
      </c>
      <c r="EG36" s="272">
        <v>4</v>
      </c>
      <c r="EH36" s="272">
        <v>290339</v>
      </c>
      <c r="EI36" s="272">
        <v>102832</v>
      </c>
      <c r="EJ36" s="272">
        <v>312398</v>
      </c>
      <c r="EL36" s="272">
        <v>54073</v>
      </c>
      <c r="EM36" s="272">
        <v>54512</v>
      </c>
      <c r="EN36" s="272">
        <v>1256266</v>
      </c>
      <c r="EO36" s="272">
        <v>94868</v>
      </c>
      <c r="EP36" s="455">
        <f t="shared" si="12"/>
        <v>417586</v>
      </c>
      <c r="EQ36" s="272">
        <v>8837704</v>
      </c>
      <c r="ER36" s="272">
        <v>-1754107</v>
      </c>
      <c r="ES36" s="272">
        <v>2931151</v>
      </c>
      <c r="ET36" s="272">
        <v>2464767</v>
      </c>
      <c r="EU36" s="272">
        <v>95505</v>
      </c>
      <c r="EV36" s="272">
        <v>968365</v>
      </c>
      <c r="EW36" s="455">
        <f t="shared" si="13"/>
        <v>1561586</v>
      </c>
      <c r="EX36" s="272">
        <v>1559298</v>
      </c>
      <c r="EY36" s="272">
        <v>88562</v>
      </c>
      <c r="EZ36" s="272">
        <v>1447375</v>
      </c>
      <c r="FA36" s="272">
        <v>2288</v>
      </c>
      <c r="FB36" s="272"/>
      <c r="FC36" s="272">
        <v>1507955</v>
      </c>
      <c r="FD36" s="272">
        <v>1065494</v>
      </c>
      <c r="FE36" s="272">
        <v>409620</v>
      </c>
      <c r="FF36" s="272">
        <v>281949</v>
      </c>
      <c r="FG36" s="455">
        <f t="shared" si="14"/>
        <v>1889463</v>
      </c>
      <c r="FH36" s="272">
        <v>10301468</v>
      </c>
      <c r="FI36" s="384">
        <f t="shared" si="15"/>
        <v>3.9</v>
      </c>
      <c r="FJ36" s="272">
        <v>7351766</v>
      </c>
      <c r="FK36" s="272"/>
      <c r="FL36" s="272">
        <v>4165428</v>
      </c>
      <c r="FM36" s="272">
        <v>5997349</v>
      </c>
      <c r="FN36" s="460">
        <v>0.69599999999999995</v>
      </c>
      <c r="FO36" s="388">
        <v>78.599999999999994</v>
      </c>
      <c r="FP36" s="388">
        <v>35</v>
      </c>
      <c r="FQ36" s="388">
        <v>1.1000000000000001</v>
      </c>
      <c r="FR36" s="388">
        <v>11.6</v>
      </c>
      <c r="FS36" s="388">
        <v>17.2</v>
      </c>
      <c r="FT36" s="388">
        <v>11.3</v>
      </c>
      <c r="FU36" s="388">
        <v>1.3</v>
      </c>
      <c r="FV36" s="388">
        <v>12.8</v>
      </c>
      <c r="FW36" s="272">
        <v>10695212</v>
      </c>
      <c r="FX36" s="384">
        <f t="shared" si="16"/>
        <v>145.5</v>
      </c>
      <c r="FY36" s="272">
        <v>4852348</v>
      </c>
      <c r="FZ36" s="272">
        <v>3285215</v>
      </c>
      <c r="GA36" s="272">
        <v>255748</v>
      </c>
      <c r="GB36" s="272">
        <v>1311385</v>
      </c>
      <c r="GC36" s="272"/>
      <c r="GD36" s="272">
        <v>1457885</v>
      </c>
      <c r="GE36" s="384">
        <f t="shared" si="17"/>
        <v>19.8</v>
      </c>
      <c r="GF36" s="388">
        <v>98.6</v>
      </c>
      <c r="GG36" s="388">
        <v>22</v>
      </c>
      <c r="GH36" s="388">
        <v>96.2</v>
      </c>
      <c r="GI36" s="272">
        <v>461</v>
      </c>
    </row>
    <row r="37" spans="2:191" x14ac:dyDescent="0.15">
      <c r="B37" s="21" t="s">
        <v>67</v>
      </c>
      <c r="C37" s="272">
        <f>SUM(C6:C35)</f>
        <v>738058183</v>
      </c>
      <c r="D37" s="455">
        <f t="shared" si="0"/>
        <v>314158608</v>
      </c>
      <c r="E37" s="272">
        <f>SUM(E6:E35)</f>
        <v>3505783</v>
      </c>
      <c r="F37" s="272">
        <f>SUM(F6:F35)</f>
        <v>310652825</v>
      </c>
      <c r="G37" s="455">
        <f t="shared" si="1"/>
        <v>104750978</v>
      </c>
      <c r="H37" s="272">
        <f t="shared" ref="H37:S37" si="18">SUM(H6:H35)</f>
        <v>8568956</v>
      </c>
      <c r="I37" s="272">
        <f t="shared" si="18"/>
        <v>96182022</v>
      </c>
      <c r="J37" s="272">
        <f t="shared" si="18"/>
        <v>226748669</v>
      </c>
      <c r="K37" s="272">
        <f t="shared" si="18"/>
        <v>111175370</v>
      </c>
      <c r="L37" s="272">
        <f t="shared" si="18"/>
        <v>78114350</v>
      </c>
      <c r="M37" s="272">
        <f t="shared" si="18"/>
        <v>34387988</v>
      </c>
      <c r="N37" s="272">
        <f t="shared" si="18"/>
        <v>22973795</v>
      </c>
      <c r="O37" s="272">
        <f t="shared" si="18"/>
        <v>55411875</v>
      </c>
      <c r="P37" s="272">
        <f t="shared" si="18"/>
        <v>38279477</v>
      </c>
      <c r="Q37" s="272">
        <f t="shared" si="18"/>
        <v>17132398</v>
      </c>
      <c r="R37" s="272">
        <f t="shared" si="18"/>
        <v>27329014</v>
      </c>
      <c r="S37" s="272">
        <f t="shared" si="18"/>
        <v>17751612</v>
      </c>
      <c r="T37" s="455">
        <f t="shared" si="2"/>
        <v>59222301</v>
      </c>
      <c r="U37" s="272">
        <f>SUM(U6:U35)</f>
        <v>42394471</v>
      </c>
      <c r="V37" s="272"/>
      <c r="W37" s="272"/>
      <c r="X37" s="272"/>
      <c r="Y37" s="272">
        <f>SUM(Y6:Y35)</f>
        <v>1352945</v>
      </c>
      <c r="Z37" s="272"/>
      <c r="AA37" s="272">
        <f>SUM(AA6:AA35)</f>
        <v>15474885</v>
      </c>
      <c r="AB37" s="272"/>
      <c r="AC37" s="272">
        <f>SUM(AC6:AC35)</f>
        <v>48885356</v>
      </c>
      <c r="AD37" s="272">
        <f>SUM(AD6:AD35)</f>
        <v>38644867</v>
      </c>
      <c r="AE37" s="272">
        <f>SUM(AE6:AE35)</f>
        <v>10240489</v>
      </c>
      <c r="AF37" s="272">
        <f>SUM(AF6:AF35)</f>
        <v>1011647</v>
      </c>
      <c r="AG37" s="272">
        <f>SUM(AG6:AG35)</f>
        <v>18494164</v>
      </c>
      <c r="AH37" s="455">
        <f t="shared" si="3"/>
        <v>26165759</v>
      </c>
      <c r="AI37" s="272">
        <f>SUM(AI6:AI35)</f>
        <v>20485123</v>
      </c>
      <c r="AJ37" s="272">
        <f>SUM(AJ6:AJ35)</f>
        <v>5680636</v>
      </c>
      <c r="AK37" s="272">
        <f>SUM(AK6:AK35)</f>
        <v>102735336</v>
      </c>
      <c r="AL37" s="455">
        <f t="shared" si="4"/>
        <v>61155110</v>
      </c>
      <c r="AM37" s="272">
        <f t="shared" ref="AM37:BN37" si="19">SUM(AM6:AM35)</f>
        <v>47901930</v>
      </c>
      <c r="AN37" s="272">
        <f t="shared" si="19"/>
        <v>8924393</v>
      </c>
      <c r="AO37" s="272">
        <f t="shared" si="19"/>
        <v>142837</v>
      </c>
      <c r="AP37" s="272">
        <f t="shared" si="19"/>
        <v>4185950</v>
      </c>
      <c r="AQ37" s="272">
        <f t="shared" si="19"/>
        <v>18967841</v>
      </c>
      <c r="AR37" s="272">
        <f t="shared" si="19"/>
        <v>57054</v>
      </c>
      <c r="AS37" s="272">
        <f t="shared" si="19"/>
        <v>287546</v>
      </c>
      <c r="AT37" s="272">
        <f t="shared" si="19"/>
        <v>63582358</v>
      </c>
      <c r="AU37" s="272">
        <f t="shared" si="19"/>
        <v>20832214</v>
      </c>
      <c r="AV37" s="272">
        <f t="shared" si="19"/>
        <v>4334917</v>
      </c>
      <c r="AW37" s="272">
        <f t="shared" si="19"/>
        <v>2452090</v>
      </c>
      <c r="AX37" s="272">
        <f t="shared" si="19"/>
        <v>42750144</v>
      </c>
      <c r="AY37" s="272">
        <f t="shared" si="19"/>
        <v>12044927</v>
      </c>
      <c r="AZ37" s="272">
        <f t="shared" si="19"/>
        <v>47866869</v>
      </c>
      <c r="BA37" s="272">
        <f t="shared" si="19"/>
        <v>25383548</v>
      </c>
      <c r="BB37" s="272">
        <f t="shared" si="19"/>
        <v>12001935</v>
      </c>
      <c r="BC37" s="272">
        <f t="shared" si="19"/>
        <v>18527260</v>
      </c>
      <c r="BD37" s="272">
        <f t="shared" si="19"/>
        <v>993709</v>
      </c>
      <c r="BE37" s="272">
        <f t="shared" si="19"/>
        <v>916616</v>
      </c>
      <c r="BF37" s="272">
        <f t="shared" si="19"/>
        <v>13572213</v>
      </c>
      <c r="BG37" s="272">
        <f t="shared" si="19"/>
        <v>20000</v>
      </c>
      <c r="BH37" s="272">
        <f t="shared" si="19"/>
        <v>24932449</v>
      </c>
      <c r="BI37" s="272">
        <f t="shared" si="19"/>
        <v>13135264</v>
      </c>
      <c r="BJ37" s="272">
        <f t="shared" si="19"/>
        <v>69416523</v>
      </c>
      <c r="BK37" s="272">
        <f t="shared" si="19"/>
        <v>26305565</v>
      </c>
      <c r="BL37" s="272">
        <f t="shared" si="19"/>
        <v>4234606</v>
      </c>
      <c r="BM37" s="272">
        <f t="shared" si="19"/>
        <v>20743324</v>
      </c>
      <c r="BN37" s="272">
        <f t="shared" si="19"/>
        <v>70477916</v>
      </c>
      <c r="BO37" s="455">
        <f t="shared" si="5"/>
        <v>70477916</v>
      </c>
      <c r="BP37" s="455">
        <f t="shared" si="6"/>
        <v>0</v>
      </c>
      <c r="BQ37" s="272"/>
      <c r="BR37" s="272"/>
      <c r="BS37" s="272"/>
      <c r="BT37" s="272">
        <v>0</v>
      </c>
      <c r="BU37" s="272">
        <f>SUM(BU6:BU35)</f>
        <v>1328994616</v>
      </c>
      <c r="BV37" s="272"/>
      <c r="BW37" s="272">
        <f t="shared" ref="BW37:CI37" si="20">SUM(BW6:BW35)</f>
        <v>348395904</v>
      </c>
      <c r="BX37" s="272">
        <f t="shared" si="20"/>
        <v>269148326</v>
      </c>
      <c r="BY37" s="272">
        <f t="shared" si="20"/>
        <v>14671957</v>
      </c>
      <c r="BZ37" s="272">
        <f t="shared" si="20"/>
        <v>9300649</v>
      </c>
      <c r="CA37" s="272">
        <f t="shared" si="20"/>
        <v>136479493</v>
      </c>
      <c r="CB37" s="272">
        <f t="shared" si="20"/>
        <v>12593912</v>
      </c>
      <c r="CC37" s="272">
        <f t="shared" si="20"/>
        <v>22276103</v>
      </c>
      <c r="CD37" s="272">
        <f t="shared" si="20"/>
        <v>27056540</v>
      </c>
      <c r="CE37" s="272">
        <f t="shared" si="20"/>
        <v>62067152</v>
      </c>
      <c r="CF37" s="272">
        <f t="shared" si="20"/>
        <v>9312407</v>
      </c>
      <c r="CG37" s="272">
        <f t="shared" si="20"/>
        <v>3159867</v>
      </c>
      <c r="CH37" s="272">
        <f t="shared" si="20"/>
        <v>107275219</v>
      </c>
      <c r="CI37" s="272">
        <f t="shared" si="20"/>
        <v>56849323</v>
      </c>
      <c r="CJ37" s="455">
        <f t="shared" si="7"/>
        <v>50425896</v>
      </c>
      <c r="CK37" s="272">
        <f t="shared" ref="CK37:CS37" si="21">SUM(CK6:CK35)</f>
        <v>117276955</v>
      </c>
      <c r="CL37" s="272">
        <f t="shared" si="21"/>
        <v>58037541</v>
      </c>
      <c r="CM37" s="272">
        <f t="shared" si="21"/>
        <v>5099298</v>
      </c>
      <c r="CN37" s="272">
        <f t="shared" si="21"/>
        <v>33450942</v>
      </c>
      <c r="CO37" s="272">
        <f t="shared" si="21"/>
        <v>16414796</v>
      </c>
      <c r="CP37" s="272">
        <f t="shared" si="21"/>
        <v>84882619</v>
      </c>
      <c r="CQ37" s="272">
        <f t="shared" si="21"/>
        <v>30066637</v>
      </c>
      <c r="CR37" s="272">
        <f t="shared" si="21"/>
        <v>20578980</v>
      </c>
      <c r="CS37" s="272">
        <f t="shared" si="21"/>
        <v>15539319</v>
      </c>
      <c r="CT37" s="455">
        <f t="shared" si="8"/>
        <v>14085343</v>
      </c>
      <c r="CU37" s="272">
        <f>SUM(CU6:CU35)</f>
        <v>6667722</v>
      </c>
      <c r="CV37" s="272">
        <f>SUM(CV6:CV35)</f>
        <v>7417621</v>
      </c>
      <c r="CW37" s="455">
        <f t="shared" si="9"/>
        <v>11322623</v>
      </c>
      <c r="CX37" s="272">
        <f>SUM(CX6:CX35)</f>
        <v>6158039</v>
      </c>
      <c r="CY37" s="272">
        <f>SUM(CY6:CY35)</f>
        <v>5164584</v>
      </c>
      <c r="CZ37" s="455">
        <f t="shared" si="10"/>
        <v>0</v>
      </c>
      <c r="DA37" s="272">
        <v>0</v>
      </c>
      <c r="DB37" s="272">
        <v>0</v>
      </c>
      <c r="DC37" s="272">
        <f t="shared" ref="DC37:DU37" si="22">SUM(DC6:DC35)</f>
        <v>262001513</v>
      </c>
      <c r="DD37" s="272">
        <f t="shared" si="22"/>
        <v>54006033</v>
      </c>
      <c r="DE37" s="272">
        <f t="shared" si="22"/>
        <v>194457370</v>
      </c>
      <c r="DF37" s="272">
        <f t="shared" si="22"/>
        <v>2295708</v>
      </c>
      <c r="DG37" s="272">
        <f t="shared" si="22"/>
        <v>11027523</v>
      </c>
      <c r="DH37" s="272">
        <f t="shared" si="22"/>
        <v>370366</v>
      </c>
      <c r="DI37" s="272">
        <f t="shared" si="22"/>
        <v>98424406</v>
      </c>
      <c r="DJ37" s="272">
        <f t="shared" si="22"/>
        <v>17243068</v>
      </c>
      <c r="DK37" s="272">
        <f t="shared" si="22"/>
        <v>7721540</v>
      </c>
      <c r="DL37" s="272">
        <f t="shared" si="22"/>
        <v>73459798</v>
      </c>
      <c r="DM37" s="272">
        <f t="shared" si="22"/>
        <v>3952259</v>
      </c>
      <c r="DN37" s="272">
        <f t="shared" si="22"/>
        <v>1033965</v>
      </c>
      <c r="DO37" s="272">
        <f t="shared" si="22"/>
        <v>201601</v>
      </c>
      <c r="DP37" s="272">
        <f t="shared" si="22"/>
        <v>832364</v>
      </c>
      <c r="DQ37" s="272">
        <f t="shared" si="22"/>
        <v>27597736</v>
      </c>
      <c r="DR37" s="272">
        <f t="shared" si="22"/>
        <v>1564000</v>
      </c>
      <c r="DS37" s="272">
        <f t="shared" si="22"/>
        <v>1564000</v>
      </c>
      <c r="DT37" s="272">
        <f t="shared" si="22"/>
        <v>90407013</v>
      </c>
      <c r="DU37" s="272">
        <f t="shared" si="22"/>
        <v>54047230</v>
      </c>
      <c r="DV37" s="455">
        <f t="shared" si="11"/>
        <v>343068</v>
      </c>
      <c r="DW37" s="272">
        <f>SUM(DW6:DW35)</f>
        <v>343068</v>
      </c>
      <c r="DX37" s="272">
        <v>0</v>
      </c>
      <c r="DY37" s="457" t="s">
        <v>646</v>
      </c>
      <c r="DZ37" s="272">
        <f>SUM(DZ6:DZ35)</f>
        <v>21059725</v>
      </c>
      <c r="EA37" s="272">
        <f>SUM(EA6:EA35)</f>
        <v>11028913</v>
      </c>
      <c r="EB37" s="272"/>
      <c r="EC37" s="272">
        <f>SUM(EC6:EC35)</f>
        <v>3431423</v>
      </c>
      <c r="ED37" s="272">
        <f>SUM(ED6:ED35)</f>
        <v>1296909702</v>
      </c>
      <c r="EF37" s="272">
        <f>SUM(EF6:EF35)</f>
        <v>32084914</v>
      </c>
      <c r="EG37" s="272">
        <f>SUM(EG6:EG35)</f>
        <v>12142375</v>
      </c>
      <c r="EH37" s="272">
        <f>SUM(EH6:EH35)</f>
        <v>19942539</v>
      </c>
      <c r="EI37" s="272">
        <f>SUM(EI6:EI35)</f>
        <v>9560022</v>
      </c>
      <c r="EJ37" s="272">
        <f>SUM(EJ6:EJ35)</f>
        <v>26133669</v>
      </c>
      <c r="EL37" s="272">
        <f>SUM(EL6:EL35)</f>
        <v>5029668</v>
      </c>
      <c r="EM37" s="272">
        <f>SUM(EM6:EM35)</f>
        <v>4961540</v>
      </c>
      <c r="EN37" s="272">
        <f>SUM(EN6:EN35)</f>
        <v>8312103</v>
      </c>
      <c r="EO37" s="272">
        <f>SUM(EO6:EO35)</f>
        <v>11085185</v>
      </c>
      <c r="EP37" s="455">
        <f t="shared" si="12"/>
        <v>69341341</v>
      </c>
      <c r="EQ37" s="272">
        <f t="shared" ref="EQ37:EV37" si="23">SUM(EQ6:EQ35)</f>
        <v>874794047</v>
      </c>
      <c r="ER37" s="272">
        <f t="shared" si="23"/>
        <v>-87439436</v>
      </c>
      <c r="ES37" s="272">
        <f t="shared" si="23"/>
        <v>321647112</v>
      </c>
      <c r="ET37" s="272">
        <f t="shared" si="23"/>
        <v>244957792</v>
      </c>
      <c r="EU37" s="272">
        <f t="shared" si="23"/>
        <v>38406276</v>
      </c>
      <c r="EV37" s="272">
        <f t="shared" si="23"/>
        <v>101698877</v>
      </c>
      <c r="EW37" s="455">
        <f t="shared" si="13"/>
        <v>121672517</v>
      </c>
      <c r="EX37" s="272">
        <f>SUM(EX6:EX35)</f>
        <v>121497203</v>
      </c>
      <c r="EY37" s="272">
        <f>SUM(EY6:EY35)</f>
        <v>8852272</v>
      </c>
      <c r="EZ37" s="272">
        <f>SUM(EZ6:EZ35)</f>
        <v>111295010</v>
      </c>
      <c r="FA37" s="272">
        <f>SUM(FA6:FA35)</f>
        <v>175314</v>
      </c>
      <c r="FB37" s="272"/>
      <c r="FC37" s="272">
        <f>SUM(FC6:FC35)</f>
        <v>92785683</v>
      </c>
      <c r="FD37" s="272">
        <f>SUM(FD6:FD35)</f>
        <v>76074392</v>
      </c>
      <c r="FE37" s="272">
        <f>SUM(FE6:FE35)</f>
        <v>30066637</v>
      </c>
      <c r="FF37" s="272">
        <f>SUM(FF6:FF35)</f>
        <v>85976091</v>
      </c>
      <c r="FG37" s="455">
        <f t="shared" si="14"/>
        <v>93646327</v>
      </c>
      <c r="FH37" s="272">
        <f>SUM(FH6:FH35)</f>
        <v>931907275</v>
      </c>
      <c r="FI37" s="384">
        <f t="shared" si="15"/>
        <v>2.7</v>
      </c>
      <c r="FJ37" s="272">
        <f>SUM(FJ6:FJ35)</f>
        <v>738757041</v>
      </c>
      <c r="FK37" s="272"/>
      <c r="FL37" s="272">
        <f>SUM(FL6:FL35)</f>
        <v>527577840</v>
      </c>
      <c r="FM37" s="272">
        <f>SUM(FM6:FM35)</f>
        <v>537764754</v>
      </c>
      <c r="FN37" s="468">
        <v>0.98099999999999998</v>
      </c>
      <c r="FO37" s="469">
        <v>80.099999999999994</v>
      </c>
      <c r="FP37" s="469">
        <v>38.200000000000003</v>
      </c>
      <c r="FQ37" s="469">
        <v>4.8</v>
      </c>
      <c r="FR37" s="469">
        <v>12.1</v>
      </c>
      <c r="FS37" s="469">
        <v>10.6</v>
      </c>
      <c r="FT37" s="469">
        <v>7.8</v>
      </c>
      <c r="FU37" s="469">
        <v>4.9000000000000004</v>
      </c>
      <c r="FV37" s="469">
        <v>12.6</v>
      </c>
      <c r="FW37" s="272">
        <f>SUM(FW6:FW35)</f>
        <v>820359054</v>
      </c>
      <c r="FX37" s="384">
        <f t="shared" si="16"/>
        <v>111</v>
      </c>
      <c r="FY37" s="272">
        <f>SUM(FY6:FY35)</f>
        <v>380790564</v>
      </c>
      <c r="FZ37" s="272">
        <f>SUM(FZ6:FZ35)</f>
        <v>78571070</v>
      </c>
      <c r="GA37" s="272">
        <f>SUM(GA6:GA35)</f>
        <v>21963926</v>
      </c>
      <c r="GB37" s="272">
        <f>SUM(GB6:GB35)</f>
        <v>280255568</v>
      </c>
      <c r="GC37" s="272"/>
      <c r="GD37" s="272">
        <f>SUM(GD6:GD35)</f>
        <v>339611165</v>
      </c>
      <c r="GE37" s="384">
        <f t="shared" si="17"/>
        <v>46</v>
      </c>
      <c r="GF37" s="469">
        <v>98.4</v>
      </c>
      <c r="GG37" s="469">
        <v>34.799999999999997</v>
      </c>
      <c r="GH37" s="469">
        <v>96.2</v>
      </c>
      <c r="GI37" s="272">
        <f>SUM(GI6:GI35)</f>
        <v>39963</v>
      </c>
    </row>
    <row r="38" spans="2:191" x14ac:dyDescent="0.15">
      <c r="B38" s="89" t="s">
        <v>69</v>
      </c>
      <c r="C38" s="272">
        <v>4748694</v>
      </c>
      <c r="D38" s="455">
        <f t="shared" si="0"/>
        <v>1964532</v>
      </c>
      <c r="E38" s="272">
        <v>15557</v>
      </c>
      <c r="F38" s="272">
        <v>1948975</v>
      </c>
      <c r="G38" s="455">
        <f t="shared" si="1"/>
        <v>539229</v>
      </c>
      <c r="H38" s="272">
        <v>41546</v>
      </c>
      <c r="I38" s="272">
        <v>497683</v>
      </c>
      <c r="J38" s="272">
        <v>1636604</v>
      </c>
      <c r="K38" s="272">
        <v>703804</v>
      </c>
      <c r="L38" s="272">
        <v>552751</v>
      </c>
      <c r="M38" s="272">
        <v>372351</v>
      </c>
      <c r="N38" s="272">
        <v>94569</v>
      </c>
      <c r="O38" s="272">
        <v>343492</v>
      </c>
      <c r="P38" s="272">
        <v>230484</v>
      </c>
      <c r="Q38" s="272">
        <v>113008</v>
      </c>
      <c r="R38" s="272">
        <v>153135</v>
      </c>
      <c r="S38" s="272">
        <v>99751</v>
      </c>
      <c r="T38" s="455">
        <f t="shared" si="2"/>
        <v>479684</v>
      </c>
      <c r="U38" s="272">
        <v>280379</v>
      </c>
      <c r="V38" s="272"/>
      <c r="W38" s="272"/>
      <c r="X38" s="272"/>
      <c r="Y38" s="272">
        <v>94063</v>
      </c>
      <c r="Z38" s="272"/>
      <c r="AA38" s="272">
        <v>105242</v>
      </c>
      <c r="AB38" s="272"/>
      <c r="AC38" s="272">
        <v>662918</v>
      </c>
      <c r="AD38" s="272">
        <v>497433</v>
      </c>
      <c r="AE38" s="272">
        <v>165485</v>
      </c>
      <c r="AF38" s="272">
        <v>4690</v>
      </c>
      <c r="AG38" s="272">
        <v>69396</v>
      </c>
      <c r="AH38" s="455">
        <f t="shared" si="3"/>
        <v>211038</v>
      </c>
      <c r="AI38" s="272">
        <v>159443</v>
      </c>
      <c r="AJ38" s="272">
        <v>51595</v>
      </c>
      <c r="AK38" s="272">
        <v>850475</v>
      </c>
      <c r="AL38" s="455">
        <f t="shared" si="4"/>
        <v>72043</v>
      </c>
      <c r="AM38" s="272">
        <v>35455</v>
      </c>
      <c r="AN38" s="272">
        <v>21460</v>
      </c>
      <c r="AO38" s="272">
        <v>0</v>
      </c>
      <c r="AP38" s="272">
        <v>15128</v>
      </c>
      <c r="AQ38" s="272">
        <v>649459</v>
      </c>
      <c r="AR38" s="272">
        <v>0</v>
      </c>
      <c r="AS38" s="272">
        <v>0</v>
      </c>
      <c r="AT38" s="272">
        <v>417215</v>
      </c>
      <c r="AU38" s="272">
        <v>51463</v>
      </c>
      <c r="AV38" s="272">
        <v>10734</v>
      </c>
      <c r="AW38" s="272">
        <v>1645</v>
      </c>
      <c r="AX38" s="272">
        <v>365752</v>
      </c>
      <c r="AY38" s="272">
        <v>206861</v>
      </c>
      <c r="AZ38" s="272">
        <v>152218</v>
      </c>
      <c r="BA38" s="272">
        <v>442</v>
      </c>
      <c r="BB38" s="272">
        <v>51317</v>
      </c>
      <c r="BC38" s="272">
        <v>85000</v>
      </c>
      <c r="BD38" s="272">
        <v>35000</v>
      </c>
      <c r="BE38" s="272">
        <v>0</v>
      </c>
      <c r="BF38" s="272">
        <v>50000</v>
      </c>
      <c r="BG38" s="272">
        <v>0</v>
      </c>
      <c r="BH38" s="272">
        <v>0</v>
      </c>
      <c r="BI38" s="272">
        <v>0</v>
      </c>
      <c r="BJ38" s="272">
        <v>170030</v>
      </c>
      <c r="BK38" s="272">
        <v>5834</v>
      </c>
      <c r="BL38" s="272">
        <v>0</v>
      </c>
      <c r="BM38" s="272">
        <v>0</v>
      </c>
      <c r="BN38" s="272">
        <v>1215500</v>
      </c>
      <c r="BO38" s="455">
        <f t="shared" si="5"/>
        <v>1215500</v>
      </c>
      <c r="BP38" s="455">
        <f t="shared" si="6"/>
        <v>0</v>
      </c>
      <c r="BQ38" s="272"/>
      <c r="BR38" s="272"/>
      <c r="BS38" s="272"/>
      <c r="BT38" s="272">
        <v>0</v>
      </c>
      <c r="BU38" s="272">
        <v>9271310</v>
      </c>
      <c r="BV38" s="272"/>
      <c r="BW38" s="272">
        <v>2249098</v>
      </c>
      <c r="BX38" s="272">
        <v>1742656</v>
      </c>
      <c r="BY38" s="272">
        <v>71962</v>
      </c>
      <c r="BZ38" s="272">
        <v>17556</v>
      </c>
      <c r="CA38" s="272">
        <v>365700</v>
      </c>
      <c r="CB38" s="272">
        <v>95475</v>
      </c>
      <c r="CC38" s="272">
        <v>92890</v>
      </c>
      <c r="CD38" s="272">
        <v>120776</v>
      </c>
      <c r="CE38" s="272">
        <v>46085</v>
      </c>
      <c r="CF38" s="272">
        <v>0</v>
      </c>
      <c r="CG38" s="272">
        <v>10474</v>
      </c>
      <c r="CH38" s="272">
        <v>826662</v>
      </c>
      <c r="CI38" s="272">
        <v>393283</v>
      </c>
      <c r="CJ38" s="455">
        <f t="shared" si="7"/>
        <v>433379</v>
      </c>
      <c r="CK38" s="272">
        <v>770667</v>
      </c>
      <c r="CL38" s="272">
        <v>341514</v>
      </c>
      <c r="CM38" s="272">
        <v>44597</v>
      </c>
      <c r="CN38" s="272">
        <v>248466</v>
      </c>
      <c r="CO38" s="272">
        <v>69454</v>
      </c>
      <c r="CP38" s="272">
        <v>267883</v>
      </c>
      <c r="CQ38" s="272">
        <v>4586</v>
      </c>
      <c r="CR38" s="272">
        <v>86426</v>
      </c>
      <c r="CS38" s="272">
        <v>82315</v>
      </c>
      <c r="CT38" s="455">
        <f t="shared" si="8"/>
        <v>1883</v>
      </c>
      <c r="CU38" s="272">
        <v>1883</v>
      </c>
      <c r="CV38" s="272">
        <v>0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3564859</v>
      </c>
      <c r="DD38" s="272">
        <v>1295167</v>
      </c>
      <c r="DE38" s="272">
        <v>2269692</v>
      </c>
      <c r="DF38" s="272">
        <v>0</v>
      </c>
      <c r="DG38" s="272">
        <v>0</v>
      </c>
      <c r="DH38" s="272">
        <v>4337</v>
      </c>
      <c r="DI38" s="272">
        <v>560897</v>
      </c>
      <c r="DJ38" s="272">
        <v>54926</v>
      </c>
      <c r="DK38" s="272">
        <v>68978</v>
      </c>
      <c r="DL38" s="272">
        <v>436993</v>
      </c>
      <c r="DM38" s="272">
        <v>0</v>
      </c>
      <c r="DN38" s="272">
        <v>0</v>
      </c>
      <c r="DO38" s="272">
        <v>0</v>
      </c>
      <c r="DP38" s="272">
        <v>0</v>
      </c>
      <c r="DQ38" s="272">
        <v>4542</v>
      </c>
      <c r="DR38" s="272">
        <v>0</v>
      </c>
      <c r="DS38" s="272">
        <v>0</v>
      </c>
      <c r="DT38" s="272">
        <v>446234</v>
      </c>
      <c r="DU38" s="272">
        <v>345000</v>
      </c>
      <c r="DV38" s="455">
        <f t="shared" si="11"/>
        <v>0</v>
      </c>
      <c r="DW38" s="272">
        <v>0</v>
      </c>
      <c r="DX38" s="272">
        <v>0</v>
      </c>
      <c r="DY38" s="457" t="s">
        <v>646</v>
      </c>
      <c r="DZ38" s="272">
        <v>35616</v>
      </c>
      <c r="EA38" s="272">
        <v>56408</v>
      </c>
      <c r="EB38" s="272"/>
      <c r="EC38" s="272">
        <v>635850</v>
      </c>
      <c r="ED38" s="272">
        <v>9766183</v>
      </c>
      <c r="EF38" s="272">
        <v>-494873</v>
      </c>
      <c r="EG38" s="272">
        <v>51710</v>
      </c>
      <c r="EH38" s="272">
        <v>-546583</v>
      </c>
      <c r="EI38" s="272">
        <v>89267</v>
      </c>
      <c r="EJ38" s="272">
        <v>109193</v>
      </c>
      <c r="EL38" s="272">
        <v>29971</v>
      </c>
      <c r="EM38" s="272">
        <v>29837</v>
      </c>
      <c r="EN38" s="272">
        <v>85000</v>
      </c>
      <c r="EO38" s="272">
        <v>1227</v>
      </c>
      <c r="EP38" s="455">
        <f t="shared" si="12"/>
        <v>152732</v>
      </c>
      <c r="EQ38" s="272">
        <v>6049121</v>
      </c>
      <c r="ER38" s="272">
        <v>-234269</v>
      </c>
      <c r="ES38" s="272">
        <v>2032619</v>
      </c>
      <c r="ET38" s="272">
        <v>1526705</v>
      </c>
      <c r="EU38" s="272">
        <v>170533</v>
      </c>
      <c r="EV38" s="272">
        <v>824721</v>
      </c>
      <c r="EW38" s="455">
        <f t="shared" si="13"/>
        <v>1373997</v>
      </c>
      <c r="EX38" s="272">
        <v>1369660</v>
      </c>
      <c r="EY38" s="272">
        <v>119203</v>
      </c>
      <c r="EZ38" s="272">
        <v>1250457</v>
      </c>
      <c r="FA38" s="272">
        <v>4337</v>
      </c>
      <c r="FB38" s="272"/>
      <c r="FC38" s="272">
        <v>644660</v>
      </c>
      <c r="FD38" s="272">
        <v>246421</v>
      </c>
      <c r="FE38" s="272">
        <v>4586</v>
      </c>
      <c r="FF38" s="272">
        <v>431958</v>
      </c>
      <c r="FG38" s="455">
        <f t="shared" si="14"/>
        <v>1057586</v>
      </c>
      <c r="FH38" s="272">
        <v>6782495</v>
      </c>
      <c r="FI38" s="384">
        <f t="shared" si="15"/>
        <v>-10.7</v>
      </c>
      <c r="FJ38" s="272">
        <v>5116127</v>
      </c>
      <c r="FK38" s="272"/>
      <c r="FL38" s="272">
        <v>3477474</v>
      </c>
      <c r="FM38" s="272">
        <v>3976286</v>
      </c>
      <c r="FN38" s="460">
        <v>0.90700000000000003</v>
      </c>
      <c r="FO38" s="388">
        <v>71</v>
      </c>
      <c r="FP38" s="388">
        <v>36.200000000000003</v>
      </c>
      <c r="FQ38" s="388">
        <v>3</v>
      </c>
      <c r="FR38" s="388">
        <v>13.5</v>
      </c>
      <c r="FS38" s="388">
        <v>10.1</v>
      </c>
      <c r="FT38" s="388">
        <v>3.4</v>
      </c>
      <c r="FU38" s="388">
        <v>3.7</v>
      </c>
      <c r="FV38" s="388">
        <v>13.4</v>
      </c>
      <c r="FW38" s="272">
        <v>6795401</v>
      </c>
      <c r="FX38" s="384">
        <f t="shared" si="16"/>
        <v>132.80000000000001</v>
      </c>
      <c r="FY38" s="272">
        <v>2590201</v>
      </c>
      <c r="FZ38" s="272">
        <v>728397</v>
      </c>
      <c r="GA38" s="272">
        <v>171964</v>
      </c>
      <c r="GB38" s="272">
        <v>1689840</v>
      </c>
      <c r="GC38" s="272"/>
      <c r="GD38" s="272"/>
      <c r="GE38" s="384"/>
      <c r="GF38" s="388">
        <v>98.5</v>
      </c>
      <c r="GG38" s="388">
        <v>51.6</v>
      </c>
      <c r="GH38" s="388">
        <v>96.6</v>
      </c>
      <c r="GI38" s="272">
        <v>299</v>
      </c>
    </row>
    <row r="39" spans="2:191" x14ac:dyDescent="0.15">
      <c r="B39" s="89" t="s">
        <v>71</v>
      </c>
      <c r="C39" s="272">
        <v>2668349</v>
      </c>
      <c r="D39" s="455">
        <f t="shared" si="0"/>
        <v>1807150</v>
      </c>
      <c r="E39" s="272">
        <v>10417</v>
      </c>
      <c r="F39" s="272">
        <v>1796733</v>
      </c>
      <c r="G39" s="455">
        <f t="shared" si="1"/>
        <v>67790</v>
      </c>
      <c r="H39" s="272">
        <v>10413</v>
      </c>
      <c r="I39" s="272">
        <v>57377</v>
      </c>
      <c r="J39" s="272">
        <v>740925</v>
      </c>
      <c r="K39" s="272">
        <v>361929</v>
      </c>
      <c r="L39" s="272">
        <v>326645</v>
      </c>
      <c r="M39" s="272">
        <v>52304</v>
      </c>
      <c r="N39" s="272">
        <v>41536</v>
      </c>
      <c r="O39" s="272">
        <v>0</v>
      </c>
      <c r="P39" s="272">
        <v>0</v>
      </c>
      <c r="Q39" s="272">
        <v>0</v>
      </c>
      <c r="R39" s="272">
        <v>82172</v>
      </c>
      <c r="S39" s="272">
        <v>33959</v>
      </c>
      <c r="T39" s="455">
        <f t="shared" si="2"/>
        <v>310123</v>
      </c>
      <c r="U39" s="272">
        <v>198457</v>
      </c>
      <c r="V39" s="272"/>
      <c r="W39" s="272"/>
      <c r="X39" s="272"/>
      <c r="Y39" s="272">
        <v>16546</v>
      </c>
      <c r="Z39" s="272"/>
      <c r="AA39" s="272">
        <v>95120</v>
      </c>
      <c r="AB39" s="272"/>
      <c r="AC39" s="272">
        <v>1305814</v>
      </c>
      <c r="AD39" s="272">
        <v>1103982</v>
      </c>
      <c r="AE39" s="272">
        <v>201832</v>
      </c>
      <c r="AF39" s="272">
        <v>4775</v>
      </c>
      <c r="AG39" s="272">
        <v>2632</v>
      </c>
      <c r="AH39" s="455">
        <f t="shared" si="3"/>
        <v>109041</v>
      </c>
      <c r="AI39" s="272">
        <v>88056</v>
      </c>
      <c r="AJ39" s="272">
        <v>20985</v>
      </c>
      <c r="AK39" s="272">
        <v>67032</v>
      </c>
      <c r="AL39" s="455">
        <f t="shared" si="4"/>
        <v>5246</v>
      </c>
      <c r="AM39" s="272">
        <v>0</v>
      </c>
      <c r="AN39" s="272">
        <v>5246</v>
      </c>
      <c r="AO39" s="272">
        <v>0</v>
      </c>
      <c r="AP39" s="272">
        <v>0</v>
      </c>
      <c r="AQ39" s="272">
        <v>11281</v>
      </c>
      <c r="AR39" s="272">
        <v>0</v>
      </c>
      <c r="AS39" s="272">
        <v>0</v>
      </c>
      <c r="AT39" s="272">
        <v>348561</v>
      </c>
      <c r="AU39" s="272">
        <v>96801</v>
      </c>
      <c r="AV39" s="272">
        <v>2624</v>
      </c>
      <c r="AW39" s="272">
        <v>16800</v>
      </c>
      <c r="AX39" s="272">
        <v>251760</v>
      </c>
      <c r="AY39" s="272">
        <v>115219</v>
      </c>
      <c r="AZ39" s="272">
        <v>189652</v>
      </c>
      <c r="BA39" s="272">
        <v>2790</v>
      </c>
      <c r="BB39" s="272">
        <v>228426</v>
      </c>
      <c r="BC39" s="272">
        <v>6519</v>
      </c>
      <c r="BD39" s="272">
        <v>0</v>
      </c>
      <c r="BE39" s="272">
        <v>0</v>
      </c>
      <c r="BF39" s="272">
        <v>3429</v>
      </c>
      <c r="BG39" s="272">
        <v>0</v>
      </c>
      <c r="BH39" s="272">
        <v>381131</v>
      </c>
      <c r="BI39" s="272">
        <v>213124</v>
      </c>
      <c r="BJ39" s="272">
        <v>549075</v>
      </c>
      <c r="BK39" s="272">
        <v>2</v>
      </c>
      <c r="BL39" s="272">
        <v>428190</v>
      </c>
      <c r="BM39" s="272">
        <v>0</v>
      </c>
      <c r="BN39" s="272">
        <v>42900</v>
      </c>
      <c r="BO39" s="455">
        <f t="shared" si="5"/>
        <v>42900</v>
      </c>
      <c r="BP39" s="455">
        <f t="shared" si="6"/>
        <v>0</v>
      </c>
      <c r="BQ39" s="272"/>
      <c r="BR39" s="272"/>
      <c r="BS39" s="272"/>
      <c r="BT39" s="272">
        <v>0</v>
      </c>
      <c r="BU39" s="272">
        <v>6296202</v>
      </c>
      <c r="BV39" s="272"/>
      <c r="BW39" s="272">
        <v>1433193</v>
      </c>
      <c r="BX39" s="272">
        <v>956062</v>
      </c>
      <c r="BY39" s="272">
        <v>10864</v>
      </c>
      <c r="BZ39" s="272">
        <v>158674</v>
      </c>
      <c r="CA39" s="272">
        <v>75616</v>
      </c>
      <c r="CB39" s="272">
        <v>14440</v>
      </c>
      <c r="CC39" s="272">
        <v>46135</v>
      </c>
      <c r="CD39" s="272">
        <v>13385</v>
      </c>
      <c r="CE39" s="272">
        <v>0</v>
      </c>
      <c r="CF39" s="272">
        <v>0</v>
      </c>
      <c r="CG39" s="272">
        <v>1656</v>
      </c>
      <c r="CH39" s="272">
        <v>324121</v>
      </c>
      <c r="CI39" s="272">
        <v>143553</v>
      </c>
      <c r="CJ39" s="455">
        <f t="shared" si="7"/>
        <v>180568</v>
      </c>
      <c r="CK39" s="272">
        <v>692844</v>
      </c>
      <c r="CL39" s="272">
        <v>186422</v>
      </c>
      <c r="CM39" s="272">
        <v>18057</v>
      </c>
      <c r="CN39" s="272">
        <v>260170</v>
      </c>
      <c r="CO39" s="272">
        <v>119357</v>
      </c>
      <c r="CP39" s="272">
        <v>402940</v>
      </c>
      <c r="CQ39" s="272">
        <v>214245</v>
      </c>
      <c r="CR39" s="272">
        <v>107387</v>
      </c>
      <c r="CS39" s="272">
        <v>66427</v>
      </c>
      <c r="CT39" s="455">
        <f t="shared" si="8"/>
        <v>38820</v>
      </c>
      <c r="CU39" s="272">
        <v>0</v>
      </c>
      <c r="CV39" s="272">
        <v>38820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1376687</v>
      </c>
      <c r="DD39" s="272">
        <v>40039</v>
      </c>
      <c r="DE39" s="272">
        <v>886225</v>
      </c>
      <c r="DF39" s="272">
        <v>10600</v>
      </c>
      <c r="DG39" s="272">
        <v>428190</v>
      </c>
      <c r="DH39" s="272">
        <v>68564</v>
      </c>
      <c r="DI39" s="272">
        <v>1136000</v>
      </c>
      <c r="DJ39" s="272">
        <v>51000</v>
      </c>
      <c r="DK39" s="272">
        <v>14000</v>
      </c>
      <c r="DL39" s="272">
        <v>1071000</v>
      </c>
      <c r="DM39" s="272">
        <v>0</v>
      </c>
      <c r="DN39" s="272">
        <v>0</v>
      </c>
      <c r="DO39" s="272">
        <v>0</v>
      </c>
      <c r="DP39" s="272">
        <v>0</v>
      </c>
      <c r="DQ39" s="272">
        <v>456</v>
      </c>
      <c r="DR39" s="272">
        <v>0</v>
      </c>
      <c r="DS39" s="272">
        <v>0</v>
      </c>
      <c r="DT39" s="272">
        <v>439713</v>
      </c>
      <c r="DU39" s="272">
        <v>345353</v>
      </c>
      <c r="DV39" s="455">
        <f t="shared" si="11"/>
        <v>0</v>
      </c>
      <c r="DW39" s="272">
        <v>0</v>
      </c>
      <c r="DX39" s="272">
        <v>0</v>
      </c>
      <c r="DY39" s="457" t="s">
        <v>646</v>
      </c>
      <c r="DZ39" s="272">
        <v>19918</v>
      </c>
      <c r="EA39" s="272">
        <v>41219</v>
      </c>
      <c r="EB39" s="272"/>
      <c r="EC39" s="272">
        <v>0</v>
      </c>
      <c r="ED39" s="272">
        <v>6069491</v>
      </c>
      <c r="EF39" s="272">
        <v>226711</v>
      </c>
      <c r="EG39" s="272">
        <v>17789</v>
      </c>
      <c r="EH39" s="272">
        <v>208922</v>
      </c>
      <c r="EI39" s="272">
        <v>-4202</v>
      </c>
      <c r="EJ39" s="272">
        <v>46798</v>
      </c>
      <c r="EL39" s="272">
        <v>23676</v>
      </c>
      <c r="EM39" s="272">
        <v>24742</v>
      </c>
      <c r="EN39" s="272">
        <v>0</v>
      </c>
      <c r="EO39" s="272">
        <v>11306</v>
      </c>
      <c r="EP39" s="455">
        <f t="shared" si="12"/>
        <v>566447</v>
      </c>
      <c r="EQ39" s="272">
        <v>4371233</v>
      </c>
      <c r="ER39" s="272">
        <v>-572978</v>
      </c>
      <c r="ES39" s="272">
        <v>1251739</v>
      </c>
      <c r="ET39" s="272">
        <v>794823</v>
      </c>
      <c r="EU39" s="272">
        <v>24238</v>
      </c>
      <c r="EV39" s="272">
        <v>308260</v>
      </c>
      <c r="EW39" s="455">
        <f t="shared" si="13"/>
        <v>604192</v>
      </c>
      <c r="EX39" s="272">
        <v>587644</v>
      </c>
      <c r="EY39" s="272">
        <v>11731</v>
      </c>
      <c r="EZ39" s="272">
        <v>553680</v>
      </c>
      <c r="FA39" s="272">
        <v>16548</v>
      </c>
      <c r="FB39" s="272"/>
      <c r="FC39" s="272">
        <v>644653</v>
      </c>
      <c r="FD39" s="272">
        <v>375831</v>
      </c>
      <c r="FE39" s="272">
        <v>214245</v>
      </c>
      <c r="FF39" s="272">
        <v>432274</v>
      </c>
      <c r="FG39" s="455">
        <f t="shared" si="14"/>
        <v>1076313</v>
      </c>
      <c r="FH39" s="272">
        <v>4717500</v>
      </c>
      <c r="FI39" s="384">
        <f t="shared" si="15"/>
        <v>5.4</v>
      </c>
      <c r="FJ39" s="272">
        <v>3884030</v>
      </c>
      <c r="FK39" s="272"/>
      <c r="FL39" s="272">
        <v>2097703</v>
      </c>
      <c r="FM39" s="272">
        <v>3200891</v>
      </c>
      <c r="FN39" s="460">
        <v>0.64800000000000002</v>
      </c>
      <c r="FO39" s="388">
        <v>64.3</v>
      </c>
      <c r="FP39" s="388">
        <v>29.4</v>
      </c>
      <c r="FQ39" s="388">
        <v>0.6</v>
      </c>
      <c r="FR39" s="388">
        <v>7.2</v>
      </c>
      <c r="FS39" s="388">
        <v>14.4</v>
      </c>
      <c r="FT39" s="388">
        <v>8.6</v>
      </c>
      <c r="FU39" s="388">
        <v>1.3</v>
      </c>
      <c r="FV39" s="388">
        <v>7.4</v>
      </c>
      <c r="FW39" s="272">
        <v>2839183</v>
      </c>
      <c r="FX39" s="384">
        <f t="shared" si="16"/>
        <v>73.099999999999994</v>
      </c>
      <c r="FY39" s="272">
        <v>3566555</v>
      </c>
      <c r="FZ39" s="272">
        <v>763000</v>
      </c>
      <c r="GA39" s="272">
        <v>221320</v>
      </c>
      <c r="GB39" s="272">
        <v>2582235</v>
      </c>
      <c r="GC39" s="272"/>
      <c r="GD39" s="272"/>
      <c r="GE39" s="384"/>
      <c r="GF39" s="388">
        <v>99</v>
      </c>
      <c r="GG39" s="388">
        <v>23.7</v>
      </c>
      <c r="GH39" s="388">
        <v>97.9</v>
      </c>
      <c r="GI39" s="272">
        <v>208</v>
      </c>
    </row>
    <row r="40" spans="2:191" x14ac:dyDescent="0.15">
      <c r="B40" s="89" t="s">
        <v>73</v>
      </c>
      <c r="C40" s="272">
        <v>878767</v>
      </c>
      <c r="D40" s="455">
        <f t="shared" si="0"/>
        <v>438347</v>
      </c>
      <c r="E40" s="272">
        <v>4514</v>
      </c>
      <c r="F40" s="272">
        <v>433833</v>
      </c>
      <c r="G40" s="455">
        <f t="shared" si="1"/>
        <v>49171</v>
      </c>
      <c r="H40" s="272">
        <v>9977</v>
      </c>
      <c r="I40" s="272">
        <v>39194</v>
      </c>
      <c r="J40" s="272">
        <v>301777</v>
      </c>
      <c r="K40" s="272">
        <v>98255</v>
      </c>
      <c r="L40" s="272">
        <v>136086</v>
      </c>
      <c r="M40" s="272">
        <v>67207</v>
      </c>
      <c r="N40" s="272">
        <v>40247</v>
      </c>
      <c r="O40" s="272">
        <v>0</v>
      </c>
      <c r="P40" s="272">
        <v>0</v>
      </c>
      <c r="Q40" s="272">
        <v>0</v>
      </c>
      <c r="R40" s="272">
        <v>80262</v>
      </c>
      <c r="S40" s="272">
        <v>29462</v>
      </c>
      <c r="T40" s="455">
        <f t="shared" si="2"/>
        <v>161198</v>
      </c>
      <c r="U40" s="272">
        <v>60034</v>
      </c>
      <c r="V40" s="272"/>
      <c r="W40" s="272"/>
      <c r="X40" s="272"/>
      <c r="Y40" s="272">
        <v>0</v>
      </c>
      <c r="Z40" s="272"/>
      <c r="AA40" s="272">
        <v>101164</v>
      </c>
      <c r="AB40" s="272"/>
      <c r="AC40" s="272">
        <v>1545908</v>
      </c>
      <c r="AD40" s="272">
        <v>1344391</v>
      </c>
      <c r="AE40" s="272">
        <v>201517</v>
      </c>
      <c r="AF40" s="272">
        <v>2172</v>
      </c>
      <c r="AG40" s="272">
        <v>51315</v>
      </c>
      <c r="AH40" s="455">
        <f t="shared" si="3"/>
        <v>117222</v>
      </c>
      <c r="AI40" s="272">
        <v>74892</v>
      </c>
      <c r="AJ40" s="272">
        <v>42330</v>
      </c>
      <c r="AK40" s="272">
        <v>103616</v>
      </c>
      <c r="AL40" s="455">
        <f t="shared" si="4"/>
        <v>19950</v>
      </c>
      <c r="AM40" s="272">
        <v>0</v>
      </c>
      <c r="AN40" s="272">
        <v>15362</v>
      </c>
      <c r="AO40" s="272">
        <v>0</v>
      </c>
      <c r="AP40" s="272">
        <v>4588</v>
      </c>
      <c r="AQ40" s="272">
        <v>61891</v>
      </c>
      <c r="AR40" s="272">
        <v>0</v>
      </c>
      <c r="AS40" s="272">
        <v>0</v>
      </c>
      <c r="AT40" s="272">
        <v>546763</v>
      </c>
      <c r="AU40" s="272">
        <v>288257</v>
      </c>
      <c r="AV40" s="272">
        <v>1066</v>
      </c>
      <c r="AW40" s="272">
        <v>220047</v>
      </c>
      <c r="AX40" s="272">
        <v>258506</v>
      </c>
      <c r="AY40" s="272">
        <v>122215</v>
      </c>
      <c r="AZ40" s="272">
        <v>32264</v>
      </c>
      <c r="BA40" s="272">
        <v>0</v>
      </c>
      <c r="BB40" s="272">
        <v>0</v>
      </c>
      <c r="BC40" s="272">
        <v>2164</v>
      </c>
      <c r="BD40" s="272">
        <v>0</v>
      </c>
      <c r="BE40" s="272">
        <v>0</v>
      </c>
      <c r="BF40" s="272">
        <v>0</v>
      </c>
      <c r="BG40" s="272">
        <v>0</v>
      </c>
      <c r="BH40" s="272">
        <v>141953</v>
      </c>
      <c r="BI40" s="272">
        <v>141953</v>
      </c>
      <c r="BJ40" s="272">
        <v>66146</v>
      </c>
      <c r="BK40" s="272">
        <v>6908</v>
      </c>
      <c r="BL40" s="272">
        <v>0</v>
      </c>
      <c r="BM40" s="272">
        <v>0</v>
      </c>
      <c r="BN40" s="272">
        <v>26600</v>
      </c>
      <c r="BO40" s="455">
        <f t="shared" si="5"/>
        <v>26600</v>
      </c>
      <c r="BP40" s="455">
        <f t="shared" si="6"/>
        <v>0</v>
      </c>
      <c r="BQ40" s="272"/>
      <c r="BR40" s="272"/>
      <c r="BS40" s="272"/>
      <c r="BT40" s="272">
        <v>0</v>
      </c>
      <c r="BU40" s="272">
        <v>3756350</v>
      </c>
      <c r="BV40" s="272"/>
      <c r="BW40" s="272">
        <v>1001816</v>
      </c>
      <c r="BX40" s="272">
        <v>688617</v>
      </c>
      <c r="BY40" s="272">
        <v>50441</v>
      </c>
      <c r="BZ40" s="272">
        <v>24403</v>
      </c>
      <c r="CA40" s="272">
        <v>67276</v>
      </c>
      <c r="CB40" s="272">
        <v>10102</v>
      </c>
      <c r="CC40" s="272">
        <v>34365</v>
      </c>
      <c r="CD40" s="272">
        <v>20101</v>
      </c>
      <c r="CE40" s="272">
        <v>0</v>
      </c>
      <c r="CF40" s="272">
        <v>1305</v>
      </c>
      <c r="CG40" s="272">
        <v>1403</v>
      </c>
      <c r="CH40" s="272">
        <v>342012</v>
      </c>
      <c r="CI40" s="272">
        <v>196983</v>
      </c>
      <c r="CJ40" s="455">
        <f t="shared" si="7"/>
        <v>145029</v>
      </c>
      <c r="CK40" s="272">
        <v>430560</v>
      </c>
      <c r="CL40" s="272">
        <v>196938</v>
      </c>
      <c r="CM40" s="272">
        <v>23029</v>
      </c>
      <c r="CN40" s="272">
        <v>140632</v>
      </c>
      <c r="CO40" s="272">
        <v>25432</v>
      </c>
      <c r="CP40" s="272">
        <v>266396</v>
      </c>
      <c r="CQ40" s="272">
        <v>66456</v>
      </c>
      <c r="CR40" s="272">
        <v>109523</v>
      </c>
      <c r="CS40" s="272">
        <v>57638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887612</v>
      </c>
      <c r="DD40" s="272">
        <v>472683</v>
      </c>
      <c r="DE40" s="272">
        <v>407066</v>
      </c>
      <c r="DF40" s="272">
        <v>7863</v>
      </c>
      <c r="DG40" s="272">
        <v>0</v>
      </c>
      <c r="DH40" s="272">
        <v>15580</v>
      </c>
      <c r="DI40" s="272">
        <v>432146</v>
      </c>
      <c r="DJ40" s="272">
        <v>229554</v>
      </c>
      <c r="DK40" s="272">
        <v>0</v>
      </c>
      <c r="DL40" s="272">
        <v>202592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108151</v>
      </c>
      <c r="DU40" s="272">
        <v>0</v>
      </c>
      <c r="DV40" s="455">
        <f t="shared" si="11"/>
        <v>0</v>
      </c>
      <c r="DW40" s="272">
        <v>0</v>
      </c>
      <c r="DX40" s="272">
        <v>0</v>
      </c>
      <c r="DY40" s="457" t="s">
        <v>646</v>
      </c>
      <c r="DZ40" s="272">
        <v>20957</v>
      </c>
      <c r="EA40" s="272">
        <v>28812</v>
      </c>
      <c r="EB40" s="272"/>
      <c r="EC40" s="272">
        <v>0</v>
      </c>
      <c r="ED40" s="272">
        <v>3576981</v>
      </c>
      <c r="EF40" s="272">
        <v>179369</v>
      </c>
      <c r="EG40" s="272">
        <v>7300</v>
      </c>
      <c r="EH40" s="272">
        <v>172069</v>
      </c>
      <c r="EI40" s="272">
        <v>30116</v>
      </c>
      <c r="EJ40" s="272">
        <v>259670</v>
      </c>
      <c r="EL40" s="272">
        <v>10850</v>
      </c>
      <c r="EM40" s="272">
        <v>11460</v>
      </c>
      <c r="EN40" s="272">
        <v>2164</v>
      </c>
      <c r="EO40" s="272">
        <v>735</v>
      </c>
      <c r="EP40" s="455">
        <f t="shared" si="12"/>
        <v>208744</v>
      </c>
      <c r="EQ40" s="272">
        <v>2668307</v>
      </c>
      <c r="ER40" s="272">
        <v>-209471</v>
      </c>
      <c r="ES40" s="272">
        <v>898151</v>
      </c>
      <c r="ET40" s="272">
        <v>584952</v>
      </c>
      <c r="EU40" s="272">
        <v>28380</v>
      </c>
      <c r="EV40" s="272">
        <v>322527</v>
      </c>
      <c r="EW40" s="455">
        <f t="shared" si="13"/>
        <v>409608</v>
      </c>
      <c r="EX40" s="272">
        <v>406711</v>
      </c>
      <c r="EY40" s="272">
        <v>76597</v>
      </c>
      <c r="EZ40" s="272">
        <v>322251</v>
      </c>
      <c r="FA40" s="272">
        <v>2897</v>
      </c>
      <c r="FB40" s="272"/>
      <c r="FC40" s="272">
        <v>309342</v>
      </c>
      <c r="FD40" s="272">
        <v>210893</v>
      </c>
      <c r="FE40" s="272">
        <v>66456</v>
      </c>
      <c r="FF40" s="272">
        <v>95535</v>
      </c>
      <c r="FG40" s="455">
        <f t="shared" si="14"/>
        <v>423973</v>
      </c>
      <c r="FH40" s="272">
        <v>2698409</v>
      </c>
      <c r="FI40" s="384">
        <f t="shared" si="15"/>
        <v>7.4</v>
      </c>
      <c r="FJ40" s="272">
        <v>2322811</v>
      </c>
      <c r="FK40" s="272"/>
      <c r="FL40" s="272">
        <v>745380</v>
      </c>
      <c r="FM40" s="272">
        <v>2089771</v>
      </c>
      <c r="FN40" s="460">
        <v>0.36399999999999999</v>
      </c>
      <c r="FO40" s="388">
        <v>70.400000000000006</v>
      </c>
      <c r="FP40" s="388">
        <v>35.200000000000003</v>
      </c>
      <c r="FQ40" s="388">
        <v>1.1000000000000001</v>
      </c>
      <c r="FR40" s="388">
        <v>12.8</v>
      </c>
      <c r="FS40" s="388">
        <v>10.9</v>
      </c>
      <c r="FT40" s="388">
        <v>7.1</v>
      </c>
      <c r="FU40" s="388">
        <v>2.2999999999999998</v>
      </c>
      <c r="FV40" s="388">
        <v>12.1</v>
      </c>
      <c r="FW40" s="272">
        <v>2111677</v>
      </c>
      <c r="FX40" s="384">
        <f t="shared" si="16"/>
        <v>90.9</v>
      </c>
      <c r="FY40" s="272">
        <v>1290865</v>
      </c>
      <c r="FZ40" s="272">
        <v>946803</v>
      </c>
      <c r="GA40" s="272"/>
      <c r="GB40" s="272">
        <v>344062</v>
      </c>
      <c r="GC40" s="272"/>
      <c r="GD40" s="272">
        <v>279000</v>
      </c>
      <c r="GE40" s="384">
        <f>ROUND(GD40/FJ40*100,1)</f>
        <v>12</v>
      </c>
      <c r="GF40" s="388">
        <v>98.2</v>
      </c>
      <c r="GG40" s="388">
        <v>22.2</v>
      </c>
      <c r="GH40" s="388">
        <v>96.7</v>
      </c>
      <c r="GI40" s="272">
        <v>145</v>
      </c>
    </row>
    <row r="41" spans="2:191" x14ac:dyDescent="0.15">
      <c r="B41" s="89" t="s">
        <v>75</v>
      </c>
      <c r="C41" s="272">
        <v>2324883</v>
      </c>
      <c r="D41" s="455">
        <f t="shared" si="0"/>
        <v>745550</v>
      </c>
      <c r="E41" s="272">
        <v>8636</v>
      </c>
      <c r="F41" s="272">
        <v>736914</v>
      </c>
      <c r="G41" s="455">
        <f t="shared" si="1"/>
        <v>286759</v>
      </c>
      <c r="H41" s="272">
        <v>37119</v>
      </c>
      <c r="I41" s="272">
        <v>249640</v>
      </c>
      <c r="J41" s="272">
        <v>955062</v>
      </c>
      <c r="K41" s="272">
        <v>490321</v>
      </c>
      <c r="L41" s="272">
        <v>280062</v>
      </c>
      <c r="M41" s="272">
        <v>180677</v>
      </c>
      <c r="N41" s="272">
        <v>104593</v>
      </c>
      <c r="O41" s="272">
        <v>221166</v>
      </c>
      <c r="P41" s="272">
        <v>157222</v>
      </c>
      <c r="Q41" s="272">
        <v>63944</v>
      </c>
      <c r="R41" s="272">
        <v>122242</v>
      </c>
      <c r="S41" s="272">
        <v>90556</v>
      </c>
      <c r="T41" s="455">
        <f t="shared" si="2"/>
        <v>169089</v>
      </c>
      <c r="U41" s="272">
        <v>106550</v>
      </c>
      <c r="V41" s="272"/>
      <c r="W41" s="272"/>
      <c r="X41" s="272"/>
      <c r="Y41" s="272">
        <v>0</v>
      </c>
      <c r="Z41" s="272"/>
      <c r="AA41" s="272">
        <v>62539</v>
      </c>
      <c r="AB41" s="272"/>
      <c r="AC41" s="272">
        <v>1091299</v>
      </c>
      <c r="AD41" s="272">
        <v>849112</v>
      </c>
      <c r="AE41" s="272">
        <v>242187</v>
      </c>
      <c r="AF41" s="272">
        <v>4393</v>
      </c>
      <c r="AG41" s="272">
        <v>1726</v>
      </c>
      <c r="AH41" s="455">
        <f t="shared" si="3"/>
        <v>88005</v>
      </c>
      <c r="AI41" s="272">
        <v>76265</v>
      </c>
      <c r="AJ41" s="272">
        <v>11740</v>
      </c>
      <c r="AK41" s="272">
        <v>130469</v>
      </c>
      <c r="AL41" s="455">
        <f t="shared" si="4"/>
        <v>48778</v>
      </c>
      <c r="AM41" s="272">
        <v>0</v>
      </c>
      <c r="AN41" s="272">
        <v>48778</v>
      </c>
      <c r="AO41" s="272">
        <v>0</v>
      </c>
      <c r="AP41" s="272">
        <v>0</v>
      </c>
      <c r="AQ41" s="272">
        <v>35388</v>
      </c>
      <c r="AR41" s="272">
        <v>0</v>
      </c>
      <c r="AS41" s="272">
        <v>0</v>
      </c>
      <c r="AT41" s="272">
        <v>284578</v>
      </c>
      <c r="AU41" s="272">
        <v>34037</v>
      </c>
      <c r="AV41" s="272">
        <v>18058</v>
      </c>
      <c r="AW41" s="272">
        <v>0</v>
      </c>
      <c r="AX41" s="272">
        <v>250541</v>
      </c>
      <c r="AY41" s="272">
        <v>119500</v>
      </c>
      <c r="AZ41" s="272">
        <v>101331</v>
      </c>
      <c r="BA41" s="272">
        <v>0</v>
      </c>
      <c r="BB41" s="272">
        <v>10413</v>
      </c>
      <c r="BC41" s="272">
        <v>983</v>
      </c>
      <c r="BD41" s="272">
        <v>0</v>
      </c>
      <c r="BE41" s="272">
        <v>0</v>
      </c>
      <c r="BF41" s="272">
        <v>0</v>
      </c>
      <c r="BG41" s="272">
        <v>0</v>
      </c>
      <c r="BH41" s="272">
        <v>260372</v>
      </c>
      <c r="BI41" s="272">
        <v>256051</v>
      </c>
      <c r="BJ41" s="272">
        <v>99219</v>
      </c>
      <c r="BK41" s="272">
        <v>427</v>
      </c>
      <c r="BL41" s="272">
        <v>0</v>
      </c>
      <c r="BM41" s="272">
        <v>0</v>
      </c>
      <c r="BN41" s="272">
        <v>451000</v>
      </c>
      <c r="BO41" s="455">
        <f t="shared" si="5"/>
        <v>451000</v>
      </c>
      <c r="BP41" s="455">
        <f t="shared" si="6"/>
        <v>0</v>
      </c>
      <c r="BQ41" s="272"/>
      <c r="BR41" s="272"/>
      <c r="BS41" s="272"/>
      <c r="BT41" s="272">
        <v>0</v>
      </c>
      <c r="BU41" s="272">
        <v>5140002</v>
      </c>
      <c r="BV41" s="272"/>
      <c r="BW41" s="272">
        <v>1492094</v>
      </c>
      <c r="BX41" s="272">
        <v>1124511</v>
      </c>
      <c r="BY41" s="272">
        <v>48624</v>
      </c>
      <c r="BZ41" s="272">
        <v>13715</v>
      </c>
      <c r="CA41" s="272">
        <v>126864</v>
      </c>
      <c r="CB41" s="272">
        <v>51776</v>
      </c>
      <c r="CC41" s="272">
        <v>48362</v>
      </c>
      <c r="CD41" s="272">
        <v>17155</v>
      </c>
      <c r="CE41" s="272">
        <v>0</v>
      </c>
      <c r="CF41" s="272">
        <v>0</v>
      </c>
      <c r="CG41" s="272">
        <v>9571</v>
      </c>
      <c r="CH41" s="272">
        <v>369058</v>
      </c>
      <c r="CI41" s="272">
        <v>196920</v>
      </c>
      <c r="CJ41" s="455">
        <f t="shared" si="7"/>
        <v>172138</v>
      </c>
      <c r="CK41" s="272">
        <v>690997</v>
      </c>
      <c r="CL41" s="272">
        <v>236102</v>
      </c>
      <c r="CM41" s="272">
        <v>49398</v>
      </c>
      <c r="CN41" s="272">
        <v>208981</v>
      </c>
      <c r="CO41" s="272">
        <v>61729</v>
      </c>
      <c r="CP41" s="272">
        <v>513932</v>
      </c>
      <c r="CQ41" s="272">
        <v>3221</v>
      </c>
      <c r="CR41" s="272">
        <v>41253</v>
      </c>
      <c r="CS41" s="272">
        <v>41253</v>
      </c>
      <c r="CT41" s="455">
        <f t="shared" si="8"/>
        <v>267233</v>
      </c>
      <c r="CU41" s="272">
        <v>0</v>
      </c>
      <c r="CV41" s="272">
        <v>267233</v>
      </c>
      <c r="CW41" s="455">
        <f t="shared" si="9"/>
        <v>227233</v>
      </c>
      <c r="CX41" s="272">
        <v>0</v>
      </c>
      <c r="CY41" s="272">
        <v>227233</v>
      </c>
      <c r="CZ41" s="455">
        <f t="shared" si="10"/>
        <v>0</v>
      </c>
      <c r="DA41" s="272">
        <v>0</v>
      </c>
      <c r="DB41" s="272">
        <v>0</v>
      </c>
      <c r="DC41" s="272">
        <v>863266</v>
      </c>
      <c r="DD41" s="272">
        <v>106164</v>
      </c>
      <c r="DE41" s="272">
        <v>733626</v>
      </c>
      <c r="DF41" s="272">
        <v>23476</v>
      </c>
      <c r="DG41" s="272">
        <v>0</v>
      </c>
      <c r="DH41" s="272">
        <v>0</v>
      </c>
      <c r="DI41" s="272">
        <v>304440</v>
      </c>
      <c r="DJ41" s="272">
        <v>174396</v>
      </c>
      <c r="DK41" s="272">
        <v>0</v>
      </c>
      <c r="DL41" s="272">
        <v>130044</v>
      </c>
      <c r="DM41" s="272">
        <v>8500</v>
      </c>
      <c r="DN41" s="272">
        <v>0</v>
      </c>
      <c r="DO41" s="272">
        <v>0</v>
      </c>
      <c r="DP41" s="272">
        <v>0</v>
      </c>
      <c r="DQ41" s="272">
        <v>532</v>
      </c>
      <c r="DR41" s="272">
        <v>0</v>
      </c>
      <c r="DS41" s="272">
        <v>0</v>
      </c>
      <c r="DT41" s="272">
        <v>561261</v>
      </c>
      <c r="DU41" s="272">
        <v>435000</v>
      </c>
      <c r="DV41" s="455">
        <f t="shared" si="11"/>
        <v>0</v>
      </c>
      <c r="DW41" s="272">
        <v>0</v>
      </c>
      <c r="DX41" s="272">
        <v>0</v>
      </c>
      <c r="DY41" s="457" t="s">
        <v>646</v>
      </c>
      <c r="DZ41" s="272">
        <v>84018</v>
      </c>
      <c r="EA41" s="272">
        <v>42243</v>
      </c>
      <c r="EB41" s="272"/>
      <c r="EC41" s="272">
        <v>0</v>
      </c>
      <c r="ED41" s="272">
        <v>4992673</v>
      </c>
      <c r="EF41" s="272">
        <v>147329</v>
      </c>
      <c r="EG41" s="272">
        <v>9616</v>
      </c>
      <c r="EH41" s="272">
        <v>137713</v>
      </c>
      <c r="EI41" s="272">
        <v>-118338</v>
      </c>
      <c r="EJ41" s="272">
        <v>56058</v>
      </c>
      <c r="EL41" s="272">
        <v>17566</v>
      </c>
      <c r="EM41" s="272">
        <v>16889</v>
      </c>
      <c r="EN41" s="272">
        <v>983</v>
      </c>
      <c r="EO41" s="272">
        <v>1275</v>
      </c>
      <c r="EP41" s="455">
        <f t="shared" si="12"/>
        <v>310622</v>
      </c>
      <c r="EQ41" s="272">
        <v>3711906</v>
      </c>
      <c r="ER41" s="272">
        <v>-308487</v>
      </c>
      <c r="ES41" s="272">
        <v>1359671</v>
      </c>
      <c r="ET41" s="272">
        <v>992088</v>
      </c>
      <c r="EU41" s="272">
        <v>44721</v>
      </c>
      <c r="EV41" s="272">
        <v>369058</v>
      </c>
      <c r="EW41" s="455">
        <f t="shared" si="13"/>
        <v>253078</v>
      </c>
      <c r="EX41" s="272">
        <v>253078</v>
      </c>
      <c r="EY41" s="272">
        <v>8176</v>
      </c>
      <c r="EZ41" s="272">
        <v>229926</v>
      </c>
      <c r="FA41" s="272">
        <v>0</v>
      </c>
      <c r="FB41" s="272"/>
      <c r="FC41" s="272">
        <v>613934</v>
      </c>
      <c r="FD41" s="272">
        <v>429070</v>
      </c>
      <c r="FE41" s="272">
        <v>3221</v>
      </c>
      <c r="FF41" s="272">
        <v>543734</v>
      </c>
      <c r="FG41" s="455">
        <f t="shared" si="14"/>
        <v>259798</v>
      </c>
      <c r="FH41" s="272">
        <v>3873064</v>
      </c>
      <c r="FI41" s="384">
        <f t="shared" si="15"/>
        <v>4.4000000000000004</v>
      </c>
      <c r="FJ41" s="272">
        <v>3143176</v>
      </c>
      <c r="FK41" s="272"/>
      <c r="FL41" s="272">
        <v>1729095</v>
      </c>
      <c r="FM41" s="272">
        <v>2578255</v>
      </c>
      <c r="FN41" s="460">
        <v>0.70699999999999996</v>
      </c>
      <c r="FO41" s="388">
        <v>87.4</v>
      </c>
      <c r="FP41" s="388">
        <v>40.700000000000003</v>
      </c>
      <c r="FQ41" s="388">
        <v>1.4</v>
      </c>
      <c r="FR41" s="388">
        <v>11.3</v>
      </c>
      <c r="FS41" s="388">
        <v>16.8</v>
      </c>
      <c r="FT41" s="388">
        <v>7</v>
      </c>
      <c r="FU41" s="388">
        <v>9.4</v>
      </c>
      <c r="FV41" s="388">
        <v>11.1</v>
      </c>
      <c r="FW41" s="272">
        <v>2881256</v>
      </c>
      <c r="FX41" s="384">
        <f t="shared" si="16"/>
        <v>91.7</v>
      </c>
      <c r="FY41" s="272">
        <v>1694149</v>
      </c>
      <c r="FZ41" s="272">
        <v>1032491</v>
      </c>
      <c r="GA41" s="272"/>
      <c r="GB41" s="272">
        <v>661658</v>
      </c>
      <c r="GC41" s="272"/>
      <c r="GD41" s="272"/>
      <c r="GE41" s="384"/>
      <c r="GF41" s="388">
        <v>97.2</v>
      </c>
      <c r="GG41" s="388">
        <v>18.7</v>
      </c>
      <c r="GH41" s="388">
        <v>91.6</v>
      </c>
      <c r="GI41" s="272">
        <v>198</v>
      </c>
    </row>
    <row r="42" spans="2:191" x14ac:dyDescent="0.15">
      <c r="B42" s="89" t="s">
        <v>77</v>
      </c>
      <c r="C42" s="272">
        <v>4179828</v>
      </c>
      <c r="D42" s="455">
        <f t="shared" si="0"/>
        <v>2410120</v>
      </c>
      <c r="E42" s="272">
        <v>17431</v>
      </c>
      <c r="F42" s="272">
        <v>2392689</v>
      </c>
      <c r="G42" s="455">
        <f t="shared" si="1"/>
        <v>251662</v>
      </c>
      <c r="H42" s="272">
        <v>36402</v>
      </c>
      <c r="I42" s="272">
        <v>215260</v>
      </c>
      <c r="J42" s="272">
        <v>1360279</v>
      </c>
      <c r="K42" s="272">
        <v>492817</v>
      </c>
      <c r="L42" s="272">
        <v>652600</v>
      </c>
      <c r="M42" s="272">
        <v>202736</v>
      </c>
      <c r="N42" s="272">
        <v>126364</v>
      </c>
      <c r="O42" s="272">
        <v>0</v>
      </c>
      <c r="P42" s="272">
        <v>0</v>
      </c>
      <c r="Q42" s="272">
        <v>0</v>
      </c>
      <c r="R42" s="272">
        <v>171971</v>
      </c>
      <c r="S42" s="272">
        <v>106864</v>
      </c>
      <c r="T42" s="455">
        <f t="shared" si="2"/>
        <v>439661</v>
      </c>
      <c r="U42" s="272">
        <v>289059</v>
      </c>
      <c r="V42" s="272"/>
      <c r="W42" s="272"/>
      <c r="X42" s="272"/>
      <c r="Y42" s="272">
        <v>22152</v>
      </c>
      <c r="Z42" s="272"/>
      <c r="AA42" s="272">
        <v>128450</v>
      </c>
      <c r="AB42" s="272"/>
      <c r="AC42" s="272">
        <v>1320086</v>
      </c>
      <c r="AD42" s="272">
        <v>1130080</v>
      </c>
      <c r="AE42" s="272">
        <v>190006</v>
      </c>
      <c r="AF42" s="272">
        <v>8006</v>
      </c>
      <c r="AG42" s="272">
        <v>30669</v>
      </c>
      <c r="AH42" s="455">
        <f t="shared" si="3"/>
        <v>224791</v>
      </c>
      <c r="AI42" s="272">
        <v>207175</v>
      </c>
      <c r="AJ42" s="272">
        <v>17616</v>
      </c>
      <c r="AK42" s="272">
        <v>424922</v>
      </c>
      <c r="AL42" s="455">
        <f t="shared" si="4"/>
        <v>44668</v>
      </c>
      <c r="AM42" s="272">
        <v>0</v>
      </c>
      <c r="AN42" s="272">
        <v>44668</v>
      </c>
      <c r="AO42" s="272">
        <v>0</v>
      </c>
      <c r="AP42" s="272">
        <v>0</v>
      </c>
      <c r="AQ42" s="272">
        <v>198767</v>
      </c>
      <c r="AR42" s="272">
        <v>0</v>
      </c>
      <c r="AS42" s="272">
        <v>0</v>
      </c>
      <c r="AT42" s="272">
        <v>378437</v>
      </c>
      <c r="AU42" s="272">
        <v>102440</v>
      </c>
      <c r="AV42" s="272">
        <v>22334</v>
      </c>
      <c r="AW42" s="272">
        <v>22624</v>
      </c>
      <c r="AX42" s="272">
        <v>275997</v>
      </c>
      <c r="AY42" s="272">
        <v>104365</v>
      </c>
      <c r="AZ42" s="272">
        <v>342361</v>
      </c>
      <c r="BA42" s="272">
        <v>40</v>
      </c>
      <c r="BB42" s="272">
        <v>139354</v>
      </c>
      <c r="BC42" s="272">
        <v>12586</v>
      </c>
      <c r="BD42" s="272">
        <v>0</v>
      </c>
      <c r="BE42" s="272">
        <v>0</v>
      </c>
      <c r="BF42" s="272">
        <v>0</v>
      </c>
      <c r="BG42" s="272">
        <v>0</v>
      </c>
      <c r="BH42" s="272">
        <v>324739</v>
      </c>
      <c r="BI42" s="272">
        <v>289671</v>
      </c>
      <c r="BJ42" s="272">
        <v>123879</v>
      </c>
      <c r="BK42" s="272">
        <v>0</v>
      </c>
      <c r="BL42" s="272">
        <v>190</v>
      </c>
      <c r="BM42" s="272">
        <v>0</v>
      </c>
      <c r="BN42" s="272">
        <v>194050</v>
      </c>
      <c r="BO42" s="455">
        <f t="shared" si="5"/>
        <v>194050</v>
      </c>
      <c r="BP42" s="455">
        <f t="shared" si="6"/>
        <v>0</v>
      </c>
      <c r="BQ42" s="272"/>
      <c r="BR42" s="272"/>
      <c r="BS42" s="272"/>
      <c r="BT42" s="272">
        <v>0</v>
      </c>
      <c r="BU42" s="272">
        <v>8315340</v>
      </c>
      <c r="BV42" s="272"/>
      <c r="BW42" s="272">
        <v>2029013</v>
      </c>
      <c r="BX42" s="272">
        <v>1578833</v>
      </c>
      <c r="BY42" s="272">
        <v>38195</v>
      </c>
      <c r="BZ42" s="272">
        <v>24004</v>
      </c>
      <c r="CA42" s="272">
        <v>314150</v>
      </c>
      <c r="CB42" s="272">
        <v>47403</v>
      </c>
      <c r="CC42" s="272">
        <v>98550</v>
      </c>
      <c r="CD42" s="272">
        <v>157291</v>
      </c>
      <c r="CE42" s="272">
        <v>0</v>
      </c>
      <c r="CF42" s="272">
        <v>0</v>
      </c>
      <c r="CG42" s="272">
        <v>10906</v>
      </c>
      <c r="CH42" s="272">
        <v>509138</v>
      </c>
      <c r="CI42" s="272">
        <v>212482</v>
      </c>
      <c r="CJ42" s="455">
        <f t="shared" si="7"/>
        <v>296656</v>
      </c>
      <c r="CK42" s="272">
        <v>1087841</v>
      </c>
      <c r="CL42" s="272">
        <v>392771</v>
      </c>
      <c r="CM42" s="272">
        <v>89496</v>
      </c>
      <c r="CN42" s="272">
        <v>351522</v>
      </c>
      <c r="CO42" s="272">
        <v>115590</v>
      </c>
      <c r="CP42" s="272">
        <v>306489</v>
      </c>
      <c r="CQ42" s="272">
        <v>1037</v>
      </c>
      <c r="CR42" s="272">
        <v>167437</v>
      </c>
      <c r="CS42" s="272">
        <v>167437</v>
      </c>
      <c r="CT42" s="455">
        <f t="shared" si="8"/>
        <v>13333</v>
      </c>
      <c r="CU42" s="272">
        <v>10100</v>
      </c>
      <c r="CV42" s="272">
        <v>3233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1796988</v>
      </c>
      <c r="DD42" s="272">
        <v>516509</v>
      </c>
      <c r="DE42" s="272">
        <v>1277215</v>
      </c>
      <c r="DF42" s="272">
        <v>3264</v>
      </c>
      <c r="DG42" s="272">
        <v>0</v>
      </c>
      <c r="DH42" s="272">
        <v>47944</v>
      </c>
      <c r="DI42" s="272">
        <v>1090487</v>
      </c>
      <c r="DJ42" s="272">
        <v>150000</v>
      </c>
      <c r="DK42" s="272">
        <v>88683</v>
      </c>
      <c r="DL42" s="272">
        <v>851804</v>
      </c>
      <c r="DM42" s="272">
        <v>4000</v>
      </c>
      <c r="DN42" s="272">
        <v>0</v>
      </c>
      <c r="DO42" s="272">
        <v>0</v>
      </c>
      <c r="DP42" s="272">
        <v>0</v>
      </c>
      <c r="DQ42" s="272">
        <v>0</v>
      </c>
      <c r="DR42" s="272">
        <v>0</v>
      </c>
      <c r="DS42" s="272">
        <v>0</v>
      </c>
      <c r="DT42" s="272">
        <v>445383</v>
      </c>
      <c r="DU42" s="272">
        <v>245948</v>
      </c>
      <c r="DV42" s="455">
        <f t="shared" si="11"/>
        <v>0</v>
      </c>
      <c r="DW42" s="272">
        <v>0</v>
      </c>
      <c r="DX42" s="272">
        <v>0</v>
      </c>
      <c r="DY42" s="457" t="s">
        <v>646</v>
      </c>
      <c r="DZ42" s="272">
        <v>74652</v>
      </c>
      <c r="EA42" s="272">
        <v>83263</v>
      </c>
      <c r="EB42" s="272"/>
      <c r="EC42" s="272">
        <v>0</v>
      </c>
      <c r="ED42" s="272">
        <v>7747023</v>
      </c>
      <c r="EF42" s="272">
        <v>568317</v>
      </c>
      <c r="EG42" s="272">
        <v>268377</v>
      </c>
      <c r="EH42" s="272">
        <v>299940</v>
      </c>
      <c r="EI42" s="272">
        <v>10269</v>
      </c>
      <c r="EJ42" s="272">
        <v>160269</v>
      </c>
      <c r="EL42" s="272">
        <v>38905</v>
      </c>
      <c r="EM42" s="272">
        <v>38224</v>
      </c>
      <c r="EN42" s="272">
        <v>12586</v>
      </c>
      <c r="EO42" s="272">
        <v>48409</v>
      </c>
      <c r="EP42" s="455">
        <f t="shared" si="12"/>
        <v>656323</v>
      </c>
      <c r="EQ42" s="272">
        <v>6119552</v>
      </c>
      <c r="ER42" s="272">
        <v>-709312</v>
      </c>
      <c r="ES42" s="272">
        <v>1828664</v>
      </c>
      <c r="ET42" s="272">
        <v>1390714</v>
      </c>
      <c r="EU42" s="272">
        <v>174768</v>
      </c>
      <c r="EV42" s="272">
        <v>509138</v>
      </c>
      <c r="EW42" s="455">
        <f t="shared" si="13"/>
        <v>1255472</v>
      </c>
      <c r="EX42" s="272">
        <v>1229249</v>
      </c>
      <c r="EY42" s="272">
        <v>153268</v>
      </c>
      <c r="EZ42" s="272">
        <v>1072717</v>
      </c>
      <c r="FA42" s="272">
        <v>26223</v>
      </c>
      <c r="FB42" s="272"/>
      <c r="FC42" s="272">
        <v>868169</v>
      </c>
      <c r="FD42" s="272">
        <v>282968</v>
      </c>
      <c r="FE42" s="272">
        <v>1037</v>
      </c>
      <c r="FF42" s="272">
        <v>410475</v>
      </c>
      <c r="FG42" s="455">
        <f t="shared" si="14"/>
        <v>930893</v>
      </c>
      <c r="FH42" s="272">
        <v>6260547</v>
      </c>
      <c r="FI42" s="384">
        <f t="shared" si="15"/>
        <v>5.4</v>
      </c>
      <c r="FJ42" s="272">
        <v>5590064</v>
      </c>
      <c r="FK42" s="272"/>
      <c r="FL42" s="272">
        <v>3362477</v>
      </c>
      <c r="FM42" s="272">
        <v>4491866</v>
      </c>
      <c r="FN42" s="460">
        <v>0.75</v>
      </c>
      <c r="FO42" s="388">
        <v>58.1</v>
      </c>
      <c r="FP42" s="388">
        <v>30</v>
      </c>
      <c r="FQ42" s="388">
        <v>2.9</v>
      </c>
      <c r="FR42" s="388">
        <v>8.4</v>
      </c>
      <c r="FS42" s="388">
        <v>10.5</v>
      </c>
      <c r="FT42" s="388">
        <v>3</v>
      </c>
      <c r="FU42" s="388">
        <v>1.5</v>
      </c>
      <c r="FV42" s="388">
        <v>8.5</v>
      </c>
      <c r="FW42" s="272">
        <v>5011721</v>
      </c>
      <c r="FX42" s="384">
        <f t="shared" si="16"/>
        <v>89.7</v>
      </c>
      <c r="FY42" s="272">
        <v>7423003</v>
      </c>
      <c r="FZ42" s="272">
        <v>977377</v>
      </c>
      <c r="GA42" s="272">
        <v>185714</v>
      </c>
      <c r="GB42" s="272">
        <v>6259912</v>
      </c>
      <c r="GC42" s="272"/>
      <c r="GD42" s="272">
        <v>2347124</v>
      </c>
      <c r="GE42" s="384">
        <f>ROUND(GD42/FJ42*100,1)</f>
        <v>42</v>
      </c>
      <c r="GF42" s="388">
        <v>96.9</v>
      </c>
      <c r="GG42" s="388">
        <v>23.9</v>
      </c>
      <c r="GH42" s="388">
        <v>92.5</v>
      </c>
      <c r="GI42" s="272">
        <v>310</v>
      </c>
    </row>
    <row r="43" spans="2:191" x14ac:dyDescent="0.15">
      <c r="B43" s="89" t="s">
        <v>79</v>
      </c>
      <c r="C43" s="272">
        <v>681937</v>
      </c>
      <c r="D43" s="455">
        <f t="shared" si="0"/>
        <v>343962</v>
      </c>
      <c r="E43" s="272">
        <v>3434</v>
      </c>
      <c r="F43" s="272">
        <v>340528</v>
      </c>
      <c r="G43" s="455">
        <f t="shared" si="1"/>
        <v>30278</v>
      </c>
      <c r="H43" s="272">
        <v>9665</v>
      </c>
      <c r="I43" s="272">
        <v>20613</v>
      </c>
      <c r="J43" s="272">
        <v>257733</v>
      </c>
      <c r="K43" s="272">
        <v>119669</v>
      </c>
      <c r="L43" s="272">
        <v>73234</v>
      </c>
      <c r="M43" s="272">
        <v>62501</v>
      </c>
      <c r="N43" s="272">
        <v>27770</v>
      </c>
      <c r="O43" s="272">
        <v>0</v>
      </c>
      <c r="P43" s="272">
        <v>0</v>
      </c>
      <c r="Q43" s="272">
        <v>0</v>
      </c>
      <c r="R43" s="272">
        <v>38461</v>
      </c>
      <c r="S43" s="272">
        <v>26522</v>
      </c>
      <c r="T43" s="455">
        <f t="shared" si="2"/>
        <v>63593</v>
      </c>
      <c r="U43" s="272">
        <v>39871</v>
      </c>
      <c r="V43" s="272"/>
      <c r="W43" s="272"/>
      <c r="X43" s="272"/>
      <c r="Y43" s="272">
        <v>0</v>
      </c>
      <c r="Z43" s="272"/>
      <c r="AA43" s="272">
        <v>23722</v>
      </c>
      <c r="AB43" s="272"/>
      <c r="AC43" s="272">
        <v>788441</v>
      </c>
      <c r="AD43" s="272">
        <v>688339</v>
      </c>
      <c r="AE43" s="272">
        <v>100102</v>
      </c>
      <c r="AF43" s="272">
        <v>1388</v>
      </c>
      <c r="AG43" s="272">
        <v>7345</v>
      </c>
      <c r="AH43" s="455">
        <f t="shared" si="3"/>
        <v>23917</v>
      </c>
      <c r="AI43" s="272">
        <v>21263</v>
      </c>
      <c r="AJ43" s="272">
        <v>2654</v>
      </c>
      <c r="AK43" s="272">
        <v>42444</v>
      </c>
      <c r="AL43" s="455">
        <f t="shared" si="4"/>
        <v>6752</v>
      </c>
      <c r="AM43" s="272">
        <v>0</v>
      </c>
      <c r="AN43" s="272">
        <v>6752</v>
      </c>
      <c r="AO43" s="272">
        <v>0</v>
      </c>
      <c r="AP43" s="272">
        <v>0</v>
      </c>
      <c r="AQ43" s="272">
        <v>16203</v>
      </c>
      <c r="AR43" s="272">
        <v>0</v>
      </c>
      <c r="AS43" s="272">
        <v>0</v>
      </c>
      <c r="AT43" s="272">
        <v>176560</v>
      </c>
      <c r="AU43" s="272">
        <v>60133</v>
      </c>
      <c r="AV43" s="272">
        <v>3376</v>
      </c>
      <c r="AW43" s="272">
        <v>32235</v>
      </c>
      <c r="AX43" s="272">
        <v>116427</v>
      </c>
      <c r="AY43" s="272">
        <v>67300</v>
      </c>
      <c r="AZ43" s="272">
        <v>72640</v>
      </c>
      <c r="BA43" s="272">
        <v>6023</v>
      </c>
      <c r="BB43" s="272">
        <v>0</v>
      </c>
      <c r="BC43" s="272">
        <v>224096</v>
      </c>
      <c r="BD43" s="272">
        <v>224085</v>
      </c>
      <c r="BE43" s="272">
        <v>0</v>
      </c>
      <c r="BF43" s="272">
        <v>0</v>
      </c>
      <c r="BG43" s="272">
        <v>0</v>
      </c>
      <c r="BH43" s="272">
        <v>97100</v>
      </c>
      <c r="BI43" s="272">
        <v>97100</v>
      </c>
      <c r="BJ43" s="272">
        <v>110133</v>
      </c>
      <c r="BK43" s="272">
        <v>0</v>
      </c>
      <c r="BL43" s="272">
        <v>0</v>
      </c>
      <c r="BM43" s="272">
        <v>0</v>
      </c>
      <c r="BN43" s="272">
        <v>398700</v>
      </c>
      <c r="BO43" s="455">
        <f t="shared" si="5"/>
        <v>398700</v>
      </c>
      <c r="BP43" s="455">
        <f t="shared" si="6"/>
        <v>0</v>
      </c>
      <c r="BQ43" s="272"/>
      <c r="BR43" s="272"/>
      <c r="BS43" s="272"/>
      <c r="BT43" s="272">
        <v>0</v>
      </c>
      <c r="BU43" s="272">
        <v>2726755</v>
      </c>
      <c r="BV43" s="272"/>
      <c r="BW43" s="272">
        <v>763308</v>
      </c>
      <c r="BX43" s="272">
        <v>483527</v>
      </c>
      <c r="BY43" s="272">
        <v>69389</v>
      </c>
      <c r="BZ43" s="272">
        <v>14834</v>
      </c>
      <c r="CA43" s="272">
        <v>60897</v>
      </c>
      <c r="CB43" s="272">
        <v>10898</v>
      </c>
      <c r="CC43" s="272">
        <v>32337</v>
      </c>
      <c r="CD43" s="272">
        <v>15915</v>
      </c>
      <c r="CE43" s="272">
        <v>0</v>
      </c>
      <c r="CF43" s="272">
        <v>0</v>
      </c>
      <c r="CG43" s="272">
        <v>1747</v>
      </c>
      <c r="CH43" s="272">
        <v>115245</v>
      </c>
      <c r="CI43" s="272">
        <v>45879</v>
      </c>
      <c r="CJ43" s="455">
        <f t="shared" si="7"/>
        <v>69366</v>
      </c>
      <c r="CK43" s="272">
        <v>241610</v>
      </c>
      <c r="CL43" s="272">
        <v>78850</v>
      </c>
      <c r="CM43" s="272">
        <v>27738</v>
      </c>
      <c r="CN43" s="272">
        <v>86006</v>
      </c>
      <c r="CO43" s="272">
        <v>15511</v>
      </c>
      <c r="CP43" s="272">
        <v>284070</v>
      </c>
      <c r="CQ43" s="272">
        <v>132749</v>
      </c>
      <c r="CR43" s="272">
        <v>51796</v>
      </c>
      <c r="CS43" s="272">
        <v>51796</v>
      </c>
      <c r="CT43" s="455">
        <f t="shared" si="8"/>
        <v>22936</v>
      </c>
      <c r="CU43" s="272">
        <v>300</v>
      </c>
      <c r="CV43" s="272">
        <v>22636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768093</v>
      </c>
      <c r="DD43" s="272">
        <v>150589</v>
      </c>
      <c r="DE43" s="272">
        <v>617504</v>
      </c>
      <c r="DF43" s="272">
        <v>0</v>
      </c>
      <c r="DG43" s="272">
        <v>0</v>
      </c>
      <c r="DH43" s="272">
        <v>0</v>
      </c>
      <c r="DI43" s="272">
        <v>62148</v>
      </c>
      <c r="DJ43" s="272">
        <v>47096</v>
      </c>
      <c r="DK43" s="272">
        <v>0</v>
      </c>
      <c r="DL43" s="272">
        <v>15052</v>
      </c>
      <c r="DM43" s="272">
        <v>2600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169311</v>
      </c>
      <c r="DU43" s="272">
        <v>100130</v>
      </c>
      <c r="DV43" s="455">
        <f t="shared" si="11"/>
        <v>0</v>
      </c>
      <c r="DW43" s="272">
        <v>0</v>
      </c>
      <c r="DX43" s="272">
        <v>0</v>
      </c>
      <c r="DY43" s="457" t="s">
        <v>646</v>
      </c>
      <c r="DZ43" s="272">
        <v>45483</v>
      </c>
      <c r="EA43" s="272">
        <v>23167</v>
      </c>
      <c r="EB43" s="272"/>
      <c r="EC43" s="272">
        <v>0</v>
      </c>
      <c r="ED43" s="272">
        <v>2482793</v>
      </c>
      <c r="EF43" s="272">
        <v>243962</v>
      </c>
      <c r="EG43" s="272">
        <v>0</v>
      </c>
      <c r="EH43" s="272">
        <v>243962</v>
      </c>
      <c r="EI43" s="272">
        <v>146862</v>
      </c>
      <c r="EJ43" s="272">
        <v>-30127</v>
      </c>
      <c r="EL43" s="272">
        <v>6540</v>
      </c>
      <c r="EM43" s="272">
        <v>6733</v>
      </c>
      <c r="EN43" s="272">
        <v>224096</v>
      </c>
      <c r="EO43" s="272">
        <v>6626</v>
      </c>
      <c r="EP43" s="455">
        <f t="shared" si="12"/>
        <v>114584</v>
      </c>
      <c r="EQ43" s="272">
        <v>1573820</v>
      </c>
      <c r="ER43" s="272">
        <v>-343918</v>
      </c>
      <c r="ES43" s="272">
        <v>714141</v>
      </c>
      <c r="ET43" s="272">
        <v>438228</v>
      </c>
      <c r="EU43" s="272">
        <v>25190</v>
      </c>
      <c r="EV43" s="272">
        <v>115245</v>
      </c>
      <c r="EW43" s="455">
        <f t="shared" si="13"/>
        <v>157225</v>
      </c>
      <c r="EX43" s="272">
        <v>157225</v>
      </c>
      <c r="EY43" s="272">
        <v>51307</v>
      </c>
      <c r="EZ43" s="272">
        <v>105918</v>
      </c>
      <c r="FA43" s="272">
        <v>0</v>
      </c>
      <c r="FB43" s="272"/>
      <c r="FC43" s="272">
        <v>221763</v>
      </c>
      <c r="FD43" s="272">
        <v>264332</v>
      </c>
      <c r="FE43" s="272">
        <v>132749</v>
      </c>
      <c r="FF43" s="272">
        <v>161106</v>
      </c>
      <c r="FG43" s="455">
        <f t="shared" si="14"/>
        <v>14774</v>
      </c>
      <c r="FH43" s="272">
        <v>1673776</v>
      </c>
      <c r="FI43" s="384">
        <f t="shared" si="15"/>
        <v>17.399999999999999</v>
      </c>
      <c r="FJ43" s="272">
        <v>1405093</v>
      </c>
      <c r="FK43" s="272"/>
      <c r="FL43" s="272">
        <v>540778</v>
      </c>
      <c r="FM43" s="272">
        <v>1229397</v>
      </c>
      <c r="FN43" s="460">
        <v>0.434</v>
      </c>
      <c r="FO43" s="388">
        <v>84.5</v>
      </c>
      <c r="FP43" s="388">
        <v>44.2</v>
      </c>
      <c r="FQ43" s="388">
        <v>1.7</v>
      </c>
      <c r="FR43" s="388">
        <v>7.8</v>
      </c>
      <c r="FS43" s="388">
        <v>13.8</v>
      </c>
      <c r="FT43" s="388">
        <v>14.8</v>
      </c>
      <c r="FU43" s="388">
        <v>1.7</v>
      </c>
      <c r="FV43" s="388">
        <v>6.2</v>
      </c>
      <c r="FW43" s="272">
        <v>1441613</v>
      </c>
      <c r="FX43" s="384">
        <f t="shared" si="16"/>
        <v>102.6</v>
      </c>
      <c r="FY43" s="272">
        <v>845448</v>
      </c>
      <c r="FZ43" s="272">
        <v>544527</v>
      </c>
      <c r="GA43" s="272"/>
      <c r="GB43" s="272">
        <v>300921</v>
      </c>
      <c r="GC43" s="272"/>
      <c r="GD43" s="272">
        <v>629076</v>
      </c>
      <c r="GE43" s="384">
        <f>ROUND(GD43/FJ43*100,1)</f>
        <v>44.8</v>
      </c>
      <c r="GF43" s="388">
        <v>96.4</v>
      </c>
      <c r="GG43" s="388">
        <v>41.2</v>
      </c>
      <c r="GH43" s="388">
        <v>93.6</v>
      </c>
      <c r="GI43" s="272">
        <v>95</v>
      </c>
    </row>
    <row r="44" spans="2:191" x14ac:dyDescent="0.15">
      <c r="B44" s="89" t="s">
        <v>81</v>
      </c>
      <c r="C44" s="272">
        <v>2718110</v>
      </c>
      <c r="D44" s="455">
        <f t="shared" si="0"/>
        <v>1019815</v>
      </c>
      <c r="E44" s="272">
        <v>10590</v>
      </c>
      <c r="F44" s="272">
        <v>1009225</v>
      </c>
      <c r="G44" s="455">
        <f t="shared" si="1"/>
        <v>332742</v>
      </c>
      <c r="H44" s="272">
        <v>27387</v>
      </c>
      <c r="I44" s="272">
        <v>305355</v>
      </c>
      <c r="J44" s="272">
        <v>1241335</v>
      </c>
      <c r="K44" s="272">
        <v>479869</v>
      </c>
      <c r="L44" s="272">
        <v>328950</v>
      </c>
      <c r="M44" s="272">
        <v>428367</v>
      </c>
      <c r="N44" s="272">
        <v>88408</v>
      </c>
      <c r="O44" s="272">
        <v>0</v>
      </c>
      <c r="P44" s="272">
        <v>0</v>
      </c>
      <c r="Q44" s="272">
        <v>0</v>
      </c>
      <c r="R44" s="272">
        <v>117895</v>
      </c>
      <c r="S44" s="272">
        <v>69233</v>
      </c>
      <c r="T44" s="455">
        <f t="shared" si="2"/>
        <v>341985</v>
      </c>
      <c r="U44" s="272">
        <v>148736</v>
      </c>
      <c r="V44" s="272"/>
      <c r="W44" s="272"/>
      <c r="X44" s="272"/>
      <c r="Y44" s="272">
        <v>96861</v>
      </c>
      <c r="Z44" s="272"/>
      <c r="AA44" s="272">
        <v>96388</v>
      </c>
      <c r="AB44" s="272"/>
      <c r="AC44" s="272">
        <v>711003</v>
      </c>
      <c r="AD44" s="272">
        <v>524716</v>
      </c>
      <c r="AE44" s="272">
        <v>186287</v>
      </c>
      <c r="AF44" s="272">
        <v>3748</v>
      </c>
      <c r="AG44" s="272">
        <v>118082</v>
      </c>
      <c r="AH44" s="455">
        <f t="shared" si="3"/>
        <v>162629</v>
      </c>
      <c r="AI44" s="272">
        <v>148907</v>
      </c>
      <c r="AJ44" s="272">
        <v>13722</v>
      </c>
      <c r="AK44" s="272">
        <v>219388</v>
      </c>
      <c r="AL44" s="455">
        <f t="shared" si="4"/>
        <v>27278</v>
      </c>
      <c r="AM44" s="272">
        <v>0</v>
      </c>
      <c r="AN44" s="272">
        <v>27278</v>
      </c>
      <c r="AO44" s="272">
        <v>0</v>
      </c>
      <c r="AP44" s="272">
        <v>0</v>
      </c>
      <c r="AQ44" s="272">
        <v>35455</v>
      </c>
      <c r="AR44" s="272">
        <v>93805</v>
      </c>
      <c r="AS44" s="272">
        <v>0</v>
      </c>
      <c r="AT44" s="272">
        <v>588227</v>
      </c>
      <c r="AU44" s="272">
        <v>112578</v>
      </c>
      <c r="AV44" s="272">
        <v>13638</v>
      </c>
      <c r="AW44" s="272">
        <v>51774</v>
      </c>
      <c r="AX44" s="272">
        <v>475649</v>
      </c>
      <c r="AY44" s="272">
        <v>138434</v>
      </c>
      <c r="AZ44" s="272">
        <v>216365</v>
      </c>
      <c r="BA44" s="272">
        <v>140083</v>
      </c>
      <c r="BB44" s="272">
        <v>49809</v>
      </c>
      <c r="BC44" s="272">
        <v>150466</v>
      </c>
      <c r="BD44" s="272">
        <v>62802</v>
      </c>
      <c r="BE44" s="272">
        <v>21970</v>
      </c>
      <c r="BF44" s="272">
        <v>0</v>
      </c>
      <c r="BG44" s="272">
        <v>0</v>
      </c>
      <c r="BH44" s="272">
        <v>0</v>
      </c>
      <c r="BI44" s="272">
        <v>0</v>
      </c>
      <c r="BJ44" s="272">
        <v>83363</v>
      </c>
      <c r="BK44" s="272">
        <v>20192</v>
      </c>
      <c r="BL44" s="272">
        <v>0</v>
      </c>
      <c r="BM44" s="272">
        <v>0</v>
      </c>
      <c r="BN44" s="272">
        <v>122800</v>
      </c>
      <c r="BO44" s="455">
        <f t="shared" si="5"/>
        <v>122800</v>
      </c>
      <c r="BP44" s="455">
        <f t="shared" si="6"/>
        <v>0</v>
      </c>
      <c r="BQ44" s="272"/>
      <c r="BR44" s="272"/>
      <c r="BS44" s="272"/>
      <c r="BT44" s="272">
        <v>0</v>
      </c>
      <c r="BU44" s="272">
        <v>5603870</v>
      </c>
      <c r="BV44" s="272"/>
      <c r="BW44" s="272">
        <v>1683645</v>
      </c>
      <c r="BX44" s="272">
        <v>1237967</v>
      </c>
      <c r="BY44" s="272">
        <v>98283</v>
      </c>
      <c r="BZ44" s="272">
        <v>27497</v>
      </c>
      <c r="CA44" s="272">
        <v>216845</v>
      </c>
      <c r="CB44" s="272">
        <v>53824</v>
      </c>
      <c r="CC44" s="272">
        <v>76343</v>
      </c>
      <c r="CD44" s="272">
        <v>62264</v>
      </c>
      <c r="CE44" s="272">
        <v>0</v>
      </c>
      <c r="CF44" s="272">
        <v>1204</v>
      </c>
      <c r="CG44" s="272">
        <v>23210</v>
      </c>
      <c r="CH44" s="272">
        <v>960719</v>
      </c>
      <c r="CI44" s="272">
        <v>568003</v>
      </c>
      <c r="CJ44" s="455">
        <f t="shared" si="7"/>
        <v>392716</v>
      </c>
      <c r="CK44" s="272">
        <v>968348</v>
      </c>
      <c r="CL44" s="272">
        <v>432899</v>
      </c>
      <c r="CM44" s="272">
        <v>78648</v>
      </c>
      <c r="CN44" s="272">
        <v>344252</v>
      </c>
      <c r="CO44" s="272">
        <v>77849</v>
      </c>
      <c r="CP44" s="272">
        <v>144024</v>
      </c>
      <c r="CQ44" s="272">
        <v>1782</v>
      </c>
      <c r="CR44" s="272">
        <v>51434</v>
      </c>
      <c r="CS44" s="272">
        <v>41071</v>
      </c>
      <c r="CT44" s="455">
        <f t="shared" si="8"/>
        <v>0</v>
      </c>
      <c r="CU44" s="272">
        <v>0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685846</v>
      </c>
      <c r="DD44" s="272">
        <v>140217</v>
      </c>
      <c r="DE44" s="272">
        <v>531508</v>
      </c>
      <c r="DF44" s="272">
        <v>14121</v>
      </c>
      <c r="DG44" s="272">
        <v>0</v>
      </c>
      <c r="DH44" s="272">
        <v>213837</v>
      </c>
      <c r="DI44" s="272">
        <v>352470</v>
      </c>
      <c r="DJ44" s="272">
        <v>38288</v>
      </c>
      <c r="DK44" s="272">
        <v>73105</v>
      </c>
      <c r="DL44" s="272">
        <v>241077</v>
      </c>
      <c r="DM44" s="272">
        <v>1121</v>
      </c>
      <c r="DN44" s="272">
        <v>0</v>
      </c>
      <c r="DO44" s="272">
        <v>0</v>
      </c>
      <c r="DP44" s="272">
        <v>0</v>
      </c>
      <c r="DQ44" s="272">
        <v>6000</v>
      </c>
      <c r="DR44" s="272">
        <v>0</v>
      </c>
      <c r="DS44" s="272">
        <v>0</v>
      </c>
      <c r="DT44" s="272">
        <v>195668</v>
      </c>
      <c r="DU44" s="272">
        <v>1780</v>
      </c>
      <c r="DV44" s="455">
        <f t="shared" si="11"/>
        <v>0</v>
      </c>
      <c r="DW44" s="272">
        <v>0</v>
      </c>
      <c r="DX44" s="272">
        <v>0</v>
      </c>
      <c r="DY44" s="457" t="s">
        <v>646</v>
      </c>
      <c r="DZ44" s="272">
        <v>101296</v>
      </c>
      <c r="EA44" s="272">
        <v>85694</v>
      </c>
      <c r="EB44" s="272"/>
      <c r="EC44" s="272">
        <v>54643</v>
      </c>
      <c r="ED44" s="272">
        <v>5561015</v>
      </c>
      <c r="EF44" s="272">
        <v>42855</v>
      </c>
      <c r="EG44" s="272">
        <v>0</v>
      </c>
      <c r="EH44" s="272">
        <v>42855</v>
      </c>
      <c r="EI44" s="272">
        <v>141044</v>
      </c>
      <c r="EJ44" s="272">
        <v>116530</v>
      </c>
      <c r="EL44" s="272">
        <v>21560</v>
      </c>
      <c r="EM44" s="272">
        <v>21844</v>
      </c>
      <c r="EN44" s="272">
        <v>138966</v>
      </c>
      <c r="EO44" s="272">
        <v>31951</v>
      </c>
      <c r="EP44" s="455">
        <f t="shared" si="12"/>
        <v>198332</v>
      </c>
      <c r="EQ44" s="272">
        <v>3892741</v>
      </c>
      <c r="ER44" s="272">
        <v>-365501</v>
      </c>
      <c r="ES44" s="272">
        <v>1487048</v>
      </c>
      <c r="ET44" s="272">
        <v>1049380</v>
      </c>
      <c r="EU44" s="272">
        <v>104103</v>
      </c>
      <c r="EV44" s="272">
        <v>659032</v>
      </c>
      <c r="EW44" s="455">
        <f t="shared" si="13"/>
        <v>453899</v>
      </c>
      <c r="EX44" s="272">
        <v>374169</v>
      </c>
      <c r="EY44" s="272">
        <v>7259</v>
      </c>
      <c r="EZ44" s="272">
        <v>364789</v>
      </c>
      <c r="FA44" s="272">
        <v>79730</v>
      </c>
      <c r="FB44" s="272"/>
      <c r="FC44" s="272">
        <v>809395</v>
      </c>
      <c r="FD44" s="272">
        <v>126145</v>
      </c>
      <c r="FE44" s="272">
        <v>1782</v>
      </c>
      <c r="FF44" s="272">
        <v>168082</v>
      </c>
      <c r="FG44" s="455">
        <f t="shared" si="14"/>
        <v>407683</v>
      </c>
      <c r="FH44" s="272">
        <v>4215387</v>
      </c>
      <c r="FI44" s="384">
        <f t="shared" si="15"/>
        <v>1.2</v>
      </c>
      <c r="FJ44" s="272">
        <v>3587172</v>
      </c>
      <c r="FK44" s="272"/>
      <c r="FL44" s="272">
        <v>2309043</v>
      </c>
      <c r="FM44" s="272">
        <v>2835000</v>
      </c>
      <c r="FN44" s="460">
        <v>0.84399999999999997</v>
      </c>
      <c r="FO44" s="388">
        <v>82.5</v>
      </c>
      <c r="FP44" s="388">
        <v>36.9</v>
      </c>
      <c r="FQ44" s="388">
        <v>2.7</v>
      </c>
      <c r="FR44" s="388">
        <v>16.7</v>
      </c>
      <c r="FS44" s="388">
        <v>19.100000000000001</v>
      </c>
      <c r="FT44" s="388">
        <v>2.7</v>
      </c>
      <c r="FU44" s="388">
        <v>2.5</v>
      </c>
      <c r="FV44" s="388">
        <v>14.6</v>
      </c>
      <c r="FW44" s="272">
        <v>6077460</v>
      </c>
      <c r="FX44" s="384">
        <f t="shared" si="16"/>
        <v>169.4</v>
      </c>
      <c r="FY44" s="272">
        <v>1383306</v>
      </c>
      <c r="FZ44" s="272">
        <v>250343</v>
      </c>
      <c r="GA44" s="272">
        <v>182041</v>
      </c>
      <c r="GB44" s="272">
        <v>950922</v>
      </c>
      <c r="GC44" s="272"/>
      <c r="GD44" s="272"/>
      <c r="GE44" s="384"/>
      <c r="GF44" s="388">
        <v>98.3</v>
      </c>
      <c r="GG44" s="388">
        <v>35.9</v>
      </c>
      <c r="GH44" s="388">
        <v>96.2</v>
      </c>
      <c r="GI44" s="272">
        <v>217</v>
      </c>
    </row>
    <row r="45" spans="2:191" x14ac:dyDescent="0.15">
      <c r="B45" s="89" t="s">
        <v>83</v>
      </c>
      <c r="C45" s="272">
        <v>991382</v>
      </c>
      <c r="D45" s="455">
        <f t="shared" si="0"/>
        <v>581382</v>
      </c>
      <c r="E45" s="272">
        <v>4987</v>
      </c>
      <c r="F45" s="272">
        <v>576395</v>
      </c>
      <c r="G45" s="455">
        <f t="shared" si="1"/>
        <v>25947</v>
      </c>
      <c r="H45" s="272">
        <v>6003</v>
      </c>
      <c r="I45" s="272">
        <v>19944</v>
      </c>
      <c r="J45" s="272">
        <v>294986</v>
      </c>
      <c r="K45" s="272">
        <v>135445</v>
      </c>
      <c r="L45" s="272">
        <v>118436</v>
      </c>
      <c r="M45" s="272">
        <v>41105</v>
      </c>
      <c r="N45" s="272">
        <v>30464</v>
      </c>
      <c r="O45" s="272">
        <v>0</v>
      </c>
      <c r="P45" s="272">
        <v>0</v>
      </c>
      <c r="Q45" s="272">
        <v>0</v>
      </c>
      <c r="R45" s="272">
        <v>46828</v>
      </c>
      <c r="S45" s="272">
        <v>26218</v>
      </c>
      <c r="T45" s="455">
        <f t="shared" si="2"/>
        <v>115502</v>
      </c>
      <c r="U45" s="272">
        <v>74561</v>
      </c>
      <c r="V45" s="272"/>
      <c r="W45" s="272"/>
      <c r="X45" s="272"/>
      <c r="Y45" s="272">
        <v>0</v>
      </c>
      <c r="Z45" s="272"/>
      <c r="AA45" s="272">
        <v>40941</v>
      </c>
      <c r="AB45" s="272"/>
      <c r="AC45" s="272">
        <v>1142004</v>
      </c>
      <c r="AD45" s="272">
        <v>999880</v>
      </c>
      <c r="AE45" s="272">
        <v>142124</v>
      </c>
      <c r="AF45" s="272">
        <v>1829</v>
      </c>
      <c r="AG45" s="272">
        <v>33041</v>
      </c>
      <c r="AH45" s="455">
        <f t="shared" si="3"/>
        <v>22859</v>
      </c>
      <c r="AI45" s="272">
        <v>4554</v>
      </c>
      <c r="AJ45" s="272">
        <v>18305</v>
      </c>
      <c r="AK45" s="272">
        <v>136094</v>
      </c>
      <c r="AL45" s="455">
        <f t="shared" si="4"/>
        <v>22712</v>
      </c>
      <c r="AM45" s="272">
        <v>0</v>
      </c>
      <c r="AN45" s="272">
        <v>22712</v>
      </c>
      <c r="AO45" s="272">
        <v>0</v>
      </c>
      <c r="AP45" s="272">
        <v>0</v>
      </c>
      <c r="AQ45" s="272">
        <v>81301</v>
      </c>
      <c r="AR45" s="272">
        <v>0</v>
      </c>
      <c r="AS45" s="272">
        <v>0</v>
      </c>
      <c r="AT45" s="272">
        <v>338673</v>
      </c>
      <c r="AU45" s="272">
        <v>83186</v>
      </c>
      <c r="AV45" s="272">
        <v>11356</v>
      </c>
      <c r="AW45" s="272">
        <v>51404</v>
      </c>
      <c r="AX45" s="272">
        <v>255487</v>
      </c>
      <c r="AY45" s="272">
        <v>190318</v>
      </c>
      <c r="AZ45" s="272">
        <v>105783</v>
      </c>
      <c r="BA45" s="272">
        <v>0</v>
      </c>
      <c r="BB45" s="272">
        <v>27532</v>
      </c>
      <c r="BC45" s="272">
        <v>159241</v>
      </c>
      <c r="BD45" s="272">
        <v>0</v>
      </c>
      <c r="BE45" s="272">
        <v>0</v>
      </c>
      <c r="BF45" s="272">
        <v>159000</v>
      </c>
      <c r="BG45" s="272">
        <v>0</v>
      </c>
      <c r="BH45" s="272">
        <v>87806</v>
      </c>
      <c r="BI45" s="272">
        <v>87806</v>
      </c>
      <c r="BJ45" s="272">
        <v>29222</v>
      </c>
      <c r="BK45" s="272">
        <v>0</v>
      </c>
      <c r="BL45" s="272">
        <v>0</v>
      </c>
      <c r="BM45" s="272">
        <v>0</v>
      </c>
      <c r="BN45" s="272">
        <v>900000</v>
      </c>
      <c r="BO45" s="455">
        <f t="shared" si="5"/>
        <v>900000</v>
      </c>
      <c r="BP45" s="455">
        <f t="shared" si="6"/>
        <v>0</v>
      </c>
      <c r="BQ45" s="272"/>
      <c r="BR45" s="272"/>
      <c r="BS45" s="272"/>
      <c r="BT45" s="272">
        <v>0</v>
      </c>
      <c r="BU45" s="272">
        <v>4137796</v>
      </c>
      <c r="BV45" s="272"/>
      <c r="BW45" s="272">
        <v>719264</v>
      </c>
      <c r="BX45" s="272">
        <v>483477</v>
      </c>
      <c r="BY45" s="272">
        <v>29522</v>
      </c>
      <c r="BZ45" s="272">
        <v>12646</v>
      </c>
      <c r="CA45" s="272">
        <v>162448</v>
      </c>
      <c r="CB45" s="272">
        <v>14828</v>
      </c>
      <c r="CC45" s="272">
        <v>31668</v>
      </c>
      <c r="CD45" s="272">
        <v>112414</v>
      </c>
      <c r="CE45" s="272">
        <v>0</v>
      </c>
      <c r="CF45" s="272">
        <v>0</v>
      </c>
      <c r="CG45" s="272">
        <v>3538</v>
      </c>
      <c r="CH45" s="272">
        <v>251436</v>
      </c>
      <c r="CI45" s="272">
        <v>116206</v>
      </c>
      <c r="CJ45" s="455">
        <f t="shared" si="7"/>
        <v>135230</v>
      </c>
      <c r="CK45" s="272">
        <v>382290</v>
      </c>
      <c r="CL45" s="272">
        <v>158695</v>
      </c>
      <c r="CM45" s="272">
        <v>22950</v>
      </c>
      <c r="CN45" s="272">
        <v>112578</v>
      </c>
      <c r="CO45" s="272">
        <v>22104</v>
      </c>
      <c r="CP45" s="272">
        <v>299076</v>
      </c>
      <c r="CQ45" s="272">
        <v>84976</v>
      </c>
      <c r="CR45" s="272">
        <v>79778</v>
      </c>
      <c r="CS45" s="272">
        <v>77030</v>
      </c>
      <c r="CT45" s="455">
        <f t="shared" si="8"/>
        <v>19039</v>
      </c>
      <c r="CU45" s="272">
        <v>3444</v>
      </c>
      <c r="CV45" s="272">
        <v>15595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1723283</v>
      </c>
      <c r="DD45" s="272">
        <v>237969</v>
      </c>
      <c r="DE45" s="272">
        <v>1340610</v>
      </c>
      <c r="DF45" s="272">
        <v>144704</v>
      </c>
      <c r="DG45" s="272">
        <v>0</v>
      </c>
      <c r="DH45" s="272">
        <v>0</v>
      </c>
      <c r="DI45" s="272">
        <v>339699</v>
      </c>
      <c r="DJ45" s="272">
        <v>67615</v>
      </c>
      <c r="DK45" s="272">
        <v>23237</v>
      </c>
      <c r="DL45" s="272">
        <v>248847</v>
      </c>
      <c r="DM45" s="272">
        <v>0</v>
      </c>
      <c r="DN45" s="272">
        <v>0</v>
      </c>
      <c r="DO45" s="272">
        <v>0</v>
      </c>
      <c r="DP45" s="272">
        <v>0</v>
      </c>
      <c r="DQ45" s="272">
        <v>0</v>
      </c>
      <c r="DR45" s="272">
        <v>0</v>
      </c>
      <c r="DS45" s="272">
        <v>0</v>
      </c>
      <c r="DT45" s="272">
        <v>142504</v>
      </c>
      <c r="DU45" s="272">
        <v>59232</v>
      </c>
      <c r="DV45" s="455">
        <f t="shared" si="11"/>
        <v>0</v>
      </c>
      <c r="DW45" s="272">
        <v>0</v>
      </c>
      <c r="DX45" s="272">
        <v>0</v>
      </c>
      <c r="DY45" s="457" t="s">
        <v>646</v>
      </c>
      <c r="DZ45" s="272">
        <v>40851</v>
      </c>
      <c r="EA45" s="272">
        <v>25606</v>
      </c>
      <c r="EB45" s="272"/>
      <c r="EC45" s="272">
        <v>0</v>
      </c>
      <c r="ED45" s="272">
        <v>4042104</v>
      </c>
      <c r="EF45" s="272">
        <v>95692</v>
      </c>
      <c r="EG45" s="272">
        <v>0</v>
      </c>
      <c r="EH45" s="272">
        <v>95692</v>
      </c>
      <c r="EI45" s="272">
        <v>7886</v>
      </c>
      <c r="EJ45" s="272">
        <v>75501</v>
      </c>
      <c r="EL45" s="272">
        <v>10802</v>
      </c>
      <c r="EM45" s="272">
        <v>10911</v>
      </c>
      <c r="EN45" s="272">
        <v>241</v>
      </c>
      <c r="EO45" s="272">
        <v>0</v>
      </c>
      <c r="EP45" s="455">
        <f t="shared" si="12"/>
        <v>127781</v>
      </c>
      <c r="EQ45" s="272">
        <v>2297545</v>
      </c>
      <c r="ER45" s="272">
        <v>-126193</v>
      </c>
      <c r="ES45" s="272">
        <v>659887</v>
      </c>
      <c r="ET45" s="272">
        <v>449100</v>
      </c>
      <c r="EU45" s="272">
        <v>52347</v>
      </c>
      <c r="EV45" s="272">
        <v>251436</v>
      </c>
      <c r="EW45" s="455">
        <f t="shared" si="13"/>
        <v>354360</v>
      </c>
      <c r="EX45" s="272">
        <v>354360</v>
      </c>
      <c r="EY45" s="272">
        <v>25264</v>
      </c>
      <c r="EZ45" s="272">
        <v>284392</v>
      </c>
      <c r="FA45" s="272">
        <v>0</v>
      </c>
      <c r="FB45" s="272"/>
      <c r="FC45" s="272">
        <v>325072</v>
      </c>
      <c r="FD45" s="272">
        <v>287736</v>
      </c>
      <c r="FE45" s="272">
        <v>84976</v>
      </c>
      <c r="FF45" s="272">
        <v>122745</v>
      </c>
      <c r="FG45" s="455">
        <f t="shared" si="14"/>
        <v>274463</v>
      </c>
      <c r="FH45" s="272">
        <v>2328046</v>
      </c>
      <c r="FI45" s="384">
        <f t="shared" si="15"/>
        <v>4.7</v>
      </c>
      <c r="FJ45" s="272">
        <v>2041399</v>
      </c>
      <c r="FK45" s="272"/>
      <c r="FL45" s="272">
        <v>786567</v>
      </c>
      <c r="FM45" s="272">
        <v>1786136</v>
      </c>
      <c r="FN45" s="460">
        <v>0.434</v>
      </c>
      <c r="FO45" s="388">
        <v>69.599999999999994</v>
      </c>
      <c r="FP45" s="388">
        <v>30.3</v>
      </c>
      <c r="FQ45" s="388">
        <v>2.4</v>
      </c>
      <c r="FR45" s="388">
        <v>11.6</v>
      </c>
      <c r="FS45" s="388">
        <v>12.7</v>
      </c>
      <c r="FT45" s="388">
        <v>10.199999999999999</v>
      </c>
      <c r="FU45" s="388">
        <v>1.3</v>
      </c>
      <c r="FV45" s="388">
        <v>11.4</v>
      </c>
      <c r="FW45" s="272">
        <v>3116268</v>
      </c>
      <c r="FX45" s="384">
        <f t="shared" si="16"/>
        <v>152.69999999999999</v>
      </c>
      <c r="FY45" s="272">
        <v>1453443</v>
      </c>
      <c r="FZ45" s="272">
        <v>398929</v>
      </c>
      <c r="GA45" s="272">
        <v>73237</v>
      </c>
      <c r="GB45" s="272">
        <v>981277</v>
      </c>
      <c r="GC45" s="272"/>
      <c r="GD45" s="272">
        <v>585080</v>
      </c>
      <c r="GE45" s="384">
        <f>ROUND(GD45/FJ45*100,1)</f>
        <v>28.7</v>
      </c>
      <c r="GF45" s="388">
        <v>98.9</v>
      </c>
      <c r="GG45" s="388">
        <v>20.100000000000001</v>
      </c>
      <c r="GH45" s="388">
        <v>96.6</v>
      </c>
      <c r="GI45" s="272">
        <v>98</v>
      </c>
    </row>
    <row r="46" spans="2:191" x14ac:dyDescent="0.15">
      <c r="B46" s="89" t="s">
        <v>85</v>
      </c>
      <c r="C46" s="272">
        <v>1443427</v>
      </c>
      <c r="D46" s="455">
        <f t="shared" si="0"/>
        <v>829393</v>
      </c>
      <c r="E46" s="272">
        <v>6507</v>
      </c>
      <c r="F46" s="272">
        <v>822886</v>
      </c>
      <c r="G46" s="455">
        <f t="shared" si="1"/>
        <v>55138</v>
      </c>
      <c r="H46" s="272">
        <v>9515</v>
      </c>
      <c r="I46" s="272">
        <v>45623</v>
      </c>
      <c r="J46" s="272">
        <v>471485</v>
      </c>
      <c r="K46" s="272">
        <v>214657</v>
      </c>
      <c r="L46" s="272">
        <v>189551</v>
      </c>
      <c r="M46" s="272">
        <v>67277</v>
      </c>
      <c r="N46" s="272">
        <v>50540</v>
      </c>
      <c r="O46" s="272">
        <v>245</v>
      </c>
      <c r="P46" s="272">
        <v>180</v>
      </c>
      <c r="Q46" s="272">
        <v>65</v>
      </c>
      <c r="R46" s="272">
        <v>75357</v>
      </c>
      <c r="S46" s="272">
        <v>39221</v>
      </c>
      <c r="T46" s="455">
        <f t="shared" si="2"/>
        <v>216522</v>
      </c>
      <c r="U46" s="272">
        <v>110347</v>
      </c>
      <c r="V46" s="272"/>
      <c r="W46" s="272"/>
      <c r="X46" s="272"/>
      <c r="Y46" s="272">
        <v>34578</v>
      </c>
      <c r="Z46" s="272"/>
      <c r="AA46" s="272">
        <v>71597</v>
      </c>
      <c r="AB46" s="272"/>
      <c r="AC46" s="272">
        <v>1146943</v>
      </c>
      <c r="AD46" s="272">
        <v>1005937</v>
      </c>
      <c r="AE46" s="272">
        <v>141006</v>
      </c>
      <c r="AF46" s="272">
        <v>2324</v>
      </c>
      <c r="AG46" s="272">
        <v>24059</v>
      </c>
      <c r="AH46" s="455">
        <f t="shared" si="3"/>
        <v>34159</v>
      </c>
      <c r="AI46" s="272">
        <v>30312</v>
      </c>
      <c r="AJ46" s="272">
        <v>3847</v>
      </c>
      <c r="AK46" s="272">
        <v>139246</v>
      </c>
      <c r="AL46" s="455">
        <f t="shared" si="4"/>
        <v>4172</v>
      </c>
      <c r="AM46" s="272">
        <v>0</v>
      </c>
      <c r="AN46" s="272">
        <v>4172</v>
      </c>
      <c r="AO46" s="272">
        <v>0</v>
      </c>
      <c r="AP46" s="272">
        <v>0</v>
      </c>
      <c r="AQ46" s="272">
        <v>99986</v>
      </c>
      <c r="AR46" s="272">
        <v>0</v>
      </c>
      <c r="AS46" s="272">
        <v>0</v>
      </c>
      <c r="AT46" s="272">
        <v>463936</v>
      </c>
      <c r="AU46" s="272">
        <v>151217</v>
      </c>
      <c r="AV46" s="272">
        <v>2086</v>
      </c>
      <c r="AW46" s="272">
        <v>113450</v>
      </c>
      <c r="AX46" s="272">
        <v>312719</v>
      </c>
      <c r="AY46" s="272">
        <v>130873</v>
      </c>
      <c r="AZ46" s="272">
        <v>346756</v>
      </c>
      <c r="BA46" s="272">
        <v>0</v>
      </c>
      <c r="BB46" s="272">
        <v>8225</v>
      </c>
      <c r="BC46" s="272">
        <v>229514</v>
      </c>
      <c r="BD46" s="272">
        <v>204791</v>
      </c>
      <c r="BE46" s="272">
        <v>0</v>
      </c>
      <c r="BF46" s="272">
        <v>24723</v>
      </c>
      <c r="BG46" s="272">
        <v>0</v>
      </c>
      <c r="BH46" s="272">
        <v>176283</v>
      </c>
      <c r="BI46" s="272">
        <v>48813</v>
      </c>
      <c r="BJ46" s="272">
        <v>63237</v>
      </c>
      <c r="BK46" s="272">
        <v>288</v>
      </c>
      <c r="BL46" s="272">
        <v>0</v>
      </c>
      <c r="BM46" s="272">
        <v>0</v>
      </c>
      <c r="BN46" s="272">
        <v>411500</v>
      </c>
      <c r="BO46" s="455">
        <f t="shared" si="5"/>
        <v>411500</v>
      </c>
      <c r="BP46" s="455">
        <f t="shared" si="6"/>
        <v>0</v>
      </c>
      <c r="BQ46" s="272"/>
      <c r="BR46" s="272"/>
      <c r="BS46" s="272"/>
      <c r="BT46" s="272">
        <v>0</v>
      </c>
      <c r="BU46" s="272">
        <v>4781488</v>
      </c>
      <c r="BV46" s="272"/>
      <c r="BW46" s="272">
        <v>972504</v>
      </c>
      <c r="BX46" s="272">
        <v>703231</v>
      </c>
      <c r="BY46" s="272">
        <v>2242</v>
      </c>
      <c r="BZ46" s="272">
        <v>25411</v>
      </c>
      <c r="CA46" s="272">
        <v>86952</v>
      </c>
      <c r="CB46" s="272">
        <v>19601</v>
      </c>
      <c r="CC46" s="272">
        <v>40512</v>
      </c>
      <c r="CD46" s="272">
        <v>25852</v>
      </c>
      <c r="CE46" s="272">
        <v>0</v>
      </c>
      <c r="CF46" s="272">
        <v>0</v>
      </c>
      <c r="CG46" s="272">
        <v>987</v>
      </c>
      <c r="CH46" s="272">
        <v>287771</v>
      </c>
      <c r="CI46" s="272">
        <v>167340</v>
      </c>
      <c r="CJ46" s="455">
        <f t="shared" si="7"/>
        <v>120431</v>
      </c>
      <c r="CK46" s="272">
        <v>416871</v>
      </c>
      <c r="CL46" s="272">
        <v>164891</v>
      </c>
      <c r="CM46" s="272">
        <v>17363</v>
      </c>
      <c r="CN46" s="272">
        <v>139643</v>
      </c>
      <c r="CO46" s="272">
        <v>7364</v>
      </c>
      <c r="CP46" s="272">
        <v>414959</v>
      </c>
      <c r="CQ46" s="272">
        <v>103477</v>
      </c>
      <c r="CR46" s="272">
        <v>199300</v>
      </c>
      <c r="CS46" s="272">
        <v>199300</v>
      </c>
      <c r="CT46" s="455">
        <f t="shared" si="8"/>
        <v>21018</v>
      </c>
      <c r="CU46" s="272">
        <v>8749</v>
      </c>
      <c r="CV46" s="272">
        <v>12269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1382167</v>
      </c>
      <c r="DD46" s="272">
        <v>478668</v>
      </c>
      <c r="DE46" s="272">
        <v>886679</v>
      </c>
      <c r="DF46" s="272">
        <v>16820</v>
      </c>
      <c r="DG46" s="272">
        <v>0</v>
      </c>
      <c r="DH46" s="272">
        <v>6006</v>
      </c>
      <c r="DI46" s="272">
        <v>901198</v>
      </c>
      <c r="DJ46" s="272">
        <v>86859</v>
      </c>
      <c r="DK46" s="272">
        <v>10683</v>
      </c>
      <c r="DL46" s="272">
        <v>803656</v>
      </c>
      <c r="DM46" s="272">
        <v>15372</v>
      </c>
      <c r="DN46" s="272">
        <v>5372</v>
      </c>
      <c r="DO46" s="272">
        <v>5372</v>
      </c>
      <c r="DP46" s="272">
        <v>0</v>
      </c>
      <c r="DQ46" s="272">
        <v>0</v>
      </c>
      <c r="DR46" s="272">
        <v>0</v>
      </c>
      <c r="DS46" s="272">
        <v>0</v>
      </c>
      <c r="DT46" s="272">
        <v>229354</v>
      </c>
      <c r="DU46" s="272">
        <v>63339</v>
      </c>
      <c r="DV46" s="455">
        <f t="shared" si="11"/>
        <v>0</v>
      </c>
      <c r="DW46" s="272">
        <v>0</v>
      </c>
      <c r="DX46" s="272">
        <v>0</v>
      </c>
      <c r="DY46" s="457" t="s">
        <v>646</v>
      </c>
      <c r="DZ46" s="272">
        <v>43065</v>
      </c>
      <c r="EA46" s="272">
        <v>41853</v>
      </c>
      <c r="EB46" s="272"/>
      <c r="EC46" s="272">
        <v>0</v>
      </c>
      <c r="ED46" s="272">
        <v>4720518</v>
      </c>
      <c r="EF46" s="272">
        <v>60970</v>
      </c>
      <c r="EG46" s="272">
        <v>0</v>
      </c>
      <c r="EH46" s="272">
        <v>60970</v>
      </c>
      <c r="EI46" s="272">
        <v>-31843</v>
      </c>
      <c r="EJ46" s="272">
        <v>-149775</v>
      </c>
      <c r="EL46" s="272">
        <v>14588</v>
      </c>
      <c r="EM46" s="272">
        <v>13984</v>
      </c>
      <c r="EN46" s="272">
        <v>204791</v>
      </c>
      <c r="EO46" s="272">
        <v>92</v>
      </c>
      <c r="EP46" s="455">
        <f t="shared" si="12"/>
        <v>109772</v>
      </c>
      <c r="EQ46" s="272">
        <v>2884573</v>
      </c>
      <c r="ER46" s="272">
        <v>-312331</v>
      </c>
      <c r="ES46" s="272">
        <v>904946</v>
      </c>
      <c r="ET46" s="272">
        <v>644119</v>
      </c>
      <c r="EU46" s="272">
        <v>28391</v>
      </c>
      <c r="EV46" s="272">
        <v>287514</v>
      </c>
      <c r="EW46" s="455">
        <f t="shared" si="13"/>
        <v>476481</v>
      </c>
      <c r="EX46" s="272">
        <v>475040</v>
      </c>
      <c r="EY46" s="272">
        <v>74799</v>
      </c>
      <c r="EZ46" s="272">
        <v>392621</v>
      </c>
      <c r="FA46" s="272">
        <v>1441</v>
      </c>
      <c r="FB46" s="272"/>
      <c r="FC46" s="272">
        <v>373164</v>
      </c>
      <c r="FD46" s="272">
        <v>288118</v>
      </c>
      <c r="FE46" s="272">
        <v>103477</v>
      </c>
      <c r="FF46" s="272">
        <v>148812</v>
      </c>
      <c r="FG46" s="455">
        <f t="shared" si="14"/>
        <v>628508</v>
      </c>
      <c r="FH46" s="272">
        <v>3135934</v>
      </c>
      <c r="FI46" s="384">
        <f t="shared" si="15"/>
        <v>2.4</v>
      </c>
      <c r="FJ46" s="272">
        <v>2581871</v>
      </c>
      <c r="FK46" s="272"/>
      <c r="FL46" s="272">
        <v>1191105</v>
      </c>
      <c r="FM46" s="272">
        <v>2197126</v>
      </c>
      <c r="FN46" s="460">
        <v>0.54600000000000004</v>
      </c>
      <c r="FO46" s="388">
        <v>63.4</v>
      </c>
      <c r="FP46" s="388">
        <v>32.200000000000003</v>
      </c>
      <c r="FQ46" s="388">
        <v>1</v>
      </c>
      <c r="FR46" s="388">
        <v>10.3</v>
      </c>
      <c r="FS46" s="388">
        <v>11.2</v>
      </c>
      <c r="FT46" s="388">
        <v>6.8</v>
      </c>
      <c r="FU46" s="388">
        <v>1.6</v>
      </c>
      <c r="FV46" s="388">
        <v>9.8000000000000007</v>
      </c>
      <c r="FW46" s="272">
        <v>2235779</v>
      </c>
      <c r="FX46" s="384">
        <f t="shared" si="16"/>
        <v>86.6</v>
      </c>
      <c r="FY46" s="272">
        <v>4267293</v>
      </c>
      <c r="FZ46" s="272">
        <v>959290</v>
      </c>
      <c r="GA46" s="272">
        <v>157683</v>
      </c>
      <c r="GB46" s="272">
        <v>3150320</v>
      </c>
      <c r="GC46" s="272"/>
      <c r="GD46" s="272">
        <v>94779</v>
      </c>
      <c r="GE46" s="384">
        <f>ROUND(GD46/FJ46*100,1)</f>
        <v>3.7</v>
      </c>
      <c r="GF46" s="388">
        <v>98.6</v>
      </c>
      <c r="GG46" s="388">
        <v>45</v>
      </c>
      <c r="GH46" s="388">
        <v>97</v>
      </c>
      <c r="GI46" s="272">
        <v>145</v>
      </c>
    </row>
    <row r="47" spans="2:191" x14ac:dyDescent="0.15">
      <c r="B47" s="89" t="s">
        <v>87</v>
      </c>
      <c r="C47" s="272">
        <v>707473</v>
      </c>
      <c r="D47" s="455">
        <f t="shared" si="0"/>
        <v>421400</v>
      </c>
      <c r="E47" s="272">
        <v>3626</v>
      </c>
      <c r="F47" s="272">
        <v>417774</v>
      </c>
      <c r="G47" s="455">
        <f t="shared" si="1"/>
        <v>29360</v>
      </c>
      <c r="H47" s="272">
        <v>4180</v>
      </c>
      <c r="I47" s="272">
        <v>25180</v>
      </c>
      <c r="J47" s="272">
        <v>219413</v>
      </c>
      <c r="K47" s="272">
        <v>71547</v>
      </c>
      <c r="L47" s="272">
        <v>95680</v>
      </c>
      <c r="M47" s="272">
        <v>52139</v>
      </c>
      <c r="N47" s="272">
        <v>18525</v>
      </c>
      <c r="O47" s="272">
        <v>0</v>
      </c>
      <c r="P47" s="272">
        <v>0</v>
      </c>
      <c r="Q47" s="272">
        <v>0</v>
      </c>
      <c r="R47" s="272">
        <v>37549</v>
      </c>
      <c r="S47" s="272">
        <v>19385</v>
      </c>
      <c r="T47" s="455">
        <f t="shared" si="2"/>
        <v>124608</v>
      </c>
      <c r="U47" s="272">
        <v>53185</v>
      </c>
      <c r="V47" s="272"/>
      <c r="W47" s="272"/>
      <c r="X47" s="272"/>
      <c r="Y47" s="272">
        <v>35414</v>
      </c>
      <c r="Z47" s="272"/>
      <c r="AA47" s="272">
        <v>36009</v>
      </c>
      <c r="AB47" s="272"/>
      <c r="AC47" s="272">
        <v>1007761</v>
      </c>
      <c r="AD47" s="272">
        <v>866494</v>
      </c>
      <c r="AE47" s="272">
        <v>141267</v>
      </c>
      <c r="AF47" s="272">
        <v>1047</v>
      </c>
      <c r="AG47" s="272">
        <v>18712</v>
      </c>
      <c r="AH47" s="455">
        <f t="shared" si="3"/>
        <v>20970</v>
      </c>
      <c r="AI47" s="272">
        <v>17920</v>
      </c>
      <c r="AJ47" s="272">
        <v>3050</v>
      </c>
      <c r="AK47" s="272">
        <v>32522</v>
      </c>
      <c r="AL47" s="455">
        <f t="shared" si="4"/>
        <v>11641</v>
      </c>
      <c r="AM47" s="272">
        <v>0</v>
      </c>
      <c r="AN47" s="272">
        <v>11641</v>
      </c>
      <c r="AO47" s="272">
        <v>0</v>
      </c>
      <c r="AP47" s="272">
        <v>0</v>
      </c>
      <c r="AQ47" s="272">
        <v>0</v>
      </c>
      <c r="AR47" s="272">
        <v>0</v>
      </c>
      <c r="AS47" s="272">
        <v>0</v>
      </c>
      <c r="AT47" s="272">
        <v>199088</v>
      </c>
      <c r="AU47" s="272">
        <v>56962</v>
      </c>
      <c r="AV47" s="272">
        <v>5820</v>
      </c>
      <c r="AW47" s="272">
        <v>32188</v>
      </c>
      <c r="AX47" s="272">
        <v>142126</v>
      </c>
      <c r="AY47" s="272">
        <v>91071</v>
      </c>
      <c r="AZ47" s="272">
        <v>76356</v>
      </c>
      <c r="BA47" s="272">
        <v>0</v>
      </c>
      <c r="BB47" s="272">
        <v>11418</v>
      </c>
      <c r="BC47" s="272">
        <v>169215</v>
      </c>
      <c r="BD47" s="272">
        <v>0</v>
      </c>
      <c r="BE47" s="272">
        <v>0</v>
      </c>
      <c r="BF47" s="272">
        <v>169215</v>
      </c>
      <c r="BG47" s="272">
        <v>0</v>
      </c>
      <c r="BH47" s="272">
        <v>18325</v>
      </c>
      <c r="BI47" s="272">
        <v>18325</v>
      </c>
      <c r="BJ47" s="272">
        <v>44985</v>
      </c>
      <c r="BK47" s="272">
        <v>284</v>
      </c>
      <c r="BL47" s="272">
        <v>0</v>
      </c>
      <c r="BM47" s="272">
        <v>0</v>
      </c>
      <c r="BN47" s="272">
        <v>464100</v>
      </c>
      <c r="BO47" s="455">
        <f t="shared" si="5"/>
        <v>464100</v>
      </c>
      <c r="BP47" s="455">
        <f t="shared" si="6"/>
        <v>0</v>
      </c>
      <c r="BQ47" s="272"/>
      <c r="BR47" s="272"/>
      <c r="BS47" s="272"/>
      <c r="BT47" s="272">
        <v>0</v>
      </c>
      <c r="BU47" s="272">
        <v>2934129</v>
      </c>
      <c r="BV47" s="272"/>
      <c r="BW47" s="272">
        <v>672592</v>
      </c>
      <c r="BX47" s="272">
        <v>464461</v>
      </c>
      <c r="BY47" s="272">
        <v>11270</v>
      </c>
      <c r="BZ47" s="272">
        <v>18436</v>
      </c>
      <c r="CA47" s="272">
        <v>76700</v>
      </c>
      <c r="CB47" s="272">
        <v>9905</v>
      </c>
      <c r="CC47" s="272">
        <v>20513</v>
      </c>
      <c r="CD47" s="272">
        <v>45583</v>
      </c>
      <c r="CE47" s="272">
        <v>0</v>
      </c>
      <c r="CF47" s="272">
        <v>0</v>
      </c>
      <c r="CG47" s="272">
        <v>699</v>
      </c>
      <c r="CH47" s="272">
        <v>168919</v>
      </c>
      <c r="CI47" s="272">
        <v>98099</v>
      </c>
      <c r="CJ47" s="455">
        <f t="shared" si="7"/>
        <v>70820</v>
      </c>
      <c r="CK47" s="272">
        <v>289123</v>
      </c>
      <c r="CL47" s="272">
        <v>90316</v>
      </c>
      <c r="CM47" s="272">
        <v>15514</v>
      </c>
      <c r="CN47" s="272">
        <v>103443</v>
      </c>
      <c r="CO47" s="272">
        <v>9837</v>
      </c>
      <c r="CP47" s="272">
        <v>241084</v>
      </c>
      <c r="CQ47" s="272">
        <v>68740</v>
      </c>
      <c r="CR47" s="272">
        <v>55905</v>
      </c>
      <c r="CS47" s="272">
        <v>55905</v>
      </c>
      <c r="CT47" s="455">
        <f t="shared" si="8"/>
        <v>23008</v>
      </c>
      <c r="CU47" s="272">
        <v>4608</v>
      </c>
      <c r="CV47" s="272">
        <v>18400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825080</v>
      </c>
      <c r="DD47" s="272">
        <v>49490</v>
      </c>
      <c r="DE47" s="272">
        <v>735748</v>
      </c>
      <c r="DF47" s="272">
        <v>36512</v>
      </c>
      <c r="DG47" s="272">
        <v>0</v>
      </c>
      <c r="DH47" s="272">
        <v>0</v>
      </c>
      <c r="DI47" s="272">
        <v>520347</v>
      </c>
      <c r="DJ47" s="272">
        <v>33069</v>
      </c>
      <c r="DK47" s="272">
        <v>106028</v>
      </c>
      <c r="DL47" s="272">
        <v>381250</v>
      </c>
      <c r="DM47" s="272">
        <v>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98781</v>
      </c>
      <c r="DU47" s="272">
        <v>7069</v>
      </c>
      <c r="DV47" s="455">
        <f t="shared" si="11"/>
        <v>0</v>
      </c>
      <c r="DW47" s="272">
        <v>0</v>
      </c>
      <c r="DX47" s="272">
        <v>0</v>
      </c>
      <c r="DY47" s="457" t="s">
        <v>646</v>
      </c>
      <c r="DZ47" s="272">
        <v>33805</v>
      </c>
      <c r="EA47" s="272">
        <v>21984</v>
      </c>
      <c r="EB47" s="272"/>
      <c r="EC47" s="272">
        <v>0</v>
      </c>
      <c r="ED47" s="272">
        <v>2902463</v>
      </c>
      <c r="EF47" s="272">
        <v>31666</v>
      </c>
      <c r="EG47" s="272">
        <v>0</v>
      </c>
      <c r="EH47" s="272">
        <v>31666</v>
      </c>
      <c r="EI47" s="272">
        <v>13341</v>
      </c>
      <c r="EJ47" s="272">
        <v>46410</v>
      </c>
      <c r="EL47" s="272">
        <v>7617</v>
      </c>
      <c r="EM47" s="272">
        <v>7785</v>
      </c>
      <c r="EN47" s="272">
        <v>0</v>
      </c>
      <c r="EO47" s="272">
        <v>453</v>
      </c>
      <c r="EP47" s="455">
        <f t="shared" si="12"/>
        <v>47619</v>
      </c>
      <c r="EQ47" s="272">
        <v>1878438</v>
      </c>
      <c r="ER47" s="272">
        <v>-47025</v>
      </c>
      <c r="ES47" s="272">
        <v>625509</v>
      </c>
      <c r="ET47" s="272">
        <v>420625</v>
      </c>
      <c r="EU47" s="272">
        <v>20254</v>
      </c>
      <c r="EV47" s="272">
        <v>167010</v>
      </c>
      <c r="EW47" s="455">
        <f t="shared" si="13"/>
        <v>86444</v>
      </c>
      <c r="EX47" s="272">
        <v>86444</v>
      </c>
      <c r="EY47" s="272">
        <v>3202</v>
      </c>
      <c r="EZ47" s="272">
        <v>79400</v>
      </c>
      <c r="FA47" s="272">
        <v>0</v>
      </c>
      <c r="FB47" s="272"/>
      <c r="FC47" s="272">
        <v>232531</v>
      </c>
      <c r="FD47" s="272">
        <v>225458</v>
      </c>
      <c r="FE47" s="272">
        <v>68740</v>
      </c>
      <c r="FF47" s="272">
        <v>86255</v>
      </c>
      <c r="FG47" s="455">
        <f t="shared" si="14"/>
        <v>450336</v>
      </c>
      <c r="FH47" s="272">
        <v>1893797</v>
      </c>
      <c r="FI47" s="384">
        <f t="shared" si="15"/>
        <v>1.9</v>
      </c>
      <c r="FJ47" s="272">
        <v>1659210</v>
      </c>
      <c r="FK47" s="272"/>
      <c r="FL47" s="272">
        <v>599213</v>
      </c>
      <c r="FM47" s="272">
        <v>1465654</v>
      </c>
      <c r="FN47" s="460">
        <v>0.40699999999999997</v>
      </c>
      <c r="FO47" s="388">
        <v>68.900000000000006</v>
      </c>
      <c r="FP47" s="388">
        <v>35.4</v>
      </c>
      <c r="FQ47" s="388">
        <v>1.1000000000000001</v>
      </c>
      <c r="FR47" s="388">
        <v>9.5</v>
      </c>
      <c r="FS47" s="388">
        <v>10.4</v>
      </c>
      <c r="FT47" s="388">
        <v>10.199999999999999</v>
      </c>
      <c r="FU47" s="388">
        <v>1.7</v>
      </c>
      <c r="FV47" s="388">
        <v>9.1</v>
      </c>
      <c r="FW47" s="272">
        <v>1519175</v>
      </c>
      <c r="FX47" s="384">
        <f t="shared" si="16"/>
        <v>91.6</v>
      </c>
      <c r="FY47" s="272">
        <v>1322221</v>
      </c>
      <c r="FZ47" s="272">
        <v>371027</v>
      </c>
      <c r="GA47" s="272">
        <v>186028</v>
      </c>
      <c r="GB47" s="272">
        <v>765166</v>
      </c>
      <c r="GC47" s="272"/>
      <c r="GD47" s="272"/>
      <c r="GE47" s="384"/>
      <c r="GF47" s="388">
        <v>99.5</v>
      </c>
      <c r="GG47" s="388">
        <v>21</v>
      </c>
      <c r="GH47" s="388">
        <v>97.6</v>
      </c>
      <c r="GI47" s="272">
        <v>92</v>
      </c>
    </row>
    <row r="48" spans="2:191" x14ac:dyDescent="0.15">
      <c r="B48" s="89" t="s">
        <v>839</v>
      </c>
      <c r="C48" s="272">
        <v>5708020</v>
      </c>
      <c r="D48" s="455">
        <f t="shared" si="0"/>
        <v>2113140</v>
      </c>
      <c r="E48" s="272">
        <v>18064</v>
      </c>
      <c r="F48" s="272">
        <v>2095076</v>
      </c>
      <c r="G48" s="455">
        <f t="shared" si="1"/>
        <v>803010</v>
      </c>
      <c r="H48" s="272">
        <v>85933</v>
      </c>
      <c r="I48" s="272">
        <v>717077</v>
      </c>
      <c r="J48" s="272">
        <v>2318955</v>
      </c>
      <c r="K48" s="272">
        <v>1033417</v>
      </c>
      <c r="L48" s="272">
        <v>833382</v>
      </c>
      <c r="M48" s="272">
        <v>442259</v>
      </c>
      <c r="N48" s="272">
        <v>156942</v>
      </c>
      <c r="O48" s="272">
        <v>273984</v>
      </c>
      <c r="P48" s="272">
        <v>171045</v>
      </c>
      <c r="Q48" s="272">
        <v>102939</v>
      </c>
      <c r="R48" s="272">
        <v>238175</v>
      </c>
      <c r="S48" s="272">
        <v>170278</v>
      </c>
      <c r="T48" s="455">
        <f t="shared" si="2"/>
        <v>428697</v>
      </c>
      <c r="U48" s="272">
        <v>274243</v>
      </c>
      <c r="V48" s="272"/>
      <c r="W48" s="272"/>
      <c r="X48" s="272"/>
      <c r="Y48" s="272">
        <v>20473</v>
      </c>
      <c r="Z48" s="272"/>
      <c r="AA48" s="272">
        <v>133981</v>
      </c>
      <c r="AB48" s="272"/>
      <c r="AC48" s="272">
        <v>357248</v>
      </c>
      <c r="AD48" s="272">
        <v>202002</v>
      </c>
      <c r="AE48" s="272">
        <v>155246</v>
      </c>
      <c r="AF48" s="272">
        <v>8793</v>
      </c>
      <c r="AG48" s="272">
        <v>9586</v>
      </c>
      <c r="AH48" s="455">
        <f t="shared" si="3"/>
        <v>147414</v>
      </c>
      <c r="AI48" s="272">
        <v>91983</v>
      </c>
      <c r="AJ48" s="272">
        <v>55431</v>
      </c>
      <c r="AK48" s="272">
        <v>233723</v>
      </c>
      <c r="AL48" s="455">
        <f t="shared" si="4"/>
        <v>55718</v>
      </c>
      <c r="AM48" s="272">
        <v>0</v>
      </c>
      <c r="AN48" s="272">
        <v>55718</v>
      </c>
      <c r="AO48" s="272">
        <v>0</v>
      </c>
      <c r="AP48" s="272">
        <v>0</v>
      </c>
      <c r="AQ48" s="272">
        <v>121430</v>
      </c>
      <c r="AR48" s="272">
        <v>0</v>
      </c>
      <c r="AS48" s="272">
        <v>0</v>
      </c>
      <c r="AT48" s="272">
        <v>345649</v>
      </c>
      <c r="AU48" s="272">
        <v>69880</v>
      </c>
      <c r="AV48" s="272">
        <v>16818</v>
      </c>
      <c r="AW48" s="272">
        <v>3000</v>
      </c>
      <c r="AX48" s="272">
        <v>275769</v>
      </c>
      <c r="AY48" s="272">
        <v>105150</v>
      </c>
      <c r="AZ48" s="272">
        <v>474730</v>
      </c>
      <c r="BA48" s="272">
        <v>11782</v>
      </c>
      <c r="BB48" s="272">
        <v>53604</v>
      </c>
      <c r="BC48" s="272">
        <v>488024</v>
      </c>
      <c r="BD48" s="272">
        <v>0</v>
      </c>
      <c r="BE48" s="272">
        <v>0</v>
      </c>
      <c r="BF48" s="272">
        <v>480000</v>
      </c>
      <c r="BG48" s="272">
        <v>0</v>
      </c>
      <c r="BH48" s="272">
        <v>264454</v>
      </c>
      <c r="BI48" s="272">
        <v>264454</v>
      </c>
      <c r="BJ48" s="272">
        <v>124806</v>
      </c>
      <c r="BK48" s="272">
        <v>18900</v>
      </c>
      <c r="BL48" s="272">
        <v>0</v>
      </c>
      <c r="BM48" s="272">
        <v>0</v>
      </c>
      <c r="BN48" s="272">
        <v>100000</v>
      </c>
      <c r="BO48" s="455">
        <f t="shared" si="5"/>
        <v>100000</v>
      </c>
      <c r="BP48" s="455">
        <f t="shared" si="6"/>
        <v>0</v>
      </c>
      <c r="BQ48" s="272"/>
      <c r="BR48" s="272"/>
      <c r="BS48" s="272"/>
      <c r="BT48" s="272">
        <v>0</v>
      </c>
      <c r="BU48" s="272">
        <v>8982923</v>
      </c>
      <c r="BV48" s="272"/>
      <c r="BW48" s="272">
        <v>2248303</v>
      </c>
      <c r="BX48" s="272">
        <v>1717729</v>
      </c>
      <c r="BY48" s="272">
        <v>69690</v>
      </c>
      <c r="BZ48" s="272">
        <v>36566</v>
      </c>
      <c r="CA48" s="272">
        <v>232534</v>
      </c>
      <c r="CB48" s="272">
        <v>46756</v>
      </c>
      <c r="CC48" s="272">
        <v>101207</v>
      </c>
      <c r="CD48" s="272">
        <v>78332</v>
      </c>
      <c r="CE48" s="272">
        <v>0</v>
      </c>
      <c r="CF48" s="272">
        <v>0</v>
      </c>
      <c r="CG48" s="272">
        <v>6089</v>
      </c>
      <c r="CH48" s="272">
        <v>598321</v>
      </c>
      <c r="CI48" s="272">
        <v>265071</v>
      </c>
      <c r="CJ48" s="455">
        <f t="shared" si="7"/>
        <v>333250</v>
      </c>
      <c r="CK48" s="272">
        <v>1215897</v>
      </c>
      <c r="CL48" s="272">
        <v>681177</v>
      </c>
      <c r="CM48" s="272">
        <v>68572</v>
      </c>
      <c r="CN48" s="272">
        <v>263930</v>
      </c>
      <c r="CO48" s="272">
        <v>43155</v>
      </c>
      <c r="CP48" s="272">
        <v>557369</v>
      </c>
      <c r="CQ48" s="272">
        <v>248096</v>
      </c>
      <c r="CR48" s="272">
        <v>154709</v>
      </c>
      <c r="CS48" s="272">
        <v>143503</v>
      </c>
      <c r="CT48" s="455">
        <f t="shared" si="8"/>
        <v>7849</v>
      </c>
      <c r="CU48" s="272">
        <v>7849</v>
      </c>
      <c r="CV48" s="272">
        <v>0</v>
      </c>
      <c r="CW48" s="455">
        <f t="shared" si="9"/>
        <v>0</v>
      </c>
      <c r="CX48" s="272">
        <v>0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1757656</v>
      </c>
      <c r="DD48" s="272">
        <v>302861</v>
      </c>
      <c r="DE48" s="272">
        <v>1454795</v>
      </c>
      <c r="DF48" s="272">
        <v>0</v>
      </c>
      <c r="DG48" s="272">
        <v>0</v>
      </c>
      <c r="DH48" s="272">
        <v>1421</v>
      </c>
      <c r="DI48" s="272">
        <v>1208483</v>
      </c>
      <c r="DJ48" s="272">
        <v>249994</v>
      </c>
      <c r="DK48" s="272">
        <v>143432</v>
      </c>
      <c r="DL48" s="272">
        <v>815057</v>
      </c>
      <c r="DM48" s="272">
        <v>0</v>
      </c>
      <c r="DN48" s="272">
        <v>0</v>
      </c>
      <c r="DO48" s="272">
        <v>0</v>
      </c>
      <c r="DP48" s="272">
        <v>0</v>
      </c>
      <c r="DQ48" s="272">
        <v>0</v>
      </c>
      <c r="DR48" s="272">
        <v>0</v>
      </c>
      <c r="DS48" s="272">
        <v>0</v>
      </c>
      <c r="DT48" s="272">
        <v>923981</v>
      </c>
      <c r="DU48" s="272">
        <v>608707</v>
      </c>
      <c r="DV48" s="455">
        <f t="shared" si="11"/>
        <v>0</v>
      </c>
      <c r="DW48" s="272">
        <v>0</v>
      </c>
      <c r="DX48" s="272">
        <v>0</v>
      </c>
      <c r="DY48" s="457" t="s">
        <v>646</v>
      </c>
      <c r="DZ48" s="272">
        <v>137280</v>
      </c>
      <c r="EA48" s="272">
        <v>93876</v>
      </c>
      <c r="EB48" s="272"/>
      <c r="EC48" s="272">
        <v>0</v>
      </c>
      <c r="ED48" s="272">
        <v>8787120</v>
      </c>
      <c r="EF48" s="272">
        <v>195803</v>
      </c>
      <c r="EG48" s="272">
        <v>0</v>
      </c>
      <c r="EH48" s="272">
        <v>195803</v>
      </c>
      <c r="EI48" s="272">
        <v>-68651</v>
      </c>
      <c r="EJ48" s="272">
        <v>181343</v>
      </c>
      <c r="EL48" s="272">
        <v>37134</v>
      </c>
      <c r="EM48" s="272">
        <v>36906</v>
      </c>
      <c r="EN48" s="272">
        <v>488024</v>
      </c>
      <c r="EO48" s="272">
        <v>17059</v>
      </c>
      <c r="EP48" s="455">
        <f t="shared" si="12"/>
        <v>441591</v>
      </c>
      <c r="EQ48" s="272">
        <v>6740933</v>
      </c>
      <c r="ER48" s="272">
        <v>-937881</v>
      </c>
      <c r="ES48" s="272">
        <v>2037481</v>
      </c>
      <c r="ET48" s="272">
        <v>1523172</v>
      </c>
      <c r="EU48" s="272">
        <v>111933</v>
      </c>
      <c r="EV48" s="272">
        <v>598321</v>
      </c>
      <c r="EW48" s="455">
        <f t="shared" si="13"/>
        <v>1425627</v>
      </c>
      <c r="EX48" s="272">
        <v>1424206</v>
      </c>
      <c r="EY48" s="272">
        <v>108931</v>
      </c>
      <c r="EZ48" s="272">
        <v>1315275</v>
      </c>
      <c r="FA48" s="272">
        <v>1421</v>
      </c>
      <c r="FB48" s="272"/>
      <c r="FC48" s="272">
        <v>1089399</v>
      </c>
      <c r="FD48" s="272">
        <v>530570</v>
      </c>
      <c r="FE48" s="272">
        <v>248096</v>
      </c>
      <c r="FF48" s="272">
        <v>845995</v>
      </c>
      <c r="FG48" s="455">
        <f t="shared" si="14"/>
        <v>843685</v>
      </c>
      <c r="FH48" s="272">
        <v>7483011</v>
      </c>
      <c r="FI48" s="384">
        <f t="shared" si="15"/>
        <v>3.3</v>
      </c>
      <c r="FJ48" s="272">
        <v>5977249</v>
      </c>
      <c r="FK48" s="272"/>
      <c r="FL48" s="272">
        <v>4349563</v>
      </c>
      <c r="FM48" s="272">
        <v>4553191</v>
      </c>
      <c r="FN48" s="460">
        <v>0.96799999999999997</v>
      </c>
      <c r="FO48" s="388">
        <v>69</v>
      </c>
      <c r="FP48" s="388">
        <v>31.5</v>
      </c>
      <c r="FQ48" s="388">
        <v>1.6</v>
      </c>
      <c r="FR48" s="388">
        <v>9.4</v>
      </c>
      <c r="FS48" s="388">
        <v>16.399999999999999</v>
      </c>
      <c r="FT48" s="388">
        <v>6.7</v>
      </c>
      <c r="FU48" s="388">
        <v>3</v>
      </c>
      <c r="FV48" s="388">
        <v>9.9</v>
      </c>
      <c r="FW48" s="272">
        <v>5002009</v>
      </c>
      <c r="FX48" s="384">
        <f t="shared" si="16"/>
        <v>83.7</v>
      </c>
      <c r="FY48" s="272">
        <v>6376673</v>
      </c>
      <c r="FZ48" s="272">
        <v>1713643</v>
      </c>
      <c r="GA48" s="272">
        <v>681624</v>
      </c>
      <c r="GB48" s="272">
        <v>3981406</v>
      </c>
      <c r="GC48" s="272"/>
      <c r="GD48" s="272">
        <v>2723329</v>
      </c>
      <c r="GE48" s="384">
        <f>ROUND(GD48/FJ48*100,1)</f>
        <v>45.6</v>
      </c>
      <c r="GF48" s="388">
        <v>97</v>
      </c>
      <c r="GG48" s="388">
        <v>30.1</v>
      </c>
      <c r="GH48" s="388">
        <v>93.5</v>
      </c>
      <c r="GI48" s="272">
        <v>313</v>
      </c>
    </row>
    <row r="49" spans="2:191" x14ac:dyDescent="0.15">
      <c r="B49" s="21" t="s">
        <v>89</v>
      </c>
      <c r="C49" s="272">
        <f>SUM(C36,C38:C48)</f>
        <v>32983851</v>
      </c>
      <c r="D49" s="455">
        <f t="shared" si="0"/>
        <v>15400507</v>
      </c>
      <c r="E49" s="272">
        <f>SUM(E36,E38:E48)</f>
        <v>130001</v>
      </c>
      <c r="F49" s="272">
        <f>SUM(F36,F38:F48)</f>
        <v>15270506</v>
      </c>
      <c r="G49" s="455">
        <f t="shared" si="1"/>
        <v>2812023</v>
      </c>
      <c r="H49" s="272">
        <f t="shared" ref="H49:S49" si="24">SUM(H36,H38:H48)</f>
        <v>331529</v>
      </c>
      <c r="I49" s="272">
        <f t="shared" si="24"/>
        <v>2480494</v>
      </c>
      <c r="J49" s="272">
        <f t="shared" si="24"/>
        <v>11561372</v>
      </c>
      <c r="K49" s="272">
        <f t="shared" si="24"/>
        <v>5016780</v>
      </c>
      <c r="L49" s="272">
        <f t="shared" si="24"/>
        <v>4302097</v>
      </c>
      <c r="M49" s="272">
        <f t="shared" si="24"/>
        <v>2174825</v>
      </c>
      <c r="N49" s="272">
        <f t="shared" si="24"/>
        <v>980583</v>
      </c>
      <c r="O49" s="272">
        <f t="shared" si="24"/>
        <v>1139109</v>
      </c>
      <c r="P49" s="272">
        <f t="shared" si="24"/>
        <v>754266</v>
      </c>
      <c r="Q49" s="272">
        <f t="shared" si="24"/>
        <v>384843</v>
      </c>
      <c r="R49" s="272">
        <f t="shared" si="24"/>
        <v>1407265</v>
      </c>
      <c r="S49" s="272">
        <f t="shared" si="24"/>
        <v>857108</v>
      </c>
      <c r="T49" s="455">
        <f t="shared" si="2"/>
        <v>3422397</v>
      </c>
      <c r="U49" s="272">
        <f>SUM(U36,U38:U48)</f>
        <v>1996510</v>
      </c>
      <c r="V49" s="272"/>
      <c r="W49" s="272"/>
      <c r="X49" s="272"/>
      <c r="Y49" s="272">
        <f>SUM(Y36,Y38:Y48)</f>
        <v>337694</v>
      </c>
      <c r="Z49" s="272"/>
      <c r="AA49" s="272">
        <f>SUM(AA36,AA38:AA48)</f>
        <v>1088193</v>
      </c>
      <c r="AB49" s="272"/>
      <c r="AC49" s="272">
        <f>SUM(AC36,AC38:AC48)</f>
        <v>13154582</v>
      </c>
      <c r="AD49" s="272">
        <f>SUM(AD36,AD38:AD48)</f>
        <v>11044413</v>
      </c>
      <c r="AE49" s="272">
        <f>SUM(AE36,AE38:AE48)</f>
        <v>2110169</v>
      </c>
      <c r="AF49" s="272">
        <f>SUM(AF36,AF38:AF48)</f>
        <v>57778</v>
      </c>
      <c r="AG49" s="272">
        <f>SUM(AG36,AG38:AG48)</f>
        <v>424169</v>
      </c>
      <c r="AH49" s="455">
        <f t="shared" si="3"/>
        <v>1374610</v>
      </c>
      <c r="AI49" s="272">
        <f>SUM(AI36,AI38:AI48)</f>
        <v>1109080</v>
      </c>
      <c r="AJ49" s="272">
        <f>SUM(AJ36,AJ38:AJ48)</f>
        <v>265530</v>
      </c>
      <c r="AK49" s="272">
        <f>SUM(AK36,AK38:AK48)</f>
        <v>2654380</v>
      </c>
      <c r="AL49" s="455">
        <f t="shared" si="4"/>
        <v>450038</v>
      </c>
      <c r="AM49" s="272">
        <f t="shared" ref="AM49:BN49" si="25">SUM(AM36,AM38:AM48)</f>
        <v>35455</v>
      </c>
      <c r="AN49" s="272">
        <f t="shared" si="25"/>
        <v>382378</v>
      </c>
      <c r="AO49" s="272">
        <f t="shared" si="25"/>
        <v>0</v>
      </c>
      <c r="AP49" s="272">
        <f t="shared" si="25"/>
        <v>32205</v>
      </c>
      <c r="AQ49" s="272">
        <f t="shared" si="25"/>
        <v>1389964</v>
      </c>
      <c r="AR49" s="272">
        <f t="shared" si="25"/>
        <v>104016</v>
      </c>
      <c r="AS49" s="272">
        <f t="shared" si="25"/>
        <v>0</v>
      </c>
      <c r="AT49" s="272">
        <f t="shared" si="25"/>
        <v>5507401</v>
      </c>
      <c r="AU49" s="272">
        <f t="shared" si="25"/>
        <v>2058481</v>
      </c>
      <c r="AV49" s="272">
        <f t="shared" si="25"/>
        <v>147289</v>
      </c>
      <c r="AW49" s="272">
        <f t="shared" si="25"/>
        <v>711644</v>
      </c>
      <c r="AX49" s="272">
        <f t="shared" si="25"/>
        <v>3448920</v>
      </c>
      <c r="AY49" s="272">
        <f t="shared" si="25"/>
        <v>1576956</v>
      </c>
      <c r="AZ49" s="272">
        <f t="shared" si="25"/>
        <v>2511129</v>
      </c>
      <c r="BA49" s="272">
        <f t="shared" si="25"/>
        <v>254789</v>
      </c>
      <c r="BB49" s="272">
        <f t="shared" si="25"/>
        <v>652898</v>
      </c>
      <c r="BC49" s="272">
        <f t="shared" si="25"/>
        <v>2945786</v>
      </c>
      <c r="BD49" s="272">
        <f t="shared" si="25"/>
        <v>1622678</v>
      </c>
      <c r="BE49" s="272">
        <f t="shared" si="25"/>
        <v>21970</v>
      </c>
      <c r="BF49" s="272">
        <f t="shared" si="25"/>
        <v>1206449</v>
      </c>
      <c r="BG49" s="272">
        <f t="shared" si="25"/>
        <v>0</v>
      </c>
      <c r="BH49" s="272">
        <f t="shared" si="25"/>
        <v>2000821</v>
      </c>
      <c r="BI49" s="272">
        <f t="shared" si="25"/>
        <v>1604804</v>
      </c>
      <c r="BJ49" s="272">
        <f t="shared" si="25"/>
        <v>1611485</v>
      </c>
      <c r="BK49" s="272">
        <f t="shared" si="25"/>
        <v>66121</v>
      </c>
      <c r="BL49" s="272">
        <f t="shared" si="25"/>
        <v>428380</v>
      </c>
      <c r="BM49" s="272">
        <f t="shared" si="25"/>
        <v>0</v>
      </c>
      <c r="BN49" s="272">
        <f t="shared" si="25"/>
        <v>6045150</v>
      </c>
      <c r="BO49" s="455">
        <f t="shared" si="5"/>
        <v>6045150</v>
      </c>
      <c r="BP49" s="455">
        <f t="shared" si="6"/>
        <v>0</v>
      </c>
      <c r="BQ49" s="272"/>
      <c r="BR49" s="272"/>
      <c r="BS49" s="272"/>
      <c r="BT49" s="272">
        <v>0</v>
      </c>
      <c r="BU49" s="272">
        <f>SUM(BU36,BU38:BU48)</f>
        <v>76753702</v>
      </c>
      <c r="BV49" s="272"/>
      <c r="BW49" s="272">
        <f t="shared" ref="BW49:CI49" si="26">SUM(BW36,BW38:BW48)</f>
        <v>18412703</v>
      </c>
      <c r="BX49" s="272">
        <f t="shared" si="26"/>
        <v>13645838</v>
      </c>
      <c r="BY49" s="272">
        <f t="shared" si="26"/>
        <v>570647</v>
      </c>
      <c r="BZ49" s="272">
        <f t="shared" si="26"/>
        <v>385476</v>
      </c>
      <c r="CA49" s="272">
        <f t="shared" si="26"/>
        <v>2131587</v>
      </c>
      <c r="CB49" s="272">
        <f t="shared" si="26"/>
        <v>431225</v>
      </c>
      <c r="CC49" s="272">
        <f t="shared" si="26"/>
        <v>747869</v>
      </c>
      <c r="CD49" s="272">
        <f t="shared" si="26"/>
        <v>820993</v>
      </c>
      <c r="CE49" s="272">
        <f t="shared" si="26"/>
        <v>46085</v>
      </c>
      <c r="CF49" s="272">
        <f t="shared" si="26"/>
        <v>2858</v>
      </c>
      <c r="CG49" s="272">
        <f t="shared" si="26"/>
        <v>82407</v>
      </c>
      <c r="CH49" s="272">
        <f t="shared" si="26"/>
        <v>5721767</v>
      </c>
      <c r="CI49" s="272">
        <f t="shared" si="26"/>
        <v>2785865</v>
      </c>
      <c r="CJ49" s="455">
        <f t="shared" si="7"/>
        <v>2935902</v>
      </c>
      <c r="CK49" s="272">
        <f t="shared" ref="CK49:CS49" si="27">SUM(CK36,CK38:CK48)</f>
        <v>8931069</v>
      </c>
      <c r="CL49" s="272">
        <f t="shared" si="27"/>
        <v>3764504</v>
      </c>
      <c r="CM49" s="272">
        <f t="shared" si="27"/>
        <v>650855</v>
      </c>
      <c r="CN49" s="272">
        <f t="shared" si="27"/>
        <v>2719872</v>
      </c>
      <c r="CO49" s="272">
        <f t="shared" si="27"/>
        <v>683937</v>
      </c>
      <c r="CP49" s="272">
        <f t="shared" si="27"/>
        <v>4852820</v>
      </c>
      <c r="CQ49" s="272">
        <f t="shared" si="27"/>
        <v>1338985</v>
      </c>
      <c r="CR49" s="272">
        <f t="shared" si="27"/>
        <v>1634884</v>
      </c>
      <c r="CS49" s="272">
        <f t="shared" si="27"/>
        <v>1513611</v>
      </c>
      <c r="CT49" s="455">
        <f t="shared" si="8"/>
        <v>742184</v>
      </c>
      <c r="CU49" s="272">
        <f>SUM(CU36,CU38:CU48)</f>
        <v>43933</v>
      </c>
      <c r="CV49" s="272">
        <f>SUM(CV36,CV38:CV48)</f>
        <v>698251</v>
      </c>
      <c r="CW49" s="455">
        <f t="shared" si="9"/>
        <v>547298</v>
      </c>
      <c r="CX49" s="272">
        <f>SUM(CX36,CX38:CX48)</f>
        <v>0</v>
      </c>
      <c r="CY49" s="272">
        <f>SUM(CY36,CY38:CY48)</f>
        <v>547298</v>
      </c>
      <c r="CZ49" s="455">
        <f t="shared" si="10"/>
        <v>0</v>
      </c>
      <c r="DA49" s="272">
        <v>0</v>
      </c>
      <c r="DB49" s="272">
        <v>0</v>
      </c>
      <c r="DC49" s="272">
        <f t="shared" ref="DC49:DU49" si="28">SUM(DC36,DC38:DC48)</f>
        <v>20205503</v>
      </c>
      <c r="DD49" s="272">
        <f t="shared" si="28"/>
        <v>4235618</v>
      </c>
      <c r="DE49" s="272">
        <f t="shared" si="28"/>
        <v>14576809</v>
      </c>
      <c r="DF49" s="272">
        <f t="shared" si="28"/>
        <v>280721</v>
      </c>
      <c r="DG49" s="272">
        <f t="shared" si="28"/>
        <v>1097392</v>
      </c>
      <c r="DH49" s="272">
        <f t="shared" si="28"/>
        <v>374688</v>
      </c>
      <c r="DI49" s="272">
        <f t="shared" si="28"/>
        <v>8978513</v>
      </c>
      <c r="DJ49" s="272">
        <f t="shared" si="28"/>
        <v>2488363</v>
      </c>
      <c r="DK49" s="272">
        <f t="shared" si="28"/>
        <v>643894</v>
      </c>
      <c r="DL49" s="272">
        <f t="shared" si="28"/>
        <v>5846256</v>
      </c>
      <c r="DM49" s="272">
        <f t="shared" si="28"/>
        <v>35093</v>
      </c>
      <c r="DN49" s="272">
        <f t="shared" si="28"/>
        <v>5372</v>
      </c>
      <c r="DO49" s="272">
        <f t="shared" si="28"/>
        <v>5372</v>
      </c>
      <c r="DP49" s="272">
        <f t="shared" si="28"/>
        <v>0</v>
      </c>
      <c r="DQ49" s="272">
        <f t="shared" si="28"/>
        <v>50047</v>
      </c>
      <c r="DR49" s="272">
        <f t="shared" si="28"/>
        <v>26000</v>
      </c>
      <c r="DS49" s="272">
        <f t="shared" si="28"/>
        <v>26000</v>
      </c>
      <c r="DT49" s="272">
        <f t="shared" si="28"/>
        <v>4097338</v>
      </c>
      <c r="DU49" s="272">
        <f t="shared" si="28"/>
        <v>2353804</v>
      </c>
      <c r="DV49" s="455">
        <f t="shared" si="11"/>
        <v>0</v>
      </c>
      <c r="DW49" s="272">
        <f>SUM(DW36,DW38:DW48)</f>
        <v>0</v>
      </c>
      <c r="DX49" s="272">
        <v>0</v>
      </c>
      <c r="DY49" s="457" t="s">
        <v>646</v>
      </c>
      <c r="DZ49" s="272">
        <f>SUM(DZ36,DZ38:DZ48)</f>
        <v>729432</v>
      </c>
      <c r="EA49" s="272">
        <f>SUM(EA36,EA38:EA48)</f>
        <v>646105</v>
      </c>
      <c r="EB49" s="272"/>
      <c r="EC49" s="272">
        <f>SUM(EC36,EC38:EC48)</f>
        <v>690493</v>
      </c>
      <c r="ED49" s="272">
        <f>SUM(ED36,ED38:ED48)</f>
        <v>75165558</v>
      </c>
      <c r="EF49" s="272">
        <f>SUM(EF36,EF38:EF48)</f>
        <v>1588144</v>
      </c>
      <c r="EG49" s="272">
        <f>SUM(EG36,EG38:EG48)</f>
        <v>354796</v>
      </c>
      <c r="EH49" s="272">
        <f>SUM(EH36,EH38:EH48)</f>
        <v>1233348</v>
      </c>
      <c r="EI49" s="272">
        <f>SUM(EI36,EI38:EI48)</f>
        <v>318583</v>
      </c>
      <c r="EJ49" s="272">
        <f>SUM(EJ36,EJ38:EJ48)</f>
        <v>1184268</v>
      </c>
      <c r="EL49" s="272">
        <f>SUM(EL36,EL38:EL48)</f>
        <v>273282</v>
      </c>
      <c r="EM49" s="272">
        <f>SUM(EM36,EM38:EM48)</f>
        <v>273827</v>
      </c>
      <c r="EN49" s="272">
        <f>SUM(EN36,EN38:EN48)</f>
        <v>2413117</v>
      </c>
      <c r="EO49" s="272">
        <f>SUM(EO36,EO38:EO48)</f>
        <v>214001</v>
      </c>
      <c r="EP49" s="455">
        <f t="shared" si="12"/>
        <v>3352133</v>
      </c>
      <c r="EQ49" s="272">
        <f t="shared" ref="EQ49:EV49" si="29">SUM(EQ36,EQ38:EQ48)</f>
        <v>51025873</v>
      </c>
      <c r="ER49" s="272">
        <f t="shared" si="29"/>
        <v>-5921473</v>
      </c>
      <c r="ES49" s="272">
        <f t="shared" si="29"/>
        <v>16731007</v>
      </c>
      <c r="ET49" s="272">
        <f t="shared" si="29"/>
        <v>12278673</v>
      </c>
      <c r="EU49" s="272">
        <f t="shared" si="29"/>
        <v>880363</v>
      </c>
      <c r="EV49" s="272">
        <f t="shared" si="29"/>
        <v>5380627</v>
      </c>
      <c r="EW49" s="455">
        <f t="shared" si="13"/>
        <v>8411969</v>
      </c>
      <c r="EX49" s="272">
        <f>SUM(EX36,EX38:EX48)</f>
        <v>8277084</v>
      </c>
      <c r="EY49" s="272">
        <f>SUM(EY36,EY38:EY48)</f>
        <v>728299</v>
      </c>
      <c r="EZ49" s="272">
        <f>SUM(EZ36,EZ38:EZ48)</f>
        <v>7418801</v>
      </c>
      <c r="FA49" s="272">
        <f>SUM(FA36,FA38:FA48)</f>
        <v>134885</v>
      </c>
      <c r="FB49" s="272"/>
      <c r="FC49" s="272">
        <f>SUM(FC36,FC38:FC48)</f>
        <v>7640037</v>
      </c>
      <c r="FD49" s="272">
        <f>SUM(FD36,FD38:FD48)</f>
        <v>4333036</v>
      </c>
      <c r="FE49" s="272">
        <f>SUM(FE36,FE38:FE48)</f>
        <v>1338985</v>
      </c>
      <c r="FF49" s="272">
        <f>SUM(FF36,FF38:FF48)</f>
        <v>3728920</v>
      </c>
      <c r="FG49" s="455">
        <f t="shared" si="14"/>
        <v>8257475</v>
      </c>
      <c r="FH49" s="272">
        <f>SUM(FH36,FH38:FH48)</f>
        <v>55363434</v>
      </c>
      <c r="FI49" s="384">
        <f t="shared" si="15"/>
        <v>2.8</v>
      </c>
      <c r="FJ49" s="272">
        <f>SUM(FJ36,FJ38:FJ48)</f>
        <v>44659968</v>
      </c>
      <c r="FK49" s="272"/>
      <c r="FL49" s="272">
        <f>SUM(FL36,FL38:FL48)</f>
        <v>25353826</v>
      </c>
      <c r="FM49" s="272">
        <f>SUM(FM36,FM38:FM48)</f>
        <v>36400922</v>
      </c>
      <c r="FN49" s="468">
        <v>0.70799999999999996</v>
      </c>
      <c r="FO49" s="469">
        <v>71.7</v>
      </c>
      <c r="FP49" s="469">
        <v>34</v>
      </c>
      <c r="FQ49" s="469">
        <v>1.8</v>
      </c>
      <c r="FR49" s="469">
        <v>10.9</v>
      </c>
      <c r="FS49" s="469">
        <v>14.1</v>
      </c>
      <c r="FT49" s="469">
        <v>7.1</v>
      </c>
      <c r="FU49" s="469">
        <v>2.6</v>
      </c>
      <c r="FV49" s="469">
        <v>10.9</v>
      </c>
      <c r="FW49" s="272">
        <f>SUM(FW36,FW38:FW48)</f>
        <v>49726754</v>
      </c>
      <c r="FX49" s="384">
        <f t="shared" si="16"/>
        <v>111.3</v>
      </c>
      <c r="FY49" s="272">
        <f>SUM(FY36,FY38:FY48)</f>
        <v>37065505</v>
      </c>
      <c r="FZ49" s="272">
        <f>SUM(FZ36,FZ38:FZ48)</f>
        <v>11971042</v>
      </c>
      <c r="GA49" s="272">
        <f>SUM(GA36,GA38:GA48)</f>
        <v>2115359</v>
      </c>
      <c r="GB49" s="272">
        <f>SUM(GB36,GB38:GB48)</f>
        <v>22979104</v>
      </c>
      <c r="GC49" s="272"/>
      <c r="GD49" s="272">
        <f>SUM(GD36,GD38:GD48)</f>
        <v>8116273</v>
      </c>
      <c r="GE49" s="465">
        <f>ROUND(GD49/FJ52*100,1)</f>
        <v>29.8</v>
      </c>
      <c r="GF49" s="469">
        <v>98</v>
      </c>
      <c r="GG49" s="469">
        <v>30</v>
      </c>
      <c r="GH49" s="469">
        <v>95.1</v>
      </c>
      <c r="GI49" s="272">
        <f>SUM(GI36,GI38:GI48)</f>
        <v>2581</v>
      </c>
    </row>
    <row r="50" spans="2:191" x14ac:dyDescent="0.15">
      <c r="B50" s="21" t="s">
        <v>91</v>
      </c>
      <c r="C50" s="272">
        <f>C37+C49</f>
        <v>771042034</v>
      </c>
      <c r="D50" s="455">
        <f t="shared" si="0"/>
        <v>329559115</v>
      </c>
      <c r="E50" s="272">
        <f>E37+E49</f>
        <v>3635784</v>
      </c>
      <c r="F50" s="272">
        <f>F37+F49</f>
        <v>325923331</v>
      </c>
      <c r="G50" s="455">
        <f t="shared" si="1"/>
        <v>107563001</v>
      </c>
      <c r="H50" s="272">
        <f t="shared" ref="H50:S50" si="30">H37+H49</f>
        <v>8900485</v>
      </c>
      <c r="I50" s="272">
        <f t="shared" si="30"/>
        <v>98662516</v>
      </c>
      <c r="J50" s="272">
        <f t="shared" si="30"/>
        <v>238310041</v>
      </c>
      <c r="K50" s="272">
        <f t="shared" si="30"/>
        <v>116192150</v>
      </c>
      <c r="L50" s="272">
        <f t="shared" si="30"/>
        <v>82416447</v>
      </c>
      <c r="M50" s="272">
        <f t="shared" si="30"/>
        <v>36562813</v>
      </c>
      <c r="N50" s="272">
        <f t="shared" si="30"/>
        <v>23954378</v>
      </c>
      <c r="O50" s="272">
        <f t="shared" si="30"/>
        <v>56550984</v>
      </c>
      <c r="P50" s="272">
        <f t="shared" si="30"/>
        <v>39033743</v>
      </c>
      <c r="Q50" s="272">
        <f t="shared" si="30"/>
        <v>17517241</v>
      </c>
      <c r="R50" s="272">
        <f t="shared" si="30"/>
        <v>28736279</v>
      </c>
      <c r="S50" s="272">
        <f t="shared" si="30"/>
        <v>18608720</v>
      </c>
      <c r="T50" s="455">
        <f t="shared" si="2"/>
        <v>62644698</v>
      </c>
      <c r="U50" s="272">
        <f>U37+U49</f>
        <v>44390981</v>
      </c>
      <c r="V50" s="272"/>
      <c r="W50" s="272"/>
      <c r="X50" s="272"/>
      <c r="Y50" s="272">
        <f>Y37+Y49</f>
        <v>1690639</v>
      </c>
      <c r="Z50" s="272"/>
      <c r="AA50" s="272">
        <f>AA37+AA49</f>
        <v>16563078</v>
      </c>
      <c r="AB50" s="272"/>
      <c r="AC50" s="272">
        <f>AC37+AC49</f>
        <v>62039938</v>
      </c>
      <c r="AD50" s="272">
        <f>AD37+AD49</f>
        <v>49689280</v>
      </c>
      <c r="AE50" s="272">
        <f>AE37+AE49</f>
        <v>12350658</v>
      </c>
      <c r="AF50" s="272">
        <f>AF37+AF49</f>
        <v>1069425</v>
      </c>
      <c r="AG50" s="272">
        <f>AG37+AG49</f>
        <v>18918333</v>
      </c>
      <c r="AH50" s="455">
        <f t="shared" si="3"/>
        <v>27540369</v>
      </c>
      <c r="AI50" s="272">
        <f>AI37+AI49</f>
        <v>21594203</v>
      </c>
      <c r="AJ50" s="272">
        <f>AJ37+AJ49</f>
        <v>5946166</v>
      </c>
      <c r="AK50" s="272">
        <f>AK37+AK49</f>
        <v>105389716</v>
      </c>
      <c r="AL50" s="455">
        <f t="shared" si="4"/>
        <v>61605148</v>
      </c>
      <c r="AM50" s="272">
        <f t="shared" ref="AM50:BN50" si="31">AM37+AM49</f>
        <v>47937385</v>
      </c>
      <c r="AN50" s="272">
        <f t="shared" si="31"/>
        <v>9306771</v>
      </c>
      <c r="AO50" s="272">
        <f t="shared" si="31"/>
        <v>142837</v>
      </c>
      <c r="AP50" s="272">
        <f t="shared" si="31"/>
        <v>4218155</v>
      </c>
      <c r="AQ50" s="272">
        <f t="shared" si="31"/>
        <v>20357805</v>
      </c>
      <c r="AR50" s="272">
        <f t="shared" si="31"/>
        <v>161070</v>
      </c>
      <c r="AS50" s="272">
        <f t="shared" si="31"/>
        <v>287546</v>
      </c>
      <c r="AT50" s="272">
        <f t="shared" si="31"/>
        <v>69089759</v>
      </c>
      <c r="AU50" s="272">
        <f t="shared" si="31"/>
        <v>22890695</v>
      </c>
      <c r="AV50" s="272">
        <f t="shared" si="31"/>
        <v>4482206</v>
      </c>
      <c r="AW50" s="272">
        <f t="shared" si="31"/>
        <v>3163734</v>
      </c>
      <c r="AX50" s="272">
        <f t="shared" si="31"/>
        <v>46199064</v>
      </c>
      <c r="AY50" s="272">
        <f t="shared" si="31"/>
        <v>13621883</v>
      </c>
      <c r="AZ50" s="272">
        <f t="shared" si="31"/>
        <v>50377998</v>
      </c>
      <c r="BA50" s="272">
        <f t="shared" si="31"/>
        <v>25638337</v>
      </c>
      <c r="BB50" s="272">
        <f t="shared" si="31"/>
        <v>12654833</v>
      </c>
      <c r="BC50" s="272">
        <f t="shared" si="31"/>
        <v>21473046</v>
      </c>
      <c r="BD50" s="272">
        <f t="shared" si="31"/>
        <v>2616387</v>
      </c>
      <c r="BE50" s="272">
        <f t="shared" si="31"/>
        <v>938586</v>
      </c>
      <c r="BF50" s="272">
        <f t="shared" si="31"/>
        <v>14778662</v>
      </c>
      <c r="BG50" s="272">
        <f t="shared" si="31"/>
        <v>20000</v>
      </c>
      <c r="BH50" s="272">
        <f t="shared" si="31"/>
        <v>26933270</v>
      </c>
      <c r="BI50" s="272">
        <f t="shared" si="31"/>
        <v>14740068</v>
      </c>
      <c r="BJ50" s="272">
        <f t="shared" si="31"/>
        <v>71028008</v>
      </c>
      <c r="BK50" s="272">
        <f t="shared" si="31"/>
        <v>26371686</v>
      </c>
      <c r="BL50" s="272">
        <f t="shared" si="31"/>
        <v>4662986</v>
      </c>
      <c r="BM50" s="272">
        <f t="shared" si="31"/>
        <v>20743324</v>
      </c>
      <c r="BN50" s="272">
        <f t="shared" si="31"/>
        <v>76523066</v>
      </c>
      <c r="BO50" s="455">
        <f t="shared" si="5"/>
        <v>76523066</v>
      </c>
      <c r="BP50" s="455">
        <f t="shared" si="6"/>
        <v>0</v>
      </c>
      <c r="BQ50" s="272"/>
      <c r="BR50" s="272"/>
      <c r="BS50" s="272"/>
      <c r="BT50" s="272">
        <v>0</v>
      </c>
      <c r="BU50" s="272">
        <f>BU37+BU49</f>
        <v>1405748318</v>
      </c>
      <c r="BV50" s="272"/>
      <c r="BW50" s="272">
        <f t="shared" ref="BW50:CI50" si="32">BW37+BW49</f>
        <v>366808607</v>
      </c>
      <c r="BX50" s="272">
        <f t="shared" si="32"/>
        <v>282794164</v>
      </c>
      <c r="BY50" s="272">
        <f t="shared" si="32"/>
        <v>15242604</v>
      </c>
      <c r="BZ50" s="272">
        <f t="shared" si="32"/>
        <v>9686125</v>
      </c>
      <c r="CA50" s="272">
        <f t="shared" si="32"/>
        <v>138611080</v>
      </c>
      <c r="CB50" s="272">
        <f t="shared" si="32"/>
        <v>13025137</v>
      </c>
      <c r="CC50" s="272">
        <f t="shared" si="32"/>
        <v>23023972</v>
      </c>
      <c r="CD50" s="272">
        <f t="shared" si="32"/>
        <v>27877533</v>
      </c>
      <c r="CE50" s="272">
        <f t="shared" si="32"/>
        <v>62113237</v>
      </c>
      <c r="CF50" s="272">
        <f t="shared" si="32"/>
        <v>9315265</v>
      </c>
      <c r="CG50" s="272">
        <f t="shared" si="32"/>
        <v>3242274</v>
      </c>
      <c r="CH50" s="272">
        <f t="shared" si="32"/>
        <v>112996986</v>
      </c>
      <c r="CI50" s="272">
        <f t="shared" si="32"/>
        <v>59635188</v>
      </c>
      <c r="CJ50" s="455">
        <f t="shared" si="7"/>
        <v>53361798</v>
      </c>
      <c r="CK50" s="272">
        <f t="shared" ref="CK50:CS50" si="33">CK37+CK49</f>
        <v>126208024</v>
      </c>
      <c r="CL50" s="272">
        <f t="shared" si="33"/>
        <v>61802045</v>
      </c>
      <c r="CM50" s="272">
        <f t="shared" si="33"/>
        <v>5750153</v>
      </c>
      <c r="CN50" s="272">
        <f t="shared" si="33"/>
        <v>36170814</v>
      </c>
      <c r="CO50" s="272">
        <f t="shared" si="33"/>
        <v>17098733</v>
      </c>
      <c r="CP50" s="272">
        <f t="shared" si="33"/>
        <v>89735439</v>
      </c>
      <c r="CQ50" s="272">
        <f t="shared" si="33"/>
        <v>31405622</v>
      </c>
      <c r="CR50" s="272">
        <f t="shared" si="33"/>
        <v>22213864</v>
      </c>
      <c r="CS50" s="272">
        <f t="shared" si="33"/>
        <v>17052930</v>
      </c>
      <c r="CT50" s="455">
        <f t="shared" si="8"/>
        <v>14827527</v>
      </c>
      <c r="CU50" s="272">
        <f>CU37+CU49</f>
        <v>6711655</v>
      </c>
      <c r="CV50" s="272">
        <f>CV37+CV49</f>
        <v>8115872</v>
      </c>
      <c r="CW50" s="455">
        <f t="shared" si="9"/>
        <v>11869921</v>
      </c>
      <c r="CX50" s="272">
        <f>CX37+CX49</f>
        <v>6158039</v>
      </c>
      <c r="CY50" s="272">
        <f>CY37+CY49</f>
        <v>5711882</v>
      </c>
      <c r="CZ50" s="455">
        <f t="shared" si="10"/>
        <v>0</v>
      </c>
      <c r="DA50" s="272">
        <v>0</v>
      </c>
      <c r="DB50" s="272">
        <v>0</v>
      </c>
      <c r="DC50" s="272">
        <f t="shared" ref="DC50:DU50" si="34">DC37+DC49</f>
        <v>282207016</v>
      </c>
      <c r="DD50" s="272">
        <f t="shared" si="34"/>
        <v>58241651</v>
      </c>
      <c r="DE50" s="272">
        <f t="shared" si="34"/>
        <v>209034179</v>
      </c>
      <c r="DF50" s="272">
        <f t="shared" si="34"/>
        <v>2576429</v>
      </c>
      <c r="DG50" s="272">
        <f t="shared" si="34"/>
        <v>12124915</v>
      </c>
      <c r="DH50" s="272">
        <f t="shared" si="34"/>
        <v>745054</v>
      </c>
      <c r="DI50" s="272">
        <f t="shared" si="34"/>
        <v>107402919</v>
      </c>
      <c r="DJ50" s="272">
        <f t="shared" si="34"/>
        <v>19731431</v>
      </c>
      <c r="DK50" s="272">
        <f t="shared" si="34"/>
        <v>8365434</v>
      </c>
      <c r="DL50" s="272">
        <f t="shared" si="34"/>
        <v>79306054</v>
      </c>
      <c r="DM50" s="272">
        <f t="shared" si="34"/>
        <v>3987352</v>
      </c>
      <c r="DN50" s="272">
        <f t="shared" si="34"/>
        <v>1039337</v>
      </c>
      <c r="DO50" s="272">
        <f t="shared" si="34"/>
        <v>206973</v>
      </c>
      <c r="DP50" s="272">
        <f t="shared" si="34"/>
        <v>832364</v>
      </c>
      <c r="DQ50" s="272">
        <f t="shared" si="34"/>
        <v>27647783</v>
      </c>
      <c r="DR50" s="272">
        <f t="shared" si="34"/>
        <v>1590000</v>
      </c>
      <c r="DS50" s="272">
        <f t="shared" si="34"/>
        <v>1590000</v>
      </c>
      <c r="DT50" s="272">
        <f t="shared" si="34"/>
        <v>94504351</v>
      </c>
      <c r="DU50" s="272">
        <f t="shared" si="34"/>
        <v>56401034</v>
      </c>
      <c r="DV50" s="455">
        <f t="shared" si="11"/>
        <v>343068</v>
      </c>
      <c r="DW50" s="272">
        <f>DW37+DW49</f>
        <v>343068</v>
      </c>
      <c r="DX50" s="272">
        <v>0</v>
      </c>
      <c r="DY50" s="457" t="s">
        <v>646</v>
      </c>
      <c r="DZ50" s="272">
        <f>DZ37+DZ49</f>
        <v>21789157</v>
      </c>
      <c r="EA50" s="272">
        <f>EA37+EA49</f>
        <v>11675018</v>
      </c>
      <c r="EB50" s="272"/>
      <c r="EC50" s="272">
        <f>EC37+EC49</f>
        <v>4121916</v>
      </c>
      <c r="ED50" s="272">
        <f>ED37+ED49</f>
        <v>1372075260</v>
      </c>
      <c r="EF50" s="272">
        <f>EF37+EF49</f>
        <v>33673058</v>
      </c>
      <c r="EG50" s="272">
        <f>EG37+EG49</f>
        <v>12497171</v>
      </c>
      <c r="EH50" s="272">
        <f>EH37+EH49</f>
        <v>21175887</v>
      </c>
      <c r="EI50" s="272">
        <f>EI37+EI49</f>
        <v>9878605</v>
      </c>
      <c r="EJ50" s="272">
        <f>EJ37+EJ49</f>
        <v>27317937</v>
      </c>
      <c r="EL50" s="272">
        <f>EL37+EL49</f>
        <v>5302950</v>
      </c>
      <c r="EM50" s="272">
        <f>EM37+EM49</f>
        <v>5235367</v>
      </c>
      <c r="EN50" s="272">
        <f>EN37+EN49</f>
        <v>10725220</v>
      </c>
      <c r="EO50" s="272">
        <f>EO37+EO49</f>
        <v>11299186</v>
      </c>
      <c r="EP50" s="455">
        <f t="shared" si="12"/>
        <v>72693474</v>
      </c>
      <c r="EQ50" s="272">
        <f t="shared" ref="EQ50:EV50" si="35">EQ37+EQ49</f>
        <v>925819920</v>
      </c>
      <c r="ER50" s="272">
        <f t="shared" si="35"/>
        <v>-93360909</v>
      </c>
      <c r="ES50" s="272">
        <f t="shared" si="35"/>
        <v>338378119</v>
      </c>
      <c r="ET50" s="272">
        <f t="shared" si="35"/>
        <v>257236465</v>
      </c>
      <c r="EU50" s="272">
        <f t="shared" si="35"/>
        <v>39286639</v>
      </c>
      <c r="EV50" s="272">
        <f t="shared" si="35"/>
        <v>107079504</v>
      </c>
      <c r="EW50" s="455">
        <f t="shared" si="13"/>
        <v>130084486</v>
      </c>
      <c r="EX50" s="272">
        <f>EX37+EX49</f>
        <v>129774287</v>
      </c>
      <c r="EY50" s="272">
        <f>EY37+EY49</f>
        <v>9580571</v>
      </c>
      <c r="EZ50" s="272">
        <f>EZ37+EZ49</f>
        <v>118713811</v>
      </c>
      <c r="FA50" s="272">
        <f>FA37+FA49</f>
        <v>310199</v>
      </c>
      <c r="FB50" s="272"/>
      <c r="FC50" s="272">
        <f>FC37+FC49</f>
        <v>100425720</v>
      </c>
      <c r="FD50" s="272">
        <f>FD37+FD49</f>
        <v>80407428</v>
      </c>
      <c r="FE50" s="272">
        <f>FE37+FE49</f>
        <v>31405622</v>
      </c>
      <c r="FF50" s="272">
        <f>FF37+FF49</f>
        <v>89705011</v>
      </c>
      <c r="FG50" s="455">
        <f t="shared" si="14"/>
        <v>101903802</v>
      </c>
      <c r="FH50" s="272">
        <f>FH37+FH49</f>
        <v>987270709</v>
      </c>
      <c r="FI50" s="384">
        <f t="shared" si="15"/>
        <v>2.7</v>
      </c>
      <c r="FJ50" s="272">
        <f>FJ37+FJ49</f>
        <v>783417009</v>
      </c>
      <c r="FK50" s="272"/>
      <c r="FL50" s="272">
        <f>FL37+FL49</f>
        <v>552931666</v>
      </c>
      <c r="FM50" s="272">
        <f>FM37+FM49</f>
        <v>574165676</v>
      </c>
      <c r="FN50" s="468">
        <v>0.96599999999999997</v>
      </c>
      <c r="FO50" s="469">
        <v>79.7</v>
      </c>
      <c r="FP50" s="469">
        <v>38</v>
      </c>
      <c r="FQ50" s="469">
        <v>4.5999999999999996</v>
      </c>
      <c r="FR50" s="469">
        <v>12</v>
      </c>
      <c r="FS50" s="469">
        <v>10.8</v>
      </c>
      <c r="FT50" s="469">
        <v>7.8</v>
      </c>
      <c r="FU50" s="469">
        <v>4.8</v>
      </c>
      <c r="FV50" s="469">
        <v>12.5</v>
      </c>
      <c r="FW50" s="272">
        <f>FW37+FW49</f>
        <v>870085808</v>
      </c>
      <c r="FX50" s="384">
        <f t="shared" si="16"/>
        <v>111.1</v>
      </c>
      <c r="FY50" s="272">
        <f>FY37+FY49</f>
        <v>417856069</v>
      </c>
      <c r="FZ50" s="272">
        <f>FZ37+FZ49</f>
        <v>90542112</v>
      </c>
      <c r="GA50" s="272">
        <f>GA37+GA49</f>
        <v>24079285</v>
      </c>
      <c r="GB50" s="272">
        <f>GB37+GB49</f>
        <v>303234672</v>
      </c>
      <c r="GC50" s="272"/>
      <c r="GD50" s="272">
        <f>GD37+GD49</f>
        <v>347727438</v>
      </c>
      <c r="GE50" s="465">
        <f>ROUND(GD50/FJ53*100,1)</f>
        <v>45.4</v>
      </c>
      <c r="GF50" s="469">
        <v>98.4</v>
      </c>
      <c r="GG50" s="469">
        <v>34.6</v>
      </c>
      <c r="GH50" s="469">
        <v>96.2</v>
      </c>
      <c r="GI50" s="272">
        <f>GI37+GI49</f>
        <v>42544</v>
      </c>
    </row>
    <row r="51" spans="2:191" x14ac:dyDescent="0.15">
      <c r="B51" s="89" t="s">
        <v>860</v>
      </c>
      <c r="GE51" s="31" t="s">
        <v>647</v>
      </c>
    </row>
    <row r="52" spans="2:191" x14ac:dyDescent="0.15">
      <c r="FJ52" s="394">
        <f>FJ36+FJ40+FJ42+FJ43+FJ45+FJ46+FJ48</f>
        <v>27270253</v>
      </c>
      <c r="FP52" s="33"/>
      <c r="FQ52" s="89" t="s">
        <v>816</v>
      </c>
    </row>
    <row r="53" spans="2:191" x14ac:dyDescent="0.15">
      <c r="FJ53" s="394">
        <f>FJ37+FJ52</f>
        <v>766027294</v>
      </c>
    </row>
  </sheetData>
  <phoneticPr fontId="3"/>
  <pageMargins left="0.75" right="0.75" top="1" bottom="1" header="0.51200000000000001" footer="0.51200000000000001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FFC000"/>
    <pageSetUpPr fitToPage="1"/>
  </sheetPr>
  <dimension ref="B1:X18"/>
  <sheetViews>
    <sheetView showGridLines="0" view="pageBreakPreview" zoomScaleNormal="100" zoomScaleSheetLayoutView="100" workbookViewId="0">
      <pane xSplit="6" ySplit="4" topLeftCell="G5" activePane="bottomRight" state="frozen"/>
      <selection activeCell="R13" sqref="R13"/>
      <selection pane="topRight" activeCell="R13" sqref="R13"/>
      <selection pane="bottomLeft" activeCell="R13" sqref="R13"/>
      <selection pane="bottomRight"/>
    </sheetView>
  </sheetViews>
  <sheetFormatPr defaultColWidth="9.109375" defaultRowHeight="12" x14ac:dyDescent="0.15"/>
  <cols>
    <col min="1" max="3" width="3.6640625" style="62" customWidth="1"/>
    <col min="4" max="6" width="9.109375" style="62" customWidth="1"/>
    <col min="7" max="22" width="11.88671875" style="62" customWidth="1"/>
    <col min="23" max="24" width="12.5546875" style="62" customWidth="1"/>
    <col min="25" max="25" width="9.109375" style="62" customWidth="1"/>
    <col min="26" max="16384" width="9.109375" style="62"/>
  </cols>
  <sheetData>
    <row r="1" spans="2:24" s="35" customFormat="1" ht="15" customHeight="1" thickBot="1" x14ac:dyDescent="0.2"/>
    <row r="2" spans="2:24" ht="15" customHeight="1" thickBot="1" x14ac:dyDescent="0.2">
      <c r="B2" s="9" t="s">
        <v>327</v>
      </c>
      <c r="J2" s="36" t="s">
        <v>255</v>
      </c>
      <c r="K2" s="540" t="str">
        <f>IFERROR(決算推移!H2,"-")</f>
        <v>府計</v>
      </c>
      <c r="L2" s="541"/>
      <c r="M2" s="482" t="s">
        <v>96</v>
      </c>
      <c r="N2" s="483"/>
      <c r="O2" s="483"/>
      <c r="P2" s="483"/>
      <c r="Q2" s="483"/>
      <c r="R2" s="483"/>
    </row>
    <row r="3" spans="2:24" ht="15" customHeight="1" x14ac:dyDescent="0.15">
      <c r="M3" s="89" t="s">
        <v>97</v>
      </c>
      <c r="N3" s="130"/>
      <c r="O3" s="130"/>
      <c r="P3" s="130"/>
      <c r="Q3" s="130"/>
      <c r="R3" s="130"/>
      <c r="S3" s="67"/>
      <c r="T3" s="67"/>
      <c r="U3" s="67"/>
      <c r="W3" s="67" t="s">
        <v>328</v>
      </c>
    </row>
    <row r="4" spans="2:24" ht="15" customHeight="1" x14ac:dyDescent="0.15">
      <c r="B4" s="558" t="s">
        <v>257</v>
      </c>
      <c r="C4" s="507"/>
      <c r="D4" s="507"/>
      <c r="E4" s="507"/>
      <c r="F4" s="507"/>
      <c r="G4" s="166" t="s">
        <v>119</v>
      </c>
      <c r="H4" s="166" t="s">
        <v>120</v>
      </c>
      <c r="I4" s="65" t="s">
        <v>121</v>
      </c>
      <c r="J4" s="65" t="s">
        <v>122</v>
      </c>
      <c r="K4" s="65" t="s">
        <v>123</v>
      </c>
      <c r="L4" s="65" t="s">
        <v>124</v>
      </c>
      <c r="M4" s="65" t="s">
        <v>125</v>
      </c>
      <c r="N4" s="65" t="s">
        <v>126</v>
      </c>
      <c r="O4" s="65" t="s">
        <v>127</v>
      </c>
      <c r="P4" s="65" t="s">
        <v>128</v>
      </c>
      <c r="Q4" s="65" t="s">
        <v>129</v>
      </c>
      <c r="R4" s="65" t="s">
        <v>130</v>
      </c>
      <c r="S4" s="65" t="s">
        <v>131</v>
      </c>
      <c r="T4" s="65" t="s">
        <v>132</v>
      </c>
      <c r="U4" s="65" t="s">
        <v>133</v>
      </c>
      <c r="V4" s="65" t="s">
        <v>134</v>
      </c>
      <c r="W4" s="65" t="s">
        <v>135</v>
      </c>
      <c r="X4" s="65" t="s">
        <v>136</v>
      </c>
    </row>
    <row r="5" spans="2:24" ht="15" customHeight="1" x14ac:dyDescent="0.15">
      <c r="B5" s="559" t="s">
        <v>329</v>
      </c>
      <c r="C5" s="37" t="s">
        <v>330</v>
      </c>
      <c r="G5" s="373" t="str">
        <f>IFERROR(VLOOKUP($K$2,'19年度'!$B$6:$GT$49,191,FALSE),"-")</f>
        <v>-</v>
      </c>
      <c r="H5" s="373" t="str">
        <f>IFERROR(VLOOKUP($K$2,'20年度'!$B$6:$GT$49,191,FALSE),"-")</f>
        <v>-</v>
      </c>
      <c r="I5" s="373" t="str">
        <f>IFERROR(VLOOKUP($K$2,'21年度'!$B$6:$GT$49,191,FALSE),"-")</f>
        <v>-</v>
      </c>
      <c r="J5" s="373" t="str">
        <f>IFERROR(VLOOKUP($K$2,'22年度'!$B$6:$GT$49,191,FALSE),"-")</f>
        <v>-</v>
      </c>
      <c r="K5" s="373" t="str">
        <f>IFERROR(VLOOKUP($K$2,'23年度'!$B$6:$GT$52,191,FALSE),"-")</f>
        <v>-</v>
      </c>
      <c r="L5" s="373" t="str">
        <f>IFERROR(VLOOKUP($K$2,'24年度'!$B$6:$GT$52,191,FALSE),"-")</f>
        <v>-</v>
      </c>
      <c r="M5" s="373" t="str">
        <f>IFERROR(VLOOKUP($K$2,'25年度'!$B$6:$GT$52,191,FALSE),"-")</f>
        <v>-</v>
      </c>
      <c r="N5" s="373" t="str">
        <f>IFERROR(VLOOKUP($K$2,'26年度'!$B$6:$GT$52,191,FALSE),"-")</f>
        <v>-</v>
      </c>
      <c r="O5" s="373" t="str">
        <f>IFERROR(VLOOKUP($K$2,'27年度'!$B$6:$GT$52,191,FALSE),"-")</f>
        <v>-</v>
      </c>
      <c r="P5" s="373" t="str">
        <f>IFERROR(VLOOKUP($K$2,'28年度'!$B$6:$GT$52,191,FALSE),"-")</f>
        <v>-</v>
      </c>
      <c r="Q5" s="373" t="str">
        <f>IFERROR(VLOOKUP($K$2,'29年度'!$B$6:$GT$52,191,FALSE),"-")</f>
        <v>-</v>
      </c>
      <c r="R5" s="373" t="str">
        <f>IFERROR(VLOOKUP($K$2,'30年度'!$B$6:$GT$52,191,FALSE),"-")</f>
        <v>-</v>
      </c>
      <c r="S5" s="373" t="str">
        <f>IFERROR(VLOOKUP($K$2,'R1年度'!$B$6:$GU$52,192,FALSE),"-")</f>
        <v>-</v>
      </c>
      <c r="T5" s="373" t="str">
        <f>IFERROR(VLOOKUP($K$2,'R2年度'!$B$6:$GU$52,193,FALSE),"-")</f>
        <v>-</v>
      </c>
      <c r="U5" s="373" t="str">
        <f>IFERROR(VLOOKUP($K$2,'R3年度'!$B$6:$GU$52,193,FALSE),"-")</f>
        <v>-</v>
      </c>
      <c r="V5" s="373" t="str">
        <f>IFERROR(VLOOKUP($K$2,'R4年度'!$B$6:$GU$52,193,FALSE),"-")</f>
        <v>-</v>
      </c>
      <c r="W5" s="373" t="str">
        <f>IFERROR(VLOOKUP($K$2,'R5年度'!$B$6:$GU$52,193,FALSE),"-")</f>
        <v>-</v>
      </c>
      <c r="X5" s="373" t="str">
        <f>IFERROR(VLOOKUP($K$2,'R6年度'!$B$6:$GV$52,193,FALSE),"-")</f>
        <v>-</v>
      </c>
    </row>
    <row r="6" spans="2:24" s="31" customFormat="1" ht="15" customHeight="1" x14ac:dyDescent="0.15">
      <c r="B6" s="532"/>
      <c r="C6" s="168"/>
      <c r="D6" s="12" t="s">
        <v>331</v>
      </c>
      <c r="E6" s="38"/>
      <c r="F6" s="38"/>
      <c r="G6" s="374" t="str">
        <f>IFERROR(VLOOKUP($K$2,'19年度'!$B$6:$GT$49,192,FALSE),"-")</f>
        <v>-</v>
      </c>
      <c r="H6" s="374" t="str">
        <f>IFERROR(VLOOKUP($K$2,'20年度'!$B$6:$GT$49,192,FALSE),"-")</f>
        <v>-</v>
      </c>
      <c r="I6" s="374" t="str">
        <f>IFERROR(VLOOKUP($K$2,'21年度'!$B$6:$GT$49,192,FALSE),"-")</f>
        <v>-</v>
      </c>
      <c r="J6" s="374" t="str">
        <f>IFERROR(VLOOKUP($K$2,'22年度'!$B$6:$GT$49,192,FALSE),"-")</f>
        <v>-</v>
      </c>
      <c r="K6" s="374" t="str">
        <f>IFERROR(VLOOKUP($K$2,'23年度'!$B$6:$GT$52,192,FALSE),"-")</f>
        <v>-</v>
      </c>
      <c r="L6" s="374" t="str">
        <f>IFERROR(VLOOKUP($K$2,'24年度'!$B$6:$GT$52,192,FALSE),"-")</f>
        <v>-</v>
      </c>
      <c r="M6" s="374" t="str">
        <f>IFERROR(VLOOKUP($K$2,'25年度'!$B$6:$GT$52,192,FALSE),"-")</f>
        <v>-</v>
      </c>
      <c r="N6" s="374" t="str">
        <f>IFERROR(VLOOKUP($K$2,'26年度'!$B$6:$GT$52,192,FALSE),"-")</f>
        <v>-</v>
      </c>
      <c r="O6" s="374" t="str">
        <f>IFERROR(VLOOKUP($K$2,'27年度'!$B$6:$GT$52,192,FALSE),"-")</f>
        <v>-</v>
      </c>
      <c r="P6" s="374" t="str">
        <f>IFERROR(VLOOKUP($K$2,'28年度'!$B$6:$GT$52,192,FALSE),"-")</f>
        <v>-</v>
      </c>
      <c r="Q6" s="374" t="str">
        <f>IFERROR(VLOOKUP($K$2,'29年度'!$B$6:$GT$52,192,FALSE),"-")</f>
        <v>-</v>
      </c>
      <c r="R6" s="374" t="str">
        <f>IFERROR(VLOOKUP($K$2,'30年度'!$B$6:$GT$52,192,FALSE),"-")</f>
        <v>-</v>
      </c>
      <c r="S6" s="374" t="str">
        <f>IFERROR(VLOOKUP($K$2,'R1年度'!$B$6:$GU$52,193,FALSE),"-")</f>
        <v>-</v>
      </c>
      <c r="T6" s="374" t="str">
        <f>IFERROR(VLOOKUP($K$2,'R2年度'!$B$6:$GU$52,194,FALSE),"-")</f>
        <v>-</v>
      </c>
      <c r="U6" s="374" t="str">
        <f>IFERROR(VLOOKUP($K$2,'R3年度'!$B$6:$GU$52,194,FALSE),"-")</f>
        <v>-</v>
      </c>
      <c r="V6" s="374" t="str">
        <f>IFERROR(VLOOKUP($K$2,'R4年度'!$B$6:$GU$52,194,FALSE),"-")</f>
        <v>-</v>
      </c>
      <c r="W6" s="374" t="str">
        <f>IFERROR(VLOOKUP($K$2,'R5年度'!$B$6:$GU$52,194,FALSE),"-")</f>
        <v>-</v>
      </c>
      <c r="X6" s="374" t="str">
        <f>IFERROR(VLOOKUP($K$2,'R6年度'!$B$6:$GV$52,194,FALSE),"-")</f>
        <v>-</v>
      </c>
    </row>
    <row r="7" spans="2:24" s="31" customFormat="1" ht="15" customHeight="1" x14ac:dyDescent="0.15">
      <c r="B7" s="532"/>
      <c r="C7" s="170"/>
      <c r="D7" s="39" t="s">
        <v>332</v>
      </c>
      <c r="E7" s="40"/>
      <c r="F7" s="40"/>
      <c r="G7" s="375" t="str">
        <f>IFERROR(VLOOKUP($K$2,'19年度'!$B$6:$GT$49,193,FALSE),"-")</f>
        <v>-</v>
      </c>
      <c r="H7" s="375" t="str">
        <f>IFERROR(VLOOKUP($K$2,'20年度'!$B$6:$GT$49,193,FALSE),"-")</f>
        <v>-</v>
      </c>
      <c r="I7" s="375" t="str">
        <f>IFERROR(VLOOKUP($K$2,'21年度'!$B$6:$GT$49,193,FALSE),"-")</f>
        <v>-</v>
      </c>
      <c r="J7" s="375" t="str">
        <f>IFERROR(VLOOKUP($K$2,'22年度'!$B$6:$GT$49,193,FALSE),"-")</f>
        <v>-</v>
      </c>
      <c r="K7" s="375" t="str">
        <f>IFERROR(VLOOKUP($K$2,'23年度'!$B$6:$GT$52,193,FALSE),"-")</f>
        <v>-</v>
      </c>
      <c r="L7" s="375" t="str">
        <f>IFERROR(VLOOKUP($K$2,'24年度'!$B$6:$GT$52,193,FALSE),"-")</f>
        <v>-</v>
      </c>
      <c r="M7" s="375" t="str">
        <f>IFERROR(VLOOKUP($K$2,'25年度'!$B$6:$GT$52,193,FALSE),"-")</f>
        <v>-</v>
      </c>
      <c r="N7" s="375" t="str">
        <f>IFERROR(VLOOKUP($K$2,'26年度'!$B$6:$GT$52,193,FALSE),"-")</f>
        <v>-</v>
      </c>
      <c r="O7" s="375" t="str">
        <f>IFERROR(VLOOKUP($K$2,'27年度'!$B$6:$GT$52,193,FALSE),"-")</f>
        <v>-</v>
      </c>
      <c r="P7" s="375" t="str">
        <f>IFERROR(VLOOKUP($K$2,'28年度'!$B$6:$GT$52,193,FALSE),"-")</f>
        <v>-</v>
      </c>
      <c r="Q7" s="375" t="str">
        <f>IFERROR(VLOOKUP($K$2,'29年度'!$B$6:$GT$52,193,FALSE),"-")</f>
        <v>-</v>
      </c>
      <c r="R7" s="375" t="str">
        <f>IFERROR(VLOOKUP($K$2,'30年度'!$B$6:$GT$52,193,FALSE),"-")</f>
        <v>-</v>
      </c>
      <c r="S7" s="375" t="str">
        <f>IFERROR(VLOOKUP($K$2,'R1年度'!$B$6:$GU$52,194,FALSE),"-")</f>
        <v>-</v>
      </c>
      <c r="T7" s="375" t="str">
        <f>IFERROR(VLOOKUP($K$2,'R2年度'!$B$6:$GU$52,195,FALSE),"-")</f>
        <v>-</v>
      </c>
      <c r="U7" s="375" t="str">
        <f>IFERROR(VLOOKUP($K$2,'R3年度'!$B$6:$GU$52,195,FALSE),"-")</f>
        <v>-</v>
      </c>
      <c r="V7" s="375" t="str">
        <f>IFERROR(VLOOKUP($K$2,'R4年度'!$B$6:$GU$52,195,FALSE),"-")</f>
        <v>-</v>
      </c>
      <c r="W7" s="375" t="str">
        <f>IFERROR(VLOOKUP($K$2,'R5年度'!$B$6:$GU$52,195,FALSE),"-")</f>
        <v>-</v>
      </c>
      <c r="X7" s="375" t="str">
        <f>IFERROR(VLOOKUP($K$2,'R6年度'!$B$6:$GV$52,195,FALSE),"-")</f>
        <v>-</v>
      </c>
    </row>
    <row r="8" spans="2:24" ht="15" customHeight="1" x14ac:dyDescent="0.15">
      <c r="B8" s="532"/>
      <c r="C8" s="37" t="s">
        <v>333</v>
      </c>
      <c r="G8" s="373" t="str">
        <f>IFERROR(VLOOKUP($K$2,'19年度'!$B$6:$GT$49,194,FALSE),"-")</f>
        <v>-</v>
      </c>
      <c r="H8" s="373" t="str">
        <f>IFERROR(VLOOKUP($K$2,'20年度'!$B$6:$GT$49,194,FALSE),"-")</f>
        <v>-</v>
      </c>
      <c r="I8" s="373" t="str">
        <f>IFERROR(VLOOKUP($K$2,'21年度'!$B$6:$GT$49,194,FALSE),"-")</f>
        <v>-</v>
      </c>
      <c r="J8" s="373" t="str">
        <f>IFERROR(VLOOKUP($K$2,'22年度'!$B$6:$GT$49,194,FALSE),"-")</f>
        <v>-</v>
      </c>
      <c r="K8" s="373" t="str">
        <f>IFERROR(VLOOKUP($K$2,'23年度'!$B$6:$GT$52,194,FALSE),"-")</f>
        <v>-</v>
      </c>
      <c r="L8" s="373" t="str">
        <f>IFERROR(VLOOKUP($K$2,'24年度'!$B$6:$GT$52,194,FALSE),"-")</f>
        <v>-</v>
      </c>
      <c r="M8" s="373" t="str">
        <f>IFERROR(VLOOKUP($K$2,'25年度'!$B$6:$GT$52,194,FALSE),"-")</f>
        <v>-</v>
      </c>
      <c r="N8" s="373" t="str">
        <f>IFERROR(VLOOKUP($K$2,'26年度'!$B$6:$GT$52,194,FALSE),"-")</f>
        <v>-</v>
      </c>
      <c r="O8" s="373" t="str">
        <f>IFERROR(VLOOKUP($K$2,'27年度'!$B$6:$GT$52,194,FALSE),"-")</f>
        <v>-</v>
      </c>
      <c r="P8" s="373" t="str">
        <f>IFERROR(VLOOKUP($K$2,'28年度'!$B$6:$GT$52,194,FALSE),"-")</f>
        <v>-</v>
      </c>
      <c r="Q8" s="373" t="str">
        <f>IFERROR(VLOOKUP($K$2,'29年度'!$B$6:$GT$52,194,FALSE),"-")</f>
        <v>-</v>
      </c>
      <c r="R8" s="373" t="str">
        <f>IFERROR(VLOOKUP($K$2,'30年度'!$B$6:$GT$52,194,FALSE),"-")</f>
        <v>-</v>
      </c>
      <c r="S8" s="373" t="str">
        <f>IFERROR(VLOOKUP($K$2,'R1年度'!$B$6:$GU$52,195,FALSE),"-")</f>
        <v>-</v>
      </c>
      <c r="T8" s="373" t="str">
        <f>IFERROR(VLOOKUP($K$2,'R2年度'!$B$6:$GU$52,196,FALSE),"-")</f>
        <v>-</v>
      </c>
      <c r="U8" s="373" t="str">
        <f>IFERROR(VLOOKUP($K$2,'R3年度'!$B$6:$GU$52,196,FALSE),"-")</f>
        <v>-</v>
      </c>
      <c r="V8" s="373" t="str">
        <f>IFERROR(VLOOKUP($K$2,'R4年度'!$B$6:$GU$52,196,FALSE),"-")</f>
        <v>-</v>
      </c>
      <c r="W8" s="373" t="str">
        <f>IFERROR(VLOOKUP($K$2,'R5年度'!$B$6:$GU$52,196,FALSE),"-")</f>
        <v>-</v>
      </c>
      <c r="X8" s="373" t="str">
        <f>IFERROR(VLOOKUP($K$2,'R6年度'!$B$6:$GV$52,196,FALSE),"-")</f>
        <v>-</v>
      </c>
    </row>
    <row r="9" spans="2:24" s="31" customFormat="1" ht="15" customHeight="1" x14ac:dyDescent="0.15">
      <c r="B9" s="532"/>
      <c r="C9" s="168"/>
      <c r="D9" s="12" t="s">
        <v>331</v>
      </c>
      <c r="E9" s="38"/>
      <c r="F9" s="38"/>
      <c r="G9" s="374" t="str">
        <f>IFERROR(VLOOKUP($K$2,'19年度'!$B$6:$GT$49,195,FALSE),"-")</f>
        <v>-</v>
      </c>
      <c r="H9" s="374" t="str">
        <f>IFERROR(VLOOKUP($K$2,'20年度'!$B$6:$GT$49,195,FALSE),"-")</f>
        <v>-</v>
      </c>
      <c r="I9" s="374" t="str">
        <f>IFERROR(VLOOKUP($K$2,'21年度'!$B$6:$GT$49,195,FALSE),"-")</f>
        <v>-</v>
      </c>
      <c r="J9" s="374" t="str">
        <f>IFERROR(VLOOKUP($K$2,'22年度'!$B$6:$GT$49,195,FALSE),"-")</f>
        <v>-</v>
      </c>
      <c r="K9" s="374" t="str">
        <f>IFERROR(VLOOKUP($K$2,'23年度'!$B$6:$GT$52,195,FALSE),"-")</f>
        <v>-</v>
      </c>
      <c r="L9" s="374" t="str">
        <f>IFERROR(VLOOKUP($K$2,'24年度'!$B$6:$GT$52,195,FALSE),"-")</f>
        <v>-</v>
      </c>
      <c r="M9" s="374" t="str">
        <f>IFERROR(VLOOKUP($K$2,'25年度'!$B$6:$GT$52,195,FALSE),"-")</f>
        <v>-</v>
      </c>
      <c r="N9" s="374" t="str">
        <f>IFERROR(VLOOKUP($K$2,'26年度'!$B$6:$GT$52,195,FALSE),"-")</f>
        <v>-</v>
      </c>
      <c r="O9" s="374" t="str">
        <f>IFERROR(VLOOKUP($K$2,'27年度'!$B$6:$GT$52,195,FALSE),"-")</f>
        <v>-</v>
      </c>
      <c r="P9" s="374" t="str">
        <f>IFERROR(VLOOKUP($K$2,'28年度'!$B$6:$GT$52,195,FALSE),"-")</f>
        <v>-</v>
      </c>
      <c r="Q9" s="374" t="str">
        <f>IFERROR(VLOOKUP($K$2,'29年度'!$B$6:$GT$52,195,FALSE),"-")</f>
        <v>-</v>
      </c>
      <c r="R9" s="374" t="str">
        <f>IFERROR(VLOOKUP($K$2,'30年度'!$B$6:$GT$52,195,FALSE),"-")</f>
        <v>-</v>
      </c>
      <c r="S9" s="374" t="str">
        <f>IFERROR(VLOOKUP($K$2,'R1年度'!$B$6:$GU$52,196,FALSE),"-")</f>
        <v>-</v>
      </c>
      <c r="T9" s="374" t="str">
        <f>IFERROR(VLOOKUP($K$2,'R2年度'!$B$6:$GU$52,197,FALSE),"-")</f>
        <v>-</v>
      </c>
      <c r="U9" s="374" t="str">
        <f>IFERROR(VLOOKUP($K$2,'R3年度'!$B$6:$GU$52,197,FALSE),"-")</f>
        <v>-</v>
      </c>
      <c r="V9" s="374" t="str">
        <f>IFERROR(VLOOKUP($K$2,'R4年度'!$B$6:$GU$52,197,FALSE),"-")</f>
        <v>-</v>
      </c>
      <c r="W9" s="374" t="str">
        <f>IFERROR(VLOOKUP($K$2,'R5年度'!$B$6:$GU$52,197,FALSE),"-")</f>
        <v>-</v>
      </c>
      <c r="X9" s="374" t="str">
        <f>IFERROR(VLOOKUP($K$2,'R6年度'!$B$6:$GV$52,197,FALSE),"-")</f>
        <v>-</v>
      </c>
    </row>
    <row r="10" spans="2:24" s="31" customFormat="1" ht="15" customHeight="1" x14ac:dyDescent="0.15">
      <c r="B10" s="532"/>
      <c r="C10" s="170"/>
      <c r="D10" s="39" t="s">
        <v>332</v>
      </c>
      <c r="E10" s="40"/>
      <c r="F10" s="40"/>
      <c r="G10" s="375" t="str">
        <f>IFERROR(VLOOKUP($K$2,'19年度'!$B$6:$GT$49,196,FALSE),"-")</f>
        <v>-</v>
      </c>
      <c r="H10" s="375" t="str">
        <f>IFERROR(VLOOKUP($K$2,'20年度'!$B$6:$GT$49,196,FALSE),"-")</f>
        <v>-</v>
      </c>
      <c r="I10" s="375" t="str">
        <f>IFERROR(VLOOKUP($K$2,'21年度'!$B$6:$GT$49,196,FALSE),"-")</f>
        <v>-</v>
      </c>
      <c r="J10" s="375" t="str">
        <f>IFERROR(VLOOKUP($K$2,'22年度'!$B$6:$GT$49,196,FALSE),"-")</f>
        <v>-</v>
      </c>
      <c r="K10" s="375" t="str">
        <f>IFERROR(VLOOKUP($K$2,'23年度'!$B$6:$GT$52,196,FALSE),"-")</f>
        <v>-</v>
      </c>
      <c r="L10" s="375" t="str">
        <f>IFERROR(VLOOKUP($K$2,'24年度'!$B$6:$GT$52,196,FALSE),"-")</f>
        <v>-</v>
      </c>
      <c r="M10" s="375" t="str">
        <f>IFERROR(VLOOKUP($K$2,'25年度'!$B$6:$GT$52,196,FALSE),"-")</f>
        <v>-</v>
      </c>
      <c r="N10" s="375" t="str">
        <f>IFERROR(VLOOKUP($K$2,'26年度'!$B$6:$GT$52,196,FALSE),"-")</f>
        <v>-</v>
      </c>
      <c r="O10" s="375" t="str">
        <f>IFERROR(VLOOKUP($K$2,'27年度'!$B$6:$GT$52,196,FALSE),"-")</f>
        <v>-</v>
      </c>
      <c r="P10" s="375" t="str">
        <f>IFERROR(VLOOKUP($K$2,'28年度'!$B$6:$GT$52,196,FALSE),"-")</f>
        <v>-</v>
      </c>
      <c r="Q10" s="375" t="str">
        <f>IFERROR(VLOOKUP($K$2,'29年度'!$B$6:$GT$52,196,FALSE),"-")</f>
        <v>-</v>
      </c>
      <c r="R10" s="375" t="str">
        <f>IFERROR(VLOOKUP($K$2,'30年度'!$B$6:$GT$52,196,FALSE),"-")</f>
        <v>-</v>
      </c>
      <c r="S10" s="375" t="str">
        <f>IFERROR(VLOOKUP($K$2,'R1年度'!$B$6:$GU$52,197,FALSE),"-")</f>
        <v>-</v>
      </c>
      <c r="T10" s="375" t="str">
        <f>IFERROR(VLOOKUP($K$2,'R2年度'!$B$6:$GU$52,198,FALSE),"-")</f>
        <v>-</v>
      </c>
      <c r="U10" s="375" t="str">
        <f>IFERROR(VLOOKUP($K$2,'R3年度'!$B$6:$GU$52,198,FALSE),"-")</f>
        <v>-</v>
      </c>
      <c r="V10" s="375" t="str">
        <f>IFERROR(VLOOKUP($K$2,'R4年度'!$B$6:$GU$52,198,FALSE),"-")</f>
        <v>-</v>
      </c>
      <c r="W10" s="375" t="str">
        <f>IFERROR(VLOOKUP($K$2,'R5年度'!$B$6:$GU$52,198,FALSE),"-")</f>
        <v>-</v>
      </c>
      <c r="X10" s="375" t="str">
        <f>IFERROR(VLOOKUP($K$2,'R6年度'!$B$6:$GV$52,198,FALSE),"-")</f>
        <v>-</v>
      </c>
    </row>
    <row r="11" spans="2:24" ht="15" customHeight="1" x14ac:dyDescent="0.15">
      <c r="B11" s="532"/>
      <c r="C11" s="37" t="s">
        <v>334</v>
      </c>
      <c r="G11" s="376" t="str">
        <f>IFERROR(VLOOKUP($K$2,'19年度'!$B$6:$GT$49,197,FALSE),"-")</f>
        <v>-</v>
      </c>
      <c r="H11" s="376" t="str">
        <f>IFERROR(VLOOKUP($K$2,'20年度'!$B$6:$GT$49,197,FALSE),"-")</f>
        <v>-</v>
      </c>
      <c r="I11" s="376" t="str">
        <f>IFERROR(VLOOKUP($K$2,'21年度'!$B$6:$GT$49,197,FALSE),"-")</f>
        <v>-</v>
      </c>
      <c r="J11" s="376" t="str">
        <f>IFERROR(VLOOKUP($K$2,'22年度'!$B$6:$GT$49,197,FALSE),"-")</f>
        <v>-</v>
      </c>
      <c r="K11" s="376">
        <f>IFERROR(VLOOKUP($K$2,'23年度'!$B$6:$GT$52,197,FALSE),"-")</f>
        <v>7.9</v>
      </c>
      <c r="L11" s="376">
        <f>IFERROR(VLOOKUP($K$2,'24年度'!$B$6:$GT$52,197,FALSE),"-")</f>
        <v>7.5</v>
      </c>
      <c r="M11" s="376">
        <f>IFERROR(VLOOKUP($K$2,'25年度'!$B$6:$GT$52,197,FALSE),"-")</f>
        <v>7.2</v>
      </c>
      <c r="N11" s="376">
        <f>IFERROR(VLOOKUP($K$2,'26年度'!$B$6:$GT$52,197,FALSE),"-")</f>
        <v>7.1</v>
      </c>
      <c r="O11" s="376">
        <f>IFERROR(VLOOKUP($K$2,'27年度'!$B$6:$GT$52,197,FALSE),"-")</f>
        <v>6.8</v>
      </c>
      <c r="P11" s="376">
        <f>IFERROR(VLOOKUP($K$2,'28年度'!$B$6:$GT$52,197,FALSE),"-")</f>
        <v>6.1</v>
      </c>
      <c r="Q11" s="376">
        <f>IFERROR(VLOOKUP($K$2,'29年度'!$B$6:$GT$52,197,FALSE),"-")</f>
        <v>5</v>
      </c>
      <c r="R11" s="376">
        <f>IFERROR(VLOOKUP($K$2,'30年度'!$B$6:$GT$52,197,FALSE),"-")</f>
        <v>4.0999999999999996</v>
      </c>
      <c r="S11" s="376">
        <f>IFERROR(VLOOKUP($K$2,'R1年度'!$B$6:$GU$52,198,FALSE),"-")</f>
        <v>3.6</v>
      </c>
      <c r="T11" s="376">
        <f>IFERROR(VLOOKUP($K$2,'R2年度'!$B$6:$GU$52,199,FALSE),"-")</f>
        <v>3.4</v>
      </c>
      <c r="U11" s="376">
        <f>IFERROR(VLOOKUP($K$2,'R3年度'!$B$6:$GU$52,199,FALSE),"-")</f>
        <v>2.9</v>
      </c>
      <c r="V11" s="376">
        <f>IFERROR(VLOOKUP($K$2,'R4年度'!$B$6:$GU$52,199,FALSE),"-")</f>
        <v>2.7</v>
      </c>
      <c r="W11" s="376">
        <f>IFERROR(VLOOKUP($K$2,'R5年度'!$B$6:$GU$52,199,FALSE),"-")</f>
        <v>2.4</v>
      </c>
      <c r="X11" s="376">
        <f>IFERROR(VLOOKUP($K$2,'R6年度'!$B$6:$GV$52,199,FALSE),"-")</f>
        <v>1.9</v>
      </c>
    </row>
    <row r="12" spans="2:24" ht="15" customHeight="1" x14ac:dyDescent="0.15">
      <c r="B12" s="532"/>
      <c r="C12" s="37"/>
      <c r="D12" s="12" t="s">
        <v>331</v>
      </c>
      <c r="E12" s="38"/>
      <c r="F12" s="38"/>
      <c r="G12" s="377" t="str">
        <f>IFERROR(VLOOKUP($K$2,'19年度'!$B$6:$GT$49,198,FALSE),"-")</f>
        <v>-</v>
      </c>
      <c r="H12" s="377" t="str">
        <f>IFERROR(VLOOKUP($K$2,'20年度'!$B$6:$GT$49,198,FALSE),"-")</f>
        <v>-</v>
      </c>
      <c r="I12" s="377" t="str">
        <f>IFERROR(VLOOKUP($K$2,'21年度'!$B$6:$GT$49,198,FALSE),"-")</f>
        <v>-</v>
      </c>
      <c r="J12" s="377" t="str">
        <f>IFERROR(VLOOKUP($K$2,'22年度'!$B$6:$GT$49,198,FALSE),"-")</f>
        <v>-</v>
      </c>
      <c r="K12" s="377" t="str">
        <f>IFERROR(VLOOKUP($K$2,'23年度'!$B$6:$GT$52,198,FALSE),"-")</f>
        <v>-</v>
      </c>
      <c r="L12" s="377" t="str">
        <f>IFERROR(VLOOKUP($K$2,'24年度'!$B$6:$GT$52,198,FALSE),"-")</f>
        <v>-</v>
      </c>
      <c r="M12" s="377" t="str">
        <f>IFERROR(VLOOKUP($K$2,'25年度'!$B$6:$GT$52,198,FALSE),"-")</f>
        <v>-</v>
      </c>
      <c r="N12" s="377" t="str">
        <f>IFERROR(VLOOKUP($K$2,'26年度'!$B$6:$GT$52,198,FALSE),"-")</f>
        <v>-</v>
      </c>
      <c r="O12" s="377" t="str">
        <f>IFERROR(VLOOKUP($K$2,'27年度'!$B$6:$GT$52,198,FALSE),"-")</f>
        <v>-</v>
      </c>
      <c r="P12" s="377" t="str">
        <f>IFERROR(VLOOKUP($K$2,'28年度'!$B$6:$GT$52,198,FALSE),"-")</f>
        <v>-</v>
      </c>
      <c r="Q12" s="377" t="str">
        <f>IFERROR(VLOOKUP($K$2,'29年度'!$B$6:$GT$52,198,FALSE),"-")</f>
        <v>-</v>
      </c>
      <c r="R12" s="377" t="str">
        <f>IFERROR(VLOOKUP($K$2,'30年度'!$B$6:$GT$52,198,FALSE),"-")</f>
        <v>-</v>
      </c>
      <c r="S12" s="377" t="str">
        <f>IFERROR(VLOOKUP($K$2,'R1年度'!$B$6:$GU$52,199,FALSE),"-")</f>
        <v>-</v>
      </c>
      <c r="T12" s="377" t="str">
        <f>IFERROR(VLOOKUP($K$2,'R2年度'!$B$6:$GU$52,200,FALSE),"-")</f>
        <v>-</v>
      </c>
      <c r="U12" s="377" t="str">
        <f>IFERROR(VLOOKUP($K$2,'R3年度'!$B$6:$GU$52,200,FALSE),"-")</f>
        <v>-</v>
      </c>
      <c r="V12" s="377" t="str">
        <f>IFERROR(VLOOKUP($K$2,'R4年度'!$B$6:$GU$52,200,FALSE),"-")</f>
        <v>-</v>
      </c>
      <c r="W12" s="377" t="str">
        <f>IFERROR(VLOOKUP($K$2,'R5年度'!$B$6:$GU$52,200,FALSE),"-")</f>
        <v>-</v>
      </c>
      <c r="X12" s="377" t="str">
        <f>IFERROR(VLOOKUP($K$2,'R6年度'!$B$6:$GV$52,200,FALSE),"-")</f>
        <v>-</v>
      </c>
    </row>
    <row r="13" spans="2:24" ht="15" customHeight="1" x14ac:dyDescent="0.15">
      <c r="B13" s="532"/>
      <c r="C13" s="59"/>
      <c r="D13" s="39" t="s">
        <v>332</v>
      </c>
      <c r="E13" s="40"/>
      <c r="F13" s="40"/>
      <c r="G13" s="378" t="str">
        <f>IFERROR(VLOOKUP($K$2,'19年度'!$B$6:$GT$49,199,FALSE),"-")</f>
        <v>-</v>
      </c>
      <c r="H13" s="378" t="str">
        <f>IFERROR(VLOOKUP($K$2,'20年度'!$B$6:$GT$49,199,FALSE),"-")</f>
        <v>-</v>
      </c>
      <c r="I13" s="378" t="str">
        <f>IFERROR(VLOOKUP($K$2,'21年度'!$B$6:$GT$49,199,FALSE),"-")</f>
        <v>-</v>
      </c>
      <c r="J13" s="378" t="str">
        <f>IFERROR(VLOOKUP($K$2,'22年度'!$B$6:$GT$49,199,FALSE),"-")</f>
        <v>-</v>
      </c>
      <c r="K13" s="378" t="str">
        <f>IFERROR(VLOOKUP($K$2,'23年度'!$B$6:$GT$52,199,FALSE),"-")</f>
        <v>-</v>
      </c>
      <c r="L13" s="378" t="str">
        <f>IFERROR(VLOOKUP($K$2,'24年度'!$B$6:$GT$52,199,FALSE),"-")</f>
        <v>-</v>
      </c>
      <c r="M13" s="378" t="str">
        <f>IFERROR(VLOOKUP($K$2,'25年度'!$B$6:$GT$52,199,FALSE),"-")</f>
        <v>-</v>
      </c>
      <c r="N13" s="378" t="str">
        <f>IFERROR(VLOOKUP($K$2,'26年度'!$B$6:$GT$52,199,FALSE),"-")</f>
        <v>-</v>
      </c>
      <c r="O13" s="378" t="str">
        <f>IFERROR(VLOOKUP($K$2,'27年度'!$B$6:$GT$52,199,FALSE),"-")</f>
        <v>-</v>
      </c>
      <c r="P13" s="378" t="str">
        <f>IFERROR(VLOOKUP($K$2,'28年度'!$B$6:$GT$52,199,FALSE),"-")</f>
        <v>-</v>
      </c>
      <c r="Q13" s="378" t="str">
        <f>IFERROR(VLOOKUP($K$2,'29年度'!$B$6:$GT$52,199,FALSE),"-")</f>
        <v>-</v>
      </c>
      <c r="R13" s="378" t="str">
        <f>IFERROR(VLOOKUP($K$2,'30年度'!$B$6:$GT$52,199,FALSE),"-")</f>
        <v>-</v>
      </c>
      <c r="S13" s="378" t="str">
        <f>IFERROR(VLOOKUP($K$2,'R1年度'!$B$6:$GU$52,200,FALSE),"-")</f>
        <v>-</v>
      </c>
      <c r="T13" s="378" t="str">
        <f>IFERROR(VLOOKUP($K$2,'R2年度'!$B$6:$GU$52,201,FALSE),"-")</f>
        <v>-</v>
      </c>
      <c r="U13" s="378" t="str">
        <f>IFERROR(VLOOKUP($K$2,'R3年度'!$B$6:$GU$52,201,FALSE),"-")</f>
        <v>-</v>
      </c>
      <c r="V13" s="378" t="str">
        <f>IFERROR(VLOOKUP($K$2,'R4年度'!$B$6:$GU$52,201,FALSE),"-")</f>
        <v>-</v>
      </c>
      <c r="W13" s="378" t="str">
        <f>IFERROR(VLOOKUP($K$2,'R5年度'!$B$6:$GU$52,201,FALSE),"-")</f>
        <v>-</v>
      </c>
      <c r="X13" s="378" t="str">
        <f>IFERROR(VLOOKUP($K$2,'R6年度'!$B$6:$GV$52,201,FALSE),"-")</f>
        <v>-</v>
      </c>
    </row>
    <row r="14" spans="2:24" ht="15" customHeight="1" x14ac:dyDescent="0.15">
      <c r="B14" s="532"/>
      <c r="C14" s="37" t="s">
        <v>335</v>
      </c>
      <c r="G14" s="376" t="str">
        <f>IFERROR(VLOOKUP($K$2,'19年度'!$B$6:$GT$49,200,FALSE),"-")</f>
        <v>-</v>
      </c>
      <c r="H14" s="376" t="str">
        <f>IFERROR(VLOOKUP($K$2,'20年度'!$B$6:$GT$49,200,FALSE),"-")</f>
        <v>-</v>
      </c>
      <c r="I14" s="376" t="str">
        <f>IFERROR(VLOOKUP($K$2,'21年度'!$B$6:$GT$49,200,FALSE),"-")</f>
        <v>-</v>
      </c>
      <c r="J14" s="376" t="str">
        <f>IFERROR(VLOOKUP($K$2,'22年度'!$B$6:$GT$49,200,FALSE),"-")</f>
        <v>-</v>
      </c>
      <c r="K14" s="376">
        <f>IFERROR(VLOOKUP($K$2,'23年度'!$B$6:$GT$52,200,FALSE),"-")</f>
        <v>102.9</v>
      </c>
      <c r="L14" s="376">
        <f>IFERROR(VLOOKUP($K$2,'24年度'!$B$6:$GT$52,200,FALSE),"-")</f>
        <v>87.4</v>
      </c>
      <c r="M14" s="376">
        <f>IFERROR(VLOOKUP($K$2,'25年度'!$B$6:$GT$52,200,FALSE),"-")</f>
        <v>69.7</v>
      </c>
      <c r="N14" s="376">
        <f>IFERROR(VLOOKUP($K$2,'26年度'!$B$6:$GT$52,200,FALSE),"-")</f>
        <v>62.3</v>
      </c>
      <c r="O14" s="376">
        <f>IFERROR(VLOOKUP($K$2,'27年度'!$B$6:$GT$52,200,FALSE),"-")</f>
        <v>48.5</v>
      </c>
      <c r="P14" s="376">
        <f>IFERROR(VLOOKUP($K$2,'28年度'!$B$6:$GT$52,200,FALSE),"-")</f>
        <v>38.299999999999997</v>
      </c>
      <c r="Q14" s="376">
        <f>IFERROR(VLOOKUP($K$2,'29年度'!$B$6:$GT$52,200,FALSE),"-")</f>
        <v>27.5</v>
      </c>
      <c r="R14" s="376">
        <f>IFERROR(VLOOKUP($K$2,'30年度'!$B$6:$GT$52,200,FALSE),"-")</f>
        <v>15.8</v>
      </c>
      <c r="S14" s="376">
        <f>IFERROR(VLOOKUP($K$2,'R1年度'!$B$6:$GU$52,201,FALSE),"-")</f>
        <v>3.6</v>
      </c>
      <c r="T14" s="376" t="str">
        <f>IFERROR(VLOOKUP($K$2,'R2年度'!$B$6:$GU$52,202,FALSE),"-")</f>
        <v>-</v>
      </c>
      <c r="U14" s="376" t="str">
        <f>IFERROR(VLOOKUP($K$2,'R3年度'!$B$6:$GU$52,202,FALSE),"-")</f>
        <v>-</v>
      </c>
      <c r="V14" s="376" t="str">
        <f>IFERROR(VLOOKUP($K$2,'R4年度'!$B$6:$GU$52,202,FALSE),"-")</f>
        <v>-</v>
      </c>
      <c r="W14" s="376" t="str">
        <f>IFERROR(VLOOKUP($K$2,'R5年度'!$B$6:$GU$52,202,FALSE),"-")</f>
        <v>-</v>
      </c>
      <c r="X14" s="376" t="str">
        <f>IFERROR(VLOOKUP($K$2,'R6年度'!$B$6:$GV$52,202,FALSE),"-")</f>
        <v>-</v>
      </c>
    </row>
    <row r="15" spans="2:24" ht="15" customHeight="1" x14ac:dyDescent="0.15">
      <c r="B15" s="533"/>
      <c r="C15" s="59"/>
      <c r="D15" s="39" t="s">
        <v>331</v>
      </c>
      <c r="E15" s="40"/>
      <c r="F15" s="40"/>
      <c r="G15" s="378" t="str">
        <f>IFERROR(VLOOKUP($K$2,'19年度'!$B$6:$GT$49,201,FALSE),"-")</f>
        <v>-</v>
      </c>
      <c r="H15" s="378" t="str">
        <f>IFERROR(VLOOKUP($K$2,'20年度'!$B$6:$GT$49,201,FALSE),"-")</f>
        <v>-</v>
      </c>
      <c r="I15" s="378" t="str">
        <f>IFERROR(VLOOKUP($K$2,'21年度'!$B$6:$GT$49,201,FALSE),"-")</f>
        <v>-</v>
      </c>
      <c r="J15" s="378" t="str">
        <f>IFERROR(VLOOKUP($K$2,'22年度'!$B$6:$GT$49,201,FALSE),"-")</f>
        <v>-</v>
      </c>
      <c r="K15" s="378" t="str">
        <f>IFERROR(VLOOKUP($K$2,'23年度'!$B$6:$GT$52,201,FALSE),"-")</f>
        <v>-</v>
      </c>
      <c r="L15" s="378" t="str">
        <f>IFERROR(VLOOKUP($K$2,'24年度'!$B$6:$GT$52,201,FALSE),"-")</f>
        <v>-</v>
      </c>
      <c r="M15" s="378" t="str">
        <f>IFERROR(VLOOKUP($K$2,'25年度'!$B$6:$GT$52,201,FALSE),"-")</f>
        <v>-</v>
      </c>
      <c r="N15" s="378" t="str">
        <f>IFERROR(VLOOKUP($K$2,'26年度'!$B$6:$GT$52,201,FALSE),"-")</f>
        <v>-</v>
      </c>
      <c r="O15" s="378" t="str">
        <f>IFERROR(VLOOKUP($K$2,'27年度'!$B$6:$GT$52,201,FALSE),"-")</f>
        <v>-</v>
      </c>
      <c r="P15" s="378" t="str">
        <f>IFERROR(VLOOKUP($K$2,'28年度'!$B$6:$GT$52,201,FALSE),"-")</f>
        <v>-</v>
      </c>
      <c r="Q15" s="378" t="str">
        <f>IFERROR(VLOOKUP($K$2,'29年度'!$B$6:$GT$52,201,FALSE),"-")</f>
        <v>-</v>
      </c>
      <c r="R15" s="378" t="str">
        <f>IFERROR(VLOOKUP($K$2,'30年度'!$B$6:$GT$52,201,FALSE),"-")</f>
        <v>-</v>
      </c>
      <c r="S15" s="378" t="str">
        <f>IFERROR(VLOOKUP($K$2,'R1年度'!$B$6:$GU$52,202,FALSE),"-")</f>
        <v>-</v>
      </c>
      <c r="T15" s="378" t="str">
        <f>IFERROR(VLOOKUP($K$2,'R2年度'!$B$6:$GV$52,203,FALSE),"-")</f>
        <v>-</v>
      </c>
      <c r="U15" s="378" t="str">
        <f>IFERROR(VLOOKUP($K$2,'R3年度'!$B$6:$GV$52,203,FALSE),"-")</f>
        <v>-</v>
      </c>
      <c r="V15" s="378" t="str">
        <f>IFERROR(VLOOKUP($K$2,'R4年度'!$B$6:$GV$52,203,FALSE),"-")</f>
        <v>-</v>
      </c>
      <c r="W15" s="378" t="str">
        <f>IFERROR(VLOOKUP($K$2,'R5年度'!$B$6:$GV$52,203,FALSE),"-")</f>
        <v>-</v>
      </c>
      <c r="X15" s="378" t="str">
        <f>IFERROR(VLOOKUP($K$2,'R6年度'!$B$6:$GW$52,203,FALSE),"-")</f>
        <v>-</v>
      </c>
    </row>
    <row r="17" spans="2:4" x14ac:dyDescent="0.15">
      <c r="B17" s="41"/>
      <c r="C17" s="42"/>
      <c r="D17" s="31" t="s">
        <v>336</v>
      </c>
    </row>
    <row r="18" spans="2:4" x14ac:dyDescent="0.15">
      <c r="B18" s="44"/>
      <c r="C18" s="45"/>
      <c r="D18" s="31" t="s">
        <v>337</v>
      </c>
    </row>
  </sheetData>
  <mergeCells count="4">
    <mergeCell ref="B4:F4"/>
    <mergeCell ref="M2:R2"/>
    <mergeCell ref="K2:L2"/>
    <mergeCell ref="B5:B15"/>
  </mergeCells>
  <phoneticPr fontId="3"/>
  <conditionalFormatting sqref="G5:H5">
    <cfRule type="cellIs" dxfId="133" priority="122" stopIfTrue="1" operator="equal">
      <formula>"-"</formula>
    </cfRule>
    <cfRule type="cellIs" dxfId="132" priority="123" stopIfTrue="1" operator="greaterThanOrEqual">
      <formula>G$7</formula>
    </cfRule>
    <cfRule type="cellIs" dxfId="131" priority="124" stopIfTrue="1" operator="greaterThanOrEqual">
      <formula>G$6</formula>
    </cfRule>
  </conditionalFormatting>
  <conditionalFormatting sqref="G8:H8">
    <cfRule type="cellIs" dxfId="130" priority="125" stopIfTrue="1" operator="equal">
      <formula>"-"</formula>
    </cfRule>
    <cfRule type="cellIs" dxfId="129" priority="126" stopIfTrue="1" operator="greaterThanOrEqual">
      <formula>G$10</formula>
    </cfRule>
    <cfRule type="cellIs" dxfId="128" priority="127" stopIfTrue="1" operator="greaterThanOrEqual">
      <formula>G$9</formula>
    </cfRule>
  </conditionalFormatting>
  <conditionalFormatting sqref="G11:H11">
    <cfRule type="cellIs" dxfId="127" priority="128" stopIfTrue="1" operator="equal">
      <formula>"-"</formula>
    </cfRule>
    <cfRule type="cellIs" dxfId="126" priority="129" stopIfTrue="1" operator="greaterThanOrEqual">
      <formula>G$13</formula>
    </cfRule>
    <cfRule type="cellIs" dxfId="125" priority="130" stopIfTrue="1" operator="greaterThanOrEqual">
      <formula>G$12</formula>
    </cfRule>
  </conditionalFormatting>
  <conditionalFormatting sqref="G14:H14">
    <cfRule type="cellIs" dxfId="124" priority="131" stopIfTrue="1" operator="equal">
      <formula>"-"</formula>
    </cfRule>
    <cfRule type="cellIs" dxfId="123" priority="132" stopIfTrue="1" operator="greaterThanOrEqual">
      <formula>G$15</formula>
    </cfRule>
  </conditionalFormatting>
  <conditionalFormatting sqref="I5:J5">
    <cfRule type="cellIs" dxfId="122" priority="111" stopIfTrue="1" operator="equal">
      <formula>"-"</formula>
    </cfRule>
    <cfRule type="cellIs" dxfId="121" priority="112" stopIfTrue="1" operator="greaterThanOrEqual">
      <formula>I$7</formula>
    </cfRule>
    <cfRule type="cellIs" dxfId="120" priority="113" stopIfTrue="1" operator="greaterThanOrEqual">
      <formula>I$6</formula>
    </cfRule>
  </conditionalFormatting>
  <conditionalFormatting sqref="I8:J8">
    <cfRule type="cellIs" dxfId="119" priority="114" stopIfTrue="1" operator="equal">
      <formula>"-"</formula>
    </cfRule>
    <cfRule type="cellIs" dxfId="118" priority="115" stopIfTrue="1" operator="greaterThanOrEqual">
      <formula>I$10</formula>
    </cfRule>
    <cfRule type="cellIs" dxfId="117" priority="116" stopIfTrue="1" operator="greaterThanOrEqual">
      <formula>I$9</formula>
    </cfRule>
  </conditionalFormatting>
  <conditionalFormatting sqref="I11:J11">
    <cfRule type="cellIs" dxfId="116" priority="117" stopIfTrue="1" operator="equal">
      <formula>"-"</formula>
    </cfRule>
    <cfRule type="cellIs" dxfId="115" priority="118" stopIfTrue="1" operator="greaterThanOrEqual">
      <formula>I$13</formula>
    </cfRule>
    <cfRule type="cellIs" dxfId="114" priority="119" stopIfTrue="1" operator="greaterThanOrEqual">
      <formula>I$12</formula>
    </cfRule>
  </conditionalFormatting>
  <conditionalFormatting sqref="I14:J14">
    <cfRule type="cellIs" dxfId="113" priority="120" stopIfTrue="1" operator="equal">
      <formula>"-"</formula>
    </cfRule>
    <cfRule type="cellIs" dxfId="112" priority="121" stopIfTrue="1" operator="greaterThanOrEqual">
      <formula>I$15</formula>
    </cfRule>
  </conditionalFormatting>
  <conditionalFormatting sqref="K5">
    <cfRule type="cellIs" dxfId="111" priority="100" stopIfTrue="1" operator="equal">
      <formula>"-"</formula>
    </cfRule>
    <cfRule type="cellIs" dxfId="110" priority="101" stopIfTrue="1" operator="greaterThanOrEqual">
      <formula>K$7</formula>
    </cfRule>
    <cfRule type="cellIs" dxfId="109" priority="102" stopIfTrue="1" operator="greaterThanOrEqual">
      <formula>K$6</formula>
    </cfRule>
  </conditionalFormatting>
  <conditionalFormatting sqref="K8">
    <cfRule type="cellIs" dxfId="108" priority="103" stopIfTrue="1" operator="equal">
      <formula>"-"</formula>
    </cfRule>
    <cfRule type="cellIs" dxfId="107" priority="104" stopIfTrue="1" operator="greaterThanOrEqual">
      <formula>K$10</formula>
    </cfRule>
    <cfRule type="cellIs" dxfId="106" priority="105" stopIfTrue="1" operator="greaterThanOrEqual">
      <formula>K$9</formula>
    </cfRule>
  </conditionalFormatting>
  <conditionalFormatting sqref="K11">
    <cfRule type="cellIs" dxfId="105" priority="106" stopIfTrue="1" operator="equal">
      <formula>"-"</formula>
    </cfRule>
    <cfRule type="cellIs" dxfId="104" priority="107" stopIfTrue="1" operator="greaterThanOrEqual">
      <formula>K$13</formula>
    </cfRule>
    <cfRule type="cellIs" dxfId="103" priority="108" stopIfTrue="1" operator="greaterThanOrEqual">
      <formula>K$12</formula>
    </cfRule>
  </conditionalFormatting>
  <conditionalFormatting sqref="K14">
    <cfRule type="cellIs" dxfId="102" priority="109" stopIfTrue="1" operator="equal">
      <formula>"-"</formula>
    </cfRule>
    <cfRule type="cellIs" dxfId="101" priority="110" stopIfTrue="1" operator="greaterThanOrEqual">
      <formula>K$15</formula>
    </cfRule>
  </conditionalFormatting>
  <conditionalFormatting sqref="L5">
    <cfRule type="cellIs" dxfId="100" priority="89" stopIfTrue="1" operator="equal">
      <formula>"-"</formula>
    </cfRule>
    <cfRule type="cellIs" dxfId="99" priority="90" stopIfTrue="1" operator="greaterThanOrEqual">
      <formula>L$7</formula>
    </cfRule>
    <cfRule type="cellIs" dxfId="98" priority="91" stopIfTrue="1" operator="greaterThanOrEqual">
      <formula>L$6</formula>
    </cfRule>
  </conditionalFormatting>
  <conditionalFormatting sqref="L8">
    <cfRule type="cellIs" dxfId="97" priority="92" stopIfTrue="1" operator="equal">
      <formula>"-"</formula>
    </cfRule>
    <cfRule type="cellIs" dxfId="96" priority="93" stopIfTrue="1" operator="greaterThanOrEqual">
      <formula>L$10</formula>
    </cfRule>
    <cfRule type="cellIs" dxfId="95" priority="94" stopIfTrue="1" operator="greaterThanOrEqual">
      <formula>L$9</formula>
    </cfRule>
  </conditionalFormatting>
  <conditionalFormatting sqref="L11">
    <cfRule type="cellIs" dxfId="94" priority="95" stopIfTrue="1" operator="equal">
      <formula>"-"</formula>
    </cfRule>
    <cfRule type="cellIs" dxfId="93" priority="96" stopIfTrue="1" operator="greaterThanOrEqual">
      <formula>L$13</formula>
    </cfRule>
    <cfRule type="cellIs" dxfId="92" priority="97" stopIfTrue="1" operator="greaterThanOrEqual">
      <formula>L$12</formula>
    </cfRule>
  </conditionalFormatting>
  <conditionalFormatting sqref="L14">
    <cfRule type="cellIs" dxfId="91" priority="98" stopIfTrue="1" operator="equal">
      <formula>"-"</formula>
    </cfRule>
    <cfRule type="cellIs" dxfId="90" priority="99" stopIfTrue="1" operator="greaterThanOrEqual">
      <formula>L$15</formula>
    </cfRule>
  </conditionalFormatting>
  <conditionalFormatting sqref="M5">
    <cfRule type="cellIs" dxfId="89" priority="78" stopIfTrue="1" operator="equal">
      <formula>"-"</formula>
    </cfRule>
    <cfRule type="cellIs" dxfId="88" priority="79" stopIfTrue="1" operator="greaterThanOrEqual">
      <formula>M$7</formula>
    </cfRule>
    <cfRule type="cellIs" dxfId="87" priority="80" stopIfTrue="1" operator="greaterThanOrEqual">
      <formula>M$6</formula>
    </cfRule>
  </conditionalFormatting>
  <conditionalFormatting sqref="M8">
    <cfRule type="cellIs" dxfId="86" priority="81" stopIfTrue="1" operator="equal">
      <formula>"-"</formula>
    </cfRule>
    <cfRule type="cellIs" dxfId="85" priority="82" stopIfTrue="1" operator="greaterThanOrEqual">
      <formula>M$10</formula>
    </cfRule>
    <cfRule type="cellIs" dxfId="84" priority="83" stopIfTrue="1" operator="greaterThanOrEqual">
      <formula>M$9</formula>
    </cfRule>
  </conditionalFormatting>
  <conditionalFormatting sqref="M11">
    <cfRule type="cellIs" dxfId="83" priority="84" stopIfTrue="1" operator="equal">
      <formula>"-"</formula>
    </cfRule>
    <cfRule type="cellIs" dxfId="82" priority="85" stopIfTrue="1" operator="greaterThanOrEqual">
      <formula>M$13</formula>
    </cfRule>
    <cfRule type="cellIs" dxfId="81" priority="86" stopIfTrue="1" operator="greaterThanOrEqual">
      <formula>M$12</formula>
    </cfRule>
  </conditionalFormatting>
  <conditionalFormatting sqref="M14">
    <cfRule type="cellIs" dxfId="80" priority="87" stopIfTrue="1" operator="equal">
      <formula>"-"</formula>
    </cfRule>
    <cfRule type="cellIs" dxfId="79" priority="88" stopIfTrue="1" operator="greaterThanOrEqual">
      <formula>M$15</formula>
    </cfRule>
  </conditionalFormatting>
  <conditionalFormatting sqref="N5:P5">
    <cfRule type="cellIs" dxfId="78" priority="67" stopIfTrue="1" operator="equal">
      <formula>"-"</formula>
    </cfRule>
    <cfRule type="cellIs" dxfId="77" priority="68" stopIfTrue="1" operator="greaterThanOrEqual">
      <formula>N$7</formula>
    </cfRule>
    <cfRule type="cellIs" dxfId="76" priority="69" stopIfTrue="1" operator="greaterThanOrEqual">
      <formula>N$6</formula>
    </cfRule>
  </conditionalFormatting>
  <conditionalFormatting sqref="N8:P8">
    <cfRule type="cellIs" dxfId="75" priority="70" stopIfTrue="1" operator="equal">
      <formula>"-"</formula>
    </cfRule>
    <cfRule type="cellIs" dxfId="74" priority="71" stopIfTrue="1" operator="greaterThanOrEqual">
      <formula>N$10</formula>
    </cfRule>
    <cfRule type="cellIs" dxfId="73" priority="72" stopIfTrue="1" operator="greaterThanOrEqual">
      <formula>N$9</formula>
    </cfRule>
  </conditionalFormatting>
  <conditionalFormatting sqref="N11:P11">
    <cfRule type="cellIs" dxfId="72" priority="73" stopIfTrue="1" operator="equal">
      <formula>"-"</formula>
    </cfRule>
    <cfRule type="cellIs" dxfId="71" priority="74" stopIfTrue="1" operator="greaterThanOrEqual">
      <formula>N$13</formula>
    </cfRule>
    <cfRule type="cellIs" dxfId="70" priority="75" stopIfTrue="1" operator="greaterThanOrEqual">
      <formula>N$12</formula>
    </cfRule>
  </conditionalFormatting>
  <conditionalFormatting sqref="N14:P14">
    <cfRule type="cellIs" dxfId="69" priority="76" stopIfTrue="1" operator="equal">
      <formula>"-"</formula>
    </cfRule>
    <cfRule type="cellIs" dxfId="68" priority="77" stopIfTrue="1" operator="greaterThanOrEqual">
      <formula>N$15</formula>
    </cfRule>
  </conditionalFormatting>
  <conditionalFormatting sqref="S5">
    <cfRule type="cellIs" dxfId="67" priority="56" stopIfTrue="1" operator="equal">
      <formula>"-"</formula>
    </cfRule>
    <cfRule type="cellIs" dxfId="66" priority="57" stopIfTrue="1" operator="greaterThanOrEqual">
      <formula>S$7</formula>
    </cfRule>
    <cfRule type="cellIs" dxfId="65" priority="58" stopIfTrue="1" operator="greaterThanOrEqual">
      <formula>S$6</formula>
    </cfRule>
  </conditionalFormatting>
  <conditionalFormatting sqref="S8">
    <cfRule type="cellIs" dxfId="64" priority="59" stopIfTrue="1" operator="equal">
      <formula>"-"</formula>
    </cfRule>
    <cfRule type="cellIs" dxfId="63" priority="60" stopIfTrue="1" operator="greaterThanOrEqual">
      <formula>S$10</formula>
    </cfRule>
    <cfRule type="cellIs" dxfId="62" priority="61" stopIfTrue="1" operator="greaterThanOrEqual">
      <formula>S$9</formula>
    </cfRule>
  </conditionalFormatting>
  <conditionalFormatting sqref="S11">
    <cfRule type="cellIs" dxfId="61" priority="62" stopIfTrue="1" operator="equal">
      <formula>"-"</formula>
    </cfRule>
    <cfRule type="cellIs" dxfId="60" priority="63" stopIfTrue="1" operator="greaterThanOrEqual">
      <formula>S$13</formula>
    </cfRule>
    <cfRule type="cellIs" dxfId="59" priority="64" stopIfTrue="1" operator="greaterThanOrEqual">
      <formula>S$12</formula>
    </cfRule>
  </conditionalFormatting>
  <conditionalFormatting sqref="S14">
    <cfRule type="cellIs" dxfId="58" priority="65" stopIfTrue="1" operator="equal">
      <formula>"-"</formula>
    </cfRule>
    <cfRule type="cellIs" dxfId="57" priority="66" stopIfTrue="1" operator="greaterThanOrEqual">
      <formula>S$15</formula>
    </cfRule>
  </conditionalFormatting>
  <conditionalFormatting sqref="Q5">
    <cfRule type="cellIs" dxfId="56" priority="45" stopIfTrue="1" operator="equal">
      <formula>"-"</formula>
    </cfRule>
    <cfRule type="cellIs" dxfId="55" priority="46" stopIfTrue="1" operator="greaterThanOrEqual">
      <formula>Q$7</formula>
    </cfRule>
    <cfRule type="cellIs" dxfId="54" priority="47" stopIfTrue="1" operator="greaterThanOrEqual">
      <formula>Q$6</formula>
    </cfRule>
  </conditionalFormatting>
  <conditionalFormatting sqref="Q8">
    <cfRule type="cellIs" dxfId="53" priority="48" stopIfTrue="1" operator="equal">
      <formula>"-"</formula>
    </cfRule>
    <cfRule type="cellIs" dxfId="52" priority="49" stopIfTrue="1" operator="greaterThanOrEqual">
      <formula>Q$10</formula>
    </cfRule>
    <cfRule type="cellIs" dxfId="51" priority="50" stopIfTrue="1" operator="greaterThanOrEqual">
      <formula>Q$9</formula>
    </cfRule>
  </conditionalFormatting>
  <conditionalFormatting sqref="Q11">
    <cfRule type="cellIs" dxfId="50" priority="51" stopIfTrue="1" operator="equal">
      <formula>"-"</formula>
    </cfRule>
    <cfRule type="cellIs" dxfId="49" priority="52" stopIfTrue="1" operator="greaterThanOrEqual">
      <formula>Q$13</formula>
    </cfRule>
    <cfRule type="cellIs" dxfId="48" priority="53" stopIfTrue="1" operator="greaterThanOrEqual">
      <formula>Q$12</formula>
    </cfRule>
  </conditionalFormatting>
  <conditionalFormatting sqref="Q14">
    <cfRule type="cellIs" dxfId="47" priority="54" stopIfTrue="1" operator="equal">
      <formula>"-"</formula>
    </cfRule>
    <cfRule type="cellIs" dxfId="46" priority="55" stopIfTrue="1" operator="greaterThanOrEqual">
      <formula>Q$15</formula>
    </cfRule>
  </conditionalFormatting>
  <conditionalFormatting sqref="R5">
    <cfRule type="cellIs" dxfId="45" priority="34" stopIfTrue="1" operator="equal">
      <formula>"-"</formula>
    </cfRule>
    <cfRule type="cellIs" dxfId="44" priority="35" stopIfTrue="1" operator="greaterThanOrEqual">
      <formula>R$7</formula>
    </cfRule>
    <cfRule type="cellIs" dxfId="43" priority="36" stopIfTrue="1" operator="greaterThanOrEqual">
      <formula>R$6</formula>
    </cfRule>
  </conditionalFormatting>
  <conditionalFormatting sqref="R8">
    <cfRule type="cellIs" dxfId="42" priority="37" stopIfTrue="1" operator="equal">
      <formula>"-"</formula>
    </cfRule>
    <cfRule type="cellIs" dxfId="41" priority="38" stopIfTrue="1" operator="greaterThanOrEqual">
      <formula>R$10</formula>
    </cfRule>
    <cfRule type="cellIs" dxfId="40" priority="39" stopIfTrue="1" operator="greaterThanOrEqual">
      <formula>R$9</formula>
    </cfRule>
  </conditionalFormatting>
  <conditionalFormatting sqref="R11">
    <cfRule type="cellIs" dxfId="39" priority="40" stopIfTrue="1" operator="equal">
      <formula>"-"</formula>
    </cfRule>
    <cfRule type="cellIs" dxfId="38" priority="41" stopIfTrue="1" operator="greaterThanOrEqual">
      <formula>R$13</formula>
    </cfRule>
    <cfRule type="cellIs" dxfId="37" priority="42" stopIfTrue="1" operator="greaterThanOrEqual">
      <formula>R$12</formula>
    </cfRule>
  </conditionalFormatting>
  <conditionalFormatting sqref="R14">
    <cfRule type="cellIs" dxfId="36" priority="43" stopIfTrue="1" operator="equal">
      <formula>"-"</formula>
    </cfRule>
    <cfRule type="cellIs" dxfId="35" priority="44" stopIfTrue="1" operator="greaterThanOrEqual">
      <formula>R$15</formula>
    </cfRule>
  </conditionalFormatting>
  <conditionalFormatting sqref="T5">
    <cfRule type="cellIs" dxfId="34" priority="23" stopIfTrue="1" operator="equal">
      <formula>"-"</formula>
    </cfRule>
    <cfRule type="cellIs" dxfId="33" priority="24" stopIfTrue="1" operator="greaterThanOrEqual">
      <formula>T$7</formula>
    </cfRule>
    <cfRule type="cellIs" dxfId="32" priority="25" stopIfTrue="1" operator="greaterThanOrEqual">
      <formula>T$6</formula>
    </cfRule>
  </conditionalFormatting>
  <conditionalFormatting sqref="T8">
    <cfRule type="cellIs" dxfId="31" priority="26" stopIfTrue="1" operator="equal">
      <formula>"-"</formula>
    </cfRule>
    <cfRule type="cellIs" dxfId="30" priority="27" stopIfTrue="1" operator="greaterThanOrEqual">
      <formula>T$10</formula>
    </cfRule>
    <cfRule type="cellIs" dxfId="29" priority="28" stopIfTrue="1" operator="greaterThanOrEqual">
      <formula>T$9</formula>
    </cfRule>
  </conditionalFormatting>
  <conditionalFormatting sqref="T11">
    <cfRule type="cellIs" dxfId="28" priority="29" stopIfTrue="1" operator="equal">
      <formula>"-"</formula>
    </cfRule>
    <cfRule type="cellIs" dxfId="27" priority="30" stopIfTrue="1" operator="greaterThanOrEqual">
      <formula>T$13</formula>
    </cfRule>
    <cfRule type="cellIs" dxfId="26" priority="31" stopIfTrue="1" operator="greaterThanOrEqual">
      <formula>T$12</formula>
    </cfRule>
  </conditionalFormatting>
  <conditionalFormatting sqref="T14">
    <cfRule type="cellIs" dxfId="25" priority="32" stopIfTrue="1" operator="equal">
      <formula>"-"</formula>
    </cfRule>
    <cfRule type="cellIs" dxfId="24" priority="33" stopIfTrue="1" operator="greaterThanOrEqual">
      <formula>T$15</formula>
    </cfRule>
  </conditionalFormatting>
  <conditionalFormatting sqref="V5:X5">
    <cfRule type="cellIs" dxfId="23" priority="12" stopIfTrue="1" operator="equal">
      <formula>"-"</formula>
    </cfRule>
    <cfRule type="cellIs" dxfId="22" priority="13" stopIfTrue="1" operator="greaterThanOrEqual">
      <formula>V$7</formula>
    </cfRule>
    <cfRule type="cellIs" dxfId="21" priority="14" stopIfTrue="1" operator="greaterThanOrEqual">
      <formula>V$6</formula>
    </cfRule>
  </conditionalFormatting>
  <conditionalFormatting sqref="V8:X8">
    <cfRule type="cellIs" dxfId="20" priority="15" stopIfTrue="1" operator="equal">
      <formula>"-"</formula>
    </cfRule>
    <cfRule type="cellIs" dxfId="19" priority="16" stopIfTrue="1" operator="greaterThanOrEqual">
      <formula>V$10</formula>
    </cfRule>
    <cfRule type="cellIs" dxfId="18" priority="17" stopIfTrue="1" operator="greaterThanOrEqual">
      <formula>V$9</formula>
    </cfRule>
  </conditionalFormatting>
  <conditionalFormatting sqref="V11:X11">
    <cfRule type="cellIs" dxfId="17" priority="18" stopIfTrue="1" operator="equal">
      <formula>"-"</formula>
    </cfRule>
    <cfRule type="cellIs" dxfId="16" priority="19" stopIfTrue="1" operator="greaterThanOrEqual">
      <formula>V$13</formula>
    </cfRule>
    <cfRule type="cellIs" dxfId="15" priority="20" stopIfTrue="1" operator="greaterThanOrEqual">
      <formula>V$12</formula>
    </cfRule>
  </conditionalFormatting>
  <conditionalFormatting sqref="V14:X14">
    <cfRule type="cellIs" dxfId="14" priority="21" stopIfTrue="1" operator="equal">
      <formula>"-"</formula>
    </cfRule>
    <cfRule type="cellIs" dxfId="13" priority="22" stopIfTrue="1" operator="greaterThanOrEqual">
      <formula>V$15</formula>
    </cfRule>
  </conditionalFormatting>
  <conditionalFormatting sqref="U5">
    <cfRule type="cellIs" dxfId="12" priority="1" stopIfTrue="1" operator="equal">
      <formula>"-"</formula>
    </cfRule>
    <cfRule type="cellIs" dxfId="11" priority="2" stopIfTrue="1" operator="greaterThanOrEqual">
      <formula>U$7</formula>
    </cfRule>
    <cfRule type="cellIs" dxfId="10" priority="3" stopIfTrue="1" operator="greaterThanOrEqual">
      <formula>U$6</formula>
    </cfRule>
  </conditionalFormatting>
  <conditionalFormatting sqref="U8">
    <cfRule type="cellIs" dxfId="9" priority="4" stopIfTrue="1" operator="equal">
      <formula>"-"</formula>
    </cfRule>
    <cfRule type="cellIs" dxfId="8" priority="5" stopIfTrue="1" operator="greaterThanOrEqual">
      <formula>U$10</formula>
    </cfRule>
    <cfRule type="cellIs" dxfId="7" priority="6" stopIfTrue="1" operator="greaterThanOrEqual">
      <formula>U$9</formula>
    </cfRule>
  </conditionalFormatting>
  <conditionalFormatting sqref="U11">
    <cfRule type="cellIs" dxfId="6" priority="7" stopIfTrue="1" operator="equal">
      <formula>"-"</formula>
    </cfRule>
    <cfRule type="cellIs" dxfId="5" priority="8" stopIfTrue="1" operator="greaterThanOrEqual">
      <formula>U$13</formula>
    </cfRule>
    <cfRule type="cellIs" dxfId="4" priority="9" stopIfTrue="1" operator="greaterThanOrEqual">
      <formula>U$12</formula>
    </cfRule>
  </conditionalFormatting>
  <conditionalFormatting sqref="U14">
    <cfRule type="cellIs" dxfId="3" priority="10" stopIfTrue="1" operator="equal">
      <formula>"-"</formula>
    </cfRule>
    <cfRule type="cellIs" dxfId="2" priority="11" stopIfTrue="1" operator="greaterThanOrEqual">
      <formula>U$15</formula>
    </cfRule>
  </conditionalFormatting>
  <pageMargins left="0.78740157480314965" right="0.78740157480314965" top="0.59055118110236227" bottom="0.39370078740157483" header="0.31496062992125978" footer="0.11811023622047249"/>
  <pageSetup paperSize="9" scale="5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2">
    <tabColor indexed="15"/>
  </sheetPr>
  <dimension ref="A1:GI53"/>
  <sheetViews>
    <sheetView workbookViewId="0">
      <pane xSplit="2" ySplit="5" topLeftCell="C6" activePane="bottomRight" state="frozen"/>
      <selection activeCell="EN3" sqref="EN3"/>
      <selection pane="topRight" activeCell="EN3" sqref="EN3"/>
      <selection pane="bottomLeft" activeCell="EN3" sqref="EN3"/>
      <selection pane="bottomRight" activeCell="EN3" sqref="EN3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3" width="13.6640625" style="174" customWidth="1"/>
    <col min="74" max="74" width="5.6640625" style="174" customWidth="1"/>
    <col min="75" max="134" width="13.6640625" style="174" customWidth="1"/>
    <col min="135" max="135" width="3.6640625" style="174" customWidth="1"/>
    <col min="136" max="140" width="13.6640625" style="174" customWidth="1"/>
    <col min="141" max="141" width="3.6640625" style="174" customWidth="1"/>
    <col min="142" max="164" width="13.6640625" style="174" customWidth="1"/>
    <col min="165" max="165" width="9.6640625" style="174" customWidth="1"/>
    <col min="166" max="166" width="13.6640625" style="174" customWidth="1"/>
    <col min="167" max="169" width="13.6640625" style="174" hidden="1" customWidth="1"/>
    <col min="170" max="170" width="10.6640625" style="174" hidden="1" customWidth="1"/>
    <col min="171" max="177" width="8.6640625" style="174" hidden="1" customWidth="1"/>
    <col min="178" max="178" width="10.6640625" style="174" hidden="1" customWidth="1"/>
    <col min="179" max="179" width="13.6640625" style="174" hidden="1" customWidth="1"/>
    <col min="180" max="180" width="10.6640625" style="174" hidden="1" customWidth="1"/>
    <col min="181" max="185" width="13.6640625" style="174" hidden="1" customWidth="1"/>
    <col min="186" max="186" width="13.6640625" style="174" customWidth="1"/>
    <col min="187" max="187" width="10.6640625" style="174" customWidth="1"/>
    <col min="188" max="190" width="9.6640625" style="174" customWidth="1"/>
    <col min="191" max="191" width="10.6640625" style="174" customWidth="1"/>
  </cols>
  <sheetData>
    <row r="1" spans="2:191" x14ac:dyDescent="0.15">
      <c r="B1" s="10">
        <v>1</v>
      </c>
      <c r="C1" s="10">
        <v>2</v>
      </c>
      <c r="D1" s="10">
        <v>3</v>
      </c>
      <c r="E1" s="10">
        <v>4</v>
      </c>
      <c r="F1" s="10">
        <v>5</v>
      </c>
      <c r="G1" s="10">
        <v>6</v>
      </c>
      <c r="H1" s="10">
        <v>7</v>
      </c>
      <c r="I1" s="10">
        <v>8</v>
      </c>
      <c r="J1" s="10">
        <v>9</v>
      </c>
      <c r="K1" s="10">
        <v>10</v>
      </c>
      <c r="L1" s="10">
        <v>11</v>
      </c>
      <c r="M1" s="10">
        <v>12</v>
      </c>
      <c r="N1" s="10">
        <v>13</v>
      </c>
      <c r="O1" s="10">
        <v>14</v>
      </c>
      <c r="P1" s="10">
        <v>15</v>
      </c>
      <c r="Q1" s="10">
        <v>16</v>
      </c>
      <c r="R1" s="10">
        <v>17</v>
      </c>
      <c r="S1" s="10">
        <v>18</v>
      </c>
      <c r="T1" s="10">
        <v>19</v>
      </c>
      <c r="U1" s="10">
        <v>20</v>
      </c>
      <c r="V1" s="10">
        <v>21</v>
      </c>
      <c r="W1" s="10">
        <v>22</v>
      </c>
      <c r="X1" s="10">
        <v>23</v>
      </c>
      <c r="Y1" s="10">
        <v>24</v>
      </c>
      <c r="Z1" s="10">
        <v>25</v>
      </c>
      <c r="AA1" s="10">
        <v>26</v>
      </c>
      <c r="AB1" s="10">
        <v>27</v>
      </c>
      <c r="AC1" s="10">
        <v>28</v>
      </c>
      <c r="AD1" s="10">
        <v>29</v>
      </c>
      <c r="AE1" s="10">
        <v>30</v>
      </c>
      <c r="AF1" s="10">
        <v>31</v>
      </c>
      <c r="AG1" s="10">
        <v>32</v>
      </c>
      <c r="AH1" s="10">
        <v>33</v>
      </c>
      <c r="AI1" s="10">
        <v>34</v>
      </c>
      <c r="AJ1" s="10">
        <v>35</v>
      </c>
      <c r="AK1" s="10">
        <v>36</v>
      </c>
      <c r="AL1" s="10">
        <v>37</v>
      </c>
      <c r="AM1" s="10">
        <v>38</v>
      </c>
      <c r="AN1" s="10">
        <v>39</v>
      </c>
      <c r="AO1" s="10">
        <v>40</v>
      </c>
      <c r="AP1" s="10">
        <v>41</v>
      </c>
      <c r="AQ1" s="10">
        <v>42</v>
      </c>
      <c r="AR1" s="10">
        <v>43</v>
      </c>
      <c r="AS1" s="10">
        <v>44</v>
      </c>
      <c r="AT1" s="10">
        <v>45</v>
      </c>
      <c r="AU1" s="10">
        <v>46</v>
      </c>
      <c r="AV1" s="10">
        <v>47</v>
      </c>
      <c r="AW1" s="10">
        <v>48</v>
      </c>
      <c r="AX1" s="10">
        <v>49</v>
      </c>
      <c r="AY1" s="10">
        <v>50</v>
      </c>
      <c r="AZ1" s="10">
        <v>51</v>
      </c>
      <c r="BA1" s="10">
        <v>52</v>
      </c>
      <c r="BB1" s="10">
        <v>53</v>
      </c>
      <c r="BC1" s="10">
        <v>54</v>
      </c>
      <c r="BD1" s="10">
        <v>55</v>
      </c>
      <c r="BE1" s="10">
        <v>56</v>
      </c>
      <c r="BF1" s="10">
        <v>57</v>
      </c>
      <c r="BG1" s="10">
        <v>58</v>
      </c>
      <c r="BH1" s="10">
        <v>59</v>
      </c>
      <c r="BI1" s="10">
        <v>60</v>
      </c>
      <c r="BJ1" s="10">
        <v>61</v>
      </c>
      <c r="BK1" s="10">
        <v>62</v>
      </c>
      <c r="BL1" s="10">
        <v>63</v>
      </c>
      <c r="BM1" s="10">
        <v>64</v>
      </c>
      <c r="BN1" s="10">
        <v>65</v>
      </c>
      <c r="BO1" s="10">
        <v>66</v>
      </c>
      <c r="BP1" s="10">
        <v>67</v>
      </c>
      <c r="BQ1" s="10">
        <v>68</v>
      </c>
      <c r="BR1" s="10">
        <v>69</v>
      </c>
      <c r="BS1" s="10">
        <v>70</v>
      </c>
      <c r="BT1" s="10">
        <v>71</v>
      </c>
      <c r="BU1" s="10">
        <v>72</v>
      </c>
      <c r="BV1" s="10">
        <v>73</v>
      </c>
      <c r="BW1" s="10">
        <v>74</v>
      </c>
      <c r="BX1" s="10">
        <v>75</v>
      </c>
      <c r="BY1" s="10">
        <v>76</v>
      </c>
      <c r="BZ1" s="10">
        <v>77</v>
      </c>
      <c r="CA1" s="10">
        <v>78</v>
      </c>
      <c r="CB1" s="10">
        <v>79</v>
      </c>
      <c r="CC1" s="10">
        <v>80</v>
      </c>
      <c r="CD1" s="10">
        <v>81</v>
      </c>
      <c r="CE1" s="10">
        <v>82</v>
      </c>
      <c r="CF1" s="10">
        <v>83</v>
      </c>
      <c r="CG1" s="10">
        <v>84</v>
      </c>
      <c r="CH1" s="10">
        <v>85</v>
      </c>
      <c r="CI1" s="10">
        <v>86</v>
      </c>
      <c r="CJ1" s="10">
        <v>87</v>
      </c>
      <c r="CK1" s="10">
        <v>88</v>
      </c>
      <c r="CL1" s="10">
        <v>89</v>
      </c>
      <c r="CM1" s="10">
        <v>90</v>
      </c>
      <c r="CN1" s="10">
        <v>91</v>
      </c>
      <c r="CO1" s="10">
        <v>92</v>
      </c>
      <c r="CP1" s="10">
        <v>93</v>
      </c>
      <c r="CQ1" s="10">
        <v>94</v>
      </c>
      <c r="CR1" s="10">
        <v>95</v>
      </c>
      <c r="CS1" s="10">
        <v>96</v>
      </c>
      <c r="CT1" s="10">
        <v>97</v>
      </c>
      <c r="CU1" s="10">
        <v>98</v>
      </c>
      <c r="CV1" s="10">
        <v>99</v>
      </c>
      <c r="CW1" s="10">
        <v>100</v>
      </c>
      <c r="CX1" s="10">
        <v>101</v>
      </c>
      <c r="CY1" s="10">
        <v>102</v>
      </c>
      <c r="CZ1" s="10">
        <v>103</v>
      </c>
      <c r="DA1" s="10">
        <v>104</v>
      </c>
      <c r="DB1" s="10">
        <v>105</v>
      </c>
      <c r="DC1" s="10">
        <v>106</v>
      </c>
      <c r="DD1" s="10">
        <v>107</v>
      </c>
      <c r="DE1" s="10">
        <v>108</v>
      </c>
      <c r="DF1" s="10">
        <v>109</v>
      </c>
      <c r="DG1" s="10">
        <v>110</v>
      </c>
      <c r="DH1" s="10">
        <v>111</v>
      </c>
      <c r="DI1" s="10">
        <v>112</v>
      </c>
      <c r="DJ1" s="10">
        <v>113</v>
      </c>
      <c r="DK1" s="10">
        <v>114</v>
      </c>
      <c r="DL1" s="10">
        <v>115</v>
      </c>
      <c r="DM1" s="10">
        <v>116</v>
      </c>
      <c r="DN1" s="10">
        <v>117</v>
      </c>
      <c r="DO1" s="10">
        <v>118</v>
      </c>
      <c r="DP1" s="10">
        <v>119</v>
      </c>
      <c r="DQ1" s="10">
        <v>120</v>
      </c>
      <c r="DR1" s="10">
        <v>121</v>
      </c>
      <c r="DS1" s="10">
        <v>122</v>
      </c>
      <c r="DT1" s="10">
        <v>123</v>
      </c>
      <c r="DU1" s="10">
        <v>124</v>
      </c>
      <c r="DV1" s="10">
        <v>125</v>
      </c>
      <c r="DW1" s="10">
        <v>126</v>
      </c>
      <c r="DX1" s="10">
        <v>127</v>
      </c>
      <c r="DY1" s="10">
        <v>128</v>
      </c>
      <c r="DZ1" s="10">
        <v>129</v>
      </c>
      <c r="EA1" s="10">
        <v>130</v>
      </c>
      <c r="EB1" s="10">
        <v>131</v>
      </c>
      <c r="EC1" s="10">
        <v>132</v>
      </c>
      <c r="ED1" s="10">
        <v>133</v>
      </c>
      <c r="EE1" s="10">
        <v>134</v>
      </c>
      <c r="EF1" s="10">
        <v>135</v>
      </c>
      <c r="EG1" s="10">
        <v>136</v>
      </c>
      <c r="EH1" s="10">
        <v>137</v>
      </c>
      <c r="EI1" s="10">
        <v>138</v>
      </c>
      <c r="EJ1" s="10">
        <v>139</v>
      </c>
      <c r="EK1" s="10">
        <v>140</v>
      </c>
      <c r="EL1" s="10">
        <v>141</v>
      </c>
      <c r="EM1" s="10">
        <v>142</v>
      </c>
      <c r="EN1" s="10">
        <v>143</v>
      </c>
      <c r="EO1" s="10">
        <v>144</v>
      </c>
      <c r="EP1" s="10">
        <v>145</v>
      </c>
      <c r="EQ1" s="10">
        <v>146</v>
      </c>
      <c r="ER1" s="10">
        <v>147</v>
      </c>
      <c r="ES1" s="10">
        <v>148</v>
      </c>
      <c r="ET1" s="10">
        <v>149</v>
      </c>
      <c r="EU1" s="10">
        <v>150</v>
      </c>
      <c r="EV1" s="10">
        <v>151</v>
      </c>
      <c r="EW1" s="10">
        <v>152</v>
      </c>
      <c r="EX1" s="10">
        <v>153</v>
      </c>
      <c r="EY1" s="10">
        <v>154</v>
      </c>
      <c r="EZ1" s="10">
        <v>155</v>
      </c>
      <c r="FA1" s="10">
        <v>156</v>
      </c>
      <c r="FB1" s="10">
        <v>157</v>
      </c>
      <c r="FC1" s="10">
        <v>158</v>
      </c>
      <c r="FD1" s="10">
        <v>159</v>
      </c>
      <c r="FE1" s="10">
        <v>160</v>
      </c>
      <c r="FF1" s="10">
        <v>161</v>
      </c>
      <c r="FG1" s="10">
        <v>162</v>
      </c>
      <c r="FH1" s="10">
        <v>163</v>
      </c>
      <c r="FI1" s="10">
        <v>164</v>
      </c>
      <c r="FJ1" s="10">
        <v>165</v>
      </c>
      <c r="FK1" s="10">
        <v>166</v>
      </c>
      <c r="FL1" s="10">
        <v>167</v>
      </c>
      <c r="FM1" s="10">
        <v>168</v>
      </c>
      <c r="FN1" s="10">
        <v>169</v>
      </c>
      <c r="FO1" s="10">
        <v>170</v>
      </c>
      <c r="FP1" s="10">
        <v>171</v>
      </c>
      <c r="FQ1" s="10">
        <v>172</v>
      </c>
      <c r="FR1" s="10">
        <v>173</v>
      </c>
      <c r="FS1" s="10">
        <v>174</v>
      </c>
      <c r="FT1" s="10">
        <v>175</v>
      </c>
      <c r="FU1" s="10">
        <v>176</v>
      </c>
      <c r="FV1" s="10">
        <v>177</v>
      </c>
      <c r="FW1" s="10">
        <v>178</v>
      </c>
      <c r="FX1" s="10">
        <v>179</v>
      </c>
      <c r="FY1" s="10">
        <v>180</v>
      </c>
      <c r="FZ1" s="10">
        <v>181</v>
      </c>
      <c r="GA1" s="10">
        <v>182</v>
      </c>
      <c r="GB1" s="10">
        <v>183</v>
      </c>
      <c r="GC1" s="10">
        <v>184</v>
      </c>
      <c r="GD1" s="10">
        <v>185</v>
      </c>
      <c r="GE1" s="10">
        <v>186</v>
      </c>
      <c r="GF1" s="10">
        <v>187</v>
      </c>
      <c r="GG1" s="10">
        <v>188</v>
      </c>
      <c r="GH1" s="10">
        <v>189</v>
      </c>
      <c r="GI1" s="10">
        <v>190</v>
      </c>
    </row>
    <row r="2" spans="2:191" x14ac:dyDescent="0.15">
      <c r="C2" s="28" t="s">
        <v>338</v>
      </c>
      <c r="D2" s="29"/>
      <c r="E2" s="28" t="s">
        <v>339</v>
      </c>
      <c r="F2" s="28" t="s">
        <v>340</v>
      </c>
      <c r="G2" s="29"/>
      <c r="H2" s="28" t="s">
        <v>341</v>
      </c>
      <c r="I2" s="28" t="s">
        <v>342</v>
      </c>
      <c r="J2" s="28" t="s">
        <v>343</v>
      </c>
      <c r="K2" s="28" t="s">
        <v>344</v>
      </c>
      <c r="L2" s="28" t="s">
        <v>345</v>
      </c>
      <c r="M2" s="28" t="s">
        <v>346</v>
      </c>
      <c r="N2" s="28" t="s">
        <v>830</v>
      </c>
      <c r="O2" s="28" t="s">
        <v>857</v>
      </c>
      <c r="P2" s="28" t="s">
        <v>840</v>
      </c>
      <c r="Q2" s="28" t="s">
        <v>831</v>
      </c>
      <c r="R2" s="28" t="s">
        <v>351</v>
      </c>
      <c r="S2" s="28" t="s">
        <v>795</v>
      </c>
      <c r="U2" s="28" t="s">
        <v>725</v>
      </c>
      <c r="V2" s="28"/>
      <c r="W2" s="28"/>
      <c r="X2" s="28"/>
      <c r="Y2" s="28" t="s">
        <v>354</v>
      </c>
      <c r="Z2" s="28"/>
      <c r="AA2" s="28" t="s">
        <v>355</v>
      </c>
      <c r="AB2" s="28"/>
      <c r="AC2" s="28" t="s">
        <v>356</v>
      </c>
      <c r="AD2" s="28" t="s">
        <v>357</v>
      </c>
      <c r="AE2" s="28" t="s">
        <v>653</v>
      </c>
      <c r="AF2" s="28" t="s">
        <v>358</v>
      </c>
      <c r="AG2" s="28" t="s">
        <v>359</v>
      </c>
      <c r="AI2" s="28" t="s">
        <v>665</v>
      </c>
      <c r="AJ2" s="28" t="s">
        <v>684</v>
      </c>
      <c r="AK2" s="28" t="s">
        <v>367</v>
      </c>
      <c r="AL2" s="29"/>
      <c r="AM2" s="28" t="s">
        <v>852</v>
      </c>
      <c r="AN2" s="28" t="s">
        <v>685</v>
      </c>
      <c r="AO2" s="28" t="s">
        <v>669</v>
      </c>
      <c r="AP2" s="28" t="s">
        <v>796</v>
      </c>
      <c r="AQ2" s="28" t="s">
        <v>727</v>
      </c>
      <c r="AR2" s="28" t="s">
        <v>833</v>
      </c>
      <c r="AS2" s="28" t="s">
        <v>671</v>
      </c>
      <c r="AT2" s="28" t="s">
        <v>376</v>
      </c>
      <c r="AU2" s="28" t="s">
        <v>377</v>
      </c>
      <c r="AV2" s="28" t="s">
        <v>378</v>
      </c>
      <c r="AW2" s="28" t="s">
        <v>379</v>
      </c>
      <c r="AX2" s="28" t="s">
        <v>801</v>
      </c>
      <c r="AY2" s="28" t="s">
        <v>380</v>
      </c>
      <c r="AZ2" s="28" t="s">
        <v>802</v>
      </c>
      <c r="BA2" s="28" t="s">
        <v>382</v>
      </c>
      <c r="BB2" s="28" t="s">
        <v>803</v>
      </c>
      <c r="BC2" s="28" t="s">
        <v>711</v>
      </c>
      <c r="BD2" s="28" t="s">
        <v>386</v>
      </c>
      <c r="BE2" s="28" t="s">
        <v>387</v>
      </c>
      <c r="BF2" s="28" t="s">
        <v>388</v>
      </c>
      <c r="BG2" s="28" t="s">
        <v>858</v>
      </c>
      <c r="BH2" s="28" t="s">
        <v>384</v>
      </c>
      <c r="BI2" s="28" t="s">
        <v>692</v>
      </c>
      <c r="BJ2" s="28" t="s">
        <v>712</v>
      </c>
      <c r="BK2" s="28" t="s">
        <v>693</v>
      </c>
      <c r="BL2" s="28" t="s">
        <v>392</v>
      </c>
      <c r="BM2" s="28" t="s">
        <v>713</v>
      </c>
      <c r="BN2" s="28" t="s">
        <v>395</v>
      </c>
      <c r="BO2" s="29"/>
      <c r="BP2" s="29"/>
      <c r="BQ2" s="28"/>
      <c r="BR2" s="28"/>
      <c r="BS2" s="28"/>
      <c r="BT2" s="28" t="s">
        <v>850</v>
      </c>
      <c r="BU2" s="28" t="s">
        <v>806</v>
      </c>
      <c r="BW2" s="28" t="s">
        <v>402</v>
      </c>
      <c r="BX2" s="28" t="s">
        <v>403</v>
      </c>
      <c r="BY2" s="28" t="s">
        <v>861</v>
      </c>
      <c r="BZ2" s="28" t="s">
        <v>405</v>
      </c>
      <c r="CA2" s="28" t="s">
        <v>406</v>
      </c>
      <c r="CB2" s="28" t="s">
        <v>407</v>
      </c>
      <c r="CC2" s="28" t="s">
        <v>408</v>
      </c>
      <c r="CD2" s="28" t="s">
        <v>409</v>
      </c>
      <c r="CE2" s="28" t="s">
        <v>410</v>
      </c>
      <c r="CF2" s="28" t="s">
        <v>411</v>
      </c>
      <c r="CG2" s="28" t="s">
        <v>412</v>
      </c>
      <c r="CH2" s="28" t="s">
        <v>413</v>
      </c>
      <c r="CI2" s="28" t="s">
        <v>787</v>
      </c>
      <c r="CJ2" s="28"/>
      <c r="CK2" s="28" t="s">
        <v>415</v>
      </c>
      <c r="CL2" s="28" t="s">
        <v>836</v>
      </c>
      <c r="CM2" s="28" t="s">
        <v>837</v>
      </c>
      <c r="CN2" s="28" t="s">
        <v>838</v>
      </c>
      <c r="CO2" s="28" t="s">
        <v>419</v>
      </c>
      <c r="CP2" s="28" t="s">
        <v>420</v>
      </c>
      <c r="CQ2" s="28" t="s">
        <v>421</v>
      </c>
      <c r="CR2" s="28" t="s">
        <v>422</v>
      </c>
      <c r="CS2" s="28" t="s">
        <v>423</v>
      </c>
      <c r="CT2" s="28"/>
      <c r="CU2" s="28" t="s">
        <v>854</v>
      </c>
      <c r="CV2" s="28" t="s">
        <v>855</v>
      </c>
      <c r="CX2" s="28" t="s">
        <v>426</v>
      </c>
      <c r="CY2" s="28" t="s">
        <v>812</v>
      </c>
      <c r="DA2" s="28" t="s">
        <v>822</v>
      </c>
      <c r="DB2" s="28" t="s">
        <v>823</v>
      </c>
      <c r="DC2" s="28" t="s">
        <v>430</v>
      </c>
      <c r="DD2" s="28" t="s">
        <v>431</v>
      </c>
      <c r="DE2" s="28" t="s">
        <v>432</v>
      </c>
      <c r="DF2" s="28" t="s">
        <v>433</v>
      </c>
      <c r="DG2" s="28" t="s">
        <v>434</v>
      </c>
      <c r="DH2" s="28" t="s">
        <v>435</v>
      </c>
      <c r="DI2" s="28" t="s">
        <v>436</v>
      </c>
      <c r="DJ2" s="28" t="s">
        <v>437</v>
      </c>
      <c r="DK2" s="28" t="s">
        <v>438</v>
      </c>
      <c r="DL2" s="28" t="s">
        <v>439</v>
      </c>
      <c r="DM2" s="28" t="s">
        <v>440</v>
      </c>
      <c r="DN2" s="28" t="s">
        <v>441</v>
      </c>
      <c r="DO2" s="28" t="s">
        <v>814</v>
      </c>
      <c r="DP2" s="28" t="s">
        <v>427</v>
      </c>
      <c r="DQ2" s="28" t="s">
        <v>444</v>
      </c>
      <c r="DR2" s="28" t="s">
        <v>445</v>
      </c>
      <c r="DS2" s="28" t="s">
        <v>815</v>
      </c>
      <c r="DT2" s="28" t="s">
        <v>447</v>
      </c>
      <c r="DU2" s="28" t="s">
        <v>824</v>
      </c>
      <c r="DW2" s="28" t="s">
        <v>449</v>
      </c>
      <c r="DX2" s="28" t="s">
        <v>448</v>
      </c>
      <c r="DY2" s="28"/>
      <c r="DZ2" s="28" t="s">
        <v>856</v>
      </c>
      <c r="EA2" s="28" t="s">
        <v>452</v>
      </c>
      <c r="EB2" s="28"/>
      <c r="EC2" s="28" t="s">
        <v>455</v>
      </c>
      <c r="ED2" s="28" t="s">
        <v>456</v>
      </c>
      <c r="EF2" s="28" t="s">
        <v>457</v>
      </c>
      <c r="EG2" s="28" t="s">
        <v>458</v>
      </c>
      <c r="EH2" s="28" t="s">
        <v>459</v>
      </c>
      <c r="EI2" s="28" t="s">
        <v>460</v>
      </c>
      <c r="EJ2" s="28" t="s">
        <v>461</v>
      </c>
      <c r="EN2" s="28" t="s">
        <v>464</v>
      </c>
      <c r="EO2" s="28" t="s">
        <v>465</v>
      </c>
      <c r="EQ2" s="28" t="s">
        <v>466</v>
      </c>
      <c r="ER2" s="28" t="s">
        <v>467</v>
      </c>
      <c r="ES2" s="28" t="s">
        <v>468</v>
      </c>
      <c r="ET2" s="28" t="s">
        <v>469</v>
      </c>
      <c r="EU2" s="28" t="s">
        <v>470</v>
      </c>
      <c r="EV2" s="28" t="s">
        <v>471</v>
      </c>
      <c r="EW2" s="28"/>
      <c r="EX2" s="28" t="s">
        <v>472</v>
      </c>
      <c r="EY2" s="28" t="s">
        <v>473</v>
      </c>
      <c r="EZ2" s="28" t="s">
        <v>474</v>
      </c>
      <c r="FA2" s="28" t="s">
        <v>475</v>
      </c>
      <c r="FB2" s="28" t="s">
        <v>476</v>
      </c>
      <c r="FC2" s="28" t="s">
        <v>477</v>
      </c>
      <c r="FD2" s="28" t="s">
        <v>478</v>
      </c>
      <c r="FE2" s="28" t="s">
        <v>479</v>
      </c>
      <c r="FF2" s="28" t="s">
        <v>480</v>
      </c>
      <c r="FH2" s="28" t="s">
        <v>481</v>
      </c>
      <c r="FW2" s="28" t="s">
        <v>807</v>
      </c>
      <c r="FY2" s="28" t="s">
        <v>490</v>
      </c>
      <c r="FZ2" s="28" t="s">
        <v>491</v>
      </c>
      <c r="GA2" s="28" t="s">
        <v>492</v>
      </c>
      <c r="GB2" s="28" t="s">
        <v>493</v>
      </c>
    </row>
    <row r="3" spans="2:191" s="89" customFormat="1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30" t="s">
        <v>499</v>
      </c>
      <c r="AC3" s="30" t="s">
        <v>160</v>
      </c>
      <c r="AD3" s="30"/>
      <c r="AE3" s="30"/>
      <c r="AF3" s="30" t="s">
        <v>500</v>
      </c>
      <c r="AG3" s="30" t="s">
        <v>164</v>
      </c>
      <c r="AH3" s="30" t="s">
        <v>165</v>
      </c>
      <c r="AI3" s="30"/>
      <c r="AJ3" s="30"/>
      <c r="AK3" s="30" t="s">
        <v>166</v>
      </c>
      <c r="AL3" s="30"/>
      <c r="AM3" s="30"/>
      <c r="AN3" s="30"/>
      <c r="AO3" s="30"/>
      <c r="AP3" s="30"/>
      <c r="AQ3" s="30"/>
      <c r="AR3" s="30"/>
      <c r="AS3" s="30" t="s">
        <v>501</v>
      </c>
      <c r="AT3" s="30" t="s">
        <v>172</v>
      </c>
      <c r="AU3" s="30"/>
      <c r="AV3" s="30"/>
      <c r="AW3" s="30"/>
      <c r="AX3" s="30"/>
      <c r="AY3" s="30"/>
      <c r="AZ3" s="30" t="s">
        <v>176</v>
      </c>
      <c r="BA3" s="30"/>
      <c r="BB3" s="30" t="s">
        <v>502</v>
      </c>
      <c r="BC3" s="30" t="s">
        <v>503</v>
      </c>
      <c r="BD3" s="30"/>
      <c r="BE3" s="30"/>
      <c r="BF3" s="30"/>
      <c r="BG3" s="30"/>
      <c r="BH3" s="30" t="s">
        <v>504</v>
      </c>
      <c r="BI3" s="30"/>
      <c r="BJ3" s="30" t="s">
        <v>505</v>
      </c>
      <c r="BK3" s="30"/>
      <c r="BL3" s="30"/>
      <c r="BM3" s="30"/>
      <c r="BN3" s="30" t="s">
        <v>307</v>
      </c>
      <c r="BO3" s="30"/>
      <c r="BP3" s="30"/>
      <c r="BQ3" s="30"/>
      <c r="BR3" s="30"/>
      <c r="BS3" s="30"/>
      <c r="BT3" s="30"/>
      <c r="BU3" s="30" t="s">
        <v>506</v>
      </c>
      <c r="BW3" s="30" t="s">
        <v>507</v>
      </c>
      <c r="BX3" s="30"/>
      <c r="BY3" s="30"/>
      <c r="BZ3" s="30"/>
      <c r="CA3" s="30" t="s">
        <v>508</v>
      </c>
      <c r="CB3" s="30"/>
      <c r="CC3" s="30"/>
      <c r="CD3" s="30"/>
      <c r="CE3" s="30"/>
      <c r="CF3" s="30"/>
      <c r="CG3" s="30"/>
      <c r="CH3" s="30" t="s">
        <v>509</v>
      </c>
      <c r="CI3" s="30"/>
      <c r="CJ3" s="30"/>
      <c r="CK3" s="30" t="s">
        <v>510</v>
      </c>
      <c r="CL3" s="30"/>
      <c r="CM3" s="30"/>
      <c r="CN3" s="30"/>
      <c r="CO3" s="30" t="s">
        <v>214</v>
      </c>
      <c r="CP3" s="30" t="s">
        <v>215</v>
      </c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 t="s">
        <v>222</v>
      </c>
      <c r="DD3" s="30"/>
      <c r="DE3" s="30"/>
      <c r="DF3" s="30"/>
      <c r="DG3" s="30"/>
      <c r="DH3" s="30" t="s">
        <v>227</v>
      </c>
      <c r="DI3" s="30" t="s">
        <v>311</v>
      </c>
      <c r="DJ3" s="30"/>
      <c r="DK3" s="30"/>
      <c r="DL3" s="30"/>
      <c r="DM3" s="30" t="s">
        <v>232</v>
      </c>
      <c r="DN3" s="30"/>
      <c r="DO3" s="30"/>
      <c r="DP3" s="30"/>
      <c r="DQ3" s="30" t="s">
        <v>511</v>
      </c>
      <c r="DR3" s="30"/>
      <c r="DS3" s="30"/>
      <c r="DT3" s="30" t="s">
        <v>512</v>
      </c>
      <c r="DU3" s="30"/>
      <c r="DV3" s="30"/>
      <c r="DW3" s="30"/>
      <c r="DX3" s="30"/>
      <c r="DY3" s="30"/>
      <c r="DZ3" s="30"/>
      <c r="EA3" s="30"/>
      <c r="EB3" s="30"/>
      <c r="EC3" s="30" t="s">
        <v>513</v>
      </c>
      <c r="ED3" s="30" t="s">
        <v>514</v>
      </c>
      <c r="EF3" s="30" t="s">
        <v>515</v>
      </c>
      <c r="EG3" s="30" t="s">
        <v>516</v>
      </c>
      <c r="EH3" s="30" t="s">
        <v>517</v>
      </c>
      <c r="EI3" s="30" t="s">
        <v>518</v>
      </c>
      <c r="EJ3" s="30" t="s">
        <v>250</v>
      </c>
      <c r="EL3" s="30" t="s">
        <v>259</v>
      </c>
      <c r="EM3" s="30" t="s">
        <v>519</v>
      </c>
      <c r="EN3" s="30" t="s">
        <v>503</v>
      </c>
      <c r="EO3" s="30" t="s">
        <v>176</v>
      </c>
      <c r="EP3" s="30" t="s">
        <v>520</v>
      </c>
      <c r="EQ3" s="30" t="s">
        <v>506</v>
      </c>
      <c r="ER3" s="30" t="s">
        <v>521</v>
      </c>
      <c r="ES3" s="30" t="s">
        <v>507</v>
      </c>
      <c r="ET3" s="30" t="s">
        <v>522</v>
      </c>
      <c r="EU3" s="30" t="s">
        <v>508</v>
      </c>
      <c r="EV3" s="30" t="s">
        <v>509</v>
      </c>
      <c r="EW3" s="30" t="s">
        <v>279</v>
      </c>
      <c r="EX3" s="30" t="s">
        <v>304</v>
      </c>
      <c r="EY3" s="30"/>
      <c r="EZ3" s="30"/>
      <c r="FA3" s="30" t="s">
        <v>523</v>
      </c>
      <c r="FB3" s="30" t="s">
        <v>524</v>
      </c>
      <c r="FC3" s="30" t="s">
        <v>510</v>
      </c>
      <c r="FD3" s="30" t="s">
        <v>215</v>
      </c>
      <c r="FE3" s="30" t="s">
        <v>525</v>
      </c>
      <c r="FF3" s="30" t="s">
        <v>512</v>
      </c>
      <c r="FG3" s="30" t="s">
        <v>520</v>
      </c>
      <c r="FH3" s="30" t="s">
        <v>514</v>
      </c>
      <c r="FI3" s="30" t="s">
        <v>517</v>
      </c>
      <c r="FJ3" s="30" t="s">
        <v>526</v>
      </c>
      <c r="FK3" s="30" t="s">
        <v>527</v>
      </c>
      <c r="FL3" s="30" t="s">
        <v>290</v>
      </c>
      <c r="FM3" s="30" t="s">
        <v>291</v>
      </c>
      <c r="FN3" s="30" t="s">
        <v>293</v>
      </c>
      <c r="FO3" s="30" t="s">
        <v>528</v>
      </c>
      <c r="FV3" s="30" t="s">
        <v>827</v>
      </c>
      <c r="FW3" s="30" t="s">
        <v>308</v>
      </c>
      <c r="FY3" s="30" t="s">
        <v>312</v>
      </c>
      <c r="GD3" s="30" t="s">
        <v>531</v>
      </c>
      <c r="GF3" s="30" t="s">
        <v>532</v>
      </c>
      <c r="GI3" s="30" t="s">
        <v>706</v>
      </c>
    </row>
    <row r="4" spans="2:191" s="89" customFormat="1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851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/>
      <c r="AC4" s="30"/>
      <c r="AD4" s="30" t="s">
        <v>161</v>
      </c>
      <c r="AE4" s="30" t="s">
        <v>162</v>
      </c>
      <c r="AF4" s="30" t="s">
        <v>550</v>
      </c>
      <c r="AG4" s="30"/>
      <c r="AH4" s="30"/>
      <c r="AI4" s="30" t="s">
        <v>551</v>
      </c>
      <c r="AJ4" s="30" t="s">
        <v>552</v>
      </c>
      <c r="AK4" s="30"/>
      <c r="AL4" s="30" t="s">
        <v>553</v>
      </c>
      <c r="AM4" s="30"/>
      <c r="AN4" s="30"/>
      <c r="AO4" s="30"/>
      <c r="AP4" s="30"/>
      <c r="AQ4" s="30" t="s">
        <v>222</v>
      </c>
      <c r="AR4" s="30" t="s">
        <v>227</v>
      </c>
      <c r="AS4" s="30" t="s">
        <v>555</v>
      </c>
      <c r="AT4" s="30"/>
      <c r="AU4" s="31" t="s">
        <v>173</v>
      </c>
      <c r="AV4" s="30"/>
      <c r="AW4" s="30"/>
      <c r="AX4" s="30" t="s">
        <v>175</v>
      </c>
      <c r="AY4" s="30"/>
      <c r="AZ4" s="30"/>
      <c r="BA4" s="30" t="s">
        <v>556</v>
      </c>
      <c r="BB4" s="30"/>
      <c r="BC4" s="30"/>
      <c r="BD4" s="30" t="s">
        <v>557</v>
      </c>
      <c r="BE4" s="30" t="s">
        <v>558</v>
      </c>
      <c r="BF4" s="30" t="s">
        <v>559</v>
      </c>
      <c r="BG4" s="30" t="s">
        <v>560</v>
      </c>
      <c r="BH4" s="30"/>
      <c r="BI4" s="30" t="s">
        <v>561</v>
      </c>
      <c r="BJ4" s="30"/>
      <c r="BK4" s="30" t="s">
        <v>562</v>
      </c>
      <c r="BL4" s="30" t="s">
        <v>563</v>
      </c>
      <c r="BM4" s="30" t="s">
        <v>564</v>
      </c>
      <c r="BN4" s="30"/>
      <c r="BO4" s="30" t="s">
        <v>191</v>
      </c>
      <c r="BP4" s="30" t="s">
        <v>273</v>
      </c>
      <c r="BQ4" s="30"/>
      <c r="BR4" s="30"/>
      <c r="BS4" s="31"/>
      <c r="BT4" s="30" t="s">
        <v>193</v>
      </c>
      <c r="BU4" s="30"/>
      <c r="BW4" s="30"/>
      <c r="BX4" s="30" t="s">
        <v>522</v>
      </c>
      <c r="BY4" s="30" t="s">
        <v>566</v>
      </c>
      <c r="BZ4" s="30" t="s">
        <v>567</v>
      </c>
      <c r="CA4" s="30"/>
      <c r="CB4" s="30" t="s">
        <v>568</v>
      </c>
      <c r="CC4" s="30" t="s">
        <v>569</v>
      </c>
      <c r="CD4" s="30" t="s">
        <v>203</v>
      </c>
      <c r="CE4" s="30" t="s">
        <v>571</v>
      </c>
      <c r="CF4" s="30" t="s">
        <v>572</v>
      </c>
      <c r="CG4" s="30" t="s">
        <v>573</v>
      </c>
      <c r="CH4" s="30"/>
      <c r="CI4" s="30" t="s">
        <v>574</v>
      </c>
      <c r="CJ4" s="30" t="s">
        <v>575</v>
      </c>
      <c r="CK4" s="30"/>
      <c r="CL4" s="30" t="s">
        <v>576</v>
      </c>
      <c r="CM4" s="30" t="s">
        <v>577</v>
      </c>
      <c r="CN4" s="30" t="s">
        <v>578</v>
      </c>
      <c r="CO4" s="30"/>
      <c r="CP4" s="30"/>
      <c r="CQ4" s="30" t="s">
        <v>579</v>
      </c>
      <c r="CR4" s="30" t="s">
        <v>580</v>
      </c>
      <c r="CS4" s="30"/>
      <c r="CT4" s="30" t="s">
        <v>581</v>
      </c>
      <c r="CU4" s="30"/>
      <c r="CV4" s="30"/>
      <c r="CW4" s="30"/>
      <c r="CX4" s="30"/>
      <c r="CY4" s="30"/>
      <c r="CZ4" s="30"/>
      <c r="DA4" s="30"/>
      <c r="DB4" s="30"/>
      <c r="DC4" s="30"/>
      <c r="DD4" s="30" t="s">
        <v>582</v>
      </c>
      <c r="DE4" s="30" t="s">
        <v>583</v>
      </c>
      <c r="DF4" s="30" t="s">
        <v>584</v>
      </c>
      <c r="DG4" s="30" t="s">
        <v>585</v>
      </c>
      <c r="DH4" s="30"/>
      <c r="DI4" s="30"/>
      <c r="DJ4" s="30" t="s">
        <v>313</v>
      </c>
      <c r="DK4" s="30" t="s">
        <v>558</v>
      </c>
      <c r="DL4" s="30" t="s">
        <v>315</v>
      </c>
      <c r="DM4" s="30"/>
      <c r="DN4" s="30" t="s">
        <v>586</v>
      </c>
      <c r="DO4" s="30"/>
      <c r="DP4" s="30"/>
      <c r="DQ4" s="30"/>
      <c r="DR4" s="30" t="s">
        <v>586</v>
      </c>
      <c r="DS4" s="30"/>
      <c r="DT4" s="30"/>
      <c r="DU4" s="30" t="s">
        <v>587</v>
      </c>
      <c r="DV4" s="30" t="s">
        <v>588</v>
      </c>
      <c r="DW4" s="30"/>
      <c r="DX4" s="30"/>
      <c r="DY4" s="30" t="s">
        <v>590</v>
      </c>
      <c r="DZ4" s="30" t="s">
        <v>591</v>
      </c>
      <c r="EA4" s="30" t="s">
        <v>592</v>
      </c>
      <c r="EB4" s="30" t="s">
        <v>593</v>
      </c>
      <c r="EC4" s="30"/>
      <c r="ED4" s="30"/>
      <c r="EM4" s="32" t="s">
        <v>792</v>
      </c>
      <c r="EN4" s="30" t="s">
        <v>595</v>
      </c>
      <c r="EO4" s="30" t="s">
        <v>595</v>
      </c>
      <c r="EP4" s="30" t="s">
        <v>595</v>
      </c>
      <c r="EQ4" s="30" t="s">
        <v>595</v>
      </c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223</v>
      </c>
      <c r="EZ4" s="30" t="s">
        <v>224</v>
      </c>
      <c r="FA4" s="30"/>
      <c r="FB4" s="30"/>
      <c r="FC4" s="30" t="s">
        <v>595</v>
      </c>
      <c r="FD4" s="30" t="s">
        <v>595</v>
      </c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596</v>
      </c>
      <c r="FK4" s="30" t="s">
        <v>598</v>
      </c>
      <c r="FL4" s="30" t="s">
        <v>599</v>
      </c>
      <c r="FM4" s="30" t="s">
        <v>599</v>
      </c>
      <c r="FN4" s="30" t="s">
        <v>600</v>
      </c>
      <c r="FO4" s="30" t="s">
        <v>596</v>
      </c>
      <c r="FP4" s="30" t="s">
        <v>507</v>
      </c>
      <c r="FQ4" s="30" t="s">
        <v>508</v>
      </c>
      <c r="FR4" s="30" t="s">
        <v>509</v>
      </c>
      <c r="FS4" s="30" t="s">
        <v>510</v>
      </c>
      <c r="FT4" s="30" t="s">
        <v>215</v>
      </c>
      <c r="FU4" s="30" t="s">
        <v>512</v>
      </c>
      <c r="FV4" s="30" t="s">
        <v>596</v>
      </c>
      <c r="FX4" s="30" t="s">
        <v>530</v>
      </c>
      <c r="FZ4" s="30" t="s">
        <v>313</v>
      </c>
      <c r="GA4" s="30" t="s">
        <v>558</v>
      </c>
      <c r="GB4" s="30" t="s">
        <v>315</v>
      </c>
      <c r="GC4" s="30" t="s">
        <v>602</v>
      </c>
      <c r="GD4" s="30" t="s">
        <v>603</v>
      </c>
      <c r="GE4" s="30" t="s">
        <v>530</v>
      </c>
      <c r="GF4" s="30" t="s">
        <v>604</v>
      </c>
      <c r="GG4" s="30" t="s">
        <v>605</v>
      </c>
      <c r="GH4" s="30" t="s">
        <v>606</v>
      </c>
      <c r="GI4" s="30" t="s">
        <v>755</v>
      </c>
    </row>
    <row r="5" spans="2:191" s="89" customFormat="1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 t="s">
        <v>571</v>
      </c>
      <c r="AN5" s="30" t="s">
        <v>618</v>
      </c>
      <c r="AO5" s="30" t="s">
        <v>619</v>
      </c>
      <c r="AP5" s="30" t="s">
        <v>793</v>
      </c>
      <c r="AQ5" s="30"/>
      <c r="AR5" s="30"/>
      <c r="AS5" s="30" t="s">
        <v>621</v>
      </c>
      <c r="AT5" s="30"/>
      <c r="AU5" s="30"/>
      <c r="AV5" s="30" t="s">
        <v>622</v>
      </c>
      <c r="AW5" s="30" t="s">
        <v>222</v>
      </c>
      <c r="AX5" s="30"/>
      <c r="AY5" s="30" t="s">
        <v>222</v>
      </c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 t="s">
        <v>623</v>
      </c>
      <c r="BR5" s="30" t="s">
        <v>808</v>
      </c>
      <c r="BS5" s="30" t="s">
        <v>625</v>
      </c>
      <c r="BT5" s="30"/>
      <c r="BU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 t="s">
        <v>626</v>
      </c>
      <c r="CT5" s="30"/>
      <c r="CU5" s="30" t="s">
        <v>627</v>
      </c>
      <c r="CV5" s="30" t="s">
        <v>628</v>
      </c>
      <c r="CW5" s="30" t="s">
        <v>629</v>
      </c>
      <c r="CX5" s="30" t="s">
        <v>630</v>
      </c>
      <c r="CY5" s="30" t="s">
        <v>631</v>
      </c>
      <c r="CZ5" s="30" t="s">
        <v>587</v>
      </c>
      <c r="DA5" s="30" t="s">
        <v>632</v>
      </c>
      <c r="DB5" s="30" t="s">
        <v>633</v>
      </c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 t="s">
        <v>634</v>
      </c>
      <c r="DP5" s="30" t="s">
        <v>629</v>
      </c>
      <c r="DQ5" s="30"/>
      <c r="DR5" s="30"/>
      <c r="DS5" s="30" t="s">
        <v>629</v>
      </c>
      <c r="DT5" s="30"/>
      <c r="DU5" s="30"/>
      <c r="DV5" s="30"/>
      <c r="DW5" s="30" t="s">
        <v>828</v>
      </c>
      <c r="DX5" s="30" t="s">
        <v>829</v>
      </c>
      <c r="DY5" s="30"/>
      <c r="DZ5" s="30"/>
      <c r="EA5" s="30"/>
      <c r="EB5" s="30"/>
      <c r="EC5" s="30"/>
      <c r="ED5" s="30"/>
      <c r="EY5" s="30" t="s">
        <v>595</v>
      </c>
      <c r="EZ5" s="30" t="s">
        <v>595</v>
      </c>
      <c r="FK5" s="30" t="s">
        <v>639</v>
      </c>
      <c r="FV5" s="30" t="s">
        <v>600</v>
      </c>
      <c r="FX5" s="30" t="s">
        <v>601</v>
      </c>
      <c r="GE5" s="30" t="s">
        <v>601</v>
      </c>
    </row>
    <row r="6" spans="2:191" x14ac:dyDescent="0.15">
      <c r="B6" s="89" t="s">
        <v>5</v>
      </c>
      <c r="C6" s="272">
        <v>22516064</v>
      </c>
      <c r="D6" s="455">
        <f t="shared" ref="D6:D50" si="0">E6+F6</f>
        <v>8089115</v>
      </c>
      <c r="E6" s="272">
        <v>120666</v>
      </c>
      <c r="F6" s="272">
        <v>7968449</v>
      </c>
      <c r="G6" s="455">
        <f t="shared" ref="G6:G50" si="1">H6+I6</f>
        <v>3733034</v>
      </c>
      <c r="H6" s="272">
        <v>297401</v>
      </c>
      <c r="I6" s="272">
        <v>3435633</v>
      </c>
      <c r="J6" s="272">
        <v>7672957</v>
      </c>
      <c r="K6" s="272">
        <v>4056646</v>
      </c>
      <c r="L6" s="272">
        <v>2420956</v>
      </c>
      <c r="M6" s="272">
        <v>1035521</v>
      </c>
      <c r="N6" s="272">
        <v>842346</v>
      </c>
      <c r="O6" s="272">
        <v>1835843</v>
      </c>
      <c r="P6" s="272">
        <v>1339299</v>
      </c>
      <c r="Q6" s="272">
        <v>496544</v>
      </c>
      <c r="R6" s="272">
        <v>858833</v>
      </c>
      <c r="S6" s="272">
        <v>560575</v>
      </c>
      <c r="T6" s="455">
        <f t="shared" ref="T6:T50" si="2">SUM(U6:AA6)</f>
        <v>1311037</v>
      </c>
      <c r="U6" s="272">
        <v>684181</v>
      </c>
      <c r="V6" s="272"/>
      <c r="W6" s="272"/>
      <c r="X6" s="272"/>
      <c r="Y6" s="272">
        <v>78752</v>
      </c>
      <c r="Z6" s="272"/>
      <c r="AA6" s="272">
        <v>548104</v>
      </c>
      <c r="AB6" s="272"/>
      <c r="AC6" s="272">
        <v>3511054</v>
      </c>
      <c r="AD6" s="272">
        <v>3403861</v>
      </c>
      <c r="AE6" s="272">
        <v>107193</v>
      </c>
      <c r="AF6" s="272">
        <v>35763</v>
      </c>
      <c r="AG6" s="272">
        <v>231345</v>
      </c>
      <c r="AH6" s="455">
        <f t="shared" ref="AH6:AH50" si="3">AI6+AJ6</f>
        <v>1232993</v>
      </c>
      <c r="AI6" s="272">
        <v>1094078</v>
      </c>
      <c r="AJ6" s="272">
        <v>138915</v>
      </c>
      <c r="AK6" s="272">
        <v>4038465</v>
      </c>
      <c r="AL6" s="455">
        <f t="shared" ref="AL6:AL50" si="4">SUM(AM6:AP6)</f>
        <v>2734667</v>
      </c>
      <c r="AM6" s="272">
        <v>2186084</v>
      </c>
      <c r="AN6" s="272">
        <v>383481</v>
      </c>
      <c r="AO6" s="272">
        <v>0</v>
      </c>
      <c r="AP6" s="272">
        <v>165102</v>
      </c>
      <c r="AQ6" s="272">
        <v>607973</v>
      </c>
      <c r="AR6" s="272">
        <v>4856</v>
      </c>
      <c r="AS6" s="272">
        <v>0</v>
      </c>
      <c r="AT6" s="272">
        <v>2429517</v>
      </c>
      <c r="AU6" s="272">
        <v>864585</v>
      </c>
      <c r="AV6" s="272">
        <v>202338</v>
      </c>
      <c r="AW6" s="272">
        <v>155183</v>
      </c>
      <c r="AX6" s="272">
        <v>1564932</v>
      </c>
      <c r="AY6" s="272">
        <v>570048</v>
      </c>
      <c r="AZ6" s="272">
        <v>1146148</v>
      </c>
      <c r="BA6" s="272">
        <v>989601</v>
      </c>
      <c r="BB6" s="272">
        <v>485506</v>
      </c>
      <c r="BC6" s="272">
        <v>737607</v>
      </c>
      <c r="BD6" s="272">
        <v>0</v>
      </c>
      <c r="BE6" s="272">
        <v>0</v>
      </c>
      <c r="BF6" s="272">
        <v>333276</v>
      </c>
      <c r="BG6" s="272">
        <v>0</v>
      </c>
      <c r="BH6" s="272">
        <v>549101</v>
      </c>
      <c r="BI6" s="272">
        <v>107091</v>
      </c>
      <c r="BJ6" s="272">
        <v>3335366</v>
      </c>
      <c r="BK6" s="272">
        <v>87611</v>
      </c>
      <c r="BL6" s="272">
        <v>0</v>
      </c>
      <c r="BM6" s="272">
        <v>2671454</v>
      </c>
      <c r="BN6" s="272">
        <v>1896000</v>
      </c>
      <c r="BO6" s="455">
        <f t="shared" ref="BO6:BO50" si="5">BN6-BP6-BT6</f>
        <v>1896000</v>
      </c>
      <c r="BP6" s="455">
        <f t="shared" ref="BP6:BP50" si="6">BQ6+BR6+BS6</f>
        <v>0</v>
      </c>
      <c r="BQ6" s="272"/>
      <c r="BR6" s="272"/>
      <c r="BS6" s="272"/>
      <c r="BT6" s="272">
        <v>0</v>
      </c>
      <c r="BU6" s="272">
        <v>44314799</v>
      </c>
      <c r="BV6" s="272"/>
      <c r="BW6" s="272">
        <v>12426326</v>
      </c>
      <c r="BX6" s="272">
        <v>9225792</v>
      </c>
      <c r="BY6" s="272">
        <v>864085</v>
      </c>
      <c r="BZ6" s="272">
        <v>306324</v>
      </c>
      <c r="CA6" s="272">
        <v>6027440</v>
      </c>
      <c r="CB6" s="272">
        <v>646641</v>
      </c>
      <c r="CC6" s="272">
        <v>974950</v>
      </c>
      <c r="CD6" s="272">
        <v>1301956</v>
      </c>
      <c r="CE6" s="272">
        <v>2920756</v>
      </c>
      <c r="CF6" s="272">
        <v>221</v>
      </c>
      <c r="CG6" s="272">
        <v>174361</v>
      </c>
      <c r="CH6" s="272">
        <v>3764012</v>
      </c>
      <c r="CI6" s="272">
        <v>1957024</v>
      </c>
      <c r="CJ6" s="455">
        <f t="shared" ref="CJ6:CJ50" si="7">CH6-CI6</f>
        <v>1806988</v>
      </c>
      <c r="CK6" s="272">
        <v>3291948</v>
      </c>
      <c r="CL6" s="272">
        <v>1328308</v>
      </c>
      <c r="CM6" s="272">
        <v>101237</v>
      </c>
      <c r="CN6" s="272">
        <v>980860</v>
      </c>
      <c r="CO6" s="272">
        <v>462467</v>
      </c>
      <c r="CP6" s="272">
        <v>2508877</v>
      </c>
      <c r="CQ6" s="272">
        <v>666620</v>
      </c>
      <c r="CR6" s="272">
        <v>569629</v>
      </c>
      <c r="CS6" s="272">
        <v>539865</v>
      </c>
      <c r="CT6" s="455">
        <f t="shared" ref="CT6:CT50" si="8">CU6+CV6</f>
        <v>555898</v>
      </c>
      <c r="CU6" s="272">
        <v>139356</v>
      </c>
      <c r="CV6" s="272">
        <v>416542</v>
      </c>
      <c r="CW6" s="455">
        <f t="shared" ref="CW6:CW50" si="9">CX6+CY6</f>
        <v>503592</v>
      </c>
      <c r="CX6" s="272">
        <v>123808</v>
      </c>
      <c r="CY6" s="272">
        <v>379784</v>
      </c>
      <c r="CZ6" s="455">
        <f t="shared" ref="CZ6:CZ50" si="10">DA6+DB6</f>
        <v>0</v>
      </c>
      <c r="DA6" s="272">
        <v>0</v>
      </c>
      <c r="DB6" s="272">
        <v>0</v>
      </c>
      <c r="DC6" s="272">
        <v>7421029</v>
      </c>
      <c r="DD6" s="272">
        <v>1601507</v>
      </c>
      <c r="DE6" s="272">
        <v>5492687</v>
      </c>
      <c r="DF6" s="272">
        <v>162508</v>
      </c>
      <c r="DG6" s="272">
        <v>164327</v>
      </c>
      <c r="DH6" s="272">
        <v>16863</v>
      </c>
      <c r="DI6" s="272">
        <v>3392575</v>
      </c>
      <c r="DJ6" s="272">
        <v>15865</v>
      </c>
      <c r="DK6" s="272">
        <v>1020000</v>
      </c>
      <c r="DL6" s="272">
        <v>2356710</v>
      </c>
      <c r="DM6" s="272">
        <v>50000</v>
      </c>
      <c r="DN6" s="272">
        <v>0</v>
      </c>
      <c r="DO6" s="272">
        <v>0</v>
      </c>
      <c r="DP6" s="272">
        <v>0</v>
      </c>
      <c r="DQ6" s="272">
        <v>129100</v>
      </c>
      <c r="DR6" s="272">
        <v>0</v>
      </c>
      <c r="DS6" s="272">
        <v>0</v>
      </c>
      <c r="DT6" s="272">
        <v>3917955</v>
      </c>
      <c r="DU6" s="272">
        <v>2748654</v>
      </c>
      <c r="DV6" s="455">
        <f t="shared" ref="DV6:DV50" si="11">DW6+DX6</f>
        <v>0</v>
      </c>
      <c r="DW6" s="272">
        <v>0</v>
      </c>
      <c r="DX6" s="272">
        <v>0</v>
      </c>
      <c r="DY6" s="457" t="s">
        <v>646</v>
      </c>
      <c r="DZ6" s="272">
        <v>660581</v>
      </c>
      <c r="EA6" s="272">
        <v>475262</v>
      </c>
      <c r="EB6" s="272"/>
      <c r="EC6" s="272">
        <v>0</v>
      </c>
      <c r="ED6" s="272">
        <v>43408592</v>
      </c>
      <c r="EF6" s="272">
        <v>906207</v>
      </c>
      <c r="EG6" s="272">
        <v>672013</v>
      </c>
      <c r="EH6" s="272">
        <v>234194</v>
      </c>
      <c r="EI6" s="272">
        <v>127344</v>
      </c>
      <c r="EJ6" s="272">
        <v>143209</v>
      </c>
      <c r="EL6" s="272"/>
      <c r="EM6" s="272">
        <v>188481</v>
      </c>
      <c r="EN6" s="272">
        <v>657534</v>
      </c>
      <c r="EO6" s="272">
        <v>1071375</v>
      </c>
      <c r="EP6" s="455">
        <f t="shared" ref="EP6:EP50" si="12">EQ6-ER6-C6-R6-T6-AB6-AC6-BP6-EN6-EO6</f>
        <v>3853180</v>
      </c>
      <c r="EQ6" s="272">
        <v>28232751</v>
      </c>
      <c r="ER6" s="272">
        <v>-5546326</v>
      </c>
      <c r="ES6" s="272">
        <v>11372476</v>
      </c>
      <c r="ET6" s="272">
        <v>8334183</v>
      </c>
      <c r="EU6" s="272">
        <v>1909341</v>
      </c>
      <c r="EV6" s="272">
        <v>3718386</v>
      </c>
      <c r="EW6" s="455">
        <f t="shared" ref="EW6:EW50" si="13">EX6+FA6+FB6</f>
        <v>3760333</v>
      </c>
      <c r="EX6" s="272">
        <v>3752013</v>
      </c>
      <c r="EY6" s="272">
        <v>352783</v>
      </c>
      <c r="EZ6" s="272">
        <v>3393522</v>
      </c>
      <c r="FA6" s="272">
        <v>8320</v>
      </c>
      <c r="FB6" s="272">
        <v>0</v>
      </c>
      <c r="FC6" s="272">
        <v>2799907</v>
      </c>
      <c r="FD6" s="272">
        <v>2167358</v>
      </c>
      <c r="FE6" s="272">
        <v>666620</v>
      </c>
      <c r="FF6" s="272">
        <v>3824874</v>
      </c>
      <c r="FG6" s="455">
        <f t="shared" ref="FG6:FG50" si="14">FH6-ES6-EU6-EV6-EW6-FC6-FD6-FF6</f>
        <v>3446361</v>
      </c>
      <c r="FH6" s="272">
        <v>32999036</v>
      </c>
      <c r="FI6" s="384">
        <f t="shared" ref="FI6:FI50" si="15">ROUND(EH6/FJ6*100,1)</f>
        <v>0.9</v>
      </c>
      <c r="FJ6" s="272">
        <v>25349359</v>
      </c>
      <c r="FK6" s="272"/>
      <c r="FL6" s="272">
        <v>16542600</v>
      </c>
      <c r="FM6" s="272">
        <v>19942376</v>
      </c>
      <c r="FN6" s="460">
        <v>0.82299999999999995</v>
      </c>
      <c r="FO6" s="388">
        <v>86.5</v>
      </c>
      <c r="FP6" s="388">
        <v>42.5</v>
      </c>
      <c r="FQ6" s="388">
        <v>7.2</v>
      </c>
      <c r="FR6" s="388">
        <v>12.9</v>
      </c>
      <c r="FS6" s="388">
        <v>9.6999999999999993</v>
      </c>
      <c r="FT6" s="388">
        <v>5.5</v>
      </c>
      <c r="FU6" s="388">
        <v>7.8</v>
      </c>
      <c r="FV6" s="388">
        <v>11.4</v>
      </c>
      <c r="FW6" s="272">
        <v>29223388</v>
      </c>
      <c r="FX6" s="384">
        <f t="shared" ref="FX6:FX50" si="16">ROUND(FW6/FJ6*100,1)</f>
        <v>115.3</v>
      </c>
      <c r="FY6" s="272">
        <v>6197021</v>
      </c>
      <c r="FZ6" s="272">
        <v>525273</v>
      </c>
      <c r="GA6" s="272">
        <v>1020000</v>
      </c>
      <c r="GB6" s="272">
        <v>4651748</v>
      </c>
      <c r="GC6" s="272"/>
      <c r="GD6" s="272">
        <v>14271889</v>
      </c>
      <c r="GE6" s="384">
        <f t="shared" ref="GE6:GE36" si="17">ROUND(GD6/FJ6*100,1)</f>
        <v>56.3</v>
      </c>
      <c r="GF6" s="388">
        <v>99.1</v>
      </c>
      <c r="GG6" s="388">
        <v>33.4</v>
      </c>
      <c r="GH6" s="388">
        <v>96.4</v>
      </c>
      <c r="GI6" s="272">
        <v>1506</v>
      </c>
    </row>
    <row r="7" spans="2:191" x14ac:dyDescent="0.15">
      <c r="B7" s="89" t="s">
        <v>7</v>
      </c>
      <c r="C7" s="272">
        <v>64963833</v>
      </c>
      <c r="D7" s="455">
        <f t="shared" si="0"/>
        <v>31229452</v>
      </c>
      <c r="E7" s="272">
        <v>285914</v>
      </c>
      <c r="F7" s="272">
        <v>30943538</v>
      </c>
      <c r="G7" s="455">
        <f t="shared" si="1"/>
        <v>9210552</v>
      </c>
      <c r="H7" s="272">
        <v>691883</v>
      </c>
      <c r="I7" s="272">
        <v>8518669</v>
      </c>
      <c r="J7" s="272">
        <v>16630233</v>
      </c>
      <c r="K7" s="272">
        <v>7633670</v>
      </c>
      <c r="L7" s="272">
        <v>6333610</v>
      </c>
      <c r="M7" s="272">
        <v>2357729</v>
      </c>
      <c r="N7" s="272">
        <v>1664466</v>
      </c>
      <c r="O7" s="272">
        <v>4788616</v>
      </c>
      <c r="P7" s="272">
        <v>3310080</v>
      </c>
      <c r="Q7" s="272">
        <v>1478536</v>
      </c>
      <c r="R7" s="272">
        <v>3139040</v>
      </c>
      <c r="S7" s="272">
        <v>1139308</v>
      </c>
      <c r="T7" s="455">
        <f t="shared" si="2"/>
        <v>3688385</v>
      </c>
      <c r="U7" s="272">
        <v>2529290</v>
      </c>
      <c r="V7" s="272"/>
      <c r="W7" s="272"/>
      <c r="X7" s="272"/>
      <c r="Y7" s="272">
        <v>0</v>
      </c>
      <c r="Z7" s="272"/>
      <c r="AA7" s="272">
        <v>1159095</v>
      </c>
      <c r="AB7" s="272"/>
      <c r="AC7" s="272">
        <v>225177</v>
      </c>
      <c r="AD7" s="272">
        <v>0</v>
      </c>
      <c r="AE7" s="272">
        <v>225177</v>
      </c>
      <c r="AF7" s="272">
        <v>68125</v>
      </c>
      <c r="AG7" s="272">
        <v>843614</v>
      </c>
      <c r="AH7" s="455">
        <f t="shared" si="3"/>
        <v>1749742</v>
      </c>
      <c r="AI7" s="272">
        <v>1580691</v>
      </c>
      <c r="AJ7" s="272">
        <v>169051</v>
      </c>
      <c r="AK7" s="272">
        <v>7110473</v>
      </c>
      <c r="AL7" s="455">
        <f t="shared" si="4"/>
        <v>4142481</v>
      </c>
      <c r="AM7" s="272">
        <v>3544337</v>
      </c>
      <c r="AN7" s="272">
        <v>331109</v>
      </c>
      <c r="AO7" s="272">
        <v>0</v>
      </c>
      <c r="AP7" s="272">
        <v>267035</v>
      </c>
      <c r="AQ7" s="272">
        <v>1436765</v>
      </c>
      <c r="AR7" s="272">
        <v>0</v>
      </c>
      <c r="AS7" s="272">
        <v>0</v>
      </c>
      <c r="AT7" s="272">
        <v>3930740</v>
      </c>
      <c r="AU7" s="272">
        <v>1218088</v>
      </c>
      <c r="AV7" s="272">
        <v>165552</v>
      </c>
      <c r="AW7" s="272">
        <v>91841</v>
      </c>
      <c r="AX7" s="272">
        <v>2712652</v>
      </c>
      <c r="AY7" s="272">
        <v>121220</v>
      </c>
      <c r="AZ7" s="272">
        <v>1834350</v>
      </c>
      <c r="BA7" s="272">
        <v>97765</v>
      </c>
      <c r="BB7" s="272">
        <v>551332</v>
      </c>
      <c r="BC7" s="272">
        <v>320388</v>
      </c>
      <c r="BD7" s="272">
        <v>221768</v>
      </c>
      <c r="BE7" s="272">
        <v>0</v>
      </c>
      <c r="BF7" s="272">
        <v>7223</v>
      </c>
      <c r="BG7" s="272">
        <v>0</v>
      </c>
      <c r="BH7" s="272">
        <v>1617330</v>
      </c>
      <c r="BI7" s="272">
        <v>1460304</v>
      </c>
      <c r="BJ7" s="272">
        <v>3548216</v>
      </c>
      <c r="BK7" s="272">
        <v>1614982</v>
      </c>
      <c r="BL7" s="272">
        <v>144849</v>
      </c>
      <c r="BM7" s="272">
        <v>731879</v>
      </c>
      <c r="BN7" s="272">
        <v>3623600</v>
      </c>
      <c r="BO7" s="455">
        <f t="shared" si="5"/>
        <v>3623600</v>
      </c>
      <c r="BP7" s="455">
        <f t="shared" si="6"/>
        <v>0</v>
      </c>
      <c r="BQ7" s="272"/>
      <c r="BR7" s="272"/>
      <c r="BS7" s="272"/>
      <c r="BT7" s="272">
        <v>0</v>
      </c>
      <c r="BU7" s="272">
        <v>97214345</v>
      </c>
      <c r="BV7" s="272"/>
      <c r="BW7" s="272">
        <v>27633933</v>
      </c>
      <c r="BX7" s="272">
        <v>21770630</v>
      </c>
      <c r="BY7" s="272">
        <v>1087005</v>
      </c>
      <c r="BZ7" s="272">
        <v>506147</v>
      </c>
      <c r="CA7" s="272">
        <v>8706314</v>
      </c>
      <c r="CB7" s="272">
        <v>974903</v>
      </c>
      <c r="CC7" s="272">
        <v>1540055</v>
      </c>
      <c r="CD7" s="272">
        <v>1284297</v>
      </c>
      <c r="CE7" s="272">
        <v>4701142</v>
      </c>
      <c r="CF7" s="272">
        <v>262</v>
      </c>
      <c r="CG7" s="272">
        <v>204871</v>
      </c>
      <c r="CH7" s="272">
        <v>8425697</v>
      </c>
      <c r="CI7" s="272">
        <v>4616171</v>
      </c>
      <c r="CJ7" s="455">
        <f t="shared" si="7"/>
        <v>3809526</v>
      </c>
      <c r="CK7" s="272">
        <v>8142074</v>
      </c>
      <c r="CL7" s="272">
        <v>3190432</v>
      </c>
      <c r="CM7" s="272">
        <v>208482</v>
      </c>
      <c r="CN7" s="272">
        <v>2995167</v>
      </c>
      <c r="CO7" s="272">
        <v>2714373</v>
      </c>
      <c r="CP7" s="272">
        <v>6630972</v>
      </c>
      <c r="CQ7" s="272">
        <v>1662524</v>
      </c>
      <c r="CR7" s="272">
        <v>1840573</v>
      </c>
      <c r="CS7" s="272">
        <v>956821</v>
      </c>
      <c r="CT7" s="455">
        <f t="shared" si="8"/>
        <v>1157288</v>
      </c>
      <c r="CU7" s="272">
        <v>1042248</v>
      </c>
      <c r="CV7" s="272">
        <v>115040</v>
      </c>
      <c r="CW7" s="455">
        <f t="shared" si="9"/>
        <v>1032197</v>
      </c>
      <c r="CX7" s="272">
        <v>1015157</v>
      </c>
      <c r="CY7" s="272">
        <v>17040</v>
      </c>
      <c r="CZ7" s="455">
        <f t="shared" si="10"/>
        <v>0</v>
      </c>
      <c r="DA7" s="272">
        <v>0</v>
      </c>
      <c r="DB7" s="272">
        <v>0</v>
      </c>
      <c r="DC7" s="272">
        <v>15959498</v>
      </c>
      <c r="DD7" s="272">
        <v>3155945</v>
      </c>
      <c r="DE7" s="272">
        <v>12303584</v>
      </c>
      <c r="DF7" s="272">
        <v>301869</v>
      </c>
      <c r="DG7" s="272">
        <v>198100</v>
      </c>
      <c r="DH7" s="272">
        <v>0</v>
      </c>
      <c r="DI7" s="272">
        <v>7646823</v>
      </c>
      <c r="DJ7" s="272">
        <v>1173246</v>
      </c>
      <c r="DK7" s="272">
        <v>0</v>
      </c>
      <c r="DL7" s="272">
        <v>6473577</v>
      </c>
      <c r="DM7" s="272">
        <v>73913</v>
      </c>
      <c r="DN7" s="272">
        <v>73913</v>
      </c>
      <c r="DO7" s="272">
        <v>0</v>
      </c>
      <c r="DP7" s="272">
        <v>73913</v>
      </c>
      <c r="DQ7" s="272">
        <v>1633350</v>
      </c>
      <c r="DR7" s="272">
        <v>0</v>
      </c>
      <c r="DS7" s="272">
        <v>0</v>
      </c>
      <c r="DT7" s="272">
        <v>7865345</v>
      </c>
      <c r="DU7" s="272">
        <v>4509662</v>
      </c>
      <c r="DV7" s="455">
        <f t="shared" si="11"/>
        <v>0</v>
      </c>
      <c r="DW7" s="272">
        <v>0</v>
      </c>
      <c r="DX7" s="272">
        <v>0</v>
      </c>
      <c r="DY7" s="457" t="s">
        <v>646</v>
      </c>
      <c r="DZ7" s="272">
        <v>2642532</v>
      </c>
      <c r="EA7" s="272">
        <v>673300</v>
      </c>
      <c r="EB7" s="272"/>
      <c r="EC7" s="272">
        <v>0</v>
      </c>
      <c r="ED7" s="272">
        <v>95432292</v>
      </c>
      <c r="EF7" s="272">
        <v>1782053</v>
      </c>
      <c r="EG7" s="272">
        <v>597470</v>
      </c>
      <c r="EH7" s="272">
        <v>1184583</v>
      </c>
      <c r="EI7" s="272">
        <v>-275721</v>
      </c>
      <c r="EJ7" s="272">
        <v>675757</v>
      </c>
      <c r="EL7" s="272"/>
      <c r="EM7" s="272">
        <v>404629</v>
      </c>
      <c r="EN7" s="272">
        <v>221768</v>
      </c>
      <c r="EO7" s="272">
        <v>31630</v>
      </c>
      <c r="EP7" s="455">
        <f t="shared" si="12"/>
        <v>3762728</v>
      </c>
      <c r="EQ7" s="272">
        <v>72084560</v>
      </c>
      <c r="ER7" s="272">
        <v>-3948001</v>
      </c>
      <c r="ES7" s="272">
        <v>25527024</v>
      </c>
      <c r="ET7" s="272">
        <v>19695843</v>
      </c>
      <c r="EU7" s="272">
        <v>2794029</v>
      </c>
      <c r="EV7" s="272">
        <v>7949859</v>
      </c>
      <c r="EW7" s="455">
        <f t="shared" si="13"/>
        <v>10149480</v>
      </c>
      <c r="EX7" s="272">
        <v>10149480</v>
      </c>
      <c r="EY7" s="272">
        <v>1031083</v>
      </c>
      <c r="EZ7" s="272">
        <v>9086228</v>
      </c>
      <c r="FA7" s="272">
        <v>0</v>
      </c>
      <c r="FB7" s="272">
        <v>0</v>
      </c>
      <c r="FC7" s="272">
        <v>6854166</v>
      </c>
      <c r="FD7" s="272">
        <v>5566106</v>
      </c>
      <c r="FE7" s="272">
        <v>1662524</v>
      </c>
      <c r="FF7" s="272">
        <v>7508810</v>
      </c>
      <c r="FG7" s="455">
        <f t="shared" si="14"/>
        <v>7964990</v>
      </c>
      <c r="FH7" s="272">
        <v>74314464</v>
      </c>
      <c r="FI7" s="384">
        <f t="shared" si="15"/>
        <v>1.8</v>
      </c>
      <c r="FJ7" s="272">
        <v>64923378</v>
      </c>
      <c r="FK7" s="272"/>
      <c r="FL7" s="272">
        <v>49168420</v>
      </c>
      <c r="FM7" s="272">
        <v>40413988</v>
      </c>
      <c r="FN7" s="460">
        <v>1.155</v>
      </c>
      <c r="FO7" s="388">
        <v>75.7</v>
      </c>
      <c r="FP7" s="388">
        <v>37.700000000000003</v>
      </c>
      <c r="FQ7" s="388">
        <v>4.0999999999999996</v>
      </c>
      <c r="FR7" s="388">
        <v>11.7</v>
      </c>
      <c r="FS7" s="388">
        <v>9.6</v>
      </c>
      <c r="FT7" s="388">
        <v>6.8</v>
      </c>
      <c r="FU7" s="388">
        <v>4.8</v>
      </c>
      <c r="FV7" s="388">
        <v>10</v>
      </c>
      <c r="FW7" s="272">
        <v>60721830</v>
      </c>
      <c r="FX7" s="384">
        <f t="shared" si="16"/>
        <v>93.5</v>
      </c>
      <c r="FY7" s="272">
        <v>40552303</v>
      </c>
      <c r="FZ7" s="272">
        <v>11080917</v>
      </c>
      <c r="GA7" s="272"/>
      <c r="GB7" s="272">
        <v>29471386</v>
      </c>
      <c r="GC7" s="272"/>
      <c r="GD7" s="272">
        <v>23727460</v>
      </c>
      <c r="GE7" s="384">
        <f t="shared" si="17"/>
        <v>36.5</v>
      </c>
      <c r="GF7" s="388">
        <v>98.6</v>
      </c>
      <c r="GG7" s="388">
        <v>33.200000000000003</v>
      </c>
      <c r="GH7" s="388">
        <v>95.6</v>
      </c>
      <c r="GI7" s="272">
        <v>3381</v>
      </c>
    </row>
    <row r="8" spans="2:191" x14ac:dyDescent="0.15">
      <c r="B8" s="89" t="s">
        <v>9</v>
      </c>
      <c r="C8" s="272">
        <v>16800589</v>
      </c>
      <c r="D8" s="455">
        <f t="shared" si="0"/>
        <v>7584709</v>
      </c>
      <c r="E8" s="272">
        <v>72729</v>
      </c>
      <c r="F8" s="272">
        <v>7511980</v>
      </c>
      <c r="G8" s="455">
        <f t="shared" si="1"/>
        <v>2651227</v>
      </c>
      <c r="H8" s="272">
        <v>196471</v>
      </c>
      <c r="I8" s="272">
        <v>2454756</v>
      </c>
      <c r="J8" s="272">
        <v>4637848</v>
      </c>
      <c r="K8" s="272">
        <v>2350026</v>
      </c>
      <c r="L8" s="272">
        <v>1515930</v>
      </c>
      <c r="M8" s="272">
        <v>715791</v>
      </c>
      <c r="N8" s="272">
        <v>448433</v>
      </c>
      <c r="O8" s="272">
        <v>1299521</v>
      </c>
      <c r="P8" s="272">
        <v>959843</v>
      </c>
      <c r="Q8" s="272">
        <v>339678</v>
      </c>
      <c r="R8" s="272">
        <v>578108</v>
      </c>
      <c r="S8" s="272">
        <v>349831</v>
      </c>
      <c r="T8" s="455">
        <f t="shared" si="2"/>
        <v>1044340</v>
      </c>
      <c r="U8" s="272">
        <v>604321</v>
      </c>
      <c r="V8" s="272"/>
      <c r="W8" s="272"/>
      <c r="X8" s="272"/>
      <c r="Y8" s="272">
        <v>138377</v>
      </c>
      <c r="Z8" s="272"/>
      <c r="AA8" s="272">
        <v>301642</v>
      </c>
      <c r="AB8" s="272"/>
      <c r="AC8" s="272">
        <v>240081</v>
      </c>
      <c r="AD8" s="272">
        <v>0</v>
      </c>
      <c r="AE8" s="272">
        <v>240081</v>
      </c>
      <c r="AF8" s="272">
        <v>20605</v>
      </c>
      <c r="AG8" s="272">
        <v>98613</v>
      </c>
      <c r="AH8" s="455">
        <f t="shared" si="3"/>
        <v>560963</v>
      </c>
      <c r="AI8" s="272">
        <v>455757</v>
      </c>
      <c r="AJ8" s="272">
        <v>105206</v>
      </c>
      <c r="AK8" s="272">
        <v>1351859</v>
      </c>
      <c r="AL8" s="455">
        <f t="shared" si="4"/>
        <v>667834</v>
      </c>
      <c r="AM8" s="272">
        <v>510000</v>
      </c>
      <c r="AN8" s="272">
        <v>82055</v>
      </c>
      <c r="AO8" s="272">
        <v>0</v>
      </c>
      <c r="AP8" s="272">
        <v>75779</v>
      </c>
      <c r="AQ8" s="272">
        <v>326923</v>
      </c>
      <c r="AR8" s="272">
        <v>0</v>
      </c>
      <c r="AS8" s="272">
        <v>0</v>
      </c>
      <c r="AT8" s="272">
        <v>1227097</v>
      </c>
      <c r="AU8" s="272">
        <v>368148</v>
      </c>
      <c r="AV8" s="272">
        <v>42034</v>
      </c>
      <c r="AW8" s="272">
        <v>136297</v>
      </c>
      <c r="AX8" s="272">
        <v>858949</v>
      </c>
      <c r="AY8" s="272">
        <v>128544</v>
      </c>
      <c r="AZ8" s="272">
        <v>1550189</v>
      </c>
      <c r="BA8" s="272">
        <v>1430270</v>
      </c>
      <c r="BB8" s="272">
        <v>278233</v>
      </c>
      <c r="BC8" s="272">
        <v>252338</v>
      </c>
      <c r="BD8" s="272">
        <v>0</v>
      </c>
      <c r="BE8" s="272">
        <v>0</v>
      </c>
      <c r="BF8" s="272">
        <v>15084</v>
      </c>
      <c r="BG8" s="272">
        <v>0</v>
      </c>
      <c r="BH8" s="272">
        <v>190362</v>
      </c>
      <c r="BI8" s="272">
        <v>32054</v>
      </c>
      <c r="BJ8" s="272">
        <v>1145450</v>
      </c>
      <c r="BK8" s="272">
        <v>442812</v>
      </c>
      <c r="BL8" s="272">
        <v>82666</v>
      </c>
      <c r="BM8" s="272">
        <v>423793</v>
      </c>
      <c r="BN8" s="272">
        <v>1264300</v>
      </c>
      <c r="BO8" s="455">
        <f t="shared" si="5"/>
        <v>1264300</v>
      </c>
      <c r="BP8" s="455">
        <f t="shared" si="6"/>
        <v>0</v>
      </c>
      <c r="BQ8" s="272"/>
      <c r="BR8" s="272"/>
      <c r="BS8" s="272"/>
      <c r="BT8" s="272">
        <v>0</v>
      </c>
      <c r="BU8" s="272">
        <v>26603127</v>
      </c>
      <c r="BV8" s="272"/>
      <c r="BW8" s="272">
        <v>8551368</v>
      </c>
      <c r="BX8" s="272">
        <v>6351177</v>
      </c>
      <c r="BY8" s="272">
        <v>537999</v>
      </c>
      <c r="BZ8" s="272">
        <v>172152</v>
      </c>
      <c r="CA8" s="272">
        <v>1753571</v>
      </c>
      <c r="CB8" s="272">
        <v>214840</v>
      </c>
      <c r="CC8" s="272">
        <v>429197</v>
      </c>
      <c r="CD8" s="272">
        <v>389451</v>
      </c>
      <c r="CE8" s="272">
        <v>683980</v>
      </c>
      <c r="CF8" s="272">
        <v>3903</v>
      </c>
      <c r="CG8" s="272">
        <v>32140</v>
      </c>
      <c r="CH8" s="272">
        <v>3125197</v>
      </c>
      <c r="CI8" s="272">
        <v>1847170</v>
      </c>
      <c r="CJ8" s="455">
        <f t="shared" si="7"/>
        <v>1278027</v>
      </c>
      <c r="CK8" s="272">
        <v>2421740</v>
      </c>
      <c r="CL8" s="272">
        <v>793036</v>
      </c>
      <c r="CM8" s="272">
        <v>97961</v>
      </c>
      <c r="CN8" s="272">
        <v>824509</v>
      </c>
      <c r="CO8" s="272">
        <v>618019</v>
      </c>
      <c r="CP8" s="272">
        <v>1119915</v>
      </c>
      <c r="CQ8" s="272">
        <v>0</v>
      </c>
      <c r="CR8" s="272">
        <v>391000</v>
      </c>
      <c r="CS8" s="272">
        <v>307891</v>
      </c>
      <c r="CT8" s="455">
        <f t="shared" si="8"/>
        <v>391526</v>
      </c>
      <c r="CU8" s="272">
        <v>270099</v>
      </c>
      <c r="CV8" s="272">
        <v>121427</v>
      </c>
      <c r="CW8" s="455">
        <f t="shared" si="9"/>
        <v>273683</v>
      </c>
      <c r="CX8" s="272">
        <v>265883</v>
      </c>
      <c r="CY8" s="272">
        <v>7800</v>
      </c>
      <c r="CZ8" s="455">
        <f t="shared" si="10"/>
        <v>0</v>
      </c>
      <c r="DA8" s="272">
        <v>0</v>
      </c>
      <c r="DB8" s="272">
        <v>0</v>
      </c>
      <c r="DC8" s="272">
        <v>3897806</v>
      </c>
      <c r="DD8" s="272">
        <v>938968</v>
      </c>
      <c r="DE8" s="272">
        <v>2876123</v>
      </c>
      <c r="DF8" s="272">
        <v>49</v>
      </c>
      <c r="DG8" s="272">
        <v>82666</v>
      </c>
      <c r="DH8" s="272">
        <v>11433</v>
      </c>
      <c r="DI8" s="272">
        <v>2351212</v>
      </c>
      <c r="DJ8" s="272">
        <v>401590</v>
      </c>
      <c r="DK8" s="272">
        <v>0</v>
      </c>
      <c r="DL8" s="272">
        <v>1949622</v>
      </c>
      <c r="DM8" s="272">
        <v>188839</v>
      </c>
      <c r="DN8" s="272">
        <v>138839</v>
      </c>
      <c r="DO8" s="272">
        <v>26241</v>
      </c>
      <c r="DP8" s="272">
        <v>112598</v>
      </c>
      <c r="DQ8" s="272">
        <v>429975</v>
      </c>
      <c r="DR8" s="272">
        <v>0</v>
      </c>
      <c r="DS8" s="272">
        <v>0</v>
      </c>
      <c r="DT8" s="272">
        <v>2051623</v>
      </c>
      <c r="DU8" s="272">
        <v>1420403</v>
      </c>
      <c r="DV8" s="455">
        <f t="shared" si="11"/>
        <v>0</v>
      </c>
      <c r="DW8" s="272">
        <v>0</v>
      </c>
      <c r="DX8" s="272">
        <v>0</v>
      </c>
      <c r="DY8" s="457" t="s">
        <v>646</v>
      </c>
      <c r="DZ8" s="272">
        <v>293576</v>
      </c>
      <c r="EA8" s="272">
        <v>237542</v>
      </c>
      <c r="EB8" s="272"/>
      <c r="EC8" s="272">
        <v>0</v>
      </c>
      <c r="ED8" s="272">
        <v>26520698</v>
      </c>
      <c r="EF8" s="272">
        <v>82429</v>
      </c>
      <c r="EG8" s="272">
        <v>809</v>
      </c>
      <c r="EH8" s="272">
        <v>81620</v>
      </c>
      <c r="EI8" s="272">
        <v>16566</v>
      </c>
      <c r="EJ8" s="272">
        <v>418156</v>
      </c>
      <c r="EL8" s="272"/>
      <c r="EM8" s="272">
        <v>102086</v>
      </c>
      <c r="EN8" s="272">
        <v>136018</v>
      </c>
      <c r="EO8" s="272">
        <v>871138</v>
      </c>
      <c r="EP8" s="455">
        <f t="shared" si="12"/>
        <v>882082</v>
      </c>
      <c r="EQ8" s="272">
        <v>18683723</v>
      </c>
      <c r="ER8" s="272">
        <v>-1868633</v>
      </c>
      <c r="ES8" s="272">
        <v>7956761</v>
      </c>
      <c r="ET8" s="272">
        <v>5771977</v>
      </c>
      <c r="EU8" s="272">
        <v>643206</v>
      </c>
      <c r="EV8" s="272">
        <v>3062562</v>
      </c>
      <c r="EW8" s="455">
        <f t="shared" si="13"/>
        <v>1244943</v>
      </c>
      <c r="EX8" s="272">
        <v>1238248</v>
      </c>
      <c r="EY8" s="272">
        <v>146034</v>
      </c>
      <c r="EZ8" s="272">
        <v>1092165</v>
      </c>
      <c r="FA8" s="272">
        <v>6695</v>
      </c>
      <c r="FB8" s="272">
        <v>0</v>
      </c>
      <c r="FC8" s="272">
        <v>1850230</v>
      </c>
      <c r="FD8" s="272">
        <v>900280</v>
      </c>
      <c r="FE8" s="272"/>
      <c r="FF8" s="272">
        <v>1974874</v>
      </c>
      <c r="FG8" s="455">
        <f t="shared" si="14"/>
        <v>2837071</v>
      </c>
      <c r="FH8" s="272">
        <v>20469927</v>
      </c>
      <c r="FI8" s="384">
        <f t="shared" si="15"/>
        <v>0.5</v>
      </c>
      <c r="FJ8" s="272">
        <v>16547276</v>
      </c>
      <c r="FK8" s="272"/>
      <c r="FL8" s="272">
        <v>12473764</v>
      </c>
      <c r="FM8" s="272">
        <v>11511921</v>
      </c>
      <c r="FN8" s="460">
        <v>1.0640000000000001</v>
      </c>
      <c r="FO8" s="388">
        <v>89.1</v>
      </c>
      <c r="FP8" s="388">
        <v>43.8</v>
      </c>
      <c r="FQ8" s="388">
        <v>3.7</v>
      </c>
      <c r="FR8" s="388">
        <v>17.8</v>
      </c>
      <c r="FS8" s="388">
        <v>9.1999999999999993</v>
      </c>
      <c r="FT8" s="388">
        <v>4.0999999999999996</v>
      </c>
      <c r="FU8" s="388">
        <v>8</v>
      </c>
      <c r="FV8" s="388">
        <v>17.600000000000001</v>
      </c>
      <c r="FW8" s="272">
        <v>18617192</v>
      </c>
      <c r="FX8" s="384">
        <f t="shared" si="16"/>
        <v>112.5</v>
      </c>
      <c r="FY8" s="272">
        <v>4597306</v>
      </c>
      <c r="FZ8" s="272">
        <v>468940</v>
      </c>
      <c r="GA8" s="272"/>
      <c r="GB8" s="272">
        <v>4128366</v>
      </c>
      <c r="GC8" s="272"/>
      <c r="GD8" s="272">
        <v>14922676</v>
      </c>
      <c r="GE8" s="384">
        <f t="shared" si="17"/>
        <v>90.2</v>
      </c>
      <c r="GF8" s="388">
        <v>98.6</v>
      </c>
      <c r="GG8" s="388">
        <v>36.700000000000003</v>
      </c>
      <c r="GH8" s="388">
        <v>96.8</v>
      </c>
      <c r="GI8" s="272">
        <v>1021</v>
      </c>
    </row>
    <row r="9" spans="2:191" x14ac:dyDescent="0.15">
      <c r="B9" s="89" t="s">
        <v>11</v>
      </c>
      <c r="C9" s="272">
        <v>57188930</v>
      </c>
      <c r="D9" s="455">
        <f t="shared" si="0"/>
        <v>25886499</v>
      </c>
      <c r="E9" s="272">
        <v>240342</v>
      </c>
      <c r="F9" s="272">
        <v>25646157</v>
      </c>
      <c r="G9" s="455">
        <f t="shared" si="1"/>
        <v>8457019</v>
      </c>
      <c r="H9" s="272">
        <v>669516</v>
      </c>
      <c r="I9" s="272">
        <v>7787503</v>
      </c>
      <c r="J9" s="272">
        <v>15895169</v>
      </c>
      <c r="K9" s="272">
        <v>7384969</v>
      </c>
      <c r="L9" s="272">
        <v>6216942</v>
      </c>
      <c r="M9" s="272">
        <v>2000418</v>
      </c>
      <c r="N9" s="272">
        <v>1236336</v>
      </c>
      <c r="O9" s="272">
        <v>4207949</v>
      </c>
      <c r="P9" s="272">
        <v>2718660</v>
      </c>
      <c r="Q9" s="272">
        <v>1489289</v>
      </c>
      <c r="R9" s="272">
        <v>1468050</v>
      </c>
      <c r="S9" s="272">
        <v>957653</v>
      </c>
      <c r="T9" s="455">
        <f t="shared" si="2"/>
        <v>3031057</v>
      </c>
      <c r="U9" s="272">
        <v>2069896</v>
      </c>
      <c r="V9" s="272"/>
      <c r="W9" s="272"/>
      <c r="X9" s="272"/>
      <c r="Y9" s="272">
        <v>0</v>
      </c>
      <c r="Z9" s="272"/>
      <c r="AA9" s="272">
        <v>961161</v>
      </c>
      <c r="AB9" s="272"/>
      <c r="AC9" s="272">
        <v>231277</v>
      </c>
      <c r="AD9" s="272">
        <v>0</v>
      </c>
      <c r="AE9" s="272">
        <v>231277</v>
      </c>
      <c r="AF9" s="272">
        <v>59617</v>
      </c>
      <c r="AG9" s="272">
        <v>1075897</v>
      </c>
      <c r="AH9" s="455">
        <f t="shared" si="3"/>
        <v>1657999</v>
      </c>
      <c r="AI9" s="272">
        <v>1328357</v>
      </c>
      <c r="AJ9" s="272">
        <v>329642</v>
      </c>
      <c r="AK9" s="272">
        <v>6316038</v>
      </c>
      <c r="AL9" s="455">
        <f t="shared" si="4"/>
        <v>3696553</v>
      </c>
      <c r="AM9" s="272">
        <v>2836001</v>
      </c>
      <c r="AN9" s="272">
        <v>579500</v>
      </c>
      <c r="AO9" s="272">
        <v>0</v>
      </c>
      <c r="AP9" s="272">
        <v>281052</v>
      </c>
      <c r="AQ9" s="272">
        <v>1100144</v>
      </c>
      <c r="AR9" s="272">
        <v>0</v>
      </c>
      <c r="AS9" s="272">
        <v>0</v>
      </c>
      <c r="AT9" s="272">
        <v>2987769</v>
      </c>
      <c r="AU9" s="272">
        <v>733360</v>
      </c>
      <c r="AV9" s="272">
        <v>168101</v>
      </c>
      <c r="AW9" s="272">
        <v>51329</v>
      </c>
      <c r="AX9" s="272">
        <v>2254409</v>
      </c>
      <c r="AY9" s="272">
        <v>265676</v>
      </c>
      <c r="AZ9" s="272">
        <v>3690359</v>
      </c>
      <c r="BA9" s="272">
        <v>2559914</v>
      </c>
      <c r="BB9" s="272">
        <v>408122</v>
      </c>
      <c r="BC9" s="272">
        <v>1801200</v>
      </c>
      <c r="BD9" s="272">
        <v>0</v>
      </c>
      <c r="BE9" s="272">
        <v>0</v>
      </c>
      <c r="BF9" s="272">
        <v>1800000</v>
      </c>
      <c r="BG9" s="272">
        <v>0</v>
      </c>
      <c r="BH9" s="272">
        <v>5127371</v>
      </c>
      <c r="BI9" s="272">
        <v>3675796</v>
      </c>
      <c r="BJ9" s="272">
        <v>4126402</v>
      </c>
      <c r="BK9" s="272">
        <v>1099315</v>
      </c>
      <c r="BL9" s="272">
        <v>899625</v>
      </c>
      <c r="BM9" s="272">
        <v>596374</v>
      </c>
      <c r="BN9" s="272">
        <v>2850000</v>
      </c>
      <c r="BO9" s="455">
        <f t="shared" si="5"/>
        <v>2850000</v>
      </c>
      <c r="BP9" s="455">
        <f t="shared" si="6"/>
        <v>0</v>
      </c>
      <c r="BQ9" s="272"/>
      <c r="BR9" s="272"/>
      <c r="BS9" s="272"/>
      <c r="BT9" s="272">
        <v>0</v>
      </c>
      <c r="BU9" s="272">
        <v>92020088</v>
      </c>
      <c r="BV9" s="272"/>
      <c r="BW9" s="272">
        <v>22282303</v>
      </c>
      <c r="BX9" s="272">
        <v>17075993</v>
      </c>
      <c r="BY9" s="272">
        <v>873467</v>
      </c>
      <c r="BZ9" s="272">
        <v>883339</v>
      </c>
      <c r="CA9" s="272">
        <v>8952264</v>
      </c>
      <c r="CB9" s="272">
        <v>951729</v>
      </c>
      <c r="CC9" s="272">
        <v>1386392</v>
      </c>
      <c r="CD9" s="272">
        <v>1811898</v>
      </c>
      <c r="CE9" s="272">
        <v>3810053</v>
      </c>
      <c r="CF9" s="272">
        <v>613853</v>
      </c>
      <c r="CG9" s="272">
        <v>378339</v>
      </c>
      <c r="CH9" s="272">
        <v>6005715</v>
      </c>
      <c r="CI9" s="272">
        <v>2962816</v>
      </c>
      <c r="CJ9" s="455">
        <f t="shared" si="7"/>
        <v>3042899</v>
      </c>
      <c r="CK9" s="272">
        <v>8758104</v>
      </c>
      <c r="CL9" s="272">
        <v>4615202</v>
      </c>
      <c r="CM9" s="272">
        <v>215845</v>
      </c>
      <c r="CN9" s="272">
        <v>2545732</v>
      </c>
      <c r="CO9" s="272">
        <v>2240782</v>
      </c>
      <c r="CP9" s="272">
        <v>3039519</v>
      </c>
      <c r="CQ9" s="272">
        <v>932</v>
      </c>
      <c r="CR9" s="272">
        <v>935475</v>
      </c>
      <c r="CS9" s="272">
        <v>603090</v>
      </c>
      <c r="CT9" s="455">
        <f t="shared" si="8"/>
        <v>1080930</v>
      </c>
      <c r="CU9" s="272">
        <v>844347</v>
      </c>
      <c r="CV9" s="272">
        <v>236583</v>
      </c>
      <c r="CW9" s="455">
        <f t="shared" si="9"/>
        <v>1066000</v>
      </c>
      <c r="CX9" s="272">
        <v>829417</v>
      </c>
      <c r="CY9" s="272">
        <v>236583</v>
      </c>
      <c r="CZ9" s="455">
        <f t="shared" si="10"/>
        <v>0</v>
      </c>
      <c r="DA9" s="272">
        <v>0</v>
      </c>
      <c r="DB9" s="272">
        <v>0</v>
      </c>
      <c r="DC9" s="272">
        <v>15097979</v>
      </c>
      <c r="DD9" s="272">
        <v>2791389</v>
      </c>
      <c r="DE9" s="272">
        <v>11416579</v>
      </c>
      <c r="DF9" s="272">
        <v>0</v>
      </c>
      <c r="DG9" s="272">
        <v>890011</v>
      </c>
      <c r="DH9" s="272">
        <v>0</v>
      </c>
      <c r="DI9" s="272">
        <v>12095545</v>
      </c>
      <c r="DJ9" s="272">
        <v>2000000</v>
      </c>
      <c r="DK9" s="272">
        <v>0</v>
      </c>
      <c r="DL9" s="272">
        <v>10095545</v>
      </c>
      <c r="DM9" s="272">
        <v>39698</v>
      </c>
      <c r="DN9" s="272">
        <v>0</v>
      </c>
      <c r="DO9" s="272">
        <v>0</v>
      </c>
      <c r="DP9" s="272">
        <v>0</v>
      </c>
      <c r="DQ9" s="272">
        <v>1055000</v>
      </c>
      <c r="DR9" s="272">
        <v>0</v>
      </c>
      <c r="DS9" s="272">
        <v>0</v>
      </c>
      <c r="DT9" s="272">
        <v>6960306</v>
      </c>
      <c r="DU9" s="272">
        <v>4469306</v>
      </c>
      <c r="DV9" s="455">
        <f t="shared" si="11"/>
        <v>0</v>
      </c>
      <c r="DW9" s="272">
        <v>0</v>
      </c>
      <c r="DX9" s="272">
        <v>0</v>
      </c>
      <c r="DY9" s="457" t="s">
        <v>646</v>
      </c>
      <c r="DZ9" s="272">
        <v>1574003</v>
      </c>
      <c r="EA9" s="272">
        <v>635295</v>
      </c>
      <c r="EB9" s="272"/>
      <c r="EC9" s="272">
        <v>0</v>
      </c>
      <c r="ED9" s="272">
        <v>86527215</v>
      </c>
      <c r="EF9" s="272">
        <v>5492873</v>
      </c>
      <c r="EG9" s="272">
        <v>3401800</v>
      </c>
      <c r="EH9" s="272">
        <v>2091073</v>
      </c>
      <c r="EI9" s="272">
        <v>-1584723</v>
      </c>
      <c r="EJ9" s="272">
        <v>415277</v>
      </c>
      <c r="EL9" s="272"/>
      <c r="EM9" s="272">
        <v>337261</v>
      </c>
      <c r="EN9" s="272">
        <v>1200</v>
      </c>
      <c r="EO9" s="272">
        <v>2572706</v>
      </c>
      <c r="EP9" s="455">
        <f t="shared" si="12"/>
        <v>7817527</v>
      </c>
      <c r="EQ9" s="272">
        <v>61978931</v>
      </c>
      <c r="ER9" s="272">
        <v>-10331816</v>
      </c>
      <c r="ES9" s="272">
        <v>20661690</v>
      </c>
      <c r="ET9" s="272">
        <v>15537982</v>
      </c>
      <c r="EU9" s="272">
        <v>3022044</v>
      </c>
      <c r="EV9" s="272">
        <v>5881788</v>
      </c>
      <c r="EW9" s="455">
        <f t="shared" si="13"/>
        <v>7977681</v>
      </c>
      <c r="EX9" s="272">
        <v>7977681</v>
      </c>
      <c r="EY9" s="272">
        <v>627196</v>
      </c>
      <c r="EZ9" s="272">
        <v>7350485</v>
      </c>
      <c r="FA9" s="272">
        <v>0</v>
      </c>
      <c r="FB9" s="272">
        <v>0</v>
      </c>
      <c r="FC9" s="272">
        <v>7362439</v>
      </c>
      <c r="FD9" s="272">
        <v>2364800</v>
      </c>
      <c r="FE9" s="272">
        <v>932</v>
      </c>
      <c r="FF9" s="272">
        <v>6385676</v>
      </c>
      <c r="FG9" s="455">
        <f t="shared" si="14"/>
        <v>13164015</v>
      </c>
      <c r="FH9" s="272">
        <v>66820133</v>
      </c>
      <c r="FI9" s="384">
        <f t="shared" si="15"/>
        <v>3.8</v>
      </c>
      <c r="FJ9" s="272">
        <v>55514717</v>
      </c>
      <c r="FK9" s="272"/>
      <c r="FL9" s="272">
        <v>41778014</v>
      </c>
      <c r="FM9" s="272">
        <v>34041813</v>
      </c>
      <c r="FN9" s="460">
        <v>1.165</v>
      </c>
      <c r="FO9" s="388">
        <v>71.900000000000006</v>
      </c>
      <c r="FP9" s="388">
        <v>34.6</v>
      </c>
      <c r="FQ9" s="388">
        <v>5.2</v>
      </c>
      <c r="FR9" s="388">
        <v>10</v>
      </c>
      <c r="FS9" s="388">
        <v>11.2</v>
      </c>
      <c r="FT9" s="388">
        <v>3.1</v>
      </c>
      <c r="FU9" s="388">
        <v>5.2</v>
      </c>
      <c r="FV9" s="388">
        <v>8.9</v>
      </c>
      <c r="FW9" s="272">
        <v>46284439</v>
      </c>
      <c r="FX9" s="384">
        <f t="shared" si="16"/>
        <v>83.4</v>
      </c>
      <c r="FY9" s="272">
        <v>27082162</v>
      </c>
      <c r="FZ9" s="272">
        <v>2000000</v>
      </c>
      <c r="GA9" s="272"/>
      <c r="GB9" s="272">
        <v>25082162</v>
      </c>
      <c r="GC9" s="272"/>
      <c r="GD9" s="272">
        <v>24607393</v>
      </c>
      <c r="GE9" s="384">
        <f t="shared" si="17"/>
        <v>44.3</v>
      </c>
      <c r="GF9" s="388">
        <v>98.8</v>
      </c>
      <c r="GG9" s="388">
        <v>28.8</v>
      </c>
      <c r="GH9" s="388">
        <v>97.2</v>
      </c>
      <c r="GI9" s="272">
        <v>2700</v>
      </c>
    </row>
    <row r="10" spans="2:191" x14ac:dyDescent="0.15">
      <c r="B10" s="89" t="s">
        <v>13</v>
      </c>
      <c r="C10" s="272">
        <v>9132442</v>
      </c>
      <c r="D10" s="455">
        <f t="shared" si="0"/>
        <v>2939828</v>
      </c>
      <c r="E10" s="272">
        <v>44260</v>
      </c>
      <c r="F10" s="272">
        <v>2895568</v>
      </c>
      <c r="G10" s="455">
        <f t="shared" si="1"/>
        <v>1391321</v>
      </c>
      <c r="H10" s="272">
        <v>139036</v>
      </c>
      <c r="I10" s="272">
        <v>1252285</v>
      </c>
      <c r="J10" s="272">
        <v>3535005</v>
      </c>
      <c r="K10" s="272">
        <v>1848514</v>
      </c>
      <c r="L10" s="272">
        <v>993951</v>
      </c>
      <c r="M10" s="272">
        <v>458321</v>
      </c>
      <c r="N10" s="272">
        <v>314585</v>
      </c>
      <c r="O10" s="272">
        <v>821269</v>
      </c>
      <c r="P10" s="272">
        <v>595139</v>
      </c>
      <c r="Q10" s="272">
        <v>226130</v>
      </c>
      <c r="R10" s="272">
        <v>416250</v>
      </c>
      <c r="S10" s="272">
        <v>267297</v>
      </c>
      <c r="T10" s="455">
        <f t="shared" si="2"/>
        <v>471025</v>
      </c>
      <c r="U10" s="272">
        <v>262693</v>
      </c>
      <c r="V10" s="272"/>
      <c r="W10" s="272"/>
      <c r="X10" s="272"/>
      <c r="Y10" s="272">
        <v>0</v>
      </c>
      <c r="Z10" s="272"/>
      <c r="AA10" s="272">
        <v>208332</v>
      </c>
      <c r="AB10" s="272"/>
      <c r="AC10" s="272">
        <v>1288157</v>
      </c>
      <c r="AD10" s="272">
        <v>1032741</v>
      </c>
      <c r="AE10" s="272">
        <v>255416</v>
      </c>
      <c r="AF10" s="272">
        <v>16180</v>
      </c>
      <c r="AG10" s="272">
        <v>67520</v>
      </c>
      <c r="AH10" s="455">
        <f t="shared" si="3"/>
        <v>733895</v>
      </c>
      <c r="AI10" s="272">
        <v>704959</v>
      </c>
      <c r="AJ10" s="272">
        <v>28936</v>
      </c>
      <c r="AK10" s="272">
        <v>1548002</v>
      </c>
      <c r="AL10" s="455">
        <f t="shared" si="4"/>
        <v>942136</v>
      </c>
      <c r="AM10" s="272">
        <v>768194</v>
      </c>
      <c r="AN10" s="272">
        <v>113630</v>
      </c>
      <c r="AO10" s="272">
        <v>0</v>
      </c>
      <c r="AP10" s="272">
        <v>60312</v>
      </c>
      <c r="AQ10" s="272">
        <v>65596</v>
      </c>
      <c r="AR10" s="272">
        <v>0</v>
      </c>
      <c r="AS10" s="272">
        <v>0</v>
      </c>
      <c r="AT10" s="272">
        <v>806958</v>
      </c>
      <c r="AU10" s="272">
        <v>187598</v>
      </c>
      <c r="AV10" s="272">
        <v>56815</v>
      </c>
      <c r="AW10" s="272">
        <v>11186</v>
      </c>
      <c r="AX10" s="272">
        <v>619360</v>
      </c>
      <c r="AY10" s="272">
        <v>238651</v>
      </c>
      <c r="AZ10" s="272">
        <v>242717</v>
      </c>
      <c r="BA10" s="272">
        <v>165509</v>
      </c>
      <c r="BB10" s="272">
        <v>122363</v>
      </c>
      <c r="BC10" s="272">
        <v>13513</v>
      </c>
      <c r="BD10" s="272">
        <v>0</v>
      </c>
      <c r="BE10" s="272">
        <v>0</v>
      </c>
      <c r="BF10" s="272">
        <v>4038</v>
      </c>
      <c r="BG10" s="272">
        <v>0</v>
      </c>
      <c r="BH10" s="272">
        <v>477653</v>
      </c>
      <c r="BI10" s="272">
        <v>247746</v>
      </c>
      <c r="BJ10" s="272">
        <v>1730434</v>
      </c>
      <c r="BK10" s="272">
        <v>411824</v>
      </c>
      <c r="BL10" s="272">
        <v>669181</v>
      </c>
      <c r="BM10" s="272">
        <v>444464</v>
      </c>
      <c r="BN10" s="272">
        <v>1201682</v>
      </c>
      <c r="BO10" s="455">
        <f t="shared" si="5"/>
        <v>1201682</v>
      </c>
      <c r="BP10" s="455">
        <f t="shared" si="6"/>
        <v>0</v>
      </c>
      <c r="BQ10" s="272"/>
      <c r="BR10" s="272"/>
      <c r="BS10" s="272"/>
      <c r="BT10" s="272">
        <v>0</v>
      </c>
      <c r="BU10" s="272">
        <v>18268791</v>
      </c>
      <c r="BV10" s="272"/>
      <c r="BW10" s="272">
        <v>4780463</v>
      </c>
      <c r="BX10" s="272">
        <v>3656044</v>
      </c>
      <c r="BY10" s="272">
        <v>126928</v>
      </c>
      <c r="BZ10" s="272">
        <v>99918</v>
      </c>
      <c r="CA10" s="272">
        <v>1971074</v>
      </c>
      <c r="CB10" s="272">
        <v>216894</v>
      </c>
      <c r="CC10" s="272">
        <v>402021</v>
      </c>
      <c r="CD10" s="272">
        <v>311167</v>
      </c>
      <c r="CE10" s="272">
        <v>1002923</v>
      </c>
      <c r="CF10" s="272">
        <v>23</v>
      </c>
      <c r="CG10" s="272">
        <v>37806</v>
      </c>
      <c r="CH10" s="272">
        <v>1533948</v>
      </c>
      <c r="CI10" s="272">
        <v>844602</v>
      </c>
      <c r="CJ10" s="455">
        <f t="shared" si="7"/>
        <v>689346</v>
      </c>
      <c r="CK10" s="272">
        <v>1234278</v>
      </c>
      <c r="CL10" s="272">
        <v>527323</v>
      </c>
      <c r="CM10" s="272">
        <v>56581</v>
      </c>
      <c r="CN10" s="272">
        <v>391447</v>
      </c>
      <c r="CO10" s="272">
        <v>82375</v>
      </c>
      <c r="CP10" s="272">
        <v>1420313</v>
      </c>
      <c r="CQ10" s="272">
        <v>701800</v>
      </c>
      <c r="CR10" s="272">
        <v>314045</v>
      </c>
      <c r="CS10" s="272">
        <v>165588</v>
      </c>
      <c r="CT10" s="455">
        <f t="shared" si="8"/>
        <v>182173</v>
      </c>
      <c r="CU10" s="272">
        <v>3093</v>
      </c>
      <c r="CV10" s="272">
        <v>179080</v>
      </c>
      <c r="CW10" s="455">
        <f t="shared" si="9"/>
        <v>161363</v>
      </c>
      <c r="CX10" s="272">
        <v>0</v>
      </c>
      <c r="CY10" s="272">
        <v>161363</v>
      </c>
      <c r="CZ10" s="455">
        <f t="shared" si="10"/>
        <v>0</v>
      </c>
      <c r="DA10" s="272">
        <v>0</v>
      </c>
      <c r="DB10" s="272">
        <v>0</v>
      </c>
      <c r="DC10" s="272">
        <v>3794004</v>
      </c>
      <c r="DD10" s="272">
        <v>405790</v>
      </c>
      <c r="DE10" s="272">
        <v>2579096</v>
      </c>
      <c r="DF10" s="272">
        <v>11900</v>
      </c>
      <c r="DG10" s="272">
        <v>797218</v>
      </c>
      <c r="DH10" s="272">
        <v>0</v>
      </c>
      <c r="DI10" s="272">
        <v>1225173</v>
      </c>
      <c r="DJ10" s="272">
        <v>400000</v>
      </c>
      <c r="DK10" s="272">
        <v>300000</v>
      </c>
      <c r="DL10" s="272">
        <v>525173</v>
      </c>
      <c r="DM10" s="272">
        <v>130000</v>
      </c>
      <c r="DN10" s="272">
        <v>0</v>
      </c>
      <c r="DO10" s="272">
        <v>0</v>
      </c>
      <c r="DP10" s="272">
        <v>0</v>
      </c>
      <c r="DQ10" s="272">
        <v>397610</v>
      </c>
      <c r="DR10" s="272">
        <v>0</v>
      </c>
      <c r="DS10" s="272">
        <v>0</v>
      </c>
      <c r="DT10" s="272">
        <v>1272723</v>
      </c>
      <c r="DU10" s="272">
        <v>975168</v>
      </c>
      <c r="DV10" s="455">
        <f t="shared" si="11"/>
        <v>0</v>
      </c>
      <c r="DW10" s="272">
        <v>0</v>
      </c>
      <c r="DX10" s="272">
        <v>0</v>
      </c>
      <c r="DY10" s="457" t="s">
        <v>646</v>
      </c>
      <c r="DZ10" s="272">
        <v>135926</v>
      </c>
      <c r="EA10" s="272">
        <v>156259</v>
      </c>
      <c r="EB10" s="272"/>
      <c r="EC10" s="272">
        <v>0</v>
      </c>
      <c r="ED10" s="272">
        <v>17841961</v>
      </c>
      <c r="EF10" s="272">
        <v>426830</v>
      </c>
      <c r="EG10" s="272">
        <v>70381</v>
      </c>
      <c r="EH10" s="272">
        <v>356449</v>
      </c>
      <c r="EI10" s="272">
        <v>108703</v>
      </c>
      <c r="EJ10" s="272">
        <v>508703</v>
      </c>
      <c r="EL10" s="272"/>
      <c r="EM10" s="272">
        <v>66723</v>
      </c>
      <c r="EN10" s="272">
        <v>13513</v>
      </c>
      <c r="EO10" s="272">
        <v>170195</v>
      </c>
      <c r="EP10" s="455">
        <f t="shared" si="12"/>
        <v>1676829</v>
      </c>
      <c r="EQ10" s="272">
        <v>11324054</v>
      </c>
      <c r="ER10" s="272">
        <v>-1844357</v>
      </c>
      <c r="ES10" s="272">
        <v>4336670</v>
      </c>
      <c r="ET10" s="272">
        <v>3227364</v>
      </c>
      <c r="EU10" s="272">
        <v>639245</v>
      </c>
      <c r="EV10" s="272">
        <v>1387963</v>
      </c>
      <c r="EW10" s="455">
        <f t="shared" si="13"/>
        <v>1466221</v>
      </c>
      <c r="EX10" s="272">
        <v>1466221</v>
      </c>
      <c r="EY10" s="272">
        <v>26078</v>
      </c>
      <c r="EZ10" s="272">
        <v>1305206</v>
      </c>
      <c r="FA10" s="272">
        <v>0</v>
      </c>
      <c r="FB10" s="272">
        <v>0</v>
      </c>
      <c r="FC10" s="272">
        <v>1122898</v>
      </c>
      <c r="FD10" s="272">
        <v>1307994</v>
      </c>
      <c r="FE10" s="272">
        <v>701800</v>
      </c>
      <c r="FF10" s="272">
        <v>1249529</v>
      </c>
      <c r="FG10" s="455">
        <f t="shared" si="14"/>
        <v>1231061</v>
      </c>
      <c r="FH10" s="272">
        <v>12741581</v>
      </c>
      <c r="FI10" s="384">
        <f t="shared" si="15"/>
        <v>3.6</v>
      </c>
      <c r="FJ10" s="272">
        <v>9987372</v>
      </c>
      <c r="FK10" s="272"/>
      <c r="FL10" s="272">
        <v>6760341</v>
      </c>
      <c r="FM10" s="272">
        <v>7789366</v>
      </c>
      <c r="FN10" s="460">
        <v>0.86099999999999999</v>
      </c>
      <c r="FO10" s="388">
        <v>86.4</v>
      </c>
      <c r="FP10" s="388">
        <v>40.200000000000003</v>
      </c>
      <c r="FQ10" s="388">
        <v>6.2</v>
      </c>
      <c r="FR10" s="388">
        <v>13.4</v>
      </c>
      <c r="FS10" s="388">
        <v>8.6999999999999993</v>
      </c>
      <c r="FT10" s="388">
        <v>9.1</v>
      </c>
      <c r="FU10" s="388">
        <v>8.3000000000000007</v>
      </c>
      <c r="FV10" s="388">
        <v>13.7</v>
      </c>
      <c r="FW10" s="272">
        <v>11128047</v>
      </c>
      <c r="FX10" s="384">
        <f t="shared" si="16"/>
        <v>111.4</v>
      </c>
      <c r="FY10" s="272">
        <v>2418018</v>
      </c>
      <c r="FZ10" s="272">
        <v>400000</v>
      </c>
      <c r="GA10" s="272">
        <v>300000</v>
      </c>
      <c r="GB10" s="272">
        <v>1718018</v>
      </c>
      <c r="GC10" s="272"/>
      <c r="GD10" s="272">
        <v>5496068</v>
      </c>
      <c r="GE10" s="384">
        <f t="shared" si="17"/>
        <v>55</v>
      </c>
      <c r="GF10" s="388">
        <v>98.6</v>
      </c>
      <c r="GG10" s="388">
        <v>42.4</v>
      </c>
      <c r="GH10" s="388">
        <v>96.2</v>
      </c>
      <c r="GI10" s="272">
        <v>615</v>
      </c>
    </row>
    <row r="11" spans="2:191" x14ac:dyDescent="0.15">
      <c r="B11" s="89" t="s">
        <v>15</v>
      </c>
      <c r="C11" s="272">
        <v>49196608</v>
      </c>
      <c r="D11" s="455">
        <f t="shared" si="0"/>
        <v>21024700</v>
      </c>
      <c r="E11" s="272">
        <v>243462</v>
      </c>
      <c r="F11" s="272">
        <v>20781238</v>
      </c>
      <c r="G11" s="455">
        <f t="shared" si="1"/>
        <v>7550733</v>
      </c>
      <c r="H11" s="272">
        <v>544164</v>
      </c>
      <c r="I11" s="272">
        <v>7006569</v>
      </c>
      <c r="J11" s="272">
        <v>14384585</v>
      </c>
      <c r="K11" s="272">
        <v>7663154</v>
      </c>
      <c r="L11" s="272">
        <v>4649488</v>
      </c>
      <c r="M11" s="272">
        <v>1960611</v>
      </c>
      <c r="N11" s="272">
        <v>1147026</v>
      </c>
      <c r="O11" s="272">
        <v>3431183</v>
      </c>
      <c r="P11" s="272">
        <v>2513285</v>
      </c>
      <c r="Q11" s="272">
        <v>917898</v>
      </c>
      <c r="R11" s="272">
        <v>1482926</v>
      </c>
      <c r="S11" s="272">
        <v>945540</v>
      </c>
      <c r="T11" s="455">
        <f t="shared" si="2"/>
        <v>2877236</v>
      </c>
      <c r="U11" s="272">
        <v>1755201</v>
      </c>
      <c r="V11" s="272"/>
      <c r="W11" s="272"/>
      <c r="X11" s="272"/>
      <c r="Y11" s="272">
        <v>109740</v>
      </c>
      <c r="Z11" s="272"/>
      <c r="AA11" s="272">
        <v>1012295</v>
      </c>
      <c r="AB11" s="272"/>
      <c r="AC11" s="272">
        <v>300353</v>
      </c>
      <c r="AD11" s="272">
        <v>0</v>
      </c>
      <c r="AE11" s="272">
        <v>300353</v>
      </c>
      <c r="AF11" s="272">
        <v>67569</v>
      </c>
      <c r="AG11" s="272">
        <v>903320</v>
      </c>
      <c r="AH11" s="455">
        <f t="shared" si="3"/>
        <v>1365304</v>
      </c>
      <c r="AI11" s="272">
        <v>871015</v>
      </c>
      <c r="AJ11" s="272">
        <v>494289</v>
      </c>
      <c r="AK11" s="272">
        <v>6255661</v>
      </c>
      <c r="AL11" s="455">
        <f t="shared" si="4"/>
        <v>2887780</v>
      </c>
      <c r="AM11" s="272">
        <v>2349920</v>
      </c>
      <c r="AN11" s="272">
        <v>357742</v>
      </c>
      <c r="AO11" s="272">
        <v>0</v>
      </c>
      <c r="AP11" s="272">
        <v>180118</v>
      </c>
      <c r="AQ11" s="272">
        <v>2164317</v>
      </c>
      <c r="AR11" s="272">
        <v>16138</v>
      </c>
      <c r="AS11" s="272">
        <v>0</v>
      </c>
      <c r="AT11" s="272">
        <v>3554840</v>
      </c>
      <c r="AU11" s="272">
        <v>1223551</v>
      </c>
      <c r="AV11" s="272">
        <v>178870</v>
      </c>
      <c r="AW11" s="272">
        <v>79121</v>
      </c>
      <c r="AX11" s="272">
        <v>2331289</v>
      </c>
      <c r="AY11" s="272">
        <v>490549</v>
      </c>
      <c r="AZ11" s="272">
        <v>1001014</v>
      </c>
      <c r="BA11" s="272">
        <v>180421</v>
      </c>
      <c r="BB11" s="272">
        <v>334305</v>
      </c>
      <c r="BC11" s="272">
        <v>487736</v>
      </c>
      <c r="BD11" s="272">
        <v>156700</v>
      </c>
      <c r="BE11" s="272">
        <v>0</v>
      </c>
      <c r="BF11" s="272">
        <v>0</v>
      </c>
      <c r="BG11" s="272">
        <v>0</v>
      </c>
      <c r="BH11" s="272">
        <v>766401</v>
      </c>
      <c r="BI11" s="272">
        <v>508189</v>
      </c>
      <c r="BJ11" s="272">
        <v>3619311</v>
      </c>
      <c r="BK11" s="272">
        <v>2436615</v>
      </c>
      <c r="BL11" s="272">
        <v>67900</v>
      </c>
      <c r="BM11" s="272">
        <v>596260</v>
      </c>
      <c r="BN11" s="272">
        <v>8533775</v>
      </c>
      <c r="BO11" s="455">
        <f t="shared" si="5"/>
        <v>8533775</v>
      </c>
      <c r="BP11" s="455">
        <f t="shared" si="6"/>
        <v>0</v>
      </c>
      <c r="BQ11" s="272"/>
      <c r="BR11" s="272"/>
      <c r="BS11" s="272"/>
      <c r="BT11" s="272">
        <v>0</v>
      </c>
      <c r="BU11" s="272">
        <v>80746359</v>
      </c>
      <c r="BV11" s="272"/>
      <c r="BW11" s="272">
        <v>22061684</v>
      </c>
      <c r="BX11" s="272">
        <v>17370350</v>
      </c>
      <c r="BY11" s="272">
        <v>557188</v>
      </c>
      <c r="BZ11" s="272">
        <v>597333</v>
      </c>
      <c r="CA11" s="272">
        <v>6282903</v>
      </c>
      <c r="CB11" s="272">
        <v>374603</v>
      </c>
      <c r="CC11" s="272">
        <v>1116630</v>
      </c>
      <c r="CD11" s="272">
        <v>1507977</v>
      </c>
      <c r="CE11" s="272">
        <v>3146423</v>
      </c>
      <c r="CF11" s="272">
        <v>2577</v>
      </c>
      <c r="CG11" s="272">
        <v>132683</v>
      </c>
      <c r="CH11" s="272">
        <v>6185908</v>
      </c>
      <c r="CI11" s="272">
        <v>3583325</v>
      </c>
      <c r="CJ11" s="455">
        <f t="shared" si="7"/>
        <v>2602583</v>
      </c>
      <c r="CK11" s="272">
        <v>8081244</v>
      </c>
      <c r="CL11" s="272">
        <v>3787061</v>
      </c>
      <c r="CM11" s="272">
        <v>161887</v>
      </c>
      <c r="CN11" s="272">
        <v>2811736</v>
      </c>
      <c r="CO11" s="272">
        <v>1315893</v>
      </c>
      <c r="CP11" s="272">
        <v>3335797</v>
      </c>
      <c r="CQ11" s="272">
        <v>44498</v>
      </c>
      <c r="CR11" s="272">
        <v>1600330</v>
      </c>
      <c r="CS11" s="272">
        <v>1245891</v>
      </c>
      <c r="CT11" s="455">
        <f t="shared" si="8"/>
        <v>791777</v>
      </c>
      <c r="CU11" s="272">
        <v>33451</v>
      </c>
      <c r="CV11" s="272">
        <v>758326</v>
      </c>
      <c r="CW11" s="455">
        <f t="shared" si="9"/>
        <v>0</v>
      </c>
      <c r="CX11" s="272">
        <v>0</v>
      </c>
      <c r="CY11" s="272">
        <v>0</v>
      </c>
      <c r="CZ11" s="455">
        <f t="shared" si="10"/>
        <v>0</v>
      </c>
      <c r="DA11" s="272">
        <v>0</v>
      </c>
      <c r="DB11" s="272">
        <v>0</v>
      </c>
      <c r="DC11" s="272">
        <v>19236746</v>
      </c>
      <c r="DD11" s="272">
        <v>3593982</v>
      </c>
      <c r="DE11" s="272">
        <v>14684091</v>
      </c>
      <c r="DF11" s="272">
        <v>363614</v>
      </c>
      <c r="DG11" s="272">
        <v>595059</v>
      </c>
      <c r="DH11" s="272">
        <v>33669</v>
      </c>
      <c r="DI11" s="272">
        <v>5100084</v>
      </c>
      <c r="DJ11" s="272">
        <v>285017</v>
      </c>
      <c r="DK11" s="272">
        <v>20911</v>
      </c>
      <c r="DL11" s="272">
        <v>4794156</v>
      </c>
      <c r="DM11" s="272">
        <v>112200</v>
      </c>
      <c r="DN11" s="272">
        <v>0</v>
      </c>
      <c r="DO11" s="272">
        <v>0</v>
      </c>
      <c r="DP11" s="272">
        <v>0</v>
      </c>
      <c r="DQ11" s="272">
        <v>2356521</v>
      </c>
      <c r="DR11" s="272">
        <v>0</v>
      </c>
      <c r="DS11" s="272">
        <v>0</v>
      </c>
      <c r="DT11" s="272">
        <v>5972070</v>
      </c>
      <c r="DU11" s="272">
        <v>2888010</v>
      </c>
      <c r="DV11" s="455">
        <f t="shared" si="11"/>
        <v>0</v>
      </c>
      <c r="DW11" s="272">
        <v>0</v>
      </c>
      <c r="DX11" s="272">
        <v>0</v>
      </c>
      <c r="DY11" s="457" t="s">
        <v>646</v>
      </c>
      <c r="DZ11" s="272">
        <v>1116332</v>
      </c>
      <c r="EA11" s="272">
        <v>690442</v>
      </c>
      <c r="EB11" s="272"/>
      <c r="EC11" s="272">
        <v>0</v>
      </c>
      <c r="ED11" s="272">
        <v>80074719</v>
      </c>
      <c r="EF11" s="272">
        <v>671640</v>
      </c>
      <c r="EG11" s="272">
        <v>155214</v>
      </c>
      <c r="EH11" s="272">
        <v>516426</v>
      </c>
      <c r="EI11" s="272">
        <v>8237</v>
      </c>
      <c r="EJ11" s="272">
        <v>136554</v>
      </c>
      <c r="EL11" s="272"/>
      <c r="EM11" s="272">
        <v>356575</v>
      </c>
      <c r="EN11" s="272">
        <v>156815</v>
      </c>
      <c r="EO11" s="272">
        <v>183321</v>
      </c>
      <c r="EP11" s="455">
        <f t="shared" si="12"/>
        <v>2735100</v>
      </c>
      <c r="EQ11" s="272">
        <v>53924692</v>
      </c>
      <c r="ER11" s="272">
        <v>-3007667</v>
      </c>
      <c r="ES11" s="272">
        <v>20039358</v>
      </c>
      <c r="ET11" s="272">
        <v>15436694</v>
      </c>
      <c r="EU11" s="272">
        <v>1635415</v>
      </c>
      <c r="EV11" s="272">
        <v>5867686</v>
      </c>
      <c r="EW11" s="455">
        <f t="shared" si="13"/>
        <v>7704768</v>
      </c>
      <c r="EX11" s="272">
        <v>7692117</v>
      </c>
      <c r="EY11" s="272">
        <v>1208576</v>
      </c>
      <c r="EZ11" s="272">
        <v>6377927</v>
      </c>
      <c r="FA11" s="272">
        <v>12651</v>
      </c>
      <c r="FB11" s="272">
        <v>0</v>
      </c>
      <c r="FC11" s="272">
        <v>6820103</v>
      </c>
      <c r="FD11" s="272">
        <v>3160395</v>
      </c>
      <c r="FE11" s="272">
        <v>44498</v>
      </c>
      <c r="FF11" s="272">
        <v>5741958</v>
      </c>
      <c r="FG11" s="455">
        <f t="shared" si="14"/>
        <v>5291036</v>
      </c>
      <c r="FH11" s="272">
        <v>56260719</v>
      </c>
      <c r="FI11" s="384">
        <f t="shared" si="15"/>
        <v>1.1000000000000001</v>
      </c>
      <c r="FJ11" s="272">
        <v>47391357</v>
      </c>
      <c r="FK11" s="272"/>
      <c r="FL11" s="272">
        <v>35694302</v>
      </c>
      <c r="FM11" s="272">
        <v>35096761</v>
      </c>
      <c r="FN11" s="460">
        <v>0.99199999999999999</v>
      </c>
      <c r="FO11" s="388">
        <v>80.400000000000006</v>
      </c>
      <c r="FP11" s="388">
        <v>39.6</v>
      </c>
      <c r="FQ11" s="388">
        <v>3.2</v>
      </c>
      <c r="FR11" s="388">
        <v>11.6</v>
      </c>
      <c r="FS11" s="388">
        <v>13.2</v>
      </c>
      <c r="FT11" s="388">
        <v>5.8</v>
      </c>
      <c r="FU11" s="388">
        <v>4.7</v>
      </c>
      <c r="FV11" s="388">
        <v>8.4</v>
      </c>
      <c r="FW11" s="272">
        <v>48680937</v>
      </c>
      <c r="FX11" s="384">
        <f t="shared" si="16"/>
        <v>102.7</v>
      </c>
      <c r="FY11" s="272">
        <v>18727864</v>
      </c>
      <c r="FZ11" s="272">
        <v>1229595</v>
      </c>
      <c r="GA11" s="272">
        <v>409042</v>
      </c>
      <c r="GB11" s="272">
        <v>17089227</v>
      </c>
      <c r="GC11" s="272"/>
      <c r="GD11" s="272">
        <v>11463466</v>
      </c>
      <c r="GE11" s="384">
        <f t="shared" si="17"/>
        <v>24.2</v>
      </c>
      <c r="GF11" s="388">
        <v>99.2</v>
      </c>
      <c r="GG11" s="388">
        <v>43.2</v>
      </c>
      <c r="GH11" s="388">
        <v>97.8</v>
      </c>
      <c r="GI11" s="272">
        <v>2706</v>
      </c>
    </row>
    <row r="12" spans="2:191" x14ac:dyDescent="0.15">
      <c r="B12" s="89" t="s">
        <v>17</v>
      </c>
      <c r="C12" s="272">
        <v>8051628</v>
      </c>
      <c r="D12" s="455">
        <f t="shared" si="0"/>
        <v>2984584</v>
      </c>
      <c r="E12" s="272">
        <v>49779</v>
      </c>
      <c r="F12" s="272">
        <v>2934805</v>
      </c>
      <c r="G12" s="455">
        <f t="shared" si="1"/>
        <v>971171</v>
      </c>
      <c r="H12" s="272">
        <v>109384</v>
      </c>
      <c r="I12" s="272">
        <v>861787</v>
      </c>
      <c r="J12" s="272">
        <v>2754849</v>
      </c>
      <c r="K12" s="272">
        <v>1380208</v>
      </c>
      <c r="L12" s="272">
        <v>898335</v>
      </c>
      <c r="M12" s="272">
        <v>412636</v>
      </c>
      <c r="N12" s="272">
        <v>368309</v>
      </c>
      <c r="O12" s="272">
        <v>602391</v>
      </c>
      <c r="P12" s="272">
        <v>417157</v>
      </c>
      <c r="Q12" s="272">
        <v>185234</v>
      </c>
      <c r="R12" s="272">
        <v>419478</v>
      </c>
      <c r="S12" s="272">
        <v>292188</v>
      </c>
      <c r="T12" s="455">
        <f t="shared" si="2"/>
        <v>498264</v>
      </c>
      <c r="U12" s="272">
        <v>258244</v>
      </c>
      <c r="V12" s="272"/>
      <c r="W12" s="272"/>
      <c r="X12" s="272"/>
      <c r="Y12" s="272">
        <v>0</v>
      </c>
      <c r="Z12" s="272"/>
      <c r="AA12" s="272">
        <v>240020</v>
      </c>
      <c r="AB12" s="272"/>
      <c r="AC12" s="272">
        <v>2394380</v>
      </c>
      <c r="AD12" s="272">
        <v>2064147</v>
      </c>
      <c r="AE12" s="272">
        <v>330233</v>
      </c>
      <c r="AF12" s="272">
        <v>17574</v>
      </c>
      <c r="AG12" s="272">
        <v>134029</v>
      </c>
      <c r="AH12" s="455">
        <f t="shared" si="3"/>
        <v>281088</v>
      </c>
      <c r="AI12" s="272">
        <v>245049</v>
      </c>
      <c r="AJ12" s="272">
        <v>36039</v>
      </c>
      <c r="AK12" s="272">
        <v>1847759</v>
      </c>
      <c r="AL12" s="455">
        <f t="shared" si="4"/>
        <v>1097441</v>
      </c>
      <c r="AM12" s="272">
        <v>864525</v>
      </c>
      <c r="AN12" s="272">
        <v>189810</v>
      </c>
      <c r="AO12" s="272">
        <v>0</v>
      </c>
      <c r="AP12" s="272">
        <v>43106</v>
      </c>
      <c r="AQ12" s="272">
        <v>285825</v>
      </c>
      <c r="AR12" s="272">
        <v>4411</v>
      </c>
      <c r="AS12" s="272">
        <v>0</v>
      </c>
      <c r="AT12" s="272">
        <v>1238575</v>
      </c>
      <c r="AU12" s="272">
        <v>360804</v>
      </c>
      <c r="AV12" s="272">
        <v>94905</v>
      </c>
      <c r="AW12" s="272">
        <v>58815</v>
      </c>
      <c r="AX12" s="272">
        <v>877771</v>
      </c>
      <c r="AY12" s="272">
        <v>211108</v>
      </c>
      <c r="AZ12" s="272">
        <v>510160</v>
      </c>
      <c r="BA12" s="272">
        <v>423101</v>
      </c>
      <c r="BB12" s="272">
        <v>739996</v>
      </c>
      <c r="BC12" s="272">
        <v>116365</v>
      </c>
      <c r="BD12" s="272">
        <v>0</v>
      </c>
      <c r="BE12" s="272">
        <v>0</v>
      </c>
      <c r="BF12" s="272">
        <v>0</v>
      </c>
      <c r="BG12" s="272">
        <v>0</v>
      </c>
      <c r="BH12" s="272">
        <v>134741</v>
      </c>
      <c r="BI12" s="272">
        <v>9916</v>
      </c>
      <c r="BJ12" s="272">
        <v>1723364</v>
      </c>
      <c r="BK12" s="272">
        <v>26401</v>
      </c>
      <c r="BL12" s="272">
        <v>304347</v>
      </c>
      <c r="BM12" s="272">
        <v>453900</v>
      </c>
      <c r="BN12" s="272">
        <v>1421166</v>
      </c>
      <c r="BO12" s="455">
        <f t="shared" si="5"/>
        <v>1421166</v>
      </c>
      <c r="BP12" s="455">
        <f t="shared" si="6"/>
        <v>0</v>
      </c>
      <c r="BQ12" s="272"/>
      <c r="BR12" s="272"/>
      <c r="BS12" s="272"/>
      <c r="BT12" s="272">
        <v>0</v>
      </c>
      <c r="BU12" s="272">
        <v>19528567</v>
      </c>
      <c r="BV12" s="272"/>
      <c r="BW12" s="272">
        <v>5478859</v>
      </c>
      <c r="BX12" s="272">
        <v>4076540</v>
      </c>
      <c r="BY12" s="272">
        <v>223472</v>
      </c>
      <c r="BZ12" s="272">
        <v>187056</v>
      </c>
      <c r="CA12" s="272">
        <v>2219160</v>
      </c>
      <c r="CB12" s="272">
        <v>261645</v>
      </c>
      <c r="CC12" s="272">
        <v>398269</v>
      </c>
      <c r="CD12" s="272">
        <v>595708</v>
      </c>
      <c r="CE12" s="272">
        <v>928838</v>
      </c>
      <c r="CF12" s="272">
        <v>480</v>
      </c>
      <c r="CG12" s="272">
        <v>34220</v>
      </c>
      <c r="CH12" s="272">
        <v>1764296</v>
      </c>
      <c r="CI12" s="272">
        <v>832829</v>
      </c>
      <c r="CJ12" s="455">
        <f t="shared" si="7"/>
        <v>931467</v>
      </c>
      <c r="CK12" s="272">
        <v>1291168</v>
      </c>
      <c r="CL12" s="272">
        <v>431077</v>
      </c>
      <c r="CM12" s="272">
        <v>73501</v>
      </c>
      <c r="CN12" s="272">
        <v>500426</v>
      </c>
      <c r="CO12" s="272">
        <v>95472</v>
      </c>
      <c r="CP12" s="272">
        <v>1788957</v>
      </c>
      <c r="CQ12" s="272">
        <v>342380</v>
      </c>
      <c r="CR12" s="272">
        <v>441684</v>
      </c>
      <c r="CS12" s="272">
        <v>312600</v>
      </c>
      <c r="CT12" s="455">
        <f t="shared" si="8"/>
        <v>489450</v>
      </c>
      <c r="CU12" s="272">
        <v>92203</v>
      </c>
      <c r="CV12" s="272">
        <v>397247</v>
      </c>
      <c r="CW12" s="455">
        <f t="shared" si="9"/>
        <v>477862</v>
      </c>
      <c r="CX12" s="272">
        <v>80615</v>
      </c>
      <c r="CY12" s="272">
        <v>397247</v>
      </c>
      <c r="CZ12" s="455">
        <f t="shared" si="10"/>
        <v>0</v>
      </c>
      <c r="DA12" s="272">
        <v>0</v>
      </c>
      <c r="DB12" s="272">
        <v>0</v>
      </c>
      <c r="DC12" s="272">
        <v>3478394</v>
      </c>
      <c r="DD12" s="272">
        <v>1029507</v>
      </c>
      <c r="DE12" s="272">
        <v>2099325</v>
      </c>
      <c r="DF12" s="272">
        <v>384</v>
      </c>
      <c r="DG12" s="272">
        <v>349178</v>
      </c>
      <c r="DH12" s="272">
        <v>29029</v>
      </c>
      <c r="DI12" s="272">
        <v>1505050</v>
      </c>
      <c r="DJ12" s="272">
        <v>14056</v>
      </c>
      <c r="DK12" s="272">
        <v>179711</v>
      </c>
      <c r="DL12" s="272">
        <v>1311283</v>
      </c>
      <c r="DM12" s="272">
        <v>50000</v>
      </c>
      <c r="DN12" s="272">
        <v>0</v>
      </c>
      <c r="DO12" s="272">
        <v>0</v>
      </c>
      <c r="DP12" s="272">
        <v>0</v>
      </c>
      <c r="DQ12" s="272">
        <v>9330</v>
      </c>
      <c r="DR12" s="272">
        <v>0</v>
      </c>
      <c r="DS12" s="272">
        <v>0</v>
      </c>
      <c r="DT12" s="272">
        <v>1289474</v>
      </c>
      <c r="DU12" s="272">
        <v>749900</v>
      </c>
      <c r="DV12" s="455">
        <f t="shared" si="11"/>
        <v>0</v>
      </c>
      <c r="DW12" s="272">
        <v>0</v>
      </c>
      <c r="DX12" s="272">
        <v>0</v>
      </c>
      <c r="DY12" s="457" t="s">
        <v>646</v>
      </c>
      <c r="DZ12" s="272">
        <v>302138</v>
      </c>
      <c r="EA12" s="272">
        <v>219605</v>
      </c>
      <c r="EB12" s="272"/>
      <c r="EC12" s="272">
        <v>0</v>
      </c>
      <c r="ED12" s="272">
        <v>18999189</v>
      </c>
      <c r="EF12" s="272">
        <v>529378</v>
      </c>
      <c r="EG12" s="272">
        <v>439297</v>
      </c>
      <c r="EH12" s="272">
        <v>90081</v>
      </c>
      <c r="EI12" s="272">
        <v>80406</v>
      </c>
      <c r="EJ12" s="272">
        <v>94462</v>
      </c>
      <c r="EL12" s="272"/>
      <c r="EM12" s="272">
        <v>78190</v>
      </c>
      <c r="EN12" s="272">
        <v>0</v>
      </c>
      <c r="EO12" s="272">
        <v>409861</v>
      </c>
      <c r="EP12" s="455">
        <f t="shared" si="12"/>
        <v>1311203</v>
      </c>
      <c r="EQ12" s="272">
        <v>11381324</v>
      </c>
      <c r="ER12" s="272">
        <v>-1703490</v>
      </c>
      <c r="ES12" s="272">
        <v>5113181</v>
      </c>
      <c r="ET12" s="272">
        <v>3788038</v>
      </c>
      <c r="EU12" s="272">
        <v>674363</v>
      </c>
      <c r="EV12" s="272">
        <v>1663901</v>
      </c>
      <c r="EW12" s="455">
        <f t="shared" si="13"/>
        <v>789609</v>
      </c>
      <c r="EX12" s="272">
        <v>789197</v>
      </c>
      <c r="EY12" s="272">
        <v>34845</v>
      </c>
      <c r="EZ12" s="272">
        <v>709137</v>
      </c>
      <c r="FA12" s="272">
        <v>412</v>
      </c>
      <c r="FB12" s="272">
        <v>0</v>
      </c>
      <c r="FC12" s="272">
        <v>1004874</v>
      </c>
      <c r="FD12" s="272">
        <v>1604120</v>
      </c>
      <c r="FE12" s="272">
        <v>342380</v>
      </c>
      <c r="FF12" s="272">
        <v>719145</v>
      </c>
      <c r="FG12" s="455">
        <f t="shared" si="14"/>
        <v>1423587</v>
      </c>
      <c r="FH12" s="272">
        <v>12992780</v>
      </c>
      <c r="FI12" s="384">
        <f t="shared" si="15"/>
        <v>0.9</v>
      </c>
      <c r="FJ12" s="272">
        <v>10007070</v>
      </c>
      <c r="FK12" s="272"/>
      <c r="FL12" s="272">
        <v>5993231</v>
      </c>
      <c r="FM12" s="272">
        <v>8050233</v>
      </c>
      <c r="FN12" s="460">
        <v>0.72099999999999997</v>
      </c>
      <c r="FO12" s="388">
        <v>88.6</v>
      </c>
      <c r="FP12" s="388">
        <v>47.6</v>
      </c>
      <c r="FQ12" s="388">
        <v>6.3</v>
      </c>
      <c r="FR12" s="388">
        <v>15.8</v>
      </c>
      <c r="FS12" s="388">
        <v>7.9</v>
      </c>
      <c r="FT12" s="388">
        <v>8.1</v>
      </c>
      <c r="FU12" s="388">
        <v>2.4</v>
      </c>
      <c r="FV12" s="388">
        <v>13.9</v>
      </c>
      <c r="FW12" s="272">
        <v>15396208</v>
      </c>
      <c r="FX12" s="384">
        <f t="shared" si="16"/>
        <v>153.9</v>
      </c>
      <c r="FY12" s="272">
        <v>3487064</v>
      </c>
      <c r="FZ12" s="272">
        <v>278917</v>
      </c>
      <c r="GA12" s="272">
        <v>179711</v>
      </c>
      <c r="GB12" s="272">
        <v>3028436</v>
      </c>
      <c r="GC12" s="272"/>
      <c r="GD12" s="272">
        <v>3997076</v>
      </c>
      <c r="GE12" s="384">
        <f t="shared" si="17"/>
        <v>39.9</v>
      </c>
      <c r="GF12" s="388">
        <v>98.1</v>
      </c>
      <c r="GG12" s="388">
        <v>32.700000000000003</v>
      </c>
      <c r="GH12" s="388">
        <v>95.6</v>
      </c>
      <c r="GI12" s="272">
        <v>670</v>
      </c>
    </row>
    <row r="13" spans="2:191" x14ac:dyDescent="0.15">
      <c r="B13" s="89" t="s">
        <v>19</v>
      </c>
      <c r="C13" s="272">
        <v>24354531</v>
      </c>
      <c r="D13" s="455">
        <f t="shared" si="0"/>
        <v>7018372</v>
      </c>
      <c r="E13" s="272">
        <v>109337</v>
      </c>
      <c r="F13" s="272">
        <v>6909035</v>
      </c>
      <c r="G13" s="455">
        <f t="shared" si="1"/>
        <v>5603760</v>
      </c>
      <c r="H13" s="272">
        <v>270768</v>
      </c>
      <c r="I13" s="272">
        <v>5332992</v>
      </c>
      <c r="J13" s="272">
        <v>7938748</v>
      </c>
      <c r="K13" s="272">
        <v>3718491</v>
      </c>
      <c r="L13" s="272">
        <v>2531145</v>
      </c>
      <c r="M13" s="272">
        <v>1479151</v>
      </c>
      <c r="N13" s="272">
        <v>827227</v>
      </c>
      <c r="O13" s="272">
        <v>1834181</v>
      </c>
      <c r="P13" s="272">
        <v>1250614</v>
      </c>
      <c r="Q13" s="272">
        <v>583567</v>
      </c>
      <c r="R13" s="272">
        <v>811156</v>
      </c>
      <c r="S13" s="272">
        <v>589003</v>
      </c>
      <c r="T13" s="455">
        <f t="shared" si="2"/>
        <v>1004657</v>
      </c>
      <c r="U13" s="272">
        <v>586434</v>
      </c>
      <c r="V13" s="272"/>
      <c r="W13" s="272"/>
      <c r="X13" s="272"/>
      <c r="Y13" s="272">
        <v>0</v>
      </c>
      <c r="Z13" s="272"/>
      <c r="AA13" s="272">
        <v>418223</v>
      </c>
      <c r="AB13" s="272"/>
      <c r="AC13" s="272">
        <v>1237432</v>
      </c>
      <c r="AD13" s="272">
        <v>843420</v>
      </c>
      <c r="AE13" s="272">
        <v>394012</v>
      </c>
      <c r="AF13" s="272">
        <v>29958</v>
      </c>
      <c r="AG13" s="272">
        <v>2837507</v>
      </c>
      <c r="AH13" s="455">
        <f t="shared" si="3"/>
        <v>760722</v>
      </c>
      <c r="AI13" s="272">
        <v>664366</v>
      </c>
      <c r="AJ13" s="272">
        <v>96356</v>
      </c>
      <c r="AK13" s="272">
        <v>3389428</v>
      </c>
      <c r="AL13" s="455">
        <f t="shared" si="4"/>
        <v>2658496</v>
      </c>
      <c r="AM13" s="272">
        <v>2128355</v>
      </c>
      <c r="AN13" s="272">
        <v>350260</v>
      </c>
      <c r="AO13" s="272">
        <v>0</v>
      </c>
      <c r="AP13" s="272">
        <v>179881</v>
      </c>
      <c r="AQ13" s="272">
        <v>217379</v>
      </c>
      <c r="AR13" s="272">
        <v>0</v>
      </c>
      <c r="AS13" s="272">
        <v>0</v>
      </c>
      <c r="AT13" s="272">
        <v>1497125</v>
      </c>
      <c r="AU13" s="272">
        <v>458661</v>
      </c>
      <c r="AV13" s="272">
        <v>128970</v>
      </c>
      <c r="AW13" s="272">
        <v>5335</v>
      </c>
      <c r="AX13" s="272">
        <v>1038464</v>
      </c>
      <c r="AY13" s="272">
        <v>219500</v>
      </c>
      <c r="AZ13" s="272">
        <v>5030757</v>
      </c>
      <c r="BA13" s="272">
        <v>4807692</v>
      </c>
      <c r="BB13" s="272">
        <v>405145</v>
      </c>
      <c r="BC13" s="272">
        <v>1500</v>
      </c>
      <c r="BD13" s="272">
        <v>0</v>
      </c>
      <c r="BE13" s="272">
        <v>0</v>
      </c>
      <c r="BF13" s="272">
        <v>1500</v>
      </c>
      <c r="BG13" s="272">
        <v>0</v>
      </c>
      <c r="BH13" s="272">
        <v>0</v>
      </c>
      <c r="BI13" s="272">
        <v>0</v>
      </c>
      <c r="BJ13" s="272">
        <v>1002293</v>
      </c>
      <c r="BK13" s="272">
        <v>81450</v>
      </c>
      <c r="BL13" s="272">
        <v>3802</v>
      </c>
      <c r="BM13" s="272">
        <v>464076</v>
      </c>
      <c r="BN13" s="272">
        <v>3526300</v>
      </c>
      <c r="BO13" s="455">
        <f t="shared" si="5"/>
        <v>3526300</v>
      </c>
      <c r="BP13" s="455">
        <f t="shared" si="6"/>
        <v>0</v>
      </c>
      <c r="BQ13" s="272"/>
      <c r="BR13" s="272"/>
      <c r="BS13" s="272"/>
      <c r="BT13" s="272">
        <v>0</v>
      </c>
      <c r="BU13" s="272">
        <v>45888511</v>
      </c>
      <c r="BV13" s="272"/>
      <c r="BW13" s="272">
        <v>13167076</v>
      </c>
      <c r="BX13" s="272">
        <v>10108052</v>
      </c>
      <c r="BY13" s="272">
        <v>340310</v>
      </c>
      <c r="BZ13" s="272">
        <v>520807</v>
      </c>
      <c r="CA13" s="272">
        <v>7417486</v>
      </c>
      <c r="CB13" s="272">
        <v>341857</v>
      </c>
      <c r="CC13" s="272">
        <v>777817</v>
      </c>
      <c r="CD13" s="272">
        <v>579237</v>
      </c>
      <c r="CE13" s="272">
        <v>2818899</v>
      </c>
      <c r="CF13" s="272">
        <v>2742749</v>
      </c>
      <c r="CG13" s="272">
        <v>155016</v>
      </c>
      <c r="CH13" s="272">
        <v>3795917</v>
      </c>
      <c r="CI13" s="272">
        <v>2066860</v>
      </c>
      <c r="CJ13" s="455">
        <f t="shared" si="7"/>
        <v>1729057</v>
      </c>
      <c r="CK13" s="272">
        <v>2671341</v>
      </c>
      <c r="CL13" s="272">
        <v>1094266</v>
      </c>
      <c r="CM13" s="272">
        <v>31793</v>
      </c>
      <c r="CN13" s="272">
        <v>948534</v>
      </c>
      <c r="CO13" s="272">
        <v>198841</v>
      </c>
      <c r="CP13" s="272">
        <v>2650447</v>
      </c>
      <c r="CQ13" s="272">
        <v>1614423</v>
      </c>
      <c r="CR13" s="272">
        <v>415485</v>
      </c>
      <c r="CS13" s="272">
        <v>338842</v>
      </c>
      <c r="CT13" s="455">
        <f t="shared" si="8"/>
        <v>21658</v>
      </c>
      <c r="CU13" s="272">
        <v>21658</v>
      </c>
      <c r="CV13" s="272">
        <v>0</v>
      </c>
      <c r="CW13" s="455">
        <f t="shared" si="9"/>
        <v>0</v>
      </c>
      <c r="CX13" s="272">
        <v>0</v>
      </c>
      <c r="CY13" s="272">
        <v>0</v>
      </c>
      <c r="CZ13" s="455">
        <f t="shared" si="10"/>
        <v>0</v>
      </c>
      <c r="DA13" s="272">
        <v>0</v>
      </c>
      <c r="DB13" s="272">
        <v>0</v>
      </c>
      <c r="DC13" s="272">
        <v>6556076</v>
      </c>
      <c r="DD13" s="272">
        <v>936317</v>
      </c>
      <c r="DE13" s="272">
        <v>5476037</v>
      </c>
      <c r="DF13" s="272">
        <v>0</v>
      </c>
      <c r="DG13" s="272">
        <v>3802</v>
      </c>
      <c r="DH13" s="272">
        <v>0</v>
      </c>
      <c r="DI13" s="272">
        <v>2945029</v>
      </c>
      <c r="DJ13" s="272">
        <v>1932158</v>
      </c>
      <c r="DK13" s="272">
        <v>0</v>
      </c>
      <c r="DL13" s="272">
        <v>1012871</v>
      </c>
      <c r="DM13" s="272">
        <v>0</v>
      </c>
      <c r="DN13" s="272">
        <v>0</v>
      </c>
      <c r="DO13" s="272">
        <v>0</v>
      </c>
      <c r="DP13" s="272">
        <v>0</v>
      </c>
      <c r="DQ13" s="272">
        <v>105841</v>
      </c>
      <c r="DR13" s="272">
        <v>0</v>
      </c>
      <c r="DS13" s="272">
        <v>0</v>
      </c>
      <c r="DT13" s="272">
        <v>5526791</v>
      </c>
      <c r="DU13" s="272">
        <v>4604040</v>
      </c>
      <c r="DV13" s="455">
        <f t="shared" si="11"/>
        <v>0</v>
      </c>
      <c r="DW13" s="272">
        <v>0</v>
      </c>
      <c r="DX13" s="272">
        <v>0</v>
      </c>
      <c r="DY13" s="457" t="s">
        <v>646</v>
      </c>
      <c r="DZ13" s="272">
        <v>468142</v>
      </c>
      <c r="EA13" s="272">
        <v>432895</v>
      </c>
      <c r="EB13" s="272"/>
      <c r="EC13" s="272">
        <v>937421</v>
      </c>
      <c r="ED13" s="272">
        <v>45972266</v>
      </c>
      <c r="EF13" s="272">
        <v>-83755</v>
      </c>
      <c r="EG13" s="272">
        <v>45321</v>
      </c>
      <c r="EH13" s="272">
        <v>-129076</v>
      </c>
      <c r="EI13" s="272">
        <v>827228</v>
      </c>
      <c r="EJ13" s="272">
        <v>2759386</v>
      </c>
      <c r="EL13" s="272"/>
      <c r="EM13" s="272">
        <v>157159</v>
      </c>
      <c r="EN13" s="272">
        <v>0</v>
      </c>
      <c r="EO13" s="272">
        <v>2019666</v>
      </c>
      <c r="EP13" s="455">
        <f t="shared" si="12"/>
        <v>1218507</v>
      </c>
      <c r="EQ13" s="272">
        <v>27437734</v>
      </c>
      <c r="ER13" s="272">
        <v>-3208215</v>
      </c>
      <c r="ES13" s="272">
        <v>12034352</v>
      </c>
      <c r="ET13" s="272">
        <v>9030175</v>
      </c>
      <c r="EU13" s="272">
        <v>1425278</v>
      </c>
      <c r="EV13" s="272">
        <v>3686856</v>
      </c>
      <c r="EW13" s="455">
        <f t="shared" si="13"/>
        <v>1790916</v>
      </c>
      <c r="EX13" s="272">
        <v>1790916</v>
      </c>
      <c r="EY13" s="272">
        <v>127903</v>
      </c>
      <c r="EZ13" s="272">
        <v>1610093</v>
      </c>
      <c r="FA13" s="272">
        <v>0</v>
      </c>
      <c r="FB13" s="272">
        <v>0</v>
      </c>
      <c r="FC13" s="272">
        <v>2183882</v>
      </c>
      <c r="FD13" s="272">
        <v>2498438</v>
      </c>
      <c r="FE13" s="272">
        <v>1614423</v>
      </c>
      <c r="FF13" s="272">
        <v>3229516</v>
      </c>
      <c r="FG13" s="455">
        <f t="shared" si="14"/>
        <v>3880466</v>
      </c>
      <c r="FH13" s="272">
        <v>30729704</v>
      </c>
      <c r="FI13" s="384">
        <f t="shared" si="15"/>
        <v>-0.5</v>
      </c>
      <c r="FJ13" s="272">
        <v>23556892</v>
      </c>
      <c r="FK13" s="272"/>
      <c r="FL13" s="272">
        <v>17098463</v>
      </c>
      <c r="FM13" s="272">
        <v>17942114</v>
      </c>
      <c r="FN13" s="460">
        <v>0.91500000000000004</v>
      </c>
      <c r="FO13" s="388">
        <v>94.5</v>
      </c>
      <c r="FP13" s="388">
        <v>45.7</v>
      </c>
      <c r="FQ13" s="388">
        <v>5.6</v>
      </c>
      <c r="FR13" s="388">
        <v>14.4</v>
      </c>
      <c r="FS13" s="388">
        <v>8</v>
      </c>
      <c r="FT13" s="388">
        <v>9</v>
      </c>
      <c r="FU13" s="388">
        <v>10.9</v>
      </c>
      <c r="FV13" s="388">
        <v>13.2</v>
      </c>
      <c r="FW13" s="272">
        <v>28587236</v>
      </c>
      <c r="FX13" s="384">
        <f t="shared" si="16"/>
        <v>121.4</v>
      </c>
      <c r="FY13" s="272">
        <v>5873501</v>
      </c>
      <c r="FZ13" s="272">
        <v>3166122</v>
      </c>
      <c r="GA13" s="272"/>
      <c r="GB13" s="272">
        <v>2707379</v>
      </c>
      <c r="GC13" s="272"/>
      <c r="GD13" s="272">
        <v>11061980</v>
      </c>
      <c r="GE13" s="384">
        <f t="shared" si="17"/>
        <v>47</v>
      </c>
      <c r="GF13" s="388">
        <v>98.2</v>
      </c>
      <c r="GG13" s="388">
        <v>32.1</v>
      </c>
      <c r="GH13" s="388">
        <v>94.9</v>
      </c>
      <c r="GI13" s="272">
        <v>1646</v>
      </c>
    </row>
    <row r="14" spans="2:191" x14ac:dyDescent="0.15">
      <c r="B14" s="89" t="s">
        <v>21</v>
      </c>
      <c r="C14" s="272">
        <v>53576648</v>
      </c>
      <c r="D14" s="455">
        <f t="shared" si="0"/>
        <v>23764967</v>
      </c>
      <c r="E14" s="272">
        <v>257174</v>
      </c>
      <c r="F14" s="272">
        <v>23507793</v>
      </c>
      <c r="G14" s="455">
        <f t="shared" si="1"/>
        <v>6300735</v>
      </c>
      <c r="H14" s="272">
        <v>434193</v>
      </c>
      <c r="I14" s="272">
        <v>5866542</v>
      </c>
      <c r="J14" s="272">
        <v>16112866</v>
      </c>
      <c r="K14" s="272">
        <v>8150329</v>
      </c>
      <c r="L14" s="272">
        <v>5573073</v>
      </c>
      <c r="M14" s="272">
        <v>2009236</v>
      </c>
      <c r="N14" s="272">
        <v>1268902</v>
      </c>
      <c r="O14" s="272">
        <v>4258264</v>
      </c>
      <c r="P14" s="272">
        <v>3036994</v>
      </c>
      <c r="Q14" s="272">
        <v>1221270</v>
      </c>
      <c r="R14" s="272">
        <v>1513993</v>
      </c>
      <c r="S14" s="272">
        <v>967560</v>
      </c>
      <c r="T14" s="455">
        <f t="shared" si="2"/>
        <v>3226530</v>
      </c>
      <c r="U14" s="272">
        <v>1993057</v>
      </c>
      <c r="V14" s="272"/>
      <c r="W14" s="272"/>
      <c r="X14" s="272"/>
      <c r="Y14" s="272">
        <v>203781</v>
      </c>
      <c r="Z14" s="272"/>
      <c r="AA14" s="272">
        <v>1029692</v>
      </c>
      <c r="AB14" s="272"/>
      <c r="AC14" s="272">
        <v>179676</v>
      </c>
      <c r="AD14" s="272">
        <v>0</v>
      </c>
      <c r="AE14" s="272">
        <v>179676</v>
      </c>
      <c r="AF14" s="272">
        <v>69478</v>
      </c>
      <c r="AG14" s="272">
        <v>1105567</v>
      </c>
      <c r="AH14" s="455">
        <f t="shared" si="3"/>
        <v>1310569</v>
      </c>
      <c r="AI14" s="272">
        <v>966346</v>
      </c>
      <c r="AJ14" s="272">
        <v>344223</v>
      </c>
      <c r="AK14" s="272">
        <v>7532224</v>
      </c>
      <c r="AL14" s="455">
        <f t="shared" si="4"/>
        <v>4702653</v>
      </c>
      <c r="AM14" s="272">
        <v>3794061</v>
      </c>
      <c r="AN14" s="272">
        <v>634534</v>
      </c>
      <c r="AO14" s="272">
        <v>0</v>
      </c>
      <c r="AP14" s="272">
        <v>274058</v>
      </c>
      <c r="AQ14" s="272">
        <v>1375987</v>
      </c>
      <c r="AR14" s="272">
        <v>0</v>
      </c>
      <c r="AS14" s="272">
        <v>0</v>
      </c>
      <c r="AT14" s="272">
        <v>3153839</v>
      </c>
      <c r="AU14" s="272">
        <v>1214189</v>
      </c>
      <c r="AV14" s="272">
        <v>317267</v>
      </c>
      <c r="AW14" s="272">
        <v>30600</v>
      </c>
      <c r="AX14" s="272">
        <v>1939650</v>
      </c>
      <c r="AY14" s="272">
        <v>194522</v>
      </c>
      <c r="AZ14" s="272">
        <v>2438127</v>
      </c>
      <c r="BA14" s="272">
        <v>2129205</v>
      </c>
      <c r="BB14" s="272">
        <v>929122</v>
      </c>
      <c r="BC14" s="272">
        <v>906680</v>
      </c>
      <c r="BD14" s="272">
        <v>0</v>
      </c>
      <c r="BE14" s="272">
        <v>0</v>
      </c>
      <c r="BF14" s="272">
        <v>765498</v>
      </c>
      <c r="BG14" s="272">
        <v>74075</v>
      </c>
      <c r="BH14" s="272">
        <v>1752636</v>
      </c>
      <c r="BI14" s="272">
        <v>1097017</v>
      </c>
      <c r="BJ14" s="272">
        <v>6436311</v>
      </c>
      <c r="BK14" s="272">
        <v>4216562</v>
      </c>
      <c r="BL14" s="272">
        <v>0</v>
      </c>
      <c r="BM14" s="272">
        <v>707199</v>
      </c>
      <c r="BN14" s="272">
        <v>3466000</v>
      </c>
      <c r="BO14" s="455">
        <f t="shared" si="5"/>
        <v>3466000</v>
      </c>
      <c r="BP14" s="455">
        <f t="shared" si="6"/>
        <v>0</v>
      </c>
      <c r="BQ14" s="272"/>
      <c r="BR14" s="272"/>
      <c r="BS14" s="272"/>
      <c r="BT14" s="272">
        <v>0</v>
      </c>
      <c r="BU14" s="272">
        <v>87597400</v>
      </c>
      <c r="BV14" s="272"/>
      <c r="BW14" s="272">
        <v>22352435</v>
      </c>
      <c r="BX14" s="272">
        <v>16647134</v>
      </c>
      <c r="BY14" s="272">
        <v>1172537</v>
      </c>
      <c r="BZ14" s="272">
        <v>1099549</v>
      </c>
      <c r="CA14" s="272">
        <v>10192955</v>
      </c>
      <c r="CB14" s="272">
        <v>827694</v>
      </c>
      <c r="CC14" s="272">
        <v>1374114</v>
      </c>
      <c r="CD14" s="272">
        <v>2618107</v>
      </c>
      <c r="CE14" s="272">
        <v>5095802</v>
      </c>
      <c r="CF14" s="272">
        <v>236</v>
      </c>
      <c r="CG14" s="272">
        <v>273477</v>
      </c>
      <c r="CH14" s="272">
        <v>8062584</v>
      </c>
      <c r="CI14" s="272">
        <v>3569733</v>
      </c>
      <c r="CJ14" s="455">
        <f t="shared" si="7"/>
        <v>4492851</v>
      </c>
      <c r="CK14" s="272">
        <v>5865971</v>
      </c>
      <c r="CL14" s="272">
        <v>1779606</v>
      </c>
      <c r="CM14" s="272">
        <v>451104</v>
      </c>
      <c r="CN14" s="272">
        <v>2346872</v>
      </c>
      <c r="CO14" s="272">
        <v>1225013</v>
      </c>
      <c r="CP14" s="272">
        <v>7241409</v>
      </c>
      <c r="CQ14" s="272">
        <v>3072226</v>
      </c>
      <c r="CR14" s="272">
        <v>1354399</v>
      </c>
      <c r="CS14" s="272">
        <v>1148655</v>
      </c>
      <c r="CT14" s="455">
        <f t="shared" si="8"/>
        <v>1016668</v>
      </c>
      <c r="CU14" s="272">
        <v>616013</v>
      </c>
      <c r="CV14" s="272">
        <v>400655</v>
      </c>
      <c r="CW14" s="455">
        <f t="shared" si="9"/>
        <v>883741</v>
      </c>
      <c r="CX14" s="272">
        <v>598142</v>
      </c>
      <c r="CY14" s="272">
        <v>285599</v>
      </c>
      <c r="CZ14" s="455">
        <f t="shared" si="10"/>
        <v>0</v>
      </c>
      <c r="DA14" s="272">
        <v>0</v>
      </c>
      <c r="DB14" s="272">
        <v>0</v>
      </c>
      <c r="DC14" s="272">
        <v>13489583</v>
      </c>
      <c r="DD14" s="272">
        <v>3304335</v>
      </c>
      <c r="DE14" s="272">
        <v>9515331</v>
      </c>
      <c r="DF14" s="272">
        <v>662385</v>
      </c>
      <c r="DG14" s="272">
        <v>7532</v>
      </c>
      <c r="DH14" s="272">
        <v>0</v>
      </c>
      <c r="DI14" s="272">
        <v>6526675</v>
      </c>
      <c r="DJ14" s="272">
        <v>868614</v>
      </c>
      <c r="DK14" s="272">
        <v>1423757</v>
      </c>
      <c r="DL14" s="272">
        <v>4234304</v>
      </c>
      <c r="DM14" s="272">
        <v>130500</v>
      </c>
      <c r="DN14" s="272">
        <v>0</v>
      </c>
      <c r="DO14" s="272">
        <v>0</v>
      </c>
      <c r="DP14" s="272">
        <v>0</v>
      </c>
      <c r="DQ14" s="272">
        <v>5075000</v>
      </c>
      <c r="DR14" s="272">
        <v>800000</v>
      </c>
      <c r="DS14" s="272">
        <v>800000</v>
      </c>
      <c r="DT14" s="272">
        <v>5455261</v>
      </c>
      <c r="DU14" s="272">
        <v>3782159</v>
      </c>
      <c r="DV14" s="455">
        <f t="shared" si="11"/>
        <v>7500</v>
      </c>
      <c r="DW14" s="272">
        <v>7500</v>
      </c>
      <c r="DX14" s="272">
        <v>0</v>
      </c>
      <c r="DY14" s="457" t="s">
        <v>646</v>
      </c>
      <c r="DZ14" s="272">
        <v>920415</v>
      </c>
      <c r="EA14" s="272">
        <v>734108</v>
      </c>
      <c r="EB14" s="272"/>
      <c r="EC14" s="272">
        <v>0</v>
      </c>
      <c r="ED14" s="272">
        <v>85617386</v>
      </c>
      <c r="EF14" s="272">
        <v>1980014</v>
      </c>
      <c r="EG14" s="272">
        <v>889294</v>
      </c>
      <c r="EH14" s="272">
        <v>1090720</v>
      </c>
      <c r="EI14" s="272">
        <v>-6297</v>
      </c>
      <c r="EJ14" s="272">
        <v>862317</v>
      </c>
      <c r="EL14" s="272"/>
      <c r="EM14" s="272">
        <v>387501</v>
      </c>
      <c r="EN14" s="272">
        <v>891182</v>
      </c>
      <c r="EO14" s="272">
        <v>235791</v>
      </c>
      <c r="EP14" s="455">
        <f t="shared" si="12"/>
        <v>2769008</v>
      </c>
      <c r="EQ14" s="272">
        <v>58566325</v>
      </c>
      <c r="ER14" s="272">
        <v>-3826503</v>
      </c>
      <c r="ES14" s="272">
        <v>20570033</v>
      </c>
      <c r="ET14" s="272">
        <v>14959495</v>
      </c>
      <c r="EU14" s="272">
        <v>3019267</v>
      </c>
      <c r="EV14" s="272">
        <v>7877703</v>
      </c>
      <c r="EW14" s="455">
        <f t="shared" si="13"/>
        <v>7403370</v>
      </c>
      <c r="EX14" s="272">
        <v>7403370</v>
      </c>
      <c r="EY14" s="272">
        <v>659889</v>
      </c>
      <c r="EZ14" s="272">
        <v>6446496</v>
      </c>
      <c r="FA14" s="272">
        <v>0</v>
      </c>
      <c r="FB14" s="272">
        <v>0</v>
      </c>
      <c r="FC14" s="272">
        <v>4885418</v>
      </c>
      <c r="FD14" s="272">
        <v>6660940</v>
      </c>
      <c r="FE14" s="272">
        <v>3072226</v>
      </c>
      <c r="FF14" s="272">
        <v>5225658</v>
      </c>
      <c r="FG14" s="455">
        <f t="shared" si="14"/>
        <v>4811470</v>
      </c>
      <c r="FH14" s="272">
        <v>60453859</v>
      </c>
      <c r="FI14" s="384">
        <f t="shared" si="15"/>
        <v>2.1</v>
      </c>
      <c r="FJ14" s="272">
        <v>51632662</v>
      </c>
      <c r="FK14" s="272"/>
      <c r="FL14" s="272">
        <v>38876788</v>
      </c>
      <c r="FM14" s="272">
        <v>38228311</v>
      </c>
      <c r="FN14" s="460">
        <v>0.98299999999999998</v>
      </c>
      <c r="FO14" s="388">
        <v>82.8</v>
      </c>
      <c r="FP14" s="388">
        <v>37.700000000000003</v>
      </c>
      <c r="FQ14" s="388">
        <v>5.5</v>
      </c>
      <c r="FR14" s="388">
        <v>14.4</v>
      </c>
      <c r="FS14" s="388">
        <v>8.4</v>
      </c>
      <c r="FT14" s="388">
        <v>11.6</v>
      </c>
      <c r="FU14" s="388">
        <v>3.3</v>
      </c>
      <c r="FV14" s="388">
        <v>10.4</v>
      </c>
      <c r="FW14" s="272">
        <v>69951804</v>
      </c>
      <c r="FX14" s="384">
        <f t="shared" si="16"/>
        <v>135.5</v>
      </c>
      <c r="FY14" s="272">
        <v>12456572</v>
      </c>
      <c r="FZ14" s="272">
        <v>1340041</v>
      </c>
      <c r="GA14" s="272">
        <v>1423757</v>
      </c>
      <c r="GB14" s="272">
        <v>9692774</v>
      </c>
      <c r="GC14" s="272"/>
      <c r="GD14" s="272">
        <v>16256938</v>
      </c>
      <c r="GE14" s="384">
        <f t="shared" si="17"/>
        <v>31.5</v>
      </c>
      <c r="GF14" s="388">
        <v>98.5</v>
      </c>
      <c r="GG14" s="388">
        <v>32.4</v>
      </c>
      <c r="GH14" s="388">
        <v>95.6</v>
      </c>
      <c r="GI14" s="272">
        <v>2631</v>
      </c>
    </row>
    <row r="15" spans="2:191" x14ac:dyDescent="0.15">
      <c r="B15" s="89" t="s">
        <v>23</v>
      </c>
      <c r="C15" s="272">
        <v>41483788</v>
      </c>
      <c r="D15" s="455">
        <f t="shared" si="0"/>
        <v>16498582</v>
      </c>
      <c r="E15" s="272">
        <v>184083</v>
      </c>
      <c r="F15" s="272">
        <v>16314499</v>
      </c>
      <c r="G15" s="455">
        <f t="shared" si="1"/>
        <v>7625362</v>
      </c>
      <c r="H15" s="272">
        <v>495964</v>
      </c>
      <c r="I15" s="272">
        <v>7129398</v>
      </c>
      <c r="J15" s="272">
        <v>12832971</v>
      </c>
      <c r="K15" s="272">
        <v>6362209</v>
      </c>
      <c r="L15" s="272">
        <v>4422189</v>
      </c>
      <c r="M15" s="272">
        <v>1860862</v>
      </c>
      <c r="N15" s="272">
        <v>960253</v>
      </c>
      <c r="O15" s="272">
        <v>2855928</v>
      </c>
      <c r="P15" s="272">
        <v>1952736</v>
      </c>
      <c r="Q15" s="272">
        <v>903192</v>
      </c>
      <c r="R15" s="272">
        <v>1179783</v>
      </c>
      <c r="S15" s="272">
        <v>790203</v>
      </c>
      <c r="T15" s="455">
        <f t="shared" si="2"/>
        <v>2281419</v>
      </c>
      <c r="U15" s="272">
        <v>1340064</v>
      </c>
      <c r="V15" s="272"/>
      <c r="W15" s="272"/>
      <c r="X15" s="272"/>
      <c r="Y15" s="272">
        <v>207286</v>
      </c>
      <c r="Z15" s="272"/>
      <c r="AA15" s="272">
        <v>734069</v>
      </c>
      <c r="AB15" s="272"/>
      <c r="AC15" s="272">
        <v>201467</v>
      </c>
      <c r="AD15" s="272">
        <v>0</v>
      </c>
      <c r="AE15" s="272">
        <v>201467</v>
      </c>
      <c r="AF15" s="272">
        <v>50483</v>
      </c>
      <c r="AG15" s="272">
        <v>287886</v>
      </c>
      <c r="AH15" s="455">
        <f t="shared" si="3"/>
        <v>1461081</v>
      </c>
      <c r="AI15" s="272">
        <v>1195113</v>
      </c>
      <c r="AJ15" s="272">
        <v>265968</v>
      </c>
      <c r="AK15" s="272">
        <v>3954853</v>
      </c>
      <c r="AL15" s="455">
        <f t="shared" si="4"/>
        <v>2230884</v>
      </c>
      <c r="AM15" s="272">
        <v>1775523</v>
      </c>
      <c r="AN15" s="272">
        <v>297492</v>
      </c>
      <c r="AO15" s="272">
        <v>0</v>
      </c>
      <c r="AP15" s="272">
        <v>157869</v>
      </c>
      <c r="AQ15" s="272">
        <v>926323</v>
      </c>
      <c r="AR15" s="272">
        <v>1385</v>
      </c>
      <c r="AS15" s="272">
        <v>0</v>
      </c>
      <c r="AT15" s="272">
        <v>2606289</v>
      </c>
      <c r="AU15" s="272">
        <v>918218</v>
      </c>
      <c r="AV15" s="272">
        <v>148745</v>
      </c>
      <c r="AW15" s="272">
        <v>224967</v>
      </c>
      <c r="AX15" s="272">
        <v>1688071</v>
      </c>
      <c r="AY15" s="272">
        <v>304976</v>
      </c>
      <c r="AZ15" s="272">
        <v>1055726</v>
      </c>
      <c r="BA15" s="272">
        <v>57711</v>
      </c>
      <c r="BB15" s="272">
        <v>269164</v>
      </c>
      <c r="BC15" s="272">
        <v>3487619</v>
      </c>
      <c r="BD15" s="272">
        <v>0</v>
      </c>
      <c r="BE15" s="272">
        <v>0</v>
      </c>
      <c r="BF15" s="272">
        <v>3277298</v>
      </c>
      <c r="BG15" s="272">
        <v>0</v>
      </c>
      <c r="BH15" s="272">
        <v>1382525</v>
      </c>
      <c r="BI15" s="272">
        <v>851286</v>
      </c>
      <c r="BJ15" s="272">
        <v>2236358</v>
      </c>
      <c r="BK15" s="272">
        <v>440841</v>
      </c>
      <c r="BL15" s="272">
        <v>47857</v>
      </c>
      <c r="BM15" s="272">
        <v>527635</v>
      </c>
      <c r="BN15" s="272">
        <v>54600</v>
      </c>
      <c r="BO15" s="455">
        <f t="shared" si="5"/>
        <v>54600</v>
      </c>
      <c r="BP15" s="455">
        <f t="shared" si="6"/>
        <v>0</v>
      </c>
      <c r="BQ15" s="272"/>
      <c r="BR15" s="272"/>
      <c r="BS15" s="272"/>
      <c r="BT15" s="272">
        <v>0</v>
      </c>
      <c r="BU15" s="272">
        <v>61993041</v>
      </c>
      <c r="BV15" s="272"/>
      <c r="BW15" s="272">
        <v>14089713</v>
      </c>
      <c r="BX15" s="272">
        <v>10903560</v>
      </c>
      <c r="BY15" s="272">
        <v>408955</v>
      </c>
      <c r="BZ15" s="272">
        <v>349291</v>
      </c>
      <c r="CA15" s="272">
        <v>5023369</v>
      </c>
      <c r="CB15" s="272">
        <v>549466</v>
      </c>
      <c r="CC15" s="272">
        <v>811834</v>
      </c>
      <c r="CD15" s="272">
        <v>1151089</v>
      </c>
      <c r="CE15" s="272">
        <v>2393887</v>
      </c>
      <c r="CF15" s="272">
        <v>5020</v>
      </c>
      <c r="CG15" s="272">
        <v>112073</v>
      </c>
      <c r="CH15" s="272">
        <v>3437178</v>
      </c>
      <c r="CI15" s="272">
        <v>1641746</v>
      </c>
      <c r="CJ15" s="455">
        <f t="shared" si="7"/>
        <v>1795432</v>
      </c>
      <c r="CK15" s="272">
        <v>7297277</v>
      </c>
      <c r="CL15" s="272">
        <v>3486780</v>
      </c>
      <c r="CM15" s="272">
        <v>249013</v>
      </c>
      <c r="CN15" s="272">
        <v>2495614</v>
      </c>
      <c r="CO15" s="272">
        <v>1040359</v>
      </c>
      <c r="CP15" s="272">
        <v>1381599</v>
      </c>
      <c r="CQ15" s="272">
        <v>1207</v>
      </c>
      <c r="CR15" s="272">
        <v>623228</v>
      </c>
      <c r="CS15" s="272">
        <v>584893</v>
      </c>
      <c r="CT15" s="455">
        <f t="shared" si="8"/>
        <v>54503</v>
      </c>
      <c r="CU15" s="272">
        <v>9622</v>
      </c>
      <c r="CV15" s="272">
        <v>44881</v>
      </c>
      <c r="CW15" s="455">
        <f t="shared" si="9"/>
        <v>0</v>
      </c>
      <c r="CX15" s="272">
        <v>0</v>
      </c>
      <c r="CY15" s="272">
        <v>0</v>
      </c>
      <c r="CZ15" s="455">
        <f t="shared" si="10"/>
        <v>0</v>
      </c>
      <c r="DA15" s="272">
        <v>0</v>
      </c>
      <c r="DB15" s="272">
        <v>0</v>
      </c>
      <c r="DC15" s="272">
        <v>19561908</v>
      </c>
      <c r="DD15" s="272">
        <v>2459965</v>
      </c>
      <c r="DE15" s="272">
        <v>17054086</v>
      </c>
      <c r="DF15" s="272">
        <v>0</v>
      </c>
      <c r="DG15" s="272">
        <v>47857</v>
      </c>
      <c r="DH15" s="272">
        <v>86045</v>
      </c>
      <c r="DI15" s="272">
        <v>2532628</v>
      </c>
      <c r="DJ15" s="272">
        <v>1007000</v>
      </c>
      <c r="DK15" s="272">
        <v>0</v>
      </c>
      <c r="DL15" s="272">
        <v>1525628</v>
      </c>
      <c r="DM15" s="272">
        <v>384300</v>
      </c>
      <c r="DN15" s="272">
        <v>0</v>
      </c>
      <c r="DO15" s="272">
        <v>0</v>
      </c>
      <c r="DP15" s="272">
        <v>0</v>
      </c>
      <c r="DQ15" s="272">
        <v>469369</v>
      </c>
      <c r="DR15" s="272">
        <v>0</v>
      </c>
      <c r="DS15" s="272">
        <v>0</v>
      </c>
      <c r="DT15" s="272">
        <v>5126726</v>
      </c>
      <c r="DU15" s="272">
        <v>3829554</v>
      </c>
      <c r="DV15" s="455">
        <f t="shared" si="11"/>
        <v>0</v>
      </c>
      <c r="DW15" s="272">
        <v>0</v>
      </c>
      <c r="DX15" s="272">
        <v>0</v>
      </c>
      <c r="DY15" s="457" t="s">
        <v>646</v>
      </c>
      <c r="DZ15" s="272">
        <v>770000</v>
      </c>
      <c r="EA15" s="272">
        <v>497007</v>
      </c>
      <c r="EB15" s="272"/>
      <c r="EC15" s="272">
        <v>0</v>
      </c>
      <c r="ED15" s="272">
        <v>60430471</v>
      </c>
      <c r="EF15" s="272">
        <v>1562570</v>
      </c>
      <c r="EG15" s="272">
        <v>952329</v>
      </c>
      <c r="EH15" s="272">
        <v>610241</v>
      </c>
      <c r="EI15" s="272">
        <v>-241045</v>
      </c>
      <c r="EJ15" s="272">
        <v>765955</v>
      </c>
      <c r="EL15" s="272"/>
      <c r="EM15" s="272">
        <v>249276</v>
      </c>
      <c r="EN15" s="272">
        <v>208131</v>
      </c>
      <c r="EO15" s="272">
        <v>68610</v>
      </c>
      <c r="EP15" s="455">
        <f t="shared" si="12"/>
        <v>2745362</v>
      </c>
      <c r="EQ15" s="272">
        <v>45196940</v>
      </c>
      <c r="ER15" s="272">
        <v>-2971620</v>
      </c>
      <c r="ES15" s="272">
        <v>12472312</v>
      </c>
      <c r="ET15" s="272">
        <v>9341045</v>
      </c>
      <c r="EU15" s="272">
        <v>1446472</v>
      </c>
      <c r="EV15" s="272">
        <v>3327448</v>
      </c>
      <c r="EW15" s="455">
        <f t="shared" si="13"/>
        <v>14518834</v>
      </c>
      <c r="EX15" s="272">
        <v>14472140</v>
      </c>
      <c r="EY15" s="272">
        <v>1161158</v>
      </c>
      <c r="EZ15" s="272">
        <v>13310982</v>
      </c>
      <c r="FA15" s="272">
        <v>46694</v>
      </c>
      <c r="FB15" s="272">
        <v>0</v>
      </c>
      <c r="FC15" s="272">
        <v>5841033</v>
      </c>
      <c r="FD15" s="272">
        <v>1214926</v>
      </c>
      <c r="FE15" s="272">
        <v>1207</v>
      </c>
      <c r="FF15" s="272">
        <v>5018462</v>
      </c>
      <c r="FG15" s="455">
        <f t="shared" si="14"/>
        <v>2766503</v>
      </c>
      <c r="FH15" s="272">
        <v>46605990</v>
      </c>
      <c r="FI15" s="384">
        <f t="shared" si="15"/>
        <v>1.5</v>
      </c>
      <c r="FJ15" s="272">
        <v>39694818</v>
      </c>
      <c r="FK15" s="272"/>
      <c r="FL15" s="272">
        <v>29877717</v>
      </c>
      <c r="FM15" s="272">
        <v>24708637</v>
      </c>
      <c r="FN15" s="460">
        <v>1.169</v>
      </c>
      <c r="FO15" s="388">
        <v>63.1</v>
      </c>
      <c r="FP15" s="388">
        <v>29.2</v>
      </c>
      <c r="FQ15" s="388">
        <v>3.4</v>
      </c>
      <c r="FR15" s="388">
        <v>7.8</v>
      </c>
      <c r="FS15" s="388">
        <v>12.9</v>
      </c>
      <c r="FT15" s="388">
        <v>2.5</v>
      </c>
      <c r="FU15" s="388">
        <v>5.0999999999999996</v>
      </c>
      <c r="FV15" s="388">
        <v>5.4</v>
      </c>
      <c r="FW15" s="272">
        <v>24697274</v>
      </c>
      <c r="FX15" s="384">
        <f t="shared" si="16"/>
        <v>62.2</v>
      </c>
      <c r="FY15" s="272">
        <v>17076590</v>
      </c>
      <c r="FZ15" s="272">
        <v>3882700</v>
      </c>
      <c r="GA15" s="272"/>
      <c r="GB15" s="272">
        <v>13193890</v>
      </c>
      <c r="GC15" s="272"/>
      <c r="GD15" s="272">
        <v>6149140</v>
      </c>
      <c r="GE15" s="384">
        <f t="shared" si="17"/>
        <v>15.5</v>
      </c>
      <c r="GF15" s="388">
        <v>99.4</v>
      </c>
      <c r="GG15" s="388">
        <v>70.2</v>
      </c>
      <c r="GH15" s="388">
        <v>98.6</v>
      </c>
      <c r="GI15" s="272">
        <v>1783</v>
      </c>
    </row>
    <row r="16" spans="2:191" x14ac:dyDescent="0.15">
      <c r="B16" s="89" t="s">
        <v>25</v>
      </c>
      <c r="C16" s="272">
        <v>37981811</v>
      </c>
      <c r="D16" s="455">
        <f t="shared" si="0"/>
        <v>14371327</v>
      </c>
      <c r="E16" s="272">
        <v>184720</v>
      </c>
      <c r="F16" s="272">
        <v>14186607</v>
      </c>
      <c r="G16" s="455">
        <f t="shared" si="1"/>
        <v>6360914</v>
      </c>
      <c r="H16" s="272">
        <v>433676</v>
      </c>
      <c r="I16" s="272">
        <v>5927238</v>
      </c>
      <c r="J16" s="272">
        <v>12471413</v>
      </c>
      <c r="K16" s="272">
        <v>6296735</v>
      </c>
      <c r="L16" s="272">
        <v>3956243</v>
      </c>
      <c r="M16" s="272">
        <v>2094046</v>
      </c>
      <c r="N16" s="272">
        <v>1282261</v>
      </c>
      <c r="O16" s="272">
        <v>2989860</v>
      </c>
      <c r="P16" s="272">
        <v>2129049</v>
      </c>
      <c r="Q16" s="272">
        <v>860811</v>
      </c>
      <c r="R16" s="272">
        <v>1408388</v>
      </c>
      <c r="S16" s="272">
        <v>1003322</v>
      </c>
      <c r="T16" s="455">
        <f t="shared" si="2"/>
        <v>1969816</v>
      </c>
      <c r="U16" s="272">
        <v>1209603</v>
      </c>
      <c r="V16" s="272"/>
      <c r="W16" s="272"/>
      <c r="X16" s="272"/>
      <c r="Y16" s="272">
        <v>0</v>
      </c>
      <c r="Z16" s="272"/>
      <c r="AA16" s="272">
        <v>760213</v>
      </c>
      <c r="AB16" s="272"/>
      <c r="AC16" s="272">
        <v>810009</v>
      </c>
      <c r="AD16" s="272">
        <v>0</v>
      </c>
      <c r="AE16" s="272">
        <v>810009</v>
      </c>
      <c r="AF16" s="272">
        <v>52329</v>
      </c>
      <c r="AG16" s="272">
        <v>2321158</v>
      </c>
      <c r="AH16" s="455">
        <f t="shared" si="3"/>
        <v>1421512</v>
      </c>
      <c r="AI16" s="272">
        <v>913103</v>
      </c>
      <c r="AJ16" s="272">
        <v>508409</v>
      </c>
      <c r="AK16" s="272">
        <v>6588678</v>
      </c>
      <c r="AL16" s="455">
        <f t="shared" si="4"/>
        <v>4510731</v>
      </c>
      <c r="AM16" s="272">
        <v>3897876</v>
      </c>
      <c r="AN16" s="272">
        <v>428062</v>
      </c>
      <c r="AO16" s="272">
        <v>0</v>
      </c>
      <c r="AP16" s="272">
        <v>184793</v>
      </c>
      <c r="AQ16" s="272">
        <v>749626</v>
      </c>
      <c r="AR16" s="272">
        <v>0</v>
      </c>
      <c r="AS16" s="272">
        <v>28791</v>
      </c>
      <c r="AT16" s="272">
        <v>3347151</v>
      </c>
      <c r="AU16" s="272">
        <v>800938</v>
      </c>
      <c r="AV16" s="272">
        <v>214031</v>
      </c>
      <c r="AW16" s="272">
        <v>0</v>
      </c>
      <c r="AX16" s="272">
        <v>2546213</v>
      </c>
      <c r="AY16" s="272">
        <v>671293</v>
      </c>
      <c r="AZ16" s="272">
        <v>1079199</v>
      </c>
      <c r="BA16" s="272">
        <v>515150</v>
      </c>
      <c r="BB16" s="272">
        <v>653063</v>
      </c>
      <c r="BC16" s="272">
        <v>43082</v>
      </c>
      <c r="BD16" s="272">
        <v>0</v>
      </c>
      <c r="BE16" s="272">
        <v>0</v>
      </c>
      <c r="BF16" s="272">
        <v>29281</v>
      </c>
      <c r="BG16" s="272">
        <v>0</v>
      </c>
      <c r="BH16" s="272">
        <v>570290</v>
      </c>
      <c r="BI16" s="272">
        <v>529160</v>
      </c>
      <c r="BJ16" s="272">
        <v>2461776</v>
      </c>
      <c r="BK16" s="272">
        <v>1438209</v>
      </c>
      <c r="BL16" s="272">
        <v>6036</v>
      </c>
      <c r="BM16" s="272">
        <v>622800</v>
      </c>
      <c r="BN16" s="272">
        <v>2305346</v>
      </c>
      <c r="BO16" s="455">
        <f t="shared" si="5"/>
        <v>2305346</v>
      </c>
      <c r="BP16" s="455">
        <f t="shared" si="6"/>
        <v>0</v>
      </c>
      <c r="BQ16" s="272"/>
      <c r="BR16" s="272"/>
      <c r="BS16" s="272"/>
      <c r="BT16" s="272">
        <v>0</v>
      </c>
      <c r="BU16" s="272">
        <v>63042399</v>
      </c>
      <c r="BV16" s="272"/>
      <c r="BW16" s="272">
        <v>17269396</v>
      </c>
      <c r="BX16" s="272">
        <v>13311552</v>
      </c>
      <c r="BY16" s="272">
        <v>537595</v>
      </c>
      <c r="BZ16" s="272">
        <v>631326</v>
      </c>
      <c r="CA16" s="272">
        <v>10154139</v>
      </c>
      <c r="CB16" s="272">
        <v>600697</v>
      </c>
      <c r="CC16" s="272">
        <v>1034413</v>
      </c>
      <c r="CD16" s="272">
        <v>1241038</v>
      </c>
      <c r="CE16" s="272">
        <v>4967011</v>
      </c>
      <c r="CF16" s="272">
        <v>1999425</v>
      </c>
      <c r="CG16" s="272">
        <v>311555</v>
      </c>
      <c r="CH16" s="272">
        <v>6294571</v>
      </c>
      <c r="CI16" s="272">
        <v>3176104</v>
      </c>
      <c r="CJ16" s="455">
        <f t="shared" si="7"/>
        <v>3118467</v>
      </c>
      <c r="CK16" s="272">
        <v>7266923</v>
      </c>
      <c r="CL16" s="272">
        <v>4052374</v>
      </c>
      <c r="CM16" s="272">
        <v>507075</v>
      </c>
      <c r="CN16" s="272">
        <v>1916983</v>
      </c>
      <c r="CO16" s="272">
        <v>405402</v>
      </c>
      <c r="CP16" s="272">
        <v>2634078</v>
      </c>
      <c r="CQ16" s="272">
        <v>56607</v>
      </c>
      <c r="CR16" s="272">
        <v>746292</v>
      </c>
      <c r="CS16" s="272">
        <v>269412</v>
      </c>
      <c r="CT16" s="455">
        <f t="shared" si="8"/>
        <v>774990</v>
      </c>
      <c r="CU16" s="272">
        <v>767137</v>
      </c>
      <c r="CV16" s="272">
        <v>7853</v>
      </c>
      <c r="CW16" s="455">
        <f t="shared" si="9"/>
        <v>696079</v>
      </c>
      <c r="CX16" s="272">
        <v>688226</v>
      </c>
      <c r="CY16" s="272">
        <v>7853</v>
      </c>
      <c r="CZ16" s="455">
        <f t="shared" si="10"/>
        <v>0</v>
      </c>
      <c r="DA16" s="272">
        <v>0</v>
      </c>
      <c r="DB16" s="272">
        <v>0</v>
      </c>
      <c r="DC16" s="272">
        <v>9316005</v>
      </c>
      <c r="DD16" s="272">
        <v>1443336</v>
      </c>
      <c r="DE16" s="272">
        <v>7749777</v>
      </c>
      <c r="DF16" s="272">
        <v>0</v>
      </c>
      <c r="DG16" s="272">
        <v>122892</v>
      </c>
      <c r="DH16" s="272">
        <v>0</v>
      </c>
      <c r="DI16" s="272">
        <v>2887460</v>
      </c>
      <c r="DJ16" s="272">
        <v>715846</v>
      </c>
      <c r="DK16" s="272">
        <v>0</v>
      </c>
      <c r="DL16" s="272">
        <v>2171614</v>
      </c>
      <c r="DM16" s="272">
        <v>30000</v>
      </c>
      <c r="DN16" s="272">
        <v>0</v>
      </c>
      <c r="DO16" s="272">
        <v>0</v>
      </c>
      <c r="DP16" s="272">
        <v>0</v>
      </c>
      <c r="DQ16" s="272">
        <v>1431833</v>
      </c>
      <c r="DR16" s="272">
        <v>0</v>
      </c>
      <c r="DS16" s="272">
        <v>0</v>
      </c>
      <c r="DT16" s="272">
        <v>3829066</v>
      </c>
      <c r="DU16" s="272">
        <v>2449439</v>
      </c>
      <c r="DV16" s="455">
        <f t="shared" si="11"/>
        <v>0</v>
      </c>
      <c r="DW16" s="272">
        <v>0</v>
      </c>
      <c r="DX16" s="272">
        <v>0</v>
      </c>
      <c r="DY16" s="457" t="s">
        <v>646</v>
      </c>
      <c r="DZ16" s="272">
        <v>816979</v>
      </c>
      <c r="EA16" s="272">
        <v>555363</v>
      </c>
      <c r="EB16" s="272"/>
      <c r="EC16" s="272">
        <v>0</v>
      </c>
      <c r="ED16" s="272">
        <v>61518873</v>
      </c>
      <c r="EF16" s="272">
        <v>1523526</v>
      </c>
      <c r="EG16" s="272">
        <v>200213</v>
      </c>
      <c r="EH16" s="272">
        <v>1323313</v>
      </c>
      <c r="EI16" s="272">
        <v>794153</v>
      </c>
      <c r="EJ16" s="272">
        <v>1509999</v>
      </c>
      <c r="EL16" s="272"/>
      <c r="EM16" s="272">
        <v>270459</v>
      </c>
      <c r="EN16" s="272">
        <v>571</v>
      </c>
      <c r="EO16" s="272">
        <v>51965</v>
      </c>
      <c r="EP16" s="455">
        <f t="shared" si="12"/>
        <v>1899383</v>
      </c>
      <c r="EQ16" s="272">
        <v>42251144</v>
      </c>
      <c r="ER16" s="272">
        <v>-1870799</v>
      </c>
      <c r="ES16" s="272">
        <v>15860924</v>
      </c>
      <c r="ET16" s="272">
        <v>12170013</v>
      </c>
      <c r="EU16" s="272">
        <v>2153373</v>
      </c>
      <c r="EV16" s="272">
        <v>5976234</v>
      </c>
      <c r="EW16" s="455">
        <f t="shared" si="13"/>
        <v>5235893</v>
      </c>
      <c r="EX16" s="272">
        <v>5235893</v>
      </c>
      <c r="EY16" s="272">
        <v>161756</v>
      </c>
      <c r="EZ16" s="272">
        <v>5070920</v>
      </c>
      <c r="FA16" s="272">
        <v>0</v>
      </c>
      <c r="FB16" s="272">
        <v>0</v>
      </c>
      <c r="FC16" s="272">
        <v>5843602</v>
      </c>
      <c r="FD16" s="272">
        <v>2193466</v>
      </c>
      <c r="FE16" s="272">
        <v>56607</v>
      </c>
      <c r="FF16" s="272">
        <v>3628832</v>
      </c>
      <c r="FG16" s="455">
        <f t="shared" si="14"/>
        <v>2067580</v>
      </c>
      <c r="FH16" s="272">
        <v>42959904</v>
      </c>
      <c r="FI16" s="384">
        <f t="shared" si="15"/>
        <v>3.7</v>
      </c>
      <c r="FJ16" s="272">
        <v>35858091</v>
      </c>
      <c r="FK16" s="272"/>
      <c r="FL16" s="272">
        <v>27007013</v>
      </c>
      <c r="FM16" s="272">
        <v>26064800</v>
      </c>
      <c r="FN16" s="460">
        <v>0.996</v>
      </c>
      <c r="FO16" s="388">
        <v>84.6</v>
      </c>
      <c r="FP16" s="388">
        <v>40.299999999999997</v>
      </c>
      <c r="FQ16" s="388">
        <v>5.6</v>
      </c>
      <c r="FR16" s="388">
        <v>15.5</v>
      </c>
      <c r="FS16" s="388">
        <v>14.4</v>
      </c>
      <c r="FT16" s="388">
        <v>3.5</v>
      </c>
      <c r="FU16" s="388">
        <v>4.9000000000000004</v>
      </c>
      <c r="FV16" s="388">
        <v>15.1</v>
      </c>
      <c r="FW16" s="272">
        <v>52103907</v>
      </c>
      <c r="FX16" s="384">
        <f t="shared" si="16"/>
        <v>145.30000000000001</v>
      </c>
      <c r="FY16" s="272">
        <v>11919973</v>
      </c>
      <c r="FZ16" s="272">
        <v>1593963</v>
      </c>
      <c r="GA16" s="272"/>
      <c r="GB16" s="272">
        <v>10326010</v>
      </c>
      <c r="GC16" s="272"/>
      <c r="GD16" s="272">
        <v>21058339</v>
      </c>
      <c r="GE16" s="384">
        <f t="shared" si="17"/>
        <v>58.7</v>
      </c>
      <c r="GF16" s="388">
        <v>99.2</v>
      </c>
      <c r="GG16" s="388">
        <v>42.7</v>
      </c>
      <c r="GH16" s="388">
        <v>98.2</v>
      </c>
      <c r="GI16" s="272">
        <v>1990</v>
      </c>
    </row>
    <row r="17" spans="2:191" x14ac:dyDescent="0.15">
      <c r="B17" s="89" t="s">
        <v>27</v>
      </c>
      <c r="C17" s="272">
        <v>11948980</v>
      </c>
      <c r="D17" s="455">
        <f t="shared" si="0"/>
        <v>4105994</v>
      </c>
      <c r="E17" s="272">
        <v>59245</v>
      </c>
      <c r="F17" s="272">
        <v>4046749</v>
      </c>
      <c r="G17" s="455">
        <f t="shared" si="1"/>
        <v>2220434</v>
      </c>
      <c r="H17" s="272">
        <v>231061</v>
      </c>
      <c r="I17" s="272">
        <v>1989373</v>
      </c>
      <c r="J17" s="272">
        <v>4133473</v>
      </c>
      <c r="K17" s="272">
        <v>1957761</v>
      </c>
      <c r="L17" s="272">
        <v>1261307</v>
      </c>
      <c r="M17" s="272">
        <v>875192</v>
      </c>
      <c r="N17" s="272">
        <v>397605</v>
      </c>
      <c r="O17" s="272">
        <v>819913</v>
      </c>
      <c r="P17" s="272">
        <v>557896</v>
      </c>
      <c r="Q17" s="272">
        <v>262017</v>
      </c>
      <c r="R17" s="272">
        <v>569711</v>
      </c>
      <c r="S17" s="272">
        <v>418216</v>
      </c>
      <c r="T17" s="455">
        <f t="shared" si="2"/>
        <v>674299</v>
      </c>
      <c r="U17" s="272">
        <v>322137</v>
      </c>
      <c r="V17" s="272"/>
      <c r="W17" s="272"/>
      <c r="X17" s="272"/>
      <c r="Y17" s="272">
        <v>78458</v>
      </c>
      <c r="Z17" s="272"/>
      <c r="AA17" s="272">
        <v>273704</v>
      </c>
      <c r="AB17" s="272"/>
      <c r="AC17" s="272">
        <v>1446359</v>
      </c>
      <c r="AD17" s="272">
        <v>845160</v>
      </c>
      <c r="AE17" s="272">
        <v>601199</v>
      </c>
      <c r="AF17" s="272">
        <v>21344</v>
      </c>
      <c r="AG17" s="272">
        <v>172334</v>
      </c>
      <c r="AH17" s="455">
        <f t="shared" si="3"/>
        <v>601984</v>
      </c>
      <c r="AI17" s="272">
        <v>536217</v>
      </c>
      <c r="AJ17" s="272">
        <v>65767</v>
      </c>
      <c r="AK17" s="272">
        <v>3639217</v>
      </c>
      <c r="AL17" s="455">
        <f t="shared" si="4"/>
        <v>1436269</v>
      </c>
      <c r="AM17" s="272">
        <v>1063023</v>
      </c>
      <c r="AN17" s="272">
        <v>271774</v>
      </c>
      <c r="AO17" s="272">
        <v>0</v>
      </c>
      <c r="AP17" s="272">
        <v>101472</v>
      </c>
      <c r="AQ17" s="272">
        <v>1467216</v>
      </c>
      <c r="AR17" s="272">
        <v>989</v>
      </c>
      <c r="AS17" s="272">
        <v>0</v>
      </c>
      <c r="AT17" s="272">
        <v>5280285</v>
      </c>
      <c r="AU17" s="272">
        <v>1393426</v>
      </c>
      <c r="AV17" s="272">
        <v>135886</v>
      </c>
      <c r="AW17" s="272">
        <v>82536</v>
      </c>
      <c r="AX17" s="272">
        <v>3886859</v>
      </c>
      <c r="AY17" s="272">
        <v>2959745</v>
      </c>
      <c r="AZ17" s="272">
        <v>210413</v>
      </c>
      <c r="BA17" s="272">
        <v>40952</v>
      </c>
      <c r="BB17" s="272">
        <v>199036</v>
      </c>
      <c r="BC17" s="272">
        <v>373947</v>
      </c>
      <c r="BD17" s="272">
        <v>0</v>
      </c>
      <c r="BE17" s="272">
        <v>0</v>
      </c>
      <c r="BF17" s="272">
        <v>373947</v>
      </c>
      <c r="BG17" s="272">
        <v>0</v>
      </c>
      <c r="BH17" s="272">
        <v>0</v>
      </c>
      <c r="BI17" s="272">
        <v>0</v>
      </c>
      <c r="BJ17" s="272">
        <v>1194168</v>
      </c>
      <c r="BK17" s="272">
        <v>89429</v>
      </c>
      <c r="BL17" s="272">
        <v>0</v>
      </c>
      <c r="BM17" s="272">
        <v>463444</v>
      </c>
      <c r="BN17" s="272">
        <v>2370226</v>
      </c>
      <c r="BO17" s="455">
        <f t="shared" si="5"/>
        <v>2370226</v>
      </c>
      <c r="BP17" s="455">
        <f t="shared" si="6"/>
        <v>0</v>
      </c>
      <c r="BQ17" s="272"/>
      <c r="BR17" s="272"/>
      <c r="BS17" s="272"/>
      <c r="BT17" s="272">
        <v>0</v>
      </c>
      <c r="BU17" s="272">
        <v>28702303</v>
      </c>
      <c r="BV17" s="272"/>
      <c r="BW17" s="272">
        <v>6916073</v>
      </c>
      <c r="BX17" s="272">
        <v>4983647</v>
      </c>
      <c r="BY17" s="272">
        <v>470505</v>
      </c>
      <c r="BZ17" s="272">
        <v>292421</v>
      </c>
      <c r="CA17" s="272">
        <v>3026436</v>
      </c>
      <c r="CB17" s="272">
        <v>259737</v>
      </c>
      <c r="CC17" s="272">
        <v>615624</v>
      </c>
      <c r="CD17" s="272">
        <v>800179</v>
      </c>
      <c r="CE17" s="272">
        <v>1299665</v>
      </c>
      <c r="CF17" s="272">
        <v>7299</v>
      </c>
      <c r="CG17" s="272">
        <v>43932</v>
      </c>
      <c r="CH17" s="272">
        <v>2180946</v>
      </c>
      <c r="CI17" s="272">
        <v>1202822</v>
      </c>
      <c r="CJ17" s="455">
        <f t="shared" si="7"/>
        <v>978124</v>
      </c>
      <c r="CK17" s="272">
        <v>1642833</v>
      </c>
      <c r="CL17" s="272">
        <v>669144</v>
      </c>
      <c r="CM17" s="272">
        <v>41773</v>
      </c>
      <c r="CN17" s="272">
        <v>553365</v>
      </c>
      <c r="CO17" s="272">
        <v>91291</v>
      </c>
      <c r="CP17" s="272">
        <v>2139037</v>
      </c>
      <c r="CQ17" s="272">
        <v>977706</v>
      </c>
      <c r="CR17" s="272">
        <v>483757</v>
      </c>
      <c r="CS17" s="272">
        <v>339151</v>
      </c>
      <c r="CT17" s="455">
        <f t="shared" si="8"/>
        <v>325986</v>
      </c>
      <c r="CU17" s="272">
        <v>325986</v>
      </c>
      <c r="CV17" s="272">
        <v>0</v>
      </c>
      <c r="CW17" s="455">
        <f t="shared" si="9"/>
        <v>306962</v>
      </c>
      <c r="CX17" s="272">
        <v>306962</v>
      </c>
      <c r="CY17" s="272">
        <v>0</v>
      </c>
      <c r="CZ17" s="455">
        <f t="shared" si="10"/>
        <v>0</v>
      </c>
      <c r="DA17" s="272">
        <v>0</v>
      </c>
      <c r="DB17" s="272">
        <v>0</v>
      </c>
      <c r="DC17" s="272">
        <v>10096117</v>
      </c>
      <c r="DD17" s="272">
        <v>2862904</v>
      </c>
      <c r="DE17" s="272">
        <v>4476419</v>
      </c>
      <c r="DF17" s="272">
        <v>199972</v>
      </c>
      <c r="DG17" s="272">
        <v>2556822</v>
      </c>
      <c r="DH17" s="272">
        <v>49874</v>
      </c>
      <c r="DI17" s="272">
        <v>1321579</v>
      </c>
      <c r="DJ17" s="272">
        <v>0</v>
      </c>
      <c r="DK17" s="272">
        <v>742000</v>
      </c>
      <c r="DL17" s="272">
        <v>579579</v>
      </c>
      <c r="DM17" s="272">
        <v>0</v>
      </c>
      <c r="DN17" s="272">
        <v>0</v>
      </c>
      <c r="DO17" s="272">
        <v>0</v>
      </c>
      <c r="DP17" s="272">
        <v>0</v>
      </c>
      <c r="DQ17" s="272">
        <v>141439</v>
      </c>
      <c r="DR17" s="272">
        <v>59000</v>
      </c>
      <c r="DS17" s="272">
        <v>59000</v>
      </c>
      <c r="DT17" s="272">
        <v>827048</v>
      </c>
      <c r="DU17" s="272">
        <v>206100</v>
      </c>
      <c r="DV17" s="455">
        <f t="shared" si="11"/>
        <v>0</v>
      </c>
      <c r="DW17" s="272">
        <v>0</v>
      </c>
      <c r="DX17" s="272">
        <v>0</v>
      </c>
      <c r="DY17" s="457" t="s">
        <v>646</v>
      </c>
      <c r="DZ17" s="272">
        <v>327507</v>
      </c>
      <c r="EA17" s="272">
        <v>283257</v>
      </c>
      <c r="EB17" s="272"/>
      <c r="EC17" s="272">
        <v>436779</v>
      </c>
      <c r="ED17" s="272">
        <v>28923017</v>
      </c>
      <c r="EF17" s="272">
        <v>-220714</v>
      </c>
      <c r="EG17" s="272">
        <v>81637</v>
      </c>
      <c r="EH17" s="272">
        <v>-302351</v>
      </c>
      <c r="EI17" s="272">
        <v>139829</v>
      </c>
      <c r="EJ17" s="272">
        <v>139829</v>
      </c>
      <c r="EL17" s="272"/>
      <c r="EM17" s="272">
        <v>89990</v>
      </c>
      <c r="EN17" s="272">
        <v>364000</v>
      </c>
      <c r="EO17" s="272">
        <v>9059</v>
      </c>
      <c r="EP17" s="455">
        <f t="shared" si="12"/>
        <v>1245862</v>
      </c>
      <c r="EQ17" s="272">
        <v>14660693</v>
      </c>
      <c r="ER17" s="272">
        <v>-1597577</v>
      </c>
      <c r="ES17" s="272">
        <v>6283035</v>
      </c>
      <c r="ET17" s="272">
        <v>4408079</v>
      </c>
      <c r="EU17" s="272">
        <v>1000379</v>
      </c>
      <c r="EV17" s="272">
        <v>1918808</v>
      </c>
      <c r="EW17" s="455">
        <f t="shared" si="13"/>
        <v>1837639</v>
      </c>
      <c r="EX17" s="272">
        <v>1762820</v>
      </c>
      <c r="EY17" s="272">
        <v>50053</v>
      </c>
      <c r="EZ17" s="272">
        <v>1705153</v>
      </c>
      <c r="FA17" s="272">
        <v>42953</v>
      </c>
      <c r="FB17" s="272">
        <v>31866</v>
      </c>
      <c r="FC17" s="272">
        <v>1243933</v>
      </c>
      <c r="FD17" s="272">
        <v>1895923</v>
      </c>
      <c r="FE17" s="272">
        <v>977706</v>
      </c>
      <c r="FF17" s="272">
        <v>738233</v>
      </c>
      <c r="FG17" s="455">
        <f t="shared" si="14"/>
        <v>1645872</v>
      </c>
      <c r="FH17" s="272">
        <v>16563822</v>
      </c>
      <c r="FI17" s="384">
        <f t="shared" si="15"/>
        <v>-2.4</v>
      </c>
      <c r="FJ17" s="272">
        <v>12556892</v>
      </c>
      <c r="FK17" s="272"/>
      <c r="FL17" s="272">
        <v>8827244</v>
      </c>
      <c r="FM17" s="272">
        <v>9666571</v>
      </c>
      <c r="FN17" s="460">
        <v>0.89900000000000002</v>
      </c>
      <c r="FO17" s="388">
        <v>92</v>
      </c>
      <c r="FP17" s="388">
        <v>47</v>
      </c>
      <c r="FQ17" s="388">
        <v>7.5</v>
      </c>
      <c r="FR17" s="388">
        <v>14.4</v>
      </c>
      <c r="FS17" s="388">
        <v>8.6999999999999993</v>
      </c>
      <c r="FT17" s="388">
        <v>11.7</v>
      </c>
      <c r="FU17" s="388">
        <v>2.2999999999999998</v>
      </c>
      <c r="FV17" s="388">
        <v>12.6</v>
      </c>
      <c r="FW17" s="272">
        <v>15828070</v>
      </c>
      <c r="FX17" s="384">
        <f t="shared" si="16"/>
        <v>126.1</v>
      </c>
      <c r="FY17" s="272">
        <v>4971966</v>
      </c>
      <c r="FZ17" s="272"/>
      <c r="GA17" s="272">
        <v>742000</v>
      </c>
      <c r="GB17" s="272">
        <v>4229966</v>
      </c>
      <c r="GC17" s="272"/>
      <c r="GD17" s="272">
        <v>6028716</v>
      </c>
      <c r="GE17" s="384">
        <f t="shared" si="17"/>
        <v>48</v>
      </c>
      <c r="GF17" s="388">
        <v>97.8</v>
      </c>
      <c r="GG17" s="388">
        <v>26</v>
      </c>
      <c r="GH17" s="388">
        <v>92.8</v>
      </c>
      <c r="GI17" s="272">
        <v>834</v>
      </c>
    </row>
    <row r="18" spans="2:191" x14ac:dyDescent="0.15">
      <c r="B18" s="89" t="s">
        <v>29</v>
      </c>
      <c r="C18" s="272">
        <v>11765940</v>
      </c>
      <c r="D18" s="455">
        <f t="shared" si="0"/>
        <v>5729205</v>
      </c>
      <c r="E18" s="272">
        <v>68948</v>
      </c>
      <c r="F18" s="272">
        <v>5660257</v>
      </c>
      <c r="G18" s="455">
        <f t="shared" si="1"/>
        <v>880423</v>
      </c>
      <c r="H18" s="272">
        <v>110409</v>
      </c>
      <c r="I18" s="272">
        <v>770014</v>
      </c>
      <c r="J18" s="272">
        <v>3749585</v>
      </c>
      <c r="K18" s="272">
        <v>1867539</v>
      </c>
      <c r="L18" s="272">
        <v>1389190</v>
      </c>
      <c r="M18" s="272">
        <v>471023</v>
      </c>
      <c r="N18" s="272">
        <v>357046</v>
      </c>
      <c r="O18" s="272">
        <v>855413</v>
      </c>
      <c r="P18" s="272">
        <v>591196</v>
      </c>
      <c r="Q18" s="272">
        <v>264217</v>
      </c>
      <c r="R18" s="272">
        <v>409588</v>
      </c>
      <c r="S18" s="272">
        <v>244873</v>
      </c>
      <c r="T18" s="455">
        <f t="shared" si="2"/>
        <v>871203</v>
      </c>
      <c r="U18" s="272">
        <v>457540</v>
      </c>
      <c r="V18" s="272"/>
      <c r="W18" s="272"/>
      <c r="X18" s="272"/>
      <c r="Y18" s="272">
        <v>103524</v>
      </c>
      <c r="Z18" s="272"/>
      <c r="AA18" s="272">
        <v>310139</v>
      </c>
      <c r="AB18" s="272"/>
      <c r="AC18" s="272">
        <v>2481705</v>
      </c>
      <c r="AD18" s="272">
        <v>2241666</v>
      </c>
      <c r="AE18" s="272">
        <v>240039</v>
      </c>
      <c r="AF18" s="272">
        <v>19484</v>
      </c>
      <c r="AG18" s="272">
        <v>261148</v>
      </c>
      <c r="AH18" s="455">
        <f t="shared" si="3"/>
        <v>4132608</v>
      </c>
      <c r="AI18" s="272">
        <v>3878925</v>
      </c>
      <c r="AJ18" s="272">
        <v>253683</v>
      </c>
      <c r="AK18" s="272">
        <v>2135189</v>
      </c>
      <c r="AL18" s="455">
        <f t="shared" si="4"/>
        <v>1203898</v>
      </c>
      <c r="AM18" s="272">
        <v>964548</v>
      </c>
      <c r="AN18" s="272">
        <v>125267</v>
      </c>
      <c r="AO18" s="272">
        <v>0</v>
      </c>
      <c r="AP18" s="272">
        <v>114083</v>
      </c>
      <c r="AQ18" s="272">
        <v>405635</v>
      </c>
      <c r="AR18" s="272">
        <v>0</v>
      </c>
      <c r="AS18" s="272">
        <v>0</v>
      </c>
      <c r="AT18" s="272">
        <v>1166060</v>
      </c>
      <c r="AU18" s="272">
        <v>358267</v>
      </c>
      <c r="AV18" s="272">
        <v>77125</v>
      </c>
      <c r="AW18" s="272">
        <v>135878</v>
      </c>
      <c r="AX18" s="272">
        <v>807793</v>
      </c>
      <c r="AY18" s="272">
        <v>178378</v>
      </c>
      <c r="AZ18" s="272">
        <v>734048</v>
      </c>
      <c r="BA18" s="272">
        <v>281669</v>
      </c>
      <c r="BB18" s="272">
        <v>454416</v>
      </c>
      <c r="BC18" s="272">
        <v>2375969</v>
      </c>
      <c r="BD18" s="272">
        <v>0</v>
      </c>
      <c r="BE18" s="272">
        <v>0</v>
      </c>
      <c r="BF18" s="272">
        <v>2373299</v>
      </c>
      <c r="BG18" s="272">
        <v>0</v>
      </c>
      <c r="BH18" s="272">
        <v>491888</v>
      </c>
      <c r="BI18" s="272">
        <v>388633</v>
      </c>
      <c r="BJ18" s="272">
        <v>1248021</v>
      </c>
      <c r="BK18" s="272">
        <v>574537</v>
      </c>
      <c r="BL18" s="272">
        <v>0</v>
      </c>
      <c r="BM18" s="272">
        <v>488446</v>
      </c>
      <c r="BN18" s="272">
        <v>1257900</v>
      </c>
      <c r="BO18" s="455">
        <f t="shared" si="5"/>
        <v>1257900</v>
      </c>
      <c r="BP18" s="455">
        <f t="shared" si="6"/>
        <v>0</v>
      </c>
      <c r="BQ18" s="272"/>
      <c r="BR18" s="272"/>
      <c r="BS18" s="272"/>
      <c r="BT18" s="272">
        <v>0</v>
      </c>
      <c r="BU18" s="272">
        <v>29805167</v>
      </c>
      <c r="BV18" s="272"/>
      <c r="BW18" s="272">
        <v>5837960</v>
      </c>
      <c r="BX18" s="272">
        <v>4456776</v>
      </c>
      <c r="BY18" s="272">
        <v>238913</v>
      </c>
      <c r="BZ18" s="272">
        <v>35327</v>
      </c>
      <c r="CA18" s="272">
        <v>2651224</v>
      </c>
      <c r="CB18" s="272">
        <v>273778</v>
      </c>
      <c r="CC18" s="272">
        <v>473199</v>
      </c>
      <c r="CD18" s="272">
        <v>566789</v>
      </c>
      <c r="CE18" s="272">
        <v>1268463</v>
      </c>
      <c r="CF18" s="272">
        <v>0</v>
      </c>
      <c r="CG18" s="272">
        <v>68995</v>
      </c>
      <c r="CH18" s="272">
        <v>1870121</v>
      </c>
      <c r="CI18" s="272">
        <v>999710</v>
      </c>
      <c r="CJ18" s="455">
        <f t="shared" si="7"/>
        <v>870411</v>
      </c>
      <c r="CK18" s="272">
        <v>6308125</v>
      </c>
      <c r="CL18" s="272">
        <v>5015157</v>
      </c>
      <c r="CM18" s="272">
        <v>202481</v>
      </c>
      <c r="CN18" s="272">
        <v>660715</v>
      </c>
      <c r="CO18" s="272">
        <v>222252</v>
      </c>
      <c r="CP18" s="272">
        <v>1445582</v>
      </c>
      <c r="CQ18" s="272">
        <v>519641</v>
      </c>
      <c r="CR18" s="272">
        <v>404619</v>
      </c>
      <c r="CS18" s="272">
        <v>294616</v>
      </c>
      <c r="CT18" s="455">
        <f t="shared" si="8"/>
        <v>6372</v>
      </c>
      <c r="CU18" s="272">
        <v>6372</v>
      </c>
      <c r="CV18" s="272">
        <v>0</v>
      </c>
      <c r="CW18" s="455">
        <f t="shared" si="9"/>
        <v>0</v>
      </c>
      <c r="CX18" s="272">
        <v>0</v>
      </c>
      <c r="CY18" s="272">
        <v>0</v>
      </c>
      <c r="CZ18" s="455">
        <f t="shared" si="10"/>
        <v>0</v>
      </c>
      <c r="DA18" s="272">
        <v>0</v>
      </c>
      <c r="DB18" s="272">
        <v>0</v>
      </c>
      <c r="DC18" s="272">
        <v>6451318</v>
      </c>
      <c r="DD18" s="272">
        <v>1125115</v>
      </c>
      <c r="DE18" s="272">
        <v>5308223</v>
      </c>
      <c r="DF18" s="272">
        <v>7826</v>
      </c>
      <c r="DG18" s="272">
        <v>10154</v>
      </c>
      <c r="DH18" s="272">
        <v>34527</v>
      </c>
      <c r="DI18" s="272">
        <v>2708122</v>
      </c>
      <c r="DJ18" s="272">
        <v>1010260</v>
      </c>
      <c r="DK18" s="272">
        <v>0</v>
      </c>
      <c r="DL18" s="272">
        <v>1697862</v>
      </c>
      <c r="DM18" s="272">
        <v>10000</v>
      </c>
      <c r="DN18" s="272">
        <v>0</v>
      </c>
      <c r="DO18" s="272">
        <v>0</v>
      </c>
      <c r="DP18" s="272">
        <v>0</v>
      </c>
      <c r="DQ18" s="272">
        <v>601200</v>
      </c>
      <c r="DR18" s="272">
        <v>0</v>
      </c>
      <c r="DS18" s="272">
        <v>0</v>
      </c>
      <c r="DT18" s="272">
        <v>1112185</v>
      </c>
      <c r="DU18" s="272">
        <v>440000</v>
      </c>
      <c r="DV18" s="455">
        <f t="shared" si="11"/>
        <v>0</v>
      </c>
      <c r="DW18" s="272">
        <v>0</v>
      </c>
      <c r="DX18" s="272">
        <v>0</v>
      </c>
      <c r="DY18" s="457" t="s">
        <v>646</v>
      </c>
      <c r="DZ18" s="272">
        <v>380504</v>
      </c>
      <c r="EA18" s="272">
        <v>265649</v>
      </c>
      <c r="EB18" s="272"/>
      <c r="EC18" s="272">
        <v>0</v>
      </c>
      <c r="ED18" s="272">
        <v>29252616</v>
      </c>
      <c r="EF18" s="272">
        <v>552551</v>
      </c>
      <c r="EG18" s="272">
        <v>160896</v>
      </c>
      <c r="EH18" s="272">
        <v>391655</v>
      </c>
      <c r="EI18" s="272">
        <v>3022</v>
      </c>
      <c r="EJ18" s="272">
        <v>1013282</v>
      </c>
      <c r="EL18" s="272"/>
      <c r="EM18" s="272">
        <v>108119</v>
      </c>
      <c r="EN18" s="272">
        <v>2322920</v>
      </c>
      <c r="EO18" s="272">
        <v>6561</v>
      </c>
      <c r="EP18" s="455">
        <f t="shared" si="12"/>
        <v>1252089</v>
      </c>
      <c r="EQ18" s="272">
        <v>15547920</v>
      </c>
      <c r="ER18" s="272">
        <v>-3562086</v>
      </c>
      <c r="ES18" s="272">
        <v>5312674</v>
      </c>
      <c r="ET18" s="272">
        <v>3941700</v>
      </c>
      <c r="EU18" s="272">
        <v>830113</v>
      </c>
      <c r="EV18" s="272">
        <v>1691853</v>
      </c>
      <c r="EW18" s="455">
        <f t="shared" si="13"/>
        <v>4253774</v>
      </c>
      <c r="EX18" s="272">
        <v>4235220</v>
      </c>
      <c r="EY18" s="272">
        <v>456119</v>
      </c>
      <c r="EZ18" s="272">
        <v>3772492</v>
      </c>
      <c r="FA18" s="272">
        <v>18554</v>
      </c>
      <c r="FB18" s="272">
        <v>0</v>
      </c>
      <c r="FC18" s="272">
        <v>2175310</v>
      </c>
      <c r="FD18" s="272">
        <v>1333759</v>
      </c>
      <c r="FE18" s="272">
        <v>519641</v>
      </c>
      <c r="FF18" s="272">
        <v>1033807</v>
      </c>
      <c r="FG18" s="455">
        <f t="shared" si="14"/>
        <v>1926165</v>
      </c>
      <c r="FH18" s="272">
        <v>18557455</v>
      </c>
      <c r="FI18" s="384">
        <f t="shared" si="15"/>
        <v>2.8</v>
      </c>
      <c r="FJ18" s="272">
        <v>14052712</v>
      </c>
      <c r="FK18" s="272"/>
      <c r="FL18" s="272">
        <v>8904653</v>
      </c>
      <c r="FM18" s="272">
        <v>11150001</v>
      </c>
      <c r="FN18" s="460">
        <v>0.78200000000000003</v>
      </c>
      <c r="FO18" s="388">
        <v>79.900000000000006</v>
      </c>
      <c r="FP18" s="388">
        <v>36.299999999999997</v>
      </c>
      <c r="FQ18" s="388">
        <v>5.7</v>
      </c>
      <c r="FR18" s="388">
        <v>11.6</v>
      </c>
      <c r="FS18" s="388">
        <v>14.4</v>
      </c>
      <c r="FT18" s="388">
        <v>8.6999999999999993</v>
      </c>
      <c r="FU18" s="388">
        <v>2</v>
      </c>
      <c r="FV18" s="388">
        <v>11.1</v>
      </c>
      <c r="FW18" s="272">
        <v>13919817</v>
      </c>
      <c r="FX18" s="384">
        <f t="shared" si="16"/>
        <v>99.1</v>
      </c>
      <c r="FY18" s="272">
        <v>11222583</v>
      </c>
      <c r="FZ18" s="272">
        <v>2148599</v>
      </c>
      <c r="GA18" s="272"/>
      <c r="GB18" s="272">
        <v>9073984</v>
      </c>
      <c r="GC18" s="272"/>
      <c r="GD18" s="272">
        <v>3391460</v>
      </c>
      <c r="GE18" s="384">
        <f t="shared" si="17"/>
        <v>24.1</v>
      </c>
      <c r="GF18" s="388">
        <v>98.2</v>
      </c>
      <c r="GG18" s="388">
        <v>59</v>
      </c>
      <c r="GH18" s="388">
        <v>96.4</v>
      </c>
      <c r="GI18" s="272">
        <v>768</v>
      </c>
    </row>
    <row r="19" spans="2:191" x14ac:dyDescent="0.15">
      <c r="B19" s="89" t="s">
        <v>31</v>
      </c>
      <c r="C19" s="272">
        <v>27658198</v>
      </c>
      <c r="D19" s="455">
        <f t="shared" si="0"/>
        <v>12497335</v>
      </c>
      <c r="E19" s="272">
        <v>171354</v>
      </c>
      <c r="F19" s="272">
        <v>12325981</v>
      </c>
      <c r="G19" s="455">
        <f t="shared" si="1"/>
        <v>3647933</v>
      </c>
      <c r="H19" s="272">
        <v>358230</v>
      </c>
      <c r="I19" s="272">
        <v>3289703</v>
      </c>
      <c r="J19" s="272">
        <v>7937713</v>
      </c>
      <c r="K19" s="272">
        <v>3914583</v>
      </c>
      <c r="L19" s="272">
        <v>2835091</v>
      </c>
      <c r="M19" s="272">
        <v>1040756</v>
      </c>
      <c r="N19" s="272">
        <v>1075578</v>
      </c>
      <c r="O19" s="272">
        <v>2147310</v>
      </c>
      <c r="P19" s="272">
        <v>1501777</v>
      </c>
      <c r="Q19" s="272">
        <v>645533</v>
      </c>
      <c r="R19" s="272">
        <v>1012808</v>
      </c>
      <c r="S19" s="272">
        <v>666590</v>
      </c>
      <c r="T19" s="455">
        <f t="shared" si="2"/>
        <v>1726200</v>
      </c>
      <c r="U19" s="272">
        <v>1073194</v>
      </c>
      <c r="V19" s="272"/>
      <c r="W19" s="272"/>
      <c r="X19" s="272"/>
      <c r="Y19" s="272">
        <v>0</v>
      </c>
      <c r="Z19" s="272"/>
      <c r="AA19" s="272">
        <v>653006</v>
      </c>
      <c r="AB19" s="272"/>
      <c r="AC19" s="272">
        <v>5190328</v>
      </c>
      <c r="AD19" s="272">
        <v>4741776</v>
      </c>
      <c r="AE19" s="272">
        <v>448552</v>
      </c>
      <c r="AF19" s="272">
        <v>46923</v>
      </c>
      <c r="AG19" s="272">
        <v>435805</v>
      </c>
      <c r="AH19" s="455">
        <f t="shared" si="3"/>
        <v>1416327</v>
      </c>
      <c r="AI19" s="272">
        <v>911644</v>
      </c>
      <c r="AJ19" s="272">
        <v>504683</v>
      </c>
      <c r="AK19" s="272">
        <v>4878183</v>
      </c>
      <c r="AL19" s="455">
        <f t="shared" si="4"/>
        <v>3129255</v>
      </c>
      <c r="AM19" s="272">
        <v>2338737</v>
      </c>
      <c r="AN19" s="272">
        <v>545237</v>
      </c>
      <c r="AO19" s="272">
        <v>0</v>
      </c>
      <c r="AP19" s="272">
        <v>245281</v>
      </c>
      <c r="AQ19" s="272">
        <v>914627</v>
      </c>
      <c r="AR19" s="272">
        <v>0</v>
      </c>
      <c r="AS19" s="272">
        <v>0</v>
      </c>
      <c r="AT19" s="272">
        <v>3057218</v>
      </c>
      <c r="AU19" s="272">
        <v>1194949</v>
      </c>
      <c r="AV19" s="272">
        <v>324300</v>
      </c>
      <c r="AW19" s="272">
        <v>422117</v>
      </c>
      <c r="AX19" s="272">
        <v>1862269</v>
      </c>
      <c r="AY19" s="272">
        <v>487475</v>
      </c>
      <c r="AZ19" s="272">
        <v>573540</v>
      </c>
      <c r="BA19" s="272">
        <v>374095</v>
      </c>
      <c r="BB19" s="272">
        <v>612581</v>
      </c>
      <c r="BC19" s="272">
        <v>781630</v>
      </c>
      <c r="BD19" s="272">
        <v>0</v>
      </c>
      <c r="BE19" s="272">
        <v>0</v>
      </c>
      <c r="BF19" s="272">
        <v>722184</v>
      </c>
      <c r="BG19" s="272">
        <v>0</v>
      </c>
      <c r="BH19" s="272">
        <v>0</v>
      </c>
      <c r="BI19" s="272">
        <v>0</v>
      </c>
      <c r="BJ19" s="272">
        <v>5170126</v>
      </c>
      <c r="BK19" s="272">
        <v>4147957</v>
      </c>
      <c r="BL19" s="272">
        <v>0</v>
      </c>
      <c r="BM19" s="272">
        <v>533055</v>
      </c>
      <c r="BN19" s="272">
        <v>1809439</v>
      </c>
      <c r="BO19" s="455">
        <f t="shared" si="5"/>
        <v>1809439</v>
      </c>
      <c r="BP19" s="455">
        <f t="shared" si="6"/>
        <v>0</v>
      </c>
      <c r="BQ19" s="272"/>
      <c r="BR19" s="272"/>
      <c r="BS19" s="272"/>
      <c r="BT19" s="272">
        <v>0</v>
      </c>
      <c r="BU19" s="272">
        <v>54369306</v>
      </c>
      <c r="BV19" s="272"/>
      <c r="BW19" s="272">
        <v>17519651</v>
      </c>
      <c r="BX19" s="272">
        <v>13593521</v>
      </c>
      <c r="BY19" s="272">
        <v>847638</v>
      </c>
      <c r="BZ19" s="272">
        <v>248619</v>
      </c>
      <c r="CA19" s="272">
        <v>6265047</v>
      </c>
      <c r="CB19" s="272">
        <v>474868</v>
      </c>
      <c r="CC19" s="272">
        <v>1109220</v>
      </c>
      <c r="CD19" s="272">
        <v>1404926</v>
      </c>
      <c r="CE19" s="272">
        <v>3089616</v>
      </c>
      <c r="CF19" s="272">
        <v>374</v>
      </c>
      <c r="CG19" s="272">
        <v>184343</v>
      </c>
      <c r="CH19" s="272">
        <v>6224190</v>
      </c>
      <c r="CI19" s="272">
        <v>3343499</v>
      </c>
      <c r="CJ19" s="455">
        <f t="shared" si="7"/>
        <v>2880691</v>
      </c>
      <c r="CK19" s="272">
        <v>4541880</v>
      </c>
      <c r="CL19" s="272">
        <v>1956231</v>
      </c>
      <c r="CM19" s="272">
        <v>248129</v>
      </c>
      <c r="CN19" s="272">
        <v>1567842</v>
      </c>
      <c r="CO19" s="272">
        <v>225478</v>
      </c>
      <c r="CP19" s="272">
        <v>3814736</v>
      </c>
      <c r="CQ19" s="272">
        <v>2406670</v>
      </c>
      <c r="CR19" s="272">
        <v>715964</v>
      </c>
      <c r="CS19" s="272">
        <v>590596</v>
      </c>
      <c r="CT19" s="455">
        <f t="shared" si="8"/>
        <v>5184</v>
      </c>
      <c r="CU19" s="272">
        <v>5184</v>
      </c>
      <c r="CV19" s="272">
        <v>0</v>
      </c>
      <c r="CW19" s="455">
        <f t="shared" si="9"/>
        <v>0</v>
      </c>
      <c r="CX19" s="272">
        <v>0</v>
      </c>
      <c r="CY19" s="272">
        <v>0</v>
      </c>
      <c r="CZ19" s="455">
        <f t="shared" si="10"/>
        <v>0</v>
      </c>
      <c r="DA19" s="272">
        <v>0</v>
      </c>
      <c r="DB19" s="272">
        <v>0</v>
      </c>
      <c r="DC19" s="272">
        <v>5235367</v>
      </c>
      <c r="DD19" s="272">
        <v>1876520</v>
      </c>
      <c r="DE19" s="272">
        <v>2878959</v>
      </c>
      <c r="DF19" s="272">
        <v>0</v>
      </c>
      <c r="DG19" s="272">
        <v>479888</v>
      </c>
      <c r="DH19" s="272">
        <v>0</v>
      </c>
      <c r="DI19" s="272">
        <v>2240171</v>
      </c>
      <c r="DJ19" s="272">
        <v>0</v>
      </c>
      <c r="DK19" s="272">
        <v>849000</v>
      </c>
      <c r="DL19" s="272">
        <v>1391171</v>
      </c>
      <c r="DM19" s="272">
        <v>0</v>
      </c>
      <c r="DN19" s="272">
        <v>0</v>
      </c>
      <c r="DO19" s="272">
        <v>0</v>
      </c>
      <c r="DP19" s="272">
        <v>0</v>
      </c>
      <c r="DQ19" s="272">
        <v>4064968</v>
      </c>
      <c r="DR19" s="272">
        <v>0</v>
      </c>
      <c r="DS19" s="272">
        <v>0</v>
      </c>
      <c r="DT19" s="272">
        <v>2938886</v>
      </c>
      <c r="DU19" s="272">
        <v>1429174</v>
      </c>
      <c r="DV19" s="455">
        <f t="shared" si="11"/>
        <v>0</v>
      </c>
      <c r="DW19" s="272">
        <v>0</v>
      </c>
      <c r="DX19" s="272">
        <v>0</v>
      </c>
      <c r="DY19" s="457" t="s">
        <v>646</v>
      </c>
      <c r="DZ19" s="272">
        <v>862968</v>
      </c>
      <c r="EA19" s="272">
        <v>625590</v>
      </c>
      <c r="EB19" s="272"/>
      <c r="EC19" s="272">
        <v>2569563</v>
      </c>
      <c r="ED19" s="272">
        <v>55639937</v>
      </c>
      <c r="EF19" s="272">
        <v>-1270631</v>
      </c>
      <c r="EG19" s="272">
        <v>4525</v>
      </c>
      <c r="EH19" s="272">
        <v>-1275156</v>
      </c>
      <c r="EI19" s="272">
        <v>1298119</v>
      </c>
      <c r="EJ19" s="272">
        <v>1298119</v>
      </c>
      <c r="EL19" s="272"/>
      <c r="EM19" s="272">
        <v>255363</v>
      </c>
      <c r="EN19" s="272">
        <v>59261</v>
      </c>
      <c r="EO19" s="272">
        <v>85313</v>
      </c>
      <c r="EP19" s="455">
        <f t="shared" si="12"/>
        <v>1601000</v>
      </c>
      <c r="EQ19" s="272">
        <v>35634457</v>
      </c>
      <c r="ER19" s="272">
        <v>-1698651</v>
      </c>
      <c r="ES19" s="272">
        <v>15808193</v>
      </c>
      <c r="ET19" s="272">
        <v>12162644</v>
      </c>
      <c r="EU19" s="272">
        <v>1800963</v>
      </c>
      <c r="EV19" s="272">
        <v>5692269</v>
      </c>
      <c r="EW19" s="455">
        <f t="shared" si="13"/>
        <v>1083815</v>
      </c>
      <c r="EX19" s="272">
        <v>1083815</v>
      </c>
      <c r="EY19" s="272">
        <v>225222</v>
      </c>
      <c r="EZ19" s="272">
        <v>858593</v>
      </c>
      <c r="FA19" s="272">
        <v>0</v>
      </c>
      <c r="FB19" s="272">
        <v>0</v>
      </c>
      <c r="FC19" s="272">
        <v>3243864</v>
      </c>
      <c r="FD19" s="272">
        <v>3466222</v>
      </c>
      <c r="FE19" s="272">
        <v>2406670</v>
      </c>
      <c r="FF19" s="272">
        <v>2712712</v>
      </c>
      <c r="FG19" s="455">
        <f t="shared" si="14"/>
        <v>4812392</v>
      </c>
      <c r="FH19" s="272">
        <v>38620430</v>
      </c>
      <c r="FI19" s="384">
        <f t="shared" si="15"/>
        <v>-4</v>
      </c>
      <c r="FJ19" s="272">
        <v>31655075</v>
      </c>
      <c r="FK19" s="272"/>
      <c r="FL19" s="272">
        <v>20282677</v>
      </c>
      <c r="FM19" s="272">
        <v>25027767</v>
      </c>
      <c r="FN19" s="460">
        <v>0.8</v>
      </c>
      <c r="FO19" s="388">
        <v>94.1</v>
      </c>
      <c r="FP19" s="388">
        <v>47.7</v>
      </c>
      <c r="FQ19" s="388">
        <v>5.4</v>
      </c>
      <c r="FR19" s="388">
        <v>16.399999999999999</v>
      </c>
      <c r="FS19" s="388">
        <v>9.1</v>
      </c>
      <c r="FT19" s="388">
        <v>9.4</v>
      </c>
      <c r="FU19" s="388">
        <v>5.3</v>
      </c>
      <c r="FV19" s="388">
        <v>13.1</v>
      </c>
      <c r="FW19" s="272">
        <v>40398765</v>
      </c>
      <c r="FX19" s="384">
        <f t="shared" si="16"/>
        <v>127.6</v>
      </c>
      <c r="FY19" s="272">
        <v>5417371</v>
      </c>
      <c r="FZ19" s="272"/>
      <c r="GA19" s="272">
        <v>849000</v>
      </c>
      <c r="GB19" s="272">
        <v>4568371</v>
      </c>
      <c r="GC19" s="272"/>
      <c r="GD19" s="272">
        <v>8816322</v>
      </c>
      <c r="GE19" s="384">
        <f t="shared" si="17"/>
        <v>27.9</v>
      </c>
      <c r="GF19" s="388">
        <v>97.6</v>
      </c>
      <c r="GG19" s="388">
        <v>29.8</v>
      </c>
      <c r="GH19" s="388">
        <v>93.6</v>
      </c>
      <c r="GI19" s="272">
        <v>2127</v>
      </c>
    </row>
    <row r="20" spans="2:191" x14ac:dyDescent="0.15">
      <c r="B20" s="89" t="s">
        <v>33</v>
      </c>
      <c r="C20" s="272">
        <v>12538607</v>
      </c>
      <c r="D20" s="455">
        <f t="shared" si="0"/>
        <v>6314455</v>
      </c>
      <c r="E20" s="272">
        <v>65676</v>
      </c>
      <c r="F20" s="272">
        <v>6248779</v>
      </c>
      <c r="G20" s="455">
        <f t="shared" si="1"/>
        <v>944642</v>
      </c>
      <c r="H20" s="272">
        <v>112195</v>
      </c>
      <c r="I20" s="272">
        <v>832447</v>
      </c>
      <c r="J20" s="272">
        <v>3804721</v>
      </c>
      <c r="K20" s="272">
        <v>1690936</v>
      </c>
      <c r="L20" s="272">
        <v>1536520</v>
      </c>
      <c r="M20" s="272">
        <v>557601</v>
      </c>
      <c r="N20" s="272">
        <v>301170</v>
      </c>
      <c r="O20" s="272">
        <v>957652</v>
      </c>
      <c r="P20" s="272">
        <v>620525</v>
      </c>
      <c r="Q20" s="272">
        <v>337127</v>
      </c>
      <c r="R20" s="272">
        <v>413766</v>
      </c>
      <c r="S20" s="272">
        <v>234017</v>
      </c>
      <c r="T20" s="455">
        <f t="shared" si="2"/>
        <v>870323</v>
      </c>
      <c r="U20" s="272">
        <v>494645</v>
      </c>
      <c r="V20" s="272"/>
      <c r="W20" s="272"/>
      <c r="X20" s="272"/>
      <c r="Y20" s="272">
        <v>37783</v>
      </c>
      <c r="Z20" s="272"/>
      <c r="AA20" s="272">
        <v>337895</v>
      </c>
      <c r="AB20" s="272"/>
      <c r="AC20" s="272">
        <v>1447061</v>
      </c>
      <c r="AD20" s="272">
        <v>1222990</v>
      </c>
      <c r="AE20" s="272">
        <v>224071</v>
      </c>
      <c r="AF20" s="272">
        <v>22914</v>
      </c>
      <c r="AG20" s="272">
        <v>175895</v>
      </c>
      <c r="AH20" s="455">
        <f t="shared" si="3"/>
        <v>718209</v>
      </c>
      <c r="AI20" s="272">
        <v>492491</v>
      </c>
      <c r="AJ20" s="272">
        <v>225718</v>
      </c>
      <c r="AK20" s="272">
        <v>2618520</v>
      </c>
      <c r="AL20" s="455">
        <f t="shared" si="4"/>
        <v>698927</v>
      </c>
      <c r="AM20" s="272">
        <v>510000</v>
      </c>
      <c r="AN20" s="272">
        <v>124683</v>
      </c>
      <c r="AO20" s="272">
        <v>0</v>
      </c>
      <c r="AP20" s="272">
        <v>64244</v>
      </c>
      <c r="AQ20" s="272">
        <v>1562444</v>
      </c>
      <c r="AR20" s="272">
        <v>0</v>
      </c>
      <c r="AS20" s="272">
        <v>0</v>
      </c>
      <c r="AT20" s="272">
        <v>1661036</v>
      </c>
      <c r="AU20" s="272">
        <v>932087</v>
      </c>
      <c r="AV20" s="272">
        <v>62341</v>
      </c>
      <c r="AW20" s="272">
        <v>712799</v>
      </c>
      <c r="AX20" s="272">
        <v>728949</v>
      </c>
      <c r="AY20" s="272">
        <v>296433</v>
      </c>
      <c r="AZ20" s="272">
        <v>783521</v>
      </c>
      <c r="BA20" s="272">
        <v>282916</v>
      </c>
      <c r="BB20" s="272">
        <v>207919</v>
      </c>
      <c r="BC20" s="272">
        <v>910168</v>
      </c>
      <c r="BD20" s="272">
        <v>800000</v>
      </c>
      <c r="BE20" s="272">
        <v>0</v>
      </c>
      <c r="BF20" s="272">
        <v>100000</v>
      </c>
      <c r="BG20" s="272">
        <v>0</v>
      </c>
      <c r="BH20" s="272">
        <v>1020744</v>
      </c>
      <c r="BI20" s="272">
        <v>227002</v>
      </c>
      <c r="BJ20" s="272">
        <v>1400619</v>
      </c>
      <c r="BK20" s="272">
        <v>843950</v>
      </c>
      <c r="BL20" s="272">
        <v>1205</v>
      </c>
      <c r="BM20" s="272">
        <v>0</v>
      </c>
      <c r="BN20" s="272">
        <v>3758200</v>
      </c>
      <c r="BO20" s="455">
        <f t="shared" si="5"/>
        <v>3758200</v>
      </c>
      <c r="BP20" s="455">
        <f t="shared" si="6"/>
        <v>0</v>
      </c>
      <c r="BQ20" s="272"/>
      <c r="BR20" s="272"/>
      <c r="BS20" s="272"/>
      <c r="BT20" s="272">
        <v>0</v>
      </c>
      <c r="BU20" s="272">
        <v>28547502</v>
      </c>
      <c r="BV20" s="272"/>
      <c r="BW20" s="272">
        <v>4382151</v>
      </c>
      <c r="BX20" s="272">
        <v>3165554</v>
      </c>
      <c r="BY20" s="272">
        <v>142655</v>
      </c>
      <c r="BZ20" s="272">
        <v>231306</v>
      </c>
      <c r="CA20" s="272">
        <v>1896790</v>
      </c>
      <c r="CB20" s="272">
        <v>276728</v>
      </c>
      <c r="CC20" s="272">
        <v>393654</v>
      </c>
      <c r="CD20" s="272">
        <v>529509</v>
      </c>
      <c r="CE20" s="272">
        <v>682173</v>
      </c>
      <c r="CF20" s="272">
        <v>0</v>
      </c>
      <c r="CG20" s="272">
        <v>14726</v>
      </c>
      <c r="CH20" s="272">
        <v>2450196</v>
      </c>
      <c r="CI20" s="272">
        <v>1387350</v>
      </c>
      <c r="CJ20" s="455">
        <f t="shared" si="7"/>
        <v>1062846</v>
      </c>
      <c r="CK20" s="272">
        <v>2979337</v>
      </c>
      <c r="CL20" s="272">
        <v>1742857</v>
      </c>
      <c r="CM20" s="272">
        <v>62699</v>
      </c>
      <c r="CN20" s="272">
        <v>711588</v>
      </c>
      <c r="CO20" s="272">
        <v>188668</v>
      </c>
      <c r="CP20" s="272">
        <v>1393106</v>
      </c>
      <c r="CQ20" s="272">
        <v>355774</v>
      </c>
      <c r="CR20" s="272">
        <v>563147</v>
      </c>
      <c r="CS20" s="272">
        <v>492518</v>
      </c>
      <c r="CT20" s="455">
        <f t="shared" si="8"/>
        <v>69883</v>
      </c>
      <c r="CU20" s="272">
        <v>15188</v>
      </c>
      <c r="CV20" s="272">
        <v>54695</v>
      </c>
      <c r="CW20" s="455">
        <f t="shared" si="9"/>
        <v>0</v>
      </c>
      <c r="CX20" s="272">
        <v>0</v>
      </c>
      <c r="CY20" s="272">
        <v>0</v>
      </c>
      <c r="CZ20" s="455">
        <f t="shared" si="10"/>
        <v>0</v>
      </c>
      <c r="DA20" s="272">
        <v>0</v>
      </c>
      <c r="DB20" s="272">
        <v>0</v>
      </c>
      <c r="DC20" s="272">
        <v>10915205</v>
      </c>
      <c r="DD20" s="272">
        <v>3903098</v>
      </c>
      <c r="DE20" s="272">
        <v>6952049</v>
      </c>
      <c r="DF20" s="272">
        <v>58920</v>
      </c>
      <c r="DG20" s="272">
        <v>1138</v>
      </c>
      <c r="DH20" s="272">
        <v>48336</v>
      </c>
      <c r="DI20" s="272">
        <v>1712275</v>
      </c>
      <c r="DJ20" s="272">
        <v>643723</v>
      </c>
      <c r="DK20" s="272">
        <v>530000</v>
      </c>
      <c r="DL20" s="272">
        <v>538552</v>
      </c>
      <c r="DM20" s="272">
        <v>0</v>
      </c>
      <c r="DN20" s="272">
        <v>0</v>
      </c>
      <c r="DO20" s="272">
        <v>0</v>
      </c>
      <c r="DP20" s="272">
        <v>0</v>
      </c>
      <c r="DQ20" s="272">
        <v>882843</v>
      </c>
      <c r="DR20" s="272">
        <v>0</v>
      </c>
      <c r="DS20" s="272">
        <v>0</v>
      </c>
      <c r="DT20" s="272">
        <v>948588</v>
      </c>
      <c r="DU20" s="272">
        <v>498040</v>
      </c>
      <c r="DV20" s="455">
        <f t="shared" si="11"/>
        <v>0</v>
      </c>
      <c r="DW20" s="272">
        <v>0</v>
      </c>
      <c r="DX20" s="272">
        <v>0</v>
      </c>
      <c r="DY20" s="457" t="s">
        <v>646</v>
      </c>
      <c r="DZ20" s="272">
        <v>212773</v>
      </c>
      <c r="EA20" s="272">
        <v>237775</v>
      </c>
      <c r="EB20" s="272"/>
      <c r="EC20" s="272">
        <v>0</v>
      </c>
      <c r="ED20" s="272">
        <v>27797495</v>
      </c>
      <c r="EF20" s="272">
        <v>750007</v>
      </c>
      <c r="EG20" s="272">
        <v>577081</v>
      </c>
      <c r="EH20" s="272">
        <v>172926</v>
      </c>
      <c r="EI20" s="272">
        <v>-54076</v>
      </c>
      <c r="EJ20" s="272">
        <v>-210353</v>
      </c>
      <c r="EL20" s="272"/>
      <c r="EM20" s="272">
        <v>108922</v>
      </c>
      <c r="EN20" s="272">
        <v>800000</v>
      </c>
      <c r="EO20" s="272">
        <v>40693</v>
      </c>
      <c r="EP20" s="455">
        <f t="shared" si="12"/>
        <v>1212002</v>
      </c>
      <c r="EQ20" s="272">
        <v>15292671</v>
      </c>
      <c r="ER20" s="272">
        <v>-2029781</v>
      </c>
      <c r="ES20" s="272">
        <v>4059670</v>
      </c>
      <c r="ET20" s="272">
        <v>2932601</v>
      </c>
      <c r="EU20" s="272">
        <v>563154</v>
      </c>
      <c r="EV20" s="272">
        <v>2215494</v>
      </c>
      <c r="EW20" s="455">
        <f t="shared" si="13"/>
        <v>4024484</v>
      </c>
      <c r="EX20" s="272">
        <v>3982775</v>
      </c>
      <c r="EY20" s="272">
        <v>549275</v>
      </c>
      <c r="EZ20" s="272">
        <v>3374580</v>
      </c>
      <c r="FA20" s="272">
        <v>41709</v>
      </c>
      <c r="FB20" s="272">
        <v>0</v>
      </c>
      <c r="FC20" s="272">
        <v>2205674</v>
      </c>
      <c r="FD20" s="272">
        <v>1175048</v>
      </c>
      <c r="FE20" s="272">
        <v>355774</v>
      </c>
      <c r="FF20" s="272">
        <v>887984</v>
      </c>
      <c r="FG20" s="455">
        <f t="shared" si="14"/>
        <v>1459959</v>
      </c>
      <c r="FH20" s="272">
        <v>16591467</v>
      </c>
      <c r="FI20" s="384">
        <f t="shared" si="15"/>
        <v>1.3</v>
      </c>
      <c r="FJ20" s="272">
        <v>13674095</v>
      </c>
      <c r="FK20" s="272"/>
      <c r="FL20" s="272">
        <v>9388218</v>
      </c>
      <c r="FM20" s="272">
        <v>10614428</v>
      </c>
      <c r="FN20" s="460">
        <v>0.89400000000000002</v>
      </c>
      <c r="FO20" s="388">
        <v>72.099999999999994</v>
      </c>
      <c r="FP20" s="388">
        <v>28.2</v>
      </c>
      <c r="FQ20" s="388">
        <v>4</v>
      </c>
      <c r="FR20" s="388">
        <v>14.4</v>
      </c>
      <c r="FS20" s="388">
        <v>14.1</v>
      </c>
      <c r="FT20" s="388">
        <v>7.5</v>
      </c>
      <c r="FU20" s="388">
        <v>2.9</v>
      </c>
      <c r="FV20" s="388">
        <v>12.3</v>
      </c>
      <c r="FW20" s="272">
        <v>19453685</v>
      </c>
      <c r="FX20" s="384">
        <f t="shared" si="16"/>
        <v>142.30000000000001</v>
      </c>
      <c r="FY20" s="272">
        <v>8931631</v>
      </c>
      <c r="FZ20" s="272">
        <v>5445682</v>
      </c>
      <c r="GA20" s="272">
        <v>530000</v>
      </c>
      <c r="GB20" s="272">
        <v>2955949</v>
      </c>
      <c r="GC20" s="272"/>
      <c r="GD20" s="272">
        <v>1816906</v>
      </c>
      <c r="GE20" s="384">
        <f t="shared" si="17"/>
        <v>13.3</v>
      </c>
      <c r="GF20" s="388">
        <v>98.8</v>
      </c>
      <c r="GG20" s="388">
        <v>34.5</v>
      </c>
      <c r="GH20" s="388">
        <v>96.5</v>
      </c>
      <c r="GI20" s="272">
        <v>578</v>
      </c>
    </row>
    <row r="21" spans="2:191" x14ac:dyDescent="0.15">
      <c r="B21" s="89" t="s">
        <v>35</v>
      </c>
      <c r="C21" s="272">
        <v>13316283</v>
      </c>
      <c r="D21" s="455">
        <f t="shared" si="0"/>
        <v>5728993</v>
      </c>
      <c r="E21" s="272">
        <v>87706</v>
      </c>
      <c r="F21" s="272">
        <v>5641287</v>
      </c>
      <c r="G21" s="455">
        <f t="shared" si="1"/>
        <v>1729727</v>
      </c>
      <c r="H21" s="272">
        <v>151945</v>
      </c>
      <c r="I21" s="272">
        <v>1577782</v>
      </c>
      <c r="J21" s="272">
        <v>4070693</v>
      </c>
      <c r="K21" s="272">
        <v>2171190</v>
      </c>
      <c r="L21" s="272">
        <v>1378848</v>
      </c>
      <c r="M21" s="272">
        <v>494689</v>
      </c>
      <c r="N21" s="272">
        <v>508907</v>
      </c>
      <c r="O21" s="272">
        <v>1082067</v>
      </c>
      <c r="P21" s="272">
        <v>772208</v>
      </c>
      <c r="Q21" s="272">
        <v>309859</v>
      </c>
      <c r="R21" s="272">
        <v>524111</v>
      </c>
      <c r="S21" s="272">
        <v>346903</v>
      </c>
      <c r="T21" s="455">
        <f t="shared" si="2"/>
        <v>824599</v>
      </c>
      <c r="U21" s="272">
        <v>489700</v>
      </c>
      <c r="V21" s="272"/>
      <c r="W21" s="272"/>
      <c r="X21" s="272"/>
      <c r="Y21" s="272">
        <v>0</v>
      </c>
      <c r="Z21" s="272"/>
      <c r="AA21" s="272">
        <v>334899</v>
      </c>
      <c r="AB21" s="272"/>
      <c r="AC21" s="272">
        <v>4200769</v>
      </c>
      <c r="AD21" s="272">
        <v>3767195</v>
      </c>
      <c r="AE21" s="272">
        <v>433574</v>
      </c>
      <c r="AF21" s="272">
        <v>22956</v>
      </c>
      <c r="AG21" s="272">
        <v>137747</v>
      </c>
      <c r="AH21" s="455">
        <f t="shared" si="3"/>
        <v>359394</v>
      </c>
      <c r="AI21" s="272">
        <v>328338</v>
      </c>
      <c r="AJ21" s="272">
        <v>31056</v>
      </c>
      <c r="AK21" s="272">
        <v>2219339</v>
      </c>
      <c r="AL21" s="455">
        <f t="shared" si="4"/>
        <v>1586578</v>
      </c>
      <c r="AM21" s="272">
        <v>1234371</v>
      </c>
      <c r="AN21" s="272">
        <v>167426</v>
      </c>
      <c r="AO21" s="272">
        <v>0</v>
      </c>
      <c r="AP21" s="272">
        <v>184781</v>
      </c>
      <c r="AQ21" s="272">
        <v>126350</v>
      </c>
      <c r="AR21" s="272">
        <v>0</v>
      </c>
      <c r="AS21" s="272">
        <v>0</v>
      </c>
      <c r="AT21" s="272">
        <v>1361218</v>
      </c>
      <c r="AU21" s="272">
        <v>373662</v>
      </c>
      <c r="AV21" s="272">
        <v>83713</v>
      </c>
      <c r="AW21" s="272">
        <v>5229</v>
      </c>
      <c r="AX21" s="272">
        <v>987556</v>
      </c>
      <c r="AY21" s="272">
        <v>151126</v>
      </c>
      <c r="AZ21" s="272">
        <v>2473340</v>
      </c>
      <c r="BA21" s="272">
        <v>2187167</v>
      </c>
      <c r="BB21" s="272">
        <v>269382</v>
      </c>
      <c r="BC21" s="272">
        <v>625342</v>
      </c>
      <c r="BD21" s="272">
        <v>0</v>
      </c>
      <c r="BE21" s="272">
        <v>0</v>
      </c>
      <c r="BF21" s="272">
        <v>209020</v>
      </c>
      <c r="BG21" s="272">
        <v>0</v>
      </c>
      <c r="BH21" s="272">
        <v>297059</v>
      </c>
      <c r="BI21" s="272">
        <v>91467</v>
      </c>
      <c r="BJ21" s="272">
        <v>666617</v>
      </c>
      <c r="BK21" s="272">
        <v>277331</v>
      </c>
      <c r="BL21" s="272">
        <v>0</v>
      </c>
      <c r="BM21" s="272">
        <v>0</v>
      </c>
      <c r="BN21" s="272">
        <v>1089000</v>
      </c>
      <c r="BO21" s="455">
        <f t="shared" si="5"/>
        <v>1089000</v>
      </c>
      <c r="BP21" s="455">
        <f t="shared" si="6"/>
        <v>0</v>
      </c>
      <c r="BQ21" s="272"/>
      <c r="BR21" s="272"/>
      <c r="BS21" s="272"/>
      <c r="BT21" s="272">
        <v>0</v>
      </c>
      <c r="BU21" s="272">
        <v>28387156</v>
      </c>
      <c r="BV21" s="272"/>
      <c r="BW21" s="272">
        <v>7432051</v>
      </c>
      <c r="BX21" s="272">
        <v>5672654</v>
      </c>
      <c r="BY21" s="272">
        <v>326042</v>
      </c>
      <c r="BZ21" s="272">
        <v>148669</v>
      </c>
      <c r="CA21" s="272">
        <v>3351071</v>
      </c>
      <c r="CB21" s="272">
        <v>333381</v>
      </c>
      <c r="CC21" s="272">
        <v>737443</v>
      </c>
      <c r="CD21" s="272">
        <v>582369</v>
      </c>
      <c r="CE21" s="272">
        <v>1616950</v>
      </c>
      <c r="CF21" s="272">
        <v>0</v>
      </c>
      <c r="CG21" s="272">
        <v>80563</v>
      </c>
      <c r="CH21" s="272">
        <v>2970691</v>
      </c>
      <c r="CI21" s="272">
        <v>1566521</v>
      </c>
      <c r="CJ21" s="455">
        <f t="shared" si="7"/>
        <v>1404170</v>
      </c>
      <c r="CK21" s="272">
        <v>3410056</v>
      </c>
      <c r="CL21" s="272">
        <v>2098492</v>
      </c>
      <c r="CM21" s="272">
        <v>92885</v>
      </c>
      <c r="CN21" s="272">
        <v>736065</v>
      </c>
      <c r="CO21" s="272">
        <v>243292</v>
      </c>
      <c r="CP21" s="272">
        <v>1728931</v>
      </c>
      <c r="CQ21" s="272">
        <v>6964</v>
      </c>
      <c r="CR21" s="272">
        <v>561628</v>
      </c>
      <c r="CS21" s="272">
        <v>384840</v>
      </c>
      <c r="CT21" s="455">
        <f t="shared" si="8"/>
        <v>279212</v>
      </c>
      <c r="CU21" s="272">
        <v>12000</v>
      </c>
      <c r="CV21" s="272">
        <v>267212</v>
      </c>
      <c r="CW21" s="455">
        <f t="shared" si="9"/>
        <v>267212</v>
      </c>
      <c r="CX21" s="272">
        <v>0</v>
      </c>
      <c r="CY21" s="272">
        <v>267212</v>
      </c>
      <c r="CZ21" s="455">
        <f t="shared" si="10"/>
        <v>0</v>
      </c>
      <c r="DA21" s="272">
        <v>0</v>
      </c>
      <c r="DB21" s="272">
        <v>0</v>
      </c>
      <c r="DC21" s="272">
        <v>4473517</v>
      </c>
      <c r="DD21" s="272">
        <v>307670</v>
      </c>
      <c r="DE21" s="272">
        <v>4165847</v>
      </c>
      <c r="DF21" s="272">
        <v>0</v>
      </c>
      <c r="DG21" s="272">
        <v>0</v>
      </c>
      <c r="DH21" s="272">
        <v>0</v>
      </c>
      <c r="DI21" s="272">
        <v>1821588</v>
      </c>
      <c r="DJ21" s="272">
        <v>0</v>
      </c>
      <c r="DK21" s="272">
        <v>244257</v>
      </c>
      <c r="DL21" s="272">
        <v>1577331</v>
      </c>
      <c r="DM21" s="272">
        <v>0</v>
      </c>
      <c r="DN21" s="272">
        <v>0</v>
      </c>
      <c r="DO21" s="272">
        <v>0</v>
      </c>
      <c r="DP21" s="272">
        <v>0</v>
      </c>
      <c r="DQ21" s="272">
        <v>264460</v>
      </c>
      <c r="DR21" s="272">
        <v>0</v>
      </c>
      <c r="DS21" s="272">
        <v>0</v>
      </c>
      <c r="DT21" s="272">
        <v>2141048</v>
      </c>
      <c r="DU21" s="272">
        <v>1392000</v>
      </c>
      <c r="DV21" s="455">
        <f t="shared" si="11"/>
        <v>0</v>
      </c>
      <c r="DW21" s="272">
        <v>0</v>
      </c>
      <c r="DX21" s="272">
        <v>0</v>
      </c>
      <c r="DY21" s="457" t="s">
        <v>646</v>
      </c>
      <c r="DZ21" s="272">
        <v>423003</v>
      </c>
      <c r="EA21" s="272">
        <v>277076</v>
      </c>
      <c r="EB21" s="272"/>
      <c r="EC21" s="272">
        <v>0</v>
      </c>
      <c r="ED21" s="272">
        <v>27836705</v>
      </c>
      <c r="EF21" s="272">
        <v>550451</v>
      </c>
      <c r="EG21" s="272">
        <v>320993</v>
      </c>
      <c r="EH21" s="272">
        <v>229458</v>
      </c>
      <c r="EI21" s="272">
        <v>137991</v>
      </c>
      <c r="EJ21" s="272">
        <v>137991</v>
      </c>
      <c r="EL21" s="272"/>
      <c r="EM21" s="272">
        <v>134871</v>
      </c>
      <c r="EN21" s="272">
        <v>625342</v>
      </c>
      <c r="EO21" s="272">
        <v>2223373</v>
      </c>
      <c r="EP21" s="455">
        <f t="shared" si="12"/>
        <v>662689</v>
      </c>
      <c r="EQ21" s="272">
        <v>18888718</v>
      </c>
      <c r="ER21" s="272">
        <v>-3488448</v>
      </c>
      <c r="ES21" s="272">
        <v>6869225</v>
      </c>
      <c r="ET21" s="272">
        <v>5149187</v>
      </c>
      <c r="EU21" s="272">
        <v>1002618</v>
      </c>
      <c r="EV21" s="272">
        <v>2835007</v>
      </c>
      <c r="EW21" s="455">
        <f t="shared" si="13"/>
        <v>2904098</v>
      </c>
      <c r="EX21" s="272">
        <v>2904098</v>
      </c>
      <c r="EY21" s="272">
        <v>81091</v>
      </c>
      <c r="EZ21" s="272">
        <v>2823007</v>
      </c>
      <c r="FA21" s="272">
        <v>0</v>
      </c>
      <c r="FB21" s="272">
        <v>0</v>
      </c>
      <c r="FC21" s="272">
        <v>3084507</v>
      </c>
      <c r="FD21" s="272">
        <v>1460172</v>
      </c>
      <c r="FE21" s="272">
        <v>6964</v>
      </c>
      <c r="FF21" s="272">
        <v>2021872</v>
      </c>
      <c r="FG21" s="455">
        <f t="shared" si="14"/>
        <v>1663680</v>
      </c>
      <c r="FH21" s="272">
        <v>21841179</v>
      </c>
      <c r="FI21" s="384">
        <f t="shared" si="15"/>
        <v>1.4</v>
      </c>
      <c r="FJ21" s="272">
        <v>16851352</v>
      </c>
      <c r="FK21" s="272"/>
      <c r="FL21" s="272">
        <v>9864605</v>
      </c>
      <c r="FM21" s="272">
        <v>13606386</v>
      </c>
      <c r="FN21" s="460">
        <v>0.70699999999999996</v>
      </c>
      <c r="FO21" s="388">
        <v>91.8</v>
      </c>
      <c r="FP21" s="388">
        <v>38.9</v>
      </c>
      <c r="FQ21" s="388">
        <v>5.7</v>
      </c>
      <c r="FR21" s="388">
        <v>15</v>
      </c>
      <c r="FS21" s="388">
        <v>17.2</v>
      </c>
      <c r="FT21" s="388">
        <v>6.3</v>
      </c>
      <c r="FU21" s="388">
        <v>7.6</v>
      </c>
      <c r="FV21" s="388">
        <v>12.8</v>
      </c>
      <c r="FW21" s="272">
        <v>23217375</v>
      </c>
      <c r="FX21" s="384">
        <f t="shared" si="16"/>
        <v>137.80000000000001</v>
      </c>
      <c r="FY21" s="272">
        <v>6860492</v>
      </c>
      <c r="FZ21" s="272"/>
      <c r="GA21" s="272">
        <v>934758</v>
      </c>
      <c r="GB21" s="272">
        <v>5925734</v>
      </c>
      <c r="GC21" s="272"/>
      <c r="GD21" s="272">
        <v>1953956</v>
      </c>
      <c r="GE21" s="384">
        <f t="shared" si="17"/>
        <v>11.6</v>
      </c>
      <c r="GF21" s="388">
        <v>98.2</v>
      </c>
      <c r="GG21" s="388">
        <v>29</v>
      </c>
      <c r="GH21" s="388">
        <v>94.9</v>
      </c>
      <c r="GI21" s="272">
        <v>911</v>
      </c>
    </row>
    <row r="22" spans="2:191" x14ac:dyDescent="0.15">
      <c r="B22" s="89" t="s">
        <v>37</v>
      </c>
      <c r="C22" s="272">
        <v>16902155</v>
      </c>
      <c r="D22" s="455">
        <f t="shared" si="0"/>
        <v>5409071</v>
      </c>
      <c r="E22" s="272">
        <v>84983</v>
      </c>
      <c r="F22" s="272">
        <v>5324088</v>
      </c>
      <c r="G22" s="455">
        <f t="shared" si="1"/>
        <v>2995153</v>
      </c>
      <c r="H22" s="272">
        <v>206153</v>
      </c>
      <c r="I22" s="272">
        <v>2789000</v>
      </c>
      <c r="J22" s="272">
        <v>6171172</v>
      </c>
      <c r="K22" s="272">
        <v>3214355</v>
      </c>
      <c r="L22" s="272">
        <v>1880051</v>
      </c>
      <c r="M22" s="272">
        <v>978979</v>
      </c>
      <c r="N22" s="272">
        <v>563299</v>
      </c>
      <c r="O22" s="272">
        <v>1404213</v>
      </c>
      <c r="P22" s="272">
        <v>989121</v>
      </c>
      <c r="Q22" s="272">
        <v>415092</v>
      </c>
      <c r="R22" s="272">
        <v>574610</v>
      </c>
      <c r="S22" s="272">
        <v>402734</v>
      </c>
      <c r="T22" s="455">
        <f t="shared" si="2"/>
        <v>830383</v>
      </c>
      <c r="U22" s="272">
        <v>463117</v>
      </c>
      <c r="V22" s="272"/>
      <c r="W22" s="272"/>
      <c r="X22" s="272"/>
      <c r="Y22" s="272">
        <v>43158</v>
      </c>
      <c r="Z22" s="272"/>
      <c r="AA22" s="272">
        <v>324108</v>
      </c>
      <c r="AB22" s="272"/>
      <c r="AC22" s="272">
        <v>1530907</v>
      </c>
      <c r="AD22" s="272">
        <v>1195548</v>
      </c>
      <c r="AE22" s="272">
        <v>335359</v>
      </c>
      <c r="AF22" s="272">
        <v>25370</v>
      </c>
      <c r="AG22" s="272">
        <v>289941</v>
      </c>
      <c r="AH22" s="455">
        <f t="shared" si="3"/>
        <v>637762</v>
      </c>
      <c r="AI22" s="272">
        <v>273335</v>
      </c>
      <c r="AJ22" s="272">
        <v>364427</v>
      </c>
      <c r="AK22" s="272">
        <v>2669707</v>
      </c>
      <c r="AL22" s="455">
        <f t="shared" si="4"/>
        <v>1790598</v>
      </c>
      <c r="AM22" s="272">
        <v>1391610</v>
      </c>
      <c r="AN22" s="272">
        <v>297561</v>
      </c>
      <c r="AO22" s="272">
        <v>0</v>
      </c>
      <c r="AP22" s="272">
        <v>101427</v>
      </c>
      <c r="AQ22" s="272">
        <v>254789</v>
      </c>
      <c r="AR22" s="272">
        <v>5315</v>
      </c>
      <c r="AS22" s="272">
        <v>0</v>
      </c>
      <c r="AT22" s="272">
        <v>1732525</v>
      </c>
      <c r="AU22" s="272">
        <v>391556</v>
      </c>
      <c r="AV22" s="272">
        <v>170244</v>
      </c>
      <c r="AW22" s="272">
        <v>5656</v>
      </c>
      <c r="AX22" s="272">
        <v>1340969</v>
      </c>
      <c r="AY22" s="272">
        <v>425353</v>
      </c>
      <c r="AZ22" s="272">
        <v>830014</v>
      </c>
      <c r="BA22" s="272">
        <v>734951</v>
      </c>
      <c r="BB22" s="272">
        <v>293698</v>
      </c>
      <c r="BC22" s="272">
        <v>200000</v>
      </c>
      <c r="BD22" s="272">
        <v>200000</v>
      </c>
      <c r="BE22" s="272">
        <v>0</v>
      </c>
      <c r="BF22" s="272">
        <v>0</v>
      </c>
      <c r="BG22" s="272">
        <v>0</v>
      </c>
      <c r="BH22" s="272">
        <v>0</v>
      </c>
      <c r="BI22" s="272">
        <v>0</v>
      </c>
      <c r="BJ22" s="272">
        <v>1767064</v>
      </c>
      <c r="BK22" s="272">
        <v>1584621</v>
      </c>
      <c r="BL22" s="272">
        <v>2480</v>
      </c>
      <c r="BM22" s="272">
        <v>0</v>
      </c>
      <c r="BN22" s="272">
        <v>877229</v>
      </c>
      <c r="BO22" s="455">
        <f t="shared" si="5"/>
        <v>877229</v>
      </c>
      <c r="BP22" s="455">
        <f t="shared" si="6"/>
        <v>0</v>
      </c>
      <c r="BQ22" s="272"/>
      <c r="BR22" s="272"/>
      <c r="BS22" s="272"/>
      <c r="BT22" s="272">
        <v>0</v>
      </c>
      <c r="BU22" s="272">
        <v>29161365</v>
      </c>
      <c r="BV22" s="272"/>
      <c r="BW22" s="272">
        <v>8229754</v>
      </c>
      <c r="BX22" s="272">
        <v>6542261</v>
      </c>
      <c r="BY22" s="272">
        <v>164155</v>
      </c>
      <c r="BZ22" s="272">
        <v>146782</v>
      </c>
      <c r="CA22" s="272">
        <v>3689359</v>
      </c>
      <c r="CB22" s="272">
        <v>251861</v>
      </c>
      <c r="CC22" s="272">
        <v>507428</v>
      </c>
      <c r="CD22" s="272">
        <v>1039664</v>
      </c>
      <c r="CE22" s="272">
        <v>1808299</v>
      </c>
      <c r="CF22" s="272">
        <v>856</v>
      </c>
      <c r="CG22" s="272">
        <v>81141</v>
      </c>
      <c r="CH22" s="272">
        <v>3681591</v>
      </c>
      <c r="CI22" s="272">
        <v>1899734</v>
      </c>
      <c r="CJ22" s="455">
        <f t="shared" si="7"/>
        <v>1781857</v>
      </c>
      <c r="CK22" s="272">
        <v>2554935</v>
      </c>
      <c r="CL22" s="272">
        <v>1492466</v>
      </c>
      <c r="CM22" s="272">
        <v>30451</v>
      </c>
      <c r="CN22" s="272">
        <v>642527</v>
      </c>
      <c r="CO22" s="272">
        <v>166268</v>
      </c>
      <c r="CP22" s="272">
        <v>2848322</v>
      </c>
      <c r="CQ22" s="272">
        <v>1006365</v>
      </c>
      <c r="CR22" s="272">
        <v>462980</v>
      </c>
      <c r="CS22" s="272">
        <v>289409</v>
      </c>
      <c r="CT22" s="455">
        <f t="shared" si="8"/>
        <v>946952</v>
      </c>
      <c r="CU22" s="272">
        <v>21933</v>
      </c>
      <c r="CV22" s="272">
        <v>925019</v>
      </c>
      <c r="CW22" s="455">
        <f t="shared" si="9"/>
        <v>916952</v>
      </c>
      <c r="CX22" s="272">
        <v>21933</v>
      </c>
      <c r="CY22" s="272">
        <v>895019</v>
      </c>
      <c r="CZ22" s="455">
        <f t="shared" si="10"/>
        <v>0</v>
      </c>
      <c r="DA22" s="272">
        <v>0</v>
      </c>
      <c r="DB22" s="272">
        <v>0</v>
      </c>
      <c r="DC22" s="272">
        <v>3103848</v>
      </c>
      <c r="DD22" s="272">
        <v>543382</v>
      </c>
      <c r="DE22" s="272">
        <v>2361847</v>
      </c>
      <c r="DF22" s="272">
        <v>65890</v>
      </c>
      <c r="DG22" s="272">
        <v>132729</v>
      </c>
      <c r="DH22" s="272">
        <v>45722</v>
      </c>
      <c r="DI22" s="272">
        <v>1715876</v>
      </c>
      <c r="DJ22" s="272">
        <v>187240</v>
      </c>
      <c r="DK22" s="272">
        <v>701000</v>
      </c>
      <c r="DL22" s="272">
        <v>827636</v>
      </c>
      <c r="DM22" s="272">
        <v>0</v>
      </c>
      <c r="DN22" s="272">
        <v>0</v>
      </c>
      <c r="DO22" s="272">
        <v>0</v>
      </c>
      <c r="DP22" s="272">
        <v>0</v>
      </c>
      <c r="DQ22" s="272">
        <v>1531466</v>
      </c>
      <c r="DR22" s="272">
        <v>0</v>
      </c>
      <c r="DS22" s="272">
        <v>0</v>
      </c>
      <c r="DT22" s="272">
        <v>1657874</v>
      </c>
      <c r="DU22" s="272">
        <v>1083563</v>
      </c>
      <c r="DV22" s="455">
        <f t="shared" si="11"/>
        <v>0</v>
      </c>
      <c r="DW22" s="272">
        <v>0</v>
      </c>
      <c r="DX22" s="272">
        <v>0</v>
      </c>
      <c r="DY22" s="457" t="s">
        <v>646</v>
      </c>
      <c r="DZ22" s="272">
        <v>320133</v>
      </c>
      <c r="EA22" s="272">
        <v>248843</v>
      </c>
      <c r="EB22" s="272"/>
      <c r="EC22" s="272">
        <v>1524884</v>
      </c>
      <c r="ED22" s="272">
        <v>30749899</v>
      </c>
      <c r="EF22" s="272">
        <v>-1588534</v>
      </c>
      <c r="EG22" s="272">
        <v>77336</v>
      </c>
      <c r="EH22" s="272">
        <v>-1665870</v>
      </c>
      <c r="EI22" s="272">
        <v>-103159</v>
      </c>
      <c r="EJ22" s="272">
        <v>-115919</v>
      </c>
      <c r="EL22" s="272"/>
      <c r="EM22" s="272">
        <v>124397</v>
      </c>
      <c r="EN22" s="272">
        <v>200000</v>
      </c>
      <c r="EO22" s="272">
        <v>714884</v>
      </c>
      <c r="EP22" s="455">
        <f t="shared" si="12"/>
        <v>562017</v>
      </c>
      <c r="EQ22" s="272">
        <v>19863425</v>
      </c>
      <c r="ER22" s="272">
        <v>-1451531</v>
      </c>
      <c r="ES22" s="272">
        <v>7408461</v>
      </c>
      <c r="ET22" s="272">
        <v>5735005</v>
      </c>
      <c r="EU22" s="272">
        <v>1113914</v>
      </c>
      <c r="EV22" s="272">
        <v>3397873</v>
      </c>
      <c r="EW22" s="455">
        <f t="shared" si="13"/>
        <v>1574505</v>
      </c>
      <c r="EX22" s="272">
        <v>1534098</v>
      </c>
      <c r="EY22" s="272">
        <v>102124</v>
      </c>
      <c r="EZ22" s="272">
        <v>1388384</v>
      </c>
      <c r="FA22" s="272">
        <v>40407</v>
      </c>
      <c r="FB22" s="272">
        <v>0</v>
      </c>
      <c r="FC22" s="272">
        <v>2089353</v>
      </c>
      <c r="FD22" s="272">
        <v>2585524</v>
      </c>
      <c r="FE22" s="272">
        <v>1006365</v>
      </c>
      <c r="FF22" s="272">
        <v>1533081</v>
      </c>
      <c r="FG22" s="455">
        <f t="shared" si="14"/>
        <v>3254579</v>
      </c>
      <c r="FH22" s="272">
        <v>22957290</v>
      </c>
      <c r="FI22" s="384">
        <f t="shared" si="15"/>
        <v>-9.9</v>
      </c>
      <c r="FJ22" s="272">
        <v>16831241</v>
      </c>
      <c r="FK22" s="272"/>
      <c r="FL22" s="272">
        <v>11776091</v>
      </c>
      <c r="FM22" s="272">
        <v>12973155</v>
      </c>
      <c r="FN22" s="460">
        <v>0.873</v>
      </c>
      <c r="FO22" s="388">
        <v>91.2</v>
      </c>
      <c r="FP22" s="388">
        <v>40.700000000000003</v>
      </c>
      <c r="FQ22" s="388">
        <v>6.1</v>
      </c>
      <c r="FR22" s="388">
        <v>18.7</v>
      </c>
      <c r="FS22" s="388">
        <v>10.8</v>
      </c>
      <c r="FT22" s="388">
        <v>7.8</v>
      </c>
      <c r="FU22" s="388">
        <v>6.2</v>
      </c>
      <c r="FV22" s="388">
        <v>14.9</v>
      </c>
      <c r="FW22" s="272">
        <v>25970967</v>
      </c>
      <c r="FX22" s="384">
        <f t="shared" si="16"/>
        <v>154.30000000000001</v>
      </c>
      <c r="FY22" s="272">
        <v>3190842</v>
      </c>
      <c r="FZ22" s="272">
        <v>1100500</v>
      </c>
      <c r="GA22" s="272">
        <v>701000</v>
      </c>
      <c r="GB22" s="272">
        <v>1389342</v>
      </c>
      <c r="GC22" s="272"/>
      <c r="GD22" s="272">
        <v>11314405</v>
      </c>
      <c r="GE22" s="384">
        <f t="shared" si="17"/>
        <v>67.2</v>
      </c>
      <c r="GF22" s="388">
        <v>98.6</v>
      </c>
      <c r="GG22" s="388">
        <v>36.799999999999997</v>
      </c>
      <c r="GH22" s="388">
        <v>96.6</v>
      </c>
      <c r="GI22" s="272">
        <v>1036</v>
      </c>
    </row>
    <row r="23" spans="2:191" x14ac:dyDescent="0.15">
      <c r="B23" s="89" t="s">
        <v>39</v>
      </c>
      <c r="C23" s="272">
        <v>14694688</v>
      </c>
      <c r="D23" s="455">
        <f t="shared" si="0"/>
        <v>6727473</v>
      </c>
      <c r="E23" s="272">
        <v>88668</v>
      </c>
      <c r="F23" s="272">
        <v>6638805</v>
      </c>
      <c r="G23" s="455">
        <f t="shared" si="1"/>
        <v>1167182</v>
      </c>
      <c r="H23" s="272">
        <v>146056</v>
      </c>
      <c r="I23" s="272">
        <v>1021126</v>
      </c>
      <c r="J23" s="272">
        <v>4645768</v>
      </c>
      <c r="K23" s="272">
        <v>2347508</v>
      </c>
      <c r="L23" s="272">
        <v>1781720</v>
      </c>
      <c r="M23" s="272">
        <v>484020</v>
      </c>
      <c r="N23" s="272">
        <v>547854</v>
      </c>
      <c r="O23" s="272">
        <v>1144266</v>
      </c>
      <c r="P23" s="272">
        <v>778456</v>
      </c>
      <c r="Q23" s="272">
        <v>365810</v>
      </c>
      <c r="R23" s="272">
        <v>560543</v>
      </c>
      <c r="S23" s="272">
        <v>350254</v>
      </c>
      <c r="T23" s="455">
        <f t="shared" si="2"/>
        <v>918413</v>
      </c>
      <c r="U23" s="272">
        <v>522068</v>
      </c>
      <c r="V23" s="272"/>
      <c r="W23" s="272"/>
      <c r="X23" s="272"/>
      <c r="Y23" s="272">
        <v>0</v>
      </c>
      <c r="Z23" s="272"/>
      <c r="AA23" s="272">
        <v>396345</v>
      </c>
      <c r="AB23" s="272"/>
      <c r="AC23" s="272">
        <v>4464390</v>
      </c>
      <c r="AD23" s="272">
        <v>3613308</v>
      </c>
      <c r="AE23" s="272">
        <v>851082</v>
      </c>
      <c r="AF23" s="272">
        <v>22829</v>
      </c>
      <c r="AG23" s="272">
        <v>347887</v>
      </c>
      <c r="AH23" s="455">
        <f t="shared" si="3"/>
        <v>614996</v>
      </c>
      <c r="AI23" s="272">
        <v>557066</v>
      </c>
      <c r="AJ23" s="272">
        <v>57930</v>
      </c>
      <c r="AK23" s="272">
        <v>4167234</v>
      </c>
      <c r="AL23" s="455">
        <f t="shared" si="4"/>
        <v>2089718</v>
      </c>
      <c r="AM23" s="272">
        <v>1764493</v>
      </c>
      <c r="AN23" s="272">
        <v>261378</v>
      </c>
      <c r="AO23" s="272">
        <v>0</v>
      </c>
      <c r="AP23" s="272">
        <v>63847</v>
      </c>
      <c r="AQ23" s="272">
        <v>1228528</v>
      </c>
      <c r="AR23" s="272">
        <v>2604</v>
      </c>
      <c r="AS23" s="272">
        <v>261634</v>
      </c>
      <c r="AT23" s="272">
        <v>2269842</v>
      </c>
      <c r="AU23" s="272">
        <v>429092</v>
      </c>
      <c r="AV23" s="272">
        <v>130689</v>
      </c>
      <c r="AW23" s="272">
        <v>11774</v>
      </c>
      <c r="AX23" s="272">
        <v>1840750</v>
      </c>
      <c r="AY23" s="272">
        <v>500766</v>
      </c>
      <c r="AZ23" s="272">
        <v>478477</v>
      </c>
      <c r="BA23" s="272">
        <v>164205</v>
      </c>
      <c r="BB23" s="272">
        <v>391606</v>
      </c>
      <c r="BC23" s="272">
        <v>600</v>
      </c>
      <c r="BD23" s="272">
        <v>0</v>
      </c>
      <c r="BE23" s="272">
        <v>0</v>
      </c>
      <c r="BF23" s="272">
        <v>600</v>
      </c>
      <c r="BG23" s="272">
        <v>0</v>
      </c>
      <c r="BH23" s="272">
        <v>191444</v>
      </c>
      <c r="BI23" s="272">
        <v>191397</v>
      </c>
      <c r="BJ23" s="272">
        <v>1245566</v>
      </c>
      <c r="BK23" s="272">
        <v>72444</v>
      </c>
      <c r="BL23" s="272">
        <v>0</v>
      </c>
      <c r="BM23" s="272">
        <v>0</v>
      </c>
      <c r="BN23" s="272">
        <v>2121966</v>
      </c>
      <c r="BO23" s="455">
        <f t="shared" si="5"/>
        <v>2121966</v>
      </c>
      <c r="BP23" s="455">
        <f t="shared" si="6"/>
        <v>0</v>
      </c>
      <c r="BQ23" s="272"/>
      <c r="BR23" s="272"/>
      <c r="BS23" s="272"/>
      <c r="BT23" s="272">
        <v>0</v>
      </c>
      <c r="BU23" s="272">
        <v>32752115</v>
      </c>
      <c r="BV23" s="272"/>
      <c r="BW23" s="272">
        <v>10048249</v>
      </c>
      <c r="BX23" s="272">
        <v>7875886</v>
      </c>
      <c r="BY23" s="272">
        <v>377025</v>
      </c>
      <c r="BZ23" s="272">
        <v>158355</v>
      </c>
      <c r="CA23" s="272">
        <v>4164851</v>
      </c>
      <c r="CB23" s="272">
        <v>381391</v>
      </c>
      <c r="CC23" s="272">
        <v>591657</v>
      </c>
      <c r="CD23" s="272">
        <v>749124</v>
      </c>
      <c r="CE23" s="272">
        <v>2343345</v>
      </c>
      <c r="CF23" s="272">
        <v>3001</v>
      </c>
      <c r="CG23" s="272">
        <v>95893</v>
      </c>
      <c r="CH23" s="272">
        <v>4410425</v>
      </c>
      <c r="CI23" s="272">
        <v>2293823</v>
      </c>
      <c r="CJ23" s="455">
        <f t="shared" si="7"/>
        <v>2116602</v>
      </c>
      <c r="CK23" s="272">
        <v>2254604</v>
      </c>
      <c r="CL23" s="272">
        <v>1014915</v>
      </c>
      <c r="CM23" s="272">
        <v>72177</v>
      </c>
      <c r="CN23" s="272">
        <v>703575</v>
      </c>
      <c r="CO23" s="272">
        <v>145348</v>
      </c>
      <c r="CP23" s="272">
        <v>2602399</v>
      </c>
      <c r="CQ23" s="272">
        <v>1066744</v>
      </c>
      <c r="CR23" s="272">
        <v>560807</v>
      </c>
      <c r="CS23" s="272">
        <v>419149</v>
      </c>
      <c r="CT23" s="455">
        <f t="shared" si="8"/>
        <v>496658</v>
      </c>
      <c r="CU23" s="272">
        <v>13000</v>
      </c>
      <c r="CV23" s="272">
        <v>483658</v>
      </c>
      <c r="CW23" s="455">
        <f t="shared" si="9"/>
        <v>471792</v>
      </c>
      <c r="CX23" s="272">
        <v>0</v>
      </c>
      <c r="CY23" s="272">
        <v>471792</v>
      </c>
      <c r="CZ23" s="455">
        <f t="shared" si="10"/>
        <v>0</v>
      </c>
      <c r="DA23" s="272">
        <v>0</v>
      </c>
      <c r="DB23" s="272">
        <v>0</v>
      </c>
      <c r="DC23" s="272">
        <v>5407630</v>
      </c>
      <c r="DD23" s="272">
        <v>3004278</v>
      </c>
      <c r="DE23" s="272">
        <v>2403352</v>
      </c>
      <c r="DF23" s="272">
        <v>0</v>
      </c>
      <c r="DG23" s="272">
        <v>0</v>
      </c>
      <c r="DH23" s="272">
        <v>54373</v>
      </c>
      <c r="DI23" s="272">
        <v>992270</v>
      </c>
      <c r="DJ23" s="272">
        <v>100000</v>
      </c>
      <c r="DK23" s="272">
        <v>550000</v>
      </c>
      <c r="DL23" s="272">
        <v>342270</v>
      </c>
      <c r="DM23" s="272">
        <v>70000</v>
      </c>
      <c r="DN23" s="272">
        <v>0</v>
      </c>
      <c r="DO23" s="272">
        <v>0</v>
      </c>
      <c r="DP23" s="272">
        <v>0</v>
      </c>
      <c r="DQ23" s="272">
        <v>1071400</v>
      </c>
      <c r="DR23" s="272">
        <v>1000000</v>
      </c>
      <c r="DS23" s="272">
        <v>1000000</v>
      </c>
      <c r="DT23" s="272">
        <v>1327721</v>
      </c>
      <c r="DU23" s="272">
        <v>785619</v>
      </c>
      <c r="DV23" s="455">
        <f t="shared" si="11"/>
        <v>0</v>
      </c>
      <c r="DW23" s="272">
        <v>0</v>
      </c>
      <c r="DX23" s="272">
        <v>0</v>
      </c>
      <c r="DY23" s="457" t="s">
        <v>646</v>
      </c>
      <c r="DZ23" s="272">
        <v>263476</v>
      </c>
      <c r="EA23" s="272">
        <v>278626</v>
      </c>
      <c r="EB23" s="272"/>
      <c r="EC23" s="272">
        <v>0</v>
      </c>
      <c r="ED23" s="272">
        <v>32549270</v>
      </c>
      <c r="EF23" s="272">
        <v>202845</v>
      </c>
      <c r="EG23" s="272">
        <v>182</v>
      </c>
      <c r="EH23" s="272">
        <v>202663</v>
      </c>
      <c r="EI23" s="272">
        <v>11266</v>
      </c>
      <c r="EJ23" s="272">
        <v>111266</v>
      </c>
      <c r="EL23" s="272"/>
      <c r="EM23" s="272">
        <v>145917</v>
      </c>
      <c r="EN23" s="272">
        <v>0</v>
      </c>
      <c r="EO23" s="272">
        <v>478477</v>
      </c>
      <c r="EP23" s="455">
        <f t="shared" si="12"/>
        <v>1022895</v>
      </c>
      <c r="EQ23" s="272">
        <v>20922497</v>
      </c>
      <c r="ER23" s="272">
        <v>-1216909</v>
      </c>
      <c r="ES23" s="272">
        <v>9058780</v>
      </c>
      <c r="ET23" s="272">
        <v>7100333</v>
      </c>
      <c r="EU23" s="272">
        <v>1326415</v>
      </c>
      <c r="EV23" s="272">
        <v>3598499</v>
      </c>
      <c r="EW23" s="455">
        <f t="shared" si="13"/>
        <v>1504911</v>
      </c>
      <c r="EX23" s="272">
        <v>1461960</v>
      </c>
      <c r="EY23" s="272">
        <v>113090</v>
      </c>
      <c r="EZ23" s="272">
        <v>1348870</v>
      </c>
      <c r="FA23" s="272">
        <v>42951</v>
      </c>
      <c r="FB23" s="272">
        <v>0</v>
      </c>
      <c r="FC23" s="272">
        <v>1865652</v>
      </c>
      <c r="FD23" s="272">
        <v>2343811</v>
      </c>
      <c r="FE23" s="272">
        <v>1066744</v>
      </c>
      <c r="FF23" s="272">
        <v>1185214</v>
      </c>
      <c r="FG23" s="455">
        <f t="shared" si="14"/>
        <v>1075100</v>
      </c>
      <c r="FH23" s="272">
        <v>21958382</v>
      </c>
      <c r="FI23" s="384">
        <f t="shared" si="15"/>
        <v>1.1000000000000001</v>
      </c>
      <c r="FJ23" s="272">
        <v>17902006</v>
      </c>
      <c r="FK23" s="272"/>
      <c r="FL23" s="272">
        <v>10774370</v>
      </c>
      <c r="FM23" s="272">
        <v>14385607</v>
      </c>
      <c r="FN23" s="460">
        <v>0.72099999999999997</v>
      </c>
      <c r="FO23" s="388">
        <v>96.6</v>
      </c>
      <c r="FP23" s="388">
        <v>47.2</v>
      </c>
      <c r="FQ23" s="388">
        <v>7</v>
      </c>
      <c r="FR23" s="388">
        <v>19</v>
      </c>
      <c r="FS23" s="388">
        <v>9.4</v>
      </c>
      <c r="FT23" s="388">
        <v>10.8</v>
      </c>
      <c r="FU23" s="388">
        <v>2.8</v>
      </c>
      <c r="FV23" s="388">
        <v>15.2</v>
      </c>
      <c r="FW23" s="272">
        <v>33405338</v>
      </c>
      <c r="FX23" s="384">
        <f t="shared" si="16"/>
        <v>186.6</v>
      </c>
      <c r="FY23" s="272">
        <v>6476376</v>
      </c>
      <c r="FZ23" s="272">
        <v>100000</v>
      </c>
      <c r="GA23" s="272">
        <v>550000</v>
      </c>
      <c r="GB23" s="272">
        <v>5826376</v>
      </c>
      <c r="GC23" s="272"/>
      <c r="GD23" s="272">
        <v>6093225</v>
      </c>
      <c r="GE23" s="384">
        <f t="shared" si="17"/>
        <v>34</v>
      </c>
      <c r="GF23" s="388">
        <v>98</v>
      </c>
      <c r="GG23" s="388">
        <v>46.6</v>
      </c>
      <c r="GH23" s="388">
        <v>95.9</v>
      </c>
      <c r="GI23" s="272">
        <v>1307</v>
      </c>
    </row>
    <row r="24" spans="2:191" x14ac:dyDescent="0.15">
      <c r="B24" s="89" t="s">
        <v>41</v>
      </c>
      <c r="C24" s="272">
        <v>20209690</v>
      </c>
      <c r="D24" s="455">
        <f t="shared" si="0"/>
        <v>10520173</v>
      </c>
      <c r="E24" s="272">
        <v>78729</v>
      </c>
      <c r="F24" s="272">
        <v>10441444</v>
      </c>
      <c r="G24" s="455">
        <f t="shared" si="1"/>
        <v>1676706</v>
      </c>
      <c r="H24" s="272">
        <v>180565</v>
      </c>
      <c r="I24" s="272">
        <v>1496141</v>
      </c>
      <c r="J24" s="272">
        <v>5465447</v>
      </c>
      <c r="K24" s="272">
        <v>2645935</v>
      </c>
      <c r="L24" s="272">
        <v>2415513</v>
      </c>
      <c r="M24" s="272">
        <v>375261</v>
      </c>
      <c r="N24" s="272">
        <v>353576</v>
      </c>
      <c r="O24" s="272">
        <v>1603665</v>
      </c>
      <c r="P24" s="272">
        <v>1063110</v>
      </c>
      <c r="Q24" s="272">
        <v>540555</v>
      </c>
      <c r="R24" s="272">
        <v>485769</v>
      </c>
      <c r="S24" s="272">
        <v>290470</v>
      </c>
      <c r="T24" s="455">
        <f t="shared" si="2"/>
        <v>1176994</v>
      </c>
      <c r="U24" s="272">
        <v>802932</v>
      </c>
      <c r="V24" s="272"/>
      <c r="W24" s="272"/>
      <c r="X24" s="272"/>
      <c r="Y24" s="272">
        <v>6168</v>
      </c>
      <c r="Z24" s="272"/>
      <c r="AA24" s="272">
        <v>367894</v>
      </c>
      <c r="AB24" s="272"/>
      <c r="AC24" s="272">
        <v>80293</v>
      </c>
      <c r="AD24" s="272">
        <v>0</v>
      </c>
      <c r="AE24" s="272">
        <v>80293</v>
      </c>
      <c r="AF24" s="272">
        <v>22177</v>
      </c>
      <c r="AG24" s="272">
        <v>117989</v>
      </c>
      <c r="AH24" s="455">
        <f t="shared" si="3"/>
        <v>442106</v>
      </c>
      <c r="AI24" s="272">
        <v>357066</v>
      </c>
      <c r="AJ24" s="272">
        <v>85040</v>
      </c>
      <c r="AK24" s="272">
        <v>1562270</v>
      </c>
      <c r="AL24" s="455">
        <f t="shared" si="4"/>
        <v>719740</v>
      </c>
      <c r="AM24" s="272">
        <v>426023</v>
      </c>
      <c r="AN24" s="272">
        <v>177856</v>
      </c>
      <c r="AO24" s="272">
        <v>0</v>
      </c>
      <c r="AP24" s="272">
        <v>115861</v>
      </c>
      <c r="AQ24" s="272">
        <v>514629</v>
      </c>
      <c r="AR24" s="272">
        <v>0</v>
      </c>
      <c r="AS24" s="272">
        <v>0</v>
      </c>
      <c r="AT24" s="272">
        <v>1214594</v>
      </c>
      <c r="AU24" s="272">
        <v>310052</v>
      </c>
      <c r="AV24" s="272">
        <v>52738</v>
      </c>
      <c r="AW24" s="272">
        <v>0</v>
      </c>
      <c r="AX24" s="272">
        <v>904542</v>
      </c>
      <c r="AY24" s="272">
        <v>141400</v>
      </c>
      <c r="AZ24" s="272">
        <v>1402090</v>
      </c>
      <c r="BA24" s="272">
        <v>5254</v>
      </c>
      <c r="BB24" s="272">
        <v>154709</v>
      </c>
      <c r="BC24" s="272">
        <v>1991129</v>
      </c>
      <c r="BD24" s="272">
        <v>0</v>
      </c>
      <c r="BE24" s="272">
        <v>600000</v>
      </c>
      <c r="BF24" s="272">
        <v>1361932</v>
      </c>
      <c r="BG24" s="272">
        <v>0</v>
      </c>
      <c r="BH24" s="272">
        <v>615301</v>
      </c>
      <c r="BI24" s="272">
        <v>493154</v>
      </c>
      <c r="BJ24" s="272">
        <v>8878419</v>
      </c>
      <c r="BK24" s="272">
        <v>2065434</v>
      </c>
      <c r="BL24" s="272">
        <v>8451</v>
      </c>
      <c r="BM24" s="272">
        <v>6500000</v>
      </c>
      <c r="BN24" s="272">
        <v>626862</v>
      </c>
      <c r="BO24" s="455">
        <f t="shared" si="5"/>
        <v>626862</v>
      </c>
      <c r="BP24" s="455">
        <f t="shared" si="6"/>
        <v>0</v>
      </c>
      <c r="BQ24" s="272"/>
      <c r="BR24" s="272"/>
      <c r="BS24" s="272"/>
      <c r="BT24" s="272">
        <v>0</v>
      </c>
      <c r="BU24" s="272">
        <v>38980392</v>
      </c>
      <c r="BV24" s="272"/>
      <c r="BW24" s="272">
        <v>8258559</v>
      </c>
      <c r="BX24" s="272">
        <v>6183863</v>
      </c>
      <c r="BY24" s="272">
        <v>431503</v>
      </c>
      <c r="BZ24" s="272">
        <v>264706</v>
      </c>
      <c r="CA24" s="272">
        <v>1519451</v>
      </c>
      <c r="CB24" s="272">
        <v>167178</v>
      </c>
      <c r="CC24" s="272">
        <v>466917</v>
      </c>
      <c r="CD24" s="272">
        <v>287441</v>
      </c>
      <c r="CE24" s="272">
        <v>576368</v>
      </c>
      <c r="CF24" s="272">
        <v>0</v>
      </c>
      <c r="CG24" s="272">
        <v>21547</v>
      </c>
      <c r="CH24" s="272">
        <v>1747760</v>
      </c>
      <c r="CI24" s="272">
        <v>669078</v>
      </c>
      <c r="CJ24" s="455">
        <f t="shared" si="7"/>
        <v>1078682</v>
      </c>
      <c r="CK24" s="272">
        <v>3538559</v>
      </c>
      <c r="CL24" s="272">
        <v>1737107</v>
      </c>
      <c r="CM24" s="272">
        <v>87071</v>
      </c>
      <c r="CN24" s="272">
        <v>1099593</v>
      </c>
      <c r="CO24" s="272">
        <v>212779</v>
      </c>
      <c r="CP24" s="272">
        <v>2295530</v>
      </c>
      <c r="CQ24" s="272">
        <v>69312</v>
      </c>
      <c r="CR24" s="272">
        <v>637764</v>
      </c>
      <c r="CS24" s="272">
        <v>506951</v>
      </c>
      <c r="CT24" s="455">
        <f t="shared" si="8"/>
        <v>844045</v>
      </c>
      <c r="CU24" s="272">
        <v>364796</v>
      </c>
      <c r="CV24" s="272">
        <v>479249</v>
      </c>
      <c r="CW24" s="455">
        <f t="shared" si="9"/>
        <v>682030</v>
      </c>
      <c r="CX24" s="272">
        <v>358149</v>
      </c>
      <c r="CY24" s="272">
        <v>323881</v>
      </c>
      <c r="CZ24" s="455">
        <f t="shared" si="10"/>
        <v>0</v>
      </c>
      <c r="DA24" s="272">
        <v>0</v>
      </c>
      <c r="DB24" s="272">
        <v>0</v>
      </c>
      <c r="DC24" s="272">
        <v>8317872</v>
      </c>
      <c r="DD24" s="272">
        <v>1127085</v>
      </c>
      <c r="DE24" s="272">
        <v>7132534</v>
      </c>
      <c r="DF24" s="272">
        <v>50261</v>
      </c>
      <c r="DG24" s="272">
        <v>7992</v>
      </c>
      <c r="DH24" s="272">
        <v>8294</v>
      </c>
      <c r="DI24" s="272">
        <v>6598546</v>
      </c>
      <c r="DJ24" s="272">
        <v>439286</v>
      </c>
      <c r="DK24" s="272">
        <v>122656</v>
      </c>
      <c r="DL24" s="272">
        <v>6036604</v>
      </c>
      <c r="DM24" s="272">
        <v>443623</v>
      </c>
      <c r="DN24" s="272">
        <v>212523</v>
      </c>
      <c r="DO24" s="272">
        <v>15000</v>
      </c>
      <c r="DP24" s="272">
        <v>197523</v>
      </c>
      <c r="DQ24" s="272">
        <v>2074644</v>
      </c>
      <c r="DR24" s="272">
        <v>0</v>
      </c>
      <c r="DS24" s="272">
        <v>0</v>
      </c>
      <c r="DT24" s="272">
        <v>2049413</v>
      </c>
      <c r="DU24" s="272">
        <v>1260000</v>
      </c>
      <c r="DV24" s="455">
        <f t="shared" si="11"/>
        <v>0</v>
      </c>
      <c r="DW24" s="272">
        <v>0</v>
      </c>
      <c r="DX24" s="272">
        <v>0</v>
      </c>
      <c r="DY24" s="457" t="s">
        <v>646</v>
      </c>
      <c r="DZ24" s="272">
        <v>249020</v>
      </c>
      <c r="EA24" s="272">
        <v>271244</v>
      </c>
      <c r="EB24" s="272"/>
      <c r="EC24" s="272">
        <v>0</v>
      </c>
      <c r="ED24" s="272">
        <v>37065030</v>
      </c>
      <c r="EF24" s="272">
        <v>1915362</v>
      </c>
      <c r="EG24" s="272">
        <v>364170</v>
      </c>
      <c r="EH24" s="272">
        <v>1551192</v>
      </c>
      <c r="EI24" s="272">
        <v>558038</v>
      </c>
      <c r="EJ24" s="272">
        <v>997324</v>
      </c>
      <c r="EL24" s="272"/>
      <c r="EM24" s="272">
        <v>118261</v>
      </c>
      <c r="EN24" s="272">
        <v>618252</v>
      </c>
      <c r="EO24" s="272">
        <v>45238</v>
      </c>
      <c r="EP24" s="455">
        <f t="shared" si="12"/>
        <v>7360945</v>
      </c>
      <c r="EQ24" s="272">
        <v>21974923</v>
      </c>
      <c r="ER24" s="272">
        <v>-8002258</v>
      </c>
      <c r="ES24" s="272">
        <v>7816602</v>
      </c>
      <c r="ET24" s="272">
        <v>5795005</v>
      </c>
      <c r="EU24" s="272">
        <v>373338</v>
      </c>
      <c r="EV24" s="272">
        <v>1667500</v>
      </c>
      <c r="EW24" s="455">
        <f t="shared" si="13"/>
        <v>6035773</v>
      </c>
      <c r="EX24" s="272">
        <v>6030540</v>
      </c>
      <c r="EY24" s="272">
        <v>190636</v>
      </c>
      <c r="EZ24" s="272">
        <v>5791789</v>
      </c>
      <c r="FA24" s="272">
        <v>5233</v>
      </c>
      <c r="FB24" s="272">
        <v>0</v>
      </c>
      <c r="FC24" s="272">
        <v>2754176</v>
      </c>
      <c r="FD24" s="272">
        <v>1913666</v>
      </c>
      <c r="FE24" s="272">
        <v>69312</v>
      </c>
      <c r="FF24" s="272">
        <v>1981245</v>
      </c>
      <c r="FG24" s="455">
        <f t="shared" si="14"/>
        <v>5532914</v>
      </c>
      <c r="FH24" s="272">
        <v>28075214</v>
      </c>
      <c r="FI24" s="384">
        <f t="shared" si="15"/>
        <v>7.8</v>
      </c>
      <c r="FJ24" s="272">
        <v>19782931</v>
      </c>
      <c r="FK24" s="272"/>
      <c r="FL24" s="272">
        <v>14889924</v>
      </c>
      <c r="FM24" s="272">
        <v>13029021</v>
      </c>
      <c r="FN24" s="460">
        <v>1.1379999999999999</v>
      </c>
      <c r="FO24" s="388">
        <v>68.400000000000006</v>
      </c>
      <c r="FP24" s="388">
        <v>37</v>
      </c>
      <c r="FQ24" s="388">
        <v>1.8</v>
      </c>
      <c r="FR24" s="388">
        <v>8.1</v>
      </c>
      <c r="FS24" s="388">
        <v>12.3</v>
      </c>
      <c r="FT24" s="388">
        <v>6</v>
      </c>
      <c r="FU24" s="388">
        <v>2.8</v>
      </c>
      <c r="FV24" s="388">
        <v>6.2</v>
      </c>
      <c r="FW24" s="272">
        <v>16924882</v>
      </c>
      <c r="FX24" s="384">
        <f t="shared" si="16"/>
        <v>85.6</v>
      </c>
      <c r="FY24" s="272">
        <v>31601651</v>
      </c>
      <c r="FZ24" s="272">
        <v>9341451</v>
      </c>
      <c r="GA24" s="272">
        <v>2228122</v>
      </c>
      <c r="GB24" s="272">
        <v>20032078</v>
      </c>
      <c r="GC24" s="272"/>
      <c r="GD24" s="272">
        <v>9236808</v>
      </c>
      <c r="GE24" s="384">
        <f t="shared" si="17"/>
        <v>46.7</v>
      </c>
      <c r="GF24" s="388">
        <v>99</v>
      </c>
      <c r="GG24" s="388">
        <v>40.9</v>
      </c>
      <c r="GH24" s="388">
        <v>97.7</v>
      </c>
      <c r="GI24" s="272">
        <v>1052</v>
      </c>
    </row>
    <row r="25" spans="2:191" x14ac:dyDescent="0.15">
      <c r="B25" s="89" t="s">
        <v>43</v>
      </c>
      <c r="C25" s="272">
        <v>8953660</v>
      </c>
      <c r="D25" s="455">
        <f t="shared" si="0"/>
        <v>3658208</v>
      </c>
      <c r="E25" s="272">
        <v>49389</v>
      </c>
      <c r="F25" s="272">
        <v>3608819</v>
      </c>
      <c r="G25" s="455">
        <f t="shared" si="1"/>
        <v>1441124</v>
      </c>
      <c r="H25" s="272">
        <v>102279</v>
      </c>
      <c r="I25" s="272">
        <v>1338845</v>
      </c>
      <c r="J25" s="272">
        <v>2830526</v>
      </c>
      <c r="K25" s="272">
        <v>1232623</v>
      </c>
      <c r="L25" s="272">
        <v>899046</v>
      </c>
      <c r="M25" s="272">
        <v>673628</v>
      </c>
      <c r="N25" s="272">
        <v>257547</v>
      </c>
      <c r="O25" s="272">
        <v>651890</v>
      </c>
      <c r="P25" s="272">
        <v>446884</v>
      </c>
      <c r="Q25" s="272">
        <v>205006</v>
      </c>
      <c r="R25" s="272">
        <v>391587</v>
      </c>
      <c r="S25" s="272">
        <v>278515</v>
      </c>
      <c r="T25" s="455">
        <f t="shared" si="2"/>
        <v>500522</v>
      </c>
      <c r="U25" s="272">
        <v>287443</v>
      </c>
      <c r="V25" s="272"/>
      <c r="W25" s="272"/>
      <c r="X25" s="272"/>
      <c r="Y25" s="272">
        <v>0</v>
      </c>
      <c r="Z25" s="272"/>
      <c r="AA25" s="272">
        <v>213079</v>
      </c>
      <c r="AB25" s="272"/>
      <c r="AC25" s="272">
        <v>2014342</v>
      </c>
      <c r="AD25" s="272">
        <v>1717810</v>
      </c>
      <c r="AE25" s="272">
        <v>296532</v>
      </c>
      <c r="AF25" s="272">
        <v>13709</v>
      </c>
      <c r="AG25" s="272">
        <v>142457</v>
      </c>
      <c r="AH25" s="455">
        <f t="shared" si="3"/>
        <v>262038</v>
      </c>
      <c r="AI25" s="272">
        <v>207671</v>
      </c>
      <c r="AJ25" s="272">
        <v>54367</v>
      </c>
      <c r="AK25" s="272">
        <v>1312460</v>
      </c>
      <c r="AL25" s="455">
        <f t="shared" si="4"/>
        <v>855985</v>
      </c>
      <c r="AM25" s="272">
        <v>679988</v>
      </c>
      <c r="AN25" s="272">
        <v>120730</v>
      </c>
      <c r="AO25" s="272">
        <v>0</v>
      </c>
      <c r="AP25" s="272">
        <v>55267</v>
      </c>
      <c r="AQ25" s="272">
        <v>203392</v>
      </c>
      <c r="AR25" s="272">
        <v>0</v>
      </c>
      <c r="AS25" s="272">
        <v>0</v>
      </c>
      <c r="AT25" s="272">
        <v>716494</v>
      </c>
      <c r="AU25" s="272">
        <v>243346</v>
      </c>
      <c r="AV25" s="272">
        <v>65361</v>
      </c>
      <c r="AW25" s="272">
        <v>35601</v>
      </c>
      <c r="AX25" s="272">
        <v>473148</v>
      </c>
      <c r="AY25" s="272">
        <v>66336</v>
      </c>
      <c r="AZ25" s="272">
        <v>190370</v>
      </c>
      <c r="BA25" s="272">
        <v>11656</v>
      </c>
      <c r="BB25" s="272">
        <v>188963</v>
      </c>
      <c r="BC25" s="272">
        <v>12681</v>
      </c>
      <c r="BD25" s="272">
        <v>0</v>
      </c>
      <c r="BE25" s="272">
        <v>0</v>
      </c>
      <c r="BF25" s="272">
        <v>0</v>
      </c>
      <c r="BG25" s="272">
        <v>0</v>
      </c>
      <c r="BH25" s="272">
        <v>311111</v>
      </c>
      <c r="BI25" s="272">
        <v>231235</v>
      </c>
      <c r="BJ25" s="272">
        <v>2051872</v>
      </c>
      <c r="BK25" s="272">
        <v>1979685</v>
      </c>
      <c r="BL25" s="272">
        <v>1692</v>
      </c>
      <c r="BM25" s="272">
        <v>0</v>
      </c>
      <c r="BN25" s="272">
        <v>421600</v>
      </c>
      <c r="BO25" s="455">
        <f t="shared" si="5"/>
        <v>421600</v>
      </c>
      <c r="BP25" s="455">
        <f t="shared" si="6"/>
        <v>0</v>
      </c>
      <c r="BQ25" s="272"/>
      <c r="BR25" s="272"/>
      <c r="BS25" s="272"/>
      <c r="BT25" s="272">
        <v>0</v>
      </c>
      <c r="BU25" s="272">
        <v>17483866</v>
      </c>
      <c r="BV25" s="272"/>
      <c r="BW25" s="272">
        <v>3517398</v>
      </c>
      <c r="BX25" s="272">
        <v>2628230</v>
      </c>
      <c r="BY25" s="272">
        <v>135501</v>
      </c>
      <c r="BZ25" s="272">
        <v>58569</v>
      </c>
      <c r="CA25" s="272">
        <v>1779236</v>
      </c>
      <c r="CB25" s="272">
        <v>146650</v>
      </c>
      <c r="CC25" s="272">
        <v>324364</v>
      </c>
      <c r="CD25" s="272">
        <v>392200</v>
      </c>
      <c r="CE25" s="272">
        <v>826655</v>
      </c>
      <c r="CF25" s="272">
        <v>0</v>
      </c>
      <c r="CG25" s="272">
        <v>89307</v>
      </c>
      <c r="CH25" s="272">
        <v>1461922</v>
      </c>
      <c r="CI25" s="272">
        <v>620293</v>
      </c>
      <c r="CJ25" s="455">
        <f t="shared" si="7"/>
        <v>841629</v>
      </c>
      <c r="CK25" s="272">
        <v>1700611</v>
      </c>
      <c r="CL25" s="272">
        <v>856934</v>
      </c>
      <c r="CM25" s="272">
        <v>63725</v>
      </c>
      <c r="CN25" s="272">
        <v>438952</v>
      </c>
      <c r="CO25" s="272">
        <v>121881</v>
      </c>
      <c r="CP25" s="272">
        <v>2332014</v>
      </c>
      <c r="CQ25" s="272">
        <v>1486832</v>
      </c>
      <c r="CR25" s="272">
        <v>383461</v>
      </c>
      <c r="CS25" s="272">
        <v>369942</v>
      </c>
      <c r="CT25" s="455">
        <f t="shared" si="8"/>
        <v>185158</v>
      </c>
      <c r="CU25" s="272">
        <v>1771</v>
      </c>
      <c r="CV25" s="272">
        <v>183387</v>
      </c>
      <c r="CW25" s="455">
        <f t="shared" si="9"/>
        <v>181829</v>
      </c>
      <c r="CX25" s="272">
        <v>0</v>
      </c>
      <c r="CY25" s="272">
        <v>181829</v>
      </c>
      <c r="CZ25" s="455">
        <f t="shared" si="10"/>
        <v>0</v>
      </c>
      <c r="DA25" s="272">
        <v>0</v>
      </c>
      <c r="DB25" s="272">
        <v>0</v>
      </c>
      <c r="DC25" s="272">
        <v>2445393</v>
      </c>
      <c r="DD25" s="272">
        <v>624107</v>
      </c>
      <c r="DE25" s="272">
        <v>1819594</v>
      </c>
      <c r="DF25" s="272">
        <v>0</v>
      </c>
      <c r="DG25" s="272">
        <v>1692</v>
      </c>
      <c r="DH25" s="272">
        <v>0</v>
      </c>
      <c r="DI25" s="272">
        <v>953597</v>
      </c>
      <c r="DJ25" s="272">
        <v>170144</v>
      </c>
      <c r="DK25" s="272">
        <v>282611</v>
      </c>
      <c r="DL25" s="272">
        <v>500842</v>
      </c>
      <c r="DM25" s="272">
        <v>0</v>
      </c>
      <c r="DN25" s="272">
        <v>0</v>
      </c>
      <c r="DO25" s="272">
        <v>0</v>
      </c>
      <c r="DP25" s="272">
        <v>0</v>
      </c>
      <c r="DQ25" s="272">
        <v>1895000</v>
      </c>
      <c r="DR25" s="272">
        <v>0</v>
      </c>
      <c r="DS25" s="272">
        <v>0</v>
      </c>
      <c r="DT25" s="272">
        <v>1159938</v>
      </c>
      <c r="DU25" s="272">
        <v>800000</v>
      </c>
      <c r="DV25" s="455">
        <f t="shared" si="11"/>
        <v>0</v>
      </c>
      <c r="DW25" s="272">
        <v>0</v>
      </c>
      <c r="DX25" s="272">
        <v>0</v>
      </c>
      <c r="DY25" s="457" t="s">
        <v>646</v>
      </c>
      <c r="DZ25" s="272">
        <v>182683</v>
      </c>
      <c r="EA25" s="272">
        <v>167417</v>
      </c>
      <c r="EB25" s="272"/>
      <c r="EC25" s="272">
        <v>0</v>
      </c>
      <c r="ED25" s="272">
        <v>17366990</v>
      </c>
      <c r="EF25" s="272">
        <v>116876</v>
      </c>
      <c r="EG25" s="272">
        <v>91027</v>
      </c>
      <c r="EH25" s="272">
        <v>25849</v>
      </c>
      <c r="EI25" s="272">
        <v>-455386</v>
      </c>
      <c r="EJ25" s="272">
        <v>-277392</v>
      </c>
      <c r="EL25" s="272"/>
      <c r="EM25" s="272">
        <v>74672</v>
      </c>
      <c r="EN25" s="272">
        <v>0</v>
      </c>
      <c r="EO25" s="272">
        <v>12311</v>
      </c>
      <c r="EP25" s="455">
        <f t="shared" si="12"/>
        <v>2425730</v>
      </c>
      <c r="EQ25" s="272">
        <v>11873820</v>
      </c>
      <c r="ER25" s="272">
        <v>-2424332</v>
      </c>
      <c r="ES25" s="272">
        <v>3168764</v>
      </c>
      <c r="ET25" s="272">
        <v>2290333</v>
      </c>
      <c r="EU25" s="272">
        <v>490984</v>
      </c>
      <c r="EV25" s="272">
        <v>1461922</v>
      </c>
      <c r="EW25" s="455">
        <f t="shared" si="13"/>
        <v>1605569</v>
      </c>
      <c r="EX25" s="272">
        <v>1605569</v>
      </c>
      <c r="EY25" s="272">
        <v>106159</v>
      </c>
      <c r="EZ25" s="272">
        <v>1499410</v>
      </c>
      <c r="FA25" s="272">
        <v>0</v>
      </c>
      <c r="FB25" s="272">
        <v>0</v>
      </c>
      <c r="FC25" s="272">
        <v>1445421</v>
      </c>
      <c r="FD25" s="272">
        <v>2192965</v>
      </c>
      <c r="FE25" s="272">
        <v>1486832</v>
      </c>
      <c r="FF25" s="272">
        <v>1093619</v>
      </c>
      <c r="FG25" s="455">
        <f t="shared" si="14"/>
        <v>2777453</v>
      </c>
      <c r="FH25" s="272">
        <v>14236697</v>
      </c>
      <c r="FI25" s="384">
        <f t="shared" si="15"/>
        <v>0.2</v>
      </c>
      <c r="FJ25" s="272">
        <v>10424575</v>
      </c>
      <c r="FK25" s="272"/>
      <c r="FL25" s="272">
        <v>6561015</v>
      </c>
      <c r="FM25" s="272">
        <v>8277626</v>
      </c>
      <c r="FN25" s="460">
        <v>0.77300000000000002</v>
      </c>
      <c r="FO25" s="388">
        <v>79.400000000000006</v>
      </c>
      <c r="FP25" s="388">
        <v>28.7</v>
      </c>
      <c r="FQ25" s="388">
        <v>4.5</v>
      </c>
      <c r="FR25" s="388">
        <v>13.2</v>
      </c>
      <c r="FS25" s="388">
        <v>13.1</v>
      </c>
      <c r="FT25" s="388">
        <v>17.3</v>
      </c>
      <c r="FU25" s="388">
        <v>1.7</v>
      </c>
      <c r="FV25" s="388">
        <v>9.3000000000000007</v>
      </c>
      <c r="FW25" s="272">
        <v>11402445</v>
      </c>
      <c r="FX25" s="384">
        <f t="shared" si="16"/>
        <v>109.4</v>
      </c>
      <c r="FY25" s="272">
        <v>3679611</v>
      </c>
      <c r="FZ25" s="272">
        <v>1643862</v>
      </c>
      <c r="GA25" s="272">
        <v>282611</v>
      </c>
      <c r="GB25" s="272">
        <v>1753138</v>
      </c>
      <c r="GC25" s="272"/>
      <c r="GD25" s="272">
        <v>1772296</v>
      </c>
      <c r="GE25" s="384">
        <f t="shared" si="17"/>
        <v>17</v>
      </c>
      <c r="GF25" s="388">
        <v>98</v>
      </c>
      <c r="GG25" s="388">
        <v>46</v>
      </c>
      <c r="GH25" s="388">
        <v>96.2</v>
      </c>
      <c r="GI25" s="272">
        <v>422</v>
      </c>
    </row>
    <row r="26" spans="2:191" x14ac:dyDescent="0.15">
      <c r="B26" s="89" t="s">
        <v>45</v>
      </c>
      <c r="C26" s="272">
        <v>11706671</v>
      </c>
      <c r="D26" s="455">
        <f t="shared" si="0"/>
        <v>5912266</v>
      </c>
      <c r="E26" s="272">
        <v>74529</v>
      </c>
      <c r="F26" s="272">
        <v>5837737</v>
      </c>
      <c r="G26" s="455">
        <f t="shared" si="1"/>
        <v>998936</v>
      </c>
      <c r="H26" s="272">
        <v>97334</v>
      </c>
      <c r="I26" s="272">
        <v>901602</v>
      </c>
      <c r="J26" s="272">
        <v>3249349</v>
      </c>
      <c r="K26" s="272">
        <v>1624792</v>
      </c>
      <c r="L26" s="272">
        <v>1293896</v>
      </c>
      <c r="M26" s="272">
        <v>317138</v>
      </c>
      <c r="N26" s="272">
        <v>368488</v>
      </c>
      <c r="O26" s="272">
        <v>897546</v>
      </c>
      <c r="P26" s="272">
        <v>621621</v>
      </c>
      <c r="Q26" s="272">
        <v>275925</v>
      </c>
      <c r="R26" s="272">
        <v>441834</v>
      </c>
      <c r="S26" s="272">
        <v>275244</v>
      </c>
      <c r="T26" s="455">
        <f t="shared" si="2"/>
        <v>807096</v>
      </c>
      <c r="U26" s="272">
        <v>492704</v>
      </c>
      <c r="V26" s="272"/>
      <c r="W26" s="272"/>
      <c r="X26" s="272"/>
      <c r="Y26" s="272">
        <v>0</v>
      </c>
      <c r="Z26" s="272"/>
      <c r="AA26" s="272">
        <v>314392</v>
      </c>
      <c r="AB26" s="272"/>
      <c r="AC26" s="272">
        <v>2858945</v>
      </c>
      <c r="AD26" s="272">
        <v>2591401</v>
      </c>
      <c r="AE26" s="272">
        <v>267544</v>
      </c>
      <c r="AF26" s="272">
        <v>19820</v>
      </c>
      <c r="AG26" s="272">
        <v>182235</v>
      </c>
      <c r="AH26" s="455">
        <f t="shared" si="3"/>
        <v>328532</v>
      </c>
      <c r="AI26" s="272">
        <v>298920</v>
      </c>
      <c r="AJ26" s="272">
        <v>29612</v>
      </c>
      <c r="AK26" s="272">
        <v>1768339</v>
      </c>
      <c r="AL26" s="455">
        <f t="shared" si="4"/>
        <v>1268178</v>
      </c>
      <c r="AM26" s="272">
        <v>1018610</v>
      </c>
      <c r="AN26" s="272">
        <v>193664</v>
      </c>
      <c r="AO26" s="272">
        <v>0</v>
      </c>
      <c r="AP26" s="272">
        <v>55904</v>
      </c>
      <c r="AQ26" s="272">
        <v>78384</v>
      </c>
      <c r="AR26" s="272">
        <v>0</v>
      </c>
      <c r="AS26" s="272">
        <v>0</v>
      </c>
      <c r="AT26" s="272">
        <v>1402551</v>
      </c>
      <c r="AU26" s="272">
        <v>480669</v>
      </c>
      <c r="AV26" s="272">
        <v>112213</v>
      </c>
      <c r="AW26" s="272">
        <v>38788</v>
      </c>
      <c r="AX26" s="272">
        <v>921882</v>
      </c>
      <c r="AY26" s="272">
        <v>169142</v>
      </c>
      <c r="AZ26" s="272">
        <v>253888</v>
      </c>
      <c r="BA26" s="272">
        <v>62</v>
      </c>
      <c r="BB26" s="272">
        <v>336510</v>
      </c>
      <c r="BC26" s="272">
        <v>496809</v>
      </c>
      <c r="BD26" s="272">
        <v>0</v>
      </c>
      <c r="BE26" s="272">
        <v>0</v>
      </c>
      <c r="BF26" s="470">
        <v>350000</v>
      </c>
      <c r="BG26" s="470">
        <v>0</v>
      </c>
      <c r="BH26" s="272">
        <v>507476</v>
      </c>
      <c r="BI26" s="272">
        <v>505894</v>
      </c>
      <c r="BJ26" s="272">
        <v>201794</v>
      </c>
      <c r="BK26" s="272">
        <v>0</v>
      </c>
      <c r="BL26" s="272">
        <v>57989</v>
      </c>
      <c r="BM26" s="272">
        <v>0</v>
      </c>
      <c r="BN26" s="272">
        <v>366442</v>
      </c>
      <c r="BO26" s="455">
        <f t="shared" si="5"/>
        <v>366442</v>
      </c>
      <c r="BP26" s="455">
        <f t="shared" si="6"/>
        <v>0</v>
      </c>
      <c r="BQ26" s="272"/>
      <c r="BR26" s="272"/>
      <c r="BS26" s="272"/>
      <c r="BT26" s="272">
        <v>0</v>
      </c>
      <c r="BU26" s="272">
        <v>21678942</v>
      </c>
      <c r="BV26" s="272"/>
      <c r="BW26" s="272">
        <v>5909006</v>
      </c>
      <c r="BX26" s="272">
        <v>4458918</v>
      </c>
      <c r="BY26" s="272">
        <v>394615</v>
      </c>
      <c r="BZ26" s="272">
        <v>41680</v>
      </c>
      <c r="CA26" s="272">
        <v>2931898</v>
      </c>
      <c r="CB26" s="272">
        <v>303909</v>
      </c>
      <c r="CC26" s="272">
        <v>474357</v>
      </c>
      <c r="CD26" s="272">
        <v>733676</v>
      </c>
      <c r="CE26" s="272">
        <v>1338135</v>
      </c>
      <c r="CF26" s="272">
        <v>1246</v>
      </c>
      <c r="CG26" s="272">
        <v>80470</v>
      </c>
      <c r="CH26" s="272">
        <v>1880879</v>
      </c>
      <c r="CI26" s="272">
        <v>966489</v>
      </c>
      <c r="CJ26" s="455">
        <f t="shared" si="7"/>
        <v>914390</v>
      </c>
      <c r="CK26" s="272">
        <v>2217588</v>
      </c>
      <c r="CL26" s="272">
        <v>1145897</v>
      </c>
      <c r="CM26" s="272">
        <v>198038</v>
      </c>
      <c r="CN26" s="272">
        <v>500178</v>
      </c>
      <c r="CO26" s="272">
        <v>228432</v>
      </c>
      <c r="CP26" s="272">
        <v>2411395</v>
      </c>
      <c r="CQ26" s="272">
        <v>1526908</v>
      </c>
      <c r="CR26" s="272">
        <v>600088</v>
      </c>
      <c r="CS26" s="272">
        <v>482668</v>
      </c>
      <c r="CT26" s="455">
        <f t="shared" si="8"/>
        <v>6239</v>
      </c>
      <c r="CU26" s="272">
        <v>6239</v>
      </c>
      <c r="CV26" s="272">
        <v>0</v>
      </c>
      <c r="CW26" s="455">
        <f t="shared" si="9"/>
        <v>0</v>
      </c>
      <c r="CX26" s="272">
        <v>0</v>
      </c>
      <c r="CY26" s="272">
        <v>0</v>
      </c>
      <c r="CZ26" s="455">
        <f t="shared" si="10"/>
        <v>0</v>
      </c>
      <c r="DA26" s="272">
        <v>0</v>
      </c>
      <c r="DB26" s="272">
        <v>0</v>
      </c>
      <c r="DC26" s="272">
        <v>1935697</v>
      </c>
      <c r="DD26" s="272">
        <v>375710</v>
      </c>
      <c r="DE26" s="272">
        <v>1253135</v>
      </c>
      <c r="DF26" s="272">
        <v>2510</v>
      </c>
      <c r="DG26" s="272">
        <v>304342</v>
      </c>
      <c r="DH26" s="272">
        <v>14953</v>
      </c>
      <c r="DI26" s="272">
        <v>1750000</v>
      </c>
      <c r="DJ26" s="272">
        <v>0</v>
      </c>
      <c r="DK26" s="272">
        <v>615000</v>
      </c>
      <c r="DL26" s="272">
        <v>1135000</v>
      </c>
      <c r="DM26" s="272">
        <v>2000</v>
      </c>
      <c r="DN26" s="272">
        <v>0</v>
      </c>
      <c r="DO26" s="272">
        <v>0</v>
      </c>
      <c r="DP26" s="272">
        <v>0</v>
      </c>
      <c r="DQ26" s="272">
        <v>0</v>
      </c>
      <c r="DR26" s="272">
        <v>0</v>
      </c>
      <c r="DS26" s="272">
        <v>0</v>
      </c>
      <c r="DT26" s="272">
        <v>1648445</v>
      </c>
      <c r="DU26" s="272">
        <v>1094769</v>
      </c>
      <c r="DV26" s="455">
        <f t="shared" si="11"/>
        <v>0</v>
      </c>
      <c r="DW26" s="272">
        <v>0</v>
      </c>
      <c r="DX26" s="272">
        <v>0</v>
      </c>
      <c r="DY26" s="457" t="s">
        <v>646</v>
      </c>
      <c r="DZ26" s="272">
        <v>266780</v>
      </c>
      <c r="EA26" s="272">
        <v>264306</v>
      </c>
      <c r="EB26" s="272"/>
      <c r="EC26" s="272">
        <v>0</v>
      </c>
      <c r="ED26" s="272">
        <v>20930293</v>
      </c>
      <c r="EF26" s="272">
        <v>748649</v>
      </c>
      <c r="EG26" s="272">
        <v>6171</v>
      </c>
      <c r="EH26" s="272">
        <v>742478</v>
      </c>
      <c r="EI26" s="272">
        <v>236584</v>
      </c>
      <c r="EJ26" s="272">
        <v>236584</v>
      </c>
      <c r="EL26" s="272"/>
      <c r="EM26" s="272">
        <v>114586</v>
      </c>
      <c r="EN26" s="272">
        <v>496809</v>
      </c>
      <c r="EO26" s="272">
        <v>27882</v>
      </c>
      <c r="EP26" s="455">
        <f t="shared" si="12"/>
        <v>973674</v>
      </c>
      <c r="EQ26" s="272">
        <v>15834366</v>
      </c>
      <c r="ER26" s="272">
        <v>-1478545</v>
      </c>
      <c r="ES26" s="272">
        <v>5403451</v>
      </c>
      <c r="ET26" s="272">
        <v>4009886</v>
      </c>
      <c r="EU26" s="272">
        <v>876718</v>
      </c>
      <c r="EV26" s="272">
        <v>1731290</v>
      </c>
      <c r="EW26" s="455">
        <f t="shared" si="13"/>
        <v>1068212</v>
      </c>
      <c r="EX26" s="272">
        <v>1053259</v>
      </c>
      <c r="EY26" s="272">
        <v>128674</v>
      </c>
      <c r="EZ26" s="272">
        <v>879340</v>
      </c>
      <c r="FA26" s="272">
        <v>14953</v>
      </c>
      <c r="FB26" s="272">
        <v>0</v>
      </c>
      <c r="FC26" s="272">
        <v>1914829</v>
      </c>
      <c r="FD26" s="272">
        <v>2278631</v>
      </c>
      <c r="FE26" s="272">
        <v>1526908</v>
      </c>
      <c r="FF26" s="272">
        <v>1568360</v>
      </c>
      <c r="FG26" s="455">
        <f t="shared" si="14"/>
        <v>1735711</v>
      </c>
      <c r="FH26" s="272">
        <v>16577202</v>
      </c>
      <c r="FI26" s="384">
        <f t="shared" si="15"/>
        <v>5.2</v>
      </c>
      <c r="FJ26" s="272">
        <v>14260004</v>
      </c>
      <c r="FK26" s="272"/>
      <c r="FL26" s="272">
        <v>8796910</v>
      </c>
      <c r="FM26" s="272">
        <v>11379482</v>
      </c>
      <c r="FN26" s="460">
        <v>0.76600000000000001</v>
      </c>
      <c r="FO26" s="388">
        <v>81.8</v>
      </c>
      <c r="FP26" s="388">
        <v>35.6</v>
      </c>
      <c r="FQ26" s="388">
        <v>5.9</v>
      </c>
      <c r="FR26" s="388">
        <v>11.7</v>
      </c>
      <c r="FS26" s="388">
        <v>11.7</v>
      </c>
      <c r="FT26" s="388">
        <v>13.2</v>
      </c>
      <c r="FU26" s="388">
        <v>2.6</v>
      </c>
      <c r="FV26" s="388">
        <v>10.199999999999999</v>
      </c>
      <c r="FW26" s="272">
        <v>13555136</v>
      </c>
      <c r="FX26" s="384">
        <f t="shared" si="16"/>
        <v>95.1</v>
      </c>
      <c r="FY26" s="272">
        <v>5908326</v>
      </c>
      <c r="FZ26" s="272"/>
      <c r="GA26" s="272">
        <v>1182491</v>
      </c>
      <c r="GB26" s="272">
        <v>4725835</v>
      </c>
      <c r="GC26" s="272"/>
      <c r="GD26" s="272">
        <v>2856674</v>
      </c>
      <c r="GE26" s="384">
        <f t="shared" si="17"/>
        <v>20</v>
      </c>
      <c r="GF26" s="388">
        <v>98.2</v>
      </c>
      <c r="GG26" s="388">
        <v>54.6</v>
      </c>
      <c r="GH26" s="388">
        <v>96</v>
      </c>
      <c r="GI26" s="272">
        <v>709</v>
      </c>
    </row>
    <row r="27" spans="2:191" x14ac:dyDescent="0.15">
      <c r="B27" s="89" t="s">
        <v>47</v>
      </c>
      <c r="C27" s="272">
        <v>23214926</v>
      </c>
      <c r="D27" s="455">
        <f t="shared" si="0"/>
        <v>5990322</v>
      </c>
      <c r="E27" s="272">
        <v>99440</v>
      </c>
      <c r="F27" s="272">
        <v>5890882</v>
      </c>
      <c r="G27" s="455">
        <f t="shared" si="1"/>
        <v>7304336</v>
      </c>
      <c r="H27" s="272">
        <v>291443</v>
      </c>
      <c r="I27" s="272">
        <v>7012893</v>
      </c>
      <c r="J27" s="272">
        <v>7288778</v>
      </c>
      <c r="K27" s="272">
        <v>3565807</v>
      </c>
      <c r="L27" s="272">
        <v>2168845</v>
      </c>
      <c r="M27" s="272">
        <v>1488179</v>
      </c>
      <c r="N27" s="272">
        <v>807631</v>
      </c>
      <c r="O27" s="272">
        <v>1593974</v>
      </c>
      <c r="P27" s="272">
        <v>1098727</v>
      </c>
      <c r="Q27" s="272">
        <v>495247</v>
      </c>
      <c r="R27" s="272">
        <v>687745</v>
      </c>
      <c r="S27" s="272">
        <v>503707</v>
      </c>
      <c r="T27" s="455">
        <f t="shared" si="2"/>
        <v>848511</v>
      </c>
      <c r="U27" s="272">
        <v>501892</v>
      </c>
      <c r="V27" s="272"/>
      <c r="W27" s="272"/>
      <c r="X27" s="272"/>
      <c r="Y27" s="272">
        <v>0</v>
      </c>
      <c r="Z27" s="272"/>
      <c r="AA27" s="272">
        <v>346619</v>
      </c>
      <c r="AB27" s="272"/>
      <c r="AC27" s="272">
        <v>125726</v>
      </c>
      <c r="AD27" s="272">
        <v>0</v>
      </c>
      <c r="AE27" s="272">
        <v>125726</v>
      </c>
      <c r="AF27" s="272">
        <v>24693</v>
      </c>
      <c r="AG27" s="272">
        <v>177125</v>
      </c>
      <c r="AH27" s="455">
        <f t="shared" si="3"/>
        <v>417974</v>
      </c>
      <c r="AI27" s="272">
        <v>244429</v>
      </c>
      <c r="AJ27" s="272">
        <v>173545</v>
      </c>
      <c r="AK27" s="272">
        <v>3114901</v>
      </c>
      <c r="AL27" s="455">
        <f t="shared" si="4"/>
        <v>2321763</v>
      </c>
      <c r="AM27" s="272">
        <v>2032938</v>
      </c>
      <c r="AN27" s="272">
        <v>224761</v>
      </c>
      <c r="AO27" s="272">
        <v>0</v>
      </c>
      <c r="AP27" s="272">
        <v>64064</v>
      </c>
      <c r="AQ27" s="272">
        <v>222304</v>
      </c>
      <c r="AR27" s="272">
        <v>0</v>
      </c>
      <c r="AS27" s="272">
        <v>0</v>
      </c>
      <c r="AT27" s="272">
        <v>1188107</v>
      </c>
      <c r="AU27" s="272">
        <v>450465</v>
      </c>
      <c r="AV27" s="272">
        <v>112380</v>
      </c>
      <c r="AW27" s="272">
        <v>386</v>
      </c>
      <c r="AX27" s="272">
        <v>737642</v>
      </c>
      <c r="AY27" s="272">
        <v>153852</v>
      </c>
      <c r="AZ27" s="272">
        <v>359629</v>
      </c>
      <c r="BA27" s="272">
        <v>9852</v>
      </c>
      <c r="BB27" s="272">
        <v>188956</v>
      </c>
      <c r="BC27" s="272">
        <v>2811</v>
      </c>
      <c r="BD27" s="272">
        <v>0</v>
      </c>
      <c r="BE27" s="272">
        <v>0</v>
      </c>
      <c r="BF27" s="272">
        <v>2811</v>
      </c>
      <c r="BG27" s="272">
        <v>0</v>
      </c>
      <c r="BH27" s="272">
        <v>190192</v>
      </c>
      <c r="BI27" s="272">
        <v>188038</v>
      </c>
      <c r="BJ27" s="272">
        <v>566268</v>
      </c>
      <c r="BK27" s="272">
        <v>105800</v>
      </c>
      <c r="BL27" s="272">
        <v>0</v>
      </c>
      <c r="BM27" s="272">
        <v>0</v>
      </c>
      <c r="BN27" s="272">
        <v>777000</v>
      </c>
      <c r="BO27" s="455">
        <f t="shared" si="5"/>
        <v>777000</v>
      </c>
      <c r="BP27" s="455">
        <f t="shared" si="6"/>
        <v>0</v>
      </c>
      <c r="BQ27" s="272"/>
      <c r="BR27" s="272"/>
      <c r="BS27" s="272"/>
      <c r="BT27" s="272">
        <v>0</v>
      </c>
      <c r="BU27" s="272">
        <v>31884564</v>
      </c>
      <c r="BV27" s="272"/>
      <c r="BW27" s="272">
        <v>10034594</v>
      </c>
      <c r="BX27" s="272">
        <v>8009702</v>
      </c>
      <c r="BY27" s="272">
        <v>292044</v>
      </c>
      <c r="BZ27" s="272">
        <v>41848</v>
      </c>
      <c r="CA27" s="272">
        <v>4366233</v>
      </c>
      <c r="CB27" s="272">
        <v>389774</v>
      </c>
      <c r="CC27" s="272">
        <v>413848</v>
      </c>
      <c r="CD27" s="272">
        <v>723991</v>
      </c>
      <c r="CE27" s="272">
        <v>2693790</v>
      </c>
      <c r="CF27" s="272">
        <v>112</v>
      </c>
      <c r="CG27" s="272">
        <v>143233</v>
      </c>
      <c r="CH27" s="272">
        <v>2152149</v>
      </c>
      <c r="CI27" s="272">
        <v>1031600</v>
      </c>
      <c r="CJ27" s="455">
        <f t="shared" si="7"/>
        <v>1120549</v>
      </c>
      <c r="CK27" s="272">
        <v>2024604</v>
      </c>
      <c r="CL27" s="272">
        <v>918008</v>
      </c>
      <c r="CM27" s="272">
        <v>62922</v>
      </c>
      <c r="CN27" s="272">
        <v>755579</v>
      </c>
      <c r="CO27" s="272">
        <v>227222</v>
      </c>
      <c r="CP27" s="272">
        <v>2441714</v>
      </c>
      <c r="CQ27" s="272">
        <v>1436225</v>
      </c>
      <c r="CR27" s="272">
        <v>435524</v>
      </c>
      <c r="CS27" s="272">
        <v>262447</v>
      </c>
      <c r="CT27" s="455">
        <f t="shared" si="8"/>
        <v>4375</v>
      </c>
      <c r="CU27" s="272">
        <v>4375</v>
      </c>
      <c r="CV27" s="272">
        <v>0</v>
      </c>
      <c r="CW27" s="455">
        <f t="shared" si="9"/>
        <v>0</v>
      </c>
      <c r="CX27" s="272">
        <v>0</v>
      </c>
      <c r="CY27" s="272">
        <v>0</v>
      </c>
      <c r="CZ27" s="455">
        <f t="shared" si="10"/>
        <v>0</v>
      </c>
      <c r="DA27" s="272">
        <v>0</v>
      </c>
      <c r="DB27" s="272">
        <v>0</v>
      </c>
      <c r="DC27" s="272">
        <v>4387091</v>
      </c>
      <c r="DD27" s="272">
        <v>539412</v>
      </c>
      <c r="DE27" s="272">
        <v>3750600</v>
      </c>
      <c r="DF27" s="272">
        <v>0</v>
      </c>
      <c r="DG27" s="272">
        <v>0</v>
      </c>
      <c r="DH27" s="272">
        <v>0</v>
      </c>
      <c r="DI27" s="272">
        <v>3683602</v>
      </c>
      <c r="DJ27" s="272">
        <v>658772</v>
      </c>
      <c r="DK27" s="272">
        <v>0</v>
      </c>
      <c r="DL27" s="272">
        <v>3024830</v>
      </c>
      <c r="DM27" s="272">
        <v>1800</v>
      </c>
      <c r="DN27" s="272">
        <v>0</v>
      </c>
      <c r="DO27" s="272">
        <v>0</v>
      </c>
      <c r="DP27" s="272">
        <v>0</v>
      </c>
      <c r="DQ27" s="272">
        <v>104600</v>
      </c>
      <c r="DR27" s="272">
        <v>0</v>
      </c>
      <c r="DS27" s="272">
        <v>0</v>
      </c>
      <c r="DT27" s="272">
        <v>1871649</v>
      </c>
      <c r="DU27" s="272">
        <v>941000</v>
      </c>
      <c r="DV27" s="455">
        <f t="shared" si="11"/>
        <v>0</v>
      </c>
      <c r="DW27" s="272">
        <v>0</v>
      </c>
      <c r="DX27" s="272">
        <v>0</v>
      </c>
      <c r="DY27" s="457" t="s">
        <v>646</v>
      </c>
      <c r="DZ27" s="272">
        <v>661449</v>
      </c>
      <c r="EA27" s="272">
        <v>264463</v>
      </c>
      <c r="EB27" s="272"/>
      <c r="EC27" s="272">
        <v>0</v>
      </c>
      <c r="ED27" s="272">
        <v>31295258</v>
      </c>
      <c r="EF27" s="272">
        <v>589306</v>
      </c>
      <c r="EG27" s="272">
        <v>68548</v>
      </c>
      <c r="EH27" s="272">
        <v>520758</v>
      </c>
      <c r="EI27" s="272">
        <v>332720</v>
      </c>
      <c r="EJ27" s="272">
        <v>991492</v>
      </c>
      <c r="EL27" s="272"/>
      <c r="EM27" s="272">
        <v>140953</v>
      </c>
      <c r="EN27" s="272">
        <v>2811</v>
      </c>
      <c r="EO27" s="272">
        <v>23415</v>
      </c>
      <c r="EP27" s="455">
        <f t="shared" si="12"/>
        <v>808290</v>
      </c>
      <c r="EQ27" s="272">
        <v>24901601</v>
      </c>
      <c r="ER27" s="272">
        <v>-809823</v>
      </c>
      <c r="ES27" s="272">
        <v>9394817</v>
      </c>
      <c r="ET27" s="272">
        <v>7385733</v>
      </c>
      <c r="EU27" s="272">
        <v>1175129</v>
      </c>
      <c r="EV27" s="272">
        <v>2122078</v>
      </c>
      <c r="EW27" s="455">
        <f t="shared" si="13"/>
        <v>3183409</v>
      </c>
      <c r="EX27" s="272">
        <v>3183409</v>
      </c>
      <c r="EY27" s="272">
        <v>116470</v>
      </c>
      <c r="EZ27" s="272">
        <v>3017530</v>
      </c>
      <c r="FA27" s="272">
        <v>0</v>
      </c>
      <c r="FB27" s="272">
        <v>0</v>
      </c>
      <c r="FC27" s="272">
        <v>1672048</v>
      </c>
      <c r="FD27" s="272">
        <v>2297522</v>
      </c>
      <c r="FE27" s="272">
        <v>1436225</v>
      </c>
      <c r="FF27" s="272">
        <v>1717705</v>
      </c>
      <c r="FG27" s="455">
        <f t="shared" si="14"/>
        <v>3559410</v>
      </c>
      <c r="FH27" s="272">
        <v>25122118</v>
      </c>
      <c r="FI27" s="384">
        <f t="shared" si="15"/>
        <v>2.4</v>
      </c>
      <c r="FJ27" s="272">
        <v>21865164</v>
      </c>
      <c r="FK27" s="272"/>
      <c r="FL27" s="272">
        <v>16451264</v>
      </c>
      <c r="FM27" s="272">
        <v>14087390</v>
      </c>
      <c r="FN27" s="460">
        <v>1.054</v>
      </c>
      <c r="FO27" s="388">
        <v>74.8</v>
      </c>
      <c r="FP27" s="388">
        <v>39.799999999999997</v>
      </c>
      <c r="FQ27" s="388">
        <v>5</v>
      </c>
      <c r="FR27" s="388">
        <v>9</v>
      </c>
      <c r="FS27" s="388">
        <v>6.5</v>
      </c>
      <c r="FT27" s="388">
        <v>9.1999999999999993</v>
      </c>
      <c r="FU27" s="388">
        <v>4.5</v>
      </c>
      <c r="FV27" s="388">
        <v>8.6</v>
      </c>
      <c r="FW27" s="272">
        <v>18226510</v>
      </c>
      <c r="FX27" s="384">
        <f t="shared" si="16"/>
        <v>83.4</v>
      </c>
      <c r="FY27" s="272">
        <v>11313513</v>
      </c>
      <c r="FZ27" s="272">
        <v>2722242</v>
      </c>
      <c r="GA27" s="272"/>
      <c r="GB27" s="272">
        <v>8591271</v>
      </c>
      <c r="GC27" s="272"/>
      <c r="GD27" s="272">
        <v>11186252</v>
      </c>
      <c r="GE27" s="384">
        <f t="shared" si="17"/>
        <v>51.2</v>
      </c>
      <c r="GF27" s="388">
        <v>98.6</v>
      </c>
      <c r="GG27" s="388">
        <v>33.799999999999997</v>
      </c>
      <c r="GH27" s="388">
        <v>95.9</v>
      </c>
      <c r="GI27" s="272">
        <v>1229</v>
      </c>
    </row>
    <row r="28" spans="2:191" x14ac:dyDescent="0.15">
      <c r="B28" s="89" t="s">
        <v>49</v>
      </c>
      <c r="C28" s="272">
        <v>15764043</v>
      </c>
      <c r="D28" s="455">
        <f t="shared" si="0"/>
        <v>4156002</v>
      </c>
      <c r="E28" s="272">
        <v>61725</v>
      </c>
      <c r="F28" s="272">
        <v>4094277</v>
      </c>
      <c r="G28" s="455">
        <f t="shared" si="1"/>
        <v>3806097</v>
      </c>
      <c r="H28" s="272">
        <v>235588</v>
      </c>
      <c r="I28" s="272">
        <v>3570509</v>
      </c>
      <c r="J28" s="272">
        <v>5988344</v>
      </c>
      <c r="K28" s="272">
        <v>2921983</v>
      </c>
      <c r="L28" s="272">
        <v>1730587</v>
      </c>
      <c r="M28" s="272">
        <v>1283322</v>
      </c>
      <c r="N28" s="272">
        <v>421075</v>
      </c>
      <c r="O28" s="272">
        <v>1229904</v>
      </c>
      <c r="P28" s="272">
        <v>840704</v>
      </c>
      <c r="Q28" s="272">
        <v>389200</v>
      </c>
      <c r="R28" s="272">
        <v>518764</v>
      </c>
      <c r="S28" s="272">
        <v>379171</v>
      </c>
      <c r="T28" s="455">
        <f t="shared" si="2"/>
        <v>618571</v>
      </c>
      <c r="U28" s="272">
        <v>351048</v>
      </c>
      <c r="V28" s="272"/>
      <c r="W28" s="272"/>
      <c r="X28" s="272"/>
      <c r="Y28" s="272">
        <v>4793</v>
      </c>
      <c r="Z28" s="272"/>
      <c r="AA28" s="272">
        <v>262730</v>
      </c>
      <c r="AB28" s="272"/>
      <c r="AC28" s="272">
        <v>250250</v>
      </c>
      <c r="AD28" s="272">
        <v>0</v>
      </c>
      <c r="AE28" s="272">
        <v>250250</v>
      </c>
      <c r="AF28" s="272">
        <v>19918</v>
      </c>
      <c r="AG28" s="272">
        <v>162025</v>
      </c>
      <c r="AH28" s="455">
        <f t="shared" si="3"/>
        <v>438907</v>
      </c>
      <c r="AI28" s="272">
        <v>306862</v>
      </c>
      <c r="AJ28" s="272">
        <v>132045</v>
      </c>
      <c r="AK28" s="272">
        <v>1643598</v>
      </c>
      <c r="AL28" s="455">
        <f t="shared" si="4"/>
        <v>954344</v>
      </c>
      <c r="AM28" s="272">
        <v>698630</v>
      </c>
      <c r="AN28" s="272">
        <v>196537</v>
      </c>
      <c r="AO28" s="272">
        <v>0</v>
      </c>
      <c r="AP28" s="272">
        <v>59177</v>
      </c>
      <c r="AQ28" s="272">
        <v>284138</v>
      </c>
      <c r="AR28" s="272">
        <v>0</v>
      </c>
      <c r="AS28" s="272">
        <v>0</v>
      </c>
      <c r="AT28" s="272">
        <v>781646</v>
      </c>
      <c r="AU28" s="272">
        <v>239632</v>
      </c>
      <c r="AV28" s="272">
        <v>80059</v>
      </c>
      <c r="AW28" s="272">
        <v>0</v>
      </c>
      <c r="AX28" s="272">
        <v>542014</v>
      </c>
      <c r="AY28" s="272">
        <v>214249</v>
      </c>
      <c r="AZ28" s="272">
        <v>898216</v>
      </c>
      <c r="BA28" s="272">
        <v>697239</v>
      </c>
      <c r="BB28" s="272">
        <v>158105</v>
      </c>
      <c r="BC28" s="272">
        <v>407197</v>
      </c>
      <c r="BD28" s="272">
        <v>394083</v>
      </c>
      <c r="BE28" s="272">
        <v>0</v>
      </c>
      <c r="BF28" s="272">
        <v>7613</v>
      </c>
      <c r="BG28" s="272">
        <v>0</v>
      </c>
      <c r="BH28" s="272">
        <v>781715</v>
      </c>
      <c r="BI28" s="272">
        <v>511356</v>
      </c>
      <c r="BJ28" s="272">
        <v>579328</v>
      </c>
      <c r="BK28" s="272">
        <v>138890</v>
      </c>
      <c r="BL28" s="272">
        <v>95109</v>
      </c>
      <c r="BM28" s="272">
        <v>0</v>
      </c>
      <c r="BN28" s="272">
        <v>1328700</v>
      </c>
      <c r="BO28" s="455">
        <f t="shared" si="5"/>
        <v>1328700</v>
      </c>
      <c r="BP28" s="455">
        <f t="shared" si="6"/>
        <v>0</v>
      </c>
      <c r="BQ28" s="272"/>
      <c r="BR28" s="272"/>
      <c r="BS28" s="272"/>
      <c r="BT28" s="272">
        <v>0</v>
      </c>
      <c r="BU28" s="272">
        <v>24350983</v>
      </c>
      <c r="BV28" s="272"/>
      <c r="BW28" s="272">
        <v>6079023</v>
      </c>
      <c r="BX28" s="272">
        <v>4669788</v>
      </c>
      <c r="BY28" s="272">
        <v>216403</v>
      </c>
      <c r="BZ28" s="272">
        <v>89625</v>
      </c>
      <c r="CA28" s="272">
        <v>1933485</v>
      </c>
      <c r="CB28" s="272">
        <v>143979</v>
      </c>
      <c r="CC28" s="272">
        <v>293959</v>
      </c>
      <c r="CD28" s="272">
        <v>525864</v>
      </c>
      <c r="CE28" s="272">
        <v>940316</v>
      </c>
      <c r="CF28" s="272">
        <v>0</v>
      </c>
      <c r="CG28" s="272">
        <v>29367</v>
      </c>
      <c r="CH28" s="272">
        <v>2372201</v>
      </c>
      <c r="CI28" s="272">
        <v>1002492</v>
      </c>
      <c r="CJ28" s="455">
        <f t="shared" si="7"/>
        <v>1369709</v>
      </c>
      <c r="CK28" s="272">
        <v>2287594</v>
      </c>
      <c r="CL28" s="272">
        <v>1009284</v>
      </c>
      <c r="CM28" s="272">
        <v>154337</v>
      </c>
      <c r="CN28" s="272">
        <v>722391</v>
      </c>
      <c r="CO28" s="272">
        <v>298827</v>
      </c>
      <c r="CP28" s="272">
        <v>1143356</v>
      </c>
      <c r="CQ28" s="272">
        <v>12226</v>
      </c>
      <c r="CR28" s="272">
        <v>369713</v>
      </c>
      <c r="CS28" s="272">
        <v>316071</v>
      </c>
      <c r="CT28" s="455">
        <f t="shared" si="8"/>
        <v>5633</v>
      </c>
      <c r="CU28" s="272">
        <v>0</v>
      </c>
      <c r="CV28" s="272">
        <v>5633</v>
      </c>
      <c r="CW28" s="455">
        <f t="shared" si="9"/>
        <v>0</v>
      </c>
      <c r="CX28" s="272">
        <v>0</v>
      </c>
      <c r="CY28" s="272">
        <v>0</v>
      </c>
      <c r="CZ28" s="455">
        <f t="shared" si="10"/>
        <v>0</v>
      </c>
      <c r="DA28" s="272">
        <v>0</v>
      </c>
      <c r="DB28" s="272">
        <v>0</v>
      </c>
      <c r="DC28" s="272">
        <v>3625320</v>
      </c>
      <c r="DD28" s="272">
        <v>662518</v>
      </c>
      <c r="DE28" s="272">
        <v>2830467</v>
      </c>
      <c r="DF28" s="272">
        <v>0</v>
      </c>
      <c r="DG28" s="272">
        <v>132335</v>
      </c>
      <c r="DH28" s="272">
        <v>0</v>
      </c>
      <c r="DI28" s="272">
        <v>3504378</v>
      </c>
      <c r="DJ28" s="272">
        <v>536827</v>
      </c>
      <c r="DK28" s="272">
        <v>661485</v>
      </c>
      <c r="DL28" s="272">
        <v>2306066</v>
      </c>
      <c r="DM28" s="272">
        <v>0</v>
      </c>
      <c r="DN28" s="272">
        <v>0</v>
      </c>
      <c r="DO28" s="272">
        <v>0</v>
      </c>
      <c r="DP28" s="272">
        <v>0</v>
      </c>
      <c r="DQ28" s="272">
        <v>134524</v>
      </c>
      <c r="DR28" s="272">
        <v>0</v>
      </c>
      <c r="DS28" s="272">
        <v>0</v>
      </c>
      <c r="DT28" s="272">
        <v>2116392</v>
      </c>
      <c r="DU28" s="272">
        <v>1712337</v>
      </c>
      <c r="DV28" s="455">
        <f t="shared" si="11"/>
        <v>0</v>
      </c>
      <c r="DW28" s="272">
        <v>0</v>
      </c>
      <c r="DX28" s="272">
        <v>0</v>
      </c>
      <c r="DY28" s="457" t="s">
        <v>646</v>
      </c>
      <c r="DZ28" s="272">
        <v>250795</v>
      </c>
      <c r="EA28" s="272">
        <v>150750</v>
      </c>
      <c r="EB28" s="272"/>
      <c r="EC28" s="272">
        <v>0</v>
      </c>
      <c r="ED28" s="272">
        <v>23495100</v>
      </c>
      <c r="EF28" s="272">
        <v>855883</v>
      </c>
      <c r="EG28" s="272">
        <v>328737</v>
      </c>
      <c r="EH28" s="272">
        <v>527146</v>
      </c>
      <c r="EI28" s="272">
        <v>15790</v>
      </c>
      <c r="EJ28" s="272">
        <v>158534</v>
      </c>
      <c r="EL28" s="272"/>
      <c r="EM28" s="272">
        <v>86305</v>
      </c>
      <c r="EN28" s="272">
        <v>399584</v>
      </c>
      <c r="EO28" s="272">
        <v>393543</v>
      </c>
      <c r="EP28" s="455">
        <f t="shared" si="12"/>
        <v>1454949</v>
      </c>
      <c r="EQ28" s="272">
        <v>17171546</v>
      </c>
      <c r="ER28" s="272">
        <v>-2228158</v>
      </c>
      <c r="ES28" s="272">
        <v>5636715</v>
      </c>
      <c r="ET28" s="272">
        <v>4239110</v>
      </c>
      <c r="EU28" s="272">
        <v>520982</v>
      </c>
      <c r="EV28" s="272">
        <v>2368514</v>
      </c>
      <c r="EW28" s="455">
        <f t="shared" si="13"/>
        <v>1357171</v>
      </c>
      <c r="EX28" s="272">
        <v>1357171</v>
      </c>
      <c r="EY28" s="272">
        <v>142564</v>
      </c>
      <c r="EZ28" s="272">
        <v>1214607</v>
      </c>
      <c r="FA28" s="272">
        <v>0</v>
      </c>
      <c r="FB28" s="272">
        <v>0</v>
      </c>
      <c r="FC28" s="272">
        <v>1801613</v>
      </c>
      <c r="FD28" s="272">
        <v>1091470</v>
      </c>
      <c r="FE28" s="272">
        <v>12226</v>
      </c>
      <c r="FF28" s="272">
        <v>2077976</v>
      </c>
      <c r="FG28" s="455">
        <f t="shared" si="14"/>
        <v>3689380</v>
      </c>
      <c r="FH28" s="272">
        <v>18543821</v>
      </c>
      <c r="FI28" s="384">
        <f t="shared" si="15"/>
        <v>3.6</v>
      </c>
      <c r="FJ28" s="272">
        <v>14585902</v>
      </c>
      <c r="FK28" s="272"/>
      <c r="FL28" s="272">
        <v>10979424</v>
      </c>
      <c r="FM28" s="272">
        <v>10231934</v>
      </c>
      <c r="FN28" s="460">
        <v>1.026</v>
      </c>
      <c r="FO28" s="388">
        <v>80.099999999999994</v>
      </c>
      <c r="FP28" s="388">
        <v>34.9</v>
      </c>
      <c r="FQ28" s="388">
        <v>3.3</v>
      </c>
      <c r="FR28" s="388">
        <v>14.9</v>
      </c>
      <c r="FS28" s="388">
        <v>11.3</v>
      </c>
      <c r="FT28" s="388">
        <v>6.4</v>
      </c>
      <c r="FU28" s="388">
        <v>7.6</v>
      </c>
      <c r="FV28" s="388">
        <v>12.8</v>
      </c>
      <c r="FW28" s="272">
        <v>20654472</v>
      </c>
      <c r="FX28" s="384">
        <f t="shared" si="16"/>
        <v>141.6</v>
      </c>
      <c r="FY28" s="272">
        <v>7495965</v>
      </c>
      <c r="FZ28" s="272">
        <v>3630435</v>
      </c>
      <c r="GA28" s="272">
        <v>661485</v>
      </c>
      <c r="GB28" s="272">
        <v>3204045</v>
      </c>
      <c r="GC28" s="272"/>
      <c r="GD28" s="272">
        <v>1900464</v>
      </c>
      <c r="GE28" s="384">
        <f t="shared" si="17"/>
        <v>13</v>
      </c>
      <c r="GF28" s="388">
        <v>99.1</v>
      </c>
      <c r="GG28" s="388">
        <v>36.299999999999997</v>
      </c>
      <c r="GH28" s="388">
        <v>97.6</v>
      </c>
      <c r="GI28" s="272">
        <v>749</v>
      </c>
    </row>
    <row r="29" spans="2:191" x14ac:dyDescent="0.15">
      <c r="B29" s="89" t="s">
        <v>51</v>
      </c>
      <c r="C29" s="272">
        <v>13494619</v>
      </c>
      <c r="D29" s="455">
        <f t="shared" si="0"/>
        <v>3535746</v>
      </c>
      <c r="E29" s="272">
        <v>45436</v>
      </c>
      <c r="F29" s="272">
        <v>3490310</v>
      </c>
      <c r="G29" s="455">
        <f t="shared" si="1"/>
        <v>1758062</v>
      </c>
      <c r="H29" s="272">
        <v>106217</v>
      </c>
      <c r="I29" s="272">
        <v>1651845</v>
      </c>
      <c r="J29" s="272">
        <v>6476128</v>
      </c>
      <c r="K29" s="272">
        <v>4095850</v>
      </c>
      <c r="L29" s="272">
        <v>904031</v>
      </c>
      <c r="M29" s="272">
        <v>1444597</v>
      </c>
      <c r="N29" s="272">
        <v>300001</v>
      </c>
      <c r="O29" s="272">
        <v>1311045</v>
      </c>
      <c r="P29" s="272">
        <v>1102763</v>
      </c>
      <c r="Q29" s="272">
        <v>208282</v>
      </c>
      <c r="R29" s="272">
        <v>474228</v>
      </c>
      <c r="S29" s="272">
        <v>325921</v>
      </c>
      <c r="T29" s="455">
        <f t="shared" si="2"/>
        <v>483346</v>
      </c>
      <c r="U29" s="272">
        <v>300340</v>
      </c>
      <c r="V29" s="272"/>
      <c r="W29" s="272"/>
      <c r="X29" s="272"/>
      <c r="Y29" s="272">
        <v>0</v>
      </c>
      <c r="Z29" s="272"/>
      <c r="AA29" s="272">
        <v>183006</v>
      </c>
      <c r="AB29" s="272"/>
      <c r="AC29" s="272">
        <v>48611</v>
      </c>
      <c r="AD29" s="272">
        <v>0</v>
      </c>
      <c r="AE29" s="272">
        <v>48611</v>
      </c>
      <c r="AF29" s="272">
        <v>11371</v>
      </c>
      <c r="AG29" s="272">
        <v>59812</v>
      </c>
      <c r="AH29" s="455">
        <f t="shared" si="3"/>
        <v>263289</v>
      </c>
      <c r="AI29" s="272">
        <v>245680</v>
      </c>
      <c r="AJ29" s="272">
        <v>17609</v>
      </c>
      <c r="AK29" s="272">
        <v>1219050</v>
      </c>
      <c r="AL29" s="455">
        <f t="shared" si="4"/>
        <v>791489</v>
      </c>
      <c r="AM29" s="272">
        <v>630700</v>
      </c>
      <c r="AN29" s="272">
        <v>85317</v>
      </c>
      <c r="AO29" s="272">
        <v>0</v>
      </c>
      <c r="AP29" s="272">
        <v>75472</v>
      </c>
      <c r="AQ29" s="272">
        <v>41971</v>
      </c>
      <c r="AR29" s="272">
        <v>0</v>
      </c>
      <c r="AS29" s="272">
        <v>0</v>
      </c>
      <c r="AT29" s="272">
        <v>668532</v>
      </c>
      <c r="AU29" s="272">
        <v>251536</v>
      </c>
      <c r="AV29" s="272">
        <v>47942</v>
      </c>
      <c r="AW29" s="272">
        <v>0</v>
      </c>
      <c r="AX29" s="272">
        <v>416996</v>
      </c>
      <c r="AY29" s="272">
        <v>31150</v>
      </c>
      <c r="AZ29" s="272">
        <v>469165</v>
      </c>
      <c r="BA29" s="272">
        <v>228</v>
      </c>
      <c r="BB29" s="272">
        <v>102235</v>
      </c>
      <c r="BC29" s="272">
        <v>5977</v>
      </c>
      <c r="BD29" s="272">
        <v>0</v>
      </c>
      <c r="BE29" s="272">
        <v>0</v>
      </c>
      <c r="BF29" s="272">
        <v>2500</v>
      </c>
      <c r="BG29" s="272">
        <v>0</v>
      </c>
      <c r="BH29" s="272">
        <v>614495</v>
      </c>
      <c r="BI29" s="272">
        <v>494605</v>
      </c>
      <c r="BJ29" s="272">
        <v>328521</v>
      </c>
      <c r="BK29" s="272">
        <v>51695</v>
      </c>
      <c r="BL29" s="272">
        <v>0</v>
      </c>
      <c r="BM29" s="272">
        <v>0</v>
      </c>
      <c r="BN29" s="272">
        <v>77100</v>
      </c>
      <c r="BO29" s="455">
        <f t="shared" si="5"/>
        <v>77100</v>
      </c>
      <c r="BP29" s="455">
        <f t="shared" si="6"/>
        <v>0</v>
      </c>
      <c r="BQ29" s="272"/>
      <c r="BR29" s="272"/>
      <c r="BS29" s="272"/>
      <c r="BT29" s="272">
        <v>0</v>
      </c>
      <c r="BU29" s="272">
        <v>18320351</v>
      </c>
      <c r="BV29" s="272"/>
      <c r="BW29" s="272">
        <v>4926417</v>
      </c>
      <c r="BX29" s="272">
        <v>3655773</v>
      </c>
      <c r="BY29" s="272">
        <v>319250</v>
      </c>
      <c r="BZ29" s="272">
        <v>77514</v>
      </c>
      <c r="CA29" s="272">
        <v>1691635</v>
      </c>
      <c r="CB29" s="272">
        <v>146461</v>
      </c>
      <c r="CC29" s="272">
        <v>343163</v>
      </c>
      <c r="CD29" s="272">
        <v>332563</v>
      </c>
      <c r="CE29" s="272">
        <v>837044</v>
      </c>
      <c r="CF29" s="272">
        <v>0</v>
      </c>
      <c r="CG29" s="272">
        <v>32404</v>
      </c>
      <c r="CH29" s="272">
        <v>523675</v>
      </c>
      <c r="CI29" s="272">
        <v>234399</v>
      </c>
      <c r="CJ29" s="455">
        <f t="shared" si="7"/>
        <v>289276</v>
      </c>
      <c r="CK29" s="272">
        <v>1727545</v>
      </c>
      <c r="CL29" s="272">
        <v>1010984</v>
      </c>
      <c r="CM29" s="272">
        <v>34936</v>
      </c>
      <c r="CN29" s="272">
        <v>414959</v>
      </c>
      <c r="CO29" s="272">
        <v>106096</v>
      </c>
      <c r="CP29" s="272">
        <v>1924327</v>
      </c>
      <c r="CQ29" s="272">
        <v>1276724</v>
      </c>
      <c r="CR29" s="272">
        <v>224922</v>
      </c>
      <c r="CS29" s="272">
        <v>224922</v>
      </c>
      <c r="CT29" s="455">
        <f t="shared" si="8"/>
        <v>51732</v>
      </c>
      <c r="CU29" s="272">
        <v>1642</v>
      </c>
      <c r="CV29" s="272">
        <v>50090</v>
      </c>
      <c r="CW29" s="455">
        <f t="shared" si="9"/>
        <v>0</v>
      </c>
      <c r="CX29" s="272">
        <v>0</v>
      </c>
      <c r="CY29" s="272">
        <v>0</v>
      </c>
      <c r="CZ29" s="455">
        <f t="shared" si="10"/>
        <v>0</v>
      </c>
      <c r="DA29" s="272">
        <v>0</v>
      </c>
      <c r="DB29" s="272">
        <v>0</v>
      </c>
      <c r="DC29" s="272">
        <v>3322783</v>
      </c>
      <c r="DD29" s="272">
        <v>133473</v>
      </c>
      <c r="DE29" s="272">
        <v>3189310</v>
      </c>
      <c r="DF29" s="272">
        <v>0</v>
      </c>
      <c r="DG29" s="272">
        <v>0</v>
      </c>
      <c r="DH29" s="272">
        <v>0</v>
      </c>
      <c r="DI29" s="272">
        <v>2172758</v>
      </c>
      <c r="DJ29" s="272">
        <v>598549</v>
      </c>
      <c r="DK29" s="272">
        <v>0</v>
      </c>
      <c r="DL29" s="272">
        <v>1574209</v>
      </c>
      <c r="DM29" s="272">
        <v>1000</v>
      </c>
      <c r="DN29" s="272">
        <v>0</v>
      </c>
      <c r="DO29" s="272">
        <v>0</v>
      </c>
      <c r="DP29" s="272">
        <v>0</v>
      </c>
      <c r="DQ29" s="272">
        <v>51000</v>
      </c>
      <c r="DR29" s="272">
        <v>0</v>
      </c>
      <c r="DS29" s="272">
        <v>0</v>
      </c>
      <c r="DT29" s="272">
        <v>1443924</v>
      </c>
      <c r="DU29" s="272">
        <v>966552</v>
      </c>
      <c r="DV29" s="455">
        <f t="shared" si="11"/>
        <v>0</v>
      </c>
      <c r="DW29" s="272">
        <v>0</v>
      </c>
      <c r="DX29" s="272">
        <v>0</v>
      </c>
      <c r="DY29" s="457" t="s">
        <v>646</v>
      </c>
      <c r="DZ29" s="272">
        <v>308067</v>
      </c>
      <c r="EA29" s="272">
        <v>157565</v>
      </c>
      <c r="EB29" s="272"/>
      <c r="EC29" s="272">
        <v>0</v>
      </c>
      <c r="ED29" s="272">
        <v>17891160</v>
      </c>
      <c r="EF29" s="272">
        <v>429191</v>
      </c>
      <c r="EG29" s="272">
        <v>154738</v>
      </c>
      <c r="EH29" s="272">
        <v>274453</v>
      </c>
      <c r="EI29" s="272">
        <v>-220152</v>
      </c>
      <c r="EJ29" s="272">
        <v>378397</v>
      </c>
      <c r="EL29" s="272"/>
      <c r="EM29" s="272">
        <v>64703</v>
      </c>
      <c r="EN29" s="272">
        <v>3477</v>
      </c>
      <c r="EO29" s="272">
        <v>8635</v>
      </c>
      <c r="EP29" s="455">
        <f t="shared" si="12"/>
        <v>970710</v>
      </c>
      <c r="EQ29" s="272">
        <v>14512175</v>
      </c>
      <c r="ER29" s="272">
        <v>-971451</v>
      </c>
      <c r="ES29" s="272">
        <v>4605471</v>
      </c>
      <c r="ET29" s="272">
        <v>3350960</v>
      </c>
      <c r="EU29" s="272">
        <v>480475</v>
      </c>
      <c r="EV29" s="272">
        <v>508089</v>
      </c>
      <c r="EW29" s="455">
        <f t="shared" si="13"/>
        <v>3053755</v>
      </c>
      <c r="EX29" s="272">
        <v>3053755</v>
      </c>
      <c r="EY29" s="272">
        <v>84052</v>
      </c>
      <c r="EZ29" s="272">
        <v>2969703</v>
      </c>
      <c r="FA29" s="272">
        <v>0</v>
      </c>
      <c r="FB29" s="272">
        <v>0</v>
      </c>
      <c r="FC29" s="272">
        <v>1393367</v>
      </c>
      <c r="FD29" s="272">
        <v>1843837</v>
      </c>
      <c r="FE29" s="272">
        <v>1276724</v>
      </c>
      <c r="FF29" s="272">
        <v>1380217</v>
      </c>
      <c r="FG29" s="455">
        <f t="shared" si="14"/>
        <v>1792070</v>
      </c>
      <c r="FH29" s="272">
        <v>15057281</v>
      </c>
      <c r="FI29" s="384">
        <f t="shared" si="15"/>
        <v>2.2000000000000002</v>
      </c>
      <c r="FJ29" s="272">
        <v>12712228</v>
      </c>
      <c r="FK29" s="272"/>
      <c r="FL29" s="272">
        <v>9569960</v>
      </c>
      <c r="FM29" s="272">
        <v>7092675</v>
      </c>
      <c r="FN29" s="460">
        <v>1.33</v>
      </c>
      <c r="FO29" s="388">
        <v>69.400000000000006</v>
      </c>
      <c r="FP29" s="388">
        <v>33.700000000000003</v>
      </c>
      <c r="FQ29" s="388">
        <v>3.6</v>
      </c>
      <c r="FR29" s="388">
        <v>3.8</v>
      </c>
      <c r="FS29" s="388">
        <v>10</v>
      </c>
      <c r="FT29" s="388">
        <v>12.8</v>
      </c>
      <c r="FU29" s="388">
        <v>5</v>
      </c>
      <c r="FV29" s="388">
        <v>4.4000000000000004</v>
      </c>
      <c r="FW29" s="272">
        <v>4394830</v>
      </c>
      <c r="FX29" s="384">
        <f t="shared" si="16"/>
        <v>34.6</v>
      </c>
      <c r="FY29" s="272">
        <v>12984066</v>
      </c>
      <c r="FZ29" s="272">
        <v>4912353</v>
      </c>
      <c r="GA29" s="272"/>
      <c r="GB29" s="272">
        <v>8071713</v>
      </c>
      <c r="GC29" s="272"/>
      <c r="GD29" s="272">
        <v>8185174</v>
      </c>
      <c r="GE29" s="384">
        <f t="shared" si="17"/>
        <v>64.400000000000006</v>
      </c>
      <c r="GF29" s="388">
        <v>98.7</v>
      </c>
      <c r="GG29" s="388">
        <v>32.6</v>
      </c>
      <c r="GH29" s="388">
        <v>96.2</v>
      </c>
      <c r="GI29" s="272">
        <v>590</v>
      </c>
    </row>
    <row r="30" spans="2:191" x14ac:dyDescent="0.15">
      <c r="B30" s="89" t="s">
        <v>53</v>
      </c>
      <c r="C30" s="272">
        <v>8057942</v>
      </c>
      <c r="D30" s="455">
        <f t="shared" si="0"/>
        <v>3787943</v>
      </c>
      <c r="E30" s="272">
        <v>44497</v>
      </c>
      <c r="F30" s="272">
        <v>3743446</v>
      </c>
      <c r="G30" s="455">
        <f t="shared" si="1"/>
        <v>1069279</v>
      </c>
      <c r="H30" s="272">
        <v>102347</v>
      </c>
      <c r="I30" s="272">
        <v>966932</v>
      </c>
      <c r="J30" s="272">
        <v>2199343</v>
      </c>
      <c r="K30" s="272">
        <v>1124271</v>
      </c>
      <c r="L30" s="272">
        <v>834402</v>
      </c>
      <c r="M30" s="272">
        <v>233913</v>
      </c>
      <c r="N30" s="272">
        <v>278758</v>
      </c>
      <c r="O30" s="272">
        <v>629699</v>
      </c>
      <c r="P30" s="272">
        <v>434646</v>
      </c>
      <c r="Q30" s="272">
        <v>195053</v>
      </c>
      <c r="R30" s="272">
        <v>275823</v>
      </c>
      <c r="S30" s="272">
        <v>176726</v>
      </c>
      <c r="T30" s="455">
        <f t="shared" si="2"/>
        <v>500077</v>
      </c>
      <c r="U30" s="272">
        <v>313022</v>
      </c>
      <c r="V30" s="272"/>
      <c r="W30" s="272"/>
      <c r="X30" s="272"/>
      <c r="Y30" s="272">
        <v>0</v>
      </c>
      <c r="Z30" s="272"/>
      <c r="AA30" s="272">
        <v>187055</v>
      </c>
      <c r="AB30" s="272"/>
      <c r="AC30" s="272">
        <v>1418572</v>
      </c>
      <c r="AD30" s="272">
        <v>1239874</v>
      </c>
      <c r="AE30" s="272">
        <v>178698</v>
      </c>
      <c r="AF30" s="272">
        <v>14419</v>
      </c>
      <c r="AG30" s="272">
        <v>41541</v>
      </c>
      <c r="AH30" s="455">
        <f t="shared" si="3"/>
        <v>231745</v>
      </c>
      <c r="AI30" s="272">
        <v>215090</v>
      </c>
      <c r="AJ30" s="272">
        <v>16655</v>
      </c>
      <c r="AK30" s="272">
        <v>985071</v>
      </c>
      <c r="AL30" s="455">
        <f t="shared" si="4"/>
        <v>682686</v>
      </c>
      <c r="AM30" s="272">
        <v>564095</v>
      </c>
      <c r="AN30" s="272">
        <v>74374</v>
      </c>
      <c r="AO30" s="272">
        <v>0</v>
      </c>
      <c r="AP30" s="272">
        <v>44217</v>
      </c>
      <c r="AQ30" s="272">
        <v>62910</v>
      </c>
      <c r="AR30" s="272">
        <v>0</v>
      </c>
      <c r="AS30" s="272">
        <v>0</v>
      </c>
      <c r="AT30" s="272">
        <v>609821</v>
      </c>
      <c r="AU30" s="272">
        <v>173549</v>
      </c>
      <c r="AV30" s="272">
        <v>38037</v>
      </c>
      <c r="AW30" s="272">
        <v>24716</v>
      </c>
      <c r="AX30" s="272">
        <v>436272</v>
      </c>
      <c r="AY30" s="272">
        <v>100246</v>
      </c>
      <c r="AZ30" s="272">
        <v>222934</v>
      </c>
      <c r="BA30" s="272">
        <v>3807</v>
      </c>
      <c r="BB30" s="272">
        <v>174554</v>
      </c>
      <c r="BC30" s="272">
        <v>956919</v>
      </c>
      <c r="BD30" s="272">
        <v>500000</v>
      </c>
      <c r="BE30" s="272">
        <v>0</v>
      </c>
      <c r="BF30" s="272">
        <v>446919</v>
      </c>
      <c r="BG30" s="272">
        <v>0</v>
      </c>
      <c r="BH30" s="272">
        <v>43804</v>
      </c>
      <c r="BI30" s="272">
        <v>34756</v>
      </c>
      <c r="BJ30" s="272">
        <v>157995</v>
      </c>
      <c r="BK30" s="272">
        <v>29178</v>
      </c>
      <c r="BL30" s="272">
        <v>0</v>
      </c>
      <c r="BM30" s="272">
        <v>0</v>
      </c>
      <c r="BN30" s="272">
        <v>421200</v>
      </c>
      <c r="BO30" s="455">
        <f t="shared" si="5"/>
        <v>421200</v>
      </c>
      <c r="BP30" s="455">
        <f t="shared" si="6"/>
        <v>0</v>
      </c>
      <c r="BQ30" s="272"/>
      <c r="BR30" s="272"/>
      <c r="BS30" s="272"/>
      <c r="BT30" s="272">
        <v>0</v>
      </c>
      <c r="BU30" s="272">
        <v>14112417</v>
      </c>
      <c r="BV30" s="272"/>
      <c r="BW30" s="272">
        <v>3845262</v>
      </c>
      <c r="BX30" s="272">
        <v>2893070</v>
      </c>
      <c r="BY30" s="272">
        <v>187566</v>
      </c>
      <c r="BZ30" s="272">
        <v>36613</v>
      </c>
      <c r="CA30" s="272">
        <v>1461412</v>
      </c>
      <c r="CB30" s="272">
        <v>159262</v>
      </c>
      <c r="CC30" s="272">
        <v>305272</v>
      </c>
      <c r="CD30" s="272">
        <v>243898</v>
      </c>
      <c r="CE30" s="272">
        <v>732669</v>
      </c>
      <c r="CF30" s="272">
        <v>0</v>
      </c>
      <c r="CG30" s="272">
        <v>20186</v>
      </c>
      <c r="CH30" s="272">
        <v>1030395</v>
      </c>
      <c r="CI30" s="272">
        <v>597271</v>
      </c>
      <c r="CJ30" s="455">
        <f t="shared" si="7"/>
        <v>433124</v>
      </c>
      <c r="CK30" s="272">
        <v>1297627</v>
      </c>
      <c r="CL30" s="272">
        <v>597251</v>
      </c>
      <c r="CM30" s="272">
        <v>153526</v>
      </c>
      <c r="CN30" s="272">
        <v>335341</v>
      </c>
      <c r="CO30" s="272">
        <v>69296</v>
      </c>
      <c r="CP30" s="272">
        <v>1903944</v>
      </c>
      <c r="CQ30" s="272">
        <v>1351574</v>
      </c>
      <c r="CR30" s="272">
        <v>154644</v>
      </c>
      <c r="CS30" s="272">
        <v>105684</v>
      </c>
      <c r="CT30" s="455">
        <f t="shared" si="8"/>
        <v>145273</v>
      </c>
      <c r="CU30" s="272">
        <v>136445</v>
      </c>
      <c r="CV30" s="272">
        <v>8828</v>
      </c>
      <c r="CW30" s="455">
        <f t="shared" si="9"/>
        <v>141089</v>
      </c>
      <c r="CX30" s="272">
        <v>132261</v>
      </c>
      <c r="CY30" s="272">
        <v>8828</v>
      </c>
      <c r="CZ30" s="455">
        <f t="shared" si="10"/>
        <v>0</v>
      </c>
      <c r="DA30" s="272">
        <v>0</v>
      </c>
      <c r="DB30" s="272">
        <v>0</v>
      </c>
      <c r="DC30" s="272">
        <v>1549092</v>
      </c>
      <c r="DD30" s="272">
        <v>184409</v>
      </c>
      <c r="DE30" s="272">
        <v>1364683</v>
      </c>
      <c r="DF30" s="272">
        <v>0</v>
      </c>
      <c r="DG30" s="272">
        <v>0</v>
      </c>
      <c r="DH30" s="272">
        <v>0</v>
      </c>
      <c r="DI30" s="272">
        <v>1681381</v>
      </c>
      <c r="DJ30" s="272">
        <v>55038</v>
      </c>
      <c r="DK30" s="272">
        <v>620000</v>
      </c>
      <c r="DL30" s="272">
        <v>1006343</v>
      </c>
      <c r="DM30" s="272">
        <v>0</v>
      </c>
      <c r="DN30" s="272">
        <v>0</v>
      </c>
      <c r="DO30" s="272">
        <v>0</v>
      </c>
      <c r="DP30" s="272">
        <v>0</v>
      </c>
      <c r="DQ30" s="272">
        <v>20000</v>
      </c>
      <c r="DR30" s="272">
        <v>0</v>
      </c>
      <c r="DS30" s="272">
        <v>0</v>
      </c>
      <c r="DT30" s="272">
        <v>1169048</v>
      </c>
      <c r="DU30" s="272">
        <v>795737</v>
      </c>
      <c r="DV30" s="455">
        <f t="shared" si="11"/>
        <v>0</v>
      </c>
      <c r="DW30" s="272">
        <v>0</v>
      </c>
      <c r="DX30" s="272">
        <v>0</v>
      </c>
      <c r="DY30" s="457" t="s">
        <v>646</v>
      </c>
      <c r="DZ30" s="272">
        <v>223290</v>
      </c>
      <c r="EA30" s="272">
        <v>149986</v>
      </c>
      <c r="EB30" s="272"/>
      <c r="EC30" s="272">
        <v>0</v>
      </c>
      <c r="ED30" s="272">
        <v>14027457</v>
      </c>
      <c r="EF30" s="272">
        <v>84960</v>
      </c>
      <c r="EG30" s="272">
        <v>7741</v>
      </c>
      <c r="EH30" s="272">
        <v>77219</v>
      </c>
      <c r="EI30" s="272">
        <v>7063</v>
      </c>
      <c r="EJ30" s="272">
        <v>-437899</v>
      </c>
      <c r="EL30" s="272"/>
      <c r="EM30" s="272">
        <v>65678</v>
      </c>
      <c r="EN30" s="272">
        <v>510000</v>
      </c>
      <c r="EO30" s="272">
        <v>4223</v>
      </c>
      <c r="EP30" s="455">
        <f t="shared" si="12"/>
        <v>332350</v>
      </c>
      <c r="EQ30" s="272">
        <v>10266833</v>
      </c>
      <c r="ER30" s="272">
        <v>-832154</v>
      </c>
      <c r="ES30" s="272">
        <v>3529936</v>
      </c>
      <c r="ET30" s="272">
        <v>2628271</v>
      </c>
      <c r="EU30" s="272">
        <v>460022</v>
      </c>
      <c r="EV30" s="272">
        <v>1005875</v>
      </c>
      <c r="EW30" s="455">
        <f t="shared" si="13"/>
        <v>591520</v>
      </c>
      <c r="EX30" s="272">
        <v>591520</v>
      </c>
      <c r="EY30" s="272">
        <v>21193</v>
      </c>
      <c r="EZ30" s="272">
        <v>570327</v>
      </c>
      <c r="FA30" s="272">
        <v>0</v>
      </c>
      <c r="FB30" s="272">
        <v>0</v>
      </c>
      <c r="FC30" s="272">
        <v>1044994</v>
      </c>
      <c r="FD30" s="272">
        <v>1718453</v>
      </c>
      <c r="FE30" s="272">
        <v>1251574</v>
      </c>
      <c r="FF30" s="272">
        <v>1122672</v>
      </c>
      <c r="FG30" s="455">
        <f t="shared" si="14"/>
        <v>1552001</v>
      </c>
      <c r="FH30" s="272">
        <v>11025473</v>
      </c>
      <c r="FI30" s="384">
        <f t="shared" si="15"/>
        <v>0.9</v>
      </c>
      <c r="FJ30" s="272">
        <v>8899143</v>
      </c>
      <c r="FK30" s="272"/>
      <c r="FL30" s="272">
        <v>5772920</v>
      </c>
      <c r="FM30" s="272">
        <v>7010567</v>
      </c>
      <c r="FN30" s="460">
        <v>0.82</v>
      </c>
      <c r="FO30" s="388">
        <v>81.8</v>
      </c>
      <c r="FP30" s="388">
        <v>36.6</v>
      </c>
      <c r="FQ30" s="388">
        <v>4.3</v>
      </c>
      <c r="FR30" s="388">
        <v>10.3</v>
      </c>
      <c r="FS30" s="388">
        <v>9.5</v>
      </c>
      <c r="FT30" s="388">
        <v>15.9</v>
      </c>
      <c r="FU30" s="388">
        <v>4.3</v>
      </c>
      <c r="FV30" s="388">
        <v>9.8000000000000007</v>
      </c>
      <c r="FW30" s="272">
        <v>6992623</v>
      </c>
      <c r="FX30" s="384">
        <f t="shared" si="16"/>
        <v>78.599999999999994</v>
      </c>
      <c r="FY30" s="272">
        <v>5011170</v>
      </c>
      <c r="FZ30" s="272">
        <v>607664</v>
      </c>
      <c r="GA30" s="272">
        <v>620000</v>
      </c>
      <c r="GB30" s="272">
        <v>3783506</v>
      </c>
      <c r="GC30" s="272"/>
      <c r="GD30" s="272"/>
      <c r="GE30" s="384">
        <f t="shared" si="17"/>
        <v>0</v>
      </c>
      <c r="GF30" s="388">
        <v>98</v>
      </c>
      <c r="GG30" s="388">
        <v>31.1</v>
      </c>
      <c r="GH30" s="388">
        <v>94.5</v>
      </c>
      <c r="GI30" s="272">
        <v>492</v>
      </c>
    </row>
    <row r="31" spans="2:191" x14ac:dyDescent="0.15">
      <c r="B31" s="89" t="s">
        <v>55</v>
      </c>
      <c r="C31" s="272">
        <v>78215741</v>
      </c>
      <c r="D31" s="455">
        <f t="shared" si="0"/>
        <v>25311803</v>
      </c>
      <c r="E31" s="272">
        <v>439587</v>
      </c>
      <c r="F31" s="272">
        <v>24872216</v>
      </c>
      <c r="G31" s="455">
        <f t="shared" si="1"/>
        <v>14509373</v>
      </c>
      <c r="H31" s="272">
        <v>1055365</v>
      </c>
      <c r="I31" s="272">
        <v>13454008</v>
      </c>
      <c r="J31" s="272">
        <v>25736282</v>
      </c>
      <c r="K31" s="272">
        <v>14201450</v>
      </c>
      <c r="L31" s="272">
        <v>7873505</v>
      </c>
      <c r="M31" s="272">
        <v>3542823</v>
      </c>
      <c r="N31" s="272">
        <v>2669892</v>
      </c>
      <c r="O31" s="272">
        <v>6501670</v>
      </c>
      <c r="P31" s="272">
        <v>4705235</v>
      </c>
      <c r="Q31" s="272">
        <v>1796435</v>
      </c>
      <c r="R31" s="272">
        <v>2764228</v>
      </c>
      <c r="S31" s="272">
        <v>2012410</v>
      </c>
      <c r="T31" s="455">
        <f t="shared" si="2"/>
        <v>3501387</v>
      </c>
      <c r="U31" s="272">
        <v>2084652</v>
      </c>
      <c r="V31" s="272"/>
      <c r="W31" s="272"/>
      <c r="X31" s="272"/>
      <c r="Y31" s="272">
        <v>0</v>
      </c>
      <c r="Z31" s="272"/>
      <c r="AA31" s="272">
        <v>1416735</v>
      </c>
      <c r="AB31" s="272"/>
      <c r="AC31" s="272">
        <v>828152</v>
      </c>
      <c r="AD31" s="272">
        <v>0</v>
      </c>
      <c r="AE31" s="272">
        <v>828152</v>
      </c>
      <c r="AF31" s="272">
        <v>100759</v>
      </c>
      <c r="AG31" s="272">
        <v>4800538</v>
      </c>
      <c r="AH31" s="455">
        <f t="shared" si="3"/>
        <v>1785363</v>
      </c>
      <c r="AI31" s="272">
        <v>1031705</v>
      </c>
      <c r="AJ31" s="272">
        <v>753658</v>
      </c>
      <c r="AK31" s="272">
        <v>13396707</v>
      </c>
      <c r="AL31" s="455">
        <f t="shared" si="4"/>
        <v>9709598</v>
      </c>
      <c r="AM31" s="272">
        <v>8255857</v>
      </c>
      <c r="AN31" s="272">
        <v>819370</v>
      </c>
      <c r="AO31" s="272">
        <v>117347</v>
      </c>
      <c r="AP31" s="272">
        <v>517024</v>
      </c>
      <c r="AQ31" s="272">
        <v>1141509</v>
      </c>
      <c r="AR31" s="272">
        <v>0</v>
      </c>
      <c r="AS31" s="272">
        <v>0</v>
      </c>
      <c r="AT31" s="272">
        <v>6614385</v>
      </c>
      <c r="AU31" s="272">
        <v>1341993</v>
      </c>
      <c r="AV31" s="272">
        <v>409684</v>
      </c>
      <c r="AW31" s="272">
        <v>4681</v>
      </c>
      <c r="AX31" s="272">
        <v>5272392</v>
      </c>
      <c r="AY31" s="272">
        <v>1735667</v>
      </c>
      <c r="AZ31" s="272">
        <v>990899</v>
      </c>
      <c r="BA31" s="272">
        <v>592166</v>
      </c>
      <c r="BB31" s="272">
        <v>1300123</v>
      </c>
      <c r="BC31" s="272">
        <v>562947</v>
      </c>
      <c r="BD31" s="272">
        <v>0</v>
      </c>
      <c r="BE31" s="272">
        <v>0</v>
      </c>
      <c r="BF31" s="272">
        <v>400000</v>
      </c>
      <c r="BG31" s="272">
        <v>0</v>
      </c>
      <c r="BH31" s="272">
        <v>1696411</v>
      </c>
      <c r="BI31" s="272">
        <v>0</v>
      </c>
      <c r="BJ31" s="272">
        <v>2443323</v>
      </c>
      <c r="BK31" s="272">
        <v>562396</v>
      </c>
      <c r="BL31" s="272">
        <v>162525</v>
      </c>
      <c r="BM31" s="272">
        <v>717718</v>
      </c>
      <c r="BN31" s="272">
        <v>8244370</v>
      </c>
      <c r="BO31" s="455">
        <f t="shared" si="5"/>
        <v>8244370</v>
      </c>
      <c r="BP31" s="455">
        <f t="shared" si="6"/>
        <v>0</v>
      </c>
      <c r="BQ31" s="272"/>
      <c r="BR31" s="272"/>
      <c r="BS31" s="272"/>
      <c r="BT31" s="272">
        <v>0</v>
      </c>
      <c r="BU31" s="272">
        <v>127245333</v>
      </c>
      <c r="BV31" s="272"/>
      <c r="BW31" s="272">
        <v>39293706</v>
      </c>
      <c r="BX31" s="272">
        <v>30152207</v>
      </c>
      <c r="BY31" s="272">
        <v>2820834</v>
      </c>
      <c r="BZ31" s="272">
        <v>434145</v>
      </c>
      <c r="CA31" s="272">
        <v>22820184</v>
      </c>
      <c r="CB31" s="272">
        <v>1329966</v>
      </c>
      <c r="CC31" s="272">
        <v>2530622</v>
      </c>
      <c r="CD31" s="272">
        <v>3056818</v>
      </c>
      <c r="CE31" s="272">
        <v>11029528</v>
      </c>
      <c r="CF31" s="272">
        <v>4356502</v>
      </c>
      <c r="CG31" s="272">
        <v>516736</v>
      </c>
      <c r="CH31" s="272">
        <v>12260837</v>
      </c>
      <c r="CI31" s="272">
        <v>6626259</v>
      </c>
      <c r="CJ31" s="455">
        <f t="shared" si="7"/>
        <v>5634578</v>
      </c>
      <c r="CK31" s="272">
        <v>8541146</v>
      </c>
      <c r="CL31" s="272">
        <v>4215800</v>
      </c>
      <c r="CM31" s="272">
        <v>688537</v>
      </c>
      <c r="CN31" s="272">
        <v>2169681</v>
      </c>
      <c r="CO31" s="272">
        <v>1026217</v>
      </c>
      <c r="CP31" s="272">
        <v>8405204</v>
      </c>
      <c r="CQ31" s="272">
        <v>3982091</v>
      </c>
      <c r="CR31" s="272">
        <v>2110742</v>
      </c>
      <c r="CS31" s="272">
        <v>1817823</v>
      </c>
      <c r="CT31" s="455">
        <f t="shared" si="8"/>
        <v>1092559</v>
      </c>
      <c r="CU31" s="272">
        <v>480077</v>
      </c>
      <c r="CV31" s="272">
        <v>612482</v>
      </c>
      <c r="CW31" s="455">
        <f t="shared" si="9"/>
        <v>1016709</v>
      </c>
      <c r="CX31" s="272">
        <v>404227</v>
      </c>
      <c r="CY31" s="272">
        <v>612482</v>
      </c>
      <c r="CZ31" s="455">
        <f t="shared" si="10"/>
        <v>0</v>
      </c>
      <c r="DA31" s="272">
        <v>0</v>
      </c>
      <c r="DB31" s="272">
        <v>0</v>
      </c>
      <c r="DC31" s="272">
        <v>18524402</v>
      </c>
      <c r="DD31" s="272">
        <v>2971424</v>
      </c>
      <c r="DE31" s="272">
        <v>15301969</v>
      </c>
      <c r="DF31" s="272">
        <v>1545</v>
      </c>
      <c r="DG31" s="272">
        <v>233648</v>
      </c>
      <c r="DH31" s="272">
        <v>17051</v>
      </c>
      <c r="DI31" s="272">
        <v>2060500</v>
      </c>
      <c r="DJ31" s="272">
        <v>69800</v>
      </c>
      <c r="DK31" s="272">
        <v>0</v>
      </c>
      <c r="DL31" s="272">
        <v>1990700</v>
      </c>
      <c r="DM31" s="272">
        <v>148291</v>
      </c>
      <c r="DN31" s="272">
        <v>148291</v>
      </c>
      <c r="DO31" s="272">
        <v>0</v>
      </c>
      <c r="DP31" s="272">
        <v>148291</v>
      </c>
      <c r="DQ31" s="272">
        <v>673094</v>
      </c>
      <c r="DR31" s="272">
        <v>46400</v>
      </c>
      <c r="DS31" s="272">
        <v>46400</v>
      </c>
      <c r="DT31" s="272">
        <v>9671042</v>
      </c>
      <c r="DU31" s="272">
        <v>6322171</v>
      </c>
      <c r="DV31" s="455">
        <f t="shared" si="11"/>
        <v>0</v>
      </c>
      <c r="DW31" s="272">
        <v>0</v>
      </c>
      <c r="DX31" s="272">
        <v>0</v>
      </c>
      <c r="DY31" s="457" t="s">
        <v>646</v>
      </c>
      <c r="DZ31" s="272">
        <v>2113000</v>
      </c>
      <c r="EA31" s="272">
        <v>1227212</v>
      </c>
      <c r="EB31" s="272"/>
      <c r="EC31" s="272">
        <v>0</v>
      </c>
      <c r="ED31" s="272">
        <v>123441674</v>
      </c>
      <c r="EF31" s="272">
        <v>3803659</v>
      </c>
      <c r="EG31" s="272">
        <v>2353795</v>
      </c>
      <c r="EH31" s="272">
        <v>1449864</v>
      </c>
      <c r="EI31" s="272">
        <v>1710483</v>
      </c>
      <c r="EJ31" s="272">
        <v>1780283</v>
      </c>
      <c r="EL31" s="272"/>
      <c r="EM31" s="272">
        <v>499969</v>
      </c>
      <c r="EN31" s="272">
        <v>0</v>
      </c>
      <c r="EO31" s="272">
        <v>357493</v>
      </c>
      <c r="EP31" s="455">
        <f t="shared" si="12"/>
        <v>3868814</v>
      </c>
      <c r="EQ31" s="272">
        <v>85410267</v>
      </c>
      <c r="ER31" s="272">
        <v>-4125548</v>
      </c>
      <c r="ES31" s="272">
        <v>36811118</v>
      </c>
      <c r="ET31" s="272">
        <v>27790717</v>
      </c>
      <c r="EU31" s="272">
        <v>5437754</v>
      </c>
      <c r="EV31" s="272">
        <v>11702671</v>
      </c>
      <c r="EW31" s="455">
        <f t="shared" si="13"/>
        <v>6660439</v>
      </c>
      <c r="EX31" s="272">
        <v>6643388</v>
      </c>
      <c r="EY31" s="272">
        <v>395738</v>
      </c>
      <c r="EZ31" s="272">
        <v>6242589</v>
      </c>
      <c r="FA31" s="272">
        <v>17051</v>
      </c>
      <c r="FB31" s="272">
        <v>0</v>
      </c>
      <c r="FC31" s="272">
        <v>6556406</v>
      </c>
      <c r="FD31" s="272">
        <v>7768562</v>
      </c>
      <c r="FE31" s="272">
        <v>3982091</v>
      </c>
      <c r="FF31" s="272">
        <v>9234434</v>
      </c>
      <c r="FG31" s="455">
        <f t="shared" si="14"/>
        <v>1738162</v>
      </c>
      <c r="FH31" s="272">
        <v>85909546</v>
      </c>
      <c r="FI31" s="384">
        <f t="shared" si="15"/>
        <v>2</v>
      </c>
      <c r="FJ31" s="272">
        <v>74235592</v>
      </c>
      <c r="FK31" s="272"/>
      <c r="FL31" s="272">
        <v>55893260</v>
      </c>
      <c r="FM31" s="272">
        <v>54649903</v>
      </c>
      <c r="FN31" s="460">
        <v>0.98199999999999998</v>
      </c>
      <c r="FO31" s="388">
        <v>91.4</v>
      </c>
      <c r="FP31" s="388">
        <v>45.8</v>
      </c>
      <c r="FQ31" s="388">
        <v>7</v>
      </c>
      <c r="FR31" s="388">
        <v>14</v>
      </c>
      <c r="FS31" s="388">
        <v>7.9</v>
      </c>
      <c r="FT31" s="388">
        <v>8.4</v>
      </c>
      <c r="FU31" s="388">
        <v>7.3</v>
      </c>
      <c r="FV31" s="388">
        <v>13.8</v>
      </c>
      <c r="FW31" s="272">
        <v>94320626</v>
      </c>
      <c r="FX31" s="384">
        <f t="shared" si="16"/>
        <v>127.1</v>
      </c>
      <c r="FY31" s="272">
        <v>8215784</v>
      </c>
      <c r="FZ31" s="272">
        <v>1320200</v>
      </c>
      <c r="GA31" s="272"/>
      <c r="GB31" s="272">
        <v>6895584</v>
      </c>
      <c r="GC31" s="272"/>
      <c r="GD31" s="272">
        <v>47009377</v>
      </c>
      <c r="GE31" s="384">
        <f t="shared" si="17"/>
        <v>63.3</v>
      </c>
      <c r="GF31" s="388">
        <v>97.9</v>
      </c>
      <c r="GG31" s="388">
        <v>41.3</v>
      </c>
      <c r="GH31" s="388">
        <v>95.5</v>
      </c>
      <c r="GI31" s="272">
        <v>4406</v>
      </c>
    </row>
    <row r="32" spans="2:191" x14ac:dyDescent="0.15">
      <c r="B32" s="89" t="s">
        <v>57</v>
      </c>
      <c r="C32" s="272">
        <v>5837654</v>
      </c>
      <c r="D32" s="455">
        <f t="shared" si="0"/>
        <v>2379012</v>
      </c>
      <c r="E32" s="272">
        <v>36271</v>
      </c>
      <c r="F32" s="272">
        <v>2342741</v>
      </c>
      <c r="G32" s="455">
        <f t="shared" si="1"/>
        <v>507429</v>
      </c>
      <c r="H32" s="272">
        <v>65190</v>
      </c>
      <c r="I32" s="272">
        <v>442239</v>
      </c>
      <c r="J32" s="272">
        <v>2100464</v>
      </c>
      <c r="K32" s="272">
        <v>1054289</v>
      </c>
      <c r="L32" s="272">
        <v>744133</v>
      </c>
      <c r="M32" s="272">
        <v>294833</v>
      </c>
      <c r="N32" s="272">
        <v>203637</v>
      </c>
      <c r="O32" s="272">
        <v>472807</v>
      </c>
      <c r="P32" s="272">
        <v>325535</v>
      </c>
      <c r="Q32" s="272">
        <v>147272</v>
      </c>
      <c r="R32" s="272">
        <v>290945</v>
      </c>
      <c r="S32" s="272">
        <v>191904</v>
      </c>
      <c r="T32" s="455">
        <f t="shared" si="2"/>
        <v>482012</v>
      </c>
      <c r="U32" s="272">
        <v>207416</v>
      </c>
      <c r="V32" s="272"/>
      <c r="W32" s="272"/>
      <c r="X32" s="272"/>
      <c r="Y32" s="272">
        <v>87891</v>
      </c>
      <c r="Z32" s="272"/>
      <c r="AA32" s="272">
        <v>186705</v>
      </c>
      <c r="AB32" s="272"/>
      <c r="AC32" s="272">
        <v>2436137</v>
      </c>
      <c r="AD32" s="272">
        <v>1997112</v>
      </c>
      <c r="AE32" s="272">
        <v>439025</v>
      </c>
      <c r="AF32" s="272">
        <v>12299</v>
      </c>
      <c r="AG32" s="272">
        <v>56327</v>
      </c>
      <c r="AH32" s="455">
        <f t="shared" si="3"/>
        <v>289449</v>
      </c>
      <c r="AI32" s="272">
        <v>129432</v>
      </c>
      <c r="AJ32" s="272">
        <v>160017</v>
      </c>
      <c r="AK32" s="272">
        <v>1832336</v>
      </c>
      <c r="AL32" s="455">
        <f t="shared" si="4"/>
        <v>1094880</v>
      </c>
      <c r="AM32" s="272">
        <v>961653</v>
      </c>
      <c r="AN32" s="272">
        <v>88382</v>
      </c>
      <c r="AO32" s="272">
        <v>0</v>
      </c>
      <c r="AP32" s="272">
        <v>44845</v>
      </c>
      <c r="AQ32" s="272">
        <v>487572</v>
      </c>
      <c r="AR32" s="272">
        <v>18572</v>
      </c>
      <c r="AS32" s="272">
        <v>0</v>
      </c>
      <c r="AT32" s="272">
        <v>791951</v>
      </c>
      <c r="AU32" s="272">
        <v>246868</v>
      </c>
      <c r="AV32" s="272">
        <v>44191</v>
      </c>
      <c r="AW32" s="272">
        <v>34801</v>
      </c>
      <c r="AX32" s="272">
        <v>545083</v>
      </c>
      <c r="AY32" s="272">
        <v>155935</v>
      </c>
      <c r="AZ32" s="272">
        <v>191740</v>
      </c>
      <c r="BA32" s="272">
        <v>23299</v>
      </c>
      <c r="BB32" s="272">
        <v>266051</v>
      </c>
      <c r="BC32" s="272">
        <v>318319</v>
      </c>
      <c r="BD32" s="272">
        <v>0</v>
      </c>
      <c r="BE32" s="272">
        <v>0</v>
      </c>
      <c r="BF32" s="272">
        <v>300000</v>
      </c>
      <c r="BG32" s="272">
        <v>0</v>
      </c>
      <c r="BH32" s="272">
        <v>71281</v>
      </c>
      <c r="BI32" s="272">
        <v>38490</v>
      </c>
      <c r="BJ32" s="272">
        <v>367569</v>
      </c>
      <c r="BK32" s="272">
        <v>0</v>
      </c>
      <c r="BL32" s="272">
        <v>0</v>
      </c>
      <c r="BM32" s="272">
        <v>0</v>
      </c>
      <c r="BN32" s="272">
        <v>1497150</v>
      </c>
      <c r="BO32" s="455">
        <f t="shared" si="5"/>
        <v>1497150</v>
      </c>
      <c r="BP32" s="455">
        <f t="shared" si="6"/>
        <v>0</v>
      </c>
      <c r="BQ32" s="272"/>
      <c r="BR32" s="272"/>
      <c r="BS32" s="272"/>
      <c r="BT32" s="272">
        <v>0</v>
      </c>
      <c r="BU32" s="272">
        <v>14741220</v>
      </c>
      <c r="BV32" s="272"/>
      <c r="BW32" s="272">
        <v>3836303</v>
      </c>
      <c r="BX32" s="272">
        <v>2814822</v>
      </c>
      <c r="BY32" s="272">
        <v>186865</v>
      </c>
      <c r="BZ32" s="272">
        <v>113077</v>
      </c>
      <c r="CA32" s="272">
        <v>1819688</v>
      </c>
      <c r="CB32" s="272">
        <v>125031</v>
      </c>
      <c r="CC32" s="272">
        <v>274398</v>
      </c>
      <c r="CD32" s="272">
        <v>176317</v>
      </c>
      <c r="CE32" s="272">
        <v>1204059</v>
      </c>
      <c r="CF32" s="272">
        <v>0</v>
      </c>
      <c r="CG32" s="272">
        <v>39883</v>
      </c>
      <c r="CH32" s="272">
        <v>1512207</v>
      </c>
      <c r="CI32" s="272">
        <v>743071</v>
      </c>
      <c r="CJ32" s="455">
        <f t="shared" si="7"/>
        <v>769136</v>
      </c>
      <c r="CK32" s="272">
        <v>1633858</v>
      </c>
      <c r="CL32" s="272">
        <v>682720</v>
      </c>
      <c r="CM32" s="272">
        <v>96933</v>
      </c>
      <c r="CN32" s="272">
        <v>534241</v>
      </c>
      <c r="CO32" s="272">
        <v>244439</v>
      </c>
      <c r="CP32" s="272">
        <v>1086181</v>
      </c>
      <c r="CQ32" s="272">
        <v>418838</v>
      </c>
      <c r="CR32" s="272">
        <v>395544</v>
      </c>
      <c r="CS32" s="272">
        <v>113076</v>
      </c>
      <c r="CT32" s="455">
        <f t="shared" si="8"/>
        <v>3646</v>
      </c>
      <c r="CU32" s="272">
        <v>3646</v>
      </c>
      <c r="CV32" s="272">
        <v>0</v>
      </c>
      <c r="CW32" s="455">
        <f t="shared" si="9"/>
        <v>0</v>
      </c>
      <c r="CX32" s="272">
        <v>0</v>
      </c>
      <c r="CY32" s="272">
        <v>0</v>
      </c>
      <c r="CZ32" s="455">
        <f t="shared" si="10"/>
        <v>0</v>
      </c>
      <c r="DA32" s="272">
        <v>0</v>
      </c>
      <c r="DB32" s="272">
        <v>0</v>
      </c>
      <c r="DC32" s="272">
        <v>3198583</v>
      </c>
      <c r="DD32" s="272">
        <v>1459720</v>
      </c>
      <c r="DE32" s="272">
        <v>1729473</v>
      </c>
      <c r="DF32" s="272">
        <v>9390</v>
      </c>
      <c r="DG32" s="272">
        <v>0</v>
      </c>
      <c r="DH32" s="272">
        <v>134467</v>
      </c>
      <c r="DI32" s="272">
        <v>793114</v>
      </c>
      <c r="DJ32" s="272">
        <v>0</v>
      </c>
      <c r="DK32" s="272">
        <v>168872</v>
      </c>
      <c r="DL32" s="272">
        <v>624242</v>
      </c>
      <c r="DM32" s="272">
        <v>2000</v>
      </c>
      <c r="DN32" s="272">
        <v>0</v>
      </c>
      <c r="DO32" s="272">
        <v>0</v>
      </c>
      <c r="DP32" s="272">
        <v>0</v>
      </c>
      <c r="DQ32" s="272">
        <v>0</v>
      </c>
      <c r="DR32" s="272">
        <v>0</v>
      </c>
      <c r="DS32" s="272">
        <v>0</v>
      </c>
      <c r="DT32" s="272">
        <v>403451</v>
      </c>
      <c r="DU32" s="272">
        <v>85142</v>
      </c>
      <c r="DV32" s="455">
        <f t="shared" si="11"/>
        <v>0</v>
      </c>
      <c r="DW32" s="272">
        <v>0</v>
      </c>
      <c r="DX32" s="272">
        <v>0</v>
      </c>
      <c r="DY32" s="457" t="s">
        <v>646</v>
      </c>
      <c r="DZ32" s="272">
        <v>186960</v>
      </c>
      <c r="EA32" s="272">
        <v>131349</v>
      </c>
      <c r="EB32" s="272"/>
      <c r="EC32" s="272">
        <v>0</v>
      </c>
      <c r="ED32" s="272">
        <v>14664291</v>
      </c>
      <c r="EF32" s="272">
        <v>76929</v>
      </c>
      <c r="EG32" s="272">
        <v>32420</v>
      </c>
      <c r="EH32" s="272">
        <v>44509</v>
      </c>
      <c r="EI32" s="272">
        <v>6019</v>
      </c>
      <c r="EJ32" s="272">
        <v>6019</v>
      </c>
      <c r="EL32" s="272"/>
      <c r="EM32" s="272">
        <v>60069</v>
      </c>
      <c r="EN32" s="272">
        <v>14639</v>
      </c>
      <c r="EO32" s="272">
        <v>190973</v>
      </c>
      <c r="EP32" s="455">
        <f t="shared" si="12"/>
        <v>395338</v>
      </c>
      <c r="EQ32" s="272">
        <v>9059047</v>
      </c>
      <c r="ER32" s="272">
        <v>-588651</v>
      </c>
      <c r="ES32" s="272">
        <v>3511127</v>
      </c>
      <c r="ET32" s="272">
        <v>2500162</v>
      </c>
      <c r="EU32" s="272">
        <v>515877</v>
      </c>
      <c r="EV32" s="272">
        <v>1452937</v>
      </c>
      <c r="EW32" s="455">
        <f t="shared" si="13"/>
        <v>684322</v>
      </c>
      <c r="EX32" s="272">
        <v>609179</v>
      </c>
      <c r="EY32" s="272">
        <v>88819</v>
      </c>
      <c r="EZ32" s="272">
        <v>513342</v>
      </c>
      <c r="FA32" s="272">
        <v>75143</v>
      </c>
      <c r="FB32" s="272">
        <v>0</v>
      </c>
      <c r="FC32" s="272">
        <v>1249836</v>
      </c>
      <c r="FD32" s="272">
        <v>846402</v>
      </c>
      <c r="FE32" s="272">
        <v>418838</v>
      </c>
      <c r="FF32" s="272">
        <v>358507</v>
      </c>
      <c r="FG32" s="455">
        <f t="shared" si="14"/>
        <v>1021542</v>
      </c>
      <c r="FH32" s="272">
        <v>9640550</v>
      </c>
      <c r="FI32" s="384">
        <f t="shared" si="15"/>
        <v>0.6</v>
      </c>
      <c r="FJ32" s="272">
        <v>7960798</v>
      </c>
      <c r="FK32" s="272"/>
      <c r="FL32" s="272">
        <v>4500270</v>
      </c>
      <c r="FM32" s="272">
        <v>6497055</v>
      </c>
      <c r="FN32" s="460">
        <v>0.70099999999999996</v>
      </c>
      <c r="FO32" s="388">
        <v>91.8</v>
      </c>
      <c r="FP32" s="388">
        <v>42.6</v>
      </c>
      <c r="FQ32" s="388">
        <v>6.3</v>
      </c>
      <c r="FR32" s="388">
        <v>17.8</v>
      </c>
      <c r="FS32" s="388">
        <v>11.8</v>
      </c>
      <c r="FT32" s="388">
        <v>8.8000000000000007</v>
      </c>
      <c r="FU32" s="388">
        <v>1.8</v>
      </c>
      <c r="FV32" s="388">
        <v>15.2</v>
      </c>
      <c r="FW32" s="272">
        <v>13251489</v>
      </c>
      <c r="FX32" s="384">
        <f t="shared" si="16"/>
        <v>166.5</v>
      </c>
      <c r="FY32" s="272">
        <v>3589658</v>
      </c>
      <c r="FZ32" s="272"/>
      <c r="GA32" s="272">
        <v>546520</v>
      </c>
      <c r="GB32" s="272">
        <v>3043138</v>
      </c>
      <c r="GC32" s="272"/>
      <c r="GD32" s="272">
        <v>2407085</v>
      </c>
      <c r="GE32" s="384">
        <f t="shared" si="17"/>
        <v>30.2</v>
      </c>
      <c r="GF32" s="388">
        <v>95.6</v>
      </c>
      <c r="GG32" s="388">
        <v>25.1</v>
      </c>
      <c r="GH32" s="388">
        <v>87.7</v>
      </c>
      <c r="GI32" s="272">
        <v>559</v>
      </c>
    </row>
    <row r="33" spans="2:191" x14ac:dyDescent="0.15">
      <c r="B33" s="89" t="s">
        <v>59</v>
      </c>
      <c r="C33" s="272">
        <v>4879976</v>
      </c>
      <c r="D33" s="455">
        <f t="shared" si="0"/>
        <v>2228912</v>
      </c>
      <c r="E33" s="272">
        <v>33064</v>
      </c>
      <c r="F33" s="272">
        <v>2195848</v>
      </c>
      <c r="G33" s="455">
        <f t="shared" si="1"/>
        <v>417121</v>
      </c>
      <c r="H33" s="272">
        <v>57993</v>
      </c>
      <c r="I33" s="272">
        <v>359128</v>
      </c>
      <c r="J33" s="272">
        <v>1565402</v>
      </c>
      <c r="K33" s="272">
        <v>854755</v>
      </c>
      <c r="L33" s="272">
        <v>536831</v>
      </c>
      <c r="M33" s="272">
        <v>165106</v>
      </c>
      <c r="N33" s="272">
        <v>171518</v>
      </c>
      <c r="O33" s="272">
        <v>390362</v>
      </c>
      <c r="P33" s="272">
        <v>282374</v>
      </c>
      <c r="Q33" s="272">
        <v>107988</v>
      </c>
      <c r="R33" s="272">
        <v>188996</v>
      </c>
      <c r="S33" s="272">
        <v>113430</v>
      </c>
      <c r="T33" s="455">
        <f t="shared" si="2"/>
        <v>389512</v>
      </c>
      <c r="U33" s="272">
        <v>195043</v>
      </c>
      <c r="V33" s="272"/>
      <c r="W33" s="272"/>
      <c r="X33" s="272"/>
      <c r="Y33" s="272">
        <v>51979</v>
      </c>
      <c r="Z33" s="272"/>
      <c r="AA33" s="272">
        <v>142490</v>
      </c>
      <c r="AB33" s="272"/>
      <c r="AC33" s="272">
        <v>2294510</v>
      </c>
      <c r="AD33" s="272">
        <v>2033343</v>
      </c>
      <c r="AE33" s="272">
        <v>261167</v>
      </c>
      <c r="AF33" s="272">
        <v>9944</v>
      </c>
      <c r="AG33" s="272">
        <v>157466</v>
      </c>
      <c r="AH33" s="455">
        <f t="shared" si="3"/>
        <v>219225</v>
      </c>
      <c r="AI33" s="272">
        <v>93854</v>
      </c>
      <c r="AJ33" s="272">
        <v>125371</v>
      </c>
      <c r="AK33" s="272">
        <v>1064928</v>
      </c>
      <c r="AL33" s="455">
        <f t="shared" si="4"/>
        <v>554365</v>
      </c>
      <c r="AM33" s="272">
        <v>395925</v>
      </c>
      <c r="AN33" s="272">
        <v>117116</v>
      </c>
      <c r="AO33" s="272">
        <v>0</v>
      </c>
      <c r="AP33" s="272">
        <v>41324</v>
      </c>
      <c r="AQ33" s="272">
        <v>149977</v>
      </c>
      <c r="AR33" s="272">
        <v>0</v>
      </c>
      <c r="AS33" s="272">
        <v>0</v>
      </c>
      <c r="AT33" s="272">
        <v>512365</v>
      </c>
      <c r="AU33" s="272">
        <v>181727</v>
      </c>
      <c r="AV33" s="272">
        <v>49664</v>
      </c>
      <c r="AW33" s="272">
        <v>31074</v>
      </c>
      <c r="AX33" s="272">
        <v>330638</v>
      </c>
      <c r="AY33" s="272">
        <v>119760</v>
      </c>
      <c r="AZ33" s="272">
        <v>426544</v>
      </c>
      <c r="BA33" s="272">
        <v>377672</v>
      </c>
      <c r="BB33" s="272">
        <v>308687</v>
      </c>
      <c r="BC33" s="272">
        <v>163700</v>
      </c>
      <c r="BD33" s="272">
        <v>0</v>
      </c>
      <c r="BE33" s="272">
        <v>0</v>
      </c>
      <c r="BF33" s="272">
        <v>163700</v>
      </c>
      <c r="BG33" s="272">
        <v>0</v>
      </c>
      <c r="BH33" s="272">
        <v>0</v>
      </c>
      <c r="BI33" s="272">
        <v>0</v>
      </c>
      <c r="BJ33" s="272">
        <v>180820</v>
      </c>
      <c r="BK33" s="272">
        <v>0</v>
      </c>
      <c r="BL33" s="272">
        <v>16967</v>
      </c>
      <c r="BM33" s="272">
        <v>0</v>
      </c>
      <c r="BN33" s="272">
        <v>240900</v>
      </c>
      <c r="BO33" s="455">
        <f t="shared" si="5"/>
        <v>240900</v>
      </c>
      <c r="BP33" s="455">
        <f t="shared" si="6"/>
        <v>0</v>
      </c>
      <c r="BQ33" s="272"/>
      <c r="BR33" s="272"/>
      <c r="BS33" s="272"/>
      <c r="BT33" s="272">
        <v>0</v>
      </c>
      <c r="BU33" s="272">
        <v>11037573</v>
      </c>
      <c r="BV33" s="272"/>
      <c r="BW33" s="272">
        <v>3563008</v>
      </c>
      <c r="BX33" s="272">
        <v>2673454</v>
      </c>
      <c r="BY33" s="272">
        <v>176257</v>
      </c>
      <c r="BZ33" s="272">
        <v>65961</v>
      </c>
      <c r="CA33" s="272">
        <v>1161342</v>
      </c>
      <c r="CB33" s="272">
        <v>117496</v>
      </c>
      <c r="CC33" s="272">
        <v>203508</v>
      </c>
      <c r="CD33" s="272">
        <v>251371</v>
      </c>
      <c r="CE33" s="272">
        <v>523422</v>
      </c>
      <c r="CF33" s="272">
        <v>653</v>
      </c>
      <c r="CG33" s="272">
        <v>64680</v>
      </c>
      <c r="CH33" s="272">
        <v>1079818</v>
      </c>
      <c r="CI33" s="272">
        <v>535268</v>
      </c>
      <c r="CJ33" s="455">
        <f t="shared" si="7"/>
        <v>544550</v>
      </c>
      <c r="CK33" s="272">
        <v>1222684</v>
      </c>
      <c r="CL33" s="272">
        <v>701913</v>
      </c>
      <c r="CM33" s="272">
        <v>77878</v>
      </c>
      <c r="CN33" s="272">
        <v>233867</v>
      </c>
      <c r="CO33" s="272">
        <v>46289</v>
      </c>
      <c r="CP33" s="272">
        <v>660939</v>
      </c>
      <c r="CQ33" s="272">
        <v>287531</v>
      </c>
      <c r="CR33" s="272">
        <v>141225</v>
      </c>
      <c r="CS33" s="272">
        <v>37870</v>
      </c>
      <c r="CT33" s="455">
        <f t="shared" si="8"/>
        <v>5420</v>
      </c>
      <c r="CU33" s="272">
        <v>2826</v>
      </c>
      <c r="CV33" s="272">
        <v>2594</v>
      </c>
      <c r="CW33" s="455">
        <f t="shared" si="9"/>
        <v>0</v>
      </c>
      <c r="CX33" s="272">
        <v>0</v>
      </c>
      <c r="CY33" s="272">
        <v>0</v>
      </c>
      <c r="CZ33" s="455">
        <f t="shared" si="10"/>
        <v>0</v>
      </c>
      <c r="DA33" s="272">
        <v>0</v>
      </c>
      <c r="DB33" s="272">
        <v>0</v>
      </c>
      <c r="DC33" s="272">
        <v>1550846</v>
      </c>
      <c r="DD33" s="272">
        <v>396058</v>
      </c>
      <c r="DE33" s="272">
        <v>1122483</v>
      </c>
      <c r="DF33" s="272">
        <v>15338</v>
      </c>
      <c r="DG33" s="272">
        <v>16967</v>
      </c>
      <c r="DH33" s="272">
        <v>16850</v>
      </c>
      <c r="DI33" s="272">
        <v>892450</v>
      </c>
      <c r="DJ33" s="272">
        <v>63931</v>
      </c>
      <c r="DK33" s="272">
        <v>225696</v>
      </c>
      <c r="DL33" s="272">
        <v>602823</v>
      </c>
      <c r="DM33" s="272">
        <v>0</v>
      </c>
      <c r="DN33" s="272">
        <v>0</v>
      </c>
      <c r="DO33" s="272">
        <v>0</v>
      </c>
      <c r="DP33" s="272">
        <v>0</v>
      </c>
      <c r="DQ33" s="272">
        <v>0</v>
      </c>
      <c r="DR33" s="272">
        <v>0</v>
      </c>
      <c r="DS33" s="272">
        <v>0</v>
      </c>
      <c r="DT33" s="272">
        <v>765407</v>
      </c>
      <c r="DU33" s="272">
        <v>528000</v>
      </c>
      <c r="DV33" s="455">
        <f t="shared" si="11"/>
        <v>0</v>
      </c>
      <c r="DW33" s="272">
        <v>0</v>
      </c>
      <c r="DX33" s="272">
        <v>0</v>
      </c>
      <c r="DY33" s="457" t="s">
        <v>646</v>
      </c>
      <c r="DZ33" s="272">
        <v>125926</v>
      </c>
      <c r="EA33" s="272">
        <v>110905</v>
      </c>
      <c r="EB33" s="272"/>
      <c r="EC33" s="272">
        <v>345729</v>
      </c>
      <c r="ED33" s="272">
        <v>11305362</v>
      </c>
      <c r="EF33" s="272">
        <v>-267789</v>
      </c>
      <c r="EG33" s="272">
        <v>5405</v>
      </c>
      <c r="EH33" s="272">
        <v>-273194</v>
      </c>
      <c r="EI33" s="272">
        <v>72535</v>
      </c>
      <c r="EJ33" s="272">
        <v>136466</v>
      </c>
      <c r="EL33" s="272"/>
      <c r="EM33" s="272">
        <v>49657</v>
      </c>
      <c r="EN33" s="272">
        <v>0</v>
      </c>
      <c r="EO33" s="272">
        <v>379843</v>
      </c>
      <c r="EP33" s="455">
        <f t="shared" si="12"/>
        <v>355391</v>
      </c>
      <c r="EQ33" s="272">
        <v>7762938</v>
      </c>
      <c r="ER33" s="272">
        <v>-725290</v>
      </c>
      <c r="ES33" s="272">
        <v>3196757</v>
      </c>
      <c r="ET33" s="272">
        <v>2462732</v>
      </c>
      <c r="EU33" s="272">
        <v>364531</v>
      </c>
      <c r="EV33" s="272">
        <v>1079818</v>
      </c>
      <c r="EW33" s="455">
        <f t="shared" si="13"/>
        <v>678876</v>
      </c>
      <c r="EX33" s="272">
        <v>674230</v>
      </c>
      <c r="EY33" s="272">
        <v>34337</v>
      </c>
      <c r="EZ33" s="272">
        <v>637174</v>
      </c>
      <c r="FA33" s="272">
        <v>4646</v>
      </c>
      <c r="FB33" s="272">
        <v>0</v>
      </c>
      <c r="FC33" s="272">
        <v>882650</v>
      </c>
      <c r="FD33" s="272">
        <v>591955</v>
      </c>
      <c r="FE33" s="272">
        <v>287531</v>
      </c>
      <c r="FF33" s="272">
        <v>728611</v>
      </c>
      <c r="FG33" s="455">
        <f t="shared" si="14"/>
        <v>1232819</v>
      </c>
      <c r="FH33" s="272">
        <v>8756017</v>
      </c>
      <c r="FI33" s="384">
        <f t="shared" si="15"/>
        <v>-4</v>
      </c>
      <c r="FJ33" s="272">
        <v>6889462</v>
      </c>
      <c r="FK33" s="272"/>
      <c r="FL33" s="272">
        <v>3663886</v>
      </c>
      <c r="FM33" s="272">
        <v>5696035</v>
      </c>
      <c r="FN33" s="460">
        <v>0.63300000000000001</v>
      </c>
      <c r="FO33" s="388">
        <v>88.6</v>
      </c>
      <c r="FP33" s="388">
        <v>44.3</v>
      </c>
      <c r="FQ33" s="388">
        <v>5.0999999999999996</v>
      </c>
      <c r="FR33" s="388">
        <v>15</v>
      </c>
      <c r="FS33" s="388">
        <v>10</v>
      </c>
      <c r="FT33" s="388">
        <v>7.4</v>
      </c>
      <c r="FU33" s="388">
        <v>6.3</v>
      </c>
      <c r="FV33" s="388">
        <v>12.5</v>
      </c>
      <c r="FW33" s="272">
        <v>7772503</v>
      </c>
      <c r="FX33" s="384">
        <f t="shared" si="16"/>
        <v>112.8</v>
      </c>
      <c r="FY33" s="272">
        <v>1492911</v>
      </c>
      <c r="FZ33" s="272">
        <v>84989</v>
      </c>
      <c r="GA33" s="272">
        <v>225696</v>
      </c>
      <c r="GB33" s="272">
        <v>1182226</v>
      </c>
      <c r="GC33" s="272"/>
      <c r="GD33" s="272">
        <v>5155211</v>
      </c>
      <c r="GE33" s="384">
        <f t="shared" si="17"/>
        <v>74.8</v>
      </c>
      <c r="GF33" s="388">
        <v>97</v>
      </c>
      <c r="GG33" s="388">
        <v>31.4</v>
      </c>
      <c r="GH33" s="388">
        <v>93.2</v>
      </c>
      <c r="GI33" s="272">
        <v>440</v>
      </c>
    </row>
    <row r="34" spans="2:191" x14ac:dyDescent="0.15">
      <c r="B34" s="89" t="s">
        <v>61</v>
      </c>
      <c r="C34" s="272">
        <v>7305801</v>
      </c>
      <c r="D34" s="455">
        <f t="shared" si="0"/>
        <v>4101955</v>
      </c>
      <c r="E34" s="272">
        <v>41577</v>
      </c>
      <c r="F34" s="272">
        <v>4060378</v>
      </c>
      <c r="G34" s="455">
        <f t="shared" si="1"/>
        <v>571173</v>
      </c>
      <c r="H34" s="272">
        <v>61435</v>
      </c>
      <c r="I34" s="272">
        <v>509738</v>
      </c>
      <c r="J34" s="272">
        <v>1893345</v>
      </c>
      <c r="K34" s="272">
        <v>813163</v>
      </c>
      <c r="L34" s="272">
        <v>733483</v>
      </c>
      <c r="M34" s="272">
        <v>323457</v>
      </c>
      <c r="N34" s="272">
        <v>208680</v>
      </c>
      <c r="O34" s="272">
        <v>442352</v>
      </c>
      <c r="P34" s="272">
        <v>283703</v>
      </c>
      <c r="Q34" s="272">
        <v>158649</v>
      </c>
      <c r="R34" s="272">
        <v>245930</v>
      </c>
      <c r="S34" s="272">
        <v>141309</v>
      </c>
      <c r="T34" s="455">
        <f t="shared" si="2"/>
        <v>677895</v>
      </c>
      <c r="U34" s="272">
        <v>340447</v>
      </c>
      <c r="V34" s="272"/>
      <c r="W34" s="272"/>
      <c r="X34" s="272"/>
      <c r="Y34" s="272">
        <v>140398</v>
      </c>
      <c r="Z34" s="272"/>
      <c r="AA34" s="272">
        <v>197050</v>
      </c>
      <c r="AB34" s="272"/>
      <c r="AC34" s="272">
        <v>1661897</v>
      </c>
      <c r="AD34" s="272">
        <v>1453481</v>
      </c>
      <c r="AE34" s="272">
        <v>208416</v>
      </c>
      <c r="AF34" s="272">
        <v>12018</v>
      </c>
      <c r="AG34" s="272">
        <v>76150</v>
      </c>
      <c r="AH34" s="455">
        <f t="shared" si="3"/>
        <v>148293</v>
      </c>
      <c r="AI34" s="272">
        <v>65573</v>
      </c>
      <c r="AJ34" s="272">
        <v>82720</v>
      </c>
      <c r="AK34" s="272">
        <v>653040</v>
      </c>
      <c r="AL34" s="455">
        <f t="shared" si="4"/>
        <v>362547</v>
      </c>
      <c r="AM34" s="272">
        <v>261829</v>
      </c>
      <c r="AN34" s="272">
        <v>65341</v>
      </c>
      <c r="AO34" s="272">
        <v>0</v>
      </c>
      <c r="AP34" s="272">
        <v>35377</v>
      </c>
      <c r="AQ34" s="272">
        <v>52239</v>
      </c>
      <c r="AR34" s="272">
        <v>2375</v>
      </c>
      <c r="AS34" s="272">
        <v>0</v>
      </c>
      <c r="AT34" s="272">
        <v>591013</v>
      </c>
      <c r="AU34" s="272">
        <v>134388</v>
      </c>
      <c r="AV34" s="272">
        <v>32670</v>
      </c>
      <c r="AW34" s="272">
        <v>14567</v>
      </c>
      <c r="AX34" s="272">
        <v>456625</v>
      </c>
      <c r="AY34" s="272">
        <v>163007</v>
      </c>
      <c r="AZ34" s="272">
        <v>243982</v>
      </c>
      <c r="BA34" s="272">
        <v>116899</v>
      </c>
      <c r="BB34" s="272">
        <v>499618</v>
      </c>
      <c r="BC34" s="272">
        <v>358997</v>
      </c>
      <c r="BD34" s="272">
        <v>20000</v>
      </c>
      <c r="BE34" s="272">
        <v>0</v>
      </c>
      <c r="BF34" s="272">
        <v>202284</v>
      </c>
      <c r="BG34" s="272">
        <v>0</v>
      </c>
      <c r="BH34" s="272">
        <v>0</v>
      </c>
      <c r="BI34" s="272">
        <v>0</v>
      </c>
      <c r="BJ34" s="272">
        <v>1095439</v>
      </c>
      <c r="BK34" s="272">
        <v>1033664</v>
      </c>
      <c r="BL34" s="272">
        <v>0</v>
      </c>
      <c r="BM34" s="272">
        <v>0</v>
      </c>
      <c r="BN34" s="272">
        <v>499900</v>
      </c>
      <c r="BO34" s="455">
        <f t="shared" si="5"/>
        <v>499900</v>
      </c>
      <c r="BP34" s="455">
        <f t="shared" si="6"/>
        <v>0</v>
      </c>
      <c r="BQ34" s="272"/>
      <c r="BR34" s="272"/>
      <c r="BS34" s="272"/>
      <c r="BT34" s="272">
        <v>0</v>
      </c>
      <c r="BU34" s="272">
        <v>14069973</v>
      </c>
      <c r="BV34" s="272"/>
      <c r="BW34" s="272">
        <v>4114037</v>
      </c>
      <c r="BX34" s="272">
        <v>3126701</v>
      </c>
      <c r="BY34" s="272">
        <v>120271</v>
      </c>
      <c r="BZ34" s="272">
        <v>110062</v>
      </c>
      <c r="CA34" s="272">
        <v>1073930</v>
      </c>
      <c r="CB34" s="272">
        <v>177707</v>
      </c>
      <c r="CC34" s="272">
        <v>212832</v>
      </c>
      <c r="CD34" s="272">
        <v>296873</v>
      </c>
      <c r="CE34" s="272">
        <v>330721</v>
      </c>
      <c r="CF34" s="272">
        <v>6</v>
      </c>
      <c r="CG34" s="272">
        <v>55791</v>
      </c>
      <c r="CH34" s="272">
        <v>1967285</v>
      </c>
      <c r="CI34" s="272">
        <v>968121</v>
      </c>
      <c r="CJ34" s="455">
        <f t="shared" si="7"/>
        <v>999164</v>
      </c>
      <c r="CK34" s="272">
        <v>1277889</v>
      </c>
      <c r="CL34" s="272">
        <v>633758</v>
      </c>
      <c r="CM34" s="272">
        <v>55292</v>
      </c>
      <c r="CN34" s="272">
        <v>388466</v>
      </c>
      <c r="CO34" s="272">
        <v>64682</v>
      </c>
      <c r="CP34" s="272">
        <v>624196</v>
      </c>
      <c r="CQ34" s="272">
        <v>217423</v>
      </c>
      <c r="CR34" s="272">
        <v>188681</v>
      </c>
      <c r="CS34" s="272">
        <v>170952</v>
      </c>
      <c r="CT34" s="455">
        <f t="shared" si="8"/>
        <v>0</v>
      </c>
      <c r="CU34" s="272">
        <v>0</v>
      </c>
      <c r="CV34" s="272">
        <v>0</v>
      </c>
      <c r="CW34" s="455">
        <f t="shared" si="9"/>
        <v>0</v>
      </c>
      <c r="CX34" s="272">
        <v>0</v>
      </c>
      <c r="CY34" s="272">
        <v>0</v>
      </c>
      <c r="CZ34" s="455">
        <f t="shared" si="10"/>
        <v>0</v>
      </c>
      <c r="DA34" s="272">
        <v>0</v>
      </c>
      <c r="DB34" s="272">
        <v>0</v>
      </c>
      <c r="DC34" s="272">
        <v>1750990</v>
      </c>
      <c r="DD34" s="272">
        <v>177528</v>
      </c>
      <c r="DE34" s="272">
        <v>1573462</v>
      </c>
      <c r="DF34" s="272">
        <v>0</v>
      </c>
      <c r="DG34" s="272">
        <v>0</v>
      </c>
      <c r="DH34" s="272">
        <v>12320</v>
      </c>
      <c r="DI34" s="272">
        <v>1324312</v>
      </c>
      <c r="DJ34" s="272">
        <v>47491</v>
      </c>
      <c r="DK34" s="272">
        <v>325028</v>
      </c>
      <c r="DL34" s="272">
        <v>951793</v>
      </c>
      <c r="DM34" s="272">
        <v>0</v>
      </c>
      <c r="DN34" s="272">
        <v>0</v>
      </c>
      <c r="DO34" s="272">
        <v>0</v>
      </c>
      <c r="DP34" s="272">
        <v>0</v>
      </c>
      <c r="DQ34" s="272">
        <v>1000000</v>
      </c>
      <c r="DR34" s="272">
        <v>0</v>
      </c>
      <c r="DS34" s="272">
        <v>0</v>
      </c>
      <c r="DT34" s="272">
        <v>704215</v>
      </c>
      <c r="DU34" s="272">
        <v>468507</v>
      </c>
      <c r="DV34" s="455">
        <f t="shared" si="11"/>
        <v>0</v>
      </c>
      <c r="DW34" s="272">
        <v>0</v>
      </c>
      <c r="DX34" s="272">
        <v>0</v>
      </c>
      <c r="DY34" s="457" t="s">
        <v>646</v>
      </c>
      <c r="DZ34" s="272">
        <v>81009</v>
      </c>
      <c r="EA34" s="272">
        <v>140118</v>
      </c>
      <c r="EB34" s="272"/>
      <c r="EC34" s="272">
        <v>118027</v>
      </c>
      <c r="ED34" s="272">
        <v>14031883</v>
      </c>
      <c r="EF34" s="272">
        <v>38090</v>
      </c>
      <c r="EG34" s="272">
        <v>0</v>
      </c>
      <c r="EH34" s="272">
        <v>38090</v>
      </c>
      <c r="EI34" s="272">
        <v>156117</v>
      </c>
      <c r="EJ34" s="272">
        <v>183608</v>
      </c>
      <c r="EL34" s="272"/>
      <c r="EM34" s="272">
        <v>65608</v>
      </c>
      <c r="EN34" s="272">
        <v>20000</v>
      </c>
      <c r="EO34" s="272">
        <v>3124</v>
      </c>
      <c r="EP34" s="455">
        <f t="shared" si="12"/>
        <v>578505</v>
      </c>
      <c r="EQ34" s="272">
        <v>9903541</v>
      </c>
      <c r="ER34" s="272">
        <v>-589611</v>
      </c>
      <c r="ES34" s="272">
        <v>3899374</v>
      </c>
      <c r="ET34" s="272">
        <v>2927678</v>
      </c>
      <c r="EU34" s="272">
        <v>339468</v>
      </c>
      <c r="EV34" s="272">
        <v>1967285</v>
      </c>
      <c r="EW34" s="455">
        <f t="shared" si="13"/>
        <v>811393</v>
      </c>
      <c r="EX34" s="272">
        <v>803677</v>
      </c>
      <c r="EY34" s="272">
        <v>40100</v>
      </c>
      <c r="EZ34" s="272">
        <v>763577</v>
      </c>
      <c r="FA34" s="272">
        <v>7716</v>
      </c>
      <c r="FB34" s="272">
        <v>0</v>
      </c>
      <c r="FC34" s="272">
        <v>1060433</v>
      </c>
      <c r="FD34" s="272">
        <v>580781</v>
      </c>
      <c r="FE34" s="272">
        <v>217423</v>
      </c>
      <c r="FF34" s="272">
        <v>652878</v>
      </c>
      <c r="FG34" s="455">
        <f t="shared" si="14"/>
        <v>1143450</v>
      </c>
      <c r="FH34" s="272">
        <v>10455062</v>
      </c>
      <c r="FI34" s="384">
        <f t="shared" si="15"/>
        <v>0.4</v>
      </c>
      <c r="FJ34" s="272">
        <v>8941724</v>
      </c>
      <c r="FK34" s="272"/>
      <c r="FL34" s="272">
        <v>5645234</v>
      </c>
      <c r="FM34" s="272">
        <v>7097202</v>
      </c>
      <c r="FN34" s="460">
        <v>0.748</v>
      </c>
      <c r="FO34" s="388">
        <v>86.4</v>
      </c>
      <c r="FP34" s="388">
        <v>42</v>
      </c>
      <c r="FQ34" s="388">
        <v>3.7</v>
      </c>
      <c r="FR34" s="388">
        <v>21.2</v>
      </c>
      <c r="FS34" s="388">
        <v>11.1</v>
      </c>
      <c r="FT34" s="388">
        <v>5.6</v>
      </c>
      <c r="FU34" s="388">
        <v>2.1</v>
      </c>
      <c r="FV34" s="388">
        <v>16.7</v>
      </c>
      <c r="FW34" s="272">
        <v>15290521</v>
      </c>
      <c r="FX34" s="384">
        <f t="shared" si="16"/>
        <v>171</v>
      </c>
      <c r="FY34" s="272">
        <v>3612396</v>
      </c>
      <c r="FZ34" s="272">
        <v>1164365</v>
      </c>
      <c r="GA34" s="272">
        <v>872810</v>
      </c>
      <c r="GB34" s="272">
        <v>1575221</v>
      </c>
      <c r="GC34" s="272"/>
      <c r="GD34" s="272">
        <v>10160777</v>
      </c>
      <c r="GE34" s="384">
        <f t="shared" si="17"/>
        <v>113.6</v>
      </c>
      <c r="GF34" s="388">
        <v>98.3</v>
      </c>
      <c r="GG34" s="388">
        <v>41.3</v>
      </c>
      <c r="GH34" s="388">
        <v>96.1</v>
      </c>
      <c r="GI34" s="272">
        <v>491</v>
      </c>
    </row>
    <row r="35" spans="2:191" x14ac:dyDescent="0.15">
      <c r="B35" s="89" t="s">
        <v>63</v>
      </c>
      <c r="C35" s="272">
        <v>6540639</v>
      </c>
      <c r="D35" s="455">
        <f t="shared" si="0"/>
        <v>3671482</v>
      </c>
      <c r="E35" s="272">
        <v>34957</v>
      </c>
      <c r="F35" s="272">
        <v>3636525</v>
      </c>
      <c r="G35" s="455">
        <f t="shared" si="1"/>
        <v>393805</v>
      </c>
      <c r="H35" s="272">
        <v>50180</v>
      </c>
      <c r="I35" s="272">
        <v>343625</v>
      </c>
      <c r="J35" s="272">
        <v>1896258</v>
      </c>
      <c r="K35" s="272">
        <v>792104</v>
      </c>
      <c r="L35" s="272">
        <v>819408</v>
      </c>
      <c r="M35" s="272">
        <v>265197</v>
      </c>
      <c r="N35" s="272">
        <v>184119</v>
      </c>
      <c r="O35" s="272">
        <v>323349</v>
      </c>
      <c r="P35" s="272">
        <v>205454</v>
      </c>
      <c r="Q35" s="272">
        <v>117895</v>
      </c>
      <c r="R35" s="272">
        <v>217272</v>
      </c>
      <c r="S35" s="272">
        <v>129464</v>
      </c>
      <c r="T35" s="455">
        <f t="shared" si="2"/>
        <v>455954</v>
      </c>
      <c r="U35" s="272">
        <v>290717</v>
      </c>
      <c r="V35" s="272"/>
      <c r="W35" s="272"/>
      <c r="X35" s="272"/>
      <c r="Y35" s="272">
        <v>0</v>
      </c>
      <c r="Z35" s="272"/>
      <c r="AA35" s="272">
        <v>165237</v>
      </c>
      <c r="AB35" s="272"/>
      <c r="AC35" s="272">
        <v>1045770</v>
      </c>
      <c r="AD35" s="272">
        <v>774250</v>
      </c>
      <c r="AE35" s="272">
        <v>271520</v>
      </c>
      <c r="AF35" s="272">
        <v>11711</v>
      </c>
      <c r="AG35" s="272">
        <v>162198</v>
      </c>
      <c r="AH35" s="455">
        <f t="shared" si="3"/>
        <v>324222</v>
      </c>
      <c r="AI35" s="272">
        <v>289567</v>
      </c>
      <c r="AJ35" s="272">
        <v>34655</v>
      </c>
      <c r="AK35" s="272">
        <v>913538</v>
      </c>
      <c r="AL35" s="455">
        <f t="shared" si="4"/>
        <v>320841</v>
      </c>
      <c r="AM35" s="272">
        <v>262528</v>
      </c>
      <c r="AN35" s="272">
        <v>39554</v>
      </c>
      <c r="AO35" s="272">
        <v>0</v>
      </c>
      <c r="AP35" s="272">
        <v>18759</v>
      </c>
      <c r="AQ35" s="272">
        <v>455258</v>
      </c>
      <c r="AR35" s="272">
        <v>0</v>
      </c>
      <c r="AS35" s="272">
        <v>0</v>
      </c>
      <c r="AT35" s="272">
        <v>446737</v>
      </c>
      <c r="AU35" s="272">
        <v>111469</v>
      </c>
      <c r="AV35" s="272">
        <v>19777</v>
      </c>
      <c r="AW35" s="272">
        <v>0</v>
      </c>
      <c r="AX35" s="272">
        <v>335268</v>
      </c>
      <c r="AY35" s="272">
        <v>96799</v>
      </c>
      <c r="AZ35" s="272">
        <v>371799</v>
      </c>
      <c r="BA35" s="272">
        <v>135853</v>
      </c>
      <c r="BB35" s="272">
        <v>229699</v>
      </c>
      <c r="BC35" s="272">
        <v>420312</v>
      </c>
      <c r="BD35" s="272">
        <v>0</v>
      </c>
      <c r="BE35" s="272">
        <v>0</v>
      </c>
      <c r="BF35" s="272">
        <v>394471</v>
      </c>
      <c r="BG35" s="272">
        <v>0</v>
      </c>
      <c r="BH35" s="272">
        <v>190605</v>
      </c>
      <c r="BI35" s="272">
        <v>190605</v>
      </c>
      <c r="BJ35" s="272">
        <v>95020</v>
      </c>
      <c r="BK35" s="272">
        <v>306</v>
      </c>
      <c r="BL35" s="272">
        <v>0</v>
      </c>
      <c r="BM35" s="272">
        <v>0</v>
      </c>
      <c r="BN35" s="272">
        <v>1605000</v>
      </c>
      <c r="BO35" s="455">
        <f t="shared" si="5"/>
        <v>1605000</v>
      </c>
      <c r="BP35" s="455">
        <f t="shared" si="6"/>
        <v>0</v>
      </c>
      <c r="BQ35" s="272"/>
      <c r="BR35" s="272"/>
      <c r="BS35" s="272"/>
      <c r="BT35" s="272">
        <v>0</v>
      </c>
      <c r="BU35" s="272">
        <v>13030476</v>
      </c>
      <c r="BV35" s="272"/>
      <c r="BW35" s="272">
        <v>2848446</v>
      </c>
      <c r="BX35" s="272">
        <v>2229801</v>
      </c>
      <c r="BY35" s="272">
        <v>48360</v>
      </c>
      <c r="BZ35" s="272">
        <v>23314</v>
      </c>
      <c r="CA35" s="272">
        <v>787204</v>
      </c>
      <c r="CB35" s="272">
        <v>95750</v>
      </c>
      <c r="CC35" s="272">
        <v>168520</v>
      </c>
      <c r="CD35" s="272">
        <v>159804</v>
      </c>
      <c r="CE35" s="272">
        <v>346562</v>
      </c>
      <c r="CF35" s="272">
        <v>0</v>
      </c>
      <c r="CG35" s="272">
        <v>16568</v>
      </c>
      <c r="CH35" s="272">
        <v>1087528</v>
      </c>
      <c r="CI35" s="272">
        <v>532948</v>
      </c>
      <c r="CJ35" s="455">
        <f t="shared" si="7"/>
        <v>554580</v>
      </c>
      <c r="CK35" s="272">
        <v>1416887</v>
      </c>
      <c r="CL35" s="272">
        <v>708189</v>
      </c>
      <c r="CM35" s="272">
        <v>72385</v>
      </c>
      <c r="CN35" s="272">
        <v>373079</v>
      </c>
      <c r="CO35" s="272">
        <v>36565</v>
      </c>
      <c r="CP35" s="272">
        <v>831808</v>
      </c>
      <c r="CQ35" s="272">
        <v>283553</v>
      </c>
      <c r="CR35" s="272">
        <v>193440</v>
      </c>
      <c r="CS35" s="272">
        <v>150176</v>
      </c>
      <c r="CT35" s="455">
        <f t="shared" si="8"/>
        <v>23690</v>
      </c>
      <c r="CU35" s="272">
        <v>3090</v>
      </c>
      <c r="CV35" s="272">
        <v>20600</v>
      </c>
      <c r="CW35" s="455">
        <f t="shared" si="9"/>
        <v>0</v>
      </c>
      <c r="CX35" s="272">
        <v>0</v>
      </c>
      <c r="CY35" s="272">
        <v>0</v>
      </c>
      <c r="CZ35" s="455">
        <f t="shared" si="10"/>
        <v>0</v>
      </c>
      <c r="DA35" s="272">
        <v>0</v>
      </c>
      <c r="DB35" s="272">
        <v>0</v>
      </c>
      <c r="DC35" s="272">
        <v>3691632</v>
      </c>
      <c r="DD35" s="272">
        <v>2183661</v>
      </c>
      <c r="DE35" s="272">
        <v>1506168</v>
      </c>
      <c r="DF35" s="272">
        <v>1803</v>
      </c>
      <c r="DG35" s="272">
        <v>0</v>
      </c>
      <c r="DH35" s="272">
        <v>0</v>
      </c>
      <c r="DI35" s="272">
        <v>1428200</v>
      </c>
      <c r="DJ35" s="272">
        <v>410000</v>
      </c>
      <c r="DK35" s="272">
        <v>100000</v>
      </c>
      <c r="DL35" s="272">
        <v>918200</v>
      </c>
      <c r="DM35" s="272">
        <v>0</v>
      </c>
      <c r="DN35" s="272">
        <v>0</v>
      </c>
      <c r="DO35" s="272">
        <v>0</v>
      </c>
      <c r="DP35" s="272">
        <v>0</v>
      </c>
      <c r="DQ35" s="272">
        <v>576</v>
      </c>
      <c r="DR35" s="272">
        <v>0</v>
      </c>
      <c r="DS35" s="272">
        <v>0</v>
      </c>
      <c r="DT35" s="272">
        <v>700353</v>
      </c>
      <c r="DU35" s="272">
        <v>432322</v>
      </c>
      <c r="DV35" s="455">
        <f t="shared" si="11"/>
        <v>0</v>
      </c>
      <c r="DW35" s="272">
        <v>0</v>
      </c>
      <c r="DX35" s="272">
        <v>0</v>
      </c>
      <c r="DY35" s="457" t="s">
        <v>646</v>
      </c>
      <c r="DZ35" s="272">
        <v>162117</v>
      </c>
      <c r="EA35" s="272">
        <v>102618</v>
      </c>
      <c r="EB35" s="272"/>
      <c r="EC35" s="272">
        <v>0</v>
      </c>
      <c r="ED35" s="272">
        <v>12829199</v>
      </c>
      <c r="EF35" s="272">
        <v>201277</v>
      </c>
      <c r="EG35" s="272">
        <v>0</v>
      </c>
      <c r="EH35" s="272">
        <v>201277</v>
      </c>
      <c r="EI35" s="272">
        <v>10672</v>
      </c>
      <c r="EJ35" s="272">
        <v>420672</v>
      </c>
      <c r="EL35" s="272"/>
      <c r="EM35" s="272">
        <v>52735</v>
      </c>
      <c r="EN35" s="272">
        <v>25841</v>
      </c>
      <c r="EO35" s="272">
        <v>137039</v>
      </c>
      <c r="EP35" s="455">
        <f t="shared" si="12"/>
        <v>683886</v>
      </c>
      <c r="EQ35" s="272">
        <v>8271346</v>
      </c>
      <c r="ER35" s="272">
        <v>-835055</v>
      </c>
      <c r="ES35" s="272">
        <v>2602175</v>
      </c>
      <c r="ET35" s="272">
        <v>1987140</v>
      </c>
      <c r="EU35" s="272">
        <v>212699</v>
      </c>
      <c r="EV35" s="272">
        <v>1087528</v>
      </c>
      <c r="EW35" s="455">
        <f t="shared" si="13"/>
        <v>1048156</v>
      </c>
      <c r="EX35" s="272">
        <v>1048156</v>
      </c>
      <c r="EY35" s="272">
        <v>158903</v>
      </c>
      <c r="EZ35" s="272">
        <v>887450</v>
      </c>
      <c r="FA35" s="272">
        <v>0</v>
      </c>
      <c r="FB35" s="272">
        <v>0</v>
      </c>
      <c r="FC35" s="272">
        <v>1253968</v>
      </c>
      <c r="FD35" s="272">
        <v>800795</v>
      </c>
      <c r="FE35" s="272">
        <v>283553</v>
      </c>
      <c r="FF35" s="272">
        <v>669453</v>
      </c>
      <c r="FG35" s="455">
        <f t="shared" si="14"/>
        <v>1230581</v>
      </c>
      <c r="FH35" s="272">
        <v>8905355</v>
      </c>
      <c r="FI35" s="384">
        <f t="shared" si="15"/>
        <v>2.7</v>
      </c>
      <c r="FJ35" s="272">
        <v>7592109</v>
      </c>
      <c r="FK35" s="272"/>
      <c r="FL35" s="272">
        <v>5137671</v>
      </c>
      <c r="FM35" s="272">
        <v>5912123</v>
      </c>
      <c r="FN35" s="460">
        <v>0.84199999999999997</v>
      </c>
      <c r="FO35" s="388">
        <v>77.2</v>
      </c>
      <c r="FP35" s="388">
        <v>33.6</v>
      </c>
      <c r="FQ35" s="388">
        <v>2.7</v>
      </c>
      <c r="FR35" s="388">
        <v>14</v>
      </c>
      <c r="FS35" s="388">
        <v>15.5</v>
      </c>
      <c r="FT35" s="388">
        <v>8.8000000000000007</v>
      </c>
      <c r="FU35" s="388">
        <v>2.1</v>
      </c>
      <c r="FV35" s="388">
        <v>12.3</v>
      </c>
      <c r="FW35" s="272">
        <v>8400709</v>
      </c>
      <c r="FX35" s="384">
        <f t="shared" si="16"/>
        <v>110.7</v>
      </c>
      <c r="FY35" s="272">
        <v>5400061</v>
      </c>
      <c r="FZ35" s="272">
        <v>2040000</v>
      </c>
      <c r="GA35" s="272">
        <v>100000</v>
      </c>
      <c r="GB35" s="272">
        <v>3260061</v>
      </c>
      <c r="GC35" s="272"/>
      <c r="GD35" s="272">
        <v>4894324</v>
      </c>
      <c r="GE35" s="384">
        <f t="shared" si="17"/>
        <v>64.5</v>
      </c>
      <c r="GF35" s="388">
        <v>98.2</v>
      </c>
      <c r="GG35" s="388">
        <v>44.4</v>
      </c>
      <c r="GH35" s="388">
        <v>96.5</v>
      </c>
      <c r="GI35" s="272">
        <v>424</v>
      </c>
    </row>
    <row r="36" spans="2:191" x14ac:dyDescent="0.15">
      <c r="B36" s="11" t="s">
        <v>65</v>
      </c>
      <c r="C36" s="272">
        <v>5029958</v>
      </c>
      <c r="D36" s="455">
        <f t="shared" si="0"/>
        <v>2397221</v>
      </c>
      <c r="E36" s="272">
        <v>29051</v>
      </c>
      <c r="F36" s="272">
        <v>2368170</v>
      </c>
      <c r="G36" s="455">
        <f t="shared" si="1"/>
        <v>274774</v>
      </c>
      <c r="H36" s="272">
        <v>47717</v>
      </c>
      <c r="I36" s="272">
        <v>227057</v>
      </c>
      <c r="J36" s="272">
        <v>1667200</v>
      </c>
      <c r="K36" s="272">
        <v>809407</v>
      </c>
      <c r="L36" s="272">
        <v>663178</v>
      </c>
      <c r="M36" s="272">
        <v>167530</v>
      </c>
      <c r="N36" s="272">
        <v>176031</v>
      </c>
      <c r="O36" s="272">
        <v>288572</v>
      </c>
      <c r="P36" s="272">
        <v>191845</v>
      </c>
      <c r="Q36" s="272">
        <v>96727</v>
      </c>
      <c r="R36" s="272">
        <v>211520</v>
      </c>
      <c r="S36" s="272">
        <v>122394</v>
      </c>
      <c r="T36" s="455">
        <f t="shared" si="2"/>
        <v>380014</v>
      </c>
      <c r="U36" s="272">
        <v>195486</v>
      </c>
      <c r="V36" s="272"/>
      <c r="W36" s="272"/>
      <c r="X36" s="272"/>
      <c r="Y36" s="272">
        <v>16331</v>
      </c>
      <c r="Z36" s="272"/>
      <c r="AA36" s="272">
        <v>168197</v>
      </c>
      <c r="AB36" s="272"/>
      <c r="AC36" s="272">
        <v>1709704</v>
      </c>
      <c r="AD36" s="272">
        <v>1485964</v>
      </c>
      <c r="AE36" s="272">
        <v>223740</v>
      </c>
      <c r="AF36" s="272">
        <v>12865</v>
      </c>
      <c r="AG36" s="272">
        <v>556343</v>
      </c>
      <c r="AH36" s="455">
        <f t="shared" si="3"/>
        <v>208270</v>
      </c>
      <c r="AI36" s="272">
        <v>181048</v>
      </c>
      <c r="AJ36" s="272">
        <v>27222</v>
      </c>
      <c r="AK36" s="272">
        <v>383682</v>
      </c>
      <c r="AL36" s="455">
        <f t="shared" si="4"/>
        <v>103383</v>
      </c>
      <c r="AM36" s="272">
        <v>0</v>
      </c>
      <c r="AN36" s="272">
        <v>103383</v>
      </c>
      <c r="AO36" s="272">
        <v>0</v>
      </c>
      <c r="AP36" s="272">
        <v>0</v>
      </c>
      <c r="AQ36" s="272">
        <v>200381</v>
      </c>
      <c r="AR36" s="272">
        <v>22992</v>
      </c>
      <c r="AS36" s="272">
        <v>0</v>
      </c>
      <c r="AT36" s="272">
        <v>1115888</v>
      </c>
      <c r="AU36" s="272">
        <v>655286</v>
      </c>
      <c r="AV36" s="272">
        <v>30983</v>
      </c>
      <c r="AW36" s="272">
        <v>4599</v>
      </c>
      <c r="AX36" s="272">
        <v>460602</v>
      </c>
      <c r="AY36" s="272">
        <v>170385</v>
      </c>
      <c r="AZ36" s="272">
        <v>578511</v>
      </c>
      <c r="BA36" s="272">
        <v>429541</v>
      </c>
      <c r="BB36" s="272">
        <v>115030</v>
      </c>
      <c r="BC36" s="272">
        <v>1293550</v>
      </c>
      <c r="BD36" s="272">
        <v>840000</v>
      </c>
      <c r="BE36" s="272">
        <v>0</v>
      </c>
      <c r="BF36" s="272">
        <v>310112</v>
      </c>
      <c r="BG36" s="272">
        <v>0</v>
      </c>
      <c r="BH36" s="272">
        <v>304157</v>
      </c>
      <c r="BI36" s="272">
        <v>304157</v>
      </c>
      <c r="BJ36" s="272">
        <v>246404</v>
      </c>
      <c r="BK36" s="272">
        <v>12712</v>
      </c>
      <c r="BL36" s="272">
        <v>0</v>
      </c>
      <c r="BM36" s="272">
        <v>0</v>
      </c>
      <c r="BN36" s="272">
        <v>1669600</v>
      </c>
      <c r="BO36" s="455">
        <f t="shared" si="5"/>
        <v>1669600</v>
      </c>
      <c r="BP36" s="455">
        <f t="shared" si="6"/>
        <v>0</v>
      </c>
      <c r="BQ36" s="272"/>
      <c r="BR36" s="272"/>
      <c r="BS36" s="272"/>
      <c r="BT36" s="272">
        <v>0</v>
      </c>
      <c r="BU36" s="272">
        <v>13815496</v>
      </c>
      <c r="BV36" s="272"/>
      <c r="BW36" s="272">
        <v>2797852</v>
      </c>
      <c r="BX36" s="272">
        <v>2115306</v>
      </c>
      <c r="BY36" s="272">
        <v>115522</v>
      </c>
      <c r="BZ36" s="272">
        <v>13413</v>
      </c>
      <c r="CA36" s="272">
        <v>329500</v>
      </c>
      <c r="CB36" s="272">
        <v>50540</v>
      </c>
      <c r="CC36" s="272">
        <v>120236</v>
      </c>
      <c r="CD36" s="272">
        <v>146049</v>
      </c>
      <c r="CE36" s="272">
        <v>0</v>
      </c>
      <c r="CF36" s="272">
        <v>341</v>
      </c>
      <c r="CG36" s="272">
        <v>12334</v>
      </c>
      <c r="CH36" s="272">
        <v>879984</v>
      </c>
      <c r="CI36" s="272">
        <v>359514</v>
      </c>
      <c r="CJ36" s="455">
        <f t="shared" si="7"/>
        <v>520470</v>
      </c>
      <c r="CK36" s="272">
        <v>1705613</v>
      </c>
      <c r="CL36" s="272">
        <v>738021</v>
      </c>
      <c r="CM36" s="272">
        <v>180250</v>
      </c>
      <c r="CN36" s="272">
        <v>429069</v>
      </c>
      <c r="CO36" s="272">
        <v>147895</v>
      </c>
      <c r="CP36" s="272">
        <v>1413529</v>
      </c>
      <c r="CQ36" s="272">
        <v>381125</v>
      </c>
      <c r="CR36" s="272">
        <v>862925</v>
      </c>
      <c r="CS36" s="272">
        <v>602578</v>
      </c>
      <c r="CT36" s="455">
        <f t="shared" si="8"/>
        <v>273006</v>
      </c>
      <c r="CU36" s="272">
        <v>7000</v>
      </c>
      <c r="CV36" s="272">
        <v>266006</v>
      </c>
      <c r="CW36" s="455">
        <f t="shared" si="9"/>
        <v>266006</v>
      </c>
      <c r="CX36" s="272">
        <v>0</v>
      </c>
      <c r="CY36" s="272">
        <v>266006</v>
      </c>
      <c r="CZ36" s="455">
        <f t="shared" si="10"/>
        <v>0</v>
      </c>
      <c r="DA36" s="272">
        <v>0</v>
      </c>
      <c r="DB36" s="272">
        <v>0</v>
      </c>
      <c r="DC36" s="272">
        <v>4198758</v>
      </c>
      <c r="DD36" s="272">
        <v>589894</v>
      </c>
      <c r="DE36" s="272">
        <v>2995298</v>
      </c>
      <c r="DF36" s="272">
        <v>23803</v>
      </c>
      <c r="DG36" s="272">
        <v>589763</v>
      </c>
      <c r="DH36" s="272">
        <v>48910</v>
      </c>
      <c r="DI36" s="272">
        <v>1708251</v>
      </c>
      <c r="DJ36" s="272">
        <v>517654</v>
      </c>
      <c r="DK36" s="272">
        <v>140000</v>
      </c>
      <c r="DL36" s="272">
        <v>1050597</v>
      </c>
      <c r="DM36" s="272">
        <v>0</v>
      </c>
      <c r="DN36" s="272">
        <v>0</v>
      </c>
      <c r="DO36" s="272">
        <v>0</v>
      </c>
      <c r="DP36" s="272">
        <v>0</v>
      </c>
      <c r="DQ36" s="272">
        <v>12233</v>
      </c>
      <c r="DR36" s="272">
        <v>0</v>
      </c>
      <c r="DS36" s="272">
        <v>0</v>
      </c>
      <c r="DT36" s="272">
        <v>324313</v>
      </c>
      <c r="DU36" s="272">
        <v>125624</v>
      </c>
      <c r="DV36" s="455">
        <f t="shared" si="11"/>
        <v>0</v>
      </c>
      <c r="DW36" s="272">
        <v>0</v>
      </c>
      <c r="DX36" s="272">
        <v>0</v>
      </c>
      <c r="DY36" s="457" t="s">
        <v>646</v>
      </c>
      <c r="DZ36" s="272">
        <v>94255</v>
      </c>
      <c r="EA36" s="272">
        <v>104332</v>
      </c>
      <c r="EB36" s="272"/>
      <c r="EC36" s="272">
        <v>0</v>
      </c>
      <c r="ED36" s="272">
        <v>13566838</v>
      </c>
      <c r="EF36" s="272">
        <v>248658</v>
      </c>
      <c r="EG36" s="272">
        <v>61151</v>
      </c>
      <c r="EH36" s="272">
        <v>187507</v>
      </c>
      <c r="EI36" s="272">
        <v>-116650</v>
      </c>
      <c r="EJ36" s="272">
        <v>-438996</v>
      </c>
      <c r="EL36" s="272"/>
      <c r="EM36" s="272">
        <v>54342</v>
      </c>
      <c r="EN36" s="272">
        <v>1203253</v>
      </c>
      <c r="EO36" s="272">
        <v>430635</v>
      </c>
      <c r="EP36" s="455">
        <f t="shared" si="12"/>
        <v>497849</v>
      </c>
      <c r="EQ36" s="272">
        <v>7344061</v>
      </c>
      <c r="ER36" s="272">
        <v>-2118872</v>
      </c>
      <c r="ES36" s="272">
        <v>2593164</v>
      </c>
      <c r="ET36" s="272">
        <v>2115306</v>
      </c>
      <c r="EU36" s="272">
        <v>90754</v>
      </c>
      <c r="EV36" s="272">
        <v>879984</v>
      </c>
      <c r="EW36" s="455">
        <f t="shared" si="13"/>
        <v>1435646</v>
      </c>
      <c r="EX36" s="272">
        <v>1421128</v>
      </c>
      <c r="EY36" s="272">
        <v>101813</v>
      </c>
      <c r="EZ36" s="272">
        <v>1287046</v>
      </c>
      <c r="FA36" s="272">
        <v>14518</v>
      </c>
      <c r="FB36" s="272">
        <v>0</v>
      </c>
      <c r="FC36" s="272">
        <v>1494434</v>
      </c>
      <c r="FD36" s="272">
        <v>1259857</v>
      </c>
      <c r="FE36" s="272">
        <v>381125</v>
      </c>
      <c r="FF36" s="272">
        <v>269619</v>
      </c>
      <c r="FG36" s="455">
        <f t="shared" si="14"/>
        <v>1190817</v>
      </c>
      <c r="FH36" s="272">
        <v>9214275</v>
      </c>
      <c r="FI36" s="384">
        <f t="shared" si="15"/>
        <v>2.8</v>
      </c>
      <c r="FJ36" s="272">
        <v>6639362</v>
      </c>
      <c r="FK36" s="272"/>
      <c r="FL36" s="272">
        <v>3890033</v>
      </c>
      <c r="FM36" s="272">
        <v>5482349</v>
      </c>
      <c r="FN36" s="460">
        <v>0.70199999999999996</v>
      </c>
      <c r="FO36" s="388">
        <v>86.2</v>
      </c>
      <c r="FP36" s="388">
        <v>37.799999999999997</v>
      </c>
      <c r="FQ36" s="388">
        <v>1.3</v>
      </c>
      <c r="FR36" s="388">
        <v>12.8</v>
      </c>
      <c r="FS36" s="388">
        <v>18.399999999999999</v>
      </c>
      <c r="FT36" s="388">
        <v>12.4</v>
      </c>
      <c r="FU36" s="388">
        <v>1.6</v>
      </c>
      <c r="FV36" s="388">
        <v>9</v>
      </c>
      <c r="FW36" s="272">
        <v>9359258</v>
      </c>
      <c r="FX36" s="384">
        <f t="shared" si="16"/>
        <v>141</v>
      </c>
      <c r="FY36" s="272">
        <v>4198232</v>
      </c>
      <c r="FZ36" s="272">
        <v>3075649</v>
      </c>
      <c r="GA36" s="272">
        <v>140000</v>
      </c>
      <c r="GB36" s="272">
        <v>982583</v>
      </c>
      <c r="GC36" s="272"/>
      <c r="GD36" s="272">
        <v>2728419</v>
      </c>
      <c r="GE36" s="384">
        <f t="shared" si="17"/>
        <v>41.1</v>
      </c>
      <c r="GF36" s="388">
        <v>98.5</v>
      </c>
      <c r="GG36" s="388">
        <v>29</v>
      </c>
      <c r="GH36" s="388">
        <v>96.2</v>
      </c>
      <c r="GI36" s="272">
        <v>432</v>
      </c>
    </row>
    <row r="37" spans="2:191" x14ac:dyDescent="0.15">
      <c r="B37" s="21" t="s">
        <v>67</v>
      </c>
      <c r="C37" s="272">
        <f>SUM(C6:C35)</f>
        <v>698253085</v>
      </c>
      <c r="D37" s="455">
        <f t="shared" si="0"/>
        <v>283158485</v>
      </c>
      <c r="E37" s="272">
        <f>SUM(E6:E35)</f>
        <v>3458247</v>
      </c>
      <c r="F37" s="272">
        <f>SUM(F6:F35)</f>
        <v>279700238</v>
      </c>
      <c r="G37" s="455">
        <f t="shared" si="1"/>
        <v>107894763</v>
      </c>
      <c r="H37" s="272">
        <f t="shared" ref="H37:S37" si="18">SUM(H6:H35)</f>
        <v>8004441</v>
      </c>
      <c r="I37" s="272">
        <f t="shared" si="18"/>
        <v>99890322</v>
      </c>
      <c r="J37" s="272">
        <f t="shared" si="18"/>
        <v>216069435</v>
      </c>
      <c r="K37" s="272">
        <f t="shared" si="18"/>
        <v>108935845</v>
      </c>
      <c r="L37" s="272">
        <f t="shared" si="18"/>
        <v>72528269</v>
      </c>
      <c r="M37" s="272">
        <f t="shared" si="18"/>
        <v>31694036</v>
      </c>
      <c r="N37" s="272">
        <f t="shared" si="18"/>
        <v>20336525</v>
      </c>
      <c r="O37" s="272">
        <f t="shared" si="18"/>
        <v>53384102</v>
      </c>
      <c r="P37" s="272">
        <f t="shared" si="18"/>
        <v>37444791</v>
      </c>
      <c r="Q37" s="272">
        <f t="shared" si="18"/>
        <v>15939311</v>
      </c>
      <c r="R37" s="272">
        <f t="shared" si="18"/>
        <v>24324263</v>
      </c>
      <c r="S37" s="272">
        <f t="shared" si="18"/>
        <v>15344338</v>
      </c>
      <c r="T37" s="455">
        <f t="shared" si="2"/>
        <v>38561063</v>
      </c>
      <c r="U37" s="272">
        <f>SUM(U6:U35)</f>
        <v>23283041</v>
      </c>
      <c r="V37" s="272"/>
      <c r="W37" s="272"/>
      <c r="X37" s="272"/>
      <c r="Y37" s="272">
        <f>SUM(Y6:Y35)</f>
        <v>1292088</v>
      </c>
      <c r="Z37" s="272"/>
      <c r="AA37" s="272">
        <f>SUM(AA6:AA35)</f>
        <v>13985934</v>
      </c>
      <c r="AB37" s="272"/>
      <c r="AC37" s="272">
        <f>SUM(AC6:AC35)</f>
        <v>46443787</v>
      </c>
      <c r="AD37" s="272">
        <f>SUM(AD6:AD35)</f>
        <v>36779083</v>
      </c>
      <c r="AE37" s="272">
        <f>SUM(AE6:AE35)</f>
        <v>9664704</v>
      </c>
      <c r="AF37" s="272">
        <f>SUM(AF6:AF35)</f>
        <v>942339</v>
      </c>
      <c r="AG37" s="272">
        <f>SUM(AG6:AG35)</f>
        <v>17863076</v>
      </c>
      <c r="AH37" s="455">
        <f t="shared" si="3"/>
        <v>26168291</v>
      </c>
      <c r="AI37" s="272">
        <f>SUM(AI6:AI35)</f>
        <v>20482699</v>
      </c>
      <c r="AJ37" s="272">
        <f>SUM(AJ6:AJ35)</f>
        <v>5685592</v>
      </c>
      <c r="AK37" s="272">
        <f>SUM(AK6:AK35)</f>
        <v>101727067</v>
      </c>
      <c r="AL37" s="455">
        <f t="shared" si="4"/>
        <v>61843315</v>
      </c>
      <c r="AM37" s="272">
        <f t="shared" ref="AM37:BN37" si="19">SUM(AM6:AM35)</f>
        <v>50110434</v>
      </c>
      <c r="AN37" s="272">
        <f t="shared" si="19"/>
        <v>7744003</v>
      </c>
      <c r="AO37" s="272">
        <f t="shared" si="19"/>
        <v>117347</v>
      </c>
      <c r="AP37" s="272">
        <f t="shared" si="19"/>
        <v>3871531</v>
      </c>
      <c r="AQ37" s="272">
        <f t="shared" si="19"/>
        <v>18910730</v>
      </c>
      <c r="AR37" s="272">
        <f t="shared" si="19"/>
        <v>56645</v>
      </c>
      <c r="AS37" s="272">
        <f t="shared" si="19"/>
        <v>290425</v>
      </c>
      <c r="AT37" s="272">
        <f t="shared" si="19"/>
        <v>58846280</v>
      </c>
      <c r="AU37" s="272">
        <f t="shared" si="19"/>
        <v>17586873</v>
      </c>
      <c r="AV37" s="272">
        <f t="shared" si="19"/>
        <v>3766642</v>
      </c>
      <c r="AW37" s="272">
        <f t="shared" si="19"/>
        <v>2405277</v>
      </c>
      <c r="AX37" s="272">
        <f t="shared" si="19"/>
        <v>41259407</v>
      </c>
      <c r="AY37" s="272">
        <f t="shared" si="19"/>
        <v>11562906</v>
      </c>
      <c r="AZ37" s="272">
        <f t="shared" si="19"/>
        <v>31683355</v>
      </c>
      <c r="BA37" s="272">
        <f t="shared" si="19"/>
        <v>19396281</v>
      </c>
      <c r="BB37" s="272">
        <f t="shared" si="19"/>
        <v>11513199</v>
      </c>
      <c r="BC37" s="272">
        <f t="shared" si="19"/>
        <v>19133482</v>
      </c>
      <c r="BD37" s="272">
        <f t="shared" si="19"/>
        <v>2292551</v>
      </c>
      <c r="BE37" s="272">
        <f t="shared" si="19"/>
        <v>600000</v>
      </c>
      <c r="BF37" s="272">
        <f t="shared" si="19"/>
        <v>13644478</v>
      </c>
      <c r="BG37" s="272">
        <f t="shared" si="19"/>
        <v>74075</v>
      </c>
      <c r="BH37" s="272">
        <f t="shared" si="19"/>
        <v>19591936</v>
      </c>
      <c r="BI37" s="272">
        <f t="shared" si="19"/>
        <v>12105191</v>
      </c>
      <c r="BJ37" s="272">
        <f t="shared" si="19"/>
        <v>61003830</v>
      </c>
      <c r="BK37" s="272">
        <f t="shared" si="19"/>
        <v>25853939</v>
      </c>
      <c r="BL37" s="272">
        <f t="shared" si="19"/>
        <v>2572681</v>
      </c>
      <c r="BM37" s="272">
        <f t="shared" si="19"/>
        <v>16942497</v>
      </c>
      <c r="BN37" s="272">
        <f t="shared" si="19"/>
        <v>59532953</v>
      </c>
      <c r="BO37" s="455">
        <f t="shared" si="5"/>
        <v>59532953</v>
      </c>
      <c r="BP37" s="455">
        <f t="shared" si="6"/>
        <v>0</v>
      </c>
      <c r="BQ37" s="272"/>
      <c r="BR37" s="272"/>
      <c r="BS37" s="272"/>
      <c r="BT37" s="272">
        <v>0</v>
      </c>
      <c r="BU37" s="272">
        <f>SUM(BU6:BU35)</f>
        <v>1215878431</v>
      </c>
      <c r="BV37" s="272"/>
      <c r="BW37" s="272">
        <f t="shared" ref="BW37:CI37" si="20">SUM(BW6:BW35)</f>
        <v>326685204</v>
      </c>
      <c r="BX37" s="272">
        <f t="shared" si="20"/>
        <v>250283452</v>
      </c>
      <c r="BY37" s="272">
        <f t="shared" si="20"/>
        <v>14625943</v>
      </c>
      <c r="BZ37" s="272">
        <f t="shared" si="20"/>
        <v>7971835</v>
      </c>
      <c r="CA37" s="272">
        <f t="shared" si="20"/>
        <v>137091151</v>
      </c>
      <c r="CB37" s="272">
        <f t="shared" si="20"/>
        <v>11515876</v>
      </c>
      <c r="CC37" s="272">
        <f t="shared" si="20"/>
        <v>20685677</v>
      </c>
      <c r="CD37" s="272">
        <f t="shared" si="20"/>
        <v>25645301</v>
      </c>
      <c r="CE37" s="272">
        <f t="shared" si="20"/>
        <v>65957494</v>
      </c>
      <c r="CF37" s="272">
        <f t="shared" si="20"/>
        <v>9738798</v>
      </c>
      <c r="CG37" s="272">
        <f t="shared" si="20"/>
        <v>3526306</v>
      </c>
      <c r="CH37" s="272">
        <f t="shared" si="20"/>
        <v>105259839</v>
      </c>
      <c r="CI37" s="272">
        <f t="shared" si="20"/>
        <v>54319128</v>
      </c>
      <c r="CJ37" s="455">
        <f t="shared" si="7"/>
        <v>50940711</v>
      </c>
      <c r="CK37" s="272">
        <f t="shared" ref="CK37:CS37" si="21">SUM(CK6:CK35)</f>
        <v>108900430</v>
      </c>
      <c r="CL37" s="272">
        <f t="shared" si="21"/>
        <v>53292572</v>
      </c>
      <c r="CM37" s="272">
        <f t="shared" si="21"/>
        <v>4650654</v>
      </c>
      <c r="CN37" s="272">
        <f t="shared" si="21"/>
        <v>32299884</v>
      </c>
      <c r="CO37" s="272">
        <f t="shared" si="21"/>
        <v>14364318</v>
      </c>
      <c r="CP37" s="272">
        <f t="shared" si="21"/>
        <v>75784604</v>
      </c>
      <c r="CQ37" s="272">
        <f t="shared" si="21"/>
        <v>26852318</v>
      </c>
      <c r="CR37" s="272">
        <f t="shared" si="21"/>
        <v>18820790</v>
      </c>
      <c r="CS37" s="272">
        <f t="shared" si="21"/>
        <v>13842409</v>
      </c>
      <c r="CT37" s="455">
        <f t="shared" si="8"/>
        <v>11014878</v>
      </c>
      <c r="CU37" s="272">
        <f>SUM(CU6:CU35)</f>
        <v>5243797</v>
      </c>
      <c r="CV37" s="272">
        <f>SUM(CV6:CV35)</f>
        <v>5771081</v>
      </c>
      <c r="CW37" s="455">
        <f t="shared" si="9"/>
        <v>9079092</v>
      </c>
      <c r="CX37" s="272">
        <f>SUM(CX6:CX35)</f>
        <v>4824780</v>
      </c>
      <c r="CY37" s="272">
        <f>SUM(CY6:CY35)</f>
        <v>4254312</v>
      </c>
      <c r="CZ37" s="455">
        <f t="shared" si="10"/>
        <v>0</v>
      </c>
      <c r="DA37" s="272">
        <v>0</v>
      </c>
      <c r="DB37" s="272">
        <v>0</v>
      </c>
      <c r="DC37" s="272">
        <f t="shared" ref="DC37:DU37" si="22">SUM(DC6:DC35)</f>
        <v>217791731</v>
      </c>
      <c r="DD37" s="272">
        <f t="shared" si="22"/>
        <v>46119113</v>
      </c>
      <c r="DE37" s="272">
        <f t="shared" si="22"/>
        <v>162367290</v>
      </c>
      <c r="DF37" s="272">
        <f t="shared" si="22"/>
        <v>1916164</v>
      </c>
      <c r="DG37" s="272">
        <f t="shared" si="22"/>
        <v>7136349</v>
      </c>
      <c r="DH37" s="272">
        <f t="shared" si="22"/>
        <v>613806</v>
      </c>
      <c r="DI37" s="272">
        <f t="shared" si="22"/>
        <v>87562973</v>
      </c>
      <c r="DJ37" s="272">
        <f t="shared" si="22"/>
        <v>13804453</v>
      </c>
      <c r="DK37" s="272">
        <f t="shared" si="22"/>
        <v>9681984</v>
      </c>
      <c r="DL37" s="272">
        <f t="shared" si="22"/>
        <v>64076536</v>
      </c>
      <c r="DM37" s="272">
        <f t="shared" si="22"/>
        <v>1868164</v>
      </c>
      <c r="DN37" s="272">
        <f t="shared" si="22"/>
        <v>573566</v>
      </c>
      <c r="DO37" s="272">
        <f t="shared" si="22"/>
        <v>41241</v>
      </c>
      <c r="DP37" s="272">
        <f t="shared" si="22"/>
        <v>532325</v>
      </c>
      <c r="DQ37" s="272">
        <f t="shared" si="22"/>
        <v>27604143</v>
      </c>
      <c r="DR37" s="272">
        <f t="shared" si="22"/>
        <v>1905400</v>
      </c>
      <c r="DS37" s="272">
        <f t="shared" si="22"/>
        <v>1905400</v>
      </c>
      <c r="DT37" s="272">
        <f t="shared" si="22"/>
        <v>83923967</v>
      </c>
      <c r="DU37" s="272">
        <f t="shared" si="22"/>
        <v>53667328</v>
      </c>
      <c r="DV37" s="455">
        <f t="shared" si="11"/>
        <v>7500</v>
      </c>
      <c r="DW37" s="272">
        <f>SUM(DW6:DW35)</f>
        <v>7500</v>
      </c>
      <c r="DX37" s="272">
        <v>0</v>
      </c>
      <c r="DY37" s="457" t="s">
        <v>646</v>
      </c>
      <c r="DZ37" s="272">
        <f>SUM(DZ6:DZ35)</f>
        <v>17302084</v>
      </c>
      <c r="EA37" s="272">
        <f>SUM(EA6:EA35)</f>
        <v>10661827</v>
      </c>
      <c r="EB37" s="272"/>
      <c r="EC37" s="272">
        <f>SUM(EC6:EC35)</f>
        <v>5932403</v>
      </c>
      <c r="ED37" s="272">
        <f>SUM(ED6:ED35)</f>
        <v>1193436298</v>
      </c>
      <c r="EF37" s="272">
        <f>SUM(EF6:EF35)</f>
        <v>22442133</v>
      </c>
      <c r="EG37" s="272">
        <f>SUM(EG6:EG35)</f>
        <v>12059543</v>
      </c>
      <c r="EH37" s="272">
        <f>SUM(EH6:EH35)</f>
        <v>10382590</v>
      </c>
      <c r="EI37" s="272">
        <f>SUM(EI6:EI35)</f>
        <v>3718326</v>
      </c>
      <c r="EJ37" s="272">
        <f>SUM(EJ6:EJ35)</f>
        <v>15238078</v>
      </c>
      <c r="EL37" s="272"/>
      <c r="EM37" s="272">
        <f>SUM(EM6:EM35)</f>
        <v>4959115</v>
      </c>
      <c r="EN37" s="272">
        <f>SUM(EN6:EN35)</f>
        <v>8749668</v>
      </c>
      <c r="EO37" s="272">
        <f>SUM(EO6:EO35)</f>
        <v>12828337</v>
      </c>
      <c r="EP37" s="455">
        <f t="shared" si="12"/>
        <v>58438045</v>
      </c>
      <c r="EQ37" s="272">
        <f t="shared" ref="EQ37:EV37" si="23">SUM(EQ6:EQ35)</f>
        <v>808814962</v>
      </c>
      <c r="ER37" s="272">
        <f t="shared" si="23"/>
        <v>-78783286</v>
      </c>
      <c r="ES37" s="272">
        <f t="shared" si="23"/>
        <v>300321126</v>
      </c>
      <c r="ET37" s="272">
        <f t="shared" si="23"/>
        <v>226090085</v>
      </c>
      <c r="EU37" s="272">
        <f t="shared" si="23"/>
        <v>38247566</v>
      </c>
      <c r="EV37" s="272">
        <f t="shared" si="23"/>
        <v>99905696</v>
      </c>
      <c r="EW37" s="455">
        <f t="shared" si="13"/>
        <v>106003869</v>
      </c>
      <c r="EX37" s="272">
        <f t="shared" ref="EX37:FF37" si="24">SUM(EX6:EX35)</f>
        <v>105585915</v>
      </c>
      <c r="EY37" s="272">
        <f t="shared" si="24"/>
        <v>8621920</v>
      </c>
      <c r="EZ37" s="272">
        <f t="shared" si="24"/>
        <v>96011078</v>
      </c>
      <c r="FA37" s="272">
        <f t="shared" si="24"/>
        <v>386088</v>
      </c>
      <c r="FB37" s="272">
        <f t="shared" si="24"/>
        <v>31866</v>
      </c>
      <c r="FC37" s="272">
        <f t="shared" si="24"/>
        <v>85506586</v>
      </c>
      <c r="FD37" s="272">
        <f t="shared" si="24"/>
        <v>67824321</v>
      </c>
      <c r="FE37" s="272">
        <f t="shared" si="24"/>
        <v>26752318</v>
      </c>
      <c r="FF37" s="272">
        <f t="shared" si="24"/>
        <v>77205914</v>
      </c>
      <c r="FG37" s="455">
        <f t="shared" si="14"/>
        <v>91727380</v>
      </c>
      <c r="FH37" s="272">
        <f>SUM(FH6:FH35)</f>
        <v>866742458</v>
      </c>
      <c r="FI37" s="384">
        <f t="shared" si="15"/>
        <v>1.5</v>
      </c>
      <c r="FJ37" s="272">
        <f>SUM(FJ6:FJ35)</f>
        <v>712135997</v>
      </c>
      <c r="FK37" s="272"/>
      <c r="FL37" s="272">
        <f>SUM(FL6:FL35)</f>
        <v>508950249</v>
      </c>
      <c r="FM37" s="272">
        <f>SUM(FM6:FM35)</f>
        <v>512175248</v>
      </c>
      <c r="FN37" s="468">
        <v>0.96599999999999997</v>
      </c>
      <c r="FO37" s="469">
        <v>82.1</v>
      </c>
      <c r="FP37" s="469">
        <v>38.9</v>
      </c>
      <c r="FQ37" s="469">
        <v>5.2</v>
      </c>
      <c r="FR37" s="469">
        <v>13</v>
      </c>
      <c r="FS37" s="469">
        <v>10.8</v>
      </c>
      <c r="FT37" s="469">
        <v>7.9</v>
      </c>
      <c r="FU37" s="469">
        <v>5</v>
      </c>
      <c r="FV37" s="469">
        <v>11.1</v>
      </c>
      <c r="FW37" s="272">
        <f>SUM(FW6:FW35)</f>
        <v>808773025</v>
      </c>
      <c r="FX37" s="384">
        <f t="shared" si="16"/>
        <v>113.6</v>
      </c>
      <c r="FY37" s="272">
        <f>SUM(FY6:FY35)</f>
        <v>297764747</v>
      </c>
      <c r="FZ37" s="272">
        <f>SUM(FZ6:FZ35)</f>
        <v>62228810</v>
      </c>
      <c r="GA37" s="272">
        <f>SUM(GA6:GA35)</f>
        <v>14359003</v>
      </c>
      <c r="GB37" s="272">
        <f>SUM(GB6:GB35)</f>
        <v>221176934</v>
      </c>
      <c r="GC37" s="272"/>
      <c r="GD37" s="272">
        <f>SUM(GD6:GD35)</f>
        <v>297191857</v>
      </c>
      <c r="GE37" s="465">
        <v>42.3</v>
      </c>
      <c r="GF37" s="469">
        <v>98.5</v>
      </c>
      <c r="GG37" s="469">
        <v>37.700000000000003</v>
      </c>
      <c r="GH37" s="469">
        <v>96.2</v>
      </c>
      <c r="GI37" s="272">
        <f>SUM(GI6:GI35)</f>
        <v>39773</v>
      </c>
    </row>
    <row r="38" spans="2:191" x14ac:dyDescent="0.15">
      <c r="B38" s="89" t="s">
        <v>69</v>
      </c>
      <c r="C38" s="272">
        <v>4604785</v>
      </c>
      <c r="D38" s="455">
        <f t="shared" si="0"/>
        <v>1844464</v>
      </c>
      <c r="E38" s="272">
        <v>15482</v>
      </c>
      <c r="F38" s="272">
        <v>1828982</v>
      </c>
      <c r="G38" s="455">
        <f t="shared" si="1"/>
        <v>618492</v>
      </c>
      <c r="H38" s="272">
        <v>41460</v>
      </c>
      <c r="I38" s="272">
        <v>577032</v>
      </c>
      <c r="J38" s="272">
        <v>1566317</v>
      </c>
      <c r="K38" s="272">
        <v>695908</v>
      </c>
      <c r="L38" s="272">
        <v>508445</v>
      </c>
      <c r="M38" s="272">
        <v>354300</v>
      </c>
      <c r="N38" s="272">
        <v>83260</v>
      </c>
      <c r="O38" s="272">
        <v>333426</v>
      </c>
      <c r="P38" s="272">
        <v>225512</v>
      </c>
      <c r="Q38" s="272">
        <v>107914</v>
      </c>
      <c r="R38" s="272">
        <v>138198</v>
      </c>
      <c r="S38" s="272">
        <v>89033</v>
      </c>
      <c r="T38" s="455">
        <f t="shared" si="2"/>
        <v>337072</v>
      </c>
      <c r="U38" s="272">
        <v>155419</v>
      </c>
      <c r="V38" s="272"/>
      <c r="W38" s="272"/>
      <c r="X38" s="272"/>
      <c r="Y38" s="272">
        <v>89208</v>
      </c>
      <c r="Z38" s="272"/>
      <c r="AA38" s="272">
        <v>92445</v>
      </c>
      <c r="AB38" s="272"/>
      <c r="AC38" s="272">
        <v>305755</v>
      </c>
      <c r="AD38" s="272">
        <v>148558</v>
      </c>
      <c r="AE38" s="272">
        <v>157197</v>
      </c>
      <c r="AF38" s="272">
        <v>4267</v>
      </c>
      <c r="AG38" s="272">
        <v>32712</v>
      </c>
      <c r="AH38" s="455">
        <f t="shared" si="3"/>
        <v>206287</v>
      </c>
      <c r="AI38" s="272">
        <v>152231</v>
      </c>
      <c r="AJ38" s="272">
        <v>54056</v>
      </c>
      <c r="AK38" s="272">
        <v>281412</v>
      </c>
      <c r="AL38" s="455">
        <f t="shared" si="4"/>
        <v>67727</v>
      </c>
      <c r="AM38" s="272">
        <v>37117</v>
      </c>
      <c r="AN38" s="272">
        <v>16939</v>
      </c>
      <c r="AO38" s="272">
        <v>0</v>
      </c>
      <c r="AP38" s="272">
        <v>13671</v>
      </c>
      <c r="AQ38" s="272">
        <v>96565</v>
      </c>
      <c r="AR38" s="272">
        <v>0</v>
      </c>
      <c r="AS38" s="272">
        <v>0</v>
      </c>
      <c r="AT38" s="272">
        <v>260414</v>
      </c>
      <c r="AU38" s="272">
        <v>53681</v>
      </c>
      <c r="AV38" s="272">
        <v>8469</v>
      </c>
      <c r="AW38" s="272">
        <v>0</v>
      </c>
      <c r="AX38" s="272">
        <v>206733</v>
      </c>
      <c r="AY38" s="272">
        <v>70149</v>
      </c>
      <c r="AZ38" s="272">
        <v>76084</v>
      </c>
      <c r="BA38" s="272">
        <v>955</v>
      </c>
      <c r="BB38" s="272">
        <v>40290</v>
      </c>
      <c r="BC38" s="272">
        <v>12462</v>
      </c>
      <c r="BD38" s="272">
        <v>0</v>
      </c>
      <c r="BE38" s="272">
        <v>0</v>
      </c>
      <c r="BF38" s="272">
        <v>10000</v>
      </c>
      <c r="BG38" s="272">
        <v>0</v>
      </c>
      <c r="BH38" s="272">
        <v>0</v>
      </c>
      <c r="BI38" s="272">
        <v>0</v>
      </c>
      <c r="BJ38" s="272">
        <v>72622</v>
      </c>
      <c r="BK38" s="272">
        <v>24136</v>
      </c>
      <c r="BL38" s="272">
        <v>0</v>
      </c>
      <c r="BM38" s="272">
        <v>0</v>
      </c>
      <c r="BN38" s="272">
        <v>153810</v>
      </c>
      <c r="BO38" s="455">
        <f t="shared" si="5"/>
        <v>153810</v>
      </c>
      <c r="BP38" s="455">
        <f t="shared" si="6"/>
        <v>0</v>
      </c>
      <c r="BQ38" s="272"/>
      <c r="BR38" s="272"/>
      <c r="BS38" s="272"/>
      <c r="BT38" s="272">
        <v>0</v>
      </c>
      <c r="BU38" s="272">
        <v>6526170</v>
      </c>
      <c r="BV38" s="272"/>
      <c r="BW38" s="272">
        <v>2187387</v>
      </c>
      <c r="BX38" s="272">
        <v>1662918</v>
      </c>
      <c r="BY38" s="272">
        <v>104011</v>
      </c>
      <c r="BZ38" s="272">
        <v>19791</v>
      </c>
      <c r="CA38" s="272">
        <v>333324</v>
      </c>
      <c r="CB38" s="272">
        <v>88432</v>
      </c>
      <c r="CC38" s="272">
        <v>85957</v>
      </c>
      <c r="CD38" s="272">
        <v>105445</v>
      </c>
      <c r="CE38" s="272">
        <v>42607</v>
      </c>
      <c r="CF38" s="272">
        <v>0</v>
      </c>
      <c r="CG38" s="272">
        <v>10883</v>
      </c>
      <c r="CH38" s="272">
        <v>795408</v>
      </c>
      <c r="CI38" s="272">
        <v>377618</v>
      </c>
      <c r="CJ38" s="455">
        <f t="shared" si="7"/>
        <v>417790</v>
      </c>
      <c r="CK38" s="272">
        <v>701946</v>
      </c>
      <c r="CL38" s="272">
        <v>297887</v>
      </c>
      <c r="CM38" s="272">
        <v>31907</v>
      </c>
      <c r="CN38" s="272">
        <v>240376</v>
      </c>
      <c r="CO38" s="272">
        <v>60320</v>
      </c>
      <c r="CP38" s="272">
        <v>218108</v>
      </c>
      <c r="CQ38" s="272">
        <v>4341</v>
      </c>
      <c r="CR38" s="272">
        <v>78956</v>
      </c>
      <c r="CS38" s="272">
        <v>78956</v>
      </c>
      <c r="CT38" s="455">
        <f t="shared" si="8"/>
        <v>12650</v>
      </c>
      <c r="CU38" s="272">
        <v>6500</v>
      </c>
      <c r="CV38" s="272">
        <v>6150</v>
      </c>
      <c r="CW38" s="455">
        <f t="shared" si="9"/>
        <v>0</v>
      </c>
      <c r="CX38" s="272">
        <v>0</v>
      </c>
      <c r="CY38" s="272">
        <v>0</v>
      </c>
      <c r="CZ38" s="455">
        <f t="shared" si="10"/>
        <v>0</v>
      </c>
      <c r="DA38" s="272">
        <v>0</v>
      </c>
      <c r="DB38" s="272">
        <v>0</v>
      </c>
      <c r="DC38" s="272">
        <v>1117230</v>
      </c>
      <c r="DD38" s="272">
        <v>190570</v>
      </c>
      <c r="DE38" s="272">
        <v>926660</v>
      </c>
      <c r="DF38" s="272">
        <v>0</v>
      </c>
      <c r="DG38" s="272">
        <v>0</v>
      </c>
      <c r="DH38" s="272">
        <v>5021</v>
      </c>
      <c r="DI38" s="272">
        <v>627589</v>
      </c>
      <c r="DJ38" s="272">
        <v>173782</v>
      </c>
      <c r="DK38" s="272">
        <v>102986</v>
      </c>
      <c r="DL38" s="272">
        <v>350821</v>
      </c>
      <c r="DM38" s="272">
        <v>0</v>
      </c>
      <c r="DN38" s="272">
        <v>0</v>
      </c>
      <c r="DO38" s="272">
        <v>0</v>
      </c>
      <c r="DP38" s="272">
        <v>0</v>
      </c>
      <c r="DQ38" s="272">
        <v>23010</v>
      </c>
      <c r="DR38" s="272">
        <v>0</v>
      </c>
      <c r="DS38" s="272">
        <v>0</v>
      </c>
      <c r="DT38" s="272">
        <v>417002</v>
      </c>
      <c r="DU38" s="272">
        <v>330000</v>
      </c>
      <c r="DV38" s="455">
        <f t="shared" si="11"/>
        <v>0</v>
      </c>
      <c r="DW38" s="272">
        <v>0</v>
      </c>
      <c r="DX38" s="272">
        <v>0</v>
      </c>
      <c r="DY38" s="457" t="s">
        <v>646</v>
      </c>
      <c r="DZ38" s="272">
        <v>34914</v>
      </c>
      <c r="EA38" s="272">
        <v>51316</v>
      </c>
      <c r="EB38" s="272"/>
      <c r="EC38" s="272">
        <v>675675</v>
      </c>
      <c r="ED38" s="272">
        <v>7162020</v>
      </c>
      <c r="EF38" s="272">
        <v>-635850</v>
      </c>
      <c r="EG38" s="272">
        <v>0</v>
      </c>
      <c r="EH38" s="272">
        <v>-635850</v>
      </c>
      <c r="EI38" s="272">
        <v>39858</v>
      </c>
      <c r="EJ38" s="272">
        <v>213640</v>
      </c>
      <c r="EL38" s="272"/>
      <c r="EM38" s="272">
        <v>29875</v>
      </c>
      <c r="EN38" s="272">
        <v>12462</v>
      </c>
      <c r="EO38" s="272">
        <v>1593</v>
      </c>
      <c r="EP38" s="455">
        <f t="shared" si="12"/>
        <v>96859</v>
      </c>
      <c r="EQ38" s="272">
        <v>5390077</v>
      </c>
      <c r="ER38" s="272">
        <v>-106647</v>
      </c>
      <c r="ES38" s="272">
        <v>1967427</v>
      </c>
      <c r="ET38" s="272">
        <v>1442958</v>
      </c>
      <c r="EU38" s="272">
        <v>148590</v>
      </c>
      <c r="EV38" s="272">
        <v>793467</v>
      </c>
      <c r="EW38" s="455">
        <f t="shared" si="13"/>
        <v>806672</v>
      </c>
      <c r="EX38" s="272">
        <v>801651</v>
      </c>
      <c r="EY38" s="272">
        <v>14088</v>
      </c>
      <c r="EZ38" s="272">
        <v>787563</v>
      </c>
      <c r="FA38" s="272">
        <v>5021</v>
      </c>
      <c r="FB38" s="272">
        <v>0</v>
      </c>
      <c r="FC38" s="272">
        <v>579201</v>
      </c>
      <c r="FD38" s="272">
        <v>207615</v>
      </c>
      <c r="FE38" s="272">
        <v>4341</v>
      </c>
      <c r="FF38" s="272">
        <v>403544</v>
      </c>
      <c r="FG38" s="455">
        <f t="shared" si="14"/>
        <v>1231692</v>
      </c>
      <c r="FH38" s="272">
        <v>6138208</v>
      </c>
      <c r="FI38" s="384">
        <f t="shared" si="15"/>
        <v>-12.9</v>
      </c>
      <c r="FJ38" s="272">
        <v>4921327</v>
      </c>
      <c r="FK38" s="272"/>
      <c r="FL38" s="272">
        <v>3592719</v>
      </c>
      <c r="FM38" s="272">
        <v>3747198</v>
      </c>
      <c r="FN38" s="460">
        <v>0.91400000000000003</v>
      </c>
      <c r="FO38" s="388">
        <v>73.900000000000006</v>
      </c>
      <c r="FP38" s="388">
        <v>39.700000000000003</v>
      </c>
      <c r="FQ38" s="388">
        <v>3</v>
      </c>
      <c r="FR38" s="388">
        <v>15.1</v>
      </c>
      <c r="FS38" s="388">
        <v>10.1</v>
      </c>
      <c r="FT38" s="388">
        <v>3.8</v>
      </c>
      <c r="FU38" s="388">
        <v>1.4</v>
      </c>
      <c r="FV38" s="388">
        <v>13.3</v>
      </c>
      <c r="FW38" s="272">
        <v>5973184</v>
      </c>
      <c r="FX38" s="384">
        <f t="shared" si="16"/>
        <v>121.4</v>
      </c>
      <c r="FY38" s="272">
        <v>2114304</v>
      </c>
      <c r="FZ38" s="272">
        <v>708471</v>
      </c>
      <c r="GA38" s="272">
        <v>102986</v>
      </c>
      <c r="GB38" s="272">
        <v>1302847</v>
      </c>
      <c r="GC38" s="272"/>
      <c r="GD38" s="272"/>
      <c r="GE38" s="384"/>
      <c r="GF38" s="388">
        <v>97.4</v>
      </c>
      <c r="GG38" s="388">
        <v>37.799999999999997</v>
      </c>
      <c r="GH38" s="388">
        <v>95.8</v>
      </c>
      <c r="GI38" s="272">
        <v>305</v>
      </c>
    </row>
    <row r="39" spans="2:191" x14ac:dyDescent="0.15">
      <c r="B39" s="89" t="s">
        <v>71</v>
      </c>
      <c r="C39" s="272">
        <v>2204976</v>
      </c>
      <c r="D39" s="455">
        <f t="shared" si="0"/>
        <v>1447206</v>
      </c>
      <c r="E39" s="272">
        <v>9317</v>
      </c>
      <c r="F39" s="272">
        <v>1437889</v>
      </c>
      <c r="G39" s="455">
        <f t="shared" si="1"/>
        <v>37618</v>
      </c>
      <c r="H39" s="272">
        <v>7922</v>
      </c>
      <c r="I39" s="272">
        <v>29696</v>
      </c>
      <c r="J39" s="272">
        <v>665555</v>
      </c>
      <c r="K39" s="272">
        <v>346178</v>
      </c>
      <c r="L39" s="272">
        <v>271463</v>
      </c>
      <c r="M39" s="272">
        <v>47869</v>
      </c>
      <c r="N39" s="272">
        <v>36020</v>
      </c>
      <c r="O39" s="272">
        <v>0</v>
      </c>
      <c r="P39" s="272">
        <v>0</v>
      </c>
      <c r="Q39" s="272">
        <v>0</v>
      </c>
      <c r="R39" s="272">
        <v>71776</v>
      </c>
      <c r="S39" s="272">
        <v>25789</v>
      </c>
      <c r="T39" s="455">
        <f t="shared" si="2"/>
        <v>208584</v>
      </c>
      <c r="U39" s="272">
        <v>105283</v>
      </c>
      <c r="V39" s="272"/>
      <c r="W39" s="272"/>
      <c r="X39" s="272"/>
      <c r="Y39" s="272">
        <v>16789</v>
      </c>
      <c r="Z39" s="272"/>
      <c r="AA39" s="272">
        <v>86512</v>
      </c>
      <c r="AB39" s="272"/>
      <c r="AC39" s="272">
        <v>1200688</v>
      </c>
      <c r="AD39" s="272">
        <v>1010857</v>
      </c>
      <c r="AE39" s="272">
        <v>189831</v>
      </c>
      <c r="AF39" s="272">
        <v>4332</v>
      </c>
      <c r="AG39" s="272">
        <v>3670</v>
      </c>
      <c r="AH39" s="455">
        <f t="shared" si="3"/>
        <v>99870</v>
      </c>
      <c r="AI39" s="272">
        <v>80008</v>
      </c>
      <c r="AJ39" s="272">
        <v>19862</v>
      </c>
      <c r="AK39" s="272">
        <v>291501</v>
      </c>
      <c r="AL39" s="455">
        <f t="shared" si="4"/>
        <v>4361</v>
      </c>
      <c r="AM39" s="272">
        <v>0</v>
      </c>
      <c r="AN39" s="272">
        <v>4361</v>
      </c>
      <c r="AO39" s="272">
        <v>0</v>
      </c>
      <c r="AP39" s="272">
        <v>0</v>
      </c>
      <c r="AQ39" s="272">
        <v>233092</v>
      </c>
      <c r="AR39" s="272">
        <v>0</v>
      </c>
      <c r="AS39" s="272">
        <v>0</v>
      </c>
      <c r="AT39" s="272">
        <v>428544</v>
      </c>
      <c r="AU39" s="272">
        <v>123528</v>
      </c>
      <c r="AV39" s="272">
        <v>2180</v>
      </c>
      <c r="AW39" s="272">
        <v>81833</v>
      </c>
      <c r="AX39" s="272">
        <v>305016</v>
      </c>
      <c r="AY39" s="272">
        <v>172411</v>
      </c>
      <c r="AZ39" s="272">
        <v>81760</v>
      </c>
      <c r="BA39" s="272">
        <v>945</v>
      </c>
      <c r="BB39" s="272">
        <v>724666</v>
      </c>
      <c r="BC39" s="272">
        <v>14992</v>
      </c>
      <c r="BD39" s="272">
        <v>0</v>
      </c>
      <c r="BE39" s="272">
        <v>0</v>
      </c>
      <c r="BF39" s="272">
        <v>0</v>
      </c>
      <c r="BG39" s="272">
        <v>0</v>
      </c>
      <c r="BH39" s="272">
        <v>230545</v>
      </c>
      <c r="BI39" s="272">
        <v>230545</v>
      </c>
      <c r="BJ39" s="272">
        <v>213626</v>
      </c>
      <c r="BK39" s="272">
        <v>2</v>
      </c>
      <c r="BL39" s="272">
        <v>148417</v>
      </c>
      <c r="BM39" s="272">
        <v>0</v>
      </c>
      <c r="BN39" s="272">
        <v>339500</v>
      </c>
      <c r="BO39" s="455">
        <f t="shared" si="5"/>
        <v>339500</v>
      </c>
      <c r="BP39" s="455">
        <f t="shared" si="6"/>
        <v>0</v>
      </c>
      <c r="BQ39" s="272"/>
      <c r="BR39" s="272"/>
      <c r="BS39" s="272"/>
      <c r="BT39" s="272">
        <v>0</v>
      </c>
      <c r="BU39" s="272">
        <v>6119030</v>
      </c>
      <c r="BV39" s="272"/>
      <c r="BW39" s="272">
        <v>1262121</v>
      </c>
      <c r="BX39" s="272">
        <v>863622</v>
      </c>
      <c r="BY39" s="272">
        <v>3417</v>
      </c>
      <c r="BZ39" s="272">
        <v>125017</v>
      </c>
      <c r="CA39" s="272">
        <v>70159</v>
      </c>
      <c r="CB39" s="272">
        <v>12309</v>
      </c>
      <c r="CC39" s="272">
        <v>42767</v>
      </c>
      <c r="CD39" s="272">
        <v>13365</v>
      </c>
      <c r="CE39" s="272">
        <v>0</v>
      </c>
      <c r="CF39" s="272">
        <v>0</v>
      </c>
      <c r="CG39" s="272">
        <v>1718</v>
      </c>
      <c r="CH39" s="272">
        <v>313039</v>
      </c>
      <c r="CI39" s="272">
        <v>139979</v>
      </c>
      <c r="CJ39" s="455">
        <f t="shared" si="7"/>
        <v>173060</v>
      </c>
      <c r="CK39" s="272">
        <v>546889</v>
      </c>
      <c r="CL39" s="272">
        <v>146272</v>
      </c>
      <c r="CM39" s="272">
        <v>3986</v>
      </c>
      <c r="CN39" s="272">
        <v>232058</v>
      </c>
      <c r="CO39" s="272">
        <v>97147</v>
      </c>
      <c r="CP39" s="272">
        <v>376524</v>
      </c>
      <c r="CQ39" s="272">
        <v>174049</v>
      </c>
      <c r="CR39" s="272">
        <v>109596</v>
      </c>
      <c r="CS39" s="272">
        <v>53792</v>
      </c>
      <c r="CT39" s="455">
        <f t="shared" si="8"/>
        <v>43978</v>
      </c>
      <c r="CU39" s="272">
        <v>0</v>
      </c>
      <c r="CV39" s="272">
        <v>43978</v>
      </c>
      <c r="CW39" s="455">
        <f t="shared" si="9"/>
        <v>0</v>
      </c>
      <c r="CX39" s="272">
        <v>0</v>
      </c>
      <c r="CY39" s="272">
        <v>0</v>
      </c>
      <c r="CZ39" s="455">
        <f t="shared" si="10"/>
        <v>0</v>
      </c>
      <c r="DA39" s="272">
        <v>0</v>
      </c>
      <c r="DB39" s="272">
        <v>0</v>
      </c>
      <c r="DC39" s="272">
        <v>1787886</v>
      </c>
      <c r="DD39" s="272">
        <v>653830</v>
      </c>
      <c r="DE39" s="272">
        <v>978142</v>
      </c>
      <c r="DF39" s="272">
        <v>7188</v>
      </c>
      <c r="DG39" s="272">
        <v>148726</v>
      </c>
      <c r="DH39" s="272">
        <v>15552</v>
      </c>
      <c r="DI39" s="272">
        <v>910664</v>
      </c>
      <c r="DJ39" s="272">
        <v>34000</v>
      </c>
      <c r="DK39" s="272">
        <v>9000</v>
      </c>
      <c r="DL39" s="272">
        <v>867664</v>
      </c>
      <c r="DM39" s="272">
        <v>0</v>
      </c>
      <c r="DN39" s="272">
        <v>0</v>
      </c>
      <c r="DO39" s="272">
        <v>0</v>
      </c>
      <c r="DP39" s="272">
        <v>0</v>
      </c>
      <c r="DQ39" s="272">
        <v>392</v>
      </c>
      <c r="DR39" s="272">
        <v>0</v>
      </c>
      <c r="DS39" s="272">
        <v>0</v>
      </c>
      <c r="DT39" s="272">
        <v>357526</v>
      </c>
      <c r="DU39" s="272">
        <v>247585</v>
      </c>
      <c r="DV39" s="455">
        <f t="shared" si="11"/>
        <v>0</v>
      </c>
      <c r="DW39" s="272">
        <v>0</v>
      </c>
      <c r="DX39" s="272">
        <v>0</v>
      </c>
      <c r="DY39" s="457" t="s">
        <v>646</v>
      </c>
      <c r="DZ39" s="272">
        <v>29546</v>
      </c>
      <c r="EA39" s="272">
        <v>37511</v>
      </c>
      <c r="EB39" s="272"/>
      <c r="EC39" s="272">
        <v>0</v>
      </c>
      <c r="ED39" s="272">
        <v>5737899</v>
      </c>
      <c r="EF39" s="272">
        <v>381131</v>
      </c>
      <c r="EG39" s="272">
        <v>168007</v>
      </c>
      <c r="EH39" s="272">
        <v>213124</v>
      </c>
      <c r="EI39" s="272">
        <v>-17421</v>
      </c>
      <c r="EJ39" s="272">
        <v>17842</v>
      </c>
      <c r="EL39" s="272"/>
      <c r="EM39" s="272">
        <v>23681</v>
      </c>
      <c r="EN39" s="272">
        <v>9545</v>
      </c>
      <c r="EO39" s="272">
        <v>6308</v>
      </c>
      <c r="EP39" s="455">
        <f t="shared" si="12"/>
        <v>1034959</v>
      </c>
      <c r="EQ39" s="272">
        <v>3690356</v>
      </c>
      <c r="ER39" s="272">
        <v>-1046480</v>
      </c>
      <c r="ES39" s="272">
        <v>1092759</v>
      </c>
      <c r="ET39" s="272">
        <v>700004</v>
      </c>
      <c r="EU39" s="272">
        <v>22434</v>
      </c>
      <c r="EV39" s="272">
        <v>290806</v>
      </c>
      <c r="EW39" s="455">
        <f t="shared" si="13"/>
        <v>811463</v>
      </c>
      <c r="EX39" s="272">
        <v>807148</v>
      </c>
      <c r="EY39" s="272">
        <v>74235</v>
      </c>
      <c r="EZ39" s="272">
        <v>725416</v>
      </c>
      <c r="FA39" s="272">
        <v>4315</v>
      </c>
      <c r="FB39" s="272">
        <v>0</v>
      </c>
      <c r="FC39" s="272">
        <v>504482</v>
      </c>
      <c r="FD39" s="272">
        <v>350644</v>
      </c>
      <c r="FE39" s="272">
        <v>174049</v>
      </c>
      <c r="FF39" s="272">
        <v>350366</v>
      </c>
      <c r="FG39" s="455">
        <f t="shared" si="14"/>
        <v>932751</v>
      </c>
      <c r="FH39" s="272">
        <v>4355705</v>
      </c>
      <c r="FI39" s="384">
        <f t="shared" si="15"/>
        <v>6.2</v>
      </c>
      <c r="FJ39" s="272">
        <v>3411667</v>
      </c>
      <c r="FK39" s="272"/>
      <c r="FL39" s="272">
        <v>1813060</v>
      </c>
      <c r="FM39" s="272">
        <v>2824870</v>
      </c>
      <c r="FN39" s="460">
        <v>0.63300000000000001</v>
      </c>
      <c r="FO39" s="388">
        <v>65.099999999999994</v>
      </c>
      <c r="FP39" s="388">
        <v>30.5</v>
      </c>
      <c r="FQ39" s="388">
        <v>0.6</v>
      </c>
      <c r="FR39" s="388">
        <v>8.1999999999999993</v>
      </c>
      <c r="FS39" s="388">
        <v>14</v>
      </c>
      <c r="FT39" s="388">
        <v>7.5</v>
      </c>
      <c r="FU39" s="388">
        <v>1.6</v>
      </c>
      <c r="FV39" s="388">
        <v>6.1</v>
      </c>
      <c r="FW39" s="272">
        <v>2939836</v>
      </c>
      <c r="FX39" s="384">
        <f t="shared" si="16"/>
        <v>86.2</v>
      </c>
      <c r="FY39" s="272">
        <v>2433984</v>
      </c>
      <c r="FZ39" s="272">
        <v>712000</v>
      </c>
      <c r="GA39" s="272">
        <v>207320</v>
      </c>
      <c r="GB39" s="272">
        <v>1514664</v>
      </c>
      <c r="GC39" s="272"/>
      <c r="GD39" s="272"/>
      <c r="GE39" s="384"/>
      <c r="GF39" s="388">
        <v>99.3</v>
      </c>
      <c r="GG39" s="388">
        <v>29.4</v>
      </c>
      <c r="GH39" s="388">
        <v>98.2</v>
      </c>
      <c r="GI39" s="272">
        <v>193</v>
      </c>
    </row>
    <row r="40" spans="2:191" x14ac:dyDescent="0.15">
      <c r="B40" s="89" t="s">
        <v>73</v>
      </c>
      <c r="C40" s="272">
        <v>732909</v>
      </c>
      <c r="D40" s="455">
        <f t="shared" si="0"/>
        <v>384119</v>
      </c>
      <c r="E40" s="272">
        <v>4498</v>
      </c>
      <c r="F40" s="272">
        <v>379621</v>
      </c>
      <c r="G40" s="455">
        <f t="shared" si="1"/>
        <v>32481</v>
      </c>
      <c r="H40" s="272">
        <v>8370</v>
      </c>
      <c r="I40" s="272">
        <v>24111</v>
      </c>
      <c r="J40" s="272">
        <v>261863</v>
      </c>
      <c r="K40" s="272">
        <v>99563</v>
      </c>
      <c r="L40" s="272">
        <v>118033</v>
      </c>
      <c r="M40" s="272">
        <v>44112</v>
      </c>
      <c r="N40" s="272">
        <v>33477</v>
      </c>
      <c r="O40" s="272">
        <v>0</v>
      </c>
      <c r="P40" s="272">
        <v>0</v>
      </c>
      <c r="Q40" s="272">
        <v>0</v>
      </c>
      <c r="R40" s="272">
        <v>67920</v>
      </c>
      <c r="S40" s="272">
        <v>23801</v>
      </c>
      <c r="T40" s="455">
        <f t="shared" si="2"/>
        <v>117146</v>
      </c>
      <c r="U40" s="272">
        <v>33305</v>
      </c>
      <c r="V40" s="272"/>
      <c r="W40" s="272"/>
      <c r="X40" s="272"/>
      <c r="Y40" s="272">
        <v>0</v>
      </c>
      <c r="Z40" s="272"/>
      <c r="AA40" s="272">
        <v>83841</v>
      </c>
      <c r="AB40" s="272"/>
      <c r="AC40" s="272">
        <v>1355562</v>
      </c>
      <c r="AD40" s="272">
        <v>1166408</v>
      </c>
      <c r="AE40" s="272">
        <v>189154</v>
      </c>
      <c r="AF40" s="272">
        <v>1746</v>
      </c>
      <c r="AG40" s="272">
        <v>25624</v>
      </c>
      <c r="AH40" s="455">
        <f t="shared" si="3"/>
        <v>108395</v>
      </c>
      <c r="AI40" s="272">
        <v>62936</v>
      </c>
      <c r="AJ40" s="272">
        <v>45459</v>
      </c>
      <c r="AK40" s="272">
        <v>125743</v>
      </c>
      <c r="AL40" s="455">
        <f t="shared" si="4"/>
        <v>19717</v>
      </c>
      <c r="AM40" s="272">
        <v>0</v>
      </c>
      <c r="AN40" s="272">
        <v>15496</v>
      </c>
      <c r="AO40" s="272">
        <v>0</v>
      </c>
      <c r="AP40" s="272">
        <v>4221</v>
      </c>
      <c r="AQ40" s="272">
        <v>63378</v>
      </c>
      <c r="AR40" s="272">
        <v>12954</v>
      </c>
      <c r="AS40" s="272">
        <v>0</v>
      </c>
      <c r="AT40" s="272">
        <v>478877</v>
      </c>
      <c r="AU40" s="272">
        <v>258493</v>
      </c>
      <c r="AV40" s="272">
        <v>1108</v>
      </c>
      <c r="AW40" s="272">
        <v>173866</v>
      </c>
      <c r="AX40" s="272">
        <v>220384</v>
      </c>
      <c r="AY40" s="272">
        <v>82239</v>
      </c>
      <c r="AZ40" s="272">
        <v>27586</v>
      </c>
      <c r="BA40" s="272">
        <v>0</v>
      </c>
      <c r="BB40" s="272">
        <v>3197</v>
      </c>
      <c r="BC40" s="272">
        <v>2295</v>
      </c>
      <c r="BD40" s="272">
        <v>0</v>
      </c>
      <c r="BE40" s="272">
        <v>0</v>
      </c>
      <c r="BF40" s="272">
        <v>0</v>
      </c>
      <c r="BG40" s="272">
        <v>0</v>
      </c>
      <c r="BH40" s="272">
        <v>149063</v>
      </c>
      <c r="BI40" s="272">
        <v>149063</v>
      </c>
      <c r="BJ40" s="272">
        <v>82882</v>
      </c>
      <c r="BK40" s="272">
        <v>4918</v>
      </c>
      <c r="BL40" s="272">
        <v>0</v>
      </c>
      <c r="BM40" s="272">
        <v>0</v>
      </c>
      <c r="BN40" s="272">
        <v>73200</v>
      </c>
      <c r="BO40" s="455">
        <f t="shared" si="5"/>
        <v>73200</v>
      </c>
      <c r="BP40" s="455">
        <f t="shared" si="6"/>
        <v>0</v>
      </c>
      <c r="BQ40" s="272"/>
      <c r="BR40" s="272"/>
      <c r="BS40" s="272"/>
      <c r="BT40" s="272">
        <v>0</v>
      </c>
      <c r="BU40" s="272">
        <v>3352145</v>
      </c>
      <c r="BV40" s="272"/>
      <c r="BW40" s="272">
        <v>996083</v>
      </c>
      <c r="BX40" s="272">
        <v>657092</v>
      </c>
      <c r="BY40" s="272">
        <v>87553</v>
      </c>
      <c r="BZ40" s="272">
        <v>23187</v>
      </c>
      <c r="CA40" s="272">
        <v>69862</v>
      </c>
      <c r="CB40" s="272">
        <v>10814</v>
      </c>
      <c r="CC40" s="272">
        <v>33896</v>
      </c>
      <c r="CD40" s="272">
        <v>21857</v>
      </c>
      <c r="CE40" s="272">
        <v>0</v>
      </c>
      <c r="CF40" s="272">
        <v>1390</v>
      </c>
      <c r="CG40" s="272">
        <v>1905</v>
      </c>
      <c r="CH40" s="272">
        <v>363268</v>
      </c>
      <c r="CI40" s="272">
        <v>207661</v>
      </c>
      <c r="CJ40" s="455">
        <f t="shared" si="7"/>
        <v>155607</v>
      </c>
      <c r="CK40" s="272">
        <v>426257</v>
      </c>
      <c r="CL40" s="272">
        <v>188985</v>
      </c>
      <c r="CM40" s="272">
        <v>20878</v>
      </c>
      <c r="CN40" s="272">
        <v>140647</v>
      </c>
      <c r="CO40" s="272">
        <v>25760</v>
      </c>
      <c r="CP40" s="272">
        <v>248888</v>
      </c>
      <c r="CQ40" s="272">
        <v>63156</v>
      </c>
      <c r="CR40" s="272">
        <v>100786</v>
      </c>
      <c r="CS40" s="272">
        <v>60645</v>
      </c>
      <c r="CT40" s="455">
        <f t="shared" si="8"/>
        <v>0</v>
      </c>
      <c r="CU40" s="272">
        <v>0</v>
      </c>
      <c r="CV40" s="272">
        <v>0</v>
      </c>
      <c r="CW40" s="455">
        <f t="shared" si="9"/>
        <v>0</v>
      </c>
      <c r="CX40" s="272">
        <v>0</v>
      </c>
      <c r="CY40" s="272">
        <v>0</v>
      </c>
      <c r="CZ40" s="455">
        <f t="shared" si="10"/>
        <v>0</v>
      </c>
      <c r="DA40" s="272">
        <v>0</v>
      </c>
      <c r="DB40" s="272">
        <v>0</v>
      </c>
      <c r="DC40" s="272">
        <v>749895</v>
      </c>
      <c r="DD40" s="272">
        <v>386859</v>
      </c>
      <c r="DE40" s="272">
        <v>339945</v>
      </c>
      <c r="DF40" s="272">
        <v>23091</v>
      </c>
      <c r="DG40" s="272">
        <v>0</v>
      </c>
      <c r="DH40" s="272">
        <v>45970</v>
      </c>
      <c r="DI40" s="272">
        <v>177513</v>
      </c>
      <c r="DJ40" s="272">
        <v>66915</v>
      </c>
      <c r="DK40" s="272">
        <v>0</v>
      </c>
      <c r="DL40" s="272">
        <v>110598</v>
      </c>
      <c r="DM40" s="272">
        <v>0</v>
      </c>
      <c r="DN40" s="272">
        <v>0</v>
      </c>
      <c r="DO40" s="272">
        <v>0</v>
      </c>
      <c r="DP40" s="272">
        <v>0</v>
      </c>
      <c r="DQ40" s="272">
        <v>0</v>
      </c>
      <c r="DR40" s="272">
        <v>0</v>
      </c>
      <c r="DS40" s="272">
        <v>0</v>
      </c>
      <c r="DT40" s="272">
        <v>106696</v>
      </c>
      <c r="DU40" s="272">
        <v>0</v>
      </c>
      <c r="DV40" s="455">
        <f t="shared" si="11"/>
        <v>0</v>
      </c>
      <c r="DW40" s="272">
        <v>0</v>
      </c>
      <c r="DX40" s="272">
        <v>0</v>
      </c>
      <c r="DY40" s="457" t="s">
        <v>646</v>
      </c>
      <c r="DZ40" s="272">
        <v>23266</v>
      </c>
      <c r="EA40" s="272">
        <v>26821</v>
      </c>
      <c r="EB40" s="272"/>
      <c r="EC40" s="272">
        <v>0</v>
      </c>
      <c r="ED40" s="272">
        <v>3210192</v>
      </c>
      <c r="EF40" s="272">
        <v>141953</v>
      </c>
      <c r="EG40" s="272">
        <v>0</v>
      </c>
      <c r="EH40" s="272">
        <v>141953</v>
      </c>
      <c r="EI40" s="272">
        <v>-7110</v>
      </c>
      <c r="EJ40" s="272">
        <v>59805</v>
      </c>
      <c r="EL40" s="272"/>
      <c r="EM40" s="272">
        <v>10965</v>
      </c>
      <c r="EN40" s="272">
        <v>2295</v>
      </c>
      <c r="EO40" s="272">
        <v>572</v>
      </c>
      <c r="EP40" s="455">
        <f t="shared" si="12"/>
        <v>207396</v>
      </c>
      <c r="EQ40" s="272">
        <v>2275283</v>
      </c>
      <c r="ER40" s="272">
        <v>-208517</v>
      </c>
      <c r="ES40" s="272">
        <v>898895</v>
      </c>
      <c r="ET40" s="272">
        <v>559904</v>
      </c>
      <c r="EU40" s="272">
        <v>30617</v>
      </c>
      <c r="EV40" s="272">
        <v>326205</v>
      </c>
      <c r="EW40" s="455">
        <f t="shared" si="13"/>
        <v>345369</v>
      </c>
      <c r="EX40" s="272">
        <v>338356</v>
      </c>
      <c r="EY40" s="272">
        <v>62303</v>
      </c>
      <c r="EZ40" s="272">
        <v>252962</v>
      </c>
      <c r="FA40" s="272">
        <v>7013</v>
      </c>
      <c r="FB40" s="272">
        <v>0</v>
      </c>
      <c r="FC40" s="272">
        <v>291968</v>
      </c>
      <c r="FD40" s="272">
        <v>207559</v>
      </c>
      <c r="FE40" s="272">
        <v>63156</v>
      </c>
      <c r="FF40" s="272">
        <v>92201</v>
      </c>
      <c r="FG40" s="455">
        <f t="shared" si="14"/>
        <v>149033</v>
      </c>
      <c r="FH40" s="272">
        <v>2341847</v>
      </c>
      <c r="FI40" s="384">
        <f t="shared" si="15"/>
        <v>6.9</v>
      </c>
      <c r="FJ40" s="272">
        <v>2051578</v>
      </c>
      <c r="FK40" s="272"/>
      <c r="FL40" s="272">
        <v>674938</v>
      </c>
      <c r="FM40" s="272">
        <v>1844110</v>
      </c>
      <c r="FN40" s="460">
        <v>0.371</v>
      </c>
      <c r="FO40" s="388">
        <v>82.5</v>
      </c>
      <c r="FP40" s="388">
        <v>41.2</v>
      </c>
      <c r="FQ40" s="388">
        <v>1.5</v>
      </c>
      <c r="FR40" s="388">
        <v>15.5</v>
      </c>
      <c r="FS40" s="388">
        <v>12.6</v>
      </c>
      <c r="FT40" s="388">
        <v>8</v>
      </c>
      <c r="FU40" s="388">
        <v>2.6</v>
      </c>
      <c r="FV40" s="388">
        <v>12.7</v>
      </c>
      <c r="FW40" s="272">
        <v>2282060</v>
      </c>
      <c r="FX40" s="384">
        <f t="shared" si="16"/>
        <v>111.2</v>
      </c>
      <c r="FY40" s="272">
        <v>858719</v>
      </c>
      <c r="FZ40" s="272">
        <v>717249</v>
      </c>
      <c r="GA40" s="272"/>
      <c r="GB40" s="272">
        <v>141470</v>
      </c>
      <c r="GC40" s="272"/>
      <c r="GD40" s="272">
        <v>73436</v>
      </c>
      <c r="GE40" s="384">
        <f>ROUND(GD40/FJ40*100,1)</f>
        <v>3.6</v>
      </c>
      <c r="GF40" s="388">
        <v>99.2</v>
      </c>
      <c r="GG40" s="388">
        <v>23.2</v>
      </c>
      <c r="GH40" s="388">
        <v>97</v>
      </c>
      <c r="GI40" s="272">
        <v>144</v>
      </c>
    </row>
    <row r="41" spans="2:191" x14ac:dyDescent="0.15">
      <c r="B41" s="89" t="s">
        <v>75</v>
      </c>
      <c r="C41" s="272">
        <v>2313943</v>
      </c>
      <c r="D41" s="455">
        <f t="shared" si="0"/>
        <v>675011</v>
      </c>
      <c r="E41" s="272">
        <v>8341</v>
      </c>
      <c r="F41" s="272">
        <v>666670</v>
      </c>
      <c r="G41" s="455">
        <f t="shared" si="1"/>
        <v>370469</v>
      </c>
      <c r="H41" s="272">
        <v>35018</v>
      </c>
      <c r="I41" s="272">
        <v>335451</v>
      </c>
      <c r="J41" s="272">
        <v>929596</v>
      </c>
      <c r="K41" s="272">
        <v>481797</v>
      </c>
      <c r="L41" s="272">
        <v>264855</v>
      </c>
      <c r="M41" s="272">
        <v>179195</v>
      </c>
      <c r="N41" s="272">
        <v>87022</v>
      </c>
      <c r="O41" s="272">
        <v>215179</v>
      </c>
      <c r="P41" s="272">
        <v>154991</v>
      </c>
      <c r="Q41" s="272">
        <v>60188</v>
      </c>
      <c r="R41" s="272">
        <v>116023</v>
      </c>
      <c r="S41" s="272">
        <v>85971</v>
      </c>
      <c r="T41" s="455">
        <f t="shared" si="2"/>
        <v>114771</v>
      </c>
      <c r="U41" s="272">
        <v>58208</v>
      </c>
      <c r="V41" s="272"/>
      <c r="W41" s="272"/>
      <c r="X41" s="272"/>
      <c r="Y41" s="272">
        <v>0</v>
      </c>
      <c r="Z41" s="272"/>
      <c r="AA41" s="272">
        <v>56563</v>
      </c>
      <c r="AB41" s="272"/>
      <c r="AC41" s="272">
        <v>864220</v>
      </c>
      <c r="AD41" s="272">
        <v>644119</v>
      </c>
      <c r="AE41" s="272">
        <v>220101</v>
      </c>
      <c r="AF41" s="272">
        <v>3934</v>
      </c>
      <c r="AG41" s="272">
        <v>2066</v>
      </c>
      <c r="AH41" s="455">
        <f t="shared" si="3"/>
        <v>74970</v>
      </c>
      <c r="AI41" s="272">
        <v>62684</v>
      </c>
      <c r="AJ41" s="272">
        <v>12286</v>
      </c>
      <c r="AK41" s="272">
        <v>87426</v>
      </c>
      <c r="AL41" s="455">
        <f t="shared" si="4"/>
        <v>41571</v>
      </c>
      <c r="AM41" s="272">
        <v>0</v>
      </c>
      <c r="AN41" s="272">
        <v>41571</v>
      </c>
      <c r="AO41" s="272">
        <v>0</v>
      </c>
      <c r="AP41" s="272">
        <v>0</v>
      </c>
      <c r="AQ41" s="272">
        <v>10714</v>
      </c>
      <c r="AR41" s="272">
        <v>0</v>
      </c>
      <c r="AS41" s="272">
        <v>0</v>
      </c>
      <c r="AT41" s="272">
        <v>227216</v>
      </c>
      <c r="AU41" s="272">
        <v>33521</v>
      </c>
      <c r="AV41" s="272">
        <v>14545</v>
      </c>
      <c r="AW41" s="272">
        <v>0</v>
      </c>
      <c r="AX41" s="272">
        <v>193695</v>
      </c>
      <c r="AY41" s="272">
        <v>69300</v>
      </c>
      <c r="AZ41" s="272">
        <v>57728</v>
      </c>
      <c r="BA41" s="272">
        <v>0</v>
      </c>
      <c r="BB41" s="272">
        <v>56458</v>
      </c>
      <c r="BC41" s="272">
        <v>20116</v>
      </c>
      <c r="BD41" s="272">
        <v>20000</v>
      </c>
      <c r="BE41" s="272">
        <v>0</v>
      </c>
      <c r="BF41" s="272">
        <v>0</v>
      </c>
      <c r="BG41" s="272">
        <v>0</v>
      </c>
      <c r="BH41" s="272">
        <v>352971</v>
      </c>
      <c r="BI41" s="272">
        <v>340321</v>
      </c>
      <c r="BJ41" s="272">
        <v>126026</v>
      </c>
      <c r="BK41" s="272">
        <v>340</v>
      </c>
      <c r="BL41" s="272">
        <v>0</v>
      </c>
      <c r="BM41" s="272">
        <v>0</v>
      </c>
      <c r="BN41" s="272">
        <v>101100</v>
      </c>
      <c r="BO41" s="455">
        <f t="shared" si="5"/>
        <v>101100</v>
      </c>
      <c r="BP41" s="455">
        <f t="shared" si="6"/>
        <v>0</v>
      </c>
      <c r="BQ41" s="272"/>
      <c r="BR41" s="272"/>
      <c r="BS41" s="272"/>
      <c r="BT41" s="272">
        <v>0</v>
      </c>
      <c r="BU41" s="272">
        <v>4518968</v>
      </c>
      <c r="BV41" s="272"/>
      <c r="BW41" s="272">
        <v>1349869</v>
      </c>
      <c r="BX41" s="272">
        <v>1016058</v>
      </c>
      <c r="BY41" s="272">
        <v>33405</v>
      </c>
      <c r="BZ41" s="272">
        <v>10783</v>
      </c>
      <c r="CA41" s="272">
        <v>119952</v>
      </c>
      <c r="CB41" s="272">
        <v>48145</v>
      </c>
      <c r="CC41" s="272">
        <v>43366</v>
      </c>
      <c r="CD41" s="272">
        <v>17153</v>
      </c>
      <c r="CE41" s="272">
        <v>0</v>
      </c>
      <c r="CF41" s="272">
        <v>0</v>
      </c>
      <c r="CG41" s="272">
        <v>11288</v>
      </c>
      <c r="CH41" s="272">
        <v>338268</v>
      </c>
      <c r="CI41" s="272">
        <v>164804</v>
      </c>
      <c r="CJ41" s="455">
        <f t="shared" si="7"/>
        <v>173464</v>
      </c>
      <c r="CK41" s="272">
        <v>618001</v>
      </c>
      <c r="CL41" s="272">
        <v>230480</v>
      </c>
      <c r="CM41" s="272">
        <v>40481</v>
      </c>
      <c r="CN41" s="272">
        <v>173424</v>
      </c>
      <c r="CO41" s="272">
        <v>54744</v>
      </c>
      <c r="CP41" s="272">
        <v>513310</v>
      </c>
      <c r="CQ41" s="272">
        <v>2896</v>
      </c>
      <c r="CR41" s="272">
        <v>90128</v>
      </c>
      <c r="CS41" s="272">
        <v>90128</v>
      </c>
      <c r="CT41" s="455">
        <f t="shared" si="8"/>
        <v>274728</v>
      </c>
      <c r="CU41" s="272">
        <v>0</v>
      </c>
      <c r="CV41" s="272">
        <v>274728</v>
      </c>
      <c r="CW41" s="455">
        <f t="shared" si="9"/>
        <v>205528</v>
      </c>
      <c r="CX41" s="272">
        <v>0</v>
      </c>
      <c r="CY41" s="272">
        <v>205528</v>
      </c>
      <c r="CZ41" s="455">
        <f t="shared" si="10"/>
        <v>0</v>
      </c>
      <c r="DA41" s="272">
        <v>0</v>
      </c>
      <c r="DB41" s="272">
        <v>0</v>
      </c>
      <c r="DC41" s="272">
        <v>278859</v>
      </c>
      <c r="DD41" s="272">
        <v>32143</v>
      </c>
      <c r="DE41" s="272">
        <v>234266</v>
      </c>
      <c r="DF41" s="272">
        <v>12450</v>
      </c>
      <c r="DG41" s="272">
        <v>0</v>
      </c>
      <c r="DH41" s="272">
        <v>0</v>
      </c>
      <c r="DI41" s="272">
        <v>439454</v>
      </c>
      <c r="DJ41" s="272">
        <v>199461</v>
      </c>
      <c r="DK41" s="272">
        <v>0</v>
      </c>
      <c r="DL41" s="272">
        <v>239993</v>
      </c>
      <c r="DM41" s="272">
        <v>0</v>
      </c>
      <c r="DN41" s="272">
        <v>0</v>
      </c>
      <c r="DO41" s="272">
        <v>0</v>
      </c>
      <c r="DP41" s="272">
        <v>0</v>
      </c>
      <c r="DQ41" s="272">
        <v>532</v>
      </c>
      <c r="DR41" s="272">
        <v>0</v>
      </c>
      <c r="DS41" s="272">
        <v>0</v>
      </c>
      <c r="DT41" s="272">
        <v>545607</v>
      </c>
      <c r="DU41" s="272">
        <v>434000</v>
      </c>
      <c r="DV41" s="455">
        <f t="shared" si="11"/>
        <v>0</v>
      </c>
      <c r="DW41" s="272">
        <v>0</v>
      </c>
      <c r="DX41" s="272">
        <v>0</v>
      </c>
      <c r="DY41" s="457" t="s">
        <v>646</v>
      </c>
      <c r="DZ41" s="272">
        <v>66000</v>
      </c>
      <c r="EA41" s="272">
        <v>45607</v>
      </c>
      <c r="EB41" s="272"/>
      <c r="EC41" s="272">
        <v>0</v>
      </c>
      <c r="ED41" s="272">
        <v>4258596</v>
      </c>
      <c r="EF41" s="272">
        <v>260372</v>
      </c>
      <c r="EG41" s="272">
        <v>4321</v>
      </c>
      <c r="EH41" s="272">
        <v>256051</v>
      </c>
      <c r="EI41" s="272">
        <v>-84270</v>
      </c>
      <c r="EJ41" s="272">
        <v>95191</v>
      </c>
      <c r="EL41" s="272"/>
      <c r="EM41" s="272">
        <v>16975</v>
      </c>
      <c r="EN41" s="272">
        <v>20116</v>
      </c>
      <c r="EO41" s="272">
        <v>620</v>
      </c>
      <c r="EP41" s="455">
        <f t="shared" si="12"/>
        <v>443951</v>
      </c>
      <c r="EQ41" s="272">
        <v>3412891</v>
      </c>
      <c r="ER41" s="272">
        <v>-460753</v>
      </c>
      <c r="ES41" s="272">
        <v>1241115</v>
      </c>
      <c r="ET41" s="272">
        <v>907304</v>
      </c>
      <c r="EU41" s="272">
        <v>47444</v>
      </c>
      <c r="EV41" s="272">
        <v>338268</v>
      </c>
      <c r="EW41" s="455">
        <f t="shared" si="13"/>
        <v>97745</v>
      </c>
      <c r="EX41" s="272">
        <v>97745</v>
      </c>
      <c r="EY41" s="272">
        <v>10729</v>
      </c>
      <c r="EZ41" s="272">
        <v>76966</v>
      </c>
      <c r="FA41" s="272">
        <v>0</v>
      </c>
      <c r="FB41" s="272">
        <v>0</v>
      </c>
      <c r="FC41" s="272">
        <v>549057</v>
      </c>
      <c r="FD41" s="272">
        <v>433753</v>
      </c>
      <c r="FE41" s="272">
        <v>2896</v>
      </c>
      <c r="FF41" s="272">
        <v>532949</v>
      </c>
      <c r="FG41" s="455">
        <f t="shared" si="14"/>
        <v>372941</v>
      </c>
      <c r="FH41" s="272">
        <v>3613272</v>
      </c>
      <c r="FI41" s="384">
        <f t="shared" si="15"/>
        <v>8.9</v>
      </c>
      <c r="FJ41" s="272">
        <v>2876326</v>
      </c>
      <c r="FK41" s="272"/>
      <c r="FL41" s="272">
        <v>1682320</v>
      </c>
      <c r="FM41" s="272">
        <v>2345692</v>
      </c>
      <c r="FN41" s="460">
        <v>0.70799999999999996</v>
      </c>
      <c r="FO41" s="388">
        <v>86.6</v>
      </c>
      <c r="FP41" s="388">
        <v>40.5</v>
      </c>
      <c r="FQ41" s="388">
        <v>1.6</v>
      </c>
      <c r="FR41" s="388">
        <v>11.2</v>
      </c>
      <c r="FS41" s="388">
        <v>16.100000000000001</v>
      </c>
      <c r="FT41" s="388">
        <v>6.7</v>
      </c>
      <c r="FU41" s="388">
        <v>10.4</v>
      </c>
      <c r="FV41" s="388">
        <v>9.6999999999999993</v>
      </c>
      <c r="FW41" s="272">
        <v>2627176</v>
      </c>
      <c r="FX41" s="384">
        <f t="shared" si="16"/>
        <v>91.3</v>
      </c>
      <c r="FY41" s="272">
        <v>1389709</v>
      </c>
      <c r="FZ41" s="272">
        <v>858095</v>
      </c>
      <c r="GA41" s="272"/>
      <c r="GB41" s="272">
        <v>531614</v>
      </c>
      <c r="GC41" s="272"/>
      <c r="GD41" s="272"/>
      <c r="GE41" s="384"/>
      <c r="GF41" s="388">
        <v>97.8</v>
      </c>
      <c r="GG41" s="388">
        <v>25.9</v>
      </c>
      <c r="GH41" s="388">
        <v>92.6</v>
      </c>
      <c r="GI41" s="272">
        <v>194</v>
      </c>
    </row>
    <row r="42" spans="2:191" x14ac:dyDescent="0.15">
      <c r="B42" s="89" t="s">
        <v>77</v>
      </c>
      <c r="C42" s="272">
        <v>3703604</v>
      </c>
      <c r="D42" s="455">
        <f t="shared" si="0"/>
        <v>2028828</v>
      </c>
      <c r="E42" s="272">
        <v>17096</v>
      </c>
      <c r="F42" s="272">
        <v>2011732</v>
      </c>
      <c r="G42" s="455">
        <f t="shared" si="1"/>
        <v>191518</v>
      </c>
      <c r="H42" s="272">
        <v>32805</v>
      </c>
      <c r="I42" s="272">
        <v>158713</v>
      </c>
      <c r="J42" s="272">
        <v>1310480</v>
      </c>
      <c r="K42" s="272">
        <v>496559</v>
      </c>
      <c r="L42" s="272">
        <v>610168</v>
      </c>
      <c r="M42" s="272">
        <v>191627</v>
      </c>
      <c r="N42" s="272">
        <v>111452</v>
      </c>
      <c r="O42" s="272">
        <v>0</v>
      </c>
      <c r="P42" s="272">
        <v>0</v>
      </c>
      <c r="Q42" s="272">
        <v>0</v>
      </c>
      <c r="R42" s="272">
        <v>156548</v>
      </c>
      <c r="S42" s="272">
        <v>94448</v>
      </c>
      <c r="T42" s="455">
        <f t="shared" si="2"/>
        <v>284304</v>
      </c>
      <c r="U42" s="272">
        <v>152616</v>
      </c>
      <c r="V42" s="272"/>
      <c r="W42" s="272"/>
      <c r="X42" s="272"/>
      <c r="Y42" s="272">
        <v>14864</v>
      </c>
      <c r="Z42" s="272"/>
      <c r="AA42" s="272">
        <v>116824</v>
      </c>
      <c r="AB42" s="272"/>
      <c r="AC42" s="272">
        <v>1110183</v>
      </c>
      <c r="AD42" s="272">
        <v>930563</v>
      </c>
      <c r="AE42" s="272">
        <v>179620</v>
      </c>
      <c r="AF42" s="272">
        <v>7423</v>
      </c>
      <c r="AG42" s="272">
        <v>9926</v>
      </c>
      <c r="AH42" s="455">
        <f t="shared" si="3"/>
        <v>236845</v>
      </c>
      <c r="AI42" s="272">
        <v>218354</v>
      </c>
      <c r="AJ42" s="272">
        <v>18491</v>
      </c>
      <c r="AK42" s="272">
        <v>368395</v>
      </c>
      <c r="AL42" s="455">
        <f t="shared" si="4"/>
        <v>45008</v>
      </c>
      <c r="AM42" s="272">
        <v>0</v>
      </c>
      <c r="AN42" s="272">
        <v>45008</v>
      </c>
      <c r="AO42" s="272">
        <v>0</v>
      </c>
      <c r="AP42" s="272">
        <v>0</v>
      </c>
      <c r="AQ42" s="272">
        <v>164480</v>
      </c>
      <c r="AR42" s="272">
        <v>24249</v>
      </c>
      <c r="AS42" s="272">
        <v>0</v>
      </c>
      <c r="AT42" s="272">
        <v>573982</v>
      </c>
      <c r="AU42" s="272">
        <v>240814</v>
      </c>
      <c r="AV42" s="272">
        <v>22504</v>
      </c>
      <c r="AW42" s="272">
        <v>24619</v>
      </c>
      <c r="AX42" s="272">
        <v>333168</v>
      </c>
      <c r="AY42" s="272">
        <v>164802</v>
      </c>
      <c r="AZ42" s="272">
        <v>239195</v>
      </c>
      <c r="BA42" s="272">
        <v>2861</v>
      </c>
      <c r="BB42" s="272">
        <v>59138</v>
      </c>
      <c r="BC42" s="272">
        <v>5145</v>
      </c>
      <c r="BD42" s="272">
        <v>0</v>
      </c>
      <c r="BE42" s="272">
        <v>0</v>
      </c>
      <c r="BF42" s="272">
        <v>0</v>
      </c>
      <c r="BG42" s="272">
        <v>0</v>
      </c>
      <c r="BH42" s="272">
        <v>349758</v>
      </c>
      <c r="BI42" s="272">
        <v>307342</v>
      </c>
      <c r="BJ42" s="272">
        <v>85777</v>
      </c>
      <c r="BK42" s="272">
        <v>0</v>
      </c>
      <c r="BL42" s="272">
        <v>158</v>
      </c>
      <c r="BM42" s="272">
        <v>0</v>
      </c>
      <c r="BN42" s="272">
        <v>270550</v>
      </c>
      <c r="BO42" s="455">
        <f t="shared" si="5"/>
        <v>270550</v>
      </c>
      <c r="BP42" s="455">
        <f t="shared" si="6"/>
        <v>0</v>
      </c>
      <c r="BQ42" s="272"/>
      <c r="BR42" s="272"/>
      <c r="BS42" s="272"/>
      <c r="BT42" s="272">
        <v>0</v>
      </c>
      <c r="BU42" s="272">
        <v>7460773</v>
      </c>
      <c r="BV42" s="272"/>
      <c r="BW42" s="272">
        <v>1853453</v>
      </c>
      <c r="BX42" s="272">
        <v>1370654</v>
      </c>
      <c r="BY42" s="272">
        <v>98236</v>
      </c>
      <c r="BZ42" s="272">
        <v>17392</v>
      </c>
      <c r="CA42" s="272">
        <v>314073</v>
      </c>
      <c r="CB42" s="272">
        <v>49568</v>
      </c>
      <c r="CC42" s="272">
        <v>96714</v>
      </c>
      <c r="CD42" s="272">
        <v>156891</v>
      </c>
      <c r="CE42" s="272">
        <v>0</v>
      </c>
      <c r="CF42" s="272">
        <v>0</v>
      </c>
      <c r="CG42" s="272">
        <v>10900</v>
      </c>
      <c r="CH42" s="272">
        <v>505401</v>
      </c>
      <c r="CI42" s="272">
        <v>212725</v>
      </c>
      <c r="CJ42" s="455">
        <f t="shared" si="7"/>
        <v>292676</v>
      </c>
      <c r="CK42" s="272">
        <v>959774</v>
      </c>
      <c r="CL42" s="272">
        <v>365908</v>
      </c>
      <c r="CM42" s="272">
        <v>79760</v>
      </c>
      <c r="CN42" s="272">
        <v>342394</v>
      </c>
      <c r="CO42" s="272">
        <v>93241</v>
      </c>
      <c r="CP42" s="272">
        <v>242377</v>
      </c>
      <c r="CQ42" s="272">
        <v>994</v>
      </c>
      <c r="CR42" s="272">
        <v>128170</v>
      </c>
      <c r="CS42" s="272">
        <v>128170</v>
      </c>
      <c r="CT42" s="455">
        <f t="shared" si="8"/>
        <v>8538</v>
      </c>
      <c r="CU42" s="272">
        <v>4639</v>
      </c>
      <c r="CV42" s="272">
        <v>3899</v>
      </c>
      <c r="CW42" s="455">
        <f t="shared" si="9"/>
        <v>0</v>
      </c>
      <c r="CX42" s="272">
        <v>0</v>
      </c>
      <c r="CY42" s="272">
        <v>0</v>
      </c>
      <c r="CZ42" s="455">
        <f t="shared" si="10"/>
        <v>0</v>
      </c>
      <c r="DA42" s="272">
        <v>0</v>
      </c>
      <c r="DB42" s="272">
        <v>0</v>
      </c>
      <c r="DC42" s="272">
        <v>1629897</v>
      </c>
      <c r="DD42" s="272">
        <v>350058</v>
      </c>
      <c r="DE42" s="272">
        <v>1099907</v>
      </c>
      <c r="DF42" s="272">
        <v>5035</v>
      </c>
      <c r="DG42" s="272">
        <v>174897</v>
      </c>
      <c r="DH42" s="272">
        <v>157750</v>
      </c>
      <c r="DI42" s="272">
        <v>1134343</v>
      </c>
      <c r="DJ42" s="272">
        <v>150000</v>
      </c>
      <c r="DK42" s="272">
        <v>97031</v>
      </c>
      <c r="DL42" s="272">
        <v>887312</v>
      </c>
      <c r="DM42" s="272">
        <v>0</v>
      </c>
      <c r="DN42" s="272">
        <v>0</v>
      </c>
      <c r="DO42" s="272">
        <v>0</v>
      </c>
      <c r="DP42" s="272">
        <v>0</v>
      </c>
      <c r="DQ42" s="272">
        <v>0</v>
      </c>
      <c r="DR42" s="272">
        <v>0</v>
      </c>
      <c r="DS42" s="272">
        <v>0</v>
      </c>
      <c r="DT42" s="272">
        <v>245725</v>
      </c>
      <c r="DU42" s="272">
        <v>78677</v>
      </c>
      <c r="DV42" s="455">
        <f t="shared" si="11"/>
        <v>0</v>
      </c>
      <c r="DW42" s="272">
        <v>0</v>
      </c>
      <c r="DX42" s="272">
        <v>0</v>
      </c>
      <c r="DY42" s="457" t="s">
        <v>646</v>
      </c>
      <c r="DZ42" s="272">
        <v>63194</v>
      </c>
      <c r="EA42" s="272">
        <v>87125</v>
      </c>
      <c r="EB42" s="272"/>
      <c r="EC42" s="272">
        <v>0</v>
      </c>
      <c r="ED42" s="272">
        <v>7136034</v>
      </c>
      <c r="EF42" s="272">
        <v>324739</v>
      </c>
      <c r="EG42" s="272">
        <v>35068</v>
      </c>
      <c r="EH42" s="272">
        <v>289671</v>
      </c>
      <c r="EI42" s="272">
        <v>-17671</v>
      </c>
      <c r="EJ42" s="272">
        <v>132329</v>
      </c>
      <c r="EL42" s="272"/>
      <c r="EM42" s="272">
        <v>38118</v>
      </c>
      <c r="EN42" s="272">
        <v>5145</v>
      </c>
      <c r="EO42" s="272">
        <v>47649</v>
      </c>
      <c r="EP42" s="455">
        <f t="shared" si="12"/>
        <v>579845</v>
      </c>
      <c r="EQ42" s="272">
        <v>5262062</v>
      </c>
      <c r="ER42" s="272">
        <v>-625216</v>
      </c>
      <c r="ES42" s="272">
        <v>1640585</v>
      </c>
      <c r="ET42" s="272">
        <v>1160956</v>
      </c>
      <c r="EU42" s="272">
        <v>166846</v>
      </c>
      <c r="EV42" s="272">
        <v>505401</v>
      </c>
      <c r="EW42" s="455">
        <f t="shared" si="13"/>
        <v>1018511</v>
      </c>
      <c r="EX42" s="272">
        <v>945809</v>
      </c>
      <c r="EY42" s="272">
        <v>112928</v>
      </c>
      <c r="EZ42" s="272">
        <v>827846</v>
      </c>
      <c r="FA42" s="272">
        <v>72702</v>
      </c>
      <c r="FB42" s="272">
        <v>0</v>
      </c>
      <c r="FC42" s="272">
        <v>748803</v>
      </c>
      <c r="FD42" s="272">
        <v>224351</v>
      </c>
      <c r="FE42" s="272">
        <v>994</v>
      </c>
      <c r="FF42" s="272">
        <v>210232</v>
      </c>
      <c r="FG42" s="455">
        <f t="shared" si="14"/>
        <v>1047810</v>
      </c>
      <c r="FH42" s="272">
        <v>5562539</v>
      </c>
      <c r="FI42" s="384">
        <f t="shared" si="15"/>
        <v>5.8</v>
      </c>
      <c r="FJ42" s="272">
        <v>4995004</v>
      </c>
      <c r="FK42" s="272"/>
      <c r="FL42" s="272">
        <v>3065408</v>
      </c>
      <c r="FM42" s="272">
        <v>3994110</v>
      </c>
      <c r="FN42" s="460">
        <v>0.74399999999999999</v>
      </c>
      <c r="FO42" s="388">
        <v>60</v>
      </c>
      <c r="FP42" s="388">
        <v>30.7</v>
      </c>
      <c r="FQ42" s="388">
        <v>2.4</v>
      </c>
      <c r="FR42" s="388">
        <v>9.6999999999999993</v>
      </c>
      <c r="FS42" s="388">
        <v>11.3</v>
      </c>
      <c r="FT42" s="388">
        <v>3.4</v>
      </c>
      <c r="FU42" s="388">
        <v>1.8</v>
      </c>
      <c r="FV42" s="388">
        <v>7.5</v>
      </c>
      <c r="FW42" s="272">
        <v>5030153</v>
      </c>
      <c r="FX42" s="384">
        <f t="shared" si="16"/>
        <v>100.7</v>
      </c>
      <c r="FY42" s="272">
        <v>6332516</v>
      </c>
      <c r="FZ42" s="272">
        <v>827377</v>
      </c>
      <c r="GA42" s="272">
        <v>97031</v>
      </c>
      <c r="GB42" s="272">
        <v>5408108</v>
      </c>
      <c r="GC42" s="272"/>
      <c r="GD42" s="272">
        <v>1452073</v>
      </c>
      <c r="GE42" s="384">
        <f>ROUND(GD42/FJ42*100,1)</f>
        <v>29.1</v>
      </c>
      <c r="GF42" s="388">
        <v>97</v>
      </c>
      <c r="GG42" s="388">
        <v>41.7</v>
      </c>
      <c r="GH42" s="388">
        <v>93.1</v>
      </c>
      <c r="GI42" s="272">
        <v>295</v>
      </c>
    </row>
    <row r="43" spans="2:191" x14ac:dyDescent="0.15">
      <c r="B43" s="89" t="s">
        <v>79</v>
      </c>
      <c r="C43" s="272">
        <v>541554</v>
      </c>
      <c r="D43" s="455">
        <f t="shared" si="0"/>
        <v>243097</v>
      </c>
      <c r="E43" s="272">
        <v>3435</v>
      </c>
      <c r="F43" s="272">
        <v>239662</v>
      </c>
      <c r="G43" s="455">
        <f t="shared" si="1"/>
        <v>27574</v>
      </c>
      <c r="H43" s="272">
        <v>8988</v>
      </c>
      <c r="I43" s="272">
        <v>18586</v>
      </c>
      <c r="J43" s="272">
        <v>217069</v>
      </c>
      <c r="K43" s="272">
        <v>115927</v>
      </c>
      <c r="L43" s="272">
        <v>66371</v>
      </c>
      <c r="M43" s="272">
        <v>32492</v>
      </c>
      <c r="N43" s="272">
        <v>24780</v>
      </c>
      <c r="O43" s="272">
        <v>0</v>
      </c>
      <c r="P43" s="272">
        <v>0</v>
      </c>
      <c r="Q43" s="272">
        <v>0</v>
      </c>
      <c r="R43" s="272">
        <v>34976</v>
      </c>
      <c r="S43" s="272">
        <v>23599</v>
      </c>
      <c r="T43" s="455">
        <f t="shared" si="2"/>
        <v>43768</v>
      </c>
      <c r="U43" s="272">
        <v>22217</v>
      </c>
      <c r="V43" s="272"/>
      <c r="W43" s="272"/>
      <c r="X43" s="272"/>
      <c r="Y43" s="272">
        <v>0</v>
      </c>
      <c r="Z43" s="272"/>
      <c r="AA43" s="272">
        <v>21551</v>
      </c>
      <c r="AB43" s="272"/>
      <c r="AC43" s="272">
        <v>770823</v>
      </c>
      <c r="AD43" s="272">
        <v>678378</v>
      </c>
      <c r="AE43" s="272">
        <v>92445</v>
      </c>
      <c r="AF43" s="272">
        <v>1396</v>
      </c>
      <c r="AG43" s="272">
        <v>3953</v>
      </c>
      <c r="AH43" s="455">
        <f t="shared" si="3"/>
        <v>25331</v>
      </c>
      <c r="AI43" s="272">
        <v>22869</v>
      </c>
      <c r="AJ43" s="272">
        <v>2462</v>
      </c>
      <c r="AK43" s="272">
        <v>58925</v>
      </c>
      <c r="AL43" s="455">
        <f t="shared" si="4"/>
        <v>6203</v>
      </c>
      <c r="AM43" s="272">
        <v>0</v>
      </c>
      <c r="AN43" s="272">
        <v>6203</v>
      </c>
      <c r="AO43" s="272">
        <v>0</v>
      </c>
      <c r="AP43" s="272">
        <v>0</v>
      </c>
      <c r="AQ43" s="272">
        <v>31365</v>
      </c>
      <c r="AR43" s="272">
        <v>0</v>
      </c>
      <c r="AS43" s="272">
        <v>0</v>
      </c>
      <c r="AT43" s="272">
        <v>131580</v>
      </c>
      <c r="AU43" s="272">
        <v>35293</v>
      </c>
      <c r="AV43" s="272">
        <v>3101</v>
      </c>
      <c r="AW43" s="272">
        <v>14567</v>
      </c>
      <c r="AX43" s="272">
        <v>96287</v>
      </c>
      <c r="AY43" s="272">
        <v>55127</v>
      </c>
      <c r="AZ43" s="272">
        <v>69262</v>
      </c>
      <c r="BA43" s="272">
        <v>31133</v>
      </c>
      <c r="BB43" s="272">
        <v>0</v>
      </c>
      <c r="BC43" s="272">
        <v>40000</v>
      </c>
      <c r="BD43" s="272">
        <v>40000</v>
      </c>
      <c r="BE43" s="272">
        <v>0</v>
      </c>
      <c r="BF43" s="272">
        <v>0</v>
      </c>
      <c r="BG43" s="272">
        <v>0</v>
      </c>
      <c r="BH43" s="272">
        <v>110941</v>
      </c>
      <c r="BI43" s="272">
        <v>110941</v>
      </c>
      <c r="BJ43" s="272">
        <v>184291</v>
      </c>
      <c r="BK43" s="272">
        <v>0</v>
      </c>
      <c r="BL43" s="272">
        <v>0</v>
      </c>
      <c r="BM43" s="272">
        <v>0</v>
      </c>
      <c r="BN43" s="272">
        <v>53200</v>
      </c>
      <c r="BO43" s="455">
        <f t="shared" si="5"/>
        <v>53200</v>
      </c>
      <c r="BP43" s="455">
        <f t="shared" si="6"/>
        <v>0</v>
      </c>
      <c r="BQ43" s="272"/>
      <c r="BR43" s="272"/>
      <c r="BS43" s="272"/>
      <c r="BT43" s="272">
        <v>0</v>
      </c>
      <c r="BU43" s="272">
        <v>2070000</v>
      </c>
      <c r="BV43" s="272"/>
      <c r="BW43" s="272">
        <v>646235</v>
      </c>
      <c r="BX43" s="272">
        <v>425978</v>
      </c>
      <c r="BY43" s="272">
        <v>26045</v>
      </c>
      <c r="BZ43" s="272">
        <v>13397</v>
      </c>
      <c r="CA43" s="272">
        <v>61296</v>
      </c>
      <c r="CB43" s="272">
        <v>11635</v>
      </c>
      <c r="CC43" s="272">
        <v>31299</v>
      </c>
      <c r="CD43" s="272">
        <v>16623</v>
      </c>
      <c r="CE43" s="272">
        <v>0</v>
      </c>
      <c r="CF43" s="272">
        <v>0</v>
      </c>
      <c r="CG43" s="272">
        <v>1739</v>
      </c>
      <c r="CH43" s="272">
        <v>97089</v>
      </c>
      <c r="CI43" s="272">
        <v>45075</v>
      </c>
      <c r="CJ43" s="455">
        <f t="shared" si="7"/>
        <v>52014</v>
      </c>
      <c r="CK43" s="272">
        <v>251954</v>
      </c>
      <c r="CL43" s="272">
        <v>87810</v>
      </c>
      <c r="CM43" s="272">
        <v>25389</v>
      </c>
      <c r="CN43" s="272">
        <v>85314</v>
      </c>
      <c r="CO43" s="272">
        <v>15555</v>
      </c>
      <c r="CP43" s="272">
        <v>324917</v>
      </c>
      <c r="CQ43" s="272">
        <v>116183</v>
      </c>
      <c r="CR43" s="272">
        <v>123145</v>
      </c>
      <c r="CS43" s="272">
        <v>123145</v>
      </c>
      <c r="CT43" s="455">
        <f t="shared" si="8"/>
        <v>24822</v>
      </c>
      <c r="CU43" s="272">
        <v>300</v>
      </c>
      <c r="CV43" s="272">
        <v>24522</v>
      </c>
      <c r="CW43" s="455">
        <f t="shared" si="9"/>
        <v>0</v>
      </c>
      <c r="CX43" s="272">
        <v>0</v>
      </c>
      <c r="CY43" s="272">
        <v>0</v>
      </c>
      <c r="CZ43" s="455">
        <f t="shared" si="10"/>
        <v>0</v>
      </c>
      <c r="DA43" s="272">
        <v>0</v>
      </c>
      <c r="DB43" s="272">
        <v>0</v>
      </c>
      <c r="DC43" s="272">
        <v>335079</v>
      </c>
      <c r="DD43" s="272">
        <v>123210</v>
      </c>
      <c r="DE43" s="272">
        <v>210699</v>
      </c>
      <c r="DF43" s="272">
        <v>0</v>
      </c>
      <c r="DG43" s="272">
        <v>0</v>
      </c>
      <c r="DH43" s="272">
        <v>0</v>
      </c>
      <c r="DI43" s="272">
        <v>93215</v>
      </c>
      <c r="DJ43" s="272">
        <v>33483</v>
      </c>
      <c r="DK43" s="272">
        <v>0</v>
      </c>
      <c r="DL43" s="272">
        <v>59732</v>
      </c>
      <c r="DM43" s="272">
        <v>10100</v>
      </c>
      <c r="DN43" s="272">
        <v>0</v>
      </c>
      <c r="DO43" s="272">
        <v>0</v>
      </c>
      <c r="DP43" s="272">
        <v>0</v>
      </c>
      <c r="DQ43" s="272">
        <v>0</v>
      </c>
      <c r="DR43" s="272">
        <v>0</v>
      </c>
      <c r="DS43" s="272">
        <v>0</v>
      </c>
      <c r="DT43" s="272">
        <v>137460</v>
      </c>
      <c r="DU43" s="272">
        <v>72627</v>
      </c>
      <c r="DV43" s="455">
        <f t="shared" si="11"/>
        <v>0</v>
      </c>
      <c r="DW43" s="272">
        <v>0</v>
      </c>
      <c r="DX43" s="272">
        <v>0</v>
      </c>
      <c r="DY43" s="457" t="s">
        <v>646</v>
      </c>
      <c r="DZ43" s="272">
        <v>39150</v>
      </c>
      <c r="EA43" s="272">
        <v>25254</v>
      </c>
      <c r="EB43" s="272"/>
      <c r="EC43" s="272">
        <v>0</v>
      </c>
      <c r="ED43" s="272">
        <v>1972900</v>
      </c>
      <c r="EF43" s="272">
        <v>97100</v>
      </c>
      <c r="EG43" s="272">
        <v>0</v>
      </c>
      <c r="EH43" s="272">
        <v>97100</v>
      </c>
      <c r="EI43" s="272">
        <v>-13841</v>
      </c>
      <c r="EJ43" s="272">
        <v>-20358</v>
      </c>
      <c r="EL43" s="272"/>
      <c r="EM43" s="272">
        <v>6807</v>
      </c>
      <c r="EN43" s="272">
        <v>40000</v>
      </c>
      <c r="EO43" s="272">
        <v>31519</v>
      </c>
      <c r="EP43" s="455">
        <f t="shared" si="12"/>
        <v>134801</v>
      </c>
      <c r="EQ43" s="272">
        <v>1392517</v>
      </c>
      <c r="ER43" s="272">
        <v>-204924</v>
      </c>
      <c r="ES43" s="272">
        <v>598988</v>
      </c>
      <c r="ET43" s="272">
        <v>381519</v>
      </c>
      <c r="EU43" s="272">
        <v>25659</v>
      </c>
      <c r="EV43" s="272">
        <v>97089</v>
      </c>
      <c r="EW43" s="455">
        <f t="shared" si="13"/>
        <v>109680</v>
      </c>
      <c r="EX43" s="272">
        <v>109680</v>
      </c>
      <c r="EY43" s="272">
        <v>8745</v>
      </c>
      <c r="EZ43" s="272">
        <v>99765</v>
      </c>
      <c r="FA43" s="272">
        <v>0</v>
      </c>
      <c r="FB43" s="272">
        <v>0</v>
      </c>
      <c r="FC43" s="272">
        <v>231615</v>
      </c>
      <c r="FD43" s="272">
        <v>227468</v>
      </c>
      <c r="FE43" s="272">
        <v>116183</v>
      </c>
      <c r="FF43" s="272">
        <v>130169</v>
      </c>
      <c r="FG43" s="455">
        <f t="shared" si="14"/>
        <v>79673</v>
      </c>
      <c r="FH43" s="272">
        <v>1500341</v>
      </c>
      <c r="FI43" s="384">
        <f t="shared" si="15"/>
        <v>7.5</v>
      </c>
      <c r="FJ43" s="272">
        <v>1292591</v>
      </c>
      <c r="FK43" s="272"/>
      <c r="FL43" s="272">
        <v>463817</v>
      </c>
      <c r="FM43" s="272">
        <v>1142903</v>
      </c>
      <c r="FN43" s="460">
        <v>0.42399999999999999</v>
      </c>
      <c r="FO43" s="388">
        <v>83.3</v>
      </c>
      <c r="FP43" s="388">
        <v>43.8</v>
      </c>
      <c r="FQ43" s="388">
        <v>2</v>
      </c>
      <c r="FR43" s="388">
        <v>7.4</v>
      </c>
      <c r="FS43" s="388">
        <v>14.3</v>
      </c>
      <c r="FT43" s="388">
        <v>13</v>
      </c>
      <c r="FU43" s="388">
        <v>2.1</v>
      </c>
      <c r="FV43" s="388">
        <v>6.1</v>
      </c>
      <c r="FW43" s="272">
        <v>1088792</v>
      </c>
      <c r="FX43" s="384">
        <f t="shared" si="16"/>
        <v>84.2</v>
      </c>
      <c r="FY43" s="272">
        <v>996385</v>
      </c>
      <c r="FZ43" s="272">
        <v>721516</v>
      </c>
      <c r="GA43" s="272"/>
      <c r="GB43" s="272">
        <v>274869</v>
      </c>
      <c r="GC43" s="272"/>
      <c r="GD43" s="272"/>
      <c r="GE43" s="384"/>
      <c r="GF43" s="388">
        <v>97.4</v>
      </c>
      <c r="GG43" s="388">
        <v>32.5</v>
      </c>
      <c r="GH43" s="388">
        <v>93.5</v>
      </c>
      <c r="GI43" s="272">
        <v>89</v>
      </c>
    </row>
    <row r="44" spans="2:191" x14ac:dyDescent="0.15">
      <c r="B44" s="89" t="s">
        <v>81</v>
      </c>
      <c r="C44" s="272">
        <v>2786997</v>
      </c>
      <c r="D44" s="455">
        <f t="shared" si="0"/>
        <v>1058958</v>
      </c>
      <c r="E44" s="272">
        <v>10462</v>
      </c>
      <c r="F44" s="272">
        <v>1048496</v>
      </c>
      <c r="G44" s="455">
        <f t="shared" si="1"/>
        <v>318550</v>
      </c>
      <c r="H44" s="272">
        <v>27098</v>
      </c>
      <c r="I44" s="272">
        <v>291452</v>
      </c>
      <c r="J44" s="272">
        <v>1246386</v>
      </c>
      <c r="K44" s="272">
        <v>473346</v>
      </c>
      <c r="L44" s="272">
        <v>307873</v>
      </c>
      <c r="M44" s="272">
        <v>461934</v>
      </c>
      <c r="N44" s="272">
        <v>66494</v>
      </c>
      <c r="O44" s="272">
        <v>0</v>
      </c>
      <c r="P44" s="272">
        <v>0</v>
      </c>
      <c r="Q44" s="272">
        <v>0</v>
      </c>
      <c r="R44" s="272">
        <v>104297</v>
      </c>
      <c r="S44" s="272">
        <v>59342</v>
      </c>
      <c r="T44" s="455">
        <f t="shared" si="2"/>
        <v>248943</v>
      </c>
      <c r="U44" s="272">
        <v>81886</v>
      </c>
      <c r="V44" s="272"/>
      <c r="W44" s="272"/>
      <c r="X44" s="272"/>
      <c r="Y44" s="272">
        <v>82149</v>
      </c>
      <c r="Z44" s="272"/>
      <c r="AA44" s="272">
        <v>84908</v>
      </c>
      <c r="AB44" s="272"/>
      <c r="AC44" s="272">
        <v>618550</v>
      </c>
      <c r="AD44" s="272">
        <v>454318</v>
      </c>
      <c r="AE44" s="272">
        <v>164232</v>
      </c>
      <c r="AF44" s="272">
        <v>3489</v>
      </c>
      <c r="AG44" s="272">
        <v>121379</v>
      </c>
      <c r="AH44" s="455">
        <f t="shared" si="3"/>
        <v>153731</v>
      </c>
      <c r="AI44" s="272">
        <v>143546</v>
      </c>
      <c r="AJ44" s="272">
        <v>10185</v>
      </c>
      <c r="AK44" s="272">
        <v>645962</v>
      </c>
      <c r="AL44" s="455">
        <f t="shared" si="4"/>
        <v>25400</v>
      </c>
      <c r="AM44" s="272">
        <v>0</v>
      </c>
      <c r="AN44" s="272">
        <v>25400</v>
      </c>
      <c r="AO44" s="272">
        <v>0</v>
      </c>
      <c r="AP44" s="272">
        <v>0</v>
      </c>
      <c r="AQ44" s="272">
        <v>500965</v>
      </c>
      <c r="AR44" s="272">
        <v>56472</v>
      </c>
      <c r="AS44" s="272">
        <v>0</v>
      </c>
      <c r="AT44" s="272">
        <v>811675</v>
      </c>
      <c r="AU44" s="272">
        <v>119318</v>
      </c>
      <c r="AV44" s="272">
        <v>12700</v>
      </c>
      <c r="AW44" s="272">
        <v>42370</v>
      </c>
      <c r="AX44" s="272">
        <v>692357</v>
      </c>
      <c r="AY44" s="272">
        <v>327153</v>
      </c>
      <c r="AZ44" s="272">
        <v>70757</v>
      </c>
      <c r="BA44" s="272">
        <v>50902</v>
      </c>
      <c r="BB44" s="272">
        <v>21539</v>
      </c>
      <c r="BC44" s="272">
        <v>508325</v>
      </c>
      <c r="BD44" s="272">
        <v>20000</v>
      </c>
      <c r="BE44" s="272">
        <v>0</v>
      </c>
      <c r="BF44" s="272">
        <v>2450</v>
      </c>
      <c r="BG44" s="272">
        <v>0</v>
      </c>
      <c r="BH44" s="272">
        <v>0</v>
      </c>
      <c r="BI44" s="272">
        <v>0</v>
      </c>
      <c r="BJ44" s="272">
        <v>112364</v>
      </c>
      <c r="BK44" s="272">
        <v>23234</v>
      </c>
      <c r="BL44" s="272">
        <v>0</v>
      </c>
      <c r="BM44" s="272">
        <v>0</v>
      </c>
      <c r="BN44" s="272">
        <v>538980</v>
      </c>
      <c r="BO44" s="455">
        <f t="shared" si="5"/>
        <v>538980</v>
      </c>
      <c r="BP44" s="455">
        <f t="shared" si="6"/>
        <v>0</v>
      </c>
      <c r="BQ44" s="272"/>
      <c r="BR44" s="272"/>
      <c r="BS44" s="272"/>
      <c r="BT44" s="272">
        <v>0</v>
      </c>
      <c r="BU44" s="272">
        <v>6746988</v>
      </c>
      <c r="BV44" s="272"/>
      <c r="BW44" s="272">
        <v>1603329</v>
      </c>
      <c r="BX44" s="272">
        <v>1132879</v>
      </c>
      <c r="BY44" s="272">
        <v>109428</v>
      </c>
      <c r="BZ44" s="272">
        <v>30769</v>
      </c>
      <c r="CA44" s="272">
        <v>210730</v>
      </c>
      <c r="CB44" s="272">
        <v>52071</v>
      </c>
      <c r="CC44" s="272">
        <v>70016</v>
      </c>
      <c r="CD44" s="272">
        <v>58038</v>
      </c>
      <c r="CE44" s="272">
        <v>0</v>
      </c>
      <c r="CF44" s="272">
        <v>2450</v>
      </c>
      <c r="CG44" s="272">
        <v>28155</v>
      </c>
      <c r="CH44" s="272">
        <v>913044</v>
      </c>
      <c r="CI44" s="272">
        <v>514842</v>
      </c>
      <c r="CJ44" s="455">
        <f t="shared" si="7"/>
        <v>398202</v>
      </c>
      <c r="CK44" s="272">
        <v>896976</v>
      </c>
      <c r="CL44" s="272">
        <v>394004</v>
      </c>
      <c r="CM44" s="272">
        <v>82168</v>
      </c>
      <c r="CN44" s="272">
        <v>337399</v>
      </c>
      <c r="CO44" s="272">
        <v>64939</v>
      </c>
      <c r="CP44" s="272">
        <v>212226</v>
      </c>
      <c r="CQ44" s="272">
        <v>1739</v>
      </c>
      <c r="CR44" s="272">
        <v>112465</v>
      </c>
      <c r="CS44" s="272">
        <v>36149</v>
      </c>
      <c r="CT44" s="455">
        <f t="shared" si="8"/>
        <v>0</v>
      </c>
      <c r="CU44" s="272">
        <v>0</v>
      </c>
      <c r="CV44" s="272">
        <v>0</v>
      </c>
      <c r="CW44" s="455">
        <f t="shared" si="9"/>
        <v>0</v>
      </c>
      <c r="CX44" s="272">
        <v>0</v>
      </c>
      <c r="CY44" s="272">
        <v>0</v>
      </c>
      <c r="CZ44" s="455">
        <f t="shared" si="10"/>
        <v>0</v>
      </c>
      <c r="DA44" s="272">
        <v>0</v>
      </c>
      <c r="DB44" s="272">
        <v>0</v>
      </c>
      <c r="DC44" s="272">
        <v>1651801</v>
      </c>
      <c r="DD44" s="272">
        <v>802555</v>
      </c>
      <c r="DE44" s="272">
        <v>795212</v>
      </c>
      <c r="DF44" s="272">
        <v>10384</v>
      </c>
      <c r="DG44" s="272">
        <v>43650</v>
      </c>
      <c r="DH44" s="272">
        <v>251326</v>
      </c>
      <c r="DI44" s="272">
        <v>620887</v>
      </c>
      <c r="DJ44" s="272">
        <v>40533</v>
      </c>
      <c r="DK44" s="272">
        <v>99324</v>
      </c>
      <c r="DL44" s="272">
        <v>481030</v>
      </c>
      <c r="DM44" s="272">
        <v>300</v>
      </c>
      <c r="DN44" s="272">
        <v>0</v>
      </c>
      <c r="DO44" s="272">
        <v>0</v>
      </c>
      <c r="DP44" s="272">
        <v>0</v>
      </c>
      <c r="DQ44" s="272">
        <v>15000</v>
      </c>
      <c r="DR44" s="272">
        <v>0</v>
      </c>
      <c r="DS44" s="272">
        <v>0</v>
      </c>
      <c r="DT44" s="272">
        <v>131768</v>
      </c>
      <c r="DU44" s="272">
        <v>276</v>
      </c>
      <c r="DV44" s="455">
        <f t="shared" si="11"/>
        <v>0</v>
      </c>
      <c r="DW44" s="272">
        <v>0</v>
      </c>
      <c r="DX44" s="272">
        <v>0</v>
      </c>
      <c r="DY44" s="457" t="s">
        <v>646</v>
      </c>
      <c r="DZ44" s="272">
        <v>42183</v>
      </c>
      <c r="EA44" s="272">
        <v>79723</v>
      </c>
      <c r="EB44" s="272"/>
      <c r="EC44" s="272">
        <v>204934</v>
      </c>
      <c r="ED44" s="272">
        <v>6801631</v>
      </c>
      <c r="EF44" s="272">
        <v>-54643</v>
      </c>
      <c r="EG44" s="272">
        <v>43546</v>
      </c>
      <c r="EH44" s="272">
        <v>-98189</v>
      </c>
      <c r="EI44" s="272">
        <v>108969</v>
      </c>
      <c r="EJ44" s="272">
        <v>129502</v>
      </c>
      <c r="EL44" s="272"/>
      <c r="EM44" s="272">
        <v>21955</v>
      </c>
      <c r="EN44" s="272">
        <v>398990</v>
      </c>
      <c r="EO44" s="272">
        <v>51410</v>
      </c>
      <c r="EP44" s="455">
        <f t="shared" si="12"/>
        <v>244740</v>
      </c>
      <c r="EQ44" s="272">
        <v>3762276</v>
      </c>
      <c r="ER44" s="272">
        <v>-691651</v>
      </c>
      <c r="ES44" s="272">
        <v>1413527</v>
      </c>
      <c r="ET44" s="272">
        <v>945112</v>
      </c>
      <c r="EU44" s="272">
        <v>100381</v>
      </c>
      <c r="EV44" s="272">
        <v>706496</v>
      </c>
      <c r="EW44" s="455">
        <f t="shared" si="13"/>
        <v>441625</v>
      </c>
      <c r="EX44" s="272">
        <v>297721</v>
      </c>
      <c r="EY44" s="272">
        <v>18032</v>
      </c>
      <c r="EZ44" s="272">
        <v>278805</v>
      </c>
      <c r="FA44" s="272">
        <v>128039</v>
      </c>
      <c r="FB44" s="272">
        <v>15865</v>
      </c>
      <c r="FC44" s="272">
        <v>738998</v>
      </c>
      <c r="FD44" s="272">
        <v>129089</v>
      </c>
      <c r="FE44" s="272">
        <v>1739</v>
      </c>
      <c r="FF44" s="272">
        <v>109713</v>
      </c>
      <c r="FG44" s="455">
        <f t="shared" si="14"/>
        <v>868741</v>
      </c>
      <c r="FH44" s="272">
        <v>4508570</v>
      </c>
      <c r="FI44" s="384">
        <f t="shared" si="15"/>
        <v>-2.9</v>
      </c>
      <c r="FJ44" s="272">
        <v>3344906</v>
      </c>
      <c r="FK44" s="272"/>
      <c r="FL44" s="272">
        <v>2179753</v>
      </c>
      <c r="FM44" s="272">
        <v>2635533</v>
      </c>
      <c r="FN44" s="460">
        <v>0.86899999999999999</v>
      </c>
      <c r="FO44" s="388">
        <v>82.1</v>
      </c>
      <c r="FP44" s="388">
        <v>37.5</v>
      </c>
      <c r="FQ44" s="388">
        <v>2.7</v>
      </c>
      <c r="FR44" s="388">
        <v>16.600000000000001</v>
      </c>
      <c r="FS44" s="388">
        <v>18.7</v>
      </c>
      <c r="FT44" s="388">
        <v>3</v>
      </c>
      <c r="FU44" s="388">
        <v>2.4</v>
      </c>
      <c r="FV44" s="388">
        <v>15.6</v>
      </c>
      <c r="FW44" s="272">
        <v>6522663</v>
      </c>
      <c r="FX44" s="384">
        <f t="shared" si="16"/>
        <v>195</v>
      </c>
      <c r="FY44" s="272">
        <v>1115582</v>
      </c>
      <c r="FZ44" s="272">
        <v>274857</v>
      </c>
      <c r="GA44" s="272">
        <v>130906</v>
      </c>
      <c r="GB44" s="272">
        <v>709819</v>
      </c>
      <c r="GC44" s="272"/>
      <c r="GD44" s="272"/>
      <c r="GE44" s="384"/>
      <c r="GF44" s="388">
        <v>98.5</v>
      </c>
      <c r="GG44" s="388">
        <v>32.4</v>
      </c>
      <c r="GH44" s="388">
        <v>96.6</v>
      </c>
      <c r="GI44" s="272">
        <v>224</v>
      </c>
    </row>
    <row r="45" spans="2:191" x14ac:dyDescent="0.15">
      <c r="B45" s="89" t="s">
        <v>83</v>
      </c>
      <c r="C45" s="272">
        <v>857102</v>
      </c>
      <c r="D45" s="455">
        <f t="shared" si="0"/>
        <v>491749</v>
      </c>
      <c r="E45" s="272">
        <v>4912</v>
      </c>
      <c r="F45" s="272">
        <v>486837</v>
      </c>
      <c r="G45" s="455">
        <f t="shared" si="1"/>
        <v>16647</v>
      </c>
      <c r="H45" s="272">
        <v>4073</v>
      </c>
      <c r="I45" s="272">
        <v>12574</v>
      </c>
      <c r="J45" s="272">
        <v>273568</v>
      </c>
      <c r="K45" s="272">
        <v>129726</v>
      </c>
      <c r="L45" s="272">
        <v>110151</v>
      </c>
      <c r="M45" s="272">
        <v>33691</v>
      </c>
      <c r="N45" s="272">
        <v>26903</v>
      </c>
      <c r="O45" s="272">
        <v>0</v>
      </c>
      <c r="P45" s="272">
        <v>0</v>
      </c>
      <c r="Q45" s="272">
        <v>0</v>
      </c>
      <c r="R45" s="272">
        <v>41027</v>
      </c>
      <c r="S45" s="272">
        <v>21301</v>
      </c>
      <c r="T45" s="455">
        <f t="shared" si="2"/>
        <v>78714</v>
      </c>
      <c r="U45" s="272">
        <v>41358</v>
      </c>
      <c r="V45" s="272"/>
      <c r="W45" s="272"/>
      <c r="X45" s="272"/>
      <c r="Y45" s="272">
        <v>0</v>
      </c>
      <c r="Z45" s="272"/>
      <c r="AA45" s="272">
        <v>37356</v>
      </c>
      <c r="AB45" s="272"/>
      <c r="AC45" s="272">
        <v>1077181</v>
      </c>
      <c r="AD45" s="272">
        <v>944735</v>
      </c>
      <c r="AE45" s="272">
        <v>132446</v>
      </c>
      <c r="AF45" s="272">
        <v>1834</v>
      </c>
      <c r="AG45" s="272">
        <v>110797</v>
      </c>
      <c r="AH45" s="455">
        <f t="shared" si="3"/>
        <v>22065</v>
      </c>
      <c r="AI45" s="272">
        <v>3694</v>
      </c>
      <c r="AJ45" s="272">
        <v>18371</v>
      </c>
      <c r="AK45" s="272">
        <v>77313</v>
      </c>
      <c r="AL45" s="455">
        <f t="shared" si="4"/>
        <v>21150</v>
      </c>
      <c r="AM45" s="272">
        <v>0</v>
      </c>
      <c r="AN45" s="272">
        <v>21150</v>
      </c>
      <c r="AO45" s="272">
        <v>0</v>
      </c>
      <c r="AP45" s="272">
        <v>0</v>
      </c>
      <c r="AQ45" s="272">
        <v>22520</v>
      </c>
      <c r="AR45" s="272">
        <v>2458</v>
      </c>
      <c r="AS45" s="272">
        <v>0</v>
      </c>
      <c r="AT45" s="272">
        <v>184635</v>
      </c>
      <c r="AU45" s="272">
        <v>34028</v>
      </c>
      <c r="AV45" s="272">
        <v>10575</v>
      </c>
      <c r="AW45" s="272">
        <v>0</v>
      </c>
      <c r="AX45" s="272">
        <v>150607</v>
      </c>
      <c r="AY45" s="272">
        <v>96740</v>
      </c>
      <c r="AZ45" s="272">
        <v>69084</v>
      </c>
      <c r="BA45" s="272">
        <v>0</v>
      </c>
      <c r="BB45" s="272">
        <v>13572</v>
      </c>
      <c r="BC45" s="272">
        <v>132519</v>
      </c>
      <c r="BD45" s="272">
        <v>82465</v>
      </c>
      <c r="BE45" s="272">
        <v>0</v>
      </c>
      <c r="BF45" s="272">
        <v>50000</v>
      </c>
      <c r="BG45" s="272">
        <v>0</v>
      </c>
      <c r="BH45" s="272">
        <v>83172</v>
      </c>
      <c r="BI45" s="272">
        <v>83172</v>
      </c>
      <c r="BJ45" s="272">
        <v>7973</v>
      </c>
      <c r="BK45" s="272">
        <v>0</v>
      </c>
      <c r="BL45" s="272">
        <v>0</v>
      </c>
      <c r="BM45" s="272">
        <v>0</v>
      </c>
      <c r="BN45" s="272">
        <v>408000</v>
      </c>
      <c r="BO45" s="455">
        <f t="shared" si="5"/>
        <v>408000</v>
      </c>
      <c r="BP45" s="455">
        <f t="shared" si="6"/>
        <v>0</v>
      </c>
      <c r="BQ45" s="272"/>
      <c r="BR45" s="272"/>
      <c r="BS45" s="272"/>
      <c r="BT45" s="272">
        <v>0</v>
      </c>
      <c r="BU45" s="272">
        <v>3164988</v>
      </c>
      <c r="BV45" s="272"/>
      <c r="BW45" s="272">
        <v>601870</v>
      </c>
      <c r="BX45" s="272">
        <v>404833</v>
      </c>
      <c r="BY45" s="272">
        <v>2469</v>
      </c>
      <c r="BZ45" s="272">
        <v>11206</v>
      </c>
      <c r="CA45" s="272">
        <v>154802</v>
      </c>
      <c r="CB45" s="272">
        <v>15324</v>
      </c>
      <c r="CC45" s="272">
        <v>29788</v>
      </c>
      <c r="CD45" s="272">
        <v>106630</v>
      </c>
      <c r="CE45" s="272">
        <v>0</v>
      </c>
      <c r="CF45" s="272">
        <v>0</v>
      </c>
      <c r="CG45" s="272">
        <v>3060</v>
      </c>
      <c r="CH45" s="272">
        <v>215335</v>
      </c>
      <c r="CI45" s="272">
        <v>101764</v>
      </c>
      <c r="CJ45" s="455">
        <f t="shared" si="7"/>
        <v>113571</v>
      </c>
      <c r="CK45" s="272">
        <v>328917</v>
      </c>
      <c r="CL45" s="272">
        <v>134524</v>
      </c>
      <c r="CM45" s="272">
        <v>23224</v>
      </c>
      <c r="CN45" s="272">
        <v>96967</v>
      </c>
      <c r="CO45" s="272">
        <v>16715</v>
      </c>
      <c r="CP45" s="272">
        <v>275121</v>
      </c>
      <c r="CQ45" s="272">
        <v>82075</v>
      </c>
      <c r="CR45" s="272">
        <v>36070</v>
      </c>
      <c r="CS45" s="272">
        <v>30686</v>
      </c>
      <c r="CT45" s="455">
        <f t="shared" si="8"/>
        <v>12523</v>
      </c>
      <c r="CU45" s="272">
        <v>2844</v>
      </c>
      <c r="CV45" s="272">
        <v>9679</v>
      </c>
      <c r="CW45" s="455">
        <f t="shared" si="9"/>
        <v>0</v>
      </c>
      <c r="CX45" s="272">
        <v>0</v>
      </c>
      <c r="CY45" s="272">
        <v>0</v>
      </c>
      <c r="CZ45" s="455">
        <f t="shared" si="10"/>
        <v>0</v>
      </c>
      <c r="DA45" s="272">
        <v>0</v>
      </c>
      <c r="DB45" s="272">
        <v>0</v>
      </c>
      <c r="DC45" s="272">
        <v>861442</v>
      </c>
      <c r="DD45" s="272">
        <v>55372</v>
      </c>
      <c r="DE45" s="272">
        <v>754968</v>
      </c>
      <c r="DF45" s="272">
        <v>51102</v>
      </c>
      <c r="DG45" s="272">
        <v>0</v>
      </c>
      <c r="DH45" s="272">
        <v>6443</v>
      </c>
      <c r="DI45" s="272">
        <v>470463</v>
      </c>
      <c r="DJ45" s="272">
        <v>163538</v>
      </c>
      <c r="DK45" s="272">
        <v>50000</v>
      </c>
      <c r="DL45" s="272">
        <v>256925</v>
      </c>
      <c r="DM45" s="272">
        <v>10000</v>
      </c>
      <c r="DN45" s="272">
        <v>0</v>
      </c>
      <c r="DO45" s="272">
        <v>0</v>
      </c>
      <c r="DP45" s="272">
        <v>0</v>
      </c>
      <c r="DQ45" s="272">
        <v>0</v>
      </c>
      <c r="DR45" s="272">
        <v>0</v>
      </c>
      <c r="DS45" s="272">
        <v>0</v>
      </c>
      <c r="DT45" s="272">
        <v>136074</v>
      </c>
      <c r="DU45" s="272">
        <v>51340</v>
      </c>
      <c r="DV45" s="455">
        <f t="shared" si="11"/>
        <v>0</v>
      </c>
      <c r="DW45" s="272">
        <v>0</v>
      </c>
      <c r="DX45" s="272">
        <v>0</v>
      </c>
      <c r="DY45" s="457" t="s">
        <v>646</v>
      </c>
      <c r="DZ45" s="272">
        <v>45829</v>
      </c>
      <c r="EA45" s="272">
        <v>21831</v>
      </c>
      <c r="EB45" s="272"/>
      <c r="EC45" s="272">
        <v>0</v>
      </c>
      <c r="ED45" s="272">
        <v>3077182</v>
      </c>
      <c r="EF45" s="272">
        <v>87806</v>
      </c>
      <c r="EG45" s="272">
        <v>0</v>
      </c>
      <c r="EH45" s="272">
        <v>87806</v>
      </c>
      <c r="EI45" s="272">
        <v>4634</v>
      </c>
      <c r="EJ45" s="272">
        <v>85707</v>
      </c>
      <c r="EL45" s="272"/>
      <c r="EM45" s="272">
        <v>10652</v>
      </c>
      <c r="EN45" s="272">
        <v>82519</v>
      </c>
      <c r="EO45" s="272">
        <v>7708</v>
      </c>
      <c r="EP45" s="455">
        <f t="shared" si="12"/>
        <v>89635</v>
      </c>
      <c r="EQ45" s="272">
        <v>2055858</v>
      </c>
      <c r="ER45" s="272">
        <v>-178028</v>
      </c>
      <c r="ES45" s="272">
        <v>569575</v>
      </c>
      <c r="ET45" s="272">
        <v>372538</v>
      </c>
      <c r="EU45" s="272">
        <v>50529</v>
      </c>
      <c r="EV45" s="272">
        <v>215335</v>
      </c>
      <c r="EW45" s="455">
        <f t="shared" si="13"/>
        <v>274271</v>
      </c>
      <c r="EX45" s="272">
        <v>271486</v>
      </c>
      <c r="EY45" s="272">
        <v>2652</v>
      </c>
      <c r="EZ45" s="272">
        <v>217732</v>
      </c>
      <c r="FA45" s="272">
        <v>2785</v>
      </c>
      <c r="FB45" s="272">
        <v>0</v>
      </c>
      <c r="FC45" s="272">
        <v>278883</v>
      </c>
      <c r="FD45" s="272">
        <v>226896</v>
      </c>
      <c r="FE45" s="272">
        <v>82075</v>
      </c>
      <c r="FF45" s="272">
        <v>122045</v>
      </c>
      <c r="FG45" s="455">
        <f t="shared" si="14"/>
        <v>408546</v>
      </c>
      <c r="FH45" s="272">
        <v>2146080</v>
      </c>
      <c r="FI45" s="384">
        <f t="shared" si="15"/>
        <v>4.7</v>
      </c>
      <c r="FJ45" s="272">
        <v>1853860</v>
      </c>
      <c r="FK45" s="272"/>
      <c r="FL45" s="272">
        <v>687110</v>
      </c>
      <c r="FM45" s="272">
        <v>1631125</v>
      </c>
      <c r="FN45" s="460">
        <v>0.44500000000000001</v>
      </c>
      <c r="FO45" s="388">
        <v>67.7</v>
      </c>
      <c r="FP45" s="388">
        <v>29.4</v>
      </c>
      <c r="FQ45" s="388">
        <v>2.6</v>
      </c>
      <c r="FR45" s="388">
        <v>11.1</v>
      </c>
      <c r="FS45" s="388">
        <v>12.3</v>
      </c>
      <c r="FT45" s="388">
        <v>10.1</v>
      </c>
      <c r="FU45" s="388">
        <v>1.3</v>
      </c>
      <c r="FV45" s="388">
        <v>10.1</v>
      </c>
      <c r="FW45" s="272">
        <v>2332474</v>
      </c>
      <c r="FX45" s="384">
        <f t="shared" si="16"/>
        <v>125.8</v>
      </c>
      <c r="FY45" s="272">
        <v>1272744</v>
      </c>
      <c r="FZ45" s="272">
        <v>331314</v>
      </c>
      <c r="GA45" s="272">
        <v>50000</v>
      </c>
      <c r="GB45" s="272">
        <v>891430</v>
      </c>
      <c r="GC45" s="272"/>
      <c r="GD45" s="272">
        <v>720527</v>
      </c>
      <c r="GE45" s="384">
        <f>ROUND(GD45/FJ45*100,1)</f>
        <v>38.9</v>
      </c>
      <c r="GF45" s="388">
        <v>98.8</v>
      </c>
      <c r="GG45" s="388">
        <v>17.600000000000001</v>
      </c>
      <c r="GH45" s="388">
        <v>96.5</v>
      </c>
      <c r="GI45" s="272">
        <v>92</v>
      </c>
    </row>
    <row r="46" spans="2:191" x14ac:dyDescent="0.15">
      <c r="B46" s="89" t="s">
        <v>85</v>
      </c>
      <c r="C46" s="272">
        <v>1289575</v>
      </c>
      <c r="D46" s="455">
        <f t="shared" si="0"/>
        <v>711900</v>
      </c>
      <c r="E46" s="272">
        <v>6438</v>
      </c>
      <c r="F46" s="272">
        <v>705462</v>
      </c>
      <c r="G46" s="455">
        <f t="shared" si="1"/>
        <v>42107</v>
      </c>
      <c r="H46" s="272">
        <v>9830</v>
      </c>
      <c r="I46" s="272">
        <v>32277</v>
      </c>
      <c r="J46" s="272">
        <v>421299</v>
      </c>
      <c r="K46" s="272">
        <v>193051</v>
      </c>
      <c r="L46" s="272">
        <v>169852</v>
      </c>
      <c r="M46" s="272">
        <v>58396</v>
      </c>
      <c r="N46" s="272">
        <v>44740</v>
      </c>
      <c r="O46" s="272">
        <v>241</v>
      </c>
      <c r="P46" s="272">
        <v>176</v>
      </c>
      <c r="Q46" s="272">
        <v>65</v>
      </c>
      <c r="R46" s="272">
        <v>65979</v>
      </c>
      <c r="S46" s="272">
        <v>31690</v>
      </c>
      <c r="T46" s="455">
        <f t="shared" si="2"/>
        <v>160894</v>
      </c>
      <c r="U46" s="272">
        <v>61562</v>
      </c>
      <c r="V46" s="272"/>
      <c r="W46" s="272"/>
      <c r="X46" s="272"/>
      <c r="Y46" s="272">
        <v>34564</v>
      </c>
      <c r="Z46" s="272"/>
      <c r="AA46" s="272">
        <v>64768</v>
      </c>
      <c r="AB46" s="272"/>
      <c r="AC46" s="272">
        <v>1085544</v>
      </c>
      <c r="AD46" s="272">
        <v>954596</v>
      </c>
      <c r="AE46" s="272">
        <v>130948</v>
      </c>
      <c r="AF46" s="272">
        <v>2040</v>
      </c>
      <c r="AG46" s="272">
        <v>23348</v>
      </c>
      <c r="AH46" s="455">
        <f t="shared" si="3"/>
        <v>34509</v>
      </c>
      <c r="AI46" s="272">
        <v>30289</v>
      </c>
      <c r="AJ46" s="272">
        <v>4220</v>
      </c>
      <c r="AK46" s="272">
        <v>215235</v>
      </c>
      <c r="AL46" s="455">
        <f t="shared" si="4"/>
        <v>3586</v>
      </c>
      <c r="AM46" s="272">
        <v>0</v>
      </c>
      <c r="AN46" s="272">
        <v>3586</v>
      </c>
      <c r="AO46" s="272">
        <v>0</v>
      </c>
      <c r="AP46" s="272">
        <v>0</v>
      </c>
      <c r="AQ46" s="272">
        <v>170554</v>
      </c>
      <c r="AR46" s="272">
        <v>0</v>
      </c>
      <c r="AS46" s="272">
        <v>0</v>
      </c>
      <c r="AT46" s="272">
        <v>344504</v>
      </c>
      <c r="AU46" s="272">
        <v>176949</v>
      </c>
      <c r="AV46" s="272">
        <v>1793</v>
      </c>
      <c r="AW46" s="272">
        <v>126420</v>
      </c>
      <c r="AX46" s="272">
        <v>167555</v>
      </c>
      <c r="AY46" s="272">
        <v>98500</v>
      </c>
      <c r="AZ46" s="272">
        <v>207367</v>
      </c>
      <c r="BA46" s="272">
        <v>218</v>
      </c>
      <c r="BB46" s="272">
        <v>14965</v>
      </c>
      <c r="BC46" s="272">
        <v>609206</v>
      </c>
      <c r="BD46" s="272">
        <v>138087</v>
      </c>
      <c r="BE46" s="272">
        <v>0</v>
      </c>
      <c r="BF46" s="272">
        <v>471119</v>
      </c>
      <c r="BG46" s="272">
        <v>0</v>
      </c>
      <c r="BH46" s="272">
        <v>48182</v>
      </c>
      <c r="BI46" s="272">
        <v>45672</v>
      </c>
      <c r="BJ46" s="272">
        <v>34497</v>
      </c>
      <c r="BK46" s="272">
        <v>288</v>
      </c>
      <c r="BL46" s="272">
        <v>0</v>
      </c>
      <c r="BM46" s="272">
        <v>0</v>
      </c>
      <c r="BN46" s="272">
        <v>433500</v>
      </c>
      <c r="BO46" s="455">
        <f t="shared" si="5"/>
        <v>433500</v>
      </c>
      <c r="BP46" s="455">
        <f t="shared" si="6"/>
        <v>0</v>
      </c>
      <c r="BQ46" s="272"/>
      <c r="BR46" s="272"/>
      <c r="BS46" s="272"/>
      <c r="BT46" s="272">
        <v>0</v>
      </c>
      <c r="BU46" s="272">
        <v>4569345</v>
      </c>
      <c r="BV46" s="272"/>
      <c r="BW46" s="272">
        <v>914230</v>
      </c>
      <c r="BX46" s="272">
        <v>644757</v>
      </c>
      <c r="BY46" s="272">
        <v>20173</v>
      </c>
      <c r="BZ46" s="272">
        <v>23498</v>
      </c>
      <c r="CA46" s="272">
        <v>76581</v>
      </c>
      <c r="CB46" s="272">
        <v>17724</v>
      </c>
      <c r="CC46" s="272">
        <v>38657</v>
      </c>
      <c r="CD46" s="272">
        <v>18822</v>
      </c>
      <c r="CE46" s="272">
        <v>0</v>
      </c>
      <c r="CF46" s="272">
        <v>0</v>
      </c>
      <c r="CG46" s="272">
        <v>1378</v>
      </c>
      <c r="CH46" s="272">
        <v>267837</v>
      </c>
      <c r="CI46" s="272">
        <v>157292</v>
      </c>
      <c r="CJ46" s="455">
        <f t="shared" si="7"/>
        <v>110545</v>
      </c>
      <c r="CK46" s="272">
        <v>369475</v>
      </c>
      <c r="CL46" s="272">
        <v>140257</v>
      </c>
      <c r="CM46" s="272">
        <v>10758</v>
      </c>
      <c r="CN46" s="272">
        <v>131928</v>
      </c>
      <c r="CO46" s="272">
        <v>12366</v>
      </c>
      <c r="CP46" s="272">
        <v>274973</v>
      </c>
      <c r="CQ46" s="272">
        <v>100425</v>
      </c>
      <c r="CR46" s="272">
        <v>83064</v>
      </c>
      <c r="CS46" s="272">
        <v>83064</v>
      </c>
      <c r="CT46" s="455">
        <f t="shared" si="8"/>
        <v>12596</v>
      </c>
      <c r="CU46" s="272">
        <v>2369</v>
      </c>
      <c r="CV46" s="272">
        <v>10227</v>
      </c>
      <c r="CW46" s="455">
        <f t="shared" si="9"/>
        <v>0</v>
      </c>
      <c r="CX46" s="272">
        <v>0</v>
      </c>
      <c r="CY46" s="272">
        <v>0</v>
      </c>
      <c r="CZ46" s="455">
        <f t="shared" si="10"/>
        <v>0</v>
      </c>
      <c r="DA46" s="272">
        <v>0</v>
      </c>
      <c r="DB46" s="272">
        <v>0</v>
      </c>
      <c r="DC46" s="272">
        <v>1253235</v>
      </c>
      <c r="DD46" s="272">
        <v>574044</v>
      </c>
      <c r="DE46" s="272">
        <v>657557</v>
      </c>
      <c r="DF46" s="272">
        <v>21634</v>
      </c>
      <c r="DG46" s="272">
        <v>0</v>
      </c>
      <c r="DH46" s="272">
        <v>6052</v>
      </c>
      <c r="DI46" s="272">
        <v>880992</v>
      </c>
      <c r="DJ46" s="272">
        <v>60452</v>
      </c>
      <c r="DK46" s="272">
        <v>147000</v>
      </c>
      <c r="DL46" s="272">
        <v>673540</v>
      </c>
      <c r="DM46" s="272">
        <v>81417</v>
      </c>
      <c r="DN46" s="272">
        <v>81417</v>
      </c>
      <c r="DO46" s="272">
        <v>81417</v>
      </c>
      <c r="DP46" s="272">
        <v>0</v>
      </c>
      <c r="DQ46" s="272">
        <v>0</v>
      </c>
      <c r="DR46" s="272">
        <v>0</v>
      </c>
      <c r="DS46" s="272">
        <v>0</v>
      </c>
      <c r="DT46" s="272">
        <v>211904</v>
      </c>
      <c r="DU46" s="272">
        <v>48584</v>
      </c>
      <c r="DV46" s="455">
        <f t="shared" si="11"/>
        <v>0</v>
      </c>
      <c r="DW46" s="272">
        <v>0</v>
      </c>
      <c r="DX46" s="272">
        <v>0</v>
      </c>
      <c r="DY46" s="457" t="s">
        <v>646</v>
      </c>
      <c r="DZ46" s="272">
        <v>46825</v>
      </c>
      <c r="EA46" s="272">
        <v>42524</v>
      </c>
      <c r="EB46" s="272"/>
      <c r="EC46" s="272">
        <v>0</v>
      </c>
      <c r="ED46" s="272">
        <v>4349062</v>
      </c>
      <c r="EF46" s="272">
        <v>220283</v>
      </c>
      <c r="EG46" s="272">
        <v>127470</v>
      </c>
      <c r="EH46" s="272">
        <v>92813</v>
      </c>
      <c r="EI46" s="272">
        <v>3141</v>
      </c>
      <c r="EJ46" s="272">
        <v>-74494</v>
      </c>
      <c r="EL46" s="272"/>
      <c r="EM46" s="272">
        <v>14000</v>
      </c>
      <c r="EN46" s="272">
        <v>138087</v>
      </c>
      <c r="EO46" s="272">
        <v>274</v>
      </c>
      <c r="EP46" s="455">
        <f t="shared" si="12"/>
        <v>80980</v>
      </c>
      <c r="EQ46" s="272">
        <v>2604032</v>
      </c>
      <c r="ER46" s="272">
        <v>-217301</v>
      </c>
      <c r="ES46" s="272">
        <v>843450</v>
      </c>
      <c r="ET46" s="272">
        <v>579489</v>
      </c>
      <c r="EU46" s="272">
        <v>24624</v>
      </c>
      <c r="EV46" s="272">
        <v>267580</v>
      </c>
      <c r="EW46" s="455">
        <f t="shared" si="13"/>
        <v>285976</v>
      </c>
      <c r="EX46" s="272">
        <v>284936</v>
      </c>
      <c r="EY46" s="272">
        <v>75064</v>
      </c>
      <c r="EZ46" s="272">
        <v>198838</v>
      </c>
      <c r="FA46" s="272">
        <v>1040</v>
      </c>
      <c r="FB46" s="272">
        <v>0</v>
      </c>
      <c r="FC46" s="272">
        <v>319437</v>
      </c>
      <c r="FD46" s="272">
        <v>256362</v>
      </c>
      <c r="FE46" s="272">
        <v>100425</v>
      </c>
      <c r="FF46" s="272">
        <v>165759</v>
      </c>
      <c r="FG46" s="455">
        <f t="shared" si="14"/>
        <v>565332</v>
      </c>
      <c r="FH46" s="272">
        <v>2728520</v>
      </c>
      <c r="FI46" s="384">
        <f t="shared" si="15"/>
        <v>3.8</v>
      </c>
      <c r="FJ46" s="272">
        <v>2417626</v>
      </c>
      <c r="FK46" s="272"/>
      <c r="FL46" s="272">
        <v>1105909</v>
      </c>
      <c r="FM46" s="272">
        <v>2059872</v>
      </c>
      <c r="FN46" s="460">
        <v>0.55400000000000005</v>
      </c>
      <c r="FO46" s="388">
        <v>65.5</v>
      </c>
      <c r="FP46" s="388">
        <v>33.200000000000003</v>
      </c>
      <c r="FQ46" s="388">
        <v>1</v>
      </c>
      <c r="FR46" s="388">
        <v>10.7</v>
      </c>
      <c r="FS46" s="388">
        <v>11.2</v>
      </c>
      <c r="FT46" s="388">
        <v>7.3</v>
      </c>
      <c r="FU46" s="388">
        <v>1.9</v>
      </c>
      <c r="FV46" s="388">
        <v>9.5</v>
      </c>
      <c r="FW46" s="272">
        <v>1991619</v>
      </c>
      <c r="FX46" s="384">
        <f t="shared" si="16"/>
        <v>82.4</v>
      </c>
      <c r="FY46" s="272">
        <v>3551609</v>
      </c>
      <c r="FZ46" s="272">
        <v>1033222</v>
      </c>
      <c r="GA46" s="272">
        <v>147000</v>
      </c>
      <c r="GB46" s="272">
        <v>2371387</v>
      </c>
      <c r="GC46" s="272"/>
      <c r="GD46" s="272"/>
      <c r="GE46" s="384"/>
      <c r="GF46" s="388">
        <v>98.9</v>
      </c>
      <c r="GG46" s="388">
        <v>38.9</v>
      </c>
      <c r="GH46" s="388">
        <v>96.6</v>
      </c>
      <c r="GI46" s="272">
        <v>144</v>
      </c>
    </row>
    <row r="47" spans="2:191" x14ac:dyDescent="0.15">
      <c r="B47" s="89" t="s">
        <v>87</v>
      </c>
      <c r="C47" s="272">
        <v>626552</v>
      </c>
      <c r="D47" s="455">
        <f t="shared" si="0"/>
        <v>351854</v>
      </c>
      <c r="E47" s="272">
        <v>3540</v>
      </c>
      <c r="F47" s="272">
        <v>348314</v>
      </c>
      <c r="G47" s="455">
        <f t="shared" si="1"/>
        <v>19165</v>
      </c>
      <c r="H47" s="272">
        <v>3507</v>
      </c>
      <c r="I47" s="272">
        <v>15658</v>
      </c>
      <c r="J47" s="272">
        <v>213975</v>
      </c>
      <c r="K47" s="272">
        <v>72937</v>
      </c>
      <c r="L47" s="272">
        <v>91799</v>
      </c>
      <c r="M47" s="272">
        <v>45996</v>
      </c>
      <c r="N47" s="272">
        <v>17197</v>
      </c>
      <c r="O47" s="272">
        <v>0</v>
      </c>
      <c r="P47" s="272">
        <v>0</v>
      </c>
      <c r="Q47" s="272">
        <v>0</v>
      </c>
      <c r="R47" s="272">
        <v>33149</v>
      </c>
      <c r="S47" s="272">
        <v>15837</v>
      </c>
      <c r="T47" s="455">
        <f t="shared" si="2"/>
        <v>97632</v>
      </c>
      <c r="U47" s="272">
        <v>29510</v>
      </c>
      <c r="V47" s="272"/>
      <c r="W47" s="272"/>
      <c r="X47" s="272"/>
      <c r="Y47" s="272">
        <v>35399</v>
      </c>
      <c r="Z47" s="272"/>
      <c r="AA47" s="272">
        <v>32723</v>
      </c>
      <c r="AB47" s="272"/>
      <c r="AC47" s="272">
        <v>966244</v>
      </c>
      <c r="AD47" s="272">
        <v>835062</v>
      </c>
      <c r="AE47" s="272">
        <v>131182</v>
      </c>
      <c r="AF47" s="272">
        <v>1250</v>
      </c>
      <c r="AG47" s="272">
        <v>17517</v>
      </c>
      <c r="AH47" s="455">
        <f t="shared" si="3"/>
        <v>17026</v>
      </c>
      <c r="AI47" s="272">
        <v>13635</v>
      </c>
      <c r="AJ47" s="272">
        <v>3391</v>
      </c>
      <c r="AK47" s="272">
        <v>45460</v>
      </c>
      <c r="AL47" s="455">
        <f t="shared" si="4"/>
        <v>10836</v>
      </c>
      <c r="AM47" s="272">
        <v>0</v>
      </c>
      <c r="AN47" s="272">
        <v>10836</v>
      </c>
      <c r="AO47" s="272">
        <v>0</v>
      </c>
      <c r="AP47" s="272">
        <v>0</v>
      </c>
      <c r="AQ47" s="272">
        <v>11795</v>
      </c>
      <c r="AR47" s="272">
        <v>0</v>
      </c>
      <c r="AS47" s="272">
        <v>0</v>
      </c>
      <c r="AT47" s="272">
        <v>188000</v>
      </c>
      <c r="AU47" s="272">
        <v>68146</v>
      </c>
      <c r="AV47" s="272">
        <v>5418</v>
      </c>
      <c r="AW47" s="272">
        <v>35780</v>
      </c>
      <c r="AX47" s="272">
        <v>119854</v>
      </c>
      <c r="AY47" s="272">
        <v>68683</v>
      </c>
      <c r="AZ47" s="272">
        <v>33526</v>
      </c>
      <c r="BA47" s="272">
        <v>0</v>
      </c>
      <c r="BB47" s="272">
        <v>3203</v>
      </c>
      <c r="BC47" s="272">
        <v>110000</v>
      </c>
      <c r="BD47" s="272">
        <v>0</v>
      </c>
      <c r="BE47" s="272">
        <v>0</v>
      </c>
      <c r="BF47" s="272">
        <v>110000</v>
      </c>
      <c r="BG47" s="272">
        <v>0</v>
      </c>
      <c r="BH47" s="272">
        <v>12901</v>
      </c>
      <c r="BI47" s="272">
        <v>12901</v>
      </c>
      <c r="BJ47" s="272">
        <v>27742</v>
      </c>
      <c r="BK47" s="272">
        <v>284</v>
      </c>
      <c r="BL47" s="272">
        <v>0</v>
      </c>
      <c r="BM47" s="272">
        <v>0</v>
      </c>
      <c r="BN47" s="272">
        <v>54600</v>
      </c>
      <c r="BO47" s="455">
        <f t="shared" si="5"/>
        <v>54600</v>
      </c>
      <c r="BP47" s="455">
        <f t="shared" si="6"/>
        <v>0</v>
      </c>
      <c r="BQ47" s="272"/>
      <c r="BR47" s="272"/>
      <c r="BS47" s="272"/>
      <c r="BT47" s="272">
        <v>0</v>
      </c>
      <c r="BU47" s="272">
        <v>2234802</v>
      </c>
      <c r="BV47" s="272"/>
      <c r="BW47" s="272">
        <v>606733</v>
      </c>
      <c r="BX47" s="272">
        <v>420852</v>
      </c>
      <c r="BY47" s="272">
        <v>856</v>
      </c>
      <c r="BZ47" s="272">
        <v>18045</v>
      </c>
      <c r="CA47" s="272">
        <v>73101</v>
      </c>
      <c r="CB47" s="272">
        <v>9308</v>
      </c>
      <c r="CC47" s="272">
        <v>22383</v>
      </c>
      <c r="CD47" s="272">
        <v>40652</v>
      </c>
      <c r="CE47" s="272">
        <v>0</v>
      </c>
      <c r="CF47" s="272">
        <v>0</v>
      </c>
      <c r="CG47" s="272">
        <v>758</v>
      </c>
      <c r="CH47" s="272">
        <v>166522</v>
      </c>
      <c r="CI47" s="272">
        <v>95234</v>
      </c>
      <c r="CJ47" s="455">
        <f t="shared" si="7"/>
        <v>71288</v>
      </c>
      <c r="CK47" s="272">
        <v>262090</v>
      </c>
      <c r="CL47" s="272">
        <v>92801</v>
      </c>
      <c r="CM47" s="272">
        <v>10402</v>
      </c>
      <c r="CN47" s="272">
        <v>86478</v>
      </c>
      <c r="CO47" s="272">
        <v>7595</v>
      </c>
      <c r="CP47" s="272">
        <v>222228</v>
      </c>
      <c r="CQ47" s="272">
        <v>66787</v>
      </c>
      <c r="CR47" s="272">
        <v>55346</v>
      </c>
      <c r="CS47" s="272">
        <v>55346</v>
      </c>
      <c r="CT47" s="455">
        <f t="shared" si="8"/>
        <v>17356</v>
      </c>
      <c r="CU47" s="272">
        <v>4356</v>
      </c>
      <c r="CV47" s="272">
        <v>13000</v>
      </c>
      <c r="CW47" s="455">
        <f t="shared" si="9"/>
        <v>0</v>
      </c>
      <c r="CX47" s="272">
        <v>0</v>
      </c>
      <c r="CY47" s="272">
        <v>0</v>
      </c>
      <c r="CZ47" s="455">
        <f t="shared" si="10"/>
        <v>0</v>
      </c>
      <c r="DA47" s="272">
        <v>0</v>
      </c>
      <c r="DB47" s="272">
        <v>0</v>
      </c>
      <c r="DC47" s="272">
        <v>466116</v>
      </c>
      <c r="DD47" s="272">
        <v>91340</v>
      </c>
      <c r="DE47" s="272">
        <v>338019</v>
      </c>
      <c r="DF47" s="272">
        <v>36757</v>
      </c>
      <c r="DG47" s="272">
        <v>0</v>
      </c>
      <c r="DH47" s="272">
        <v>9380</v>
      </c>
      <c r="DI47" s="272">
        <v>320778</v>
      </c>
      <c r="DJ47" s="272">
        <v>36643</v>
      </c>
      <c r="DK47" s="272">
        <v>80000</v>
      </c>
      <c r="DL47" s="272">
        <v>204135</v>
      </c>
      <c r="DM47" s="272">
        <v>0</v>
      </c>
      <c r="DN47" s="272">
        <v>0</v>
      </c>
      <c r="DO47" s="272">
        <v>0</v>
      </c>
      <c r="DP47" s="272">
        <v>0</v>
      </c>
      <c r="DQ47" s="272">
        <v>0</v>
      </c>
      <c r="DR47" s="272">
        <v>0</v>
      </c>
      <c r="DS47" s="272">
        <v>0</v>
      </c>
      <c r="DT47" s="272">
        <v>81934</v>
      </c>
      <c r="DU47" s="272">
        <v>5348</v>
      </c>
      <c r="DV47" s="455">
        <f t="shared" si="11"/>
        <v>0</v>
      </c>
      <c r="DW47" s="272">
        <v>0</v>
      </c>
      <c r="DX47" s="272">
        <v>0</v>
      </c>
      <c r="DY47" s="457" t="s">
        <v>646</v>
      </c>
      <c r="DZ47" s="272">
        <v>31456</v>
      </c>
      <c r="EA47" s="272">
        <v>21516</v>
      </c>
      <c r="EB47" s="272"/>
      <c r="EC47" s="272">
        <v>0</v>
      </c>
      <c r="ED47" s="272">
        <v>2216477</v>
      </c>
      <c r="EF47" s="272">
        <v>18325</v>
      </c>
      <c r="EG47" s="272">
        <v>0</v>
      </c>
      <c r="EH47" s="272">
        <v>18325</v>
      </c>
      <c r="EI47" s="272">
        <v>5424</v>
      </c>
      <c r="EJ47" s="272">
        <v>42067</v>
      </c>
      <c r="EL47" s="272"/>
      <c r="EM47" s="272">
        <v>7786</v>
      </c>
      <c r="EN47" s="272">
        <v>0</v>
      </c>
      <c r="EO47" s="272">
        <v>319</v>
      </c>
      <c r="EP47" s="455">
        <f t="shared" si="12"/>
        <v>28160</v>
      </c>
      <c r="EQ47" s="272">
        <v>1724827</v>
      </c>
      <c r="ER47" s="272">
        <v>-27229</v>
      </c>
      <c r="ES47" s="272">
        <v>572327</v>
      </c>
      <c r="ET47" s="272">
        <v>388727</v>
      </c>
      <c r="EU47" s="272">
        <v>14231</v>
      </c>
      <c r="EV47" s="272">
        <v>164613</v>
      </c>
      <c r="EW47" s="455">
        <f t="shared" si="13"/>
        <v>190168</v>
      </c>
      <c r="EX47" s="272">
        <v>186588</v>
      </c>
      <c r="EY47" s="272">
        <v>26165</v>
      </c>
      <c r="EZ47" s="272">
        <v>123666</v>
      </c>
      <c r="FA47" s="272">
        <v>3580</v>
      </c>
      <c r="FB47" s="272">
        <v>0</v>
      </c>
      <c r="FC47" s="272">
        <v>219944</v>
      </c>
      <c r="FD47" s="272">
        <v>203243</v>
      </c>
      <c r="FE47" s="272">
        <v>66787</v>
      </c>
      <c r="FF47" s="272">
        <v>74478</v>
      </c>
      <c r="FG47" s="455">
        <f t="shared" si="14"/>
        <v>294727</v>
      </c>
      <c r="FH47" s="272">
        <v>1733731</v>
      </c>
      <c r="FI47" s="384">
        <f t="shared" si="15"/>
        <v>1.2</v>
      </c>
      <c r="FJ47" s="272">
        <v>1537111</v>
      </c>
      <c r="FK47" s="272"/>
      <c r="FL47" s="272">
        <v>531097</v>
      </c>
      <c r="FM47" s="272">
        <v>1365983</v>
      </c>
      <c r="FN47" s="460">
        <v>0.41699999999999998</v>
      </c>
      <c r="FO47" s="388">
        <v>69</v>
      </c>
      <c r="FP47" s="388">
        <v>35.6</v>
      </c>
      <c r="FQ47" s="388">
        <v>0.9</v>
      </c>
      <c r="FR47" s="388">
        <v>10.3</v>
      </c>
      <c r="FS47" s="388">
        <v>9.6999999999999993</v>
      </c>
      <c r="FT47" s="388">
        <v>10.4</v>
      </c>
      <c r="FU47" s="388">
        <v>1.8</v>
      </c>
      <c r="FV47" s="388">
        <v>9.1999999999999993</v>
      </c>
      <c r="FW47" s="272">
        <v>1153174</v>
      </c>
      <c r="FX47" s="384">
        <f t="shared" si="16"/>
        <v>75</v>
      </c>
      <c r="FY47" s="272">
        <v>971089</v>
      </c>
      <c r="FZ47" s="272">
        <v>337958</v>
      </c>
      <c r="GA47" s="272">
        <v>80000</v>
      </c>
      <c r="GB47" s="272">
        <v>553131</v>
      </c>
      <c r="GC47" s="272"/>
      <c r="GD47" s="272"/>
      <c r="GE47" s="384"/>
      <c r="GF47" s="388">
        <v>99.2</v>
      </c>
      <c r="GG47" s="388">
        <v>37.299999999999997</v>
      </c>
      <c r="GH47" s="388">
        <v>97</v>
      </c>
      <c r="GI47" s="272">
        <v>91</v>
      </c>
    </row>
    <row r="48" spans="2:191" x14ac:dyDescent="0.15">
      <c r="B48" s="89" t="s">
        <v>839</v>
      </c>
      <c r="C48" s="272">
        <v>5407884</v>
      </c>
      <c r="D48" s="455">
        <f t="shared" si="0"/>
        <v>1876228</v>
      </c>
      <c r="E48" s="272">
        <v>19194</v>
      </c>
      <c r="F48" s="272">
        <v>1857034</v>
      </c>
      <c r="G48" s="455">
        <f t="shared" si="1"/>
        <v>824728</v>
      </c>
      <c r="H48" s="272">
        <v>79248</v>
      </c>
      <c r="I48" s="272">
        <v>745480</v>
      </c>
      <c r="J48" s="272">
        <v>2219263</v>
      </c>
      <c r="K48" s="272">
        <v>1018359</v>
      </c>
      <c r="L48" s="272">
        <v>784644</v>
      </c>
      <c r="M48" s="272">
        <v>402551</v>
      </c>
      <c r="N48" s="272">
        <v>141502</v>
      </c>
      <c r="O48" s="272">
        <v>268452</v>
      </c>
      <c r="P48" s="272">
        <v>169464</v>
      </c>
      <c r="Q48" s="272">
        <v>98988</v>
      </c>
      <c r="R48" s="272">
        <v>222182</v>
      </c>
      <c r="S48" s="272">
        <v>157828</v>
      </c>
      <c r="T48" s="455">
        <f t="shared" si="2"/>
        <v>285258</v>
      </c>
      <c r="U48" s="272">
        <v>145588</v>
      </c>
      <c r="V48" s="272"/>
      <c r="W48" s="272"/>
      <c r="X48" s="272"/>
      <c r="Y48" s="272">
        <v>18580</v>
      </c>
      <c r="Z48" s="272"/>
      <c r="AA48" s="272">
        <v>121090</v>
      </c>
      <c r="AB48" s="272"/>
      <c r="AC48" s="272">
        <v>147894</v>
      </c>
      <c r="AD48" s="272">
        <v>0</v>
      </c>
      <c r="AE48" s="272">
        <v>147894</v>
      </c>
      <c r="AF48" s="272">
        <v>7709</v>
      </c>
      <c r="AG48" s="272">
        <v>4216</v>
      </c>
      <c r="AH48" s="455">
        <f t="shared" si="3"/>
        <v>159765</v>
      </c>
      <c r="AI48" s="272">
        <v>101039</v>
      </c>
      <c r="AJ48" s="272">
        <v>58726</v>
      </c>
      <c r="AK48" s="272">
        <v>157307</v>
      </c>
      <c r="AL48" s="455">
        <f t="shared" si="4"/>
        <v>57544</v>
      </c>
      <c r="AM48" s="272">
        <v>0</v>
      </c>
      <c r="AN48" s="272">
        <v>57544</v>
      </c>
      <c r="AO48" s="272">
        <v>0</v>
      </c>
      <c r="AP48" s="272">
        <v>0</v>
      </c>
      <c r="AQ48" s="272">
        <v>35101</v>
      </c>
      <c r="AR48" s="272">
        <v>0</v>
      </c>
      <c r="AS48" s="272">
        <v>0</v>
      </c>
      <c r="AT48" s="272">
        <v>386234</v>
      </c>
      <c r="AU48" s="272">
        <v>75619</v>
      </c>
      <c r="AV48" s="272">
        <v>16768</v>
      </c>
      <c r="AW48" s="272">
        <v>0</v>
      </c>
      <c r="AX48" s="272">
        <v>310615</v>
      </c>
      <c r="AY48" s="272">
        <v>149139</v>
      </c>
      <c r="AZ48" s="272">
        <v>340303</v>
      </c>
      <c r="BA48" s="272">
        <v>63816</v>
      </c>
      <c r="BB48" s="272">
        <v>103634</v>
      </c>
      <c r="BC48" s="272">
        <v>135887</v>
      </c>
      <c r="BD48" s="272">
        <v>130000</v>
      </c>
      <c r="BE48" s="272">
        <v>0</v>
      </c>
      <c r="BF48" s="272">
        <v>0</v>
      </c>
      <c r="BG48" s="272">
        <v>0</v>
      </c>
      <c r="BH48" s="272">
        <v>224887</v>
      </c>
      <c r="BI48" s="272">
        <v>224887</v>
      </c>
      <c r="BJ48" s="272">
        <v>124501</v>
      </c>
      <c r="BK48" s="272">
        <v>40671</v>
      </c>
      <c r="BL48" s="272">
        <v>12379</v>
      </c>
      <c r="BM48" s="272">
        <v>0</v>
      </c>
      <c r="BN48" s="272">
        <v>240700</v>
      </c>
      <c r="BO48" s="455">
        <f t="shared" si="5"/>
        <v>240700</v>
      </c>
      <c r="BP48" s="455">
        <f t="shared" si="6"/>
        <v>0</v>
      </c>
      <c r="BQ48" s="272"/>
      <c r="BR48" s="272"/>
      <c r="BS48" s="272"/>
      <c r="BT48" s="272">
        <v>0</v>
      </c>
      <c r="BU48" s="272">
        <v>7948361</v>
      </c>
      <c r="BV48" s="272"/>
      <c r="BW48" s="272">
        <v>2082448</v>
      </c>
      <c r="BX48" s="272">
        <v>1562120</v>
      </c>
      <c r="BY48" s="272">
        <v>83750</v>
      </c>
      <c r="BZ48" s="272">
        <v>28821</v>
      </c>
      <c r="CA48" s="272">
        <v>235562</v>
      </c>
      <c r="CB48" s="272">
        <v>47359</v>
      </c>
      <c r="CC48" s="272">
        <v>103200</v>
      </c>
      <c r="CD48" s="272">
        <v>78917</v>
      </c>
      <c r="CE48" s="272">
        <v>0</v>
      </c>
      <c r="CF48" s="272">
        <v>0</v>
      </c>
      <c r="CG48" s="272">
        <v>5986</v>
      </c>
      <c r="CH48" s="272">
        <v>592706</v>
      </c>
      <c r="CI48" s="272">
        <v>256604</v>
      </c>
      <c r="CJ48" s="455">
        <f t="shared" si="7"/>
        <v>336102</v>
      </c>
      <c r="CK48" s="272">
        <v>1206817</v>
      </c>
      <c r="CL48" s="272">
        <v>640404</v>
      </c>
      <c r="CM48" s="272">
        <v>64354</v>
      </c>
      <c r="CN48" s="272">
        <v>265818</v>
      </c>
      <c r="CO48" s="272">
        <v>38460</v>
      </c>
      <c r="CP48" s="272">
        <v>525172</v>
      </c>
      <c r="CQ48" s="272">
        <v>255471</v>
      </c>
      <c r="CR48" s="272">
        <v>136385</v>
      </c>
      <c r="CS48" s="272">
        <v>118130</v>
      </c>
      <c r="CT48" s="455">
        <f t="shared" si="8"/>
        <v>8198</v>
      </c>
      <c r="CU48" s="272">
        <v>8198</v>
      </c>
      <c r="CV48" s="272">
        <v>0</v>
      </c>
      <c r="CW48" s="455">
        <f t="shared" si="9"/>
        <v>0</v>
      </c>
      <c r="CX48" s="272">
        <v>0</v>
      </c>
      <c r="CY48" s="272">
        <v>0</v>
      </c>
      <c r="CZ48" s="455">
        <f t="shared" si="10"/>
        <v>0</v>
      </c>
      <c r="DA48" s="272">
        <v>0</v>
      </c>
      <c r="DB48" s="272">
        <v>0</v>
      </c>
      <c r="DC48" s="272">
        <v>1314350</v>
      </c>
      <c r="DD48" s="272">
        <v>103353</v>
      </c>
      <c r="DE48" s="272">
        <v>1196128</v>
      </c>
      <c r="DF48" s="272">
        <v>2490</v>
      </c>
      <c r="DG48" s="272">
        <v>12379</v>
      </c>
      <c r="DH48" s="272">
        <v>0</v>
      </c>
      <c r="DI48" s="272">
        <v>929114</v>
      </c>
      <c r="DJ48" s="272">
        <v>183730</v>
      </c>
      <c r="DK48" s="272">
        <v>117491</v>
      </c>
      <c r="DL48" s="272">
        <v>627893</v>
      </c>
      <c r="DM48" s="272">
        <v>400</v>
      </c>
      <c r="DN48" s="272">
        <v>0</v>
      </c>
      <c r="DO48" s="272">
        <v>0</v>
      </c>
      <c r="DP48" s="272">
        <v>0</v>
      </c>
      <c r="DQ48" s="272">
        <v>0</v>
      </c>
      <c r="DR48" s="272">
        <v>0</v>
      </c>
      <c r="DS48" s="272">
        <v>0</v>
      </c>
      <c r="DT48" s="272">
        <v>758878</v>
      </c>
      <c r="DU48" s="272">
        <v>394152</v>
      </c>
      <c r="DV48" s="455">
        <f t="shared" si="11"/>
        <v>0</v>
      </c>
      <c r="DW48" s="272">
        <v>0</v>
      </c>
      <c r="DX48" s="272">
        <v>0</v>
      </c>
      <c r="DY48" s="457" t="s">
        <v>646</v>
      </c>
      <c r="DZ48" s="272">
        <v>135654</v>
      </c>
      <c r="EA48" s="272">
        <v>86207</v>
      </c>
      <c r="EB48" s="272"/>
      <c r="EC48" s="272">
        <v>0</v>
      </c>
      <c r="ED48" s="272">
        <v>7683907</v>
      </c>
      <c r="EF48" s="272">
        <v>264454</v>
      </c>
      <c r="EG48" s="272">
        <v>0</v>
      </c>
      <c r="EH48" s="272">
        <v>264454</v>
      </c>
      <c r="EI48" s="272">
        <v>39567</v>
      </c>
      <c r="EJ48" s="272">
        <v>93297</v>
      </c>
      <c r="EL48" s="272"/>
      <c r="EM48" s="272">
        <v>37261</v>
      </c>
      <c r="EN48" s="272">
        <v>135887</v>
      </c>
      <c r="EO48" s="272">
        <v>69162</v>
      </c>
      <c r="EP48" s="455">
        <f t="shared" si="12"/>
        <v>450917</v>
      </c>
      <c r="EQ48" s="272">
        <v>6070927</v>
      </c>
      <c r="ER48" s="272">
        <v>-648257</v>
      </c>
      <c r="ES48" s="272">
        <v>1890629</v>
      </c>
      <c r="ET48" s="272">
        <v>1390301</v>
      </c>
      <c r="EU48" s="272">
        <v>95257</v>
      </c>
      <c r="EV48" s="272">
        <v>592706</v>
      </c>
      <c r="EW48" s="455">
        <f t="shared" si="13"/>
        <v>874631</v>
      </c>
      <c r="EX48" s="272">
        <v>874631</v>
      </c>
      <c r="EY48" s="272">
        <v>26465</v>
      </c>
      <c r="EZ48" s="272">
        <v>845676</v>
      </c>
      <c r="FA48" s="272">
        <v>0</v>
      </c>
      <c r="FB48" s="272">
        <v>0</v>
      </c>
      <c r="FC48" s="272">
        <v>1071164</v>
      </c>
      <c r="FD48" s="272">
        <v>500721</v>
      </c>
      <c r="FE48" s="272">
        <v>255471</v>
      </c>
      <c r="FF48" s="272">
        <v>709020</v>
      </c>
      <c r="FG48" s="455">
        <f t="shared" si="14"/>
        <v>720602</v>
      </c>
      <c r="FH48" s="272">
        <v>6454730</v>
      </c>
      <c r="FI48" s="384">
        <f t="shared" si="15"/>
        <v>4.7</v>
      </c>
      <c r="FJ48" s="272">
        <v>5614294</v>
      </c>
      <c r="FK48" s="272"/>
      <c r="FL48" s="272">
        <v>4227923</v>
      </c>
      <c r="FM48" s="272">
        <v>4181794</v>
      </c>
      <c r="FN48" s="460">
        <v>0.95299999999999996</v>
      </c>
      <c r="FO48" s="388">
        <v>72</v>
      </c>
      <c r="FP48" s="388">
        <v>32.1</v>
      </c>
      <c r="FQ48" s="388">
        <v>1.6</v>
      </c>
      <c r="FR48" s="388">
        <v>10.4</v>
      </c>
      <c r="FS48" s="388">
        <v>16.899999999999999</v>
      </c>
      <c r="FT48" s="388">
        <v>7.6</v>
      </c>
      <c r="FU48" s="388">
        <v>2.9</v>
      </c>
      <c r="FV48" s="388">
        <v>10.5</v>
      </c>
      <c r="FW48" s="272">
        <v>5167080</v>
      </c>
      <c r="FX48" s="384">
        <f t="shared" si="16"/>
        <v>92</v>
      </c>
      <c r="FY48" s="272">
        <v>5648190</v>
      </c>
      <c r="FZ48" s="272">
        <v>1463649</v>
      </c>
      <c r="GA48" s="272">
        <v>538192</v>
      </c>
      <c r="GB48" s="272">
        <v>3646349</v>
      </c>
      <c r="GC48" s="272"/>
      <c r="GD48" s="272">
        <v>2706843</v>
      </c>
      <c r="GE48" s="384">
        <f>ROUND(GD48/FJ48*100,1)</f>
        <v>48.2</v>
      </c>
      <c r="GF48" s="388">
        <v>97.5</v>
      </c>
      <c r="GG48" s="388">
        <v>44.4</v>
      </c>
      <c r="GH48" s="388">
        <v>94.5</v>
      </c>
      <c r="GI48" s="272">
        <v>303</v>
      </c>
    </row>
    <row r="49" spans="2:191" x14ac:dyDescent="0.15">
      <c r="B49" s="21" t="s">
        <v>89</v>
      </c>
      <c r="C49" s="272">
        <f>SUM(C36,C38:C48)</f>
        <v>30099839</v>
      </c>
      <c r="D49" s="455">
        <f t="shared" si="0"/>
        <v>13510635</v>
      </c>
      <c r="E49" s="272">
        <f>SUM(E36,E38:E48)</f>
        <v>131766</v>
      </c>
      <c r="F49" s="272">
        <f>SUM(F36,F38:F48)</f>
        <v>13378869</v>
      </c>
      <c r="G49" s="455">
        <f t="shared" si="1"/>
        <v>2774123</v>
      </c>
      <c r="H49" s="272">
        <f t="shared" ref="H49:S49" si="25">SUM(H36,H38:H48)</f>
        <v>306036</v>
      </c>
      <c r="I49" s="272">
        <f t="shared" si="25"/>
        <v>2468087</v>
      </c>
      <c r="J49" s="272">
        <f t="shared" si="25"/>
        <v>10992571</v>
      </c>
      <c r="K49" s="272">
        <f t="shared" si="25"/>
        <v>4932758</v>
      </c>
      <c r="L49" s="272">
        <f t="shared" si="25"/>
        <v>3966832</v>
      </c>
      <c r="M49" s="272">
        <f t="shared" si="25"/>
        <v>2019693</v>
      </c>
      <c r="N49" s="272">
        <f t="shared" si="25"/>
        <v>848878</v>
      </c>
      <c r="O49" s="272">
        <f t="shared" si="25"/>
        <v>1105870</v>
      </c>
      <c r="P49" s="272">
        <f t="shared" si="25"/>
        <v>741988</v>
      </c>
      <c r="Q49" s="272">
        <f t="shared" si="25"/>
        <v>363882</v>
      </c>
      <c r="R49" s="272">
        <f t="shared" si="25"/>
        <v>1263595</v>
      </c>
      <c r="S49" s="272">
        <f t="shared" si="25"/>
        <v>751033</v>
      </c>
      <c r="T49" s="455">
        <f t="shared" si="2"/>
        <v>2357100</v>
      </c>
      <c r="U49" s="272">
        <f>SUM(U36,U38:U48)</f>
        <v>1082438</v>
      </c>
      <c r="V49" s="272"/>
      <c r="W49" s="272"/>
      <c r="X49" s="272"/>
      <c r="Y49" s="272">
        <f>SUM(Y36,Y38:Y48)</f>
        <v>307884</v>
      </c>
      <c r="Z49" s="272"/>
      <c r="AA49" s="272">
        <f>SUM(AA36,AA38:AA48)</f>
        <v>966778</v>
      </c>
      <c r="AB49" s="272"/>
      <c r="AC49" s="272">
        <f>SUM(AC36,AC38:AC48)</f>
        <v>11212348</v>
      </c>
      <c r="AD49" s="272">
        <f>SUM(AD36,AD38:AD48)</f>
        <v>9253558</v>
      </c>
      <c r="AE49" s="272">
        <f>SUM(AE36,AE38:AE48)</f>
        <v>1958790</v>
      </c>
      <c r="AF49" s="272">
        <f>SUM(AF36,AF38:AF48)</f>
        <v>52285</v>
      </c>
      <c r="AG49" s="272">
        <f>SUM(AG36,AG38:AG48)</f>
        <v>911551</v>
      </c>
      <c r="AH49" s="455">
        <f t="shared" si="3"/>
        <v>1347064</v>
      </c>
      <c r="AI49" s="272">
        <f>SUM(AI36,AI38:AI48)</f>
        <v>1072333</v>
      </c>
      <c r="AJ49" s="272">
        <f>SUM(AJ36,AJ38:AJ48)</f>
        <v>274731</v>
      </c>
      <c r="AK49" s="272">
        <f>SUM(AK36,AK38:AK48)</f>
        <v>2738361</v>
      </c>
      <c r="AL49" s="455">
        <f t="shared" si="4"/>
        <v>406486</v>
      </c>
      <c r="AM49" s="272">
        <f t="shared" ref="AM49:BN49" si="26">SUM(AM36,AM38:AM48)</f>
        <v>37117</v>
      </c>
      <c r="AN49" s="272">
        <f t="shared" si="26"/>
        <v>351477</v>
      </c>
      <c r="AO49" s="272">
        <f t="shared" si="26"/>
        <v>0</v>
      </c>
      <c r="AP49" s="272">
        <f t="shared" si="26"/>
        <v>17892</v>
      </c>
      <c r="AQ49" s="272">
        <f t="shared" si="26"/>
        <v>1540910</v>
      </c>
      <c r="AR49" s="272">
        <f t="shared" si="26"/>
        <v>119125</v>
      </c>
      <c r="AS49" s="272">
        <f t="shared" si="26"/>
        <v>0</v>
      </c>
      <c r="AT49" s="272">
        <f t="shared" si="26"/>
        <v>5131549</v>
      </c>
      <c r="AU49" s="272">
        <f t="shared" si="26"/>
        <v>1874676</v>
      </c>
      <c r="AV49" s="272">
        <f t="shared" si="26"/>
        <v>130144</v>
      </c>
      <c r="AW49" s="272">
        <f t="shared" si="26"/>
        <v>504054</v>
      </c>
      <c r="AX49" s="272">
        <f t="shared" si="26"/>
        <v>3256873</v>
      </c>
      <c r="AY49" s="272">
        <f t="shared" si="26"/>
        <v>1524628</v>
      </c>
      <c r="AZ49" s="272">
        <f t="shared" si="26"/>
        <v>1851163</v>
      </c>
      <c r="BA49" s="272">
        <f t="shared" si="26"/>
        <v>580371</v>
      </c>
      <c r="BB49" s="272">
        <f t="shared" si="26"/>
        <v>1155692</v>
      </c>
      <c r="BC49" s="272">
        <f t="shared" si="26"/>
        <v>2884497</v>
      </c>
      <c r="BD49" s="272">
        <f t="shared" si="26"/>
        <v>1270552</v>
      </c>
      <c r="BE49" s="272">
        <f t="shared" si="26"/>
        <v>0</v>
      </c>
      <c r="BF49" s="272">
        <f t="shared" si="26"/>
        <v>953681</v>
      </c>
      <c r="BG49" s="272">
        <f t="shared" si="26"/>
        <v>0</v>
      </c>
      <c r="BH49" s="272">
        <f t="shared" si="26"/>
        <v>1866577</v>
      </c>
      <c r="BI49" s="272">
        <f t="shared" si="26"/>
        <v>1809001</v>
      </c>
      <c r="BJ49" s="272">
        <f t="shared" si="26"/>
        <v>1318705</v>
      </c>
      <c r="BK49" s="272">
        <f t="shared" si="26"/>
        <v>106585</v>
      </c>
      <c r="BL49" s="272">
        <f t="shared" si="26"/>
        <v>160954</v>
      </c>
      <c r="BM49" s="272">
        <f t="shared" si="26"/>
        <v>0</v>
      </c>
      <c r="BN49" s="272">
        <f t="shared" si="26"/>
        <v>4336740</v>
      </c>
      <c r="BO49" s="455">
        <f t="shared" si="5"/>
        <v>4336740</v>
      </c>
      <c r="BP49" s="455">
        <f t="shared" si="6"/>
        <v>0</v>
      </c>
      <c r="BQ49" s="272"/>
      <c r="BR49" s="272"/>
      <c r="BS49" s="272"/>
      <c r="BT49" s="272">
        <v>0</v>
      </c>
      <c r="BU49" s="272">
        <f>SUM(BU36,BU38:BU48)</f>
        <v>68527066</v>
      </c>
      <c r="BV49" s="272"/>
      <c r="BW49" s="272">
        <f t="shared" ref="BW49:CI49" si="27">SUM(BW36,BW38:BW48)</f>
        <v>16901610</v>
      </c>
      <c r="BX49" s="272">
        <f t="shared" si="27"/>
        <v>12277069</v>
      </c>
      <c r="BY49" s="272">
        <f t="shared" si="27"/>
        <v>684865</v>
      </c>
      <c r="BZ49" s="272">
        <f t="shared" si="27"/>
        <v>335319</v>
      </c>
      <c r="CA49" s="272">
        <f t="shared" si="27"/>
        <v>2048942</v>
      </c>
      <c r="CB49" s="272">
        <f t="shared" si="27"/>
        <v>413229</v>
      </c>
      <c r="CC49" s="272">
        <f t="shared" si="27"/>
        <v>718279</v>
      </c>
      <c r="CD49" s="272">
        <f t="shared" si="27"/>
        <v>780442</v>
      </c>
      <c r="CE49" s="272">
        <f t="shared" si="27"/>
        <v>42607</v>
      </c>
      <c r="CF49" s="272">
        <f t="shared" si="27"/>
        <v>4181</v>
      </c>
      <c r="CG49" s="272">
        <f t="shared" si="27"/>
        <v>90104</v>
      </c>
      <c r="CH49" s="272">
        <f t="shared" si="27"/>
        <v>5447901</v>
      </c>
      <c r="CI49" s="272">
        <f t="shared" si="27"/>
        <v>2633112</v>
      </c>
      <c r="CJ49" s="455">
        <f t="shared" si="7"/>
        <v>2814789</v>
      </c>
      <c r="CK49" s="272">
        <f t="shared" ref="CK49:CS49" si="28">SUM(CK36,CK38:CK48)</f>
        <v>8274709</v>
      </c>
      <c r="CL49" s="272">
        <f t="shared" si="28"/>
        <v>3457353</v>
      </c>
      <c r="CM49" s="272">
        <f t="shared" si="28"/>
        <v>573557</v>
      </c>
      <c r="CN49" s="272">
        <f t="shared" si="28"/>
        <v>2561872</v>
      </c>
      <c r="CO49" s="272">
        <f t="shared" si="28"/>
        <v>634737</v>
      </c>
      <c r="CP49" s="272">
        <f t="shared" si="28"/>
        <v>4847373</v>
      </c>
      <c r="CQ49" s="272">
        <f t="shared" si="28"/>
        <v>1249241</v>
      </c>
      <c r="CR49" s="272">
        <f t="shared" si="28"/>
        <v>1917036</v>
      </c>
      <c r="CS49" s="272">
        <f t="shared" si="28"/>
        <v>1460789</v>
      </c>
      <c r="CT49" s="455">
        <f t="shared" si="8"/>
        <v>688395</v>
      </c>
      <c r="CU49" s="272">
        <f>SUM(CU36,CU38:CU48)</f>
        <v>36206</v>
      </c>
      <c r="CV49" s="272">
        <f>SUM(CV36,CV38:CV48)</f>
        <v>652189</v>
      </c>
      <c r="CW49" s="455">
        <f t="shared" si="9"/>
        <v>471534</v>
      </c>
      <c r="CX49" s="272">
        <f>SUM(CX36,CX38:CX48)</f>
        <v>0</v>
      </c>
      <c r="CY49" s="272">
        <f>SUM(CY36,CY38:CY48)</f>
        <v>471534</v>
      </c>
      <c r="CZ49" s="455">
        <f t="shared" si="10"/>
        <v>0</v>
      </c>
      <c r="DA49" s="272">
        <v>0</v>
      </c>
      <c r="DB49" s="272">
        <v>0</v>
      </c>
      <c r="DC49" s="272">
        <f t="shared" ref="DC49:DU49" si="29">SUM(DC36,DC38:DC48)</f>
        <v>15644548</v>
      </c>
      <c r="DD49" s="272">
        <f t="shared" si="29"/>
        <v>3953228</v>
      </c>
      <c r="DE49" s="272">
        <f t="shared" si="29"/>
        <v>10526801</v>
      </c>
      <c r="DF49" s="272">
        <f t="shared" si="29"/>
        <v>193934</v>
      </c>
      <c r="DG49" s="272">
        <f t="shared" si="29"/>
        <v>969415</v>
      </c>
      <c r="DH49" s="272">
        <f t="shared" si="29"/>
        <v>546404</v>
      </c>
      <c r="DI49" s="272">
        <f t="shared" si="29"/>
        <v>8313263</v>
      </c>
      <c r="DJ49" s="272">
        <f t="shared" si="29"/>
        <v>1660191</v>
      </c>
      <c r="DK49" s="272">
        <f t="shared" si="29"/>
        <v>842832</v>
      </c>
      <c r="DL49" s="272">
        <f t="shared" si="29"/>
        <v>5810240</v>
      </c>
      <c r="DM49" s="272">
        <f t="shared" si="29"/>
        <v>102217</v>
      </c>
      <c r="DN49" s="272">
        <f t="shared" si="29"/>
        <v>81417</v>
      </c>
      <c r="DO49" s="272">
        <f t="shared" si="29"/>
        <v>81417</v>
      </c>
      <c r="DP49" s="272">
        <f t="shared" si="29"/>
        <v>0</v>
      </c>
      <c r="DQ49" s="272">
        <f t="shared" si="29"/>
        <v>51167</v>
      </c>
      <c r="DR49" s="272">
        <f t="shared" si="29"/>
        <v>0</v>
      </c>
      <c r="DS49" s="272">
        <f t="shared" si="29"/>
        <v>0</v>
      </c>
      <c r="DT49" s="272">
        <f t="shared" si="29"/>
        <v>3454887</v>
      </c>
      <c r="DU49" s="272">
        <f t="shared" si="29"/>
        <v>1788213</v>
      </c>
      <c r="DV49" s="455">
        <f t="shared" si="11"/>
        <v>0</v>
      </c>
      <c r="DW49" s="272">
        <f>SUM(DW36,DW38:DW48)</f>
        <v>0</v>
      </c>
      <c r="DX49" s="272">
        <v>0</v>
      </c>
      <c r="DY49" s="457" t="s">
        <v>646</v>
      </c>
      <c r="DZ49" s="272">
        <f>SUM(DZ36,DZ38:DZ48)</f>
        <v>652272</v>
      </c>
      <c r="EA49" s="272">
        <f>SUM(EA36,EA38:EA48)</f>
        <v>629767</v>
      </c>
      <c r="EB49" s="272"/>
      <c r="EC49" s="272">
        <f>SUM(EC36,EC38:EC48)</f>
        <v>880609</v>
      </c>
      <c r="ED49" s="272">
        <f>SUM(ED36,ED38:ED48)</f>
        <v>67172738</v>
      </c>
      <c r="EF49" s="272">
        <f>SUM(EF36,EF38:EF48)</f>
        <v>1354328</v>
      </c>
      <c r="EG49" s="272">
        <f>SUM(EG36,EG38:EG48)</f>
        <v>439563</v>
      </c>
      <c r="EH49" s="272">
        <f>SUM(EH36,EH38:EH48)</f>
        <v>914765</v>
      </c>
      <c r="EI49" s="272">
        <f>SUM(EI36,EI38:EI48)</f>
        <v>-55370</v>
      </c>
      <c r="EJ49" s="272">
        <f>SUM(EJ36,EJ38:EJ48)</f>
        <v>335532</v>
      </c>
      <c r="EL49" s="272"/>
      <c r="EM49" s="272">
        <f>SUM(EM36,EM38:EM48)</f>
        <v>272417</v>
      </c>
      <c r="EN49" s="272">
        <f>SUM(EN36,EN38:EN48)</f>
        <v>2048299</v>
      </c>
      <c r="EO49" s="272">
        <f>SUM(EO36,EO38:EO48)</f>
        <v>647769</v>
      </c>
      <c r="EP49" s="455">
        <f t="shared" si="12"/>
        <v>3890092</v>
      </c>
      <c r="EQ49" s="272">
        <f t="shared" ref="EQ49:EV49" si="30">SUM(EQ36,EQ38:EQ48)</f>
        <v>44985167</v>
      </c>
      <c r="ER49" s="272">
        <f t="shared" si="30"/>
        <v>-6533875</v>
      </c>
      <c r="ES49" s="272">
        <f t="shared" si="30"/>
        <v>15322441</v>
      </c>
      <c r="ET49" s="272">
        <f t="shared" si="30"/>
        <v>10944118</v>
      </c>
      <c r="EU49" s="272">
        <f t="shared" si="30"/>
        <v>817366</v>
      </c>
      <c r="EV49" s="272">
        <f t="shared" si="30"/>
        <v>5177950</v>
      </c>
      <c r="EW49" s="455">
        <f t="shared" si="13"/>
        <v>6691757</v>
      </c>
      <c r="EX49" s="272">
        <f t="shared" ref="EX49:FF49" si="31">SUM(EX36,EX38:EX48)</f>
        <v>6436879</v>
      </c>
      <c r="EY49" s="272">
        <f t="shared" si="31"/>
        <v>533219</v>
      </c>
      <c r="EZ49" s="272">
        <f t="shared" si="31"/>
        <v>5722281</v>
      </c>
      <c r="FA49" s="272">
        <f t="shared" si="31"/>
        <v>239013</v>
      </c>
      <c r="FB49" s="272">
        <f t="shared" si="31"/>
        <v>15865</v>
      </c>
      <c r="FC49" s="272">
        <f t="shared" si="31"/>
        <v>7027986</v>
      </c>
      <c r="FD49" s="272">
        <f t="shared" si="31"/>
        <v>4227558</v>
      </c>
      <c r="FE49" s="272">
        <f t="shared" si="31"/>
        <v>1249241</v>
      </c>
      <c r="FF49" s="272">
        <f t="shared" si="31"/>
        <v>3170095</v>
      </c>
      <c r="FG49" s="455">
        <f t="shared" si="14"/>
        <v>7862665</v>
      </c>
      <c r="FH49" s="272">
        <f>SUM(FH36,FH38:FH48)</f>
        <v>50297818</v>
      </c>
      <c r="FI49" s="384">
        <f t="shared" si="15"/>
        <v>2.2000000000000002</v>
      </c>
      <c r="FJ49" s="272">
        <f>SUM(FJ36,FJ38:FJ48)</f>
        <v>40955652</v>
      </c>
      <c r="FK49" s="272"/>
      <c r="FL49" s="272">
        <f>SUM(FL36,FL38:FL48)</f>
        <v>23914087</v>
      </c>
      <c r="FM49" s="272">
        <f>SUM(FM36,FM38:FM48)</f>
        <v>33255539</v>
      </c>
      <c r="FN49" s="468">
        <v>0.71199999999999997</v>
      </c>
      <c r="FO49" s="469">
        <v>74.599999999999994</v>
      </c>
      <c r="FP49" s="469">
        <v>35.5</v>
      </c>
      <c r="FQ49" s="469">
        <v>1.8</v>
      </c>
      <c r="FR49" s="469">
        <v>11.9</v>
      </c>
      <c r="FS49" s="469">
        <v>14.4</v>
      </c>
      <c r="FT49" s="469">
        <v>7.3</v>
      </c>
      <c r="FU49" s="469">
        <v>2.5</v>
      </c>
      <c r="FV49" s="469">
        <v>10.1</v>
      </c>
      <c r="FW49" s="272">
        <f>SUM(FW36,FW38:FW48)</f>
        <v>46467469</v>
      </c>
      <c r="FX49" s="384">
        <f t="shared" si="16"/>
        <v>113.5</v>
      </c>
      <c r="FY49" s="272">
        <f>SUM(FY36,FY38:FY48)</f>
        <v>30883063</v>
      </c>
      <c r="FZ49" s="272">
        <f>SUM(FZ36,FZ38:FZ48)</f>
        <v>11061357</v>
      </c>
      <c r="GA49" s="272">
        <f>SUM(GA36,GA38:GA48)</f>
        <v>1493435</v>
      </c>
      <c r="GB49" s="272">
        <f>SUM(GB36,GB38:GB48)</f>
        <v>18328271</v>
      </c>
      <c r="GC49" s="272"/>
      <c r="GD49" s="272">
        <f>SUM(GD36,GD38:GD48)</f>
        <v>7681298</v>
      </c>
      <c r="GE49" s="465">
        <f>ROUND(GD49/FJ53*100,1)</f>
        <v>36.299999999999997</v>
      </c>
      <c r="GF49" s="469">
        <v>98</v>
      </c>
      <c r="GG49" s="469">
        <v>36.200000000000003</v>
      </c>
      <c r="GH49" s="469">
        <v>95.3</v>
      </c>
      <c r="GI49" s="272">
        <f>SUM(GI36,GI38:GI48)</f>
        <v>2506</v>
      </c>
    </row>
    <row r="50" spans="2:191" x14ac:dyDescent="0.15">
      <c r="B50" s="21" t="s">
        <v>91</v>
      </c>
      <c r="C50" s="272">
        <f>C37+C49</f>
        <v>728352924</v>
      </c>
      <c r="D50" s="455">
        <f t="shared" si="0"/>
        <v>296669120</v>
      </c>
      <c r="E50" s="272">
        <f>E37+E49</f>
        <v>3590013</v>
      </c>
      <c r="F50" s="272">
        <f>F37+F49</f>
        <v>293079107</v>
      </c>
      <c r="G50" s="455">
        <f t="shared" si="1"/>
        <v>110668886</v>
      </c>
      <c r="H50" s="272">
        <f t="shared" ref="H50:S50" si="32">H37+H49</f>
        <v>8310477</v>
      </c>
      <c r="I50" s="272">
        <f t="shared" si="32"/>
        <v>102358409</v>
      </c>
      <c r="J50" s="272">
        <f t="shared" si="32"/>
        <v>227062006</v>
      </c>
      <c r="K50" s="272">
        <f t="shared" si="32"/>
        <v>113868603</v>
      </c>
      <c r="L50" s="272">
        <f t="shared" si="32"/>
        <v>76495101</v>
      </c>
      <c r="M50" s="272">
        <f t="shared" si="32"/>
        <v>33713729</v>
      </c>
      <c r="N50" s="272">
        <f t="shared" si="32"/>
        <v>21185403</v>
      </c>
      <c r="O50" s="272">
        <f t="shared" si="32"/>
        <v>54489972</v>
      </c>
      <c r="P50" s="272">
        <f t="shared" si="32"/>
        <v>38186779</v>
      </c>
      <c r="Q50" s="272">
        <f t="shared" si="32"/>
        <v>16303193</v>
      </c>
      <c r="R50" s="272">
        <f t="shared" si="32"/>
        <v>25587858</v>
      </c>
      <c r="S50" s="272">
        <f t="shared" si="32"/>
        <v>16095371</v>
      </c>
      <c r="T50" s="455">
        <f t="shared" si="2"/>
        <v>40918163</v>
      </c>
      <c r="U50" s="272">
        <f>U37+U49</f>
        <v>24365479</v>
      </c>
      <c r="V50" s="272"/>
      <c r="W50" s="272"/>
      <c r="X50" s="272"/>
      <c r="Y50" s="272">
        <f>Y37+Y49</f>
        <v>1599972</v>
      </c>
      <c r="Z50" s="272"/>
      <c r="AA50" s="272">
        <f>AA37+AA49</f>
        <v>14952712</v>
      </c>
      <c r="AB50" s="272"/>
      <c r="AC50" s="272">
        <f>AC37+AC49</f>
        <v>57656135</v>
      </c>
      <c r="AD50" s="272">
        <f>AD37+AD49</f>
        <v>46032641</v>
      </c>
      <c r="AE50" s="272">
        <f>AE37+AE49</f>
        <v>11623494</v>
      </c>
      <c r="AF50" s="272">
        <f>AF37+AF49</f>
        <v>994624</v>
      </c>
      <c r="AG50" s="272">
        <f>AG37+AG49</f>
        <v>18774627</v>
      </c>
      <c r="AH50" s="455">
        <f t="shared" si="3"/>
        <v>27515355</v>
      </c>
      <c r="AI50" s="272">
        <f>AI37+AI49</f>
        <v>21555032</v>
      </c>
      <c r="AJ50" s="272">
        <f>AJ37+AJ49</f>
        <v>5960323</v>
      </c>
      <c r="AK50" s="272">
        <f>AK37+AK49</f>
        <v>104465428</v>
      </c>
      <c r="AL50" s="455">
        <f t="shared" si="4"/>
        <v>62249801</v>
      </c>
      <c r="AM50" s="272">
        <f t="shared" ref="AM50:BN50" si="33">AM37+AM49</f>
        <v>50147551</v>
      </c>
      <c r="AN50" s="272">
        <f t="shared" si="33"/>
        <v>8095480</v>
      </c>
      <c r="AO50" s="272">
        <f t="shared" si="33"/>
        <v>117347</v>
      </c>
      <c r="AP50" s="272">
        <f t="shared" si="33"/>
        <v>3889423</v>
      </c>
      <c r="AQ50" s="272">
        <f t="shared" si="33"/>
        <v>20451640</v>
      </c>
      <c r="AR50" s="272">
        <f t="shared" si="33"/>
        <v>175770</v>
      </c>
      <c r="AS50" s="272">
        <f t="shared" si="33"/>
        <v>290425</v>
      </c>
      <c r="AT50" s="272">
        <f t="shared" si="33"/>
        <v>63977829</v>
      </c>
      <c r="AU50" s="272">
        <f t="shared" si="33"/>
        <v>19461549</v>
      </c>
      <c r="AV50" s="272">
        <f t="shared" si="33"/>
        <v>3896786</v>
      </c>
      <c r="AW50" s="272">
        <f t="shared" si="33"/>
        <v>2909331</v>
      </c>
      <c r="AX50" s="272">
        <f t="shared" si="33"/>
        <v>44516280</v>
      </c>
      <c r="AY50" s="272">
        <f t="shared" si="33"/>
        <v>13087534</v>
      </c>
      <c r="AZ50" s="272">
        <f t="shared" si="33"/>
        <v>33534518</v>
      </c>
      <c r="BA50" s="272">
        <f t="shared" si="33"/>
        <v>19976652</v>
      </c>
      <c r="BB50" s="272">
        <f t="shared" si="33"/>
        <v>12668891</v>
      </c>
      <c r="BC50" s="272">
        <f t="shared" si="33"/>
        <v>22017979</v>
      </c>
      <c r="BD50" s="272">
        <f t="shared" si="33"/>
        <v>3563103</v>
      </c>
      <c r="BE50" s="272">
        <f t="shared" si="33"/>
        <v>600000</v>
      </c>
      <c r="BF50" s="272">
        <f t="shared" si="33"/>
        <v>14598159</v>
      </c>
      <c r="BG50" s="272">
        <f t="shared" si="33"/>
        <v>74075</v>
      </c>
      <c r="BH50" s="272">
        <f t="shared" si="33"/>
        <v>21458513</v>
      </c>
      <c r="BI50" s="272">
        <f t="shared" si="33"/>
        <v>13914192</v>
      </c>
      <c r="BJ50" s="272">
        <f t="shared" si="33"/>
        <v>62322535</v>
      </c>
      <c r="BK50" s="272">
        <f t="shared" si="33"/>
        <v>25960524</v>
      </c>
      <c r="BL50" s="272">
        <f t="shared" si="33"/>
        <v>2733635</v>
      </c>
      <c r="BM50" s="272">
        <f t="shared" si="33"/>
        <v>16942497</v>
      </c>
      <c r="BN50" s="272">
        <f t="shared" si="33"/>
        <v>63869693</v>
      </c>
      <c r="BO50" s="455">
        <f t="shared" si="5"/>
        <v>63869693</v>
      </c>
      <c r="BP50" s="455">
        <f t="shared" si="6"/>
        <v>0</v>
      </c>
      <c r="BQ50" s="272"/>
      <c r="BR50" s="272"/>
      <c r="BS50" s="272"/>
      <c r="BT50" s="272">
        <v>0</v>
      </c>
      <c r="BU50" s="272">
        <f>BU37+BU49</f>
        <v>1284405497</v>
      </c>
      <c r="BV50" s="272"/>
      <c r="BW50" s="272">
        <f t="shared" ref="BW50:CI50" si="34">BW37+BW49</f>
        <v>343586814</v>
      </c>
      <c r="BX50" s="272">
        <f t="shared" si="34"/>
        <v>262560521</v>
      </c>
      <c r="BY50" s="272">
        <f t="shared" si="34"/>
        <v>15310808</v>
      </c>
      <c r="BZ50" s="272">
        <f t="shared" si="34"/>
        <v>8307154</v>
      </c>
      <c r="CA50" s="272">
        <f t="shared" si="34"/>
        <v>139140093</v>
      </c>
      <c r="CB50" s="272">
        <f t="shared" si="34"/>
        <v>11929105</v>
      </c>
      <c r="CC50" s="272">
        <f t="shared" si="34"/>
        <v>21403956</v>
      </c>
      <c r="CD50" s="272">
        <f t="shared" si="34"/>
        <v>26425743</v>
      </c>
      <c r="CE50" s="272">
        <f t="shared" si="34"/>
        <v>66000101</v>
      </c>
      <c r="CF50" s="272">
        <f t="shared" si="34"/>
        <v>9742979</v>
      </c>
      <c r="CG50" s="272">
        <f t="shared" si="34"/>
        <v>3616410</v>
      </c>
      <c r="CH50" s="272">
        <f t="shared" si="34"/>
        <v>110707740</v>
      </c>
      <c r="CI50" s="272">
        <f t="shared" si="34"/>
        <v>56952240</v>
      </c>
      <c r="CJ50" s="455">
        <f t="shared" si="7"/>
        <v>53755500</v>
      </c>
      <c r="CK50" s="272">
        <f t="shared" ref="CK50:CS50" si="35">CK37+CK49</f>
        <v>117175139</v>
      </c>
      <c r="CL50" s="272">
        <f t="shared" si="35"/>
        <v>56749925</v>
      </c>
      <c r="CM50" s="272">
        <f t="shared" si="35"/>
        <v>5224211</v>
      </c>
      <c r="CN50" s="272">
        <f t="shared" si="35"/>
        <v>34861756</v>
      </c>
      <c r="CO50" s="272">
        <f t="shared" si="35"/>
        <v>14999055</v>
      </c>
      <c r="CP50" s="272">
        <f t="shared" si="35"/>
        <v>80631977</v>
      </c>
      <c r="CQ50" s="272">
        <f t="shared" si="35"/>
        <v>28101559</v>
      </c>
      <c r="CR50" s="272">
        <f t="shared" si="35"/>
        <v>20737826</v>
      </c>
      <c r="CS50" s="272">
        <f t="shared" si="35"/>
        <v>15303198</v>
      </c>
      <c r="CT50" s="455">
        <f t="shared" si="8"/>
        <v>11703273</v>
      </c>
      <c r="CU50" s="272">
        <f>CU37+CU49</f>
        <v>5280003</v>
      </c>
      <c r="CV50" s="272">
        <f>CV37+CV49</f>
        <v>6423270</v>
      </c>
      <c r="CW50" s="455">
        <f t="shared" si="9"/>
        <v>9550626</v>
      </c>
      <c r="CX50" s="272">
        <f>CX37+CX49</f>
        <v>4824780</v>
      </c>
      <c r="CY50" s="272">
        <f>CY37+CY49</f>
        <v>4725846</v>
      </c>
      <c r="CZ50" s="455">
        <f t="shared" si="10"/>
        <v>0</v>
      </c>
      <c r="DA50" s="272">
        <v>0</v>
      </c>
      <c r="DB50" s="272">
        <v>0</v>
      </c>
      <c r="DC50" s="272">
        <f t="shared" ref="DC50:DU50" si="36">DC37+DC49</f>
        <v>233436279</v>
      </c>
      <c r="DD50" s="272">
        <f t="shared" si="36"/>
        <v>50072341</v>
      </c>
      <c r="DE50" s="272">
        <f t="shared" si="36"/>
        <v>172894091</v>
      </c>
      <c r="DF50" s="272">
        <f t="shared" si="36"/>
        <v>2110098</v>
      </c>
      <c r="DG50" s="272">
        <f t="shared" si="36"/>
        <v>8105764</v>
      </c>
      <c r="DH50" s="272">
        <f t="shared" si="36"/>
        <v>1160210</v>
      </c>
      <c r="DI50" s="272">
        <f t="shared" si="36"/>
        <v>95876236</v>
      </c>
      <c r="DJ50" s="272">
        <f t="shared" si="36"/>
        <v>15464644</v>
      </c>
      <c r="DK50" s="272">
        <f t="shared" si="36"/>
        <v>10524816</v>
      </c>
      <c r="DL50" s="272">
        <f t="shared" si="36"/>
        <v>69886776</v>
      </c>
      <c r="DM50" s="272">
        <f t="shared" si="36"/>
        <v>1970381</v>
      </c>
      <c r="DN50" s="272">
        <f t="shared" si="36"/>
        <v>654983</v>
      </c>
      <c r="DO50" s="272">
        <f t="shared" si="36"/>
        <v>122658</v>
      </c>
      <c r="DP50" s="272">
        <f t="shared" si="36"/>
        <v>532325</v>
      </c>
      <c r="DQ50" s="272">
        <f t="shared" si="36"/>
        <v>27655310</v>
      </c>
      <c r="DR50" s="272">
        <f t="shared" si="36"/>
        <v>1905400</v>
      </c>
      <c r="DS50" s="272">
        <f t="shared" si="36"/>
        <v>1905400</v>
      </c>
      <c r="DT50" s="272">
        <f t="shared" si="36"/>
        <v>87378854</v>
      </c>
      <c r="DU50" s="272">
        <f t="shared" si="36"/>
        <v>55455541</v>
      </c>
      <c r="DV50" s="455">
        <f t="shared" si="11"/>
        <v>7500</v>
      </c>
      <c r="DW50" s="272">
        <f>DW37+DW49</f>
        <v>7500</v>
      </c>
      <c r="DX50" s="272">
        <v>0</v>
      </c>
      <c r="DY50" s="457" t="s">
        <v>646</v>
      </c>
      <c r="DZ50" s="272">
        <f>DZ37+DZ49</f>
        <v>17954356</v>
      </c>
      <c r="EA50" s="272">
        <f>EA37+EA49</f>
        <v>11291594</v>
      </c>
      <c r="EB50" s="272"/>
      <c r="EC50" s="272">
        <f>EC37+EC49</f>
        <v>6813012</v>
      </c>
      <c r="ED50" s="272">
        <f>ED37+ED49</f>
        <v>1260609036</v>
      </c>
      <c r="EF50" s="272">
        <f>EF37+EF49</f>
        <v>23796461</v>
      </c>
      <c r="EG50" s="272">
        <f>EG37+EG49</f>
        <v>12499106</v>
      </c>
      <c r="EH50" s="272">
        <f>EH37+EH49</f>
        <v>11297355</v>
      </c>
      <c r="EI50" s="272">
        <f>EI37+EI49</f>
        <v>3662956</v>
      </c>
      <c r="EJ50" s="272">
        <f>EJ37+EJ49</f>
        <v>15573610</v>
      </c>
      <c r="EL50" s="272"/>
      <c r="EM50" s="272">
        <f>EM37+EM49</f>
        <v>5231532</v>
      </c>
      <c r="EN50" s="272">
        <f>EN37+EN49</f>
        <v>10797967</v>
      </c>
      <c r="EO50" s="272">
        <f>EO37+EO49</f>
        <v>13476106</v>
      </c>
      <c r="EP50" s="455">
        <f t="shared" si="12"/>
        <v>62328137</v>
      </c>
      <c r="EQ50" s="272">
        <f t="shared" ref="EQ50:EV50" si="37">EQ37+EQ49</f>
        <v>853800129</v>
      </c>
      <c r="ER50" s="272">
        <f t="shared" si="37"/>
        <v>-85317161</v>
      </c>
      <c r="ES50" s="272">
        <f t="shared" si="37"/>
        <v>315643567</v>
      </c>
      <c r="ET50" s="272">
        <f t="shared" si="37"/>
        <v>237034203</v>
      </c>
      <c r="EU50" s="272">
        <f t="shared" si="37"/>
        <v>39064932</v>
      </c>
      <c r="EV50" s="272">
        <f t="shared" si="37"/>
        <v>105083646</v>
      </c>
      <c r="EW50" s="455">
        <f t="shared" si="13"/>
        <v>112695626</v>
      </c>
      <c r="EX50" s="272">
        <f t="shared" ref="EX50:FF50" si="38">EX37+EX49</f>
        <v>112022794</v>
      </c>
      <c r="EY50" s="272">
        <f t="shared" si="38"/>
        <v>9155139</v>
      </c>
      <c r="EZ50" s="272">
        <f t="shared" si="38"/>
        <v>101733359</v>
      </c>
      <c r="FA50" s="272">
        <f t="shared" si="38"/>
        <v>625101</v>
      </c>
      <c r="FB50" s="272">
        <f t="shared" si="38"/>
        <v>47731</v>
      </c>
      <c r="FC50" s="272">
        <f t="shared" si="38"/>
        <v>92534572</v>
      </c>
      <c r="FD50" s="272">
        <f t="shared" si="38"/>
        <v>72051879</v>
      </c>
      <c r="FE50" s="272">
        <f t="shared" si="38"/>
        <v>28001559</v>
      </c>
      <c r="FF50" s="272">
        <f t="shared" si="38"/>
        <v>80376009</v>
      </c>
      <c r="FG50" s="455">
        <f t="shared" si="14"/>
        <v>99590045</v>
      </c>
      <c r="FH50" s="272">
        <f>FH37+FH49</f>
        <v>917040276</v>
      </c>
      <c r="FI50" s="384">
        <f t="shared" si="15"/>
        <v>1.5</v>
      </c>
      <c r="FJ50" s="272">
        <f>FJ37+FJ49</f>
        <v>753091649</v>
      </c>
      <c r="FK50" s="272"/>
      <c r="FL50" s="272">
        <f>FL37+FL49</f>
        <v>532864336</v>
      </c>
      <c r="FM50" s="272">
        <f>FM37+FM49</f>
        <v>545430787</v>
      </c>
      <c r="FN50" s="468">
        <v>0.95299999999999996</v>
      </c>
      <c r="FO50" s="469">
        <v>81.8</v>
      </c>
      <c r="FP50" s="469">
        <v>38.799999999999997</v>
      </c>
      <c r="FQ50" s="469">
        <v>5</v>
      </c>
      <c r="FR50" s="469">
        <v>12.9</v>
      </c>
      <c r="FS50" s="469">
        <v>10.9</v>
      </c>
      <c r="FT50" s="469">
        <v>7.9</v>
      </c>
      <c r="FU50" s="469">
        <v>4.9000000000000004</v>
      </c>
      <c r="FV50" s="469">
        <v>11</v>
      </c>
      <c r="FW50" s="272">
        <f>FW37+FW49</f>
        <v>855240494</v>
      </c>
      <c r="FX50" s="384">
        <f t="shared" si="16"/>
        <v>113.6</v>
      </c>
      <c r="FY50" s="272">
        <f>FY37+FY49</f>
        <v>328647810</v>
      </c>
      <c r="FZ50" s="272">
        <f>FZ37+FZ49</f>
        <v>73290167</v>
      </c>
      <c r="GA50" s="272">
        <f>GA37+GA49</f>
        <v>15852438</v>
      </c>
      <c r="GB50" s="272">
        <f>GB37+GB49</f>
        <v>239505205</v>
      </c>
      <c r="GC50" s="272"/>
      <c r="GD50" s="272">
        <f>GD37+GD49</f>
        <v>304873155</v>
      </c>
      <c r="GE50" s="465">
        <v>42.1</v>
      </c>
      <c r="GF50" s="469">
        <v>98.5</v>
      </c>
      <c r="GG50" s="469">
        <v>37.700000000000003</v>
      </c>
      <c r="GH50" s="469">
        <v>96.1</v>
      </c>
      <c r="GI50" s="272">
        <f>GI37+GI49</f>
        <v>42279</v>
      </c>
    </row>
    <row r="51" spans="2:191" x14ac:dyDescent="0.15">
      <c r="B51" s="89" t="s">
        <v>860</v>
      </c>
      <c r="Y51" s="272"/>
      <c r="AA51" s="272"/>
      <c r="GE51" s="31" t="s">
        <v>647</v>
      </c>
    </row>
    <row r="52" spans="2:191" x14ac:dyDescent="0.15">
      <c r="FP52" s="33"/>
      <c r="FQ52" s="89" t="s">
        <v>816</v>
      </c>
    </row>
    <row r="53" spans="2:191" x14ac:dyDescent="0.15">
      <c r="FJ53" s="394">
        <f>FJ36+FJ40+FJ42+FJ45+FJ48</f>
        <v>21154098</v>
      </c>
    </row>
  </sheetData>
  <phoneticPr fontId="3"/>
  <pageMargins left="0.75" right="0.75" top="1" bottom="1" header="0.51200000000000001" footer="0.51200000000000001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0">
    <tabColor indexed="15"/>
    <pageSetUpPr fitToPage="1"/>
  </sheetPr>
  <dimension ref="A1:HX106"/>
  <sheetViews>
    <sheetView view="pageBreakPreview" zoomScaleNormal="90" zoomScaleSheetLayoutView="100" workbookViewId="0">
      <pane xSplit="2" ySplit="5" topLeftCell="AE6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RowHeight="12" x14ac:dyDescent="0.15"/>
  <cols>
    <col min="1" max="1" width="3.6640625" style="174" customWidth="1"/>
    <col min="2" max="2" width="16.6640625" style="174" customWidth="1"/>
    <col min="3" max="75" width="13.6640625" style="174" customWidth="1"/>
    <col min="76" max="76" width="5.6640625" style="174" customWidth="1"/>
    <col min="77" max="136" width="13.6640625" style="174" customWidth="1"/>
    <col min="137" max="137" width="13.109375" style="174" customWidth="1"/>
    <col min="138" max="142" width="13.6640625" style="174" customWidth="1"/>
    <col min="143" max="143" width="3.6640625" style="174" customWidth="1"/>
    <col min="144" max="166" width="13.6640625" style="174" customWidth="1"/>
    <col min="167" max="167" width="12.33203125" style="174" bestFit="1" customWidth="1"/>
    <col min="168" max="171" width="13.6640625" style="174" customWidth="1"/>
    <col min="172" max="172" width="10.6640625" style="174" customWidth="1"/>
    <col min="173" max="179" width="8.6640625" style="174" customWidth="1"/>
    <col min="180" max="180" width="10.6640625" style="174" customWidth="1"/>
    <col min="181" max="181" width="13.6640625" style="174" customWidth="1"/>
    <col min="182" max="182" width="10.6640625" style="174" customWidth="1"/>
    <col min="183" max="188" width="13.6640625" style="174" customWidth="1"/>
    <col min="189" max="189" width="10.6640625" style="174" customWidth="1"/>
    <col min="190" max="192" width="9.6640625" style="174" customWidth="1"/>
    <col min="193" max="193" width="10.6640625" style="62" customWidth="1"/>
    <col min="194" max="194" width="8.5546875" style="174" customWidth="1"/>
    <col min="195" max="195" width="10.33203125" style="174" customWidth="1"/>
    <col min="196" max="196" width="8.5546875" style="174" customWidth="1"/>
    <col min="197" max="197" width="9.6640625" style="174" customWidth="1"/>
    <col min="198" max="198" width="10.33203125" style="174" customWidth="1"/>
    <col min="199" max="199" width="8.5546875" style="174" customWidth="1"/>
    <col min="200" max="200" width="11.88671875" style="174" bestFit="1" customWidth="1"/>
    <col min="201" max="201" width="10.33203125" style="174" bestFit="1" customWidth="1"/>
    <col min="202" max="202" width="8.5546875" style="174" bestFit="1" customWidth="1"/>
    <col min="203" max="203" width="9.6640625" style="174" bestFit="1" customWidth="1"/>
    <col min="204" max="204" width="10.33203125" style="174" bestFit="1" customWidth="1"/>
    <col min="205" max="232" width="13.6640625" style="174" customWidth="1"/>
  </cols>
  <sheetData>
    <row r="1" spans="2:232" x14ac:dyDescent="0.15">
      <c r="B1" s="98">
        <v>1</v>
      </c>
      <c r="C1" s="98">
        <v>2</v>
      </c>
      <c r="D1" s="98">
        <v>3</v>
      </c>
      <c r="E1" s="98">
        <v>4</v>
      </c>
      <c r="F1" s="98">
        <v>5</v>
      </c>
      <c r="G1" s="98">
        <v>6</v>
      </c>
      <c r="H1" s="98">
        <v>7</v>
      </c>
      <c r="I1" s="98">
        <v>8</v>
      </c>
      <c r="J1" s="98">
        <v>9</v>
      </c>
      <c r="K1" s="98">
        <v>10</v>
      </c>
      <c r="L1" s="98">
        <v>11</v>
      </c>
      <c r="M1" s="98">
        <v>12</v>
      </c>
      <c r="N1" s="98">
        <v>13</v>
      </c>
      <c r="O1" s="98">
        <v>14</v>
      </c>
      <c r="P1" s="98">
        <v>15</v>
      </c>
      <c r="Q1" s="98">
        <v>16</v>
      </c>
      <c r="R1" s="98">
        <v>17</v>
      </c>
      <c r="S1" s="98">
        <v>18</v>
      </c>
      <c r="T1" s="98">
        <v>19</v>
      </c>
      <c r="U1" s="98">
        <v>20</v>
      </c>
      <c r="V1" s="98">
        <v>21</v>
      </c>
      <c r="W1" s="98">
        <v>22</v>
      </c>
      <c r="X1" s="98">
        <v>23</v>
      </c>
      <c r="Y1" s="98">
        <v>24</v>
      </c>
      <c r="Z1" s="98"/>
      <c r="AA1" s="98">
        <v>26</v>
      </c>
      <c r="AB1" s="98">
        <v>27</v>
      </c>
      <c r="AC1" s="98">
        <v>28</v>
      </c>
      <c r="AD1" s="98">
        <v>29</v>
      </c>
      <c r="AE1" s="98">
        <v>30</v>
      </c>
      <c r="AF1" s="98">
        <v>31</v>
      </c>
      <c r="AG1" s="98">
        <v>32</v>
      </c>
      <c r="AH1" s="98">
        <v>33</v>
      </c>
      <c r="AI1" s="98">
        <v>34</v>
      </c>
      <c r="AJ1" s="98">
        <v>35</v>
      </c>
      <c r="AK1" s="98">
        <v>36</v>
      </c>
      <c r="AL1" s="98">
        <v>37</v>
      </c>
      <c r="AM1" s="98">
        <v>38</v>
      </c>
      <c r="AN1" s="98">
        <v>39</v>
      </c>
      <c r="AO1" s="98">
        <v>40</v>
      </c>
      <c r="AP1" s="98">
        <v>41</v>
      </c>
      <c r="AQ1" s="98">
        <v>42</v>
      </c>
      <c r="AR1" s="98">
        <v>43</v>
      </c>
      <c r="AS1" s="98">
        <v>44</v>
      </c>
      <c r="AT1" s="98">
        <v>45</v>
      </c>
      <c r="AU1" s="98">
        <v>46</v>
      </c>
      <c r="AV1" s="98">
        <v>47</v>
      </c>
      <c r="AW1" s="98">
        <v>48</v>
      </c>
      <c r="AX1" s="98">
        <v>49</v>
      </c>
      <c r="AY1" s="98">
        <v>50</v>
      </c>
      <c r="AZ1" s="98">
        <v>51</v>
      </c>
      <c r="BA1" s="98">
        <v>52</v>
      </c>
      <c r="BB1" s="98">
        <v>53</v>
      </c>
      <c r="BC1" s="98">
        <v>54</v>
      </c>
      <c r="BD1" s="98">
        <v>55</v>
      </c>
      <c r="BE1" s="98">
        <v>56</v>
      </c>
      <c r="BF1" s="98">
        <v>57</v>
      </c>
      <c r="BG1" s="98">
        <v>58</v>
      </c>
      <c r="BH1" s="98">
        <v>59</v>
      </c>
      <c r="BI1" s="98">
        <v>60</v>
      </c>
      <c r="BJ1" s="98">
        <v>61</v>
      </c>
      <c r="BK1" s="98">
        <v>62</v>
      </c>
      <c r="BL1" s="98">
        <v>63</v>
      </c>
      <c r="BM1" s="98">
        <v>64</v>
      </c>
      <c r="BN1" s="98">
        <v>65</v>
      </c>
      <c r="BO1" s="98">
        <v>66</v>
      </c>
      <c r="BP1" s="98">
        <v>67</v>
      </c>
      <c r="BQ1" s="98">
        <v>68</v>
      </c>
      <c r="BR1" s="98">
        <v>69</v>
      </c>
      <c r="BS1" s="98">
        <v>70</v>
      </c>
      <c r="BT1" s="98">
        <v>71</v>
      </c>
      <c r="BU1" s="98">
        <v>72</v>
      </c>
      <c r="BV1" s="98">
        <v>73</v>
      </c>
      <c r="BW1" s="98">
        <v>74</v>
      </c>
      <c r="BX1" s="98">
        <v>75</v>
      </c>
      <c r="BY1" s="98">
        <v>76</v>
      </c>
      <c r="BZ1" s="98">
        <v>77</v>
      </c>
      <c r="CA1" s="98">
        <v>78</v>
      </c>
      <c r="CB1" s="98">
        <v>79</v>
      </c>
      <c r="CC1" s="98">
        <v>80</v>
      </c>
      <c r="CD1" s="98">
        <v>81</v>
      </c>
      <c r="CE1" s="98">
        <v>82</v>
      </c>
      <c r="CF1" s="98">
        <v>83</v>
      </c>
      <c r="CG1" s="98">
        <v>84</v>
      </c>
      <c r="CH1" s="98">
        <v>85</v>
      </c>
      <c r="CI1" s="98">
        <v>86</v>
      </c>
      <c r="CJ1" s="98">
        <v>87</v>
      </c>
      <c r="CK1" s="98">
        <v>88</v>
      </c>
      <c r="CL1" s="98">
        <v>89</v>
      </c>
      <c r="CM1" s="98">
        <v>90</v>
      </c>
      <c r="CN1" s="98">
        <v>91</v>
      </c>
      <c r="CO1" s="98">
        <v>92</v>
      </c>
      <c r="CP1" s="98">
        <v>93</v>
      </c>
      <c r="CQ1" s="98">
        <v>94</v>
      </c>
      <c r="CR1" s="98">
        <v>95</v>
      </c>
      <c r="CS1" s="98">
        <v>96</v>
      </c>
      <c r="CT1" s="98">
        <v>97</v>
      </c>
      <c r="CU1" s="98">
        <v>98</v>
      </c>
      <c r="CV1" s="98">
        <v>99</v>
      </c>
      <c r="CW1" s="98">
        <v>100</v>
      </c>
      <c r="CX1" s="98">
        <v>101</v>
      </c>
      <c r="CY1" s="98">
        <v>102</v>
      </c>
      <c r="CZ1" s="98">
        <v>103</v>
      </c>
      <c r="DA1" s="98">
        <v>104</v>
      </c>
      <c r="DB1" s="98">
        <v>105</v>
      </c>
      <c r="DC1" s="98">
        <v>106</v>
      </c>
      <c r="DD1" s="98">
        <v>107</v>
      </c>
      <c r="DE1" s="98">
        <v>108</v>
      </c>
      <c r="DF1" s="98">
        <v>109</v>
      </c>
      <c r="DG1" s="98">
        <v>110</v>
      </c>
      <c r="DH1" s="98">
        <v>111</v>
      </c>
      <c r="DI1" s="98">
        <v>112</v>
      </c>
      <c r="DJ1" s="98">
        <v>113</v>
      </c>
      <c r="DK1" s="98">
        <v>114</v>
      </c>
      <c r="DL1" s="98">
        <v>115</v>
      </c>
      <c r="DM1" s="98">
        <v>116</v>
      </c>
      <c r="DN1" s="98">
        <v>117</v>
      </c>
      <c r="DO1" s="98">
        <v>118</v>
      </c>
      <c r="DP1" s="98">
        <v>119</v>
      </c>
      <c r="DQ1" s="98">
        <v>120</v>
      </c>
      <c r="DR1" s="98">
        <v>121</v>
      </c>
      <c r="DS1" s="98">
        <v>122</v>
      </c>
      <c r="DT1" s="98">
        <v>123</v>
      </c>
      <c r="DU1" s="98">
        <v>124</v>
      </c>
      <c r="DV1" s="98">
        <v>125</v>
      </c>
      <c r="DW1" s="98">
        <v>126</v>
      </c>
      <c r="DX1" s="98">
        <v>127</v>
      </c>
      <c r="DY1" s="98">
        <v>128</v>
      </c>
      <c r="DZ1" s="98">
        <v>129</v>
      </c>
      <c r="EA1" s="98">
        <v>130</v>
      </c>
      <c r="EB1" s="98">
        <v>131</v>
      </c>
      <c r="EC1" s="98">
        <v>132</v>
      </c>
      <c r="ED1" s="98">
        <v>133</v>
      </c>
      <c r="EE1" s="98">
        <v>134</v>
      </c>
      <c r="EF1" s="98">
        <v>135</v>
      </c>
      <c r="EG1" s="98">
        <v>136</v>
      </c>
      <c r="EH1" s="98">
        <v>137</v>
      </c>
      <c r="EI1" s="98">
        <v>138</v>
      </c>
      <c r="EJ1" s="98">
        <v>139</v>
      </c>
      <c r="EK1" s="98">
        <v>140</v>
      </c>
      <c r="EL1" s="98">
        <v>141</v>
      </c>
      <c r="EM1" s="98">
        <v>142</v>
      </c>
      <c r="EN1" s="98">
        <v>143</v>
      </c>
      <c r="EO1" s="98">
        <v>144</v>
      </c>
      <c r="EP1" s="98">
        <v>145</v>
      </c>
      <c r="EQ1" s="98">
        <v>146</v>
      </c>
      <c r="ER1" s="98">
        <v>147</v>
      </c>
      <c r="ES1" s="98">
        <v>148</v>
      </c>
      <c r="ET1" s="98">
        <v>149</v>
      </c>
      <c r="EU1" s="98">
        <v>150</v>
      </c>
      <c r="EV1" s="98">
        <v>151</v>
      </c>
      <c r="EW1" s="98">
        <v>152</v>
      </c>
      <c r="EX1" s="98">
        <v>153</v>
      </c>
      <c r="EY1" s="98">
        <v>154</v>
      </c>
      <c r="EZ1" s="98">
        <v>155</v>
      </c>
      <c r="FA1" s="98">
        <v>156</v>
      </c>
      <c r="FB1" s="98">
        <v>157</v>
      </c>
      <c r="FC1" s="98">
        <v>158</v>
      </c>
      <c r="FD1" s="98">
        <v>159</v>
      </c>
      <c r="FE1" s="98">
        <v>160</v>
      </c>
      <c r="FF1" s="98">
        <v>161</v>
      </c>
      <c r="FG1" s="98">
        <v>162</v>
      </c>
      <c r="FH1" s="98">
        <v>163</v>
      </c>
      <c r="FI1" s="98">
        <v>164</v>
      </c>
      <c r="FJ1" s="98">
        <v>165</v>
      </c>
      <c r="FK1" s="98">
        <v>166</v>
      </c>
      <c r="FL1" s="98">
        <v>167</v>
      </c>
      <c r="FM1" s="98">
        <v>168</v>
      </c>
      <c r="FN1" s="98">
        <v>169</v>
      </c>
      <c r="FO1" s="98">
        <v>170</v>
      </c>
      <c r="FP1" s="98">
        <v>171</v>
      </c>
      <c r="FQ1" s="98">
        <v>172</v>
      </c>
      <c r="FR1" s="98">
        <v>173</v>
      </c>
      <c r="FS1" s="98">
        <v>174</v>
      </c>
      <c r="FT1" s="98">
        <v>175</v>
      </c>
      <c r="FU1" s="98">
        <v>176</v>
      </c>
      <c r="FV1" s="98">
        <v>177</v>
      </c>
      <c r="FW1" s="98">
        <v>178</v>
      </c>
      <c r="FX1" s="98">
        <v>179</v>
      </c>
      <c r="FY1" s="98">
        <v>180</v>
      </c>
      <c r="FZ1" s="98">
        <v>181</v>
      </c>
      <c r="GA1" s="98">
        <v>182</v>
      </c>
      <c r="GB1" s="98">
        <v>183</v>
      </c>
      <c r="GC1" s="98">
        <v>184</v>
      </c>
      <c r="GD1" s="98">
        <v>185</v>
      </c>
      <c r="GE1" s="98">
        <v>186</v>
      </c>
      <c r="GF1" s="98">
        <v>187</v>
      </c>
      <c r="GG1" s="98">
        <v>188</v>
      </c>
      <c r="GH1" s="98">
        <v>189</v>
      </c>
      <c r="GI1" s="98">
        <v>190</v>
      </c>
      <c r="GJ1" s="98">
        <v>191</v>
      </c>
      <c r="GK1" s="98">
        <v>192</v>
      </c>
      <c r="GL1" s="98">
        <v>193</v>
      </c>
      <c r="GM1" s="98">
        <v>194</v>
      </c>
      <c r="GN1" s="98">
        <v>195</v>
      </c>
      <c r="GO1" s="98">
        <v>196</v>
      </c>
      <c r="GP1" s="98">
        <v>197</v>
      </c>
      <c r="GQ1" s="98">
        <v>198</v>
      </c>
      <c r="GR1" s="98">
        <v>199</v>
      </c>
      <c r="GS1" s="98">
        <v>200</v>
      </c>
      <c r="GT1" s="98">
        <v>201</v>
      </c>
      <c r="GU1" s="98">
        <v>202</v>
      </c>
      <c r="GV1" s="98">
        <v>203</v>
      </c>
    </row>
    <row r="2" spans="2:232" x14ac:dyDescent="0.15">
      <c r="C2" s="131" t="s">
        <v>338</v>
      </c>
      <c r="D2" s="94"/>
      <c r="E2" s="131" t="s">
        <v>339</v>
      </c>
      <c r="F2" s="131" t="s">
        <v>340</v>
      </c>
      <c r="G2" s="94"/>
      <c r="H2" s="131" t="s">
        <v>341</v>
      </c>
      <c r="I2" s="131" t="s">
        <v>342</v>
      </c>
      <c r="J2" s="131" t="s">
        <v>343</v>
      </c>
      <c r="K2" s="131" t="s">
        <v>344</v>
      </c>
      <c r="L2" s="131" t="s">
        <v>345</v>
      </c>
      <c r="M2" s="131" t="s">
        <v>346</v>
      </c>
      <c r="N2" s="131" t="s">
        <v>347</v>
      </c>
      <c r="O2" s="131" t="s">
        <v>348</v>
      </c>
      <c r="P2" s="131" t="s">
        <v>349</v>
      </c>
      <c r="Q2" s="131" t="s">
        <v>350</v>
      </c>
      <c r="R2" s="131" t="s">
        <v>351</v>
      </c>
      <c r="S2" s="93" t="s">
        <v>352</v>
      </c>
      <c r="T2" s="95"/>
      <c r="U2" s="150" t="s">
        <v>353</v>
      </c>
      <c r="V2" s="150" t="s">
        <v>354</v>
      </c>
      <c r="W2" s="150" t="s">
        <v>355</v>
      </c>
      <c r="X2" s="150" t="s">
        <v>356</v>
      </c>
      <c r="Y2" s="150" t="s">
        <v>357</v>
      </c>
      <c r="Z2" s="150"/>
      <c r="AA2" s="150" t="s">
        <v>358</v>
      </c>
      <c r="AB2" s="150" t="s">
        <v>359</v>
      </c>
      <c r="AC2" s="150" t="s">
        <v>360</v>
      </c>
      <c r="AD2" s="150" t="s">
        <v>361</v>
      </c>
      <c r="AE2" s="150" t="s">
        <v>362</v>
      </c>
      <c r="AF2" s="150" t="s">
        <v>363</v>
      </c>
      <c r="AG2" s="150" t="s">
        <v>364</v>
      </c>
      <c r="AH2" s="150" t="s">
        <v>365</v>
      </c>
      <c r="AI2" s="150" t="s">
        <v>366</v>
      </c>
      <c r="AJ2" s="105"/>
      <c r="AK2" s="150" t="s">
        <v>367</v>
      </c>
      <c r="AL2" s="150" t="s">
        <v>368</v>
      </c>
      <c r="AM2" s="150" t="s">
        <v>369</v>
      </c>
      <c r="AN2" s="156"/>
      <c r="AO2" s="150" t="s">
        <v>370</v>
      </c>
      <c r="AP2" s="150" t="s">
        <v>371</v>
      </c>
      <c r="AQ2" s="96" t="s">
        <v>352</v>
      </c>
      <c r="AR2" s="150" t="s">
        <v>372</v>
      </c>
      <c r="AS2" s="150" t="s">
        <v>373</v>
      </c>
      <c r="AT2" s="150" t="s">
        <v>374</v>
      </c>
      <c r="AU2" s="148" t="s">
        <v>375</v>
      </c>
      <c r="AV2" s="131" t="s">
        <v>376</v>
      </c>
      <c r="AW2" s="131" t="s">
        <v>377</v>
      </c>
      <c r="AX2" s="131" t="s">
        <v>378</v>
      </c>
      <c r="AY2" s="131" t="s">
        <v>379</v>
      </c>
      <c r="AZ2" s="131" t="s">
        <v>380</v>
      </c>
      <c r="BA2" s="131" t="s">
        <v>381</v>
      </c>
      <c r="BB2" s="131" t="s">
        <v>382</v>
      </c>
      <c r="BC2" s="131" t="s">
        <v>383</v>
      </c>
      <c r="BD2" s="131" t="s">
        <v>384</v>
      </c>
      <c r="BE2" s="131" t="s">
        <v>385</v>
      </c>
      <c r="BF2" s="131" t="s">
        <v>386</v>
      </c>
      <c r="BG2" s="131" t="s">
        <v>387</v>
      </c>
      <c r="BH2" s="131" t="s">
        <v>388</v>
      </c>
      <c r="BI2" s="131" t="s">
        <v>389</v>
      </c>
      <c r="BJ2" s="131" t="s">
        <v>390</v>
      </c>
      <c r="BK2" s="131" t="s">
        <v>391</v>
      </c>
      <c r="BL2" s="131" t="s">
        <v>392</v>
      </c>
      <c r="BM2" s="131" t="s">
        <v>393</v>
      </c>
      <c r="BN2" s="131" t="s">
        <v>394</v>
      </c>
      <c r="BO2" s="131" t="s">
        <v>395</v>
      </c>
      <c r="BP2" s="131" t="s">
        <v>396</v>
      </c>
      <c r="BQ2" s="132"/>
      <c r="BR2" s="132"/>
      <c r="BS2" s="150" t="s">
        <v>397</v>
      </c>
      <c r="BT2" s="150" t="s">
        <v>398</v>
      </c>
      <c r="BU2" s="157" t="s">
        <v>399</v>
      </c>
      <c r="BV2" s="150" t="s">
        <v>400</v>
      </c>
      <c r="BW2" s="131" t="s">
        <v>401</v>
      </c>
      <c r="BX2" s="89"/>
      <c r="BY2" s="131" t="s">
        <v>402</v>
      </c>
      <c r="BZ2" s="131" t="s">
        <v>403</v>
      </c>
      <c r="CA2" s="131" t="s">
        <v>404</v>
      </c>
      <c r="CB2" s="131" t="s">
        <v>405</v>
      </c>
      <c r="CC2" s="131" t="s">
        <v>406</v>
      </c>
      <c r="CD2" s="131" t="s">
        <v>407</v>
      </c>
      <c r="CE2" s="131" t="s">
        <v>408</v>
      </c>
      <c r="CF2" s="131" t="s">
        <v>409</v>
      </c>
      <c r="CG2" s="131" t="s">
        <v>410</v>
      </c>
      <c r="CH2" s="131" t="s">
        <v>411</v>
      </c>
      <c r="CI2" s="131" t="s">
        <v>412</v>
      </c>
      <c r="CJ2" s="131" t="s">
        <v>413</v>
      </c>
      <c r="CK2" s="131" t="s">
        <v>414</v>
      </c>
      <c r="CL2" s="81"/>
      <c r="CM2" s="131" t="s">
        <v>415</v>
      </c>
      <c r="CN2" s="131" t="s">
        <v>416</v>
      </c>
      <c r="CO2" s="96" t="s">
        <v>417</v>
      </c>
      <c r="CP2" s="131" t="s">
        <v>418</v>
      </c>
      <c r="CQ2" s="131" t="s">
        <v>419</v>
      </c>
      <c r="CR2" s="131" t="s">
        <v>420</v>
      </c>
      <c r="CS2" s="131" t="s">
        <v>421</v>
      </c>
      <c r="CT2" s="131" t="s">
        <v>422</v>
      </c>
      <c r="CU2" s="131" t="s">
        <v>423</v>
      </c>
      <c r="CV2" s="28"/>
      <c r="CW2" s="131" t="s">
        <v>424</v>
      </c>
      <c r="CX2" s="131" t="s">
        <v>425</v>
      </c>
      <c r="CY2" s="89"/>
      <c r="CZ2" s="131" t="s">
        <v>426</v>
      </c>
      <c r="DA2" s="131" t="s">
        <v>427</v>
      </c>
      <c r="DB2" s="89"/>
      <c r="DC2" s="131" t="s">
        <v>428</v>
      </c>
      <c r="DD2" s="131" t="s">
        <v>429</v>
      </c>
      <c r="DE2" s="131" t="s">
        <v>430</v>
      </c>
      <c r="DF2" s="131" t="s">
        <v>431</v>
      </c>
      <c r="DG2" s="131" t="s">
        <v>432</v>
      </c>
      <c r="DH2" s="131" t="s">
        <v>433</v>
      </c>
      <c r="DI2" s="131" t="s">
        <v>434</v>
      </c>
      <c r="DJ2" s="131" t="s">
        <v>435</v>
      </c>
      <c r="DK2" s="131" t="s">
        <v>436</v>
      </c>
      <c r="DL2" s="131" t="s">
        <v>437</v>
      </c>
      <c r="DM2" s="131" t="s">
        <v>438</v>
      </c>
      <c r="DN2" s="131" t="s">
        <v>439</v>
      </c>
      <c r="DO2" s="131" t="s">
        <v>440</v>
      </c>
      <c r="DP2" s="131" t="s">
        <v>441</v>
      </c>
      <c r="DQ2" s="131" t="s">
        <v>442</v>
      </c>
      <c r="DR2" s="131" t="s">
        <v>443</v>
      </c>
      <c r="DS2" s="131" t="s">
        <v>444</v>
      </c>
      <c r="DT2" s="131" t="s">
        <v>445</v>
      </c>
      <c r="DU2" s="131" t="s">
        <v>446</v>
      </c>
      <c r="DV2" s="131" t="s">
        <v>447</v>
      </c>
      <c r="DW2" s="131" t="s">
        <v>448</v>
      </c>
      <c r="DX2" s="89"/>
      <c r="DY2" s="131" t="s">
        <v>449</v>
      </c>
      <c r="DZ2" s="133" t="s">
        <v>450</v>
      </c>
      <c r="EA2" s="131" t="s">
        <v>451</v>
      </c>
      <c r="EB2" s="131" t="s">
        <v>452</v>
      </c>
      <c r="EC2" s="96" t="s">
        <v>453</v>
      </c>
      <c r="ED2" s="131" t="s">
        <v>454</v>
      </c>
      <c r="EE2" s="131" t="s">
        <v>455</v>
      </c>
      <c r="EF2" s="131" t="s">
        <v>456</v>
      </c>
      <c r="EG2" s="89"/>
      <c r="EH2" s="131" t="s">
        <v>457</v>
      </c>
      <c r="EI2" s="131" t="s">
        <v>458</v>
      </c>
      <c r="EJ2" s="131" t="s">
        <v>459</v>
      </c>
      <c r="EK2" s="131" t="s">
        <v>460</v>
      </c>
      <c r="EL2" s="131" t="s">
        <v>461</v>
      </c>
      <c r="EM2" s="89"/>
      <c r="EN2" s="133" t="s">
        <v>462</v>
      </c>
      <c r="EO2" s="146" t="s">
        <v>463</v>
      </c>
      <c r="EP2" s="131" t="s">
        <v>464</v>
      </c>
      <c r="EQ2" s="131" t="s">
        <v>465</v>
      </c>
      <c r="ER2" s="89"/>
      <c r="ES2" s="131" t="s">
        <v>466</v>
      </c>
      <c r="ET2" s="131" t="s">
        <v>467</v>
      </c>
      <c r="EU2" s="131" t="s">
        <v>468</v>
      </c>
      <c r="EV2" s="131" t="s">
        <v>469</v>
      </c>
      <c r="EW2" s="131" t="s">
        <v>470</v>
      </c>
      <c r="EX2" s="131" t="s">
        <v>471</v>
      </c>
      <c r="EY2" s="28"/>
      <c r="EZ2" s="131" t="s">
        <v>472</v>
      </c>
      <c r="FA2" s="131" t="s">
        <v>473</v>
      </c>
      <c r="FB2" s="131" t="s">
        <v>474</v>
      </c>
      <c r="FC2" s="131" t="s">
        <v>475</v>
      </c>
      <c r="FD2" s="131" t="s">
        <v>476</v>
      </c>
      <c r="FE2" s="131" t="s">
        <v>477</v>
      </c>
      <c r="FF2" s="131" t="s">
        <v>478</v>
      </c>
      <c r="FG2" s="131" t="s">
        <v>479</v>
      </c>
      <c r="FH2" s="131" t="s">
        <v>480</v>
      </c>
      <c r="FI2" s="89"/>
      <c r="FJ2" s="131" t="s">
        <v>481</v>
      </c>
      <c r="FK2" s="89"/>
      <c r="FL2" s="134" t="s">
        <v>482</v>
      </c>
      <c r="FM2" s="135" t="s">
        <v>483</v>
      </c>
      <c r="FN2" s="135" t="s">
        <v>484</v>
      </c>
      <c r="FO2" s="135" t="s">
        <v>485</v>
      </c>
      <c r="FP2" s="147" t="s">
        <v>486</v>
      </c>
      <c r="FQ2" s="562" t="s">
        <v>487</v>
      </c>
      <c r="FR2" s="561"/>
      <c r="FS2" s="561"/>
      <c r="FT2" s="561"/>
      <c r="FU2" s="561"/>
      <c r="FV2" s="561"/>
      <c r="FW2" s="561"/>
      <c r="FX2" s="135" t="s">
        <v>488</v>
      </c>
      <c r="FY2" s="150" t="s">
        <v>489</v>
      </c>
      <c r="FZ2" s="89"/>
      <c r="GA2" s="131" t="s">
        <v>490</v>
      </c>
      <c r="GB2" s="131" t="s">
        <v>491</v>
      </c>
      <c r="GC2" s="131" t="s">
        <v>492</v>
      </c>
      <c r="GD2" s="131" t="s">
        <v>493</v>
      </c>
      <c r="GE2" s="96" t="s">
        <v>494</v>
      </c>
      <c r="GF2" s="171" t="s">
        <v>495</v>
      </c>
      <c r="GG2" s="89"/>
      <c r="GH2" s="560" t="s">
        <v>496</v>
      </c>
      <c r="GI2" s="561"/>
      <c r="GJ2" s="561"/>
      <c r="GK2" s="134" t="s">
        <v>497</v>
      </c>
      <c r="GL2" s="560" t="s">
        <v>498</v>
      </c>
      <c r="GM2" s="561"/>
      <c r="GN2" s="561"/>
      <c r="GO2" s="561"/>
      <c r="GP2" s="561"/>
      <c r="GQ2" s="561"/>
      <c r="GR2" s="561"/>
      <c r="GS2" s="561"/>
      <c r="GT2" s="561"/>
      <c r="GU2" s="561"/>
      <c r="GV2" s="561"/>
    </row>
    <row r="3" spans="2:232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79"/>
      <c r="V3" s="79"/>
      <c r="W3" s="79"/>
      <c r="X3" s="79"/>
      <c r="Y3" s="79"/>
      <c r="Z3" s="79"/>
      <c r="AA3" s="79"/>
      <c r="AB3" s="79"/>
      <c r="AC3" s="79"/>
      <c r="AD3" s="79" t="s">
        <v>499</v>
      </c>
      <c r="AE3" s="79" t="s">
        <v>160</v>
      </c>
      <c r="AF3" s="79"/>
      <c r="AG3" s="79"/>
      <c r="AH3" s="79" t="s">
        <v>500</v>
      </c>
      <c r="AI3" s="79" t="s">
        <v>164</v>
      </c>
      <c r="AJ3" s="79" t="s">
        <v>165</v>
      </c>
      <c r="AK3" s="79"/>
      <c r="AL3" s="79"/>
      <c r="AM3" s="79" t="s">
        <v>166</v>
      </c>
      <c r="AN3" s="79"/>
      <c r="AO3" s="79"/>
      <c r="AP3" s="79"/>
      <c r="AQ3" s="30"/>
      <c r="AR3" s="79"/>
      <c r="AS3" s="79"/>
      <c r="AT3" s="79"/>
      <c r="AU3" s="149" t="s">
        <v>501</v>
      </c>
      <c r="AV3" s="30" t="s">
        <v>172</v>
      </c>
      <c r="AW3" s="30"/>
      <c r="AX3" s="30"/>
      <c r="AY3" s="30"/>
      <c r="AZ3" s="30"/>
      <c r="BA3" s="30"/>
      <c r="BB3" s="30" t="s">
        <v>176</v>
      </c>
      <c r="BC3" s="30"/>
      <c r="BD3" s="30" t="s">
        <v>502</v>
      </c>
      <c r="BE3" s="30" t="s">
        <v>503</v>
      </c>
      <c r="BF3" s="30"/>
      <c r="BG3" s="30"/>
      <c r="BH3" s="30"/>
      <c r="BI3" s="30"/>
      <c r="BJ3" s="30" t="s">
        <v>504</v>
      </c>
      <c r="BK3" s="30"/>
      <c r="BL3" s="30" t="s">
        <v>505</v>
      </c>
      <c r="BM3" s="30"/>
      <c r="BN3" s="30"/>
      <c r="BO3" s="30"/>
      <c r="BP3" s="30" t="s">
        <v>307</v>
      </c>
      <c r="BQ3" s="30"/>
      <c r="BR3" s="30"/>
      <c r="BS3" s="79"/>
      <c r="BT3" s="79"/>
      <c r="BU3" s="79"/>
      <c r="BV3" s="79"/>
      <c r="BW3" s="30" t="s">
        <v>506</v>
      </c>
      <c r="BX3" s="89"/>
      <c r="BY3" s="30" t="s">
        <v>507</v>
      </c>
      <c r="BZ3" s="30"/>
      <c r="CA3" s="30"/>
      <c r="CB3" s="30"/>
      <c r="CC3" s="30" t="s">
        <v>508</v>
      </c>
      <c r="CD3" s="30"/>
      <c r="CE3" s="30"/>
      <c r="CF3" s="30"/>
      <c r="CG3" s="30"/>
      <c r="CH3" s="30"/>
      <c r="CI3" s="30"/>
      <c r="CJ3" s="30" t="s">
        <v>509</v>
      </c>
      <c r="CK3" s="30"/>
      <c r="CL3" s="82"/>
      <c r="CM3" s="30" t="s">
        <v>510</v>
      </c>
      <c r="CN3" s="30"/>
      <c r="CO3" s="30"/>
      <c r="CP3" s="30"/>
      <c r="CQ3" s="30" t="s">
        <v>214</v>
      </c>
      <c r="CR3" s="30" t="s">
        <v>215</v>
      </c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 t="s">
        <v>222</v>
      </c>
      <c r="DF3" s="30"/>
      <c r="DG3" s="30"/>
      <c r="DH3" s="30"/>
      <c r="DI3" s="30"/>
      <c r="DJ3" s="30" t="s">
        <v>227</v>
      </c>
      <c r="DK3" s="30" t="s">
        <v>311</v>
      </c>
      <c r="DL3" s="30"/>
      <c r="DM3" s="30"/>
      <c r="DN3" s="30"/>
      <c r="DO3" s="30" t="s">
        <v>232</v>
      </c>
      <c r="DP3" s="30"/>
      <c r="DQ3" s="30"/>
      <c r="DR3" s="30"/>
      <c r="DS3" s="30" t="s">
        <v>511</v>
      </c>
      <c r="DT3" s="30"/>
      <c r="DU3" s="30"/>
      <c r="DV3" s="30" t="s">
        <v>512</v>
      </c>
      <c r="DW3" s="30"/>
      <c r="DX3" s="30"/>
      <c r="DY3" s="30"/>
      <c r="DZ3" s="30"/>
      <c r="EA3" s="30"/>
      <c r="EB3" s="30"/>
      <c r="EC3" s="30"/>
      <c r="ED3" s="30"/>
      <c r="EE3" s="30" t="s">
        <v>513</v>
      </c>
      <c r="EF3" s="30" t="s">
        <v>514</v>
      </c>
      <c r="EG3" s="89"/>
      <c r="EH3" s="30" t="s">
        <v>515</v>
      </c>
      <c r="EI3" s="30" t="s">
        <v>516</v>
      </c>
      <c r="EJ3" s="30" t="s">
        <v>517</v>
      </c>
      <c r="EK3" s="30" t="s">
        <v>518</v>
      </c>
      <c r="EL3" s="30" t="s">
        <v>250</v>
      </c>
      <c r="EM3" s="89"/>
      <c r="EN3" s="30" t="s">
        <v>259</v>
      </c>
      <c r="EO3" s="30" t="s">
        <v>519</v>
      </c>
      <c r="EP3" s="30" t="s">
        <v>503</v>
      </c>
      <c r="EQ3" s="30" t="s">
        <v>176</v>
      </c>
      <c r="ER3" s="30" t="s">
        <v>520</v>
      </c>
      <c r="ES3" s="30" t="s">
        <v>506</v>
      </c>
      <c r="ET3" s="30" t="s">
        <v>521</v>
      </c>
      <c r="EU3" s="30" t="s">
        <v>507</v>
      </c>
      <c r="EV3" s="30" t="s">
        <v>522</v>
      </c>
      <c r="EW3" s="30" t="s">
        <v>508</v>
      </c>
      <c r="EX3" s="30" t="s">
        <v>509</v>
      </c>
      <c r="EY3" s="30" t="s">
        <v>279</v>
      </c>
      <c r="EZ3" s="30" t="s">
        <v>304</v>
      </c>
      <c r="FA3" s="30"/>
      <c r="FB3" s="30"/>
      <c r="FC3" s="30" t="s">
        <v>523</v>
      </c>
      <c r="FD3" s="30" t="s">
        <v>524</v>
      </c>
      <c r="FE3" s="30" t="s">
        <v>510</v>
      </c>
      <c r="FF3" s="30" t="s">
        <v>215</v>
      </c>
      <c r="FG3" s="30" t="s">
        <v>525</v>
      </c>
      <c r="FH3" s="30" t="s">
        <v>512</v>
      </c>
      <c r="FI3" s="30" t="s">
        <v>520</v>
      </c>
      <c r="FJ3" s="30" t="s">
        <v>514</v>
      </c>
      <c r="FK3" s="30" t="s">
        <v>517</v>
      </c>
      <c r="FL3" s="30" t="s">
        <v>526</v>
      </c>
      <c r="FM3" s="30" t="s">
        <v>527</v>
      </c>
      <c r="FN3" s="30" t="s">
        <v>290</v>
      </c>
      <c r="FO3" s="30" t="s">
        <v>291</v>
      </c>
      <c r="FP3" s="30" t="s">
        <v>293</v>
      </c>
      <c r="FQ3" s="30" t="s">
        <v>528</v>
      </c>
      <c r="FR3" s="89"/>
      <c r="FS3" s="89"/>
      <c r="FT3" s="89"/>
      <c r="FU3" s="89"/>
      <c r="FV3" s="89"/>
      <c r="FW3" s="89"/>
      <c r="FX3" s="30" t="s">
        <v>529</v>
      </c>
      <c r="FY3" s="79" t="s">
        <v>308</v>
      </c>
      <c r="FZ3" s="30" t="s">
        <v>530</v>
      </c>
      <c r="GA3" s="30" t="s">
        <v>312</v>
      </c>
      <c r="GB3" s="89"/>
      <c r="GC3" s="89"/>
      <c r="GD3" s="89"/>
      <c r="GE3" s="89"/>
      <c r="GF3" s="30" t="s">
        <v>531</v>
      </c>
      <c r="GG3" s="30" t="s">
        <v>530</v>
      </c>
      <c r="GH3" s="30" t="s">
        <v>532</v>
      </c>
      <c r="GI3" s="89"/>
      <c r="GJ3" s="89"/>
      <c r="GK3" s="30" t="s">
        <v>533</v>
      </c>
      <c r="GL3" s="89" t="s">
        <v>534</v>
      </c>
      <c r="GO3" s="89" t="s">
        <v>535</v>
      </c>
      <c r="GR3" s="89" t="s">
        <v>529</v>
      </c>
      <c r="GU3" s="89" t="s">
        <v>536</v>
      </c>
    </row>
    <row r="4" spans="2:232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79" t="s">
        <v>542</v>
      </c>
      <c r="V4" s="79" t="s">
        <v>543</v>
      </c>
      <c r="W4" s="79" t="s">
        <v>544</v>
      </c>
      <c r="X4" s="79" t="s">
        <v>545</v>
      </c>
      <c r="Y4" s="79" t="s">
        <v>546</v>
      </c>
      <c r="Z4" s="79"/>
      <c r="AA4" s="159" t="s">
        <v>547</v>
      </c>
      <c r="AB4" s="79" t="s">
        <v>548</v>
      </c>
      <c r="AC4" s="79" t="s">
        <v>549</v>
      </c>
      <c r="AD4" s="79"/>
      <c r="AE4" s="79"/>
      <c r="AF4" s="79" t="s">
        <v>161</v>
      </c>
      <c r="AG4" s="79" t="s">
        <v>162</v>
      </c>
      <c r="AH4" s="79" t="s">
        <v>550</v>
      </c>
      <c r="AI4" s="79"/>
      <c r="AJ4" s="79"/>
      <c r="AK4" s="79" t="s">
        <v>551</v>
      </c>
      <c r="AL4" s="79" t="s">
        <v>552</v>
      </c>
      <c r="AM4" s="79"/>
      <c r="AN4" s="79" t="s">
        <v>553</v>
      </c>
      <c r="AO4" s="79"/>
      <c r="AP4" s="79"/>
      <c r="AQ4" s="30"/>
      <c r="AR4" s="79" t="s">
        <v>554</v>
      </c>
      <c r="AS4" s="79" t="s">
        <v>222</v>
      </c>
      <c r="AT4" s="79" t="s">
        <v>227</v>
      </c>
      <c r="AU4" s="149" t="s">
        <v>555</v>
      </c>
      <c r="AV4" s="30"/>
      <c r="AW4" s="31" t="s">
        <v>173</v>
      </c>
      <c r="AX4" s="30"/>
      <c r="AY4" s="30"/>
      <c r="AZ4" s="30" t="s">
        <v>175</v>
      </c>
      <c r="BA4" s="30"/>
      <c r="BB4" s="30"/>
      <c r="BC4" s="30" t="s">
        <v>556</v>
      </c>
      <c r="BD4" s="30"/>
      <c r="BE4" s="30"/>
      <c r="BF4" s="30" t="s">
        <v>557</v>
      </c>
      <c r="BG4" s="30" t="s">
        <v>558</v>
      </c>
      <c r="BH4" s="30" t="s">
        <v>559</v>
      </c>
      <c r="BI4" s="30" t="s">
        <v>560</v>
      </c>
      <c r="BJ4" s="30"/>
      <c r="BK4" s="30" t="s">
        <v>561</v>
      </c>
      <c r="BL4" s="30"/>
      <c r="BM4" s="30" t="s">
        <v>562</v>
      </c>
      <c r="BN4" s="30" t="s">
        <v>563</v>
      </c>
      <c r="BO4" s="30" t="s">
        <v>564</v>
      </c>
      <c r="BP4" s="30"/>
      <c r="BQ4" s="30" t="s">
        <v>191</v>
      </c>
      <c r="BR4" s="30" t="s">
        <v>273</v>
      </c>
      <c r="BS4" s="79"/>
      <c r="BT4" s="79" t="s">
        <v>565</v>
      </c>
      <c r="BU4" s="151"/>
      <c r="BV4" s="79" t="s">
        <v>193</v>
      </c>
      <c r="BW4" s="30"/>
      <c r="BX4" s="89"/>
      <c r="BY4" s="30"/>
      <c r="BZ4" s="30" t="s">
        <v>522</v>
      </c>
      <c r="CA4" s="30" t="s">
        <v>566</v>
      </c>
      <c r="CB4" s="30" t="s">
        <v>567</v>
      </c>
      <c r="CC4" s="30"/>
      <c r="CD4" s="30" t="s">
        <v>568</v>
      </c>
      <c r="CE4" s="30" t="s">
        <v>569</v>
      </c>
      <c r="CF4" s="30" t="s">
        <v>570</v>
      </c>
      <c r="CG4" s="30" t="s">
        <v>571</v>
      </c>
      <c r="CH4" s="30" t="s">
        <v>572</v>
      </c>
      <c r="CI4" s="30" t="s">
        <v>573</v>
      </c>
      <c r="CJ4" s="30"/>
      <c r="CK4" s="30" t="s">
        <v>574</v>
      </c>
      <c r="CL4" s="82" t="s">
        <v>575</v>
      </c>
      <c r="CM4" s="30"/>
      <c r="CN4" s="30" t="s">
        <v>576</v>
      </c>
      <c r="CO4" s="30" t="s">
        <v>577</v>
      </c>
      <c r="CP4" s="30" t="s">
        <v>578</v>
      </c>
      <c r="CQ4" s="30"/>
      <c r="CR4" s="30"/>
      <c r="CS4" s="30" t="s">
        <v>579</v>
      </c>
      <c r="CT4" s="30" t="s">
        <v>580</v>
      </c>
      <c r="CU4" s="30"/>
      <c r="CV4" s="30" t="s">
        <v>581</v>
      </c>
      <c r="CW4" s="30"/>
      <c r="CX4" s="30"/>
      <c r="CY4" s="30"/>
      <c r="CZ4" s="30"/>
      <c r="DA4" s="30"/>
      <c r="DB4" s="30"/>
      <c r="DC4" s="30"/>
      <c r="DD4" s="30"/>
      <c r="DE4" s="30"/>
      <c r="DF4" s="30" t="s">
        <v>582</v>
      </c>
      <c r="DG4" s="30" t="s">
        <v>583</v>
      </c>
      <c r="DH4" s="30" t="s">
        <v>584</v>
      </c>
      <c r="DI4" s="30" t="s">
        <v>585</v>
      </c>
      <c r="DJ4" s="30"/>
      <c r="DK4" s="30"/>
      <c r="DL4" s="30" t="s">
        <v>313</v>
      </c>
      <c r="DM4" s="30" t="s">
        <v>558</v>
      </c>
      <c r="DN4" s="30" t="s">
        <v>315</v>
      </c>
      <c r="DO4" s="30"/>
      <c r="DP4" s="30" t="s">
        <v>586</v>
      </c>
      <c r="DQ4" s="30"/>
      <c r="DR4" s="30"/>
      <c r="DS4" s="30"/>
      <c r="DT4" s="30" t="s">
        <v>586</v>
      </c>
      <c r="DU4" s="30"/>
      <c r="DV4" s="30"/>
      <c r="DW4" s="30" t="s">
        <v>587</v>
      </c>
      <c r="DX4" s="30" t="s">
        <v>588</v>
      </c>
      <c r="DY4" s="30"/>
      <c r="DZ4" s="30" t="s">
        <v>589</v>
      </c>
      <c r="EA4" s="30" t="s">
        <v>590</v>
      </c>
      <c r="EB4" s="30" t="s">
        <v>591</v>
      </c>
      <c r="EC4" s="30" t="s">
        <v>592</v>
      </c>
      <c r="ED4" s="30" t="s">
        <v>593</v>
      </c>
      <c r="EE4" s="30"/>
      <c r="EF4" s="30"/>
      <c r="EG4" s="89"/>
      <c r="EH4" s="89"/>
      <c r="EI4" s="89"/>
      <c r="EJ4" s="89"/>
      <c r="EK4" s="89"/>
      <c r="EL4" s="89"/>
      <c r="EM4" s="89"/>
      <c r="EN4" s="29"/>
      <c r="EO4" s="145" t="s">
        <v>594</v>
      </c>
      <c r="EP4" s="30"/>
      <c r="EQ4" s="30"/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595</v>
      </c>
      <c r="EZ4" s="30" t="s">
        <v>595</v>
      </c>
      <c r="FA4" s="30" t="s">
        <v>223</v>
      </c>
      <c r="FB4" s="30" t="s">
        <v>224</v>
      </c>
      <c r="FC4" s="30"/>
      <c r="FD4" s="30"/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595</v>
      </c>
      <c r="FJ4" s="30" t="s">
        <v>595</v>
      </c>
      <c r="FK4" s="30" t="s">
        <v>596</v>
      </c>
      <c r="FL4" s="30" t="s">
        <v>597</v>
      </c>
      <c r="FM4" s="30" t="s">
        <v>598</v>
      </c>
      <c r="FN4" s="30" t="s">
        <v>599</v>
      </c>
      <c r="FO4" s="30" t="s">
        <v>599</v>
      </c>
      <c r="FP4" s="30" t="s">
        <v>600</v>
      </c>
      <c r="FQ4" s="30" t="s">
        <v>596</v>
      </c>
      <c r="FR4" s="30" t="s">
        <v>507</v>
      </c>
      <c r="FS4" s="30" t="s">
        <v>508</v>
      </c>
      <c r="FT4" s="30" t="s">
        <v>509</v>
      </c>
      <c r="FU4" s="30" t="s">
        <v>510</v>
      </c>
      <c r="FV4" s="30" t="s">
        <v>215</v>
      </c>
      <c r="FW4" s="30" t="s">
        <v>512</v>
      </c>
      <c r="FX4" s="30" t="s">
        <v>596</v>
      </c>
      <c r="FY4" s="89"/>
      <c r="FZ4" s="30" t="s">
        <v>601</v>
      </c>
      <c r="GA4" s="89"/>
      <c r="GB4" s="30" t="s">
        <v>313</v>
      </c>
      <c r="GC4" s="30" t="s">
        <v>558</v>
      </c>
      <c r="GD4" s="30" t="s">
        <v>315</v>
      </c>
      <c r="GE4" s="30" t="s">
        <v>602</v>
      </c>
      <c r="GF4" s="30" t="s">
        <v>603</v>
      </c>
      <c r="GG4" s="30" t="s">
        <v>601</v>
      </c>
      <c r="GH4" s="30" t="s">
        <v>604</v>
      </c>
      <c r="GI4" s="30" t="s">
        <v>605</v>
      </c>
      <c r="GJ4" s="30" t="s">
        <v>606</v>
      </c>
      <c r="GK4" s="79" t="s">
        <v>607</v>
      </c>
      <c r="GL4" s="30" t="s">
        <v>608</v>
      </c>
      <c r="GM4" s="89" t="s">
        <v>609</v>
      </c>
      <c r="GN4" s="89" t="s">
        <v>610</v>
      </c>
      <c r="GO4" s="89" t="s">
        <v>608</v>
      </c>
      <c r="GP4" s="89" t="s">
        <v>609</v>
      </c>
      <c r="GQ4" s="89" t="s">
        <v>610</v>
      </c>
      <c r="GR4" s="89" t="s">
        <v>596</v>
      </c>
      <c r="GS4" s="89" t="s">
        <v>609</v>
      </c>
      <c r="GT4" s="89" t="s">
        <v>610</v>
      </c>
      <c r="GU4" s="89" t="s">
        <v>611</v>
      </c>
      <c r="GV4" s="89" t="s">
        <v>609</v>
      </c>
    </row>
    <row r="5" spans="2:232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79"/>
      <c r="V5" s="79"/>
      <c r="W5" s="79"/>
      <c r="X5" s="79"/>
      <c r="Y5" s="79"/>
      <c r="Z5" s="79"/>
      <c r="AA5" s="79"/>
      <c r="AB5" s="79" t="s">
        <v>617</v>
      </c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 t="s">
        <v>571</v>
      </c>
      <c r="AP5" s="79" t="s">
        <v>618</v>
      </c>
      <c r="AQ5" s="30" t="s">
        <v>619</v>
      </c>
      <c r="AR5" s="79" t="s">
        <v>620</v>
      </c>
      <c r="AS5" s="79"/>
      <c r="AT5" s="79"/>
      <c r="AU5" s="149" t="s">
        <v>621</v>
      </c>
      <c r="AV5" s="30"/>
      <c r="AW5" s="30"/>
      <c r="AX5" s="30" t="s">
        <v>622</v>
      </c>
      <c r="AY5" s="30" t="s">
        <v>222</v>
      </c>
      <c r="AZ5" s="30"/>
      <c r="BA5" s="30" t="s">
        <v>222</v>
      </c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79" t="s">
        <v>623</v>
      </c>
      <c r="BT5" s="152" t="s">
        <v>624</v>
      </c>
      <c r="BU5" s="30" t="s">
        <v>625</v>
      </c>
      <c r="BV5" s="79"/>
      <c r="BW5" s="30"/>
      <c r="BX5" s="89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82"/>
      <c r="CM5" s="30"/>
      <c r="CN5" s="30"/>
      <c r="CO5" s="30"/>
      <c r="CP5" s="30"/>
      <c r="CQ5" s="30"/>
      <c r="CR5" s="30"/>
      <c r="CS5" s="30"/>
      <c r="CT5" s="30"/>
      <c r="CU5" s="30" t="s">
        <v>626</v>
      </c>
      <c r="CV5" s="30"/>
      <c r="CW5" s="30" t="s">
        <v>627</v>
      </c>
      <c r="CX5" s="30" t="s">
        <v>628</v>
      </c>
      <c r="CY5" s="30" t="s">
        <v>629</v>
      </c>
      <c r="CZ5" s="30" t="s">
        <v>630</v>
      </c>
      <c r="DA5" s="30" t="s">
        <v>631</v>
      </c>
      <c r="DB5" s="30" t="s">
        <v>587</v>
      </c>
      <c r="DC5" s="30" t="s">
        <v>632</v>
      </c>
      <c r="DD5" s="30" t="s">
        <v>633</v>
      </c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 t="s">
        <v>634</v>
      </c>
      <c r="DR5" s="30" t="s">
        <v>629</v>
      </c>
      <c r="DS5" s="30"/>
      <c r="DT5" s="30"/>
      <c r="DU5" s="30" t="s">
        <v>629</v>
      </c>
      <c r="DV5" s="30"/>
      <c r="DW5" s="30"/>
      <c r="DX5" s="30"/>
      <c r="DY5" s="30" t="s">
        <v>635</v>
      </c>
      <c r="DZ5" s="48"/>
      <c r="EA5" s="30"/>
      <c r="EB5" s="30"/>
      <c r="EC5" s="30" t="s">
        <v>636</v>
      </c>
      <c r="ED5" s="30"/>
      <c r="EE5" s="30"/>
      <c r="EF5" s="30"/>
      <c r="EG5" s="89"/>
      <c r="EH5" s="89"/>
      <c r="EI5" s="89"/>
      <c r="EJ5" s="89"/>
      <c r="EK5" s="89"/>
      <c r="EL5" s="89"/>
      <c r="EM5" s="89"/>
      <c r="EN5" s="89"/>
      <c r="EO5" s="89" t="s">
        <v>637</v>
      </c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30" t="s">
        <v>595</v>
      </c>
      <c r="FB5" s="30" t="s">
        <v>595</v>
      </c>
      <c r="FC5" s="89"/>
      <c r="FD5" s="89"/>
      <c r="FE5" s="89"/>
      <c r="FF5" s="89"/>
      <c r="FG5" s="89"/>
      <c r="FH5" s="89"/>
      <c r="FI5" s="89"/>
      <c r="FJ5" s="89"/>
      <c r="FK5" s="89" t="s">
        <v>638</v>
      </c>
      <c r="FL5" s="89"/>
      <c r="FM5" s="30" t="s">
        <v>639</v>
      </c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30" t="s">
        <v>600</v>
      </c>
      <c r="FY5" s="89"/>
      <c r="FZ5" s="89" t="s">
        <v>638</v>
      </c>
      <c r="GA5" s="89"/>
      <c r="GB5" s="89"/>
      <c r="GC5" s="89"/>
      <c r="GD5" s="89"/>
      <c r="GE5" s="30" t="s">
        <v>640</v>
      </c>
      <c r="GF5" s="89"/>
      <c r="GG5" s="89" t="s">
        <v>641</v>
      </c>
      <c r="GH5" s="70"/>
      <c r="GI5" s="89"/>
      <c r="GJ5" s="89"/>
      <c r="GK5" s="89" t="s">
        <v>642</v>
      </c>
      <c r="GL5" s="89"/>
      <c r="GM5" s="43" t="s">
        <v>643</v>
      </c>
      <c r="GN5" s="30" t="s">
        <v>644</v>
      </c>
      <c r="GO5" s="89"/>
      <c r="GP5" s="43" t="s">
        <v>643</v>
      </c>
      <c r="GQ5" s="30" t="s">
        <v>644</v>
      </c>
      <c r="GR5" s="89"/>
      <c r="GS5" s="43" t="s">
        <v>643</v>
      </c>
      <c r="GT5" s="30" t="s">
        <v>644</v>
      </c>
      <c r="GV5" s="30" t="s">
        <v>643</v>
      </c>
      <c r="GX5" s="89" t="s">
        <v>645</v>
      </c>
    </row>
    <row r="6" spans="2:232" s="89" customFormat="1" x14ac:dyDescent="0.15">
      <c r="B6" s="106" t="s">
        <v>1</v>
      </c>
      <c r="C6" s="141">
        <v>830468466</v>
      </c>
      <c r="D6" s="73">
        <f t="shared" ref="D6:D52" si="0">E6+F6</f>
        <v>230098701</v>
      </c>
      <c r="E6" s="141">
        <v>4234206</v>
      </c>
      <c r="F6" s="141">
        <v>225864495</v>
      </c>
      <c r="G6" s="73">
        <f t="shared" ref="G6:G52" si="1">H6+I6</f>
        <v>135251194</v>
      </c>
      <c r="H6" s="141">
        <v>20495349</v>
      </c>
      <c r="I6" s="141">
        <v>114755845</v>
      </c>
      <c r="J6" s="141">
        <v>333432492</v>
      </c>
      <c r="K6" s="141">
        <v>136431698</v>
      </c>
      <c r="L6" s="141">
        <v>154108428</v>
      </c>
      <c r="M6" s="141">
        <v>42660215</v>
      </c>
      <c r="N6" s="141">
        <v>32149011</v>
      </c>
      <c r="O6" s="141">
        <v>67549642</v>
      </c>
      <c r="P6" s="141">
        <v>33753431</v>
      </c>
      <c r="Q6" s="141">
        <v>33796211</v>
      </c>
      <c r="R6" s="141">
        <v>6071195</v>
      </c>
      <c r="S6" s="74"/>
      <c r="T6" s="73">
        <f t="shared" ref="T6:T38" si="2">SUM(U6:AC6)</f>
        <v>125269223</v>
      </c>
      <c r="U6" s="141">
        <v>491193</v>
      </c>
      <c r="V6" s="141">
        <v>5459882</v>
      </c>
      <c r="W6" s="141">
        <v>7200234</v>
      </c>
      <c r="X6" s="141">
        <v>80438354</v>
      </c>
      <c r="Y6" s="141">
        <v>0</v>
      </c>
      <c r="Z6" s="160"/>
      <c r="AA6" s="141">
        <v>11939807</v>
      </c>
      <c r="AB6" s="141">
        <v>2224436</v>
      </c>
      <c r="AC6" s="141">
        <v>17515317</v>
      </c>
      <c r="AD6" s="141">
        <v>17991322</v>
      </c>
      <c r="AE6" s="141">
        <v>46533790</v>
      </c>
      <c r="AF6" s="141">
        <v>45229729</v>
      </c>
      <c r="AG6" s="141">
        <v>1303966</v>
      </c>
      <c r="AH6" s="141">
        <v>619363</v>
      </c>
      <c r="AI6" s="141">
        <v>4546569</v>
      </c>
      <c r="AJ6" s="73">
        <f t="shared" ref="AJ6:AJ38" si="3">AK6+AL6</f>
        <v>69450972</v>
      </c>
      <c r="AK6" s="141">
        <v>61403092</v>
      </c>
      <c r="AL6" s="141">
        <v>8047880</v>
      </c>
      <c r="AM6" s="141">
        <v>562212087</v>
      </c>
      <c r="AN6" s="73">
        <f t="shared" ref="AN6:AN38" si="4">SUM(AO6:AR6)</f>
        <v>359404886</v>
      </c>
      <c r="AO6" s="141">
        <v>199041176</v>
      </c>
      <c r="AP6" s="141">
        <v>76160771</v>
      </c>
      <c r="AQ6" s="74"/>
      <c r="AR6" s="141">
        <v>84202939</v>
      </c>
      <c r="AS6" s="141">
        <v>27089817</v>
      </c>
      <c r="AT6" s="141">
        <v>0</v>
      </c>
      <c r="AU6" s="141">
        <v>0</v>
      </c>
      <c r="AV6" s="141">
        <v>111880804</v>
      </c>
      <c r="AW6" s="141">
        <v>79047083</v>
      </c>
      <c r="AX6" s="141">
        <v>0</v>
      </c>
      <c r="AY6" s="141">
        <v>1931407</v>
      </c>
      <c r="AZ6" s="141">
        <v>32833721</v>
      </c>
      <c r="BA6" s="141">
        <v>1306841</v>
      </c>
      <c r="BB6" s="141">
        <v>50776267</v>
      </c>
      <c r="BC6" s="141">
        <v>28011420</v>
      </c>
      <c r="BD6" s="141">
        <v>1602766</v>
      </c>
      <c r="BE6" s="141">
        <v>6188824</v>
      </c>
      <c r="BF6" s="141">
        <v>15410</v>
      </c>
      <c r="BG6" s="141">
        <v>0</v>
      </c>
      <c r="BH6" s="141">
        <v>2026312</v>
      </c>
      <c r="BI6" s="141">
        <v>0</v>
      </c>
      <c r="BJ6" s="141">
        <v>23696161</v>
      </c>
      <c r="BK6" s="141">
        <v>16432659</v>
      </c>
      <c r="BL6" s="141">
        <v>101014632</v>
      </c>
      <c r="BM6" s="141">
        <v>17810874</v>
      </c>
      <c r="BN6" s="141">
        <v>272640</v>
      </c>
      <c r="BO6" s="141">
        <v>9628323</v>
      </c>
      <c r="BP6" s="141">
        <v>130231500</v>
      </c>
      <c r="BQ6" s="73">
        <f t="shared" ref="BQ6:BQ52" si="5">BP6-BR6-BV6</f>
        <v>124567500</v>
      </c>
      <c r="BR6" s="73">
        <f t="shared" ref="BR6:BR52" si="6">BS6+BT6+BU6</f>
        <v>5664000</v>
      </c>
      <c r="BS6" s="141">
        <v>0</v>
      </c>
      <c r="BT6" s="140">
        <v>0</v>
      </c>
      <c r="BU6" s="141">
        <v>5664000</v>
      </c>
      <c r="BV6" s="141">
        <v>0</v>
      </c>
      <c r="BW6" s="141">
        <v>2089131638</v>
      </c>
      <c r="BX6" s="71"/>
      <c r="BY6" s="141">
        <v>321996966</v>
      </c>
      <c r="BZ6" s="141">
        <v>233178944</v>
      </c>
      <c r="CA6" s="141">
        <v>19675194</v>
      </c>
      <c r="CB6" s="141">
        <v>20366339</v>
      </c>
      <c r="CC6" s="141">
        <v>743166888</v>
      </c>
      <c r="CD6" s="141">
        <v>230752714</v>
      </c>
      <c r="CE6" s="141">
        <v>2641005</v>
      </c>
      <c r="CF6" s="141">
        <v>211567632</v>
      </c>
      <c r="CG6" s="141">
        <v>266538894</v>
      </c>
      <c r="CH6" s="141">
        <v>15902961</v>
      </c>
      <c r="CI6" s="141">
        <v>15763682</v>
      </c>
      <c r="CJ6" s="141">
        <v>206068171</v>
      </c>
      <c r="CK6" s="141">
        <v>192786891</v>
      </c>
      <c r="CL6" s="83">
        <f t="shared" ref="CL6:CL38" si="7">IF(CK6="","",CJ6-CK6)</f>
        <v>13281280</v>
      </c>
      <c r="CM6" s="141">
        <v>159252911</v>
      </c>
      <c r="CN6" s="141">
        <v>107683966</v>
      </c>
      <c r="CO6" s="102"/>
      <c r="CP6" s="141">
        <v>27641796</v>
      </c>
      <c r="CQ6" s="141">
        <v>29219051</v>
      </c>
      <c r="CR6" s="141">
        <v>182427015</v>
      </c>
      <c r="CS6" s="141">
        <v>11344631</v>
      </c>
      <c r="CT6" s="141">
        <v>107341039</v>
      </c>
      <c r="CU6" s="141">
        <v>96986558</v>
      </c>
      <c r="CV6" s="73">
        <f t="shared" ref="CV6:CV52" si="8">CW6+CX6</f>
        <v>28735611</v>
      </c>
      <c r="CW6" s="141">
        <v>263839</v>
      </c>
      <c r="CX6" s="141">
        <v>28471772</v>
      </c>
      <c r="CY6" s="73">
        <f t="shared" ref="CY6:CY52" si="9">CZ6+DA6</f>
        <v>0</v>
      </c>
      <c r="CZ6" s="141">
        <v>0</v>
      </c>
      <c r="DA6" s="141">
        <v>0</v>
      </c>
      <c r="DB6" s="73">
        <f t="shared" ref="DB6:DB52" si="10">DC6+DD6</f>
        <v>24277040</v>
      </c>
      <c r="DC6" s="141">
        <v>0</v>
      </c>
      <c r="DD6" s="141">
        <v>24277040</v>
      </c>
      <c r="DE6" s="141">
        <v>252321487</v>
      </c>
      <c r="DF6" s="141">
        <v>116333868</v>
      </c>
      <c r="DG6" s="141">
        <v>133831461</v>
      </c>
      <c r="DH6" s="141">
        <v>0</v>
      </c>
      <c r="DI6" s="141">
        <v>258854</v>
      </c>
      <c r="DJ6" s="141">
        <v>0</v>
      </c>
      <c r="DK6" s="141">
        <v>25675750</v>
      </c>
      <c r="DL6" s="141">
        <v>18168410</v>
      </c>
      <c r="DM6" s="141">
        <v>0</v>
      </c>
      <c r="DN6" s="141">
        <v>7507340</v>
      </c>
      <c r="DO6" s="141">
        <v>2248603</v>
      </c>
      <c r="DP6" s="141">
        <v>461903</v>
      </c>
      <c r="DQ6" s="141">
        <v>0</v>
      </c>
      <c r="DR6" s="141">
        <v>0</v>
      </c>
      <c r="DS6" s="141">
        <v>8614528</v>
      </c>
      <c r="DT6" s="141">
        <v>0</v>
      </c>
      <c r="DU6" s="141">
        <v>0</v>
      </c>
      <c r="DV6" s="141">
        <v>133179000</v>
      </c>
      <c r="DW6" s="141">
        <v>0</v>
      </c>
      <c r="DX6" s="73">
        <f t="shared" ref="DX6:DX52" si="11">DY6</f>
        <v>0</v>
      </c>
      <c r="DY6" s="141">
        <v>0</v>
      </c>
      <c r="DZ6" s="141">
        <v>41685664</v>
      </c>
      <c r="EA6" s="141">
        <v>0</v>
      </c>
      <c r="EB6" s="141">
        <v>37280799</v>
      </c>
      <c r="EC6" s="74"/>
      <c r="ED6" s="141">
        <v>52350131</v>
      </c>
      <c r="EE6" s="141">
        <v>0</v>
      </c>
      <c r="EF6" s="141">
        <v>2064170370</v>
      </c>
      <c r="EG6" s="71"/>
      <c r="EH6" s="141">
        <v>24961268</v>
      </c>
      <c r="EI6" s="141">
        <v>4392923</v>
      </c>
      <c r="EJ6" s="141">
        <v>20568345</v>
      </c>
      <c r="EK6" s="141">
        <v>4135686</v>
      </c>
      <c r="EL6" s="141">
        <v>22288686</v>
      </c>
      <c r="EM6" s="71"/>
      <c r="EN6" s="141">
        <v>2752412</v>
      </c>
      <c r="EO6" s="141">
        <v>2778917</v>
      </c>
      <c r="EP6" s="141">
        <v>15410</v>
      </c>
      <c r="EQ6" s="141">
        <v>33952972</v>
      </c>
      <c r="ER6" s="73">
        <f t="shared" ref="ER6:ER52" si="12">ES6-ET6-C6-R6-T6-AD6-AE6-BR6-EP6-EQ6</f>
        <v>110014817</v>
      </c>
      <c r="ES6" s="141">
        <v>1027531056</v>
      </c>
      <c r="ET6" s="141">
        <v>-148450139</v>
      </c>
      <c r="EU6" s="141">
        <v>266444950</v>
      </c>
      <c r="EV6" s="141">
        <v>193467025</v>
      </c>
      <c r="EW6" s="141">
        <v>255208573</v>
      </c>
      <c r="EX6" s="141">
        <v>173898428</v>
      </c>
      <c r="EY6" s="73">
        <f t="shared" ref="EY6:EY52" si="13">EZ6+FC6+FD6</f>
        <v>65415262</v>
      </c>
      <c r="EZ6" s="141">
        <v>65415262</v>
      </c>
      <c r="FA6" s="141">
        <v>4891758</v>
      </c>
      <c r="FB6" s="141">
        <v>60435200</v>
      </c>
      <c r="FC6" s="141">
        <v>0</v>
      </c>
      <c r="FD6" s="141">
        <v>0</v>
      </c>
      <c r="FE6" s="141">
        <v>116983176</v>
      </c>
      <c r="FF6" s="141">
        <v>132625303</v>
      </c>
      <c r="FG6" s="141">
        <v>6158474</v>
      </c>
      <c r="FH6" s="141">
        <v>101944484</v>
      </c>
      <c r="FI6" s="73">
        <f t="shared" ref="FI6:FI52" si="14">FJ6-EU6-EW6-EX6-EY6-FE6-FF6-FH6</f>
        <v>38499751</v>
      </c>
      <c r="FJ6" s="141">
        <v>1151019927</v>
      </c>
      <c r="FK6" s="379">
        <f t="shared" ref="FK6:FK52" si="15">ROUND(EJ6/(FL6+FM6)*100,1)</f>
        <v>2.2999999999999998</v>
      </c>
      <c r="FL6" s="141">
        <v>905545397</v>
      </c>
      <c r="FM6" s="141">
        <v>5664788</v>
      </c>
      <c r="FN6" s="141">
        <v>675932213</v>
      </c>
      <c r="FO6" s="141">
        <v>720848859</v>
      </c>
      <c r="FP6" s="158">
        <v>0.93500000000000005</v>
      </c>
      <c r="FQ6" s="380">
        <v>89.8</v>
      </c>
      <c r="FR6" s="143">
        <v>26.7</v>
      </c>
      <c r="FS6" s="380">
        <v>20.9</v>
      </c>
      <c r="FT6" s="380">
        <v>12.3</v>
      </c>
      <c r="FU6" s="381">
        <v>10.5</v>
      </c>
      <c r="FV6" s="380">
        <v>7.9</v>
      </c>
      <c r="FW6" s="382">
        <v>9.5</v>
      </c>
      <c r="FX6" s="383">
        <v>0.1</v>
      </c>
      <c r="FY6" s="141">
        <v>1464317080</v>
      </c>
      <c r="FZ6" s="384">
        <f t="shared" ref="FZ6:FZ52" si="16">ROUND(FY6/(FL6+FM6)*100,1)</f>
        <v>160.69999999999999</v>
      </c>
      <c r="GA6" s="141">
        <v>356748931</v>
      </c>
      <c r="GB6" s="141">
        <v>286949273</v>
      </c>
      <c r="GC6" s="141">
        <v>0</v>
      </c>
      <c r="GD6" s="141">
        <v>69799658</v>
      </c>
      <c r="GE6" s="107"/>
      <c r="GF6" s="385"/>
      <c r="GG6" s="386"/>
      <c r="GH6" s="380">
        <v>99.6</v>
      </c>
      <c r="GI6" s="380">
        <v>33.200000000000003</v>
      </c>
      <c r="GJ6" s="380">
        <v>98.9</v>
      </c>
      <c r="GK6" s="141">
        <v>33745</v>
      </c>
      <c r="GL6" s="153" t="s">
        <v>646</v>
      </c>
      <c r="GM6" s="143">
        <v>11.25</v>
      </c>
      <c r="GN6" s="117">
        <v>20</v>
      </c>
      <c r="GO6" s="153" t="s">
        <v>646</v>
      </c>
      <c r="GP6" s="143">
        <v>16.25</v>
      </c>
      <c r="GQ6" s="387">
        <v>30</v>
      </c>
      <c r="GR6" s="380">
        <v>0.1</v>
      </c>
      <c r="GS6" s="388">
        <v>25</v>
      </c>
      <c r="GT6" s="388">
        <v>35</v>
      </c>
      <c r="GU6" s="153" t="s">
        <v>646</v>
      </c>
      <c r="GV6" s="389">
        <v>400</v>
      </c>
      <c r="GX6" s="100">
        <f t="shared" ref="GX6:GX52" si="17">ROUND((FL6+FM6)/1000,0)</f>
        <v>911210</v>
      </c>
    </row>
    <row r="7" spans="2:232" s="89" customFormat="1" x14ac:dyDescent="0.15">
      <c r="B7" s="106" t="s">
        <v>3</v>
      </c>
      <c r="C7" s="141">
        <v>156531305</v>
      </c>
      <c r="D7" s="73">
        <f t="shared" si="0"/>
        <v>59982943</v>
      </c>
      <c r="E7" s="141">
        <v>1183401</v>
      </c>
      <c r="F7" s="141">
        <v>58799542</v>
      </c>
      <c r="G7" s="73">
        <f t="shared" si="1"/>
        <v>10603206</v>
      </c>
      <c r="H7" s="141">
        <v>2499312</v>
      </c>
      <c r="I7" s="141">
        <v>8103894</v>
      </c>
      <c r="J7" s="141">
        <v>61820693</v>
      </c>
      <c r="K7" s="141">
        <v>23992837</v>
      </c>
      <c r="L7" s="141">
        <v>25452732</v>
      </c>
      <c r="M7" s="141">
        <v>11485375</v>
      </c>
      <c r="N7" s="141">
        <v>6093232</v>
      </c>
      <c r="O7" s="141">
        <v>11461952</v>
      </c>
      <c r="P7" s="141">
        <v>6196611</v>
      </c>
      <c r="Q7" s="141">
        <v>5265341</v>
      </c>
      <c r="R7" s="141">
        <v>2049363</v>
      </c>
      <c r="S7" s="74"/>
      <c r="T7" s="73">
        <f t="shared" si="2"/>
        <v>33020477</v>
      </c>
      <c r="U7" s="141">
        <v>133076</v>
      </c>
      <c r="V7" s="141">
        <v>1474872</v>
      </c>
      <c r="W7" s="141">
        <v>1939529</v>
      </c>
      <c r="X7" s="141">
        <v>20059169</v>
      </c>
      <c r="Y7" s="141">
        <v>136108</v>
      </c>
      <c r="Z7" s="160"/>
      <c r="AA7" s="141">
        <v>6076891</v>
      </c>
      <c r="AB7" s="141">
        <v>714942</v>
      </c>
      <c r="AC7" s="141">
        <v>2485890</v>
      </c>
      <c r="AD7" s="141">
        <v>5682775</v>
      </c>
      <c r="AE7" s="141">
        <v>56599719</v>
      </c>
      <c r="AF7" s="141">
        <v>55608205</v>
      </c>
      <c r="AG7" s="141">
        <v>991480</v>
      </c>
      <c r="AH7" s="141">
        <v>215741</v>
      </c>
      <c r="AI7" s="141">
        <v>3633842</v>
      </c>
      <c r="AJ7" s="73">
        <f t="shared" si="3"/>
        <v>5426080</v>
      </c>
      <c r="AK7" s="141">
        <v>3632836</v>
      </c>
      <c r="AL7" s="141">
        <v>1793244</v>
      </c>
      <c r="AM7" s="141">
        <v>127957687</v>
      </c>
      <c r="AN7" s="73">
        <f t="shared" si="4"/>
        <v>74256766</v>
      </c>
      <c r="AO7" s="141">
        <v>35393159</v>
      </c>
      <c r="AP7" s="141">
        <v>19710217</v>
      </c>
      <c r="AQ7" s="74"/>
      <c r="AR7" s="141">
        <v>19153390</v>
      </c>
      <c r="AS7" s="141">
        <v>6640522</v>
      </c>
      <c r="AT7" s="141">
        <v>0</v>
      </c>
      <c r="AU7" s="141">
        <v>9776</v>
      </c>
      <c r="AV7" s="141">
        <v>30311018</v>
      </c>
      <c r="AW7" s="141">
        <v>21623880</v>
      </c>
      <c r="AX7" s="141">
        <v>6506805</v>
      </c>
      <c r="AY7" s="141">
        <v>9696</v>
      </c>
      <c r="AZ7" s="141">
        <v>8687138</v>
      </c>
      <c r="BA7" s="141">
        <v>0</v>
      </c>
      <c r="BB7" s="141">
        <v>5232405</v>
      </c>
      <c r="BC7" s="141">
        <v>4446051</v>
      </c>
      <c r="BD7" s="141">
        <v>1649625</v>
      </c>
      <c r="BE7" s="141">
        <v>7429947</v>
      </c>
      <c r="BF7" s="141">
        <v>28990</v>
      </c>
      <c r="BG7" s="141">
        <v>628803</v>
      </c>
      <c r="BH7" s="141">
        <v>6494610</v>
      </c>
      <c r="BI7" s="141">
        <v>0</v>
      </c>
      <c r="BJ7" s="141">
        <v>8335621</v>
      </c>
      <c r="BK7" s="141">
        <v>7360385</v>
      </c>
      <c r="BL7" s="141">
        <v>6911568</v>
      </c>
      <c r="BM7" s="141">
        <v>1087174</v>
      </c>
      <c r="BN7" s="141">
        <v>110824</v>
      </c>
      <c r="BO7" s="141">
        <v>2007143</v>
      </c>
      <c r="BP7" s="141">
        <v>28854300</v>
      </c>
      <c r="BQ7" s="73">
        <f t="shared" si="5"/>
        <v>23702600</v>
      </c>
      <c r="BR7" s="73">
        <f t="shared" si="6"/>
        <v>5151700</v>
      </c>
      <c r="BS7" s="141">
        <v>0</v>
      </c>
      <c r="BT7" s="140">
        <v>0</v>
      </c>
      <c r="BU7" s="141">
        <v>5151700</v>
      </c>
      <c r="BV7" s="141">
        <v>0</v>
      </c>
      <c r="BW7" s="141">
        <v>480020385</v>
      </c>
      <c r="BX7" s="71"/>
      <c r="BY7" s="141">
        <v>93804148</v>
      </c>
      <c r="BZ7" s="141">
        <v>67061490</v>
      </c>
      <c r="CA7" s="141">
        <v>4109546</v>
      </c>
      <c r="CB7" s="141">
        <v>7366186</v>
      </c>
      <c r="CC7" s="141">
        <v>167750788</v>
      </c>
      <c r="CD7" s="141">
        <v>53981104</v>
      </c>
      <c r="CE7" s="141">
        <v>515876</v>
      </c>
      <c r="CF7" s="141">
        <v>60233739</v>
      </c>
      <c r="CG7" s="141">
        <v>46867921</v>
      </c>
      <c r="CH7" s="141">
        <v>4520179</v>
      </c>
      <c r="CI7" s="141">
        <v>1631828</v>
      </c>
      <c r="CJ7" s="141">
        <v>37978716</v>
      </c>
      <c r="CK7" s="141">
        <v>34538323</v>
      </c>
      <c r="CL7" s="83">
        <f t="shared" si="7"/>
        <v>3440393</v>
      </c>
      <c r="CM7" s="141">
        <v>53528493</v>
      </c>
      <c r="CN7" s="141">
        <v>37403474</v>
      </c>
      <c r="CO7" s="102"/>
      <c r="CP7" s="141">
        <v>7498748</v>
      </c>
      <c r="CQ7" s="141">
        <v>5846827</v>
      </c>
      <c r="CR7" s="141">
        <v>23091846</v>
      </c>
      <c r="CS7" s="141">
        <v>21394</v>
      </c>
      <c r="CT7" s="141">
        <v>8192654</v>
      </c>
      <c r="CU7" s="141">
        <v>4436697</v>
      </c>
      <c r="CV7" s="73">
        <f t="shared" si="8"/>
        <v>7369354</v>
      </c>
      <c r="CW7" s="141">
        <v>6684582</v>
      </c>
      <c r="CX7" s="141">
        <v>684772</v>
      </c>
      <c r="CY7" s="73">
        <f t="shared" si="9"/>
        <v>0</v>
      </c>
      <c r="CZ7" s="141">
        <v>0</v>
      </c>
      <c r="DA7" s="141">
        <v>0</v>
      </c>
      <c r="DB7" s="73">
        <f t="shared" si="10"/>
        <v>7269346</v>
      </c>
      <c r="DC7" s="141">
        <v>6600919</v>
      </c>
      <c r="DD7" s="141">
        <v>668427</v>
      </c>
      <c r="DE7" s="141">
        <v>40591399</v>
      </c>
      <c r="DF7" s="141">
        <v>16375380</v>
      </c>
      <c r="DG7" s="141">
        <v>23627537</v>
      </c>
      <c r="DH7" s="141">
        <v>0</v>
      </c>
      <c r="DI7" s="141">
        <v>85815</v>
      </c>
      <c r="DJ7" s="141">
        <v>30083</v>
      </c>
      <c r="DK7" s="141">
        <v>8400252</v>
      </c>
      <c r="DL7" s="141">
        <v>3655405</v>
      </c>
      <c r="DM7" s="141">
        <v>1627590</v>
      </c>
      <c r="DN7" s="141">
        <v>3117256</v>
      </c>
      <c r="DO7" s="141">
        <v>15300</v>
      </c>
      <c r="DP7" s="141">
        <v>8300</v>
      </c>
      <c r="DQ7" s="141">
        <v>8300</v>
      </c>
      <c r="DR7" s="141">
        <v>0</v>
      </c>
      <c r="DS7" s="141">
        <v>2299160</v>
      </c>
      <c r="DT7" s="141">
        <v>1500000</v>
      </c>
      <c r="DU7" s="141">
        <v>0</v>
      </c>
      <c r="DV7" s="141">
        <v>38855835</v>
      </c>
      <c r="DW7" s="141">
        <v>0</v>
      </c>
      <c r="DX7" s="73">
        <f t="shared" si="11"/>
        <v>0</v>
      </c>
      <c r="DY7" s="141">
        <v>0</v>
      </c>
      <c r="DZ7" s="141">
        <v>14754866</v>
      </c>
      <c r="EA7" s="141">
        <v>0</v>
      </c>
      <c r="EB7" s="141">
        <v>9986301</v>
      </c>
      <c r="EC7" s="74"/>
      <c r="ED7" s="141">
        <v>14104341</v>
      </c>
      <c r="EE7" s="141">
        <v>0</v>
      </c>
      <c r="EF7" s="141">
        <v>472192847</v>
      </c>
      <c r="EG7" s="71"/>
      <c r="EH7" s="141">
        <v>7827538</v>
      </c>
      <c r="EI7" s="141">
        <v>531859</v>
      </c>
      <c r="EJ7" s="141">
        <v>7295679</v>
      </c>
      <c r="EK7" s="141">
        <v>-64707</v>
      </c>
      <c r="EL7" s="141">
        <v>3561708</v>
      </c>
      <c r="EM7" s="71"/>
      <c r="EN7" s="141">
        <v>826161</v>
      </c>
      <c r="EO7" s="141">
        <v>811993</v>
      </c>
      <c r="EP7" s="141">
        <v>3998928</v>
      </c>
      <c r="EQ7" s="141">
        <v>509737</v>
      </c>
      <c r="ER7" s="73">
        <f t="shared" si="12"/>
        <v>28185462</v>
      </c>
      <c r="ES7" s="141">
        <v>254278292</v>
      </c>
      <c r="ET7" s="141">
        <v>-37451174</v>
      </c>
      <c r="EU7" s="141">
        <v>78779546</v>
      </c>
      <c r="EV7" s="141">
        <v>52882437</v>
      </c>
      <c r="EW7" s="141">
        <v>57738901</v>
      </c>
      <c r="EX7" s="141">
        <v>37687507</v>
      </c>
      <c r="EY7" s="73">
        <f t="shared" si="13"/>
        <v>5781256</v>
      </c>
      <c r="EZ7" s="141">
        <v>5766117</v>
      </c>
      <c r="FA7" s="141">
        <v>1436020</v>
      </c>
      <c r="FB7" s="141">
        <v>4322930</v>
      </c>
      <c r="FC7" s="141">
        <v>15139</v>
      </c>
      <c r="FD7" s="141">
        <v>0</v>
      </c>
      <c r="FE7" s="141">
        <v>40931393</v>
      </c>
      <c r="FF7" s="141">
        <v>20655171</v>
      </c>
      <c r="FG7" s="141">
        <v>21394</v>
      </c>
      <c r="FH7" s="141">
        <v>30699589</v>
      </c>
      <c r="FI7" s="73">
        <f t="shared" si="14"/>
        <v>11648991</v>
      </c>
      <c r="FJ7" s="141">
        <v>283922354</v>
      </c>
      <c r="FK7" s="379">
        <f t="shared" si="15"/>
        <v>3</v>
      </c>
      <c r="FL7" s="141">
        <v>236137129</v>
      </c>
      <c r="FM7" s="141">
        <v>5151786</v>
      </c>
      <c r="FN7" s="141">
        <v>144113547</v>
      </c>
      <c r="FO7" s="141">
        <v>199636902</v>
      </c>
      <c r="FP7" s="143">
        <v>0.747</v>
      </c>
      <c r="FQ7" s="380">
        <v>100</v>
      </c>
      <c r="FR7" s="143">
        <v>31.6</v>
      </c>
      <c r="FS7" s="380">
        <v>18.600000000000001</v>
      </c>
      <c r="FT7" s="380">
        <v>15.1</v>
      </c>
      <c r="FU7" s="381">
        <v>15.1</v>
      </c>
      <c r="FV7" s="380">
        <v>6.5</v>
      </c>
      <c r="FW7" s="382">
        <v>11.5</v>
      </c>
      <c r="FX7" s="383">
        <v>5</v>
      </c>
      <c r="FY7" s="141">
        <v>454765521</v>
      </c>
      <c r="FZ7" s="384">
        <f t="shared" si="16"/>
        <v>188.5</v>
      </c>
      <c r="GA7" s="141">
        <v>67304627</v>
      </c>
      <c r="GB7" s="141">
        <v>27316955</v>
      </c>
      <c r="GC7" s="141">
        <v>2858322</v>
      </c>
      <c r="GD7" s="141">
        <v>37129350</v>
      </c>
      <c r="GE7" s="107"/>
      <c r="GF7" s="385"/>
      <c r="GG7" s="386"/>
      <c r="GH7" s="380">
        <v>99.4</v>
      </c>
      <c r="GI7" s="380">
        <v>46.5</v>
      </c>
      <c r="GJ7" s="380">
        <v>98.8</v>
      </c>
      <c r="GK7" s="141">
        <v>9896</v>
      </c>
      <c r="GL7" s="153" t="s">
        <v>646</v>
      </c>
      <c r="GM7" s="143">
        <v>11.25</v>
      </c>
      <c r="GN7" s="117">
        <v>20</v>
      </c>
      <c r="GO7" s="153" t="s">
        <v>646</v>
      </c>
      <c r="GP7" s="143">
        <v>16.25</v>
      </c>
      <c r="GQ7" s="387">
        <v>30</v>
      </c>
      <c r="GR7" s="380">
        <v>5</v>
      </c>
      <c r="GS7" s="388">
        <v>25</v>
      </c>
      <c r="GT7" s="388">
        <v>35</v>
      </c>
      <c r="GU7" s="153" t="s">
        <v>646</v>
      </c>
      <c r="GV7" s="389">
        <v>400</v>
      </c>
      <c r="GX7" s="100">
        <f t="shared" si="17"/>
        <v>241289</v>
      </c>
    </row>
    <row r="8" spans="2:232" x14ac:dyDescent="0.15">
      <c r="B8" s="89" t="s">
        <v>5</v>
      </c>
      <c r="C8" s="141">
        <v>25180977</v>
      </c>
      <c r="D8" s="73">
        <f t="shared" si="0"/>
        <v>8913979</v>
      </c>
      <c r="E8" s="141">
        <v>270769</v>
      </c>
      <c r="F8" s="141">
        <v>8643210</v>
      </c>
      <c r="G8" s="73">
        <f t="shared" si="1"/>
        <v>1557541</v>
      </c>
      <c r="H8" s="141">
        <v>479212</v>
      </c>
      <c r="I8" s="141">
        <v>1078329</v>
      </c>
      <c r="J8" s="141">
        <v>10572371</v>
      </c>
      <c r="K8" s="141">
        <v>4097984</v>
      </c>
      <c r="L8" s="141">
        <v>4641572</v>
      </c>
      <c r="M8" s="141">
        <v>1530968</v>
      </c>
      <c r="N8" s="141">
        <v>1563222</v>
      </c>
      <c r="O8" s="141">
        <v>2058308</v>
      </c>
      <c r="P8" s="141">
        <v>1095046</v>
      </c>
      <c r="Q8" s="141">
        <v>963262</v>
      </c>
      <c r="R8" s="141">
        <v>376964</v>
      </c>
      <c r="S8" s="74"/>
      <c r="T8" s="73">
        <f t="shared" si="2"/>
        <v>5964030</v>
      </c>
      <c r="U8" s="141">
        <v>26835</v>
      </c>
      <c r="V8" s="141">
        <v>297371</v>
      </c>
      <c r="W8" s="141">
        <v>390989</v>
      </c>
      <c r="X8" s="141">
        <v>4572018</v>
      </c>
      <c r="Y8" s="141">
        <v>40556</v>
      </c>
      <c r="Z8" s="160"/>
      <c r="AA8" s="141">
        <v>0</v>
      </c>
      <c r="AB8" s="141">
        <v>101350</v>
      </c>
      <c r="AC8" s="141">
        <v>534911</v>
      </c>
      <c r="AD8" s="141">
        <v>1014183</v>
      </c>
      <c r="AE8" s="141">
        <v>16219029</v>
      </c>
      <c r="AF8" s="141">
        <v>15868473</v>
      </c>
      <c r="AG8" s="141">
        <v>350556</v>
      </c>
      <c r="AH8" s="141">
        <v>21226</v>
      </c>
      <c r="AI8" s="141">
        <v>353033</v>
      </c>
      <c r="AJ8" s="73">
        <f t="shared" si="3"/>
        <v>1521677</v>
      </c>
      <c r="AK8" s="141">
        <v>1174771</v>
      </c>
      <c r="AL8" s="141">
        <v>346906</v>
      </c>
      <c r="AM8" s="141">
        <v>22601363</v>
      </c>
      <c r="AN8" s="73">
        <f t="shared" si="4"/>
        <v>14194812</v>
      </c>
      <c r="AO8" s="141">
        <v>7894952</v>
      </c>
      <c r="AP8" s="141">
        <v>2775525</v>
      </c>
      <c r="AQ8" s="74"/>
      <c r="AR8" s="141">
        <v>3524335</v>
      </c>
      <c r="AS8" s="141">
        <v>302531</v>
      </c>
      <c r="AT8" s="141">
        <v>0</v>
      </c>
      <c r="AU8" s="141">
        <v>0</v>
      </c>
      <c r="AV8" s="141">
        <v>6949470</v>
      </c>
      <c r="AW8" s="141">
        <v>4546078</v>
      </c>
      <c r="AX8" s="141">
        <v>1444178</v>
      </c>
      <c r="AY8" s="141">
        <v>54110</v>
      </c>
      <c r="AZ8" s="141">
        <v>2403392</v>
      </c>
      <c r="BA8" s="141">
        <v>6908</v>
      </c>
      <c r="BB8" s="141">
        <v>268100</v>
      </c>
      <c r="BC8" s="141">
        <v>48118</v>
      </c>
      <c r="BD8" s="141">
        <v>359331</v>
      </c>
      <c r="BE8" s="141">
        <v>766083</v>
      </c>
      <c r="BF8" s="141">
        <v>0</v>
      </c>
      <c r="BG8" s="141">
        <v>0</v>
      </c>
      <c r="BH8" s="141">
        <v>363070</v>
      </c>
      <c r="BI8" s="141">
        <v>0</v>
      </c>
      <c r="BJ8" s="141">
        <v>1139274</v>
      </c>
      <c r="BK8" s="141">
        <v>620472</v>
      </c>
      <c r="BL8" s="141">
        <v>2163311</v>
      </c>
      <c r="BM8" s="141">
        <v>0</v>
      </c>
      <c r="BN8" s="141">
        <v>0</v>
      </c>
      <c r="BO8" s="141">
        <v>631000</v>
      </c>
      <c r="BP8" s="141">
        <v>3987500</v>
      </c>
      <c r="BQ8" s="73">
        <f t="shared" si="5"/>
        <v>3520400</v>
      </c>
      <c r="BR8" s="73">
        <f t="shared" si="6"/>
        <v>467100</v>
      </c>
      <c r="BS8" s="141">
        <v>0</v>
      </c>
      <c r="BT8" s="141">
        <v>0</v>
      </c>
      <c r="BU8" s="141">
        <v>467100</v>
      </c>
      <c r="BV8" s="141">
        <v>0</v>
      </c>
      <c r="BW8" s="141">
        <v>88885551</v>
      </c>
      <c r="BX8" s="71"/>
      <c r="BY8" s="141">
        <v>14353976</v>
      </c>
      <c r="BZ8" s="141">
        <v>8660398</v>
      </c>
      <c r="CA8" s="141">
        <v>1030327</v>
      </c>
      <c r="CB8" s="141">
        <v>2281139</v>
      </c>
      <c r="CC8" s="141">
        <v>34089015</v>
      </c>
      <c r="CD8" s="141">
        <v>10946877</v>
      </c>
      <c r="CE8" s="141">
        <v>15229</v>
      </c>
      <c r="CF8" s="141">
        <v>11377727</v>
      </c>
      <c r="CG8" s="141">
        <v>10239599</v>
      </c>
      <c r="CH8" s="141">
        <v>18413</v>
      </c>
      <c r="CI8" s="141">
        <v>1490085</v>
      </c>
      <c r="CJ8" s="141">
        <v>5503602</v>
      </c>
      <c r="CK8" s="141">
        <v>5298711</v>
      </c>
      <c r="CL8" s="83">
        <f t="shared" si="7"/>
        <v>204891</v>
      </c>
      <c r="CM8" s="141">
        <v>9911431</v>
      </c>
      <c r="CN8" s="141">
        <v>6126919</v>
      </c>
      <c r="CO8" s="102"/>
      <c r="CP8" s="141">
        <v>2064861</v>
      </c>
      <c r="CQ8" s="141">
        <v>611242</v>
      </c>
      <c r="CR8" s="141">
        <v>7334226</v>
      </c>
      <c r="CS8" s="141">
        <v>1169546</v>
      </c>
      <c r="CT8" s="141">
        <v>1218184</v>
      </c>
      <c r="CU8" s="141">
        <v>998404</v>
      </c>
      <c r="CV8" s="73">
        <f t="shared" si="8"/>
        <v>3584728</v>
      </c>
      <c r="CW8" s="141">
        <v>2003599</v>
      </c>
      <c r="CX8" s="141">
        <v>1581129</v>
      </c>
      <c r="CY8" s="73">
        <f t="shared" si="9"/>
        <v>1102668</v>
      </c>
      <c r="CZ8" s="141">
        <v>882055</v>
      </c>
      <c r="DA8" s="141">
        <v>220613</v>
      </c>
      <c r="DB8" s="73">
        <f t="shared" si="10"/>
        <v>2151945</v>
      </c>
      <c r="DC8" s="141">
        <v>1095200</v>
      </c>
      <c r="DD8" s="141">
        <v>1056745</v>
      </c>
      <c r="DE8" s="141">
        <v>5614142</v>
      </c>
      <c r="DF8" s="141">
        <v>1511931</v>
      </c>
      <c r="DG8" s="141">
        <v>4058859</v>
      </c>
      <c r="DH8" s="141">
        <v>43352</v>
      </c>
      <c r="DI8" s="141">
        <v>0</v>
      </c>
      <c r="DJ8" s="141">
        <v>0</v>
      </c>
      <c r="DK8" s="141">
        <v>1293967</v>
      </c>
      <c r="DL8" s="141">
        <v>60950</v>
      </c>
      <c r="DM8" s="141">
        <v>290439</v>
      </c>
      <c r="DN8" s="141">
        <v>942578</v>
      </c>
      <c r="DO8" s="141">
        <v>366371</v>
      </c>
      <c r="DP8" s="141">
        <v>366371</v>
      </c>
      <c r="DQ8" s="141">
        <v>29700</v>
      </c>
      <c r="DR8" s="141">
        <v>300000</v>
      </c>
      <c r="DS8" s="141">
        <v>0</v>
      </c>
      <c r="DT8" s="141">
        <v>0</v>
      </c>
      <c r="DU8" s="141">
        <v>0</v>
      </c>
      <c r="DV8" s="141">
        <v>8746632</v>
      </c>
      <c r="DW8" s="141">
        <v>0</v>
      </c>
      <c r="DX8" s="73">
        <f t="shared" si="11"/>
        <v>0</v>
      </c>
      <c r="DY8" s="141">
        <v>0</v>
      </c>
      <c r="DZ8" s="141">
        <v>3523374</v>
      </c>
      <c r="EA8" s="141">
        <v>0</v>
      </c>
      <c r="EB8" s="141">
        <v>2253745</v>
      </c>
      <c r="EC8" s="74"/>
      <c r="ED8" s="141">
        <v>2969513</v>
      </c>
      <c r="EE8" s="141">
        <v>0</v>
      </c>
      <c r="EF8" s="141">
        <v>87824604</v>
      </c>
      <c r="EG8" s="71"/>
      <c r="EH8" s="141">
        <v>1060947</v>
      </c>
      <c r="EI8" s="141">
        <v>272638</v>
      </c>
      <c r="EJ8" s="141">
        <v>788309</v>
      </c>
      <c r="EK8" s="141">
        <v>-532163</v>
      </c>
      <c r="EL8" s="141">
        <v>-471213</v>
      </c>
      <c r="EM8" s="71"/>
      <c r="EN8" s="141">
        <v>190658</v>
      </c>
      <c r="EO8" s="141">
        <v>186596</v>
      </c>
      <c r="EP8" s="141">
        <v>302908</v>
      </c>
      <c r="EQ8" s="141">
        <v>255737</v>
      </c>
      <c r="ER8" s="73">
        <f t="shared" si="12"/>
        <v>5377579</v>
      </c>
      <c r="ES8" s="141">
        <v>48776409</v>
      </c>
      <c r="ET8" s="141">
        <v>-6382098</v>
      </c>
      <c r="EU8" s="141">
        <v>13177760</v>
      </c>
      <c r="EV8" s="141">
        <v>7898597</v>
      </c>
      <c r="EW8" s="141">
        <v>11553712</v>
      </c>
      <c r="EX8" s="141">
        <v>5489260</v>
      </c>
      <c r="EY8" s="73">
        <f t="shared" si="13"/>
        <v>1015263</v>
      </c>
      <c r="EZ8" s="141">
        <v>1015263</v>
      </c>
      <c r="FA8" s="141">
        <v>97683</v>
      </c>
      <c r="FB8" s="141">
        <v>907379</v>
      </c>
      <c r="FC8" s="141">
        <v>0</v>
      </c>
      <c r="FD8" s="141">
        <v>0</v>
      </c>
      <c r="FE8" s="141">
        <v>7602482</v>
      </c>
      <c r="FF8" s="141">
        <v>6756406</v>
      </c>
      <c r="FG8" s="141">
        <v>1169546</v>
      </c>
      <c r="FH8" s="141">
        <v>6817512</v>
      </c>
      <c r="FI8" s="73">
        <f t="shared" si="14"/>
        <v>1685165</v>
      </c>
      <c r="FJ8" s="141">
        <v>54097560</v>
      </c>
      <c r="FK8" s="379">
        <f t="shared" si="15"/>
        <v>1.7</v>
      </c>
      <c r="FL8" s="141">
        <v>45426339</v>
      </c>
      <c r="FM8" s="141">
        <v>467109</v>
      </c>
      <c r="FN8" s="141">
        <v>23319549</v>
      </c>
      <c r="FO8" s="141">
        <v>39157560</v>
      </c>
      <c r="FP8" s="390">
        <v>0.60699999999999998</v>
      </c>
      <c r="FQ8" s="380">
        <v>94.6</v>
      </c>
      <c r="FR8" s="381">
        <v>26.4</v>
      </c>
      <c r="FS8" s="380">
        <v>18.3</v>
      </c>
      <c r="FT8" s="380">
        <v>11.5</v>
      </c>
      <c r="FU8" s="381">
        <v>13.9</v>
      </c>
      <c r="FV8" s="380">
        <v>9.3000000000000007</v>
      </c>
      <c r="FW8" s="382">
        <v>13.5</v>
      </c>
      <c r="FX8" s="383">
        <v>3.8</v>
      </c>
      <c r="FY8" s="141">
        <v>49895085</v>
      </c>
      <c r="FZ8" s="384">
        <f t="shared" si="16"/>
        <v>108.7</v>
      </c>
      <c r="GA8" s="141">
        <v>16801511</v>
      </c>
      <c r="GB8" s="141">
        <v>5135081</v>
      </c>
      <c r="GC8" s="141">
        <v>3129124</v>
      </c>
      <c r="GD8" s="141">
        <v>8537306</v>
      </c>
      <c r="GE8" s="107"/>
      <c r="GF8" s="385"/>
      <c r="GG8" s="386"/>
      <c r="GH8" s="380">
        <v>99.5</v>
      </c>
      <c r="GI8" s="380">
        <v>52.1</v>
      </c>
      <c r="GJ8" s="380">
        <v>99</v>
      </c>
      <c r="GK8" s="141">
        <v>1348</v>
      </c>
      <c r="GL8" s="391" t="s">
        <v>646</v>
      </c>
      <c r="GM8" s="391">
        <v>11.32</v>
      </c>
      <c r="GN8" s="117">
        <v>20</v>
      </c>
      <c r="GO8" s="391" t="s">
        <v>646</v>
      </c>
      <c r="GP8" s="392">
        <v>16.32</v>
      </c>
      <c r="GQ8" s="387">
        <v>30</v>
      </c>
      <c r="GR8" s="381">
        <v>3.8</v>
      </c>
      <c r="GS8" s="388">
        <v>25</v>
      </c>
      <c r="GT8" s="388">
        <v>35</v>
      </c>
      <c r="GU8" s="393" t="s">
        <v>646</v>
      </c>
      <c r="GV8" s="388">
        <v>350</v>
      </c>
      <c r="GW8" s="394"/>
      <c r="GX8" s="100">
        <f t="shared" si="17"/>
        <v>45893</v>
      </c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  <c r="HW8" s="394"/>
      <c r="HX8" s="394"/>
    </row>
    <row r="9" spans="2:232" x14ac:dyDescent="0.15">
      <c r="B9" s="89" t="s">
        <v>7</v>
      </c>
      <c r="C9" s="141">
        <v>72704584</v>
      </c>
      <c r="D9" s="73">
        <f t="shared" si="0"/>
        <v>30840632</v>
      </c>
      <c r="E9" s="141">
        <v>607634</v>
      </c>
      <c r="F9" s="141">
        <v>30232998</v>
      </c>
      <c r="G9" s="73">
        <f t="shared" si="1"/>
        <v>4485948</v>
      </c>
      <c r="H9" s="141">
        <v>1199547</v>
      </c>
      <c r="I9" s="141">
        <v>3286401</v>
      </c>
      <c r="J9" s="141">
        <v>26722209</v>
      </c>
      <c r="K9" s="141">
        <v>10690099</v>
      </c>
      <c r="L9" s="141">
        <v>13166856</v>
      </c>
      <c r="M9" s="141">
        <v>2678169</v>
      </c>
      <c r="N9" s="141">
        <v>2969063</v>
      </c>
      <c r="O9" s="141">
        <v>6265391</v>
      </c>
      <c r="P9" s="141">
        <v>3347564</v>
      </c>
      <c r="Q9" s="141">
        <v>2917827</v>
      </c>
      <c r="R9" s="141">
        <v>1992752</v>
      </c>
      <c r="S9" s="74"/>
      <c r="T9" s="73">
        <f t="shared" si="2"/>
        <v>13102612</v>
      </c>
      <c r="U9" s="141">
        <v>90451</v>
      </c>
      <c r="V9" s="141">
        <v>1003429</v>
      </c>
      <c r="W9" s="141">
        <v>1320770</v>
      </c>
      <c r="X9" s="141">
        <v>9486224</v>
      </c>
      <c r="Y9" s="141">
        <v>0</v>
      </c>
      <c r="Z9" s="160"/>
      <c r="AA9" s="141">
        <v>0</v>
      </c>
      <c r="AB9" s="141">
        <v>172294</v>
      </c>
      <c r="AC9" s="141">
        <v>1029444</v>
      </c>
      <c r="AD9" s="141">
        <v>2143651</v>
      </c>
      <c r="AE9" s="141">
        <v>13054466</v>
      </c>
      <c r="AF9" s="141">
        <v>12415201</v>
      </c>
      <c r="AG9" s="141">
        <v>639265</v>
      </c>
      <c r="AH9" s="141">
        <v>39068</v>
      </c>
      <c r="AI9" s="141">
        <v>1046264</v>
      </c>
      <c r="AJ9" s="73">
        <f t="shared" si="3"/>
        <v>2072769</v>
      </c>
      <c r="AK9" s="141">
        <v>1751446</v>
      </c>
      <c r="AL9" s="141">
        <v>321323</v>
      </c>
      <c r="AM9" s="141">
        <v>49819683</v>
      </c>
      <c r="AN9" s="73">
        <f t="shared" si="4"/>
        <v>30330485</v>
      </c>
      <c r="AO9" s="141">
        <v>13617233</v>
      </c>
      <c r="AP9" s="141">
        <v>9851378</v>
      </c>
      <c r="AQ9" s="74"/>
      <c r="AR9" s="141">
        <v>6861874</v>
      </c>
      <c r="AS9" s="141">
        <v>2102055</v>
      </c>
      <c r="AT9" s="141">
        <v>0</v>
      </c>
      <c r="AU9" s="141">
        <v>0</v>
      </c>
      <c r="AV9" s="141">
        <v>15554965</v>
      </c>
      <c r="AW9" s="141">
        <v>11333401</v>
      </c>
      <c r="AX9" s="141">
        <v>4302946</v>
      </c>
      <c r="AY9" s="141">
        <v>427087</v>
      </c>
      <c r="AZ9" s="141">
        <v>4221564</v>
      </c>
      <c r="BA9" s="141">
        <v>27901</v>
      </c>
      <c r="BB9" s="141">
        <v>618892</v>
      </c>
      <c r="BC9" s="141">
        <v>439678</v>
      </c>
      <c r="BD9" s="141">
        <v>223343</v>
      </c>
      <c r="BE9" s="141">
        <v>5955782</v>
      </c>
      <c r="BF9" s="141">
        <v>4847461</v>
      </c>
      <c r="BG9" s="141">
        <v>497569</v>
      </c>
      <c r="BH9" s="141">
        <v>243267</v>
      </c>
      <c r="BI9" s="141">
        <v>0</v>
      </c>
      <c r="BJ9" s="141">
        <v>6323949</v>
      </c>
      <c r="BK9" s="141">
        <v>5677565</v>
      </c>
      <c r="BL9" s="141">
        <v>4481998</v>
      </c>
      <c r="BM9" s="141">
        <v>37588</v>
      </c>
      <c r="BN9" s="141">
        <v>15898</v>
      </c>
      <c r="BO9" s="141">
        <v>442686</v>
      </c>
      <c r="BP9" s="141">
        <v>8523595</v>
      </c>
      <c r="BQ9" s="73">
        <f t="shared" si="5"/>
        <v>7627600</v>
      </c>
      <c r="BR9" s="73">
        <f t="shared" si="6"/>
        <v>895995</v>
      </c>
      <c r="BS9" s="141">
        <v>0</v>
      </c>
      <c r="BT9" s="141">
        <v>0</v>
      </c>
      <c r="BU9" s="141">
        <v>895995</v>
      </c>
      <c r="BV9" s="141">
        <v>0</v>
      </c>
      <c r="BW9" s="141">
        <v>197658373</v>
      </c>
      <c r="BX9" s="71"/>
      <c r="BY9" s="141">
        <v>30647866</v>
      </c>
      <c r="BZ9" s="141">
        <v>18311562</v>
      </c>
      <c r="CA9" s="141">
        <v>1499017</v>
      </c>
      <c r="CB9" s="141">
        <v>5789894</v>
      </c>
      <c r="CC9" s="141">
        <v>65908513</v>
      </c>
      <c r="CD9" s="141">
        <v>19252355</v>
      </c>
      <c r="CE9" s="141">
        <v>181933</v>
      </c>
      <c r="CF9" s="141">
        <v>27498855</v>
      </c>
      <c r="CG9" s="141">
        <v>18173845</v>
      </c>
      <c r="CH9" s="141">
        <v>265236</v>
      </c>
      <c r="CI9" s="141">
        <v>535494</v>
      </c>
      <c r="CJ9" s="141">
        <v>9060342</v>
      </c>
      <c r="CK9" s="141">
        <v>8799834</v>
      </c>
      <c r="CL9" s="83">
        <f t="shared" si="7"/>
        <v>260508</v>
      </c>
      <c r="CM9" s="141">
        <v>24433698</v>
      </c>
      <c r="CN9" s="141">
        <v>16654797</v>
      </c>
      <c r="CO9" s="102"/>
      <c r="CP9" s="141">
        <v>4461933</v>
      </c>
      <c r="CQ9" s="141">
        <v>2239364</v>
      </c>
      <c r="CR9" s="141">
        <v>17286779</v>
      </c>
      <c r="CS9" s="141">
        <v>1460147</v>
      </c>
      <c r="CT9" s="141">
        <v>5134877</v>
      </c>
      <c r="CU9" s="141">
        <v>5134672</v>
      </c>
      <c r="CV9" s="73">
        <f t="shared" si="8"/>
        <v>5630352</v>
      </c>
      <c r="CW9" s="141">
        <v>4982608</v>
      </c>
      <c r="CX9" s="141">
        <v>647744</v>
      </c>
      <c r="CY9" s="73">
        <f t="shared" si="9"/>
        <v>2535277</v>
      </c>
      <c r="CZ9" s="141">
        <v>2100873</v>
      </c>
      <c r="DA9" s="141">
        <v>434404</v>
      </c>
      <c r="DB9" s="73">
        <f t="shared" si="10"/>
        <v>2954709</v>
      </c>
      <c r="DC9" s="141">
        <v>2754188</v>
      </c>
      <c r="DD9" s="141">
        <v>200521</v>
      </c>
      <c r="DE9" s="141">
        <v>15975423</v>
      </c>
      <c r="DF9" s="141">
        <v>4206618</v>
      </c>
      <c r="DG9" s="141">
        <v>11768805</v>
      </c>
      <c r="DH9" s="141">
        <v>0</v>
      </c>
      <c r="DI9" s="141">
        <v>0</v>
      </c>
      <c r="DJ9" s="141">
        <v>0</v>
      </c>
      <c r="DK9" s="141">
        <v>9491014</v>
      </c>
      <c r="DL9" s="141">
        <v>7209322</v>
      </c>
      <c r="DM9" s="141">
        <v>757160</v>
      </c>
      <c r="DN9" s="141">
        <v>1524532</v>
      </c>
      <c r="DO9" s="141">
        <v>37697</v>
      </c>
      <c r="DP9" s="141">
        <v>37697</v>
      </c>
      <c r="DQ9" s="141">
        <v>37697</v>
      </c>
      <c r="DR9" s="141">
        <v>0</v>
      </c>
      <c r="DS9" s="141">
        <v>4458</v>
      </c>
      <c r="DT9" s="141">
        <v>0</v>
      </c>
      <c r="DU9" s="141">
        <v>0</v>
      </c>
      <c r="DV9" s="141">
        <v>17036219</v>
      </c>
      <c r="DW9" s="141">
        <v>0</v>
      </c>
      <c r="DX9" s="73">
        <f t="shared" si="11"/>
        <v>0</v>
      </c>
      <c r="DY9" s="141">
        <v>0</v>
      </c>
      <c r="DZ9" s="141">
        <v>6181431</v>
      </c>
      <c r="EA9" s="141">
        <v>0</v>
      </c>
      <c r="EB9" s="141">
        <v>4416732</v>
      </c>
      <c r="EC9" s="74"/>
      <c r="ED9" s="141">
        <v>6314735</v>
      </c>
      <c r="EE9" s="141">
        <v>0</v>
      </c>
      <c r="EF9" s="141">
        <v>192121373</v>
      </c>
      <c r="EG9" s="71"/>
      <c r="EH9" s="141">
        <v>5537000</v>
      </c>
      <c r="EI9" s="141">
        <v>606923</v>
      </c>
      <c r="EJ9" s="141">
        <v>4930077</v>
      </c>
      <c r="EK9" s="141">
        <v>-747488</v>
      </c>
      <c r="EL9" s="141">
        <v>1614373</v>
      </c>
      <c r="EM9" s="71"/>
      <c r="EN9" s="141">
        <v>401558</v>
      </c>
      <c r="EO9" s="141">
        <v>405955</v>
      </c>
      <c r="EP9" s="141">
        <v>5501964</v>
      </c>
      <c r="EQ9" s="141">
        <v>553513</v>
      </c>
      <c r="ER9" s="73">
        <f t="shared" si="12"/>
        <v>16947936</v>
      </c>
      <c r="ES9" s="141">
        <v>103037133</v>
      </c>
      <c r="ET9" s="141">
        <v>-23860340</v>
      </c>
      <c r="EU9" s="141">
        <v>28454452</v>
      </c>
      <c r="EV9" s="141">
        <v>17298581</v>
      </c>
      <c r="EW9" s="141">
        <v>19832975</v>
      </c>
      <c r="EX9" s="141">
        <v>8947211</v>
      </c>
      <c r="EY9" s="73">
        <f t="shared" si="13"/>
        <v>4992589</v>
      </c>
      <c r="EZ9" s="141">
        <v>4992589</v>
      </c>
      <c r="FA9" s="141">
        <v>360599</v>
      </c>
      <c r="FB9" s="141">
        <v>4631990</v>
      </c>
      <c r="FC9" s="141">
        <v>0</v>
      </c>
      <c r="FD9" s="141">
        <v>0</v>
      </c>
      <c r="FE9" s="141">
        <v>18971499</v>
      </c>
      <c r="FF9" s="141">
        <v>15471548</v>
      </c>
      <c r="FG9" s="141">
        <v>1460147</v>
      </c>
      <c r="FH9" s="141">
        <v>13450749</v>
      </c>
      <c r="FI9" s="73">
        <f t="shared" si="14"/>
        <v>11239450</v>
      </c>
      <c r="FJ9" s="141">
        <v>121360473</v>
      </c>
      <c r="FK9" s="379">
        <f t="shared" si="15"/>
        <v>5.2</v>
      </c>
      <c r="FL9" s="141">
        <v>93643794</v>
      </c>
      <c r="FM9" s="141">
        <v>895995</v>
      </c>
      <c r="FN9" s="141">
        <v>62764653</v>
      </c>
      <c r="FO9" s="141">
        <v>75179854</v>
      </c>
      <c r="FP9" s="395">
        <v>0.84699999999999998</v>
      </c>
      <c r="FQ9" s="380">
        <v>95.6</v>
      </c>
      <c r="FR9" s="381">
        <v>28.6</v>
      </c>
      <c r="FS9" s="380">
        <v>18.100000000000001</v>
      </c>
      <c r="FT9" s="380">
        <v>9.1</v>
      </c>
      <c r="FU9" s="381">
        <v>16.5</v>
      </c>
      <c r="FV9" s="380">
        <v>9.9</v>
      </c>
      <c r="FW9" s="382">
        <v>11.2</v>
      </c>
      <c r="FX9" s="383">
        <v>2</v>
      </c>
      <c r="FY9" s="141">
        <v>87662451</v>
      </c>
      <c r="FZ9" s="384">
        <f t="shared" si="16"/>
        <v>92.7</v>
      </c>
      <c r="GA9" s="141">
        <v>36441747</v>
      </c>
      <c r="GB9" s="141">
        <v>17239563</v>
      </c>
      <c r="GC9" s="141">
        <v>4628310</v>
      </c>
      <c r="GD9" s="141">
        <v>14573874</v>
      </c>
      <c r="GE9" s="107"/>
      <c r="GF9" s="385"/>
      <c r="GG9" s="386"/>
      <c r="GH9" s="380">
        <v>99.3</v>
      </c>
      <c r="GI9" s="380">
        <v>36.9</v>
      </c>
      <c r="GJ9" s="380">
        <v>98.3</v>
      </c>
      <c r="GK9" s="141">
        <v>2516</v>
      </c>
      <c r="GL9" s="391" t="s">
        <v>646</v>
      </c>
      <c r="GM9" s="391">
        <v>11.25</v>
      </c>
      <c r="GN9" s="117">
        <v>20</v>
      </c>
      <c r="GO9" s="391" t="s">
        <v>646</v>
      </c>
      <c r="GP9" s="392">
        <v>16.25</v>
      </c>
      <c r="GQ9" s="387">
        <v>30</v>
      </c>
      <c r="GR9" s="381">
        <v>2</v>
      </c>
      <c r="GS9" s="388">
        <v>25</v>
      </c>
      <c r="GT9" s="388">
        <v>35</v>
      </c>
      <c r="GU9" s="393" t="s">
        <v>646</v>
      </c>
      <c r="GV9" s="388">
        <v>350</v>
      </c>
      <c r="GW9" s="394"/>
      <c r="GX9" s="100">
        <f t="shared" si="17"/>
        <v>94540</v>
      </c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  <c r="HW9" s="394"/>
      <c r="HX9" s="394"/>
    </row>
    <row r="10" spans="2:232" x14ac:dyDescent="0.15">
      <c r="B10" s="89" t="s">
        <v>9</v>
      </c>
      <c r="C10" s="141">
        <v>16681568</v>
      </c>
      <c r="D10" s="73">
        <f t="shared" si="0"/>
        <v>7093233</v>
      </c>
      <c r="E10" s="141">
        <v>158375</v>
      </c>
      <c r="F10" s="141">
        <v>6934858</v>
      </c>
      <c r="G10" s="73">
        <f t="shared" si="1"/>
        <v>749146</v>
      </c>
      <c r="H10" s="141">
        <v>304129</v>
      </c>
      <c r="I10" s="141">
        <v>445017</v>
      </c>
      <c r="J10" s="141">
        <v>6624191</v>
      </c>
      <c r="K10" s="141">
        <v>2731967</v>
      </c>
      <c r="L10" s="141">
        <v>3101477</v>
      </c>
      <c r="M10" s="141">
        <v>780885</v>
      </c>
      <c r="N10" s="141">
        <v>552531</v>
      </c>
      <c r="O10" s="141">
        <v>1508959</v>
      </c>
      <c r="P10" s="141">
        <v>839203</v>
      </c>
      <c r="Q10" s="141">
        <v>669756</v>
      </c>
      <c r="R10" s="141">
        <v>232268</v>
      </c>
      <c r="S10" s="74"/>
      <c r="T10" s="73">
        <f t="shared" si="2"/>
        <v>3497684</v>
      </c>
      <c r="U10" s="141">
        <v>20178</v>
      </c>
      <c r="V10" s="141">
        <v>223287</v>
      </c>
      <c r="W10" s="141">
        <v>293202</v>
      </c>
      <c r="X10" s="141">
        <v>2534103</v>
      </c>
      <c r="Y10" s="141">
        <v>72503</v>
      </c>
      <c r="Z10" s="160"/>
      <c r="AA10" s="141">
        <v>0</v>
      </c>
      <c r="AB10" s="141">
        <v>48751</v>
      </c>
      <c r="AC10" s="141">
        <v>305660</v>
      </c>
      <c r="AD10" s="141">
        <v>559068</v>
      </c>
      <c r="AE10" s="141">
        <v>5874731</v>
      </c>
      <c r="AF10" s="141">
        <v>5323378</v>
      </c>
      <c r="AG10" s="141">
        <v>551353</v>
      </c>
      <c r="AH10" s="141">
        <v>9788</v>
      </c>
      <c r="AI10" s="141">
        <v>129166</v>
      </c>
      <c r="AJ10" s="73">
        <f t="shared" si="3"/>
        <v>973009</v>
      </c>
      <c r="AK10" s="141">
        <v>717823</v>
      </c>
      <c r="AL10" s="141">
        <v>255186</v>
      </c>
      <c r="AM10" s="141">
        <v>9142803</v>
      </c>
      <c r="AN10" s="73">
        <f t="shared" si="4"/>
        <v>3882590</v>
      </c>
      <c r="AO10" s="141">
        <v>1276115</v>
      </c>
      <c r="AP10" s="141">
        <v>1362009</v>
      </c>
      <c r="AQ10" s="74"/>
      <c r="AR10" s="141">
        <v>1244466</v>
      </c>
      <c r="AS10" s="141">
        <v>642498</v>
      </c>
      <c r="AT10" s="141">
        <v>0</v>
      </c>
      <c r="AU10" s="141">
        <v>0</v>
      </c>
      <c r="AV10" s="141">
        <v>3442434</v>
      </c>
      <c r="AW10" s="141">
        <v>2205967</v>
      </c>
      <c r="AX10" s="141">
        <v>536942</v>
      </c>
      <c r="AY10" s="141">
        <v>28953</v>
      </c>
      <c r="AZ10" s="141">
        <v>1236467</v>
      </c>
      <c r="BA10" s="141">
        <v>525</v>
      </c>
      <c r="BB10" s="141">
        <v>66066</v>
      </c>
      <c r="BC10" s="141">
        <v>14968</v>
      </c>
      <c r="BD10" s="141">
        <v>269767</v>
      </c>
      <c r="BE10" s="141">
        <v>1764802</v>
      </c>
      <c r="BF10" s="141">
        <v>1400000</v>
      </c>
      <c r="BG10" s="141">
        <v>0</v>
      </c>
      <c r="BH10" s="141">
        <v>355852</v>
      </c>
      <c r="BI10" s="141">
        <v>0</v>
      </c>
      <c r="BJ10" s="141">
        <v>241914</v>
      </c>
      <c r="BK10" s="141">
        <v>20753</v>
      </c>
      <c r="BL10" s="141">
        <v>900315</v>
      </c>
      <c r="BM10" s="141">
        <v>122450</v>
      </c>
      <c r="BN10" s="141">
        <v>1329</v>
      </c>
      <c r="BO10" s="141">
        <v>303768</v>
      </c>
      <c r="BP10" s="141">
        <v>1935500</v>
      </c>
      <c r="BQ10" s="73">
        <f t="shared" si="5"/>
        <v>1515300</v>
      </c>
      <c r="BR10" s="73">
        <f t="shared" si="6"/>
        <v>420200</v>
      </c>
      <c r="BS10" s="141">
        <v>0</v>
      </c>
      <c r="BT10" s="141">
        <v>273900</v>
      </c>
      <c r="BU10" s="141">
        <v>146300</v>
      </c>
      <c r="BV10" s="141">
        <v>0</v>
      </c>
      <c r="BW10" s="141">
        <v>45720883</v>
      </c>
      <c r="BX10" s="71"/>
      <c r="BY10" s="141">
        <v>8915628</v>
      </c>
      <c r="BZ10" s="141">
        <v>4998158</v>
      </c>
      <c r="CA10" s="141">
        <v>289762</v>
      </c>
      <c r="CB10" s="141">
        <v>2012346</v>
      </c>
      <c r="CC10" s="141">
        <v>13036865</v>
      </c>
      <c r="CD10" s="141">
        <v>4529675</v>
      </c>
      <c r="CE10" s="141">
        <v>21815</v>
      </c>
      <c r="CF10" s="141">
        <v>6093310</v>
      </c>
      <c r="CG10" s="141">
        <v>1585965</v>
      </c>
      <c r="CH10" s="141">
        <v>82675</v>
      </c>
      <c r="CI10" s="141">
        <v>723325</v>
      </c>
      <c r="CJ10" s="141">
        <v>3659662</v>
      </c>
      <c r="CK10" s="141">
        <v>3555951</v>
      </c>
      <c r="CL10" s="83">
        <f t="shared" si="7"/>
        <v>103711</v>
      </c>
      <c r="CM10" s="141">
        <v>7342666</v>
      </c>
      <c r="CN10" s="141">
        <v>5108230</v>
      </c>
      <c r="CO10" s="102"/>
      <c r="CP10" s="141">
        <v>971482</v>
      </c>
      <c r="CQ10" s="141">
        <v>393343</v>
      </c>
      <c r="CR10" s="141">
        <v>3579826</v>
      </c>
      <c r="CS10" s="141">
        <v>2877</v>
      </c>
      <c r="CT10" s="141">
        <v>1268115</v>
      </c>
      <c r="CU10" s="141">
        <v>1000897</v>
      </c>
      <c r="CV10" s="73">
        <f t="shared" si="8"/>
        <v>1050727</v>
      </c>
      <c r="CW10" s="141">
        <v>916537</v>
      </c>
      <c r="CX10" s="141">
        <v>134190</v>
      </c>
      <c r="CY10" s="73">
        <f t="shared" si="9"/>
        <v>258791</v>
      </c>
      <c r="CZ10" s="141">
        <v>190012</v>
      </c>
      <c r="DA10" s="141">
        <v>68779</v>
      </c>
      <c r="DB10" s="73">
        <f t="shared" si="10"/>
        <v>773414</v>
      </c>
      <c r="DC10" s="141">
        <v>711199</v>
      </c>
      <c r="DD10" s="141">
        <v>62215</v>
      </c>
      <c r="DE10" s="141">
        <v>3126910</v>
      </c>
      <c r="DF10" s="141">
        <v>1494910</v>
      </c>
      <c r="DG10" s="141">
        <v>1632000</v>
      </c>
      <c r="DH10" s="141">
        <v>0</v>
      </c>
      <c r="DI10" s="141">
        <v>0</v>
      </c>
      <c r="DJ10" s="141">
        <v>0</v>
      </c>
      <c r="DK10" s="141">
        <v>301670</v>
      </c>
      <c r="DL10" s="141">
        <v>6241</v>
      </c>
      <c r="DM10" s="141">
        <v>0</v>
      </c>
      <c r="DN10" s="141">
        <v>295429</v>
      </c>
      <c r="DO10" s="141">
        <v>557042</v>
      </c>
      <c r="DP10" s="141">
        <v>557042</v>
      </c>
      <c r="DQ10" s="141">
        <v>0</v>
      </c>
      <c r="DR10" s="141">
        <v>541209</v>
      </c>
      <c r="DS10" s="141">
        <v>121100</v>
      </c>
      <c r="DT10" s="141">
        <v>0</v>
      </c>
      <c r="DU10" s="141">
        <v>0</v>
      </c>
      <c r="DV10" s="141">
        <v>4489432</v>
      </c>
      <c r="DW10" s="141">
        <v>0</v>
      </c>
      <c r="DX10" s="73">
        <f t="shared" si="11"/>
        <v>0</v>
      </c>
      <c r="DY10" s="141">
        <v>0</v>
      </c>
      <c r="DZ10" s="141">
        <v>1825963</v>
      </c>
      <c r="EA10" s="141">
        <v>7335</v>
      </c>
      <c r="EB10" s="141">
        <v>1031988</v>
      </c>
      <c r="EC10" s="74"/>
      <c r="ED10" s="141">
        <v>1624146</v>
      </c>
      <c r="EE10" s="141">
        <v>0</v>
      </c>
      <c r="EF10" s="141">
        <v>45524144</v>
      </c>
      <c r="EG10" s="71"/>
      <c r="EH10" s="141">
        <v>196739</v>
      </c>
      <c r="EI10" s="141">
        <v>54614</v>
      </c>
      <c r="EJ10" s="141">
        <v>142125</v>
      </c>
      <c r="EK10" s="141">
        <v>-28628</v>
      </c>
      <c r="EL10" s="141">
        <v>-1422387</v>
      </c>
      <c r="EM10" s="71"/>
      <c r="EN10" s="141">
        <v>104993</v>
      </c>
      <c r="EO10" s="141">
        <v>102636</v>
      </c>
      <c r="EP10" s="141">
        <v>1400000</v>
      </c>
      <c r="EQ10" s="141">
        <v>55668</v>
      </c>
      <c r="ER10" s="73">
        <f t="shared" si="12"/>
        <v>2280901</v>
      </c>
      <c r="ES10" s="141">
        <v>26855107</v>
      </c>
      <c r="ET10" s="141">
        <v>-4146981</v>
      </c>
      <c r="EU10" s="141">
        <v>8299404</v>
      </c>
      <c r="EV10" s="141">
        <v>4713787</v>
      </c>
      <c r="EW10" s="141">
        <v>4798359</v>
      </c>
      <c r="EX10" s="141">
        <v>3659662</v>
      </c>
      <c r="EY10" s="73">
        <f t="shared" si="13"/>
        <v>465553</v>
      </c>
      <c r="EZ10" s="141">
        <v>465553</v>
      </c>
      <c r="FA10" s="141">
        <v>42484</v>
      </c>
      <c r="FB10" s="141">
        <v>423069</v>
      </c>
      <c r="FC10" s="141">
        <v>0</v>
      </c>
      <c r="FD10" s="141">
        <v>0</v>
      </c>
      <c r="FE10" s="141">
        <v>5853952</v>
      </c>
      <c r="FF10" s="141">
        <v>3182298</v>
      </c>
      <c r="FG10" s="141">
        <v>2877</v>
      </c>
      <c r="FH10" s="141">
        <v>3601503</v>
      </c>
      <c r="FI10" s="73">
        <f t="shared" si="14"/>
        <v>944618</v>
      </c>
      <c r="FJ10" s="141">
        <v>30805349</v>
      </c>
      <c r="FK10" s="379">
        <f t="shared" si="15"/>
        <v>0.6</v>
      </c>
      <c r="FL10" s="141">
        <v>24282031</v>
      </c>
      <c r="FM10" s="141">
        <v>146346</v>
      </c>
      <c r="FN10" s="141">
        <v>14764001</v>
      </c>
      <c r="FO10" s="141">
        <v>20073417</v>
      </c>
      <c r="FP10" s="395">
        <v>0.75900000000000001</v>
      </c>
      <c r="FQ10" s="380">
        <v>99.7</v>
      </c>
      <c r="FR10" s="381">
        <v>31.3</v>
      </c>
      <c r="FS10" s="380">
        <v>13.6</v>
      </c>
      <c r="FT10" s="380">
        <v>14.4</v>
      </c>
      <c r="FU10" s="381">
        <v>19</v>
      </c>
      <c r="FV10" s="380">
        <v>6.4</v>
      </c>
      <c r="FW10" s="382">
        <v>13.6</v>
      </c>
      <c r="FX10" s="383">
        <v>2.8</v>
      </c>
      <c r="FY10" s="141">
        <v>28709846</v>
      </c>
      <c r="FZ10" s="384">
        <f t="shared" si="16"/>
        <v>117.5</v>
      </c>
      <c r="GA10" s="141">
        <v>5645783</v>
      </c>
      <c r="GB10" s="141">
        <v>3091871</v>
      </c>
      <c r="GC10" s="141">
        <v>0</v>
      </c>
      <c r="GD10" s="141">
        <v>2553912</v>
      </c>
      <c r="GE10" s="107"/>
      <c r="GF10" s="385"/>
      <c r="GG10" s="386"/>
      <c r="GH10" s="380">
        <v>99.5</v>
      </c>
      <c r="GI10" s="380">
        <v>46.3</v>
      </c>
      <c r="GJ10" s="380">
        <v>98.7</v>
      </c>
      <c r="GK10" s="141">
        <v>685</v>
      </c>
      <c r="GL10" s="391" t="s">
        <v>646</v>
      </c>
      <c r="GM10" s="391">
        <v>12.12</v>
      </c>
      <c r="GN10" s="117">
        <v>20</v>
      </c>
      <c r="GO10" s="391" t="s">
        <v>646</v>
      </c>
      <c r="GP10" s="392">
        <v>17.12</v>
      </c>
      <c r="GQ10" s="387">
        <v>30</v>
      </c>
      <c r="GR10" s="381">
        <v>2.8</v>
      </c>
      <c r="GS10" s="388">
        <v>25</v>
      </c>
      <c r="GT10" s="388">
        <v>35</v>
      </c>
      <c r="GU10" s="393" t="s">
        <v>646</v>
      </c>
      <c r="GV10" s="388">
        <v>350</v>
      </c>
      <c r="GW10" s="394"/>
      <c r="GX10" s="100">
        <f t="shared" si="17"/>
        <v>24428</v>
      </c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  <c r="HW10" s="394"/>
      <c r="HX10" s="394"/>
    </row>
    <row r="11" spans="2:232" x14ac:dyDescent="0.15">
      <c r="B11" s="89" t="s">
        <v>11</v>
      </c>
      <c r="C11" s="141">
        <v>71780126</v>
      </c>
      <c r="D11" s="73">
        <f t="shared" si="0"/>
        <v>30271887</v>
      </c>
      <c r="E11" s="141">
        <v>600123</v>
      </c>
      <c r="F11" s="141">
        <v>29671764</v>
      </c>
      <c r="G11" s="73">
        <f t="shared" si="1"/>
        <v>4532067</v>
      </c>
      <c r="H11" s="141">
        <v>1258229</v>
      </c>
      <c r="I11" s="141">
        <v>3273838</v>
      </c>
      <c r="J11" s="141">
        <v>27598351</v>
      </c>
      <c r="K11" s="141">
        <v>10064529</v>
      </c>
      <c r="L11" s="141">
        <v>13960873</v>
      </c>
      <c r="M11" s="141">
        <v>3001849</v>
      </c>
      <c r="N11" s="141">
        <v>1809924</v>
      </c>
      <c r="O11" s="141">
        <v>6154760</v>
      </c>
      <c r="P11" s="141">
        <v>3034600</v>
      </c>
      <c r="Q11" s="141">
        <v>3120160</v>
      </c>
      <c r="R11" s="141">
        <v>605056</v>
      </c>
      <c r="S11" s="74"/>
      <c r="T11" s="73">
        <f t="shared" si="2"/>
        <v>13028927</v>
      </c>
      <c r="U11" s="141">
        <v>85447</v>
      </c>
      <c r="V11" s="141">
        <v>948425</v>
      </c>
      <c r="W11" s="141">
        <v>1249015</v>
      </c>
      <c r="X11" s="141">
        <v>9397768</v>
      </c>
      <c r="Y11" s="141">
        <v>0</v>
      </c>
      <c r="Z11" s="160"/>
      <c r="AA11" s="141">
        <v>0</v>
      </c>
      <c r="AB11" s="141">
        <v>163548</v>
      </c>
      <c r="AC11" s="141">
        <v>1184724</v>
      </c>
      <c r="AD11" s="141">
        <v>2099894</v>
      </c>
      <c r="AE11" s="141">
        <v>4039373</v>
      </c>
      <c r="AF11" s="141">
        <v>3774322</v>
      </c>
      <c r="AG11" s="141">
        <v>264979</v>
      </c>
      <c r="AH11" s="141">
        <v>31765</v>
      </c>
      <c r="AI11" s="141">
        <v>594208</v>
      </c>
      <c r="AJ11" s="73">
        <f t="shared" si="3"/>
        <v>2763004</v>
      </c>
      <c r="AK11" s="141">
        <v>2218642</v>
      </c>
      <c r="AL11" s="141">
        <v>544362</v>
      </c>
      <c r="AM11" s="141">
        <v>37999993</v>
      </c>
      <c r="AN11" s="73">
        <f t="shared" si="4"/>
        <v>19367475</v>
      </c>
      <c r="AO11" s="141">
        <v>7976182</v>
      </c>
      <c r="AP11" s="141">
        <v>4948394</v>
      </c>
      <c r="AQ11" s="74"/>
      <c r="AR11" s="141">
        <v>6442899</v>
      </c>
      <c r="AS11" s="141">
        <v>1565886</v>
      </c>
      <c r="AT11" s="141">
        <v>3512</v>
      </c>
      <c r="AU11" s="141">
        <v>0</v>
      </c>
      <c r="AV11" s="141">
        <v>12489684</v>
      </c>
      <c r="AW11" s="141">
        <v>8836170</v>
      </c>
      <c r="AX11" s="141">
        <v>1919110</v>
      </c>
      <c r="AY11" s="141">
        <v>254050</v>
      </c>
      <c r="AZ11" s="141">
        <v>3653514</v>
      </c>
      <c r="BA11" s="141">
        <v>0</v>
      </c>
      <c r="BB11" s="141">
        <v>3733962</v>
      </c>
      <c r="BC11" s="141">
        <v>3597265</v>
      </c>
      <c r="BD11" s="141">
        <v>1607338</v>
      </c>
      <c r="BE11" s="141">
        <v>3980125</v>
      </c>
      <c r="BF11" s="141">
        <v>1900000</v>
      </c>
      <c r="BG11" s="141">
        <v>0</v>
      </c>
      <c r="BH11" s="141">
        <v>1744079</v>
      </c>
      <c r="BI11" s="141">
        <v>303945</v>
      </c>
      <c r="BJ11" s="141">
        <v>1525842</v>
      </c>
      <c r="BK11" s="141">
        <v>625277</v>
      </c>
      <c r="BL11" s="141">
        <v>7451198</v>
      </c>
      <c r="BM11" s="141">
        <v>547739</v>
      </c>
      <c r="BN11" s="141">
        <v>0</v>
      </c>
      <c r="BO11" s="141">
        <v>431089</v>
      </c>
      <c r="BP11" s="141">
        <v>15275400</v>
      </c>
      <c r="BQ11" s="73">
        <f t="shared" si="5"/>
        <v>14975400</v>
      </c>
      <c r="BR11" s="73">
        <f t="shared" si="6"/>
        <v>300000</v>
      </c>
      <c r="BS11" s="141">
        <v>0</v>
      </c>
      <c r="BT11" s="141">
        <v>0</v>
      </c>
      <c r="BU11" s="141">
        <v>300000</v>
      </c>
      <c r="BV11" s="141">
        <v>0</v>
      </c>
      <c r="BW11" s="141">
        <v>179005895</v>
      </c>
      <c r="BX11" s="71"/>
      <c r="BY11" s="141">
        <v>29192492</v>
      </c>
      <c r="BZ11" s="141">
        <v>18848344</v>
      </c>
      <c r="CA11" s="141">
        <v>1280868</v>
      </c>
      <c r="CB11" s="141">
        <v>4058790</v>
      </c>
      <c r="CC11" s="141">
        <v>55822373</v>
      </c>
      <c r="CD11" s="141">
        <v>18302547</v>
      </c>
      <c r="CE11" s="141">
        <v>82277</v>
      </c>
      <c r="CF11" s="141">
        <v>23564014</v>
      </c>
      <c r="CG11" s="141">
        <v>10670127</v>
      </c>
      <c r="CH11" s="141">
        <v>443913</v>
      </c>
      <c r="CI11" s="141">
        <v>2759495</v>
      </c>
      <c r="CJ11" s="141">
        <v>6518345</v>
      </c>
      <c r="CK11" s="141">
        <v>6137101</v>
      </c>
      <c r="CL11" s="83">
        <f t="shared" si="7"/>
        <v>381244</v>
      </c>
      <c r="CM11" s="141">
        <v>28043697</v>
      </c>
      <c r="CN11" s="141">
        <v>20089974</v>
      </c>
      <c r="CO11" s="102"/>
      <c r="CP11" s="141">
        <v>4703870</v>
      </c>
      <c r="CQ11" s="141">
        <v>3245774</v>
      </c>
      <c r="CR11" s="141">
        <v>8269894</v>
      </c>
      <c r="CS11" s="141">
        <v>10036</v>
      </c>
      <c r="CT11" s="141">
        <v>2523263</v>
      </c>
      <c r="CU11" s="141">
        <v>1882671</v>
      </c>
      <c r="CV11" s="73">
        <f t="shared" si="8"/>
        <v>3159742</v>
      </c>
      <c r="CW11" s="141">
        <v>3093691</v>
      </c>
      <c r="CX11" s="141">
        <v>66051</v>
      </c>
      <c r="CY11" s="73">
        <f t="shared" si="9"/>
        <v>0</v>
      </c>
      <c r="CZ11" s="141">
        <v>0</v>
      </c>
      <c r="DA11" s="141">
        <v>0</v>
      </c>
      <c r="DB11" s="73">
        <f t="shared" si="10"/>
        <v>3095644</v>
      </c>
      <c r="DC11" s="141">
        <v>3038303</v>
      </c>
      <c r="DD11" s="141">
        <v>57341</v>
      </c>
      <c r="DE11" s="141">
        <v>24834366</v>
      </c>
      <c r="DF11" s="141">
        <v>6304053</v>
      </c>
      <c r="DG11" s="141">
        <v>18530313</v>
      </c>
      <c r="DH11" s="141">
        <v>0</v>
      </c>
      <c r="DI11" s="141">
        <v>0</v>
      </c>
      <c r="DJ11" s="141">
        <v>0</v>
      </c>
      <c r="DK11" s="141">
        <v>7549817</v>
      </c>
      <c r="DL11" s="141">
        <v>268022</v>
      </c>
      <c r="DM11" s="141">
        <v>0</v>
      </c>
      <c r="DN11" s="141">
        <v>7281795</v>
      </c>
      <c r="DO11" s="141">
        <v>0</v>
      </c>
      <c r="DP11" s="141">
        <v>0</v>
      </c>
      <c r="DQ11" s="141">
        <v>0</v>
      </c>
      <c r="DR11" s="141">
        <v>0</v>
      </c>
      <c r="DS11" s="141">
        <v>365235</v>
      </c>
      <c r="DT11" s="141">
        <v>0</v>
      </c>
      <c r="DU11" s="141">
        <v>0</v>
      </c>
      <c r="DV11" s="141">
        <v>14099384</v>
      </c>
      <c r="DW11" s="141">
        <v>0</v>
      </c>
      <c r="DX11" s="73">
        <f t="shared" si="11"/>
        <v>0</v>
      </c>
      <c r="DY11" s="141">
        <v>0</v>
      </c>
      <c r="DZ11" s="141">
        <v>5616518</v>
      </c>
      <c r="EA11" s="141">
        <v>0</v>
      </c>
      <c r="EB11" s="141">
        <v>3162633</v>
      </c>
      <c r="EC11" s="74"/>
      <c r="ED11" s="141">
        <v>5071606</v>
      </c>
      <c r="EE11" s="141">
        <v>0</v>
      </c>
      <c r="EF11" s="141">
        <v>177941377</v>
      </c>
      <c r="EG11" s="71"/>
      <c r="EH11" s="141">
        <v>1064518</v>
      </c>
      <c r="EI11" s="141">
        <v>747896</v>
      </c>
      <c r="EJ11" s="141">
        <v>316622</v>
      </c>
      <c r="EK11" s="141">
        <v>-308655</v>
      </c>
      <c r="EL11" s="141">
        <v>-1938333</v>
      </c>
      <c r="EM11" s="71"/>
      <c r="EN11" s="141">
        <v>385567</v>
      </c>
      <c r="EO11" s="141">
        <v>384506</v>
      </c>
      <c r="EP11" s="141">
        <v>2382822</v>
      </c>
      <c r="EQ11" s="141">
        <v>3577437</v>
      </c>
      <c r="ER11" s="73">
        <f t="shared" si="12"/>
        <v>9481860</v>
      </c>
      <c r="ES11" s="141">
        <v>91585141</v>
      </c>
      <c r="ET11" s="141">
        <v>-15710354</v>
      </c>
      <c r="EU11" s="141">
        <v>27058260</v>
      </c>
      <c r="EV11" s="141">
        <v>17552198</v>
      </c>
      <c r="EW11" s="141">
        <v>19541799</v>
      </c>
      <c r="EX11" s="141">
        <v>6473989</v>
      </c>
      <c r="EY11" s="73">
        <f t="shared" si="13"/>
        <v>3458109</v>
      </c>
      <c r="EZ11" s="141">
        <v>3458109</v>
      </c>
      <c r="FA11" s="141">
        <v>183910</v>
      </c>
      <c r="FB11" s="141">
        <v>3274199</v>
      </c>
      <c r="FC11" s="141">
        <v>0</v>
      </c>
      <c r="FD11" s="141">
        <v>0</v>
      </c>
      <c r="FE11" s="141">
        <v>21226247</v>
      </c>
      <c r="FF11" s="141">
        <v>7228243</v>
      </c>
      <c r="FG11" s="141">
        <v>10036</v>
      </c>
      <c r="FH11" s="141">
        <v>11089842</v>
      </c>
      <c r="FI11" s="73">
        <f t="shared" si="14"/>
        <v>10154488</v>
      </c>
      <c r="FJ11" s="141">
        <v>106230977</v>
      </c>
      <c r="FK11" s="379">
        <f t="shared" si="15"/>
        <v>0.4</v>
      </c>
      <c r="FL11" s="141">
        <v>83511563</v>
      </c>
      <c r="FM11" s="141">
        <v>313069</v>
      </c>
      <c r="FN11" s="141">
        <v>61456675</v>
      </c>
      <c r="FO11" s="141">
        <v>65230997</v>
      </c>
      <c r="FP11" s="390">
        <v>0.95</v>
      </c>
      <c r="FQ11" s="380">
        <v>101</v>
      </c>
      <c r="FR11" s="381">
        <v>30.9</v>
      </c>
      <c r="FS11" s="380">
        <v>17.8</v>
      </c>
      <c r="FT11" s="380">
        <v>7.5</v>
      </c>
      <c r="FU11" s="381">
        <v>22</v>
      </c>
      <c r="FV11" s="380">
        <v>6.9</v>
      </c>
      <c r="FW11" s="382">
        <v>12.3</v>
      </c>
      <c r="FX11" s="383">
        <v>0.5</v>
      </c>
      <c r="FY11" s="141">
        <v>69697344</v>
      </c>
      <c r="FZ11" s="384">
        <f t="shared" si="16"/>
        <v>83.1</v>
      </c>
      <c r="GA11" s="141">
        <v>38003093</v>
      </c>
      <c r="GB11" s="141">
        <v>12931590</v>
      </c>
      <c r="GC11" s="141">
        <v>0</v>
      </c>
      <c r="GD11" s="141">
        <v>25071503</v>
      </c>
      <c r="GE11" s="107"/>
      <c r="GF11" s="385"/>
      <c r="GG11" s="386"/>
      <c r="GH11" s="380">
        <v>99.6</v>
      </c>
      <c r="GI11" s="380">
        <v>41</v>
      </c>
      <c r="GJ11" s="380">
        <v>99.1</v>
      </c>
      <c r="GK11" s="141">
        <v>2594</v>
      </c>
      <c r="GL11" s="391" t="s">
        <v>646</v>
      </c>
      <c r="GM11" s="391">
        <v>11.25</v>
      </c>
      <c r="GN11" s="117">
        <v>20</v>
      </c>
      <c r="GO11" s="391" t="s">
        <v>646</v>
      </c>
      <c r="GP11" s="392">
        <v>16.25</v>
      </c>
      <c r="GQ11" s="387">
        <v>30</v>
      </c>
      <c r="GR11" s="381">
        <v>0.5</v>
      </c>
      <c r="GS11" s="388">
        <v>25</v>
      </c>
      <c r="GT11" s="388">
        <v>35</v>
      </c>
      <c r="GU11" s="393" t="s">
        <v>646</v>
      </c>
      <c r="GV11" s="388">
        <v>350</v>
      </c>
      <c r="GW11" s="394"/>
      <c r="GX11" s="100">
        <f t="shared" si="17"/>
        <v>83825</v>
      </c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  <c r="HW11" s="394"/>
      <c r="HX11" s="394"/>
    </row>
    <row r="12" spans="2:232" x14ac:dyDescent="0.15">
      <c r="B12" s="89" t="s">
        <v>13</v>
      </c>
      <c r="C12" s="141">
        <v>11849598</v>
      </c>
      <c r="D12" s="73">
        <f t="shared" si="0"/>
        <v>3801253</v>
      </c>
      <c r="E12" s="141">
        <v>107782</v>
      </c>
      <c r="F12" s="141">
        <v>3693471</v>
      </c>
      <c r="G12" s="73">
        <f t="shared" si="1"/>
        <v>836458</v>
      </c>
      <c r="H12" s="141">
        <v>283700</v>
      </c>
      <c r="I12" s="141">
        <v>552758</v>
      </c>
      <c r="J12" s="141">
        <v>5409518</v>
      </c>
      <c r="K12" s="141">
        <v>1902683</v>
      </c>
      <c r="L12" s="141">
        <v>2185890</v>
      </c>
      <c r="M12" s="141">
        <v>759431</v>
      </c>
      <c r="N12" s="141">
        <v>649654</v>
      </c>
      <c r="O12" s="141">
        <v>1005534</v>
      </c>
      <c r="P12" s="141">
        <v>521110</v>
      </c>
      <c r="Q12" s="141">
        <v>484424</v>
      </c>
      <c r="R12" s="141">
        <v>183985</v>
      </c>
      <c r="S12" s="74"/>
      <c r="T12" s="73">
        <f t="shared" si="2"/>
        <v>2357222</v>
      </c>
      <c r="U12" s="141">
        <v>11192</v>
      </c>
      <c r="V12" s="141">
        <v>124196</v>
      </c>
      <c r="W12" s="141">
        <v>163515</v>
      </c>
      <c r="X12" s="141">
        <v>1801391</v>
      </c>
      <c r="Y12" s="141">
        <v>0</v>
      </c>
      <c r="Z12" s="160"/>
      <c r="AA12" s="141">
        <v>0</v>
      </c>
      <c r="AB12" s="141">
        <v>36640</v>
      </c>
      <c r="AC12" s="141">
        <v>220288</v>
      </c>
      <c r="AD12" s="141">
        <v>388173</v>
      </c>
      <c r="AE12" s="141">
        <v>5379893</v>
      </c>
      <c r="AF12" s="141">
        <v>5097364</v>
      </c>
      <c r="AG12" s="141">
        <v>282529</v>
      </c>
      <c r="AH12" s="141">
        <v>10114</v>
      </c>
      <c r="AI12" s="141">
        <v>25339</v>
      </c>
      <c r="AJ12" s="73">
        <f t="shared" si="3"/>
        <v>375526</v>
      </c>
      <c r="AK12" s="141">
        <v>248984</v>
      </c>
      <c r="AL12" s="141">
        <v>126542</v>
      </c>
      <c r="AM12" s="141">
        <v>8177460</v>
      </c>
      <c r="AN12" s="73">
        <f t="shared" si="4"/>
        <v>4680465</v>
      </c>
      <c r="AO12" s="141">
        <v>2255218</v>
      </c>
      <c r="AP12" s="141">
        <v>770304</v>
      </c>
      <c r="AQ12" s="74"/>
      <c r="AR12" s="141">
        <v>1654943</v>
      </c>
      <c r="AS12" s="141">
        <v>281016</v>
      </c>
      <c r="AT12" s="141">
        <v>0</v>
      </c>
      <c r="AU12" s="141">
        <v>0</v>
      </c>
      <c r="AV12" s="141">
        <v>2492956</v>
      </c>
      <c r="AW12" s="141">
        <v>1572402</v>
      </c>
      <c r="AX12" s="141">
        <v>322191</v>
      </c>
      <c r="AY12" s="141">
        <v>166</v>
      </c>
      <c r="AZ12" s="141">
        <v>920554</v>
      </c>
      <c r="BA12" s="141">
        <v>428</v>
      </c>
      <c r="BB12" s="141">
        <v>114903</v>
      </c>
      <c r="BC12" s="141">
        <v>11070</v>
      </c>
      <c r="BD12" s="141">
        <v>730125</v>
      </c>
      <c r="BE12" s="141">
        <v>2307614</v>
      </c>
      <c r="BF12" s="141">
        <v>1300000</v>
      </c>
      <c r="BG12" s="141">
        <v>131660</v>
      </c>
      <c r="BH12" s="141">
        <v>809247</v>
      </c>
      <c r="BI12" s="141">
        <v>0</v>
      </c>
      <c r="BJ12" s="141">
        <v>237387</v>
      </c>
      <c r="BK12" s="141">
        <v>220812</v>
      </c>
      <c r="BL12" s="141">
        <v>897994</v>
      </c>
      <c r="BM12" s="141">
        <v>0</v>
      </c>
      <c r="BN12" s="141">
        <v>0</v>
      </c>
      <c r="BO12" s="141">
        <v>287251</v>
      </c>
      <c r="BP12" s="141">
        <v>2489634</v>
      </c>
      <c r="BQ12" s="73">
        <f t="shared" si="5"/>
        <v>2401900</v>
      </c>
      <c r="BR12" s="73">
        <f t="shared" si="6"/>
        <v>87734</v>
      </c>
      <c r="BS12" s="141">
        <v>0</v>
      </c>
      <c r="BT12" s="141">
        <v>0</v>
      </c>
      <c r="BU12" s="141">
        <v>87734</v>
      </c>
      <c r="BV12" s="141">
        <v>0</v>
      </c>
      <c r="BW12" s="141">
        <v>38017923</v>
      </c>
      <c r="BX12" s="71"/>
      <c r="BY12" s="141">
        <v>5428217</v>
      </c>
      <c r="BZ12" s="141">
        <v>3034043</v>
      </c>
      <c r="CA12" s="141">
        <v>333884</v>
      </c>
      <c r="CB12" s="141">
        <v>1062548</v>
      </c>
      <c r="CC12" s="141">
        <v>11209660</v>
      </c>
      <c r="CD12" s="141">
        <v>4521556</v>
      </c>
      <c r="CE12" s="141">
        <v>72883</v>
      </c>
      <c r="CF12" s="141">
        <v>3288512</v>
      </c>
      <c r="CG12" s="141">
        <v>2956664</v>
      </c>
      <c r="CH12" s="141">
        <v>52833</v>
      </c>
      <c r="CI12" s="141">
        <v>317212</v>
      </c>
      <c r="CJ12" s="141">
        <v>2584448</v>
      </c>
      <c r="CK12" s="141">
        <v>2411564</v>
      </c>
      <c r="CL12" s="83">
        <f t="shared" si="7"/>
        <v>172884</v>
      </c>
      <c r="CM12" s="141">
        <v>4832983</v>
      </c>
      <c r="CN12" s="141">
        <v>3010751</v>
      </c>
      <c r="CO12" s="102"/>
      <c r="CP12" s="141">
        <v>816951</v>
      </c>
      <c r="CQ12" s="141">
        <v>172994</v>
      </c>
      <c r="CR12" s="141">
        <v>5055922</v>
      </c>
      <c r="CS12" s="141">
        <v>376712</v>
      </c>
      <c r="CT12" s="141">
        <v>403909</v>
      </c>
      <c r="CU12" s="141">
        <v>373063</v>
      </c>
      <c r="CV12" s="73">
        <f t="shared" si="8"/>
        <v>3246207</v>
      </c>
      <c r="CW12" s="141">
        <v>2204728</v>
      </c>
      <c r="CX12" s="141">
        <v>1041479</v>
      </c>
      <c r="CY12" s="73">
        <f t="shared" si="9"/>
        <v>2000487</v>
      </c>
      <c r="CZ12" s="141">
        <v>2000487</v>
      </c>
      <c r="DA12" s="141">
        <v>0</v>
      </c>
      <c r="DB12" s="73">
        <f t="shared" si="10"/>
        <v>1215868</v>
      </c>
      <c r="DC12" s="141">
        <v>183026</v>
      </c>
      <c r="DD12" s="141">
        <v>1032842</v>
      </c>
      <c r="DE12" s="141">
        <v>3739746</v>
      </c>
      <c r="DF12" s="141">
        <v>1183708</v>
      </c>
      <c r="DG12" s="141">
        <v>2556038</v>
      </c>
      <c r="DH12" s="141">
        <v>0</v>
      </c>
      <c r="DI12" s="141">
        <v>0</v>
      </c>
      <c r="DJ12" s="141">
        <v>0</v>
      </c>
      <c r="DK12" s="141">
        <v>1323568</v>
      </c>
      <c r="DL12" s="141">
        <v>704080</v>
      </c>
      <c r="DM12" s="141">
        <v>119658</v>
      </c>
      <c r="DN12" s="141">
        <v>499830</v>
      </c>
      <c r="DO12" s="141">
        <v>0</v>
      </c>
      <c r="DP12" s="141">
        <v>0</v>
      </c>
      <c r="DQ12" s="141">
        <v>0</v>
      </c>
      <c r="DR12" s="141">
        <v>0</v>
      </c>
      <c r="DS12" s="141">
        <v>0</v>
      </c>
      <c r="DT12" s="141">
        <v>0</v>
      </c>
      <c r="DU12" s="141">
        <v>0</v>
      </c>
      <c r="DV12" s="141">
        <v>3365006</v>
      </c>
      <c r="DW12" s="141">
        <v>58146</v>
      </c>
      <c r="DX12" s="73">
        <f t="shared" si="11"/>
        <v>0</v>
      </c>
      <c r="DY12" s="141">
        <v>0</v>
      </c>
      <c r="DZ12" s="141">
        <v>1306370</v>
      </c>
      <c r="EA12" s="141">
        <v>0</v>
      </c>
      <c r="EB12" s="141">
        <v>865461</v>
      </c>
      <c r="EC12" s="74"/>
      <c r="ED12" s="141">
        <v>1135029</v>
      </c>
      <c r="EE12" s="141">
        <v>0</v>
      </c>
      <c r="EF12" s="141">
        <v>37712544</v>
      </c>
      <c r="EG12" s="71"/>
      <c r="EH12" s="141">
        <v>305379</v>
      </c>
      <c r="EI12" s="141">
        <v>79633</v>
      </c>
      <c r="EJ12" s="141">
        <v>225746</v>
      </c>
      <c r="EK12" s="141">
        <v>4934</v>
      </c>
      <c r="EL12" s="141">
        <v>-590986</v>
      </c>
      <c r="EM12" s="71"/>
      <c r="EN12" s="141">
        <v>74412</v>
      </c>
      <c r="EO12" s="141">
        <v>72762</v>
      </c>
      <c r="EP12" s="141">
        <v>1434276</v>
      </c>
      <c r="EQ12" s="141">
        <v>12003</v>
      </c>
      <c r="ER12" s="73">
        <f t="shared" si="12"/>
        <v>2135539</v>
      </c>
      <c r="ES12" s="141">
        <v>20168985</v>
      </c>
      <c r="ET12" s="141">
        <v>-3659438</v>
      </c>
      <c r="EU12" s="141">
        <v>4910896</v>
      </c>
      <c r="EV12" s="141">
        <v>2738181</v>
      </c>
      <c r="EW12" s="141">
        <v>3939862</v>
      </c>
      <c r="EX12" s="141">
        <v>2573516</v>
      </c>
      <c r="EY12" s="73">
        <f t="shared" si="13"/>
        <v>608595</v>
      </c>
      <c r="EZ12" s="141">
        <v>608595</v>
      </c>
      <c r="FA12" s="141">
        <v>53728</v>
      </c>
      <c r="FB12" s="141">
        <v>554867</v>
      </c>
      <c r="FC12" s="141">
        <v>0</v>
      </c>
      <c r="FD12" s="141">
        <v>0</v>
      </c>
      <c r="FE12" s="141">
        <v>3559137</v>
      </c>
      <c r="FF12" s="141">
        <v>4335689</v>
      </c>
      <c r="FG12" s="141">
        <v>376712</v>
      </c>
      <c r="FH12" s="141">
        <v>2611587</v>
      </c>
      <c r="FI12" s="73">
        <f t="shared" si="14"/>
        <v>983762</v>
      </c>
      <c r="FJ12" s="141">
        <v>23523044</v>
      </c>
      <c r="FK12" s="379">
        <f t="shared" si="15"/>
        <v>1.2</v>
      </c>
      <c r="FL12" s="141">
        <v>18451377</v>
      </c>
      <c r="FM12" s="141">
        <v>87734</v>
      </c>
      <c r="FN12" s="141">
        <v>10466742</v>
      </c>
      <c r="FO12" s="141">
        <v>15559106</v>
      </c>
      <c r="FP12" s="395">
        <v>0.68700000000000006</v>
      </c>
      <c r="FQ12" s="380">
        <v>100.8</v>
      </c>
      <c r="FR12" s="381">
        <v>25.3</v>
      </c>
      <c r="FS12" s="380">
        <v>15.5</v>
      </c>
      <c r="FT12" s="380">
        <v>13.5</v>
      </c>
      <c r="FU12" s="381">
        <v>16.8</v>
      </c>
      <c r="FV12" s="380">
        <v>15.9</v>
      </c>
      <c r="FW12" s="382">
        <v>12.9</v>
      </c>
      <c r="FX12" s="383">
        <v>7.4</v>
      </c>
      <c r="FY12" s="141">
        <v>27658312</v>
      </c>
      <c r="FZ12" s="384">
        <f t="shared" si="16"/>
        <v>149.19999999999999</v>
      </c>
      <c r="GA12" s="141">
        <v>8959997</v>
      </c>
      <c r="GB12" s="141">
        <v>4157099</v>
      </c>
      <c r="GC12" s="141">
        <v>605489</v>
      </c>
      <c r="GD12" s="141">
        <v>4197409</v>
      </c>
      <c r="GE12" s="107"/>
      <c r="GF12" s="385"/>
      <c r="GG12" s="386" t="str">
        <f>IF(GF12=0,"-",ROUND(GF12/(GX12)*100,1))</f>
        <v>-</v>
      </c>
      <c r="GH12" s="380">
        <v>99.3</v>
      </c>
      <c r="GI12" s="380">
        <v>28.2</v>
      </c>
      <c r="GJ12" s="380">
        <v>97.9</v>
      </c>
      <c r="GK12" s="141">
        <v>507</v>
      </c>
      <c r="GL12" s="391" t="s">
        <v>646</v>
      </c>
      <c r="GM12" s="391">
        <v>12.57</v>
      </c>
      <c r="GN12" s="117">
        <v>20</v>
      </c>
      <c r="GO12" s="391" t="s">
        <v>646</v>
      </c>
      <c r="GP12" s="392">
        <v>17.57</v>
      </c>
      <c r="GQ12" s="387">
        <v>30</v>
      </c>
      <c r="GR12" s="381">
        <v>7.4</v>
      </c>
      <c r="GS12" s="388">
        <v>25</v>
      </c>
      <c r="GT12" s="388">
        <v>35</v>
      </c>
      <c r="GU12" s="393">
        <v>44.6</v>
      </c>
      <c r="GV12" s="388">
        <v>350</v>
      </c>
      <c r="GW12" s="394"/>
      <c r="GX12" s="100">
        <f t="shared" si="17"/>
        <v>18539</v>
      </c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  <c r="HW12" s="394"/>
      <c r="HX12" s="394"/>
    </row>
    <row r="13" spans="2:232" ht="12.75" customHeight="1" x14ac:dyDescent="0.15">
      <c r="B13" s="89" t="s">
        <v>15</v>
      </c>
      <c r="C13" s="141">
        <v>51792914</v>
      </c>
      <c r="D13" s="73">
        <f t="shared" si="0"/>
        <v>20550768</v>
      </c>
      <c r="E13" s="141">
        <v>518312</v>
      </c>
      <c r="F13" s="141">
        <v>20032456</v>
      </c>
      <c r="G13" s="73">
        <f t="shared" si="1"/>
        <v>3069080</v>
      </c>
      <c r="H13" s="141">
        <v>853629</v>
      </c>
      <c r="I13" s="141">
        <v>2215451</v>
      </c>
      <c r="J13" s="141">
        <v>20522653</v>
      </c>
      <c r="K13" s="141">
        <v>8136228</v>
      </c>
      <c r="L13" s="141">
        <v>9449108</v>
      </c>
      <c r="M13" s="141">
        <v>2692705</v>
      </c>
      <c r="N13" s="141">
        <v>1723076</v>
      </c>
      <c r="O13" s="141">
        <v>4209792</v>
      </c>
      <c r="P13" s="141">
        <v>2223347</v>
      </c>
      <c r="Q13" s="141">
        <v>1986445</v>
      </c>
      <c r="R13" s="141">
        <v>634080</v>
      </c>
      <c r="S13" s="74"/>
      <c r="T13" s="73">
        <f t="shared" si="2"/>
        <v>10892936</v>
      </c>
      <c r="U13" s="141">
        <v>60590</v>
      </c>
      <c r="V13" s="141">
        <v>671372</v>
      </c>
      <c r="W13" s="141">
        <v>882700</v>
      </c>
      <c r="X13" s="141">
        <v>8229350</v>
      </c>
      <c r="Y13" s="141">
        <v>45822</v>
      </c>
      <c r="Z13" s="160"/>
      <c r="AA13" s="141">
        <v>0</v>
      </c>
      <c r="AB13" s="141">
        <v>168543</v>
      </c>
      <c r="AC13" s="141">
        <v>834559</v>
      </c>
      <c r="AD13" s="141">
        <v>1931405</v>
      </c>
      <c r="AE13" s="141">
        <v>17086835</v>
      </c>
      <c r="AF13" s="141">
        <v>16456594</v>
      </c>
      <c r="AG13" s="141">
        <v>630241</v>
      </c>
      <c r="AH13" s="141">
        <v>32055</v>
      </c>
      <c r="AI13" s="141">
        <v>923311</v>
      </c>
      <c r="AJ13" s="73">
        <f t="shared" si="3"/>
        <v>2297827</v>
      </c>
      <c r="AK13" s="141">
        <v>1836057</v>
      </c>
      <c r="AL13" s="141">
        <v>461770</v>
      </c>
      <c r="AM13" s="141">
        <v>35101279</v>
      </c>
      <c r="AN13" s="73">
        <f t="shared" si="4"/>
        <v>19485741</v>
      </c>
      <c r="AO13" s="141">
        <v>7860330</v>
      </c>
      <c r="AP13" s="141">
        <v>6569628</v>
      </c>
      <c r="AQ13" s="74"/>
      <c r="AR13" s="141">
        <v>5055783</v>
      </c>
      <c r="AS13" s="141">
        <v>1430003</v>
      </c>
      <c r="AT13" s="141">
        <v>0</v>
      </c>
      <c r="AU13" s="141">
        <v>0</v>
      </c>
      <c r="AV13" s="141">
        <v>12515399</v>
      </c>
      <c r="AW13" s="141">
        <v>8344524</v>
      </c>
      <c r="AX13" s="141">
        <v>2370907</v>
      </c>
      <c r="AY13" s="141">
        <v>428988</v>
      </c>
      <c r="AZ13" s="141">
        <v>4170875</v>
      </c>
      <c r="BA13" s="141">
        <v>662390</v>
      </c>
      <c r="BB13" s="141">
        <v>891506</v>
      </c>
      <c r="BC13" s="141">
        <v>679338</v>
      </c>
      <c r="BD13" s="141">
        <v>797734</v>
      </c>
      <c r="BE13" s="141">
        <v>661804</v>
      </c>
      <c r="BF13" s="141">
        <v>0</v>
      </c>
      <c r="BG13" s="141">
        <v>0</v>
      </c>
      <c r="BH13" s="141">
        <v>548612</v>
      </c>
      <c r="BI13" s="141">
        <v>0</v>
      </c>
      <c r="BJ13" s="141">
        <v>4899068</v>
      </c>
      <c r="BK13" s="141">
        <v>2658191</v>
      </c>
      <c r="BL13" s="141">
        <v>4157366</v>
      </c>
      <c r="BM13" s="141">
        <v>355581</v>
      </c>
      <c r="BN13" s="141">
        <v>0</v>
      </c>
      <c r="BO13" s="141">
        <v>416178</v>
      </c>
      <c r="BP13" s="141">
        <v>3381400</v>
      </c>
      <c r="BQ13" s="73">
        <f t="shared" si="5"/>
        <v>3381400</v>
      </c>
      <c r="BR13" s="73">
        <f t="shared" si="6"/>
        <v>0</v>
      </c>
      <c r="BS13" s="141">
        <v>0</v>
      </c>
      <c r="BT13" s="141">
        <v>0</v>
      </c>
      <c r="BU13" s="141">
        <v>0</v>
      </c>
      <c r="BV13" s="141">
        <v>0</v>
      </c>
      <c r="BW13" s="141">
        <v>147996919</v>
      </c>
      <c r="BX13" s="71"/>
      <c r="BY13" s="141">
        <v>22603026</v>
      </c>
      <c r="BZ13" s="141">
        <v>14665983</v>
      </c>
      <c r="CA13" s="141">
        <v>735905</v>
      </c>
      <c r="CB13" s="141">
        <v>3283452</v>
      </c>
      <c r="CC13" s="141">
        <v>49247202</v>
      </c>
      <c r="CD13" s="141">
        <v>15961048</v>
      </c>
      <c r="CE13" s="141">
        <v>105997</v>
      </c>
      <c r="CF13" s="141">
        <v>20687960</v>
      </c>
      <c r="CG13" s="141">
        <v>10209171</v>
      </c>
      <c r="CH13" s="141">
        <v>513966</v>
      </c>
      <c r="CI13" s="141">
        <v>1768820</v>
      </c>
      <c r="CJ13" s="141">
        <v>6805578</v>
      </c>
      <c r="CK13" s="141">
        <v>6734363</v>
      </c>
      <c r="CL13" s="83">
        <f t="shared" si="7"/>
        <v>71215</v>
      </c>
      <c r="CM13" s="141">
        <v>18659088</v>
      </c>
      <c r="CN13" s="141">
        <v>12294553</v>
      </c>
      <c r="CO13" s="102"/>
      <c r="CP13" s="141">
        <v>4284491</v>
      </c>
      <c r="CQ13" s="141">
        <v>2230577</v>
      </c>
      <c r="CR13" s="141">
        <v>11910726</v>
      </c>
      <c r="CS13" s="141">
        <v>26262</v>
      </c>
      <c r="CT13" s="141">
        <v>4805481</v>
      </c>
      <c r="CU13" s="141">
        <v>3520503</v>
      </c>
      <c r="CV13" s="73">
        <f t="shared" si="8"/>
        <v>3667592</v>
      </c>
      <c r="CW13" s="141">
        <v>1688008</v>
      </c>
      <c r="CX13" s="141">
        <v>1979584</v>
      </c>
      <c r="CY13" s="73">
        <f t="shared" si="9"/>
        <v>0</v>
      </c>
      <c r="CZ13" s="141">
        <v>0</v>
      </c>
      <c r="DA13" s="141">
        <v>0</v>
      </c>
      <c r="DB13" s="73">
        <f t="shared" si="10"/>
        <v>1935449</v>
      </c>
      <c r="DC13" s="141">
        <v>1666487</v>
      </c>
      <c r="DD13" s="141">
        <v>268962</v>
      </c>
      <c r="DE13" s="141">
        <v>10918682</v>
      </c>
      <c r="DF13" s="141">
        <v>5160813</v>
      </c>
      <c r="DG13" s="141">
        <v>4467518</v>
      </c>
      <c r="DH13" s="141">
        <v>39174</v>
      </c>
      <c r="DI13" s="141">
        <v>1251177</v>
      </c>
      <c r="DJ13" s="141">
        <v>0</v>
      </c>
      <c r="DK13" s="141">
        <v>5701965</v>
      </c>
      <c r="DL13" s="141">
        <v>1894293</v>
      </c>
      <c r="DM13" s="141">
        <v>542</v>
      </c>
      <c r="DN13" s="141">
        <v>3807130</v>
      </c>
      <c r="DO13" s="141">
        <v>0</v>
      </c>
      <c r="DP13" s="141">
        <v>0</v>
      </c>
      <c r="DQ13" s="141">
        <v>0</v>
      </c>
      <c r="DR13" s="141">
        <v>0</v>
      </c>
      <c r="DS13" s="141">
        <v>308754</v>
      </c>
      <c r="DT13" s="141">
        <v>0</v>
      </c>
      <c r="DU13" s="141">
        <v>0</v>
      </c>
      <c r="DV13" s="141">
        <v>14370853</v>
      </c>
      <c r="DW13" s="141">
        <v>0</v>
      </c>
      <c r="DX13" s="73">
        <f t="shared" si="11"/>
        <v>0</v>
      </c>
      <c r="DY13" s="141">
        <v>0</v>
      </c>
      <c r="DZ13" s="141">
        <v>6268088</v>
      </c>
      <c r="EA13" s="141">
        <v>0</v>
      </c>
      <c r="EB13" s="141">
        <v>3049840</v>
      </c>
      <c r="EC13" s="74"/>
      <c r="ED13" s="141">
        <v>5052254</v>
      </c>
      <c r="EE13" s="141">
        <v>0</v>
      </c>
      <c r="EF13" s="141">
        <v>142756451</v>
      </c>
      <c r="EG13" s="71"/>
      <c r="EH13" s="141">
        <v>5240468</v>
      </c>
      <c r="EI13" s="141">
        <v>1717311</v>
      </c>
      <c r="EJ13" s="141">
        <v>3523157</v>
      </c>
      <c r="EK13" s="141">
        <v>864966</v>
      </c>
      <c r="EL13" s="141">
        <v>2759259</v>
      </c>
      <c r="EM13" s="71"/>
      <c r="EN13" s="141">
        <v>352698</v>
      </c>
      <c r="EO13" s="141">
        <v>345589</v>
      </c>
      <c r="EP13" s="141">
        <v>0</v>
      </c>
      <c r="EQ13" s="141">
        <v>136970</v>
      </c>
      <c r="ER13" s="73">
        <f t="shared" si="12"/>
        <v>10460775</v>
      </c>
      <c r="ES13" s="141">
        <v>82370225</v>
      </c>
      <c r="ET13" s="141">
        <v>-10565690</v>
      </c>
      <c r="EU13" s="141">
        <v>20661444</v>
      </c>
      <c r="EV13" s="141">
        <v>13644821</v>
      </c>
      <c r="EW13" s="141">
        <v>17228636</v>
      </c>
      <c r="EX13" s="141">
        <v>6418718</v>
      </c>
      <c r="EY13" s="73">
        <f t="shared" si="13"/>
        <v>2775955</v>
      </c>
      <c r="EZ13" s="141">
        <v>2775955</v>
      </c>
      <c r="FA13" s="141">
        <v>853724</v>
      </c>
      <c r="FB13" s="141">
        <v>1883057</v>
      </c>
      <c r="FC13" s="141">
        <v>0</v>
      </c>
      <c r="FD13" s="141">
        <v>0</v>
      </c>
      <c r="FE13" s="141">
        <v>13571245</v>
      </c>
      <c r="FF13" s="141">
        <v>8844024</v>
      </c>
      <c r="FG13" s="141">
        <v>26262</v>
      </c>
      <c r="FH13" s="141">
        <v>11323167</v>
      </c>
      <c r="FI13" s="73">
        <f t="shared" si="14"/>
        <v>6990279</v>
      </c>
      <c r="FJ13" s="141">
        <v>87813468</v>
      </c>
      <c r="FK13" s="379">
        <f t="shared" si="15"/>
        <v>4.5999999999999996</v>
      </c>
      <c r="FL13" s="141">
        <v>75147122</v>
      </c>
      <c r="FM13" s="141">
        <v>860952</v>
      </c>
      <c r="FN13" s="141">
        <v>45982287</v>
      </c>
      <c r="FO13" s="141">
        <v>62430247</v>
      </c>
      <c r="FP13" s="395">
        <v>0.75</v>
      </c>
      <c r="FQ13" s="380">
        <v>91.3</v>
      </c>
      <c r="FR13" s="381">
        <v>26.4</v>
      </c>
      <c r="FS13" s="380">
        <v>16.100000000000001</v>
      </c>
      <c r="FT13" s="380">
        <v>8.1999999999999993</v>
      </c>
      <c r="FU13" s="381">
        <v>16</v>
      </c>
      <c r="FV13" s="380">
        <v>7.6</v>
      </c>
      <c r="FW13" s="382">
        <v>14.2</v>
      </c>
      <c r="FX13" s="383">
        <v>-2.7</v>
      </c>
      <c r="FY13" s="141">
        <v>33422251</v>
      </c>
      <c r="FZ13" s="384">
        <f t="shared" si="16"/>
        <v>44</v>
      </c>
      <c r="GA13" s="141">
        <v>46211217</v>
      </c>
      <c r="GB13" s="141">
        <v>18826747</v>
      </c>
      <c r="GC13" s="141">
        <v>2531772</v>
      </c>
      <c r="GD13" s="141">
        <v>24852698</v>
      </c>
      <c r="GE13" s="107"/>
      <c r="GF13" s="385">
        <v>1450</v>
      </c>
      <c r="GG13" s="386">
        <f>IF(GF13=0,"-",ROUND(GF13/(GX13)*100,1))</f>
        <v>1.9</v>
      </c>
      <c r="GH13" s="380">
        <v>99.8</v>
      </c>
      <c r="GI13" s="380">
        <v>54.1</v>
      </c>
      <c r="GJ13" s="380">
        <v>99.6</v>
      </c>
      <c r="GK13" s="141">
        <v>2073</v>
      </c>
      <c r="GL13" s="391" t="s">
        <v>646</v>
      </c>
      <c r="GM13" s="391">
        <v>11.25</v>
      </c>
      <c r="GN13" s="117">
        <v>20</v>
      </c>
      <c r="GO13" s="391" t="s">
        <v>646</v>
      </c>
      <c r="GP13" s="392">
        <v>16.25</v>
      </c>
      <c r="GQ13" s="387">
        <v>30</v>
      </c>
      <c r="GR13" s="381">
        <v>-2.7</v>
      </c>
      <c r="GS13" s="388">
        <v>25</v>
      </c>
      <c r="GT13" s="388">
        <v>35</v>
      </c>
      <c r="GU13" s="393" t="s">
        <v>646</v>
      </c>
      <c r="GV13" s="388">
        <v>350</v>
      </c>
      <c r="GW13" s="394"/>
      <c r="GX13" s="100">
        <f t="shared" si="17"/>
        <v>76008</v>
      </c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  <c r="HW13" s="394"/>
      <c r="HX13" s="394"/>
    </row>
    <row r="14" spans="2:232" x14ac:dyDescent="0.15">
      <c r="B14" s="89" t="s">
        <v>17</v>
      </c>
      <c r="C14" s="141">
        <v>11373282</v>
      </c>
      <c r="D14" s="73">
        <f t="shared" si="0"/>
        <v>3844638</v>
      </c>
      <c r="E14" s="141">
        <v>118773</v>
      </c>
      <c r="F14" s="141">
        <v>3725865</v>
      </c>
      <c r="G14" s="73">
        <f t="shared" si="1"/>
        <v>741094</v>
      </c>
      <c r="H14" s="141">
        <v>209954</v>
      </c>
      <c r="I14" s="141">
        <v>531140</v>
      </c>
      <c r="J14" s="141">
        <v>4964630</v>
      </c>
      <c r="K14" s="141">
        <v>1615636</v>
      </c>
      <c r="L14" s="141">
        <v>2237354</v>
      </c>
      <c r="M14" s="141">
        <v>907883</v>
      </c>
      <c r="N14" s="141">
        <v>694070</v>
      </c>
      <c r="O14" s="141">
        <v>878019</v>
      </c>
      <c r="P14" s="141">
        <v>409527</v>
      </c>
      <c r="Q14" s="141">
        <v>468492</v>
      </c>
      <c r="R14" s="141">
        <v>181266</v>
      </c>
      <c r="S14" s="74"/>
      <c r="T14" s="73">
        <f t="shared" si="2"/>
        <v>2629266</v>
      </c>
      <c r="U14" s="141">
        <v>11772</v>
      </c>
      <c r="V14" s="141">
        <v>130135</v>
      </c>
      <c r="W14" s="141">
        <v>170693</v>
      </c>
      <c r="X14" s="141">
        <v>2028649</v>
      </c>
      <c r="Y14" s="141">
        <v>0</v>
      </c>
      <c r="Z14" s="160"/>
      <c r="AA14" s="141">
        <v>0</v>
      </c>
      <c r="AB14" s="141">
        <v>48601</v>
      </c>
      <c r="AC14" s="141">
        <v>239416</v>
      </c>
      <c r="AD14" s="141">
        <v>434644</v>
      </c>
      <c r="AE14" s="141">
        <v>6940580</v>
      </c>
      <c r="AF14" s="141">
        <v>6529803</v>
      </c>
      <c r="AG14" s="141">
        <v>410777</v>
      </c>
      <c r="AH14" s="141">
        <v>10898</v>
      </c>
      <c r="AI14" s="141">
        <v>55461</v>
      </c>
      <c r="AJ14" s="73">
        <f t="shared" si="3"/>
        <v>455468</v>
      </c>
      <c r="AK14" s="141">
        <v>338909</v>
      </c>
      <c r="AL14" s="141">
        <v>116559</v>
      </c>
      <c r="AM14" s="141">
        <v>9048132</v>
      </c>
      <c r="AN14" s="73">
        <f t="shared" si="4"/>
        <v>5250975</v>
      </c>
      <c r="AO14" s="141">
        <v>2316939</v>
      </c>
      <c r="AP14" s="141">
        <v>1678086</v>
      </c>
      <c r="AQ14" s="74"/>
      <c r="AR14" s="141">
        <v>1255950</v>
      </c>
      <c r="AS14" s="141">
        <v>330847</v>
      </c>
      <c r="AT14" s="141">
        <v>0</v>
      </c>
      <c r="AU14" s="141">
        <v>0</v>
      </c>
      <c r="AV14" s="141">
        <v>3069203</v>
      </c>
      <c r="AW14" s="141">
        <v>2558901</v>
      </c>
      <c r="AX14" s="141">
        <v>555110</v>
      </c>
      <c r="AY14" s="141">
        <v>17341</v>
      </c>
      <c r="AZ14" s="141">
        <v>510302</v>
      </c>
      <c r="BA14" s="141">
        <v>382</v>
      </c>
      <c r="BB14" s="141">
        <v>36220</v>
      </c>
      <c r="BC14" s="141">
        <v>1073</v>
      </c>
      <c r="BD14" s="141">
        <v>746527</v>
      </c>
      <c r="BE14" s="141">
        <v>768790</v>
      </c>
      <c r="BF14" s="141">
        <v>0</v>
      </c>
      <c r="BG14" s="141">
        <v>0</v>
      </c>
      <c r="BH14" s="141">
        <v>734472</v>
      </c>
      <c r="BI14" s="141">
        <v>0</v>
      </c>
      <c r="BJ14" s="141">
        <v>328568</v>
      </c>
      <c r="BK14" s="141">
        <v>242479</v>
      </c>
      <c r="BL14" s="141">
        <v>826306</v>
      </c>
      <c r="BM14" s="141">
        <v>122573</v>
      </c>
      <c r="BN14" s="141">
        <v>0</v>
      </c>
      <c r="BO14" s="141">
        <v>293348</v>
      </c>
      <c r="BP14" s="141">
        <v>1005420</v>
      </c>
      <c r="BQ14" s="73">
        <f t="shared" si="5"/>
        <v>921600</v>
      </c>
      <c r="BR14" s="73">
        <f t="shared" si="6"/>
        <v>83820</v>
      </c>
      <c r="BS14" s="141">
        <v>0</v>
      </c>
      <c r="BT14" s="141">
        <v>0</v>
      </c>
      <c r="BU14" s="141">
        <v>83820</v>
      </c>
      <c r="BV14" s="141">
        <v>0</v>
      </c>
      <c r="BW14" s="141">
        <v>37910031</v>
      </c>
      <c r="BX14" s="71"/>
      <c r="BY14" s="141">
        <v>6753670</v>
      </c>
      <c r="BZ14" s="141">
        <v>4318167</v>
      </c>
      <c r="CA14" s="141">
        <v>245363</v>
      </c>
      <c r="CB14" s="141">
        <v>938131</v>
      </c>
      <c r="CC14" s="141">
        <v>11770252</v>
      </c>
      <c r="CD14" s="141">
        <v>3107903</v>
      </c>
      <c r="CE14" s="141">
        <v>8476</v>
      </c>
      <c r="CF14" s="141">
        <v>4990087</v>
      </c>
      <c r="CG14" s="141">
        <v>3167246</v>
      </c>
      <c r="CH14" s="141">
        <v>0</v>
      </c>
      <c r="CI14" s="141">
        <v>496190</v>
      </c>
      <c r="CJ14" s="141">
        <v>2822415</v>
      </c>
      <c r="CK14" s="141">
        <v>2667020</v>
      </c>
      <c r="CL14" s="83">
        <f t="shared" si="7"/>
        <v>155395</v>
      </c>
      <c r="CM14" s="141">
        <v>4075443</v>
      </c>
      <c r="CN14" s="141">
        <v>2672607</v>
      </c>
      <c r="CO14" s="102"/>
      <c r="CP14" s="141">
        <v>580221</v>
      </c>
      <c r="CQ14" s="141">
        <v>313272</v>
      </c>
      <c r="CR14" s="141">
        <v>5326785</v>
      </c>
      <c r="CS14" s="141">
        <v>617323</v>
      </c>
      <c r="CT14" s="141">
        <v>1656950</v>
      </c>
      <c r="CU14" s="141">
        <v>1334079</v>
      </c>
      <c r="CV14" s="73">
        <f t="shared" si="8"/>
        <v>2023534</v>
      </c>
      <c r="CW14" s="141">
        <v>1780048</v>
      </c>
      <c r="CX14" s="141">
        <v>243486</v>
      </c>
      <c r="CY14" s="73">
        <f t="shared" si="9"/>
        <v>923590</v>
      </c>
      <c r="CZ14" s="141">
        <v>910000</v>
      </c>
      <c r="DA14" s="141">
        <v>13590</v>
      </c>
      <c r="DB14" s="73">
        <f t="shared" si="10"/>
        <v>959680</v>
      </c>
      <c r="DC14" s="141">
        <v>855592</v>
      </c>
      <c r="DD14" s="141">
        <v>104088</v>
      </c>
      <c r="DE14" s="141">
        <v>1827487</v>
      </c>
      <c r="DF14" s="141">
        <v>746327</v>
      </c>
      <c r="DG14" s="141">
        <v>1058991</v>
      </c>
      <c r="DH14" s="141">
        <v>0</v>
      </c>
      <c r="DI14" s="141">
        <v>0</v>
      </c>
      <c r="DJ14" s="141">
        <v>0</v>
      </c>
      <c r="DK14" s="141">
        <v>1007639</v>
      </c>
      <c r="DL14" s="141">
        <v>124274</v>
      </c>
      <c r="DM14" s="141">
        <v>131282</v>
      </c>
      <c r="DN14" s="141">
        <v>752083</v>
      </c>
      <c r="DO14" s="141">
        <v>0</v>
      </c>
      <c r="DP14" s="141">
        <v>0</v>
      </c>
      <c r="DQ14" s="141">
        <v>0</v>
      </c>
      <c r="DR14" s="141">
        <v>0</v>
      </c>
      <c r="DS14" s="141">
        <v>120400</v>
      </c>
      <c r="DT14" s="141">
        <v>0</v>
      </c>
      <c r="DU14" s="141">
        <v>0</v>
      </c>
      <c r="DV14" s="141">
        <v>3741244</v>
      </c>
      <c r="DW14" s="141">
        <v>0</v>
      </c>
      <c r="DX14" s="73">
        <f t="shared" si="11"/>
        <v>0</v>
      </c>
      <c r="DY14" s="141">
        <v>0</v>
      </c>
      <c r="DZ14" s="141">
        <v>1551296</v>
      </c>
      <c r="EA14" s="141">
        <v>0</v>
      </c>
      <c r="EB14" s="141">
        <v>929853</v>
      </c>
      <c r="EC14" s="74"/>
      <c r="ED14" s="141">
        <v>1260095</v>
      </c>
      <c r="EE14" s="141">
        <v>0</v>
      </c>
      <c r="EF14" s="141">
        <v>37758607</v>
      </c>
      <c r="EG14" s="71"/>
      <c r="EH14" s="141">
        <v>151424</v>
      </c>
      <c r="EI14" s="141">
        <v>139745</v>
      </c>
      <c r="EJ14" s="141">
        <v>11679</v>
      </c>
      <c r="EK14" s="141">
        <v>-230800</v>
      </c>
      <c r="EL14" s="141">
        <v>-106526</v>
      </c>
      <c r="EM14" s="71"/>
      <c r="EN14" s="141">
        <v>84443</v>
      </c>
      <c r="EO14" s="141">
        <v>81420</v>
      </c>
      <c r="EP14" s="141">
        <v>0</v>
      </c>
      <c r="EQ14" s="141">
        <v>35552</v>
      </c>
      <c r="ER14" s="73">
        <f t="shared" si="12"/>
        <v>2584347</v>
      </c>
      <c r="ES14" s="141">
        <v>21569936</v>
      </c>
      <c r="ET14" s="141">
        <v>-2692821</v>
      </c>
      <c r="EU14" s="141">
        <v>6155355</v>
      </c>
      <c r="EV14" s="141">
        <v>4019583</v>
      </c>
      <c r="EW14" s="141">
        <v>3069450</v>
      </c>
      <c r="EX14" s="141">
        <v>2822415</v>
      </c>
      <c r="EY14" s="73">
        <f t="shared" si="13"/>
        <v>375002</v>
      </c>
      <c r="EZ14" s="141">
        <v>375002</v>
      </c>
      <c r="FA14" s="141">
        <v>70935</v>
      </c>
      <c r="FB14" s="141">
        <v>303998</v>
      </c>
      <c r="FC14" s="141">
        <v>0</v>
      </c>
      <c r="FD14" s="141">
        <v>0</v>
      </c>
      <c r="FE14" s="141">
        <v>3245111</v>
      </c>
      <c r="FF14" s="141">
        <v>4834567</v>
      </c>
      <c r="FG14" s="141">
        <v>617323</v>
      </c>
      <c r="FH14" s="141">
        <v>2926493</v>
      </c>
      <c r="FI14" s="73">
        <f t="shared" si="14"/>
        <v>682940</v>
      </c>
      <c r="FJ14" s="141">
        <v>24111333</v>
      </c>
      <c r="FK14" s="379">
        <f t="shared" si="15"/>
        <v>0.1</v>
      </c>
      <c r="FL14" s="141">
        <v>19714340</v>
      </c>
      <c r="FM14" s="141">
        <v>83820</v>
      </c>
      <c r="FN14" s="141">
        <v>10414705</v>
      </c>
      <c r="FO14" s="141">
        <v>16933685</v>
      </c>
      <c r="FP14" s="390">
        <v>0.628</v>
      </c>
      <c r="FQ14" s="380">
        <v>99.1</v>
      </c>
      <c r="FR14" s="381">
        <v>29.1</v>
      </c>
      <c r="FS14" s="380">
        <v>14.3</v>
      </c>
      <c r="FT14" s="380">
        <v>13.8</v>
      </c>
      <c r="FU14" s="381">
        <v>13.7</v>
      </c>
      <c r="FV14" s="380">
        <v>13.5</v>
      </c>
      <c r="FW14" s="382">
        <v>13.6</v>
      </c>
      <c r="FX14" s="383">
        <v>5.7</v>
      </c>
      <c r="FY14" s="141">
        <v>30070420</v>
      </c>
      <c r="FZ14" s="384">
        <f t="shared" si="16"/>
        <v>151.9</v>
      </c>
      <c r="GA14" s="141">
        <v>8981014</v>
      </c>
      <c r="GB14" s="141">
        <v>4399407</v>
      </c>
      <c r="GC14" s="141">
        <v>320113</v>
      </c>
      <c r="GD14" s="141">
        <v>4261494</v>
      </c>
      <c r="GE14" s="107"/>
      <c r="GF14" s="385"/>
      <c r="GG14" s="386"/>
      <c r="GH14" s="380">
        <v>99.5</v>
      </c>
      <c r="GI14" s="380">
        <v>39.799999999999997</v>
      </c>
      <c r="GJ14" s="380">
        <v>98.7</v>
      </c>
      <c r="GK14" s="141">
        <v>621</v>
      </c>
      <c r="GL14" s="391" t="s">
        <v>646</v>
      </c>
      <c r="GM14" s="391">
        <v>12.51</v>
      </c>
      <c r="GN14" s="117">
        <v>20</v>
      </c>
      <c r="GO14" s="391" t="s">
        <v>646</v>
      </c>
      <c r="GP14" s="392">
        <v>17.510000000000002</v>
      </c>
      <c r="GQ14" s="387">
        <v>30</v>
      </c>
      <c r="GR14" s="381">
        <v>5.7</v>
      </c>
      <c r="GS14" s="388">
        <v>25</v>
      </c>
      <c r="GT14" s="388">
        <v>35</v>
      </c>
      <c r="GU14" s="393">
        <v>12.1</v>
      </c>
      <c r="GV14" s="388">
        <v>350</v>
      </c>
      <c r="GW14" s="394"/>
      <c r="GX14" s="100">
        <f t="shared" si="17"/>
        <v>19798</v>
      </c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  <c r="HW14" s="394"/>
      <c r="HX14" s="394"/>
    </row>
    <row r="15" spans="2:232" x14ac:dyDescent="0.15">
      <c r="B15" s="89" t="s">
        <v>19</v>
      </c>
      <c r="C15" s="141">
        <v>22725812</v>
      </c>
      <c r="D15" s="73">
        <f t="shared" si="0"/>
        <v>7269561</v>
      </c>
      <c r="E15" s="141">
        <v>211299</v>
      </c>
      <c r="F15" s="141">
        <v>7058262</v>
      </c>
      <c r="G15" s="73">
        <f t="shared" si="1"/>
        <v>2018912</v>
      </c>
      <c r="H15" s="141">
        <v>531924</v>
      </c>
      <c r="I15" s="141">
        <v>1486988</v>
      </c>
      <c r="J15" s="141">
        <v>9429188</v>
      </c>
      <c r="K15" s="141">
        <v>3498069</v>
      </c>
      <c r="L15" s="141">
        <v>4410833</v>
      </c>
      <c r="M15" s="141">
        <v>1323021</v>
      </c>
      <c r="N15" s="141">
        <v>1111142</v>
      </c>
      <c r="O15" s="141">
        <v>1928873</v>
      </c>
      <c r="P15" s="141">
        <v>951723</v>
      </c>
      <c r="Q15" s="141">
        <v>977150</v>
      </c>
      <c r="R15" s="141">
        <v>221730</v>
      </c>
      <c r="S15" s="74"/>
      <c r="T15" s="73">
        <f t="shared" si="2"/>
        <v>4502896</v>
      </c>
      <c r="U15" s="141">
        <v>21346</v>
      </c>
      <c r="V15" s="141">
        <v>236801</v>
      </c>
      <c r="W15" s="141">
        <v>311677</v>
      </c>
      <c r="X15" s="141">
        <v>3455419</v>
      </c>
      <c r="Y15" s="141">
        <v>0</v>
      </c>
      <c r="Z15" s="160"/>
      <c r="AA15" s="141">
        <v>0</v>
      </c>
      <c r="AB15" s="141">
        <v>59936</v>
      </c>
      <c r="AC15" s="141">
        <v>417717</v>
      </c>
      <c r="AD15" s="141">
        <v>738370</v>
      </c>
      <c r="AE15" s="141">
        <v>10293281</v>
      </c>
      <c r="AF15" s="141">
        <v>9548529</v>
      </c>
      <c r="AG15" s="141">
        <v>744752</v>
      </c>
      <c r="AH15" s="141">
        <v>13672</v>
      </c>
      <c r="AI15" s="141">
        <v>858327</v>
      </c>
      <c r="AJ15" s="73">
        <f t="shared" si="3"/>
        <v>797408</v>
      </c>
      <c r="AK15" s="141">
        <v>555800</v>
      </c>
      <c r="AL15" s="141">
        <v>241608</v>
      </c>
      <c r="AM15" s="141">
        <v>20301253</v>
      </c>
      <c r="AN15" s="73">
        <f t="shared" si="4"/>
        <v>14536960</v>
      </c>
      <c r="AO15" s="141">
        <v>7353033</v>
      </c>
      <c r="AP15" s="141">
        <v>4142982</v>
      </c>
      <c r="AQ15" s="74"/>
      <c r="AR15" s="141">
        <v>3040945</v>
      </c>
      <c r="AS15" s="141">
        <v>227695</v>
      </c>
      <c r="AT15" s="141">
        <v>0</v>
      </c>
      <c r="AU15" s="141">
        <v>0</v>
      </c>
      <c r="AV15" s="141">
        <v>6479030</v>
      </c>
      <c r="AW15" s="141">
        <v>4723707</v>
      </c>
      <c r="AX15" s="141">
        <v>1707066</v>
      </c>
      <c r="AY15" s="141">
        <v>568833</v>
      </c>
      <c r="AZ15" s="141">
        <v>1755323</v>
      </c>
      <c r="BA15" s="141">
        <v>10497</v>
      </c>
      <c r="BB15" s="141">
        <v>3168282</v>
      </c>
      <c r="BC15" s="141">
        <v>3021822</v>
      </c>
      <c r="BD15" s="141">
        <v>214775</v>
      </c>
      <c r="BE15" s="141">
        <v>2545357</v>
      </c>
      <c r="BF15" s="141">
        <v>114465</v>
      </c>
      <c r="BG15" s="141">
        <v>1853229</v>
      </c>
      <c r="BH15" s="141">
        <v>577663</v>
      </c>
      <c r="BI15" s="141">
        <v>0</v>
      </c>
      <c r="BJ15" s="141">
        <v>505720</v>
      </c>
      <c r="BK15" s="141">
        <v>435975</v>
      </c>
      <c r="BL15" s="141">
        <v>1206120</v>
      </c>
      <c r="BM15" s="141">
        <v>4450</v>
      </c>
      <c r="BN15" s="141">
        <v>0</v>
      </c>
      <c r="BO15" s="141">
        <v>322196</v>
      </c>
      <c r="BP15" s="141">
        <v>2537300</v>
      </c>
      <c r="BQ15" s="73">
        <f t="shared" si="5"/>
        <v>2537300</v>
      </c>
      <c r="BR15" s="73">
        <f t="shared" si="6"/>
        <v>0</v>
      </c>
      <c r="BS15" s="141">
        <v>0</v>
      </c>
      <c r="BT15" s="141">
        <v>0</v>
      </c>
      <c r="BU15" s="141">
        <v>0</v>
      </c>
      <c r="BV15" s="141">
        <v>0</v>
      </c>
      <c r="BW15" s="141">
        <v>77109333</v>
      </c>
      <c r="BX15" s="71"/>
      <c r="BY15" s="141">
        <v>6004328</v>
      </c>
      <c r="BZ15" s="141">
        <v>3830809</v>
      </c>
      <c r="CA15" s="141">
        <v>339054</v>
      </c>
      <c r="CB15" s="141">
        <v>618574</v>
      </c>
      <c r="CC15" s="141">
        <v>29970291</v>
      </c>
      <c r="CD15" s="141">
        <v>6770633</v>
      </c>
      <c r="CE15" s="141">
        <v>0</v>
      </c>
      <c r="CF15" s="141">
        <v>11681118</v>
      </c>
      <c r="CG15" s="141">
        <v>9635135</v>
      </c>
      <c r="CH15" s="141">
        <v>871282</v>
      </c>
      <c r="CI15" s="141">
        <v>1011913</v>
      </c>
      <c r="CJ15" s="141">
        <v>6366486</v>
      </c>
      <c r="CK15" s="141">
        <v>6079629</v>
      </c>
      <c r="CL15" s="83">
        <f t="shared" si="7"/>
        <v>286857</v>
      </c>
      <c r="CM15" s="141">
        <v>8497716</v>
      </c>
      <c r="CN15" s="141">
        <v>6113331</v>
      </c>
      <c r="CO15" s="102"/>
      <c r="CP15" s="141">
        <v>778880</v>
      </c>
      <c r="CQ15" s="141">
        <v>182900</v>
      </c>
      <c r="CR15" s="141">
        <v>7846881</v>
      </c>
      <c r="CS15" s="141">
        <v>2769264</v>
      </c>
      <c r="CT15" s="141">
        <v>2899951</v>
      </c>
      <c r="CU15" s="141">
        <v>2293605</v>
      </c>
      <c r="CV15" s="73">
        <f t="shared" si="8"/>
        <v>1336686</v>
      </c>
      <c r="CW15" s="141">
        <v>1334676</v>
      </c>
      <c r="CX15" s="141">
        <v>2010</v>
      </c>
      <c r="CY15" s="73">
        <f t="shared" si="9"/>
        <v>0</v>
      </c>
      <c r="CZ15" s="141">
        <v>0</v>
      </c>
      <c r="DA15" s="141">
        <v>0</v>
      </c>
      <c r="DB15" s="73">
        <f t="shared" si="10"/>
        <v>1303052</v>
      </c>
      <c r="DC15" s="141">
        <v>1303052</v>
      </c>
      <c r="DD15" s="141">
        <v>0</v>
      </c>
      <c r="DE15" s="141">
        <v>5486949</v>
      </c>
      <c r="DF15" s="141">
        <v>1881856</v>
      </c>
      <c r="DG15" s="141">
        <v>3605093</v>
      </c>
      <c r="DH15" s="141">
        <v>0</v>
      </c>
      <c r="DI15" s="141">
        <v>0</v>
      </c>
      <c r="DJ15" s="141">
        <v>0</v>
      </c>
      <c r="DK15" s="141">
        <v>3907847</v>
      </c>
      <c r="DL15" s="141">
        <v>12375</v>
      </c>
      <c r="DM15" s="141">
        <v>2522173</v>
      </c>
      <c r="DN15" s="141">
        <v>1373299</v>
      </c>
      <c r="DO15" s="141">
        <v>32689</v>
      </c>
      <c r="DP15" s="141">
        <v>32689</v>
      </c>
      <c r="DQ15" s="141">
        <v>32689</v>
      </c>
      <c r="DR15" s="141">
        <v>0</v>
      </c>
      <c r="DS15" s="141">
        <v>0</v>
      </c>
      <c r="DT15" s="141">
        <v>0</v>
      </c>
      <c r="DU15" s="141">
        <v>0</v>
      </c>
      <c r="DV15" s="141">
        <v>7083355</v>
      </c>
      <c r="DW15" s="141">
        <v>0</v>
      </c>
      <c r="DX15" s="73">
        <f t="shared" si="11"/>
        <v>0</v>
      </c>
      <c r="DY15" s="141">
        <v>0</v>
      </c>
      <c r="DZ15" s="141">
        <v>2667317</v>
      </c>
      <c r="EA15" s="141">
        <v>0</v>
      </c>
      <c r="EB15" s="141">
        <v>1563702</v>
      </c>
      <c r="EC15" s="74"/>
      <c r="ED15" s="141">
        <v>2852336</v>
      </c>
      <c r="EE15" s="141">
        <v>0</v>
      </c>
      <c r="EF15" s="141">
        <v>75379442</v>
      </c>
      <c r="EG15" s="71"/>
      <c r="EH15" s="141">
        <v>1729891</v>
      </c>
      <c r="EI15" s="141">
        <v>307825</v>
      </c>
      <c r="EJ15" s="141">
        <v>1422066</v>
      </c>
      <c r="EK15" s="141">
        <v>486091</v>
      </c>
      <c r="EL15" s="141">
        <v>2140541</v>
      </c>
      <c r="EM15" s="71"/>
      <c r="EN15" s="141">
        <v>143096</v>
      </c>
      <c r="EO15" s="141">
        <v>140923</v>
      </c>
      <c r="EP15" s="141">
        <v>2088779</v>
      </c>
      <c r="EQ15" s="141">
        <v>27608</v>
      </c>
      <c r="ER15" s="73">
        <f t="shared" si="12"/>
        <v>3451907</v>
      </c>
      <c r="ES15" s="141">
        <v>38495761</v>
      </c>
      <c r="ET15" s="141">
        <v>-5554622</v>
      </c>
      <c r="EU15" s="141">
        <v>5397611</v>
      </c>
      <c r="EV15" s="141">
        <v>3373073</v>
      </c>
      <c r="EW15" s="141">
        <v>8448070</v>
      </c>
      <c r="EX15" s="141">
        <v>6339040</v>
      </c>
      <c r="EY15" s="73">
        <f t="shared" si="13"/>
        <v>1339079</v>
      </c>
      <c r="EZ15" s="141">
        <v>1339079</v>
      </c>
      <c r="FA15" s="141">
        <v>265896</v>
      </c>
      <c r="FB15" s="141">
        <v>1073183</v>
      </c>
      <c r="FC15" s="141">
        <v>0</v>
      </c>
      <c r="FD15" s="141">
        <v>0</v>
      </c>
      <c r="FE15" s="141">
        <v>7207476</v>
      </c>
      <c r="FF15" s="141">
        <v>7246560</v>
      </c>
      <c r="FG15" s="141">
        <v>2758380</v>
      </c>
      <c r="FH15" s="141">
        <v>5570426</v>
      </c>
      <c r="FI15" s="73">
        <f t="shared" si="14"/>
        <v>772230</v>
      </c>
      <c r="FJ15" s="141">
        <v>42320492</v>
      </c>
      <c r="FK15" s="379">
        <f t="shared" si="15"/>
        <v>4.0999999999999996</v>
      </c>
      <c r="FL15" s="141">
        <v>34691838</v>
      </c>
      <c r="FM15" s="141">
        <v>153930</v>
      </c>
      <c r="FN15" s="141">
        <v>19722709</v>
      </c>
      <c r="FO15" s="141">
        <v>29083636</v>
      </c>
      <c r="FP15" s="395">
        <v>0.67900000000000005</v>
      </c>
      <c r="FQ15" s="380">
        <v>97.5</v>
      </c>
      <c r="FR15" s="381">
        <v>14.5</v>
      </c>
      <c r="FS15" s="380">
        <v>23.4</v>
      </c>
      <c r="FT15" s="380">
        <v>12.7</v>
      </c>
      <c r="FU15" s="381">
        <v>17.3</v>
      </c>
      <c r="FV15" s="380">
        <v>14.1</v>
      </c>
      <c r="FW15" s="382">
        <v>15</v>
      </c>
      <c r="FX15" s="383">
        <v>4.8</v>
      </c>
      <c r="FY15" s="141">
        <v>51564307</v>
      </c>
      <c r="FZ15" s="384">
        <f t="shared" si="16"/>
        <v>148</v>
      </c>
      <c r="GA15" s="141">
        <v>19993321</v>
      </c>
      <c r="GB15" s="141">
        <v>6398339</v>
      </c>
      <c r="GC15" s="141">
        <v>3094528</v>
      </c>
      <c r="GD15" s="141">
        <v>10500454</v>
      </c>
      <c r="GE15" s="107"/>
      <c r="GF15" s="385"/>
      <c r="GG15" s="386"/>
      <c r="GH15" s="380">
        <v>99.7</v>
      </c>
      <c r="GI15" s="380">
        <v>33.9</v>
      </c>
      <c r="GJ15" s="380">
        <v>98.8</v>
      </c>
      <c r="GK15" s="141">
        <v>561</v>
      </c>
      <c r="GL15" s="391" t="s">
        <v>646</v>
      </c>
      <c r="GM15" s="391">
        <v>11.61</v>
      </c>
      <c r="GN15" s="117">
        <v>20</v>
      </c>
      <c r="GO15" s="391" t="s">
        <v>646</v>
      </c>
      <c r="GP15" s="392">
        <v>16.61</v>
      </c>
      <c r="GQ15" s="387">
        <v>30</v>
      </c>
      <c r="GR15" s="381">
        <v>4.8</v>
      </c>
      <c r="GS15" s="388">
        <v>25</v>
      </c>
      <c r="GT15" s="388">
        <v>35</v>
      </c>
      <c r="GU15" s="393" t="s">
        <v>646</v>
      </c>
      <c r="GV15" s="388">
        <v>350</v>
      </c>
      <c r="GW15" s="394"/>
      <c r="GX15" s="100">
        <f t="shared" si="17"/>
        <v>34846</v>
      </c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  <c r="HW15" s="394"/>
      <c r="HX15" s="394"/>
    </row>
    <row r="16" spans="2:232" x14ac:dyDescent="0.15">
      <c r="B16" s="89" t="s">
        <v>21</v>
      </c>
      <c r="C16" s="141">
        <v>57739787</v>
      </c>
      <c r="D16" s="73">
        <f t="shared" si="0"/>
        <v>22007770</v>
      </c>
      <c r="E16" s="141">
        <v>582864</v>
      </c>
      <c r="F16" s="141">
        <v>21424906</v>
      </c>
      <c r="G16" s="73">
        <f t="shared" si="1"/>
        <v>3813840</v>
      </c>
      <c r="H16" s="141">
        <v>806834</v>
      </c>
      <c r="I16" s="141">
        <v>3007006</v>
      </c>
      <c r="J16" s="141">
        <v>22782425</v>
      </c>
      <c r="K16" s="141">
        <v>8747346</v>
      </c>
      <c r="L16" s="141">
        <v>11045666</v>
      </c>
      <c r="M16" s="141">
        <v>2658270</v>
      </c>
      <c r="N16" s="141">
        <v>2071174</v>
      </c>
      <c r="O16" s="141">
        <v>4884657</v>
      </c>
      <c r="P16" s="141">
        <v>2505400</v>
      </c>
      <c r="Q16" s="141">
        <v>2379257</v>
      </c>
      <c r="R16" s="141">
        <v>652092</v>
      </c>
      <c r="S16" s="74"/>
      <c r="T16" s="73">
        <f t="shared" si="2"/>
        <v>12232855</v>
      </c>
      <c r="U16" s="141">
        <v>65704</v>
      </c>
      <c r="V16" s="141">
        <v>727885</v>
      </c>
      <c r="W16" s="141">
        <v>956812</v>
      </c>
      <c r="X16" s="141">
        <v>9280014</v>
      </c>
      <c r="Y16" s="141">
        <v>78466</v>
      </c>
      <c r="Z16" s="160"/>
      <c r="AA16" s="141">
        <v>0</v>
      </c>
      <c r="AB16" s="141">
        <v>176955</v>
      </c>
      <c r="AC16" s="141">
        <v>947019</v>
      </c>
      <c r="AD16" s="141">
        <v>2153916</v>
      </c>
      <c r="AE16" s="141">
        <v>18998027</v>
      </c>
      <c r="AF16" s="141">
        <v>18507490</v>
      </c>
      <c r="AG16" s="141">
        <v>490537</v>
      </c>
      <c r="AH16" s="141">
        <v>43940</v>
      </c>
      <c r="AI16" s="141">
        <v>486839</v>
      </c>
      <c r="AJ16" s="73">
        <f t="shared" si="3"/>
        <v>2295376</v>
      </c>
      <c r="AK16" s="141">
        <v>1734005</v>
      </c>
      <c r="AL16" s="141">
        <v>561371</v>
      </c>
      <c r="AM16" s="141">
        <v>40246231</v>
      </c>
      <c r="AN16" s="73">
        <f t="shared" si="4"/>
        <v>20816278</v>
      </c>
      <c r="AO16" s="141">
        <v>10142842</v>
      </c>
      <c r="AP16" s="141">
        <v>5234828</v>
      </c>
      <c r="AQ16" s="74"/>
      <c r="AR16" s="141">
        <v>5438608</v>
      </c>
      <c r="AS16" s="141">
        <v>1296731</v>
      </c>
      <c r="AT16" s="141">
        <v>0</v>
      </c>
      <c r="AU16" s="141">
        <v>0</v>
      </c>
      <c r="AV16" s="141">
        <v>14024684</v>
      </c>
      <c r="AW16" s="141">
        <v>10917151</v>
      </c>
      <c r="AX16" s="141">
        <v>2112952</v>
      </c>
      <c r="AY16" s="141">
        <v>333030</v>
      </c>
      <c r="AZ16" s="141">
        <v>3107533</v>
      </c>
      <c r="BA16" s="141">
        <v>0</v>
      </c>
      <c r="BB16" s="141">
        <v>115840</v>
      </c>
      <c r="BC16" s="141">
        <v>39109</v>
      </c>
      <c r="BD16" s="141">
        <v>309421</v>
      </c>
      <c r="BE16" s="141">
        <v>3719429</v>
      </c>
      <c r="BF16" s="141">
        <v>1500000</v>
      </c>
      <c r="BG16" s="141">
        <v>461139</v>
      </c>
      <c r="BH16" s="141">
        <v>1644098</v>
      </c>
      <c r="BI16" s="141">
        <v>0</v>
      </c>
      <c r="BJ16" s="141">
        <v>2902173</v>
      </c>
      <c r="BK16" s="141">
        <v>2352424</v>
      </c>
      <c r="BL16" s="141">
        <v>1847963</v>
      </c>
      <c r="BM16" s="141">
        <v>37101</v>
      </c>
      <c r="BN16" s="141">
        <v>0</v>
      </c>
      <c r="BO16" s="141">
        <v>436408</v>
      </c>
      <c r="BP16" s="141">
        <v>9174947</v>
      </c>
      <c r="BQ16" s="73">
        <f t="shared" si="5"/>
        <v>8431800</v>
      </c>
      <c r="BR16" s="73">
        <f t="shared" si="6"/>
        <v>743147</v>
      </c>
      <c r="BS16" s="141">
        <v>0</v>
      </c>
      <c r="BT16" s="141">
        <v>0</v>
      </c>
      <c r="BU16" s="141">
        <v>743147</v>
      </c>
      <c r="BV16" s="141">
        <v>0</v>
      </c>
      <c r="BW16" s="141">
        <v>166943520</v>
      </c>
      <c r="BX16" s="71"/>
      <c r="BY16" s="141">
        <v>21887871</v>
      </c>
      <c r="BZ16" s="141">
        <v>13514947</v>
      </c>
      <c r="CA16" s="141">
        <v>1476154</v>
      </c>
      <c r="CB16" s="141">
        <v>3321118</v>
      </c>
      <c r="CC16" s="141">
        <v>58651584</v>
      </c>
      <c r="CD16" s="141">
        <v>18642743</v>
      </c>
      <c r="CE16" s="141">
        <v>93157</v>
      </c>
      <c r="CF16" s="141">
        <v>24523068</v>
      </c>
      <c r="CG16" s="141">
        <v>13654418</v>
      </c>
      <c r="CH16" s="141">
        <v>361523</v>
      </c>
      <c r="CI16" s="141">
        <v>1376055</v>
      </c>
      <c r="CJ16" s="141">
        <v>11566886</v>
      </c>
      <c r="CK16" s="141">
        <v>11168524</v>
      </c>
      <c r="CL16" s="83">
        <f t="shared" si="7"/>
        <v>398362</v>
      </c>
      <c r="CM16" s="141">
        <v>20802213</v>
      </c>
      <c r="CN16" s="141">
        <v>14231088</v>
      </c>
      <c r="CO16" s="102"/>
      <c r="CP16" s="141">
        <v>3092006</v>
      </c>
      <c r="CQ16" s="141">
        <v>1343331</v>
      </c>
      <c r="CR16" s="141">
        <v>15455387</v>
      </c>
      <c r="CS16" s="141">
        <v>4978544</v>
      </c>
      <c r="CT16" s="141">
        <v>3085040</v>
      </c>
      <c r="CU16" s="141">
        <v>2481603</v>
      </c>
      <c r="CV16" s="73">
        <f t="shared" si="8"/>
        <v>5134676</v>
      </c>
      <c r="CW16" s="141">
        <v>2784591</v>
      </c>
      <c r="CX16" s="141">
        <v>2350085</v>
      </c>
      <c r="CY16" s="73">
        <f t="shared" si="9"/>
        <v>1571693</v>
      </c>
      <c r="CZ16" s="141">
        <v>1128082</v>
      </c>
      <c r="DA16" s="141">
        <v>443611</v>
      </c>
      <c r="DB16" s="73">
        <f t="shared" si="10"/>
        <v>3421895</v>
      </c>
      <c r="DC16" s="141">
        <v>1627105</v>
      </c>
      <c r="DD16" s="141">
        <v>1794790</v>
      </c>
      <c r="DE16" s="141">
        <v>13657290</v>
      </c>
      <c r="DF16" s="141">
        <v>7777852</v>
      </c>
      <c r="DG16" s="141">
        <v>5069739</v>
      </c>
      <c r="DH16" s="141">
        <v>348</v>
      </c>
      <c r="DI16" s="141">
        <v>809351</v>
      </c>
      <c r="DJ16" s="141">
        <v>150</v>
      </c>
      <c r="DK16" s="141">
        <v>3699895</v>
      </c>
      <c r="DL16" s="141">
        <v>1349858</v>
      </c>
      <c r="DM16" s="141">
        <v>1110964</v>
      </c>
      <c r="DN16" s="141">
        <v>1239073</v>
      </c>
      <c r="DO16" s="141">
        <v>870635</v>
      </c>
      <c r="DP16" s="141">
        <v>870635</v>
      </c>
      <c r="DQ16" s="141">
        <v>260000</v>
      </c>
      <c r="DR16" s="141">
        <v>0</v>
      </c>
      <c r="DS16" s="141">
        <v>33999</v>
      </c>
      <c r="DT16" s="141">
        <v>0</v>
      </c>
      <c r="DU16" s="141">
        <v>0</v>
      </c>
      <c r="DV16" s="141">
        <v>16487953</v>
      </c>
      <c r="DW16" s="141">
        <v>0</v>
      </c>
      <c r="DX16" s="73">
        <f t="shared" si="11"/>
        <v>0</v>
      </c>
      <c r="DY16" s="141">
        <v>0</v>
      </c>
      <c r="DZ16" s="141">
        <v>6501803</v>
      </c>
      <c r="EA16" s="141">
        <v>0</v>
      </c>
      <c r="EB16" s="141">
        <v>4406889</v>
      </c>
      <c r="EC16" s="74"/>
      <c r="ED16" s="141">
        <v>5579261</v>
      </c>
      <c r="EE16" s="141">
        <v>0</v>
      </c>
      <c r="EF16" s="141">
        <v>164457194</v>
      </c>
      <c r="EG16" s="71"/>
      <c r="EH16" s="141">
        <v>2486326</v>
      </c>
      <c r="EI16" s="141">
        <v>507750</v>
      </c>
      <c r="EJ16" s="141">
        <v>1978576</v>
      </c>
      <c r="EK16" s="141">
        <v>-373848</v>
      </c>
      <c r="EL16" s="141">
        <v>-289124</v>
      </c>
      <c r="EM16" s="71"/>
      <c r="EN16" s="141">
        <v>397289</v>
      </c>
      <c r="EO16" s="141">
        <v>392328</v>
      </c>
      <c r="EP16" s="141">
        <v>1966914</v>
      </c>
      <c r="EQ16" s="141">
        <v>92882</v>
      </c>
      <c r="ER16" s="73">
        <f t="shared" si="12"/>
        <v>9552119</v>
      </c>
      <c r="ES16" s="141">
        <v>91820617</v>
      </c>
      <c r="ET16" s="141">
        <v>-12311122</v>
      </c>
      <c r="EU16" s="141">
        <v>20203500</v>
      </c>
      <c r="EV16" s="141">
        <v>12443985</v>
      </c>
      <c r="EW16" s="141">
        <v>21743212</v>
      </c>
      <c r="EX16" s="141">
        <v>11324548</v>
      </c>
      <c r="EY16" s="73">
        <f t="shared" si="13"/>
        <v>954394</v>
      </c>
      <c r="EZ16" s="141">
        <v>954244</v>
      </c>
      <c r="FA16" s="141">
        <v>411005</v>
      </c>
      <c r="FB16" s="141">
        <v>542890</v>
      </c>
      <c r="FC16" s="141">
        <v>150</v>
      </c>
      <c r="FD16" s="141">
        <v>0</v>
      </c>
      <c r="FE16" s="141">
        <v>15953404</v>
      </c>
      <c r="FF16" s="141">
        <v>14167385</v>
      </c>
      <c r="FG16" s="141">
        <v>4974371</v>
      </c>
      <c r="FH16" s="141">
        <v>12835542</v>
      </c>
      <c r="FI16" s="73">
        <f t="shared" si="14"/>
        <v>4463428</v>
      </c>
      <c r="FJ16" s="141">
        <v>101645413</v>
      </c>
      <c r="FK16" s="379">
        <f t="shared" si="15"/>
        <v>2.2999999999999998</v>
      </c>
      <c r="FL16" s="141">
        <v>83701898</v>
      </c>
      <c r="FM16" s="141">
        <v>969421</v>
      </c>
      <c r="FN16" s="141">
        <v>51178381</v>
      </c>
      <c r="FO16" s="141">
        <v>69679521</v>
      </c>
      <c r="FP16" s="390">
        <v>0.751</v>
      </c>
      <c r="FQ16" s="380">
        <v>98.9</v>
      </c>
      <c r="FR16" s="381">
        <v>22.6</v>
      </c>
      <c r="FS16" s="380">
        <v>19.399999999999999</v>
      </c>
      <c r="FT16" s="380">
        <v>12.6</v>
      </c>
      <c r="FU16" s="381">
        <v>15.3</v>
      </c>
      <c r="FV16" s="380">
        <v>14.1</v>
      </c>
      <c r="FW16" s="382">
        <v>13.7</v>
      </c>
      <c r="FX16" s="383">
        <v>1.9</v>
      </c>
      <c r="FY16" s="141">
        <v>111800564</v>
      </c>
      <c r="FZ16" s="384">
        <f t="shared" si="16"/>
        <v>132</v>
      </c>
      <c r="GA16" s="141">
        <v>37006456</v>
      </c>
      <c r="GB16" s="141">
        <v>14384556</v>
      </c>
      <c r="GC16" s="141">
        <v>6763823</v>
      </c>
      <c r="GD16" s="141">
        <v>15858077</v>
      </c>
      <c r="GE16" s="107"/>
      <c r="GF16" s="385">
        <v>3461</v>
      </c>
      <c r="GG16" s="386">
        <f>IF(GF16=0,"-",ROUND(GF16/(GX16)*100,1))</f>
        <v>4.0999999999999996</v>
      </c>
      <c r="GH16" s="380">
        <v>99.8</v>
      </c>
      <c r="GI16" s="380">
        <v>38.5</v>
      </c>
      <c r="GJ16" s="380">
        <v>99.4</v>
      </c>
      <c r="GK16" s="141">
        <v>2062</v>
      </c>
      <c r="GL16" s="391" t="s">
        <v>646</v>
      </c>
      <c r="GM16" s="391">
        <v>11.25</v>
      </c>
      <c r="GN16" s="117">
        <v>20</v>
      </c>
      <c r="GO16" s="391" t="s">
        <v>646</v>
      </c>
      <c r="GP16" s="392">
        <v>16.25</v>
      </c>
      <c r="GQ16" s="387">
        <v>30</v>
      </c>
      <c r="GR16" s="381">
        <v>1.9</v>
      </c>
      <c r="GS16" s="388">
        <v>25</v>
      </c>
      <c r="GT16" s="388">
        <v>35</v>
      </c>
      <c r="GU16" s="393" t="s">
        <v>646</v>
      </c>
      <c r="GV16" s="388">
        <v>350</v>
      </c>
      <c r="GW16" s="394"/>
      <c r="GX16" s="100">
        <f t="shared" si="17"/>
        <v>84671</v>
      </c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  <c r="HW16" s="394"/>
      <c r="HX16" s="394"/>
    </row>
    <row r="17" spans="2:232" x14ac:dyDescent="0.15">
      <c r="B17" s="89" t="s">
        <v>23</v>
      </c>
      <c r="C17" s="141">
        <v>52288888</v>
      </c>
      <c r="D17" s="73">
        <f t="shared" si="0"/>
        <v>19136512</v>
      </c>
      <c r="E17" s="141">
        <v>443311</v>
      </c>
      <c r="F17" s="141">
        <v>18693201</v>
      </c>
      <c r="G17" s="73">
        <f t="shared" si="1"/>
        <v>3110783</v>
      </c>
      <c r="H17" s="141">
        <v>777313</v>
      </c>
      <c r="I17" s="141">
        <v>2333470</v>
      </c>
      <c r="J17" s="141">
        <v>23403972</v>
      </c>
      <c r="K17" s="141">
        <v>8655484</v>
      </c>
      <c r="L17" s="141">
        <v>10641510</v>
      </c>
      <c r="M17" s="141">
        <v>3876860</v>
      </c>
      <c r="N17" s="141">
        <v>1643163</v>
      </c>
      <c r="O17" s="141">
        <v>4614219</v>
      </c>
      <c r="P17" s="141">
        <v>2315415</v>
      </c>
      <c r="Q17" s="141">
        <v>2298804</v>
      </c>
      <c r="R17" s="141">
        <v>513855</v>
      </c>
      <c r="S17" s="74"/>
      <c r="T17" s="73">
        <f t="shared" si="2"/>
        <v>9469590</v>
      </c>
      <c r="U17" s="141">
        <v>54215</v>
      </c>
      <c r="V17" s="141">
        <v>601923</v>
      </c>
      <c r="W17" s="141">
        <v>792878</v>
      </c>
      <c r="X17" s="141">
        <v>6947911</v>
      </c>
      <c r="Y17" s="141">
        <v>93739</v>
      </c>
      <c r="Z17" s="160"/>
      <c r="AA17" s="141">
        <v>0</v>
      </c>
      <c r="AB17" s="141">
        <v>139048</v>
      </c>
      <c r="AC17" s="141">
        <v>839876</v>
      </c>
      <c r="AD17" s="141">
        <v>1644814</v>
      </c>
      <c r="AE17" s="141">
        <v>1765519</v>
      </c>
      <c r="AF17" s="141">
        <v>1501690</v>
      </c>
      <c r="AG17" s="141">
        <v>263829</v>
      </c>
      <c r="AH17" s="141">
        <v>31252</v>
      </c>
      <c r="AI17" s="141">
        <v>286744</v>
      </c>
      <c r="AJ17" s="73">
        <f t="shared" si="3"/>
        <v>1972180</v>
      </c>
      <c r="AK17" s="141">
        <v>1335118</v>
      </c>
      <c r="AL17" s="141">
        <v>637062</v>
      </c>
      <c r="AM17" s="141">
        <v>26089201</v>
      </c>
      <c r="AN17" s="73">
        <f t="shared" si="4"/>
        <v>12464413</v>
      </c>
      <c r="AO17" s="141">
        <v>4553908</v>
      </c>
      <c r="AP17" s="141">
        <v>4338411</v>
      </c>
      <c r="AQ17" s="74"/>
      <c r="AR17" s="141">
        <v>3572094</v>
      </c>
      <c r="AS17" s="141">
        <v>1470513</v>
      </c>
      <c r="AT17" s="141">
        <v>19788</v>
      </c>
      <c r="AU17" s="141">
        <v>0</v>
      </c>
      <c r="AV17" s="141">
        <v>9346344</v>
      </c>
      <c r="AW17" s="141">
        <v>7061339</v>
      </c>
      <c r="AX17" s="141">
        <v>1795698</v>
      </c>
      <c r="AY17" s="141">
        <v>240264</v>
      </c>
      <c r="AZ17" s="141">
        <v>2285005</v>
      </c>
      <c r="BA17" s="141">
        <v>22628</v>
      </c>
      <c r="BB17" s="141">
        <v>667117</v>
      </c>
      <c r="BC17" s="141">
        <v>580603</v>
      </c>
      <c r="BD17" s="141">
        <v>239771</v>
      </c>
      <c r="BE17" s="141">
        <v>486806</v>
      </c>
      <c r="BF17" s="141">
        <v>200000</v>
      </c>
      <c r="BG17" s="141">
        <v>0</v>
      </c>
      <c r="BH17" s="141">
        <v>159440</v>
      </c>
      <c r="BI17" s="141">
        <v>0</v>
      </c>
      <c r="BJ17" s="141">
        <v>1605791</v>
      </c>
      <c r="BK17" s="141">
        <v>590152</v>
      </c>
      <c r="BL17" s="141">
        <v>5137115</v>
      </c>
      <c r="BM17" s="141">
        <v>570000</v>
      </c>
      <c r="BN17" s="141">
        <v>5118</v>
      </c>
      <c r="BO17" s="141">
        <v>386696</v>
      </c>
      <c r="BP17" s="141">
        <v>5579300</v>
      </c>
      <c r="BQ17" s="73">
        <f t="shared" si="5"/>
        <v>5516700</v>
      </c>
      <c r="BR17" s="73">
        <f t="shared" si="6"/>
        <v>62600</v>
      </c>
      <c r="BS17" s="141">
        <v>0</v>
      </c>
      <c r="BT17" s="141">
        <v>0</v>
      </c>
      <c r="BU17" s="141">
        <v>62600</v>
      </c>
      <c r="BV17" s="141">
        <v>0</v>
      </c>
      <c r="BW17" s="141">
        <v>117124287</v>
      </c>
      <c r="BX17" s="71"/>
      <c r="BY17" s="141">
        <v>20088538</v>
      </c>
      <c r="BZ17" s="141">
        <v>11892767</v>
      </c>
      <c r="CA17" s="141">
        <v>882408</v>
      </c>
      <c r="CB17" s="141">
        <v>3994340</v>
      </c>
      <c r="CC17" s="141">
        <v>38464929</v>
      </c>
      <c r="CD17" s="141">
        <v>12338256</v>
      </c>
      <c r="CE17" s="141">
        <v>62789</v>
      </c>
      <c r="CF17" s="141">
        <v>17635190</v>
      </c>
      <c r="CG17" s="141">
        <v>6260196</v>
      </c>
      <c r="CH17" s="141">
        <v>218800</v>
      </c>
      <c r="CI17" s="141">
        <v>1949698</v>
      </c>
      <c r="CJ17" s="141">
        <v>4918457</v>
      </c>
      <c r="CK17" s="141">
        <v>4568406</v>
      </c>
      <c r="CL17" s="83">
        <f t="shared" si="7"/>
        <v>350051</v>
      </c>
      <c r="CM17" s="141">
        <v>20826731</v>
      </c>
      <c r="CN17" s="141">
        <v>11770437</v>
      </c>
      <c r="CO17" s="102"/>
      <c r="CP17" s="141">
        <v>5818038</v>
      </c>
      <c r="CQ17" s="141">
        <v>1600647</v>
      </c>
      <c r="CR17" s="141">
        <v>6828321</v>
      </c>
      <c r="CS17" s="141">
        <v>8216</v>
      </c>
      <c r="CT17" s="141">
        <v>3425192</v>
      </c>
      <c r="CU17" s="141">
        <v>2437104</v>
      </c>
      <c r="CV17" s="73">
        <f t="shared" si="8"/>
        <v>1647290</v>
      </c>
      <c r="CW17" s="141">
        <v>1139825</v>
      </c>
      <c r="CX17" s="141">
        <v>507465</v>
      </c>
      <c r="CY17" s="73">
        <f t="shared" si="9"/>
        <v>0</v>
      </c>
      <c r="CZ17" s="141">
        <v>0</v>
      </c>
      <c r="DA17" s="141">
        <v>0</v>
      </c>
      <c r="DB17" s="73">
        <f t="shared" si="10"/>
        <v>1625212</v>
      </c>
      <c r="DC17" s="141">
        <v>1134447</v>
      </c>
      <c r="DD17" s="141">
        <v>490765</v>
      </c>
      <c r="DE17" s="141">
        <v>10698576</v>
      </c>
      <c r="DF17" s="141">
        <v>3587584</v>
      </c>
      <c r="DG17" s="141">
        <v>7091702</v>
      </c>
      <c r="DH17" s="141">
        <v>14172</v>
      </c>
      <c r="DI17" s="141">
        <v>5118</v>
      </c>
      <c r="DJ17" s="141">
        <v>23337</v>
      </c>
      <c r="DK17" s="141">
        <v>713751</v>
      </c>
      <c r="DL17" s="141">
        <v>273730</v>
      </c>
      <c r="DM17" s="141">
        <v>0</v>
      </c>
      <c r="DN17" s="141">
        <v>440021</v>
      </c>
      <c r="DO17" s="141">
        <v>6828</v>
      </c>
      <c r="DP17" s="141">
        <v>6828</v>
      </c>
      <c r="DQ17" s="141">
        <v>6828</v>
      </c>
      <c r="DR17" s="141">
        <v>0</v>
      </c>
      <c r="DS17" s="141">
        <v>570000</v>
      </c>
      <c r="DT17" s="141">
        <v>0</v>
      </c>
      <c r="DU17" s="141">
        <v>0</v>
      </c>
      <c r="DV17" s="141">
        <v>9703791</v>
      </c>
      <c r="DW17" s="141">
        <v>0</v>
      </c>
      <c r="DX17" s="73">
        <f t="shared" si="11"/>
        <v>0</v>
      </c>
      <c r="DY17" s="141">
        <v>0</v>
      </c>
      <c r="DZ17" s="141">
        <v>4080265</v>
      </c>
      <c r="EA17" s="141">
        <v>0</v>
      </c>
      <c r="EB17" s="141">
        <v>2223258</v>
      </c>
      <c r="EC17" s="74"/>
      <c r="ED17" s="141">
        <v>3400268</v>
      </c>
      <c r="EE17" s="141">
        <v>0</v>
      </c>
      <c r="EF17" s="141">
        <v>114443906</v>
      </c>
      <c r="EG17" s="71"/>
      <c r="EH17" s="141">
        <v>2680381</v>
      </c>
      <c r="EI17" s="141">
        <v>1420169</v>
      </c>
      <c r="EJ17" s="141">
        <v>1260212</v>
      </c>
      <c r="EK17" s="141">
        <v>79060</v>
      </c>
      <c r="EL17" s="141">
        <v>152790</v>
      </c>
      <c r="EM17" s="71"/>
      <c r="EN17" s="141">
        <v>287730</v>
      </c>
      <c r="EO17" s="141">
        <v>286042</v>
      </c>
      <c r="EP17" s="141">
        <v>236193</v>
      </c>
      <c r="EQ17" s="141">
        <v>657933</v>
      </c>
      <c r="ER17" s="73">
        <f t="shared" si="12"/>
        <v>6832997</v>
      </c>
      <c r="ES17" s="141">
        <v>65713918</v>
      </c>
      <c r="ET17" s="141">
        <v>-7758471</v>
      </c>
      <c r="EU17" s="141">
        <v>17807042</v>
      </c>
      <c r="EV17" s="141">
        <v>10284073</v>
      </c>
      <c r="EW17" s="141">
        <v>14221140</v>
      </c>
      <c r="EX17" s="141">
        <v>4918457</v>
      </c>
      <c r="EY17" s="73">
        <f t="shared" si="13"/>
        <v>2532443</v>
      </c>
      <c r="EZ17" s="141">
        <v>2528556</v>
      </c>
      <c r="FA17" s="141">
        <v>224794</v>
      </c>
      <c r="FB17" s="141">
        <v>2294668</v>
      </c>
      <c r="FC17" s="141">
        <v>3887</v>
      </c>
      <c r="FD17" s="141">
        <v>0</v>
      </c>
      <c r="FE17" s="141">
        <v>16084274</v>
      </c>
      <c r="FF17" s="141">
        <v>5718896</v>
      </c>
      <c r="FG17" s="141">
        <v>8216</v>
      </c>
      <c r="FH17" s="141">
        <v>7581710</v>
      </c>
      <c r="FI17" s="73">
        <f t="shared" si="14"/>
        <v>1928046</v>
      </c>
      <c r="FJ17" s="141">
        <v>70792008</v>
      </c>
      <c r="FK17" s="379">
        <f t="shared" si="15"/>
        <v>2.1</v>
      </c>
      <c r="FL17" s="141">
        <v>58702342</v>
      </c>
      <c r="FM17" s="141">
        <v>62601</v>
      </c>
      <c r="FN17" s="141">
        <v>44483052</v>
      </c>
      <c r="FO17" s="141">
        <v>45917019</v>
      </c>
      <c r="FP17" s="390">
        <v>0.97499999999999998</v>
      </c>
      <c r="FQ17" s="380">
        <v>94.9</v>
      </c>
      <c r="FR17" s="381">
        <v>27.9</v>
      </c>
      <c r="FS17" s="380">
        <v>17.100000000000001</v>
      </c>
      <c r="FT17" s="380">
        <v>8</v>
      </c>
      <c r="FU17" s="381">
        <v>22.1</v>
      </c>
      <c r="FV17" s="380">
        <v>5.9</v>
      </c>
      <c r="FW17" s="382">
        <v>12</v>
      </c>
      <c r="FX17" s="383">
        <v>-0.3</v>
      </c>
      <c r="FY17" s="141">
        <v>53886040</v>
      </c>
      <c r="FZ17" s="384">
        <f t="shared" si="16"/>
        <v>91.7</v>
      </c>
      <c r="GA17" s="141">
        <v>20206621</v>
      </c>
      <c r="GB17" s="141">
        <v>8600850</v>
      </c>
      <c r="GC17" s="141">
        <v>0</v>
      </c>
      <c r="GD17" s="141">
        <v>11605771</v>
      </c>
      <c r="GE17" s="107"/>
      <c r="GF17" s="385">
        <v>505</v>
      </c>
      <c r="GG17" s="386">
        <f>IF(GF17=0,"-",ROUND(GF17/(GX17)*100,1))</f>
        <v>0.9</v>
      </c>
      <c r="GH17" s="380">
        <v>99.7</v>
      </c>
      <c r="GI17" s="380">
        <v>36.799999999999997</v>
      </c>
      <c r="GJ17" s="380">
        <v>99.1</v>
      </c>
      <c r="GK17" s="141">
        <v>1655</v>
      </c>
      <c r="GL17" s="391" t="s">
        <v>646</v>
      </c>
      <c r="GM17" s="391">
        <v>11.25</v>
      </c>
      <c r="GN17" s="117">
        <v>20</v>
      </c>
      <c r="GO17" s="391" t="s">
        <v>646</v>
      </c>
      <c r="GP17" s="392">
        <v>16.25</v>
      </c>
      <c r="GQ17" s="387">
        <v>30</v>
      </c>
      <c r="GR17" s="381">
        <v>-0.3</v>
      </c>
      <c r="GS17" s="388">
        <v>25</v>
      </c>
      <c r="GT17" s="388">
        <v>35</v>
      </c>
      <c r="GU17" s="393" t="s">
        <v>646</v>
      </c>
      <c r="GV17" s="388">
        <v>350</v>
      </c>
      <c r="GW17" s="394"/>
      <c r="GX17" s="100">
        <f t="shared" si="17"/>
        <v>58765</v>
      </c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  <c r="HW17" s="394"/>
      <c r="HX17" s="394"/>
    </row>
    <row r="18" spans="2:232" x14ac:dyDescent="0.15">
      <c r="B18" s="89" t="s">
        <v>25</v>
      </c>
      <c r="C18" s="141">
        <v>40092700</v>
      </c>
      <c r="D18" s="73">
        <f t="shared" si="0"/>
        <v>13937997</v>
      </c>
      <c r="E18" s="141">
        <v>380791</v>
      </c>
      <c r="F18" s="141">
        <v>13557206</v>
      </c>
      <c r="G18" s="73">
        <f t="shared" si="1"/>
        <v>3081561</v>
      </c>
      <c r="H18" s="141">
        <v>772557</v>
      </c>
      <c r="I18" s="141">
        <v>2309004</v>
      </c>
      <c r="J18" s="141">
        <v>17132872</v>
      </c>
      <c r="K18" s="141">
        <v>7226948</v>
      </c>
      <c r="L18" s="141">
        <v>7397855</v>
      </c>
      <c r="M18" s="141">
        <v>2230757</v>
      </c>
      <c r="N18" s="141">
        <v>1960525</v>
      </c>
      <c r="O18" s="141">
        <v>3526465</v>
      </c>
      <c r="P18" s="141">
        <v>1926444</v>
      </c>
      <c r="Q18" s="141">
        <v>1600021</v>
      </c>
      <c r="R18" s="141">
        <v>451557</v>
      </c>
      <c r="S18" s="74"/>
      <c r="T18" s="73">
        <f t="shared" si="2"/>
        <v>8605728</v>
      </c>
      <c r="U18" s="141">
        <v>41532</v>
      </c>
      <c r="V18" s="141">
        <v>460464</v>
      </c>
      <c r="W18" s="141">
        <v>605744</v>
      </c>
      <c r="X18" s="141">
        <v>6517142</v>
      </c>
      <c r="Y18" s="141">
        <v>0</v>
      </c>
      <c r="Z18" s="160"/>
      <c r="AA18" s="141">
        <v>0</v>
      </c>
      <c r="AB18" s="141">
        <v>122375</v>
      </c>
      <c r="AC18" s="141">
        <v>858471</v>
      </c>
      <c r="AD18" s="141">
        <v>1435501</v>
      </c>
      <c r="AE18" s="141">
        <v>18009983</v>
      </c>
      <c r="AF18" s="141">
        <v>17425915</v>
      </c>
      <c r="AG18" s="141">
        <v>584068</v>
      </c>
      <c r="AH18" s="141">
        <v>26746</v>
      </c>
      <c r="AI18" s="141">
        <v>723391</v>
      </c>
      <c r="AJ18" s="73">
        <f t="shared" si="3"/>
        <v>1561794</v>
      </c>
      <c r="AK18" s="141">
        <v>1053950</v>
      </c>
      <c r="AL18" s="141">
        <v>507844</v>
      </c>
      <c r="AM18" s="141">
        <v>35127982</v>
      </c>
      <c r="AN18" s="73">
        <f t="shared" si="4"/>
        <v>22490142</v>
      </c>
      <c r="AO18" s="141">
        <v>11162121</v>
      </c>
      <c r="AP18" s="141">
        <v>6006908</v>
      </c>
      <c r="AQ18" s="74"/>
      <c r="AR18" s="141">
        <v>5321113</v>
      </c>
      <c r="AS18" s="141">
        <v>366800</v>
      </c>
      <c r="AT18" s="141">
        <v>0</v>
      </c>
      <c r="AU18" s="141">
        <v>60162</v>
      </c>
      <c r="AV18" s="141">
        <v>10691973</v>
      </c>
      <c r="AW18" s="141">
        <v>7204325</v>
      </c>
      <c r="AX18" s="141">
        <v>2576797</v>
      </c>
      <c r="AY18" s="141">
        <v>224915</v>
      </c>
      <c r="AZ18" s="141">
        <v>3487648</v>
      </c>
      <c r="BA18" s="141">
        <v>430980</v>
      </c>
      <c r="BB18" s="141">
        <v>769590</v>
      </c>
      <c r="BC18" s="141">
        <v>640819</v>
      </c>
      <c r="BD18" s="141">
        <v>2169477</v>
      </c>
      <c r="BE18" s="141">
        <v>550849</v>
      </c>
      <c r="BF18" s="141">
        <v>0</v>
      </c>
      <c r="BG18" s="141">
        <v>0</v>
      </c>
      <c r="BH18" s="141">
        <v>431395</v>
      </c>
      <c r="BI18" s="141">
        <v>0</v>
      </c>
      <c r="BJ18" s="141">
        <v>323933</v>
      </c>
      <c r="BK18" s="141">
        <v>34685</v>
      </c>
      <c r="BL18" s="141">
        <v>1767043</v>
      </c>
      <c r="BM18" s="141">
        <v>279037</v>
      </c>
      <c r="BN18" s="141">
        <v>0</v>
      </c>
      <c r="BO18" s="141">
        <v>377555</v>
      </c>
      <c r="BP18" s="141">
        <v>4229526</v>
      </c>
      <c r="BQ18" s="73">
        <f t="shared" si="5"/>
        <v>3507100</v>
      </c>
      <c r="BR18" s="73">
        <f t="shared" si="6"/>
        <v>722426</v>
      </c>
      <c r="BS18" s="141">
        <v>0</v>
      </c>
      <c r="BT18" s="141">
        <v>0</v>
      </c>
      <c r="BU18" s="141">
        <v>722426</v>
      </c>
      <c r="BV18" s="141">
        <v>0</v>
      </c>
      <c r="BW18" s="141">
        <v>126597935</v>
      </c>
      <c r="BX18" s="71"/>
      <c r="BY18" s="141">
        <v>20218794</v>
      </c>
      <c r="BZ18" s="141">
        <v>12803443</v>
      </c>
      <c r="CA18" s="141">
        <v>1234947</v>
      </c>
      <c r="CB18" s="141">
        <v>2771673</v>
      </c>
      <c r="CC18" s="141">
        <v>50441437</v>
      </c>
      <c r="CD18" s="141">
        <v>15816656</v>
      </c>
      <c r="CE18" s="141">
        <v>18182</v>
      </c>
      <c r="CF18" s="141">
        <v>17131935</v>
      </c>
      <c r="CG18" s="141">
        <v>14778970</v>
      </c>
      <c r="CH18" s="141">
        <v>1018280</v>
      </c>
      <c r="CI18" s="141">
        <v>1677196</v>
      </c>
      <c r="CJ18" s="141">
        <v>8837856</v>
      </c>
      <c r="CK18" s="141">
        <v>8504327</v>
      </c>
      <c r="CL18" s="83">
        <f t="shared" si="7"/>
        <v>333529</v>
      </c>
      <c r="CM18" s="141">
        <v>13006371</v>
      </c>
      <c r="CN18" s="141">
        <v>9587018</v>
      </c>
      <c r="CO18" s="102"/>
      <c r="CP18" s="141">
        <v>2027235</v>
      </c>
      <c r="CQ18" s="141">
        <v>471424</v>
      </c>
      <c r="CR18" s="141">
        <v>10711142</v>
      </c>
      <c r="CS18" s="141">
        <v>1098912</v>
      </c>
      <c r="CT18" s="141">
        <v>3517285</v>
      </c>
      <c r="CU18" s="141">
        <v>2915862</v>
      </c>
      <c r="CV18" s="73">
        <f t="shared" si="8"/>
        <v>4849741</v>
      </c>
      <c r="CW18" s="141">
        <v>4849741</v>
      </c>
      <c r="CX18" s="141">
        <v>0</v>
      </c>
      <c r="CY18" s="73">
        <f t="shared" si="9"/>
        <v>1115931</v>
      </c>
      <c r="CZ18" s="141">
        <v>1115931</v>
      </c>
      <c r="DA18" s="141">
        <v>0</v>
      </c>
      <c r="DB18" s="73">
        <f t="shared" si="10"/>
        <v>3645871</v>
      </c>
      <c r="DC18" s="141">
        <v>3645871</v>
      </c>
      <c r="DD18" s="141">
        <v>0</v>
      </c>
      <c r="DE18" s="141">
        <v>6260475</v>
      </c>
      <c r="DF18" s="141">
        <v>1837185</v>
      </c>
      <c r="DG18" s="141">
        <v>4011635</v>
      </c>
      <c r="DH18" s="141">
        <v>41921</v>
      </c>
      <c r="DI18" s="141">
        <v>369734</v>
      </c>
      <c r="DJ18" s="141">
        <v>0</v>
      </c>
      <c r="DK18" s="141">
        <v>1615949</v>
      </c>
      <c r="DL18" s="141">
        <v>38305</v>
      </c>
      <c r="DM18" s="141">
        <v>0</v>
      </c>
      <c r="DN18" s="141">
        <v>1577644</v>
      </c>
      <c r="DO18" s="141">
        <v>580812</v>
      </c>
      <c r="DP18" s="141">
        <v>580812</v>
      </c>
      <c r="DQ18" s="141">
        <v>32126</v>
      </c>
      <c r="DR18" s="141">
        <v>0</v>
      </c>
      <c r="DS18" s="141">
        <v>246635</v>
      </c>
      <c r="DT18" s="141">
        <v>0</v>
      </c>
      <c r="DU18" s="141">
        <v>0</v>
      </c>
      <c r="DV18" s="141">
        <v>11935925</v>
      </c>
      <c r="DW18" s="141">
        <v>0</v>
      </c>
      <c r="DX18" s="73">
        <f t="shared" si="11"/>
        <v>0</v>
      </c>
      <c r="DY18" s="141">
        <v>0</v>
      </c>
      <c r="DZ18" s="141">
        <v>4350851</v>
      </c>
      <c r="EA18" s="141">
        <v>0</v>
      </c>
      <c r="EB18" s="141">
        <v>3081153</v>
      </c>
      <c r="EC18" s="74"/>
      <c r="ED18" s="141">
        <v>4503921</v>
      </c>
      <c r="EE18" s="141">
        <v>0</v>
      </c>
      <c r="EF18" s="141">
        <v>124326820</v>
      </c>
      <c r="EG18" s="71"/>
      <c r="EH18" s="141">
        <v>2271115</v>
      </c>
      <c r="EI18" s="141">
        <v>473316</v>
      </c>
      <c r="EJ18" s="141">
        <v>1797799</v>
      </c>
      <c r="EK18" s="141">
        <v>1763114</v>
      </c>
      <c r="EL18" s="141">
        <v>2530519</v>
      </c>
      <c r="EM18" s="71"/>
      <c r="EN18" s="141">
        <v>264642</v>
      </c>
      <c r="EO18" s="141">
        <v>259158</v>
      </c>
      <c r="EP18" s="141">
        <v>30000</v>
      </c>
      <c r="EQ18" s="141">
        <v>113403</v>
      </c>
      <c r="ER18" s="73">
        <f t="shared" si="12"/>
        <v>7269253</v>
      </c>
      <c r="ES18" s="141">
        <v>68682377</v>
      </c>
      <c r="ET18" s="141">
        <v>-8048174</v>
      </c>
      <c r="EU18" s="141">
        <v>18348255</v>
      </c>
      <c r="EV18" s="141">
        <v>11942559</v>
      </c>
      <c r="EW18" s="141">
        <v>16321219</v>
      </c>
      <c r="EX18" s="141">
        <v>8601070</v>
      </c>
      <c r="EY18" s="73">
        <f t="shared" si="13"/>
        <v>1422575</v>
      </c>
      <c r="EZ18" s="141">
        <v>1422575</v>
      </c>
      <c r="FA18" s="141">
        <v>63458</v>
      </c>
      <c r="FB18" s="141">
        <v>1355637</v>
      </c>
      <c r="FC18" s="141">
        <v>0</v>
      </c>
      <c r="FD18" s="141">
        <v>0</v>
      </c>
      <c r="FE18" s="141">
        <v>9847446</v>
      </c>
      <c r="FF18" s="141">
        <v>9526058</v>
      </c>
      <c r="FG18" s="141">
        <v>826103</v>
      </c>
      <c r="FH18" s="141">
        <v>9333615</v>
      </c>
      <c r="FI18" s="73">
        <f t="shared" si="14"/>
        <v>1059198</v>
      </c>
      <c r="FJ18" s="141">
        <v>74459436</v>
      </c>
      <c r="FK18" s="379">
        <f t="shared" si="15"/>
        <v>2.8</v>
      </c>
      <c r="FL18" s="141">
        <v>62380757</v>
      </c>
      <c r="FM18" s="141">
        <v>722426</v>
      </c>
      <c r="FN18" s="141">
        <v>35213074</v>
      </c>
      <c r="FO18" s="141">
        <v>52588989</v>
      </c>
      <c r="FP18" s="390">
        <v>0.68799999999999994</v>
      </c>
      <c r="FQ18" s="380">
        <v>98.5</v>
      </c>
      <c r="FR18" s="381">
        <v>27.3</v>
      </c>
      <c r="FS18" s="380">
        <v>19.2</v>
      </c>
      <c r="FT18" s="380">
        <v>11.9</v>
      </c>
      <c r="FU18" s="381">
        <v>13.5</v>
      </c>
      <c r="FV18" s="380">
        <v>11.7</v>
      </c>
      <c r="FW18" s="382">
        <v>13.2</v>
      </c>
      <c r="FX18" s="383">
        <v>2.2999999999999998</v>
      </c>
      <c r="FY18" s="141">
        <v>84157724</v>
      </c>
      <c r="FZ18" s="384">
        <f t="shared" si="16"/>
        <v>133.4</v>
      </c>
      <c r="GA18" s="141">
        <v>15022717</v>
      </c>
      <c r="GB18" s="141">
        <v>7822519</v>
      </c>
      <c r="GC18" s="141">
        <v>0</v>
      </c>
      <c r="GD18" s="141">
        <v>7200198</v>
      </c>
      <c r="GE18" s="107"/>
      <c r="GF18" s="385"/>
      <c r="GG18" s="386"/>
      <c r="GH18" s="380">
        <v>99.6</v>
      </c>
      <c r="GI18" s="380">
        <v>30.9</v>
      </c>
      <c r="GJ18" s="380">
        <v>98.6</v>
      </c>
      <c r="GK18" s="141">
        <v>1693</v>
      </c>
      <c r="GL18" s="391" t="s">
        <v>646</v>
      </c>
      <c r="GM18" s="391">
        <v>11.25</v>
      </c>
      <c r="GN18" s="117">
        <v>20</v>
      </c>
      <c r="GO18" s="391" t="s">
        <v>646</v>
      </c>
      <c r="GP18" s="392">
        <v>16.25</v>
      </c>
      <c r="GQ18" s="387">
        <v>30</v>
      </c>
      <c r="GR18" s="381">
        <v>2.2999999999999998</v>
      </c>
      <c r="GS18" s="388">
        <v>25</v>
      </c>
      <c r="GT18" s="388">
        <v>35</v>
      </c>
      <c r="GU18" s="393" t="s">
        <v>646</v>
      </c>
      <c r="GV18" s="388">
        <v>350</v>
      </c>
      <c r="GW18" s="394"/>
      <c r="GX18" s="100">
        <f t="shared" si="17"/>
        <v>63103</v>
      </c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  <c r="HW18" s="394"/>
      <c r="HX18" s="394"/>
    </row>
    <row r="19" spans="2:232" x14ac:dyDescent="0.15">
      <c r="B19" s="89" t="s">
        <v>27</v>
      </c>
      <c r="C19" s="141">
        <v>20234761</v>
      </c>
      <c r="D19" s="73">
        <f t="shared" si="0"/>
        <v>4996440</v>
      </c>
      <c r="E19" s="141">
        <v>150879</v>
      </c>
      <c r="F19" s="141">
        <v>4845561</v>
      </c>
      <c r="G19" s="73">
        <f t="shared" si="1"/>
        <v>1520174</v>
      </c>
      <c r="H19" s="141">
        <v>488837</v>
      </c>
      <c r="I19" s="141">
        <v>1031337</v>
      </c>
      <c r="J19" s="141">
        <v>10401240</v>
      </c>
      <c r="K19" s="141">
        <v>3741163</v>
      </c>
      <c r="L19" s="141">
        <v>4022229</v>
      </c>
      <c r="M19" s="141">
        <v>2177556</v>
      </c>
      <c r="N19" s="141">
        <v>1011607</v>
      </c>
      <c r="O19" s="141">
        <v>1546399</v>
      </c>
      <c r="P19" s="141">
        <v>703433</v>
      </c>
      <c r="Q19" s="141">
        <v>842966</v>
      </c>
      <c r="R19" s="141">
        <v>217750</v>
      </c>
      <c r="S19" s="74"/>
      <c r="T19" s="73">
        <f t="shared" si="2"/>
        <v>3477911</v>
      </c>
      <c r="U19" s="141">
        <v>14414</v>
      </c>
      <c r="V19" s="141">
        <v>159702</v>
      </c>
      <c r="W19" s="141">
        <v>209949</v>
      </c>
      <c r="X19" s="141">
        <v>2589783</v>
      </c>
      <c r="Y19" s="141">
        <v>46462</v>
      </c>
      <c r="Z19" s="160"/>
      <c r="AA19" s="141">
        <v>0</v>
      </c>
      <c r="AB19" s="141">
        <v>48705</v>
      </c>
      <c r="AC19" s="141">
        <v>408896</v>
      </c>
      <c r="AD19" s="141">
        <v>525392</v>
      </c>
      <c r="AE19" s="141">
        <v>3801399</v>
      </c>
      <c r="AF19" s="141">
        <v>3340438</v>
      </c>
      <c r="AG19" s="141">
        <v>460961</v>
      </c>
      <c r="AH19" s="141">
        <v>13119</v>
      </c>
      <c r="AI19" s="141">
        <v>283875</v>
      </c>
      <c r="AJ19" s="73">
        <f t="shared" si="3"/>
        <v>842608</v>
      </c>
      <c r="AK19" s="141">
        <v>585684</v>
      </c>
      <c r="AL19" s="141">
        <v>256924</v>
      </c>
      <c r="AM19" s="141">
        <v>10783595</v>
      </c>
      <c r="AN19" s="73">
        <f t="shared" si="4"/>
        <v>6159610</v>
      </c>
      <c r="AO19" s="141">
        <v>2681588</v>
      </c>
      <c r="AP19" s="141">
        <v>1345251</v>
      </c>
      <c r="AQ19" s="74"/>
      <c r="AR19" s="141">
        <v>2132771</v>
      </c>
      <c r="AS19" s="141">
        <v>665757</v>
      </c>
      <c r="AT19" s="141">
        <v>0</v>
      </c>
      <c r="AU19" s="141">
        <v>0</v>
      </c>
      <c r="AV19" s="141">
        <v>3698626</v>
      </c>
      <c r="AW19" s="141">
        <v>2259427</v>
      </c>
      <c r="AX19" s="141">
        <v>707440</v>
      </c>
      <c r="AY19" s="141">
        <v>0</v>
      </c>
      <c r="AZ19" s="141">
        <v>1439199</v>
      </c>
      <c r="BA19" s="141">
        <v>85828</v>
      </c>
      <c r="BB19" s="141">
        <v>517148</v>
      </c>
      <c r="BC19" s="141">
        <v>352834</v>
      </c>
      <c r="BD19" s="141">
        <v>18417979</v>
      </c>
      <c r="BE19" s="141">
        <v>20776450</v>
      </c>
      <c r="BF19" s="141">
        <v>0</v>
      </c>
      <c r="BG19" s="141">
        <v>0</v>
      </c>
      <c r="BH19" s="141">
        <v>20776450</v>
      </c>
      <c r="BI19" s="141">
        <v>0</v>
      </c>
      <c r="BJ19" s="141">
        <v>310336</v>
      </c>
      <c r="BK19" s="141">
        <v>258580</v>
      </c>
      <c r="BL19" s="141">
        <v>3096030</v>
      </c>
      <c r="BM19" s="141">
        <v>2265721</v>
      </c>
      <c r="BN19" s="141">
        <v>0</v>
      </c>
      <c r="BO19" s="141">
        <v>279565</v>
      </c>
      <c r="BP19" s="141">
        <v>3245700</v>
      </c>
      <c r="BQ19" s="73">
        <f t="shared" si="5"/>
        <v>3123500</v>
      </c>
      <c r="BR19" s="73">
        <f t="shared" si="6"/>
        <v>122200</v>
      </c>
      <c r="BS19" s="141">
        <v>0</v>
      </c>
      <c r="BT19" s="141">
        <v>0</v>
      </c>
      <c r="BU19" s="141">
        <v>122200</v>
      </c>
      <c r="BV19" s="141">
        <v>0</v>
      </c>
      <c r="BW19" s="141">
        <v>90242679</v>
      </c>
      <c r="BX19" s="71"/>
      <c r="BY19" s="141">
        <v>7171753</v>
      </c>
      <c r="BZ19" s="141">
        <v>4260230</v>
      </c>
      <c r="CA19" s="141">
        <v>856551</v>
      </c>
      <c r="CB19" s="141">
        <v>615497</v>
      </c>
      <c r="CC19" s="141">
        <v>15289312</v>
      </c>
      <c r="CD19" s="141">
        <v>5416686</v>
      </c>
      <c r="CE19" s="141">
        <v>41</v>
      </c>
      <c r="CF19" s="141">
        <v>5493805</v>
      </c>
      <c r="CG19" s="141">
        <v>3721002</v>
      </c>
      <c r="CH19" s="141">
        <v>83010</v>
      </c>
      <c r="CI19" s="141">
        <v>574768</v>
      </c>
      <c r="CJ19" s="141">
        <v>4861721</v>
      </c>
      <c r="CK19" s="141">
        <v>4530941</v>
      </c>
      <c r="CL19" s="83">
        <f t="shared" si="7"/>
        <v>330780</v>
      </c>
      <c r="CM19" s="141">
        <v>12936047</v>
      </c>
      <c r="CN19" s="141">
        <v>8539831</v>
      </c>
      <c r="CO19" s="102"/>
      <c r="CP19" s="141">
        <v>858925</v>
      </c>
      <c r="CQ19" s="141">
        <v>113562</v>
      </c>
      <c r="CR19" s="141">
        <v>13981257</v>
      </c>
      <c r="CS19" s="141">
        <v>2602222</v>
      </c>
      <c r="CT19" s="141">
        <v>3022652</v>
      </c>
      <c r="CU19" s="141">
        <v>2486010</v>
      </c>
      <c r="CV19" s="73">
        <f t="shared" si="8"/>
        <v>1053413</v>
      </c>
      <c r="CW19" s="141">
        <v>854675</v>
      </c>
      <c r="CX19" s="141">
        <v>198738</v>
      </c>
      <c r="CY19" s="73">
        <f t="shared" si="9"/>
        <v>0</v>
      </c>
      <c r="CZ19" s="141">
        <v>0</v>
      </c>
      <c r="DA19" s="141">
        <v>0</v>
      </c>
      <c r="DB19" s="73">
        <f t="shared" si="10"/>
        <v>1049213</v>
      </c>
      <c r="DC19" s="141">
        <v>850475</v>
      </c>
      <c r="DD19" s="141">
        <v>198738</v>
      </c>
      <c r="DE19" s="141">
        <v>4974402</v>
      </c>
      <c r="DF19" s="141">
        <v>1605294</v>
      </c>
      <c r="DG19" s="141">
        <v>3309629</v>
      </c>
      <c r="DH19" s="141">
        <v>59472</v>
      </c>
      <c r="DI19" s="141">
        <v>0</v>
      </c>
      <c r="DJ19" s="141">
        <v>0</v>
      </c>
      <c r="DK19" s="141">
        <v>23073101</v>
      </c>
      <c r="DL19" s="141">
        <v>155077</v>
      </c>
      <c r="DM19" s="141">
        <v>471773</v>
      </c>
      <c r="DN19" s="141">
        <v>22446251</v>
      </c>
      <c r="DO19" s="141">
        <v>107964</v>
      </c>
      <c r="DP19" s="141">
        <v>107964</v>
      </c>
      <c r="DQ19" s="141">
        <v>0</v>
      </c>
      <c r="DR19" s="141">
        <v>0</v>
      </c>
      <c r="DS19" s="141">
        <v>2932260</v>
      </c>
      <c r="DT19" s="141">
        <v>0</v>
      </c>
      <c r="DU19" s="141">
        <v>0</v>
      </c>
      <c r="DV19" s="141">
        <v>4445953</v>
      </c>
      <c r="DW19" s="141">
        <v>0</v>
      </c>
      <c r="DX19" s="73">
        <f t="shared" si="11"/>
        <v>0</v>
      </c>
      <c r="DY19" s="141">
        <v>0</v>
      </c>
      <c r="DZ19" s="141">
        <v>1764471</v>
      </c>
      <c r="EA19" s="141">
        <v>0</v>
      </c>
      <c r="EB19" s="141">
        <v>1101560</v>
      </c>
      <c r="EC19" s="74"/>
      <c r="ED19" s="141">
        <v>1579922</v>
      </c>
      <c r="EE19" s="141">
        <v>0</v>
      </c>
      <c r="EF19" s="141">
        <v>89887332</v>
      </c>
      <c r="EG19" s="71"/>
      <c r="EH19" s="141">
        <v>355347</v>
      </c>
      <c r="EI19" s="141">
        <v>24734</v>
      </c>
      <c r="EJ19" s="141">
        <v>330613</v>
      </c>
      <c r="EK19" s="141">
        <v>72033</v>
      </c>
      <c r="EL19" s="141">
        <v>227110</v>
      </c>
      <c r="EM19" s="71"/>
      <c r="EN19" s="141">
        <v>100131</v>
      </c>
      <c r="EO19" s="141">
        <v>99318</v>
      </c>
      <c r="EP19" s="141">
        <v>2552461</v>
      </c>
      <c r="EQ19" s="141">
        <v>465320</v>
      </c>
      <c r="ER19" s="73">
        <f t="shared" si="12"/>
        <v>2541094</v>
      </c>
      <c r="ES19" s="141">
        <v>28270332</v>
      </c>
      <c r="ET19" s="141">
        <v>-5667956</v>
      </c>
      <c r="EU19" s="141">
        <v>5833779</v>
      </c>
      <c r="EV19" s="141">
        <v>3459784</v>
      </c>
      <c r="EW19" s="141">
        <v>5054709</v>
      </c>
      <c r="EX19" s="141">
        <v>4279443</v>
      </c>
      <c r="EY19" s="73">
        <f t="shared" si="13"/>
        <v>1558361</v>
      </c>
      <c r="EZ19" s="141">
        <v>1558361</v>
      </c>
      <c r="FA19" s="141">
        <v>42590</v>
      </c>
      <c r="FB19" s="141">
        <v>1513228</v>
      </c>
      <c r="FC19" s="141">
        <v>0</v>
      </c>
      <c r="FD19" s="141">
        <v>0</v>
      </c>
      <c r="FE19" s="141">
        <v>6073108</v>
      </c>
      <c r="FF19" s="141">
        <v>6456216</v>
      </c>
      <c r="FG19" s="141">
        <v>2602222</v>
      </c>
      <c r="FH19" s="141">
        <v>3469693</v>
      </c>
      <c r="FI19" s="73">
        <f t="shared" si="14"/>
        <v>857632</v>
      </c>
      <c r="FJ19" s="141">
        <v>33582941</v>
      </c>
      <c r="FK19" s="379">
        <f t="shared" si="15"/>
        <v>1.3</v>
      </c>
      <c r="FL19" s="141">
        <v>24766246</v>
      </c>
      <c r="FM19" s="141">
        <v>122296</v>
      </c>
      <c r="FN19" s="141">
        <v>16697256</v>
      </c>
      <c r="FO19" s="141">
        <v>20042898</v>
      </c>
      <c r="FP19" s="395">
        <v>0.83799999999999997</v>
      </c>
      <c r="FQ19" s="380">
        <v>103</v>
      </c>
      <c r="FR19" s="381">
        <v>20.9</v>
      </c>
      <c r="FS19" s="380">
        <v>14.2</v>
      </c>
      <c r="FT19" s="380">
        <v>16.399999999999999</v>
      </c>
      <c r="FU19" s="381">
        <v>17.5</v>
      </c>
      <c r="FV19" s="380">
        <v>20.2</v>
      </c>
      <c r="FW19" s="382">
        <v>13</v>
      </c>
      <c r="FX19" s="383">
        <v>7.1</v>
      </c>
      <c r="FY19" s="141">
        <v>55464473</v>
      </c>
      <c r="FZ19" s="384">
        <f t="shared" si="16"/>
        <v>222.9</v>
      </c>
      <c r="GA19" s="141">
        <v>20806106</v>
      </c>
      <c r="GB19" s="141">
        <v>2069203</v>
      </c>
      <c r="GC19" s="141">
        <v>1394750</v>
      </c>
      <c r="GD19" s="141">
        <v>17342153</v>
      </c>
      <c r="GE19" s="107"/>
      <c r="GF19" s="385">
        <v>433</v>
      </c>
      <c r="GG19" s="386">
        <f>IF(GF19=0,"-",ROUND(GF19/(GX19)*100,1))</f>
        <v>1.7</v>
      </c>
      <c r="GH19" s="380">
        <v>99.5</v>
      </c>
      <c r="GI19" s="380">
        <v>51.3</v>
      </c>
      <c r="GJ19" s="380">
        <v>99.2</v>
      </c>
      <c r="GK19" s="141">
        <v>562</v>
      </c>
      <c r="GL19" s="391" t="s">
        <v>646</v>
      </c>
      <c r="GM19" s="391">
        <v>12.09</v>
      </c>
      <c r="GN19" s="117">
        <v>20</v>
      </c>
      <c r="GO19" s="391" t="s">
        <v>646</v>
      </c>
      <c r="GP19" s="392">
        <v>17.09</v>
      </c>
      <c r="GQ19" s="387">
        <v>30</v>
      </c>
      <c r="GR19" s="381">
        <v>7.1</v>
      </c>
      <c r="GS19" s="388">
        <v>25</v>
      </c>
      <c r="GT19" s="388">
        <v>35</v>
      </c>
      <c r="GU19" s="393" t="s">
        <v>646</v>
      </c>
      <c r="GV19" s="388">
        <v>350</v>
      </c>
      <c r="GW19" s="394"/>
      <c r="GX19" s="100">
        <f t="shared" si="17"/>
        <v>24889</v>
      </c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  <c r="HW19" s="394"/>
      <c r="HX19" s="394"/>
    </row>
    <row r="20" spans="2:232" x14ac:dyDescent="0.15">
      <c r="B20" s="89" t="s">
        <v>29</v>
      </c>
      <c r="C20" s="141">
        <v>13195387</v>
      </c>
      <c r="D20" s="73">
        <f t="shared" si="0"/>
        <v>5552820</v>
      </c>
      <c r="E20" s="141">
        <v>158556</v>
      </c>
      <c r="F20" s="141">
        <v>5394264</v>
      </c>
      <c r="G20" s="73">
        <f t="shared" si="1"/>
        <v>540797</v>
      </c>
      <c r="H20" s="141">
        <v>203401</v>
      </c>
      <c r="I20" s="141">
        <v>337396</v>
      </c>
      <c r="J20" s="141">
        <v>5238278</v>
      </c>
      <c r="K20" s="141">
        <v>2011499</v>
      </c>
      <c r="L20" s="141">
        <v>2437991</v>
      </c>
      <c r="M20" s="141">
        <v>679177</v>
      </c>
      <c r="N20" s="141">
        <v>601539</v>
      </c>
      <c r="O20" s="141">
        <v>993208</v>
      </c>
      <c r="P20" s="141">
        <v>528178</v>
      </c>
      <c r="Q20" s="141">
        <v>465030</v>
      </c>
      <c r="R20" s="141">
        <v>210716</v>
      </c>
      <c r="S20" s="74"/>
      <c r="T20" s="73">
        <f t="shared" si="2"/>
        <v>3396962</v>
      </c>
      <c r="U20" s="141">
        <v>17139</v>
      </c>
      <c r="V20" s="141">
        <v>189138</v>
      </c>
      <c r="W20" s="141">
        <v>247689</v>
      </c>
      <c r="X20" s="141">
        <v>2563819</v>
      </c>
      <c r="Y20" s="141">
        <v>45808</v>
      </c>
      <c r="Z20" s="160"/>
      <c r="AA20" s="141">
        <v>0</v>
      </c>
      <c r="AB20" s="141">
        <v>57444</v>
      </c>
      <c r="AC20" s="141">
        <v>275925</v>
      </c>
      <c r="AD20" s="141">
        <v>562044</v>
      </c>
      <c r="AE20" s="141">
        <v>9092678</v>
      </c>
      <c r="AF20" s="141">
        <v>8843972</v>
      </c>
      <c r="AG20" s="141">
        <v>248706</v>
      </c>
      <c r="AH20" s="141">
        <v>11685</v>
      </c>
      <c r="AI20" s="141">
        <v>383213</v>
      </c>
      <c r="AJ20" s="73">
        <f t="shared" si="3"/>
        <v>999566</v>
      </c>
      <c r="AK20" s="141">
        <v>651407</v>
      </c>
      <c r="AL20" s="141">
        <v>348159</v>
      </c>
      <c r="AM20" s="141">
        <v>11132371</v>
      </c>
      <c r="AN20" s="73">
        <f t="shared" si="4"/>
        <v>6841210</v>
      </c>
      <c r="AO20" s="141">
        <v>3062497</v>
      </c>
      <c r="AP20" s="141">
        <v>1769875</v>
      </c>
      <c r="AQ20" s="74"/>
      <c r="AR20" s="141">
        <v>2008838</v>
      </c>
      <c r="AS20" s="141">
        <v>94696</v>
      </c>
      <c r="AT20" s="141">
        <v>0</v>
      </c>
      <c r="AU20" s="141">
        <v>0</v>
      </c>
      <c r="AV20" s="141">
        <v>3860263</v>
      </c>
      <c r="AW20" s="141">
        <v>2435828</v>
      </c>
      <c r="AX20" s="141">
        <v>762543</v>
      </c>
      <c r="AY20" s="141">
        <v>16943</v>
      </c>
      <c r="AZ20" s="141">
        <v>1424435</v>
      </c>
      <c r="BA20" s="141">
        <v>3125</v>
      </c>
      <c r="BB20" s="141">
        <v>42271</v>
      </c>
      <c r="BC20" s="141">
        <v>18797</v>
      </c>
      <c r="BD20" s="141">
        <v>150787</v>
      </c>
      <c r="BE20" s="141">
        <v>848065</v>
      </c>
      <c r="BF20" s="141">
        <v>0</v>
      </c>
      <c r="BG20" s="141">
        <v>0</v>
      </c>
      <c r="BH20" s="141">
        <v>786865</v>
      </c>
      <c r="BI20" s="141">
        <v>0</v>
      </c>
      <c r="BJ20" s="141">
        <v>474649</v>
      </c>
      <c r="BK20" s="141">
        <v>449933</v>
      </c>
      <c r="BL20" s="141">
        <v>1637089</v>
      </c>
      <c r="BM20" s="141">
        <v>819825</v>
      </c>
      <c r="BN20" s="141">
        <v>0</v>
      </c>
      <c r="BO20" s="141">
        <v>304579</v>
      </c>
      <c r="BP20" s="141">
        <v>1469500</v>
      </c>
      <c r="BQ20" s="73">
        <f t="shared" si="5"/>
        <v>1366500</v>
      </c>
      <c r="BR20" s="73">
        <f t="shared" si="6"/>
        <v>103000</v>
      </c>
      <c r="BS20" s="141">
        <v>0</v>
      </c>
      <c r="BT20" s="141">
        <v>0</v>
      </c>
      <c r="BU20" s="141">
        <v>103000</v>
      </c>
      <c r="BV20" s="141">
        <v>0</v>
      </c>
      <c r="BW20" s="141">
        <v>47467246</v>
      </c>
      <c r="BX20" s="71"/>
      <c r="BY20" s="141">
        <v>7623367</v>
      </c>
      <c r="BZ20" s="141">
        <v>4279234</v>
      </c>
      <c r="CA20" s="141">
        <v>266476</v>
      </c>
      <c r="CB20" s="141">
        <v>1677869</v>
      </c>
      <c r="CC20" s="141">
        <v>15553298</v>
      </c>
      <c r="CD20" s="141">
        <v>5329379</v>
      </c>
      <c r="CE20" s="141">
        <v>3651</v>
      </c>
      <c r="CF20" s="141">
        <v>6083233</v>
      </c>
      <c r="CG20" s="141">
        <v>4038462</v>
      </c>
      <c r="CH20" s="141">
        <v>4807</v>
      </c>
      <c r="CI20" s="141">
        <v>93766</v>
      </c>
      <c r="CJ20" s="141">
        <v>2411633</v>
      </c>
      <c r="CK20" s="141">
        <v>2325837</v>
      </c>
      <c r="CL20" s="83">
        <f t="shared" si="7"/>
        <v>85796</v>
      </c>
      <c r="CM20" s="141">
        <v>5768719</v>
      </c>
      <c r="CN20" s="141">
        <v>4253105</v>
      </c>
      <c r="CO20" s="102"/>
      <c r="CP20" s="141">
        <v>954171</v>
      </c>
      <c r="CQ20" s="141">
        <v>321639</v>
      </c>
      <c r="CR20" s="141">
        <v>5942384</v>
      </c>
      <c r="CS20" s="141">
        <v>2131844</v>
      </c>
      <c r="CT20" s="141">
        <v>1781053</v>
      </c>
      <c r="CU20" s="141">
        <v>883701</v>
      </c>
      <c r="CV20" s="73">
        <f t="shared" si="8"/>
        <v>1114517</v>
      </c>
      <c r="CW20" s="141">
        <v>105660</v>
      </c>
      <c r="CX20" s="141">
        <v>1008857</v>
      </c>
      <c r="CY20" s="73">
        <f t="shared" si="9"/>
        <v>0</v>
      </c>
      <c r="CZ20" s="141">
        <v>0</v>
      </c>
      <c r="DA20" s="141">
        <v>0</v>
      </c>
      <c r="DB20" s="73">
        <f t="shared" si="10"/>
        <v>1005312</v>
      </c>
      <c r="DC20" s="141">
        <v>75938</v>
      </c>
      <c r="DD20" s="141">
        <v>929374</v>
      </c>
      <c r="DE20" s="141">
        <v>2707124</v>
      </c>
      <c r="DF20" s="141">
        <v>377890</v>
      </c>
      <c r="DG20" s="141">
        <v>2286880</v>
      </c>
      <c r="DH20" s="141">
        <v>42354</v>
      </c>
      <c r="DI20" s="141">
        <v>0</v>
      </c>
      <c r="DJ20" s="141">
        <v>15517</v>
      </c>
      <c r="DK20" s="141">
        <v>681504</v>
      </c>
      <c r="DL20" s="141">
        <v>167818</v>
      </c>
      <c r="DM20" s="141">
        <v>0</v>
      </c>
      <c r="DN20" s="141">
        <v>513686</v>
      </c>
      <c r="DO20" s="141">
        <v>0</v>
      </c>
      <c r="DP20" s="141">
        <v>0</v>
      </c>
      <c r="DQ20" s="141">
        <v>0</v>
      </c>
      <c r="DR20" s="141">
        <v>0</v>
      </c>
      <c r="DS20" s="141">
        <v>817580</v>
      </c>
      <c r="DT20" s="141">
        <v>0</v>
      </c>
      <c r="DU20" s="141">
        <v>0</v>
      </c>
      <c r="DV20" s="141">
        <v>5155633</v>
      </c>
      <c r="DW20" s="141">
        <v>0</v>
      </c>
      <c r="DX20" s="73">
        <f t="shared" si="11"/>
        <v>0</v>
      </c>
      <c r="DY20" s="141">
        <v>0</v>
      </c>
      <c r="DZ20" s="141">
        <v>1997149</v>
      </c>
      <c r="EA20" s="141">
        <v>0</v>
      </c>
      <c r="EB20" s="141">
        <v>1304182</v>
      </c>
      <c r="EC20" s="74"/>
      <c r="ED20" s="141">
        <v>1854302</v>
      </c>
      <c r="EE20" s="141">
        <v>0</v>
      </c>
      <c r="EF20" s="141">
        <v>46998398</v>
      </c>
      <c r="EG20" s="71"/>
      <c r="EH20" s="141">
        <v>468848</v>
      </c>
      <c r="EI20" s="141">
        <v>27998</v>
      </c>
      <c r="EJ20" s="141">
        <v>440850</v>
      </c>
      <c r="EK20" s="141">
        <v>-9083</v>
      </c>
      <c r="EL20" s="141">
        <v>353304</v>
      </c>
      <c r="EM20" s="71"/>
      <c r="EN20" s="141">
        <v>108699</v>
      </c>
      <c r="EO20" s="141">
        <v>105715</v>
      </c>
      <c r="EP20" s="141">
        <v>112784</v>
      </c>
      <c r="EQ20" s="141">
        <v>25131</v>
      </c>
      <c r="ER20" s="73">
        <f t="shared" si="12"/>
        <v>2814309</v>
      </c>
      <c r="ES20" s="141">
        <v>26469472</v>
      </c>
      <c r="ET20" s="141">
        <v>-3043539</v>
      </c>
      <c r="EU20" s="141">
        <v>6813438</v>
      </c>
      <c r="EV20" s="141">
        <v>3889947</v>
      </c>
      <c r="EW20" s="141">
        <v>4707678</v>
      </c>
      <c r="EX20" s="141">
        <v>2390602</v>
      </c>
      <c r="EY20" s="73">
        <f t="shared" si="13"/>
        <v>613586</v>
      </c>
      <c r="EZ20" s="141">
        <v>607069</v>
      </c>
      <c r="FA20" s="141">
        <v>62575</v>
      </c>
      <c r="FB20" s="141">
        <v>539739</v>
      </c>
      <c r="FC20" s="141">
        <v>6517</v>
      </c>
      <c r="FD20" s="141">
        <v>0</v>
      </c>
      <c r="FE20" s="141">
        <v>4198473</v>
      </c>
      <c r="FF20" s="141">
        <v>5635978</v>
      </c>
      <c r="FG20" s="141">
        <v>2131192</v>
      </c>
      <c r="FH20" s="141">
        <v>4076514</v>
      </c>
      <c r="FI20" s="73">
        <f t="shared" si="14"/>
        <v>620858</v>
      </c>
      <c r="FJ20" s="141">
        <v>29057127</v>
      </c>
      <c r="FK20" s="379">
        <f t="shared" si="15"/>
        <v>1.8</v>
      </c>
      <c r="FL20" s="141">
        <v>24771891</v>
      </c>
      <c r="FM20" s="141">
        <v>103879</v>
      </c>
      <c r="FN20" s="141">
        <v>12547972</v>
      </c>
      <c r="FO20" s="141">
        <v>21391944</v>
      </c>
      <c r="FP20" s="390">
        <v>0.59799999999999998</v>
      </c>
      <c r="FQ20" s="380">
        <v>96.4</v>
      </c>
      <c r="FR20" s="381">
        <v>26.6</v>
      </c>
      <c r="FS20" s="380">
        <v>15.4</v>
      </c>
      <c r="FT20" s="380">
        <v>8.6</v>
      </c>
      <c r="FU20" s="381">
        <v>15</v>
      </c>
      <c r="FV20" s="380">
        <v>15</v>
      </c>
      <c r="FW20" s="382">
        <v>15.1</v>
      </c>
      <c r="FX20" s="383">
        <v>-0.4</v>
      </c>
      <c r="FY20" s="141">
        <v>26546670</v>
      </c>
      <c r="FZ20" s="384">
        <f t="shared" si="16"/>
        <v>106.7</v>
      </c>
      <c r="GA20" s="141">
        <v>12049704</v>
      </c>
      <c r="GB20" s="141">
        <v>4960469</v>
      </c>
      <c r="GC20" s="141">
        <v>0</v>
      </c>
      <c r="GD20" s="141">
        <v>7089235</v>
      </c>
      <c r="GE20" s="107"/>
      <c r="GF20" s="385"/>
      <c r="GG20" s="386"/>
      <c r="GH20" s="380">
        <v>99.3</v>
      </c>
      <c r="GI20" s="380">
        <v>34.9</v>
      </c>
      <c r="GJ20" s="380">
        <v>98.5</v>
      </c>
      <c r="GK20" s="141">
        <v>687</v>
      </c>
      <c r="GL20" s="391" t="s">
        <v>646</v>
      </c>
      <c r="GM20" s="391">
        <v>12.09</v>
      </c>
      <c r="GN20" s="117">
        <v>20</v>
      </c>
      <c r="GO20" s="391" t="s">
        <v>646</v>
      </c>
      <c r="GP20" s="392">
        <v>17.09</v>
      </c>
      <c r="GQ20" s="387">
        <v>30</v>
      </c>
      <c r="GR20" s="381">
        <v>-0.4</v>
      </c>
      <c r="GS20" s="388">
        <v>25</v>
      </c>
      <c r="GT20" s="388">
        <v>35</v>
      </c>
      <c r="GU20" s="393" t="s">
        <v>646</v>
      </c>
      <c r="GV20" s="388">
        <v>350</v>
      </c>
      <c r="GW20" s="394"/>
      <c r="GX20" s="100">
        <f t="shared" si="17"/>
        <v>24876</v>
      </c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  <c r="HW20" s="394"/>
      <c r="HX20" s="394"/>
    </row>
    <row r="21" spans="2:232" x14ac:dyDescent="0.15">
      <c r="B21" s="89" t="s">
        <v>31</v>
      </c>
      <c r="C21" s="141">
        <v>28944441</v>
      </c>
      <c r="D21" s="73">
        <f t="shared" si="0"/>
        <v>10968487</v>
      </c>
      <c r="E21" s="141">
        <v>322956</v>
      </c>
      <c r="F21" s="141">
        <v>10645531</v>
      </c>
      <c r="G21" s="73">
        <f t="shared" si="1"/>
        <v>1704891</v>
      </c>
      <c r="H21" s="141">
        <v>577883</v>
      </c>
      <c r="I21" s="141">
        <v>1127008</v>
      </c>
      <c r="J21" s="141">
        <v>11629854</v>
      </c>
      <c r="K21" s="141">
        <v>4657067</v>
      </c>
      <c r="L21" s="141">
        <v>5547692</v>
      </c>
      <c r="M21" s="141">
        <v>1128679</v>
      </c>
      <c r="N21" s="141">
        <v>1709428</v>
      </c>
      <c r="O21" s="141">
        <v>2537475</v>
      </c>
      <c r="P21" s="141">
        <v>1322112</v>
      </c>
      <c r="Q21" s="141">
        <v>1215363</v>
      </c>
      <c r="R21" s="141">
        <v>350627</v>
      </c>
      <c r="S21" s="74"/>
      <c r="T21" s="73">
        <f t="shared" si="2"/>
        <v>6802248</v>
      </c>
      <c r="U21" s="141">
        <v>33206</v>
      </c>
      <c r="V21" s="141">
        <v>367705</v>
      </c>
      <c r="W21" s="141">
        <v>483145</v>
      </c>
      <c r="X21" s="141">
        <v>5312446</v>
      </c>
      <c r="Y21" s="141">
        <v>0</v>
      </c>
      <c r="Z21" s="160"/>
      <c r="AA21" s="141">
        <v>0</v>
      </c>
      <c r="AB21" s="141">
        <v>94587</v>
      </c>
      <c r="AC21" s="141">
        <v>511159</v>
      </c>
      <c r="AD21" s="141">
        <v>1136063</v>
      </c>
      <c r="AE21" s="141">
        <v>17934552</v>
      </c>
      <c r="AF21" s="141">
        <v>17387491</v>
      </c>
      <c r="AG21" s="141">
        <v>547061</v>
      </c>
      <c r="AH21" s="141">
        <v>26739</v>
      </c>
      <c r="AI21" s="141">
        <v>280321</v>
      </c>
      <c r="AJ21" s="73">
        <f t="shared" si="3"/>
        <v>863864</v>
      </c>
      <c r="AK21" s="141">
        <v>575705</v>
      </c>
      <c r="AL21" s="141">
        <v>288159</v>
      </c>
      <c r="AM21" s="141">
        <v>29122121</v>
      </c>
      <c r="AN21" s="73">
        <f t="shared" si="4"/>
        <v>18589014</v>
      </c>
      <c r="AO21" s="141">
        <v>10560424</v>
      </c>
      <c r="AP21" s="141">
        <v>3669701</v>
      </c>
      <c r="AQ21" s="74"/>
      <c r="AR21" s="141">
        <v>4358889</v>
      </c>
      <c r="AS21" s="141">
        <v>1447959</v>
      </c>
      <c r="AT21" s="141">
        <v>0</v>
      </c>
      <c r="AU21" s="141">
        <v>0</v>
      </c>
      <c r="AV21" s="141">
        <v>8626831</v>
      </c>
      <c r="AW21" s="141">
        <v>5370960</v>
      </c>
      <c r="AX21" s="141">
        <v>1557832</v>
      </c>
      <c r="AY21" s="141">
        <v>159158</v>
      </c>
      <c r="AZ21" s="141">
        <v>3255871</v>
      </c>
      <c r="BA21" s="141">
        <v>631944</v>
      </c>
      <c r="BB21" s="141">
        <v>142895</v>
      </c>
      <c r="BC21" s="141">
        <v>101630</v>
      </c>
      <c r="BD21" s="141">
        <v>222034</v>
      </c>
      <c r="BE21" s="141">
        <v>2181454</v>
      </c>
      <c r="BF21" s="141">
        <v>636906</v>
      </c>
      <c r="BG21" s="141">
        <v>128470</v>
      </c>
      <c r="BH21" s="141">
        <v>1416078</v>
      </c>
      <c r="BI21" s="141">
        <v>0</v>
      </c>
      <c r="BJ21" s="141">
        <v>1259742</v>
      </c>
      <c r="BK21" s="141">
        <v>1198966</v>
      </c>
      <c r="BL21" s="141">
        <v>2278808</v>
      </c>
      <c r="BM21" s="141">
        <v>78451</v>
      </c>
      <c r="BN21" s="141">
        <v>0</v>
      </c>
      <c r="BO21" s="141">
        <v>360380</v>
      </c>
      <c r="BP21" s="141">
        <v>6417200</v>
      </c>
      <c r="BQ21" s="73">
        <f t="shared" si="5"/>
        <v>5917200</v>
      </c>
      <c r="BR21" s="73">
        <f t="shared" si="6"/>
        <v>500000</v>
      </c>
      <c r="BS21" s="141">
        <v>0</v>
      </c>
      <c r="BT21" s="141">
        <v>0</v>
      </c>
      <c r="BU21" s="141">
        <v>500000</v>
      </c>
      <c r="BV21" s="141">
        <v>0</v>
      </c>
      <c r="BW21" s="141">
        <v>106589940</v>
      </c>
      <c r="BX21" s="71"/>
      <c r="BY21" s="141">
        <v>11486431</v>
      </c>
      <c r="BZ21" s="141">
        <v>7455835</v>
      </c>
      <c r="CA21" s="141">
        <v>629213</v>
      </c>
      <c r="CB21" s="141">
        <v>1417407</v>
      </c>
      <c r="CC21" s="141">
        <v>41278331</v>
      </c>
      <c r="CD21" s="141">
        <v>14546485</v>
      </c>
      <c r="CE21" s="141">
        <v>61202</v>
      </c>
      <c r="CF21" s="141">
        <v>11312776</v>
      </c>
      <c r="CG21" s="141">
        <v>13842051</v>
      </c>
      <c r="CH21" s="141">
        <v>185754</v>
      </c>
      <c r="CI21" s="141">
        <v>1328673</v>
      </c>
      <c r="CJ21" s="141">
        <v>5443476</v>
      </c>
      <c r="CK21" s="141">
        <v>5199161</v>
      </c>
      <c r="CL21" s="83">
        <f t="shared" si="7"/>
        <v>244315</v>
      </c>
      <c r="CM21" s="141">
        <v>10772121</v>
      </c>
      <c r="CN21" s="141">
        <v>6956332</v>
      </c>
      <c r="CO21" s="102"/>
      <c r="CP21" s="141">
        <v>2054238</v>
      </c>
      <c r="CQ21" s="141">
        <v>390436</v>
      </c>
      <c r="CR21" s="141">
        <v>8329972</v>
      </c>
      <c r="CS21" s="141">
        <v>2944812</v>
      </c>
      <c r="CT21" s="141">
        <v>1557524</v>
      </c>
      <c r="CU21" s="141">
        <v>1126884</v>
      </c>
      <c r="CV21" s="73">
        <f t="shared" si="8"/>
        <v>1783363</v>
      </c>
      <c r="CW21" s="141">
        <v>1781545</v>
      </c>
      <c r="CX21" s="141">
        <v>1818</v>
      </c>
      <c r="CY21" s="73">
        <f t="shared" si="9"/>
        <v>0</v>
      </c>
      <c r="CZ21" s="141">
        <v>0</v>
      </c>
      <c r="DA21" s="141">
        <v>0</v>
      </c>
      <c r="DB21" s="73">
        <f t="shared" si="10"/>
        <v>1632606</v>
      </c>
      <c r="DC21" s="141">
        <v>1632606</v>
      </c>
      <c r="DD21" s="141">
        <v>0</v>
      </c>
      <c r="DE21" s="141">
        <v>11758103</v>
      </c>
      <c r="DF21" s="141">
        <v>3858362</v>
      </c>
      <c r="DG21" s="141">
        <v>7418033</v>
      </c>
      <c r="DH21" s="141">
        <v>475438</v>
      </c>
      <c r="DI21" s="141">
        <v>6270</v>
      </c>
      <c r="DJ21" s="141">
        <v>0</v>
      </c>
      <c r="DK21" s="141">
        <v>4722955</v>
      </c>
      <c r="DL21" s="141">
        <v>897298</v>
      </c>
      <c r="DM21" s="141">
        <v>716044</v>
      </c>
      <c r="DN21" s="141">
        <v>3109613</v>
      </c>
      <c r="DO21" s="141">
        <v>521450</v>
      </c>
      <c r="DP21" s="141">
        <v>521450</v>
      </c>
      <c r="DQ21" s="141">
        <v>0</v>
      </c>
      <c r="DR21" s="141">
        <v>0</v>
      </c>
      <c r="DS21" s="141">
        <v>60935</v>
      </c>
      <c r="DT21" s="141">
        <v>0</v>
      </c>
      <c r="DU21" s="141">
        <v>0</v>
      </c>
      <c r="DV21" s="141">
        <v>10555295</v>
      </c>
      <c r="DW21" s="141">
        <v>0</v>
      </c>
      <c r="DX21" s="73">
        <f t="shared" si="11"/>
        <v>0</v>
      </c>
      <c r="DY21" s="141">
        <v>0</v>
      </c>
      <c r="DZ21" s="141">
        <v>4063139</v>
      </c>
      <c r="EA21" s="141">
        <v>0</v>
      </c>
      <c r="EB21" s="141">
        <v>2730337</v>
      </c>
      <c r="EC21" s="74"/>
      <c r="ED21" s="141">
        <v>3761819</v>
      </c>
      <c r="EE21" s="141">
        <v>0</v>
      </c>
      <c r="EF21" s="141">
        <v>105319505</v>
      </c>
      <c r="EG21" s="71"/>
      <c r="EH21" s="141">
        <v>1270435</v>
      </c>
      <c r="EI21" s="141">
        <v>21757</v>
      </c>
      <c r="EJ21" s="141">
        <v>1248678</v>
      </c>
      <c r="EK21" s="141">
        <v>49712</v>
      </c>
      <c r="EL21" s="141">
        <v>310104</v>
      </c>
      <c r="EM21" s="71"/>
      <c r="EN21" s="141">
        <v>229733</v>
      </c>
      <c r="EO21" s="141">
        <v>224378</v>
      </c>
      <c r="EP21" s="141">
        <v>765376</v>
      </c>
      <c r="EQ21" s="141">
        <v>101630</v>
      </c>
      <c r="ER21" s="73">
        <f t="shared" si="12"/>
        <v>5809512</v>
      </c>
      <c r="ES21" s="141">
        <v>55194670</v>
      </c>
      <c r="ET21" s="141">
        <v>-7149779</v>
      </c>
      <c r="EU21" s="141">
        <v>10255370</v>
      </c>
      <c r="EV21" s="141">
        <v>6427200</v>
      </c>
      <c r="EW21" s="141">
        <v>13784648</v>
      </c>
      <c r="EX21" s="141">
        <v>5430969</v>
      </c>
      <c r="EY21" s="73">
        <f t="shared" si="13"/>
        <v>2029253</v>
      </c>
      <c r="EZ21" s="141">
        <v>2029253</v>
      </c>
      <c r="FA21" s="141">
        <v>200983</v>
      </c>
      <c r="FB21" s="141">
        <v>1779336</v>
      </c>
      <c r="FC21" s="141">
        <v>0</v>
      </c>
      <c r="FD21" s="141">
        <v>0</v>
      </c>
      <c r="FE21" s="141">
        <v>8277281</v>
      </c>
      <c r="FF21" s="141">
        <v>7713218</v>
      </c>
      <c r="FG21" s="141">
        <v>2944116</v>
      </c>
      <c r="FH21" s="141">
        <v>8198141</v>
      </c>
      <c r="FI21" s="73">
        <f t="shared" si="14"/>
        <v>5385134</v>
      </c>
      <c r="FJ21" s="141">
        <v>61074014</v>
      </c>
      <c r="FK21" s="379">
        <f t="shared" si="15"/>
        <v>2.4</v>
      </c>
      <c r="FL21" s="141">
        <v>50751908</v>
      </c>
      <c r="FM21" s="141">
        <v>521293</v>
      </c>
      <c r="FN21" s="141">
        <v>26399859</v>
      </c>
      <c r="FO21" s="141">
        <v>43544082</v>
      </c>
      <c r="FP21" s="390">
        <v>0.62</v>
      </c>
      <c r="FQ21" s="380">
        <v>89.3</v>
      </c>
      <c r="FR21" s="381">
        <v>18.399999999999999</v>
      </c>
      <c r="FS21" s="380">
        <v>20.100000000000001</v>
      </c>
      <c r="FT21" s="380">
        <v>10.3</v>
      </c>
      <c r="FU21" s="381">
        <v>11.7</v>
      </c>
      <c r="FV21" s="380">
        <v>12.3</v>
      </c>
      <c r="FW21" s="382">
        <v>14.7</v>
      </c>
      <c r="FX21" s="383">
        <v>-1.7</v>
      </c>
      <c r="FY21" s="141">
        <v>62977919</v>
      </c>
      <c r="FZ21" s="384">
        <f t="shared" si="16"/>
        <v>122.8</v>
      </c>
      <c r="GA21" s="141">
        <v>37277733</v>
      </c>
      <c r="GB21" s="141">
        <v>14441529</v>
      </c>
      <c r="GC21" s="141">
        <v>3062529</v>
      </c>
      <c r="GD21" s="141">
        <v>19773675</v>
      </c>
      <c r="GE21" s="107"/>
      <c r="GF21" s="385"/>
      <c r="GG21" s="386"/>
      <c r="GH21" s="380">
        <v>99.1</v>
      </c>
      <c r="GI21" s="380">
        <v>23.3</v>
      </c>
      <c r="GJ21" s="380">
        <v>97</v>
      </c>
      <c r="GK21" s="141">
        <v>1095</v>
      </c>
      <c r="GL21" s="391" t="s">
        <v>646</v>
      </c>
      <c r="GM21" s="391">
        <v>11.25</v>
      </c>
      <c r="GN21" s="117">
        <v>20</v>
      </c>
      <c r="GO21" s="391" t="s">
        <v>646</v>
      </c>
      <c r="GP21" s="392">
        <v>16.25</v>
      </c>
      <c r="GQ21" s="387">
        <v>30</v>
      </c>
      <c r="GR21" s="381">
        <v>-1.7</v>
      </c>
      <c r="GS21" s="388">
        <v>25</v>
      </c>
      <c r="GT21" s="388">
        <v>35</v>
      </c>
      <c r="GU21" s="393" t="s">
        <v>646</v>
      </c>
      <c r="GV21" s="388">
        <v>350</v>
      </c>
      <c r="GW21" s="394"/>
      <c r="GX21" s="100">
        <f t="shared" si="17"/>
        <v>51273</v>
      </c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  <c r="HW21" s="394"/>
      <c r="HX21" s="394"/>
    </row>
    <row r="22" spans="2:232" x14ac:dyDescent="0.15">
      <c r="B22" s="89" t="s">
        <v>33</v>
      </c>
      <c r="C22" s="141">
        <v>11479563</v>
      </c>
      <c r="D22" s="73">
        <f t="shared" si="0"/>
        <v>4882115</v>
      </c>
      <c r="E22" s="141">
        <v>149820</v>
      </c>
      <c r="F22" s="141">
        <v>4732295</v>
      </c>
      <c r="G22" s="73">
        <f t="shared" si="1"/>
        <v>520802</v>
      </c>
      <c r="H22" s="141">
        <v>209378</v>
      </c>
      <c r="I22" s="141">
        <v>311424</v>
      </c>
      <c r="J22" s="141">
        <v>4444865</v>
      </c>
      <c r="K22" s="141">
        <v>1543116</v>
      </c>
      <c r="L22" s="141">
        <v>2159953</v>
      </c>
      <c r="M22" s="141">
        <v>671930</v>
      </c>
      <c r="N22" s="141">
        <v>493520</v>
      </c>
      <c r="O22" s="141">
        <v>894122</v>
      </c>
      <c r="P22" s="141">
        <v>447406</v>
      </c>
      <c r="Q22" s="141">
        <v>446716</v>
      </c>
      <c r="R22" s="141">
        <v>260072</v>
      </c>
      <c r="S22" s="74"/>
      <c r="T22" s="73">
        <f t="shared" si="2"/>
        <v>3010661</v>
      </c>
      <c r="U22" s="141">
        <v>15038</v>
      </c>
      <c r="V22" s="141">
        <v>166124</v>
      </c>
      <c r="W22" s="141">
        <v>217763</v>
      </c>
      <c r="X22" s="141">
        <v>2320029</v>
      </c>
      <c r="Y22" s="141">
        <v>21757</v>
      </c>
      <c r="Z22" s="160"/>
      <c r="AA22" s="141">
        <v>0</v>
      </c>
      <c r="AB22" s="141">
        <v>65083</v>
      </c>
      <c r="AC22" s="141">
        <v>204867</v>
      </c>
      <c r="AD22" s="141">
        <v>504294</v>
      </c>
      <c r="AE22" s="141">
        <v>9013339</v>
      </c>
      <c r="AF22" s="141">
        <v>8785104</v>
      </c>
      <c r="AG22" s="141">
        <v>228235</v>
      </c>
      <c r="AH22" s="141">
        <v>10707</v>
      </c>
      <c r="AI22" s="141">
        <v>259602</v>
      </c>
      <c r="AJ22" s="73">
        <f t="shared" si="3"/>
        <v>656170</v>
      </c>
      <c r="AK22" s="141">
        <v>349158</v>
      </c>
      <c r="AL22" s="141">
        <v>307012</v>
      </c>
      <c r="AM22" s="141">
        <v>9723378</v>
      </c>
      <c r="AN22" s="73">
        <f t="shared" si="4"/>
        <v>5164828</v>
      </c>
      <c r="AO22" s="141">
        <v>1869181</v>
      </c>
      <c r="AP22" s="141">
        <v>1735516</v>
      </c>
      <c r="AQ22" s="74"/>
      <c r="AR22" s="141">
        <v>1560131</v>
      </c>
      <c r="AS22" s="141">
        <v>410110</v>
      </c>
      <c r="AT22" s="141">
        <v>0</v>
      </c>
      <c r="AU22" s="141">
        <v>0</v>
      </c>
      <c r="AV22" s="141">
        <v>3667375</v>
      </c>
      <c r="AW22" s="141">
        <v>2386280</v>
      </c>
      <c r="AX22" s="141">
        <v>747311</v>
      </c>
      <c r="AY22" s="141">
        <v>6465</v>
      </c>
      <c r="AZ22" s="141">
        <v>1281095</v>
      </c>
      <c r="BA22" s="141">
        <v>36000</v>
      </c>
      <c r="BB22" s="141">
        <v>289177</v>
      </c>
      <c r="BC22" s="141">
        <v>137026</v>
      </c>
      <c r="BD22" s="141">
        <v>613580</v>
      </c>
      <c r="BE22" s="141">
        <v>1073335</v>
      </c>
      <c r="BF22" s="141">
        <v>0</v>
      </c>
      <c r="BG22" s="141">
        <v>0</v>
      </c>
      <c r="BH22" s="141">
        <v>1014831</v>
      </c>
      <c r="BI22" s="141">
        <v>0</v>
      </c>
      <c r="BJ22" s="141">
        <v>318537</v>
      </c>
      <c r="BK22" s="141">
        <v>243216</v>
      </c>
      <c r="BL22" s="141">
        <v>555153</v>
      </c>
      <c r="BM22" s="141">
        <v>41964</v>
      </c>
      <c r="BN22" s="141">
        <v>0</v>
      </c>
      <c r="BO22" s="141">
        <v>0</v>
      </c>
      <c r="BP22" s="141">
        <v>1955500</v>
      </c>
      <c r="BQ22" s="73">
        <f t="shared" si="5"/>
        <v>1863800</v>
      </c>
      <c r="BR22" s="73">
        <f t="shared" si="6"/>
        <v>91700</v>
      </c>
      <c r="BS22" s="141">
        <v>0</v>
      </c>
      <c r="BT22" s="141">
        <v>0</v>
      </c>
      <c r="BU22" s="141">
        <v>91700</v>
      </c>
      <c r="BV22" s="141">
        <v>0</v>
      </c>
      <c r="BW22" s="141">
        <v>43390443</v>
      </c>
      <c r="BX22" s="71"/>
      <c r="BY22" s="141">
        <v>5866503</v>
      </c>
      <c r="BZ22" s="141">
        <v>2991772</v>
      </c>
      <c r="CA22" s="141">
        <v>298061</v>
      </c>
      <c r="CB22" s="141">
        <v>1526728</v>
      </c>
      <c r="CC22" s="141">
        <v>13778245</v>
      </c>
      <c r="CD22" s="141">
        <v>5534478</v>
      </c>
      <c r="CE22" s="141">
        <v>29718</v>
      </c>
      <c r="CF22" s="141">
        <v>4988315</v>
      </c>
      <c r="CG22" s="141">
        <v>2438079</v>
      </c>
      <c r="CH22" s="141">
        <v>50186</v>
      </c>
      <c r="CI22" s="141">
        <v>737469</v>
      </c>
      <c r="CJ22" s="141">
        <v>2857758</v>
      </c>
      <c r="CK22" s="141">
        <v>2755912</v>
      </c>
      <c r="CL22" s="83">
        <f t="shared" si="7"/>
        <v>101846</v>
      </c>
      <c r="CM22" s="141">
        <v>5743788</v>
      </c>
      <c r="CN22" s="141">
        <v>4336642</v>
      </c>
      <c r="CO22" s="102"/>
      <c r="CP22" s="141">
        <v>727471</v>
      </c>
      <c r="CQ22" s="141">
        <v>129876</v>
      </c>
      <c r="CR22" s="141">
        <v>5101371</v>
      </c>
      <c r="CS22" s="141">
        <v>1900938</v>
      </c>
      <c r="CT22" s="141">
        <v>659370</v>
      </c>
      <c r="CU22" s="141">
        <v>511349</v>
      </c>
      <c r="CV22" s="73">
        <f t="shared" si="8"/>
        <v>1483049</v>
      </c>
      <c r="CW22" s="141">
        <v>17201</v>
      </c>
      <c r="CX22" s="141">
        <v>1465848</v>
      </c>
      <c r="CY22" s="73">
        <f t="shared" si="9"/>
        <v>0</v>
      </c>
      <c r="CZ22" s="141">
        <v>0</v>
      </c>
      <c r="DA22" s="141">
        <v>0</v>
      </c>
      <c r="DB22" s="73">
        <f t="shared" si="10"/>
        <v>1341923</v>
      </c>
      <c r="DC22" s="141">
        <v>0</v>
      </c>
      <c r="DD22" s="141">
        <v>1341923</v>
      </c>
      <c r="DE22" s="141">
        <v>2724591</v>
      </c>
      <c r="DF22" s="141">
        <v>950096</v>
      </c>
      <c r="DG22" s="141">
        <v>1712064</v>
      </c>
      <c r="DH22" s="141">
        <v>62431</v>
      </c>
      <c r="DI22" s="141">
        <v>0</v>
      </c>
      <c r="DJ22" s="141">
        <v>206865</v>
      </c>
      <c r="DK22" s="141">
        <v>1206858</v>
      </c>
      <c r="DL22" s="141">
        <v>268865</v>
      </c>
      <c r="DM22" s="141">
        <v>202763</v>
      </c>
      <c r="DN22" s="141">
        <v>735230</v>
      </c>
      <c r="DO22" s="141">
        <v>0</v>
      </c>
      <c r="DP22" s="141">
        <v>0</v>
      </c>
      <c r="DQ22" s="141">
        <v>0</v>
      </c>
      <c r="DR22" s="141">
        <v>0</v>
      </c>
      <c r="DS22" s="141">
        <v>24628</v>
      </c>
      <c r="DT22" s="141">
        <v>0</v>
      </c>
      <c r="DU22" s="141">
        <v>0</v>
      </c>
      <c r="DV22" s="141">
        <v>4965676</v>
      </c>
      <c r="DW22" s="141">
        <v>0</v>
      </c>
      <c r="DX22" s="73">
        <f t="shared" si="11"/>
        <v>0</v>
      </c>
      <c r="DY22" s="141">
        <v>0</v>
      </c>
      <c r="DZ22" s="141">
        <v>2103169</v>
      </c>
      <c r="EA22" s="141">
        <v>0</v>
      </c>
      <c r="EB22" s="141">
        <v>1098433</v>
      </c>
      <c r="EC22" s="74"/>
      <c r="ED22" s="141">
        <v>1764074</v>
      </c>
      <c r="EE22" s="141">
        <v>0</v>
      </c>
      <c r="EF22" s="141">
        <v>42606159</v>
      </c>
      <c r="EG22" s="71"/>
      <c r="EH22" s="141">
        <v>784284</v>
      </c>
      <c r="EI22" s="141">
        <v>578011</v>
      </c>
      <c r="EJ22" s="141">
        <v>206273</v>
      </c>
      <c r="EK22" s="141">
        <v>-36943</v>
      </c>
      <c r="EL22" s="141">
        <v>231922</v>
      </c>
      <c r="EM22" s="71"/>
      <c r="EN22" s="141">
        <v>101692</v>
      </c>
      <c r="EO22" s="141">
        <v>97912</v>
      </c>
      <c r="EP22" s="141">
        <v>423302</v>
      </c>
      <c r="EQ22" s="141">
        <v>186421</v>
      </c>
      <c r="ER22" s="73">
        <f t="shared" si="12"/>
        <v>2239392</v>
      </c>
      <c r="ES22" s="141">
        <v>24278636</v>
      </c>
      <c r="ET22" s="141">
        <v>-2930108</v>
      </c>
      <c r="EU22" s="141">
        <v>5052497</v>
      </c>
      <c r="EV22" s="141">
        <v>2710210</v>
      </c>
      <c r="EW22" s="141">
        <v>4846333</v>
      </c>
      <c r="EX22" s="141">
        <v>2737711</v>
      </c>
      <c r="EY22" s="73">
        <f t="shared" si="13"/>
        <v>311333</v>
      </c>
      <c r="EZ22" s="141">
        <v>309615</v>
      </c>
      <c r="FA22" s="141">
        <v>68377</v>
      </c>
      <c r="FB22" s="141">
        <v>234642</v>
      </c>
      <c r="FC22" s="141">
        <v>1718</v>
      </c>
      <c r="FD22" s="141">
        <v>0</v>
      </c>
      <c r="FE22" s="141">
        <v>4071702</v>
      </c>
      <c r="FF22" s="141">
        <v>4557605</v>
      </c>
      <c r="FG22" s="141">
        <v>1865370</v>
      </c>
      <c r="FH22" s="141">
        <v>3999676</v>
      </c>
      <c r="FI22" s="73">
        <f t="shared" si="14"/>
        <v>847603</v>
      </c>
      <c r="FJ22" s="141">
        <v>26424460</v>
      </c>
      <c r="FK22" s="379">
        <f t="shared" si="15"/>
        <v>0.9</v>
      </c>
      <c r="FL22" s="141">
        <v>22711329</v>
      </c>
      <c r="FM22" s="141">
        <v>91780</v>
      </c>
      <c r="FN22" s="141">
        <v>11053625</v>
      </c>
      <c r="FO22" s="141">
        <v>19823744</v>
      </c>
      <c r="FP22" s="390">
        <v>0.56599999999999995</v>
      </c>
      <c r="FQ22" s="380">
        <v>95.9</v>
      </c>
      <c r="FR22" s="381">
        <v>21.2</v>
      </c>
      <c r="FS22" s="380">
        <v>13.9</v>
      </c>
      <c r="FT22" s="380">
        <v>11.7</v>
      </c>
      <c r="FU22" s="381">
        <v>16.600000000000001</v>
      </c>
      <c r="FV22" s="380">
        <v>15.5</v>
      </c>
      <c r="FW22" s="382">
        <v>16.600000000000001</v>
      </c>
      <c r="FX22" s="383">
        <v>2.2999999999999998</v>
      </c>
      <c r="FY22" s="141">
        <v>25524029</v>
      </c>
      <c r="FZ22" s="384">
        <f t="shared" si="16"/>
        <v>111.9</v>
      </c>
      <c r="GA22" s="141">
        <v>13717800</v>
      </c>
      <c r="GB22" s="141">
        <v>2948445</v>
      </c>
      <c r="GC22" s="141">
        <v>3669365</v>
      </c>
      <c r="GD22" s="141">
        <v>7099990</v>
      </c>
      <c r="GE22" s="107"/>
      <c r="GF22" s="385"/>
      <c r="GG22" s="386"/>
      <c r="GH22" s="380">
        <v>99.6</v>
      </c>
      <c r="GI22" s="380">
        <v>65.599999999999994</v>
      </c>
      <c r="GJ22" s="380">
        <v>99.3</v>
      </c>
      <c r="GK22" s="141">
        <v>455</v>
      </c>
      <c r="GL22" s="391" t="s">
        <v>646</v>
      </c>
      <c r="GM22" s="391">
        <v>12.24</v>
      </c>
      <c r="GN22" s="117">
        <v>20</v>
      </c>
      <c r="GO22" s="391" t="s">
        <v>646</v>
      </c>
      <c r="GP22" s="392">
        <v>17.239999999999998</v>
      </c>
      <c r="GQ22" s="387">
        <v>30</v>
      </c>
      <c r="GR22" s="381">
        <v>2.2999999999999998</v>
      </c>
      <c r="GS22" s="388">
        <v>25</v>
      </c>
      <c r="GT22" s="388">
        <v>35</v>
      </c>
      <c r="GU22" s="393" t="s">
        <v>646</v>
      </c>
      <c r="GV22" s="388">
        <v>350</v>
      </c>
      <c r="GW22" s="394"/>
      <c r="GX22" s="100">
        <f t="shared" si="17"/>
        <v>22803</v>
      </c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  <c r="HW22" s="394"/>
      <c r="HX22" s="394"/>
    </row>
    <row r="23" spans="2:232" x14ac:dyDescent="0.15">
      <c r="B23" s="89" t="s">
        <v>35</v>
      </c>
      <c r="C23" s="141">
        <v>14891366</v>
      </c>
      <c r="D23" s="73">
        <f t="shared" si="0"/>
        <v>5469556</v>
      </c>
      <c r="E23" s="141">
        <v>167767</v>
      </c>
      <c r="F23" s="141">
        <v>5301789</v>
      </c>
      <c r="G23" s="73">
        <f t="shared" si="1"/>
        <v>865302</v>
      </c>
      <c r="H23" s="141">
        <v>295436</v>
      </c>
      <c r="I23" s="141">
        <v>569866</v>
      </c>
      <c r="J23" s="141">
        <v>6071711</v>
      </c>
      <c r="K23" s="141">
        <v>2630158</v>
      </c>
      <c r="L23" s="141">
        <v>2640215</v>
      </c>
      <c r="M23" s="141">
        <v>752209</v>
      </c>
      <c r="N23" s="141">
        <v>973705</v>
      </c>
      <c r="O23" s="141">
        <v>1291183</v>
      </c>
      <c r="P23" s="141">
        <v>711856</v>
      </c>
      <c r="Q23" s="141">
        <v>579327</v>
      </c>
      <c r="R23" s="141">
        <v>190341</v>
      </c>
      <c r="S23" s="74"/>
      <c r="T23" s="73">
        <f t="shared" si="2"/>
        <v>3552652</v>
      </c>
      <c r="U23" s="141">
        <v>16075</v>
      </c>
      <c r="V23" s="141">
        <v>178322</v>
      </c>
      <c r="W23" s="141">
        <v>234690</v>
      </c>
      <c r="X23" s="141">
        <v>2773993</v>
      </c>
      <c r="Y23" s="141">
        <v>0</v>
      </c>
      <c r="Z23" s="160"/>
      <c r="AA23" s="141">
        <v>0</v>
      </c>
      <c r="AB23" s="141">
        <v>51446</v>
      </c>
      <c r="AC23" s="141">
        <v>298126</v>
      </c>
      <c r="AD23" s="141">
        <v>596882</v>
      </c>
      <c r="AE23" s="141">
        <v>10259915</v>
      </c>
      <c r="AF23" s="141">
        <v>9909650</v>
      </c>
      <c r="AG23" s="141">
        <v>350265</v>
      </c>
      <c r="AH23" s="141">
        <v>14541</v>
      </c>
      <c r="AI23" s="141">
        <v>173954</v>
      </c>
      <c r="AJ23" s="73">
        <f t="shared" si="3"/>
        <v>592238</v>
      </c>
      <c r="AK23" s="141">
        <v>352047</v>
      </c>
      <c r="AL23" s="141">
        <v>240191</v>
      </c>
      <c r="AM23" s="141">
        <v>14641772</v>
      </c>
      <c r="AN23" s="73">
        <f t="shared" si="4"/>
        <v>9405602</v>
      </c>
      <c r="AO23" s="141">
        <v>4974718</v>
      </c>
      <c r="AP23" s="141">
        <v>2137328</v>
      </c>
      <c r="AQ23" s="74"/>
      <c r="AR23" s="141">
        <v>2293556</v>
      </c>
      <c r="AS23" s="141">
        <v>239625</v>
      </c>
      <c r="AT23" s="141">
        <v>0</v>
      </c>
      <c r="AU23" s="141">
        <v>0</v>
      </c>
      <c r="AV23" s="141">
        <v>4429323</v>
      </c>
      <c r="AW23" s="141">
        <v>2893165</v>
      </c>
      <c r="AX23" s="141">
        <v>902988</v>
      </c>
      <c r="AY23" s="141">
        <v>858</v>
      </c>
      <c r="AZ23" s="141">
        <v>1536158</v>
      </c>
      <c r="BA23" s="141">
        <v>25198</v>
      </c>
      <c r="BB23" s="141">
        <v>196153</v>
      </c>
      <c r="BC23" s="141">
        <v>14356</v>
      </c>
      <c r="BD23" s="141">
        <v>480367</v>
      </c>
      <c r="BE23" s="141">
        <v>199024</v>
      </c>
      <c r="BF23" s="141">
        <v>46995</v>
      </c>
      <c r="BG23" s="141">
        <v>104429</v>
      </c>
      <c r="BH23" s="141">
        <v>41578</v>
      </c>
      <c r="BI23" s="141">
        <v>0</v>
      </c>
      <c r="BJ23" s="141">
        <v>1060673</v>
      </c>
      <c r="BK23" s="141">
        <v>947649</v>
      </c>
      <c r="BL23" s="141">
        <v>416709</v>
      </c>
      <c r="BM23" s="141">
        <v>25006</v>
      </c>
      <c r="BN23" s="141">
        <v>0</v>
      </c>
      <c r="BO23" s="141">
        <v>0</v>
      </c>
      <c r="BP23" s="141">
        <v>2336600</v>
      </c>
      <c r="BQ23" s="73">
        <f t="shared" si="5"/>
        <v>2232800</v>
      </c>
      <c r="BR23" s="73">
        <f t="shared" si="6"/>
        <v>103800</v>
      </c>
      <c r="BS23" s="141">
        <v>0</v>
      </c>
      <c r="BT23" s="141">
        <v>0</v>
      </c>
      <c r="BU23" s="141">
        <v>103800</v>
      </c>
      <c r="BV23" s="141">
        <v>0</v>
      </c>
      <c r="BW23" s="141">
        <v>54032510</v>
      </c>
      <c r="BX23" s="71"/>
      <c r="BY23" s="141">
        <v>7431303</v>
      </c>
      <c r="BZ23" s="141">
        <v>4874939</v>
      </c>
      <c r="CA23" s="141">
        <v>441140</v>
      </c>
      <c r="CB23" s="141">
        <v>717797</v>
      </c>
      <c r="CC23" s="141">
        <v>20714268</v>
      </c>
      <c r="CD23" s="141">
        <v>6593342</v>
      </c>
      <c r="CE23" s="141">
        <v>42976</v>
      </c>
      <c r="CF23" s="141">
        <v>6910687</v>
      </c>
      <c r="CG23" s="141">
        <v>6603105</v>
      </c>
      <c r="CH23" s="141">
        <v>9891</v>
      </c>
      <c r="CI23" s="141">
        <v>554167</v>
      </c>
      <c r="CJ23" s="141">
        <v>3673668</v>
      </c>
      <c r="CK23" s="141">
        <v>3499344</v>
      </c>
      <c r="CL23" s="83">
        <f t="shared" si="7"/>
        <v>174324</v>
      </c>
      <c r="CM23" s="141">
        <v>5751732</v>
      </c>
      <c r="CN23" s="141">
        <v>3627575</v>
      </c>
      <c r="CO23" s="102"/>
      <c r="CP23" s="141">
        <v>1111324</v>
      </c>
      <c r="CQ23" s="141">
        <v>274414</v>
      </c>
      <c r="CR23" s="141">
        <v>4630720</v>
      </c>
      <c r="CS23" s="141">
        <v>491696</v>
      </c>
      <c r="CT23" s="141">
        <v>1730597</v>
      </c>
      <c r="CU23" s="141">
        <v>1425383</v>
      </c>
      <c r="CV23" s="73">
        <f t="shared" si="8"/>
        <v>1346891</v>
      </c>
      <c r="CW23" s="141">
        <v>6000</v>
      </c>
      <c r="CX23" s="141">
        <v>1340891</v>
      </c>
      <c r="CY23" s="73">
        <f t="shared" si="9"/>
        <v>0</v>
      </c>
      <c r="CZ23" s="141">
        <v>0</v>
      </c>
      <c r="DA23" s="141">
        <v>0</v>
      </c>
      <c r="DB23" s="73">
        <f t="shared" si="10"/>
        <v>1339443</v>
      </c>
      <c r="DC23" s="141">
        <v>0</v>
      </c>
      <c r="DD23" s="141">
        <v>1339443</v>
      </c>
      <c r="DE23" s="141">
        <v>2768352</v>
      </c>
      <c r="DF23" s="141">
        <v>642201</v>
      </c>
      <c r="DG23" s="141">
        <v>1889714</v>
      </c>
      <c r="DH23" s="141">
        <v>0</v>
      </c>
      <c r="DI23" s="141">
        <v>0</v>
      </c>
      <c r="DJ23" s="141">
        <v>55763</v>
      </c>
      <c r="DK23" s="141">
        <v>1718727</v>
      </c>
      <c r="DL23" s="141">
        <v>1129863</v>
      </c>
      <c r="DM23" s="141">
        <v>163741</v>
      </c>
      <c r="DN23" s="141">
        <v>425123</v>
      </c>
      <c r="DO23" s="141">
        <v>0</v>
      </c>
      <c r="DP23" s="141">
        <v>0</v>
      </c>
      <c r="DQ23" s="141">
        <v>0</v>
      </c>
      <c r="DR23" s="141">
        <v>0</v>
      </c>
      <c r="DS23" s="141">
        <v>25000</v>
      </c>
      <c r="DT23" s="141">
        <v>0</v>
      </c>
      <c r="DU23" s="141">
        <v>0</v>
      </c>
      <c r="DV23" s="141">
        <v>6049478</v>
      </c>
      <c r="DW23" s="141">
        <v>0</v>
      </c>
      <c r="DX23" s="73">
        <f t="shared" si="11"/>
        <v>0</v>
      </c>
      <c r="DY23" s="141">
        <v>0</v>
      </c>
      <c r="DZ23" s="141">
        <v>2238079</v>
      </c>
      <c r="EA23" s="141">
        <v>0</v>
      </c>
      <c r="EB23" s="141">
        <v>1598562</v>
      </c>
      <c r="EC23" s="74"/>
      <c r="ED23" s="141">
        <v>2212788</v>
      </c>
      <c r="EE23" s="141">
        <v>0</v>
      </c>
      <c r="EF23" s="141">
        <v>53093425</v>
      </c>
      <c r="EG23" s="71"/>
      <c r="EH23" s="141">
        <v>939085</v>
      </c>
      <c r="EI23" s="141">
        <v>16483</v>
      </c>
      <c r="EJ23" s="141">
        <v>922602</v>
      </c>
      <c r="EK23" s="141">
        <v>-25047</v>
      </c>
      <c r="EL23" s="141">
        <v>1057821</v>
      </c>
      <c r="EM23" s="71"/>
      <c r="EN23" s="141">
        <v>117641</v>
      </c>
      <c r="EO23" s="141">
        <v>116259</v>
      </c>
      <c r="EP23" s="141">
        <v>157446</v>
      </c>
      <c r="EQ23" s="141">
        <v>190081</v>
      </c>
      <c r="ER23" s="73">
        <f t="shared" si="12"/>
        <v>4021728</v>
      </c>
      <c r="ES23" s="141">
        <v>29505697</v>
      </c>
      <c r="ET23" s="141">
        <v>-4458514</v>
      </c>
      <c r="EU23" s="141">
        <v>6881570</v>
      </c>
      <c r="EV23" s="141">
        <v>4553282</v>
      </c>
      <c r="EW23" s="141">
        <v>6839011</v>
      </c>
      <c r="EX23" s="141">
        <v>3673668</v>
      </c>
      <c r="EY23" s="73">
        <f t="shared" si="13"/>
        <v>205784</v>
      </c>
      <c r="EZ23" s="141">
        <v>150021</v>
      </c>
      <c r="FA23" s="141">
        <v>35219</v>
      </c>
      <c r="FB23" s="141">
        <v>114765</v>
      </c>
      <c r="FC23" s="141">
        <v>55763</v>
      </c>
      <c r="FD23" s="141">
        <v>0</v>
      </c>
      <c r="FE23" s="141">
        <v>5210223</v>
      </c>
      <c r="FF23" s="141">
        <v>3853879</v>
      </c>
      <c r="FG23" s="141">
        <v>305001</v>
      </c>
      <c r="FH23" s="141">
        <v>4733837</v>
      </c>
      <c r="FI23" s="73">
        <f t="shared" si="14"/>
        <v>1627154</v>
      </c>
      <c r="FJ23" s="141">
        <v>33025126</v>
      </c>
      <c r="FK23" s="379">
        <f t="shared" si="15"/>
        <v>3.4</v>
      </c>
      <c r="FL23" s="141">
        <v>27194087</v>
      </c>
      <c r="FM23" s="141">
        <v>103886</v>
      </c>
      <c r="FN23" s="141">
        <v>13674992</v>
      </c>
      <c r="FO23" s="141">
        <v>23584642</v>
      </c>
      <c r="FP23" s="390">
        <v>0.57799999999999996</v>
      </c>
      <c r="FQ23" s="380">
        <v>98.7</v>
      </c>
      <c r="FR23" s="381">
        <v>24.3</v>
      </c>
      <c r="FS23" s="380">
        <v>18.3</v>
      </c>
      <c r="FT23" s="380">
        <v>13</v>
      </c>
      <c r="FU23" s="381">
        <v>15.8</v>
      </c>
      <c r="FV23" s="380">
        <v>11.2</v>
      </c>
      <c r="FW23" s="382">
        <v>15.1</v>
      </c>
      <c r="FX23" s="383">
        <v>2.1</v>
      </c>
      <c r="FY23" s="141">
        <v>34220615</v>
      </c>
      <c r="FZ23" s="384">
        <f t="shared" si="16"/>
        <v>125.4</v>
      </c>
      <c r="GA23" s="141">
        <v>9437788</v>
      </c>
      <c r="GB23" s="141">
        <v>6620163</v>
      </c>
      <c r="GC23" s="141">
        <v>667380</v>
      </c>
      <c r="GD23" s="141">
        <v>2150245</v>
      </c>
      <c r="GE23" s="107"/>
      <c r="GF23" s="385">
        <v>1605</v>
      </c>
      <c r="GG23" s="386">
        <f>IF(GF23=0,"-",ROUND(GF23/(GX23)*100,1))</f>
        <v>5.9</v>
      </c>
      <c r="GH23" s="380">
        <v>99.3</v>
      </c>
      <c r="GI23" s="380">
        <v>42.8</v>
      </c>
      <c r="GJ23" s="380">
        <v>98.6</v>
      </c>
      <c r="GK23" s="141">
        <v>742</v>
      </c>
      <c r="GL23" s="391" t="s">
        <v>646</v>
      </c>
      <c r="GM23" s="391">
        <v>11.94</v>
      </c>
      <c r="GN23" s="117">
        <v>20</v>
      </c>
      <c r="GO23" s="391" t="s">
        <v>646</v>
      </c>
      <c r="GP23" s="392">
        <v>16.940000000000001</v>
      </c>
      <c r="GQ23" s="387">
        <v>30</v>
      </c>
      <c r="GR23" s="381">
        <v>2.1</v>
      </c>
      <c r="GS23" s="388">
        <v>25</v>
      </c>
      <c r="GT23" s="388">
        <v>35</v>
      </c>
      <c r="GU23" s="393" t="s">
        <v>646</v>
      </c>
      <c r="GV23" s="388">
        <v>350</v>
      </c>
      <c r="GW23" s="394"/>
      <c r="GX23" s="100">
        <f t="shared" si="17"/>
        <v>27298</v>
      </c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  <c r="HW23" s="394"/>
      <c r="HX23" s="394"/>
    </row>
    <row r="24" spans="2:232" x14ac:dyDescent="0.15">
      <c r="B24" s="89" t="s">
        <v>37</v>
      </c>
      <c r="C24" s="141">
        <v>16662529</v>
      </c>
      <c r="D24" s="73">
        <f t="shared" si="0"/>
        <v>5807115</v>
      </c>
      <c r="E24" s="141">
        <v>172471</v>
      </c>
      <c r="F24" s="141">
        <v>5634644</v>
      </c>
      <c r="G24" s="73">
        <f t="shared" si="1"/>
        <v>1013651</v>
      </c>
      <c r="H24" s="141">
        <v>366536</v>
      </c>
      <c r="I24" s="141">
        <v>647115</v>
      </c>
      <c r="J24" s="141">
        <v>7261202</v>
      </c>
      <c r="K24" s="141">
        <v>3165865</v>
      </c>
      <c r="L24" s="141">
        <v>3130138</v>
      </c>
      <c r="M24" s="141">
        <v>861441</v>
      </c>
      <c r="N24" s="141">
        <v>859659</v>
      </c>
      <c r="O24" s="141">
        <v>1516724</v>
      </c>
      <c r="P24" s="141">
        <v>839052</v>
      </c>
      <c r="Q24" s="141">
        <v>677672</v>
      </c>
      <c r="R24" s="141">
        <v>198573</v>
      </c>
      <c r="S24" s="74"/>
      <c r="T24" s="73">
        <f t="shared" si="2"/>
        <v>3812297</v>
      </c>
      <c r="U24" s="141">
        <v>17136</v>
      </c>
      <c r="V24" s="141">
        <v>189839</v>
      </c>
      <c r="W24" s="141">
        <v>249540</v>
      </c>
      <c r="X24" s="141">
        <v>2912305</v>
      </c>
      <c r="Y24" s="141">
        <v>20955</v>
      </c>
      <c r="Z24" s="160"/>
      <c r="AA24" s="141">
        <v>0</v>
      </c>
      <c r="AB24" s="141">
        <v>53799</v>
      </c>
      <c r="AC24" s="141">
        <v>368723</v>
      </c>
      <c r="AD24" s="141">
        <v>601138</v>
      </c>
      <c r="AE24" s="141">
        <v>7610136</v>
      </c>
      <c r="AF24" s="141">
        <v>7294861</v>
      </c>
      <c r="AG24" s="141">
        <v>315275</v>
      </c>
      <c r="AH24" s="141">
        <v>11374</v>
      </c>
      <c r="AI24" s="141">
        <v>52702</v>
      </c>
      <c r="AJ24" s="73">
        <f t="shared" si="3"/>
        <v>1127936</v>
      </c>
      <c r="AK24" s="141">
        <v>711534</v>
      </c>
      <c r="AL24" s="141">
        <v>416402</v>
      </c>
      <c r="AM24" s="141">
        <v>11466409</v>
      </c>
      <c r="AN24" s="73">
        <f t="shared" si="4"/>
        <v>6601836</v>
      </c>
      <c r="AO24" s="141">
        <v>1893554</v>
      </c>
      <c r="AP24" s="141">
        <v>2590523</v>
      </c>
      <c r="AQ24" s="74"/>
      <c r="AR24" s="141">
        <v>2117759</v>
      </c>
      <c r="AS24" s="141">
        <v>363855</v>
      </c>
      <c r="AT24" s="141">
        <v>0</v>
      </c>
      <c r="AU24" s="141">
        <v>0</v>
      </c>
      <c r="AV24" s="141">
        <v>4393455</v>
      </c>
      <c r="AW24" s="141">
        <v>2861893</v>
      </c>
      <c r="AX24" s="141">
        <v>1133751</v>
      </c>
      <c r="AY24" s="141">
        <v>17193</v>
      </c>
      <c r="AZ24" s="141">
        <v>1531562</v>
      </c>
      <c r="BA24" s="141">
        <v>0</v>
      </c>
      <c r="BB24" s="141">
        <v>121726</v>
      </c>
      <c r="BC24" s="141">
        <v>46557</v>
      </c>
      <c r="BD24" s="141">
        <v>3199304</v>
      </c>
      <c r="BE24" s="141">
        <v>2165863</v>
      </c>
      <c r="BF24" s="141">
        <v>0</v>
      </c>
      <c r="BG24" s="141">
        <v>71142</v>
      </c>
      <c r="BH24" s="141">
        <v>1776621</v>
      </c>
      <c r="BI24" s="141">
        <v>0</v>
      </c>
      <c r="BJ24" s="141">
        <v>605032</v>
      </c>
      <c r="BK24" s="141">
        <v>562015</v>
      </c>
      <c r="BL24" s="141">
        <v>1092737</v>
      </c>
      <c r="BM24" s="141">
        <v>0</v>
      </c>
      <c r="BN24" s="141">
        <v>0</v>
      </c>
      <c r="BO24" s="141">
        <v>0</v>
      </c>
      <c r="BP24" s="141">
        <v>2353435</v>
      </c>
      <c r="BQ24" s="73">
        <f t="shared" si="5"/>
        <v>2223000</v>
      </c>
      <c r="BR24" s="73">
        <f t="shared" si="6"/>
        <v>130435</v>
      </c>
      <c r="BS24" s="141">
        <v>0</v>
      </c>
      <c r="BT24" s="141">
        <v>0</v>
      </c>
      <c r="BU24" s="141">
        <v>130435</v>
      </c>
      <c r="BV24" s="141">
        <v>0</v>
      </c>
      <c r="BW24" s="141">
        <v>55474646</v>
      </c>
      <c r="BX24" s="71"/>
      <c r="BY24" s="141">
        <v>6446210</v>
      </c>
      <c r="BZ24" s="141">
        <v>3758672</v>
      </c>
      <c r="CA24" s="141">
        <v>309556</v>
      </c>
      <c r="CB24" s="141">
        <v>1163288</v>
      </c>
      <c r="CC24" s="141">
        <v>16956025</v>
      </c>
      <c r="CD24" s="141">
        <v>6149461</v>
      </c>
      <c r="CE24" s="141">
        <v>6017</v>
      </c>
      <c r="CF24" s="141">
        <v>7430249</v>
      </c>
      <c r="CG24" s="141">
        <v>2401969</v>
      </c>
      <c r="CH24" s="141">
        <v>42346</v>
      </c>
      <c r="CI24" s="141">
        <v>925813</v>
      </c>
      <c r="CJ24" s="141">
        <v>3320182</v>
      </c>
      <c r="CK24" s="141">
        <v>3184305</v>
      </c>
      <c r="CL24" s="83">
        <f t="shared" si="7"/>
        <v>135877</v>
      </c>
      <c r="CM24" s="141">
        <v>9671250</v>
      </c>
      <c r="CN24" s="141">
        <v>6120547</v>
      </c>
      <c r="CO24" s="102"/>
      <c r="CP24" s="141">
        <v>2360031</v>
      </c>
      <c r="CQ24" s="141">
        <v>618419</v>
      </c>
      <c r="CR24" s="141">
        <v>5031787</v>
      </c>
      <c r="CS24" s="141">
        <v>2047756</v>
      </c>
      <c r="CT24" s="141">
        <v>780035</v>
      </c>
      <c r="CU24" s="141">
        <v>614294</v>
      </c>
      <c r="CV24" s="73">
        <f t="shared" si="8"/>
        <v>1486679</v>
      </c>
      <c r="CW24" s="141">
        <v>1486679</v>
      </c>
      <c r="CX24" s="141">
        <v>0</v>
      </c>
      <c r="CY24" s="73">
        <f t="shared" si="9"/>
        <v>0</v>
      </c>
      <c r="CZ24" s="141">
        <v>0</v>
      </c>
      <c r="DA24" s="141">
        <v>0</v>
      </c>
      <c r="DB24" s="73">
        <f t="shared" si="10"/>
        <v>1474150</v>
      </c>
      <c r="DC24" s="141">
        <v>1474150</v>
      </c>
      <c r="DD24" s="141">
        <v>0</v>
      </c>
      <c r="DE24" s="141">
        <v>4255694</v>
      </c>
      <c r="DF24" s="141">
        <v>1459269</v>
      </c>
      <c r="DG24" s="141">
        <v>2796425</v>
      </c>
      <c r="DH24" s="141">
        <v>0</v>
      </c>
      <c r="DI24" s="141">
        <v>0</v>
      </c>
      <c r="DJ24" s="141">
        <v>0</v>
      </c>
      <c r="DK24" s="141">
        <v>2683440</v>
      </c>
      <c r="DL24" s="141">
        <v>85521</v>
      </c>
      <c r="DM24" s="141">
        <v>187745</v>
      </c>
      <c r="DN24" s="141">
        <v>2410174</v>
      </c>
      <c r="DO24" s="141">
        <v>160304</v>
      </c>
      <c r="DP24" s="141">
        <v>160304</v>
      </c>
      <c r="DQ24" s="141">
        <v>0</v>
      </c>
      <c r="DR24" s="141">
        <v>0</v>
      </c>
      <c r="DS24" s="141">
        <v>0</v>
      </c>
      <c r="DT24" s="141">
        <v>0</v>
      </c>
      <c r="DU24" s="141">
        <v>0</v>
      </c>
      <c r="DV24" s="141">
        <v>5311008</v>
      </c>
      <c r="DW24" s="141">
        <v>0</v>
      </c>
      <c r="DX24" s="73">
        <f t="shared" si="11"/>
        <v>0</v>
      </c>
      <c r="DY24" s="141">
        <v>0</v>
      </c>
      <c r="DZ24" s="141">
        <v>2086859</v>
      </c>
      <c r="EA24" s="141">
        <v>0</v>
      </c>
      <c r="EB24" s="141">
        <v>1455188</v>
      </c>
      <c r="EC24" s="74"/>
      <c r="ED24" s="141">
        <v>1768904</v>
      </c>
      <c r="EE24" s="141">
        <v>0</v>
      </c>
      <c r="EF24" s="141">
        <v>54454319</v>
      </c>
      <c r="EG24" s="71"/>
      <c r="EH24" s="141">
        <v>1020327</v>
      </c>
      <c r="EI24" s="141">
        <v>6561</v>
      </c>
      <c r="EJ24" s="141">
        <v>1013766</v>
      </c>
      <c r="EK24" s="141">
        <v>451751</v>
      </c>
      <c r="EL24" s="141">
        <v>537272</v>
      </c>
      <c r="EM24" s="71"/>
      <c r="EN24" s="141">
        <v>119367</v>
      </c>
      <c r="EO24" s="141">
        <v>115687</v>
      </c>
      <c r="EP24" s="141">
        <v>401092</v>
      </c>
      <c r="EQ24" s="141">
        <v>89861</v>
      </c>
      <c r="ER24" s="73">
        <f t="shared" si="12"/>
        <v>6235961</v>
      </c>
      <c r="ES24" s="141">
        <v>28896047</v>
      </c>
      <c r="ET24" s="141">
        <v>-6845975</v>
      </c>
      <c r="EU24" s="141">
        <v>5771942</v>
      </c>
      <c r="EV24" s="141">
        <v>3283682</v>
      </c>
      <c r="EW24" s="141">
        <v>5728003</v>
      </c>
      <c r="EX24" s="141">
        <v>3320182</v>
      </c>
      <c r="EY24" s="73">
        <f t="shared" si="13"/>
        <v>637650</v>
      </c>
      <c r="EZ24" s="141">
        <v>637650</v>
      </c>
      <c r="FA24" s="141">
        <v>85735</v>
      </c>
      <c r="FB24" s="141">
        <v>551915</v>
      </c>
      <c r="FC24" s="141">
        <v>0</v>
      </c>
      <c r="FD24" s="141">
        <v>0</v>
      </c>
      <c r="FE24" s="141">
        <v>7368756</v>
      </c>
      <c r="FF24" s="141">
        <v>4628656</v>
      </c>
      <c r="FG24" s="141">
        <v>1997629</v>
      </c>
      <c r="FH24" s="141">
        <v>4087789</v>
      </c>
      <c r="FI24" s="73">
        <f t="shared" si="14"/>
        <v>3178717</v>
      </c>
      <c r="FJ24" s="141">
        <v>34721695</v>
      </c>
      <c r="FK24" s="379">
        <f t="shared" si="15"/>
        <v>3.8</v>
      </c>
      <c r="FL24" s="141">
        <v>26325730</v>
      </c>
      <c r="FM24" s="141">
        <v>130435</v>
      </c>
      <c r="FN24" s="141">
        <v>15006967</v>
      </c>
      <c r="FO24" s="141">
        <v>22301628</v>
      </c>
      <c r="FP24" s="390">
        <v>0.69099999999999995</v>
      </c>
      <c r="FQ24" s="380">
        <v>97.6</v>
      </c>
      <c r="FR24" s="381">
        <v>20.100000000000001</v>
      </c>
      <c r="FS24" s="380">
        <v>15</v>
      </c>
      <c r="FT24" s="380">
        <v>12.1</v>
      </c>
      <c r="FU24" s="381">
        <v>20.100000000000001</v>
      </c>
      <c r="FV24" s="380">
        <v>14.3</v>
      </c>
      <c r="FW24" s="382">
        <v>14.3</v>
      </c>
      <c r="FX24" s="383">
        <v>2.6</v>
      </c>
      <c r="FY24" s="141">
        <v>30644043</v>
      </c>
      <c r="FZ24" s="384">
        <f t="shared" si="16"/>
        <v>115.8</v>
      </c>
      <c r="GA24" s="141">
        <v>21485370</v>
      </c>
      <c r="GB24" s="141">
        <v>5185744</v>
      </c>
      <c r="GC24" s="141">
        <v>258887</v>
      </c>
      <c r="GD24" s="141">
        <v>16040739</v>
      </c>
      <c r="GE24" s="107"/>
      <c r="GF24" s="385"/>
      <c r="GG24" s="386"/>
      <c r="GH24" s="380">
        <v>99.5</v>
      </c>
      <c r="GI24" s="380">
        <v>52.8</v>
      </c>
      <c r="GJ24" s="380">
        <v>99.1</v>
      </c>
      <c r="GK24" s="141">
        <v>552</v>
      </c>
      <c r="GL24" s="391" t="s">
        <v>646</v>
      </c>
      <c r="GM24" s="391">
        <v>11.99</v>
      </c>
      <c r="GN24" s="117">
        <v>20</v>
      </c>
      <c r="GO24" s="391" t="s">
        <v>646</v>
      </c>
      <c r="GP24" s="392">
        <v>16.989999999999998</v>
      </c>
      <c r="GQ24" s="387">
        <v>30</v>
      </c>
      <c r="GR24" s="381">
        <v>2.6</v>
      </c>
      <c r="GS24" s="388">
        <v>25</v>
      </c>
      <c r="GT24" s="388">
        <v>35</v>
      </c>
      <c r="GU24" s="393" t="s">
        <v>646</v>
      </c>
      <c r="GV24" s="388">
        <v>350</v>
      </c>
      <c r="GW24" s="394"/>
      <c r="GX24" s="100">
        <f t="shared" si="17"/>
        <v>26456</v>
      </c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  <c r="HW24" s="394"/>
      <c r="HX24" s="394"/>
    </row>
    <row r="25" spans="2:232" x14ac:dyDescent="0.15">
      <c r="B25" s="89" t="s">
        <v>39</v>
      </c>
      <c r="C25" s="141">
        <v>24047896</v>
      </c>
      <c r="D25" s="73">
        <f t="shared" si="0"/>
        <v>9493427</v>
      </c>
      <c r="E25" s="141">
        <v>264487</v>
      </c>
      <c r="F25" s="141">
        <v>9228940</v>
      </c>
      <c r="G25" s="73">
        <f t="shared" si="1"/>
        <v>1372267</v>
      </c>
      <c r="H25" s="141">
        <v>496280</v>
      </c>
      <c r="I25" s="141">
        <v>875987</v>
      </c>
      <c r="J25" s="141">
        <v>9598651</v>
      </c>
      <c r="K25" s="141">
        <v>3357067</v>
      </c>
      <c r="L25" s="141">
        <v>5040219</v>
      </c>
      <c r="M25" s="141">
        <v>1131822</v>
      </c>
      <c r="N25" s="141">
        <v>1146891</v>
      </c>
      <c r="O25" s="141">
        <v>1971982</v>
      </c>
      <c r="P25" s="141">
        <v>921401</v>
      </c>
      <c r="Q25" s="141">
        <v>1050581</v>
      </c>
      <c r="R25" s="141">
        <v>354268</v>
      </c>
      <c r="S25" s="74"/>
      <c r="T25" s="73">
        <f t="shared" si="2"/>
        <v>5684241</v>
      </c>
      <c r="U25" s="141">
        <v>28398</v>
      </c>
      <c r="V25" s="141">
        <v>314727</v>
      </c>
      <c r="W25" s="141">
        <v>413856</v>
      </c>
      <c r="X25" s="141">
        <v>4339210</v>
      </c>
      <c r="Y25" s="141">
        <v>33859</v>
      </c>
      <c r="Z25" s="160"/>
      <c r="AA25" s="141">
        <v>0</v>
      </c>
      <c r="AB25" s="141">
        <v>94251</v>
      </c>
      <c r="AC25" s="141">
        <v>459940</v>
      </c>
      <c r="AD25" s="141">
        <v>1044857</v>
      </c>
      <c r="AE25" s="141">
        <v>11173844</v>
      </c>
      <c r="AF25" s="141">
        <v>10468034</v>
      </c>
      <c r="AG25" s="141">
        <v>705810</v>
      </c>
      <c r="AH25" s="141">
        <v>22542</v>
      </c>
      <c r="AI25" s="141">
        <v>131823</v>
      </c>
      <c r="AJ25" s="73">
        <f t="shared" si="3"/>
        <v>1241836</v>
      </c>
      <c r="AK25" s="141">
        <v>870097</v>
      </c>
      <c r="AL25" s="141">
        <v>371739</v>
      </c>
      <c r="AM25" s="141">
        <v>20122433</v>
      </c>
      <c r="AN25" s="73">
        <f t="shared" si="4"/>
        <v>11848213</v>
      </c>
      <c r="AO25" s="141">
        <v>5688841</v>
      </c>
      <c r="AP25" s="141">
        <v>3243409</v>
      </c>
      <c r="AQ25" s="74"/>
      <c r="AR25" s="141">
        <v>2915963</v>
      </c>
      <c r="AS25" s="141">
        <v>1436291</v>
      </c>
      <c r="AT25" s="141">
        <v>4328</v>
      </c>
      <c r="AU25" s="141">
        <v>216082</v>
      </c>
      <c r="AV25" s="141">
        <v>6228137</v>
      </c>
      <c r="AW25" s="141">
        <v>3681297</v>
      </c>
      <c r="AX25" s="141">
        <v>1174575</v>
      </c>
      <c r="AY25" s="141">
        <v>3811</v>
      </c>
      <c r="AZ25" s="141">
        <v>2546840</v>
      </c>
      <c r="BA25" s="141">
        <v>33941</v>
      </c>
      <c r="BB25" s="141">
        <v>326951</v>
      </c>
      <c r="BC25" s="141">
        <v>297212</v>
      </c>
      <c r="BD25" s="141">
        <v>1202217</v>
      </c>
      <c r="BE25" s="141">
        <v>2010868</v>
      </c>
      <c r="BF25" s="141">
        <v>273000</v>
      </c>
      <c r="BG25" s="141">
        <v>153000</v>
      </c>
      <c r="BH25" s="141">
        <v>1584868</v>
      </c>
      <c r="BI25" s="141">
        <v>0</v>
      </c>
      <c r="BJ25" s="141">
        <v>722878</v>
      </c>
      <c r="BK25" s="141">
        <v>365159</v>
      </c>
      <c r="BL25" s="141">
        <v>571052</v>
      </c>
      <c r="BM25" s="141">
        <v>2384</v>
      </c>
      <c r="BN25" s="141">
        <v>5800</v>
      </c>
      <c r="BO25" s="141">
        <v>0</v>
      </c>
      <c r="BP25" s="141">
        <v>4852100</v>
      </c>
      <c r="BQ25" s="73">
        <f t="shared" si="5"/>
        <v>4852100</v>
      </c>
      <c r="BR25" s="73">
        <f t="shared" si="6"/>
        <v>0</v>
      </c>
      <c r="BS25" s="141">
        <v>0</v>
      </c>
      <c r="BT25" s="141">
        <v>0</v>
      </c>
      <c r="BU25" s="141">
        <v>0</v>
      </c>
      <c r="BV25" s="141">
        <v>0</v>
      </c>
      <c r="BW25" s="141">
        <v>79954025</v>
      </c>
      <c r="BX25" s="71"/>
      <c r="BY25" s="141">
        <v>11191448</v>
      </c>
      <c r="BZ25" s="141">
        <v>6407924</v>
      </c>
      <c r="CA25" s="141">
        <v>496608</v>
      </c>
      <c r="CB25" s="141">
        <v>2312455</v>
      </c>
      <c r="CC25" s="141">
        <v>28291631</v>
      </c>
      <c r="CD25" s="141">
        <v>9331654</v>
      </c>
      <c r="CE25" s="141">
        <v>24014</v>
      </c>
      <c r="CF25" s="141">
        <v>11684198</v>
      </c>
      <c r="CG25" s="141">
        <v>6967843</v>
      </c>
      <c r="CH25" s="141">
        <v>11746</v>
      </c>
      <c r="CI25" s="141">
        <v>271826</v>
      </c>
      <c r="CJ25" s="141">
        <v>5703448</v>
      </c>
      <c r="CK25" s="141">
        <v>5512441</v>
      </c>
      <c r="CL25" s="83">
        <f t="shared" si="7"/>
        <v>191007</v>
      </c>
      <c r="CM25" s="141">
        <v>10199988</v>
      </c>
      <c r="CN25" s="141">
        <v>7497615</v>
      </c>
      <c r="CO25" s="102"/>
      <c r="CP25" s="141">
        <v>1101784</v>
      </c>
      <c r="CQ25" s="141">
        <v>438016</v>
      </c>
      <c r="CR25" s="141">
        <v>5007107</v>
      </c>
      <c r="CS25" s="141">
        <v>798087</v>
      </c>
      <c r="CT25" s="141">
        <v>1497847</v>
      </c>
      <c r="CU25" s="141">
        <v>678149</v>
      </c>
      <c r="CV25" s="73">
        <f t="shared" si="8"/>
        <v>1614166</v>
      </c>
      <c r="CW25" s="141">
        <v>467015</v>
      </c>
      <c r="CX25" s="141">
        <v>1147151</v>
      </c>
      <c r="CY25" s="73">
        <f t="shared" si="9"/>
        <v>1000778</v>
      </c>
      <c r="CZ25" s="141">
        <v>0</v>
      </c>
      <c r="DA25" s="141">
        <v>1000778</v>
      </c>
      <c r="DB25" s="73">
        <f t="shared" si="10"/>
        <v>589946</v>
      </c>
      <c r="DC25" s="141">
        <v>449015</v>
      </c>
      <c r="DD25" s="141">
        <v>140931</v>
      </c>
      <c r="DE25" s="141">
        <v>9695826</v>
      </c>
      <c r="DF25" s="141">
        <v>4164615</v>
      </c>
      <c r="DG25" s="141">
        <v>5526674</v>
      </c>
      <c r="DH25" s="141">
        <v>4537</v>
      </c>
      <c r="DI25" s="141">
        <v>0</v>
      </c>
      <c r="DJ25" s="141">
        <v>42594</v>
      </c>
      <c r="DK25" s="141">
        <v>1829986</v>
      </c>
      <c r="DL25" s="141">
        <v>188670</v>
      </c>
      <c r="DM25" s="141">
        <v>2230</v>
      </c>
      <c r="DN25" s="141">
        <v>1639086</v>
      </c>
      <c r="DO25" s="141">
        <v>0</v>
      </c>
      <c r="DP25" s="141">
        <v>0</v>
      </c>
      <c r="DQ25" s="141">
        <v>0</v>
      </c>
      <c r="DR25" s="141">
        <v>0</v>
      </c>
      <c r="DS25" s="141">
        <v>21662</v>
      </c>
      <c r="DT25" s="141">
        <v>0</v>
      </c>
      <c r="DU25" s="141">
        <v>0</v>
      </c>
      <c r="DV25" s="141">
        <v>6862035</v>
      </c>
      <c r="DW25" s="141">
        <v>0</v>
      </c>
      <c r="DX25" s="73">
        <f t="shared" si="11"/>
        <v>0</v>
      </c>
      <c r="DY25" s="141">
        <v>0</v>
      </c>
      <c r="DZ25" s="141">
        <v>2819216</v>
      </c>
      <c r="EA25" s="141">
        <v>0</v>
      </c>
      <c r="EB25" s="141">
        <v>1605643</v>
      </c>
      <c r="EC25" s="74"/>
      <c r="ED25" s="141">
        <v>2437176</v>
      </c>
      <c r="EE25" s="141">
        <v>0</v>
      </c>
      <c r="EF25" s="141">
        <v>79283741</v>
      </c>
      <c r="EG25" s="71"/>
      <c r="EH25" s="141">
        <v>670284</v>
      </c>
      <c r="EI25" s="141">
        <v>315344</v>
      </c>
      <c r="EJ25" s="141">
        <v>354940</v>
      </c>
      <c r="EK25" s="141">
        <v>-10219</v>
      </c>
      <c r="EL25" s="141">
        <v>-94549</v>
      </c>
      <c r="EM25" s="71"/>
      <c r="EN25" s="141">
        <v>184495</v>
      </c>
      <c r="EO25" s="141">
        <v>182481</v>
      </c>
      <c r="EP25" s="141">
        <v>1243000</v>
      </c>
      <c r="EQ25" s="141">
        <v>312712</v>
      </c>
      <c r="ER25" s="73">
        <f t="shared" si="12"/>
        <v>3827203</v>
      </c>
      <c r="ES25" s="141">
        <v>42543730</v>
      </c>
      <c r="ET25" s="141">
        <v>-5144291</v>
      </c>
      <c r="EU25" s="141">
        <v>10195650</v>
      </c>
      <c r="EV25" s="141">
        <v>5950894</v>
      </c>
      <c r="EW25" s="141">
        <v>9512723</v>
      </c>
      <c r="EX25" s="141">
        <v>5517959</v>
      </c>
      <c r="EY25" s="73">
        <f t="shared" si="13"/>
        <v>3164715</v>
      </c>
      <c r="EZ25" s="141">
        <v>3128549</v>
      </c>
      <c r="FA25" s="141">
        <v>486564</v>
      </c>
      <c r="FB25" s="141">
        <v>2641784</v>
      </c>
      <c r="FC25" s="141">
        <v>36166</v>
      </c>
      <c r="FD25" s="141">
        <v>0</v>
      </c>
      <c r="FE25" s="141">
        <v>8220435</v>
      </c>
      <c r="FF25" s="141">
        <v>4064786</v>
      </c>
      <c r="FG25" s="141">
        <v>798087</v>
      </c>
      <c r="FH25" s="141">
        <v>5316416</v>
      </c>
      <c r="FI25" s="73">
        <f t="shared" si="14"/>
        <v>1025053</v>
      </c>
      <c r="FJ25" s="141">
        <v>47017737</v>
      </c>
      <c r="FK25" s="379">
        <f t="shared" si="15"/>
        <v>0.9</v>
      </c>
      <c r="FL25" s="141">
        <v>38762615</v>
      </c>
      <c r="FM25" s="141">
        <v>187307</v>
      </c>
      <c r="FN25" s="141">
        <v>22303206</v>
      </c>
      <c r="FO25" s="141">
        <v>32749315</v>
      </c>
      <c r="FP25" s="390">
        <v>0.69399999999999995</v>
      </c>
      <c r="FQ25" s="380">
        <v>94.7</v>
      </c>
      <c r="FR25" s="381">
        <v>25.2</v>
      </c>
      <c r="FS25" s="380">
        <v>17.600000000000001</v>
      </c>
      <c r="FT25" s="380">
        <v>13.7</v>
      </c>
      <c r="FU25" s="381">
        <v>15.9</v>
      </c>
      <c r="FV25" s="380">
        <v>8.3000000000000007</v>
      </c>
      <c r="FW25" s="382">
        <v>13</v>
      </c>
      <c r="FX25" s="383">
        <v>4.3</v>
      </c>
      <c r="FY25" s="141">
        <v>36816788</v>
      </c>
      <c r="FZ25" s="384">
        <f t="shared" si="16"/>
        <v>94.5</v>
      </c>
      <c r="GA25" s="141">
        <v>16028323</v>
      </c>
      <c r="GB25" s="141">
        <v>4664870</v>
      </c>
      <c r="GC25" s="141">
        <v>1296470</v>
      </c>
      <c r="GD25" s="141">
        <v>10066983</v>
      </c>
      <c r="GE25" s="107"/>
      <c r="GF25" s="385"/>
      <c r="GG25" s="386"/>
      <c r="GH25" s="380">
        <v>99.5</v>
      </c>
      <c r="GI25" s="380">
        <v>43.2</v>
      </c>
      <c r="GJ25" s="380">
        <v>98.8</v>
      </c>
      <c r="GK25" s="141">
        <v>1053</v>
      </c>
      <c r="GL25" s="391" t="s">
        <v>646</v>
      </c>
      <c r="GM25" s="391">
        <v>11.49</v>
      </c>
      <c r="GN25" s="117">
        <v>20</v>
      </c>
      <c r="GO25" s="391" t="s">
        <v>646</v>
      </c>
      <c r="GP25" s="392">
        <v>16.489999999999998</v>
      </c>
      <c r="GQ25" s="387">
        <v>30</v>
      </c>
      <c r="GR25" s="381">
        <v>4.3</v>
      </c>
      <c r="GS25" s="388">
        <v>25</v>
      </c>
      <c r="GT25" s="388">
        <v>35</v>
      </c>
      <c r="GU25" s="393" t="s">
        <v>646</v>
      </c>
      <c r="GV25" s="388">
        <v>350</v>
      </c>
      <c r="GW25" s="394"/>
      <c r="GX25" s="100">
        <f t="shared" si="17"/>
        <v>38950</v>
      </c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  <c r="HW25" s="394"/>
      <c r="HX25" s="394"/>
    </row>
    <row r="26" spans="2:232" x14ac:dyDescent="0.15">
      <c r="B26" s="89" t="s">
        <v>41</v>
      </c>
      <c r="C26" s="141">
        <v>26514866</v>
      </c>
      <c r="D26" s="73">
        <f t="shared" si="0"/>
        <v>10752864</v>
      </c>
      <c r="E26" s="141">
        <v>205403</v>
      </c>
      <c r="F26" s="141">
        <v>10547461</v>
      </c>
      <c r="G26" s="73">
        <f t="shared" si="1"/>
        <v>1222268</v>
      </c>
      <c r="H26" s="141">
        <v>420858</v>
      </c>
      <c r="I26" s="141">
        <v>801410</v>
      </c>
      <c r="J26" s="141">
        <v>11146828</v>
      </c>
      <c r="K26" s="141">
        <v>4671934</v>
      </c>
      <c r="L26" s="141">
        <v>4687470</v>
      </c>
      <c r="M26" s="141">
        <v>1777387</v>
      </c>
      <c r="N26" s="141">
        <v>654538</v>
      </c>
      <c r="O26" s="141">
        <v>2418278</v>
      </c>
      <c r="P26" s="141">
        <v>1399670</v>
      </c>
      <c r="Q26" s="141">
        <v>1018608</v>
      </c>
      <c r="R26" s="141">
        <v>280029</v>
      </c>
      <c r="S26" s="74"/>
      <c r="T26" s="73">
        <f t="shared" si="2"/>
        <v>4428809</v>
      </c>
      <c r="U26" s="141">
        <v>30395</v>
      </c>
      <c r="V26" s="141">
        <v>337245</v>
      </c>
      <c r="W26" s="141">
        <v>443950</v>
      </c>
      <c r="X26" s="141">
        <v>3206668</v>
      </c>
      <c r="Y26" s="141">
        <v>1364</v>
      </c>
      <c r="Z26" s="160"/>
      <c r="AA26" s="141">
        <v>0</v>
      </c>
      <c r="AB26" s="141">
        <v>76381</v>
      </c>
      <c r="AC26" s="141">
        <v>332806</v>
      </c>
      <c r="AD26" s="141">
        <v>782515</v>
      </c>
      <c r="AE26" s="141">
        <v>2666188</v>
      </c>
      <c r="AF26" s="141">
        <v>2605152</v>
      </c>
      <c r="AG26" s="141">
        <v>61036</v>
      </c>
      <c r="AH26" s="141">
        <v>14134</v>
      </c>
      <c r="AI26" s="141">
        <v>676511</v>
      </c>
      <c r="AJ26" s="73">
        <f t="shared" si="3"/>
        <v>1108889</v>
      </c>
      <c r="AK26" s="141">
        <v>792625</v>
      </c>
      <c r="AL26" s="141">
        <v>316264</v>
      </c>
      <c r="AM26" s="141">
        <v>15029629</v>
      </c>
      <c r="AN26" s="73">
        <f t="shared" si="4"/>
        <v>6579409</v>
      </c>
      <c r="AO26" s="141">
        <v>1825247</v>
      </c>
      <c r="AP26" s="141">
        <v>2951184</v>
      </c>
      <c r="AQ26" s="74"/>
      <c r="AR26" s="141">
        <v>1802978</v>
      </c>
      <c r="AS26" s="141">
        <v>0</v>
      </c>
      <c r="AT26" s="141">
        <v>0</v>
      </c>
      <c r="AU26" s="141">
        <v>0</v>
      </c>
      <c r="AV26" s="141">
        <v>5012868</v>
      </c>
      <c r="AW26" s="141">
        <v>3531596</v>
      </c>
      <c r="AX26" s="141">
        <v>1242023</v>
      </c>
      <c r="AY26" s="141">
        <v>0</v>
      </c>
      <c r="AZ26" s="141">
        <v>1481272</v>
      </c>
      <c r="BA26" s="141">
        <v>2518</v>
      </c>
      <c r="BB26" s="141">
        <v>3543017</v>
      </c>
      <c r="BC26" s="141">
        <v>1233862</v>
      </c>
      <c r="BD26" s="141">
        <v>280131</v>
      </c>
      <c r="BE26" s="141">
        <v>10654959</v>
      </c>
      <c r="BF26" s="141">
        <v>350000</v>
      </c>
      <c r="BG26" s="141">
        <v>4662000</v>
      </c>
      <c r="BH26" s="141">
        <v>5539666</v>
      </c>
      <c r="BI26" s="141">
        <v>0</v>
      </c>
      <c r="BJ26" s="141">
        <v>1715984</v>
      </c>
      <c r="BK26" s="141">
        <v>741937</v>
      </c>
      <c r="BL26" s="141">
        <v>7009143</v>
      </c>
      <c r="BM26" s="141">
        <v>15117</v>
      </c>
      <c r="BN26" s="141">
        <v>0</v>
      </c>
      <c r="BO26" s="141">
        <v>5046006</v>
      </c>
      <c r="BP26" s="141">
        <v>6378121</v>
      </c>
      <c r="BQ26" s="73">
        <f t="shared" si="5"/>
        <v>6287500</v>
      </c>
      <c r="BR26" s="73">
        <f t="shared" si="6"/>
        <v>90621</v>
      </c>
      <c r="BS26" s="141">
        <v>0</v>
      </c>
      <c r="BT26" s="141">
        <v>0</v>
      </c>
      <c r="BU26" s="141">
        <v>90621</v>
      </c>
      <c r="BV26" s="141">
        <v>0</v>
      </c>
      <c r="BW26" s="141">
        <v>86095793</v>
      </c>
      <c r="BX26" s="71"/>
      <c r="BY26" s="141">
        <v>11239527</v>
      </c>
      <c r="BZ26" s="141">
        <v>7067284</v>
      </c>
      <c r="CA26" s="141">
        <v>724690</v>
      </c>
      <c r="CB26" s="141">
        <v>1500928</v>
      </c>
      <c r="CC26" s="141">
        <v>18827118</v>
      </c>
      <c r="CD26" s="141">
        <v>6063129</v>
      </c>
      <c r="CE26" s="141">
        <v>84957</v>
      </c>
      <c r="CF26" s="141">
        <v>9378960</v>
      </c>
      <c r="CG26" s="141">
        <v>2394531</v>
      </c>
      <c r="CH26" s="141">
        <v>109369</v>
      </c>
      <c r="CI26" s="141">
        <v>796172</v>
      </c>
      <c r="CJ26" s="141">
        <v>8487039</v>
      </c>
      <c r="CK26" s="141">
        <v>8265984</v>
      </c>
      <c r="CL26" s="83">
        <f t="shared" si="7"/>
        <v>221055</v>
      </c>
      <c r="CM26" s="141">
        <v>10784978</v>
      </c>
      <c r="CN26" s="141">
        <v>7571899</v>
      </c>
      <c r="CO26" s="102"/>
      <c r="CP26" s="141">
        <v>2028171</v>
      </c>
      <c r="CQ26" s="141">
        <v>351543</v>
      </c>
      <c r="CR26" s="141">
        <v>6836557</v>
      </c>
      <c r="CS26" s="141">
        <v>3647</v>
      </c>
      <c r="CT26" s="141">
        <v>1562778</v>
      </c>
      <c r="CU26" s="141">
        <v>1150902</v>
      </c>
      <c r="CV26" s="73">
        <f t="shared" si="8"/>
        <v>3824946</v>
      </c>
      <c r="CW26" s="141">
        <v>635010</v>
      </c>
      <c r="CX26" s="141">
        <v>3189936</v>
      </c>
      <c r="CY26" s="73">
        <f t="shared" si="9"/>
        <v>3435642</v>
      </c>
      <c r="CZ26" s="141">
        <v>332868</v>
      </c>
      <c r="DA26" s="141">
        <v>3102774</v>
      </c>
      <c r="DB26" s="73">
        <f t="shared" si="10"/>
        <v>366465</v>
      </c>
      <c r="DC26" s="141">
        <v>280943</v>
      </c>
      <c r="DD26" s="141">
        <v>85522</v>
      </c>
      <c r="DE26" s="141">
        <v>10797534</v>
      </c>
      <c r="DF26" s="141">
        <v>4772479</v>
      </c>
      <c r="DG26" s="141">
        <v>6019201</v>
      </c>
      <c r="DH26" s="141">
        <v>5854</v>
      </c>
      <c r="DI26" s="141">
        <v>0</v>
      </c>
      <c r="DJ26" s="141">
        <v>4361</v>
      </c>
      <c r="DK26" s="141">
        <v>10473056</v>
      </c>
      <c r="DL26" s="141">
        <v>83102</v>
      </c>
      <c r="DM26" s="141">
        <v>168834</v>
      </c>
      <c r="DN26" s="141">
        <v>10221120</v>
      </c>
      <c r="DO26" s="141">
        <v>1900</v>
      </c>
      <c r="DP26" s="141">
        <v>1900</v>
      </c>
      <c r="DQ26" s="141">
        <v>1900</v>
      </c>
      <c r="DR26" s="141">
        <v>0</v>
      </c>
      <c r="DS26" s="141">
        <v>0</v>
      </c>
      <c r="DT26" s="141">
        <v>0</v>
      </c>
      <c r="DU26" s="141">
        <v>0</v>
      </c>
      <c r="DV26" s="141">
        <v>5283500</v>
      </c>
      <c r="DW26" s="141">
        <v>0</v>
      </c>
      <c r="DX26" s="73">
        <f t="shared" si="11"/>
        <v>0</v>
      </c>
      <c r="DY26" s="141">
        <v>0</v>
      </c>
      <c r="DZ26" s="141">
        <v>2014180</v>
      </c>
      <c r="EA26" s="141">
        <v>0</v>
      </c>
      <c r="EB26" s="141">
        <v>1377730</v>
      </c>
      <c r="EC26" s="74"/>
      <c r="ED26" s="141">
        <v>1766134</v>
      </c>
      <c r="EE26" s="141">
        <v>0</v>
      </c>
      <c r="EF26" s="141">
        <v>83087113</v>
      </c>
      <c r="EG26" s="71"/>
      <c r="EH26" s="141">
        <v>3008680</v>
      </c>
      <c r="EI26" s="141">
        <v>1453538</v>
      </c>
      <c r="EJ26" s="141">
        <v>1555142</v>
      </c>
      <c r="EK26" s="141">
        <v>-86795</v>
      </c>
      <c r="EL26" s="141">
        <v>-353693</v>
      </c>
      <c r="EM26" s="71"/>
      <c r="EN26" s="141">
        <v>136868</v>
      </c>
      <c r="EO26" s="141">
        <v>139527</v>
      </c>
      <c r="EP26" s="141">
        <v>5784375</v>
      </c>
      <c r="EQ26" s="141">
        <v>3461753</v>
      </c>
      <c r="ER26" s="73">
        <f t="shared" si="12"/>
        <v>9827135</v>
      </c>
      <c r="ES26" s="141">
        <v>34686541</v>
      </c>
      <c r="ET26" s="141">
        <v>-19149750</v>
      </c>
      <c r="EU26" s="141">
        <v>9782814</v>
      </c>
      <c r="EV26" s="141">
        <v>5994362</v>
      </c>
      <c r="EW26" s="141">
        <v>6863180</v>
      </c>
      <c r="EX26" s="141">
        <v>8487039</v>
      </c>
      <c r="EY26" s="73">
        <f t="shared" si="13"/>
        <v>541502</v>
      </c>
      <c r="EZ26" s="141">
        <v>537141</v>
      </c>
      <c r="FA26" s="141">
        <v>116355</v>
      </c>
      <c r="FB26" s="141">
        <v>420786</v>
      </c>
      <c r="FC26" s="141">
        <v>4361</v>
      </c>
      <c r="FD26" s="141">
        <v>0</v>
      </c>
      <c r="FE26" s="141">
        <v>7681294</v>
      </c>
      <c r="FF26" s="141">
        <v>2839082</v>
      </c>
      <c r="FG26" s="141">
        <v>3647</v>
      </c>
      <c r="FH26" s="141">
        <v>4236710</v>
      </c>
      <c r="FI26" s="73">
        <f t="shared" si="14"/>
        <v>10395990</v>
      </c>
      <c r="FJ26" s="141">
        <v>50827611</v>
      </c>
      <c r="FK26" s="379">
        <f t="shared" si="15"/>
        <v>5</v>
      </c>
      <c r="FL26" s="141">
        <v>31309887</v>
      </c>
      <c r="FM26" s="141">
        <v>90621</v>
      </c>
      <c r="FN26" s="141">
        <v>22013495</v>
      </c>
      <c r="FO26" s="141">
        <v>24635470</v>
      </c>
      <c r="FP26" s="395">
        <v>0.88800000000000001</v>
      </c>
      <c r="FQ26" s="380">
        <v>90.2</v>
      </c>
      <c r="FR26" s="381">
        <v>28</v>
      </c>
      <c r="FS26" s="380">
        <v>14.3</v>
      </c>
      <c r="FT26" s="380">
        <v>11.9</v>
      </c>
      <c r="FU26" s="381">
        <v>18.399999999999999</v>
      </c>
      <c r="FV26" s="380">
        <v>5.7</v>
      </c>
      <c r="FW26" s="382">
        <v>11.1</v>
      </c>
      <c r="FX26" s="383">
        <v>2.2000000000000002</v>
      </c>
      <c r="FY26" s="141">
        <v>47988223</v>
      </c>
      <c r="FZ26" s="384">
        <f t="shared" si="16"/>
        <v>152.80000000000001</v>
      </c>
      <c r="GA26" s="141">
        <v>24812868</v>
      </c>
      <c r="GB26" s="141">
        <v>5526521</v>
      </c>
      <c r="GC26" s="141">
        <v>2730864</v>
      </c>
      <c r="GD26" s="141">
        <v>16555483</v>
      </c>
      <c r="GE26" s="107"/>
      <c r="GF26" s="385">
        <v>2364</v>
      </c>
      <c r="GG26" s="386">
        <f>IF(GF26=0,"-",ROUND(GF26/(GX26)*100,1))</f>
        <v>7.5</v>
      </c>
      <c r="GH26" s="380">
        <v>99.7</v>
      </c>
      <c r="GI26" s="380">
        <v>53.8</v>
      </c>
      <c r="GJ26" s="380">
        <v>99.3</v>
      </c>
      <c r="GK26" s="141">
        <v>1028</v>
      </c>
      <c r="GL26" s="391" t="s">
        <v>646</v>
      </c>
      <c r="GM26" s="391">
        <v>11.74</v>
      </c>
      <c r="GN26" s="117">
        <v>20</v>
      </c>
      <c r="GO26" s="391" t="s">
        <v>646</v>
      </c>
      <c r="GP26" s="392">
        <v>16.739999999999998</v>
      </c>
      <c r="GQ26" s="387">
        <v>30</v>
      </c>
      <c r="GR26" s="381">
        <v>2.2000000000000002</v>
      </c>
      <c r="GS26" s="388">
        <v>25</v>
      </c>
      <c r="GT26" s="388">
        <v>35</v>
      </c>
      <c r="GU26" s="393" t="s">
        <v>646</v>
      </c>
      <c r="GV26" s="388">
        <v>350</v>
      </c>
      <c r="GW26" s="394"/>
      <c r="GX26" s="100">
        <f t="shared" si="17"/>
        <v>31401</v>
      </c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  <c r="HW26" s="394"/>
      <c r="HX26" s="394"/>
    </row>
    <row r="27" spans="2:232" x14ac:dyDescent="0.15">
      <c r="B27" s="89" t="s">
        <v>43</v>
      </c>
      <c r="C27" s="141">
        <v>8639179</v>
      </c>
      <c r="D27" s="73">
        <f t="shared" si="0"/>
        <v>3345863</v>
      </c>
      <c r="E27" s="141">
        <v>100969</v>
      </c>
      <c r="F27" s="141">
        <v>3244894</v>
      </c>
      <c r="G27" s="73">
        <f t="shared" si="1"/>
        <v>521486</v>
      </c>
      <c r="H27" s="141">
        <v>136757</v>
      </c>
      <c r="I27" s="141">
        <v>384729</v>
      </c>
      <c r="J27" s="141">
        <v>3573260</v>
      </c>
      <c r="K27" s="141">
        <v>1315401</v>
      </c>
      <c r="L27" s="141">
        <v>1498712</v>
      </c>
      <c r="M27" s="141">
        <v>734397</v>
      </c>
      <c r="N27" s="141">
        <v>364891</v>
      </c>
      <c r="O27" s="141">
        <v>701817</v>
      </c>
      <c r="P27" s="141">
        <v>375037</v>
      </c>
      <c r="Q27" s="141">
        <v>326780</v>
      </c>
      <c r="R27" s="141">
        <v>122858</v>
      </c>
      <c r="S27" s="74"/>
      <c r="T27" s="73">
        <f t="shared" si="2"/>
        <v>2110262</v>
      </c>
      <c r="U27" s="141">
        <v>10138</v>
      </c>
      <c r="V27" s="141">
        <v>112227</v>
      </c>
      <c r="W27" s="141">
        <v>147404</v>
      </c>
      <c r="X27" s="141">
        <v>1628422</v>
      </c>
      <c r="Y27" s="141">
        <v>0</v>
      </c>
      <c r="Z27" s="160"/>
      <c r="AA27" s="141">
        <v>0</v>
      </c>
      <c r="AB27" s="141">
        <v>33238</v>
      </c>
      <c r="AC27" s="141">
        <v>178833</v>
      </c>
      <c r="AD27" s="141">
        <v>350047</v>
      </c>
      <c r="AE27" s="141">
        <v>6213495</v>
      </c>
      <c r="AF27" s="141">
        <v>6016250</v>
      </c>
      <c r="AG27" s="141">
        <v>197245</v>
      </c>
      <c r="AH27" s="141">
        <v>6831</v>
      </c>
      <c r="AI27" s="141">
        <v>291510</v>
      </c>
      <c r="AJ27" s="73">
        <f t="shared" si="3"/>
        <v>317011</v>
      </c>
      <c r="AK27" s="141">
        <v>283519</v>
      </c>
      <c r="AL27" s="141">
        <v>33492</v>
      </c>
      <c r="AM27" s="141">
        <v>6009957</v>
      </c>
      <c r="AN27" s="73">
        <f t="shared" si="4"/>
        <v>3488482</v>
      </c>
      <c r="AO27" s="141">
        <v>1377379</v>
      </c>
      <c r="AP27" s="141">
        <v>786782</v>
      </c>
      <c r="AQ27" s="74"/>
      <c r="AR27" s="141">
        <v>1324321</v>
      </c>
      <c r="AS27" s="141">
        <v>100909</v>
      </c>
      <c r="AT27" s="141">
        <v>21104</v>
      </c>
      <c r="AU27" s="141">
        <v>0</v>
      </c>
      <c r="AV27" s="141">
        <v>2213172</v>
      </c>
      <c r="AW27" s="141">
        <v>1364740</v>
      </c>
      <c r="AX27" s="141">
        <v>278346</v>
      </c>
      <c r="AY27" s="141">
        <v>47699</v>
      </c>
      <c r="AZ27" s="141">
        <v>848432</v>
      </c>
      <c r="BA27" s="141">
        <v>12217</v>
      </c>
      <c r="BB27" s="141">
        <v>17699</v>
      </c>
      <c r="BC27" s="141">
        <v>1466</v>
      </c>
      <c r="BD27" s="141">
        <v>253577</v>
      </c>
      <c r="BE27" s="141">
        <v>1081889</v>
      </c>
      <c r="BF27" s="141">
        <v>600000</v>
      </c>
      <c r="BG27" s="141">
        <v>0</v>
      </c>
      <c r="BH27" s="141">
        <v>279137</v>
      </c>
      <c r="BI27" s="141">
        <v>0</v>
      </c>
      <c r="BJ27" s="141">
        <v>55884</v>
      </c>
      <c r="BK27" s="141">
        <v>10282</v>
      </c>
      <c r="BL27" s="141">
        <v>563133</v>
      </c>
      <c r="BM27" s="141">
        <v>288764</v>
      </c>
      <c r="BN27" s="141">
        <v>0</v>
      </c>
      <c r="BO27" s="141">
        <v>0</v>
      </c>
      <c r="BP27" s="141">
        <v>937688</v>
      </c>
      <c r="BQ27" s="73">
        <f t="shared" si="5"/>
        <v>872100</v>
      </c>
      <c r="BR27" s="73">
        <f t="shared" si="6"/>
        <v>65588</v>
      </c>
      <c r="BS27" s="141">
        <v>0</v>
      </c>
      <c r="BT27" s="141">
        <v>0</v>
      </c>
      <c r="BU27" s="141">
        <v>65588</v>
      </c>
      <c r="BV27" s="141">
        <v>0</v>
      </c>
      <c r="BW27" s="141">
        <v>29184192</v>
      </c>
      <c r="BX27" s="71"/>
      <c r="BY27" s="141">
        <v>5187721</v>
      </c>
      <c r="BZ27" s="141">
        <v>2903707</v>
      </c>
      <c r="CA27" s="141">
        <v>276832</v>
      </c>
      <c r="CB27" s="141">
        <v>1072195</v>
      </c>
      <c r="CC27" s="141">
        <v>8767577</v>
      </c>
      <c r="CD27" s="141">
        <v>3738313</v>
      </c>
      <c r="CE27" s="141">
        <v>9921</v>
      </c>
      <c r="CF27" s="141">
        <v>2937241</v>
      </c>
      <c r="CG27" s="141">
        <v>1859748</v>
      </c>
      <c r="CH27" s="141">
        <v>43676</v>
      </c>
      <c r="CI27" s="141">
        <v>178648</v>
      </c>
      <c r="CJ27" s="141">
        <v>2072467</v>
      </c>
      <c r="CK27" s="141">
        <v>2003238</v>
      </c>
      <c r="CL27" s="83">
        <f t="shared" si="7"/>
        <v>69229</v>
      </c>
      <c r="CM27" s="141">
        <v>3248733</v>
      </c>
      <c r="CN27" s="141">
        <v>2310643</v>
      </c>
      <c r="CO27" s="102"/>
      <c r="CP27" s="141">
        <v>395314</v>
      </c>
      <c r="CQ27" s="141">
        <v>119777</v>
      </c>
      <c r="CR27" s="141">
        <v>3882807</v>
      </c>
      <c r="CS27" s="141">
        <v>1843280</v>
      </c>
      <c r="CT27" s="141">
        <v>387127</v>
      </c>
      <c r="CU27" s="141">
        <v>251032</v>
      </c>
      <c r="CV27" s="73">
        <f t="shared" si="8"/>
        <v>1363967</v>
      </c>
      <c r="CW27" s="141">
        <v>952847</v>
      </c>
      <c r="CX27" s="141">
        <v>411120</v>
      </c>
      <c r="CY27" s="73">
        <f t="shared" si="9"/>
        <v>551848</v>
      </c>
      <c r="CZ27" s="141">
        <v>458058</v>
      </c>
      <c r="DA27" s="141">
        <v>93790</v>
      </c>
      <c r="DB27" s="73">
        <f t="shared" si="10"/>
        <v>740103</v>
      </c>
      <c r="DC27" s="141">
        <v>489789</v>
      </c>
      <c r="DD27" s="141">
        <v>250314</v>
      </c>
      <c r="DE27" s="141">
        <v>1718222</v>
      </c>
      <c r="DF27" s="141">
        <v>482855</v>
      </c>
      <c r="DG27" s="141">
        <v>1235367</v>
      </c>
      <c r="DH27" s="141">
        <v>0</v>
      </c>
      <c r="DI27" s="141">
        <v>0</v>
      </c>
      <c r="DJ27" s="141">
        <v>67729</v>
      </c>
      <c r="DK27" s="141">
        <v>373025</v>
      </c>
      <c r="DL27" s="141">
        <v>9479</v>
      </c>
      <c r="DM27" s="141">
        <v>108314</v>
      </c>
      <c r="DN27" s="141">
        <v>255232</v>
      </c>
      <c r="DO27" s="141">
        <v>250000</v>
      </c>
      <c r="DP27" s="141">
        <v>250000</v>
      </c>
      <c r="DQ27" s="141">
        <v>0</v>
      </c>
      <c r="DR27" s="141">
        <v>250000</v>
      </c>
      <c r="DS27" s="141">
        <v>287693</v>
      </c>
      <c r="DT27" s="141">
        <v>0</v>
      </c>
      <c r="DU27" s="141">
        <v>0</v>
      </c>
      <c r="DV27" s="141">
        <v>3145207</v>
      </c>
      <c r="DW27" s="141">
        <v>0</v>
      </c>
      <c r="DX27" s="73">
        <f t="shared" si="11"/>
        <v>0</v>
      </c>
      <c r="DY27" s="141">
        <v>0</v>
      </c>
      <c r="DZ27" s="141">
        <v>1193608</v>
      </c>
      <c r="EA27" s="141">
        <v>0</v>
      </c>
      <c r="EB27" s="141">
        <v>832212</v>
      </c>
      <c r="EC27" s="74"/>
      <c r="ED27" s="141">
        <v>1113861</v>
      </c>
      <c r="EE27" s="141">
        <v>0</v>
      </c>
      <c r="EF27" s="141">
        <v>29120958</v>
      </c>
      <c r="EG27" s="71"/>
      <c r="EH27" s="141">
        <v>63234</v>
      </c>
      <c r="EI27" s="141">
        <v>42488</v>
      </c>
      <c r="EJ27" s="141">
        <v>20746</v>
      </c>
      <c r="EK27" s="141">
        <v>10464</v>
      </c>
      <c r="EL27" s="141">
        <v>-579163</v>
      </c>
      <c r="EM27" s="71"/>
      <c r="EN27" s="141">
        <v>68775</v>
      </c>
      <c r="EO27" s="141">
        <v>66500</v>
      </c>
      <c r="EP27" s="141">
        <v>729976</v>
      </c>
      <c r="EQ27" s="141">
        <v>4585</v>
      </c>
      <c r="ER27" s="73">
        <f t="shared" si="12"/>
        <v>1586325</v>
      </c>
      <c r="ES27" s="141">
        <v>17442672</v>
      </c>
      <c r="ET27" s="141">
        <v>-2379643</v>
      </c>
      <c r="EU27" s="141">
        <v>4617234</v>
      </c>
      <c r="EV27" s="141">
        <v>2643390</v>
      </c>
      <c r="EW27" s="141">
        <v>3119144</v>
      </c>
      <c r="EX27" s="141">
        <v>2072467</v>
      </c>
      <c r="EY27" s="73">
        <f t="shared" si="13"/>
        <v>320809</v>
      </c>
      <c r="EZ27" s="141">
        <v>320397</v>
      </c>
      <c r="FA27" s="141">
        <v>15108</v>
      </c>
      <c r="FB27" s="141">
        <v>305289</v>
      </c>
      <c r="FC27" s="141">
        <v>412</v>
      </c>
      <c r="FD27" s="141">
        <v>0</v>
      </c>
      <c r="FE27" s="141">
        <v>2604352</v>
      </c>
      <c r="FF27" s="141">
        <v>3815280</v>
      </c>
      <c r="FG27" s="141">
        <v>1841732</v>
      </c>
      <c r="FH27" s="141">
        <v>2481064</v>
      </c>
      <c r="FI27" s="73">
        <f t="shared" si="14"/>
        <v>728731</v>
      </c>
      <c r="FJ27" s="141">
        <v>19759081</v>
      </c>
      <c r="FK27" s="379">
        <f t="shared" si="15"/>
        <v>0.1</v>
      </c>
      <c r="FL27" s="141">
        <v>16258599</v>
      </c>
      <c r="FM27" s="141">
        <v>65588</v>
      </c>
      <c r="FN27" s="141">
        <v>8100411</v>
      </c>
      <c r="FO27" s="141">
        <v>14117344</v>
      </c>
      <c r="FP27" s="395">
        <v>0.58599999999999997</v>
      </c>
      <c r="FQ27" s="380">
        <v>100.9</v>
      </c>
      <c r="FR27" s="381">
        <v>27.4</v>
      </c>
      <c r="FS27" s="380">
        <v>13.2</v>
      </c>
      <c r="FT27" s="380">
        <v>12.4</v>
      </c>
      <c r="FU27" s="381">
        <v>13.3</v>
      </c>
      <c r="FV27" s="380">
        <v>20</v>
      </c>
      <c r="FW27" s="382">
        <v>14</v>
      </c>
      <c r="FX27" s="383">
        <v>5.6</v>
      </c>
      <c r="FY27" s="141">
        <v>19655789</v>
      </c>
      <c r="FZ27" s="384">
        <f t="shared" si="16"/>
        <v>120.4</v>
      </c>
      <c r="GA27" s="141">
        <v>5310200</v>
      </c>
      <c r="GB27" s="141">
        <v>2245229</v>
      </c>
      <c r="GC27" s="141">
        <v>714989</v>
      </c>
      <c r="GD27" s="141">
        <v>2349982</v>
      </c>
      <c r="GE27" s="107"/>
      <c r="GF27" s="385">
        <v>128</v>
      </c>
      <c r="GG27" s="386">
        <f>IF(GF27=0,"-",ROUND(GF27/(GX27)*100,1))</f>
        <v>0.8</v>
      </c>
      <c r="GH27" s="380">
        <v>99.4</v>
      </c>
      <c r="GI27" s="380">
        <v>40.1</v>
      </c>
      <c r="GJ27" s="380">
        <v>98.7</v>
      </c>
      <c r="GK27" s="141">
        <v>426</v>
      </c>
      <c r="GL27" s="391" t="s">
        <v>646</v>
      </c>
      <c r="GM27" s="391">
        <v>12.69</v>
      </c>
      <c r="GN27" s="117">
        <v>20</v>
      </c>
      <c r="GO27" s="391" t="s">
        <v>646</v>
      </c>
      <c r="GP27" s="392">
        <v>17.690000000000001</v>
      </c>
      <c r="GQ27" s="387">
        <v>30</v>
      </c>
      <c r="GR27" s="381">
        <v>5.6</v>
      </c>
      <c r="GS27" s="388">
        <v>25</v>
      </c>
      <c r="GT27" s="388">
        <v>35</v>
      </c>
      <c r="GU27" s="393">
        <v>5.2</v>
      </c>
      <c r="GV27" s="388">
        <v>350</v>
      </c>
      <c r="GW27" s="394"/>
      <c r="GX27" s="100">
        <f t="shared" si="17"/>
        <v>16324</v>
      </c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  <c r="HW27" s="394"/>
      <c r="HX27" s="394"/>
    </row>
    <row r="28" spans="2:232" x14ac:dyDescent="0.15">
      <c r="B28" s="89" t="s">
        <v>45</v>
      </c>
      <c r="C28" s="141">
        <v>12693464</v>
      </c>
      <c r="D28" s="73">
        <f t="shared" si="0"/>
        <v>5155825</v>
      </c>
      <c r="E28" s="141">
        <v>159110</v>
      </c>
      <c r="F28" s="141">
        <v>4996715</v>
      </c>
      <c r="G28" s="73">
        <f t="shared" si="1"/>
        <v>686405</v>
      </c>
      <c r="H28" s="141">
        <v>223638</v>
      </c>
      <c r="I28" s="141">
        <v>462767</v>
      </c>
      <c r="J28" s="141">
        <v>4910867</v>
      </c>
      <c r="K28" s="141">
        <v>1960327</v>
      </c>
      <c r="L28" s="141">
        <v>2309050</v>
      </c>
      <c r="M28" s="141">
        <v>586611</v>
      </c>
      <c r="N28" s="141">
        <v>651918</v>
      </c>
      <c r="O28" s="141">
        <v>1002669</v>
      </c>
      <c r="P28" s="141">
        <v>535506</v>
      </c>
      <c r="Q28" s="141">
        <v>467163</v>
      </c>
      <c r="R28" s="141">
        <v>196287</v>
      </c>
      <c r="S28" s="74"/>
      <c r="T28" s="73">
        <f t="shared" si="2"/>
        <v>3265701</v>
      </c>
      <c r="U28" s="141">
        <v>15458</v>
      </c>
      <c r="V28" s="141">
        <v>171448</v>
      </c>
      <c r="W28" s="141">
        <v>225613</v>
      </c>
      <c r="X28" s="141">
        <v>2540325</v>
      </c>
      <c r="Y28" s="141">
        <v>0</v>
      </c>
      <c r="Z28" s="160"/>
      <c r="AA28" s="141">
        <v>0</v>
      </c>
      <c r="AB28" s="141">
        <v>53369</v>
      </c>
      <c r="AC28" s="141">
        <v>259488</v>
      </c>
      <c r="AD28" s="141">
        <v>571700</v>
      </c>
      <c r="AE28" s="141">
        <v>9938535</v>
      </c>
      <c r="AF28" s="141">
        <v>9742746</v>
      </c>
      <c r="AG28" s="141">
        <v>195789</v>
      </c>
      <c r="AH28" s="141">
        <v>12023</v>
      </c>
      <c r="AI28" s="141">
        <v>69189</v>
      </c>
      <c r="AJ28" s="73">
        <f t="shared" si="3"/>
        <v>470071</v>
      </c>
      <c r="AK28" s="141">
        <v>409876</v>
      </c>
      <c r="AL28" s="141">
        <v>60195</v>
      </c>
      <c r="AM28" s="141">
        <v>11934913</v>
      </c>
      <c r="AN28" s="73">
        <f t="shared" si="4"/>
        <v>6708699</v>
      </c>
      <c r="AO28" s="141">
        <v>3854499</v>
      </c>
      <c r="AP28" s="141">
        <v>922120</v>
      </c>
      <c r="AQ28" s="74"/>
      <c r="AR28" s="141">
        <v>1932080</v>
      </c>
      <c r="AS28" s="141">
        <v>160526</v>
      </c>
      <c r="AT28" s="141">
        <v>0</v>
      </c>
      <c r="AU28" s="141">
        <v>0</v>
      </c>
      <c r="AV28" s="141">
        <v>3842378</v>
      </c>
      <c r="AW28" s="141">
        <v>2471803</v>
      </c>
      <c r="AX28" s="141">
        <v>365052</v>
      </c>
      <c r="AY28" s="141">
        <v>78665</v>
      </c>
      <c r="AZ28" s="141">
        <v>1370575</v>
      </c>
      <c r="BA28" s="141">
        <v>10752</v>
      </c>
      <c r="BB28" s="141">
        <v>154988</v>
      </c>
      <c r="BC28" s="141">
        <v>136930</v>
      </c>
      <c r="BD28" s="141">
        <v>107877</v>
      </c>
      <c r="BE28" s="141">
        <v>687626</v>
      </c>
      <c r="BF28" s="141">
        <v>430000</v>
      </c>
      <c r="BG28" s="141">
        <v>0</v>
      </c>
      <c r="BH28" s="141">
        <v>142811</v>
      </c>
      <c r="BI28" s="141">
        <v>0</v>
      </c>
      <c r="BJ28" s="141">
        <v>176633</v>
      </c>
      <c r="BK28" s="141">
        <v>105916</v>
      </c>
      <c r="BL28" s="141">
        <v>620844</v>
      </c>
      <c r="BM28" s="141">
        <v>1606</v>
      </c>
      <c r="BN28" s="141">
        <v>0</v>
      </c>
      <c r="BO28" s="141">
        <v>0</v>
      </c>
      <c r="BP28" s="141">
        <v>1271800</v>
      </c>
      <c r="BQ28" s="73">
        <f t="shared" si="5"/>
        <v>1271800</v>
      </c>
      <c r="BR28" s="73">
        <f t="shared" si="6"/>
        <v>0</v>
      </c>
      <c r="BS28" s="141">
        <v>0</v>
      </c>
      <c r="BT28" s="141">
        <v>0</v>
      </c>
      <c r="BU28" s="141">
        <v>0</v>
      </c>
      <c r="BV28" s="141">
        <v>0</v>
      </c>
      <c r="BW28" s="141">
        <v>46014029</v>
      </c>
      <c r="BX28" s="71"/>
      <c r="BY28" s="141">
        <v>7257948</v>
      </c>
      <c r="BZ28" s="141">
        <v>4021137</v>
      </c>
      <c r="CA28" s="141">
        <v>453672</v>
      </c>
      <c r="CB28" s="141">
        <v>1517958</v>
      </c>
      <c r="CC28" s="141">
        <v>16994840</v>
      </c>
      <c r="CD28" s="141">
        <v>6023077</v>
      </c>
      <c r="CE28" s="141">
        <v>16544</v>
      </c>
      <c r="CF28" s="141">
        <v>5728195</v>
      </c>
      <c r="CG28" s="141">
        <v>4994200</v>
      </c>
      <c r="CH28" s="141">
        <v>0</v>
      </c>
      <c r="CI28" s="141">
        <v>232719</v>
      </c>
      <c r="CJ28" s="141">
        <v>3280566</v>
      </c>
      <c r="CK28" s="141">
        <v>3180053</v>
      </c>
      <c r="CL28" s="83">
        <f t="shared" si="7"/>
        <v>100513</v>
      </c>
      <c r="CM28" s="141">
        <v>5377940</v>
      </c>
      <c r="CN28" s="141">
        <v>4008567</v>
      </c>
      <c r="CO28" s="102"/>
      <c r="CP28" s="141">
        <v>733045</v>
      </c>
      <c r="CQ28" s="141">
        <v>107169</v>
      </c>
      <c r="CR28" s="141">
        <v>5184252</v>
      </c>
      <c r="CS28" s="141">
        <v>2209730</v>
      </c>
      <c r="CT28" s="141">
        <v>1080296</v>
      </c>
      <c r="CU28" s="141">
        <v>707551</v>
      </c>
      <c r="CV28" s="73">
        <f t="shared" si="8"/>
        <v>1029540</v>
      </c>
      <c r="CW28" s="141">
        <v>219123</v>
      </c>
      <c r="CX28" s="141">
        <v>810417</v>
      </c>
      <c r="CY28" s="73">
        <f t="shared" si="9"/>
        <v>0</v>
      </c>
      <c r="CZ28" s="141">
        <v>0</v>
      </c>
      <c r="DA28" s="141">
        <v>0</v>
      </c>
      <c r="DB28" s="73">
        <f t="shared" si="10"/>
        <v>1020523</v>
      </c>
      <c r="DC28" s="141">
        <v>211952</v>
      </c>
      <c r="DD28" s="141">
        <v>808571</v>
      </c>
      <c r="DE28" s="141">
        <v>1903742</v>
      </c>
      <c r="DF28" s="141">
        <v>358273</v>
      </c>
      <c r="DG28" s="141">
        <v>1545469</v>
      </c>
      <c r="DH28" s="141">
        <v>0</v>
      </c>
      <c r="DI28" s="141">
        <v>0</v>
      </c>
      <c r="DJ28" s="141">
        <v>0</v>
      </c>
      <c r="DK28" s="141">
        <v>458705</v>
      </c>
      <c r="DL28" s="141">
        <v>54899</v>
      </c>
      <c r="DM28" s="141">
        <v>21317</v>
      </c>
      <c r="DN28" s="141">
        <v>382489</v>
      </c>
      <c r="DO28" s="141">
        <v>0</v>
      </c>
      <c r="DP28" s="141">
        <v>0</v>
      </c>
      <c r="DQ28" s="141">
        <v>0</v>
      </c>
      <c r="DR28" s="141">
        <v>0</v>
      </c>
      <c r="DS28" s="141">
        <v>0</v>
      </c>
      <c r="DT28" s="141">
        <v>0</v>
      </c>
      <c r="DU28" s="141">
        <v>0</v>
      </c>
      <c r="DV28" s="141">
        <v>5237447</v>
      </c>
      <c r="DW28" s="141">
        <v>0</v>
      </c>
      <c r="DX28" s="73">
        <f t="shared" si="11"/>
        <v>0</v>
      </c>
      <c r="DY28" s="141">
        <v>0</v>
      </c>
      <c r="DZ28" s="141">
        <v>1973607</v>
      </c>
      <c r="EA28" s="141">
        <v>0</v>
      </c>
      <c r="EB28" s="141">
        <v>1272989</v>
      </c>
      <c r="EC28" s="74"/>
      <c r="ED28" s="141">
        <v>1913256</v>
      </c>
      <c r="EE28" s="141">
        <v>0</v>
      </c>
      <c r="EF28" s="141">
        <v>45802609</v>
      </c>
      <c r="EG28" s="71"/>
      <c r="EH28" s="141">
        <v>211420</v>
      </c>
      <c r="EI28" s="141">
        <v>90366</v>
      </c>
      <c r="EJ28" s="141">
        <v>121054</v>
      </c>
      <c r="EK28" s="141">
        <v>15138</v>
      </c>
      <c r="EL28" s="141">
        <v>-359963</v>
      </c>
      <c r="EM28" s="71"/>
      <c r="EN28" s="141">
        <v>108736</v>
      </c>
      <c r="EO28" s="141">
        <v>107406</v>
      </c>
      <c r="EP28" s="141">
        <v>540465</v>
      </c>
      <c r="EQ28" s="141">
        <v>51622</v>
      </c>
      <c r="ER28" s="73">
        <f t="shared" si="12"/>
        <v>2579576</v>
      </c>
      <c r="ES28" s="141">
        <v>26677710</v>
      </c>
      <c r="ET28" s="141">
        <v>-3159640</v>
      </c>
      <c r="EU28" s="141">
        <v>6516085</v>
      </c>
      <c r="EV28" s="141">
        <v>3675080</v>
      </c>
      <c r="EW28" s="141">
        <v>5837908</v>
      </c>
      <c r="EX28" s="141">
        <v>3242712</v>
      </c>
      <c r="EY28" s="73">
        <f t="shared" si="13"/>
        <v>320528</v>
      </c>
      <c r="EZ28" s="141">
        <v>320528</v>
      </c>
      <c r="FA28" s="141">
        <v>20532</v>
      </c>
      <c r="FB28" s="141">
        <v>299996</v>
      </c>
      <c r="FC28" s="141">
        <v>0</v>
      </c>
      <c r="FD28" s="141">
        <v>0</v>
      </c>
      <c r="FE28" s="141">
        <v>4526757</v>
      </c>
      <c r="FF28" s="141">
        <v>4599298</v>
      </c>
      <c r="FG28" s="141">
        <v>2209407</v>
      </c>
      <c r="FH28" s="141">
        <v>4133900</v>
      </c>
      <c r="FI28" s="73">
        <f t="shared" si="14"/>
        <v>448742</v>
      </c>
      <c r="FJ28" s="141">
        <v>29625930</v>
      </c>
      <c r="FK28" s="379">
        <f t="shared" si="15"/>
        <v>0.5</v>
      </c>
      <c r="FL28" s="141">
        <v>24906463</v>
      </c>
      <c r="FM28" s="141">
        <v>93515</v>
      </c>
      <c r="FN28" s="141">
        <v>12026140</v>
      </c>
      <c r="FO28" s="141">
        <v>21740545</v>
      </c>
      <c r="FP28" s="390">
        <v>0.55700000000000005</v>
      </c>
      <c r="FQ28" s="380">
        <v>100.8</v>
      </c>
      <c r="FR28" s="381">
        <v>25.2</v>
      </c>
      <c r="FS28" s="380">
        <v>16.3</v>
      </c>
      <c r="FT28" s="380">
        <v>12.6</v>
      </c>
      <c r="FU28" s="381">
        <v>15.2</v>
      </c>
      <c r="FV28" s="380">
        <v>15.9</v>
      </c>
      <c r="FW28" s="382">
        <v>15.3</v>
      </c>
      <c r="FX28" s="383">
        <v>3.9</v>
      </c>
      <c r="FY28" s="141">
        <v>29390498</v>
      </c>
      <c r="FZ28" s="384">
        <f t="shared" si="16"/>
        <v>117.6</v>
      </c>
      <c r="GA28" s="141">
        <v>7536895</v>
      </c>
      <c r="GB28" s="141">
        <v>4542721</v>
      </c>
      <c r="GC28" s="141">
        <v>22730</v>
      </c>
      <c r="GD28" s="141">
        <v>2971444</v>
      </c>
      <c r="GE28" s="107"/>
      <c r="GF28" s="385"/>
      <c r="GG28" s="386"/>
      <c r="GH28" s="380">
        <v>99.7</v>
      </c>
      <c r="GI28" s="380">
        <v>51</v>
      </c>
      <c r="GJ28" s="380">
        <v>99.3</v>
      </c>
      <c r="GK28" s="141">
        <v>606</v>
      </c>
      <c r="GL28" s="391" t="s">
        <v>646</v>
      </c>
      <c r="GM28" s="391">
        <v>12.08</v>
      </c>
      <c r="GN28" s="117">
        <v>20</v>
      </c>
      <c r="GO28" s="391" t="s">
        <v>646</v>
      </c>
      <c r="GP28" s="392">
        <v>17.079999999999998</v>
      </c>
      <c r="GQ28" s="387">
        <v>30</v>
      </c>
      <c r="GR28" s="381">
        <v>3.9</v>
      </c>
      <c r="GS28" s="388">
        <v>25</v>
      </c>
      <c r="GT28" s="388">
        <v>35</v>
      </c>
      <c r="GU28" s="393" t="s">
        <v>646</v>
      </c>
      <c r="GV28" s="388">
        <v>350</v>
      </c>
      <c r="GW28" s="394"/>
      <c r="GX28" s="100">
        <f t="shared" si="17"/>
        <v>25000</v>
      </c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  <c r="HW28" s="394"/>
      <c r="HX28" s="394"/>
    </row>
    <row r="29" spans="2:232" x14ac:dyDescent="0.15">
      <c r="B29" s="89" t="s">
        <v>47</v>
      </c>
      <c r="C29" s="141">
        <v>20087940</v>
      </c>
      <c r="D29" s="73">
        <f t="shared" si="0"/>
        <v>5607511</v>
      </c>
      <c r="E29" s="141">
        <v>151464</v>
      </c>
      <c r="F29" s="141">
        <v>5456047</v>
      </c>
      <c r="G29" s="73">
        <f t="shared" si="1"/>
        <v>2553241</v>
      </c>
      <c r="H29" s="141">
        <v>543238</v>
      </c>
      <c r="I29" s="141">
        <v>2010003</v>
      </c>
      <c r="J29" s="141">
        <v>8792924</v>
      </c>
      <c r="K29" s="141">
        <v>3675419</v>
      </c>
      <c r="L29" s="141">
        <v>3725970</v>
      </c>
      <c r="M29" s="141">
        <v>1324979</v>
      </c>
      <c r="N29" s="141">
        <v>1189304</v>
      </c>
      <c r="O29" s="141">
        <v>1742533</v>
      </c>
      <c r="P29" s="141">
        <v>926023</v>
      </c>
      <c r="Q29" s="141">
        <v>816510</v>
      </c>
      <c r="R29" s="141">
        <v>182573</v>
      </c>
      <c r="S29" s="74"/>
      <c r="T29" s="73">
        <f t="shared" si="2"/>
        <v>4081936</v>
      </c>
      <c r="U29" s="141">
        <v>16220</v>
      </c>
      <c r="V29" s="141">
        <v>179864</v>
      </c>
      <c r="W29" s="141">
        <v>236649</v>
      </c>
      <c r="X29" s="141">
        <v>3105483</v>
      </c>
      <c r="Y29" s="141">
        <v>0</v>
      </c>
      <c r="Z29" s="160"/>
      <c r="AA29" s="141">
        <v>0</v>
      </c>
      <c r="AB29" s="141">
        <v>49283</v>
      </c>
      <c r="AC29" s="141">
        <v>494437</v>
      </c>
      <c r="AD29" s="141">
        <v>561316</v>
      </c>
      <c r="AE29" s="141">
        <v>8527132</v>
      </c>
      <c r="AF29" s="141">
        <v>8117561</v>
      </c>
      <c r="AG29" s="141">
        <v>409571</v>
      </c>
      <c r="AH29" s="141">
        <v>12580</v>
      </c>
      <c r="AI29" s="141">
        <v>123691</v>
      </c>
      <c r="AJ29" s="73">
        <f t="shared" si="3"/>
        <v>1414322</v>
      </c>
      <c r="AK29" s="141">
        <v>1196727</v>
      </c>
      <c r="AL29" s="141">
        <v>217595</v>
      </c>
      <c r="AM29" s="141">
        <v>21294466</v>
      </c>
      <c r="AN29" s="73">
        <f t="shared" si="4"/>
        <v>12209974</v>
      </c>
      <c r="AO29" s="141">
        <v>7743780</v>
      </c>
      <c r="AP29" s="141">
        <v>1460757</v>
      </c>
      <c r="AQ29" s="74"/>
      <c r="AR29" s="141">
        <v>3005437</v>
      </c>
      <c r="AS29" s="141">
        <v>3158074</v>
      </c>
      <c r="AT29" s="141">
        <v>0</v>
      </c>
      <c r="AU29" s="141">
        <v>0</v>
      </c>
      <c r="AV29" s="141">
        <v>4582166</v>
      </c>
      <c r="AW29" s="141">
        <v>2858831</v>
      </c>
      <c r="AX29" s="141">
        <v>680099</v>
      </c>
      <c r="AY29" s="141">
        <v>0</v>
      </c>
      <c r="AZ29" s="141">
        <v>1723335</v>
      </c>
      <c r="BA29" s="141">
        <v>117141</v>
      </c>
      <c r="BB29" s="141">
        <v>126243</v>
      </c>
      <c r="BC29" s="141">
        <v>40929</v>
      </c>
      <c r="BD29" s="141">
        <v>1787606</v>
      </c>
      <c r="BE29" s="141">
        <v>957278</v>
      </c>
      <c r="BF29" s="141">
        <v>0</v>
      </c>
      <c r="BG29" s="141">
        <v>73628</v>
      </c>
      <c r="BH29" s="141">
        <v>883650</v>
      </c>
      <c r="BI29" s="141">
        <v>0</v>
      </c>
      <c r="BJ29" s="141">
        <v>930641</v>
      </c>
      <c r="BK29" s="141">
        <v>71945</v>
      </c>
      <c r="BL29" s="141">
        <v>493082</v>
      </c>
      <c r="BM29" s="141">
        <v>5000</v>
      </c>
      <c r="BN29" s="141">
        <v>14997</v>
      </c>
      <c r="BO29" s="141">
        <v>0</v>
      </c>
      <c r="BP29" s="141">
        <v>9201456</v>
      </c>
      <c r="BQ29" s="73">
        <f t="shared" si="5"/>
        <v>9079400</v>
      </c>
      <c r="BR29" s="73">
        <f t="shared" si="6"/>
        <v>122056</v>
      </c>
      <c r="BS29" s="141">
        <v>0</v>
      </c>
      <c r="BT29" s="141">
        <v>0</v>
      </c>
      <c r="BU29" s="141">
        <v>122056</v>
      </c>
      <c r="BV29" s="141">
        <v>0</v>
      </c>
      <c r="BW29" s="141">
        <v>74364428</v>
      </c>
      <c r="BX29" s="71"/>
      <c r="BY29" s="141">
        <v>7457476</v>
      </c>
      <c r="BZ29" s="141">
        <v>4821582</v>
      </c>
      <c r="CA29" s="141">
        <v>502014</v>
      </c>
      <c r="CB29" s="141">
        <v>679036</v>
      </c>
      <c r="CC29" s="141">
        <v>24898640</v>
      </c>
      <c r="CD29" s="141">
        <v>7996194</v>
      </c>
      <c r="CE29" s="141">
        <v>31472</v>
      </c>
      <c r="CF29" s="141">
        <v>5708818</v>
      </c>
      <c r="CG29" s="141">
        <v>10293637</v>
      </c>
      <c r="CH29" s="141">
        <v>94309</v>
      </c>
      <c r="CI29" s="141">
        <v>774130</v>
      </c>
      <c r="CJ29" s="141">
        <v>4923024</v>
      </c>
      <c r="CK29" s="141">
        <v>4652192</v>
      </c>
      <c r="CL29" s="83">
        <f t="shared" si="7"/>
        <v>270832</v>
      </c>
      <c r="CM29" s="141">
        <v>8811447</v>
      </c>
      <c r="CN29" s="141">
        <v>6805075</v>
      </c>
      <c r="CO29" s="102"/>
      <c r="CP29" s="141">
        <v>880249</v>
      </c>
      <c r="CQ29" s="141">
        <v>154802</v>
      </c>
      <c r="CR29" s="141">
        <v>5890081</v>
      </c>
      <c r="CS29" s="141">
        <v>1772531</v>
      </c>
      <c r="CT29" s="141">
        <v>1160480</v>
      </c>
      <c r="CU29" s="141">
        <v>910513</v>
      </c>
      <c r="CV29" s="73">
        <f t="shared" si="8"/>
        <v>1712826</v>
      </c>
      <c r="CW29" s="141">
        <v>1539070</v>
      </c>
      <c r="CX29" s="141">
        <v>173756</v>
      </c>
      <c r="CY29" s="73">
        <f t="shared" si="9"/>
        <v>0</v>
      </c>
      <c r="CZ29" s="141">
        <v>0</v>
      </c>
      <c r="DA29" s="141">
        <v>0</v>
      </c>
      <c r="DB29" s="73">
        <f t="shared" si="10"/>
        <v>1689972</v>
      </c>
      <c r="DC29" s="141">
        <v>1519163</v>
      </c>
      <c r="DD29" s="141">
        <v>170809</v>
      </c>
      <c r="DE29" s="141">
        <v>15150088</v>
      </c>
      <c r="DF29" s="141">
        <v>8392610</v>
      </c>
      <c r="DG29" s="141">
        <v>6756437</v>
      </c>
      <c r="DH29" s="141">
        <v>0</v>
      </c>
      <c r="DI29" s="141">
        <v>1041</v>
      </c>
      <c r="DJ29" s="141">
        <v>0</v>
      </c>
      <c r="DK29" s="141">
        <v>468468</v>
      </c>
      <c r="DL29" s="141">
        <v>73194</v>
      </c>
      <c r="DM29" s="141">
        <v>205059</v>
      </c>
      <c r="DN29" s="141">
        <v>190215</v>
      </c>
      <c r="DO29" s="141">
        <v>0</v>
      </c>
      <c r="DP29" s="141">
        <v>0</v>
      </c>
      <c r="DQ29" s="141">
        <v>0</v>
      </c>
      <c r="DR29" s="141">
        <v>0</v>
      </c>
      <c r="DS29" s="141">
        <v>5000</v>
      </c>
      <c r="DT29" s="141">
        <v>0</v>
      </c>
      <c r="DU29" s="141">
        <v>0</v>
      </c>
      <c r="DV29" s="141">
        <v>6215166</v>
      </c>
      <c r="DW29" s="141">
        <v>0</v>
      </c>
      <c r="DX29" s="73">
        <f t="shared" si="11"/>
        <v>0</v>
      </c>
      <c r="DY29" s="141">
        <v>0</v>
      </c>
      <c r="DZ29" s="141">
        <v>2126128</v>
      </c>
      <c r="EA29" s="141">
        <v>0</v>
      </c>
      <c r="EB29" s="141">
        <v>1733195</v>
      </c>
      <c r="EC29" s="74"/>
      <c r="ED29" s="141">
        <v>2355843</v>
      </c>
      <c r="EE29" s="141">
        <v>0</v>
      </c>
      <c r="EF29" s="141">
        <v>73974192</v>
      </c>
      <c r="EG29" s="71"/>
      <c r="EH29" s="141">
        <v>390236</v>
      </c>
      <c r="EI29" s="141">
        <v>368791</v>
      </c>
      <c r="EJ29" s="141">
        <v>21445</v>
      </c>
      <c r="EK29" s="141">
        <v>-50500</v>
      </c>
      <c r="EL29" s="141">
        <v>22694</v>
      </c>
      <c r="EM29" s="71"/>
      <c r="EN29" s="141">
        <v>119764</v>
      </c>
      <c r="EO29" s="141">
        <v>116179</v>
      </c>
      <c r="EP29" s="141">
        <v>430803</v>
      </c>
      <c r="EQ29" s="141">
        <v>104051</v>
      </c>
      <c r="ER29" s="73">
        <f t="shared" si="12"/>
        <v>3783093</v>
      </c>
      <c r="ES29" s="141">
        <v>33453477</v>
      </c>
      <c r="ET29" s="141">
        <v>-4427423</v>
      </c>
      <c r="EU29" s="141">
        <v>6798200</v>
      </c>
      <c r="EV29" s="141">
        <v>4489722</v>
      </c>
      <c r="EW29" s="141">
        <v>8045019</v>
      </c>
      <c r="EX29" s="141">
        <v>4903779</v>
      </c>
      <c r="EY29" s="73">
        <f t="shared" si="13"/>
        <v>1330117</v>
      </c>
      <c r="EZ29" s="141">
        <v>1330117</v>
      </c>
      <c r="FA29" s="141">
        <v>374961</v>
      </c>
      <c r="FB29" s="141">
        <v>955156</v>
      </c>
      <c r="FC29" s="141">
        <v>0</v>
      </c>
      <c r="FD29" s="141">
        <v>0</v>
      </c>
      <c r="FE29" s="141">
        <v>6044886</v>
      </c>
      <c r="FF29" s="141">
        <v>5225066</v>
      </c>
      <c r="FG29" s="141">
        <v>1771869</v>
      </c>
      <c r="FH29" s="141">
        <v>4777748</v>
      </c>
      <c r="FI29" s="73">
        <f t="shared" si="14"/>
        <v>365849</v>
      </c>
      <c r="FJ29" s="141">
        <v>37490664</v>
      </c>
      <c r="FK29" s="379">
        <f t="shared" si="15"/>
        <v>0.1</v>
      </c>
      <c r="FL29" s="141">
        <v>29265021</v>
      </c>
      <c r="FM29" s="141">
        <v>122056</v>
      </c>
      <c r="FN29" s="141">
        <v>16604551</v>
      </c>
      <c r="FO29" s="141">
        <v>24729568</v>
      </c>
      <c r="FP29" s="390">
        <v>0.66400000000000003</v>
      </c>
      <c r="FQ29" s="380">
        <v>97.6</v>
      </c>
      <c r="FR29" s="381">
        <v>20.7</v>
      </c>
      <c r="FS29" s="380">
        <v>20.100000000000001</v>
      </c>
      <c r="FT29" s="380">
        <v>15.5</v>
      </c>
      <c r="FU29" s="381">
        <v>12.9</v>
      </c>
      <c r="FV29" s="380">
        <v>14</v>
      </c>
      <c r="FW29" s="382">
        <v>14.2</v>
      </c>
      <c r="FX29" s="383">
        <v>5</v>
      </c>
      <c r="FY29" s="141">
        <v>56630358</v>
      </c>
      <c r="FZ29" s="384">
        <f t="shared" si="16"/>
        <v>192.7</v>
      </c>
      <c r="GA29" s="141">
        <v>11114768</v>
      </c>
      <c r="GB29" s="141">
        <v>3012460</v>
      </c>
      <c r="GC29" s="141">
        <v>1030725</v>
      </c>
      <c r="GD29" s="141">
        <v>7071583</v>
      </c>
      <c r="GE29" s="107"/>
      <c r="GF29" s="385"/>
      <c r="GG29" s="386"/>
      <c r="GH29" s="380">
        <v>99.4</v>
      </c>
      <c r="GI29" s="380">
        <v>39.299999999999997</v>
      </c>
      <c r="GJ29" s="380">
        <v>98.3</v>
      </c>
      <c r="GK29" s="141">
        <v>717</v>
      </c>
      <c r="GL29" s="391" t="s">
        <v>646</v>
      </c>
      <c r="GM29" s="391">
        <v>11.83</v>
      </c>
      <c r="GN29" s="117">
        <v>20</v>
      </c>
      <c r="GO29" s="391" t="s">
        <v>646</v>
      </c>
      <c r="GP29" s="392">
        <v>16.829999999999998</v>
      </c>
      <c r="GQ29" s="387">
        <v>30</v>
      </c>
      <c r="GR29" s="381">
        <v>5</v>
      </c>
      <c r="GS29" s="388">
        <v>25</v>
      </c>
      <c r="GT29" s="388">
        <v>35</v>
      </c>
      <c r="GU29" s="393">
        <v>25.1</v>
      </c>
      <c r="GV29" s="388">
        <v>350</v>
      </c>
      <c r="GW29" s="394"/>
      <c r="GX29" s="100">
        <f t="shared" si="17"/>
        <v>29387</v>
      </c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  <c r="HW29" s="394"/>
      <c r="HX29" s="394"/>
    </row>
    <row r="30" spans="2:232" x14ac:dyDescent="0.15">
      <c r="B30" s="89" t="s">
        <v>49</v>
      </c>
      <c r="C30" s="141">
        <v>19052590</v>
      </c>
      <c r="D30" s="73">
        <f t="shared" si="0"/>
        <v>4921055</v>
      </c>
      <c r="E30" s="141">
        <v>133912</v>
      </c>
      <c r="F30" s="141">
        <v>4787143</v>
      </c>
      <c r="G30" s="73">
        <f t="shared" si="1"/>
        <v>2121080</v>
      </c>
      <c r="H30" s="141">
        <v>381761</v>
      </c>
      <c r="I30" s="141">
        <v>1739319</v>
      </c>
      <c r="J30" s="141">
        <v>9378964</v>
      </c>
      <c r="K30" s="141">
        <v>4088272</v>
      </c>
      <c r="L30" s="141">
        <v>3077074</v>
      </c>
      <c r="M30" s="141">
        <v>2147656</v>
      </c>
      <c r="N30" s="141">
        <v>771667</v>
      </c>
      <c r="O30" s="141">
        <v>1704276</v>
      </c>
      <c r="P30" s="141">
        <v>1022273</v>
      </c>
      <c r="Q30" s="141">
        <v>682003</v>
      </c>
      <c r="R30" s="141">
        <v>160955</v>
      </c>
      <c r="S30" s="74"/>
      <c r="T30" s="73">
        <f t="shared" si="2"/>
        <v>3104124</v>
      </c>
      <c r="U30" s="141">
        <v>14096</v>
      </c>
      <c r="V30" s="141">
        <v>156420</v>
      </c>
      <c r="W30" s="141">
        <v>205939</v>
      </c>
      <c r="X30" s="141">
        <v>2299425</v>
      </c>
      <c r="Y30" s="141">
        <v>1644</v>
      </c>
      <c r="Z30" s="160"/>
      <c r="AA30" s="141">
        <v>0</v>
      </c>
      <c r="AB30" s="141">
        <v>44044</v>
      </c>
      <c r="AC30" s="141">
        <v>382556</v>
      </c>
      <c r="AD30" s="141">
        <v>502262</v>
      </c>
      <c r="AE30" s="141">
        <v>934160</v>
      </c>
      <c r="AF30" s="141">
        <v>724640</v>
      </c>
      <c r="AG30" s="141">
        <v>209520</v>
      </c>
      <c r="AH30" s="141">
        <v>11384</v>
      </c>
      <c r="AI30" s="141">
        <v>515946</v>
      </c>
      <c r="AJ30" s="73">
        <f t="shared" si="3"/>
        <v>421905</v>
      </c>
      <c r="AK30" s="141">
        <v>374359</v>
      </c>
      <c r="AL30" s="141">
        <v>47546</v>
      </c>
      <c r="AM30" s="141">
        <v>10472703</v>
      </c>
      <c r="AN30" s="73">
        <f t="shared" si="4"/>
        <v>5168554</v>
      </c>
      <c r="AO30" s="141">
        <v>2277694</v>
      </c>
      <c r="AP30" s="141">
        <v>1792435</v>
      </c>
      <c r="AQ30" s="74"/>
      <c r="AR30" s="141">
        <v>1098425</v>
      </c>
      <c r="AS30" s="141">
        <v>412945</v>
      </c>
      <c r="AT30" s="141">
        <v>0</v>
      </c>
      <c r="AU30" s="141">
        <v>0</v>
      </c>
      <c r="AV30" s="141">
        <v>4627242</v>
      </c>
      <c r="AW30" s="141">
        <v>3874883</v>
      </c>
      <c r="AX30" s="141">
        <v>729218</v>
      </c>
      <c r="AY30" s="141">
        <v>27524</v>
      </c>
      <c r="AZ30" s="141">
        <v>752359</v>
      </c>
      <c r="BA30" s="141">
        <v>150</v>
      </c>
      <c r="BB30" s="141">
        <v>34650</v>
      </c>
      <c r="BC30" s="141">
        <v>4854</v>
      </c>
      <c r="BD30" s="141">
        <v>31930</v>
      </c>
      <c r="BE30" s="141">
        <v>213808</v>
      </c>
      <c r="BF30" s="141">
        <v>0</v>
      </c>
      <c r="BG30" s="141">
        <v>0</v>
      </c>
      <c r="BH30" s="141">
        <v>149845</v>
      </c>
      <c r="BI30" s="141">
        <v>0</v>
      </c>
      <c r="BJ30" s="141">
        <v>1065854</v>
      </c>
      <c r="BK30" s="141">
        <v>598808</v>
      </c>
      <c r="BL30" s="141">
        <v>856492</v>
      </c>
      <c r="BM30" s="141">
        <v>201100</v>
      </c>
      <c r="BN30" s="141">
        <v>0</v>
      </c>
      <c r="BO30" s="141">
        <v>0</v>
      </c>
      <c r="BP30" s="141">
        <v>2183260</v>
      </c>
      <c r="BQ30" s="73">
        <f t="shared" si="5"/>
        <v>2161000</v>
      </c>
      <c r="BR30" s="73">
        <f t="shared" si="6"/>
        <v>22260</v>
      </c>
      <c r="BS30" s="141">
        <v>0</v>
      </c>
      <c r="BT30" s="141">
        <v>0</v>
      </c>
      <c r="BU30" s="141">
        <v>22260</v>
      </c>
      <c r="BV30" s="141">
        <v>0</v>
      </c>
      <c r="BW30" s="141">
        <v>44189265</v>
      </c>
      <c r="BX30" s="71"/>
      <c r="BY30" s="141">
        <v>7050444</v>
      </c>
      <c r="BZ30" s="141">
        <v>3996318</v>
      </c>
      <c r="CA30" s="141">
        <v>437713</v>
      </c>
      <c r="CB30" s="141">
        <v>1302699</v>
      </c>
      <c r="CC30" s="141">
        <v>14343714</v>
      </c>
      <c r="CD30" s="141">
        <v>4334323</v>
      </c>
      <c r="CE30" s="141">
        <v>45252</v>
      </c>
      <c r="CF30" s="141">
        <v>6739787</v>
      </c>
      <c r="CG30" s="141">
        <v>2923305</v>
      </c>
      <c r="CH30" s="141">
        <v>68300</v>
      </c>
      <c r="CI30" s="141">
        <v>232747</v>
      </c>
      <c r="CJ30" s="141">
        <v>1789388</v>
      </c>
      <c r="CK30" s="141">
        <v>1668978</v>
      </c>
      <c r="CL30" s="83">
        <f t="shared" si="7"/>
        <v>120410</v>
      </c>
      <c r="CM30" s="141">
        <v>5853625</v>
      </c>
      <c r="CN30" s="141">
        <v>4458802</v>
      </c>
      <c r="CO30" s="102"/>
      <c r="CP30" s="141">
        <v>812754</v>
      </c>
      <c r="CQ30" s="141">
        <v>351865</v>
      </c>
      <c r="CR30" s="141">
        <v>4218578</v>
      </c>
      <c r="CS30" s="141">
        <v>7903</v>
      </c>
      <c r="CT30" s="141">
        <v>1271747</v>
      </c>
      <c r="CU30" s="141">
        <v>467322</v>
      </c>
      <c r="CV30" s="73">
        <f t="shared" si="8"/>
        <v>1436517</v>
      </c>
      <c r="CW30" s="141">
        <v>785879</v>
      </c>
      <c r="CX30" s="141">
        <v>650638</v>
      </c>
      <c r="CY30" s="73">
        <f t="shared" si="9"/>
        <v>0</v>
      </c>
      <c r="CZ30" s="141">
        <v>0</v>
      </c>
      <c r="DA30" s="141">
        <v>0</v>
      </c>
      <c r="DB30" s="73">
        <f t="shared" si="10"/>
        <v>1432258</v>
      </c>
      <c r="DC30" s="141">
        <v>783820</v>
      </c>
      <c r="DD30" s="141">
        <v>648438</v>
      </c>
      <c r="DE30" s="141">
        <v>5897269</v>
      </c>
      <c r="DF30" s="141">
        <v>3277928</v>
      </c>
      <c r="DG30" s="141">
        <v>2466341</v>
      </c>
      <c r="DH30" s="141">
        <v>153000</v>
      </c>
      <c r="DI30" s="141">
        <v>0</v>
      </c>
      <c r="DJ30" s="141">
        <v>0</v>
      </c>
      <c r="DK30" s="141">
        <v>594016</v>
      </c>
      <c r="DL30" s="141">
        <v>580610</v>
      </c>
      <c r="DM30" s="141">
        <v>0</v>
      </c>
      <c r="DN30" s="141">
        <v>13406</v>
      </c>
      <c r="DO30" s="141">
        <v>0</v>
      </c>
      <c r="DP30" s="141">
        <v>0</v>
      </c>
      <c r="DQ30" s="141">
        <v>0</v>
      </c>
      <c r="DR30" s="141">
        <v>0</v>
      </c>
      <c r="DS30" s="141">
        <v>200000</v>
      </c>
      <c r="DT30" s="141">
        <v>0</v>
      </c>
      <c r="DU30" s="141">
        <v>0</v>
      </c>
      <c r="DV30" s="141">
        <v>3468144</v>
      </c>
      <c r="DW30" s="141">
        <v>0</v>
      </c>
      <c r="DX30" s="73">
        <f t="shared" si="11"/>
        <v>0</v>
      </c>
      <c r="DY30" s="141">
        <v>0</v>
      </c>
      <c r="DZ30" s="141">
        <v>1375935</v>
      </c>
      <c r="EA30" s="141">
        <v>12616</v>
      </c>
      <c r="EB30" s="141">
        <v>795321</v>
      </c>
      <c r="EC30" s="74"/>
      <c r="ED30" s="141">
        <v>1284272</v>
      </c>
      <c r="EE30" s="141">
        <v>0</v>
      </c>
      <c r="EF30" s="141">
        <v>43767043</v>
      </c>
      <c r="EG30" s="71"/>
      <c r="EH30" s="141">
        <v>422222</v>
      </c>
      <c r="EI30" s="141">
        <v>125804</v>
      </c>
      <c r="EJ30" s="141">
        <v>296418</v>
      </c>
      <c r="EK30" s="141">
        <v>-302390</v>
      </c>
      <c r="EL30" s="141">
        <v>278220</v>
      </c>
      <c r="EM30" s="71"/>
      <c r="EN30" s="141">
        <v>87456</v>
      </c>
      <c r="EO30" s="141">
        <v>86344</v>
      </c>
      <c r="EP30" s="141">
        <v>63963</v>
      </c>
      <c r="EQ30" s="141">
        <v>33944</v>
      </c>
      <c r="ER30" s="73">
        <f t="shared" si="12"/>
        <v>2377342</v>
      </c>
      <c r="ES30" s="141">
        <v>23765475</v>
      </c>
      <c r="ET30" s="141">
        <v>-2486125</v>
      </c>
      <c r="EU30" s="141">
        <v>6269631</v>
      </c>
      <c r="EV30" s="141">
        <v>3537166</v>
      </c>
      <c r="EW30" s="141">
        <v>4679567</v>
      </c>
      <c r="EX30" s="141">
        <v>1742876</v>
      </c>
      <c r="EY30" s="73">
        <f t="shared" si="13"/>
        <v>607825</v>
      </c>
      <c r="EZ30" s="141">
        <v>607825</v>
      </c>
      <c r="FA30" s="141">
        <v>38588</v>
      </c>
      <c r="FB30" s="141">
        <v>553937</v>
      </c>
      <c r="FC30" s="141">
        <v>0</v>
      </c>
      <c r="FD30" s="141">
        <v>0</v>
      </c>
      <c r="FE30" s="141">
        <v>5018441</v>
      </c>
      <c r="FF30" s="141">
        <v>3878843</v>
      </c>
      <c r="FG30" s="141">
        <v>7903</v>
      </c>
      <c r="FH30" s="141">
        <v>2708900</v>
      </c>
      <c r="FI30" s="73">
        <f t="shared" si="14"/>
        <v>923295</v>
      </c>
      <c r="FJ30" s="141">
        <v>25829378</v>
      </c>
      <c r="FK30" s="379">
        <f t="shared" si="15"/>
        <v>1.4</v>
      </c>
      <c r="FL30" s="141">
        <v>20843190</v>
      </c>
      <c r="FM30" s="141">
        <v>22260</v>
      </c>
      <c r="FN30" s="141">
        <v>15644710</v>
      </c>
      <c r="FO30" s="141">
        <v>16375368</v>
      </c>
      <c r="FP30" s="390">
        <v>0.93799999999999994</v>
      </c>
      <c r="FQ30" s="380">
        <v>101</v>
      </c>
      <c r="FR30" s="381">
        <v>28.4</v>
      </c>
      <c r="FS30" s="380">
        <v>16.100000000000001</v>
      </c>
      <c r="FT30" s="380">
        <v>7.9</v>
      </c>
      <c r="FU30" s="381">
        <v>20.7</v>
      </c>
      <c r="FV30" s="380">
        <v>14.6</v>
      </c>
      <c r="FW30" s="382">
        <v>11.8</v>
      </c>
      <c r="FX30" s="383">
        <v>-0.5</v>
      </c>
      <c r="FY30" s="141">
        <v>21436184</v>
      </c>
      <c r="FZ30" s="384">
        <f t="shared" si="16"/>
        <v>102.7</v>
      </c>
      <c r="GA30" s="141">
        <v>13339772</v>
      </c>
      <c r="GB30" s="141">
        <v>8322349</v>
      </c>
      <c r="GC30" s="141">
        <v>0</v>
      </c>
      <c r="GD30" s="141">
        <v>5017423</v>
      </c>
      <c r="GE30" s="107"/>
      <c r="GF30" s="385">
        <v>0</v>
      </c>
      <c r="GG30" s="384">
        <f>ROUND(GF30/(FL30+FM30)*100,1)</f>
        <v>0</v>
      </c>
      <c r="GH30" s="380">
        <v>99.3</v>
      </c>
      <c r="GI30" s="380">
        <v>49.5</v>
      </c>
      <c r="GJ30" s="380">
        <v>98.6</v>
      </c>
      <c r="GK30" s="141">
        <v>582</v>
      </c>
      <c r="GL30" s="391" t="s">
        <v>646</v>
      </c>
      <c r="GM30" s="391">
        <v>12.41</v>
      </c>
      <c r="GN30" s="117">
        <v>20</v>
      </c>
      <c r="GO30" s="391" t="s">
        <v>646</v>
      </c>
      <c r="GP30" s="392">
        <v>17.41</v>
      </c>
      <c r="GQ30" s="387">
        <v>30</v>
      </c>
      <c r="GR30" s="381">
        <v>-0.5</v>
      </c>
      <c r="GS30" s="388">
        <v>25</v>
      </c>
      <c r="GT30" s="388">
        <v>35</v>
      </c>
      <c r="GU30" s="393" t="s">
        <v>646</v>
      </c>
      <c r="GV30" s="388">
        <v>350</v>
      </c>
      <c r="GW30" s="394"/>
      <c r="GX30" s="100">
        <f t="shared" si="17"/>
        <v>20865</v>
      </c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  <c r="HW30" s="394"/>
      <c r="HX30" s="394"/>
    </row>
    <row r="31" spans="2:232" x14ac:dyDescent="0.15">
      <c r="B31" s="89" t="s">
        <v>51</v>
      </c>
      <c r="C31" s="141">
        <v>10228574</v>
      </c>
      <c r="D31" s="73">
        <f t="shared" si="0"/>
        <v>3173299</v>
      </c>
      <c r="E31" s="141">
        <v>82062</v>
      </c>
      <c r="F31" s="141">
        <v>3091237</v>
      </c>
      <c r="G31" s="73">
        <f t="shared" si="1"/>
        <v>432119</v>
      </c>
      <c r="H31" s="141">
        <v>164188</v>
      </c>
      <c r="I31" s="141">
        <v>267931</v>
      </c>
      <c r="J31" s="141">
        <v>5210092</v>
      </c>
      <c r="K31" s="141">
        <v>2283833</v>
      </c>
      <c r="L31" s="141">
        <v>1522555</v>
      </c>
      <c r="M31" s="141">
        <v>1341594</v>
      </c>
      <c r="N31" s="141">
        <v>378752</v>
      </c>
      <c r="O31" s="141">
        <v>939537</v>
      </c>
      <c r="P31" s="141">
        <v>594257</v>
      </c>
      <c r="Q31" s="141">
        <v>345280</v>
      </c>
      <c r="R31" s="141">
        <v>131898</v>
      </c>
      <c r="S31" s="74"/>
      <c r="T31" s="73">
        <f t="shared" si="2"/>
        <v>1750501</v>
      </c>
      <c r="U31" s="141">
        <v>9432</v>
      </c>
      <c r="V31" s="141">
        <v>104514</v>
      </c>
      <c r="W31" s="141">
        <v>137400</v>
      </c>
      <c r="X31" s="141">
        <v>1323833</v>
      </c>
      <c r="Y31" s="141">
        <v>0</v>
      </c>
      <c r="Z31" s="160"/>
      <c r="AA31" s="141">
        <v>0</v>
      </c>
      <c r="AB31" s="141">
        <v>26223</v>
      </c>
      <c r="AC31" s="141">
        <v>149099</v>
      </c>
      <c r="AD31" s="141">
        <v>309405</v>
      </c>
      <c r="AE31" s="141">
        <v>3169139</v>
      </c>
      <c r="AF31" s="141">
        <v>3042819</v>
      </c>
      <c r="AG31" s="141">
        <v>126320</v>
      </c>
      <c r="AH31" s="141">
        <v>6423</v>
      </c>
      <c r="AI31" s="141">
        <v>2268</v>
      </c>
      <c r="AJ31" s="73">
        <f t="shared" si="3"/>
        <v>255349</v>
      </c>
      <c r="AK31" s="141">
        <v>201179</v>
      </c>
      <c r="AL31" s="141">
        <v>54170</v>
      </c>
      <c r="AM31" s="141">
        <v>6071120</v>
      </c>
      <c r="AN31" s="73">
        <f t="shared" si="4"/>
        <v>3193695</v>
      </c>
      <c r="AO31" s="141">
        <v>1416082</v>
      </c>
      <c r="AP31" s="141">
        <v>957823</v>
      </c>
      <c r="AQ31" s="74"/>
      <c r="AR31" s="141">
        <v>819790</v>
      </c>
      <c r="AS31" s="141">
        <v>1040</v>
      </c>
      <c r="AT31" s="141">
        <v>0</v>
      </c>
      <c r="AU31" s="141">
        <v>0</v>
      </c>
      <c r="AV31" s="141">
        <v>2742197</v>
      </c>
      <c r="AW31" s="141">
        <v>2244703</v>
      </c>
      <c r="AX31" s="141">
        <v>416007</v>
      </c>
      <c r="AY31" s="141">
        <v>0</v>
      </c>
      <c r="AZ31" s="141">
        <v>497494</v>
      </c>
      <c r="BA31" s="141">
        <v>275</v>
      </c>
      <c r="BB31" s="141">
        <v>372930</v>
      </c>
      <c r="BC31" s="141">
        <v>304954</v>
      </c>
      <c r="BD31" s="141">
        <v>100775</v>
      </c>
      <c r="BE31" s="141">
        <v>364224</v>
      </c>
      <c r="BF31" s="141">
        <v>21108</v>
      </c>
      <c r="BG31" s="141">
        <v>0</v>
      </c>
      <c r="BH31" s="141">
        <v>202579</v>
      </c>
      <c r="BI31" s="141">
        <v>0</v>
      </c>
      <c r="BJ31" s="141">
        <v>279771</v>
      </c>
      <c r="BK31" s="141">
        <v>193980</v>
      </c>
      <c r="BL31" s="141">
        <v>576096</v>
      </c>
      <c r="BM31" s="141">
        <v>8450</v>
      </c>
      <c r="BN31" s="141">
        <v>0</v>
      </c>
      <c r="BO31" s="141">
        <v>0</v>
      </c>
      <c r="BP31" s="141">
        <v>914700</v>
      </c>
      <c r="BQ31" s="73">
        <f t="shared" si="5"/>
        <v>914700</v>
      </c>
      <c r="BR31" s="73">
        <f t="shared" si="6"/>
        <v>0</v>
      </c>
      <c r="BS31" s="141">
        <v>0</v>
      </c>
      <c r="BT31" s="141">
        <v>0</v>
      </c>
      <c r="BU31" s="141">
        <v>0</v>
      </c>
      <c r="BV31" s="141">
        <v>0</v>
      </c>
      <c r="BW31" s="141">
        <v>27275370</v>
      </c>
      <c r="BX31" s="71"/>
      <c r="BY31" s="141">
        <v>3552873</v>
      </c>
      <c r="BZ31" s="141">
        <v>1892218</v>
      </c>
      <c r="CA31" s="141">
        <v>76356</v>
      </c>
      <c r="CB31" s="141">
        <v>855211</v>
      </c>
      <c r="CC31" s="141">
        <v>8697943</v>
      </c>
      <c r="CD31" s="141">
        <v>3199773</v>
      </c>
      <c r="CE31" s="141">
        <v>914</v>
      </c>
      <c r="CF31" s="141">
        <v>3148846</v>
      </c>
      <c r="CG31" s="141">
        <v>1849417</v>
      </c>
      <c r="CH31" s="141">
        <v>36794</v>
      </c>
      <c r="CI31" s="141">
        <v>462199</v>
      </c>
      <c r="CJ31" s="141">
        <v>2903593</v>
      </c>
      <c r="CK31" s="141">
        <v>2710486</v>
      </c>
      <c r="CL31" s="83">
        <f t="shared" si="7"/>
        <v>193107</v>
      </c>
      <c r="CM31" s="141">
        <v>3472652</v>
      </c>
      <c r="CN31" s="141">
        <v>2314020</v>
      </c>
      <c r="CO31" s="102"/>
      <c r="CP31" s="141">
        <v>777260</v>
      </c>
      <c r="CQ31" s="141">
        <v>113401</v>
      </c>
      <c r="CR31" s="141">
        <v>2873846</v>
      </c>
      <c r="CS31" s="141">
        <v>301424</v>
      </c>
      <c r="CT31" s="141">
        <v>23017</v>
      </c>
      <c r="CU31" s="141">
        <v>17367</v>
      </c>
      <c r="CV31" s="73">
        <f t="shared" si="8"/>
        <v>856808</v>
      </c>
      <c r="CW31" s="141">
        <v>721808</v>
      </c>
      <c r="CX31" s="141">
        <v>135000</v>
      </c>
      <c r="CY31" s="73">
        <f t="shared" si="9"/>
        <v>0</v>
      </c>
      <c r="CZ31" s="141">
        <v>0</v>
      </c>
      <c r="DA31" s="141">
        <v>0</v>
      </c>
      <c r="DB31" s="73">
        <f t="shared" si="10"/>
        <v>844000</v>
      </c>
      <c r="DC31" s="141">
        <v>709000</v>
      </c>
      <c r="DD31" s="141">
        <v>135000</v>
      </c>
      <c r="DE31" s="141">
        <v>2130126</v>
      </c>
      <c r="DF31" s="141">
        <v>597924</v>
      </c>
      <c r="DG31" s="141">
        <v>743122</v>
      </c>
      <c r="DH31" s="141">
        <v>253500</v>
      </c>
      <c r="DI31" s="141">
        <v>535580</v>
      </c>
      <c r="DJ31" s="141">
        <v>0</v>
      </c>
      <c r="DK31" s="141">
        <v>326156</v>
      </c>
      <c r="DL31" s="141">
        <v>268759</v>
      </c>
      <c r="DM31" s="141">
        <v>0</v>
      </c>
      <c r="DN31" s="141">
        <v>57397</v>
      </c>
      <c r="DO31" s="141">
        <v>0</v>
      </c>
      <c r="DP31" s="141">
        <v>0</v>
      </c>
      <c r="DQ31" s="141">
        <v>0</v>
      </c>
      <c r="DR31" s="141">
        <v>0</v>
      </c>
      <c r="DS31" s="141">
        <v>760</v>
      </c>
      <c r="DT31" s="141">
        <v>0</v>
      </c>
      <c r="DU31" s="141">
        <v>0</v>
      </c>
      <c r="DV31" s="141">
        <v>2476566</v>
      </c>
      <c r="DW31" s="141">
        <v>0</v>
      </c>
      <c r="DX31" s="73">
        <f t="shared" si="11"/>
        <v>0</v>
      </c>
      <c r="DY31" s="141">
        <v>0</v>
      </c>
      <c r="DZ31" s="141">
        <v>1035253</v>
      </c>
      <c r="EA31" s="141">
        <v>0</v>
      </c>
      <c r="EB31" s="141">
        <v>607520</v>
      </c>
      <c r="EC31" s="74"/>
      <c r="ED31" s="141">
        <v>833793</v>
      </c>
      <c r="EE31" s="141">
        <v>0</v>
      </c>
      <c r="EF31" s="141">
        <v>26547916</v>
      </c>
      <c r="EG31" s="71"/>
      <c r="EH31" s="141">
        <v>727454</v>
      </c>
      <c r="EI31" s="141">
        <v>119808</v>
      </c>
      <c r="EJ31" s="141">
        <v>607646</v>
      </c>
      <c r="EK31" s="141">
        <v>413666</v>
      </c>
      <c r="EL31" s="141">
        <v>661317</v>
      </c>
      <c r="EM31" s="71"/>
      <c r="EN31" s="141">
        <v>55635</v>
      </c>
      <c r="EO31" s="141">
        <v>55968</v>
      </c>
      <c r="EP31" s="141">
        <v>229726</v>
      </c>
      <c r="EQ31" s="141">
        <v>363129</v>
      </c>
      <c r="ER31" s="73">
        <f t="shared" si="12"/>
        <v>1309757</v>
      </c>
      <c r="ES31" s="141">
        <v>15595940</v>
      </c>
      <c r="ET31" s="141">
        <v>-1896189</v>
      </c>
      <c r="EU31" s="141">
        <v>2974043</v>
      </c>
      <c r="EV31" s="141">
        <v>1658190</v>
      </c>
      <c r="EW31" s="141">
        <v>2978225</v>
      </c>
      <c r="EX31" s="141">
        <v>2903593</v>
      </c>
      <c r="EY31" s="73">
        <f t="shared" si="13"/>
        <v>407442</v>
      </c>
      <c r="EZ31" s="141">
        <v>407442</v>
      </c>
      <c r="FA31" s="141">
        <v>53730</v>
      </c>
      <c r="FB31" s="141">
        <v>324130</v>
      </c>
      <c r="FC31" s="141">
        <v>0</v>
      </c>
      <c r="FD31" s="141">
        <v>0</v>
      </c>
      <c r="FE31" s="141">
        <v>2603033</v>
      </c>
      <c r="FF31" s="141">
        <v>2666214</v>
      </c>
      <c r="FG31" s="141">
        <v>290297</v>
      </c>
      <c r="FH31" s="141">
        <v>1924851</v>
      </c>
      <c r="FI31" s="73">
        <f t="shared" si="14"/>
        <v>307274</v>
      </c>
      <c r="FJ31" s="141">
        <v>16764675</v>
      </c>
      <c r="FK31" s="379">
        <f t="shared" si="15"/>
        <v>4.0999999999999996</v>
      </c>
      <c r="FL31" s="141">
        <v>14639001</v>
      </c>
      <c r="FM31" s="141">
        <v>72156</v>
      </c>
      <c r="FN31" s="141">
        <v>9009912</v>
      </c>
      <c r="FO31" s="141">
        <v>12052731</v>
      </c>
      <c r="FP31" s="390">
        <v>0.76600000000000001</v>
      </c>
      <c r="FQ31" s="380">
        <v>97</v>
      </c>
      <c r="FR31" s="381">
        <v>19.3</v>
      </c>
      <c r="FS31" s="380">
        <v>15.3</v>
      </c>
      <c r="FT31" s="380">
        <v>19.7</v>
      </c>
      <c r="FU31" s="381">
        <v>15.5</v>
      </c>
      <c r="FV31" s="380">
        <v>14.1</v>
      </c>
      <c r="FW31" s="382">
        <v>12.5</v>
      </c>
      <c r="FX31" s="383">
        <v>9.6</v>
      </c>
      <c r="FY31" s="141">
        <v>30548458</v>
      </c>
      <c r="FZ31" s="384">
        <f t="shared" si="16"/>
        <v>207.7</v>
      </c>
      <c r="GA31" s="141">
        <v>4936711</v>
      </c>
      <c r="GB31" s="141">
        <v>3600533</v>
      </c>
      <c r="GC31" s="141">
        <v>0</v>
      </c>
      <c r="GD31" s="141">
        <v>1336178</v>
      </c>
      <c r="GE31" s="107"/>
      <c r="GF31" s="385"/>
      <c r="GG31" s="384">
        <f>ROUND(GF31/(FL31+FM31)*100,1)</f>
        <v>0</v>
      </c>
      <c r="GH31" s="380">
        <v>99.4</v>
      </c>
      <c r="GI31" s="380">
        <v>34.299999999999997</v>
      </c>
      <c r="GJ31" s="380">
        <v>98.4</v>
      </c>
      <c r="GK31" s="141">
        <v>290</v>
      </c>
      <c r="GL31" s="391" t="s">
        <v>646</v>
      </c>
      <c r="GM31" s="391">
        <v>12.8</v>
      </c>
      <c r="GN31" s="117">
        <v>20</v>
      </c>
      <c r="GO31" s="391" t="s">
        <v>646</v>
      </c>
      <c r="GP31" s="392">
        <v>17.8</v>
      </c>
      <c r="GQ31" s="387">
        <v>30</v>
      </c>
      <c r="GR31" s="381">
        <v>9.6</v>
      </c>
      <c r="GS31" s="388">
        <v>25</v>
      </c>
      <c r="GT31" s="388">
        <v>35</v>
      </c>
      <c r="GU31" s="393">
        <v>65.599999999999994</v>
      </c>
      <c r="GV31" s="388">
        <v>350</v>
      </c>
      <c r="GW31" s="394"/>
      <c r="GX31" s="100">
        <f t="shared" si="17"/>
        <v>14711</v>
      </c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  <c r="HW31" s="394"/>
      <c r="HX31" s="394"/>
    </row>
    <row r="32" spans="2:232" x14ac:dyDescent="0.15">
      <c r="B32" s="89" t="s">
        <v>53</v>
      </c>
      <c r="C32" s="141">
        <v>8374620</v>
      </c>
      <c r="D32" s="73">
        <f t="shared" si="0"/>
        <v>3307360</v>
      </c>
      <c r="E32" s="141">
        <v>92098</v>
      </c>
      <c r="F32" s="141">
        <v>3215262</v>
      </c>
      <c r="G32" s="73">
        <f t="shared" si="1"/>
        <v>499424</v>
      </c>
      <c r="H32" s="141">
        <v>163301</v>
      </c>
      <c r="I32" s="141">
        <v>336123</v>
      </c>
      <c r="J32" s="141">
        <v>3297925</v>
      </c>
      <c r="K32" s="141">
        <v>1233123</v>
      </c>
      <c r="L32" s="141">
        <v>1636958</v>
      </c>
      <c r="M32" s="141">
        <v>394837</v>
      </c>
      <c r="N32" s="141">
        <v>417406</v>
      </c>
      <c r="O32" s="141">
        <v>731319</v>
      </c>
      <c r="P32" s="141">
        <v>372533</v>
      </c>
      <c r="Q32" s="141">
        <v>358786</v>
      </c>
      <c r="R32" s="141">
        <v>107634</v>
      </c>
      <c r="S32" s="74"/>
      <c r="T32" s="73">
        <f t="shared" si="2"/>
        <v>1969410</v>
      </c>
      <c r="U32" s="141">
        <v>10158</v>
      </c>
      <c r="V32" s="141">
        <v>112457</v>
      </c>
      <c r="W32" s="141">
        <v>147716</v>
      </c>
      <c r="X32" s="141">
        <v>1505726</v>
      </c>
      <c r="Y32" s="141">
        <v>0</v>
      </c>
      <c r="Z32" s="160"/>
      <c r="AA32" s="141">
        <v>0</v>
      </c>
      <c r="AB32" s="141">
        <v>29274</v>
      </c>
      <c r="AC32" s="141">
        <v>164079</v>
      </c>
      <c r="AD32" s="141">
        <v>317734</v>
      </c>
      <c r="AE32" s="141">
        <v>5587014</v>
      </c>
      <c r="AF32" s="141">
        <v>5414269</v>
      </c>
      <c r="AG32" s="141">
        <v>172745</v>
      </c>
      <c r="AH32" s="141">
        <v>6941</v>
      </c>
      <c r="AI32" s="141">
        <v>87194</v>
      </c>
      <c r="AJ32" s="73">
        <f t="shared" si="3"/>
        <v>339774</v>
      </c>
      <c r="AK32" s="141">
        <v>301052</v>
      </c>
      <c r="AL32" s="141">
        <v>38722</v>
      </c>
      <c r="AM32" s="141">
        <v>6309238</v>
      </c>
      <c r="AN32" s="73">
        <f t="shared" si="4"/>
        <v>3722265</v>
      </c>
      <c r="AO32" s="141">
        <v>1714297</v>
      </c>
      <c r="AP32" s="141">
        <v>951682</v>
      </c>
      <c r="AQ32" s="74"/>
      <c r="AR32" s="141">
        <v>1056286</v>
      </c>
      <c r="AS32" s="141">
        <v>76655</v>
      </c>
      <c r="AT32" s="141">
        <v>0</v>
      </c>
      <c r="AU32" s="141">
        <v>0</v>
      </c>
      <c r="AV32" s="141">
        <v>2473633</v>
      </c>
      <c r="AW32" s="141">
        <v>1342442</v>
      </c>
      <c r="AX32" s="141">
        <v>418768</v>
      </c>
      <c r="AY32" s="141">
        <v>0</v>
      </c>
      <c r="AZ32" s="141">
        <v>1131191</v>
      </c>
      <c r="BA32" s="141">
        <v>52400</v>
      </c>
      <c r="BB32" s="141">
        <v>84944</v>
      </c>
      <c r="BC32" s="141">
        <v>64191</v>
      </c>
      <c r="BD32" s="141">
        <v>272058</v>
      </c>
      <c r="BE32" s="141">
        <v>231149</v>
      </c>
      <c r="BF32" s="141">
        <v>0</v>
      </c>
      <c r="BG32" s="141">
        <v>0</v>
      </c>
      <c r="BH32" s="141">
        <v>190173</v>
      </c>
      <c r="BI32" s="141">
        <v>0</v>
      </c>
      <c r="BJ32" s="141">
        <v>26079</v>
      </c>
      <c r="BK32" s="141">
        <v>7187</v>
      </c>
      <c r="BL32" s="141">
        <v>518363</v>
      </c>
      <c r="BM32" s="141">
        <v>0</v>
      </c>
      <c r="BN32" s="141">
        <v>0</v>
      </c>
      <c r="BO32" s="141">
        <v>0</v>
      </c>
      <c r="BP32" s="141">
        <v>569400</v>
      </c>
      <c r="BQ32" s="73">
        <f t="shared" si="5"/>
        <v>250600</v>
      </c>
      <c r="BR32" s="73">
        <f t="shared" si="6"/>
        <v>61000</v>
      </c>
      <c r="BS32" s="141">
        <v>0</v>
      </c>
      <c r="BT32" s="141">
        <v>0</v>
      </c>
      <c r="BU32" s="141">
        <v>61000</v>
      </c>
      <c r="BV32" s="141">
        <v>257800</v>
      </c>
      <c r="BW32" s="141">
        <v>27275185</v>
      </c>
      <c r="BX32" s="71"/>
      <c r="BY32" s="141">
        <v>5232429</v>
      </c>
      <c r="BZ32" s="141">
        <v>2941114</v>
      </c>
      <c r="CA32" s="141">
        <v>305079</v>
      </c>
      <c r="CB32" s="141">
        <v>1041070</v>
      </c>
      <c r="CC32" s="141">
        <v>9167041</v>
      </c>
      <c r="CD32" s="141">
        <v>3336977</v>
      </c>
      <c r="CE32" s="141">
        <v>8929</v>
      </c>
      <c r="CF32" s="141">
        <v>3304057</v>
      </c>
      <c r="CG32" s="141">
        <v>2236874</v>
      </c>
      <c r="CH32" s="141">
        <v>38296</v>
      </c>
      <c r="CI32" s="141">
        <v>241548</v>
      </c>
      <c r="CJ32" s="141">
        <v>1511399</v>
      </c>
      <c r="CK32" s="141">
        <v>1452967</v>
      </c>
      <c r="CL32" s="83">
        <f t="shared" si="7"/>
        <v>58432</v>
      </c>
      <c r="CM32" s="141">
        <v>3256632</v>
      </c>
      <c r="CN32" s="141">
        <v>2237660</v>
      </c>
      <c r="CO32" s="102"/>
      <c r="CP32" s="141">
        <v>324045</v>
      </c>
      <c r="CQ32" s="141">
        <v>89100</v>
      </c>
      <c r="CR32" s="141">
        <v>3396411</v>
      </c>
      <c r="CS32" s="141">
        <v>1788145</v>
      </c>
      <c r="CT32" s="141">
        <v>338806</v>
      </c>
      <c r="CU32" s="141">
        <v>282042</v>
      </c>
      <c r="CV32" s="73">
        <f t="shared" si="8"/>
        <v>738211</v>
      </c>
      <c r="CW32" s="141">
        <v>260731</v>
      </c>
      <c r="CX32" s="141">
        <v>477480</v>
      </c>
      <c r="CY32" s="73">
        <f t="shared" si="9"/>
        <v>0</v>
      </c>
      <c r="CZ32" s="141">
        <v>0</v>
      </c>
      <c r="DA32" s="141">
        <v>0</v>
      </c>
      <c r="DB32" s="73">
        <f t="shared" si="10"/>
        <v>738211</v>
      </c>
      <c r="DC32" s="141">
        <v>260731</v>
      </c>
      <c r="DD32" s="141">
        <v>477480</v>
      </c>
      <c r="DE32" s="141">
        <v>501381</v>
      </c>
      <c r="DF32" s="141">
        <v>176346</v>
      </c>
      <c r="DG32" s="141">
        <v>325035</v>
      </c>
      <c r="DH32" s="141">
        <v>0</v>
      </c>
      <c r="DI32" s="141">
        <v>0</v>
      </c>
      <c r="DJ32" s="141">
        <v>0</v>
      </c>
      <c r="DK32" s="141">
        <v>922291</v>
      </c>
      <c r="DL32" s="141">
        <v>555408</v>
      </c>
      <c r="DM32" s="141">
        <v>93004</v>
      </c>
      <c r="DN32" s="141">
        <v>273879</v>
      </c>
      <c r="DO32" s="141">
        <v>0</v>
      </c>
      <c r="DP32" s="141">
        <v>0</v>
      </c>
      <c r="DQ32" s="141">
        <v>0</v>
      </c>
      <c r="DR32" s="141">
        <v>0</v>
      </c>
      <c r="DS32" s="141">
        <v>0</v>
      </c>
      <c r="DT32" s="141">
        <v>0</v>
      </c>
      <c r="DU32" s="141">
        <v>0</v>
      </c>
      <c r="DV32" s="141">
        <v>2962559</v>
      </c>
      <c r="DW32" s="141">
        <v>0</v>
      </c>
      <c r="DX32" s="73">
        <f t="shared" si="11"/>
        <v>0</v>
      </c>
      <c r="DY32" s="141">
        <v>0</v>
      </c>
      <c r="DZ32" s="141">
        <v>1089665</v>
      </c>
      <c r="EA32" s="141">
        <v>0</v>
      </c>
      <c r="EB32" s="141">
        <v>789814</v>
      </c>
      <c r="EC32" s="74"/>
      <c r="ED32" s="141">
        <v>1083080</v>
      </c>
      <c r="EE32" s="141">
        <v>0</v>
      </c>
      <c r="EF32" s="141">
        <v>27039243</v>
      </c>
      <c r="EG32" s="71"/>
      <c r="EH32" s="141">
        <v>235942</v>
      </c>
      <c r="EI32" s="141">
        <v>7604</v>
      </c>
      <c r="EJ32" s="141">
        <v>228338</v>
      </c>
      <c r="EK32" s="141">
        <v>213151</v>
      </c>
      <c r="EL32" s="141">
        <v>768559</v>
      </c>
      <c r="EM32" s="71"/>
      <c r="EN32" s="141">
        <v>63688</v>
      </c>
      <c r="EO32" s="141">
        <v>62304</v>
      </c>
      <c r="EP32" s="141">
        <v>40976</v>
      </c>
      <c r="EQ32" s="141">
        <v>83725</v>
      </c>
      <c r="ER32" s="73">
        <f t="shared" si="12"/>
        <v>1661687</v>
      </c>
      <c r="ES32" s="141">
        <v>16363353</v>
      </c>
      <c r="ET32" s="141">
        <v>-1840447</v>
      </c>
      <c r="EU32" s="141">
        <v>4392367</v>
      </c>
      <c r="EV32" s="141">
        <v>2652357</v>
      </c>
      <c r="EW32" s="141">
        <v>3362792</v>
      </c>
      <c r="EX32" s="141">
        <v>1435007</v>
      </c>
      <c r="EY32" s="73">
        <f t="shared" si="13"/>
        <v>38371</v>
      </c>
      <c r="EZ32" s="141">
        <v>38371</v>
      </c>
      <c r="FA32" s="141">
        <v>4690</v>
      </c>
      <c r="FB32" s="141">
        <v>33681</v>
      </c>
      <c r="FC32" s="141">
        <v>0</v>
      </c>
      <c r="FD32" s="141">
        <v>0</v>
      </c>
      <c r="FE32" s="141">
        <v>2468280</v>
      </c>
      <c r="FF32" s="141">
        <v>3205851</v>
      </c>
      <c r="FG32" s="141">
        <v>1787840</v>
      </c>
      <c r="FH32" s="141">
        <v>2353327</v>
      </c>
      <c r="FI32" s="73">
        <f t="shared" si="14"/>
        <v>711863</v>
      </c>
      <c r="FJ32" s="141">
        <v>17967858</v>
      </c>
      <c r="FK32" s="379">
        <f t="shared" si="15"/>
        <v>1.5</v>
      </c>
      <c r="FL32" s="141">
        <v>15044356</v>
      </c>
      <c r="FM32" s="141">
        <v>61133</v>
      </c>
      <c r="FN32" s="141">
        <v>7567483</v>
      </c>
      <c r="FO32" s="141">
        <v>12981752</v>
      </c>
      <c r="FP32" s="390">
        <v>0.59299999999999997</v>
      </c>
      <c r="FQ32" s="380">
        <v>96.8</v>
      </c>
      <c r="FR32" s="381">
        <v>27.2</v>
      </c>
      <c r="FS32" s="380">
        <v>15.6</v>
      </c>
      <c r="FT32" s="380">
        <v>9.1999999999999993</v>
      </c>
      <c r="FU32" s="381">
        <v>12.4</v>
      </c>
      <c r="FV32" s="380">
        <v>18</v>
      </c>
      <c r="FW32" s="382">
        <v>14.2</v>
      </c>
      <c r="FX32" s="383">
        <v>2.4</v>
      </c>
      <c r="FY32" s="141">
        <v>15295446</v>
      </c>
      <c r="FZ32" s="384">
        <f t="shared" si="16"/>
        <v>101.3</v>
      </c>
      <c r="GA32" s="141">
        <v>3779531</v>
      </c>
      <c r="GB32" s="141">
        <v>2168473</v>
      </c>
      <c r="GC32" s="141">
        <v>848332</v>
      </c>
      <c r="GD32" s="141">
        <v>762726</v>
      </c>
      <c r="GE32" s="107"/>
      <c r="GF32" s="385"/>
      <c r="GG32" s="386"/>
      <c r="GH32" s="380">
        <v>99.4</v>
      </c>
      <c r="GI32" s="380">
        <v>37.4</v>
      </c>
      <c r="GJ32" s="380">
        <v>98.8</v>
      </c>
      <c r="GK32" s="141">
        <v>515</v>
      </c>
      <c r="GL32" s="391" t="s">
        <v>646</v>
      </c>
      <c r="GM32" s="391">
        <v>12.77</v>
      </c>
      <c r="GN32" s="117">
        <v>20</v>
      </c>
      <c r="GO32" s="391" t="s">
        <v>646</v>
      </c>
      <c r="GP32" s="392">
        <v>17.77</v>
      </c>
      <c r="GQ32" s="387">
        <v>30</v>
      </c>
      <c r="GR32" s="381">
        <v>2.4</v>
      </c>
      <c r="GS32" s="388">
        <v>25</v>
      </c>
      <c r="GT32" s="388">
        <v>35</v>
      </c>
      <c r="GU32" s="393">
        <v>19.899999999999999</v>
      </c>
      <c r="GV32" s="388">
        <v>350</v>
      </c>
      <c r="GW32" s="394"/>
      <c r="GX32" s="100">
        <f t="shared" si="17"/>
        <v>15105</v>
      </c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  <c r="HW32" s="394"/>
      <c r="HX32" s="394"/>
    </row>
    <row r="33" spans="1:232" x14ac:dyDescent="0.15">
      <c r="B33" s="89" t="s">
        <v>55</v>
      </c>
      <c r="C33" s="141">
        <v>79434757</v>
      </c>
      <c r="D33" s="73">
        <f t="shared" si="0"/>
        <v>24830715</v>
      </c>
      <c r="E33" s="141">
        <v>708974</v>
      </c>
      <c r="F33" s="141">
        <v>24121741</v>
      </c>
      <c r="G33" s="73">
        <f t="shared" si="1"/>
        <v>6014637</v>
      </c>
      <c r="H33" s="141">
        <v>1622888</v>
      </c>
      <c r="I33" s="141">
        <v>4391749</v>
      </c>
      <c r="J33" s="141">
        <v>33773623</v>
      </c>
      <c r="K33" s="141">
        <v>15344667</v>
      </c>
      <c r="L33" s="141">
        <v>13836514</v>
      </c>
      <c r="M33" s="141">
        <v>4282723</v>
      </c>
      <c r="N33" s="141">
        <v>4555867</v>
      </c>
      <c r="O33" s="141">
        <v>7095914</v>
      </c>
      <c r="P33" s="141">
        <v>4041638</v>
      </c>
      <c r="Q33" s="141">
        <v>3054276</v>
      </c>
      <c r="R33" s="141">
        <v>813885</v>
      </c>
      <c r="S33" s="74"/>
      <c r="T33" s="73">
        <f t="shared" si="2"/>
        <v>16538909</v>
      </c>
      <c r="U33" s="141">
        <v>73724</v>
      </c>
      <c r="V33" s="141">
        <v>816683</v>
      </c>
      <c r="W33" s="141">
        <v>1073486</v>
      </c>
      <c r="X33" s="141">
        <v>12514472</v>
      </c>
      <c r="Y33" s="141">
        <v>0</v>
      </c>
      <c r="Z33" s="160"/>
      <c r="AA33" s="141">
        <v>0</v>
      </c>
      <c r="AB33" s="141">
        <v>220409</v>
      </c>
      <c r="AC33" s="141">
        <v>1840135</v>
      </c>
      <c r="AD33" s="141">
        <v>2486731</v>
      </c>
      <c r="AE33" s="141">
        <v>28358069</v>
      </c>
      <c r="AF33" s="141">
        <v>27605801</v>
      </c>
      <c r="AG33" s="141">
        <v>752268</v>
      </c>
      <c r="AH33" s="141">
        <v>58495</v>
      </c>
      <c r="AI33" s="141">
        <v>1351118</v>
      </c>
      <c r="AJ33" s="73">
        <f t="shared" si="3"/>
        <v>2145854</v>
      </c>
      <c r="AK33" s="141">
        <v>1812375</v>
      </c>
      <c r="AL33" s="141">
        <v>333479</v>
      </c>
      <c r="AM33" s="141">
        <v>63768487</v>
      </c>
      <c r="AN33" s="73">
        <f t="shared" si="4"/>
        <v>33433883</v>
      </c>
      <c r="AO33" s="141">
        <v>21871758</v>
      </c>
      <c r="AP33" s="141">
        <v>1509648</v>
      </c>
      <c r="AQ33" s="74"/>
      <c r="AR33" s="141">
        <v>10052477</v>
      </c>
      <c r="AS33" s="141">
        <v>599479</v>
      </c>
      <c r="AT33" s="141">
        <v>0</v>
      </c>
      <c r="AU33" s="141">
        <v>0</v>
      </c>
      <c r="AV33" s="141">
        <v>17779532</v>
      </c>
      <c r="AW33" s="141">
        <v>11975033</v>
      </c>
      <c r="AX33" s="141">
        <v>3721408</v>
      </c>
      <c r="AY33" s="141">
        <v>203339</v>
      </c>
      <c r="AZ33" s="141">
        <v>5804499</v>
      </c>
      <c r="BA33" s="141">
        <v>16655</v>
      </c>
      <c r="BB33" s="141">
        <v>3020974</v>
      </c>
      <c r="BC33" s="141">
        <v>2499761</v>
      </c>
      <c r="BD33" s="141">
        <v>538791</v>
      </c>
      <c r="BE33" s="141">
        <v>2063068</v>
      </c>
      <c r="BF33" s="141">
        <v>500000</v>
      </c>
      <c r="BG33" s="141">
        <v>300950</v>
      </c>
      <c r="BH33" s="141">
        <v>1047112</v>
      </c>
      <c r="BI33" s="141">
        <v>0</v>
      </c>
      <c r="BJ33" s="141">
        <v>4477924</v>
      </c>
      <c r="BK33" s="141">
        <v>3797448</v>
      </c>
      <c r="BL33" s="141">
        <v>2541907</v>
      </c>
      <c r="BM33" s="141">
        <v>633619</v>
      </c>
      <c r="BN33" s="141">
        <v>96286</v>
      </c>
      <c r="BO33" s="141">
        <v>480263</v>
      </c>
      <c r="BP33" s="141">
        <v>9024800</v>
      </c>
      <c r="BQ33" s="73">
        <f t="shared" si="5"/>
        <v>7696800</v>
      </c>
      <c r="BR33" s="73">
        <f t="shared" si="6"/>
        <v>1328000</v>
      </c>
      <c r="BS33" s="141">
        <v>0</v>
      </c>
      <c r="BT33" s="141">
        <v>0</v>
      </c>
      <c r="BU33" s="141">
        <v>1328000</v>
      </c>
      <c r="BV33" s="141">
        <v>0</v>
      </c>
      <c r="BW33" s="141">
        <v>234403301</v>
      </c>
      <c r="BX33" s="71"/>
      <c r="BY33" s="141">
        <v>29635791</v>
      </c>
      <c r="BZ33" s="141">
        <v>20429193</v>
      </c>
      <c r="CA33" s="141">
        <v>1141612</v>
      </c>
      <c r="CB33" s="141">
        <v>3027738</v>
      </c>
      <c r="CC33" s="141">
        <v>89994310</v>
      </c>
      <c r="CD33" s="141">
        <v>29121004</v>
      </c>
      <c r="CE33" s="141">
        <v>278432</v>
      </c>
      <c r="CF33" s="141">
        <v>27085114</v>
      </c>
      <c r="CG33" s="141">
        <v>29479018</v>
      </c>
      <c r="CH33" s="141">
        <v>1207928</v>
      </c>
      <c r="CI33" s="141">
        <v>2822814</v>
      </c>
      <c r="CJ33" s="141">
        <v>17660106</v>
      </c>
      <c r="CK33" s="141">
        <v>17214365</v>
      </c>
      <c r="CL33" s="83">
        <f t="shared" si="7"/>
        <v>445741</v>
      </c>
      <c r="CM33" s="141">
        <v>23755580</v>
      </c>
      <c r="CN33" s="141">
        <v>18889539</v>
      </c>
      <c r="CO33" s="102"/>
      <c r="CP33" s="141">
        <v>2307877</v>
      </c>
      <c r="CQ33" s="141">
        <v>1521701</v>
      </c>
      <c r="CR33" s="141">
        <v>19337127</v>
      </c>
      <c r="CS33" s="141">
        <v>2102219</v>
      </c>
      <c r="CT33" s="141">
        <v>5527966</v>
      </c>
      <c r="CU33" s="141">
        <v>3834013</v>
      </c>
      <c r="CV33" s="73">
        <f t="shared" si="8"/>
        <v>7229915</v>
      </c>
      <c r="CW33" s="141">
        <v>6998387</v>
      </c>
      <c r="CX33" s="141">
        <v>231528</v>
      </c>
      <c r="CY33" s="73">
        <f t="shared" si="9"/>
        <v>0</v>
      </c>
      <c r="CZ33" s="141">
        <v>0</v>
      </c>
      <c r="DA33" s="141">
        <v>0</v>
      </c>
      <c r="DB33" s="73">
        <f t="shared" si="10"/>
        <v>7160585</v>
      </c>
      <c r="DC33" s="141">
        <v>6935830</v>
      </c>
      <c r="DD33" s="141">
        <v>224755</v>
      </c>
      <c r="DE33" s="141">
        <v>14530030</v>
      </c>
      <c r="DF33" s="141">
        <v>5242473</v>
      </c>
      <c r="DG33" s="141">
        <v>8981969</v>
      </c>
      <c r="DH33" s="141">
        <v>31004</v>
      </c>
      <c r="DI33" s="141">
        <v>274584</v>
      </c>
      <c r="DJ33" s="141">
        <v>0</v>
      </c>
      <c r="DK33" s="141">
        <v>8880257</v>
      </c>
      <c r="DL33" s="141">
        <v>2603400</v>
      </c>
      <c r="DM33" s="141">
        <v>1813100</v>
      </c>
      <c r="DN33" s="141">
        <v>4463757</v>
      </c>
      <c r="DO33" s="141">
        <v>1298281</v>
      </c>
      <c r="DP33" s="141">
        <v>1298281</v>
      </c>
      <c r="DQ33" s="141">
        <v>0</v>
      </c>
      <c r="DR33" s="141">
        <v>0</v>
      </c>
      <c r="DS33" s="141">
        <v>572897</v>
      </c>
      <c r="DT33" s="141">
        <v>0</v>
      </c>
      <c r="DU33" s="141">
        <v>0</v>
      </c>
      <c r="DV33" s="141">
        <v>22564711</v>
      </c>
      <c r="DW33" s="141">
        <v>0</v>
      </c>
      <c r="DX33" s="73">
        <f t="shared" si="11"/>
        <v>0</v>
      </c>
      <c r="DY33" s="141">
        <v>0</v>
      </c>
      <c r="DZ33" s="141">
        <v>8204244</v>
      </c>
      <c r="EA33" s="141">
        <v>0</v>
      </c>
      <c r="EB33" s="141">
        <v>6160020</v>
      </c>
      <c r="EC33" s="74"/>
      <c r="ED33" s="141">
        <v>8200444</v>
      </c>
      <c r="EE33" s="141">
        <v>0</v>
      </c>
      <c r="EF33" s="141">
        <v>229750791</v>
      </c>
      <c r="EG33" s="71"/>
      <c r="EH33" s="141">
        <v>4652510</v>
      </c>
      <c r="EI33" s="141">
        <v>269639</v>
      </c>
      <c r="EJ33" s="141">
        <v>4382871</v>
      </c>
      <c r="EK33" s="141">
        <v>585423</v>
      </c>
      <c r="EL33" s="141">
        <v>2711569</v>
      </c>
      <c r="EM33" s="71"/>
      <c r="EN33" s="141">
        <v>493940</v>
      </c>
      <c r="EO33" s="141">
        <v>477700</v>
      </c>
      <c r="EP33" s="141">
        <v>805802</v>
      </c>
      <c r="EQ33" s="141">
        <v>706630</v>
      </c>
      <c r="ER33" s="73">
        <f t="shared" si="12"/>
        <v>15720162</v>
      </c>
      <c r="ES33" s="141">
        <v>127690846</v>
      </c>
      <c r="ET33" s="141">
        <v>-18502099</v>
      </c>
      <c r="EU33" s="141">
        <v>27998356</v>
      </c>
      <c r="EV33" s="141">
        <v>19107819</v>
      </c>
      <c r="EW33" s="141">
        <v>30278399</v>
      </c>
      <c r="EX33" s="141">
        <v>17660106</v>
      </c>
      <c r="EY33" s="73">
        <f t="shared" si="13"/>
        <v>2913702</v>
      </c>
      <c r="EZ33" s="141">
        <v>2913702</v>
      </c>
      <c r="FA33" s="141">
        <v>94827</v>
      </c>
      <c r="FB33" s="141">
        <v>2815071</v>
      </c>
      <c r="FC33" s="141">
        <v>0</v>
      </c>
      <c r="FD33" s="141">
        <v>0</v>
      </c>
      <c r="FE33" s="141">
        <v>18302280</v>
      </c>
      <c r="FF33" s="141">
        <v>18229590</v>
      </c>
      <c r="FG33" s="141">
        <v>2102219</v>
      </c>
      <c r="FH33" s="141">
        <v>17340929</v>
      </c>
      <c r="FI33" s="73">
        <f t="shared" si="14"/>
        <v>8911513</v>
      </c>
      <c r="FJ33" s="141">
        <v>141634875</v>
      </c>
      <c r="FK33" s="379">
        <f t="shared" si="15"/>
        <v>3.7</v>
      </c>
      <c r="FL33" s="141">
        <v>116849988</v>
      </c>
      <c r="FM33" s="141">
        <v>1328044</v>
      </c>
      <c r="FN33" s="141">
        <v>69843844</v>
      </c>
      <c r="FO33" s="141">
        <v>97409412</v>
      </c>
      <c r="FP33" s="390">
        <v>0.73</v>
      </c>
      <c r="FQ33" s="380">
        <v>95.2</v>
      </c>
      <c r="FR33" s="381">
        <v>22.6</v>
      </c>
      <c r="FS33" s="380">
        <v>19.399999999999999</v>
      </c>
      <c r="FT33" s="380">
        <v>14.4</v>
      </c>
      <c r="FU33" s="381">
        <v>12.9</v>
      </c>
      <c r="FV33" s="380">
        <v>12.2</v>
      </c>
      <c r="FW33" s="382">
        <v>12.6</v>
      </c>
      <c r="FX33" s="383">
        <v>4.7</v>
      </c>
      <c r="FY33" s="141">
        <v>148257732</v>
      </c>
      <c r="FZ33" s="384">
        <f t="shared" si="16"/>
        <v>125.5</v>
      </c>
      <c r="GA33" s="141">
        <v>49666241</v>
      </c>
      <c r="GB33" s="141">
        <v>21784320</v>
      </c>
      <c r="GC33" s="141">
        <v>8669250</v>
      </c>
      <c r="GD33" s="141">
        <v>19212671</v>
      </c>
      <c r="GE33" s="107"/>
      <c r="GF33" s="385"/>
      <c r="GG33" s="386"/>
      <c r="GH33" s="380">
        <v>99.5</v>
      </c>
      <c r="GI33" s="380">
        <v>38.299999999999997</v>
      </c>
      <c r="GJ33" s="380">
        <v>98.8</v>
      </c>
      <c r="GK33" s="141">
        <v>2800</v>
      </c>
      <c r="GL33" s="391" t="s">
        <v>646</v>
      </c>
      <c r="GM33" s="391">
        <v>11.25</v>
      </c>
      <c r="GN33" s="117">
        <v>20</v>
      </c>
      <c r="GO33" s="391" t="s">
        <v>646</v>
      </c>
      <c r="GP33" s="392">
        <v>16.25</v>
      </c>
      <c r="GQ33" s="387">
        <v>30</v>
      </c>
      <c r="GR33" s="381">
        <v>4.7</v>
      </c>
      <c r="GS33" s="388">
        <v>25</v>
      </c>
      <c r="GT33" s="388">
        <v>35</v>
      </c>
      <c r="GU33" s="393" t="s">
        <v>646</v>
      </c>
      <c r="GV33" s="388">
        <v>350</v>
      </c>
      <c r="GW33" s="394"/>
      <c r="GX33" s="100">
        <f t="shared" si="17"/>
        <v>118178</v>
      </c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  <c r="HW33" s="394"/>
      <c r="HX33" s="394"/>
    </row>
    <row r="34" spans="1:232" x14ac:dyDescent="0.15">
      <c r="B34" s="89" t="s">
        <v>57</v>
      </c>
      <c r="C34" s="141">
        <v>8900023</v>
      </c>
      <c r="D34" s="73">
        <f t="shared" si="0"/>
        <v>2196968</v>
      </c>
      <c r="E34" s="141">
        <v>80110</v>
      </c>
      <c r="F34" s="141">
        <v>2116858</v>
      </c>
      <c r="G34" s="73">
        <f t="shared" si="1"/>
        <v>431966</v>
      </c>
      <c r="H34" s="141">
        <v>190480</v>
      </c>
      <c r="I34" s="141">
        <v>241486</v>
      </c>
      <c r="J34" s="141">
        <v>4877804</v>
      </c>
      <c r="K34" s="141">
        <v>2059051</v>
      </c>
      <c r="L34" s="141">
        <v>1655628</v>
      </c>
      <c r="M34" s="141">
        <v>1130080</v>
      </c>
      <c r="N34" s="141">
        <v>462738</v>
      </c>
      <c r="O34" s="141">
        <v>733309</v>
      </c>
      <c r="P34" s="141">
        <v>400908</v>
      </c>
      <c r="Q34" s="141">
        <v>332401</v>
      </c>
      <c r="R34" s="141">
        <v>161750</v>
      </c>
      <c r="S34" s="74"/>
      <c r="T34" s="73">
        <f t="shared" si="2"/>
        <v>1892750</v>
      </c>
      <c r="U34" s="141">
        <v>6744</v>
      </c>
      <c r="V34" s="141">
        <v>74640</v>
      </c>
      <c r="W34" s="141">
        <v>98020</v>
      </c>
      <c r="X34" s="141">
        <v>1459879</v>
      </c>
      <c r="Y34" s="141">
        <v>38331</v>
      </c>
      <c r="Z34" s="160"/>
      <c r="AA34" s="141">
        <v>0</v>
      </c>
      <c r="AB34" s="141">
        <v>33881</v>
      </c>
      <c r="AC34" s="141">
        <v>181255</v>
      </c>
      <c r="AD34" s="141">
        <v>276868</v>
      </c>
      <c r="AE34" s="141">
        <v>4644890</v>
      </c>
      <c r="AF34" s="141">
        <v>4217604</v>
      </c>
      <c r="AG34" s="141">
        <v>427286</v>
      </c>
      <c r="AH34" s="141">
        <v>7165</v>
      </c>
      <c r="AI34" s="141">
        <v>45287</v>
      </c>
      <c r="AJ34" s="73">
        <f t="shared" si="3"/>
        <v>321526</v>
      </c>
      <c r="AK34" s="141">
        <v>174945</v>
      </c>
      <c r="AL34" s="141">
        <v>146581</v>
      </c>
      <c r="AM34" s="141">
        <v>6630001</v>
      </c>
      <c r="AN34" s="73">
        <f t="shared" si="4"/>
        <v>2909954</v>
      </c>
      <c r="AO34" s="141">
        <v>1436810</v>
      </c>
      <c r="AP34" s="141">
        <v>373867</v>
      </c>
      <c r="AQ34" s="74"/>
      <c r="AR34" s="141">
        <v>1099277</v>
      </c>
      <c r="AS34" s="141">
        <v>233401</v>
      </c>
      <c r="AT34" s="141">
        <v>0</v>
      </c>
      <c r="AU34" s="141">
        <v>0</v>
      </c>
      <c r="AV34" s="141">
        <v>2353480</v>
      </c>
      <c r="AW34" s="141">
        <v>1411365</v>
      </c>
      <c r="AX34" s="141">
        <v>186933</v>
      </c>
      <c r="AY34" s="141">
        <v>0</v>
      </c>
      <c r="AZ34" s="141">
        <v>942115</v>
      </c>
      <c r="BA34" s="141">
        <v>80784</v>
      </c>
      <c r="BB34" s="141">
        <v>38234</v>
      </c>
      <c r="BC34" s="141">
        <v>4616</v>
      </c>
      <c r="BD34" s="141">
        <v>1218369</v>
      </c>
      <c r="BE34" s="141">
        <v>1087326</v>
      </c>
      <c r="BF34" s="141">
        <v>200000</v>
      </c>
      <c r="BG34" s="141">
        <v>38099</v>
      </c>
      <c r="BH34" s="141">
        <v>840929</v>
      </c>
      <c r="BI34" s="141">
        <v>0</v>
      </c>
      <c r="BJ34" s="141">
        <v>59599</v>
      </c>
      <c r="BK34" s="141">
        <v>17618</v>
      </c>
      <c r="BL34" s="141">
        <v>382705</v>
      </c>
      <c r="BM34" s="141">
        <v>0</v>
      </c>
      <c r="BN34" s="141">
        <v>0</v>
      </c>
      <c r="BO34" s="141">
        <v>0</v>
      </c>
      <c r="BP34" s="141">
        <v>765996</v>
      </c>
      <c r="BQ34" s="73">
        <f t="shared" si="5"/>
        <v>696800</v>
      </c>
      <c r="BR34" s="73">
        <f t="shared" si="6"/>
        <v>69196</v>
      </c>
      <c r="BS34" s="141">
        <v>0</v>
      </c>
      <c r="BT34" s="141">
        <v>0</v>
      </c>
      <c r="BU34" s="141">
        <v>69196</v>
      </c>
      <c r="BV34" s="141">
        <v>0</v>
      </c>
      <c r="BW34" s="141">
        <v>28785969</v>
      </c>
      <c r="BX34" s="71"/>
      <c r="BY34" s="141">
        <v>4831503</v>
      </c>
      <c r="BZ34" s="141">
        <v>2905770</v>
      </c>
      <c r="CA34" s="141">
        <v>564216</v>
      </c>
      <c r="CB34" s="141">
        <v>541239</v>
      </c>
      <c r="CC34" s="141">
        <v>8863246</v>
      </c>
      <c r="CD34" s="141">
        <v>3166573</v>
      </c>
      <c r="CE34" s="141">
        <v>5390</v>
      </c>
      <c r="CF34" s="141">
        <v>3514703</v>
      </c>
      <c r="CG34" s="141">
        <v>1860783</v>
      </c>
      <c r="CH34" s="141">
        <v>35577</v>
      </c>
      <c r="CI34" s="141">
        <v>280020</v>
      </c>
      <c r="CJ34" s="141">
        <v>2406194</v>
      </c>
      <c r="CK34" s="141">
        <v>2282896</v>
      </c>
      <c r="CL34" s="83">
        <f t="shared" si="7"/>
        <v>123298</v>
      </c>
      <c r="CM34" s="141">
        <v>3618703</v>
      </c>
      <c r="CN34" s="141">
        <v>2678223</v>
      </c>
      <c r="CO34" s="102"/>
      <c r="CP34" s="141">
        <v>446510</v>
      </c>
      <c r="CQ34" s="141">
        <v>157589</v>
      </c>
      <c r="CR34" s="141">
        <v>2885763</v>
      </c>
      <c r="CS34" s="141">
        <v>1365527</v>
      </c>
      <c r="CT34" s="141">
        <v>554335</v>
      </c>
      <c r="CU34" s="141">
        <v>443310</v>
      </c>
      <c r="CV34" s="73">
        <f t="shared" si="8"/>
        <v>522970</v>
      </c>
      <c r="CW34" s="141">
        <v>286526</v>
      </c>
      <c r="CX34" s="141">
        <v>236444</v>
      </c>
      <c r="CY34" s="73">
        <f t="shared" si="9"/>
        <v>0</v>
      </c>
      <c r="CZ34" s="141">
        <v>0</v>
      </c>
      <c r="DA34" s="141">
        <v>0</v>
      </c>
      <c r="DB34" s="73">
        <f t="shared" si="10"/>
        <v>520111</v>
      </c>
      <c r="DC34" s="141">
        <v>285399</v>
      </c>
      <c r="DD34" s="141">
        <v>234712</v>
      </c>
      <c r="DE34" s="141">
        <v>1269691</v>
      </c>
      <c r="DF34" s="141">
        <v>713686</v>
      </c>
      <c r="DG34" s="141">
        <v>551792</v>
      </c>
      <c r="DH34" s="141">
        <v>4213</v>
      </c>
      <c r="DI34" s="141">
        <v>0</v>
      </c>
      <c r="DJ34" s="141">
        <v>11760</v>
      </c>
      <c r="DK34" s="141">
        <v>1331592</v>
      </c>
      <c r="DL34" s="141">
        <v>8839</v>
      </c>
      <c r="DM34" s="141">
        <v>99927</v>
      </c>
      <c r="DN34" s="141">
        <v>1222826</v>
      </c>
      <c r="DO34" s="141">
        <v>81874</v>
      </c>
      <c r="DP34" s="141">
        <v>81874</v>
      </c>
      <c r="DQ34" s="141">
        <v>18384</v>
      </c>
      <c r="DR34" s="141">
        <v>0</v>
      </c>
      <c r="DS34" s="141">
        <v>0</v>
      </c>
      <c r="DT34" s="141">
        <v>0</v>
      </c>
      <c r="DU34" s="141">
        <v>0</v>
      </c>
      <c r="DV34" s="141">
        <v>2998021</v>
      </c>
      <c r="DW34" s="141">
        <v>0</v>
      </c>
      <c r="DX34" s="73">
        <f t="shared" si="11"/>
        <v>0</v>
      </c>
      <c r="DY34" s="141">
        <v>0</v>
      </c>
      <c r="DZ34" s="141">
        <v>1095872</v>
      </c>
      <c r="EA34" s="141">
        <v>0</v>
      </c>
      <c r="EB34" s="141">
        <v>953889</v>
      </c>
      <c r="EC34" s="74"/>
      <c r="ED34" s="141">
        <v>948260</v>
      </c>
      <c r="EE34" s="141">
        <v>0</v>
      </c>
      <c r="EF34" s="141">
        <v>28455936</v>
      </c>
      <c r="EG34" s="71"/>
      <c r="EH34" s="141">
        <v>330033</v>
      </c>
      <c r="EI34" s="141">
        <v>19664</v>
      </c>
      <c r="EJ34" s="141">
        <v>310369</v>
      </c>
      <c r="EK34" s="141">
        <v>292751</v>
      </c>
      <c r="EL34" s="141">
        <v>101590</v>
      </c>
      <c r="EM34" s="71"/>
      <c r="EN34" s="141">
        <v>60102</v>
      </c>
      <c r="EO34" s="141">
        <v>58145</v>
      </c>
      <c r="EP34" s="141">
        <v>238099</v>
      </c>
      <c r="EQ34" s="141">
        <v>35859</v>
      </c>
      <c r="ER34" s="73">
        <f t="shared" si="12"/>
        <v>1400783</v>
      </c>
      <c r="ES34" s="141">
        <v>15883446</v>
      </c>
      <c r="ET34" s="141">
        <v>-1736772</v>
      </c>
      <c r="EU34" s="141">
        <v>4283252</v>
      </c>
      <c r="EV34" s="141">
        <v>2469216</v>
      </c>
      <c r="EW34" s="141">
        <v>2975901</v>
      </c>
      <c r="EX34" s="141">
        <v>2406194</v>
      </c>
      <c r="EY34" s="73">
        <f t="shared" si="13"/>
        <v>110640</v>
      </c>
      <c r="EZ34" s="141">
        <v>110640</v>
      </c>
      <c r="FA34" s="141">
        <v>16011</v>
      </c>
      <c r="FB34" s="141">
        <v>92298</v>
      </c>
      <c r="FC34" s="141">
        <v>0</v>
      </c>
      <c r="FD34" s="141">
        <v>0</v>
      </c>
      <c r="FE34" s="141">
        <v>2252179</v>
      </c>
      <c r="FF34" s="141">
        <v>2624952</v>
      </c>
      <c r="FG34" s="141">
        <v>1363890</v>
      </c>
      <c r="FH34" s="141">
        <v>2300858</v>
      </c>
      <c r="FI34" s="73">
        <f t="shared" si="14"/>
        <v>336209</v>
      </c>
      <c r="FJ34" s="141">
        <v>17290185</v>
      </c>
      <c r="FK34" s="379">
        <f t="shared" si="15"/>
        <v>2.1</v>
      </c>
      <c r="FL34" s="141">
        <v>14394736</v>
      </c>
      <c r="FM34" s="141">
        <v>69196</v>
      </c>
      <c r="FN34" s="141">
        <v>8010021</v>
      </c>
      <c r="FO34" s="141">
        <v>12227526</v>
      </c>
      <c r="FP34" s="390">
        <v>0.67</v>
      </c>
      <c r="FQ34" s="380">
        <v>98.2</v>
      </c>
      <c r="FR34" s="381">
        <v>26.1</v>
      </c>
      <c r="FS34" s="380">
        <v>14.1</v>
      </c>
      <c r="FT34" s="380">
        <v>16.100000000000001</v>
      </c>
      <c r="FU34" s="381">
        <v>12.4</v>
      </c>
      <c r="FV34" s="380">
        <v>14.3</v>
      </c>
      <c r="FW34" s="382">
        <v>13.9</v>
      </c>
      <c r="FX34" s="383">
        <v>8.1</v>
      </c>
      <c r="FY34" s="141">
        <v>22422980</v>
      </c>
      <c r="FZ34" s="384">
        <f t="shared" si="16"/>
        <v>155</v>
      </c>
      <c r="GA34" s="141">
        <v>7313067</v>
      </c>
      <c r="GB34" s="141">
        <v>1721448</v>
      </c>
      <c r="GC34" s="141">
        <v>1734110</v>
      </c>
      <c r="GD34" s="141">
        <v>3857509</v>
      </c>
      <c r="GE34" s="107"/>
      <c r="GF34" s="385"/>
      <c r="GG34" s="386"/>
      <c r="GH34" s="380">
        <v>99.3</v>
      </c>
      <c r="GI34" s="380">
        <v>37.4</v>
      </c>
      <c r="GJ34" s="380">
        <v>98.2</v>
      </c>
      <c r="GK34" s="141">
        <v>374</v>
      </c>
      <c r="GL34" s="391" t="s">
        <v>646</v>
      </c>
      <c r="GM34" s="391">
        <v>12.82</v>
      </c>
      <c r="GN34" s="117">
        <v>20</v>
      </c>
      <c r="GO34" s="391" t="s">
        <v>646</v>
      </c>
      <c r="GP34" s="392">
        <v>17.82</v>
      </c>
      <c r="GQ34" s="387">
        <v>30</v>
      </c>
      <c r="GR34" s="381">
        <v>8.1</v>
      </c>
      <c r="GS34" s="388">
        <v>25</v>
      </c>
      <c r="GT34" s="388">
        <v>35</v>
      </c>
      <c r="GU34" s="393">
        <v>31.7</v>
      </c>
      <c r="GV34" s="388">
        <v>350</v>
      </c>
      <c r="GW34" s="394"/>
      <c r="GX34" s="100">
        <f t="shared" si="17"/>
        <v>14464</v>
      </c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  <c r="HW34" s="394"/>
      <c r="HX34" s="394"/>
    </row>
    <row r="35" spans="1:232" x14ac:dyDescent="0.15">
      <c r="B35" s="89" t="s">
        <v>59</v>
      </c>
      <c r="C35" s="141">
        <v>6897488</v>
      </c>
      <c r="D35" s="73">
        <f t="shared" si="0"/>
        <v>2865658</v>
      </c>
      <c r="E35" s="141">
        <v>81048</v>
      </c>
      <c r="F35" s="141">
        <v>2784610</v>
      </c>
      <c r="G35" s="73">
        <f t="shared" si="1"/>
        <v>317078</v>
      </c>
      <c r="H35" s="141">
        <v>144694</v>
      </c>
      <c r="I35" s="141">
        <v>172384</v>
      </c>
      <c r="J35" s="141">
        <v>2676556</v>
      </c>
      <c r="K35" s="141">
        <v>1105527</v>
      </c>
      <c r="L35" s="141">
        <v>1301209</v>
      </c>
      <c r="M35" s="141">
        <v>253976</v>
      </c>
      <c r="N35" s="141">
        <v>356920</v>
      </c>
      <c r="O35" s="141">
        <v>574706</v>
      </c>
      <c r="P35" s="141">
        <v>301791</v>
      </c>
      <c r="Q35" s="141">
        <v>272915</v>
      </c>
      <c r="R35" s="141">
        <v>105378</v>
      </c>
      <c r="S35" s="74"/>
      <c r="T35" s="73">
        <f t="shared" si="2"/>
        <v>1698135</v>
      </c>
      <c r="U35" s="141">
        <v>8480</v>
      </c>
      <c r="V35" s="141">
        <v>94178</v>
      </c>
      <c r="W35" s="141">
        <v>124058</v>
      </c>
      <c r="X35" s="141">
        <v>1284491</v>
      </c>
      <c r="Y35" s="141">
        <v>29681</v>
      </c>
      <c r="Z35" s="160"/>
      <c r="AA35" s="141">
        <v>0</v>
      </c>
      <c r="AB35" s="141">
        <v>28674</v>
      </c>
      <c r="AC35" s="141">
        <v>128573</v>
      </c>
      <c r="AD35" s="141">
        <v>305381</v>
      </c>
      <c r="AE35" s="141">
        <v>5301710</v>
      </c>
      <c r="AF35" s="141">
        <v>4857016</v>
      </c>
      <c r="AG35" s="141">
        <v>444694</v>
      </c>
      <c r="AH35" s="141">
        <v>5575</v>
      </c>
      <c r="AI35" s="141">
        <v>313493</v>
      </c>
      <c r="AJ35" s="73">
        <f t="shared" si="3"/>
        <v>210776</v>
      </c>
      <c r="AK35" s="141">
        <v>150083</v>
      </c>
      <c r="AL35" s="141">
        <v>60693</v>
      </c>
      <c r="AM35" s="141">
        <v>5146263</v>
      </c>
      <c r="AN35" s="73">
        <f t="shared" si="4"/>
        <v>3100177</v>
      </c>
      <c r="AO35" s="141">
        <v>989212</v>
      </c>
      <c r="AP35" s="141">
        <v>1192686</v>
      </c>
      <c r="AQ35" s="74"/>
      <c r="AR35" s="141">
        <v>918279</v>
      </c>
      <c r="AS35" s="141">
        <v>49657</v>
      </c>
      <c r="AT35" s="141">
        <v>0</v>
      </c>
      <c r="AU35" s="141">
        <v>0</v>
      </c>
      <c r="AV35" s="141">
        <v>2685084</v>
      </c>
      <c r="AW35" s="141">
        <v>2037474</v>
      </c>
      <c r="AX35" s="141">
        <v>565966</v>
      </c>
      <c r="AY35" s="141">
        <v>341</v>
      </c>
      <c r="AZ35" s="141">
        <v>647610</v>
      </c>
      <c r="BA35" s="141">
        <v>0</v>
      </c>
      <c r="BB35" s="141">
        <v>45184</v>
      </c>
      <c r="BC35" s="141">
        <v>5625</v>
      </c>
      <c r="BD35" s="141">
        <v>17415</v>
      </c>
      <c r="BE35" s="141">
        <v>683026</v>
      </c>
      <c r="BF35" s="141">
        <v>580000</v>
      </c>
      <c r="BG35" s="141">
        <v>0</v>
      </c>
      <c r="BH35" s="141">
        <v>103026</v>
      </c>
      <c r="BI35" s="141">
        <v>0</v>
      </c>
      <c r="BJ35" s="141">
        <v>480952</v>
      </c>
      <c r="BK35" s="141">
        <v>388005</v>
      </c>
      <c r="BL35" s="141">
        <v>363102</v>
      </c>
      <c r="BM35" s="141">
        <v>120</v>
      </c>
      <c r="BN35" s="141">
        <v>1379</v>
      </c>
      <c r="BO35" s="141">
        <v>0</v>
      </c>
      <c r="BP35" s="141">
        <v>921700</v>
      </c>
      <c r="BQ35" s="73">
        <f t="shared" si="5"/>
        <v>871100</v>
      </c>
      <c r="BR35" s="73">
        <f t="shared" si="6"/>
        <v>50600</v>
      </c>
      <c r="BS35" s="141">
        <v>0</v>
      </c>
      <c r="BT35" s="141">
        <v>0</v>
      </c>
      <c r="BU35" s="141">
        <v>50600</v>
      </c>
      <c r="BV35" s="141">
        <v>0</v>
      </c>
      <c r="BW35" s="141">
        <v>25180662</v>
      </c>
      <c r="BX35" s="71"/>
      <c r="BY35" s="141">
        <v>3825264</v>
      </c>
      <c r="BZ35" s="141">
        <v>2349686</v>
      </c>
      <c r="CA35" s="141">
        <v>144448</v>
      </c>
      <c r="CB35" s="141">
        <v>646195</v>
      </c>
      <c r="CC35" s="141">
        <v>7562362</v>
      </c>
      <c r="CD35" s="141">
        <v>2413915</v>
      </c>
      <c r="CE35" s="141">
        <v>6063</v>
      </c>
      <c r="CF35" s="141">
        <v>3449278</v>
      </c>
      <c r="CG35" s="141">
        <v>1252624</v>
      </c>
      <c r="CH35" s="141">
        <v>105797</v>
      </c>
      <c r="CI35" s="141">
        <v>334685</v>
      </c>
      <c r="CJ35" s="141">
        <v>1392613</v>
      </c>
      <c r="CK35" s="141">
        <v>1350463</v>
      </c>
      <c r="CL35" s="83">
        <f t="shared" si="7"/>
        <v>42150</v>
      </c>
      <c r="CM35" s="141">
        <v>3736740</v>
      </c>
      <c r="CN35" s="141">
        <v>2484633</v>
      </c>
      <c r="CO35" s="102"/>
      <c r="CP35" s="141">
        <v>549534</v>
      </c>
      <c r="CQ35" s="141">
        <v>50909</v>
      </c>
      <c r="CR35" s="141">
        <v>3673475</v>
      </c>
      <c r="CS35" s="141">
        <v>1559954</v>
      </c>
      <c r="CT35" s="141">
        <v>460613</v>
      </c>
      <c r="CU35" s="141">
        <v>229068</v>
      </c>
      <c r="CV35" s="73">
        <f t="shared" si="8"/>
        <v>790247</v>
      </c>
      <c r="CW35" s="141">
        <v>568860</v>
      </c>
      <c r="CX35" s="141">
        <v>221387</v>
      </c>
      <c r="CY35" s="73">
        <f t="shared" si="9"/>
        <v>0</v>
      </c>
      <c r="CZ35" s="141">
        <v>0</v>
      </c>
      <c r="DA35" s="141">
        <v>0</v>
      </c>
      <c r="DB35" s="73">
        <f t="shared" si="10"/>
        <v>779166</v>
      </c>
      <c r="DC35" s="141">
        <v>558957</v>
      </c>
      <c r="DD35" s="141">
        <v>220209</v>
      </c>
      <c r="DE35" s="141">
        <v>1865697</v>
      </c>
      <c r="DF35" s="141">
        <v>248851</v>
      </c>
      <c r="DG35" s="141">
        <v>1097281</v>
      </c>
      <c r="DH35" s="141">
        <v>3978</v>
      </c>
      <c r="DI35" s="141">
        <v>515587</v>
      </c>
      <c r="DJ35" s="141">
        <v>0</v>
      </c>
      <c r="DK35" s="141">
        <v>269710</v>
      </c>
      <c r="DL35" s="141">
        <v>226242</v>
      </c>
      <c r="DM35" s="141">
        <v>26</v>
      </c>
      <c r="DN35" s="141">
        <v>43442</v>
      </c>
      <c r="DO35" s="141">
        <v>0</v>
      </c>
      <c r="DP35" s="141">
        <v>0</v>
      </c>
      <c r="DQ35" s="141">
        <v>0</v>
      </c>
      <c r="DR35" s="141">
        <v>0</v>
      </c>
      <c r="DS35" s="141">
        <v>0</v>
      </c>
      <c r="DT35" s="141">
        <v>0</v>
      </c>
      <c r="DU35" s="141">
        <v>0</v>
      </c>
      <c r="DV35" s="141">
        <v>2408107</v>
      </c>
      <c r="DW35" s="141">
        <v>0</v>
      </c>
      <c r="DX35" s="73">
        <f t="shared" si="11"/>
        <v>0</v>
      </c>
      <c r="DY35" s="141">
        <v>0</v>
      </c>
      <c r="DZ35" s="141">
        <v>917544</v>
      </c>
      <c r="EA35" s="141">
        <v>0</v>
      </c>
      <c r="EB35" s="141">
        <v>658014</v>
      </c>
      <c r="EC35" s="74"/>
      <c r="ED35" s="141">
        <v>832549</v>
      </c>
      <c r="EE35" s="141">
        <v>0</v>
      </c>
      <c r="EF35" s="141">
        <v>24784877</v>
      </c>
      <c r="EG35" s="71"/>
      <c r="EH35" s="141">
        <v>395785</v>
      </c>
      <c r="EI35" s="141">
        <v>232219</v>
      </c>
      <c r="EJ35" s="141">
        <v>163566</v>
      </c>
      <c r="EK35" s="141">
        <v>-224439</v>
      </c>
      <c r="EL35" s="141">
        <v>-578197</v>
      </c>
      <c r="EM35" s="71"/>
      <c r="EN35" s="141">
        <v>55177</v>
      </c>
      <c r="EO35" s="141">
        <v>53749</v>
      </c>
      <c r="EP35" s="141">
        <v>669456</v>
      </c>
      <c r="EQ35" s="141">
        <v>35774</v>
      </c>
      <c r="ER35" s="73">
        <f t="shared" si="12"/>
        <v>894170</v>
      </c>
      <c r="ES35" s="141">
        <v>14313667</v>
      </c>
      <c r="ET35" s="141">
        <v>-1644425</v>
      </c>
      <c r="EU35" s="141">
        <v>3295891</v>
      </c>
      <c r="EV35" s="141">
        <v>2046512</v>
      </c>
      <c r="EW35" s="141">
        <v>2341996</v>
      </c>
      <c r="EX35" s="141">
        <v>1384760</v>
      </c>
      <c r="EY35" s="73">
        <f t="shared" si="13"/>
        <v>330537</v>
      </c>
      <c r="EZ35" s="141">
        <v>330537</v>
      </c>
      <c r="FA35" s="141">
        <v>29011</v>
      </c>
      <c r="FB35" s="141">
        <v>301047</v>
      </c>
      <c r="FC35" s="141">
        <v>0</v>
      </c>
      <c r="FD35" s="141">
        <v>0</v>
      </c>
      <c r="FE35" s="141">
        <v>2987178</v>
      </c>
      <c r="FF35" s="141">
        <v>3032911</v>
      </c>
      <c r="FG35" s="141">
        <v>1559672</v>
      </c>
      <c r="FH35" s="141">
        <v>1880131</v>
      </c>
      <c r="FI35" s="73">
        <f t="shared" si="14"/>
        <v>308903</v>
      </c>
      <c r="FJ35" s="141">
        <v>15562307</v>
      </c>
      <c r="FK35" s="379">
        <f t="shared" si="15"/>
        <v>1.3</v>
      </c>
      <c r="FL35" s="141">
        <v>12945613</v>
      </c>
      <c r="FM35" s="141">
        <v>50683</v>
      </c>
      <c r="FN35" s="141">
        <v>6393824</v>
      </c>
      <c r="FO35" s="141">
        <v>11250840</v>
      </c>
      <c r="FP35" s="390">
        <v>0.57099999999999995</v>
      </c>
      <c r="FQ35" s="380">
        <v>97.8</v>
      </c>
      <c r="FR35" s="381">
        <v>23.4</v>
      </c>
      <c r="FS35" s="380">
        <v>16</v>
      </c>
      <c r="FT35" s="380">
        <v>10.3</v>
      </c>
      <c r="FU35" s="381">
        <v>14.6</v>
      </c>
      <c r="FV35" s="380">
        <v>20</v>
      </c>
      <c r="FW35" s="382">
        <v>13.1</v>
      </c>
      <c r="FX35" s="383">
        <v>3.2</v>
      </c>
      <c r="FY35" s="141">
        <v>12120881</v>
      </c>
      <c r="FZ35" s="384">
        <f t="shared" si="16"/>
        <v>93.3</v>
      </c>
      <c r="GA35" s="141">
        <v>6679354</v>
      </c>
      <c r="GB35" s="141">
        <v>2518057</v>
      </c>
      <c r="GC35" s="141">
        <v>51343</v>
      </c>
      <c r="GD35" s="141">
        <v>4109954</v>
      </c>
      <c r="GE35" s="107"/>
      <c r="GF35" s="385"/>
      <c r="GG35" s="386"/>
      <c r="GH35" s="380">
        <v>99.5</v>
      </c>
      <c r="GI35" s="380">
        <v>41.5</v>
      </c>
      <c r="GJ35" s="380">
        <v>98.7</v>
      </c>
      <c r="GK35" s="141">
        <v>333</v>
      </c>
      <c r="GL35" s="391" t="s">
        <v>646</v>
      </c>
      <c r="GM35" s="391">
        <v>12.95</v>
      </c>
      <c r="GN35" s="117">
        <v>20</v>
      </c>
      <c r="GO35" s="391" t="s">
        <v>646</v>
      </c>
      <c r="GP35" s="392">
        <v>17.95</v>
      </c>
      <c r="GQ35" s="387">
        <v>30</v>
      </c>
      <c r="GR35" s="381">
        <v>3.2</v>
      </c>
      <c r="GS35" s="388">
        <v>25</v>
      </c>
      <c r="GT35" s="388">
        <v>35</v>
      </c>
      <c r="GU35" s="393" t="s">
        <v>646</v>
      </c>
      <c r="GV35" s="388">
        <v>350</v>
      </c>
      <c r="GW35" s="394"/>
      <c r="GX35" s="100">
        <f t="shared" si="17"/>
        <v>12996</v>
      </c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  <c r="HW35" s="394"/>
      <c r="HX35" s="394"/>
    </row>
    <row r="36" spans="1:232" x14ac:dyDescent="0.15">
      <c r="B36" s="89" t="s">
        <v>61</v>
      </c>
      <c r="C36" s="141">
        <v>10473131</v>
      </c>
      <c r="D36" s="73">
        <f t="shared" si="0"/>
        <v>4293825</v>
      </c>
      <c r="E36" s="141">
        <v>113818</v>
      </c>
      <c r="F36" s="141">
        <v>4180007</v>
      </c>
      <c r="G36" s="73">
        <f t="shared" si="1"/>
        <v>397251</v>
      </c>
      <c r="H36" s="141">
        <v>162669</v>
      </c>
      <c r="I36" s="141">
        <v>234582</v>
      </c>
      <c r="J36" s="141">
        <v>4369573</v>
      </c>
      <c r="K36" s="141">
        <v>1621322</v>
      </c>
      <c r="L36" s="141">
        <v>2033646</v>
      </c>
      <c r="M36" s="141">
        <v>662392</v>
      </c>
      <c r="N36" s="141">
        <v>371447</v>
      </c>
      <c r="O36" s="141">
        <v>881702</v>
      </c>
      <c r="P36" s="141">
        <v>454442</v>
      </c>
      <c r="Q36" s="141">
        <v>427260</v>
      </c>
      <c r="R36" s="141">
        <v>141258</v>
      </c>
      <c r="S36" s="74"/>
      <c r="T36" s="73">
        <f t="shared" si="2"/>
        <v>2306460</v>
      </c>
      <c r="U36" s="141">
        <v>12835</v>
      </c>
      <c r="V36" s="141">
        <v>142162</v>
      </c>
      <c r="W36" s="141">
        <v>186827</v>
      </c>
      <c r="X36" s="141">
        <v>1705797</v>
      </c>
      <c r="Y36" s="141">
        <v>73551</v>
      </c>
      <c r="Z36" s="160"/>
      <c r="AA36" s="141">
        <v>0</v>
      </c>
      <c r="AB36" s="141">
        <v>38215</v>
      </c>
      <c r="AC36" s="141">
        <v>147073</v>
      </c>
      <c r="AD36" s="141">
        <v>465838</v>
      </c>
      <c r="AE36" s="141">
        <v>4987876</v>
      </c>
      <c r="AF36" s="141">
        <v>4779387</v>
      </c>
      <c r="AG36" s="141">
        <v>208489</v>
      </c>
      <c r="AH36" s="141">
        <v>9423</v>
      </c>
      <c r="AI36" s="141">
        <v>91688</v>
      </c>
      <c r="AJ36" s="73">
        <f t="shared" si="3"/>
        <v>385189</v>
      </c>
      <c r="AK36" s="141">
        <v>284852</v>
      </c>
      <c r="AL36" s="141">
        <v>100337</v>
      </c>
      <c r="AM36" s="141">
        <v>8489350</v>
      </c>
      <c r="AN36" s="73">
        <f t="shared" si="4"/>
        <v>3106741</v>
      </c>
      <c r="AO36" s="141">
        <v>926717</v>
      </c>
      <c r="AP36" s="141">
        <v>1124025</v>
      </c>
      <c r="AQ36" s="74"/>
      <c r="AR36" s="141">
        <v>1055999</v>
      </c>
      <c r="AS36" s="141">
        <v>1906929</v>
      </c>
      <c r="AT36" s="141">
        <v>766</v>
      </c>
      <c r="AU36" s="141">
        <v>0</v>
      </c>
      <c r="AV36" s="141">
        <v>2670923</v>
      </c>
      <c r="AW36" s="141">
        <v>2064857</v>
      </c>
      <c r="AX36" s="141">
        <v>446646</v>
      </c>
      <c r="AY36" s="141">
        <v>90618</v>
      </c>
      <c r="AZ36" s="141">
        <v>606066</v>
      </c>
      <c r="BA36" s="141">
        <v>16077</v>
      </c>
      <c r="BB36" s="141">
        <v>273974</v>
      </c>
      <c r="BC36" s="141">
        <v>160788</v>
      </c>
      <c r="BD36" s="141">
        <v>37800</v>
      </c>
      <c r="BE36" s="141">
        <v>450986</v>
      </c>
      <c r="BF36" s="141">
        <v>53964</v>
      </c>
      <c r="BG36" s="141">
        <v>30000</v>
      </c>
      <c r="BH36" s="141">
        <v>193041</v>
      </c>
      <c r="BI36" s="141">
        <v>0</v>
      </c>
      <c r="BJ36" s="141">
        <v>586775</v>
      </c>
      <c r="BK36" s="141">
        <v>361829</v>
      </c>
      <c r="BL36" s="141">
        <v>933328</v>
      </c>
      <c r="BM36" s="141">
        <v>0</v>
      </c>
      <c r="BN36" s="141">
        <v>531638</v>
      </c>
      <c r="BO36" s="141">
        <v>0</v>
      </c>
      <c r="BP36" s="141">
        <v>7049035</v>
      </c>
      <c r="BQ36" s="73">
        <f t="shared" si="5"/>
        <v>6974300</v>
      </c>
      <c r="BR36" s="73">
        <f t="shared" si="6"/>
        <v>74735</v>
      </c>
      <c r="BS36" s="141">
        <v>0</v>
      </c>
      <c r="BT36" s="141">
        <v>0</v>
      </c>
      <c r="BU36" s="141">
        <v>74735</v>
      </c>
      <c r="BV36" s="141">
        <v>0</v>
      </c>
      <c r="BW36" s="141">
        <v>39353034</v>
      </c>
      <c r="BX36" s="71"/>
      <c r="BY36" s="141">
        <v>6058446</v>
      </c>
      <c r="BZ36" s="141">
        <v>3337833</v>
      </c>
      <c r="CA36" s="141">
        <v>254601</v>
      </c>
      <c r="CB36" s="141">
        <v>1354301</v>
      </c>
      <c r="CC36" s="141">
        <v>10012439</v>
      </c>
      <c r="CD36" s="141">
        <v>3441273</v>
      </c>
      <c r="CE36" s="141">
        <v>6536</v>
      </c>
      <c r="CF36" s="141">
        <v>4715672</v>
      </c>
      <c r="CG36" s="141">
        <v>1214633</v>
      </c>
      <c r="CH36" s="141">
        <v>12418</v>
      </c>
      <c r="CI36" s="141">
        <v>621907</v>
      </c>
      <c r="CJ36" s="141">
        <v>2406169</v>
      </c>
      <c r="CK36" s="141">
        <v>2300553</v>
      </c>
      <c r="CL36" s="83">
        <f t="shared" si="7"/>
        <v>105616</v>
      </c>
      <c r="CM36" s="141">
        <v>4043289</v>
      </c>
      <c r="CN36" s="141">
        <v>2225612</v>
      </c>
      <c r="CO36" s="102"/>
      <c r="CP36" s="141">
        <v>855904</v>
      </c>
      <c r="CQ36" s="141">
        <v>80119</v>
      </c>
      <c r="CR36" s="141">
        <v>2405634</v>
      </c>
      <c r="CS36" s="141">
        <v>973189</v>
      </c>
      <c r="CT36" s="141">
        <v>519277</v>
      </c>
      <c r="CU36" s="141">
        <v>235170</v>
      </c>
      <c r="CV36" s="73">
        <f t="shared" si="8"/>
        <v>346444</v>
      </c>
      <c r="CW36" s="141">
        <v>346444</v>
      </c>
      <c r="CX36" s="141">
        <v>0</v>
      </c>
      <c r="CY36" s="73">
        <f t="shared" si="9"/>
        <v>0</v>
      </c>
      <c r="CZ36" s="141">
        <v>0</v>
      </c>
      <c r="DA36" s="141">
        <v>0</v>
      </c>
      <c r="DB36" s="73">
        <f t="shared" si="10"/>
        <v>310757</v>
      </c>
      <c r="DC36" s="141">
        <v>310757</v>
      </c>
      <c r="DD36" s="141">
        <v>0</v>
      </c>
      <c r="DE36" s="141">
        <v>9830893</v>
      </c>
      <c r="DF36" s="141">
        <v>6942381</v>
      </c>
      <c r="DG36" s="141">
        <v>2888512</v>
      </c>
      <c r="DH36" s="141">
        <v>0</v>
      </c>
      <c r="DI36" s="141">
        <v>0</v>
      </c>
      <c r="DJ36" s="141">
        <v>0</v>
      </c>
      <c r="DK36" s="141">
        <v>1042036</v>
      </c>
      <c r="DL36" s="141">
        <v>244101</v>
      </c>
      <c r="DM36" s="141">
        <v>130925</v>
      </c>
      <c r="DN36" s="141">
        <v>667010</v>
      </c>
      <c r="DO36" s="141">
        <v>0</v>
      </c>
      <c r="DP36" s="141">
        <v>0</v>
      </c>
      <c r="DQ36" s="141">
        <v>0</v>
      </c>
      <c r="DR36" s="141">
        <v>0</v>
      </c>
      <c r="DS36" s="141">
        <v>0</v>
      </c>
      <c r="DT36" s="141">
        <v>0</v>
      </c>
      <c r="DU36" s="141">
        <v>0</v>
      </c>
      <c r="DV36" s="141">
        <v>3009462</v>
      </c>
      <c r="DW36" s="141">
        <v>0</v>
      </c>
      <c r="DX36" s="73">
        <f t="shared" si="11"/>
        <v>0</v>
      </c>
      <c r="DY36" s="141">
        <v>0</v>
      </c>
      <c r="DZ36" s="141">
        <v>1191907</v>
      </c>
      <c r="EA36" s="141">
        <v>0</v>
      </c>
      <c r="EB36" s="141">
        <v>780811</v>
      </c>
      <c r="EC36" s="74"/>
      <c r="ED36" s="141">
        <v>1036744</v>
      </c>
      <c r="EE36" s="141">
        <v>0</v>
      </c>
      <c r="EF36" s="141">
        <v>38888487</v>
      </c>
      <c r="EG36" s="71"/>
      <c r="EH36" s="141">
        <v>464547</v>
      </c>
      <c r="EI36" s="141">
        <v>71347</v>
      </c>
      <c r="EJ36" s="141">
        <v>393200</v>
      </c>
      <c r="EK36" s="141">
        <v>31371</v>
      </c>
      <c r="EL36" s="141">
        <v>221508</v>
      </c>
      <c r="EM36" s="71"/>
      <c r="EN36" s="141">
        <v>75033</v>
      </c>
      <c r="EO36" s="141">
        <v>77191</v>
      </c>
      <c r="EP36" s="141">
        <v>228265</v>
      </c>
      <c r="EQ36" s="141">
        <v>162783</v>
      </c>
      <c r="ER36" s="73">
        <f t="shared" si="12"/>
        <v>2041502</v>
      </c>
      <c r="ES36" s="141">
        <v>18383986</v>
      </c>
      <c r="ET36" s="141">
        <v>-2497862</v>
      </c>
      <c r="EU36" s="141">
        <v>5303779</v>
      </c>
      <c r="EV36" s="141">
        <v>3089665</v>
      </c>
      <c r="EW36" s="141">
        <v>3640788</v>
      </c>
      <c r="EX36" s="141">
        <v>2406169</v>
      </c>
      <c r="EY36" s="73">
        <f t="shared" si="13"/>
        <v>832667</v>
      </c>
      <c r="EZ36" s="141">
        <v>832667</v>
      </c>
      <c r="FA36" s="141">
        <v>417571</v>
      </c>
      <c r="FB36" s="141">
        <v>415096</v>
      </c>
      <c r="FC36" s="141">
        <v>0</v>
      </c>
      <c r="FD36" s="141">
        <v>0</v>
      </c>
      <c r="FE36" s="141">
        <v>3095477</v>
      </c>
      <c r="FF36" s="141">
        <v>2192241</v>
      </c>
      <c r="FG36" s="141">
        <v>973189</v>
      </c>
      <c r="FH36" s="141">
        <v>2380931</v>
      </c>
      <c r="FI36" s="73">
        <f t="shared" si="14"/>
        <v>565249</v>
      </c>
      <c r="FJ36" s="141">
        <v>20417301</v>
      </c>
      <c r="FK36" s="379">
        <f t="shared" si="15"/>
        <v>2.2999999999999998</v>
      </c>
      <c r="FL36" s="141">
        <v>16812621</v>
      </c>
      <c r="FM36" s="141">
        <v>74735</v>
      </c>
      <c r="FN36" s="141">
        <v>9480777</v>
      </c>
      <c r="FO36" s="141">
        <v>14260164</v>
      </c>
      <c r="FP36" s="395">
        <v>0.67300000000000004</v>
      </c>
      <c r="FQ36" s="380">
        <v>94.5</v>
      </c>
      <c r="FR36" s="381">
        <v>28.6</v>
      </c>
      <c r="FS36" s="380">
        <v>15.4</v>
      </c>
      <c r="FT36" s="380">
        <v>13.7</v>
      </c>
      <c r="FU36" s="381">
        <v>14.2</v>
      </c>
      <c r="FV36" s="380">
        <v>9.3000000000000007</v>
      </c>
      <c r="FW36" s="382">
        <v>12.8</v>
      </c>
      <c r="FX36" s="383">
        <v>5.2</v>
      </c>
      <c r="FY36" s="141">
        <v>30943520</v>
      </c>
      <c r="FZ36" s="384">
        <f t="shared" si="16"/>
        <v>183.2</v>
      </c>
      <c r="GA36" s="141">
        <v>8912670</v>
      </c>
      <c r="GB36" s="141">
        <v>4689893</v>
      </c>
      <c r="GC36" s="141">
        <v>874969</v>
      </c>
      <c r="GD36" s="141">
        <v>3347808</v>
      </c>
      <c r="GE36" s="107"/>
      <c r="GF36" s="385">
        <v>4436</v>
      </c>
      <c r="GG36" s="386">
        <f>IF(GF36=0,"-",ROUND(GF36/(GX36)*100,1))</f>
        <v>26.3</v>
      </c>
      <c r="GH36" s="380">
        <v>99.7</v>
      </c>
      <c r="GI36" s="380">
        <v>51.1</v>
      </c>
      <c r="GJ36" s="380">
        <v>99.5</v>
      </c>
      <c r="GK36" s="141">
        <v>491</v>
      </c>
      <c r="GL36" s="391" t="s">
        <v>646</v>
      </c>
      <c r="GM36" s="391">
        <v>12.65</v>
      </c>
      <c r="GN36" s="117">
        <v>20</v>
      </c>
      <c r="GO36" s="391" t="s">
        <v>646</v>
      </c>
      <c r="GP36" s="392">
        <v>17.649999999999999</v>
      </c>
      <c r="GQ36" s="387">
        <v>30</v>
      </c>
      <c r="GR36" s="381">
        <v>5.2</v>
      </c>
      <c r="GS36" s="388">
        <v>25</v>
      </c>
      <c r="GT36" s="388">
        <v>35</v>
      </c>
      <c r="GU36" s="393">
        <v>48.5</v>
      </c>
      <c r="GV36" s="388">
        <v>350</v>
      </c>
      <c r="GW36" s="394"/>
      <c r="GX36" s="100">
        <f t="shared" si="17"/>
        <v>16887</v>
      </c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  <c r="HW36" s="394"/>
      <c r="HX36" s="394"/>
    </row>
    <row r="37" spans="1:232" x14ac:dyDescent="0.15">
      <c r="B37" s="89" t="s">
        <v>63</v>
      </c>
      <c r="C37" s="141">
        <v>7520971</v>
      </c>
      <c r="D37" s="73">
        <f t="shared" si="0"/>
        <v>3523745</v>
      </c>
      <c r="E37" s="141">
        <v>86471</v>
      </c>
      <c r="F37" s="141">
        <v>3437274</v>
      </c>
      <c r="G37" s="73">
        <f t="shared" si="1"/>
        <v>253814</v>
      </c>
      <c r="H37" s="141">
        <v>105840</v>
      </c>
      <c r="I37" s="141">
        <v>147974</v>
      </c>
      <c r="J37" s="141">
        <v>2924591</v>
      </c>
      <c r="K37" s="141">
        <v>1156521</v>
      </c>
      <c r="L37" s="141">
        <v>1402007</v>
      </c>
      <c r="M37" s="141">
        <v>334277</v>
      </c>
      <c r="N37" s="141">
        <v>308174</v>
      </c>
      <c r="O37" s="141">
        <v>385272</v>
      </c>
      <c r="P37" s="141">
        <v>201468</v>
      </c>
      <c r="Q37" s="141">
        <v>183804</v>
      </c>
      <c r="R37" s="141">
        <v>113394</v>
      </c>
      <c r="S37" s="74"/>
      <c r="T37" s="73">
        <f t="shared" si="2"/>
        <v>1855573</v>
      </c>
      <c r="U37" s="141">
        <v>10498</v>
      </c>
      <c r="V37" s="141">
        <v>116564</v>
      </c>
      <c r="W37" s="141">
        <v>153544</v>
      </c>
      <c r="X37" s="141">
        <v>1388534</v>
      </c>
      <c r="Y37" s="141">
        <v>0</v>
      </c>
      <c r="Z37" s="160"/>
      <c r="AA37" s="141">
        <v>0</v>
      </c>
      <c r="AB37" s="141">
        <v>31139</v>
      </c>
      <c r="AC37" s="141">
        <v>155294</v>
      </c>
      <c r="AD37" s="141">
        <v>342180</v>
      </c>
      <c r="AE37" s="141">
        <v>4528842</v>
      </c>
      <c r="AF37" s="141">
        <v>4283426</v>
      </c>
      <c r="AG37" s="141">
        <v>245416</v>
      </c>
      <c r="AH37" s="141">
        <v>6512</v>
      </c>
      <c r="AI37" s="141">
        <v>112743</v>
      </c>
      <c r="AJ37" s="73">
        <f t="shared" si="3"/>
        <v>233785</v>
      </c>
      <c r="AK37" s="141">
        <v>193392</v>
      </c>
      <c r="AL37" s="141">
        <v>40393</v>
      </c>
      <c r="AM37" s="141">
        <v>5420103</v>
      </c>
      <c r="AN37" s="73">
        <f t="shared" si="4"/>
        <v>2451472</v>
      </c>
      <c r="AO37" s="141">
        <v>866250</v>
      </c>
      <c r="AP37" s="141">
        <v>943375</v>
      </c>
      <c r="AQ37" s="74"/>
      <c r="AR37" s="141">
        <v>641847</v>
      </c>
      <c r="AS37" s="141">
        <v>65167</v>
      </c>
      <c r="AT37" s="141">
        <v>0</v>
      </c>
      <c r="AU37" s="141">
        <v>0</v>
      </c>
      <c r="AV37" s="141">
        <v>2139822</v>
      </c>
      <c r="AW37" s="141">
        <v>1389974</v>
      </c>
      <c r="AX37" s="141">
        <v>375537</v>
      </c>
      <c r="AY37" s="141">
        <v>7521</v>
      </c>
      <c r="AZ37" s="141">
        <v>749848</v>
      </c>
      <c r="BA37" s="141">
        <v>5218</v>
      </c>
      <c r="BB37" s="141">
        <v>17953</v>
      </c>
      <c r="BC37" s="141">
        <v>0</v>
      </c>
      <c r="BD37" s="141">
        <v>25029</v>
      </c>
      <c r="BE37" s="141">
        <v>156349</v>
      </c>
      <c r="BF37" s="141">
        <v>100000</v>
      </c>
      <c r="BG37" s="141">
        <v>38237</v>
      </c>
      <c r="BH37" s="141">
        <v>1557</v>
      </c>
      <c r="BI37" s="141">
        <v>0</v>
      </c>
      <c r="BJ37" s="141">
        <v>522372</v>
      </c>
      <c r="BK37" s="141">
        <v>456077</v>
      </c>
      <c r="BL37" s="141">
        <v>283743</v>
      </c>
      <c r="BM37" s="141">
        <v>0</v>
      </c>
      <c r="BN37" s="141">
        <v>0</v>
      </c>
      <c r="BO37" s="141">
        <v>0</v>
      </c>
      <c r="BP37" s="141">
        <v>720300</v>
      </c>
      <c r="BQ37" s="73">
        <f t="shared" si="5"/>
        <v>659500</v>
      </c>
      <c r="BR37" s="73">
        <f t="shared" si="6"/>
        <v>60800</v>
      </c>
      <c r="BS37" s="141">
        <v>0</v>
      </c>
      <c r="BT37" s="141">
        <v>0</v>
      </c>
      <c r="BU37" s="141">
        <v>60800</v>
      </c>
      <c r="BV37" s="141">
        <v>0</v>
      </c>
      <c r="BW37" s="141">
        <v>23999671</v>
      </c>
      <c r="BX37" s="71"/>
      <c r="BY37" s="141">
        <v>3845943</v>
      </c>
      <c r="BZ37" s="141">
        <v>2285753</v>
      </c>
      <c r="CA37" s="141">
        <v>134703</v>
      </c>
      <c r="CB37" s="141">
        <v>679434</v>
      </c>
      <c r="CC37" s="141">
        <v>7973625</v>
      </c>
      <c r="CD37" s="141">
        <v>2930902</v>
      </c>
      <c r="CE37" s="141">
        <v>3439</v>
      </c>
      <c r="CF37" s="141">
        <v>3342329</v>
      </c>
      <c r="CG37" s="141">
        <v>1167032</v>
      </c>
      <c r="CH37" s="141">
        <v>0</v>
      </c>
      <c r="CI37" s="141">
        <v>529893</v>
      </c>
      <c r="CJ37" s="141">
        <v>1789003</v>
      </c>
      <c r="CK37" s="141">
        <v>1754581</v>
      </c>
      <c r="CL37" s="83">
        <f t="shared" si="7"/>
        <v>34422</v>
      </c>
      <c r="CM37" s="141">
        <v>3957063</v>
      </c>
      <c r="CN37" s="141">
        <v>3024548</v>
      </c>
      <c r="CO37" s="102"/>
      <c r="CP37" s="141">
        <v>414294</v>
      </c>
      <c r="CQ37" s="141">
        <v>31295</v>
      </c>
      <c r="CR37" s="141">
        <v>2768340</v>
      </c>
      <c r="CS37" s="141">
        <v>376965</v>
      </c>
      <c r="CT37" s="141">
        <v>597143</v>
      </c>
      <c r="CU37" s="141">
        <v>469884</v>
      </c>
      <c r="CV37" s="73">
        <f t="shared" si="8"/>
        <v>296841</v>
      </c>
      <c r="CW37" s="141">
        <v>77566</v>
      </c>
      <c r="CX37" s="141">
        <v>219275</v>
      </c>
      <c r="CY37" s="73">
        <f t="shared" si="9"/>
        <v>0</v>
      </c>
      <c r="CZ37" s="141">
        <v>0</v>
      </c>
      <c r="DA37" s="141">
        <v>0</v>
      </c>
      <c r="DB37" s="73">
        <f t="shared" si="10"/>
        <v>296841</v>
      </c>
      <c r="DC37" s="141">
        <v>77566</v>
      </c>
      <c r="DD37" s="141">
        <v>219275</v>
      </c>
      <c r="DE37" s="141">
        <v>1090038</v>
      </c>
      <c r="DF37" s="141">
        <v>376801</v>
      </c>
      <c r="DG37" s="141">
        <v>600148</v>
      </c>
      <c r="DH37" s="141">
        <v>113089</v>
      </c>
      <c r="DI37" s="141">
        <v>0</v>
      </c>
      <c r="DJ37" s="141">
        <v>0</v>
      </c>
      <c r="DK37" s="141">
        <v>113065</v>
      </c>
      <c r="DL37" s="141">
        <v>1646</v>
      </c>
      <c r="DM37" s="141">
        <v>88750</v>
      </c>
      <c r="DN37" s="141">
        <v>22669</v>
      </c>
      <c r="DO37" s="141">
        <v>0</v>
      </c>
      <c r="DP37" s="141">
        <v>0</v>
      </c>
      <c r="DQ37" s="141">
        <v>0</v>
      </c>
      <c r="DR37" s="141">
        <v>0</v>
      </c>
      <c r="DS37" s="141">
        <v>204</v>
      </c>
      <c r="DT37" s="141">
        <v>0</v>
      </c>
      <c r="DU37" s="141">
        <v>0</v>
      </c>
      <c r="DV37" s="141">
        <v>2357717</v>
      </c>
      <c r="DW37" s="141">
        <v>0</v>
      </c>
      <c r="DX37" s="73">
        <f t="shared" si="11"/>
        <v>0</v>
      </c>
      <c r="DY37" s="141">
        <v>0</v>
      </c>
      <c r="DZ37" s="141">
        <v>951034</v>
      </c>
      <c r="EA37" s="141">
        <v>0</v>
      </c>
      <c r="EB37" s="141">
        <v>510354</v>
      </c>
      <c r="EC37" s="74"/>
      <c r="ED37" s="141">
        <v>896329</v>
      </c>
      <c r="EE37" s="141">
        <v>0</v>
      </c>
      <c r="EF37" s="141">
        <v>23926293</v>
      </c>
      <c r="EG37" s="71"/>
      <c r="EH37" s="141">
        <v>73378</v>
      </c>
      <c r="EI37" s="141">
        <v>13841</v>
      </c>
      <c r="EJ37" s="141">
        <v>59537</v>
      </c>
      <c r="EK37" s="141">
        <v>-396540</v>
      </c>
      <c r="EL37" s="141">
        <v>-494894</v>
      </c>
      <c r="EM37" s="71"/>
      <c r="EN37" s="141">
        <v>58435</v>
      </c>
      <c r="EO37" s="141">
        <v>57746</v>
      </c>
      <c r="EP37" s="141">
        <v>141276</v>
      </c>
      <c r="EQ37" s="141">
        <v>15816</v>
      </c>
      <c r="ER37" s="73">
        <f t="shared" si="12"/>
        <v>1610088</v>
      </c>
      <c r="ES37" s="141">
        <v>14367472</v>
      </c>
      <c r="ET37" s="141">
        <v>-1821468</v>
      </c>
      <c r="EU37" s="141">
        <v>3407007</v>
      </c>
      <c r="EV37" s="141">
        <v>2068852</v>
      </c>
      <c r="EW37" s="141">
        <v>2810104</v>
      </c>
      <c r="EX37" s="141">
        <v>1789003</v>
      </c>
      <c r="EY37" s="73">
        <f t="shared" si="13"/>
        <v>181394</v>
      </c>
      <c r="EZ37" s="141">
        <v>181394</v>
      </c>
      <c r="FA37" s="141">
        <v>20077</v>
      </c>
      <c r="FB37" s="141">
        <v>160900</v>
      </c>
      <c r="FC37" s="141">
        <v>0</v>
      </c>
      <c r="FD37" s="141">
        <v>0</v>
      </c>
      <c r="FE37" s="141">
        <v>3330998</v>
      </c>
      <c r="FF37" s="141">
        <v>2603477</v>
      </c>
      <c r="FG37" s="141">
        <v>376965</v>
      </c>
      <c r="FH37" s="141">
        <v>1870513</v>
      </c>
      <c r="FI37" s="73">
        <f t="shared" si="14"/>
        <v>123066</v>
      </c>
      <c r="FJ37" s="141">
        <v>16115562</v>
      </c>
      <c r="FK37" s="379">
        <f t="shared" si="15"/>
        <v>0.4</v>
      </c>
      <c r="FL37" s="141">
        <v>13463009</v>
      </c>
      <c r="FM37" s="141">
        <v>60894</v>
      </c>
      <c r="FN37" s="141">
        <v>7170610</v>
      </c>
      <c r="FO37" s="141">
        <v>11452836</v>
      </c>
      <c r="FP37" s="395">
        <v>0.63700000000000001</v>
      </c>
      <c r="FQ37" s="380">
        <v>99.1</v>
      </c>
      <c r="FR37" s="381">
        <v>24.4</v>
      </c>
      <c r="FS37" s="380">
        <v>14.8</v>
      </c>
      <c r="FT37" s="380">
        <v>12.9</v>
      </c>
      <c r="FU37" s="381">
        <v>20.100000000000001</v>
      </c>
      <c r="FV37" s="380">
        <v>13.5</v>
      </c>
      <c r="FW37" s="382">
        <v>13.2</v>
      </c>
      <c r="FX37" s="383">
        <v>4</v>
      </c>
      <c r="FY37" s="141">
        <v>13191426</v>
      </c>
      <c r="FZ37" s="384">
        <f t="shared" si="16"/>
        <v>97.5</v>
      </c>
      <c r="GA37" s="141">
        <v>4657323</v>
      </c>
      <c r="GB37" s="141">
        <v>3509397</v>
      </c>
      <c r="GC37" s="141">
        <v>265576</v>
      </c>
      <c r="GD37" s="141">
        <v>882350</v>
      </c>
      <c r="GE37" s="107"/>
      <c r="GF37" s="385"/>
      <c r="GG37" s="386"/>
      <c r="GH37" s="380">
        <v>99.2</v>
      </c>
      <c r="GI37" s="380">
        <v>19.399999999999999</v>
      </c>
      <c r="GJ37" s="380">
        <v>96.2</v>
      </c>
      <c r="GK37" s="141">
        <v>320</v>
      </c>
      <c r="GL37" s="391" t="s">
        <v>646</v>
      </c>
      <c r="GM37" s="391">
        <v>12.9</v>
      </c>
      <c r="GN37" s="117">
        <v>20</v>
      </c>
      <c r="GO37" s="391" t="s">
        <v>646</v>
      </c>
      <c r="GP37" s="392">
        <v>17.899999999999999</v>
      </c>
      <c r="GQ37" s="387">
        <v>30</v>
      </c>
      <c r="GR37" s="381">
        <v>4</v>
      </c>
      <c r="GS37" s="388">
        <v>25</v>
      </c>
      <c r="GT37" s="388">
        <v>35</v>
      </c>
      <c r="GU37" s="393" t="s">
        <v>646</v>
      </c>
      <c r="GV37" s="388">
        <v>350</v>
      </c>
      <c r="GW37" s="394"/>
      <c r="GX37" s="100">
        <f t="shared" si="17"/>
        <v>13524</v>
      </c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  <c r="HW37" s="394"/>
      <c r="HX37" s="394"/>
    </row>
    <row r="38" spans="1:232" x14ac:dyDescent="0.15">
      <c r="B38" s="89" t="s">
        <v>65</v>
      </c>
      <c r="C38" s="141">
        <v>5311143</v>
      </c>
      <c r="D38" s="73">
        <f t="shared" si="0"/>
        <v>2243911</v>
      </c>
      <c r="E38" s="141">
        <v>68267</v>
      </c>
      <c r="F38" s="141">
        <v>2175644</v>
      </c>
      <c r="G38" s="73">
        <f t="shared" si="1"/>
        <v>185412</v>
      </c>
      <c r="H38" s="141">
        <v>84730</v>
      </c>
      <c r="I38" s="141">
        <v>100682</v>
      </c>
      <c r="J38" s="141">
        <v>2043795</v>
      </c>
      <c r="K38" s="141">
        <v>631242</v>
      </c>
      <c r="L38" s="141">
        <v>1056184</v>
      </c>
      <c r="M38" s="141">
        <v>311528</v>
      </c>
      <c r="N38" s="141">
        <v>274535</v>
      </c>
      <c r="O38" s="141">
        <v>397130</v>
      </c>
      <c r="P38" s="141">
        <v>176410</v>
      </c>
      <c r="Q38" s="141">
        <v>220720</v>
      </c>
      <c r="R38" s="141">
        <v>117183</v>
      </c>
      <c r="S38" s="74"/>
      <c r="T38" s="73">
        <f t="shared" si="2"/>
        <v>1473559</v>
      </c>
      <c r="U38" s="141">
        <v>6881</v>
      </c>
      <c r="V38" s="141">
        <v>76091</v>
      </c>
      <c r="W38" s="141">
        <v>99831</v>
      </c>
      <c r="X38" s="141">
        <v>1160535</v>
      </c>
      <c r="Y38" s="141">
        <v>1475</v>
      </c>
      <c r="Z38" s="160"/>
      <c r="AA38" s="141">
        <v>0</v>
      </c>
      <c r="AB38" s="141">
        <v>31452</v>
      </c>
      <c r="AC38" s="141">
        <v>97294</v>
      </c>
      <c r="AD38" s="141">
        <v>247468</v>
      </c>
      <c r="AE38" s="141">
        <v>5414359</v>
      </c>
      <c r="AF38" s="141">
        <v>5108926</v>
      </c>
      <c r="AG38" s="141">
        <v>305433</v>
      </c>
      <c r="AH38" s="141">
        <v>5430</v>
      </c>
      <c r="AI38" s="141">
        <v>2145</v>
      </c>
      <c r="AJ38" s="73">
        <f t="shared" si="3"/>
        <v>184315</v>
      </c>
      <c r="AK38" s="141">
        <v>104005</v>
      </c>
      <c r="AL38" s="141">
        <v>80310</v>
      </c>
      <c r="AM38" s="141">
        <v>4166197</v>
      </c>
      <c r="AN38" s="73">
        <f t="shared" si="4"/>
        <v>2043960</v>
      </c>
      <c r="AO38" s="141">
        <v>739448</v>
      </c>
      <c r="AP38" s="141">
        <v>561582</v>
      </c>
      <c r="AQ38" s="74"/>
      <c r="AR38" s="141">
        <v>742930</v>
      </c>
      <c r="AS38" s="141">
        <v>33392</v>
      </c>
      <c r="AT38" s="141">
        <v>0</v>
      </c>
      <c r="AU38" s="141">
        <v>0</v>
      </c>
      <c r="AV38" s="141">
        <v>1748892</v>
      </c>
      <c r="AW38" s="141">
        <v>1004928</v>
      </c>
      <c r="AX38" s="141">
        <v>270008</v>
      </c>
      <c r="AY38" s="141">
        <v>0</v>
      </c>
      <c r="AZ38" s="141">
        <v>743964</v>
      </c>
      <c r="BA38" s="141">
        <v>652</v>
      </c>
      <c r="BB38" s="141">
        <v>11459</v>
      </c>
      <c r="BC38" s="141">
        <v>4189</v>
      </c>
      <c r="BD38" s="141">
        <v>156152</v>
      </c>
      <c r="BE38" s="141">
        <v>442698</v>
      </c>
      <c r="BF38" s="141">
        <v>0</v>
      </c>
      <c r="BG38" s="141">
        <v>28029</v>
      </c>
      <c r="BH38" s="141">
        <v>380498</v>
      </c>
      <c r="BI38" s="141">
        <v>0</v>
      </c>
      <c r="BJ38" s="141">
        <v>324091</v>
      </c>
      <c r="BK38" s="141">
        <v>323949</v>
      </c>
      <c r="BL38" s="141">
        <v>234912</v>
      </c>
      <c r="BM38" s="141">
        <v>0</v>
      </c>
      <c r="BN38" s="141">
        <v>51</v>
      </c>
      <c r="BO38" s="141">
        <v>0</v>
      </c>
      <c r="BP38" s="141">
        <v>2450350</v>
      </c>
      <c r="BQ38" s="73">
        <f t="shared" si="5"/>
        <v>2410000</v>
      </c>
      <c r="BR38" s="73">
        <f t="shared" si="6"/>
        <v>40350</v>
      </c>
      <c r="BS38" s="141">
        <v>0</v>
      </c>
      <c r="BT38" s="141">
        <v>0</v>
      </c>
      <c r="BU38" s="141">
        <v>40350</v>
      </c>
      <c r="BV38" s="141">
        <v>0</v>
      </c>
      <c r="BW38" s="141">
        <v>22290353</v>
      </c>
      <c r="BX38" s="71"/>
      <c r="BY38" s="141">
        <v>3699156</v>
      </c>
      <c r="BZ38" s="141">
        <v>2063284</v>
      </c>
      <c r="CA38" s="141">
        <v>381240</v>
      </c>
      <c r="CB38" s="141">
        <v>597882</v>
      </c>
      <c r="CC38" s="141">
        <v>5683270</v>
      </c>
      <c r="CD38" s="141">
        <v>2242522</v>
      </c>
      <c r="CE38" s="141">
        <v>434</v>
      </c>
      <c r="CF38" s="141">
        <v>2122430</v>
      </c>
      <c r="CG38" s="141">
        <v>977075</v>
      </c>
      <c r="CH38" s="141">
        <v>4331</v>
      </c>
      <c r="CI38" s="141">
        <v>336478</v>
      </c>
      <c r="CJ38" s="141">
        <v>1421251</v>
      </c>
      <c r="CK38" s="141">
        <v>1354685</v>
      </c>
      <c r="CL38" s="83">
        <f t="shared" si="7"/>
        <v>66566</v>
      </c>
      <c r="CM38" s="141">
        <v>2534573</v>
      </c>
      <c r="CN38" s="141">
        <v>1845041</v>
      </c>
      <c r="CO38" s="102"/>
      <c r="CP38" s="141">
        <v>322001</v>
      </c>
      <c r="CQ38" s="141">
        <v>41467</v>
      </c>
      <c r="CR38" s="141">
        <v>2812531</v>
      </c>
      <c r="CS38" s="141">
        <v>1155234</v>
      </c>
      <c r="CT38" s="141">
        <v>727568</v>
      </c>
      <c r="CU38" s="141">
        <v>292039</v>
      </c>
      <c r="CV38" s="73">
        <f t="shared" si="8"/>
        <v>624462</v>
      </c>
      <c r="CW38" s="141">
        <v>287064</v>
      </c>
      <c r="CX38" s="141">
        <v>337398</v>
      </c>
      <c r="CY38" s="73">
        <f t="shared" si="9"/>
        <v>283662</v>
      </c>
      <c r="CZ38" s="141">
        <v>234946</v>
      </c>
      <c r="DA38" s="141">
        <v>48716</v>
      </c>
      <c r="DB38" s="73">
        <f t="shared" si="10"/>
        <v>340800</v>
      </c>
      <c r="DC38" s="141">
        <v>52118</v>
      </c>
      <c r="DD38" s="141">
        <v>288682</v>
      </c>
      <c r="DE38" s="141">
        <v>2552014</v>
      </c>
      <c r="DF38" s="141">
        <v>104286</v>
      </c>
      <c r="DG38" s="141">
        <v>2447728</v>
      </c>
      <c r="DH38" s="141">
        <v>0</v>
      </c>
      <c r="DI38" s="141">
        <v>0</v>
      </c>
      <c r="DJ38" s="141">
        <v>0</v>
      </c>
      <c r="DK38" s="141">
        <v>638145</v>
      </c>
      <c r="DL38" s="141">
        <v>257649</v>
      </c>
      <c r="DM38" s="141">
        <v>72817</v>
      </c>
      <c r="DN38" s="141">
        <v>307679</v>
      </c>
      <c r="DO38" s="141">
        <v>27500</v>
      </c>
      <c r="DP38" s="141">
        <v>27500</v>
      </c>
      <c r="DQ38" s="141">
        <v>0</v>
      </c>
      <c r="DR38" s="141">
        <v>0</v>
      </c>
      <c r="DS38" s="141">
        <v>0</v>
      </c>
      <c r="DT38" s="141">
        <v>0</v>
      </c>
      <c r="DU38" s="141">
        <v>0</v>
      </c>
      <c r="DV38" s="141">
        <v>2609065</v>
      </c>
      <c r="DW38" s="141">
        <v>0</v>
      </c>
      <c r="DX38" s="73">
        <f t="shared" si="11"/>
        <v>0</v>
      </c>
      <c r="DY38" s="141">
        <v>0</v>
      </c>
      <c r="DZ38" s="141">
        <v>1118817</v>
      </c>
      <c r="EA38" s="141">
        <v>0</v>
      </c>
      <c r="EB38" s="141">
        <v>645843</v>
      </c>
      <c r="EC38" s="74"/>
      <c r="ED38" s="141">
        <v>844405</v>
      </c>
      <c r="EE38" s="141">
        <v>0</v>
      </c>
      <c r="EF38" s="141">
        <v>22018972</v>
      </c>
      <c r="EG38" s="71"/>
      <c r="EH38" s="141">
        <v>271381</v>
      </c>
      <c r="EI38" s="141">
        <v>11070</v>
      </c>
      <c r="EJ38" s="141">
        <v>260311</v>
      </c>
      <c r="EK38" s="141">
        <v>-63638</v>
      </c>
      <c r="EL38" s="141">
        <v>194011</v>
      </c>
      <c r="EM38" s="71"/>
      <c r="EN38" s="141">
        <v>51254</v>
      </c>
      <c r="EO38" s="141">
        <v>50080</v>
      </c>
      <c r="EP38" s="141">
        <v>28065</v>
      </c>
      <c r="EQ38" s="141">
        <v>4285</v>
      </c>
      <c r="ER38" s="73">
        <f t="shared" si="12"/>
        <v>1566489</v>
      </c>
      <c r="ES38" s="141">
        <v>12569142</v>
      </c>
      <c r="ET38" s="141">
        <v>-1633759</v>
      </c>
      <c r="EU38" s="141">
        <v>3327032</v>
      </c>
      <c r="EV38" s="141">
        <v>1881610</v>
      </c>
      <c r="EW38" s="141">
        <v>2013595</v>
      </c>
      <c r="EX38" s="141">
        <v>1421251</v>
      </c>
      <c r="EY38" s="73">
        <f t="shared" si="13"/>
        <v>94420</v>
      </c>
      <c r="EZ38" s="141">
        <v>94420</v>
      </c>
      <c r="FA38" s="141">
        <v>6242</v>
      </c>
      <c r="FB38" s="141">
        <v>88178</v>
      </c>
      <c r="FC38" s="141">
        <v>0</v>
      </c>
      <c r="FD38" s="141">
        <v>0</v>
      </c>
      <c r="FE38" s="141">
        <v>1863648</v>
      </c>
      <c r="FF38" s="141">
        <v>2617563</v>
      </c>
      <c r="FG38" s="141">
        <v>1110129</v>
      </c>
      <c r="FH38" s="141">
        <v>2027426</v>
      </c>
      <c r="FI38" s="73">
        <f t="shared" si="14"/>
        <v>566585</v>
      </c>
      <c r="FJ38" s="141">
        <v>13931520</v>
      </c>
      <c r="FK38" s="379">
        <f t="shared" si="15"/>
        <v>2.2000000000000002</v>
      </c>
      <c r="FL38" s="141">
        <v>11678759</v>
      </c>
      <c r="FM38" s="141">
        <v>40350</v>
      </c>
      <c r="FN38" s="141">
        <v>5240416</v>
      </c>
      <c r="FO38" s="141">
        <v>10351436</v>
      </c>
      <c r="FP38" s="390">
        <v>0.51200000000000001</v>
      </c>
      <c r="FQ38" s="380">
        <v>96.6</v>
      </c>
      <c r="FR38" s="381">
        <v>26.6</v>
      </c>
      <c r="FS38" s="380">
        <v>12.7</v>
      </c>
      <c r="FT38" s="380">
        <v>11.9</v>
      </c>
      <c r="FU38" s="381">
        <v>13.9</v>
      </c>
      <c r="FV38" s="380">
        <v>14</v>
      </c>
      <c r="FW38" s="382">
        <v>16.899999999999999</v>
      </c>
      <c r="FX38" s="383">
        <v>4</v>
      </c>
      <c r="FY38" s="141">
        <v>15117522</v>
      </c>
      <c r="FZ38" s="384">
        <f t="shared" si="16"/>
        <v>129</v>
      </c>
      <c r="GA38" s="141">
        <v>4622878</v>
      </c>
      <c r="GB38" s="141">
        <v>1908384</v>
      </c>
      <c r="GC38" s="141">
        <v>317048</v>
      </c>
      <c r="GD38" s="141">
        <v>2397446</v>
      </c>
      <c r="GE38" s="107"/>
      <c r="GF38" s="385"/>
      <c r="GG38" s="386"/>
      <c r="GH38" s="380">
        <v>99</v>
      </c>
      <c r="GI38" s="380">
        <v>28.9</v>
      </c>
      <c r="GJ38" s="380">
        <v>97</v>
      </c>
      <c r="GK38" s="141">
        <v>324</v>
      </c>
      <c r="GL38" s="391" t="s">
        <v>646</v>
      </c>
      <c r="GM38" s="391">
        <v>13.09</v>
      </c>
      <c r="GN38" s="117">
        <v>20</v>
      </c>
      <c r="GO38" s="391" t="s">
        <v>646</v>
      </c>
      <c r="GP38" s="392">
        <v>18.09</v>
      </c>
      <c r="GQ38" s="387">
        <v>30</v>
      </c>
      <c r="GR38" s="381">
        <v>4</v>
      </c>
      <c r="GS38" s="388">
        <v>25</v>
      </c>
      <c r="GT38" s="388">
        <v>35</v>
      </c>
      <c r="GU38" s="393">
        <v>29.7</v>
      </c>
      <c r="GV38" s="388">
        <v>350</v>
      </c>
      <c r="GW38" s="394"/>
      <c r="GX38" s="100">
        <f t="shared" si="17"/>
        <v>11719</v>
      </c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  <c r="HW38" s="394"/>
      <c r="HX38" s="394"/>
    </row>
    <row r="39" spans="1:232" s="112" customFormat="1" x14ac:dyDescent="0.15">
      <c r="A39" s="126"/>
      <c r="B39" s="126" t="s">
        <v>67</v>
      </c>
      <c r="C39" s="137">
        <v>787794925</v>
      </c>
      <c r="D39" s="127">
        <f t="shared" si="0"/>
        <v>291056789</v>
      </c>
      <c r="E39" s="137">
        <v>7450675</v>
      </c>
      <c r="F39" s="137">
        <v>283606114</v>
      </c>
      <c r="G39" s="127">
        <f t="shared" si="1"/>
        <v>51170495</v>
      </c>
      <c r="H39" s="137">
        <v>14459821</v>
      </c>
      <c r="I39" s="137">
        <v>36710674</v>
      </c>
      <c r="J39" s="137">
        <v>326784983</v>
      </c>
      <c r="K39" s="137">
        <v>129619547</v>
      </c>
      <c r="L39" s="137">
        <v>146960408</v>
      </c>
      <c r="M39" s="137">
        <v>45126049</v>
      </c>
      <c r="N39" s="137">
        <v>34302050</v>
      </c>
      <c r="O39" s="137">
        <v>67094532</v>
      </c>
      <c r="P39" s="137">
        <v>35444773</v>
      </c>
      <c r="Q39" s="137">
        <v>31649759</v>
      </c>
      <c r="R39" s="137">
        <v>10463034</v>
      </c>
      <c r="S39" s="129">
        <f>SUM(S8:S38)</f>
        <v>0</v>
      </c>
      <c r="T39" s="129">
        <f>SUM(T8:T38)</f>
        <v>162496847</v>
      </c>
      <c r="U39" s="137">
        <v>855727</v>
      </c>
      <c r="V39" s="137">
        <v>9485338</v>
      </c>
      <c r="W39" s="137">
        <v>12475064</v>
      </c>
      <c r="X39" s="137">
        <v>122185164</v>
      </c>
      <c r="Y39" s="137">
        <v>645973</v>
      </c>
      <c r="Z39" s="160"/>
      <c r="AA39" s="137">
        <v>0</v>
      </c>
      <c r="AB39" s="137">
        <v>2398938</v>
      </c>
      <c r="AC39" s="137">
        <v>14450643</v>
      </c>
      <c r="AD39" s="137">
        <v>27033734</v>
      </c>
      <c r="AE39" s="137">
        <v>276818989</v>
      </c>
      <c r="AF39" s="137">
        <v>264993906</v>
      </c>
      <c r="AG39" s="137">
        <v>11825011</v>
      </c>
      <c r="AH39" s="137">
        <v>544147</v>
      </c>
      <c r="AI39" s="137">
        <v>10730356</v>
      </c>
      <c r="AJ39" s="129">
        <f>SUM(AJ8:AJ38)</f>
        <v>31219022</v>
      </c>
      <c r="AK39" s="137">
        <v>23340126</v>
      </c>
      <c r="AL39" s="137">
        <v>7878896</v>
      </c>
      <c r="AM39" s="137">
        <v>571389886</v>
      </c>
      <c r="AN39" s="129">
        <f>SUM(AN8:AN38)</f>
        <v>320227914</v>
      </c>
      <c r="AO39" s="137">
        <v>154178849</v>
      </c>
      <c r="AP39" s="137">
        <v>79698022</v>
      </c>
      <c r="AQ39" s="129">
        <f>SUM(AQ8:AQ38)</f>
        <v>0</v>
      </c>
      <c r="AR39" s="137">
        <v>86351043</v>
      </c>
      <c r="AS39" s="137">
        <v>21473042</v>
      </c>
      <c r="AT39" s="137">
        <v>49498</v>
      </c>
      <c r="AU39" s="137">
        <v>276244</v>
      </c>
      <c r="AV39" s="137">
        <v>186831541</v>
      </c>
      <c r="AW39" s="137">
        <v>128765444</v>
      </c>
      <c r="AX39" s="137">
        <v>36326348</v>
      </c>
      <c r="AY39" s="137">
        <v>3237872</v>
      </c>
      <c r="AZ39" s="137">
        <v>58066097</v>
      </c>
      <c r="BA39" s="137">
        <v>2293514</v>
      </c>
      <c r="BB39" s="137">
        <v>19829048</v>
      </c>
      <c r="BC39" s="137">
        <v>14504440</v>
      </c>
      <c r="BD39" s="137">
        <v>36781387</v>
      </c>
      <c r="BE39" s="137">
        <v>71836886</v>
      </c>
      <c r="BF39" s="137">
        <v>15053899</v>
      </c>
      <c r="BG39" s="137">
        <v>8571581</v>
      </c>
      <c r="BH39" s="137">
        <v>44962510</v>
      </c>
      <c r="BI39" s="137">
        <v>303945</v>
      </c>
      <c r="BJ39" s="137">
        <v>35488025</v>
      </c>
      <c r="BK39" s="137">
        <v>24579284</v>
      </c>
      <c r="BL39" s="137">
        <v>55861157</v>
      </c>
      <c r="BM39" s="137">
        <v>6463646</v>
      </c>
      <c r="BN39" s="137">
        <v>672496</v>
      </c>
      <c r="BO39" s="137">
        <v>10798968</v>
      </c>
      <c r="BP39" s="137">
        <v>123138163</v>
      </c>
      <c r="BQ39" s="127">
        <f t="shared" si="5"/>
        <v>116061000</v>
      </c>
      <c r="BR39" s="127">
        <f t="shared" si="6"/>
        <v>6819363</v>
      </c>
      <c r="BS39" s="137">
        <v>0</v>
      </c>
      <c r="BT39" s="137">
        <v>273900</v>
      </c>
      <c r="BU39" s="137">
        <v>6545463</v>
      </c>
      <c r="BV39" s="137">
        <v>257800</v>
      </c>
      <c r="BW39" s="137">
        <v>2408533391</v>
      </c>
      <c r="BX39" s="129"/>
      <c r="BY39" s="137">
        <v>342185942</v>
      </c>
      <c r="BZ39" s="137">
        <v>209922106</v>
      </c>
      <c r="CA39" s="137">
        <v>18042470</v>
      </c>
      <c r="CB39" s="137">
        <v>54378932</v>
      </c>
      <c r="CC39" s="137">
        <v>802259356</v>
      </c>
      <c r="CD39" s="137">
        <v>261099709</v>
      </c>
      <c r="CE39" s="137">
        <v>1328640</v>
      </c>
      <c r="CF39" s="137">
        <v>303550469</v>
      </c>
      <c r="CG39" s="137">
        <v>203846724</v>
      </c>
      <c r="CH39" s="137">
        <v>5991456</v>
      </c>
      <c r="CI39" s="137">
        <v>26435925</v>
      </c>
      <c r="CJ39" s="137">
        <v>148958775</v>
      </c>
      <c r="CK39" s="137">
        <v>143124812</v>
      </c>
      <c r="CL39" s="129">
        <f>SUM(CL8:CL38)</f>
        <v>5833963</v>
      </c>
      <c r="CM39" s="137">
        <v>303727637</v>
      </c>
      <c r="CN39" s="137">
        <v>209845614</v>
      </c>
      <c r="CO39" s="129"/>
      <c r="CP39" s="137">
        <v>49614870</v>
      </c>
      <c r="CQ39" s="137">
        <v>18261967</v>
      </c>
      <c r="CR39" s="137">
        <v>213795889</v>
      </c>
      <c r="CS39" s="137">
        <v>40894942</v>
      </c>
      <c r="CT39" s="137">
        <v>55178478</v>
      </c>
      <c r="CU39" s="137">
        <v>41388446</v>
      </c>
      <c r="CV39" s="127">
        <f t="shared" si="8"/>
        <v>65987047</v>
      </c>
      <c r="CW39" s="137">
        <v>45176142</v>
      </c>
      <c r="CX39" s="137">
        <v>20810905</v>
      </c>
      <c r="CY39" s="127">
        <f t="shared" si="9"/>
        <v>14780367</v>
      </c>
      <c r="CZ39" s="137">
        <v>9353312</v>
      </c>
      <c r="DA39" s="137">
        <v>5427055</v>
      </c>
      <c r="DB39" s="127">
        <f t="shared" si="10"/>
        <v>47755124</v>
      </c>
      <c r="DC39" s="137">
        <v>34972679</v>
      </c>
      <c r="DD39" s="137">
        <v>12782445</v>
      </c>
      <c r="DE39" s="137">
        <v>210260863</v>
      </c>
      <c r="DF39" s="137">
        <v>80437457</v>
      </c>
      <c r="DG39" s="137">
        <v>124448514</v>
      </c>
      <c r="DH39" s="137">
        <v>1347837</v>
      </c>
      <c r="DI39" s="137">
        <v>3768442</v>
      </c>
      <c r="DJ39" s="137">
        <v>428076</v>
      </c>
      <c r="DK39" s="137">
        <v>98414175</v>
      </c>
      <c r="DL39" s="137">
        <v>19801890</v>
      </c>
      <c r="DM39" s="137">
        <v>9478587</v>
      </c>
      <c r="DN39" s="137">
        <v>69133698</v>
      </c>
      <c r="DO39" s="137">
        <v>4901347</v>
      </c>
      <c r="DP39" s="137">
        <v>4901347</v>
      </c>
      <c r="DQ39" s="137">
        <v>419324</v>
      </c>
      <c r="DR39" s="137">
        <v>1091209</v>
      </c>
      <c r="DS39" s="137">
        <v>6719200</v>
      </c>
      <c r="DT39" s="137">
        <v>0</v>
      </c>
      <c r="DU39" s="137">
        <v>0</v>
      </c>
      <c r="DV39" s="137">
        <v>219140544</v>
      </c>
      <c r="DW39" s="137">
        <v>58146</v>
      </c>
      <c r="DX39" s="127">
        <f t="shared" si="11"/>
        <v>0</v>
      </c>
      <c r="DY39" s="137">
        <v>0</v>
      </c>
      <c r="DZ39" s="137">
        <v>85233152</v>
      </c>
      <c r="EA39" s="137">
        <v>19951</v>
      </c>
      <c r="EB39" s="137">
        <v>54996871</v>
      </c>
      <c r="EC39" s="129"/>
      <c r="ED39" s="137">
        <v>78251119</v>
      </c>
      <c r="EE39" s="137">
        <v>0</v>
      </c>
      <c r="EF39" s="137">
        <v>2369053771</v>
      </c>
      <c r="EG39" s="129"/>
      <c r="EH39" s="137">
        <v>39479620</v>
      </c>
      <c r="EI39" s="137">
        <v>10144887</v>
      </c>
      <c r="EJ39" s="137">
        <v>29334733</v>
      </c>
      <c r="EK39" s="137">
        <v>1906449</v>
      </c>
      <c r="EL39" s="137">
        <v>9595455</v>
      </c>
      <c r="EM39" s="129"/>
      <c r="EN39" s="129">
        <f>SUM(EN8:EN38)</f>
        <v>5083707</v>
      </c>
      <c r="EO39" s="129">
        <f>SUM(EO8:EO38)</f>
        <v>5008504</v>
      </c>
      <c r="EP39" s="137">
        <v>30930564</v>
      </c>
      <c r="EQ39" s="137">
        <v>11953818</v>
      </c>
      <c r="ER39" s="127">
        <f t="shared" si="12"/>
        <v>150222521</v>
      </c>
      <c r="ES39" s="137">
        <v>1265427920</v>
      </c>
      <c r="ET39" s="137">
        <v>-199105875</v>
      </c>
      <c r="EU39" s="137">
        <v>310243916</v>
      </c>
      <c r="EV39" s="137">
        <v>191498378</v>
      </c>
      <c r="EW39" s="137">
        <v>270118157</v>
      </c>
      <c r="EX39" s="137">
        <v>146773376</v>
      </c>
      <c r="EY39" s="127">
        <f t="shared" si="13"/>
        <v>36490193</v>
      </c>
      <c r="EZ39" s="137">
        <v>36381219</v>
      </c>
      <c r="FA39" s="137">
        <v>4817962</v>
      </c>
      <c r="FB39" s="137">
        <v>31385911</v>
      </c>
      <c r="FC39" s="137">
        <v>108974</v>
      </c>
      <c r="FD39" s="137">
        <v>0</v>
      </c>
      <c r="FE39" s="137">
        <v>229321054</v>
      </c>
      <c r="FF39" s="137">
        <v>181752380</v>
      </c>
      <c r="FG39" s="137">
        <v>40272349</v>
      </c>
      <c r="FH39" s="137">
        <v>171441500</v>
      </c>
      <c r="FI39" s="127">
        <f t="shared" si="14"/>
        <v>79139024</v>
      </c>
      <c r="FJ39" s="137">
        <v>1425279600</v>
      </c>
      <c r="FK39" s="396">
        <f t="shared" si="15"/>
        <v>2.5</v>
      </c>
      <c r="FL39" s="137">
        <v>1153348450</v>
      </c>
      <c r="FM39" s="137">
        <v>8175510</v>
      </c>
      <c r="FN39" s="137">
        <v>694555899</v>
      </c>
      <c r="FO39" s="137">
        <v>958857276</v>
      </c>
      <c r="FP39" s="397">
        <v>0.73399999999999999</v>
      </c>
      <c r="FQ39" s="398">
        <v>96.6</v>
      </c>
      <c r="FR39" s="399">
        <v>25.2</v>
      </c>
      <c r="FS39" s="398">
        <v>17.5</v>
      </c>
      <c r="FT39" s="398">
        <v>11.6</v>
      </c>
      <c r="FU39" s="399">
        <v>16.100000000000001</v>
      </c>
      <c r="FV39" s="398">
        <v>11.5</v>
      </c>
      <c r="FW39" s="400">
        <v>13.3</v>
      </c>
      <c r="FX39" s="401">
        <v>2.4</v>
      </c>
      <c r="FY39" s="137">
        <v>1363717898</v>
      </c>
      <c r="FZ39" s="402">
        <f t="shared" si="16"/>
        <v>117.4</v>
      </c>
      <c r="GA39" s="137">
        <v>536758579</v>
      </c>
      <c r="GB39" s="137">
        <v>209427830</v>
      </c>
      <c r="GC39" s="137">
        <v>48682476</v>
      </c>
      <c r="GD39" s="137">
        <v>278648273</v>
      </c>
      <c r="GE39" s="129"/>
      <c r="GF39" s="137">
        <f>SUM(GF8:GF38)</f>
        <v>14382</v>
      </c>
      <c r="GG39" s="403">
        <f>IF(GF39=0,"-",ROUND(GF39/GY39*100,1))</f>
        <v>3.9</v>
      </c>
      <c r="GH39" s="398">
        <v>99.5</v>
      </c>
      <c r="GI39" s="398">
        <v>38.1</v>
      </c>
      <c r="GJ39" s="398">
        <v>98.8</v>
      </c>
      <c r="GK39" s="129">
        <f>SUM(GK8:GK38)</f>
        <v>30267</v>
      </c>
      <c r="GL39" s="404" t="s">
        <v>646</v>
      </c>
      <c r="GM39" s="404" t="s">
        <v>646</v>
      </c>
      <c r="GN39" s="405" t="s">
        <v>646</v>
      </c>
      <c r="GO39" s="404" t="s">
        <v>646</v>
      </c>
      <c r="GP39" s="404" t="s">
        <v>646</v>
      </c>
      <c r="GQ39" s="405" t="s">
        <v>646</v>
      </c>
      <c r="GR39" s="399">
        <v>2.4</v>
      </c>
      <c r="GS39" s="403" t="s">
        <v>646</v>
      </c>
      <c r="GT39" s="403" t="s">
        <v>646</v>
      </c>
      <c r="GU39" s="406" t="s">
        <v>646</v>
      </c>
      <c r="GV39" s="403" t="s">
        <v>646</v>
      </c>
      <c r="GW39" s="407"/>
      <c r="GX39" s="128">
        <f t="shared" si="17"/>
        <v>1161524</v>
      </c>
      <c r="GY39" s="408">
        <f>+GX13+GX16+GX17+GX19+GX23+GX26+GX27+GX30+GX31+GX36</f>
        <v>371819</v>
      </c>
      <c r="GZ39" s="408"/>
      <c r="HA39" s="408"/>
      <c r="HB39" s="408"/>
      <c r="HC39" s="408"/>
      <c r="HD39" s="408"/>
      <c r="HE39" s="408"/>
      <c r="HF39" s="408"/>
      <c r="HG39" s="408"/>
      <c r="HH39" s="408"/>
      <c r="HI39" s="408"/>
      <c r="HJ39" s="408"/>
      <c r="HK39" s="408"/>
      <c r="HL39" s="408"/>
      <c r="HM39" s="408"/>
      <c r="HN39" s="408"/>
      <c r="HO39" s="408"/>
      <c r="HP39" s="408"/>
      <c r="HQ39" s="408"/>
      <c r="HR39" s="408"/>
      <c r="HS39" s="408"/>
      <c r="HT39" s="408"/>
      <c r="HU39" s="408"/>
      <c r="HV39" s="408"/>
      <c r="HW39" s="408"/>
      <c r="HX39" s="408"/>
    </row>
    <row r="40" spans="1:232" x14ac:dyDescent="0.15">
      <c r="B40" s="89" t="s">
        <v>69</v>
      </c>
      <c r="C40" s="141">
        <v>5637207</v>
      </c>
      <c r="D40" s="73">
        <f t="shared" si="0"/>
        <v>1880513</v>
      </c>
      <c r="E40" s="141">
        <v>63782</v>
      </c>
      <c r="F40" s="141">
        <v>1816731</v>
      </c>
      <c r="G40" s="73">
        <f t="shared" si="1"/>
        <v>1062947</v>
      </c>
      <c r="H40" s="141">
        <v>58819</v>
      </c>
      <c r="I40" s="141">
        <v>1004128</v>
      </c>
      <c r="J40" s="141">
        <v>2124709</v>
      </c>
      <c r="K40" s="141">
        <v>692181</v>
      </c>
      <c r="L40" s="141">
        <v>978250</v>
      </c>
      <c r="M40" s="141">
        <v>428042</v>
      </c>
      <c r="N40" s="141">
        <v>120683</v>
      </c>
      <c r="O40" s="141">
        <v>408713</v>
      </c>
      <c r="P40" s="141">
        <v>197710</v>
      </c>
      <c r="Q40" s="141">
        <v>211003</v>
      </c>
      <c r="R40" s="141">
        <v>59206</v>
      </c>
      <c r="S40" s="74"/>
      <c r="T40" s="73">
        <f t="shared" ref="T40:T52" si="18">SUM(U40:AC40)</f>
        <v>967204</v>
      </c>
      <c r="U40" s="141">
        <v>5389</v>
      </c>
      <c r="V40" s="141">
        <v>59832</v>
      </c>
      <c r="W40" s="141">
        <v>78785</v>
      </c>
      <c r="X40" s="141">
        <v>702635</v>
      </c>
      <c r="Y40" s="141">
        <v>44512</v>
      </c>
      <c r="Z40" s="160"/>
      <c r="AA40" s="141">
        <v>0</v>
      </c>
      <c r="AB40" s="141">
        <v>15741</v>
      </c>
      <c r="AC40" s="141">
        <v>60310</v>
      </c>
      <c r="AD40" s="141">
        <v>195087</v>
      </c>
      <c r="AE40" s="141">
        <v>2145082</v>
      </c>
      <c r="AF40" s="141">
        <v>2003229</v>
      </c>
      <c r="AG40" s="141">
        <v>141853</v>
      </c>
      <c r="AH40" s="141">
        <v>2306</v>
      </c>
      <c r="AI40" s="141">
        <v>76876</v>
      </c>
      <c r="AJ40" s="73">
        <f t="shared" ref="AJ40:AJ52" si="19">AK40+AL40</f>
        <v>227281</v>
      </c>
      <c r="AK40" s="141">
        <v>189532</v>
      </c>
      <c r="AL40" s="141">
        <v>37749</v>
      </c>
      <c r="AM40" s="141">
        <v>2866807</v>
      </c>
      <c r="AN40" s="73">
        <f t="shared" ref="AN40:AN52" si="20">SUM(AO40:AR40)</f>
        <v>1361423</v>
      </c>
      <c r="AO40" s="141">
        <v>169909</v>
      </c>
      <c r="AP40" s="141">
        <v>665209</v>
      </c>
      <c r="AQ40" s="74"/>
      <c r="AR40" s="141">
        <v>526305</v>
      </c>
      <c r="AS40" s="141">
        <v>162654</v>
      </c>
      <c r="AT40" s="141">
        <v>0</v>
      </c>
      <c r="AU40" s="141">
        <v>0</v>
      </c>
      <c r="AV40" s="141">
        <v>1123408</v>
      </c>
      <c r="AW40" s="141">
        <v>753813</v>
      </c>
      <c r="AX40" s="141">
        <v>292702</v>
      </c>
      <c r="AY40" s="141">
        <v>0</v>
      </c>
      <c r="AZ40" s="141">
        <v>369595</v>
      </c>
      <c r="BA40" s="141">
        <v>100</v>
      </c>
      <c r="BB40" s="141">
        <v>9828</v>
      </c>
      <c r="BC40" s="141">
        <v>0</v>
      </c>
      <c r="BD40" s="141">
        <v>238715</v>
      </c>
      <c r="BE40" s="141">
        <v>713676</v>
      </c>
      <c r="BF40" s="141">
        <v>0</v>
      </c>
      <c r="BG40" s="141">
        <v>18615</v>
      </c>
      <c r="BH40" s="141">
        <v>663131</v>
      </c>
      <c r="BI40" s="141">
        <v>0</v>
      </c>
      <c r="BJ40" s="141">
        <v>79056</v>
      </c>
      <c r="BK40" s="141">
        <v>58855</v>
      </c>
      <c r="BL40" s="141">
        <v>334694</v>
      </c>
      <c r="BM40" s="141">
        <v>116</v>
      </c>
      <c r="BN40" s="141">
        <v>0</v>
      </c>
      <c r="BO40" s="141">
        <v>0</v>
      </c>
      <c r="BP40" s="141">
        <v>2498099</v>
      </c>
      <c r="BQ40" s="73">
        <f t="shared" si="5"/>
        <v>2464800</v>
      </c>
      <c r="BR40" s="73">
        <f t="shared" si="6"/>
        <v>33299</v>
      </c>
      <c r="BS40" s="141">
        <v>0</v>
      </c>
      <c r="BT40" s="141">
        <v>0</v>
      </c>
      <c r="BU40" s="141">
        <v>33299</v>
      </c>
      <c r="BV40" s="141">
        <v>0</v>
      </c>
      <c r="BW40" s="141">
        <v>17174532</v>
      </c>
      <c r="BX40" s="71"/>
      <c r="BY40" s="141">
        <v>2632950</v>
      </c>
      <c r="BZ40" s="141">
        <v>1424301</v>
      </c>
      <c r="CA40" s="141">
        <v>38065</v>
      </c>
      <c r="CB40" s="141">
        <v>653798</v>
      </c>
      <c r="CC40" s="141">
        <v>4154964</v>
      </c>
      <c r="CD40" s="141">
        <v>1583815</v>
      </c>
      <c r="CE40" s="141">
        <v>5601</v>
      </c>
      <c r="CF40" s="141">
        <v>2167710</v>
      </c>
      <c r="CG40" s="141">
        <v>231104</v>
      </c>
      <c r="CH40" s="141">
        <v>3945</v>
      </c>
      <c r="CI40" s="141">
        <v>162789</v>
      </c>
      <c r="CJ40" s="141">
        <v>1166883</v>
      </c>
      <c r="CK40" s="141">
        <v>1133141</v>
      </c>
      <c r="CL40" s="83">
        <f t="shared" ref="CL40:CL52" si="21">IF(CK40="","",CJ40-CK40)</f>
        <v>33742</v>
      </c>
      <c r="CM40" s="141">
        <v>2596201</v>
      </c>
      <c r="CN40" s="141">
        <v>1656712</v>
      </c>
      <c r="CO40" s="102"/>
      <c r="CP40" s="141">
        <v>526800</v>
      </c>
      <c r="CQ40" s="141">
        <v>85248</v>
      </c>
      <c r="CR40" s="141">
        <v>757622</v>
      </c>
      <c r="CS40" s="141">
        <v>2169</v>
      </c>
      <c r="CT40" s="141">
        <v>54906</v>
      </c>
      <c r="CU40" s="141">
        <v>51750</v>
      </c>
      <c r="CV40" s="73">
        <f t="shared" si="8"/>
        <v>339383</v>
      </c>
      <c r="CW40" s="141">
        <v>0</v>
      </c>
      <c r="CX40" s="141">
        <v>339383</v>
      </c>
      <c r="CY40" s="73">
        <f t="shared" si="9"/>
        <v>0</v>
      </c>
      <c r="CZ40" s="141">
        <v>0</v>
      </c>
      <c r="DA40" s="141">
        <v>0</v>
      </c>
      <c r="DB40" s="73">
        <f t="shared" si="10"/>
        <v>337000</v>
      </c>
      <c r="DC40" s="141">
        <v>0</v>
      </c>
      <c r="DD40" s="141">
        <v>337000</v>
      </c>
      <c r="DE40" s="141">
        <v>3532617</v>
      </c>
      <c r="DF40" s="141">
        <v>677698</v>
      </c>
      <c r="DG40" s="141">
        <v>2854135</v>
      </c>
      <c r="DH40" s="141">
        <v>0</v>
      </c>
      <c r="DI40" s="141">
        <v>0</v>
      </c>
      <c r="DJ40" s="141">
        <v>0</v>
      </c>
      <c r="DK40" s="141">
        <v>652834</v>
      </c>
      <c r="DL40" s="141">
        <v>31258</v>
      </c>
      <c r="DM40" s="141">
        <v>49808</v>
      </c>
      <c r="DN40" s="141">
        <v>571768</v>
      </c>
      <c r="DO40" s="141">
        <v>104767</v>
      </c>
      <c r="DP40" s="141">
        <v>104767</v>
      </c>
      <c r="DQ40" s="141">
        <v>1767</v>
      </c>
      <c r="DR40" s="141">
        <v>0</v>
      </c>
      <c r="DS40" s="141">
        <v>0</v>
      </c>
      <c r="DT40" s="141">
        <v>0</v>
      </c>
      <c r="DU40" s="141">
        <v>0</v>
      </c>
      <c r="DV40" s="141">
        <v>1271527</v>
      </c>
      <c r="DW40" s="141">
        <v>0</v>
      </c>
      <c r="DX40" s="73">
        <f t="shared" si="11"/>
        <v>0</v>
      </c>
      <c r="DY40" s="141">
        <v>0</v>
      </c>
      <c r="DZ40" s="141">
        <v>526937</v>
      </c>
      <c r="EA40" s="141">
        <v>0</v>
      </c>
      <c r="EB40" s="141">
        <v>263460</v>
      </c>
      <c r="EC40" s="74"/>
      <c r="ED40" s="141">
        <v>479682</v>
      </c>
      <c r="EE40" s="141">
        <v>0</v>
      </c>
      <c r="EF40" s="141">
        <v>16955613</v>
      </c>
      <c r="EG40" s="71"/>
      <c r="EH40" s="141">
        <v>218919</v>
      </c>
      <c r="EI40" s="141">
        <v>6054</v>
      </c>
      <c r="EJ40" s="141">
        <v>212865</v>
      </c>
      <c r="EK40" s="141">
        <v>154010</v>
      </c>
      <c r="EL40" s="141">
        <v>185268</v>
      </c>
      <c r="EM40" s="71"/>
      <c r="EN40" s="141">
        <v>30927</v>
      </c>
      <c r="EO40" s="141">
        <v>32247</v>
      </c>
      <c r="EP40" s="141">
        <v>597007</v>
      </c>
      <c r="EQ40" s="141">
        <v>6146</v>
      </c>
      <c r="ER40" s="73">
        <f t="shared" si="12"/>
        <v>980037</v>
      </c>
      <c r="ES40" s="141">
        <v>9006092</v>
      </c>
      <c r="ET40" s="141">
        <v>-1614183</v>
      </c>
      <c r="EU40" s="141">
        <v>2337738</v>
      </c>
      <c r="EV40" s="141">
        <v>1307459</v>
      </c>
      <c r="EW40" s="141">
        <v>1479480</v>
      </c>
      <c r="EX40" s="141">
        <v>1127901</v>
      </c>
      <c r="EY40" s="73">
        <f t="shared" si="13"/>
        <v>860762</v>
      </c>
      <c r="EZ40" s="141">
        <v>860762</v>
      </c>
      <c r="FA40" s="141">
        <v>177510</v>
      </c>
      <c r="FB40" s="141">
        <v>682468</v>
      </c>
      <c r="FC40" s="141">
        <v>0</v>
      </c>
      <c r="FD40" s="141">
        <v>0</v>
      </c>
      <c r="FE40" s="141">
        <v>2035924</v>
      </c>
      <c r="FF40" s="141">
        <v>718731</v>
      </c>
      <c r="FG40" s="141">
        <v>2169</v>
      </c>
      <c r="FH40" s="141">
        <v>1030531</v>
      </c>
      <c r="FI40" s="73">
        <f t="shared" si="14"/>
        <v>810289</v>
      </c>
      <c r="FJ40" s="141">
        <v>10401356</v>
      </c>
      <c r="FK40" s="379">
        <f t="shared" si="15"/>
        <v>2.6</v>
      </c>
      <c r="FL40" s="141">
        <v>8076222</v>
      </c>
      <c r="FM40" s="141">
        <v>33299</v>
      </c>
      <c r="FN40" s="141">
        <v>4741625</v>
      </c>
      <c r="FO40" s="141">
        <v>6715822</v>
      </c>
      <c r="FP40" s="390">
        <v>0.68600000000000005</v>
      </c>
      <c r="FQ40" s="380">
        <v>93.7</v>
      </c>
      <c r="FR40" s="381">
        <v>27.4</v>
      </c>
      <c r="FS40" s="380">
        <v>13</v>
      </c>
      <c r="FT40" s="380">
        <v>13.2</v>
      </c>
      <c r="FU40" s="381">
        <v>22.6</v>
      </c>
      <c r="FV40" s="380">
        <v>4.8</v>
      </c>
      <c r="FW40" s="382">
        <v>11.7</v>
      </c>
      <c r="FX40" s="383">
        <v>5.8</v>
      </c>
      <c r="FY40" s="141">
        <v>13021937</v>
      </c>
      <c r="FZ40" s="384">
        <f t="shared" si="16"/>
        <v>160.6</v>
      </c>
      <c r="GA40" s="141">
        <v>6195223</v>
      </c>
      <c r="GB40" s="141">
        <v>2319898</v>
      </c>
      <c r="GC40" s="141">
        <v>1044336</v>
      </c>
      <c r="GD40" s="141">
        <v>2830989</v>
      </c>
      <c r="GE40" s="107"/>
      <c r="GF40" s="385"/>
      <c r="GG40" s="386"/>
      <c r="GH40" s="380">
        <v>99.9</v>
      </c>
      <c r="GI40" s="380">
        <v>3.1</v>
      </c>
      <c r="GJ40" s="380">
        <v>97.4</v>
      </c>
      <c r="GK40" s="141">
        <v>237</v>
      </c>
      <c r="GL40" s="391" t="s">
        <v>646</v>
      </c>
      <c r="GM40" s="391">
        <v>13.72</v>
      </c>
      <c r="GN40" s="117">
        <v>20</v>
      </c>
      <c r="GO40" s="391" t="s">
        <v>646</v>
      </c>
      <c r="GP40" s="392">
        <v>18.72</v>
      </c>
      <c r="GQ40" s="387">
        <v>30</v>
      </c>
      <c r="GR40" s="381">
        <v>5.8</v>
      </c>
      <c r="GS40" s="388">
        <v>25</v>
      </c>
      <c r="GT40" s="388">
        <v>35</v>
      </c>
      <c r="GU40" s="393" t="s">
        <v>646</v>
      </c>
      <c r="GV40" s="388">
        <v>350</v>
      </c>
      <c r="GW40" s="394"/>
      <c r="GX40" s="100">
        <f t="shared" si="17"/>
        <v>8110</v>
      </c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  <c r="HW40" s="394"/>
      <c r="HX40" s="394"/>
    </row>
    <row r="41" spans="1:232" x14ac:dyDescent="0.15">
      <c r="B41" s="89" t="s">
        <v>71</v>
      </c>
      <c r="C41" s="141">
        <v>1564818</v>
      </c>
      <c r="D41" s="73">
        <f t="shared" si="0"/>
        <v>834315</v>
      </c>
      <c r="E41" s="141">
        <v>28665</v>
      </c>
      <c r="F41" s="141">
        <v>805650</v>
      </c>
      <c r="G41" s="73">
        <f t="shared" si="1"/>
        <v>36513</v>
      </c>
      <c r="H41" s="141">
        <v>23408</v>
      </c>
      <c r="I41" s="141">
        <v>13105</v>
      </c>
      <c r="J41" s="141">
        <v>604041</v>
      </c>
      <c r="K41" s="141">
        <v>163472</v>
      </c>
      <c r="L41" s="141">
        <v>317172</v>
      </c>
      <c r="M41" s="141">
        <v>123397</v>
      </c>
      <c r="N41" s="141">
        <v>46434</v>
      </c>
      <c r="O41" s="141">
        <v>0</v>
      </c>
      <c r="P41" s="141">
        <v>0</v>
      </c>
      <c r="Q41" s="141">
        <v>0</v>
      </c>
      <c r="R41" s="141">
        <v>61204</v>
      </c>
      <c r="S41" s="74"/>
      <c r="T41" s="73">
        <f t="shared" si="18"/>
        <v>514216</v>
      </c>
      <c r="U41" s="141">
        <v>2770</v>
      </c>
      <c r="V41" s="141">
        <v>30547</v>
      </c>
      <c r="W41" s="141">
        <v>39952</v>
      </c>
      <c r="X41" s="141">
        <v>395570</v>
      </c>
      <c r="Y41" s="141">
        <v>7460</v>
      </c>
      <c r="Z41" s="160"/>
      <c r="AA41" s="141">
        <v>0</v>
      </c>
      <c r="AB41" s="141">
        <v>15645</v>
      </c>
      <c r="AC41" s="141">
        <v>22272</v>
      </c>
      <c r="AD41" s="141">
        <v>96838</v>
      </c>
      <c r="AE41" s="141">
        <v>3112027</v>
      </c>
      <c r="AF41" s="141">
        <v>2874528</v>
      </c>
      <c r="AG41" s="141">
        <v>237499</v>
      </c>
      <c r="AH41" s="141">
        <v>2116</v>
      </c>
      <c r="AI41" s="141">
        <v>42179</v>
      </c>
      <c r="AJ41" s="73">
        <f t="shared" si="19"/>
        <v>54718</v>
      </c>
      <c r="AK41" s="141">
        <v>42409</v>
      </c>
      <c r="AL41" s="141">
        <v>12309</v>
      </c>
      <c r="AM41" s="141">
        <v>1122564</v>
      </c>
      <c r="AN41" s="73">
        <f t="shared" si="20"/>
        <v>229591</v>
      </c>
      <c r="AO41" s="141">
        <v>0</v>
      </c>
      <c r="AP41" s="141">
        <v>8007</v>
      </c>
      <c r="AQ41" s="74"/>
      <c r="AR41" s="141">
        <v>221584</v>
      </c>
      <c r="AS41" s="141">
        <v>206725</v>
      </c>
      <c r="AT41" s="141">
        <v>0</v>
      </c>
      <c r="AU41" s="141">
        <v>0</v>
      </c>
      <c r="AV41" s="141">
        <v>509981</v>
      </c>
      <c r="AW41" s="141">
        <v>281142</v>
      </c>
      <c r="AX41" s="141">
        <v>0</v>
      </c>
      <c r="AY41" s="141">
        <v>3630</v>
      </c>
      <c r="AZ41" s="141">
        <v>228839</v>
      </c>
      <c r="BA41" s="141">
        <v>0</v>
      </c>
      <c r="BB41" s="141">
        <v>16439</v>
      </c>
      <c r="BC41" s="141">
        <v>427</v>
      </c>
      <c r="BD41" s="141">
        <v>11881</v>
      </c>
      <c r="BE41" s="141">
        <v>501430</v>
      </c>
      <c r="BF41" s="141">
        <v>448165</v>
      </c>
      <c r="BG41" s="141">
        <v>42509</v>
      </c>
      <c r="BH41" s="141">
        <v>10756</v>
      </c>
      <c r="BI41" s="141">
        <v>0</v>
      </c>
      <c r="BJ41" s="141">
        <v>576299</v>
      </c>
      <c r="BK41" s="141">
        <v>439054</v>
      </c>
      <c r="BL41" s="141">
        <v>145586</v>
      </c>
      <c r="BM41" s="141">
        <v>3412</v>
      </c>
      <c r="BN41" s="141">
        <v>0</v>
      </c>
      <c r="BO41" s="141">
        <v>0</v>
      </c>
      <c r="BP41" s="141">
        <v>615978</v>
      </c>
      <c r="BQ41" s="73">
        <f t="shared" si="5"/>
        <v>601200</v>
      </c>
      <c r="BR41" s="73">
        <f t="shared" si="6"/>
        <v>14778</v>
      </c>
      <c r="BS41" s="141">
        <v>0</v>
      </c>
      <c r="BT41" s="141">
        <v>0</v>
      </c>
      <c r="BU41" s="141">
        <v>14778</v>
      </c>
      <c r="BV41" s="141">
        <v>0</v>
      </c>
      <c r="BW41" s="141">
        <v>8948274</v>
      </c>
      <c r="BX41" s="71"/>
      <c r="BY41" s="141">
        <v>1903448</v>
      </c>
      <c r="BZ41" s="141">
        <v>1005165</v>
      </c>
      <c r="CA41" s="141">
        <v>151547</v>
      </c>
      <c r="CB41" s="141">
        <v>389991</v>
      </c>
      <c r="CC41" s="141">
        <v>846282</v>
      </c>
      <c r="CD41" s="141">
        <v>610159</v>
      </c>
      <c r="CE41" s="141">
        <v>0</v>
      </c>
      <c r="CF41" s="141">
        <v>223314</v>
      </c>
      <c r="CG41" s="141">
        <v>0</v>
      </c>
      <c r="CH41" s="141">
        <v>475</v>
      </c>
      <c r="CI41" s="141">
        <v>12334</v>
      </c>
      <c r="CJ41" s="141">
        <v>578092</v>
      </c>
      <c r="CK41" s="141">
        <v>559606</v>
      </c>
      <c r="CL41" s="83">
        <f t="shared" si="21"/>
        <v>18486</v>
      </c>
      <c r="CM41" s="141">
        <v>1194306</v>
      </c>
      <c r="CN41" s="141">
        <v>777298</v>
      </c>
      <c r="CO41" s="102"/>
      <c r="CP41" s="141">
        <v>202587</v>
      </c>
      <c r="CQ41" s="141">
        <v>165380</v>
      </c>
      <c r="CR41" s="141">
        <v>1274070</v>
      </c>
      <c r="CS41" s="141">
        <v>330622</v>
      </c>
      <c r="CT41" s="141">
        <v>278002</v>
      </c>
      <c r="CU41" s="141">
        <v>265590</v>
      </c>
      <c r="CV41" s="73">
        <f t="shared" si="8"/>
        <v>137760</v>
      </c>
      <c r="CW41" s="141">
        <v>137760</v>
      </c>
      <c r="CX41" s="141">
        <v>0</v>
      </c>
      <c r="CY41" s="73">
        <f t="shared" si="9"/>
        <v>0</v>
      </c>
      <c r="CZ41" s="141">
        <v>0</v>
      </c>
      <c r="DA41" s="141">
        <v>0</v>
      </c>
      <c r="DB41" s="73">
        <f t="shared" si="10"/>
        <v>137760</v>
      </c>
      <c r="DC41" s="141">
        <v>137760</v>
      </c>
      <c r="DD41" s="141">
        <v>0</v>
      </c>
      <c r="DE41" s="141">
        <v>883638</v>
      </c>
      <c r="DF41" s="141">
        <v>402818</v>
      </c>
      <c r="DG41" s="141">
        <v>369239</v>
      </c>
      <c r="DH41" s="141">
        <v>26870</v>
      </c>
      <c r="DI41" s="141">
        <v>0</v>
      </c>
      <c r="DJ41" s="141">
        <v>0</v>
      </c>
      <c r="DK41" s="141">
        <v>488130</v>
      </c>
      <c r="DL41" s="141">
        <v>440915</v>
      </c>
      <c r="DM41" s="141">
        <v>33395</v>
      </c>
      <c r="DN41" s="141">
        <v>13820</v>
      </c>
      <c r="DO41" s="141">
        <v>0</v>
      </c>
      <c r="DP41" s="141">
        <v>0</v>
      </c>
      <c r="DQ41" s="141">
        <v>0</v>
      </c>
      <c r="DR41" s="141">
        <v>0</v>
      </c>
      <c r="DS41" s="141">
        <v>600</v>
      </c>
      <c r="DT41" s="141">
        <v>0</v>
      </c>
      <c r="DU41" s="141">
        <v>0</v>
      </c>
      <c r="DV41" s="141">
        <v>1044695</v>
      </c>
      <c r="DW41" s="141">
        <v>0</v>
      </c>
      <c r="DX41" s="73">
        <f t="shared" si="11"/>
        <v>0</v>
      </c>
      <c r="DY41" s="141">
        <v>0</v>
      </c>
      <c r="DZ41" s="141">
        <v>473800</v>
      </c>
      <c r="EA41" s="141">
        <v>0</v>
      </c>
      <c r="EB41" s="141">
        <v>182372</v>
      </c>
      <c r="EC41" s="74"/>
      <c r="ED41" s="141">
        <v>349523</v>
      </c>
      <c r="EE41" s="141">
        <v>0</v>
      </c>
      <c r="EF41" s="141">
        <v>8378641</v>
      </c>
      <c r="EG41" s="71"/>
      <c r="EH41" s="141">
        <v>569633</v>
      </c>
      <c r="EI41" s="141">
        <v>48626</v>
      </c>
      <c r="EJ41" s="141">
        <v>521007</v>
      </c>
      <c r="EK41" s="141">
        <v>81953</v>
      </c>
      <c r="EL41" s="141">
        <v>74703</v>
      </c>
      <c r="EM41" s="71"/>
      <c r="EN41" s="141">
        <v>18279</v>
      </c>
      <c r="EO41" s="141">
        <v>17804</v>
      </c>
      <c r="EP41" s="141">
        <v>491399</v>
      </c>
      <c r="EQ41" s="141">
        <v>145</v>
      </c>
      <c r="ER41" s="73">
        <f t="shared" si="12"/>
        <v>968391</v>
      </c>
      <c r="ES41" s="141">
        <v>5351219</v>
      </c>
      <c r="ET41" s="141">
        <v>-1472597</v>
      </c>
      <c r="EU41" s="141">
        <v>1743707</v>
      </c>
      <c r="EV41" s="141">
        <v>915773</v>
      </c>
      <c r="EW41" s="141">
        <v>290471</v>
      </c>
      <c r="EX41" s="141">
        <v>578092</v>
      </c>
      <c r="EY41" s="73">
        <f t="shared" si="13"/>
        <v>162787</v>
      </c>
      <c r="EZ41" s="141">
        <v>162787</v>
      </c>
      <c r="FA41" s="141">
        <v>2056</v>
      </c>
      <c r="FB41" s="141">
        <v>160348</v>
      </c>
      <c r="FC41" s="141">
        <v>0</v>
      </c>
      <c r="FD41" s="141">
        <v>0</v>
      </c>
      <c r="FE41" s="141">
        <v>942849</v>
      </c>
      <c r="FF41" s="141">
        <v>1052279</v>
      </c>
      <c r="FG41" s="141">
        <v>207322</v>
      </c>
      <c r="FH41" s="141">
        <v>865795</v>
      </c>
      <c r="FI41" s="73">
        <f t="shared" si="14"/>
        <v>618203</v>
      </c>
      <c r="FJ41" s="141">
        <v>6254183</v>
      </c>
      <c r="FK41" s="379">
        <f t="shared" si="15"/>
        <v>10.199999999999999</v>
      </c>
      <c r="FL41" s="141">
        <v>5095845</v>
      </c>
      <c r="FM41" s="141">
        <v>14778</v>
      </c>
      <c r="FN41" s="141">
        <v>1780688</v>
      </c>
      <c r="FO41" s="141">
        <v>4667018</v>
      </c>
      <c r="FP41" s="390">
        <v>0.39200000000000002</v>
      </c>
      <c r="FQ41" s="380">
        <v>96.4</v>
      </c>
      <c r="FR41" s="381">
        <v>32.9</v>
      </c>
      <c r="FS41" s="380">
        <v>4.0999999999999996</v>
      </c>
      <c r="FT41" s="380">
        <v>11.2</v>
      </c>
      <c r="FU41" s="381">
        <v>15</v>
      </c>
      <c r="FV41" s="380">
        <v>14.9</v>
      </c>
      <c r="FW41" s="382">
        <v>15.5</v>
      </c>
      <c r="FX41" s="383">
        <v>5.6</v>
      </c>
      <c r="FY41" s="141">
        <v>5216071</v>
      </c>
      <c r="FZ41" s="384">
        <f t="shared" si="16"/>
        <v>102.1</v>
      </c>
      <c r="GA41" s="141">
        <v>2528916</v>
      </c>
      <c r="GB41" s="141">
        <v>1736989</v>
      </c>
      <c r="GC41" s="141">
        <v>93201</v>
      </c>
      <c r="GD41" s="141">
        <v>698726</v>
      </c>
      <c r="GE41" s="107"/>
      <c r="GF41" s="385"/>
      <c r="GG41" s="386"/>
      <c r="GH41" s="380">
        <v>99.3</v>
      </c>
      <c r="GI41" s="380">
        <v>27</v>
      </c>
      <c r="GJ41" s="380">
        <v>97.4</v>
      </c>
      <c r="GK41" s="141">
        <v>148</v>
      </c>
      <c r="GL41" s="391" t="s">
        <v>646</v>
      </c>
      <c r="GM41" s="391">
        <v>14.93</v>
      </c>
      <c r="GN41" s="117">
        <v>20</v>
      </c>
      <c r="GO41" s="391" t="s">
        <v>646</v>
      </c>
      <c r="GP41" s="392">
        <v>19.93</v>
      </c>
      <c r="GQ41" s="387">
        <v>30</v>
      </c>
      <c r="GR41" s="381">
        <v>5.6</v>
      </c>
      <c r="GS41" s="388">
        <v>25</v>
      </c>
      <c r="GT41" s="388">
        <v>35</v>
      </c>
      <c r="GU41" s="393" t="s">
        <v>646</v>
      </c>
      <c r="GV41" s="388">
        <v>350</v>
      </c>
      <c r="GW41" s="394"/>
      <c r="GX41" s="100">
        <f t="shared" si="17"/>
        <v>5111</v>
      </c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  <c r="HW41" s="394"/>
      <c r="HX41" s="394"/>
    </row>
    <row r="42" spans="1:232" x14ac:dyDescent="0.15">
      <c r="B42" s="89" t="s">
        <v>73</v>
      </c>
      <c r="C42" s="141">
        <v>1022879</v>
      </c>
      <c r="D42" s="73">
        <f t="shared" si="0"/>
        <v>336898</v>
      </c>
      <c r="E42" s="141">
        <v>13995</v>
      </c>
      <c r="F42" s="141">
        <v>322903</v>
      </c>
      <c r="G42" s="73">
        <f t="shared" si="1"/>
        <v>43426</v>
      </c>
      <c r="H42" s="141">
        <v>22810</v>
      </c>
      <c r="I42" s="141">
        <v>20616</v>
      </c>
      <c r="J42" s="141">
        <v>536044</v>
      </c>
      <c r="K42" s="141">
        <v>104515</v>
      </c>
      <c r="L42" s="141">
        <v>214870</v>
      </c>
      <c r="M42" s="141">
        <v>216601</v>
      </c>
      <c r="N42" s="141">
        <v>55649</v>
      </c>
      <c r="O42" s="141">
        <v>0</v>
      </c>
      <c r="P42" s="141">
        <v>0</v>
      </c>
      <c r="Q42" s="141">
        <v>0</v>
      </c>
      <c r="R42" s="141">
        <v>67712</v>
      </c>
      <c r="S42" s="74"/>
      <c r="T42" s="73">
        <f t="shared" si="18"/>
        <v>312756</v>
      </c>
      <c r="U42" s="141">
        <v>1077</v>
      </c>
      <c r="V42" s="141">
        <v>11894</v>
      </c>
      <c r="W42" s="141">
        <v>15570</v>
      </c>
      <c r="X42" s="141">
        <v>219090</v>
      </c>
      <c r="Y42" s="141">
        <v>23964</v>
      </c>
      <c r="Z42" s="160"/>
      <c r="AA42" s="141">
        <v>0</v>
      </c>
      <c r="AB42" s="141">
        <v>14756</v>
      </c>
      <c r="AC42" s="141">
        <v>26405</v>
      </c>
      <c r="AD42" s="141">
        <v>36274</v>
      </c>
      <c r="AE42" s="141">
        <v>2680253</v>
      </c>
      <c r="AF42" s="141">
        <v>2399882</v>
      </c>
      <c r="AG42" s="141">
        <v>280371</v>
      </c>
      <c r="AH42" s="141">
        <v>1102</v>
      </c>
      <c r="AI42" s="141">
        <v>17637</v>
      </c>
      <c r="AJ42" s="73">
        <f t="shared" si="19"/>
        <v>74932</v>
      </c>
      <c r="AK42" s="141">
        <v>43054</v>
      </c>
      <c r="AL42" s="141">
        <v>31878</v>
      </c>
      <c r="AM42" s="141">
        <v>535442</v>
      </c>
      <c r="AN42" s="73">
        <f t="shared" si="20"/>
        <v>159765</v>
      </c>
      <c r="AO42" s="141">
        <v>0</v>
      </c>
      <c r="AP42" s="141">
        <v>0</v>
      </c>
      <c r="AQ42" s="74"/>
      <c r="AR42" s="141">
        <v>159765</v>
      </c>
      <c r="AS42" s="141">
        <v>0</v>
      </c>
      <c r="AT42" s="141">
        <v>5959</v>
      </c>
      <c r="AU42" s="141">
        <v>0</v>
      </c>
      <c r="AV42" s="141">
        <v>828408</v>
      </c>
      <c r="AW42" s="141">
        <v>566822</v>
      </c>
      <c r="AX42" s="141">
        <v>0</v>
      </c>
      <c r="AY42" s="141">
        <v>0</v>
      </c>
      <c r="AZ42" s="141">
        <v>261586</v>
      </c>
      <c r="BA42" s="141">
        <v>0</v>
      </c>
      <c r="BB42" s="141">
        <v>7071</v>
      </c>
      <c r="BC42" s="141">
        <v>714</v>
      </c>
      <c r="BD42" s="141">
        <v>35626</v>
      </c>
      <c r="BE42" s="141">
        <v>464014</v>
      </c>
      <c r="BF42" s="141">
        <v>250000</v>
      </c>
      <c r="BG42" s="141">
        <v>0</v>
      </c>
      <c r="BH42" s="141">
        <v>90565</v>
      </c>
      <c r="BI42" s="141">
        <v>0</v>
      </c>
      <c r="BJ42" s="141">
        <v>176286</v>
      </c>
      <c r="BK42" s="141">
        <v>157023</v>
      </c>
      <c r="BL42" s="141">
        <v>157931</v>
      </c>
      <c r="BM42" s="141">
        <v>0</v>
      </c>
      <c r="BN42" s="141">
        <v>0</v>
      </c>
      <c r="BO42" s="141">
        <v>0</v>
      </c>
      <c r="BP42" s="141">
        <v>439558</v>
      </c>
      <c r="BQ42" s="73">
        <f t="shared" si="5"/>
        <v>429700</v>
      </c>
      <c r="BR42" s="73">
        <f t="shared" si="6"/>
        <v>9858</v>
      </c>
      <c r="BS42" s="141">
        <v>0</v>
      </c>
      <c r="BT42" s="141">
        <v>0</v>
      </c>
      <c r="BU42" s="141">
        <v>9858</v>
      </c>
      <c r="BV42" s="141">
        <v>0</v>
      </c>
      <c r="BW42" s="141">
        <v>6857881</v>
      </c>
      <c r="BX42" s="71"/>
      <c r="BY42" s="141">
        <v>1082674</v>
      </c>
      <c r="BZ42" s="141">
        <v>535387</v>
      </c>
      <c r="CA42" s="141">
        <v>76511</v>
      </c>
      <c r="CB42" s="141">
        <v>217423</v>
      </c>
      <c r="CC42" s="141">
        <v>680756</v>
      </c>
      <c r="CD42" s="141">
        <v>475338</v>
      </c>
      <c r="CE42" s="141">
        <v>0</v>
      </c>
      <c r="CF42" s="141">
        <v>171595</v>
      </c>
      <c r="CG42" s="141">
        <v>0</v>
      </c>
      <c r="CH42" s="141">
        <v>8446</v>
      </c>
      <c r="CI42" s="141">
        <v>25377</v>
      </c>
      <c r="CJ42" s="141">
        <v>575991</v>
      </c>
      <c r="CK42" s="141">
        <v>540775</v>
      </c>
      <c r="CL42" s="83">
        <f t="shared" si="21"/>
        <v>35216</v>
      </c>
      <c r="CM42" s="141">
        <v>1383806</v>
      </c>
      <c r="CN42" s="141">
        <v>755045</v>
      </c>
      <c r="CO42" s="102"/>
      <c r="CP42" s="141">
        <v>176099</v>
      </c>
      <c r="CQ42" s="141">
        <v>15402</v>
      </c>
      <c r="CR42" s="141">
        <v>1455179</v>
      </c>
      <c r="CS42" s="141">
        <v>134144</v>
      </c>
      <c r="CT42" s="141">
        <v>602084</v>
      </c>
      <c r="CU42" s="141">
        <v>135866</v>
      </c>
      <c r="CV42" s="73">
        <f t="shared" si="8"/>
        <v>145000</v>
      </c>
      <c r="CW42" s="141">
        <v>0</v>
      </c>
      <c r="CX42" s="141">
        <v>145000</v>
      </c>
      <c r="CY42" s="73">
        <f t="shared" si="9"/>
        <v>0</v>
      </c>
      <c r="CZ42" s="141">
        <v>0</v>
      </c>
      <c r="DA42" s="141">
        <v>0</v>
      </c>
      <c r="DB42" s="73">
        <f t="shared" si="10"/>
        <v>145000</v>
      </c>
      <c r="DC42" s="141">
        <v>0</v>
      </c>
      <c r="DD42" s="141">
        <v>145000</v>
      </c>
      <c r="DE42" s="141">
        <v>307100</v>
      </c>
      <c r="DF42" s="141">
        <v>29916</v>
      </c>
      <c r="DG42" s="141">
        <v>277184</v>
      </c>
      <c r="DH42" s="141">
        <v>0</v>
      </c>
      <c r="DI42" s="141">
        <v>0</v>
      </c>
      <c r="DJ42" s="141">
        <v>6197</v>
      </c>
      <c r="DK42" s="141">
        <v>431467</v>
      </c>
      <c r="DL42" s="141">
        <v>194261</v>
      </c>
      <c r="DM42" s="141">
        <v>0</v>
      </c>
      <c r="DN42" s="141">
        <v>237206</v>
      </c>
      <c r="DO42" s="141">
        <v>109507</v>
      </c>
      <c r="DP42" s="141">
        <v>109507</v>
      </c>
      <c r="DQ42" s="141">
        <v>0</v>
      </c>
      <c r="DR42" s="141">
        <v>0</v>
      </c>
      <c r="DS42" s="141">
        <v>0</v>
      </c>
      <c r="DT42" s="141">
        <v>0</v>
      </c>
      <c r="DU42" s="141">
        <v>0</v>
      </c>
      <c r="DV42" s="141">
        <v>575543</v>
      </c>
      <c r="DW42" s="141">
        <v>0</v>
      </c>
      <c r="DX42" s="73">
        <f t="shared" si="11"/>
        <v>0</v>
      </c>
      <c r="DY42" s="141">
        <v>0</v>
      </c>
      <c r="DZ42" s="141">
        <v>234590</v>
      </c>
      <c r="EA42" s="141">
        <v>0</v>
      </c>
      <c r="EB42" s="141">
        <v>148914</v>
      </c>
      <c r="EC42" s="74"/>
      <c r="ED42" s="141">
        <v>192022</v>
      </c>
      <c r="EE42" s="141">
        <v>0</v>
      </c>
      <c r="EF42" s="141">
        <v>6623622</v>
      </c>
      <c r="EG42" s="71"/>
      <c r="EH42" s="141">
        <v>234259</v>
      </c>
      <c r="EI42" s="141">
        <v>28079</v>
      </c>
      <c r="EJ42" s="141">
        <v>206180</v>
      </c>
      <c r="EK42" s="141">
        <v>49157</v>
      </c>
      <c r="EL42" s="141">
        <v>-6582</v>
      </c>
      <c r="EM42" s="71"/>
      <c r="EN42" s="141">
        <v>9079</v>
      </c>
      <c r="EO42" s="141">
        <v>8940</v>
      </c>
      <c r="EP42" s="141">
        <v>333958</v>
      </c>
      <c r="EQ42" s="141">
        <v>6580</v>
      </c>
      <c r="ER42" s="73">
        <f t="shared" si="12"/>
        <v>384237</v>
      </c>
      <c r="ES42" s="141">
        <v>4120976</v>
      </c>
      <c r="ET42" s="141">
        <v>-733531</v>
      </c>
      <c r="EU42" s="141">
        <v>987598</v>
      </c>
      <c r="EV42" s="141">
        <v>474567</v>
      </c>
      <c r="EW42" s="141">
        <v>296688</v>
      </c>
      <c r="EX42" s="141">
        <v>575991</v>
      </c>
      <c r="EY42" s="73">
        <f t="shared" si="13"/>
        <v>123844</v>
      </c>
      <c r="EZ42" s="141">
        <v>121002</v>
      </c>
      <c r="FA42" s="141">
        <v>14073</v>
      </c>
      <c r="FB42" s="141">
        <v>106929</v>
      </c>
      <c r="FC42" s="141">
        <v>2842</v>
      </c>
      <c r="FD42" s="141">
        <v>0</v>
      </c>
      <c r="FE42" s="141">
        <v>928557</v>
      </c>
      <c r="FF42" s="141">
        <v>820939</v>
      </c>
      <c r="FG42" s="141">
        <v>102844</v>
      </c>
      <c r="FH42" s="141">
        <v>447671</v>
      </c>
      <c r="FI42" s="73">
        <f t="shared" si="14"/>
        <v>438960</v>
      </c>
      <c r="FJ42" s="141">
        <v>4620248</v>
      </c>
      <c r="FK42" s="379">
        <f t="shared" si="15"/>
        <v>5.4</v>
      </c>
      <c r="FL42" s="141">
        <v>3807238</v>
      </c>
      <c r="FM42" s="141">
        <v>9858</v>
      </c>
      <c r="FN42" s="141">
        <v>1126018</v>
      </c>
      <c r="FO42" s="141">
        <v>3525900</v>
      </c>
      <c r="FP42" s="390">
        <v>0.32900000000000001</v>
      </c>
      <c r="FQ42" s="380">
        <v>94.2</v>
      </c>
      <c r="FR42" s="381">
        <v>23.7</v>
      </c>
      <c r="FS42" s="380">
        <v>4.8</v>
      </c>
      <c r="FT42" s="380">
        <v>14.9</v>
      </c>
      <c r="FU42" s="381">
        <v>17</v>
      </c>
      <c r="FV42" s="380">
        <v>19.600000000000001</v>
      </c>
      <c r="FW42" s="382">
        <v>11.1</v>
      </c>
      <c r="FX42" s="383">
        <v>14</v>
      </c>
      <c r="FY42" s="141">
        <v>6509180</v>
      </c>
      <c r="FZ42" s="384">
        <f t="shared" si="16"/>
        <v>170.5</v>
      </c>
      <c r="GA42" s="141">
        <v>2591928</v>
      </c>
      <c r="GB42" s="141">
        <v>1887266</v>
      </c>
      <c r="GC42" s="141">
        <v>0</v>
      </c>
      <c r="GD42" s="141">
        <v>704662</v>
      </c>
      <c r="GE42" s="107"/>
      <c r="GF42" s="385"/>
      <c r="GG42" s="386"/>
      <c r="GH42" s="380">
        <v>99</v>
      </c>
      <c r="GI42" s="380">
        <v>19.3</v>
      </c>
      <c r="GJ42" s="380">
        <v>96.4</v>
      </c>
      <c r="GK42" s="141">
        <v>89</v>
      </c>
      <c r="GL42" s="391" t="s">
        <v>646</v>
      </c>
      <c r="GM42" s="391">
        <v>15</v>
      </c>
      <c r="GN42" s="117">
        <v>20</v>
      </c>
      <c r="GO42" s="391" t="s">
        <v>646</v>
      </c>
      <c r="GP42" s="392">
        <v>20</v>
      </c>
      <c r="GQ42" s="387">
        <v>30</v>
      </c>
      <c r="GR42" s="381">
        <v>14</v>
      </c>
      <c r="GS42" s="388">
        <v>25</v>
      </c>
      <c r="GT42" s="388">
        <v>35</v>
      </c>
      <c r="GU42" s="393">
        <v>61.6</v>
      </c>
      <c r="GV42" s="388">
        <v>350</v>
      </c>
      <c r="GW42" s="394"/>
      <c r="GX42" s="100">
        <f t="shared" si="17"/>
        <v>3817</v>
      </c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  <c r="HW42" s="394"/>
      <c r="HX42" s="394"/>
    </row>
    <row r="43" spans="1:232" x14ac:dyDescent="0.15">
      <c r="B43" s="89" t="s">
        <v>75</v>
      </c>
      <c r="C43" s="141">
        <v>2413123</v>
      </c>
      <c r="D43" s="73">
        <f t="shared" si="0"/>
        <v>735926</v>
      </c>
      <c r="E43" s="141">
        <v>23498</v>
      </c>
      <c r="F43" s="141">
        <v>712428</v>
      </c>
      <c r="G43" s="73">
        <f t="shared" si="1"/>
        <v>167096</v>
      </c>
      <c r="H43" s="141">
        <v>50663</v>
      </c>
      <c r="I43" s="141">
        <v>116433</v>
      </c>
      <c r="J43" s="141">
        <v>1104999</v>
      </c>
      <c r="K43" s="141">
        <v>503869</v>
      </c>
      <c r="L43" s="141">
        <v>420091</v>
      </c>
      <c r="M43" s="141">
        <v>164083</v>
      </c>
      <c r="N43" s="141">
        <v>127580</v>
      </c>
      <c r="O43" s="141">
        <v>229870</v>
      </c>
      <c r="P43" s="141">
        <v>136695</v>
      </c>
      <c r="Q43" s="141">
        <v>93175</v>
      </c>
      <c r="R43" s="141">
        <v>32842</v>
      </c>
      <c r="S43" s="74"/>
      <c r="T43" s="73">
        <f t="shared" si="18"/>
        <v>519844</v>
      </c>
      <c r="U43" s="141">
        <v>2211</v>
      </c>
      <c r="V43" s="141">
        <v>24557</v>
      </c>
      <c r="W43" s="141">
        <v>32350</v>
      </c>
      <c r="X43" s="141">
        <v>402008</v>
      </c>
      <c r="Y43" s="141">
        <v>0</v>
      </c>
      <c r="Z43" s="160"/>
      <c r="AA43" s="141">
        <v>0</v>
      </c>
      <c r="AB43" s="141">
        <v>9029</v>
      </c>
      <c r="AC43" s="141">
        <v>49689</v>
      </c>
      <c r="AD43" s="141">
        <v>87983</v>
      </c>
      <c r="AE43" s="141">
        <v>2238597</v>
      </c>
      <c r="AF43" s="141">
        <v>1998724</v>
      </c>
      <c r="AG43" s="141">
        <v>239873</v>
      </c>
      <c r="AH43" s="141">
        <v>2185</v>
      </c>
      <c r="AI43" s="141">
        <v>562</v>
      </c>
      <c r="AJ43" s="73">
        <f t="shared" si="19"/>
        <v>109539</v>
      </c>
      <c r="AK43" s="141">
        <v>61150</v>
      </c>
      <c r="AL43" s="141">
        <v>48389</v>
      </c>
      <c r="AM43" s="141">
        <v>1108249</v>
      </c>
      <c r="AN43" s="73">
        <f t="shared" si="20"/>
        <v>396220</v>
      </c>
      <c r="AO43" s="141">
        <v>0</v>
      </c>
      <c r="AP43" s="141">
        <v>125511</v>
      </c>
      <c r="AQ43" s="74"/>
      <c r="AR43" s="141">
        <v>270709</v>
      </c>
      <c r="AS43" s="141">
        <v>4706</v>
      </c>
      <c r="AT43" s="141">
        <v>0</v>
      </c>
      <c r="AU43" s="141">
        <v>0</v>
      </c>
      <c r="AV43" s="141">
        <v>602418</v>
      </c>
      <c r="AW43" s="141">
        <v>426393</v>
      </c>
      <c r="AX43" s="141">
        <v>57606</v>
      </c>
      <c r="AY43" s="141">
        <v>0</v>
      </c>
      <c r="AZ43" s="141">
        <v>176025</v>
      </c>
      <c r="BA43" s="141">
        <v>0</v>
      </c>
      <c r="BB43" s="141">
        <v>46986</v>
      </c>
      <c r="BC43" s="141">
        <v>1050</v>
      </c>
      <c r="BD43" s="141">
        <v>185860</v>
      </c>
      <c r="BE43" s="141">
        <v>5094</v>
      </c>
      <c r="BF43" s="141">
        <v>0</v>
      </c>
      <c r="BG43" s="141">
        <v>0</v>
      </c>
      <c r="BH43" s="141">
        <v>5094</v>
      </c>
      <c r="BI43" s="141">
        <v>0</v>
      </c>
      <c r="BJ43" s="141">
        <v>107766</v>
      </c>
      <c r="BK43" s="141">
        <v>107420</v>
      </c>
      <c r="BL43" s="141">
        <v>221884</v>
      </c>
      <c r="BM43" s="141">
        <v>0</v>
      </c>
      <c r="BN43" s="141">
        <v>0</v>
      </c>
      <c r="BO43" s="141">
        <v>0</v>
      </c>
      <c r="BP43" s="141">
        <v>106100</v>
      </c>
      <c r="BQ43" s="73">
        <f t="shared" si="5"/>
        <v>106100</v>
      </c>
      <c r="BR43" s="73">
        <f t="shared" si="6"/>
        <v>0</v>
      </c>
      <c r="BS43" s="141">
        <v>0</v>
      </c>
      <c r="BT43" s="141">
        <v>0</v>
      </c>
      <c r="BU43" s="141">
        <v>0</v>
      </c>
      <c r="BV43" s="141">
        <v>0</v>
      </c>
      <c r="BW43" s="141">
        <v>7789032</v>
      </c>
      <c r="BX43" s="71"/>
      <c r="BY43" s="141">
        <v>1637725</v>
      </c>
      <c r="BZ43" s="141">
        <v>1018913</v>
      </c>
      <c r="CA43" s="141">
        <v>117719</v>
      </c>
      <c r="CB43" s="141">
        <v>176673</v>
      </c>
      <c r="CC43" s="141">
        <v>1733937</v>
      </c>
      <c r="CD43" s="141">
        <v>1015970</v>
      </c>
      <c r="CE43" s="141">
        <v>7</v>
      </c>
      <c r="CF43" s="141">
        <v>653062</v>
      </c>
      <c r="CG43" s="141">
        <v>0</v>
      </c>
      <c r="CH43" s="141">
        <v>0</v>
      </c>
      <c r="CI43" s="141">
        <v>64898</v>
      </c>
      <c r="CJ43" s="141">
        <v>687198</v>
      </c>
      <c r="CK43" s="141">
        <v>644566</v>
      </c>
      <c r="CL43" s="83">
        <f t="shared" si="21"/>
        <v>42632</v>
      </c>
      <c r="CM43" s="141">
        <v>1365414</v>
      </c>
      <c r="CN43" s="141">
        <v>933027</v>
      </c>
      <c r="CO43" s="102"/>
      <c r="CP43" s="141">
        <v>197190</v>
      </c>
      <c r="CQ43" s="141">
        <v>9031</v>
      </c>
      <c r="CR43" s="141">
        <v>734336</v>
      </c>
      <c r="CS43" s="141">
        <v>22112</v>
      </c>
      <c r="CT43" s="141">
        <v>115235</v>
      </c>
      <c r="CU43" s="141">
        <v>104414</v>
      </c>
      <c r="CV43" s="73">
        <f t="shared" si="8"/>
        <v>330000</v>
      </c>
      <c r="CW43" s="141">
        <v>330000</v>
      </c>
      <c r="CX43" s="141">
        <v>0</v>
      </c>
      <c r="CY43" s="73">
        <f t="shared" si="9"/>
        <v>0</v>
      </c>
      <c r="CZ43" s="141">
        <v>0</v>
      </c>
      <c r="DA43" s="141">
        <v>0</v>
      </c>
      <c r="DB43" s="73">
        <f t="shared" si="10"/>
        <v>330000</v>
      </c>
      <c r="DC43" s="141">
        <v>330000</v>
      </c>
      <c r="DD43" s="141">
        <v>0</v>
      </c>
      <c r="DE43" s="141">
        <v>149288</v>
      </c>
      <c r="DF43" s="141">
        <v>6828</v>
      </c>
      <c r="DG43" s="141">
        <v>141093</v>
      </c>
      <c r="DH43" s="141">
        <v>0</v>
      </c>
      <c r="DI43" s="141">
        <v>0</v>
      </c>
      <c r="DJ43" s="141">
        <v>0</v>
      </c>
      <c r="DK43" s="141">
        <v>236224</v>
      </c>
      <c r="DL43" s="141">
        <v>193818</v>
      </c>
      <c r="DM43" s="141">
        <v>0</v>
      </c>
      <c r="DN43" s="141">
        <v>42406</v>
      </c>
      <c r="DO43" s="141">
        <v>160000</v>
      </c>
      <c r="DP43" s="141">
        <v>160000</v>
      </c>
      <c r="DQ43" s="141">
        <v>0</v>
      </c>
      <c r="DR43" s="141">
        <v>0</v>
      </c>
      <c r="DS43" s="141">
        <v>0</v>
      </c>
      <c r="DT43" s="141">
        <v>0</v>
      </c>
      <c r="DU43" s="141">
        <v>0</v>
      </c>
      <c r="DV43" s="141">
        <v>871840</v>
      </c>
      <c r="DW43" s="141">
        <v>0</v>
      </c>
      <c r="DX43" s="73">
        <f t="shared" si="11"/>
        <v>0</v>
      </c>
      <c r="DY43" s="141">
        <v>0</v>
      </c>
      <c r="DZ43" s="141">
        <v>352574</v>
      </c>
      <c r="EA43" s="141">
        <v>0</v>
      </c>
      <c r="EB43" s="141">
        <v>221102</v>
      </c>
      <c r="EC43" s="74"/>
      <c r="ED43" s="141">
        <v>298164</v>
      </c>
      <c r="EE43" s="141">
        <v>0</v>
      </c>
      <c r="EF43" s="141">
        <v>7584993</v>
      </c>
      <c r="EG43" s="71"/>
      <c r="EH43" s="141">
        <v>204039</v>
      </c>
      <c r="EI43" s="141">
        <v>30138</v>
      </c>
      <c r="EJ43" s="141">
        <v>173901</v>
      </c>
      <c r="EK43" s="141">
        <v>66481</v>
      </c>
      <c r="EL43" s="141">
        <v>260299</v>
      </c>
      <c r="EM43" s="71"/>
      <c r="EN43" s="141">
        <v>16567</v>
      </c>
      <c r="EO43" s="141">
        <v>16317</v>
      </c>
      <c r="EP43" s="141">
        <v>0</v>
      </c>
      <c r="EQ43" s="141">
        <v>1242</v>
      </c>
      <c r="ER43" s="73">
        <f t="shared" si="12"/>
        <v>538763</v>
      </c>
      <c r="ES43" s="141">
        <v>5294574</v>
      </c>
      <c r="ET43" s="141">
        <v>-537820</v>
      </c>
      <c r="EU43" s="141">
        <v>1533036</v>
      </c>
      <c r="EV43" s="141">
        <v>942421</v>
      </c>
      <c r="EW43" s="141">
        <v>676311</v>
      </c>
      <c r="EX43" s="141">
        <v>642686</v>
      </c>
      <c r="EY43" s="73">
        <f t="shared" si="13"/>
        <v>70769</v>
      </c>
      <c r="EZ43" s="141">
        <v>70769</v>
      </c>
      <c r="FA43" s="141">
        <v>309</v>
      </c>
      <c r="FB43" s="141">
        <v>69093</v>
      </c>
      <c r="FC43" s="141">
        <v>0</v>
      </c>
      <c r="FD43" s="141">
        <v>0</v>
      </c>
      <c r="FE43" s="141">
        <v>1066009</v>
      </c>
      <c r="FF43" s="141">
        <v>630037</v>
      </c>
      <c r="FG43" s="141">
        <v>22112</v>
      </c>
      <c r="FH43" s="141">
        <v>703308</v>
      </c>
      <c r="FI43" s="73">
        <f t="shared" si="14"/>
        <v>306199</v>
      </c>
      <c r="FJ43" s="141">
        <v>5628355</v>
      </c>
      <c r="FK43" s="379">
        <f t="shared" si="15"/>
        <v>3.7</v>
      </c>
      <c r="FL43" s="141">
        <v>4740649</v>
      </c>
      <c r="FM43" s="141">
        <v>18290</v>
      </c>
      <c r="FN43" s="141">
        <v>2162598</v>
      </c>
      <c r="FO43" s="141">
        <v>4161571</v>
      </c>
      <c r="FP43" s="395">
        <v>0.53100000000000003</v>
      </c>
      <c r="FQ43" s="380">
        <v>98.6</v>
      </c>
      <c r="FR43" s="381">
        <v>31.4</v>
      </c>
      <c r="FS43" s="380">
        <v>10</v>
      </c>
      <c r="FT43" s="380">
        <v>13.2</v>
      </c>
      <c r="FU43" s="381">
        <v>19.100000000000001</v>
      </c>
      <c r="FV43" s="380">
        <v>10.5</v>
      </c>
      <c r="FW43" s="382">
        <v>13.7</v>
      </c>
      <c r="FX43" s="383">
        <v>5</v>
      </c>
      <c r="FY43" s="141">
        <v>6759504</v>
      </c>
      <c r="FZ43" s="384">
        <f t="shared" si="16"/>
        <v>142</v>
      </c>
      <c r="GA43" s="141">
        <v>2325393</v>
      </c>
      <c r="GB43" s="141">
        <v>1910383</v>
      </c>
      <c r="GC43" s="141">
        <v>0</v>
      </c>
      <c r="GD43" s="141">
        <v>415010</v>
      </c>
      <c r="GE43" s="107"/>
      <c r="GF43" s="385"/>
      <c r="GG43" s="386"/>
      <c r="GH43" s="380">
        <v>99.3</v>
      </c>
      <c r="GI43" s="380">
        <v>59.2</v>
      </c>
      <c r="GJ43" s="380">
        <v>98.6</v>
      </c>
      <c r="GK43" s="141">
        <v>166</v>
      </c>
      <c r="GL43" s="391" t="s">
        <v>646</v>
      </c>
      <c r="GM43" s="391">
        <v>15</v>
      </c>
      <c r="GN43" s="117">
        <v>20</v>
      </c>
      <c r="GO43" s="391" t="s">
        <v>646</v>
      </c>
      <c r="GP43" s="392">
        <v>20</v>
      </c>
      <c r="GQ43" s="387">
        <v>30</v>
      </c>
      <c r="GR43" s="381">
        <v>5</v>
      </c>
      <c r="GS43" s="388">
        <v>25</v>
      </c>
      <c r="GT43" s="388">
        <v>35</v>
      </c>
      <c r="GU43" s="393">
        <v>7.5</v>
      </c>
      <c r="GV43" s="388">
        <v>350</v>
      </c>
      <c r="GW43" s="394"/>
      <c r="GX43" s="100">
        <f t="shared" si="17"/>
        <v>4759</v>
      </c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  <c r="HW43" s="394"/>
      <c r="HX43" s="394"/>
    </row>
    <row r="44" spans="1:232" x14ac:dyDescent="0.15">
      <c r="B44" s="89" t="s">
        <v>77</v>
      </c>
      <c r="C44" s="141">
        <v>4210455</v>
      </c>
      <c r="D44" s="73">
        <f t="shared" si="0"/>
        <v>2059760</v>
      </c>
      <c r="E44" s="141">
        <v>63178</v>
      </c>
      <c r="F44" s="141">
        <v>1996582</v>
      </c>
      <c r="G44" s="73">
        <f t="shared" si="1"/>
        <v>105661</v>
      </c>
      <c r="H44" s="141">
        <v>59691</v>
      </c>
      <c r="I44" s="141">
        <v>45970</v>
      </c>
      <c r="J44" s="141">
        <v>1720120</v>
      </c>
      <c r="K44" s="141">
        <v>545615</v>
      </c>
      <c r="L44" s="141">
        <v>877952</v>
      </c>
      <c r="M44" s="141">
        <v>284704</v>
      </c>
      <c r="N44" s="141">
        <v>189943</v>
      </c>
      <c r="O44" s="141">
        <v>0</v>
      </c>
      <c r="P44" s="141">
        <v>0</v>
      </c>
      <c r="Q44" s="141">
        <v>0</v>
      </c>
      <c r="R44" s="141">
        <v>93111</v>
      </c>
      <c r="S44" s="74"/>
      <c r="T44" s="73">
        <f t="shared" si="18"/>
        <v>1264447</v>
      </c>
      <c r="U44" s="141">
        <v>6306</v>
      </c>
      <c r="V44" s="141">
        <v>69683</v>
      </c>
      <c r="W44" s="141">
        <v>91368</v>
      </c>
      <c r="X44" s="141">
        <v>982767</v>
      </c>
      <c r="Y44" s="141">
        <v>11268</v>
      </c>
      <c r="Z44" s="160"/>
      <c r="AA44" s="141">
        <v>0</v>
      </c>
      <c r="AB44" s="141">
        <v>25511</v>
      </c>
      <c r="AC44" s="141">
        <v>77544</v>
      </c>
      <c r="AD44" s="141">
        <v>250232</v>
      </c>
      <c r="AE44" s="141">
        <v>4085460</v>
      </c>
      <c r="AF44" s="141">
        <v>3922995</v>
      </c>
      <c r="AG44" s="141">
        <v>162465</v>
      </c>
      <c r="AH44" s="141">
        <v>4858</v>
      </c>
      <c r="AI44" s="141">
        <v>14403</v>
      </c>
      <c r="AJ44" s="73">
        <f t="shared" si="19"/>
        <v>262741</v>
      </c>
      <c r="AK44" s="141">
        <v>170522</v>
      </c>
      <c r="AL44" s="141">
        <v>92219</v>
      </c>
      <c r="AM44" s="141">
        <v>3234889</v>
      </c>
      <c r="AN44" s="73">
        <f t="shared" si="20"/>
        <v>1215565</v>
      </c>
      <c r="AO44" s="141">
        <v>0</v>
      </c>
      <c r="AP44" s="141">
        <v>712481</v>
      </c>
      <c r="AQ44" s="74"/>
      <c r="AR44" s="141">
        <v>503084</v>
      </c>
      <c r="AS44" s="141">
        <v>18873</v>
      </c>
      <c r="AT44" s="141">
        <v>2629</v>
      </c>
      <c r="AU44" s="141">
        <v>0</v>
      </c>
      <c r="AV44" s="141">
        <v>1509693</v>
      </c>
      <c r="AW44" s="141">
        <v>1060044</v>
      </c>
      <c r="AX44" s="141">
        <v>301518</v>
      </c>
      <c r="AY44" s="141">
        <v>0</v>
      </c>
      <c r="AZ44" s="141">
        <v>449649</v>
      </c>
      <c r="BA44" s="141">
        <v>263</v>
      </c>
      <c r="BB44" s="141">
        <v>16807</v>
      </c>
      <c r="BC44" s="141">
        <v>1121</v>
      </c>
      <c r="BD44" s="141">
        <v>47596</v>
      </c>
      <c r="BE44" s="141">
        <v>583483</v>
      </c>
      <c r="BF44" s="141">
        <v>54000</v>
      </c>
      <c r="BG44" s="141">
        <v>30000</v>
      </c>
      <c r="BH44" s="141">
        <v>484311</v>
      </c>
      <c r="BI44" s="141">
        <v>0</v>
      </c>
      <c r="BJ44" s="141">
        <v>301663</v>
      </c>
      <c r="BK44" s="141">
        <v>60417</v>
      </c>
      <c r="BL44" s="141">
        <v>293014</v>
      </c>
      <c r="BM44" s="141">
        <v>0</v>
      </c>
      <c r="BN44" s="141">
        <v>0</v>
      </c>
      <c r="BO44" s="141">
        <v>0</v>
      </c>
      <c r="BP44" s="141">
        <v>575100</v>
      </c>
      <c r="BQ44" s="73">
        <f t="shared" si="5"/>
        <v>538100</v>
      </c>
      <c r="BR44" s="73">
        <f t="shared" si="6"/>
        <v>37000</v>
      </c>
      <c r="BS44" s="141">
        <v>0</v>
      </c>
      <c r="BT44" s="141">
        <v>0</v>
      </c>
      <c r="BU44" s="141">
        <v>37000</v>
      </c>
      <c r="BV44" s="141">
        <v>0</v>
      </c>
      <c r="BW44" s="141">
        <v>16747952</v>
      </c>
      <c r="BX44" s="71"/>
      <c r="BY44" s="141">
        <v>3607470</v>
      </c>
      <c r="BZ44" s="141">
        <v>1714431</v>
      </c>
      <c r="CA44" s="141">
        <v>365429</v>
      </c>
      <c r="CB44" s="141">
        <v>930405</v>
      </c>
      <c r="CC44" s="141">
        <v>4523606</v>
      </c>
      <c r="CD44" s="141">
        <v>1873718</v>
      </c>
      <c r="CE44" s="141">
        <v>0</v>
      </c>
      <c r="CF44" s="141">
        <v>2324563</v>
      </c>
      <c r="CG44" s="141">
        <v>0</v>
      </c>
      <c r="CH44" s="141">
        <v>27643</v>
      </c>
      <c r="CI44" s="141">
        <v>297682</v>
      </c>
      <c r="CJ44" s="141">
        <v>966589</v>
      </c>
      <c r="CK44" s="141">
        <v>929854</v>
      </c>
      <c r="CL44" s="83">
        <f t="shared" si="21"/>
        <v>36735</v>
      </c>
      <c r="CM44" s="141">
        <v>2394674</v>
      </c>
      <c r="CN44" s="141">
        <v>1533086</v>
      </c>
      <c r="CO44" s="102"/>
      <c r="CP44" s="141">
        <v>362259</v>
      </c>
      <c r="CQ44" s="141">
        <v>265634</v>
      </c>
      <c r="CR44" s="141">
        <v>1952314</v>
      </c>
      <c r="CS44" s="141">
        <v>590183</v>
      </c>
      <c r="CT44" s="141">
        <v>580628</v>
      </c>
      <c r="CU44" s="141">
        <v>483601</v>
      </c>
      <c r="CV44" s="73">
        <f t="shared" si="8"/>
        <v>268233</v>
      </c>
      <c r="CW44" s="141">
        <v>12181</v>
      </c>
      <c r="CX44" s="141">
        <v>256052</v>
      </c>
      <c r="CY44" s="73">
        <f t="shared" si="9"/>
        <v>0</v>
      </c>
      <c r="CZ44" s="141">
        <v>0</v>
      </c>
      <c r="DA44" s="141">
        <v>0</v>
      </c>
      <c r="DB44" s="73">
        <f t="shared" si="10"/>
        <v>256052</v>
      </c>
      <c r="DC44" s="141">
        <v>0</v>
      </c>
      <c r="DD44" s="141">
        <v>256052</v>
      </c>
      <c r="DE44" s="141">
        <v>910941</v>
      </c>
      <c r="DF44" s="141">
        <v>315727</v>
      </c>
      <c r="DG44" s="141">
        <v>595161</v>
      </c>
      <c r="DH44" s="141">
        <v>53</v>
      </c>
      <c r="DI44" s="141">
        <v>0</v>
      </c>
      <c r="DJ44" s="141">
        <v>29653</v>
      </c>
      <c r="DK44" s="141">
        <v>141758</v>
      </c>
      <c r="DL44" s="141">
        <v>32000</v>
      </c>
      <c r="DM44" s="141">
        <v>61648</v>
      </c>
      <c r="DN44" s="141">
        <v>48110</v>
      </c>
      <c r="DO44" s="141">
        <v>16200</v>
      </c>
      <c r="DP44" s="141">
        <v>16200</v>
      </c>
      <c r="DQ44" s="141">
        <v>16200</v>
      </c>
      <c r="DR44" s="141">
        <v>0</v>
      </c>
      <c r="DS44" s="141">
        <v>0</v>
      </c>
      <c r="DT44" s="141">
        <v>0</v>
      </c>
      <c r="DU44" s="141">
        <v>0</v>
      </c>
      <c r="DV44" s="141">
        <v>1803767</v>
      </c>
      <c r="DW44" s="141">
        <v>0</v>
      </c>
      <c r="DX44" s="73">
        <f t="shared" si="11"/>
        <v>0</v>
      </c>
      <c r="DY44" s="141">
        <v>0</v>
      </c>
      <c r="DZ44" s="141">
        <v>751751</v>
      </c>
      <c r="EA44" s="141">
        <v>0</v>
      </c>
      <c r="EB44" s="141">
        <v>410707</v>
      </c>
      <c r="EC44" s="74"/>
      <c r="ED44" s="141">
        <v>641309</v>
      </c>
      <c r="EE44" s="141">
        <v>0</v>
      </c>
      <c r="EF44" s="141">
        <v>16612606</v>
      </c>
      <c r="EG44" s="71"/>
      <c r="EH44" s="141">
        <v>135346</v>
      </c>
      <c r="EI44" s="141">
        <v>85165</v>
      </c>
      <c r="EJ44" s="141">
        <v>50181</v>
      </c>
      <c r="EK44" s="141">
        <v>-10236</v>
      </c>
      <c r="EL44" s="141">
        <v>-32236</v>
      </c>
      <c r="EM44" s="71"/>
      <c r="EN44" s="141">
        <v>43763</v>
      </c>
      <c r="EO44" s="141">
        <v>42544</v>
      </c>
      <c r="EP44" s="141">
        <v>153965</v>
      </c>
      <c r="EQ44" s="141">
        <v>10848</v>
      </c>
      <c r="ER44" s="73">
        <f t="shared" si="12"/>
        <v>1197554</v>
      </c>
      <c r="ES44" s="141">
        <v>9908563</v>
      </c>
      <c r="ET44" s="141">
        <v>-1394509</v>
      </c>
      <c r="EU44" s="141">
        <v>3319036</v>
      </c>
      <c r="EV44" s="141">
        <v>1605018</v>
      </c>
      <c r="EW44" s="141">
        <v>1716619</v>
      </c>
      <c r="EX44" s="141">
        <v>951971</v>
      </c>
      <c r="EY44" s="73">
        <f t="shared" si="13"/>
        <v>67188</v>
      </c>
      <c r="EZ44" s="141">
        <v>61555</v>
      </c>
      <c r="FA44" s="141">
        <v>380</v>
      </c>
      <c r="FB44" s="141">
        <v>61122</v>
      </c>
      <c r="FC44" s="141">
        <v>5633</v>
      </c>
      <c r="FD44" s="141">
        <v>0</v>
      </c>
      <c r="FE44" s="141">
        <v>1683320</v>
      </c>
      <c r="FF44" s="141">
        <v>1701922</v>
      </c>
      <c r="FG44" s="141">
        <v>588470</v>
      </c>
      <c r="FH44" s="141">
        <v>1437879</v>
      </c>
      <c r="FI44" s="73">
        <f t="shared" si="14"/>
        <v>289791</v>
      </c>
      <c r="FJ44" s="141">
        <v>11167726</v>
      </c>
      <c r="FK44" s="379">
        <f t="shared" si="15"/>
        <v>0.5</v>
      </c>
      <c r="FL44" s="141">
        <v>9619635</v>
      </c>
      <c r="FM44" s="141">
        <v>37456</v>
      </c>
      <c r="FN44" s="141">
        <v>4537997</v>
      </c>
      <c r="FO44" s="141">
        <v>8454145</v>
      </c>
      <c r="FP44" s="390">
        <v>0.54900000000000004</v>
      </c>
      <c r="FQ44" s="380">
        <v>98.5</v>
      </c>
      <c r="FR44" s="381">
        <v>32.1</v>
      </c>
      <c r="FS44" s="380">
        <v>11.7</v>
      </c>
      <c r="FT44" s="380">
        <v>9.6</v>
      </c>
      <c r="FU44" s="381">
        <v>16.2</v>
      </c>
      <c r="FV44" s="380">
        <v>12.8</v>
      </c>
      <c r="FW44" s="382">
        <v>14.1</v>
      </c>
      <c r="FX44" s="383">
        <v>1.7</v>
      </c>
      <c r="FY44" s="141">
        <v>9706928</v>
      </c>
      <c r="FZ44" s="384">
        <f t="shared" si="16"/>
        <v>100.5</v>
      </c>
      <c r="GA44" s="141">
        <v>7469642</v>
      </c>
      <c r="GB44" s="141">
        <v>982221</v>
      </c>
      <c r="GC44" s="141">
        <v>873101</v>
      </c>
      <c r="GD44" s="141">
        <v>5614320</v>
      </c>
      <c r="GE44" s="107"/>
      <c r="GF44" s="385">
        <v>639</v>
      </c>
      <c r="GG44" s="386">
        <f>IF(GF44=0,"-",ROUND(GF44/(GX44)*100,1))</f>
        <v>6.6</v>
      </c>
      <c r="GH44" s="380">
        <v>99.4</v>
      </c>
      <c r="GI44" s="380">
        <v>43.9</v>
      </c>
      <c r="GJ44" s="380">
        <v>98.7</v>
      </c>
      <c r="GK44" s="141">
        <v>278</v>
      </c>
      <c r="GL44" s="391" t="s">
        <v>646</v>
      </c>
      <c r="GM44" s="391">
        <v>13.39</v>
      </c>
      <c r="GN44" s="117">
        <v>20</v>
      </c>
      <c r="GO44" s="391" t="s">
        <v>646</v>
      </c>
      <c r="GP44" s="392">
        <v>18.39</v>
      </c>
      <c r="GQ44" s="387">
        <v>30</v>
      </c>
      <c r="GR44" s="381">
        <v>1.7</v>
      </c>
      <c r="GS44" s="388">
        <v>25</v>
      </c>
      <c r="GT44" s="388">
        <v>35</v>
      </c>
      <c r="GU44" s="393" t="s">
        <v>646</v>
      </c>
      <c r="GV44" s="388">
        <v>350</v>
      </c>
      <c r="GW44" s="394"/>
      <c r="GX44" s="100">
        <f t="shared" si="17"/>
        <v>9657</v>
      </c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  <c r="HW44" s="394"/>
      <c r="HX44" s="394"/>
    </row>
    <row r="45" spans="1:232" x14ac:dyDescent="0.15">
      <c r="B45" s="89" t="s">
        <v>79</v>
      </c>
      <c r="C45" s="141">
        <v>4169882</v>
      </c>
      <c r="D45" s="73">
        <f t="shared" si="0"/>
        <v>413759</v>
      </c>
      <c r="E45" s="141">
        <v>12852</v>
      </c>
      <c r="F45" s="141">
        <v>400907</v>
      </c>
      <c r="G45" s="73">
        <f t="shared" si="1"/>
        <v>203552</v>
      </c>
      <c r="H45" s="141">
        <v>57435</v>
      </c>
      <c r="I45" s="141">
        <v>146117</v>
      </c>
      <c r="J45" s="141">
        <v>3415293</v>
      </c>
      <c r="K45" s="141">
        <v>1892578</v>
      </c>
      <c r="L45" s="141">
        <v>760263</v>
      </c>
      <c r="M45" s="141">
        <v>743534</v>
      </c>
      <c r="N45" s="141">
        <v>111398</v>
      </c>
      <c r="O45" s="141">
        <v>0</v>
      </c>
      <c r="P45" s="141">
        <v>0</v>
      </c>
      <c r="Q45" s="141">
        <v>0</v>
      </c>
      <c r="R45" s="141">
        <v>59204</v>
      </c>
      <c r="S45" s="74"/>
      <c r="T45" s="73">
        <f t="shared" si="18"/>
        <v>351122</v>
      </c>
      <c r="U45" s="141">
        <v>1200</v>
      </c>
      <c r="V45" s="141">
        <v>13301</v>
      </c>
      <c r="W45" s="141">
        <v>17472</v>
      </c>
      <c r="X45" s="141">
        <v>254918</v>
      </c>
      <c r="Y45" s="141">
        <v>0</v>
      </c>
      <c r="Z45" s="160"/>
      <c r="AA45" s="141">
        <v>0</v>
      </c>
      <c r="AB45" s="141">
        <v>4835</v>
      </c>
      <c r="AC45" s="141">
        <v>59396</v>
      </c>
      <c r="AD45" s="141">
        <v>48985</v>
      </c>
      <c r="AE45" s="141">
        <v>4770</v>
      </c>
      <c r="AF45" s="141">
        <v>0</v>
      </c>
      <c r="AG45" s="141">
        <v>4770</v>
      </c>
      <c r="AH45" s="141">
        <v>1012</v>
      </c>
      <c r="AI45" s="141">
        <v>654</v>
      </c>
      <c r="AJ45" s="73">
        <f t="shared" si="19"/>
        <v>105033</v>
      </c>
      <c r="AK45" s="141">
        <v>72622</v>
      </c>
      <c r="AL45" s="141">
        <v>32411</v>
      </c>
      <c r="AM45" s="141">
        <v>483310</v>
      </c>
      <c r="AN45" s="73">
        <f t="shared" si="20"/>
        <v>130468</v>
      </c>
      <c r="AO45" s="141">
        <v>0</v>
      </c>
      <c r="AP45" s="141">
        <v>0</v>
      </c>
      <c r="AQ45" s="74"/>
      <c r="AR45" s="141">
        <v>130468</v>
      </c>
      <c r="AS45" s="141">
        <v>1951</v>
      </c>
      <c r="AT45" s="141">
        <v>0</v>
      </c>
      <c r="AU45" s="141">
        <v>0</v>
      </c>
      <c r="AV45" s="141">
        <v>297137</v>
      </c>
      <c r="AW45" s="141">
        <v>196401</v>
      </c>
      <c r="AX45" s="141">
        <v>0</v>
      </c>
      <c r="AY45" s="141">
        <v>0</v>
      </c>
      <c r="AZ45" s="141">
        <v>100736</v>
      </c>
      <c r="BA45" s="141">
        <v>12</v>
      </c>
      <c r="BB45" s="141">
        <v>3724</v>
      </c>
      <c r="BC45" s="141">
        <v>0</v>
      </c>
      <c r="BD45" s="141">
        <v>119700</v>
      </c>
      <c r="BE45" s="141">
        <v>318690</v>
      </c>
      <c r="BF45" s="141">
        <v>0</v>
      </c>
      <c r="BG45" s="141">
        <v>0</v>
      </c>
      <c r="BH45" s="141">
        <v>318690</v>
      </c>
      <c r="BI45" s="141">
        <v>0</v>
      </c>
      <c r="BJ45" s="141">
        <v>472576</v>
      </c>
      <c r="BK45" s="141">
        <v>472030</v>
      </c>
      <c r="BL45" s="141">
        <v>127391</v>
      </c>
      <c r="BM45" s="141">
        <v>0</v>
      </c>
      <c r="BN45" s="141">
        <v>0</v>
      </c>
      <c r="BO45" s="141">
        <v>0</v>
      </c>
      <c r="BP45" s="141">
        <v>0</v>
      </c>
      <c r="BQ45" s="73">
        <f t="shared" si="5"/>
        <v>0</v>
      </c>
      <c r="BR45" s="73">
        <f t="shared" si="6"/>
        <v>0</v>
      </c>
      <c r="BS45" s="141">
        <v>0</v>
      </c>
      <c r="BT45" s="141">
        <v>0</v>
      </c>
      <c r="BU45" s="141">
        <v>0</v>
      </c>
      <c r="BV45" s="141">
        <v>0</v>
      </c>
      <c r="BW45" s="141">
        <v>6563190</v>
      </c>
      <c r="BX45" s="71"/>
      <c r="BY45" s="141">
        <v>1399602</v>
      </c>
      <c r="BZ45" s="141">
        <v>747385</v>
      </c>
      <c r="CA45" s="141">
        <v>90613</v>
      </c>
      <c r="CB45" s="141">
        <v>281156</v>
      </c>
      <c r="CC45" s="141">
        <v>772428</v>
      </c>
      <c r="CD45" s="141">
        <v>358879</v>
      </c>
      <c r="CE45" s="141">
        <v>1580</v>
      </c>
      <c r="CF45" s="141">
        <v>392948</v>
      </c>
      <c r="CG45" s="141">
        <v>0</v>
      </c>
      <c r="CH45" s="141">
        <v>7251</v>
      </c>
      <c r="CI45" s="141">
        <v>11770</v>
      </c>
      <c r="CJ45" s="141">
        <v>20652</v>
      </c>
      <c r="CK45" s="141">
        <v>18013</v>
      </c>
      <c r="CL45" s="83">
        <f t="shared" si="21"/>
        <v>2639</v>
      </c>
      <c r="CM45" s="141">
        <v>947076</v>
      </c>
      <c r="CN45" s="141">
        <v>588500</v>
      </c>
      <c r="CO45" s="102"/>
      <c r="CP45" s="141">
        <v>192732</v>
      </c>
      <c r="CQ45" s="141">
        <v>12708</v>
      </c>
      <c r="CR45" s="141">
        <v>1046304</v>
      </c>
      <c r="CS45" s="141">
        <v>375781</v>
      </c>
      <c r="CT45" s="141">
        <v>255906</v>
      </c>
      <c r="CU45" s="141">
        <v>251247</v>
      </c>
      <c r="CV45" s="73">
        <f t="shared" si="8"/>
        <v>190862</v>
      </c>
      <c r="CW45" s="141">
        <v>133383</v>
      </c>
      <c r="CX45" s="141">
        <v>57479</v>
      </c>
      <c r="CY45" s="73">
        <f t="shared" si="9"/>
        <v>0</v>
      </c>
      <c r="CZ45" s="141">
        <v>0</v>
      </c>
      <c r="DA45" s="141">
        <v>0</v>
      </c>
      <c r="DB45" s="73">
        <f t="shared" si="10"/>
        <v>190862</v>
      </c>
      <c r="DC45" s="141">
        <v>133383</v>
      </c>
      <c r="DD45" s="141">
        <v>57479</v>
      </c>
      <c r="DE45" s="141">
        <v>471789</v>
      </c>
      <c r="DF45" s="141">
        <v>6853</v>
      </c>
      <c r="DG45" s="141">
        <v>464936</v>
      </c>
      <c r="DH45" s="141">
        <v>0</v>
      </c>
      <c r="DI45" s="141">
        <v>0</v>
      </c>
      <c r="DJ45" s="141">
        <v>0</v>
      </c>
      <c r="DK45" s="141">
        <v>590834</v>
      </c>
      <c r="DL45" s="141">
        <v>427837</v>
      </c>
      <c r="DM45" s="141">
        <v>0</v>
      </c>
      <c r="DN45" s="141">
        <v>162997</v>
      </c>
      <c r="DO45" s="141">
        <v>288270</v>
      </c>
      <c r="DP45" s="141">
        <v>288270</v>
      </c>
      <c r="DQ45" s="141">
        <v>0</v>
      </c>
      <c r="DR45" s="141">
        <v>0</v>
      </c>
      <c r="DS45" s="141">
        <v>0</v>
      </c>
      <c r="DT45" s="141">
        <v>0</v>
      </c>
      <c r="DU45" s="141">
        <v>0</v>
      </c>
      <c r="DV45" s="141">
        <v>403686</v>
      </c>
      <c r="DW45" s="141">
        <v>0</v>
      </c>
      <c r="DX45" s="73">
        <f t="shared" si="11"/>
        <v>0</v>
      </c>
      <c r="DY45" s="141">
        <v>0</v>
      </c>
      <c r="DZ45" s="141">
        <v>150267</v>
      </c>
      <c r="EA45" s="141">
        <v>0</v>
      </c>
      <c r="EB45" s="141">
        <v>104179</v>
      </c>
      <c r="EC45" s="74"/>
      <c r="ED45" s="141">
        <v>149240</v>
      </c>
      <c r="EE45" s="141">
        <v>0</v>
      </c>
      <c r="EF45" s="141">
        <v>5953349</v>
      </c>
      <c r="EG45" s="71"/>
      <c r="EH45" s="141">
        <v>609841</v>
      </c>
      <c r="EI45" s="141">
        <v>71124</v>
      </c>
      <c r="EJ45" s="141">
        <v>538717</v>
      </c>
      <c r="EK45" s="141">
        <v>66687</v>
      </c>
      <c r="EL45" s="141">
        <v>494524</v>
      </c>
      <c r="EM45" s="71"/>
      <c r="EN45" s="141">
        <v>8434</v>
      </c>
      <c r="EO45" s="141">
        <v>8484</v>
      </c>
      <c r="EP45" s="141">
        <v>20613</v>
      </c>
      <c r="EQ45" s="141">
        <v>53</v>
      </c>
      <c r="ER45" s="73">
        <f t="shared" si="12"/>
        <v>598661</v>
      </c>
      <c r="ES45" s="141">
        <v>4634975</v>
      </c>
      <c r="ET45" s="141">
        <v>-618315</v>
      </c>
      <c r="EU45" s="141">
        <v>1300157</v>
      </c>
      <c r="EV45" s="141">
        <v>666877</v>
      </c>
      <c r="EW45" s="141">
        <v>331946</v>
      </c>
      <c r="EX45" s="141">
        <v>20652</v>
      </c>
      <c r="EY45" s="73">
        <f t="shared" si="13"/>
        <v>177972</v>
      </c>
      <c r="EZ45" s="141">
        <v>177972</v>
      </c>
      <c r="FA45" s="141">
        <v>5843</v>
      </c>
      <c r="FB45" s="141">
        <v>172129</v>
      </c>
      <c r="FC45" s="141">
        <v>0</v>
      </c>
      <c r="FD45" s="141">
        <v>0</v>
      </c>
      <c r="FE45" s="141">
        <v>802457</v>
      </c>
      <c r="FF45" s="141">
        <v>912585</v>
      </c>
      <c r="FG45" s="141">
        <v>365063</v>
      </c>
      <c r="FH45" s="141">
        <v>322483</v>
      </c>
      <c r="FI45" s="73">
        <f t="shared" si="14"/>
        <v>775197</v>
      </c>
      <c r="FJ45" s="141">
        <v>4643449</v>
      </c>
      <c r="FK45" s="379">
        <f t="shared" si="15"/>
        <v>12.1</v>
      </c>
      <c r="FL45" s="141">
        <v>4435789</v>
      </c>
      <c r="FM45" s="141">
        <v>0</v>
      </c>
      <c r="FN45" s="141">
        <v>3391220</v>
      </c>
      <c r="FO45" s="141">
        <v>2537021</v>
      </c>
      <c r="FP45" s="390">
        <v>1.2749999999999999</v>
      </c>
      <c r="FQ45" s="380">
        <v>70.8</v>
      </c>
      <c r="FR45" s="381">
        <v>28</v>
      </c>
      <c r="FS45" s="380">
        <v>5.0999999999999996</v>
      </c>
      <c r="FT45" s="380">
        <v>0.4</v>
      </c>
      <c r="FU45" s="381">
        <v>16.2</v>
      </c>
      <c r="FV45" s="380">
        <v>14.2</v>
      </c>
      <c r="FW45" s="382">
        <v>6.7</v>
      </c>
      <c r="FX45" s="383">
        <v>1.7</v>
      </c>
      <c r="FY45" s="141">
        <v>111358</v>
      </c>
      <c r="FZ45" s="384">
        <f t="shared" si="16"/>
        <v>2.5</v>
      </c>
      <c r="GA45" s="141">
        <v>10969604</v>
      </c>
      <c r="GB45" s="141">
        <v>5746179</v>
      </c>
      <c r="GC45" s="141">
        <v>0</v>
      </c>
      <c r="GD45" s="141">
        <v>5223425</v>
      </c>
      <c r="GE45" s="107"/>
      <c r="GF45" s="385"/>
      <c r="GG45" s="386"/>
      <c r="GH45" s="380">
        <v>99.9</v>
      </c>
      <c r="GI45" s="380">
        <v>27.1</v>
      </c>
      <c r="GJ45" s="380">
        <v>99.7</v>
      </c>
      <c r="GK45" s="141">
        <v>109</v>
      </c>
      <c r="GL45" s="391" t="s">
        <v>646</v>
      </c>
      <c r="GM45" s="391">
        <v>15</v>
      </c>
      <c r="GN45" s="117">
        <v>20</v>
      </c>
      <c r="GO45" s="391" t="s">
        <v>646</v>
      </c>
      <c r="GP45" s="392">
        <v>20</v>
      </c>
      <c r="GQ45" s="387">
        <v>30</v>
      </c>
      <c r="GR45" s="381">
        <v>1.7</v>
      </c>
      <c r="GS45" s="388">
        <v>25</v>
      </c>
      <c r="GT45" s="388">
        <v>35</v>
      </c>
      <c r="GU45" s="393" t="s">
        <v>646</v>
      </c>
      <c r="GV45" s="388">
        <v>350</v>
      </c>
      <c r="GW45" s="394"/>
      <c r="GX45" s="100">
        <f t="shared" si="17"/>
        <v>4436</v>
      </c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  <c r="HW45" s="394"/>
      <c r="HX45" s="394"/>
    </row>
    <row r="46" spans="1:232" x14ac:dyDescent="0.15">
      <c r="B46" s="89" t="s">
        <v>81</v>
      </c>
      <c r="C46" s="141">
        <v>1741139</v>
      </c>
      <c r="D46" s="73">
        <f t="shared" si="0"/>
        <v>602457</v>
      </c>
      <c r="E46" s="141">
        <v>21664</v>
      </c>
      <c r="F46" s="141">
        <v>580793</v>
      </c>
      <c r="G46" s="73">
        <f t="shared" si="1"/>
        <v>75144</v>
      </c>
      <c r="H46" s="141">
        <v>33323</v>
      </c>
      <c r="I46" s="141">
        <v>41821</v>
      </c>
      <c r="J46" s="141">
        <v>940908</v>
      </c>
      <c r="K46" s="141">
        <v>310740</v>
      </c>
      <c r="L46" s="141">
        <v>379756</v>
      </c>
      <c r="M46" s="141">
        <v>246390</v>
      </c>
      <c r="N46" s="141">
        <v>72969</v>
      </c>
      <c r="O46" s="141">
        <v>0</v>
      </c>
      <c r="P46" s="141">
        <v>0</v>
      </c>
      <c r="Q46" s="141">
        <v>0</v>
      </c>
      <c r="R46" s="141">
        <v>51000</v>
      </c>
      <c r="S46" s="74"/>
      <c r="T46" s="73">
        <f t="shared" si="18"/>
        <v>472023</v>
      </c>
      <c r="U46" s="141">
        <v>1867</v>
      </c>
      <c r="V46" s="141">
        <v>20673</v>
      </c>
      <c r="W46" s="141">
        <v>27144</v>
      </c>
      <c r="X46" s="141">
        <v>334159</v>
      </c>
      <c r="Y46" s="141">
        <v>46972</v>
      </c>
      <c r="Z46" s="160"/>
      <c r="AA46" s="141">
        <v>0</v>
      </c>
      <c r="AB46" s="141">
        <v>12966</v>
      </c>
      <c r="AC46" s="141">
        <v>28242</v>
      </c>
      <c r="AD46" s="141">
        <v>66509</v>
      </c>
      <c r="AE46" s="141">
        <v>2607438</v>
      </c>
      <c r="AF46" s="141">
        <v>2339551</v>
      </c>
      <c r="AG46" s="141">
        <v>267887</v>
      </c>
      <c r="AH46" s="141">
        <v>1711</v>
      </c>
      <c r="AI46" s="141">
        <v>14964</v>
      </c>
      <c r="AJ46" s="73">
        <f t="shared" si="19"/>
        <v>102957</v>
      </c>
      <c r="AK46" s="141">
        <v>85693</v>
      </c>
      <c r="AL46" s="141">
        <v>17264</v>
      </c>
      <c r="AM46" s="141">
        <v>1369904</v>
      </c>
      <c r="AN46" s="73">
        <f t="shared" si="20"/>
        <v>389484</v>
      </c>
      <c r="AO46" s="141">
        <v>0</v>
      </c>
      <c r="AP46" s="141">
        <v>57906</v>
      </c>
      <c r="AQ46" s="74"/>
      <c r="AR46" s="141">
        <v>331578</v>
      </c>
      <c r="AS46" s="141">
        <v>4324</v>
      </c>
      <c r="AT46" s="141">
        <v>248651</v>
      </c>
      <c r="AU46" s="141">
        <v>0</v>
      </c>
      <c r="AV46" s="141">
        <v>612951</v>
      </c>
      <c r="AW46" s="141">
        <v>297097</v>
      </c>
      <c r="AX46" s="141">
        <v>27875</v>
      </c>
      <c r="AY46" s="141">
        <v>1870</v>
      </c>
      <c r="AZ46" s="141">
        <v>315854</v>
      </c>
      <c r="BA46" s="141">
        <v>351</v>
      </c>
      <c r="BB46" s="141">
        <v>44718</v>
      </c>
      <c r="BC46" s="141">
        <v>7</v>
      </c>
      <c r="BD46" s="141">
        <v>281461</v>
      </c>
      <c r="BE46" s="141">
        <v>443167</v>
      </c>
      <c r="BF46" s="141">
        <v>0</v>
      </c>
      <c r="BG46" s="141">
        <v>0</v>
      </c>
      <c r="BH46" s="141">
        <v>316575</v>
      </c>
      <c r="BI46" s="141">
        <v>0</v>
      </c>
      <c r="BJ46" s="141">
        <v>83022</v>
      </c>
      <c r="BK46" s="141">
        <v>79197</v>
      </c>
      <c r="BL46" s="141">
        <v>146387</v>
      </c>
      <c r="BM46" s="141">
        <v>537</v>
      </c>
      <c r="BN46" s="141">
        <v>4028</v>
      </c>
      <c r="BO46" s="141">
        <v>0</v>
      </c>
      <c r="BP46" s="141">
        <v>263911</v>
      </c>
      <c r="BQ46" s="73">
        <f t="shared" si="5"/>
        <v>248000</v>
      </c>
      <c r="BR46" s="73">
        <f t="shared" si="6"/>
        <v>15911</v>
      </c>
      <c r="BS46" s="141">
        <v>0</v>
      </c>
      <c r="BT46" s="141">
        <v>0</v>
      </c>
      <c r="BU46" s="141">
        <v>15911</v>
      </c>
      <c r="BV46" s="141">
        <v>0</v>
      </c>
      <c r="BW46" s="141">
        <v>8303262</v>
      </c>
      <c r="BX46" s="71"/>
      <c r="BY46" s="141">
        <v>1928189</v>
      </c>
      <c r="BZ46" s="141">
        <v>1047036</v>
      </c>
      <c r="CA46" s="141">
        <v>73377</v>
      </c>
      <c r="CB46" s="141">
        <v>434811</v>
      </c>
      <c r="CC46" s="141">
        <v>1289182</v>
      </c>
      <c r="CD46" s="141">
        <v>829155</v>
      </c>
      <c r="CE46" s="141">
        <v>453</v>
      </c>
      <c r="CF46" s="141">
        <v>445114</v>
      </c>
      <c r="CG46" s="141">
        <v>0</v>
      </c>
      <c r="CH46" s="141">
        <v>5967</v>
      </c>
      <c r="CI46" s="141">
        <v>8393</v>
      </c>
      <c r="CJ46" s="141">
        <v>694231</v>
      </c>
      <c r="CK46" s="141">
        <v>670345</v>
      </c>
      <c r="CL46" s="83">
        <f t="shared" si="21"/>
        <v>23886</v>
      </c>
      <c r="CM46" s="141">
        <v>1347366</v>
      </c>
      <c r="CN46" s="141">
        <v>832378</v>
      </c>
      <c r="CO46" s="102"/>
      <c r="CP46" s="141">
        <v>326673</v>
      </c>
      <c r="CQ46" s="141">
        <v>115842</v>
      </c>
      <c r="CR46" s="141">
        <v>778011</v>
      </c>
      <c r="CS46" s="141">
        <v>310469</v>
      </c>
      <c r="CT46" s="141">
        <v>96921</v>
      </c>
      <c r="CU46" s="141">
        <v>74925</v>
      </c>
      <c r="CV46" s="73">
        <f t="shared" si="8"/>
        <v>189303</v>
      </c>
      <c r="CW46" s="141">
        <v>6629</v>
      </c>
      <c r="CX46" s="141">
        <v>182674</v>
      </c>
      <c r="CY46" s="73">
        <f t="shared" si="9"/>
        <v>0</v>
      </c>
      <c r="CZ46" s="141">
        <v>0</v>
      </c>
      <c r="DA46" s="141">
        <v>0</v>
      </c>
      <c r="DB46" s="73">
        <f t="shared" si="10"/>
        <v>189303</v>
      </c>
      <c r="DC46" s="141">
        <v>6629</v>
      </c>
      <c r="DD46" s="141">
        <v>182674</v>
      </c>
      <c r="DE46" s="141">
        <v>383181</v>
      </c>
      <c r="DF46" s="141">
        <v>236542</v>
      </c>
      <c r="DG46" s="141">
        <v>146639</v>
      </c>
      <c r="DH46" s="141">
        <v>0</v>
      </c>
      <c r="DI46" s="141">
        <v>0</v>
      </c>
      <c r="DJ46" s="141">
        <v>304799</v>
      </c>
      <c r="DK46" s="141">
        <v>394101</v>
      </c>
      <c r="DL46" s="141">
        <v>87998</v>
      </c>
      <c r="DM46" s="141">
        <v>16</v>
      </c>
      <c r="DN46" s="141">
        <v>306087</v>
      </c>
      <c r="DO46" s="141">
        <v>0</v>
      </c>
      <c r="DP46" s="141">
        <v>0</v>
      </c>
      <c r="DQ46" s="141">
        <v>0</v>
      </c>
      <c r="DR46" s="141">
        <v>0</v>
      </c>
      <c r="DS46" s="141">
        <v>0</v>
      </c>
      <c r="DT46" s="141">
        <v>0</v>
      </c>
      <c r="DU46" s="141">
        <v>0</v>
      </c>
      <c r="DV46" s="141">
        <v>978951</v>
      </c>
      <c r="DW46" s="141">
        <v>0</v>
      </c>
      <c r="DX46" s="73">
        <f t="shared" si="11"/>
        <v>0</v>
      </c>
      <c r="DY46" s="141">
        <v>0</v>
      </c>
      <c r="DZ46" s="141">
        <v>415961</v>
      </c>
      <c r="EA46" s="141">
        <v>0</v>
      </c>
      <c r="EB46" s="141">
        <v>221318</v>
      </c>
      <c r="EC46" s="74"/>
      <c r="ED46" s="141">
        <v>330347</v>
      </c>
      <c r="EE46" s="141">
        <v>0</v>
      </c>
      <c r="EF46" s="141">
        <v>8213853</v>
      </c>
      <c r="EG46" s="71"/>
      <c r="EH46" s="141">
        <v>89409</v>
      </c>
      <c r="EI46" s="141">
        <v>5072</v>
      </c>
      <c r="EJ46" s="141">
        <v>84337</v>
      </c>
      <c r="EK46" s="141">
        <v>3740</v>
      </c>
      <c r="EL46" s="141">
        <v>91738</v>
      </c>
      <c r="EM46" s="71"/>
      <c r="EN46" s="141">
        <v>14741</v>
      </c>
      <c r="EO46" s="141">
        <v>14295</v>
      </c>
      <c r="EP46" s="141">
        <v>85375</v>
      </c>
      <c r="EQ46" s="141">
        <v>19036</v>
      </c>
      <c r="ER46" s="73">
        <f t="shared" si="12"/>
        <v>461428</v>
      </c>
      <c r="ES46" s="141">
        <v>4939820</v>
      </c>
      <c r="ET46" s="141">
        <v>-580039</v>
      </c>
      <c r="EU46" s="141">
        <v>1752169</v>
      </c>
      <c r="EV46" s="141">
        <v>936737</v>
      </c>
      <c r="EW46" s="141">
        <v>491797</v>
      </c>
      <c r="EX46" s="141">
        <v>694231</v>
      </c>
      <c r="EY46" s="73">
        <f t="shared" si="13"/>
        <v>37605</v>
      </c>
      <c r="EZ46" s="141">
        <v>37605</v>
      </c>
      <c r="FA46" s="141">
        <v>399</v>
      </c>
      <c r="FB46" s="141">
        <v>37206</v>
      </c>
      <c r="FC46" s="141">
        <v>0</v>
      </c>
      <c r="FD46" s="141">
        <v>0</v>
      </c>
      <c r="FE46" s="141">
        <v>836664</v>
      </c>
      <c r="FF46" s="141">
        <v>642802</v>
      </c>
      <c r="FG46" s="141">
        <v>310004</v>
      </c>
      <c r="FH46" s="141">
        <v>777322</v>
      </c>
      <c r="FI46" s="73">
        <f t="shared" si="14"/>
        <v>197860</v>
      </c>
      <c r="FJ46" s="141">
        <v>5430450</v>
      </c>
      <c r="FK46" s="379">
        <f t="shared" si="15"/>
        <v>1.8</v>
      </c>
      <c r="FL46" s="141">
        <v>4569095</v>
      </c>
      <c r="FM46" s="141">
        <v>15911</v>
      </c>
      <c r="FN46" s="141">
        <v>1764951</v>
      </c>
      <c r="FO46" s="141">
        <v>4104502</v>
      </c>
      <c r="FP46" s="390">
        <v>0.44600000000000001</v>
      </c>
      <c r="FQ46" s="380">
        <v>94.5</v>
      </c>
      <c r="FR46" s="381">
        <v>29.7</v>
      </c>
      <c r="FS46" s="380">
        <v>6.3</v>
      </c>
      <c r="FT46" s="380">
        <v>14.6</v>
      </c>
      <c r="FU46" s="381">
        <v>14.5</v>
      </c>
      <c r="FV46" s="380">
        <v>12.2</v>
      </c>
      <c r="FW46" s="382">
        <v>15.5</v>
      </c>
      <c r="FX46" s="383">
        <v>11</v>
      </c>
      <c r="FY46" s="141">
        <v>6877940</v>
      </c>
      <c r="FZ46" s="384">
        <f t="shared" si="16"/>
        <v>150</v>
      </c>
      <c r="GA46" s="141">
        <v>950907</v>
      </c>
      <c r="GB46" s="141">
        <v>466823</v>
      </c>
      <c r="GC46" s="141">
        <v>38489</v>
      </c>
      <c r="GD46" s="141">
        <v>445595</v>
      </c>
      <c r="GE46" s="107"/>
      <c r="GF46" s="385"/>
      <c r="GG46" s="386"/>
      <c r="GH46" s="380">
        <v>99.4</v>
      </c>
      <c r="GI46" s="380">
        <v>32.799999999999997</v>
      </c>
      <c r="GJ46" s="380">
        <v>95.9</v>
      </c>
      <c r="GK46" s="141">
        <v>159</v>
      </c>
      <c r="GL46" s="391" t="s">
        <v>646</v>
      </c>
      <c r="GM46" s="391">
        <v>15</v>
      </c>
      <c r="GN46" s="117">
        <v>20</v>
      </c>
      <c r="GO46" s="391" t="s">
        <v>646</v>
      </c>
      <c r="GP46" s="392">
        <v>20</v>
      </c>
      <c r="GQ46" s="387">
        <v>30</v>
      </c>
      <c r="GR46" s="381">
        <v>11</v>
      </c>
      <c r="GS46" s="388">
        <v>25</v>
      </c>
      <c r="GT46" s="388">
        <v>35</v>
      </c>
      <c r="GU46" s="393">
        <v>100.4</v>
      </c>
      <c r="GV46" s="388">
        <v>350</v>
      </c>
      <c r="GW46" s="394"/>
      <c r="GX46" s="100">
        <f t="shared" si="17"/>
        <v>4585</v>
      </c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  <c r="HW46" s="394"/>
      <c r="HX46" s="394"/>
    </row>
    <row r="47" spans="1:232" x14ac:dyDescent="0.15">
      <c r="B47" s="89" t="s">
        <v>83</v>
      </c>
      <c r="C47" s="141">
        <v>1327689</v>
      </c>
      <c r="D47" s="73">
        <f t="shared" si="0"/>
        <v>622013</v>
      </c>
      <c r="E47" s="141">
        <v>18289</v>
      </c>
      <c r="F47" s="141">
        <v>603724</v>
      </c>
      <c r="G47" s="73">
        <f t="shared" si="1"/>
        <v>37508</v>
      </c>
      <c r="H47" s="141">
        <v>22579</v>
      </c>
      <c r="I47" s="141">
        <v>14929</v>
      </c>
      <c r="J47" s="141">
        <v>502556</v>
      </c>
      <c r="K47" s="141">
        <v>187802</v>
      </c>
      <c r="L47" s="141">
        <v>253940</v>
      </c>
      <c r="M47" s="141">
        <v>60814</v>
      </c>
      <c r="N47" s="141">
        <v>116339</v>
      </c>
      <c r="O47" s="141">
        <v>0</v>
      </c>
      <c r="P47" s="141">
        <v>0</v>
      </c>
      <c r="Q47" s="141">
        <v>0</v>
      </c>
      <c r="R47" s="141">
        <v>34800</v>
      </c>
      <c r="S47" s="74"/>
      <c r="T47" s="73">
        <f t="shared" si="18"/>
        <v>394850</v>
      </c>
      <c r="U47" s="141">
        <v>1892</v>
      </c>
      <c r="V47" s="141">
        <v>20961</v>
      </c>
      <c r="W47" s="141">
        <v>27541</v>
      </c>
      <c r="X47" s="141">
        <v>294427</v>
      </c>
      <c r="Y47" s="141">
        <v>15897</v>
      </c>
      <c r="Z47" s="160"/>
      <c r="AA47" s="141">
        <v>0</v>
      </c>
      <c r="AB47" s="141">
        <v>9526</v>
      </c>
      <c r="AC47" s="141">
        <v>24606</v>
      </c>
      <c r="AD47" s="141">
        <v>68318</v>
      </c>
      <c r="AE47" s="141">
        <v>2077587</v>
      </c>
      <c r="AF47" s="141">
        <v>1797204</v>
      </c>
      <c r="AG47" s="141">
        <v>280383</v>
      </c>
      <c r="AH47" s="141">
        <v>1540</v>
      </c>
      <c r="AI47" s="141">
        <v>36674</v>
      </c>
      <c r="AJ47" s="73">
        <f t="shared" si="19"/>
        <v>73272</v>
      </c>
      <c r="AK47" s="141">
        <v>48216</v>
      </c>
      <c r="AL47" s="141">
        <v>25056</v>
      </c>
      <c r="AM47" s="141">
        <v>1081066</v>
      </c>
      <c r="AN47" s="73">
        <f t="shared" si="20"/>
        <v>359384</v>
      </c>
      <c r="AO47" s="141">
        <v>0</v>
      </c>
      <c r="AP47" s="141">
        <v>174275</v>
      </c>
      <c r="AQ47" s="74"/>
      <c r="AR47" s="141">
        <v>185109</v>
      </c>
      <c r="AS47" s="141">
        <v>19778</v>
      </c>
      <c r="AT47" s="141">
        <v>0</v>
      </c>
      <c r="AU47" s="141">
        <v>0</v>
      </c>
      <c r="AV47" s="141">
        <v>601205</v>
      </c>
      <c r="AW47" s="141">
        <v>386210</v>
      </c>
      <c r="AX47" s="141">
        <v>70458</v>
      </c>
      <c r="AY47" s="141">
        <v>7986</v>
      </c>
      <c r="AZ47" s="141">
        <v>214995</v>
      </c>
      <c r="BA47" s="141">
        <v>0</v>
      </c>
      <c r="BB47" s="141">
        <v>6672</v>
      </c>
      <c r="BC47" s="141">
        <v>0</v>
      </c>
      <c r="BD47" s="141">
        <v>275307</v>
      </c>
      <c r="BE47" s="141">
        <v>273224</v>
      </c>
      <c r="BF47" s="141">
        <v>0</v>
      </c>
      <c r="BG47" s="141">
        <v>9060</v>
      </c>
      <c r="BH47" s="141">
        <v>253264</v>
      </c>
      <c r="BI47" s="141">
        <v>0</v>
      </c>
      <c r="BJ47" s="141">
        <v>203576</v>
      </c>
      <c r="BK47" s="141">
        <v>164494</v>
      </c>
      <c r="BL47" s="141">
        <v>48699</v>
      </c>
      <c r="BM47" s="141">
        <v>0</v>
      </c>
      <c r="BN47" s="141">
        <v>8920</v>
      </c>
      <c r="BO47" s="141">
        <v>0</v>
      </c>
      <c r="BP47" s="141">
        <v>218725</v>
      </c>
      <c r="BQ47" s="73">
        <f t="shared" si="5"/>
        <v>207100</v>
      </c>
      <c r="BR47" s="73">
        <f t="shared" si="6"/>
        <v>11625</v>
      </c>
      <c r="BS47" s="141">
        <v>0</v>
      </c>
      <c r="BT47" s="141">
        <v>0</v>
      </c>
      <c r="BU47" s="141">
        <v>11625</v>
      </c>
      <c r="BV47" s="141">
        <v>0</v>
      </c>
      <c r="BW47" s="141">
        <v>6723204</v>
      </c>
      <c r="BX47" s="71"/>
      <c r="BY47" s="141">
        <v>1250356</v>
      </c>
      <c r="BZ47" s="141">
        <v>667291</v>
      </c>
      <c r="CA47" s="141">
        <v>87992</v>
      </c>
      <c r="CB47" s="141">
        <v>234145</v>
      </c>
      <c r="CC47" s="141">
        <v>1487510</v>
      </c>
      <c r="CD47" s="141">
        <v>663254</v>
      </c>
      <c r="CE47" s="141">
        <v>2024</v>
      </c>
      <c r="CF47" s="141">
        <v>778061</v>
      </c>
      <c r="CG47" s="141">
        <v>0</v>
      </c>
      <c r="CH47" s="141">
        <v>0</v>
      </c>
      <c r="CI47" s="141">
        <v>44171</v>
      </c>
      <c r="CJ47" s="141">
        <v>382851</v>
      </c>
      <c r="CK47" s="141">
        <v>365598</v>
      </c>
      <c r="CL47" s="83">
        <f t="shared" si="21"/>
        <v>17253</v>
      </c>
      <c r="CM47" s="141">
        <v>1070848</v>
      </c>
      <c r="CN47" s="141">
        <v>796337</v>
      </c>
      <c r="CO47" s="102"/>
      <c r="CP47" s="141">
        <v>121554</v>
      </c>
      <c r="CQ47" s="141">
        <v>22737</v>
      </c>
      <c r="CR47" s="141">
        <v>918855</v>
      </c>
      <c r="CS47" s="141">
        <v>328274</v>
      </c>
      <c r="CT47" s="141">
        <v>244041</v>
      </c>
      <c r="CU47" s="141">
        <v>197497</v>
      </c>
      <c r="CV47" s="73">
        <f t="shared" si="8"/>
        <v>136066</v>
      </c>
      <c r="CW47" s="141">
        <v>6243</v>
      </c>
      <c r="CX47" s="141">
        <v>129823</v>
      </c>
      <c r="CY47" s="73">
        <f t="shared" si="9"/>
        <v>0</v>
      </c>
      <c r="CZ47" s="141">
        <v>0</v>
      </c>
      <c r="DA47" s="141">
        <v>0</v>
      </c>
      <c r="DB47" s="73">
        <f t="shared" si="10"/>
        <v>136066</v>
      </c>
      <c r="DC47" s="141">
        <v>6243</v>
      </c>
      <c r="DD47" s="141">
        <v>129823</v>
      </c>
      <c r="DE47" s="141">
        <v>384978</v>
      </c>
      <c r="DF47" s="141">
        <v>75020</v>
      </c>
      <c r="DG47" s="141">
        <v>309234</v>
      </c>
      <c r="DH47" s="141">
        <v>724</v>
      </c>
      <c r="DI47" s="141">
        <v>0</v>
      </c>
      <c r="DJ47" s="141">
        <v>600</v>
      </c>
      <c r="DK47" s="141">
        <v>581666</v>
      </c>
      <c r="DL47" s="141">
        <v>85324</v>
      </c>
      <c r="DM47" s="141">
        <v>23347</v>
      </c>
      <c r="DN47" s="141">
        <v>472995</v>
      </c>
      <c r="DO47" s="141">
        <v>0</v>
      </c>
      <c r="DP47" s="141">
        <v>0</v>
      </c>
      <c r="DQ47" s="141">
        <v>0</v>
      </c>
      <c r="DR47" s="141">
        <v>0</v>
      </c>
      <c r="DS47" s="141">
        <v>0</v>
      </c>
      <c r="DT47" s="141">
        <v>0</v>
      </c>
      <c r="DU47" s="141">
        <v>0</v>
      </c>
      <c r="DV47" s="141">
        <v>611845</v>
      </c>
      <c r="DW47" s="141">
        <v>0</v>
      </c>
      <c r="DX47" s="73">
        <f t="shared" si="11"/>
        <v>0</v>
      </c>
      <c r="DY47" s="141">
        <v>0</v>
      </c>
      <c r="DZ47" s="141">
        <v>221671</v>
      </c>
      <c r="EA47" s="141">
        <v>0</v>
      </c>
      <c r="EB47" s="141">
        <v>135856</v>
      </c>
      <c r="EC47" s="74"/>
      <c r="ED47" s="141">
        <v>249242</v>
      </c>
      <c r="EE47" s="141">
        <v>0</v>
      </c>
      <c r="EF47" s="141">
        <v>6712246</v>
      </c>
      <c r="EG47" s="71"/>
      <c r="EH47" s="141">
        <v>10958</v>
      </c>
      <c r="EI47" s="141">
        <v>6478</v>
      </c>
      <c r="EJ47" s="141">
        <v>4480</v>
      </c>
      <c r="EK47" s="141">
        <v>-160014</v>
      </c>
      <c r="EL47" s="141">
        <v>-74690</v>
      </c>
      <c r="EM47" s="71"/>
      <c r="EN47" s="141">
        <v>13009</v>
      </c>
      <c r="EO47" s="141">
        <v>12673</v>
      </c>
      <c r="EP47" s="141">
        <v>9060</v>
      </c>
      <c r="EQ47" s="141">
        <v>0</v>
      </c>
      <c r="ER47" s="73">
        <f t="shared" si="12"/>
        <v>476884</v>
      </c>
      <c r="ES47" s="141">
        <v>3904784</v>
      </c>
      <c r="ET47" s="141">
        <v>-496029</v>
      </c>
      <c r="EU47" s="141">
        <v>1105387</v>
      </c>
      <c r="EV47" s="141">
        <v>611986</v>
      </c>
      <c r="EW47" s="141">
        <v>560892</v>
      </c>
      <c r="EX47" s="141">
        <v>382851</v>
      </c>
      <c r="EY47" s="73">
        <f t="shared" si="13"/>
        <v>106099</v>
      </c>
      <c r="EZ47" s="141">
        <v>106099</v>
      </c>
      <c r="FA47" s="141">
        <v>11985</v>
      </c>
      <c r="FB47" s="141">
        <v>93990</v>
      </c>
      <c r="FC47" s="141">
        <v>0</v>
      </c>
      <c r="FD47" s="141">
        <v>0</v>
      </c>
      <c r="FE47" s="141">
        <v>680026</v>
      </c>
      <c r="FF47" s="141">
        <v>755237</v>
      </c>
      <c r="FG47" s="141">
        <v>321593</v>
      </c>
      <c r="FH47" s="141">
        <v>478291</v>
      </c>
      <c r="FI47" s="73">
        <f t="shared" si="14"/>
        <v>321072</v>
      </c>
      <c r="FJ47" s="141">
        <v>4389855</v>
      </c>
      <c r="FK47" s="379">
        <f t="shared" si="15"/>
        <v>0.1</v>
      </c>
      <c r="FL47" s="141">
        <v>3565949</v>
      </c>
      <c r="FM47" s="141">
        <v>11625</v>
      </c>
      <c r="FN47" s="141">
        <v>1408625</v>
      </c>
      <c r="FO47" s="141">
        <v>3205829</v>
      </c>
      <c r="FP47" s="390">
        <v>0.44400000000000001</v>
      </c>
      <c r="FQ47" s="380">
        <v>94</v>
      </c>
      <c r="FR47" s="381">
        <v>30.1</v>
      </c>
      <c r="FS47" s="380">
        <v>10.3</v>
      </c>
      <c r="FT47" s="380">
        <v>10.5</v>
      </c>
      <c r="FU47" s="381">
        <v>15</v>
      </c>
      <c r="FV47" s="380">
        <v>15.1</v>
      </c>
      <c r="FW47" s="382">
        <v>12.5</v>
      </c>
      <c r="FX47" s="383">
        <v>4.2</v>
      </c>
      <c r="FY47" s="141">
        <v>3797903</v>
      </c>
      <c r="FZ47" s="384">
        <f t="shared" si="16"/>
        <v>106.2</v>
      </c>
      <c r="GA47" s="141">
        <v>3714511</v>
      </c>
      <c r="GB47" s="141">
        <v>1656987</v>
      </c>
      <c r="GC47" s="141">
        <v>168330</v>
      </c>
      <c r="GD47" s="141">
        <v>1889194</v>
      </c>
      <c r="GE47" s="107"/>
      <c r="GF47" s="385"/>
      <c r="GG47" s="386"/>
      <c r="GH47" s="380">
        <v>99</v>
      </c>
      <c r="GI47" s="380">
        <v>51.1</v>
      </c>
      <c r="GJ47" s="380">
        <v>97.9</v>
      </c>
      <c r="GK47" s="141">
        <v>100</v>
      </c>
      <c r="GL47" s="391" t="s">
        <v>646</v>
      </c>
      <c r="GM47" s="391">
        <v>15</v>
      </c>
      <c r="GN47" s="117">
        <v>20</v>
      </c>
      <c r="GO47" s="391" t="s">
        <v>646</v>
      </c>
      <c r="GP47" s="392">
        <v>20</v>
      </c>
      <c r="GQ47" s="387">
        <v>30</v>
      </c>
      <c r="GR47" s="381">
        <v>4.2</v>
      </c>
      <c r="GS47" s="388">
        <v>25</v>
      </c>
      <c r="GT47" s="388">
        <v>35</v>
      </c>
      <c r="GU47" s="393" t="s">
        <v>646</v>
      </c>
      <c r="GV47" s="388">
        <v>350</v>
      </c>
      <c r="GW47" s="394"/>
      <c r="GX47" s="100">
        <f t="shared" si="17"/>
        <v>3578</v>
      </c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  <c r="HW47" s="394"/>
      <c r="HX47" s="394"/>
    </row>
    <row r="48" spans="1:232" x14ac:dyDescent="0.15">
      <c r="B48" s="89" t="s">
        <v>85</v>
      </c>
      <c r="C48" s="141">
        <v>1459808</v>
      </c>
      <c r="D48" s="73">
        <f t="shared" si="0"/>
        <v>682792</v>
      </c>
      <c r="E48" s="141">
        <v>22350</v>
      </c>
      <c r="F48" s="141">
        <v>660442</v>
      </c>
      <c r="G48" s="73">
        <f t="shared" si="1"/>
        <v>51343</v>
      </c>
      <c r="H48" s="141">
        <v>30316</v>
      </c>
      <c r="I48" s="141">
        <v>21027</v>
      </c>
      <c r="J48" s="141">
        <v>569300</v>
      </c>
      <c r="K48" s="141">
        <v>176746</v>
      </c>
      <c r="L48" s="141">
        <v>301898</v>
      </c>
      <c r="M48" s="141">
        <v>90656</v>
      </c>
      <c r="N48" s="141">
        <v>98467</v>
      </c>
      <c r="O48" s="141">
        <v>0</v>
      </c>
      <c r="P48" s="141">
        <v>0</v>
      </c>
      <c r="Q48" s="141">
        <v>0</v>
      </c>
      <c r="R48" s="141">
        <v>49827</v>
      </c>
      <c r="S48" s="74"/>
      <c r="T48" s="73">
        <f t="shared" si="18"/>
        <v>521627</v>
      </c>
      <c r="U48" s="141">
        <v>2082</v>
      </c>
      <c r="V48" s="141">
        <v>23020</v>
      </c>
      <c r="W48" s="141">
        <v>30182</v>
      </c>
      <c r="X48" s="141">
        <v>371233</v>
      </c>
      <c r="Y48" s="141">
        <v>41612</v>
      </c>
      <c r="Z48" s="160"/>
      <c r="AA48" s="141">
        <v>0</v>
      </c>
      <c r="AB48" s="141">
        <v>12974</v>
      </c>
      <c r="AC48" s="141">
        <v>40524</v>
      </c>
      <c r="AD48" s="141">
        <v>74805</v>
      </c>
      <c r="AE48" s="141">
        <v>2544864</v>
      </c>
      <c r="AF48" s="141">
        <v>2332183</v>
      </c>
      <c r="AG48" s="141">
        <v>212681</v>
      </c>
      <c r="AH48" s="141">
        <v>1690</v>
      </c>
      <c r="AI48" s="141">
        <v>2645</v>
      </c>
      <c r="AJ48" s="73">
        <f t="shared" si="19"/>
        <v>153506</v>
      </c>
      <c r="AK48" s="141">
        <v>94696</v>
      </c>
      <c r="AL48" s="141">
        <v>58810</v>
      </c>
      <c r="AM48" s="141">
        <v>1066872</v>
      </c>
      <c r="AN48" s="73">
        <f t="shared" si="20"/>
        <v>427360</v>
      </c>
      <c r="AO48" s="141">
        <v>0</v>
      </c>
      <c r="AP48" s="141">
        <v>112590</v>
      </c>
      <c r="AQ48" s="74"/>
      <c r="AR48" s="141">
        <v>314770</v>
      </c>
      <c r="AS48" s="141">
        <v>0</v>
      </c>
      <c r="AT48" s="141">
        <v>0</v>
      </c>
      <c r="AU48" s="141">
        <v>0</v>
      </c>
      <c r="AV48" s="141">
        <v>600664</v>
      </c>
      <c r="AW48" s="141">
        <v>338903</v>
      </c>
      <c r="AX48" s="141">
        <v>45638</v>
      </c>
      <c r="AY48" s="141">
        <v>500</v>
      </c>
      <c r="AZ48" s="141">
        <v>261761</v>
      </c>
      <c r="BA48" s="141">
        <v>5204</v>
      </c>
      <c r="BB48" s="141">
        <v>22224</v>
      </c>
      <c r="BC48" s="141">
        <v>18558</v>
      </c>
      <c r="BD48" s="141">
        <v>35542</v>
      </c>
      <c r="BE48" s="141">
        <v>169542</v>
      </c>
      <c r="BF48" s="141">
        <v>70000</v>
      </c>
      <c r="BG48" s="141">
        <v>0</v>
      </c>
      <c r="BH48" s="141">
        <v>98445</v>
      </c>
      <c r="BI48" s="141">
        <v>0</v>
      </c>
      <c r="BJ48" s="141">
        <v>118256</v>
      </c>
      <c r="BK48" s="141">
        <v>51847</v>
      </c>
      <c r="BL48" s="141">
        <v>169710</v>
      </c>
      <c r="BM48" s="141">
        <v>1000</v>
      </c>
      <c r="BN48" s="141">
        <v>9256</v>
      </c>
      <c r="BO48" s="141">
        <v>0</v>
      </c>
      <c r="BP48" s="141">
        <v>117500</v>
      </c>
      <c r="BQ48" s="73">
        <f t="shared" si="5"/>
        <v>105000</v>
      </c>
      <c r="BR48" s="73">
        <f t="shared" si="6"/>
        <v>12500</v>
      </c>
      <c r="BS48" s="141">
        <v>0</v>
      </c>
      <c r="BT48" s="141">
        <v>0</v>
      </c>
      <c r="BU48" s="141">
        <v>12500</v>
      </c>
      <c r="BV48" s="141">
        <v>0</v>
      </c>
      <c r="BW48" s="141">
        <v>7109082</v>
      </c>
      <c r="BX48" s="71"/>
      <c r="BY48" s="141">
        <v>1379895</v>
      </c>
      <c r="BZ48" s="141">
        <v>752266</v>
      </c>
      <c r="CA48" s="141">
        <v>18153</v>
      </c>
      <c r="CB48" s="141">
        <v>309419</v>
      </c>
      <c r="CC48" s="141">
        <v>1581919</v>
      </c>
      <c r="CD48" s="141">
        <v>985418</v>
      </c>
      <c r="CE48" s="141">
        <v>4524</v>
      </c>
      <c r="CF48" s="141">
        <v>539559</v>
      </c>
      <c r="CG48" s="141">
        <v>0</v>
      </c>
      <c r="CH48" s="141">
        <v>0</v>
      </c>
      <c r="CI48" s="141">
        <v>52418</v>
      </c>
      <c r="CJ48" s="141">
        <v>574772</v>
      </c>
      <c r="CK48" s="141">
        <v>555598</v>
      </c>
      <c r="CL48" s="83">
        <f t="shared" si="21"/>
        <v>19174</v>
      </c>
      <c r="CM48" s="141">
        <v>1394408</v>
      </c>
      <c r="CN48" s="141">
        <v>960734</v>
      </c>
      <c r="CO48" s="102"/>
      <c r="CP48" s="141">
        <v>223649</v>
      </c>
      <c r="CQ48" s="141">
        <v>34240</v>
      </c>
      <c r="CR48" s="141">
        <v>1014655</v>
      </c>
      <c r="CS48" s="141">
        <v>431420</v>
      </c>
      <c r="CT48" s="141">
        <v>217365</v>
      </c>
      <c r="CU48" s="141">
        <v>164522</v>
      </c>
      <c r="CV48" s="73">
        <f t="shared" si="8"/>
        <v>142369</v>
      </c>
      <c r="CW48" s="141">
        <v>4505</v>
      </c>
      <c r="CX48" s="141">
        <v>137864</v>
      </c>
      <c r="CY48" s="73">
        <f t="shared" si="9"/>
        <v>0</v>
      </c>
      <c r="CZ48" s="141">
        <v>0</v>
      </c>
      <c r="DA48" s="141">
        <v>0</v>
      </c>
      <c r="DB48" s="73">
        <f t="shared" si="10"/>
        <v>142369</v>
      </c>
      <c r="DC48" s="141">
        <v>4505</v>
      </c>
      <c r="DD48" s="141">
        <v>137864</v>
      </c>
      <c r="DE48" s="141">
        <v>218793</v>
      </c>
      <c r="DF48" s="141">
        <v>20852</v>
      </c>
      <c r="DG48" s="141">
        <v>176156</v>
      </c>
      <c r="DH48" s="141">
        <v>21785</v>
      </c>
      <c r="DI48" s="141">
        <v>0</v>
      </c>
      <c r="DJ48" s="141">
        <v>0</v>
      </c>
      <c r="DK48" s="141">
        <v>60101</v>
      </c>
      <c r="DL48" s="141">
        <v>1040</v>
      </c>
      <c r="DM48" s="141">
        <v>26038</v>
      </c>
      <c r="DN48" s="141">
        <v>33023</v>
      </c>
      <c r="DO48" s="141">
        <v>0</v>
      </c>
      <c r="DP48" s="141">
        <v>0</v>
      </c>
      <c r="DQ48" s="141">
        <v>0</v>
      </c>
      <c r="DR48" s="141">
        <v>0</v>
      </c>
      <c r="DS48" s="141">
        <v>0</v>
      </c>
      <c r="DT48" s="141">
        <v>0</v>
      </c>
      <c r="DU48" s="141">
        <v>0</v>
      </c>
      <c r="DV48" s="141">
        <v>718846</v>
      </c>
      <c r="DW48" s="141">
        <v>0</v>
      </c>
      <c r="DX48" s="73">
        <f t="shared" si="11"/>
        <v>0</v>
      </c>
      <c r="DY48" s="141">
        <v>0</v>
      </c>
      <c r="DZ48" s="141">
        <v>297313</v>
      </c>
      <c r="EA48" s="141">
        <v>0</v>
      </c>
      <c r="EB48" s="141">
        <v>160253</v>
      </c>
      <c r="EC48" s="74"/>
      <c r="ED48" s="141">
        <v>261280</v>
      </c>
      <c r="EE48" s="141">
        <v>0</v>
      </c>
      <c r="EF48" s="141">
        <v>6977629</v>
      </c>
      <c r="EG48" s="71"/>
      <c r="EH48" s="141">
        <v>131453</v>
      </c>
      <c r="EI48" s="141">
        <v>37497</v>
      </c>
      <c r="EJ48" s="141">
        <v>93956</v>
      </c>
      <c r="EK48" s="141">
        <v>-9891</v>
      </c>
      <c r="EL48" s="141">
        <v>-78851</v>
      </c>
      <c r="EM48" s="71"/>
      <c r="EN48" s="141">
        <v>15697</v>
      </c>
      <c r="EO48" s="141">
        <v>14556</v>
      </c>
      <c r="EP48" s="141">
        <v>71097</v>
      </c>
      <c r="EQ48" s="141">
        <v>18558</v>
      </c>
      <c r="ER48" s="73">
        <f t="shared" si="12"/>
        <v>363359</v>
      </c>
      <c r="ES48" s="141">
        <v>4652621</v>
      </c>
      <c r="ET48" s="141">
        <v>-463824</v>
      </c>
      <c r="EU48" s="141">
        <v>1290869</v>
      </c>
      <c r="EV48" s="141">
        <v>703576</v>
      </c>
      <c r="EW48" s="141">
        <v>618585</v>
      </c>
      <c r="EX48" s="141">
        <v>574772</v>
      </c>
      <c r="EY48" s="73">
        <f t="shared" si="13"/>
        <v>93877</v>
      </c>
      <c r="EZ48" s="141">
        <v>93877</v>
      </c>
      <c r="FA48" s="141">
        <v>2166</v>
      </c>
      <c r="FB48" s="141">
        <v>77026</v>
      </c>
      <c r="FC48" s="141">
        <v>0</v>
      </c>
      <c r="FD48" s="141">
        <v>0</v>
      </c>
      <c r="FE48" s="141">
        <v>888891</v>
      </c>
      <c r="FF48" s="141">
        <v>850564</v>
      </c>
      <c r="FG48" s="141">
        <v>431107</v>
      </c>
      <c r="FH48" s="141">
        <v>576105</v>
      </c>
      <c r="FI48" s="73">
        <f t="shared" si="14"/>
        <v>91329</v>
      </c>
      <c r="FJ48" s="141">
        <v>4984992</v>
      </c>
      <c r="FK48" s="379">
        <f t="shared" si="15"/>
        <v>2.1</v>
      </c>
      <c r="FL48" s="141">
        <v>4391811</v>
      </c>
      <c r="FM48" s="141">
        <v>12547</v>
      </c>
      <c r="FN48" s="141">
        <v>1642039</v>
      </c>
      <c r="FO48" s="141">
        <v>3974222</v>
      </c>
      <c r="FP48" s="390">
        <v>0.41499999999999998</v>
      </c>
      <c r="FQ48" s="380">
        <v>95.4</v>
      </c>
      <c r="FR48" s="381">
        <v>28.4</v>
      </c>
      <c r="FS48" s="380">
        <v>9.5</v>
      </c>
      <c r="FT48" s="380">
        <v>12.8</v>
      </c>
      <c r="FU48" s="381">
        <v>16.100000000000001</v>
      </c>
      <c r="FV48" s="380">
        <v>15.2</v>
      </c>
      <c r="FW48" s="382">
        <v>12.7</v>
      </c>
      <c r="FX48" s="383">
        <v>7.4</v>
      </c>
      <c r="FY48" s="141">
        <v>4829228</v>
      </c>
      <c r="FZ48" s="384">
        <f t="shared" si="16"/>
        <v>109.6</v>
      </c>
      <c r="GA48" s="141">
        <v>3154925</v>
      </c>
      <c r="GB48" s="141">
        <v>1417668</v>
      </c>
      <c r="GC48" s="141">
        <v>321161</v>
      </c>
      <c r="GD48" s="141">
        <v>1416096</v>
      </c>
      <c r="GE48" s="107"/>
      <c r="GF48" s="385">
        <v>109</v>
      </c>
      <c r="GG48" s="386">
        <f>IF(GF48=0,"-",ROUND(GF48/(GX48)*100,1))</f>
        <v>2.5</v>
      </c>
      <c r="GH48" s="380">
        <v>99.2</v>
      </c>
      <c r="GI48" s="380">
        <v>19.5</v>
      </c>
      <c r="GJ48" s="380">
        <v>96.4</v>
      </c>
      <c r="GK48" s="141">
        <v>119</v>
      </c>
      <c r="GL48" s="391" t="s">
        <v>646</v>
      </c>
      <c r="GM48" s="391">
        <v>15</v>
      </c>
      <c r="GN48" s="117">
        <v>20</v>
      </c>
      <c r="GO48" s="391" t="s">
        <v>646</v>
      </c>
      <c r="GP48" s="392">
        <v>20</v>
      </c>
      <c r="GQ48" s="387">
        <v>30</v>
      </c>
      <c r="GR48" s="381">
        <v>7.4</v>
      </c>
      <c r="GS48" s="388">
        <v>25</v>
      </c>
      <c r="GT48" s="388">
        <v>35</v>
      </c>
      <c r="GU48" s="393" t="s">
        <v>646</v>
      </c>
      <c r="GV48" s="388">
        <v>350</v>
      </c>
      <c r="GW48" s="394"/>
      <c r="GX48" s="100">
        <f t="shared" si="17"/>
        <v>4404</v>
      </c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  <c r="HW48" s="394"/>
      <c r="HX48" s="394"/>
    </row>
    <row r="49" spans="1:232" x14ac:dyDescent="0.15">
      <c r="B49" s="89" t="s">
        <v>87</v>
      </c>
      <c r="C49" s="141">
        <v>445701</v>
      </c>
      <c r="D49" s="73">
        <f t="shared" si="0"/>
        <v>171070</v>
      </c>
      <c r="E49" s="141">
        <v>7157</v>
      </c>
      <c r="F49" s="141">
        <v>163913</v>
      </c>
      <c r="G49" s="73">
        <f t="shared" si="1"/>
        <v>34899</v>
      </c>
      <c r="H49" s="141">
        <v>16771</v>
      </c>
      <c r="I49" s="141">
        <v>18128</v>
      </c>
      <c r="J49" s="141">
        <v>217747</v>
      </c>
      <c r="K49" s="141">
        <v>60739</v>
      </c>
      <c r="L49" s="141">
        <v>113300</v>
      </c>
      <c r="M49" s="141">
        <v>43708</v>
      </c>
      <c r="N49" s="141">
        <v>626</v>
      </c>
      <c r="O49" s="141">
        <v>0</v>
      </c>
      <c r="P49" s="141">
        <v>0</v>
      </c>
      <c r="Q49" s="141">
        <v>0</v>
      </c>
      <c r="R49" s="141">
        <v>35716</v>
      </c>
      <c r="S49" s="74"/>
      <c r="T49" s="73">
        <f t="shared" si="18"/>
        <v>167798</v>
      </c>
      <c r="U49" s="141">
        <v>562</v>
      </c>
      <c r="V49" s="141">
        <v>6214</v>
      </c>
      <c r="W49" s="141">
        <v>8143</v>
      </c>
      <c r="X49" s="141">
        <v>116962</v>
      </c>
      <c r="Y49" s="141">
        <v>17620</v>
      </c>
      <c r="Z49" s="160"/>
      <c r="AA49" s="141">
        <v>0</v>
      </c>
      <c r="AB49" s="141">
        <v>5037</v>
      </c>
      <c r="AC49" s="141">
        <v>13260</v>
      </c>
      <c r="AD49" s="141">
        <v>20613</v>
      </c>
      <c r="AE49" s="141">
        <v>1927100</v>
      </c>
      <c r="AF49" s="141">
        <v>1702159</v>
      </c>
      <c r="AG49" s="141">
        <v>224941</v>
      </c>
      <c r="AH49" s="141">
        <v>565</v>
      </c>
      <c r="AI49" s="141">
        <v>1941</v>
      </c>
      <c r="AJ49" s="73">
        <f t="shared" si="19"/>
        <v>32214</v>
      </c>
      <c r="AK49" s="141">
        <v>19577</v>
      </c>
      <c r="AL49" s="141">
        <v>12637</v>
      </c>
      <c r="AM49" s="141">
        <v>455589</v>
      </c>
      <c r="AN49" s="73">
        <f t="shared" si="20"/>
        <v>65862</v>
      </c>
      <c r="AO49" s="141">
        <v>0</v>
      </c>
      <c r="AP49" s="141">
        <v>0</v>
      </c>
      <c r="AQ49" s="74"/>
      <c r="AR49" s="141">
        <v>65862</v>
      </c>
      <c r="AS49" s="141">
        <v>0</v>
      </c>
      <c r="AT49" s="141">
        <v>6800</v>
      </c>
      <c r="AU49" s="141">
        <v>0</v>
      </c>
      <c r="AV49" s="141">
        <v>273959</v>
      </c>
      <c r="AW49" s="141">
        <v>126378</v>
      </c>
      <c r="AX49" s="141">
        <v>0</v>
      </c>
      <c r="AY49" s="141">
        <v>0</v>
      </c>
      <c r="AZ49" s="141">
        <v>147581</v>
      </c>
      <c r="BA49" s="141">
        <v>0</v>
      </c>
      <c r="BB49" s="141">
        <v>3394</v>
      </c>
      <c r="BC49" s="141">
        <v>0</v>
      </c>
      <c r="BD49" s="141">
        <v>9786</v>
      </c>
      <c r="BE49" s="141">
        <v>67361</v>
      </c>
      <c r="BF49" s="141">
        <v>0</v>
      </c>
      <c r="BG49" s="141">
        <v>0</v>
      </c>
      <c r="BH49" s="141">
        <v>67361</v>
      </c>
      <c r="BI49" s="141">
        <v>0</v>
      </c>
      <c r="BJ49" s="141">
        <v>241396</v>
      </c>
      <c r="BK49" s="141">
        <v>195793</v>
      </c>
      <c r="BL49" s="141">
        <v>95465</v>
      </c>
      <c r="BM49" s="141">
        <v>0</v>
      </c>
      <c r="BN49" s="141">
        <v>9739</v>
      </c>
      <c r="BO49" s="141">
        <v>0</v>
      </c>
      <c r="BP49" s="141">
        <v>119200</v>
      </c>
      <c r="BQ49" s="73">
        <f t="shared" si="5"/>
        <v>119200</v>
      </c>
      <c r="BR49" s="73">
        <f t="shared" si="6"/>
        <v>0</v>
      </c>
      <c r="BS49" s="141">
        <v>0</v>
      </c>
      <c r="BT49" s="141">
        <v>0</v>
      </c>
      <c r="BU49" s="141">
        <v>0</v>
      </c>
      <c r="BV49" s="141">
        <v>0</v>
      </c>
      <c r="BW49" s="141">
        <v>3897798</v>
      </c>
      <c r="BX49" s="71"/>
      <c r="BY49" s="141">
        <v>874956</v>
      </c>
      <c r="BZ49" s="141">
        <v>494086</v>
      </c>
      <c r="CA49" s="141">
        <v>54873</v>
      </c>
      <c r="CB49" s="141">
        <v>141051</v>
      </c>
      <c r="CC49" s="141">
        <v>439720</v>
      </c>
      <c r="CD49" s="141">
        <v>223631</v>
      </c>
      <c r="CE49" s="141">
        <v>3481</v>
      </c>
      <c r="CF49" s="141">
        <v>155578</v>
      </c>
      <c r="CG49" s="141">
        <v>0</v>
      </c>
      <c r="CH49" s="141">
        <v>283</v>
      </c>
      <c r="CI49" s="141">
        <v>56747</v>
      </c>
      <c r="CJ49" s="141">
        <v>379265</v>
      </c>
      <c r="CK49" s="141">
        <v>363045</v>
      </c>
      <c r="CL49" s="83">
        <f t="shared" si="21"/>
        <v>16220</v>
      </c>
      <c r="CM49" s="141">
        <v>650559</v>
      </c>
      <c r="CN49" s="141">
        <v>462740</v>
      </c>
      <c r="CO49" s="102"/>
      <c r="CP49" s="141">
        <v>73074</v>
      </c>
      <c r="CQ49" s="141">
        <v>21470</v>
      </c>
      <c r="CR49" s="141">
        <v>653260</v>
      </c>
      <c r="CS49" s="141">
        <v>293986</v>
      </c>
      <c r="CT49" s="141">
        <v>170644</v>
      </c>
      <c r="CU49" s="141">
        <v>74932</v>
      </c>
      <c r="CV49" s="73">
        <f t="shared" si="8"/>
        <v>64554</v>
      </c>
      <c r="CW49" s="141">
        <v>0</v>
      </c>
      <c r="CX49" s="141">
        <v>64554</v>
      </c>
      <c r="CY49" s="73">
        <f t="shared" si="9"/>
        <v>0</v>
      </c>
      <c r="CZ49" s="141">
        <v>0</v>
      </c>
      <c r="DA49" s="141">
        <v>0</v>
      </c>
      <c r="DB49" s="73">
        <f t="shared" si="10"/>
        <v>64554</v>
      </c>
      <c r="DC49" s="141">
        <v>0</v>
      </c>
      <c r="DD49" s="141">
        <v>64554</v>
      </c>
      <c r="DE49" s="141">
        <v>85259</v>
      </c>
      <c r="DF49" s="141">
        <v>0</v>
      </c>
      <c r="DG49" s="141">
        <v>85259</v>
      </c>
      <c r="DH49" s="141">
        <v>0</v>
      </c>
      <c r="DI49" s="141">
        <v>0</v>
      </c>
      <c r="DJ49" s="141">
        <v>30173</v>
      </c>
      <c r="DK49" s="141">
        <v>128579</v>
      </c>
      <c r="DL49" s="141">
        <v>99666</v>
      </c>
      <c r="DM49" s="141">
        <v>147</v>
      </c>
      <c r="DN49" s="141">
        <v>28766</v>
      </c>
      <c r="DO49" s="141">
        <v>49699</v>
      </c>
      <c r="DP49" s="141">
        <v>49699</v>
      </c>
      <c r="DQ49" s="141">
        <v>0</v>
      </c>
      <c r="DR49" s="141">
        <v>0</v>
      </c>
      <c r="DS49" s="141">
        <v>0</v>
      </c>
      <c r="DT49" s="141">
        <v>0</v>
      </c>
      <c r="DU49" s="141">
        <v>0</v>
      </c>
      <c r="DV49" s="141">
        <v>362364</v>
      </c>
      <c r="DW49" s="141">
        <v>0</v>
      </c>
      <c r="DX49" s="73">
        <f t="shared" si="11"/>
        <v>0</v>
      </c>
      <c r="DY49" s="141">
        <v>0</v>
      </c>
      <c r="DZ49" s="141">
        <v>140466</v>
      </c>
      <c r="EA49" s="141">
        <v>0</v>
      </c>
      <c r="EB49" s="141">
        <v>74296</v>
      </c>
      <c r="EC49" s="74"/>
      <c r="ED49" s="141">
        <v>113870</v>
      </c>
      <c r="EE49" s="141">
        <v>0</v>
      </c>
      <c r="EF49" s="141">
        <v>3675304</v>
      </c>
      <c r="EG49" s="71"/>
      <c r="EH49" s="141">
        <v>222494</v>
      </c>
      <c r="EI49" s="141">
        <v>13073</v>
      </c>
      <c r="EJ49" s="141">
        <v>209421</v>
      </c>
      <c r="EK49" s="141">
        <v>13628</v>
      </c>
      <c r="EL49" s="141">
        <v>113294</v>
      </c>
      <c r="EM49" s="71"/>
      <c r="EN49" s="141">
        <v>4909</v>
      </c>
      <c r="EO49" s="141">
        <v>4687</v>
      </c>
      <c r="EP49" s="141">
        <v>23324</v>
      </c>
      <c r="EQ49" s="141">
        <v>0</v>
      </c>
      <c r="ER49" s="73">
        <f t="shared" si="12"/>
        <v>257233</v>
      </c>
      <c r="ES49" s="141">
        <v>2597493</v>
      </c>
      <c r="ET49" s="141">
        <v>-279992</v>
      </c>
      <c r="EU49" s="141">
        <v>799914</v>
      </c>
      <c r="EV49" s="141">
        <v>441698</v>
      </c>
      <c r="EW49" s="141">
        <v>128682</v>
      </c>
      <c r="EX49" s="141">
        <v>376609</v>
      </c>
      <c r="EY49" s="73">
        <f t="shared" si="13"/>
        <v>58954</v>
      </c>
      <c r="EZ49" s="141">
        <v>45630</v>
      </c>
      <c r="FA49" s="141">
        <v>0</v>
      </c>
      <c r="FB49" s="141">
        <v>45630</v>
      </c>
      <c r="FC49" s="141">
        <v>13324</v>
      </c>
      <c r="FD49" s="141">
        <v>0</v>
      </c>
      <c r="FE49" s="141">
        <v>386960</v>
      </c>
      <c r="FF49" s="141">
        <v>410448</v>
      </c>
      <c r="FG49" s="141">
        <v>184356</v>
      </c>
      <c r="FH49" s="141">
        <v>305563</v>
      </c>
      <c r="FI49" s="73">
        <f t="shared" si="14"/>
        <v>187861</v>
      </c>
      <c r="FJ49" s="141">
        <v>2654991</v>
      </c>
      <c r="FK49" s="379">
        <f t="shared" si="15"/>
        <v>8.9</v>
      </c>
      <c r="FL49" s="141">
        <v>2355790</v>
      </c>
      <c r="FM49" s="141">
        <v>5117</v>
      </c>
      <c r="FN49" s="141">
        <v>527078</v>
      </c>
      <c r="FO49" s="141">
        <v>2229237</v>
      </c>
      <c r="FP49" s="390">
        <v>0.24299999999999999</v>
      </c>
      <c r="FQ49" s="380">
        <v>84.8</v>
      </c>
      <c r="FR49" s="381">
        <v>33.1</v>
      </c>
      <c r="FS49" s="380">
        <v>5.4</v>
      </c>
      <c r="FT49" s="380">
        <v>15.8</v>
      </c>
      <c r="FU49" s="381">
        <v>12.4</v>
      </c>
      <c r="FV49" s="380">
        <v>7.3</v>
      </c>
      <c r="FW49" s="382">
        <v>10.4</v>
      </c>
      <c r="FX49" s="383">
        <v>7.1</v>
      </c>
      <c r="FY49" s="141">
        <v>3449061</v>
      </c>
      <c r="FZ49" s="384">
        <f t="shared" si="16"/>
        <v>146.1</v>
      </c>
      <c r="GA49" s="141">
        <v>2504502</v>
      </c>
      <c r="GB49" s="141">
        <v>1354768</v>
      </c>
      <c r="GC49" s="141">
        <v>245382</v>
      </c>
      <c r="GD49" s="141">
        <v>904352</v>
      </c>
      <c r="GE49" s="107"/>
      <c r="GF49" s="385"/>
      <c r="GG49" s="386"/>
      <c r="GH49" s="380">
        <v>99.9</v>
      </c>
      <c r="GI49" s="380">
        <v>32.700000000000003</v>
      </c>
      <c r="GJ49" s="380">
        <v>99.3</v>
      </c>
      <c r="GK49" s="141">
        <v>78</v>
      </c>
      <c r="GL49" s="391" t="s">
        <v>646</v>
      </c>
      <c r="GM49" s="391">
        <v>15</v>
      </c>
      <c r="GN49" s="117">
        <v>20</v>
      </c>
      <c r="GO49" s="391" t="s">
        <v>646</v>
      </c>
      <c r="GP49" s="391">
        <v>20</v>
      </c>
      <c r="GQ49" s="387">
        <v>30</v>
      </c>
      <c r="GR49" s="381">
        <v>7.1</v>
      </c>
      <c r="GS49" s="388">
        <v>25</v>
      </c>
      <c r="GT49" s="388">
        <v>35</v>
      </c>
      <c r="GU49" s="393" t="s">
        <v>646</v>
      </c>
      <c r="GV49" s="388">
        <v>350</v>
      </c>
      <c r="GW49" s="394"/>
      <c r="GX49" s="100">
        <f t="shared" si="17"/>
        <v>2361</v>
      </c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  <c r="HW49" s="394"/>
      <c r="HX49" s="394"/>
    </row>
    <row r="50" spans="1:232" s="112" customFormat="1" x14ac:dyDescent="0.15">
      <c r="A50" s="126"/>
      <c r="B50" s="126" t="s">
        <v>89</v>
      </c>
      <c r="C50" s="137">
        <v>23992701</v>
      </c>
      <c r="D50" s="127">
        <f t="shared" si="0"/>
        <v>8339503</v>
      </c>
      <c r="E50" s="137">
        <v>275430</v>
      </c>
      <c r="F50" s="137">
        <v>8064073</v>
      </c>
      <c r="G50" s="127">
        <f t="shared" si="1"/>
        <v>1818089</v>
      </c>
      <c r="H50" s="137">
        <v>375815</v>
      </c>
      <c r="I50" s="137">
        <v>1442274</v>
      </c>
      <c r="J50" s="137">
        <v>11735717</v>
      </c>
      <c r="K50" s="137">
        <v>4638257</v>
      </c>
      <c r="L50" s="137">
        <v>4617492</v>
      </c>
      <c r="M50" s="137">
        <v>2401929</v>
      </c>
      <c r="N50" s="137">
        <v>940088</v>
      </c>
      <c r="O50" s="137">
        <v>638583</v>
      </c>
      <c r="P50" s="137">
        <v>334405</v>
      </c>
      <c r="Q50" s="137">
        <v>304178</v>
      </c>
      <c r="R50" s="137">
        <v>544622</v>
      </c>
      <c r="S50" s="127"/>
      <c r="T50" s="127">
        <f t="shared" si="18"/>
        <v>5485887</v>
      </c>
      <c r="U50" s="137">
        <v>25356</v>
      </c>
      <c r="V50" s="137">
        <v>280682</v>
      </c>
      <c r="W50" s="137">
        <v>368507</v>
      </c>
      <c r="X50" s="137">
        <v>4073769</v>
      </c>
      <c r="Y50" s="137">
        <v>209305</v>
      </c>
      <c r="Z50" s="160"/>
      <c r="AA50" s="137">
        <v>0</v>
      </c>
      <c r="AB50" s="137">
        <v>126020</v>
      </c>
      <c r="AC50" s="137">
        <v>402248</v>
      </c>
      <c r="AD50" s="137">
        <v>945644</v>
      </c>
      <c r="AE50" s="137">
        <v>23423178</v>
      </c>
      <c r="AF50" s="137">
        <v>21370455</v>
      </c>
      <c r="AG50" s="137">
        <v>2052723</v>
      </c>
      <c r="AH50" s="137">
        <v>19085</v>
      </c>
      <c r="AI50" s="137">
        <v>208535</v>
      </c>
      <c r="AJ50" s="127">
        <f t="shared" si="19"/>
        <v>1196193</v>
      </c>
      <c r="AK50" s="137">
        <v>827471</v>
      </c>
      <c r="AL50" s="137">
        <v>368722</v>
      </c>
      <c r="AM50" s="137">
        <v>13324692</v>
      </c>
      <c r="AN50" s="127">
        <f t="shared" si="20"/>
        <v>4735122</v>
      </c>
      <c r="AO50" s="137">
        <v>169909</v>
      </c>
      <c r="AP50" s="137">
        <v>1855979</v>
      </c>
      <c r="AQ50" s="127"/>
      <c r="AR50" s="137">
        <v>2709234</v>
      </c>
      <c r="AS50" s="137">
        <v>419011</v>
      </c>
      <c r="AT50" s="137">
        <v>264039</v>
      </c>
      <c r="AU50" s="137">
        <v>0</v>
      </c>
      <c r="AV50" s="137">
        <v>6959824</v>
      </c>
      <c r="AW50" s="137">
        <v>4433203</v>
      </c>
      <c r="AX50" s="137">
        <v>795797</v>
      </c>
      <c r="AY50" s="137">
        <v>13986</v>
      </c>
      <c r="AZ50" s="137">
        <v>2526621</v>
      </c>
      <c r="BA50" s="137">
        <v>5930</v>
      </c>
      <c r="BB50" s="137">
        <v>177863</v>
      </c>
      <c r="BC50" s="137">
        <v>21877</v>
      </c>
      <c r="BD50" s="137">
        <v>1241474</v>
      </c>
      <c r="BE50" s="137">
        <v>3539681</v>
      </c>
      <c r="BF50" s="137">
        <v>822165</v>
      </c>
      <c r="BG50" s="137">
        <v>100184</v>
      </c>
      <c r="BH50" s="137">
        <v>2308192</v>
      </c>
      <c r="BI50" s="137">
        <v>0</v>
      </c>
      <c r="BJ50" s="137">
        <v>2359896</v>
      </c>
      <c r="BK50" s="137">
        <v>1786130</v>
      </c>
      <c r="BL50" s="137">
        <v>1740761</v>
      </c>
      <c r="BM50" s="137">
        <v>5065</v>
      </c>
      <c r="BN50" s="137">
        <v>31943</v>
      </c>
      <c r="BO50" s="137">
        <v>0</v>
      </c>
      <c r="BP50" s="137">
        <v>4954171</v>
      </c>
      <c r="BQ50" s="127">
        <f t="shared" si="5"/>
        <v>4819200</v>
      </c>
      <c r="BR50" s="127">
        <f t="shared" si="6"/>
        <v>134971</v>
      </c>
      <c r="BS50" s="137">
        <v>0</v>
      </c>
      <c r="BT50" s="137">
        <v>0</v>
      </c>
      <c r="BU50" s="137">
        <v>134971</v>
      </c>
      <c r="BV50" s="137">
        <v>0</v>
      </c>
      <c r="BW50" s="137">
        <v>90114207</v>
      </c>
      <c r="BX50" s="127"/>
      <c r="BY50" s="137">
        <v>17697265</v>
      </c>
      <c r="BZ50" s="137">
        <v>9406261</v>
      </c>
      <c r="CA50" s="137">
        <v>1074279</v>
      </c>
      <c r="CB50" s="137">
        <v>3768872</v>
      </c>
      <c r="CC50" s="137">
        <v>17510304</v>
      </c>
      <c r="CD50" s="137">
        <v>8619337</v>
      </c>
      <c r="CE50" s="137">
        <v>17670</v>
      </c>
      <c r="CF50" s="137">
        <v>7851504</v>
      </c>
      <c r="CG50" s="137">
        <v>231104</v>
      </c>
      <c r="CH50" s="137">
        <v>54010</v>
      </c>
      <c r="CI50" s="137">
        <v>736579</v>
      </c>
      <c r="CJ50" s="137">
        <v>6026524</v>
      </c>
      <c r="CK50" s="137">
        <v>5780541</v>
      </c>
      <c r="CL50" s="127">
        <f t="shared" si="21"/>
        <v>245983</v>
      </c>
      <c r="CM50" s="137">
        <v>14344658</v>
      </c>
      <c r="CN50" s="137">
        <v>9295857</v>
      </c>
      <c r="CO50" s="129"/>
      <c r="CP50" s="137">
        <v>2402617</v>
      </c>
      <c r="CQ50" s="137">
        <v>747692</v>
      </c>
      <c r="CR50" s="137">
        <v>10584606</v>
      </c>
      <c r="CS50" s="137">
        <v>2819160</v>
      </c>
      <c r="CT50" s="137">
        <v>2615732</v>
      </c>
      <c r="CU50" s="137">
        <v>1804344</v>
      </c>
      <c r="CV50" s="127">
        <f t="shared" si="8"/>
        <v>1943530</v>
      </c>
      <c r="CW50" s="137">
        <v>630701</v>
      </c>
      <c r="CX50" s="137">
        <v>1312829</v>
      </c>
      <c r="CY50" s="127">
        <f t="shared" si="9"/>
        <v>0</v>
      </c>
      <c r="CZ50" s="137">
        <v>0</v>
      </c>
      <c r="DA50" s="137">
        <v>0</v>
      </c>
      <c r="DB50" s="127">
        <f t="shared" si="10"/>
        <v>1928966</v>
      </c>
      <c r="DC50" s="137">
        <v>618520</v>
      </c>
      <c r="DD50" s="137">
        <v>1310446</v>
      </c>
      <c r="DE50" s="137">
        <v>7327584</v>
      </c>
      <c r="DF50" s="137">
        <v>1772254</v>
      </c>
      <c r="DG50" s="137">
        <v>5419036</v>
      </c>
      <c r="DH50" s="137">
        <v>49432</v>
      </c>
      <c r="DI50" s="137">
        <v>0</v>
      </c>
      <c r="DJ50" s="137">
        <v>371422</v>
      </c>
      <c r="DK50" s="137">
        <v>3705694</v>
      </c>
      <c r="DL50" s="137">
        <v>1594117</v>
      </c>
      <c r="DM50" s="137">
        <v>194399</v>
      </c>
      <c r="DN50" s="137">
        <v>1917178</v>
      </c>
      <c r="DO50" s="137">
        <v>728443</v>
      </c>
      <c r="DP50" s="137">
        <v>728443</v>
      </c>
      <c r="DQ50" s="137">
        <v>17967</v>
      </c>
      <c r="DR50" s="137">
        <v>0</v>
      </c>
      <c r="DS50" s="137">
        <v>600</v>
      </c>
      <c r="DT50" s="137">
        <v>0</v>
      </c>
      <c r="DU50" s="137">
        <v>0</v>
      </c>
      <c r="DV50" s="137">
        <v>8643064</v>
      </c>
      <c r="DW50" s="137">
        <v>0</v>
      </c>
      <c r="DX50" s="127">
        <f t="shared" si="11"/>
        <v>0</v>
      </c>
      <c r="DY50" s="137">
        <v>0</v>
      </c>
      <c r="DZ50" s="137">
        <v>3565330</v>
      </c>
      <c r="EA50" s="137">
        <v>0</v>
      </c>
      <c r="EB50" s="137">
        <v>1922457</v>
      </c>
      <c r="EC50" s="127"/>
      <c r="ED50" s="137">
        <v>3064679</v>
      </c>
      <c r="EE50" s="137">
        <v>0</v>
      </c>
      <c r="EF50" s="137">
        <v>87687856</v>
      </c>
      <c r="EG50" s="127"/>
      <c r="EH50" s="137">
        <v>2426351</v>
      </c>
      <c r="EI50" s="137">
        <v>331306</v>
      </c>
      <c r="EJ50" s="137">
        <v>2095045</v>
      </c>
      <c r="EK50" s="137">
        <v>255515</v>
      </c>
      <c r="EL50" s="137">
        <v>1027467</v>
      </c>
      <c r="EM50" s="127"/>
      <c r="EN50" s="129">
        <f>SUM(EN40:EN49)</f>
        <v>175405</v>
      </c>
      <c r="EO50" s="129">
        <f>SUM(EO40:EO49)</f>
        <v>172547</v>
      </c>
      <c r="EP50" s="137">
        <v>1785798</v>
      </c>
      <c r="EQ50" s="137">
        <v>62608</v>
      </c>
      <c r="ER50" s="127">
        <f t="shared" si="12"/>
        <v>6226547</v>
      </c>
      <c r="ES50" s="137">
        <v>54411117</v>
      </c>
      <c r="ET50" s="137">
        <v>-8190839</v>
      </c>
      <c r="EU50" s="137">
        <v>16169611</v>
      </c>
      <c r="EV50" s="137">
        <v>8606112</v>
      </c>
      <c r="EW50" s="137">
        <v>6591471</v>
      </c>
      <c r="EX50" s="137">
        <v>5925756</v>
      </c>
      <c r="EY50" s="127">
        <f t="shared" si="13"/>
        <v>1759857</v>
      </c>
      <c r="EZ50" s="137">
        <v>1738058</v>
      </c>
      <c r="FA50" s="137">
        <v>214721</v>
      </c>
      <c r="FB50" s="137">
        <v>1505941</v>
      </c>
      <c r="FC50" s="137">
        <v>21799</v>
      </c>
      <c r="FD50" s="137">
        <v>0</v>
      </c>
      <c r="FE50" s="137">
        <v>10251657</v>
      </c>
      <c r="FF50" s="137">
        <v>8495544</v>
      </c>
      <c r="FG50" s="137">
        <v>2535040</v>
      </c>
      <c r="FH50" s="137">
        <v>6944948</v>
      </c>
      <c r="FI50" s="127">
        <f t="shared" si="14"/>
        <v>4036761</v>
      </c>
      <c r="FJ50" s="137">
        <v>60175605</v>
      </c>
      <c r="FK50" s="396">
        <f t="shared" si="15"/>
        <v>4.0999999999999996</v>
      </c>
      <c r="FL50" s="137">
        <v>50658023</v>
      </c>
      <c r="FM50" s="137">
        <v>158881</v>
      </c>
      <c r="FN50" s="137">
        <v>23082839</v>
      </c>
      <c r="FO50" s="137">
        <v>43575267</v>
      </c>
      <c r="FP50" s="397">
        <v>0.53100000000000003</v>
      </c>
      <c r="FQ50" s="398">
        <v>93.2</v>
      </c>
      <c r="FR50" s="399">
        <v>29.7</v>
      </c>
      <c r="FS50" s="398">
        <v>8.9</v>
      </c>
      <c r="FT50" s="398">
        <v>11.3</v>
      </c>
      <c r="FU50" s="399">
        <v>17</v>
      </c>
      <c r="FV50" s="398">
        <v>12.2</v>
      </c>
      <c r="FW50" s="400">
        <v>12.7</v>
      </c>
      <c r="FX50" s="401">
        <v>5.7</v>
      </c>
      <c r="FY50" s="137">
        <v>60279110</v>
      </c>
      <c r="FZ50" s="402">
        <f t="shared" si="16"/>
        <v>118.6</v>
      </c>
      <c r="GA50" s="137">
        <v>42405551</v>
      </c>
      <c r="GB50" s="137">
        <v>19479182</v>
      </c>
      <c r="GC50" s="137">
        <v>2784000</v>
      </c>
      <c r="GD50" s="137">
        <v>20142369</v>
      </c>
      <c r="GE50" s="129"/>
      <c r="GF50" s="129">
        <f>SUM(GF40:GF49)</f>
        <v>748</v>
      </c>
      <c r="GG50" s="403">
        <f>IF(GF50=0,"-",ROUND(GF50/GY50*100,1))</f>
        <v>5.3</v>
      </c>
      <c r="GH50" s="398">
        <v>99.5</v>
      </c>
      <c r="GI50" s="398">
        <v>25.6</v>
      </c>
      <c r="GJ50" s="398">
        <v>98</v>
      </c>
      <c r="GK50" s="129">
        <f>SUM(GK40:GK49)</f>
        <v>1483</v>
      </c>
      <c r="GL50" s="404" t="s">
        <v>646</v>
      </c>
      <c r="GM50" s="404" t="s">
        <v>646</v>
      </c>
      <c r="GN50" s="405" t="s">
        <v>646</v>
      </c>
      <c r="GO50" s="404" t="s">
        <v>646</v>
      </c>
      <c r="GP50" s="404" t="s">
        <v>646</v>
      </c>
      <c r="GQ50" s="405" t="s">
        <v>646</v>
      </c>
      <c r="GR50" s="399">
        <v>5.7</v>
      </c>
      <c r="GS50" s="406" t="s">
        <v>646</v>
      </c>
      <c r="GT50" s="406" t="s">
        <v>646</v>
      </c>
      <c r="GU50" s="406" t="s">
        <v>646</v>
      </c>
      <c r="GV50" s="404" t="s">
        <v>646</v>
      </c>
      <c r="GW50" s="407"/>
      <c r="GX50" s="128">
        <f t="shared" si="17"/>
        <v>50817</v>
      </c>
      <c r="GY50" s="408">
        <f>GX44+GX48</f>
        <v>14061</v>
      </c>
      <c r="GZ50" s="408"/>
      <c r="HA50" s="408"/>
      <c r="HB50" s="408"/>
      <c r="HC50" s="408"/>
      <c r="HD50" s="408"/>
      <c r="HE50" s="408"/>
      <c r="HF50" s="408"/>
      <c r="HG50" s="408"/>
      <c r="HH50" s="408"/>
      <c r="HI50" s="408"/>
      <c r="HJ50" s="408"/>
      <c r="HK50" s="408"/>
      <c r="HL50" s="408"/>
      <c r="HM50" s="408"/>
      <c r="HN50" s="408"/>
      <c r="HO50" s="408"/>
      <c r="HP50" s="408"/>
      <c r="HQ50" s="408"/>
      <c r="HR50" s="408"/>
      <c r="HS50" s="408"/>
      <c r="HT50" s="408"/>
      <c r="HU50" s="408"/>
      <c r="HV50" s="408"/>
      <c r="HW50" s="408"/>
      <c r="HX50" s="408"/>
    </row>
    <row r="51" spans="1:232" s="112" customFormat="1" x14ac:dyDescent="0.15">
      <c r="A51" s="126"/>
      <c r="B51" s="126" t="s">
        <v>91</v>
      </c>
      <c r="C51" s="137">
        <v>811787626</v>
      </c>
      <c r="D51" s="127">
        <f t="shared" si="0"/>
        <v>299396292</v>
      </c>
      <c r="E51" s="137">
        <v>7726105</v>
      </c>
      <c r="F51" s="137">
        <v>291670187</v>
      </c>
      <c r="G51" s="127">
        <f t="shared" si="1"/>
        <v>52988584</v>
      </c>
      <c r="H51" s="137">
        <v>14835636</v>
      </c>
      <c r="I51" s="137">
        <v>38152948</v>
      </c>
      <c r="J51" s="137">
        <v>338520700</v>
      </c>
      <c r="K51" s="137">
        <v>134257804</v>
      </c>
      <c r="L51" s="137">
        <v>151577900</v>
      </c>
      <c r="M51" s="137">
        <v>47527978</v>
      </c>
      <c r="N51" s="137">
        <v>35242138</v>
      </c>
      <c r="O51" s="137">
        <v>67733115</v>
      </c>
      <c r="P51" s="137">
        <v>35779178</v>
      </c>
      <c r="Q51" s="137">
        <v>31953937</v>
      </c>
      <c r="R51" s="137">
        <v>11007656</v>
      </c>
      <c r="S51" s="127"/>
      <c r="T51" s="127">
        <f t="shared" si="18"/>
        <v>167982734</v>
      </c>
      <c r="U51" s="137">
        <v>881083</v>
      </c>
      <c r="V51" s="137">
        <v>9766020</v>
      </c>
      <c r="W51" s="137">
        <v>12843571</v>
      </c>
      <c r="X51" s="137">
        <v>126258933</v>
      </c>
      <c r="Y51" s="137">
        <v>855278</v>
      </c>
      <c r="Z51" s="160"/>
      <c r="AA51" s="137">
        <v>0</v>
      </c>
      <c r="AB51" s="137">
        <v>2524958</v>
      </c>
      <c r="AC51" s="137">
        <v>14852891</v>
      </c>
      <c r="AD51" s="137">
        <v>27979378</v>
      </c>
      <c r="AE51" s="137">
        <v>300242167</v>
      </c>
      <c r="AF51" s="137">
        <v>286364361</v>
      </c>
      <c r="AG51" s="137">
        <v>13877734</v>
      </c>
      <c r="AH51" s="137">
        <v>563232</v>
      </c>
      <c r="AI51" s="137">
        <v>10938891</v>
      </c>
      <c r="AJ51" s="127">
        <f t="shared" si="19"/>
        <v>32415215</v>
      </c>
      <c r="AK51" s="137">
        <v>24167597</v>
      </c>
      <c r="AL51" s="137">
        <v>8247618</v>
      </c>
      <c r="AM51" s="137">
        <v>584714578</v>
      </c>
      <c r="AN51" s="127">
        <f t="shared" si="20"/>
        <v>324963036</v>
      </c>
      <c r="AO51" s="137">
        <v>154348758</v>
      </c>
      <c r="AP51" s="137">
        <v>81554001</v>
      </c>
      <c r="AQ51" s="127"/>
      <c r="AR51" s="137">
        <v>89060277</v>
      </c>
      <c r="AS51" s="137">
        <v>21892053</v>
      </c>
      <c r="AT51" s="137">
        <v>313537</v>
      </c>
      <c r="AU51" s="137">
        <v>276244</v>
      </c>
      <c r="AV51" s="137">
        <v>193791365</v>
      </c>
      <c r="AW51" s="137">
        <v>133198647</v>
      </c>
      <c r="AX51" s="137">
        <v>37122145</v>
      </c>
      <c r="AY51" s="137">
        <v>3251858</v>
      </c>
      <c r="AZ51" s="137">
        <v>60592718</v>
      </c>
      <c r="BA51" s="137">
        <v>2299444</v>
      </c>
      <c r="BB51" s="137">
        <v>20006911</v>
      </c>
      <c r="BC51" s="137">
        <v>14526317</v>
      </c>
      <c r="BD51" s="137">
        <v>38022861</v>
      </c>
      <c r="BE51" s="137">
        <v>75376567</v>
      </c>
      <c r="BF51" s="137">
        <v>15876064</v>
      </c>
      <c r="BG51" s="137">
        <v>8671765</v>
      </c>
      <c r="BH51" s="137">
        <v>47270702</v>
      </c>
      <c r="BI51" s="137">
        <v>303945</v>
      </c>
      <c r="BJ51" s="137">
        <v>37847921</v>
      </c>
      <c r="BK51" s="137">
        <v>26365414</v>
      </c>
      <c r="BL51" s="137">
        <v>57601918</v>
      </c>
      <c r="BM51" s="137">
        <v>6468711</v>
      </c>
      <c r="BN51" s="137">
        <v>704439</v>
      </c>
      <c r="BO51" s="137">
        <v>10798968</v>
      </c>
      <c r="BP51" s="137">
        <v>128092334</v>
      </c>
      <c r="BQ51" s="127">
        <f t="shared" si="5"/>
        <v>120880200</v>
      </c>
      <c r="BR51" s="127">
        <f t="shared" si="6"/>
        <v>6954334</v>
      </c>
      <c r="BS51" s="137">
        <v>0</v>
      </c>
      <c r="BT51" s="137">
        <v>273900</v>
      </c>
      <c r="BU51" s="137">
        <v>6680434</v>
      </c>
      <c r="BV51" s="137">
        <v>257800</v>
      </c>
      <c r="BW51" s="137">
        <v>2498647598</v>
      </c>
      <c r="BX51" s="127"/>
      <c r="BY51" s="137">
        <v>359883207</v>
      </c>
      <c r="BZ51" s="137">
        <v>219328367</v>
      </c>
      <c r="CA51" s="137">
        <f>CA50+CA39</f>
        <v>19116749</v>
      </c>
      <c r="CB51" s="137">
        <v>58147804</v>
      </c>
      <c r="CC51" s="137">
        <v>819769660</v>
      </c>
      <c r="CD51" s="137">
        <v>269719046</v>
      </c>
      <c r="CE51" s="137">
        <v>1346310</v>
      </c>
      <c r="CF51" s="137">
        <v>311401973</v>
      </c>
      <c r="CG51" s="137">
        <v>204077828</v>
      </c>
      <c r="CH51" s="137">
        <v>6045466</v>
      </c>
      <c r="CI51" s="137">
        <v>27172504</v>
      </c>
      <c r="CJ51" s="137">
        <v>154985299</v>
      </c>
      <c r="CK51" s="137">
        <v>148905353</v>
      </c>
      <c r="CL51" s="127">
        <f t="shared" si="21"/>
        <v>6079946</v>
      </c>
      <c r="CM51" s="137">
        <v>318072295</v>
      </c>
      <c r="CN51" s="137">
        <v>219141471</v>
      </c>
      <c r="CO51" s="129"/>
      <c r="CP51" s="137">
        <v>52017487</v>
      </c>
      <c r="CQ51" s="137">
        <v>19009659</v>
      </c>
      <c r="CR51" s="137">
        <v>224380495</v>
      </c>
      <c r="CS51" s="137">
        <v>43714102</v>
      </c>
      <c r="CT51" s="137">
        <v>57794210</v>
      </c>
      <c r="CU51" s="137">
        <v>43192790</v>
      </c>
      <c r="CV51" s="127">
        <f t="shared" si="8"/>
        <v>67930577</v>
      </c>
      <c r="CW51" s="137">
        <v>45806843</v>
      </c>
      <c r="CX51" s="137">
        <v>22123734</v>
      </c>
      <c r="CY51" s="127">
        <f t="shared" si="9"/>
        <v>14780367</v>
      </c>
      <c r="CZ51" s="137">
        <v>9353312</v>
      </c>
      <c r="DA51" s="137">
        <v>5427055</v>
      </c>
      <c r="DB51" s="127">
        <f t="shared" si="10"/>
        <v>49684090</v>
      </c>
      <c r="DC51" s="137">
        <v>35591199</v>
      </c>
      <c r="DD51" s="137">
        <v>14092891</v>
      </c>
      <c r="DE51" s="137">
        <v>217588447</v>
      </c>
      <c r="DF51" s="137">
        <v>82209711</v>
      </c>
      <c r="DG51" s="137">
        <v>129867550</v>
      </c>
      <c r="DH51" s="137">
        <v>1397269</v>
      </c>
      <c r="DI51" s="137">
        <v>3768442</v>
      </c>
      <c r="DJ51" s="137">
        <v>799498</v>
      </c>
      <c r="DK51" s="137">
        <v>102119869</v>
      </c>
      <c r="DL51" s="137">
        <v>21396007</v>
      </c>
      <c r="DM51" s="137">
        <v>9672986</v>
      </c>
      <c r="DN51" s="137">
        <v>71050876</v>
      </c>
      <c r="DO51" s="137">
        <v>5629790</v>
      </c>
      <c r="DP51" s="137">
        <v>5629790</v>
      </c>
      <c r="DQ51" s="137">
        <v>437291</v>
      </c>
      <c r="DR51" s="137">
        <v>1091209</v>
      </c>
      <c r="DS51" s="137">
        <v>6719800</v>
      </c>
      <c r="DT51" s="137">
        <v>0</v>
      </c>
      <c r="DU51" s="137">
        <v>0</v>
      </c>
      <c r="DV51" s="137">
        <v>227783608</v>
      </c>
      <c r="DW51" s="137">
        <v>58146</v>
      </c>
      <c r="DX51" s="127">
        <f t="shared" si="11"/>
        <v>0</v>
      </c>
      <c r="DY51" s="137">
        <v>0</v>
      </c>
      <c r="DZ51" s="137">
        <v>88798482</v>
      </c>
      <c r="EA51" s="137">
        <v>19951</v>
      </c>
      <c r="EB51" s="137">
        <v>56919328</v>
      </c>
      <c r="EC51" s="127"/>
      <c r="ED51" s="137">
        <v>81315798</v>
      </c>
      <c r="EE51" s="137">
        <v>0</v>
      </c>
      <c r="EF51" s="137">
        <v>2456741627</v>
      </c>
      <c r="EG51" s="127"/>
      <c r="EH51" s="137">
        <v>41905971</v>
      </c>
      <c r="EI51" s="137">
        <v>10476193</v>
      </c>
      <c r="EJ51" s="137">
        <v>31429778</v>
      </c>
      <c r="EK51" s="137">
        <v>2161964</v>
      </c>
      <c r="EL51" s="137">
        <v>10622922</v>
      </c>
      <c r="EM51" s="127"/>
      <c r="EN51" s="129">
        <f>EN39+EN50</f>
        <v>5259112</v>
      </c>
      <c r="EO51" s="129">
        <f>EO39+EO50</f>
        <v>5181051</v>
      </c>
      <c r="EP51" s="137">
        <v>32716362</v>
      </c>
      <c r="EQ51" s="137">
        <v>12016426</v>
      </c>
      <c r="ER51" s="127">
        <f t="shared" si="12"/>
        <v>156449068</v>
      </c>
      <c r="ES51" s="137">
        <v>1319839037</v>
      </c>
      <c r="ET51" s="137">
        <v>-207296714</v>
      </c>
      <c r="EU51" s="137">
        <v>326413527</v>
      </c>
      <c r="EV51" s="137">
        <v>200104490</v>
      </c>
      <c r="EW51" s="137">
        <v>276709628</v>
      </c>
      <c r="EX51" s="137">
        <v>152699132</v>
      </c>
      <c r="EY51" s="127">
        <f t="shared" si="13"/>
        <v>38250050</v>
      </c>
      <c r="EZ51" s="137">
        <v>38119277</v>
      </c>
      <c r="FA51" s="137">
        <v>5032683</v>
      </c>
      <c r="FB51" s="137">
        <v>32891852</v>
      </c>
      <c r="FC51" s="137">
        <v>130773</v>
      </c>
      <c r="FD51" s="137">
        <v>0</v>
      </c>
      <c r="FE51" s="137">
        <v>239572711</v>
      </c>
      <c r="FF51" s="137">
        <v>190247924</v>
      </c>
      <c r="FG51" s="137">
        <v>42807389</v>
      </c>
      <c r="FH51" s="137">
        <v>178386448</v>
      </c>
      <c r="FI51" s="127">
        <f t="shared" si="14"/>
        <v>83175785</v>
      </c>
      <c r="FJ51" s="137">
        <v>1485455205</v>
      </c>
      <c r="FK51" s="396">
        <f t="shared" si="15"/>
        <v>2.6</v>
      </c>
      <c r="FL51" s="137">
        <v>1204006473</v>
      </c>
      <c r="FM51" s="137">
        <v>8334391</v>
      </c>
      <c r="FN51" s="137">
        <v>717638738</v>
      </c>
      <c r="FO51" s="137">
        <v>1002432543</v>
      </c>
      <c r="FP51" s="397">
        <v>0.72499999999999998</v>
      </c>
      <c r="FQ51" s="398">
        <v>96.4</v>
      </c>
      <c r="FR51" s="399">
        <v>25.3</v>
      </c>
      <c r="FS51" s="398">
        <v>17.100000000000001</v>
      </c>
      <c r="FT51" s="398">
        <v>11.6</v>
      </c>
      <c r="FU51" s="399">
        <v>16.100000000000001</v>
      </c>
      <c r="FV51" s="398">
        <v>11.6</v>
      </c>
      <c r="FW51" s="400">
        <v>13.3</v>
      </c>
      <c r="FX51" s="401">
        <v>2.6</v>
      </c>
      <c r="FY51" s="137">
        <v>1423997008</v>
      </c>
      <c r="FZ51" s="402">
        <f t="shared" si="16"/>
        <v>117.5</v>
      </c>
      <c r="GA51" s="137">
        <v>579164130</v>
      </c>
      <c r="GB51" s="137">
        <v>228907012</v>
      </c>
      <c r="GC51" s="137">
        <v>51466476</v>
      </c>
      <c r="GD51" s="137">
        <v>298790642</v>
      </c>
      <c r="GE51" s="129"/>
      <c r="GF51" s="129">
        <f>GF39+GF50</f>
        <v>15130</v>
      </c>
      <c r="GG51" s="403">
        <f>IF(GF51=0,"-",ROUND(GF51/GY51*100,1))</f>
        <v>3.9</v>
      </c>
      <c r="GH51" s="398">
        <v>99.5</v>
      </c>
      <c r="GI51" s="398">
        <v>37.5</v>
      </c>
      <c r="GJ51" s="398">
        <v>98.8</v>
      </c>
      <c r="GK51" s="129">
        <f>GK39+GK50</f>
        <v>31750</v>
      </c>
      <c r="GL51" s="404" t="s">
        <v>646</v>
      </c>
      <c r="GM51" s="404" t="s">
        <v>646</v>
      </c>
      <c r="GN51" s="405" t="s">
        <v>646</v>
      </c>
      <c r="GO51" s="404" t="s">
        <v>646</v>
      </c>
      <c r="GP51" s="404" t="s">
        <v>646</v>
      </c>
      <c r="GQ51" s="405" t="s">
        <v>646</v>
      </c>
      <c r="GR51" s="399">
        <v>2.6</v>
      </c>
      <c r="GS51" s="406" t="s">
        <v>646</v>
      </c>
      <c r="GT51" s="406" t="s">
        <v>646</v>
      </c>
      <c r="GU51" s="406" t="s">
        <v>646</v>
      </c>
      <c r="GV51" s="404" t="s">
        <v>646</v>
      </c>
      <c r="GW51" s="407"/>
      <c r="GX51" s="128">
        <f t="shared" si="17"/>
        <v>1212341</v>
      </c>
      <c r="GY51" s="408">
        <f>GY39+GY50</f>
        <v>385880</v>
      </c>
      <c r="GZ51" s="408"/>
      <c r="HA51" s="408"/>
      <c r="HB51" s="408"/>
      <c r="HC51" s="408"/>
      <c r="HD51" s="408"/>
      <c r="HE51" s="408"/>
      <c r="HF51" s="408"/>
      <c r="HG51" s="408"/>
      <c r="HH51" s="408"/>
      <c r="HI51" s="408"/>
      <c r="HJ51" s="408"/>
      <c r="HK51" s="408"/>
      <c r="HL51" s="408"/>
      <c r="HM51" s="408"/>
      <c r="HN51" s="408"/>
      <c r="HO51" s="408"/>
      <c r="HP51" s="408"/>
      <c r="HQ51" s="408"/>
      <c r="HR51" s="408"/>
      <c r="HS51" s="408"/>
      <c r="HT51" s="408"/>
      <c r="HU51" s="408"/>
      <c r="HV51" s="408"/>
      <c r="HW51" s="408"/>
      <c r="HX51" s="408"/>
    </row>
    <row r="52" spans="1:232" s="108" customFormat="1" x14ac:dyDescent="0.15">
      <c r="B52" s="108" t="s">
        <v>0</v>
      </c>
      <c r="C52" s="138">
        <v>1798787397</v>
      </c>
      <c r="D52" s="109">
        <f t="shared" si="0"/>
        <v>589477936</v>
      </c>
      <c r="E52" s="138">
        <v>13143712</v>
      </c>
      <c r="F52" s="138">
        <v>576334224</v>
      </c>
      <c r="G52" s="109">
        <f t="shared" si="1"/>
        <v>198842984</v>
      </c>
      <c r="H52" s="138">
        <v>37830297</v>
      </c>
      <c r="I52" s="138">
        <v>161012687</v>
      </c>
      <c r="J52" s="138">
        <v>733773885</v>
      </c>
      <c r="K52" s="138">
        <v>294682339</v>
      </c>
      <c r="L52" s="138">
        <v>331139060</v>
      </c>
      <c r="M52" s="138">
        <v>101673568</v>
      </c>
      <c r="N52" s="138">
        <v>73484381</v>
      </c>
      <c r="O52" s="138">
        <v>146744709</v>
      </c>
      <c r="P52" s="138">
        <v>75729220</v>
      </c>
      <c r="Q52" s="138">
        <v>71015489</v>
      </c>
      <c r="R52" s="138">
        <v>19128214</v>
      </c>
      <c r="S52" s="109"/>
      <c r="T52" s="109">
        <f t="shared" si="18"/>
        <v>326272434</v>
      </c>
      <c r="U52" s="138">
        <v>1505352</v>
      </c>
      <c r="V52" s="138">
        <v>16700774</v>
      </c>
      <c r="W52" s="138">
        <v>21983334</v>
      </c>
      <c r="X52" s="138">
        <v>226756456</v>
      </c>
      <c r="Y52" s="138">
        <v>991386</v>
      </c>
      <c r="Z52" s="160"/>
      <c r="AA52" s="138">
        <v>18016698</v>
      </c>
      <c r="AB52" s="138">
        <v>5464336</v>
      </c>
      <c r="AC52" s="138">
        <v>34854098</v>
      </c>
      <c r="AD52" s="138">
        <v>51653475</v>
      </c>
      <c r="AE52" s="138">
        <v>403375676</v>
      </c>
      <c r="AF52" s="138">
        <v>387202295</v>
      </c>
      <c r="AG52" s="138">
        <v>16173180</v>
      </c>
      <c r="AH52" s="138">
        <v>1398336</v>
      </c>
      <c r="AI52" s="138">
        <v>19119302</v>
      </c>
      <c r="AJ52" s="109">
        <f t="shared" si="19"/>
        <v>107292267</v>
      </c>
      <c r="AK52" s="138">
        <v>89203525</v>
      </c>
      <c r="AL52" s="138">
        <v>18088742</v>
      </c>
      <c r="AM52" s="138">
        <v>1274884352</v>
      </c>
      <c r="AN52" s="109">
        <f t="shared" si="20"/>
        <v>758624688</v>
      </c>
      <c r="AO52" s="138">
        <v>388783093</v>
      </c>
      <c r="AP52" s="138">
        <v>177424989</v>
      </c>
      <c r="AQ52" s="109"/>
      <c r="AR52" s="138">
        <v>192416606</v>
      </c>
      <c r="AS52" s="138">
        <v>55622392</v>
      </c>
      <c r="AT52" s="138">
        <v>313537</v>
      </c>
      <c r="AU52" s="138">
        <v>286020</v>
      </c>
      <c r="AV52" s="138">
        <v>335983187</v>
      </c>
      <c r="AW52" s="138">
        <v>233869610</v>
      </c>
      <c r="AX52" s="138">
        <v>43628950</v>
      </c>
      <c r="AY52" s="138">
        <v>5192961</v>
      </c>
      <c r="AZ52" s="138">
        <v>102113577</v>
      </c>
      <c r="BA52" s="138">
        <v>3606285</v>
      </c>
      <c r="BB52" s="138">
        <v>76015583</v>
      </c>
      <c r="BC52" s="138">
        <v>46983788</v>
      </c>
      <c r="BD52" s="138">
        <v>41275252</v>
      </c>
      <c r="BE52" s="138">
        <v>88995338</v>
      </c>
      <c r="BF52" s="138">
        <v>15920464</v>
      </c>
      <c r="BG52" s="138">
        <v>9300568</v>
      </c>
      <c r="BH52" s="138">
        <v>55791624</v>
      </c>
      <c r="BI52" s="138">
        <v>303945</v>
      </c>
      <c r="BJ52" s="138">
        <v>69879703</v>
      </c>
      <c r="BK52" s="138">
        <v>50158458</v>
      </c>
      <c r="BL52" s="138">
        <v>165528118</v>
      </c>
      <c r="BM52" s="138">
        <v>25366759</v>
      </c>
      <c r="BN52" s="138">
        <v>1087903</v>
      </c>
      <c r="BO52" s="138">
        <v>22434434</v>
      </c>
      <c r="BP52" s="138">
        <v>287178134</v>
      </c>
      <c r="BQ52" s="109">
        <f t="shared" si="5"/>
        <v>269150300</v>
      </c>
      <c r="BR52" s="109">
        <f t="shared" si="6"/>
        <v>17770034</v>
      </c>
      <c r="BS52" s="138">
        <v>0</v>
      </c>
      <c r="BT52" s="138">
        <v>273900</v>
      </c>
      <c r="BU52" s="138">
        <v>17496134</v>
      </c>
      <c r="BV52" s="138">
        <v>257800</v>
      </c>
      <c r="BW52" s="138">
        <v>5067799621</v>
      </c>
      <c r="BX52" s="109"/>
      <c r="BY52" s="138">
        <v>775684321</v>
      </c>
      <c r="BZ52" s="138">
        <v>519568801</v>
      </c>
      <c r="CA52" s="138">
        <v>42901489</v>
      </c>
      <c r="CB52" s="138">
        <v>85880329</v>
      </c>
      <c r="CC52" s="138">
        <v>1730687336</v>
      </c>
      <c r="CD52" s="138">
        <v>554452864</v>
      </c>
      <c r="CE52" s="138">
        <v>4503191</v>
      </c>
      <c r="CF52" s="138">
        <v>583203344</v>
      </c>
      <c r="CG52" s="138">
        <v>517484643</v>
      </c>
      <c r="CH52" s="138">
        <v>26468606</v>
      </c>
      <c r="CI52" s="138">
        <v>44568014</v>
      </c>
      <c r="CJ52" s="138">
        <v>399032186</v>
      </c>
      <c r="CK52" s="138">
        <v>376230567</v>
      </c>
      <c r="CL52" s="109">
        <f t="shared" si="21"/>
        <v>22801619</v>
      </c>
      <c r="CM52" s="138">
        <v>530853699</v>
      </c>
      <c r="CN52" s="138">
        <v>364228911</v>
      </c>
      <c r="CO52" s="110"/>
      <c r="CP52" s="138">
        <v>87158031</v>
      </c>
      <c r="CQ52" s="138">
        <v>54075537</v>
      </c>
      <c r="CR52" s="138">
        <v>429899356</v>
      </c>
      <c r="CS52" s="138">
        <v>55080127</v>
      </c>
      <c r="CT52" s="138">
        <v>173327903</v>
      </c>
      <c r="CU52" s="138">
        <v>144616045</v>
      </c>
      <c r="CV52" s="109">
        <f t="shared" si="8"/>
        <v>104035542</v>
      </c>
      <c r="CW52" s="138">
        <v>52755264</v>
      </c>
      <c r="CX52" s="138">
        <v>51280278</v>
      </c>
      <c r="CY52" s="109">
        <f t="shared" si="9"/>
        <v>14780367</v>
      </c>
      <c r="CZ52" s="138">
        <v>9353312</v>
      </c>
      <c r="DA52" s="138">
        <v>5427055</v>
      </c>
      <c r="DB52" s="109">
        <f t="shared" si="10"/>
        <v>81230476</v>
      </c>
      <c r="DC52" s="138">
        <v>42192118</v>
      </c>
      <c r="DD52" s="138">
        <v>39038358</v>
      </c>
      <c r="DE52" s="138">
        <v>510501333</v>
      </c>
      <c r="DF52" s="138">
        <v>214918959</v>
      </c>
      <c r="DG52" s="138">
        <v>287326548</v>
      </c>
      <c r="DH52" s="138">
        <v>1397269</v>
      </c>
      <c r="DI52" s="138">
        <v>4113111</v>
      </c>
      <c r="DJ52" s="138">
        <v>829581</v>
      </c>
      <c r="DK52" s="138">
        <v>136195871</v>
      </c>
      <c r="DL52" s="138">
        <v>43219822</v>
      </c>
      <c r="DM52" s="138">
        <v>11300576</v>
      </c>
      <c r="DN52" s="138">
        <v>81675472</v>
      </c>
      <c r="DO52" s="138">
        <v>7893693</v>
      </c>
      <c r="DP52" s="138">
        <v>6099993</v>
      </c>
      <c r="DQ52" s="138">
        <v>445591</v>
      </c>
      <c r="DR52" s="138">
        <v>1091209</v>
      </c>
      <c r="DS52" s="138">
        <v>17633488</v>
      </c>
      <c r="DT52" s="138">
        <v>1500000</v>
      </c>
      <c r="DU52" s="138">
        <v>0</v>
      </c>
      <c r="DV52" s="138">
        <v>399818443</v>
      </c>
      <c r="DW52" s="138">
        <v>58146</v>
      </c>
      <c r="DX52" s="109">
        <f t="shared" si="11"/>
        <v>0</v>
      </c>
      <c r="DY52" s="138">
        <v>0</v>
      </c>
      <c r="DZ52" s="138">
        <v>145239012</v>
      </c>
      <c r="EA52" s="138">
        <v>19951</v>
      </c>
      <c r="EB52" s="138">
        <v>104186428</v>
      </c>
      <c r="EC52" s="109"/>
      <c r="ED52" s="138">
        <v>147770270</v>
      </c>
      <c r="EE52" s="138">
        <v>0</v>
      </c>
      <c r="EF52" s="138">
        <v>4993104844</v>
      </c>
      <c r="EG52" s="109"/>
      <c r="EH52" s="138">
        <v>74694777</v>
      </c>
      <c r="EI52" s="138">
        <v>15400975</v>
      </c>
      <c r="EJ52" s="138">
        <v>59293802</v>
      </c>
      <c r="EK52" s="138">
        <v>6232943</v>
      </c>
      <c r="EL52" s="138">
        <v>36473316</v>
      </c>
      <c r="EM52" s="109"/>
      <c r="EN52" s="110">
        <f>EN6+EN7+EN51</f>
        <v>8837685</v>
      </c>
      <c r="EO52" s="110">
        <f>EO6+EO7+EO51</f>
        <v>8771961</v>
      </c>
      <c r="EP52" s="138">
        <v>36730700</v>
      </c>
      <c r="EQ52" s="138">
        <v>46479135</v>
      </c>
      <c r="ER52" s="109">
        <f t="shared" si="12"/>
        <v>294649347</v>
      </c>
      <c r="ES52" s="138">
        <v>2601648385</v>
      </c>
      <c r="ET52" s="138">
        <v>-393198027</v>
      </c>
      <c r="EU52" s="138">
        <v>671638023</v>
      </c>
      <c r="EV52" s="138">
        <v>446453952</v>
      </c>
      <c r="EW52" s="138">
        <v>589657102</v>
      </c>
      <c r="EX52" s="138">
        <v>364285067</v>
      </c>
      <c r="EY52" s="109">
        <f t="shared" si="13"/>
        <v>109446568</v>
      </c>
      <c r="EZ52" s="138">
        <v>109300656</v>
      </c>
      <c r="FA52" s="138">
        <v>11360461</v>
      </c>
      <c r="FB52" s="138">
        <v>97649982</v>
      </c>
      <c r="FC52" s="138">
        <v>145912</v>
      </c>
      <c r="FD52" s="138">
        <v>0</v>
      </c>
      <c r="FE52" s="138">
        <v>397487280</v>
      </c>
      <c r="FF52" s="138">
        <v>343528398</v>
      </c>
      <c r="FG52" s="138">
        <v>48987257</v>
      </c>
      <c r="FH52" s="138">
        <v>311030521</v>
      </c>
      <c r="FI52" s="109">
        <f t="shared" si="14"/>
        <v>133324527</v>
      </c>
      <c r="FJ52" s="138">
        <v>2920397486</v>
      </c>
      <c r="FK52" s="409">
        <f t="shared" si="15"/>
        <v>2.5</v>
      </c>
      <c r="FL52" s="138">
        <v>2345688999</v>
      </c>
      <c r="FM52" s="138">
        <v>19150965</v>
      </c>
      <c r="FN52" s="138">
        <v>1537684498</v>
      </c>
      <c r="FO52" s="138">
        <v>1922918304</v>
      </c>
      <c r="FP52" s="410">
        <v>0.80600000000000005</v>
      </c>
      <c r="FQ52" s="411">
        <v>94.2</v>
      </c>
      <c r="FR52" s="142">
        <v>26.5</v>
      </c>
      <c r="FS52" s="411">
        <v>18.7</v>
      </c>
      <c r="FT52" s="411">
        <v>12.2</v>
      </c>
      <c r="FU52" s="142">
        <v>13.8</v>
      </c>
      <c r="FV52" s="411">
        <v>9.6</v>
      </c>
      <c r="FW52" s="412">
        <v>11.6</v>
      </c>
      <c r="FX52" s="413">
        <v>1.9</v>
      </c>
      <c r="FY52" s="138">
        <v>3343079609</v>
      </c>
      <c r="FZ52" s="414">
        <f t="shared" si="16"/>
        <v>141.4</v>
      </c>
      <c r="GA52" s="138">
        <v>1003217688</v>
      </c>
      <c r="GB52" s="138">
        <v>543173240</v>
      </c>
      <c r="GC52" s="138">
        <v>54324798</v>
      </c>
      <c r="GD52" s="138">
        <v>405719650</v>
      </c>
      <c r="GE52" s="110"/>
      <c r="GF52" s="119">
        <f>SUM(GF6:GF7,GF51)</f>
        <v>15130</v>
      </c>
      <c r="GG52" s="120">
        <f>IF(GF52=0,"-",ROUND(GF52/GY52*100,1))</f>
        <v>3.9</v>
      </c>
      <c r="GH52" s="411">
        <v>99.5</v>
      </c>
      <c r="GI52" s="411">
        <v>36.5</v>
      </c>
      <c r="GJ52" s="411">
        <v>98.8</v>
      </c>
      <c r="GK52" s="110">
        <f>GK6+GK7+GK51</f>
        <v>75391</v>
      </c>
      <c r="GL52" s="415" t="s">
        <v>646</v>
      </c>
      <c r="GM52" s="415" t="s">
        <v>646</v>
      </c>
      <c r="GN52" s="416" t="s">
        <v>646</v>
      </c>
      <c r="GO52" s="415" t="s">
        <v>646</v>
      </c>
      <c r="GP52" s="415" t="s">
        <v>646</v>
      </c>
      <c r="GQ52" s="416" t="s">
        <v>646</v>
      </c>
      <c r="GR52" s="417">
        <v>1.9</v>
      </c>
      <c r="GS52" s="418" t="s">
        <v>646</v>
      </c>
      <c r="GT52" s="418" t="s">
        <v>646</v>
      </c>
      <c r="GU52" s="124" t="s">
        <v>646</v>
      </c>
      <c r="GV52" s="415" t="s">
        <v>646</v>
      </c>
      <c r="GX52" s="111">
        <f t="shared" si="17"/>
        <v>2364840</v>
      </c>
      <c r="GY52" s="419">
        <f>GY51</f>
        <v>385880</v>
      </c>
    </row>
    <row r="53" spans="1:232" x14ac:dyDescent="0.15">
      <c r="S53" s="75"/>
      <c r="CK53" s="89"/>
      <c r="CL53" s="84"/>
      <c r="EK53" s="420">
        <f>EK8+EK10+EK12+EK14+EK23+EK24+EK25+EK27+EK31+EK32+EK37+EK43+EK44+EK45+EK47+EK48</f>
        <v>-176404</v>
      </c>
      <c r="FL53" s="394">
        <f>FL44+FL47+FL45</f>
        <v>17621373</v>
      </c>
      <c r="FM53" s="394">
        <f>FM44+FM47+FM45</f>
        <v>49081</v>
      </c>
      <c r="GG53" s="89" t="s">
        <v>647</v>
      </c>
      <c r="GK53" s="130"/>
      <c r="GY53" s="101" t="s">
        <v>648</v>
      </c>
      <c r="GZ53" s="101"/>
    </row>
    <row r="54" spans="1:232" x14ac:dyDescent="0.15">
      <c r="HK54" s="89" t="s">
        <v>649</v>
      </c>
      <c r="HM54" s="388"/>
      <c r="HN54" s="388"/>
      <c r="HO54" s="388"/>
      <c r="HP54" s="272"/>
    </row>
    <row r="55" spans="1:232" x14ac:dyDescent="0.15">
      <c r="S55" s="75"/>
      <c r="CK55" s="89"/>
      <c r="CL55" s="84"/>
      <c r="GK55" s="130"/>
    </row>
    <row r="56" spans="1:232" x14ac:dyDescent="0.15">
      <c r="B56" s="89" t="s">
        <v>650</v>
      </c>
      <c r="C56" s="89" t="str">
        <f t="shared" ref="C56:Y56" si="22">IF(SUM(C8:C38)=C39,"ok","エラー")</f>
        <v>ok</v>
      </c>
      <c r="D56" s="89" t="str">
        <f t="shared" si="22"/>
        <v>ok</v>
      </c>
      <c r="E56" s="89" t="str">
        <f t="shared" si="22"/>
        <v>ok</v>
      </c>
      <c r="F56" s="89" t="str">
        <f t="shared" si="22"/>
        <v>ok</v>
      </c>
      <c r="G56" s="89" t="str">
        <f t="shared" si="22"/>
        <v>ok</v>
      </c>
      <c r="H56" s="89" t="str">
        <f t="shared" si="22"/>
        <v>ok</v>
      </c>
      <c r="I56" s="89" t="str">
        <f t="shared" si="22"/>
        <v>ok</v>
      </c>
      <c r="J56" s="89" t="str">
        <f t="shared" si="22"/>
        <v>ok</v>
      </c>
      <c r="K56" s="89" t="str">
        <f t="shared" si="22"/>
        <v>ok</v>
      </c>
      <c r="L56" s="89" t="str">
        <f t="shared" si="22"/>
        <v>ok</v>
      </c>
      <c r="M56" s="89" t="str">
        <f t="shared" si="22"/>
        <v>ok</v>
      </c>
      <c r="N56" s="89" t="str">
        <f t="shared" si="22"/>
        <v>ok</v>
      </c>
      <c r="O56" s="89" t="str">
        <f t="shared" si="22"/>
        <v>ok</v>
      </c>
      <c r="P56" s="89" t="str">
        <f t="shared" si="22"/>
        <v>ok</v>
      </c>
      <c r="Q56" s="89" t="str">
        <f t="shared" si="22"/>
        <v>ok</v>
      </c>
      <c r="R56" s="89" t="str">
        <f t="shared" si="22"/>
        <v>ok</v>
      </c>
      <c r="S56" s="75" t="str">
        <f t="shared" si="22"/>
        <v>ok</v>
      </c>
      <c r="T56" s="89" t="str">
        <f t="shared" si="22"/>
        <v>ok</v>
      </c>
      <c r="U56" s="89" t="str">
        <f t="shared" si="22"/>
        <v>ok</v>
      </c>
      <c r="V56" s="89" t="str">
        <f t="shared" si="22"/>
        <v>ok</v>
      </c>
      <c r="W56" s="89" t="str">
        <f t="shared" si="22"/>
        <v>ok</v>
      </c>
      <c r="X56" s="89" t="str">
        <f t="shared" si="22"/>
        <v>ok</v>
      </c>
      <c r="Y56" s="89" t="str">
        <f t="shared" si="22"/>
        <v>ok</v>
      </c>
      <c r="AA56" s="89" t="str">
        <f>IF(SUM(AA8:AA38)=AA39,"ok","エラー")</f>
        <v>ok</v>
      </c>
      <c r="AB56" s="89" t="str">
        <f>IF(SUM(AB8:AB38)=AB39,"ok","エラー")</f>
        <v>ok</v>
      </c>
      <c r="AD56" s="89" t="str">
        <f t="shared" ref="AD56:BI56" si="23">IF(SUM(AD8:AD38)=AD39,"ok","エラー")</f>
        <v>ok</v>
      </c>
      <c r="AE56" s="89" t="str">
        <f t="shared" si="23"/>
        <v>ok</v>
      </c>
      <c r="AF56" s="89" t="str">
        <f t="shared" si="23"/>
        <v>ok</v>
      </c>
      <c r="AG56" s="89" t="str">
        <f t="shared" si="23"/>
        <v>ok</v>
      </c>
      <c r="AH56" s="89" t="str">
        <f t="shared" si="23"/>
        <v>ok</v>
      </c>
      <c r="AI56" s="89" t="str">
        <f t="shared" si="23"/>
        <v>ok</v>
      </c>
      <c r="AJ56" s="89" t="str">
        <f t="shared" si="23"/>
        <v>ok</v>
      </c>
      <c r="AK56" s="89" t="str">
        <f t="shared" si="23"/>
        <v>ok</v>
      </c>
      <c r="AL56" s="89" t="str">
        <f t="shared" si="23"/>
        <v>ok</v>
      </c>
      <c r="AM56" s="89" t="str">
        <f t="shared" si="23"/>
        <v>ok</v>
      </c>
      <c r="AN56" s="89" t="str">
        <f t="shared" si="23"/>
        <v>ok</v>
      </c>
      <c r="AO56" s="89" t="str">
        <f t="shared" si="23"/>
        <v>ok</v>
      </c>
      <c r="AP56" s="89" t="str">
        <f t="shared" si="23"/>
        <v>ok</v>
      </c>
      <c r="AQ56" s="89" t="str">
        <f t="shared" si="23"/>
        <v>ok</v>
      </c>
      <c r="AR56" s="89" t="str">
        <f t="shared" si="23"/>
        <v>ok</v>
      </c>
      <c r="AS56" s="89" t="str">
        <f t="shared" si="23"/>
        <v>ok</v>
      </c>
      <c r="AT56" s="89" t="str">
        <f t="shared" si="23"/>
        <v>ok</v>
      </c>
      <c r="AU56" s="89" t="str">
        <f t="shared" si="23"/>
        <v>ok</v>
      </c>
      <c r="AV56" s="89" t="str">
        <f t="shared" si="23"/>
        <v>ok</v>
      </c>
      <c r="AW56" s="89" t="str">
        <f t="shared" si="23"/>
        <v>ok</v>
      </c>
      <c r="AX56" s="89" t="str">
        <f t="shared" si="23"/>
        <v>ok</v>
      </c>
      <c r="AY56" s="89" t="str">
        <f t="shared" si="23"/>
        <v>ok</v>
      </c>
      <c r="AZ56" s="89" t="str">
        <f t="shared" si="23"/>
        <v>ok</v>
      </c>
      <c r="BA56" s="89" t="str">
        <f t="shared" si="23"/>
        <v>ok</v>
      </c>
      <c r="BB56" s="89" t="str">
        <f t="shared" si="23"/>
        <v>ok</v>
      </c>
      <c r="BC56" s="89" t="str">
        <f t="shared" si="23"/>
        <v>ok</v>
      </c>
      <c r="BD56" s="89" t="str">
        <f t="shared" si="23"/>
        <v>ok</v>
      </c>
      <c r="BE56" s="89" t="str">
        <f t="shared" si="23"/>
        <v>ok</v>
      </c>
      <c r="BF56" s="89" t="str">
        <f t="shared" si="23"/>
        <v>ok</v>
      </c>
      <c r="BG56" s="89" t="str">
        <f t="shared" si="23"/>
        <v>ok</v>
      </c>
      <c r="BH56" s="89" t="str">
        <f t="shared" si="23"/>
        <v>ok</v>
      </c>
      <c r="BI56" s="89" t="str">
        <f t="shared" si="23"/>
        <v>ok</v>
      </c>
      <c r="BJ56" s="89" t="str">
        <f t="shared" ref="BJ56:CK56" si="24">IF(SUM(BJ8:BJ38)=BJ39,"ok","エラー")</f>
        <v>ok</v>
      </c>
      <c r="BK56" s="89" t="str">
        <f t="shared" si="24"/>
        <v>ok</v>
      </c>
      <c r="BL56" s="89" t="str">
        <f t="shared" si="24"/>
        <v>ok</v>
      </c>
      <c r="BM56" s="89" t="str">
        <f t="shared" si="24"/>
        <v>ok</v>
      </c>
      <c r="BN56" s="89" t="str">
        <f t="shared" si="24"/>
        <v>ok</v>
      </c>
      <c r="BO56" s="89" t="str">
        <f t="shared" si="24"/>
        <v>ok</v>
      </c>
      <c r="BP56" s="89" t="str">
        <f t="shared" si="24"/>
        <v>ok</v>
      </c>
      <c r="BQ56" s="89" t="str">
        <f t="shared" si="24"/>
        <v>ok</v>
      </c>
      <c r="BR56" s="89" t="str">
        <f t="shared" si="24"/>
        <v>ok</v>
      </c>
      <c r="BS56" s="89" t="str">
        <f t="shared" si="24"/>
        <v>ok</v>
      </c>
      <c r="BT56" s="89" t="str">
        <f t="shared" si="24"/>
        <v>ok</v>
      </c>
      <c r="BU56" s="89" t="str">
        <f t="shared" si="24"/>
        <v>ok</v>
      </c>
      <c r="BV56" s="89" t="str">
        <f t="shared" si="24"/>
        <v>ok</v>
      </c>
      <c r="BW56" s="89" t="str">
        <f t="shared" si="24"/>
        <v>ok</v>
      </c>
      <c r="BX56" s="89" t="str">
        <f t="shared" si="24"/>
        <v>ok</v>
      </c>
      <c r="BY56" s="89" t="str">
        <f t="shared" si="24"/>
        <v>ok</v>
      </c>
      <c r="BZ56" s="89" t="str">
        <f t="shared" si="24"/>
        <v>ok</v>
      </c>
      <c r="CA56" s="89" t="str">
        <f t="shared" si="24"/>
        <v>ok</v>
      </c>
      <c r="CB56" s="89" t="str">
        <f t="shared" si="24"/>
        <v>ok</v>
      </c>
      <c r="CC56" s="89" t="str">
        <f t="shared" si="24"/>
        <v>ok</v>
      </c>
      <c r="CD56" s="89" t="str">
        <f t="shared" si="24"/>
        <v>ok</v>
      </c>
      <c r="CE56" s="89" t="str">
        <f t="shared" si="24"/>
        <v>ok</v>
      </c>
      <c r="CF56" s="89" t="str">
        <f t="shared" si="24"/>
        <v>ok</v>
      </c>
      <c r="CG56" s="89" t="str">
        <f t="shared" si="24"/>
        <v>ok</v>
      </c>
      <c r="CH56" s="89" t="str">
        <f t="shared" si="24"/>
        <v>ok</v>
      </c>
      <c r="CI56" s="89" t="str">
        <f t="shared" si="24"/>
        <v>ok</v>
      </c>
      <c r="CJ56" s="89" t="str">
        <f t="shared" si="24"/>
        <v>ok</v>
      </c>
      <c r="CK56" s="89" t="str">
        <f t="shared" si="24"/>
        <v>ok</v>
      </c>
      <c r="CL56" s="84"/>
      <c r="CM56" s="89" t="str">
        <f t="shared" ref="CM56:DR56" si="25">IF(SUM(CM8:CM38)=CM39,"ok","エラー")</f>
        <v>ok</v>
      </c>
      <c r="CN56" s="89" t="str">
        <f t="shared" si="25"/>
        <v>ok</v>
      </c>
      <c r="CO56" s="89" t="str">
        <f t="shared" si="25"/>
        <v>ok</v>
      </c>
      <c r="CP56" s="89" t="str">
        <f t="shared" si="25"/>
        <v>ok</v>
      </c>
      <c r="CQ56" s="89" t="str">
        <f t="shared" si="25"/>
        <v>ok</v>
      </c>
      <c r="CR56" s="89" t="str">
        <f t="shared" si="25"/>
        <v>ok</v>
      </c>
      <c r="CS56" s="89" t="str">
        <f t="shared" si="25"/>
        <v>ok</v>
      </c>
      <c r="CT56" s="89" t="str">
        <f t="shared" si="25"/>
        <v>ok</v>
      </c>
      <c r="CU56" s="89" t="str">
        <f t="shared" si="25"/>
        <v>ok</v>
      </c>
      <c r="CV56" s="89" t="str">
        <f t="shared" si="25"/>
        <v>ok</v>
      </c>
      <c r="CW56" s="89" t="str">
        <f t="shared" si="25"/>
        <v>ok</v>
      </c>
      <c r="CX56" s="89" t="str">
        <f t="shared" si="25"/>
        <v>ok</v>
      </c>
      <c r="CY56" s="89" t="str">
        <f t="shared" si="25"/>
        <v>ok</v>
      </c>
      <c r="CZ56" s="89" t="str">
        <f t="shared" si="25"/>
        <v>ok</v>
      </c>
      <c r="DA56" s="89" t="str">
        <f t="shared" si="25"/>
        <v>ok</v>
      </c>
      <c r="DB56" s="89" t="str">
        <f t="shared" si="25"/>
        <v>ok</v>
      </c>
      <c r="DC56" s="89" t="str">
        <f t="shared" si="25"/>
        <v>ok</v>
      </c>
      <c r="DD56" s="89" t="str">
        <f t="shared" si="25"/>
        <v>ok</v>
      </c>
      <c r="DE56" s="89" t="str">
        <f t="shared" si="25"/>
        <v>ok</v>
      </c>
      <c r="DF56" s="89" t="str">
        <f t="shared" si="25"/>
        <v>ok</v>
      </c>
      <c r="DG56" s="89" t="str">
        <f t="shared" si="25"/>
        <v>ok</v>
      </c>
      <c r="DH56" s="89" t="str">
        <f t="shared" si="25"/>
        <v>ok</v>
      </c>
      <c r="DI56" s="89" t="str">
        <f t="shared" si="25"/>
        <v>ok</v>
      </c>
      <c r="DJ56" s="89" t="str">
        <f t="shared" si="25"/>
        <v>ok</v>
      </c>
      <c r="DK56" s="89" t="str">
        <f t="shared" si="25"/>
        <v>ok</v>
      </c>
      <c r="DL56" s="89" t="str">
        <f t="shared" si="25"/>
        <v>ok</v>
      </c>
      <c r="DM56" s="89" t="str">
        <f t="shared" si="25"/>
        <v>ok</v>
      </c>
      <c r="DN56" s="89" t="str">
        <f t="shared" si="25"/>
        <v>ok</v>
      </c>
      <c r="DO56" s="89" t="str">
        <f t="shared" si="25"/>
        <v>ok</v>
      </c>
      <c r="DP56" s="89" t="str">
        <f t="shared" si="25"/>
        <v>ok</v>
      </c>
      <c r="DQ56" s="89" t="str">
        <f t="shared" si="25"/>
        <v>ok</v>
      </c>
      <c r="DR56" s="89" t="str">
        <f t="shared" si="25"/>
        <v>ok</v>
      </c>
      <c r="DS56" s="89" t="str">
        <f t="shared" ref="DS56:EX56" si="26">IF(SUM(DS8:DS38)=DS39,"ok","エラー")</f>
        <v>ok</v>
      </c>
      <c r="DT56" s="89" t="str">
        <f t="shared" si="26"/>
        <v>ok</v>
      </c>
      <c r="DU56" s="89" t="str">
        <f t="shared" si="26"/>
        <v>ok</v>
      </c>
      <c r="DV56" s="89" t="str">
        <f t="shared" si="26"/>
        <v>ok</v>
      </c>
      <c r="DW56" s="89" t="str">
        <f t="shared" si="26"/>
        <v>ok</v>
      </c>
      <c r="DX56" s="89" t="str">
        <f t="shared" si="26"/>
        <v>ok</v>
      </c>
      <c r="DY56" s="89" t="str">
        <f t="shared" si="26"/>
        <v>ok</v>
      </c>
      <c r="DZ56" s="89" t="str">
        <f t="shared" si="26"/>
        <v>ok</v>
      </c>
      <c r="EA56" s="89" t="str">
        <f t="shared" si="26"/>
        <v>ok</v>
      </c>
      <c r="EB56" s="89" t="str">
        <f t="shared" si="26"/>
        <v>ok</v>
      </c>
      <c r="EC56" s="89" t="str">
        <f t="shared" si="26"/>
        <v>ok</v>
      </c>
      <c r="ED56" s="89" t="str">
        <f t="shared" si="26"/>
        <v>ok</v>
      </c>
      <c r="EE56" s="89" t="str">
        <f t="shared" si="26"/>
        <v>ok</v>
      </c>
      <c r="EF56" s="89" t="str">
        <f t="shared" si="26"/>
        <v>ok</v>
      </c>
      <c r="EG56" s="89" t="str">
        <f t="shared" si="26"/>
        <v>ok</v>
      </c>
      <c r="EH56" s="89" t="str">
        <f t="shared" si="26"/>
        <v>ok</v>
      </c>
      <c r="EI56" s="89" t="str">
        <f t="shared" si="26"/>
        <v>ok</v>
      </c>
      <c r="EJ56" s="89" t="str">
        <f t="shared" si="26"/>
        <v>ok</v>
      </c>
      <c r="EK56" s="89" t="str">
        <f t="shared" si="26"/>
        <v>ok</v>
      </c>
      <c r="EL56" s="89" t="str">
        <f t="shared" si="26"/>
        <v>ok</v>
      </c>
      <c r="EM56" s="89" t="str">
        <f t="shared" si="26"/>
        <v>ok</v>
      </c>
      <c r="EN56" s="89" t="str">
        <f t="shared" si="26"/>
        <v>ok</v>
      </c>
      <c r="EO56" s="89" t="str">
        <f t="shared" si="26"/>
        <v>ok</v>
      </c>
      <c r="EP56" s="89" t="str">
        <f t="shared" si="26"/>
        <v>ok</v>
      </c>
      <c r="EQ56" s="89" t="str">
        <f t="shared" si="26"/>
        <v>ok</v>
      </c>
      <c r="ER56" s="89" t="str">
        <f t="shared" si="26"/>
        <v>ok</v>
      </c>
      <c r="ES56" s="89" t="str">
        <f t="shared" si="26"/>
        <v>ok</v>
      </c>
      <c r="ET56" s="89" t="str">
        <f t="shared" si="26"/>
        <v>ok</v>
      </c>
      <c r="EU56" s="89" t="str">
        <f t="shared" si="26"/>
        <v>ok</v>
      </c>
      <c r="EV56" s="89" t="str">
        <f t="shared" si="26"/>
        <v>ok</v>
      </c>
      <c r="EW56" s="89" t="str">
        <f t="shared" si="26"/>
        <v>ok</v>
      </c>
      <c r="EX56" s="89" t="str">
        <f t="shared" si="26"/>
        <v>ok</v>
      </c>
      <c r="EY56" s="89" t="str">
        <f t="shared" ref="EY56:FJ56" si="27">IF(SUM(EY8:EY38)=EY39,"ok","エラー")</f>
        <v>ok</v>
      </c>
      <c r="EZ56" s="89" t="str">
        <f t="shared" si="27"/>
        <v>ok</v>
      </c>
      <c r="FA56" s="89" t="str">
        <f t="shared" si="27"/>
        <v>ok</v>
      </c>
      <c r="FB56" s="89" t="str">
        <f t="shared" si="27"/>
        <v>ok</v>
      </c>
      <c r="FC56" s="89" t="str">
        <f t="shared" si="27"/>
        <v>ok</v>
      </c>
      <c r="FD56" s="89" t="str">
        <f t="shared" si="27"/>
        <v>ok</v>
      </c>
      <c r="FE56" s="89" t="str">
        <f t="shared" si="27"/>
        <v>ok</v>
      </c>
      <c r="FF56" s="89" t="str">
        <f t="shared" si="27"/>
        <v>ok</v>
      </c>
      <c r="FG56" s="89" t="str">
        <f t="shared" si="27"/>
        <v>ok</v>
      </c>
      <c r="FH56" s="89" t="str">
        <f t="shared" si="27"/>
        <v>ok</v>
      </c>
      <c r="FI56" s="89" t="str">
        <f t="shared" si="27"/>
        <v>ok</v>
      </c>
      <c r="FJ56" s="89" t="str">
        <f t="shared" si="27"/>
        <v>ok</v>
      </c>
      <c r="FL56" s="89" t="str">
        <f>IF(SUM(FL8:FL38)=FL39,"ok","エラー")</f>
        <v>ok</v>
      </c>
      <c r="FM56" s="89" t="str">
        <f>IF(SUM(FM8:FM38)=FM39,"ok","エラー")</f>
        <v>ok</v>
      </c>
      <c r="FN56" s="89" t="str">
        <f>IF(SUM(FN8:FN38)=FN39,"ok","エラー")</f>
        <v>ok</v>
      </c>
      <c r="FO56" s="89" t="str">
        <f>IF(SUM(FO8:FO38)=FO39,"ok","エラー")</f>
        <v>ok</v>
      </c>
      <c r="FY56" s="89" t="str">
        <f>IF(SUM(FY8:FY38)=FY39,"ok","エラー")</f>
        <v>ok</v>
      </c>
      <c r="GA56" s="89" t="str">
        <f t="shared" ref="GA56:GF56" si="28">IF(SUM(GA8:GA38)=GA39,"ok","エラー")</f>
        <v>ok</v>
      </c>
      <c r="GB56" s="89" t="str">
        <f t="shared" si="28"/>
        <v>ok</v>
      </c>
      <c r="GC56" s="89" t="str">
        <f t="shared" si="28"/>
        <v>ok</v>
      </c>
      <c r="GD56" s="89" t="str">
        <f t="shared" si="28"/>
        <v>ok</v>
      </c>
      <c r="GE56" s="89" t="str">
        <f t="shared" si="28"/>
        <v>ok</v>
      </c>
      <c r="GF56" s="89" t="str">
        <f t="shared" si="28"/>
        <v>ok</v>
      </c>
      <c r="GK56" s="130" t="str">
        <f>IF(SUM(GK8:GK38)=GK39,"ok","エラー")</f>
        <v>ok</v>
      </c>
    </row>
    <row r="57" spans="1:232" x14ac:dyDescent="0.15">
      <c r="B57" s="89" t="s">
        <v>650</v>
      </c>
      <c r="C57" s="89" t="str">
        <f t="shared" ref="C57:Y57" si="29">IF(SUM(C40:C49)=C50,"ok","エラー")</f>
        <v>ok</v>
      </c>
      <c r="D57" s="89" t="str">
        <f t="shared" si="29"/>
        <v>ok</v>
      </c>
      <c r="E57" s="89" t="str">
        <f t="shared" si="29"/>
        <v>ok</v>
      </c>
      <c r="F57" s="89" t="str">
        <f t="shared" si="29"/>
        <v>ok</v>
      </c>
      <c r="G57" s="89" t="str">
        <f t="shared" si="29"/>
        <v>ok</v>
      </c>
      <c r="H57" s="89" t="str">
        <f t="shared" si="29"/>
        <v>ok</v>
      </c>
      <c r="I57" s="89" t="str">
        <f t="shared" si="29"/>
        <v>ok</v>
      </c>
      <c r="J57" s="89" t="str">
        <f t="shared" si="29"/>
        <v>ok</v>
      </c>
      <c r="K57" s="89" t="str">
        <f t="shared" si="29"/>
        <v>ok</v>
      </c>
      <c r="L57" s="89" t="str">
        <f t="shared" si="29"/>
        <v>ok</v>
      </c>
      <c r="M57" s="89" t="str">
        <f t="shared" si="29"/>
        <v>ok</v>
      </c>
      <c r="N57" s="89" t="str">
        <f t="shared" si="29"/>
        <v>ok</v>
      </c>
      <c r="O57" s="89" t="str">
        <f t="shared" si="29"/>
        <v>ok</v>
      </c>
      <c r="P57" s="89" t="str">
        <f t="shared" si="29"/>
        <v>ok</v>
      </c>
      <c r="Q57" s="89" t="str">
        <f t="shared" si="29"/>
        <v>ok</v>
      </c>
      <c r="R57" s="89" t="str">
        <f t="shared" si="29"/>
        <v>ok</v>
      </c>
      <c r="S57" s="75" t="str">
        <f t="shared" si="29"/>
        <v>ok</v>
      </c>
      <c r="T57" s="89" t="str">
        <f t="shared" si="29"/>
        <v>ok</v>
      </c>
      <c r="U57" s="89" t="str">
        <f t="shared" si="29"/>
        <v>ok</v>
      </c>
      <c r="V57" s="89" t="str">
        <f t="shared" si="29"/>
        <v>ok</v>
      </c>
      <c r="W57" s="89" t="str">
        <f t="shared" si="29"/>
        <v>ok</v>
      </c>
      <c r="X57" s="89" t="str">
        <f t="shared" si="29"/>
        <v>ok</v>
      </c>
      <c r="Y57" s="89" t="str">
        <f t="shared" si="29"/>
        <v>ok</v>
      </c>
      <c r="AA57" s="89" t="str">
        <f>IF(SUM(AA40:AA49)=AA50,"ok","エラー")</f>
        <v>ok</v>
      </c>
      <c r="AB57" s="89" t="str">
        <f>IF(SUM(AB40:AB49)=AB50,"ok","エラー")</f>
        <v>ok</v>
      </c>
      <c r="AD57" s="89" t="str">
        <f t="shared" ref="AD57:BI57" si="30">IF(SUM(AD40:AD49)=AD50,"ok","エラー")</f>
        <v>ok</v>
      </c>
      <c r="AE57" s="89" t="str">
        <f t="shared" si="30"/>
        <v>ok</v>
      </c>
      <c r="AF57" s="89" t="str">
        <f t="shared" si="30"/>
        <v>ok</v>
      </c>
      <c r="AG57" s="89" t="str">
        <f t="shared" si="30"/>
        <v>ok</v>
      </c>
      <c r="AH57" s="89" t="str">
        <f t="shared" si="30"/>
        <v>ok</v>
      </c>
      <c r="AI57" s="89" t="str">
        <f t="shared" si="30"/>
        <v>ok</v>
      </c>
      <c r="AJ57" s="89" t="str">
        <f t="shared" si="30"/>
        <v>ok</v>
      </c>
      <c r="AK57" s="89" t="str">
        <f t="shared" si="30"/>
        <v>ok</v>
      </c>
      <c r="AL57" s="89" t="str">
        <f t="shared" si="30"/>
        <v>ok</v>
      </c>
      <c r="AM57" s="89" t="str">
        <f t="shared" si="30"/>
        <v>ok</v>
      </c>
      <c r="AN57" s="89" t="str">
        <f t="shared" si="30"/>
        <v>ok</v>
      </c>
      <c r="AO57" s="89" t="str">
        <f t="shared" si="30"/>
        <v>ok</v>
      </c>
      <c r="AP57" s="89" t="str">
        <f t="shared" si="30"/>
        <v>ok</v>
      </c>
      <c r="AQ57" s="89" t="str">
        <f t="shared" si="30"/>
        <v>ok</v>
      </c>
      <c r="AR57" s="89" t="str">
        <f t="shared" si="30"/>
        <v>ok</v>
      </c>
      <c r="AS57" s="89" t="str">
        <f t="shared" si="30"/>
        <v>ok</v>
      </c>
      <c r="AT57" s="89" t="str">
        <f t="shared" si="30"/>
        <v>ok</v>
      </c>
      <c r="AU57" s="89" t="str">
        <f t="shared" si="30"/>
        <v>ok</v>
      </c>
      <c r="AV57" s="89" t="str">
        <f t="shared" si="30"/>
        <v>ok</v>
      </c>
      <c r="AW57" s="89" t="str">
        <f t="shared" si="30"/>
        <v>ok</v>
      </c>
      <c r="AX57" s="89" t="str">
        <f t="shared" si="30"/>
        <v>ok</v>
      </c>
      <c r="AY57" s="89" t="str">
        <f t="shared" si="30"/>
        <v>ok</v>
      </c>
      <c r="AZ57" s="89" t="str">
        <f t="shared" si="30"/>
        <v>ok</v>
      </c>
      <c r="BA57" s="89" t="str">
        <f t="shared" si="30"/>
        <v>ok</v>
      </c>
      <c r="BB57" s="89" t="str">
        <f t="shared" si="30"/>
        <v>ok</v>
      </c>
      <c r="BC57" s="89" t="str">
        <f t="shared" si="30"/>
        <v>ok</v>
      </c>
      <c r="BD57" s="89" t="str">
        <f t="shared" si="30"/>
        <v>ok</v>
      </c>
      <c r="BE57" s="89" t="str">
        <f t="shared" si="30"/>
        <v>ok</v>
      </c>
      <c r="BF57" s="89" t="str">
        <f t="shared" si="30"/>
        <v>ok</v>
      </c>
      <c r="BG57" s="89" t="str">
        <f t="shared" si="30"/>
        <v>ok</v>
      </c>
      <c r="BH57" s="89" t="str">
        <f t="shared" si="30"/>
        <v>ok</v>
      </c>
      <c r="BI57" s="89" t="str">
        <f t="shared" si="30"/>
        <v>ok</v>
      </c>
      <c r="BJ57" s="89" t="str">
        <f t="shared" ref="BJ57:CK57" si="31">IF(SUM(BJ40:BJ49)=BJ50,"ok","エラー")</f>
        <v>ok</v>
      </c>
      <c r="BK57" s="89" t="str">
        <f t="shared" si="31"/>
        <v>ok</v>
      </c>
      <c r="BL57" s="89" t="str">
        <f t="shared" si="31"/>
        <v>ok</v>
      </c>
      <c r="BM57" s="89" t="str">
        <f t="shared" si="31"/>
        <v>ok</v>
      </c>
      <c r="BN57" s="89" t="str">
        <f t="shared" si="31"/>
        <v>ok</v>
      </c>
      <c r="BO57" s="89" t="str">
        <f t="shared" si="31"/>
        <v>ok</v>
      </c>
      <c r="BP57" s="89" t="str">
        <f t="shared" si="31"/>
        <v>ok</v>
      </c>
      <c r="BQ57" s="89" t="str">
        <f t="shared" si="31"/>
        <v>ok</v>
      </c>
      <c r="BR57" s="89" t="str">
        <f t="shared" si="31"/>
        <v>ok</v>
      </c>
      <c r="BS57" s="89" t="str">
        <f t="shared" si="31"/>
        <v>ok</v>
      </c>
      <c r="BT57" s="89" t="str">
        <f t="shared" si="31"/>
        <v>ok</v>
      </c>
      <c r="BU57" s="89" t="str">
        <f t="shared" si="31"/>
        <v>ok</v>
      </c>
      <c r="BV57" s="89" t="str">
        <f t="shared" si="31"/>
        <v>ok</v>
      </c>
      <c r="BW57" s="89" t="str">
        <f t="shared" si="31"/>
        <v>ok</v>
      </c>
      <c r="BX57" s="89" t="str">
        <f t="shared" si="31"/>
        <v>ok</v>
      </c>
      <c r="BY57" s="89" t="str">
        <f t="shared" si="31"/>
        <v>ok</v>
      </c>
      <c r="BZ57" s="89" t="str">
        <f t="shared" si="31"/>
        <v>ok</v>
      </c>
      <c r="CA57" s="89" t="str">
        <f t="shared" si="31"/>
        <v>ok</v>
      </c>
      <c r="CB57" s="89" t="str">
        <f t="shared" si="31"/>
        <v>ok</v>
      </c>
      <c r="CC57" s="89" t="str">
        <f t="shared" si="31"/>
        <v>ok</v>
      </c>
      <c r="CD57" s="89" t="str">
        <f t="shared" si="31"/>
        <v>ok</v>
      </c>
      <c r="CE57" s="89" t="str">
        <f t="shared" si="31"/>
        <v>ok</v>
      </c>
      <c r="CF57" s="89" t="str">
        <f t="shared" si="31"/>
        <v>ok</v>
      </c>
      <c r="CG57" s="89" t="str">
        <f t="shared" si="31"/>
        <v>ok</v>
      </c>
      <c r="CH57" s="89" t="str">
        <f t="shared" si="31"/>
        <v>ok</v>
      </c>
      <c r="CI57" s="89" t="str">
        <f t="shared" si="31"/>
        <v>ok</v>
      </c>
      <c r="CJ57" s="89" t="str">
        <f t="shared" si="31"/>
        <v>ok</v>
      </c>
      <c r="CK57" s="89" t="str">
        <f t="shared" si="31"/>
        <v>ok</v>
      </c>
      <c r="CL57" s="84"/>
      <c r="CM57" s="89" t="str">
        <f t="shared" ref="CM57:DR57" si="32">IF(SUM(CM40:CM49)=CM50,"ok","エラー")</f>
        <v>ok</v>
      </c>
      <c r="CN57" s="89" t="str">
        <f t="shared" si="32"/>
        <v>ok</v>
      </c>
      <c r="CO57" s="89" t="str">
        <f t="shared" si="32"/>
        <v>ok</v>
      </c>
      <c r="CP57" s="89" t="str">
        <f t="shared" si="32"/>
        <v>ok</v>
      </c>
      <c r="CQ57" s="89" t="str">
        <f t="shared" si="32"/>
        <v>ok</v>
      </c>
      <c r="CR57" s="89" t="str">
        <f t="shared" si="32"/>
        <v>ok</v>
      </c>
      <c r="CS57" s="89" t="str">
        <f t="shared" si="32"/>
        <v>ok</v>
      </c>
      <c r="CT57" s="89" t="str">
        <f t="shared" si="32"/>
        <v>ok</v>
      </c>
      <c r="CU57" s="89" t="str">
        <f t="shared" si="32"/>
        <v>ok</v>
      </c>
      <c r="CV57" s="89" t="str">
        <f t="shared" si="32"/>
        <v>ok</v>
      </c>
      <c r="CW57" s="89" t="str">
        <f t="shared" si="32"/>
        <v>ok</v>
      </c>
      <c r="CX57" s="89" t="str">
        <f t="shared" si="32"/>
        <v>ok</v>
      </c>
      <c r="CY57" s="89" t="str">
        <f t="shared" si="32"/>
        <v>ok</v>
      </c>
      <c r="CZ57" s="89" t="str">
        <f t="shared" si="32"/>
        <v>ok</v>
      </c>
      <c r="DA57" s="89" t="str">
        <f t="shared" si="32"/>
        <v>ok</v>
      </c>
      <c r="DB57" s="89" t="str">
        <f t="shared" si="32"/>
        <v>ok</v>
      </c>
      <c r="DC57" s="89" t="str">
        <f t="shared" si="32"/>
        <v>ok</v>
      </c>
      <c r="DD57" s="89" t="str">
        <f t="shared" si="32"/>
        <v>ok</v>
      </c>
      <c r="DE57" s="89" t="str">
        <f t="shared" si="32"/>
        <v>ok</v>
      </c>
      <c r="DF57" s="89" t="str">
        <f t="shared" si="32"/>
        <v>ok</v>
      </c>
      <c r="DG57" s="89" t="str">
        <f t="shared" si="32"/>
        <v>ok</v>
      </c>
      <c r="DH57" s="89" t="str">
        <f t="shared" si="32"/>
        <v>ok</v>
      </c>
      <c r="DI57" s="89" t="str">
        <f t="shared" si="32"/>
        <v>ok</v>
      </c>
      <c r="DJ57" s="89" t="str">
        <f t="shared" si="32"/>
        <v>ok</v>
      </c>
      <c r="DK57" s="89" t="str">
        <f t="shared" si="32"/>
        <v>ok</v>
      </c>
      <c r="DL57" s="89" t="str">
        <f t="shared" si="32"/>
        <v>ok</v>
      </c>
      <c r="DM57" s="89" t="str">
        <f t="shared" si="32"/>
        <v>ok</v>
      </c>
      <c r="DN57" s="89" t="str">
        <f t="shared" si="32"/>
        <v>ok</v>
      </c>
      <c r="DO57" s="89" t="str">
        <f t="shared" si="32"/>
        <v>ok</v>
      </c>
      <c r="DP57" s="89" t="str">
        <f t="shared" si="32"/>
        <v>ok</v>
      </c>
      <c r="DQ57" s="89" t="str">
        <f t="shared" si="32"/>
        <v>ok</v>
      </c>
      <c r="DR57" s="89" t="str">
        <f t="shared" si="32"/>
        <v>ok</v>
      </c>
      <c r="DS57" s="89" t="str">
        <f t="shared" ref="DS57:EX57" si="33">IF(SUM(DS40:DS49)=DS50,"ok","エラー")</f>
        <v>ok</v>
      </c>
      <c r="DT57" s="89" t="str">
        <f t="shared" si="33"/>
        <v>ok</v>
      </c>
      <c r="DU57" s="89" t="str">
        <f t="shared" si="33"/>
        <v>ok</v>
      </c>
      <c r="DV57" s="89" t="str">
        <f t="shared" si="33"/>
        <v>ok</v>
      </c>
      <c r="DW57" s="89" t="str">
        <f t="shared" si="33"/>
        <v>ok</v>
      </c>
      <c r="DX57" s="89" t="str">
        <f t="shared" si="33"/>
        <v>ok</v>
      </c>
      <c r="DY57" s="89" t="str">
        <f t="shared" si="33"/>
        <v>ok</v>
      </c>
      <c r="DZ57" s="89" t="str">
        <f t="shared" si="33"/>
        <v>ok</v>
      </c>
      <c r="EA57" s="89" t="str">
        <f t="shared" si="33"/>
        <v>ok</v>
      </c>
      <c r="EB57" s="89" t="str">
        <f t="shared" si="33"/>
        <v>ok</v>
      </c>
      <c r="EC57" s="89" t="str">
        <f t="shared" si="33"/>
        <v>ok</v>
      </c>
      <c r="ED57" s="89" t="str">
        <f t="shared" si="33"/>
        <v>ok</v>
      </c>
      <c r="EE57" s="89" t="str">
        <f t="shared" si="33"/>
        <v>ok</v>
      </c>
      <c r="EF57" s="89" t="str">
        <f t="shared" si="33"/>
        <v>ok</v>
      </c>
      <c r="EG57" s="89" t="str">
        <f t="shared" si="33"/>
        <v>ok</v>
      </c>
      <c r="EH57" s="89" t="str">
        <f t="shared" si="33"/>
        <v>ok</v>
      </c>
      <c r="EI57" s="89" t="str">
        <f t="shared" si="33"/>
        <v>ok</v>
      </c>
      <c r="EJ57" s="89" t="str">
        <f t="shared" si="33"/>
        <v>ok</v>
      </c>
      <c r="EK57" s="89" t="str">
        <f t="shared" si="33"/>
        <v>ok</v>
      </c>
      <c r="EL57" s="89" t="str">
        <f t="shared" si="33"/>
        <v>ok</v>
      </c>
      <c r="EM57" s="89" t="str">
        <f t="shared" si="33"/>
        <v>ok</v>
      </c>
      <c r="EN57" s="89" t="str">
        <f t="shared" si="33"/>
        <v>ok</v>
      </c>
      <c r="EO57" s="89" t="str">
        <f t="shared" si="33"/>
        <v>ok</v>
      </c>
      <c r="EP57" s="89" t="str">
        <f t="shared" si="33"/>
        <v>ok</v>
      </c>
      <c r="EQ57" s="89" t="str">
        <f t="shared" si="33"/>
        <v>ok</v>
      </c>
      <c r="ER57" s="89" t="str">
        <f t="shared" si="33"/>
        <v>ok</v>
      </c>
      <c r="ES57" s="89" t="str">
        <f t="shared" si="33"/>
        <v>ok</v>
      </c>
      <c r="ET57" s="89" t="str">
        <f t="shared" si="33"/>
        <v>ok</v>
      </c>
      <c r="EU57" s="89" t="str">
        <f t="shared" si="33"/>
        <v>ok</v>
      </c>
      <c r="EV57" s="89" t="str">
        <f t="shared" si="33"/>
        <v>ok</v>
      </c>
      <c r="EW57" s="89" t="str">
        <f t="shared" si="33"/>
        <v>ok</v>
      </c>
      <c r="EX57" s="89" t="str">
        <f t="shared" si="33"/>
        <v>ok</v>
      </c>
      <c r="EY57" s="89" t="str">
        <f t="shared" ref="EY57:FJ57" si="34">IF(SUM(EY40:EY49)=EY50,"ok","エラー")</f>
        <v>ok</v>
      </c>
      <c r="EZ57" s="89" t="str">
        <f t="shared" si="34"/>
        <v>ok</v>
      </c>
      <c r="FA57" s="89" t="str">
        <f t="shared" si="34"/>
        <v>ok</v>
      </c>
      <c r="FB57" s="89" t="str">
        <f t="shared" si="34"/>
        <v>ok</v>
      </c>
      <c r="FC57" s="89" t="str">
        <f t="shared" si="34"/>
        <v>ok</v>
      </c>
      <c r="FD57" s="89" t="str">
        <f t="shared" si="34"/>
        <v>ok</v>
      </c>
      <c r="FE57" s="89" t="str">
        <f t="shared" si="34"/>
        <v>ok</v>
      </c>
      <c r="FF57" s="89" t="str">
        <f t="shared" si="34"/>
        <v>ok</v>
      </c>
      <c r="FG57" s="89" t="str">
        <f t="shared" si="34"/>
        <v>ok</v>
      </c>
      <c r="FH57" s="89" t="str">
        <f t="shared" si="34"/>
        <v>ok</v>
      </c>
      <c r="FI57" s="89" t="str">
        <f t="shared" si="34"/>
        <v>ok</v>
      </c>
      <c r="FJ57" s="89" t="str">
        <f t="shared" si="34"/>
        <v>ok</v>
      </c>
      <c r="FL57" s="89" t="str">
        <f>IF(SUM(FL40:FL49)=FL50,"ok","エラー")</f>
        <v>ok</v>
      </c>
      <c r="FM57" s="89" t="str">
        <f>IF(SUM(FM40:FM49)=FM50,"ok","エラー")</f>
        <v>ok</v>
      </c>
      <c r="FN57" s="89" t="str">
        <f>IF(SUM(FN40:FN49)=FN50,"ok","エラー")</f>
        <v>ok</v>
      </c>
      <c r="FO57" s="89" t="str">
        <f>IF(SUM(FO40:FO49)=FO50,"ok","エラー")</f>
        <v>ok</v>
      </c>
      <c r="FY57" s="89" t="str">
        <f>IF(SUM(FY40:FY49)=FY50,"ok","エラー")</f>
        <v>ok</v>
      </c>
      <c r="GA57" s="89" t="str">
        <f t="shared" ref="GA57:GF57" si="35">IF(SUM(GA40:GA49)=GA50,"ok","エラー")</f>
        <v>ok</v>
      </c>
      <c r="GB57" s="89" t="str">
        <f t="shared" si="35"/>
        <v>ok</v>
      </c>
      <c r="GC57" s="89" t="str">
        <f t="shared" si="35"/>
        <v>ok</v>
      </c>
      <c r="GD57" s="89" t="str">
        <f t="shared" si="35"/>
        <v>ok</v>
      </c>
      <c r="GE57" s="89" t="str">
        <f t="shared" si="35"/>
        <v>ok</v>
      </c>
      <c r="GF57" s="89" t="str">
        <f t="shared" si="35"/>
        <v>ok</v>
      </c>
      <c r="GK57" s="130" t="str">
        <f>IF(SUM(GK40:GK49)=GK50,"ok","エラー")</f>
        <v>ok</v>
      </c>
    </row>
    <row r="58" spans="1:232" x14ac:dyDescent="0.15">
      <c r="B58" s="89" t="s">
        <v>650</v>
      </c>
      <c r="C58" s="89" t="str">
        <f t="shared" ref="C58:Y58" si="36">IF(C39+C50=C51,"ok","エラー")</f>
        <v>ok</v>
      </c>
      <c r="D58" s="89" t="str">
        <f t="shared" si="36"/>
        <v>ok</v>
      </c>
      <c r="E58" s="89" t="str">
        <f t="shared" si="36"/>
        <v>ok</v>
      </c>
      <c r="F58" s="89" t="str">
        <f t="shared" si="36"/>
        <v>ok</v>
      </c>
      <c r="G58" s="89" t="str">
        <f t="shared" si="36"/>
        <v>ok</v>
      </c>
      <c r="H58" s="89" t="str">
        <f t="shared" si="36"/>
        <v>ok</v>
      </c>
      <c r="I58" s="89" t="str">
        <f t="shared" si="36"/>
        <v>ok</v>
      </c>
      <c r="J58" s="89" t="str">
        <f t="shared" si="36"/>
        <v>ok</v>
      </c>
      <c r="K58" s="89" t="str">
        <f t="shared" si="36"/>
        <v>ok</v>
      </c>
      <c r="L58" s="89" t="str">
        <f t="shared" si="36"/>
        <v>ok</v>
      </c>
      <c r="M58" s="89" t="str">
        <f t="shared" si="36"/>
        <v>ok</v>
      </c>
      <c r="N58" s="89" t="str">
        <f t="shared" si="36"/>
        <v>ok</v>
      </c>
      <c r="O58" s="89" t="str">
        <f t="shared" si="36"/>
        <v>ok</v>
      </c>
      <c r="P58" s="89" t="str">
        <f t="shared" si="36"/>
        <v>ok</v>
      </c>
      <c r="Q58" s="89" t="str">
        <f t="shared" si="36"/>
        <v>ok</v>
      </c>
      <c r="R58" s="89" t="str">
        <f t="shared" si="36"/>
        <v>ok</v>
      </c>
      <c r="S58" s="75" t="str">
        <f t="shared" si="36"/>
        <v>ok</v>
      </c>
      <c r="T58" s="89" t="str">
        <f t="shared" si="36"/>
        <v>ok</v>
      </c>
      <c r="U58" s="89" t="str">
        <f t="shared" si="36"/>
        <v>ok</v>
      </c>
      <c r="V58" s="89" t="str">
        <f t="shared" si="36"/>
        <v>ok</v>
      </c>
      <c r="W58" s="89" t="str">
        <f t="shared" si="36"/>
        <v>ok</v>
      </c>
      <c r="X58" s="89" t="str">
        <f t="shared" si="36"/>
        <v>ok</v>
      </c>
      <c r="Y58" s="89" t="str">
        <f t="shared" si="36"/>
        <v>ok</v>
      </c>
      <c r="AA58" s="89" t="str">
        <f>IF(AA39+AA50=AA51,"ok","エラー")</f>
        <v>ok</v>
      </c>
      <c r="AB58" s="89" t="str">
        <f>IF(AB39+AB50=AB51,"ok","エラー")</f>
        <v>ok</v>
      </c>
      <c r="AD58" s="89" t="str">
        <f t="shared" ref="AD58:BI58" si="37">IF(AD39+AD50=AD51,"ok","エラー")</f>
        <v>ok</v>
      </c>
      <c r="AE58" s="89" t="str">
        <f t="shared" si="37"/>
        <v>ok</v>
      </c>
      <c r="AF58" s="89" t="str">
        <f t="shared" si="37"/>
        <v>ok</v>
      </c>
      <c r="AG58" s="89" t="str">
        <f t="shared" si="37"/>
        <v>ok</v>
      </c>
      <c r="AH58" s="89" t="str">
        <f t="shared" si="37"/>
        <v>ok</v>
      </c>
      <c r="AI58" s="89" t="str">
        <f t="shared" si="37"/>
        <v>ok</v>
      </c>
      <c r="AJ58" s="89" t="str">
        <f t="shared" si="37"/>
        <v>ok</v>
      </c>
      <c r="AK58" s="89" t="str">
        <f t="shared" si="37"/>
        <v>ok</v>
      </c>
      <c r="AL58" s="89" t="str">
        <f t="shared" si="37"/>
        <v>ok</v>
      </c>
      <c r="AM58" s="89" t="str">
        <f t="shared" si="37"/>
        <v>ok</v>
      </c>
      <c r="AN58" s="89" t="str">
        <f t="shared" si="37"/>
        <v>ok</v>
      </c>
      <c r="AO58" s="89" t="str">
        <f t="shared" si="37"/>
        <v>ok</v>
      </c>
      <c r="AP58" s="89" t="str">
        <f t="shared" si="37"/>
        <v>ok</v>
      </c>
      <c r="AQ58" s="89" t="str">
        <f t="shared" si="37"/>
        <v>ok</v>
      </c>
      <c r="AR58" s="89" t="str">
        <f t="shared" si="37"/>
        <v>ok</v>
      </c>
      <c r="AS58" s="89" t="str">
        <f t="shared" si="37"/>
        <v>ok</v>
      </c>
      <c r="AT58" s="89" t="str">
        <f t="shared" si="37"/>
        <v>ok</v>
      </c>
      <c r="AU58" s="89" t="str">
        <f t="shared" si="37"/>
        <v>ok</v>
      </c>
      <c r="AV58" s="89" t="str">
        <f t="shared" si="37"/>
        <v>ok</v>
      </c>
      <c r="AW58" s="89" t="str">
        <f t="shared" si="37"/>
        <v>ok</v>
      </c>
      <c r="AX58" s="89" t="str">
        <f t="shared" si="37"/>
        <v>ok</v>
      </c>
      <c r="AY58" s="89" t="str">
        <f t="shared" si="37"/>
        <v>ok</v>
      </c>
      <c r="AZ58" s="89" t="str">
        <f t="shared" si="37"/>
        <v>ok</v>
      </c>
      <c r="BA58" s="89" t="str">
        <f t="shared" si="37"/>
        <v>ok</v>
      </c>
      <c r="BB58" s="89" t="str">
        <f t="shared" si="37"/>
        <v>ok</v>
      </c>
      <c r="BC58" s="89" t="str">
        <f t="shared" si="37"/>
        <v>ok</v>
      </c>
      <c r="BD58" s="89" t="str">
        <f t="shared" si="37"/>
        <v>ok</v>
      </c>
      <c r="BE58" s="89" t="str">
        <f t="shared" si="37"/>
        <v>ok</v>
      </c>
      <c r="BF58" s="89" t="str">
        <f t="shared" si="37"/>
        <v>ok</v>
      </c>
      <c r="BG58" s="89" t="str">
        <f t="shared" si="37"/>
        <v>ok</v>
      </c>
      <c r="BH58" s="89" t="str">
        <f t="shared" si="37"/>
        <v>ok</v>
      </c>
      <c r="BI58" s="89" t="str">
        <f t="shared" si="37"/>
        <v>ok</v>
      </c>
      <c r="BJ58" s="89" t="str">
        <f t="shared" ref="BJ58:CK58" si="38">IF(BJ39+BJ50=BJ51,"ok","エラー")</f>
        <v>ok</v>
      </c>
      <c r="BK58" s="89" t="str">
        <f t="shared" si="38"/>
        <v>ok</v>
      </c>
      <c r="BL58" s="89" t="str">
        <f t="shared" si="38"/>
        <v>ok</v>
      </c>
      <c r="BM58" s="89" t="str">
        <f t="shared" si="38"/>
        <v>ok</v>
      </c>
      <c r="BN58" s="89" t="str">
        <f t="shared" si="38"/>
        <v>ok</v>
      </c>
      <c r="BO58" s="89" t="str">
        <f t="shared" si="38"/>
        <v>ok</v>
      </c>
      <c r="BP58" s="89" t="str">
        <f t="shared" si="38"/>
        <v>ok</v>
      </c>
      <c r="BQ58" s="89" t="str">
        <f t="shared" si="38"/>
        <v>ok</v>
      </c>
      <c r="BR58" s="89" t="str">
        <f t="shared" si="38"/>
        <v>ok</v>
      </c>
      <c r="BS58" s="89" t="str">
        <f t="shared" si="38"/>
        <v>ok</v>
      </c>
      <c r="BT58" s="89" t="str">
        <f t="shared" si="38"/>
        <v>ok</v>
      </c>
      <c r="BU58" s="89" t="str">
        <f t="shared" si="38"/>
        <v>ok</v>
      </c>
      <c r="BV58" s="89" t="str">
        <f t="shared" si="38"/>
        <v>ok</v>
      </c>
      <c r="BW58" s="89" t="str">
        <f t="shared" si="38"/>
        <v>ok</v>
      </c>
      <c r="BX58" s="89" t="str">
        <f t="shared" si="38"/>
        <v>ok</v>
      </c>
      <c r="BY58" s="89" t="str">
        <f t="shared" si="38"/>
        <v>ok</v>
      </c>
      <c r="BZ58" s="89" t="str">
        <f t="shared" si="38"/>
        <v>ok</v>
      </c>
      <c r="CA58" s="89" t="str">
        <f t="shared" si="38"/>
        <v>ok</v>
      </c>
      <c r="CB58" s="89" t="str">
        <f t="shared" si="38"/>
        <v>ok</v>
      </c>
      <c r="CC58" s="89" t="str">
        <f t="shared" si="38"/>
        <v>ok</v>
      </c>
      <c r="CD58" s="89" t="str">
        <f t="shared" si="38"/>
        <v>ok</v>
      </c>
      <c r="CE58" s="89" t="str">
        <f t="shared" si="38"/>
        <v>ok</v>
      </c>
      <c r="CF58" s="89" t="str">
        <f t="shared" si="38"/>
        <v>ok</v>
      </c>
      <c r="CG58" s="89" t="str">
        <f t="shared" si="38"/>
        <v>ok</v>
      </c>
      <c r="CH58" s="89" t="str">
        <f t="shared" si="38"/>
        <v>ok</v>
      </c>
      <c r="CI58" s="89" t="str">
        <f t="shared" si="38"/>
        <v>ok</v>
      </c>
      <c r="CJ58" s="89" t="str">
        <f t="shared" si="38"/>
        <v>ok</v>
      </c>
      <c r="CK58" s="89" t="str">
        <f t="shared" si="38"/>
        <v>ok</v>
      </c>
      <c r="CL58" s="84"/>
      <c r="CM58" s="89" t="str">
        <f t="shared" ref="CM58:DR58" si="39">IF(CM39+CM50=CM51,"ok","エラー")</f>
        <v>ok</v>
      </c>
      <c r="CN58" s="89" t="str">
        <f t="shared" si="39"/>
        <v>ok</v>
      </c>
      <c r="CO58" s="89" t="str">
        <f t="shared" si="39"/>
        <v>ok</v>
      </c>
      <c r="CP58" s="89" t="str">
        <f t="shared" si="39"/>
        <v>ok</v>
      </c>
      <c r="CQ58" s="89" t="str">
        <f t="shared" si="39"/>
        <v>ok</v>
      </c>
      <c r="CR58" s="89" t="str">
        <f t="shared" si="39"/>
        <v>ok</v>
      </c>
      <c r="CS58" s="89" t="str">
        <f t="shared" si="39"/>
        <v>ok</v>
      </c>
      <c r="CT58" s="89" t="str">
        <f t="shared" si="39"/>
        <v>ok</v>
      </c>
      <c r="CU58" s="89" t="str">
        <f t="shared" si="39"/>
        <v>ok</v>
      </c>
      <c r="CV58" s="89" t="str">
        <f t="shared" si="39"/>
        <v>ok</v>
      </c>
      <c r="CW58" s="89" t="str">
        <f t="shared" si="39"/>
        <v>ok</v>
      </c>
      <c r="CX58" s="89" t="str">
        <f t="shared" si="39"/>
        <v>ok</v>
      </c>
      <c r="CY58" s="89" t="str">
        <f t="shared" si="39"/>
        <v>ok</v>
      </c>
      <c r="CZ58" s="89" t="str">
        <f t="shared" si="39"/>
        <v>ok</v>
      </c>
      <c r="DA58" s="89" t="str">
        <f t="shared" si="39"/>
        <v>ok</v>
      </c>
      <c r="DB58" s="89" t="str">
        <f t="shared" si="39"/>
        <v>ok</v>
      </c>
      <c r="DC58" s="89" t="str">
        <f t="shared" si="39"/>
        <v>ok</v>
      </c>
      <c r="DD58" s="89" t="str">
        <f t="shared" si="39"/>
        <v>ok</v>
      </c>
      <c r="DE58" s="89" t="str">
        <f t="shared" si="39"/>
        <v>ok</v>
      </c>
      <c r="DF58" s="89" t="str">
        <f t="shared" si="39"/>
        <v>ok</v>
      </c>
      <c r="DG58" s="89" t="str">
        <f t="shared" si="39"/>
        <v>ok</v>
      </c>
      <c r="DH58" s="89" t="str">
        <f t="shared" si="39"/>
        <v>ok</v>
      </c>
      <c r="DI58" s="89" t="str">
        <f t="shared" si="39"/>
        <v>ok</v>
      </c>
      <c r="DJ58" s="89" t="str">
        <f t="shared" si="39"/>
        <v>ok</v>
      </c>
      <c r="DK58" s="89" t="str">
        <f t="shared" si="39"/>
        <v>ok</v>
      </c>
      <c r="DL58" s="89" t="str">
        <f t="shared" si="39"/>
        <v>ok</v>
      </c>
      <c r="DM58" s="89" t="str">
        <f t="shared" si="39"/>
        <v>ok</v>
      </c>
      <c r="DN58" s="89" t="str">
        <f t="shared" si="39"/>
        <v>ok</v>
      </c>
      <c r="DO58" s="89" t="str">
        <f t="shared" si="39"/>
        <v>ok</v>
      </c>
      <c r="DP58" s="89" t="str">
        <f t="shared" si="39"/>
        <v>ok</v>
      </c>
      <c r="DQ58" s="89" t="str">
        <f t="shared" si="39"/>
        <v>ok</v>
      </c>
      <c r="DR58" s="89" t="str">
        <f t="shared" si="39"/>
        <v>ok</v>
      </c>
      <c r="DS58" s="89" t="str">
        <f t="shared" ref="DS58:EX58" si="40">IF(DS39+DS50=DS51,"ok","エラー")</f>
        <v>ok</v>
      </c>
      <c r="DT58" s="89" t="str">
        <f t="shared" si="40"/>
        <v>ok</v>
      </c>
      <c r="DU58" s="89" t="str">
        <f t="shared" si="40"/>
        <v>ok</v>
      </c>
      <c r="DV58" s="89" t="str">
        <f t="shared" si="40"/>
        <v>ok</v>
      </c>
      <c r="DW58" s="89" t="str">
        <f t="shared" si="40"/>
        <v>ok</v>
      </c>
      <c r="DX58" s="89" t="str">
        <f t="shared" si="40"/>
        <v>ok</v>
      </c>
      <c r="DY58" s="89" t="str">
        <f t="shared" si="40"/>
        <v>ok</v>
      </c>
      <c r="DZ58" s="89" t="str">
        <f t="shared" si="40"/>
        <v>ok</v>
      </c>
      <c r="EA58" s="89" t="str">
        <f t="shared" si="40"/>
        <v>ok</v>
      </c>
      <c r="EB58" s="89" t="str">
        <f t="shared" si="40"/>
        <v>ok</v>
      </c>
      <c r="EC58" s="89" t="str">
        <f t="shared" si="40"/>
        <v>ok</v>
      </c>
      <c r="ED58" s="89" t="str">
        <f t="shared" si="40"/>
        <v>ok</v>
      </c>
      <c r="EE58" s="89" t="str">
        <f t="shared" si="40"/>
        <v>ok</v>
      </c>
      <c r="EF58" s="89" t="str">
        <f t="shared" si="40"/>
        <v>ok</v>
      </c>
      <c r="EG58" s="89" t="str">
        <f t="shared" si="40"/>
        <v>ok</v>
      </c>
      <c r="EH58" s="89" t="str">
        <f t="shared" si="40"/>
        <v>ok</v>
      </c>
      <c r="EI58" s="89" t="str">
        <f t="shared" si="40"/>
        <v>ok</v>
      </c>
      <c r="EJ58" s="89" t="str">
        <f t="shared" si="40"/>
        <v>ok</v>
      </c>
      <c r="EK58" s="89" t="str">
        <f t="shared" si="40"/>
        <v>ok</v>
      </c>
      <c r="EL58" s="89" t="str">
        <f t="shared" si="40"/>
        <v>ok</v>
      </c>
      <c r="EM58" s="89" t="str">
        <f t="shared" si="40"/>
        <v>ok</v>
      </c>
      <c r="EN58" s="89" t="str">
        <f t="shared" si="40"/>
        <v>ok</v>
      </c>
      <c r="EO58" s="89" t="str">
        <f t="shared" si="40"/>
        <v>ok</v>
      </c>
      <c r="EP58" s="89" t="str">
        <f t="shared" si="40"/>
        <v>ok</v>
      </c>
      <c r="EQ58" s="89" t="str">
        <f t="shared" si="40"/>
        <v>ok</v>
      </c>
      <c r="ER58" s="89" t="str">
        <f t="shared" si="40"/>
        <v>ok</v>
      </c>
      <c r="ES58" s="89" t="str">
        <f t="shared" si="40"/>
        <v>ok</v>
      </c>
      <c r="ET58" s="89" t="str">
        <f t="shared" si="40"/>
        <v>ok</v>
      </c>
      <c r="EU58" s="89" t="str">
        <f t="shared" si="40"/>
        <v>ok</v>
      </c>
      <c r="EV58" s="89" t="str">
        <f t="shared" si="40"/>
        <v>ok</v>
      </c>
      <c r="EW58" s="89" t="str">
        <f t="shared" si="40"/>
        <v>ok</v>
      </c>
      <c r="EX58" s="89" t="str">
        <f t="shared" si="40"/>
        <v>ok</v>
      </c>
      <c r="EY58" s="89" t="str">
        <f t="shared" ref="EY58:FJ58" si="41">IF(EY39+EY50=EY51,"ok","エラー")</f>
        <v>ok</v>
      </c>
      <c r="EZ58" s="89" t="str">
        <f t="shared" si="41"/>
        <v>ok</v>
      </c>
      <c r="FA58" s="89" t="str">
        <f t="shared" si="41"/>
        <v>ok</v>
      </c>
      <c r="FB58" s="89" t="str">
        <f t="shared" si="41"/>
        <v>ok</v>
      </c>
      <c r="FC58" s="89" t="str">
        <f t="shared" si="41"/>
        <v>ok</v>
      </c>
      <c r="FD58" s="89" t="str">
        <f t="shared" si="41"/>
        <v>ok</v>
      </c>
      <c r="FE58" s="89" t="str">
        <f t="shared" si="41"/>
        <v>ok</v>
      </c>
      <c r="FF58" s="89" t="str">
        <f t="shared" si="41"/>
        <v>ok</v>
      </c>
      <c r="FG58" s="89" t="str">
        <f t="shared" si="41"/>
        <v>ok</v>
      </c>
      <c r="FH58" s="89" t="str">
        <f t="shared" si="41"/>
        <v>ok</v>
      </c>
      <c r="FI58" s="89" t="str">
        <f t="shared" si="41"/>
        <v>ok</v>
      </c>
      <c r="FJ58" s="89" t="str">
        <f t="shared" si="41"/>
        <v>ok</v>
      </c>
      <c r="FL58" s="89" t="str">
        <f>IF(FL39+FL50=FL51,"ok","エラー")</f>
        <v>ok</v>
      </c>
      <c r="FM58" s="89" t="str">
        <f>IF(FM39+FM50=FM51,"ok","エラー")</f>
        <v>ok</v>
      </c>
      <c r="FN58" s="89" t="str">
        <f>IF(FN39+FN50=FN51,"ok","エラー")</f>
        <v>ok</v>
      </c>
      <c r="FO58" s="89" t="str">
        <f>IF(FO39+FO50=FO51,"ok","エラー")</f>
        <v>ok</v>
      </c>
      <c r="FY58" s="89" t="str">
        <f>IF(FY39+FY50=FY51,"ok","エラー")</f>
        <v>ok</v>
      </c>
      <c r="GA58" s="89" t="str">
        <f t="shared" ref="GA58:GF58" si="42">IF(GA39+GA50=GA51,"ok","エラー")</f>
        <v>ok</v>
      </c>
      <c r="GB58" s="89" t="str">
        <f t="shared" si="42"/>
        <v>ok</v>
      </c>
      <c r="GC58" s="89" t="str">
        <f t="shared" si="42"/>
        <v>ok</v>
      </c>
      <c r="GD58" s="89" t="str">
        <f t="shared" si="42"/>
        <v>ok</v>
      </c>
      <c r="GE58" s="89" t="str">
        <f t="shared" si="42"/>
        <v>ok</v>
      </c>
      <c r="GF58" s="89" t="str">
        <f t="shared" si="42"/>
        <v>ok</v>
      </c>
      <c r="GK58" s="130" t="str">
        <f>IF(GK39+GK50=GK51,"ok","エラー")</f>
        <v>ok</v>
      </c>
    </row>
    <row r="59" spans="1:232" x14ac:dyDescent="0.15">
      <c r="B59" s="122" t="s">
        <v>650</v>
      </c>
      <c r="C59" s="89" t="str">
        <f t="shared" ref="C59:Y59" si="43">IF(C6+C7+C51=C52,"ok","エラー")</f>
        <v>ok</v>
      </c>
      <c r="D59" s="89" t="str">
        <f t="shared" si="43"/>
        <v>ok</v>
      </c>
      <c r="E59" s="89" t="str">
        <f t="shared" si="43"/>
        <v>ok</v>
      </c>
      <c r="F59" s="89" t="str">
        <f t="shared" si="43"/>
        <v>ok</v>
      </c>
      <c r="G59" s="89" t="str">
        <f t="shared" si="43"/>
        <v>ok</v>
      </c>
      <c r="H59" s="89" t="str">
        <f t="shared" si="43"/>
        <v>ok</v>
      </c>
      <c r="I59" s="89" t="str">
        <f t="shared" si="43"/>
        <v>ok</v>
      </c>
      <c r="J59" s="89" t="str">
        <f t="shared" si="43"/>
        <v>ok</v>
      </c>
      <c r="K59" s="89" t="str">
        <f t="shared" si="43"/>
        <v>ok</v>
      </c>
      <c r="L59" s="89" t="str">
        <f t="shared" si="43"/>
        <v>ok</v>
      </c>
      <c r="M59" s="89" t="str">
        <f t="shared" si="43"/>
        <v>ok</v>
      </c>
      <c r="N59" s="89" t="str">
        <f t="shared" si="43"/>
        <v>ok</v>
      </c>
      <c r="O59" s="89" t="str">
        <f t="shared" si="43"/>
        <v>ok</v>
      </c>
      <c r="P59" s="89" t="str">
        <f t="shared" si="43"/>
        <v>ok</v>
      </c>
      <c r="Q59" s="89" t="str">
        <f t="shared" si="43"/>
        <v>ok</v>
      </c>
      <c r="R59" s="89" t="str">
        <f t="shared" si="43"/>
        <v>ok</v>
      </c>
      <c r="S59" s="75" t="str">
        <f t="shared" si="43"/>
        <v>ok</v>
      </c>
      <c r="T59" s="89" t="str">
        <f t="shared" si="43"/>
        <v>ok</v>
      </c>
      <c r="U59" s="89" t="str">
        <f t="shared" si="43"/>
        <v>ok</v>
      </c>
      <c r="V59" s="89" t="str">
        <f t="shared" si="43"/>
        <v>ok</v>
      </c>
      <c r="W59" s="89" t="str">
        <f t="shared" si="43"/>
        <v>ok</v>
      </c>
      <c r="X59" s="89" t="str">
        <f t="shared" si="43"/>
        <v>ok</v>
      </c>
      <c r="Y59" s="89" t="str">
        <f t="shared" si="43"/>
        <v>ok</v>
      </c>
      <c r="AA59" s="89" t="str">
        <f>IF(AA6+AA7+AA51=AA52,"ok","エラー")</f>
        <v>ok</v>
      </c>
      <c r="AB59" s="89" t="str">
        <f>IF(AB6+AB7+AB51=AB52,"ok","エラー")</f>
        <v>ok</v>
      </c>
      <c r="AD59" s="89" t="str">
        <f t="shared" ref="AD59:BI59" si="44">IF(AD6+AD7+AD51=AD52,"ok","エラー")</f>
        <v>ok</v>
      </c>
      <c r="AE59" s="89" t="str">
        <f t="shared" si="44"/>
        <v>ok</v>
      </c>
      <c r="AF59" s="89" t="str">
        <f t="shared" si="44"/>
        <v>ok</v>
      </c>
      <c r="AG59" s="89" t="str">
        <f t="shared" si="44"/>
        <v>ok</v>
      </c>
      <c r="AH59" s="89" t="str">
        <f t="shared" si="44"/>
        <v>ok</v>
      </c>
      <c r="AI59" s="89" t="str">
        <f t="shared" si="44"/>
        <v>ok</v>
      </c>
      <c r="AJ59" s="89" t="str">
        <f t="shared" si="44"/>
        <v>ok</v>
      </c>
      <c r="AK59" s="89" t="str">
        <f t="shared" si="44"/>
        <v>ok</v>
      </c>
      <c r="AL59" s="89" t="str">
        <f t="shared" si="44"/>
        <v>ok</v>
      </c>
      <c r="AM59" s="89" t="str">
        <f t="shared" si="44"/>
        <v>ok</v>
      </c>
      <c r="AN59" s="89" t="str">
        <f t="shared" si="44"/>
        <v>ok</v>
      </c>
      <c r="AO59" s="89" t="str">
        <f t="shared" si="44"/>
        <v>ok</v>
      </c>
      <c r="AP59" s="89" t="str">
        <f t="shared" si="44"/>
        <v>ok</v>
      </c>
      <c r="AQ59" s="89" t="str">
        <f t="shared" si="44"/>
        <v>ok</v>
      </c>
      <c r="AR59" s="89" t="str">
        <f t="shared" si="44"/>
        <v>ok</v>
      </c>
      <c r="AS59" s="89" t="str">
        <f t="shared" si="44"/>
        <v>ok</v>
      </c>
      <c r="AT59" s="89" t="str">
        <f t="shared" si="44"/>
        <v>ok</v>
      </c>
      <c r="AU59" s="89" t="str">
        <f t="shared" si="44"/>
        <v>ok</v>
      </c>
      <c r="AV59" s="89" t="str">
        <f t="shared" si="44"/>
        <v>ok</v>
      </c>
      <c r="AW59" s="89" t="str">
        <f t="shared" si="44"/>
        <v>ok</v>
      </c>
      <c r="AX59" s="89" t="str">
        <f t="shared" si="44"/>
        <v>ok</v>
      </c>
      <c r="AY59" s="89" t="str">
        <f t="shared" si="44"/>
        <v>ok</v>
      </c>
      <c r="AZ59" s="89" t="str">
        <f t="shared" si="44"/>
        <v>ok</v>
      </c>
      <c r="BA59" s="89" t="str">
        <f t="shared" si="44"/>
        <v>ok</v>
      </c>
      <c r="BB59" s="89" t="str">
        <f t="shared" si="44"/>
        <v>ok</v>
      </c>
      <c r="BC59" s="89" t="str">
        <f t="shared" si="44"/>
        <v>ok</v>
      </c>
      <c r="BD59" s="89" t="str">
        <f t="shared" si="44"/>
        <v>ok</v>
      </c>
      <c r="BE59" s="89" t="str">
        <f t="shared" si="44"/>
        <v>ok</v>
      </c>
      <c r="BF59" s="89" t="str">
        <f t="shared" si="44"/>
        <v>ok</v>
      </c>
      <c r="BG59" s="89" t="str">
        <f t="shared" si="44"/>
        <v>ok</v>
      </c>
      <c r="BH59" s="89" t="str">
        <f t="shared" si="44"/>
        <v>ok</v>
      </c>
      <c r="BI59" s="89" t="str">
        <f t="shared" si="44"/>
        <v>ok</v>
      </c>
      <c r="BJ59" s="89" t="str">
        <f t="shared" ref="BJ59:CK59" si="45">IF(BJ6+BJ7+BJ51=BJ52,"ok","エラー")</f>
        <v>ok</v>
      </c>
      <c r="BK59" s="89" t="str">
        <f t="shared" si="45"/>
        <v>ok</v>
      </c>
      <c r="BL59" s="89" t="str">
        <f t="shared" si="45"/>
        <v>ok</v>
      </c>
      <c r="BM59" s="89" t="str">
        <f t="shared" si="45"/>
        <v>ok</v>
      </c>
      <c r="BN59" s="89" t="str">
        <f t="shared" si="45"/>
        <v>ok</v>
      </c>
      <c r="BO59" s="89" t="str">
        <f t="shared" si="45"/>
        <v>ok</v>
      </c>
      <c r="BP59" s="89" t="str">
        <f t="shared" si="45"/>
        <v>ok</v>
      </c>
      <c r="BQ59" s="89" t="str">
        <f t="shared" si="45"/>
        <v>ok</v>
      </c>
      <c r="BR59" s="89" t="str">
        <f t="shared" si="45"/>
        <v>ok</v>
      </c>
      <c r="BS59" s="89" t="str">
        <f t="shared" si="45"/>
        <v>ok</v>
      </c>
      <c r="BT59" s="89" t="str">
        <f t="shared" si="45"/>
        <v>ok</v>
      </c>
      <c r="BU59" s="89" t="str">
        <f t="shared" si="45"/>
        <v>ok</v>
      </c>
      <c r="BV59" s="89" t="str">
        <f t="shared" si="45"/>
        <v>ok</v>
      </c>
      <c r="BW59" s="89" t="str">
        <f t="shared" si="45"/>
        <v>ok</v>
      </c>
      <c r="BX59" s="89" t="str">
        <f t="shared" si="45"/>
        <v>ok</v>
      </c>
      <c r="BY59" s="89" t="str">
        <f t="shared" si="45"/>
        <v>ok</v>
      </c>
      <c r="BZ59" s="89" t="str">
        <f t="shared" si="45"/>
        <v>ok</v>
      </c>
      <c r="CA59" s="89" t="str">
        <f t="shared" si="45"/>
        <v>ok</v>
      </c>
      <c r="CB59" s="89" t="str">
        <f t="shared" si="45"/>
        <v>ok</v>
      </c>
      <c r="CC59" s="89" t="str">
        <f t="shared" si="45"/>
        <v>ok</v>
      </c>
      <c r="CD59" s="89" t="str">
        <f t="shared" si="45"/>
        <v>ok</v>
      </c>
      <c r="CE59" s="89" t="str">
        <f t="shared" si="45"/>
        <v>ok</v>
      </c>
      <c r="CF59" s="89" t="str">
        <f t="shared" si="45"/>
        <v>ok</v>
      </c>
      <c r="CG59" s="89" t="str">
        <f t="shared" si="45"/>
        <v>ok</v>
      </c>
      <c r="CH59" s="89" t="str">
        <f t="shared" si="45"/>
        <v>ok</v>
      </c>
      <c r="CI59" s="89" t="str">
        <f t="shared" si="45"/>
        <v>ok</v>
      </c>
      <c r="CJ59" s="89" t="str">
        <f t="shared" si="45"/>
        <v>ok</v>
      </c>
      <c r="CK59" s="89" t="str">
        <f t="shared" si="45"/>
        <v>ok</v>
      </c>
      <c r="CL59" s="84"/>
      <c r="CM59" s="89" t="str">
        <f t="shared" ref="CM59:DR59" si="46">IF(CM6+CM7+CM51=CM52,"ok","エラー")</f>
        <v>ok</v>
      </c>
      <c r="CN59" s="89" t="str">
        <f t="shared" si="46"/>
        <v>ok</v>
      </c>
      <c r="CO59" s="89" t="str">
        <f t="shared" si="46"/>
        <v>ok</v>
      </c>
      <c r="CP59" s="89" t="str">
        <f t="shared" si="46"/>
        <v>ok</v>
      </c>
      <c r="CQ59" s="89" t="str">
        <f t="shared" si="46"/>
        <v>ok</v>
      </c>
      <c r="CR59" s="89" t="str">
        <f t="shared" si="46"/>
        <v>ok</v>
      </c>
      <c r="CS59" s="89" t="str">
        <f t="shared" si="46"/>
        <v>ok</v>
      </c>
      <c r="CT59" s="89" t="str">
        <f t="shared" si="46"/>
        <v>ok</v>
      </c>
      <c r="CU59" s="89" t="str">
        <f t="shared" si="46"/>
        <v>ok</v>
      </c>
      <c r="CV59" s="89" t="str">
        <f t="shared" si="46"/>
        <v>ok</v>
      </c>
      <c r="CW59" s="89" t="str">
        <f t="shared" si="46"/>
        <v>ok</v>
      </c>
      <c r="CX59" s="89" t="str">
        <f t="shared" si="46"/>
        <v>ok</v>
      </c>
      <c r="CY59" s="89" t="str">
        <f t="shared" si="46"/>
        <v>ok</v>
      </c>
      <c r="CZ59" s="89" t="str">
        <f t="shared" si="46"/>
        <v>ok</v>
      </c>
      <c r="DA59" s="89" t="str">
        <f t="shared" si="46"/>
        <v>ok</v>
      </c>
      <c r="DB59" s="89" t="str">
        <f t="shared" si="46"/>
        <v>ok</v>
      </c>
      <c r="DC59" s="89" t="str">
        <f t="shared" si="46"/>
        <v>ok</v>
      </c>
      <c r="DD59" s="89" t="str">
        <f t="shared" si="46"/>
        <v>ok</v>
      </c>
      <c r="DE59" s="89" t="str">
        <f t="shared" si="46"/>
        <v>ok</v>
      </c>
      <c r="DF59" s="89" t="str">
        <f t="shared" si="46"/>
        <v>ok</v>
      </c>
      <c r="DG59" s="89" t="str">
        <f t="shared" si="46"/>
        <v>ok</v>
      </c>
      <c r="DH59" s="89" t="str">
        <f t="shared" si="46"/>
        <v>ok</v>
      </c>
      <c r="DI59" s="89" t="str">
        <f t="shared" si="46"/>
        <v>ok</v>
      </c>
      <c r="DJ59" s="89" t="str">
        <f t="shared" si="46"/>
        <v>ok</v>
      </c>
      <c r="DK59" s="89" t="str">
        <f t="shared" si="46"/>
        <v>ok</v>
      </c>
      <c r="DL59" s="89" t="str">
        <f t="shared" si="46"/>
        <v>ok</v>
      </c>
      <c r="DM59" s="89" t="str">
        <f t="shared" si="46"/>
        <v>ok</v>
      </c>
      <c r="DN59" s="89" t="str">
        <f t="shared" si="46"/>
        <v>ok</v>
      </c>
      <c r="DO59" s="89" t="str">
        <f t="shared" si="46"/>
        <v>ok</v>
      </c>
      <c r="DP59" s="89" t="str">
        <f t="shared" si="46"/>
        <v>ok</v>
      </c>
      <c r="DQ59" s="89" t="str">
        <f t="shared" si="46"/>
        <v>ok</v>
      </c>
      <c r="DR59" s="89" t="str">
        <f t="shared" si="46"/>
        <v>ok</v>
      </c>
      <c r="DS59" s="89" t="str">
        <f t="shared" ref="DS59:EX59" si="47">IF(DS6+DS7+DS51=DS52,"ok","エラー")</f>
        <v>ok</v>
      </c>
      <c r="DT59" s="89" t="str">
        <f t="shared" si="47"/>
        <v>ok</v>
      </c>
      <c r="DU59" s="89" t="str">
        <f t="shared" si="47"/>
        <v>ok</v>
      </c>
      <c r="DV59" s="89" t="str">
        <f t="shared" si="47"/>
        <v>ok</v>
      </c>
      <c r="DW59" s="89" t="str">
        <f t="shared" si="47"/>
        <v>ok</v>
      </c>
      <c r="DX59" s="89" t="str">
        <f t="shared" si="47"/>
        <v>ok</v>
      </c>
      <c r="DY59" s="89" t="str">
        <f t="shared" si="47"/>
        <v>ok</v>
      </c>
      <c r="DZ59" s="89" t="str">
        <f t="shared" si="47"/>
        <v>ok</v>
      </c>
      <c r="EA59" s="89" t="str">
        <f t="shared" si="47"/>
        <v>ok</v>
      </c>
      <c r="EB59" s="89" t="str">
        <f t="shared" si="47"/>
        <v>ok</v>
      </c>
      <c r="EC59" s="89" t="str">
        <f t="shared" si="47"/>
        <v>ok</v>
      </c>
      <c r="ED59" s="89" t="str">
        <f t="shared" si="47"/>
        <v>ok</v>
      </c>
      <c r="EE59" s="89" t="str">
        <f t="shared" si="47"/>
        <v>ok</v>
      </c>
      <c r="EF59" s="89" t="str">
        <f t="shared" si="47"/>
        <v>ok</v>
      </c>
      <c r="EG59" s="89" t="str">
        <f t="shared" si="47"/>
        <v>ok</v>
      </c>
      <c r="EH59" s="89" t="str">
        <f t="shared" si="47"/>
        <v>ok</v>
      </c>
      <c r="EI59" s="89" t="str">
        <f t="shared" si="47"/>
        <v>ok</v>
      </c>
      <c r="EJ59" s="89" t="str">
        <f t="shared" si="47"/>
        <v>ok</v>
      </c>
      <c r="EK59" s="89" t="str">
        <f t="shared" si="47"/>
        <v>ok</v>
      </c>
      <c r="EL59" s="89" t="str">
        <f t="shared" si="47"/>
        <v>ok</v>
      </c>
      <c r="EM59" s="89" t="str">
        <f t="shared" si="47"/>
        <v>ok</v>
      </c>
      <c r="EN59" s="89" t="str">
        <f t="shared" si="47"/>
        <v>ok</v>
      </c>
      <c r="EO59" s="89" t="str">
        <f t="shared" si="47"/>
        <v>ok</v>
      </c>
      <c r="EP59" s="89" t="str">
        <f t="shared" si="47"/>
        <v>ok</v>
      </c>
      <c r="EQ59" s="89" t="str">
        <f t="shared" si="47"/>
        <v>ok</v>
      </c>
      <c r="ER59" s="89" t="str">
        <f t="shared" si="47"/>
        <v>ok</v>
      </c>
      <c r="ES59" s="89" t="str">
        <f t="shared" si="47"/>
        <v>ok</v>
      </c>
      <c r="ET59" s="89" t="str">
        <f t="shared" si="47"/>
        <v>ok</v>
      </c>
      <c r="EU59" s="89" t="str">
        <f t="shared" si="47"/>
        <v>ok</v>
      </c>
      <c r="EV59" s="89" t="str">
        <f t="shared" si="47"/>
        <v>ok</v>
      </c>
      <c r="EW59" s="89" t="str">
        <f t="shared" si="47"/>
        <v>ok</v>
      </c>
      <c r="EX59" s="89" t="str">
        <f t="shared" si="47"/>
        <v>ok</v>
      </c>
      <c r="EY59" s="89" t="str">
        <f t="shared" ref="EY59:FJ59" si="48">IF(EY6+EY7+EY51=EY52,"ok","エラー")</f>
        <v>ok</v>
      </c>
      <c r="EZ59" s="89" t="str">
        <f t="shared" si="48"/>
        <v>ok</v>
      </c>
      <c r="FA59" s="89" t="str">
        <f t="shared" si="48"/>
        <v>ok</v>
      </c>
      <c r="FB59" s="89" t="str">
        <f t="shared" si="48"/>
        <v>ok</v>
      </c>
      <c r="FC59" s="89" t="str">
        <f t="shared" si="48"/>
        <v>ok</v>
      </c>
      <c r="FD59" s="89" t="str">
        <f t="shared" si="48"/>
        <v>ok</v>
      </c>
      <c r="FE59" s="89" t="str">
        <f t="shared" si="48"/>
        <v>ok</v>
      </c>
      <c r="FF59" s="89" t="str">
        <f t="shared" si="48"/>
        <v>ok</v>
      </c>
      <c r="FG59" s="89" t="str">
        <f t="shared" si="48"/>
        <v>ok</v>
      </c>
      <c r="FH59" s="89" t="str">
        <f t="shared" si="48"/>
        <v>ok</v>
      </c>
      <c r="FI59" s="89" t="str">
        <f t="shared" si="48"/>
        <v>ok</v>
      </c>
      <c r="FJ59" s="89" t="str">
        <f t="shared" si="48"/>
        <v>ok</v>
      </c>
      <c r="FL59" s="89" t="str">
        <f>IF(FL6+FL7+FL51=FL52,"ok","エラー")</f>
        <v>ok</v>
      </c>
      <c r="FM59" s="89" t="str">
        <f>IF(FM6+FM7+FM51=FM52,"ok","エラー")</f>
        <v>ok</v>
      </c>
      <c r="FN59" s="89" t="str">
        <f>IF(FN6+FN7+FN51=FN52,"ok","エラー")</f>
        <v>ok</v>
      </c>
      <c r="FO59" s="89" t="str">
        <f>IF(FO6+FO7+FO51=FO52,"ok","エラー")</f>
        <v>ok</v>
      </c>
      <c r="FY59" s="89" t="str">
        <f>IF(FY6+FY7+FY51=FY52,"ok","エラー")</f>
        <v>ok</v>
      </c>
      <c r="GA59" s="89" t="str">
        <f>IF(GA6+GA7+GA51=GA52,"ok","エラー")</f>
        <v>ok</v>
      </c>
      <c r="GB59" s="89" t="str">
        <f>IF(GB6+GB7+GB51=GB52,"ok","エラー")</f>
        <v>ok</v>
      </c>
      <c r="GC59" s="89" t="str">
        <f>IF(GC6+GC7+GC51=GC52,"ok","エラー")</f>
        <v>ok</v>
      </c>
      <c r="GD59" s="89" t="str">
        <f>IF(GD6+GD7+GD51=GD52,"ok","エラー")</f>
        <v>ok</v>
      </c>
      <c r="GE59" s="89" t="str">
        <f>IF(GE6+GE7+GE51=GE52,"ok","エラー")</f>
        <v>ok</v>
      </c>
      <c r="GF59" s="89" t="str">
        <f>IF(GF40+GF51=GF52,"ok","エラー")</f>
        <v>ok</v>
      </c>
      <c r="GK59" s="89" t="str">
        <f>IF(GK6+GK7+GK51=GK52,"ok","エラー")</f>
        <v>ok</v>
      </c>
    </row>
    <row r="61" spans="1:232" x14ac:dyDescent="0.15">
      <c r="B61" s="89" t="s">
        <v>651</v>
      </c>
      <c r="C61" s="89">
        <v>1778816095</v>
      </c>
      <c r="E61" s="89">
        <v>14937914</v>
      </c>
      <c r="F61" s="89">
        <v>598052978</v>
      </c>
      <c r="H61" s="89">
        <v>36907037</v>
      </c>
      <c r="I61" s="89">
        <v>135961519</v>
      </c>
      <c r="J61" s="89">
        <v>720078636</v>
      </c>
      <c r="K61" s="89">
        <v>284050133</v>
      </c>
      <c r="L61" s="89">
        <v>329632162</v>
      </c>
      <c r="M61" s="89">
        <v>99977909</v>
      </c>
      <c r="N61" s="89">
        <v>73024438</v>
      </c>
      <c r="O61" s="89">
        <v>143872142</v>
      </c>
      <c r="P61" s="89">
        <v>73196108</v>
      </c>
      <c r="Q61" s="89">
        <v>70676034</v>
      </c>
      <c r="R61" s="89">
        <v>19250378</v>
      </c>
      <c r="U61" s="89">
        <v>1198063</v>
      </c>
      <c r="V61" s="89">
        <v>11983656</v>
      </c>
      <c r="W61" s="75">
        <v>12900752</v>
      </c>
      <c r="X61" s="89">
        <v>215667421</v>
      </c>
      <c r="Y61" s="89">
        <v>1000572</v>
      </c>
      <c r="AA61" s="89">
        <v>223657</v>
      </c>
      <c r="AB61" s="89">
        <v>5309152</v>
      </c>
      <c r="AC61" s="89">
        <v>31951052</v>
      </c>
      <c r="AD61" s="89">
        <v>9616184</v>
      </c>
      <c r="AE61" s="89">
        <v>370664486</v>
      </c>
      <c r="AF61" s="89">
        <v>354584285</v>
      </c>
      <c r="AG61" s="89">
        <v>16079964</v>
      </c>
      <c r="AH61" s="89">
        <v>1462994</v>
      </c>
      <c r="AI61" s="89">
        <v>21330239</v>
      </c>
      <c r="AK61" s="89">
        <v>87025281</v>
      </c>
      <c r="AL61" s="89">
        <v>17822509</v>
      </c>
      <c r="AM61" s="89">
        <v>1266257652</v>
      </c>
      <c r="AO61" s="89">
        <v>383905984</v>
      </c>
      <c r="AP61" s="89">
        <v>148698538</v>
      </c>
      <c r="AR61" s="89">
        <v>169955913</v>
      </c>
      <c r="AS61" s="89">
        <v>48089899</v>
      </c>
      <c r="AT61" s="89">
        <v>150935</v>
      </c>
      <c r="AU61" s="89">
        <v>284170</v>
      </c>
      <c r="AV61" s="89">
        <v>311491921</v>
      </c>
      <c r="AW61" s="89">
        <v>211703716</v>
      </c>
      <c r="AX61" s="89">
        <v>37345469</v>
      </c>
      <c r="AY61" s="89">
        <v>4490379</v>
      </c>
      <c r="AZ61" s="89">
        <v>99788205</v>
      </c>
      <c r="BA61" s="89">
        <v>3055841</v>
      </c>
      <c r="BB61" s="89">
        <v>66965901</v>
      </c>
      <c r="BC61" s="89">
        <v>44517605</v>
      </c>
      <c r="BD61" s="89">
        <v>38521769</v>
      </c>
      <c r="BE61" s="89">
        <v>84923313</v>
      </c>
      <c r="BF61" s="89">
        <v>23487532</v>
      </c>
      <c r="BG61" s="89">
        <v>4723237</v>
      </c>
      <c r="BH61" s="89">
        <v>51505623</v>
      </c>
      <c r="BI61" s="89">
        <v>298756</v>
      </c>
      <c r="BJ61" s="89">
        <v>84786598</v>
      </c>
      <c r="BK61" s="89">
        <v>63547709</v>
      </c>
      <c r="BL61" s="89">
        <v>118260015</v>
      </c>
      <c r="BM61" s="89">
        <v>13624509</v>
      </c>
      <c r="BN61" s="89">
        <v>1164762</v>
      </c>
      <c r="BO61" s="89">
        <v>25038759</v>
      </c>
      <c r="BP61" s="89">
        <v>250177815</v>
      </c>
      <c r="BS61" s="89">
        <v>0</v>
      </c>
      <c r="BT61" s="89">
        <v>43000</v>
      </c>
      <c r="BU61" s="89">
        <v>33366801</v>
      </c>
      <c r="BV61" s="89">
        <v>0</v>
      </c>
      <c r="BW61" s="89">
        <v>4826658542</v>
      </c>
      <c r="BY61" s="89">
        <v>712494043</v>
      </c>
      <c r="BZ61" s="89">
        <v>499623153</v>
      </c>
      <c r="CA61" s="89">
        <v>19869750</v>
      </c>
      <c r="CB61" s="89">
        <v>69281104</v>
      </c>
      <c r="CC61" s="89">
        <v>1644257671</v>
      </c>
      <c r="CD61" s="89">
        <v>516366588</v>
      </c>
      <c r="CE61" s="89">
        <v>4496939</v>
      </c>
      <c r="CF61" s="89">
        <v>538568476</v>
      </c>
      <c r="CG61" s="89">
        <v>513232996</v>
      </c>
      <c r="CH61" s="89">
        <v>29102832</v>
      </c>
      <c r="CI61" s="89">
        <v>42480519</v>
      </c>
      <c r="CJ61" s="89">
        <v>424860660</v>
      </c>
      <c r="CK61" s="89">
        <v>401811540</v>
      </c>
      <c r="CM61" s="89">
        <v>515040758</v>
      </c>
      <c r="CN61" s="89">
        <v>358632541</v>
      </c>
      <c r="CP61" s="89">
        <v>82052397</v>
      </c>
      <c r="CQ61" s="89">
        <v>49443497</v>
      </c>
      <c r="CR61" s="89">
        <v>402383758</v>
      </c>
      <c r="CS61" s="89">
        <v>46642177</v>
      </c>
      <c r="CT61" s="89">
        <v>135236154</v>
      </c>
      <c r="CU61" s="89">
        <v>104601706</v>
      </c>
      <c r="CW61" s="89">
        <v>53247598</v>
      </c>
      <c r="CX61" s="84">
        <v>50971775</v>
      </c>
      <c r="CY61" s="84"/>
      <c r="CZ61" s="89">
        <v>9922767</v>
      </c>
      <c r="DA61" s="89">
        <v>2275301</v>
      </c>
      <c r="DC61" s="89">
        <v>42035267</v>
      </c>
      <c r="DD61" s="89">
        <v>40602025</v>
      </c>
      <c r="DE61" s="89">
        <v>468952296</v>
      </c>
      <c r="DF61" s="89">
        <v>221645547</v>
      </c>
      <c r="DG61" s="89">
        <v>238141709</v>
      </c>
      <c r="DH61" s="89">
        <v>2040240</v>
      </c>
      <c r="DI61" s="89">
        <v>3868083</v>
      </c>
      <c r="DJ61" s="89">
        <v>884188</v>
      </c>
      <c r="DK61" s="89">
        <v>124842045</v>
      </c>
      <c r="DL61" s="89">
        <v>55935710</v>
      </c>
      <c r="DM61" s="89">
        <v>7717295</v>
      </c>
      <c r="DN61" s="89">
        <v>61188995</v>
      </c>
      <c r="DO61" s="89">
        <v>9544442</v>
      </c>
      <c r="DP61" s="89">
        <v>8110842</v>
      </c>
      <c r="DQ61" s="89">
        <v>2131679</v>
      </c>
      <c r="DR61" s="89">
        <v>1083405</v>
      </c>
      <c r="DS61" s="89">
        <v>11269673</v>
      </c>
      <c r="DT61" s="89">
        <v>1650000</v>
      </c>
      <c r="DU61" s="89">
        <v>0</v>
      </c>
      <c r="DV61" s="89">
        <v>389904806</v>
      </c>
      <c r="DW61" s="89">
        <v>1140131</v>
      </c>
      <c r="DY61" s="89">
        <v>2551932</v>
      </c>
      <c r="DZ61" s="89">
        <v>138507212</v>
      </c>
      <c r="EA61" s="89">
        <v>32428</v>
      </c>
      <c r="EB61" s="89">
        <v>100867124</v>
      </c>
      <c r="ED61" s="89">
        <v>144836970</v>
      </c>
      <c r="EE61" s="89">
        <v>0</v>
      </c>
      <c r="EF61" s="89">
        <v>4753877837</v>
      </c>
      <c r="EH61" s="89">
        <v>72780705</v>
      </c>
      <c r="EI61" s="89">
        <v>19719845</v>
      </c>
      <c r="EJ61" s="89">
        <v>53060860</v>
      </c>
      <c r="EK61" s="89">
        <v>-14813198</v>
      </c>
      <c r="EL61" s="89">
        <v>24755983</v>
      </c>
      <c r="EP61" s="89">
        <v>35259544</v>
      </c>
      <c r="EQ61" s="89">
        <v>52090428</v>
      </c>
      <c r="ES61" s="89">
        <v>2479095529</v>
      </c>
      <c r="ET61" s="89">
        <v>-457306882</v>
      </c>
      <c r="EU61" s="89">
        <v>615221264</v>
      </c>
      <c r="EV61" s="89">
        <v>427806906</v>
      </c>
      <c r="EW61" s="89">
        <v>579800538</v>
      </c>
      <c r="EX61" s="89">
        <v>396870896</v>
      </c>
      <c r="EZ61" s="89">
        <v>110214076</v>
      </c>
      <c r="FA61" s="89">
        <v>15283242</v>
      </c>
      <c r="FB61" s="89">
        <v>94437910</v>
      </c>
      <c r="FC61" s="89">
        <v>171842</v>
      </c>
      <c r="FD61" s="89">
        <v>0</v>
      </c>
      <c r="FE61" s="89">
        <v>378362583</v>
      </c>
      <c r="FF61" s="420">
        <v>339333203</v>
      </c>
      <c r="FG61" s="89">
        <v>40955426</v>
      </c>
      <c r="FH61" s="89">
        <v>304163675</v>
      </c>
      <c r="FJ61" s="89">
        <v>2864291581</v>
      </c>
      <c r="FL61" s="89">
        <v>2260238562</v>
      </c>
      <c r="FM61" s="89">
        <v>45205093</v>
      </c>
      <c r="FN61" s="89">
        <v>1497452055</v>
      </c>
      <c r="FO61" s="89">
        <v>1851520758</v>
      </c>
      <c r="FY61" s="89">
        <v>3432847153</v>
      </c>
      <c r="GA61" s="89">
        <v>945132732</v>
      </c>
      <c r="GB61" s="89">
        <v>514072139</v>
      </c>
      <c r="GC61" s="89">
        <v>51224789</v>
      </c>
      <c r="GD61" s="89">
        <v>379835804</v>
      </c>
      <c r="GK61" s="89"/>
      <c r="GQ61" s="394">
        <f>FL39+FL53</f>
        <v>1170969823</v>
      </c>
      <c r="GR61" s="394">
        <f>FM39+FM53</f>
        <v>8224591</v>
      </c>
    </row>
    <row r="62" spans="1:232" x14ac:dyDescent="0.15">
      <c r="B62" s="89" t="s">
        <v>652</v>
      </c>
      <c r="C62" s="89" t="str">
        <f>IF(C52=C61,"OK","エラー")</f>
        <v>エラー</v>
      </c>
      <c r="E62" s="89" t="str">
        <f>IF(E52=E61,"OK","エラー")</f>
        <v>エラー</v>
      </c>
      <c r="F62" s="89" t="str">
        <f>IF(F52=F61,"OK","エラー")</f>
        <v>エラー</v>
      </c>
      <c r="H62" s="89" t="str">
        <f t="shared" ref="H62:S62" si="49">IF(H52=H61,"OK","エラー")</f>
        <v>エラー</v>
      </c>
      <c r="I62" s="89" t="str">
        <f t="shared" si="49"/>
        <v>エラー</v>
      </c>
      <c r="J62" s="89" t="str">
        <f t="shared" si="49"/>
        <v>エラー</v>
      </c>
      <c r="K62" s="89" t="str">
        <f t="shared" si="49"/>
        <v>エラー</v>
      </c>
      <c r="L62" s="89" t="str">
        <f t="shared" si="49"/>
        <v>エラー</v>
      </c>
      <c r="M62" s="89" t="str">
        <f t="shared" si="49"/>
        <v>エラー</v>
      </c>
      <c r="N62" s="89" t="str">
        <f t="shared" si="49"/>
        <v>エラー</v>
      </c>
      <c r="O62" s="89" t="str">
        <f t="shared" si="49"/>
        <v>エラー</v>
      </c>
      <c r="P62" s="89" t="str">
        <f t="shared" si="49"/>
        <v>エラー</v>
      </c>
      <c r="Q62" s="89" t="str">
        <f t="shared" si="49"/>
        <v>エラー</v>
      </c>
      <c r="R62" s="89" t="str">
        <f t="shared" si="49"/>
        <v>エラー</v>
      </c>
      <c r="S62" s="89" t="str">
        <f t="shared" si="49"/>
        <v>OK</v>
      </c>
      <c r="U62" s="89" t="str">
        <f>IF(U52=U61,"OK","エラー")</f>
        <v>エラー</v>
      </c>
      <c r="V62" s="89" t="str">
        <f>IF(V52=V61,"OK","エラー")</f>
        <v>エラー</v>
      </c>
      <c r="W62" s="89" t="str">
        <f>IF(W52=W61,"OK","エラー")</f>
        <v>エラー</v>
      </c>
      <c r="X62" s="89" t="str">
        <f>IF(X52=X61,"OK","エラー")</f>
        <v>エラー</v>
      </c>
      <c r="Y62" s="89" t="str">
        <f>IF(Y52=Y61,"OK","エラー")</f>
        <v>エラー</v>
      </c>
      <c r="AA62" s="89" t="str">
        <f t="shared" ref="AA62:AI62" si="50">IF(AA52=AA61,"OK","エラー")</f>
        <v>エラー</v>
      </c>
      <c r="AB62" s="89" t="str">
        <f t="shared" si="50"/>
        <v>エラー</v>
      </c>
      <c r="AC62" s="89" t="str">
        <f t="shared" si="50"/>
        <v>エラー</v>
      </c>
      <c r="AD62" s="89" t="str">
        <f t="shared" si="50"/>
        <v>エラー</v>
      </c>
      <c r="AE62" s="89" t="str">
        <f t="shared" si="50"/>
        <v>エラー</v>
      </c>
      <c r="AF62" s="89" t="str">
        <f t="shared" si="50"/>
        <v>エラー</v>
      </c>
      <c r="AG62" s="89" t="str">
        <f t="shared" si="50"/>
        <v>エラー</v>
      </c>
      <c r="AH62" s="89" t="str">
        <f t="shared" si="50"/>
        <v>エラー</v>
      </c>
      <c r="AI62" s="89" t="str">
        <f t="shared" si="50"/>
        <v>エラー</v>
      </c>
      <c r="AK62" s="89" t="str">
        <f>IF(AK52=AK61,"OK","エラー")</f>
        <v>エラー</v>
      </c>
      <c r="AL62" s="89" t="str">
        <f>IF(AL52=AL61,"OK","エラー")</f>
        <v>エラー</v>
      </c>
      <c r="AM62" s="89" t="str">
        <f>IF(AM52=AM61,"OK","エラー")</f>
        <v>エラー</v>
      </c>
      <c r="AO62" s="89" t="str">
        <f t="shared" ref="AO62:BP62" si="51">IF(AO52=AO61,"OK","エラー")</f>
        <v>エラー</v>
      </c>
      <c r="AP62" s="89" t="str">
        <f t="shared" si="51"/>
        <v>エラー</v>
      </c>
      <c r="AQ62" s="89" t="str">
        <f t="shared" si="51"/>
        <v>OK</v>
      </c>
      <c r="AR62" s="89" t="str">
        <f t="shared" si="51"/>
        <v>エラー</v>
      </c>
      <c r="AS62" s="89" t="str">
        <f t="shared" si="51"/>
        <v>エラー</v>
      </c>
      <c r="AT62" s="89" t="str">
        <f t="shared" si="51"/>
        <v>エラー</v>
      </c>
      <c r="AU62" s="89" t="str">
        <f t="shared" si="51"/>
        <v>エラー</v>
      </c>
      <c r="AV62" s="89" t="str">
        <f t="shared" si="51"/>
        <v>エラー</v>
      </c>
      <c r="AW62" s="89" t="str">
        <f t="shared" si="51"/>
        <v>エラー</v>
      </c>
      <c r="AX62" s="89" t="str">
        <f t="shared" si="51"/>
        <v>エラー</v>
      </c>
      <c r="AY62" s="89" t="str">
        <f t="shared" si="51"/>
        <v>エラー</v>
      </c>
      <c r="AZ62" s="89" t="str">
        <f t="shared" si="51"/>
        <v>エラー</v>
      </c>
      <c r="BA62" s="89" t="str">
        <f t="shared" si="51"/>
        <v>エラー</v>
      </c>
      <c r="BB62" s="89" t="str">
        <f t="shared" si="51"/>
        <v>エラー</v>
      </c>
      <c r="BC62" s="89" t="str">
        <f t="shared" si="51"/>
        <v>エラー</v>
      </c>
      <c r="BD62" s="89" t="str">
        <f t="shared" si="51"/>
        <v>エラー</v>
      </c>
      <c r="BE62" s="89" t="str">
        <f t="shared" si="51"/>
        <v>エラー</v>
      </c>
      <c r="BF62" s="89" t="str">
        <f t="shared" si="51"/>
        <v>エラー</v>
      </c>
      <c r="BG62" s="89" t="str">
        <f t="shared" si="51"/>
        <v>エラー</v>
      </c>
      <c r="BH62" s="89" t="str">
        <f t="shared" si="51"/>
        <v>エラー</v>
      </c>
      <c r="BI62" s="89" t="str">
        <f t="shared" si="51"/>
        <v>エラー</v>
      </c>
      <c r="BJ62" s="89" t="str">
        <f t="shared" si="51"/>
        <v>エラー</v>
      </c>
      <c r="BK62" s="89" t="str">
        <f t="shared" si="51"/>
        <v>エラー</v>
      </c>
      <c r="BL62" s="89" t="str">
        <f t="shared" si="51"/>
        <v>エラー</v>
      </c>
      <c r="BM62" s="89" t="str">
        <f t="shared" si="51"/>
        <v>エラー</v>
      </c>
      <c r="BN62" s="89" t="str">
        <f t="shared" si="51"/>
        <v>エラー</v>
      </c>
      <c r="BO62" s="89" t="str">
        <f t="shared" si="51"/>
        <v>エラー</v>
      </c>
      <c r="BP62" s="89" t="str">
        <f t="shared" si="51"/>
        <v>エラー</v>
      </c>
      <c r="BS62" s="89" t="str">
        <f t="shared" ref="BS62:CK62" si="52">IF(BS52=BS61,"OK","エラー")</f>
        <v>OK</v>
      </c>
      <c r="BT62" s="89" t="str">
        <f t="shared" si="52"/>
        <v>エラー</v>
      </c>
      <c r="BU62" s="89" t="str">
        <f t="shared" si="52"/>
        <v>エラー</v>
      </c>
      <c r="BV62" s="89" t="str">
        <f t="shared" si="52"/>
        <v>エラー</v>
      </c>
      <c r="BW62" s="89" t="str">
        <f t="shared" si="52"/>
        <v>エラー</v>
      </c>
      <c r="BX62" s="89" t="str">
        <f t="shared" si="52"/>
        <v>OK</v>
      </c>
      <c r="BY62" s="89" t="str">
        <f t="shared" si="52"/>
        <v>エラー</v>
      </c>
      <c r="BZ62" s="89" t="str">
        <f t="shared" si="52"/>
        <v>エラー</v>
      </c>
      <c r="CA62" s="89" t="str">
        <f t="shared" si="52"/>
        <v>エラー</v>
      </c>
      <c r="CB62" s="89" t="str">
        <f t="shared" si="52"/>
        <v>エラー</v>
      </c>
      <c r="CC62" s="89" t="str">
        <f t="shared" si="52"/>
        <v>エラー</v>
      </c>
      <c r="CD62" s="89" t="str">
        <f t="shared" si="52"/>
        <v>エラー</v>
      </c>
      <c r="CE62" s="89" t="str">
        <f t="shared" si="52"/>
        <v>エラー</v>
      </c>
      <c r="CF62" s="89" t="str">
        <f t="shared" si="52"/>
        <v>エラー</v>
      </c>
      <c r="CG62" s="89" t="str">
        <f t="shared" si="52"/>
        <v>エラー</v>
      </c>
      <c r="CH62" s="89" t="str">
        <f t="shared" si="52"/>
        <v>エラー</v>
      </c>
      <c r="CI62" s="89" t="str">
        <f t="shared" si="52"/>
        <v>エラー</v>
      </c>
      <c r="CJ62" s="89" t="str">
        <f t="shared" si="52"/>
        <v>エラー</v>
      </c>
      <c r="CK62" s="89" t="str">
        <f t="shared" si="52"/>
        <v>エラー</v>
      </c>
      <c r="CM62" s="89" t="str">
        <f t="shared" ref="CM62:CU62" si="53">IF(CM52=CM61,"OK","エラー")</f>
        <v>エラー</v>
      </c>
      <c r="CN62" s="89" t="str">
        <f t="shared" si="53"/>
        <v>エラー</v>
      </c>
      <c r="CO62" s="89" t="str">
        <f t="shared" si="53"/>
        <v>OK</v>
      </c>
      <c r="CP62" s="89" t="str">
        <f t="shared" si="53"/>
        <v>エラー</v>
      </c>
      <c r="CQ62" s="89" t="str">
        <f t="shared" si="53"/>
        <v>エラー</v>
      </c>
      <c r="CR62" s="89" t="str">
        <f t="shared" si="53"/>
        <v>エラー</v>
      </c>
      <c r="CS62" s="89" t="str">
        <f t="shared" si="53"/>
        <v>エラー</v>
      </c>
      <c r="CT62" s="89" t="str">
        <f t="shared" si="53"/>
        <v>エラー</v>
      </c>
      <c r="CU62" s="89" t="str">
        <f t="shared" si="53"/>
        <v>エラー</v>
      </c>
      <c r="CW62" s="89" t="str">
        <f>IF(CW52=CW61,"OK","エラー")</f>
        <v>エラー</v>
      </c>
      <c r="CX62" s="89" t="str">
        <f>IF(CX52=CX61,"OK","エラー")</f>
        <v>エラー</v>
      </c>
      <c r="CZ62" s="89" t="str">
        <f>IF(CZ52=CZ61,"OK","エラー")</f>
        <v>エラー</v>
      </c>
      <c r="DA62" s="89" t="str">
        <f>IF(DA52=DA61,"OK","エラー")</f>
        <v>エラー</v>
      </c>
      <c r="DC62" s="89" t="str">
        <f t="shared" ref="DC62:DW62" si="54">IF(DC52=DC61,"OK","エラー")</f>
        <v>エラー</v>
      </c>
      <c r="DD62" s="89" t="str">
        <f t="shared" si="54"/>
        <v>エラー</v>
      </c>
      <c r="DE62" s="89" t="str">
        <f t="shared" si="54"/>
        <v>エラー</v>
      </c>
      <c r="DF62" s="89" t="str">
        <f t="shared" si="54"/>
        <v>エラー</v>
      </c>
      <c r="DG62" s="89" t="str">
        <f t="shared" si="54"/>
        <v>エラー</v>
      </c>
      <c r="DH62" s="89" t="str">
        <f t="shared" si="54"/>
        <v>エラー</v>
      </c>
      <c r="DI62" s="89" t="str">
        <f t="shared" si="54"/>
        <v>エラー</v>
      </c>
      <c r="DJ62" s="89" t="str">
        <f t="shared" si="54"/>
        <v>エラー</v>
      </c>
      <c r="DK62" s="89" t="str">
        <f t="shared" si="54"/>
        <v>エラー</v>
      </c>
      <c r="DL62" s="89" t="str">
        <f t="shared" si="54"/>
        <v>エラー</v>
      </c>
      <c r="DM62" s="89" t="str">
        <f t="shared" si="54"/>
        <v>エラー</v>
      </c>
      <c r="DN62" s="89" t="str">
        <f t="shared" si="54"/>
        <v>エラー</v>
      </c>
      <c r="DO62" s="89" t="str">
        <f t="shared" si="54"/>
        <v>エラー</v>
      </c>
      <c r="DP62" s="89" t="str">
        <f t="shared" si="54"/>
        <v>エラー</v>
      </c>
      <c r="DQ62" s="89" t="str">
        <f t="shared" si="54"/>
        <v>エラー</v>
      </c>
      <c r="DR62" s="89" t="str">
        <f t="shared" si="54"/>
        <v>エラー</v>
      </c>
      <c r="DS62" s="89" t="str">
        <f t="shared" si="54"/>
        <v>エラー</v>
      </c>
      <c r="DT62" s="89" t="str">
        <f t="shared" si="54"/>
        <v>エラー</v>
      </c>
      <c r="DU62" s="89" t="str">
        <f t="shared" si="54"/>
        <v>OK</v>
      </c>
      <c r="DV62" s="89" t="str">
        <f t="shared" si="54"/>
        <v>エラー</v>
      </c>
      <c r="DW62" s="89" t="str">
        <f t="shared" si="54"/>
        <v>エラー</v>
      </c>
      <c r="DY62" s="89" t="str">
        <f t="shared" ref="DY62:EM62" si="55">IF(DY52=DY61,"OK","エラー")</f>
        <v>エラー</v>
      </c>
      <c r="DZ62" s="89" t="str">
        <f t="shared" si="55"/>
        <v>エラー</v>
      </c>
      <c r="EA62" s="89" t="str">
        <f t="shared" si="55"/>
        <v>エラー</v>
      </c>
      <c r="EB62" s="89" t="str">
        <f t="shared" si="55"/>
        <v>エラー</v>
      </c>
      <c r="EC62" s="89" t="str">
        <f t="shared" si="55"/>
        <v>OK</v>
      </c>
      <c r="ED62" s="89" t="str">
        <f t="shared" si="55"/>
        <v>エラー</v>
      </c>
      <c r="EE62" s="89" t="str">
        <f t="shared" si="55"/>
        <v>OK</v>
      </c>
      <c r="EF62" s="89" t="str">
        <f t="shared" si="55"/>
        <v>エラー</v>
      </c>
      <c r="EG62" s="89" t="str">
        <f t="shared" si="55"/>
        <v>OK</v>
      </c>
      <c r="EH62" s="89" t="str">
        <f t="shared" si="55"/>
        <v>エラー</v>
      </c>
      <c r="EI62" s="89" t="str">
        <f t="shared" si="55"/>
        <v>エラー</v>
      </c>
      <c r="EJ62" s="89" t="str">
        <f t="shared" si="55"/>
        <v>エラー</v>
      </c>
      <c r="EK62" s="89" t="str">
        <f t="shared" si="55"/>
        <v>エラー</v>
      </c>
      <c r="EL62" s="89" t="str">
        <f t="shared" si="55"/>
        <v>エラー</v>
      </c>
      <c r="EM62" s="89" t="str">
        <f t="shared" si="55"/>
        <v>OK</v>
      </c>
      <c r="EP62" s="89" t="str">
        <f>IF(EP52=EP61,"OK","エラー")</f>
        <v>エラー</v>
      </c>
      <c r="EQ62" s="89" t="str">
        <f>IF(EQ52=EQ61,"OK","エラー")</f>
        <v>エラー</v>
      </c>
      <c r="ES62" s="89" t="str">
        <f t="shared" ref="ES62:EX62" si="56">IF(ES52=ES61,"OK","エラー")</f>
        <v>エラー</v>
      </c>
      <c r="ET62" s="89" t="str">
        <f t="shared" si="56"/>
        <v>エラー</v>
      </c>
      <c r="EU62" s="89" t="str">
        <f t="shared" si="56"/>
        <v>エラー</v>
      </c>
      <c r="EV62" s="89" t="str">
        <f t="shared" si="56"/>
        <v>エラー</v>
      </c>
      <c r="EW62" s="89" t="str">
        <f t="shared" si="56"/>
        <v>エラー</v>
      </c>
      <c r="EX62" s="89" t="str">
        <f t="shared" si="56"/>
        <v>エラー</v>
      </c>
      <c r="EZ62" s="89" t="str">
        <f t="shared" ref="EZ62:FH62" si="57">IF(EZ52=EZ61,"OK","エラー")</f>
        <v>エラー</v>
      </c>
      <c r="FA62" s="89" t="str">
        <f t="shared" si="57"/>
        <v>エラー</v>
      </c>
      <c r="FB62" s="89" t="str">
        <f t="shared" si="57"/>
        <v>エラー</v>
      </c>
      <c r="FC62" s="89" t="str">
        <f t="shared" si="57"/>
        <v>エラー</v>
      </c>
      <c r="FD62" s="89" t="str">
        <f t="shared" si="57"/>
        <v>OK</v>
      </c>
      <c r="FE62" s="89" t="str">
        <f t="shared" si="57"/>
        <v>エラー</v>
      </c>
      <c r="FF62" s="89" t="str">
        <f t="shared" si="57"/>
        <v>エラー</v>
      </c>
      <c r="FG62" s="89" t="str">
        <f t="shared" si="57"/>
        <v>エラー</v>
      </c>
      <c r="FH62" s="89" t="str">
        <f t="shared" si="57"/>
        <v>エラー</v>
      </c>
      <c r="FJ62" s="89" t="str">
        <f>IF(FJ52=FJ61,"OK","エラー")</f>
        <v>エラー</v>
      </c>
      <c r="FL62" s="89" t="str">
        <f>IF(FL52=FL61,"OK","エラー")</f>
        <v>エラー</v>
      </c>
      <c r="FM62" s="89" t="str">
        <f>IF(FM52=FM61,"OK","エラー")</f>
        <v>エラー</v>
      </c>
      <c r="FN62" s="89" t="str">
        <f>IF(FN52=FN61,"OK","エラー")</f>
        <v>エラー</v>
      </c>
      <c r="FO62" s="89" t="str">
        <f>IF(FO52=FO61,"OK","エラー")</f>
        <v>エラー</v>
      </c>
      <c r="FY62" s="89" t="str">
        <f>IF(FY52=FY61,"OK","エラー")</f>
        <v>エラー</v>
      </c>
      <c r="GA62" s="89" t="str">
        <f>IF(GA52=GA61,"OK","エラー")</f>
        <v>エラー</v>
      </c>
      <c r="GB62" s="89" t="str">
        <f>IF(GB52=GB61,"OK","エラー")</f>
        <v>エラー</v>
      </c>
      <c r="GC62" s="89" t="str">
        <f>IF(GC52=GC61,"OK","エラー")</f>
        <v>エラー</v>
      </c>
      <c r="GD62" s="89" t="str">
        <f>IF(GD52=GD61,"OK","エラー")</f>
        <v>エラー</v>
      </c>
      <c r="GE62" s="89" t="str">
        <f>IF(GE52=GE61,"OK","エラー")</f>
        <v>OK</v>
      </c>
      <c r="GK62" s="89"/>
    </row>
    <row r="66" spans="145:146" x14ac:dyDescent="0.15">
      <c r="EO66" s="421"/>
      <c r="EP66" s="422"/>
    </row>
    <row r="67" spans="145:146" x14ac:dyDescent="0.15">
      <c r="EO67" s="421"/>
      <c r="EP67" s="422"/>
    </row>
    <row r="68" spans="145:146" x14ac:dyDescent="0.15">
      <c r="EO68" s="421"/>
      <c r="EP68" s="422"/>
    </row>
    <row r="69" spans="145:146" x14ac:dyDescent="0.15">
      <c r="EO69" s="421"/>
      <c r="EP69" s="422"/>
    </row>
    <row r="70" spans="145:146" x14ac:dyDescent="0.15">
      <c r="EO70" s="421"/>
      <c r="EP70" s="422"/>
    </row>
    <row r="71" spans="145:146" x14ac:dyDescent="0.15">
      <c r="EO71" s="421"/>
      <c r="EP71" s="422"/>
    </row>
    <row r="72" spans="145:146" x14ac:dyDescent="0.15">
      <c r="EO72" s="421"/>
      <c r="EP72" s="422"/>
    </row>
    <row r="73" spans="145:146" x14ac:dyDescent="0.15">
      <c r="EO73" s="421"/>
      <c r="EP73" s="422"/>
    </row>
    <row r="74" spans="145:146" x14ac:dyDescent="0.15">
      <c r="EO74" s="421"/>
      <c r="EP74" s="422"/>
    </row>
    <row r="75" spans="145:146" x14ac:dyDescent="0.15">
      <c r="EO75" s="421"/>
      <c r="EP75" s="422"/>
    </row>
    <row r="76" spans="145:146" x14ac:dyDescent="0.15">
      <c r="EO76" s="421"/>
      <c r="EP76" s="422"/>
    </row>
    <row r="77" spans="145:146" x14ac:dyDescent="0.15">
      <c r="EO77" s="421"/>
      <c r="EP77" s="422"/>
    </row>
    <row r="78" spans="145:146" x14ac:dyDescent="0.15">
      <c r="EO78" s="421"/>
      <c r="EP78" s="422"/>
    </row>
    <row r="79" spans="145:146" x14ac:dyDescent="0.15">
      <c r="EO79" s="421"/>
      <c r="EP79" s="422"/>
    </row>
    <row r="80" spans="145:146" x14ac:dyDescent="0.15">
      <c r="EO80" s="421"/>
      <c r="EP80" s="422"/>
    </row>
    <row r="81" spans="145:146" x14ac:dyDescent="0.15">
      <c r="EO81" s="421"/>
      <c r="EP81" s="422"/>
    </row>
    <row r="82" spans="145:146" x14ac:dyDescent="0.15">
      <c r="EO82" s="421"/>
      <c r="EP82" s="422"/>
    </row>
    <row r="83" spans="145:146" x14ac:dyDescent="0.15">
      <c r="EO83" s="421"/>
      <c r="EP83" s="422"/>
    </row>
    <row r="84" spans="145:146" x14ac:dyDescent="0.15">
      <c r="EO84" s="421"/>
      <c r="EP84" s="422"/>
    </row>
    <row r="85" spans="145:146" x14ac:dyDescent="0.15">
      <c r="EO85" s="421"/>
      <c r="EP85" s="422"/>
    </row>
    <row r="86" spans="145:146" x14ac:dyDescent="0.15">
      <c r="EO86" s="421"/>
      <c r="EP86" s="422"/>
    </row>
    <row r="87" spans="145:146" x14ac:dyDescent="0.15">
      <c r="EO87" s="421"/>
      <c r="EP87" s="422"/>
    </row>
    <row r="88" spans="145:146" x14ac:dyDescent="0.15">
      <c r="EO88" s="421"/>
      <c r="EP88" s="422"/>
    </row>
    <row r="89" spans="145:146" x14ac:dyDescent="0.15">
      <c r="EO89" s="421"/>
      <c r="EP89" s="422"/>
    </row>
    <row r="90" spans="145:146" x14ac:dyDescent="0.15">
      <c r="EO90" s="421"/>
      <c r="EP90" s="422"/>
    </row>
    <row r="91" spans="145:146" x14ac:dyDescent="0.15">
      <c r="EO91" s="421"/>
      <c r="EP91" s="422"/>
    </row>
    <row r="92" spans="145:146" x14ac:dyDescent="0.15">
      <c r="EO92" s="421"/>
      <c r="EP92" s="422"/>
    </row>
    <row r="93" spans="145:146" x14ac:dyDescent="0.15">
      <c r="EO93" s="421"/>
      <c r="EP93" s="422"/>
    </row>
    <row r="94" spans="145:146" x14ac:dyDescent="0.15">
      <c r="EO94" s="421"/>
      <c r="EP94" s="422"/>
    </row>
    <row r="95" spans="145:146" x14ac:dyDescent="0.15">
      <c r="EO95" s="421"/>
      <c r="EP95" s="422"/>
    </row>
    <row r="96" spans="145:146" x14ac:dyDescent="0.15">
      <c r="EO96" s="421"/>
      <c r="EP96" s="422"/>
    </row>
    <row r="97" spans="145:146" x14ac:dyDescent="0.15">
      <c r="EO97" s="421"/>
      <c r="EP97" s="422"/>
    </row>
    <row r="98" spans="145:146" x14ac:dyDescent="0.15">
      <c r="EO98" s="421"/>
      <c r="EP98" s="422"/>
    </row>
    <row r="99" spans="145:146" x14ac:dyDescent="0.15">
      <c r="EO99" s="421"/>
      <c r="EP99" s="422"/>
    </row>
    <row r="100" spans="145:146" x14ac:dyDescent="0.15">
      <c r="EO100" s="421"/>
      <c r="EP100" s="422"/>
    </row>
    <row r="101" spans="145:146" x14ac:dyDescent="0.15">
      <c r="EO101" s="421"/>
      <c r="EP101" s="422"/>
    </row>
    <row r="102" spans="145:146" x14ac:dyDescent="0.15">
      <c r="EO102" s="421"/>
      <c r="EP102" s="422"/>
    </row>
    <row r="103" spans="145:146" x14ac:dyDescent="0.15">
      <c r="EO103" s="421"/>
      <c r="EP103" s="422"/>
    </row>
    <row r="104" spans="145:146" x14ac:dyDescent="0.15">
      <c r="EO104" s="421"/>
      <c r="EP104" s="422"/>
    </row>
    <row r="105" spans="145:146" x14ac:dyDescent="0.15">
      <c r="EO105" s="421"/>
      <c r="EP105" s="422"/>
    </row>
    <row r="106" spans="145:146" x14ac:dyDescent="0.15">
      <c r="EO106" s="421"/>
      <c r="EP106" s="422"/>
    </row>
  </sheetData>
  <mergeCells count="3">
    <mergeCell ref="GH2:GJ2"/>
    <mergeCell ref="FQ2:FW2"/>
    <mergeCell ref="GL2:GV2"/>
  </mergeCells>
  <phoneticPr fontId="3"/>
  <conditionalFormatting sqref="C62:IV62">
    <cfRule type="cellIs" dxfId="1" priority="1" stopIfTrue="1" operator="equal">
      <formula>"エラー"</formula>
    </cfRule>
  </conditionalFormatting>
  <pageMargins left="0.59055118110236227" right="0.59055118110236227" top="0.98425196850393704" bottom="0.98425196850393704" header="0.51181102362204722" footer="0.51181102362204722"/>
  <pageSetup paperSize="9" fitToWidth="0" orientation="portrait" r:id="rId1"/>
  <colBreaks count="1" manualBreakCount="1">
    <brk id="189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9">
    <tabColor indexed="15"/>
    <pageSetUpPr fitToPage="1"/>
  </sheetPr>
  <dimension ref="A1:HX106"/>
  <sheetViews>
    <sheetView view="pageBreakPreview" zoomScale="90" zoomScaleNormal="90" zoomScaleSheetLayoutView="90" workbookViewId="0">
      <pane xSplit="2" ySplit="5" topLeftCell="C12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RowHeight="12" x14ac:dyDescent="0.15"/>
  <cols>
    <col min="1" max="1" width="3.6640625" style="174" customWidth="1"/>
    <col min="2" max="2" width="33.88671875" style="174" customWidth="1"/>
    <col min="3" max="75" width="13.6640625" style="174" customWidth="1"/>
    <col min="76" max="76" width="5.6640625" style="174" customWidth="1"/>
    <col min="77" max="136" width="13.6640625" style="174" customWidth="1"/>
    <col min="137" max="137" width="13.109375" style="174" customWidth="1"/>
    <col min="138" max="142" width="13.6640625" style="174" customWidth="1"/>
    <col min="143" max="143" width="3.6640625" style="174" customWidth="1"/>
    <col min="144" max="166" width="13.6640625" style="174" customWidth="1"/>
    <col min="167" max="167" width="12.33203125" style="174" bestFit="1" customWidth="1"/>
    <col min="168" max="171" width="13.6640625" style="174" customWidth="1"/>
    <col min="172" max="172" width="10.6640625" style="174" customWidth="1"/>
    <col min="173" max="179" width="8.6640625" style="174" customWidth="1"/>
    <col min="180" max="180" width="10.6640625" style="174" customWidth="1"/>
    <col min="181" max="181" width="13.6640625" style="174" customWidth="1"/>
    <col min="182" max="182" width="10.6640625" style="174" customWidth="1"/>
    <col min="183" max="188" width="13.6640625" style="174" customWidth="1"/>
    <col min="189" max="189" width="10.6640625" style="174" customWidth="1"/>
    <col min="190" max="192" width="9.6640625" style="174" customWidth="1"/>
    <col min="193" max="193" width="10.6640625" style="62" customWidth="1"/>
    <col min="194" max="194" width="8.5546875" style="174" bestFit="1" customWidth="1"/>
    <col min="195" max="195" width="10.33203125" style="174" bestFit="1" customWidth="1"/>
    <col min="196" max="196" width="8.5546875" style="174" bestFit="1" customWidth="1"/>
    <col min="197" max="197" width="9.6640625" style="174" bestFit="1" customWidth="1"/>
    <col min="198" max="198" width="10.33203125" style="174" bestFit="1" customWidth="1"/>
    <col min="199" max="199" width="8.5546875" style="174" bestFit="1" customWidth="1"/>
    <col min="200" max="200" width="11.88671875" style="174" bestFit="1" customWidth="1"/>
    <col min="201" max="201" width="10.33203125" style="174" bestFit="1" customWidth="1"/>
    <col min="202" max="202" width="8.5546875" style="174" bestFit="1" customWidth="1"/>
    <col min="203" max="203" width="9.6640625" style="174" bestFit="1" customWidth="1"/>
    <col min="204" max="204" width="10.33203125" style="174" bestFit="1" customWidth="1"/>
    <col min="205" max="232" width="13.6640625" style="174" customWidth="1"/>
  </cols>
  <sheetData>
    <row r="1" spans="2:232" x14ac:dyDescent="0.15">
      <c r="B1" s="98">
        <v>1</v>
      </c>
      <c r="C1" s="98">
        <v>2</v>
      </c>
      <c r="D1" s="98">
        <v>3</v>
      </c>
      <c r="E1" s="98">
        <v>4</v>
      </c>
      <c r="F1" s="98">
        <v>5</v>
      </c>
      <c r="G1" s="98">
        <v>6</v>
      </c>
      <c r="H1" s="98">
        <v>7</v>
      </c>
      <c r="I1" s="98">
        <v>8</v>
      </c>
      <c r="J1" s="98">
        <v>9</v>
      </c>
      <c r="K1" s="98">
        <v>10</v>
      </c>
      <c r="L1" s="98">
        <v>11</v>
      </c>
      <c r="M1" s="98">
        <v>12</v>
      </c>
      <c r="N1" s="98">
        <v>13</v>
      </c>
      <c r="O1" s="98">
        <v>14</v>
      </c>
      <c r="P1" s="98">
        <v>15</v>
      </c>
      <c r="Q1" s="98">
        <v>16</v>
      </c>
      <c r="R1" s="98">
        <v>17</v>
      </c>
      <c r="S1" s="98">
        <v>18</v>
      </c>
      <c r="T1" s="98">
        <v>19</v>
      </c>
      <c r="U1" s="98">
        <v>20</v>
      </c>
      <c r="V1" s="98">
        <v>21</v>
      </c>
      <c r="W1" s="98">
        <v>22</v>
      </c>
      <c r="X1" s="98">
        <v>23</v>
      </c>
      <c r="Y1" s="98">
        <v>24</v>
      </c>
      <c r="Z1" s="98">
        <v>25</v>
      </c>
      <c r="AA1" s="98">
        <v>26</v>
      </c>
      <c r="AB1" s="98">
        <v>27</v>
      </c>
      <c r="AC1" s="98">
        <v>28</v>
      </c>
      <c r="AD1" s="98">
        <v>29</v>
      </c>
      <c r="AE1" s="98">
        <v>30</v>
      </c>
      <c r="AF1" s="98">
        <v>31</v>
      </c>
      <c r="AG1" s="98">
        <v>32</v>
      </c>
      <c r="AH1" s="98">
        <v>33</v>
      </c>
      <c r="AI1" s="98">
        <v>34</v>
      </c>
      <c r="AJ1" s="98">
        <v>35</v>
      </c>
      <c r="AK1" s="98">
        <v>36</v>
      </c>
      <c r="AL1" s="98">
        <v>37</v>
      </c>
      <c r="AM1" s="98">
        <v>38</v>
      </c>
      <c r="AN1" s="98">
        <v>39</v>
      </c>
      <c r="AO1" s="98">
        <v>40</v>
      </c>
      <c r="AP1" s="98">
        <v>41</v>
      </c>
      <c r="AQ1" s="98">
        <v>42</v>
      </c>
      <c r="AR1" s="98">
        <v>43</v>
      </c>
      <c r="AS1" s="98">
        <v>44</v>
      </c>
      <c r="AT1" s="98">
        <v>45</v>
      </c>
      <c r="AU1" s="98">
        <v>46</v>
      </c>
      <c r="AV1" s="98">
        <v>47</v>
      </c>
      <c r="AW1" s="98">
        <v>48</v>
      </c>
      <c r="AX1" s="98">
        <v>49</v>
      </c>
      <c r="AY1" s="98">
        <v>50</v>
      </c>
      <c r="AZ1" s="98">
        <v>51</v>
      </c>
      <c r="BA1" s="98">
        <v>52</v>
      </c>
      <c r="BB1" s="98">
        <v>53</v>
      </c>
      <c r="BC1" s="98">
        <v>54</v>
      </c>
      <c r="BD1" s="98">
        <v>55</v>
      </c>
      <c r="BE1" s="98">
        <v>56</v>
      </c>
      <c r="BF1" s="98">
        <v>57</v>
      </c>
      <c r="BG1" s="98">
        <v>58</v>
      </c>
      <c r="BH1" s="98">
        <v>59</v>
      </c>
      <c r="BI1" s="98">
        <v>60</v>
      </c>
      <c r="BJ1" s="98">
        <v>61</v>
      </c>
      <c r="BK1" s="98">
        <v>62</v>
      </c>
      <c r="BL1" s="98">
        <v>63</v>
      </c>
      <c r="BM1" s="98">
        <v>64</v>
      </c>
      <c r="BN1" s="98">
        <v>65</v>
      </c>
      <c r="BO1" s="98">
        <v>66</v>
      </c>
      <c r="BP1" s="98">
        <v>67</v>
      </c>
      <c r="BQ1" s="98">
        <v>68</v>
      </c>
      <c r="BR1" s="98">
        <v>69</v>
      </c>
      <c r="BS1" s="98">
        <v>70</v>
      </c>
      <c r="BT1" s="98">
        <v>71</v>
      </c>
      <c r="BU1" s="98">
        <v>72</v>
      </c>
      <c r="BV1" s="98">
        <v>73</v>
      </c>
      <c r="BW1" s="98">
        <v>74</v>
      </c>
      <c r="BX1" s="98">
        <v>75</v>
      </c>
      <c r="BY1" s="98">
        <v>76</v>
      </c>
      <c r="BZ1" s="98">
        <v>77</v>
      </c>
      <c r="CA1" s="98">
        <v>78</v>
      </c>
      <c r="CB1" s="98">
        <v>79</v>
      </c>
      <c r="CC1" s="98">
        <v>80</v>
      </c>
      <c r="CD1" s="98">
        <v>81</v>
      </c>
      <c r="CE1" s="98">
        <v>82</v>
      </c>
      <c r="CF1" s="98">
        <v>83</v>
      </c>
      <c r="CG1" s="98">
        <v>84</v>
      </c>
      <c r="CH1" s="98">
        <v>85</v>
      </c>
      <c r="CI1" s="98">
        <v>86</v>
      </c>
      <c r="CJ1" s="98">
        <v>87</v>
      </c>
      <c r="CK1" s="98">
        <v>88</v>
      </c>
      <c r="CL1" s="98">
        <v>89</v>
      </c>
      <c r="CM1" s="98">
        <v>90</v>
      </c>
      <c r="CN1" s="98">
        <v>91</v>
      </c>
      <c r="CO1" s="98">
        <v>92</v>
      </c>
      <c r="CP1" s="98">
        <v>93</v>
      </c>
      <c r="CQ1" s="98">
        <v>94</v>
      </c>
      <c r="CR1" s="98">
        <v>95</v>
      </c>
      <c r="CS1" s="98">
        <v>96</v>
      </c>
      <c r="CT1" s="98">
        <v>97</v>
      </c>
      <c r="CU1" s="98">
        <v>98</v>
      </c>
      <c r="CV1" s="98">
        <v>99</v>
      </c>
      <c r="CW1" s="98">
        <v>100</v>
      </c>
      <c r="CX1" s="98">
        <v>101</v>
      </c>
      <c r="CY1" s="98">
        <v>102</v>
      </c>
      <c r="CZ1" s="98">
        <v>103</v>
      </c>
      <c r="DA1" s="98">
        <v>104</v>
      </c>
      <c r="DB1" s="98">
        <v>105</v>
      </c>
      <c r="DC1" s="98">
        <v>106</v>
      </c>
      <c r="DD1" s="98">
        <v>107</v>
      </c>
      <c r="DE1" s="98">
        <v>108</v>
      </c>
      <c r="DF1" s="98">
        <v>109</v>
      </c>
      <c r="DG1" s="98">
        <v>110</v>
      </c>
      <c r="DH1" s="98">
        <v>111</v>
      </c>
      <c r="DI1" s="98">
        <v>112</v>
      </c>
      <c r="DJ1" s="98">
        <v>113</v>
      </c>
      <c r="DK1" s="98">
        <v>114</v>
      </c>
      <c r="DL1" s="98">
        <v>115</v>
      </c>
      <c r="DM1" s="98">
        <v>116</v>
      </c>
      <c r="DN1" s="98">
        <v>117</v>
      </c>
      <c r="DO1" s="98">
        <v>118</v>
      </c>
      <c r="DP1" s="98">
        <v>119</v>
      </c>
      <c r="DQ1" s="98">
        <v>120</v>
      </c>
      <c r="DR1" s="98">
        <v>121</v>
      </c>
      <c r="DS1" s="98">
        <v>122</v>
      </c>
      <c r="DT1" s="98">
        <v>123</v>
      </c>
      <c r="DU1" s="98">
        <v>124</v>
      </c>
      <c r="DV1" s="98">
        <v>125</v>
      </c>
      <c r="DW1" s="98">
        <v>126</v>
      </c>
      <c r="DX1" s="98">
        <v>127</v>
      </c>
      <c r="DY1" s="98">
        <v>128</v>
      </c>
      <c r="DZ1" s="98">
        <v>129</v>
      </c>
      <c r="EA1" s="98">
        <v>130</v>
      </c>
      <c r="EB1" s="98">
        <v>131</v>
      </c>
      <c r="EC1" s="98">
        <v>132</v>
      </c>
      <c r="ED1" s="98">
        <v>133</v>
      </c>
      <c r="EE1" s="98">
        <v>134</v>
      </c>
      <c r="EF1" s="98">
        <v>135</v>
      </c>
      <c r="EG1" s="98">
        <v>136</v>
      </c>
      <c r="EH1" s="98">
        <v>137</v>
      </c>
      <c r="EI1" s="98">
        <v>138</v>
      </c>
      <c r="EJ1" s="98">
        <v>139</v>
      </c>
      <c r="EK1" s="98">
        <v>140</v>
      </c>
      <c r="EL1" s="98">
        <v>141</v>
      </c>
      <c r="EM1" s="98">
        <v>142</v>
      </c>
      <c r="EN1" s="98">
        <v>143</v>
      </c>
      <c r="EO1" s="98">
        <v>144</v>
      </c>
      <c r="EP1" s="98">
        <v>145</v>
      </c>
      <c r="EQ1" s="98">
        <v>146</v>
      </c>
      <c r="ER1" s="98">
        <v>147</v>
      </c>
      <c r="ES1" s="98">
        <v>148</v>
      </c>
      <c r="ET1" s="98">
        <v>149</v>
      </c>
      <c r="EU1" s="98">
        <v>150</v>
      </c>
      <c r="EV1" s="98">
        <v>151</v>
      </c>
      <c r="EW1" s="98">
        <v>152</v>
      </c>
      <c r="EX1" s="98">
        <v>153</v>
      </c>
      <c r="EY1" s="98">
        <v>154</v>
      </c>
      <c r="EZ1" s="98">
        <v>155</v>
      </c>
      <c r="FA1" s="98">
        <v>156</v>
      </c>
      <c r="FB1" s="98">
        <v>157</v>
      </c>
      <c r="FC1" s="98">
        <v>158</v>
      </c>
      <c r="FD1" s="98">
        <v>159</v>
      </c>
      <c r="FE1" s="98">
        <v>160</v>
      </c>
      <c r="FF1" s="98">
        <v>161</v>
      </c>
      <c r="FG1" s="98">
        <v>162</v>
      </c>
      <c r="FH1" s="98">
        <v>163</v>
      </c>
      <c r="FI1" s="98">
        <v>164</v>
      </c>
      <c r="FJ1" s="98">
        <v>165</v>
      </c>
      <c r="FK1" s="98">
        <v>166</v>
      </c>
      <c r="FL1" s="98">
        <v>167</v>
      </c>
      <c r="FM1" s="98">
        <v>168</v>
      </c>
      <c r="FN1" s="98">
        <v>169</v>
      </c>
      <c r="FO1" s="98">
        <v>170</v>
      </c>
      <c r="FP1" s="98">
        <v>171</v>
      </c>
      <c r="FQ1" s="98">
        <v>172</v>
      </c>
      <c r="FR1" s="98">
        <v>173</v>
      </c>
      <c r="FS1" s="98">
        <v>174</v>
      </c>
      <c r="FT1" s="98">
        <v>175</v>
      </c>
      <c r="FU1" s="98">
        <v>176</v>
      </c>
      <c r="FV1" s="98">
        <v>177</v>
      </c>
      <c r="FW1" s="98">
        <v>178</v>
      </c>
      <c r="FX1" s="98">
        <v>179</v>
      </c>
      <c r="FY1" s="98">
        <v>180</v>
      </c>
      <c r="FZ1" s="98">
        <v>181</v>
      </c>
      <c r="GA1" s="98">
        <v>182</v>
      </c>
      <c r="GB1" s="98">
        <v>183</v>
      </c>
      <c r="GC1" s="98">
        <v>184</v>
      </c>
      <c r="GD1" s="98">
        <v>185</v>
      </c>
      <c r="GE1" s="98">
        <v>186</v>
      </c>
      <c r="GF1" s="98">
        <v>187</v>
      </c>
      <c r="GG1" s="98">
        <v>188</v>
      </c>
      <c r="GH1" s="98">
        <v>189</v>
      </c>
      <c r="GI1" s="98">
        <v>190</v>
      </c>
      <c r="GJ1" s="98">
        <v>191</v>
      </c>
      <c r="GK1" s="98">
        <v>192</v>
      </c>
      <c r="GL1" s="98">
        <v>193</v>
      </c>
      <c r="GM1" s="98">
        <v>194</v>
      </c>
      <c r="GN1" s="98">
        <v>195</v>
      </c>
      <c r="GO1" s="98">
        <v>196</v>
      </c>
      <c r="GP1" s="98">
        <v>197</v>
      </c>
      <c r="GQ1" s="98">
        <v>198</v>
      </c>
      <c r="GR1" s="98">
        <v>199</v>
      </c>
      <c r="GS1" s="98">
        <v>200</v>
      </c>
      <c r="GT1" s="98">
        <v>201</v>
      </c>
      <c r="GU1" s="98">
        <v>202</v>
      </c>
      <c r="GV1" s="98">
        <v>203</v>
      </c>
    </row>
    <row r="2" spans="2:232" x14ac:dyDescent="0.15">
      <c r="C2" s="131" t="s">
        <v>338</v>
      </c>
      <c r="D2" s="94"/>
      <c r="E2" s="131" t="s">
        <v>339</v>
      </c>
      <c r="F2" s="131" t="s">
        <v>340</v>
      </c>
      <c r="G2" s="94"/>
      <c r="H2" s="131" t="s">
        <v>341</v>
      </c>
      <c r="I2" s="131" t="s">
        <v>342</v>
      </c>
      <c r="J2" s="131" t="s">
        <v>343</v>
      </c>
      <c r="K2" s="131" t="s">
        <v>344</v>
      </c>
      <c r="L2" s="131" t="s">
        <v>345</v>
      </c>
      <c r="M2" s="131" t="s">
        <v>346</v>
      </c>
      <c r="N2" s="131" t="s">
        <v>347</v>
      </c>
      <c r="O2" s="131" t="s">
        <v>348</v>
      </c>
      <c r="P2" s="131" t="s">
        <v>349</v>
      </c>
      <c r="Q2" s="131" t="s">
        <v>350</v>
      </c>
      <c r="R2" s="131" t="s">
        <v>351</v>
      </c>
      <c r="S2" s="93" t="s">
        <v>352</v>
      </c>
      <c r="T2" s="95"/>
      <c r="U2" s="150" t="s">
        <v>353</v>
      </c>
      <c r="V2" s="150" t="s">
        <v>354</v>
      </c>
      <c r="W2" s="150" t="s">
        <v>355</v>
      </c>
      <c r="X2" s="150" t="s">
        <v>356</v>
      </c>
      <c r="Y2" s="150" t="s">
        <v>357</v>
      </c>
      <c r="Z2" s="150" t="s">
        <v>653</v>
      </c>
      <c r="AA2" s="150" t="s">
        <v>358</v>
      </c>
      <c r="AB2" s="150" t="s">
        <v>360</v>
      </c>
      <c r="AC2" s="150" t="s">
        <v>361</v>
      </c>
      <c r="AD2" s="150" t="s">
        <v>654</v>
      </c>
      <c r="AE2" s="150" t="s">
        <v>362</v>
      </c>
      <c r="AF2" s="150" t="s">
        <v>363</v>
      </c>
      <c r="AG2" s="150" t="s">
        <v>364</v>
      </c>
      <c r="AH2" s="150" t="s">
        <v>365</v>
      </c>
      <c r="AI2" s="150" t="s">
        <v>366</v>
      </c>
      <c r="AJ2" s="105"/>
      <c r="AK2" s="150" t="s">
        <v>367</v>
      </c>
      <c r="AL2" s="150" t="s">
        <v>368</v>
      </c>
      <c r="AM2" s="150" t="s">
        <v>369</v>
      </c>
      <c r="AN2" s="156"/>
      <c r="AO2" s="150" t="s">
        <v>370</v>
      </c>
      <c r="AP2" s="150" t="s">
        <v>371</v>
      </c>
      <c r="AQ2" s="96" t="s">
        <v>352</v>
      </c>
      <c r="AR2" s="150" t="s">
        <v>372</v>
      </c>
      <c r="AS2" s="150" t="s">
        <v>373</v>
      </c>
      <c r="AT2" s="150" t="s">
        <v>374</v>
      </c>
      <c r="AU2" s="148" t="s">
        <v>375</v>
      </c>
      <c r="AV2" s="131" t="s">
        <v>376</v>
      </c>
      <c r="AW2" s="131" t="s">
        <v>377</v>
      </c>
      <c r="AX2" s="131" t="s">
        <v>378</v>
      </c>
      <c r="AY2" s="131" t="s">
        <v>379</v>
      </c>
      <c r="AZ2" s="131" t="s">
        <v>380</v>
      </c>
      <c r="BA2" s="131" t="s">
        <v>381</v>
      </c>
      <c r="BB2" s="131" t="s">
        <v>382</v>
      </c>
      <c r="BC2" s="131" t="s">
        <v>383</v>
      </c>
      <c r="BD2" s="131" t="s">
        <v>384</v>
      </c>
      <c r="BE2" s="131" t="s">
        <v>385</v>
      </c>
      <c r="BF2" s="131" t="s">
        <v>386</v>
      </c>
      <c r="BG2" s="131" t="s">
        <v>387</v>
      </c>
      <c r="BH2" s="131" t="s">
        <v>388</v>
      </c>
      <c r="BI2" s="131" t="s">
        <v>389</v>
      </c>
      <c r="BJ2" s="131" t="s">
        <v>390</v>
      </c>
      <c r="BK2" s="131" t="s">
        <v>391</v>
      </c>
      <c r="BL2" s="131" t="s">
        <v>392</v>
      </c>
      <c r="BM2" s="131" t="s">
        <v>393</v>
      </c>
      <c r="BN2" s="131" t="s">
        <v>394</v>
      </c>
      <c r="BO2" s="131" t="s">
        <v>395</v>
      </c>
      <c r="BP2" s="131" t="s">
        <v>396</v>
      </c>
      <c r="BQ2" s="132"/>
      <c r="BR2" s="132"/>
      <c r="BS2" s="150" t="s">
        <v>655</v>
      </c>
      <c r="BT2" s="150" t="s">
        <v>656</v>
      </c>
      <c r="BU2" s="157" t="s">
        <v>657</v>
      </c>
      <c r="BV2" s="150" t="s">
        <v>658</v>
      </c>
      <c r="BW2" s="131" t="s">
        <v>401</v>
      </c>
      <c r="BX2" s="89"/>
      <c r="BY2" s="131" t="s">
        <v>402</v>
      </c>
      <c r="BZ2" s="131" t="s">
        <v>403</v>
      </c>
      <c r="CA2" s="131" t="s">
        <v>659</v>
      </c>
      <c r="CB2" s="131" t="s">
        <v>405</v>
      </c>
      <c r="CC2" s="131" t="s">
        <v>406</v>
      </c>
      <c r="CD2" s="131" t="s">
        <v>407</v>
      </c>
      <c r="CE2" s="131" t="s">
        <v>408</v>
      </c>
      <c r="CF2" s="131" t="s">
        <v>409</v>
      </c>
      <c r="CG2" s="131" t="s">
        <v>410</v>
      </c>
      <c r="CH2" s="131" t="s">
        <v>411</v>
      </c>
      <c r="CI2" s="131" t="s">
        <v>412</v>
      </c>
      <c r="CJ2" s="131" t="s">
        <v>413</v>
      </c>
      <c r="CK2" s="131" t="s">
        <v>414</v>
      </c>
      <c r="CL2" s="81"/>
      <c r="CM2" s="131" t="s">
        <v>415</v>
      </c>
      <c r="CN2" s="131" t="s">
        <v>416</v>
      </c>
      <c r="CO2" s="96" t="s">
        <v>417</v>
      </c>
      <c r="CP2" s="131" t="s">
        <v>418</v>
      </c>
      <c r="CQ2" s="131" t="s">
        <v>419</v>
      </c>
      <c r="CR2" s="131" t="s">
        <v>420</v>
      </c>
      <c r="CS2" s="131" t="s">
        <v>421</v>
      </c>
      <c r="CT2" s="131" t="s">
        <v>422</v>
      </c>
      <c r="CU2" s="131" t="s">
        <v>423</v>
      </c>
      <c r="CV2" s="28"/>
      <c r="CW2" s="131" t="s">
        <v>424</v>
      </c>
      <c r="CX2" s="131" t="s">
        <v>425</v>
      </c>
      <c r="CY2" s="89"/>
      <c r="CZ2" s="131" t="s">
        <v>426</v>
      </c>
      <c r="DA2" s="131" t="s">
        <v>427</v>
      </c>
      <c r="DB2" s="89"/>
      <c r="DC2" s="131" t="s">
        <v>428</v>
      </c>
      <c r="DD2" s="131" t="s">
        <v>429</v>
      </c>
      <c r="DE2" s="131" t="s">
        <v>430</v>
      </c>
      <c r="DF2" s="131" t="s">
        <v>431</v>
      </c>
      <c r="DG2" s="131" t="s">
        <v>432</v>
      </c>
      <c r="DH2" s="131" t="s">
        <v>433</v>
      </c>
      <c r="DI2" s="131" t="s">
        <v>434</v>
      </c>
      <c r="DJ2" s="131" t="s">
        <v>435</v>
      </c>
      <c r="DK2" s="131" t="s">
        <v>436</v>
      </c>
      <c r="DL2" s="131" t="s">
        <v>437</v>
      </c>
      <c r="DM2" s="131" t="s">
        <v>438</v>
      </c>
      <c r="DN2" s="131" t="s">
        <v>439</v>
      </c>
      <c r="DO2" s="131" t="s">
        <v>440</v>
      </c>
      <c r="DP2" s="131" t="s">
        <v>441</v>
      </c>
      <c r="DQ2" s="131" t="s">
        <v>442</v>
      </c>
      <c r="DR2" s="131" t="s">
        <v>443</v>
      </c>
      <c r="DS2" s="131" t="s">
        <v>444</v>
      </c>
      <c r="DT2" s="131" t="s">
        <v>445</v>
      </c>
      <c r="DU2" s="131" t="s">
        <v>446</v>
      </c>
      <c r="DV2" s="131" t="s">
        <v>447</v>
      </c>
      <c r="DW2" s="131" t="s">
        <v>448</v>
      </c>
      <c r="DX2" s="89"/>
      <c r="DY2" s="131" t="s">
        <v>449</v>
      </c>
      <c r="DZ2" s="133" t="s">
        <v>450</v>
      </c>
      <c r="EA2" s="131" t="s">
        <v>451</v>
      </c>
      <c r="EB2" s="131" t="s">
        <v>452</v>
      </c>
      <c r="EC2" s="96" t="s">
        <v>453</v>
      </c>
      <c r="ED2" s="131" t="s">
        <v>454</v>
      </c>
      <c r="EE2" s="131" t="s">
        <v>455</v>
      </c>
      <c r="EF2" s="131" t="s">
        <v>456</v>
      </c>
      <c r="EG2" s="89"/>
      <c r="EH2" s="131" t="s">
        <v>457</v>
      </c>
      <c r="EI2" s="131" t="s">
        <v>458</v>
      </c>
      <c r="EJ2" s="131" t="s">
        <v>459</v>
      </c>
      <c r="EK2" s="131" t="s">
        <v>460</v>
      </c>
      <c r="EL2" s="131" t="s">
        <v>461</v>
      </c>
      <c r="EM2" s="89"/>
      <c r="EN2" s="133" t="s">
        <v>462</v>
      </c>
      <c r="EO2" s="146" t="s">
        <v>463</v>
      </c>
      <c r="EP2" s="131" t="s">
        <v>464</v>
      </c>
      <c r="EQ2" s="131" t="s">
        <v>465</v>
      </c>
      <c r="ER2" s="89"/>
      <c r="ES2" s="131" t="s">
        <v>466</v>
      </c>
      <c r="ET2" s="131" t="s">
        <v>467</v>
      </c>
      <c r="EU2" s="131" t="s">
        <v>468</v>
      </c>
      <c r="EV2" s="131" t="s">
        <v>469</v>
      </c>
      <c r="EW2" s="131" t="s">
        <v>470</v>
      </c>
      <c r="EX2" s="131" t="s">
        <v>471</v>
      </c>
      <c r="EY2" s="28"/>
      <c r="EZ2" s="131" t="s">
        <v>472</v>
      </c>
      <c r="FA2" s="131" t="s">
        <v>473</v>
      </c>
      <c r="FB2" s="131" t="s">
        <v>474</v>
      </c>
      <c r="FC2" s="131" t="s">
        <v>475</v>
      </c>
      <c r="FD2" s="131" t="s">
        <v>476</v>
      </c>
      <c r="FE2" s="131" t="s">
        <v>477</v>
      </c>
      <c r="FF2" s="131" t="s">
        <v>478</v>
      </c>
      <c r="FG2" s="131" t="s">
        <v>479</v>
      </c>
      <c r="FH2" s="131" t="s">
        <v>480</v>
      </c>
      <c r="FI2" s="89"/>
      <c r="FJ2" s="131" t="s">
        <v>481</v>
      </c>
      <c r="FK2" s="89"/>
      <c r="FL2" s="134" t="s">
        <v>482</v>
      </c>
      <c r="FM2" s="135" t="s">
        <v>483</v>
      </c>
      <c r="FN2" s="135" t="s">
        <v>484</v>
      </c>
      <c r="FO2" s="135" t="s">
        <v>485</v>
      </c>
      <c r="FP2" s="147" t="s">
        <v>486</v>
      </c>
      <c r="FQ2" s="562" t="s">
        <v>487</v>
      </c>
      <c r="FR2" s="561"/>
      <c r="FS2" s="561"/>
      <c r="FT2" s="561"/>
      <c r="FU2" s="561"/>
      <c r="FV2" s="561"/>
      <c r="FW2" s="561"/>
      <c r="FX2" s="135" t="s">
        <v>488</v>
      </c>
      <c r="FY2" s="150" t="s">
        <v>489</v>
      </c>
      <c r="FZ2" s="89"/>
      <c r="GA2" s="131" t="s">
        <v>490</v>
      </c>
      <c r="GB2" s="131" t="s">
        <v>491</v>
      </c>
      <c r="GC2" s="131" t="s">
        <v>492</v>
      </c>
      <c r="GD2" s="131" t="s">
        <v>493</v>
      </c>
      <c r="GE2" s="96" t="s">
        <v>494</v>
      </c>
      <c r="GF2" s="171" t="s">
        <v>495</v>
      </c>
      <c r="GG2" s="89"/>
      <c r="GH2" s="560" t="s">
        <v>496</v>
      </c>
      <c r="GI2" s="561"/>
      <c r="GJ2" s="561"/>
      <c r="GK2" s="134" t="s">
        <v>497</v>
      </c>
      <c r="GL2" s="560" t="s">
        <v>498</v>
      </c>
      <c r="GM2" s="561"/>
      <c r="GN2" s="561"/>
      <c r="GO2" s="561"/>
      <c r="GP2" s="561"/>
      <c r="GQ2" s="561"/>
      <c r="GR2" s="561"/>
      <c r="GS2" s="561"/>
      <c r="GT2" s="561"/>
      <c r="GU2" s="561"/>
      <c r="GV2" s="561"/>
    </row>
    <row r="3" spans="2:232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79"/>
      <c r="V3" s="79"/>
      <c r="W3" s="79"/>
      <c r="X3" s="79"/>
      <c r="Y3" s="79"/>
      <c r="Z3" s="79"/>
      <c r="AA3" s="79"/>
      <c r="AB3" s="79"/>
      <c r="AC3" s="79"/>
      <c r="AD3" s="79" t="s">
        <v>499</v>
      </c>
      <c r="AE3" s="79" t="s">
        <v>160</v>
      </c>
      <c r="AF3" s="79"/>
      <c r="AG3" s="79"/>
      <c r="AH3" s="79" t="s">
        <v>500</v>
      </c>
      <c r="AI3" s="79" t="s">
        <v>164</v>
      </c>
      <c r="AJ3" s="79" t="s">
        <v>165</v>
      </c>
      <c r="AK3" s="79"/>
      <c r="AL3" s="79"/>
      <c r="AM3" s="79" t="s">
        <v>166</v>
      </c>
      <c r="AN3" s="79"/>
      <c r="AO3" s="79"/>
      <c r="AP3" s="79"/>
      <c r="AQ3" s="30"/>
      <c r="AR3" s="79"/>
      <c r="AS3" s="79"/>
      <c r="AT3" s="79"/>
      <c r="AU3" s="149" t="s">
        <v>501</v>
      </c>
      <c r="AV3" s="30" t="s">
        <v>172</v>
      </c>
      <c r="AW3" s="30"/>
      <c r="AX3" s="30"/>
      <c r="AY3" s="30"/>
      <c r="AZ3" s="30"/>
      <c r="BA3" s="30"/>
      <c r="BB3" s="30" t="s">
        <v>176</v>
      </c>
      <c r="BC3" s="30"/>
      <c r="BD3" s="30" t="s">
        <v>502</v>
      </c>
      <c r="BE3" s="30" t="s">
        <v>503</v>
      </c>
      <c r="BF3" s="30"/>
      <c r="BG3" s="30"/>
      <c r="BH3" s="30"/>
      <c r="BI3" s="30"/>
      <c r="BJ3" s="30" t="s">
        <v>504</v>
      </c>
      <c r="BK3" s="30"/>
      <c r="BL3" s="30" t="s">
        <v>505</v>
      </c>
      <c r="BM3" s="30"/>
      <c r="BN3" s="30"/>
      <c r="BO3" s="30"/>
      <c r="BP3" s="30" t="s">
        <v>307</v>
      </c>
      <c r="BQ3" s="30"/>
      <c r="BR3" s="30"/>
      <c r="BS3" s="79"/>
      <c r="BT3" s="79"/>
      <c r="BU3" s="79"/>
      <c r="BV3" s="79"/>
      <c r="BW3" s="30" t="s">
        <v>506</v>
      </c>
      <c r="BX3" s="89"/>
      <c r="BY3" s="30" t="s">
        <v>507</v>
      </c>
      <c r="BZ3" s="30"/>
      <c r="CA3" s="30"/>
      <c r="CB3" s="30"/>
      <c r="CC3" s="30" t="s">
        <v>508</v>
      </c>
      <c r="CD3" s="30"/>
      <c r="CE3" s="30"/>
      <c r="CF3" s="30"/>
      <c r="CG3" s="30"/>
      <c r="CH3" s="30"/>
      <c r="CI3" s="30"/>
      <c r="CJ3" s="30" t="s">
        <v>509</v>
      </c>
      <c r="CK3" s="30"/>
      <c r="CL3" s="82"/>
      <c r="CM3" s="30" t="s">
        <v>510</v>
      </c>
      <c r="CN3" s="30"/>
      <c r="CO3" s="30"/>
      <c r="CP3" s="30"/>
      <c r="CQ3" s="30" t="s">
        <v>214</v>
      </c>
      <c r="CR3" s="30" t="s">
        <v>215</v>
      </c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 t="s">
        <v>222</v>
      </c>
      <c r="DF3" s="30"/>
      <c r="DG3" s="30"/>
      <c r="DH3" s="30"/>
      <c r="DI3" s="30"/>
      <c r="DJ3" s="30" t="s">
        <v>227</v>
      </c>
      <c r="DK3" s="30" t="s">
        <v>311</v>
      </c>
      <c r="DL3" s="30"/>
      <c r="DM3" s="30"/>
      <c r="DN3" s="30"/>
      <c r="DO3" s="30" t="s">
        <v>232</v>
      </c>
      <c r="DP3" s="30"/>
      <c r="DQ3" s="30"/>
      <c r="DR3" s="30"/>
      <c r="DS3" s="30" t="s">
        <v>511</v>
      </c>
      <c r="DT3" s="30"/>
      <c r="DU3" s="30"/>
      <c r="DV3" s="30" t="s">
        <v>512</v>
      </c>
      <c r="DW3" s="30"/>
      <c r="DX3" s="30"/>
      <c r="DY3" s="30"/>
      <c r="DZ3" s="30"/>
      <c r="EA3" s="30"/>
      <c r="EB3" s="30"/>
      <c r="EC3" s="30"/>
      <c r="ED3" s="30"/>
      <c r="EE3" s="30" t="s">
        <v>513</v>
      </c>
      <c r="EF3" s="30" t="s">
        <v>514</v>
      </c>
      <c r="EG3" s="89"/>
      <c r="EH3" s="30" t="s">
        <v>515</v>
      </c>
      <c r="EI3" s="30" t="s">
        <v>516</v>
      </c>
      <c r="EJ3" s="30" t="s">
        <v>517</v>
      </c>
      <c r="EK3" s="30" t="s">
        <v>518</v>
      </c>
      <c r="EL3" s="30" t="s">
        <v>250</v>
      </c>
      <c r="EM3" s="89"/>
      <c r="EN3" s="30" t="s">
        <v>259</v>
      </c>
      <c r="EO3" s="30" t="s">
        <v>519</v>
      </c>
      <c r="EP3" s="30" t="s">
        <v>503</v>
      </c>
      <c r="EQ3" s="30" t="s">
        <v>176</v>
      </c>
      <c r="ER3" s="30" t="s">
        <v>520</v>
      </c>
      <c r="ES3" s="30" t="s">
        <v>506</v>
      </c>
      <c r="ET3" s="30" t="s">
        <v>521</v>
      </c>
      <c r="EU3" s="30" t="s">
        <v>507</v>
      </c>
      <c r="EV3" s="30" t="s">
        <v>522</v>
      </c>
      <c r="EW3" s="30" t="s">
        <v>508</v>
      </c>
      <c r="EX3" s="30" t="s">
        <v>509</v>
      </c>
      <c r="EY3" s="30" t="s">
        <v>279</v>
      </c>
      <c r="EZ3" s="30" t="s">
        <v>304</v>
      </c>
      <c r="FA3" s="30"/>
      <c r="FB3" s="30"/>
      <c r="FC3" s="30" t="s">
        <v>523</v>
      </c>
      <c r="FD3" s="30" t="s">
        <v>524</v>
      </c>
      <c r="FE3" s="30" t="s">
        <v>510</v>
      </c>
      <c r="FF3" s="30" t="s">
        <v>215</v>
      </c>
      <c r="FG3" s="30" t="s">
        <v>525</v>
      </c>
      <c r="FH3" s="30" t="s">
        <v>512</v>
      </c>
      <c r="FI3" s="30" t="s">
        <v>520</v>
      </c>
      <c r="FJ3" s="30" t="s">
        <v>514</v>
      </c>
      <c r="FK3" s="30" t="s">
        <v>517</v>
      </c>
      <c r="FL3" s="30" t="s">
        <v>526</v>
      </c>
      <c r="FM3" s="30" t="s">
        <v>527</v>
      </c>
      <c r="FN3" s="30" t="s">
        <v>290</v>
      </c>
      <c r="FO3" s="30" t="s">
        <v>291</v>
      </c>
      <c r="FP3" s="30" t="s">
        <v>293</v>
      </c>
      <c r="FQ3" s="30" t="s">
        <v>528</v>
      </c>
      <c r="FR3" s="89"/>
      <c r="FS3" s="89"/>
      <c r="FT3" s="89"/>
      <c r="FU3" s="89"/>
      <c r="FV3" s="89"/>
      <c r="FW3" s="89"/>
      <c r="FX3" s="30" t="s">
        <v>529</v>
      </c>
      <c r="FY3" s="79" t="s">
        <v>308</v>
      </c>
      <c r="FZ3" s="30" t="s">
        <v>530</v>
      </c>
      <c r="GA3" s="30" t="s">
        <v>312</v>
      </c>
      <c r="GB3" s="89"/>
      <c r="GC3" s="89"/>
      <c r="GD3" s="89"/>
      <c r="GE3" s="89"/>
      <c r="GF3" s="30" t="s">
        <v>531</v>
      </c>
      <c r="GG3" s="30" t="s">
        <v>530</v>
      </c>
      <c r="GH3" s="30" t="s">
        <v>532</v>
      </c>
      <c r="GI3" s="89"/>
      <c r="GJ3" s="89"/>
      <c r="GK3" s="30" t="s">
        <v>533</v>
      </c>
      <c r="GL3" s="89" t="s">
        <v>534</v>
      </c>
      <c r="GO3" s="89" t="s">
        <v>535</v>
      </c>
      <c r="GR3" s="89" t="s">
        <v>529</v>
      </c>
      <c r="GU3" s="89" t="s">
        <v>536</v>
      </c>
    </row>
    <row r="4" spans="2:232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79" t="s">
        <v>542</v>
      </c>
      <c r="V4" s="79" t="s">
        <v>543</v>
      </c>
      <c r="W4" s="79" t="s">
        <v>544</v>
      </c>
      <c r="X4" s="79" t="s">
        <v>545</v>
      </c>
      <c r="Y4" s="79" t="s">
        <v>546</v>
      </c>
      <c r="Z4" s="79" t="s">
        <v>660</v>
      </c>
      <c r="AA4" s="79" t="s">
        <v>661</v>
      </c>
      <c r="AB4" s="79" t="s">
        <v>548</v>
      </c>
      <c r="AC4" s="79" t="s">
        <v>549</v>
      </c>
      <c r="AD4" s="79"/>
      <c r="AE4" s="79"/>
      <c r="AF4" s="79" t="s">
        <v>161</v>
      </c>
      <c r="AG4" s="79" t="s">
        <v>162</v>
      </c>
      <c r="AH4" s="79" t="s">
        <v>550</v>
      </c>
      <c r="AI4" s="79"/>
      <c r="AJ4" s="79"/>
      <c r="AK4" s="79" t="s">
        <v>551</v>
      </c>
      <c r="AL4" s="79" t="s">
        <v>552</v>
      </c>
      <c r="AM4" s="79"/>
      <c r="AN4" s="79" t="s">
        <v>553</v>
      </c>
      <c r="AO4" s="79"/>
      <c r="AP4" s="79"/>
      <c r="AQ4" s="30"/>
      <c r="AR4" s="79" t="s">
        <v>554</v>
      </c>
      <c r="AS4" s="79" t="s">
        <v>222</v>
      </c>
      <c r="AT4" s="79" t="s">
        <v>227</v>
      </c>
      <c r="AU4" s="149" t="s">
        <v>555</v>
      </c>
      <c r="AV4" s="30"/>
      <c r="AW4" s="31" t="s">
        <v>173</v>
      </c>
      <c r="AX4" s="30"/>
      <c r="AY4" s="30"/>
      <c r="AZ4" s="30" t="s">
        <v>175</v>
      </c>
      <c r="BA4" s="30"/>
      <c r="BB4" s="30"/>
      <c r="BC4" s="30" t="s">
        <v>556</v>
      </c>
      <c r="BD4" s="30"/>
      <c r="BE4" s="30"/>
      <c r="BF4" s="30" t="s">
        <v>557</v>
      </c>
      <c r="BG4" s="30" t="s">
        <v>558</v>
      </c>
      <c r="BH4" s="30" t="s">
        <v>559</v>
      </c>
      <c r="BI4" s="30" t="s">
        <v>560</v>
      </c>
      <c r="BJ4" s="30"/>
      <c r="BK4" s="30" t="s">
        <v>561</v>
      </c>
      <c r="BL4" s="30"/>
      <c r="BM4" s="30" t="s">
        <v>562</v>
      </c>
      <c r="BN4" s="30" t="s">
        <v>563</v>
      </c>
      <c r="BO4" s="30" t="s">
        <v>564</v>
      </c>
      <c r="BP4" s="30"/>
      <c r="BQ4" s="30" t="s">
        <v>191</v>
      </c>
      <c r="BR4" s="30" t="s">
        <v>273</v>
      </c>
      <c r="BS4" s="79"/>
      <c r="BT4" s="79" t="s">
        <v>565</v>
      </c>
      <c r="BU4" s="151"/>
      <c r="BV4" s="79" t="s">
        <v>193</v>
      </c>
      <c r="BW4" s="30"/>
      <c r="BX4" s="89"/>
      <c r="BY4" s="30"/>
      <c r="BZ4" s="30" t="s">
        <v>522</v>
      </c>
      <c r="CA4" s="30" t="s">
        <v>566</v>
      </c>
      <c r="CB4" s="30" t="s">
        <v>567</v>
      </c>
      <c r="CC4" s="30"/>
      <c r="CD4" s="30" t="s">
        <v>568</v>
      </c>
      <c r="CE4" s="30" t="s">
        <v>569</v>
      </c>
      <c r="CF4" s="30" t="s">
        <v>570</v>
      </c>
      <c r="CG4" s="30" t="s">
        <v>571</v>
      </c>
      <c r="CH4" s="30" t="s">
        <v>572</v>
      </c>
      <c r="CI4" s="30" t="s">
        <v>573</v>
      </c>
      <c r="CJ4" s="30"/>
      <c r="CK4" s="30" t="s">
        <v>574</v>
      </c>
      <c r="CL4" s="82" t="s">
        <v>575</v>
      </c>
      <c r="CM4" s="30"/>
      <c r="CN4" s="30" t="s">
        <v>576</v>
      </c>
      <c r="CO4" s="30" t="s">
        <v>577</v>
      </c>
      <c r="CP4" s="30" t="s">
        <v>578</v>
      </c>
      <c r="CQ4" s="30"/>
      <c r="CR4" s="30"/>
      <c r="CS4" s="30" t="s">
        <v>579</v>
      </c>
      <c r="CT4" s="30" t="s">
        <v>580</v>
      </c>
      <c r="CU4" s="30"/>
      <c r="CV4" s="30" t="s">
        <v>581</v>
      </c>
      <c r="CW4" s="30"/>
      <c r="CX4" s="30"/>
      <c r="CY4" s="30"/>
      <c r="CZ4" s="30"/>
      <c r="DA4" s="30"/>
      <c r="DB4" s="30"/>
      <c r="DC4" s="30"/>
      <c r="DD4" s="30"/>
      <c r="DE4" s="30"/>
      <c r="DF4" s="30" t="s">
        <v>582</v>
      </c>
      <c r="DG4" s="30" t="s">
        <v>583</v>
      </c>
      <c r="DH4" s="30" t="s">
        <v>584</v>
      </c>
      <c r="DI4" s="30" t="s">
        <v>585</v>
      </c>
      <c r="DJ4" s="30"/>
      <c r="DK4" s="30"/>
      <c r="DL4" s="30" t="s">
        <v>313</v>
      </c>
      <c r="DM4" s="30" t="s">
        <v>558</v>
      </c>
      <c r="DN4" s="30" t="s">
        <v>315</v>
      </c>
      <c r="DO4" s="30"/>
      <c r="DP4" s="30" t="s">
        <v>586</v>
      </c>
      <c r="DQ4" s="30"/>
      <c r="DR4" s="30"/>
      <c r="DS4" s="30"/>
      <c r="DT4" s="30" t="s">
        <v>586</v>
      </c>
      <c r="DU4" s="30"/>
      <c r="DV4" s="30"/>
      <c r="DW4" s="30" t="s">
        <v>587</v>
      </c>
      <c r="DX4" s="30" t="s">
        <v>588</v>
      </c>
      <c r="DY4" s="30"/>
      <c r="DZ4" s="30" t="s">
        <v>589</v>
      </c>
      <c r="EA4" s="30" t="s">
        <v>590</v>
      </c>
      <c r="EB4" s="30" t="s">
        <v>591</v>
      </c>
      <c r="EC4" s="30" t="s">
        <v>592</v>
      </c>
      <c r="ED4" s="30" t="s">
        <v>593</v>
      </c>
      <c r="EE4" s="30"/>
      <c r="EF4" s="30"/>
      <c r="EG4" s="89"/>
      <c r="EH4" s="89"/>
      <c r="EI4" s="89"/>
      <c r="EJ4" s="89"/>
      <c r="EK4" s="89"/>
      <c r="EL4" s="89"/>
      <c r="EM4" s="89"/>
      <c r="EN4" s="29"/>
      <c r="EO4" s="145" t="s">
        <v>662</v>
      </c>
      <c r="EP4" s="30"/>
      <c r="EQ4" s="30"/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595</v>
      </c>
      <c r="EZ4" s="30" t="s">
        <v>595</v>
      </c>
      <c r="FA4" s="30" t="s">
        <v>223</v>
      </c>
      <c r="FB4" s="30" t="s">
        <v>224</v>
      </c>
      <c r="FC4" s="30"/>
      <c r="FD4" s="30"/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595</v>
      </c>
      <c r="FJ4" s="30" t="s">
        <v>595</v>
      </c>
      <c r="FK4" s="30" t="s">
        <v>596</v>
      </c>
      <c r="FL4" s="30" t="s">
        <v>597</v>
      </c>
      <c r="FM4" s="30" t="s">
        <v>598</v>
      </c>
      <c r="FN4" s="30" t="s">
        <v>599</v>
      </c>
      <c r="FO4" s="30" t="s">
        <v>599</v>
      </c>
      <c r="FP4" s="30" t="s">
        <v>600</v>
      </c>
      <c r="FQ4" s="30" t="s">
        <v>596</v>
      </c>
      <c r="FR4" s="30" t="s">
        <v>507</v>
      </c>
      <c r="FS4" s="30" t="s">
        <v>508</v>
      </c>
      <c r="FT4" s="30" t="s">
        <v>509</v>
      </c>
      <c r="FU4" s="30" t="s">
        <v>510</v>
      </c>
      <c r="FV4" s="30" t="s">
        <v>215</v>
      </c>
      <c r="FW4" s="30" t="s">
        <v>512</v>
      </c>
      <c r="FX4" s="30" t="s">
        <v>596</v>
      </c>
      <c r="FY4" s="89"/>
      <c r="FZ4" s="30" t="s">
        <v>601</v>
      </c>
      <c r="GA4" s="89"/>
      <c r="GB4" s="30" t="s">
        <v>313</v>
      </c>
      <c r="GC4" s="30" t="s">
        <v>558</v>
      </c>
      <c r="GD4" s="30" t="s">
        <v>315</v>
      </c>
      <c r="GE4" s="30" t="s">
        <v>602</v>
      </c>
      <c r="GF4" s="30" t="s">
        <v>603</v>
      </c>
      <c r="GG4" s="30" t="s">
        <v>601</v>
      </c>
      <c r="GH4" s="30" t="s">
        <v>604</v>
      </c>
      <c r="GI4" s="30" t="s">
        <v>605</v>
      </c>
      <c r="GJ4" s="30" t="s">
        <v>606</v>
      </c>
      <c r="GK4" s="79" t="s">
        <v>663</v>
      </c>
      <c r="GL4" s="30" t="s">
        <v>608</v>
      </c>
      <c r="GM4" s="89" t="s">
        <v>609</v>
      </c>
      <c r="GN4" s="89" t="s">
        <v>610</v>
      </c>
      <c r="GO4" s="89" t="s">
        <v>608</v>
      </c>
      <c r="GP4" s="89" t="s">
        <v>609</v>
      </c>
      <c r="GQ4" s="89" t="s">
        <v>610</v>
      </c>
      <c r="GR4" s="89" t="s">
        <v>596</v>
      </c>
      <c r="GS4" s="89" t="s">
        <v>609</v>
      </c>
      <c r="GT4" s="89" t="s">
        <v>610</v>
      </c>
      <c r="GU4" s="89" t="s">
        <v>611</v>
      </c>
      <c r="GV4" s="89" t="s">
        <v>609</v>
      </c>
    </row>
    <row r="5" spans="2:232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79"/>
      <c r="V5" s="79"/>
      <c r="W5" s="79"/>
      <c r="X5" s="79"/>
      <c r="Y5" s="79"/>
      <c r="Z5" s="79"/>
      <c r="AA5" s="79"/>
      <c r="AB5" s="79" t="s">
        <v>617</v>
      </c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 t="s">
        <v>571</v>
      </c>
      <c r="AP5" s="79" t="s">
        <v>618</v>
      </c>
      <c r="AQ5" s="30" t="s">
        <v>619</v>
      </c>
      <c r="AR5" s="79" t="s">
        <v>620</v>
      </c>
      <c r="AS5" s="79"/>
      <c r="AT5" s="79"/>
      <c r="AU5" s="149" t="s">
        <v>621</v>
      </c>
      <c r="AV5" s="30"/>
      <c r="AW5" s="30"/>
      <c r="AX5" s="30" t="s">
        <v>622</v>
      </c>
      <c r="AY5" s="30" t="s">
        <v>222</v>
      </c>
      <c r="AZ5" s="30"/>
      <c r="BA5" s="30" t="s">
        <v>222</v>
      </c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79" t="s">
        <v>623</v>
      </c>
      <c r="BT5" s="152" t="s">
        <v>624</v>
      </c>
      <c r="BU5" s="30" t="s">
        <v>625</v>
      </c>
      <c r="BV5" s="79"/>
      <c r="BW5" s="30"/>
      <c r="BX5" s="89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82"/>
      <c r="CM5" s="30"/>
      <c r="CN5" s="30"/>
      <c r="CO5" s="30"/>
      <c r="CP5" s="30"/>
      <c r="CQ5" s="30"/>
      <c r="CR5" s="30"/>
      <c r="CS5" s="30"/>
      <c r="CT5" s="30"/>
      <c r="CU5" s="30" t="s">
        <v>626</v>
      </c>
      <c r="CV5" s="30"/>
      <c r="CW5" s="30" t="s">
        <v>627</v>
      </c>
      <c r="CX5" s="30" t="s">
        <v>628</v>
      </c>
      <c r="CY5" s="30" t="s">
        <v>629</v>
      </c>
      <c r="CZ5" s="30" t="s">
        <v>630</v>
      </c>
      <c r="DA5" s="30" t="s">
        <v>631</v>
      </c>
      <c r="DB5" s="30" t="s">
        <v>587</v>
      </c>
      <c r="DC5" s="30" t="s">
        <v>632</v>
      </c>
      <c r="DD5" s="30" t="s">
        <v>633</v>
      </c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 t="s">
        <v>634</v>
      </c>
      <c r="DR5" s="30" t="s">
        <v>629</v>
      </c>
      <c r="DS5" s="30"/>
      <c r="DT5" s="30"/>
      <c r="DU5" s="30" t="s">
        <v>629</v>
      </c>
      <c r="DV5" s="30"/>
      <c r="DW5" s="30"/>
      <c r="DX5" s="30"/>
      <c r="DY5" s="30" t="s">
        <v>635</v>
      </c>
      <c r="DZ5" s="48"/>
      <c r="EA5" s="30"/>
      <c r="EB5" s="30"/>
      <c r="EC5" s="30" t="s">
        <v>636</v>
      </c>
      <c r="ED5" s="30"/>
      <c r="EE5" s="30"/>
      <c r="EF5" s="30"/>
      <c r="EG5" s="89"/>
      <c r="EH5" s="89"/>
      <c r="EI5" s="89"/>
      <c r="EJ5" s="89"/>
      <c r="EK5" s="89"/>
      <c r="EL5" s="89"/>
      <c r="EM5" s="89"/>
      <c r="EN5" s="89"/>
      <c r="EO5" s="89" t="s">
        <v>637</v>
      </c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30" t="s">
        <v>595</v>
      </c>
      <c r="FB5" s="30" t="s">
        <v>595</v>
      </c>
      <c r="FC5" s="89"/>
      <c r="FD5" s="89"/>
      <c r="FE5" s="89"/>
      <c r="FF5" s="89"/>
      <c r="FG5" s="89"/>
      <c r="FH5" s="89"/>
      <c r="FI5" s="89"/>
      <c r="FJ5" s="89"/>
      <c r="FK5" s="89" t="s">
        <v>638</v>
      </c>
      <c r="FL5" s="89"/>
      <c r="FM5" s="30" t="s">
        <v>639</v>
      </c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30" t="s">
        <v>600</v>
      </c>
      <c r="FY5" s="89"/>
      <c r="FZ5" s="89" t="s">
        <v>638</v>
      </c>
      <c r="GA5" s="89"/>
      <c r="GB5" s="89"/>
      <c r="GC5" s="89"/>
      <c r="GD5" s="89"/>
      <c r="GE5" s="30" t="s">
        <v>640</v>
      </c>
      <c r="GF5" s="89"/>
      <c r="GG5" s="89" t="s">
        <v>641</v>
      </c>
      <c r="GH5" s="70"/>
      <c r="GI5" s="89"/>
      <c r="GJ5" s="89"/>
      <c r="GK5" s="89" t="s">
        <v>642</v>
      </c>
      <c r="GL5" s="89"/>
      <c r="GM5" s="43" t="s">
        <v>643</v>
      </c>
      <c r="GN5" s="30" t="s">
        <v>644</v>
      </c>
      <c r="GO5" s="89"/>
      <c r="GP5" s="43" t="s">
        <v>643</v>
      </c>
      <c r="GQ5" s="30" t="s">
        <v>644</v>
      </c>
      <c r="GR5" s="89"/>
      <c r="GS5" s="43" t="s">
        <v>643</v>
      </c>
      <c r="GT5" s="30" t="s">
        <v>644</v>
      </c>
      <c r="GV5" s="30" t="s">
        <v>643</v>
      </c>
      <c r="GX5" s="89" t="s">
        <v>645</v>
      </c>
    </row>
    <row r="6" spans="2:232" s="89" customFormat="1" x14ac:dyDescent="0.15">
      <c r="B6" s="106" t="s">
        <v>1</v>
      </c>
      <c r="C6" s="141">
        <v>804353305</v>
      </c>
      <c r="D6" s="73">
        <f t="shared" ref="D6:D52" si="0">E6+F6</f>
        <v>235961054</v>
      </c>
      <c r="E6" s="141">
        <v>4754248</v>
      </c>
      <c r="F6" s="141">
        <v>231206806</v>
      </c>
      <c r="G6" s="73">
        <f t="shared" ref="G6:G52" si="1">H6+I6</f>
        <v>115335589</v>
      </c>
      <c r="H6" s="141">
        <v>19969917</v>
      </c>
      <c r="I6" s="141">
        <v>95365672</v>
      </c>
      <c r="J6" s="141">
        <v>324853144</v>
      </c>
      <c r="K6" s="141">
        <v>128254686</v>
      </c>
      <c r="L6" s="141">
        <v>153625320</v>
      </c>
      <c r="M6" s="141">
        <v>42732638</v>
      </c>
      <c r="N6" s="141">
        <v>31156171</v>
      </c>
      <c r="O6" s="141">
        <v>65564303</v>
      </c>
      <c r="P6" s="141">
        <v>31852791</v>
      </c>
      <c r="Q6" s="141">
        <v>33711512</v>
      </c>
      <c r="R6" s="141">
        <v>6112177</v>
      </c>
      <c r="S6" s="74"/>
      <c r="T6" s="73">
        <f t="shared" ref="T6:T38" si="2">SUM(U6:AC6)</f>
        <v>103176490</v>
      </c>
      <c r="U6" s="141">
        <v>385433</v>
      </c>
      <c r="V6" s="141">
        <v>3866608</v>
      </c>
      <c r="W6" s="141">
        <v>4177968</v>
      </c>
      <c r="X6" s="141">
        <v>76443742</v>
      </c>
      <c r="Y6" s="141">
        <v>0</v>
      </c>
      <c r="Z6" s="141">
        <v>0</v>
      </c>
      <c r="AA6" s="141">
        <v>85123</v>
      </c>
      <c r="AB6" s="141">
        <v>2161176</v>
      </c>
      <c r="AC6" s="141">
        <v>16056440</v>
      </c>
      <c r="AD6" s="141">
        <v>3009529</v>
      </c>
      <c r="AE6" s="141">
        <v>45700755</v>
      </c>
      <c r="AF6" s="141">
        <v>44317216</v>
      </c>
      <c r="AG6" s="141">
        <v>1383443</v>
      </c>
      <c r="AH6" s="141">
        <v>652011</v>
      </c>
      <c r="AI6" s="141">
        <v>5450321</v>
      </c>
      <c r="AJ6" s="73">
        <f t="shared" ref="AJ6:AJ38" si="3">AK6+AL6</f>
        <v>67972876</v>
      </c>
      <c r="AK6" s="141">
        <v>60158610</v>
      </c>
      <c r="AL6" s="141">
        <v>7814266</v>
      </c>
      <c r="AM6" s="141">
        <v>554971775</v>
      </c>
      <c r="AN6" s="73">
        <f t="shared" ref="AN6:AN38" si="4">SUM(AO6:AR6)</f>
        <v>335927528</v>
      </c>
      <c r="AO6" s="141">
        <v>198593375</v>
      </c>
      <c r="AP6" s="141">
        <v>64760153</v>
      </c>
      <c r="AQ6" s="74"/>
      <c r="AR6" s="141">
        <v>72574000</v>
      </c>
      <c r="AS6" s="141">
        <v>25587155</v>
      </c>
      <c r="AT6" s="141">
        <v>0</v>
      </c>
      <c r="AU6" s="141">
        <v>0</v>
      </c>
      <c r="AV6" s="141">
        <v>103218411</v>
      </c>
      <c r="AW6" s="141">
        <v>72675604</v>
      </c>
      <c r="AX6" s="141">
        <v>0</v>
      </c>
      <c r="AY6" s="141">
        <v>1173159</v>
      </c>
      <c r="AZ6" s="141">
        <v>30542807</v>
      </c>
      <c r="BA6" s="141">
        <v>421673</v>
      </c>
      <c r="BB6" s="141">
        <v>51895886</v>
      </c>
      <c r="BC6" s="141">
        <v>32919227</v>
      </c>
      <c r="BD6" s="141">
        <v>1433894</v>
      </c>
      <c r="BE6" s="141">
        <v>7401890</v>
      </c>
      <c r="BF6" s="141">
        <v>3036771</v>
      </c>
      <c r="BG6" s="141">
        <v>0</v>
      </c>
      <c r="BH6" s="141">
        <v>1759189</v>
      </c>
      <c r="BI6" s="141">
        <v>0</v>
      </c>
      <c r="BJ6" s="141">
        <v>31498047</v>
      </c>
      <c r="BK6" s="141">
        <v>25772960</v>
      </c>
      <c r="BL6" s="141">
        <v>63634923</v>
      </c>
      <c r="BM6" s="141">
        <v>6452342</v>
      </c>
      <c r="BN6" s="141">
        <v>307602</v>
      </c>
      <c r="BO6" s="141">
        <v>10258772</v>
      </c>
      <c r="BP6" s="141">
        <v>112032500</v>
      </c>
      <c r="BQ6" s="73">
        <f t="shared" ref="BQ6:BQ52" si="5">BP6-BR6-BV6</f>
        <v>103558500</v>
      </c>
      <c r="BR6" s="73">
        <f t="shared" ref="BR6:BR52" si="6">BS6+BT6+BU6</f>
        <v>8474000</v>
      </c>
      <c r="BS6" s="141">
        <v>0</v>
      </c>
      <c r="BT6" s="140">
        <v>0</v>
      </c>
      <c r="BU6" s="141">
        <v>8474000</v>
      </c>
      <c r="BV6" s="141">
        <v>0</v>
      </c>
      <c r="BW6" s="141">
        <v>1975047180</v>
      </c>
      <c r="BX6" s="71"/>
      <c r="BY6" s="141">
        <v>297405165</v>
      </c>
      <c r="BZ6" s="141">
        <v>224139218</v>
      </c>
      <c r="CA6" s="141">
        <v>8973545</v>
      </c>
      <c r="CB6" s="141">
        <v>16234190</v>
      </c>
      <c r="CC6" s="141">
        <v>699880718</v>
      </c>
      <c r="CD6" s="141">
        <v>206253764</v>
      </c>
      <c r="CE6" s="141">
        <v>2621260</v>
      </c>
      <c r="CF6" s="141">
        <v>193102765</v>
      </c>
      <c r="CG6" s="141">
        <v>265668756</v>
      </c>
      <c r="CH6" s="141">
        <v>17122397</v>
      </c>
      <c r="CI6" s="141">
        <v>15111776</v>
      </c>
      <c r="CJ6" s="141">
        <v>227222096</v>
      </c>
      <c r="CK6" s="141">
        <v>213227229</v>
      </c>
      <c r="CL6" s="83">
        <f t="shared" ref="CL6:CL38" si="7">IF(CK6="","",CJ6-CK6)</f>
        <v>13994867</v>
      </c>
      <c r="CM6" s="141">
        <v>155694900</v>
      </c>
      <c r="CN6" s="141">
        <v>108720596</v>
      </c>
      <c r="CO6" s="102"/>
      <c r="CP6" s="141">
        <v>25580318</v>
      </c>
      <c r="CQ6" s="141">
        <v>24988262</v>
      </c>
      <c r="CR6" s="141">
        <v>152857811</v>
      </c>
      <c r="CS6" s="141">
        <v>8547492</v>
      </c>
      <c r="CT6" s="141">
        <v>69488919</v>
      </c>
      <c r="CU6" s="141">
        <v>56048147</v>
      </c>
      <c r="CV6" s="73">
        <f t="shared" ref="CV6:CV52" si="8">CW6+CX6</f>
        <v>28789257</v>
      </c>
      <c r="CW6" s="141">
        <v>359176</v>
      </c>
      <c r="CX6" s="141">
        <v>28430081</v>
      </c>
      <c r="CY6" s="73">
        <f t="shared" ref="CY6:CY52" si="9">CZ6+DA6</f>
        <v>0</v>
      </c>
      <c r="CZ6" s="141">
        <v>0</v>
      </c>
      <c r="DA6" s="141">
        <v>0</v>
      </c>
      <c r="DB6" s="73">
        <f t="shared" ref="DB6:DB52" si="10">DC6+DD6</f>
        <v>24043082</v>
      </c>
      <c r="DC6" s="141">
        <v>0</v>
      </c>
      <c r="DD6" s="141">
        <v>24043082</v>
      </c>
      <c r="DE6" s="141">
        <v>229548583</v>
      </c>
      <c r="DF6" s="141">
        <v>117627470</v>
      </c>
      <c r="DG6" s="141">
        <v>109253338</v>
      </c>
      <c r="DH6" s="141">
        <v>0</v>
      </c>
      <c r="DI6" s="141">
        <v>293624</v>
      </c>
      <c r="DJ6" s="141">
        <v>42900</v>
      </c>
      <c r="DK6" s="141">
        <v>28221870</v>
      </c>
      <c r="DL6" s="141">
        <v>26603637</v>
      </c>
      <c r="DM6" s="141">
        <v>0</v>
      </c>
      <c r="DN6" s="141">
        <v>1618233</v>
      </c>
      <c r="DO6" s="141">
        <v>2031008</v>
      </c>
      <c r="DP6" s="141">
        <v>604408</v>
      </c>
      <c r="DQ6" s="141">
        <v>0</v>
      </c>
      <c r="DR6" s="141">
        <v>0</v>
      </c>
      <c r="DS6" s="141">
        <v>2919094</v>
      </c>
      <c r="DT6" s="141">
        <v>0</v>
      </c>
      <c r="DU6" s="141">
        <v>0</v>
      </c>
      <c r="DV6" s="141">
        <v>130538612</v>
      </c>
      <c r="DW6" s="141">
        <v>0</v>
      </c>
      <c r="DX6" s="73">
        <f t="shared" ref="DX6:DX52" si="11">DY6</f>
        <v>2551932</v>
      </c>
      <c r="DY6" s="141">
        <v>2551932</v>
      </c>
      <c r="DZ6" s="141">
        <v>40191295</v>
      </c>
      <c r="EA6" s="141">
        <v>0</v>
      </c>
      <c r="EB6" s="141">
        <v>35761627</v>
      </c>
      <c r="EC6" s="74"/>
      <c r="ED6" s="141">
        <v>50651434</v>
      </c>
      <c r="EE6" s="141">
        <v>0</v>
      </c>
      <c r="EF6" s="141">
        <v>1951351019</v>
      </c>
      <c r="EG6" s="71"/>
      <c r="EH6" s="141">
        <v>23696161</v>
      </c>
      <c r="EI6" s="141">
        <v>7263502</v>
      </c>
      <c r="EJ6" s="141">
        <v>16432659</v>
      </c>
      <c r="EK6" s="141">
        <v>-9340301</v>
      </c>
      <c r="EL6" s="141">
        <v>14226565</v>
      </c>
      <c r="EM6" s="71"/>
      <c r="EN6" s="141">
        <v>2752412</v>
      </c>
      <c r="EO6" s="141">
        <v>2757642</v>
      </c>
      <c r="EP6" s="141">
        <v>3036771</v>
      </c>
      <c r="EQ6" s="141">
        <v>40520411</v>
      </c>
      <c r="ER6" s="73">
        <f t="shared" ref="ER6:ER52" si="12">ES6-ET6-C6-R6-T6-AD6-AE6-BR6-EP6-EQ6</f>
        <v>144090238</v>
      </c>
      <c r="ES6" s="141">
        <v>975536657</v>
      </c>
      <c r="ET6" s="141">
        <v>-182937019</v>
      </c>
      <c r="EU6" s="141">
        <v>245144168</v>
      </c>
      <c r="EV6" s="141">
        <v>184759060</v>
      </c>
      <c r="EW6" s="141">
        <v>241860913</v>
      </c>
      <c r="EX6" s="141">
        <v>204006463</v>
      </c>
      <c r="EY6" s="73">
        <f t="shared" ref="EY6:EY52" si="13">EZ6+FC6+FD6</f>
        <v>63466859</v>
      </c>
      <c r="EZ6" s="141">
        <v>63465959</v>
      </c>
      <c r="FA6" s="141">
        <v>7728328</v>
      </c>
      <c r="FB6" s="141">
        <v>55561480</v>
      </c>
      <c r="FC6" s="141">
        <v>900</v>
      </c>
      <c r="FD6" s="141">
        <v>0</v>
      </c>
      <c r="FE6" s="141">
        <v>110555438</v>
      </c>
      <c r="FF6" s="141">
        <v>122419179</v>
      </c>
      <c r="FG6" s="141">
        <v>3515373</v>
      </c>
      <c r="FH6" s="141">
        <v>100316623</v>
      </c>
      <c r="FI6" s="73">
        <f t="shared" ref="FI6:FI52" si="14">FJ6-EU6-EW6-EX6-EY6-FE6-FF6-FH6</f>
        <v>47007872</v>
      </c>
      <c r="FJ6" s="141">
        <v>1134777515</v>
      </c>
      <c r="FK6" s="379">
        <f t="shared" ref="FK6:FK52" si="15">ROUND(EJ6/(FL6+FM6)*100,1)</f>
        <v>1.8</v>
      </c>
      <c r="FL6" s="141">
        <v>872402810</v>
      </c>
      <c r="FM6" s="141">
        <v>16948865</v>
      </c>
      <c r="FN6" s="141">
        <v>651004760</v>
      </c>
      <c r="FO6" s="141">
        <v>695321976</v>
      </c>
      <c r="FP6" s="158">
        <v>0.91900000000000004</v>
      </c>
      <c r="FQ6" s="380">
        <v>92</v>
      </c>
      <c r="FR6" s="143">
        <v>25.9</v>
      </c>
      <c r="FS6" s="380">
        <v>20.3</v>
      </c>
      <c r="FT6" s="380">
        <v>16</v>
      </c>
      <c r="FU6" s="381">
        <v>9.9</v>
      </c>
      <c r="FV6" s="380">
        <v>8</v>
      </c>
      <c r="FW6" s="382">
        <v>9.6</v>
      </c>
      <c r="FX6" s="383">
        <v>0.9</v>
      </c>
      <c r="FY6" s="141">
        <v>1526879045</v>
      </c>
      <c r="FZ6" s="384">
        <f t="shared" ref="FZ6:FZ52" si="16">ROUND(FY6/(FL6+FM6)*100,1)</f>
        <v>171.7</v>
      </c>
      <c r="GA6" s="141">
        <v>333114903</v>
      </c>
      <c r="GB6" s="141">
        <v>268796273</v>
      </c>
      <c r="GC6" s="141">
        <v>0</v>
      </c>
      <c r="GD6" s="141">
        <v>64318630</v>
      </c>
      <c r="GE6" s="107"/>
      <c r="GF6" s="385"/>
      <c r="GG6" s="386"/>
      <c r="GH6" s="380">
        <v>99.5</v>
      </c>
      <c r="GI6" s="380">
        <v>32.6</v>
      </c>
      <c r="GJ6" s="380">
        <v>98.7</v>
      </c>
      <c r="GK6" s="141">
        <v>33601</v>
      </c>
      <c r="GL6" s="153" t="s">
        <v>646</v>
      </c>
      <c r="GM6" s="143">
        <v>11.25</v>
      </c>
      <c r="GN6" s="117">
        <v>20</v>
      </c>
      <c r="GO6" s="153" t="s">
        <v>646</v>
      </c>
      <c r="GP6" s="143">
        <v>16.25</v>
      </c>
      <c r="GQ6" s="387">
        <v>30</v>
      </c>
      <c r="GR6" s="380">
        <v>0.9</v>
      </c>
      <c r="GS6" s="388">
        <v>25</v>
      </c>
      <c r="GT6" s="388">
        <v>35</v>
      </c>
      <c r="GU6" s="153" t="s">
        <v>646</v>
      </c>
      <c r="GV6" s="389">
        <v>400</v>
      </c>
      <c r="GX6" s="100">
        <f t="shared" ref="GX6:GX52" si="17">ROUND((FL6+FM6)/1000,0)</f>
        <v>889352</v>
      </c>
    </row>
    <row r="7" spans="2:232" s="89" customFormat="1" x14ac:dyDescent="0.15">
      <c r="B7" s="106" t="s">
        <v>3</v>
      </c>
      <c r="C7" s="141">
        <v>157008105</v>
      </c>
      <c r="D7" s="73">
        <f t="shared" si="0"/>
        <v>62745848</v>
      </c>
      <c r="E7" s="141">
        <v>1360833</v>
      </c>
      <c r="F7" s="141">
        <v>61385015</v>
      </c>
      <c r="G7" s="73">
        <f t="shared" si="1"/>
        <v>9200230</v>
      </c>
      <c r="H7" s="141">
        <v>2422250</v>
      </c>
      <c r="I7" s="141">
        <v>6777980</v>
      </c>
      <c r="J7" s="141">
        <v>60603883</v>
      </c>
      <c r="K7" s="141">
        <v>23324387</v>
      </c>
      <c r="L7" s="141">
        <v>25164142</v>
      </c>
      <c r="M7" s="141">
        <v>11230450</v>
      </c>
      <c r="N7" s="141">
        <v>6110683</v>
      </c>
      <c r="O7" s="141">
        <v>11237334</v>
      </c>
      <c r="P7" s="141">
        <v>6003131</v>
      </c>
      <c r="Q7" s="141">
        <v>5234203</v>
      </c>
      <c r="R7" s="141">
        <v>2098014</v>
      </c>
      <c r="S7" s="74"/>
      <c r="T7" s="73">
        <f t="shared" si="2"/>
        <v>24530931</v>
      </c>
      <c r="U7" s="141">
        <v>106488</v>
      </c>
      <c r="V7" s="141">
        <v>1064345</v>
      </c>
      <c r="W7" s="141">
        <v>1144758</v>
      </c>
      <c r="X7" s="141">
        <v>19077916</v>
      </c>
      <c r="Y7" s="141">
        <v>137527</v>
      </c>
      <c r="Z7" s="141">
        <v>0</v>
      </c>
      <c r="AA7" s="141">
        <v>26880</v>
      </c>
      <c r="AB7" s="141">
        <v>694180</v>
      </c>
      <c r="AC7" s="141">
        <v>2278837</v>
      </c>
      <c r="AD7" s="141">
        <v>1099164</v>
      </c>
      <c r="AE7" s="141">
        <v>47511034</v>
      </c>
      <c r="AF7" s="141">
        <v>46523644</v>
      </c>
      <c r="AG7" s="141">
        <v>987356</v>
      </c>
      <c r="AH7" s="141">
        <v>223227</v>
      </c>
      <c r="AI7" s="141">
        <v>3278658</v>
      </c>
      <c r="AJ7" s="73">
        <f t="shared" si="3"/>
        <v>5447430</v>
      </c>
      <c r="AK7" s="141">
        <v>3552869</v>
      </c>
      <c r="AL7" s="141">
        <v>1894561</v>
      </c>
      <c r="AM7" s="141">
        <v>122869095</v>
      </c>
      <c r="AN7" s="73">
        <f t="shared" si="4"/>
        <v>68352279</v>
      </c>
      <c r="AO7" s="141">
        <v>34680760</v>
      </c>
      <c r="AP7" s="141">
        <v>16167809</v>
      </c>
      <c r="AQ7" s="74"/>
      <c r="AR7" s="141">
        <v>17503710</v>
      </c>
      <c r="AS7" s="141">
        <v>1998916</v>
      </c>
      <c r="AT7" s="141">
        <v>0</v>
      </c>
      <c r="AU7" s="141">
        <v>9637</v>
      </c>
      <c r="AV7" s="141">
        <v>28477109</v>
      </c>
      <c r="AW7" s="141">
        <v>19544522</v>
      </c>
      <c r="AX7" s="141">
        <v>5622393</v>
      </c>
      <c r="AY7" s="141">
        <v>7571</v>
      </c>
      <c r="AZ7" s="141">
        <v>8932587</v>
      </c>
      <c r="BA7" s="141">
        <v>25595</v>
      </c>
      <c r="BB7" s="141">
        <v>1987975</v>
      </c>
      <c r="BC7" s="141">
        <v>1412626</v>
      </c>
      <c r="BD7" s="141">
        <v>1667359</v>
      </c>
      <c r="BE7" s="141">
        <v>7904575</v>
      </c>
      <c r="BF7" s="141">
        <v>0</v>
      </c>
      <c r="BG7" s="141">
        <v>945475</v>
      </c>
      <c r="BH7" s="141">
        <v>6957102</v>
      </c>
      <c r="BI7" s="141">
        <v>0</v>
      </c>
      <c r="BJ7" s="141">
        <v>8839814</v>
      </c>
      <c r="BK7" s="141">
        <v>7847596</v>
      </c>
      <c r="BL7" s="141">
        <v>6905231</v>
      </c>
      <c r="BM7" s="141">
        <v>1169738</v>
      </c>
      <c r="BN7" s="141">
        <v>322000</v>
      </c>
      <c r="BO7" s="141">
        <v>2259669</v>
      </c>
      <c r="BP7" s="141">
        <v>25546500</v>
      </c>
      <c r="BQ7" s="73">
        <f t="shared" si="5"/>
        <v>14789200</v>
      </c>
      <c r="BR7" s="73">
        <f t="shared" si="6"/>
        <v>10757300</v>
      </c>
      <c r="BS7" s="141">
        <v>0</v>
      </c>
      <c r="BT7" s="140">
        <v>0</v>
      </c>
      <c r="BU7" s="141">
        <v>10757300</v>
      </c>
      <c r="BV7" s="141">
        <v>0</v>
      </c>
      <c r="BW7" s="141">
        <v>451638365</v>
      </c>
      <c r="BX7" s="71"/>
      <c r="BY7" s="141">
        <v>86708827</v>
      </c>
      <c r="BZ7" s="141">
        <v>63745527</v>
      </c>
      <c r="CA7" s="141">
        <v>1912240</v>
      </c>
      <c r="CB7" s="141">
        <v>6311749</v>
      </c>
      <c r="CC7" s="141">
        <v>158997836</v>
      </c>
      <c r="CD7" s="141">
        <v>49936033</v>
      </c>
      <c r="CE7" s="141">
        <v>523455</v>
      </c>
      <c r="CF7" s="141">
        <v>55948784</v>
      </c>
      <c r="CG7" s="141">
        <v>46008280</v>
      </c>
      <c r="CH7" s="141">
        <v>4904338</v>
      </c>
      <c r="CI7" s="141">
        <v>1676760</v>
      </c>
      <c r="CJ7" s="141">
        <v>38546309</v>
      </c>
      <c r="CK7" s="141">
        <v>35223638</v>
      </c>
      <c r="CL7" s="83">
        <f t="shared" si="7"/>
        <v>3322671</v>
      </c>
      <c r="CM7" s="141">
        <v>50911818</v>
      </c>
      <c r="CN7" s="141">
        <v>34588678</v>
      </c>
      <c r="CO7" s="102"/>
      <c r="CP7" s="141">
        <v>7788001</v>
      </c>
      <c r="CQ7" s="141">
        <v>5415019</v>
      </c>
      <c r="CR7" s="141">
        <v>25497835</v>
      </c>
      <c r="CS7" s="141">
        <v>19075</v>
      </c>
      <c r="CT7" s="141">
        <v>7346012</v>
      </c>
      <c r="CU7" s="141">
        <v>3906781</v>
      </c>
      <c r="CV7" s="73">
        <f t="shared" si="8"/>
        <v>7680325</v>
      </c>
      <c r="CW7" s="141">
        <v>6840877</v>
      </c>
      <c r="CX7" s="141">
        <v>839448</v>
      </c>
      <c r="CY7" s="73">
        <f t="shared" si="9"/>
        <v>0</v>
      </c>
      <c r="CZ7" s="141">
        <v>0</v>
      </c>
      <c r="DA7" s="141">
        <v>0</v>
      </c>
      <c r="DB7" s="73">
        <f t="shared" si="10"/>
        <v>7596045</v>
      </c>
      <c r="DC7" s="141">
        <v>6772247</v>
      </c>
      <c r="DD7" s="141">
        <v>823798</v>
      </c>
      <c r="DE7" s="141">
        <v>27650649</v>
      </c>
      <c r="DF7" s="141">
        <v>13800250</v>
      </c>
      <c r="DG7" s="141">
        <v>13450729</v>
      </c>
      <c r="DH7" s="141">
        <v>0</v>
      </c>
      <c r="DI7" s="141">
        <v>173337</v>
      </c>
      <c r="DJ7" s="141">
        <v>26194</v>
      </c>
      <c r="DK7" s="141">
        <v>9807557</v>
      </c>
      <c r="DL7" s="141">
        <v>3858742</v>
      </c>
      <c r="DM7" s="141">
        <v>1097069</v>
      </c>
      <c r="DN7" s="141">
        <v>4851746</v>
      </c>
      <c r="DO7" s="141">
        <v>13100</v>
      </c>
      <c r="DP7" s="141">
        <v>6100</v>
      </c>
      <c r="DQ7" s="141">
        <v>6100</v>
      </c>
      <c r="DR7" s="141">
        <v>0</v>
      </c>
      <c r="DS7" s="141">
        <v>2017753</v>
      </c>
      <c r="DT7" s="141">
        <v>1000000</v>
      </c>
      <c r="DU7" s="141">
        <v>0</v>
      </c>
      <c r="DV7" s="141">
        <v>37709846</v>
      </c>
      <c r="DW7" s="141">
        <v>0</v>
      </c>
      <c r="DX7" s="73">
        <f t="shared" si="11"/>
        <v>0</v>
      </c>
      <c r="DY7" s="141">
        <v>0</v>
      </c>
      <c r="DZ7" s="141">
        <v>13990869</v>
      </c>
      <c r="EA7" s="141">
        <v>0</v>
      </c>
      <c r="EB7" s="141">
        <v>9555865</v>
      </c>
      <c r="EC7" s="74"/>
      <c r="ED7" s="141">
        <v>14147595</v>
      </c>
      <c r="EE7" s="141">
        <v>0</v>
      </c>
      <c r="EF7" s="141">
        <v>443302743</v>
      </c>
      <c r="EG7" s="71"/>
      <c r="EH7" s="141">
        <v>8335622</v>
      </c>
      <c r="EI7" s="141">
        <v>975236</v>
      </c>
      <c r="EJ7" s="141">
        <v>7360386</v>
      </c>
      <c r="EK7" s="141">
        <v>-487210</v>
      </c>
      <c r="EL7" s="141">
        <v>3371532</v>
      </c>
      <c r="EM7" s="71"/>
      <c r="EN7" s="141">
        <v>826161</v>
      </c>
      <c r="EO7" s="141">
        <v>817041</v>
      </c>
      <c r="EP7" s="141">
        <v>3237539</v>
      </c>
      <c r="EQ7" s="141">
        <v>939702</v>
      </c>
      <c r="ER7" s="73">
        <f t="shared" si="12"/>
        <v>36363704</v>
      </c>
      <c r="ES7" s="141">
        <v>238714619</v>
      </c>
      <c r="ET7" s="141">
        <v>-44830874</v>
      </c>
      <c r="EU7" s="141">
        <v>72744649</v>
      </c>
      <c r="EV7" s="141">
        <v>50489708</v>
      </c>
      <c r="EW7" s="141">
        <v>56544208</v>
      </c>
      <c r="EX7" s="141">
        <v>38265941</v>
      </c>
      <c r="EY7" s="73">
        <f t="shared" si="13"/>
        <v>2566985</v>
      </c>
      <c r="EZ7" s="141">
        <v>2551411</v>
      </c>
      <c r="FA7" s="141">
        <v>106818</v>
      </c>
      <c r="FB7" s="141">
        <v>2442960</v>
      </c>
      <c r="FC7" s="141">
        <v>15574</v>
      </c>
      <c r="FD7" s="141">
        <v>0</v>
      </c>
      <c r="FE7" s="141">
        <v>40312588</v>
      </c>
      <c r="FF7" s="141">
        <v>22533485</v>
      </c>
      <c r="FG7" s="141">
        <v>19075</v>
      </c>
      <c r="FH7" s="141">
        <v>29911456</v>
      </c>
      <c r="FI7" s="73">
        <f t="shared" si="14"/>
        <v>12704247</v>
      </c>
      <c r="FJ7" s="141">
        <v>275583559</v>
      </c>
      <c r="FK7" s="379">
        <f t="shared" si="15"/>
        <v>3.1</v>
      </c>
      <c r="FL7" s="141">
        <v>224609161</v>
      </c>
      <c r="FM7" s="141">
        <v>10757398</v>
      </c>
      <c r="FN7" s="141">
        <v>142156359</v>
      </c>
      <c r="FO7" s="141">
        <v>189018496</v>
      </c>
      <c r="FP7" s="143">
        <v>0.75900000000000001</v>
      </c>
      <c r="FQ7" s="380">
        <v>100.9</v>
      </c>
      <c r="FR7" s="143">
        <v>30.3</v>
      </c>
      <c r="FS7" s="380">
        <v>18.600000000000001</v>
      </c>
      <c r="FT7" s="380">
        <v>16</v>
      </c>
      <c r="FU7" s="381">
        <v>15.5</v>
      </c>
      <c r="FV7" s="380">
        <v>6.9</v>
      </c>
      <c r="FW7" s="382">
        <v>12.2</v>
      </c>
      <c r="FX7" s="383">
        <v>5.4</v>
      </c>
      <c r="FY7" s="141">
        <v>460449543</v>
      </c>
      <c r="FZ7" s="384">
        <f t="shared" si="16"/>
        <v>195.6</v>
      </c>
      <c r="GA7" s="141">
        <v>66056778</v>
      </c>
      <c r="GB7" s="141">
        <v>23690540</v>
      </c>
      <c r="GC7" s="141">
        <v>1859534</v>
      </c>
      <c r="GD7" s="141">
        <v>40506704</v>
      </c>
      <c r="GE7" s="107"/>
      <c r="GF7" s="385"/>
      <c r="GG7" s="386"/>
      <c r="GH7" s="380">
        <v>99.4</v>
      </c>
      <c r="GI7" s="380">
        <v>43.2</v>
      </c>
      <c r="GJ7" s="380">
        <v>98.7</v>
      </c>
      <c r="GK7" s="141">
        <v>9753</v>
      </c>
      <c r="GL7" s="153" t="s">
        <v>646</v>
      </c>
      <c r="GM7" s="143">
        <v>11.25</v>
      </c>
      <c r="GN7" s="117">
        <v>20</v>
      </c>
      <c r="GO7" s="153" t="s">
        <v>646</v>
      </c>
      <c r="GP7" s="143">
        <v>16.25</v>
      </c>
      <c r="GQ7" s="387">
        <v>30</v>
      </c>
      <c r="GR7" s="380">
        <v>5.4</v>
      </c>
      <c r="GS7" s="388">
        <v>25</v>
      </c>
      <c r="GT7" s="388">
        <v>35</v>
      </c>
      <c r="GU7" s="153" t="s">
        <v>646</v>
      </c>
      <c r="GV7" s="389">
        <v>400</v>
      </c>
      <c r="GX7" s="100">
        <f t="shared" si="17"/>
        <v>235367</v>
      </c>
    </row>
    <row r="8" spans="2:232" x14ac:dyDescent="0.15">
      <c r="B8" s="89" t="s">
        <v>5</v>
      </c>
      <c r="C8" s="141">
        <v>25509911</v>
      </c>
      <c r="D8" s="73">
        <f t="shared" si="0"/>
        <v>9545178</v>
      </c>
      <c r="E8" s="141">
        <v>310277</v>
      </c>
      <c r="F8" s="141">
        <v>9234901</v>
      </c>
      <c r="G8" s="73">
        <f t="shared" si="1"/>
        <v>1391702</v>
      </c>
      <c r="H8" s="141">
        <v>456687</v>
      </c>
      <c r="I8" s="141">
        <v>935015</v>
      </c>
      <c r="J8" s="141">
        <v>10447357</v>
      </c>
      <c r="K8" s="141">
        <v>4101338</v>
      </c>
      <c r="L8" s="141">
        <v>4572413</v>
      </c>
      <c r="M8" s="141">
        <v>1472484</v>
      </c>
      <c r="N8" s="141">
        <v>1588818</v>
      </c>
      <c r="O8" s="141">
        <v>2038379</v>
      </c>
      <c r="P8" s="141">
        <v>1136732</v>
      </c>
      <c r="Q8" s="141">
        <v>901647</v>
      </c>
      <c r="R8" s="141">
        <v>373597</v>
      </c>
      <c r="S8" s="74"/>
      <c r="T8" s="73">
        <f t="shared" si="2"/>
        <v>5444103</v>
      </c>
      <c r="U8" s="141">
        <v>21494</v>
      </c>
      <c r="V8" s="141">
        <v>214817</v>
      </c>
      <c r="W8" s="141">
        <v>231021</v>
      </c>
      <c r="X8" s="141">
        <v>4343434</v>
      </c>
      <c r="Y8" s="141">
        <v>40577</v>
      </c>
      <c r="Z8" s="141">
        <v>0</v>
      </c>
      <c r="AA8" s="141">
        <v>4457</v>
      </c>
      <c r="AB8" s="141">
        <v>97946</v>
      </c>
      <c r="AC8" s="141">
        <v>490357</v>
      </c>
      <c r="AD8" s="141">
        <v>227264</v>
      </c>
      <c r="AE8" s="141">
        <v>14930971</v>
      </c>
      <c r="AF8" s="141">
        <v>14577347</v>
      </c>
      <c r="AG8" s="141">
        <v>353624</v>
      </c>
      <c r="AH8" s="141">
        <v>22810</v>
      </c>
      <c r="AI8" s="141">
        <v>898392</v>
      </c>
      <c r="AJ8" s="73">
        <f t="shared" si="3"/>
        <v>1240651</v>
      </c>
      <c r="AK8" s="141">
        <v>887214</v>
      </c>
      <c r="AL8" s="141">
        <v>353437</v>
      </c>
      <c r="AM8" s="141">
        <v>23057186</v>
      </c>
      <c r="AN8" s="73">
        <f t="shared" si="4"/>
        <v>13350624</v>
      </c>
      <c r="AO8" s="141">
        <v>7769461</v>
      </c>
      <c r="AP8" s="141">
        <v>2451488</v>
      </c>
      <c r="AQ8" s="74"/>
      <c r="AR8" s="141">
        <v>3129675</v>
      </c>
      <c r="AS8" s="141">
        <v>843099</v>
      </c>
      <c r="AT8" s="141">
        <v>0</v>
      </c>
      <c r="AU8" s="141">
        <v>0</v>
      </c>
      <c r="AV8" s="141">
        <v>6870409</v>
      </c>
      <c r="AW8" s="141">
        <v>4388692</v>
      </c>
      <c r="AX8" s="141">
        <v>1231998</v>
      </c>
      <c r="AY8" s="141">
        <v>43513</v>
      </c>
      <c r="AZ8" s="141">
        <v>2481717</v>
      </c>
      <c r="BA8" s="141">
        <v>146842</v>
      </c>
      <c r="BB8" s="141">
        <v>369399</v>
      </c>
      <c r="BC8" s="141">
        <v>152734</v>
      </c>
      <c r="BD8" s="141">
        <v>644379</v>
      </c>
      <c r="BE8" s="141">
        <v>1590591</v>
      </c>
      <c r="BF8" s="141">
        <v>650000</v>
      </c>
      <c r="BG8" s="141">
        <v>0</v>
      </c>
      <c r="BH8" s="141">
        <v>808220</v>
      </c>
      <c r="BI8" s="141">
        <v>10927</v>
      </c>
      <c r="BJ8" s="141">
        <v>859369</v>
      </c>
      <c r="BK8" s="141">
        <v>369331</v>
      </c>
      <c r="BL8" s="141">
        <v>1599759</v>
      </c>
      <c r="BM8" s="141">
        <v>0</v>
      </c>
      <c r="BN8" s="141">
        <v>0</v>
      </c>
      <c r="BO8" s="141">
        <v>590128</v>
      </c>
      <c r="BP8" s="141">
        <v>3207800</v>
      </c>
      <c r="BQ8" s="73">
        <f t="shared" si="5"/>
        <v>2277800</v>
      </c>
      <c r="BR8" s="73">
        <f t="shared" si="6"/>
        <v>930000</v>
      </c>
      <c r="BS8" s="141">
        <v>0</v>
      </c>
      <c r="BT8" s="141">
        <v>0</v>
      </c>
      <c r="BU8" s="141">
        <v>930000</v>
      </c>
      <c r="BV8" s="141">
        <v>0</v>
      </c>
      <c r="BW8" s="141">
        <v>86846591</v>
      </c>
      <c r="BX8" s="71"/>
      <c r="BY8" s="141">
        <v>12831113</v>
      </c>
      <c r="BZ8" s="141">
        <v>8368501</v>
      </c>
      <c r="CA8" s="141">
        <v>423780</v>
      </c>
      <c r="CB8" s="141">
        <v>1808916</v>
      </c>
      <c r="CC8" s="141">
        <v>32465536</v>
      </c>
      <c r="CD8" s="141">
        <v>10042021</v>
      </c>
      <c r="CE8" s="141">
        <v>20479</v>
      </c>
      <c r="CF8" s="141">
        <v>10574449</v>
      </c>
      <c r="CG8" s="141">
        <v>10329953</v>
      </c>
      <c r="CH8" s="141">
        <v>207328</v>
      </c>
      <c r="CI8" s="141">
        <v>1290076</v>
      </c>
      <c r="CJ8" s="141">
        <v>5643551</v>
      </c>
      <c r="CK8" s="141">
        <v>5434800</v>
      </c>
      <c r="CL8" s="83">
        <f t="shared" si="7"/>
        <v>208751</v>
      </c>
      <c r="CM8" s="141">
        <v>9320206</v>
      </c>
      <c r="CN8" s="141">
        <v>5893605</v>
      </c>
      <c r="CO8" s="102"/>
      <c r="CP8" s="141">
        <v>1967139</v>
      </c>
      <c r="CQ8" s="141">
        <v>655653</v>
      </c>
      <c r="CR8" s="141">
        <v>6713988</v>
      </c>
      <c r="CS8" s="141">
        <v>1002793</v>
      </c>
      <c r="CT8" s="141">
        <v>1210418</v>
      </c>
      <c r="CU8" s="141">
        <v>998812</v>
      </c>
      <c r="CV8" s="73">
        <f t="shared" si="8"/>
        <v>3508502</v>
      </c>
      <c r="CW8" s="141">
        <v>1942557</v>
      </c>
      <c r="CX8" s="141">
        <v>1565945</v>
      </c>
      <c r="CY8" s="73">
        <f t="shared" si="9"/>
        <v>1052633</v>
      </c>
      <c r="CZ8" s="141">
        <v>848075</v>
      </c>
      <c r="DA8" s="141">
        <v>204558</v>
      </c>
      <c r="DB8" s="73">
        <f t="shared" si="10"/>
        <v>2115401</v>
      </c>
      <c r="DC8" s="141">
        <v>1063124</v>
      </c>
      <c r="DD8" s="141">
        <v>1052277</v>
      </c>
      <c r="DE8" s="141">
        <v>5944524</v>
      </c>
      <c r="DF8" s="141">
        <v>2112331</v>
      </c>
      <c r="DG8" s="141">
        <v>3711548</v>
      </c>
      <c r="DH8" s="141">
        <v>120645</v>
      </c>
      <c r="DI8" s="141">
        <v>0</v>
      </c>
      <c r="DJ8" s="141">
        <v>159103</v>
      </c>
      <c r="DK8" s="141">
        <v>1155324</v>
      </c>
      <c r="DL8" s="141">
        <v>4087</v>
      </c>
      <c r="DM8" s="141">
        <v>220231</v>
      </c>
      <c r="DN8" s="141">
        <v>931006</v>
      </c>
      <c r="DO8" s="141">
        <v>949344</v>
      </c>
      <c r="DP8" s="141">
        <v>949344</v>
      </c>
      <c r="DQ8" s="141">
        <v>125500</v>
      </c>
      <c r="DR8" s="141">
        <v>350000</v>
      </c>
      <c r="DS8" s="141">
        <v>650000</v>
      </c>
      <c r="DT8" s="141">
        <v>650000</v>
      </c>
      <c r="DU8" s="141">
        <v>0</v>
      </c>
      <c r="DV8" s="141">
        <v>8518975</v>
      </c>
      <c r="DW8" s="141">
        <v>0</v>
      </c>
      <c r="DX8" s="73">
        <f t="shared" si="11"/>
        <v>0</v>
      </c>
      <c r="DY8" s="141">
        <v>0</v>
      </c>
      <c r="DZ8" s="141">
        <v>3361091</v>
      </c>
      <c r="EA8" s="141">
        <v>0</v>
      </c>
      <c r="EB8" s="141">
        <v>2246938</v>
      </c>
      <c r="EC8" s="74"/>
      <c r="ED8" s="141">
        <v>2900019</v>
      </c>
      <c r="EE8" s="141">
        <v>0</v>
      </c>
      <c r="EF8" s="141">
        <v>85007317</v>
      </c>
      <c r="EG8" s="71"/>
      <c r="EH8" s="141">
        <v>1839274</v>
      </c>
      <c r="EI8" s="141">
        <v>518802</v>
      </c>
      <c r="EJ8" s="141">
        <v>1320472</v>
      </c>
      <c r="EK8" s="141">
        <v>351141</v>
      </c>
      <c r="EL8" s="141">
        <v>-294772</v>
      </c>
      <c r="EM8" s="71"/>
      <c r="EN8" s="141">
        <v>190658</v>
      </c>
      <c r="EO8" s="141">
        <v>188002</v>
      </c>
      <c r="EP8" s="141">
        <v>678450</v>
      </c>
      <c r="EQ8" s="141">
        <v>364234</v>
      </c>
      <c r="ER8" s="73">
        <f t="shared" si="12"/>
        <v>5718650</v>
      </c>
      <c r="ES8" s="141">
        <v>46508656</v>
      </c>
      <c r="ET8" s="141">
        <v>-7668524</v>
      </c>
      <c r="EU8" s="141">
        <v>11675008</v>
      </c>
      <c r="EV8" s="141">
        <v>7615373</v>
      </c>
      <c r="EW8" s="141">
        <v>11174041</v>
      </c>
      <c r="EX8" s="141">
        <v>5624355</v>
      </c>
      <c r="EY8" s="73">
        <f t="shared" si="13"/>
        <v>1569115</v>
      </c>
      <c r="EZ8" s="141">
        <v>1565165</v>
      </c>
      <c r="FA8" s="141">
        <v>167310</v>
      </c>
      <c r="FB8" s="141">
        <v>1338389</v>
      </c>
      <c r="FC8" s="141">
        <v>3950</v>
      </c>
      <c r="FD8" s="141">
        <v>0</v>
      </c>
      <c r="FE8" s="141">
        <v>7429368</v>
      </c>
      <c r="FF8" s="141">
        <v>5974593</v>
      </c>
      <c r="FG8" s="141">
        <v>1002793</v>
      </c>
      <c r="FH8" s="141">
        <v>6613204</v>
      </c>
      <c r="FI8" s="73">
        <f t="shared" si="14"/>
        <v>2278222</v>
      </c>
      <c r="FJ8" s="141">
        <v>52337906</v>
      </c>
      <c r="FK8" s="379">
        <f t="shared" si="15"/>
        <v>2.9</v>
      </c>
      <c r="FL8" s="141">
        <v>43840422</v>
      </c>
      <c r="FM8" s="141">
        <v>930118</v>
      </c>
      <c r="FN8" s="141">
        <v>23105439</v>
      </c>
      <c r="FO8" s="141">
        <v>37682786</v>
      </c>
      <c r="FP8" s="390">
        <v>0.60799999999999998</v>
      </c>
      <c r="FQ8" s="380">
        <v>93.6</v>
      </c>
      <c r="FR8" s="381">
        <v>24.7</v>
      </c>
      <c r="FS8" s="380">
        <v>18.100000000000001</v>
      </c>
      <c r="FT8" s="380">
        <v>12.4</v>
      </c>
      <c r="FU8" s="381">
        <v>13.7</v>
      </c>
      <c r="FV8" s="380">
        <v>9.1999999999999993</v>
      </c>
      <c r="FW8" s="382">
        <v>13.6</v>
      </c>
      <c r="FX8" s="383">
        <v>4.8</v>
      </c>
      <c r="FY8" s="141">
        <v>51206296</v>
      </c>
      <c r="FZ8" s="384">
        <f t="shared" si="16"/>
        <v>114.4</v>
      </c>
      <c r="GA8" s="141">
        <v>15170614</v>
      </c>
      <c r="GB8" s="141">
        <v>4474131</v>
      </c>
      <c r="GC8" s="141">
        <v>2738685</v>
      </c>
      <c r="GD8" s="141">
        <v>7957798</v>
      </c>
      <c r="GE8" s="107"/>
      <c r="GF8" s="385"/>
      <c r="GG8" s="386"/>
      <c r="GH8" s="380">
        <v>99.4</v>
      </c>
      <c r="GI8" s="380">
        <v>57</v>
      </c>
      <c r="GJ8" s="380">
        <v>99</v>
      </c>
      <c r="GK8" s="141">
        <v>1335</v>
      </c>
      <c r="GL8" s="391" t="s">
        <v>646</v>
      </c>
      <c r="GM8" s="391">
        <v>11.35</v>
      </c>
      <c r="GN8" s="117">
        <v>20</v>
      </c>
      <c r="GO8" s="391" t="s">
        <v>646</v>
      </c>
      <c r="GP8" s="392">
        <v>16.350000000000001</v>
      </c>
      <c r="GQ8" s="387">
        <v>30</v>
      </c>
      <c r="GR8" s="381">
        <v>4.8</v>
      </c>
      <c r="GS8" s="388">
        <v>25</v>
      </c>
      <c r="GT8" s="388">
        <v>35</v>
      </c>
      <c r="GU8" s="393" t="s">
        <v>646</v>
      </c>
      <c r="GV8" s="388">
        <v>350</v>
      </c>
      <c r="GW8" s="394"/>
      <c r="GX8" s="100">
        <f t="shared" si="17"/>
        <v>44771</v>
      </c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  <c r="HW8" s="394"/>
      <c r="HX8" s="394"/>
    </row>
    <row r="9" spans="2:232" x14ac:dyDescent="0.15">
      <c r="B9" s="89" t="s">
        <v>7</v>
      </c>
      <c r="C9" s="141">
        <v>74381029</v>
      </c>
      <c r="D9" s="73">
        <f t="shared" si="0"/>
        <v>32914594</v>
      </c>
      <c r="E9" s="141">
        <v>689052</v>
      </c>
      <c r="F9" s="141">
        <v>32225542</v>
      </c>
      <c r="G9" s="73">
        <f t="shared" si="1"/>
        <v>4466857</v>
      </c>
      <c r="H9" s="141">
        <v>1183516</v>
      </c>
      <c r="I9" s="141">
        <v>3283341</v>
      </c>
      <c r="J9" s="141">
        <v>26397404</v>
      </c>
      <c r="K9" s="141">
        <v>10440668</v>
      </c>
      <c r="L9" s="141">
        <v>13076609</v>
      </c>
      <c r="M9" s="141">
        <v>2679426</v>
      </c>
      <c r="N9" s="141">
        <v>3042672</v>
      </c>
      <c r="O9" s="141">
        <v>6164024</v>
      </c>
      <c r="P9" s="141">
        <v>3271836</v>
      </c>
      <c r="Q9" s="141">
        <v>2892188</v>
      </c>
      <c r="R9" s="141">
        <v>2069957</v>
      </c>
      <c r="S9" s="74"/>
      <c r="T9" s="73">
        <f t="shared" si="2"/>
        <v>11714548</v>
      </c>
      <c r="U9" s="141">
        <v>72501</v>
      </c>
      <c r="V9" s="141">
        <v>722939</v>
      </c>
      <c r="W9" s="141">
        <v>775255</v>
      </c>
      <c r="X9" s="141">
        <v>9026102</v>
      </c>
      <c r="Y9" s="141">
        <v>0</v>
      </c>
      <c r="Z9" s="141">
        <v>0</v>
      </c>
      <c r="AA9" s="141">
        <v>7575</v>
      </c>
      <c r="AB9" s="141">
        <v>166476</v>
      </c>
      <c r="AC9" s="141">
        <v>943700</v>
      </c>
      <c r="AD9" s="141">
        <v>369194</v>
      </c>
      <c r="AE9" s="141">
        <v>11527957</v>
      </c>
      <c r="AF9" s="141">
        <v>10922726</v>
      </c>
      <c r="AG9" s="141">
        <v>605231</v>
      </c>
      <c r="AH9" s="141">
        <v>38979</v>
      </c>
      <c r="AI9" s="141">
        <v>1045529</v>
      </c>
      <c r="AJ9" s="73">
        <f t="shared" si="3"/>
        <v>2015203</v>
      </c>
      <c r="AK9" s="141">
        <v>1710606</v>
      </c>
      <c r="AL9" s="141">
        <v>304597</v>
      </c>
      <c r="AM9" s="141">
        <v>45199463</v>
      </c>
      <c r="AN9" s="73">
        <f t="shared" si="4"/>
        <v>27206673</v>
      </c>
      <c r="AO9" s="141">
        <v>13575118</v>
      </c>
      <c r="AP9" s="141">
        <v>7512758</v>
      </c>
      <c r="AQ9" s="74"/>
      <c r="AR9" s="141">
        <v>6118797</v>
      </c>
      <c r="AS9" s="141">
        <v>488622</v>
      </c>
      <c r="AT9" s="141">
        <v>0</v>
      </c>
      <c r="AU9" s="141">
        <v>0</v>
      </c>
      <c r="AV9" s="141">
        <v>13016569</v>
      </c>
      <c r="AW9" s="141">
        <v>8722553</v>
      </c>
      <c r="AX9" s="141">
        <v>3385868</v>
      </c>
      <c r="AY9" s="141">
        <v>37798</v>
      </c>
      <c r="AZ9" s="141">
        <v>4294016</v>
      </c>
      <c r="BA9" s="141">
        <v>164715</v>
      </c>
      <c r="BB9" s="141">
        <v>1176760</v>
      </c>
      <c r="BC9" s="141">
        <v>1056576</v>
      </c>
      <c r="BD9" s="141">
        <v>350705</v>
      </c>
      <c r="BE9" s="141">
        <v>5395605</v>
      </c>
      <c r="BF9" s="141">
        <v>4731984</v>
      </c>
      <c r="BG9" s="141">
        <v>116089</v>
      </c>
      <c r="BH9" s="141">
        <v>116284</v>
      </c>
      <c r="BI9" s="141">
        <v>0</v>
      </c>
      <c r="BJ9" s="141">
        <v>6698513</v>
      </c>
      <c r="BK9" s="141">
        <v>6057276</v>
      </c>
      <c r="BL9" s="141">
        <v>3689175</v>
      </c>
      <c r="BM9" s="141">
        <v>37227</v>
      </c>
      <c r="BN9" s="141">
        <v>0</v>
      </c>
      <c r="BO9" s="141">
        <v>574812</v>
      </c>
      <c r="BP9" s="141">
        <v>6571516</v>
      </c>
      <c r="BQ9" s="73">
        <f t="shared" si="5"/>
        <v>4617600</v>
      </c>
      <c r="BR9" s="73">
        <f t="shared" si="6"/>
        <v>1953916</v>
      </c>
      <c r="BS9" s="141">
        <v>0</v>
      </c>
      <c r="BT9" s="141">
        <v>0</v>
      </c>
      <c r="BU9" s="141">
        <v>1953916</v>
      </c>
      <c r="BV9" s="141">
        <v>0</v>
      </c>
      <c r="BW9" s="141">
        <v>185260702</v>
      </c>
      <c r="BX9" s="71"/>
      <c r="BY9" s="141">
        <v>27307694</v>
      </c>
      <c r="BZ9" s="141">
        <v>17205494</v>
      </c>
      <c r="CA9" s="141">
        <v>785938</v>
      </c>
      <c r="CB9" s="141">
        <v>4592877</v>
      </c>
      <c r="CC9" s="141">
        <v>66022936</v>
      </c>
      <c r="CD9" s="141">
        <v>21079229</v>
      </c>
      <c r="CE9" s="141">
        <v>183662</v>
      </c>
      <c r="CF9" s="141">
        <v>25036168</v>
      </c>
      <c r="CG9" s="141">
        <v>18303030</v>
      </c>
      <c r="CH9" s="141">
        <v>332261</v>
      </c>
      <c r="CI9" s="141">
        <v>1087738</v>
      </c>
      <c r="CJ9" s="141">
        <v>8863550</v>
      </c>
      <c r="CK9" s="141">
        <v>8624133</v>
      </c>
      <c r="CL9" s="83">
        <f t="shared" si="7"/>
        <v>239417</v>
      </c>
      <c r="CM9" s="141">
        <v>24030728</v>
      </c>
      <c r="CN9" s="141">
        <v>16311794</v>
      </c>
      <c r="CO9" s="102"/>
      <c r="CP9" s="141">
        <v>4375985</v>
      </c>
      <c r="CQ9" s="141">
        <v>2274978</v>
      </c>
      <c r="CR9" s="141">
        <v>14764390</v>
      </c>
      <c r="CS9" s="141">
        <v>1029218</v>
      </c>
      <c r="CT9" s="141">
        <v>4419250</v>
      </c>
      <c r="CU9" s="141">
        <v>4419033</v>
      </c>
      <c r="CV9" s="73">
        <f t="shared" si="8"/>
        <v>5467518</v>
      </c>
      <c r="CW9" s="141">
        <v>4843981</v>
      </c>
      <c r="CX9" s="141">
        <v>623537</v>
      </c>
      <c r="CY9" s="73">
        <f t="shared" si="9"/>
        <v>2467778</v>
      </c>
      <c r="CZ9" s="141">
        <v>2071022</v>
      </c>
      <c r="DA9" s="141">
        <v>396756</v>
      </c>
      <c r="DB9" s="73">
        <f t="shared" si="10"/>
        <v>2868046</v>
      </c>
      <c r="DC9" s="141">
        <v>2652076</v>
      </c>
      <c r="DD9" s="141">
        <v>215970</v>
      </c>
      <c r="DE9" s="141">
        <v>10216214</v>
      </c>
      <c r="DF9" s="141">
        <v>1258756</v>
      </c>
      <c r="DG9" s="141">
        <v>8957458</v>
      </c>
      <c r="DH9" s="141">
        <v>0</v>
      </c>
      <c r="DI9" s="141">
        <v>0</v>
      </c>
      <c r="DJ9" s="141">
        <v>0</v>
      </c>
      <c r="DK9" s="141">
        <v>8994336</v>
      </c>
      <c r="DL9" s="141">
        <v>6738800</v>
      </c>
      <c r="DM9" s="141">
        <v>773808</v>
      </c>
      <c r="DN9" s="141">
        <v>1481728</v>
      </c>
      <c r="DO9" s="141">
        <v>165904</v>
      </c>
      <c r="DP9" s="141">
        <v>165904</v>
      </c>
      <c r="DQ9" s="141">
        <v>165904</v>
      </c>
      <c r="DR9" s="141">
        <v>0</v>
      </c>
      <c r="DS9" s="141">
        <v>4072</v>
      </c>
      <c r="DT9" s="141">
        <v>0</v>
      </c>
      <c r="DU9" s="141">
        <v>0</v>
      </c>
      <c r="DV9" s="141">
        <v>16291951</v>
      </c>
      <c r="DW9" s="141">
        <v>0</v>
      </c>
      <c r="DX9" s="73">
        <f t="shared" si="11"/>
        <v>0</v>
      </c>
      <c r="DY9" s="141">
        <v>0</v>
      </c>
      <c r="DZ9" s="141">
        <v>5864492</v>
      </c>
      <c r="EA9" s="141">
        <v>0</v>
      </c>
      <c r="EB9" s="141">
        <v>4180155</v>
      </c>
      <c r="EC9" s="74"/>
      <c r="ED9" s="141">
        <v>6117897</v>
      </c>
      <c r="EE9" s="141">
        <v>0</v>
      </c>
      <c r="EF9" s="141">
        <v>178936753</v>
      </c>
      <c r="EG9" s="71"/>
      <c r="EH9" s="141">
        <v>6323949</v>
      </c>
      <c r="EI9" s="141">
        <v>646384</v>
      </c>
      <c r="EJ9" s="141">
        <v>5677565</v>
      </c>
      <c r="EK9" s="141">
        <v>-379711</v>
      </c>
      <c r="EL9" s="141">
        <v>1627105</v>
      </c>
      <c r="EM9" s="71"/>
      <c r="EN9" s="141">
        <v>401558</v>
      </c>
      <c r="EO9" s="141">
        <v>406836</v>
      </c>
      <c r="EP9" s="141">
        <v>5085601</v>
      </c>
      <c r="EQ9" s="141">
        <v>1168235</v>
      </c>
      <c r="ER9" s="73">
        <f t="shared" si="12"/>
        <v>15925461</v>
      </c>
      <c r="ES9" s="141">
        <v>100101664</v>
      </c>
      <c r="ET9" s="141">
        <v>-24094234</v>
      </c>
      <c r="EU9" s="141">
        <v>24980984</v>
      </c>
      <c r="EV9" s="141">
        <v>15797121</v>
      </c>
      <c r="EW9" s="141">
        <v>24962153</v>
      </c>
      <c r="EX9" s="141">
        <v>8754001</v>
      </c>
      <c r="EY9" s="73">
        <f t="shared" si="13"/>
        <v>4793180</v>
      </c>
      <c r="EZ9" s="141">
        <v>4793180</v>
      </c>
      <c r="FA9" s="141">
        <v>159937</v>
      </c>
      <c r="FB9" s="141">
        <v>4633243</v>
      </c>
      <c r="FC9" s="141">
        <v>0</v>
      </c>
      <c r="FD9" s="141">
        <v>0</v>
      </c>
      <c r="FE9" s="141">
        <v>17801742</v>
      </c>
      <c r="FF9" s="141">
        <v>12895782</v>
      </c>
      <c r="FG9" s="141">
        <v>1029218</v>
      </c>
      <c r="FH9" s="141">
        <v>12909476</v>
      </c>
      <c r="FI9" s="73">
        <f t="shared" si="14"/>
        <v>10774631</v>
      </c>
      <c r="FJ9" s="141">
        <v>117871949</v>
      </c>
      <c r="FK9" s="379">
        <f t="shared" si="15"/>
        <v>6.2</v>
      </c>
      <c r="FL9" s="141">
        <v>89954983</v>
      </c>
      <c r="FM9" s="141">
        <v>1953916</v>
      </c>
      <c r="FN9" s="141">
        <v>61198087</v>
      </c>
      <c r="FO9" s="141">
        <v>72113824</v>
      </c>
      <c r="FP9" s="395">
        <v>0.85399999999999998</v>
      </c>
      <c r="FQ9" s="380">
        <v>92.1</v>
      </c>
      <c r="FR9" s="381">
        <v>25.4</v>
      </c>
      <c r="FS9" s="380">
        <v>19.600000000000001</v>
      </c>
      <c r="FT9" s="380">
        <v>9.1</v>
      </c>
      <c r="FU9" s="381">
        <v>15.7</v>
      </c>
      <c r="FV9" s="380">
        <v>9.1999999999999993</v>
      </c>
      <c r="FW9" s="382">
        <v>11</v>
      </c>
      <c r="FX9" s="383">
        <v>2.2000000000000002</v>
      </c>
      <c r="FY9" s="141">
        <v>87938690</v>
      </c>
      <c r="FZ9" s="384">
        <f t="shared" si="16"/>
        <v>95.7</v>
      </c>
      <c r="GA9" s="141">
        <v>32539030</v>
      </c>
      <c r="GB9" s="141">
        <v>14877702</v>
      </c>
      <c r="GC9" s="141">
        <v>4368719</v>
      </c>
      <c r="GD9" s="141">
        <v>13292609</v>
      </c>
      <c r="GE9" s="107"/>
      <c r="GF9" s="385"/>
      <c r="GG9" s="386"/>
      <c r="GH9" s="380">
        <v>99.4</v>
      </c>
      <c r="GI9" s="380">
        <v>36.9</v>
      </c>
      <c r="GJ9" s="380">
        <v>98.3</v>
      </c>
      <c r="GK9" s="141">
        <v>2446</v>
      </c>
      <c r="GL9" s="391" t="s">
        <v>646</v>
      </c>
      <c r="GM9" s="391">
        <v>11.25</v>
      </c>
      <c r="GN9" s="117">
        <v>20</v>
      </c>
      <c r="GO9" s="391" t="s">
        <v>646</v>
      </c>
      <c r="GP9" s="392">
        <v>16.25</v>
      </c>
      <c r="GQ9" s="387">
        <v>30</v>
      </c>
      <c r="GR9" s="381">
        <v>2.2000000000000002</v>
      </c>
      <c r="GS9" s="388">
        <v>25</v>
      </c>
      <c r="GT9" s="388">
        <v>35</v>
      </c>
      <c r="GU9" s="393" t="s">
        <v>646</v>
      </c>
      <c r="GV9" s="388">
        <v>350</v>
      </c>
      <c r="GW9" s="394"/>
      <c r="GX9" s="100">
        <f t="shared" si="17"/>
        <v>91909</v>
      </c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  <c r="HW9" s="394"/>
      <c r="HX9" s="394"/>
    </row>
    <row r="10" spans="2:232" x14ac:dyDescent="0.15">
      <c r="B10" s="89" t="s">
        <v>9</v>
      </c>
      <c r="C10" s="141">
        <v>16865855</v>
      </c>
      <c r="D10" s="73">
        <f t="shared" si="0"/>
        <v>7050263</v>
      </c>
      <c r="E10" s="141">
        <v>177389</v>
      </c>
      <c r="F10" s="141">
        <v>6872874</v>
      </c>
      <c r="G10" s="73">
        <f t="shared" si="1"/>
        <v>1040720</v>
      </c>
      <c r="H10" s="141">
        <v>300019</v>
      </c>
      <c r="I10" s="141">
        <v>740701</v>
      </c>
      <c r="J10" s="141">
        <v>6580055</v>
      </c>
      <c r="K10" s="141">
        <v>2699611</v>
      </c>
      <c r="L10" s="141">
        <v>3070707</v>
      </c>
      <c r="M10" s="141">
        <v>799870</v>
      </c>
      <c r="N10" s="141">
        <v>562668</v>
      </c>
      <c r="O10" s="141">
        <v>1493853</v>
      </c>
      <c r="P10" s="141">
        <v>829622</v>
      </c>
      <c r="Q10" s="141">
        <v>664231</v>
      </c>
      <c r="R10" s="141">
        <v>230890</v>
      </c>
      <c r="S10" s="74"/>
      <c r="T10" s="73">
        <f t="shared" si="2"/>
        <v>3168016</v>
      </c>
      <c r="U10" s="141">
        <v>16322</v>
      </c>
      <c r="V10" s="141">
        <v>162784</v>
      </c>
      <c r="W10" s="141">
        <v>174590</v>
      </c>
      <c r="X10" s="141">
        <v>2414235</v>
      </c>
      <c r="Y10" s="141">
        <v>70465</v>
      </c>
      <c r="Z10" s="141">
        <v>0</v>
      </c>
      <c r="AA10" s="141">
        <v>2151</v>
      </c>
      <c r="AB10" s="141">
        <v>47267</v>
      </c>
      <c r="AC10" s="141">
        <v>280202</v>
      </c>
      <c r="AD10" s="141">
        <v>94289</v>
      </c>
      <c r="AE10" s="141">
        <v>5337305</v>
      </c>
      <c r="AF10" s="141">
        <v>4787344</v>
      </c>
      <c r="AG10" s="141">
        <v>549961</v>
      </c>
      <c r="AH10" s="141">
        <v>10290</v>
      </c>
      <c r="AI10" s="141">
        <v>126599</v>
      </c>
      <c r="AJ10" s="73">
        <f t="shared" si="3"/>
        <v>1000169</v>
      </c>
      <c r="AK10" s="141">
        <v>746376</v>
      </c>
      <c r="AL10" s="141">
        <v>253793</v>
      </c>
      <c r="AM10" s="141">
        <v>8961480</v>
      </c>
      <c r="AN10" s="73">
        <f t="shared" si="4"/>
        <v>3645065</v>
      </c>
      <c r="AO10" s="141">
        <v>1241199</v>
      </c>
      <c r="AP10" s="141">
        <v>1198253</v>
      </c>
      <c r="AQ10" s="74"/>
      <c r="AR10" s="141">
        <v>1205613</v>
      </c>
      <c r="AS10" s="141">
        <v>625384</v>
      </c>
      <c r="AT10" s="141">
        <v>0</v>
      </c>
      <c r="AU10" s="141">
        <v>0</v>
      </c>
      <c r="AV10" s="141">
        <v>3219696</v>
      </c>
      <c r="AW10" s="141">
        <v>1997078</v>
      </c>
      <c r="AX10" s="141">
        <v>493711</v>
      </c>
      <c r="AY10" s="141">
        <v>100</v>
      </c>
      <c r="AZ10" s="141">
        <v>1222618</v>
      </c>
      <c r="BA10" s="141">
        <v>242</v>
      </c>
      <c r="BB10" s="141">
        <v>55784</v>
      </c>
      <c r="BC10" s="141">
        <v>14582</v>
      </c>
      <c r="BD10" s="141">
        <v>214506</v>
      </c>
      <c r="BE10" s="141">
        <v>1111199</v>
      </c>
      <c r="BF10" s="141">
        <v>1000000</v>
      </c>
      <c r="BG10" s="141">
        <v>0</v>
      </c>
      <c r="BH10" s="141">
        <v>99737</v>
      </c>
      <c r="BI10" s="141">
        <v>0</v>
      </c>
      <c r="BJ10" s="141">
        <v>132673</v>
      </c>
      <c r="BK10" s="141">
        <v>18381</v>
      </c>
      <c r="BL10" s="141">
        <v>1015176</v>
      </c>
      <c r="BM10" s="141">
        <v>122566</v>
      </c>
      <c r="BN10" s="141">
        <v>1285</v>
      </c>
      <c r="BO10" s="141">
        <v>393196</v>
      </c>
      <c r="BP10" s="141">
        <v>1029700</v>
      </c>
      <c r="BQ10" s="73">
        <f t="shared" si="5"/>
        <v>815300</v>
      </c>
      <c r="BR10" s="73">
        <f t="shared" si="6"/>
        <v>214400</v>
      </c>
      <c r="BS10" s="141">
        <v>0</v>
      </c>
      <c r="BT10" s="141">
        <v>0</v>
      </c>
      <c r="BU10" s="141">
        <v>214400</v>
      </c>
      <c r="BV10" s="141">
        <v>0</v>
      </c>
      <c r="BW10" s="141">
        <v>42573627</v>
      </c>
      <c r="BX10" s="71"/>
      <c r="BY10" s="141">
        <v>7825686</v>
      </c>
      <c r="BZ10" s="141">
        <v>4641297</v>
      </c>
      <c r="CA10" s="141">
        <v>81071</v>
      </c>
      <c r="CB10" s="141">
        <v>1614015</v>
      </c>
      <c r="CC10" s="141">
        <v>12021059</v>
      </c>
      <c r="CD10" s="141">
        <v>4263968</v>
      </c>
      <c r="CE10" s="141">
        <v>23535</v>
      </c>
      <c r="CF10" s="141">
        <v>5453398</v>
      </c>
      <c r="CG10" s="141">
        <v>1536410</v>
      </c>
      <c r="CH10" s="141">
        <v>125510</v>
      </c>
      <c r="CI10" s="141">
        <v>617588</v>
      </c>
      <c r="CJ10" s="141">
        <v>3817114</v>
      </c>
      <c r="CK10" s="141">
        <v>3703717</v>
      </c>
      <c r="CL10" s="83">
        <f t="shared" si="7"/>
        <v>113397</v>
      </c>
      <c r="CM10" s="141">
        <v>7251543</v>
      </c>
      <c r="CN10" s="141">
        <v>4994405</v>
      </c>
      <c r="CO10" s="102"/>
      <c r="CP10" s="141">
        <v>965018</v>
      </c>
      <c r="CQ10" s="141">
        <v>367704</v>
      </c>
      <c r="CR10" s="141">
        <v>3290869</v>
      </c>
      <c r="CS10" s="141">
        <v>2569</v>
      </c>
      <c r="CT10" s="141">
        <v>1249223</v>
      </c>
      <c r="CU10" s="141">
        <v>1052172</v>
      </c>
      <c r="CV10" s="73">
        <f t="shared" si="8"/>
        <v>1060610</v>
      </c>
      <c r="CW10" s="141">
        <v>898494</v>
      </c>
      <c r="CX10" s="141">
        <v>162116</v>
      </c>
      <c r="CY10" s="73">
        <f t="shared" si="9"/>
        <v>266595</v>
      </c>
      <c r="CZ10" s="141">
        <v>183379</v>
      </c>
      <c r="DA10" s="141">
        <v>83216</v>
      </c>
      <c r="DB10" s="73">
        <f t="shared" si="10"/>
        <v>776877</v>
      </c>
      <c r="DC10" s="141">
        <v>701204</v>
      </c>
      <c r="DD10" s="141">
        <v>75673</v>
      </c>
      <c r="DE10" s="141">
        <v>2103111</v>
      </c>
      <c r="DF10" s="141">
        <v>1117462</v>
      </c>
      <c r="DG10" s="141">
        <v>985649</v>
      </c>
      <c r="DH10" s="141">
        <v>0</v>
      </c>
      <c r="DI10" s="141">
        <v>0</v>
      </c>
      <c r="DJ10" s="141">
        <v>0</v>
      </c>
      <c r="DK10" s="141">
        <v>266274</v>
      </c>
      <c r="DL10" s="141">
        <v>980</v>
      </c>
      <c r="DM10" s="141">
        <v>0</v>
      </c>
      <c r="DN10" s="141">
        <v>265294</v>
      </c>
      <c r="DO10" s="141">
        <v>748414</v>
      </c>
      <c r="DP10" s="141">
        <v>748414</v>
      </c>
      <c r="DQ10" s="141">
        <v>0</v>
      </c>
      <c r="DR10" s="141">
        <v>733405</v>
      </c>
      <c r="DS10" s="141">
        <v>120250</v>
      </c>
      <c r="DT10" s="141">
        <v>0</v>
      </c>
      <c r="DU10" s="141">
        <v>0</v>
      </c>
      <c r="DV10" s="141">
        <v>4369689</v>
      </c>
      <c r="DW10" s="141">
        <v>0</v>
      </c>
      <c r="DX10" s="73">
        <f t="shared" si="11"/>
        <v>0</v>
      </c>
      <c r="DY10" s="141">
        <v>0</v>
      </c>
      <c r="DZ10" s="141">
        <v>1703138</v>
      </c>
      <c r="EA10" s="141">
        <v>0</v>
      </c>
      <c r="EB10" s="141">
        <v>1056299</v>
      </c>
      <c r="EC10" s="74"/>
      <c r="ED10" s="141">
        <v>1602939</v>
      </c>
      <c r="EE10" s="141">
        <v>0</v>
      </c>
      <c r="EF10" s="141">
        <v>42181713</v>
      </c>
      <c r="EG10" s="71"/>
      <c r="EH10" s="141">
        <v>391914</v>
      </c>
      <c r="EI10" s="141">
        <v>221161</v>
      </c>
      <c r="EJ10" s="141">
        <v>170753</v>
      </c>
      <c r="EK10" s="141">
        <v>52372</v>
      </c>
      <c r="EL10" s="141">
        <v>-746648</v>
      </c>
      <c r="EM10" s="71"/>
      <c r="EN10" s="141">
        <v>104993</v>
      </c>
      <c r="EO10" s="141">
        <v>102969</v>
      </c>
      <c r="EP10" s="141">
        <v>1002858</v>
      </c>
      <c r="EQ10" s="141">
        <v>54309</v>
      </c>
      <c r="ER10" s="73">
        <f t="shared" si="12"/>
        <v>2486367</v>
      </c>
      <c r="ES10" s="141">
        <v>25706645</v>
      </c>
      <c r="ET10" s="141">
        <v>-3747644</v>
      </c>
      <c r="EU10" s="141">
        <v>7232335</v>
      </c>
      <c r="EV10" s="141">
        <v>4365401</v>
      </c>
      <c r="EW10" s="141">
        <v>4355702</v>
      </c>
      <c r="EX10" s="141">
        <v>3817114</v>
      </c>
      <c r="EY10" s="73">
        <f t="shared" si="13"/>
        <v>578539</v>
      </c>
      <c r="EZ10" s="141">
        <v>578539</v>
      </c>
      <c r="FA10" s="141">
        <v>97687</v>
      </c>
      <c r="FB10" s="141">
        <v>480852</v>
      </c>
      <c r="FC10" s="141">
        <v>0</v>
      </c>
      <c r="FD10" s="141">
        <v>0</v>
      </c>
      <c r="FE10" s="141">
        <v>5516277</v>
      </c>
      <c r="FF10" s="141">
        <v>2921897</v>
      </c>
      <c r="FG10" s="141">
        <v>2569</v>
      </c>
      <c r="FH10" s="141">
        <v>3486947</v>
      </c>
      <c r="FI10" s="73">
        <f t="shared" si="14"/>
        <v>1153564</v>
      </c>
      <c r="FJ10" s="141">
        <v>29062375</v>
      </c>
      <c r="FK10" s="379">
        <f t="shared" si="15"/>
        <v>0.7</v>
      </c>
      <c r="FL10" s="141">
        <v>23512705</v>
      </c>
      <c r="FM10" s="141">
        <v>329739</v>
      </c>
      <c r="FN10" s="141">
        <v>14587162</v>
      </c>
      <c r="FO10" s="141">
        <v>19374506</v>
      </c>
      <c r="FP10" s="395">
        <v>0.77700000000000002</v>
      </c>
      <c r="FQ10" s="380">
        <v>97.4</v>
      </c>
      <c r="FR10" s="381">
        <v>28.7</v>
      </c>
      <c r="FS10" s="380">
        <v>12.7</v>
      </c>
      <c r="FT10" s="380">
        <v>15</v>
      </c>
      <c r="FU10" s="381">
        <v>19</v>
      </c>
      <c r="FV10" s="380">
        <v>6.6</v>
      </c>
      <c r="FW10" s="382">
        <v>13.8</v>
      </c>
      <c r="FX10" s="383">
        <v>2</v>
      </c>
      <c r="FY10" s="141">
        <v>30330297</v>
      </c>
      <c r="FZ10" s="384">
        <f t="shared" si="16"/>
        <v>127.2</v>
      </c>
      <c r="GA10" s="141">
        <v>6949965</v>
      </c>
      <c r="GB10" s="141">
        <v>4335630</v>
      </c>
      <c r="GC10" s="141">
        <v>0</v>
      </c>
      <c r="GD10" s="141">
        <v>2614335</v>
      </c>
      <c r="GE10" s="107"/>
      <c r="GF10" s="385"/>
      <c r="GG10" s="386"/>
      <c r="GH10" s="380">
        <v>99.4</v>
      </c>
      <c r="GI10" s="380">
        <v>30.2</v>
      </c>
      <c r="GJ10" s="380">
        <v>98.1</v>
      </c>
      <c r="GK10" s="141">
        <v>633</v>
      </c>
      <c r="GL10" s="391" t="s">
        <v>646</v>
      </c>
      <c r="GM10" s="391">
        <v>12.16</v>
      </c>
      <c r="GN10" s="117">
        <v>20</v>
      </c>
      <c r="GO10" s="391" t="s">
        <v>646</v>
      </c>
      <c r="GP10" s="392">
        <v>17.16</v>
      </c>
      <c r="GQ10" s="387">
        <v>30</v>
      </c>
      <c r="GR10" s="381">
        <v>2</v>
      </c>
      <c r="GS10" s="388">
        <v>25</v>
      </c>
      <c r="GT10" s="388">
        <v>35</v>
      </c>
      <c r="GU10" s="393" t="s">
        <v>646</v>
      </c>
      <c r="GV10" s="388">
        <v>350</v>
      </c>
      <c r="GW10" s="394"/>
      <c r="GX10" s="100">
        <f t="shared" si="17"/>
        <v>23842</v>
      </c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  <c r="HW10" s="394"/>
      <c r="HX10" s="394"/>
    </row>
    <row r="11" spans="2:232" x14ac:dyDescent="0.15">
      <c r="B11" s="89" t="s">
        <v>11</v>
      </c>
      <c r="C11" s="141">
        <v>71787230</v>
      </c>
      <c r="D11" s="73">
        <f t="shared" si="0"/>
        <v>30452831</v>
      </c>
      <c r="E11" s="141">
        <v>670805</v>
      </c>
      <c r="F11" s="141">
        <v>29782026</v>
      </c>
      <c r="G11" s="73">
        <f t="shared" si="1"/>
        <v>4728670</v>
      </c>
      <c r="H11" s="141">
        <v>1254481</v>
      </c>
      <c r="I11" s="141">
        <v>3474189</v>
      </c>
      <c r="J11" s="141">
        <v>27291139</v>
      </c>
      <c r="K11" s="141">
        <v>9869392</v>
      </c>
      <c r="L11" s="141">
        <v>13870819</v>
      </c>
      <c r="M11" s="141">
        <v>2962943</v>
      </c>
      <c r="N11" s="141">
        <v>1834499</v>
      </c>
      <c r="O11" s="141">
        <v>6082297</v>
      </c>
      <c r="P11" s="141">
        <v>2973218</v>
      </c>
      <c r="Q11" s="141">
        <v>3109079</v>
      </c>
      <c r="R11" s="141">
        <v>603597</v>
      </c>
      <c r="S11" s="74"/>
      <c r="T11" s="73">
        <f t="shared" si="2"/>
        <v>11642182</v>
      </c>
      <c r="U11" s="141">
        <v>67715</v>
      </c>
      <c r="V11" s="141">
        <v>678014</v>
      </c>
      <c r="W11" s="141">
        <v>730851</v>
      </c>
      <c r="X11" s="141">
        <v>8913747</v>
      </c>
      <c r="Y11" s="141">
        <v>0</v>
      </c>
      <c r="Z11" s="141">
        <v>0</v>
      </c>
      <c r="AA11" s="141">
        <v>7214</v>
      </c>
      <c r="AB11" s="141">
        <v>158594</v>
      </c>
      <c r="AC11" s="141">
        <v>1086047</v>
      </c>
      <c r="AD11" s="141">
        <v>340759</v>
      </c>
      <c r="AE11" s="141">
        <v>3210421</v>
      </c>
      <c r="AF11" s="141">
        <v>2953241</v>
      </c>
      <c r="AG11" s="141">
        <v>257073</v>
      </c>
      <c r="AH11" s="141">
        <v>33305</v>
      </c>
      <c r="AI11" s="141">
        <v>837190</v>
      </c>
      <c r="AJ11" s="73">
        <f t="shared" si="3"/>
        <v>2752130</v>
      </c>
      <c r="AK11" s="141">
        <v>2220026</v>
      </c>
      <c r="AL11" s="141">
        <v>532104</v>
      </c>
      <c r="AM11" s="141">
        <v>37177979</v>
      </c>
      <c r="AN11" s="73">
        <f t="shared" si="4"/>
        <v>17389439</v>
      </c>
      <c r="AO11" s="141">
        <v>7882411</v>
      </c>
      <c r="AP11" s="141">
        <v>3906057</v>
      </c>
      <c r="AQ11" s="74"/>
      <c r="AR11" s="141">
        <v>5600971</v>
      </c>
      <c r="AS11" s="141">
        <v>1727543</v>
      </c>
      <c r="AT11" s="141">
        <v>435</v>
      </c>
      <c r="AU11" s="141">
        <v>0</v>
      </c>
      <c r="AV11" s="141">
        <v>11489714</v>
      </c>
      <c r="AW11" s="141">
        <v>8106827</v>
      </c>
      <c r="AX11" s="141">
        <v>1577885</v>
      </c>
      <c r="AY11" s="141">
        <v>435009</v>
      </c>
      <c r="AZ11" s="141">
        <v>3382887</v>
      </c>
      <c r="BA11" s="141">
        <v>0</v>
      </c>
      <c r="BB11" s="141">
        <v>166698</v>
      </c>
      <c r="BC11" s="141">
        <v>71195</v>
      </c>
      <c r="BD11" s="141">
        <v>1471363</v>
      </c>
      <c r="BE11" s="141">
        <v>4740441</v>
      </c>
      <c r="BF11" s="141">
        <v>400000</v>
      </c>
      <c r="BG11" s="141">
        <v>0</v>
      </c>
      <c r="BH11" s="141">
        <v>4052411</v>
      </c>
      <c r="BI11" s="141">
        <v>287829</v>
      </c>
      <c r="BJ11" s="141">
        <v>3828121</v>
      </c>
      <c r="BK11" s="141">
        <v>1482143</v>
      </c>
      <c r="BL11" s="141">
        <v>3643834</v>
      </c>
      <c r="BM11" s="141">
        <v>445689</v>
      </c>
      <c r="BN11" s="141">
        <v>0</v>
      </c>
      <c r="BO11" s="141">
        <v>561174</v>
      </c>
      <c r="BP11" s="141">
        <v>9839900</v>
      </c>
      <c r="BQ11" s="73">
        <f t="shared" si="5"/>
        <v>9439900</v>
      </c>
      <c r="BR11" s="73">
        <f t="shared" si="6"/>
        <v>400000</v>
      </c>
      <c r="BS11" s="141">
        <v>0</v>
      </c>
      <c r="BT11" s="141">
        <v>0</v>
      </c>
      <c r="BU11" s="141">
        <v>400000</v>
      </c>
      <c r="BV11" s="141">
        <v>0</v>
      </c>
      <c r="BW11" s="141">
        <v>163564864</v>
      </c>
      <c r="BX11" s="71"/>
      <c r="BY11" s="141">
        <v>26472418</v>
      </c>
      <c r="BZ11" s="141">
        <v>17772755</v>
      </c>
      <c r="CA11" s="141">
        <v>774595</v>
      </c>
      <c r="CB11" s="141">
        <v>3147128</v>
      </c>
      <c r="CC11" s="141">
        <v>52032478</v>
      </c>
      <c r="CD11" s="141">
        <v>17135315</v>
      </c>
      <c r="CE11" s="141">
        <v>68750</v>
      </c>
      <c r="CF11" s="141">
        <v>21585829</v>
      </c>
      <c r="CG11" s="141">
        <v>10448694</v>
      </c>
      <c r="CH11" s="141">
        <v>484870</v>
      </c>
      <c r="CI11" s="141">
        <v>2309020</v>
      </c>
      <c r="CJ11" s="141">
        <v>6680307</v>
      </c>
      <c r="CK11" s="141">
        <v>6356523</v>
      </c>
      <c r="CL11" s="83">
        <f t="shared" si="7"/>
        <v>323784</v>
      </c>
      <c r="CM11" s="141">
        <v>25881242</v>
      </c>
      <c r="CN11" s="141">
        <v>18936885</v>
      </c>
      <c r="CO11" s="102"/>
      <c r="CP11" s="141">
        <v>4139750</v>
      </c>
      <c r="CQ11" s="141">
        <v>2901997</v>
      </c>
      <c r="CR11" s="141">
        <v>9020079</v>
      </c>
      <c r="CS11" s="141">
        <v>9052</v>
      </c>
      <c r="CT11" s="141">
        <v>3062259</v>
      </c>
      <c r="CU11" s="141">
        <v>2088503</v>
      </c>
      <c r="CV11" s="73">
        <f t="shared" si="8"/>
        <v>2872171</v>
      </c>
      <c r="CW11" s="141">
        <v>2792653</v>
      </c>
      <c r="CX11" s="141">
        <v>79518</v>
      </c>
      <c r="CY11" s="73">
        <f t="shared" si="9"/>
        <v>0</v>
      </c>
      <c r="CZ11" s="141">
        <v>0</v>
      </c>
      <c r="DA11" s="141">
        <v>0</v>
      </c>
      <c r="DB11" s="73">
        <f t="shared" si="10"/>
        <v>2818274</v>
      </c>
      <c r="DC11" s="141">
        <v>2746800</v>
      </c>
      <c r="DD11" s="141">
        <v>71474</v>
      </c>
      <c r="DE11" s="141">
        <v>22749959</v>
      </c>
      <c r="DF11" s="141">
        <v>5590992</v>
      </c>
      <c r="DG11" s="141">
        <v>17155143</v>
      </c>
      <c r="DH11" s="141">
        <v>3824</v>
      </c>
      <c r="DI11" s="141">
        <v>0</v>
      </c>
      <c r="DJ11" s="141">
        <v>15902</v>
      </c>
      <c r="DK11" s="141">
        <v>2959360</v>
      </c>
      <c r="DL11" s="141">
        <v>659949</v>
      </c>
      <c r="DM11" s="141">
        <v>0</v>
      </c>
      <c r="DN11" s="141">
        <v>2299411</v>
      </c>
      <c r="DO11" s="141">
        <v>0</v>
      </c>
      <c r="DP11" s="141">
        <v>0</v>
      </c>
      <c r="DQ11" s="141">
        <v>0</v>
      </c>
      <c r="DR11" s="141">
        <v>0</v>
      </c>
      <c r="DS11" s="141">
        <v>358561</v>
      </c>
      <c r="DT11" s="141">
        <v>0</v>
      </c>
      <c r="DU11" s="141">
        <v>0</v>
      </c>
      <c r="DV11" s="141">
        <v>12966719</v>
      </c>
      <c r="DW11" s="141">
        <v>0</v>
      </c>
      <c r="DX11" s="73">
        <f t="shared" si="11"/>
        <v>0</v>
      </c>
      <c r="DY11" s="141">
        <v>0</v>
      </c>
      <c r="DZ11" s="141">
        <v>5100785</v>
      </c>
      <c r="EA11" s="141">
        <v>0</v>
      </c>
      <c r="EB11" s="141">
        <v>2927426</v>
      </c>
      <c r="EC11" s="74"/>
      <c r="ED11" s="141">
        <v>4873110</v>
      </c>
      <c r="EE11" s="141">
        <v>0</v>
      </c>
      <c r="EF11" s="141">
        <v>162039022</v>
      </c>
      <c r="EG11" s="71"/>
      <c r="EH11" s="141">
        <v>1525842</v>
      </c>
      <c r="EI11" s="141">
        <v>900565</v>
      </c>
      <c r="EJ11" s="141">
        <v>625277</v>
      </c>
      <c r="EK11" s="141">
        <v>-907924</v>
      </c>
      <c r="EL11" s="141">
        <v>-627316</v>
      </c>
      <c r="EM11" s="71"/>
      <c r="EN11" s="141">
        <v>385567</v>
      </c>
      <c r="EO11" s="141">
        <v>382681</v>
      </c>
      <c r="EP11" s="141">
        <v>685631</v>
      </c>
      <c r="EQ11" s="141">
        <v>161977</v>
      </c>
      <c r="ER11" s="73">
        <f t="shared" si="12"/>
        <v>11191648</v>
      </c>
      <c r="ES11" s="141">
        <v>87617494</v>
      </c>
      <c r="ET11" s="141">
        <v>-12405951</v>
      </c>
      <c r="EU11" s="141">
        <v>24498127</v>
      </c>
      <c r="EV11" s="141">
        <v>16519776</v>
      </c>
      <c r="EW11" s="141">
        <v>18927147</v>
      </c>
      <c r="EX11" s="141">
        <v>6596204</v>
      </c>
      <c r="EY11" s="73">
        <f t="shared" si="13"/>
        <v>5109785</v>
      </c>
      <c r="EZ11" s="141">
        <v>5094318</v>
      </c>
      <c r="FA11" s="141">
        <v>172577</v>
      </c>
      <c r="FB11" s="141">
        <v>4917917</v>
      </c>
      <c r="FC11" s="141">
        <v>15467</v>
      </c>
      <c r="FD11" s="141">
        <v>0</v>
      </c>
      <c r="FE11" s="141">
        <v>19937546</v>
      </c>
      <c r="FF11" s="141">
        <v>7457432</v>
      </c>
      <c r="FG11" s="141">
        <v>9052</v>
      </c>
      <c r="FH11" s="141">
        <v>10338151</v>
      </c>
      <c r="FI11" s="73">
        <f t="shared" si="14"/>
        <v>5633211</v>
      </c>
      <c r="FJ11" s="141">
        <v>98497603</v>
      </c>
      <c r="FK11" s="379">
        <f t="shared" si="15"/>
        <v>0.8</v>
      </c>
      <c r="FL11" s="141">
        <v>79614794</v>
      </c>
      <c r="FM11" s="141">
        <v>713412</v>
      </c>
      <c r="FN11" s="141">
        <v>59177518</v>
      </c>
      <c r="FO11" s="141">
        <v>62055717</v>
      </c>
      <c r="FP11" s="390">
        <v>0.95199999999999996</v>
      </c>
      <c r="FQ11" s="380">
        <v>96.2</v>
      </c>
      <c r="FR11" s="381">
        <v>28.9</v>
      </c>
      <c r="FS11" s="380">
        <v>17.2</v>
      </c>
      <c r="FT11" s="380">
        <v>7.9</v>
      </c>
      <c r="FU11" s="381">
        <v>20.2</v>
      </c>
      <c r="FV11" s="380">
        <v>6.6</v>
      </c>
      <c r="FW11" s="382">
        <v>12</v>
      </c>
      <c r="FX11" s="383">
        <v>0.2</v>
      </c>
      <c r="FY11" s="141">
        <v>60559045</v>
      </c>
      <c r="FZ11" s="384">
        <f t="shared" si="16"/>
        <v>75.400000000000006</v>
      </c>
      <c r="GA11" s="141">
        <v>34097355</v>
      </c>
      <c r="GB11" s="141">
        <v>14563568</v>
      </c>
      <c r="GC11" s="141">
        <v>0</v>
      </c>
      <c r="GD11" s="141">
        <v>19533787</v>
      </c>
      <c r="GE11" s="107"/>
      <c r="GF11" s="385"/>
      <c r="GG11" s="386"/>
      <c r="GH11" s="380">
        <v>99.6</v>
      </c>
      <c r="GI11" s="380">
        <v>40.299999999999997</v>
      </c>
      <c r="GJ11" s="380">
        <v>99</v>
      </c>
      <c r="GK11" s="141">
        <v>2566</v>
      </c>
      <c r="GL11" s="391" t="s">
        <v>646</v>
      </c>
      <c r="GM11" s="391">
        <v>11.25</v>
      </c>
      <c r="GN11" s="117">
        <v>20</v>
      </c>
      <c r="GO11" s="391" t="s">
        <v>646</v>
      </c>
      <c r="GP11" s="392">
        <v>16.25</v>
      </c>
      <c r="GQ11" s="387">
        <v>30</v>
      </c>
      <c r="GR11" s="381">
        <v>0.2</v>
      </c>
      <c r="GS11" s="388">
        <v>25</v>
      </c>
      <c r="GT11" s="388">
        <v>35</v>
      </c>
      <c r="GU11" s="393" t="s">
        <v>646</v>
      </c>
      <c r="GV11" s="388">
        <v>350</v>
      </c>
      <c r="GW11" s="394"/>
      <c r="GX11" s="100">
        <f t="shared" si="17"/>
        <v>80328</v>
      </c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  <c r="HW11" s="394"/>
      <c r="HX11" s="394"/>
    </row>
    <row r="12" spans="2:232" x14ac:dyDescent="0.15">
      <c r="B12" s="89" t="s">
        <v>13</v>
      </c>
      <c r="C12" s="141">
        <v>12058165</v>
      </c>
      <c r="D12" s="73">
        <f t="shared" si="0"/>
        <v>4036024</v>
      </c>
      <c r="E12" s="141">
        <v>122891</v>
      </c>
      <c r="F12" s="141">
        <v>3913133</v>
      </c>
      <c r="G12" s="73">
        <f t="shared" si="1"/>
        <v>806939</v>
      </c>
      <c r="H12" s="141">
        <v>283561</v>
      </c>
      <c r="I12" s="141">
        <v>523378</v>
      </c>
      <c r="J12" s="141">
        <v>5412319</v>
      </c>
      <c r="K12" s="141">
        <v>1898353</v>
      </c>
      <c r="L12" s="141">
        <v>2188032</v>
      </c>
      <c r="M12" s="141">
        <v>763680</v>
      </c>
      <c r="N12" s="141">
        <v>657724</v>
      </c>
      <c r="O12" s="141">
        <v>1003076</v>
      </c>
      <c r="P12" s="141">
        <v>518977</v>
      </c>
      <c r="Q12" s="141">
        <v>484099</v>
      </c>
      <c r="R12" s="141">
        <v>184574</v>
      </c>
      <c r="S12" s="74"/>
      <c r="T12" s="73">
        <f t="shared" si="2"/>
        <v>2150360</v>
      </c>
      <c r="U12" s="141">
        <v>8911</v>
      </c>
      <c r="V12" s="141">
        <v>89088</v>
      </c>
      <c r="W12" s="141">
        <v>95839</v>
      </c>
      <c r="X12" s="141">
        <v>1717405</v>
      </c>
      <c r="Y12" s="141">
        <v>0</v>
      </c>
      <c r="Z12" s="141">
        <v>0</v>
      </c>
      <c r="AA12" s="141">
        <v>1618</v>
      </c>
      <c r="AB12" s="141">
        <v>35560</v>
      </c>
      <c r="AC12" s="141">
        <v>201939</v>
      </c>
      <c r="AD12" s="141">
        <v>72954</v>
      </c>
      <c r="AE12" s="141">
        <v>4844237</v>
      </c>
      <c r="AF12" s="141">
        <v>4562662</v>
      </c>
      <c r="AG12" s="141">
        <v>281575</v>
      </c>
      <c r="AH12" s="141">
        <v>10838</v>
      </c>
      <c r="AI12" s="141">
        <v>24139</v>
      </c>
      <c r="AJ12" s="73">
        <f t="shared" si="3"/>
        <v>362781</v>
      </c>
      <c r="AK12" s="141">
        <v>242090</v>
      </c>
      <c r="AL12" s="141">
        <v>120691</v>
      </c>
      <c r="AM12" s="141">
        <v>9255065</v>
      </c>
      <c r="AN12" s="73">
        <f t="shared" si="4"/>
        <v>4368223</v>
      </c>
      <c r="AO12" s="141">
        <v>2247725</v>
      </c>
      <c r="AP12" s="141">
        <v>704777</v>
      </c>
      <c r="AQ12" s="74"/>
      <c r="AR12" s="141">
        <v>1415721</v>
      </c>
      <c r="AS12" s="141">
        <v>911743</v>
      </c>
      <c r="AT12" s="141">
        <v>0</v>
      </c>
      <c r="AU12" s="141">
        <v>0</v>
      </c>
      <c r="AV12" s="141">
        <v>2487890</v>
      </c>
      <c r="AW12" s="141">
        <v>1440288</v>
      </c>
      <c r="AX12" s="141">
        <v>303588</v>
      </c>
      <c r="AY12" s="141">
        <v>2550</v>
      </c>
      <c r="AZ12" s="141">
        <v>1047602</v>
      </c>
      <c r="BA12" s="141">
        <v>157407</v>
      </c>
      <c r="BB12" s="141">
        <v>486027</v>
      </c>
      <c r="BC12" s="141">
        <v>376024</v>
      </c>
      <c r="BD12" s="141">
        <v>694611</v>
      </c>
      <c r="BE12" s="141">
        <v>1493290</v>
      </c>
      <c r="BF12" s="141">
        <v>700000</v>
      </c>
      <c r="BG12" s="141">
        <v>86460</v>
      </c>
      <c r="BH12" s="141">
        <v>606231</v>
      </c>
      <c r="BI12" s="141">
        <v>0</v>
      </c>
      <c r="BJ12" s="141">
        <v>523085</v>
      </c>
      <c r="BK12" s="141">
        <v>319278</v>
      </c>
      <c r="BL12" s="141">
        <v>978054</v>
      </c>
      <c r="BM12" s="141">
        <v>0</v>
      </c>
      <c r="BN12" s="141">
        <v>0</v>
      </c>
      <c r="BO12" s="141">
        <v>376531</v>
      </c>
      <c r="BP12" s="141">
        <v>3745903</v>
      </c>
      <c r="BQ12" s="73">
        <f t="shared" si="5"/>
        <v>3569900</v>
      </c>
      <c r="BR12" s="73">
        <f t="shared" si="6"/>
        <v>176003</v>
      </c>
      <c r="BS12" s="141">
        <v>0</v>
      </c>
      <c r="BT12" s="141">
        <v>0</v>
      </c>
      <c r="BU12" s="141">
        <v>176003</v>
      </c>
      <c r="BV12" s="141">
        <v>0</v>
      </c>
      <c r="BW12" s="141">
        <v>39371973</v>
      </c>
      <c r="BX12" s="71"/>
      <c r="BY12" s="141">
        <v>4675042</v>
      </c>
      <c r="BZ12" s="141">
        <v>2813075</v>
      </c>
      <c r="CA12" s="141">
        <v>65481</v>
      </c>
      <c r="CB12" s="141">
        <v>878670</v>
      </c>
      <c r="CC12" s="141">
        <v>9614253</v>
      </c>
      <c r="CD12" s="141">
        <v>3112878</v>
      </c>
      <c r="CE12" s="141">
        <v>68786</v>
      </c>
      <c r="CF12" s="141">
        <v>3096492</v>
      </c>
      <c r="CG12" s="141">
        <v>2899975</v>
      </c>
      <c r="CH12" s="141">
        <v>100983</v>
      </c>
      <c r="CI12" s="141">
        <v>335139</v>
      </c>
      <c r="CJ12" s="141">
        <v>2563916</v>
      </c>
      <c r="CK12" s="141">
        <v>2413373</v>
      </c>
      <c r="CL12" s="83">
        <f t="shared" si="7"/>
        <v>150543</v>
      </c>
      <c r="CM12" s="141">
        <v>4529962</v>
      </c>
      <c r="CN12" s="141">
        <v>2906696</v>
      </c>
      <c r="CO12" s="102"/>
      <c r="CP12" s="141">
        <v>847762</v>
      </c>
      <c r="CQ12" s="141">
        <v>190300</v>
      </c>
      <c r="CR12" s="141">
        <v>6392803</v>
      </c>
      <c r="CS12" s="141">
        <v>367839</v>
      </c>
      <c r="CT12" s="141">
        <v>1536632</v>
      </c>
      <c r="CU12" s="141">
        <v>1507421</v>
      </c>
      <c r="CV12" s="73">
        <f t="shared" si="8"/>
        <v>3340742</v>
      </c>
      <c r="CW12" s="141">
        <v>2263111</v>
      </c>
      <c r="CX12" s="141">
        <v>1077631</v>
      </c>
      <c r="CY12" s="73">
        <f t="shared" si="9"/>
        <v>2063200</v>
      </c>
      <c r="CZ12" s="141">
        <v>2063200</v>
      </c>
      <c r="DA12" s="141">
        <v>0</v>
      </c>
      <c r="DB12" s="73">
        <f t="shared" si="10"/>
        <v>1233071</v>
      </c>
      <c r="DC12" s="141">
        <v>163381</v>
      </c>
      <c r="DD12" s="141">
        <v>1069690</v>
      </c>
      <c r="DE12" s="141">
        <v>5757753</v>
      </c>
      <c r="DF12" s="141">
        <v>2368336</v>
      </c>
      <c r="DG12" s="141">
        <v>3389417</v>
      </c>
      <c r="DH12" s="141">
        <v>0</v>
      </c>
      <c r="DI12" s="141">
        <v>0</v>
      </c>
      <c r="DJ12" s="141">
        <v>0</v>
      </c>
      <c r="DK12" s="141">
        <v>2217167</v>
      </c>
      <c r="DL12" s="141">
        <v>619102</v>
      </c>
      <c r="DM12" s="141">
        <v>703951</v>
      </c>
      <c r="DN12" s="141">
        <v>894114</v>
      </c>
      <c r="DO12" s="141">
        <v>0</v>
      </c>
      <c r="DP12" s="141">
        <v>0</v>
      </c>
      <c r="DQ12" s="141">
        <v>0</v>
      </c>
      <c r="DR12" s="141">
        <v>0</v>
      </c>
      <c r="DS12" s="141">
        <v>0</v>
      </c>
      <c r="DT12" s="141">
        <v>0</v>
      </c>
      <c r="DU12" s="141">
        <v>0</v>
      </c>
      <c r="DV12" s="141">
        <v>3193390</v>
      </c>
      <c r="DW12" s="141">
        <v>65367</v>
      </c>
      <c r="DX12" s="73">
        <f t="shared" si="11"/>
        <v>0</v>
      </c>
      <c r="DY12" s="141">
        <v>0</v>
      </c>
      <c r="DZ12" s="141">
        <v>1211765</v>
      </c>
      <c r="EA12" s="141">
        <v>0</v>
      </c>
      <c r="EB12" s="141">
        <v>830358</v>
      </c>
      <c r="EC12" s="74"/>
      <c r="ED12" s="141">
        <v>1085900</v>
      </c>
      <c r="EE12" s="141">
        <v>0</v>
      </c>
      <c r="EF12" s="141">
        <v>39134586</v>
      </c>
      <c r="EG12" s="71"/>
      <c r="EH12" s="141">
        <v>237387</v>
      </c>
      <c r="EI12" s="141">
        <v>16575</v>
      </c>
      <c r="EJ12" s="141">
        <v>220812</v>
      </c>
      <c r="EK12" s="141">
        <v>-98466</v>
      </c>
      <c r="EL12" s="141">
        <v>-179364</v>
      </c>
      <c r="EM12" s="71"/>
      <c r="EN12" s="141">
        <v>74412</v>
      </c>
      <c r="EO12" s="141">
        <v>73145</v>
      </c>
      <c r="EP12" s="141">
        <v>792870</v>
      </c>
      <c r="EQ12" s="141">
        <v>14903</v>
      </c>
      <c r="ER12" s="73">
        <f t="shared" si="12"/>
        <v>3207927</v>
      </c>
      <c r="ES12" s="141">
        <v>19321128</v>
      </c>
      <c r="ET12" s="141">
        <v>-4180865</v>
      </c>
      <c r="EU12" s="141">
        <v>4174507</v>
      </c>
      <c r="EV12" s="141">
        <v>2510883</v>
      </c>
      <c r="EW12" s="141">
        <v>2801315</v>
      </c>
      <c r="EX12" s="141">
        <v>2552771</v>
      </c>
      <c r="EY12" s="73">
        <f t="shared" si="13"/>
        <v>1348836</v>
      </c>
      <c r="EZ12" s="141">
        <v>1348836</v>
      </c>
      <c r="FA12" s="141">
        <v>127736</v>
      </c>
      <c r="FB12" s="141">
        <v>1221100</v>
      </c>
      <c r="FC12" s="141">
        <v>0</v>
      </c>
      <c r="FD12" s="141">
        <v>0</v>
      </c>
      <c r="FE12" s="141">
        <v>3326699</v>
      </c>
      <c r="FF12" s="141">
        <v>5106060</v>
      </c>
      <c r="FG12" s="141">
        <v>367839</v>
      </c>
      <c r="FH12" s="141">
        <v>2424186</v>
      </c>
      <c r="FI12" s="73">
        <f t="shared" si="14"/>
        <v>1530232</v>
      </c>
      <c r="FJ12" s="141">
        <v>23264606</v>
      </c>
      <c r="FK12" s="379">
        <f t="shared" si="15"/>
        <v>1.2</v>
      </c>
      <c r="FL12" s="141">
        <v>17704882</v>
      </c>
      <c r="FM12" s="141">
        <v>176003</v>
      </c>
      <c r="FN12" s="141">
        <v>10334287</v>
      </c>
      <c r="FO12" s="141">
        <v>14892598</v>
      </c>
      <c r="FP12" s="395">
        <v>0.69199999999999995</v>
      </c>
      <c r="FQ12" s="380">
        <v>96.7</v>
      </c>
      <c r="FR12" s="381">
        <v>22.2</v>
      </c>
      <c r="FS12" s="380">
        <v>15.3</v>
      </c>
      <c r="FT12" s="380">
        <v>13.9</v>
      </c>
      <c r="FU12" s="381">
        <v>16.100000000000001</v>
      </c>
      <c r="FV12" s="380">
        <v>15.8</v>
      </c>
      <c r="FW12" s="382">
        <v>12.5</v>
      </c>
      <c r="FX12" s="383">
        <v>8.9</v>
      </c>
      <c r="FY12" s="141">
        <v>27580242</v>
      </c>
      <c r="FZ12" s="384">
        <f t="shared" si="16"/>
        <v>154.19999999999999</v>
      </c>
      <c r="GA12" s="141">
        <v>9877336</v>
      </c>
      <c r="GB12" s="141">
        <v>4753019</v>
      </c>
      <c r="GC12" s="141">
        <v>617491</v>
      </c>
      <c r="GD12" s="141">
        <v>4506826</v>
      </c>
      <c r="GE12" s="107"/>
      <c r="GF12" s="385"/>
      <c r="GG12" s="386" t="str">
        <f>IF(GF12=0,"-",ROUND(GF12/(GX12)*100,1))</f>
        <v>-</v>
      </c>
      <c r="GH12" s="380">
        <v>99</v>
      </c>
      <c r="GI12" s="380">
        <v>36</v>
      </c>
      <c r="GJ12" s="380">
        <v>97.9</v>
      </c>
      <c r="GK12" s="141">
        <v>488</v>
      </c>
      <c r="GL12" s="391" t="s">
        <v>646</v>
      </c>
      <c r="GM12" s="391">
        <v>12.6</v>
      </c>
      <c r="GN12" s="117">
        <v>20</v>
      </c>
      <c r="GO12" s="391" t="s">
        <v>646</v>
      </c>
      <c r="GP12" s="392">
        <v>17.600000000000001</v>
      </c>
      <c r="GQ12" s="387">
        <v>30</v>
      </c>
      <c r="GR12" s="381">
        <v>8.9</v>
      </c>
      <c r="GS12" s="388">
        <v>25</v>
      </c>
      <c r="GT12" s="388">
        <v>35</v>
      </c>
      <c r="GU12" s="393">
        <v>9.5</v>
      </c>
      <c r="GV12" s="388">
        <v>350</v>
      </c>
      <c r="GW12" s="394"/>
      <c r="GX12" s="100">
        <f t="shared" si="17"/>
        <v>17881</v>
      </c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  <c r="HW12" s="394"/>
      <c r="HX12" s="394"/>
    </row>
    <row r="13" spans="2:232" ht="12.75" customHeight="1" x14ac:dyDescent="0.15">
      <c r="B13" s="89" t="s">
        <v>15</v>
      </c>
      <c r="C13" s="141">
        <v>52212409</v>
      </c>
      <c r="D13" s="73">
        <f t="shared" si="0"/>
        <v>21557383</v>
      </c>
      <c r="E13" s="141">
        <v>597123</v>
      </c>
      <c r="F13" s="141">
        <v>20960260</v>
      </c>
      <c r="G13" s="73">
        <f t="shared" si="1"/>
        <v>2769526</v>
      </c>
      <c r="H13" s="141">
        <v>852176</v>
      </c>
      <c r="I13" s="141">
        <v>1917350</v>
      </c>
      <c r="J13" s="141">
        <v>20287260</v>
      </c>
      <c r="K13" s="141">
        <v>8010682</v>
      </c>
      <c r="L13" s="141">
        <v>9426557</v>
      </c>
      <c r="M13" s="141">
        <v>2601187</v>
      </c>
      <c r="N13" s="141">
        <v>1753575</v>
      </c>
      <c r="O13" s="141">
        <v>4170053</v>
      </c>
      <c r="P13" s="141">
        <v>2191246</v>
      </c>
      <c r="Q13" s="141">
        <v>1978807</v>
      </c>
      <c r="R13" s="141">
        <v>629484</v>
      </c>
      <c r="S13" s="74"/>
      <c r="T13" s="73">
        <f t="shared" si="2"/>
        <v>9860924</v>
      </c>
      <c r="U13" s="141">
        <v>48594</v>
      </c>
      <c r="V13" s="141">
        <v>485399</v>
      </c>
      <c r="W13" s="141">
        <v>521665</v>
      </c>
      <c r="X13" s="141">
        <v>7822388</v>
      </c>
      <c r="Y13" s="141">
        <v>46758</v>
      </c>
      <c r="Z13" s="141">
        <v>0</v>
      </c>
      <c r="AA13" s="141">
        <v>7445</v>
      </c>
      <c r="AB13" s="141">
        <v>163627</v>
      </c>
      <c r="AC13" s="141">
        <v>765048</v>
      </c>
      <c r="AD13" s="141">
        <v>385748</v>
      </c>
      <c r="AE13" s="141">
        <v>15583009</v>
      </c>
      <c r="AF13" s="141">
        <v>14971255</v>
      </c>
      <c r="AG13" s="141">
        <v>611754</v>
      </c>
      <c r="AH13" s="141">
        <v>33784</v>
      </c>
      <c r="AI13" s="141">
        <v>981739</v>
      </c>
      <c r="AJ13" s="73">
        <f t="shared" si="3"/>
        <v>2232240</v>
      </c>
      <c r="AK13" s="141">
        <v>1782727</v>
      </c>
      <c r="AL13" s="141">
        <v>449513</v>
      </c>
      <c r="AM13" s="141">
        <v>36484651</v>
      </c>
      <c r="AN13" s="73">
        <f t="shared" si="4"/>
        <v>18070801</v>
      </c>
      <c r="AO13" s="141">
        <v>7785847</v>
      </c>
      <c r="AP13" s="141">
        <v>5754048</v>
      </c>
      <c r="AQ13" s="74"/>
      <c r="AR13" s="141">
        <v>4530906</v>
      </c>
      <c r="AS13" s="141">
        <v>1868974</v>
      </c>
      <c r="AT13" s="141">
        <v>0</v>
      </c>
      <c r="AU13" s="141">
        <v>0</v>
      </c>
      <c r="AV13" s="141">
        <v>11578207</v>
      </c>
      <c r="AW13" s="141">
        <v>7424456</v>
      </c>
      <c r="AX13" s="141">
        <v>2086853</v>
      </c>
      <c r="AY13" s="141">
        <v>468736</v>
      </c>
      <c r="AZ13" s="141">
        <v>4153751</v>
      </c>
      <c r="BA13" s="141">
        <v>708410</v>
      </c>
      <c r="BB13" s="141">
        <v>292641</v>
      </c>
      <c r="BC13" s="141">
        <v>89016</v>
      </c>
      <c r="BD13" s="141">
        <v>729358</v>
      </c>
      <c r="BE13" s="141">
        <v>142799</v>
      </c>
      <c r="BF13" s="141">
        <v>0</v>
      </c>
      <c r="BG13" s="141">
        <v>0</v>
      </c>
      <c r="BH13" s="141">
        <v>31688</v>
      </c>
      <c r="BI13" s="141">
        <v>0</v>
      </c>
      <c r="BJ13" s="141">
        <v>1698711</v>
      </c>
      <c r="BK13" s="141">
        <v>1032222</v>
      </c>
      <c r="BL13" s="141">
        <v>4235110</v>
      </c>
      <c r="BM13" s="141">
        <v>390553</v>
      </c>
      <c r="BN13" s="141">
        <v>0</v>
      </c>
      <c r="BO13" s="141">
        <v>541398</v>
      </c>
      <c r="BP13" s="141">
        <v>2779800</v>
      </c>
      <c r="BQ13" s="73">
        <f t="shared" si="5"/>
        <v>2779800</v>
      </c>
      <c r="BR13" s="73">
        <f t="shared" si="6"/>
        <v>0</v>
      </c>
      <c r="BS13" s="141">
        <v>0</v>
      </c>
      <c r="BT13" s="141">
        <v>0</v>
      </c>
      <c r="BU13" s="141">
        <v>0</v>
      </c>
      <c r="BV13" s="141">
        <v>0</v>
      </c>
      <c r="BW13" s="141">
        <v>139860614</v>
      </c>
      <c r="BX13" s="71"/>
      <c r="BY13" s="141">
        <v>20734278</v>
      </c>
      <c r="BZ13" s="141">
        <v>14050791</v>
      </c>
      <c r="CA13" s="141">
        <v>318334</v>
      </c>
      <c r="CB13" s="141">
        <v>2627787</v>
      </c>
      <c r="CC13" s="141">
        <v>46546657</v>
      </c>
      <c r="CD13" s="141">
        <v>14788688</v>
      </c>
      <c r="CE13" s="141">
        <v>56937</v>
      </c>
      <c r="CF13" s="141">
        <v>19144139</v>
      </c>
      <c r="CG13" s="141">
        <v>10154892</v>
      </c>
      <c r="CH13" s="141">
        <v>718906</v>
      </c>
      <c r="CI13" s="141">
        <v>1682115</v>
      </c>
      <c r="CJ13" s="141">
        <v>7793218</v>
      </c>
      <c r="CK13" s="141">
        <v>7719332</v>
      </c>
      <c r="CL13" s="83">
        <f t="shared" si="7"/>
        <v>73886</v>
      </c>
      <c r="CM13" s="141">
        <v>18659754</v>
      </c>
      <c r="CN13" s="141">
        <v>12502885</v>
      </c>
      <c r="CO13" s="102"/>
      <c r="CP13" s="141">
        <v>4133857</v>
      </c>
      <c r="CQ13" s="141">
        <v>2221131</v>
      </c>
      <c r="CR13" s="141">
        <v>11900607</v>
      </c>
      <c r="CS13" s="141">
        <v>24617</v>
      </c>
      <c r="CT13" s="141">
        <v>4203823</v>
      </c>
      <c r="CU13" s="141">
        <v>3048640</v>
      </c>
      <c r="CV13" s="73">
        <f t="shared" si="8"/>
        <v>3952626</v>
      </c>
      <c r="CW13" s="141">
        <v>1766828</v>
      </c>
      <c r="CX13" s="141">
        <v>2185798</v>
      </c>
      <c r="CY13" s="73">
        <f t="shared" si="9"/>
        <v>0</v>
      </c>
      <c r="CZ13" s="141">
        <v>0</v>
      </c>
      <c r="DA13" s="141">
        <v>0</v>
      </c>
      <c r="DB13" s="73">
        <f t="shared" si="10"/>
        <v>1958752</v>
      </c>
      <c r="DC13" s="141">
        <v>1750179</v>
      </c>
      <c r="DD13" s="141">
        <v>208573</v>
      </c>
      <c r="DE13" s="141">
        <v>10297445</v>
      </c>
      <c r="DF13" s="141">
        <v>6849882</v>
      </c>
      <c r="DG13" s="141">
        <v>2502725</v>
      </c>
      <c r="DH13" s="141">
        <v>43238</v>
      </c>
      <c r="DI13" s="141">
        <v>901600</v>
      </c>
      <c r="DJ13" s="141">
        <v>0</v>
      </c>
      <c r="DK13" s="141">
        <v>2641795</v>
      </c>
      <c r="DL13" s="141">
        <v>949581</v>
      </c>
      <c r="DM13" s="141">
        <v>14</v>
      </c>
      <c r="DN13" s="141">
        <v>1692200</v>
      </c>
      <c r="DO13" s="141">
        <v>0</v>
      </c>
      <c r="DP13" s="141">
        <v>0</v>
      </c>
      <c r="DQ13" s="141">
        <v>0</v>
      </c>
      <c r="DR13" s="141">
        <v>0</v>
      </c>
      <c r="DS13" s="141">
        <v>319749</v>
      </c>
      <c r="DT13" s="141">
        <v>0</v>
      </c>
      <c r="DU13" s="141">
        <v>0</v>
      </c>
      <c r="DV13" s="141">
        <v>13846912</v>
      </c>
      <c r="DW13" s="141">
        <v>0</v>
      </c>
      <c r="DX13" s="73">
        <f t="shared" si="11"/>
        <v>0</v>
      </c>
      <c r="DY13" s="141">
        <v>0</v>
      </c>
      <c r="DZ13" s="141">
        <v>5930670</v>
      </c>
      <c r="EA13" s="141">
        <v>0</v>
      </c>
      <c r="EB13" s="141">
        <v>3106989</v>
      </c>
      <c r="EC13" s="74"/>
      <c r="ED13" s="141">
        <v>4809238</v>
      </c>
      <c r="EE13" s="141">
        <v>0</v>
      </c>
      <c r="EF13" s="141">
        <v>134961546</v>
      </c>
      <c r="EG13" s="71"/>
      <c r="EH13" s="141">
        <v>4899068</v>
      </c>
      <c r="EI13" s="141">
        <v>2240877</v>
      </c>
      <c r="EJ13" s="141">
        <v>2658191</v>
      </c>
      <c r="EK13" s="141">
        <v>1625969</v>
      </c>
      <c r="EL13" s="141">
        <v>2575550</v>
      </c>
      <c r="EM13" s="71"/>
      <c r="EN13" s="141">
        <v>352698</v>
      </c>
      <c r="EO13" s="141">
        <v>346972</v>
      </c>
      <c r="EP13" s="141">
        <v>0</v>
      </c>
      <c r="EQ13" s="141">
        <v>183637</v>
      </c>
      <c r="ER13" s="73">
        <f t="shared" si="12"/>
        <v>9854249</v>
      </c>
      <c r="ES13" s="141">
        <v>78705358</v>
      </c>
      <c r="ET13" s="141">
        <v>-10004102</v>
      </c>
      <c r="EU13" s="141">
        <v>18945827</v>
      </c>
      <c r="EV13" s="141">
        <v>13071764</v>
      </c>
      <c r="EW13" s="141">
        <v>16895879</v>
      </c>
      <c r="EX13" s="141">
        <v>7201825</v>
      </c>
      <c r="EY13" s="73">
        <f t="shared" si="13"/>
        <v>2707486</v>
      </c>
      <c r="EZ13" s="141">
        <v>2707486</v>
      </c>
      <c r="FA13" s="141">
        <v>918590</v>
      </c>
      <c r="FB13" s="141">
        <v>1745658</v>
      </c>
      <c r="FC13" s="141">
        <v>0</v>
      </c>
      <c r="FD13" s="141">
        <v>0</v>
      </c>
      <c r="FE13" s="141">
        <v>12800289</v>
      </c>
      <c r="FF13" s="141">
        <v>9939655</v>
      </c>
      <c r="FG13" s="141">
        <v>24617</v>
      </c>
      <c r="FH13" s="141">
        <v>10984513</v>
      </c>
      <c r="FI13" s="73">
        <f t="shared" si="14"/>
        <v>4526064</v>
      </c>
      <c r="FJ13" s="141">
        <v>84001538</v>
      </c>
      <c r="FK13" s="379">
        <f t="shared" si="15"/>
        <v>3.6</v>
      </c>
      <c r="FL13" s="141">
        <v>72193002</v>
      </c>
      <c r="FM13" s="141">
        <v>1851832</v>
      </c>
      <c r="FN13" s="141">
        <v>44905772</v>
      </c>
      <c r="FO13" s="141">
        <v>59877027</v>
      </c>
      <c r="FP13" s="395">
        <v>0.75800000000000001</v>
      </c>
      <c r="FQ13" s="380">
        <v>91.7</v>
      </c>
      <c r="FR13" s="381">
        <v>25.3</v>
      </c>
      <c r="FS13" s="380">
        <v>16.399999999999999</v>
      </c>
      <c r="FT13" s="380">
        <v>9.6999999999999993</v>
      </c>
      <c r="FU13" s="381">
        <v>15.9</v>
      </c>
      <c r="FV13" s="380">
        <v>7.4</v>
      </c>
      <c r="FW13" s="382">
        <v>14.3</v>
      </c>
      <c r="FX13" s="383">
        <v>-2.2000000000000002</v>
      </c>
      <c r="FY13" s="141">
        <v>36775214</v>
      </c>
      <c r="FZ13" s="384">
        <f t="shared" si="16"/>
        <v>49.7</v>
      </c>
      <c r="GA13" s="141">
        <v>41057864</v>
      </c>
      <c r="GB13" s="141">
        <v>16932454</v>
      </c>
      <c r="GC13" s="141">
        <v>2531230</v>
      </c>
      <c r="GD13" s="141">
        <v>21594180</v>
      </c>
      <c r="GE13" s="107"/>
      <c r="GF13" s="385">
        <v>891</v>
      </c>
      <c r="GG13" s="386">
        <f>IF(GF13=0,"-",ROUND(GF13/(GX13)*100,1))</f>
        <v>1.2</v>
      </c>
      <c r="GH13" s="380">
        <v>99.7</v>
      </c>
      <c r="GI13" s="380">
        <v>54.9</v>
      </c>
      <c r="GJ13" s="380">
        <v>99.5</v>
      </c>
      <c r="GK13" s="141">
        <v>2083</v>
      </c>
      <c r="GL13" s="391" t="s">
        <v>646</v>
      </c>
      <c r="GM13" s="391">
        <v>11.25</v>
      </c>
      <c r="GN13" s="117">
        <v>20</v>
      </c>
      <c r="GO13" s="391" t="s">
        <v>646</v>
      </c>
      <c r="GP13" s="392">
        <v>16.25</v>
      </c>
      <c r="GQ13" s="387">
        <v>30</v>
      </c>
      <c r="GR13" s="381">
        <v>-2.2000000000000002</v>
      </c>
      <c r="GS13" s="388">
        <v>25</v>
      </c>
      <c r="GT13" s="388">
        <v>35</v>
      </c>
      <c r="GU13" s="393" t="s">
        <v>646</v>
      </c>
      <c r="GV13" s="388">
        <v>350</v>
      </c>
      <c r="GW13" s="394"/>
      <c r="GX13" s="100">
        <f t="shared" si="17"/>
        <v>74045</v>
      </c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  <c r="HW13" s="394"/>
      <c r="HX13" s="394"/>
    </row>
    <row r="14" spans="2:232" x14ac:dyDescent="0.15">
      <c r="B14" s="89" t="s">
        <v>17</v>
      </c>
      <c r="C14" s="141">
        <v>11445284</v>
      </c>
      <c r="D14" s="73">
        <f t="shared" si="0"/>
        <v>4067053</v>
      </c>
      <c r="E14" s="141">
        <v>136312</v>
      </c>
      <c r="F14" s="141">
        <v>3930741</v>
      </c>
      <c r="G14" s="73">
        <f t="shared" si="1"/>
        <v>612070</v>
      </c>
      <c r="H14" s="141">
        <v>198666</v>
      </c>
      <c r="I14" s="141">
        <v>413404</v>
      </c>
      <c r="J14" s="141">
        <v>4930664</v>
      </c>
      <c r="K14" s="141">
        <v>1612340</v>
      </c>
      <c r="L14" s="141">
        <v>2289965</v>
      </c>
      <c r="M14" s="141">
        <v>827197</v>
      </c>
      <c r="N14" s="141">
        <v>709223</v>
      </c>
      <c r="O14" s="141">
        <v>885003</v>
      </c>
      <c r="P14" s="141">
        <v>408721</v>
      </c>
      <c r="Q14" s="141">
        <v>476282</v>
      </c>
      <c r="R14" s="141">
        <v>180087</v>
      </c>
      <c r="S14" s="74"/>
      <c r="T14" s="73">
        <f t="shared" si="2"/>
        <v>2407084</v>
      </c>
      <c r="U14" s="141">
        <v>9545</v>
      </c>
      <c r="V14" s="141">
        <v>95287</v>
      </c>
      <c r="W14" s="141">
        <v>102316</v>
      </c>
      <c r="X14" s="141">
        <v>1931351</v>
      </c>
      <c r="Y14" s="141">
        <v>0</v>
      </c>
      <c r="Z14" s="141">
        <v>0</v>
      </c>
      <c r="AA14" s="141">
        <v>2137</v>
      </c>
      <c r="AB14" s="141">
        <v>46973</v>
      </c>
      <c r="AC14" s="141">
        <v>219475</v>
      </c>
      <c r="AD14" s="141">
        <v>78217</v>
      </c>
      <c r="AE14" s="141">
        <v>6436459</v>
      </c>
      <c r="AF14" s="141">
        <v>6038611</v>
      </c>
      <c r="AG14" s="141">
        <v>397848</v>
      </c>
      <c r="AH14" s="141">
        <v>11615</v>
      </c>
      <c r="AI14" s="141">
        <v>41041</v>
      </c>
      <c r="AJ14" s="73">
        <f t="shared" si="3"/>
        <v>464780</v>
      </c>
      <c r="AK14" s="141">
        <v>348372</v>
      </c>
      <c r="AL14" s="141">
        <v>116408</v>
      </c>
      <c r="AM14" s="141">
        <v>8625776</v>
      </c>
      <c r="AN14" s="73">
        <f t="shared" si="4"/>
        <v>4738591</v>
      </c>
      <c r="AO14" s="141">
        <v>2233208</v>
      </c>
      <c r="AP14" s="141">
        <v>1367343</v>
      </c>
      <c r="AQ14" s="74"/>
      <c r="AR14" s="141">
        <v>1138040</v>
      </c>
      <c r="AS14" s="141">
        <v>202612</v>
      </c>
      <c r="AT14" s="141">
        <v>0</v>
      </c>
      <c r="AU14" s="141">
        <v>0</v>
      </c>
      <c r="AV14" s="141">
        <v>2890686</v>
      </c>
      <c r="AW14" s="141">
        <v>2018507</v>
      </c>
      <c r="AX14" s="141">
        <v>461617</v>
      </c>
      <c r="AY14" s="141">
        <v>53025</v>
      </c>
      <c r="AZ14" s="141">
        <v>872179</v>
      </c>
      <c r="BA14" s="141">
        <v>10658</v>
      </c>
      <c r="BB14" s="141">
        <v>31102</v>
      </c>
      <c r="BC14" s="141">
        <v>457</v>
      </c>
      <c r="BD14" s="141">
        <v>603129</v>
      </c>
      <c r="BE14" s="141">
        <v>695203</v>
      </c>
      <c r="BF14" s="141">
        <v>0</v>
      </c>
      <c r="BG14" s="141">
        <v>0</v>
      </c>
      <c r="BH14" s="141">
        <v>690402</v>
      </c>
      <c r="BI14" s="141">
        <v>0</v>
      </c>
      <c r="BJ14" s="141">
        <v>487659</v>
      </c>
      <c r="BK14" s="141">
        <v>461411</v>
      </c>
      <c r="BL14" s="141">
        <v>831307</v>
      </c>
      <c r="BM14" s="141">
        <v>125395</v>
      </c>
      <c r="BN14" s="141">
        <v>0</v>
      </c>
      <c r="BO14" s="141">
        <v>381093</v>
      </c>
      <c r="BP14" s="141">
        <v>1911251</v>
      </c>
      <c r="BQ14" s="73">
        <f t="shared" si="5"/>
        <v>1838300</v>
      </c>
      <c r="BR14" s="73">
        <f t="shared" si="6"/>
        <v>72951</v>
      </c>
      <c r="BS14" s="141">
        <v>0</v>
      </c>
      <c r="BT14" s="141">
        <v>0</v>
      </c>
      <c r="BU14" s="141">
        <v>72951</v>
      </c>
      <c r="BV14" s="141">
        <v>0</v>
      </c>
      <c r="BW14" s="141">
        <v>37140680</v>
      </c>
      <c r="BX14" s="71"/>
      <c r="BY14" s="141">
        <v>6188310</v>
      </c>
      <c r="BZ14" s="141">
        <v>3964442</v>
      </c>
      <c r="CA14" s="141">
        <v>176247</v>
      </c>
      <c r="CB14" s="141">
        <v>868555</v>
      </c>
      <c r="CC14" s="141">
        <v>12174923</v>
      </c>
      <c r="CD14" s="141">
        <v>3807324</v>
      </c>
      <c r="CE14" s="141">
        <v>16576</v>
      </c>
      <c r="CF14" s="141">
        <v>4911769</v>
      </c>
      <c r="CG14" s="141">
        <v>2963230</v>
      </c>
      <c r="CH14" s="141">
        <v>0</v>
      </c>
      <c r="CI14" s="141">
        <v>475924</v>
      </c>
      <c r="CJ14" s="141">
        <v>2667256</v>
      </c>
      <c r="CK14" s="141">
        <v>2517973</v>
      </c>
      <c r="CL14" s="83">
        <f t="shared" si="7"/>
        <v>149283</v>
      </c>
      <c r="CM14" s="141">
        <v>4018984</v>
      </c>
      <c r="CN14" s="141">
        <v>2595025</v>
      </c>
      <c r="CO14" s="102"/>
      <c r="CP14" s="141">
        <v>530641</v>
      </c>
      <c r="CQ14" s="141">
        <v>315825</v>
      </c>
      <c r="CR14" s="141">
        <v>3983870</v>
      </c>
      <c r="CS14" s="141">
        <v>529289</v>
      </c>
      <c r="CT14" s="141">
        <v>557186</v>
      </c>
      <c r="CU14" s="141">
        <v>216578</v>
      </c>
      <c r="CV14" s="73">
        <f t="shared" si="8"/>
        <v>2080996</v>
      </c>
      <c r="CW14" s="141">
        <v>1751182</v>
      </c>
      <c r="CX14" s="141">
        <v>329814</v>
      </c>
      <c r="CY14" s="73">
        <f t="shared" si="9"/>
        <v>932950</v>
      </c>
      <c r="CZ14" s="141">
        <v>930000</v>
      </c>
      <c r="DA14" s="141">
        <v>2950</v>
      </c>
      <c r="DB14" s="73">
        <f t="shared" si="10"/>
        <v>989641</v>
      </c>
      <c r="DC14" s="141">
        <v>807881</v>
      </c>
      <c r="DD14" s="141">
        <v>181760</v>
      </c>
      <c r="DE14" s="141">
        <v>2714853</v>
      </c>
      <c r="DF14" s="141">
        <v>773721</v>
      </c>
      <c r="DG14" s="141">
        <v>1352423</v>
      </c>
      <c r="DH14" s="141">
        <v>0</v>
      </c>
      <c r="DI14" s="141">
        <v>0</v>
      </c>
      <c r="DJ14" s="141">
        <v>0</v>
      </c>
      <c r="DK14" s="141">
        <v>925665</v>
      </c>
      <c r="DL14" s="141">
        <v>231000</v>
      </c>
      <c r="DM14" s="141">
        <v>71</v>
      </c>
      <c r="DN14" s="141">
        <v>694594</v>
      </c>
      <c r="DO14" s="141">
        <v>0</v>
      </c>
      <c r="DP14" s="141">
        <v>0</v>
      </c>
      <c r="DQ14" s="141">
        <v>0</v>
      </c>
      <c r="DR14" s="141">
        <v>0</v>
      </c>
      <c r="DS14" s="141">
        <v>119190</v>
      </c>
      <c r="DT14" s="141">
        <v>0</v>
      </c>
      <c r="DU14" s="141">
        <v>0</v>
      </c>
      <c r="DV14" s="141">
        <v>3703236</v>
      </c>
      <c r="DW14" s="141">
        <v>0</v>
      </c>
      <c r="DX14" s="73">
        <f t="shared" si="11"/>
        <v>0</v>
      </c>
      <c r="DY14" s="141">
        <v>0</v>
      </c>
      <c r="DZ14" s="141">
        <v>1491409</v>
      </c>
      <c r="EA14" s="141">
        <v>0</v>
      </c>
      <c r="EB14" s="141">
        <v>931852</v>
      </c>
      <c r="EC14" s="74"/>
      <c r="ED14" s="141">
        <v>1279975</v>
      </c>
      <c r="EE14" s="141">
        <v>0</v>
      </c>
      <c r="EF14" s="141">
        <v>36812112</v>
      </c>
      <c r="EG14" s="71"/>
      <c r="EH14" s="141">
        <v>328568</v>
      </c>
      <c r="EI14" s="141">
        <v>86089</v>
      </c>
      <c r="EJ14" s="141">
        <v>242479</v>
      </c>
      <c r="EK14" s="141">
        <v>-218932</v>
      </c>
      <c r="EL14" s="141">
        <v>12068</v>
      </c>
      <c r="EM14" s="71"/>
      <c r="EN14" s="141">
        <v>84443</v>
      </c>
      <c r="EO14" s="141">
        <v>82500</v>
      </c>
      <c r="EP14" s="141">
        <v>0</v>
      </c>
      <c r="EQ14" s="141">
        <v>28768</v>
      </c>
      <c r="ER14" s="73">
        <f t="shared" si="12"/>
        <v>2727941</v>
      </c>
      <c r="ES14" s="141">
        <v>20558746</v>
      </c>
      <c r="ET14" s="141">
        <v>-2818045</v>
      </c>
      <c r="EU14" s="141">
        <v>5700768</v>
      </c>
      <c r="EV14" s="141">
        <v>3704850</v>
      </c>
      <c r="EW14" s="141">
        <v>4043222</v>
      </c>
      <c r="EX14" s="141">
        <v>2667256</v>
      </c>
      <c r="EY14" s="73">
        <f t="shared" si="13"/>
        <v>440418</v>
      </c>
      <c r="EZ14" s="141">
        <v>440418</v>
      </c>
      <c r="FA14" s="141">
        <v>46846</v>
      </c>
      <c r="FB14" s="141">
        <v>384763</v>
      </c>
      <c r="FC14" s="141">
        <v>0</v>
      </c>
      <c r="FD14" s="141">
        <v>0</v>
      </c>
      <c r="FE14" s="141">
        <v>3069298</v>
      </c>
      <c r="FF14" s="141">
        <v>3519888</v>
      </c>
      <c r="FG14" s="141">
        <v>529289</v>
      </c>
      <c r="FH14" s="141">
        <v>2889265</v>
      </c>
      <c r="FI14" s="73">
        <f t="shared" si="14"/>
        <v>718108</v>
      </c>
      <c r="FJ14" s="141">
        <v>23048223</v>
      </c>
      <c r="FK14" s="379">
        <f t="shared" si="15"/>
        <v>1.3</v>
      </c>
      <c r="FL14" s="141">
        <v>19172698</v>
      </c>
      <c r="FM14" s="141">
        <v>172600</v>
      </c>
      <c r="FN14" s="141">
        <v>10376178</v>
      </c>
      <c r="FO14" s="141">
        <v>16414789</v>
      </c>
      <c r="FP14" s="390">
        <v>0.63200000000000001</v>
      </c>
      <c r="FQ14" s="380">
        <v>98.4</v>
      </c>
      <c r="FR14" s="381">
        <v>27.9</v>
      </c>
      <c r="FS14" s="380">
        <v>15</v>
      </c>
      <c r="FT14" s="380">
        <v>13.7</v>
      </c>
      <c r="FU14" s="381">
        <v>12.7</v>
      </c>
      <c r="FV14" s="380">
        <v>13.9</v>
      </c>
      <c r="FW14" s="382">
        <v>14</v>
      </c>
      <c r="FX14" s="383">
        <v>5</v>
      </c>
      <c r="FY14" s="141">
        <v>31732020</v>
      </c>
      <c r="FZ14" s="384">
        <f t="shared" si="16"/>
        <v>164</v>
      </c>
      <c r="GA14" s="141">
        <v>8707847</v>
      </c>
      <c r="GB14" s="141">
        <v>4275133</v>
      </c>
      <c r="GC14" s="141">
        <v>188831</v>
      </c>
      <c r="GD14" s="141">
        <v>4243883</v>
      </c>
      <c r="GE14" s="107"/>
      <c r="GF14" s="385"/>
      <c r="GG14" s="386"/>
      <c r="GH14" s="380">
        <v>99.5</v>
      </c>
      <c r="GI14" s="380">
        <v>37.9</v>
      </c>
      <c r="GJ14" s="380">
        <v>98.6</v>
      </c>
      <c r="GK14" s="141">
        <v>603</v>
      </c>
      <c r="GL14" s="391" t="s">
        <v>646</v>
      </c>
      <c r="GM14" s="391">
        <v>12.53</v>
      </c>
      <c r="GN14" s="117">
        <v>20</v>
      </c>
      <c r="GO14" s="391" t="s">
        <v>646</v>
      </c>
      <c r="GP14" s="392">
        <v>17.53</v>
      </c>
      <c r="GQ14" s="387">
        <v>30</v>
      </c>
      <c r="GR14" s="381">
        <v>5</v>
      </c>
      <c r="GS14" s="388">
        <v>25</v>
      </c>
      <c r="GT14" s="388">
        <v>35</v>
      </c>
      <c r="GU14" s="393">
        <v>16.7</v>
      </c>
      <c r="GV14" s="388">
        <v>350</v>
      </c>
      <c r="GW14" s="394"/>
      <c r="GX14" s="100">
        <f t="shared" si="17"/>
        <v>19345</v>
      </c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  <c r="HW14" s="394"/>
      <c r="HX14" s="394"/>
    </row>
    <row r="15" spans="2:232" x14ac:dyDescent="0.15">
      <c r="B15" s="89" t="s">
        <v>19</v>
      </c>
      <c r="C15" s="141">
        <v>22777062</v>
      </c>
      <c r="D15" s="73">
        <f t="shared" si="0"/>
        <v>7642557</v>
      </c>
      <c r="E15" s="141">
        <v>240827</v>
      </c>
      <c r="F15" s="141">
        <v>7401730</v>
      </c>
      <c r="G15" s="73">
        <f t="shared" si="1"/>
        <v>1749753</v>
      </c>
      <c r="H15" s="141">
        <v>535321</v>
      </c>
      <c r="I15" s="141">
        <v>1214432</v>
      </c>
      <c r="J15" s="141">
        <v>9360764</v>
      </c>
      <c r="K15" s="141">
        <v>3477408</v>
      </c>
      <c r="L15" s="141">
        <v>4396659</v>
      </c>
      <c r="M15" s="141">
        <v>1289487</v>
      </c>
      <c r="N15" s="141">
        <v>1122974</v>
      </c>
      <c r="O15" s="141">
        <v>1922878</v>
      </c>
      <c r="P15" s="141">
        <v>946016</v>
      </c>
      <c r="Q15" s="141">
        <v>976862</v>
      </c>
      <c r="R15" s="141">
        <v>221743</v>
      </c>
      <c r="S15" s="74"/>
      <c r="T15" s="73">
        <f t="shared" si="2"/>
        <v>4112527</v>
      </c>
      <c r="U15" s="141">
        <v>17003</v>
      </c>
      <c r="V15" s="141">
        <v>170035</v>
      </c>
      <c r="W15" s="141">
        <v>182997</v>
      </c>
      <c r="X15" s="141">
        <v>3298660</v>
      </c>
      <c r="Y15" s="141">
        <v>0</v>
      </c>
      <c r="Z15" s="141">
        <v>0</v>
      </c>
      <c r="AA15" s="141">
        <v>2651</v>
      </c>
      <c r="AB15" s="141">
        <v>58255</v>
      </c>
      <c r="AC15" s="141">
        <v>382926</v>
      </c>
      <c r="AD15" s="141">
        <v>154031</v>
      </c>
      <c r="AE15" s="141">
        <v>9743181</v>
      </c>
      <c r="AF15" s="141">
        <v>8997100</v>
      </c>
      <c r="AG15" s="141">
        <v>746081</v>
      </c>
      <c r="AH15" s="141">
        <v>15510</v>
      </c>
      <c r="AI15" s="141">
        <v>847437</v>
      </c>
      <c r="AJ15" s="73">
        <f t="shared" si="3"/>
        <v>812719</v>
      </c>
      <c r="AK15" s="141">
        <v>568782</v>
      </c>
      <c r="AL15" s="141">
        <v>243937</v>
      </c>
      <c r="AM15" s="141">
        <v>21812947</v>
      </c>
      <c r="AN15" s="73">
        <f t="shared" si="4"/>
        <v>13445829</v>
      </c>
      <c r="AO15" s="141">
        <v>7057937</v>
      </c>
      <c r="AP15" s="141">
        <v>3701300</v>
      </c>
      <c r="AQ15" s="74"/>
      <c r="AR15" s="141">
        <v>2686592</v>
      </c>
      <c r="AS15" s="141">
        <v>1240914</v>
      </c>
      <c r="AT15" s="141">
        <v>0</v>
      </c>
      <c r="AU15" s="141">
        <v>0</v>
      </c>
      <c r="AV15" s="141">
        <v>5546401</v>
      </c>
      <c r="AW15" s="141">
        <v>3731576</v>
      </c>
      <c r="AX15" s="141">
        <v>1575208</v>
      </c>
      <c r="AY15" s="141">
        <v>741</v>
      </c>
      <c r="AZ15" s="141">
        <v>1814825</v>
      </c>
      <c r="BA15" s="141">
        <v>13879</v>
      </c>
      <c r="BB15" s="141">
        <v>948083</v>
      </c>
      <c r="BC15" s="141">
        <v>822434</v>
      </c>
      <c r="BD15" s="141">
        <v>162069</v>
      </c>
      <c r="BE15" s="141">
        <v>131174</v>
      </c>
      <c r="BF15" s="141">
        <v>23155</v>
      </c>
      <c r="BG15" s="141">
        <v>98219</v>
      </c>
      <c r="BH15" s="141">
        <v>9800</v>
      </c>
      <c r="BI15" s="141">
        <v>0</v>
      </c>
      <c r="BJ15" s="141">
        <v>410004</v>
      </c>
      <c r="BK15" s="141">
        <v>290372</v>
      </c>
      <c r="BL15" s="141">
        <v>1213144</v>
      </c>
      <c r="BM15" s="141">
        <v>6121</v>
      </c>
      <c r="BN15" s="141">
        <v>0</v>
      </c>
      <c r="BO15" s="141">
        <v>416488</v>
      </c>
      <c r="BP15" s="141">
        <v>3920771</v>
      </c>
      <c r="BQ15" s="73">
        <f t="shared" si="5"/>
        <v>3778500</v>
      </c>
      <c r="BR15" s="73">
        <f t="shared" si="6"/>
        <v>142271</v>
      </c>
      <c r="BS15" s="141">
        <v>0</v>
      </c>
      <c r="BT15" s="141">
        <v>0</v>
      </c>
      <c r="BU15" s="141">
        <v>142271</v>
      </c>
      <c r="BV15" s="141">
        <v>0</v>
      </c>
      <c r="BW15" s="141">
        <v>72828803</v>
      </c>
      <c r="BX15" s="71"/>
      <c r="BY15" s="141">
        <v>5523409</v>
      </c>
      <c r="BZ15" s="141">
        <v>3772573</v>
      </c>
      <c r="CA15" s="141">
        <v>123337</v>
      </c>
      <c r="CB15" s="141">
        <v>454370</v>
      </c>
      <c r="CC15" s="141">
        <v>29180890</v>
      </c>
      <c r="CD15" s="141">
        <v>6739007</v>
      </c>
      <c r="CE15" s="141">
        <v>90</v>
      </c>
      <c r="CF15" s="141">
        <v>10647774</v>
      </c>
      <c r="CG15" s="141">
        <v>9842174</v>
      </c>
      <c r="CH15" s="141">
        <v>937619</v>
      </c>
      <c r="CI15" s="141">
        <v>1013786</v>
      </c>
      <c r="CJ15" s="141">
        <v>4733728</v>
      </c>
      <c r="CK15" s="141">
        <v>4466208</v>
      </c>
      <c r="CL15" s="83">
        <f t="shared" si="7"/>
        <v>267520</v>
      </c>
      <c r="CM15" s="141">
        <v>8837173</v>
      </c>
      <c r="CN15" s="141">
        <v>7111366</v>
      </c>
      <c r="CO15" s="102"/>
      <c r="CP15" s="141">
        <v>726382</v>
      </c>
      <c r="CQ15" s="141">
        <v>208948</v>
      </c>
      <c r="CR15" s="141">
        <v>7926445</v>
      </c>
      <c r="CS15" s="141">
        <v>2652999</v>
      </c>
      <c r="CT15" s="141">
        <v>2809224</v>
      </c>
      <c r="CU15" s="141">
        <v>2300148</v>
      </c>
      <c r="CV15" s="73">
        <f t="shared" si="8"/>
        <v>1321747</v>
      </c>
      <c r="CW15" s="141">
        <v>1319723</v>
      </c>
      <c r="CX15" s="141">
        <v>2024</v>
      </c>
      <c r="CY15" s="73">
        <f t="shared" si="9"/>
        <v>0</v>
      </c>
      <c r="CZ15" s="141">
        <v>0</v>
      </c>
      <c r="DA15" s="141">
        <v>0</v>
      </c>
      <c r="DB15" s="73">
        <f t="shared" si="10"/>
        <v>1296209</v>
      </c>
      <c r="DC15" s="141">
        <v>1296209</v>
      </c>
      <c r="DD15" s="141">
        <v>0</v>
      </c>
      <c r="DE15" s="141">
        <v>4616806</v>
      </c>
      <c r="DF15" s="141">
        <v>2223426</v>
      </c>
      <c r="DG15" s="141">
        <v>2393380</v>
      </c>
      <c r="DH15" s="141">
        <v>0</v>
      </c>
      <c r="DI15" s="141">
        <v>0</v>
      </c>
      <c r="DJ15" s="141">
        <v>0</v>
      </c>
      <c r="DK15" s="141">
        <v>2202127</v>
      </c>
      <c r="DL15" s="141">
        <v>575382</v>
      </c>
      <c r="DM15" s="141">
        <v>1479</v>
      </c>
      <c r="DN15" s="141">
        <v>1625266</v>
      </c>
      <c r="DO15" s="141">
        <v>1385397</v>
      </c>
      <c r="DP15" s="141">
        <v>1385397</v>
      </c>
      <c r="DQ15" s="141">
        <v>1385397</v>
      </c>
      <c r="DR15" s="141">
        <v>0</v>
      </c>
      <c r="DS15" s="141">
        <v>0</v>
      </c>
      <c r="DT15" s="141">
        <v>0</v>
      </c>
      <c r="DU15" s="141">
        <v>0</v>
      </c>
      <c r="DV15" s="141">
        <v>7208160</v>
      </c>
      <c r="DW15" s="141">
        <v>0</v>
      </c>
      <c r="DX15" s="73">
        <f t="shared" si="11"/>
        <v>0</v>
      </c>
      <c r="DY15" s="141">
        <v>0</v>
      </c>
      <c r="DZ15" s="141">
        <v>2560035</v>
      </c>
      <c r="EA15" s="141">
        <v>0</v>
      </c>
      <c r="EB15" s="141">
        <v>1591226</v>
      </c>
      <c r="EC15" s="74"/>
      <c r="ED15" s="141">
        <v>3056899</v>
      </c>
      <c r="EE15" s="141">
        <v>0</v>
      </c>
      <c r="EF15" s="141">
        <v>71823083</v>
      </c>
      <c r="EG15" s="71"/>
      <c r="EH15" s="141">
        <v>1005720</v>
      </c>
      <c r="EI15" s="141">
        <v>69745</v>
      </c>
      <c r="EJ15" s="141">
        <v>935975</v>
      </c>
      <c r="EK15" s="141">
        <v>-1337042</v>
      </c>
      <c r="EL15" s="141">
        <v>-784815</v>
      </c>
      <c r="EM15" s="71"/>
      <c r="EN15" s="141">
        <v>143096</v>
      </c>
      <c r="EO15" s="141">
        <v>141243</v>
      </c>
      <c r="EP15" s="141">
        <v>121374</v>
      </c>
      <c r="EQ15" s="141">
        <v>141821</v>
      </c>
      <c r="ER15" s="73">
        <f t="shared" si="12"/>
        <v>4510179</v>
      </c>
      <c r="ES15" s="141">
        <v>37024054</v>
      </c>
      <c r="ET15" s="141">
        <v>-4900135</v>
      </c>
      <c r="EU15" s="141">
        <v>4941088</v>
      </c>
      <c r="EV15" s="141">
        <v>3332768</v>
      </c>
      <c r="EW15" s="141">
        <v>8915107</v>
      </c>
      <c r="EX15" s="141">
        <v>4707321</v>
      </c>
      <c r="EY15" s="73">
        <f t="shared" si="13"/>
        <v>881083</v>
      </c>
      <c r="EZ15" s="141">
        <v>881083</v>
      </c>
      <c r="FA15" s="141">
        <v>128923</v>
      </c>
      <c r="FB15" s="141">
        <v>752160</v>
      </c>
      <c r="FC15" s="141">
        <v>0</v>
      </c>
      <c r="FD15" s="141">
        <v>0</v>
      </c>
      <c r="FE15" s="141">
        <v>7155973</v>
      </c>
      <c r="FF15" s="141">
        <v>7282511</v>
      </c>
      <c r="FG15" s="141">
        <v>2651965</v>
      </c>
      <c r="FH15" s="141">
        <v>5572582</v>
      </c>
      <c r="FI15" s="73">
        <f t="shared" si="14"/>
        <v>1462804</v>
      </c>
      <c r="FJ15" s="141">
        <v>40918469</v>
      </c>
      <c r="FK15" s="379">
        <f t="shared" si="15"/>
        <v>2.8</v>
      </c>
      <c r="FL15" s="141">
        <v>33304238</v>
      </c>
      <c r="FM15" s="141">
        <v>330693</v>
      </c>
      <c r="FN15" s="141">
        <v>19100958</v>
      </c>
      <c r="FO15" s="141">
        <v>28061250</v>
      </c>
      <c r="FP15" s="395">
        <v>0.68300000000000005</v>
      </c>
      <c r="FQ15" s="380">
        <v>97.7</v>
      </c>
      <c r="FR15" s="381">
        <v>13.8</v>
      </c>
      <c r="FS15" s="380">
        <v>23.7</v>
      </c>
      <c r="FT15" s="380">
        <v>13.5</v>
      </c>
      <c r="FU15" s="381">
        <v>16.899999999999999</v>
      </c>
      <c r="FV15" s="380">
        <v>14</v>
      </c>
      <c r="FW15" s="382">
        <v>15.1</v>
      </c>
      <c r="FX15" s="383">
        <v>5.5</v>
      </c>
      <c r="FY15" s="141">
        <v>55106636</v>
      </c>
      <c r="FZ15" s="384">
        <f t="shared" si="16"/>
        <v>163.80000000000001</v>
      </c>
      <c r="GA15" s="141">
        <v>18130831</v>
      </c>
      <c r="GB15" s="141">
        <v>6500429</v>
      </c>
      <c r="GC15" s="141">
        <v>1925584</v>
      </c>
      <c r="GD15" s="141">
        <v>9704818</v>
      </c>
      <c r="GE15" s="107"/>
      <c r="GF15" s="385"/>
      <c r="GG15" s="386"/>
      <c r="GH15" s="380">
        <v>99.6</v>
      </c>
      <c r="GI15" s="380">
        <v>37.1</v>
      </c>
      <c r="GJ15" s="380">
        <v>98.6</v>
      </c>
      <c r="GK15" s="141">
        <v>579</v>
      </c>
      <c r="GL15" s="391" t="s">
        <v>646</v>
      </c>
      <c r="GM15" s="391">
        <v>11.66</v>
      </c>
      <c r="GN15" s="117">
        <v>20</v>
      </c>
      <c r="GO15" s="391" t="s">
        <v>646</v>
      </c>
      <c r="GP15" s="392">
        <v>16.66</v>
      </c>
      <c r="GQ15" s="387">
        <v>30</v>
      </c>
      <c r="GR15" s="381">
        <v>5.5</v>
      </c>
      <c r="GS15" s="388">
        <v>25</v>
      </c>
      <c r="GT15" s="388">
        <v>35</v>
      </c>
      <c r="GU15" s="393">
        <v>2.5</v>
      </c>
      <c r="GV15" s="388">
        <v>350</v>
      </c>
      <c r="GW15" s="394"/>
      <c r="GX15" s="100">
        <f t="shared" si="17"/>
        <v>33635</v>
      </c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  <c r="HW15" s="394"/>
      <c r="HX15" s="394"/>
    </row>
    <row r="16" spans="2:232" x14ac:dyDescent="0.15">
      <c r="B16" s="89" t="s">
        <v>21</v>
      </c>
      <c r="C16" s="141">
        <v>58015446</v>
      </c>
      <c r="D16" s="73">
        <f t="shared" si="0"/>
        <v>23277462</v>
      </c>
      <c r="E16" s="141">
        <v>669645</v>
      </c>
      <c r="F16" s="141">
        <v>22607817</v>
      </c>
      <c r="G16" s="73">
        <f t="shared" si="1"/>
        <v>3194305</v>
      </c>
      <c r="H16" s="141">
        <v>788829</v>
      </c>
      <c r="I16" s="141">
        <v>2405476</v>
      </c>
      <c r="J16" s="141">
        <v>22492534</v>
      </c>
      <c r="K16" s="141">
        <v>8520532</v>
      </c>
      <c r="L16" s="141">
        <v>11027134</v>
      </c>
      <c r="M16" s="141">
        <v>2610944</v>
      </c>
      <c r="N16" s="141">
        <v>2100091</v>
      </c>
      <c r="O16" s="141">
        <v>4827211</v>
      </c>
      <c r="P16" s="141">
        <v>2449249</v>
      </c>
      <c r="Q16" s="141">
        <v>2377962</v>
      </c>
      <c r="R16" s="141">
        <v>648548</v>
      </c>
      <c r="S16" s="74"/>
      <c r="T16" s="73">
        <f t="shared" si="2"/>
        <v>11105044</v>
      </c>
      <c r="U16" s="141">
        <v>52811</v>
      </c>
      <c r="V16" s="141">
        <v>527194</v>
      </c>
      <c r="W16" s="141">
        <v>566130</v>
      </c>
      <c r="X16" s="141">
        <v>8832088</v>
      </c>
      <c r="Y16" s="141">
        <v>79940</v>
      </c>
      <c r="Z16" s="141">
        <v>0</v>
      </c>
      <c r="AA16" s="141">
        <v>7779</v>
      </c>
      <c r="AB16" s="141">
        <v>170962</v>
      </c>
      <c r="AC16" s="141">
        <v>868140</v>
      </c>
      <c r="AD16" s="141">
        <v>412233</v>
      </c>
      <c r="AE16" s="141">
        <v>16451962</v>
      </c>
      <c r="AF16" s="141">
        <v>15969640</v>
      </c>
      <c r="AG16" s="141">
        <v>482322</v>
      </c>
      <c r="AH16" s="141">
        <v>44941</v>
      </c>
      <c r="AI16" s="141">
        <v>535634</v>
      </c>
      <c r="AJ16" s="73">
        <f t="shared" si="3"/>
        <v>2247694</v>
      </c>
      <c r="AK16" s="141">
        <v>1738531</v>
      </c>
      <c r="AL16" s="141">
        <v>509163</v>
      </c>
      <c r="AM16" s="141">
        <v>44760684</v>
      </c>
      <c r="AN16" s="73">
        <f t="shared" si="4"/>
        <v>19417099</v>
      </c>
      <c r="AO16" s="141">
        <v>9996297</v>
      </c>
      <c r="AP16" s="141">
        <v>4420155</v>
      </c>
      <c r="AQ16" s="74"/>
      <c r="AR16" s="141">
        <v>5000647</v>
      </c>
      <c r="AS16" s="141">
        <v>1241452</v>
      </c>
      <c r="AT16" s="141">
        <v>0</v>
      </c>
      <c r="AU16" s="141">
        <v>0</v>
      </c>
      <c r="AV16" s="141">
        <v>13722277</v>
      </c>
      <c r="AW16" s="141">
        <v>10484291</v>
      </c>
      <c r="AX16" s="141">
        <v>1846581</v>
      </c>
      <c r="AY16" s="141">
        <v>383766</v>
      </c>
      <c r="AZ16" s="141">
        <v>3237986</v>
      </c>
      <c r="BA16" s="141">
        <v>94436</v>
      </c>
      <c r="BB16" s="141">
        <v>243948</v>
      </c>
      <c r="BC16" s="141">
        <v>180900</v>
      </c>
      <c r="BD16" s="141">
        <v>262132</v>
      </c>
      <c r="BE16" s="141">
        <v>4296299</v>
      </c>
      <c r="BF16" s="141">
        <v>2295228</v>
      </c>
      <c r="BG16" s="141">
        <v>735557</v>
      </c>
      <c r="BH16" s="141">
        <v>1147161</v>
      </c>
      <c r="BI16" s="141">
        <v>0</v>
      </c>
      <c r="BJ16" s="141">
        <v>3275895</v>
      </c>
      <c r="BK16" s="141">
        <v>2490950</v>
      </c>
      <c r="BL16" s="141">
        <v>2313427</v>
      </c>
      <c r="BM16" s="141">
        <v>22502</v>
      </c>
      <c r="BN16" s="141">
        <v>0</v>
      </c>
      <c r="BO16" s="141">
        <v>568227</v>
      </c>
      <c r="BP16" s="141">
        <v>12496492</v>
      </c>
      <c r="BQ16" s="73">
        <f t="shared" si="5"/>
        <v>10625000</v>
      </c>
      <c r="BR16" s="73">
        <f t="shared" si="6"/>
        <v>1871492</v>
      </c>
      <c r="BS16" s="141">
        <v>0</v>
      </c>
      <c r="BT16" s="141">
        <v>0</v>
      </c>
      <c r="BU16" s="141">
        <v>1871492</v>
      </c>
      <c r="BV16" s="141">
        <v>0</v>
      </c>
      <c r="BW16" s="141">
        <v>170832656</v>
      </c>
      <c r="BX16" s="71"/>
      <c r="BY16" s="141">
        <v>19660140</v>
      </c>
      <c r="BZ16" s="141">
        <v>13086035</v>
      </c>
      <c r="CA16" s="141">
        <v>449977</v>
      </c>
      <c r="CB16" s="141">
        <v>2672129</v>
      </c>
      <c r="CC16" s="141">
        <v>56040943</v>
      </c>
      <c r="CD16" s="141">
        <v>18083703</v>
      </c>
      <c r="CE16" s="141">
        <v>81911</v>
      </c>
      <c r="CF16" s="141">
        <v>22517890</v>
      </c>
      <c r="CG16" s="141">
        <v>13563162</v>
      </c>
      <c r="CH16" s="141">
        <v>553138</v>
      </c>
      <c r="CI16" s="141">
        <v>1238949</v>
      </c>
      <c r="CJ16" s="141">
        <v>11949679</v>
      </c>
      <c r="CK16" s="141">
        <v>11595232</v>
      </c>
      <c r="CL16" s="83">
        <f t="shared" si="7"/>
        <v>354447</v>
      </c>
      <c r="CM16" s="141">
        <v>20737004</v>
      </c>
      <c r="CN16" s="141">
        <v>14641429</v>
      </c>
      <c r="CO16" s="102"/>
      <c r="CP16" s="141">
        <v>2843906</v>
      </c>
      <c r="CQ16" s="141">
        <v>1396665</v>
      </c>
      <c r="CR16" s="141">
        <v>17656432</v>
      </c>
      <c r="CS16" s="141">
        <v>4592020</v>
      </c>
      <c r="CT16" s="141">
        <v>4581146</v>
      </c>
      <c r="CU16" s="141">
        <v>3374355</v>
      </c>
      <c r="CV16" s="73">
        <f t="shared" si="8"/>
        <v>6271263</v>
      </c>
      <c r="CW16" s="141">
        <v>2776214</v>
      </c>
      <c r="CX16" s="141">
        <v>3495049</v>
      </c>
      <c r="CY16" s="73">
        <f t="shared" si="9"/>
        <v>1563927</v>
      </c>
      <c r="CZ16" s="141">
        <v>1109551</v>
      </c>
      <c r="DA16" s="141">
        <v>454376</v>
      </c>
      <c r="DB16" s="73">
        <f t="shared" si="10"/>
        <v>3941574</v>
      </c>
      <c r="DC16" s="141">
        <v>1639087</v>
      </c>
      <c r="DD16" s="141">
        <v>2302487</v>
      </c>
      <c r="DE16" s="141">
        <v>20583704</v>
      </c>
      <c r="DF16" s="141">
        <v>12373964</v>
      </c>
      <c r="DG16" s="141">
        <v>7200971</v>
      </c>
      <c r="DH16" s="141">
        <v>292</v>
      </c>
      <c r="DI16" s="141">
        <v>1008477</v>
      </c>
      <c r="DJ16" s="141">
        <v>1347</v>
      </c>
      <c r="DK16" s="141">
        <v>4152496</v>
      </c>
      <c r="DL16" s="141">
        <v>1330521</v>
      </c>
      <c r="DM16" s="141">
        <v>952613</v>
      </c>
      <c r="DN16" s="141">
        <v>1869362</v>
      </c>
      <c r="DO16" s="141">
        <v>0</v>
      </c>
      <c r="DP16" s="141">
        <v>0</v>
      </c>
      <c r="DQ16" s="141">
        <v>0</v>
      </c>
      <c r="DR16" s="141">
        <v>0</v>
      </c>
      <c r="DS16" s="141">
        <v>17870</v>
      </c>
      <c r="DT16" s="141">
        <v>0</v>
      </c>
      <c r="DU16" s="141">
        <v>0</v>
      </c>
      <c r="DV16" s="141">
        <v>15734203</v>
      </c>
      <c r="DW16" s="141">
        <v>0</v>
      </c>
      <c r="DX16" s="73">
        <f t="shared" si="11"/>
        <v>0</v>
      </c>
      <c r="DY16" s="141">
        <v>0</v>
      </c>
      <c r="DZ16" s="141">
        <v>6144201</v>
      </c>
      <c r="EA16" s="141">
        <v>0</v>
      </c>
      <c r="EB16" s="141">
        <v>4228591</v>
      </c>
      <c r="EC16" s="74"/>
      <c r="ED16" s="141">
        <v>5361411</v>
      </c>
      <c r="EE16" s="141">
        <v>0</v>
      </c>
      <c r="EF16" s="141">
        <v>167930483</v>
      </c>
      <c r="EG16" s="71"/>
      <c r="EH16" s="141">
        <v>2902173</v>
      </c>
      <c r="EI16" s="141">
        <v>549749</v>
      </c>
      <c r="EJ16" s="141">
        <v>2352424</v>
      </c>
      <c r="EK16" s="141">
        <v>-138526</v>
      </c>
      <c r="EL16" s="141">
        <v>-367676</v>
      </c>
      <c r="EM16" s="71"/>
      <c r="EN16" s="141">
        <v>397289</v>
      </c>
      <c r="EO16" s="141">
        <v>394221</v>
      </c>
      <c r="EP16" s="141">
        <v>3040181</v>
      </c>
      <c r="EQ16" s="141">
        <v>234137</v>
      </c>
      <c r="ER16" s="73">
        <f t="shared" si="12"/>
        <v>12770357</v>
      </c>
      <c r="ES16" s="141">
        <v>86678174</v>
      </c>
      <c r="ET16" s="141">
        <v>-17871226</v>
      </c>
      <c r="EU16" s="141">
        <v>17965144</v>
      </c>
      <c r="EV16" s="141">
        <v>11989134</v>
      </c>
      <c r="EW16" s="141">
        <v>21561806</v>
      </c>
      <c r="EX16" s="141">
        <v>11707147</v>
      </c>
      <c r="EY16" s="73">
        <f t="shared" si="13"/>
        <v>2008152</v>
      </c>
      <c r="EZ16" s="141">
        <v>2006805</v>
      </c>
      <c r="FA16" s="141">
        <v>520669</v>
      </c>
      <c r="FB16" s="141">
        <v>1484197</v>
      </c>
      <c r="FC16" s="141">
        <v>1347</v>
      </c>
      <c r="FD16" s="141">
        <v>0</v>
      </c>
      <c r="FE16" s="141">
        <v>15012235</v>
      </c>
      <c r="FF16" s="141">
        <v>16329314</v>
      </c>
      <c r="FG16" s="141">
        <v>4588300</v>
      </c>
      <c r="FH16" s="141">
        <v>12262295</v>
      </c>
      <c r="FI16" s="73">
        <f t="shared" si="14"/>
        <v>4801134</v>
      </c>
      <c r="FJ16" s="141">
        <v>101647227</v>
      </c>
      <c r="FK16" s="379">
        <f t="shared" si="15"/>
        <v>2.9</v>
      </c>
      <c r="FL16" s="141">
        <v>80622969</v>
      </c>
      <c r="FM16" s="141">
        <v>1871492</v>
      </c>
      <c r="FN16" s="141">
        <v>50794240</v>
      </c>
      <c r="FO16" s="141">
        <v>66771289</v>
      </c>
      <c r="FP16" s="390">
        <v>0.75700000000000001</v>
      </c>
      <c r="FQ16" s="380">
        <v>97.6</v>
      </c>
      <c r="FR16" s="381">
        <v>21</v>
      </c>
      <c r="FS16" s="380">
        <v>19.3</v>
      </c>
      <c r="FT16" s="380">
        <v>13.1</v>
      </c>
      <c r="FU16" s="381">
        <v>15</v>
      </c>
      <c r="FV16" s="380">
        <v>14.4</v>
      </c>
      <c r="FW16" s="382">
        <v>13.6</v>
      </c>
      <c r="FX16" s="383">
        <v>1.5</v>
      </c>
      <c r="FY16" s="141">
        <v>113794141</v>
      </c>
      <c r="FZ16" s="384">
        <f t="shared" si="16"/>
        <v>137.9</v>
      </c>
      <c r="GA16" s="141">
        <v>36911798</v>
      </c>
      <c r="GB16" s="141">
        <v>14534698</v>
      </c>
      <c r="GC16" s="141">
        <v>6113998</v>
      </c>
      <c r="GD16" s="141">
        <v>16263102</v>
      </c>
      <c r="GE16" s="107"/>
      <c r="GF16" s="385">
        <v>3805</v>
      </c>
      <c r="GG16" s="386">
        <f>IF(GF16=0,"-",ROUND(GF16/(GX16)*100,1))</f>
        <v>4.5999999999999996</v>
      </c>
      <c r="GH16" s="380">
        <v>99.8</v>
      </c>
      <c r="GI16" s="380">
        <v>42.8</v>
      </c>
      <c r="GJ16" s="380">
        <v>99.5</v>
      </c>
      <c r="GK16" s="141">
        <v>2078</v>
      </c>
      <c r="GL16" s="391" t="s">
        <v>646</v>
      </c>
      <c r="GM16" s="391">
        <v>11.25</v>
      </c>
      <c r="GN16" s="117">
        <v>20</v>
      </c>
      <c r="GO16" s="391" t="s">
        <v>646</v>
      </c>
      <c r="GP16" s="392">
        <v>16.25</v>
      </c>
      <c r="GQ16" s="387">
        <v>30</v>
      </c>
      <c r="GR16" s="381">
        <v>1.5</v>
      </c>
      <c r="GS16" s="388">
        <v>25</v>
      </c>
      <c r="GT16" s="388">
        <v>35</v>
      </c>
      <c r="GU16" s="393" t="s">
        <v>646</v>
      </c>
      <c r="GV16" s="388">
        <v>350</v>
      </c>
      <c r="GW16" s="394"/>
      <c r="GX16" s="100">
        <f t="shared" si="17"/>
        <v>82494</v>
      </c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  <c r="HW16" s="394"/>
      <c r="HX16" s="394"/>
    </row>
    <row r="17" spans="2:232" x14ac:dyDescent="0.15">
      <c r="B17" s="89" t="s">
        <v>23</v>
      </c>
      <c r="C17" s="141">
        <v>52177182</v>
      </c>
      <c r="D17" s="73">
        <f t="shared" si="0"/>
        <v>19568473</v>
      </c>
      <c r="E17" s="141">
        <v>503854</v>
      </c>
      <c r="F17" s="141">
        <v>19064619</v>
      </c>
      <c r="G17" s="73">
        <f t="shared" si="1"/>
        <v>2987287</v>
      </c>
      <c r="H17" s="141">
        <v>787606</v>
      </c>
      <c r="I17" s="141">
        <v>2199681</v>
      </c>
      <c r="J17" s="141">
        <v>23045259</v>
      </c>
      <c r="K17" s="141">
        <v>8439809</v>
      </c>
      <c r="L17" s="141">
        <v>10541934</v>
      </c>
      <c r="M17" s="141">
        <v>3824484</v>
      </c>
      <c r="N17" s="141">
        <v>1679785</v>
      </c>
      <c r="O17" s="141">
        <v>4527337</v>
      </c>
      <c r="P17" s="141">
        <v>2256441</v>
      </c>
      <c r="Q17" s="141">
        <v>2270896</v>
      </c>
      <c r="R17" s="141">
        <v>529710</v>
      </c>
      <c r="S17" s="74"/>
      <c r="T17" s="73">
        <f t="shared" si="2"/>
        <v>8548794</v>
      </c>
      <c r="U17" s="141">
        <v>43050</v>
      </c>
      <c r="V17" s="141">
        <v>430496</v>
      </c>
      <c r="W17" s="141">
        <v>463298</v>
      </c>
      <c r="X17" s="141">
        <v>6601436</v>
      </c>
      <c r="Y17" s="141">
        <v>94376</v>
      </c>
      <c r="Z17" s="141">
        <v>0</v>
      </c>
      <c r="AA17" s="141">
        <v>6364</v>
      </c>
      <c r="AB17" s="141">
        <v>139851</v>
      </c>
      <c r="AC17" s="141">
        <v>769923</v>
      </c>
      <c r="AD17" s="141">
        <v>317736</v>
      </c>
      <c r="AE17" s="141">
        <v>1149803</v>
      </c>
      <c r="AF17" s="141">
        <v>886914</v>
      </c>
      <c r="AG17" s="141">
        <v>262889</v>
      </c>
      <c r="AH17" s="141">
        <v>31874</v>
      </c>
      <c r="AI17" s="141">
        <v>307308</v>
      </c>
      <c r="AJ17" s="73">
        <f t="shared" si="3"/>
        <v>1943074</v>
      </c>
      <c r="AK17" s="141">
        <v>1304161</v>
      </c>
      <c r="AL17" s="141">
        <v>638913</v>
      </c>
      <c r="AM17" s="141">
        <v>25663464</v>
      </c>
      <c r="AN17" s="73">
        <f t="shared" si="4"/>
        <v>11646468</v>
      </c>
      <c r="AO17" s="141">
        <v>4508340</v>
      </c>
      <c r="AP17" s="141">
        <v>3806983</v>
      </c>
      <c r="AQ17" s="74"/>
      <c r="AR17" s="141">
        <v>3331145</v>
      </c>
      <c r="AS17" s="141">
        <v>1418175</v>
      </c>
      <c r="AT17" s="141">
        <v>12785</v>
      </c>
      <c r="AU17" s="141">
        <v>0</v>
      </c>
      <c r="AV17" s="141">
        <v>8863785</v>
      </c>
      <c r="AW17" s="141">
        <v>6165931</v>
      </c>
      <c r="AX17" s="141">
        <v>1609530</v>
      </c>
      <c r="AY17" s="141">
        <v>108899</v>
      </c>
      <c r="AZ17" s="141">
        <v>2697854</v>
      </c>
      <c r="BA17" s="141">
        <v>148799</v>
      </c>
      <c r="BB17" s="141">
        <v>134205</v>
      </c>
      <c r="BC17" s="141">
        <v>56466</v>
      </c>
      <c r="BD17" s="141">
        <v>166980</v>
      </c>
      <c r="BE17" s="141">
        <v>5319965</v>
      </c>
      <c r="BF17" s="141">
        <v>700000</v>
      </c>
      <c r="BG17" s="141">
        <v>0</v>
      </c>
      <c r="BH17" s="141">
        <v>4422186</v>
      </c>
      <c r="BI17" s="141">
        <v>0</v>
      </c>
      <c r="BJ17" s="141">
        <v>2321800</v>
      </c>
      <c r="BK17" s="141">
        <v>491760</v>
      </c>
      <c r="BL17" s="141">
        <v>3945045</v>
      </c>
      <c r="BM17" s="141">
        <v>810000</v>
      </c>
      <c r="BN17" s="141">
        <v>6432</v>
      </c>
      <c r="BO17" s="141">
        <v>502311</v>
      </c>
      <c r="BP17" s="141">
        <v>8300800</v>
      </c>
      <c r="BQ17" s="73">
        <f t="shared" si="5"/>
        <v>8178300</v>
      </c>
      <c r="BR17" s="73">
        <f t="shared" si="6"/>
        <v>122500</v>
      </c>
      <c r="BS17" s="141">
        <v>0</v>
      </c>
      <c r="BT17" s="141">
        <v>0</v>
      </c>
      <c r="BU17" s="141">
        <v>122500</v>
      </c>
      <c r="BV17" s="141">
        <v>0</v>
      </c>
      <c r="BW17" s="141">
        <v>119721525</v>
      </c>
      <c r="BX17" s="71"/>
      <c r="BY17" s="141">
        <v>17900681</v>
      </c>
      <c r="BZ17" s="141">
        <v>11312744</v>
      </c>
      <c r="CA17" s="141">
        <v>412212</v>
      </c>
      <c r="CB17" s="141">
        <v>3044178</v>
      </c>
      <c r="CC17" s="141">
        <v>35408048</v>
      </c>
      <c r="CD17" s="141">
        <v>11196946</v>
      </c>
      <c r="CE17" s="141">
        <v>60478</v>
      </c>
      <c r="CF17" s="141">
        <v>16172174</v>
      </c>
      <c r="CG17" s="141">
        <v>5930504</v>
      </c>
      <c r="CH17" s="141">
        <v>260500</v>
      </c>
      <c r="CI17" s="141">
        <v>1787446</v>
      </c>
      <c r="CJ17" s="141">
        <v>5347200</v>
      </c>
      <c r="CK17" s="141">
        <v>5069720</v>
      </c>
      <c r="CL17" s="83">
        <f t="shared" si="7"/>
        <v>277480</v>
      </c>
      <c r="CM17" s="141">
        <v>19455428</v>
      </c>
      <c r="CN17" s="141">
        <v>10915196</v>
      </c>
      <c r="CO17" s="102"/>
      <c r="CP17" s="141">
        <v>5457878</v>
      </c>
      <c r="CQ17" s="141">
        <v>1703706</v>
      </c>
      <c r="CR17" s="141">
        <v>8214570</v>
      </c>
      <c r="CS17" s="141">
        <v>7371</v>
      </c>
      <c r="CT17" s="141">
        <v>3544690</v>
      </c>
      <c r="CU17" s="141">
        <v>2613226</v>
      </c>
      <c r="CV17" s="73">
        <f t="shared" si="8"/>
        <v>1537453</v>
      </c>
      <c r="CW17" s="141">
        <v>1053412</v>
      </c>
      <c r="CX17" s="141">
        <v>484041</v>
      </c>
      <c r="CY17" s="73">
        <f t="shared" si="9"/>
        <v>0</v>
      </c>
      <c r="CZ17" s="141">
        <v>0</v>
      </c>
      <c r="DA17" s="141">
        <v>0</v>
      </c>
      <c r="DB17" s="73">
        <f t="shared" si="10"/>
        <v>1516729</v>
      </c>
      <c r="DC17" s="141">
        <v>1036856</v>
      </c>
      <c r="DD17" s="141">
        <v>479873</v>
      </c>
      <c r="DE17" s="141">
        <v>18787530</v>
      </c>
      <c r="DF17" s="141">
        <v>5372394</v>
      </c>
      <c r="DG17" s="141">
        <v>13403641</v>
      </c>
      <c r="DH17" s="141">
        <v>5063</v>
      </c>
      <c r="DI17" s="141">
        <v>6432</v>
      </c>
      <c r="DJ17" s="141">
        <v>25008</v>
      </c>
      <c r="DK17" s="141">
        <v>440098</v>
      </c>
      <c r="DL17" s="141">
        <v>201170</v>
      </c>
      <c r="DM17" s="141">
        <v>0</v>
      </c>
      <c r="DN17" s="141">
        <v>238928</v>
      </c>
      <c r="DO17" s="141">
        <v>12174</v>
      </c>
      <c r="DP17" s="141">
        <v>12174</v>
      </c>
      <c r="DQ17" s="141">
        <v>12174</v>
      </c>
      <c r="DR17" s="141">
        <v>0</v>
      </c>
      <c r="DS17" s="141">
        <v>810000</v>
      </c>
      <c r="DT17" s="141">
        <v>0</v>
      </c>
      <c r="DU17" s="141">
        <v>0</v>
      </c>
      <c r="DV17" s="141">
        <v>9420291</v>
      </c>
      <c r="DW17" s="141">
        <v>0</v>
      </c>
      <c r="DX17" s="73">
        <f t="shared" si="11"/>
        <v>0</v>
      </c>
      <c r="DY17" s="141">
        <v>0</v>
      </c>
      <c r="DZ17" s="141">
        <v>3891901</v>
      </c>
      <c r="EA17" s="141">
        <v>0</v>
      </c>
      <c r="EB17" s="141">
        <v>2179834</v>
      </c>
      <c r="EC17" s="74"/>
      <c r="ED17" s="141">
        <v>3348556</v>
      </c>
      <c r="EE17" s="141">
        <v>0</v>
      </c>
      <c r="EF17" s="141">
        <v>117524734</v>
      </c>
      <c r="EG17" s="71"/>
      <c r="EH17" s="141">
        <v>2196791</v>
      </c>
      <c r="EI17" s="141">
        <v>1015639</v>
      </c>
      <c r="EJ17" s="141">
        <v>1181152</v>
      </c>
      <c r="EK17" s="141">
        <v>197392</v>
      </c>
      <c r="EL17" s="141">
        <v>-301438</v>
      </c>
      <c r="EM17" s="71"/>
      <c r="EN17" s="141">
        <v>287730</v>
      </c>
      <c r="EO17" s="141">
        <v>285715</v>
      </c>
      <c r="EP17" s="141">
        <v>897779</v>
      </c>
      <c r="EQ17" s="141">
        <v>130677</v>
      </c>
      <c r="ER17" s="73">
        <f t="shared" si="12"/>
        <v>7034785</v>
      </c>
      <c r="ES17" s="141">
        <v>62755099</v>
      </c>
      <c r="ET17" s="141">
        <v>-8153867</v>
      </c>
      <c r="EU17" s="141">
        <v>15787259</v>
      </c>
      <c r="EV17" s="141">
        <v>9731531</v>
      </c>
      <c r="EW17" s="141">
        <v>12977545</v>
      </c>
      <c r="EX17" s="141">
        <v>5347200</v>
      </c>
      <c r="EY17" s="73">
        <f t="shared" si="13"/>
        <v>3047303</v>
      </c>
      <c r="EZ17" s="141">
        <v>3043012</v>
      </c>
      <c r="FA17" s="141">
        <v>205964</v>
      </c>
      <c r="FB17" s="141">
        <v>2834018</v>
      </c>
      <c r="FC17" s="141">
        <v>4291</v>
      </c>
      <c r="FD17" s="141">
        <v>0</v>
      </c>
      <c r="FE17" s="141">
        <v>15300737</v>
      </c>
      <c r="FF17" s="141">
        <v>7201542</v>
      </c>
      <c r="FG17" s="141">
        <v>7371</v>
      </c>
      <c r="FH17" s="141">
        <v>7365105</v>
      </c>
      <c r="FI17" s="73">
        <f t="shared" si="14"/>
        <v>1685484</v>
      </c>
      <c r="FJ17" s="141">
        <v>68712175</v>
      </c>
      <c r="FK17" s="379">
        <f t="shared" si="15"/>
        <v>2.1</v>
      </c>
      <c r="FL17" s="141">
        <v>56689894</v>
      </c>
      <c r="FM17" s="141">
        <v>122547</v>
      </c>
      <c r="FN17" s="141">
        <v>43442090</v>
      </c>
      <c r="FO17" s="141">
        <v>44330789</v>
      </c>
      <c r="FP17" s="390">
        <v>0.96699999999999997</v>
      </c>
      <c r="FQ17" s="380">
        <v>92.6</v>
      </c>
      <c r="FR17" s="381">
        <v>26.2</v>
      </c>
      <c r="FS17" s="380">
        <v>16.600000000000001</v>
      </c>
      <c r="FT17" s="380">
        <v>9.1</v>
      </c>
      <c r="FU17" s="381">
        <v>20.6</v>
      </c>
      <c r="FV17" s="380">
        <v>6.1</v>
      </c>
      <c r="FW17" s="382">
        <v>12.2</v>
      </c>
      <c r="FX17" s="383">
        <v>-0.6</v>
      </c>
      <c r="FY17" s="141">
        <v>52875146</v>
      </c>
      <c r="FZ17" s="384">
        <f t="shared" si="16"/>
        <v>93.1</v>
      </c>
      <c r="GA17" s="141">
        <v>19261310</v>
      </c>
      <c r="GB17" s="141">
        <v>7936120</v>
      </c>
      <c r="GC17" s="141">
        <v>0</v>
      </c>
      <c r="GD17" s="141">
        <v>11325190</v>
      </c>
      <c r="GE17" s="107"/>
      <c r="GF17" s="385">
        <v>855</v>
      </c>
      <c r="GG17" s="386">
        <f>IF(GF17=0,"-",ROUND(GF17/(GX17)*100,1))</f>
        <v>1.5</v>
      </c>
      <c r="GH17" s="380">
        <v>99.8</v>
      </c>
      <c r="GI17" s="380">
        <v>42.3</v>
      </c>
      <c r="GJ17" s="380">
        <v>99.1</v>
      </c>
      <c r="GK17" s="141">
        <v>1657</v>
      </c>
      <c r="GL17" s="391" t="s">
        <v>646</v>
      </c>
      <c r="GM17" s="391">
        <v>11.25</v>
      </c>
      <c r="GN17" s="117">
        <v>20</v>
      </c>
      <c r="GO17" s="391" t="s">
        <v>646</v>
      </c>
      <c r="GP17" s="392">
        <v>16.25</v>
      </c>
      <c r="GQ17" s="387">
        <v>30</v>
      </c>
      <c r="GR17" s="381">
        <v>-0.6</v>
      </c>
      <c r="GS17" s="388">
        <v>25</v>
      </c>
      <c r="GT17" s="388">
        <v>35</v>
      </c>
      <c r="GU17" s="393" t="s">
        <v>646</v>
      </c>
      <c r="GV17" s="388">
        <v>350</v>
      </c>
      <c r="GW17" s="394"/>
      <c r="GX17" s="100">
        <f t="shared" si="17"/>
        <v>56812</v>
      </c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  <c r="HW17" s="394"/>
      <c r="HX17" s="394"/>
    </row>
    <row r="18" spans="2:232" x14ac:dyDescent="0.15">
      <c r="B18" s="89" t="s">
        <v>25</v>
      </c>
      <c r="C18" s="141">
        <v>40545037</v>
      </c>
      <c r="D18" s="73">
        <f t="shared" si="0"/>
        <v>14982159</v>
      </c>
      <c r="E18" s="141">
        <v>434935</v>
      </c>
      <c r="F18" s="141">
        <v>14547224</v>
      </c>
      <c r="G18" s="73">
        <f t="shared" si="1"/>
        <v>2778441</v>
      </c>
      <c r="H18" s="141">
        <v>758021</v>
      </c>
      <c r="I18" s="141">
        <v>2020420</v>
      </c>
      <c r="J18" s="141">
        <v>16990029</v>
      </c>
      <c r="K18" s="141">
        <v>7196511</v>
      </c>
      <c r="L18" s="141">
        <v>7335514</v>
      </c>
      <c r="M18" s="141">
        <v>2181301</v>
      </c>
      <c r="N18" s="141">
        <v>1855849</v>
      </c>
      <c r="O18" s="141">
        <v>3501185</v>
      </c>
      <c r="P18" s="141">
        <v>1918224</v>
      </c>
      <c r="Q18" s="141">
        <v>1582961</v>
      </c>
      <c r="R18" s="141">
        <v>449913</v>
      </c>
      <c r="S18" s="74"/>
      <c r="T18" s="73">
        <f t="shared" si="2"/>
        <v>7842683</v>
      </c>
      <c r="U18" s="141">
        <v>33216</v>
      </c>
      <c r="V18" s="141">
        <v>331875</v>
      </c>
      <c r="W18" s="141">
        <v>356781</v>
      </c>
      <c r="X18" s="141">
        <v>6209907</v>
      </c>
      <c r="Y18" s="141">
        <v>0</v>
      </c>
      <c r="Z18" s="141">
        <v>0</v>
      </c>
      <c r="AA18" s="141">
        <v>5394</v>
      </c>
      <c r="AB18" s="141">
        <v>118542</v>
      </c>
      <c r="AC18" s="141">
        <v>786968</v>
      </c>
      <c r="AD18" s="141">
        <v>340415</v>
      </c>
      <c r="AE18" s="141">
        <v>15934944</v>
      </c>
      <c r="AF18" s="141">
        <v>15344246</v>
      </c>
      <c r="AG18" s="141">
        <v>590698</v>
      </c>
      <c r="AH18" s="141">
        <v>28639</v>
      </c>
      <c r="AI18" s="141">
        <v>729383</v>
      </c>
      <c r="AJ18" s="73">
        <f t="shared" si="3"/>
        <v>1540627</v>
      </c>
      <c r="AK18" s="141">
        <v>1042464</v>
      </c>
      <c r="AL18" s="141">
        <v>498163</v>
      </c>
      <c r="AM18" s="141">
        <v>35089744</v>
      </c>
      <c r="AN18" s="73">
        <f t="shared" si="4"/>
        <v>20391698</v>
      </c>
      <c r="AO18" s="141">
        <v>10826537</v>
      </c>
      <c r="AP18" s="141">
        <v>4614777</v>
      </c>
      <c r="AQ18" s="74"/>
      <c r="AR18" s="141">
        <v>4950384</v>
      </c>
      <c r="AS18" s="141">
        <v>766155</v>
      </c>
      <c r="AT18" s="141">
        <v>1550</v>
      </c>
      <c r="AU18" s="141">
        <v>59034</v>
      </c>
      <c r="AV18" s="141">
        <v>9477555</v>
      </c>
      <c r="AW18" s="141">
        <v>6431826</v>
      </c>
      <c r="AX18" s="141">
        <v>2002849</v>
      </c>
      <c r="AY18" s="141">
        <v>25090</v>
      </c>
      <c r="AZ18" s="141">
        <v>3045729</v>
      </c>
      <c r="BA18" s="141">
        <v>23742</v>
      </c>
      <c r="BB18" s="141">
        <v>519130</v>
      </c>
      <c r="BC18" s="141">
        <v>409557</v>
      </c>
      <c r="BD18" s="141">
        <v>1739802</v>
      </c>
      <c r="BE18" s="141">
        <v>1058875</v>
      </c>
      <c r="BF18" s="141">
        <v>650000</v>
      </c>
      <c r="BG18" s="141">
        <v>0</v>
      </c>
      <c r="BH18" s="141">
        <v>319577</v>
      </c>
      <c r="BI18" s="141">
        <v>0</v>
      </c>
      <c r="BJ18" s="141">
        <v>403602</v>
      </c>
      <c r="BK18" s="141">
        <v>56329</v>
      </c>
      <c r="BL18" s="141">
        <v>1449654</v>
      </c>
      <c r="BM18" s="141">
        <v>279750</v>
      </c>
      <c r="BN18" s="141">
        <v>0</v>
      </c>
      <c r="BO18" s="141">
        <v>489837</v>
      </c>
      <c r="BP18" s="141">
        <v>5124379</v>
      </c>
      <c r="BQ18" s="73">
        <f t="shared" si="5"/>
        <v>3659100</v>
      </c>
      <c r="BR18" s="73">
        <f t="shared" si="6"/>
        <v>1465279</v>
      </c>
      <c r="BS18" s="141">
        <v>0</v>
      </c>
      <c r="BT18" s="141">
        <v>0</v>
      </c>
      <c r="BU18" s="141">
        <v>1465279</v>
      </c>
      <c r="BV18" s="141">
        <v>0</v>
      </c>
      <c r="BW18" s="141">
        <v>122333416</v>
      </c>
      <c r="BX18" s="71"/>
      <c r="BY18" s="141">
        <v>18195752</v>
      </c>
      <c r="BZ18" s="141">
        <v>12418625</v>
      </c>
      <c r="CA18" s="141">
        <v>392031</v>
      </c>
      <c r="CB18" s="141">
        <v>2116487</v>
      </c>
      <c r="CC18" s="141">
        <v>48964955</v>
      </c>
      <c r="CD18" s="141">
        <v>15897341</v>
      </c>
      <c r="CE18" s="141">
        <v>21482</v>
      </c>
      <c r="CF18" s="141">
        <v>15792103</v>
      </c>
      <c r="CG18" s="141">
        <v>14533103</v>
      </c>
      <c r="CH18" s="141">
        <v>1056559</v>
      </c>
      <c r="CI18" s="141">
        <v>1664060</v>
      </c>
      <c r="CJ18" s="141">
        <v>9186160</v>
      </c>
      <c r="CK18" s="141">
        <v>8863553</v>
      </c>
      <c r="CL18" s="83">
        <f t="shared" si="7"/>
        <v>322607</v>
      </c>
      <c r="CM18" s="141">
        <v>13364661</v>
      </c>
      <c r="CN18" s="141">
        <v>9445656</v>
      </c>
      <c r="CO18" s="102"/>
      <c r="CP18" s="141">
        <v>1889771</v>
      </c>
      <c r="CQ18" s="141">
        <v>450893</v>
      </c>
      <c r="CR18" s="141">
        <v>11375136</v>
      </c>
      <c r="CS18" s="141">
        <v>904140</v>
      </c>
      <c r="CT18" s="141">
        <v>3646890</v>
      </c>
      <c r="CU18" s="141">
        <v>2922419</v>
      </c>
      <c r="CV18" s="73">
        <f t="shared" si="8"/>
        <v>5303829</v>
      </c>
      <c r="CW18" s="141">
        <v>5303829</v>
      </c>
      <c r="CX18" s="141">
        <v>0</v>
      </c>
      <c r="CY18" s="73">
        <f t="shared" si="9"/>
        <v>1588993</v>
      </c>
      <c r="CZ18" s="141">
        <v>1588993</v>
      </c>
      <c r="DA18" s="141">
        <v>0</v>
      </c>
      <c r="DB18" s="73">
        <f t="shared" si="10"/>
        <v>3627758</v>
      </c>
      <c r="DC18" s="141">
        <v>3627758</v>
      </c>
      <c r="DD18" s="141">
        <v>0</v>
      </c>
      <c r="DE18" s="141">
        <v>5895794</v>
      </c>
      <c r="DF18" s="141">
        <v>1824107</v>
      </c>
      <c r="DG18" s="141">
        <v>4046876</v>
      </c>
      <c r="DH18" s="141">
        <v>18696</v>
      </c>
      <c r="DI18" s="141">
        <v>6115</v>
      </c>
      <c r="DJ18" s="141">
        <v>12690</v>
      </c>
      <c r="DK18" s="141">
        <v>2022086</v>
      </c>
      <c r="DL18" s="141">
        <v>610282</v>
      </c>
      <c r="DM18" s="141">
        <v>0</v>
      </c>
      <c r="DN18" s="141">
        <v>1411804</v>
      </c>
      <c r="DO18" s="141">
        <v>719326</v>
      </c>
      <c r="DP18" s="141">
        <v>719326</v>
      </c>
      <c r="DQ18" s="141">
        <v>175500</v>
      </c>
      <c r="DR18" s="141">
        <v>0</v>
      </c>
      <c r="DS18" s="141">
        <v>248251</v>
      </c>
      <c r="DT18" s="141">
        <v>0</v>
      </c>
      <c r="DU18" s="141">
        <v>0</v>
      </c>
      <c r="DV18" s="141">
        <v>11573779</v>
      </c>
      <c r="DW18" s="141">
        <v>0</v>
      </c>
      <c r="DX18" s="73">
        <f t="shared" si="11"/>
        <v>0</v>
      </c>
      <c r="DY18" s="141">
        <v>0</v>
      </c>
      <c r="DZ18" s="141">
        <v>4184218</v>
      </c>
      <c r="EA18" s="141">
        <v>0</v>
      </c>
      <c r="EB18" s="141">
        <v>3026137</v>
      </c>
      <c r="EC18" s="74"/>
      <c r="ED18" s="141">
        <v>4363424</v>
      </c>
      <c r="EE18" s="141">
        <v>0</v>
      </c>
      <c r="EF18" s="141">
        <v>122009483</v>
      </c>
      <c r="EG18" s="71"/>
      <c r="EH18" s="141">
        <v>323933</v>
      </c>
      <c r="EI18" s="141">
        <v>289248</v>
      </c>
      <c r="EJ18" s="141">
        <v>34685</v>
      </c>
      <c r="EK18" s="141">
        <v>-21644</v>
      </c>
      <c r="EL18" s="141">
        <v>455538</v>
      </c>
      <c r="EM18" s="71"/>
      <c r="EN18" s="141">
        <v>264642</v>
      </c>
      <c r="EO18" s="141">
        <v>260752</v>
      </c>
      <c r="EP18" s="141">
        <v>650000</v>
      </c>
      <c r="EQ18" s="141">
        <v>96550</v>
      </c>
      <c r="ER18" s="73">
        <f t="shared" si="12"/>
        <v>8280286</v>
      </c>
      <c r="ES18" s="141">
        <v>65200665</v>
      </c>
      <c r="ET18" s="141">
        <v>-10404442</v>
      </c>
      <c r="EU18" s="141">
        <v>16578331</v>
      </c>
      <c r="EV18" s="141">
        <v>11594010</v>
      </c>
      <c r="EW18" s="141">
        <v>17720569</v>
      </c>
      <c r="EX18" s="141">
        <v>9046143</v>
      </c>
      <c r="EY18" s="73">
        <f t="shared" si="13"/>
        <v>1763270</v>
      </c>
      <c r="EZ18" s="141">
        <v>1762930</v>
      </c>
      <c r="FA18" s="141">
        <v>92691</v>
      </c>
      <c r="FB18" s="141">
        <v>1666843</v>
      </c>
      <c r="FC18" s="141">
        <v>340</v>
      </c>
      <c r="FD18" s="141">
        <v>0</v>
      </c>
      <c r="FE18" s="141">
        <v>9498655</v>
      </c>
      <c r="FF18" s="141">
        <v>10303082</v>
      </c>
      <c r="FG18" s="141">
        <v>643393</v>
      </c>
      <c r="FH18" s="141">
        <v>9026299</v>
      </c>
      <c r="FI18" s="73">
        <f t="shared" si="14"/>
        <v>1344825</v>
      </c>
      <c r="FJ18" s="141">
        <v>75281174</v>
      </c>
      <c r="FK18" s="379">
        <f t="shared" si="15"/>
        <v>0.1</v>
      </c>
      <c r="FL18" s="141">
        <v>60027762</v>
      </c>
      <c r="FM18" s="141">
        <v>1465279</v>
      </c>
      <c r="FN18" s="141">
        <v>35016892</v>
      </c>
      <c r="FO18" s="141">
        <v>50363818</v>
      </c>
      <c r="FP18" s="390">
        <v>0.69699999999999995</v>
      </c>
      <c r="FQ18" s="380">
        <v>100.6</v>
      </c>
      <c r="FR18" s="381">
        <v>25.9</v>
      </c>
      <c r="FS18" s="380">
        <v>20.9</v>
      </c>
      <c r="FT18" s="380">
        <v>13.5</v>
      </c>
      <c r="FU18" s="381">
        <v>12.8</v>
      </c>
      <c r="FV18" s="380">
        <v>12.7</v>
      </c>
      <c r="FW18" s="382">
        <v>13.3</v>
      </c>
      <c r="FX18" s="383">
        <v>3.1</v>
      </c>
      <c r="FY18" s="141">
        <v>88432525</v>
      </c>
      <c r="FZ18" s="384">
        <f t="shared" si="16"/>
        <v>143.80000000000001</v>
      </c>
      <c r="GA18" s="141">
        <v>13838164</v>
      </c>
      <c r="GB18" s="141">
        <v>7784214</v>
      </c>
      <c r="GC18" s="141">
        <v>0</v>
      </c>
      <c r="GD18" s="141">
        <v>6053950</v>
      </c>
      <c r="GE18" s="107"/>
      <c r="GF18" s="385"/>
      <c r="GG18" s="386"/>
      <c r="GH18" s="380">
        <v>99.5</v>
      </c>
      <c r="GI18" s="380">
        <v>35.1</v>
      </c>
      <c r="GJ18" s="380">
        <v>98.6</v>
      </c>
      <c r="GK18" s="141">
        <v>1705</v>
      </c>
      <c r="GL18" s="391" t="s">
        <v>646</v>
      </c>
      <c r="GM18" s="391">
        <v>11.25</v>
      </c>
      <c r="GN18" s="117">
        <v>20</v>
      </c>
      <c r="GO18" s="391" t="s">
        <v>646</v>
      </c>
      <c r="GP18" s="392">
        <v>16.25</v>
      </c>
      <c r="GQ18" s="387">
        <v>30</v>
      </c>
      <c r="GR18" s="381">
        <v>3.1</v>
      </c>
      <c r="GS18" s="388">
        <v>25</v>
      </c>
      <c r="GT18" s="388">
        <v>35</v>
      </c>
      <c r="GU18" s="393" t="s">
        <v>646</v>
      </c>
      <c r="GV18" s="388">
        <v>350</v>
      </c>
      <c r="GW18" s="394"/>
      <c r="GX18" s="100">
        <f t="shared" si="17"/>
        <v>61493</v>
      </c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  <c r="HW18" s="394"/>
      <c r="HX18" s="394"/>
    </row>
    <row r="19" spans="2:232" x14ac:dyDescent="0.15">
      <c r="B19" s="89" t="s">
        <v>27</v>
      </c>
      <c r="C19" s="141">
        <v>20060143</v>
      </c>
      <c r="D19" s="73">
        <f t="shared" si="0"/>
        <v>5176548</v>
      </c>
      <c r="E19" s="141">
        <v>170723</v>
      </c>
      <c r="F19" s="141">
        <v>5005825</v>
      </c>
      <c r="G19" s="73">
        <f t="shared" si="1"/>
        <v>1239027</v>
      </c>
      <c r="H19" s="141">
        <v>464066</v>
      </c>
      <c r="I19" s="141">
        <v>774961</v>
      </c>
      <c r="J19" s="141">
        <v>10458493</v>
      </c>
      <c r="K19" s="141">
        <v>3719014</v>
      </c>
      <c r="L19" s="141">
        <v>4092716</v>
      </c>
      <c r="M19" s="141">
        <v>2186743</v>
      </c>
      <c r="N19" s="141">
        <v>944844</v>
      </c>
      <c r="O19" s="141">
        <v>1554443</v>
      </c>
      <c r="P19" s="141">
        <v>696981</v>
      </c>
      <c r="Q19" s="141">
        <v>857462</v>
      </c>
      <c r="R19" s="141">
        <v>215646</v>
      </c>
      <c r="S19" s="74"/>
      <c r="T19" s="73">
        <f t="shared" si="2"/>
        <v>3183825</v>
      </c>
      <c r="U19" s="141">
        <v>11571</v>
      </c>
      <c r="V19" s="141">
        <v>115561</v>
      </c>
      <c r="W19" s="141">
        <v>124160</v>
      </c>
      <c r="X19" s="141">
        <v>2460628</v>
      </c>
      <c r="Y19" s="141">
        <v>47811</v>
      </c>
      <c r="Z19" s="141">
        <v>0</v>
      </c>
      <c r="AA19" s="141">
        <v>2144</v>
      </c>
      <c r="AB19" s="141">
        <v>47112</v>
      </c>
      <c r="AC19" s="141">
        <v>374838</v>
      </c>
      <c r="AD19" s="141">
        <v>98518</v>
      </c>
      <c r="AE19" s="141">
        <v>3777281</v>
      </c>
      <c r="AF19" s="141">
        <v>3404544</v>
      </c>
      <c r="AG19" s="141">
        <v>372737</v>
      </c>
      <c r="AH19" s="141">
        <v>13976</v>
      </c>
      <c r="AI19" s="141">
        <v>270010</v>
      </c>
      <c r="AJ19" s="73">
        <f t="shared" si="3"/>
        <v>841029</v>
      </c>
      <c r="AK19" s="141">
        <v>591431</v>
      </c>
      <c r="AL19" s="141">
        <v>249598</v>
      </c>
      <c r="AM19" s="141">
        <v>11257264</v>
      </c>
      <c r="AN19" s="73">
        <f t="shared" si="4"/>
        <v>5740721</v>
      </c>
      <c r="AO19" s="141">
        <v>2718722</v>
      </c>
      <c r="AP19" s="141">
        <v>1155285</v>
      </c>
      <c r="AQ19" s="74"/>
      <c r="AR19" s="141">
        <v>1866714</v>
      </c>
      <c r="AS19" s="141">
        <v>636933</v>
      </c>
      <c r="AT19" s="141">
        <v>0</v>
      </c>
      <c r="AU19" s="141">
        <v>0</v>
      </c>
      <c r="AV19" s="141">
        <v>3527112</v>
      </c>
      <c r="AW19" s="141">
        <v>2129163</v>
      </c>
      <c r="AX19" s="141">
        <v>643819</v>
      </c>
      <c r="AY19" s="141">
        <v>0</v>
      </c>
      <c r="AZ19" s="141">
        <v>1397949</v>
      </c>
      <c r="BA19" s="141">
        <v>120156</v>
      </c>
      <c r="BB19" s="141">
        <v>229046</v>
      </c>
      <c r="BC19" s="141">
        <v>16751</v>
      </c>
      <c r="BD19" s="141">
        <v>17676493</v>
      </c>
      <c r="BE19" s="141">
        <v>16358764</v>
      </c>
      <c r="BF19" s="141">
        <v>259000</v>
      </c>
      <c r="BG19" s="141">
        <v>0</v>
      </c>
      <c r="BH19" s="141">
        <v>16099764</v>
      </c>
      <c r="BI19" s="141">
        <v>0</v>
      </c>
      <c r="BJ19" s="141">
        <v>502307</v>
      </c>
      <c r="BK19" s="141">
        <v>408736</v>
      </c>
      <c r="BL19" s="141">
        <v>2386206</v>
      </c>
      <c r="BM19" s="141">
        <v>1473596</v>
      </c>
      <c r="BN19" s="141">
        <v>0</v>
      </c>
      <c r="BO19" s="141">
        <v>367487</v>
      </c>
      <c r="BP19" s="141">
        <v>2895600</v>
      </c>
      <c r="BQ19" s="73">
        <f t="shared" si="5"/>
        <v>2588400</v>
      </c>
      <c r="BR19" s="73">
        <f t="shared" si="6"/>
        <v>307200</v>
      </c>
      <c r="BS19" s="141">
        <v>0</v>
      </c>
      <c r="BT19" s="141">
        <v>0</v>
      </c>
      <c r="BU19" s="141">
        <v>307200</v>
      </c>
      <c r="BV19" s="141">
        <v>0</v>
      </c>
      <c r="BW19" s="141">
        <v>83293220</v>
      </c>
      <c r="BX19" s="71"/>
      <c r="BY19" s="141">
        <v>6559161</v>
      </c>
      <c r="BZ19" s="141">
        <v>4012627</v>
      </c>
      <c r="CA19" s="141">
        <v>624155</v>
      </c>
      <c r="CB19" s="141">
        <v>520643</v>
      </c>
      <c r="CC19" s="141">
        <v>15125293</v>
      </c>
      <c r="CD19" s="141">
        <v>5687041</v>
      </c>
      <c r="CE19" s="141">
        <v>162</v>
      </c>
      <c r="CF19" s="141">
        <v>5143304</v>
      </c>
      <c r="CG19" s="141">
        <v>3668033</v>
      </c>
      <c r="CH19" s="141">
        <v>82132</v>
      </c>
      <c r="CI19" s="141">
        <v>544621</v>
      </c>
      <c r="CJ19" s="141">
        <v>5105155</v>
      </c>
      <c r="CK19" s="141">
        <v>4765052</v>
      </c>
      <c r="CL19" s="83">
        <f t="shared" si="7"/>
        <v>340103</v>
      </c>
      <c r="CM19" s="141">
        <v>13043229</v>
      </c>
      <c r="CN19" s="141">
        <v>8519759</v>
      </c>
      <c r="CO19" s="102"/>
      <c r="CP19" s="141">
        <v>732042</v>
      </c>
      <c r="CQ19" s="141">
        <v>153148</v>
      </c>
      <c r="CR19" s="141">
        <v>14293183</v>
      </c>
      <c r="CS19" s="141">
        <v>2563733</v>
      </c>
      <c r="CT19" s="141">
        <v>2724083</v>
      </c>
      <c r="CU19" s="141">
        <v>2117455</v>
      </c>
      <c r="CV19" s="73">
        <f t="shared" si="8"/>
        <v>1360658</v>
      </c>
      <c r="CW19" s="141">
        <v>1259261</v>
      </c>
      <c r="CX19" s="141">
        <v>101397</v>
      </c>
      <c r="CY19" s="73">
        <f t="shared" si="9"/>
        <v>0</v>
      </c>
      <c r="CZ19" s="141">
        <v>0</v>
      </c>
      <c r="DA19" s="141">
        <v>0</v>
      </c>
      <c r="DB19" s="73">
        <f t="shared" si="10"/>
        <v>1356458</v>
      </c>
      <c r="DC19" s="141">
        <v>1255061</v>
      </c>
      <c r="DD19" s="141">
        <v>101397</v>
      </c>
      <c r="DE19" s="141">
        <v>4807965</v>
      </c>
      <c r="DF19" s="141">
        <v>1639230</v>
      </c>
      <c r="DG19" s="141">
        <v>3131981</v>
      </c>
      <c r="DH19" s="141">
        <v>36748</v>
      </c>
      <c r="DI19" s="141">
        <v>0</v>
      </c>
      <c r="DJ19" s="141">
        <v>112</v>
      </c>
      <c r="DK19" s="141">
        <v>18296070</v>
      </c>
      <c r="DL19" s="141">
        <v>245076</v>
      </c>
      <c r="DM19" s="141">
        <v>763717</v>
      </c>
      <c r="DN19" s="141">
        <v>17287277</v>
      </c>
      <c r="DO19" s="141">
        <v>127670</v>
      </c>
      <c r="DP19" s="141">
        <v>127670</v>
      </c>
      <c r="DQ19" s="141">
        <v>0</v>
      </c>
      <c r="DR19" s="141">
        <v>0</v>
      </c>
      <c r="DS19" s="141">
        <v>1236780</v>
      </c>
      <c r="DT19" s="141">
        <v>0</v>
      </c>
      <c r="DU19" s="141">
        <v>0</v>
      </c>
      <c r="DV19" s="141">
        <v>4235118</v>
      </c>
      <c r="DW19" s="141">
        <v>0</v>
      </c>
      <c r="DX19" s="73">
        <f t="shared" si="11"/>
        <v>0</v>
      </c>
      <c r="DY19" s="141">
        <v>0</v>
      </c>
      <c r="DZ19" s="141">
        <v>1660007</v>
      </c>
      <c r="EA19" s="141">
        <v>0</v>
      </c>
      <c r="EB19" s="141">
        <v>1041790</v>
      </c>
      <c r="EC19" s="74"/>
      <c r="ED19" s="141">
        <v>1533321</v>
      </c>
      <c r="EE19" s="141">
        <v>0</v>
      </c>
      <c r="EF19" s="141">
        <v>82982884</v>
      </c>
      <c r="EG19" s="71"/>
      <c r="EH19" s="141">
        <v>310336</v>
      </c>
      <c r="EI19" s="141">
        <v>51756</v>
      </c>
      <c r="EJ19" s="141">
        <v>258580</v>
      </c>
      <c r="EK19" s="141">
        <v>-150156</v>
      </c>
      <c r="EL19" s="141">
        <v>-164080</v>
      </c>
      <c r="EM19" s="71"/>
      <c r="EN19" s="141">
        <v>100131</v>
      </c>
      <c r="EO19" s="141">
        <v>99037</v>
      </c>
      <c r="EP19" s="141">
        <v>2500000</v>
      </c>
      <c r="EQ19" s="141">
        <v>125008</v>
      </c>
      <c r="ER19" s="73">
        <f t="shared" si="12"/>
        <v>3969064</v>
      </c>
      <c r="ES19" s="141">
        <v>27349389</v>
      </c>
      <c r="ET19" s="141">
        <v>-6887296</v>
      </c>
      <c r="EU19" s="141">
        <v>5762997</v>
      </c>
      <c r="EV19" s="141">
        <v>3318953</v>
      </c>
      <c r="EW19" s="141">
        <v>5327103</v>
      </c>
      <c r="EX19" s="141">
        <v>4496663</v>
      </c>
      <c r="EY19" s="73">
        <f t="shared" si="13"/>
        <v>1387545</v>
      </c>
      <c r="EZ19" s="141">
        <v>1387433</v>
      </c>
      <c r="FA19" s="141">
        <v>64777</v>
      </c>
      <c r="FB19" s="141">
        <v>1317176</v>
      </c>
      <c r="FC19" s="141">
        <v>112</v>
      </c>
      <c r="FD19" s="141">
        <v>0</v>
      </c>
      <c r="FE19" s="141">
        <v>5534722</v>
      </c>
      <c r="FF19" s="141">
        <v>6635296</v>
      </c>
      <c r="FG19" s="141">
        <v>2563733</v>
      </c>
      <c r="FH19" s="141">
        <v>3266771</v>
      </c>
      <c r="FI19" s="73">
        <f t="shared" si="14"/>
        <v>1515252</v>
      </c>
      <c r="FJ19" s="141">
        <v>33926349</v>
      </c>
      <c r="FK19" s="379">
        <f t="shared" si="15"/>
        <v>1.1000000000000001</v>
      </c>
      <c r="FL19" s="141">
        <v>24168827</v>
      </c>
      <c r="FM19" s="141">
        <v>307290</v>
      </c>
      <c r="FN19" s="141">
        <v>16202836</v>
      </c>
      <c r="FO19" s="141">
        <v>19607380</v>
      </c>
      <c r="FP19" s="395">
        <v>0.85699999999999998</v>
      </c>
      <c r="FQ19" s="380">
        <v>104.3</v>
      </c>
      <c r="FR19" s="381">
        <v>20.399999999999999</v>
      </c>
      <c r="FS19" s="380">
        <v>13.8</v>
      </c>
      <c r="FT19" s="380">
        <v>17.600000000000001</v>
      </c>
      <c r="FU19" s="381">
        <v>17.899999999999999</v>
      </c>
      <c r="FV19" s="380">
        <v>20.8</v>
      </c>
      <c r="FW19" s="382">
        <v>12.7</v>
      </c>
      <c r="FX19" s="383">
        <v>7.6</v>
      </c>
      <c r="FY19" s="141">
        <v>56749714</v>
      </c>
      <c r="FZ19" s="384">
        <f t="shared" si="16"/>
        <v>231.9</v>
      </c>
      <c r="GA19" s="141">
        <v>18509455</v>
      </c>
      <c r="GB19" s="141">
        <v>1914126</v>
      </c>
      <c r="GC19" s="141">
        <v>922977</v>
      </c>
      <c r="GD19" s="141">
        <v>15672352</v>
      </c>
      <c r="GE19" s="107"/>
      <c r="GF19" s="385">
        <v>820</v>
      </c>
      <c r="GG19" s="386">
        <f>IF(GF19=0,"-",ROUND(GF19/(GX19)*100,1))</f>
        <v>3.4</v>
      </c>
      <c r="GH19" s="380">
        <v>99.6</v>
      </c>
      <c r="GI19" s="380">
        <v>61</v>
      </c>
      <c r="GJ19" s="380">
        <v>99.2</v>
      </c>
      <c r="GK19" s="141">
        <v>555</v>
      </c>
      <c r="GL19" s="391" t="s">
        <v>646</v>
      </c>
      <c r="GM19" s="391">
        <v>12.12</v>
      </c>
      <c r="GN19" s="117">
        <v>20</v>
      </c>
      <c r="GO19" s="391" t="s">
        <v>646</v>
      </c>
      <c r="GP19" s="392">
        <v>17.12</v>
      </c>
      <c r="GQ19" s="387">
        <v>30</v>
      </c>
      <c r="GR19" s="381">
        <v>7.6</v>
      </c>
      <c r="GS19" s="388">
        <v>25</v>
      </c>
      <c r="GT19" s="388">
        <v>35</v>
      </c>
      <c r="GU19" s="393">
        <v>8.6999999999999993</v>
      </c>
      <c r="GV19" s="388">
        <v>350</v>
      </c>
      <c r="GW19" s="394"/>
      <c r="GX19" s="100">
        <f t="shared" si="17"/>
        <v>24476</v>
      </c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  <c r="HW19" s="394"/>
      <c r="HX19" s="394"/>
    </row>
    <row r="20" spans="2:232" x14ac:dyDescent="0.15">
      <c r="B20" s="89" t="s">
        <v>29</v>
      </c>
      <c r="C20" s="141">
        <v>13513271</v>
      </c>
      <c r="D20" s="73">
        <f t="shared" si="0"/>
        <v>5927628</v>
      </c>
      <c r="E20" s="141">
        <v>182449</v>
      </c>
      <c r="F20" s="141">
        <v>5745179</v>
      </c>
      <c r="G20" s="73">
        <f t="shared" si="1"/>
        <v>505325</v>
      </c>
      <c r="H20" s="141">
        <v>197949</v>
      </c>
      <c r="I20" s="141">
        <v>307376</v>
      </c>
      <c r="J20" s="141">
        <v>5211155</v>
      </c>
      <c r="K20" s="141">
        <v>1988783</v>
      </c>
      <c r="L20" s="141">
        <v>2452781</v>
      </c>
      <c r="M20" s="141">
        <v>659980</v>
      </c>
      <c r="N20" s="141">
        <v>619103</v>
      </c>
      <c r="O20" s="141">
        <v>992265</v>
      </c>
      <c r="P20" s="141">
        <v>524109</v>
      </c>
      <c r="Q20" s="141">
        <v>468156</v>
      </c>
      <c r="R20" s="141">
        <v>210275</v>
      </c>
      <c r="S20" s="74"/>
      <c r="T20" s="73">
        <f t="shared" si="2"/>
        <v>3100587</v>
      </c>
      <c r="U20" s="141">
        <v>14039</v>
      </c>
      <c r="V20" s="141">
        <v>139897</v>
      </c>
      <c r="W20" s="141">
        <v>149876</v>
      </c>
      <c r="X20" s="141">
        <v>2439031</v>
      </c>
      <c r="Y20" s="141">
        <v>46521</v>
      </c>
      <c r="Z20" s="141">
        <v>0</v>
      </c>
      <c r="AA20" s="141">
        <v>2537</v>
      </c>
      <c r="AB20" s="141">
        <v>55743</v>
      </c>
      <c r="AC20" s="141">
        <v>252943</v>
      </c>
      <c r="AD20" s="141">
        <v>101938</v>
      </c>
      <c r="AE20" s="141">
        <v>8545754</v>
      </c>
      <c r="AF20" s="141">
        <v>8333674</v>
      </c>
      <c r="AG20" s="141">
        <v>212080</v>
      </c>
      <c r="AH20" s="141">
        <v>12368</v>
      </c>
      <c r="AI20" s="141">
        <v>838614</v>
      </c>
      <c r="AJ20" s="73">
        <f t="shared" si="3"/>
        <v>921929</v>
      </c>
      <c r="AK20" s="141">
        <v>583299</v>
      </c>
      <c r="AL20" s="141">
        <v>338630</v>
      </c>
      <c r="AM20" s="141">
        <v>11499097</v>
      </c>
      <c r="AN20" s="73">
        <f t="shared" si="4"/>
        <v>6162659</v>
      </c>
      <c r="AO20" s="141">
        <v>2940929</v>
      </c>
      <c r="AP20" s="141">
        <v>1454900</v>
      </c>
      <c r="AQ20" s="74"/>
      <c r="AR20" s="141">
        <v>1766830</v>
      </c>
      <c r="AS20" s="141">
        <v>401562</v>
      </c>
      <c r="AT20" s="141">
        <v>0</v>
      </c>
      <c r="AU20" s="141">
        <v>0</v>
      </c>
      <c r="AV20" s="141">
        <v>3712838</v>
      </c>
      <c r="AW20" s="141">
        <v>2181457</v>
      </c>
      <c r="AX20" s="141">
        <v>645927</v>
      </c>
      <c r="AY20" s="141">
        <v>46187</v>
      </c>
      <c r="AZ20" s="141">
        <v>1531381</v>
      </c>
      <c r="BA20" s="141">
        <v>74634</v>
      </c>
      <c r="BB20" s="141">
        <v>60306</v>
      </c>
      <c r="BC20" s="141">
        <v>41918</v>
      </c>
      <c r="BD20" s="141">
        <v>119072</v>
      </c>
      <c r="BE20" s="141">
        <v>945097</v>
      </c>
      <c r="BF20" s="141">
        <v>0</v>
      </c>
      <c r="BG20" s="141">
        <v>0</v>
      </c>
      <c r="BH20" s="141">
        <v>876189</v>
      </c>
      <c r="BI20" s="141">
        <v>0</v>
      </c>
      <c r="BJ20" s="141">
        <v>1170487</v>
      </c>
      <c r="BK20" s="141">
        <v>963348</v>
      </c>
      <c r="BL20" s="141">
        <v>1592099</v>
      </c>
      <c r="BM20" s="141">
        <v>900681</v>
      </c>
      <c r="BN20" s="141">
        <v>0</v>
      </c>
      <c r="BO20" s="141">
        <v>394597</v>
      </c>
      <c r="BP20" s="141">
        <v>1691600</v>
      </c>
      <c r="BQ20" s="73">
        <f t="shared" si="5"/>
        <v>1475600</v>
      </c>
      <c r="BR20" s="73">
        <f t="shared" si="6"/>
        <v>216000</v>
      </c>
      <c r="BS20" s="141">
        <v>0</v>
      </c>
      <c r="BT20" s="141">
        <v>0</v>
      </c>
      <c r="BU20" s="141">
        <v>216000</v>
      </c>
      <c r="BV20" s="141">
        <v>0</v>
      </c>
      <c r="BW20" s="141">
        <v>48035332</v>
      </c>
      <c r="BX20" s="71"/>
      <c r="BY20" s="141">
        <v>8317793</v>
      </c>
      <c r="BZ20" s="141">
        <v>5162187</v>
      </c>
      <c r="CA20" s="141">
        <v>202918</v>
      </c>
      <c r="CB20" s="141">
        <v>1401459</v>
      </c>
      <c r="CC20" s="141">
        <v>15529745</v>
      </c>
      <c r="CD20" s="141">
        <v>5850218</v>
      </c>
      <c r="CE20" s="141">
        <v>3757</v>
      </c>
      <c r="CF20" s="141">
        <v>5714207</v>
      </c>
      <c r="CG20" s="141">
        <v>3868328</v>
      </c>
      <c r="CH20" s="141">
        <v>3809</v>
      </c>
      <c r="CI20" s="141">
        <v>89426</v>
      </c>
      <c r="CJ20" s="141">
        <v>2969565</v>
      </c>
      <c r="CK20" s="141">
        <v>2874220</v>
      </c>
      <c r="CL20" s="83">
        <f t="shared" si="7"/>
        <v>95345</v>
      </c>
      <c r="CM20" s="141">
        <v>5748096</v>
      </c>
      <c r="CN20" s="141">
        <v>4282863</v>
      </c>
      <c r="CO20" s="102"/>
      <c r="CP20" s="141">
        <v>967603</v>
      </c>
      <c r="CQ20" s="141">
        <v>332255</v>
      </c>
      <c r="CR20" s="141">
        <v>4337860</v>
      </c>
      <c r="CS20" s="141">
        <v>934264</v>
      </c>
      <c r="CT20" s="141">
        <v>1142951</v>
      </c>
      <c r="CU20" s="141">
        <v>829949</v>
      </c>
      <c r="CV20" s="73">
        <f t="shared" si="8"/>
        <v>1100279</v>
      </c>
      <c r="CW20" s="141">
        <v>96004</v>
      </c>
      <c r="CX20" s="141">
        <v>1004275</v>
      </c>
      <c r="CY20" s="73">
        <f t="shared" si="9"/>
        <v>0</v>
      </c>
      <c r="CZ20" s="141">
        <v>0</v>
      </c>
      <c r="DA20" s="141">
        <v>0</v>
      </c>
      <c r="DB20" s="73">
        <f t="shared" si="10"/>
        <v>998829</v>
      </c>
      <c r="DC20" s="141">
        <v>73581</v>
      </c>
      <c r="DD20" s="141">
        <v>925248</v>
      </c>
      <c r="DE20" s="141">
        <v>3486765</v>
      </c>
      <c r="DF20" s="141">
        <v>825960</v>
      </c>
      <c r="DG20" s="141">
        <v>2440298</v>
      </c>
      <c r="DH20" s="141">
        <v>220507</v>
      </c>
      <c r="DI20" s="141">
        <v>0</v>
      </c>
      <c r="DJ20" s="141">
        <v>79685</v>
      </c>
      <c r="DK20" s="141">
        <v>712097</v>
      </c>
      <c r="DL20" s="141">
        <v>127617</v>
      </c>
      <c r="DM20" s="141">
        <v>0</v>
      </c>
      <c r="DN20" s="141">
        <v>584480</v>
      </c>
      <c r="DO20" s="141">
        <v>0</v>
      </c>
      <c r="DP20" s="141">
        <v>0</v>
      </c>
      <c r="DQ20" s="141">
        <v>0</v>
      </c>
      <c r="DR20" s="141">
        <v>0</v>
      </c>
      <c r="DS20" s="141">
        <v>897000</v>
      </c>
      <c r="DT20" s="141">
        <v>0</v>
      </c>
      <c r="DU20" s="141">
        <v>0</v>
      </c>
      <c r="DV20" s="141">
        <v>5149822</v>
      </c>
      <c r="DW20" s="141">
        <v>0</v>
      </c>
      <c r="DX20" s="73">
        <f t="shared" si="11"/>
        <v>0</v>
      </c>
      <c r="DY20" s="141">
        <v>0</v>
      </c>
      <c r="DZ20" s="141">
        <v>1937225</v>
      </c>
      <c r="EA20" s="141">
        <v>0</v>
      </c>
      <c r="EB20" s="141">
        <v>1309914</v>
      </c>
      <c r="EC20" s="74"/>
      <c r="ED20" s="141">
        <v>1902683</v>
      </c>
      <c r="EE20" s="141">
        <v>0</v>
      </c>
      <c r="EF20" s="141">
        <v>47560683</v>
      </c>
      <c r="EG20" s="71"/>
      <c r="EH20" s="141">
        <v>474649</v>
      </c>
      <c r="EI20" s="141">
        <v>24716</v>
      </c>
      <c r="EJ20" s="141">
        <v>449933</v>
      </c>
      <c r="EK20" s="141">
        <v>-513415</v>
      </c>
      <c r="EL20" s="141">
        <v>29080</v>
      </c>
      <c r="EM20" s="71"/>
      <c r="EN20" s="141">
        <v>108699</v>
      </c>
      <c r="EO20" s="141">
        <v>107342</v>
      </c>
      <c r="EP20" s="141">
        <v>82108</v>
      </c>
      <c r="EQ20" s="141">
        <v>48319</v>
      </c>
      <c r="ER20" s="73">
        <f t="shared" si="12"/>
        <v>3914520</v>
      </c>
      <c r="ES20" s="141">
        <v>25484193</v>
      </c>
      <c r="ET20" s="141">
        <v>-4248579</v>
      </c>
      <c r="EU20" s="141">
        <v>7086204</v>
      </c>
      <c r="EV20" s="141">
        <v>4378297</v>
      </c>
      <c r="EW20" s="141">
        <v>5594538</v>
      </c>
      <c r="EX20" s="141">
        <v>2872497</v>
      </c>
      <c r="EY20" s="73">
        <f t="shared" si="13"/>
        <v>593735</v>
      </c>
      <c r="EZ20" s="141">
        <v>580050</v>
      </c>
      <c r="FA20" s="141">
        <v>75527</v>
      </c>
      <c r="FB20" s="141">
        <v>492317</v>
      </c>
      <c r="FC20" s="141">
        <v>13685</v>
      </c>
      <c r="FD20" s="141">
        <v>0</v>
      </c>
      <c r="FE20" s="141">
        <v>4193505</v>
      </c>
      <c r="FF20" s="141">
        <v>3875990</v>
      </c>
      <c r="FG20" s="141">
        <v>934264</v>
      </c>
      <c r="FH20" s="141">
        <v>4089207</v>
      </c>
      <c r="FI20" s="73">
        <f t="shared" si="14"/>
        <v>959352</v>
      </c>
      <c r="FJ20" s="141">
        <v>29265028</v>
      </c>
      <c r="FK20" s="379">
        <f t="shared" si="15"/>
        <v>1.8</v>
      </c>
      <c r="FL20" s="141">
        <v>24287382</v>
      </c>
      <c r="FM20" s="141">
        <v>216093</v>
      </c>
      <c r="FN20" s="141">
        <v>12563529</v>
      </c>
      <c r="FO20" s="141">
        <v>20873580</v>
      </c>
      <c r="FP20" s="390">
        <v>0.60199999999999998</v>
      </c>
      <c r="FQ20" s="380">
        <v>95.3</v>
      </c>
      <c r="FR20" s="381">
        <v>28.5</v>
      </c>
      <c r="FS20" s="380">
        <v>15.4</v>
      </c>
      <c r="FT20" s="380">
        <v>10</v>
      </c>
      <c r="FU20" s="381">
        <v>15.2</v>
      </c>
      <c r="FV20" s="380">
        <v>9.9</v>
      </c>
      <c r="FW20" s="382">
        <v>15.2</v>
      </c>
      <c r="FX20" s="383">
        <v>-0.7</v>
      </c>
      <c r="FY20" s="141">
        <v>27786208</v>
      </c>
      <c r="FZ20" s="384">
        <f t="shared" si="16"/>
        <v>113.4</v>
      </c>
      <c r="GA20" s="141">
        <v>12155065</v>
      </c>
      <c r="GB20" s="141">
        <v>4792651</v>
      </c>
      <c r="GC20" s="141">
        <v>0</v>
      </c>
      <c r="GD20" s="141">
        <v>7362414</v>
      </c>
      <c r="GE20" s="107"/>
      <c r="GF20" s="385"/>
      <c r="GG20" s="386"/>
      <c r="GH20" s="380">
        <v>99.3</v>
      </c>
      <c r="GI20" s="380">
        <v>35.1</v>
      </c>
      <c r="GJ20" s="380">
        <v>98.6</v>
      </c>
      <c r="GK20" s="141">
        <v>851</v>
      </c>
      <c r="GL20" s="391" t="s">
        <v>646</v>
      </c>
      <c r="GM20" s="391">
        <v>12.12</v>
      </c>
      <c r="GN20" s="117">
        <v>20</v>
      </c>
      <c r="GO20" s="391" t="s">
        <v>646</v>
      </c>
      <c r="GP20" s="392">
        <v>17.12</v>
      </c>
      <c r="GQ20" s="387">
        <v>30</v>
      </c>
      <c r="GR20" s="381">
        <v>-0.7</v>
      </c>
      <c r="GS20" s="388">
        <v>25</v>
      </c>
      <c r="GT20" s="388">
        <v>35</v>
      </c>
      <c r="GU20" s="393" t="s">
        <v>646</v>
      </c>
      <c r="GV20" s="388">
        <v>350</v>
      </c>
      <c r="GW20" s="394"/>
      <c r="GX20" s="100">
        <f t="shared" si="17"/>
        <v>24503</v>
      </c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  <c r="HW20" s="394"/>
      <c r="HX20" s="394"/>
    </row>
    <row r="21" spans="2:232" x14ac:dyDescent="0.15">
      <c r="B21" s="89" t="s">
        <v>31</v>
      </c>
      <c r="C21" s="141">
        <v>29439779</v>
      </c>
      <c r="D21" s="73">
        <f t="shared" si="0"/>
        <v>11638814</v>
      </c>
      <c r="E21" s="141">
        <v>373096</v>
      </c>
      <c r="F21" s="141">
        <v>11265718</v>
      </c>
      <c r="G21" s="73">
        <f t="shared" si="1"/>
        <v>1576331</v>
      </c>
      <c r="H21" s="141">
        <v>570724</v>
      </c>
      <c r="I21" s="141">
        <v>1005607</v>
      </c>
      <c r="J21" s="141">
        <v>11641995</v>
      </c>
      <c r="K21" s="141">
        <v>4644680</v>
      </c>
      <c r="L21" s="141">
        <v>5568704</v>
      </c>
      <c r="M21" s="141">
        <v>1132767</v>
      </c>
      <c r="N21" s="141">
        <v>1657626</v>
      </c>
      <c r="O21" s="141">
        <v>2546396</v>
      </c>
      <c r="P21" s="141">
        <v>1321441</v>
      </c>
      <c r="Q21" s="141">
        <v>1224955</v>
      </c>
      <c r="R21" s="141">
        <v>349174</v>
      </c>
      <c r="S21" s="74"/>
      <c r="T21" s="73">
        <f t="shared" si="2"/>
        <v>6215017</v>
      </c>
      <c r="U21" s="141">
        <v>26655</v>
      </c>
      <c r="V21" s="141">
        <v>266445</v>
      </c>
      <c r="W21" s="141">
        <v>286604</v>
      </c>
      <c r="X21" s="141">
        <v>5071007</v>
      </c>
      <c r="Y21" s="141">
        <v>0</v>
      </c>
      <c r="Z21" s="141">
        <v>0</v>
      </c>
      <c r="AA21" s="141">
        <v>4166</v>
      </c>
      <c r="AB21" s="141">
        <v>91556</v>
      </c>
      <c r="AC21" s="141">
        <v>468584</v>
      </c>
      <c r="AD21" s="141">
        <v>205445</v>
      </c>
      <c r="AE21" s="141">
        <v>16635687</v>
      </c>
      <c r="AF21" s="141">
        <v>16060885</v>
      </c>
      <c r="AG21" s="141">
        <v>574802</v>
      </c>
      <c r="AH21" s="141">
        <v>28342</v>
      </c>
      <c r="AI21" s="141">
        <v>339852</v>
      </c>
      <c r="AJ21" s="73">
        <f t="shared" si="3"/>
        <v>746809</v>
      </c>
      <c r="AK21" s="141">
        <v>457132</v>
      </c>
      <c r="AL21" s="141">
        <v>289677</v>
      </c>
      <c r="AM21" s="141">
        <v>29757873</v>
      </c>
      <c r="AN21" s="73">
        <f t="shared" si="4"/>
        <v>16521533</v>
      </c>
      <c r="AO21" s="141">
        <v>10142407</v>
      </c>
      <c r="AP21" s="141">
        <v>2314097</v>
      </c>
      <c r="AQ21" s="74"/>
      <c r="AR21" s="141">
        <v>4065029</v>
      </c>
      <c r="AS21" s="141">
        <v>870216</v>
      </c>
      <c r="AT21" s="141">
        <v>0</v>
      </c>
      <c r="AU21" s="141">
        <v>0</v>
      </c>
      <c r="AV21" s="141">
        <v>9055069</v>
      </c>
      <c r="AW21" s="141">
        <v>5976032</v>
      </c>
      <c r="AX21" s="141">
        <v>954429</v>
      </c>
      <c r="AY21" s="141">
        <v>438441</v>
      </c>
      <c r="AZ21" s="141">
        <v>3079037</v>
      </c>
      <c r="BA21" s="141">
        <v>549237</v>
      </c>
      <c r="BB21" s="141">
        <v>137652</v>
      </c>
      <c r="BC21" s="141">
        <v>104482</v>
      </c>
      <c r="BD21" s="141">
        <v>149374</v>
      </c>
      <c r="BE21" s="141">
        <v>2767630</v>
      </c>
      <c r="BF21" s="141">
        <v>1684234</v>
      </c>
      <c r="BG21" s="141">
        <v>0</v>
      </c>
      <c r="BH21" s="141">
        <v>1083396</v>
      </c>
      <c r="BI21" s="141">
        <v>0</v>
      </c>
      <c r="BJ21" s="141">
        <v>1273790</v>
      </c>
      <c r="BK21" s="141">
        <v>1140895</v>
      </c>
      <c r="BL21" s="141">
        <v>1628114</v>
      </c>
      <c r="BM21" s="141">
        <v>82510</v>
      </c>
      <c r="BN21" s="141">
        <v>0</v>
      </c>
      <c r="BO21" s="141">
        <v>467417</v>
      </c>
      <c r="BP21" s="141">
        <v>8253800</v>
      </c>
      <c r="BQ21" s="73">
        <f t="shared" si="5"/>
        <v>7241800</v>
      </c>
      <c r="BR21" s="73">
        <f t="shared" si="6"/>
        <v>1012000</v>
      </c>
      <c r="BS21" s="141">
        <v>0</v>
      </c>
      <c r="BT21" s="141">
        <v>0</v>
      </c>
      <c r="BU21" s="141">
        <v>1012000</v>
      </c>
      <c r="BV21" s="141">
        <v>0</v>
      </c>
      <c r="BW21" s="141">
        <v>106983407</v>
      </c>
      <c r="BX21" s="71"/>
      <c r="BY21" s="141">
        <v>10932003</v>
      </c>
      <c r="BZ21" s="141">
        <v>7206857</v>
      </c>
      <c r="CA21" s="141">
        <v>591142</v>
      </c>
      <c r="CB21" s="141">
        <v>1182157</v>
      </c>
      <c r="CC21" s="141">
        <v>39778618</v>
      </c>
      <c r="CD21" s="141">
        <v>13802144</v>
      </c>
      <c r="CE21" s="141">
        <v>59256</v>
      </c>
      <c r="CF21" s="141">
        <v>10981964</v>
      </c>
      <c r="CG21" s="141">
        <v>13486224</v>
      </c>
      <c r="CH21" s="141">
        <v>282021</v>
      </c>
      <c r="CI21" s="141">
        <v>1166279</v>
      </c>
      <c r="CJ21" s="141">
        <v>5518947</v>
      </c>
      <c r="CK21" s="141">
        <v>5330700</v>
      </c>
      <c r="CL21" s="83">
        <f t="shared" si="7"/>
        <v>188247</v>
      </c>
      <c r="CM21" s="141">
        <v>10108231</v>
      </c>
      <c r="CN21" s="141">
        <v>6146173</v>
      </c>
      <c r="CO21" s="102"/>
      <c r="CP21" s="141">
        <v>2301043</v>
      </c>
      <c r="CQ21" s="141">
        <v>440821</v>
      </c>
      <c r="CR21" s="141">
        <v>9882299</v>
      </c>
      <c r="CS21" s="141">
        <v>2813439</v>
      </c>
      <c r="CT21" s="141">
        <v>2338803</v>
      </c>
      <c r="CU21" s="141">
        <v>1794690</v>
      </c>
      <c r="CV21" s="73">
        <f t="shared" si="8"/>
        <v>1867974</v>
      </c>
      <c r="CW21" s="141">
        <v>1808513</v>
      </c>
      <c r="CX21" s="141">
        <v>59461</v>
      </c>
      <c r="CY21" s="73">
        <f t="shared" si="9"/>
        <v>0</v>
      </c>
      <c r="CZ21" s="141">
        <v>0</v>
      </c>
      <c r="DA21" s="141">
        <v>0</v>
      </c>
      <c r="DB21" s="73">
        <f t="shared" si="10"/>
        <v>1609519</v>
      </c>
      <c r="DC21" s="141">
        <v>1609519</v>
      </c>
      <c r="DD21" s="141">
        <v>0</v>
      </c>
      <c r="DE21" s="141">
        <v>12919123</v>
      </c>
      <c r="DF21" s="141">
        <v>2891811</v>
      </c>
      <c r="DG21" s="141">
        <v>8470478</v>
      </c>
      <c r="DH21" s="141">
        <v>660404</v>
      </c>
      <c r="DI21" s="141">
        <v>896430</v>
      </c>
      <c r="DJ21" s="141">
        <v>0</v>
      </c>
      <c r="DK21" s="141">
        <v>5344756</v>
      </c>
      <c r="DL21" s="141">
        <v>1684594</v>
      </c>
      <c r="DM21" s="141">
        <v>257669</v>
      </c>
      <c r="DN21" s="141">
        <v>3402493</v>
      </c>
      <c r="DO21" s="141">
        <v>583405</v>
      </c>
      <c r="DP21" s="141">
        <v>583405</v>
      </c>
      <c r="DQ21" s="141">
        <v>73644</v>
      </c>
      <c r="DR21" s="141">
        <v>0</v>
      </c>
      <c r="DS21" s="141">
        <v>49618</v>
      </c>
      <c r="DT21" s="141">
        <v>0</v>
      </c>
      <c r="DU21" s="141">
        <v>0</v>
      </c>
      <c r="DV21" s="141">
        <v>10165844</v>
      </c>
      <c r="DW21" s="141">
        <v>0</v>
      </c>
      <c r="DX21" s="73">
        <f t="shared" si="11"/>
        <v>0</v>
      </c>
      <c r="DY21" s="141">
        <v>0</v>
      </c>
      <c r="DZ21" s="141">
        <v>3919378</v>
      </c>
      <c r="EA21" s="141">
        <v>0</v>
      </c>
      <c r="EB21" s="141">
        <v>2593511</v>
      </c>
      <c r="EC21" s="74"/>
      <c r="ED21" s="141">
        <v>3652955</v>
      </c>
      <c r="EE21" s="141">
        <v>0</v>
      </c>
      <c r="EF21" s="141">
        <v>105723665</v>
      </c>
      <c r="EG21" s="71"/>
      <c r="EH21" s="141">
        <v>1259742</v>
      </c>
      <c r="EI21" s="141">
        <v>60776</v>
      </c>
      <c r="EJ21" s="141">
        <v>1198966</v>
      </c>
      <c r="EK21" s="141">
        <v>58071</v>
      </c>
      <c r="EL21" s="141">
        <v>58431</v>
      </c>
      <c r="EM21" s="71"/>
      <c r="EN21" s="141">
        <v>229733</v>
      </c>
      <c r="EO21" s="141">
        <v>225735</v>
      </c>
      <c r="EP21" s="141">
        <v>1684234</v>
      </c>
      <c r="EQ21" s="141">
        <v>104482</v>
      </c>
      <c r="ER21" s="73">
        <f t="shared" si="12"/>
        <v>7923227</v>
      </c>
      <c r="ES21" s="141">
        <v>52873444</v>
      </c>
      <c r="ET21" s="141">
        <v>-10695601</v>
      </c>
      <c r="EU21" s="141">
        <v>9802298</v>
      </c>
      <c r="EV21" s="141">
        <v>6257306</v>
      </c>
      <c r="EW21" s="141">
        <v>14056866</v>
      </c>
      <c r="EX21" s="141">
        <v>5501030</v>
      </c>
      <c r="EY21" s="73">
        <f t="shared" si="13"/>
        <v>2073366</v>
      </c>
      <c r="EZ21" s="141">
        <v>2073366</v>
      </c>
      <c r="FA21" s="141">
        <v>196072</v>
      </c>
      <c r="FB21" s="141">
        <v>1811190</v>
      </c>
      <c r="FC21" s="141">
        <v>0</v>
      </c>
      <c r="FD21" s="141">
        <v>0</v>
      </c>
      <c r="FE21" s="141">
        <v>7756781</v>
      </c>
      <c r="FF21" s="141">
        <v>9096621</v>
      </c>
      <c r="FG21" s="141">
        <v>2812902</v>
      </c>
      <c r="FH21" s="141">
        <v>7938976</v>
      </c>
      <c r="FI21" s="73">
        <f t="shared" si="14"/>
        <v>6083365</v>
      </c>
      <c r="FJ21" s="141">
        <v>62309303</v>
      </c>
      <c r="FK21" s="379">
        <f t="shared" si="15"/>
        <v>2.4</v>
      </c>
      <c r="FL21" s="141">
        <v>49237442</v>
      </c>
      <c r="FM21" s="141">
        <v>1144231</v>
      </c>
      <c r="FN21" s="141">
        <v>26267530</v>
      </c>
      <c r="FO21" s="141">
        <v>42328415</v>
      </c>
      <c r="FP21" s="390">
        <v>0.624</v>
      </c>
      <c r="FQ21" s="380">
        <v>88.8</v>
      </c>
      <c r="FR21" s="381">
        <v>17.8</v>
      </c>
      <c r="FS21" s="380">
        <v>19.8</v>
      </c>
      <c r="FT21" s="380">
        <v>10.8</v>
      </c>
      <c r="FU21" s="381">
        <v>11.7</v>
      </c>
      <c r="FV21" s="380">
        <v>12.2</v>
      </c>
      <c r="FW21" s="382">
        <v>14.6</v>
      </c>
      <c r="FX21" s="383">
        <v>-1.4</v>
      </c>
      <c r="FY21" s="141">
        <v>61759880</v>
      </c>
      <c r="FZ21" s="384">
        <f t="shared" si="16"/>
        <v>122.6</v>
      </c>
      <c r="GA21" s="141">
        <v>34736232</v>
      </c>
      <c r="GB21" s="141">
        <v>14181137</v>
      </c>
      <c r="GC21" s="141">
        <v>2474955</v>
      </c>
      <c r="GD21" s="141">
        <v>18080140</v>
      </c>
      <c r="GE21" s="107"/>
      <c r="GF21" s="385"/>
      <c r="GG21" s="386"/>
      <c r="GH21" s="380">
        <v>99</v>
      </c>
      <c r="GI21" s="380">
        <v>25.5</v>
      </c>
      <c r="GJ21" s="380">
        <v>97.1</v>
      </c>
      <c r="GK21" s="141">
        <v>1099</v>
      </c>
      <c r="GL21" s="391" t="s">
        <v>646</v>
      </c>
      <c r="GM21" s="391">
        <v>11.25</v>
      </c>
      <c r="GN21" s="117">
        <v>20</v>
      </c>
      <c r="GO21" s="391" t="s">
        <v>646</v>
      </c>
      <c r="GP21" s="392">
        <v>16.25</v>
      </c>
      <c r="GQ21" s="387">
        <v>30</v>
      </c>
      <c r="GR21" s="381">
        <v>-1.4</v>
      </c>
      <c r="GS21" s="388">
        <v>25</v>
      </c>
      <c r="GT21" s="388">
        <v>35</v>
      </c>
      <c r="GU21" s="393" t="s">
        <v>646</v>
      </c>
      <c r="GV21" s="388">
        <v>350</v>
      </c>
      <c r="GW21" s="394"/>
      <c r="GX21" s="100">
        <f t="shared" si="17"/>
        <v>50382</v>
      </c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  <c r="HW21" s="394"/>
      <c r="HX21" s="394"/>
    </row>
    <row r="22" spans="2:232" x14ac:dyDescent="0.15">
      <c r="B22" s="89" t="s">
        <v>33</v>
      </c>
      <c r="C22" s="141">
        <v>11895790</v>
      </c>
      <c r="D22" s="73">
        <f t="shared" si="0"/>
        <v>5229943</v>
      </c>
      <c r="E22" s="141">
        <v>172659</v>
      </c>
      <c r="F22" s="141">
        <v>5057284</v>
      </c>
      <c r="G22" s="73">
        <f t="shared" si="1"/>
        <v>521415</v>
      </c>
      <c r="H22" s="141">
        <v>201419</v>
      </c>
      <c r="I22" s="141">
        <v>319996</v>
      </c>
      <c r="J22" s="141">
        <v>4507897</v>
      </c>
      <c r="K22" s="141">
        <v>1568927</v>
      </c>
      <c r="L22" s="141">
        <v>2181244</v>
      </c>
      <c r="M22" s="141">
        <v>687876</v>
      </c>
      <c r="N22" s="141">
        <v>497368</v>
      </c>
      <c r="O22" s="141">
        <v>902974</v>
      </c>
      <c r="P22" s="141">
        <v>452497</v>
      </c>
      <c r="Q22" s="141">
        <v>450477</v>
      </c>
      <c r="R22" s="141">
        <v>252999</v>
      </c>
      <c r="S22" s="74"/>
      <c r="T22" s="73">
        <f t="shared" si="2"/>
        <v>2749999</v>
      </c>
      <c r="U22" s="141">
        <v>12298</v>
      </c>
      <c r="V22" s="141">
        <v>122435</v>
      </c>
      <c r="W22" s="141">
        <v>131014</v>
      </c>
      <c r="X22" s="141">
        <v>2208605</v>
      </c>
      <c r="Y22" s="141">
        <v>21794</v>
      </c>
      <c r="Z22" s="141">
        <v>0</v>
      </c>
      <c r="AA22" s="141">
        <v>2875</v>
      </c>
      <c r="AB22" s="141">
        <v>63174</v>
      </c>
      <c r="AC22" s="141">
        <v>187804</v>
      </c>
      <c r="AD22" s="141">
        <v>76974</v>
      </c>
      <c r="AE22" s="141">
        <v>8612148</v>
      </c>
      <c r="AF22" s="141">
        <v>8391479</v>
      </c>
      <c r="AG22" s="141">
        <v>220669</v>
      </c>
      <c r="AH22" s="141">
        <v>11563</v>
      </c>
      <c r="AI22" s="141">
        <v>157986</v>
      </c>
      <c r="AJ22" s="73">
        <f t="shared" si="3"/>
        <v>661098</v>
      </c>
      <c r="AK22" s="141">
        <v>351792</v>
      </c>
      <c r="AL22" s="141">
        <v>309306</v>
      </c>
      <c r="AM22" s="141">
        <v>10029652</v>
      </c>
      <c r="AN22" s="73">
        <f t="shared" si="4"/>
        <v>4772447</v>
      </c>
      <c r="AO22" s="141">
        <v>1826232</v>
      </c>
      <c r="AP22" s="141">
        <v>1544575</v>
      </c>
      <c r="AQ22" s="74"/>
      <c r="AR22" s="141">
        <v>1401640</v>
      </c>
      <c r="AS22" s="141">
        <v>838912</v>
      </c>
      <c r="AT22" s="141">
        <v>17096</v>
      </c>
      <c r="AU22" s="141">
        <v>0</v>
      </c>
      <c r="AV22" s="141">
        <v>3373855</v>
      </c>
      <c r="AW22" s="141">
        <v>2073230</v>
      </c>
      <c r="AX22" s="141">
        <v>683137</v>
      </c>
      <c r="AY22" s="141">
        <v>21719</v>
      </c>
      <c r="AZ22" s="141">
        <v>1300625</v>
      </c>
      <c r="BA22" s="141">
        <v>25685</v>
      </c>
      <c r="BB22" s="141">
        <v>270674</v>
      </c>
      <c r="BC22" s="141">
        <v>119918</v>
      </c>
      <c r="BD22" s="141">
        <v>533458</v>
      </c>
      <c r="BE22" s="141">
        <v>318684</v>
      </c>
      <c r="BF22" s="141">
        <v>0</v>
      </c>
      <c r="BG22" s="141">
        <v>0</v>
      </c>
      <c r="BH22" s="141">
        <v>306468</v>
      </c>
      <c r="BI22" s="141">
        <v>0</v>
      </c>
      <c r="BJ22" s="141">
        <v>151676</v>
      </c>
      <c r="BK22" s="141">
        <v>18816</v>
      </c>
      <c r="BL22" s="141">
        <v>357028</v>
      </c>
      <c r="BM22" s="141">
        <v>23342</v>
      </c>
      <c r="BN22" s="141">
        <v>0</v>
      </c>
      <c r="BO22" s="141">
        <v>0</v>
      </c>
      <c r="BP22" s="141">
        <v>2017700</v>
      </c>
      <c r="BQ22" s="73">
        <f t="shared" si="5"/>
        <v>1917700</v>
      </c>
      <c r="BR22" s="73">
        <f t="shared" si="6"/>
        <v>100000</v>
      </c>
      <c r="BS22" s="141">
        <v>0</v>
      </c>
      <c r="BT22" s="141">
        <v>0</v>
      </c>
      <c r="BU22" s="141">
        <v>100000</v>
      </c>
      <c r="BV22" s="141">
        <v>0</v>
      </c>
      <c r="BW22" s="141">
        <v>41471284</v>
      </c>
      <c r="BX22" s="71"/>
      <c r="BY22" s="141">
        <v>6134245</v>
      </c>
      <c r="BZ22" s="141">
        <v>3614163</v>
      </c>
      <c r="CA22" s="141">
        <v>158285</v>
      </c>
      <c r="CB22" s="141">
        <v>1201151</v>
      </c>
      <c r="CC22" s="141">
        <v>12643284</v>
      </c>
      <c r="CD22" s="141">
        <v>4803004</v>
      </c>
      <c r="CE22" s="141">
        <v>33418</v>
      </c>
      <c r="CF22" s="141">
        <v>4684315</v>
      </c>
      <c r="CG22" s="141">
        <v>2400921</v>
      </c>
      <c r="CH22" s="141">
        <v>5068</v>
      </c>
      <c r="CI22" s="141">
        <v>716558</v>
      </c>
      <c r="CJ22" s="141">
        <v>3056521</v>
      </c>
      <c r="CK22" s="141">
        <v>2961170</v>
      </c>
      <c r="CL22" s="83">
        <f t="shared" si="7"/>
        <v>95351</v>
      </c>
      <c r="CM22" s="141">
        <v>5415191</v>
      </c>
      <c r="CN22" s="141">
        <v>4119016</v>
      </c>
      <c r="CO22" s="102"/>
      <c r="CP22" s="141">
        <v>639571</v>
      </c>
      <c r="CQ22" s="141">
        <v>142472</v>
      </c>
      <c r="CR22" s="141">
        <v>3959822</v>
      </c>
      <c r="CS22" s="141">
        <v>604645</v>
      </c>
      <c r="CT22" s="141">
        <v>1190578</v>
      </c>
      <c r="CU22" s="141">
        <v>1022763</v>
      </c>
      <c r="CV22" s="73">
        <f t="shared" si="8"/>
        <v>1341548</v>
      </c>
      <c r="CW22" s="141">
        <v>7173</v>
      </c>
      <c r="CX22" s="141">
        <v>1334375</v>
      </c>
      <c r="CY22" s="73">
        <f t="shared" si="9"/>
        <v>0</v>
      </c>
      <c r="CZ22" s="141">
        <v>0</v>
      </c>
      <c r="DA22" s="141">
        <v>0</v>
      </c>
      <c r="DB22" s="73">
        <f t="shared" si="10"/>
        <v>1156222</v>
      </c>
      <c r="DC22" s="141">
        <v>0</v>
      </c>
      <c r="DD22" s="141">
        <v>1156222</v>
      </c>
      <c r="DE22" s="141">
        <v>3753246</v>
      </c>
      <c r="DF22" s="141">
        <v>2124306</v>
      </c>
      <c r="DG22" s="141">
        <v>1577060</v>
      </c>
      <c r="DH22" s="141">
        <v>51880</v>
      </c>
      <c r="DI22" s="141">
        <v>0</v>
      </c>
      <c r="DJ22" s="141">
        <v>131368</v>
      </c>
      <c r="DK22" s="141">
        <v>1031159</v>
      </c>
      <c r="DL22" s="141">
        <v>159845</v>
      </c>
      <c r="DM22" s="141">
        <v>173002</v>
      </c>
      <c r="DN22" s="141">
        <v>698312</v>
      </c>
      <c r="DO22" s="141">
        <v>0</v>
      </c>
      <c r="DP22" s="141">
        <v>0</v>
      </c>
      <c r="DQ22" s="141">
        <v>0</v>
      </c>
      <c r="DR22" s="141">
        <v>0</v>
      </c>
      <c r="DS22" s="141">
        <v>6009</v>
      </c>
      <c r="DT22" s="141">
        <v>0</v>
      </c>
      <c r="DU22" s="141">
        <v>0</v>
      </c>
      <c r="DV22" s="141">
        <v>4879430</v>
      </c>
      <c r="DW22" s="141">
        <v>0</v>
      </c>
      <c r="DX22" s="73">
        <f t="shared" si="11"/>
        <v>0</v>
      </c>
      <c r="DY22" s="141">
        <v>0</v>
      </c>
      <c r="DZ22" s="141">
        <v>2028386</v>
      </c>
      <c r="EA22" s="141">
        <v>0</v>
      </c>
      <c r="EB22" s="141">
        <v>1088689</v>
      </c>
      <c r="EC22" s="74"/>
      <c r="ED22" s="141">
        <v>1762355</v>
      </c>
      <c r="EE22" s="141">
        <v>0</v>
      </c>
      <c r="EF22" s="141">
        <v>41152747</v>
      </c>
      <c r="EG22" s="71"/>
      <c r="EH22" s="141">
        <v>318537</v>
      </c>
      <c r="EI22" s="141">
        <v>75321</v>
      </c>
      <c r="EJ22" s="141">
        <v>243216</v>
      </c>
      <c r="EK22" s="141">
        <v>224400</v>
      </c>
      <c r="EL22" s="141">
        <v>384245</v>
      </c>
      <c r="EM22" s="71"/>
      <c r="EN22" s="141">
        <v>101692</v>
      </c>
      <c r="EO22" s="141">
        <v>99226</v>
      </c>
      <c r="EP22" s="141">
        <v>0</v>
      </c>
      <c r="EQ22" s="141">
        <v>171149</v>
      </c>
      <c r="ER22" s="73">
        <f t="shared" si="12"/>
        <v>2190971</v>
      </c>
      <c r="ES22" s="141">
        <v>23599473</v>
      </c>
      <c r="ET22" s="141">
        <v>-2450557</v>
      </c>
      <c r="EU22" s="141">
        <v>5407713</v>
      </c>
      <c r="EV22" s="141">
        <v>3365592</v>
      </c>
      <c r="EW22" s="141">
        <v>4374003</v>
      </c>
      <c r="EX22" s="141">
        <v>3020339</v>
      </c>
      <c r="EY22" s="73">
        <f t="shared" si="13"/>
        <v>570563</v>
      </c>
      <c r="EZ22" s="141">
        <v>556098</v>
      </c>
      <c r="FA22" s="141">
        <v>66750</v>
      </c>
      <c r="FB22" s="141">
        <v>480329</v>
      </c>
      <c r="FC22" s="141">
        <v>14465</v>
      </c>
      <c r="FD22" s="141">
        <v>0</v>
      </c>
      <c r="FE22" s="141">
        <v>4201860</v>
      </c>
      <c r="FF22" s="141">
        <v>3483404</v>
      </c>
      <c r="FG22" s="141">
        <v>588626</v>
      </c>
      <c r="FH22" s="141">
        <v>3940609</v>
      </c>
      <c r="FI22" s="73">
        <f t="shared" si="14"/>
        <v>733002</v>
      </c>
      <c r="FJ22" s="141">
        <v>25731493</v>
      </c>
      <c r="FK22" s="379">
        <f t="shared" si="15"/>
        <v>1.1000000000000001</v>
      </c>
      <c r="FL22" s="141">
        <v>22239608</v>
      </c>
      <c r="FM22" s="141">
        <v>202096</v>
      </c>
      <c r="FN22" s="141">
        <v>10992899</v>
      </c>
      <c r="FO22" s="141">
        <v>19384478</v>
      </c>
      <c r="FP22" s="390">
        <v>0.57199999999999995</v>
      </c>
      <c r="FQ22" s="380">
        <v>95.3</v>
      </c>
      <c r="FR22" s="381">
        <v>23.7</v>
      </c>
      <c r="FS22" s="380">
        <v>13.6</v>
      </c>
      <c r="FT22" s="380">
        <v>13.3</v>
      </c>
      <c r="FU22" s="381">
        <v>17.2</v>
      </c>
      <c r="FV22" s="380">
        <v>10.3</v>
      </c>
      <c r="FW22" s="382">
        <v>16.7</v>
      </c>
      <c r="FX22" s="383">
        <v>2.2000000000000002</v>
      </c>
      <c r="FY22" s="141">
        <v>26560216</v>
      </c>
      <c r="FZ22" s="384">
        <f t="shared" si="16"/>
        <v>118.4</v>
      </c>
      <c r="GA22" s="141">
        <v>13525773</v>
      </c>
      <c r="GB22" s="141">
        <v>2679580</v>
      </c>
      <c r="GC22" s="141">
        <v>3466602</v>
      </c>
      <c r="GD22" s="141">
        <v>7379591</v>
      </c>
      <c r="GE22" s="107"/>
      <c r="GF22" s="385"/>
      <c r="GG22" s="386"/>
      <c r="GH22" s="380">
        <v>99.4</v>
      </c>
      <c r="GI22" s="380">
        <v>59.3</v>
      </c>
      <c r="GJ22" s="380">
        <v>99</v>
      </c>
      <c r="GK22" s="141">
        <v>566</v>
      </c>
      <c r="GL22" s="391" t="s">
        <v>646</v>
      </c>
      <c r="GM22" s="391">
        <v>12.27</v>
      </c>
      <c r="GN22" s="117">
        <v>20</v>
      </c>
      <c r="GO22" s="391" t="s">
        <v>646</v>
      </c>
      <c r="GP22" s="392">
        <v>17.27</v>
      </c>
      <c r="GQ22" s="387">
        <v>30</v>
      </c>
      <c r="GR22" s="381">
        <v>2.2000000000000002</v>
      </c>
      <c r="GS22" s="388">
        <v>25</v>
      </c>
      <c r="GT22" s="388">
        <v>35</v>
      </c>
      <c r="GU22" s="393" t="s">
        <v>646</v>
      </c>
      <c r="GV22" s="388">
        <v>350</v>
      </c>
      <c r="GW22" s="394"/>
      <c r="GX22" s="100">
        <f t="shared" si="17"/>
        <v>22442</v>
      </c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  <c r="HW22" s="394"/>
      <c r="HX22" s="394"/>
    </row>
    <row r="23" spans="2:232" x14ac:dyDescent="0.15">
      <c r="B23" s="89" t="s">
        <v>35</v>
      </c>
      <c r="C23" s="141">
        <v>15007032</v>
      </c>
      <c r="D23" s="73">
        <f t="shared" si="0"/>
        <v>5764354</v>
      </c>
      <c r="E23" s="141">
        <v>188829</v>
      </c>
      <c r="F23" s="141">
        <v>5575525</v>
      </c>
      <c r="G23" s="73">
        <f t="shared" si="1"/>
        <v>791713</v>
      </c>
      <c r="H23" s="141">
        <v>286006</v>
      </c>
      <c r="I23" s="141">
        <v>505707</v>
      </c>
      <c r="J23" s="141">
        <v>5976525</v>
      </c>
      <c r="K23" s="141">
        <v>2604071</v>
      </c>
      <c r="L23" s="141">
        <v>2621679</v>
      </c>
      <c r="M23" s="141">
        <v>701699</v>
      </c>
      <c r="N23" s="141">
        <v>984898</v>
      </c>
      <c r="O23" s="141">
        <v>1276285</v>
      </c>
      <c r="P23" s="141">
        <v>705851</v>
      </c>
      <c r="Q23" s="141">
        <v>570434</v>
      </c>
      <c r="R23" s="141">
        <v>188707</v>
      </c>
      <c r="S23" s="74"/>
      <c r="T23" s="73">
        <f t="shared" si="2"/>
        <v>3251207</v>
      </c>
      <c r="U23" s="141">
        <v>12806</v>
      </c>
      <c r="V23" s="141">
        <v>128080</v>
      </c>
      <c r="W23" s="141">
        <v>137854</v>
      </c>
      <c r="X23" s="141">
        <v>2647347</v>
      </c>
      <c r="Y23" s="141">
        <v>0</v>
      </c>
      <c r="Z23" s="141">
        <v>0</v>
      </c>
      <c r="AA23" s="141">
        <v>2256</v>
      </c>
      <c r="AB23" s="141">
        <v>49570</v>
      </c>
      <c r="AC23" s="141">
        <v>273294</v>
      </c>
      <c r="AD23" s="141">
        <v>128781</v>
      </c>
      <c r="AE23" s="141">
        <v>10089768</v>
      </c>
      <c r="AF23" s="141">
        <v>9770976</v>
      </c>
      <c r="AG23" s="141">
        <v>318792</v>
      </c>
      <c r="AH23" s="141">
        <v>14112</v>
      </c>
      <c r="AI23" s="141">
        <v>199561</v>
      </c>
      <c r="AJ23" s="73">
        <f t="shared" si="3"/>
        <v>566122</v>
      </c>
      <c r="AK23" s="141">
        <v>336134</v>
      </c>
      <c r="AL23" s="141">
        <v>229988</v>
      </c>
      <c r="AM23" s="141">
        <v>13958487</v>
      </c>
      <c r="AN23" s="73">
        <f t="shared" si="4"/>
        <v>8417197</v>
      </c>
      <c r="AO23" s="141">
        <v>4722446</v>
      </c>
      <c r="AP23" s="141">
        <v>1709774</v>
      </c>
      <c r="AQ23" s="74"/>
      <c r="AR23" s="141">
        <v>1984977</v>
      </c>
      <c r="AS23" s="141">
        <v>119457</v>
      </c>
      <c r="AT23" s="141">
        <v>0</v>
      </c>
      <c r="AU23" s="141">
        <v>0</v>
      </c>
      <c r="AV23" s="141">
        <v>4276975</v>
      </c>
      <c r="AW23" s="141">
        <v>2750332</v>
      </c>
      <c r="AX23" s="141">
        <v>742017</v>
      </c>
      <c r="AY23" s="141">
        <v>234085</v>
      </c>
      <c r="AZ23" s="141">
        <v>1526643</v>
      </c>
      <c r="BA23" s="141">
        <v>1013</v>
      </c>
      <c r="BB23" s="141">
        <v>298892</v>
      </c>
      <c r="BC23" s="141">
        <v>120026</v>
      </c>
      <c r="BD23" s="141">
        <v>311233</v>
      </c>
      <c r="BE23" s="141">
        <v>40579</v>
      </c>
      <c r="BF23" s="141">
        <v>5259</v>
      </c>
      <c r="BG23" s="141">
        <v>0</v>
      </c>
      <c r="BH23" s="141">
        <v>29893</v>
      </c>
      <c r="BI23" s="141">
        <v>0</v>
      </c>
      <c r="BJ23" s="141">
        <v>1014839</v>
      </c>
      <c r="BK23" s="141">
        <v>992121</v>
      </c>
      <c r="BL23" s="141">
        <v>274377</v>
      </c>
      <c r="BM23" s="141">
        <v>25003</v>
      </c>
      <c r="BN23" s="141">
        <v>0</v>
      </c>
      <c r="BO23" s="141">
        <v>0</v>
      </c>
      <c r="BP23" s="141">
        <v>1880900</v>
      </c>
      <c r="BQ23" s="73">
        <f t="shared" si="5"/>
        <v>1664000</v>
      </c>
      <c r="BR23" s="73">
        <f t="shared" si="6"/>
        <v>216900</v>
      </c>
      <c r="BS23" s="141">
        <v>0</v>
      </c>
      <c r="BT23" s="141">
        <v>0</v>
      </c>
      <c r="BU23" s="141">
        <v>216900</v>
      </c>
      <c r="BV23" s="141">
        <v>0</v>
      </c>
      <c r="BW23" s="141">
        <v>51501572</v>
      </c>
      <c r="BX23" s="71"/>
      <c r="BY23" s="141">
        <v>7088817</v>
      </c>
      <c r="BZ23" s="141">
        <v>4790044</v>
      </c>
      <c r="CA23" s="141">
        <v>301966</v>
      </c>
      <c r="CB23" s="141">
        <v>620548</v>
      </c>
      <c r="CC23" s="141">
        <v>19717317</v>
      </c>
      <c r="CD23" s="141">
        <v>6440655</v>
      </c>
      <c r="CE23" s="141">
        <v>44432</v>
      </c>
      <c r="CF23" s="141">
        <v>6394673</v>
      </c>
      <c r="CG23" s="141">
        <v>6343068</v>
      </c>
      <c r="CH23" s="141">
        <v>7770</v>
      </c>
      <c r="CI23" s="141">
        <v>486354</v>
      </c>
      <c r="CJ23" s="141">
        <v>3827509</v>
      </c>
      <c r="CK23" s="141">
        <v>3650381</v>
      </c>
      <c r="CL23" s="83">
        <f t="shared" si="7"/>
        <v>177128</v>
      </c>
      <c r="CM23" s="141">
        <v>5307679</v>
      </c>
      <c r="CN23" s="141">
        <v>3682647</v>
      </c>
      <c r="CO23" s="102"/>
      <c r="CP23" s="141">
        <v>772640</v>
      </c>
      <c r="CQ23" s="141">
        <v>265821</v>
      </c>
      <c r="CR23" s="141">
        <v>4394705</v>
      </c>
      <c r="CS23" s="141">
        <v>417101</v>
      </c>
      <c r="CT23" s="141">
        <v>1751989</v>
      </c>
      <c r="CU23" s="141">
        <v>1440914</v>
      </c>
      <c r="CV23" s="73">
        <f t="shared" si="8"/>
        <v>1433383</v>
      </c>
      <c r="CW23" s="141">
        <v>6000</v>
      </c>
      <c r="CX23" s="141">
        <v>1427383</v>
      </c>
      <c r="CY23" s="73">
        <f t="shared" si="9"/>
        <v>0</v>
      </c>
      <c r="CZ23" s="141">
        <v>0</v>
      </c>
      <c r="DA23" s="141">
        <v>0</v>
      </c>
      <c r="DB23" s="73">
        <f t="shared" si="10"/>
        <v>1425925</v>
      </c>
      <c r="DC23" s="141">
        <v>0</v>
      </c>
      <c r="DD23" s="141">
        <v>1425925</v>
      </c>
      <c r="DE23" s="141">
        <v>2150956</v>
      </c>
      <c r="DF23" s="141">
        <v>522324</v>
      </c>
      <c r="DG23" s="141">
        <v>1624727</v>
      </c>
      <c r="DH23" s="141">
        <v>0</v>
      </c>
      <c r="DI23" s="141">
        <v>0</v>
      </c>
      <c r="DJ23" s="141">
        <v>6463</v>
      </c>
      <c r="DK23" s="141">
        <v>1545894</v>
      </c>
      <c r="DL23" s="141">
        <v>1099502</v>
      </c>
      <c r="DM23" s="141">
        <v>125164</v>
      </c>
      <c r="DN23" s="141">
        <v>321228</v>
      </c>
      <c r="DO23" s="141">
        <v>174075</v>
      </c>
      <c r="DP23" s="141">
        <v>174075</v>
      </c>
      <c r="DQ23" s="141">
        <v>0</v>
      </c>
      <c r="DR23" s="141">
        <v>0</v>
      </c>
      <c r="DS23" s="141">
        <v>25000</v>
      </c>
      <c r="DT23" s="141">
        <v>0</v>
      </c>
      <c r="DU23" s="141">
        <v>0</v>
      </c>
      <c r="DV23" s="141">
        <v>5936663</v>
      </c>
      <c r="DW23" s="141">
        <v>0</v>
      </c>
      <c r="DX23" s="73">
        <f t="shared" si="11"/>
        <v>0</v>
      </c>
      <c r="DY23" s="141">
        <v>0</v>
      </c>
      <c r="DZ23" s="141">
        <v>2179161</v>
      </c>
      <c r="EA23" s="141">
        <v>0</v>
      </c>
      <c r="EB23" s="141">
        <v>1621720</v>
      </c>
      <c r="EC23" s="74"/>
      <c r="ED23" s="141">
        <v>2135781</v>
      </c>
      <c r="EE23" s="141">
        <v>0</v>
      </c>
      <c r="EF23" s="141">
        <v>50440899</v>
      </c>
      <c r="EG23" s="71"/>
      <c r="EH23" s="141">
        <v>1060673</v>
      </c>
      <c r="EI23" s="141">
        <v>113024</v>
      </c>
      <c r="EJ23" s="141">
        <v>947649</v>
      </c>
      <c r="EK23" s="141">
        <v>-44472</v>
      </c>
      <c r="EL23" s="141">
        <v>1049771</v>
      </c>
      <c r="EM23" s="71"/>
      <c r="EN23" s="141">
        <v>117641</v>
      </c>
      <c r="EO23" s="141">
        <v>116669</v>
      </c>
      <c r="EP23" s="141">
        <v>10686</v>
      </c>
      <c r="EQ23" s="141">
        <v>297982</v>
      </c>
      <c r="ER23" s="73">
        <f t="shared" si="12"/>
        <v>4032343</v>
      </c>
      <c r="ES23" s="141">
        <v>28679607</v>
      </c>
      <c r="ET23" s="141">
        <v>-4543799</v>
      </c>
      <c r="EU23" s="141">
        <v>6579089</v>
      </c>
      <c r="EV23" s="141">
        <v>4496520</v>
      </c>
      <c r="EW23" s="141">
        <v>6867775</v>
      </c>
      <c r="EX23" s="141">
        <v>3827509</v>
      </c>
      <c r="EY23" s="73">
        <f t="shared" si="13"/>
        <v>132308</v>
      </c>
      <c r="EZ23" s="141">
        <v>132308</v>
      </c>
      <c r="FA23" s="141">
        <v>6267</v>
      </c>
      <c r="FB23" s="141">
        <v>126036</v>
      </c>
      <c r="FC23" s="141">
        <v>0</v>
      </c>
      <c r="FD23" s="141">
        <v>0</v>
      </c>
      <c r="FE23" s="141">
        <v>4521503</v>
      </c>
      <c r="FF23" s="141">
        <v>3882169</v>
      </c>
      <c r="FG23" s="141">
        <v>239379</v>
      </c>
      <c r="FH23" s="141">
        <v>4623690</v>
      </c>
      <c r="FI23" s="73">
        <f t="shared" si="14"/>
        <v>1728690</v>
      </c>
      <c r="FJ23" s="141">
        <v>32162733</v>
      </c>
      <c r="FK23" s="379">
        <f t="shared" si="15"/>
        <v>3.5</v>
      </c>
      <c r="FL23" s="141">
        <v>26793399</v>
      </c>
      <c r="FM23" s="141">
        <v>216926</v>
      </c>
      <c r="FN23" s="141">
        <v>13479830</v>
      </c>
      <c r="FO23" s="141">
        <v>23253542</v>
      </c>
      <c r="FP23" s="390">
        <v>0.57499999999999996</v>
      </c>
      <c r="FQ23" s="380">
        <v>97.6</v>
      </c>
      <c r="FR23" s="381">
        <v>23.8</v>
      </c>
      <c r="FS23" s="380">
        <v>17.600000000000001</v>
      </c>
      <c r="FT23" s="380">
        <v>13.9</v>
      </c>
      <c r="FU23" s="381">
        <v>14.9</v>
      </c>
      <c r="FV23" s="380">
        <v>11.4</v>
      </c>
      <c r="FW23" s="382">
        <v>15.1</v>
      </c>
      <c r="FX23" s="383">
        <v>2.4</v>
      </c>
      <c r="FY23" s="141">
        <v>35383358</v>
      </c>
      <c r="FZ23" s="384">
        <f t="shared" si="16"/>
        <v>131</v>
      </c>
      <c r="GA23" s="141">
        <v>7912063</v>
      </c>
      <c r="GB23" s="141">
        <v>5537294</v>
      </c>
      <c r="GC23" s="141">
        <v>608068</v>
      </c>
      <c r="GD23" s="141">
        <v>1766701</v>
      </c>
      <c r="GE23" s="107"/>
      <c r="GF23" s="385">
        <v>1363</v>
      </c>
      <c r="GG23" s="386">
        <f>IF(GF23=0,"-",ROUND(GF23/(GX23)*100,1))</f>
        <v>5</v>
      </c>
      <c r="GH23" s="380">
        <v>99.4</v>
      </c>
      <c r="GI23" s="380">
        <v>41.3</v>
      </c>
      <c r="GJ23" s="380">
        <v>98.6</v>
      </c>
      <c r="GK23" s="141">
        <v>737</v>
      </c>
      <c r="GL23" s="391" t="s">
        <v>646</v>
      </c>
      <c r="GM23" s="391">
        <v>11.96</v>
      </c>
      <c r="GN23" s="117">
        <v>20</v>
      </c>
      <c r="GO23" s="391" t="s">
        <v>646</v>
      </c>
      <c r="GP23" s="392">
        <v>16.96</v>
      </c>
      <c r="GQ23" s="387">
        <v>30</v>
      </c>
      <c r="GR23" s="381">
        <v>2.4</v>
      </c>
      <c r="GS23" s="388">
        <v>25</v>
      </c>
      <c r="GT23" s="388">
        <v>35</v>
      </c>
      <c r="GU23" s="393" t="s">
        <v>646</v>
      </c>
      <c r="GV23" s="388">
        <v>350</v>
      </c>
      <c r="GW23" s="394"/>
      <c r="GX23" s="100">
        <f t="shared" si="17"/>
        <v>27010</v>
      </c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  <c r="HW23" s="394"/>
      <c r="HX23" s="394"/>
    </row>
    <row r="24" spans="2:232" x14ac:dyDescent="0.15">
      <c r="B24" s="89" t="s">
        <v>37</v>
      </c>
      <c r="C24" s="141">
        <v>16952033</v>
      </c>
      <c r="D24" s="73">
        <f t="shared" si="0"/>
        <v>6058170</v>
      </c>
      <c r="E24" s="141">
        <v>198102</v>
      </c>
      <c r="F24" s="141">
        <v>5860068</v>
      </c>
      <c r="G24" s="73">
        <f t="shared" si="1"/>
        <v>959750</v>
      </c>
      <c r="H24" s="141">
        <v>365665</v>
      </c>
      <c r="I24" s="141">
        <v>594085</v>
      </c>
      <c r="J24" s="141">
        <v>7351495</v>
      </c>
      <c r="K24" s="141">
        <v>3149404</v>
      </c>
      <c r="L24" s="141">
        <v>3178104</v>
      </c>
      <c r="M24" s="141">
        <v>855517</v>
      </c>
      <c r="N24" s="141">
        <v>863072</v>
      </c>
      <c r="O24" s="141">
        <v>1522369</v>
      </c>
      <c r="P24" s="141">
        <v>833649</v>
      </c>
      <c r="Q24" s="141">
        <v>688720</v>
      </c>
      <c r="R24" s="141">
        <v>197080</v>
      </c>
      <c r="S24" s="74"/>
      <c r="T24" s="73">
        <f t="shared" si="2"/>
        <v>3490961</v>
      </c>
      <c r="U24" s="141">
        <v>13731</v>
      </c>
      <c r="V24" s="141">
        <v>137272</v>
      </c>
      <c r="W24" s="141">
        <v>147672</v>
      </c>
      <c r="X24" s="141">
        <v>2779788</v>
      </c>
      <c r="Y24" s="141">
        <v>20233</v>
      </c>
      <c r="Z24" s="141">
        <v>0</v>
      </c>
      <c r="AA24" s="141">
        <v>2361</v>
      </c>
      <c r="AB24" s="141">
        <v>51893</v>
      </c>
      <c r="AC24" s="141">
        <v>338011</v>
      </c>
      <c r="AD24" s="141">
        <v>110719</v>
      </c>
      <c r="AE24" s="141">
        <v>6857502</v>
      </c>
      <c r="AF24" s="141">
        <v>6545943</v>
      </c>
      <c r="AG24" s="141">
        <v>311559</v>
      </c>
      <c r="AH24" s="141">
        <v>11651</v>
      </c>
      <c r="AI24" s="141">
        <v>78315</v>
      </c>
      <c r="AJ24" s="73">
        <f t="shared" si="3"/>
        <v>1124680</v>
      </c>
      <c r="AK24" s="141">
        <v>713000</v>
      </c>
      <c r="AL24" s="141">
        <v>411680</v>
      </c>
      <c r="AM24" s="141">
        <v>11740620</v>
      </c>
      <c r="AN24" s="73">
        <f t="shared" si="4"/>
        <v>5790293</v>
      </c>
      <c r="AO24" s="141">
        <v>1785104</v>
      </c>
      <c r="AP24" s="141">
        <v>2158574</v>
      </c>
      <c r="AQ24" s="74"/>
      <c r="AR24" s="141">
        <v>1846615</v>
      </c>
      <c r="AS24" s="141">
        <v>372962</v>
      </c>
      <c r="AT24" s="141">
        <v>0</v>
      </c>
      <c r="AU24" s="141">
        <v>0</v>
      </c>
      <c r="AV24" s="141">
        <v>3956972</v>
      </c>
      <c r="AW24" s="141">
        <v>2501893</v>
      </c>
      <c r="AX24" s="141">
        <v>961051</v>
      </c>
      <c r="AY24" s="141">
        <v>13045</v>
      </c>
      <c r="AZ24" s="141">
        <v>1455079</v>
      </c>
      <c r="BA24" s="141">
        <v>0</v>
      </c>
      <c r="BB24" s="141">
        <v>94572</v>
      </c>
      <c r="BC24" s="141">
        <v>25793</v>
      </c>
      <c r="BD24" s="141">
        <v>2560953</v>
      </c>
      <c r="BE24" s="141">
        <v>2047409</v>
      </c>
      <c r="BF24" s="141">
        <v>0</v>
      </c>
      <c r="BG24" s="141">
        <v>26888</v>
      </c>
      <c r="BH24" s="141">
        <v>2020521</v>
      </c>
      <c r="BI24" s="141">
        <v>0</v>
      </c>
      <c r="BJ24" s="141">
        <v>1276036</v>
      </c>
      <c r="BK24" s="141">
        <v>1266203</v>
      </c>
      <c r="BL24" s="141">
        <v>837846</v>
      </c>
      <c r="BM24" s="141">
        <v>0</v>
      </c>
      <c r="BN24" s="141">
        <v>0</v>
      </c>
      <c r="BO24" s="141">
        <v>0</v>
      </c>
      <c r="BP24" s="141">
        <v>2394385</v>
      </c>
      <c r="BQ24" s="73">
        <f t="shared" si="5"/>
        <v>2131100</v>
      </c>
      <c r="BR24" s="73">
        <f t="shared" si="6"/>
        <v>263285</v>
      </c>
      <c r="BS24" s="141">
        <v>0</v>
      </c>
      <c r="BT24" s="141">
        <v>0</v>
      </c>
      <c r="BU24" s="141">
        <v>263285</v>
      </c>
      <c r="BV24" s="141">
        <v>0</v>
      </c>
      <c r="BW24" s="141">
        <v>53731734</v>
      </c>
      <c r="BX24" s="71"/>
      <c r="BY24" s="141">
        <v>5876807</v>
      </c>
      <c r="BZ24" s="141">
        <v>3580746</v>
      </c>
      <c r="CA24" s="141">
        <v>207971</v>
      </c>
      <c r="CB24" s="141">
        <v>923140</v>
      </c>
      <c r="CC24" s="141">
        <v>16187016</v>
      </c>
      <c r="CD24" s="141">
        <v>5783323</v>
      </c>
      <c r="CE24" s="141">
        <v>8320</v>
      </c>
      <c r="CF24" s="141">
        <v>7172257</v>
      </c>
      <c r="CG24" s="141">
        <v>2399277</v>
      </c>
      <c r="CH24" s="141">
        <v>45165</v>
      </c>
      <c r="CI24" s="141">
        <v>778574</v>
      </c>
      <c r="CJ24" s="141">
        <v>3809740</v>
      </c>
      <c r="CK24" s="141">
        <v>3675068</v>
      </c>
      <c r="CL24" s="83">
        <f t="shared" si="7"/>
        <v>134672</v>
      </c>
      <c r="CM24" s="141">
        <v>8927549</v>
      </c>
      <c r="CN24" s="141">
        <v>5777763</v>
      </c>
      <c r="CO24" s="102"/>
      <c r="CP24" s="141">
        <v>2084570</v>
      </c>
      <c r="CQ24" s="141">
        <v>539261</v>
      </c>
      <c r="CR24" s="141">
        <v>5823065</v>
      </c>
      <c r="CS24" s="141">
        <v>1842693</v>
      </c>
      <c r="CT24" s="141">
        <v>1550226</v>
      </c>
      <c r="CU24" s="141">
        <v>1096640</v>
      </c>
      <c r="CV24" s="73">
        <f t="shared" si="8"/>
        <v>1511639</v>
      </c>
      <c r="CW24" s="141">
        <v>1511639</v>
      </c>
      <c r="CX24" s="141">
        <v>0</v>
      </c>
      <c r="CY24" s="73">
        <f t="shared" si="9"/>
        <v>0</v>
      </c>
      <c r="CZ24" s="141">
        <v>0</v>
      </c>
      <c r="DA24" s="141">
        <v>0</v>
      </c>
      <c r="DB24" s="73">
        <f t="shared" si="10"/>
        <v>1501902</v>
      </c>
      <c r="DC24" s="141">
        <v>1501902</v>
      </c>
      <c r="DD24" s="141">
        <v>0</v>
      </c>
      <c r="DE24" s="141">
        <v>4222118</v>
      </c>
      <c r="DF24" s="141">
        <v>1670734</v>
      </c>
      <c r="DG24" s="141">
        <v>2551384</v>
      </c>
      <c r="DH24" s="141">
        <v>0</v>
      </c>
      <c r="DI24" s="141">
        <v>0</v>
      </c>
      <c r="DJ24" s="141">
        <v>0</v>
      </c>
      <c r="DK24" s="141">
        <v>2713257</v>
      </c>
      <c r="DL24" s="141">
        <v>137099</v>
      </c>
      <c r="DM24" s="141">
        <v>142284</v>
      </c>
      <c r="DN24" s="141">
        <v>2433829</v>
      </c>
      <c r="DO24" s="141">
        <v>165842</v>
      </c>
      <c r="DP24" s="141">
        <v>165842</v>
      </c>
      <c r="DQ24" s="141">
        <v>0</v>
      </c>
      <c r="DR24" s="141">
        <v>0</v>
      </c>
      <c r="DS24" s="141">
        <v>0</v>
      </c>
      <c r="DT24" s="141">
        <v>0</v>
      </c>
      <c r="DU24" s="141">
        <v>0</v>
      </c>
      <c r="DV24" s="141">
        <v>4862047</v>
      </c>
      <c r="DW24" s="141">
        <v>0</v>
      </c>
      <c r="DX24" s="73">
        <f t="shared" si="11"/>
        <v>0</v>
      </c>
      <c r="DY24" s="141">
        <v>0</v>
      </c>
      <c r="DZ24" s="141">
        <v>1964019</v>
      </c>
      <c r="EA24" s="141">
        <v>0</v>
      </c>
      <c r="EB24" s="141">
        <v>1135042</v>
      </c>
      <c r="EC24" s="74"/>
      <c r="ED24" s="141">
        <v>1762952</v>
      </c>
      <c r="EE24" s="141">
        <v>0</v>
      </c>
      <c r="EF24" s="141">
        <v>53126702</v>
      </c>
      <c r="EG24" s="71"/>
      <c r="EH24" s="141">
        <v>605032</v>
      </c>
      <c r="EI24" s="141">
        <v>43017</v>
      </c>
      <c r="EJ24" s="141">
        <v>562015</v>
      </c>
      <c r="EK24" s="141">
        <v>-704188</v>
      </c>
      <c r="EL24" s="141">
        <v>-521867</v>
      </c>
      <c r="EM24" s="71"/>
      <c r="EN24" s="141">
        <v>119367</v>
      </c>
      <c r="EO24" s="141">
        <v>116376</v>
      </c>
      <c r="EP24" s="141">
        <v>31331</v>
      </c>
      <c r="EQ24" s="141">
        <v>68714</v>
      </c>
      <c r="ER24" s="73">
        <f t="shared" si="12"/>
        <v>6744829</v>
      </c>
      <c r="ES24" s="141">
        <v>27619946</v>
      </c>
      <c r="ET24" s="141">
        <v>-7096508</v>
      </c>
      <c r="EU24" s="141">
        <v>5165091</v>
      </c>
      <c r="EV24" s="141">
        <v>3041463</v>
      </c>
      <c r="EW24" s="141">
        <v>6012280</v>
      </c>
      <c r="EX24" s="141">
        <v>3809740</v>
      </c>
      <c r="EY24" s="73">
        <f t="shared" si="13"/>
        <v>464358</v>
      </c>
      <c r="EZ24" s="141">
        <v>464358</v>
      </c>
      <c r="FA24" s="141">
        <v>73290</v>
      </c>
      <c r="FB24" s="141">
        <v>391068</v>
      </c>
      <c r="FC24" s="141">
        <v>0</v>
      </c>
      <c r="FD24" s="141">
        <v>0</v>
      </c>
      <c r="FE24" s="141">
        <v>6561180</v>
      </c>
      <c r="FF24" s="141">
        <v>5155060</v>
      </c>
      <c r="FG24" s="141">
        <v>1814338</v>
      </c>
      <c r="FH24" s="141">
        <v>3736924</v>
      </c>
      <c r="FI24" s="73">
        <f t="shared" si="14"/>
        <v>3206789</v>
      </c>
      <c r="FJ24" s="141">
        <v>34111422</v>
      </c>
      <c r="FK24" s="379">
        <f t="shared" si="15"/>
        <v>2.2000000000000002</v>
      </c>
      <c r="FL24" s="141">
        <v>25500067</v>
      </c>
      <c r="FM24" s="141">
        <v>263285</v>
      </c>
      <c r="FN24" s="141">
        <v>14954111</v>
      </c>
      <c r="FO24" s="141">
        <v>21504348</v>
      </c>
      <c r="FP24" s="390">
        <v>0.70199999999999996</v>
      </c>
      <c r="FQ24" s="380">
        <v>99.6</v>
      </c>
      <c r="FR24" s="381">
        <v>19.399999999999999</v>
      </c>
      <c r="FS24" s="380">
        <v>15.5</v>
      </c>
      <c r="FT24" s="380">
        <v>14.4</v>
      </c>
      <c r="FU24" s="381">
        <v>18.899999999999999</v>
      </c>
      <c r="FV24" s="380">
        <v>15.5</v>
      </c>
      <c r="FW24" s="382">
        <v>14.1</v>
      </c>
      <c r="FX24" s="383">
        <v>4.0999999999999996</v>
      </c>
      <c r="FY24" s="141">
        <v>31474913</v>
      </c>
      <c r="FZ24" s="384">
        <f t="shared" si="16"/>
        <v>122.2</v>
      </c>
      <c r="GA24" s="141">
        <v>20649693</v>
      </c>
      <c r="GB24" s="141">
        <v>5100223</v>
      </c>
      <c r="GC24" s="141">
        <v>142284</v>
      </c>
      <c r="GD24" s="141">
        <v>15407186</v>
      </c>
      <c r="GE24" s="107"/>
      <c r="GF24" s="385"/>
      <c r="GG24" s="386"/>
      <c r="GH24" s="380">
        <v>99.5</v>
      </c>
      <c r="GI24" s="380">
        <v>57.9</v>
      </c>
      <c r="GJ24" s="380">
        <v>99.1</v>
      </c>
      <c r="GK24" s="141">
        <v>549</v>
      </c>
      <c r="GL24" s="391" t="s">
        <v>646</v>
      </c>
      <c r="GM24" s="391">
        <v>12.03</v>
      </c>
      <c r="GN24" s="117">
        <v>20</v>
      </c>
      <c r="GO24" s="391" t="s">
        <v>646</v>
      </c>
      <c r="GP24" s="392">
        <v>17.03</v>
      </c>
      <c r="GQ24" s="387">
        <v>30</v>
      </c>
      <c r="GR24" s="381">
        <v>4.0999999999999996</v>
      </c>
      <c r="GS24" s="388">
        <v>25</v>
      </c>
      <c r="GT24" s="388">
        <v>35</v>
      </c>
      <c r="GU24" s="393" t="s">
        <v>646</v>
      </c>
      <c r="GV24" s="388">
        <v>350</v>
      </c>
      <c r="GW24" s="394"/>
      <c r="GX24" s="100">
        <f t="shared" si="17"/>
        <v>25763</v>
      </c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  <c r="HW24" s="394"/>
      <c r="HX24" s="394"/>
    </row>
    <row r="25" spans="2:232" x14ac:dyDescent="0.15">
      <c r="B25" s="89" t="s">
        <v>39</v>
      </c>
      <c r="C25" s="141">
        <v>24644363</v>
      </c>
      <c r="D25" s="73">
        <f t="shared" si="0"/>
        <v>10079152</v>
      </c>
      <c r="E25" s="141">
        <v>304692</v>
      </c>
      <c r="F25" s="141">
        <v>9774460</v>
      </c>
      <c r="G25" s="73">
        <f t="shared" si="1"/>
        <v>1438740</v>
      </c>
      <c r="H25" s="141">
        <v>489790</v>
      </c>
      <c r="I25" s="141">
        <v>948950</v>
      </c>
      <c r="J25" s="141">
        <v>9549437</v>
      </c>
      <c r="K25" s="141">
        <v>3330946</v>
      </c>
      <c r="L25" s="141">
        <v>5033011</v>
      </c>
      <c r="M25" s="141">
        <v>1116202</v>
      </c>
      <c r="N25" s="141">
        <v>1169387</v>
      </c>
      <c r="O25" s="141">
        <v>1965661</v>
      </c>
      <c r="P25" s="141">
        <v>912754</v>
      </c>
      <c r="Q25" s="141">
        <v>1052907</v>
      </c>
      <c r="R25" s="141">
        <v>348968</v>
      </c>
      <c r="S25" s="74"/>
      <c r="T25" s="73">
        <f t="shared" si="2"/>
        <v>5159889</v>
      </c>
      <c r="U25" s="141">
        <v>22725</v>
      </c>
      <c r="V25" s="141">
        <v>227169</v>
      </c>
      <c r="W25" s="141">
        <v>244364</v>
      </c>
      <c r="X25" s="141">
        <v>4116011</v>
      </c>
      <c r="Y25" s="141">
        <v>33023</v>
      </c>
      <c r="Z25" s="141">
        <v>0</v>
      </c>
      <c r="AA25" s="141">
        <v>4133</v>
      </c>
      <c r="AB25" s="141">
        <v>90833</v>
      </c>
      <c r="AC25" s="141">
        <v>421631</v>
      </c>
      <c r="AD25" s="141">
        <v>243862</v>
      </c>
      <c r="AE25" s="141">
        <v>10311036</v>
      </c>
      <c r="AF25" s="141">
        <v>9572506</v>
      </c>
      <c r="AG25" s="141">
        <v>738530</v>
      </c>
      <c r="AH25" s="141">
        <v>23986</v>
      </c>
      <c r="AI25" s="141">
        <v>129149</v>
      </c>
      <c r="AJ25" s="73">
        <f t="shared" si="3"/>
        <v>1236185</v>
      </c>
      <c r="AK25" s="141">
        <v>865000</v>
      </c>
      <c r="AL25" s="141">
        <v>371185</v>
      </c>
      <c r="AM25" s="141">
        <v>19425471</v>
      </c>
      <c r="AN25" s="73">
        <f t="shared" si="4"/>
        <v>10577598</v>
      </c>
      <c r="AO25" s="141">
        <v>5075121</v>
      </c>
      <c r="AP25" s="141">
        <v>2945118</v>
      </c>
      <c r="AQ25" s="74"/>
      <c r="AR25" s="141">
        <v>2557359</v>
      </c>
      <c r="AS25" s="141">
        <v>1020771</v>
      </c>
      <c r="AT25" s="141">
        <v>6325</v>
      </c>
      <c r="AU25" s="141">
        <v>215499</v>
      </c>
      <c r="AV25" s="141">
        <v>5687953</v>
      </c>
      <c r="AW25" s="141">
        <v>3332536</v>
      </c>
      <c r="AX25" s="141">
        <v>1058402</v>
      </c>
      <c r="AY25" s="141">
        <v>3511</v>
      </c>
      <c r="AZ25" s="141">
        <v>2355417</v>
      </c>
      <c r="BA25" s="141">
        <v>33949</v>
      </c>
      <c r="BB25" s="141">
        <v>274526</v>
      </c>
      <c r="BC25" s="141">
        <v>264933</v>
      </c>
      <c r="BD25" s="141">
        <v>904946</v>
      </c>
      <c r="BE25" s="141">
        <v>793726</v>
      </c>
      <c r="BF25" s="141">
        <v>0</v>
      </c>
      <c r="BG25" s="141">
        <v>150000</v>
      </c>
      <c r="BH25" s="141">
        <v>643646</v>
      </c>
      <c r="BI25" s="141">
        <v>0</v>
      </c>
      <c r="BJ25" s="141">
        <v>498137</v>
      </c>
      <c r="BK25" s="141">
        <v>338704</v>
      </c>
      <c r="BL25" s="141">
        <v>501136</v>
      </c>
      <c r="BM25" s="141">
        <v>2551</v>
      </c>
      <c r="BN25" s="141">
        <v>5954</v>
      </c>
      <c r="BO25" s="141">
        <v>0</v>
      </c>
      <c r="BP25" s="141">
        <v>2600814</v>
      </c>
      <c r="BQ25" s="73">
        <f t="shared" si="5"/>
        <v>2400814</v>
      </c>
      <c r="BR25" s="73">
        <f t="shared" si="6"/>
        <v>200000</v>
      </c>
      <c r="BS25" s="141">
        <v>0</v>
      </c>
      <c r="BT25" s="141">
        <v>0</v>
      </c>
      <c r="BU25" s="141">
        <v>200000</v>
      </c>
      <c r="BV25" s="141">
        <v>0</v>
      </c>
      <c r="BW25" s="141">
        <v>72999646</v>
      </c>
      <c r="BX25" s="71"/>
      <c r="BY25" s="141">
        <v>10390861</v>
      </c>
      <c r="BZ25" s="141">
        <v>6271383</v>
      </c>
      <c r="CA25" s="141">
        <v>322067</v>
      </c>
      <c r="CB25" s="141">
        <v>1870255</v>
      </c>
      <c r="CC25" s="141">
        <v>26607179</v>
      </c>
      <c r="CD25" s="141">
        <v>8551322</v>
      </c>
      <c r="CE25" s="141">
        <v>26034</v>
      </c>
      <c r="CF25" s="141">
        <v>10905699</v>
      </c>
      <c r="CG25" s="141">
        <v>6842535</v>
      </c>
      <c r="CH25" s="141">
        <v>4623</v>
      </c>
      <c r="CI25" s="141">
        <v>276761</v>
      </c>
      <c r="CJ25" s="141">
        <v>6266586</v>
      </c>
      <c r="CK25" s="141">
        <v>6066375</v>
      </c>
      <c r="CL25" s="83">
        <f t="shared" si="7"/>
        <v>200211</v>
      </c>
      <c r="CM25" s="141">
        <v>9813059</v>
      </c>
      <c r="CN25" s="141">
        <v>7421635</v>
      </c>
      <c r="CO25" s="102"/>
      <c r="CP25" s="141">
        <v>1009493</v>
      </c>
      <c r="CQ25" s="141">
        <v>407332</v>
      </c>
      <c r="CR25" s="141">
        <v>5161857</v>
      </c>
      <c r="CS25" s="141">
        <v>786019</v>
      </c>
      <c r="CT25" s="141">
        <v>1383064</v>
      </c>
      <c r="CU25" s="141">
        <v>611887</v>
      </c>
      <c r="CV25" s="73">
        <f t="shared" si="8"/>
        <v>1468363</v>
      </c>
      <c r="CW25" s="141">
        <v>471720</v>
      </c>
      <c r="CX25" s="141">
        <v>996643</v>
      </c>
      <c r="CY25" s="73">
        <f t="shared" si="9"/>
        <v>823215</v>
      </c>
      <c r="CZ25" s="141">
        <v>0</v>
      </c>
      <c r="DA25" s="141">
        <v>823215</v>
      </c>
      <c r="DB25" s="73">
        <f t="shared" si="10"/>
        <v>610370</v>
      </c>
      <c r="DC25" s="141">
        <v>453720</v>
      </c>
      <c r="DD25" s="141">
        <v>156650</v>
      </c>
      <c r="DE25" s="141">
        <v>5613611</v>
      </c>
      <c r="DF25" s="141">
        <v>2799197</v>
      </c>
      <c r="DG25" s="141">
        <v>2803276</v>
      </c>
      <c r="DH25" s="141">
        <v>11138</v>
      </c>
      <c r="DI25" s="141">
        <v>0</v>
      </c>
      <c r="DJ25" s="141">
        <v>22771</v>
      </c>
      <c r="DK25" s="141">
        <v>1575860</v>
      </c>
      <c r="DL25" s="141">
        <v>171060</v>
      </c>
      <c r="DM25" s="141">
        <v>140</v>
      </c>
      <c r="DN25" s="141">
        <v>1404660</v>
      </c>
      <c r="DO25" s="141">
        <v>0</v>
      </c>
      <c r="DP25" s="141">
        <v>0</v>
      </c>
      <c r="DQ25" s="141">
        <v>0</v>
      </c>
      <c r="DR25" s="141">
        <v>0</v>
      </c>
      <c r="DS25" s="141">
        <v>22178</v>
      </c>
      <c r="DT25" s="141">
        <v>0</v>
      </c>
      <c r="DU25" s="141">
        <v>0</v>
      </c>
      <c r="DV25" s="141">
        <v>6395474</v>
      </c>
      <c r="DW25" s="141">
        <v>0</v>
      </c>
      <c r="DX25" s="73">
        <f t="shared" si="11"/>
        <v>0</v>
      </c>
      <c r="DY25" s="141">
        <v>0</v>
      </c>
      <c r="DZ25" s="141">
        <v>2653045</v>
      </c>
      <c r="EA25" s="141">
        <v>0</v>
      </c>
      <c r="EB25" s="141">
        <v>1349714</v>
      </c>
      <c r="EC25" s="74"/>
      <c r="ED25" s="141">
        <v>2392715</v>
      </c>
      <c r="EE25" s="141">
        <v>0</v>
      </c>
      <c r="EF25" s="141">
        <v>72276768</v>
      </c>
      <c r="EG25" s="71"/>
      <c r="EH25" s="141">
        <v>722878</v>
      </c>
      <c r="EI25" s="141">
        <v>357719</v>
      </c>
      <c r="EJ25" s="141">
        <v>365159</v>
      </c>
      <c r="EK25" s="141">
        <v>26455</v>
      </c>
      <c r="EL25" s="141">
        <v>197515</v>
      </c>
      <c r="EM25" s="71"/>
      <c r="EN25" s="141">
        <v>184495</v>
      </c>
      <c r="EO25" s="141">
        <v>182841</v>
      </c>
      <c r="EP25" s="141">
        <v>300000</v>
      </c>
      <c r="EQ25" s="141">
        <v>273102</v>
      </c>
      <c r="ER25" s="73">
        <f t="shared" si="12"/>
        <v>4596933</v>
      </c>
      <c r="ES25" s="141">
        <v>40947603</v>
      </c>
      <c r="ET25" s="141">
        <v>-5130550</v>
      </c>
      <c r="EU25" s="141">
        <v>9356879</v>
      </c>
      <c r="EV25" s="141">
        <v>5781288</v>
      </c>
      <c r="EW25" s="141">
        <v>9522334</v>
      </c>
      <c r="EX25" s="141">
        <v>6124666</v>
      </c>
      <c r="EY25" s="73">
        <f t="shared" si="13"/>
        <v>1986197</v>
      </c>
      <c r="EZ25" s="141">
        <v>1972851</v>
      </c>
      <c r="FA25" s="141">
        <v>487699</v>
      </c>
      <c r="FB25" s="141">
        <v>1484573</v>
      </c>
      <c r="FC25" s="141">
        <v>13346</v>
      </c>
      <c r="FD25" s="141">
        <v>0</v>
      </c>
      <c r="FE25" s="141">
        <v>7605019</v>
      </c>
      <c r="FF25" s="141">
        <v>4672387</v>
      </c>
      <c r="FG25" s="141">
        <v>786019</v>
      </c>
      <c r="FH25" s="141">
        <v>5071215</v>
      </c>
      <c r="FI25" s="73">
        <f t="shared" si="14"/>
        <v>1016578</v>
      </c>
      <c r="FJ25" s="141">
        <v>45355275</v>
      </c>
      <c r="FK25" s="379">
        <f t="shared" si="15"/>
        <v>1</v>
      </c>
      <c r="FL25" s="141">
        <v>37338006</v>
      </c>
      <c r="FM25" s="141">
        <v>385005</v>
      </c>
      <c r="FN25" s="141">
        <v>21912494</v>
      </c>
      <c r="FO25" s="141">
        <v>31477950</v>
      </c>
      <c r="FP25" s="390">
        <v>0.70099999999999996</v>
      </c>
      <c r="FQ25" s="380">
        <v>95.5</v>
      </c>
      <c r="FR25" s="381">
        <v>24.1</v>
      </c>
      <c r="FS25" s="380">
        <v>18.399999999999999</v>
      </c>
      <c r="FT25" s="380">
        <v>15.8</v>
      </c>
      <c r="FU25" s="381">
        <v>15.1</v>
      </c>
      <c r="FV25" s="380">
        <v>8.4</v>
      </c>
      <c r="FW25" s="382">
        <v>12.7</v>
      </c>
      <c r="FX25" s="383">
        <v>5.8</v>
      </c>
      <c r="FY25" s="141">
        <v>37477129</v>
      </c>
      <c r="FZ25" s="384">
        <f t="shared" si="16"/>
        <v>99.3</v>
      </c>
      <c r="GA25" s="141">
        <v>16209205</v>
      </c>
      <c r="GB25" s="141">
        <v>4749200</v>
      </c>
      <c r="GC25" s="141">
        <v>1447240</v>
      </c>
      <c r="GD25" s="141">
        <v>10012765</v>
      </c>
      <c r="GE25" s="107"/>
      <c r="GF25" s="385"/>
      <c r="GG25" s="386"/>
      <c r="GH25" s="380">
        <v>99.5</v>
      </c>
      <c r="GI25" s="380">
        <v>40.4</v>
      </c>
      <c r="GJ25" s="380">
        <v>98.8</v>
      </c>
      <c r="GK25" s="141">
        <v>1056</v>
      </c>
      <c r="GL25" s="391" t="s">
        <v>646</v>
      </c>
      <c r="GM25" s="391">
        <v>11.52</v>
      </c>
      <c r="GN25" s="117">
        <v>20</v>
      </c>
      <c r="GO25" s="391" t="s">
        <v>646</v>
      </c>
      <c r="GP25" s="392">
        <v>16.52</v>
      </c>
      <c r="GQ25" s="387">
        <v>30</v>
      </c>
      <c r="GR25" s="381">
        <v>5.8</v>
      </c>
      <c r="GS25" s="388">
        <v>25</v>
      </c>
      <c r="GT25" s="388">
        <v>35</v>
      </c>
      <c r="GU25" s="393" t="s">
        <v>646</v>
      </c>
      <c r="GV25" s="388">
        <v>350</v>
      </c>
      <c r="GW25" s="394"/>
      <c r="GX25" s="100">
        <f t="shared" si="17"/>
        <v>37723</v>
      </c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  <c r="HW25" s="394"/>
      <c r="HX25" s="394"/>
    </row>
    <row r="26" spans="2:232" x14ac:dyDescent="0.15">
      <c r="B26" s="89" t="s">
        <v>41</v>
      </c>
      <c r="C26" s="141">
        <v>25721162</v>
      </c>
      <c r="D26" s="73">
        <f t="shared" si="0"/>
        <v>10925466</v>
      </c>
      <c r="E26" s="141">
        <v>232365</v>
      </c>
      <c r="F26" s="141">
        <v>10693101</v>
      </c>
      <c r="G26" s="73">
        <f t="shared" si="1"/>
        <v>1078114</v>
      </c>
      <c r="H26" s="141">
        <v>398806</v>
      </c>
      <c r="I26" s="141">
        <v>679308</v>
      </c>
      <c r="J26" s="141">
        <v>10408573</v>
      </c>
      <c r="K26" s="141">
        <v>4516279</v>
      </c>
      <c r="L26" s="141">
        <v>4552818</v>
      </c>
      <c r="M26" s="141">
        <v>1325475</v>
      </c>
      <c r="N26" s="141">
        <v>663748</v>
      </c>
      <c r="O26" s="141">
        <v>2346737</v>
      </c>
      <c r="P26" s="141">
        <v>1353516</v>
      </c>
      <c r="Q26" s="141">
        <v>993221</v>
      </c>
      <c r="R26" s="141">
        <v>278542</v>
      </c>
      <c r="S26" s="74"/>
      <c r="T26" s="73">
        <f t="shared" si="2"/>
        <v>3963235</v>
      </c>
      <c r="U26" s="141">
        <v>24276</v>
      </c>
      <c r="V26" s="141">
        <v>242412</v>
      </c>
      <c r="W26" s="141">
        <v>260413</v>
      </c>
      <c r="X26" s="141">
        <v>3051831</v>
      </c>
      <c r="Y26" s="141">
        <v>1947</v>
      </c>
      <c r="Z26" s="141">
        <v>0</v>
      </c>
      <c r="AA26" s="141">
        <v>3363</v>
      </c>
      <c r="AB26" s="141">
        <v>73907</v>
      </c>
      <c r="AC26" s="141">
        <v>305086</v>
      </c>
      <c r="AD26" s="141">
        <v>158599</v>
      </c>
      <c r="AE26" s="141">
        <v>2792113</v>
      </c>
      <c r="AF26" s="141">
        <v>2702358</v>
      </c>
      <c r="AG26" s="141">
        <v>89755</v>
      </c>
      <c r="AH26" s="141">
        <v>14623</v>
      </c>
      <c r="AI26" s="141">
        <v>723096</v>
      </c>
      <c r="AJ26" s="73">
        <f t="shared" si="3"/>
        <v>1009777</v>
      </c>
      <c r="AK26" s="141">
        <v>699733</v>
      </c>
      <c r="AL26" s="141">
        <v>310044</v>
      </c>
      <c r="AM26" s="141">
        <v>17460566</v>
      </c>
      <c r="AN26" s="73">
        <f t="shared" si="4"/>
        <v>5857497</v>
      </c>
      <c r="AO26" s="141">
        <v>1677661</v>
      </c>
      <c r="AP26" s="141">
        <v>2484621</v>
      </c>
      <c r="AQ26" s="74"/>
      <c r="AR26" s="141">
        <v>1695215</v>
      </c>
      <c r="AS26" s="141">
        <v>179873</v>
      </c>
      <c r="AT26" s="141">
        <v>0</v>
      </c>
      <c r="AU26" s="141">
        <v>0</v>
      </c>
      <c r="AV26" s="141">
        <v>4548341</v>
      </c>
      <c r="AW26" s="141">
        <v>3059909</v>
      </c>
      <c r="AX26" s="141">
        <v>1069450</v>
      </c>
      <c r="AY26" s="141">
        <v>58067</v>
      </c>
      <c r="AZ26" s="141">
        <v>1488432</v>
      </c>
      <c r="BA26" s="141">
        <v>16725</v>
      </c>
      <c r="BB26" s="141">
        <v>2569723</v>
      </c>
      <c r="BC26" s="141">
        <v>2324711</v>
      </c>
      <c r="BD26" s="141">
        <v>236394</v>
      </c>
      <c r="BE26" s="141">
        <v>3125775</v>
      </c>
      <c r="BF26" s="141">
        <v>299378</v>
      </c>
      <c r="BG26" s="141">
        <v>0</v>
      </c>
      <c r="BH26" s="141">
        <v>2814625</v>
      </c>
      <c r="BI26" s="141">
        <v>0</v>
      </c>
      <c r="BJ26" s="141">
        <v>4365069</v>
      </c>
      <c r="BK26" s="141">
        <v>762621</v>
      </c>
      <c r="BL26" s="141">
        <v>6760008</v>
      </c>
      <c r="BM26" s="141">
        <v>15313</v>
      </c>
      <c r="BN26" s="141">
        <v>0</v>
      </c>
      <c r="BO26" s="141">
        <v>5269245</v>
      </c>
      <c r="BP26" s="141">
        <v>4978295</v>
      </c>
      <c r="BQ26" s="73">
        <f t="shared" si="5"/>
        <v>4735800</v>
      </c>
      <c r="BR26" s="73">
        <f t="shared" si="6"/>
        <v>242495</v>
      </c>
      <c r="BS26" s="141">
        <v>0</v>
      </c>
      <c r="BT26" s="141">
        <v>0</v>
      </c>
      <c r="BU26" s="141">
        <v>242495</v>
      </c>
      <c r="BV26" s="141">
        <v>0</v>
      </c>
      <c r="BW26" s="141">
        <v>78705318</v>
      </c>
      <c r="BX26" s="71"/>
      <c r="BY26" s="141">
        <v>9816049</v>
      </c>
      <c r="BZ26" s="141">
        <v>6636857</v>
      </c>
      <c r="CA26" s="141">
        <v>231832</v>
      </c>
      <c r="CB26" s="141">
        <v>1115828</v>
      </c>
      <c r="CC26" s="141">
        <v>17053184</v>
      </c>
      <c r="CD26" s="141">
        <v>5374157</v>
      </c>
      <c r="CE26" s="141">
        <v>83635</v>
      </c>
      <c r="CF26" s="141">
        <v>8379019</v>
      </c>
      <c r="CG26" s="141">
        <v>2245740</v>
      </c>
      <c r="CH26" s="141">
        <v>120643</v>
      </c>
      <c r="CI26" s="141">
        <v>849990</v>
      </c>
      <c r="CJ26" s="141">
        <v>7356951</v>
      </c>
      <c r="CK26" s="141">
        <v>7172111</v>
      </c>
      <c r="CL26" s="83">
        <f t="shared" si="7"/>
        <v>184840</v>
      </c>
      <c r="CM26" s="141">
        <v>10462975</v>
      </c>
      <c r="CN26" s="141">
        <v>7596931</v>
      </c>
      <c r="CO26" s="102"/>
      <c r="CP26" s="141">
        <v>1857202</v>
      </c>
      <c r="CQ26" s="141">
        <v>342732</v>
      </c>
      <c r="CR26" s="141">
        <v>3631439</v>
      </c>
      <c r="CS26" s="141">
        <v>3235</v>
      </c>
      <c r="CT26" s="141">
        <v>1370060</v>
      </c>
      <c r="CU26" s="141">
        <v>933133</v>
      </c>
      <c r="CV26" s="73">
        <f t="shared" si="8"/>
        <v>859395</v>
      </c>
      <c r="CW26" s="141">
        <v>629509</v>
      </c>
      <c r="CX26" s="141">
        <v>229886</v>
      </c>
      <c r="CY26" s="73">
        <f t="shared" si="9"/>
        <v>422204</v>
      </c>
      <c r="CZ26" s="141">
        <v>333647</v>
      </c>
      <c r="DA26" s="141">
        <v>88557</v>
      </c>
      <c r="DB26" s="73">
        <f t="shared" si="10"/>
        <v>401671</v>
      </c>
      <c r="DC26" s="141">
        <v>268042</v>
      </c>
      <c r="DD26" s="141">
        <v>133629</v>
      </c>
      <c r="DE26" s="141">
        <v>17826852</v>
      </c>
      <c r="DF26" s="141">
        <v>14219248</v>
      </c>
      <c r="DG26" s="141">
        <v>3604042</v>
      </c>
      <c r="DH26" s="141">
        <v>3562</v>
      </c>
      <c r="DI26" s="141">
        <v>0</v>
      </c>
      <c r="DJ26" s="141">
        <v>21800</v>
      </c>
      <c r="DK26" s="141">
        <v>4167735</v>
      </c>
      <c r="DL26" s="141">
        <v>315858</v>
      </c>
      <c r="DM26" s="141">
        <v>117837</v>
      </c>
      <c r="DN26" s="141">
        <v>3734040</v>
      </c>
      <c r="DO26" s="141">
        <v>0</v>
      </c>
      <c r="DP26" s="141">
        <v>0</v>
      </c>
      <c r="DQ26" s="141">
        <v>0</v>
      </c>
      <c r="DR26" s="141">
        <v>0</v>
      </c>
      <c r="DS26" s="141">
        <v>289078</v>
      </c>
      <c r="DT26" s="141">
        <v>0</v>
      </c>
      <c r="DU26" s="141">
        <v>0</v>
      </c>
      <c r="DV26" s="141">
        <v>5120539</v>
      </c>
      <c r="DW26" s="141">
        <v>0</v>
      </c>
      <c r="DX26" s="73">
        <f t="shared" si="11"/>
        <v>0</v>
      </c>
      <c r="DY26" s="141">
        <v>0</v>
      </c>
      <c r="DZ26" s="141">
        <v>1934037</v>
      </c>
      <c r="EA26" s="141">
        <v>0</v>
      </c>
      <c r="EB26" s="141">
        <v>1356426</v>
      </c>
      <c r="EC26" s="74"/>
      <c r="ED26" s="141">
        <v>1734273</v>
      </c>
      <c r="EE26" s="141">
        <v>0</v>
      </c>
      <c r="EF26" s="141">
        <v>76089334</v>
      </c>
      <c r="EG26" s="71"/>
      <c r="EH26" s="141">
        <v>2615984</v>
      </c>
      <c r="EI26" s="141">
        <v>974047</v>
      </c>
      <c r="EJ26" s="141">
        <v>1641937</v>
      </c>
      <c r="EK26" s="141">
        <v>79316</v>
      </c>
      <c r="EL26" s="141">
        <v>4087335</v>
      </c>
      <c r="EM26" s="71"/>
      <c r="EN26" s="141">
        <v>136868</v>
      </c>
      <c r="EO26" s="141">
        <v>139318</v>
      </c>
      <c r="EP26" s="141">
        <v>319277</v>
      </c>
      <c r="EQ26" s="141">
        <v>2542739</v>
      </c>
      <c r="ER26" s="73">
        <f t="shared" si="12"/>
        <v>9238592</v>
      </c>
      <c r="ES26" s="141">
        <v>32928274</v>
      </c>
      <c r="ET26" s="141">
        <v>-12328480</v>
      </c>
      <c r="EU26" s="141">
        <v>8675392</v>
      </c>
      <c r="EV26" s="141">
        <v>5741385</v>
      </c>
      <c r="EW26" s="141">
        <v>6000752</v>
      </c>
      <c r="EX26" s="141">
        <v>5209399</v>
      </c>
      <c r="EY26" s="73">
        <f t="shared" si="13"/>
        <v>3810824</v>
      </c>
      <c r="EZ26" s="141">
        <v>3789024</v>
      </c>
      <c r="FA26" s="141">
        <v>2534667</v>
      </c>
      <c r="FB26" s="141">
        <v>1254357</v>
      </c>
      <c r="FC26" s="141">
        <v>21800</v>
      </c>
      <c r="FD26" s="141">
        <v>0</v>
      </c>
      <c r="FE26" s="141">
        <v>7599518</v>
      </c>
      <c r="FF26" s="141">
        <v>2798456</v>
      </c>
      <c r="FG26" s="141">
        <v>3235</v>
      </c>
      <c r="FH26" s="141">
        <v>4097029</v>
      </c>
      <c r="FI26" s="73">
        <f t="shared" si="14"/>
        <v>4449400</v>
      </c>
      <c r="FJ26" s="141">
        <v>42640770</v>
      </c>
      <c r="FK26" s="379">
        <f t="shared" si="15"/>
        <v>5.4</v>
      </c>
      <c r="FL26" s="141">
        <v>29903885</v>
      </c>
      <c r="FM26" s="141">
        <v>242495</v>
      </c>
      <c r="FN26" s="141">
        <v>20908102</v>
      </c>
      <c r="FO26" s="141">
        <v>23610460</v>
      </c>
      <c r="FP26" s="395">
        <v>0.88600000000000001</v>
      </c>
      <c r="FQ26" s="380">
        <v>91.7</v>
      </c>
      <c r="FR26" s="381">
        <v>27.9</v>
      </c>
      <c r="FS26" s="380">
        <v>14.7</v>
      </c>
      <c r="FT26" s="380">
        <v>10.7</v>
      </c>
      <c r="FU26" s="381">
        <v>19.5</v>
      </c>
      <c r="FV26" s="380">
        <v>6</v>
      </c>
      <c r="FW26" s="382">
        <v>12.1</v>
      </c>
      <c r="FX26" s="383">
        <v>2.1</v>
      </c>
      <c r="FY26" s="141">
        <v>49876086</v>
      </c>
      <c r="FZ26" s="384">
        <f t="shared" si="16"/>
        <v>165.4</v>
      </c>
      <c r="GA26" s="141">
        <v>23991478</v>
      </c>
      <c r="GB26" s="141">
        <v>5393419</v>
      </c>
      <c r="GC26" s="141">
        <v>6724030</v>
      </c>
      <c r="GD26" s="141">
        <v>11874029</v>
      </c>
      <c r="GE26" s="107"/>
      <c r="GF26" s="385">
        <v>2364</v>
      </c>
      <c r="GG26" s="386">
        <f>IF(GF26=0,"-",ROUND(GF26/(GX26)*100,1))</f>
        <v>7.8</v>
      </c>
      <c r="GH26" s="380">
        <v>99.6</v>
      </c>
      <c r="GI26" s="380">
        <v>50.4</v>
      </c>
      <c r="GJ26" s="380">
        <v>99.2</v>
      </c>
      <c r="GK26" s="141">
        <v>994</v>
      </c>
      <c r="GL26" s="391" t="s">
        <v>646</v>
      </c>
      <c r="GM26" s="391">
        <v>11.8</v>
      </c>
      <c r="GN26" s="117">
        <v>20</v>
      </c>
      <c r="GO26" s="391" t="s">
        <v>646</v>
      </c>
      <c r="GP26" s="392">
        <v>16.8</v>
      </c>
      <c r="GQ26" s="387">
        <v>30</v>
      </c>
      <c r="GR26" s="381">
        <v>2.1</v>
      </c>
      <c r="GS26" s="388">
        <v>25</v>
      </c>
      <c r="GT26" s="388">
        <v>35</v>
      </c>
      <c r="GU26" s="393" t="s">
        <v>646</v>
      </c>
      <c r="GV26" s="388">
        <v>350</v>
      </c>
      <c r="GW26" s="394"/>
      <c r="GX26" s="100">
        <f t="shared" si="17"/>
        <v>30146</v>
      </c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  <c r="HW26" s="394"/>
      <c r="HX26" s="394"/>
    </row>
    <row r="27" spans="2:232" x14ac:dyDescent="0.15">
      <c r="B27" s="89" t="s">
        <v>43</v>
      </c>
      <c r="C27" s="141">
        <v>8957420</v>
      </c>
      <c r="D27" s="73">
        <f t="shared" si="0"/>
        <v>3575632</v>
      </c>
      <c r="E27" s="141">
        <v>115861</v>
      </c>
      <c r="F27" s="141">
        <v>3459771</v>
      </c>
      <c r="G27" s="73">
        <f t="shared" si="1"/>
        <v>520173</v>
      </c>
      <c r="H27" s="141">
        <v>128472</v>
      </c>
      <c r="I27" s="141">
        <v>391701</v>
      </c>
      <c r="J27" s="141">
        <v>3620352</v>
      </c>
      <c r="K27" s="141">
        <v>1326814</v>
      </c>
      <c r="L27" s="141">
        <v>1499263</v>
      </c>
      <c r="M27" s="141">
        <v>769470</v>
      </c>
      <c r="N27" s="141">
        <v>412055</v>
      </c>
      <c r="O27" s="141">
        <v>701977</v>
      </c>
      <c r="P27" s="141">
        <v>377404</v>
      </c>
      <c r="Q27" s="141">
        <v>324573</v>
      </c>
      <c r="R27" s="141">
        <v>127047</v>
      </c>
      <c r="S27" s="74"/>
      <c r="T27" s="73">
        <f t="shared" si="2"/>
        <v>1931686</v>
      </c>
      <c r="U27" s="141">
        <v>8173</v>
      </c>
      <c r="V27" s="141">
        <v>81605</v>
      </c>
      <c r="W27" s="141">
        <v>87644</v>
      </c>
      <c r="X27" s="141">
        <v>1555255</v>
      </c>
      <c r="Y27" s="141">
        <v>0</v>
      </c>
      <c r="Z27" s="141">
        <v>0</v>
      </c>
      <c r="AA27" s="141">
        <v>1526</v>
      </c>
      <c r="AB27" s="141">
        <v>33545</v>
      </c>
      <c r="AC27" s="141">
        <v>163938</v>
      </c>
      <c r="AD27" s="141">
        <v>62801</v>
      </c>
      <c r="AE27" s="141">
        <v>5898672</v>
      </c>
      <c r="AF27" s="141">
        <v>5696705</v>
      </c>
      <c r="AG27" s="141">
        <v>201967</v>
      </c>
      <c r="AH27" s="141">
        <v>7723</v>
      </c>
      <c r="AI27" s="141">
        <v>307244</v>
      </c>
      <c r="AJ27" s="73">
        <f t="shared" si="3"/>
        <v>303797</v>
      </c>
      <c r="AK27" s="141">
        <v>271405</v>
      </c>
      <c r="AL27" s="141">
        <v>32392</v>
      </c>
      <c r="AM27" s="141">
        <v>5956554</v>
      </c>
      <c r="AN27" s="73">
        <f t="shared" si="4"/>
        <v>3066706</v>
      </c>
      <c r="AO27" s="141">
        <v>1285757</v>
      </c>
      <c r="AP27" s="141">
        <v>846131</v>
      </c>
      <c r="AQ27" s="74"/>
      <c r="AR27" s="141">
        <v>934818</v>
      </c>
      <c r="AS27" s="141">
        <v>160563</v>
      </c>
      <c r="AT27" s="141">
        <v>0</v>
      </c>
      <c r="AU27" s="141">
        <v>0</v>
      </c>
      <c r="AV27" s="141">
        <v>2041723</v>
      </c>
      <c r="AW27" s="141">
        <v>1198147</v>
      </c>
      <c r="AX27" s="141">
        <v>326724</v>
      </c>
      <c r="AY27" s="141">
        <v>30204</v>
      </c>
      <c r="AZ27" s="141">
        <v>843576</v>
      </c>
      <c r="BA27" s="141">
        <v>6801</v>
      </c>
      <c r="BB27" s="141">
        <v>45714</v>
      </c>
      <c r="BC27" s="141">
        <v>30932</v>
      </c>
      <c r="BD27" s="141">
        <v>294446</v>
      </c>
      <c r="BE27" s="141">
        <v>731972</v>
      </c>
      <c r="BF27" s="141">
        <v>570000</v>
      </c>
      <c r="BG27" s="141">
        <v>0</v>
      </c>
      <c r="BH27" s="141">
        <v>161972</v>
      </c>
      <c r="BI27" s="141">
        <v>0</v>
      </c>
      <c r="BJ27" s="141">
        <v>878999</v>
      </c>
      <c r="BK27" s="141">
        <v>802360</v>
      </c>
      <c r="BL27" s="141">
        <v>428725</v>
      </c>
      <c r="BM27" s="141">
        <v>289063</v>
      </c>
      <c r="BN27" s="141">
        <v>0</v>
      </c>
      <c r="BO27" s="141">
        <v>0</v>
      </c>
      <c r="BP27" s="141">
        <v>602928</v>
      </c>
      <c r="BQ27" s="73">
        <f t="shared" si="5"/>
        <v>465500</v>
      </c>
      <c r="BR27" s="73">
        <f t="shared" si="6"/>
        <v>137428</v>
      </c>
      <c r="BS27" s="141">
        <v>0</v>
      </c>
      <c r="BT27" s="141">
        <v>0</v>
      </c>
      <c r="BU27" s="141">
        <v>137428</v>
      </c>
      <c r="BV27" s="141">
        <v>0</v>
      </c>
      <c r="BW27" s="141">
        <v>28577451</v>
      </c>
      <c r="BX27" s="71"/>
      <c r="BY27" s="141">
        <v>4658617</v>
      </c>
      <c r="BZ27" s="141">
        <v>2780132</v>
      </c>
      <c r="CA27" s="141">
        <v>53194</v>
      </c>
      <c r="CB27" s="141">
        <v>923213</v>
      </c>
      <c r="CC27" s="141">
        <v>8372885</v>
      </c>
      <c r="CD27" s="141">
        <v>3470635</v>
      </c>
      <c r="CE27" s="141">
        <v>9396</v>
      </c>
      <c r="CF27" s="141">
        <v>2916896</v>
      </c>
      <c r="CG27" s="141">
        <v>1744280</v>
      </c>
      <c r="CH27" s="141">
        <v>41575</v>
      </c>
      <c r="CI27" s="141">
        <v>190008</v>
      </c>
      <c r="CJ27" s="141">
        <v>2112994</v>
      </c>
      <c r="CK27" s="141">
        <v>2046595</v>
      </c>
      <c r="CL27" s="83">
        <f t="shared" si="7"/>
        <v>66399</v>
      </c>
      <c r="CM27" s="141">
        <v>3281361</v>
      </c>
      <c r="CN27" s="141">
        <v>2369595</v>
      </c>
      <c r="CO27" s="102"/>
      <c r="CP27" s="141">
        <v>348636</v>
      </c>
      <c r="CQ27" s="141">
        <v>115304</v>
      </c>
      <c r="CR27" s="141">
        <v>4394172</v>
      </c>
      <c r="CS27" s="141">
        <v>1769757</v>
      </c>
      <c r="CT27" s="141">
        <v>425586</v>
      </c>
      <c r="CU27" s="141">
        <v>189390</v>
      </c>
      <c r="CV27" s="73">
        <f t="shared" si="8"/>
        <v>1546813</v>
      </c>
      <c r="CW27" s="141">
        <v>938670</v>
      </c>
      <c r="CX27" s="141">
        <v>608143</v>
      </c>
      <c r="CY27" s="73">
        <f t="shared" si="9"/>
        <v>570704</v>
      </c>
      <c r="CZ27" s="141">
        <v>454037</v>
      </c>
      <c r="DA27" s="141">
        <v>116667</v>
      </c>
      <c r="DB27" s="73">
        <f t="shared" si="10"/>
        <v>966879</v>
      </c>
      <c r="DC27" s="141">
        <v>479633</v>
      </c>
      <c r="DD27" s="141">
        <v>487246</v>
      </c>
      <c r="DE27" s="141">
        <v>1334840</v>
      </c>
      <c r="DF27" s="141">
        <v>472644</v>
      </c>
      <c r="DG27" s="141">
        <v>862196</v>
      </c>
      <c r="DH27" s="141">
        <v>0</v>
      </c>
      <c r="DI27" s="141">
        <v>0</v>
      </c>
      <c r="DJ27" s="141">
        <v>12558</v>
      </c>
      <c r="DK27" s="141">
        <v>883158</v>
      </c>
      <c r="DL27" s="141">
        <v>504715</v>
      </c>
      <c r="DM27" s="141">
        <v>82335</v>
      </c>
      <c r="DN27" s="141">
        <v>296108</v>
      </c>
      <c r="DO27" s="141">
        <v>0</v>
      </c>
      <c r="DP27" s="141">
        <v>0</v>
      </c>
      <c r="DQ27" s="141">
        <v>0</v>
      </c>
      <c r="DR27" s="141">
        <v>0</v>
      </c>
      <c r="DS27" s="141">
        <v>286644</v>
      </c>
      <c r="DT27" s="141">
        <v>0</v>
      </c>
      <c r="DU27" s="141">
        <v>0</v>
      </c>
      <c r="DV27" s="141">
        <v>3069034</v>
      </c>
      <c r="DW27" s="141">
        <v>0</v>
      </c>
      <c r="DX27" s="73">
        <f t="shared" si="11"/>
        <v>0</v>
      </c>
      <c r="DY27" s="141">
        <v>0</v>
      </c>
      <c r="DZ27" s="141">
        <v>1141275</v>
      </c>
      <c r="EA27" s="141">
        <v>0</v>
      </c>
      <c r="EB27" s="141">
        <v>836667</v>
      </c>
      <c r="EC27" s="74"/>
      <c r="ED27" s="141">
        <v>1086197</v>
      </c>
      <c r="EE27" s="141">
        <v>0</v>
      </c>
      <c r="EF27" s="141">
        <v>28521567</v>
      </c>
      <c r="EG27" s="71"/>
      <c r="EH27" s="141">
        <v>55884</v>
      </c>
      <c r="EI27" s="141">
        <v>45602</v>
      </c>
      <c r="EJ27" s="141">
        <v>10282</v>
      </c>
      <c r="EK27" s="141">
        <v>-792078</v>
      </c>
      <c r="EL27" s="141">
        <v>-856897</v>
      </c>
      <c r="EM27" s="71"/>
      <c r="EN27" s="141">
        <v>68775</v>
      </c>
      <c r="EO27" s="141">
        <v>66952</v>
      </c>
      <c r="EP27" s="141">
        <v>570000</v>
      </c>
      <c r="EQ27" s="141">
        <v>40353</v>
      </c>
      <c r="ER27" s="73">
        <f t="shared" si="12"/>
        <v>2586931</v>
      </c>
      <c r="ES27" s="141">
        <v>16985349</v>
      </c>
      <c r="ET27" s="141">
        <v>-3326989</v>
      </c>
      <c r="EU27" s="141">
        <v>4214047</v>
      </c>
      <c r="EV27" s="141">
        <v>2555401</v>
      </c>
      <c r="EW27" s="141">
        <v>3212909</v>
      </c>
      <c r="EX27" s="141">
        <v>2112994</v>
      </c>
      <c r="EY27" s="73">
        <f t="shared" si="13"/>
        <v>431414</v>
      </c>
      <c r="EZ27" s="141">
        <v>431256</v>
      </c>
      <c r="FA27" s="141">
        <v>55207</v>
      </c>
      <c r="FB27" s="141">
        <v>376049</v>
      </c>
      <c r="FC27" s="141">
        <v>158</v>
      </c>
      <c r="FD27" s="141">
        <v>0</v>
      </c>
      <c r="FE27" s="141">
        <v>2607931</v>
      </c>
      <c r="FF27" s="141">
        <v>4280321</v>
      </c>
      <c r="FG27" s="141">
        <v>1769092</v>
      </c>
      <c r="FH27" s="141">
        <v>2406545</v>
      </c>
      <c r="FI27" s="73">
        <f t="shared" si="14"/>
        <v>990293</v>
      </c>
      <c r="FJ27" s="141">
        <v>20256454</v>
      </c>
      <c r="FK27" s="379">
        <f t="shared" si="15"/>
        <v>0.1</v>
      </c>
      <c r="FL27" s="141">
        <v>16039385</v>
      </c>
      <c r="FM27" s="141">
        <v>137428</v>
      </c>
      <c r="FN27" s="141">
        <v>8176671</v>
      </c>
      <c r="FO27" s="141">
        <v>13873326</v>
      </c>
      <c r="FP27" s="395">
        <v>0.58799999999999997</v>
      </c>
      <c r="FQ27" s="380">
        <v>98.4</v>
      </c>
      <c r="FR27" s="381">
        <v>25.7</v>
      </c>
      <c r="FS27" s="380">
        <v>12.8</v>
      </c>
      <c r="FT27" s="380">
        <v>12.9</v>
      </c>
      <c r="FU27" s="381">
        <v>12.9</v>
      </c>
      <c r="FV27" s="380">
        <v>19.7</v>
      </c>
      <c r="FW27" s="382">
        <v>13.8</v>
      </c>
      <c r="FX27" s="383">
        <v>5.0999999999999996</v>
      </c>
      <c r="FY27" s="141">
        <v>20721339</v>
      </c>
      <c r="FZ27" s="384">
        <f t="shared" si="16"/>
        <v>128.1</v>
      </c>
      <c r="GA27" s="141">
        <v>5816312</v>
      </c>
      <c r="GB27" s="141">
        <v>2835750</v>
      </c>
      <c r="GC27" s="141">
        <v>606675</v>
      </c>
      <c r="GD27" s="141">
        <v>2373887</v>
      </c>
      <c r="GE27" s="107"/>
      <c r="GF27" s="385">
        <v>258</v>
      </c>
      <c r="GG27" s="386">
        <f>IF(GF27=0,"-",ROUND(GF27/(GX27)*100,1))</f>
        <v>1.6</v>
      </c>
      <c r="GH27" s="380">
        <v>99.5</v>
      </c>
      <c r="GI27" s="380">
        <v>42</v>
      </c>
      <c r="GJ27" s="380">
        <v>98.7</v>
      </c>
      <c r="GK27" s="141">
        <v>421</v>
      </c>
      <c r="GL27" s="391" t="s">
        <v>646</v>
      </c>
      <c r="GM27" s="391">
        <v>12.7</v>
      </c>
      <c r="GN27" s="117">
        <v>20</v>
      </c>
      <c r="GO27" s="391" t="s">
        <v>646</v>
      </c>
      <c r="GP27" s="392">
        <v>17.7</v>
      </c>
      <c r="GQ27" s="387">
        <v>30</v>
      </c>
      <c r="GR27" s="381">
        <v>5.0999999999999996</v>
      </c>
      <c r="GS27" s="388">
        <v>25</v>
      </c>
      <c r="GT27" s="388">
        <v>35</v>
      </c>
      <c r="GU27" s="393">
        <v>7.5</v>
      </c>
      <c r="GV27" s="388">
        <v>350</v>
      </c>
      <c r="GW27" s="394"/>
      <c r="GX27" s="100">
        <f t="shared" si="17"/>
        <v>16177</v>
      </c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  <c r="HW27" s="394"/>
      <c r="HX27" s="394"/>
    </row>
    <row r="28" spans="2:232" x14ac:dyDescent="0.15">
      <c r="B28" s="89" t="s">
        <v>45</v>
      </c>
      <c r="C28" s="141">
        <v>13208530</v>
      </c>
      <c r="D28" s="73">
        <f t="shared" si="0"/>
        <v>5699034</v>
      </c>
      <c r="E28" s="141">
        <v>181742</v>
      </c>
      <c r="F28" s="141">
        <v>5517292</v>
      </c>
      <c r="G28" s="73">
        <f t="shared" si="1"/>
        <v>644728</v>
      </c>
      <c r="H28" s="141">
        <v>216680</v>
      </c>
      <c r="I28" s="141">
        <v>428048</v>
      </c>
      <c r="J28" s="141">
        <v>4888448</v>
      </c>
      <c r="K28" s="141">
        <v>1968293</v>
      </c>
      <c r="L28" s="141">
        <v>2317219</v>
      </c>
      <c r="M28" s="141">
        <v>555351</v>
      </c>
      <c r="N28" s="141">
        <v>694415</v>
      </c>
      <c r="O28" s="141">
        <v>1007491</v>
      </c>
      <c r="P28" s="141">
        <v>538323</v>
      </c>
      <c r="Q28" s="141">
        <v>469168</v>
      </c>
      <c r="R28" s="141">
        <v>195294</v>
      </c>
      <c r="S28" s="74"/>
      <c r="T28" s="73">
        <f t="shared" si="2"/>
        <v>2985662</v>
      </c>
      <c r="U28" s="141">
        <v>12377</v>
      </c>
      <c r="V28" s="141">
        <v>123537</v>
      </c>
      <c r="W28" s="141">
        <v>132626</v>
      </c>
      <c r="X28" s="141">
        <v>2425270</v>
      </c>
      <c r="Y28" s="141">
        <v>0</v>
      </c>
      <c r="Z28" s="141">
        <v>0</v>
      </c>
      <c r="AA28" s="141">
        <v>2349</v>
      </c>
      <c r="AB28" s="141">
        <v>51628</v>
      </c>
      <c r="AC28" s="141">
        <v>237875</v>
      </c>
      <c r="AD28" s="141">
        <v>132278</v>
      </c>
      <c r="AE28" s="141">
        <v>9515769</v>
      </c>
      <c r="AF28" s="141">
        <v>9318627</v>
      </c>
      <c r="AG28" s="141">
        <v>197142</v>
      </c>
      <c r="AH28" s="141">
        <v>12367</v>
      </c>
      <c r="AI28" s="141">
        <v>89193</v>
      </c>
      <c r="AJ28" s="73">
        <f t="shared" si="3"/>
        <v>480263</v>
      </c>
      <c r="AK28" s="141">
        <v>419142</v>
      </c>
      <c r="AL28" s="141">
        <v>61121</v>
      </c>
      <c r="AM28" s="141">
        <v>11737033</v>
      </c>
      <c r="AN28" s="73">
        <f t="shared" si="4"/>
        <v>6146266</v>
      </c>
      <c r="AO28" s="141">
        <v>3570139</v>
      </c>
      <c r="AP28" s="141">
        <v>839320</v>
      </c>
      <c r="AQ28" s="74"/>
      <c r="AR28" s="141">
        <v>1736807</v>
      </c>
      <c r="AS28" s="141">
        <v>93527</v>
      </c>
      <c r="AT28" s="141">
        <v>0</v>
      </c>
      <c r="AU28" s="141">
        <v>0</v>
      </c>
      <c r="AV28" s="141">
        <v>3500322</v>
      </c>
      <c r="AW28" s="141">
        <v>2126200</v>
      </c>
      <c r="AX28" s="141">
        <v>348890</v>
      </c>
      <c r="AY28" s="141">
        <v>15893</v>
      </c>
      <c r="AZ28" s="141">
        <v>1374122</v>
      </c>
      <c r="BA28" s="141">
        <v>21949</v>
      </c>
      <c r="BB28" s="141">
        <v>18255</v>
      </c>
      <c r="BC28" s="141">
        <v>2499</v>
      </c>
      <c r="BD28" s="141">
        <v>144517</v>
      </c>
      <c r="BE28" s="141">
        <v>1061511</v>
      </c>
      <c r="BF28" s="141">
        <v>300000</v>
      </c>
      <c r="BG28" s="141">
        <v>590000</v>
      </c>
      <c r="BH28" s="141">
        <v>164934</v>
      </c>
      <c r="BI28" s="141">
        <v>0</v>
      </c>
      <c r="BJ28" s="141">
        <v>123204</v>
      </c>
      <c r="BK28" s="141">
        <v>105743</v>
      </c>
      <c r="BL28" s="141">
        <v>303378</v>
      </c>
      <c r="BM28" s="141">
        <v>1606</v>
      </c>
      <c r="BN28" s="141">
        <v>0</v>
      </c>
      <c r="BO28" s="141">
        <v>0</v>
      </c>
      <c r="BP28" s="141">
        <v>1107100</v>
      </c>
      <c r="BQ28" s="73">
        <f t="shared" si="5"/>
        <v>1037000</v>
      </c>
      <c r="BR28" s="73">
        <f t="shared" si="6"/>
        <v>70100</v>
      </c>
      <c r="BS28" s="141">
        <v>0</v>
      </c>
      <c r="BT28" s="141">
        <v>0</v>
      </c>
      <c r="BU28" s="141">
        <v>70100</v>
      </c>
      <c r="BV28" s="141">
        <v>0</v>
      </c>
      <c r="BW28" s="141">
        <v>44614676</v>
      </c>
      <c r="BX28" s="71"/>
      <c r="BY28" s="141">
        <v>6501630</v>
      </c>
      <c r="BZ28" s="141">
        <v>3796110</v>
      </c>
      <c r="CA28" s="141">
        <v>189344</v>
      </c>
      <c r="CB28" s="141">
        <v>1306185</v>
      </c>
      <c r="CC28" s="141">
        <v>16068113</v>
      </c>
      <c r="CD28" s="141">
        <v>5595153</v>
      </c>
      <c r="CE28" s="141">
        <v>17664</v>
      </c>
      <c r="CF28" s="141">
        <v>5340938</v>
      </c>
      <c r="CG28" s="141">
        <v>4880468</v>
      </c>
      <c r="CH28" s="141">
        <v>0</v>
      </c>
      <c r="CI28" s="141">
        <v>233575</v>
      </c>
      <c r="CJ28" s="141">
        <v>4025822</v>
      </c>
      <c r="CK28" s="141">
        <v>3918105</v>
      </c>
      <c r="CL28" s="83">
        <f t="shared" si="7"/>
        <v>107717</v>
      </c>
      <c r="CM28" s="141">
        <v>5287812</v>
      </c>
      <c r="CN28" s="141">
        <v>3868635</v>
      </c>
      <c r="CO28" s="102"/>
      <c r="CP28" s="141">
        <v>764490</v>
      </c>
      <c r="CQ28" s="141">
        <v>189021</v>
      </c>
      <c r="CR28" s="141">
        <v>5275787</v>
      </c>
      <c r="CS28" s="141">
        <v>2156052</v>
      </c>
      <c r="CT28" s="141">
        <v>1005766</v>
      </c>
      <c r="CU28" s="141">
        <v>590961</v>
      </c>
      <c r="CV28" s="73">
        <f t="shared" si="8"/>
        <v>1355899</v>
      </c>
      <c r="CW28" s="141">
        <v>200874</v>
      </c>
      <c r="CX28" s="141">
        <v>1155025</v>
      </c>
      <c r="CY28" s="73">
        <f t="shared" si="9"/>
        <v>0</v>
      </c>
      <c r="CZ28" s="141">
        <v>0</v>
      </c>
      <c r="DA28" s="141">
        <v>0</v>
      </c>
      <c r="DB28" s="73">
        <f t="shared" si="10"/>
        <v>1346266</v>
      </c>
      <c r="DC28" s="141">
        <v>192469</v>
      </c>
      <c r="DD28" s="141">
        <v>1153797</v>
      </c>
      <c r="DE28" s="141">
        <v>1480063</v>
      </c>
      <c r="DF28" s="141">
        <v>190812</v>
      </c>
      <c r="DG28" s="141">
        <v>1289251</v>
      </c>
      <c r="DH28" s="141">
        <v>0</v>
      </c>
      <c r="DI28" s="141">
        <v>0</v>
      </c>
      <c r="DJ28" s="141">
        <v>0</v>
      </c>
      <c r="DK28" s="141">
        <v>464392</v>
      </c>
      <c r="DL28" s="141">
        <v>255199</v>
      </c>
      <c r="DM28" s="141">
        <v>5</v>
      </c>
      <c r="DN28" s="141">
        <v>209188</v>
      </c>
      <c r="DO28" s="141">
        <v>0</v>
      </c>
      <c r="DP28" s="141">
        <v>0</v>
      </c>
      <c r="DQ28" s="141">
        <v>0</v>
      </c>
      <c r="DR28" s="141">
        <v>0</v>
      </c>
      <c r="DS28" s="141">
        <v>0</v>
      </c>
      <c r="DT28" s="141">
        <v>0</v>
      </c>
      <c r="DU28" s="141">
        <v>0</v>
      </c>
      <c r="DV28" s="141">
        <v>5145403</v>
      </c>
      <c r="DW28" s="141">
        <v>0</v>
      </c>
      <c r="DX28" s="73">
        <f t="shared" si="11"/>
        <v>0</v>
      </c>
      <c r="DY28" s="141">
        <v>0</v>
      </c>
      <c r="DZ28" s="141">
        <v>1883838</v>
      </c>
      <c r="EA28" s="141">
        <v>0</v>
      </c>
      <c r="EB28" s="141">
        <v>1302955</v>
      </c>
      <c r="EC28" s="74"/>
      <c r="ED28" s="141">
        <v>1861925</v>
      </c>
      <c r="EE28" s="141">
        <v>0</v>
      </c>
      <c r="EF28" s="141">
        <v>44438043</v>
      </c>
      <c r="EG28" s="71"/>
      <c r="EH28" s="141">
        <v>176633</v>
      </c>
      <c r="EI28" s="141">
        <v>70717</v>
      </c>
      <c r="EJ28" s="141">
        <v>105916</v>
      </c>
      <c r="EK28" s="141">
        <v>173</v>
      </c>
      <c r="EL28" s="141">
        <v>545372</v>
      </c>
      <c r="EM28" s="71"/>
      <c r="EN28" s="141">
        <v>108736</v>
      </c>
      <c r="EO28" s="141">
        <v>108213</v>
      </c>
      <c r="EP28" s="141">
        <v>890228</v>
      </c>
      <c r="EQ28" s="141">
        <v>17810</v>
      </c>
      <c r="ER28" s="73">
        <f t="shared" si="12"/>
        <v>2995926</v>
      </c>
      <c r="ES28" s="141">
        <v>26049900</v>
      </c>
      <c r="ET28" s="141">
        <v>-3961697</v>
      </c>
      <c r="EU28" s="141">
        <v>5805694</v>
      </c>
      <c r="EV28" s="141">
        <v>3472370</v>
      </c>
      <c r="EW28" s="141">
        <v>5751956</v>
      </c>
      <c r="EX28" s="141">
        <v>4024019</v>
      </c>
      <c r="EY28" s="73">
        <f t="shared" si="13"/>
        <v>275720</v>
      </c>
      <c r="EZ28" s="141">
        <v>275720</v>
      </c>
      <c r="FA28" s="141">
        <v>13196</v>
      </c>
      <c r="FB28" s="141">
        <v>262524</v>
      </c>
      <c r="FC28" s="141">
        <v>0</v>
      </c>
      <c r="FD28" s="141">
        <v>0</v>
      </c>
      <c r="FE28" s="141">
        <v>4486421</v>
      </c>
      <c r="FF28" s="141">
        <v>4814207</v>
      </c>
      <c r="FG28" s="141">
        <v>2155908</v>
      </c>
      <c r="FH28" s="141">
        <v>4057898</v>
      </c>
      <c r="FI28" s="73">
        <f t="shared" si="14"/>
        <v>619049</v>
      </c>
      <c r="FJ28" s="141">
        <v>29834964</v>
      </c>
      <c r="FK28" s="379">
        <f t="shared" si="15"/>
        <v>0.4</v>
      </c>
      <c r="FL28" s="141">
        <v>24481286</v>
      </c>
      <c r="FM28" s="141">
        <v>188738</v>
      </c>
      <c r="FN28" s="141">
        <v>12029279</v>
      </c>
      <c r="FO28" s="141">
        <v>21354156</v>
      </c>
      <c r="FP28" s="390">
        <v>0.55200000000000005</v>
      </c>
      <c r="FQ28" s="380">
        <v>99.6</v>
      </c>
      <c r="FR28" s="381">
        <v>23.1</v>
      </c>
      <c r="FS28" s="380">
        <v>16.3</v>
      </c>
      <c r="FT28" s="380">
        <v>13.7</v>
      </c>
      <c r="FU28" s="381">
        <v>15</v>
      </c>
      <c r="FV28" s="380">
        <v>15.8</v>
      </c>
      <c r="FW28" s="382">
        <v>15.1</v>
      </c>
      <c r="FX28" s="383">
        <v>3.9</v>
      </c>
      <c r="FY28" s="141">
        <v>31298751</v>
      </c>
      <c r="FZ28" s="384">
        <f t="shared" si="16"/>
        <v>126.9</v>
      </c>
      <c r="GA28" s="141">
        <v>7649795</v>
      </c>
      <c r="GB28" s="141">
        <v>4916616</v>
      </c>
      <c r="GC28" s="141">
        <v>1413</v>
      </c>
      <c r="GD28" s="141">
        <v>2731766</v>
      </c>
      <c r="GE28" s="107"/>
      <c r="GF28" s="385"/>
      <c r="GG28" s="386"/>
      <c r="GH28" s="380">
        <v>99.6</v>
      </c>
      <c r="GI28" s="380">
        <v>43.5</v>
      </c>
      <c r="GJ28" s="380">
        <v>99</v>
      </c>
      <c r="GK28" s="141">
        <v>601</v>
      </c>
      <c r="GL28" s="391" t="s">
        <v>646</v>
      </c>
      <c r="GM28" s="391">
        <v>12.11</v>
      </c>
      <c r="GN28" s="117">
        <v>20</v>
      </c>
      <c r="GO28" s="391" t="s">
        <v>646</v>
      </c>
      <c r="GP28" s="392">
        <v>17.11</v>
      </c>
      <c r="GQ28" s="387">
        <v>30</v>
      </c>
      <c r="GR28" s="381">
        <v>3.9</v>
      </c>
      <c r="GS28" s="388">
        <v>25</v>
      </c>
      <c r="GT28" s="388">
        <v>35</v>
      </c>
      <c r="GU28" s="393" t="s">
        <v>646</v>
      </c>
      <c r="GV28" s="388">
        <v>350</v>
      </c>
      <c r="GW28" s="394"/>
      <c r="GX28" s="100">
        <f t="shared" si="17"/>
        <v>24670</v>
      </c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  <c r="HW28" s="394"/>
      <c r="HX28" s="394"/>
    </row>
    <row r="29" spans="2:232" x14ac:dyDescent="0.15">
      <c r="B29" s="89" t="s">
        <v>47</v>
      </c>
      <c r="C29" s="141">
        <v>18432528</v>
      </c>
      <c r="D29" s="73">
        <f t="shared" si="0"/>
        <v>5815183</v>
      </c>
      <c r="E29" s="141">
        <v>194693</v>
      </c>
      <c r="F29" s="141">
        <v>5620490</v>
      </c>
      <c r="G29" s="73">
        <f t="shared" si="1"/>
        <v>1326063</v>
      </c>
      <c r="H29" s="141">
        <v>511518</v>
      </c>
      <c r="I29" s="141">
        <v>814545</v>
      </c>
      <c r="J29" s="141">
        <v>8213317</v>
      </c>
      <c r="K29" s="141">
        <v>3591163</v>
      </c>
      <c r="L29" s="141">
        <v>3429648</v>
      </c>
      <c r="M29" s="141">
        <v>1125918</v>
      </c>
      <c r="N29" s="141">
        <v>1225756</v>
      </c>
      <c r="O29" s="141">
        <v>1656718</v>
      </c>
      <c r="P29" s="141">
        <v>906649</v>
      </c>
      <c r="Q29" s="141">
        <v>750069</v>
      </c>
      <c r="R29" s="141">
        <v>190620</v>
      </c>
      <c r="S29" s="74"/>
      <c r="T29" s="73">
        <f t="shared" si="2"/>
        <v>3763244</v>
      </c>
      <c r="U29" s="141">
        <v>12967</v>
      </c>
      <c r="V29" s="141">
        <v>129550</v>
      </c>
      <c r="W29" s="141">
        <v>139257</v>
      </c>
      <c r="X29" s="141">
        <v>2975759</v>
      </c>
      <c r="Y29" s="141">
        <v>0</v>
      </c>
      <c r="Z29" s="141">
        <v>0</v>
      </c>
      <c r="AA29" s="141">
        <v>2283</v>
      </c>
      <c r="AB29" s="141">
        <v>50173</v>
      </c>
      <c r="AC29" s="141">
        <v>453255</v>
      </c>
      <c r="AD29" s="141">
        <v>104885</v>
      </c>
      <c r="AE29" s="141">
        <v>8639418</v>
      </c>
      <c r="AF29" s="141">
        <v>8237754</v>
      </c>
      <c r="AG29" s="141">
        <v>401664</v>
      </c>
      <c r="AH29" s="141">
        <v>13706</v>
      </c>
      <c r="AI29" s="141">
        <v>198515</v>
      </c>
      <c r="AJ29" s="73">
        <f t="shared" si="3"/>
        <v>1150700</v>
      </c>
      <c r="AK29" s="141">
        <v>918044</v>
      </c>
      <c r="AL29" s="141">
        <v>232656</v>
      </c>
      <c r="AM29" s="141">
        <v>20957255</v>
      </c>
      <c r="AN29" s="73">
        <f t="shared" si="4"/>
        <v>11463377</v>
      </c>
      <c r="AO29" s="141">
        <v>7463680</v>
      </c>
      <c r="AP29" s="141">
        <v>1341067</v>
      </c>
      <c r="AQ29" s="74"/>
      <c r="AR29" s="141">
        <v>2658630</v>
      </c>
      <c r="AS29" s="141">
        <v>1629420</v>
      </c>
      <c r="AT29" s="141">
        <v>0</v>
      </c>
      <c r="AU29" s="141">
        <v>0</v>
      </c>
      <c r="AV29" s="141">
        <v>4362002</v>
      </c>
      <c r="AW29" s="141">
        <v>2689525</v>
      </c>
      <c r="AX29" s="141">
        <v>638519</v>
      </c>
      <c r="AY29" s="141">
        <v>218</v>
      </c>
      <c r="AZ29" s="141">
        <v>1672477</v>
      </c>
      <c r="BA29" s="141">
        <v>79593</v>
      </c>
      <c r="BB29" s="141">
        <v>2693359</v>
      </c>
      <c r="BC29" s="141">
        <v>2643652</v>
      </c>
      <c r="BD29" s="141">
        <v>1491515</v>
      </c>
      <c r="BE29" s="141">
        <v>1313599</v>
      </c>
      <c r="BF29" s="141">
        <v>0</v>
      </c>
      <c r="BG29" s="141">
        <v>0</v>
      </c>
      <c r="BH29" s="141">
        <v>1313599</v>
      </c>
      <c r="BI29" s="141">
        <v>0</v>
      </c>
      <c r="BJ29" s="141">
        <v>283002</v>
      </c>
      <c r="BK29" s="141">
        <v>135198</v>
      </c>
      <c r="BL29" s="141">
        <v>485476</v>
      </c>
      <c r="BM29" s="141">
        <v>5000</v>
      </c>
      <c r="BN29" s="141">
        <v>0</v>
      </c>
      <c r="BO29" s="141">
        <v>0</v>
      </c>
      <c r="BP29" s="141">
        <v>4166330</v>
      </c>
      <c r="BQ29" s="73">
        <f t="shared" si="5"/>
        <v>3888500</v>
      </c>
      <c r="BR29" s="73">
        <f t="shared" si="6"/>
        <v>277830</v>
      </c>
      <c r="BS29" s="141">
        <v>0</v>
      </c>
      <c r="BT29" s="141">
        <v>0</v>
      </c>
      <c r="BU29" s="141">
        <v>277830</v>
      </c>
      <c r="BV29" s="141">
        <v>0</v>
      </c>
      <c r="BW29" s="141">
        <v>68246154</v>
      </c>
      <c r="BX29" s="71"/>
      <c r="BY29" s="141">
        <v>7116862</v>
      </c>
      <c r="BZ29" s="141">
        <v>4948128</v>
      </c>
      <c r="CA29" s="141">
        <v>152751</v>
      </c>
      <c r="CB29" s="141">
        <v>566223</v>
      </c>
      <c r="CC29" s="141">
        <v>24233469</v>
      </c>
      <c r="CD29" s="141">
        <v>7932276</v>
      </c>
      <c r="CE29" s="141">
        <v>32300</v>
      </c>
      <c r="CF29" s="141">
        <v>5424084</v>
      </c>
      <c r="CG29" s="141">
        <v>10029324</v>
      </c>
      <c r="CH29" s="141">
        <v>65705</v>
      </c>
      <c r="CI29" s="141">
        <v>749530</v>
      </c>
      <c r="CJ29" s="141">
        <v>4409223</v>
      </c>
      <c r="CK29" s="141">
        <v>4160943</v>
      </c>
      <c r="CL29" s="83">
        <f t="shared" si="7"/>
        <v>248280</v>
      </c>
      <c r="CM29" s="141">
        <v>7632138</v>
      </c>
      <c r="CN29" s="141">
        <v>5745750</v>
      </c>
      <c r="CO29" s="102"/>
      <c r="CP29" s="141">
        <v>776976</v>
      </c>
      <c r="CQ29" s="141">
        <v>216295</v>
      </c>
      <c r="CR29" s="141">
        <v>5658863</v>
      </c>
      <c r="CS29" s="141">
        <v>1753396</v>
      </c>
      <c r="CT29" s="141">
        <v>996527</v>
      </c>
      <c r="CU29" s="141">
        <v>669196</v>
      </c>
      <c r="CV29" s="73">
        <f t="shared" si="8"/>
        <v>1721188</v>
      </c>
      <c r="CW29" s="141">
        <v>1556175</v>
      </c>
      <c r="CX29" s="141">
        <v>165013</v>
      </c>
      <c r="CY29" s="73">
        <f t="shared" si="9"/>
        <v>0</v>
      </c>
      <c r="CZ29" s="141">
        <v>0</v>
      </c>
      <c r="DA29" s="141">
        <v>0</v>
      </c>
      <c r="DB29" s="73">
        <f t="shared" si="10"/>
        <v>1697855</v>
      </c>
      <c r="DC29" s="141">
        <v>1534805</v>
      </c>
      <c r="DD29" s="141">
        <v>163050</v>
      </c>
      <c r="DE29" s="141">
        <v>8468464</v>
      </c>
      <c r="DF29" s="141">
        <v>5877418</v>
      </c>
      <c r="DG29" s="141">
        <v>2578033</v>
      </c>
      <c r="DH29" s="141">
        <v>0</v>
      </c>
      <c r="DI29" s="141">
        <v>13013</v>
      </c>
      <c r="DJ29" s="141">
        <v>0</v>
      </c>
      <c r="DK29" s="141">
        <v>3178844</v>
      </c>
      <c r="DL29" s="141">
        <v>154408</v>
      </c>
      <c r="DM29" s="141">
        <v>147392</v>
      </c>
      <c r="DN29" s="141">
        <v>2877044</v>
      </c>
      <c r="DO29" s="141">
        <v>0</v>
      </c>
      <c r="DP29" s="141">
        <v>0</v>
      </c>
      <c r="DQ29" s="141">
        <v>0</v>
      </c>
      <c r="DR29" s="141">
        <v>0</v>
      </c>
      <c r="DS29" s="141">
        <v>5000</v>
      </c>
      <c r="DT29" s="141">
        <v>0</v>
      </c>
      <c r="DU29" s="141">
        <v>0</v>
      </c>
      <c r="DV29" s="141">
        <v>6396355</v>
      </c>
      <c r="DW29" s="141">
        <v>0</v>
      </c>
      <c r="DX29" s="73">
        <f t="shared" si="11"/>
        <v>0</v>
      </c>
      <c r="DY29" s="141">
        <v>0</v>
      </c>
      <c r="DZ29" s="141">
        <v>2046754</v>
      </c>
      <c r="EA29" s="141">
        <v>0</v>
      </c>
      <c r="EB29" s="141">
        <v>1712047</v>
      </c>
      <c r="EC29" s="74"/>
      <c r="ED29" s="141">
        <v>2629094</v>
      </c>
      <c r="EE29" s="141">
        <v>0</v>
      </c>
      <c r="EF29" s="141">
        <v>67315513</v>
      </c>
      <c r="EG29" s="71"/>
      <c r="EH29" s="141">
        <v>930641</v>
      </c>
      <c r="EI29" s="141">
        <v>858696</v>
      </c>
      <c r="EJ29" s="141">
        <v>71945</v>
      </c>
      <c r="EK29" s="141">
        <v>-63253</v>
      </c>
      <c r="EL29" s="141">
        <v>91155</v>
      </c>
      <c r="EM29" s="71"/>
      <c r="EN29" s="141">
        <v>119764</v>
      </c>
      <c r="EO29" s="141">
        <v>117139</v>
      </c>
      <c r="EP29" s="141">
        <v>527348</v>
      </c>
      <c r="EQ29" s="141">
        <v>2690644</v>
      </c>
      <c r="ER29" s="73">
        <f t="shared" si="12"/>
        <v>4327841</v>
      </c>
      <c r="ES29" s="141">
        <v>31144401</v>
      </c>
      <c r="ET29" s="141">
        <v>-7809957</v>
      </c>
      <c r="EU29" s="141">
        <v>6483352</v>
      </c>
      <c r="EV29" s="141">
        <v>4600083</v>
      </c>
      <c r="EW29" s="141">
        <v>8026178</v>
      </c>
      <c r="EX29" s="141">
        <v>4409223</v>
      </c>
      <c r="EY29" s="73">
        <f t="shared" si="13"/>
        <v>843032</v>
      </c>
      <c r="EZ29" s="141">
        <v>843032</v>
      </c>
      <c r="FA29" s="141">
        <v>281832</v>
      </c>
      <c r="FB29" s="141">
        <v>560073</v>
      </c>
      <c r="FC29" s="141">
        <v>0</v>
      </c>
      <c r="FD29" s="141">
        <v>0</v>
      </c>
      <c r="FE29" s="141">
        <v>5119346</v>
      </c>
      <c r="FF29" s="141">
        <v>5198710</v>
      </c>
      <c r="FG29" s="141">
        <v>1752646</v>
      </c>
      <c r="FH29" s="141">
        <v>4907593</v>
      </c>
      <c r="FI29" s="73">
        <f t="shared" si="14"/>
        <v>3036283</v>
      </c>
      <c r="FJ29" s="141">
        <v>38023717</v>
      </c>
      <c r="FK29" s="379">
        <f t="shared" si="15"/>
        <v>0.3</v>
      </c>
      <c r="FL29" s="141">
        <v>28488715</v>
      </c>
      <c r="FM29" s="141">
        <v>277830</v>
      </c>
      <c r="FN29" s="141">
        <v>15933194</v>
      </c>
      <c r="FO29" s="141">
        <v>24180148</v>
      </c>
      <c r="FP29" s="390">
        <v>0.65900000000000003</v>
      </c>
      <c r="FQ29" s="380">
        <v>97.3</v>
      </c>
      <c r="FR29" s="381">
        <v>21.2</v>
      </c>
      <c r="FS29" s="380">
        <v>19.7</v>
      </c>
      <c r="FT29" s="380">
        <v>14.9</v>
      </c>
      <c r="FU29" s="381">
        <v>12.7</v>
      </c>
      <c r="FV29" s="380">
        <v>13.9</v>
      </c>
      <c r="FW29" s="382">
        <v>14.6</v>
      </c>
      <c r="FX29" s="383">
        <v>3.9</v>
      </c>
      <c r="FY29" s="141">
        <v>52081094</v>
      </c>
      <c r="FZ29" s="384">
        <f t="shared" si="16"/>
        <v>181</v>
      </c>
      <c r="GA29" s="141">
        <v>11603578</v>
      </c>
      <c r="GB29" s="141">
        <v>2939266</v>
      </c>
      <c r="GC29" s="141">
        <v>899294</v>
      </c>
      <c r="GD29" s="141">
        <v>7765018</v>
      </c>
      <c r="GE29" s="107"/>
      <c r="GF29" s="385"/>
      <c r="GG29" s="386"/>
      <c r="GH29" s="380">
        <v>99.2</v>
      </c>
      <c r="GI29" s="380">
        <v>32.200000000000003</v>
      </c>
      <c r="GJ29" s="380">
        <v>97.8</v>
      </c>
      <c r="GK29" s="141">
        <v>740</v>
      </c>
      <c r="GL29" s="391" t="s">
        <v>646</v>
      </c>
      <c r="GM29" s="391">
        <v>11.87</v>
      </c>
      <c r="GN29" s="117">
        <v>20</v>
      </c>
      <c r="GO29" s="391" t="s">
        <v>646</v>
      </c>
      <c r="GP29" s="392">
        <v>16.87</v>
      </c>
      <c r="GQ29" s="387">
        <v>30</v>
      </c>
      <c r="GR29" s="381">
        <v>3.9</v>
      </c>
      <c r="GS29" s="388">
        <v>25</v>
      </c>
      <c r="GT29" s="388">
        <v>35</v>
      </c>
      <c r="GU29" s="393">
        <v>4.3</v>
      </c>
      <c r="GV29" s="388">
        <v>350</v>
      </c>
      <c r="GW29" s="394"/>
      <c r="GX29" s="100">
        <f t="shared" si="17"/>
        <v>28767</v>
      </c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  <c r="HW29" s="394"/>
      <c r="HX29" s="394"/>
    </row>
    <row r="30" spans="2:232" x14ac:dyDescent="0.15">
      <c r="B30" s="89" t="s">
        <v>49</v>
      </c>
      <c r="C30" s="141">
        <v>18791033</v>
      </c>
      <c r="D30" s="73">
        <f t="shared" si="0"/>
        <v>5046168</v>
      </c>
      <c r="E30" s="141">
        <v>154315</v>
      </c>
      <c r="F30" s="141">
        <v>4891853</v>
      </c>
      <c r="G30" s="73">
        <f t="shared" si="1"/>
        <v>1844147</v>
      </c>
      <c r="H30" s="141">
        <v>364173</v>
      </c>
      <c r="I30" s="141">
        <v>1479974</v>
      </c>
      <c r="J30" s="141">
        <v>9254815</v>
      </c>
      <c r="K30" s="141">
        <v>4062033</v>
      </c>
      <c r="L30" s="141">
        <v>3034571</v>
      </c>
      <c r="M30" s="141">
        <v>2092245</v>
      </c>
      <c r="N30" s="141">
        <v>799663</v>
      </c>
      <c r="O30" s="141">
        <v>1693662</v>
      </c>
      <c r="P30" s="141">
        <v>1016438</v>
      </c>
      <c r="Q30" s="141">
        <v>677224</v>
      </c>
      <c r="R30" s="141">
        <v>160819</v>
      </c>
      <c r="S30" s="74"/>
      <c r="T30" s="73">
        <f t="shared" si="2"/>
        <v>2832557</v>
      </c>
      <c r="U30" s="141">
        <v>11155</v>
      </c>
      <c r="V30" s="141">
        <v>111821</v>
      </c>
      <c r="W30" s="141">
        <v>120707</v>
      </c>
      <c r="X30" s="141">
        <v>2191753</v>
      </c>
      <c r="Y30" s="141">
        <v>1756</v>
      </c>
      <c r="Z30" s="141">
        <v>0</v>
      </c>
      <c r="AA30" s="141">
        <v>1944</v>
      </c>
      <c r="AB30" s="141">
        <v>42729</v>
      </c>
      <c r="AC30" s="141">
        <v>350692</v>
      </c>
      <c r="AD30" s="141">
        <v>120798</v>
      </c>
      <c r="AE30" s="141">
        <v>1258419</v>
      </c>
      <c r="AF30" s="141">
        <v>1026729</v>
      </c>
      <c r="AG30" s="141">
        <v>231690</v>
      </c>
      <c r="AH30" s="141">
        <v>11391</v>
      </c>
      <c r="AI30" s="141">
        <v>511523</v>
      </c>
      <c r="AJ30" s="73">
        <f t="shared" si="3"/>
        <v>432473</v>
      </c>
      <c r="AK30" s="141">
        <v>385060</v>
      </c>
      <c r="AL30" s="141">
        <v>47413</v>
      </c>
      <c r="AM30" s="141">
        <v>9394803</v>
      </c>
      <c r="AN30" s="73">
        <f t="shared" si="4"/>
        <v>4608725</v>
      </c>
      <c r="AO30" s="141">
        <v>2133607</v>
      </c>
      <c r="AP30" s="141">
        <v>1458603</v>
      </c>
      <c r="AQ30" s="74"/>
      <c r="AR30" s="141">
        <v>1016515</v>
      </c>
      <c r="AS30" s="141">
        <v>449827</v>
      </c>
      <c r="AT30" s="141">
        <v>0</v>
      </c>
      <c r="AU30" s="141">
        <v>0</v>
      </c>
      <c r="AV30" s="141">
        <v>4587468</v>
      </c>
      <c r="AW30" s="141">
        <v>3914423</v>
      </c>
      <c r="AX30" s="141">
        <v>658259</v>
      </c>
      <c r="AY30" s="141">
        <v>21220</v>
      </c>
      <c r="AZ30" s="141">
        <v>673045</v>
      </c>
      <c r="BA30" s="141">
        <v>300</v>
      </c>
      <c r="BB30" s="141">
        <v>30761</v>
      </c>
      <c r="BC30" s="141">
        <v>2386</v>
      </c>
      <c r="BD30" s="141">
        <v>64923</v>
      </c>
      <c r="BE30" s="141">
        <v>3171836</v>
      </c>
      <c r="BF30" s="141">
        <v>1300000</v>
      </c>
      <c r="BG30" s="141">
        <v>1637389</v>
      </c>
      <c r="BH30" s="141">
        <v>151210</v>
      </c>
      <c r="BI30" s="141">
        <v>0</v>
      </c>
      <c r="BJ30" s="141">
        <v>845850</v>
      </c>
      <c r="BK30" s="141">
        <v>0</v>
      </c>
      <c r="BL30" s="141">
        <v>752071</v>
      </c>
      <c r="BM30" s="141">
        <v>201566</v>
      </c>
      <c r="BN30" s="141">
        <v>0</v>
      </c>
      <c r="BO30" s="141">
        <v>0</v>
      </c>
      <c r="BP30" s="141">
        <v>2285160</v>
      </c>
      <c r="BQ30" s="73">
        <f t="shared" si="5"/>
        <v>2179100</v>
      </c>
      <c r="BR30" s="73">
        <f t="shared" si="6"/>
        <v>106060</v>
      </c>
      <c r="BS30" s="141">
        <v>0</v>
      </c>
      <c r="BT30" s="141">
        <v>0</v>
      </c>
      <c r="BU30" s="141">
        <v>106060</v>
      </c>
      <c r="BV30" s="141">
        <v>0</v>
      </c>
      <c r="BW30" s="141">
        <v>45251885</v>
      </c>
      <c r="BX30" s="71"/>
      <c r="BY30" s="141">
        <v>6241494</v>
      </c>
      <c r="BZ30" s="141">
        <v>3958535</v>
      </c>
      <c r="CA30" s="141">
        <v>106720</v>
      </c>
      <c r="CB30" s="141">
        <v>916166</v>
      </c>
      <c r="CC30" s="141">
        <v>13621891</v>
      </c>
      <c r="CD30" s="141">
        <v>4084078</v>
      </c>
      <c r="CE30" s="141">
        <v>48142</v>
      </c>
      <c r="CF30" s="141">
        <v>6268334</v>
      </c>
      <c r="CG30" s="141">
        <v>2882084</v>
      </c>
      <c r="CH30" s="141">
        <v>86059</v>
      </c>
      <c r="CI30" s="141">
        <v>253194</v>
      </c>
      <c r="CJ30" s="141">
        <v>1891348</v>
      </c>
      <c r="CK30" s="141">
        <v>1783179</v>
      </c>
      <c r="CL30" s="83">
        <f t="shared" si="7"/>
        <v>108169</v>
      </c>
      <c r="CM30" s="141">
        <v>5355415</v>
      </c>
      <c r="CN30" s="141">
        <v>4068405</v>
      </c>
      <c r="CO30" s="102"/>
      <c r="CP30" s="141">
        <v>772394</v>
      </c>
      <c r="CQ30" s="141">
        <v>311509</v>
      </c>
      <c r="CR30" s="141">
        <v>5069091</v>
      </c>
      <c r="CS30" s="141">
        <v>7438</v>
      </c>
      <c r="CT30" s="141">
        <v>1528335</v>
      </c>
      <c r="CU30" s="141">
        <v>873858</v>
      </c>
      <c r="CV30" s="73">
        <f t="shared" si="8"/>
        <v>1875420</v>
      </c>
      <c r="CW30" s="141">
        <v>809699</v>
      </c>
      <c r="CX30" s="141">
        <v>1065721</v>
      </c>
      <c r="CY30" s="73">
        <f t="shared" si="9"/>
        <v>0</v>
      </c>
      <c r="CZ30" s="141">
        <v>0</v>
      </c>
      <c r="DA30" s="141">
        <v>0</v>
      </c>
      <c r="DB30" s="73">
        <f t="shared" si="10"/>
        <v>1871897</v>
      </c>
      <c r="DC30" s="141">
        <v>808141</v>
      </c>
      <c r="DD30" s="141">
        <v>1063756</v>
      </c>
      <c r="DE30" s="141">
        <v>6472000</v>
      </c>
      <c r="DF30" s="141">
        <v>3895540</v>
      </c>
      <c r="DG30" s="141">
        <v>2274060</v>
      </c>
      <c r="DH30" s="141">
        <v>302400</v>
      </c>
      <c r="DI30" s="141">
        <v>0</v>
      </c>
      <c r="DJ30" s="141">
        <v>0</v>
      </c>
      <c r="DK30" s="141">
        <v>1658253</v>
      </c>
      <c r="DL30" s="141">
        <v>1644622</v>
      </c>
      <c r="DM30" s="141">
        <v>313</v>
      </c>
      <c r="DN30" s="141">
        <v>13318</v>
      </c>
      <c r="DO30" s="141">
        <v>0</v>
      </c>
      <c r="DP30" s="141">
        <v>0</v>
      </c>
      <c r="DQ30" s="141">
        <v>0</v>
      </c>
      <c r="DR30" s="141">
        <v>0</v>
      </c>
      <c r="DS30" s="141">
        <v>200000</v>
      </c>
      <c r="DT30" s="141">
        <v>0</v>
      </c>
      <c r="DU30" s="141">
        <v>0</v>
      </c>
      <c r="DV30" s="141">
        <v>3365030</v>
      </c>
      <c r="DW30" s="141">
        <v>0</v>
      </c>
      <c r="DX30" s="73">
        <f t="shared" si="11"/>
        <v>0</v>
      </c>
      <c r="DY30" s="141">
        <v>0</v>
      </c>
      <c r="DZ30" s="141">
        <v>1256273</v>
      </c>
      <c r="EA30" s="141">
        <v>32428</v>
      </c>
      <c r="EB30" s="141">
        <v>826426</v>
      </c>
      <c r="EC30" s="74"/>
      <c r="ED30" s="141">
        <v>1249903</v>
      </c>
      <c r="EE30" s="141">
        <v>0</v>
      </c>
      <c r="EF30" s="141">
        <v>44186031</v>
      </c>
      <c r="EG30" s="71"/>
      <c r="EH30" s="141">
        <v>1065854</v>
      </c>
      <c r="EI30" s="141">
        <v>467046</v>
      </c>
      <c r="EJ30" s="141">
        <v>598808</v>
      </c>
      <c r="EK30" s="141">
        <v>628466</v>
      </c>
      <c r="EL30" s="141">
        <v>973088</v>
      </c>
      <c r="EM30" s="71"/>
      <c r="EN30" s="141">
        <v>87456</v>
      </c>
      <c r="EO30" s="141">
        <v>86351</v>
      </c>
      <c r="EP30" s="141">
        <v>3020625</v>
      </c>
      <c r="EQ30" s="141">
        <v>30077</v>
      </c>
      <c r="ER30" s="73">
        <f t="shared" si="12"/>
        <v>1911230</v>
      </c>
      <c r="ES30" s="141">
        <v>23175017</v>
      </c>
      <c r="ET30" s="141">
        <v>-5056601</v>
      </c>
      <c r="EU30" s="141">
        <v>5647769</v>
      </c>
      <c r="EV30" s="141">
        <v>3594822</v>
      </c>
      <c r="EW30" s="141">
        <v>4922363</v>
      </c>
      <c r="EX30" s="141">
        <v>1833094</v>
      </c>
      <c r="EY30" s="73">
        <f t="shared" si="13"/>
        <v>892254</v>
      </c>
      <c r="EZ30" s="141">
        <v>892254</v>
      </c>
      <c r="FA30" s="141">
        <v>218397</v>
      </c>
      <c r="FB30" s="141">
        <v>643557</v>
      </c>
      <c r="FC30" s="141">
        <v>0</v>
      </c>
      <c r="FD30" s="141">
        <v>0</v>
      </c>
      <c r="FE30" s="141">
        <v>4413985</v>
      </c>
      <c r="FF30" s="141">
        <v>4881260</v>
      </c>
      <c r="FG30" s="141">
        <v>7438</v>
      </c>
      <c r="FH30" s="141">
        <v>2611442</v>
      </c>
      <c r="FI30" s="73">
        <f t="shared" si="14"/>
        <v>1963597</v>
      </c>
      <c r="FJ30" s="141">
        <v>27165764</v>
      </c>
      <c r="FK30" s="379">
        <f t="shared" si="15"/>
        <v>2.9</v>
      </c>
      <c r="FL30" s="141">
        <v>20578567</v>
      </c>
      <c r="FM30" s="141">
        <v>106060</v>
      </c>
      <c r="FN30" s="141">
        <v>15221728</v>
      </c>
      <c r="FO30" s="141">
        <v>16232207</v>
      </c>
      <c r="FP30" s="390">
        <v>0.93400000000000005</v>
      </c>
      <c r="FQ30" s="380">
        <v>98.5</v>
      </c>
      <c r="FR30" s="381">
        <v>26.2</v>
      </c>
      <c r="FS30" s="380">
        <v>17.399999999999999</v>
      </c>
      <c r="FT30" s="380">
        <v>8.5</v>
      </c>
      <c r="FU30" s="381">
        <v>19.2</v>
      </c>
      <c r="FV30" s="380">
        <v>14.2</v>
      </c>
      <c r="FW30" s="382">
        <v>11.6</v>
      </c>
      <c r="FX30" s="383">
        <v>-0.4</v>
      </c>
      <c r="FY30" s="141">
        <v>20921901</v>
      </c>
      <c r="FZ30" s="384">
        <f t="shared" si="16"/>
        <v>101.1</v>
      </c>
      <c r="GA30" s="141">
        <v>12895603</v>
      </c>
      <c r="GB30" s="141">
        <v>7741739</v>
      </c>
      <c r="GC30" s="141">
        <v>0</v>
      </c>
      <c r="GD30" s="141">
        <v>5153864</v>
      </c>
      <c r="GE30" s="107"/>
      <c r="GF30" s="385">
        <v>0</v>
      </c>
      <c r="GG30" s="384">
        <f>ROUND(GF30/(FL30+FM30)*100,1)</f>
        <v>0</v>
      </c>
      <c r="GH30" s="380">
        <v>99.3</v>
      </c>
      <c r="GI30" s="380">
        <v>49.4</v>
      </c>
      <c r="GJ30" s="380">
        <v>98.6</v>
      </c>
      <c r="GK30" s="141">
        <v>575</v>
      </c>
      <c r="GL30" s="391" t="s">
        <v>646</v>
      </c>
      <c r="GM30" s="391">
        <v>12.43</v>
      </c>
      <c r="GN30" s="117">
        <v>20</v>
      </c>
      <c r="GO30" s="391" t="s">
        <v>646</v>
      </c>
      <c r="GP30" s="392">
        <v>17.43</v>
      </c>
      <c r="GQ30" s="387">
        <v>30</v>
      </c>
      <c r="GR30" s="381">
        <v>-0.4</v>
      </c>
      <c r="GS30" s="388">
        <v>25</v>
      </c>
      <c r="GT30" s="388">
        <v>35</v>
      </c>
      <c r="GU30" s="393" t="s">
        <v>646</v>
      </c>
      <c r="GV30" s="388">
        <v>350</v>
      </c>
      <c r="GW30" s="394"/>
      <c r="GX30" s="100">
        <f t="shared" si="17"/>
        <v>20685</v>
      </c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  <c r="HW30" s="394"/>
      <c r="HX30" s="394"/>
    </row>
    <row r="31" spans="2:232" x14ac:dyDescent="0.15">
      <c r="B31" s="89" t="s">
        <v>51</v>
      </c>
      <c r="C31" s="141">
        <v>10454032</v>
      </c>
      <c r="D31" s="73">
        <f t="shared" si="0"/>
        <v>3349447</v>
      </c>
      <c r="E31" s="141">
        <v>95023</v>
      </c>
      <c r="F31" s="141">
        <v>3254424</v>
      </c>
      <c r="G31" s="73">
        <f t="shared" si="1"/>
        <v>445390</v>
      </c>
      <c r="H31" s="141">
        <v>163498</v>
      </c>
      <c r="I31" s="141">
        <v>281892</v>
      </c>
      <c r="J31" s="141">
        <v>5243770</v>
      </c>
      <c r="K31" s="141">
        <v>2272736</v>
      </c>
      <c r="L31" s="141">
        <v>1533554</v>
      </c>
      <c r="M31" s="141">
        <v>1375430</v>
      </c>
      <c r="N31" s="141">
        <v>384903</v>
      </c>
      <c r="O31" s="141">
        <v>938638</v>
      </c>
      <c r="P31" s="141">
        <v>590215</v>
      </c>
      <c r="Q31" s="141">
        <v>348423</v>
      </c>
      <c r="R31" s="141">
        <v>121326</v>
      </c>
      <c r="S31" s="74"/>
      <c r="T31" s="73">
        <f t="shared" si="2"/>
        <v>1588384</v>
      </c>
      <c r="U31" s="141">
        <v>7562</v>
      </c>
      <c r="V31" s="141">
        <v>75574</v>
      </c>
      <c r="W31" s="141">
        <v>81251</v>
      </c>
      <c r="X31" s="141">
        <v>1260707</v>
      </c>
      <c r="Y31" s="141">
        <v>0</v>
      </c>
      <c r="Z31" s="141">
        <v>0</v>
      </c>
      <c r="AA31" s="141">
        <v>1158</v>
      </c>
      <c r="AB31" s="141">
        <v>25452</v>
      </c>
      <c r="AC31" s="141">
        <v>136680</v>
      </c>
      <c r="AD31" s="141">
        <v>67420</v>
      </c>
      <c r="AE31" s="141">
        <v>2646478</v>
      </c>
      <c r="AF31" s="141">
        <v>2517828</v>
      </c>
      <c r="AG31" s="141">
        <v>128650</v>
      </c>
      <c r="AH31" s="141">
        <v>6686</v>
      </c>
      <c r="AI31" s="141">
        <v>1435</v>
      </c>
      <c r="AJ31" s="73">
        <f t="shared" si="3"/>
        <v>256208</v>
      </c>
      <c r="AK31" s="141">
        <v>201808</v>
      </c>
      <c r="AL31" s="141">
        <v>54400</v>
      </c>
      <c r="AM31" s="141">
        <v>6149397</v>
      </c>
      <c r="AN31" s="73">
        <f t="shared" si="4"/>
        <v>2980339</v>
      </c>
      <c r="AO31" s="141">
        <v>1377959</v>
      </c>
      <c r="AP31" s="141">
        <v>837380</v>
      </c>
      <c r="AQ31" s="74"/>
      <c r="AR31" s="141">
        <v>765000</v>
      </c>
      <c r="AS31" s="141">
        <v>2247</v>
      </c>
      <c r="AT31" s="141">
        <v>0</v>
      </c>
      <c r="AU31" s="141">
        <v>0</v>
      </c>
      <c r="AV31" s="141">
        <v>2325933</v>
      </c>
      <c r="AW31" s="141">
        <v>1815579</v>
      </c>
      <c r="AX31" s="141">
        <v>355649</v>
      </c>
      <c r="AY31" s="141">
        <v>807</v>
      </c>
      <c r="AZ31" s="141">
        <v>510354</v>
      </c>
      <c r="BA31" s="141">
        <v>187</v>
      </c>
      <c r="BB31" s="141">
        <v>69460</v>
      </c>
      <c r="BC31" s="141">
        <v>6897</v>
      </c>
      <c r="BD31" s="141">
        <v>41732</v>
      </c>
      <c r="BE31" s="141">
        <v>298913</v>
      </c>
      <c r="BF31" s="141">
        <v>5394</v>
      </c>
      <c r="BG31" s="141">
        <v>0</v>
      </c>
      <c r="BH31" s="141">
        <v>270575</v>
      </c>
      <c r="BI31" s="141">
        <v>0</v>
      </c>
      <c r="BJ31" s="141">
        <v>940550</v>
      </c>
      <c r="BK31" s="141">
        <v>827171</v>
      </c>
      <c r="BL31" s="141">
        <v>414008</v>
      </c>
      <c r="BM31" s="141">
        <v>10726</v>
      </c>
      <c r="BN31" s="141">
        <v>0</v>
      </c>
      <c r="BO31" s="141">
        <v>0</v>
      </c>
      <c r="BP31" s="141">
        <v>875900</v>
      </c>
      <c r="BQ31" s="73">
        <f t="shared" si="5"/>
        <v>875900</v>
      </c>
      <c r="BR31" s="73">
        <f t="shared" si="6"/>
        <v>0</v>
      </c>
      <c r="BS31" s="141">
        <v>0</v>
      </c>
      <c r="BT31" s="141">
        <v>0</v>
      </c>
      <c r="BU31" s="141">
        <v>0</v>
      </c>
      <c r="BV31" s="141">
        <v>0</v>
      </c>
      <c r="BW31" s="141">
        <v>26257862</v>
      </c>
      <c r="BX31" s="71"/>
      <c r="BY31" s="141">
        <v>3310166</v>
      </c>
      <c r="BZ31" s="141">
        <v>1843185</v>
      </c>
      <c r="CA31" s="141">
        <v>97721</v>
      </c>
      <c r="CB31" s="141">
        <v>680549</v>
      </c>
      <c r="CC31" s="141">
        <v>8337692</v>
      </c>
      <c r="CD31" s="141">
        <v>3100731</v>
      </c>
      <c r="CE31" s="141">
        <v>2259</v>
      </c>
      <c r="CF31" s="141">
        <v>2984791</v>
      </c>
      <c r="CG31" s="141">
        <v>1836836</v>
      </c>
      <c r="CH31" s="141">
        <v>45946</v>
      </c>
      <c r="CI31" s="141">
        <v>367029</v>
      </c>
      <c r="CJ31" s="141">
        <v>2830984</v>
      </c>
      <c r="CK31" s="141">
        <v>2631329</v>
      </c>
      <c r="CL31" s="83">
        <f t="shared" si="7"/>
        <v>199655</v>
      </c>
      <c r="CM31" s="141">
        <v>3331031</v>
      </c>
      <c r="CN31" s="141">
        <v>2331095</v>
      </c>
      <c r="CO31" s="102"/>
      <c r="CP31" s="141">
        <v>590357</v>
      </c>
      <c r="CQ31" s="141">
        <v>101382</v>
      </c>
      <c r="CR31" s="141">
        <v>2992264</v>
      </c>
      <c r="CS31" s="141">
        <v>286291</v>
      </c>
      <c r="CT31" s="141">
        <v>29003</v>
      </c>
      <c r="CU31" s="141">
        <v>21853</v>
      </c>
      <c r="CV31" s="73">
        <f t="shared" si="8"/>
        <v>860099</v>
      </c>
      <c r="CW31" s="141">
        <v>693099</v>
      </c>
      <c r="CX31" s="141">
        <v>167000</v>
      </c>
      <c r="CY31" s="73">
        <f t="shared" si="9"/>
        <v>0</v>
      </c>
      <c r="CZ31" s="141">
        <v>0</v>
      </c>
      <c r="DA31" s="141">
        <v>0</v>
      </c>
      <c r="DB31" s="73">
        <f t="shared" si="10"/>
        <v>856000</v>
      </c>
      <c r="DC31" s="141">
        <v>689000</v>
      </c>
      <c r="DD31" s="141">
        <v>167000</v>
      </c>
      <c r="DE31" s="141">
        <v>2110683</v>
      </c>
      <c r="DF31" s="141">
        <v>992133</v>
      </c>
      <c r="DG31" s="141">
        <v>643474</v>
      </c>
      <c r="DH31" s="141">
        <v>251627</v>
      </c>
      <c r="DI31" s="141">
        <v>223449</v>
      </c>
      <c r="DJ31" s="141">
        <v>0</v>
      </c>
      <c r="DK31" s="141">
        <v>508999</v>
      </c>
      <c r="DL31" s="141">
        <v>449600</v>
      </c>
      <c r="DM31" s="141">
        <v>0</v>
      </c>
      <c r="DN31" s="141">
        <v>59399</v>
      </c>
      <c r="DO31" s="141">
        <v>0</v>
      </c>
      <c r="DP31" s="141">
        <v>0</v>
      </c>
      <c r="DQ31" s="141">
        <v>0</v>
      </c>
      <c r="DR31" s="141">
        <v>0</v>
      </c>
      <c r="DS31" s="141">
        <v>1100</v>
      </c>
      <c r="DT31" s="141">
        <v>0</v>
      </c>
      <c r="DU31" s="141">
        <v>0</v>
      </c>
      <c r="DV31" s="141">
        <v>2453790</v>
      </c>
      <c r="DW31" s="141">
        <v>0</v>
      </c>
      <c r="DX31" s="73">
        <f t="shared" si="11"/>
        <v>0</v>
      </c>
      <c r="DY31" s="141">
        <v>0</v>
      </c>
      <c r="DZ31" s="141">
        <v>1004057</v>
      </c>
      <c r="EA31" s="141">
        <v>0</v>
      </c>
      <c r="EB31" s="141">
        <v>643408</v>
      </c>
      <c r="EC31" s="74"/>
      <c r="ED31" s="141">
        <v>806323</v>
      </c>
      <c r="EE31" s="141">
        <v>0</v>
      </c>
      <c r="EF31" s="141">
        <v>25978091</v>
      </c>
      <c r="EG31" s="71"/>
      <c r="EH31" s="141">
        <v>279771</v>
      </c>
      <c r="EI31" s="141">
        <v>85791</v>
      </c>
      <c r="EJ31" s="141">
        <v>193980</v>
      </c>
      <c r="EK31" s="141">
        <v>-633191</v>
      </c>
      <c r="EL31" s="141">
        <v>-188985</v>
      </c>
      <c r="EM31" s="71"/>
      <c r="EN31" s="141">
        <v>55635</v>
      </c>
      <c r="EO31" s="141">
        <v>56481</v>
      </c>
      <c r="EP31" s="141">
        <v>141108</v>
      </c>
      <c r="EQ31" s="141">
        <v>64782</v>
      </c>
      <c r="ER31" s="73">
        <f t="shared" si="12"/>
        <v>2034851</v>
      </c>
      <c r="ES31" s="141">
        <v>14884326</v>
      </c>
      <c r="ET31" s="141">
        <v>-2234055</v>
      </c>
      <c r="EU31" s="141">
        <v>2769725</v>
      </c>
      <c r="EV31" s="141">
        <v>1602918</v>
      </c>
      <c r="EW31" s="141">
        <v>2967723</v>
      </c>
      <c r="EX31" s="141">
        <v>2830984</v>
      </c>
      <c r="EY31" s="73">
        <f t="shared" si="13"/>
        <v>509927</v>
      </c>
      <c r="EZ31" s="141">
        <v>509927</v>
      </c>
      <c r="FA31" s="141">
        <v>115065</v>
      </c>
      <c r="FB31" s="141">
        <v>355790</v>
      </c>
      <c r="FC31" s="141">
        <v>0</v>
      </c>
      <c r="FD31" s="141">
        <v>0</v>
      </c>
      <c r="FE31" s="141">
        <v>2592202</v>
      </c>
      <c r="FF31" s="141">
        <v>2715649</v>
      </c>
      <c r="FG31" s="141">
        <v>275708</v>
      </c>
      <c r="FH31" s="141">
        <v>1930861</v>
      </c>
      <c r="FI31" s="73">
        <f t="shared" si="14"/>
        <v>521539</v>
      </c>
      <c r="FJ31" s="141">
        <v>16838610</v>
      </c>
      <c r="FK31" s="379">
        <f t="shared" si="15"/>
        <v>1.4</v>
      </c>
      <c r="FL31" s="141">
        <v>14212080</v>
      </c>
      <c r="FM31" s="141">
        <v>135749</v>
      </c>
      <c r="FN31" s="141">
        <v>9089710</v>
      </c>
      <c r="FO31" s="141">
        <v>11602390</v>
      </c>
      <c r="FP31" s="390">
        <v>0.77700000000000002</v>
      </c>
      <c r="FQ31" s="380">
        <v>98.5</v>
      </c>
      <c r="FR31" s="381">
        <v>18.399999999999999</v>
      </c>
      <c r="FS31" s="380">
        <v>15.4</v>
      </c>
      <c r="FT31" s="380">
        <v>20.2</v>
      </c>
      <c r="FU31" s="381">
        <v>16.399999999999999</v>
      </c>
      <c r="FV31" s="380">
        <v>14.6</v>
      </c>
      <c r="FW31" s="382">
        <v>13</v>
      </c>
      <c r="FX31" s="383">
        <v>10.3</v>
      </c>
      <c r="FY31" s="141">
        <v>32344244</v>
      </c>
      <c r="FZ31" s="384">
        <f t="shared" si="16"/>
        <v>225.4</v>
      </c>
      <c r="GA31" s="141">
        <v>4834241</v>
      </c>
      <c r="GB31" s="141">
        <v>3352883</v>
      </c>
      <c r="GC31" s="141">
        <v>0</v>
      </c>
      <c r="GD31" s="141">
        <v>1481358</v>
      </c>
      <c r="GE31" s="107"/>
      <c r="GF31" s="385"/>
      <c r="GG31" s="384">
        <f>ROUND(GF31/(FL31+FM31)*100,1)</f>
        <v>0</v>
      </c>
      <c r="GH31" s="380">
        <v>99.4</v>
      </c>
      <c r="GI31" s="380">
        <v>38.6</v>
      </c>
      <c r="GJ31" s="380">
        <v>98.5</v>
      </c>
      <c r="GK31" s="141">
        <v>293</v>
      </c>
      <c r="GL31" s="391" t="s">
        <v>646</v>
      </c>
      <c r="GM31" s="391">
        <v>12.83</v>
      </c>
      <c r="GN31" s="117">
        <v>20</v>
      </c>
      <c r="GO31" s="391" t="s">
        <v>646</v>
      </c>
      <c r="GP31" s="392">
        <v>17.829999999999998</v>
      </c>
      <c r="GQ31" s="387">
        <v>30</v>
      </c>
      <c r="GR31" s="381">
        <v>10.3</v>
      </c>
      <c r="GS31" s="388">
        <v>25</v>
      </c>
      <c r="GT31" s="388">
        <v>35</v>
      </c>
      <c r="GU31" s="393">
        <v>75.2</v>
      </c>
      <c r="GV31" s="388">
        <v>350</v>
      </c>
      <c r="GW31" s="394"/>
      <c r="GX31" s="100">
        <f t="shared" si="17"/>
        <v>14348</v>
      </c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  <c r="HW31" s="394"/>
      <c r="HX31" s="394"/>
    </row>
    <row r="32" spans="2:232" x14ac:dyDescent="0.15">
      <c r="B32" s="89" t="s">
        <v>53</v>
      </c>
      <c r="C32" s="141">
        <v>8515060</v>
      </c>
      <c r="D32" s="73">
        <f t="shared" si="0"/>
        <v>3576852</v>
      </c>
      <c r="E32" s="141">
        <v>97893</v>
      </c>
      <c r="F32" s="141">
        <v>3478959</v>
      </c>
      <c r="G32" s="73">
        <f t="shared" si="1"/>
        <v>396528</v>
      </c>
      <c r="H32" s="141">
        <v>155661</v>
      </c>
      <c r="I32" s="141">
        <v>240867</v>
      </c>
      <c r="J32" s="141">
        <v>3249344</v>
      </c>
      <c r="K32" s="141">
        <v>1233518</v>
      </c>
      <c r="L32" s="141">
        <v>1615522</v>
      </c>
      <c r="M32" s="141">
        <v>367297</v>
      </c>
      <c r="N32" s="141">
        <v>449262</v>
      </c>
      <c r="O32" s="141">
        <v>726864</v>
      </c>
      <c r="P32" s="141">
        <v>372822</v>
      </c>
      <c r="Q32" s="141">
        <v>354042</v>
      </c>
      <c r="R32" s="141">
        <v>107119</v>
      </c>
      <c r="S32" s="74"/>
      <c r="T32" s="73">
        <f t="shared" si="2"/>
        <v>1792617</v>
      </c>
      <c r="U32" s="141">
        <v>8166</v>
      </c>
      <c r="V32" s="141">
        <v>81623</v>
      </c>
      <c r="W32" s="141">
        <v>87792</v>
      </c>
      <c r="X32" s="141">
        <v>1435037</v>
      </c>
      <c r="Y32" s="141">
        <v>0</v>
      </c>
      <c r="Z32" s="141">
        <v>0</v>
      </c>
      <c r="AA32" s="141">
        <v>1288</v>
      </c>
      <c r="AB32" s="141">
        <v>28298</v>
      </c>
      <c r="AC32" s="141">
        <v>150413</v>
      </c>
      <c r="AD32" s="141">
        <v>56303</v>
      </c>
      <c r="AE32" s="141">
        <v>5284768</v>
      </c>
      <c r="AF32" s="141">
        <v>5111083</v>
      </c>
      <c r="AG32" s="141">
        <v>173685</v>
      </c>
      <c r="AH32" s="141">
        <v>7083</v>
      </c>
      <c r="AI32" s="141">
        <v>96375</v>
      </c>
      <c r="AJ32" s="73">
        <f t="shared" si="3"/>
        <v>349192</v>
      </c>
      <c r="AK32" s="141">
        <v>310006</v>
      </c>
      <c r="AL32" s="141">
        <v>39186</v>
      </c>
      <c r="AM32" s="141">
        <v>6381771</v>
      </c>
      <c r="AN32" s="73">
        <f t="shared" si="4"/>
        <v>3356489</v>
      </c>
      <c r="AO32" s="141">
        <v>1687500</v>
      </c>
      <c r="AP32" s="141">
        <v>767016</v>
      </c>
      <c r="AQ32" s="74"/>
      <c r="AR32" s="141">
        <v>901973</v>
      </c>
      <c r="AS32" s="141">
        <v>97571</v>
      </c>
      <c r="AT32" s="141">
        <v>0</v>
      </c>
      <c r="AU32" s="141">
        <v>0</v>
      </c>
      <c r="AV32" s="141">
        <v>1948452</v>
      </c>
      <c r="AW32" s="141">
        <v>1169773</v>
      </c>
      <c r="AX32" s="141">
        <v>346031</v>
      </c>
      <c r="AY32" s="141">
        <v>135</v>
      </c>
      <c r="AZ32" s="141">
        <v>778679</v>
      </c>
      <c r="BA32" s="141">
        <v>550</v>
      </c>
      <c r="BB32" s="141">
        <v>20356</v>
      </c>
      <c r="BC32" s="141">
        <v>885</v>
      </c>
      <c r="BD32" s="141">
        <v>186045</v>
      </c>
      <c r="BE32" s="141">
        <v>448369</v>
      </c>
      <c r="BF32" s="141">
        <v>380000</v>
      </c>
      <c r="BG32" s="141">
        <v>0</v>
      </c>
      <c r="BH32" s="141">
        <v>68369</v>
      </c>
      <c r="BI32" s="141">
        <v>0</v>
      </c>
      <c r="BJ32" s="141">
        <v>205342</v>
      </c>
      <c r="BK32" s="141">
        <v>188954</v>
      </c>
      <c r="BL32" s="141">
        <v>174231</v>
      </c>
      <c r="BM32" s="141">
        <v>0</v>
      </c>
      <c r="BN32" s="141">
        <v>0</v>
      </c>
      <c r="BO32" s="141">
        <v>0</v>
      </c>
      <c r="BP32" s="141">
        <v>422800</v>
      </c>
      <c r="BQ32" s="73">
        <f t="shared" si="5"/>
        <v>252500</v>
      </c>
      <c r="BR32" s="73">
        <f t="shared" si="6"/>
        <v>170300</v>
      </c>
      <c r="BS32" s="141">
        <v>0</v>
      </c>
      <c r="BT32" s="141">
        <v>43000</v>
      </c>
      <c r="BU32" s="141">
        <v>127300</v>
      </c>
      <c r="BV32" s="141">
        <v>0</v>
      </c>
      <c r="BW32" s="141">
        <v>25995883</v>
      </c>
      <c r="BX32" s="71"/>
      <c r="BY32" s="141">
        <v>4629142</v>
      </c>
      <c r="BZ32" s="141">
        <v>2713353</v>
      </c>
      <c r="CA32" s="141">
        <v>122652</v>
      </c>
      <c r="CB32" s="141">
        <v>922173</v>
      </c>
      <c r="CC32" s="141">
        <v>8552983</v>
      </c>
      <c r="CD32" s="141">
        <v>3045004</v>
      </c>
      <c r="CE32" s="141">
        <v>7716</v>
      </c>
      <c r="CF32" s="141">
        <v>3209613</v>
      </c>
      <c r="CG32" s="141">
        <v>2197649</v>
      </c>
      <c r="CH32" s="141">
        <v>36969</v>
      </c>
      <c r="CI32" s="141">
        <v>56032</v>
      </c>
      <c r="CJ32" s="141">
        <v>1690875</v>
      </c>
      <c r="CK32" s="141">
        <v>1629280</v>
      </c>
      <c r="CL32" s="83">
        <f t="shared" si="7"/>
        <v>61595</v>
      </c>
      <c r="CM32" s="141">
        <v>3151534</v>
      </c>
      <c r="CN32" s="141">
        <v>2120010</v>
      </c>
      <c r="CO32" s="102"/>
      <c r="CP32" s="141">
        <v>324868</v>
      </c>
      <c r="CQ32" s="141">
        <v>95663</v>
      </c>
      <c r="CR32" s="141">
        <v>4256740</v>
      </c>
      <c r="CS32" s="141">
        <v>1718178</v>
      </c>
      <c r="CT32" s="141">
        <v>454988</v>
      </c>
      <c r="CU32" s="141">
        <v>391536</v>
      </c>
      <c r="CV32" s="73">
        <f t="shared" si="8"/>
        <v>1349360</v>
      </c>
      <c r="CW32" s="141">
        <v>351597</v>
      </c>
      <c r="CX32" s="141">
        <v>997763</v>
      </c>
      <c r="CY32" s="73">
        <f t="shared" si="9"/>
        <v>160805</v>
      </c>
      <c r="CZ32" s="141">
        <v>103795</v>
      </c>
      <c r="DA32" s="141">
        <v>57010</v>
      </c>
      <c r="DB32" s="73">
        <f t="shared" si="10"/>
        <v>1188555</v>
      </c>
      <c r="DC32" s="141">
        <v>247802</v>
      </c>
      <c r="DD32" s="141">
        <v>940753</v>
      </c>
      <c r="DE32" s="141">
        <v>377489</v>
      </c>
      <c r="DF32" s="141">
        <v>141036</v>
      </c>
      <c r="DG32" s="141">
        <v>236453</v>
      </c>
      <c r="DH32" s="141">
        <v>0</v>
      </c>
      <c r="DI32" s="141">
        <v>0</v>
      </c>
      <c r="DJ32" s="141">
        <v>0</v>
      </c>
      <c r="DK32" s="141">
        <v>276972</v>
      </c>
      <c r="DL32" s="141">
        <v>100</v>
      </c>
      <c r="DM32" s="141">
        <v>71093</v>
      </c>
      <c r="DN32" s="141">
        <v>205779</v>
      </c>
      <c r="DO32" s="141">
        <v>0</v>
      </c>
      <c r="DP32" s="141">
        <v>0</v>
      </c>
      <c r="DQ32" s="141">
        <v>0</v>
      </c>
      <c r="DR32" s="141">
        <v>0</v>
      </c>
      <c r="DS32" s="141">
        <v>0</v>
      </c>
      <c r="DT32" s="141">
        <v>0</v>
      </c>
      <c r="DU32" s="141">
        <v>0</v>
      </c>
      <c r="DV32" s="141">
        <v>2930406</v>
      </c>
      <c r="DW32" s="141">
        <v>0</v>
      </c>
      <c r="DX32" s="73">
        <f t="shared" si="11"/>
        <v>0</v>
      </c>
      <c r="DY32" s="141">
        <v>0</v>
      </c>
      <c r="DZ32" s="141">
        <v>1055743</v>
      </c>
      <c r="EA32" s="141">
        <v>0</v>
      </c>
      <c r="EB32" s="141">
        <v>807638</v>
      </c>
      <c r="EC32" s="74"/>
      <c r="ED32" s="141">
        <v>1067025</v>
      </c>
      <c r="EE32" s="141">
        <v>0</v>
      </c>
      <c r="EF32" s="141">
        <v>25961804</v>
      </c>
      <c r="EG32" s="71"/>
      <c r="EH32" s="141">
        <v>34079</v>
      </c>
      <c r="EI32" s="141">
        <v>18892</v>
      </c>
      <c r="EJ32" s="141">
        <v>15187</v>
      </c>
      <c r="EK32" s="141">
        <v>-363767</v>
      </c>
      <c r="EL32" s="141">
        <v>-743629</v>
      </c>
      <c r="EM32" s="71"/>
      <c r="EN32" s="141">
        <v>63688</v>
      </c>
      <c r="EO32" s="141">
        <v>62700</v>
      </c>
      <c r="EP32" s="141">
        <v>380000</v>
      </c>
      <c r="EQ32" s="141">
        <v>19775</v>
      </c>
      <c r="ER32" s="73">
        <f t="shared" si="12"/>
        <v>1769252</v>
      </c>
      <c r="ES32" s="141">
        <v>15762950</v>
      </c>
      <c r="ET32" s="141">
        <v>-2332244</v>
      </c>
      <c r="EU32" s="141">
        <v>4101738</v>
      </c>
      <c r="EV32" s="141">
        <v>2467123</v>
      </c>
      <c r="EW32" s="141">
        <v>3249698</v>
      </c>
      <c r="EX32" s="141">
        <v>1613989</v>
      </c>
      <c r="EY32" s="73">
        <f t="shared" si="13"/>
        <v>41129</v>
      </c>
      <c r="EZ32" s="141">
        <v>41129</v>
      </c>
      <c r="FA32" s="141">
        <v>1884</v>
      </c>
      <c r="FB32" s="141">
        <v>39245</v>
      </c>
      <c r="FC32" s="141">
        <v>0</v>
      </c>
      <c r="FD32" s="141">
        <v>0</v>
      </c>
      <c r="FE32" s="141">
        <v>2502729</v>
      </c>
      <c r="FF32" s="141">
        <v>4048404</v>
      </c>
      <c r="FG32" s="141">
        <v>1718009</v>
      </c>
      <c r="FH32" s="141">
        <v>2312351</v>
      </c>
      <c r="FI32" s="73">
        <f t="shared" si="14"/>
        <v>191077</v>
      </c>
      <c r="FJ32" s="141">
        <v>18061115</v>
      </c>
      <c r="FK32" s="379">
        <f t="shared" si="15"/>
        <v>0.1</v>
      </c>
      <c r="FL32" s="141">
        <v>14789979</v>
      </c>
      <c r="FM32" s="141">
        <v>127437</v>
      </c>
      <c r="FN32" s="141">
        <v>7605288</v>
      </c>
      <c r="FO32" s="141">
        <v>12698448</v>
      </c>
      <c r="FP32" s="390">
        <v>0.59599999999999997</v>
      </c>
      <c r="FQ32" s="380">
        <v>100.2</v>
      </c>
      <c r="FR32" s="381">
        <v>25.7</v>
      </c>
      <c r="FS32" s="380">
        <v>15.7</v>
      </c>
      <c r="FT32" s="380">
        <v>10.7</v>
      </c>
      <c r="FU32" s="381">
        <v>13.3</v>
      </c>
      <c r="FV32" s="380">
        <v>19.8</v>
      </c>
      <c r="FW32" s="382">
        <v>14.3</v>
      </c>
      <c r="FX32" s="383">
        <v>3.2</v>
      </c>
      <c r="FY32" s="141">
        <v>16179013</v>
      </c>
      <c r="FZ32" s="384">
        <f t="shared" si="16"/>
        <v>108.5</v>
      </c>
      <c r="GA32" s="141">
        <v>3039413</v>
      </c>
      <c r="GB32" s="141">
        <v>1605065</v>
      </c>
      <c r="GC32" s="141">
        <v>755328</v>
      </c>
      <c r="GD32" s="141">
        <v>679020</v>
      </c>
      <c r="GE32" s="107"/>
      <c r="GF32" s="385"/>
      <c r="GG32" s="386"/>
      <c r="GH32" s="380">
        <v>99.4</v>
      </c>
      <c r="GI32" s="380">
        <v>53.5</v>
      </c>
      <c r="GJ32" s="380">
        <v>99.1</v>
      </c>
      <c r="GK32" s="141">
        <v>476</v>
      </c>
      <c r="GL32" s="391" t="s">
        <v>646</v>
      </c>
      <c r="GM32" s="391">
        <v>12.78</v>
      </c>
      <c r="GN32" s="117">
        <v>20</v>
      </c>
      <c r="GO32" s="391" t="s">
        <v>646</v>
      </c>
      <c r="GP32" s="392">
        <v>17.78</v>
      </c>
      <c r="GQ32" s="387">
        <v>30</v>
      </c>
      <c r="GR32" s="381">
        <v>3.2</v>
      </c>
      <c r="GS32" s="388">
        <v>25</v>
      </c>
      <c r="GT32" s="388">
        <v>35</v>
      </c>
      <c r="GU32" s="393">
        <v>43</v>
      </c>
      <c r="GV32" s="388">
        <v>350</v>
      </c>
      <c r="GW32" s="394"/>
      <c r="GX32" s="100">
        <f t="shared" si="17"/>
        <v>14917</v>
      </c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  <c r="HW32" s="394"/>
      <c r="HX32" s="394"/>
    </row>
    <row r="33" spans="1:232" x14ac:dyDescent="0.15">
      <c r="B33" s="89" t="s">
        <v>55</v>
      </c>
      <c r="C33" s="141">
        <v>80268724</v>
      </c>
      <c r="D33" s="73">
        <f t="shared" si="0"/>
        <v>26263728</v>
      </c>
      <c r="E33" s="141">
        <v>804460</v>
      </c>
      <c r="F33" s="141">
        <v>25459268</v>
      </c>
      <c r="G33" s="73">
        <f t="shared" si="1"/>
        <v>5537535</v>
      </c>
      <c r="H33" s="141">
        <v>1588186</v>
      </c>
      <c r="I33" s="141">
        <v>3949349</v>
      </c>
      <c r="J33" s="141">
        <v>33614666</v>
      </c>
      <c r="K33" s="141">
        <v>15227378</v>
      </c>
      <c r="L33" s="141">
        <v>13761984</v>
      </c>
      <c r="M33" s="141">
        <v>4288665</v>
      </c>
      <c r="N33" s="141">
        <v>4708924</v>
      </c>
      <c r="O33" s="141">
        <v>7042468</v>
      </c>
      <c r="P33" s="141">
        <v>4009733</v>
      </c>
      <c r="Q33" s="141">
        <v>3032735</v>
      </c>
      <c r="R33" s="141">
        <v>811813</v>
      </c>
      <c r="S33" s="74"/>
      <c r="T33" s="73">
        <f t="shared" si="2"/>
        <v>15097312</v>
      </c>
      <c r="U33" s="141">
        <v>59488</v>
      </c>
      <c r="V33" s="141">
        <v>592871</v>
      </c>
      <c r="W33" s="141">
        <v>635350</v>
      </c>
      <c r="X33" s="141">
        <v>11899279</v>
      </c>
      <c r="Y33" s="141">
        <v>0</v>
      </c>
      <c r="Z33" s="141">
        <v>0</v>
      </c>
      <c r="AA33" s="141">
        <v>9725</v>
      </c>
      <c r="AB33" s="141">
        <v>213732</v>
      </c>
      <c r="AC33" s="141">
        <v>1686867</v>
      </c>
      <c r="AD33" s="141">
        <v>512222</v>
      </c>
      <c r="AE33" s="141">
        <v>25442556</v>
      </c>
      <c r="AF33" s="141">
        <v>24696829</v>
      </c>
      <c r="AG33" s="141">
        <v>745727</v>
      </c>
      <c r="AH33" s="141">
        <v>59748</v>
      </c>
      <c r="AI33" s="141">
        <v>1591575</v>
      </c>
      <c r="AJ33" s="73">
        <f t="shared" si="3"/>
        <v>2248356</v>
      </c>
      <c r="AK33" s="141">
        <v>1914791</v>
      </c>
      <c r="AL33" s="141">
        <v>333565</v>
      </c>
      <c r="AM33" s="141">
        <v>65088129</v>
      </c>
      <c r="AN33" s="73">
        <f t="shared" si="4"/>
        <v>32430847</v>
      </c>
      <c r="AO33" s="141">
        <v>22023497</v>
      </c>
      <c r="AP33" s="141">
        <v>1292935</v>
      </c>
      <c r="AQ33" s="74"/>
      <c r="AR33" s="141">
        <v>9114415</v>
      </c>
      <c r="AS33" s="141">
        <v>559469</v>
      </c>
      <c r="AT33" s="141">
        <v>2372</v>
      </c>
      <c r="AU33" s="141">
        <v>0</v>
      </c>
      <c r="AV33" s="141">
        <v>17128667</v>
      </c>
      <c r="AW33" s="141">
        <v>11308576</v>
      </c>
      <c r="AX33" s="141">
        <v>3392486</v>
      </c>
      <c r="AY33" s="141">
        <v>729316</v>
      </c>
      <c r="AZ33" s="141">
        <v>5820091</v>
      </c>
      <c r="BA33" s="141">
        <v>24990</v>
      </c>
      <c r="BB33" s="141">
        <v>970101</v>
      </c>
      <c r="BC33" s="141">
        <v>640546</v>
      </c>
      <c r="BD33" s="141">
        <v>496924</v>
      </c>
      <c r="BE33" s="141">
        <v>4351900</v>
      </c>
      <c r="BF33" s="141">
        <v>3500000</v>
      </c>
      <c r="BG33" s="141">
        <v>0</v>
      </c>
      <c r="BH33" s="141">
        <v>624602</v>
      </c>
      <c r="BI33" s="141">
        <v>0</v>
      </c>
      <c r="BJ33" s="141">
        <v>4649847</v>
      </c>
      <c r="BK33" s="141">
        <v>4084166</v>
      </c>
      <c r="BL33" s="141">
        <v>2692254</v>
      </c>
      <c r="BM33" s="141">
        <v>724807</v>
      </c>
      <c r="BN33" s="141">
        <v>0</v>
      </c>
      <c r="BO33" s="141">
        <v>626377</v>
      </c>
      <c r="BP33" s="141">
        <v>8478400</v>
      </c>
      <c r="BQ33" s="73">
        <f t="shared" si="5"/>
        <v>5814300</v>
      </c>
      <c r="BR33" s="73">
        <f t="shared" si="6"/>
        <v>2664100</v>
      </c>
      <c r="BS33" s="141">
        <v>0</v>
      </c>
      <c r="BT33" s="141">
        <v>0</v>
      </c>
      <c r="BU33" s="141">
        <v>2664100</v>
      </c>
      <c r="BV33" s="141">
        <v>0</v>
      </c>
      <c r="BW33" s="141">
        <v>229888528</v>
      </c>
      <c r="BX33" s="71"/>
      <c r="BY33" s="141">
        <v>27272151</v>
      </c>
      <c r="BZ33" s="141">
        <v>19539581</v>
      </c>
      <c r="CA33" s="141">
        <v>411419</v>
      </c>
      <c r="CB33" s="141">
        <v>2454671</v>
      </c>
      <c r="CC33" s="141">
        <v>89058364</v>
      </c>
      <c r="CD33" s="141">
        <v>28749170</v>
      </c>
      <c r="CE33" s="141">
        <v>316996</v>
      </c>
      <c r="CF33" s="141">
        <v>26365956</v>
      </c>
      <c r="CG33" s="141">
        <v>29571024</v>
      </c>
      <c r="CH33" s="141">
        <v>1350783</v>
      </c>
      <c r="CI33" s="141">
        <v>2704435</v>
      </c>
      <c r="CJ33" s="141">
        <v>18465357</v>
      </c>
      <c r="CK33" s="141">
        <v>18055842</v>
      </c>
      <c r="CL33" s="83">
        <f t="shared" si="7"/>
        <v>409515</v>
      </c>
      <c r="CM33" s="141">
        <v>24446412</v>
      </c>
      <c r="CN33" s="141">
        <v>19518483</v>
      </c>
      <c r="CO33" s="102"/>
      <c r="CP33" s="141">
        <v>2195816</v>
      </c>
      <c r="CQ33" s="141">
        <v>1555347</v>
      </c>
      <c r="CR33" s="141">
        <v>20728188</v>
      </c>
      <c r="CS33" s="141">
        <v>1948295</v>
      </c>
      <c r="CT33" s="141">
        <v>5336424</v>
      </c>
      <c r="CU33" s="141">
        <v>4142698</v>
      </c>
      <c r="CV33" s="73">
        <f t="shared" si="8"/>
        <v>7449483</v>
      </c>
      <c r="CW33" s="141">
        <v>7210122</v>
      </c>
      <c r="CX33" s="141">
        <v>239361</v>
      </c>
      <c r="CY33" s="73">
        <f t="shared" si="9"/>
        <v>0</v>
      </c>
      <c r="CZ33" s="141">
        <v>0</v>
      </c>
      <c r="DA33" s="141">
        <v>0</v>
      </c>
      <c r="DB33" s="73">
        <f t="shared" si="10"/>
        <v>7382024</v>
      </c>
      <c r="DC33" s="141">
        <v>7148479</v>
      </c>
      <c r="DD33" s="141">
        <v>233545</v>
      </c>
      <c r="DE33" s="141">
        <v>12038584</v>
      </c>
      <c r="DF33" s="141">
        <v>3594261</v>
      </c>
      <c r="DG33" s="141">
        <v>7957728</v>
      </c>
      <c r="DH33" s="141">
        <v>192961</v>
      </c>
      <c r="DI33" s="141">
        <v>293634</v>
      </c>
      <c r="DJ33" s="141">
        <v>6280</v>
      </c>
      <c r="DK33" s="141">
        <v>8030017</v>
      </c>
      <c r="DL33" s="141">
        <v>2769600</v>
      </c>
      <c r="DM33" s="141">
        <v>1650400</v>
      </c>
      <c r="DN33" s="141">
        <v>3610017</v>
      </c>
      <c r="DO33" s="141">
        <v>1356805</v>
      </c>
      <c r="DP33" s="141">
        <v>1356805</v>
      </c>
      <c r="DQ33" s="141">
        <v>0</v>
      </c>
      <c r="DR33" s="141">
        <v>0</v>
      </c>
      <c r="DS33" s="141">
        <v>663468</v>
      </c>
      <c r="DT33" s="141">
        <v>0</v>
      </c>
      <c r="DU33" s="141">
        <v>0</v>
      </c>
      <c r="DV33" s="141">
        <v>21789631</v>
      </c>
      <c r="DW33" s="141">
        <v>0</v>
      </c>
      <c r="DX33" s="73">
        <f t="shared" si="11"/>
        <v>0</v>
      </c>
      <c r="DY33" s="141">
        <v>0</v>
      </c>
      <c r="DZ33" s="141">
        <v>7741129</v>
      </c>
      <c r="EA33" s="141">
        <v>0</v>
      </c>
      <c r="EB33" s="141">
        <v>6099956</v>
      </c>
      <c r="EC33" s="74"/>
      <c r="ED33" s="141">
        <v>7948541</v>
      </c>
      <c r="EE33" s="141">
        <v>0</v>
      </c>
      <c r="EF33" s="141">
        <v>225410604</v>
      </c>
      <c r="EG33" s="71"/>
      <c r="EH33" s="141">
        <v>4477924</v>
      </c>
      <c r="EI33" s="141">
        <v>680476</v>
      </c>
      <c r="EJ33" s="141">
        <v>3797448</v>
      </c>
      <c r="EK33" s="141">
        <v>-286718</v>
      </c>
      <c r="EL33" s="141">
        <v>-1017118</v>
      </c>
      <c r="EM33" s="71"/>
      <c r="EN33" s="141">
        <v>493940</v>
      </c>
      <c r="EO33" s="141">
        <v>478539</v>
      </c>
      <c r="EP33" s="141">
        <v>3509166</v>
      </c>
      <c r="EQ33" s="141">
        <v>893982</v>
      </c>
      <c r="ER33" s="73">
        <f t="shared" si="12"/>
        <v>19656193</v>
      </c>
      <c r="ES33" s="141">
        <v>122192375</v>
      </c>
      <c r="ET33" s="141">
        <v>-26663693</v>
      </c>
      <c r="EU33" s="141">
        <v>25733366</v>
      </c>
      <c r="EV33" s="141">
        <v>18300394</v>
      </c>
      <c r="EW33" s="141">
        <v>31949021</v>
      </c>
      <c r="EX33" s="141">
        <v>18465357</v>
      </c>
      <c r="EY33" s="73">
        <f t="shared" si="13"/>
        <v>3431409</v>
      </c>
      <c r="EZ33" s="141">
        <v>3429701</v>
      </c>
      <c r="FA33" s="141">
        <v>125723</v>
      </c>
      <c r="FB33" s="141">
        <v>3284517</v>
      </c>
      <c r="FC33" s="141">
        <v>1708</v>
      </c>
      <c r="FD33" s="141">
        <v>0</v>
      </c>
      <c r="FE33" s="141">
        <v>18797229</v>
      </c>
      <c r="FF33" s="141">
        <v>19370582</v>
      </c>
      <c r="FG33" s="141">
        <v>1948295</v>
      </c>
      <c r="FH33" s="141">
        <v>16602812</v>
      </c>
      <c r="FI33" s="73">
        <f t="shared" si="14"/>
        <v>10126504</v>
      </c>
      <c r="FJ33" s="141">
        <v>144476280</v>
      </c>
      <c r="FK33" s="379">
        <f t="shared" si="15"/>
        <v>3.3</v>
      </c>
      <c r="FL33" s="141">
        <v>112472374</v>
      </c>
      <c r="FM33" s="141">
        <v>2664111</v>
      </c>
      <c r="FN33" s="141">
        <v>68727102</v>
      </c>
      <c r="FO33" s="141">
        <v>93423931</v>
      </c>
      <c r="FP33" s="390">
        <v>0.73099999999999998</v>
      </c>
      <c r="FQ33" s="380">
        <v>94.7</v>
      </c>
      <c r="FR33" s="381">
        <v>21.3</v>
      </c>
      <c r="FS33" s="380">
        <v>19.3</v>
      </c>
      <c r="FT33" s="380">
        <v>15.6</v>
      </c>
      <c r="FU33" s="381">
        <v>12.3</v>
      </c>
      <c r="FV33" s="380">
        <v>12.6</v>
      </c>
      <c r="FW33" s="382">
        <v>12.5</v>
      </c>
      <c r="FX33" s="383">
        <v>5.9</v>
      </c>
      <c r="FY33" s="141">
        <v>156447297</v>
      </c>
      <c r="FZ33" s="384">
        <f t="shared" si="16"/>
        <v>135.9</v>
      </c>
      <c r="GA33" s="141">
        <v>42634046</v>
      </c>
      <c r="GB33" s="141">
        <v>19680920</v>
      </c>
      <c r="GC33" s="141">
        <v>7157100</v>
      </c>
      <c r="GD33" s="141">
        <v>15796026</v>
      </c>
      <c r="GE33" s="107"/>
      <c r="GF33" s="385"/>
      <c r="GG33" s="386"/>
      <c r="GH33" s="380">
        <v>99.5</v>
      </c>
      <c r="GI33" s="380">
        <v>40.200000000000003</v>
      </c>
      <c r="GJ33" s="380">
        <v>98.8</v>
      </c>
      <c r="GK33" s="141">
        <v>2822</v>
      </c>
      <c r="GL33" s="391" t="s">
        <v>646</v>
      </c>
      <c r="GM33" s="391">
        <v>11.25</v>
      </c>
      <c r="GN33" s="117">
        <v>20</v>
      </c>
      <c r="GO33" s="391" t="s">
        <v>646</v>
      </c>
      <c r="GP33" s="392">
        <v>16.25</v>
      </c>
      <c r="GQ33" s="387">
        <v>30</v>
      </c>
      <c r="GR33" s="381">
        <v>5.9</v>
      </c>
      <c r="GS33" s="388">
        <v>25</v>
      </c>
      <c r="GT33" s="388">
        <v>35</v>
      </c>
      <c r="GU33" s="393" t="s">
        <v>646</v>
      </c>
      <c r="GV33" s="388">
        <v>350</v>
      </c>
      <c r="GW33" s="394"/>
      <c r="GX33" s="100">
        <f t="shared" si="17"/>
        <v>115136</v>
      </c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  <c r="HW33" s="394"/>
      <c r="HX33" s="394"/>
    </row>
    <row r="34" spans="1:232" x14ac:dyDescent="0.15">
      <c r="B34" s="89" t="s">
        <v>57</v>
      </c>
      <c r="C34" s="141">
        <v>9064473</v>
      </c>
      <c r="D34" s="73">
        <f t="shared" si="0"/>
        <v>2375429</v>
      </c>
      <c r="E34" s="141">
        <v>92163</v>
      </c>
      <c r="F34" s="141">
        <v>2283266</v>
      </c>
      <c r="G34" s="73">
        <f t="shared" si="1"/>
        <v>368543</v>
      </c>
      <c r="H34" s="141">
        <v>183017</v>
      </c>
      <c r="I34" s="141">
        <v>185526</v>
      </c>
      <c r="J34" s="141">
        <v>4917973</v>
      </c>
      <c r="K34" s="141">
        <v>2051562</v>
      </c>
      <c r="L34" s="141">
        <v>1707202</v>
      </c>
      <c r="M34" s="141">
        <v>1123271</v>
      </c>
      <c r="N34" s="141">
        <v>469322</v>
      </c>
      <c r="O34" s="141">
        <v>742793</v>
      </c>
      <c r="P34" s="141">
        <v>399908</v>
      </c>
      <c r="Q34" s="141">
        <v>342885</v>
      </c>
      <c r="R34" s="141">
        <v>160626</v>
      </c>
      <c r="S34" s="74"/>
      <c r="T34" s="73">
        <f t="shared" si="2"/>
        <v>1746407</v>
      </c>
      <c r="U34" s="141">
        <v>5460</v>
      </c>
      <c r="V34" s="141">
        <v>54433</v>
      </c>
      <c r="W34" s="141">
        <v>58343</v>
      </c>
      <c r="X34" s="141">
        <v>1389323</v>
      </c>
      <c r="Y34" s="141">
        <v>37978</v>
      </c>
      <c r="Z34" s="141">
        <v>0</v>
      </c>
      <c r="AA34" s="141">
        <v>1511</v>
      </c>
      <c r="AB34" s="141">
        <v>33201</v>
      </c>
      <c r="AC34" s="141">
        <v>166158</v>
      </c>
      <c r="AD34" s="141">
        <v>52597</v>
      </c>
      <c r="AE34" s="141">
        <v>4176121</v>
      </c>
      <c r="AF34" s="141">
        <v>3742667</v>
      </c>
      <c r="AG34" s="141">
        <v>433454</v>
      </c>
      <c r="AH34" s="141">
        <v>7358</v>
      </c>
      <c r="AI34" s="141">
        <v>46082</v>
      </c>
      <c r="AJ34" s="73">
        <f t="shared" si="3"/>
        <v>328666</v>
      </c>
      <c r="AK34" s="141">
        <v>187750</v>
      </c>
      <c r="AL34" s="141">
        <v>140916</v>
      </c>
      <c r="AM34" s="141">
        <v>6400019</v>
      </c>
      <c r="AN34" s="73">
        <f t="shared" si="4"/>
        <v>2792551</v>
      </c>
      <c r="AO34" s="141">
        <v>1420820</v>
      </c>
      <c r="AP34" s="141">
        <v>360760</v>
      </c>
      <c r="AQ34" s="74"/>
      <c r="AR34" s="141">
        <v>1010971</v>
      </c>
      <c r="AS34" s="141">
        <v>419804</v>
      </c>
      <c r="AT34" s="141">
        <v>2139</v>
      </c>
      <c r="AU34" s="141">
        <v>0</v>
      </c>
      <c r="AV34" s="141">
        <v>2238765</v>
      </c>
      <c r="AW34" s="141">
        <v>1313547</v>
      </c>
      <c r="AX34" s="141">
        <v>174198</v>
      </c>
      <c r="AY34" s="141">
        <v>3820</v>
      </c>
      <c r="AZ34" s="141">
        <v>925218</v>
      </c>
      <c r="BA34" s="141">
        <v>78455</v>
      </c>
      <c r="BB34" s="141">
        <v>29867</v>
      </c>
      <c r="BC34" s="141">
        <v>4847</v>
      </c>
      <c r="BD34" s="141">
        <v>1127604</v>
      </c>
      <c r="BE34" s="141">
        <v>1135432</v>
      </c>
      <c r="BF34" s="141">
        <v>111529</v>
      </c>
      <c r="BG34" s="141">
        <v>30000</v>
      </c>
      <c r="BH34" s="141">
        <v>989353</v>
      </c>
      <c r="BI34" s="141">
        <v>0</v>
      </c>
      <c r="BJ34" s="141">
        <v>592785</v>
      </c>
      <c r="BK34" s="141">
        <v>573285</v>
      </c>
      <c r="BL34" s="141">
        <v>278437</v>
      </c>
      <c r="BM34" s="141">
        <v>0</v>
      </c>
      <c r="BN34" s="141">
        <v>0</v>
      </c>
      <c r="BO34" s="141">
        <v>0</v>
      </c>
      <c r="BP34" s="141">
        <v>945904</v>
      </c>
      <c r="BQ34" s="73">
        <f t="shared" si="5"/>
        <v>804100</v>
      </c>
      <c r="BR34" s="73">
        <f t="shared" si="6"/>
        <v>141804</v>
      </c>
      <c r="BS34" s="141">
        <v>0</v>
      </c>
      <c r="BT34" s="141">
        <v>0</v>
      </c>
      <c r="BU34" s="141">
        <v>141804</v>
      </c>
      <c r="BV34" s="141">
        <v>0</v>
      </c>
      <c r="BW34" s="141">
        <v>28331143</v>
      </c>
      <c r="BX34" s="71"/>
      <c r="BY34" s="141">
        <v>4173805</v>
      </c>
      <c r="BZ34" s="141">
        <v>2780028</v>
      </c>
      <c r="CA34" s="141">
        <v>135014</v>
      </c>
      <c r="CB34" s="141">
        <v>461497</v>
      </c>
      <c r="CC34" s="141">
        <v>8380655</v>
      </c>
      <c r="CD34" s="141">
        <v>3067240</v>
      </c>
      <c r="CE34" s="141">
        <v>5098</v>
      </c>
      <c r="CF34" s="141">
        <v>3106338</v>
      </c>
      <c r="CG34" s="141">
        <v>1871627</v>
      </c>
      <c r="CH34" s="141">
        <v>1536</v>
      </c>
      <c r="CI34" s="141">
        <v>328586</v>
      </c>
      <c r="CJ34" s="141">
        <v>2472458</v>
      </c>
      <c r="CK34" s="141">
        <v>2334997</v>
      </c>
      <c r="CL34" s="83">
        <f t="shared" si="7"/>
        <v>137461</v>
      </c>
      <c r="CM34" s="141">
        <v>3725494</v>
      </c>
      <c r="CN34" s="141">
        <v>2756711</v>
      </c>
      <c r="CO34" s="102"/>
      <c r="CP34" s="141">
        <v>438525</v>
      </c>
      <c r="CQ34" s="141">
        <v>173084</v>
      </c>
      <c r="CR34" s="141">
        <v>2942092</v>
      </c>
      <c r="CS34" s="141">
        <v>1361601</v>
      </c>
      <c r="CT34" s="141">
        <v>576639</v>
      </c>
      <c r="CU34" s="141">
        <v>455494</v>
      </c>
      <c r="CV34" s="73">
        <f t="shared" si="8"/>
        <v>477755</v>
      </c>
      <c r="CW34" s="141">
        <v>279643</v>
      </c>
      <c r="CX34" s="141">
        <v>198112</v>
      </c>
      <c r="CY34" s="73">
        <f t="shared" si="9"/>
        <v>0</v>
      </c>
      <c r="CZ34" s="141">
        <v>0</v>
      </c>
      <c r="DA34" s="141">
        <v>0</v>
      </c>
      <c r="DB34" s="73">
        <f t="shared" si="10"/>
        <v>470029</v>
      </c>
      <c r="DC34" s="141">
        <v>273837</v>
      </c>
      <c r="DD34" s="141">
        <v>196192</v>
      </c>
      <c r="DE34" s="141">
        <v>1461786</v>
      </c>
      <c r="DF34" s="141">
        <v>891229</v>
      </c>
      <c r="DG34" s="141">
        <v>559153</v>
      </c>
      <c r="DH34" s="141">
        <v>11404</v>
      </c>
      <c r="DI34" s="141">
        <v>0</v>
      </c>
      <c r="DJ34" s="141">
        <v>43249</v>
      </c>
      <c r="DK34" s="141">
        <v>1699484</v>
      </c>
      <c r="DL34" s="141">
        <v>486643</v>
      </c>
      <c r="DM34" s="141">
        <v>75469</v>
      </c>
      <c r="DN34" s="141">
        <v>1137372</v>
      </c>
      <c r="DO34" s="141">
        <v>152495</v>
      </c>
      <c r="DP34" s="141">
        <v>152495</v>
      </c>
      <c r="DQ34" s="141">
        <v>20036</v>
      </c>
      <c r="DR34" s="141">
        <v>0</v>
      </c>
      <c r="DS34" s="141">
        <v>0</v>
      </c>
      <c r="DT34" s="141">
        <v>0</v>
      </c>
      <c r="DU34" s="141">
        <v>0</v>
      </c>
      <c r="DV34" s="141">
        <v>3046942</v>
      </c>
      <c r="DW34" s="141">
        <v>0</v>
      </c>
      <c r="DX34" s="73">
        <f t="shared" si="11"/>
        <v>0</v>
      </c>
      <c r="DY34" s="141">
        <v>0</v>
      </c>
      <c r="DZ34" s="141">
        <v>1064390</v>
      </c>
      <c r="EA34" s="141">
        <v>0</v>
      </c>
      <c r="EB34" s="141">
        <v>1050739</v>
      </c>
      <c r="EC34" s="74"/>
      <c r="ED34" s="141">
        <v>931813</v>
      </c>
      <c r="EE34" s="141">
        <v>0</v>
      </c>
      <c r="EF34" s="141">
        <v>28271544</v>
      </c>
      <c r="EG34" s="71"/>
      <c r="EH34" s="141">
        <v>59599</v>
      </c>
      <c r="EI34" s="141">
        <v>41981</v>
      </c>
      <c r="EJ34" s="141">
        <v>17618</v>
      </c>
      <c r="EK34" s="141">
        <v>-555667</v>
      </c>
      <c r="EL34" s="141">
        <v>-180553</v>
      </c>
      <c r="EM34" s="71"/>
      <c r="EN34" s="141">
        <v>60102</v>
      </c>
      <c r="EO34" s="141">
        <v>58789</v>
      </c>
      <c r="EP34" s="141">
        <v>141529</v>
      </c>
      <c r="EQ34" s="141">
        <v>27492</v>
      </c>
      <c r="ER34" s="73">
        <f t="shared" si="12"/>
        <v>1767112</v>
      </c>
      <c r="ES34" s="141">
        <v>15207582</v>
      </c>
      <c r="ET34" s="141">
        <v>-2070579</v>
      </c>
      <c r="EU34" s="141">
        <v>3627674</v>
      </c>
      <c r="EV34" s="141">
        <v>2335818</v>
      </c>
      <c r="EW34" s="141">
        <v>2860914</v>
      </c>
      <c r="EX34" s="141">
        <v>2472458</v>
      </c>
      <c r="EY34" s="73">
        <f t="shared" si="13"/>
        <v>77757</v>
      </c>
      <c r="EZ34" s="141">
        <v>51790</v>
      </c>
      <c r="FA34" s="141">
        <v>2079</v>
      </c>
      <c r="FB34" s="141">
        <v>49707</v>
      </c>
      <c r="FC34" s="141">
        <v>25967</v>
      </c>
      <c r="FD34" s="141">
        <v>0</v>
      </c>
      <c r="FE34" s="141">
        <v>2185612</v>
      </c>
      <c r="FF34" s="141">
        <v>2770282</v>
      </c>
      <c r="FG34" s="141">
        <v>1359666</v>
      </c>
      <c r="FH34" s="141">
        <v>2351317</v>
      </c>
      <c r="FI34" s="73">
        <f t="shared" si="14"/>
        <v>872548</v>
      </c>
      <c r="FJ34" s="141">
        <v>17218562</v>
      </c>
      <c r="FK34" s="379">
        <f t="shared" si="15"/>
        <v>0.1</v>
      </c>
      <c r="FL34" s="141">
        <v>14025252</v>
      </c>
      <c r="FM34" s="141">
        <v>141804</v>
      </c>
      <c r="FN34" s="141">
        <v>8092275</v>
      </c>
      <c r="FO34" s="141">
        <v>11946471</v>
      </c>
      <c r="FP34" s="390">
        <v>0.67500000000000004</v>
      </c>
      <c r="FQ34" s="380">
        <v>101.2</v>
      </c>
      <c r="FR34" s="381">
        <v>24.2</v>
      </c>
      <c r="FS34" s="380">
        <v>14.6</v>
      </c>
      <c r="FT34" s="380">
        <v>17.3</v>
      </c>
      <c r="FU34" s="381">
        <v>13.2</v>
      </c>
      <c r="FV34" s="380">
        <v>15.5</v>
      </c>
      <c r="FW34" s="382">
        <v>14.4</v>
      </c>
      <c r="FX34" s="383">
        <v>8.6</v>
      </c>
      <c r="FY34" s="141">
        <v>23939881</v>
      </c>
      <c r="FZ34" s="384">
        <f t="shared" si="16"/>
        <v>169</v>
      </c>
      <c r="GA34" s="141">
        <v>7060503</v>
      </c>
      <c r="GB34" s="141">
        <v>1912609</v>
      </c>
      <c r="GC34" s="141">
        <v>1672282</v>
      </c>
      <c r="GD34" s="141">
        <v>3475612</v>
      </c>
      <c r="GE34" s="107"/>
      <c r="GF34" s="385"/>
      <c r="GG34" s="386"/>
      <c r="GH34" s="380">
        <v>99.4</v>
      </c>
      <c r="GI34" s="380">
        <v>38.799999999999997</v>
      </c>
      <c r="GJ34" s="380">
        <v>98.2</v>
      </c>
      <c r="GK34" s="141">
        <v>379</v>
      </c>
      <c r="GL34" s="391" t="s">
        <v>646</v>
      </c>
      <c r="GM34" s="391">
        <v>12.84</v>
      </c>
      <c r="GN34" s="117">
        <v>20</v>
      </c>
      <c r="GO34" s="391" t="s">
        <v>646</v>
      </c>
      <c r="GP34" s="392">
        <v>17.84</v>
      </c>
      <c r="GQ34" s="387">
        <v>30</v>
      </c>
      <c r="GR34" s="381">
        <v>8.6</v>
      </c>
      <c r="GS34" s="388">
        <v>25</v>
      </c>
      <c r="GT34" s="388">
        <v>35</v>
      </c>
      <c r="GU34" s="393">
        <v>40.9</v>
      </c>
      <c r="GV34" s="388">
        <v>350</v>
      </c>
      <c r="GW34" s="394"/>
      <c r="GX34" s="100">
        <f t="shared" si="17"/>
        <v>14167</v>
      </c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  <c r="HW34" s="394"/>
      <c r="HX34" s="394"/>
    </row>
    <row r="35" spans="1:232" x14ac:dyDescent="0.15">
      <c r="B35" s="89" t="s">
        <v>59</v>
      </c>
      <c r="C35" s="141">
        <v>7102388</v>
      </c>
      <c r="D35" s="73">
        <f t="shared" si="0"/>
        <v>3061804</v>
      </c>
      <c r="E35" s="141">
        <v>91572</v>
      </c>
      <c r="F35" s="141">
        <v>2970232</v>
      </c>
      <c r="G35" s="73">
        <f t="shared" si="1"/>
        <v>283185</v>
      </c>
      <c r="H35" s="141">
        <v>139332</v>
      </c>
      <c r="I35" s="141">
        <v>143853</v>
      </c>
      <c r="J35" s="141">
        <v>2705897</v>
      </c>
      <c r="K35" s="141">
        <v>1103344</v>
      </c>
      <c r="L35" s="141">
        <v>1322607</v>
      </c>
      <c r="M35" s="141">
        <v>263715</v>
      </c>
      <c r="N35" s="141">
        <v>368375</v>
      </c>
      <c r="O35" s="141">
        <v>576960</v>
      </c>
      <c r="P35" s="141">
        <v>300836</v>
      </c>
      <c r="Q35" s="141">
        <v>276124</v>
      </c>
      <c r="R35" s="141">
        <v>104976</v>
      </c>
      <c r="S35" s="74"/>
      <c r="T35" s="73">
        <f t="shared" si="2"/>
        <v>1539069</v>
      </c>
      <c r="U35" s="141">
        <v>6743</v>
      </c>
      <c r="V35" s="141">
        <v>67402</v>
      </c>
      <c r="W35" s="141">
        <v>72481</v>
      </c>
      <c r="X35" s="141">
        <v>1213891</v>
      </c>
      <c r="Y35" s="141">
        <v>31627</v>
      </c>
      <c r="Z35" s="141">
        <v>0</v>
      </c>
      <c r="AA35" s="141">
        <v>1265</v>
      </c>
      <c r="AB35" s="141">
        <v>27796</v>
      </c>
      <c r="AC35" s="141">
        <v>117864</v>
      </c>
      <c r="AD35" s="141">
        <v>62385</v>
      </c>
      <c r="AE35" s="141">
        <v>5179487</v>
      </c>
      <c r="AF35" s="141">
        <v>4741947</v>
      </c>
      <c r="AG35" s="141">
        <v>437540</v>
      </c>
      <c r="AH35" s="141">
        <v>5566</v>
      </c>
      <c r="AI35" s="141">
        <v>238312</v>
      </c>
      <c r="AJ35" s="73">
        <f t="shared" si="3"/>
        <v>222165</v>
      </c>
      <c r="AK35" s="141">
        <v>162108</v>
      </c>
      <c r="AL35" s="141">
        <v>60057</v>
      </c>
      <c r="AM35" s="141">
        <v>5283322</v>
      </c>
      <c r="AN35" s="73">
        <f t="shared" si="4"/>
        <v>2769683</v>
      </c>
      <c r="AO35" s="141">
        <v>959727</v>
      </c>
      <c r="AP35" s="141">
        <v>979829</v>
      </c>
      <c r="AQ35" s="74"/>
      <c r="AR35" s="141">
        <v>830127</v>
      </c>
      <c r="AS35" s="141">
        <v>235386</v>
      </c>
      <c r="AT35" s="141">
        <v>0</v>
      </c>
      <c r="AU35" s="141">
        <v>0</v>
      </c>
      <c r="AV35" s="141">
        <v>2032951</v>
      </c>
      <c r="AW35" s="141">
        <v>1404107</v>
      </c>
      <c r="AX35" s="141">
        <v>475784</v>
      </c>
      <c r="AY35" s="141">
        <v>5395</v>
      </c>
      <c r="AZ35" s="141">
        <v>628844</v>
      </c>
      <c r="BA35" s="141">
        <v>1413</v>
      </c>
      <c r="BB35" s="141">
        <v>34003</v>
      </c>
      <c r="BC35" s="141">
        <v>1041</v>
      </c>
      <c r="BD35" s="141">
        <v>38546</v>
      </c>
      <c r="BE35" s="141">
        <v>335372</v>
      </c>
      <c r="BF35" s="141">
        <v>0</v>
      </c>
      <c r="BG35" s="141">
        <v>0</v>
      </c>
      <c r="BH35" s="141">
        <v>335372</v>
      </c>
      <c r="BI35" s="141">
        <v>0</v>
      </c>
      <c r="BJ35" s="141">
        <v>853085</v>
      </c>
      <c r="BK35" s="141">
        <v>631149</v>
      </c>
      <c r="BL35" s="141">
        <v>303186</v>
      </c>
      <c r="BM35" s="141">
        <v>511</v>
      </c>
      <c r="BN35" s="141">
        <v>1379</v>
      </c>
      <c r="BO35" s="141">
        <v>0</v>
      </c>
      <c r="BP35" s="141">
        <v>512400</v>
      </c>
      <c r="BQ35" s="73">
        <f t="shared" si="5"/>
        <v>512400</v>
      </c>
      <c r="BR35" s="73">
        <f t="shared" si="6"/>
        <v>0</v>
      </c>
      <c r="BS35" s="141">
        <v>0</v>
      </c>
      <c r="BT35" s="141">
        <v>0</v>
      </c>
      <c r="BU35" s="141">
        <v>0</v>
      </c>
      <c r="BV35" s="141">
        <v>0</v>
      </c>
      <c r="BW35" s="141">
        <v>23847213</v>
      </c>
      <c r="BX35" s="71"/>
      <c r="BY35" s="141">
        <v>3423143</v>
      </c>
      <c r="BZ35" s="141">
        <v>2175978</v>
      </c>
      <c r="CA35" s="141">
        <v>69008</v>
      </c>
      <c r="CB35" s="141">
        <v>511304</v>
      </c>
      <c r="CC35" s="141">
        <v>7440698</v>
      </c>
      <c r="CD35" s="141">
        <v>2745621</v>
      </c>
      <c r="CE35" s="141">
        <v>7473</v>
      </c>
      <c r="CF35" s="141">
        <v>3118265</v>
      </c>
      <c r="CG35" s="141">
        <v>1212210</v>
      </c>
      <c r="CH35" s="141">
        <v>2761</v>
      </c>
      <c r="CI35" s="141">
        <v>354368</v>
      </c>
      <c r="CJ35" s="141">
        <v>1439592</v>
      </c>
      <c r="CK35" s="141">
        <v>1395077</v>
      </c>
      <c r="CL35" s="83">
        <f t="shared" si="7"/>
        <v>44515</v>
      </c>
      <c r="CM35" s="141">
        <v>3165428</v>
      </c>
      <c r="CN35" s="141">
        <v>2349391</v>
      </c>
      <c r="CO35" s="102"/>
      <c r="CP35" s="141">
        <v>491618</v>
      </c>
      <c r="CQ35" s="141">
        <v>54599</v>
      </c>
      <c r="CR35" s="141">
        <v>3369221</v>
      </c>
      <c r="CS35" s="141">
        <v>1476758</v>
      </c>
      <c r="CT35" s="141">
        <v>403689</v>
      </c>
      <c r="CU35" s="141">
        <v>283226</v>
      </c>
      <c r="CV35" s="73">
        <f t="shared" si="8"/>
        <v>801335</v>
      </c>
      <c r="CW35" s="141">
        <v>587929</v>
      </c>
      <c r="CX35" s="141">
        <v>213406</v>
      </c>
      <c r="CY35" s="73">
        <f t="shared" si="9"/>
        <v>0</v>
      </c>
      <c r="CZ35" s="141">
        <v>0</v>
      </c>
      <c r="DA35" s="141">
        <v>0</v>
      </c>
      <c r="DB35" s="73">
        <f t="shared" si="10"/>
        <v>793195</v>
      </c>
      <c r="DC35" s="141">
        <v>581011</v>
      </c>
      <c r="DD35" s="141">
        <v>212184</v>
      </c>
      <c r="DE35" s="141">
        <v>1313769</v>
      </c>
      <c r="DF35" s="141">
        <v>576376</v>
      </c>
      <c r="DG35" s="141">
        <v>685421</v>
      </c>
      <c r="DH35" s="141">
        <v>0</v>
      </c>
      <c r="DI35" s="141">
        <v>51972</v>
      </c>
      <c r="DJ35" s="141">
        <v>20819</v>
      </c>
      <c r="DK35" s="141">
        <v>438760</v>
      </c>
      <c r="DL35" s="141">
        <v>397183</v>
      </c>
      <c r="DM35" s="141">
        <v>1</v>
      </c>
      <c r="DN35" s="141">
        <v>41576</v>
      </c>
      <c r="DO35" s="141">
        <v>200000</v>
      </c>
      <c r="DP35" s="141">
        <v>200000</v>
      </c>
      <c r="DQ35" s="141">
        <v>0</v>
      </c>
      <c r="DR35" s="141">
        <v>0</v>
      </c>
      <c r="DS35" s="141">
        <v>0</v>
      </c>
      <c r="DT35" s="141">
        <v>0</v>
      </c>
      <c r="DU35" s="141">
        <v>0</v>
      </c>
      <c r="DV35" s="141">
        <v>2500232</v>
      </c>
      <c r="DW35" s="141">
        <v>0</v>
      </c>
      <c r="DX35" s="73">
        <f t="shared" si="11"/>
        <v>0</v>
      </c>
      <c r="DY35" s="141">
        <v>0</v>
      </c>
      <c r="DZ35" s="141">
        <v>867022</v>
      </c>
      <c r="EA35" s="141">
        <v>0</v>
      </c>
      <c r="EB35" s="141">
        <v>592127</v>
      </c>
      <c r="EC35" s="74"/>
      <c r="ED35" s="141">
        <v>1041083</v>
      </c>
      <c r="EE35" s="141">
        <v>0</v>
      </c>
      <c r="EF35" s="141">
        <v>23366261</v>
      </c>
      <c r="EG35" s="71"/>
      <c r="EH35" s="141">
        <v>480952</v>
      </c>
      <c r="EI35" s="141">
        <v>92947</v>
      </c>
      <c r="EJ35" s="141">
        <v>388005</v>
      </c>
      <c r="EK35" s="141">
        <v>-243144</v>
      </c>
      <c r="EL35" s="141">
        <v>154039</v>
      </c>
      <c r="EM35" s="71"/>
      <c r="EN35" s="141">
        <v>55177</v>
      </c>
      <c r="EO35" s="141">
        <v>54355</v>
      </c>
      <c r="EP35" s="141">
        <v>0</v>
      </c>
      <c r="EQ35" s="141">
        <v>30472</v>
      </c>
      <c r="ER35" s="73">
        <f t="shared" si="12"/>
        <v>2073884</v>
      </c>
      <c r="ES35" s="141">
        <v>13993871</v>
      </c>
      <c r="ET35" s="141">
        <v>-2098790</v>
      </c>
      <c r="EU35" s="141">
        <v>2991185</v>
      </c>
      <c r="EV35" s="141">
        <v>1916501</v>
      </c>
      <c r="EW35" s="141">
        <v>2824653</v>
      </c>
      <c r="EX35" s="141">
        <v>1439273</v>
      </c>
      <c r="EY35" s="73">
        <f t="shared" si="13"/>
        <v>259782</v>
      </c>
      <c r="EZ35" s="141">
        <v>258963</v>
      </c>
      <c r="FA35" s="141">
        <v>91587</v>
      </c>
      <c r="FB35" s="141">
        <v>167376</v>
      </c>
      <c r="FC35" s="141">
        <v>819</v>
      </c>
      <c r="FD35" s="141">
        <v>0</v>
      </c>
      <c r="FE35" s="141">
        <v>2287507</v>
      </c>
      <c r="FF35" s="141">
        <v>3103073</v>
      </c>
      <c r="FG35" s="141">
        <v>1476466</v>
      </c>
      <c r="FH35" s="141">
        <v>2017359</v>
      </c>
      <c r="FI35" s="73">
        <f t="shared" si="14"/>
        <v>688877</v>
      </c>
      <c r="FJ35" s="141">
        <v>15611709</v>
      </c>
      <c r="FK35" s="379">
        <f t="shared" si="15"/>
        <v>3</v>
      </c>
      <c r="FL35" s="141">
        <v>12766549</v>
      </c>
      <c r="FM35" s="141">
        <v>109318</v>
      </c>
      <c r="FN35" s="141">
        <v>6347663</v>
      </c>
      <c r="FO35" s="141">
        <v>11077704</v>
      </c>
      <c r="FP35" s="390">
        <v>0.57299999999999995</v>
      </c>
      <c r="FQ35" s="380">
        <v>99.3</v>
      </c>
      <c r="FR35" s="381">
        <v>22.6</v>
      </c>
      <c r="FS35" s="380">
        <v>16.100000000000001</v>
      </c>
      <c r="FT35" s="380">
        <v>11</v>
      </c>
      <c r="FU35" s="381">
        <v>14.2</v>
      </c>
      <c r="FV35" s="380">
        <v>20.5</v>
      </c>
      <c r="FW35" s="382">
        <v>14.4</v>
      </c>
      <c r="FX35" s="383">
        <v>3.5</v>
      </c>
      <c r="FY35" s="141">
        <v>12549644</v>
      </c>
      <c r="FZ35" s="384">
        <f t="shared" si="16"/>
        <v>97.5</v>
      </c>
      <c r="GA35" s="141">
        <v>7092670</v>
      </c>
      <c r="GB35" s="141">
        <v>2871815</v>
      </c>
      <c r="GC35" s="141">
        <v>51317</v>
      </c>
      <c r="GD35" s="141">
        <v>4169538</v>
      </c>
      <c r="GE35" s="107"/>
      <c r="GF35" s="385"/>
      <c r="GG35" s="386"/>
      <c r="GH35" s="380">
        <v>99.5</v>
      </c>
      <c r="GI35" s="380">
        <v>35.4</v>
      </c>
      <c r="GJ35" s="380">
        <v>98.6</v>
      </c>
      <c r="GK35" s="141">
        <v>318</v>
      </c>
      <c r="GL35" s="391" t="s">
        <v>646</v>
      </c>
      <c r="GM35" s="391">
        <v>12.96</v>
      </c>
      <c r="GN35" s="117">
        <v>20</v>
      </c>
      <c r="GO35" s="391" t="s">
        <v>646</v>
      </c>
      <c r="GP35" s="392">
        <v>17.96</v>
      </c>
      <c r="GQ35" s="387">
        <v>30</v>
      </c>
      <c r="GR35" s="381">
        <v>3.5</v>
      </c>
      <c r="GS35" s="388">
        <v>25</v>
      </c>
      <c r="GT35" s="388">
        <v>35</v>
      </c>
      <c r="GU35" s="393" t="s">
        <v>646</v>
      </c>
      <c r="GV35" s="388">
        <v>350</v>
      </c>
      <c r="GW35" s="394"/>
      <c r="GX35" s="100">
        <f t="shared" si="17"/>
        <v>12876</v>
      </c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  <c r="HW35" s="394"/>
      <c r="HX35" s="394"/>
    </row>
    <row r="36" spans="1:232" x14ac:dyDescent="0.15">
      <c r="B36" s="89" t="s">
        <v>61</v>
      </c>
      <c r="C36" s="141">
        <v>10495526</v>
      </c>
      <c r="D36" s="73">
        <f t="shared" si="0"/>
        <v>4612234</v>
      </c>
      <c r="E36" s="141">
        <v>130782</v>
      </c>
      <c r="F36" s="141">
        <v>4481452</v>
      </c>
      <c r="G36" s="73">
        <f t="shared" si="1"/>
        <v>362578</v>
      </c>
      <c r="H36" s="141">
        <v>165428</v>
      </c>
      <c r="I36" s="141">
        <v>197150</v>
      </c>
      <c r="J36" s="141">
        <v>4131778</v>
      </c>
      <c r="K36" s="141">
        <v>1520709</v>
      </c>
      <c r="L36" s="141">
        <v>2014358</v>
      </c>
      <c r="M36" s="141">
        <v>543249</v>
      </c>
      <c r="N36" s="141">
        <v>385644</v>
      </c>
      <c r="O36" s="141">
        <v>852986</v>
      </c>
      <c r="P36" s="141">
        <v>430045</v>
      </c>
      <c r="Q36" s="141">
        <v>422941</v>
      </c>
      <c r="R36" s="141">
        <v>139194</v>
      </c>
      <c r="S36" s="74"/>
      <c r="T36" s="73">
        <f t="shared" si="2"/>
        <v>2091916</v>
      </c>
      <c r="U36" s="141">
        <v>10337</v>
      </c>
      <c r="V36" s="141">
        <v>103158</v>
      </c>
      <c r="W36" s="141">
        <v>110712</v>
      </c>
      <c r="X36" s="141">
        <v>1620953</v>
      </c>
      <c r="Y36" s="141">
        <v>73613</v>
      </c>
      <c r="Z36" s="141">
        <v>0</v>
      </c>
      <c r="AA36" s="141">
        <v>1668</v>
      </c>
      <c r="AB36" s="141">
        <v>36652</v>
      </c>
      <c r="AC36" s="141">
        <v>134823</v>
      </c>
      <c r="AD36" s="141">
        <v>104163</v>
      </c>
      <c r="AE36" s="141">
        <v>4607119</v>
      </c>
      <c r="AF36" s="141">
        <v>4387118</v>
      </c>
      <c r="AG36" s="141">
        <v>220001</v>
      </c>
      <c r="AH36" s="141">
        <v>10129</v>
      </c>
      <c r="AI36" s="141">
        <v>86795</v>
      </c>
      <c r="AJ36" s="73">
        <f t="shared" si="3"/>
        <v>391868</v>
      </c>
      <c r="AK36" s="141">
        <v>282523</v>
      </c>
      <c r="AL36" s="141">
        <v>109345</v>
      </c>
      <c r="AM36" s="141">
        <v>6993238</v>
      </c>
      <c r="AN36" s="73">
        <f t="shared" si="4"/>
        <v>2827393</v>
      </c>
      <c r="AO36" s="141">
        <v>903857</v>
      </c>
      <c r="AP36" s="141">
        <v>921852</v>
      </c>
      <c r="AQ36" s="74"/>
      <c r="AR36" s="141">
        <v>1001684</v>
      </c>
      <c r="AS36" s="141">
        <v>693387</v>
      </c>
      <c r="AT36" s="141">
        <v>0</v>
      </c>
      <c r="AU36" s="141">
        <v>0</v>
      </c>
      <c r="AV36" s="141">
        <v>2404413</v>
      </c>
      <c r="AW36" s="141">
        <v>1797151</v>
      </c>
      <c r="AX36" s="141">
        <v>380626</v>
      </c>
      <c r="AY36" s="141">
        <v>45276</v>
      </c>
      <c r="AZ36" s="141">
        <v>607262</v>
      </c>
      <c r="BA36" s="141">
        <v>23979</v>
      </c>
      <c r="BB36" s="141">
        <v>429944</v>
      </c>
      <c r="BC36" s="141">
        <v>371627</v>
      </c>
      <c r="BD36" s="141">
        <v>11878</v>
      </c>
      <c r="BE36" s="141">
        <v>559242</v>
      </c>
      <c r="BF36" s="141">
        <v>150000</v>
      </c>
      <c r="BG36" s="141">
        <v>300000</v>
      </c>
      <c r="BH36" s="141">
        <v>72311</v>
      </c>
      <c r="BI36" s="141">
        <v>0</v>
      </c>
      <c r="BJ36" s="141">
        <v>633176</v>
      </c>
      <c r="BK36" s="141">
        <v>558907</v>
      </c>
      <c r="BL36" s="141">
        <v>889766</v>
      </c>
      <c r="BM36" s="141">
        <v>0</v>
      </c>
      <c r="BN36" s="141">
        <v>491282</v>
      </c>
      <c r="BO36" s="141">
        <v>0</v>
      </c>
      <c r="BP36" s="141">
        <v>1708940</v>
      </c>
      <c r="BQ36" s="73">
        <f t="shared" si="5"/>
        <v>1562500</v>
      </c>
      <c r="BR36" s="73">
        <f t="shared" si="6"/>
        <v>146440</v>
      </c>
      <c r="BS36" s="141">
        <v>0</v>
      </c>
      <c r="BT36" s="141">
        <v>0</v>
      </c>
      <c r="BU36" s="141">
        <v>146440</v>
      </c>
      <c r="BV36" s="141">
        <v>0</v>
      </c>
      <c r="BW36" s="141">
        <v>31557307</v>
      </c>
      <c r="BX36" s="71"/>
      <c r="BY36" s="141">
        <v>5543365</v>
      </c>
      <c r="BZ36" s="141">
        <v>3207562</v>
      </c>
      <c r="CA36" s="141">
        <v>231342</v>
      </c>
      <c r="CB36" s="141">
        <v>1099229</v>
      </c>
      <c r="CC36" s="141">
        <v>9145583</v>
      </c>
      <c r="CD36" s="141">
        <v>3201580</v>
      </c>
      <c r="CE36" s="141">
        <v>18253</v>
      </c>
      <c r="CF36" s="141">
        <v>4231177</v>
      </c>
      <c r="CG36" s="141">
        <v>1173703</v>
      </c>
      <c r="CH36" s="141">
        <v>13518</v>
      </c>
      <c r="CI36" s="141">
        <v>507352</v>
      </c>
      <c r="CJ36" s="141">
        <v>3135239</v>
      </c>
      <c r="CK36" s="141">
        <v>3024216</v>
      </c>
      <c r="CL36" s="83">
        <f t="shared" si="7"/>
        <v>111023</v>
      </c>
      <c r="CM36" s="141">
        <v>3972678</v>
      </c>
      <c r="CN36" s="141">
        <v>2443668</v>
      </c>
      <c r="CO36" s="102"/>
      <c r="CP36" s="141">
        <v>781304</v>
      </c>
      <c r="CQ36" s="141">
        <v>87129</v>
      </c>
      <c r="CR36" s="141">
        <v>2267589</v>
      </c>
      <c r="CS36" s="141">
        <v>955681</v>
      </c>
      <c r="CT36" s="141">
        <v>543176</v>
      </c>
      <c r="CU36" s="141">
        <v>225170</v>
      </c>
      <c r="CV36" s="73">
        <f t="shared" si="8"/>
        <v>196721</v>
      </c>
      <c r="CW36" s="141">
        <v>196721</v>
      </c>
      <c r="CX36" s="141">
        <v>0</v>
      </c>
      <c r="CY36" s="73">
        <f t="shared" si="9"/>
        <v>0</v>
      </c>
      <c r="CZ36" s="141">
        <v>0</v>
      </c>
      <c r="DA36" s="141">
        <v>0</v>
      </c>
      <c r="DB36" s="73">
        <f t="shared" si="10"/>
        <v>188989</v>
      </c>
      <c r="DC36" s="141">
        <v>188989</v>
      </c>
      <c r="DD36" s="141">
        <v>0</v>
      </c>
      <c r="DE36" s="141">
        <v>2931595</v>
      </c>
      <c r="DF36" s="141">
        <v>1348800</v>
      </c>
      <c r="DG36" s="141">
        <v>1582795</v>
      </c>
      <c r="DH36" s="141">
        <v>0</v>
      </c>
      <c r="DI36" s="141">
        <v>0</v>
      </c>
      <c r="DJ36" s="141">
        <v>0</v>
      </c>
      <c r="DK36" s="141">
        <v>974405</v>
      </c>
      <c r="DL36" s="141">
        <v>315159</v>
      </c>
      <c r="DM36" s="141">
        <v>89078</v>
      </c>
      <c r="DN36" s="141">
        <v>570168</v>
      </c>
      <c r="DO36" s="141">
        <v>0</v>
      </c>
      <c r="DP36" s="141">
        <v>0</v>
      </c>
      <c r="DQ36" s="141">
        <v>0</v>
      </c>
      <c r="DR36" s="141">
        <v>0</v>
      </c>
      <c r="DS36" s="141">
        <v>0</v>
      </c>
      <c r="DT36" s="141">
        <v>0</v>
      </c>
      <c r="DU36" s="141">
        <v>0</v>
      </c>
      <c r="DV36" s="141">
        <v>2912949</v>
      </c>
      <c r="DW36" s="141">
        <v>0</v>
      </c>
      <c r="DX36" s="73">
        <f t="shared" si="11"/>
        <v>0</v>
      </c>
      <c r="DY36" s="141">
        <v>0</v>
      </c>
      <c r="DZ36" s="141">
        <v>1146621</v>
      </c>
      <c r="EA36" s="141">
        <v>0</v>
      </c>
      <c r="EB36" s="141">
        <v>732378</v>
      </c>
      <c r="EC36" s="74"/>
      <c r="ED36" s="141">
        <v>1033950</v>
      </c>
      <c r="EE36" s="141">
        <v>0</v>
      </c>
      <c r="EF36" s="141">
        <v>30970532</v>
      </c>
      <c r="EG36" s="71"/>
      <c r="EH36" s="141">
        <v>586775</v>
      </c>
      <c r="EI36" s="141">
        <v>224946</v>
      </c>
      <c r="EJ36" s="141">
        <v>361829</v>
      </c>
      <c r="EK36" s="141">
        <v>-197078</v>
      </c>
      <c r="EL36" s="141">
        <v>566665</v>
      </c>
      <c r="EM36" s="71"/>
      <c r="EN36" s="141">
        <v>75033</v>
      </c>
      <c r="EO36" s="141">
        <v>77272</v>
      </c>
      <c r="EP36" s="141">
        <v>457808</v>
      </c>
      <c r="EQ36" s="141">
        <v>373595</v>
      </c>
      <c r="ER36" s="73">
        <f t="shared" si="12"/>
        <v>939683</v>
      </c>
      <c r="ES36" s="141">
        <v>17448047</v>
      </c>
      <c r="ET36" s="141">
        <v>-1907397</v>
      </c>
      <c r="EU36" s="141">
        <v>4800404</v>
      </c>
      <c r="EV36" s="141">
        <v>2918782</v>
      </c>
      <c r="EW36" s="141">
        <v>2564182</v>
      </c>
      <c r="EX36" s="141">
        <v>3135239</v>
      </c>
      <c r="EY36" s="73">
        <f t="shared" si="13"/>
        <v>605199</v>
      </c>
      <c r="EZ36" s="141">
        <v>605199</v>
      </c>
      <c r="FA36" s="141">
        <v>90531</v>
      </c>
      <c r="FB36" s="141">
        <v>514668</v>
      </c>
      <c r="FC36" s="141">
        <v>0</v>
      </c>
      <c r="FD36" s="141">
        <v>0</v>
      </c>
      <c r="FE36" s="141">
        <v>2734554</v>
      </c>
      <c r="FF36" s="141">
        <v>2086911</v>
      </c>
      <c r="FG36" s="141">
        <v>955681</v>
      </c>
      <c r="FH36" s="141">
        <v>2330808</v>
      </c>
      <c r="FI36" s="73">
        <f t="shared" si="14"/>
        <v>511372</v>
      </c>
      <c r="FJ36" s="141">
        <v>18768669</v>
      </c>
      <c r="FK36" s="379">
        <f t="shared" si="15"/>
        <v>2.2000000000000002</v>
      </c>
      <c r="FL36" s="141">
        <v>16100873</v>
      </c>
      <c r="FM36" s="141">
        <v>146440</v>
      </c>
      <c r="FN36" s="141">
        <v>9245357</v>
      </c>
      <c r="FO36" s="141">
        <v>13630908</v>
      </c>
      <c r="FP36" s="395">
        <v>0.67</v>
      </c>
      <c r="FQ36" s="380">
        <v>93.8</v>
      </c>
      <c r="FR36" s="381">
        <v>26.7</v>
      </c>
      <c r="FS36" s="380">
        <v>14.6</v>
      </c>
      <c r="FT36" s="380">
        <v>15.2</v>
      </c>
      <c r="FU36" s="381">
        <v>14</v>
      </c>
      <c r="FV36" s="380">
        <v>9.5</v>
      </c>
      <c r="FW36" s="382">
        <v>13.2</v>
      </c>
      <c r="FX36" s="383">
        <v>6.1</v>
      </c>
      <c r="FY36" s="141">
        <v>26195038</v>
      </c>
      <c r="FZ36" s="384">
        <f t="shared" si="16"/>
        <v>161.19999999999999</v>
      </c>
      <c r="GA36" s="141">
        <v>8148127</v>
      </c>
      <c r="GB36" s="141">
        <v>4500244</v>
      </c>
      <c r="GC36" s="141">
        <v>774044</v>
      </c>
      <c r="GD36" s="141">
        <v>2873839</v>
      </c>
      <c r="GE36" s="107"/>
      <c r="GF36" s="385">
        <v>5040</v>
      </c>
      <c r="GG36" s="386">
        <f>IF(GF36=0,"-",ROUND(GF36/(GX36)*100,1))</f>
        <v>31</v>
      </c>
      <c r="GH36" s="380">
        <v>99.8</v>
      </c>
      <c r="GI36" s="380">
        <v>45.3</v>
      </c>
      <c r="GJ36" s="380">
        <v>99.5</v>
      </c>
      <c r="GK36" s="141">
        <v>480</v>
      </c>
      <c r="GL36" s="391" t="s">
        <v>646</v>
      </c>
      <c r="GM36" s="391">
        <v>12.69</v>
      </c>
      <c r="GN36" s="117">
        <v>20</v>
      </c>
      <c r="GO36" s="391" t="s">
        <v>646</v>
      </c>
      <c r="GP36" s="392">
        <v>17.690000000000001</v>
      </c>
      <c r="GQ36" s="387">
        <v>30</v>
      </c>
      <c r="GR36" s="381">
        <v>6.1</v>
      </c>
      <c r="GS36" s="388">
        <v>25</v>
      </c>
      <c r="GT36" s="388">
        <v>35</v>
      </c>
      <c r="GU36" s="393">
        <v>31</v>
      </c>
      <c r="GV36" s="388">
        <v>350</v>
      </c>
      <c r="GW36" s="394"/>
      <c r="GX36" s="100">
        <f t="shared" si="17"/>
        <v>16247</v>
      </c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  <c r="HW36" s="394"/>
      <c r="HX36" s="394"/>
    </row>
    <row r="37" spans="1:232" x14ac:dyDescent="0.15">
      <c r="B37" s="89" t="s">
        <v>63</v>
      </c>
      <c r="C37" s="141">
        <v>7667415</v>
      </c>
      <c r="D37" s="73">
        <f t="shared" si="0"/>
        <v>3747363</v>
      </c>
      <c r="E37" s="141">
        <v>100035</v>
      </c>
      <c r="F37" s="141">
        <v>3647328</v>
      </c>
      <c r="G37" s="73">
        <f t="shared" si="1"/>
        <v>205999</v>
      </c>
      <c r="H37" s="141">
        <v>100342</v>
      </c>
      <c r="I37" s="141">
        <v>105657</v>
      </c>
      <c r="J37" s="141">
        <v>2898968</v>
      </c>
      <c r="K37" s="141">
        <v>1134043</v>
      </c>
      <c r="L37" s="141">
        <v>1415067</v>
      </c>
      <c r="M37" s="141">
        <v>316640</v>
      </c>
      <c r="N37" s="141">
        <v>313279</v>
      </c>
      <c r="O37" s="141">
        <v>383284</v>
      </c>
      <c r="P37" s="141">
        <v>197899</v>
      </c>
      <c r="Q37" s="141">
        <v>185385</v>
      </c>
      <c r="R37" s="141">
        <v>113368</v>
      </c>
      <c r="S37" s="74"/>
      <c r="T37" s="73">
        <f t="shared" si="2"/>
        <v>1675390</v>
      </c>
      <c r="U37" s="141">
        <v>8351</v>
      </c>
      <c r="V37" s="141">
        <v>83449</v>
      </c>
      <c r="W37" s="141">
        <v>89716</v>
      </c>
      <c r="X37" s="141">
        <v>1319921</v>
      </c>
      <c r="Y37" s="141">
        <v>0</v>
      </c>
      <c r="Z37" s="141">
        <v>0</v>
      </c>
      <c r="AA37" s="141">
        <v>1375</v>
      </c>
      <c r="AB37" s="141">
        <v>30218</v>
      </c>
      <c r="AC37" s="141">
        <v>142360</v>
      </c>
      <c r="AD37" s="141">
        <v>85073</v>
      </c>
      <c r="AE37" s="141">
        <v>4205258</v>
      </c>
      <c r="AF37" s="141">
        <v>3962133</v>
      </c>
      <c r="AG37" s="141">
        <v>243125</v>
      </c>
      <c r="AH37" s="141">
        <v>7153</v>
      </c>
      <c r="AI37" s="141">
        <v>101274</v>
      </c>
      <c r="AJ37" s="73">
        <f t="shared" si="3"/>
        <v>218864</v>
      </c>
      <c r="AK37" s="141">
        <v>180339</v>
      </c>
      <c r="AL37" s="141">
        <v>38525</v>
      </c>
      <c r="AM37" s="141">
        <v>5466504</v>
      </c>
      <c r="AN37" s="73">
        <f t="shared" si="4"/>
        <v>2371551</v>
      </c>
      <c r="AO37" s="141">
        <v>863432</v>
      </c>
      <c r="AP37" s="141">
        <v>910684</v>
      </c>
      <c r="AQ37" s="74"/>
      <c r="AR37" s="141">
        <v>597435</v>
      </c>
      <c r="AS37" s="141">
        <v>61448</v>
      </c>
      <c r="AT37" s="141">
        <v>0</v>
      </c>
      <c r="AU37" s="141">
        <v>0</v>
      </c>
      <c r="AV37" s="141">
        <v>2087098</v>
      </c>
      <c r="AW37" s="141">
        <v>1344623</v>
      </c>
      <c r="AX37" s="141">
        <v>385680</v>
      </c>
      <c r="AY37" s="141">
        <v>55879</v>
      </c>
      <c r="AZ37" s="141">
        <v>742475</v>
      </c>
      <c r="BA37" s="141">
        <v>14075</v>
      </c>
      <c r="BB37" s="141">
        <v>19731</v>
      </c>
      <c r="BC37" s="141">
        <v>2989</v>
      </c>
      <c r="BD37" s="141">
        <v>17461</v>
      </c>
      <c r="BE37" s="141">
        <v>423074</v>
      </c>
      <c r="BF37" s="141">
        <v>0</v>
      </c>
      <c r="BG37" s="141">
        <v>0</v>
      </c>
      <c r="BH37" s="141">
        <v>571</v>
      </c>
      <c r="BI37" s="141">
        <v>0</v>
      </c>
      <c r="BJ37" s="141">
        <v>767613</v>
      </c>
      <c r="BK37" s="141">
        <v>730343</v>
      </c>
      <c r="BL37" s="141">
        <v>185007</v>
      </c>
      <c r="BM37" s="141">
        <v>198</v>
      </c>
      <c r="BN37" s="141">
        <v>0</v>
      </c>
      <c r="BO37" s="141">
        <v>0</v>
      </c>
      <c r="BP37" s="141">
        <v>736700</v>
      </c>
      <c r="BQ37" s="73">
        <f t="shared" si="5"/>
        <v>610700</v>
      </c>
      <c r="BR37" s="73">
        <f t="shared" si="6"/>
        <v>126000</v>
      </c>
      <c r="BS37" s="141">
        <v>0</v>
      </c>
      <c r="BT37" s="141">
        <v>0</v>
      </c>
      <c r="BU37" s="141">
        <v>126000</v>
      </c>
      <c r="BV37" s="141">
        <v>0</v>
      </c>
      <c r="BW37" s="141">
        <v>23776983</v>
      </c>
      <c r="BX37" s="71"/>
      <c r="BY37" s="141">
        <v>3518328</v>
      </c>
      <c r="BZ37" s="141">
        <v>2185476</v>
      </c>
      <c r="CA37" s="141">
        <v>88089</v>
      </c>
      <c r="CB37" s="141">
        <v>531288</v>
      </c>
      <c r="CC37" s="141">
        <v>7459017</v>
      </c>
      <c r="CD37" s="141">
        <v>2651070</v>
      </c>
      <c r="CE37" s="141">
        <v>7989</v>
      </c>
      <c r="CF37" s="141">
        <v>3126092</v>
      </c>
      <c r="CG37" s="141">
        <v>1153479</v>
      </c>
      <c r="CH37" s="141">
        <v>0</v>
      </c>
      <c r="CI37" s="141">
        <v>520387</v>
      </c>
      <c r="CJ37" s="141">
        <v>1884475</v>
      </c>
      <c r="CK37" s="141">
        <v>1849782</v>
      </c>
      <c r="CL37" s="83">
        <f t="shared" si="7"/>
        <v>34693</v>
      </c>
      <c r="CM37" s="141">
        <v>3697119</v>
      </c>
      <c r="CN37" s="141">
        <v>2851174</v>
      </c>
      <c r="CO37" s="102"/>
      <c r="CP37" s="141">
        <v>367030</v>
      </c>
      <c r="CQ37" s="141">
        <v>28763</v>
      </c>
      <c r="CR37" s="141">
        <v>2716311</v>
      </c>
      <c r="CS37" s="141">
        <v>384334</v>
      </c>
      <c r="CT37" s="141">
        <v>537676</v>
      </c>
      <c r="CU37" s="141">
        <v>409628</v>
      </c>
      <c r="CV37" s="73">
        <f t="shared" si="8"/>
        <v>374375</v>
      </c>
      <c r="CW37" s="141">
        <v>74170</v>
      </c>
      <c r="CX37" s="141">
        <v>300205</v>
      </c>
      <c r="CY37" s="73">
        <f t="shared" si="9"/>
        <v>0</v>
      </c>
      <c r="CZ37" s="141">
        <v>0</v>
      </c>
      <c r="DA37" s="141">
        <v>0</v>
      </c>
      <c r="DB37" s="73">
        <f t="shared" si="10"/>
        <v>374375</v>
      </c>
      <c r="DC37" s="141">
        <v>74170</v>
      </c>
      <c r="DD37" s="141">
        <v>300205</v>
      </c>
      <c r="DE37" s="141">
        <v>1161613</v>
      </c>
      <c r="DF37" s="141">
        <v>425037</v>
      </c>
      <c r="DG37" s="141">
        <v>666864</v>
      </c>
      <c r="DH37" s="141">
        <v>69712</v>
      </c>
      <c r="DI37" s="141">
        <v>0</v>
      </c>
      <c r="DJ37" s="141">
        <v>4824</v>
      </c>
      <c r="DK37" s="141">
        <v>450319</v>
      </c>
      <c r="DL37" s="141">
        <v>366149</v>
      </c>
      <c r="DM37" s="141">
        <v>67371</v>
      </c>
      <c r="DN37" s="141">
        <v>16799</v>
      </c>
      <c r="DO37" s="141">
        <v>0</v>
      </c>
      <c r="DP37" s="141">
        <v>0</v>
      </c>
      <c r="DQ37" s="141">
        <v>0</v>
      </c>
      <c r="DR37" s="141">
        <v>0</v>
      </c>
      <c r="DS37" s="141">
        <v>408</v>
      </c>
      <c r="DT37" s="141">
        <v>0</v>
      </c>
      <c r="DU37" s="141">
        <v>0</v>
      </c>
      <c r="DV37" s="141">
        <v>2333434</v>
      </c>
      <c r="DW37" s="141">
        <v>0</v>
      </c>
      <c r="DX37" s="73">
        <f t="shared" si="11"/>
        <v>0</v>
      </c>
      <c r="DY37" s="141">
        <v>0</v>
      </c>
      <c r="DZ37" s="141">
        <v>916531</v>
      </c>
      <c r="EA37" s="141">
        <v>0</v>
      </c>
      <c r="EB37" s="141">
        <v>528760</v>
      </c>
      <c r="EC37" s="74"/>
      <c r="ED37" s="141">
        <v>885511</v>
      </c>
      <c r="EE37" s="141">
        <v>0</v>
      </c>
      <c r="EF37" s="141">
        <v>23254611</v>
      </c>
      <c r="EG37" s="71"/>
      <c r="EH37" s="141">
        <v>522372</v>
      </c>
      <c r="EI37" s="141">
        <v>66295</v>
      </c>
      <c r="EJ37" s="141">
        <v>456077</v>
      </c>
      <c r="EK37" s="141">
        <v>-274266</v>
      </c>
      <c r="EL37" s="141">
        <v>91883</v>
      </c>
      <c r="EM37" s="71"/>
      <c r="EN37" s="141">
        <v>58435</v>
      </c>
      <c r="EO37" s="141">
        <v>58031</v>
      </c>
      <c r="EP37" s="141">
        <v>399658</v>
      </c>
      <c r="EQ37" s="141">
        <v>15831</v>
      </c>
      <c r="ER37" s="73">
        <f t="shared" si="12"/>
        <v>2090783</v>
      </c>
      <c r="ES37" s="141">
        <v>13753657</v>
      </c>
      <c r="ET37" s="141">
        <v>-2625119</v>
      </c>
      <c r="EU37" s="141">
        <v>3148400</v>
      </c>
      <c r="EV37" s="141">
        <v>1969317</v>
      </c>
      <c r="EW37" s="141">
        <v>2621126</v>
      </c>
      <c r="EX37" s="141">
        <v>1884475</v>
      </c>
      <c r="EY37" s="73">
        <f t="shared" si="13"/>
        <v>215869</v>
      </c>
      <c r="EZ37" s="141">
        <v>215245</v>
      </c>
      <c r="FA37" s="141">
        <v>6978</v>
      </c>
      <c r="FB37" s="141">
        <v>207830</v>
      </c>
      <c r="FC37" s="141">
        <v>624</v>
      </c>
      <c r="FD37" s="141">
        <v>0</v>
      </c>
      <c r="FE37" s="141">
        <v>3078184</v>
      </c>
      <c r="FF37" s="141">
        <v>2581096</v>
      </c>
      <c r="FG37" s="141">
        <v>384334</v>
      </c>
      <c r="FH37" s="141">
        <v>1861858</v>
      </c>
      <c r="FI37" s="73">
        <f t="shared" si="14"/>
        <v>465396</v>
      </c>
      <c r="FJ37" s="141">
        <v>15856404</v>
      </c>
      <c r="FK37" s="379">
        <f t="shared" si="15"/>
        <v>3.5</v>
      </c>
      <c r="FL37" s="141">
        <v>13025975</v>
      </c>
      <c r="FM37" s="141">
        <v>126013</v>
      </c>
      <c r="FN37" s="141">
        <v>7092292</v>
      </c>
      <c r="FO37" s="141">
        <v>11054215</v>
      </c>
      <c r="FP37" s="395">
        <v>0.64500000000000002</v>
      </c>
      <c r="FQ37" s="380">
        <v>98.4</v>
      </c>
      <c r="FR37" s="381">
        <v>23.2</v>
      </c>
      <c r="FS37" s="380">
        <v>14</v>
      </c>
      <c r="FT37" s="380">
        <v>14.1</v>
      </c>
      <c r="FU37" s="381">
        <v>20</v>
      </c>
      <c r="FV37" s="380">
        <v>13.4</v>
      </c>
      <c r="FW37" s="382">
        <v>13.4</v>
      </c>
      <c r="FX37" s="383">
        <v>4</v>
      </c>
      <c r="FY37" s="141">
        <v>14225707</v>
      </c>
      <c r="FZ37" s="384">
        <f t="shared" si="16"/>
        <v>108.2</v>
      </c>
      <c r="GA37" s="141">
        <v>4684052</v>
      </c>
      <c r="GB37" s="141">
        <v>3607751</v>
      </c>
      <c r="GC37" s="141">
        <v>215063</v>
      </c>
      <c r="GD37" s="141">
        <v>861238</v>
      </c>
      <c r="GE37" s="107"/>
      <c r="GF37" s="385"/>
      <c r="GG37" s="386"/>
      <c r="GH37" s="380">
        <v>99.1</v>
      </c>
      <c r="GI37" s="380">
        <v>16.100000000000001</v>
      </c>
      <c r="GJ37" s="380">
        <v>96.2</v>
      </c>
      <c r="GK37" s="141">
        <v>325</v>
      </c>
      <c r="GL37" s="391" t="s">
        <v>646</v>
      </c>
      <c r="GM37" s="391">
        <v>12.93</v>
      </c>
      <c r="GN37" s="117">
        <v>20</v>
      </c>
      <c r="GO37" s="391" t="s">
        <v>646</v>
      </c>
      <c r="GP37" s="392">
        <v>17.93</v>
      </c>
      <c r="GQ37" s="387">
        <v>30</v>
      </c>
      <c r="GR37" s="381">
        <v>4</v>
      </c>
      <c r="GS37" s="388">
        <v>25</v>
      </c>
      <c r="GT37" s="388">
        <v>35</v>
      </c>
      <c r="GU37" s="393" t="s">
        <v>646</v>
      </c>
      <c r="GV37" s="388">
        <v>350</v>
      </c>
      <c r="GW37" s="394"/>
      <c r="GX37" s="100">
        <f t="shared" si="17"/>
        <v>13152</v>
      </c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  <c r="HW37" s="394"/>
      <c r="HX37" s="394"/>
    </row>
    <row r="38" spans="1:232" x14ac:dyDescent="0.15">
      <c r="B38" s="89" t="s">
        <v>65</v>
      </c>
      <c r="C38" s="141">
        <v>5495014</v>
      </c>
      <c r="D38" s="73">
        <f t="shared" si="0"/>
        <v>2392755</v>
      </c>
      <c r="E38" s="141">
        <v>87064</v>
      </c>
      <c r="F38" s="141">
        <v>2305691</v>
      </c>
      <c r="G38" s="73">
        <f t="shared" si="1"/>
        <v>191432</v>
      </c>
      <c r="H38" s="141">
        <v>78401</v>
      </c>
      <c r="I38" s="141">
        <v>113031</v>
      </c>
      <c r="J38" s="141">
        <v>2064675</v>
      </c>
      <c r="K38" s="141">
        <v>632093</v>
      </c>
      <c r="L38" s="141">
        <v>1076514</v>
      </c>
      <c r="M38" s="141">
        <v>311834</v>
      </c>
      <c r="N38" s="141">
        <v>283482</v>
      </c>
      <c r="O38" s="141">
        <v>402080</v>
      </c>
      <c r="P38" s="141">
        <v>177556</v>
      </c>
      <c r="Q38" s="141">
        <v>224524</v>
      </c>
      <c r="R38" s="141">
        <v>116340</v>
      </c>
      <c r="S38" s="74"/>
      <c r="T38" s="73">
        <f t="shared" si="2"/>
        <v>1346320</v>
      </c>
      <c r="U38" s="141">
        <v>5580</v>
      </c>
      <c r="V38" s="141">
        <v>55682</v>
      </c>
      <c r="W38" s="141">
        <v>59752</v>
      </c>
      <c r="X38" s="141">
        <v>1103219</v>
      </c>
      <c r="Y38" s="141">
        <v>937</v>
      </c>
      <c r="Z38" s="141">
        <v>0</v>
      </c>
      <c r="AA38" s="141">
        <v>1391</v>
      </c>
      <c r="AB38" s="141">
        <v>30568</v>
      </c>
      <c r="AC38" s="141">
        <v>89191</v>
      </c>
      <c r="AD38" s="141">
        <v>36773</v>
      </c>
      <c r="AE38" s="141">
        <v>5181057</v>
      </c>
      <c r="AF38" s="141">
        <v>4872993</v>
      </c>
      <c r="AG38" s="141">
        <v>308064</v>
      </c>
      <c r="AH38" s="141">
        <v>5655</v>
      </c>
      <c r="AI38" s="141">
        <v>2552</v>
      </c>
      <c r="AJ38" s="73">
        <f t="shared" si="3"/>
        <v>190248</v>
      </c>
      <c r="AK38" s="141">
        <v>108018</v>
      </c>
      <c r="AL38" s="141">
        <v>82230</v>
      </c>
      <c r="AM38" s="141">
        <v>4014331</v>
      </c>
      <c r="AN38" s="73">
        <f t="shared" si="4"/>
        <v>1978615</v>
      </c>
      <c r="AO38" s="141">
        <v>735175</v>
      </c>
      <c r="AP38" s="141">
        <v>504867</v>
      </c>
      <c r="AQ38" s="74"/>
      <c r="AR38" s="141">
        <v>738573</v>
      </c>
      <c r="AS38" s="141">
        <v>19248</v>
      </c>
      <c r="AT38" s="141">
        <v>0</v>
      </c>
      <c r="AU38" s="141">
        <v>0</v>
      </c>
      <c r="AV38" s="141">
        <v>1673771</v>
      </c>
      <c r="AW38" s="141">
        <v>910397</v>
      </c>
      <c r="AX38" s="141">
        <v>221589</v>
      </c>
      <c r="AY38" s="141">
        <v>0</v>
      </c>
      <c r="AZ38" s="141">
        <v>763374</v>
      </c>
      <c r="BA38" s="141">
        <v>15644</v>
      </c>
      <c r="BB38" s="141">
        <v>124154</v>
      </c>
      <c r="BC38" s="141">
        <v>118523</v>
      </c>
      <c r="BD38" s="141">
        <v>266752</v>
      </c>
      <c r="BE38" s="141">
        <v>524247</v>
      </c>
      <c r="BF38" s="141">
        <v>0</v>
      </c>
      <c r="BG38" s="141">
        <v>0</v>
      </c>
      <c r="BH38" s="141">
        <v>481492</v>
      </c>
      <c r="BI38" s="141">
        <v>0</v>
      </c>
      <c r="BJ38" s="141">
        <v>294578</v>
      </c>
      <c r="BK38" s="141">
        <v>281976</v>
      </c>
      <c r="BL38" s="141">
        <v>116105</v>
      </c>
      <c r="BM38" s="141">
        <v>0</v>
      </c>
      <c r="BN38" s="141">
        <v>54</v>
      </c>
      <c r="BO38" s="141">
        <v>0</v>
      </c>
      <c r="BP38" s="141">
        <v>628802</v>
      </c>
      <c r="BQ38" s="73">
        <f t="shared" si="5"/>
        <v>544300</v>
      </c>
      <c r="BR38" s="73">
        <f t="shared" si="6"/>
        <v>84502</v>
      </c>
      <c r="BS38" s="141">
        <v>0</v>
      </c>
      <c r="BT38" s="141">
        <v>0</v>
      </c>
      <c r="BU38" s="141">
        <v>84502</v>
      </c>
      <c r="BV38" s="141">
        <v>0</v>
      </c>
      <c r="BW38" s="141">
        <v>20016699</v>
      </c>
      <c r="BX38" s="71"/>
      <c r="BY38" s="141">
        <v>3435359</v>
      </c>
      <c r="BZ38" s="141">
        <v>2091902</v>
      </c>
      <c r="CA38" s="141">
        <v>188321</v>
      </c>
      <c r="CB38" s="141">
        <v>486520</v>
      </c>
      <c r="CC38" s="141">
        <v>5564259</v>
      </c>
      <c r="CD38" s="141">
        <v>2342322</v>
      </c>
      <c r="CE38" s="141">
        <v>1778</v>
      </c>
      <c r="CF38" s="141">
        <v>1897570</v>
      </c>
      <c r="CG38" s="141">
        <v>975646</v>
      </c>
      <c r="CH38" s="141">
        <v>4588</v>
      </c>
      <c r="CI38" s="141">
        <v>342355</v>
      </c>
      <c r="CJ38" s="141">
        <v>1404622</v>
      </c>
      <c r="CK38" s="141">
        <v>1335896</v>
      </c>
      <c r="CL38" s="83">
        <f t="shared" si="7"/>
        <v>68726</v>
      </c>
      <c r="CM38" s="141">
        <v>2597261</v>
      </c>
      <c r="CN38" s="141">
        <v>1949789</v>
      </c>
      <c r="CO38" s="102"/>
      <c r="CP38" s="141">
        <v>307181</v>
      </c>
      <c r="CQ38" s="141">
        <v>37960</v>
      </c>
      <c r="CR38" s="141">
        <v>2536560</v>
      </c>
      <c r="CS38" s="141">
        <v>1143202</v>
      </c>
      <c r="CT38" s="141">
        <v>354714</v>
      </c>
      <c r="CU38" s="141">
        <v>315989</v>
      </c>
      <c r="CV38" s="73">
        <f t="shared" si="8"/>
        <v>626064</v>
      </c>
      <c r="CW38" s="141">
        <v>288520</v>
      </c>
      <c r="CX38" s="141">
        <v>337544</v>
      </c>
      <c r="CY38" s="73">
        <f t="shared" si="9"/>
        <v>285064</v>
      </c>
      <c r="CZ38" s="141">
        <v>237068</v>
      </c>
      <c r="DA38" s="141">
        <v>47996</v>
      </c>
      <c r="DB38" s="73">
        <f t="shared" si="10"/>
        <v>341000</v>
      </c>
      <c r="DC38" s="141">
        <v>51452</v>
      </c>
      <c r="DD38" s="141">
        <v>289548</v>
      </c>
      <c r="DE38" s="141">
        <v>714075</v>
      </c>
      <c r="DF38" s="141">
        <v>97805</v>
      </c>
      <c r="DG38" s="141">
        <v>610335</v>
      </c>
      <c r="DH38" s="141">
        <v>5935</v>
      </c>
      <c r="DI38" s="141">
        <v>0</v>
      </c>
      <c r="DJ38" s="141">
        <v>0</v>
      </c>
      <c r="DK38" s="141">
        <v>681217</v>
      </c>
      <c r="DL38" s="141">
        <v>267702</v>
      </c>
      <c r="DM38" s="141">
        <v>56062</v>
      </c>
      <c r="DN38" s="141">
        <v>357453</v>
      </c>
      <c r="DO38" s="141">
        <v>165500</v>
      </c>
      <c r="DP38" s="141">
        <v>165500</v>
      </c>
      <c r="DQ38" s="141">
        <v>0</v>
      </c>
      <c r="DR38" s="141">
        <v>0</v>
      </c>
      <c r="DS38" s="141">
        <v>0</v>
      </c>
      <c r="DT38" s="141">
        <v>0</v>
      </c>
      <c r="DU38" s="141">
        <v>0</v>
      </c>
      <c r="DV38" s="141">
        <v>2555795</v>
      </c>
      <c r="DW38" s="141">
        <v>0</v>
      </c>
      <c r="DX38" s="73">
        <f t="shared" si="11"/>
        <v>0</v>
      </c>
      <c r="DY38" s="141">
        <v>0</v>
      </c>
      <c r="DZ38" s="141">
        <v>1068271</v>
      </c>
      <c r="EA38" s="141">
        <v>0</v>
      </c>
      <c r="EB38" s="141">
        <v>654042</v>
      </c>
      <c r="EC38" s="74"/>
      <c r="ED38" s="141">
        <v>833482</v>
      </c>
      <c r="EE38" s="141">
        <v>0</v>
      </c>
      <c r="EF38" s="141">
        <v>19692608</v>
      </c>
      <c r="EG38" s="71"/>
      <c r="EH38" s="141">
        <v>324091</v>
      </c>
      <c r="EI38" s="141">
        <v>142</v>
      </c>
      <c r="EJ38" s="141">
        <v>323949</v>
      </c>
      <c r="EK38" s="141">
        <v>41973</v>
      </c>
      <c r="EL38" s="141">
        <v>309675</v>
      </c>
      <c r="EM38" s="71"/>
      <c r="EN38" s="141">
        <v>51254</v>
      </c>
      <c r="EO38" s="141">
        <v>50788</v>
      </c>
      <c r="EP38" s="141">
        <v>4901</v>
      </c>
      <c r="EQ38" s="141">
        <v>118611</v>
      </c>
      <c r="ER38" s="73">
        <f t="shared" si="12"/>
        <v>1291011</v>
      </c>
      <c r="ES38" s="141">
        <v>12181159</v>
      </c>
      <c r="ET38" s="141">
        <v>-1493370</v>
      </c>
      <c r="EU38" s="141">
        <v>3066211</v>
      </c>
      <c r="EV38" s="141">
        <v>1908684</v>
      </c>
      <c r="EW38" s="141">
        <v>2007567</v>
      </c>
      <c r="EX38" s="141">
        <v>1404622</v>
      </c>
      <c r="EY38" s="73">
        <f t="shared" si="13"/>
        <v>57158</v>
      </c>
      <c r="EZ38" s="141">
        <v>57158</v>
      </c>
      <c r="FA38" s="141">
        <v>5389</v>
      </c>
      <c r="FB38" s="141">
        <v>51734</v>
      </c>
      <c r="FC38" s="141">
        <v>0</v>
      </c>
      <c r="FD38" s="141">
        <v>0</v>
      </c>
      <c r="FE38" s="141">
        <v>1873246</v>
      </c>
      <c r="FF38" s="141">
        <v>2282959</v>
      </c>
      <c r="FG38" s="141">
        <v>1082230</v>
      </c>
      <c r="FH38" s="141">
        <v>2020982</v>
      </c>
      <c r="FI38" s="73">
        <f t="shared" si="14"/>
        <v>637693</v>
      </c>
      <c r="FJ38" s="141">
        <v>13350438</v>
      </c>
      <c r="FK38" s="379">
        <f t="shared" si="15"/>
        <v>2.8</v>
      </c>
      <c r="FL38" s="141">
        <v>11399252</v>
      </c>
      <c r="FM38" s="141">
        <v>84502</v>
      </c>
      <c r="FN38" s="141">
        <v>5209638</v>
      </c>
      <c r="FO38" s="141">
        <v>10082631</v>
      </c>
      <c r="FP38" s="390">
        <v>0.51200000000000001</v>
      </c>
      <c r="FQ38" s="380">
        <v>94.9</v>
      </c>
      <c r="FR38" s="381">
        <v>25.5</v>
      </c>
      <c r="FS38" s="380">
        <v>11.8</v>
      </c>
      <c r="FT38" s="380">
        <v>12.1</v>
      </c>
      <c r="FU38" s="381">
        <v>13.5</v>
      </c>
      <c r="FV38" s="380">
        <v>13.9</v>
      </c>
      <c r="FW38" s="382">
        <v>17.399999999999999</v>
      </c>
      <c r="FX38" s="383">
        <v>5.3</v>
      </c>
      <c r="FY38" s="141">
        <v>14021857</v>
      </c>
      <c r="FZ38" s="384">
        <f t="shared" si="16"/>
        <v>122.1</v>
      </c>
      <c r="GA38" s="141">
        <v>4393259</v>
      </c>
      <c r="GB38" s="141">
        <v>1650735</v>
      </c>
      <c r="GC38" s="141">
        <v>272260</v>
      </c>
      <c r="GD38" s="141">
        <v>2470264</v>
      </c>
      <c r="GE38" s="107"/>
      <c r="GF38" s="385"/>
      <c r="GG38" s="386"/>
      <c r="GH38" s="380">
        <v>99</v>
      </c>
      <c r="GI38" s="380">
        <v>30</v>
      </c>
      <c r="GJ38" s="380">
        <v>97.2</v>
      </c>
      <c r="GK38" s="141">
        <v>322</v>
      </c>
      <c r="GL38" s="391" t="s">
        <v>646</v>
      </c>
      <c r="GM38" s="391">
        <v>13.12</v>
      </c>
      <c r="GN38" s="117">
        <v>20</v>
      </c>
      <c r="GO38" s="391" t="s">
        <v>646</v>
      </c>
      <c r="GP38" s="392">
        <v>18.12</v>
      </c>
      <c r="GQ38" s="387">
        <v>30</v>
      </c>
      <c r="GR38" s="381">
        <v>5.3</v>
      </c>
      <c r="GS38" s="388">
        <v>25</v>
      </c>
      <c r="GT38" s="388">
        <v>35</v>
      </c>
      <c r="GU38" s="393">
        <v>20.2</v>
      </c>
      <c r="GV38" s="388">
        <v>350</v>
      </c>
      <c r="GW38" s="394"/>
      <c r="GX38" s="100">
        <f t="shared" si="17"/>
        <v>11484</v>
      </c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  <c r="HW38" s="394"/>
      <c r="HX38" s="394"/>
    </row>
    <row r="39" spans="1:232" s="112" customFormat="1" x14ac:dyDescent="0.15">
      <c r="A39" s="126"/>
      <c r="B39" s="126" t="s">
        <v>67</v>
      </c>
      <c r="C39" s="137">
        <v>793460326</v>
      </c>
      <c r="D39" s="127">
        <f t="shared" si="0"/>
        <v>305409681</v>
      </c>
      <c r="E39" s="137">
        <v>8521628</v>
      </c>
      <c r="F39" s="137">
        <v>296888053</v>
      </c>
      <c r="G39" s="127">
        <f t="shared" si="1"/>
        <v>46762986</v>
      </c>
      <c r="H39" s="137">
        <v>14168016</v>
      </c>
      <c r="I39" s="137">
        <v>32594970</v>
      </c>
      <c r="J39" s="137">
        <v>323144357</v>
      </c>
      <c r="K39" s="137">
        <v>127912434</v>
      </c>
      <c r="L39" s="137">
        <v>146204909</v>
      </c>
      <c r="M39" s="137">
        <v>43812347</v>
      </c>
      <c r="N39" s="137">
        <v>34803004</v>
      </c>
      <c r="O39" s="137">
        <v>66448347</v>
      </c>
      <c r="P39" s="137">
        <v>35018908</v>
      </c>
      <c r="Q39" s="137">
        <v>31429439</v>
      </c>
      <c r="R39" s="137">
        <v>10512033</v>
      </c>
      <c r="S39" s="129">
        <f>SUM(S8:S38)</f>
        <v>0</v>
      </c>
      <c r="T39" s="129">
        <f>SUM(T8:T38)</f>
        <v>147501549</v>
      </c>
      <c r="U39" s="137">
        <v>685622</v>
      </c>
      <c r="V39" s="137">
        <v>6847904</v>
      </c>
      <c r="W39" s="137">
        <v>7358331</v>
      </c>
      <c r="X39" s="137">
        <v>116275368</v>
      </c>
      <c r="Y39" s="137">
        <v>649356</v>
      </c>
      <c r="Z39" s="137">
        <v>0</v>
      </c>
      <c r="AA39" s="137">
        <v>106103</v>
      </c>
      <c r="AB39" s="137">
        <v>2331833</v>
      </c>
      <c r="AC39" s="137">
        <v>13247032</v>
      </c>
      <c r="AD39" s="137">
        <v>5315374</v>
      </c>
      <c r="AE39" s="137">
        <v>254806660</v>
      </c>
      <c r="AF39" s="137">
        <v>243105864</v>
      </c>
      <c r="AG39" s="137">
        <v>11700689</v>
      </c>
      <c r="AH39" s="137">
        <v>567771</v>
      </c>
      <c r="AI39" s="137">
        <v>12381849</v>
      </c>
      <c r="AJ39" s="129">
        <f>SUM(AJ8:AJ38)</f>
        <v>30292497</v>
      </c>
      <c r="AK39" s="137">
        <v>22529864</v>
      </c>
      <c r="AL39" s="137">
        <v>7762633</v>
      </c>
      <c r="AM39" s="137">
        <v>575039825</v>
      </c>
      <c r="AN39" s="129">
        <f>SUM(AN8:AN38)</f>
        <v>294302997</v>
      </c>
      <c r="AO39" s="137">
        <v>150437852</v>
      </c>
      <c r="AP39" s="137">
        <v>66265327</v>
      </c>
      <c r="AQ39" s="129">
        <f>SUM(AQ8:AQ38)</f>
        <v>0</v>
      </c>
      <c r="AR39" s="137">
        <v>77599818</v>
      </c>
      <c r="AS39" s="137">
        <v>20197256</v>
      </c>
      <c r="AT39" s="137">
        <v>42702</v>
      </c>
      <c r="AU39" s="137">
        <v>274533</v>
      </c>
      <c r="AV39" s="137">
        <v>173633869</v>
      </c>
      <c r="AW39" s="137">
        <v>115908625</v>
      </c>
      <c r="AX39" s="137">
        <v>31038355</v>
      </c>
      <c r="AY39" s="137">
        <v>3282445</v>
      </c>
      <c r="AZ39" s="137">
        <v>57725244</v>
      </c>
      <c r="BA39" s="137">
        <v>2558465</v>
      </c>
      <c r="BB39" s="137">
        <v>12844873</v>
      </c>
      <c r="BC39" s="137">
        <v>10075297</v>
      </c>
      <c r="BD39" s="137">
        <v>33713300</v>
      </c>
      <c r="BE39" s="137">
        <v>66728572</v>
      </c>
      <c r="BF39" s="137">
        <v>19715161</v>
      </c>
      <c r="BG39" s="137">
        <v>3770602</v>
      </c>
      <c r="BH39" s="137">
        <v>40812559</v>
      </c>
      <c r="BI39" s="137">
        <v>298756</v>
      </c>
      <c r="BJ39" s="137">
        <v>41959804</v>
      </c>
      <c r="BK39" s="137">
        <v>27880149</v>
      </c>
      <c r="BL39" s="137">
        <v>46273143</v>
      </c>
      <c r="BM39" s="137">
        <v>5996276</v>
      </c>
      <c r="BN39" s="137">
        <v>506386</v>
      </c>
      <c r="BO39" s="137">
        <v>12520318</v>
      </c>
      <c r="BP39" s="137">
        <v>108112770</v>
      </c>
      <c r="BQ39" s="127">
        <f t="shared" si="5"/>
        <v>94281514</v>
      </c>
      <c r="BR39" s="127">
        <f t="shared" si="6"/>
        <v>13831256</v>
      </c>
      <c r="BS39" s="137">
        <v>0</v>
      </c>
      <c r="BT39" s="137">
        <v>43000</v>
      </c>
      <c r="BU39" s="137">
        <v>13788256</v>
      </c>
      <c r="BV39" s="137">
        <v>0</v>
      </c>
      <c r="BW39" s="137">
        <v>2313418748</v>
      </c>
      <c r="BX39" s="129"/>
      <c r="BY39" s="137">
        <v>312254321</v>
      </c>
      <c r="BZ39" s="137">
        <v>202701166</v>
      </c>
      <c r="CA39" s="137">
        <v>8488914</v>
      </c>
      <c r="CB39" s="137">
        <v>43519311</v>
      </c>
      <c r="CC39" s="137">
        <v>769349923</v>
      </c>
      <c r="CD39" s="137">
        <v>252423164</v>
      </c>
      <c r="CE39" s="137">
        <v>1336764</v>
      </c>
      <c r="CF39" s="137">
        <v>282297677</v>
      </c>
      <c r="CG39" s="137">
        <v>201287583</v>
      </c>
      <c r="CH39" s="137">
        <v>6978345</v>
      </c>
      <c r="CI39" s="137">
        <v>25017255</v>
      </c>
      <c r="CJ39" s="137">
        <v>152919642</v>
      </c>
      <c r="CK39" s="137">
        <v>147424882</v>
      </c>
      <c r="CL39" s="129">
        <f>SUM(CL8:CL38)</f>
        <v>5494760</v>
      </c>
      <c r="CM39" s="137">
        <v>294556377</v>
      </c>
      <c r="CN39" s="137">
        <v>206174435</v>
      </c>
      <c r="CO39" s="129"/>
      <c r="CP39" s="137">
        <v>46401448</v>
      </c>
      <c r="CQ39" s="137">
        <v>18277698</v>
      </c>
      <c r="CR39" s="137">
        <v>214930297</v>
      </c>
      <c r="CS39" s="137">
        <v>36048019</v>
      </c>
      <c r="CT39" s="137">
        <v>56465018</v>
      </c>
      <c r="CU39" s="137">
        <v>42957737</v>
      </c>
      <c r="CV39" s="127">
        <f t="shared" si="8"/>
        <v>66295208</v>
      </c>
      <c r="CW39" s="137">
        <v>45689022</v>
      </c>
      <c r="CX39" s="137">
        <v>20606186</v>
      </c>
      <c r="CY39" s="127">
        <f t="shared" si="9"/>
        <v>12198068</v>
      </c>
      <c r="CZ39" s="137">
        <v>9922767</v>
      </c>
      <c r="DA39" s="137">
        <v>2275301</v>
      </c>
      <c r="DB39" s="127">
        <f t="shared" si="10"/>
        <v>49680292</v>
      </c>
      <c r="DC39" s="137">
        <v>34916168</v>
      </c>
      <c r="DD39" s="137">
        <v>14764124</v>
      </c>
      <c r="DE39" s="137">
        <v>204313290</v>
      </c>
      <c r="DF39" s="137">
        <v>87061272</v>
      </c>
      <c r="DG39" s="137">
        <v>111248240</v>
      </c>
      <c r="DH39" s="137">
        <v>2010036</v>
      </c>
      <c r="DI39" s="137">
        <v>3401122</v>
      </c>
      <c r="DJ39" s="137">
        <v>563979</v>
      </c>
      <c r="DK39" s="137">
        <v>82608376</v>
      </c>
      <c r="DL39" s="137">
        <v>23472585</v>
      </c>
      <c r="DM39" s="137">
        <v>6471499</v>
      </c>
      <c r="DN39" s="137">
        <v>52664247</v>
      </c>
      <c r="DO39" s="137">
        <v>6906351</v>
      </c>
      <c r="DP39" s="137">
        <v>6906351</v>
      </c>
      <c r="DQ39" s="137">
        <v>1958155</v>
      </c>
      <c r="DR39" s="137">
        <v>1083405</v>
      </c>
      <c r="DS39" s="137">
        <v>6330226</v>
      </c>
      <c r="DT39" s="137">
        <v>650000</v>
      </c>
      <c r="DU39" s="137">
        <v>0</v>
      </c>
      <c r="DV39" s="137">
        <v>212071243</v>
      </c>
      <c r="DW39" s="137">
        <v>65367</v>
      </c>
      <c r="DX39" s="127">
        <f t="shared" si="11"/>
        <v>0</v>
      </c>
      <c r="DY39" s="137">
        <v>0</v>
      </c>
      <c r="DZ39" s="137">
        <v>80910867</v>
      </c>
      <c r="EA39" s="137">
        <v>32428</v>
      </c>
      <c r="EB39" s="137">
        <v>53589754</v>
      </c>
      <c r="EC39" s="129"/>
      <c r="ED39" s="137">
        <v>77051250</v>
      </c>
      <c r="EE39" s="137">
        <v>0</v>
      </c>
      <c r="EF39" s="137">
        <v>2275081723</v>
      </c>
      <c r="EG39" s="129"/>
      <c r="EH39" s="137">
        <v>38337025</v>
      </c>
      <c r="EI39" s="137">
        <v>10908741</v>
      </c>
      <c r="EJ39" s="137">
        <v>27428284</v>
      </c>
      <c r="EK39" s="137">
        <v>-4637910</v>
      </c>
      <c r="EL39" s="137">
        <v>6233357</v>
      </c>
      <c r="EM39" s="129"/>
      <c r="EN39" s="129">
        <f>SUM(EN8:EN38)</f>
        <v>5083707</v>
      </c>
      <c r="EO39" s="129">
        <f>SUM(EO8:EO38)</f>
        <v>5027190</v>
      </c>
      <c r="EP39" s="137">
        <v>27924751</v>
      </c>
      <c r="EQ39" s="137">
        <v>10534167</v>
      </c>
      <c r="ER39" s="127">
        <f t="shared" si="12"/>
        <v>169763026</v>
      </c>
      <c r="ES39" s="137">
        <v>1212438246</v>
      </c>
      <c r="ET39" s="137">
        <v>-221210896</v>
      </c>
      <c r="EU39" s="137">
        <v>282704606</v>
      </c>
      <c r="EV39" s="137">
        <v>184255628</v>
      </c>
      <c r="EW39" s="137">
        <v>275048427</v>
      </c>
      <c r="EX39" s="137">
        <v>148508907</v>
      </c>
      <c r="EY39" s="127">
        <f t="shared" si="13"/>
        <v>42906713</v>
      </c>
      <c r="EZ39" s="137">
        <v>42788634</v>
      </c>
      <c r="FA39" s="137">
        <v>7151847</v>
      </c>
      <c r="FB39" s="137">
        <v>35329256</v>
      </c>
      <c r="FC39" s="137">
        <v>118079</v>
      </c>
      <c r="FD39" s="137">
        <v>0</v>
      </c>
      <c r="FE39" s="137">
        <v>217501853</v>
      </c>
      <c r="FF39" s="137">
        <v>186664593</v>
      </c>
      <c r="FG39" s="137">
        <v>35484375</v>
      </c>
      <c r="FH39" s="137">
        <v>166048270</v>
      </c>
      <c r="FI39" s="127">
        <f t="shared" si="14"/>
        <v>76224935</v>
      </c>
      <c r="FJ39" s="137">
        <v>1395608304</v>
      </c>
      <c r="FK39" s="396">
        <f t="shared" si="15"/>
        <v>2.4</v>
      </c>
      <c r="FL39" s="137">
        <v>1114487252</v>
      </c>
      <c r="FM39" s="137">
        <v>17140482</v>
      </c>
      <c r="FN39" s="137">
        <v>682090151</v>
      </c>
      <c r="FO39" s="137">
        <v>925135081</v>
      </c>
      <c r="FP39" s="397">
        <v>0.73699999999999999</v>
      </c>
      <c r="FQ39" s="398">
        <v>95.7</v>
      </c>
      <c r="FR39" s="399">
        <v>23.8</v>
      </c>
      <c r="FS39" s="398">
        <v>17.600000000000001</v>
      </c>
      <c r="FT39" s="398">
        <v>12.4</v>
      </c>
      <c r="FU39" s="399">
        <v>15.6</v>
      </c>
      <c r="FV39" s="398">
        <v>11.4</v>
      </c>
      <c r="FW39" s="400">
        <v>13.3</v>
      </c>
      <c r="FX39" s="401">
        <v>2.8</v>
      </c>
      <c r="FY39" s="137">
        <v>1384323522</v>
      </c>
      <c r="FZ39" s="402">
        <f t="shared" si="16"/>
        <v>122.3</v>
      </c>
      <c r="GA39" s="137">
        <v>504082677</v>
      </c>
      <c r="GB39" s="137">
        <v>202930121</v>
      </c>
      <c r="GC39" s="137">
        <v>46675470</v>
      </c>
      <c r="GD39" s="137">
        <v>254477086</v>
      </c>
      <c r="GE39" s="129"/>
      <c r="GF39" s="137">
        <f>SUM(GF8:GF38)</f>
        <v>15396</v>
      </c>
      <c r="GG39" s="403">
        <f>IF(GF39=0,"-",ROUND(GF39/GY39*100,1))</f>
        <v>4.2</v>
      </c>
      <c r="GH39" s="398">
        <v>99.5</v>
      </c>
      <c r="GI39" s="398">
        <v>39.1</v>
      </c>
      <c r="GJ39" s="398">
        <v>98.7</v>
      </c>
      <c r="GK39" s="129">
        <f>SUM(GK8:GK38)</f>
        <v>30332</v>
      </c>
      <c r="GL39" s="404" t="s">
        <v>646</v>
      </c>
      <c r="GM39" s="404" t="s">
        <v>646</v>
      </c>
      <c r="GN39" s="405" t="s">
        <v>646</v>
      </c>
      <c r="GO39" s="404" t="s">
        <v>646</v>
      </c>
      <c r="GP39" s="404" t="s">
        <v>646</v>
      </c>
      <c r="GQ39" s="405" t="s">
        <v>646</v>
      </c>
      <c r="GR39" s="399">
        <v>2.8</v>
      </c>
      <c r="GS39" s="403" t="s">
        <v>646</v>
      </c>
      <c r="GT39" s="403" t="s">
        <v>646</v>
      </c>
      <c r="GU39" s="406" t="s">
        <v>646</v>
      </c>
      <c r="GV39" s="403" t="s">
        <v>646</v>
      </c>
      <c r="GW39" s="407"/>
      <c r="GX39" s="128">
        <f t="shared" si="17"/>
        <v>1131628</v>
      </c>
      <c r="GY39" s="408">
        <f>+GX13+GX16+GX17+GX19+GX23+GX26+GX27+GX30+GX31+GX36</f>
        <v>362440</v>
      </c>
      <c r="GZ39" s="408"/>
      <c r="HA39" s="408"/>
      <c r="HB39" s="408"/>
      <c r="HC39" s="408"/>
      <c r="HD39" s="408"/>
      <c r="HE39" s="408"/>
      <c r="HF39" s="408"/>
      <c r="HG39" s="408"/>
      <c r="HH39" s="408"/>
      <c r="HI39" s="408"/>
      <c r="HJ39" s="408"/>
      <c r="HK39" s="408"/>
      <c r="HL39" s="408"/>
      <c r="HM39" s="408"/>
      <c r="HN39" s="408"/>
      <c r="HO39" s="408"/>
      <c r="HP39" s="408"/>
      <c r="HQ39" s="408"/>
      <c r="HR39" s="408"/>
      <c r="HS39" s="408"/>
      <c r="HT39" s="408"/>
      <c r="HU39" s="408"/>
      <c r="HV39" s="408"/>
      <c r="HW39" s="408"/>
      <c r="HX39" s="408"/>
    </row>
    <row r="40" spans="1:232" x14ac:dyDescent="0.15">
      <c r="B40" s="89" t="s">
        <v>69</v>
      </c>
      <c r="C40" s="141">
        <v>5439839</v>
      </c>
      <c r="D40" s="73">
        <f t="shared" si="0"/>
        <v>1929970</v>
      </c>
      <c r="E40" s="141">
        <v>56372</v>
      </c>
      <c r="F40" s="141">
        <v>1873598</v>
      </c>
      <c r="G40" s="73">
        <f t="shared" si="1"/>
        <v>941831</v>
      </c>
      <c r="H40" s="141">
        <v>52819</v>
      </c>
      <c r="I40" s="141">
        <v>889012</v>
      </c>
      <c r="J40" s="141">
        <v>2015026</v>
      </c>
      <c r="K40" s="141">
        <v>643909</v>
      </c>
      <c r="L40" s="141">
        <v>937533</v>
      </c>
      <c r="M40" s="141">
        <v>407348</v>
      </c>
      <c r="N40" s="141">
        <v>120274</v>
      </c>
      <c r="O40" s="141">
        <v>394689</v>
      </c>
      <c r="P40" s="141">
        <v>186139</v>
      </c>
      <c r="Q40" s="141">
        <v>208550</v>
      </c>
      <c r="R40" s="141">
        <v>58552</v>
      </c>
      <c r="S40" s="74"/>
      <c r="T40" s="73">
        <f t="shared" ref="T40:T52" si="18">SUM(U40:AC40)</f>
        <v>874249</v>
      </c>
      <c r="U40" s="141">
        <v>4277</v>
      </c>
      <c r="V40" s="141">
        <v>42825</v>
      </c>
      <c r="W40" s="141">
        <v>46143</v>
      </c>
      <c r="X40" s="141">
        <v>666767</v>
      </c>
      <c r="Y40" s="141">
        <v>43020</v>
      </c>
      <c r="Z40" s="141">
        <v>0</v>
      </c>
      <c r="AA40" s="141">
        <v>693</v>
      </c>
      <c r="AB40" s="141">
        <v>15237</v>
      </c>
      <c r="AC40" s="141">
        <v>55287</v>
      </c>
      <c r="AD40" s="141">
        <v>46884</v>
      </c>
      <c r="AE40" s="141">
        <v>2287668</v>
      </c>
      <c r="AF40" s="141">
        <v>2155640</v>
      </c>
      <c r="AG40" s="141">
        <v>132028</v>
      </c>
      <c r="AH40" s="141">
        <v>2311</v>
      </c>
      <c r="AI40" s="141">
        <v>73022</v>
      </c>
      <c r="AJ40" s="73">
        <f t="shared" ref="AJ40:AJ52" si="19">AK40+AL40</f>
        <v>220297</v>
      </c>
      <c r="AK40" s="141">
        <v>185200</v>
      </c>
      <c r="AL40" s="141">
        <v>35097</v>
      </c>
      <c r="AM40" s="141">
        <v>2596341</v>
      </c>
      <c r="AN40" s="73">
        <f t="shared" ref="AN40:AN52" si="20">SUM(AO40:AR40)</f>
        <v>1080311</v>
      </c>
      <c r="AO40" s="141">
        <v>193997</v>
      </c>
      <c r="AP40" s="141">
        <v>541145</v>
      </c>
      <c r="AQ40" s="74"/>
      <c r="AR40" s="141">
        <v>345169</v>
      </c>
      <c r="AS40" s="141">
        <v>14676</v>
      </c>
      <c r="AT40" s="141">
        <v>0</v>
      </c>
      <c r="AU40" s="141">
        <v>0</v>
      </c>
      <c r="AV40" s="141">
        <v>1010061</v>
      </c>
      <c r="AW40" s="141">
        <v>630224</v>
      </c>
      <c r="AX40" s="141">
        <v>227776</v>
      </c>
      <c r="AY40" s="141">
        <v>900</v>
      </c>
      <c r="AZ40" s="141">
        <v>379837</v>
      </c>
      <c r="BA40" s="141">
        <v>260</v>
      </c>
      <c r="BB40" s="141">
        <v>7048</v>
      </c>
      <c r="BC40" s="141">
        <v>1249</v>
      </c>
      <c r="BD40" s="141">
        <v>348734</v>
      </c>
      <c r="BE40" s="141">
        <v>177818</v>
      </c>
      <c r="BF40" s="141">
        <v>0</v>
      </c>
      <c r="BG40" s="141">
        <v>0</v>
      </c>
      <c r="BH40" s="141">
        <v>134015</v>
      </c>
      <c r="BI40" s="141">
        <v>0</v>
      </c>
      <c r="BJ40" s="141">
        <v>88751</v>
      </c>
      <c r="BK40" s="141">
        <v>53570</v>
      </c>
      <c r="BL40" s="141">
        <v>219027</v>
      </c>
      <c r="BM40" s="141">
        <v>0</v>
      </c>
      <c r="BN40" s="141">
        <v>0</v>
      </c>
      <c r="BO40" s="141">
        <v>0</v>
      </c>
      <c r="BP40" s="141">
        <v>583943</v>
      </c>
      <c r="BQ40" s="73">
        <f t="shared" si="5"/>
        <v>489800</v>
      </c>
      <c r="BR40" s="73">
        <f t="shared" si="6"/>
        <v>94143</v>
      </c>
      <c r="BS40" s="141">
        <v>0</v>
      </c>
      <c r="BT40" s="141">
        <v>0</v>
      </c>
      <c r="BU40" s="141">
        <v>94143</v>
      </c>
      <c r="BV40" s="141">
        <v>0</v>
      </c>
      <c r="BW40" s="141">
        <v>14034545</v>
      </c>
      <c r="BX40" s="71"/>
      <c r="BY40" s="141">
        <v>2474589</v>
      </c>
      <c r="BZ40" s="141">
        <v>1412190</v>
      </c>
      <c r="CA40" s="141">
        <v>27743</v>
      </c>
      <c r="CB40" s="141">
        <v>532119</v>
      </c>
      <c r="CC40" s="141">
        <v>3740233</v>
      </c>
      <c r="CD40" s="141">
        <v>1335341</v>
      </c>
      <c r="CE40" s="141">
        <v>5415</v>
      </c>
      <c r="CF40" s="141">
        <v>1984990</v>
      </c>
      <c r="CG40" s="141">
        <v>268377</v>
      </c>
      <c r="CH40" s="141">
        <v>3995</v>
      </c>
      <c r="CI40" s="141">
        <v>142115</v>
      </c>
      <c r="CJ40" s="141">
        <v>1156397</v>
      </c>
      <c r="CK40" s="141">
        <v>1120963</v>
      </c>
      <c r="CL40" s="83">
        <f t="shared" ref="CL40:CL52" si="21">IF(CK40="","",CJ40-CK40)</f>
        <v>35434</v>
      </c>
      <c r="CM40" s="141">
        <v>2469650</v>
      </c>
      <c r="CN40" s="141">
        <v>1500526</v>
      </c>
      <c r="CO40" s="102"/>
      <c r="CP40" s="141">
        <v>479758</v>
      </c>
      <c r="CQ40" s="141">
        <v>98778</v>
      </c>
      <c r="CR40" s="141">
        <v>1133094</v>
      </c>
      <c r="CS40" s="141">
        <v>2009</v>
      </c>
      <c r="CT40" s="141">
        <v>54556</v>
      </c>
      <c r="CU40" s="141">
        <v>52083</v>
      </c>
      <c r="CV40" s="73">
        <f t="shared" si="8"/>
        <v>266605</v>
      </c>
      <c r="CW40" s="141">
        <v>0</v>
      </c>
      <c r="CX40" s="141">
        <v>266605</v>
      </c>
      <c r="CY40" s="73">
        <f t="shared" si="9"/>
        <v>0</v>
      </c>
      <c r="CZ40" s="141">
        <v>0</v>
      </c>
      <c r="DA40" s="141">
        <v>0</v>
      </c>
      <c r="DB40" s="73">
        <f t="shared" si="10"/>
        <v>265000</v>
      </c>
      <c r="DC40" s="141">
        <v>0</v>
      </c>
      <c r="DD40" s="141">
        <v>265000</v>
      </c>
      <c r="DE40" s="141">
        <v>799012</v>
      </c>
      <c r="DF40" s="141">
        <v>216327</v>
      </c>
      <c r="DG40" s="141">
        <v>582685</v>
      </c>
      <c r="DH40" s="141">
        <v>0</v>
      </c>
      <c r="DI40" s="141">
        <v>0</v>
      </c>
      <c r="DJ40" s="141">
        <v>1982</v>
      </c>
      <c r="DK40" s="141">
        <v>681999</v>
      </c>
      <c r="DL40" s="141">
        <v>26786</v>
      </c>
      <c r="DM40" s="141">
        <v>37230</v>
      </c>
      <c r="DN40" s="141">
        <v>617983</v>
      </c>
      <c r="DO40" s="141">
        <v>171733</v>
      </c>
      <c r="DP40" s="141">
        <v>171733</v>
      </c>
      <c r="DQ40" s="141">
        <v>1733</v>
      </c>
      <c r="DR40" s="141">
        <v>0</v>
      </c>
      <c r="DS40" s="141">
        <v>0</v>
      </c>
      <c r="DT40" s="141">
        <v>0</v>
      </c>
      <c r="DU40" s="141">
        <v>0</v>
      </c>
      <c r="DV40" s="141">
        <v>1228022</v>
      </c>
      <c r="DW40" s="141">
        <v>0</v>
      </c>
      <c r="DX40" s="73">
        <f t="shared" si="11"/>
        <v>0</v>
      </c>
      <c r="DY40" s="141">
        <v>0</v>
      </c>
      <c r="DZ40" s="141">
        <v>494438</v>
      </c>
      <c r="EA40" s="141">
        <v>0</v>
      </c>
      <c r="EB40" s="141">
        <v>265833</v>
      </c>
      <c r="EC40" s="74"/>
      <c r="ED40" s="141">
        <v>466303</v>
      </c>
      <c r="EE40" s="141">
        <v>0</v>
      </c>
      <c r="EF40" s="141">
        <v>13955489</v>
      </c>
      <c r="EG40" s="71"/>
      <c r="EH40" s="141">
        <v>79056</v>
      </c>
      <c r="EI40" s="141">
        <v>20201</v>
      </c>
      <c r="EJ40" s="141">
        <v>58855</v>
      </c>
      <c r="EK40" s="141">
        <v>5285</v>
      </c>
      <c r="EL40" s="141">
        <v>32071</v>
      </c>
      <c r="EM40" s="71"/>
      <c r="EN40" s="141">
        <v>30927</v>
      </c>
      <c r="EO40" s="141">
        <v>31681</v>
      </c>
      <c r="EP40" s="141">
        <v>43803</v>
      </c>
      <c r="EQ40" s="141">
        <v>4451</v>
      </c>
      <c r="ER40" s="73">
        <f t="shared" si="12"/>
        <v>1128318</v>
      </c>
      <c r="ES40" s="141">
        <v>8709503</v>
      </c>
      <c r="ET40" s="141">
        <v>-1268404</v>
      </c>
      <c r="EU40" s="141">
        <v>2219828</v>
      </c>
      <c r="EV40" s="141">
        <v>1307138</v>
      </c>
      <c r="EW40" s="141">
        <v>1386212</v>
      </c>
      <c r="EX40" s="141">
        <v>1118232</v>
      </c>
      <c r="EY40" s="73">
        <f t="shared" si="13"/>
        <v>268987</v>
      </c>
      <c r="EZ40" s="141">
        <v>267005</v>
      </c>
      <c r="FA40" s="141">
        <v>114000</v>
      </c>
      <c r="FB40" s="141">
        <v>153005</v>
      </c>
      <c r="FC40" s="141">
        <v>1982</v>
      </c>
      <c r="FD40" s="141">
        <v>0</v>
      </c>
      <c r="FE40" s="141">
        <v>1900828</v>
      </c>
      <c r="FF40" s="141">
        <v>1089675</v>
      </c>
      <c r="FG40" s="141">
        <v>2009</v>
      </c>
      <c r="FH40" s="141">
        <v>991413</v>
      </c>
      <c r="FI40" s="73">
        <f t="shared" si="14"/>
        <v>923676</v>
      </c>
      <c r="FJ40" s="141">
        <v>9898851</v>
      </c>
      <c r="FK40" s="379">
        <f t="shared" si="15"/>
        <v>0.8</v>
      </c>
      <c r="FL40" s="141">
        <v>7456069</v>
      </c>
      <c r="FM40" s="141">
        <v>94143</v>
      </c>
      <c r="FN40" s="141">
        <v>4166198</v>
      </c>
      <c r="FO40" s="141">
        <v>6321838</v>
      </c>
      <c r="FP40" s="390">
        <v>0.67500000000000004</v>
      </c>
      <c r="FQ40" s="380">
        <v>94.5</v>
      </c>
      <c r="FR40" s="381">
        <v>26.6</v>
      </c>
      <c r="FS40" s="380">
        <v>13.3</v>
      </c>
      <c r="FT40" s="380">
        <v>13.4</v>
      </c>
      <c r="FU40" s="381">
        <v>21.8</v>
      </c>
      <c r="FV40" s="380">
        <v>5.4</v>
      </c>
      <c r="FW40" s="382">
        <v>11.5</v>
      </c>
      <c r="FX40" s="383">
        <v>6.3</v>
      </c>
      <c r="FY40" s="141">
        <v>11656979</v>
      </c>
      <c r="FZ40" s="384">
        <f t="shared" si="16"/>
        <v>154.4</v>
      </c>
      <c r="GA40" s="141">
        <v>6224135</v>
      </c>
      <c r="GB40" s="141">
        <v>2288640</v>
      </c>
      <c r="GC40" s="141">
        <v>1013143</v>
      </c>
      <c r="GD40" s="141">
        <v>2922352</v>
      </c>
      <c r="GE40" s="107"/>
      <c r="GF40" s="385"/>
      <c r="GG40" s="386"/>
      <c r="GH40" s="380">
        <v>100</v>
      </c>
      <c r="GI40" s="380">
        <v>5.4</v>
      </c>
      <c r="GJ40" s="380">
        <v>97.4</v>
      </c>
      <c r="GK40" s="141">
        <v>237</v>
      </c>
      <c r="GL40" s="391" t="s">
        <v>646</v>
      </c>
      <c r="GM40" s="391">
        <v>13.87</v>
      </c>
      <c r="GN40" s="117">
        <v>20</v>
      </c>
      <c r="GO40" s="391" t="s">
        <v>646</v>
      </c>
      <c r="GP40" s="392">
        <v>18.87</v>
      </c>
      <c r="GQ40" s="387">
        <v>30</v>
      </c>
      <c r="GR40" s="381">
        <v>6.3</v>
      </c>
      <c r="GS40" s="388">
        <v>25</v>
      </c>
      <c r="GT40" s="388">
        <v>35</v>
      </c>
      <c r="GU40" s="393" t="s">
        <v>646</v>
      </c>
      <c r="GV40" s="388">
        <v>350</v>
      </c>
      <c r="GW40" s="394"/>
      <c r="GX40" s="100">
        <f t="shared" si="17"/>
        <v>7550</v>
      </c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  <c r="HW40" s="394"/>
      <c r="HX40" s="394"/>
    </row>
    <row r="41" spans="1:232" x14ac:dyDescent="0.15">
      <c r="B41" s="89" t="s">
        <v>71</v>
      </c>
      <c r="C41" s="141">
        <v>1687608</v>
      </c>
      <c r="D41" s="73">
        <f t="shared" si="0"/>
        <v>950052</v>
      </c>
      <c r="E41" s="141">
        <v>33458</v>
      </c>
      <c r="F41" s="141">
        <v>916594</v>
      </c>
      <c r="G41" s="73">
        <f t="shared" si="1"/>
        <v>39811</v>
      </c>
      <c r="H41" s="141">
        <v>22052</v>
      </c>
      <c r="I41" s="141">
        <v>17759</v>
      </c>
      <c r="J41" s="141">
        <v>607419</v>
      </c>
      <c r="K41" s="141">
        <v>165071</v>
      </c>
      <c r="L41" s="141">
        <v>320783</v>
      </c>
      <c r="M41" s="141">
        <v>121565</v>
      </c>
      <c r="N41" s="141">
        <v>48668</v>
      </c>
      <c r="O41" s="141">
        <v>0</v>
      </c>
      <c r="P41" s="141">
        <v>0</v>
      </c>
      <c r="Q41" s="141">
        <v>0</v>
      </c>
      <c r="R41" s="141">
        <v>59788</v>
      </c>
      <c r="S41" s="74"/>
      <c r="T41" s="73">
        <f t="shared" si="18"/>
        <v>468410</v>
      </c>
      <c r="U41" s="141">
        <v>2297</v>
      </c>
      <c r="V41" s="141">
        <v>22825</v>
      </c>
      <c r="W41" s="141">
        <v>24359</v>
      </c>
      <c r="X41" s="141">
        <v>374956</v>
      </c>
      <c r="Y41" s="141">
        <v>7659</v>
      </c>
      <c r="Z41" s="141">
        <v>0</v>
      </c>
      <c r="AA41" s="141">
        <v>692</v>
      </c>
      <c r="AB41" s="141">
        <v>15205</v>
      </c>
      <c r="AC41" s="141">
        <v>20417</v>
      </c>
      <c r="AD41" s="141">
        <v>18660</v>
      </c>
      <c r="AE41" s="141">
        <v>3071146</v>
      </c>
      <c r="AF41" s="141">
        <v>2834604</v>
      </c>
      <c r="AG41" s="141">
        <v>236542</v>
      </c>
      <c r="AH41" s="141">
        <v>2223</v>
      </c>
      <c r="AI41" s="141">
        <v>45787</v>
      </c>
      <c r="AJ41" s="73">
        <f t="shared" si="19"/>
        <v>52396</v>
      </c>
      <c r="AK41" s="141">
        <v>40482</v>
      </c>
      <c r="AL41" s="141">
        <v>11914</v>
      </c>
      <c r="AM41" s="141">
        <v>987929</v>
      </c>
      <c r="AN41" s="73">
        <f t="shared" si="20"/>
        <v>179216</v>
      </c>
      <c r="AO41" s="141">
        <v>0</v>
      </c>
      <c r="AP41" s="141">
        <v>6519</v>
      </c>
      <c r="AQ41" s="74"/>
      <c r="AR41" s="141">
        <v>172697</v>
      </c>
      <c r="AS41" s="141">
        <v>35435</v>
      </c>
      <c r="AT41" s="141">
        <v>0</v>
      </c>
      <c r="AU41" s="141">
        <v>0</v>
      </c>
      <c r="AV41" s="141">
        <v>502816</v>
      </c>
      <c r="AW41" s="141">
        <v>253120</v>
      </c>
      <c r="AX41" s="141">
        <v>0</v>
      </c>
      <c r="AY41" s="141">
        <v>686</v>
      </c>
      <c r="AZ41" s="141">
        <v>249696</v>
      </c>
      <c r="BA41" s="141">
        <v>23800</v>
      </c>
      <c r="BB41" s="141">
        <v>7378</v>
      </c>
      <c r="BC41" s="141">
        <v>143</v>
      </c>
      <c r="BD41" s="141">
        <v>13721</v>
      </c>
      <c r="BE41" s="141">
        <v>228115</v>
      </c>
      <c r="BF41" s="141">
        <v>137600</v>
      </c>
      <c r="BG41" s="141">
        <v>0</v>
      </c>
      <c r="BH41" s="141">
        <v>90515</v>
      </c>
      <c r="BI41" s="141">
        <v>0</v>
      </c>
      <c r="BJ41" s="141">
        <v>478741</v>
      </c>
      <c r="BK41" s="141">
        <v>348248</v>
      </c>
      <c r="BL41" s="141">
        <v>83864</v>
      </c>
      <c r="BM41" s="141">
        <v>4616</v>
      </c>
      <c r="BN41" s="141">
        <v>0</v>
      </c>
      <c r="BO41" s="141">
        <v>0</v>
      </c>
      <c r="BP41" s="141">
        <v>229991</v>
      </c>
      <c r="BQ41" s="73">
        <f t="shared" si="5"/>
        <v>197300</v>
      </c>
      <c r="BR41" s="73">
        <f t="shared" si="6"/>
        <v>32691</v>
      </c>
      <c r="BS41" s="141">
        <v>0</v>
      </c>
      <c r="BT41" s="141">
        <v>0</v>
      </c>
      <c r="BU41" s="141">
        <v>32691</v>
      </c>
      <c r="BV41" s="141">
        <v>0</v>
      </c>
      <c r="BW41" s="141">
        <v>7938573</v>
      </c>
      <c r="BX41" s="71"/>
      <c r="BY41" s="141">
        <v>1709338</v>
      </c>
      <c r="BZ41" s="141">
        <v>988179</v>
      </c>
      <c r="CA41" s="141">
        <v>29368</v>
      </c>
      <c r="CB41" s="141">
        <v>344282</v>
      </c>
      <c r="CC41" s="141">
        <v>852380</v>
      </c>
      <c r="CD41" s="141">
        <v>648516</v>
      </c>
      <c r="CE41" s="141">
        <v>235</v>
      </c>
      <c r="CF41" s="141">
        <v>194688</v>
      </c>
      <c r="CG41" s="141">
        <v>0</v>
      </c>
      <c r="CH41" s="141">
        <v>0</v>
      </c>
      <c r="CI41" s="141">
        <v>8941</v>
      </c>
      <c r="CJ41" s="141">
        <v>596625</v>
      </c>
      <c r="CK41" s="141">
        <v>577344</v>
      </c>
      <c r="CL41" s="83">
        <f t="shared" si="21"/>
        <v>19281</v>
      </c>
      <c r="CM41" s="141">
        <v>1215867</v>
      </c>
      <c r="CN41" s="141">
        <v>805511</v>
      </c>
      <c r="CO41" s="102"/>
      <c r="CP41" s="141">
        <v>193354</v>
      </c>
      <c r="CQ41" s="141">
        <v>156872</v>
      </c>
      <c r="CR41" s="141">
        <v>855075</v>
      </c>
      <c r="CS41" s="141">
        <v>251050</v>
      </c>
      <c r="CT41" s="141">
        <v>141575</v>
      </c>
      <c r="CU41" s="141">
        <v>128957</v>
      </c>
      <c r="CV41" s="73">
        <f t="shared" si="8"/>
        <v>0</v>
      </c>
      <c r="CW41" s="141">
        <v>0</v>
      </c>
      <c r="CX41" s="141">
        <v>0</v>
      </c>
      <c r="CY41" s="73">
        <f t="shared" si="9"/>
        <v>0</v>
      </c>
      <c r="CZ41" s="141">
        <v>0</v>
      </c>
      <c r="DA41" s="141">
        <v>0</v>
      </c>
      <c r="DB41" s="73">
        <f t="shared" si="10"/>
        <v>0</v>
      </c>
      <c r="DC41" s="141">
        <v>0</v>
      </c>
      <c r="DD41" s="141">
        <v>0</v>
      </c>
      <c r="DE41" s="141">
        <v>301366</v>
      </c>
      <c r="DF41" s="141">
        <v>131647</v>
      </c>
      <c r="DG41" s="141">
        <v>84838</v>
      </c>
      <c r="DH41" s="141">
        <v>21270</v>
      </c>
      <c r="DI41" s="141">
        <v>0</v>
      </c>
      <c r="DJ41" s="141">
        <v>24617</v>
      </c>
      <c r="DK41" s="141">
        <v>414599</v>
      </c>
      <c r="DL41" s="141">
        <v>350155</v>
      </c>
      <c r="DM41" s="141">
        <v>26046</v>
      </c>
      <c r="DN41" s="141">
        <v>38398</v>
      </c>
      <c r="DO41" s="141">
        <v>0</v>
      </c>
      <c r="DP41" s="141">
        <v>0</v>
      </c>
      <c r="DQ41" s="141">
        <v>0</v>
      </c>
      <c r="DR41" s="141">
        <v>0</v>
      </c>
      <c r="DS41" s="141">
        <v>2600</v>
      </c>
      <c r="DT41" s="141">
        <v>0</v>
      </c>
      <c r="DU41" s="141">
        <v>0</v>
      </c>
      <c r="DV41" s="141">
        <v>1232935</v>
      </c>
      <c r="DW41" s="141">
        <v>162910</v>
      </c>
      <c r="DX41" s="73">
        <f t="shared" si="11"/>
        <v>0</v>
      </c>
      <c r="DY41" s="141">
        <v>0</v>
      </c>
      <c r="DZ41" s="141">
        <v>444948</v>
      </c>
      <c r="EA41" s="141">
        <v>0</v>
      </c>
      <c r="EB41" s="141">
        <v>180651</v>
      </c>
      <c r="EC41" s="74"/>
      <c r="ED41" s="141">
        <v>347226</v>
      </c>
      <c r="EE41" s="141">
        <v>0</v>
      </c>
      <c r="EF41" s="141">
        <v>7362274</v>
      </c>
      <c r="EG41" s="71"/>
      <c r="EH41" s="141">
        <v>576299</v>
      </c>
      <c r="EI41" s="141">
        <v>137245</v>
      </c>
      <c r="EJ41" s="141">
        <v>439054</v>
      </c>
      <c r="EK41" s="141">
        <v>90806</v>
      </c>
      <c r="EL41" s="141">
        <v>303361</v>
      </c>
      <c r="EM41" s="71"/>
      <c r="EN41" s="141">
        <v>18279</v>
      </c>
      <c r="EO41" s="141">
        <v>18183</v>
      </c>
      <c r="EP41" s="141">
        <v>137600</v>
      </c>
      <c r="EQ41" s="141">
        <v>143</v>
      </c>
      <c r="ER41" s="73">
        <f t="shared" si="12"/>
        <v>852811</v>
      </c>
      <c r="ES41" s="141">
        <v>5307835</v>
      </c>
      <c r="ET41" s="141">
        <v>-1021022</v>
      </c>
      <c r="EU41" s="141">
        <v>1518005</v>
      </c>
      <c r="EV41" s="141">
        <v>897436</v>
      </c>
      <c r="EW41" s="141">
        <v>377408</v>
      </c>
      <c r="EX41" s="141">
        <v>596625</v>
      </c>
      <c r="EY41" s="73">
        <f t="shared" si="13"/>
        <v>45963</v>
      </c>
      <c r="EZ41" s="141">
        <v>43517</v>
      </c>
      <c r="FA41" s="141">
        <v>10125</v>
      </c>
      <c r="FB41" s="141">
        <v>33119</v>
      </c>
      <c r="FC41" s="141">
        <v>2446</v>
      </c>
      <c r="FD41" s="141">
        <v>0</v>
      </c>
      <c r="FE41" s="141">
        <v>912542</v>
      </c>
      <c r="FF41" s="141">
        <v>743957</v>
      </c>
      <c r="FG41" s="141">
        <v>221550</v>
      </c>
      <c r="FH41" s="141">
        <v>1020799</v>
      </c>
      <c r="FI41" s="73">
        <f t="shared" si="14"/>
        <v>537259</v>
      </c>
      <c r="FJ41" s="141">
        <v>5752558</v>
      </c>
      <c r="FK41" s="379">
        <f t="shared" si="15"/>
        <v>8.6</v>
      </c>
      <c r="FL41" s="141">
        <v>5055469</v>
      </c>
      <c r="FM41" s="141">
        <v>32691</v>
      </c>
      <c r="FN41" s="141">
        <v>1781988</v>
      </c>
      <c r="FO41" s="141">
        <v>4558885</v>
      </c>
      <c r="FP41" s="390">
        <v>0.39800000000000002</v>
      </c>
      <c r="FQ41" s="380">
        <v>92</v>
      </c>
      <c r="FR41" s="381">
        <v>29.6</v>
      </c>
      <c r="FS41" s="380">
        <v>3.7</v>
      </c>
      <c r="FT41" s="380">
        <v>11.6</v>
      </c>
      <c r="FU41" s="381">
        <v>14.5</v>
      </c>
      <c r="FV41" s="380">
        <v>12.5</v>
      </c>
      <c r="FW41" s="382">
        <v>17.7</v>
      </c>
      <c r="FX41" s="383">
        <v>5.5</v>
      </c>
      <c r="FY41" s="141">
        <v>5159699</v>
      </c>
      <c r="FZ41" s="384">
        <f t="shared" si="16"/>
        <v>101.4</v>
      </c>
      <c r="GA41" s="141">
        <v>2542216</v>
      </c>
      <c r="GB41" s="141">
        <v>1744239</v>
      </c>
      <c r="GC41" s="141">
        <v>102315</v>
      </c>
      <c r="GD41" s="141">
        <v>695662</v>
      </c>
      <c r="GE41" s="107"/>
      <c r="GF41" s="385"/>
      <c r="GG41" s="386"/>
      <c r="GH41" s="380">
        <v>99.2</v>
      </c>
      <c r="GI41" s="380">
        <v>22.8</v>
      </c>
      <c r="GJ41" s="380">
        <v>97.4</v>
      </c>
      <c r="GK41" s="141">
        <v>149</v>
      </c>
      <c r="GL41" s="391" t="s">
        <v>646</v>
      </c>
      <c r="GM41" s="391">
        <v>14.94</v>
      </c>
      <c r="GN41" s="117">
        <v>20</v>
      </c>
      <c r="GO41" s="391" t="s">
        <v>646</v>
      </c>
      <c r="GP41" s="392">
        <v>19.940000000000001</v>
      </c>
      <c r="GQ41" s="387">
        <v>30</v>
      </c>
      <c r="GR41" s="381">
        <v>5.5</v>
      </c>
      <c r="GS41" s="388">
        <v>25</v>
      </c>
      <c r="GT41" s="388">
        <v>35</v>
      </c>
      <c r="GU41" s="393" t="s">
        <v>646</v>
      </c>
      <c r="GV41" s="388">
        <v>350</v>
      </c>
      <c r="GW41" s="394"/>
      <c r="GX41" s="100">
        <f t="shared" si="17"/>
        <v>5088</v>
      </c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  <c r="HW41" s="394"/>
      <c r="HX41" s="394"/>
    </row>
    <row r="42" spans="1:232" x14ac:dyDescent="0.15">
      <c r="B42" s="89" t="s">
        <v>73</v>
      </c>
      <c r="C42" s="141">
        <v>1071214</v>
      </c>
      <c r="D42" s="73">
        <f t="shared" si="0"/>
        <v>374332</v>
      </c>
      <c r="E42" s="141">
        <v>16581</v>
      </c>
      <c r="F42" s="141">
        <v>357751</v>
      </c>
      <c r="G42" s="73">
        <f t="shared" si="1"/>
        <v>43503</v>
      </c>
      <c r="H42" s="141">
        <v>20264</v>
      </c>
      <c r="I42" s="141">
        <v>23239</v>
      </c>
      <c r="J42" s="141">
        <v>546286</v>
      </c>
      <c r="K42" s="141">
        <v>105813</v>
      </c>
      <c r="L42" s="141">
        <v>216942</v>
      </c>
      <c r="M42" s="141">
        <v>223473</v>
      </c>
      <c r="N42" s="141">
        <v>56997</v>
      </c>
      <c r="O42" s="141">
        <v>0</v>
      </c>
      <c r="P42" s="141">
        <v>0</v>
      </c>
      <c r="Q42" s="141">
        <v>0</v>
      </c>
      <c r="R42" s="141">
        <v>63386</v>
      </c>
      <c r="S42" s="74"/>
      <c r="T42" s="73">
        <f t="shared" si="18"/>
        <v>291739</v>
      </c>
      <c r="U42" s="141">
        <v>887</v>
      </c>
      <c r="V42" s="141">
        <v>8837</v>
      </c>
      <c r="W42" s="141">
        <v>9444</v>
      </c>
      <c r="X42" s="141">
        <v>208588</v>
      </c>
      <c r="Y42" s="141">
        <v>24781</v>
      </c>
      <c r="Z42" s="141">
        <v>0</v>
      </c>
      <c r="AA42" s="141">
        <v>653</v>
      </c>
      <c r="AB42" s="141">
        <v>14343</v>
      </c>
      <c r="AC42" s="141">
        <v>24206</v>
      </c>
      <c r="AD42" s="141">
        <v>2266</v>
      </c>
      <c r="AE42" s="141">
        <v>2606675</v>
      </c>
      <c r="AF42" s="141">
        <v>2345494</v>
      </c>
      <c r="AG42" s="141">
        <v>261181</v>
      </c>
      <c r="AH42" s="141">
        <v>1149</v>
      </c>
      <c r="AI42" s="141">
        <v>17230</v>
      </c>
      <c r="AJ42" s="73">
        <f t="shared" si="19"/>
        <v>76536</v>
      </c>
      <c r="AK42" s="141">
        <v>43340</v>
      </c>
      <c r="AL42" s="141">
        <v>33196</v>
      </c>
      <c r="AM42" s="141">
        <v>541139</v>
      </c>
      <c r="AN42" s="73">
        <f t="shared" si="20"/>
        <v>138529</v>
      </c>
      <c r="AO42" s="141">
        <v>0</v>
      </c>
      <c r="AP42" s="141">
        <v>0</v>
      </c>
      <c r="AQ42" s="74"/>
      <c r="AR42" s="141">
        <v>138529</v>
      </c>
      <c r="AS42" s="141">
        <v>0</v>
      </c>
      <c r="AT42" s="141">
        <v>0</v>
      </c>
      <c r="AU42" s="141">
        <v>0</v>
      </c>
      <c r="AV42" s="141">
        <v>411646</v>
      </c>
      <c r="AW42" s="141">
        <v>157983</v>
      </c>
      <c r="AX42" s="141">
        <v>0</v>
      </c>
      <c r="AY42" s="141">
        <v>0</v>
      </c>
      <c r="AZ42" s="141">
        <v>253663</v>
      </c>
      <c r="BA42" s="141">
        <v>0</v>
      </c>
      <c r="BB42" s="141">
        <v>48497</v>
      </c>
      <c r="BC42" s="141">
        <v>42066</v>
      </c>
      <c r="BD42" s="141">
        <v>75357</v>
      </c>
      <c r="BE42" s="141">
        <v>88760</v>
      </c>
      <c r="BF42" s="141">
        <v>50000</v>
      </c>
      <c r="BG42" s="141">
        <v>0</v>
      </c>
      <c r="BH42" s="141">
        <v>22190</v>
      </c>
      <c r="BI42" s="141">
        <v>0</v>
      </c>
      <c r="BJ42" s="141">
        <v>214096</v>
      </c>
      <c r="BK42" s="141">
        <v>213376</v>
      </c>
      <c r="BL42" s="141">
        <v>84867</v>
      </c>
      <c r="BM42" s="141">
        <v>0</v>
      </c>
      <c r="BN42" s="141">
        <v>0</v>
      </c>
      <c r="BO42" s="141">
        <v>0</v>
      </c>
      <c r="BP42" s="141">
        <v>221396</v>
      </c>
      <c r="BQ42" s="73">
        <f t="shared" si="5"/>
        <v>199800</v>
      </c>
      <c r="BR42" s="73">
        <f t="shared" si="6"/>
        <v>21596</v>
      </c>
      <c r="BS42" s="141">
        <v>0</v>
      </c>
      <c r="BT42" s="141">
        <v>0</v>
      </c>
      <c r="BU42" s="141">
        <v>21596</v>
      </c>
      <c r="BV42" s="141">
        <v>0</v>
      </c>
      <c r="BW42" s="141">
        <v>5815953</v>
      </c>
      <c r="BX42" s="71"/>
      <c r="BY42" s="141">
        <v>978773</v>
      </c>
      <c r="BZ42" s="141">
        <v>520094</v>
      </c>
      <c r="CA42" s="141">
        <v>13671</v>
      </c>
      <c r="CB42" s="141">
        <v>190833</v>
      </c>
      <c r="CC42" s="141">
        <v>640395</v>
      </c>
      <c r="CD42" s="141">
        <v>462945</v>
      </c>
      <c r="CE42" s="141">
        <v>0</v>
      </c>
      <c r="CF42" s="141">
        <v>141714</v>
      </c>
      <c r="CG42" s="141">
        <v>0</v>
      </c>
      <c r="CH42" s="141">
        <v>9444</v>
      </c>
      <c r="CI42" s="141">
        <v>26292</v>
      </c>
      <c r="CJ42" s="141">
        <v>600306</v>
      </c>
      <c r="CK42" s="141">
        <v>564091</v>
      </c>
      <c r="CL42" s="83">
        <f t="shared" si="21"/>
        <v>36215</v>
      </c>
      <c r="CM42" s="141">
        <v>969707</v>
      </c>
      <c r="CN42" s="141">
        <v>676446</v>
      </c>
      <c r="CO42" s="102"/>
      <c r="CP42" s="141">
        <v>159161</v>
      </c>
      <c r="CQ42" s="141">
        <v>20408</v>
      </c>
      <c r="CR42" s="141">
        <v>961117</v>
      </c>
      <c r="CS42" s="141">
        <v>110276</v>
      </c>
      <c r="CT42" s="141">
        <v>196373</v>
      </c>
      <c r="CU42" s="141">
        <v>159936</v>
      </c>
      <c r="CV42" s="73">
        <f t="shared" si="8"/>
        <v>282517</v>
      </c>
      <c r="CW42" s="141">
        <v>3883</v>
      </c>
      <c r="CX42" s="141">
        <v>278634</v>
      </c>
      <c r="CY42" s="73">
        <f t="shared" si="9"/>
        <v>0</v>
      </c>
      <c r="CZ42" s="141">
        <v>0</v>
      </c>
      <c r="DA42" s="141">
        <v>0</v>
      </c>
      <c r="DB42" s="73">
        <f t="shared" si="10"/>
        <v>155200</v>
      </c>
      <c r="DC42" s="141">
        <v>0</v>
      </c>
      <c r="DD42" s="141">
        <v>155200</v>
      </c>
      <c r="DE42" s="141">
        <v>332245</v>
      </c>
      <c r="DF42" s="141">
        <v>111181</v>
      </c>
      <c r="DG42" s="141">
        <v>221064</v>
      </c>
      <c r="DH42" s="141">
        <v>0</v>
      </c>
      <c r="DI42" s="141">
        <v>0</v>
      </c>
      <c r="DJ42" s="141">
        <v>4800</v>
      </c>
      <c r="DK42" s="141">
        <v>367477</v>
      </c>
      <c r="DL42" s="141">
        <v>296015</v>
      </c>
      <c r="DM42" s="141">
        <v>0</v>
      </c>
      <c r="DN42" s="141">
        <v>71462</v>
      </c>
      <c r="DO42" s="141">
        <v>178250</v>
      </c>
      <c r="DP42" s="141">
        <v>178250</v>
      </c>
      <c r="DQ42" s="141">
        <v>71691</v>
      </c>
      <c r="DR42" s="141">
        <v>0</v>
      </c>
      <c r="DS42" s="141">
        <v>0</v>
      </c>
      <c r="DT42" s="141">
        <v>0</v>
      </c>
      <c r="DU42" s="141">
        <v>0</v>
      </c>
      <c r="DV42" s="141">
        <v>586189</v>
      </c>
      <c r="DW42" s="141">
        <v>0</v>
      </c>
      <c r="DX42" s="73">
        <f t="shared" si="11"/>
        <v>0</v>
      </c>
      <c r="DY42" s="141">
        <v>0</v>
      </c>
      <c r="DZ42" s="141">
        <v>237009</v>
      </c>
      <c r="EA42" s="141">
        <v>0</v>
      </c>
      <c r="EB42" s="141">
        <v>148837</v>
      </c>
      <c r="EC42" s="74"/>
      <c r="ED42" s="141">
        <v>195652</v>
      </c>
      <c r="EE42" s="141">
        <v>0</v>
      </c>
      <c r="EF42" s="141">
        <v>5639667</v>
      </c>
      <c r="EG42" s="71"/>
      <c r="EH42" s="141">
        <v>176286</v>
      </c>
      <c r="EI42" s="141">
        <v>19263</v>
      </c>
      <c r="EJ42" s="141">
        <v>157023</v>
      </c>
      <c r="EK42" s="141">
        <v>-56353</v>
      </c>
      <c r="EL42" s="141">
        <v>189662</v>
      </c>
      <c r="EM42" s="71"/>
      <c r="EN42" s="141">
        <v>9079</v>
      </c>
      <c r="EO42" s="141">
        <v>9125</v>
      </c>
      <c r="EP42" s="141">
        <v>79570</v>
      </c>
      <c r="EQ42" s="141">
        <v>48230</v>
      </c>
      <c r="ER42" s="73">
        <f t="shared" si="12"/>
        <v>508219</v>
      </c>
      <c r="ES42" s="141">
        <v>4036429</v>
      </c>
      <c r="ET42" s="141">
        <v>-656466</v>
      </c>
      <c r="EU42" s="141">
        <v>892900</v>
      </c>
      <c r="EV42" s="141">
        <v>462587</v>
      </c>
      <c r="EW42" s="141">
        <v>291911</v>
      </c>
      <c r="EX42" s="141">
        <v>600306</v>
      </c>
      <c r="EY42" s="73">
        <f t="shared" si="13"/>
        <v>133687</v>
      </c>
      <c r="EZ42" s="141">
        <v>129085</v>
      </c>
      <c r="FA42" s="141">
        <v>23021</v>
      </c>
      <c r="FB42" s="141">
        <v>106064</v>
      </c>
      <c r="FC42" s="141">
        <v>4602</v>
      </c>
      <c r="FD42" s="141">
        <v>0</v>
      </c>
      <c r="FE42" s="141">
        <v>773251</v>
      </c>
      <c r="FF42" s="141">
        <v>801280</v>
      </c>
      <c r="FG42" s="141">
        <v>110276</v>
      </c>
      <c r="FH42" s="141">
        <v>458366</v>
      </c>
      <c r="FI42" s="73">
        <f t="shared" si="14"/>
        <v>564908</v>
      </c>
      <c r="FJ42" s="141">
        <v>4516609</v>
      </c>
      <c r="FK42" s="379">
        <f t="shared" si="15"/>
        <v>4.2</v>
      </c>
      <c r="FL42" s="141">
        <v>3760275</v>
      </c>
      <c r="FM42" s="141">
        <v>21596</v>
      </c>
      <c r="FN42" s="141">
        <v>1130817</v>
      </c>
      <c r="FO42" s="141">
        <v>3438898</v>
      </c>
      <c r="FP42" s="390">
        <v>0.33800000000000002</v>
      </c>
      <c r="FQ42" s="380">
        <v>92.6</v>
      </c>
      <c r="FR42" s="381">
        <v>22.6</v>
      </c>
      <c r="FS42" s="380">
        <v>4</v>
      </c>
      <c r="FT42" s="380">
        <v>15.7</v>
      </c>
      <c r="FU42" s="381">
        <v>16.3</v>
      </c>
      <c r="FV42" s="380">
        <v>17.399999999999999</v>
      </c>
      <c r="FW42" s="382">
        <v>11.4</v>
      </c>
      <c r="FX42" s="383">
        <v>14.7</v>
      </c>
      <c r="FY42" s="141">
        <v>6610397</v>
      </c>
      <c r="FZ42" s="384">
        <f t="shared" si="16"/>
        <v>174.8</v>
      </c>
      <c r="GA42" s="141">
        <v>2501026</v>
      </c>
      <c r="GB42" s="141">
        <v>1943005</v>
      </c>
      <c r="GC42" s="141">
        <v>0</v>
      </c>
      <c r="GD42" s="141">
        <v>558021</v>
      </c>
      <c r="GE42" s="107"/>
      <c r="GF42" s="385"/>
      <c r="GG42" s="386"/>
      <c r="GH42" s="380">
        <v>99.1</v>
      </c>
      <c r="GI42" s="380">
        <v>18.8</v>
      </c>
      <c r="GJ42" s="380">
        <v>96.7</v>
      </c>
      <c r="GK42" s="141">
        <v>92</v>
      </c>
      <c r="GL42" s="391" t="s">
        <v>646</v>
      </c>
      <c r="GM42" s="391">
        <v>15</v>
      </c>
      <c r="GN42" s="117">
        <v>20</v>
      </c>
      <c r="GO42" s="391" t="s">
        <v>646</v>
      </c>
      <c r="GP42" s="392">
        <v>20</v>
      </c>
      <c r="GQ42" s="387">
        <v>30</v>
      </c>
      <c r="GR42" s="381">
        <v>14.7</v>
      </c>
      <c r="GS42" s="388">
        <v>25</v>
      </c>
      <c r="GT42" s="388">
        <v>35</v>
      </c>
      <c r="GU42" s="393">
        <v>84.2</v>
      </c>
      <c r="GV42" s="388">
        <v>350</v>
      </c>
      <c r="GW42" s="394"/>
      <c r="GX42" s="100">
        <f t="shared" si="17"/>
        <v>3782</v>
      </c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  <c r="HW42" s="394"/>
      <c r="HX42" s="394"/>
    </row>
    <row r="43" spans="1:232" x14ac:dyDescent="0.15">
      <c r="B43" s="89" t="s">
        <v>75</v>
      </c>
      <c r="C43" s="141">
        <v>2442793</v>
      </c>
      <c r="D43" s="73">
        <f t="shared" si="0"/>
        <v>786723</v>
      </c>
      <c r="E43" s="141">
        <v>26914</v>
      </c>
      <c r="F43" s="141">
        <v>759809</v>
      </c>
      <c r="G43" s="73">
        <f t="shared" si="1"/>
        <v>150005</v>
      </c>
      <c r="H43" s="141">
        <v>49196</v>
      </c>
      <c r="I43" s="141">
        <v>100809</v>
      </c>
      <c r="J43" s="141">
        <v>1100973</v>
      </c>
      <c r="K43" s="141">
        <v>502472</v>
      </c>
      <c r="L43" s="141">
        <v>419912</v>
      </c>
      <c r="M43" s="141">
        <v>161633</v>
      </c>
      <c r="N43" s="141">
        <v>132750</v>
      </c>
      <c r="O43" s="141">
        <v>227469</v>
      </c>
      <c r="P43" s="141">
        <v>135139</v>
      </c>
      <c r="Q43" s="141">
        <v>92330</v>
      </c>
      <c r="R43" s="141">
        <v>32884</v>
      </c>
      <c r="S43" s="74"/>
      <c r="T43" s="73">
        <f t="shared" si="18"/>
        <v>475233</v>
      </c>
      <c r="U43" s="141">
        <v>1756</v>
      </c>
      <c r="V43" s="141">
        <v>17569</v>
      </c>
      <c r="W43" s="141">
        <v>18901</v>
      </c>
      <c r="X43" s="141">
        <v>382284</v>
      </c>
      <c r="Y43" s="141">
        <v>0</v>
      </c>
      <c r="Z43" s="141">
        <v>0</v>
      </c>
      <c r="AA43" s="141">
        <v>399</v>
      </c>
      <c r="AB43" s="141">
        <v>8774</v>
      </c>
      <c r="AC43" s="141">
        <v>45550</v>
      </c>
      <c r="AD43" s="141">
        <v>16425</v>
      </c>
      <c r="AE43" s="141">
        <v>2128772</v>
      </c>
      <c r="AF43" s="141">
        <v>1877477</v>
      </c>
      <c r="AG43" s="141">
        <v>251295</v>
      </c>
      <c r="AH43" s="141">
        <v>2435</v>
      </c>
      <c r="AI43" s="141">
        <v>573</v>
      </c>
      <c r="AJ43" s="73">
        <f t="shared" si="19"/>
        <v>98716</v>
      </c>
      <c r="AK43" s="141">
        <v>59300</v>
      </c>
      <c r="AL43" s="141">
        <v>39416</v>
      </c>
      <c r="AM43" s="141">
        <v>1162045</v>
      </c>
      <c r="AN43" s="73">
        <f t="shared" si="20"/>
        <v>319480</v>
      </c>
      <c r="AO43" s="141">
        <v>0</v>
      </c>
      <c r="AP43" s="141">
        <v>108159</v>
      </c>
      <c r="AQ43" s="74"/>
      <c r="AR43" s="141">
        <v>211321</v>
      </c>
      <c r="AS43" s="141">
        <v>92964</v>
      </c>
      <c r="AT43" s="141">
        <v>0</v>
      </c>
      <c r="AU43" s="141">
        <v>0</v>
      </c>
      <c r="AV43" s="141">
        <v>551092</v>
      </c>
      <c r="AW43" s="141">
        <v>366798</v>
      </c>
      <c r="AX43" s="141">
        <v>50426</v>
      </c>
      <c r="AY43" s="141">
        <v>211</v>
      </c>
      <c r="AZ43" s="141">
        <v>184294</v>
      </c>
      <c r="BA43" s="141">
        <v>0</v>
      </c>
      <c r="BB43" s="141">
        <v>41991</v>
      </c>
      <c r="BC43" s="141">
        <v>8780</v>
      </c>
      <c r="BD43" s="141">
        <v>192548</v>
      </c>
      <c r="BE43" s="141">
        <v>125965</v>
      </c>
      <c r="BF43" s="141">
        <v>0</v>
      </c>
      <c r="BG43" s="141">
        <v>0</v>
      </c>
      <c r="BH43" s="141">
        <v>125965</v>
      </c>
      <c r="BI43" s="141">
        <v>0</v>
      </c>
      <c r="BJ43" s="141">
        <v>421620</v>
      </c>
      <c r="BK43" s="141">
        <v>363341</v>
      </c>
      <c r="BL43" s="141">
        <v>242490</v>
      </c>
      <c r="BM43" s="141">
        <v>0</v>
      </c>
      <c r="BN43" s="141">
        <v>0</v>
      </c>
      <c r="BO43" s="141">
        <v>0</v>
      </c>
      <c r="BP43" s="141">
        <v>804242</v>
      </c>
      <c r="BQ43" s="73">
        <f t="shared" si="5"/>
        <v>766300</v>
      </c>
      <c r="BR43" s="73">
        <f t="shared" si="6"/>
        <v>37942</v>
      </c>
      <c r="BS43" s="141">
        <v>0</v>
      </c>
      <c r="BT43" s="141">
        <v>0</v>
      </c>
      <c r="BU43" s="141">
        <v>37942</v>
      </c>
      <c r="BV43" s="141">
        <v>0</v>
      </c>
      <c r="BW43" s="141">
        <v>8739824</v>
      </c>
      <c r="BX43" s="71"/>
      <c r="BY43" s="141">
        <v>1499919</v>
      </c>
      <c r="BZ43" s="141">
        <v>977924</v>
      </c>
      <c r="CA43" s="141">
        <v>19834</v>
      </c>
      <c r="CB43" s="141">
        <v>170191</v>
      </c>
      <c r="CC43" s="141">
        <v>1577950</v>
      </c>
      <c r="CD43" s="141">
        <v>943851</v>
      </c>
      <c r="CE43" s="141">
        <v>0</v>
      </c>
      <c r="CF43" s="141">
        <v>582421</v>
      </c>
      <c r="CG43" s="141">
        <v>0</v>
      </c>
      <c r="CH43" s="141">
        <v>0</v>
      </c>
      <c r="CI43" s="141">
        <v>51678</v>
      </c>
      <c r="CJ43" s="141">
        <v>769320</v>
      </c>
      <c r="CK43" s="141">
        <v>727720</v>
      </c>
      <c r="CL43" s="83">
        <f t="shared" si="21"/>
        <v>41600</v>
      </c>
      <c r="CM43" s="141">
        <v>1284022</v>
      </c>
      <c r="CN43" s="141">
        <v>887427</v>
      </c>
      <c r="CO43" s="102"/>
      <c r="CP43" s="141">
        <v>200023</v>
      </c>
      <c r="CQ43" s="141">
        <v>13227</v>
      </c>
      <c r="CR43" s="141">
        <v>762573</v>
      </c>
      <c r="CS43" s="141">
        <v>23561</v>
      </c>
      <c r="CT43" s="141">
        <v>121343</v>
      </c>
      <c r="CU43" s="141">
        <v>110805</v>
      </c>
      <c r="CV43" s="73">
        <f t="shared" si="8"/>
        <v>340000</v>
      </c>
      <c r="CW43" s="141">
        <v>340000</v>
      </c>
      <c r="CX43" s="141">
        <v>0</v>
      </c>
      <c r="CY43" s="73">
        <f t="shared" si="9"/>
        <v>0</v>
      </c>
      <c r="CZ43" s="141">
        <v>0</v>
      </c>
      <c r="DA43" s="141">
        <v>0</v>
      </c>
      <c r="DB43" s="73">
        <f t="shared" si="10"/>
        <v>340000</v>
      </c>
      <c r="DC43" s="141">
        <v>340000</v>
      </c>
      <c r="DD43" s="141">
        <v>0</v>
      </c>
      <c r="DE43" s="141">
        <v>1221109</v>
      </c>
      <c r="DF43" s="141">
        <v>233096</v>
      </c>
      <c r="DG43" s="141">
        <v>988011</v>
      </c>
      <c r="DH43" s="141">
        <v>0</v>
      </c>
      <c r="DI43" s="141">
        <v>0</v>
      </c>
      <c r="DJ43" s="141">
        <v>0</v>
      </c>
      <c r="DK43" s="141">
        <v>519387</v>
      </c>
      <c r="DL43" s="141">
        <v>447070</v>
      </c>
      <c r="DM43" s="141">
        <v>0</v>
      </c>
      <c r="DN43" s="141">
        <v>72317</v>
      </c>
      <c r="DO43" s="141">
        <v>150000</v>
      </c>
      <c r="DP43" s="141">
        <v>150000</v>
      </c>
      <c r="DQ43" s="141">
        <v>0</v>
      </c>
      <c r="DR43" s="141">
        <v>0</v>
      </c>
      <c r="DS43" s="141">
        <v>0</v>
      </c>
      <c r="DT43" s="141">
        <v>0</v>
      </c>
      <c r="DU43" s="141">
        <v>0</v>
      </c>
      <c r="DV43" s="141">
        <v>834551</v>
      </c>
      <c r="DW43" s="141">
        <v>0</v>
      </c>
      <c r="DX43" s="73">
        <f t="shared" si="11"/>
        <v>0</v>
      </c>
      <c r="DY43" s="141">
        <v>0</v>
      </c>
      <c r="DZ43" s="141">
        <v>335957</v>
      </c>
      <c r="EA43" s="141">
        <v>0</v>
      </c>
      <c r="EB43" s="141">
        <v>221125</v>
      </c>
      <c r="EC43" s="74"/>
      <c r="ED43" s="141">
        <v>277469</v>
      </c>
      <c r="EE43" s="141">
        <v>0</v>
      </c>
      <c r="EF43" s="141">
        <v>8632058</v>
      </c>
      <c r="EG43" s="71"/>
      <c r="EH43" s="141">
        <v>107766</v>
      </c>
      <c r="EI43" s="141">
        <v>346</v>
      </c>
      <c r="EJ43" s="141">
        <v>107420</v>
      </c>
      <c r="EK43" s="141">
        <v>-255921</v>
      </c>
      <c r="EL43" s="141">
        <v>191149</v>
      </c>
      <c r="EM43" s="71"/>
      <c r="EN43" s="141">
        <v>16567</v>
      </c>
      <c r="EO43" s="141">
        <v>16573</v>
      </c>
      <c r="EP43" s="141">
        <v>0</v>
      </c>
      <c r="EQ43" s="141">
        <v>8972</v>
      </c>
      <c r="ER43" s="73">
        <f t="shared" si="12"/>
        <v>799278</v>
      </c>
      <c r="ES43" s="141">
        <v>5098542</v>
      </c>
      <c r="ET43" s="141">
        <v>-843757</v>
      </c>
      <c r="EU43" s="141">
        <v>1386064</v>
      </c>
      <c r="EV43" s="141">
        <v>905090</v>
      </c>
      <c r="EW43" s="141">
        <v>694309</v>
      </c>
      <c r="EX43" s="141">
        <v>736322</v>
      </c>
      <c r="EY43" s="73">
        <f t="shared" si="13"/>
        <v>117574</v>
      </c>
      <c r="EZ43" s="141">
        <v>117574</v>
      </c>
      <c r="FA43" s="141">
        <v>6777</v>
      </c>
      <c r="FB43" s="141">
        <v>110795</v>
      </c>
      <c r="FC43" s="141">
        <v>0</v>
      </c>
      <c r="FD43" s="141">
        <v>0</v>
      </c>
      <c r="FE43" s="141">
        <v>1031356</v>
      </c>
      <c r="FF43" s="141">
        <v>655703</v>
      </c>
      <c r="FG43" s="141">
        <v>23561</v>
      </c>
      <c r="FH43" s="141">
        <v>662531</v>
      </c>
      <c r="FI43" s="73">
        <f t="shared" si="14"/>
        <v>550674</v>
      </c>
      <c r="FJ43" s="141">
        <v>5834533</v>
      </c>
      <c r="FK43" s="379">
        <f t="shared" si="15"/>
        <v>2.2999999999999998</v>
      </c>
      <c r="FL43" s="141">
        <v>4591858</v>
      </c>
      <c r="FM43" s="141">
        <v>37942</v>
      </c>
      <c r="FN43" s="141">
        <v>2140112</v>
      </c>
      <c r="FO43" s="141">
        <v>4015289</v>
      </c>
      <c r="FP43" s="395">
        <v>0.53300000000000003</v>
      </c>
      <c r="FQ43" s="380">
        <v>99.9</v>
      </c>
      <c r="FR43" s="381">
        <v>29.3</v>
      </c>
      <c r="FS43" s="380">
        <v>9.3000000000000007</v>
      </c>
      <c r="FT43" s="380">
        <v>15.7</v>
      </c>
      <c r="FU43" s="381">
        <v>20</v>
      </c>
      <c r="FV43" s="380">
        <v>10.9</v>
      </c>
      <c r="FW43" s="382">
        <v>13.3</v>
      </c>
      <c r="FX43" s="383">
        <v>5.6</v>
      </c>
      <c r="FY43" s="141">
        <v>7297970</v>
      </c>
      <c r="FZ43" s="384">
        <f t="shared" si="16"/>
        <v>157.6</v>
      </c>
      <c r="GA43" s="141">
        <v>2094263</v>
      </c>
      <c r="GB43" s="141">
        <v>1716565</v>
      </c>
      <c r="GC43" s="141">
        <v>0</v>
      </c>
      <c r="GD43" s="141">
        <v>377698</v>
      </c>
      <c r="GE43" s="107"/>
      <c r="GF43" s="385"/>
      <c r="GG43" s="386"/>
      <c r="GH43" s="380">
        <v>99.1</v>
      </c>
      <c r="GI43" s="380">
        <v>48.7</v>
      </c>
      <c r="GJ43" s="380">
        <v>98.1</v>
      </c>
      <c r="GK43" s="141">
        <v>167</v>
      </c>
      <c r="GL43" s="391" t="s">
        <v>646</v>
      </c>
      <c r="GM43" s="391">
        <v>15</v>
      </c>
      <c r="GN43" s="117">
        <v>20</v>
      </c>
      <c r="GO43" s="391" t="s">
        <v>646</v>
      </c>
      <c r="GP43" s="392">
        <v>20</v>
      </c>
      <c r="GQ43" s="387">
        <v>30</v>
      </c>
      <c r="GR43" s="381">
        <v>5.6</v>
      </c>
      <c r="GS43" s="388">
        <v>25</v>
      </c>
      <c r="GT43" s="388">
        <v>35</v>
      </c>
      <c r="GU43" s="393">
        <v>18</v>
      </c>
      <c r="GV43" s="388">
        <v>350</v>
      </c>
      <c r="GW43" s="394"/>
      <c r="GX43" s="100">
        <f t="shared" si="17"/>
        <v>4630</v>
      </c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  <c r="HW43" s="394"/>
      <c r="HX43" s="394"/>
    </row>
    <row r="44" spans="1:232" x14ac:dyDescent="0.15">
      <c r="B44" s="89" t="s">
        <v>77</v>
      </c>
      <c r="C44" s="141">
        <v>4284288</v>
      </c>
      <c r="D44" s="73">
        <f t="shared" si="0"/>
        <v>2197566</v>
      </c>
      <c r="E44" s="141">
        <v>72725</v>
      </c>
      <c r="F44" s="141">
        <v>2124841</v>
      </c>
      <c r="G44" s="73">
        <f t="shared" si="1"/>
        <v>117301</v>
      </c>
      <c r="H44" s="141">
        <v>57093</v>
      </c>
      <c r="I44" s="141">
        <v>60208</v>
      </c>
      <c r="J44" s="141">
        <v>1650428</v>
      </c>
      <c r="K44" s="141">
        <v>549428</v>
      </c>
      <c r="L44" s="141">
        <v>873073</v>
      </c>
      <c r="M44" s="141">
        <v>216077</v>
      </c>
      <c r="N44" s="141">
        <v>190159</v>
      </c>
      <c r="O44" s="141">
        <v>0</v>
      </c>
      <c r="P44" s="141">
        <v>0</v>
      </c>
      <c r="Q44" s="141">
        <v>0</v>
      </c>
      <c r="R44" s="141">
        <v>91693</v>
      </c>
      <c r="S44" s="74"/>
      <c r="T44" s="73">
        <f t="shared" si="18"/>
        <v>1153693</v>
      </c>
      <c r="U44" s="141">
        <v>5143</v>
      </c>
      <c r="V44" s="141">
        <v>51248</v>
      </c>
      <c r="W44" s="141">
        <v>54888</v>
      </c>
      <c r="X44" s="141">
        <v>934250</v>
      </c>
      <c r="Y44" s="141">
        <v>11561</v>
      </c>
      <c r="Z44" s="141">
        <v>0</v>
      </c>
      <c r="AA44" s="141">
        <v>1111</v>
      </c>
      <c r="AB44" s="141">
        <v>24407</v>
      </c>
      <c r="AC44" s="141">
        <v>71085</v>
      </c>
      <c r="AD44" s="141">
        <v>61414</v>
      </c>
      <c r="AE44" s="141">
        <v>3720937</v>
      </c>
      <c r="AF44" s="141">
        <v>3562241</v>
      </c>
      <c r="AG44" s="141">
        <v>158696</v>
      </c>
      <c r="AH44" s="141">
        <v>5106</v>
      </c>
      <c r="AI44" s="141">
        <v>27714</v>
      </c>
      <c r="AJ44" s="73">
        <f t="shared" si="19"/>
        <v>269627</v>
      </c>
      <c r="AK44" s="141">
        <v>177801</v>
      </c>
      <c r="AL44" s="141">
        <v>91826</v>
      </c>
      <c r="AM44" s="141">
        <v>3539240</v>
      </c>
      <c r="AN44" s="73">
        <f t="shared" si="20"/>
        <v>1131842</v>
      </c>
      <c r="AO44" s="141">
        <v>0</v>
      </c>
      <c r="AP44" s="141">
        <v>648661</v>
      </c>
      <c r="AQ44" s="74"/>
      <c r="AR44" s="141">
        <v>483181</v>
      </c>
      <c r="AS44" s="141">
        <v>35720</v>
      </c>
      <c r="AT44" s="141">
        <v>16943</v>
      </c>
      <c r="AU44" s="141">
        <v>0</v>
      </c>
      <c r="AV44" s="141">
        <v>1422989</v>
      </c>
      <c r="AW44" s="141">
        <v>956183</v>
      </c>
      <c r="AX44" s="141">
        <v>282532</v>
      </c>
      <c r="AY44" s="141">
        <v>0</v>
      </c>
      <c r="AZ44" s="141">
        <v>466806</v>
      </c>
      <c r="BA44" s="141">
        <v>325</v>
      </c>
      <c r="BB44" s="141">
        <v>17709</v>
      </c>
      <c r="BC44" s="141">
        <v>1004</v>
      </c>
      <c r="BD44" s="141">
        <v>433750</v>
      </c>
      <c r="BE44" s="141">
        <v>1189323</v>
      </c>
      <c r="BF44" s="141">
        <v>350000</v>
      </c>
      <c r="BG44" s="141">
        <v>0</v>
      </c>
      <c r="BH44" s="141">
        <v>788824</v>
      </c>
      <c r="BI44" s="141">
        <v>0</v>
      </c>
      <c r="BJ44" s="141">
        <v>149912</v>
      </c>
      <c r="BK44" s="141">
        <v>75889</v>
      </c>
      <c r="BL44" s="141">
        <v>217863</v>
      </c>
      <c r="BM44" s="141">
        <v>0</v>
      </c>
      <c r="BN44" s="141">
        <v>0</v>
      </c>
      <c r="BO44" s="141">
        <v>0</v>
      </c>
      <c r="BP44" s="141">
        <v>1345800</v>
      </c>
      <c r="BQ44" s="73">
        <f t="shared" si="5"/>
        <v>1270800</v>
      </c>
      <c r="BR44" s="73">
        <f t="shared" si="6"/>
        <v>75000</v>
      </c>
      <c r="BS44" s="141">
        <v>0</v>
      </c>
      <c r="BT44" s="141">
        <v>0</v>
      </c>
      <c r="BU44" s="141">
        <v>75000</v>
      </c>
      <c r="BV44" s="141">
        <v>0</v>
      </c>
      <c r="BW44" s="141">
        <v>17931058</v>
      </c>
      <c r="BX44" s="71"/>
      <c r="BY44" s="141">
        <v>3105064</v>
      </c>
      <c r="BZ44" s="141">
        <v>1645662</v>
      </c>
      <c r="CA44" s="141">
        <v>144816</v>
      </c>
      <c r="CB44" s="141">
        <v>753432</v>
      </c>
      <c r="CC44" s="141">
        <v>4091167</v>
      </c>
      <c r="CD44" s="141">
        <v>1546277</v>
      </c>
      <c r="CE44" s="141">
        <v>3</v>
      </c>
      <c r="CF44" s="141">
        <v>2234435</v>
      </c>
      <c r="CG44" s="141">
        <v>0</v>
      </c>
      <c r="CH44" s="141">
        <v>70763</v>
      </c>
      <c r="CI44" s="141">
        <v>239689</v>
      </c>
      <c r="CJ44" s="141">
        <v>889648</v>
      </c>
      <c r="CK44" s="141">
        <v>863238</v>
      </c>
      <c r="CL44" s="83">
        <f t="shared" si="21"/>
        <v>26410</v>
      </c>
      <c r="CM44" s="141">
        <v>2678499</v>
      </c>
      <c r="CN44" s="141">
        <v>1685628</v>
      </c>
      <c r="CO44" s="102"/>
      <c r="CP44" s="141">
        <v>390156</v>
      </c>
      <c r="CQ44" s="141">
        <v>278119</v>
      </c>
      <c r="CR44" s="141">
        <v>1828903</v>
      </c>
      <c r="CS44" s="141">
        <v>545280</v>
      </c>
      <c r="CT44" s="141">
        <v>519896</v>
      </c>
      <c r="CU44" s="141">
        <v>451580</v>
      </c>
      <c r="CV44" s="73">
        <f t="shared" si="8"/>
        <v>266843</v>
      </c>
      <c r="CW44" s="141">
        <v>7788</v>
      </c>
      <c r="CX44" s="141">
        <v>259055</v>
      </c>
      <c r="CY44" s="73">
        <f t="shared" si="9"/>
        <v>0</v>
      </c>
      <c r="CZ44" s="141">
        <v>0</v>
      </c>
      <c r="DA44" s="141">
        <v>0</v>
      </c>
      <c r="DB44" s="73">
        <f t="shared" si="10"/>
        <v>259055</v>
      </c>
      <c r="DC44" s="141">
        <v>0</v>
      </c>
      <c r="DD44" s="141">
        <v>259055</v>
      </c>
      <c r="DE44" s="141">
        <v>2500344</v>
      </c>
      <c r="DF44" s="141">
        <v>1686430</v>
      </c>
      <c r="DG44" s="141">
        <v>813631</v>
      </c>
      <c r="DH44" s="141">
        <v>283</v>
      </c>
      <c r="DI44" s="141">
        <v>0</v>
      </c>
      <c r="DJ44" s="141">
        <v>55913</v>
      </c>
      <c r="DK44" s="141">
        <v>317412</v>
      </c>
      <c r="DL44" s="141">
        <v>39000</v>
      </c>
      <c r="DM44" s="141">
        <v>47229</v>
      </c>
      <c r="DN44" s="141">
        <v>231183</v>
      </c>
      <c r="DO44" s="141">
        <v>94000</v>
      </c>
      <c r="DP44" s="141">
        <v>94000</v>
      </c>
      <c r="DQ44" s="141">
        <v>94000</v>
      </c>
      <c r="DR44" s="141">
        <v>0</v>
      </c>
      <c r="DS44" s="141">
        <v>0</v>
      </c>
      <c r="DT44" s="141">
        <v>0</v>
      </c>
      <c r="DU44" s="141">
        <v>0</v>
      </c>
      <c r="DV44" s="141">
        <v>1790326</v>
      </c>
      <c r="DW44" s="141">
        <v>0</v>
      </c>
      <c r="DX44" s="73">
        <f t="shared" si="11"/>
        <v>0</v>
      </c>
      <c r="DY44" s="141">
        <v>0</v>
      </c>
      <c r="DZ44" s="141">
        <v>739578</v>
      </c>
      <c r="EA44" s="141">
        <v>0</v>
      </c>
      <c r="EB44" s="141">
        <v>432420</v>
      </c>
      <c r="EC44" s="74"/>
      <c r="ED44" s="141">
        <v>618328</v>
      </c>
      <c r="EE44" s="141">
        <v>0</v>
      </c>
      <c r="EF44" s="141">
        <v>17629395</v>
      </c>
      <c r="EG44" s="71"/>
      <c r="EH44" s="141">
        <v>301663</v>
      </c>
      <c r="EI44" s="141">
        <v>241246</v>
      </c>
      <c r="EJ44" s="141">
        <v>60417</v>
      </c>
      <c r="EK44" s="141">
        <v>-15472</v>
      </c>
      <c r="EL44" s="141">
        <v>-326472</v>
      </c>
      <c r="EM44" s="71"/>
      <c r="EN44" s="141">
        <v>43763</v>
      </c>
      <c r="EO44" s="141">
        <v>42854</v>
      </c>
      <c r="EP44" s="141">
        <v>587630</v>
      </c>
      <c r="EQ44" s="141">
        <v>11956</v>
      </c>
      <c r="ER44" s="73">
        <f t="shared" si="12"/>
        <v>881200</v>
      </c>
      <c r="ES44" s="141">
        <v>9317131</v>
      </c>
      <c r="ET44" s="141">
        <v>-1550680</v>
      </c>
      <c r="EU44" s="141">
        <v>2826745</v>
      </c>
      <c r="EV44" s="141">
        <v>1529036</v>
      </c>
      <c r="EW44" s="141">
        <v>1587409</v>
      </c>
      <c r="EX44" s="141">
        <v>877783</v>
      </c>
      <c r="EY44" s="73">
        <f t="shared" si="13"/>
        <v>154732</v>
      </c>
      <c r="EZ44" s="141">
        <v>149562</v>
      </c>
      <c r="FA44" s="141">
        <v>8715</v>
      </c>
      <c r="FB44" s="141">
        <v>140564</v>
      </c>
      <c r="FC44" s="141">
        <v>5170</v>
      </c>
      <c r="FD44" s="141">
        <v>0</v>
      </c>
      <c r="FE44" s="141">
        <v>1831588</v>
      </c>
      <c r="FF44" s="141">
        <v>1554789</v>
      </c>
      <c r="FG44" s="141">
        <v>544081</v>
      </c>
      <c r="FH44" s="141">
        <v>1431611</v>
      </c>
      <c r="FI44" s="73">
        <f t="shared" si="14"/>
        <v>301491</v>
      </c>
      <c r="FJ44" s="141">
        <v>10566148</v>
      </c>
      <c r="FK44" s="379">
        <f t="shared" si="15"/>
        <v>0.7</v>
      </c>
      <c r="FL44" s="141">
        <v>9127171</v>
      </c>
      <c r="FM44" s="141">
        <v>75447</v>
      </c>
      <c r="FN44" s="141">
        <v>4440863</v>
      </c>
      <c r="FO44" s="141">
        <v>8012424</v>
      </c>
      <c r="FP44" s="390">
        <v>0.55200000000000005</v>
      </c>
      <c r="FQ44" s="380">
        <v>98</v>
      </c>
      <c r="FR44" s="381">
        <v>29.6</v>
      </c>
      <c r="FS44" s="380">
        <v>11.6</v>
      </c>
      <c r="FT44" s="380">
        <v>9.4</v>
      </c>
      <c r="FU44" s="381">
        <v>17.2</v>
      </c>
      <c r="FV44" s="380">
        <v>13.3</v>
      </c>
      <c r="FW44" s="382">
        <v>14.8</v>
      </c>
      <c r="FX44" s="383">
        <v>1.3</v>
      </c>
      <c r="FY44" s="141">
        <v>10061682</v>
      </c>
      <c r="FZ44" s="384">
        <f t="shared" si="16"/>
        <v>109.3</v>
      </c>
      <c r="GA44" s="141">
        <v>7896195</v>
      </c>
      <c r="GB44" s="141">
        <v>1004221</v>
      </c>
      <c r="GC44" s="141">
        <v>841453</v>
      </c>
      <c r="GD44" s="141">
        <v>6050521</v>
      </c>
      <c r="GE44" s="107"/>
      <c r="GF44" s="385">
        <v>639</v>
      </c>
      <c r="GG44" s="386">
        <f>IF(GF44=0,"-",ROUND(GF44/(GX44)*100,1))</f>
        <v>6.9</v>
      </c>
      <c r="GH44" s="380">
        <v>99.3</v>
      </c>
      <c r="GI44" s="380">
        <v>40.4</v>
      </c>
      <c r="GJ44" s="380">
        <v>98.7</v>
      </c>
      <c r="GK44" s="141">
        <v>269</v>
      </c>
      <c r="GL44" s="391" t="s">
        <v>646</v>
      </c>
      <c r="GM44" s="391">
        <v>13.48</v>
      </c>
      <c r="GN44" s="117">
        <v>20</v>
      </c>
      <c r="GO44" s="391" t="s">
        <v>646</v>
      </c>
      <c r="GP44" s="392">
        <v>18.48</v>
      </c>
      <c r="GQ44" s="387">
        <v>30</v>
      </c>
      <c r="GR44" s="381">
        <v>1.3</v>
      </c>
      <c r="GS44" s="388">
        <v>25</v>
      </c>
      <c r="GT44" s="388">
        <v>35</v>
      </c>
      <c r="GU44" s="393" t="s">
        <v>646</v>
      </c>
      <c r="GV44" s="388">
        <v>350</v>
      </c>
      <c r="GW44" s="394"/>
      <c r="GX44" s="100">
        <f t="shared" si="17"/>
        <v>9203</v>
      </c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  <c r="HW44" s="394"/>
      <c r="HX44" s="394"/>
    </row>
    <row r="45" spans="1:232" x14ac:dyDescent="0.15">
      <c r="B45" s="89" t="s">
        <v>79</v>
      </c>
      <c r="C45" s="141">
        <v>3866582</v>
      </c>
      <c r="D45" s="73">
        <f t="shared" si="0"/>
        <v>377281</v>
      </c>
      <c r="E45" s="141">
        <v>13243</v>
      </c>
      <c r="F45" s="141">
        <v>364038</v>
      </c>
      <c r="G45" s="73">
        <f t="shared" si="1"/>
        <v>89444</v>
      </c>
      <c r="H45" s="141">
        <v>50180</v>
      </c>
      <c r="I45" s="141">
        <v>39264</v>
      </c>
      <c r="J45" s="141">
        <v>3269221</v>
      </c>
      <c r="K45" s="141">
        <v>1843034</v>
      </c>
      <c r="L45" s="141">
        <v>777855</v>
      </c>
      <c r="M45" s="141">
        <v>629085</v>
      </c>
      <c r="N45" s="141">
        <v>107585</v>
      </c>
      <c r="O45" s="141">
        <v>0</v>
      </c>
      <c r="P45" s="141">
        <v>0</v>
      </c>
      <c r="Q45" s="141">
        <v>0</v>
      </c>
      <c r="R45" s="141">
        <v>58015</v>
      </c>
      <c r="S45" s="74"/>
      <c r="T45" s="73">
        <f t="shared" si="18"/>
        <v>319667</v>
      </c>
      <c r="U45" s="141">
        <v>969</v>
      </c>
      <c r="V45" s="141">
        <v>9682</v>
      </c>
      <c r="W45" s="141">
        <v>10387</v>
      </c>
      <c r="X45" s="141">
        <v>239268</v>
      </c>
      <c r="Y45" s="141">
        <v>0</v>
      </c>
      <c r="Z45" s="141">
        <v>0</v>
      </c>
      <c r="AA45" s="141">
        <v>214</v>
      </c>
      <c r="AB45" s="141">
        <v>4698</v>
      </c>
      <c r="AC45" s="141">
        <v>54449</v>
      </c>
      <c r="AD45" s="141">
        <v>10090</v>
      </c>
      <c r="AE45" s="141">
        <v>4817</v>
      </c>
      <c r="AF45" s="141">
        <v>0</v>
      </c>
      <c r="AG45" s="141">
        <v>4817</v>
      </c>
      <c r="AH45" s="141">
        <v>986</v>
      </c>
      <c r="AI45" s="141">
        <v>0</v>
      </c>
      <c r="AJ45" s="73">
        <f t="shared" si="19"/>
        <v>100363</v>
      </c>
      <c r="AK45" s="141">
        <v>73224</v>
      </c>
      <c r="AL45" s="141">
        <v>27139</v>
      </c>
      <c r="AM45" s="141">
        <v>716072</v>
      </c>
      <c r="AN45" s="73">
        <f t="shared" si="20"/>
        <v>121452</v>
      </c>
      <c r="AO45" s="141">
        <v>0</v>
      </c>
      <c r="AP45" s="141">
        <v>0</v>
      </c>
      <c r="AQ45" s="74"/>
      <c r="AR45" s="141">
        <v>121452</v>
      </c>
      <c r="AS45" s="141">
        <v>108528</v>
      </c>
      <c r="AT45" s="141">
        <v>0</v>
      </c>
      <c r="AU45" s="141">
        <v>0</v>
      </c>
      <c r="AV45" s="141">
        <v>297868</v>
      </c>
      <c r="AW45" s="141">
        <v>155346</v>
      </c>
      <c r="AX45" s="141">
        <v>0</v>
      </c>
      <c r="AY45" s="141">
        <v>100</v>
      </c>
      <c r="AZ45" s="141">
        <v>142522</v>
      </c>
      <c r="BA45" s="141">
        <v>14168</v>
      </c>
      <c r="BB45" s="141">
        <v>3845</v>
      </c>
      <c r="BC45" s="141">
        <v>0</v>
      </c>
      <c r="BD45" s="141">
        <v>26264</v>
      </c>
      <c r="BE45" s="141">
        <v>11626</v>
      </c>
      <c r="BF45" s="141">
        <v>0</v>
      </c>
      <c r="BG45" s="141">
        <v>0</v>
      </c>
      <c r="BH45" s="141">
        <v>11626</v>
      </c>
      <c r="BI45" s="141">
        <v>0</v>
      </c>
      <c r="BJ45" s="141">
        <v>603342</v>
      </c>
      <c r="BK45" s="141">
        <v>538004</v>
      </c>
      <c r="BL45" s="141">
        <v>74863</v>
      </c>
      <c r="BM45" s="141">
        <v>0</v>
      </c>
      <c r="BN45" s="141">
        <v>0</v>
      </c>
      <c r="BO45" s="141">
        <v>0</v>
      </c>
      <c r="BP45" s="141">
        <v>0</v>
      </c>
      <c r="BQ45" s="73">
        <f t="shared" si="5"/>
        <v>0</v>
      </c>
      <c r="BR45" s="73">
        <f t="shared" si="6"/>
        <v>0</v>
      </c>
      <c r="BS45" s="141">
        <v>0</v>
      </c>
      <c r="BT45" s="141">
        <v>0</v>
      </c>
      <c r="BU45" s="141">
        <v>0</v>
      </c>
      <c r="BV45" s="141">
        <v>0</v>
      </c>
      <c r="BW45" s="141">
        <v>6094400</v>
      </c>
      <c r="BX45" s="71"/>
      <c r="BY45" s="141">
        <v>1352716</v>
      </c>
      <c r="BZ45" s="141">
        <v>737279</v>
      </c>
      <c r="CA45" s="141">
        <v>83390</v>
      </c>
      <c r="CB45" s="141">
        <v>254278</v>
      </c>
      <c r="CC45" s="141">
        <v>704201</v>
      </c>
      <c r="CD45" s="141">
        <v>346613</v>
      </c>
      <c r="CE45" s="141">
        <v>1164</v>
      </c>
      <c r="CF45" s="141">
        <v>337709</v>
      </c>
      <c r="CG45" s="141">
        <v>0</v>
      </c>
      <c r="CH45" s="141">
        <v>7835</v>
      </c>
      <c r="CI45" s="141">
        <v>10880</v>
      </c>
      <c r="CJ45" s="141">
        <v>45736</v>
      </c>
      <c r="CK45" s="141">
        <v>42408</v>
      </c>
      <c r="CL45" s="83">
        <f t="shared" si="21"/>
        <v>3328</v>
      </c>
      <c r="CM45" s="141">
        <v>881283</v>
      </c>
      <c r="CN45" s="141">
        <v>586649</v>
      </c>
      <c r="CO45" s="102"/>
      <c r="CP45" s="141">
        <v>167037</v>
      </c>
      <c r="CQ45" s="141">
        <v>16931</v>
      </c>
      <c r="CR45" s="141">
        <v>686817</v>
      </c>
      <c r="CS45" s="141">
        <v>359186</v>
      </c>
      <c r="CT45" s="141">
        <v>175652</v>
      </c>
      <c r="CU45" s="141">
        <v>169367</v>
      </c>
      <c r="CV45" s="73">
        <f t="shared" si="8"/>
        <v>0</v>
      </c>
      <c r="CW45" s="141">
        <v>0</v>
      </c>
      <c r="CX45" s="141">
        <v>0</v>
      </c>
      <c r="CY45" s="73">
        <f t="shared" si="9"/>
        <v>0</v>
      </c>
      <c r="CZ45" s="141">
        <v>0</v>
      </c>
      <c r="DA45" s="141">
        <v>0</v>
      </c>
      <c r="DB45" s="73">
        <f t="shared" si="10"/>
        <v>0</v>
      </c>
      <c r="DC45" s="141">
        <v>0</v>
      </c>
      <c r="DD45" s="141">
        <v>0</v>
      </c>
      <c r="DE45" s="141">
        <v>454953</v>
      </c>
      <c r="DF45" s="141">
        <v>238112</v>
      </c>
      <c r="DG45" s="141">
        <v>216841</v>
      </c>
      <c r="DH45" s="141">
        <v>0</v>
      </c>
      <c r="DI45" s="141">
        <v>0</v>
      </c>
      <c r="DJ45" s="141">
        <v>0</v>
      </c>
      <c r="DK45" s="141">
        <v>627375</v>
      </c>
      <c r="DL45" s="141">
        <v>547504</v>
      </c>
      <c r="DM45" s="141">
        <v>0</v>
      </c>
      <c r="DN45" s="141">
        <v>79871</v>
      </c>
      <c r="DO45" s="141">
        <v>0</v>
      </c>
      <c r="DP45" s="141">
        <v>0</v>
      </c>
      <c r="DQ45" s="141">
        <v>0</v>
      </c>
      <c r="DR45" s="141">
        <v>0</v>
      </c>
      <c r="DS45" s="141">
        <v>0</v>
      </c>
      <c r="DT45" s="141">
        <v>0</v>
      </c>
      <c r="DU45" s="141">
        <v>0</v>
      </c>
      <c r="DV45" s="141">
        <v>851812</v>
      </c>
      <c r="DW45" s="141">
        <v>461323</v>
      </c>
      <c r="DX45" s="73">
        <f t="shared" si="11"/>
        <v>0</v>
      </c>
      <c r="DY45" s="141">
        <v>0</v>
      </c>
      <c r="DZ45" s="141">
        <v>137177</v>
      </c>
      <c r="EA45" s="141">
        <v>0</v>
      </c>
      <c r="EB45" s="141">
        <v>97639</v>
      </c>
      <c r="EC45" s="74"/>
      <c r="ED45" s="141">
        <v>155673</v>
      </c>
      <c r="EE45" s="141">
        <v>0</v>
      </c>
      <c r="EF45" s="141">
        <v>5621824</v>
      </c>
      <c r="EG45" s="71"/>
      <c r="EH45" s="141">
        <v>472576</v>
      </c>
      <c r="EI45" s="141">
        <v>546</v>
      </c>
      <c r="EJ45" s="141">
        <v>472030</v>
      </c>
      <c r="EK45" s="141">
        <v>-65974</v>
      </c>
      <c r="EL45" s="141">
        <v>481530</v>
      </c>
      <c r="EM45" s="71"/>
      <c r="EN45" s="141">
        <v>8434</v>
      </c>
      <c r="EO45" s="141">
        <v>8493</v>
      </c>
      <c r="EP45" s="141">
        <v>960</v>
      </c>
      <c r="EQ45" s="141">
        <v>57</v>
      </c>
      <c r="ER45" s="73">
        <f t="shared" si="12"/>
        <v>816327</v>
      </c>
      <c r="ES45" s="141">
        <v>4260157</v>
      </c>
      <c r="ET45" s="141">
        <v>-816358</v>
      </c>
      <c r="EU45" s="141">
        <v>1255377</v>
      </c>
      <c r="EV45" s="141">
        <v>661235</v>
      </c>
      <c r="EW45" s="141">
        <v>311839</v>
      </c>
      <c r="EX45" s="141">
        <v>45736</v>
      </c>
      <c r="EY45" s="73">
        <f t="shared" si="13"/>
        <v>323989</v>
      </c>
      <c r="EZ45" s="141">
        <v>323989</v>
      </c>
      <c r="FA45" s="141">
        <v>109144</v>
      </c>
      <c r="FB45" s="141">
        <v>214845</v>
      </c>
      <c r="FC45" s="141">
        <v>0</v>
      </c>
      <c r="FD45" s="141">
        <v>0</v>
      </c>
      <c r="FE45" s="141">
        <v>666185</v>
      </c>
      <c r="FF45" s="141">
        <v>616669</v>
      </c>
      <c r="FG45" s="141">
        <v>358644</v>
      </c>
      <c r="FH45" s="141">
        <v>774392</v>
      </c>
      <c r="FI45" s="73">
        <f t="shared" si="14"/>
        <v>609752</v>
      </c>
      <c r="FJ45" s="141">
        <v>4603939</v>
      </c>
      <c r="FK45" s="379">
        <f t="shared" si="15"/>
        <v>11.5</v>
      </c>
      <c r="FL45" s="141">
        <v>4107601</v>
      </c>
      <c r="FM45" s="141">
        <v>0</v>
      </c>
      <c r="FN45" s="141">
        <v>3145469</v>
      </c>
      <c r="FO45" s="141">
        <v>2517433</v>
      </c>
      <c r="FP45" s="390">
        <v>1.2430000000000001</v>
      </c>
      <c r="FQ45" s="380">
        <v>72.2</v>
      </c>
      <c r="FR45" s="381">
        <v>28.6</v>
      </c>
      <c r="FS45" s="380">
        <v>5</v>
      </c>
      <c r="FT45" s="380">
        <v>1.1000000000000001</v>
      </c>
      <c r="FU45" s="381">
        <v>13.5</v>
      </c>
      <c r="FV45" s="380">
        <v>11.2</v>
      </c>
      <c r="FW45" s="382">
        <v>12.7</v>
      </c>
      <c r="FX45" s="383">
        <v>3.2</v>
      </c>
      <c r="FY45" s="141">
        <v>129371</v>
      </c>
      <c r="FZ45" s="384">
        <f t="shared" si="16"/>
        <v>3.1</v>
      </c>
      <c r="GA45" s="141">
        <v>10697460</v>
      </c>
      <c r="GB45" s="141">
        <v>5318342</v>
      </c>
      <c r="GC45" s="141">
        <v>0</v>
      </c>
      <c r="GD45" s="141">
        <v>5379118</v>
      </c>
      <c r="GE45" s="107"/>
      <c r="GF45" s="385"/>
      <c r="GG45" s="386"/>
      <c r="GH45" s="380">
        <v>99.9</v>
      </c>
      <c r="GI45" s="380">
        <v>38.4</v>
      </c>
      <c r="GJ45" s="380">
        <v>99.7</v>
      </c>
      <c r="GK45" s="141">
        <v>109</v>
      </c>
      <c r="GL45" s="391" t="s">
        <v>646</v>
      </c>
      <c r="GM45" s="391">
        <v>15</v>
      </c>
      <c r="GN45" s="117">
        <v>20</v>
      </c>
      <c r="GO45" s="391" t="s">
        <v>646</v>
      </c>
      <c r="GP45" s="392">
        <v>20</v>
      </c>
      <c r="GQ45" s="387">
        <v>30</v>
      </c>
      <c r="GR45" s="381">
        <v>3.2</v>
      </c>
      <c r="GS45" s="388">
        <v>25</v>
      </c>
      <c r="GT45" s="388">
        <v>35</v>
      </c>
      <c r="GU45" s="393" t="s">
        <v>646</v>
      </c>
      <c r="GV45" s="388">
        <v>350</v>
      </c>
      <c r="GW45" s="394"/>
      <c r="GX45" s="100">
        <f t="shared" si="17"/>
        <v>4108</v>
      </c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  <c r="HW45" s="394"/>
      <c r="HX45" s="394"/>
    </row>
    <row r="46" spans="1:232" x14ac:dyDescent="0.15">
      <c r="B46" s="89" t="s">
        <v>81</v>
      </c>
      <c r="C46" s="141">
        <v>1841403</v>
      </c>
      <c r="D46" s="73">
        <f t="shared" si="0"/>
        <v>664406</v>
      </c>
      <c r="E46" s="141">
        <v>24964</v>
      </c>
      <c r="F46" s="141">
        <v>639442</v>
      </c>
      <c r="G46" s="73">
        <f t="shared" si="1"/>
        <v>70501</v>
      </c>
      <c r="H46" s="141">
        <v>31831</v>
      </c>
      <c r="I46" s="141">
        <v>38670</v>
      </c>
      <c r="J46" s="141">
        <v>984566</v>
      </c>
      <c r="K46" s="141">
        <v>320451</v>
      </c>
      <c r="L46" s="141">
        <v>408654</v>
      </c>
      <c r="M46" s="141">
        <v>251447</v>
      </c>
      <c r="N46" s="141">
        <v>73437</v>
      </c>
      <c r="O46" s="141">
        <v>0</v>
      </c>
      <c r="P46" s="141">
        <v>0</v>
      </c>
      <c r="Q46" s="141">
        <v>0</v>
      </c>
      <c r="R46" s="141">
        <v>49703</v>
      </c>
      <c r="S46" s="74"/>
      <c r="T46" s="73">
        <f t="shared" si="18"/>
        <v>442809</v>
      </c>
      <c r="U46" s="141">
        <v>1510</v>
      </c>
      <c r="V46" s="141">
        <v>15075</v>
      </c>
      <c r="W46" s="141">
        <v>16178</v>
      </c>
      <c r="X46" s="141">
        <v>319794</v>
      </c>
      <c r="Y46" s="141">
        <v>51185</v>
      </c>
      <c r="Z46" s="141">
        <v>0</v>
      </c>
      <c r="AA46" s="141">
        <v>574</v>
      </c>
      <c r="AB46" s="141">
        <v>12603</v>
      </c>
      <c r="AC46" s="141">
        <v>25890</v>
      </c>
      <c r="AD46" s="141">
        <v>10911</v>
      </c>
      <c r="AE46" s="141">
        <v>2489269</v>
      </c>
      <c r="AF46" s="141">
        <v>2214478</v>
      </c>
      <c r="AG46" s="141">
        <v>274791</v>
      </c>
      <c r="AH46" s="141">
        <v>1771</v>
      </c>
      <c r="AI46" s="141">
        <v>15693</v>
      </c>
      <c r="AJ46" s="73">
        <f t="shared" si="19"/>
        <v>103009</v>
      </c>
      <c r="AK46" s="141">
        <v>85830</v>
      </c>
      <c r="AL46" s="141">
        <v>17179</v>
      </c>
      <c r="AM46" s="141">
        <v>1368977</v>
      </c>
      <c r="AN46" s="73">
        <f t="shared" si="20"/>
        <v>307954</v>
      </c>
      <c r="AO46" s="141">
        <v>0</v>
      </c>
      <c r="AP46" s="141">
        <v>41382</v>
      </c>
      <c r="AQ46" s="74"/>
      <c r="AR46" s="141">
        <v>266572</v>
      </c>
      <c r="AS46" s="141">
        <v>331</v>
      </c>
      <c r="AT46" s="141">
        <v>89991</v>
      </c>
      <c r="AU46" s="141">
        <v>0</v>
      </c>
      <c r="AV46" s="141">
        <v>585657</v>
      </c>
      <c r="AW46" s="141">
        <v>284199</v>
      </c>
      <c r="AX46" s="141">
        <v>19848</v>
      </c>
      <c r="AY46" s="141">
        <v>21606</v>
      </c>
      <c r="AZ46" s="141">
        <v>301458</v>
      </c>
      <c r="BA46" s="141">
        <v>110</v>
      </c>
      <c r="BB46" s="141">
        <v>44875</v>
      </c>
      <c r="BC46" s="141">
        <v>505</v>
      </c>
      <c r="BD46" s="141">
        <v>249009</v>
      </c>
      <c r="BE46" s="141">
        <v>588825</v>
      </c>
      <c r="BF46" s="141">
        <v>198000</v>
      </c>
      <c r="BG46" s="141">
        <v>0</v>
      </c>
      <c r="BH46" s="141">
        <v>345969</v>
      </c>
      <c r="BI46" s="141">
        <v>0</v>
      </c>
      <c r="BJ46" s="141">
        <v>122331</v>
      </c>
      <c r="BK46" s="141">
        <v>76381</v>
      </c>
      <c r="BL46" s="141">
        <v>163670</v>
      </c>
      <c r="BM46" s="141">
        <v>537</v>
      </c>
      <c r="BN46" s="141">
        <v>0</v>
      </c>
      <c r="BO46" s="141">
        <v>0</v>
      </c>
      <c r="BP46" s="141">
        <v>379469</v>
      </c>
      <c r="BQ46" s="73">
        <f t="shared" si="5"/>
        <v>346700</v>
      </c>
      <c r="BR46" s="73">
        <f t="shared" si="6"/>
        <v>32769</v>
      </c>
      <c r="BS46" s="141">
        <v>0</v>
      </c>
      <c r="BT46" s="141">
        <v>0</v>
      </c>
      <c r="BU46" s="141">
        <v>32769</v>
      </c>
      <c r="BV46" s="141">
        <v>0</v>
      </c>
      <c r="BW46" s="141">
        <v>8457381</v>
      </c>
      <c r="BX46" s="71"/>
      <c r="BY46" s="141">
        <v>1777861</v>
      </c>
      <c r="BZ46" s="141">
        <v>982964</v>
      </c>
      <c r="CA46" s="141">
        <v>30348</v>
      </c>
      <c r="CB46" s="141">
        <v>401422</v>
      </c>
      <c r="CC46" s="141">
        <v>1290054</v>
      </c>
      <c r="CD46" s="141">
        <v>860102</v>
      </c>
      <c r="CE46" s="141">
        <v>1425</v>
      </c>
      <c r="CF46" s="141">
        <v>408972</v>
      </c>
      <c r="CG46" s="141">
        <v>0</v>
      </c>
      <c r="CH46" s="141">
        <v>5538</v>
      </c>
      <c r="CI46" s="141">
        <v>14017</v>
      </c>
      <c r="CJ46" s="141">
        <v>704749</v>
      </c>
      <c r="CK46" s="141">
        <v>681188</v>
      </c>
      <c r="CL46" s="83">
        <f t="shared" si="21"/>
        <v>23561</v>
      </c>
      <c r="CM46" s="141">
        <v>1369512</v>
      </c>
      <c r="CN46" s="141">
        <v>872903</v>
      </c>
      <c r="CO46" s="102"/>
      <c r="CP46" s="141">
        <v>308315</v>
      </c>
      <c r="CQ46" s="141">
        <v>131153</v>
      </c>
      <c r="CR46" s="141">
        <v>675271</v>
      </c>
      <c r="CS46" s="141">
        <v>289173</v>
      </c>
      <c r="CT46" s="141">
        <v>186843</v>
      </c>
      <c r="CU46" s="141">
        <v>170533</v>
      </c>
      <c r="CV46" s="73">
        <f t="shared" si="8"/>
        <v>0</v>
      </c>
      <c r="CW46" s="141">
        <v>0</v>
      </c>
      <c r="CX46" s="141">
        <v>0</v>
      </c>
      <c r="CY46" s="73">
        <f t="shared" si="9"/>
        <v>0</v>
      </c>
      <c r="CZ46" s="141">
        <v>0</v>
      </c>
      <c r="DA46" s="141">
        <v>0</v>
      </c>
      <c r="DB46" s="73">
        <f t="shared" si="10"/>
        <v>0</v>
      </c>
      <c r="DC46" s="141">
        <v>0</v>
      </c>
      <c r="DD46" s="141">
        <v>0</v>
      </c>
      <c r="DE46" s="141">
        <v>661231</v>
      </c>
      <c r="DF46" s="141">
        <v>455598</v>
      </c>
      <c r="DG46" s="141">
        <v>205633</v>
      </c>
      <c r="DH46" s="141">
        <v>0</v>
      </c>
      <c r="DI46" s="141">
        <v>0</v>
      </c>
      <c r="DJ46" s="141">
        <v>98853</v>
      </c>
      <c r="DK46" s="141">
        <v>345536</v>
      </c>
      <c r="DL46" s="141">
        <v>57021</v>
      </c>
      <c r="DM46" s="141">
        <v>1</v>
      </c>
      <c r="DN46" s="141">
        <v>288514</v>
      </c>
      <c r="DO46" s="141">
        <v>0</v>
      </c>
      <c r="DP46" s="141">
        <v>0</v>
      </c>
      <c r="DQ46" s="141">
        <v>0</v>
      </c>
      <c r="DR46" s="141">
        <v>0</v>
      </c>
      <c r="DS46" s="141">
        <v>0</v>
      </c>
      <c r="DT46" s="141">
        <v>0</v>
      </c>
      <c r="DU46" s="141">
        <v>0</v>
      </c>
      <c r="DV46" s="141">
        <v>1320139</v>
      </c>
      <c r="DW46" s="141">
        <v>328551</v>
      </c>
      <c r="DX46" s="73">
        <f t="shared" si="11"/>
        <v>0</v>
      </c>
      <c r="DY46" s="141">
        <v>0</v>
      </c>
      <c r="DZ46" s="141">
        <v>396922</v>
      </c>
      <c r="EA46" s="141">
        <v>0</v>
      </c>
      <c r="EB46" s="141">
        <v>255400</v>
      </c>
      <c r="EC46" s="74"/>
      <c r="ED46" s="141">
        <v>327941</v>
      </c>
      <c r="EE46" s="141">
        <v>0</v>
      </c>
      <c r="EF46" s="141">
        <v>8374359</v>
      </c>
      <c r="EG46" s="71"/>
      <c r="EH46" s="141">
        <v>83022</v>
      </c>
      <c r="EI46" s="141">
        <v>2425</v>
      </c>
      <c r="EJ46" s="141">
        <v>80597</v>
      </c>
      <c r="EK46" s="141">
        <v>3912</v>
      </c>
      <c r="EL46" s="141">
        <v>-137067</v>
      </c>
      <c r="EM46" s="71"/>
      <c r="EN46" s="141">
        <v>14741</v>
      </c>
      <c r="EO46" s="141">
        <v>14516</v>
      </c>
      <c r="EP46" s="141">
        <v>202154</v>
      </c>
      <c r="EQ46" s="141">
        <v>19547</v>
      </c>
      <c r="ER46" s="73">
        <f t="shared" si="12"/>
        <v>561947</v>
      </c>
      <c r="ES46" s="141">
        <v>4835866</v>
      </c>
      <c r="ET46" s="141">
        <v>-814646</v>
      </c>
      <c r="EU46" s="141">
        <v>1613727</v>
      </c>
      <c r="EV46" s="141">
        <v>912685</v>
      </c>
      <c r="EW46" s="141">
        <v>559486</v>
      </c>
      <c r="EX46" s="141">
        <v>704749</v>
      </c>
      <c r="EY46" s="73">
        <f t="shared" si="13"/>
        <v>71277</v>
      </c>
      <c r="EZ46" s="141">
        <v>63916</v>
      </c>
      <c r="FA46" s="141">
        <v>3002</v>
      </c>
      <c r="FB46" s="141">
        <v>60914</v>
      </c>
      <c r="FC46" s="141">
        <v>7361</v>
      </c>
      <c r="FD46" s="141">
        <v>0</v>
      </c>
      <c r="FE46" s="141">
        <v>833049</v>
      </c>
      <c r="FF46" s="141">
        <v>521600</v>
      </c>
      <c r="FG46" s="141">
        <v>288702</v>
      </c>
      <c r="FH46" s="141">
        <v>1122600</v>
      </c>
      <c r="FI46" s="73">
        <f t="shared" si="14"/>
        <v>141002</v>
      </c>
      <c r="FJ46" s="141">
        <v>5567490</v>
      </c>
      <c r="FK46" s="379">
        <f t="shared" si="15"/>
        <v>1.8</v>
      </c>
      <c r="FL46" s="141">
        <v>4527831</v>
      </c>
      <c r="FM46" s="141">
        <v>32769</v>
      </c>
      <c r="FN46" s="141">
        <v>1828600</v>
      </c>
      <c r="FO46" s="141">
        <v>4034189</v>
      </c>
      <c r="FP46" s="390">
        <v>0.45300000000000001</v>
      </c>
      <c r="FQ46" s="380">
        <v>94.6</v>
      </c>
      <c r="FR46" s="381">
        <v>30.2</v>
      </c>
      <c r="FS46" s="380">
        <v>6.4</v>
      </c>
      <c r="FT46" s="380">
        <v>15.2</v>
      </c>
      <c r="FU46" s="381">
        <v>15.1</v>
      </c>
      <c r="FV46" s="380">
        <v>8.4</v>
      </c>
      <c r="FW46" s="382">
        <v>17.600000000000001</v>
      </c>
      <c r="FX46" s="383">
        <v>11.6</v>
      </c>
      <c r="FY46" s="141">
        <v>7284374</v>
      </c>
      <c r="FZ46" s="384">
        <f t="shared" si="16"/>
        <v>159.69999999999999</v>
      </c>
      <c r="GA46" s="141">
        <v>873381</v>
      </c>
      <c r="GB46" s="141">
        <v>378825</v>
      </c>
      <c r="GC46" s="141">
        <v>38473</v>
      </c>
      <c r="GD46" s="141">
        <v>456083</v>
      </c>
      <c r="GE46" s="107"/>
      <c r="GF46" s="385"/>
      <c r="GG46" s="386"/>
      <c r="GH46" s="380">
        <v>99.1</v>
      </c>
      <c r="GI46" s="380">
        <v>14.6</v>
      </c>
      <c r="GJ46" s="380">
        <v>95</v>
      </c>
      <c r="GK46" s="141">
        <v>162</v>
      </c>
      <c r="GL46" s="391" t="s">
        <v>646</v>
      </c>
      <c r="GM46" s="391">
        <v>15</v>
      </c>
      <c r="GN46" s="117">
        <v>20</v>
      </c>
      <c r="GO46" s="391" t="s">
        <v>646</v>
      </c>
      <c r="GP46" s="392">
        <v>20</v>
      </c>
      <c r="GQ46" s="387">
        <v>30</v>
      </c>
      <c r="GR46" s="381">
        <v>11.6</v>
      </c>
      <c r="GS46" s="388">
        <v>25</v>
      </c>
      <c r="GT46" s="388">
        <v>35</v>
      </c>
      <c r="GU46" s="393">
        <v>107</v>
      </c>
      <c r="GV46" s="388">
        <v>350</v>
      </c>
      <c r="GW46" s="394"/>
      <c r="GX46" s="100">
        <f t="shared" si="17"/>
        <v>4561</v>
      </c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  <c r="HW46" s="394"/>
      <c r="HX46" s="394"/>
    </row>
    <row r="47" spans="1:232" x14ac:dyDescent="0.15">
      <c r="B47" s="89" t="s">
        <v>83</v>
      </c>
      <c r="C47" s="141">
        <v>1387695</v>
      </c>
      <c r="D47" s="73">
        <f t="shared" si="0"/>
        <v>676863</v>
      </c>
      <c r="E47" s="141">
        <v>22760</v>
      </c>
      <c r="F47" s="141">
        <v>654103</v>
      </c>
      <c r="G47" s="73">
        <f t="shared" si="1"/>
        <v>34843</v>
      </c>
      <c r="H47" s="141">
        <v>21652</v>
      </c>
      <c r="I47" s="141">
        <v>13191</v>
      </c>
      <c r="J47" s="141">
        <v>508965</v>
      </c>
      <c r="K47" s="141">
        <v>188483</v>
      </c>
      <c r="L47" s="141">
        <v>258377</v>
      </c>
      <c r="M47" s="141">
        <v>62105</v>
      </c>
      <c r="N47" s="141">
        <v>123148</v>
      </c>
      <c r="O47" s="141">
        <v>0</v>
      </c>
      <c r="P47" s="141">
        <v>0</v>
      </c>
      <c r="Q47" s="141">
        <v>0</v>
      </c>
      <c r="R47" s="141">
        <v>34481</v>
      </c>
      <c r="S47" s="74"/>
      <c r="T47" s="73">
        <f t="shared" si="18"/>
        <v>360561</v>
      </c>
      <c r="U47" s="141">
        <v>1526</v>
      </c>
      <c r="V47" s="141">
        <v>15235</v>
      </c>
      <c r="W47" s="141">
        <v>16345</v>
      </c>
      <c r="X47" s="141">
        <v>279920</v>
      </c>
      <c r="Y47" s="141">
        <v>15359</v>
      </c>
      <c r="Z47" s="141">
        <v>0</v>
      </c>
      <c r="AA47" s="141">
        <v>419</v>
      </c>
      <c r="AB47" s="141">
        <v>9201</v>
      </c>
      <c r="AC47" s="141">
        <v>22556</v>
      </c>
      <c r="AD47" s="141">
        <v>10372</v>
      </c>
      <c r="AE47" s="141">
        <v>1944871</v>
      </c>
      <c r="AF47" s="141">
        <v>1678202</v>
      </c>
      <c r="AG47" s="141">
        <v>266669</v>
      </c>
      <c r="AH47" s="141">
        <v>1631</v>
      </c>
      <c r="AI47" s="141">
        <v>34976</v>
      </c>
      <c r="AJ47" s="73">
        <f t="shared" si="19"/>
        <v>64513</v>
      </c>
      <c r="AK47" s="141">
        <v>39394</v>
      </c>
      <c r="AL47" s="141">
        <v>25119</v>
      </c>
      <c r="AM47" s="141">
        <v>944733</v>
      </c>
      <c r="AN47" s="73">
        <f t="shared" si="20"/>
        <v>327551</v>
      </c>
      <c r="AO47" s="141">
        <v>0</v>
      </c>
      <c r="AP47" s="141">
        <v>158602</v>
      </c>
      <c r="AQ47" s="74"/>
      <c r="AR47" s="141">
        <v>168949</v>
      </c>
      <c r="AS47" s="141">
        <v>18222</v>
      </c>
      <c r="AT47" s="141">
        <v>1213</v>
      </c>
      <c r="AU47" s="141">
        <v>0</v>
      </c>
      <c r="AV47" s="141">
        <v>552003</v>
      </c>
      <c r="AW47" s="141">
        <v>344757</v>
      </c>
      <c r="AX47" s="141">
        <v>66206</v>
      </c>
      <c r="AY47" s="141">
        <v>102</v>
      </c>
      <c r="AZ47" s="141">
        <v>207246</v>
      </c>
      <c r="BA47" s="141">
        <v>0</v>
      </c>
      <c r="BB47" s="141">
        <v>57678</v>
      </c>
      <c r="BC47" s="141">
        <v>54171</v>
      </c>
      <c r="BD47" s="141">
        <v>330228</v>
      </c>
      <c r="BE47" s="141">
        <v>244547</v>
      </c>
      <c r="BF47" s="141">
        <v>0</v>
      </c>
      <c r="BG47" s="141">
        <v>0</v>
      </c>
      <c r="BH47" s="141">
        <v>232757</v>
      </c>
      <c r="BI47" s="141">
        <v>0</v>
      </c>
      <c r="BJ47" s="141">
        <v>174582</v>
      </c>
      <c r="BK47" s="141">
        <v>165887</v>
      </c>
      <c r="BL47" s="141">
        <v>64308</v>
      </c>
      <c r="BM47" s="141">
        <v>0</v>
      </c>
      <c r="BN47" s="141">
        <v>9888</v>
      </c>
      <c r="BO47" s="141">
        <v>0</v>
      </c>
      <c r="BP47" s="141">
        <v>163004</v>
      </c>
      <c r="BQ47" s="73">
        <f t="shared" si="5"/>
        <v>138100</v>
      </c>
      <c r="BR47" s="73">
        <f t="shared" si="6"/>
        <v>24904</v>
      </c>
      <c r="BS47" s="141">
        <v>0</v>
      </c>
      <c r="BT47" s="141">
        <v>0</v>
      </c>
      <c r="BU47" s="141">
        <v>24904</v>
      </c>
      <c r="BV47" s="141">
        <v>0</v>
      </c>
      <c r="BW47" s="141">
        <v>6370183</v>
      </c>
      <c r="BX47" s="71"/>
      <c r="BY47" s="141">
        <v>1204019</v>
      </c>
      <c r="BZ47" s="141">
        <v>647763</v>
      </c>
      <c r="CA47" s="141">
        <v>65555</v>
      </c>
      <c r="CB47" s="141">
        <v>219259</v>
      </c>
      <c r="CC47" s="141">
        <v>1301165</v>
      </c>
      <c r="CD47" s="141">
        <v>537399</v>
      </c>
      <c r="CE47" s="141">
        <v>2263</v>
      </c>
      <c r="CF47" s="141">
        <v>707378</v>
      </c>
      <c r="CG47" s="141">
        <v>0</v>
      </c>
      <c r="CH47" s="141">
        <v>0</v>
      </c>
      <c r="CI47" s="141">
        <v>54125</v>
      </c>
      <c r="CJ47" s="141">
        <v>406830</v>
      </c>
      <c r="CK47" s="141">
        <v>388186</v>
      </c>
      <c r="CL47" s="83">
        <f t="shared" si="21"/>
        <v>18644</v>
      </c>
      <c r="CM47" s="141">
        <v>1041586</v>
      </c>
      <c r="CN47" s="141">
        <v>761383</v>
      </c>
      <c r="CO47" s="102"/>
      <c r="CP47" s="141">
        <v>111827</v>
      </c>
      <c r="CQ47" s="141">
        <v>17792</v>
      </c>
      <c r="CR47" s="141">
        <v>826008</v>
      </c>
      <c r="CS47" s="141">
        <v>117052</v>
      </c>
      <c r="CT47" s="141">
        <v>251640</v>
      </c>
      <c r="CU47" s="141">
        <v>204199</v>
      </c>
      <c r="CV47" s="73">
        <f t="shared" si="8"/>
        <v>130052</v>
      </c>
      <c r="CW47" s="141">
        <v>3019</v>
      </c>
      <c r="CX47" s="141">
        <v>127033</v>
      </c>
      <c r="CY47" s="73">
        <f t="shared" si="9"/>
        <v>0</v>
      </c>
      <c r="CZ47" s="141">
        <v>0</v>
      </c>
      <c r="DA47" s="141">
        <v>0</v>
      </c>
      <c r="DB47" s="73">
        <f t="shared" si="10"/>
        <v>130052</v>
      </c>
      <c r="DC47" s="141">
        <v>3019</v>
      </c>
      <c r="DD47" s="141">
        <v>127033</v>
      </c>
      <c r="DE47" s="141">
        <v>246722</v>
      </c>
      <c r="DF47" s="141">
        <v>57191</v>
      </c>
      <c r="DG47" s="141">
        <v>189531</v>
      </c>
      <c r="DH47" s="141">
        <v>0</v>
      </c>
      <c r="DI47" s="141">
        <v>0</v>
      </c>
      <c r="DJ47" s="141">
        <v>10042</v>
      </c>
      <c r="DK47" s="141">
        <v>533443</v>
      </c>
      <c r="DL47" s="141">
        <v>84062</v>
      </c>
      <c r="DM47" s="141">
        <v>18148</v>
      </c>
      <c r="DN47" s="141">
        <v>431233</v>
      </c>
      <c r="DO47" s="141">
        <v>0</v>
      </c>
      <c r="DP47" s="141">
        <v>0</v>
      </c>
      <c r="DQ47" s="141">
        <v>0</v>
      </c>
      <c r="DR47" s="141">
        <v>0</v>
      </c>
      <c r="DS47" s="141">
        <v>0</v>
      </c>
      <c r="DT47" s="141">
        <v>0</v>
      </c>
      <c r="DU47" s="141">
        <v>0</v>
      </c>
      <c r="DV47" s="141">
        <v>579000</v>
      </c>
      <c r="DW47" s="141">
        <v>0</v>
      </c>
      <c r="DX47" s="73">
        <f t="shared" si="11"/>
        <v>0</v>
      </c>
      <c r="DY47" s="141">
        <v>0</v>
      </c>
      <c r="DZ47" s="141">
        <v>207309</v>
      </c>
      <c r="EA47" s="141">
        <v>0</v>
      </c>
      <c r="EB47" s="141">
        <v>131689</v>
      </c>
      <c r="EC47" s="74"/>
      <c r="ED47" s="141">
        <v>234852</v>
      </c>
      <c r="EE47" s="141">
        <v>0</v>
      </c>
      <c r="EF47" s="141">
        <v>6166607</v>
      </c>
      <c r="EG47" s="71"/>
      <c r="EH47" s="141">
        <v>203576</v>
      </c>
      <c r="EI47" s="141">
        <v>39082</v>
      </c>
      <c r="EJ47" s="141">
        <v>164494</v>
      </c>
      <c r="EK47" s="141">
        <v>-1393</v>
      </c>
      <c r="EL47" s="141">
        <v>82669</v>
      </c>
      <c r="EM47" s="71"/>
      <c r="EN47" s="141">
        <v>13009</v>
      </c>
      <c r="EO47" s="141">
        <v>12813</v>
      </c>
      <c r="EP47" s="141">
        <v>381</v>
      </c>
      <c r="EQ47" s="141">
        <v>0</v>
      </c>
      <c r="ER47" s="73">
        <f t="shared" si="12"/>
        <v>425114</v>
      </c>
      <c r="ES47" s="141">
        <v>3739611</v>
      </c>
      <c r="ET47" s="141">
        <v>-448768</v>
      </c>
      <c r="EU47" s="141">
        <v>1067070</v>
      </c>
      <c r="EV47" s="141">
        <v>594916</v>
      </c>
      <c r="EW47" s="141">
        <v>461897</v>
      </c>
      <c r="EX47" s="141">
        <v>406830</v>
      </c>
      <c r="EY47" s="73">
        <f t="shared" si="13"/>
        <v>72104</v>
      </c>
      <c r="EZ47" s="141">
        <v>70698</v>
      </c>
      <c r="FA47" s="141">
        <v>18228</v>
      </c>
      <c r="FB47" s="141">
        <v>52470</v>
      </c>
      <c r="FC47" s="141">
        <v>1406</v>
      </c>
      <c r="FD47" s="141">
        <v>0</v>
      </c>
      <c r="FE47" s="141">
        <v>704779</v>
      </c>
      <c r="FF47" s="141">
        <v>648328</v>
      </c>
      <c r="FG47" s="141">
        <v>110432</v>
      </c>
      <c r="FH47" s="141">
        <v>453739</v>
      </c>
      <c r="FI47" s="73">
        <f t="shared" si="14"/>
        <v>170056</v>
      </c>
      <c r="FJ47" s="141">
        <v>3984803</v>
      </c>
      <c r="FK47" s="379">
        <f t="shared" si="15"/>
        <v>4.7</v>
      </c>
      <c r="FL47" s="141">
        <v>3448323</v>
      </c>
      <c r="FM47" s="141">
        <v>24904</v>
      </c>
      <c r="FN47" s="141">
        <v>1409467</v>
      </c>
      <c r="FO47" s="141">
        <v>3092041</v>
      </c>
      <c r="FP47" s="390">
        <v>0.44700000000000001</v>
      </c>
      <c r="FQ47" s="380">
        <v>93.4</v>
      </c>
      <c r="FR47" s="381">
        <v>30.2</v>
      </c>
      <c r="FS47" s="380">
        <v>9.1</v>
      </c>
      <c r="FT47" s="380">
        <v>11.6</v>
      </c>
      <c r="FU47" s="381">
        <v>17.7</v>
      </c>
      <c r="FV47" s="380">
        <v>11.9</v>
      </c>
      <c r="FW47" s="382">
        <v>12.4</v>
      </c>
      <c r="FX47" s="383">
        <v>4.2</v>
      </c>
      <c r="FY47" s="141">
        <v>3985376</v>
      </c>
      <c r="FZ47" s="384">
        <f t="shared" si="16"/>
        <v>114.7</v>
      </c>
      <c r="GA47" s="141">
        <v>3395144</v>
      </c>
      <c r="GB47" s="141">
        <v>1571638</v>
      </c>
      <c r="GC47" s="141">
        <v>154043</v>
      </c>
      <c r="GD47" s="141">
        <v>1669463</v>
      </c>
      <c r="GE47" s="107"/>
      <c r="GF47" s="385"/>
      <c r="GG47" s="386"/>
      <c r="GH47" s="380">
        <v>98.8</v>
      </c>
      <c r="GI47" s="380">
        <v>51.8</v>
      </c>
      <c r="GJ47" s="380">
        <v>97.9</v>
      </c>
      <c r="GK47" s="141">
        <v>102</v>
      </c>
      <c r="GL47" s="391" t="s">
        <v>646</v>
      </c>
      <c r="GM47" s="391">
        <v>15</v>
      </c>
      <c r="GN47" s="117">
        <v>20</v>
      </c>
      <c r="GO47" s="391" t="s">
        <v>646</v>
      </c>
      <c r="GP47" s="392">
        <v>20</v>
      </c>
      <c r="GQ47" s="387">
        <v>30</v>
      </c>
      <c r="GR47" s="381">
        <v>4.2</v>
      </c>
      <c r="GS47" s="388">
        <v>25</v>
      </c>
      <c r="GT47" s="388">
        <v>35</v>
      </c>
      <c r="GU47" s="393" t="s">
        <v>646</v>
      </c>
      <c r="GV47" s="388">
        <v>350</v>
      </c>
      <c r="GW47" s="394"/>
      <c r="GX47" s="100">
        <f t="shared" si="17"/>
        <v>3473</v>
      </c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  <c r="HW47" s="394"/>
      <c r="HX47" s="394"/>
    </row>
    <row r="48" spans="1:232" x14ac:dyDescent="0.15">
      <c r="B48" s="89" t="s">
        <v>85</v>
      </c>
      <c r="C48" s="141">
        <v>1507516</v>
      </c>
      <c r="D48" s="73">
        <f t="shared" si="0"/>
        <v>723717</v>
      </c>
      <c r="E48" s="141">
        <v>25885</v>
      </c>
      <c r="F48" s="141">
        <v>697832</v>
      </c>
      <c r="G48" s="73">
        <f t="shared" si="1"/>
        <v>54075</v>
      </c>
      <c r="H48" s="141">
        <v>29057</v>
      </c>
      <c r="I48" s="141">
        <v>25018</v>
      </c>
      <c r="J48" s="141">
        <v>572443</v>
      </c>
      <c r="K48" s="141">
        <v>178193</v>
      </c>
      <c r="L48" s="141">
        <v>307902</v>
      </c>
      <c r="M48" s="141">
        <v>86348</v>
      </c>
      <c r="N48" s="141">
        <v>100523</v>
      </c>
      <c r="O48" s="141">
        <v>0</v>
      </c>
      <c r="P48" s="141">
        <v>0</v>
      </c>
      <c r="Q48" s="141">
        <v>0</v>
      </c>
      <c r="R48" s="141">
        <v>48928</v>
      </c>
      <c r="S48" s="74"/>
      <c r="T48" s="73">
        <f t="shared" si="18"/>
        <v>482167</v>
      </c>
      <c r="U48" s="141">
        <v>1697</v>
      </c>
      <c r="V48" s="141">
        <v>16924</v>
      </c>
      <c r="W48" s="141">
        <v>18137</v>
      </c>
      <c r="X48" s="141">
        <v>352480</v>
      </c>
      <c r="Y48" s="141">
        <v>42608</v>
      </c>
      <c r="Z48" s="141">
        <v>0</v>
      </c>
      <c r="AA48" s="141">
        <v>573</v>
      </c>
      <c r="AB48" s="141">
        <v>12601</v>
      </c>
      <c r="AC48" s="141">
        <v>37147</v>
      </c>
      <c r="AD48" s="141">
        <v>13309</v>
      </c>
      <c r="AE48" s="141">
        <v>2510374</v>
      </c>
      <c r="AF48" s="141">
        <v>2297829</v>
      </c>
      <c r="AG48" s="141">
        <v>212545</v>
      </c>
      <c r="AH48" s="141">
        <v>1779</v>
      </c>
      <c r="AI48" s="141">
        <v>2614</v>
      </c>
      <c r="AJ48" s="73">
        <f t="shared" si="19"/>
        <v>123562</v>
      </c>
      <c r="AK48" s="141">
        <v>65845</v>
      </c>
      <c r="AL48" s="141">
        <v>57717</v>
      </c>
      <c r="AM48" s="141">
        <v>1093638</v>
      </c>
      <c r="AN48" s="73">
        <f t="shared" si="20"/>
        <v>311726</v>
      </c>
      <c r="AO48" s="141">
        <v>0</v>
      </c>
      <c r="AP48" s="141">
        <v>781</v>
      </c>
      <c r="AQ48" s="74"/>
      <c r="AR48" s="141">
        <v>310945</v>
      </c>
      <c r="AS48" s="141">
        <v>376</v>
      </c>
      <c r="AT48" s="141">
        <v>0</v>
      </c>
      <c r="AU48" s="141">
        <v>0</v>
      </c>
      <c r="AV48" s="141">
        <v>568275</v>
      </c>
      <c r="AW48" s="141">
        <v>286503</v>
      </c>
      <c r="AX48" s="141">
        <v>37933</v>
      </c>
      <c r="AY48" s="141">
        <v>1820</v>
      </c>
      <c r="AZ48" s="141">
        <v>281772</v>
      </c>
      <c r="BA48" s="141">
        <v>10080</v>
      </c>
      <c r="BB48" s="141">
        <v>4476</v>
      </c>
      <c r="BC48" s="141">
        <v>1200</v>
      </c>
      <c r="BD48" s="141">
        <v>30073</v>
      </c>
      <c r="BE48" s="141">
        <v>110962</v>
      </c>
      <c r="BF48" s="141">
        <v>0</v>
      </c>
      <c r="BG48" s="141">
        <v>0</v>
      </c>
      <c r="BH48" s="141">
        <v>109737</v>
      </c>
      <c r="BI48" s="141">
        <v>0</v>
      </c>
      <c r="BJ48" s="141">
        <v>150361</v>
      </c>
      <c r="BK48" s="141">
        <v>135225</v>
      </c>
      <c r="BL48" s="141">
        <v>226218</v>
      </c>
      <c r="BM48" s="141">
        <v>1000</v>
      </c>
      <c r="BN48" s="141">
        <v>9703</v>
      </c>
      <c r="BO48" s="141">
        <v>0</v>
      </c>
      <c r="BP48" s="141">
        <v>234200</v>
      </c>
      <c r="BQ48" s="73">
        <f t="shared" si="5"/>
        <v>206000</v>
      </c>
      <c r="BR48" s="73">
        <f t="shared" si="6"/>
        <v>28200</v>
      </c>
      <c r="BS48" s="141">
        <v>0</v>
      </c>
      <c r="BT48" s="141">
        <v>0</v>
      </c>
      <c r="BU48" s="141">
        <v>28200</v>
      </c>
      <c r="BV48" s="141">
        <v>0</v>
      </c>
      <c r="BW48" s="141">
        <v>7108452</v>
      </c>
      <c r="BX48" s="71"/>
      <c r="BY48" s="141">
        <v>1285050</v>
      </c>
      <c r="BZ48" s="141">
        <v>724382</v>
      </c>
      <c r="CA48" s="141">
        <v>34778</v>
      </c>
      <c r="CB48" s="141">
        <v>252656</v>
      </c>
      <c r="CC48" s="141">
        <v>1446647</v>
      </c>
      <c r="CD48" s="141">
        <v>874514</v>
      </c>
      <c r="CE48" s="141">
        <v>3925</v>
      </c>
      <c r="CF48" s="141">
        <v>483064</v>
      </c>
      <c r="CG48" s="141">
        <v>0</v>
      </c>
      <c r="CH48" s="141">
        <v>28</v>
      </c>
      <c r="CI48" s="141">
        <v>85116</v>
      </c>
      <c r="CJ48" s="141">
        <v>639785</v>
      </c>
      <c r="CK48" s="141">
        <v>618755</v>
      </c>
      <c r="CL48" s="83">
        <f t="shared" si="21"/>
        <v>21030</v>
      </c>
      <c r="CM48" s="141">
        <v>1298231</v>
      </c>
      <c r="CN48" s="141">
        <v>901785</v>
      </c>
      <c r="CO48" s="102"/>
      <c r="CP48" s="141">
        <v>199383</v>
      </c>
      <c r="CQ48" s="141">
        <v>26628</v>
      </c>
      <c r="CR48" s="141">
        <v>958881</v>
      </c>
      <c r="CS48" s="141">
        <v>169148</v>
      </c>
      <c r="CT48" s="141">
        <v>218880</v>
      </c>
      <c r="CU48" s="141">
        <v>173953</v>
      </c>
      <c r="CV48" s="73">
        <f t="shared" si="8"/>
        <v>168566</v>
      </c>
      <c r="CW48" s="141">
        <v>3833</v>
      </c>
      <c r="CX48" s="141">
        <v>164733</v>
      </c>
      <c r="CY48" s="73">
        <f t="shared" si="9"/>
        <v>0</v>
      </c>
      <c r="CZ48" s="141">
        <v>0</v>
      </c>
      <c r="DA48" s="141">
        <v>0</v>
      </c>
      <c r="DB48" s="73">
        <f t="shared" si="10"/>
        <v>168566</v>
      </c>
      <c r="DC48" s="141">
        <v>3833</v>
      </c>
      <c r="DD48" s="141">
        <v>164733</v>
      </c>
      <c r="DE48" s="141">
        <v>372067</v>
      </c>
      <c r="DF48" s="141">
        <v>19330</v>
      </c>
      <c r="DG48" s="141">
        <v>344086</v>
      </c>
      <c r="DH48" s="141">
        <v>8651</v>
      </c>
      <c r="DI48" s="141">
        <v>0</v>
      </c>
      <c r="DJ48" s="141">
        <v>17178</v>
      </c>
      <c r="DK48" s="141">
        <v>200304</v>
      </c>
      <c r="DL48" s="141">
        <v>664</v>
      </c>
      <c r="DM48" s="141">
        <v>20022</v>
      </c>
      <c r="DN48" s="141">
        <v>179618</v>
      </c>
      <c r="DO48" s="141">
        <v>0</v>
      </c>
      <c r="DP48" s="141">
        <v>0</v>
      </c>
      <c r="DQ48" s="141">
        <v>0</v>
      </c>
      <c r="DR48" s="141">
        <v>0</v>
      </c>
      <c r="DS48" s="141">
        <v>0</v>
      </c>
      <c r="DT48" s="141">
        <v>0</v>
      </c>
      <c r="DU48" s="141">
        <v>0</v>
      </c>
      <c r="DV48" s="141">
        <v>693425</v>
      </c>
      <c r="DW48" s="141">
        <v>0</v>
      </c>
      <c r="DX48" s="73">
        <f t="shared" si="11"/>
        <v>0</v>
      </c>
      <c r="DY48" s="141">
        <v>0</v>
      </c>
      <c r="DZ48" s="141">
        <v>284163</v>
      </c>
      <c r="EA48" s="141">
        <v>0</v>
      </c>
      <c r="EB48" s="141">
        <v>153946</v>
      </c>
      <c r="EC48" s="74"/>
      <c r="ED48" s="141">
        <v>255316</v>
      </c>
      <c r="EE48" s="141">
        <v>0</v>
      </c>
      <c r="EF48" s="141">
        <v>6938196</v>
      </c>
      <c r="EG48" s="71"/>
      <c r="EH48" s="141">
        <v>170256</v>
      </c>
      <c r="EI48" s="141">
        <v>66409</v>
      </c>
      <c r="EJ48" s="141">
        <v>103847</v>
      </c>
      <c r="EK48" s="141">
        <v>-171378</v>
      </c>
      <c r="EL48" s="141">
        <v>-170714</v>
      </c>
      <c r="EM48" s="71"/>
      <c r="EN48" s="141">
        <v>15697</v>
      </c>
      <c r="EO48" s="141">
        <v>14815</v>
      </c>
      <c r="EP48" s="141">
        <v>1225</v>
      </c>
      <c r="EQ48" s="141">
        <v>1455</v>
      </c>
      <c r="ER48" s="73">
        <f t="shared" si="12"/>
        <v>659418</v>
      </c>
      <c r="ES48" s="141">
        <v>4564073</v>
      </c>
      <c r="ET48" s="141">
        <v>-688519</v>
      </c>
      <c r="EU48" s="141">
        <v>1172011</v>
      </c>
      <c r="EV48" s="141">
        <v>671729</v>
      </c>
      <c r="EW48" s="141">
        <v>593338</v>
      </c>
      <c r="EX48" s="141">
        <v>639785</v>
      </c>
      <c r="EY48" s="73">
        <f t="shared" si="13"/>
        <v>146973</v>
      </c>
      <c r="EZ48" s="141">
        <v>143295</v>
      </c>
      <c r="FA48" s="141">
        <v>1394</v>
      </c>
      <c r="FB48" s="141">
        <v>134850</v>
      </c>
      <c r="FC48" s="141">
        <v>3678</v>
      </c>
      <c r="FD48" s="141">
        <v>0</v>
      </c>
      <c r="FE48" s="141">
        <v>929175</v>
      </c>
      <c r="FF48" s="141">
        <v>819151</v>
      </c>
      <c r="FG48" s="141">
        <v>167850</v>
      </c>
      <c r="FH48" s="141">
        <v>555798</v>
      </c>
      <c r="FI48" s="73">
        <f t="shared" si="14"/>
        <v>226105</v>
      </c>
      <c r="FJ48" s="141">
        <v>5082336</v>
      </c>
      <c r="FK48" s="379">
        <f t="shared" si="15"/>
        <v>2.4</v>
      </c>
      <c r="FL48" s="141">
        <v>4329376</v>
      </c>
      <c r="FM48" s="141">
        <v>28219</v>
      </c>
      <c r="FN48" s="141">
        <v>1623118</v>
      </c>
      <c r="FO48" s="141">
        <v>3903332</v>
      </c>
      <c r="FP48" s="390">
        <v>0.41299999999999998</v>
      </c>
      <c r="FQ48" s="380">
        <v>89.5</v>
      </c>
      <c r="FR48" s="381">
        <v>26.1</v>
      </c>
      <c r="FS48" s="380">
        <v>8.6999999999999993</v>
      </c>
      <c r="FT48" s="380">
        <v>14.5</v>
      </c>
      <c r="FU48" s="381">
        <v>15.4</v>
      </c>
      <c r="FV48" s="380">
        <v>11.7</v>
      </c>
      <c r="FW48" s="382">
        <v>12.5</v>
      </c>
      <c r="FX48" s="383">
        <v>6.9</v>
      </c>
      <c r="FY48" s="141">
        <v>5316289</v>
      </c>
      <c r="FZ48" s="384">
        <f t="shared" si="16"/>
        <v>122</v>
      </c>
      <c r="GA48" s="141">
        <v>3211270</v>
      </c>
      <c r="GB48" s="141">
        <v>1434628</v>
      </c>
      <c r="GC48" s="141">
        <v>295123</v>
      </c>
      <c r="GD48" s="141">
        <v>1481519</v>
      </c>
      <c r="GE48" s="107"/>
      <c r="GF48" s="385">
        <v>109</v>
      </c>
      <c r="GG48" s="386">
        <f>IF(GF48=0,"-",ROUND(GF48/(GX48)*100,1))</f>
        <v>2.5</v>
      </c>
      <c r="GH48" s="380">
        <v>99.1</v>
      </c>
      <c r="GI48" s="380">
        <v>23.9</v>
      </c>
      <c r="GJ48" s="380">
        <v>96.5</v>
      </c>
      <c r="GK48" s="141">
        <v>122</v>
      </c>
      <c r="GL48" s="391" t="s">
        <v>646</v>
      </c>
      <c r="GM48" s="391">
        <v>15</v>
      </c>
      <c r="GN48" s="117">
        <v>20</v>
      </c>
      <c r="GO48" s="391" t="s">
        <v>646</v>
      </c>
      <c r="GP48" s="392">
        <v>20</v>
      </c>
      <c r="GQ48" s="387">
        <v>30</v>
      </c>
      <c r="GR48" s="381">
        <v>6.9</v>
      </c>
      <c r="GS48" s="388">
        <v>25</v>
      </c>
      <c r="GT48" s="388">
        <v>35</v>
      </c>
      <c r="GU48" s="393" t="s">
        <v>646</v>
      </c>
      <c r="GV48" s="388">
        <v>350</v>
      </c>
      <c r="GW48" s="394"/>
      <c r="GX48" s="100">
        <f t="shared" si="17"/>
        <v>4358</v>
      </c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  <c r="HW48" s="394"/>
      <c r="HX48" s="394"/>
    </row>
    <row r="49" spans="1:232" x14ac:dyDescent="0.15">
      <c r="B49" s="89" t="s">
        <v>87</v>
      </c>
      <c r="C49" s="141">
        <v>465421</v>
      </c>
      <c r="D49" s="73">
        <f t="shared" si="0"/>
        <v>193399</v>
      </c>
      <c r="E49" s="141">
        <v>8303</v>
      </c>
      <c r="F49" s="141">
        <v>185096</v>
      </c>
      <c r="G49" s="73">
        <f t="shared" si="1"/>
        <v>28437</v>
      </c>
      <c r="H49" s="141">
        <v>12710</v>
      </c>
      <c r="I49" s="141">
        <v>15727</v>
      </c>
      <c r="J49" s="141">
        <v>221925</v>
      </c>
      <c r="K49" s="141">
        <v>61772</v>
      </c>
      <c r="L49" s="141">
        <v>116760</v>
      </c>
      <c r="M49" s="141">
        <v>43393</v>
      </c>
      <c r="N49" s="141">
        <v>1039</v>
      </c>
      <c r="O49" s="141">
        <v>0</v>
      </c>
      <c r="P49" s="141">
        <v>0</v>
      </c>
      <c r="Q49" s="141">
        <v>0</v>
      </c>
      <c r="R49" s="141">
        <v>30724</v>
      </c>
      <c r="S49" s="74"/>
      <c r="T49" s="73">
        <f t="shared" si="18"/>
        <v>156827</v>
      </c>
      <c r="U49" s="141">
        <v>458</v>
      </c>
      <c r="V49" s="141">
        <v>4579</v>
      </c>
      <c r="W49" s="141">
        <v>4913</v>
      </c>
      <c r="X49" s="141">
        <v>112088</v>
      </c>
      <c r="Y49" s="141">
        <v>17516</v>
      </c>
      <c r="Z49" s="141">
        <v>0</v>
      </c>
      <c r="AA49" s="141">
        <v>223</v>
      </c>
      <c r="AB49" s="141">
        <v>4894</v>
      </c>
      <c r="AC49" s="141">
        <v>12156</v>
      </c>
      <c r="AD49" s="141">
        <v>1786</v>
      </c>
      <c r="AE49" s="141">
        <v>1881508</v>
      </c>
      <c r="AF49" s="141">
        <v>1671596</v>
      </c>
      <c r="AG49" s="141">
        <v>209912</v>
      </c>
      <c r="AH49" s="141">
        <v>594</v>
      </c>
      <c r="AI49" s="141">
        <v>1802</v>
      </c>
      <c r="AJ49" s="73">
        <f t="shared" si="19"/>
        <v>25968</v>
      </c>
      <c r="AK49" s="141">
        <v>13522</v>
      </c>
      <c r="AL49" s="141">
        <v>12446</v>
      </c>
      <c r="AM49" s="141">
        <v>426843</v>
      </c>
      <c r="AN49" s="73">
        <f t="shared" si="20"/>
        <v>59570</v>
      </c>
      <c r="AO49" s="141">
        <v>0</v>
      </c>
      <c r="AP49" s="141">
        <v>0</v>
      </c>
      <c r="AQ49" s="74"/>
      <c r="AR49" s="141">
        <v>59570</v>
      </c>
      <c r="AS49" s="141">
        <v>320</v>
      </c>
      <c r="AT49" s="141">
        <v>86</v>
      </c>
      <c r="AU49" s="141">
        <v>0</v>
      </c>
      <c r="AV49" s="141">
        <v>260125</v>
      </c>
      <c r="AW49" s="141">
        <v>139852</v>
      </c>
      <c r="AX49" s="141">
        <v>0</v>
      </c>
      <c r="AY49" s="141">
        <v>1779</v>
      </c>
      <c r="AZ49" s="141">
        <v>120273</v>
      </c>
      <c r="BA49" s="141">
        <v>1365</v>
      </c>
      <c r="BB49" s="141">
        <v>3670</v>
      </c>
      <c r="BC49" s="141">
        <v>1337</v>
      </c>
      <c r="BD49" s="141">
        <v>7532</v>
      </c>
      <c r="BE49" s="141">
        <v>122335</v>
      </c>
      <c r="BF49" s="141">
        <v>0</v>
      </c>
      <c r="BG49" s="141">
        <v>7160</v>
      </c>
      <c r="BH49" s="141">
        <v>115175</v>
      </c>
      <c r="BI49" s="141">
        <v>0</v>
      </c>
      <c r="BJ49" s="141">
        <v>85197</v>
      </c>
      <c r="BK49" s="141">
        <v>77083</v>
      </c>
      <c r="BL49" s="141">
        <v>69548</v>
      </c>
      <c r="BM49" s="141">
        <v>0</v>
      </c>
      <c r="BN49" s="141">
        <v>9183</v>
      </c>
      <c r="BO49" s="141">
        <v>0</v>
      </c>
      <c r="BP49" s="141">
        <v>524000</v>
      </c>
      <c r="BQ49" s="73">
        <f t="shared" si="5"/>
        <v>524000</v>
      </c>
      <c r="BR49" s="73">
        <f t="shared" si="6"/>
        <v>0</v>
      </c>
      <c r="BS49" s="141">
        <v>0</v>
      </c>
      <c r="BT49" s="141">
        <v>0</v>
      </c>
      <c r="BU49" s="141">
        <v>0</v>
      </c>
      <c r="BV49" s="141">
        <v>0</v>
      </c>
      <c r="BW49" s="141">
        <v>4063880</v>
      </c>
      <c r="BX49" s="71"/>
      <c r="BY49" s="141">
        <v>738401</v>
      </c>
      <c r="BZ49" s="141">
        <v>400805</v>
      </c>
      <c r="CA49" s="141">
        <v>45548</v>
      </c>
      <c r="CB49" s="141">
        <v>97382</v>
      </c>
      <c r="CC49" s="141">
        <v>385002</v>
      </c>
      <c r="CD49" s="141">
        <v>198069</v>
      </c>
      <c r="CE49" s="141">
        <v>1030</v>
      </c>
      <c r="CF49" s="141">
        <v>143879</v>
      </c>
      <c r="CG49" s="141">
        <v>0</v>
      </c>
      <c r="CH49" s="141">
        <v>149</v>
      </c>
      <c r="CI49" s="141">
        <v>41875</v>
      </c>
      <c r="CJ49" s="141">
        <v>363217</v>
      </c>
      <c r="CK49" s="141">
        <v>351898</v>
      </c>
      <c r="CL49" s="83">
        <f t="shared" si="21"/>
        <v>11319</v>
      </c>
      <c r="CM49" s="141">
        <v>669306</v>
      </c>
      <c r="CN49" s="141">
        <v>470574</v>
      </c>
      <c r="CO49" s="102"/>
      <c r="CP49" s="141">
        <v>73616</v>
      </c>
      <c r="CQ49" s="141">
        <v>2610</v>
      </c>
      <c r="CR49" s="141">
        <v>410076</v>
      </c>
      <c r="CS49" s="141">
        <v>160856</v>
      </c>
      <c r="CT49" s="141">
        <v>69447</v>
      </c>
      <c r="CU49" s="141">
        <v>67628</v>
      </c>
      <c r="CV49" s="73">
        <f t="shared" si="8"/>
        <v>0</v>
      </c>
      <c r="CW49" s="141">
        <v>0</v>
      </c>
      <c r="CX49" s="141">
        <v>0</v>
      </c>
      <c r="CY49" s="73">
        <f t="shared" si="9"/>
        <v>0</v>
      </c>
      <c r="CZ49" s="141">
        <v>0</v>
      </c>
      <c r="DA49" s="141">
        <v>0</v>
      </c>
      <c r="DB49" s="73">
        <f t="shared" si="10"/>
        <v>0</v>
      </c>
      <c r="DC49" s="141">
        <v>0</v>
      </c>
      <c r="DD49" s="141">
        <v>0</v>
      </c>
      <c r="DE49" s="141">
        <v>550725</v>
      </c>
      <c r="DF49" s="141">
        <v>7643</v>
      </c>
      <c r="DG49" s="141">
        <v>543082</v>
      </c>
      <c r="DH49" s="141">
        <v>0</v>
      </c>
      <c r="DI49" s="141">
        <v>0</v>
      </c>
      <c r="DJ49" s="141">
        <v>37730</v>
      </c>
      <c r="DK49" s="141">
        <v>196710</v>
      </c>
      <c r="DL49" s="141">
        <v>152469</v>
      </c>
      <c r="DM49" s="141">
        <v>51</v>
      </c>
      <c r="DN49" s="141">
        <v>44190</v>
      </c>
      <c r="DO49" s="141">
        <v>0</v>
      </c>
      <c r="DP49" s="141">
        <v>0</v>
      </c>
      <c r="DQ49" s="141">
        <v>0</v>
      </c>
      <c r="DR49" s="141">
        <v>0</v>
      </c>
      <c r="DS49" s="141">
        <v>0</v>
      </c>
      <c r="DT49" s="141">
        <v>0</v>
      </c>
      <c r="DU49" s="141">
        <v>0</v>
      </c>
      <c r="DV49" s="141">
        <v>468706</v>
      </c>
      <c r="DW49" s="141">
        <v>121980</v>
      </c>
      <c r="DX49" s="73">
        <f t="shared" si="11"/>
        <v>0</v>
      </c>
      <c r="DY49" s="141">
        <v>0</v>
      </c>
      <c r="DZ49" s="141">
        <v>136680</v>
      </c>
      <c r="EA49" s="141">
        <v>0</v>
      </c>
      <c r="EB49" s="141">
        <v>72338</v>
      </c>
      <c r="EC49" s="74"/>
      <c r="ED49" s="141">
        <v>107931</v>
      </c>
      <c r="EE49" s="141">
        <v>0</v>
      </c>
      <c r="EF49" s="141">
        <v>3822483</v>
      </c>
      <c r="EG49" s="71"/>
      <c r="EH49" s="141">
        <v>241397</v>
      </c>
      <c r="EI49" s="141">
        <v>45603</v>
      </c>
      <c r="EJ49" s="141">
        <v>195794</v>
      </c>
      <c r="EK49" s="141">
        <v>118711</v>
      </c>
      <c r="EL49" s="141">
        <v>278340</v>
      </c>
      <c r="EM49" s="71"/>
      <c r="EN49" s="141">
        <v>4909</v>
      </c>
      <c r="EO49" s="141">
        <v>4782</v>
      </c>
      <c r="EP49" s="141">
        <v>7160</v>
      </c>
      <c r="EQ49" s="141">
        <v>1337</v>
      </c>
      <c r="ER49" s="73">
        <f t="shared" si="12"/>
        <v>211570</v>
      </c>
      <c r="ES49" s="141">
        <v>2536860</v>
      </c>
      <c r="ET49" s="141">
        <v>-219473</v>
      </c>
      <c r="EU49" s="141">
        <v>676114</v>
      </c>
      <c r="EV49" s="141">
        <v>360658</v>
      </c>
      <c r="EW49" s="141">
        <v>83181</v>
      </c>
      <c r="EX49" s="141">
        <v>363217</v>
      </c>
      <c r="EY49" s="73">
        <f t="shared" si="13"/>
        <v>110075</v>
      </c>
      <c r="EZ49" s="141">
        <v>99431</v>
      </c>
      <c r="FA49" s="141">
        <v>1843</v>
      </c>
      <c r="FB49" s="141">
        <v>97588</v>
      </c>
      <c r="FC49" s="141">
        <v>10644</v>
      </c>
      <c r="FD49" s="141">
        <v>0</v>
      </c>
      <c r="FE49" s="141">
        <v>409951</v>
      </c>
      <c r="FF49" s="141">
        <v>264794</v>
      </c>
      <c r="FG49" s="141">
        <v>109498</v>
      </c>
      <c r="FH49" s="141">
        <v>416077</v>
      </c>
      <c r="FI49" s="73">
        <f t="shared" si="14"/>
        <v>191527</v>
      </c>
      <c r="FJ49" s="141">
        <v>2514936</v>
      </c>
      <c r="FK49" s="379">
        <f t="shared" si="15"/>
        <v>8.3000000000000007</v>
      </c>
      <c r="FL49" s="141">
        <v>2335366</v>
      </c>
      <c r="FM49" s="141">
        <v>10637</v>
      </c>
      <c r="FN49" s="141">
        <v>534153</v>
      </c>
      <c r="FO49" s="141">
        <v>2150876</v>
      </c>
      <c r="FP49" s="390">
        <v>0.248</v>
      </c>
      <c r="FQ49" s="380">
        <v>76.099999999999994</v>
      </c>
      <c r="FR49" s="381">
        <v>28</v>
      </c>
      <c r="FS49" s="380">
        <v>3.6</v>
      </c>
      <c r="FT49" s="380">
        <v>15.5</v>
      </c>
      <c r="FU49" s="381">
        <v>14.7</v>
      </c>
      <c r="FV49" s="380">
        <v>4.0999999999999996</v>
      </c>
      <c r="FW49" s="382">
        <v>10.1</v>
      </c>
      <c r="FX49" s="383">
        <v>7.2</v>
      </c>
      <c r="FY49" s="141">
        <v>3692906</v>
      </c>
      <c r="FZ49" s="384">
        <f t="shared" si="16"/>
        <v>157.4</v>
      </c>
      <c r="GA49" s="141">
        <v>2443284</v>
      </c>
      <c r="GB49" s="141">
        <v>1255102</v>
      </c>
      <c r="GC49" s="141">
        <v>245235</v>
      </c>
      <c r="GD49" s="141">
        <v>942947</v>
      </c>
      <c r="GE49" s="107"/>
      <c r="GF49" s="385"/>
      <c r="GG49" s="386"/>
      <c r="GH49" s="380">
        <v>99.4</v>
      </c>
      <c r="GI49" s="380">
        <v>34.6</v>
      </c>
      <c r="GJ49" s="380">
        <v>99.2</v>
      </c>
      <c r="GK49" s="141">
        <v>75</v>
      </c>
      <c r="GL49" s="391" t="s">
        <v>646</v>
      </c>
      <c r="GM49" s="391">
        <v>15</v>
      </c>
      <c r="GN49" s="117">
        <v>20</v>
      </c>
      <c r="GO49" s="391" t="s">
        <v>646</v>
      </c>
      <c r="GP49" s="391">
        <v>20</v>
      </c>
      <c r="GQ49" s="387">
        <v>30</v>
      </c>
      <c r="GR49" s="381">
        <v>7.2</v>
      </c>
      <c r="GS49" s="388">
        <v>25</v>
      </c>
      <c r="GT49" s="388">
        <v>35</v>
      </c>
      <c r="GU49" s="393" t="s">
        <v>646</v>
      </c>
      <c r="GV49" s="388">
        <v>350</v>
      </c>
      <c r="GW49" s="394"/>
      <c r="GX49" s="100">
        <f t="shared" si="17"/>
        <v>2346</v>
      </c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  <c r="HW49" s="394"/>
      <c r="HX49" s="394"/>
    </row>
    <row r="50" spans="1:232" s="112" customFormat="1" x14ac:dyDescent="0.15">
      <c r="A50" s="126"/>
      <c r="B50" s="126" t="s">
        <v>89</v>
      </c>
      <c r="C50" s="137">
        <v>23994359</v>
      </c>
      <c r="D50" s="127">
        <f t="shared" si="0"/>
        <v>8874309</v>
      </c>
      <c r="E50" s="137">
        <v>301205</v>
      </c>
      <c r="F50" s="137">
        <v>8573104</v>
      </c>
      <c r="G50" s="127">
        <f t="shared" si="1"/>
        <v>1569751</v>
      </c>
      <c r="H50" s="137">
        <v>346854</v>
      </c>
      <c r="I50" s="137">
        <v>1222897</v>
      </c>
      <c r="J50" s="137">
        <v>11477252</v>
      </c>
      <c r="K50" s="137">
        <v>4558626</v>
      </c>
      <c r="L50" s="137">
        <v>4637791</v>
      </c>
      <c r="M50" s="137">
        <v>2202474</v>
      </c>
      <c r="N50" s="137">
        <v>954580</v>
      </c>
      <c r="O50" s="137">
        <v>622158</v>
      </c>
      <c r="P50" s="137">
        <v>321278</v>
      </c>
      <c r="Q50" s="137">
        <v>300880</v>
      </c>
      <c r="R50" s="137">
        <v>528154</v>
      </c>
      <c r="S50" s="127"/>
      <c r="T50" s="127">
        <f t="shared" si="18"/>
        <v>5025355</v>
      </c>
      <c r="U50" s="137">
        <v>20520</v>
      </c>
      <c r="V50" s="137">
        <v>204799</v>
      </c>
      <c r="W50" s="137">
        <v>219695</v>
      </c>
      <c r="X50" s="137">
        <v>3870395</v>
      </c>
      <c r="Y50" s="137">
        <v>213689</v>
      </c>
      <c r="Z50" s="137">
        <v>0</v>
      </c>
      <c r="AA50" s="137">
        <v>5551</v>
      </c>
      <c r="AB50" s="137">
        <v>121963</v>
      </c>
      <c r="AC50" s="137">
        <v>368743</v>
      </c>
      <c r="AD50" s="137">
        <v>192117</v>
      </c>
      <c r="AE50" s="137">
        <v>22646037</v>
      </c>
      <c r="AF50" s="137">
        <v>20637561</v>
      </c>
      <c r="AG50" s="137">
        <v>2008476</v>
      </c>
      <c r="AH50" s="137">
        <v>19985</v>
      </c>
      <c r="AI50" s="137">
        <v>219411</v>
      </c>
      <c r="AJ50" s="127">
        <f t="shared" si="19"/>
        <v>1134987</v>
      </c>
      <c r="AK50" s="137">
        <v>783938</v>
      </c>
      <c r="AL50" s="137">
        <v>351049</v>
      </c>
      <c r="AM50" s="137">
        <v>13376957</v>
      </c>
      <c r="AN50" s="127">
        <f t="shared" si="20"/>
        <v>3977631</v>
      </c>
      <c r="AO50" s="137">
        <v>193997</v>
      </c>
      <c r="AP50" s="137">
        <v>1505249</v>
      </c>
      <c r="AQ50" s="127"/>
      <c r="AR50" s="137">
        <v>2278385</v>
      </c>
      <c r="AS50" s="137">
        <v>306572</v>
      </c>
      <c r="AT50" s="137">
        <v>108233</v>
      </c>
      <c r="AU50" s="137">
        <v>0</v>
      </c>
      <c r="AV50" s="137">
        <v>6162532</v>
      </c>
      <c r="AW50" s="137">
        <v>3574965</v>
      </c>
      <c r="AX50" s="137">
        <v>684721</v>
      </c>
      <c r="AY50" s="137">
        <v>27204</v>
      </c>
      <c r="AZ50" s="137">
        <v>2587567</v>
      </c>
      <c r="BA50" s="137">
        <v>50108</v>
      </c>
      <c r="BB50" s="137">
        <v>237167</v>
      </c>
      <c r="BC50" s="137">
        <v>110455</v>
      </c>
      <c r="BD50" s="137">
        <v>1707216</v>
      </c>
      <c r="BE50" s="137">
        <v>2888276</v>
      </c>
      <c r="BF50" s="137">
        <v>735600</v>
      </c>
      <c r="BG50" s="137">
        <v>7160</v>
      </c>
      <c r="BH50" s="137">
        <v>1976773</v>
      </c>
      <c r="BI50" s="137">
        <v>0</v>
      </c>
      <c r="BJ50" s="137">
        <v>2488933</v>
      </c>
      <c r="BK50" s="137">
        <v>2047004</v>
      </c>
      <c r="BL50" s="137">
        <v>1446718</v>
      </c>
      <c r="BM50" s="137">
        <v>6153</v>
      </c>
      <c r="BN50" s="137">
        <v>28774</v>
      </c>
      <c r="BO50" s="137">
        <v>0</v>
      </c>
      <c r="BP50" s="137">
        <v>4486045</v>
      </c>
      <c r="BQ50" s="127">
        <f t="shared" si="5"/>
        <v>4138800</v>
      </c>
      <c r="BR50" s="127">
        <f t="shared" si="6"/>
        <v>347245</v>
      </c>
      <c r="BS50" s="137">
        <v>0</v>
      </c>
      <c r="BT50" s="137">
        <v>0</v>
      </c>
      <c r="BU50" s="137">
        <v>347245</v>
      </c>
      <c r="BV50" s="137">
        <v>0</v>
      </c>
      <c r="BW50" s="137">
        <v>86554249</v>
      </c>
      <c r="BX50" s="127"/>
      <c r="BY50" s="137">
        <v>16125730</v>
      </c>
      <c r="BZ50" s="137">
        <v>9037242</v>
      </c>
      <c r="CA50" s="137">
        <v>495051</v>
      </c>
      <c r="CB50" s="137">
        <v>3215854</v>
      </c>
      <c r="CC50" s="137">
        <v>16029194</v>
      </c>
      <c r="CD50" s="137">
        <v>7753627</v>
      </c>
      <c r="CE50" s="137">
        <v>15460</v>
      </c>
      <c r="CF50" s="137">
        <v>7219250</v>
      </c>
      <c r="CG50" s="137">
        <v>268377</v>
      </c>
      <c r="CH50" s="137">
        <v>97752</v>
      </c>
      <c r="CI50" s="137">
        <v>674728</v>
      </c>
      <c r="CJ50" s="137">
        <v>6172613</v>
      </c>
      <c r="CK50" s="137">
        <v>5935791</v>
      </c>
      <c r="CL50" s="127">
        <f t="shared" si="21"/>
        <v>236822</v>
      </c>
      <c r="CM50" s="137">
        <v>13877663</v>
      </c>
      <c r="CN50" s="137">
        <v>9148832</v>
      </c>
      <c r="CO50" s="129"/>
      <c r="CP50" s="137">
        <v>2282630</v>
      </c>
      <c r="CQ50" s="137">
        <v>762518</v>
      </c>
      <c r="CR50" s="137">
        <v>9097815</v>
      </c>
      <c r="CS50" s="137">
        <v>2027591</v>
      </c>
      <c r="CT50" s="137">
        <v>1936205</v>
      </c>
      <c r="CU50" s="137">
        <v>1689041</v>
      </c>
      <c r="CV50" s="127">
        <f t="shared" si="8"/>
        <v>1454583</v>
      </c>
      <c r="CW50" s="137">
        <v>358523</v>
      </c>
      <c r="CX50" s="137">
        <v>1096060</v>
      </c>
      <c r="CY50" s="127">
        <f t="shared" si="9"/>
        <v>0</v>
      </c>
      <c r="CZ50" s="137">
        <v>0</v>
      </c>
      <c r="DA50" s="137">
        <v>0</v>
      </c>
      <c r="DB50" s="127">
        <f t="shared" si="10"/>
        <v>1317873</v>
      </c>
      <c r="DC50" s="137">
        <v>346852</v>
      </c>
      <c r="DD50" s="137">
        <v>971021</v>
      </c>
      <c r="DE50" s="137">
        <v>7439774</v>
      </c>
      <c r="DF50" s="137">
        <v>3156555</v>
      </c>
      <c r="DG50" s="137">
        <v>4189402</v>
      </c>
      <c r="DH50" s="137">
        <v>30204</v>
      </c>
      <c r="DI50" s="137">
        <v>0</v>
      </c>
      <c r="DJ50" s="137">
        <v>251115</v>
      </c>
      <c r="DK50" s="137">
        <v>4204242</v>
      </c>
      <c r="DL50" s="137">
        <v>2000746</v>
      </c>
      <c r="DM50" s="137">
        <v>148727</v>
      </c>
      <c r="DN50" s="137">
        <v>2054769</v>
      </c>
      <c r="DO50" s="137">
        <v>593983</v>
      </c>
      <c r="DP50" s="137">
        <v>593983</v>
      </c>
      <c r="DQ50" s="137">
        <v>167424</v>
      </c>
      <c r="DR50" s="137">
        <v>0</v>
      </c>
      <c r="DS50" s="137">
        <v>2600</v>
      </c>
      <c r="DT50" s="137">
        <v>0</v>
      </c>
      <c r="DU50" s="137">
        <v>0</v>
      </c>
      <c r="DV50" s="137">
        <v>9585105</v>
      </c>
      <c r="DW50" s="137">
        <v>1074764</v>
      </c>
      <c r="DX50" s="127">
        <f t="shared" si="11"/>
        <v>0</v>
      </c>
      <c r="DY50" s="137">
        <v>0</v>
      </c>
      <c r="DZ50" s="137">
        <v>3414181</v>
      </c>
      <c r="EA50" s="137">
        <v>0</v>
      </c>
      <c r="EB50" s="137">
        <v>1959878</v>
      </c>
      <c r="EC50" s="127"/>
      <c r="ED50" s="137">
        <v>2986691</v>
      </c>
      <c r="EE50" s="137">
        <v>0</v>
      </c>
      <c r="EF50" s="137">
        <v>84142352</v>
      </c>
      <c r="EG50" s="127"/>
      <c r="EH50" s="137">
        <v>2411897</v>
      </c>
      <c r="EI50" s="137">
        <v>572366</v>
      </c>
      <c r="EJ50" s="137">
        <v>1839531</v>
      </c>
      <c r="EK50" s="137">
        <v>-347777</v>
      </c>
      <c r="EL50" s="137">
        <v>924529</v>
      </c>
      <c r="EM50" s="127"/>
      <c r="EN50" s="129">
        <f>SUM(EN40:EN49)</f>
        <v>175405</v>
      </c>
      <c r="EO50" s="129">
        <f>SUM(EO40:EO49)</f>
        <v>173835</v>
      </c>
      <c r="EP50" s="137">
        <v>1060483</v>
      </c>
      <c r="EQ50" s="137">
        <v>96148</v>
      </c>
      <c r="ER50" s="127">
        <f t="shared" si="12"/>
        <v>6844202</v>
      </c>
      <c r="ES50" s="137">
        <v>52406007</v>
      </c>
      <c r="ET50" s="137">
        <v>-8328093</v>
      </c>
      <c r="EU50" s="137">
        <v>14627841</v>
      </c>
      <c r="EV50" s="137">
        <v>8302510</v>
      </c>
      <c r="EW50" s="137">
        <v>6346990</v>
      </c>
      <c r="EX50" s="137">
        <v>6089585</v>
      </c>
      <c r="EY50" s="127">
        <f t="shared" si="13"/>
        <v>1445361</v>
      </c>
      <c r="EZ50" s="137">
        <v>1408072</v>
      </c>
      <c r="FA50" s="137">
        <v>296249</v>
      </c>
      <c r="FB50" s="137">
        <v>1104214</v>
      </c>
      <c r="FC50" s="137">
        <v>37289</v>
      </c>
      <c r="FD50" s="137">
        <v>0</v>
      </c>
      <c r="FE50" s="137">
        <v>9992704</v>
      </c>
      <c r="FF50" s="137">
        <v>7715946</v>
      </c>
      <c r="FG50" s="137">
        <v>1936603</v>
      </c>
      <c r="FH50" s="137">
        <v>7887326</v>
      </c>
      <c r="FI50" s="127">
        <f t="shared" si="14"/>
        <v>4216450</v>
      </c>
      <c r="FJ50" s="137">
        <v>58322203</v>
      </c>
      <c r="FK50" s="396">
        <f t="shared" si="15"/>
        <v>3.7</v>
      </c>
      <c r="FL50" s="137">
        <v>48739339</v>
      </c>
      <c r="FM50" s="137">
        <v>358348</v>
      </c>
      <c r="FN50" s="137">
        <v>22200785</v>
      </c>
      <c r="FO50" s="137">
        <v>42045205</v>
      </c>
      <c r="FP50" s="397">
        <v>0.53</v>
      </c>
      <c r="FQ50" s="398">
        <v>92</v>
      </c>
      <c r="FR50" s="399">
        <v>28.2</v>
      </c>
      <c r="FS50" s="398">
        <v>8.4</v>
      </c>
      <c r="FT50" s="398">
        <v>12.1</v>
      </c>
      <c r="FU50" s="399">
        <v>17.100000000000001</v>
      </c>
      <c r="FV50" s="398">
        <v>10.7</v>
      </c>
      <c r="FW50" s="400">
        <v>13.6</v>
      </c>
      <c r="FX50" s="401">
        <v>6</v>
      </c>
      <c r="FY50" s="137">
        <v>61195043</v>
      </c>
      <c r="FZ50" s="402">
        <f t="shared" si="16"/>
        <v>124.6</v>
      </c>
      <c r="GA50" s="137">
        <v>41878374</v>
      </c>
      <c r="GB50" s="137">
        <v>18655205</v>
      </c>
      <c r="GC50" s="137">
        <v>2689785</v>
      </c>
      <c r="GD50" s="137">
        <v>20533384</v>
      </c>
      <c r="GE50" s="129"/>
      <c r="GF50" s="129">
        <f>SUM(GF40:GF49)</f>
        <v>748</v>
      </c>
      <c r="GG50" s="403">
        <f>IF(GF50=0,"-",ROUND(GF50/GY50*100,1))</f>
        <v>5.5</v>
      </c>
      <c r="GH50" s="398">
        <v>99.5</v>
      </c>
      <c r="GI50" s="398">
        <v>22.2</v>
      </c>
      <c r="GJ50" s="398">
        <v>97.8</v>
      </c>
      <c r="GK50" s="129">
        <f>SUM(GK40:GK49)</f>
        <v>1484</v>
      </c>
      <c r="GL50" s="404" t="s">
        <v>646</v>
      </c>
      <c r="GM50" s="404" t="s">
        <v>646</v>
      </c>
      <c r="GN50" s="405" t="s">
        <v>646</v>
      </c>
      <c r="GO50" s="404" t="s">
        <v>646</v>
      </c>
      <c r="GP50" s="404" t="s">
        <v>646</v>
      </c>
      <c r="GQ50" s="405" t="s">
        <v>646</v>
      </c>
      <c r="GR50" s="399">
        <v>6</v>
      </c>
      <c r="GS50" s="406" t="s">
        <v>646</v>
      </c>
      <c r="GT50" s="406" t="s">
        <v>646</v>
      </c>
      <c r="GU50" s="406" t="s">
        <v>646</v>
      </c>
      <c r="GV50" s="404" t="s">
        <v>646</v>
      </c>
      <c r="GW50" s="407"/>
      <c r="GX50" s="128">
        <f t="shared" si="17"/>
        <v>49098</v>
      </c>
      <c r="GY50" s="408">
        <f>GX44+GX48</f>
        <v>13561</v>
      </c>
      <c r="GZ50" s="408"/>
      <c r="HA50" s="408"/>
      <c r="HB50" s="408"/>
      <c r="HC50" s="408"/>
      <c r="HD50" s="408"/>
      <c r="HE50" s="408"/>
      <c r="HF50" s="408"/>
      <c r="HG50" s="408"/>
      <c r="HH50" s="408"/>
      <c r="HI50" s="408"/>
      <c r="HJ50" s="408"/>
      <c r="HK50" s="408"/>
      <c r="HL50" s="408"/>
      <c r="HM50" s="408"/>
      <c r="HN50" s="408"/>
      <c r="HO50" s="408"/>
      <c r="HP50" s="408"/>
      <c r="HQ50" s="408"/>
      <c r="HR50" s="408"/>
      <c r="HS50" s="408"/>
      <c r="HT50" s="408"/>
      <c r="HU50" s="408"/>
      <c r="HV50" s="408"/>
      <c r="HW50" s="408"/>
      <c r="HX50" s="408"/>
    </row>
    <row r="51" spans="1:232" s="112" customFormat="1" x14ac:dyDescent="0.15">
      <c r="A51" s="126"/>
      <c r="B51" s="126" t="s">
        <v>91</v>
      </c>
      <c r="C51" s="137">
        <v>817454685</v>
      </c>
      <c r="D51" s="127">
        <f t="shared" si="0"/>
        <v>314283990</v>
      </c>
      <c r="E51" s="137">
        <v>8822833</v>
      </c>
      <c r="F51" s="137">
        <v>305461157</v>
      </c>
      <c r="G51" s="127">
        <f t="shared" si="1"/>
        <v>48332737</v>
      </c>
      <c r="H51" s="137">
        <v>14514870</v>
      </c>
      <c r="I51" s="137">
        <v>33817867</v>
      </c>
      <c r="J51" s="137">
        <v>334621609</v>
      </c>
      <c r="K51" s="137">
        <v>132471060</v>
      </c>
      <c r="L51" s="137">
        <v>150842700</v>
      </c>
      <c r="M51" s="137">
        <v>46014821</v>
      </c>
      <c r="N51" s="137">
        <v>35757584</v>
      </c>
      <c r="O51" s="137">
        <v>67070505</v>
      </c>
      <c r="P51" s="137">
        <v>35340186</v>
      </c>
      <c r="Q51" s="137">
        <v>31730319</v>
      </c>
      <c r="R51" s="137">
        <v>11040187</v>
      </c>
      <c r="S51" s="127"/>
      <c r="T51" s="127">
        <f t="shared" si="18"/>
        <v>152526904</v>
      </c>
      <c r="U51" s="137">
        <v>706142</v>
      </c>
      <c r="V51" s="137">
        <v>7052703</v>
      </c>
      <c r="W51" s="137">
        <v>7578026</v>
      </c>
      <c r="X51" s="137">
        <v>120145763</v>
      </c>
      <c r="Y51" s="137">
        <v>863045</v>
      </c>
      <c r="Z51" s="137">
        <v>0</v>
      </c>
      <c r="AA51" s="137">
        <v>111654</v>
      </c>
      <c r="AB51" s="137">
        <v>2453796</v>
      </c>
      <c r="AC51" s="137">
        <v>13615775</v>
      </c>
      <c r="AD51" s="137">
        <v>5507491</v>
      </c>
      <c r="AE51" s="137">
        <v>277452697</v>
      </c>
      <c r="AF51" s="137">
        <v>263743425</v>
      </c>
      <c r="AG51" s="137">
        <v>13709165</v>
      </c>
      <c r="AH51" s="137">
        <v>587756</v>
      </c>
      <c r="AI51" s="137">
        <v>12601260</v>
      </c>
      <c r="AJ51" s="127">
        <f t="shared" si="19"/>
        <v>31427484</v>
      </c>
      <c r="AK51" s="137">
        <v>23313802</v>
      </c>
      <c r="AL51" s="137">
        <v>8113682</v>
      </c>
      <c r="AM51" s="137">
        <v>588416782</v>
      </c>
      <c r="AN51" s="127">
        <f t="shared" si="20"/>
        <v>298280628</v>
      </c>
      <c r="AO51" s="137">
        <v>150631849</v>
      </c>
      <c r="AP51" s="137">
        <v>67770576</v>
      </c>
      <c r="AQ51" s="127"/>
      <c r="AR51" s="137">
        <v>79878203</v>
      </c>
      <c r="AS51" s="137">
        <v>20503828</v>
      </c>
      <c r="AT51" s="137">
        <v>150935</v>
      </c>
      <c r="AU51" s="137">
        <v>274533</v>
      </c>
      <c r="AV51" s="137">
        <v>179796401</v>
      </c>
      <c r="AW51" s="137">
        <v>119483590</v>
      </c>
      <c r="AX51" s="137">
        <v>31723076</v>
      </c>
      <c r="AY51" s="137">
        <v>3309649</v>
      </c>
      <c r="AZ51" s="137">
        <v>60312811</v>
      </c>
      <c r="BA51" s="137">
        <v>2608573</v>
      </c>
      <c r="BB51" s="137">
        <v>13082040</v>
      </c>
      <c r="BC51" s="137">
        <v>10185752</v>
      </c>
      <c r="BD51" s="137">
        <v>35420516</v>
      </c>
      <c r="BE51" s="137">
        <v>69616848</v>
      </c>
      <c r="BF51" s="137">
        <v>20450761</v>
      </c>
      <c r="BG51" s="137">
        <v>3777762</v>
      </c>
      <c r="BH51" s="137">
        <v>42789332</v>
      </c>
      <c r="BI51" s="137">
        <v>298756</v>
      </c>
      <c r="BJ51" s="137">
        <v>44448737</v>
      </c>
      <c r="BK51" s="137">
        <v>29927153</v>
      </c>
      <c r="BL51" s="137">
        <v>47719861</v>
      </c>
      <c r="BM51" s="137">
        <v>6002429</v>
      </c>
      <c r="BN51" s="137">
        <v>535160</v>
      </c>
      <c r="BO51" s="137">
        <v>12520318</v>
      </c>
      <c r="BP51" s="137">
        <v>112598815</v>
      </c>
      <c r="BQ51" s="127">
        <f t="shared" si="5"/>
        <v>98420314</v>
      </c>
      <c r="BR51" s="127">
        <f t="shared" si="6"/>
        <v>14178501</v>
      </c>
      <c r="BS51" s="137">
        <v>0</v>
      </c>
      <c r="BT51" s="137">
        <v>43000</v>
      </c>
      <c r="BU51" s="137">
        <v>14135501</v>
      </c>
      <c r="BV51" s="137">
        <v>0</v>
      </c>
      <c r="BW51" s="137">
        <v>2399972997</v>
      </c>
      <c r="BX51" s="127"/>
      <c r="BY51" s="137">
        <v>328380051</v>
      </c>
      <c r="BZ51" s="137">
        <v>211738408</v>
      </c>
      <c r="CA51" s="137">
        <v>8983965</v>
      </c>
      <c r="CB51" s="137">
        <v>46735165</v>
      </c>
      <c r="CC51" s="137">
        <v>785379117</v>
      </c>
      <c r="CD51" s="137">
        <v>260176791</v>
      </c>
      <c r="CE51" s="137">
        <v>1352224</v>
      </c>
      <c r="CF51" s="137">
        <v>289516927</v>
      </c>
      <c r="CG51" s="137">
        <v>201555960</v>
      </c>
      <c r="CH51" s="137">
        <v>7076097</v>
      </c>
      <c r="CI51" s="137">
        <v>25691983</v>
      </c>
      <c r="CJ51" s="137">
        <v>159092255</v>
      </c>
      <c r="CK51" s="137">
        <v>153360673</v>
      </c>
      <c r="CL51" s="127">
        <f t="shared" si="21"/>
        <v>5731582</v>
      </c>
      <c r="CM51" s="137">
        <v>308434040</v>
      </c>
      <c r="CN51" s="137">
        <v>215323267</v>
      </c>
      <c r="CO51" s="129"/>
      <c r="CP51" s="137">
        <v>48684078</v>
      </c>
      <c r="CQ51" s="137">
        <v>19040216</v>
      </c>
      <c r="CR51" s="137">
        <v>224028112</v>
      </c>
      <c r="CS51" s="137">
        <v>38075610</v>
      </c>
      <c r="CT51" s="137">
        <v>58401223</v>
      </c>
      <c r="CU51" s="137">
        <v>44646778</v>
      </c>
      <c r="CV51" s="127">
        <f t="shared" si="8"/>
        <v>67749791</v>
      </c>
      <c r="CW51" s="137">
        <v>46047545</v>
      </c>
      <c r="CX51" s="137">
        <v>21702246</v>
      </c>
      <c r="CY51" s="127">
        <f t="shared" si="9"/>
        <v>12198068</v>
      </c>
      <c r="CZ51" s="137">
        <v>9922767</v>
      </c>
      <c r="DA51" s="137">
        <v>2275301</v>
      </c>
      <c r="DB51" s="127">
        <f t="shared" si="10"/>
        <v>50998165</v>
      </c>
      <c r="DC51" s="137">
        <v>35263020</v>
      </c>
      <c r="DD51" s="137">
        <v>15735145</v>
      </c>
      <c r="DE51" s="137">
        <v>211753064</v>
      </c>
      <c r="DF51" s="137">
        <v>90217827</v>
      </c>
      <c r="DG51" s="137">
        <v>115437642</v>
      </c>
      <c r="DH51" s="137">
        <v>2040240</v>
      </c>
      <c r="DI51" s="137">
        <v>3401122</v>
      </c>
      <c r="DJ51" s="137">
        <v>815094</v>
      </c>
      <c r="DK51" s="137">
        <v>86812618</v>
      </c>
      <c r="DL51" s="137">
        <v>25473331</v>
      </c>
      <c r="DM51" s="137">
        <v>6620226</v>
      </c>
      <c r="DN51" s="137">
        <v>54719016</v>
      </c>
      <c r="DO51" s="137">
        <v>7500334</v>
      </c>
      <c r="DP51" s="137">
        <v>7500334</v>
      </c>
      <c r="DQ51" s="137">
        <v>2125579</v>
      </c>
      <c r="DR51" s="137">
        <v>1083405</v>
      </c>
      <c r="DS51" s="137">
        <v>6332826</v>
      </c>
      <c r="DT51" s="137">
        <v>650000</v>
      </c>
      <c r="DU51" s="137">
        <v>0</v>
      </c>
      <c r="DV51" s="137">
        <v>221656348</v>
      </c>
      <c r="DW51" s="137">
        <v>1140131</v>
      </c>
      <c r="DX51" s="127">
        <f t="shared" si="11"/>
        <v>0</v>
      </c>
      <c r="DY51" s="137">
        <v>0</v>
      </c>
      <c r="DZ51" s="137">
        <v>84325048</v>
      </c>
      <c r="EA51" s="137">
        <v>32428</v>
      </c>
      <c r="EB51" s="137">
        <v>55549632</v>
      </c>
      <c r="EC51" s="127"/>
      <c r="ED51" s="137">
        <v>80037941</v>
      </c>
      <c r="EE51" s="137">
        <v>0</v>
      </c>
      <c r="EF51" s="137">
        <v>2359224075</v>
      </c>
      <c r="EG51" s="127"/>
      <c r="EH51" s="137">
        <v>40748922</v>
      </c>
      <c r="EI51" s="137">
        <v>11481107</v>
      </c>
      <c r="EJ51" s="137">
        <v>29267815</v>
      </c>
      <c r="EK51" s="137">
        <v>-4985687</v>
      </c>
      <c r="EL51" s="137">
        <v>7157886</v>
      </c>
      <c r="EM51" s="127"/>
      <c r="EN51" s="129">
        <f>EN39+EN50</f>
        <v>5259112</v>
      </c>
      <c r="EO51" s="129">
        <f>EO39+EO50</f>
        <v>5201025</v>
      </c>
      <c r="EP51" s="137">
        <v>28985234</v>
      </c>
      <c r="EQ51" s="137">
        <v>10630315</v>
      </c>
      <c r="ER51" s="127">
        <f t="shared" si="12"/>
        <v>176607228</v>
      </c>
      <c r="ES51" s="137">
        <v>1264844253</v>
      </c>
      <c r="ET51" s="137">
        <v>-229538989</v>
      </c>
      <c r="EU51" s="137">
        <v>297332447</v>
      </c>
      <c r="EV51" s="137">
        <v>192558138</v>
      </c>
      <c r="EW51" s="137">
        <v>281395417</v>
      </c>
      <c r="EX51" s="137">
        <v>154598492</v>
      </c>
      <c r="EY51" s="127">
        <f t="shared" si="13"/>
        <v>44352074</v>
      </c>
      <c r="EZ51" s="137">
        <v>44196706</v>
      </c>
      <c r="FA51" s="137">
        <v>7448096</v>
      </c>
      <c r="FB51" s="137">
        <v>36433470</v>
      </c>
      <c r="FC51" s="137">
        <v>155368</v>
      </c>
      <c r="FD51" s="137">
        <v>0</v>
      </c>
      <c r="FE51" s="137">
        <v>227494557</v>
      </c>
      <c r="FF51" s="137">
        <v>194380539</v>
      </c>
      <c r="FG51" s="137">
        <v>37420978</v>
      </c>
      <c r="FH51" s="137">
        <v>173935596</v>
      </c>
      <c r="FI51" s="127">
        <f t="shared" si="14"/>
        <v>80441385</v>
      </c>
      <c r="FJ51" s="137">
        <v>1453930507</v>
      </c>
      <c r="FK51" s="396">
        <f t="shared" si="15"/>
        <v>2.5</v>
      </c>
      <c r="FL51" s="137">
        <v>1163226591</v>
      </c>
      <c r="FM51" s="137">
        <v>17498830</v>
      </c>
      <c r="FN51" s="137">
        <v>704290936</v>
      </c>
      <c r="FO51" s="137">
        <v>967180286</v>
      </c>
      <c r="FP51" s="397">
        <v>0.72799999999999998</v>
      </c>
      <c r="FQ51" s="398">
        <v>95.5</v>
      </c>
      <c r="FR51" s="399">
        <v>24</v>
      </c>
      <c r="FS51" s="398">
        <v>17.2</v>
      </c>
      <c r="FT51" s="398">
        <v>12.4</v>
      </c>
      <c r="FU51" s="399">
        <v>15.7</v>
      </c>
      <c r="FV51" s="398">
        <v>11.4</v>
      </c>
      <c r="FW51" s="400">
        <v>13.3</v>
      </c>
      <c r="FX51" s="401">
        <v>2.9</v>
      </c>
      <c r="FY51" s="137">
        <v>1445518565</v>
      </c>
      <c r="FZ51" s="402">
        <f t="shared" si="16"/>
        <v>122.4</v>
      </c>
      <c r="GA51" s="137">
        <v>545961051</v>
      </c>
      <c r="GB51" s="137">
        <v>221585326</v>
      </c>
      <c r="GC51" s="137">
        <v>49365255</v>
      </c>
      <c r="GD51" s="137">
        <v>275010470</v>
      </c>
      <c r="GE51" s="129"/>
      <c r="GF51" s="129">
        <f>GF39+GF50</f>
        <v>16144</v>
      </c>
      <c r="GG51" s="403">
        <f>IF(GF51=0,"-",ROUND(GF51/GY51*100,1))</f>
        <v>4.3</v>
      </c>
      <c r="GH51" s="398">
        <v>99.5</v>
      </c>
      <c r="GI51" s="398">
        <v>38.200000000000003</v>
      </c>
      <c r="GJ51" s="398">
        <v>98.7</v>
      </c>
      <c r="GK51" s="129">
        <f>GK39+GK50</f>
        <v>31816</v>
      </c>
      <c r="GL51" s="404" t="s">
        <v>646</v>
      </c>
      <c r="GM51" s="404" t="s">
        <v>646</v>
      </c>
      <c r="GN51" s="405" t="s">
        <v>646</v>
      </c>
      <c r="GO51" s="404" t="s">
        <v>646</v>
      </c>
      <c r="GP51" s="404" t="s">
        <v>646</v>
      </c>
      <c r="GQ51" s="405" t="s">
        <v>646</v>
      </c>
      <c r="GR51" s="399">
        <v>2.9</v>
      </c>
      <c r="GS51" s="406" t="s">
        <v>646</v>
      </c>
      <c r="GT51" s="406" t="s">
        <v>646</v>
      </c>
      <c r="GU51" s="406" t="s">
        <v>646</v>
      </c>
      <c r="GV51" s="404" t="s">
        <v>646</v>
      </c>
      <c r="GW51" s="407"/>
      <c r="GX51" s="128">
        <f t="shared" si="17"/>
        <v>1180725</v>
      </c>
      <c r="GY51" s="408">
        <f>GY39+GY50</f>
        <v>376001</v>
      </c>
      <c r="GZ51" s="408"/>
      <c r="HA51" s="408"/>
      <c r="HB51" s="408"/>
      <c r="HC51" s="408"/>
      <c r="HD51" s="408"/>
      <c r="HE51" s="408"/>
      <c r="HF51" s="408"/>
      <c r="HG51" s="408"/>
      <c r="HH51" s="408"/>
      <c r="HI51" s="408"/>
      <c r="HJ51" s="408"/>
      <c r="HK51" s="408"/>
      <c r="HL51" s="408"/>
      <c r="HM51" s="408"/>
      <c r="HN51" s="408"/>
      <c r="HO51" s="408"/>
      <c r="HP51" s="408"/>
      <c r="HQ51" s="408"/>
      <c r="HR51" s="408"/>
      <c r="HS51" s="408"/>
      <c r="HT51" s="408"/>
      <c r="HU51" s="408"/>
      <c r="HV51" s="408"/>
      <c r="HW51" s="408"/>
      <c r="HX51" s="408"/>
    </row>
    <row r="52" spans="1:232" s="108" customFormat="1" x14ac:dyDescent="0.15">
      <c r="B52" s="108" t="s">
        <v>0</v>
      </c>
      <c r="C52" s="138">
        <v>1778816095</v>
      </c>
      <c r="D52" s="109">
        <f t="shared" si="0"/>
        <v>612990892</v>
      </c>
      <c r="E52" s="138">
        <v>14937914</v>
      </c>
      <c r="F52" s="138">
        <v>598052978</v>
      </c>
      <c r="G52" s="109">
        <f t="shared" si="1"/>
        <v>172868556</v>
      </c>
      <c r="H52" s="138">
        <v>36907037</v>
      </c>
      <c r="I52" s="138">
        <v>135961519</v>
      </c>
      <c r="J52" s="138">
        <v>720078636</v>
      </c>
      <c r="K52" s="138">
        <v>284050133</v>
      </c>
      <c r="L52" s="138">
        <v>329632162</v>
      </c>
      <c r="M52" s="138">
        <v>99977909</v>
      </c>
      <c r="N52" s="138">
        <v>73024438</v>
      </c>
      <c r="O52" s="138">
        <v>143872142</v>
      </c>
      <c r="P52" s="138">
        <v>73196108</v>
      </c>
      <c r="Q52" s="138">
        <v>70676034</v>
      </c>
      <c r="R52" s="138">
        <v>19250378</v>
      </c>
      <c r="S52" s="109"/>
      <c r="T52" s="109">
        <f t="shared" si="18"/>
        <v>280234325</v>
      </c>
      <c r="U52" s="138">
        <v>1198063</v>
      </c>
      <c r="V52" s="138">
        <v>11983656</v>
      </c>
      <c r="W52" s="138">
        <v>12900752</v>
      </c>
      <c r="X52" s="138">
        <v>215667421</v>
      </c>
      <c r="Y52" s="138">
        <v>1000572</v>
      </c>
      <c r="Z52" s="138">
        <v>0</v>
      </c>
      <c r="AA52" s="138">
        <v>223657</v>
      </c>
      <c r="AB52" s="138">
        <v>5309152</v>
      </c>
      <c r="AC52" s="138">
        <v>31951052</v>
      </c>
      <c r="AD52" s="138">
        <v>9616184</v>
      </c>
      <c r="AE52" s="138">
        <v>370664486</v>
      </c>
      <c r="AF52" s="138">
        <v>354584285</v>
      </c>
      <c r="AG52" s="138">
        <v>16079964</v>
      </c>
      <c r="AH52" s="138">
        <v>1462994</v>
      </c>
      <c r="AI52" s="138">
        <v>21330239</v>
      </c>
      <c r="AJ52" s="109">
        <f t="shared" si="19"/>
        <v>104847790</v>
      </c>
      <c r="AK52" s="138">
        <v>87025281</v>
      </c>
      <c r="AL52" s="138">
        <v>17822509</v>
      </c>
      <c r="AM52" s="138">
        <v>1266257652</v>
      </c>
      <c r="AN52" s="109">
        <f t="shared" si="20"/>
        <v>702560435</v>
      </c>
      <c r="AO52" s="138">
        <v>383905984</v>
      </c>
      <c r="AP52" s="138">
        <v>148698538</v>
      </c>
      <c r="AQ52" s="109"/>
      <c r="AR52" s="138">
        <v>169955913</v>
      </c>
      <c r="AS52" s="138">
        <v>48089899</v>
      </c>
      <c r="AT52" s="138">
        <v>150935</v>
      </c>
      <c r="AU52" s="138">
        <v>284170</v>
      </c>
      <c r="AV52" s="138">
        <v>311491921</v>
      </c>
      <c r="AW52" s="138">
        <v>211703716</v>
      </c>
      <c r="AX52" s="138">
        <v>37345469</v>
      </c>
      <c r="AY52" s="138">
        <v>4490379</v>
      </c>
      <c r="AZ52" s="138">
        <v>99788205</v>
      </c>
      <c r="BA52" s="138">
        <v>3055841</v>
      </c>
      <c r="BB52" s="138">
        <v>66965901</v>
      </c>
      <c r="BC52" s="138">
        <v>44517605</v>
      </c>
      <c r="BD52" s="138">
        <v>38521769</v>
      </c>
      <c r="BE52" s="138">
        <v>84923313</v>
      </c>
      <c r="BF52" s="138">
        <v>23487532</v>
      </c>
      <c r="BG52" s="138">
        <v>4723237</v>
      </c>
      <c r="BH52" s="138">
        <v>51505623</v>
      </c>
      <c r="BI52" s="138">
        <v>298756</v>
      </c>
      <c r="BJ52" s="138">
        <v>84786598</v>
      </c>
      <c r="BK52" s="138">
        <v>63547709</v>
      </c>
      <c r="BL52" s="138">
        <v>118260015</v>
      </c>
      <c r="BM52" s="138">
        <v>13624509</v>
      </c>
      <c r="BN52" s="138">
        <v>1164762</v>
      </c>
      <c r="BO52" s="138">
        <v>25038759</v>
      </c>
      <c r="BP52" s="138">
        <v>250177815</v>
      </c>
      <c r="BQ52" s="109">
        <f t="shared" si="5"/>
        <v>216768014</v>
      </c>
      <c r="BR52" s="109">
        <f t="shared" si="6"/>
        <v>33409801</v>
      </c>
      <c r="BS52" s="138">
        <v>0</v>
      </c>
      <c r="BT52" s="138">
        <v>43000</v>
      </c>
      <c r="BU52" s="138">
        <v>33366801</v>
      </c>
      <c r="BV52" s="138">
        <v>0</v>
      </c>
      <c r="BW52" s="138">
        <v>4826658542</v>
      </c>
      <c r="BX52" s="109"/>
      <c r="BY52" s="138">
        <v>712494043</v>
      </c>
      <c r="BZ52" s="138">
        <v>499623153</v>
      </c>
      <c r="CA52" s="138">
        <v>19869750</v>
      </c>
      <c r="CB52" s="138">
        <v>69281104</v>
      </c>
      <c r="CC52" s="138">
        <v>1644257671</v>
      </c>
      <c r="CD52" s="138">
        <v>516366588</v>
      </c>
      <c r="CE52" s="138">
        <v>4496939</v>
      </c>
      <c r="CF52" s="138">
        <v>538568476</v>
      </c>
      <c r="CG52" s="138">
        <v>513232996</v>
      </c>
      <c r="CH52" s="138">
        <v>29102832</v>
      </c>
      <c r="CI52" s="138">
        <v>42480519</v>
      </c>
      <c r="CJ52" s="138">
        <v>424860660</v>
      </c>
      <c r="CK52" s="138">
        <v>401811540</v>
      </c>
      <c r="CL52" s="109">
        <f t="shared" si="21"/>
        <v>23049120</v>
      </c>
      <c r="CM52" s="138">
        <v>515040758</v>
      </c>
      <c r="CN52" s="138">
        <v>358632541</v>
      </c>
      <c r="CO52" s="110"/>
      <c r="CP52" s="138">
        <v>82052397</v>
      </c>
      <c r="CQ52" s="138">
        <v>49443497</v>
      </c>
      <c r="CR52" s="138">
        <v>402383758</v>
      </c>
      <c r="CS52" s="138">
        <v>46642177</v>
      </c>
      <c r="CT52" s="138">
        <v>135236154</v>
      </c>
      <c r="CU52" s="138">
        <v>104601706</v>
      </c>
      <c r="CV52" s="109">
        <f t="shared" si="8"/>
        <v>104219373</v>
      </c>
      <c r="CW52" s="138">
        <v>53247598</v>
      </c>
      <c r="CX52" s="138">
        <v>50971775</v>
      </c>
      <c r="CY52" s="109">
        <f t="shared" si="9"/>
        <v>12198068</v>
      </c>
      <c r="CZ52" s="138">
        <v>9922767</v>
      </c>
      <c r="DA52" s="138">
        <v>2275301</v>
      </c>
      <c r="DB52" s="109">
        <f t="shared" si="10"/>
        <v>82637292</v>
      </c>
      <c r="DC52" s="138">
        <v>42035267</v>
      </c>
      <c r="DD52" s="138">
        <v>40602025</v>
      </c>
      <c r="DE52" s="138">
        <v>468952296</v>
      </c>
      <c r="DF52" s="138">
        <v>221645547</v>
      </c>
      <c r="DG52" s="138">
        <v>238141709</v>
      </c>
      <c r="DH52" s="138">
        <v>2040240</v>
      </c>
      <c r="DI52" s="138">
        <v>3868083</v>
      </c>
      <c r="DJ52" s="138">
        <v>884188</v>
      </c>
      <c r="DK52" s="138">
        <v>124842045</v>
      </c>
      <c r="DL52" s="138">
        <v>55935710</v>
      </c>
      <c r="DM52" s="138">
        <v>7717295</v>
      </c>
      <c r="DN52" s="138">
        <v>61188995</v>
      </c>
      <c r="DO52" s="138">
        <v>9544442</v>
      </c>
      <c r="DP52" s="138">
        <v>8110842</v>
      </c>
      <c r="DQ52" s="138">
        <v>2131679</v>
      </c>
      <c r="DR52" s="138">
        <v>1083405</v>
      </c>
      <c r="DS52" s="138">
        <v>11269673</v>
      </c>
      <c r="DT52" s="138">
        <v>1650000</v>
      </c>
      <c r="DU52" s="138">
        <v>0</v>
      </c>
      <c r="DV52" s="138">
        <v>389904806</v>
      </c>
      <c r="DW52" s="138">
        <v>1140131</v>
      </c>
      <c r="DX52" s="109">
        <f t="shared" si="11"/>
        <v>2551932</v>
      </c>
      <c r="DY52" s="138">
        <v>2551932</v>
      </c>
      <c r="DZ52" s="138">
        <v>138507212</v>
      </c>
      <c r="EA52" s="138">
        <v>32428</v>
      </c>
      <c r="EB52" s="138">
        <v>100867124</v>
      </c>
      <c r="EC52" s="109"/>
      <c r="ED52" s="138">
        <v>144836970</v>
      </c>
      <c r="EE52" s="138">
        <v>0</v>
      </c>
      <c r="EF52" s="138">
        <v>4753877837</v>
      </c>
      <c r="EG52" s="109"/>
      <c r="EH52" s="138">
        <v>72780705</v>
      </c>
      <c r="EI52" s="138">
        <v>19719845</v>
      </c>
      <c r="EJ52" s="138">
        <v>53060860</v>
      </c>
      <c r="EK52" s="138">
        <v>-14813198</v>
      </c>
      <c r="EL52" s="138">
        <v>24755983</v>
      </c>
      <c r="EM52" s="109"/>
      <c r="EN52" s="110">
        <f>EN6+EN7+EN51</f>
        <v>8837685</v>
      </c>
      <c r="EO52" s="110">
        <f>EO6+EO7+EO51</f>
        <v>8775708</v>
      </c>
      <c r="EP52" s="138">
        <v>35259544</v>
      </c>
      <c r="EQ52" s="138">
        <v>52090428</v>
      </c>
      <c r="ER52" s="109">
        <f t="shared" si="12"/>
        <v>357061170</v>
      </c>
      <c r="ES52" s="138">
        <v>2479095529</v>
      </c>
      <c r="ET52" s="138">
        <v>-457306882</v>
      </c>
      <c r="EU52" s="138">
        <v>615221264</v>
      </c>
      <c r="EV52" s="138">
        <v>427806906</v>
      </c>
      <c r="EW52" s="138">
        <v>579800538</v>
      </c>
      <c r="EX52" s="138">
        <v>396870896</v>
      </c>
      <c r="EY52" s="109">
        <f t="shared" si="13"/>
        <v>110385918</v>
      </c>
      <c r="EZ52" s="138">
        <v>110214076</v>
      </c>
      <c r="FA52" s="138">
        <v>15283242</v>
      </c>
      <c r="FB52" s="138">
        <v>94437910</v>
      </c>
      <c r="FC52" s="138">
        <v>171842</v>
      </c>
      <c r="FD52" s="138">
        <v>0</v>
      </c>
      <c r="FE52" s="138">
        <v>378362583</v>
      </c>
      <c r="FF52" s="138">
        <v>339333203</v>
      </c>
      <c r="FG52" s="138">
        <v>40955426</v>
      </c>
      <c r="FH52" s="138">
        <v>304163675</v>
      </c>
      <c r="FI52" s="109">
        <f t="shared" si="14"/>
        <v>140153504</v>
      </c>
      <c r="FJ52" s="138">
        <v>2864291581</v>
      </c>
      <c r="FK52" s="409">
        <f t="shared" si="15"/>
        <v>2.2999999999999998</v>
      </c>
      <c r="FL52" s="138">
        <v>2260238562</v>
      </c>
      <c r="FM52" s="138">
        <v>45205093</v>
      </c>
      <c r="FN52" s="138">
        <v>1497452055</v>
      </c>
      <c r="FO52" s="138">
        <v>1851520758</v>
      </c>
      <c r="FP52" s="410">
        <v>0.80300000000000005</v>
      </c>
      <c r="FQ52" s="411">
        <v>94.7</v>
      </c>
      <c r="FR52" s="142">
        <v>25.4</v>
      </c>
      <c r="FS52" s="411">
        <v>18.600000000000001</v>
      </c>
      <c r="FT52" s="411">
        <v>14.2</v>
      </c>
      <c r="FU52" s="142">
        <v>13.4</v>
      </c>
      <c r="FV52" s="411">
        <v>9.6</v>
      </c>
      <c r="FW52" s="412">
        <v>11.8</v>
      </c>
      <c r="FX52" s="413">
        <v>2.4</v>
      </c>
      <c r="FY52" s="138">
        <v>3432847153</v>
      </c>
      <c r="FZ52" s="414">
        <f t="shared" si="16"/>
        <v>148.9</v>
      </c>
      <c r="GA52" s="138">
        <v>945132732</v>
      </c>
      <c r="GB52" s="138">
        <v>514072139</v>
      </c>
      <c r="GC52" s="138">
        <v>51224789</v>
      </c>
      <c r="GD52" s="138">
        <v>379835804</v>
      </c>
      <c r="GE52" s="110"/>
      <c r="GF52" s="119">
        <f>SUM(GF6:GF7,GF51)</f>
        <v>16144</v>
      </c>
      <c r="GG52" s="120">
        <f>IF(GF52=0,"-",ROUND(GF52/GY52*100,1))</f>
        <v>4.3</v>
      </c>
      <c r="GH52" s="411">
        <v>99.5</v>
      </c>
      <c r="GI52" s="411">
        <v>36.200000000000003</v>
      </c>
      <c r="GJ52" s="411">
        <v>98.7</v>
      </c>
      <c r="GK52" s="110">
        <f>GK6+GK7+GK51</f>
        <v>75170</v>
      </c>
      <c r="GL52" s="415" t="s">
        <v>646</v>
      </c>
      <c r="GM52" s="415" t="s">
        <v>646</v>
      </c>
      <c r="GN52" s="416" t="s">
        <v>646</v>
      </c>
      <c r="GO52" s="415" t="s">
        <v>646</v>
      </c>
      <c r="GP52" s="415" t="s">
        <v>646</v>
      </c>
      <c r="GQ52" s="416" t="s">
        <v>646</v>
      </c>
      <c r="GR52" s="417">
        <v>2.4</v>
      </c>
      <c r="GS52" s="418" t="s">
        <v>646</v>
      </c>
      <c r="GT52" s="418" t="s">
        <v>646</v>
      </c>
      <c r="GU52" s="124" t="s">
        <v>646</v>
      </c>
      <c r="GV52" s="415" t="s">
        <v>646</v>
      </c>
      <c r="GX52" s="111">
        <f t="shared" si="17"/>
        <v>2305444</v>
      </c>
      <c r="GY52" s="419">
        <f>GY51</f>
        <v>376001</v>
      </c>
    </row>
    <row r="53" spans="1:232" x14ac:dyDescent="0.15">
      <c r="S53" s="75"/>
      <c r="CK53" s="89"/>
      <c r="CL53" s="84"/>
      <c r="EK53" s="420">
        <f>EK8+EK10+EK12+EK14+EK23+EK24+EK25+EK27+EK31+EK32+EK37+EK43+EK44+EK45+EK47+EK48</f>
        <v>-3209530</v>
      </c>
      <c r="FL53" s="394">
        <f>FL44+FL47+FL45</f>
        <v>16683095</v>
      </c>
      <c r="FM53" s="394">
        <f>FM44+FM47+FM45</f>
        <v>100351</v>
      </c>
      <c r="GG53" s="89" t="s">
        <v>647</v>
      </c>
      <c r="GK53" s="130"/>
      <c r="GY53" s="101" t="s">
        <v>648</v>
      </c>
      <c r="GZ53" s="101"/>
    </row>
    <row r="54" spans="1:232" x14ac:dyDescent="0.15">
      <c r="HK54" s="89" t="s">
        <v>649</v>
      </c>
      <c r="HM54" s="388"/>
      <c r="HN54" s="388"/>
      <c r="HO54" s="388"/>
      <c r="HP54" s="272"/>
    </row>
    <row r="55" spans="1:232" x14ac:dyDescent="0.15">
      <c r="S55" s="75"/>
      <c r="CK55" s="89"/>
      <c r="CL55" s="84"/>
      <c r="GK55" s="130"/>
    </row>
    <row r="56" spans="1:232" x14ac:dyDescent="0.15">
      <c r="B56" s="89" t="s">
        <v>650</v>
      </c>
      <c r="C56" s="89" t="str">
        <f t="shared" ref="C56:AB56" si="22">IF(SUM(C8:C38)=C39,"ok","エラー")</f>
        <v>ok</v>
      </c>
      <c r="D56" s="89" t="str">
        <f t="shared" si="22"/>
        <v>ok</v>
      </c>
      <c r="E56" s="89" t="str">
        <f t="shared" si="22"/>
        <v>ok</v>
      </c>
      <c r="F56" s="89" t="str">
        <f t="shared" si="22"/>
        <v>ok</v>
      </c>
      <c r="G56" s="89" t="str">
        <f t="shared" si="22"/>
        <v>ok</v>
      </c>
      <c r="H56" s="89" t="str">
        <f t="shared" si="22"/>
        <v>ok</v>
      </c>
      <c r="I56" s="89" t="str">
        <f t="shared" si="22"/>
        <v>ok</v>
      </c>
      <c r="J56" s="89" t="str">
        <f t="shared" si="22"/>
        <v>ok</v>
      </c>
      <c r="K56" s="89" t="str">
        <f t="shared" si="22"/>
        <v>ok</v>
      </c>
      <c r="L56" s="89" t="str">
        <f t="shared" si="22"/>
        <v>ok</v>
      </c>
      <c r="M56" s="89" t="str">
        <f t="shared" si="22"/>
        <v>ok</v>
      </c>
      <c r="N56" s="89" t="str">
        <f t="shared" si="22"/>
        <v>ok</v>
      </c>
      <c r="O56" s="89" t="str">
        <f t="shared" si="22"/>
        <v>ok</v>
      </c>
      <c r="P56" s="89" t="str">
        <f t="shared" si="22"/>
        <v>ok</v>
      </c>
      <c r="Q56" s="89" t="str">
        <f t="shared" si="22"/>
        <v>ok</v>
      </c>
      <c r="R56" s="89" t="str">
        <f t="shared" si="22"/>
        <v>ok</v>
      </c>
      <c r="S56" s="75" t="str">
        <f t="shared" si="22"/>
        <v>ok</v>
      </c>
      <c r="T56" s="89" t="str">
        <f t="shared" si="22"/>
        <v>ok</v>
      </c>
      <c r="U56" s="89" t="str">
        <f t="shared" si="22"/>
        <v>ok</v>
      </c>
      <c r="V56" s="89" t="str">
        <f t="shared" si="22"/>
        <v>ok</v>
      </c>
      <c r="W56" s="89" t="str">
        <f t="shared" si="22"/>
        <v>ok</v>
      </c>
      <c r="X56" s="89" t="str">
        <f t="shared" si="22"/>
        <v>ok</v>
      </c>
      <c r="Y56" s="89" t="str">
        <f t="shared" si="22"/>
        <v>ok</v>
      </c>
      <c r="Z56" s="89" t="str">
        <f t="shared" si="22"/>
        <v>ok</v>
      </c>
      <c r="AA56" s="89" t="str">
        <f t="shared" si="22"/>
        <v>ok</v>
      </c>
      <c r="AB56" s="89" t="str">
        <f t="shared" si="22"/>
        <v>ok</v>
      </c>
      <c r="AD56" s="89" t="str">
        <f t="shared" ref="AD56:BI56" si="23">IF(SUM(AD8:AD38)=AD39,"ok","エラー")</f>
        <v>ok</v>
      </c>
      <c r="AE56" s="89" t="str">
        <f t="shared" si="23"/>
        <v>ok</v>
      </c>
      <c r="AF56" s="89" t="str">
        <f t="shared" si="23"/>
        <v>ok</v>
      </c>
      <c r="AG56" s="89" t="str">
        <f t="shared" si="23"/>
        <v>ok</v>
      </c>
      <c r="AH56" s="89" t="str">
        <f t="shared" si="23"/>
        <v>ok</v>
      </c>
      <c r="AI56" s="89" t="str">
        <f t="shared" si="23"/>
        <v>ok</v>
      </c>
      <c r="AJ56" s="89" t="str">
        <f t="shared" si="23"/>
        <v>ok</v>
      </c>
      <c r="AK56" s="89" t="str">
        <f t="shared" si="23"/>
        <v>ok</v>
      </c>
      <c r="AL56" s="89" t="str">
        <f t="shared" si="23"/>
        <v>ok</v>
      </c>
      <c r="AM56" s="89" t="str">
        <f t="shared" si="23"/>
        <v>ok</v>
      </c>
      <c r="AN56" s="89" t="str">
        <f t="shared" si="23"/>
        <v>ok</v>
      </c>
      <c r="AO56" s="89" t="str">
        <f t="shared" si="23"/>
        <v>ok</v>
      </c>
      <c r="AP56" s="89" t="str">
        <f t="shared" si="23"/>
        <v>ok</v>
      </c>
      <c r="AQ56" s="89" t="str">
        <f t="shared" si="23"/>
        <v>ok</v>
      </c>
      <c r="AR56" s="89" t="str">
        <f t="shared" si="23"/>
        <v>ok</v>
      </c>
      <c r="AS56" s="89" t="str">
        <f t="shared" si="23"/>
        <v>ok</v>
      </c>
      <c r="AT56" s="89" t="str">
        <f t="shared" si="23"/>
        <v>ok</v>
      </c>
      <c r="AU56" s="89" t="str">
        <f t="shared" si="23"/>
        <v>ok</v>
      </c>
      <c r="AV56" s="89" t="str">
        <f t="shared" si="23"/>
        <v>ok</v>
      </c>
      <c r="AW56" s="89" t="str">
        <f t="shared" si="23"/>
        <v>ok</v>
      </c>
      <c r="AX56" s="89" t="str">
        <f t="shared" si="23"/>
        <v>ok</v>
      </c>
      <c r="AY56" s="89" t="str">
        <f t="shared" si="23"/>
        <v>ok</v>
      </c>
      <c r="AZ56" s="89" t="str">
        <f t="shared" si="23"/>
        <v>ok</v>
      </c>
      <c r="BA56" s="89" t="str">
        <f t="shared" si="23"/>
        <v>ok</v>
      </c>
      <c r="BB56" s="89" t="str">
        <f t="shared" si="23"/>
        <v>ok</v>
      </c>
      <c r="BC56" s="89" t="str">
        <f t="shared" si="23"/>
        <v>ok</v>
      </c>
      <c r="BD56" s="89" t="str">
        <f t="shared" si="23"/>
        <v>ok</v>
      </c>
      <c r="BE56" s="89" t="str">
        <f t="shared" si="23"/>
        <v>ok</v>
      </c>
      <c r="BF56" s="89" t="str">
        <f t="shared" si="23"/>
        <v>ok</v>
      </c>
      <c r="BG56" s="89" t="str">
        <f t="shared" si="23"/>
        <v>ok</v>
      </c>
      <c r="BH56" s="89" t="str">
        <f t="shared" si="23"/>
        <v>ok</v>
      </c>
      <c r="BI56" s="89" t="str">
        <f t="shared" si="23"/>
        <v>ok</v>
      </c>
      <c r="BJ56" s="89" t="str">
        <f t="shared" ref="BJ56:CK56" si="24">IF(SUM(BJ8:BJ38)=BJ39,"ok","エラー")</f>
        <v>ok</v>
      </c>
      <c r="BK56" s="89" t="str">
        <f t="shared" si="24"/>
        <v>ok</v>
      </c>
      <c r="BL56" s="89" t="str">
        <f t="shared" si="24"/>
        <v>ok</v>
      </c>
      <c r="BM56" s="89" t="str">
        <f t="shared" si="24"/>
        <v>ok</v>
      </c>
      <c r="BN56" s="89" t="str">
        <f t="shared" si="24"/>
        <v>ok</v>
      </c>
      <c r="BO56" s="89" t="str">
        <f t="shared" si="24"/>
        <v>ok</v>
      </c>
      <c r="BP56" s="89" t="str">
        <f t="shared" si="24"/>
        <v>ok</v>
      </c>
      <c r="BQ56" s="89" t="str">
        <f t="shared" si="24"/>
        <v>ok</v>
      </c>
      <c r="BR56" s="89" t="str">
        <f t="shared" si="24"/>
        <v>ok</v>
      </c>
      <c r="BS56" s="89" t="str">
        <f t="shared" si="24"/>
        <v>ok</v>
      </c>
      <c r="BT56" s="89" t="str">
        <f t="shared" si="24"/>
        <v>ok</v>
      </c>
      <c r="BU56" s="89" t="str">
        <f t="shared" si="24"/>
        <v>ok</v>
      </c>
      <c r="BV56" s="89" t="str">
        <f t="shared" si="24"/>
        <v>ok</v>
      </c>
      <c r="BW56" s="89" t="str">
        <f t="shared" si="24"/>
        <v>ok</v>
      </c>
      <c r="BX56" s="89" t="str">
        <f t="shared" si="24"/>
        <v>ok</v>
      </c>
      <c r="BY56" s="89" t="str">
        <f t="shared" si="24"/>
        <v>ok</v>
      </c>
      <c r="BZ56" s="89" t="str">
        <f t="shared" si="24"/>
        <v>ok</v>
      </c>
      <c r="CA56" s="89" t="str">
        <f t="shared" si="24"/>
        <v>ok</v>
      </c>
      <c r="CB56" s="89" t="str">
        <f t="shared" si="24"/>
        <v>ok</v>
      </c>
      <c r="CC56" s="89" t="str">
        <f t="shared" si="24"/>
        <v>ok</v>
      </c>
      <c r="CD56" s="89" t="str">
        <f t="shared" si="24"/>
        <v>ok</v>
      </c>
      <c r="CE56" s="89" t="str">
        <f t="shared" si="24"/>
        <v>ok</v>
      </c>
      <c r="CF56" s="89" t="str">
        <f t="shared" si="24"/>
        <v>ok</v>
      </c>
      <c r="CG56" s="89" t="str">
        <f t="shared" si="24"/>
        <v>ok</v>
      </c>
      <c r="CH56" s="89" t="str">
        <f t="shared" si="24"/>
        <v>ok</v>
      </c>
      <c r="CI56" s="89" t="str">
        <f t="shared" si="24"/>
        <v>ok</v>
      </c>
      <c r="CJ56" s="89" t="str">
        <f t="shared" si="24"/>
        <v>ok</v>
      </c>
      <c r="CK56" s="89" t="str">
        <f t="shared" si="24"/>
        <v>ok</v>
      </c>
      <c r="CL56" s="84"/>
      <c r="CM56" s="89" t="str">
        <f t="shared" ref="CM56:DR56" si="25">IF(SUM(CM8:CM38)=CM39,"ok","エラー")</f>
        <v>ok</v>
      </c>
      <c r="CN56" s="89" t="str">
        <f t="shared" si="25"/>
        <v>ok</v>
      </c>
      <c r="CO56" s="89" t="str">
        <f t="shared" si="25"/>
        <v>ok</v>
      </c>
      <c r="CP56" s="89" t="str">
        <f t="shared" si="25"/>
        <v>ok</v>
      </c>
      <c r="CQ56" s="89" t="str">
        <f t="shared" si="25"/>
        <v>ok</v>
      </c>
      <c r="CR56" s="89" t="str">
        <f t="shared" si="25"/>
        <v>ok</v>
      </c>
      <c r="CS56" s="89" t="str">
        <f t="shared" si="25"/>
        <v>ok</v>
      </c>
      <c r="CT56" s="89" t="str">
        <f t="shared" si="25"/>
        <v>ok</v>
      </c>
      <c r="CU56" s="89" t="str">
        <f t="shared" si="25"/>
        <v>ok</v>
      </c>
      <c r="CV56" s="89" t="str">
        <f t="shared" si="25"/>
        <v>ok</v>
      </c>
      <c r="CW56" s="89" t="str">
        <f t="shared" si="25"/>
        <v>ok</v>
      </c>
      <c r="CX56" s="89" t="str">
        <f t="shared" si="25"/>
        <v>ok</v>
      </c>
      <c r="CY56" s="89" t="str">
        <f t="shared" si="25"/>
        <v>ok</v>
      </c>
      <c r="CZ56" s="89" t="str">
        <f t="shared" si="25"/>
        <v>ok</v>
      </c>
      <c r="DA56" s="89" t="str">
        <f t="shared" si="25"/>
        <v>ok</v>
      </c>
      <c r="DB56" s="89" t="str">
        <f t="shared" si="25"/>
        <v>ok</v>
      </c>
      <c r="DC56" s="89" t="str">
        <f t="shared" si="25"/>
        <v>ok</v>
      </c>
      <c r="DD56" s="89" t="str">
        <f t="shared" si="25"/>
        <v>ok</v>
      </c>
      <c r="DE56" s="89" t="str">
        <f t="shared" si="25"/>
        <v>ok</v>
      </c>
      <c r="DF56" s="89" t="str">
        <f t="shared" si="25"/>
        <v>ok</v>
      </c>
      <c r="DG56" s="89" t="str">
        <f t="shared" si="25"/>
        <v>ok</v>
      </c>
      <c r="DH56" s="89" t="str">
        <f t="shared" si="25"/>
        <v>ok</v>
      </c>
      <c r="DI56" s="89" t="str">
        <f t="shared" si="25"/>
        <v>ok</v>
      </c>
      <c r="DJ56" s="89" t="str">
        <f t="shared" si="25"/>
        <v>ok</v>
      </c>
      <c r="DK56" s="89" t="str">
        <f t="shared" si="25"/>
        <v>ok</v>
      </c>
      <c r="DL56" s="89" t="str">
        <f t="shared" si="25"/>
        <v>ok</v>
      </c>
      <c r="DM56" s="89" t="str">
        <f t="shared" si="25"/>
        <v>ok</v>
      </c>
      <c r="DN56" s="89" t="str">
        <f t="shared" si="25"/>
        <v>ok</v>
      </c>
      <c r="DO56" s="89" t="str">
        <f t="shared" si="25"/>
        <v>ok</v>
      </c>
      <c r="DP56" s="89" t="str">
        <f t="shared" si="25"/>
        <v>ok</v>
      </c>
      <c r="DQ56" s="89" t="str">
        <f t="shared" si="25"/>
        <v>ok</v>
      </c>
      <c r="DR56" s="89" t="str">
        <f t="shared" si="25"/>
        <v>ok</v>
      </c>
      <c r="DS56" s="89" t="str">
        <f t="shared" ref="DS56:EX56" si="26">IF(SUM(DS8:DS38)=DS39,"ok","エラー")</f>
        <v>ok</v>
      </c>
      <c r="DT56" s="89" t="str">
        <f t="shared" si="26"/>
        <v>ok</v>
      </c>
      <c r="DU56" s="89" t="str">
        <f t="shared" si="26"/>
        <v>ok</v>
      </c>
      <c r="DV56" s="89" t="str">
        <f t="shared" si="26"/>
        <v>ok</v>
      </c>
      <c r="DW56" s="89" t="str">
        <f t="shared" si="26"/>
        <v>ok</v>
      </c>
      <c r="DX56" s="89" t="str">
        <f t="shared" si="26"/>
        <v>ok</v>
      </c>
      <c r="DY56" s="89" t="str">
        <f t="shared" si="26"/>
        <v>ok</v>
      </c>
      <c r="DZ56" s="89" t="str">
        <f t="shared" si="26"/>
        <v>ok</v>
      </c>
      <c r="EA56" s="89" t="str">
        <f t="shared" si="26"/>
        <v>ok</v>
      </c>
      <c r="EB56" s="89" t="str">
        <f t="shared" si="26"/>
        <v>ok</v>
      </c>
      <c r="EC56" s="89" t="str">
        <f t="shared" si="26"/>
        <v>ok</v>
      </c>
      <c r="ED56" s="89" t="str">
        <f t="shared" si="26"/>
        <v>ok</v>
      </c>
      <c r="EE56" s="89" t="str">
        <f t="shared" si="26"/>
        <v>ok</v>
      </c>
      <c r="EF56" s="89" t="str">
        <f t="shared" si="26"/>
        <v>ok</v>
      </c>
      <c r="EG56" s="89" t="str">
        <f t="shared" si="26"/>
        <v>ok</v>
      </c>
      <c r="EH56" s="89" t="str">
        <f t="shared" si="26"/>
        <v>ok</v>
      </c>
      <c r="EI56" s="89" t="str">
        <f t="shared" si="26"/>
        <v>ok</v>
      </c>
      <c r="EJ56" s="89" t="str">
        <f t="shared" si="26"/>
        <v>ok</v>
      </c>
      <c r="EK56" s="89" t="str">
        <f t="shared" si="26"/>
        <v>ok</v>
      </c>
      <c r="EL56" s="89" t="str">
        <f t="shared" si="26"/>
        <v>ok</v>
      </c>
      <c r="EM56" s="89" t="str">
        <f t="shared" si="26"/>
        <v>ok</v>
      </c>
      <c r="EN56" s="89" t="str">
        <f t="shared" si="26"/>
        <v>ok</v>
      </c>
      <c r="EO56" s="89" t="str">
        <f t="shared" si="26"/>
        <v>ok</v>
      </c>
      <c r="EP56" s="89" t="str">
        <f t="shared" si="26"/>
        <v>ok</v>
      </c>
      <c r="EQ56" s="89" t="str">
        <f t="shared" si="26"/>
        <v>ok</v>
      </c>
      <c r="ER56" s="89" t="str">
        <f t="shared" si="26"/>
        <v>ok</v>
      </c>
      <c r="ES56" s="89" t="str">
        <f t="shared" si="26"/>
        <v>ok</v>
      </c>
      <c r="ET56" s="89" t="str">
        <f t="shared" si="26"/>
        <v>ok</v>
      </c>
      <c r="EU56" s="89" t="str">
        <f t="shared" si="26"/>
        <v>ok</v>
      </c>
      <c r="EV56" s="89" t="str">
        <f t="shared" si="26"/>
        <v>ok</v>
      </c>
      <c r="EW56" s="89" t="str">
        <f t="shared" si="26"/>
        <v>ok</v>
      </c>
      <c r="EX56" s="89" t="str">
        <f t="shared" si="26"/>
        <v>ok</v>
      </c>
      <c r="EY56" s="89" t="str">
        <f t="shared" ref="EY56:FJ56" si="27">IF(SUM(EY8:EY38)=EY39,"ok","エラー")</f>
        <v>ok</v>
      </c>
      <c r="EZ56" s="89" t="str">
        <f t="shared" si="27"/>
        <v>ok</v>
      </c>
      <c r="FA56" s="89" t="str">
        <f t="shared" si="27"/>
        <v>ok</v>
      </c>
      <c r="FB56" s="89" t="str">
        <f t="shared" si="27"/>
        <v>ok</v>
      </c>
      <c r="FC56" s="89" t="str">
        <f t="shared" si="27"/>
        <v>ok</v>
      </c>
      <c r="FD56" s="89" t="str">
        <f t="shared" si="27"/>
        <v>ok</v>
      </c>
      <c r="FE56" s="89" t="str">
        <f t="shared" si="27"/>
        <v>ok</v>
      </c>
      <c r="FF56" s="89" t="str">
        <f t="shared" si="27"/>
        <v>ok</v>
      </c>
      <c r="FG56" s="89" t="str">
        <f t="shared" si="27"/>
        <v>ok</v>
      </c>
      <c r="FH56" s="89" t="str">
        <f t="shared" si="27"/>
        <v>ok</v>
      </c>
      <c r="FI56" s="89" t="str">
        <f t="shared" si="27"/>
        <v>ok</v>
      </c>
      <c r="FJ56" s="89" t="str">
        <f t="shared" si="27"/>
        <v>ok</v>
      </c>
      <c r="FL56" s="89" t="str">
        <f>IF(SUM(FL8:FL38)=FL39,"ok","エラー")</f>
        <v>ok</v>
      </c>
      <c r="FM56" s="89" t="str">
        <f>IF(SUM(FM8:FM38)=FM39,"ok","エラー")</f>
        <v>ok</v>
      </c>
      <c r="FN56" s="89" t="str">
        <f>IF(SUM(FN8:FN38)=FN39,"ok","エラー")</f>
        <v>ok</v>
      </c>
      <c r="FO56" s="89" t="str">
        <f>IF(SUM(FO8:FO38)=FO39,"ok","エラー")</f>
        <v>ok</v>
      </c>
      <c r="FY56" s="89" t="str">
        <f>IF(SUM(FY8:FY38)=FY39,"ok","エラー")</f>
        <v>ok</v>
      </c>
      <c r="GA56" s="89" t="str">
        <f t="shared" ref="GA56:GF56" si="28">IF(SUM(GA8:GA38)=GA39,"ok","エラー")</f>
        <v>ok</v>
      </c>
      <c r="GB56" s="89" t="str">
        <f t="shared" si="28"/>
        <v>ok</v>
      </c>
      <c r="GC56" s="89" t="str">
        <f t="shared" si="28"/>
        <v>ok</v>
      </c>
      <c r="GD56" s="89" t="str">
        <f t="shared" si="28"/>
        <v>ok</v>
      </c>
      <c r="GE56" s="89" t="str">
        <f t="shared" si="28"/>
        <v>ok</v>
      </c>
      <c r="GF56" s="89" t="str">
        <f t="shared" si="28"/>
        <v>ok</v>
      </c>
      <c r="GK56" s="130" t="str">
        <f>IF(SUM(GK8:GK38)=GK39,"ok","エラー")</f>
        <v>ok</v>
      </c>
    </row>
    <row r="57" spans="1:232" x14ac:dyDescent="0.15">
      <c r="B57" s="89" t="s">
        <v>650</v>
      </c>
      <c r="C57" s="89" t="str">
        <f t="shared" ref="C57:AB57" si="29">IF(SUM(C40:C49)=C50,"ok","エラー")</f>
        <v>ok</v>
      </c>
      <c r="D57" s="89" t="str">
        <f t="shared" si="29"/>
        <v>ok</v>
      </c>
      <c r="E57" s="89" t="str">
        <f t="shared" si="29"/>
        <v>ok</v>
      </c>
      <c r="F57" s="89" t="str">
        <f t="shared" si="29"/>
        <v>ok</v>
      </c>
      <c r="G57" s="89" t="str">
        <f t="shared" si="29"/>
        <v>ok</v>
      </c>
      <c r="H57" s="89" t="str">
        <f t="shared" si="29"/>
        <v>ok</v>
      </c>
      <c r="I57" s="89" t="str">
        <f t="shared" si="29"/>
        <v>ok</v>
      </c>
      <c r="J57" s="89" t="str">
        <f t="shared" si="29"/>
        <v>ok</v>
      </c>
      <c r="K57" s="89" t="str">
        <f t="shared" si="29"/>
        <v>ok</v>
      </c>
      <c r="L57" s="89" t="str">
        <f t="shared" si="29"/>
        <v>ok</v>
      </c>
      <c r="M57" s="89" t="str">
        <f t="shared" si="29"/>
        <v>ok</v>
      </c>
      <c r="N57" s="89" t="str">
        <f t="shared" si="29"/>
        <v>ok</v>
      </c>
      <c r="O57" s="89" t="str">
        <f t="shared" si="29"/>
        <v>ok</v>
      </c>
      <c r="P57" s="89" t="str">
        <f t="shared" si="29"/>
        <v>ok</v>
      </c>
      <c r="Q57" s="89" t="str">
        <f t="shared" si="29"/>
        <v>ok</v>
      </c>
      <c r="R57" s="89" t="str">
        <f t="shared" si="29"/>
        <v>ok</v>
      </c>
      <c r="S57" s="75" t="str">
        <f t="shared" si="29"/>
        <v>ok</v>
      </c>
      <c r="T57" s="89" t="str">
        <f t="shared" si="29"/>
        <v>ok</v>
      </c>
      <c r="U57" s="89" t="str">
        <f t="shared" si="29"/>
        <v>ok</v>
      </c>
      <c r="V57" s="89" t="str">
        <f t="shared" si="29"/>
        <v>ok</v>
      </c>
      <c r="W57" s="89" t="str">
        <f t="shared" si="29"/>
        <v>ok</v>
      </c>
      <c r="X57" s="89" t="str">
        <f t="shared" si="29"/>
        <v>ok</v>
      </c>
      <c r="Y57" s="89" t="str">
        <f t="shared" si="29"/>
        <v>ok</v>
      </c>
      <c r="Z57" s="89" t="str">
        <f t="shared" si="29"/>
        <v>ok</v>
      </c>
      <c r="AA57" s="89" t="str">
        <f t="shared" si="29"/>
        <v>ok</v>
      </c>
      <c r="AB57" s="89" t="str">
        <f t="shared" si="29"/>
        <v>ok</v>
      </c>
      <c r="AD57" s="89" t="str">
        <f t="shared" ref="AD57:BI57" si="30">IF(SUM(AD40:AD49)=AD50,"ok","エラー")</f>
        <v>ok</v>
      </c>
      <c r="AE57" s="89" t="str">
        <f t="shared" si="30"/>
        <v>ok</v>
      </c>
      <c r="AF57" s="89" t="str">
        <f t="shared" si="30"/>
        <v>ok</v>
      </c>
      <c r="AG57" s="89" t="str">
        <f t="shared" si="30"/>
        <v>ok</v>
      </c>
      <c r="AH57" s="89" t="str">
        <f t="shared" si="30"/>
        <v>ok</v>
      </c>
      <c r="AI57" s="89" t="str">
        <f t="shared" si="30"/>
        <v>ok</v>
      </c>
      <c r="AJ57" s="89" t="str">
        <f t="shared" si="30"/>
        <v>ok</v>
      </c>
      <c r="AK57" s="89" t="str">
        <f t="shared" si="30"/>
        <v>ok</v>
      </c>
      <c r="AL57" s="89" t="str">
        <f t="shared" si="30"/>
        <v>ok</v>
      </c>
      <c r="AM57" s="89" t="str">
        <f t="shared" si="30"/>
        <v>ok</v>
      </c>
      <c r="AN57" s="89" t="str">
        <f t="shared" si="30"/>
        <v>ok</v>
      </c>
      <c r="AO57" s="89" t="str">
        <f t="shared" si="30"/>
        <v>ok</v>
      </c>
      <c r="AP57" s="89" t="str">
        <f t="shared" si="30"/>
        <v>ok</v>
      </c>
      <c r="AQ57" s="89" t="str">
        <f t="shared" si="30"/>
        <v>ok</v>
      </c>
      <c r="AR57" s="89" t="str">
        <f t="shared" si="30"/>
        <v>ok</v>
      </c>
      <c r="AS57" s="89" t="str">
        <f t="shared" si="30"/>
        <v>ok</v>
      </c>
      <c r="AT57" s="89" t="str">
        <f t="shared" si="30"/>
        <v>ok</v>
      </c>
      <c r="AU57" s="89" t="str">
        <f t="shared" si="30"/>
        <v>ok</v>
      </c>
      <c r="AV57" s="89" t="str">
        <f t="shared" si="30"/>
        <v>ok</v>
      </c>
      <c r="AW57" s="89" t="str">
        <f t="shared" si="30"/>
        <v>ok</v>
      </c>
      <c r="AX57" s="89" t="str">
        <f t="shared" si="30"/>
        <v>ok</v>
      </c>
      <c r="AY57" s="89" t="str">
        <f t="shared" si="30"/>
        <v>ok</v>
      </c>
      <c r="AZ57" s="89" t="str">
        <f t="shared" si="30"/>
        <v>ok</v>
      </c>
      <c r="BA57" s="89" t="str">
        <f t="shared" si="30"/>
        <v>ok</v>
      </c>
      <c r="BB57" s="89" t="str">
        <f t="shared" si="30"/>
        <v>ok</v>
      </c>
      <c r="BC57" s="89" t="str">
        <f t="shared" si="30"/>
        <v>ok</v>
      </c>
      <c r="BD57" s="89" t="str">
        <f t="shared" si="30"/>
        <v>ok</v>
      </c>
      <c r="BE57" s="89" t="str">
        <f t="shared" si="30"/>
        <v>ok</v>
      </c>
      <c r="BF57" s="89" t="str">
        <f t="shared" si="30"/>
        <v>ok</v>
      </c>
      <c r="BG57" s="89" t="str">
        <f t="shared" si="30"/>
        <v>ok</v>
      </c>
      <c r="BH57" s="89" t="str">
        <f t="shared" si="30"/>
        <v>ok</v>
      </c>
      <c r="BI57" s="89" t="str">
        <f t="shared" si="30"/>
        <v>ok</v>
      </c>
      <c r="BJ57" s="89" t="str">
        <f t="shared" ref="BJ57:CK57" si="31">IF(SUM(BJ40:BJ49)=BJ50,"ok","エラー")</f>
        <v>ok</v>
      </c>
      <c r="BK57" s="89" t="str">
        <f t="shared" si="31"/>
        <v>ok</v>
      </c>
      <c r="BL57" s="89" t="str">
        <f t="shared" si="31"/>
        <v>ok</v>
      </c>
      <c r="BM57" s="89" t="str">
        <f t="shared" si="31"/>
        <v>ok</v>
      </c>
      <c r="BN57" s="89" t="str">
        <f t="shared" si="31"/>
        <v>ok</v>
      </c>
      <c r="BO57" s="89" t="str">
        <f t="shared" si="31"/>
        <v>ok</v>
      </c>
      <c r="BP57" s="89" t="str">
        <f t="shared" si="31"/>
        <v>ok</v>
      </c>
      <c r="BQ57" s="89" t="str">
        <f t="shared" si="31"/>
        <v>ok</v>
      </c>
      <c r="BR57" s="89" t="str">
        <f t="shared" si="31"/>
        <v>ok</v>
      </c>
      <c r="BS57" s="89" t="str">
        <f t="shared" si="31"/>
        <v>ok</v>
      </c>
      <c r="BT57" s="89" t="str">
        <f t="shared" si="31"/>
        <v>ok</v>
      </c>
      <c r="BU57" s="89" t="str">
        <f t="shared" si="31"/>
        <v>ok</v>
      </c>
      <c r="BV57" s="89" t="str">
        <f t="shared" si="31"/>
        <v>ok</v>
      </c>
      <c r="BW57" s="89" t="str">
        <f t="shared" si="31"/>
        <v>ok</v>
      </c>
      <c r="BX57" s="89" t="str">
        <f t="shared" si="31"/>
        <v>ok</v>
      </c>
      <c r="BY57" s="89" t="str">
        <f t="shared" si="31"/>
        <v>ok</v>
      </c>
      <c r="BZ57" s="89" t="str">
        <f t="shared" si="31"/>
        <v>ok</v>
      </c>
      <c r="CA57" s="89" t="str">
        <f t="shared" si="31"/>
        <v>ok</v>
      </c>
      <c r="CB57" s="89" t="str">
        <f t="shared" si="31"/>
        <v>ok</v>
      </c>
      <c r="CC57" s="89" t="str">
        <f t="shared" si="31"/>
        <v>ok</v>
      </c>
      <c r="CD57" s="89" t="str">
        <f t="shared" si="31"/>
        <v>ok</v>
      </c>
      <c r="CE57" s="89" t="str">
        <f t="shared" si="31"/>
        <v>ok</v>
      </c>
      <c r="CF57" s="89" t="str">
        <f t="shared" si="31"/>
        <v>ok</v>
      </c>
      <c r="CG57" s="89" t="str">
        <f t="shared" si="31"/>
        <v>ok</v>
      </c>
      <c r="CH57" s="89" t="str">
        <f t="shared" si="31"/>
        <v>ok</v>
      </c>
      <c r="CI57" s="89" t="str">
        <f t="shared" si="31"/>
        <v>ok</v>
      </c>
      <c r="CJ57" s="89" t="str">
        <f t="shared" si="31"/>
        <v>ok</v>
      </c>
      <c r="CK57" s="89" t="str">
        <f t="shared" si="31"/>
        <v>ok</v>
      </c>
      <c r="CL57" s="84"/>
      <c r="CM57" s="89" t="str">
        <f t="shared" ref="CM57:DR57" si="32">IF(SUM(CM40:CM49)=CM50,"ok","エラー")</f>
        <v>ok</v>
      </c>
      <c r="CN57" s="89" t="str">
        <f t="shared" si="32"/>
        <v>ok</v>
      </c>
      <c r="CO57" s="89" t="str">
        <f t="shared" si="32"/>
        <v>ok</v>
      </c>
      <c r="CP57" s="89" t="str">
        <f t="shared" si="32"/>
        <v>ok</v>
      </c>
      <c r="CQ57" s="89" t="str">
        <f t="shared" si="32"/>
        <v>ok</v>
      </c>
      <c r="CR57" s="89" t="str">
        <f t="shared" si="32"/>
        <v>ok</v>
      </c>
      <c r="CS57" s="89" t="str">
        <f t="shared" si="32"/>
        <v>ok</v>
      </c>
      <c r="CT57" s="89" t="str">
        <f t="shared" si="32"/>
        <v>ok</v>
      </c>
      <c r="CU57" s="89" t="str">
        <f t="shared" si="32"/>
        <v>ok</v>
      </c>
      <c r="CV57" s="89" t="str">
        <f t="shared" si="32"/>
        <v>ok</v>
      </c>
      <c r="CW57" s="89" t="str">
        <f t="shared" si="32"/>
        <v>ok</v>
      </c>
      <c r="CX57" s="89" t="str">
        <f t="shared" si="32"/>
        <v>ok</v>
      </c>
      <c r="CY57" s="89" t="str">
        <f t="shared" si="32"/>
        <v>ok</v>
      </c>
      <c r="CZ57" s="89" t="str">
        <f t="shared" si="32"/>
        <v>ok</v>
      </c>
      <c r="DA57" s="89" t="str">
        <f t="shared" si="32"/>
        <v>ok</v>
      </c>
      <c r="DB57" s="89" t="str">
        <f t="shared" si="32"/>
        <v>ok</v>
      </c>
      <c r="DC57" s="89" t="str">
        <f t="shared" si="32"/>
        <v>ok</v>
      </c>
      <c r="DD57" s="89" t="str">
        <f t="shared" si="32"/>
        <v>ok</v>
      </c>
      <c r="DE57" s="89" t="str">
        <f t="shared" si="32"/>
        <v>ok</v>
      </c>
      <c r="DF57" s="89" t="str">
        <f t="shared" si="32"/>
        <v>ok</v>
      </c>
      <c r="DG57" s="89" t="str">
        <f t="shared" si="32"/>
        <v>ok</v>
      </c>
      <c r="DH57" s="89" t="str">
        <f t="shared" si="32"/>
        <v>ok</v>
      </c>
      <c r="DI57" s="89" t="str">
        <f t="shared" si="32"/>
        <v>ok</v>
      </c>
      <c r="DJ57" s="89" t="str">
        <f t="shared" si="32"/>
        <v>ok</v>
      </c>
      <c r="DK57" s="89" t="str">
        <f t="shared" si="32"/>
        <v>ok</v>
      </c>
      <c r="DL57" s="89" t="str">
        <f t="shared" si="32"/>
        <v>ok</v>
      </c>
      <c r="DM57" s="89" t="str">
        <f t="shared" si="32"/>
        <v>ok</v>
      </c>
      <c r="DN57" s="89" t="str">
        <f t="shared" si="32"/>
        <v>ok</v>
      </c>
      <c r="DO57" s="89" t="str">
        <f t="shared" si="32"/>
        <v>ok</v>
      </c>
      <c r="DP57" s="89" t="str">
        <f t="shared" si="32"/>
        <v>ok</v>
      </c>
      <c r="DQ57" s="89" t="str">
        <f t="shared" si="32"/>
        <v>ok</v>
      </c>
      <c r="DR57" s="89" t="str">
        <f t="shared" si="32"/>
        <v>ok</v>
      </c>
      <c r="DS57" s="89" t="str">
        <f t="shared" ref="DS57:EX57" si="33">IF(SUM(DS40:DS49)=DS50,"ok","エラー")</f>
        <v>ok</v>
      </c>
      <c r="DT57" s="89" t="str">
        <f t="shared" si="33"/>
        <v>ok</v>
      </c>
      <c r="DU57" s="89" t="str">
        <f t="shared" si="33"/>
        <v>ok</v>
      </c>
      <c r="DV57" s="89" t="str">
        <f t="shared" si="33"/>
        <v>ok</v>
      </c>
      <c r="DW57" s="89" t="str">
        <f t="shared" si="33"/>
        <v>ok</v>
      </c>
      <c r="DX57" s="89" t="str">
        <f t="shared" si="33"/>
        <v>ok</v>
      </c>
      <c r="DY57" s="89" t="str">
        <f t="shared" si="33"/>
        <v>ok</v>
      </c>
      <c r="DZ57" s="89" t="str">
        <f t="shared" si="33"/>
        <v>ok</v>
      </c>
      <c r="EA57" s="89" t="str">
        <f t="shared" si="33"/>
        <v>ok</v>
      </c>
      <c r="EB57" s="89" t="str">
        <f t="shared" si="33"/>
        <v>ok</v>
      </c>
      <c r="EC57" s="89" t="str">
        <f t="shared" si="33"/>
        <v>ok</v>
      </c>
      <c r="ED57" s="89" t="str">
        <f t="shared" si="33"/>
        <v>ok</v>
      </c>
      <c r="EE57" s="89" t="str">
        <f t="shared" si="33"/>
        <v>ok</v>
      </c>
      <c r="EF57" s="89" t="str">
        <f t="shared" si="33"/>
        <v>ok</v>
      </c>
      <c r="EG57" s="89" t="str">
        <f t="shared" si="33"/>
        <v>ok</v>
      </c>
      <c r="EH57" s="89" t="str">
        <f t="shared" si="33"/>
        <v>ok</v>
      </c>
      <c r="EI57" s="89" t="str">
        <f t="shared" si="33"/>
        <v>ok</v>
      </c>
      <c r="EJ57" s="89" t="str">
        <f t="shared" si="33"/>
        <v>ok</v>
      </c>
      <c r="EK57" s="89" t="str">
        <f t="shared" si="33"/>
        <v>ok</v>
      </c>
      <c r="EL57" s="89" t="str">
        <f t="shared" si="33"/>
        <v>ok</v>
      </c>
      <c r="EM57" s="89" t="str">
        <f t="shared" si="33"/>
        <v>ok</v>
      </c>
      <c r="EN57" s="89" t="str">
        <f t="shared" si="33"/>
        <v>ok</v>
      </c>
      <c r="EO57" s="89" t="str">
        <f t="shared" si="33"/>
        <v>ok</v>
      </c>
      <c r="EP57" s="89" t="str">
        <f t="shared" si="33"/>
        <v>ok</v>
      </c>
      <c r="EQ57" s="89" t="str">
        <f t="shared" si="33"/>
        <v>ok</v>
      </c>
      <c r="ER57" s="89" t="str">
        <f t="shared" si="33"/>
        <v>ok</v>
      </c>
      <c r="ES57" s="89" t="str">
        <f t="shared" si="33"/>
        <v>ok</v>
      </c>
      <c r="ET57" s="89" t="str">
        <f t="shared" si="33"/>
        <v>ok</v>
      </c>
      <c r="EU57" s="89" t="str">
        <f t="shared" si="33"/>
        <v>ok</v>
      </c>
      <c r="EV57" s="89" t="str">
        <f t="shared" si="33"/>
        <v>ok</v>
      </c>
      <c r="EW57" s="89" t="str">
        <f t="shared" si="33"/>
        <v>ok</v>
      </c>
      <c r="EX57" s="89" t="str">
        <f t="shared" si="33"/>
        <v>ok</v>
      </c>
      <c r="EY57" s="89" t="str">
        <f t="shared" ref="EY57:FJ57" si="34">IF(SUM(EY40:EY49)=EY50,"ok","エラー")</f>
        <v>ok</v>
      </c>
      <c r="EZ57" s="89" t="str">
        <f t="shared" si="34"/>
        <v>ok</v>
      </c>
      <c r="FA57" s="89" t="str">
        <f t="shared" si="34"/>
        <v>ok</v>
      </c>
      <c r="FB57" s="89" t="str">
        <f t="shared" si="34"/>
        <v>ok</v>
      </c>
      <c r="FC57" s="89" t="str">
        <f t="shared" si="34"/>
        <v>ok</v>
      </c>
      <c r="FD57" s="89" t="str">
        <f t="shared" si="34"/>
        <v>ok</v>
      </c>
      <c r="FE57" s="89" t="str">
        <f t="shared" si="34"/>
        <v>ok</v>
      </c>
      <c r="FF57" s="89" t="str">
        <f t="shared" si="34"/>
        <v>ok</v>
      </c>
      <c r="FG57" s="89" t="str">
        <f t="shared" si="34"/>
        <v>ok</v>
      </c>
      <c r="FH57" s="89" t="str">
        <f t="shared" si="34"/>
        <v>ok</v>
      </c>
      <c r="FI57" s="89" t="str">
        <f t="shared" si="34"/>
        <v>ok</v>
      </c>
      <c r="FJ57" s="89" t="str">
        <f t="shared" si="34"/>
        <v>ok</v>
      </c>
      <c r="FL57" s="89" t="str">
        <f>IF(SUM(FL40:FL49)=FL50,"ok","エラー")</f>
        <v>ok</v>
      </c>
      <c r="FM57" s="89" t="str">
        <f>IF(SUM(FM40:FM49)=FM50,"ok","エラー")</f>
        <v>ok</v>
      </c>
      <c r="FN57" s="89" t="str">
        <f>IF(SUM(FN40:FN49)=FN50,"ok","エラー")</f>
        <v>ok</v>
      </c>
      <c r="FO57" s="89" t="str">
        <f>IF(SUM(FO40:FO49)=FO50,"ok","エラー")</f>
        <v>ok</v>
      </c>
      <c r="FY57" s="89" t="str">
        <f>IF(SUM(FY40:FY49)=FY50,"ok","エラー")</f>
        <v>ok</v>
      </c>
      <c r="GA57" s="89" t="str">
        <f t="shared" ref="GA57:GF57" si="35">IF(SUM(GA40:GA49)=GA50,"ok","エラー")</f>
        <v>ok</v>
      </c>
      <c r="GB57" s="89" t="str">
        <f t="shared" si="35"/>
        <v>ok</v>
      </c>
      <c r="GC57" s="89" t="str">
        <f t="shared" si="35"/>
        <v>ok</v>
      </c>
      <c r="GD57" s="89" t="str">
        <f t="shared" si="35"/>
        <v>ok</v>
      </c>
      <c r="GE57" s="89" t="str">
        <f t="shared" si="35"/>
        <v>ok</v>
      </c>
      <c r="GF57" s="89" t="str">
        <f t="shared" si="35"/>
        <v>ok</v>
      </c>
      <c r="GK57" s="130" t="str">
        <f>IF(SUM(GK40:GK49)=GK50,"ok","エラー")</f>
        <v>ok</v>
      </c>
    </row>
    <row r="58" spans="1:232" x14ac:dyDescent="0.15">
      <c r="B58" s="89" t="s">
        <v>650</v>
      </c>
      <c r="C58" s="89" t="str">
        <f t="shared" ref="C58:AB58" si="36">IF(C39+C50=C51,"ok","エラー")</f>
        <v>ok</v>
      </c>
      <c r="D58" s="89" t="str">
        <f t="shared" si="36"/>
        <v>ok</v>
      </c>
      <c r="E58" s="89" t="str">
        <f t="shared" si="36"/>
        <v>ok</v>
      </c>
      <c r="F58" s="89" t="str">
        <f t="shared" si="36"/>
        <v>ok</v>
      </c>
      <c r="G58" s="89" t="str">
        <f t="shared" si="36"/>
        <v>ok</v>
      </c>
      <c r="H58" s="89" t="str">
        <f t="shared" si="36"/>
        <v>ok</v>
      </c>
      <c r="I58" s="89" t="str">
        <f t="shared" si="36"/>
        <v>ok</v>
      </c>
      <c r="J58" s="89" t="str">
        <f t="shared" si="36"/>
        <v>ok</v>
      </c>
      <c r="K58" s="89" t="str">
        <f t="shared" si="36"/>
        <v>ok</v>
      </c>
      <c r="L58" s="89" t="str">
        <f t="shared" si="36"/>
        <v>ok</v>
      </c>
      <c r="M58" s="89" t="str">
        <f t="shared" si="36"/>
        <v>ok</v>
      </c>
      <c r="N58" s="89" t="str">
        <f t="shared" si="36"/>
        <v>ok</v>
      </c>
      <c r="O58" s="89" t="str">
        <f t="shared" si="36"/>
        <v>ok</v>
      </c>
      <c r="P58" s="89" t="str">
        <f t="shared" si="36"/>
        <v>ok</v>
      </c>
      <c r="Q58" s="89" t="str">
        <f t="shared" si="36"/>
        <v>ok</v>
      </c>
      <c r="R58" s="89" t="str">
        <f t="shared" si="36"/>
        <v>ok</v>
      </c>
      <c r="S58" s="75" t="str">
        <f t="shared" si="36"/>
        <v>ok</v>
      </c>
      <c r="T58" s="89" t="str">
        <f t="shared" si="36"/>
        <v>ok</v>
      </c>
      <c r="U58" s="89" t="str">
        <f t="shared" si="36"/>
        <v>ok</v>
      </c>
      <c r="V58" s="89" t="str">
        <f t="shared" si="36"/>
        <v>ok</v>
      </c>
      <c r="W58" s="89" t="str">
        <f t="shared" si="36"/>
        <v>ok</v>
      </c>
      <c r="X58" s="89" t="str">
        <f t="shared" si="36"/>
        <v>ok</v>
      </c>
      <c r="Y58" s="89" t="str">
        <f t="shared" si="36"/>
        <v>ok</v>
      </c>
      <c r="Z58" s="89" t="str">
        <f t="shared" si="36"/>
        <v>ok</v>
      </c>
      <c r="AA58" s="89" t="str">
        <f t="shared" si="36"/>
        <v>ok</v>
      </c>
      <c r="AB58" s="89" t="str">
        <f t="shared" si="36"/>
        <v>ok</v>
      </c>
      <c r="AD58" s="89" t="str">
        <f t="shared" ref="AD58:BI58" si="37">IF(AD39+AD50=AD51,"ok","エラー")</f>
        <v>ok</v>
      </c>
      <c r="AE58" s="89" t="str">
        <f t="shared" si="37"/>
        <v>ok</v>
      </c>
      <c r="AF58" s="89" t="str">
        <f t="shared" si="37"/>
        <v>ok</v>
      </c>
      <c r="AG58" s="89" t="str">
        <f t="shared" si="37"/>
        <v>ok</v>
      </c>
      <c r="AH58" s="89" t="str">
        <f t="shared" si="37"/>
        <v>ok</v>
      </c>
      <c r="AI58" s="89" t="str">
        <f t="shared" si="37"/>
        <v>ok</v>
      </c>
      <c r="AJ58" s="89" t="str">
        <f t="shared" si="37"/>
        <v>ok</v>
      </c>
      <c r="AK58" s="89" t="str">
        <f t="shared" si="37"/>
        <v>ok</v>
      </c>
      <c r="AL58" s="89" t="str">
        <f t="shared" si="37"/>
        <v>ok</v>
      </c>
      <c r="AM58" s="89" t="str">
        <f t="shared" si="37"/>
        <v>ok</v>
      </c>
      <c r="AN58" s="89" t="str">
        <f t="shared" si="37"/>
        <v>ok</v>
      </c>
      <c r="AO58" s="89" t="str">
        <f t="shared" si="37"/>
        <v>ok</v>
      </c>
      <c r="AP58" s="89" t="str">
        <f t="shared" si="37"/>
        <v>ok</v>
      </c>
      <c r="AQ58" s="89" t="str">
        <f t="shared" si="37"/>
        <v>ok</v>
      </c>
      <c r="AR58" s="89" t="str">
        <f t="shared" si="37"/>
        <v>ok</v>
      </c>
      <c r="AS58" s="89" t="str">
        <f t="shared" si="37"/>
        <v>ok</v>
      </c>
      <c r="AT58" s="89" t="str">
        <f t="shared" si="37"/>
        <v>ok</v>
      </c>
      <c r="AU58" s="89" t="str">
        <f t="shared" si="37"/>
        <v>ok</v>
      </c>
      <c r="AV58" s="89" t="str">
        <f t="shared" si="37"/>
        <v>ok</v>
      </c>
      <c r="AW58" s="89" t="str">
        <f t="shared" si="37"/>
        <v>ok</v>
      </c>
      <c r="AX58" s="89" t="str">
        <f t="shared" si="37"/>
        <v>ok</v>
      </c>
      <c r="AY58" s="89" t="str">
        <f t="shared" si="37"/>
        <v>ok</v>
      </c>
      <c r="AZ58" s="89" t="str">
        <f t="shared" si="37"/>
        <v>ok</v>
      </c>
      <c r="BA58" s="89" t="str">
        <f t="shared" si="37"/>
        <v>ok</v>
      </c>
      <c r="BB58" s="89" t="str">
        <f t="shared" si="37"/>
        <v>ok</v>
      </c>
      <c r="BC58" s="89" t="str">
        <f t="shared" si="37"/>
        <v>ok</v>
      </c>
      <c r="BD58" s="89" t="str">
        <f t="shared" si="37"/>
        <v>ok</v>
      </c>
      <c r="BE58" s="89" t="str">
        <f t="shared" si="37"/>
        <v>ok</v>
      </c>
      <c r="BF58" s="89" t="str">
        <f t="shared" si="37"/>
        <v>ok</v>
      </c>
      <c r="BG58" s="89" t="str">
        <f t="shared" si="37"/>
        <v>ok</v>
      </c>
      <c r="BH58" s="89" t="str">
        <f t="shared" si="37"/>
        <v>ok</v>
      </c>
      <c r="BI58" s="89" t="str">
        <f t="shared" si="37"/>
        <v>ok</v>
      </c>
      <c r="BJ58" s="89" t="str">
        <f t="shared" ref="BJ58:CK58" si="38">IF(BJ39+BJ50=BJ51,"ok","エラー")</f>
        <v>ok</v>
      </c>
      <c r="BK58" s="89" t="str">
        <f t="shared" si="38"/>
        <v>ok</v>
      </c>
      <c r="BL58" s="89" t="str">
        <f t="shared" si="38"/>
        <v>ok</v>
      </c>
      <c r="BM58" s="89" t="str">
        <f t="shared" si="38"/>
        <v>ok</v>
      </c>
      <c r="BN58" s="89" t="str">
        <f t="shared" si="38"/>
        <v>ok</v>
      </c>
      <c r="BO58" s="89" t="str">
        <f t="shared" si="38"/>
        <v>ok</v>
      </c>
      <c r="BP58" s="89" t="str">
        <f t="shared" si="38"/>
        <v>ok</v>
      </c>
      <c r="BQ58" s="89" t="str">
        <f t="shared" si="38"/>
        <v>ok</v>
      </c>
      <c r="BR58" s="89" t="str">
        <f t="shared" si="38"/>
        <v>ok</v>
      </c>
      <c r="BS58" s="89" t="str">
        <f t="shared" si="38"/>
        <v>ok</v>
      </c>
      <c r="BT58" s="89" t="str">
        <f t="shared" si="38"/>
        <v>ok</v>
      </c>
      <c r="BU58" s="89" t="str">
        <f t="shared" si="38"/>
        <v>ok</v>
      </c>
      <c r="BV58" s="89" t="str">
        <f t="shared" si="38"/>
        <v>ok</v>
      </c>
      <c r="BW58" s="89" t="str">
        <f t="shared" si="38"/>
        <v>ok</v>
      </c>
      <c r="BX58" s="89" t="str">
        <f t="shared" si="38"/>
        <v>ok</v>
      </c>
      <c r="BY58" s="89" t="str">
        <f t="shared" si="38"/>
        <v>ok</v>
      </c>
      <c r="BZ58" s="89" t="str">
        <f t="shared" si="38"/>
        <v>ok</v>
      </c>
      <c r="CA58" s="89" t="str">
        <f t="shared" si="38"/>
        <v>ok</v>
      </c>
      <c r="CB58" s="89" t="str">
        <f t="shared" si="38"/>
        <v>ok</v>
      </c>
      <c r="CC58" s="89" t="str">
        <f t="shared" si="38"/>
        <v>ok</v>
      </c>
      <c r="CD58" s="89" t="str">
        <f t="shared" si="38"/>
        <v>ok</v>
      </c>
      <c r="CE58" s="89" t="str">
        <f t="shared" si="38"/>
        <v>ok</v>
      </c>
      <c r="CF58" s="89" t="str">
        <f t="shared" si="38"/>
        <v>ok</v>
      </c>
      <c r="CG58" s="89" t="str">
        <f t="shared" si="38"/>
        <v>ok</v>
      </c>
      <c r="CH58" s="89" t="str">
        <f t="shared" si="38"/>
        <v>ok</v>
      </c>
      <c r="CI58" s="89" t="str">
        <f t="shared" si="38"/>
        <v>ok</v>
      </c>
      <c r="CJ58" s="89" t="str">
        <f t="shared" si="38"/>
        <v>ok</v>
      </c>
      <c r="CK58" s="89" t="str">
        <f t="shared" si="38"/>
        <v>ok</v>
      </c>
      <c r="CL58" s="84"/>
      <c r="CM58" s="89" t="str">
        <f t="shared" ref="CM58:DR58" si="39">IF(CM39+CM50=CM51,"ok","エラー")</f>
        <v>ok</v>
      </c>
      <c r="CN58" s="89" t="str">
        <f t="shared" si="39"/>
        <v>ok</v>
      </c>
      <c r="CO58" s="89" t="str">
        <f t="shared" si="39"/>
        <v>ok</v>
      </c>
      <c r="CP58" s="89" t="str">
        <f t="shared" si="39"/>
        <v>ok</v>
      </c>
      <c r="CQ58" s="89" t="str">
        <f t="shared" si="39"/>
        <v>ok</v>
      </c>
      <c r="CR58" s="89" t="str">
        <f t="shared" si="39"/>
        <v>ok</v>
      </c>
      <c r="CS58" s="89" t="str">
        <f t="shared" si="39"/>
        <v>ok</v>
      </c>
      <c r="CT58" s="89" t="str">
        <f t="shared" si="39"/>
        <v>ok</v>
      </c>
      <c r="CU58" s="89" t="str">
        <f t="shared" si="39"/>
        <v>ok</v>
      </c>
      <c r="CV58" s="89" t="str">
        <f t="shared" si="39"/>
        <v>ok</v>
      </c>
      <c r="CW58" s="89" t="str">
        <f t="shared" si="39"/>
        <v>ok</v>
      </c>
      <c r="CX58" s="89" t="str">
        <f t="shared" si="39"/>
        <v>ok</v>
      </c>
      <c r="CY58" s="89" t="str">
        <f t="shared" si="39"/>
        <v>ok</v>
      </c>
      <c r="CZ58" s="89" t="str">
        <f t="shared" si="39"/>
        <v>ok</v>
      </c>
      <c r="DA58" s="89" t="str">
        <f t="shared" si="39"/>
        <v>ok</v>
      </c>
      <c r="DB58" s="89" t="str">
        <f t="shared" si="39"/>
        <v>ok</v>
      </c>
      <c r="DC58" s="89" t="str">
        <f t="shared" si="39"/>
        <v>ok</v>
      </c>
      <c r="DD58" s="89" t="str">
        <f t="shared" si="39"/>
        <v>ok</v>
      </c>
      <c r="DE58" s="89" t="str">
        <f t="shared" si="39"/>
        <v>ok</v>
      </c>
      <c r="DF58" s="89" t="str">
        <f t="shared" si="39"/>
        <v>ok</v>
      </c>
      <c r="DG58" s="89" t="str">
        <f t="shared" si="39"/>
        <v>ok</v>
      </c>
      <c r="DH58" s="89" t="str">
        <f t="shared" si="39"/>
        <v>ok</v>
      </c>
      <c r="DI58" s="89" t="str">
        <f t="shared" si="39"/>
        <v>ok</v>
      </c>
      <c r="DJ58" s="89" t="str">
        <f t="shared" si="39"/>
        <v>ok</v>
      </c>
      <c r="DK58" s="89" t="str">
        <f t="shared" si="39"/>
        <v>ok</v>
      </c>
      <c r="DL58" s="89" t="str">
        <f t="shared" si="39"/>
        <v>ok</v>
      </c>
      <c r="DM58" s="89" t="str">
        <f t="shared" si="39"/>
        <v>ok</v>
      </c>
      <c r="DN58" s="89" t="str">
        <f t="shared" si="39"/>
        <v>ok</v>
      </c>
      <c r="DO58" s="89" t="str">
        <f t="shared" si="39"/>
        <v>ok</v>
      </c>
      <c r="DP58" s="89" t="str">
        <f t="shared" si="39"/>
        <v>ok</v>
      </c>
      <c r="DQ58" s="89" t="str">
        <f t="shared" si="39"/>
        <v>ok</v>
      </c>
      <c r="DR58" s="89" t="str">
        <f t="shared" si="39"/>
        <v>ok</v>
      </c>
      <c r="DS58" s="89" t="str">
        <f t="shared" ref="DS58:EX58" si="40">IF(DS39+DS50=DS51,"ok","エラー")</f>
        <v>ok</v>
      </c>
      <c r="DT58" s="89" t="str">
        <f t="shared" si="40"/>
        <v>ok</v>
      </c>
      <c r="DU58" s="89" t="str">
        <f t="shared" si="40"/>
        <v>ok</v>
      </c>
      <c r="DV58" s="89" t="str">
        <f t="shared" si="40"/>
        <v>ok</v>
      </c>
      <c r="DW58" s="89" t="str">
        <f t="shared" si="40"/>
        <v>ok</v>
      </c>
      <c r="DX58" s="89" t="str">
        <f t="shared" si="40"/>
        <v>ok</v>
      </c>
      <c r="DY58" s="89" t="str">
        <f t="shared" si="40"/>
        <v>ok</v>
      </c>
      <c r="DZ58" s="89" t="str">
        <f t="shared" si="40"/>
        <v>ok</v>
      </c>
      <c r="EA58" s="89" t="str">
        <f t="shared" si="40"/>
        <v>ok</v>
      </c>
      <c r="EB58" s="89" t="str">
        <f t="shared" si="40"/>
        <v>ok</v>
      </c>
      <c r="EC58" s="89" t="str">
        <f t="shared" si="40"/>
        <v>ok</v>
      </c>
      <c r="ED58" s="89" t="str">
        <f t="shared" si="40"/>
        <v>ok</v>
      </c>
      <c r="EE58" s="89" t="str">
        <f t="shared" si="40"/>
        <v>ok</v>
      </c>
      <c r="EF58" s="89" t="str">
        <f t="shared" si="40"/>
        <v>ok</v>
      </c>
      <c r="EG58" s="89" t="str">
        <f t="shared" si="40"/>
        <v>ok</v>
      </c>
      <c r="EH58" s="89" t="str">
        <f t="shared" si="40"/>
        <v>ok</v>
      </c>
      <c r="EI58" s="89" t="str">
        <f t="shared" si="40"/>
        <v>ok</v>
      </c>
      <c r="EJ58" s="89" t="str">
        <f t="shared" si="40"/>
        <v>ok</v>
      </c>
      <c r="EK58" s="89" t="str">
        <f t="shared" si="40"/>
        <v>ok</v>
      </c>
      <c r="EL58" s="89" t="str">
        <f t="shared" si="40"/>
        <v>ok</v>
      </c>
      <c r="EM58" s="89" t="str">
        <f t="shared" si="40"/>
        <v>ok</v>
      </c>
      <c r="EN58" s="89" t="str">
        <f t="shared" si="40"/>
        <v>ok</v>
      </c>
      <c r="EO58" s="89" t="str">
        <f t="shared" si="40"/>
        <v>ok</v>
      </c>
      <c r="EP58" s="89" t="str">
        <f t="shared" si="40"/>
        <v>ok</v>
      </c>
      <c r="EQ58" s="89" t="str">
        <f t="shared" si="40"/>
        <v>ok</v>
      </c>
      <c r="ER58" s="89" t="str">
        <f t="shared" si="40"/>
        <v>ok</v>
      </c>
      <c r="ES58" s="89" t="str">
        <f t="shared" si="40"/>
        <v>ok</v>
      </c>
      <c r="ET58" s="89" t="str">
        <f t="shared" si="40"/>
        <v>ok</v>
      </c>
      <c r="EU58" s="89" t="str">
        <f t="shared" si="40"/>
        <v>ok</v>
      </c>
      <c r="EV58" s="89" t="str">
        <f t="shared" si="40"/>
        <v>ok</v>
      </c>
      <c r="EW58" s="89" t="str">
        <f t="shared" si="40"/>
        <v>ok</v>
      </c>
      <c r="EX58" s="89" t="str">
        <f t="shared" si="40"/>
        <v>ok</v>
      </c>
      <c r="EY58" s="89" t="str">
        <f t="shared" ref="EY58:FJ58" si="41">IF(EY39+EY50=EY51,"ok","エラー")</f>
        <v>ok</v>
      </c>
      <c r="EZ58" s="89" t="str">
        <f t="shared" si="41"/>
        <v>ok</v>
      </c>
      <c r="FA58" s="89" t="str">
        <f t="shared" si="41"/>
        <v>ok</v>
      </c>
      <c r="FB58" s="89" t="str">
        <f t="shared" si="41"/>
        <v>ok</v>
      </c>
      <c r="FC58" s="89" t="str">
        <f t="shared" si="41"/>
        <v>ok</v>
      </c>
      <c r="FD58" s="89" t="str">
        <f t="shared" si="41"/>
        <v>ok</v>
      </c>
      <c r="FE58" s="89" t="str">
        <f t="shared" si="41"/>
        <v>ok</v>
      </c>
      <c r="FF58" s="89" t="str">
        <f t="shared" si="41"/>
        <v>ok</v>
      </c>
      <c r="FG58" s="89" t="str">
        <f t="shared" si="41"/>
        <v>ok</v>
      </c>
      <c r="FH58" s="89" t="str">
        <f t="shared" si="41"/>
        <v>ok</v>
      </c>
      <c r="FI58" s="89" t="str">
        <f t="shared" si="41"/>
        <v>ok</v>
      </c>
      <c r="FJ58" s="89" t="str">
        <f t="shared" si="41"/>
        <v>ok</v>
      </c>
      <c r="FL58" s="89" t="str">
        <f>IF(FL39+FL50=FL51,"ok","エラー")</f>
        <v>ok</v>
      </c>
      <c r="FM58" s="89" t="str">
        <f>IF(FM39+FM50=FM51,"ok","エラー")</f>
        <v>ok</v>
      </c>
      <c r="FN58" s="89" t="str">
        <f>IF(FN39+FN50=FN51,"ok","エラー")</f>
        <v>ok</v>
      </c>
      <c r="FO58" s="89" t="str">
        <f>IF(FO39+FO50=FO51,"ok","エラー")</f>
        <v>ok</v>
      </c>
      <c r="FY58" s="89" t="str">
        <f>IF(FY39+FY50=FY51,"ok","エラー")</f>
        <v>ok</v>
      </c>
      <c r="GA58" s="89" t="str">
        <f t="shared" ref="GA58:GF58" si="42">IF(GA39+GA50=GA51,"ok","エラー")</f>
        <v>ok</v>
      </c>
      <c r="GB58" s="89" t="str">
        <f t="shared" si="42"/>
        <v>ok</v>
      </c>
      <c r="GC58" s="89" t="str">
        <f t="shared" si="42"/>
        <v>ok</v>
      </c>
      <c r="GD58" s="89" t="str">
        <f t="shared" si="42"/>
        <v>ok</v>
      </c>
      <c r="GE58" s="89" t="str">
        <f t="shared" si="42"/>
        <v>ok</v>
      </c>
      <c r="GF58" s="89" t="str">
        <f t="shared" si="42"/>
        <v>ok</v>
      </c>
      <c r="GK58" s="130" t="str">
        <f>IF(GK39+GK50=GK51,"ok","エラー")</f>
        <v>ok</v>
      </c>
    </row>
    <row r="59" spans="1:232" x14ac:dyDescent="0.15">
      <c r="B59" s="122" t="s">
        <v>650</v>
      </c>
      <c r="C59" s="89" t="str">
        <f t="shared" ref="C59:AB59" si="43">IF(C6+C7+C51=C52,"ok","エラー")</f>
        <v>ok</v>
      </c>
      <c r="D59" s="89" t="str">
        <f t="shared" si="43"/>
        <v>ok</v>
      </c>
      <c r="E59" s="89" t="str">
        <f t="shared" si="43"/>
        <v>ok</v>
      </c>
      <c r="F59" s="89" t="str">
        <f t="shared" si="43"/>
        <v>ok</v>
      </c>
      <c r="G59" s="89" t="str">
        <f t="shared" si="43"/>
        <v>ok</v>
      </c>
      <c r="H59" s="89" t="str">
        <f t="shared" si="43"/>
        <v>ok</v>
      </c>
      <c r="I59" s="89" t="str">
        <f t="shared" si="43"/>
        <v>ok</v>
      </c>
      <c r="J59" s="89" t="str">
        <f t="shared" si="43"/>
        <v>ok</v>
      </c>
      <c r="K59" s="89" t="str">
        <f t="shared" si="43"/>
        <v>ok</v>
      </c>
      <c r="L59" s="89" t="str">
        <f t="shared" si="43"/>
        <v>ok</v>
      </c>
      <c r="M59" s="89" t="str">
        <f t="shared" si="43"/>
        <v>ok</v>
      </c>
      <c r="N59" s="89" t="str">
        <f t="shared" si="43"/>
        <v>ok</v>
      </c>
      <c r="O59" s="89" t="str">
        <f t="shared" si="43"/>
        <v>ok</v>
      </c>
      <c r="P59" s="89" t="str">
        <f t="shared" si="43"/>
        <v>ok</v>
      </c>
      <c r="Q59" s="89" t="str">
        <f t="shared" si="43"/>
        <v>ok</v>
      </c>
      <c r="R59" s="89" t="str">
        <f t="shared" si="43"/>
        <v>ok</v>
      </c>
      <c r="S59" s="75" t="str">
        <f t="shared" si="43"/>
        <v>ok</v>
      </c>
      <c r="T59" s="89" t="str">
        <f t="shared" si="43"/>
        <v>ok</v>
      </c>
      <c r="U59" s="89" t="str">
        <f t="shared" si="43"/>
        <v>ok</v>
      </c>
      <c r="V59" s="89" t="str">
        <f t="shared" si="43"/>
        <v>ok</v>
      </c>
      <c r="W59" s="89" t="str">
        <f t="shared" si="43"/>
        <v>ok</v>
      </c>
      <c r="X59" s="89" t="str">
        <f t="shared" si="43"/>
        <v>ok</v>
      </c>
      <c r="Y59" s="89" t="str">
        <f t="shared" si="43"/>
        <v>ok</v>
      </c>
      <c r="Z59" s="89" t="str">
        <f t="shared" si="43"/>
        <v>ok</v>
      </c>
      <c r="AA59" s="89" t="str">
        <f t="shared" si="43"/>
        <v>ok</v>
      </c>
      <c r="AB59" s="89" t="str">
        <f t="shared" si="43"/>
        <v>ok</v>
      </c>
      <c r="AD59" s="89" t="str">
        <f t="shared" ref="AD59:BI59" si="44">IF(AD6+AD7+AD51=AD52,"ok","エラー")</f>
        <v>ok</v>
      </c>
      <c r="AE59" s="89" t="str">
        <f t="shared" si="44"/>
        <v>ok</v>
      </c>
      <c r="AF59" s="89" t="str">
        <f t="shared" si="44"/>
        <v>ok</v>
      </c>
      <c r="AG59" s="89" t="str">
        <f t="shared" si="44"/>
        <v>ok</v>
      </c>
      <c r="AH59" s="89" t="str">
        <f t="shared" si="44"/>
        <v>ok</v>
      </c>
      <c r="AI59" s="89" t="str">
        <f t="shared" si="44"/>
        <v>ok</v>
      </c>
      <c r="AJ59" s="89" t="str">
        <f t="shared" si="44"/>
        <v>ok</v>
      </c>
      <c r="AK59" s="89" t="str">
        <f t="shared" si="44"/>
        <v>ok</v>
      </c>
      <c r="AL59" s="89" t="str">
        <f t="shared" si="44"/>
        <v>ok</v>
      </c>
      <c r="AM59" s="89" t="str">
        <f t="shared" si="44"/>
        <v>ok</v>
      </c>
      <c r="AN59" s="89" t="str">
        <f t="shared" si="44"/>
        <v>ok</v>
      </c>
      <c r="AO59" s="89" t="str">
        <f t="shared" si="44"/>
        <v>ok</v>
      </c>
      <c r="AP59" s="89" t="str">
        <f t="shared" si="44"/>
        <v>ok</v>
      </c>
      <c r="AQ59" s="89" t="str">
        <f t="shared" si="44"/>
        <v>ok</v>
      </c>
      <c r="AR59" s="89" t="str">
        <f t="shared" si="44"/>
        <v>ok</v>
      </c>
      <c r="AS59" s="89" t="str">
        <f t="shared" si="44"/>
        <v>ok</v>
      </c>
      <c r="AT59" s="89" t="str">
        <f t="shared" si="44"/>
        <v>ok</v>
      </c>
      <c r="AU59" s="89" t="str">
        <f t="shared" si="44"/>
        <v>ok</v>
      </c>
      <c r="AV59" s="89" t="str">
        <f t="shared" si="44"/>
        <v>ok</v>
      </c>
      <c r="AW59" s="89" t="str">
        <f t="shared" si="44"/>
        <v>ok</v>
      </c>
      <c r="AX59" s="89" t="str">
        <f t="shared" si="44"/>
        <v>ok</v>
      </c>
      <c r="AY59" s="89" t="str">
        <f t="shared" si="44"/>
        <v>ok</v>
      </c>
      <c r="AZ59" s="89" t="str">
        <f t="shared" si="44"/>
        <v>ok</v>
      </c>
      <c r="BA59" s="89" t="str">
        <f t="shared" si="44"/>
        <v>ok</v>
      </c>
      <c r="BB59" s="89" t="str">
        <f t="shared" si="44"/>
        <v>ok</v>
      </c>
      <c r="BC59" s="89" t="str">
        <f t="shared" si="44"/>
        <v>ok</v>
      </c>
      <c r="BD59" s="89" t="str">
        <f t="shared" si="44"/>
        <v>ok</v>
      </c>
      <c r="BE59" s="89" t="str">
        <f t="shared" si="44"/>
        <v>ok</v>
      </c>
      <c r="BF59" s="89" t="str">
        <f t="shared" si="44"/>
        <v>ok</v>
      </c>
      <c r="BG59" s="89" t="str">
        <f t="shared" si="44"/>
        <v>ok</v>
      </c>
      <c r="BH59" s="89" t="str">
        <f t="shared" si="44"/>
        <v>ok</v>
      </c>
      <c r="BI59" s="89" t="str">
        <f t="shared" si="44"/>
        <v>ok</v>
      </c>
      <c r="BJ59" s="89" t="str">
        <f t="shared" ref="BJ59:CK59" si="45">IF(BJ6+BJ7+BJ51=BJ52,"ok","エラー")</f>
        <v>ok</v>
      </c>
      <c r="BK59" s="89" t="str">
        <f t="shared" si="45"/>
        <v>ok</v>
      </c>
      <c r="BL59" s="89" t="str">
        <f t="shared" si="45"/>
        <v>ok</v>
      </c>
      <c r="BM59" s="89" t="str">
        <f t="shared" si="45"/>
        <v>ok</v>
      </c>
      <c r="BN59" s="89" t="str">
        <f t="shared" si="45"/>
        <v>ok</v>
      </c>
      <c r="BO59" s="89" t="str">
        <f t="shared" si="45"/>
        <v>ok</v>
      </c>
      <c r="BP59" s="89" t="str">
        <f t="shared" si="45"/>
        <v>ok</v>
      </c>
      <c r="BQ59" s="89" t="str">
        <f t="shared" si="45"/>
        <v>ok</v>
      </c>
      <c r="BR59" s="89" t="str">
        <f t="shared" si="45"/>
        <v>ok</v>
      </c>
      <c r="BS59" s="89" t="str">
        <f t="shared" si="45"/>
        <v>ok</v>
      </c>
      <c r="BT59" s="89" t="str">
        <f t="shared" si="45"/>
        <v>ok</v>
      </c>
      <c r="BU59" s="89" t="str">
        <f t="shared" si="45"/>
        <v>ok</v>
      </c>
      <c r="BV59" s="89" t="str">
        <f t="shared" si="45"/>
        <v>ok</v>
      </c>
      <c r="BW59" s="89" t="str">
        <f t="shared" si="45"/>
        <v>ok</v>
      </c>
      <c r="BX59" s="89" t="str">
        <f t="shared" si="45"/>
        <v>ok</v>
      </c>
      <c r="BY59" s="89" t="str">
        <f t="shared" si="45"/>
        <v>ok</v>
      </c>
      <c r="BZ59" s="89" t="str">
        <f t="shared" si="45"/>
        <v>ok</v>
      </c>
      <c r="CA59" s="89" t="str">
        <f t="shared" si="45"/>
        <v>ok</v>
      </c>
      <c r="CB59" s="89" t="str">
        <f t="shared" si="45"/>
        <v>ok</v>
      </c>
      <c r="CC59" s="89" t="str">
        <f t="shared" si="45"/>
        <v>ok</v>
      </c>
      <c r="CD59" s="89" t="str">
        <f t="shared" si="45"/>
        <v>ok</v>
      </c>
      <c r="CE59" s="89" t="str">
        <f t="shared" si="45"/>
        <v>ok</v>
      </c>
      <c r="CF59" s="89" t="str">
        <f t="shared" si="45"/>
        <v>ok</v>
      </c>
      <c r="CG59" s="89" t="str">
        <f t="shared" si="45"/>
        <v>ok</v>
      </c>
      <c r="CH59" s="89" t="str">
        <f t="shared" si="45"/>
        <v>ok</v>
      </c>
      <c r="CI59" s="89" t="str">
        <f t="shared" si="45"/>
        <v>ok</v>
      </c>
      <c r="CJ59" s="89" t="str">
        <f t="shared" si="45"/>
        <v>ok</v>
      </c>
      <c r="CK59" s="89" t="str">
        <f t="shared" si="45"/>
        <v>ok</v>
      </c>
      <c r="CL59" s="84"/>
      <c r="CM59" s="89" t="str">
        <f t="shared" ref="CM59:DR59" si="46">IF(CM6+CM7+CM51=CM52,"ok","エラー")</f>
        <v>ok</v>
      </c>
      <c r="CN59" s="89" t="str">
        <f t="shared" si="46"/>
        <v>ok</v>
      </c>
      <c r="CO59" s="89" t="str">
        <f t="shared" si="46"/>
        <v>ok</v>
      </c>
      <c r="CP59" s="89" t="str">
        <f t="shared" si="46"/>
        <v>ok</v>
      </c>
      <c r="CQ59" s="89" t="str">
        <f t="shared" si="46"/>
        <v>ok</v>
      </c>
      <c r="CR59" s="89" t="str">
        <f t="shared" si="46"/>
        <v>ok</v>
      </c>
      <c r="CS59" s="89" t="str">
        <f t="shared" si="46"/>
        <v>ok</v>
      </c>
      <c r="CT59" s="89" t="str">
        <f t="shared" si="46"/>
        <v>ok</v>
      </c>
      <c r="CU59" s="89" t="str">
        <f t="shared" si="46"/>
        <v>ok</v>
      </c>
      <c r="CV59" s="89" t="str">
        <f t="shared" si="46"/>
        <v>ok</v>
      </c>
      <c r="CW59" s="89" t="str">
        <f t="shared" si="46"/>
        <v>ok</v>
      </c>
      <c r="CX59" s="89" t="str">
        <f t="shared" si="46"/>
        <v>ok</v>
      </c>
      <c r="CY59" s="89" t="str">
        <f t="shared" si="46"/>
        <v>ok</v>
      </c>
      <c r="CZ59" s="89" t="str">
        <f t="shared" si="46"/>
        <v>ok</v>
      </c>
      <c r="DA59" s="89" t="str">
        <f t="shared" si="46"/>
        <v>ok</v>
      </c>
      <c r="DB59" s="89" t="str">
        <f t="shared" si="46"/>
        <v>ok</v>
      </c>
      <c r="DC59" s="89" t="str">
        <f t="shared" si="46"/>
        <v>ok</v>
      </c>
      <c r="DD59" s="89" t="str">
        <f t="shared" si="46"/>
        <v>ok</v>
      </c>
      <c r="DE59" s="89" t="str">
        <f t="shared" si="46"/>
        <v>ok</v>
      </c>
      <c r="DF59" s="89" t="str">
        <f t="shared" si="46"/>
        <v>ok</v>
      </c>
      <c r="DG59" s="89" t="str">
        <f t="shared" si="46"/>
        <v>ok</v>
      </c>
      <c r="DH59" s="89" t="str">
        <f t="shared" si="46"/>
        <v>ok</v>
      </c>
      <c r="DI59" s="89" t="str">
        <f t="shared" si="46"/>
        <v>ok</v>
      </c>
      <c r="DJ59" s="89" t="str">
        <f t="shared" si="46"/>
        <v>ok</v>
      </c>
      <c r="DK59" s="89" t="str">
        <f t="shared" si="46"/>
        <v>ok</v>
      </c>
      <c r="DL59" s="89" t="str">
        <f t="shared" si="46"/>
        <v>ok</v>
      </c>
      <c r="DM59" s="89" t="str">
        <f t="shared" si="46"/>
        <v>ok</v>
      </c>
      <c r="DN59" s="89" t="str">
        <f t="shared" si="46"/>
        <v>ok</v>
      </c>
      <c r="DO59" s="89" t="str">
        <f t="shared" si="46"/>
        <v>ok</v>
      </c>
      <c r="DP59" s="89" t="str">
        <f t="shared" si="46"/>
        <v>ok</v>
      </c>
      <c r="DQ59" s="89" t="str">
        <f t="shared" si="46"/>
        <v>ok</v>
      </c>
      <c r="DR59" s="89" t="str">
        <f t="shared" si="46"/>
        <v>ok</v>
      </c>
      <c r="DS59" s="89" t="str">
        <f t="shared" ref="DS59:EX59" si="47">IF(DS6+DS7+DS51=DS52,"ok","エラー")</f>
        <v>ok</v>
      </c>
      <c r="DT59" s="89" t="str">
        <f t="shared" si="47"/>
        <v>ok</v>
      </c>
      <c r="DU59" s="89" t="str">
        <f t="shared" si="47"/>
        <v>ok</v>
      </c>
      <c r="DV59" s="89" t="str">
        <f t="shared" si="47"/>
        <v>ok</v>
      </c>
      <c r="DW59" s="89" t="str">
        <f t="shared" si="47"/>
        <v>ok</v>
      </c>
      <c r="DX59" s="89" t="str">
        <f t="shared" si="47"/>
        <v>ok</v>
      </c>
      <c r="DY59" s="89" t="str">
        <f t="shared" si="47"/>
        <v>ok</v>
      </c>
      <c r="DZ59" s="89" t="str">
        <f t="shared" si="47"/>
        <v>ok</v>
      </c>
      <c r="EA59" s="89" t="str">
        <f t="shared" si="47"/>
        <v>ok</v>
      </c>
      <c r="EB59" s="89" t="str">
        <f t="shared" si="47"/>
        <v>ok</v>
      </c>
      <c r="EC59" s="89" t="str">
        <f t="shared" si="47"/>
        <v>ok</v>
      </c>
      <c r="ED59" s="89" t="str">
        <f t="shared" si="47"/>
        <v>ok</v>
      </c>
      <c r="EE59" s="89" t="str">
        <f t="shared" si="47"/>
        <v>ok</v>
      </c>
      <c r="EF59" s="89" t="str">
        <f t="shared" si="47"/>
        <v>ok</v>
      </c>
      <c r="EG59" s="89" t="str">
        <f t="shared" si="47"/>
        <v>ok</v>
      </c>
      <c r="EH59" s="89" t="str">
        <f t="shared" si="47"/>
        <v>ok</v>
      </c>
      <c r="EI59" s="89" t="str">
        <f t="shared" si="47"/>
        <v>ok</v>
      </c>
      <c r="EJ59" s="89" t="str">
        <f t="shared" si="47"/>
        <v>ok</v>
      </c>
      <c r="EK59" s="89" t="str">
        <f t="shared" si="47"/>
        <v>ok</v>
      </c>
      <c r="EL59" s="89" t="str">
        <f t="shared" si="47"/>
        <v>ok</v>
      </c>
      <c r="EM59" s="89" t="str">
        <f t="shared" si="47"/>
        <v>ok</v>
      </c>
      <c r="EN59" s="89" t="str">
        <f t="shared" si="47"/>
        <v>ok</v>
      </c>
      <c r="EO59" s="89" t="str">
        <f t="shared" si="47"/>
        <v>ok</v>
      </c>
      <c r="EP59" s="89" t="str">
        <f t="shared" si="47"/>
        <v>ok</v>
      </c>
      <c r="EQ59" s="89" t="str">
        <f t="shared" si="47"/>
        <v>ok</v>
      </c>
      <c r="ER59" s="89" t="str">
        <f t="shared" si="47"/>
        <v>ok</v>
      </c>
      <c r="ES59" s="89" t="str">
        <f t="shared" si="47"/>
        <v>ok</v>
      </c>
      <c r="ET59" s="89" t="str">
        <f t="shared" si="47"/>
        <v>ok</v>
      </c>
      <c r="EU59" s="89" t="str">
        <f t="shared" si="47"/>
        <v>ok</v>
      </c>
      <c r="EV59" s="89" t="str">
        <f t="shared" si="47"/>
        <v>ok</v>
      </c>
      <c r="EW59" s="89" t="str">
        <f t="shared" si="47"/>
        <v>ok</v>
      </c>
      <c r="EX59" s="89" t="str">
        <f t="shared" si="47"/>
        <v>ok</v>
      </c>
      <c r="EY59" s="89" t="str">
        <f t="shared" ref="EY59:FJ59" si="48">IF(EY6+EY7+EY51=EY52,"ok","エラー")</f>
        <v>ok</v>
      </c>
      <c r="EZ59" s="89" t="str">
        <f t="shared" si="48"/>
        <v>ok</v>
      </c>
      <c r="FA59" s="89" t="str">
        <f t="shared" si="48"/>
        <v>ok</v>
      </c>
      <c r="FB59" s="89" t="str">
        <f t="shared" si="48"/>
        <v>ok</v>
      </c>
      <c r="FC59" s="89" t="str">
        <f t="shared" si="48"/>
        <v>ok</v>
      </c>
      <c r="FD59" s="89" t="str">
        <f t="shared" si="48"/>
        <v>ok</v>
      </c>
      <c r="FE59" s="89" t="str">
        <f t="shared" si="48"/>
        <v>ok</v>
      </c>
      <c r="FF59" s="89" t="str">
        <f t="shared" si="48"/>
        <v>ok</v>
      </c>
      <c r="FG59" s="89" t="str">
        <f t="shared" si="48"/>
        <v>ok</v>
      </c>
      <c r="FH59" s="89" t="str">
        <f t="shared" si="48"/>
        <v>ok</v>
      </c>
      <c r="FI59" s="89" t="str">
        <f t="shared" si="48"/>
        <v>ok</v>
      </c>
      <c r="FJ59" s="89" t="str">
        <f t="shared" si="48"/>
        <v>ok</v>
      </c>
      <c r="FL59" s="89" t="str">
        <f>IF(FL6+FL7+FL51=FL52,"ok","エラー")</f>
        <v>ok</v>
      </c>
      <c r="FM59" s="89" t="str">
        <f>IF(FM6+FM7+FM51=FM52,"ok","エラー")</f>
        <v>ok</v>
      </c>
      <c r="FN59" s="89" t="str">
        <f>IF(FN6+FN7+FN51=FN52,"ok","エラー")</f>
        <v>ok</v>
      </c>
      <c r="FO59" s="89" t="str">
        <f>IF(FO6+FO7+FO51=FO52,"ok","エラー")</f>
        <v>ok</v>
      </c>
      <c r="FY59" s="89" t="str">
        <f>IF(FY6+FY7+FY51=FY52,"ok","エラー")</f>
        <v>ok</v>
      </c>
      <c r="GA59" s="89" t="str">
        <f>IF(GA6+GA7+GA51=GA52,"ok","エラー")</f>
        <v>ok</v>
      </c>
      <c r="GB59" s="89" t="str">
        <f>IF(GB6+GB7+GB51=GB52,"ok","エラー")</f>
        <v>ok</v>
      </c>
      <c r="GC59" s="89" t="str">
        <f>IF(GC6+GC7+GC51=GC52,"ok","エラー")</f>
        <v>ok</v>
      </c>
      <c r="GD59" s="89" t="str">
        <f>IF(GD6+GD7+GD51=GD52,"ok","エラー")</f>
        <v>ok</v>
      </c>
      <c r="GE59" s="89" t="str">
        <f>IF(GE6+GE7+GE51=GE52,"ok","エラー")</f>
        <v>ok</v>
      </c>
      <c r="GF59" s="89" t="str">
        <f>IF(GF40+GF51=GF52,"ok","エラー")</f>
        <v>ok</v>
      </c>
      <c r="GK59" s="89" t="str">
        <f>IF(GK6+GK7+GK51=GK52,"ok","エラー")</f>
        <v>ok</v>
      </c>
    </row>
    <row r="61" spans="1:232" x14ac:dyDescent="0.15">
      <c r="B61" s="89" t="s">
        <v>651</v>
      </c>
      <c r="C61" s="89">
        <v>1778816095</v>
      </c>
      <c r="E61" s="89">
        <v>14937914</v>
      </c>
      <c r="F61" s="89">
        <v>598052978</v>
      </c>
      <c r="H61" s="89">
        <v>36907037</v>
      </c>
      <c r="I61" s="89">
        <v>135961519</v>
      </c>
      <c r="J61" s="89">
        <v>720078636</v>
      </c>
      <c r="K61" s="89">
        <v>284050133</v>
      </c>
      <c r="L61" s="89">
        <v>329632162</v>
      </c>
      <c r="M61" s="89">
        <v>99977909</v>
      </c>
      <c r="N61" s="89">
        <v>73024438</v>
      </c>
      <c r="O61" s="89">
        <v>143872142</v>
      </c>
      <c r="P61" s="89">
        <v>73196108</v>
      </c>
      <c r="Q61" s="89">
        <v>70676034</v>
      </c>
      <c r="R61" s="89">
        <v>19250378</v>
      </c>
      <c r="U61" s="89">
        <v>1198063</v>
      </c>
      <c r="V61" s="89">
        <v>11983656</v>
      </c>
      <c r="W61" s="75">
        <v>12900752</v>
      </c>
      <c r="X61" s="89">
        <v>215667421</v>
      </c>
      <c r="Y61" s="89">
        <v>1000572</v>
      </c>
      <c r="Z61" s="89">
        <v>0</v>
      </c>
      <c r="AA61" s="89">
        <v>223657</v>
      </c>
      <c r="AB61" s="89">
        <v>5309152</v>
      </c>
      <c r="AC61" s="89">
        <v>31951052</v>
      </c>
      <c r="AD61" s="89">
        <v>9616184</v>
      </c>
      <c r="AE61" s="89">
        <v>370664486</v>
      </c>
      <c r="AF61" s="89">
        <v>354584285</v>
      </c>
      <c r="AG61" s="89">
        <v>16079964</v>
      </c>
      <c r="AH61" s="89">
        <v>1462994</v>
      </c>
      <c r="AI61" s="89">
        <v>21330239</v>
      </c>
      <c r="AK61" s="89">
        <v>87025281</v>
      </c>
      <c r="AL61" s="89">
        <v>17822509</v>
      </c>
      <c r="AM61" s="89">
        <v>1266257652</v>
      </c>
      <c r="AO61" s="89">
        <v>383905984</v>
      </c>
      <c r="AP61" s="89">
        <v>148698538</v>
      </c>
      <c r="AR61" s="89">
        <v>169955913</v>
      </c>
      <c r="AS61" s="89">
        <v>48089899</v>
      </c>
      <c r="AT61" s="89">
        <v>150935</v>
      </c>
      <c r="AU61" s="89">
        <v>284170</v>
      </c>
      <c r="AV61" s="89">
        <v>311491921</v>
      </c>
      <c r="AW61" s="89">
        <v>211703716</v>
      </c>
      <c r="AX61" s="89">
        <v>37345469</v>
      </c>
      <c r="AY61" s="89">
        <v>4490379</v>
      </c>
      <c r="AZ61" s="89">
        <v>99788205</v>
      </c>
      <c r="BA61" s="89">
        <v>3055841</v>
      </c>
      <c r="BB61" s="89">
        <v>66965901</v>
      </c>
      <c r="BC61" s="89">
        <v>44517605</v>
      </c>
      <c r="BD61" s="89">
        <v>38521769</v>
      </c>
      <c r="BE61" s="89">
        <v>84923313</v>
      </c>
      <c r="BF61" s="89">
        <v>23487532</v>
      </c>
      <c r="BG61" s="89">
        <v>4723237</v>
      </c>
      <c r="BH61" s="89">
        <v>51505623</v>
      </c>
      <c r="BI61" s="89">
        <v>298756</v>
      </c>
      <c r="BJ61" s="89">
        <v>84786598</v>
      </c>
      <c r="BK61" s="89">
        <v>63547709</v>
      </c>
      <c r="BL61" s="89">
        <v>118260015</v>
      </c>
      <c r="BM61" s="89">
        <v>13624509</v>
      </c>
      <c r="BN61" s="89">
        <v>1164762</v>
      </c>
      <c r="BO61" s="89">
        <v>25038759</v>
      </c>
      <c r="BP61" s="89">
        <v>250177815</v>
      </c>
      <c r="BS61" s="89">
        <v>0</v>
      </c>
      <c r="BT61" s="89">
        <v>43000</v>
      </c>
      <c r="BU61" s="89">
        <v>33366801</v>
      </c>
      <c r="BV61" s="89">
        <v>0</v>
      </c>
      <c r="BW61" s="89">
        <v>4826658542</v>
      </c>
      <c r="BY61" s="89">
        <v>712494043</v>
      </c>
      <c r="BZ61" s="89">
        <v>499623153</v>
      </c>
      <c r="CA61" s="89">
        <v>19869750</v>
      </c>
      <c r="CB61" s="89">
        <v>69281104</v>
      </c>
      <c r="CC61" s="89">
        <v>1644257671</v>
      </c>
      <c r="CD61" s="89">
        <v>516366588</v>
      </c>
      <c r="CE61" s="89">
        <v>4496939</v>
      </c>
      <c r="CF61" s="89">
        <v>538568476</v>
      </c>
      <c r="CG61" s="89">
        <v>513232996</v>
      </c>
      <c r="CH61" s="89">
        <v>29102832</v>
      </c>
      <c r="CI61" s="89">
        <v>42480519</v>
      </c>
      <c r="CJ61" s="89">
        <v>424860660</v>
      </c>
      <c r="CK61" s="89">
        <v>401811540</v>
      </c>
      <c r="CM61" s="89">
        <v>515040758</v>
      </c>
      <c r="CN61" s="89">
        <v>358632541</v>
      </c>
      <c r="CP61" s="89">
        <v>82052397</v>
      </c>
      <c r="CQ61" s="89">
        <v>49443497</v>
      </c>
      <c r="CR61" s="89">
        <v>402383758</v>
      </c>
      <c r="CS61" s="89">
        <v>46642177</v>
      </c>
      <c r="CT61" s="89">
        <v>135236154</v>
      </c>
      <c r="CU61" s="89">
        <v>104601706</v>
      </c>
      <c r="CW61" s="89">
        <v>53247598</v>
      </c>
      <c r="CX61" s="84">
        <v>50971775</v>
      </c>
      <c r="CY61" s="84"/>
      <c r="CZ61" s="89">
        <v>9922767</v>
      </c>
      <c r="DA61" s="89">
        <v>2275301</v>
      </c>
      <c r="DC61" s="89">
        <v>42035267</v>
      </c>
      <c r="DD61" s="89">
        <v>40602025</v>
      </c>
      <c r="DE61" s="89">
        <v>468952296</v>
      </c>
      <c r="DF61" s="89">
        <v>221645547</v>
      </c>
      <c r="DG61" s="89">
        <v>238141709</v>
      </c>
      <c r="DH61" s="89">
        <v>2040240</v>
      </c>
      <c r="DI61" s="89">
        <v>3868083</v>
      </c>
      <c r="DJ61" s="89">
        <v>884188</v>
      </c>
      <c r="DK61" s="89">
        <v>124842045</v>
      </c>
      <c r="DL61" s="89">
        <v>55935710</v>
      </c>
      <c r="DM61" s="89">
        <v>7717295</v>
      </c>
      <c r="DN61" s="89">
        <v>61188995</v>
      </c>
      <c r="DO61" s="89">
        <v>9544442</v>
      </c>
      <c r="DP61" s="89">
        <v>8110842</v>
      </c>
      <c r="DQ61" s="89">
        <v>2131679</v>
      </c>
      <c r="DR61" s="89">
        <v>1083405</v>
      </c>
      <c r="DS61" s="89">
        <v>11269673</v>
      </c>
      <c r="DT61" s="89">
        <v>1650000</v>
      </c>
      <c r="DU61" s="89">
        <v>0</v>
      </c>
      <c r="DV61" s="89">
        <v>389904806</v>
      </c>
      <c r="DW61" s="89">
        <v>1140131</v>
      </c>
      <c r="DY61" s="89">
        <v>2551932</v>
      </c>
      <c r="DZ61" s="89">
        <v>138507212</v>
      </c>
      <c r="EA61" s="89">
        <v>32428</v>
      </c>
      <c r="EB61" s="89">
        <v>100867124</v>
      </c>
      <c r="ED61" s="89">
        <v>144836970</v>
      </c>
      <c r="EE61" s="89">
        <v>0</v>
      </c>
      <c r="EF61" s="89">
        <v>4753877837</v>
      </c>
      <c r="EH61" s="89">
        <v>72780705</v>
      </c>
      <c r="EI61" s="89">
        <v>19719845</v>
      </c>
      <c r="EJ61" s="89">
        <v>53060860</v>
      </c>
      <c r="EK61" s="89">
        <v>-14813198</v>
      </c>
      <c r="EL61" s="89">
        <v>24755983</v>
      </c>
      <c r="EP61" s="89">
        <v>35259544</v>
      </c>
      <c r="EQ61" s="89">
        <v>52090428</v>
      </c>
      <c r="ES61" s="89">
        <v>2479095529</v>
      </c>
      <c r="ET61" s="89">
        <v>-457306882</v>
      </c>
      <c r="EU61" s="89">
        <v>615221264</v>
      </c>
      <c r="EV61" s="89">
        <v>427806906</v>
      </c>
      <c r="EW61" s="89">
        <v>579800538</v>
      </c>
      <c r="EX61" s="89">
        <v>396870896</v>
      </c>
      <c r="EZ61" s="89">
        <v>110214076</v>
      </c>
      <c r="FA61" s="89">
        <v>15283242</v>
      </c>
      <c r="FB61" s="89">
        <v>94437910</v>
      </c>
      <c r="FC61" s="89">
        <v>171842</v>
      </c>
      <c r="FD61" s="89">
        <v>0</v>
      </c>
      <c r="FE61" s="89">
        <v>378362583</v>
      </c>
      <c r="FF61" s="420">
        <v>339333203</v>
      </c>
      <c r="FG61" s="89">
        <v>40955426</v>
      </c>
      <c r="FH61" s="89">
        <v>304163675</v>
      </c>
      <c r="FJ61" s="89">
        <v>2864291581</v>
      </c>
      <c r="FL61" s="89">
        <v>2260238562</v>
      </c>
      <c r="FM61" s="89">
        <v>45205093</v>
      </c>
      <c r="FN61" s="89">
        <v>1497452055</v>
      </c>
      <c r="FO61" s="89">
        <v>1851520758</v>
      </c>
      <c r="FY61" s="89">
        <v>3432847153</v>
      </c>
      <c r="GA61" s="89">
        <v>945132732</v>
      </c>
      <c r="GB61" s="89">
        <v>514072139</v>
      </c>
      <c r="GC61" s="89">
        <v>51224789</v>
      </c>
      <c r="GD61" s="89">
        <v>379835804</v>
      </c>
      <c r="GK61" s="89"/>
      <c r="GQ61" s="394">
        <f>FL39+FL53</f>
        <v>1131170347</v>
      </c>
      <c r="GR61" s="394">
        <f>FM39+FM53</f>
        <v>17240833</v>
      </c>
    </row>
    <row r="62" spans="1:232" x14ac:dyDescent="0.15">
      <c r="B62" s="89" t="s">
        <v>652</v>
      </c>
      <c r="C62" s="89" t="str">
        <f>IF(C52=C61,"OK","エラー")</f>
        <v>OK</v>
      </c>
      <c r="E62" s="89" t="str">
        <f>IF(E52=E61,"OK","エラー")</f>
        <v>OK</v>
      </c>
      <c r="F62" s="89" t="str">
        <f>IF(F52=F61,"OK","エラー")</f>
        <v>OK</v>
      </c>
      <c r="H62" s="89" t="str">
        <f t="shared" ref="H62:S62" si="49">IF(H52=H61,"OK","エラー")</f>
        <v>OK</v>
      </c>
      <c r="I62" s="89" t="str">
        <f t="shared" si="49"/>
        <v>OK</v>
      </c>
      <c r="J62" s="89" t="str">
        <f t="shared" si="49"/>
        <v>OK</v>
      </c>
      <c r="K62" s="89" t="str">
        <f t="shared" si="49"/>
        <v>OK</v>
      </c>
      <c r="L62" s="89" t="str">
        <f t="shared" si="49"/>
        <v>OK</v>
      </c>
      <c r="M62" s="89" t="str">
        <f t="shared" si="49"/>
        <v>OK</v>
      </c>
      <c r="N62" s="89" t="str">
        <f t="shared" si="49"/>
        <v>OK</v>
      </c>
      <c r="O62" s="89" t="str">
        <f t="shared" si="49"/>
        <v>OK</v>
      </c>
      <c r="P62" s="89" t="str">
        <f t="shared" si="49"/>
        <v>OK</v>
      </c>
      <c r="Q62" s="89" t="str">
        <f t="shared" si="49"/>
        <v>OK</v>
      </c>
      <c r="R62" s="89" t="str">
        <f t="shared" si="49"/>
        <v>OK</v>
      </c>
      <c r="S62" s="89" t="str">
        <f t="shared" si="49"/>
        <v>OK</v>
      </c>
      <c r="U62" s="89" t="str">
        <f t="shared" ref="U62:AI62" si="50">IF(U52=U61,"OK","エラー")</f>
        <v>OK</v>
      </c>
      <c r="V62" s="89" t="str">
        <f t="shared" si="50"/>
        <v>OK</v>
      </c>
      <c r="W62" s="89" t="str">
        <f t="shared" si="50"/>
        <v>OK</v>
      </c>
      <c r="X62" s="89" t="str">
        <f t="shared" si="50"/>
        <v>OK</v>
      </c>
      <c r="Y62" s="89" t="str">
        <f t="shared" si="50"/>
        <v>OK</v>
      </c>
      <c r="Z62" s="89" t="str">
        <f t="shared" si="50"/>
        <v>OK</v>
      </c>
      <c r="AA62" s="89" t="str">
        <f t="shared" si="50"/>
        <v>OK</v>
      </c>
      <c r="AB62" s="89" t="str">
        <f t="shared" si="50"/>
        <v>OK</v>
      </c>
      <c r="AC62" s="89" t="str">
        <f t="shared" si="50"/>
        <v>OK</v>
      </c>
      <c r="AD62" s="89" t="str">
        <f t="shared" si="50"/>
        <v>OK</v>
      </c>
      <c r="AE62" s="89" t="str">
        <f t="shared" si="50"/>
        <v>OK</v>
      </c>
      <c r="AF62" s="89" t="str">
        <f t="shared" si="50"/>
        <v>OK</v>
      </c>
      <c r="AG62" s="89" t="str">
        <f t="shared" si="50"/>
        <v>OK</v>
      </c>
      <c r="AH62" s="89" t="str">
        <f t="shared" si="50"/>
        <v>OK</v>
      </c>
      <c r="AI62" s="89" t="str">
        <f t="shared" si="50"/>
        <v>OK</v>
      </c>
      <c r="AK62" s="89" t="str">
        <f>IF(AK52=AK61,"OK","エラー")</f>
        <v>OK</v>
      </c>
      <c r="AL62" s="89" t="str">
        <f>IF(AL52=AL61,"OK","エラー")</f>
        <v>OK</v>
      </c>
      <c r="AM62" s="89" t="str">
        <f>IF(AM52=AM61,"OK","エラー")</f>
        <v>OK</v>
      </c>
      <c r="AO62" s="89" t="str">
        <f t="shared" ref="AO62:BP62" si="51">IF(AO52=AO61,"OK","エラー")</f>
        <v>OK</v>
      </c>
      <c r="AP62" s="89" t="str">
        <f t="shared" si="51"/>
        <v>OK</v>
      </c>
      <c r="AQ62" s="89" t="str">
        <f t="shared" si="51"/>
        <v>OK</v>
      </c>
      <c r="AR62" s="89" t="str">
        <f t="shared" si="51"/>
        <v>OK</v>
      </c>
      <c r="AS62" s="89" t="str">
        <f t="shared" si="51"/>
        <v>OK</v>
      </c>
      <c r="AT62" s="89" t="str">
        <f t="shared" si="51"/>
        <v>OK</v>
      </c>
      <c r="AU62" s="89" t="str">
        <f t="shared" si="51"/>
        <v>OK</v>
      </c>
      <c r="AV62" s="89" t="str">
        <f t="shared" si="51"/>
        <v>OK</v>
      </c>
      <c r="AW62" s="89" t="str">
        <f t="shared" si="51"/>
        <v>OK</v>
      </c>
      <c r="AX62" s="89" t="str">
        <f t="shared" si="51"/>
        <v>OK</v>
      </c>
      <c r="AY62" s="89" t="str">
        <f t="shared" si="51"/>
        <v>OK</v>
      </c>
      <c r="AZ62" s="89" t="str">
        <f t="shared" si="51"/>
        <v>OK</v>
      </c>
      <c r="BA62" s="89" t="str">
        <f t="shared" si="51"/>
        <v>OK</v>
      </c>
      <c r="BB62" s="89" t="str">
        <f t="shared" si="51"/>
        <v>OK</v>
      </c>
      <c r="BC62" s="89" t="str">
        <f t="shared" si="51"/>
        <v>OK</v>
      </c>
      <c r="BD62" s="89" t="str">
        <f t="shared" si="51"/>
        <v>OK</v>
      </c>
      <c r="BE62" s="89" t="str">
        <f t="shared" si="51"/>
        <v>OK</v>
      </c>
      <c r="BF62" s="89" t="str">
        <f t="shared" si="51"/>
        <v>OK</v>
      </c>
      <c r="BG62" s="89" t="str">
        <f t="shared" si="51"/>
        <v>OK</v>
      </c>
      <c r="BH62" s="89" t="str">
        <f t="shared" si="51"/>
        <v>OK</v>
      </c>
      <c r="BI62" s="89" t="str">
        <f t="shared" si="51"/>
        <v>OK</v>
      </c>
      <c r="BJ62" s="89" t="str">
        <f t="shared" si="51"/>
        <v>OK</v>
      </c>
      <c r="BK62" s="89" t="str">
        <f t="shared" si="51"/>
        <v>OK</v>
      </c>
      <c r="BL62" s="89" t="str">
        <f t="shared" si="51"/>
        <v>OK</v>
      </c>
      <c r="BM62" s="89" t="str">
        <f t="shared" si="51"/>
        <v>OK</v>
      </c>
      <c r="BN62" s="89" t="str">
        <f t="shared" si="51"/>
        <v>OK</v>
      </c>
      <c r="BO62" s="89" t="str">
        <f t="shared" si="51"/>
        <v>OK</v>
      </c>
      <c r="BP62" s="89" t="str">
        <f t="shared" si="51"/>
        <v>OK</v>
      </c>
      <c r="BS62" s="89" t="str">
        <f t="shared" ref="BS62:CK62" si="52">IF(BS52=BS61,"OK","エラー")</f>
        <v>OK</v>
      </c>
      <c r="BT62" s="89" t="str">
        <f t="shared" si="52"/>
        <v>OK</v>
      </c>
      <c r="BU62" s="89" t="str">
        <f t="shared" si="52"/>
        <v>OK</v>
      </c>
      <c r="BV62" s="89" t="str">
        <f t="shared" si="52"/>
        <v>OK</v>
      </c>
      <c r="BW62" s="89" t="str">
        <f t="shared" si="52"/>
        <v>OK</v>
      </c>
      <c r="BX62" s="89" t="str">
        <f t="shared" si="52"/>
        <v>OK</v>
      </c>
      <c r="BY62" s="89" t="str">
        <f t="shared" si="52"/>
        <v>OK</v>
      </c>
      <c r="BZ62" s="89" t="str">
        <f t="shared" si="52"/>
        <v>OK</v>
      </c>
      <c r="CA62" s="89" t="str">
        <f t="shared" si="52"/>
        <v>OK</v>
      </c>
      <c r="CB62" s="89" t="str">
        <f t="shared" si="52"/>
        <v>OK</v>
      </c>
      <c r="CC62" s="89" t="str">
        <f t="shared" si="52"/>
        <v>OK</v>
      </c>
      <c r="CD62" s="89" t="str">
        <f t="shared" si="52"/>
        <v>OK</v>
      </c>
      <c r="CE62" s="89" t="str">
        <f t="shared" si="52"/>
        <v>OK</v>
      </c>
      <c r="CF62" s="89" t="str">
        <f t="shared" si="52"/>
        <v>OK</v>
      </c>
      <c r="CG62" s="89" t="str">
        <f t="shared" si="52"/>
        <v>OK</v>
      </c>
      <c r="CH62" s="89" t="str">
        <f t="shared" si="52"/>
        <v>OK</v>
      </c>
      <c r="CI62" s="89" t="str">
        <f t="shared" si="52"/>
        <v>OK</v>
      </c>
      <c r="CJ62" s="89" t="str">
        <f t="shared" si="52"/>
        <v>OK</v>
      </c>
      <c r="CK62" s="89" t="str">
        <f t="shared" si="52"/>
        <v>OK</v>
      </c>
      <c r="CM62" s="89" t="str">
        <f t="shared" ref="CM62:CU62" si="53">IF(CM52=CM61,"OK","エラー")</f>
        <v>OK</v>
      </c>
      <c r="CN62" s="89" t="str">
        <f t="shared" si="53"/>
        <v>OK</v>
      </c>
      <c r="CO62" s="89" t="str">
        <f t="shared" si="53"/>
        <v>OK</v>
      </c>
      <c r="CP62" s="89" t="str">
        <f t="shared" si="53"/>
        <v>OK</v>
      </c>
      <c r="CQ62" s="89" t="str">
        <f t="shared" si="53"/>
        <v>OK</v>
      </c>
      <c r="CR62" s="89" t="str">
        <f t="shared" si="53"/>
        <v>OK</v>
      </c>
      <c r="CS62" s="89" t="str">
        <f t="shared" si="53"/>
        <v>OK</v>
      </c>
      <c r="CT62" s="89" t="str">
        <f t="shared" si="53"/>
        <v>OK</v>
      </c>
      <c r="CU62" s="89" t="str">
        <f t="shared" si="53"/>
        <v>OK</v>
      </c>
      <c r="CW62" s="89" t="str">
        <f>IF(CW52=CW61,"OK","エラー")</f>
        <v>OK</v>
      </c>
      <c r="CX62" s="89" t="str">
        <f>IF(CX52=CX61,"OK","エラー")</f>
        <v>OK</v>
      </c>
      <c r="CZ62" s="89" t="str">
        <f>IF(CZ52=CZ61,"OK","エラー")</f>
        <v>OK</v>
      </c>
      <c r="DA62" s="89" t="str">
        <f>IF(DA52=DA61,"OK","エラー")</f>
        <v>OK</v>
      </c>
      <c r="DC62" s="89" t="str">
        <f t="shared" ref="DC62:DW62" si="54">IF(DC52=DC61,"OK","エラー")</f>
        <v>OK</v>
      </c>
      <c r="DD62" s="89" t="str">
        <f t="shared" si="54"/>
        <v>OK</v>
      </c>
      <c r="DE62" s="89" t="str">
        <f t="shared" si="54"/>
        <v>OK</v>
      </c>
      <c r="DF62" s="89" t="str">
        <f t="shared" si="54"/>
        <v>OK</v>
      </c>
      <c r="DG62" s="89" t="str">
        <f t="shared" si="54"/>
        <v>OK</v>
      </c>
      <c r="DH62" s="89" t="str">
        <f t="shared" si="54"/>
        <v>OK</v>
      </c>
      <c r="DI62" s="89" t="str">
        <f t="shared" si="54"/>
        <v>OK</v>
      </c>
      <c r="DJ62" s="89" t="str">
        <f t="shared" si="54"/>
        <v>OK</v>
      </c>
      <c r="DK62" s="89" t="str">
        <f t="shared" si="54"/>
        <v>OK</v>
      </c>
      <c r="DL62" s="89" t="str">
        <f t="shared" si="54"/>
        <v>OK</v>
      </c>
      <c r="DM62" s="89" t="str">
        <f t="shared" si="54"/>
        <v>OK</v>
      </c>
      <c r="DN62" s="89" t="str">
        <f t="shared" si="54"/>
        <v>OK</v>
      </c>
      <c r="DO62" s="89" t="str">
        <f t="shared" si="54"/>
        <v>OK</v>
      </c>
      <c r="DP62" s="89" t="str">
        <f t="shared" si="54"/>
        <v>OK</v>
      </c>
      <c r="DQ62" s="89" t="str">
        <f t="shared" si="54"/>
        <v>OK</v>
      </c>
      <c r="DR62" s="89" t="str">
        <f t="shared" si="54"/>
        <v>OK</v>
      </c>
      <c r="DS62" s="89" t="str">
        <f t="shared" si="54"/>
        <v>OK</v>
      </c>
      <c r="DT62" s="89" t="str">
        <f t="shared" si="54"/>
        <v>OK</v>
      </c>
      <c r="DU62" s="89" t="str">
        <f t="shared" si="54"/>
        <v>OK</v>
      </c>
      <c r="DV62" s="89" t="str">
        <f t="shared" si="54"/>
        <v>OK</v>
      </c>
      <c r="DW62" s="89" t="str">
        <f t="shared" si="54"/>
        <v>OK</v>
      </c>
      <c r="DY62" s="89" t="str">
        <f t="shared" ref="DY62:EM62" si="55">IF(DY52=DY61,"OK","エラー")</f>
        <v>OK</v>
      </c>
      <c r="DZ62" s="89" t="str">
        <f t="shared" si="55"/>
        <v>OK</v>
      </c>
      <c r="EA62" s="89" t="str">
        <f t="shared" si="55"/>
        <v>OK</v>
      </c>
      <c r="EB62" s="89" t="str">
        <f t="shared" si="55"/>
        <v>OK</v>
      </c>
      <c r="EC62" s="89" t="str">
        <f t="shared" si="55"/>
        <v>OK</v>
      </c>
      <c r="ED62" s="89" t="str">
        <f t="shared" si="55"/>
        <v>OK</v>
      </c>
      <c r="EE62" s="89" t="str">
        <f t="shared" si="55"/>
        <v>OK</v>
      </c>
      <c r="EF62" s="89" t="str">
        <f t="shared" si="55"/>
        <v>OK</v>
      </c>
      <c r="EG62" s="89" t="str">
        <f t="shared" si="55"/>
        <v>OK</v>
      </c>
      <c r="EH62" s="89" t="str">
        <f t="shared" si="55"/>
        <v>OK</v>
      </c>
      <c r="EI62" s="89" t="str">
        <f t="shared" si="55"/>
        <v>OK</v>
      </c>
      <c r="EJ62" s="89" t="str">
        <f t="shared" si="55"/>
        <v>OK</v>
      </c>
      <c r="EK62" s="89" t="str">
        <f t="shared" si="55"/>
        <v>OK</v>
      </c>
      <c r="EL62" s="89" t="str">
        <f t="shared" si="55"/>
        <v>OK</v>
      </c>
      <c r="EM62" s="89" t="str">
        <f t="shared" si="55"/>
        <v>OK</v>
      </c>
      <c r="EP62" s="89" t="str">
        <f>IF(EP52=EP61,"OK","エラー")</f>
        <v>OK</v>
      </c>
      <c r="EQ62" s="89" t="str">
        <f>IF(EQ52=EQ61,"OK","エラー")</f>
        <v>OK</v>
      </c>
      <c r="ES62" s="89" t="str">
        <f t="shared" ref="ES62:EX62" si="56">IF(ES52=ES61,"OK","エラー")</f>
        <v>OK</v>
      </c>
      <c r="ET62" s="89" t="str">
        <f t="shared" si="56"/>
        <v>OK</v>
      </c>
      <c r="EU62" s="89" t="str">
        <f t="shared" si="56"/>
        <v>OK</v>
      </c>
      <c r="EV62" s="89" t="str">
        <f t="shared" si="56"/>
        <v>OK</v>
      </c>
      <c r="EW62" s="89" t="str">
        <f t="shared" si="56"/>
        <v>OK</v>
      </c>
      <c r="EX62" s="89" t="str">
        <f t="shared" si="56"/>
        <v>OK</v>
      </c>
      <c r="EZ62" s="89" t="str">
        <f t="shared" ref="EZ62:FH62" si="57">IF(EZ52=EZ61,"OK","エラー")</f>
        <v>OK</v>
      </c>
      <c r="FA62" s="89" t="str">
        <f t="shared" si="57"/>
        <v>OK</v>
      </c>
      <c r="FB62" s="89" t="str">
        <f t="shared" si="57"/>
        <v>OK</v>
      </c>
      <c r="FC62" s="89" t="str">
        <f t="shared" si="57"/>
        <v>OK</v>
      </c>
      <c r="FD62" s="89" t="str">
        <f t="shared" si="57"/>
        <v>OK</v>
      </c>
      <c r="FE62" s="89" t="str">
        <f t="shared" si="57"/>
        <v>OK</v>
      </c>
      <c r="FF62" s="89" t="str">
        <f t="shared" si="57"/>
        <v>OK</v>
      </c>
      <c r="FG62" s="89" t="str">
        <f t="shared" si="57"/>
        <v>OK</v>
      </c>
      <c r="FH62" s="89" t="str">
        <f t="shared" si="57"/>
        <v>OK</v>
      </c>
      <c r="FJ62" s="89" t="str">
        <f>IF(FJ52=FJ61,"OK","エラー")</f>
        <v>OK</v>
      </c>
      <c r="FL62" s="89" t="str">
        <f>IF(FL52=FL61,"OK","エラー")</f>
        <v>OK</v>
      </c>
      <c r="FM62" s="89" t="str">
        <f>IF(FM52=FM61,"OK","エラー")</f>
        <v>OK</v>
      </c>
      <c r="FN62" s="89" t="str">
        <f>IF(FN52=FN61,"OK","エラー")</f>
        <v>OK</v>
      </c>
      <c r="FO62" s="89" t="str">
        <f>IF(FO52=FO61,"OK","エラー")</f>
        <v>OK</v>
      </c>
      <c r="FY62" s="89" t="str">
        <f>IF(FY52=FY61,"OK","エラー")</f>
        <v>OK</v>
      </c>
      <c r="GA62" s="89" t="str">
        <f>IF(GA52=GA61,"OK","エラー")</f>
        <v>OK</v>
      </c>
      <c r="GB62" s="89" t="str">
        <f>IF(GB52=GB61,"OK","エラー")</f>
        <v>OK</v>
      </c>
      <c r="GC62" s="89" t="str">
        <f>IF(GC52=GC61,"OK","エラー")</f>
        <v>OK</v>
      </c>
      <c r="GD62" s="89" t="str">
        <f>IF(GD52=GD61,"OK","エラー")</f>
        <v>OK</v>
      </c>
      <c r="GE62" s="89" t="str">
        <f>IF(GE52=GE61,"OK","エラー")</f>
        <v>OK</v>
      </c>
      <c r="GK62" s="89"/>
    </row>
    <row r="66" spans="145:146" x14ac:dyDescent="0.15">
      <c r="EO66" s="421"/>
      <c r="EP66" s="422"/>
    </row>
    <row r="67" spans="145:146" x14ac:dyDescent="0.15">
      <c r="EO67" s="421"/>
      <c r="EP67" s="422"/>
    </row>
    <row r="68" spans="145:146" x14ac:dyDescent="0.15">
      <c r="EO68" s="421"/>
      <c r="EP68" s="422"/>
    </row>
    <row r="69" spans="145:146" x14ac:dyDescent="0.15">
      <c r="EO69" s="421"/>
      <c r="EP69" s="422"/>
    </row>
    <row r="70" spans="145:146" x14ac:dyDescent="0.15">
      <c r="EO70" s="421"/>
      <c r="EP70" s="422"/>
    </row>
    <row r="71" spans="145:146" x14ac:dyDescent="0.15">
      <c r="EO71" s="421"/>
      <c r="EP71" s="422"/>
    </row>
    <row r="72" spans="145:146" x14ac:dyDescent="0.15">
      <c r="EO72" s="421"/>
      <c r="EP72" s="422"/>
    </row>
    <row r="73" spans="145:146" x14ac:dyDescent="0.15">
      <c r="EO73" s="421"/>
      <c r="EP73" s="422"/>
    </row>
    <row r="74" spans="145:146" x14ac:dyDescent="0.15">
      <c r="EO74" s="421"/>
      <c r="EP74" s="422"/>
    </row>
    <row r="75" spans="145:146" x14ac:dyDescent="0.15">
      <c r="EO75" s="421"/>
      <c r="EP75" s="422"/>
    </row>
    <row r="76" spans="145:146" x14ac:dyDescent="0.15">
      <c r="EO76" s="421"/>
      <c r="EP76" s="422"/>
    </row>
    <row r="77" spans="145:146" x14ac:dyDescent="0.15">
      <c r="EO77" s="421"/>
      <c r="EP77" s="422"/>
    </row>
    <row r="78" spans="145:146" x14ac:dyDescent="0.15">
      <c r="EO78" s="421"/>
      <c r="EP78" s="422"/>
    </row>
    <row r="79" spans="145:146" x14ac:dyDescent="0.15">
      <c r="EO79" s="421"/>
      <c r="EP79" s="422"/>
    </row>
    <row r="80" spans="145:146" x14ac:dyDescent="0.15">
      <c r="EO80" s="421"/>
      <c r="EP80" s="422"/>
    </row>
    <row r="81" spans="145:146" x14ac:dyDescent="0.15">
      <c r="EO81" s="421"/>
      <c r="EP81" s="422"/>
    </row>
    <row r="82" spans="145:146" x14ac:dyDescent="0.15">
      <c r="EO82" s="421"/>
      <c r="EP82" s="422"/>
    </row>
    <row r="83" spans="145:146" x14ac:dyDescent="0.15">
      <c r="EO83" s="421"/>
      <c r="EP83" s="422"/>
    </row>
    <row r="84" spans="145:146" x14ac:dyDescent="0.15">
      <c r="EO84" s="421"/>
      <c r="EP84" s="422"/>
    </row>
    <row r="85" spans="145:146" x14ac:dyDescent="0.15">
      <c r="EO85" s="421"/>
      <c r="EP85" s="422"/>
    </row>
    <row r="86" spans="145:146" x14ac:dyDescent="0.15">
      <c r="EO86" s="421"/>
      <c r="EP86" s="422"/>
    </row>
    <row r="87" spans="145:146" x14ac:dyDescent="0.15">
      <c r="EO87" s="421"/>
      <c r="EP87" s="422"/>
    </row>
    <row r="88" spans="145:146" x14ac:dyDescent="0.15">
      <c r="EO88" s="421"/>
      <c r="EP88" s="422"/>
    </row>
    <row r="89" spans="145:146" x14ac:dyDescent="0.15">
      <c r="EO89" s="421"/>
      <c r="EP89" s="422"/>
    </row>
    <row r="90" spans="145:146" x14ac:dyDescent="0.15">
      <c r="EO90" s="421"/>
      <c r="EP90" s="422"/>
    </row>
    <row r="91" spans="145:146" x14ac:dyDescent="0.15">
      <c r="EO91" s="421"/>
      <c r="EP91" s="422"/>
    </row>
    <row r="92" spans="145:146" x14ac:dyDescent="0.15">
      <c r="EO92" s="421"/>
      <c r="EP92" s="422"/>
    </row>
    <row r="93" spans="145:146" x14ac:dyDescent="0.15">
      <c r="EO93" s="421"/>
      <c r="EP93" s="422"/>
    </row>
    <row r="94" spans="145:146" x14ac:dyDescent="0.15">
      <c r="EO94" s="421"/>
      <c r="EP94" s="422"/>
    </row>
    <row r="95" spans="145:146" x14ac:dyDescent="0.15">
      <c r="EO95" s="421"/>
      <c r="EP95" s="422"/>
    </row>
    <row r="96" spans="145:146" x14ac:dyDescent="0.15">
      <c r="EO96" s="421"/>
      <c r="EP96" s="422"/>
    </row>
    <row r="97" spans="145:146" x14ac:dyDescent="0.15">
      <c r="EO97" s="421"/>
      <c r="EP97" s="422"/>
    </row>
    <row r="98" spans="145:146" x14ac:dyDescent="0.15">
      <c r="EO98" s="421"/>
      <c r="EP98" s="422"/>
    </row>
    <row r="99" spans="145:146" x14ac:dyDescent="0.15">
      <c r="EO99" s="421"/>
      <c r="EP99" s="422"/>
    </row>
    <row r="100" spans="145:146" x14ac:dyDescent="0.15">
      <c r="EO100" s="421"/>
      <c r="EP100" s="422"/>
    </row>
    <row r="101" spans="145:146" x14ac:dyDescent="0.15">
      <c r="EO101" s="421"/>
      <c r="EP101" s="422"/>
    </row>
    <row r="102" spans="145:146" x14ac:dyDescent="0.15">
      <c r="EO102" s="421"/>
      <c r="EP102" s="422"/>
    </row>
    <row r="103" spans="145:146" x14ac:dyDescent="0.15">
      <c r="EO103" s="421"/>
      <c r="EP103" s="422"/>
    </row>
    <row r="104" spans="145:146" x14ac:dyDescent="0.15">
      <c r="EO104" s="421"/>
      <c r="EP104" s="422"/>
    </row>
    <row r="105" spans="145:146" x14ac:dyDescent="0.15">
      <c r="EO105" s="421"/>
      <c r="EP105" s="422"/>
    </row>
    <row r="106" spans="145:146" x14ac:dyDescent="0.15">
      <c r="EO106" s="421"/>
      <c r="EP106" s="422"/>
    </row>
  </sheetData>
  <mergeCells count="3">
    <mergeCell ref="GH2:GJ2"/>
    <mergeCell ref="FQ2:FW2"/>
    <mergeCell ref="GL2:GV2"/>
  </mergeCells>
  <phoneticPr fontId="3"/>
  <conditionalFormatting sqref="C62:IV62">
    <cfRule type="cellIs" dxfId="0" priority="1" stopIfTrue="1" operator="equal">
      <formula>"エラー"</formula>
    </cfRule>
  </conditionalFormatting>
  <pageMargins left="0.59055118110236227" right="0.59055118110236227" top="0.98425196850393704" bottom="0.98425196850393704" header="0.51181102362204722" footer="0.51181102362204722"/>
  <pageSetup paperSize="9" fitToWidth="0" orientation="portrait" r:id="rId1"/>
  <colBreaks count="1" manualBreakCount="1">
    <brk id="189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8">
    <tabColor indexed="15"/>
    <pageSetUpPr fitToPage="1"/>
  </sheetPr>
  <dimension ref="A1:HX106"/>
  <sheetViews>
    <sheetView view="pageBreakPreview" zoomScaleNormal="90" zoomScaleSheetLayoutView="100" workbookViewId="0">
      <pane xSplit="2" ySplit="5" topLeftCell="C6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5" width="13.6640625" style="174" customWidth="1"/>
    <col min="76" max="76" width="5.6640625" style="174" customWidth="1"/>
    <col min="77" max="136" width="13.6640625" style="174" customWidth="1"/>
    <col min="137" max="137" width="13.109375" style="174" customWidth="1"/>
    <col min="138" max="142" width="13.6640625" style="174" customWidth="1"/>
    <col min="143" max="143" width="3.6640625" style="174" customWidth="1"/>
    <col min="144" max="166" width="13.6640625" style="174" customWidth="1"/>
    <col min="167" max="167" width="12.33203125" style="174" bestFit="1" customWidth="1"/>
    <col min="168" max="171" width="13.6640625" style="174" customWidth="1"/>
    <col min="172" max="172" width="10.6640625" style="174" customWidth="1"/>
    <col min="173" max="179" width="8.6640625" style="174" customWidth="1"/>
    <col min="180" max="180" width="10.6640625" style="174" customWidth="1"/>
    <col min="181" max="181" width="13.6640625" style="174" customWidth="1"/>
    <col min="182" max="182" width="10.6640625" style="174" customWidth="1"/>
    <col min="183" max="188" width="13.6640625" style="174" customWidth="1"/>
    <col min="189" max="189" width="10.6640625" style="174" customWidth="1"/>
    <col min="190" max="192" width="9.6640625" style="174" customWidth="1"/>
    <col min="193" max="193" width="10.6640625" style="62" customWidth="1"/>
    <col min="194" max="194" width="8.5546875" style="174" bestFit="1" customWidth="1"/>
    <col min="195" max="195" width="10.33203125" style="174" bestFit="1" customWidth="1"/>
    <col min="196" max="196" width="8.5546875" style="174" bestFit="1" customWidth="1"/>
    <col min="197" max="197" width="9.6640625" style="174" bestFit="1" customWidth="1"/>
    <col min="198" max="198" width="10.33203125" style="174" bestFit="1" customWidth="1"/>
    <col min="199" max="199" width="8.5546875" style="174" bestFit="1" customWidth="1"/>
    <col min="200" max="200" width="11.88671875" style="174" bestFit="1" customWidth="1"/>
    <col min="201" max="201" width="10.33203125" style="174" bestFit="1" customWidth="1"/>
    <col min="202" max="202" width="8.5546875" style="174" bestFit="1" customWidth="1"/>
    <col min="203" max="203" width="9.6640625" style="174" bestFit="1" customWidth="1"/>
    <col min="204" max="204" width="10.33203125" style="174" bestFit="1" customWidth="1"/>
    <col min="205" max="232" width="13.6640625" style="174" customWidth="1"/>
  </cols>
  <sheetData>
    <row r="1" spans="2:232" x14ac:dyDescent="0.15">
      <c r="B1" s="98">
        <v>1</v>
      </c>
      <c r="C1" s="98">
        <v>2</v>
      </c>
      <c r="D1" s="98">
        <v>3</v>
      </c>
      <c r="E1" s="98">
        <v>4</v>
      </c>
      <c r="F1" s="98">
        <v>5</v>
      </c>
      <c r="G1" s="98">
        <v>6</v>
      </c>
      <c r="H1" s="98">
        <v>7</v>
      </c>
      <c r="I1" s="98">
        <v>8</v>
      </c>
      <c r="J1" s="98">
        <v>9</v>
      </c>
      <c r="K1" s="98">
        <v>10</v>
      </c>
      <c r="L1" s="98">
        <v>11</v>
      </c>
      <c r="M1" s="98">
        <v>12</v>
      </c>
      <c r="N1" s="98">
        <v>13</v>
      </c>
      <c r="O1" s="98">
        <v>14</v>
      </c>
      <c r="P1" s="98">
        <v>15</v>
      </c>
      <c r="Q1" s="98">
        <v>16</v>
      </c>
      <c r="R1" s="98">
        <v>17</v>
      </c>
      <c r="S1" s="98">
        <v>18</v>
      </c>
      <c r="T1" s="98">
        <v>19</v>
      </c>
      <c r="U1" s="98">
        <v>20</v>
      </c>
      <c r="V1" s="98">
        <v>21</v>
      </c>
      <c r="W1" s="98">
        <v>22</v>
      </c>
      <c r="X1" s="98">
        <v>23</v>
      </c>
      <c r="Y1" s="98">
        <v>24</v>
      </c>
      <c r="Z1" s="98">
        <v>25</v>
      </c>
      <c r="AA1" s="98">
        <v>26</v>
      </c>
      <c r="AB1" s="98">
        <v>27</v>
      </c>
      <c r="AC1" s="98">
        <v>28</v>
      </c>
      <c r="AD1" s="98">
        <v>29</v>
      </c>
      <c r="AE1" s="98">
        <v>30</v>
      </c>
      <c r="AF1" s="98">
        <v>31</v>
      </c>
      <c r="AG1" s="98">
        <v>32</v>
      </c>
      <c r="AH1" s="98">
        <v>33</v>
      </c>
      <c r="AI1" s="98">
        <v>34</v>
      </c>
      <c r="AJ1" s="98">
        <v>35</v>
      </c>
      <c r="AK1" s="98">
        <v>36</v>
      </c>
      <c r="AL1" s="98">
        <v>37</v>
      </c>
      <c r="AM1" s="98">
        <v>38</v>
      </c>
      <c r="AN1" s="98">
        <v>39</v>
      </c>
      <c r="AO1" s="98">
        <v>40</v>
      </c>
      <c r="AP1" s="98">
        <v>41</v>
      </c>
      <c r="AQ1" s="98">
        <v>42</v>
      </c>
      <c r="AR1" s="98">
        <v>43</v>
      </c>
      <c r="AS1" s="98">
        <v>44</v>
      </c>
      <c r="AT1" s="98">
        <v>45</v>
      </c>
      <c r="AU1" s="98">
        <v>46</v>
      </c>
      <c r="AV1" s="98">
        <v>47</v>
      </c>
      <c r="AW1" s="98">
        <v>48</v>
      </c>
      <c r="AX1" s="98">
        <v>49</v>
      </c>
      <c r="AY1" s="98">
        <v>50</v>
      </c>
      <c r="AZ1" s="98">
        <v>51</v>
      </c>
      <c r="BA1" s="98">
        <v>52</v>
      </c>
      <c r="BB1" s="98">
        <v>53</v>
      </c>
      <c r="BC1" s="98">
        <v>54</v>
      </c>
      <c r="BD1" s="98">
        <v>55</v>
      </c>
      <c r="BE1" s="98">
        <v>56</v>
      </c>
      <c r="BF1" s="98">
        <v>57</v>
      </c>
      <c r="BG1" s="98">
        <v>58</v>
      </c>
      <c r="BH1" s="98">
        <v>59</v>
      </c>
      <c r="BI1" s="98">
        <v>60</v>
      </c>
      <c r="BJ1" s="98">
        <v>61</v>
      </c>
      <c r="BK1" s="98">
        <v>62</v>
      </c>
      <c r="BL1" s="98">
        <v>63</v>
      </c>
      <c r="BM1" s="98">
        <v>64</v>
      </c>
      <c r="BN1" s="98">
        <v>65</v>
      </c>
      <c r="BO1" s="98">
        <v>66</v>
      </c>
      <c r="BP1" s="98">
        <v>67</v>
      </c>
      <c r="BQ1" s="98">
        <v>68</v>
      </c>
      <c r="BR1" s="98">
        <v>69</v>
      </c>
      <c r="BS1" s="98">
        <v>70</v>
      </c>
      <c r="BT1" s="98">
        <v>71</v>
      </c>
      <c r="BU1" s="98">
        <v>72</v>
      </c>
      <c r="BV1" s="98">
        <v>73</v>
      </c>
      <c r="BW1" s="98">
        <v>74</v>
      </c>
      <c r="BX1" s="98">
        <v>75</v>
      </c>
      <c r="BY1" s="98">
        <v>76</v>
      </c>
      <c r="BZ1" s="98">
        <v>77</v>
      </c>
      <c r="CA1" s="98">
        <v>78</v>
      </c>
      <c r="CB1" s="98">
        <v>79</v>
      </c>
      <c r="CC1" s="98">
        <v>80</v>
      </c>
      <c r="CD1" s="98">
        <v>81</v>
      </c>
      <c r="CE1" s="98">
        <v>82</v>
      </c>
      <c r="CF1" s="98">
        <v>83</v>
      </c>
      <c r="CG1" s="98">
        <v>84</v>
      </c>
      <c r="CH1" s="98">
        <v>85</v>
      </c>
      <c r="CI1" s="98">
        <v>86</v>
      </c>
      <c r="CJ1" s="98">
        <v>87</v>
      </c>
      <c r="CK1" s="98">
        <v>88</v>
      </c>
      <c r="CL1" s="98">
        <v>89</v>
      </c>
      <c r="CM1" s="98">
        <v>90</v>
      </c>
      <c r="CN1" s="98">
        <v>91</v>
      </c>
      <c r="CO1" s="98">
        <v>92</v>
      </c>
      <c r="CP1" s="98">
        <v>93</v>
      </c>
      <c r="CQ1" s="98">
        <v>94</v>
      </c>
      <c r="CR1" s="98">
        <v>95</v>
      </c>
      <c r="CS1" s="98">
        <v>96</v>
      </c>
      <c r="CT1" s="98">
        <v>97</v>
      </c>
      <c r="CU1" s="98">
        <v>98</v>
      </c>
      <c r="CV1" s="98">
        <v>99</v>
      </c>
      <c r="CW1" s="98">
        <v>100</v>
      </c>
      <c r="CX1" s="98">
        <v>101</v>
      </c>
      <c r="CY1" s="98">
        <v>102</v>
      </c>
      <c r="CZ1" s="98">
        <v>103</v>
      </c>
      <c r="DA1" s="98">
        <v>104</v>
      </c>
      <c r="DB1" s="98">
        <v>105</v>
      </c>
      <c r="DC1" s="98">
        <v>106</v>
      </c>
      <c r="DD1" s="98">
        <v>107</v>
      </c>
      <c r="DE1" s="98">
        <v>108</v>
      </c>
      <c r="DF1" s="98">
        <v>109</v>
      </c>
      <c r="DG1" s="98">
        <v>110</v>
      </c>
      <c r="DH1" s="98">
        <v>111</v>
      </c>
      <c r="DI1" s="98">
        <v>112</v>
      </c>
      <c r="DJ1" s="98">
        <v>113</v>
      </c>
      <c r="DK1" s="98">
        <v>114</v>
      </c>
      <c r="DL1" s="98">
        <v>115</v>
      </c>
      <c r="DM1" s="98">
        <v>116</v>
      </c>
      <c r="DN1" s="98">
        <v>117</v>
      </c>
      <c r="DO1" s="98">
        <v>118</v>
      </c>
      <c r="DP1" s="98">
        <v>119</v>
      </c>
      <c r="DQ1" s="98">
        <v>120</v>
      </c>
      <c r="DR1" s="98">
        <v>121</v>
      </c>
      <c r="DS1" s="98">
        <v>122</v>
      </c>
      <c r="DT1" s="98">
        <v>123</v>
      </c>
      <c r="DU1" s="98">
        <v>124</v>
      </c>
      <c r="DV1" s="98">
        <v>125</v>
      </c>
      <c r="DW1" s="98">
        <v>126</v>
      </c>
      <c r="DX1" s="98">
        <v>127</v>
      </c>
      <c r="DY1" s="98">
        <v>128</v>
      </c>
      <c r="DZ1" s="98">
        <v>129</v>
      </c>
      <c r="EA1" s="98">
        <v>130</v>
      </c>
      <c r="EB1" s="98">
        <v>131</v>
      </c>
      <c r="EC1" s="98">
        <v>132</v>
      </c>
      <c r="ED1" s="98">
        <v>133</v>
      </c>
      <c r="EE1" s="98">
        <v>134</v>
      </c>
      <c r="EF1" s="98">
        <v>135</v>
      </c>
      <c r="EG1" s="98">
        <v>136</v>
      </c>
      <c r="EH1" s="98">
        <v>137</v>
      </c>
      <c r="EI1" s="98">
        <v>138</v>
      </c>
      <c r="EJ1" s="98">
        <v>139</v>
      </c>
      <c r="EK1" s="98">
        <v>140</v>
      </c>
      <c r="EL1" s="98">
        <v>141</v>
      </c>
      <c r="EM1" s="98">
        <v>142</v>
      </c>
      <c r="EN1" s="98">
        <v>143</v>
      </c>
      <c r="EO1" s="98">
        <v>144</v>
      </c>
      <c r="EP1" s="98">
        <v>145</v>
      </c>
      <c r="EQ1" s="98">
        <v>146</v>
      </c>
      <c r="ER1" s="98">
        <v>147</v>
      </c>
      <c r="ES1" s="98">
        <v>148</v>
      </c>
      <c r="ET1" s="98">
        <v>149</v>
      </c>
      <c r="EU1" s="98">
        <v>150</v>
      </c>
      <c r="EV1" s="98">
        <v>151</v>
      </c>
      <c r="EW1" s="98">
        <v>152</v>
      </c>
      <c r="EX1" s="98">
        <v>153</v>
      </c>
      <c r="EY1" s="98">
        <v>154</v>
      </c>
      <c r="EZ1" s="98">
        <v>155</v>
      </c>
      <c r="FA1" s="98">
        <v>156</v>
      </c>
      <c r="FB1" s="98">
        <v>157</v>
      </c>
      <c r="FC1" s="98">
        <v>158</v>
      </c>
      <c r="FD1" s="98">
        <v>159</v>
      </c>
      <c r="FE1" s="98">
        <v>160</v>
      </c>
      <c r="FF1" s="98">
        <v>161</v>
      </c>
      <c r="FG1" s="98">
        <v>162</v>
      </c>
      <c r="FH1" s="98">
        <v>163</v>
      </c>
      <c r="FI1" s="98">
        <v>164</v>
      </c>
      <c r="FJ1" s="98">
        <v>165</v>
      </c>
      <c r="FK1" s="98">
        <v>166</v>
      </c>
      <c r="FL1" s="98">
        <v>167</v>
      </c>
      <c r="FM1" s="98">
        <v>168</v>
      </c>
      <c r="FN1" s="98">
        <v>169</v>
      </c>
      <c r="FO1" s="98">
        <v>170</v>
      </c>
      <c r="FP1" s="98">
        <v>171</v>
      </c>
      <c r="FQ1" s="98">
        <v>172</v>
      </c>
      <c r="FR1" s="98">
        <v>173</v>
      </c>
      <c r="FS1" s="98">
        <v>174</v>
      </c>
      <c r="FT1" s="98">
        <v>175</v>
      </c>
      <c r="FU1" s="98">
        <v>176</v>
      </c>
      <c r="FV1" s="98">
        <v>177</v>
      </c>
      <c r="FW1" s="98">
        <v>178</v>
      </c>
      <c r="FX1" s="98">
        <v>179</v>
      </c>
      <c r="FY1" s="98">
        <v>180</v>
      </c>
      <c r="FZ1" s="98">
        <v>181</v>
      </c>
      <c r="GA1" s="98">
        <v>182</v>
      </c>
      <c r="GB1" s="98">
        <v>183</v>
      </c>
      <c r="GC1" s="98">
        <v>184</v>
      </c>
      <c r="GD1" s="98">
        <v>185</v>
      </c>
      <c r="GE1" s="98">
        <v>186</v>
      </c>
      <c r="GF1" s="98">
        <v>187</v>
      </c>
      <c r="GG1" s="98">
        <v>188</v>
      </c>
      <c r="GH1" s="98">
        <v>189</v>
      </c>
      <c r="GI1" s="98">
        <v>190</v>
      </c>
      <c r="GJ1" s="98">
        <v>191</v>
      </c>
      <c r="GK1" s="98">
        <v>192</v>
      </c>
      <c r="GL1" s="98">
        <v>193</v>
      </c>
      <c r="GM1" s="98">
        <v>194</v>
      </c>
      <c r="GN1" s="98">
        <v>195</v>
      </c>
      <c r="GO1" s="98">
        <v>196</v>
      </c>
      <c r="GP1" s="98">
        <v>197</v>
      </c>
      <c r="GQ1" s="98">
        <v>198</v>
      </c>
      <c r="GR1" s="98">
        <v>199</v>
      </c>
      <c r="GS1" s="98">
        <v>200</v>
      </c>
      <c r="GT1" s="98">
        <v>201</v>
      </c>
      <c r="GU1" s="98">
        <v>202</v>
      </c>
      <c r="GV1" s="98">
        <v>203</v>
      </c>
    </row>
    <row r="2" spans="2:232" x14ac:dyDescent="0.15">
      <c r="C2" s="131" t="s">
        <v>338</v>
      </c>
      <c r="D2" s="94"/>
      <c r="E2" s="131" t="s">
        <v>339</v>
      </c>
      <c r="F2" s="131" t="s">
        <v>340</v>
      </c>
      <c r="G2" s="94"/>
      <c r="H2" s="131" t="s">
        <v>341</v>
      </c>
      <c r="I2" s="131" t="s">
        <v>342</v>
      </c>
      <c r="J2" s="131" t="s">
        <v>343</v>
      </c>
      <c r="K2" s="131" t="s">
        <v>344</v>
      </c>
      <c r="L2" s="131" t="s">
        <v>345</v>
      </c>
      <c r="M2" s="131" t="s">
        <v>346</v>
      </c>
      <c r="N2" s="131" t="s">
        <v>347</v>
      </c>
      <c r="O2" s="131" t="s">
        <v>348</v>
      </c>
      <c r="P2" s="131" t="s">
        <v>349</v>
      </c>
      <c r="Q2" s="131" t="s">
        <v>350</v>
      </c>
      <c r="R2" s="131" t="s">
        <v>351</v>
      </c>
      <c r="S2" s="93" t="s">
        <v>352</v>
      </c>
      <c r="T2" s="95"/>
      <c r="U2" s="131" t="s">
        <v>354</v>
      </c>
      <c r="V2" s="131" t="s">
        <v>355</v>
      </c>
      <c r="W2" s="131" t="s">
        <v>664</v>
      </c>
      <c r="X2" s="131" t="s">
        <v>357</v>
      </c>
      <c r="Y2" s="131" t="s">
        <v>653</v>
      </c>
      <c r="Z2" s="131" t="s">
        <v>358</v>
      </c>
      <c r="AA2" s="131" t="s">
        <v>359</v>
      </c>
      <c r="AB2" s="131" t="s">
        <v>361</v>
      </c>
      <c r="AC2" s="131" t="s">
        <v>654</v>
      </c>
      <c r="AD2" s="131" t="s">
        <v>665</v>
      </c>
      <c r="AE2" s="131" t="s">
        <v>666</v>
      </c>
      <c r="AF2" s="131" t="s">
        <v>365</v>
      </c>
      <c r="AG2" s="131" t="s">
        <v>366</v>
      </c>
      <c r="AH2" s="131" t="s">
        <v>667</v>
      </c>
      <c r="AI2" s="131" t="s">
        <v>668</v>
      </c>
      <c r="AJ2" s="89"/>
      <c r="AK2" s="131" t="s">
        <v>669</v>
      </c>
      <c r="AL2" s="131" t="s">
        <v>369</v>
      </c>
      <c r="AM2" s="131" t="s">
        <v>371</v>
      </c>
      <c r="AN2" s="29"/>
      <c r="AO2" s="131" t="s">
        <v>670</v>
      </c>
      <c r="AP2" s="131" t="s">
        <v>671</v>
      </c>
      <c r="AQ2" s="96" t="s">
        <v>352</v>
      </c>
      <c r="AR2" s="131" t="s">
        <v>373</v>
      </c>
      <c r="AS2" s="131" t="s">
        <v>672</v>
      </c>
      <c r="AT2" s="131" t="s">
        <v>673</v>
      </c>
      <c r="AU2" s="148" t="s">
        <v>674</v>
      </c>
      <c r="AV2" s="131" t="s">
        <v>376</v>
      </c>
      <c r="AW2" s="131" t="s">
        <v>377</v>
      </c>
      <c r="AX2" s="131" t="s">
        <v>378</v>
      </c>
      <c r="AY2" s="131" t="s">
        <v>379</v>
      </c>
      <c r="AZ2" s="131" t="s">
        <v>380</v>
      </c>
      <c r="BA2" s="131" t="s">
        <v>381</v>
      </c>
      <c r="BB2" s="131" t="s">
        <v>382</v>
      </c>
      <c r="BC2" s="131" t="s">
        <v>383</v>
      </c>
      <c r="BD2" s="131" t="s">
        <v>384</v>
      </c>
      <c r="BE2" s="131" t="s">
        <v>385</v>
      </c>
      <c r="BF2" s="131" t="s">
        <v>386</v>
      </c>
      <c r="BG2" s="131" t="s">
        <v>387</v>
      </c>
      <c r="BH2" s="131" t="s">
        <v>388</v>
      </c>
      <c r="BI2" s="131" t="s">
        <v>389</v>
      </c>
      <c r="BJ2" s="131" t="s">
        <v>390</v>
      </c>
      <c r="BK2" s="131" t="s">
        <v>391</v>
      </c>
      <c r="BL2" s="131" t="s">
        <v>392</v>
      </c>
      <c r="BM2" s="131" t="s">
        <v>393</v>
      </c>
      <c r="BN2" s="131" t="s">
        <v>394</v>
      </c>
      <c r="BO2" s="131" t="s">
        <v>395</v>
      </c>
      <c r="BP2" s="131" t="s">
        <v>396</v>
      </c>
      <c r="BQ2" s="132"/>
      <c r="BR2" s="132"/>
      <c r="BS2" s="150" t="s">
        <v>655</v>
      </c>
      <c r="BT2" s="150" t="s">
        <v>398</v>
      </c>
      <c r="BU2" s="150" t="s">
        <v>657</v>
      </c>
      <c r="BV2" s="150" t="s">
        <v>658</v>
      </c>
      <c r="BW2" s="131" t="s">
        <v>401</v>
      </c>
      <c r="BX2" s="89"/>
      <c r="BY2" s="131" t="s">
        <v>402</v>
      </c>
      <c r="BZ2" s="131" t="s">
        <v>403</v>
      </c>
      <c r="CA2" s="131" t="s">
        <v>659</v>
      </c>
      <c r="CB2" s="131" t="s">
        <v>405</v>
      </c>
      <c r="CC2" s="131" t="s">
        <v>406</v>
      </c>
      <c r="CD2" s="131" t="s">
        <v>407</v>
      </c>
      <c r="CE2" s="131" t="s">
        <v>408</v>
      </c>
      <c r="CF2" s="131" t="s">
        <v>409</v>
      </c>
      <c r="CG2" s="131" t="s">
        <v>410</v>
      </c>
      <c r="CH2" s="131" t="s">
        <v>411</v>
      </c>
      <c r="CI2" s="131" t="s">
        <v>412</v>
      </c>
      <c r="CJ2" s="131" t="s">
        <v>413</v>
      </c>
      <c r="CK2" s="131" t="s">
        <v>414</v>
      </c>
      <c r="CL2" s="81"/>
      <c r="CM2" s="131" t="s">
        <v>415</v>
      </c>
      <c r="CN2" s="131" t="s">
        <v>416</v>
      </c>
      <c r="CO2" s="96" t="s">
        <v>417</v>
      </c>
      <c r="CP2" s="131" t="s">
        <v>418</v>
      </c>
      <c r="CQ2" s="131" t="s">
        <v>419</v>
      </c>
      <c r="CR2" s="131" t="s">
        <v>420</v>
      </c>
      <c r="CS2" s="131" t="s">
        <v>421</v>
      </c>
      <c r="CT2" s="131" t="s">
        <v>422</v>
      </c>
      <c r="CU2" s="131" t="s">
        <v>423</v>
      </c>
      <c r="CV2" s="28"/>
      <c r="CW2" s="131" t="s">
        <v>424</v>
      </c>
      <c r="CX2" s="131" t="s">
        <v>425</v>
      </c>
      <c r="CY2" s="89"/>
      <c r="CZ2" s="131" t="s">
        <v>426</v>
      </c>
      <c r="DA2" s="131" t="s">
        <v>427</v>
      </c>
      <c r="DB2" s="89"/>
      <c r="DC2" s="131" t="s">
        <v>428</v>
      </c>
      <c r="DD2" s="131" t="s">
        <v>429</v>
      </c>
      <c r="DE2" s="131" t="s">
        <v>430</v>
      </c>
      <c r="DF2" s="131" t="s">
        <v>431</v>
      </c>
      <c r="DG2" s="131" t="s">
        <v>432</v>
      </c>
      <c r="DH2" s="131" t="s">
        <v>433</v>
      </c>
      <c r="DI2" s="131" t="s">
        <v>434</v>
      </c>
      <c r="DJ2" s="131" t="s">
        <v>435</v>
      </c>
      <c r="DK2" s="131" t="s">
        <v>436</v>
      </c>
      <c r="DL2" s="131" t="s">
        <v>437</v>
      </c>
      <c r="DM2" s="131" t="s">
        <v>438</v>
      </c>
      <c r="DN2" s="131" t="s">
        <v>439</v>
      </c>
      <c r="DO2" s="131" t="s">
        <v>440</v>
      </c>
      <c r="DP2" s="131" t="s">
        <v>441</v>
      </c>
      <c r="DQ2" s="131" t="s">
        <v>442</v>
      </c>
      <c r="DR2" s="131" t="s">
        <v>443</v>
      </c>
      <c r="DS2" s="131" t="s">
        <v>444</v>
      </c>
      <c r="DT2" s="131" t="s">
        <v>445</v>
      </c>
      <c r="DU2" s="131" t="s">
        <v>446</v>
      </c>
      <c r="DV2" s="131" t="s">
        <v>447</v>
      </c>
      <c r="DW2" s="131" t="s">
        <v>448</v>
      </c>
      <c r="DX2" s="89"/>
      <c r="DY2" s="131" t="s">
        <v>449</v>
      </c>
      <c r="DZ2" s="133" t="s">
        <v>450</v>
      </c>
      <c r="EA2" s="131" t="s">
        <v>451</v>
      </c>
      <c r="EB2" s="131" t="s">
        <v>452</v>
      </c>
      <c r="EC2" s="96" t="s">
        <v>453</v>
      </c>
      <c r="ED2" s="131" t="s">
        <v>454</v>
      </c>
      <c r="EE2" s="131" t="s">
        <v>455</v>
      </c>
      <c r="EF2" s="131" t="s">
        <v>456</v>
      </c>
      <c r="EG2" s="89"/>
      <c r="EH2" s="131" t="s">
        <v>457</v>
      </c>
      <c r="EI2" s="131" t="s">
        <v>458</v>
      </c>
      <c r="EJ2" s="131" t="s">
        <v>459</v>
      </c>
      <c r="EK2" s="131" t="s">
        <v>460</v>
      </c>
      <c r="EL2" s="131" t="s">
        <v>461</v>
      </c>
      <c r="EM2" s="89"/>
      <c r="EN2" s="133" t="s">
        <v>462</v>
      </c>
      <c r="EO2" s="146" t="s">
        <v>463</v>
      </c>
      <c r="EP2" s="131" t="s">
        <v>464</v>
      </c>
      <c r="EQ2" s="131" t="s">
        <v>465</v>
      </c>
      <c r="ER2" s="89"/>
      <c r="ES2" s="131" t="s">
        <v>466</v>
      </c>
      <c r="ET2" s="131" t="s">
        <v>467</v>
      </c>
      <c r="EU2" s="131" t="s">
        <v>468</v>
      </c>
      <c r="EV2" s="131" t="s">
        <v>469</v>
      </c>
      <c r="EW2" s="131" t="s">
        <v>470</v>
      </c>
      <c r="EX2" s="131" t="s">
        <v>471</v>
      </c>
      <c r="EY2" s="28"/>
      <c r="EZ2" s="131" t="s">
        <v>472</v>
      </c>
      <c r="FA2" s="131" t="s">
        <v>473</v>
      </c>
      <c r="FB2" s="131" t="s">
        <v>474</v>
      </c>
      <c r="FC2" s="131" t="s">
        <v>475</v>
      </c>
      <c r="FD2" s="131" t="s">
        <v>476</v>
      </c>
      <c r="FE2" s="131" t="s">
        <v>477</v>
      </c>
      <c r="FF2" s="131" t="s">
        <v>478</v>
      </c>
      <c r="FG2" s="131" t="s">
        <v>479</v>
      </c>
      <c r="FH2" s="131" t="s">
        <v>480</v>
      </c>
      <c r="FI2" s="89"/>
      <c r="FJ2" s="131" t="s">
        <v>481</v>
      </c>
      <c r="FK2" s="89"/>
      <c r="FL2" s="134" t="s">
        <v>482</v>
      </c>
      <c r="FM2" s="135" t="s">
        <v>483</v>
      </c>
      <c r="FN2" s="135" t="s">
        <v>484</v>
      </c>
      <c r="FO2" s="135" t="s">
        <v>485</v>
      </c>
      <c r="FP2" s="147" t="s">
        <v>486</v>
      </c>
      <c r="FQ2" s="562" t="s">
        <v>487</v>
      </c>
      <c r="FR2" s="561"/>
      <c r="FS2" s="561"/>
      <c r="FT2" s="561"/>
      <c r="FU2" s="561"/>
      <c r="FV2" s="561"/>
      <c r="FW2" s="561"/>
      <c r="FX2" s="135" t="s">
        <v>488</v>
      </c>
      <c r="FY2" s="150" t="s">
        <v>675</v>
      </c>
      <c r="FZ2" s="89"/>
      <c r="GA2" s="131" t="s">
        <v>490</v>
      </c>
      <c r="GB2" s="131" t="s">
        <v>491</v>
      </c>
      <c r="GC2" s="131" t="s">
        <v>492</v>
      </c>
      <c r="GD2" s="131" t="s">
        <v>493</v>
      </c>
      <c r="GE2" s="96" t="s">
        <v>494</v>
      </c>
      <c r="GF2" s="171" t="s">
        <v>495</v>
      </c>
      <c r="GG2" s="89"/>
      <c r="GH2" s="560" t="s">
        <v>496</v>
      </c>
      <c r="GI2" s="561"/>
      <c r="GJ2" s="561"/>
      <c r="GK2" s="134" t="s">
        <v>497</v>
      </c>
      <c r="GL2" s="560" t="s">
        <v>498</v>
      </c>
      <c r="GM2" s="561"/>
      <c r="GN2" s="561"/>
      <c r="GO2" s="561"/>
      <c r="GP2" s="561"/>
      <c r="GQ2" s="561"/>
      <c r="GR2" s="561"/>
      <c r="GS2" s="561"/>
      <c r="GT2" s="561"/>
      <c r="GU2" s="561"/>
      <c r="GV2" s="561"/>
    </row>
    <row r="3" spans="2:232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92"/>
      <c r="AC3" s="92"/>
      <c r="AD3" s="92" t="s">
        <v>499</v>
      </c>
      <c r="AE3" s="30" t="s">
        <v>160</v>
      </c>
      <c r="AF3" s="30"/>
      <c r="AG3" s="30"/>
      <c r="AH3" s="30" t="s">
        <v>500</v>
      </c>
      <c r="AI3" s="30" t="s">
        <v>164</v>
      </c>
      <c r="AJ3" s="30" t="s">
        <v>165</v>
      </c>
      <c r="AK3" s="30"/>
      <c r="AL3" s="30"/>
      <c r="AM3" s="30" t="s">
        <v>166</v>
      </c>
      <c r="AN3" s="30"/>
      <c r="AO3" s="30"/>
      <c r="AP3" s="30"/>
      <c r="AQ3" s="30"/>
      <c r="AR3" s="30"/>
      <c r="AS3" s="30"/>
      <c r="AT3" s="30"/>
      <c r="AU3" s="149" t="s">
        <v>501</v>
      </c>
      <c r="AV3" s="30" t="s">
        <v>172</v>
      </c>
      <c r="AW3" s="30"/>
      <c r="AX3" s="30"/>
      <c r="AY3" s="30"/>
      <c r="AZ3" s="30"/>
      <c r="BA3" s="30"/>
      <c r="BB3" s="30" t="s">
        <v>176</v>
      </c>
      <c r="BC3" s="30"/>
      <c r="BD3" s="30" t="s">
        <v>502</v>
      </c>
      <c r="BE3" s="30" t="s">
        <v>503</v>
      </c>
      <c r="BF3" s="30"/>
      <c r="BG3" s="30"/>
      <c r="BH3" s="30"/>
      <c r="BI3" s="30"/>
      <c r="BJ3" s="30" t="s">
        <v>504</v>
      </c>
      <c r="BK3" s="30"/>
      <c r="BL3" s="30" t="s">
        <v>505</v>
      </c>
      <c r="BM3" s="30"/>
      <c r="BN3" s="30"/>
      <c r="BO3" s="30"/>
      <c r="BP3" s="30" t="s">
        <v>307</v>
      </c>
      <c r="BQ3" s="30"/>
      <c r="BR3" s="30"/>
      <c r="BS3" s="79"/>
      <c r="BT3" s="79"/>
      <c r="BU3" s="79"/>
      <c r="BV3" s="79"/>
      <c r="BW3" s="30" t="s">
        <v>506</v>
      </c>
      <c r="BX3" s="89"/>
      <c r="BY3" s="30" t="s">
        <v>507</v>
      </c>
      <c r="BZ3" s="30"/>
      <c r="CA3" s="30"/>
      <c r="CB3" s="30"/>
      <c r="CC3" s="30" t="s">
        <v>508</v>
      </c>
      <c r="CD3" s="30"/>
      <c r="CE3" s="30"/>
      <c r="CF3" s="30"/>
      <c r="CG3" s="30"/>
      <c r="CH3" s="30"/>
      <c r="CI3" s="30"/>
      <c r="CJ3" s="30" t="s">
        <v>509</v>
      </c>
      <c r="CK3" s="30"/>
      <c r="CL3" s="82"/>
      <c r="CM3" s="30" t="s">
        <v>510</v>
      </c>
      <c r="CN3" s="30"/>
      <c r="CO3" s="30"/>
      <c r="CP3" s="30"/>
      <c r="CQ3" s="30" t="s">
        <v>214</v>
      </c>
      <c r="CR3" s="30" t="s">
        <v>215</v>
      </c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 t="s">
        <v>222</v>
      </c>
      <c r="DF3" s="30"/>
      <c r="DG3" s="30"/>
      <c r="DH3" s="30"/>
      <c r="DI3" s="30"/>
      <c r="DJ3" s="30" t="s">
        <v>227</v>
      </c>
      <c r="DK3" s="30" t="s">
        <v>311</v>
      </c>
      <c r="DL3" s="30"/>
      <c r="DM3" s="30"/>
      <c r="DN3" s="30"/>
      <c r="DO3" s="30" t="s">
        <v>232</v>
      </c>
      <c r="DP3" s="30"/>
      <c r="DQ3" s="30"/>
      <c r="DR3" s="30"/>
      <c r="DS3" s="30" t="s">
        <v>511</v>
      </c>
      <c r="DT3" s="30"/>
      <c r="DU3" s="30"/>
      <c r="DV3" s="30" t="s">
        <v>512</v>
      </c>
      <c r="DW3" s="30"/>
      <c r="DX3" s="30"/>
      <c r="DY3" s="30"/>
      <c r="DZ3" s="30"/>
      <c r="EA3" s="30"/>
      <c r="EB3" s="30"/>
      <c r="EC3" s="30"/>
      <c r="ED3" s="30"/>
      <c r="EE3" s="30" t="s">
        <v>513</v>
      </c>
      <c r="EF3" s="30" t="s">
        <v>514</v>
      </c>
      <c r="EG3" s="89"/>
      <c r="EH3" s="30" t="s">
        <v>515</v>
      </c>
      <c r="EI3" s="30" t="s">
        <v>516</v>
      </c>
      <c r="EJ3" s="30" t="s">
        <v>517</v>
      </c>
      <c r="EK3" s="30" t="s">
        <v>518</v>
      </c>
      <c r="EL3" s="30" t="s">
        <v>250</v>
      </c>
      <c r="EM3" s="89"/>
      <c r="EN3" s="30" t="s">
        <v>259</v>
      </c>
      <c r="EO3" s="30" t="s">
        <v>519</v>
      </c>
      <c r="EP3" s="30" t="s">
        <v>503</v>
      </c>
      <c r="EQ3" s="30" t="s">
        <v>176</v>
      </c>
      <c r="ER3" s="30" t="s">
        <v>520</v>
      </c>
      <c r="ES3" s="30" t="s">
        <v>506</v>
      </c>
      <c r="ET3" s="30" t="s">
        <v>521</v>
      </c>
      <c r="EU3" s="30" t="s">
        <v>507</v>
      </c>
      <c r="EV3" s="30" t="s">
        <v>522</v>
      </c>
      <c r="EW3" s="30" t="s">
        <v>508</v>
      </c>
      <c r="EX3" s="30" t="s">
        <v>509</v>
      </c>
      <c r="EY3" s="30" t="s">
        <v>279</v>
      </c>
      <c r="EZ3" s="30" t="s">
        <v>304</v>
      </c>
      <c r="FA3" s="30"/>
      <c r="FB3" s="30"/>
      <c r="FC3" s="30" t="s">
        <v>523</v>
      </c>
      <c r="FD3" s="30" t="s">
        <v>524</v>
      </c>
      <c r="FE3" s="30" t="s">
        <v>510</v>
      </c>
      <c r="FF3" s="30" t="s">
        <v>215</v>
      </c>
      <c r="FG3" s="30" t="s">
        <v>525</v>
      </c>
      <c r="FH3" s="30" t="s">
        <v>512</v>
      </c>
      <c r="FI3" s="30" t="s">
        <v>520</v>
      </c>
      <c r="FJ3" s="30" t="s">
        <v>514</v>
      </c>
      <c r="FK3" s="30" t="s">
        <v>517</v>
      </c>
      <c r="FL3" s="30" t="s">
        <v>526</v>
      </c>
      <c r="FM3" s="30" t="s">
        <v>527</v>
      </c>
      <c r="FN3" s="30" t="s">
        <v>290</v>
      </c>
      <c r="FO3" s="30" t="s">
        <v>291</v>
      </c>
      <c r="FP3" s="30" t="s">
        <v>293</v>
      </c>
      <c r="FQ3" s="30" t="s">
        <v>528</v>
      </c>
      <c r="FR3" s="89"/>
      <c r="FS3" s="89"/>
      <c r="FT3" s="89"/>
      <c r="FU3" s="89"/>
      <c r="FV3" s="89"/>
      <c r="FW3" s="89"/>
      <c r="FX3" s="30" t="s">
        <v>529</v>
      </c>
      <c r="FY3" s="79" t="s">
        <v>308</v>
      </c>
      <c r="FZ3" s="30" t="s">
        <v>530</v>
      </c>
      <c r="GA3" s="30" t="s">
        <v>312</v>
      </c>
      <c r="GB3" s="89"/>
      <c r="GC3" s="89"/>
      <c r="GD3" s="89"/>
      <c r="GE3" s="89"/>
      <c r="GF3" s="30" t="s">
        <v>531</v>
      </c>
      <c r="GG3" s="30" t="s">
        <v>530</v>
      </c>
      <c r="GH3" s="30" t="s">
        <v>532</v>
      </c>
      <c r="GI3" s="89"/>
      <c r="GJ3" s="89"/>
      <c r="GK3" s="30" t="s">
        <v>533</v>
      </c>
      <c r="GL3" s="89" t="s">
        <v>534</v>
      </c>
      <c r="GO3" s="89" t="s">
        <v>535</v>
      </c>
      <c r="GR3" s="89" t="s">
        <v>529</v>
      </c>
      <c r="GU3" s="89" t="s">
        <v>536</v>
      </c>
    </row>
    <row r="4" spans="2:232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 t="s">
        <v>548</v>
      </c>
      <c r="AC4" s="92" t="s">
        <v>549</v>
      </c>
      <c r="AD4" s="30"/>
      <c r="AE4" s="30"/>
      <c r="AF4" s="30" t="s">
        <v>161</v>
      </c>
      <c r="AG4" s="30" t="s">
        <v>162</v>
      </c>
      <c r="AH4" s="30" t="s">
        <v>550</v>
      </c>
      <c r="AI4" s="30"/>
      <c r="AJ4" s="30"/>
      <c r="AK4" s="30" t="s">
        <v>551</v>
      </c>
      <c r="AL4" s="30" t="s">
        <v>552</v>
      </c>
      <c r="AM4" s="30"/>
      <c r="AN4" s="30" t="s">
        <v>553</v>
      </c>
      <c r="AO4" s="30"/>
      <c r="AP4" s="30"/>
      <c r="AQ4" s="30"/>
      <c r="AR4" s="30" t="s">
        <v>554</v>
      </c>
      <c r="AS4" s="30" t="s">
        <v>222</v>
      </c>
      <c r="AT4" s="30" t="s">
        <v>227</v>
      </c>
      <c r="AU4" s="149" t="s">
        <v>555</v>
      </c>
      <c r="AV4" s="30"/>
      <c r="AW4" s="31" t="s">
        <v>173</v>
      </c>
      <c r="AX4" s="30"/>
      <c r="AY4" s="30"/>
      <c r="AZ4" s="30" t="s">
        <v>175</v>
      </c>
      <c r="BA4" s="30"/>
      <c r="BB4" s="30"/>
      <c r="BC4" s="30" t="s">
        <v>556</v>
      </c>
      <c r="BD4" s="30"/>
      <c r="BE4" s="30"/>
      <c r="BF4" s="30" t="s">
        <v>557</v>
      </c>
      <c r="BG4" s="30" t="s">
        <v>558</v>
      </c>
      <c r="BH4" s="30" t="s">
        <v>559</v>
      </c>
      <c r="BI4" s="30" t="s">
        <v>560</v>
      </c>
      <c r="BJ4" s="30"/>
      <c r="BK4" s="30" t="s">
        <v>561</v>
      </c>
      <c r="BL4" s="30"/>
      <c r="BM4" s="30" t="s">
        <v>562</v>
      </c>
      <c r="BN4" s="30" t="s">
        <v>563</v>
      </c>
      <c r="BO4" s="30" t="s">
        <v>564</v>
      </c>
      <c r="BP4" s="30"/>
      <c r="BQ4" s="30" t="s">
        <v>191</v>
      </c>
      <c r="BR4" s="30" t="s">
        <v>273</v>
      </c>
      <c r="BS4" s="79"/>
      <c r="BT4" s="79" t="s">
        <v>565</v>
      </c>
      <c r="BU4" s="151"/>
      <c r="BV4" s="79" t="s">
        <v>193</v>
      </c>
      <c r="BW4" s="30"/>
      <c r="BX4" s="89"/>
      <c r="BY4" s="30"/>
      <c r="BZ4" s="30" t="s">
        <v>522</v>
      </c>
      <c r="CA4" s="30" t="s">
        <v>566</v>
      </c>
      <c r="CB4" s="30" t="s">
        <v>567</v>
      </c>
      <c r="CC4" s="30"/>
      <c r="CD4" s="30" t="s">
        <v>568</v>
      </c>
      <c r="CE4" s="30" t="s">
        <v>569</v>
      </c>
      <c r="CF4" s="30" t="s">
        <v>570</v>
      </c>
      <c r="CG4" s="30" t="s">
        <v>571</v>
      </c>
      <c r="CH4" s="30" t="s">
        <v>572</v>
      </c>
      <c r="CI4" s="30" t="s">
        <v>573</v>
      </c>
      <c r="CJ4" s="30"/>
      <c r="CK4" s="30" t="s">
        <v>574</v>
      </c>
      <c r="CL4" s="82" t="s">
        <v>575</v>
      </c>
      <c r="CM4" s="30"/>
      <c r="CN4" s="30" t="s">
        <v>576</v>
      </c>
      <c r="CO4" s="30" t="s">
        <v>577</v>
      </c>
      <c r="CP4" s="30" t="s">
        <v>578</v>
      </c>
      <c r="CQ4" s="30"/>
      <c r="CR4" s="30"/>
      <c r="CS4" s="30" t="s">
        <v>579</v>
      </c>
      <c r="CT4" s="30" t="s">
        <v>580</v>
      </c>
      <c r="CU4" s="30"/>
      <c r="CV4" s="30" t="s">
        <v>581</v>
      </c>
      <c r="CW4" s="30"/>
      <c r="CX4" s="30"/>
      <c r="CY4" s="30"/>
      <c r="CZ4" s="30"/>
      <c r="DA4" s="30"/>
      <c r="DB4" s="30"/>
      <c r="DC4" s="30"/>
      <c r="DD4" s="30"/>
      <c r="DE4" s="30"/>
      <c r="DF4" s="30" t="s">
        <v>582</v>
      </c>
      <c r="DG4" s="30" t="s">
        <v>583</v>
      </c>
      <c r="DH4" s="30" t="s">
        <v>584</v>
      </c>
      <c r="DI4" s="30" t="s">
        <v>585</v>
      </c>
      <c r="DJ4" s="30"/>
      <c r="DK4" s="30"/>
      <c r="DL4" s="30" t="s">
        <v>313</v>
      </c>
      <c r="DM4" s="30" t="s">
        <v>558</v>
      </c>
      <c r="DN4" s="30" t="s">
        <v>315</v>
      </c>
      <c r="DO4" s="30"/>
      <c r="DP4" s="30" t="s">
        <v>586</v>
      </c>
      <c r="DQ4" s="30"/>
      <c r="DR4" s="30"/>
      <c r="DS4" s="30"/>
      <c r="DT4" s="30" t="s">
        <v>586</v>
      </c>
      <c r="DU4" s="30"/>
      <c r="DV4" s="30"/>
      <c r="DW4" s="30" t="s">
        <v>587</v>
      </c>
      <c r="DX4" s="30" t="s">
        <v>588</v>
      </c>
      <c r="DY4" s="30"/>
      <c r="DZ4" s="30" t="s">
        <v>589</v>
      </c>
      <c r="EA4" s="30" t="s">
        <v>590</v>
      </c>
      <c r="EB4" s="30" t="s">
        <v>591</v>
      </c>
      <c r="EC4" s="30" t="s">
        <v>592</v>
      </c>
      <c r="ED4" s="30" t="s">
        <v>593</v>
      </c>
      <c r="EE4" s="30"/>
      <c r="EF4" s="30"/>
      <c r="EG4" s="89"/>
      <c r="EH4" s="89"/>
      <c r="EI4" s="89"/>
      <c r="EJ4" s="89"/>
      <c r="EK4" s="89"/>
      <c r="EL4" s="89"/>
      <c r="EM4" s="89"/>
      <c r="EN4" s="29"/>
      <c r="EO4" s="145" t="s">
        <v>676</v>
      </c>
      <c r="EP4" s="30"/>
      <c r="EQ4" s="30"/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595</v>
      </c>
      <c r="EZ4" s="30" t="s">
        <v>595</v>
      </c>
      <c r="FA4" s="30" t="s">
        <v>223</v>
      </c>
      <c r="FB4" s="30" t="s">
        <v>224</v>
      </c>
      <c r="FC4" s="30"/>
      <c r="FD4" s="30"/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595</v>
      </c>
      <c r="FJ4" s="30" t="s">
        <v>595</v>
      </c>
      <c r="FK4" s="30" t="s">
        <v>596</v>
      </c>
      <c r="FL4" s="30" t="s">
        <v>597</v>
      </c>
      <c r="FM4" s="30" t="s">
        <v>598</v>
      </c>
      <c r="FN4" s="30" t="s">
        <v>599</v>
      </c>
      <c r="FO4" s="30" t="s">
        <v>599</v>
      </c>
      <c r="FP4" s="30" t="s">
        <v>600</v>
      </c>
      <c r="FQ4" s="30" t="s">
        <v>596</v>
      </c>
      <c r="FR4" s="30" t="s">
        <v>507</v>
      </c>
      <c r="FS4" s="30" t="s">
        <v>508</v>
      </c>
      <c r="FT4" s="30" t="s">
        <v>509</v>
      </c>
      <c r="FU4" s="30" t="s">
        <v>510</v>
      </c>
      <c r="FV4" s="30" t="s">
        <v>215</v>
      </c>
      <c r="FW4" s="30" t="s">
        <v>512</v>
      </c>
      <c r="FX4" s="30" t="s">
        <v>596</v>
      </c>
      <c r="FY4" s="89"/>
      <c r="FZ4" s="30" t="s">
        <v>601</v>
      </c>
      <c r="GA4" s="89"/>
      <c r="GB4" s="30" t="s">
        <v>313</v>
      </c>
      <c r="GC4" s="30" t="s">
        <v>558</v>
      </c>
      <c r="GD4" s="30" t="s">
        <v>315</v>
      </c>
      <c r="GE4" s="30" t="s">
        <v>602</v>
      </c>
      <c r="GF4" s="30" t="s">
        <v>603</v>
      </c>
      <c r="GG4" s="30" t="s">
        <v>601</v>
      </c>
      <c r="GH4" s="30" t="s">
        <v>604</v>
      </c>
      <c r="GI4" s="30" t="s">
        <v>605</v>
      </c>
      <c r="GJ4" s="30" t="s">
        <v>606</v>
      </c>
      <c r="GK4" s="79" t="s">
        <v>677</v>
      </c>
      <c r="GL4" s="30" t="s">
        <v>608</v>
      </c>
      <c r="GM4" s="89" t="s">
        <v>609</v>
      </c>
      <c r="GN4" s="89" t="s">
        <v>610</v>
      </c>
      <c r="GO4" s="89" t="s">
        <v>608</v>
      </c>
      <c r="GP4" s="89" t="s">
        <v>609</v>
      </c>
      <c r="GQ4" s="89" t="s">
        <v>610</v>
      </c>
      <c r="GR4" s="89" t="s">
        <v>596</v>
      </c>
      <c r="GS4" s="89" t="s">
        <v>609</v>
      </c>
      <c r="GT4" s="89" t="s">
        <v>610</v>
      </c>
      <c r="GU4" s="89" t="s">
        <v>611</v>
      </c>
      <c r="GV4" s="89" t="s">
        <v>609</v>
      </c>
    </row>
    <row r="5" spans="2:232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 t="s">
        <v>617</v>
      </c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 t="s">
        <v>571</v>
      </c>
      <c r="AP5" s="30" t="s">
        <v>618</v>
      </c>
      <c r="AQ5" s="30" t="s">
        <v>619</v>
      </c>
      <c r="AR5" s="30" t="s">
        <v>620</v>
      </c>
      <c r="AS5" s="30"/>
      <c r="AT5" s="30"/>
      <c r="AU5" s="149" t="s">
        <v>621</v>
      </c>
      <c r="AV5" s="30"/>
      <c r="AW5" s="30"/>
      <c r="AX5" s="30" t="s">
        <v>622</v>
      </c>
      <c r="AY5" s="30" t="s">
        <v>222</v>
      </c>
      <c r="AZ5" s="30"/>
      <c r="BA5" s="30" t="s">
        <v>222</v>
      </c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79" t="s">
        <v>623</v>
      </c>
      <c r="BT5" s="152" t="s">
        <v>624</v>
      </c>
      <c r="BU5" s="79" t="s">
        <v>625</v>
      </c>
      <c r="BV5" s="79"/>
      <c r="BW5" s="30"/>
      <c r="BX5" s="89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82"/>
      <c r="CM5" s="30"/>
      <c r="CN5" s="30"/>
      <c r="CO5" s="30"/>
      <c r="CP5" s="30"/>
      <c r="CQ5" s="30"/>
      <c r="CR5" s="30"/>
      <c r="CS5" s="30"/>
      <c r="CT5" s="30"/>
      <c r="CU5" s="30" t="s">
        <v>626</v>
      </c>
      <c r="CV5" s="30"/>
      <c r="CW5" s="30" t="s">
        <v>627</v>
      </c>
      <c r="CX5" s="30" t="s">
        <v>628</v>
      </c>
      <c r="CY5" s="30" t="s">
        <v>629</v>
      </c>
      <c r="CZ5" s="30" t="s">
        <v>630</v>
      </c>
      <c r="DA5" s="30" t="s">
        <v>631</v>
      </c>
      <c r="DB5" s="30" t="s">
        <v>587</v>
      </c>
      <c r="DC5" s="30" t="s">
        <v>632</v>
      </c>
      <c r="DD5" s="30" t="s">
        <v>633</v>
      </c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 t="s">
        <v>634</v>
      </c>
      <c r="DR5" s="30" t="s">
        <v>629</v>
      </c>
      <c r="DS5" s="30"/>
      <c r="DT5" s="30"/>
      <c r="DU5" s="30" t="s">
        <v>629</v>
      </c>
      <c r="DV5" s="30"/>
      <c r="DW5" s="30"/>
      <c r="DX5" s="30"/>
      <c r="DY5" s="30" t="s">
        <v>635</v>
      </c>
      <c r="DZ5" s="48"/>
      <c r="EA5" s="30"/>
      <c r="EB5" s="30"/>
      <c r="EC5" s="30" t="s">
        <v>636</v>
      </c>
      <c r="ED5" s="30"/>
      <c r="EE5" s="30"/>
      <c r="EF5" s="30"/>
      <c r="EG5" s="89"/>
      <c r="EH5" s="89"/>
      <c r="EI5" s="89"/>
      <c r="EJ5" s="89"/>
      <c r="EK5" s="89"/>
      <c r="EL5" s="89"/>
      <c r="EM5" s="89"/>
      <c r="EN5" s="89"/>
      <c r="EO5" s="89" t="s">
        <v>637</v>
      </c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30" t="s">
        <v>595</v>
      </c>
      <c r="FB5" s="30" t="s">
        <v>595</v>
      </c>
      <c r="FC5" s="89"/>
      <c r="FD5" s="89"/>
      <c r="FE5" s="89"/>
      <c r="FF5" s="89"/>
      <c r="FG5" s="89"/>
      <c r="FH5" s="89"/>
      <c r="FI5" s="89"/>
      <c r="FJ5" s="89"/>
      <c r="FK5" s="89" t="s">
        <v>638</v>
      </c>
      <c r="FL5" s="89"/>
      <c r="FM5" s="30" t="s">
        <v>639</v>
      </c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30" t="s">
        <v>600</v>
      </c>
      <c r="FY5" s="89"/>
      <c r="FZ5" s="89" t="s">
        <v>638</v>
      </c>
      <c r="GA5" s="89"/>
      <c r="GB5" s="89"/>
      <c r="GC5" s="89"/>
      <c r="GD5" s="89"/>
      <c r="GE5" s="30" t="s">
        <v>640</v>
      </c>
      <c r="GF5" s="89"/>
      <c r="GG5" s="89" t="s">
        <v>641</v>
      </c>
      <c r="GH5" s="70"/>
      <c r="GI5" s="89"/>
      <c r="GJ5" s="89"/>
      <c r="GK5" s="89" t="s">
        <v>642</v>
      </c>
      <c r="GL5" s="89"/>
      <c r="GM5" s="43" t="s">
        <v>643</v>
      </c>
      <c r="GN5" s="30" t="s">
        <v>644</v>
      </c>
      <c r="GO5" s="89"/>
      <c r="GP5" s="43" t="s">
        <v>643</v>
      </c>
      <c r="GQ5" s="30" t="s">
        <v>644</v>
      </c>
      <c r="GR5" s="89"/>
      <c r="GS5" s="43" t="s">
        <v>643</v>
      </c>
      <c r="GT5" s="30" t="s">
        <v>644</v>
      </c>
      <c r="GV5" s="30" t="s">
        <v>643</v>
      </c>
      <c r="GX5" s="89" t="s">
        <v>645</v>
      </c>
    </row>
    <row r="6" spans="2:232" s="89" customFormat="1" x14ac:dyDescent="0.15">
      <c r="B6" s="106" t="s">
        <v>1</v>
      </c>
      <c r="C6" s="141">
        <v>785945580</v>
      </c>
      <c r="D6" s="73">
        <f t="shared" ref="D6:D52" si="0">E6+F6</f>
        <v>233434028</v>
      </c>
      <c r="E6" s="141">
        <v>4743122</v>
      </c>
      <c r="F6" s="141">
        <v>228690906</v>
      </c>
      <c r="G6" s="73">
        <f t="shared" ref="G6:G52" si="1">H6+I6</f>
        <v>115496949</v>
      </c>
      <c r="H6" s="141">
        <v>20075444</v>
      </c>
      <c r="I6" s="141">
        <v>95421505</v>
      </c>
      <c r="J6" s="141">
        <v>312976974</v>
      </c>
      <c r="K6" s="141">
        <v>120845351</v>
      </c>
      <c r="L6" s="141">
        <v>150241676</v>
      </c>
      <c r="M6" s="141">
        <v>41637192</v>
      </c>
      <c r="N6" s="141">
        <v>29848801</v>
      </c>
      <c r="O6" s="141">
        <v>63115792</v>
      </c>
      <c r="P6" s="141">
        <v>30172876</v>
      </c>
      <c r="Q6" s="141">
        <v>32942916</v>
      </c>
      <c r="R6" s="141">
        <v>6160073</v>
      </c>
      <c r="S6" s="74"/>
      <c r="T6" s="73">
        <f t="shared" ref="T6:T38" si="2">SUM(U6:AC6)</f>
        <v>102741232</v>
      </c>
      <c r="U6" s="141">
        <v>403654</v>
      </c>
      <c r="V6" s="141">
        <v>3379074</v>
      </c>
      <c r="W6" s="141">
        <v>2425703</v>
      </c>
      <c r="X6" s="141">
        <v>76769987</v>
      </c>
      <c r="Y6" s="141">
        <v>0</v>
      </c>
      <c r="Z6" s="141">
        <v>0</v>
      </c>
      <c r="AA6" s="141">
        <v>42222</v>
      </c>
      <c r="AB6" s="141">
        <v>1790656</v>
      </c>
      <c r="AC6" s="141">
        <v>17929936</v>
      </c>
      <c r="AD6" s="141">
        <v>3204786</v>
      </c>
      <c r="AE6" s="141">
        <v>46570034</v>
      </c>
      <c r="AF6" s="141">
        <v>45232871</v>
      </c>
      <c r="AG6" s="141">
        <v>1337102</v>
      </c>
      <c r="AH6" s="141">
        <v>723125</v>
      </c>
      <c r="AI6" s="141">
        <v>5335137</v>
      </c>
      <c r="AJ6" s="73">
        <f t="shared" ref="AJ6:AJ38" si="3">AK6+AL6</f>
        <v>67253984</v>
      </c>
      <c r="AK6" s="141">
        <v>59568803</v>
      </c>
      <c r="AL6" s="141">
        <v>7685181</v>
      </c>
      <c r="AM6" s="141">
        <v>553189267</v>
      </c>
      <c r="AN6" s="73">
        <f t="shared" ref="AN6:AN38" si="4">SUM(AO6:AR6)</f>
        <v>316337342</v>
      </c>
      <c r="AO6" s="141">
        <v>193037528</v>
      </c>
      <c r="AP6" s="141">
        <v>60073698</v>
      </c>
      <c r="AQ6" s="74"/>
      <c r="AR6" s="141">
        <v>63226116</v>
      </c>
      <c r="AS6" s="141">
        <v>24839067</v>
      </c>
      <c r="AT6" s="141">
        <v>0</v>
      </c>
      <c r="AU6" s="141">
        <v>0</v>
      </c>
      <c r="AV6" s="141">
        <v>106205701</v>
      </c>
      <c r="AW6" s="141">
        <v>77923375</v>
      </c>
      <c r="AX6" s="141">
        <v>0</v>
      </c>
      <c r="AY6" s="141">
        <v>941798</v>
      </c>
      <c r="AZ6" s="141">
        <v>28282326</v>
      </c>
      <c r="BA6" s="141">
        <v>382887</v>
      </c>
      <c r="BB6" s="141">
        <v>33648949</v>
      </c>
      <c r="BC6" s="141">
        <v>16989546</v>
      </c>
      <c r="BD6" s="141">
        <v>872761</v>
      </c>
      <c r="BE6" s="141">
        <v>3408200</v>
      </c>
      <c r="BF6" s="141">
        <v>604</v>
      </c>
      <c r="BG6" s="141">
        <v>0</v>
      </c>
      <c r="BH6" s="141">
        <v>1466159</v>
      </c>
      <c r="BI6" s="141">
        <v>0</v>
      </c>
      <c r="BJ6" s="141">
        <v>41525326</v>
      </c>
      <c r="BK6" s="141">
        <v>30796464</v>
      </c>
      <c r="BL6" s="141">
        <v>65891267</v>
      </c>
      <c r="BM6" s="141">
        <v>7277075</v>
      </c>
      <c r="BN6" s="141">
        <v>227448</v>
      </c>
      <c r="BO6" s="141">
        <v>10059185</v>
      </c>
      <c r="BP6" s="141">
        <v>104174000</v>
      </c>
      <c r="BQ6" s="73">
        <f t="shared" ref="BQ6:BQ52" si="5">BP6-BR6-BV6</f>
        <v>88151000</v>
      </c>
      <c r="BR6" s="73">
        <f t="shared" ref="BR6:BR52" si="6">BS6+BT6+BU6</f>
        <v>16023000</v>
      </c>
      <c r="BS6" s="141">
        <v>0</v>
      </c>
      <c r="BT6" s="140">
        <v>0</v>
      </c>
      <c r="BU6" s="141">
        <v>16023000</v>
      </c>
      <c r="BV6" s="141">
        <v>0</v>
      </c>
      <c r="BW6" s="141">
        <v>1938280969</v>
      </c>
      <c r="BX6" s="71"/>
      <c r="BY6" s="141">
        <v>305257702</v>
      </c>
      <c r="BZ6" s="141">
        <v>220956132</v>
      </c>
      <c r="CA6" s="141">
        <v>19579862</v>
      </c>
      <c r="CB6" s="141">
        <v>16277306</v>
      </c>
      <c r="CC6" s="141">
        <v>655387107</v>
      </c>
      <c r="CD6" s="141">
        <v>177887756</v>
      </c>
      <c r="CE6" s="141">
        <v>2608238</v>
      </c>
      <c r="CF6" s="141">
        <v>176719898</v>
      </c>
      <c r="CG6" s="141">
        <v>259031267</v>
      </c>
      <c r="CH6" s="141">
        <v>24549271</v>
      </c>
      <c r="CI6" s="141">
        <v>14590677</v>
      </c>
      <c r="CJ6" s="141">
        <v>193699836</v>
      </c>
      <c r="CK6" s="141">
        <v>178632369</v>
      </c>
      <c r="CL6" s="83">
        <f t="shared" ref="CL6:CL38" si="7">IF(CK6="","",CJ6-CK6)</f>
        <v>15067467</v>
      </c>
      <c r="CM6" s="141">
        <v>174859055</v>
      </c>
      <c r="CN6" s="141">
        <v>128252550</v>
      </c>
      <c r="CO6" s="102"/>
      <c r="CP6" s="141">
        <v>25606754</v>
      </c>
      <c r="CQ6" s="141">
        <v>20581428</v>
      </c>
      <c r="CR6" s="141">
        <v>154094498</v>
      </c>
      <c r="CS6" s="141">
        <v>8787801</v>
      </c>
      <c r="CT6" s="141">
        <v>73136735</v>
      </c>
      <c r="CU6" s="141">
        <v>59134395</v>
      </c>
      <c r="CV6" s="73">
        <f t="shared" ref="CV6:CV52" si="8">CW6+CX6</f>
        <v>28434574</v>
      </c>
      <c r="CW6" s="141">
        <v>308010</v>
      </c>
      <c r="CX6" s="141">
        <v>28126564</v>
      </c>
      <c r="CY6" s="73">
        <f t="shared" ref="CY6:CY52" si="9">CZ6+DA6</f>
        <v>0</v>
      </c>
      <c r="CZ6" s="141">
        <v>0</v>
      </c>
      <c r="DA6" s="141">
        <v>0</v>
      </c>
      <c r="DB6" s="73">
        <f t="shared" ref="DB6:DB52" si="10">DC6+DD6</f>
        <v>23688789</v>
      </c>
      <c r="DC6" s="141">
        <v>0</v>
      </c>
      <c r="DD6" s="141">
        <v>23688789</v>
      </c>
      <c r="DE6" s="141">
        <v>213480560</v>
      </c>
      <c r="DF6" s="141">
        <v>113961669</v>
      </c>
      <c r="DG6" s="141">
        <v>96218786</v>
      </c>
      <c r="DH6" s="141">
        <v>0</v>
      </c>
      <c r="DI6" s="141">
        <v>216219</v>
      </c>
      <c r="DJ6" s="141">
        <v>50842</v>
      </c>
      <c r="DK6" s="141">
        <v>33777551</v>
      </c>
      <c r="DL6" s="141">
        <v>32179547</v>
      </c>
      <c r="DM6" s="141">
        <v>0</v>
      </c>
      <c r="DN6" s="141">
        <v>1598004</v>
      </c>
      <c r="DO6" s="141">
        <v>1147324</v>
      </c>
      <c r="DP6" s="141">
        <v>900174</v>
      </c>
      <c r="DQ6" s="141">
        <v>0</v>
      </c>
      <c r="DR6" s="141">
        <v>0</v>
      </c>
      <c r="DS6" s="141">
        <v>3932281</v>
      </c>
      <c r="DT6" s="141">
        <v>0</v>
      </c>
      <c r="DU6" s="141">
        <v>0</v>
      </c>
      <c r="DV6" s="141">
        <v>150514738</v>
      </c>
      <c r="DW6" s="141">
        <v>0</v>
      </c>
      <c r="DX6" s="73">
        <f t="shared" ref="DX6:DX52" si="11">DY6</f>
        <v>28046612</v>
      </c>
      <c r="DY6" s="141">
        <v>28046612</v>
      </c>
      <c r="DZ6" s="141">
        <v>38351487</v>
      </c>
      <c r="EA6" s="141">
        <v>0</v>
      </c>
      <c r="EB6" s="141">
        <v>33434915</v>
      </c>
      <c r="EC6" s="74">
        <v>0</v>
      </c>
      <c r="ED6" s="141">
        <v>49087892</v>
      </c>
      <c r="EE6" s="141">
        <v>0</v>
      </c>
      <c r="EF6" s="141">
        <v>1906782922</v>
      </c>
      <c r="EG6" s="71"/>
      <c r="EH6" s="141">
        <v>31498047</v>
      </c>
      <c r="EI6" s="141">
        <v>5725087</v>
      </c>
      <c r="EJ6" s="141">
        <v>25772960</v>
      </c>
      <c r="EK6" s="141">
        <v>-5023504</v>
      </c>
      <c r="EL6" s="141">
        <v>27155439</v>
      </c>
      <c r="EM6" s="71"/>
      <c r="EN6" s="141">
        <v>2752412</v>
      </c>
      <c r="EO6" s="141">
        <v>2741587</v>
      </c>
      <c r="EP6" s="141">
        <v>604</v>
      </c>
      <c r="EQ6" s="141">
        <v>22140220</v>
      </c>
      <c r="ER6" s="73">
        <f t="shared" ref="ER6:ER52" si="12">ES6-ET6-C6-R6-T6-AD6-AE6-BR6-EP6-EQ6</f>
        <v>105314941</v>
      </c>
      <c r="ES6" s="141">
        <v>956776377</v>
      </c>
      <c r="ET6" s="141">
        <v>-131324093</v>
      </c>
      <c r="EU6" s="141">
        <v>254552001</v>
      </c>
      <c r="EV6" s="141">
        <v>184263969</v>
      </c>
      <c r="EW6" s="141">
        <v>176598190</v>
      </c>
      <c r="EX6" s="141">
        <v>168727454</v>
      </c>
      <c r="EY6" s="73">
        <f t="shared" ref="EY6:EY52" si="13">EZ6+FC6+FD6</f>
        <v>58698143</v>
      </c>
      <c r="EZ6" s="141">
        <v>58697301</v>
      </c>
      <c r="FA6" s="141">
        <v>4445307</v>
      </c>
      <c r="FB6" s="141">
        <v>54021608</v>
      </c>
      <c r="FC6" s="141">
        <v>842</v>
      </c>
      <c r="FD6" s="141">
        <v>0</v>
      </c>
      <c r="FE6" s="141">
        <v>100573817</v>
      </c>
      <c r="FF6" s="141">
        <v>128256446</v>
      </c>
      <c r="FG6" s="141">
        <v>3912506</v>
      </c>
      <c r="FH6" s="141">
        <v>120837477</v>
      </c>
      <c r="FI6" s="73">
        <f t="shared" ref="FI6:FI52" si="14">FJ6-EU6-EW6-EX6-EY6-FE6-FF6-FH6</f>
        <v>48358895</v>
      </c>
      <c r="FJ6" s="141">
        <v>1056602423</v>
      </c>
      <c r="FK6" s="379">
        <f t="shared" ref="FK6:FK52" si="15">ROUND(EJ6/(FL6+FM6)*100,1)</f>
        <v>3</v>
      </c>
      <c r="FL6" s="141">
        <v>839996364</v>
      </c>
      <c r="FM6" s="141">
        <v>32046109</v>
      </c>
      <c r="FN6" s="141">
        <v>624566956</v>
      </c>
      <c r="FO6" s="141">
        <v>671265509</v>
      </c>
      <c r="FP6" s="143">
        <v>0.92300000000000004</v>
      </c>
      <c r="FQ6" s="380">
        <v>92.4</v>
      </c>
      <c r="FR6" s="143">
        <v>27.2</v>
      </c>
      <c r="FS6" s="380">
        <v>18.899999999999999</v>
      </c>
      <c r="FT6" s="380">
        <v>18.2</v>
      </c>
      <c r="FU6" s="381">
        <v>9.5</v>
      </c>
      <c r="FV6" s="380">
        <v>7.7</v>
      </c>
      <c r="FW6" s="382">
        <v>9.1999999999999993</v>
      </c>
      <c r="FX6" s="383">
        <v>1.3</v>
      </c>
      <c r="FY6" s="141">
        <v>1628134338</v>
      </c>
      <c r="FZ6" s="384">
        <f t="shared" ref="FZ6:FZ52" si="16">ROUND(FY6/(FL6+FM6)*100,1)</f>
        <v>186.7</v>
      </c>
      <c r="GA6" s="141">
        <v>309688993</v>
      </c>
      <c r="GB6" s="141">
        <v>245229407</v>
      </c>
      <c r="GC6" s="141">
        <v>0</v>
      </c>
      <c r="GD6" s="141">
        <v>64459586</v>
      </c>
      <c r="GE6" s="107">
        <v>0</v>
      </c>
      <c r="GF6" s="385"/>
      <c r="GG6" s="386"/>
      <c r="GH6" s="380">
        <v>99.5</v>
      </c>
      <c r="GI6" s="380">
        <v>32.9</v>
      </c>
      <c r="GJ6" s="380">
        <v>98.7</v>
      </c>
      <c r="GK6" s="141">
        <v>33276</v>
      </c>
      <c r="GL6" s="153" t="s">
        <v>646</v>
      </c>
      <c r="GM6" s="143">
        <v>11.25</v>
      </c>
      <c r="GN6" s="117">
        <v>20</v>
      </c>
      <c r="GO6" s="153" t="s">
        <v>646</v>
      </c>
      <c r="GP6" s="143">
        <v>16.25</v>
      </c>
      <c r="GQ6" s="387">
        <v>30</v>
      </c>
      <c r="GR6" s="380">
        <v>1.3</v>
      </c>
      <c r="GS6" s="388">
        <v>25</v>
      </c>
      <c r="GT6" s="388">
        <v>35</v>
      </c>
      <c r="GU6" s="153" t="s">
        <v>646</v>
      </c>
      <c r="GV6" s="389">
        <v>400</v>
      </c>
      <c r="GX6" s="100">
        <f t="shared" ref="GX6:GX52" si="17">ROUND((FL6+FM6)/1000,0)</f>
        <v>872042</v>
      </c>
    </row>
    <row r="7" spans="2:232" s="89" customFormat="1" x14ac:dyDescent="0.15">
      <c r="B7" s="106" t="s">
        <v>3</v>
      </c>
      <c r="C7" s="141">
        <v>156356887</v>
      </c>
      <c r="D7" s="73">
        <f t="shared" si="0"/>
        <v>62072970</v>
      </c>
      <c r="E7" s="141">
        <v>1355419</v>
      </c>
      <c r="F7" s="141">
        <v>60717551</v>
      </c>
      <c r="G7" s="73">
        <f t="shared" si="1"/>
        <v>11105521</v>
      </c>
      <c r="H7" s="141">
        <v>2447063</v>
      </c>
      <c r="I7" s="141">
        <v>8658458</v>
      </c>
      <c r="J7" s="141">
        <v>59650982</v>
      </c>
      <c r="K7" s="141">
        <v>22960343</v>
      </c>
      <c r="L7" s="141">
        <v>24589854</v>
      </c>
      <c r="M7" s="141">
        <v>11209296</v>
      </c>
      <c r="N7" s="141">
        <v>6178180</v>
      </c>
      <c r="O7" s="141">
        <v>11014774</v>
      </c>
      <c r="P7" s="141">
        <v>5905961</v>
      </c>
      <c r="Q7" s="141">
        <v>5108813</v>
      </c>
      <c r="R7" s="141">
        <v>2090684</v>
      </c>
      <c r="S7" s="74"/>
      <c r="T7" s="73">
        <f t="shared" si="2"/>
        <v>23688298</v>
      </c>
      <c r="U7" s="141">
        <v>114155</v>
      </c>
      <c r="V7" s="141">
        <v>951029</v>
      </c>
      <c r="W7" s="141">
        <v>678847</v>
      </c>
      <c r="X7" s="141">
        <v>19199843</v>
      </c>
      <c r="Y7" s="141">
        <v>135950</v>
      </c>
      <c r="Z7" s="141">
        <v>0</v>
      </c>
      <c r="AA7" s="141">
        <v>14271</v>
      </c>
      <c r="AB7" s="141">
        <v>567639</v>
      </c>
      <c r="AC7" s="141">
        <v>2026564</v>
      </c>
      <c r="AD7" s="141">
        <v>1129666</v>
      </c>
      <c r="AE7" s="141">
        <v>42653739</v>
      </c>
      <c r="AF7" s="141">
        <v>41683914</v>
      </c>
      <c r="AG7" s="141">
        <v>969735</v>
      </c>
      <c r="AH7" s="141">
        <v>243836</v>
      </c>
      <c r="AI7" s="141">
        <v>3260926</v>
      </c>
      <c r="AJ7" s="73">
        <f t="shared" si="3"/>
        <v>5554496</v>
      </c>
      <c r="AK7" s="141">
        <v>3608045</v>
      </c>
      <c r="AL7" s="141">
        <v>1946451</v>
      </c>
      <c r="AM7" s="141">
        <v>129965274</v>
      </c>
      <c r="AN7" s="73">
        <f t="shared" si="4"/>
        <v>64599810</v>
      </c>
      <c r="AO7" s="141">
        <v>33897469</v>
      </c>
      <c r="AP7" s="141">
        <v>14976523</v>
      </c>
      <c r="AQ7" s="74"/>
      <c r="AR7" s="141">
        <v>15725818</v>
      </c>
      <c r="AS7" s="141">
        <v>3025477</v>
      </c>
      <c r="AT7" s="141">
        <v>0</v>
      </c>
      <c r="AU7" s="141">
        <v>9726</v>
      </c>
      <c r="AV7" s="141">
        <v>28752049</v>
      </c>
      <c r="AW7" s="141">
        <v>20173762</v>
      </c>
      <c r="AX7" s="141">
        <v>5305361</v>
      </c>
      <c r="AY7" s="141">
        <v>380194</v>
      </c>
      <c r="AZ7" s="141">
        <v>8578287</v>
      </c>
      <c r="BA7" s="141">
        <v>23678</v>
      </c>
      <c r="BB7" s="141">
        <v>4603440</v>
      </c>
      <c r="BC7" s="141">
        <v>4006418</v>
      </c>
      <c r="BD7" s="141">
        <v>1254066</v>
      </c>
      <c r="BE7" s="141">
        <v>17735265</v>
      </c>
      <c r="BF7" s="141">
        <v>8319225</v>
      </c>
      <c r="BG7" s="141">
        <v>7956678</v>
      </c>
      <c r="BH7" s="141">
        <v>1459345</v>
      </c>
      <c r="BI7" s="141">
        <v>0</v>
      </c>
      <c r="BJ7" s="141">
        <v>8259430</v>
      </c>
      <c r="BK7" s="141">
        <v>7292182</v>
      </c>
      <c r="BL7" s="141">
        <v>7403395</v>
      </c>
      <c r="BM7" s="141">
        <v>1131512</v>
      </c>
      <c r="BN7" s="141">
        <v>660001</v>
      </c>
      <c r="BO7" s="141">
        <v>2231144</v>
      </c>
      <c r="BP7" s="141">
        <v>24032740</v>
      </c>
      <c r="BQ7" s="73">
        <f t="shared" si="5"/>
        <v>15992940</v>
      </c>
      <c r="BR7" s="73">
        <f t="shared" si="6"/>
        <v>8039800</v>
      </c>
      <c r="BS7" s="141">
        <v>0</v>
      </c>
      <c r="BT7" s="140">
        <v>0</v>
      </c>
      <c r="BU7" s="141">
        <v>8039800</v>
      </c>
      <c r="BV7" s="141">
        <v>0</v>
      </c>
      <c r="BW7" s="141">
        <v>462931510</v>
      </c>
      <c r="BX7" s="71"/>
      <c r="BY7" s="141">
        <v>87577903</v>
      </c>
      <c r="BZ7" s="141">
        <v>62085433</v>
      </c>
      <c r="CA7" s="141">
        <v>4505681</v>
      </c>
      <c r="CB7" s="141">
        <v>5983415</v>
      </c>
      <c r="CC7" s="141">
        <v>150597348</v>
      </c>
      <c r="CD7" s="141">
        <v>44875155</v>
      </c>
      <c r="CE7" s="141">
        <v>545077</v>
      </c>
      <c r="CF7" s="141">
        <v>52424160</v>
      </c>
      <c r="CG7" s="141">
        <v>44697186</v>
      </c>
      <c r="CH7" s="141">
        <v>6233138</v>
      </c>
      <c r="CI7" s="141">
        <v>1822553</v>
      </c>
      <c r="CJ7" s="141">
        <v>38696257</v>
      </c>
      <c r="CK7" s="141">
        <v>35304323</v>
      </c>
      <c r="CL7" s="83">
        <f t="shared" si="7"/>
        <v>3391934</v>
      </c>
      <c r="CM7" s="141">
        <v>54913548</v>
      </c>
      <c r="CN7" s="141">
        <v>38901820</v>
      </c>
      <c r="CO7" s="102"/>
      <c r="CP7" s="141">
        <v>7858122</v>
      </c>
      <c r="CQ7" s="141">
        <v>5088656</v>
      </c>
      <c r="CR7" s="141">
        <v>32789361</v>
      </c>
      <c r="CS7" s="141">
        <v>15390</v>
      </c>
      <c r="CT7" s="141">
        <v>8260331</v>
      </c>
      <c r="CU7" s="141">
        <v>3487978</v>
      </c>
      <c r="CV7" s="73">
        <f t="shared" si="8"/>
        <v>9521849</v>
      </c>
      <c r="CW7" s="141">
        <v>6775879</v>
      </c>
      <c r="CX7" s="141">
        <v>2745970</v>
      </c>
      <c r="CY7" s="73">
        <f t="shared" si="9"/>
        <v>0</v>
      </c>
      <c r="CZ7" s="141">
        <v>0</v>
      </c>
      <c r="DA7" s="141">
        <v>0</v>
      </c>
      <c r="DB7" s="73">
        <f t="shared" si="10"/>
        <v>7562140</v>
      </c>
      <c r="DC7" s="141">
        <v>6648583</v>
      </c>
      <c r="DD7" s="141">
        <v>913557</v>
      </c>
      <c r="DE7" s="141">
        <v>31459455</v>
      </c>
      <c r="DF7" s="141">
        <v>17772319</v>
      </c>
      <c r="DG7" s="141">
        <v>13026408</v>
      </c>
      <c r="DH7" s="141">
        <v>0</v>
      </c>
      <c r="DI7" s="141">
        <v>240228</v>
      </c>
      <c r="DJ7" s="141">
        <v>37542</v>
      </c>
      <c r="DK7" s="141">
        <v>16412885</v>
      </c>
      <c r="DL7" s="141">
        <v>11979174</v>
      </c>
      <c r="DM7" s="141">
        <v>0</v>
      </c>
      <c r="DN7" s="141">
        <v>4433711</v>
      </c>
      <c r="DO7" s="141">
        <v>38000</v>
      </c>
      <c r="DP7" s="141">
        <v>0</v>
      </c>
      <c r="DQ7" s="141">
        <v>0</v>
      </c>
      <c r="DR7" s="141">
        <v>0</v>
      </c>
      <c r="DS7" s="141">
        <v>927287</v>
      </c>
      <c r="DT7" s="141">
        <v>0</v>
      </c>
      <c r="DU7" s="141">
        <v>0</v>
      </c>
      <c r="DV7" s="141">
        <v>35553454</v>
      </c>
      <c r="DW7" s="141">
        <v>0</v>
      </c>
      <c r="DX7" s="73">
        <f t="shared" si="11"/>
        <v>0</v>
      </c>
      <c r="DY7" s="141">
        <v>0</v>
      </c>
      <c r="DZ7" s="141">
        <v>13150817</v>
      </c>
      <c r="EA7" s="141">
        <v>0</v>
      </c>
      <c r="EB7" s="141">
        <v>8930278</v>
      </c>
      <c r="EC7" s="74">
        <v>0</v>
      </c>
      <c r="ED7" s="141">
        <v>13456842</v>
      </c>
      <c r="EE7" s="141">
        <v>0</v>
      </c>
      <c r="EF7" s="141">
        <v>454091696</v>
      </c>
      <c r="EG7" s="71"/>
      <c r="EH7" s="141">
        <v>8839814</v>
      </c>
      <c r="EI7" s="141">
        <v>992218</v>
      </c>
      <c r="EJ7" s="141">
        <v>7847596</v>
      </c>
      <c r="EK7" s="141">
        <v>555416</v>
      </c>
      <c r="EL7" s="141">
        <v>4215365</v>
      </c>
      <c r="EM7" s="71"/>
      <c r="EN7" s="141">
        <v>826161</v>
      </c>
      <c r="EO7" s="141">
        <v>821428</v>
      </c>
      <c r="EP7" s="141">
        <v>16275903</v>
      </c>
      <c r="EQ7" s="141">
        <v>1001557</v>
      </c>
      <c r="ER7" s="73">
        <f t="shared" si="12"/>
        <v>29025112</v>
      </c>
      <c r="ES7" s="141">
        <v>232110429</v>
      </c>
      <c r="ET7" s="141">
        <v>-48151217</v>
      </c>
      <c r="EU7" s="141">
        <v>73917558</v>
      </c>
      <c r="EV7" s="141">
        <v>49177835</v>
      </c>
      <c r="EW7" s="141">
        <v>41580787</v>
      </c>
      <c r="EX7" s="141">
        <v>38407282</v>
      </c>
      <c r="EY7" s="73">
        <f t="shared" si="13"/>
        <v>4089378</v>
      </c>
      <c r="EZ7" s="141">
        <v>4058692</v>
      </c>
      <c r="FA7" s="141">
        <v>580300</v>
      </c>
      <c r="FB7" s="141">
        <v>3477392</v>
      </c>
      <c r="FC7" s="141">
        <v>30686</v>
      </c>
      <c r="FD7" s="141">
        <v>0</v>
      </c>
      <c r="FE7" s="141">
        <v>40526319</v>
      </c>
      <c r="FF7" s="141">
        <v>29071387</v>
      </c>
      <c r="FG7" s="141">
        <v>15390</v>
      </c>
      <c r="FH7" s="141">
        <v>28122337</v>
      </c>
      <c r="FI7" s="73">
        <f t="shared" si="14"/>
        <v>16219754</v>
      </c>
      <c r="FJ7" s="141">
        <v>271934802</v>
      </c>
      <c r="FK7" s="379">
        <f t="shared" si="15"/>
        <v>3.4</v>
      </c>
      <c r="FL7" s="141">
        <v>214014119</v>
      </c>
      <c r="FM7" s="141">
        <v>15922628</v>
      </c>
      <c r="FN7" s="141">
        <v>137604038</v>
      </c>
      <c r="FO7" s="141">
        <v>179202952</v>
      </c>
      <c r="FP7" s="143">
        <v>0.77700000000000002</v>
      </c>
      <c r="FQ7" s="380">
        <v>102.4</v>
      </c>
      <c r="FR7" s="143">
        <v>31.9</v>
      </c>
      <c r="FS7" s="380">
        <v>17.8</v>
      </c>
      <c r="FT7" s="380">
        <v>16.7</v>
      </c>
      <c r="FU7" s="381">
        <v>15</v>
      </c>
      <c r="FV7" s="380">
        <v>7.5</v>
      </c>
      <c r="FW7" s="382">
        <v>11.9</v>
      </c>
      <c r="FX7" s="383">
        <v>6</v>
      </c>
      <c r="FY7" s="141">
        <v>470126681</v>
      </c>
      <c r="FZ7" s="384">
        <f t="shared" si="16"/>
        <v>204.5</v>
      </c>
      <c r="GA7" s="141">
        <v>64151798</v>
      </c>
      <c r="GB7" s="141">
        <v>19831798</v>
      </c>
      <c r="GC7" s="141">
        <v>1707940</v>
      </c>
      <c r="GD7" s="141">
        <v>42612060</v>
      </c>
      <c r="GE7" s="107">
        <v>0</v>
      </c>
      <c r="GF7" s="385"/>
      <c r="GG7" s="386"/>
      <c r="GH7" s="380">
        <v>99.4</v>
      </c>
      <c r="GI7" s="380">
        <v>41.4</v>
      </c>
      <c r="GJ7" s="380">
        <v>98.7</v>
      </c>
      <c r="GK7" s="141">
        <v>9705</v>
      </c>
      <c r="GL7" s="153" t="s">
        <v>646</v>
      </c>
      <c r="GM7" s="143">
        <v>11.25</v>
      </c>
      <c r="GN7" s="117">
        <v>20</v>
      </c>
      <c r="GO7" s="153" t="s">
        <v>646</v>
      </c>
      <c r="GP7" s="143">
        <v>16.25</v>
      </c>
      <c r="GQ7" s="387">
        <v>30</v>
      </c>
      <c r="GR7" s="380">
        <v>6</v>
      </c>
      <c r="GS7" s="388">
        <v>25</v>
      </c>
      <c r="GT7" s="388">
        <v>35</v>
      </c>
      <c r="GU7" s="153" t="s">
        <v>646</v>
      </c>
      <c r="GV7" s="389">
        <v>400</v>
      </c>
      <c r="GX7" s="100">
        <f t="shared" si="17"/>
        <v>229937</v>
      </c>
    </row>
    <row r="8" spans="2:232" x14ac:dyDescent="0.15">
      <c r="B8" s="89" t="s">
        <v>5</v>
      </c>
      <c r="C8" s="141">
        <v>25329865</v>
      </c>
      <c r="D8" s="73">
        <f t="shared" si="0"/>
        <v>9460633</v>
      </c>
      <c r="E8" s="141">
        <v>308851</v>
      </c>
      <c r="F8" s="141">
        <v>9151782</v>
      </c>
      <c r="G8" s="73">
        <f t="shared" si="1"/>
        <v>1471696</v>
      </c>
      <c r="H8" s="141">
        <v>450959</v>
      </c>
      <c r="I8" s="141">
        <v>1020737</v>
      </c>
      <c r="J8" s="141">
        <v>10280827</v>
      </c>
      <c r="K8" s="141">
        <v>4097718</v>
      </c>
      <c r="L8" s="141">
        <v>4428167</v>
      </c>
      <c r="M8" s="141">
        <v>1461471</v>
      </c>
      <c r="N8" s="141">
        <v>1622928</v>
      </c>
      <c r="O8" s="141">
        <v>2003948</v>
      </c>
      <c r="P8" s="141">
        <v>1112794</v>
      </c>
      <c r="Q8" s="141">
        <v>891154</v>
      </c>
      <c r="R8" s="141">
        <v>366360</v>
      </c>
      <c r="S8" s="74"/>
      <c r="T8" s="73">
        <f t="shared" si="2"/>
        <v>5230395</v>
      </c>
      <c r="U8" s="141">
        <v>22923</v>
      </c>
      <c r="V8" s="141">
        <v>191459</v>
      </c>
      <c r="W8" s="141">
        <v>137066</v>
      </c>
      <c r="X8" s="141">
        <v>4357379</v>
      </c>
      <c r="Y8" s="141">
        <v>39151</v>
      </c>
      <c r="Z8" s="141">
        <v>0</v>
      </c>
      <c r="AA8" s="141">
        <v>2649</v>
      </c>
      <c r="AB8" s="141">
        <v>79255</v>
      </c>
      <c r="AC8" s="141">
        <v>400513</v>
      </c>
      <c r="AD8" s="141">
        <v>216573</v>
      </c>
      <c r="AE8" s="141">
        <v>14554734</v>
      </c>
      <c r="AF8" s="141">
        <v>14245209</v>
      </c>
      <c r="AG8" s="141">
        <v>309525</v>
      </c>
      <c r="AH8" s="141">
        <v>26470</v>
      </c>
      <c r="AI8" s="141">
        <v>340781</v>
      </c>
      <c r="AJ8" s="73">
        <f t="shared" si="3"/>
        <v>1250434</v>
      </c>
      <c r="AK8" s="141">
        <v>887381</v>
      </c>
      <c r="AL8" s="141">
        <v>363053</v>
      </c>
      <c r="AM8" s="141">
        <v>23493832</v>
      </c>
      <c r="AN8" s="73">
        <f t="shared" si="4"/>
        <v>12613848</v>
      </c>
      <c r="AO8" s="141">
        <v>7441052</v>
      </c>
      <c r="AP8" s="141">
        <v>2365566</v>
      </c>
      <c r="AQ8" s="74"/>
      <c r="AR8" s="141">
        <v>2807230</v>
      </c>
      <c r="AS8" s="141">
        <v>295541</v>
      </c>
      <c r="AT8" s="141">
        <v>0</v>
      </c>
      <c r="AU8" s="141">
        <v>0</v>
      </c>
      <c r="AV8" s="141">
        <v>7185676</v>
      </c>
      <c r="AW8" s="141">
        <v>4770091</v>
      </c>
      <c r="AX8" s="141">
        <v>1038272</v>
      </c>
      <c r="AY8" s="141">
        <v>723386</v>
      </c>
      <c r="AZ8" s="141">
        <v>2415585</v>
      </c>
      <c r="BA8" s="141">
        <v>122489</v>
      </c>
      <c r="BB8" s="141">
        <v>348119</v>
      </c>
      <c r="BC8" s="141">
        <v>139750</v>
      </c>
      <c r="BD8" s="141">
        <v>885322</v>
      </c>
      <c r="BE8" s="141">
        <v>886115</v>
      </c>
      <c r="BF8" s="141">
        <v>0</v>
      </c>
      <c r="BG8" s="141">
        <v>0</v>
      </c>
      <c r="BH8" s="141">
        <v>657265</v>
      </c>
      <c r="BI8" s="141">
        <v>32263</v>
      </c>
      <c r="BJ8" s="141">
        <v>1237322</v>
      </c>
      <c r="BK8" s="141">
        <v>1076347</v>
      </c>
      <c r="BL8" s="141">
        <v>1497193</v>
      </c>
      <c r="BM8" s="141">
        <v>0</v>
      </c>
      <c r="BN8" s="141">
        <v>0</v>
      </c>
      <c r="BO8" s="141">
        <v>825725</v>
      </c>
      <c r="BP8" s="141">
        <v>2754100</v>
      </c>
      <c r="BQ8" s="73">
        <f t="shared" si="5"/>
        <v>1354100</v>
      </c>
      <c r="BR8" s="73">
        <f t="shared" si="6"/>
        <v>1400000</v>
      </c>
      <c r="BS8" s="141">
        <v>0</v>
      </c>
      <c r="BT8" s="141">
        <v>0</v>
      </c>
      <c r="BU8" s="141">
        <v>1400000</v>
      </c>
      <c r="BV8" s="141">
        <v>0</v>
      </c>
      <c r="BW8" s="141">
        <v>85603291</v>
      </c>
      <c r="BX8" s="71"/>
      <c r="BY8" s="141">
        <v>13010063</v>
      </c>
      <c r="BZ8" s="141">
        <v>8260114</v>
      </c>
      <c r="CA8" s="141">
        <v>856942</v>
      </c>
      <c r="CB8" s="141">
        <v>1630250</v>
      </c>
      <c r="CC8" s="141">
        <v>30390331</v>
      </c>
      <c r="CD8" s="141">
        <v>9253406</v>
      </c>
      <c r="CE8" s="141">
        <v>21055</v>
      </c>
      <c r="CF8" s="141">
        <v>9977676</v>
      </c>
      <c r="CG8" s="141">
        <v>9940151</v>
      </c>
      <c r="CH8" s="141">
        <v>8779</v>
      </c>
      <c r="CI8" s="141">
        <v>1188784</v>
      </c>
      <c r="CJ8" s="141">
        <v>7823708</v>
      </c>
      <c r="CK8" s="141">
        <v>7582391</v>
      </c>
      <c r="CL8" s="83">
        <f t="shared" si="7"/>
        <v>241317</v>
      </c>
      <c r="CM8" s="141">
        <v>9380449</v>
      </c>
      <c r="CN8" s="141">
        <v>6634935</v>
      </c>
      <c r="CO8" s="102"/>
      <c r="CP8" s="141">
        <v>1287421</v>
      </c>
      <c r="CQ8" s="141">
        <v>503591</v>
      </c>
      <c r="CR8" s="141">
        <v>8893493</v>
      </c>
      <c r="CS8" s="141">
        <v>893016</v>
      </c>
      <c r="CT8" s="141">
        <v>1189771</v>
      </c>
      <c r="CU8" s="141">
        <v>887520</v>
      </c>
      <c r="CV8" s="73">
        <f t="shared" si="8"/>
        <v>3462497</v>
      </c>
      <c r="CW8" s="141">
        <v>1908833</v>
      </c>
      <c r="CX8" s="141">
        <v>1553664</v>
      </c>
      <c r="CY8" s="73">
        <f t="shared" si="9"/>
        <v>1002626</v>
      </c>
      <c r="CZ8" s="141">
        <v>811369</v>
      </c>
      <c r="DA8" s="141">
        <v>191257</v>
      </c>
      <c r="DB8" s="73">
        <f t="shared" si="10"/>
        <v>2149430</v>
      </c>
      <c r="DC8" s="141">
        <v>1061120</v>
      </c>
      <c r="DD8" s="141">
        <v>1088310</v>
      </c>
      <c r="DE8" s="141">
        <v>4120206</v>
      </c>
      <c r="DF8" s="141">
        <v>1957488</v>
      </c>
      <c r="DG8" s="141">
        <v>2054807</v>
      </c>
      <c r="DH8" s="141">
        <v>107911</v>
      </c>
      <c r="DI8" s="141">
        <v>0</v>
      </c>
      <c r="DJ8" s="141">
        <v>101646</v>
      </c>
      <c r="DK8" s="141">
        <v>1112700</v>
      </c>
      <c r="DL8" s="141">
        <v>479</v>
      </c>
      <c r="DM8" s="141">
        <v>0</v>
      </c>
      <c r="DN8" s="141">
        <v>1112221</v>
      </c>
      <c r="DO8" s="141">
        <v>663484</v>
      </c>
      <c r="DP8" s="141">
        <v>663484</v>
      </c>
      <c r="DQ8" s="141">
        <v>73000</v>
      </c>
      <c r="DR8" s="141">
        <v>400000</v>
      </c>
      <c r="DS8" s="141">
        <v>0</v>
      </c>
      <c r="DT8" s="141">
        <v>0</v>
      </c>
      <c r="DU8" s="141">
        <v>0</v>
      </c>
      <c r="DV8" s="141">
        <v>8144251</v>
      </c>
      <c r="DW8" s="141">
        <v>0</v>
      </c>
      <c r="DX8" s="73">
        <f t="shared" si="11"/>
        <v>0</v>
      </c>
      <c r="DY8" s="141">
        <v>0</v>
      </c>
      <c r="DZ8" s="141">
        <v>3190615</v>
      </c>
      <c r="EA8" s="141">
        <v>0</v>
      </c>
      <c r="EB8" s="141">
        <v>2236514</v>
      </c>
      <c r="EC8" s="74">
        <v>0</v>
      </c>
      <c r="ED8" s="141">
        <v>2717122</v>
      </c>
      <c r="EE8" s="141">
        <v>0</v>
      </c>
      <c r="EF8" s="141">
        <v>84143922</v>
      </c>
      <c r="EG8" s="71"/>
      <c r="EH8" s="141">
        <v>1459369</v>
      </c>
      <c r="EI8" s="141">
        <v>490038</v>
      </c>
      <c r="EJ8" s="141">
        <v>969331</v>
      </c>
      <c r="EK8" s="141">
        <v>-1307016</v>
      </c>
      <c r="EL8" s="141">
        <v>-1306537</v>
      </c>
      <c r="EM8" s="71"/>
      <c r="EN8" s="141">
        <v>190658</v>
      </c>
      <c r="EO8" s="141">
        <v>189396</v>
      </c>
      <c r="EP8" s="141">
        <v>17523</v>
      </c>
      <c r="EQ8" s="141">
        <v>347204</v>
      </c>
      <c r="ER8" s="73">
        <f t="shared" si="12"/>
        <v>4855406</v>
      </c>
      <c r="ES8" s="141">
        <v>45724397</v>
      </c>
      <c r="ET8" s="141">
        <v>-6593663</v>
      </c>
      <c r="EU8" s="141">
        <v>11848990</v>
      </c>
      <c r="EV8" s="141">
        <v>7491459</v>
      </c>
      <c r="EW8" s="141">
        <v>7599694</v>
      </c>
      <c r="EX8" s="141">
        <v>7770933</v>
      </c>
      <c r="EY8" s="73">
        <f t="shared" si="13"/>
        <v>1048694</v>
      </c>
      <c r="EZ8" s="141">
        <v>1048143</v>
      </c>
      <c r="FA8" s="141">
        <v>70805</v>
      </c>
      <c r="FB8" s="141">
        <v>911291</v>
      </c>
      <c r="FC8" s="141">
        <v>551</v>
      </c>
      <c r="FD8" s="141">
        <v>0</v>
      </c>
      <c r="FE8" s="141">
        <v>6813474</v>
      </c>
      <c r="FF8" s="141">
        <v>8135667</v>
      </c>
      <c r="FG8" s="141">
        <v>893016</v>
      </c>
      <c r="FH8" s="141">
        <v>6248561</v>
      </c>
      <c r="FI8" s="73">
        <f t="shared" si="14"/>
        <v>1392678</v>
      </c>
      <c r="FJ8" s="141">
        <v>50858691</v>
      </c>
      <c r="FK8" s="379">
        <f t="shared" si="15"/>
        <v>2.2000000000000002</v>
      </c>
      <c r="FL8" s="141">
        <v>42611419</v>
      </c>
      <c r="FM8" s="141">
        <v>1544335</v>
      </c>
      <c r="FN8" s="141">
        <v>22398772</v>
      </c>
      <c r="FO8" s="141">
        <v>36624119</v>
      </c>
      <c r="FP8" s="390">
        <v>0.61399999999999999</v>
      </c>
      <c r="FQ8" s="380">
        <v>96.4</v>
      </c>
      <c r="FR8" s="381">
        <v>25.4</v>
      </c>
      <c r="FS8" s="380">
        <v>16.8</v>
      </c>
      <c r="FT8" s="380">
        <v>17.2</v>
      </c>
      <c r="FU8" s="381">
        <v>13.3</v>
      </c>
      <c r="FV8" s="380">
        <v>9</v>
      </c>
      <c r="FW8" s="382">
        <v>12.9</v>
      </c>
      <c r="FX8" s="383">
        <v>6.1</v>
      </c>
      <c r="FY8" s="141">
        <v>53433296</v>
      </c>
      <c r="FZ8" s="384">
        <f t="shared" si="16"/>
        <v>121</v>
      </c>
      <c r="GA8" s="141">
        <v>14873511</v>
      </c>
      <c r="GB8" s="141">
        <v>5120044</v>
      </c>
      <c r="GC8" s="141">
        <v>1918454</v>
      </c>
      <c r="GD8" s="141">
        <v>7835013</v>
      </c>
      <c r="GE8" s="107">
        <v>0</v>
      </c>
      <c r="GF8" s="385"/>
      <c r="GG8" s="386"/>
      <c r="GH8" s="380">
        <v>99.4</v>
      </c>
      <c r="GI8" s="380">
        <v>53.6</v>
      </c>
      <c r="GJ8" s="380">
        <v>99</v>
      </c>
      <c r="GK8" s="141">
        <v>1325</v>
      </c>
      <c r="GL8" s="391" t="s">
        <v>646</v>
      </c>
      <c r="GM8" s="391">
        <v>11.36</v>
      </c>
      <c r="GN8" s="117">
        <v>20</v>
      </c>
      <c r="GO8" s="391" t="s">
        <v>646</v>
      </c>
      <c r="GP8" s="392">
        <v>16.36</v>
      </c>
      <c r="GQ8" s="387">
        <v>30</v>
      </c>
      <c r="GR8" s="381">
        <v>6.1</v>
      </c>
      <c r="GS8" s="388">
        <v>25</v>
      </c>
      <c r="GT8" s="388">
        <v>35</v>
      </c>
      <c r="GU8" s="393" t="s">
        <v>646</v>
      </c>
      <c r="GV8" s="388">
        <v>350</v>
      </c>
      <c r="GW8" s="394"/>
      <c r="GX8" s="100">
        <f t="shared" si="17"/>
        <v>44156</v>
      </c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  <c r="HW8" s="394"/>
      <c r="HX8" s="394"/>
    </row>
    <row r="9" spans="2:232" x14ac:dyDescent="0.15">
      <c r="B9" s="89" t="s">
        <v>7</v>
      </c>
      <c r="C9" s="141">
        <v>71685998</v>
      </c>
      <c r="D9" s="73">
        <f t="shared" si="0"/>
        <v>31177861</v>
      </c>
      <c r="E9" s="141">
        <v>686702</v>
      </c>
      <c r="F9" s="141">
        <v>30491159</v>
      </c>
      <c r="G9" s="73">
        <f t="shared" si="1"/>
        <v>4069130</v>
      </c>
      <c r="H9" s="141">
        <v>1193397</v>
      </c>
      <c r="I9" s="141">
        <v>2875733</v>
      </c>
      <c r="J9" s="141">
        <v>25961936</v>
      </c>
      <c r="K9" s="141">
        <v>10276691</v>
      </c>
      <c r="L9" s="141">
        <v>12824975</v>
      </c>
      <c r="M9" s="141">
        <v>2665082</v>
      </c>
      <c r="N9" s="141">
        <v>3037610</v>
      </c>
      <c r="O9" s="141">
        <v>6061598</v>
      </c>
      <c r="P9" s="141">
        <v>3217447</v>
      </c>
      <c r="Q9" s="141">
        <v>2844151</v>
      </c>
      <c r="R9" s="141">
        <v>1994043</v>
      </c>
      <c r="S9" s="74"/>
      <c r="T9" s="73">
        <f t="shared" si="2"/>
        <v>11270345</v>
      </c>
      <c r="U9" s="141">
        <v>77834</v>
      </c>
      <c r="V9" s="141">
        <v>650415</v>
      </c>
      <c r="W9" s="141">
        <v>465938</v>
      </c>
      <c r="X9" s="141">
        <v>9094674</v>
      </c>
      <c r="Y9" s="141">
        <v>0</v>
      </c>
      <c r="Z9" s="141">
        <v>0</v>
      </c>
      <c r="AA9" s="141">
        <v>4561</v>
      </c>
      <c r="AB9" s="141">
        <v>136481</v>
      </c>
      <c r="AC9" s="141">
        <v>840442</v>
      </c>
      <c r="AD9" s="141">
        <v>400345</v>
      </c>
      <c r="AE9" s="141">
        <v>10427407</v>
      </c>
      <c r="AF9" s="141">
        <v>9842915</v>
      </c>
      <c r="AG9" s="141">
        <v>584492</v>
      </c>
      <c r="AH9" s="141">
        <v>42041</v>
      </c>
      <c r="AI9" s="141">
        <v>1073106</v>
      </c>
      <c r="AJ9" s="73">
        <f t="shared" si="3"/>
        <v>2074672</v>
      </c>
      <c r="AK9" s="141">
        <v>1783595</v>
      </c>
      <c r="AL9" s="141">
        <v>291077</v>
      </c>
      <c r="AM9" s="141">
        <v>48119973</v>
      </c>
      <c r="AN9" s="73">
        <f t="shared" si="4"/>
        <v>26190097</v>
      </c>
      <c r="AO9" s="141">
        <v>13202107</v>
      </c>
      <c r="AP9" s="141">
        <v>7369145</v>
      </c>
      <c r="AQ9" s="74"/>
      <c r="AR9" s="141">
        <v>5618845</v>
      </c>
      <c r="AS9" s="141">
        <v>2745825</v>
      </c>
      <c r="AT9" s="141">
        <v>0</v>
      </c>
      <c r="AU9" s="141">
        <v>0</v>
      </c>
      <c r="AV9" s="141">
        <v>13357619</v>
      </c>
      <c r="AW9" s="141">
        <v>10066010</v>
      </c>
      <c r="AX9" s="141">
        <v>3194655</v>
      </c>
      <c r="AY9" s="141">
        <v>187923</v>
      </c>
      <c r="AZ9" s="141">
        <v>3291609</v>
      </c>
      <c r="BA9" s="141">
        <v>18649</v>
      </c>
      <c r="BB9" s="141">
        <v>214700</v>
      </c>
      <c r="BC9" s="141">
        <v>94726</v>
      </c>
      <c r="BD9" s="141">
        <v>235126</v>
      </c>
      <c r="BE9" s="141">
        <v>6067621</v>
      </c>
      <c r="BF9" s="141">
        <v>5430650</v>
      </c>
      <c r="BG9" s="141">
        <v>157090</v>
      </c>
      <c r="BH9" s="141">
        <v>196481</v>
      </c>
      <c r="BI9" s="141">
        <v>0</v>
      </c>
      <c r="BJ9" s="141">
        <v>5928908</v>
      </c>
      <c r="BK9" s="141">
        <v>5526087</v>
      </c>
      <c r="BL9" s="141">
        <v>3587110</v>
      </c>
      <c r="BM9" s="141">
        <v>88307</v>
      </c>
      <c r="BN9" s="141">
        <v>0</v>
      </c>
      <c r="BO9" s="141">
        <v>477384</v>
      </c>
      <c r="BP9" s="141">
        <v>9563076</v>
      </c>
      <c r="BQ9" s="73">
        <f t="shared" si="5"/>
        <v>6119400</v>
      </c>
      <c r="BR9" s="73">
        <f t="shared" si="6"/>
        <v>3443676</v>
      </c>
      <c r="BS9" s="141">
        <v>0</v>
      </c>
      <c r="BT9" s="141">
        <v>0</v>
      </c>
      <c r="BU9" s="141">
        <v>3443676</v>
      </c>
      <c r="BV9" s="141">
        <v>0</v>
      </c>
      <c r="BW9" s="141">
        <v>186042090</v>
      </c>
      <c r="BX9" s="71"/>
      <c r="BY9" s="141">
        <v>27550913</v>
      </c>
      <c r="BZ9" s="141">
        <v>16838245</v>
      </c>
      <c r="CA9" s="141">
        <v>1520125</v>
      </c>
      <c r="CB9" s="141">
        <v>4487174</v>
      </c>
      <c r="CC9" s="141">
        <v>62915298</v>
      </c>
      <c r="CD9" s="141">
        <v>19219634</v>
      </c>
      <c r="CE9" s="141">
        <v>176639</v>
      </c>
      <c r="CF9" s="141">
        <v>24304855</v>
      </c>
      <c r="CG9" s="141">
        <v>17629599</v>
      </c>
      <c r="CH9" s="141">
        <v>1147235</v>
      </c>
      <c r="CI9" s="141">
        <v>437131</v>
      </c>
      <c r="CJ9" s="141">
        <v>9178687</v>
      </c>
      <c r="CK9" s="141">
        <v>8937135</v>
      </c>
      <c r="CL9" s="83">
        <f t="shared" si="7"/>
        <v>241552</v>
      </c>
      <c r="CM9" s="141">
        <v>25645342</v>
      </c>
      <c r="CN9" s="141">
        <v>17904749</v>
      </c>
      <c r="CO9" s="102"/>
      <c r="CP9" s="141">
        <v>4382540</v>
      </c>
      <c r="CQ9" s="141">
        <v>1828399</v>
      </c>
      <c r="CR9" s="141">
        <v>14683442</v>
      </c>
      <c r="CS9" s="141">
        <v>1352457</v>
      </c>
      <c r="CT9" s="141">
        <v>4693342</v>
      </c>
      <c r="CU9" s="141">
        <v>4689992</v>
      </c>
      <c r="CV9" s="73">
        <f t="shared" si="8"/>
        <v>5510748</v>
      </c>
      <c r="CW9" s="141">
        <v>4833572</v>
      </c>
      <c r="CX9" s="141">
        <v>677176</v>
      </c>
      <c r="CY9" s="73">
        <f t="shared" si="9"/>
        <v>2362422</v>
      </c>
      <c r="CZ9" s="141">
        <v>1949284</v>
      </c>
      <c r="DA9" s="141">
        <v>413138</v>
      </c>
      <c r="DB9" s="73">
        <f t="shared" si="10"/>
        <v>2946953</v>
      </c>
      <c r="DC9" s="141">
        <v>2702735</v>
      </c>
      <c r="DD9" s="141">
        <v>244218</v>
      </c>
      <c r="DE9" s="141">
        <v>15584565</v>
      </c>
      <c r="DF9" s="141">
        <v>5815106</v>
      </c>
      <c r="DG9" s="141">
        <v>9769459</v>
      </c>
      <c r="DH9" s="141">
        <v>0</v>
      </c>
      <c r="DI9" s="141">
        <v>0</v>
      </c>
      <c r="DJ9" s="141">
        <v>0</v>
      </c>
      <c r="DK9" s="141">
        <v>6426491</v>
      </c>
      <c r="DL9" s="141">
        <v>5119560</v>
      </c>
      <c r="DM9" s="141">
        <v>17490</v>
      </c>
      <c r="DN9" s="141">
        <v>1289441</v>
      </c>
      <c r="DO9" s="141">
        <v>96622</v>
      </c>
      <c r="DP9" s="141">
        <v>96622</v>
      </c>
      <c r="DQ9" s="141">
        <v>96622</v>
      </c>
      <c r="DR9" s="141">
        <v>0</v>
      </c>
      <c r="DS9" s="141">
        <v>57885</v>
      </c>
      <c r="DT9" s="141">
        <v>0</v>
      </c>
      <c r="DU9" s="141">
        <v>0</v>
      </c>
      <c r="DV9" s="141">
        <v>15375933</v>
      </c>
      <c r="DW9" s="141">
        <v>0</v>
      </c>
      <c r="DX9" s="73">
        <f t="shared" si="11"/>
        <v>0</v>
      </c>
      <c r="DY9" s="141">
        <v>0</v>
      </c>
      <c r="DZ9" s="141">
        <v>5451201</v>
      </c>
      <c r="EA9" s="141">
        <v>0</v>
      </c>
      <c r="EB9" s="141">
        <v>3845152</v>
      </c>
      <c r="EC9" s="74">
        <v>0</v>
      </c>
      <c r="ED9" s="141">
        <v>5953882</v>
      </c>
      <c r="EE9" s="141">
        <v>0</v>
      </c>
      <c r="EF9" s="141">
        <v>179343577</v>
      </c>
      <c r="EG9" s="71"/>
      <c r="EH9" s="141">
        <v>6698513</v>
      </c>
      <c r="EI9" s="141">
        <v>641237</v>
      </c>
      <c r="EJ9" s="141">
        <v>6057276</v>
      </c>
      <c r="EK9" s="141">
        <v>531189</v>
      </c>
      <c r="EL9" s="141">
        <v>220099</v>
      </c>
      <c r="EM9" s="71"/>
      <c r="EN9" s="141">
        <v>401558</v>
      </c>
      <c r="EO9" s="141">
        <v>407695</v>
      </c>
      <c r="EP9" s="141">
        <v>5587741</v>
      </c>
      <c r="EQ9" s="141">
        <v>185286</v>
      </c>
      <c r="ER9" s="73">
        <f t="shared" si="12"/>
        <v>11468169</v>
      </c>
      <c r="ES9" s="141">
        <v>95820179</v>
      </c>
      <c r="ET9" s="141">
        <v>-20642831</v>
      </c>
      <c r="EU9" s="141">
        <v>25344918</v>
      </c>
      <c r="EV9" s="141">
        <v>15669750</v>
      </c>
      <c r="EW9" s="141">
        <v>19020910</v>
      </c>
      <c r="EX9" s="141">
        <v>9038617</v>
      </c>
      <c r="EY9" s="73">
        <f t="shared" si="13"/>
        <v>6079754</v>
      </c>
      <c r="EZ9" s="141">
        <v>6079754</v>
      </c>
      <c r="FA9" s="141">
        <v>586598</v>
      </c>
      <c r="FB9" s="141">
        <v>5493156</v>
      </c>
      <c r="FC9" s="141">
        <v>0</v>
      </c>
      <c r="FD9" s="141">
        <v>0</v>
      </c>
      <c r="FE9" s="141">
        <v>17312880</v>
      </c>
      <c r="FF9" s="141">
        <v>12890425</v>
      </c>
      <c r="FG9" s="141">
        <v>1352457</v>
      </c>
      <c r="FH9" s="141">
        <v>12160742</v>
      </c>
      <c r="FI9" s="73">
        <f t="shared" si="14"/>
        <v>7916251</v>
      </c>
      <c r="FJ9" s="141">
        <v>109764497</v>
      </c>
      <c r="FK9" s="379">
        <f t="shared" si="15"/>
        <v>6.7</v>
      </c>
      <c r="FL9" s="141">
        <v>86463175</v>
      </c>
      <c r="FM9" s="141">
        <v>3443676</v>
      </c>
      <c r="FN9" s="141">
        <v>59416000</v>
      </c>
      <c r="FO9" s="141">
        <v>69258915</v>
      </c>
      <c r="FP9" s="390">
        <v>0.872</v>
      </c>
      <c r="FQ9" s="380">
        <v>92.5</v>
      </c>
      <c r="FR9" s="381">
        <v>26.2</v>
      </c>
      <c r="FS9" s="380">
        <v>18.3</v>
      </c>
      <c r="FT9" s="380">
        <v>9.6999999999999993</v>
      </c>
      <c r="FU9" s="381">
        <v>15.2</v>
      </c>
      <c r="FV9" s="380">
        <v>9.9</v>
      </c>
      <c r="FW9" s="382">
        <v>11.4</v>
      </c>
      <c r="FX9" s="383">
        <v>2.5</v>
      </c>
      <c r="FY9" s="141">
        <v>89991307</v>
      </c>
      <c r="FZ9" s="384">
        <f t="shared" si="16"/>
        <v>100.1</v>
      </c>
      <c r="GA9" s="141">
        <v>28509051</v>
      </c>
      <c r="GB9" s="141">
        <v>12870886</v>
      </c>
      <c r="GC9" s="141">
        <v>3711000</v>
      </c>
      <c r="GD9" s="141">
        <v>11927165</v>
      </c>
      <c r="GE9" s="107">
        <v>0</v>
      </c>
      <c r="GF9" s="385"/>
      <c r="GG9" s="386"/>
      <c r="GH9" s="380">
        <v>99.4</v>
      </c>
      <c r="GI9" s="380">
        <v>32.200000000000003</v>
      </c>
      <c r="GJ9" s="380">
        <v>98</v>
      </c>
      <c r="GK9" s="141">
        <v>2406</v>
      </c>
      <c r="GL9" s="391" t="s">
        <v>646</v>
      </c>
      <c r="GM9" s="391">
        <v>11.25</v>
      </c>
      <c r="GN9" s="117">
        <v>20</v>
      </c>
      <c r="GO9" s="391" t="s">
        <v>646</v>
      </c>
      <c r="GP9" s="392">
        <v>16.25</v>
      </c>
      <c r="GQ9" s="387">
        <v>30</v>
      </c>
      <c r="GR9" s="381">
        <v>2.5</v>
      </c>
      <c r="GS9" s="388">
        <v>25</v>
      </c>
      <c r="GT9" s="388">
        <v>35</v>
      </c>
      <c r="GU9" s="393" t="s">
        <v>646</v>
      </c>
      <c r="GV9" s="388">
        <v>350</v>
      </c>
      <c r="GW9" s="394"/>
      <c r="GX9" s="100">
        <f t="shared" si="17"/>
        <v>89907</v>
      </c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  <c r="HW9" s="394"/>
      <c r="HX9" s="394"/>
    </row>
    <row r="10" spans="2:232" x14ac:dyDescent="0.15">
      <c r="B10" s="89" t="s">
        <v>9</v>
      </c>
      <c r="C10" s="141">
        <v>17250028</v>
      </c>
      <c r="D10" s="73">
        <f t="shared" si="0"/>
        <v>7118647</v>
      </c>
      <c r="E10" s="141">
        <v>177962</v>
      </c>
      <c r="F10" s="141">
        <v>6940685</v>
      </c>
      <c r="G10" s="73">
        <f t="shared" si="1"/>
        <v>1336752</v>
      </c>
      <c r="H10" s="141">
        <v>308332</v>
      </c>
      <c r="I10" s="141">
        <v>1028420</v>
      </c>
      <c r="J10" s="141">
        <v>6599960</v>
      </c>
      <c r="K10" s="141">
        <v>2687381</v>
      </c>
      <c r="L10" s="141">
        <v>3004686</v>
      </c>
      <c r="M10" s="141">
        <v>898015</v>
      </c>
      <c r="N10" s="141">
        <v>582135</v>
      </c>
      <c r="O10" s="141">
        <v>1477075</v>
      </c>
      <c r="P10" s="141">
        <v>825752</v>
      </c>
      <c r="Q10" s="141">
        <v>651323</v>
      </c>
      <c r="R10" s="141">
        <v>232029</v>
      </c>
      <c r="S10" s="74"/>
      <c r="T10" s="73">
        <f t="shared" si="2"/>
        <v>3125301</v>
      </c>
      <c r="U10" s="141">
        <v>17603</v>
      </c>
      <c r="V10" s="141">
        <v>146776</v>
      </c>
      <c r="W10" s="141">
        <v>104864</v>
      </c>
      <c r="X10" s="141">
        <v>2441116</v>
      </c>
      <c r="Y10" s="141">
        <v>65853</v>
      </c>
      <c r="Z10" s="141">
        <v>0</v>
      </c>
      <c r="AA10" s="141">
        <v>1298</v>
      </c>
      <c r="AB10" s="141">
        <v>38823</v>
      </c>
      <c r="AC10" s="141">
        <v>308968</v>
      </c>
      <c r="AD10" s="141">
        <v>106081</v>
      </c>
      <c r="AE10" s="141">
        <v>4523169</v>
      </c>
      <c r="AF10" s="141">
        <v>3966571</v>
      </c>
      <c r="AG10" s="141">
        <v>556598</v>
      </c>
      <c r="AH10" s="141">
        <v>11551</v>
      </c>
      <c r="AI10" s="141">
        <v>131085</v>
      </c>
      <c r="AJ10" s="73">
        <f t="shared" si="3"/>
        <v>992980</v>
      </c>
      <c r="AK10" s="141">
        <v>725661</v>
      </c>
      <c r="AL10" s="141">
        <v>267319</v>
      </c>
      <c r="AM10" s="141">
        <v>9298057</v>
      </c>
      <c r="AN10" s="73">
        <f t="shared" si="4"/>
        <v>3364327</v>
      </c>
      <c r="AO10" s="141">
        <v>1238386</v>
      </c>
      <c r="AP10" s="141">
        <v>1072160</v>
      </c>
      <c r="AQ10" s="74"/>
      <c r="AR10" s="141">
        <v>1053781</v>
      </c>
      <c r="AS10" s="141">
        <v>205029</v>
      </c>
      <c r="AT10" s="141">
        <v>0</v>
      </c>
      <c r="AU10" s="141">
        <v>0</v>
      </c>
      <c r="AV10" s="141">
        <v>3148986</v>
      </c>
      <c r="AW10" s="141">
        <v>1969645</v>
      </c>
      <c r="AX10" s="141">
        <v>440827</v>
      </c>
      <c r="AY10" s="141">
        <v>222</v>
      </c>
      <c r="AZ10" s="141">
        <v>1179341</v>
      </c>
      <c r="BA10" s="141">
        <v>162</v>
      </c>
      <c r="BB10" s="141">
        <v>48921</v>
      </c>
      <c r="BC10" s="141">
        <v>7767</v>
      </c>
      <c r="BD10" s="141">
        <v>164735</v>
      </c>
      <c r="BE10" s="141">
        <v>86921</v>
      </c>
      <c r="BF10" s="141">
        <v>0</v>
      </c>
      <c r="BG10" s="141">
        <v>0</v>
      </c>
      <c r="BH10" s="141">
        <v>76652</v>
      </c>
      <c r="BI10" s="141">
        <v>0</v>
      </c>
      <c r="BJ10" s="141">
        <v>466655</v>
      </c>
      <c r="BK10" s="141">
        <v>210812</v>
      </c>
      <c r="BL10" s="141">
        <v>816352</v>
      </c>
      <c r="BM10" s="141">
        <v>124613</v>
      </c>
      <c r="BN10" s="141">
        <v>1525</v>
      </c>
      <c r="BO10" s="141">
        <v>326886</v>
      </c>
      <c r="BP10" s="141">
        <v>634700</v>
      </c>
      <c r="BQ10" s="73">
        <f t="shared" si="5"/>
        <v>634700</v>
      </c>
      <c r="BR10" s="73">
        <f t="shared" si="6"/>
        <v>0</v>
      </c>
      <c r="BS10" s="141">
        <v>0</v>
      </c>
      <c r="BT10" s="141">
        <v>0</v>
      </c>
      <c r="BU10" s="141">
        <v>0</v>
      </c>
      <c r="BV10" s="141">
        <v>0</v>
      </c>
      <c r="BW10" s="141">
        <v>41037551</v>
      </c>
      <c r="BX10" s="71"/>
      <c r="BY10" s="141">
        <v>7724003</v>
      </c>
      <c r="BZ10" s="141">
        <v>4432636</v>
      </c>
      <c r="CA10" s="141">
        <v>375831</v>
      </c>
      <c r="CB10" s="141">
        <v>1483906</v>
      </c>
      <c r="CC10" s="141">
        <v>11015607</v>
      </c>
      <c r="CD10" s="141">
        <v>3625774</v>
      </c>
      <c r="CE10" s="141">
        <v>12914</v>
      </c>
      <c r="CF10" s="141">
        <v>5223081</v>
      </c>
      <c r="CG10" s="141">
        <v>1505223</v>
      </c>
      <c r="CH10" s="141">
        <v>50230</v>
      </c>
      <c r="CI10" s="141">
        <v>598085</v>
      </c>
      <c r="CJ10" s="141">
        <v>3445607</v>
      </c>
      <c r="CK10" s="141">
        <v>3317028</v>
      </c>
      <c r="CL10" s="83">
        <f t="shared" si="7"/>
        <v>128579</v>
      </c>
      <c r="CM10" s="141">
        <v>8022268</v>
      </c>
      <c r="CN10" s="141">
        <v>5771517</v>
      </c>
      <c r="CO10" s="102"/>
      <c r="CP10" s="141">
        <v>1006852</v>
      </c>
      <c r="CQ10" s="141">
        <v>369193</v>
      </c>
      <c r="CR10" s="141">
        <v>3511365</v>
      </c>
      <c r="CS10" s="141">
        <v>2067</v>
      </c>
      <c r="CT10" s="141">
        <v>1197823</v>
      </c>
      <c r="CU10" s="141">
        <v>912338</v>
      </c>
      <c r="CV10" s="73">
        <f t="shared" si="8"/>
        <v>1234782</v>
      </c>
      <c r="CW10" s="141">
        <v>873053</v>
      </c>
      <c r="CX10" s="141">
        <v>361729</v>
      </c>
      <c r="CY10" s="73">
        <f t="shared" si="9"/>
        <v>223111</v>
      </c>
      <c r="CZ10" s="141">
        <v>223111</v>
      </c>
      <c r="DA10" s="141">
        <v>0</v>
      </c>
      <c r="DB10" s="73">
        <f t="shared" si="10"/>
        <v>822870</v>
      </c>
      <c r="DC10" s="141">
        <v>635405</v>
      </c>
      <c r="DD10" s="141">
        <v>187465</v>
      </c>
      <c r="DE10" s="141">
        <v>1440706</v>
      </c>
      <c r="DF10" s="141">
        <v>559413</v>
      </c>
      <c r="DG10" s="141">
        <v>881293</v>
      </c>
      <c r="DH10" s="141">
        <v>0</v>
      </c>
      <c r="DI10" s="141">
        <v>0</v>
      </c>
      <c r="DJ10" s="141">
        <v>0</v>
      </c>
      <c r="DK10" s="141">
        <v>218370</v>
      </c>
      <c r="DL10" s="141">
        <v>1124</v>
      </c>
      <c r="DM10" s="141">
        <v>0</v>
      </c>
      <c r="DN10" s="141">
        <v>217246</v>
      </c>
      <c r="DO10" s="141">
        <v>813876</v>
      </c>
      <c r="DP10" s="141">
        <v>813876</v>
      </c>
      <c r="DQ10" s="141">
        <v>0</v>
      </c>
      <c r="DR10" s="141">
        <v>796889</v>
      </c>
      <c r="DS10" s="141">
        <v>121300</v>
      </c>
      <c r="DT10" s="141">
        <v>0</v>
      </c>
      <c r="DU10" s="141">
        <v>0</v>
      </c>
      <c r="DV10" s="141">
        <v>4122583</v>
      </c>
      <c r="DW10" s="141">
        <v>0</v>
      </c>
      <c r="DX10" s="73">
        <f t="shared" si="11"/>
        <v>0</v>
      </c>
      <c r="DY10" s="141">
        <v>0</v>
      </c>
      <c r="DZ10" s="141">
        <v>1514812</v>
      </c>
      <c r="EA10" s="141">
        <v>13125</v>
      </c>
      <c r="EB10" s="141">
        <v>1056497</v>
      </c>
      <c r="EC10" s="74">
        <v>0</v>
      </c>
      <c r="ED10" s="141">
        <v>1538149</v>
      </c>
      <c r="EE10" s="141">
        <v>0</v>
      </c>
      <c r="EF10" s="141">
        <v>40804878</v>
      </c>
      <c r="EG10" s="71"/>
      <c r="EH10" s="141">
        <v>232673</v>
      </c>
      <c r="EI10" s="141">
        <v>114292</v>
      </c>
      <c r="EJ10" s="141">
        <v>118381</v>
      </c>
      <c r="EK10" s="141">
        <v>-392431</v>
      </c>
      <c r="EL10" s="141">
        <v>-391307</v>
      </c>
      <c r="EM10" s="71"/>
      <c r="EN10" s="141">
        <v>104993</v>
      </c>
      <c r="EO10" s="141">
        <v>103074</v>
      </c>
      <c r="EP10" s="141">
        <v>0</v>
      </c>
      <c r="EQ10" s="141">
        <v>47147</v>
      </c>
      <c r="ER10" s="73">
        <f t="shared" si="12"/>
        <v>1874195</v>
      </c>
      <c r="ES10" s="141">
        <v>25248159</v>
      </c>
      <c r="ET10" s="141">
        <v>-1909791</v>
      </c>
      <c r="EU10" s="141">
        <v>7158689</v>
      </c>
      <c r="EV10" s="141">
        <v>4162111</v>
      </c>
      <c r="EW10" s="141">
        <v>2854005</v>
      </c>
      <c r="EX10" s="141">
        <v>3445607</v>
      </c>
      <c r="EY10" s="73">
        <f t="shared" si="13"/>
        <v>512640</v>
      </c>
      <c r="EZ10" s="141">
        <v>512640</v>
      </c>
      <c r="FA10" s="141">
        <v>32859</v>
      </c>
      <c r="FB10" s="141">
        <v>479781</v>
      </c>
      <c r="FC10" s="141">
        <v>0</v>
      </c>
      <c r="FD10" s="141">
        <v>0</v>
      </c>
      <c r="FE10" s="141">
        <v>5486079</v>
      </c>
      <c r="FF10" s="141">
        <v>2980642</v>
      </c>
      <c r="FG10" s="141">
        <v>2067</v>
      </c>
      <c r="FH10" s="141">
        <v>3285242</v>
      </c>
      <c r="FI10" s="73">
        <f t="shared" si="14"/>
        <v>1202373</v>
      </c>
      <c r="FJ10" s="141">
        <v>26925277</v>
      </c>
      <c r="FK10" s="379">
        <f t="shared" si="15"/>
        <v>0.5</v>
      </c>
      <c r="FL10" s="141">
        <v>22751159</v>
      </c>
      <c r="FM10" s="141">
        <v>668048</v>
      </c>
      <c r="FN10" s="141">
        <v>14624327</v>
      </c>
      <c r="FO10" s="141">
        <v>18590828</v>
      </c>
      <c r="FP10" s="390">
        <v>0.82099999999999995</v>
      </c>
      <c r="FQ10" s="380">
        <v>95.9</v>
      </c>
      <c r="FR10" s="381">
        <v>29.1</v>
      </c>
      <c r="FS10" s="380">
        <v>11.9</v>
      </c>
      <c r="FT10" s="380">
        <v>14.7</v>
      </c>
      <c r="FU10" s="381">
        <v>19.600000000000001</v>
      </c>
      <c r="FV10" s="380">
        <v>5.9</v>
      </c>
      <c r="FW10" s="382">
        <v>13.2</v>
      </c>
      <c r="FX10" s="383">
        <v>1.2</v>
      </c>
      <c r="FY10" s="141">
        <v>33004314</v>
      </c>
      <c r="FZ10" s="384">
        <f t="shared" si="16"/>
        <v>140.9</v>
      </c>
      <c r="GA10" s="141">
        <v>7683426</v>
      </c>
      <c r="GB10" s="141">
        <v>5234650</v>
      </c>
      <c r="GC10" s="141">
        <v>0</v>
      </c>
      <c r="GD10" s="141">
        <v>2448776</v>
      </c>
      <c r="GE10" s="107">
        <v>0</v>
      </c>
      <c r="GF10" s="385"/>
      <c r="GG10" s="386"/>
      <c r="GH10" s="380">
        <v>99.4</v>
      </c>
      <c r="GI10" s="380">
        <v>32.9</v>
      </c>
      <c r="GJ10" s="380">
        <v>98</v>
      </c>
      <c r="GK10" s="141">
        <v>612</v>
      </c>
      <c r="GL10" s="391" t="s">
        <v>646</v>
      </c>
      <c r="GM10" s="391">
        <v>12.2</v>
      </c>
      <c r="GN10" s="117">
        <v>20</v>
      </c>
      <c r="GO10" s="391" t="s">
        <v>646</v>
      </c>
      <c r="GP10" s="392">
        <v>17.2</v>
      </c>
      <c r="GQ10" s="387">
        <v>30</v>
      </c>
      <c r="GR10" s="381">
        <v>1.2</v>
      </c>
      <c r="GS10" s="388">
        <v>25</v>
      </c>
      <c r="GT10" s="388">
        <v>35</v>
      </c>
      <c r="GU10" s="393" t="s">
        <v>646</v>
      </c>
      <c r="GV10" s="388">
        <v>350</v>
      </c>
      <c r="GW10" s="394"/>
      <c r="GX10" s="100">
        <f t="shared" si="17"/>
        <v>23419</v>
      </c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  <c r="HW10" s="394"/>
      <c r="HX10" s="394"/>
    </row>
    <row r="11" spans="2:232" x14ac:dyDescent="0.15">
      <c r="B11" s="89" t="s">
        <v>11</v>
      </c>
      <c r="C11" s="141">
        <v>70539746</v>
      </c>
      <c r="D11" s="73">
        <f t="shared" si="0"/>
        <v>30039761</v>
      </c>
      <c r="E11" s="141">
        <v>658518</v>
      </c>
      <c r="F11" s="141">
        <v>29381243</v>
      </c>
      <c r="G11" s="73">
        <f t="shared" si="1"/>
        <v>4457653</v>
      </c>
      <c r="H11" s="141">
        <v>1258831</v>
      </c>
      <c r="I11" s="141">
        <v>3198822</v>
      </c>
      <c r="J11" s="141">
        <v>26820500</v>
      </c>
      <c r="K11" s="141">
        <v>9748484</v>
      </c>
      <c r="L11" s="141">
        <v>13577720</v>
      </c>
      <c r="M11" s="141">
        <v>2912971</v>
      </c>
      <c r="N11" s="141">
        <v>1863215</v>
      </c>
      <c r="O11" s="141">
        <v>5967451</v>
      </c>
      <c r="P11" s="141">
        <v>2934106</v>
      </c>
      <c r="Q11" s="141">
        <v>3033345</v>
      </c>
      <c r="R11" s="141">
        <v>596530</v>
      </c>
      <c r="S11" s="74"/>
      <c r="T11" s="73">
        <f t="shared" si="2"/>
        <v>11077885</v>
      </c>
      <c r="U11" s="141">
        <v>71475</v>
      </c>
      <c r="V11" s="141">
        <v>598035</v>
      </c>
      <c r="W11" s="141">
        <v>429054</v>
      </c>
      <c r="X11" s="141">
        <v>8902731</v>
      </c>
      <c r="Y11" s="141">
        <v>0</v>
      </c>
      <c r="Z11" s="141">
        <v>0</v>
      </c>
      <c r="AA11" s="141">
        <v>4334</v>
      </c>
      <c r="AB11" s="141">
        <v>129688</v>
      </c>
      <c r="AC11" s="141">
        <v>942568</v>
      </c>
      <c r="AD11" s="141">
        <v>387710</v>
      </c>
      <c r="AE11" s="141">
        <v>2967755</v>
      </c>
      <c r="AF11" s="141">
        <v>2701712</v>
      </c>
      <c r="AG11" s="141">
        <v>265936</v>
      </c>
      <c r="AH11" s="141">
        <v>36853</v>
      </c>
      <c r="AI11" s="141">
        <v>784832</v>
      </c>
      <c r="AJ11" s="73">
        <f t="shared" si="3"/>
        <v>2573388</v>
      </c>
      <c r="AK11" s="141">
        <v>2027111</v>
      </c>
      <c r="AL11" s="141">
        <v>546277</v>
      </c>
      <c r="AM11" s="141">
        <v>40259748</v>
      </c>
      <c r="AN11" s="73">
        <f t="shared" si="4"/>
        <v>16693819</v>
      </c>
      <c r="AO11" s="141">
        <v>7504661</v>
      </c>
      <c r="AP11" s="141">
        <v>3998340</v>
      </c>
      <c r="AQ11" s="74"/>
      <c r="AR11" s="141">
        <v>5190818</v>
      </c>
      <c r="AS11" s="141">
        <v>2299623</v>
      </c>
      <c r="AT11" s="141">
        <v>0</v>
      </c>
      <c r="AU11" s="141">
        <v>0</v>
      </c>
      <c r="AV11" s="141">
        <v>11296879</v>
      </c>
      <c r="AW11" s="141">
        <v>8050851</v>
      </c>
      <c r="AX11" s="141">
        <v>1605189</v>
      </c>
      <c r="AY11" s="141">
        <v>414002</v>
      </c>
      <c r="AZ11" s="141">
        <v>3246028</v>
      </c>
      <c r="BA11" s="141">
        <v>0</v>
      </c>
      <c r="BB11" s="141">
        <v>507533</v>
      </c>
      <c r="BC11" s="141">
        <v>416761</v>
      </c>
      <c r="BD11" s="141">
        <v>1023037</v>
      </c>
      <c r="BE11" s="141">
        <v>3763628</v>
      </c>
      <c r="BF11" s="141">
        <v>0</v>
      </c>
      <c r="BG11" s="141">
        <v>0</v>
      </c>
      <c r="BH11" s="141">
        <v>3587591</v>
      </c>
      <c r="BI11" s="141">
        <v>172996</v>
      </c>
      <c r="BJ11" s="141">
        <v>3130103</v>
      </c>
      <c r="BK11" s="141">
        <v>2613643</v>
      </c>
      <c r="BL11" s="141">
        <v>3611030</v>
      </c>
      <c r="BM11" s="141">
        <v>353522</v>
      </c>
      <c r="BN11" s="141">
        <v>0</v>
      </c>
      <c r="BO11" s="141">
        <v>463182</v>
      </c>
      <c r="BP11" s="141">
        <v>7580100</v>
      </c>
      <c r="BQ11" s="73">
        <f t="shared" si="5"/>
        <v>6580100</v>
      </c>
      <c r="BR11" s="73">
        <f t="shared" si="6"/>
        <v>1000000</v>
      </c>
      <c r="BS11" s="141">
        <v>0</v>
      </c>
      <c r="BT11" s="141">
        <v>0</v>
      </c>
      <c r="BU11" s="141">
        <v>1000000</v>
      </c>
      <c r="BV11" s="141">
        <v>0</v>
      </c>
      <c r="BW11" s="141">
        <v>160136757</v>
      </c>
      <c r="BX11" s="71"/>
      <c r="BY11" s="141">
        <v>26405634</v>
      </c>
      <c r="BZ11" s="141">
        <v>17237042</v>
      </c>
      <c r="CA11" s="141">
        <v>1312984</v>
      </c>
      <c r="CB11" s="141">
        <v>3086725</v>
      </c>
      <c r="CC11" s="141">
        <v>50138048</v>
      </c>
      <c r="CD11" s="141">
        <v>15380523</v>
      </c>
      <c r="CE11" s="141">
        <v>64818</v>
      </c>
      <c r="CF11" s="141">
        <v>21586602</v>
      </c>
      <c r="CG11" s="141">
        <v>10115784</v>
      </c>
      <c r="CH11" s="141">
        <v>755486</v>
      </c>
      <c r="CI11" s="141">
        <v>2234835</v>
      </c>
      <c r="CJ11" s="141">
        <v>6521259</v>
      </c>
      <c r="CK11" s="141">
        <v>6218181</v>
      </c>
      <c r="CL11" s="83">
        <f t="shared" si="7"/>
        <v>303078</v>
      </c>
      <c r="CM11" s="141">
        <v>27256700</v>
      </c>
      <c r="CN11" s="141">
        <v>21307626</v>
      </c>
      <c r="CO11" s="102"/>
      <c r="CP11" s="141">
        <v>3042983</v>
      </c>
      <c r="CQ11" s="141">
        <v>2739851</v>
      </c>
      <c r="CR11" s="141">
        <v>10479376</v>
      </c>
      <c r="CS11" s="141">
        <v>7426</v>
      </c>
      <c r="CT11" s="141">
        <v>4605435</v>
      </c>
      <c r="CU11" s="141">
        <v>3300299</v>
      </c>
      <c r="CV11" s="73">
        <f t="shared" si="8"/>
        <v>2857051</v>
      </c>
      <c r="CW11" s="141">
        <v>2761570</v>
      </c>
      <c r="CX11" s="141">
        <v>95481</v>
      </c>
      <c r="CY11" s="73">
        <f t="shared" si="9"/>
        <v>0</v>
      </c>
      <c r="CZ11" s="141">
        <v>0</v>
      </c>
      <c r="DA11" s="141">
        <v>0</v>
      </c>
      <c r="DB11" s="73">
        <f t="shared" si="10"/>
        <v>2805696</v>
      </c>
      <c r="DC11" s="141">
        <v>2718511</v>
      </c>
      <c r="DD11" s="141">
        <v>87185</v>
      </c>
      <c r="DE11" s="141">
        <v>17076795</v>
      </c>
      <c r="DF11" s="141">
        <v>6264173</v>
      </c>
      <c r="DG11" s="141">
        <v>10812622</v>
      </c>
      <c r="DH11" s="141">
        <v>0</v>
      </c>
      <c r="DI11" s="141">
        <v>0</v>
      </c>
      <c r="DJ11" s="141">
        <v>0</v>
      </c>
      <c r="DK11" s="141">
        <v>2951062</v>
      </c>
      <c r="DL11" s="141">
        <v>1296653</v>
      </c>
      <c r="DM11" s="141">
        <v>0</v>
      </c>
      <c r="DN11" s="141">
        <v>1654409</v>
      </c>
      <c r="DO11" s="141">
        <v>0</v>
      </c>
      <c r="DP11" s="141">
        <v>0</v>
      </c>
      <c r="DQ11" s="141">
        <v>0</v>
      </c>
      <c r="DR11" s="141">
        <v>0</v>
      </c>
      <c r="DS11" s="141">
        <v>360083</v>
      </c>
      <c r="DT11" s="141">
        <v>0</v>
      </c>
      <c r="DU11" s="141">
        <v>0</v>
      </c>
      <c r="DV11" s="141">
        <v>12379828</v>
      </c>
      <c r="DW11" s="141">
        <v>0</v>
      </c>
      <c r="DX11" s="73">
        <f t="shared" si="11"/>
        <v>0</v>
      </c>
      <c r="DY11" s="141">
        <v>0</v>
      </c>
      <c r="DZ11" s="141">
        <v>4680952</v>
      </c>
      <c r="EA11" s="141">
        <v>0</v>
      </c>
      <c r="EB11" s="141">
        <v>2948848</v>
      </c>
      <c r="EC11" s="74">
        <v>0</v>
      </c>
      <c r="ED11" s="141">
        <v>4663983</v>
      </c>
      <c r="EE11" s="141">
        <v>0</v>
      </c>
      <c r="EF11" s="141">
        <v>156308636</v>
      </c>
      <c r="EG11" s="71"/>
      <c r="EH11" s="141">
        <v>3828121</v>
      </c>
      <c r="EI11" s="141">
        <v>2345978</v>
      </c>
      <c r="EJ11" s="141">
        <v>1482143</v>
      </c>
      <c r="EK11" s="141">
        <v>-1131500</v>
      </c>
      <c r="EL11" s="141">
        <v>165153</v>
      </c>
      <c r="EM11" s="71"/>
      <c r="EN11" s="141">
        <v>385567</v>
      </c>
      <c r="EO11" s="141">
        <v>381316</v>
      </c>
      <c r="EP11" s="141">
        <v>1404120</v>
      </c>
      <c r="EQ11" s="141">
        <v>506826</v>
      </c>
      <c r="ER11" s="73">
        <f t="shared" si="12"/>
        <v>9892772</v>
      </c>
      <c r="ES11" s="141">
        <v>85606479</v>
      </c>
      <c r="ET11" s="141">
        <v>-12766865</v>
      </c>
      <c r="EU11" s="141">
        <v>24444209</v>
      </c>
      <c r="EV11" s="141">
        <v>15994379</v>
      </c>
      <c r="EW11" s="141">
        <v>14693532</v>
      </c>
      <c r="EX11" s="141">
        <v>6449548</v>
      </c>
      <c r="EY11" s="73">
        <f t="shared" si="13"/>
        <v>5179147</v>
      </c>
      <c r="EZ11" s="141">
        <v>5179147</v>
      </c>
      <c r="FA11" s="141">
        <v>268120</v>
      </c>
      <c r="FB11" s="141">
        <v>4911027</v>
      </c>
      <c r="FC11" s="141">
        <v>0</v>
      </c>
      <c r="FD11" s="141">
        <v>0</v>
      </c>
      <c r="FE11" s="141">
        <v>19728127</v>
      </c>
      <c r="FF11" s="141">
        <v>8923205</v>
      </c>
      <c r="FG11" s="141">
        <v>7426</v>
      </c>
      <c r="FH11" s="141">
        <v>9722537</v>
      </c>
      <c r="FI11" s="73">
        <f t="shared" si="14"/>
        <v>5404918</v>
      </c>
      <c r="FJ11" s="141">
        <v>94545223</v>
      </c>
      <c r="FK11" s="379">
        <f t="shared" si="15"/>
        <v>1.9</v>
      </c>
      <c r="FL11" s="141">
        <v>77265388</v>
      </c>
      <c r="FM11" s="141">
        <v>1358794</v>
      </c>
      <c r="FN11" s="141">
        <v>57520219</v>
      </c>
      <c r="FO11" s="141">
        <v>60221931</v>
      </c>
      <c r="FP11" s="390">
        <v>0.96199999999999997</v>
      </c>
      <c r="FQ11" s="380">
        <v>95.6</v>
      </c>
      <c r="FR11" s="381">
        <v>29.6</v>
      </c>
      <c r="FS11" s="380">
        <v>16.399999999999999</v>
      </c>
      <c r="FT11" s="380">
        <v>7.9</v>
      </c>
      <c r="FU11" s="381">
        <v>20.100000000000001</v>
      </c>
      <c r="FV11" s="380">
        <v>6.8</v>
      </c>
      <c r="FW11" s="382">
        <v>11.5</v>
      </c>
      <c r="FX11" s="383">
        <v>-0.3</v>
      </c>
      <c r="FY11" s="141">
        <v>57075668</v>
      </c>
      <c r="FZ11" s="384">
        <f t="shared" si="16"/>
        <v>72.599999999999994</v>
      </c>
      <c r="GA11" s="141">
        <v>35590406</v>
      </c>
      <c r="GB11" s="141">
        <v>14303619</v>
      </c>
      <c r="GC11" s="141">
        <v>0</v>
      </c>
      <c r="GD11" s="141">
        <v>21286787</v>
      </c>
      <c r="GE11" s="107">
        <v>0</v>
      </c>
      <c r="GF11" s="385"/>
      <c r="GG11" s="386"/>
      <c r="GH11" s="380">
        <v>99.6</v>
      </c>
      <c r="GI11" s="380">
        <v>38</v>
      </c>
      <c r="GJ11" s="380">
        <v>98.9</v>
      </c>
      <c r="GK11" s="141">
        <v>2570</v>
      </c>
      <c r="GL11" s="391" t="s">
        <v>646</v>
      </c>
      <c r="GM11" s="391">
        <v>11.25</v>
      </c>
      <c r="GN11" s="117">
        <v>20</v>
      </c>
      <c r="GO11" s="391" t="s">
        <v>646</v>
      </c>
      <c r="GP11" s="392">
        <v>16.25</v>
      </c>
      <c r="GQ11" s="387">
        <v>30</v>
      </c>
      <c r="GR11" s="381">
        <v>-0.3</v>
      </c>
      <c r="GS11" s="388">
        <v>25</v>
      </c>
      <c r="GT11" s="388">
        <v>35</v>
      </c>
      <c r="GU11" s="393" t="s">
        <v>646</v>
      </c>
      <c r="GV11" s="388">
        <v>350</v>
      </c>
      <c r="GW11" s="394"/>
      <c r="GX11" s="100">
        <f t="shared" si="17"/>
        <v>78624</v>
      </c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  <c r="HW11" s="394"/>
      <c r="HX11" s="394"/>
    </row>
    <row r="12" spans="2:232" x14ac:dyDescent="0.15">
      <c r="B12" s="89" t="s">
        <v>13</v>
      </c>
      <c r="C12" s="141">
        <v>11888047</v>
      </c>
      <c r="D12" s="73">
        <f t="shared" si="0"/>
        <v>3943102</v>
      </c>
      <c r="E12" s="141">
        <v>121463</v>
      </c>
      <c r="F12" s="141">
        <v>3821639</v>
      </c>
      <c r="G12" s="73">
        <f t="shared" si="1"/>
        <v>867719</v>
      </c>
      <c r="H12" s="141">
        <v>288643</v>
      </c>
      <c r="I12" s="141">
        <v>579076</v>
      </c>
      <c r="J12" s="141">
        <v>5310396</v>
      </c>
      <c r="K12" s="141">
        <v>1904879</v>
      </c>
      <c r="L12" s="141">
        <v>2143381</v>
      </c>
      <c r="M12" s="141">
        <v>707001</v>
      </c>
      <c r="N12" s="141">
        <v>639267</v>
      </c>
      <c r="O12" s="141">
        <v>992699</v>
      </c>
      <c r="P12" s="141">
        <v>519639</v>
      </c>
      <c r="Q12" s="141">
        <v>473060</v>
      </c>
      <c r="R12" s="141">
        <v>200444</v>
      </c>
      <c r="S12" s="74"/>
      <c r="T12" s="73">
        <f t="shared" si="2"/>
        <v>2094741</v>
      </c>
      <c r="U12" s="141">
        <v>9491</v>
      </c>
      <c r="V12" s="141">
        <v>79290</v>
      </c>
      <c r="W12" s="141">
        <v>56781</v>
      </c>
      <c r="X12" s="141">
        <v>1739948</v>
      </c>
      <c r="Y12" s="141">
        <v>0</v>
      </c>
      <c r="Z12" s="141">
        <v>0</v>
      </c>
      <c r="AA12" s="141">
        <v>974</v>
      </c>
      <c r="AB12" s="141">
        <v>29155</v>
      </c>
      <c r="AC12" s="141">
        <v>179102</v>
      </c>
      <c r="AD12" s="141">
        <v>75759</v>
      </c>
      <c r="AE12" s="141">
        <v>4678106</v>
      </c>
      <c r="AF12" s="141">
        <v>4404087</v>
      </c>
      <c r="AG12" s="141">
        <v>274019</v>
      </c>
      <c r="AH12" s="141">
        <v>12438</v>
      </c>
      <c r="AI12" s="141">
        <v>17900</v>
      </c>
      <c r="AJ12" s="73">
        <f t="shared" si="3"/>
        <v>353056</v>
      </c>
      <c r="AK12" s="141">
        <v>224186</v>
      </c>
      <c r="AL12" s="141">
        <v>128870</v>
      </c>
      <c r="AM12" s="141">
        <v>8175971</v>
      </c>
      <c r="AN12" s="73">
        <f t="shared" si="4"/>
        <v>4154600</v>
      </c>
      <c r="AO12" s="141">
        <v>2167518</v>
      </c>
      <c r="AP12" s="141">
        <v>710568</v>
      </c>
      <c r="AQ12" s="74"/>
      <c r="AR12" s="141">
        <v>1276514</v>
      </c>
      <c r="AS12" s="141">
        <v>154498</v>
      </c>
      <c r="AT12" s="141">
        <v>0</v>
      </c>
      <c r="AU12" s="141">
        <v>0</v>
      </c>
      <c r="AV12" s="141">
        <v>2288910</v>
      </c>
      <c r="AW12" s="141">
        <v>1448110</v>
      </c>
      <c r="AX12" s="141">
        <v>309625</v>
      </c>
      <c r="AY12" s="141">
        <v>112740</v>
      </c>
      <c r="AZ12" s="141">
        <v>840800</v>
      </c>
      <c r="BA12" s="141">
        <v>262</v>
      </c>
      <c r="BB12" s="141">
        <v>121270</v>
      </c>
      <c r="BC12" s="141">
        <v>6824</v>
      </c>
      <c r="BD12" s="141">
        <v>669213</v>
      </c>
      <c r="BE12" s="141">
        <v>843661</v>
      </c>
      <c r="BF12" s="141">
        <v>300000</v>
      </c>
      <c r="BG12" s="141">
        <v>0</v>
      </c>
      <c r="BH12" s="141">
        <v>436745</v>
      </c>
      <c r="BI12" s="141">
        <v>0</v>
      </c>
      <c r="BJ12" s="141">
        <v>675937</v>
      </c>
      <c r="BK12" s="141">
        <v>344540</v>
      </c>
      <c r="BL12" s="141">
        <v>948384</v>
      </c>
      <c r="BM12" s="141">
        <v>0</v>
      </c>
      <c r="BN12" s="141">
        <v>0</v>
      </c>
      <c r="BO12" s="141">
        <v>313575</v>
      </c>
      <c r="BP12" s="141">
        <v>1503262</v>
      </c>
      <c r="BQ12" s="73">
        <f t="shared" si="5"/>
        <v>1104700</v>
      </c>
      <c r="BR12" s="73">
        <f t="shared" si="6"/>
        <v>398562</v>
      </c>
      <c r="BS12" s="141">
        <v>0</v>
      </c>
      <c r="BT12" s="141">
        <v>0</v>
      </c>
      <c r="BU12" s="141">
        <v>398562</v>
      </c>
      <c r="BV12" s="141">
        <v>0</v>
      </c>
      <c r="BW12" s="141">
        <v>34547099</v>
      </c>
      <c r="BX12" s="71"/>
      <c r="BY12" s="141">
        <v>4629554</v>
      </c>
      <c r="BZ12" s="141">
        <v>2673751</v>
      </c>
      <c r="CA12" s="141">
        <v>186657</v>
      </c>
      <c r="CB12" s="141">
        <v>862660</v>
      </c>
      <c r="CC12" s="141">
        <v>9740880</v>
      </c>
      <c r="CD12" s="141">
        <v>3546695</v>
      </c>
      <c r="CE12" s="141">
        <v>66208</v>
      </c>
      <c r="CF12" s="141">
        <v>2971726</v>
      </c>
      <c r="CG12" s="141">
        <v>2852506</v>
      </c>
      <c r="CH12" s="141">
        <v>4983</v>
      </c>
      <c r="CI12" s="141">
        <v>298762</v>
      </c>
      <c r="CJ12" s="141">
        <v>2756925</v>
      </c>
      <c r="CK12" s="141">
        <v>2591684</v>
      </c>
      <c r="CL12" s="83">
        <f t="shared" si="7"/>
        <v>165241</v>
      </c>
      <c r="CM12" s="141">
        <v>4761244</v>
      </c>
      <c r="CN12" s="141">
        <v>3223659</v>
      </c>
      <c r="CO12" s="102"/>
      <c r="CP12" s="141">
        <v>766611</v>
      </c>
      <c r="CQ12" s="141">
        <v>162127</v>
      </c>
      <c r="CR12" s="141">
        <v>4770609</v>
      </c>
      <c r="CS12" s="141">
        <v>288697</v>
      </c>
      <c r="CT12" s="141">
        <v>414542</v>
      </c>
      <c r="CU12" s="141">
        <v>349163</v>
      </c>
      <c r="CV12" s="73">
        <f t="shared" si="8"/>
        <v>3089838</v>
      </c>
      <c r="CW12" s="141">
        <v>2001241</v>
      </c>
      <c r="CX12" s="141">
        <v>1088597</v>
      </c>
      <c r="CY12" s="73">
        <f t="shared" si="9"/>
        <v>1805456</v>
      </c>
      <c r="CZ12" s="141">
        <v>1805456</v>
      </c>
      <c r="DA12" s="141">
        <v>0</v>
      </c>
      <c r="DB12" s="73">
        <f t="shared" si="10"/>
        <v>1255583</v>
      </c>
      <c r="DC12" s="141">
        <v>174556</v>
      </c>
      <c r="DD12" s="141">
        <v>1081027</v>
      </c>
      <c r="DE12" s="141">
        <v>2912283</v>
      </c>
      <c r="DF12" s="141">
        <v>1336230</v>
      </c>
      <c r="DG12" s="141">
        <v>1576053</v>
      </c>
      <c r="DH12" s="141">
        <v>0</v>
      </c>
      <c r="DI12" s="141">
        <v>0</v>
      </c>
      <c r="DJ12" s="141">
        <v>0</v>
      </c>
      <c r="DK12" s="141">
        <v>1293671</v>
      </c>
      <c r="DL12" s="141">
        <v>794168</v>
      </c>
      <c r="DM12" s="141">
        <v>0</v>
      </c>
      <c r="DN12" s="141">
        <v>499503</v>
      </c>
      <c r="DO12" s="141">
        <v>0</v>
      </c>
      <c r="DP12" s="141">
        <v>0</v>
      </c>
      <c r="DQ12" s="141">
        <v>0</v>
      </c>
      <c r="DR12" s="141">
        <v>0</v>
      </c>
      <c r="DS12" s="141">
        <v>0</v>
      </c>
      <c r="DT12" s="141">
        <v>0</v>
      </c>
      <c r="DU12" s="141">
        <v>0</v>
      </c>
      <c r="DV12" s="141">
        <v>2996721</v>
      </c>
      <c r="DW12" s="141">
        <v>71916</v>
      </c>
      <c r="DX12" s="73">
        <f t="shared" si="11"/>
        <v>0</v>
      </c>
      <c r="DY12" s="141">
        <v>0</v>
      </c>
      <c r="DZ12" s="141">
        <v>1078530</v>
      </c>
      <c r="EA12" s="141">
        <v>0</v>
      </c>
      <c r="EB12" s="141">
        <v>811942</v>
      </c>
      <c r="EC12" s="74">
        <v>0</v>
      </c>
      <c r="ED12" s="141">
        <v>1034333</v>
      </c>
      <c r="EE12" s="141">
        <v>0</v>
      </c>
      <c r="EF12" s="141">
        <v>34024014</v>
      </c>
      <c r="EG12" s="71"/>
      <c r="EH12" s="141">
        <v>523085</v>
      </c>
      <c r="EI12" s="141">
        <v>203807</v>
      </c>
      <c r="EJ12" s="141">
        <v>319278</v>
      </c>
      <c r="EK12" s="141">
        <v>-25262</v>
      </c>
      <c r="EL12" s="141">
        <v>468906</v>
      </c>
      <c r="EM12" s="71"/>
      <c r="EN12" s="141">
        <v>74412</v>
      </c>
      <c r="EO12" s="141">
        <v>73282</v>
      </c>
      <c r="EP12" s="141">
        <v>300000</v>
      </c>
      <c r="EQ12" s="141">
        <v>3436</v>
      </c>
      <c r="ER12" s="73">
        <f t="shared" si="12"/>
        <v>2000300</v>
      </c>
      <c r="ES12" s="141">
        <v>18949535</v>
      </c>
      <c r="ET12" s="141">
        <v>-2689860</v>
      </c>
      <c r="EU12" s="141">
        <v>4147309</v>
      </c>
      <c r="EV12" s="141">
        <v>2390547</v>
      </c>
      <c r="EW12" s="141">
        <v>2613791</v>
      </c>
      <c r="EX12" s="141">
        <v>2747942</v>
      </c>
      <c r="EY12" s="73">
        <f t="shared" si="13"/>
        <v>995912</v>
      </c>
      <c r="EZ12" s="141">
        <v>995912</v>
      </c>
      <c r="FA12" s="141">
        <v>100659</v>
      </c>
      <c r="FB12" s="141">
        <v>895253</v>
      </c>
      <c r="FC12" s="141">
        <v>0</v>
      </c>
      <c r="FD12" s="141">
        <v>0</v>
      </c>
      <c r="FE12" s="141">
        <v>3383472</v>
      </c>
      <c r="FF12" s="141">
        <v>4019777</v>
      </c>
      <c r="FG12" s="141">
        <v>288697</v>
      </c>
      <c r="FH12" s="141">
        <v>2246655</v>
      </c>
      <c r="FI12" s="73">
        <f t="shared" si="14"/>
        <v>961452</v>
      </c>
      <c r="FJ12" s="141">
        <v>21116310</v>
      </c>
      <c r="FK12" s="379">
        <f t="shared" si="15"/>
        <v>1.8</v>
      </c>
      <c r="FL12" s="141">
        <v>17199990</v>
      </c>
      <c r="FM12" s="141">
        <v>398562</v>
      </c>
      <c r="FN12" s="141">
        <v>10053995</v>
      </c>
      <c r="FO12" s="141">
        <v>14458082</v>
      </c>
      <c r="FP12" s="390">
        <v>0.70599999999999996</v>
      </c>
      <c r="FQ12" s="380">
        <v>94.8</v>
      </c>
      <c r="FR12" s="381">
        <v>22.2</v>
      </c>
      <c r="FS12" s="380">
        <v>14.3</v>
      </c>
      <c r="FT12" s="380">
        <v>15.1</v>
      </c>
      <c r="FU12" s="381">
        <v>14.6</v>
      </c>
      <c r="FV12" s="380">
        <v>16.100000000000001</v>
      </c>
      <c r="FW12" s="382">
        <v>11.6</v>
      </c>
      <c r="FX12" s="383">
        <v>8.6999999999999993</v>
      </c>
      <c r="FY12" s="141">
        <v>26247712</v>
      </c>
      <c r="FZ12" s="384">
        <f t="shared" si="16"/>
        <v>149.1</v>
      </c>
      <c r="GA12" s="141">
        <v>9052860</v>
      </c>
      <c r="GB12" s="141">
        <v>4833917</v>
      </c>
      <c r="GC12" s="141">
        <v>0</v>
      </c>
      <c r="GD12" s="141">
        <v>4218943</v>
      </c>
      <c r="GE12" s="107">
        <v>0</v>
      </c>
      <c r="GF12" s="385">
        <v>322</v>
      </c>
      <c r="GG12" s="386">
        <f>IF(GF12=0,"-",ROUND(GF12/(GX12)*100,1))</f>
        <v>1.8</v>
      </c>
      <c r="GH12" s="380">
        <v>98.9</v>
      </c>
      <c r="GI12" s="380">
        <v>41.8</v>
      </c>
      <c r="GJ12" s="380">
        <v>98.1</v>
      </c>
      <c r="GK12" s="141">
        <v>481</v>
      </c>
      <c r="GL12" s="391" t="s">
        <v>646</v>
      </c>
      <c r="GM12" s="391">
        <v>12.61</v>
      </c>
      <c r="GN12" s="117">
        <v>20</v>
      </c>
      <c r="GO12" s="391" t="s">
        <v>646</v>
      </c>
      <c r="GP12" s="392">
        <v>17.61</v>
      </c>
      <c r="GQ12" s="387">
        <v>30</v>
      </c>
      <c r="GR12" s="381">
        <v>8.6999999999999993</v>
      </c>
      <c r="GS12" s="388">
        <v>25</v>
      </c>
      <c r="GT12" s="388">
        <v>35</v>
      </c>
      <c r="GU12" s="393">
        <v>6.1</v>
      </c>
      <c r="GV12" s="388">
        <v>350</v>
      </c>
      <c r="GW12" s="394"/>
      <c r="GX12" s="100">
        <f t="shared" si="17"/>
        <v>17599</v>
      </c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  <c r="HW12" s="394"/>
      <c r="HX12" s="394"/>
    </row>
    <row r="13" spans="2:232" ht="12.75" customHeight="1" x14ac:dyDescent="0.15">
      <c r="B13" s="89" t="s">
        <v>15</v>
      </c>
      <c r="C13" s="141">
        <v>51410705</v>
      </c>
      <c r="D13" s="73">
        <f t="shared" si="0"/>
        <v>21190303</v>
      </c>
      <c r="E13" s="141">
        <v>593308</v>
      </c>
      <c r="F13" s="141">
        <v>20596995</v>
      </c>
      <c r="G13" s="73">
        <f t="shared" si="1"/>
        <v>2759413</v>
      </c>
      <c r="H13" s="141">
        <v>849510</v>
      </c>
      <c r="I13" s="141">
        <v>1909903</v>
      </c>
      <c r="J13" s="141">
        <v>19956813</v>
      </c>
      <c r="K13" s="141">
        <v>7961160</v>
      </c>
      <c r="L13" s="141">
        <v>9164158</v>
      </c>
      <c r="M13" s="141">
        <v>2581704</v>
      </c>
      <c r="N13" s="141">
        <v>1756607</v>
      </c>
      <c r="O13" s="141">
        <v>4106381</v>
      </c>
      <c r="P13" s="141">
        <v>2179079</v>
      </c>
      <c r="Q13" s="141">
        <v>1927302</v>
      </c>
      <c r="R13" s="141">
        <v>620647</v>
      </c>
      <c r="S13" s="74"/>
      <c r="T13" s="73">
        <f t="shared" si="2"/>
        <v>9503682</v>
      </c>
      <c r="U13" s="141">
        <v>52008</v>
      </c>
      <c r="V13" s="141">
        <v>434035</v>
      </c>
      <c r="W13" s="141">
        <v>310448</v>
      </c>
      <c r="X13" s="141">
        <v>7859955</v>
      </c>
      <c r="Y13" s="141">
        <v>51336</v>
      </c>
      <c r="Z13" s="141">
        <v>0</v>
      </c>
      <c r="AA13" s="141">
        <v>4460</v>
      </c>
      <c r="AB13" s="141">
        <v>133459</v>
      </c>
      <c r="AC13" s="141">
        <v>657981</v>
      </c>
      <c r="AD13" s="141">
        <v>412354</v>
      </c>
      <c r="AE13" s="141">
        <v>14341441</v>
      </c>
      <c r="AF13" s="141">
        <v>13665515</v>
      </c>
      <c r="AG13" s="141">
        <v>675926</v>
      </c>
      <c r="AH13" s="141">
        <v>36732</v>
      </c>
      <c r="AI13" s="141">
        <v>1277396</v>
      </c>
      <c r="AJ13" s="73">
        <f t="shared" si="3"/>
        <v>2268388</v>
      </c>
      <c r="AK13" s="141">
        <v>1803340</v>
      </c>
      <c r="AL13" s="141">
        <v>465048</v>
      </c>
      <c r="AM13" s="141">
        <v>38985462</v>
      </c>
      <c r="AN13" s="73">
        <f t="shared" si="4"/>
        <v>17307714</v>
      </c>
      <c r="AO13" s="141">
        <v>7782849</v>
      </c>
      <c r="AP13" s="141">
        <v>5325125</v>
      </c>
      <c r="AQ13" s="74"/>
      <c r="AR13" s="141">
        <v>4199740</v>
      </c>
      <c r="AS13" s="141">
        <v>810151</v>
      </c>
      <c r="AT13" s="141">
        <v>0</v>
      </c>
      <c r="AU13" s="141">
        <v>0</v>
      </c>
      <c r="AV13" s="141">
        <v>10352288</v>
      </c>
      <c r="AW13" s="141">
        <v>7067872</v>
      </c>
      <c r="AX13" s="141">
        <v>1985940</v>
      </c>
      <c r="AY13" s="141">
        <v>315113</v>
      </c>
      <c r="AZ13" s="141">
        <v>3284416</v>
      </c>
      <c r="BA13" s="141">
        <v>82172</v>
      </c>
      <c r="BB13" s="141">
        <v>636932</v>
      </c>
      <c r="BC13" s="141">
        <v>477452</v>
      </c>
      <c r="BD13" s="141">
        <v>760000</v>
      </c>
      <c r="BE13" s="141">
        <v>3327110</v>
      </c>
      <c r="BF13" s="141">
        <v>3000000</v>
      </c>
      <c r="BG13" s="141">
        <v>0</v>
      </c>
      <c r="BH13" s="141">
        <v>324230</v>
      </c>
      <c r="BI13" s="141">
        <v>0</v>
      </c>
      <c r="BJ13" s="141">
        <v>4329822</v>
      </c>
      <c r="BK13" s="141">
        <v>2574637</v>
      </c>
      <c r="BL13" s="141">
        <v>4163178</v>
      </c>
      <c r="BM13" s="141">
        <v>377399</v>
      </c>
      <c r="BN13" s="141">
        <v>0</v>
      </c>
      <c r="BO13" s="141">
        <v>451984</v>
      </c>
      <c r="BP13" s="141">
        <v>4313200</v>
      </c>
      <c r="BQ13" s="73">
        <f t="shared" si="5"/>
        <v>3313200</v>
      </c>
      <c r="BR13" s="73">
        <f t="shared" si="6"/>
        <v>1000000</v>
      </c>
      <c r="BS13" s="141">
        <v>0</v>
      </c>
      <c r="BT13" s="141">
        <v>0</v>
      </c>
      <c r="BU13" s="141">
        <v>1000000</v>
      </c>
      <c r="BV13" s="141">
        <v>0</v>
      </c>
      <c r="BW13" s="141">
        <v>146739337</v>
      </c>
      <c r="BX13" s="71"/>
      <c r="BY13" s="141">
        <v>20825574</v>
      </c>
      <c r="BZ13" s="141">
        <v>13669294</v>
      </c>
      <c r="CA13" s="141">
        <v>755644</v>
      </c>
      <c r="CB13" s="141">
        <v>2676454</v>
      </c>
      <c r="CC13" s="141">
        <v>44290999</v>
      </c>
      <c r="CD13" s="141">
        <v>12992103</v>
      </c>
      <c r="CE13" s="141">
        <v>59945</v>
      </c>
      <c r="CF13" s="141">
        <v>18351790</v>
      </c>
      <c r="CG13" s="141">
        <v>9886064</v>
      </c>
      <c r="CH13" s="141">
        <v>1482371</v>
      </c>
      <c r="CI13" s="141">
        <v>1517876</v>
      </c>
      <c r="CJ13" s="141">
        <v>8157957</v>
      </c>
      <c r="CK13" s="141">
        <v>8078980</v>
      </c>
      <c r="CL13" s="83">
        <f t="shared" si="7"/>
        <v>78977</v>
      </c>
      <c r="CM13" s="141">
        <v>19950757</v>
      </c>
      <c r="CN13" s="141">
        <v>14478544</v>
      </c>
      <c r="CO13" s="102"/>
      <c r="CP13" s="141">
        <v>2984335</v>
      </c>
      <c r="CQ13" s="141">
        <v>2153232</v>
      </c>
      <c r="CR13" s="141">
        <v>14931196</v>
      </c>
      <c r="CS13" s="141">
        <v>22987</v>
      </c>
      <c r="CT13" s="141">
        <v>4542824</v>
      </c>
      <c r="CU13" s="141">
        <v>3348579</v>
      </c>
      <c r="CV13" s="73">
        <f t="shared" si="8"/>
        <v>3883327</v>
      </c>
      <c r="CW13" s="141">
        <v>1819796</v>
      </c>
      <c r="CX13" s="141">
        <v>2063531</v>
      </c>
      <c r="CY13" s="73">
        <f t="shared" si="9"/>
        <v>0</v>
      </c>
      <c r="CZ13" s="141">
        <v>0</v>
      </c>
      <c r="DA13" s="141">
        <v>0</v>
      </c>
      <c r="DB13" s="73">
        <f t="shared" si="10"/>
        <v>2133933</v>
      </c>
      <c r="DC13" s="141">
        <v>1800531</v>
      </c>
      <c r="DD13" s="141">
        <v>333402</v>
      </c>
      <c r="DE13" s="141">
        <v>13652678</v>
      </c>
      <c r="DF13" s="141">
        <v>6583476</v>
      </c>
      <c r="DG13" s="141">
        <v>6828171</v>
      </c>
      <c r="DH13" s="141">
        <v>75683</v>
      </c>
      <c r="DI13" s="141">
        <v>165348</v>
      </c>
      <c r="DJ13" s="141">
        <v>0</v>
      </c>
      <c r="DK13" s="141">
        <v>6700784</v>
      </c>
      <c r="DL13" s="141">
        <v>1965756</v>
      </c>
      <c r="DM13" s="141">
        <v>20</v>
      </c>
      <c r="DN13" s="141">
        <v>4735008</v>
      </c>
      <c r="DO13" s="141">
        <v>573067</v>
      </c>
      <c r="DP13" s="141">
        <v>573067</v>
      </c>
      <c r="DQ13" s="141">
        <v>0</v>
      </c>
      <c r="DR13" s="141">
        <v>0</v>
      </c>
      <c r="DS13" s="141">
        <v>323522</v>
      </c>
      <c r="DT13" s="141">
        <v>0</v>
      </c>
      <c r="DU13" s="141">
        <v>0</v>
      </c>
      <c r="DV13" s="141">
        <v>13480860</v>
      </c>
      <c r="DW13" s="141">
        <v>0</v>
      </c>
      <c r="DX13" s="73">
        <f t="shared" si="11"/>
        <v>0</v>
      </c>
      <c r="DY13" s="141">
        <v>0</v>
      </c>
      <c r="DZ13" s="141">
        <v>5594103</v>
      </c>
      <c r="EA13" s="141">
        <v>0</v>
      </c>
      <c r="EB13" s="141">
        <v>3210866</v>
      </c>
      <c r="EC13" s="74">
        <v>0</v>
      </c>
      <c r="ED13" s="141">
        <v>4675872</v>
      </c>
      <c r="EE13" s="141">
        <v>0</v>
      </c>
      <c r="EF13" s="141">
        <v>145040626</v>
      </c>
      <c r="EG13" s="71"/>
      <c r="EH13" s="141">
        <v>1698711</v>
      </c>
      <c r="EI13" s="141">
        <v>666489</v>
      </c>
      <c r="EJ13" s="141">
        <v>1032222</v>
      </c>
      <c r="EK13" s="141">
        <v>-1542415</v>
      </c>
      <c r="EL13" s="141">
        <v>-2576659</v>
      </c>
      <c r="EM13" s="71"/>
      <c r="EN13" s="141">
        <v>352698</v>
      </c>
      <c r="EO13" s="141">
        <v>348530</v>
      </c>
      <c r="EP13" s="141">
        <v>3000000</v>
      </c>
      <c r="EQ13" s="141">
        <v>558879</v>
      </c>
      <c r="ER13" s="73">
        <f t="shared" si="12"/>
        <v>10714352</v>
      </c>
      <c r="ES13" s="141">
        <v>76325561</v>
      </c>
      <c r="ET13" s="141">
        <v>-15236499</v>
      </c>
      <c r="EU13" s="141">
        <v>18950498</v>
      </c>
      <c r="EV13" s="141">
        <v>12676976</v>
      </c>
      <c r="EW13" s="141">
        <v>11917403</v>
      </c>
      <c r="EX13" s="141">
        <v>7561336</v>
      </c>
      <c r="EY13" s="73">
        <f t="shared" si="13"/>
        <v>5886665</v>
      </c>
      <c r="EZ13" s="141">
        <v>5886665</v>
      </c>
      <c r="FA13" s="141">
        <v>898254</v>
      </c>
      <c r="FB13" s="141">
        <v>4912728</v>
      </c>
      <c r="FC13" s="141">
        <v>0</v>
      </c>
      <c r="FD13" s="141">
        <v>0</v>
      </c>
      <c r="FE13" s="141">
        <v>13167479</v>
      </c>
      <c r="FF13" s="141">
        <v>12612362</v>
      </c>
      <c r="FG13" s="141">
        <v>22987</v>
      </c>
      <c r="FH13" s="141">
        <v>10803221</v>
      </c>
      <c r="FI13" s="73">
        <f t="shared" si="14"/>
        <v>9122942</v>
      </c>
      <c r="FJ13" s="141">
        <v>90021906</v>
      </c>
      <c r="FK13" s="379">
        <f t="shared" si="15"/>
        <v>1.4</v>
      </c>
      <c r="FL13" s="141">
        <v>69955732</v>
      </c>
      <c r="FM13" s="141">
        <v>3007854</v>
      </c>
      <c r="FN13" s="141">
        <v>44154646</v>
      </c>
      <c r="FO13" s="141">
        <v>57818242</v>
      </c>
      <c r="FP13" s="390">
        <v>0.77900000000000003</v>
      </c>
      <c r="FQ13" s="380">
        <v>90.7</v>
      </c>
      <c r="FR13" s="381">
        <v>25.6</v>
      </c>
      <c r="FS13" s="380">
        <v>15.2</v>
      </c>
      <c r="FT13" s="380">
        <v>10.3</v>
      </c>
      <c r="FU13" s="381">
        <v>15.9</v>
      </c>
      <c r="FV13" s="380">
        <v>6.6</v>
      </c>
      <c r="FW13" s="382">
        <v>13.8</v>
      </c>
      <c r="FX13" s="383">
        <v>-1.3</v>
      </c>
      <c r="FY13" s="141">
        <v>41714746</v>
      </c>
      <c r="FZ13" s="384">
        <f t="shared" si="16"/>
        <v>57.2</v>
      </c>
      <c r="GA13" s="141">
        <v>38447757</v>
      </c>
      <c r="GB13" s="141">
        <v>15982873</v>
      </c>
      <c r="GC13" s="141">
        <v>2531216</v>
      </c>
      <c r="GD13" s="141">
        <v>19933668</v>
      </c>
      <c r="GE13" s="107">
        <v>0</v>
      </c>
      <c r="GF13" s="385">
        <v>844</v>
      </c>
      <c r="GG13" s="386">
        <f>IF(GF13=0,"-",ROUND(GF13/(GX13)*100,1))</f>
        <v>1.2</v>
      </c>
      <c r="GH13" s="380">
        <v>99.7</v>
      </c>
      <c r="GI13" s="380">
        <v>54.1</v>
      </c>
      <c r="GJ13" s="380">
        <v>99.5</v>
      </c>
      <c r="GK13" s="141">
        <v>2068</v>
      </c>
      <c r="GL13" s="391" t="s">
        <v>646</v>
      </c>
      <c r="GM13" s="391">
        <v>11.25</v>
      </c>
      <c r="GN13" s="117">
        <v>20</v>
      </c>
      <c r="GO13" s="391" t="s">
        <v>646</v>
      </c>
      <c r="GP13" s="392">
        <v>16.25</v>
      </c>
      <c r="GQ13" s="387">
        <v>30</v>
      </c>
      <c r="GR13" s="381">
        <v>-1.3</v>
      </c>
      <c r="GS13" s="388">
        <v>25</v>
      </c>
      <c r="GT13" s="388">
        <v>35</v>
      </c>
      <c r="GU13" s="393" t="s">
        <v>646</v>
      </c>
      <c r="GV13" s="388">
        <v>350</v>
      </c>
      <c r="GW13" s="394"/>
      <c r="GX13" s="100">
        <f t="shared" si="17"/>
        <v>72964</v>
      </c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  <c r="HW13" s="394"/>
      <c r="HX13" s="394"/>
    </row>
    <row r="14" spans="2:232" x14ac:dyDescent="0.15">
      <c r="B14" s="89" t="s">
        <v>17</v>
      </c>
      <c r="C14" s="141">
        <v>11495539</v>
      </c>
      <c r="D14" s="73">
        <f t="shared" si="0"/>
        <v>4153016</v>
      </c>
      <c r="E14" s="141">
        <v>136471</v>
      </c>
      <c r="F14" s="141">
        <v>4016545</v>
      </c>
      <c r="G14" s="73">
        <f t="shared" si="1"/>
        <v>687259</v>
      </c>
      <c r="H14" s="141">
        <v>206855</v>
      </c>
      <c r="I14" s="141">
        <v>480404</v>
      </c>
      <c r="J14" s="141">
        <v>4827572</v>
      </c>
      <c r="K14" s="141">
        <v>1605202</v>
      </c>
      <c r="L14" s="141">
        <v>2235322</v>
      </c>
      <c r="M14" s="141">
        <v>776085</v>
      </c>
      <c r="N14" s="141">
        <v>717825</v>
      </c>
      <c r="O14" s="141">
        <v>871892</v>
      </c>
      <c r="P14" s="141">
        <v>406560</v>
      </c>
      <c r="Q14" s="141">
        <v>465332</v>
      </c>
      <c r="R14" s="141">
        <v>178290</v>
      </c>
      <c r="S14" s="74"/>
      <c r="T14" s="73">
        <f t="shared" si="2"/>
        <v>2328952</v>
      </c>
      <c r="U14" s="141">
        <v>10253</v>
      </c>
      <c r="V14" s="141">
        <v>85528</v>
      </c>
      <c r="W14" s="141">
        <v>61133</v>
      </c>
      <c r="X14" s="141">
        <v>1949110</v>
      </c>
      <c r="Y14" s="141">
        <v>0</v>
      </c>
      <c r="Z14" s="141">
        <v>0</v>
      </c>
      <c r="AA14" s="141">
        <v>1287</v>
      </c>
      <c r="AB14" s="141">
        <v>38506</v>
      </c>
      <c r="AC14" s="141">
        <v>183135</v>
      </c>
      <c r="AD14" s="141">
        <v>85323</v>
      </c>
      <c r="AE14" s="141">
        <v>6189252</v>
      </c>
      <c r="AF14" s="141">
        <v>5790006</v>
      </c>
      <c r="AG14" s="141">
        <v>399246</v>
      </c>
      <c r="AH14" s="141">
        <v>12822</v>
      </c>
      <c r="AI14" s="141">
        <v>64989</v>
      </c>
      <c r="AJ14" s="73">
        <f t="shared" si="3"/>
        <v>461996</v>
      </c>
      <c r="AK14" s="141">
        <v>339134</v>
      </c>
      <c r="AL14" s="141">
        <v>122862</v>
      </c>
      <c r="AM14" s="141">
        <v>8943187</v>
      </c>
      <c r="AN14" s="73">
        <f t="shared" si="4"/>
        <v>4488520</v>
      </c>
      <c r="AO14" s="141">
        <v>2115555</v>
      </c>
      <c r="AP14" s="141">
        <v>1329531</v>
      </c>
      <c r="AQ14" s="74"/>
      <c r="AR14" s="141">
        <v>1043434</v>
      </c>
      <c r="AS14" s="141">
        <v>236448</v>
      </c>
      <c r="AT14" s="141">
        <v>0</v>
      </c>
      <c r="AU14" s="141">
        <v>0</v>
      </c>
      <c r="AV14" s="141">
        <v>2963869</v>
      </c>
      <c r="AW14" s="141">
        <v>2118157</v>
      </c>
      <c r="AX14" s="141">
        <v>466054</v>
      </c>
      <c r="AY14" s="141">
        <v>183440</v>
      </c>
      <c r="AZ14" s="141">
        <v>845712</v>
      </c>
      <c r="BA14" s="141">
        <v>15555</v>
      </c>
      <c r="BB14" s="141">
        <v>45563</v>
      </c>
      <c r="BC14" s="141">
        <v>20242</v>
      </c>
      <c r="BD14" s="141">
        <v>641880</v>
      </c>
      <c r="BE14" s="141">
        <v>780722</v>
      </c>
      <c r="BF14" s="141">
        <v>0</v>
      </c>
      <c r="BG14" s="141">
        <v>0</v>
      </c>
      <c r="BH14" s="141">
        <v>754274</v>
      </c>
      <c r="BI14" s="141">
        <v>0</v>
      </c>
      <c r="BJ14" s="141">
        <v>243085</v>
      </c>
      <c r="BK14" s="141">
        <v>156179</v>
      </c>
      <c r="BL14" s="141">
        <v>703365</v>
      </c>
      <c r="BM14" s="141">
        <v>126519</v>
      </c>
      <c r="BN14" s="141">
        <v>0</v>
      </c>
      <c r="BO14" s="141">
        <v>319058</v>
      </c>
      <c r="BP14" s="141">
        <v>3024044</v>
      </c>
      <c r="BQ14" s="73">
        <f t="shared" si="5"/>
        <v>2643800</v>
      </c>
      <c r="BR14" s="73">
        <f t="shared" si="6"/>
        <v>380244</v>
      </c>
      <c r="BS14" s="141">
        <v>0</v>
      </c>
      <c r="BT14" s="141">
        <v>0</v>
      </c>
      <c r="BU14" s="141">
        <v>380244</v>
      </c>
      <c r="BV14" s="141">
        <v>0</v>
      </c>
      <c r="BW14" s="141">
        <v>38162878</v>
      </c>
      <c r="BX14" s="71"/>
      <c r="BY14" s="141">
        <v>6060509</v>
      </c>
      <c r="BZ14" s="141">
        <v>3759708</v>
      </c>
      <c r="CA14" s="141">
        <v>310093</v>
      </c>
      <c r="CB14" s="141">
        <v>838024</v>
      </c>
      <c r="CC14" s="141">
        <v>11191549</v>
      </c>
      <c r="CD14" s="141">
        <v>3187032</v>
      </c>
      <c r="CE14" s="141">
        <v>16526</v>
      </c>
      <c r="CF14" s="141">
        <v>4478863</v>
      </c>
      <c r="CG14" s="141">
        <v>2884464</v>
      </c>
      <c r="CH14" s="141">
        <v>0</v>
      </c>
      <c r="CI14" s="141">
        <v>624544</v>
      </c>
      <c r="CJ14" s="141">
        <v>2600369</v>
      </c>
      <c r="CK14" s="141">
        <v>2470443</v>
      </c>
      <c r="CL14" s="83">
        <f t="shared" si="7"/>
        <v>129926</v>
      </c>
      <c r="CM14" s="141">
        <v>4593662</v>
      </c>
      <c r="CN14" s="141">
        <v>3015257</v>
      </c>
      <c r="CO14" s="102"/>
      <c r="CP14" s="141">
        <v>618679</v>
      </c>
      <c r="CQ14" s="141">
        <v>305454</v>
      </c>
      <c r="CR14" s="141">
        <v>4392278</v>
      </c>
      <c r="CS14" s="141">
        <v>471392</v>
      </c>
      <c r="CT14" s="141">
        <v>819858</v>
      </c>
      <c r="CU14" s="141">
        <v>601905</v>
      </c>
      <c r="CV14" s="73">
        <f t="shared" si="8"/>
        <v>2030489</v>
      </c>
      <c r="CW14" s="141">
        <v>1758022</v>
      </c>
      <c r="CX14" s="141">
        <v>272467</v>
      </c>
      <c r="CY14" s="73">
        <f t="shared" si="9"/>
        <v>955646</v>
      </c>
      <c r="CZ14" s="141">
        <v>950000</v>
      </c>
      <c r="DA14" s="141">
        <v>5646</v>
      </c>
      <c r="DB14" s="73">
        <f t="shared" si="10"/>
        <v>933923</v>
      </c>
      <c r="DC14" s="141">
        <v>793307</v>
      </c>
      <c r="DD14" s="141">
        <v>140616</v>
      </c>
      <c r="DE14" s="141">
        <v>4160738</v>
      </c>
      <c r="DF14" s="141">
        <v>1041592</v>
      </c>
      <c r="DG14" s="141">
        <v>3041916</v>
      </c>
      <c r="DH14" s="141">
        <v>77230</v>
      </c>
      <c r="DI14" s="141">
        <v>0</v>
      </c>
      <c r="DJ14" s="141">
        <v>0</v>
      </c>
      <c r="DK14" s="141">
        <v>775039</v>
      </c>
      <c r="DL14" s="141">
        <v>79000</v>
      </c>
      <c r="DM14" s="141">
        <v>70</v>
      </c>
      <c r="DN14" s="141">
        <v>695969</v>
      </c>
      <c r="DO14" s="141">
        <v>0</v>
      </c>
      <c r="DP14" s="141">
        <v>0</v>
      </c>
      <c r="DQ14" s="141">
        <v>0</v>
      </c>
      <c r="DR14" s="141">
        <v>0</v>
      </c>
      <c r="DS14" s="141">
        <v>117670</v>
      </c>
      <c r="DT14" s="141">
        <v>0</v>
      </c>
      <c r="DU14" s="141">
        <v>0</v>
      </c>
      <c r="DV14" s="141">
        <v>3477951</v>
      </c>
      <c r="DW14" s="141">
        <v>0</v>
      </c>
      <c r="DX14" s="73">
        <f t="shared" si="11"/>
        <v>0</v>
      </c>
      <c r="DY14" s="141">
        <v>0</v>
      </c>
      <c r="DZ14" s="141">
        <v>1383298</v>
      </c>
      <c r="EA14" s="141">
        <v>0</v>
      </c>
      <c r="EB14" s="141">
        <v>910348</v>
      </c>
      <c r="EC14" s="74">
        <v>0</v>
      </c>
      <c r="ED14" s="141">
        <v>1184305</v>
      </c>
      <c r="EE14" s="141">
        <v>0</v>
      </c>
      <c r="EF14" s="141">
        <v>37675219</v>
      </c>
      <c r="EG14" s="71"/>
      <c r="EH14" s="141">
        <v>487659</v>
      </c>
      <c r="EI14" s="141">
        <v>26248</v>
      </c>
      <c r="EJ14" s="141">
        <v>461411</v>
      </c>
      <c r="EK14" s="141">
        <v>305232</v>
      </c>
      <c r="EL14" s="141">
        <v>411458</v>
      </c>
      <c r="EM14" s="71"/>
      <c r="EN14" s="141">
        <v>84443</v>
      </c>
      <c r="EO14" s="141">
        <v>83156</v>
      </c>
      <c r="EP14" s="141">
        <v>0</v>
      </c>
      <c r="EQ14" s="141">
        <v>45357</v>
      </c>
      <c r="ER14" s="73">
        <f t="shared" si="12"/>
        <v>1830701</v>
      </c>
      <c r="ES14" s="141">
        <v>20290178</v>
      </c>
      <c r="ET14" s="141">
        <v>-2243480</v>
      </c>
      <c r="EU14" s="141">
        <v>5575044</v>
      </c>
      <c r="EV14" s="141">
        <v>3476119</v>
      </c>
      <c r="EW14" s="141">
        <v>2585215</v>
      </c>
      <c r="EX14" s="141">
        <v>2600369</v>
      </c>
      <c r="EY14" s="73">
        <f t="shared" si="13"/>
        <v>807954</v>
      </c>
      <c r="EZ14" s="141">
        <v>807954</v>
      </c>
      <c r="FA14" s="141">
        <v>52316</v>
      </c>
      <c r="FB14" s="141">
        <v>678408</v>
      </c>
      <c r="FC14" s="141">
        <v>0</v>
      </c>
      <c r="FD14" s="141">
        <v>0</v>
      </c>
      <c r="FE14" s="141">
        <v>3251286</v>
      </c>
      <c r="FF14" s="141">
        <v>4007328</v>
      </c>
      <c r="FG14" s="141">
        <v>471392</v>
      </c>
      <c r="FH14" s="141">
        <v>2706320</v>
      </c>
      <c r="FI14" s="73">
        <f t="shared" si="14"/>
        <v>512483</v>
      </c>
      <c r="FJ14" s="141">
        <v>22045999</v>
      </c>
      <c r="FK14" s="379">
        <f t="shared" si="15"/>
        <v>2.4</v>
      </c>
      <c r="FL14" s="141">
        <v>18597970</v>
      </c>
      <c r="FM14" s="141">
        <v>380244</v>
      </c>
      <c r="FN14" s="141">
        <v>10112457</v>
      </c>
      <c r="FO14" s="141">
        <v>15892136</v>
      </c>
      <c r="FP14" s="390">
        <v>0.64700000000000002</v>
      </c>
      <c r="FQ14" s="380">
        <v>95.1</v>
      </c>
      <c r="FR14" s="381">
        <v>27.2</v>
      </c>
      <c r="FS14" s="380">
        <v>13.2</v>
      </c>
      <c r="FT14" s="380">
        <v>13.2</v>
      </c>
      <c r="FU14" s="381">
        <v>13</v>
      </c>
      <c r="FV14" s="380">
        <v>14.3</v>
      </c>
      <c r="FW14" s="382">
        <v>13.1</v>
      </c>
      <c r="FX14" s="383">
        <v>4.7</v>
      </c>
      <c r="FY14" s="141">
        <v>32338742</v>
      </c>
      <c r="FZ14" s="384">
        <f t="shared" si="16"/>
        <v>170.4</v>
      </c>
      <c r="GA14" s="141">
        <v>8472584</v>
      </c>
      <c r="GB14" s="141">
        <v>4044133</v>
      </c>
      <c r="GC14" s="141">
        <v>188760</v>
      </c>
      <c r="GD14" s="141">
        <v>4239691</v>
      </c>
      <c r="GE14" s="107">
        <v>0</v>
      </c>
      <c r="GF14" s="385"/>
      <c r="GG14" s="386"/>
      <c r="GH14" s="380">
        <v>99.5</v>
      </c>
      <c r="GI14" s="380">
        <v>41.6</v>
      </c>
      <c r="GJ14" s="380">
        <v>98.6</v>
      </c>
      <c r="GK14" s="141">
        <v>587</v>
      </c>
      <c r="GL14" s="391" t="s">
        <v>646</v>
      </c>
      <c r="GM14" s="391">
        <v>12.54</v>
      </c>
      <c r="GN14" s="117">
        <v>20</v>
      </c>
      <c r="GO14" s="391" t="s">
        <v>646</v>
      </c>
      <c r="GP14" s="392">
        <v>17.54</v>
      </c>
      <c r="GQ14" s="387">
        <v>30</v>
      </c>
      <c r="GR14" s="381">
        <v>4.7</v>
      </c>
      <c r="GS14" s="388">
        <v>25</v>
      </c>
      <c r="GT14" s="388">
        <v>35</v>
      </c>
      <c r="GU14" s="393">
        <v>18.8</v>
      </c>
      <c r="GV14" s="388">
        <v>350</v>
      </c>
      <c r="GW14" s="394"/>
      <c r="GX14" s="100">
        <f t="shared" si="17"/>
        <v>18978</v>
      </c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  <c r="HW14" s="394"/>
      <c r="HX14" s="394"/>
    </row>
    <row r="15" spans="2:232" x14ac:dyDescent="0.15">
      <c r="B15" s="89" t="s">
        <v>19</v>
      </c>
      <c r="C15" s="141">
        <v>22112565</v>
      </c>
      <c r="D15" s="73">
        <f t="shared" si="0"/>
        <v>7497665</v>
      </c>
      <c r="E15" s="141">
        <v>237354</v>
      </c>
      <c r="F15" s="141">
        <v>7260311</v>
      </c>
      <c r="G15" s="73">
        <f t="shared" si="1"/>
        <v>1362873</v>
      </c>
      <c r="H15" s="141">
        <v>504727</v>
      </c>
      <c r="I15" s="141">
        <v>858146</v>
      </c>
      <c r="J15" s="141">
        <v>9271333</v>
      </c>
      <c r="K15" s="141">
        <v>3478514</v>
      </c>
      <c r="L15" s="141">
        <v>4311655</v>
      </c>
      <c r="M15" s="141">
        <v>1283964</v>
      </c>
      <c r="N15" s="141">
        <v>1125728</v>
      </c>
      <c r="O15" s="141">
        <v>1901598</v>
      </c>
      <c r="P15" s="141">
        <v>945449</v>
      </c>
      <c r="Q15" s="141">
        <v>956149</v>
      </c>
      <c r="R15" s="141">
        <v>219652</v>
      </c>
      <c r="S15" s="74"/>
      <c r="T15" s="73">
        <f t="shared" si="2"/>
        <v>4029052</v>
      </c>
      <c r="U15" s="141">
        <v>18164</v>
      </c>
      <c r="V15" s="141">
        <v>151453</v>
      </c>
      <c r="W15" s="141">
        <v>108208</v>
      </c>
      <c r="X15" s="141">
        <v>3354076</v>
      </c>
      <c r="Y15" s="141">
        <v>0</v>
      </c>
      <c r="Z15" s="141">
        <v>0</v>
      </c>
      <c r="AA15" s="141">
        <v>1596</v>
      </c>
      <c r="AB15" s="141">
        <v>47764</v>
      </c>
      <c r="AC15" s="141">
        <v>347791</v>
      </c>
      <c r="AD15" s="141">
        <v>161183</v>
      </c>
      <c r="AE15" s="141">
        <v>9462753</v>
      </c>
      <c r="AF15" s="141">
        <v>8721376</v>
      </c>
      <c r="AG15" s="141">
        <v>741377</v>
      </c>
      <c r="AH15" s="141">
        <v>18284</v>
      </c>
      <c r="AI15" s="141">
        <v>863302</v>
      </c>
      <c r="AJ15" s="73">
        <f t="shared" si="3"/>
        <v>805179</v>
      </c>
      <c r="AK15" s="141">
        <v>556772</v>
      </c>
      <c r="AL15" s="141">
        <v>248407</v>
      </c>
      <c r="AM15" s="141">
        <v>23364811</v>
      </c>
      <c r="AN15" s="73">
        <f t="shared" si="4"/>
        <v>12807057</v>
      </c>
      <c r="AO15" s="141">
        <v>7100895</v>
      </c>
      <c r="AP15" s="141">
        <v>3258879</v>
      </c>
      <c r="AQ15" s="74"/>
      <c r="AR15" s="141">
        <v>2447283</v>
      </c>
      <c r="AS15" s="141">
        <v>1467751</v>
      </c>
      <c r="AT15" s="141">
        <v>0</v>
      </c>
      <c r="AU15" s="141">
        <v>0</v>
      </c>
      <c r="AV15" s="141">
        <v>5338665</v>
      </c>
      <c r="AW15" s="141">
        <v>3608885</v>
      </c>
      <c r="AX15" s="141">
        <v>1409815</v>
      </c>
      <c r="AY15" s="141">
        <v>67370</v>
      </c>
      <c r="AZ15" s="141">
        <v>1729780</v>
      </c>
      <c r="BA15" s="141">
        <v>0</v>
      </c>
      <c r="BB15" s="141">
        <v>1371046</v>
      </c>
      <c r="BC15" s="141">
        <v>1279249</v>
      </c>
      <c r="BD15" s="141">
        <v>226400</v>
      </c>
      <c r="BE15" s="141">
        <v>1644254</v>
      </c>
      <c r="BF15" s="141">
        <v>19936</v>
      </c>
      <c r="BG15" s="141">
        <v>1614999</v>
      </c>
      <c r="BH15" s="141">
        <v>9319</v>
      </c>
      <c r="BI15" s="141">
        <v>0</v>
      </c>
      <c r="BJ15" s="141">
        <v>707053</v>
      </c>
      <c r="BK15" s="141">
        <v>684841</v>
      </c>
      <c r="BL15" s="141">
        <v>1312188</v>
      </c>
      <c r="BM15" s="141">
        <v>9310</v>
      </c>
      <c r="BN15" s="141">
        <v>0</v>
      </c>
      <c r="BO15" s="141">
        <v>348651</v>
      </c>
      <c r="BP15" s="141">
        <v>2758137</v>
      </c>
      <c r="BQ15" s="73">
        <f t="shared" si="5"/>
        <v>2003700</v>
      </c>
      <c r="BR15" s="73">
        <f t="shared" si="6"/>
        <v>754437</v>
      </c>
      <c r="BS15" s="141">
        <v>0</v>
      </c>
      <c r="BT15" s="141">
        <v>0</v>
      </c>
      <c r="BU15" s="141">
        <v>754437</v>
      </c>
      <c r="BV15" s="141">
        <v>0</v>
      </c>
      <c r="BW15" s="141">
        <v>74394524</v>
      </c>
      <c r="BX15" s="71"/>
      <c r="BY15" s="141">
        <v>5641419</v>
      </c>
      <c r="BZ15" s="141">
        <v>3760861</v>
      </c>
      <c r="CA15" s="141">
        <v>294815</v>
      </c>
      <c r="CB15" s="141">
        <v>374738</v>
      </c>
      <c r="CC15" s="141">
        <v>28336728</v>
      </c>
      <c r="CD15" s="141">
        <v>7200767</v>
      </c>
      <c r="CE15" s="141">
        <v>1198</v>
      </c>
      <c r="CF15" s="141">
        <v>9961624</v>
      </c>
      <c r="CG15" s="141">
        <v>9451270</v>
      </c>
      <c r="CH15" s="141">
        <v>862691</v>
      </c>
      <c r="CI15" s="141">
        <v>858518</v>
      </c>
      <c r="CJ15" s="141">
        <v>6439665</v>
      </c>
      <c r="CK15" s="141">
        <v>6140148</v>
      </c>
      <c r="CL15" s="83">
        <f t="shared" si="7"/>
        <v>299517</v>
      </c>
      <c r="CM15" s="141">
        <v>10489131</v>
      </c>
      <c r="CN15" s="141">
        <v>8616347</v>
      </c>
      <c r="CO15" s="102"/>
      <c r="CP15" s="141">
        <v>791071</v>
      </c>
      <c r="CQ15" s="141">
        <v>319656</v>
      </c>
      <c r="CR15" s="141">
        <v>6866127</v>
      </c>
      <c r="CS15" s="141">
        <v>2723045</v>
      </c>
      <c r="CT15" s="141">
        <v>1344171</v>
      </c>
      <c r="CU15" s="141">
        <v>759125</v>
      </c>
      <c r="CV15" s="73">
        <f t="shared" si="8"/>
        <v>1382987</v>
      </c>
      <c r="CW15" s="141">
        <v>1381437</v>
      </c>
      <c r="CX15" s="141">
        <v>1550</v>
      </c>
      <c r="CY15" s="73">
        <f t="shared" si="9"/>
        <v>0</v>
      </c>
      <c r="CZ15" s="141">
        <v>0</v>
      </c>
      <c r="DA15" s="141">
        <v>0</v>
      </c>
      <c r="DB15" s="73">
        <f t="shared" si="10"/>
        <v>1356122</v>
      </c>
      <c r="DC15" s="141">
        <v>1356122</v>
      </c>
      <c r="DD15" s="141">
        <v>0</v>
      </c>
      <c r="DE15" s="141">
        <v>4811345</v>
      </c>
      <c r="DF15" s="141">
        <v>3403459</v>
      </c>
      <c r="DG15" s="141">
        <v>1305765</v>
      </c>
      <c r="DH15" s="141">
        <v>0</v>
      </c>
      <c r="DI15" s="141">
        <v>0</v>
      </c>
      <c r="DJ15" s="141">
        <v>0</v>
      </c>
      <c r="DK15" s="141">
        <v>2270400</v>
      </c>
      <c r="DL15" s="141">
        <v>89949</v>
      </c>
      <c r="DM15" s="141">
        <v>703499</v>
      </c>
      <c r="DN15" s="141">
        <v>1476952</v>
      </c>
      <c r="DO15" s="141">
        <v>199480</v>
      </c>
      <c r="DP15" s="141">
        <v>199480</v>
      </c>
      <c r="DQ15" s="141">
        <v>199480</v>
      </c>
      <c r="DR15" s="141">
        <v>0</v>
      </c>
      <c r="DS15" s="141">
        <v>0</v>
      </c>
      <c r="DT15" s="141">
        <v>0</v>
      </c>
      <c r="DU15" s="141">
        <v>0</v>
      </c>
      <c r="DV15" s="141">
        <v>6610569</v>
      </c>
      <c r="DW15" s="141">
        <v>0</v>
      </c>
      <c r="DX15" s="73">
        <f t="shared" si="11"/>
        <v>0</v>
      </c>
      <c r="DY15" s="141">
        <v>0</v>
      </c>
      <c r="DZ15" s="141">
        <v>2395869</v>
      </c>
      <c r="EA15" s="141">
        <v>0</v>
      </c>
      <c r="EB15" s="141">
        <v>1536092</v>
      </c>
      <c r="EC15" s="74">
        <v>0</v>
      </c>
      <c r="ED15" s="141">
        <v>2678608</v>
      </c>
      <c r="EE15" s="141">
        <v>0</v>
      </c>
      <c r="EF15" s="141">
        <v>71984520</v>
      </c>
      <c r="EG15" s="71"/>
      <c r="EH15" s="141">
        <v>2410004</v>
      </c>
      <c r="EI15" s="141">
        <v>136987</v>
      </c>
      <c r="EJ15" s="141">
        <v>2273017</v>
      </c>
      <c r="EK15" s="141">
        <v>188176</v>
      </c>
      <c r="EL15" s="141">
        <v>1672367</v>
      </c>
      <c r="EM15" s="71"/>
      <c r="EN15" s="141">
        <v>143096</v>
      </c>
      <c r="EO15" s="141">
        <v>142014</v>
      </c>
      <c r="EP15" s="141">
        <v>1634935</v>
      </c>
      <c r="EQ15" s="141">
        <v>87195</v>
      </c>
      <c r="ER15" s="73">
        <f t="shared" si="12"/>
        <v>3492814</v>
      </c>
      <c r="ES15" s="141">
        <v>36003489</v>
      </c>
      <c r="ET15" s="141">
        <v>-5951097</v>
      </c>
      <c r="EU15" s="141">
        <v>5062382</v>
      </c>
      <c r="EV15" s="141">
        <v>3320588</v>
      </c>
      <c r="EW15" s="141">
        <v>7537749</v>
      </c>
      <c r="EX15" s="141">
        <v>6419801</v>
      </c>
      <c r="EY15" s="73">
        <f t="shared" si="13"/>
        <v>891013</v>
      </c>
      <c r="EZ15" s="141">
        <v>891013</v>
      </c>
      <c r="FA15" s="141">
        <v>167369</v>
      </c>
      <c r="FB15" s="141">
        <v>713023</v>
      </c>
      <c r="FC15" s="141">
        <v>0</v>
      </c>
      <c r="FD15" s="141">
        <v>0</v>
      </c>
      <c r="FE15" s="141">
        <v>7404004</v>
      </c>
      <c r="FF15" s="141">
        <v>6124878</v>
      </c>
      <c r="FG15" s="141">
        <v>2721577</v>
      </c>
      <c r="FH15" s="141">
        <v>4987052</v>
      </c>
      <c r="FI15" s="73">
        <f t="shared" si="14"/>
        <v>1117703</v>
      </c>
      <c r="FJ15" s="141">
        <v>39544582</v>
      </c>
      <c r="FK15" s="379">
        <f t="shared" si="15"/>
        <v>6.9</v>
      </c>
      <c r="FL15" s="141">
        <v>32385724</v>
      </c>
      <c r="FM15" s="141">
        <v>754437</v>
      </c>
      <c r="FN15" s="141">
        <v>18574546</v>
      </c>
      <c r="FO15" s="141">
        <v>27367547</v>
      </c>
      <c r="FP15" s="390">
        <v>0.70099999999999996</v>
      </c>
      <c r="FQ15" s="380">
        <v>95.3</v>
      </c>
      <c r="FR15" s="381">
        <v>14.5</v>
      </c>
      <c r="FS15" s="380">
        <v>21.9</v>
      </c>
      <c r="FT15" s="380">
        <v>14.5</v>
      </c>
      <c r="FU15" s="381">
        <v>16.3</v>
      </c>
      <c r="FV15" s="380">
        <v>13.2</v>
      </c>
      <c r="FW15" s="382">
        <v>14</v>
      </c>
      <c r="FX15" s="383">
        <v>6</v>
      </c>
      <c r="FY15" s="141">
        <v>55652073</v>
      </c>
      <c r="FZ15" s="384">
        <f t="shared" si="16"/>
        <v>167.9</v>
      </c>
      <c r="GA15" s="141">
        <v>14059878</v>
      </c>
      <c r="GB15" s="141">
        <v>5148202</v>
      </c>
      <c r="GC15" s="141">
        <v>822324</v>
      </c>
      <c r="GD15" s="141">
        <v>8089352</v>
      </c>
      <c r="GE15" s="107">
        <v>0</v>
      </c>
      <c r="GF15" s="385"/>
      <c r="GG15" s="386"/>
      <c r="GH15" s="380">
        <v>99.4</v>
      </c>
      <c r="GI15" s="380">
        <v>34.4</v>
      </c>
      <c r="GJ15" s="380">
        <v>98.3</v>
      </c>
      <c r="GK15" s="141">
        <v>575</v>
      </c>
      <c r="GL15" s="391" t="s">
        <v>646</v>
      </c>
      <c r="GM15" s="391">
        <v>11.67</v>
      </c>
      <c r="GN15" s="117">
        <v>20</v>
      </c>
      <c r="GO15" s="391" t="s">
        <v>646</v>
      </c>
      <c r="GP15" s="392">
        <v>16.670000000000002</v>
      </c>
      <c r="GQ15" s="387">
        <v>30</v>
      </c>
      <c r="GR15" s="381">
        <v>6</v>
      </c>
      <c r="GS15" s="388">
        <v>25</v>
      </c>
      <c r="GT15" s="388">
        <v>35</v>
      </c>
      <c r="GU15" s="393">
        <v>15.9</v>
      </c>
      <c r="GV15" s="388">
        <v>350</v>
      </c>
      <c r="GW15" s="394"/>
      <c r="GX15" s="100">
        <f t="shared" si="17"/>
        <v>33140</v>
      </c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  <c r="HW15" s="394"/>
      <c r="HX15" s="394"/>
    </row>
    <row r="16" spans="2:232" x14ac:dyDescent="0.15">
      <c r="B16" s="89" t="s">
        <v>21</v>
      </c>
      <c r="C16" s="141">
        <v>57912707</v>
      </c>
      <c r="D16" s="73">
        <f t="shared" si="0"/>
        <v>23051423</v>
      </c>
      <c r="E16" s="141">
        <v>669660</v>
      </c>
      <c r="F16" s="141">
        <v>22381763</v>
      </c>
      <c r="G16" s="73">
        <f t="shared" si="1"/>
        <v>3609864</v>
      </c>
      <c r="H16" s="141">
        <v>795055</v>
      </c>
      <c r="I16" s="141">
        <v>2814809</v>
      </c>
      <c r="J16" s="141">
        <v>22298046</v>
      </c>
      <c r="K16" s="141">
        <v>8449072</v>
      </c>
      <c r="L16" s="141">
        <v>10821215</v>
      </c>
      <c r="M16" s="141">
        <v>2691452</v>
      </c>
      <c r="N16" s="141">
        <v>2095357</v>
      </c>
      <c r="O16" s="141">
        <v>4766126</v>
      </c>
      <c r="P16" s="141">
        <v>2435726</v>
      </c>
      <c r="Q16" s="141">
        <v>2330400</v>
      </c>
      <c r="R16" s="141">
        <v>640249</v>
      </c>
      <c r="S16" s="74"/>
      <c r="T16" s="73">
        <f t="shared" si="2"/>
        <v>10761230</v>
      </c>
      <c r="U16" s="141">
        <v>56690</v>
      </c>
      <c r="V16" s="141">
        <v>472940</v>
      </c>
      <c r="W16" s="141">
        <v>338130</v>
      </c>
      <c r="X16" s="141">
        <v>8905281</v>
      </c>
      <c r="Y16" s="141">
        <v>79526</v>
      </c>
      <c r="Z16" s="141">
        <v>0</v>
      </c>
      <c r="AA16" s="141">
        <v>4667</v>
      </c>
      <c r="AB16" s="141">
        <v>139654</v>
      </c>
      <c r="AC16" s="141">
        <v>764342</v>
      </c>
      <c r="AD16" s="141">
        <v>444843</v>
      </c>
      <c r="AE16" s="141">
        <v>16075066</v>
      </c>
      <c r="AF16" s="141">
        <v>15610131</v>
      </c>
      <c r="AG16" s="141">
        <v>464935</v>
      </c>
      <c r="AH16" s="141">
        <v>48645</v>
      </c>
      <c r="AI16" s="141">
        <v>489353</v>
      </c>
      <c r="AJ16" s="73">
        <f t="shared" si="3"/>
        <v>2228381</v>
      </c>
      <c r="AK16" s="141">
        <v>1738250</v>
      </c>
      <c r="AL16" s="141">
        <v>490131</v>
      </c>
      <c r="AM16" s="141">
        <v>43916033</v>
      </c>
      <c r="AN16" s="73">
        <f t="shared" si="4"/>
        <v>18219659</v>
      </c>
      <c r="AO16" s="141">
        <v>9557424</v>
      </c>
      <c r="AP16" s="141">
        <v>4061409</v>
      </c>
      <c r="AQ16" s="74"/>
      <c r="AR16" s="141">
        <v>4600826</v>
      </c>
      <c r="AS16" s="141">
        <v>1465398</v>
      </c>
      <c r="AT16" s="141">
        <v>0</v>
      </c>
      <c r="AU16" s="141">
        <v>0</v>
      </c>
      <c r="AV16" s="141">
        <v>13258080</v>
      </c>
      <c r="AW16" s="141">
        <v>10331699</v>
      </c>
      <c r="AX16" s="141">
        <v>1701657</v>
      </c>
      <c r="AY16" s="141">
        <v>52769</v>
      </c>
      <c r="AZ16" s="141">
        <v>2926381</v>
      </c>
      <c r="BA16" s="141">
        <v>28485</v>
      </c>
      <c r="BB16" s="141">
        <v>522372</v>
      </c>
      <c r="BC16" s="141">
        <v>462597</v>
      </c>
      <c r="BD16" s="141">
        <v>214196</v>
      </c>
      <c r="BE16" s="141">
        <v>363908</v>
      </c>
      <c r="BF16" s="141">
        <v>37500</v>
      </c>
      <c r="BG16" s="141">
        <v>0</v>
      </c>
      <c r="BH16" s="141">
        <v>205279</v>
      </c>
      <c r="BI16" s="141">
        <v>0</v>
      </c>
      <c r="BJ16" s="141">
        <v>4059470</v>
      </c>
      <c r="BK16" s="141">
        <v>2457576</v>
      </c>
      <c r="BL16" s="141">
        <v>2467725</v>
      </c>
      <c r="BM16" s="141">
        <v>33181</v>
      </c>
      <c r="BN16" s="141">
        <v>0</v>
      </c>
      <c r="BO16" s="141">
        <v>477866</v>
      </c>
      <c r="BP16" s="141">
        <v>10298512</v>
      </c>
      <c r="BQ16" s="73">
        <f t="shared" si="5"/>
        <v>7033900</v>
      </c>
      <c r="BR16" s="73">
        <f t="shared" si="6"/>
        <v>3264612</v>
      </c>
      <c r="BS16" s="141">
        <v>0</v>
      </c>
      <c r="BT16" s="141">
        <v>0</v>
      </c>
      <c r="BU16" s="141">
        <v>3264612</v>
      </c>
      <c r="BV16" s="141">
        <v>0</v>
      </c>
      <c r="BW16" s="141">
        <v>163700770</v>
      </c>
      <c r="BX16" s="71"/>
      <c r="BY16" s="141">
        <v>20356276</v>
      </c>
      <c r="BZ16" s="141">
        <v>13264802</v>
      </c>
      <c r="CA16" s="141">
        <v>1214255</v>
      </c>
      <c r="CB16" s="141">
        <v>2381010</v>
      </c>
      <c r="CC16" s="141">
        <v>51134913</v>
      </c>
      <c r="CD16" s="141">
        <v>15303750</v>
      </c>
      <c r="CE16" s="141">
        <v>70603</v>
      </c>
      <c r="CF16" s="141">
        <v>21306376</v>
      </c>
      <c r="CG16" s="141">
        <v>12861959</v>
      </c>
      <c r="CH16" s="141">
        <v>404901</v>
      </c>
      <c r="CI16" s="141">
        <v>1170014</v>
      </c>
      <c r="CJ16" s="141">
        <v>11440084</v>
      </c>
      <c r="CK16" s="141">
        <v>11090582</v>
      </c>
      <c r="CL16" s="83">
        <f t="shared" si="7"/>
        <v>349502</v>
      </c>
      <c r="CM16" s="141">
        <v>22968180</v>
      </c>
      <c r="CN16" s="141">
        <v>16988285</v>
      </c>
      <c r="CO16" s="102"/>
      <c r="CP16" s="141">
        <v>2787297</v>
      </c>
      <c r="CQ16" s="141">
        <v>1212381</v>
      </c>
      <c r="CR16" s="141">
        <v>17835235</v>
      </c>
      <c r="CS16" s="141">
        <v>4627098</v>
      </c>
      <c r="CT16" s="141">
        <v>4046056</v>
      </c>
      <c r="CU16" s="141">
        <v>2828242</v>
      </c>
      <c r="CV16" s="73">
        <f t="shared" si="8"/>
        <v>6756819</v>
      </c>
      <c r="CW16" s="141">
        <v>2820744</v>
      </c>
      <c r="CX16" s="141">
        <v>3936075</v>
      </c>
      <c r="CY16" s="73">
        <f t="shared" si="9"/>
        <v>1504519</v>
      </c>
      <c r="CZ16" s="141">
        <v>1089814</v>
      </c>
      <c r="DA16" s="141">
        <v>414705</v>
      </c>
      <c r="DB16" s="73">
        <f t="shared" si="10"/>
        <v>4194439</v>
      </c>
      <c r="DC16" s="141">
        <v>1704988</v>
      </c>
      <c r="DD16" s="141">
        <v>2489451</v>
      </c>
      <c r="DE16" s="141">
        <v>16770616</v>
      </c>
      <c r="DF16" s="141">
        <v>11081111</v>
      </c>
      <c r="DG16" s="141">
        <v>4576330</v>
      </c>
      <c r="DH16" s="141">
        <v>341</v>
      </c>
      <c r="DI16" s="141">
        <v>1112834</v>
      </c>
      <c r="DJ16" s="141">
        <v>9655</v>
      </c>
      <c r="DK16" s="141">
        <v>4029728</v>
      </c>
      <c r="DL16" s="141">
        <v>1934474</v>
      </c>
      <c r="DM16" s="141">
        <v>500046</v>
      </c>
      <c r="DN16" s="141">
        <v>1595208</v>
      </c>
      <c r="DO16" s="141">
        <v>0</v>
      </c>
      <c r="DP16" s="141">
        <v>0</v>
      </c>
      <c r="DQ16" s="141">
        <v>0</v>
      </c>
      <c r="DR16" s="141">
        <v>0</v>
      </c>
      <c r="DS16" s="141">
        <v>17296</v>
      </c>
      <c r="DT16" s="141">
        <v>0</v>
      </c>
      <c r="DU16" s="141">
        <v>0</v>
      </c>
      <c r="DV16" s="141">
        <v>14650511</v>
      </c>
      <c r="DW16" s="141">
        <v>0</v>
      </c>
      <c r="DX16" s="73">
        <f t="shared" si="11"/>
        <v>0</v>
      </c>
      <c r="DY16" s="141">
        <v>0</v>
      </c>
      <c r="DZ16" s="141">
        <v>5593333</v>
      </c>
      <c r="EA16" s="141">
        <v>0</v>
      </c>
      <c r="EB16" s="141">
        <v>3888928</v>
      </c>
      <c r="EC16" s="74">
        <v>0</v>
      </c>
      <c r="ED16" s="141">
        <v>5168250</v>
      </c>
      <c r="EE16" s="141">
        <v>0</v>
      </c>
      <c r="EF16" s="141">
        <v>160424875</v>
      </c>
      <c r="EG16" s="71"/>
      <c r="EH16" s="141">
        <v>3275895</v>
      </c>
      <c r="EI16" s="141">
        <v>784945</v>
      </c>
      <c r="EJ16" s="141">
        <v>2490950</v>
      </c>
      <c r="EK16" s="141">
        <v>33374</v>
      </c>
      <c r="EL16" s="141">
        <v>2317721</v>
      </c>
      <c r="EM16" s="71"/>
      <c r="EN16" s="141">
        <v>397289</v>
      </c>
      <c r="EO16" s="141">
        <v>396252</v>
      </c>
      <c r="EP16" s="141">
        <v>50093</v>
      </c>
      <c r="EQ16" s="141">
        <v>515647</v>
      </c>
      <c r="ER16" s="73">
        <f t="shared" si="12"/>
        <v>9086709</v>
      </c>
      <c r="ES16" s="141">
        <v>85882740</v>
      </c>
      <c r="ET16" s="141">
        <v>-12868416</v>
      </c>
      <c r="EU16" s="141">
        <v>18439344</v>
      </c>
      <c r="EV16" s="141">
        <v>12020723</v>
      </c>
      <c r="EW16" s="141">
        <v>15415854</v>
      </c>
      <c r="EX16" s="141">
        <v>11197359</v>
      </c>
      <c r="EY16" s="73">
        <f t="shared" si="13"/>
        <v>3010669</v>
      </c>
      <c r="EZ16" s="141">
        <v>3001014</v>
      </c>
      <c r="FA16" s="141">
        <v>636364</v>
      </c>
      <c r="FB16" s="141">
        <v>2364309</v>
      </c>
      <c r="FC16" s="141">
        <v>9655</v>
      </c>
      <c r="FD16" s="141">
        <v>0</v>
      </c>
      <c r="FE16" s="141">
        <v>15041473</v>
      </c>
      <c r="FF16" s="141">
        <v>16048405</v>
      </c>
      <c r="FG16" s="141">
        <v>4625817</v>
      </c>
      <c r="FH16" s="141">
        <v>11408045</v>
      </c>
      <c r="FI16" s="73">
        <f t="shared" si="14"/>
        <v>4914112</v>
      </c>
      <c r="FJ16" s="141">
        <v>95475261</v>
      </c>
      <c r="FK16" s="379">
        <f t="shared" si="15"/>
        <v>3.1</v>
      </c>
      <c r="FL16" s="141">
        <v>77819153</v>
      </c>
      <c r="FM16" s="141">
        <v>3264612</v>
      </c>
      <c r="FN16" s="141">
        <v>48902784</v>
      </c>
      <c r="FO16" s="141">
        <v>64512915</v>
      </c>
      <c r="FP16" s="390">
        <v>0.76900000000000002</v>
      </c>
      <c r="FQ16" s="380">
        <v>95.3</v>
      </c>
      <c r="FR16" s="381">
        <v>21.6</v>
      </c>
      <c r="FS16" s="380">
        <v>17.600000000000001</v>
      </c>
      <c r="FT16" s="380">
        <v>12.8</v>
      </c>
      <c r="FU16" s="381">
        <v>14.9</v>
      </c>
      <c r="FV16" s="380">
        <v>14.4</v>
      </c>
      <c r="FW16" s="382">
        <v>12.7</v>
      </c>
      <c r="FX16" s="383">
        <v>0.6</v>
      </c>
      <c r="FY16" s="141">
        <v>112892881</v>
      </c>
      <c r="FZ16" s="384">
        <f t="shared" si="16"/>
        <v>139.19999999999999</v>
      </c>
      <c r="GA16" s="141">
        <v>36937248</v>
      </c>
      <c r="GB16" s="141">
        <v>15499405</v>
      </c>
      <c r="GC16" s="141">
        <v>5896942</v>
      </c>
      <c r="GD16" s="141">
        <v>15540901</v>
      </c>
      <c r="GE16" s="107">
        <v>0</v>
      </c>
      <c r="GF16" s="385">
        <v>4599</v>
      </c>
      <c r="GG16" s="386">
        <f>IF(GF16=0,"-",ROUND(GF16/(GX16)*100,1))</f>
        <v>5.7</v>
      </c>
      <c r="GH16" s="380">
        <v>99.8</v>
      </c>
      <c r="GI16" s="380">
        <v>40.6</v>
      </c>
      <c r="GJ16" s="380">
        <v>99.5</v>
      </c>
      <c r="GK16" s="141">
        <v>2099</v>
      </c>
      <c r="GL16" s="391" t="s">
        <v>646</v>
      </c>
      <c r="GM16" s="391">
        <v>11.25</v>
      </c>
      <c r="GN16" s="117">
        <v>20</v>
      </c>
      <c r="GO16" s="391" t="s">
        <v>646</v>
      </c>
      <c r="GP16" s="392">
        <v>16.25</v>
      </c>
      <c r="GQ16" s="387">
        <v>30</v>
      </c>
      <c r="GR16" s="381">
        <v>0.6</v>
      </c>
      <c r="GS16" s="388">
        <v>25</v>
      </c>
      <c r="GT16" s="388">
        <v>35</v>
      </c>
      <c r="GU16" s="393" t="s">
        <v>646</v>
      </c>
      <c r="GV16" s="388">
        <v>350</v>
      </c>
      <c r="GW16" s="394"/>
      <c r="GX16" s="100">
        <f t="shared" si="17"/>
        <v>81084</v>
      </c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  <c r="HW16" s="394"/>
      <c r="HX16" s="394"/>
    </row>
    <row r="17" spans="2:232" x14ac:dyDescent="0.15">
      <c r="B17" s="89" t="s">
        <v>23</v>
      </c>
      <c r="C17" s="141">
        <v>50959702</v>
      </c>
      <c r="D17" s="73">
        <f t="shared" si="0"/>
        <v>19065436</v>
      </c>
      <c r="E17" s="141">
        <v>495666</v>
      </c>
      <c r="F17" s="141">
        <v>18569770</v>
      </c>
      <c r="G17" s="73">
        <f t="shared" si="1"/>
        <v>3029092</v>
      </c>
      <c r="H17" s="141">
        <v>786111</v>
      </c>
      <c r="I17" s="141">
        <v>2242981</v>
      </c>
      <c r="J17" s="141">
        <v>22398657</v>
      </c>
      <c r="K17" s="141">
        <v>8376378</v>
      </c>
      <c r="L17" s="141">
        <v>10114215</v>
      </c>
      <c r="M17" s="141">
        <v>3668524</v>
      </c>
      <c r="N17" s="141">
        <v>1693267</v>
      </c>
      <c r="O17" s="141">
        <v>4415496</v>
      </c>
      <c r="P17" s="141">
        <v>2236656</v>
      </c>
      <c r="Q17" s="141">
        <v>2178840</v>
      </c>
      <c r="R17" s="141">
        <v>521459</v>
      </c>
      <c r="S17" s="74"/>
      <c r="T17" s="73">
        <f t="shared" si="2"/>
        <v>8201475</v>
      </c>
      <c r="U17" s="141">
        <v>45832</v>
      </c>
      <c r="V17" s="141">
        <v>382756</v>
      </c>
      <c r="W17" s="141">
        <v>273992</v>
      </c>
      <c r="X17" s="141">
        <v>6625155</v>
      </c>
      <c r="Y17" s="141">
        <v>94745</v>
      </c>
      <c r="Z17" s="141">
        <v>0</v>
      </c>
      <c r="AA17" s="141">
        <v>3807</v>
      </c>
      <c r="AB17" s="141">
        <v>113920</v>
      </c>
      <c r="AC17" s="141">
        <v>661268</v>
      </c>
      <c r="AD17" s="141">
        <v>333186</v>
      </c>
      <c r="AE17" s="141">
        <v>1263184</v>
      </c>
      <c r="AF17" s="141">
        <v>999346</v>
      </c>
      <c r="AG17" s="141">
        <v>263838</v>
      </c>
      <c r="AH17" s="141">
        <v>35039</v>
      </c>
      <c r="AI17" s="141">
        <v>329390</v>
      </c>
      <c r="AJ17" s="73">
        <f t="shared" si="3"/>
        <v>1639916</v>
      </c>
      <c r="AK17" s="141">
        <v>1229426</v>
      </c>
      <c r="AL17" s="141">
        <v>410490</v>
      </c>
      <c r="AM17" s="141">
        <v>28225296</v>
      </c>
      <c r="AN17" s="73">
        <f t="shared" si="4"/>
        <v>11240649</v>
      </c>
      <c r="AO17" s="141">
        <v>4463921</v>
      </c>
      <c r="AP17" s="141">
        <v>3727032</v>
      </c>
      <c r="AQ17" s="74"/>
      <c r="AR17" s="141">
        <v>3049696</v>
      </c>
      <c r="AS17" s="141">
        <v>2779068</v>
      </c>
      <c r="AT17" s="141">
        <v>24778</v>
      </c>
      <c r="AU17" s="141">
        <v>0</v>
      </c>
      <c r="AV17" s="141">
        <v>8741000</v>
      </c>
      <c r="AW17" s="141">
        <v>6432384</v>
      </c>
      <c r="AX17" s="141">
        <v>1579038</v>
      </c>
      <c r="AY17" s="141">
        <v>421213</v>
      </c>
      <c r="AZ17" s="141">
        <v>2308616</v>
      </c>
      <c r="BA17" s="141">
        <v>11451</v>
      </c>
      <c r="BB17" s="141">
        <v>154855</v>
      </c>
      <c r="BC17" s="141">
        <v>76871</v>
      </c>
      <c r="BD17" s="141">
        <v>186512</v>
      </c>
      <c r="BE17" s="141">
        <v>1365502</v>
      </c>
      <c r="BF17" s="141">
        <v>200000</v>
      </c>
      <c r="BG17" s="141">
        <v>0</v>
      </c>
      <c r="BH17" s="141">
        <v>1098399</v>
      </c>
      <c r="BI17" s="141">
        <v>0</v>
      </c>
      <c r="BJ17" s="141">
        <v>1733813</v>
      </c>
      <c r="BK17" s="141">
        <v>472744</v>
      </c>
      <c r="BL17" s="141">
        <v>3942328</v>
      </c>
      <c r="BM17" s="141">
        <v>850000</v>
      </c>
      <c r="BN17" s="141">
        <v>6147</v>
      </c>
      <c r="BO17" s="141">
        <v>416470</v>
      </c>
      <c r="BP17" s="141">
        <v>7850000</v>
      </c>
      <c r="BQ17" s="73">
        <f t="shared" si="5"/>
        <v>7850000</v>
      </c>
      <c r="BR17" s="73">
        <f t="shared" si="6"/>
        <v>0</v>
      </c>
      <c r="BS17" s="141">
        <v>0</v>
      </c>
      <c r="BT17" s="141">
        <v>0</v>
      </c>
      <c r="BU17" s="141">
        <v>0</v>
      </c>
      <c r="BV17" s="141">
        <v>0</v>
      </c>
      <c r="BW17" s="141">
        <v>115482657</v>
      </c>
      <c r="BX17" s="71"/>
      <c r="BY17" s="141">
        <v>17535511</v>
      </c>
      <c r="BZ17" s="141">
        <v>10904625</v>
      </c>
      <c r="CA17" s="141">
        <v>715052</v>
      </c>
      <c r="CB17" s="141">
        <v>2841794</v>
      </c>
      <c r="CC17" s="141">
        <v>32519558</v>
      </c>
      <c r="CD17" s="141">
        <v>9590194</v>
      </c>
      <c r="CE17" s="141">
        <v>61846</v>
      </c>
      <c r="CF17" s="141">
        <v>15331023</v>
      </c>
      <c r="CG17" s="141">
        <v>5879944</v>
      </c>
      <c r="CH17" s="141">
        <v>0</v>
      </c>
      <c r="CI17" s="141">
        <v>1656551</v>
      </c>
      <c r="CJ17" s="141">
        <v>5231655</v>
      </c>
      <c r="CK17" s="141">
        <v>4984555</v>
      </c>
      <c r="CL17" s="83">
        <f t="shared" si="7"/>
        <v>247100</v>
      </c>
      <c r="CM17" s="141">
        <v>18909052</v>
      </c>
      <c r="CN17" s="141">
        <v>11119327</v>
      </c>
      <c r="CO17" s="102"/>
      <c r="CP17" s="141">
        <v>4935642</v>
      </c>
      <c r="CQ17" s="141">
        <v>1372222</v>
      </c>
      <c r="CR17" s="141">
        <v>8542637</v>
      </c>
      <c r="CS17" s="141">
        <v>6134</v>
      </c>
      <c r="CT17" s="141">
        <v>4018614</v>
      </c>
      <c r="CU17" s="141">
        <v>2757565</v>
      </c>
      <c r="CV17" s="73">
        <f t="shared" si="8"/>
        <v>1794592</v>
      </c>
      <c r="CW17" s="141">
        <v>1261117</v>
      </c>
      <c r="CX17" s="141">
        <v>533475</v>
      </c>
      <c r="CY17" s="73">
        <f t="shared" si="9"/>
        <v>0</v>
      </c>
      <c r="CZ17" s="141">
        <v>0</v>
      </c>
      <c r="DA17" s="141">
        <v>0</v>
      </c>
      <c r="DB17" s="73">
        <f t="shared" si="10"/>
        <v>1547677</v>
      </c>
      <c r="DC17" s="141">
        <v>1019795</v>
      </c>
      <c r="DD17" s="141">
        <v>527882</v>
      </c>
      <c r="DE17" s="141">
        <v>18611672</v>
      </c>
      <c r="DF17" s="141">
        <v>6988752</v>
      </c>
      <c r="DG17" s="141">
        <v>11602018</v>
      </c>
      <c r="DH17" s="141">
        <v>14755</v>
      </c>
      <c r="DI17" s="141">
        <v>6147</v>
      </c>
      <c r="DJ17" s="141">
        <v>27566</v>
      </c>
      <c r="DK17" s="141">
        <v>238871</v>
      </c>
      <c r="DL17" s="141">
        <v>530</v>
      </c>
      <c r="DM17" s="141">
        <v>0</v>
      </c>
      <c r="DN17" s="141">
        <v>238341</v>
      </c>
      <c r="DO17" s="141">
        <v>11692</v>
      </c>
      <c r="DP17" s="141">
        <v>11692</v>
      </c>
      <c r="DQ17" s="141">
        <v>11692</v>
      </c>
      <c r="DR17" s="141">
        <v>0</v>
      </c>
      <c r="DS17" s="141">
        <v>850000</v>
      </c>
      <c r="DT17" s="141">
        <v>0</v>
      </c>
      <c r="DU17" s="141">
        <v>0</v>
      </c>
      <c r="DV17" s="141">
        <v>8818421</v>
      </c>
      <c r="DW17" s="141">
        <v>0</v>
      </c>
      <c r="DX17" s="73">
        <f t="shared" si="11"/>
        <v>0</v>
      </c>
      <c r="DY17" s="141">
        <v>0</v>
      </c>
      <c r="DZ17" s="141">
        <v>3585937</v>
      </c>
      <c r="EA17" s="141">
        <v>3343</v>
      </c>
      <c r="EB17" s="141">
        <v>2043471</v>
      </c>
      <c r="EC17" s="74">
        <v>0</v>
      </c>
      <c r="ED17" s="141">
        <v>3185670</v>
      </c>
      <c r="EE17" s="141">
        <v>0</v>
      </c>
      <c r="EF17" s="141">
        <v>112668857</v>
      </c>
      <c r="EG17" s="71"/>
      <c r="EH17" s="141">
        <v>2813800</v>
      </c>
      <c r="EI17" s="141">
        <v>1830040</v>
      </c>
      <c r="EJ17" s="141">
        <v>983760</v>
      </c>
      <c r="EK17" s="141">
        <v>38016</v>
      </c>
      <c r="EL17" s="141">
        <v>-161454</v>
      </c>
      <c r="EM17" s="71"/>
      <c r="EN17" s="141">
        <v>287730</v>
      </c>
      <c r="EO17" s="141">
        <v>284921</v>
      </c>
      <c r="EP17" s="141">
        <v>267103</v>
      </c>
      <c r="EQ17" s="141">
        <v>153230</v>
      </c>
      <c r="ER17" s="73">
        <f t="shared" si="12"/>
        <v>4806200</v>
      </c>
      <c r="ES17" s="141">
        <v>61314045</v>
      </c>
      <c r="ET17" s="141">
        <v>-5191494</v>
      </c>
      <c r="EU17" s="141">
        <v>15498508</v>
      </c>
      <c r="EV17" s="141">
        <v>9434328</v>
      </c>
      <c r="EW17" s="141">
        <v>8845633</v>
      </c>
      <c r="EX17" s="141">
        <v>5231655</v>
      </c>
      <c r="EY17" s="73">
        <f t="shared" si="13"/>
        <v>4254739</v>
      </c>
      <c r="EZ17" s="141">
        <v>4253320</v>
      </c>
      <c r="FA17" s="141">
        <v>612616</v>
      </c>
      <c r="FB17" s="141">
        <v>3636178</v>
      </c>
      <c r="FC17" s="141">
        <v>1419</v>
      </c>
      <c r="FD17" s="141">
        <v>0</v>
      </c>
      <c r="FE17" s="141">
        <v>14430567</v>
      </c>
      <c r="FF17" s="141">
        <v>7064550</v>
      </c>
      <c r="FG17" s="141">
        <v>6134</v>
      </c>
      <c r="FH17" s="141">
        <v>6915141</v>
      </c>
      <c r="FI17" s="73">
        <f t="shared" si="14"/>
        <v>1450946</v>
      </c>
      <c r="FJ17" s="141">
        <v>63691739</v>
      </c>
      <c r="FK17" s="379">
        <f t="shared" si="15"/>
        <v>1.8</v>
      </c>
      <c r="FL17" s="141">
        <v>55213614</v>
      </c>
      <c r="FM17" s="141">
        <v>333007</v>
      </c>
      <c r="FN17" s="141">
        <v>42148965</v>
      </c>
      <c r="FO17" s="141">
        <v>43158871</v>
      </c>
      <c r="FP17" s="390">
        <v>0.96499999999999997</v>
      </c>
      <c r="FQ17" s="380">
        <v>91.1</v>
      </c>
      <c r="FR17" s="381">
        <v>26.3</v>
      </c>
      <c r="FS17" s="380">
        <v>15.4</v>
      </c>
      <c r="FT17" s="380">
        <v>9.1</v>
      </c>
      <c r="FU17" s="381">
        <v>20.8</v>
      </c>
      <c r="FV17" s="380">
        <v>6</v>
      </c>
      <c r="FW17" s="382">
        <v>11.8</v>
      </c>
      <c r="FX17" s="383">
        <v>-1.1000000000000001</v>
      </c>
      <c r="FY17" s="141">
        <v>49644066</v>
      </c>
      <c r="FZ17" s="384">
        <f t="shared" si="16"/>
        <v>89.4</v>
      </c>
      <c r="GA17" s="141">
        <v>23451398</v>
      </c>
      <c r="GB17" s="141">
        <v>7942950</v>
      </c>
      <c r="GC17" s="141">
        <v>0</v>
      </c>
      <c r="GD17" s="141">
        <v>15508448</v>
      </c>
      <c r="GE17" s="107">
        <v>0</v>
      </c>
      <c r="GF17" s="385">
        <v>1023</v>
      </c>
      <c r="GG17" s="386">
        <f>IF(GF17=0,"-",ROUND(GF17/(GX17)*100,1))</f>
        <v>1.8</v>
      </c>
      <c r="GH17" s="380">
        <v>99.6</v>
      </c>
      <c r="GI17" s="380">
        <v>35.9</v>
      </c>
      <c r="GJ17" s="380">
        <v>98.7</v>
      </c>
      <c r="GK17" s="141">
        <v>1645</v>
      </c>
      <c r="GL17" s="391" t="s">
        <v>646</v>
      </c>
      <c r="GM17" s="391">
        <v>11.25</v>
      </c>
      <c r="GN17" s="117">
        <v>20</v>
      </c>
      <c r="GO17" s="391" t="s">
        <v>646</v>
      </c>
      <c r="GP17" s="392">
        <v>16.25</v>
      </c>
      <c r="GQ17" s="387">
        <v>30</v>
      </c>
      <c r="GR17" s="381">
        <v>-1.1000000000000001</v>
      </c>
      <c r="GS17" s="388">
        <v>25</v>
      </c>
      <c r="GT17" s="388">
        <v>35</v>
      </c>
      <c r="GU17" s="393" t="s">
        <v>646</v>
      </c>
      <c r="GV17" s="388">
        <v>350</v>
      </c>
      <c r="GW17" s="394"/>
      <c r="GX17" s="100">
        <f t="shared" si="17"/>
        <v>55547</v>
      </c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  <c r="HW17" s="394"/>
      <c r="HX17" s="394"/>
    </row>
    <row r="18" spans="2:232" x14ac:dyDescent="0.15">
      <c r="B18" s="89" t="s">
        <v>25</v>
      </c>
      <c r="C18" s="141">
        <v>40015496</v>
      </c>
      <c r="D18" s="73">
        <f t="shared" si="0"/>
        <v>14559125</v>
      </c>
      <c r="E18" s="141">
        <v>433423</v>
      </c>
      <c r="F18" s="141">
        <v>14125702</v>
      </c>
      <c r="G18" s="73">
        <f t="shared" si="1"/>
        <v>2922042</v>
      </c>
      <c r="H18" s="141">
        <v>755687</v>
      </c>
      <c r="I18" s="141">
        <v>2166355</v>
      </c>
      <c r="J18" s="141">
        <v>16688773</v>
      </c>
      <c r="K18" s="141">
        <v>7158482</v>
      </c>
      <c r="L18" s="141">
        <v>7147628</v>
      </c>
      <c r="M18" s="141">
        <v>2105924</v>
      </c>
      <c r="N18" s="141">
        <v>1959065</v>
      </c>
      <c r="O18" s="141">
        <v>3453406</v>
      </c>
      <c r="P18" s="141">
        <v>1910900</v>
      </c>
      <c r="Q18" s="141">
        <v>1542506</v>
      </c>
      <c r="R18" s="141">
        <v>445394</v>
      </c>
      <c r="S18" s="74"/>
      <c r="T18" s="73">
        <f t="shared" si="2"/>
        <v>7609371</v>
      </c>
      <c r="U18" s="141">
        <v>35514</v>
      </c>
      <c r="V18" s="141">
        <v>296407</v>
      </c>
      <c r="W18" s="141">
        <v>212026</v>
      </c>
      <c r="X18" s="141">
        <v>6281995</v>
      </c>
      <c r="Y18" s="141">
        <v>0</v>
      </c>
      <c r="Z18" s="141">
        <v>0</v>
      </c>
      <c r="AA18" s="141">
        <v>3243</v>
      </c>
      <c r="AB18" s="141">
        <v>97031</v>
      </c>
      <c r="AC18" s="141">
        <v>683155</v>
      </c>
      <c r="AD18" s="141">
        <v>332892</v>
      </c>
      <c r="AE18" s="141">
        <v>15042229</v>
      </c>
      <c r="AF18" s="141">
        <v>14454487</v>
      </c>
      <c r="AG18" s="141">
        <v>587742</v>
      </c>
      <c r="AH18" s="141">
        <v>31820</v>
      </c>
      <c r="AI18" s="141">
        <v>769519</v>
      </c>
      <c r="AJ18" s="73">
        <f t="shared" si="3"/>
        <v>1498191</v>
      </c>
      <c r="AK18" s="141">
        <v>988510</v>
      </c>
      <c r="AL18" s="141">
        <v>509681</v>
      </c>
      <c r="AM18" s="141">
        <v>36556759</v>
      </c>
      <c r="AN18" s="73">
        <f t="shared" si="4"/>
        <v>19347769</v>
      </c>
      <c r="AO18" s="141">
        <v>10331616</v>
      </c>
      <c r="AP18" s="141">
        <v>4553156</v>
      </c>
      <c r="AQ18" s="74"/>
      <c r="AR18" s="141">
        <v>4462997</v>
      </c>
      <c r="AS18" s="141">
        <v>886341</v>
      </c>
      <c r="AT18" s="141">
        <v>0</v>
      </c>
      <c r="AU18" s="141">
        <v>56987</v>
      </c>
      <c r="AV18" s="141">
        <v>9761738</v>
      </c>
      <c r="AW18" s="141">
        <v>6925765</v>
      </c>
      <c r="AX18" s="141">
        <v>1970161</v>
      </c>
      <c r="AY18" s="141">
        <v>368098</v>
      </c>
      <c r="AZ18" s="141">
        <v>2835973</v>
      </c>
      <c r="BA18" s="141">
        <v>39172</v>
      </c>
      <c r="BB18" s="141">
        <v>167595</v>
      </c>
      <c r="BC18" s="141">
        <v>63381</v>
      </c>
      <c r="BD18" s="141">
        <v>2004261</v>
      </c>
      <c r="BE18" s="141">
        <v>308559</v>
      </c>
      <c r="BF18" s="141">
        <v>150000</v>
      </c>
      <c r="BG18" s="141">
        <v>0</v>
      </c>
      <c r="BH18" s="141">
        <v>158559</v>
      </c>
      <c r="BI18" s="141">
        <v>0</v>
      </c>
      <c r="BJ18" s="141">
        <v>877677</v>
      </c>
      <c r="BK18" s="141">
        <v>549851</v>
      </c>
      <c r="BL18" s="141">
        <v>1457801</v>
      </c>
      <c r="BM18" s="141">
        <v>284223</v>
      </c>
      <c r="BN18" s="141">
        <v>0</v>
      </c>
      <c r="BO18" s="141">
        <v>412202</v>
      </c>
      <c r="BP18" s="141">
        <v>6184039</v>
      </c>
      <c r="BQ18" s="73">
        <f t="shared" si="5"/>
        <v>3760800</v>
      </c>
      <c r="BR18" s="73">
        <f t="shared" si="6"/>
        <v>2423239</v>
      </c>
      <c r="BS18" s="141">
        <v>0</v>
      </c>
      <c r="BT18" s="141">
        <v>0</v>
      </c>
      <c r="BU18" s="141">
        <v>2423239</v>
      </c>
      <c r="BV18" s="141">
        <v>0</v>
      </c>
      <c r="BW18" s="141">
        <v>123120328</v>
      </c>
      <c r="BX18" s="71"/>
      <c r="BY18" s="141">
        <v>17940667</v>
      </c>
      <c r="BZ18" s="141">
        <v>12378410</v>
      </c>
      <c r="CA18" s="141">
        <v>517255</v>
      </c>
      <c r="CB18" s="141">
        <v>1771151</v>
      </c>
      <c r="CC18" s="141">
        <v>46957434</v>
      </c>
      <c r="CD18" s="141">
        <v>14578060</v>
      </c>
      <c r="CE18" s="141">
        <v>20594</v>
      </c>
      <c r="CF18" s="141">
        <v>14908707</v>
      </c>
      <c r="CG18" s="141">
        <v>13916200</v>
      </c>
      <c r="CH18" s="141">
        <v>1931012</v>
      </c>
      <c r="CI18" s="141">
        <v>1601311</v>
      </c>
      <c r="CJ18" s="141">
        <v>9379883</v>
      </c>
      <c r="CK18" s="141">
        <v>9041451</v>
      </c>
      <c r="CL18" s="83">
        <f t="shared" si="7"/>
        <v>338432</v>
      </c>
      <c r="CM18" s="141">
        <v>15780096</v>
      </c>
      <c r="CN18" s="141">
        <v>11344608</v>
      </c>
      <c r="CO18" s="102"/>
      <c r="CP18" s="141">
        <v>1981881</v>
      </c>
      <c r="CQ18" s="141">
        <v>448184</v>
      </c>
      <c r="CR18" s="141">
        <v>11681579</v>
      </c>
      <c r="CS18" s="141">
        <v>880810</v>
      </c>
      <c r="CT18" s="141">
        <v>4125540</v>
      </c>
      <c r="CU18" s="141">
        <v>3400328</v>
      </c>
      <c r="CV18" s="73">
        <f t="shared" si="8"/>
        <v>5807809</v>
      </c>
      <c r="CW18" s="141">
        <v>5807809</v>
      </c>
      <c r="CX18" s="141">
        <v>0</v>
      </c>
      <c r="CY18" s="73">
        <f t="shared" si="9"/>
        <v>1697060</v>
      </c>
      <c r="CZ18" s="141">
        <v>1697060</v>
      </c>
      <c r="DA18" s="141">
        <v>0</v>
      </c>
      <c r="DB18" s="73">
        <f t="shared" si="10"/>
        <v>3647020</v>
      </c>
      <c r="DC18" s="141">
        <v>3647020</v>
      </c>
      <c r="DD18" s="141">
        <v>0</v>
      </c>
      <c r="DE18" s="141">
        <v>7045096</v>
      </c>
      <c r="DF18" s="141">
        <v>2427874</v>
      </c>
      <c r="DG18" s="141">
        <v>4583749</v>
      </c>
      <c r="DH18" s="141">
        <v>12748</v>
      </c>
      <c r="DI18" s="141">
        <v>20725</v>
      </c>
      <c r="DJ18" s="141">
        <v>0</v>
      </c>
      <c r="DK18" s="141">
        <v>1874458</v>
      </c>
      <c r="DL18" s="141">
        <v>572026</v>
      </c>
      <c r="DM18" s="141">
        <v>0</v>
      </c>
      <c r="DN18" s="141">
        <v>1302432</v>
      </c>
      <c r="DO18" s="141">
        <v>680797</v>
      </c>
      <c r="DP18" s="141">
        <v>680797</v>
      </c>
      <c r="DQ18" s="141">
        <v>59172</v>
      </c>
      <c r="DR18" s="141">
        <v>100000</v>
      </c>
      <c r="DS18" s="141">
        <v>250624</v>
      </c>
      <c r="DT18" s="141">
        <v>0</v>
      </c>
      <c r="DU18" s="141">
        <v>0</v>
      </c>
      <c r="DV18" s="141">
        <v>10677908</v>
      </c>
      <c r="DW18" s="141">
        <v>0</v>
      </c>
      <c r="DX18" s="73">
        <f t="shared" si="11"/>
        <v>0</v>
      </c>
      <c r="DY18" s="141">
        <v>0</v>
      </c>
      <c r="DZ18" s="141">
        <v>3776339</v>
      </c>
      <c r="EA18" s="141">
        <v>0</v>
      </c>
      <c r="EB18" s="141">
        <v>2676502</v>
      </c>
      <c r="EC18" s="74">
        <v>0</v>
      </c>
      <c r="ED18" s="141">
        <v>4225067</v>
      </c>
      <c r="EE18" s="141">
        <v>0</v>
      </c>
      <c r="EF18" s="141">
        <v>122716726</v>
      </c>
      <c r="EG18" s="71"/>
      <c r="EH18" s="141">
        <v>403602</v>
      </c>
      <c r="EI18" s="141">
        <v>347273</v>
      </c>
      <c r="EJ18" s="141">
        <v>56329</v>
      </c>
      <c r="EK18" s="141">
        <v>-493522</v>
      </c>
      <c r="EL18" s="141">
        <v>249204</v>
      </c>
      <c r="EM18" s="71"/>
      <c r="EN18" s="141">
        <v>264642</v>
      </c>
      <c r="EO18" s="141">
        <v>261998</v>
      </c>
      <c r="EP18" s="141">
        <v>150000</v>
      </c>
      <c r="EQ18" s="141">
        <v>93276</v>
      </c>
      <c r="ER18" s="73">
        <f t="shared" si="12"/>
        <v>5768903</v>
      </c>
      <c r="ES18" s="141">
        <v>63534189</v>
      </c>
      <c r="ET18" s="141">
        <v>-8346611</v>
      </c>
      <c r="EU18" s="141">
        <v>16377098</v>
      </c>
      <c r="EV18" s="141">
        <v>11485030</v>
      </c>
      <c r="EW18" s="141">
        <v>13408825</v>
      </c>
      <c r="EX18" s="141">
        <v>9240588</v>
      </c>
      <c r="EY18" s="73">
        <f t="shared" si="13"/>
        <v>2221983</v>
      </c>
      <c r="EZ18" s="141">
        <v>2221983</v>
      </c>
      <c r="FA18" s="141">
        <v>221003</v>
      </c>
      <c r="FB18" s="141">
        <v>1996982</v>
      </c>
      <c r="FC18" s="141">
        <v>0</v>
      </c>
      <c r="FD18" s="141">
        <v>0</v>
      </c>
      <c r="FE18" s="141">
        <v>9943216</v>
      </c>
      <c r="FF18" s="141">
        <v>10560200</v>
      </c>
      <c r="FG18" s="141">
        <v>605381</v>
      </c>
      <c r="FH18" s="141">
        <v>8360160</v>
      </c>
      <c r="FI18" s="73">
        <f t="shared" si="14"/>
        <v>1365128</v>
      </c>
      <c r="FJ18" s="141">
        <v>71477198</v>
      </c>
      <c r="FK18" s="379">
        <f t="shared" si="15"/>
        <v>0.1</v>
      </c>
      <c r="FL18" s="141">
        <v>57611457</v>
      </c>
      <c r="FM18" s="141">
        <v>2423239</v>
      </c>
      <c r="FN18" s="141">
        <v>33802420</v>
      </c>
      <c r="FO18" s="141">
        <v>48256907</v>
      </c>
      <c r="FP18" s="390">
        <v>0.71299999999999997</v>
      </c>
      <c r="FQ18" s="380">
        <v>98.6</v>
      </c>
      <c r="FR18" s="381">
        <v>26</v>
      </c>
      <c r="FS18" s="380">
        <v>18.8</v>
      </c>
      <c r="FT18" s="380">
        <v>14.3</v>
      </c>
      <c r="FU18" s="381">
        <v>12.7</v>
      </c>
      <c r="FV18" s="380">
        <v>12.9</v>
      </c>
      <c r="FW18" s="382">
        <v>12.4</v>
      </c>
      <c r="FX18" s="383">
        <v>3.4</v>
      </c>
      <c r="FY18" s="141">
        <v>92171699</v>
      </c>
      <c r="FZ18" s="384">
        <f t="shared" si="16"/>
        <v>153.5</v>
      </c>
      <c r="GA18" s="141">
        <v>12788653</v>
      </c>
      <c r="GB18" s="141">
        <v>7823932</v>
      </c>
      <c r="GC18" s="141">
        <v>0</v>
      </c>
      <c r="GD18" s="141">
        <v>4964721</v>
      </c>
      <c r="GE18" s="107">
        <v>0</v>
      </c>
      <c r="GF18" s="385"/>
      <c r="GG18" s="386"/>
      <c r="GH18" s="380">
        <v>99.5</v>
      </c>
      <c r="GI18" s="380">
        <v>37.700000000000003</v>
      </c>
      <c r="GJ18" s="380">
        <v>98.4</v>
      </c>
      <c r="GK18" s="141">
        <v>1712</v>
      </c>
      <c r="GL18" s="391" t="s">
        <v>646</v>
      </c>
      <c r="GM18" s="391">
        <v>11.25</v>
      </c>
      <c r="GN18" s="117">
        <v>20</v>
      </c>
      <c r="GO18" s="391" t="s">
        <v>646</v>
      </c>
      <c r="GP18" s="392">
        <v>16.25</v>
      </c>
      <c r="GQ18" s="387">
        <v>30</v>
      </c>
      <c r="GR18" s="381">
        <v>3.4</v>
      </c>
      <c r="GS18" s="388">
        <v>25</v>
      </c>
      <c r="GT18" s="388">
        <v>35</v>
      </c>
      <c r="GU18" s="393" t="s">
        <v>646</v>
      </c>
      <c r="GV18" s="388">
        <v>350</v>
      </c>
      <c r="GW18" s="394"/>
      <c r="GX18" s="100">
        <f t="shared" si="17"/>
        <v>60035</v>
      </c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  <c r="HW18" s="394"/>
      <c r="HX18" s="394"/>
    </row>
    <row r="19" spans="2:232" x14ac:dyDescent="0.15">
      <c r="B19" s="89" t="s">
        <v>27</v>
      </c>
      <c r="C19" s="141">
        <v>19532650</v>
      </c>
      <c r="D19" s="73">
        <f t="shared" si="0"/>
        <v>5030734</v>
      </c>
      <c r="E19" s="141">
        <v>168631</v>
      </c>
      <c r="F19" s="141">
        <v>4862103</v>
      </c>
      <c r="G19" s="73">
        <f t="shared" si="1"/>
        <v>1330442</v>
      </c>
      <c r="H19" s="141">
        <v>480585</v>
      </c>
      <c r="I19" s="141">
        <v>849857</v>
      </c>
      <c r="J19" s="141">
        <v>10226058</v>
      </c>
      <c r="K19" s="141">
        <v>3629655</v>
      </c>
      <c r="L19" s="141">
        <v>3918877</v>
      </c>
      <c r="M19" s="141">
        <v>2217725</v>
      </c>
      <c r="N19" s="141">
        <v>879307</v>
      </c>
      <c r="O19" s="141">
        <v>1499593</v>
      </c>
      <c r="P19" s="141">
        <v>678511</v>
      </c>
      <c r="Q19" s="141">
        <v>821082</v>
      </c>
      <c r="R19" s="141">
        <v>215358</v>
      </c>
      <c r="S19" s="74"/>
      <c r="T19" s="73">
        <f t="shared" si="2"/>
        <v>3104717</v>
      </c>
      <c r="U19" s="141">
        <v>12372</v>
      </c>
      <c r="V19" s="141">
        <v>103344</v>
      </c>
      <c r="W19" s="141">
        <v>73985</v>
      </c>
      <c r="X19" s="141">
        <v>2469503</v>
      </c>
      <c r="Y19" s="141">
        <v>48013</v>
      </c>
      <c r="Z19" s="141">
        <v>0</v>
      </c>
      <c r="AA19" s="141">
        <v>1293</v>
      </c>
      <c r="AB19" s="141">
        <v>38671</v>
      </c>
      <c r="AC19" s="141">
        <v>357536</v>
      </c>
      <c r="AD19" s="141">
        <v>102503</v>
      </c>
      <c r="AE19" s="141">
        <v>3335923</v>
      </c>
      <c r="AF19" s="141">
        <v>2745188</v>
      </c>
      <c r="AG19" s="141">
        <v>590735</v>
      </c>
      <c r="AH19" s="141">
        <v>15579</v>
      </c>
      <c r="AI19" s="141">
        <v>249191</v>
      </c>
      <c r="AJ19" s="73">
        <f t="shared" si="3"/>
        <v>783573</v>
      </c>
      <c r="AK19" s="141">
        <v>545566</v>
      </c>
      <c r="AL19" s="141">
        <v>238007</v>
      </c>
      <c r="AM19" s="141">
        <v>11304866</v>
      </c>
      <c r="AN19" s="73">
        <f t="shared" si="4"/>
        <v>5644022</v>
      </c>
      <c r="AO19" s="141">
        <v>2808603</v>
      </c>
      <c r="AP19" s="141">
        <v>1227977</v>
      </c>
      <c r="AQ19" s="74"/>
      <c r="AR19" s="141">
        <v>1607442</v>
      </c>
      <c r="AS19" s="141">
        <v>654885</v>
      </c>
      <c r="AT19" s="141">
        <v>0</v>
      </c>
      <c r="AU19" s="141">
        <v>0</v>
      </c>
      <c r="AV19" s="141">
        <v>3537679</v>
      </c>
      <c r="AW19" s="141">
        <v>2230346</v>
      </c>
      <c r="AX19" s="141">
        <v>651907</v>
      </c>
      <c r="AY19" s="141">
        <v>17739</v>
      </c>
      <c r="AZ19" s="141">
        <v>1307333</v>
      </c>
      <c r="BA19" s="141">
        <v>58950</v>
      </c>
      <c r="BB19" s="141">
        <v>373443</v>
      </c>
      <c r="BC19" s="141">
        <v>195451</v>
      </c>
      <c r="BD19" s="141">
        <v>13873095</v>
      </c>
      <c r="BE19" s="141">
        <v>14797711</v>
      </c>
      <c r="BF19" s="141">
        <v>0</v>
      </c>
      <c r="BG19" s="141">
        <v>1116000</v>
      </c>
      <c r="BH19" s="141">
        <v>13680690</v>
      </c>
      <c r="BI19" s="141">
        <v>0</v>
      </c>
      <c r="BJ19" s="141">
        <v>452776</v>
      </c>
      <c r="BK19" s="141">
        <v>385001</v>
      </c>
      <c r="BL19" s="141">
        <v>2585924</v>
      </c>
      <c r="BM19" s="141">
        <v>1797568</v>
      </c>
      <c r="BN19" s="141">
        <v>0</v>
      </c>
      <c r="BO19" s="141">
        <v>304839</v>
      </c>
      <c r="BP19" s="141">
        <v>2553900</v>
      </c>
      <c r="BQ19" s="73">
        <f t="shared" si="5"/>
        <v>1890300</v>
      </c>
      <c r="BR19" s="73">
        <f t="shared" si="6"/>
        <v>663600</v>
      </c>
      <c r="BS19" s="141">
        <v>0</v>
      </c>
      <c r="BT19" s="141">
        <v>0</v>
      </c>
      <c r="BU19" s="141">
        <v>663600</v>
      </c>
      <c r="BV19" s="141">
        <v>0</v>
      </c>
      <c r="BW19" s="141">
        <v>76818888</v>
      </c>
      <c r="BX19" s="71"/>
      <c r="BY19" s="141">
        <v>6073513</v>
      </c>
      <c r="BZ19" s="141">
        <v>3790936</v>
      </c>
      <c r="CA19" s="141">
        <v>411266</v>
      </c>
      <c r="CB19" s="141">
        <v>479778</v>
      </c>
      <c r="CC19" s="141">
        <v>13655219</v>
      </c>
      <c r="CD19" s="141">
        <v>4413189</v>
      </c>
      <c r="CE19" s="141">
        <v>282</v>
      </c>
      <c r="CF19" s="141">
        <v>5012641</v>
      </c>
      <c r="CG19" s="141">
        <v>3605641</v>
      </c>
      <c r="CH19" s="141">
        <v>96173</v>
      </c>
      <c r="CI19" s="141">
        <v>527293</v>
      </c>
      <c r="CJ19" s="141">
        <v>6189679</v>
      </c>
      <c r="CK19" s="141">
        <v>5801604</v>
      </c>
      <c r="CL19" s="83">
        <f t="shared" si="7"/>
        <v>388075</v>
      </c>
      <c r="CM19" s="141">
        <v>13069834</v>
      </c>
      <c r="CN19" s="141">
        <v>8840216</v>
      </c>
      <c r="CO19" s="102"/>
      <c r="CP19" s="141">
        <v>815165</v>
      </c>
      <c r="CQ19" s="141">
        <v>118411</v>
      </c>
      <c r="CR19" s="141">
        <v>13121363</v>
      </c>
      <c r="CS19" s="141">
        <v>2490976</v>
      </c>
      <c r="CT19" s="141">
        <v>2610318</v>
      </c>
      <c r="CU19" s="141">
        <v>1994030</v>
      </c>
      <c r="CV19" s="73">
        <f t="shared" si="8"/>
        <v>1257380</v>
      </c>
      <c r="CW19" s="141">
        <v>1161831</v>
      </c>
      <c r="CX19" s="141">
        <v>95549</v>
      </c>
      <c r="CY19" s="73">
        <f t="shared" si="9"/>
        <v>0</v>
      </c>
      <c r="CZ19" s="141">
        <v>0</v>
      </c>
      <c r="DA19" s="141">
        <v>0</v>
      </c>
      <c r="DB19" s="73">
        <f t="shared" si="10"/>
        <v>1253180</v>
      </c>
      <c r="DC19" s="141">
        <v>1157631</v>
      </c>
      <c r="DD19" s="141">
        <v>95549</v>
      </c>
      <c r="DE19" s="141">
        <v>4219613</v>
      </c>
      <c r="DF19" s="141">
        <v>1469022</v>
      </c>
      <c r="DG19" s="141">
        <v>2726608</v>
      </c>
      <c r="DH19" s="141">
        <v>23978</v>
      </c>
      <c r="DI19" s="141">
        <v>0</v>
      </c>
      <c r="DJ19" s="141">
        <v>0</v>
      </c>
      <c r="DK19" s="141">
        <v>14126689</v>
      </c>
      <c r="DL19" s="141">
        <v>232051</v>
      </c>
      <c r="DM19" s="141">
        <v>339660</v>
      </c>
      <c r="DN19" s="141">
        <v>13554978</v>
      </c>
      <c r="DO19" s="141">
        <v>200033</v>
      </c>
      <c r="DP19" s="141">
        <v>199033</v>
      </c>
      <c r="DQ19" s="141">
        <v>0</v>
      </c>
      <c r="DR19" s="141">
        <v>0</v>
      </c>
      <c r="DS19" s="141">
        <v>1522100</v>
      </c>
      <c r="DT19" s="141">
        <v>0</v>
      </c>
      <c r="DU19" s="141">
        <v>0</v>
      </c>
      <c r="DV19" s="141">
        <v>4020127</v>
      </c>
      <c r="DW19" s="141">
        <v>0</v>
      </c>
      <c r="DX19" s="73">
        <f t="shared" si="11"/>
        <v>0</v>
      </c>
      <c r="DY19" s="141">
        <v>0</v>
      </c>
      <c r="DZ19" s="141">
        <v>1529193</v>
      </c>
      <c r="EA19" s="141">
        <v>0</v>
      </c>
      <c r="EB19" s="141">
        <v>998089</v>
      </c>
      <c r="EC19" s="74">
        <v>0</v>
      </c>
      <c r="ED19" s="141">
        <v>1492845</v>
      </c>
      <c r="EE19" s="141">
        <v>0</v>
      </c>
      <c r="EF19" s="141">
        <v>76316581</v>
      </c>
      <c r="EG19" s="71"/>
      <c r="EH19" s="141">
        <v>502307</v>
      </c>
      <c r="EI19" s="141">
        <v>93571</v>
      </c>
      <c r="EJ19" s="141">
        <v>408736</v>
      </c>
      <c r="EK19" s="141">
        <v>23735</v>
      </c>
      <c r="EL19" s="141">
        <v>1371786</v>
      </c>
      <c r="EM19" s="71"/>
      <c r="EN19" s="141">
        <v>100131</v>
      </c>
      <c r="EO19" s="141">
        <v>98545</v>
      </c>
      <c r="EP19" s="141">
        <v>2690416</v>
      </c>
      <c r="EQ19" s="141">
        <v>273896</v>
      </c>
      <c r="ER19" s="73">
        <f t="shared" si="12"/>
        <v>1963704</v>
      </c>
      <c r="ES19" s="141">
        <v>26306730</v>
      </c>
      <c r="ET19" s="141">
        <v>-5576037</v>
      </c>
      <c r="EU19" s="141">
        <v>5287991</v>
      </c>
      <c r="EV19" s="141">
        <v>3076562</v>
      </c>
      <c r="EW19" s="141">
        <v>3115471</v>
      </c>
      <c r="EX19" s="141">
        <v>5649546</v>
      </c>
      <c r="EY19" s="73">
        <f t="shared" si="13"/>
        <v>955068</v>
      </c>
      <c r="EZ19" s="141">
        <v>955068</v>
      </c>
      <c r="FA19" s="141">
        <v>42096</v>
      </c>
      <c r="FB19" s="141">
        <v>911882</v>
      </c>
      <c r="FC19" s="141">
        <v>0</v>
      </c>
      <c r="FD19" s="141">
        <v>0</v>
      </c>
      <c r="FE19" s="141">
        <v>5725727</v>
      </c>
      <c r="FF19" s="141">
        <v>6644691</v>
      </c>
      <c r="FG19" s="141">
        <v>2490976</v>
      </c>
      <c r="FH19" s="141">
        <v>3085217</v>
      </c>
      <c r="FI19" s="73">
        <f t="shared" si="14"/>
        <v>916749</v>
      </c>
      <c r="FJ19" s="141">
        <v>31380460</v>
      </c>
      <c r="FK19" s="379">
        <f t="shared" si="15"/>
        <v>1.7</v>
      </c>
      <c r="FL19" s="141">
        <v>23417296</v>
      </c>
      <c r="FM19" s="141">
        <v>663652</v>
      </c>
      <c r="FN19" s="141">
        <v>16120594</v>
      </c>
      <c r="FO19" s="141">
        <v>18854441</v>
      </c>
      <c r="FP19" s="390">
        <v>0.9</v>
      </c>
      <c r="FQ19" s="380">
        <v>104.4</v>
      </c>
      <c r="FR19" s="381">
        <v>20.7</v>
      </c>
      <c r="FS19" s="380">
        <v>12.6</v>
      </c>
      <c r="FT19" s="380">
        <v>18.3</v>
      </c>
      <c r="FU19" s="381">
        <v>19</v>
      </c>
      <c r="FV19" s="380">
        <v>20.3</v>
      </c>
      <c r="FW19" s="382">
        <v>12.4</v>
      </c>
      <c r="FX19" s="383">
        <v>8.5</v>
      </c>
      <c r="FY19" s="141">
        <v>58619166</v>
      </c>
      <c r="FZ19" s="384">
        <f t="shared" si="16"/>
        <v>243.4</v>
      </c>
      <c r="GA19" s="141">
        <v>16259356</v>
      </c>
      <c r="GB19" s="141">
        <v>1928050</v>
      </c>
      <c r="GC19" s="141">
        <v>159260</v>
      </c>
      <c r="GD19" s="141">
        <v>14172046</v>
      </c>
      <c r="GE19" s="107">
        <v>0</v>
      </c>
      <c r="GF19" s="385">
        <v>1195</v>
      </c>
      <c r="GG19" s="386">
        <f>IF(GF19=0,"-",ROUND(GF19/(GX19)*100,1))</f>
        <v>5</v>
      </c>
      <c r="GH19" s="380">
        <v>99.3</v>
      </c>
      <c r="GI19" s="380">
        <v>43.4</v>
      </c>
      <c r="GJ19" s="380">
        <v>98.9</v>
      </c>
      <c r="GK19" s="141">
        <v>519</v>
      </c>
      <c r="GL19" s="391" t="s">
        <v>646</v>
      </c>
      <c r="GM19" s="391">
        <v>12.15</v>
      </c>
      <c r="GN19" s="117">
        <v>20</v>
      </c>
      <c r="GO19" s="391" t="s">
        <v>646</v>
      </c>
      <c r="GP19" s="392">
        <v>17.149999999999999</v>
      </c>
      <c r="GQ19" s="387">
        <v>30</v>
      </c>
      <c r="GR19" s="381">
        <v>8.5</v>
      </c>
      <c r="GS19" s="388">
        <v>25</v>
      </c>
      <c r="GT19" s="388">
        <v>35</v>
      </c>
      <c r="GU19" s="393">
        <v>27.9</v>
      </c>
      <c r="GV19" s="388">
        <v>350</v>
      </c>
      <c r="GW19" s="394"/>
      <c r="GX19" s="100">
        <f t="shared" si="17"/>
        <v>24081</v>
      </c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  <c r="HW19" s="394"/>
      <c r="HX19" s="394"/>
    </row>
    <row r="20" spans="2:232" x14ac:dyDescent="0.15">
      <c r="B20" s="89" t="s">
        <v>29</v>
      </c>
      <c r="C20" s="141">
        <v>13593043</v>
      </c>
      <c r="D20" s="73">
        <f t="shared" si="0"/>
        <v>5934254</v>
      </c>
      <c r="E20" s="141">
        <v>183411</v>
      </c>
      <c r="F20" s="141">
        <v>5750843</v>
      </c>
      <c r="G20" s="73">
        <f t="shared" si="1"/>
        <v>522314</v>
      </c>
      <c r="H20" s="141">
        <v>205965</v>
      </c>
      <c r="I20" s="141">
        <v>316349</v>
      </c>
      <c r="J20" s="141">
        <v>5207536</v>
      </c>
      <c r="K20" s="141">
        <v>1982750</v>
      </c>
      <c r="L20" s="141">
        <v>2422138</v>
      </c>
      <c r="M20" s="141">
        <v>694100</v>
      </c>
      <c r="N20" s="141">
        <v>690521</v>
      </c>
      <c r="O20" s="141">
        <v>985178</v>
      </c>
      <c r="P20" s="141">
        <v>522423</v>
      </c>
      <c r="Q20" s="141">
        <v>462755</v>
      </c>
      <c r="R20" s="141">
        <v>208029</v>
      </c>
      <c r="S20" s="74"/>
      <c r="T20" s="73">
        <f t="shared" si="2"/>
        <v>2980321</v>
      </c>
      <c r="U20" s="141">
        <v>15186</v>
      </c>
      <c r="V20" s="141">
        <v>126623</v>
      </c>
      <c r="W20" s="141">
        <v>90470</v>
      </c>
      <c r="X20" s="141">
        <v>2456354</v>
      </c>
      <c r="Y20" s="141">
        <v>47586</v>
      </c>
      <c r="Z20" s="141">
        <v>0</v>
      </c>
      <c r="AA20" s="141">
        <v>1525</v>
      </c>
      <c r="AB20" s="141">
        <v>45644</v>
      </c>
      <c r="AC20" s="141">
        <v>196933</v>
      </c>
      <c r="AD20" s="141">
        <v>105398</v>
      </c>
      <c r="AE20" s="141">
        <v>8194092</v>
      </c>
      <c r="AF20" s="141">
        <v>8019067</v>
      </c>
      <c r="AG20" s="141">
        <v>175025</v>
      </c>
      <c r="AH20" s="141">
        <v>14316</v>
      </c>
      <c r="AI20" s="141">
        <v>961246</v>
      </c>
      <c r="AJ20" s="73">
        <f t="shared" si="3"/>
        <v>915875</v>
      </c>
      <c r="AK20" s="141">
        <v>578160</v>
      </c>
      <c r="AL20" s="141">
        <v>337715</v>
      </c>
      <c r="AM20" s="141">
        <v>11491504</v>
      </c>
      <c r="AN20" s="73">
        <f t="shared" si="4"/>
        <v>5835794</v>
      </c>
      <c r="AO20" s="141">
        <v>2898892</v>
      </c>
      <c r="AP20" s="141">
        <v>1285069</v>
      </c>
      <c r="AQ20" s="74"/>
      <c r="AR20" s="141">
        <v>1651833</v>
      </c>
      <c r="AS20" s="141">
        <v>175227</v>
      </c>
      <c r="AT20" s="141">
        <v>0</v>
      </c>
      <c r="AU20" s="141">
        <v>0</v>
      </c>
      <c r="AV20" s="141">
        <v>3673779</v>
      </c>
      <c r="AW20" s="141">
        <v>2413551</v>
      </c>
      <c r="AX20" s="141">
        <v>561179</v>
      </c>
      <c r="AY20" s="141">
        <v>149637</v>
      </c>
      <c r="AZ20" s="141">
        <v>1260228</v>
      </c>
      <c r="BA20" s="141">
        <v>12080</v>
      </c>
      <c r="BB20" s="141">
        <v>61794</v>
      </c>
      <c r="BC20" s="141">
        <v>46169</v>
      </c>
      <c r="BD20" s="141">
        <v>83183</v>
      </c>
      <c r="BE20" s="141">
        <v>358677</v>
      </c>
      <c r="BF20" s="141">
        <v>0</v>
      </c>
      <c r="BG20" s="141">
        <v>0</v>
      </c>
      <c r="BH20" s="141">
        <v>358677</v>
      </c>
      <c r="BI20" s="141">
        <v>0</v>
      </c>
      <c r="BJ20" s="141">
        <v>974590</v>
      </c>
      <c r="BK20" s="141">
        <v>856228</v>
      </c>
      <c r="BL20" s="141">
        <v>1779710</v>
      </c>
      <c r="BM20" s="141">
        <v>979830</v>
      </c>
      <c r="BN20" s="141">
        <v>0</v>
      </c>
      <c r="BO20" s="141">
        <v>331794</v>
      </c>
      <c r="BP20" s="141">
        <v>1006000</v>
      </c>
      <c r="BQ20" s="73">
        <f t="shared" si="5"/>
        <v>606000</v>
      </c>
      <c r="BR20" s="73">
        <f t="shared" si="6"/>
        <v>400000</v>
      </c>
      <c r="BS20" s="141">
        <v>0</v>
      </c>
      <c r="BT20" s="141">
        <v>0</v>
      </c>
      <c r="BU20" s="141">
        <v>400000</v>
      </c>
      <c r="BV20" s="141">
        <v>0</v>
      </c>
      <c r="BW20" s="141">
        <v>46401557</v>
      </c>
      <c r="BX20" s="71"/>
      <c r="BY20" s="141">
        <v>8110113</v>
      </c>
      <c r="BZ20" s="141">
        <v>4999869</v>
      </c>
      <c r="CA20" s="141">
        <v>258795</v>
      </c>
      <c r="CB20" s="141">
        <v>1316855</v>
      </c>
      <c r="CC20" s="141">
        <v>14222877</v>
      </c>
      <c r="CD20" s="141">
        <v>4751046</v>
      </c>
      <c r="CE20" s="141">
        <v>4515</v>
      </c>
      <c r="CF20" s="141">
        <v>5539706</v>
      </c>
      <c r="CG20" s="141">
        <v>3799774</v>
      </c>
      <c r="CH20" s="141">
        <v>10157</v>
      </c>
      <c r="CI20" s="141">
        <v>117679</v>
      </c>
      <c r="CJ20" s="141">
        <v>2497084</v>
      </c>
      <c r="CK20" s="141">
        <v>2393065</v>
      </c>
      <c r="CL20" s="83">
        <f t="shared" si="7"/>
        <v>104019</v>
      </c>
      <c r="CM20" s="141">
        <v>6108586</v>
      </c>
      <c r="CN20" s="141">
        <v>4613895</v>
      </c>
      <c r="CO20" s="102"/>
      <c r="CP20" s="141">
        <v>958257</v>
      </c>
      <c r="CQ20" s="141">
        <v>291701</v>
      </c>
      <c r="CR20" s="141">
        <v>4595169</v>
      </c>
      <c r="CS20" s="141">
        <v>782030</v>
      </c>
      <c r="CT20" s="141">
        <v>1282497</v>
      </c>
      <c r="CU20" s="141">
        <v>904438</v>
      </c>
      <c r="CV20" s="73">
        <f t="shared" si="8"/>
        <v>1319856</v>
      </c>
      <c r="CW20" s="141">
        <v>125243</v>
      </c>
      <c r="CX20" s="141">
        <v>1194613</v>
      </c>
      <c r="CY20" s="73">
        <f t="shared" si="9"/>
        <v>0</v>
      </c>
      <c r="CZ20" s="141">
        <v>0</v>
      </c>
      <c r="DA20" s="141">
        <v>0</v>
      </c>
      <c r="DB20" s="73">
        <f t="shared" si="10"/>
        <v>986711</v>
      </c>
      <c r="DC20" s="141">
        <v>102040</v>
      </c>
      <c r="DD20" s="141">
        <v>884671</v>
      </c>
      <c r="DE20" s="141">
        <v>2158767</v>
      </c>
      <c r="DF20" s="141">
        <v>456776</v>
      </c>
      <c r="DG20" s="141">
        <v>1499051</v>
      </c>
      <c r="DH20" s="141">
        <v>202940</v>
      </c>
      <c r="DI20" s="141">
        <v>0</v>
      </c>
      <c r="DJ20" s="141">
        <v>6243</v>
      </c>
      <c r="DK20" s="141">
        <v>1501738</v>
      </c>
      <c r="DL20" s="141">
        <v>505600</v>
      </c>
      <c r="DM20" s="141">
        <v>0</v>
      </c>
      <c r="DN20" s="141">
        <v>996138</v>
      </c>
      <c r="DO20" s="141">
        <v>0</v>
      </c>
      <c r="DP20" s="141">
        <v>0</v>
      </c>
      <c r="DQ20" s="141">
        <v>0</v>
      </c>
      <c r="DR20" s="141">
        <v>0</v>
      </c>
      <c r="DS20" s="141">
        <v>977400</v>
      </c>
      <c r="DT20" s="141">
        <v>0</v>
      </c>
      <c r="DU20" s="141">
        <v>0</v>
      </c>
      <c r="DV20" s="141">
        <v>4761392</v>
      </c>
      <c r="DW20" s="141">
        <v>0</v>
      </c>
      <c r="DX20" s="73">
        <f t="shared" si="11"/>
        <v>0</v>
      </c>
      <c r="DY20" s="141">
        <v>0</v>
      </c>
      <c r="DZ20" s="141">
        <v>1750902</v>
      </c>
      <c r="EA20" s="141">
        <v>0</v>
      </c>
      <c r="EB20" s="141">
        <v>1237565</v>
      </c>
      <c r="EC20" s="74">
        <v>0</v>
      </c>
      <c r="ED20" s="141">
        <v>1772925</v>
      </c>
      <c r="EE20" s="141">
        <v>0</v>
      </c>
      <c r="EF20" s="141">
        <v>45231070</v>
      </c>
      <c r="EG20" s="71"/>
      <c r="EH20" s="141">
        <v>1170487</v>
      </c>
      <c r="EI20" s="141">
        <v>207139</v>
      </c>
      <c r="EJ20" s="141">
        <v>963348</v>
      </c>
      <c r="EK20" s="141">
        <v>107120</v>
      </c>
      <c r="EL20" s="141">
        <v>612720</v>
      </c>
      <c r="EM20" s="71"/>
      <c r="EN20" s="141">
        <v>108699</v>
      </c>
      <c r="EO20" s="141">
        <v>108105</v>
      </c>
      <c r="EP20" s="141">
        <v>0</v>
      </c>
      <c r="EQ20" s="141">
        <v>52561</v>
      </c>
      <c r="ER20" s="73">
        <f t="shared" si="12"/>
        <v>2780266</v>
      </c>
      <c r="ES20" s="141">
        <v>25095199</v>
      </c>
      <c r="ET20" s="141">
        <v>-3218511</v>
      </c>
      <c r="EU20" s="141">
        <v>6907029</v>
      </c>
      <c r="EV20" s="141">
        <v>4236490</v>
      </c>
      <c r="EW20" s="141">
        <v>3689763</v>
      </c>
      <c r="EX20" s="141">
        <v>2392854</v>
      </c>
      <c r="EY20" s="73">
        <f t="shared" si="13"/>
        <v>962323</v>
      </c>
      <c r="EZ20" s="141">
        <v>959780</v>
      </c>
      <c r="FA20" s="141">
        <v>91056</v>
      </c>
      <c r="FB20" s="141">
        <v>858795</v>
      </c>
      <c r="FC20" s="141">
        <v>2543</v>
      </c>
      <c r="FD20" s="141">
        <v>0</v>
      </c>
      <c r="FE20" s="141">
        <v>3984136</v>
      </c>
      <c r="FF20" s="141">
        <v>4059476</v>
      </c>
      <c r="FG20" s="141">
        <v>782030</v>
      </c>
      <c r="FH20" s="141">
        <v>3684838</v>
      </c>
      <c r="FI20" s="73">
        <f t="shared" si="14"/>
        <v>1551346</v>
      </c>
      <c r="FJ20" s="141">
        <v>27231765</v>
      </c>
      <c r="FK20" s="379">
        <f t="shared" si="15"/>
        <v>4</v>
      </c>
      <c r="FL20" s="141">
        <v>23783786</v>
      </c>
      <c r="FM20" s="141">
        <v>474332</v>
      </c>
      <c r="FN20" s="141">
        <v>12343891</v>
      </c>
      <c r="FO20" s="141">
        <v>20362958</v>
      </c>
      <c r="FP20" s="390">
        <v>0.61799999999999999</v>
      </c>
      <c r="FQ20" s="380">
        <v>91.8</v>
      </c>
      <c r="FR20" s="381">
        <v>28.1</v>
      </c>
      <c r="FS20" s="380">
        <v>14.6</v>
      </c>
      <c r="FT20" s="380">
        <v>9.8000000000000007</v>
      </c>
      <c r="FU20" s="381">
        <v>15</v>
      </c>
      <c r="FV20" s="380">
        <v>9.3000000000000007</v>
      </c>
      <c r="FW20" s="382">
        <v>14</v>
      </c>
      <c r="FX20" s="383">
        <v>-1</v>
      </c>
      <c r="FY20" s="141">
        <v>28968828</v>
      </c>
      <c r="FZ20" s="384">
        <f t="shared" si="16"/>
        <v>119.4</v>
      </c>
      <c r="GA20" s="141">
        <v>12319157</v>
      </c>
      <c r="GB20" s="141">
        <v>4665034</v>
      </c>
      <c r="GC20" s="141">
        <v>0</v>
      </c>
      <c r="GD20" s="141">
        <v>7654123</v>
      </c>
      <c r="GE20" s="107">
        <v>0</v>
      </c>
      <c r="GF20" s="385"/>
      <c r="GG20" s="386"/>
      <c r="GH20" s="380">
        <v>99.4</v>
      </c>
      <c r="GI20" s="380">
        <v>39</v>
      </c>
      <c r="GJ20" s="380">
        <v>98.8</v>
      </c>
      <c r="GK20" s="141">
        <v>841</v>
      </c>
      <c r="GL20" s="391" t="s">
        <v>646</v>
      </c>
      <c r="GM20" s="391">
        <v>12.13</v>
      </c>
      <c r="GN20" s="117">
        <v>20</v>
      </c>
      <c r="GO20" s="391" t="s">
        <v>646</v>
      </c>
      <c r="GP20" s="392">
        <v>17.13</v>
      </c>
      <c r="GQ20" s="387">
        <v>30</v>
      </c>
      <c r="GR20" s="381">
        <v>-1</v>
      </c>
      <c r="GS20" s="388">
        <v>25</v>
      </c>
      <c r="GT20" s="388">
        <v>35</v>
      </c>
      <c r="GU20" s="393" t="s">
        <v>646</v>
      </c>
      <c r="GV20" s="388">
        <v>350</v>
      </c>
      <c r="GW20" s="394"/>
      <c r="GX20" s="100">
        <f t="shared" si="17"/>
        <v>24258</v>
      </c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  <c r="HW20" s="394"/>
      <c r="HX20" s="394"/>
    </row>
    <row r="21" spans="2:232" x14ac:dyDescent="0.15">
      <c r="B21" s="89" t="s">
        <v>31</v>
      </c>
      <c r="C21" s="141">
        <v>29450105</v>
      </c>
      <c r="D21" s="73">
        <f t="shared" si="0"/>
        <v>11769874</v>
      </c>
      <c r="E21" s="141">
        <v>374734</v>
      </c>
      <c r="F21" s="141">
        <v>11395140</v>
      </c>
      <c r="G21" s="73">
        <f t="shared" si="1"/>
        <v>1530343</v>
      </c>
      <c r="H21" s="141">
        <v>579569</v>
      </c>
      <c r="I21" s="141">
        <v>950774</v>
      </c>
      <c r="J21" s="141">
        <v>11586599</v>
      </c>
      <c r="K21" s="141">
        <v>4639759</v>
      </c>
      <c r="L21" s="141">
        <v>5492876</v>
      </c>
      <c r="M21" s="141">
        <v>1161683</v>
      </c>
      <c r="N21" s="141">
        <v>1664363</v>
      </c>
      <c r="O21" s="141">
        <v>2520319</v>
      </c>
      <c r="P21" s="141">
        <v>1316074</v>
      </c>
      <c r="Q21" s="141">
        <v>1204245</v>
      </c>
      <c r="R21" s="141">
        <v>344182</v>
      </c>
      <c r="S21" s="74"/>
      <c r="T21" s="73">
        <f t="shared" si="2"/>
        <v>6079167</v>
      </c>
      <c r="U21" s="141">
        <v>28508</v>
      </c>
      <c r="V21" s="141">
        <v>237730</v>
      </c>
      <c r="W21" s="141">
        <v>169879</v>
      </c>
      <c r="X21" s="141">
        <v>5154901</v>
      </c>
      <c r="Y21" s="141">
        <v>0</v>
      </c>
      <c r="Z21" s="141">
        <v>0</v>
      </c>
      <c r="AA21" s="141">
        <v>2495</v>
      </c>
      <c r="AB21" s="141">
        <v>74645</v>
      </c>
      <c r="AC21" s="141">
        <v>411009</v>
      </c>
      <c r="AD21" s="141">
        <v>220814</v>
      </c>
      <c r="AE21" s="141">
        <v>15470982</v>
      </c>
      <c r="AF21" s="141">
        <v>14887222</v>
      </c>
      <c r="AG21" s="141">
        <v>583760</v>
      </c>
      <c r="AH21" s="141">
        <v>30365</v>
      </c>
      <c r="AI21" s="141">
        <v>378003</v>
      </c>
      <c r="AJ21" s="73">
        <f t="shared" si="3"/>
        <v>842287</v>
      </c>
      <c r="AK21" s="141">
        <v>548652</v>
      </c>
      <c r="AL21" s="141">
        <v>293635</v>
      </c>
      <c r="AM21" s="141">
        <v>33621013</v>
      </c>
      <c r="AN21" s="73">
        <f t="shared" si="4"/>
        <v>15689758</v>
      </c>
      <c r="AO21" s="141">
        <v>9742431</v>
      </c>
      <c r="AP21" s="141">
        <v>2300176</v>
      </c>
      <c r="AQ21" s="74"/>
      <c r="AR21" s="141">
        <v>3647151</v>
      </c>
      <c r="AS21" s="141">
        <v>561564</v>
      </c>
      <c r="AT21" s="141">
        <v>0</v>
      </c>
      <c r="AU21" s="141">
        <v>0</v>
      </c>
      <c r="AV21" s="141">
        <v>9610781</v>
      </c>
      <c r="AW21" s="141">
        <v>6783256</v>
      </c>
      <c r="AX21" s="141">
        <v>945353</v>
      </c>
      <c r="AY21" s="141">
        <v>211469</v>
      </c>
      <c r="AZ21" s="141">
        <v>2827525</v>
      </c>
      <c r="BA21" s="141">
        <v>427755</v>
      </c>
      <c r="BB21" s="141">
        <v>120057</v>
      </c>
      <c r="BC21" s="141">
        <v>89896</v>
      </c>
      <c r="BD21" s="141">
        <v>100218</v>
      </c>
      <c r="BE21" s="141">
        <v>2836477</v>
      </c>
      <c r="BF21" s="141">
        <v>1539877</v>
      </c>
      <c r="BG21" s="141">
        <v>94000</v>
      </c>
      <c r="BH21" s="141">
        <v>1202600</v>
      </c>
      <c r="BI21" s="141">
        <v>0</v>
      </c>
      <c r="BJ21" s="141">
        <v>1282828</v>
      </c>
      <c r="BK21" s="141">
        <v>1134725</v>
      </c>
      <c r="BL21" s="141">
        <v>1483683</v>
      </c>
      <c r="BM21" s="141">
        <v>56906</v>
      </c>
      <c r="BN21" s="141">
        <v>0</v>
      </c>
      <c r="BO21" s="141">
        <v>395439</v>
      </c>
      <c r="BP21" s="141">
        <v>4841700</v>
      </c>
      <c r="BQ21" s="73">
        <f t="shared" si="5"/>
        <v>3327700</v>
      </c>
      <c r="BR21" s="73">
        <f t="shared" si="6"/>
        <v>1514000</v>
      </c>
      <c r="BS21" s="141">
        <v>0</v>
      </c>
      <c r="BT21" s="141">
        <v>0</v>
      </c>
      <c r="BU21" s="141">
        <v>1514000</v>
      </c>
      <c r="BV21" s="141">
        <v>0</v>
      </c>
      <c r="BW21" s="141">
        <v>106712662</v>
      </c>
      <c r="BX21" s="71"/>
      <c r="BY21" s="141">
        <v>11365010</v>
      </c>
      <c r="BZ21" s="141">
        <v>7263174</v>
      </c>
      <c r="CA21" s="141">
        <v>974953</v>
      </c>
      <c r="CB21" s="141">
        <v>1134943</v>
      </c>
      <c r="CC21" s="141">
        <v>37387490</v>
      </c>
      <c r="CD21" s="141">
        <v>12255730</v>
      </c>
      <c r="CE21" s="141">
        <v>66504</v>
      </c>
      <c r="CF21" s="141">
        <v>10254224</v>
      </c>
      <c r="CG21" s="141">
        <v>12812780</v>
      </c>
      <c r="CH21" s="141">
        <v>909778</v>
      </c>
      <c r="CI21" s="141">
        <v>1087964</v>
      </c>
      <c r="CJ21" s="141">
        <v>5772123</v>
      </c>
      <c r="CK21" s="141">
        <v>5578914</v>
      </c>
      <c r="CL21" s="83">
        <f t="shared" si="7"/>
        <v>193209</v>
      </c>
      <c r="CM21" s="141">
        <v>11858836</v>
      </c>
      <c r="CN21" s="141">
        <v>8178064</v>
      </c>
      <c r="CO21" s="102"/>
      <c r="CP21" s="141">
        <v>2167468</v>
      </c>
      <c r="CQ21" s="141">
        <v>387160</v>
      </c>
      <c r="CR21" s="141">
        <v>10439623</v>
      </c>
      <c r="CS21" s="141">
        <v>2888487</v>
      </c>
      <c r="CT21" s="141">
        <v>2381191</v>
      </c>
      <c r="CU21" s="141">
        <v>1850609</v>
      </c>
      <c r="CV21" s="73">
        <f t="shared" si="8"/>
        <v>2226209</v>
      </c>
      <c r="CW21" s="141">
        <v>2215269</v>
      </c>
      <c r="CX21" s="141">
        <v>10940</v>
      </c>
      <c r="CY21" s="73">
        <f t="shared" si="9"/>
        <v>0</v>
      </c>
      <c r="CZ21" s="141">
        <v>0</v>
      </c>
      <c r="DA21" s="141">
        <v>0</v>
      </c>
      <c r="DB21" s="73">
        <f t="shared" si="10"/>
        <v>1477048</v>
      </c>
      <c r="DC21" s="141">
        <v>1477048</v>
      </c>
      <c r="DD21" s="141">
        <v>0</v>
      </c>
      <c r="DE21" s="141">
        <v>11016933</v>
      </c>
      <c r="DF21" s="141">
        <v>6192055</v>
      </c>
      <c r="DG21" s="141">
        <v>2374013</v>
      </c>
      <c r="DH21" s="141">
        <v>534462</v>
      </c>
      <c r="DI21" s="141">
        <v>1916403</v>
      </c>
      <c r="DJ21" s="141">
        <v>0</v>
      </c>
      <c r="DK21" s="141">
        <v>6941694</v>
      </c>
      <c r="DL21" s="141">
        <v>1643185</v>
      </c>
      <c r="DM21" s="141">
        <v>437222</v>
      </c>
      <c r="DN21" s="141">
        <v>4861287</v>
      </c>
      <c r="DO21" s="141">
        <v>604240</v>
      </c>
      <c r="DP21" s="141">
        <v>604240</v>
      </c>
      <c r="DQ21" s="141">
        <v>78292</v>
      </c>
      <c r="DR21" s="141">
        <v>0</v>
      </c>
      <c r="DS21" s="141">
        <v>44255</v>
      </c>
      <c r="DT21" s="141">
        <v>0</v>
      </c>
      <c r="DU21" s="141">
        <v>0</v>
      </c>
      <c r="DV21" s="141">
        <v>9621508</v>
      </c>
      <c r="DW21" s="141">
        <v>0</v>
      </c>
      <c r="DX21" s="73">
        <f t="shared" si="11"/>
        <v>0</v>
      </c>
      <c r="DY21" s="141">
        <v>0</v>
      </c>
      <c r="DZ21" s="141">
        <v>3576947</v>
      </c>
      <c r="EA21" s="141">
        <v>0</v>
      </c>
      <c r="EB21" s="141">
        <v>2550282</v>
      </c>
      <c r="EC21" s="74">
        <v>0</v>
      </c>
      <c r="ED21" s="141">
        <v>3494279</v>
      </c>
      <c r="EE21" s="141">
        <v>0</v>
      </c>
      <c r="EF21" s="141">
        <v>105438872</v>
      </c>
      <c r="EG21" s="71"/>
      <c r="EH21" s="141">
        <v>1273790</v>
      </c>
      <c r="EI21" s="141">
        <v>132895</v>
      </c>
      <c r="EJ21" s="141">
        <v>1140895</v>
      </c>
      <c r="EK21" s="141">
        <v>6170</v>
      </c>
      <c r="EL21" s="141">
        <v>109478</v>
      </c>
      <c r="EM21" s="71"/>
      <c r="EN21" s="141">
        <v>229733</v>
      </c>
      <c r="EO21" s="141">
        <v>227544</v>
      </c>
      <c r="EP21" s="141">
        <v>1641164</v>
      </c>
      <c r="EQ21" s="141">
        <v>37397</v>
      </c>
      <c r="ER21" s="73">
        <f t="shared" si="12"/>
        <v>6022777</v>
      </c>
      <c r="ES21" s="141">
        <v>51595615</v>
      </c>
      <c r="ET21" s="141">
        <v>-9184973</v>
      </c>
      <c r="EU21" s="141">
        <v>10096467</v>
      </c>
      <c r="EV21" s="141">
        <v>6164635</v>
      </c>
      <c r="EW21" s="141">
        <v>9657222</v>
      </c>
      <c r="EX21" s="141">
        <v>5754442</v>
      </c>
      <c r="EY21" s="73">
        <f t="shared" si="13"/>
        <v>1453050</v>
      </c>
      <c r="EZ21" s="141">
        <v>1453050</v>
      </c>
      <c r="FA21" s="141">
        <v>218413</v>
      </c>
      <c r="FB21" s="141">
        <v>1178873</v>
      </c>
      <c r="FC21" s="141">
        <v>0</v>
      </c>
      <c r="FD21" s="141">
        <v>0</v>
      </c>
      <c r="FE21" s="141">
        <v>7937884</v>
      </c>
      <c r="FF21" s="141">
        <v>9459805</v>
      </c>
      <c r="FG21" s="141">
        <v>2887800</v>
      </c>
      <c r="FH21" s="141">
        <v>7461273</v>
      </c>
      <c r="FI21" s="73">
        <f t="shared" si="14"/>
        <v>7686655</v>
      </c>
      <c r="FJ21" s="141">
        <v>59506798</v>
      </c>
      <c r="FK21" s="379">
        <f t="shared" si="15"/>
        <v>2.2999999999999998</v>
      </c>
      <c r="FL21" s="141">
        <v>47399133</v>
      </c>
      <c r="FM21" s="141">
        <v>1804927</v>
      </c>
      <c r="FN21" s="141">
        <v>25730695</v>
      </c>
      <c r="FO21" s="141">
        <v>40587162</v>
      </c>
      <c r="FP21" s="390">
        <v>0.63700000000000001</v>
      </c>
      <c r="FQ21" s="380">
        <v>88.4</v>
      </c>
      <c r="FR21" s="381">
        <v>19</v>
      </c>
      <c r="FS21" s="380">
        <v>18.600000000000001</v>
      </c>
      <c r="FT21" s="380">
        <v>11.5</v>
      </c>
      <c r="FU21" s="381">
        <v>11.2</v>
      </c>
      <c r="FV21" s="380">
        <v>12.4</v>
      </c>
      <c r="FW21" s="382">
        <v>13.9</v>
      </c>
      <c r="FX21" s="383">
        <v>-1.2</v>
      </c>
      <c r="FY21" s="141">
        <v>58836780</v>
      </c>
      <c r="FZ21" s="384">
        <f t="shared" si="16"/>
        <v>119.6</v>
      </c>
      <c r="GA21" s="141">
        <v>32159106</v>
      </c>
      <c r="GB21" s="141">
        <v>14180777</v>
      </c>
      <c r="GC21" s="141">
        <v>2217286</v>
      </c>
      <c r="GD21" s="141">
        <v>15761043</v>
      </c>
      <c r="GE21" s="107">
        <v>0</v>
      </c>
      <c r="GF21" s="385"/>
      <c r="GG21" s="386"/>
      <c r="GH21" s="380">
        <v>98.9</v>
      </c>
      <c r="GI21" s="380">
        <v>30.3</v>
      </c>
      <c r="GJ21" s="380">
        <v>97.3</v>
      </c>
      <c r="GK21" s="141">
        <v>1122</v>
      </c>
      <c r="GL21" s="391" t="s">
        <v>646</v>
      </c>
      <c r="GM21" s="391">
        <v>11.26</v>
      </c>
      <c r="GN21" s="117">
        <v>20</v>
      </c>
      <c r="GO21" s="391" t="s">
        <v>646</v>
      </c>
      <c r="GP21" s="392">
        <v>16.260000000000002</v>
      </c>
      <c r="GQ21" s="387">
        <v>30</v>
      </c>
      <c r="GR21" s="381">
        <v>-1.2</v>
      </c>
      <c r="GS21" s="388">
        <v>25</v>
      </c>
      <c r="GT21" s="388">
        <v>35</v>
      </c>
      <c r="GU21" s="393" t="s">
        <v>646</v>
      </c>
      <c r="GV21" s="388">
        <v>350</v>
      </c>
      <c r="GW21" s="394"/>
      <c r="GX21" s="100">
        <f t="shared" si="17"/>
        <v>49204</v>
      </c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  <c r="HW21" s="394"/>
      <c r="HX21" s="394"/>
    </row>
    <row r="22" spans="2:232" x14ac:dyDescent="0.15">
      <c r="B22" s="89" t="s">
        <v>33</v>
      </c>
      <c r="C22" s="141">
        <v>11879881</v>
      </c>
      <c r="D22" s="73">
        <f t="shared" si="0"/>
        <v>5267132</v>
      </c>
      <c r="E22" s="141">
        <v>173650</v>
      </c>
      <c r="F22" s="141">
        <v>5093482</v>
      </c>
      <c r="G22" s="73">
        <f t="shared" si="1"/>
        <v>535764</v>
      </c>
      <c r="H22" s="141">
        <v>214725</v>
      </c>
      <c r="I22" s="141">
        <v>321039</v>
      </c>
      <c r="J22" s="141">
        <v>4455878</v>
      </c>
      <c r="K22" s="141">
        <v>1561517</v>
      </c>
      <c r="L22" s="141">
        <v>2143175</v>
      </c>
      <c r="M22" s="141">
        <v>681501</v>
      </c>
      <c r="N22" s="141">
        <v>495100</v>
      </c>
      <c r="O22" s="141">
        <v>895230</v>
      </c>
      <c r="P22" s="141">
        <v>452145</v>
      </c>
      <c r="Q22" s="141">
        <v>443085</v>
      </c>
      <c r="R22" s="141">
        <v>251153</v>
      </c>
      <c r="S22" s="74"/>
      <c r="T22" s="73">
        <f t="shared" si="2"/>
        <v>2657570</v>
      </c>
      <c r="U22" s="141">
        <v>13428</v>
      </c>
      <c r="V22" s="141">
        <v>111644</v>
      </c>
      <c r="W22" s="141">
        <v>79503</v>
      </c>
      <c r="X22" s="141">
        <v>2228454</v>
      </c>
      <c r="Y22" s="141">
        <v>19231</v>
      </c>
      <c r="Z22" s="141">
        <v>0</v>
      </c>
      <c r="AA22" s="141">
        <v>1735</v>
      </c>
      <c r="AB22" s="141">
        <v>51904</v>
      </c>
      <c r="AC22" s="141">
        <v>151671</v>
      </c>
      <c r="AD22" s="141">
        <v>82664</v>
      </c>
      <c r="AE22" s="141">
        <v>8221096</v>
      </c>
      <c r="AF22" s="141">
        <v>7982680</v>
      </c>
      <c r="AG22" s="141">
        <v>238416</v>
      </c>
      <c r="AH22" s="141">
        <v>12817</v>
      </c>
      <c r="AI22" s="141">
        <v>166294</v>
      </c>
      <c r="AJ22" s="73">
        <f t="shared" si="3"/>
        <v>649056</v>
      </c>
      <c r="AK22" s="141">
        <v>338380</v>
      </c>
      <c r="AL22" s="141">
        <v>310676</v>
      </c>
      <c r="AM22" s="141">
        <v>10286411</v>
      </c>
      <c r="AN22" s="73">
        <f t="shared" si="4"/>
        <v>4697310</v>
      </c>
      <c r="AO22" s="141">
        <v>1851503</v>
      </c>
      <c r="AP22" s="141">
        <v>1481801</v>
      </c>
      <c r="AQ22" s="74"/>
      <c r="AR22" s="141">
        <v>1364006</v>
      </c>
      <c r="AS22" s="141">
        <v>250362</v>
      </c>
      <c r="AT22" s="141">
        <v>0</v>
      </c>
      <c r="AU22" s="141">
        <v>0</v>
      </c>
      <c r="AV22" s="141">
        <v>3402843</v>
      </c>
      <c r="AW22" s="141">
        <v>2194249</v>
      </c>
      <c r="AX22" s="141">
        <v>655929</v>
      </c>
      <c r="AY22" s="141">
        <v>14964</v>
      </c>
      <c r="AZ22" s="141">
        <v>1208594</v>
      </c>
      <c r="BA22" s="141">
        <v>300</v>
      </c>
      <c r="BB22" s="141">
        <v>132596</v>
      </c>
      <c r="BC22" s="141">
        <v>6031</v>
      </c>
      <c r="BD22" s="141">
        <v>552169</v>
      </c>
      <c r="BE22" s="141">
        <v>239392</v>
      </c>
      <c r="BF22" s="141">
        <v>0</v>
      </c>
      <c r="BG22" s="141">
        <v>0</v>
      </c>
      <c r="BH22" s="141">
        <v>232365</v>
      </c>
      <c r="BI22" s="141">
        <v>0</v>
      </c>
      <c r="BJ22" s="141">
        <v>61742</v>
      </c>
      <c r="BK22" s="141">
        <v>19481</v>
      </c>
      <c r="BL22" s="141">
        <v>646773</v>
      </c>
      <c r="BM22" s="141">
        <v>39588</v>
      </c>
      <c r="BN22" s="141">
        <v>0</v>
      </c>
      <c r="BO22" s="141">
        <v>0</v>
      </c>
      <c r="BP22" s="141">
        <v>1440200</v>
      </c>
      <c r="BQ22" s="73">
        <f t="shared" si="5"/>
        <v>1188200</v>
      </c>
      <c r="BR22" s="73">
        <f t="shared" si="6"/>
        <v>252000</v>
      </c>
      <c r="BS22" s="141">
        <v>0</v>
      </c>
      <c r="BT22" s="141">
        <v>0</v>
      </c>
      <c r="BU22" s="141">
        <v>252000</v>
      </c>
      <c r="BV22" s="141">
        <v>0</v>
      </c>
      <c r="BW22" s="141">
        <v>40682657</v>
      </c>
      <c r="BX22" s="71"/>
      <c r="BY22" s="141">
        <v>6025452</v>
      </c>
      <c r="BZ22" s="141">
        <v>3468695</v>
      </c>
      <c r="CA22" s="141">
        <v>320148</v>
      </c>
      <c r="CB22" s="141">
        <v>1100460</v>
      </c>
      <c r="CC22" s="141">
        <v>12190327</v>
      </c>
      <c r="CD22" s="141">
        <v>4556278</v>
      </c>
      <c r="CE22" s="141">
        <v>32153</v>
      </c>
      <c r="CF22" s="141">
        <v>4737767</v>
      </c>
      <c r="CG22" s="141">
        <v>2319853</v>
      </c>
      <c r="CH22" s="141">
        <v>4291</v>
      </c>
      <c r="CI22" s="141">
        <v>539985</v>
      </c>
      <c r="CJ22" s="141">
        <v>3106121</v>
      </c>
      <c r="CK22" s="141">
        <v>2999934</v>
      </c>
      <c r="CL22" s="83">
        <f t="shared" si="7"/>
        <v>106187</v>
      </c>
      <c r="CM22" s="141">
        <v>6153847</v>
      </c>
      <c r="CN22" s="141">
        <v>4681731</v>
      </c>
      <c r="CO22" s="102"/>
      <c r="CP22" s="141">
        <v>683803</v>
      </c>
      <c r="CQ22" s="141">
        <v>161814</v>
      </c>
      <c r="CR22" s="141">
        <v>4396994</v>
      </c>
      <c r="CS22" s="141">
        <v>502777</v>
      </c>
      <c r="CT22" s="141">
        <v>1509404</v>
      </c>
      <c r="CU22" s="141">
        <v>1353342</v>
      </c>
      <c r="CV22" s="73">
        <f t="shared" si="8"/>
        <v>1448356</v>
      </c>
      <c r="CW22" s="141">
        <v>11277</v>
      </c>
      <c r="CX22" s="141">
        <v>1437079</v>
      </c>
      <c r="CY22" s="73">
        <f t="shared" si="9"/>
        <v>0</v>
      </c>
      <c r="CZ22" s="141">
        <v>0</v>
      </c>
      <c r="DA22" s="141">
        <v>0</v>
      </c>
      <c r="DB22" s="73">
        <f t="shared" si="10"/>
        <v>1163978</v>
      </c>
      <c r="DC22" s="141">
        <v>0</v>
      </c>
      <c r="DD22" s="141">
        <v>1163978</v>
      </c>
      <c r="DE22" s="141">
        <v>2040415</v>
      </c>
      <c r="DF22" s="141">
        <v>505571</v>
      </c>
      <c r="DG22" s="141">
        <v>1468838</v>
      </c>
      <c r="DH22" s="141">
        <v>66006</v>
      </c>
      <c r="DI22" s="141">
        <v>0</v>
      </c>
      <c r="DJ22" s="141">
        <v>6083</v>
      </c>
      <c r="DK22" s="141">
        <v>1817379</v>
      </c>
      <c r="DL22" s="141">
        <v>25200</v>
      </c>
      <c r="DM22" s="141">
        <v>1140847</v>
      </c>
      <c r="DN22" s="141">
        <v>651332</v>
      </c>
      <c r="DO22" s="141">
        <v>0</v>
      </c>
      <c r="DP22" s="141">
        <v>0</v>
      </c>
      <c r="DQ22" s="141">
        <v>0</v>
      </c>
      <c r="DR22" s="141">
        <v>0</v>
      </c>
      <c r="DS22" s="141">
        <v>22255</v>
      </c>
      <c r="DT22" s="141">
        <v>0</v>
      </c>
      <c r="DU22" s="141">
        <v>0</v>
      </c>
      <c r="DV22" s="141">
        <v>4610294</v>
      </c>
      <c r="DW22" s="141">
        <v>0</v>
      </c>
      <c r="DX22" s="73">
        <f t="shared" si="11"/>
        <v>0</v>
      </c>
      <c r="DY22" s="141">
        <v>0</v>
      </c>
      <c r="DZ22" s="141">
        <v>1867160</v>
      </c>
      <c r="EA22" s="141">
        <v>0</v>
      </c>
      <c r="EB22" s="141">
        <v>1079444</v>
      </c>
      <c r="EC22" s="74">
        <v>0</v>
      </c>
      <c r="ED22" s="141">
        <v>1663690</v>
      </c>
      <c r="EE22" s="141">
        <v>0</v>
      </c>
      <c r="EF22" s="141">
        <v>40530981</v>
      </c>
      <c r="EG22" s="71"/>
      <c r="EH22" s="141">
        <v>151676</v>
      </c>
      <c r="EI22" s="141">
        <v>132860</v>
      </c>
      <c r="EJ22" s="141">
        <v>18816</v>
      </c>
      <c r="EK22" s="141">
        <v>-665</v>
      </c>
      <c r="EL22" s="141">
        <v>24535</v>
      </c>
      <c r="EM22" s="71"/>
      <c r="EN22" s="141">
        <v>101692</v>
      </c>
      <c r="EO22" s="141">
        <v>100484</v>
      </c>
      <c r="EP22" s="141">
        <v>0</v>
      </c>
      <c r="EQ22" s="141">
        <v>55951</v>
      </c>
      <c r="ER22" s="73">
        <f t="shared" si="12"/>
        <v>1582660</v>
      </c>
      <c r="ES22" s="141">
        <v>23105181</v>
      </c>
      <c r="ET22" s="141">
        <v>-1877794</v>
      </c>
      <c r="EU22" s="141">
        <v>5334646</v>
      </c>
      <c r="EV22" s="141">
        <v>3223648</v>
      </c>
      <c r="EW22" s="141">
        <v>2845670</v>
      </c>
      <c r="EX22" s="141">
        <v>3069809</v>
      </c>
      <c r="EY22" s="73">
        <f t="shared" si="13"/>
        <v>408214</v>
      </c>
      <c r="EZ22" s="141">
        <v>406268</v>
      </c>
      <c r="FA22" s="141">
        <v>26147</v>
      </c>
      <c r="FB22" s="141">
        <v>374665</v>
      </c>
      <c r="FC22" s="141">
        <v>1946</v>
      </c>
      <c r="FD22" s="141">
        <v>0</v>
      </c>
      <c r="FE22" s="141">
        <v>4237919</v>
      </c>
      <c r="FF22" s="141">
        <v>3698682</v>
      </c>
      <c r="FG22" s="141">
        <v>491196</v>
      </c>
      <c r="FH22" s="141">
        <v>3695694</v>
      </c>
      <c r="FI22" s="73">
        <f t="shared" si="14"/>
        <v>1540665</v>
      </c>
      <c r="FJ22" s="141">
        <v>24831299</v>
      </c>
      <c r="FK22" s="379">
        <f t="shared" si="15"/>
        <v>0.1</v>
      </c>
      <c r="FL22" s="141">
        <v>21526522</v>
      </c>
      <c r="FM22" s="141">
        <v>435863</v>
      </c>
      <c r="FN22" s="141">
        <v>10768232</v>
      </c>
      <c r="FO22" s="141">
        <v>18746204</v>
      </c>
      <c r="FP22" s="390">
        <v>0.59199999999999997</v>
      </c>
      <c r="FQ22" s="380">
        <v>93.7</v>
      </c>
      <c r="FR22" s="381">
        <v>23.7</v>
      </c>
      <c r="FS22" s="380">
        <v>12.7</v>
      </c>
      <c r="FT22" s="380">
        <v>13.7</v>
      </c>
      <c r="FU22" s="381">
        <v>17.399999999999999</v>
      </c>
      <c r="FV22" s="380">
        <v>9.8000000000000007</v>
      </c>
      <c r="FW22" s="382">
        <v>15.8</v>
      </c>
      <c r="FX22" s="383">
        <v>2.2000000000000002</v>
      </c>
      <c r="FY22" s="141">
        <v>27503686</v>
      </c>
      <c r="FZ22" s="384">
        <f t="shared" si="16"/>
        <v>125.2</v>
      </c>
      <c r="GA22" s="141">
        <v>12801082</v>
      </c>
      <c r="GB22" s="141">
        <v>2519735</v>
      </c>
      <c r="GC22" s="141">
        <v>3293600</v>
      </c>
      <c r="GD22" s="141">
        <v>6987747</v>
      </c>
      <c r="GE22" s="107">
        <v>0</v>
      </c>
      <c r="GF22" s="385"/>
      <c r="GG22" s="386"/>
      <c r="GH22" s="380">
        <v>99.4</v>
      </c>
      <c r="GI22" s="380">
        <v>40.9</v>
      </c>
      <c r="GJ22" s="380">
        <v>98.7</v>
      </c>
      <c r="GK22" s="141">
        <v>545</v>
      </c>
      <c r="GL22" s="391" t="s">
        <v>646</v>
      </c>
      <c r="GM22" s="391">
        <v>12.31</v>
      </c>
      <c r="GN22" s="117">
        <v>20</v>
      </c>
      <c r="GO22" s="391" t="s">
        <v>646</v>
      </c>
      <c r="GP22" s="392">
        <v>17.309999999999999</v>
      </c>
      <c r="GQ22" s="387">
        <v>30</v>
      </c>
      <c r="GR22" s="381">
        <v>2.2000000000000002</v>
      </c>
      <c r="GS22" s="388">
        <v>25</v>
      </c>
      <c r="GT22" s="388">
        <v>35</v>
      </c>
      <c r="GU22" s="393" t="s">
        <v>646</v>
      </c>
      <c r="GV22" s="388">
        <v>350</v>
      </c>
      <c r="GW22" s="394"/>
      <c r="GX22" s="100">
        <f t="shared" si="17"/>
        <v>21962</v>
      </c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  <c r="HW22" s="394"/>
      <c r="HX22" s="394"/>
    </row>
    <row r="23" spans="2:232" x14ac:dyDescent="0.15">
      <c r="B23" s="89" t="s">
        <v>35</v>
      </c>
      <c r="C23" s="141">
        <v>14836750</v>
      </c>
      <c r="D23" s="73">
        <f t="shared" si="0"/>
        <v>5695349</v>
      </c>
      <c r="E23" s="141">
        <v>186892</v>
      </c>
      <c r="F23" s="141">
        <v>5508457</v>
      </c>
      <c r="G23" s="73">
        <f t="shared" si="1"/>
        <v>790631</v>
      </c>
      <c r="H23" s="141">
        <v>275887</v>
      </c>
      <c r="I23" s="141">
        <v>514744</v>
      </c>
      <c r="J23" s="141">
        <v>5907602</v>
      </c>
      <c r="K23" s="141">
        <v>2592207</v>
      </c>
      <c r="L23" s="141">
        <v>2556383</v>
      </c>
      <c r="M23" s="141">
        <v>709994</v>
      </c>
      <c r="N23" s="141">
        <v>976130</v>
      </c>
      <c r="O23" s="141">
        <v>1257918</v>
      </c>
      <c r="P23" s="141">
        <v>701427</v>
      </c>
      <c r="Q23" s="141">
        <v>556491</v>
      </c>
      <c r="R23" s="141">
        <v>185790</v>
      </c>
      <c r="S23" s="74"/>
      <c r="T23" s="73">
        <f t="shared" si="2"/>
        <v>3169215</v>
      </c>
      <c r="U23" s="141">
        <v>13651</v>
      </c>
      <c r="V23" s="141">
        <v>113933</v>
      </c>
      <c r="W23" s="141">
        <v>81490</v>
      </c>
      <c r="X23" s="141">
        <v>2689555</v>
      </c>
      <c r="Y23" s="141">
        <v>0</v>
      </c>
      <c r="Z23" s="141">
        <v>0</v>
      </c>
      <c r="AA23" s="141">
        <v>1349</v>
      </c>
      <c r="AB23" s="141">
        <v>40365</v>
      </c>
      <c r="AC23" s="141">
        <v>228872</v>
      </c>
      <c r="AD23" s="141">
        <v>114995</v>
      </c>
      <c r="AE23" s="141">
        <v>9878178</v>
      </c>
      <c r="AF23" s="141">
        <v>9537312</v>
      </c>
      <c r="AG23" s="141">
        <v>340866</v>
      </c>
      <c r="AH23" s="141">
        <v>15724</v>
      </c>
      <c r="AI23" s="141">
        <v>170269</v>
      </c>
      <c r="AJ23" s="73">
        <f t="shared" si="3"/>
        <v>553592</v>
      </c>
      <c r="AK23" s="141">
        <v>332935</v>
      </c>
      <c r="AL23" s="141">
        <v>220657</v>
      </c>
      <c r="AM23" s="141">
        <v>14915485</v>
      </c>
      <c r="AN23" s="73">
        <f t="shared" si="4"/>
        <v>7926960</v>
      </c>
      <c r="AO23" s="141">
        <v>4565571</v>
      </c>
      <c r="AP23" s="141">
        <v>1573138</v>
      </c>
      <c r="AQ23" s="74"/>
      <c r="AR23" s="141">
        <v>1788251</v>
      </c>
      <c r="AS23" s="141">
        <v>142247</v>
      </c>
      <c r="AT23" s="141">
        <v>0</v>
      </c>
      <c r="AU23" s="141">
        <v>0</v>
      </c>
      <c r="AV23" s="141">
        <v>3898141</v>
      </c>
      <c r="AW23" s="141">
        <v>2443321</v>
      </c>
      <c r="AX23" s="141">
        <v>688510</v>
      </c>
      <c r="AY23" s="141">
        <v>1139</v>
      </c>
      <c r="AZ23" s="141">
        <v>1454820</v>
      </c>
      <c r="BA23" s="141">
        <v>0</v>
      </c>
      <c r="BB23" s="141">
        <v>558971</v>
      </c>
      <c r="BC23" s="141">
        <v>376996</v>
      </c>
      <c r="BD23" s="141">
        <v>141869</v>
      </c>
      <c r="BE23" s="141">
        <v>89853</v>
      </c>
      <c r="BF23" s="141">
        <v>6589</v>
      </c>
      <c r="BG23" s="141">
        <v>0</v>
      </c>
      <c r="BH23" s="141">
        <v>45371</v>
      </c>
      <c r="BI23" s="141">
        <v>0</v>
      </c>
      <c r="BJ23" s="141">
        <v>1048380</v>
      </c>
      <c r="BK23" s="141">
        <v>1045969</v>
      </c>
      <c r="BL23" s="141">
        <v>334455</v>
      </c>
      <c r="BM23" s="141">
        <v>25003</v>
      </c>
      <c r="BN23" s="141">
        <v>0</v>
      </c>
      <c r="BO23" s="141">
        <v>0</v>
      </c>
      <c r="BP23" s="141">
        <v>1444900</v>
      </c>
      <c r="BQ23" s="73">
        <f t="shared" si="5"/>
        <v>964300</v>
      </c>
      <c r="BR23" s="73">
        <f t="shared" si="6"/>
        <v>480600</v>
      </c>
      <c r="BS23" s="141">
        <v>0</v>
      </c>
      <c r="BT23" s="141">
        <v>0</v>
      </c>
      <c r="BU23" s="141">
        <v>480600</v>
      </c>
      <c r="BV23" s="141">
        <v>0</v>
      </c>
      <c r="BW23" s="141">
        <v>51356567</v>
      </c>
      <c r="BX23" s="71"/>
      <c r="BY23" s="141">
        <v>7304201</v>
      </c>
      <c r="BZ23" s="141">
        <v>4831032</v>
      </c>
      <c r="CA23" s="141">
        <v>500423</v>
      </c>
      <c r="CB23" s="141">
        <v>571281</v>
      </c>
      <c r="CC23" s="141">
        <v>18314732</v>
      </c>
      <c r="CD23" s="141">
        <v>5656148</v>
      </c>
      <c r="CE23" s="141">
        <v>45897</v>
      </c>
      <c r="CF23" s="141">
        <v>6103937</v>
      </c>
      <c r="CG23" s="141">
        <v>6069270</v>
      </c>
      <c r="CH23" s="141">
        <v>8203</v>
      </c>
      <c r="CI23" s="141">
        <v>431202</v>
      </c>
      <c r="CJ23" s="141">
        <v>3916127</v>
      </c>
      <c r="CK23" s="141">
        <v>3718929</v>
      </c>
      <c r="CL23" s="83">
        <f t="shared" si="7"/>
        <v>197198</v>
      </c>
      <c r="CM23" s="141">
        <v>6029325</v>
      </c>
      <c r="CN23" s="141">
        <v>4309744</v>
      </c>
      <c r="CO23" s="102"/>
      <c r="CP23" s="141">
        <v>856723</v>
      </c>
      <c r="CQ23" s="141">
        <v>258595</v>
      </c>
      <c r="CR23" s="141">
        <v>5019679</v>
      </c>
      <c r="CS23" s="141">
        <v>428175</v>
      </c>
      <c r="CT23" s="141">
        <v>2110523</v>
      </c>
      <c r="CU23" s="141">
        <v>1780170</v>
      </c>
      <c r="CV23" s="73">
        <f t="shared" si="8"/>
        <v>1459131</v>
      </c>
      <c r="CW23" s="141">
        <v>6000</v>
      </c>
      <c r="CX23" s="141">
        <v>1453131</v>
      </c>
      <c r="CY23" s="73">
        <f t="shared" si="9"/>
        <v>0</v>
      </c>
      <c r="CZ23" s="141">
        <v>0</v>
      </c>
      <c r="DA23" s="141">
        <v>0</v>
      </c>
      <c r="DB23" s="73">
        <f t="shared" si="10"/>
        <v>1452103</v>
      </c>
      <c r="DC23" s="141">
        <v>0</v>
      </c>
      <c r="DD23" s="141">
        <v>1452103</v>
      </c>
      <c r="DE23" s="141">
        <v>1368144</v>
      </c>
      <c r="DF23" s="141">
        <v>694608</v>
      </c>
      <c r="DG23" s="141">
        <v>623266</v>
      </c>
      <c r="DH23" s="141">
        <v>0</v>
      </c>
      <c r="DI23" s="141">
        <v>0</v>
      </c>
      <c r="DJ23" s="141">
        <v>0</v>
      </c>
      <c r="DK23" s="141">
        <v>2200846</v>
      </c>
      <c r="DL23" s="141">
        <v>1960457</v>
      </c>
      <c r="DM23" s="141">
        <v>4</v>
      </c>
      <c r="DN23" s="141">
        <v>240385</v>
      </c>
      <c r="DO23" s="141">
        <v>297897</v>
      </c>
      <c r="DP23" s="141">
        <v>297897</v>
      </c>
      <c r="DQ23" s="141">
        <v>0</v>
      </c>
      <c r="DR23" s="141">
        <v>0</v>
      </c>
      <c r="DS23" s="141">
        <v>25000</v>
      </c>
      <c r="DT23" s="141">
        <v>0</v>
      </c>
      <c r="DU23" s="141">
        <v>0</v>
      </c>
      <c r="DV23" s="141">
        <v>5607182</v>
      </c>
      <c r="DW23" s="141">
        <v>0</v>
      </c>
      <c r="DX23" s="73">
        <f t="shared" si="11"/>
        <v>0</v>
      </c>
      <c r="DY23" s="141">
        <v>0</v>
      </c>
      <c r="DZ23" s="141">
        <v>1965352</v>
      </c>
      <c r="EA23" s="141">
        <v>0</v>
      </c>
      <c r="EB23" s="141">
        <v>1628276</v>
      </c>
      <c r="EC23" s="74">
        <v>0</v>
      </c>
      <c r="ED23" s="141">
        <v>2013554</v>
      </c>
      <c r="EE23" s="141">
        <v>0</v>
      </c>
      <c r="EF23" s="141">
        <v>50341728</v>
      </c>
      <c r="EG23" s="71"/>
      <c r="EH23" s="141">
        <v>1014839</v>
      </c>
      <c r="EI23" s="141">
        <v>22718</v>
      </c>
      <c r="EJ23" s="141">
        <v>992121</v>
      </c>
      <c r="EK23" s="141">
        <v>-53848</v>
      </c>
      <c r="EL23" s="141">
        <v>1900020</v>
      </c>
      <c r="EM23" s="71"/>
      <c r="EN23" s="141">
        <v>117641</v>
      </c>
      <c r="EO23" s="141">
        <v>116966</v>
      </c>
      <c r="EP23" s="141">
        <v>44482</v>
      </c>
      <c r="EQ23" s="141">
        <v>558173</v>
      </c>
      <c r="ER23" s="73">
        <f t="shared" si="12"/>
        <v>2751079</v>
      </c>
      <c r="ES23" s="141">
        <v>28200652</v>
      </c>
      <c r="ET23" s="141">
        <v>-3818610</v>
      </c>
      <c r="EU23" s="141">
        <v>6793080</v>
      </c>
      <c r="EV23" s="141">
        <v>4520090</v>
      </c>
      <c r="EW23" s="141">
        <v>4443279</v>
      </c>
      <c r="EX23" s="141">
        <v>3916127</v>
      </c>
      <c r="EY23" s="73">
        <f t="shared" si="13"/>
        <v>64182</v>
      </c>
      <c r="EZ23" s="141">
        <v>64182</v>
      </c>
      <c r="FA23" s="141">
        <v>1142</v>
      </c>
      <c r="FB23" s="141">
        <v>62970</v>
      </c>
      <c r="FC23" s="141">
        <v>0</v>
      </c>
      <c r="FD23" s="141">
        <v>0</v>
      </c>
      <c r="FE23" s="141">
        <v>4415120</v>
      </c>
      <c r="FF23" s="141">
        <v>4451513</v>
      </c>
      <c r="FG23" s="141">
        <v>260378</v>
      </c>
      <c r="FH23" s="141">
        <v>4314312</v>
      </c>
      <c r="FI23" s="73">
        <f t="shared" si="14"/>
        <v>2606810</v>
      </c>
      <c r="FJ23" s="141">
        <v>31004423</v>
      </c>
      <c r="FK23" s="379">
        <f t="shared" si="15"/>
        <v>3.8</v>
      </c>
      <c r="FL23" s="141">
        <v>25828715</v>
      </c>
      <c r="FM23" s="141">
        <v>480757</v>
      </c>
      <c r="FN23" s="141">
        <v>12912943</v>
      </c>
      <c r="FO23" s="141">
        <v>22450255</v>
      </c>
      <c r="FP23" s="390">
        <v>0.58299999999999996</v>
      </c>
      <c r="FQ23" s="380">
        <v>96.5</v>
      </c>
      <c r="FR23" s="381">
        <v>24.8</v>
      </c>
      <c r="FS23" s="380">
        <v>16.2</v>
      </c>
      <c r="FT23" s="380">
        <v>14.3</v>
      </c>
      <c r="FU23" s="381">
        <v>14.5</v>
      </c>
      <c r="FV23" s="380">
        <v>11.8</v>
      </c>
      <c r="FW23" s="382">
        <v>14.1</v>
      </c>
      <c r="FX23" s="383">
        <v>3.1</v>
      </c>
      <c r="FY23" s="141">
        <v>37152839</v>
      </c>
      <c r="FZ23" s="384">
        <f t="shared" si="16"/>
        <v>141.19999999999999</v>
      </c>
      <c r="GA23" s="141">
        <v>6401321</v>
      </c>
      <c r="GB23" s="141">
        <v>4443052</v>
      </c>
      <c r="GC23" s="141">
        <v>482904</v>
      </c>
      <c r="GD23" s="141">
        <v>1475365</v>
      </c>
      <c r="GE23" s="107">
        <v>0</v>
      </c>
      <c r="GF23" s="385">
        <v>1943</v>
      </c>
      <c r="GG23" s="386">
        <f>IF(GF23=0,"-",ROUND(GF23/(GX23)*100,1))</f>
        <v>7.4</v>
      </c>
      <c r="GH23" s="380">
        <v>99.4</v>
      </c>
      <c r="GI23" s="380">
        <v>39.799999999999997</v>
      </c>
      <c r="GJ23" s="380">
        <v>98.6</v>
      </c>
      <c r="GK23" s="141">
        <v>741</v>
      </c>
      <c r="GL23" s="391" t="s">
        <v>646</v>
      </c>
      <c r="GM23" s="391">
        <v>12</v>
      </c>
      <c r="GN23" s="117">
        <v>20</v>
      </c>
      <c r="GO23" s="391" t="s">
        <v>646</v>
      </c>
      <c r="GP23" s="392">
        <v>17</v>
      </c>
      <c r="GQ23" s="387">
        <v>30</v>
      </c>
      <c r="GR23" s="381">
        <v>3.1</v>
      </c>
      <c r="GS23" s="388">
        <v>25</v>
      </c>
      <c r="GT23" s="388">
        <v>35</v>
      </c>
      <c r="GU23" s="393">
        <v>10.4</v>
      </c>
      <c r="GV23" s="388">
        <v>350</v>
      </c>
      <c r="GW23" s="394"/>
      <c r="GX23" s="100">
        <f t="shared" si="17"/>
        <v>26309</v>
      </c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  <c r="HW23" s="394"/>
      <c r="HX23" s="394"/>
    </row>
    <row r="24" spans="2:232" x14ac:dyDescent="0.15">
      <c r="B24" s="89" t="s">
        <v>37</v>
      </c>
      <c r="C24" s="141">
        <v>17096550</v>
      </c>
      <c r="D24" s="73">
        <f t="shared" si="0"/>
        <v>6097485</v>
      </c>
      <c r="E24" s="141">
        <v>197559</v>
      </c>
      <c r="F24" s="141">
        <v>5899926</v>
      </c>
      <c r="G24" s="73">
        <f t="shared" si="1"/>
        <v>1038736</v>
      </c>
      <c r="H24" s="141">
        <v>373218</v>
      </c>
      <c r="I24" s="141">
        <v>665518</v>
      </c>
      <c r="J24" s="141">
        <v>7379922</v>
      </c>
      <c r="K24" s="141">
        <v>3153165</v>
      </c>
      <c r="L24" s="141">
        <v>3189188</v>
      </c>
      <c r="M24" s="141">
        <v>871989</v>
      </c>
      <c r="N24" s="141">
        <v>860884</v>
      </c>
      <c r="O24" s="141">
        <v>1526140</v>
      </c>
      <c r="P24" s="141">
        <v>834188</v>
      </c>
      <c r="Q24" s="141">
        <v>691952</v>
      </c>
      <c r="R24" s="141">
        <v>194358</v>
      </c>
      <c r="S24" s="74"/>
      <c r="T24" s="73">
        <f t="shared" si="2"/>
        <v>3401242</v>
      </c>
      <c r="U24" s="141">
        <v>14669</v>
      </c>
      <c r="V24" s="141">
        <v>122383</v>
      </c>
      <c r="W24" s="141">
        <v>87495</v>
      </c>
      <c r="X24" s="141">
        <v>2825390</v>
      </c>
      <c r="Y24" s="141">
        <v>20578</v>
      </c>
      <c r="Z24" s="141">
        <v>0</v>
      </c>
      <c r="AA24" s="141">
        <v>1415</v>
      </c>
      <c r="AB24" s="141">
        <v>42347</v>
      </c>
      <c r="AC24" s="141">
        <v>286965</v>
      </c>
      <c r="AD24" s="141">
        <v>116707</v>
      </c>
      <c r="AE24" s="141">
        <v>6492507</v>
      </c>
      <c r="AF24" s="141">
        <v>6133198</v>
      </c>
      <c r="AG24" s="141">
        <v>359309</v>
      </c>
      <c r="AH24" s="141">
        <v>13011</v>
      </c>
      <c r="AI24" s="141">
        <v>85866</v>
      </c>
      <c r="AJ24" s="73">
        <f t="shared" si="3"/>
        <v>1105471</v>
      </c>
      <c r="AK24" s="141">
        <v>710706</v>
      </c>
      <c r="AL24" s="141">
        <v>394765</v>
      </c>
      <c r="AM24" s="141">
        <v>11629320</v>
      </c>
      <c r="AN24" s="73">
        <f t="shared" si="4"/>
        <v>5423563</v>
      </c>
      <c r="AO24" s="141">
        <v>1763277</v>
      </c>
      <c r="AP24" s="141">
        <v>2018763</v>
      </c>
      <c r="AQ24" s="74"/>
      <c r="AR24" s="141">
        <v>1641523</v>
      </c>
      <c r="AS24" s="141">
        <v>413376</v>
      </c>
      <c r="AT24" s="141">
        <v>0</v>
      </c>
      <c r="AU24" s="141">
        <v>0</v>
      </c>
      <c r="AV24" s="141">
        <v>3882567</v>
      </c>
      <c r="AW24" s="141">
        <v>2425821</v>
      </c>
      <c r="AX24" s="141">
        <v>905620</v>
      </c>
      <c r="AY24" s="141">
        <v>2256</v>
      </c>
      <c r="AZ24" s="141">
        <v>1456746</v>
      </c>
      <c r="BA24" s="141">
        <v>0</v>
      </c>
      <c r="BB24" s="141">
        <v>169649</v>
      </c>
      <c r="BC24" s="141">
        <v>103615</v>
      </c>
      <c r="BD24" s="141">
        <v>2511283</v>
      </c>
      <c r="BE24" s="141">
        <v>2037629</v>
      </c>
      <c r="BF24" s="141">
        <v>0</v>
      </c>
      <c r="BG24" s="141">
        <v>26889</v>
      </c>
      <c r="BH24" s="141">
        <v>2010740</v>
      </c>
      <c r="BI24" s="141">
        <v>0</v>
      </c>
      <c r="BJ24" s="141">
        <v>1437311</v>
      </c>
      <c r="BK24" s="141">
        <v>1428347</v>
      </c>
      <c r="BL24" s="141">
        <v>1017003</v>
      </c>
      <c r="BM24" s="141">
        <v>0</v>
      </c>
      <c r="BN24" s="141">
        <v>0</v>
      </c>
      <c r="BO24" s="141">
        <v>0</v>
      </c>
      <c r="BP24" s="141">
        <v>2659680</v>
      </c>
      <c r="BQ24" s="73">
        <f t="shared" si="5"/>
        <v>2082300</v>
      </c>
      <c r="BR24" s="73">
        <f t="shared" si="6"/>
        <v>577380</v>
      </c>
      <c r="BS24" s="141">
        <v>0</v>
      </c>
      <c r="BT24" s="141">
        <v>0</v>
      </c>
      <c r="BU24" s="141">
        <v>577380</v>
      </c>
      <c r="BV24" s="141">
        <v>0</v>
      </c>
      <c r="BW24" s="141">
        <v>53850154</v>
      </c>
      <c r="BX24" s="71"/>
      <c r="BY24" s="141">
        <v>5699059</v>
      </c>
      <c r="BZ24" s="141">
        <v>3502548</v>
      </c>
      <c r="CA24" s="141">
        <v>256267</v>
      </c>
      <c r="CB24" s="141">
        <v>792888</v>
      </c>
      <c r="CC24" s="141">
        <v>14709483</v>
      </c>
      <c r="CD24" s="141">
        <v>4925928</v>
      </c>
      <c r="CE24" s="141">
        <v>11625</v>
      </c>
      <c r="CF24" s="141">
        <v>6695504</v>
      </c>
      <c r="CG24" s="141">
        <v>2267836</v>
      </c>
      <c r="CH24" s="141">
        <v>56658</v>
      </c>
      <c r="CI24" s="141">
        <v>751742</v>
      </c>
      <c r="CJ24" s="141">
        <v>3780961</v>
      </c>
      <c r="CK24" s="141">
        <v>3641587</v>
      </c>
      <c r="CL24" s="83">
        <f t="shared" si="7"/>
        <v>139374</v>
      </c>
      <c r="CM24" s="141">
        <v>9147742</v>
      </c>
      <c r="CN24" s="141">
        <v>6135222</v>
      </c>
      <c r="CO24" s="102"/>
      <c r="CP24" s="141">
        <v>2127557</v>
      </c>
      <c r="CQ24" s="141">
        <v>521596</v>
      </c>
      <c r="CR24" s="141">
        <v>5968797</v>
      </c>
      <c r="CS24" s="141">
        <v>1796230</v>
      </c>
      <c r="CT24" s="141">
        <v>1410877</v>
      </c>
      <c r="CU24" s="141">
        <v>1196213</v>
      </c>
      <c r="CV24" s="73">
        <f t="shared" si="8"/>
        <v>1817446</v>
      </c>
      <c r="CW24" s="141">
        <v>1488069</v>
      </c>
      <c r="CX24" s="141">
        <v>329377</v>
      </c>
      <c r="CY24" s="73">
        <f t="shared" si="9"/>
        <v>0</v>
      </c>
      <c r="CZ24" s="141">
        <v>0</v>
      </c>
      <c r="DA24" s="141">
        <v>0</v>
      </c>
      <c r="DB24" s="73">
        <f t="shared" si="10"/>
        <v>1476843</v>
      </c>
      <c r="DC24" s="141">
        <v>1476843</v>
      </c>
      <c r="DD24" s="141">
        <v>0</v>
      </c>
      <c r="DE24" s="141">
        <v>3937717</v>
      </c>
      <c r="DF24" s="141">
        <v>1864299</v>
      </c>
      <c r="DG24" s="141">
        <v>2073418</v>
      </c>
      <c r="DH24" s="141">
        <v>0</v>
      </c>
      <c r="DI24" s="141">
        <v>0</v>
      </c>
      <c r="DJ24" s="141">
        <v>0</v>
      </c>
      <c r="DK24" s="141">
        <v>3578363</v>
      </c>
      <c r="DL24" s="141">
        <v>7054</v>
      </c>
      <c r="DM24" s="141">
        <v>15094</v>
      </c>
      <c r="DN24" s="141">
        <v>3556215</v>
      </c>
      <c r="DO24" s="141">
        <v>178665</v>
      </c>
      <c r="DP24" s="141">
        <v>178665</v>
      </c>
      <c r="DQ24" s="141">
        <v>0</v>
      </c>
      <c r="DR24" s="141">
        <v>0</v>
      </c>
      <c r="DS24" s="141">
        <v>0</v>
      </c>
      <c r="DT24" s="141">
        <v>0</v>
      </c>
      <c r="DU24" s="141">
        <v>0</v>
      </c>
      <c r="DV24" s="141">
        <v>5051735</v>
      </c>
      <c r="DW24" s="141">
        <v>0</v>
      </c>
      <c r="DX24" s="73">
        <f t="shared" si="11"/>
        <v>0</v>
      </c>
      <c r="DY24" s="141">
        <v>0</v>
      </c>
      <c r="DZ24" s="141">
        <v>1802359</v>
      </c>
      <c r="EA24" s="141">
        <v>0</v>
      </c>
      <c r="EB24" s="141">
        <v>1529484</v>
      </c>
      <c r="EC24" s="74">
        <v>0</v>
      </c>
      <c r="ED24" s="141">
        <v>1719847</v>
      </c>
      <c r="EE24" s="141">
        <v>0</v>
      </c>
      <c r="EF24" s="141">
        <v>52574118</v>
      </c>
      <c r="EG24" s="71"/>
      <c r="EH24" s="141">
        <v>1276036</v>
      </c>
      <c r="EI24" s="141">
        <v>9833</v>
      </c>
      <c r="EJ24" s="141">
        <v>1266203</v>
      </c>
      <c r="EK24" s="141">
        <v>-162144</v>
      </c>
      <c r="EL24" s="141">
        <v>-155090</v>
      </c>
      <c r="EM24" s="71"/>
      <c r="EN24" s="141">
        <v>119367</v>
      </c>
      <c r="EO24" s="141">
        <v>117294</v>
      </c>
      <c r="EP24" s="141">
        <v>27035</v>
      </c>
      <c r="EQ24" s="141">
        <v>134725</v>
      </c>
      <c r="ER24" s="73">
        <f t="shared" si="12"/>
        <v>5475942</v>
      </c>
      <c r="ES24" s="141">
        <v>27314375</v>
      </c>
      <c r="ET24" s="141">
        <v>-6202071</v>
      </c>
      <c r="EU24" s="141">
        <v>5033904</v>
      </c>
      <c r="EV24" s="141">
        <v>3003792</v>
      </c>
      <c r="EW24" s="141">
        <v>3781253</v>
      </c>
      <c r="EX24" s="141">
        <v>3780961</v>
      </c>
      <c r="EY24" s="73">
        <f t="shared" si="13"/>
        <v>337528</v>
      </c>
      <c r="EZ24" s="141">
        <v>337528</v>
      </c>
      <c r="FA24" s="141">
        <v>79675</v>
      </c>
      <c r="FB24" s="141">
        <v>257853</v>
      </c>
      <c r="FC24" s="141">
        <v>0</v>
      </c>
      <c r="FD24" s="141">
        <v>0</v>
      </c>
      <c r="FE24" s="141">
        <v>6272964</v>
      </c>
      <c r="FF24" s="141">
        <v>5152809</v>
      </c>
      <c r="FG24" s="141">
        <v>1795031</v>
      </c>
      <c r="FH24" s="141">
        <v>3846432</v>
      </c>
      <c r="FI24" s="73">
        <f t="shared" si="14"/>
        <v>4034559</v>
      </c>
      <c r="FJ24" s="141">
        <v>32240410</v>
      </c>
      <c r="FK24" s="379">
        <f t="shared" si="15"/>
        <v>5</v>
      </c>
      <c r="FL24" s="141">
        <v>24613011</v>
      </c>
      <c r="FM24" s="141">
        <v>577380</v>
      </c>
      <c r="FN24" s="141">
        <v>14586959</v>
      </c>
      <c r="FO24" s="141">
        <v>20720157</v>
      </c>
      <c r="FP24" s="390">
        <v>0.72</v>
      </c>
      <c r="FQ24" s="380">
        <v>97.2</v>
      </c>
      <c r="FR24" s="381">
        <v>18.899999999999999</v>
      </c>
      <c r="FS24" s="380">
        <v>14.4</v>
      </c>
      <c r="FT24" s="380">
        <v>14.4</v>
      </c>
      <c r="FU24" s="381">
        <v>18.2</v>
      </c>
      <c r="FV24" s="380">
        <v>15.4</v>
      </c>
      <c r="FW24" s="382">
        <v>13.9</v>
      </c>
      <c r="FX24" s="383">
        <v>4.5</v>
      </c>
      <c r="FY24" s="141">
        <v>32755596</v>
      </c>
      <c r="FZ24" s="384">
        <f t="shared" si="16"/>
        <v>130</v>
      </c>
      <c r="GA24" s="141">
        <v>19983890</v>
      </c>
      <c r="GB24" s="141">
        <v>4963124</v>
      </c>
      <c r="GC24" s="141">
        <v>26888</v>
      </c>
      <c r="GD24" s="141">
        <v>14993878</v>
      </c>
      <c r="GE24" s="107">
        <v>0</v>
      </c>
      <c r="GF24" s="385"/>
      <c r="GG24" s="386"/>
      <c r="GH24" s="380">
        <v>99.4</v>
      </c>
      <c r="GI24" s="380">
        <v>60</v>
      </c>
      <c r="GJ24" s="380">
        <v>99.1</v>
      </c>
      <c r="GK24" s="141">
        <v>549</v>
      </c>
      <c r="GL24" s="391" t="s">
        <v>646</v>
      </c>
      <c r="GM24" s="391">
        <v>12.07</v>
      </c>
      <c r="GN24" s="117">
        <v>20</v>
      </c>
      <c r="GO24" s="391" t="s">
        <v>646</v>
      </c>
      <c r="GP24" s="392">
        <v>17.07</v>
      </c>
      <c r="GQ24" s="387">
        <v>30</v>
      </c>
      <c r="GR24" s="381">
        <v>4.5</v>
      </c>
      <c r="GS24" s="388">
        <v>25</v>
      </c>
      <c r="GT24" s="388">
        <v>35</v>
      </c>
      <c r="GU24" s="393" t="s">
        <v>646</v>
      </c>
      <c r="GV24" s="388">
        <v>350</v>
      </c>
      <c r="GW24" s="394"/>
      <c r="GX24" s="100">
        <f t="shared" si="17"/>
        <v>25190</v>
      </c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  <c r="HW24" s="394"/>
      <c r="HX24" s="394"/>
    </row>
    <row r="25" spans="2:232" x14ac:dyDescent="0.15">
      <c r="B25" s="89" t="s">
        <v>39</v>
      </c>
      <c r="C25" s="141">
        <v>24458124</v>
      </c>
      <c r="D25" s="73">
        <f t="shared" si="0"/>
        <v>10001845</v>
      </c>
      <c r="E25" s="141">
        <v>301456</v>
      </c>
      <c r="F25" s="141">
        <v>9700389</v>
      </c>
      <c r="G25" s="73">
        <f t="shared" si="1"/>
        <v>1494996</v>
      </c>
      <c r="H25" s="141">
        <v>482570</v>
      </c>
      <c r="I25" s="141">
        <v>1012426</v>
      </c>
      <c r="J25" s="141">
        <v>9439897</v>
      </c>
      <c r="K25" s="141">
        <v>3342517</v>
      </c>
      <c r="L25" s="141">
        <v>4915386</v>
      </c>
      <c r="M25" s="141">
        <v>1108490</v>
      </c>
      <c r="N25" s="141">
        <v>1146232</v>
      </c>
      <c r="O25" s="141">
        <v>1941775</v>
      </c>
      <c r="P25" s="141">
        <v>914169</v>
      </c>
      <c r="Q25" s="141">
        <v>1027606</v>
      </c>
      <c r="R25" s="141">
        <v>344665</v>
      </c>
      <c r="S25" s="74"/>
      <c r="T25" s="73">
        <f t="shared" si="2"/>
        <v>4916931</v>
      </c>
      <c r="U25" s="141">
        <v>24236</v>
      </c>
      <c r="V25" s="141">
        <v>202363</v>
      </c>
      <c r="W25" s="141">
        <v>144824</v>
      </c>
      <c r="X25" s="141">
        <v>4111676</v>
      </c>
      <c r="Y25" s="141">
        <v>30677</v>
      </c>
      <c r="Z25" s="141">
        <v>0</v>
      </c>
      <c r="AA25" s="141">
        <v>2481</v>
      </c>
      <c r="AB25" s="141">
        <v>74250</v>
      </c>
      <c r="AC25" s="141">
        <v>326424</v>
      </c>
      <c r="AD25" s="141">
        <v>245781</v>
      </c>
      <c r="AE25" s="141">
        <v>9421767</v>
      </c>
      <c r="AF25" s="141">
        <v>8813461</v>
      </c>
      <c r="AG25" s="141">
        <v>608306</v>
      </c>
      <c r="AH25" s="141">
        <v>26630</v>
      </c>
      <c r="AI25" s="141">
        <v>132433</v>
      </c>
      <c r="AJ25" s="73">
        <f t="shared" si="3"/>
        <v>1238737</v>
      </c>
      <c r="AK25" s="141">
        <v>853569</v>
      </c>
      <c r="AL25" s="141">
        <v>385168</v>
      </c>
      <c r="AM25" s="141">
        <v>19002359</v>
      </c>
      <c r="AN25" s="73">
        <f t="shared" si="4"/>
        <v>10188401</v>
      </c>
      <c r="AO25" s="141">
        <v>5036055</v>
      </c>
      <c r="AP25" s="141">
        <v>2849788</v>
      </c>
      <c r="AQ25" s="74"/>
      <c r="AR25" s="141">
        <v>2302558</v>
      </c>
      <c r="AS25" s="141">
        <v>627655</v>
      </c>
      <c r="AT25" s="141">
        <v>0</v>
      </c>
      <c r="AU25" s="141">
        <v>217626</v>
      </c>
      <c r="AV25" s="141">
        <v>5458637</v>
      </c>
      <c r="AW25" s="141">
        <v>3219226</v>
      </c>
      <c r="AX25" s="141">
        <v>1042048</v>
      </c>
      <c r="AY25" s="141">
        <v>490</v>
      </c>
      <c r="AZ25" s="141">
        <v>2239411</v>
      </c>
      <c r="BA25" s="141">
        <v>707</v>
      </c>
      <c r="BB25" s="141">
        <v>1258997</v>
      </c>
      <c r="BC25" s="141">
        <v>1251978</v>
      </c>
      <c r="BD25" s="141">
        <v>669275</v>
      </c>
      <c r="BE25" s="141">
        <v>1401626</v>
      </c>
      <c r="BF25" s="141">
        <v>0</v>
      </c>
      <c r="BG25" s="141">
        <v>140000</v>
      </c>
      <c r="BH25" s="141">
        <v>1261626</v>
      </c>
      <c r="BI25" s="141">
        <v>0</v>
      </c>
      <c r="BJ25" s="141">
        <v>753470</v>
      </c>
      <c r="BK25" s="141">
        <v>646288</v>
      </c>
      <c r="BL25" s="141">
        <v>557773</v>
      </c>
      <c r="BM25" s="141">
        <v>2954</v>
      </c>
      <c r="BN25" s="141">
        <v>5204</v>
      </c>
      <c r="BO25" s="141">
        <v>0</v>
      </c>
      <c r="BP25" s="141">
        <v>3652928</v>
      </c>
      <c r="BQ25" s="73">
        <f t="shared" si="5"/>
        <v>3182928</v>
      </c>
      <c r="BR25" s="73">
        <f t="shared" si="6"/>
        <v>470000</v>
      </c>
      <c r="BS25" s="141">
        <v>0</v>
      </c>
      <c r="BT25" s="141">
        <v>0</v>
      </c>
      <c r="BU25" s="141">
        <v>470000</v>
      </c>
      <c r="BV25" s="141">
        <v>0</v>
      </c>
      <c r="BW25" s="141">
        <v>73757759</v>
      </c>
      <c r="BX25" s="71"/>
      <c r="BY25" s="141">
        <v>10152559</v>
      </c>
      <c r="BZ25" s="141">
        <v>6146662</v>
      </c>
      <c r="CA25" s="141">
        <v>428335</v>
      </c>
      <c r="CB25" s="141">
        <v>1683087</v>
      </c>
      <c r="CC25" s="141">
        <v>24626052</v>
      </c>
      <c r="CD25" s="141">
        <v>7105133</v>
      </c>
      <c r="CE25" s="141">
        <v>27623</v>
      </c>
      <c r="CF25" s="141">
        <v>10561169</v>
      </c>
      <c r="CG25" s="141">
        <v>6650747</v>
      </c>
      <c r="CH25" s="141">
        <v>912</v>
      </c>
      <c r="CI25" s="141">
        <v>280078</v>
      </c>
      <c r="CJ25" s="141">
        <v>6971753</v>
      </c>
      <c r="CK25" s="141">
        <v>6762562</v>
      </c>
      <c r="CL25" s="83">
        <f t="shared" si="7"/>
        <v>209191</v>
      </c>
      <c r="CM25" s="141">
        <v>9482189</v>
      </c>
      <c r="CN25" s="141">
        <v>7248469</v>
      </c>
      <c r="CO25" s="102"/>
      <c r="CP25" s="141">
        <v>1035926</v>
      </c>
      <c r="CQ25" s="141">
        <v>341058</v>
      </c>
      <c r="CR25" s="141">
        <v>6424737</v>
      </c>
      <c r="CS25" s="141">
        <v>598225</v>
      </c>
      <c r="CT25" s="141">
        <v>1303477</v>
      </c>
      <c r="CU25" s="141">
        <v>589333</v>
      </c>
      <c r="CV25" s="73">
        <f t="shared" si="8"/>
        <v>1554980</v>
      </c>
      <c r="CW25" s="141">
        <v>479502</v>
      </c>
      <c r="CX25" s="141">
        <v>1075478</v>
      </c>
      <c r="CY25" s="73">
        <f t="shared" si="9"/>
        <v>893164</v>
      </c>
      <c r="CZ25" s="141">
        <v>0</v>
      </c>
      <c r="DA25" s="141">
        <v>893164</v>
      </c>
      <c r="DB25" s="73">
        <f t="shared" si="10"/>
        <v>618324</v>
      </c>
      <c r="DC25" s="141">
        <v>459393</v>
      </c>
      <c r="DD25" s="141">
        <v>158931</v>
      </c>
      <c r="DE25" s="141">
        <v>6798478</v>
      </c>
      <c r="DF25" s="141">
        <v>1718546</v>
      </c>
      <c r="DG25" s="141">
        <v>5046204</v>
      </c>
      <c r="DH25" s="141">
        <v>33728</v>
      </c>
      <c r="DI25" s="141">
        <v>0</v>
      </c>
      <c r="DJ25" s="141">
        <v>0</v>
      </c>
      <c r="DK25" s="141">
        <v>2280948</v>
      </c>
      <c r="DL25" s="141">
        <v>330470</v>
      </c>
      <c r="DM25" s="141">
        <v>65360</v>
      </c>
      <c r="DN25" s="141">
        <v>1885118</v>
      </c>
      <c r="DO25" s="141">
        <v>0</v>
      </c>
      <c r="DP25" s="141">
        <v>0</v>
      </c>
      <c r="DQ25" s="141">
        <v>0</v>
      </c>
      <c r="DR25" s="141">
        <v>0</v>
      </c>
      <c r="DS25" s="141">
        <v>21980</v>
      </c>
      <c r="DT25" s="141">
        <v>0</v>
      </c>
      <c r="DU25" s="141">
        <v>0</v>
      </c>
      <c r="DV25" s="141">
        <v>6159868</v>
      </c>
      <c r="DW25" s="141">
        <v>0</v>
      </c>
      <c r="DX25" s="73">
        <f t="shared" si="11"/>
        <v>0</v>
      </c>
      <c r="DY25" s="141">
        <v>0</v>
      </c>
      <c r="DZ25" s="141">
        <v>2454726</v>
      </c>
      <c r="EA25" s="141">
        <v>0</v>
      </c>
      <c r="EB25" s="141">
        <v>1376198</v>
      </c>
      <c r="EC25" s="74">
        <v>0</v>
      </c>
      <c r="ED25" s="141">
        <v>2328944</v>
      </c>
      <c r="EE25" s="141">
        <v>0</v>
      </c>
      <c r="EF25" s="141">
        <v>73259622</v>
      </c>
      <c r="EG25" s="71"/>
      <c r="EH25" s="141">
        <v>498137</v>
      </c>
      <c r="EI25" s="141">
        <v>159433</v>
      </c>
      <c r="EJ25" s="141">
        <v>338704</v>
      </c>
      <c r="EK25" s="141">
        <v>-307584</v>
      </c>
      <c r="EL25" s="141">
        <v>22886</v>
      </c>
      <c r="EM25" s="71"/>
      <c r="EN25" s="141">
        <v>184495</v>
      </c>
      <c r="EO25" s="141">
        <v>183761</v>
      </c>
      <c r="EP25" s="141">
        <v>290000</v>
      </c>
      <c r="EQ25" s="141">
        <v>1258442</v>
      </c>
      <c r="ER25" s="73">
        <f t="shared" si="12"/>
        <v>3199469</v>
      </c>
      <c r="ES25" s="141">
        <v>39631524</v>
      </c>
      <c r="ET25" s="141">
        <v>-4973655</v>
      </c>
      <c r="EU25" s="141">
        <v>9200944</v>
      </c>
      <c r="EV25" s="141">
        <v>5653812</v>
      </c>
      <c r="EW25" s="141">
        <v>6455595</v>
      </c>
      <c r="EX25" s="141">
        <v>6798100</v>
      </c>
      <c r="EY25" s="73">
        <f t="shared" si="13"/>
        <v>1925443</v>
      </c>
      <c r="EZ25" s="141">
        <v>1925443</v>
      </c>
      <c r="FA25" s="141">
        <v>373574</v>
      </c>
      <c r="FB25" s="141">
        <v>1549710</v>
      </c>
      <c r="FC25" s="141">
        <v>0</v>
      </c>
      <c r="FD25" s="141">
        <v>0</v>
      </c>
      <c r="FE25" s="141">
        <v>7079293</v>
      </c>
      <c r="FF25" s="141">
        <v>5873232</v>
      </c>
      <c r="FG25" s="141">
        <v>598225</v>
      </c>
      <c r="FH25" s="141">
        <v>4829578</v>
      </c>
      <c r="FI25" s="73">
        <f t="shared" si="14"/>
        <v>1944857</v>
      </c>
      <c r="FJ25" s="141">
        <v>44107042</v>
      </c>
      <c r="FK25" s="379">
        <f t="shared" si="15"/>
        <v>0.9</v>
      </c>
      <c r="FL25" s="141">
        <v>35817708</v>
      </c>
      <c r="FM25" s="141">
        <v>839007</v>
      </c>
      <c r="FN25" s="141">
        <v>21320069</v>
      </c>
      <c r="FO25" s="141">
        <v>30285376</v>
      </c>
      <c r="FP25" s="390">
        <v>0.72</v>
      </c>
      <c r="FQ25" s="380">
        <v>95.9</v>
      </c>
      <c r="FR25" s="381">
        <v>24.3</v>
      </c>
      <c r="FS25" s="380">
        <v>17</v>
      </c>
      <c r="FT25" s="380">
        <v>18</v>
      </c>
      <c r="FU25" s="381">
        <v>15</v>
      </c>
      <c r="FV25" s="380">
        <v>8.4</v>
      </c>
      <c r="FW25" s="382">
        <v>12.4</v>
      </c>
      <c r="FX25" s="383">
        <v>6.9</v>
      </c>
      <c r="FY25" s="141">
        <v>40942690</v>
      </c>
      <c r="FZ25" s="384">
        <f t="shared" si="16"/>
        <v>111.7</v>
      </c>
      <c r="GA25" s="141">
        <v>15426991</v>
      </c>
      <c r="GB25" s="141">
        <v>4578140</v>
      </c>
      <c r="GC25" s="141">
        <v>1597100</v>
      </c>
      <c r="GD25" s="141">
        <v>9251751</v>
      </c>
      <c r="GE25" s="107">
        <v>0</v>
      </c>
      <c r="GF25" s="385"/>
      <c r="GG25" s="386"/>
      <c r="GH25" s="380">
        <v>99.5</v>
      </c>
      <c r="GI25" s="380">
        <v>38.4</v>
      </c>
      <c r="GJ25" s="380">
        <v>98.7</v>
      </c>
      <c r="GK25" s="141">
        <v>1056</v>
      </c>
      <c r="GL25" s="391" t="s">
        <v>646</v>
      </c>
      <c r="GM25" s="391">
        <v>11.55</v>
      </c>
      <c r="GN25" s="117">
        <v>20</v>
      </c>
      <c r="GO25" s="391" t="s">
        <v>646</v>
      </c>
      <c r="GP25" s="392">
        <v>16.55</v>
      </c>
      <c r="GQ25" s="387">
        <v>30</v>
      </c>
      <c r="GR25" s="381">
        <v>6.9</v>
      </c>
      <c r="GS25" s="388">
        <v>25</v>
      </c>
      <c r="GT25" s="388">
        <v>35</v>
      </c>
      <c r="GU25" s="393" t="s">
        <v>646</v>
      </c>
      <c r="GV25" s="388">
        <v>350</v>
      </c>
      <c r="GW25" s="394"/>
      <c r="GX25" s="100">
        <f t="shared" si="17"/>
        <v>36657</v>
      </c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  <c r="HW25" s="394"/>
      <c r="HX25" s="394"/>
    </row>
    <row r="26" spans="2:232" x14ac:dyDescent="0.15">
      <c r="B26" s="89" t="s">
        <v>41</v>
      </c>
      <c r="C26" s="141">
        <v>25018753</v>
      </c>
      <c r="D26" s="73">
        <f t="shared" si="0"/>
        <v>10629032</v>
      </c>
      <c r="E26" s="141">
        <v>231280</v>
      </c>
      <c r="F26" s="141">
        <v>10397752</v>
      </c>
      <c r="G26" s="73">
        <f t="shared" si="1"/>
        <v>1098797</v>
      </c>
      <c r="H26" s="141">
        <v>401539</v>
      </c>
      <c r="I26" s="141">
        <v>697258</v>
      </c>
      <c r="J26" s="141">
        <v>10039913</v>
      </c>
      <c r="K26" s="141">
        <v>4425825</v>
      </c>
      <c r="L26" s="141">
        <v>4375246</v>
      </c>
      <c r="M26" s="141">
        <v>1224020</v>
      </c>
      <c r="N26" s="141">
        <v>677860</v>
      </c>
      <c r="O26" s="141">
        <v>2291774</v>
      </c>
      <c r="P26" s="141">
        <v>1335594</v>
      </c>
      <c r="Q26" s="141">
        <v>956180</v>
      </c>
      <c r="R26" s="141">
        <v>273916</v>
      </c>
      <c r="S26" s="74"/>
      <c r="T26" s="73">
        <f t="shared" si="2"/>
        <v>3793629</v>
      </c>
      <c r="U26" s="141">
        <v>26043</v>
      </c>
      <c r="V26" s="141">
        <v>217231</v>
      </c>
      <c r="W26" s="141">
        <v>155274</v>
      </c>
      <c r="X26" s="141">
        <v>3076964</v>
      </c>
      <c r="Y26" s="141">
        <v>1750</v>
      </c>
      <c r="Z26" s="141">
        <v>0</v>
      </c>
      <c r="AA26" s="141">
        <v>2010</v>
      </c>
      <c r="AB26" s="141">
        <v>60139</v>
      </c>
      <c r="AC26" s="141">
        <v>254218</v>
      </c>
      <c r="AD26" s="141">
        <v>178506</v>
      </c>
      <c r="AE26" s="141">
        <v>2380437</v>
      </c>
      <c r="AF26" s="141">
        <v>2297796</v>
      </c>
      <c r="AG26" s="141">
        <v>82641</v>
      </c>
      <c r="AH26" s="141">
        <v>15873</v>
      </c>
      <c r="AI26" s="141">
        <v>771353</v>
      </c>
      <c r="AJ26" s="73">
        <f t="shared" si="3"/>
        <v>942945</v>
      </c>
      <c r="AK26" s="141">
        <v>640237</v>
      </c>
      <c r="AL26" s="141">
        <v>302708</v>
      </c>
      <c r="AM26" s="141">
        <v>19076885</v>
      </c>
      <c r="AN26" s="73">
        <f t="shared" si="4"/>
        <v>5753866</v>
      </c>
      <c r="AO26" s="141">
        <v>1685885</v>
      </c>
      <c r="AP26" s="141">
        <v>2484782</v>
      </c>
      <c r="AQ26" s="74"/>
      <c r="AR26" s="141">
        <v>1583199</v>
      </c>
      <c r="AS26" s="141">
        <v>0</v>
      </c>
      <c r="AT26" s="141">
        <v>0</v>
      </c>
      <c r="AU26" s="141">
        <v>0</v>
      </c>
      <c r="AV26" s="141">
        <v>6779995</v>
      </c>
      <c r="AW26" s="141">
        <v>3245736</v>
      </c>
      <c r="AX26" s="141">
        <v>1091294</v>
      </c>
      <c r="AY26" s="141">
        <v>43707</v>
      </c>
      <c r="AZ26" s="141">
        <v>3534259</v>
      </c>
      <c r="BA26" s="141">
        <v>2136682</v>
      </c>
      <c r="BB26" s="141">
        <v>219336</v>
      </c>
      <c r="BC26" s="141">
        <v>8668</v>
      </c>
      <c r="BD26" s="141">
        <v>185383</v>
      </c>
      <c r="BE26" s="141">
        <v>3947161</v>
      </c>
      <c r="BF26" s="141">
        <v>487956</v>
      </c>
      <c r="BG26" s="141">
        <v>0</v>
      </c>
      <c r="BH26" s="141">
        <v>3450984</v>
      </c>
      <c r="BI26" s="141">
        <v>0</v>
      </c>
      <c r="BJ26" s="141">
        <v>5649504</v>
      </c>
      <c r="BK26" s="141">
        <v>666408</v>
      </c>
      <c r="BL26" s="141">
        <v>5463387</v>
      </c>
      <c r="BM26" s="141">
        <v>623434</v>
      </c>
      <c r="BN26" s="141">
        <v>0</v>
      </c>
      <c r="BO26" s="141">
        <v>3597823</v>
      </c>
      <c r="BP26" s="141">
        <v>2330849</v>
      </c>
      <c r="BQ26" s="73">
        <f t="shared" si="5"/>
        <v>1711200</v>
      </c>
      <c r="BR26" s="73">
        <f t="shared" si="6"/>
        <v>619649</v>
      </c>
      <c r="BS26" s="141">
        <v>0</v>
      </c>
      <c r="BT26" s="141">
        <v>0</v>
      </c>
      <c r="BU26" s="141">
        <v>619649</v>
      </c>
      <c r="BV26" s="141">
        <v>0</v>
      </c>
      <c r="BW26" s="141">
        <v>77027912</v>
      </c>
      <c r="BX26" s="71"/>
      <c r="BY26" s="141">
        <v>10391065</v>
      </c>
      <c r="BZ26" s="141">
        <v>6699985</v>
      </c>
      <c r="CA26" s="141">
        <v>720167</v>
      </c>
      <c r="CB26" s="141">
        <v>1092020</v>
      </c>
      <c r="CC26" s="141">
        <v>15989389</v>
      </c>
      <c r="CD26" s="141">
        <v>4723428</v>
      </c>
      <c r="CE26" s="141">
        <v>94250</v>
      </c>
      <c r="CF26" s="141">
        <v>7948777</v>
      </c>
      <c r="CG26" s="141">
        <v>2258374</v>
      </c>
      <c r="CH26" s="141">
        <v>115518</v>
      </c>
      <c r="CI26" s="141">
        <v>849042</v>
      </c>
      <c r="CJ26" s="141">
        <v>8025498</v>
      </c>
      <c r="CK26" s="141">
        <v>7837036</v>
      </c>
      <c r="CL26" s="83">
        <f t="shared" si="7"/>
        <v>188462</v>
      </c>
      <c r="CM26" s="141">
        <v>10494476</v>
      </c>
      <c r="CN26" s="141">
        <v>7644751</v>
      </c>
      <c r="CO26" s="102"/>
      <c r="CP26" s="141">
        <v>1935560</v>
      </c>
      <c r="CQ26" s="141">
        <v>319635</v>
      </c>
      <c r="CR26" s="141">
        <v>3768443</v>
      </c>
      <c r="CS26" s="141">
        <v>2592</v>
      </c>
      <c r="CT26" s="141">
        <v>1499555</v>
      </c>
      <c r="CU26" s="141">
        <v>1099068</v>
      </c>
      <c r="CV26" s="73">
        <f t="shared" si="8"/>
        <v>710982</v>
      </c>
      <c r="CW26" s="141">
        <v>633301</v>
      </c>
      <c r="CX26" s="141">
        <v>77681</v>
      </c>
      <c r="CY26" s="73">
        <f t="shared" si="9"/>
        <v>361224</v>
      </c>
      <c r="CZ26" s="141">
        <v>361224</v>
      </c>
      <c r="DA26" s="141">
        <v>0</v>
      </c>
      <c r="DB26" s="73">
        <f t="shared" si="10"/>
        <v>331371</v>
      </c>
      <c r="DC26" s="141">
        <v>258627</v>
      </c>
      <c r="DD26" s="141">
        <v>72744</v>
      </c>
      <c r="DE26" s="141">
        <v>16444560</v>
      </c>
      <c r="DF26" s="141">
        <v>13694825</v>
      </c>
      <c r="DG26" s="141">
        <v>2740709</v>
      </c>
      <c r="DH26" s="141">
        <v>5219</v>
      </c>
      <c r="DI26" s="141">
        <v>0</v>
      </c>
      <c r="DJ26" s="141">
        <v>9958</v>
      </c>
      <c r="DK26" s="141">
        <v>1668222</v>
      </c>
      <c r="DL26" s="141">
        <v>45295</v>
      </c>
      <c r="DM26" s="141">
        <v>397</v>
      </c>
      <c r="DN26" s="141">
        <v>1622530</v>
      </c>
      <c r="DO26" s="141">
        <v>0</v>
      </c>
      <c r="DP26" s="141">
        <v>0</v>
      </c>
      <c r="DQ26" s="141">
        <v>0</v>
      </c>
      <c r="DR26" s="141">
        <v>0</v>
      </c>
      <c r="DS26" s="141">
        <v>0</v>
      </c>
      <c r="DT26" s="141">
        <v>0</v>
      </c>
      <c r="DU26" s="141">
        <v>0</v>
      </c>
      <c r="DV26" s="141">
        <v>4751597</v>
      </c>
      <c r="DW26" s="141">
        <v>0</v>
      </c>
      <c r="DX26" s="73">
        <f t="shared" si="11"/>
        <v>0</v>
      </c>
      <c r="DY26" s="141">
        <v>0</v>
      </c>
      <c r="DZ26" s="141">
        <v>1691247</v>
      </c>
      <c r="EA26" s="141">
        <v>0</v>
      </c>
      <c r="EB26" s="141">
        <v>1285332</v>
      </c>
      <c r="EC26" s="74">
        <v>0</v>
      </c>
      <c r="ED26" s="141">
        <v>1667280</v>
      </c>
      <c r="EE26" s="141">
        <v>0</v>
      </c>
      <c r="EF26" s="141">
        <v>71862843</v>
      </c>
      <c r="EG26" s="71"/>
      <c r="EH26" s="141">
        <v>5165069</v>
      </c>
      <c r="EI26" s="141">
        <v>3602448</v>
      </c>
      <c r="EJ26" s="141">
        <v>1562621</v>
      </c>
      <c r="EK26" s="141">
        <v>96213</v>
      </c>
      <c r="EL26" s="141">
        <v>4333604</v>
      </c>
      <c r="EM26" s="71"/>
      <c r="EN26" s="141">
        <v>136868</v>
      </c>
      <c r="EO26" s="141">
        <v>139128</v>
      </c>
      <c r="EP26" s="141">
        <v>496166</v>
      </c>
      <c r="EQ26" s="141">
        <v>212829</v>
      </c>
      <c r="ER26" s="73">
        <f t="shared" si="12"/>
        <v>9595580</v>
      </c>
      <c r="ES26" s="141">
        <v>31661114</v>
      </c>
      <c r="ET26" s="141">
        <v>-10908351</v>
      </c>
      <c r="EU26" s="141">
        <v>9274290</v>
      </c>
      <c r="EV26" s="141">
        <v>5919572</v>
      </c>
      <c r="EW26" s="141">
        <v>4203380</v>
      </c>
      <c r="EX26" s="141">
        <v>4905455</v>
      </c>
      <c r="EY26" s="73">
        <f t="shared" si="13"/>
        <v>3253457</v>
      </c>
      <c r="EZ26" s="141">
        <v>3243499</v>
      </c>
      <c r="FA26" s="141">
        <v>1725349</v>
      </c>
      <c r="FB26" s="141">
        <v>1518111</v>
      </c>
      <c r="FC26" s="141">
        <v>9958</v>
      </c>
      <c r="FD26" s="141">
        <v>0</v>
      </c>
      <c r="FE26" s="141">
        <v>7321303</v>
      </c>
      <c r="FF26" s="141">
        <v>2962587</v>
      </c>
      <c r="FG26" s="141">
        <v>2592</v>
      </c>
      <c r="FH26" s="141">
        <v>3766703</v>
      </c>
      <c r="FI26" s="73">
        <f t="shared" si="14"/>
        <v>1723242</v>
      </c>
      <c r="FJ26" s="141">
        <v>37410417</v>
      </c>
      <c r="FK26" s="379">
        <f t="shared" si="15"/>
        <v>5.3</v>
      </c>
      <c r="FL26" s="141">
        <v>28614258</v>
      </c>
      <c r="FM26" s="141">
        <v>619649</v>
      </c>
      <c r="FN26" s="141">
        <v>20231128</v>
      </c>
      <c r="FO26" s="141">
        <v>22884770</v>
      </c>
      <c r="FP26" s="390">
        <v>0.90300000000000002</v>
      </c>
      <c r="FQ26" s="380">
        <v>92.9</v>
      </c>
      <c r="FR26" s="381">
        <v>30.6</v>
      </c>
      <c r="FS26" s="380">
        <v>13.8</v>
      </c>
      <c r="FT26" s="380">
        <v>11.1</v>
      </c>
      <c r="FU26" s="381">
        <v>19.399999999999999</v>
      </c>
      <c r="FV26" s="380">
        <v>5.9</v>
      </c>
      <c r="FW26" s="382">
        <v>11.3</v>
      </c>
      <c r="FX26" s="383">
        <v>2.4</v>
      </c>
      <c r="FY26" s="141">
        <v>52069902</v>
      </c>
      <c r="FZ26" s="384">
        <f t="shared" si="16"/>
        <v>178.1</v>
      </c>
      <c r="GA26" s="141">
        <v>22137745</v>
      </c>
      <c r="GB26" s="141">
        <v>5076939</v>
      </c>
      <c r="GC26" s="141">
        <v>6106193</v>
      </c>
      <c r="GD26" s="141">
        <v>10954613</v>
      </c>
      <c r="GE26" s="107">
        <v>0</v>
      </c>
      <c r="GF26" s="385">
        <v>2222</v>
      </c>
      <c r="GG26" s="386">
        <f>IF(GF26=0,"-",ROUND(GF26/(GX26)*100,1))</f>
        <v>7.6</v>
      </c>
      <c r="GH26" s="380">
        <v>99.6</v>
      </c>
      <c r="GI26" s="380">
        <v>47.7</v>
      </c>
      <c r="GJ26" s="380">
        <v>99.1</v>
      </c>
      <c r="GK26" s="141">
        <v>1026</v>
      </c>
      <c r="GL26" s="391" t="s">
        <v>646</v>
      </c>
      <c r="GM26" s="391">
        <v>11.84</v>
      </c>
      <c r="GN26" s="117">
        <v>20</v>
      </c>
      <c r="GO26" s="391" t="s">
        <v>646</v>
      </c>
      <c r="GP26" s="392">
        <v>16.84</v>
      </c>
      <c r="GQ26" s="387">
        <v>30</v>
      </c>
      <c r="GR26" s="381">
        <v>2.4</v>
      </c>
      <c r="GS26" s="388">
        <v>25</v>
      </c>
      <c r="GT26" s="388">
        <v>35</v>
      </c>
      <c r="GU26" s="393">
        <v>8</v>
      </c>
      <c r="GV26" s="388">
        <v>350</v>
      </c>
      <c r="GW26" s="394"/>
      <c r="GX26" s="100">
        <f t="shared" si="17"/>
        <v>29234</v>
      </c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  <c r="HW26" s="394"/>
      <c r="HX26" s="394"/>
    </row>
    <row r="27" spans="2:232" x14ac:dyDescent="0.15">
      <c r="B27" s="89" t="s">
        <v>43</v>
      </c>
      <c r="C27" s="141">
        <v>9094992</v>
      </c>
      <c r="D27" s="73">
        <f t="shared" si="0"/>
        <v>3582173</v>
      </c>
      <c r="E27" s="141">
        <v>115934</v>
      </c>
      <c r="F27" s="141">
        <v>3466239</v>
      </c>
      <c r="G27" s="73">
        <f t="shared" si="1"/>
        <v>698622</v>
      </c>
      <c r="H27" s="141">
        <v>140132</v>
      </c>
      <c r="I27" s="141">
        <v>558490</v>
      </c>
      <c r="J27" s="141">
        <v>3623881</v>
      </c>
      <c r="K27" s="141">
        <v>1328363</v>
      </c>
      <c r="L27" s="141">
        <v>1471788</v>
      </c>
      <c r="M27" s="141">
        <v>798878</v>
      </c>
      <c r="N27" s="141">
        <v>367961</v>
      </c>
      <c r="O27" s="141">
        <v>696585</v>
      </c>
      <c r="P27" s="141">
        <v>378036</v>
      </c>
      <c r="Q27" s="141">
        <v>318549</v>
      </c>
      <c r="R27" s="141">
        <v>125954</v>
      </c>
      <c r="S27" s="74"/>
      <c r="T27" s="73">
        <f t="shared" si="2"/>
        <v>1895345</v>
      </c>
      <c r="U27" s="141">
        <v>8765</v>
      </c>
      <c r="V27" s="141">
        <v>73151</v>
      </c>
      <c r="W27" s="141">
        <v>52317</v>
      </c>
      <c r="X27" s="141">
        <v>1583337</v>
      </c>
      <c r="Y27" s="141">
        <v>0</v>
      </c>
      <c r="Z27" s="141">
        <v>0</v>
      </c>
      <c r="AA27" s="141">
        <v>920</v>
      </c>
      <c r="AB27" s="141">
        <v>27525</v>
      </c>
      <c r="AC27" s="141">
        <v>149330</v>
      </c>
      <c r="AD27" s="141">
        <v>61578</v>
      </c>
      <c r="AE27" s="141">
        <v>5662653</v>
      </c>
      <c r="AF27" s="141">
        <v>5445421</v>
      </c>
      <c r="AG27" s="141">
        <v>217232</v>
      </c>
      <c r="AH27" s="141">
        <v>9022</v>
      </c>
      <c r="AI27" s="141">
        <v>386796</v>
      </c>
      <c r="AJ27" s="73">
        <f t="shared" si="3"/>
        <v>291534</v>
      </c>
      <c r="AK27" s="141">
        <v>258775</v>
      </c>
      <c r="AL27" s="141">
        <v>32759</v>
      </c>
      <c r="AM27" s="141">
        <v>6446351</v>
      </c>
      <c r="AN27" s="73">
        <f t="shared" si="4"/>
        <v>3035926</v>
      </c>
      <c r="AO27" s="141">
        <v>1311358</v>
      </c>
      <c r="AP27" s="141">
        <v>826327</v>
      </c>
      <c r="AQ27" s="74"/>
      <c r="AR27" s="141">
        <v>898241</v>
      </c>
      <c r="AS27" s="141">
        <v>113066</v>
      </c>
      <c r="AT27" s="141">
        <v>0</v>
      </c>
      <c r="AU27" s="141">
        <v>0</v>
      </c>
      <c r="AV27" s="141">
        <v>2030730</v>
      </c>
      <c r="AW27" s="141">
        <v>1185896</v>
      </c>
      <c r="AX27" s="141">
        <v>314986</v>
      </c>
      <c r="AY27" s="141">
        <v>16596</v>
      </c>
      <c r="AZ27" s="141">
        <v>844834</v>
      </c>
      <c r="BA27" s="141">
        <v>32828</v>
      </c>
      <c r="BB27" s="141">
        <v>626090</v>
      </c>
      <c r="BC27" s="141">
        <v>610771</v>
      </c>
      <c r="BD27" s="141">
        <v>406941</v>
      </c>
      <c r="BE27" s="141">
        <v>150000</v>
      </c>
      <c r="BF27" s="141">
        <v>0</v>
      </c>
      <c r="BG27" s="141">
        <v>0</v>
      </c>
      <c r="BH27" s="141">
        <v>150000</v>
      </c>
      <c r="BI27" s="141">
        <v>0</v>
      </c>
      <c r="BJ27" s="141">
        <v>1188200</v>
      </c>
      <c r="BK27" s="141">
        <v>1169031</v>
      </c>
      <c r="BL27" s="141">
        <v>626918</v>
      </c>
      <c r="BM27" s="141">
        <v>366538</v>
      </c>
      <c r="BN27" s="141">
        <v>0</v>
      </c>
      <c r="BO27" s="141">
        <v>0</v>
      </c>
      <c r="BP27" s="141">
        <v>882572</v>
      </c>
      <c r="BQ27" s="73">
        <f t="shared" si="5"/>
        <v>582200</v>
      </c>
      <c r="BR27" s="73">
        <f t="shared" si="6"/>
        <v>300372</v>
      </c>
      <c r="BS27" s="141">
        <v>0</v>
      </c>
      <c r="BT27" s="141">
        <v>0</v>
      </c>
      <c r="BU27" s="141">
        <v>300372</v>
      </c>
      <c r="BV27" s="141">
        <v>0</v>
      </c>
      <c r="BW27" s="141">
        <v>29885676</v>
      </c>
      <c r="BX27" s="71"/>
      <c r="BY27" s="141">
        <v>4685550</v>
      </c>
      <c r="BZ27" s="141">
        <v>2698897</v>
      </c>
      <c r="CA27" s="141">
        <v>281136</v>
      </c>
      <c r="CB27" s="141">
        <v>815383</v>
      </c>
      <c r="CC27" s="141">
        <v>7693617</v>
      </c>
      <c r="CD27" s="141">
        <v>2975470</v>
      </c>
      <c r="CE27" s="141">
        <v>10555</v>
      </c>
      <c r="CF27" s="141">
        <v>2713941</v>
      </c>
      <c r="CG27" s="141">
        <v>1747838</v>
      </c>
      <c r="CH27" s="141">
        <v>45561</v>
      </c>
      <c r="CI27" s="141">
        <v>200222</v>
      </c>
      <c r="CJ27" s="141">
        <v>2181026</v>
      </c>
      <c r="CK27" s="141">
        <v>2107003</v>
      </c>
      <c r="CL27" s="83">
        <f t="shared" si="7"/>
        <v>74023</v>
      </c>
      <c r="CM27" s="141">
        <v>3534029</v>
      </c>
      <c r="CN27" s="141">
        <v>2452118</v>
      </c>
      <c r="CO27" s="102"/>
      <c r="CP27" s="141">
        <v>382900</v>
      </c>
      <c r="CQ27" s="141">
        <v>111556</v>
      </c>
      <c r="CR27" s="141">
        <v>4369776</v>
      </c>
      <c r="CS27" s="141">
        <v>1763518</v>
      </c>
      <c r="CT27" s="141">
        <v>606891</v>
      </c>
      <c r="CU27" s="141">
        <v>158108</v>
      </c>
      <c r="CV27" s="73">
        <f t="shared" si="8"/>
        <v>1570235</v>
      </c>
      <c r="CW27" s="141">
        <v>909954</v>
      </c>
      <c r="CX27" s="141">
        <v>660281</v>
      </c>
      <c r="CY27" s="73">
        <f t="shared" si="9"/>
        <v>541783</v>
      </c>
      <c r="CZ27" s="141">
        <v>420310</v>
      </c>
      <c r="DA27" s="141">
        <v>121473</v>
      </c>
      <c r="DB27" s="73">
        <f t="shared" si="10"/>
        <v>924545</v>
      </c>
      <c r="DC27" s="141">
        <v>484644</v>
      </c>
      <c r="DD27" s="141">
        <v>439901</v>
      </c>
      <c r="DE27" s="141">
        <v>1545818</v>
      </c>
      <c r="DF27" s="141">
        <v>382397</v>
      </c>
      <c r="DG27" s="141">
        <v>1163421</v>
      </c>
      <c r="DH27" s="141">
        <v>0</v>
      </c>
      <c r="DI27" s="141">
        <v>0</v>
      </c>
      <c r="DJ27" s="141">
        <v>0</v>
      </c>
      <c r="DK27" s="141">
        <v>1606712</v>
      </c>
      <c r="DL27" s="141">
        <v>590386</v>
      </c>
      <c r="DM27" s="141">
        <v>84</v>
      </c>
      <c r="DN27" s="141">
        <v>1016242</v>
      </c>
      <c r="DO27" s="141">
        <v>0</v>
      </c>
      <c r="DP27" s="141">
        <v>0</v>
      </c>
      <c r="DQ27" s="141">
        <v>0</v>
      </c>
      <c r="DR27" s="141">
        <v>0</v>
      </c>
      <c r="DS27" s="141">
        <v>365355</v>
      </c>
      <c r="DT27" s="141">
        <v>0</v>
      </c>
      <c r="DU27" s="141">
        <v>0</v>
      </c>
      <c r="DV27" s="141">
        <v>2913238</v>
      </c>
      <c r="DW27" s="141">
        <v>0</v>
      </c>
      <c r="DX27" s="73">
        <f t="shared" si="11"/>
        <v>0</v>
      </c>
      <c r="DY27" s="141">
        <v>0</v>
      </c>
      <c r="DZ27" s="141">
        <v>1041901</v>
      </c>
      <c r="EA27" s="141">
        <v>0</v>
      </c>
      <c r="EB27" s="141">
        <v>826435</v>
      </c>
      <c r="EC27" s="74">
        <v>0</v>
      </c>
      <c r="ED27" s="141">
        <v>1041033</v>
      </c>
      <c r="EE27" s="141">
        <v>0</v>
      </c>
      <c r="EF27" s="141">
        <v>29006677</v>
      </c>
      <c r="EG27" s="71"/>
      <c r="EH27" s="141">
        <v>878999</v>
      </c>
      <c r="EI27" s="141">
        <v>76639</v>
      </c>
      <c r="EJ27" s="141">
        <v>802360</v>
      </c>
      <c r="EK27" s="141">
        <v>-366671</v>
      </c>
      <c r="EL27" s="141">
        <v>235415</v>
      </c>
      <c r="EM27" s="71"/>
      <c r="EN27" s="141">
        <v>68775</v>
      </c>
      <c r="EO27" s="141">
        <v>67226</v>
      </c>
      <c r="EP27" s="141">
        <v>0</v>
      </c>
      <c r="EQ27" s="141">
        <v>621468</v>
      </c>
      <c r="ER27" s="73">
        <f t="shared" si="12"/>
        <v>2725638</v>
      </c>
      <c r="ES27" s="141">
        <v>16849544</v>
      </c>
      <c r="ET27" s="141">
        <v>-3638456</v>
      </c>
      <c r="EU27" s="141">
        <v>4204529</v>
      </c>
      <c r="EV27" s="141">
        <v>2483997</v>
      </c>
      <c r="EW27" s="141">
        <v>1897779</v>
      </c>
      <c r="EX27" s="141">
        <v>2181026</v>
      </c>
      <c r="EY27" s="73">
        <f t="shared" si="13"/>
        <v>466313</v>
      </c>
      <c r="EZ27" s="141">
        <v>466313</v>
      </c>
      <c r="FA27" s="141">
        <v>49887</v>
      </c>
      <c r="FB27" s="141">
        <v>416426</v>
      </c>
      <c r="FC27" s="141">
        <v>0</v>
      </c>
      <c r="FD27" s="141">
        <v>0</v>
      </c>
      <c r="FE27" s="141">
        <v>2598029</v>
      </c>
      <c r="FF27" s="141">
        <v>4281722</v>
      </c>
      <c r="FG27" s="141">
        <v>1762858</v>
      </c>
      <c r="FH27" s="141">
        <v>2264090</v>
      </c>
      <c r="FI27" s="73">
        <f t="shared" si="14"/>
        <v>1715513</v>
      </c>
      <c r="FJ27" s="141">
        <v>19609001</v>
      </c>
      <c r="FK27" s="379">
        <f t="shared" si="15"/>
        <v>5.0999999999999996</v>
      </c>
      <c r="FL27" s="141">
        <v>15536327</v>
      </c>
      <c r="FM27" s="141">
        <v>301106</v>
      </c>
      <c r="FN27" s="141">
        <v>7975177</v>
      </c>
      <c r="FO27" s="141">
        <v>13428115</v>
      </c>
      <c r="FP27" s="390">
        <v>0.60199999999999998</v>
      </c>
      <c r="FQ27" s="380">
        <v>96.1</v>
      </c>
      <c r="FR27" s="381">
        <v>25.6</v>
      </c>
      <c r="FS27" s="380">
        <v>11.6</v>
      </c>
      <c r="FT27" s="380">
        <v>13.3</v>
      </c>
      <c r="FU27" s="381">
        <v>12.8</v>
      </c>
      <c r="FV27" s="380">
        <v>19.2</v>
      </c>
      <c r="FW27" s="382">
        <v>13</v>
      </c>
      <c r="FX27" s="383">
        <v>4.3</v>
      </c>
      <c r="FY27" s="141">
        <v>22165006</v>
      </c>
      <c r="FZ27" s="384">
        <f t="shared" si="16"/>
        <v>140</v>
      </c>
      <c r="GA27" s="141">
        <v>5665126</v>
      </c>
      <c r="GB27" s="141">
        <v>2901035</v>
      </c>
      <c r="GC27" s="141">
        <v>524340</v>
      </c>
      <c r="GD27" s="141">
        <v>2239751</v>
      </c>
      <c r="GE27" s="107">
        <v>0</v>
      </c>
      <c r="GF27" s="385">
        <v>258</v>
      </c>
      <c r="GG27" s="386">
        <f>IF(GF27=0,"-",ROUND(GF27/(GX27)*100,1))</f>
        <v>1.6</v>
      </c>
      <c r="GH27" s="380">
        <v>99.5</v>
      </c>
      <c r="GI27" s="380">
        <v>37.700000000000003</v>
      </c>
      <c r="GJ27" s="380">
        <v>98.7</v>
      </c>
      <c r="GK27" s="141">
        <v>412</v>
      </c>
      <c r="GL27" s="391" t="s">
        <v>646</v>
      </c>
      <c r="GM27" s="391">
        <v>12.72</v>
      </c>
      <c r="GN27" s="117">
        <v>20</v>
      </c>
      <c r="GO27" s="391" t="s">
        <v>646</v>
      </c>
      <c r="GP27" s="392">
        <v>17.72</v>
      </c>
      <c r="GQ27" s="387">
        <v>30</v>
      </c>
      <c r="GR27" s="381">
        <v>4.3</v>
      </c>
      <c r="GS27" s="388">
        <v>25</v>
      </c>
      <c r="GT27" s="388">
        <v>35</v>
      </c>
      <c r="GU27" s="393">
        <v>2.4</v>
      </c>
      <c r="GV27" s="388">
        <v>350</v>
      </c>
      <c r="GW27" s="394"/>
      <c r="GX27" s="100">
        <f t="shared" si="17"/>
        <v>15837</v>
      </c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  <c r="HW27" s="394"/>
      <c r="HX27" s="394"/>
    </row>
    <row r="28" spans="2:232" x14ac:dyDescent="0.15">
      <c r="B28" s="89" t="s">
        <v>45</v>
      </c>
      <c r="C28" s="141">
        <v>12691128</v>
      </c>
      <c r="D28" s="73">
        <f t="shared" si="0"/>
        <v>5344434</v>
      </c>
      <c r="E28" s="141">
        <v>179786</v>
      </c>
      <c r="F28" s="141">
        <v>5164648</v>
      </c>
      <c r="G28" s="73">
        <f t="shared" si="1"/>
        <v>598391</v>
      </c>
      <c r="H28" s="141">
        <v>217114</v>
      </c>
      <c r="I28" s="141">
        <v>381277</v>
      </c>
      <c r="J28" s="141">
        <v>4816329</v>
      </c>
      <c r="K28" s="141">
        <v>1969174</v>
      </c>
      <c r="L28" s="141">
        <v>2260878</v>
      </c>
      <c r="M28" s="141">
        <v>538677</v>
      </c>
      <c r="N28" s="141">
        <v>671404</v>
      </c>
      <c r="O28" s="141">
        <v>997982</v>
      </c>
      <c r="P28" s="141">
        <v>539429</v>
      </c>
      <c r="Q28" s="141">
        <v>458553</v>
      </c>
      <c r="R28" s="141">
        <v>193242</v>
      </c>
      <c r="S28" s="74"/>
      <c r="T28" s="73">
        <f t="shared" si="2"/>
        <v>2913959</v>
      </c>
      <c r="U28" s="141">
        <v>13317</v>
      </c>
      <c r="V28" s="141">
        <v>111026</v>
      </c>
      <c r="W28" s="141">
        <v>79309</v>
      </c>
      <c r="X28" s="141">
        <v>2466508</v>
      </c>
      <c r="Y28" s="141">
        <v>0</v>
      </c>
      <c r="Z28" s="141">
        <v>0</v>
      </c>
      <c r="AA28" s="141">
        <v>1413</v>
      </c>
      <c r="AB28" s="141">
        <v>42272</v>
      </c>
      <c r="AC28" s="141">
        <v>200114</v>
      </c>
      <c r="AD28" s="141">
        <v>131969</v>
      </c>
      <c r="AE28" s="141">
        <v>9334735</v>
      </c>
      <c r="AF28" s="141">
        <v>9154885</v>
      </c>
      <c r="AG28" s="141">
        <v>179850</v>
      </c>
      <c r="AH28" s="141">
        <v>13654</v>
      </c>
      <c r="AI28" s="141">
        <v>115298</v>
      </c>
      <c r="AJ28" s="73">
        <f t="shared" si="3"/>
        <v>448301</v>
      </c>
      <c r="AK28" s="141">
        <v>390437</v>
      </c>
      <c r="AL28" s="141">
        <v>57864</v>
      </c>
      <c r="AM28" s="141">
        <v>12174437</v>
      </c>
      <c r="AN28" s="73">
        <f t="shared" si="4"/>
        <v>5855942</v>
      </c>
      <c r="AO28" s="141">
        <v>3519038</v>
      </c>
      <c r="AP28" s="141">
        <v>809261</v>
      </c>
      <c r="AQ28" s="74"/>
      <c r="AR28" s="141">
        <v>1527643</v>
      </c>
      <c r="AS28" s="141">
        <v>655677</v>
      </c>
      <c r="AT28" s="141">
        <v>0</v>
      </c>
      <c r="AU28" s="141">
        <v>0</v>
      </c>
      <c r="AV28" s="141">
        <v>3579362</v>
      </c>
      <c r="AW28" s="141">
        <v>2302986</v>
      </c>
      <c r="AX28" s="141">
        <v>336222</v>
      </c>
      <c r="AY28" s="141">
        <v>36299</v>
      </c>
      <c r="AZ28" s="141">
        <v>1276376</v>
      </c>
      <c r="BA28" s="141">
        <v>1149</v>
      </c>
      <c r="BB28" s="141">
        <v>108200</v>
      </c>
      <c r="BC28" s="141">
        <v>92706</v>
      </c>
      <c r="BD28" s="141">
        <v>129691</v>
      </c>
      <c r="BE28" s="141">
        <v>284056</v>
      </c>
      <c r="BF28" s="141">
        <v>180000</v>
      </c>
      <c r="BG28" s="141">
        <v>0</v>
      </c>
      <c r="BH28" s="141">
        <v>103330</v>
      </c>
      <c r="BI28" s="141">
        <v>0</v>
      </c>
      <c r="BJ28" s="141">
        <v>569212</v>
      </c>
      <c r="BK28" s="141">
        <v>569212</v>
      </c>
      <c r="BL28" s="141">
        <v>298545</v>
      </c>
      <c r="BM28" s="141">
        <v>1606</v>
      </c>
      <c r="BN28" s="141">
        <v>0</v>
      </c>
      <c r="BO28" s="141">
        <v>0</v>
      </c>
      <c r="BP28" s="141">
        <v>1899500</v>
      </c>
      <c r="BQ28" s="73">
        <f t="shared" si="5"/>
        <v>1474900</v>
      </c>
      <c r="BR28" s="73">
        <f t="shared" si="6"/>
        <v>424600</v>
      </c>
      <c r="BS28" s="141">
        <v>0</v>
      </c>
      <c r="BT28" s="141">
        <v>0</v>
      </c>
      <c r="BU28" s="141">
        <v>424600</v>
      </c>
      <c r="BV28" s="141">
        <v>0</v>
      </c>
      <c r="BW28" s="141">
        <v>44885289</v>
      </c>
      <c r="BX28" s="71"/>
      <c r="BY28" s="141">
        <v>6582095</v>
      </c>
      <c r="BZ28" s="141">
        <v>3722872</v>
      </c>
      <c r="CA28" s="141">
        <v>369148</v>
      </c>
      <c r="CB28" s="141">
        <v>1272183</v>
      </c>
      <c r="CC28" s="141">
        <v>15119253</v>
      </c>
      <c r="CD28" s="141">
        <v>4693575</v>
      </c>
      <c r="CE28" s="141">
        <v>181633</v>
      </c>
      <c r="CF28" s="141">
        <v>5295731</v>
      </c>
      <c r="CG28" s="141">
        <v>4725574</v>
      </c>
      <c r="CH28" s="141">
        <v>0</v>
      </c>
      <c r="CI28" s="141">
        <v>222620</v>
      </c>
      <c r="CJ28" s="141">
        <v>3451183</v>
      </c>
      <c r="CK28" s="141">
        <v>3337561</v>
      </c>
      <c r="CL28" s="83">
        <f t="shared" si="7"/>
        <v>113622</v>
      </c>
      <c r="CM28" s="141">
        <v>5766497</v>
      </c>
      <c r="CN28" s="141">
        <v>4444319</v>
      </c>
      <c r="CO28" s="102"/>
      <c r="CP28" s="141">
        <v>681322</v>
      </c>
      <c r="CQ28" s="141">
        <v>112806</v>
      </c>
      <c r="CR28" s="141">
        <v>5430798</v>
      </c>
      <c r="CS28" s="141">
        <v>2097913</v>
      </c>
      <c r="CT28" s="141">
        <v>1036629</v>
      </c>
      <c r="CU28" s="141">
        <v>508712</v>
      </c>
      <c r="CV28" s="73">
        <f t="shared" si="8"/>
        <v>1525132</v>
      </c>
      <c r="CW28" s="141">
        <v>180435</v>
      </c>
      <c r="CX28" s="141">
        <v>1344697</v>
      </c>
      <c r="CY28" s="73">
        <f t="shared" si="9"/>
        <v>0</v>
      </c>
      <c r="CZ28" s="141">
        <v>0</v>
      </c>
      <c r="DA28" s="141">
        <v>0</v>
      </c>
      <c r="DB28" s="73">
        <f t="shared" si="10"/>
        <v>1521256</v>
      </c>
      <c r="DC28" s="141">
        <v>178019</v>
      </c>
      <c r="DD28" s="141">
        <v>1343237</v>
      </c>
      <c r="DE28" s="141">
        <v>2655420</v>
      </c>
      <c r="DF28" s="141">
        <v>1311271</v>
      </c>
      <c r="DG28" s="141">
        <v>1344149</v>
      </c>
      <c r="DH28" s="141">
        <v>0</v>
      </c>
      <c r="DI28" s="141">
        <v>0</v>
      </c>
      <c r="DJ28" s="141">
        <v>0</v>
      </c>
      <c r="DK28" s="141">
        <v>806018</v>
      </c>
      <c r="DL28" s="141">
        <v>284722</v>
      </c>
      <c r="DM28" s="141">
        <v>8</v>
      </c>
      <c r="DN28" s="141">
        <v>521288</v>
      </c>
      <c r="DO28" s="141">
        <v>5000</v>
      </c>
      <c r="DP28" s="141">
        <v>0</v>
      </c>
      <c r="DQ28" s="141">
        <v>0</v>
      </c>
      <c r="DR28" s="141">
        <v>0</v>
      </c>
      <c r="DS28" s="141">
        <v>0</v>
      </c>
      <c r="DT28" s="141">
        <v>0</v>
      </c>
      <c r="DU28" s="141">
        <v>0</v>
      </c>
      <c r="DV28" s="141">
        <v>4833015</v>
      </c>
      <c r="DW28" s="141">
        <v>0</v>
      </c>
      <c r="DX28" s="73">
        <f t="shared" si="11"/>
        <v>0</v>
      </c>
      <c r="DY28" s="141">
        <v>0</v>
      </c>
      <c r="DZ28" s="141">
        <v>1773391</v>
      </c>
      <c r="EA28" s="141">
        <v>0</v>
      </c>
      <c r="EB28" s="141">
        <v>1245306</v>
      </c>
      <c r="EC28" s="74">
        <v>0</v>
      </c>
      <c r="ED28" s="141">
        <v>1730868</v>
      </c>
      <c r="EE28" s="141">
        <v>0</v>
      </c>
      <c r="EF28" s="141">
        <v>44762085</v>
      </c>
      <c r="EG28" s="71"/>
      <c r="EH28" s="141">
        <v>123204</v>
      </c>
      <c r="EI28" s="141">
        <v>17461</v>
      </c>
      <c r="EJ28" s="141">
        <v>105743</v>
      </c>
      <c r="EK28" s="141">
        <v>-463469</v>
      </c>
      <c r="EL28" s="141">
        <v>-358747</v>
      </c>
      <c r="EM28" s="71"/>
      <c r="EN28" s="141">
        <v>108736</v>
      </c>
      <c r="EO28" s="141">
        <v>108961</v>
      </c>
      <c r="EP28" s="141">
        <v>180229</v>
      </c>
      <c r="EQ28" s="141">
        <v>16272</v>
      </c>
      <c r="ER28" s="73">
        <f t="shared" si="12"/>
        <v>2102761</v>
      </c>
      <c r="ES28" s="141">
        <v>25278687</v>
      </c>
      <c r="ET28" s="141">
        <v>-2710208</v>
      </c>
      <c r="EU28" s="141">
        <v>5843229</v>
      </c>
      <c r="EV28" s="141">
        <v>3381073</v>
      </c>
      <c r="EW28" s="141">
        <v>3974531</v>
      </c>
      <c r="EX28" s="141">
        <v>3439426</v>
      </c>
      <c r="EY28" s="73">
        <f t="shared" si="13"/>
        <v>475575</v>
      </c>
      <c r="EZ28" s="141">
        <v>475575</v>
      </c>
      <c r="FA28" s="141">
        <v>21927</v>
      </c>
      <c r="FB28" s="141">
        <v>453648</v>
      </c>
      <c r="FC28" s="141">
        <v>0</v>
      </c>
      <c r="FD28" s="141">
        <v>0</v>
      </c>
      <c r="FE28" s="141">
        <v>4580893</v>
      </c>
      <c r="FF28" s="141">
        <v>4945531</v>
      </c>
      <c r="FG28" s="141">
        <v>2097759</v>
      </c>
      <c r="FH28" s="141">
        <v>3786089</v>
      </c>
      <c r="FI28" s="73">
        <f t="shared" si="14"/>
        <v>820417</v>
      </c>
      <c r="FJ28" s="141">
        <v>27865691</v>
      </c>
      <c r="FK28" s="379">
        <f t="shared" si="15"/>
        <v>0.4</v>
      </c>
      <c r="FL28" s="141">
        <v>23688645</v>
      </c>
      <c r="FM28" s="141">
        <v>424748</v>
      </c>
      <c r="FN28" s="141">
        <v>11527970</v>
      </c>
      <c r="FO28" s="141">
        <v>20793196</v>
      </c>
      <c r="FP28" s="390">
        <v>0.55900000000000005</v>
      </c>
      <c r="FQ28" s="380">
        <v>97.9</v>
      </c>
      <c r="FR28" s="381">
        <v>23.5</v>
      </c>
      <c r="FS28" s="380">
        <v>15.4</v>
      </c>
      <c r="FT28" s="380">
        <v>13.9</v>
      </c>
      <c r="FU28" s="381">
        <v>15</v>
      </c>
      <c r="FV28" s="380">
        <v>15.5</v>
      </c>
      <c r="FW28" s="382">
        <v>14.2</v>
      </c>
      <c r="FX28" s="383">
        <v>3.7</v>
      </c>
      <c r="FY28" s="141">
        <v>34109755</v>
      </c>
      <c r="FZ28" s="384">
        <f t="shared" si="16"/>
        <v>141.5</v>
      </c>
      <c r="GA28" s="141">
        <v>8240328</v>
      </c>
      <c r="GB28" s="141">
        <v>4961408</v>
      </c>
      <c r="GC28" s="141">
        <v>591408</v>
      </c>
      <c r="GD28" s="141">
        <v>2687512</v>
      </c>
      <c r="GE28" s="107">
        <v>0</v>
      </c>
      <c r="GF28" s="385"/>
      <c r="GG28" s="386"/>
      <c r="GH28" s="380">
        <v>99.4</v>
      </c>
      <c r="GI28" s="380">
        <v>42.9</v>
      </c>
      <c r="GJ28" s="380">
        <v>98.8</v>
      </c>
      <c r="GK28" s="141">
        <v>605</v>
      </c>
      <c r="GL28" s="391" t="s">
        <v>646</v>
      </c>
      <c r="GM28" s="391">
        <v>12.14</v>
      </c>
      <c r="GN28" s="117">
        <v>20</v>
      </c>
      <c r="GO28" s="391" t="s">
        <v>646</v>
      </c>
      <c r="GP28" s="392">
        <v>17.14</v>
      </c>
      <c r="GQ28" s="387">
        <v>30</v>
      </c>
      <c r="GR28" s="381">
        <v>3.7</v>
      </c>
      <c r="GS28" s="388">
        <v>25</v>
      </c>
      <c r="GT28" s="388">
        <v>35</v>
      </c>
      <c r="GU28" s="393">
        <v>1.7</v>
      </c>
      <c r="GV28" s="388">
        <v>350</v>
      </c>
      <c r="GW28" s="394"/>
      <c r="GX28" s="100">
        <f t="shared" si="17"/>
        <v>24113</v>
      </c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  <c r="HW28" s="394"/>
      <c r="HX28" s="394"/>
    </row>
    <row r="29" spans="2:232" x14ac:dyDescent="0.15">
      <c r="B29" s="89" t="s">
        <v>47</v>
      </c>
      <c r="C29" s="141">
        <v>18268940</v>
      </c>
      <c r="D29" s="73">
        <f t="shared" si="0"/>
        <v>5740596</v>
      </c>
      <c r="E29" s="141">
        <v>193742</v>
      </c>
      <c r="F29" s="141">
        <v>5546854</v>
      </c>
      <c r="G29" s="73">
        <f t="shared" si="1"/>
        <v>1343839</v>
      </c>
      <c r="H29" s="141">
        <v>483972</v>
      </c>
      <c r="I29" s="141">
        <v>859867</v>
      </c>
      <c r="J29" s="141">
        <v>8137274</v>
      </c>
      <c r="K29" s="141">
        <v>3608372</v>
      </c>
      <c r="L29" s="141">
        <v>3342402</v>
      </c>
      <c r="M29" s="141">
        <v>1119935</v>
      </c>
      <c r="N29" s="141">
        <v>1209810</v>
      </c>
      <c r="O29" s="141">
        <v>1644909</v>
      </c>
      <c r="P29" s="141">
        <v>911122</v>
      </c>
      <c r="Q29" s="141">
        <v>733787</v>
      </c>
      <c r="R29" s="141">
        <v>188862</v>
      </c>
      <c r="S29" s="74"/>
      <c r="T29" s="73">
        <f t="shared" si="2"/>
        <v>3743204</v>
      </c>
      <c r="U29" s="141">
        <v>13888</v>
      </c>
      <c r="V29" s="141">
        <v>115839</v>
      </c>
      <c r="W29" s="141">
        <v>82800</v>
      </c>
      <c r="X29" s="141">
        <v>3056932</v>
      </c>
      <c r="Y29" s="141">
        <v>0</v>
      </c>
      <c r="Z29" s="141">
        <v>0</v>
      </c>
      <c r="AA29" s="141">
        <v>1375</v>
      </c>
      <c r="AB29" s="141">
        <v>41144</v>
      </c>
      <c r="AC29" s="141">
        <v>431226</v>
      </c>
      <c r="AD29" s="141">
        <v>100806</v>
      </c>
      <c r="AE29" s="141">
        <v>8203662</v>
      </c>
      <c r="AF29" s="141">
        <v>7827957</v>
      </c>
      <c r="AG29" s="141">
        <v>375705</v>
      </c>
      <c r="AH29" s="141">
        <v>16673</v>
      </c>
      <c r="AI29" s="141">
        <v>114325</v>
      </c>
      <c r="AJ29" s="73">
        <f t="shared" si="3"/>
        <v>1152653</v>
      </c>
      <c r="AK29" s="141">
        <v>923047</v>
      </c>
      <c r="AL29" s="141">
        <v>229606</v>
      </c>
      <c r="AM29" s="141">
        <v>21056582</v>
      </c>
      <c r="AN29" s="73">
        <f t="shared" si="4"/>
        <v>10986062</v>
      </c>
      <c r="AO29" s="141">
        <v>7377276</v>
      </c>
      <c r="AP29" s="141">
        <v>1255374</v>
      </c>
      <c r="AQ29" s="74"/>
      <c r="AR29" s="141">
        <v>2353412</v>
      </c>
      <c r="AS29" s="141">
        <v>735771</v>
      </c>
      <c r="AT29" s="141">
        <v>0</v>
      </c>
      <c r="AU29" s="141">
        <v>0</v>
      </c>
      <c r="AV29" s="141">
        <v>4408977</v>
      </c>
      <c r="AW29" s="141">
        <v>3036246</v>
      </c>
      <c r="AX29" s="141">
        <v>592491</v>
      </c>
      <c r="AY29" s="141">
        <v>83</v>
      </c>
      <c r="AZ29" s="141">
        <v>1372731</v>
      </c>
      <c r="BA29" s="141">
        <v>180850</v>
      </c>
      <c r="BB29" s="141">
        <v>250776</v>
      </c>
      <c r="BC29" s="141">
        <v>198336</v>
      </c>
      <c r="BD29" s="141">
        <v>1556161</v>
      </c>
      <c r="BE29" s="141">
        <v>299829</v>
      </c>
      <c r="BF29" s="141">
        <v>0</v>
      </c>
      <c r="BG29" s="141">
        <v>30167</v>
      </c>
      <c r="BH29" s="141">
        <v>269662</v>
      </c>
      <c r="BI29" s="141">
        <v>0</v>
      </c>
      <c r="BJ29" s="141">
        <v>731861</v>
      </c>
      <c r="BK29" s="141">
        <v>489095</v>
      </c>
      <c r="BL29" s="141">
        <v>613586</v>
      </c>
      <c r="BM29" s="141">
        <v>5000</v>
      </c>
      <c r="BN29" s="141">
        <v>0</v>
      </c>
      <c r="BO29" s="141">
        <v>0</v>
      </c>
      <c r="BP29" s="141">
        <v>4014691</v>
      </c>
      <c r="BQ29" s="73">
        <f t="shared" si="5"/>
        <v>3394500</v>
      </c>
      <c r="BR29" s="73">
        <f t="shared" si="6"/>
        <v>620191</v>
      </c>
      <c r="BS29" s="141">
        <v>0</v>
      </c>
      <c r="BT29" s="141">
        <v>0</v>
      </c>
      <c r="BU29" s="141">
        <v>620191</v>
      </c>
      <c r="BV29" s="141">
        <v>0</v>
      </c>
      <c r="BW29" s="141">
        <v>64721588</v>
      </c>
      <c r="BX29" s="71"/>
      <c r="BY29" s="141">
        <v>7086089</v>
      </c>
      <c r="BZ29" s="141">
        <v>4834898</v>
      </c>
      <c r="CA29" s="141">
        <v>276842</v>
      </c>
      <c r="CB29" s="141">
        <v>523561</v>
      </c>
      <c r="CC29" s="141">
        <v>22437180</v>
      </c>
      <c r="CD29" s="141">
        <v>6598431</v>
      </c>
      <c r="CE29" s="141">
        <v>46717</v>
      </c>
      <c r="CF29" s="141">
        <v>5296878</v>
      </c>
      <c r="CG29" s="141">
        <v>9732867</v>
      </c>
      <c r="CH29" s="141">
        <v>86506</v>
      </c>
      <c r="CI29" s="141">
        <v>675741</v>
      </c>
      <c r="CJ29" s="141">
        <v>4325324</v>
      </c>
      <c r="CK29" s="141">
        <v>4065019</v>
      </c>
      <c r="CL29" s="83">
        <f t="shared" si="7"/>
        <v>260305</v>
      </c>
      <c r="CM29" s="141">
        <v>9471970</v>
      </c>
      <c r="CN29" s="141">
        <v>7433548</v>
      </c>
      <c r="CO29" s="102"/>
      <c r="CP29" s="141">
        <v>936313</v>
      </c>
      <c r="CQ29" s="141">
        <v>198651</v>
      </c>
      <c r="CR29" s="141">
        <v>6077315</v>
      </c>
      <c r="CS29" s="141">
        <v>1809755</v>
      </c>
      <c r="CT29" s="141">
        <v>936627</v>
      </c>
      <c r="CU29" s="141">
        <v>524503</v>
      </c>
      <c r="CV29" s="73">
        <f t="shared" si="8"/>
        <v>1735268</v>
      </c>
      <c r="CW29" s="141">
        <v>1560792</v>
      </c>
      <c r="CX29" s="141">
        <v>174476</v>
      </c>
      <c r="CY29" s="73">
        <f t="shared" si="9"/>
        <v>0</v>
      </c>
      <c r="CZ29" s="141">
        <v>0</v>
      </c>
      <c r="DA29" s="141">
        <v>0</v>
      </c>
      <c r="DB29" s="73">
        <f t="shared" si="10"/>
        <v>1706835</v>
      </c>
      <c r="DC29" s="141">
        <v>1541211</v>
      </c>
      <c r="DD29" s="141">
        <v>165624</v>
      </c>
      <c r="DE29" s="141">
        <v>7303806</v>
      </c>
      <c r="DF29" s="141">
        <v>5384579</v>
      </c>
      <c r="DG29" s="141">
        <v>1763953</v>
      </c>
      <c r="DH29" s="141">
        <v>0</v>
      </c>
      <c r="DI29" s="141">
        <v>155274</v>
      </c>
      <c r="DJ29" s="141">
        <v>0</v>
      </c>
      <c r="DK29" s="141">
        <v>1771017</v>
      </c>
      <c r="DL29" s="141">
        <v>489719</v>
      </c>
      <c r="DM29" s="141">
        <v>149</v>
      </c>
      <c r="DN29" s="141">
        <v>1281149</v>
      </c>
      <c r="DO29" s="141">
        <v>0</v>
      </c>
      <c r="DP29" s="141">
        <v>0</v>
      </c>
      <c r="DQ29" s="141">
        <v>0</v>
      </c>
      <c r="DR29" s="141">
        <v>0</v>
      </c>
      <c r="DS29" s="141">
        <v>5000</v>
      </c>
      <c r="DT29" s="141">
        <v>0</v>
      </c>
      <c r="DU29" s="141">
        <v>0</v>
      </c>
      <c r="DV29" s="141">
        <v>5762234</v>
      </c>
      <c r="DW29" s="141">
        <v>0</v>
      </c>
      <c r="DX29" s="73">
        <f t="shared" si="11"/>
        <v>0</v>
      </c>
      <c r="DY29" s="141">
        <v>0</v>
      </c>
      <c r="DZ29" s="141">
        <v>1919842</v>
      </c>
      <c r="EA29" s="141">
        <v>0</v>
      </c>
      <c r="EB29" s="141">
        <v>1672182</v>
      </c>
      <c r="EC29" s="74">
        <v>0</v>
      </c>
      <c r="ED29" s="141">
        <v>2170210</v>
      </c>
      <c r="EE29" s="141">
        <v>0</v>
      </c>
      <c r="EF29" s="141">
        <v>64438586</v>
      </c>
      <c r="EG29" s="71"/>
      <c r="EH29" s="141">
        <v>283002</v>
      </c>
      <c r="EI29" s="141">
        <v>147804</v>
      </c>
      <c r="EJ29" s="141">
        <v>135198</v>
      </c>
      <c r="EK29" s="141">
        <v>-353897</v>
      </c>
      <c r="EL29" s="141">
        <v>165990</v>
      </c>
      <c r="EM29" s="71"/>
      <c r="EN29" s="141">
        <v>119764</v>
      </c>
      <c r="EO29" s="141">
        <v>117937</v>
      </c>
      <c r="EP29" s="141">
        <v>121481</v>
      </c>
      <c r="EQ29" s="141">
        <v>249504</v>
      </c>
      <c r="ER29" s="73">
        <f t="shared" si="12"/>
        <v>3232196</v>
      </c>
      <c r="ES29" s="141">
        <v>30522147</v>
      </c>
      <c r="ET29" s="141">
        <v>-4206699</v>
      </c>
      <c r="EU29" s="141">
        <v>6567739</v>
      </c>
      <c r="EV29" s="141">
        <v>4529079</v>
      </c>
      <c r="EW29" s="141">
        <v>5716218</v>
      </c>
      <c r="EX29" s="141">
        <v>4325324</v>
      </c>
      <c r="EY29" s="73">
        <f t="shared" si="13"/>
        <v>795065</v>
      </c>
      <c r="EZ29" s="141">
        <v>795065</v>
      </c>
      <c r="FA29" s="141">
        <v>99846</v>
      </c>
      <c r="FB29" s="141">
        <v>695216</v>
      </c>
      <c r="FC29" s="141">
        <v>0</v>
      </c>
      <c r="FD29" s="141">
        <v>0</v>
      </c>
      <c r="FE29" s="141">
        <v>5628592</v>
      </c>
      <c r="FF29" s="141">
        <v>5413850</v>
      </c>
      <c r="FG29" s="141">
        <v>1808876</v>
      </c>
      <c r="FH29" s="141">
        <v>4295816</v>
      </c>
      <c r="FI29" s="73">
        <f t="shared" si="14"/>
        <v>1703240</v>
      </c>
      <c r="FJ29" s="141">
        <v>34445844</v>
      </c>
      <c r="FK29" s="379">
        <f t="shared" si="15"/>
        <v>0.5</v>
      </c>
      <c r="FL29" s="141">
        <v>27480099</v>
      </c>
      <c r="FM29" s="141">
        <v>620191</v>
      </c>
      <c r="FN29" s="141">
        <v>15453136</v>
      </c>
      <c r="FO29" s="141">
        <v>23390640</v>
      </c>
      <c r="FP29" s="390">
        <v>0.67900000000000005</v>
      </c>
      <c r="FQ29" s="380">
        <v>97.8</v>
      </c>
      <c r="FR29" s="381">
        <v>21.8</v>
      </c>
      <c r="FS29" s="380">
        <v>19.5</v>
      </c>
      <c r="FT29" s="380">
        <v>14.6</v>
      </c>
      <c r="FU29" s="381">
        <v>13.6</v>
      </c>
      <c r="FV29" s="380">
        <v>14.3</v>
      </c>
      <c r="FW29" s="382">
        <v>13.6</v>
      </c>
      <c r="FX29" s="383">
        <v>3.9</v>
      </c>
      <c r="FY29" s="141">
        <v>52075705</v>
      </c>
      <c r="FZ29" s="384">
        <f t="shared" si="16"/>
        <v>185.3</v>
      </c>
      <c r="GA29" s="141">
        <v>9738333</v>
      </c>
      <c r="GB29" s="141">
        <v>2784858</v>
      </c>
      <c r="GC29" s="141">
        <v>751902</v>
      </c>
      <c r="GD29" s="141">
        <v>6201573</v>
      </c>
      <c r="GE29" s="107">
        <v>0</v>
      </c>
      <c r="GF29" s="385"/>
      <c r="GG29" s="386"/>
      <c r="GH29" s="380">
        <v>99.1</v>
      </c>
      <c r="GI29" s="380">
        <v>34</v>
      </c>
      <c r="GJ29" s="380">
        <v>97.8</v>
      </c>
      <c r="GK29" s="141">
        <v>738</v>
      </c>
      <c r="GL29" s="391" t="s">
        <v>646</v>
      </c>
      <c r="GM29" s="391">
        <v>11.9</v>
      </c>
      <c r="GN29" s="117">
        <v>20</v>
      </c>
      <c r="GO29" s="391" t="s">
        <v>646</v>
      </c>
      <c r="GP29" s="392">
        <v>16.899999999999999</v>
      </c>
      <c r="GQ29" s="387">
        <v>30</v>
      </c>
      <c r="GR29" s="381">
        <v>3.9</v>
      </c>
      <c r="GS29" s="388">
        <v>25</v>
      </c>
      <c r="GT29" s="388">
        <v>35</v>
      </c>
      <c r="GU29" s="393">
        <v>13.4</v>
      </c>
      <c r="GV29" s="388">
        <v>350</v>
      </c>
      <c r="GW29" s="394"/>
      <c r="GX29" s="100">
        <f t="shared" si="17"/>
        <v>28100</v>
      </c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  <c r="HW29" s="394"/>
      <c r="HX29" s="394"/>
    </row>
    <row r="30" spans="2:232" x14ac:dyDescent="0.15">
      <c r="B30" s="89" t="s">
        <v>49</v>
      </c>
      <c r="C30" s="141">
        <v>18521051</v>
      </c>
      <c r="D30" s="73">
        <f t="shared" si="0"/>
        <v>5000272</v>
      </c>
      <c r="E30" s="141">
        <v>153169</v>
      </c>
      <c r="F30" s="141">
        <v>4847103</v>
      </c>
      <c r="G30" s="73">
        <f t="shared" si="1"/>
        <v>1822698</v>
      </c>
      <c r="H30" s="141">
        <v>371735</v>
      </c>
      <c r="I30" s="141">
        <v>1450963</v>
      </c>
      <c r="J30" s="141">
        <v>9074200</v>
      </c>
      <c r="K30" s="141">
        <v>4066180</v>
      </c>
      <c r="L30" s="141">
        <v>2950961</v>
      </c>
      <c r="M30" s="141">
        <v>1990072</v>
      </c>
      <c r="N30" s="141">
        <v>792736</v>
      </c>
      <c r="O30" s="141">
        <v>1678192</v>
      </c>
      <c r="P30" s="141">
        <v>1017506</v>
      </c>
      <c r="Q30" s="141">
        <v>660686</v>
      </c>
      <c r="R30" s="141">
        <v>159475</v>
      </c>
      <c r="S30" s="74"/>
      <c r="T30" s="73">
        <f t="shared" si="2"/>
        <v>2807079</v>
      </c>
      <c r="U30" s="141">
        <v>11692</v>
      </c>
      <c r="V30" s="141">
        <v>97973</v>
      </c>
      <c r="W30" s="141">
        <v>70403</v>
      </c>
      <c r="X30" s="141">
        <v>2219285</v>
      </c>
      <c r="Y30" s="141">
        <v>2083</v>
      </c>
      <c r="Z30" s="141">
        <v>0</v>
      </c>
      <c r="AA30" s="141">
        <v>1172</v>
      </c>
      <c r="AB30" s="141">
        <v>35080</v>
      </c>
      <c r="AC30" s="141">
        <v>369391</v>
      </c>
      <c r="AD30" s="141">
        <v>130192</v>
      </c>
      <c r="AE30" s="141">
        <v>1432254</v>
      </c>
      <c r="AF30" s="141">
        <v>1242497</v>
      </c>
      <c r="AG30" s="141">
        <v>189757</v>
      </c>
      <c r="AH30" s="141">
        <v>12565</v>
      </c>
      <c r="AI30" s="141">
        <v>490767</v>
      </c>
      <c r="AJ30" s="73">
        <f t="shared" si="3"/>
        <v>495890</v>
      </c>
      <c r="AK30" s="141">
        <v>380179</v>
      </c>
      <c r="AL30" s="141">
        <v>115711</v>
      </c>
      <c r="AM30" s="141">
        <v>10134604</v>
      </c>
      <c r="AN30" s="73">
        <f t="shared" si="4"/>
        <v>4361918</v>
      </c>
      <c r="AO30" s="141">
        <v>2051850</v>
      </c>
      <c r="AP30" s="141">
        <v>1378281</v>
      </c>
      <c r="AQ30" s="74"/>
      <c r="AR30" s="141">
        <v>931787</v>
      </c>
      <c r="AS30" s="141">
        <v>154409</v>
      </c>
      <c r="AT30" s="141">
        <v>0</v>
      </c>
      <c r="AU30" s="141">
        <v>0</v>
      </c>
      <c r="AV30" s="141">
        <v>4848875</v>
      </c>
      <c r="AW30" s="141">
        <v>4207087</v>
      </c>
      <c r="AX30" s="141">
        <v>611910</v>
      </c>
      <c r="AY30" s="141">
        <v>63706</v>
      </c>
      <c r="AZ30" s="141">
        <v>641788</v>
      </c>
      <c r="BA30" s="141">
        <v>8426</v>
      </c>
      <c r="BB30" s="141">
        <v>135872</v>
      </c>
      <c r="BC30" s="141">
        <v>100849</v>
      </c>
      <c r="BD30" s="141">
        <v>21525</v>
      </c>
      <c r="BE30" s="141">
        <v>446280</v>
      </c>
      <c r="BF30" s="141">
        <v>400000</v>
      </c>
      <c r="BG30" s="141">
        <v>0</v>
      </c>
      <c r="BH30" s="141">
        <v>8794</v>
      </c>
      <c r="BI30" s="141">
        <v>0</v>
      </c>
      <c r="BJ30" s="141">
        <v>651529</v>
      </c>
      <c r="BK30" s="141">
        <v>534313</v>
      </c>
      <c r="BL30" s="141">
        <v>990419</v>
      </c>
      <c r="BM30" s="141">
        <v>201540</v>
      </c>
      <c r="BN30" s="141">
        <v>0</v>
      </c>
      <c r="BO30" s="141">
        <v>0</v>
      </c>
      <c r="BP30" s="141">
        <v>2504280</v>
      </c>
      <c r="BQ30" s="73">
        <f t="shared" si="5"/>
        <v>2104800</v>
      </c>
      <c r="BR30" s="73">
        <f t="shared" si="6"/>
        <v>399480</v>
      </c>
      <c r="BS30" s="141">
        <v>0</v>
      </c>
      <c r="BT30" s="141">
        <v>0</v>
      </c>
      <c r="BU30" s="141">
        <v>399480</v>
      </c>
      <c r="BV30" s="141">
        <v>0</v>
      </c>
      <c r="BW30" s="141">
        <v>43782657</v>
      </c>
      <c r="BX30" s="71"/>
      <c r="BY30" s="141">
        <v>6228413</v>
      </c>
      <c r="BZ30" s="141">
        <v>3682768</v>
      </c>
      <c r="CA30" s="141">
        <v>310515</v>
      </c>
      <c r="CB30" s="141">
        <v>1017311</v>
      </c>
      <c r="CC30" s="141">
        <v>12607242</v>
      </c>
      <c r="CD30" s="141">
        <v>3498897</v>
      </c>
      <c r="CE30" s="141">
        <v>47869</v>
      </c>
      <c r="CF30" s="141">
        <v>5974719</v>
      </c>
      <c r="CG30" s="141">
        <v>2720685</v>
      </c>
      <c r="CH30" s="141">
        <v>85266</v>
      </c>
      <c r="CI30" s="141">
        <v>279806</v>
      </c>
      <c r="CJ30" s="141">
        <v>1974557</v>
      </c>
      <c r="CK30" s="141">
        <v>1875344</v>
      </c>
      <c r="CL30" s="83">
        <f t="shared" si="7"/>
        <v>99213</v>
      </c>
      <c r="CM30" s="141">
        <v>6163739</v>
      </c>
      <c r="CN30" s="141">
        <v>4737268</v>
      </c>
      <c r="CO30" s="102"/>
      <c r="CP30" s="141">
        <v>942140</v>
      </c>
      <c r="CQ30" s="141">
        <v>480635</v>
      </c>
      <c r="CR30" s="141">
        <v>5161065</v>
      </c>
      <c r="CS30" s="141">
        <v>7022</v>
      </c>
      <c r="CT30" s="141">
        <v>2179504</v>
      </c>
      <c r="CU30" s="141">
        <v>1073095</v>
      </c>
      <c r="CV30" s="73">
        <f t="shared" si="8"/>
        <v>1876218</v>
      </c>
      <c r="CW30" s="141">
        <v>756041</v>
      </c>
      <c r="CX30" s="141">
        <v>1120177</v>
      </c>
      <c r="CY30" s="73">
        <f t="shared" si="9"/>
        <v>0</v>
      </c>
      <c r="CZ30" s="141">
        <v>0</v>
      </c>
      <c r="DA30" s="141">
        <v>0</v>
      </c>
      <c r="DB30" s="73">
        <f t="shared" si="10"/>
        <v>1873628</v>
      </c>
      <c r="DC30" s="141">
        <v>755289</v>
      </c>
      <c r="DD30" s="141">
        <v>1118339</v>
      </c>
      <c r="DE30" s="141">
        <v>6643186</v>
      </c>
      <c r="DF30" s="141">
        <v>4705318</v>
      </c>
      <c r="DG30" s="141">
        <v>1562868</v>
      </c>
      <c r="DH30" s="141">
        <v>375000</v>
      </c>
      <c r="DI30" s="141">
        <v>0</v>
      </c>
      <c r="DJ30" s="141">
        <v>0</v>
      </c>
      <c r="DK30" s="141">
        <v>299771</v>
      </c>
      <c r="DL30" s="141">
        <v>274912</v>
      </c>
      <c r="DM30" s="141">
        <v>435</v>
      </c>
      <c r="DN30" s="141">
        <v>24424</v>
      </c>
      <c r="DO30" s="141">
        <v>0</v>
      </c>
      <c r="DP30" s="141">
        <v>0</v>
      </c>
      <c r="DQ30" s="141">
        <v>0</v>
      </c>
      <c r="DR30" s="141">
        <v>0</v>
      </c>
      <c r="DS30" s="141">
        <v>200000</v>
      </c>
      <c r="DT30" s="141">
        <v>0</v>
      </c>
      <c r="DU30" s="141">
        <v>0</v>
      </c>
      <c r="DV30" s="141">
        <v>3178199</v>
      </c>
      <c r="DW30" s="141">
        <v>0</v>
      </c>
      <c r="DX30" s="73">
        <f t="shared" si="11"/>
        <v>0</v>
      </c>
      <c r="DY30" s="141">
        <v>0</v>
      </c>
      <c r="DZ30" s="141">
        <v>1126486</v>
      </c>
      <c r="EA30" s="141">
        <v>24589</v>
      </c>
      <c r="EB30" s="141">
        <v>830390</v>
      </c>
      <c r="EC30" s="74">
        <v>0</v>
      </c>
      <c r="ED30" s="141">
        <v>1196734</v>
      </c>
      <c r="EE30" s="141">
        <v>0</v>
      </c>
      <c r="EF30" s="141">
        <v>42936807</v>
      </c>
      <c r="EG30" s="71"/>
      <c r="EH30" s="141">
        <v>845850</v>
      </c>
      <c r="EI30" s="141">
        <v>875508</v>
      </c>
      <c r="EJ30" s="141">
        <v>-29658</v>
      </c>
      <c r="EK30" s="141">
        <v>-563971</v>
      </c>
      <c r="EL30" s="141">
        <v>-689059</v>
      </c>
      <c r="EM30" s="71"/>
      <c r="EN30" s="141">
        <v>87456</v>
      </c>
      <c r="EO30" s="141">
        <v>86457</v>
      </c>
      <c r="EP30" s="141">
        <v>437487</v>
      </c>
      <c r="EQ30" s="141">
        <v>134994</v>
      </c>
      <c r="ER30" s="73">
        <f t="shared" si="12"/>
        <v>1843408</v>
      </c>
      <c r="ES30" s="141">
        <v>23062616</v>
      </c>
      <c r="ET30" s="141">
        <v>-2802804</v>
      </c>
      <c r="EU30" s="141">
        <v>5705291</v>
      </c>
      <c r="EV30" s="141">
        <v>3358315</v>
      </c>
      <c r="EW30" s="141">
        <v>3416446</v>
      </c>
      <c r="EX30" s="141">
        <v>1916425</v>
      </c>
      <c r="EY30" s="73">
        <f t="shared" si="13"/>
        <v>1252840</v>
      </c>
      <c r="EZ30" s="141">
        <v>1252840</v>
      </c>
      <c r="FA30" s="141">
        <v>632813</v>
      </c>
      <c r="FB30" s="141">
        <v>613247</v>
      </c>
      <c r="FC30" s="141">
        <v>0</v>
      </c>
      <c r="FD30" s="141">
        <v>0</v>
      </c>
      <c r="FE30" s="141">
        <v>4811700</v>
      </c>
      <c r="FF30" s="141">
        <v>4720173</v>
      </c>
      <c r="FG30" s="141">
        <v>7022</v>
      </c>
      <c r="FH30" s="141">
        <v>2449590</v>
      </c>
      <c r="FI30" s="73">
        <f t="shared" si="14"/>
        <v>747105</v>
      </c>
      <c r="FJ30" s="141">
        <v>25019570</v>
      </c>
      <c r="FK30" s="379">
        <f t="shared" si="15"/>
        <v>-0.1</v>
      </c>
      <c r="FL30" s="141">
        <v>19845245</v>
      </c>
      <c r="FM30" s="141">
        <v>399480</v>
      </c>
      <c r="FN30" s="141">
        <v>14495633</v>
      </c>
      <c r="FO30" s="141">
        <v>15750974</v>
      </c>
      <c r="FP30" s="390">
        <v>0.95099999999999996</v>
      </c>
      <c r="FQ30" s="380">
        <v>93.6</v>
      </c>
      <c r="FR30" s="381">
        <v>26.2</v>
      </c>
      <c r="FS30" s="380">
        <v>15.7</v>
      </c>
      <c r="FT30" s="380">
        <v>8.8000000000000007</v>
      </c>
      <c r="FU30" s="381">
        <v>19.600000000000001</v>
      </c>
      <c r="FV30" s="380">
        <v>10.4</v>
      </c>
      <c r="FW30" s="382">
        <v>10.9</v>
      </c>
      <c r="FX30" s="383">
        <v>-0.7</v>
      </c>
      <c r="FY30" s="141">
        <v>20419921</v>
      </c>
      <c r="FZ30" s="384">
        <f t="shared" si="16"/>
        <v>100.9</v>
      </c>
      <c r="GA30" s="141">
        <v>14325950</v>
      </c>
      <c r="GB30" s="141">
        <v>7397118</v>
      </c>
      <c r="GC30" s="141">
        <v>1637076</v>
      </c>
      <c r="GD30" s="141">
        <v>5291756</v>
      </c>
      <c r="GE30" s="107">
        <v>0</v>
      </c>
      <c r="GF30" s="385">
        <v>0</v>
      </c>
      <c r="GG30" s="384">
        <f>ROUND(GF30/(FL30+FM30)*100,1)</f>
        <v>0</v>
      </c>
      <c r="GH30" s="380">
        <v>99.3</v>
      </c>
      <c r="GI30" s="380">
        <v>46.5</v>
      </c>
      <c r="GJ30" s="380">
        <v>98.5</v>
      </c>
      <c r="GK30" s="141">
        <v>569</v>
      </c>
      <c r="GL30" s="391">
        <v>0.14000000000000001</v>
      </c>
      <c r="GM30" s="391">
        <v>12.47</v>
      </c>
      <c r="GN30" s="117">
        <v>20</v>
      </c>
      <c r="GO30" s="391" t="s">
        <v>646</v>
      </c>
      <c r="GP30" s="392">
        <v>17.47</v>
      </c>
      <c r="GQ30" s="387">
        <v>30</v>
      </c>
      <c r="GR30" s="381">
        <v>-0.7</v>
      </c>
      <c r="GS30" s="388">
        <v>25</v>
      </c>
      <c r="GT30" s="388">
        <v>35</v>
      </c>
      <c r="GU30" s="393" t="s">
        <v>646</v>
      </c>
      <c r="GV30" s="388">
        <v>350</v>
      </c>
      <c r="GW30" s="394"/>
      <c r="GX30" s="100">
        <f t="shared" si="17"/>
        <v>20245</v>
      </c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  <c r="HW30" s="394"/>
      <c r="HX30" s="394"/>
    </row>
    <row r="31" spans="2:232" x14ac:dyDescent="0.15">
      <c r="B31" s="89" t="s">
        <v>51</v>
      </c>
      <c r="C31" s="141">
        <v>10410839</v>
      </c>
      <c r="D31" s="73">
        <f t="shared" si="0"/>
        <v>3323227</v>
      </c>
      <c r="E31" s="141">
        <v>94978</v>
      </c>
      <c r="F31" s="141">
        <v>3228249</v>
      </c>
      <c r="G31" s="73">
        <f t="shared" si="1"/>
        <v>535319</v>
      </c>
      <c r="H31" s="141">
        <v>165178</v>
      </c>
      <c r="I31" s="141">
        <v>370141</v>
      </c>
      <c r="J31" s="141">
        <v>5151869</v>
      </c>
      <c r="K31" s="141">
        <v>2275197</v>
      </c>
      <c r="L31" s="141">
        <v>1498559</v>
      </c>
      <c r="M31" s="141">
        <v>1316324</v>
      </c>
      <c r="N31" s="141">
        <v>380683</v>
      </c>
      <c r="O31" s="141">
        <v>930684</v>
      </c>
      <c r="P31" s="141">
        <v>590612</v>
      </c>
      <c r="Q31" s="141">
        <v>340072</v>
      </c>
      <c r="R31" s="141">
        <v>136305</v>
      </c>
      <c r="S31" s="74"/>
      <c r="T31" s="73">
        <f t="shared" si="2"/>
        <v>1539286</v>
      </c>
      <c r="U31" s="141">
        <v>8077</v>
      </c>
      <c r="V31" s="141">
        <v>67452</v>
      </c>
      <c r="W31" s="141">
        <v>48274</v>
      </c>
      <c r="X31" s="141">
        <v>1273323</v>
      </c>
      <c r="Y31" s="141">
        <v>0</v>
      </c>
      <c r="Z31" s="141">
        <v>0</v>
      </c>
      <c r="AA31" s="141">
        <v>697</v>
      </c>
      <c r="AB31" s="141">
        <v>20859</v>
      </c>
      <c r="AC31" s="141">
        <v>120604</v>
      </c>
      <c r="AD31" s="141">
        <v>66121</v>
      </c>
      <c r="AE31" s="141">
        <v>2731232</v>
      </c>
      <c r="AF31" s="141">
        <v>2597877</v>
      </c>
      <c r="AG31" s="141">
        <v>133355</v>
      </c>
      <c r="AH31" s="141">
        <v>6923</v>
      </c>
      <c r="AI31" s="141">
        <v>1959</v>
      </c>
      <c r="AJ31" s="73">
        <f t="shared" si="3"/>
        <v>251063</v>
      </c>
      <c r="AK31" s="141">
        <v>195282</v>
      </c>
      <c r="AL31" s="141">
        <v>55781</v>
      </c>
      <c r="AM31" s="141">
        <v>6328792</v>
      </c>
      <c r="AN31" s="73">
        <f t="shared" si="4"/>
        <v>2854125</v>
      </c>
      <c r="AO31" s="141">
        <v>1336902</v>
      </c>
      <c r="AP31" s="141">
        <v>836560</v>
      </c>
      <c r="AQ31" s="74"/>
      <c r="AR31" s="141">
        <v>680663</v>
      </c>
      <c r="AS31" s="141">
        <v>64640</v>
      </c>
      <c r="AT31" s="141">
        <v>0</v>
      </c>
      <c r="AU31" s="141">
        <v>0</v>
      </c>
      <c r="AV31" s="141">
        <v>2108679</v>
      </c>
      <c r="AW31" s="141">
        <v>1626002</v>
      </c>
      <c r="AX31" s="141">
        <v>366318</v>
      </c>
      <c r="AY31" s="141">
        <v>137</v>
      </c>
      <c r="AZ31" s="141">
        <v>482677</v>
      </c>
      <c r="BA31" s="141">
        <v>462</v>
      </c>
      <c r="BB31" s="141">
        <v>85757</v>
      </c>
      <c r="BC31" s="141">
        <v>24274</v>
      </c>
      <c r="BD31" s="141">
        <v>21586</v>
      </c>
      <c r="BE31" s="141">
        <v>236424</v>
      </c>
      <c r="BF31" s="141">
        <v>12639</v>
      </c>
      <c r="BG31" s="141">
        <v>0</v>
      </c>
      <c r="BH31" s="141">
        <v>200767</v>
      </c>
      <c r="BI31" s="141">
        <v>0</v>
      </c>
      <c r="BJ31" s="141">
        <v>1235576</v>
      </c>
      <c r="BK31" s="141">
        <v>1185601</v>
      </c>
      <c r="BL31" s="141">
        <v>543066</v>
      </c>
      <c r="BM31" s="141">
        <v>11926</v>
      </c>
      <c r="BN31" s="141">
        <v>0</v>
      </c>
      <c r="BO31" s="141">
        <v>0</v>
      </c>
      <c r="BP31" s="141">
        <v>1562900</v>
      </c>
      <c r="BQ31" s="73">
        <f t="shared" si="5"/>
        <v>1202500</v>
      </c>
      <c r="BR31" s="73">
        <f t="shared" si="6"/>
        <v>360400</v>
      </c>
      <c r="BS31" s="141">
        <v>0</v>
      </c>
      <c r="BT31" s="141">
        <v>0</v>
      </c>
      <c r="BU31" s="141">
        <v>360400</v>
      </c>
      <c r="BV31" s="141">
        <v>0</v>
      </c>
      <c r="BW31" s="141">
        <v>27266508</v>
      </c>
      <c r="BX31" s="71"/>
      <c r="BY31" s="141">
        <v>3296129</v>
      </c>
      <c r="BZ31" s="141">
        <v>1802985</v>
      </c>
      <c r="CA31" s="141">
        <v>166961</v>
      </c>
      <c r="CB31" s="141">
        <v>630467</v>
      </c>
      <c r="CC31" s="141">
        <v>7576748</v>
      </c>
      <c r="CD31" s="141">
        <v>2481189</v>
      </c>
      <c r="CE31" s="141">
        <v>2300</v>
      </c>
      <c r="CF31" s="141">
        <v>2882792</v>
      </c>
      <c r="CG31" s="141">
        <v>1755103</v>
      </c>
      <c r="CH31" s="141">
        <v>39528</v>
      </c>
      <c r="CI31" s="141">
        <v>415646</v>
      </c>
      <c r="CJ31" s="141">
        <v>3035059</v>
      </c>
      <c r="CK31" s="141">
        <v>2821228</v>
      </c>
      <c r="CL31" s="83">
        <f t="shared" si="7"/>
        <v>213831</v>
      </c>
      <c r="CM31" s="141">
        <v>3562663</v>
      </c>
      <c r="CN31" s="141">
        <v>2531786</v>
      </c>
      <c r="CO31" s="102"/>
      <c r="CP31" s="141">
        <v>613135</v>
      </c>
      <c r="CQ31" s="141">
        <v>103093</v>
      </c>
      <c r="CR31" s="141">
        <v>3630113</v>
      </c>
      <c r="CS31" s="141">
        <v>234936</v>
      </c>
      <c r="CT31" s="141">
        <v>55812</v>
      </c>
      <c r="CU31" s="141">
        <v>23236</v>
      </c>
      <c r="CV31" s="73">
        <f t="shared" si="8"/>
        <v>898348</v>
      </c>
      <c r="CW31" s="141">
        <v>676798</v>
      </c>
      <c r="CX31" s="141">
        <v>221550</v>
      </c>
      <c r="CY31" s="73">
        <f t="shared" si="9"/>
        <v>0</v>
      </c>
      <c r="CZ31" s="141">
        <v>0</v>
      </c>
      <c r="DA31" s="141">
        <v>0</v>
      </c>
      <c r="DB31" s="73">
        <f t="shared" si="10"/>
        <v>874616</v>
      </c>
      <c r="DC31" s="141">
        <v>669000</v>
      </c>
      <c r="DD31" s="141">
        <v>205616</v>
      </c>
      <c r="DE31" s="141">
        <v>2152366</v>
      </c>
      <c r="DF31" s="141">
        <v>1024415</v>
      </c>
      <c r="DG31" s="141">
        <v>668329</v>
      </c>
      <c r="DH31" s="141">
        <v>418681</v>
      </c>
      <c r="DI31" s="141">
        <v>40941</v>
      </c>
      <c r="DJ31" s="141">
        <v>0</v>
      </c>
      <c r="DK31" s="141">
        <v>675664</v>
      </c>
      <c r="DL31" s="141">
        <v>610912</v>
      </c>
      <c r="DM31" s="141">
        <v>0</v>
      </c>
      <c r="DN31" s="141">
        <v>64752</v>
      </c>
      <c r="DO31" s="141">
        <v>0</v>
      </c>
      <c r="DP31" s="141">
        <v>0</v>
      </c>
      <c r="DQ31" s="141">
        <v>0</v>
      </c>
      <c r="DR31" s="141">
        <v>0</v>
      </c>
      <c r="DS31" s="141">
        <v>2110</v>
      </c>
      <c r="DT31" s="141">
        <v>0</v>
      </c>
      <c r="DU31" s="141">
        <v>0</v>
      </c>
      <c r="DV31" s="141">
        <v>2292013</v>
      </c>
      <c r="DW31" s="141">
        <v>0</v>
      </c>
      <c r="DX31" s="73">
        <f t="shared" si="11"/>
        <v>0</v>
      </c>
      <c r="DY31" s="141">
        <v>0</v>
      </c>
      <c r="DZ31" s="141">
        <v>903907</v>
      </c>
      <c r="EA31" s="141">
        <v>0</v>
      </c>
      <c r="EB31" s="141">
        <v>617868</v>
      </c>
      <c r="EC31" s="74">
        <v>0</v>
      </c>
      <c r="ED31" s="141">
        <v>770236</v>
      </c>
      <c r="EE31" s="141">
        <v>0</v>
      </c>
      <c r="EF31" s="141">
        <v>26325958</v>
      </c>
      <c r="EG31" s="71"/>
      <c r="EH31" s="141">
        <v>940550</v>
      </c>
      <c r="EI31" s="141">
        <v>113379</v>
      </c>
      <c r="EJ31" s="141">
        <v>827171</v>
      </c>
      <c r="EK31" s="141">
        <v>-358430</v>
      </c>
      <c r="EL31" s="141">
        <v>239843</v>
      </c>
      <c r="EM31" s="71"/>
      <c r="EN31" s="141">
        <v>55635</v>
      </c>
      <c r="EO31" s="141">
        <v>56992</v>
      </c>
      <c r="EP31" s="141">
        <v>141109</v>
      </c>
      <c r="EQ31" s="141">
        <v>81892</v>
      </c>
      <c r="ER31" s="73">
        <f t="shared" si="12"/>
        <v>1936498</v>
      </c>
      <c r="ES31" s="141">
        <v>14890706</v>
      </c>
      <c r="ET31" s="141">
        <v>-2512976</v>
      </c>
      <c r="EU31" s="141">
        <v>2814756</v>
      </c>
      <c r="EV31" s="141">
        <v>1600111</v>
      </c>
      <c r="EW31" s="141">
        <v>1955808</v>
      </c>
      <c r="EX31" s="141">
        <v>3035059</v>
      </c>
      <c r="EY31" s="73">
        <f t="shared" si="13"/>
        <v>438110</v>
      </c>
      <c r="EZ31" s="141">
        <v>438110</v>
      </c>
      <c r="FA31" s="141">
        <v>150174</v>
      </c>
      <c r="FB31" s="141">
        <v>241235</v>
      </c>
      <c r="FC31" s="141">
        <v>0</v>
      </c>
      <c r="FD31" s="141">
        <v>0</v>
      </c>
      <c r="FE31" s="141">
        <v>2483751</v>
      </c>
      <c r="FF31" s="141">
        <v>3260935</v>
      </c>
      <c r="FG31" s="141">
        <v>217145</v>
      </c>
      <c r="FH31" s="141">
        <v>1755017</v>
      </c>
      <c r="FI31" s="73">
        <f t="shared" si="14"/>
        <v>719696</v>
      </c>
      <c r="FJ31" s="141">
        <v>16463132</v>
      </c>
      <c r="FK31" s="379">
        <f t="shared" si="15"/>
        <v>5.9</v>
      </c>
      <c r="FL31" s="141">
        <v>13639427</v>
      </c>
      <c r="FM31" s="141">
        <v>360439</v>
      </c>
      <c r="FN31" s="141">
        <v>8586025</v>
      </c>
      <c r="FO31" s="141">
        <v>11183902</v>
      </c>
      <c r="FP31" s="390">
        <v>0.79</v>
      </c>
      <c r="FQ31" s="380">
        <v>94.3</v>
      </c>
      <c r="FR31" s="381">
        <v>18.7</v>
      </c>
      <c r="FS31" s="380">
        <v>13.3</v>
      </c>
      <c r="FT31" s="380">
        <v>21.1</v>
      </c>
      <c r="FU31" s="381">
        <v>15.4</v>
      </c>
      <c r="FV31" s="380">
        <v>13.7</v>
      </c>
      <c r="FW31" s="382">
        <v>11.5</v>
      </c>
      <c r="FX31" s="383">
        <v>11.7</v>
      </c>
      <c r="FY31" s="141">
        <v>34099673</v>
      </c>
      <c r="FZ31" s="384">
        <f t="shared" si="16"/>
        <v>243.6</v>
      </c>
      <c r="GA31" s="141">
        <v>4601212</v>
      </c>
      <c r="GB31" s="141">
        <v>2908677</v>
      </c>
      <c r="GC31" s="141">
        <v>0</v>
      </c>
      <c r="GD31" s="141">
        <v>1692535</v>
      </c>
      <c r="GE31" s="107">
        <v>0</v>
      </c>
      <c r="GF31" s="385"/>
      <c r="GG31" s="384">
        <f>ROUND(GF31/(FL31+FM31)*100,1)</f>
        <v>0</v>
      </c>
      <c r="GH31" s="380">
        <v>99.4</v>
      </c>
      <c r="GI31" s="380">
        <v>38.299999999999997</v>
      </c>
      <c r="GJ31" s="380">
        <v>98.4</v>
      </c>
      <c r="GK31" s="141">
        <v>293</v>
      </c>
      <c r="GL31" s="391" t="s">
        <v>646</v>
      </c>
      <c r="GM31" s="391">
        <v>12.86</v>
      </c>
      <c r="GN31" s="117">
        <v>20</v>
      </c>
      <c r="GO31" s="391" t="s">
        <v>646</v>
      </c>
      <c r="GP31" s="392">
        <v>17.86</v>
      </c>
      <c r="GQ31" s="387">
        <v>30</v>
      </c>
      <c r="GR31" s="381">
        <v>11.7</v>
      </c>
      <c r="GS31" s="388">
        <v>25</v>
      </c>
      <c r="GT31" s="388">
        <v>35</v>
      </c>
      <c r="GU31" s="393">
        <v>90.8</v>
      </c>
      <c r="GV31" s="388">
        <v>350</v>
      </c>
      <c r="GW31" s="394"/>
      <c r="GX31" s="100">
        <f t="shared" si="17"/>
        <v>14000</v>
      </c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  <c r="HW31" s="394"/>
      <c r="HX31" s="394"/>
    </row>
    <row r="32" spans="2:232" x14ac:dyDescent="0.15">
      <c r="B32" s="89" t="s">
        <v>53</v>
      </c>
      <c r="C32" s="141">
        <v>8581845</v>
      </c>
      <c r="D32" s="73">
        <f t="shared" si="0"/>
        <v>3618067</v>
      </c>
      <c r="E32" s="141">
        <v>105716</v>
      </c>
      <c r="F32" s="141">
        <v>3512351</v>
      </c>
      <c r="G32" s="73">
        <f t="shared" si="1"/>
        <v>452506</v>
      </c>
      <c r="H32" s="141">
        <v>157644</v>
      </c>
      <c r="I32" s="141">
        <v>294862</v>
      </c>
      <c r="J32" s="141">
        <v>3230604</v>
      </c>
      <c r="K32" s="141">
        <v>1242226</v>
      </c>
      <c r="L32" s="141">
        <v>1583795</v>
      </c>
      <c r="M32" s="141">
        <v>371576</v>
      </c>
      <c r="N32" s="141">
        <v>444906</v>
      </c>
      <c r="O32" s="141">
        <v>722363</v>
      </c>
      <c r="P32" s="141">
        <v>375169</v>
      </c>
      <c r="Q32" s="141">
        <v>347194</v>
      </c>
      <c r="R32" s="141">
        <v>106060</v>
      </c>
      <c r="S32" s="74"/>
      <c r="T32" s="73">
        <f t="shared" si="2"/>
        <v>1737892</v>
      </c>
      <c r="U32" s="141">
        <v>8755</v>
      </c>
      <c r="V32" s="141">
        <v>72938</v>
      </c>
      <c r="W32" s="141">
        <v>52058</v>
      </c>
      <c r="X32" s="141">
        <v>1452504</v>
      </c>
      <c r="Y32" s="141">
        <v>0</v>
      </c>
      <c r="Z32" s="141">
        <v>0</v>
      </c>
      <c r="AA32" s="141">
        <v>775</v>
      </c>
      <c r="AB32" s="141">
        <v>23182</v>
      </c>
      <c r="AC32" s="141">
        <v>127680</v>
      </c>
      <c r="AD32" s="141">
        <v>60811</v>
      </c>
      <c r="AE32" s="141">
        <v>5156406</v>
      </c>
      <c r="AF32" s="141">
        <v>4992653</v>
      </c>
      <c r="AG32" s="141">
        <v>163753</v>
      </c>
      <c r="AH32" s="141">
        <v>8075</v>
      </c>
      <c r="AI32" s="141">
        <v>91031</v>
      </c>
      <c r="AJ32" s="73">
        <f t="shared" si="3"/>
        <v>344249</v>
      </c>
      <c r="AK32" s="141">
        <v>304414</v>
      </c>
      <c r="AL32" s="141">
        <v>39835</v>
      </c>
      <c r="AM32" s="141">
        <v>6596957</v>
      </c>
      <c r="AN32" s="73">
        <f t="shared" si="4"/>
        <v>3033126</v>
      </c>
      <c r="AO32" s="141">
        <v>1690121</v>
      </c>
      <c r="AP32" s="141">
        <v>485556</v>
      </c>
      <c r="AQ32" s="74"/>
      <c r="AR32" s="141">
        <v>857449</v>
      </c>
      <c r="AS32" s="141">
        <v>834</v>
      </c>
      <c r="AT32" s="141">
        <v>0</v>
      </c>
      <c r="AU32" s="141">
        <v>0</v>
      </c>
      <c r="AV32" s="141">
        <v>1894126</v>
      </c>
      <c r="AW32" s="141">
        <v>1172278</v>
      </c>
      <c r="AX32" s="141">
        <v>208994</v>
      </c>
      <c r="AY32" s="141">
        <v>56698</v>
      </c>
      <c r="AZ32" s="141">
        <v>721848</v>
      </c>
      <c r="BA32" s="141">
        <v>400</v>
      </c>
      <c r="BB32" s="141">
        <v>19197</v>
      </c>
      <c r="BC32" s="141">
        <v>462</v>
      </c>
      <c r="BD32" s="141">
        <v>61580</v>
      </c>
      <c r="BE32" s="141">
        <v>63974</v>
      </c>
      <c r="BF32" s="141">
        <v>0</v>
      </c>
      <c r="BG32" s="141">
        <v>0</v>
      </c>
      <c r="BH32" s="141">
        <v>63974</v>
      </c>
      <c r="BI32" s="141">
        <v>0</v>
      </c>
      <c r="BJ32" s="141">
        <v>179664</v>
      </c>
      <c r="BK32" s="141">
        <v>167139</v>
      </c>
      <c r="BL32" s="141">
        <v>190774</v>
      </c>
      <c r="BM32" s="141">
        <v>0</v>
      </c>
      <c r="BN32" s="141">
        <v>0</v>
      </c>
      <c r="BO32" s="141">
        <v>0</v>
      </c>
      <c r="BP32" s="141">
        <v>351800</v>
      </c>
      <c r="BQ32" s="73">
        <f t="shared" si="5"/>
        <v>79900</v>
      </c>
      <c r="BR32" s="73">
        <f t="shared" si="6"/>
        <v>271900</v>
      </c>
      <c r="BS32" s="141">
        <v>0</v>
      </c>
      <c r="BT32" s="141">
        <v>0</v>
      </c>
      <c r="BU32" s="141">
        <v>271900</v>
      </c>
      <c r="BV32" s="141">
        <v>0</v>
      </c>
      <c r="BW32" s="141">
        <v>25444441</v>
      </c>
      <c r="BX32" s="71"/>
      <c r="BY32" s="141">
        <v>4417010</v>
      </c>
      <c r="BZ32" s="141">
        <v>2593767</v>
      </c>
      <c r="CA32" s="141">
        <v>124243</v>
      </c>
      <c r="CB32" s="141">
        <v>859646</v>
      </c>
      <c r="CC32" s="141">
        <v>7879223</v>
      </c>
      <c r="CD32" s="141">
        <v>2513896</v>
      </c>
      <c r="CE32" s="141">
        <v>6496</v>
      </c>
      <c r="CF32" s="141">
        <v>3080007</v>
      </c>
      <c r="CG32" s="141">
        <v>2169367</v>
      </c>
      <c r="CH32" s="141">
        <v>48478</v>
      </c>
      <c r="CI32" s="141">
        <v>60819</v>
      </c>
      <c r="CJ32" s="141">
        <v>1774275</v>
      </c>
      <c r="CK32" s="141">
        <v>1701860</v>
      </c>
      <c r="CL32" s="83">
        <f t="shared" si="7"/>
        <v>72415</v>
      </c>
      <c r="CM32" s="141">
        <v>3423086</v>
      </c>
      <c r="CN32" s="141">
        <v>2404088</v>
      </c>
      <c r="CO32" s="102"/>
      <c r="CP32" s="141">
        <v>323316</v>
      </c>
      <c r="CQ32" s="141">
        <v>84574</v>
      </c>
      <c r="CR32" s="141">
        <v>4373416</v>
      </c>
      <c r="CS32" s="141">
        <v>1692677</v>
      </c>
      <c r="CT32" s="141">
        <v>553963</v>
      </c>
      <c r="CU32" s="141">
        <v>480804</v>
      </c>
      <c r="CV32" s="73">
        <f t="shared" si="8"/>
        <v>1344288</v>
      </c>
      <c r="CW32" s="141">
        <v>296958</v>
      </c>
      <c r="CX32" s="141">
        <v>1047330</v>
      </c>
      <c r="CY32" s="73">
        <f t="shared" si="9"/>
        <v>132110</v>
      </c>
      <c r="CZ32" s="141">
        <v>66281</v>
      </c>
      <c r="DA32" s="141">
        <v>65829</v>
      </c>
      <c r="DB32" s="73">
        <f t="shared" si="10"/>
        <v>1212178</v>
      </c>
      <c r="DC32" s="141">
        <v>230677</v>
      </c>
      <c r="DD32" s="141">
        <v>981501</v>
      </c>
      <c r="DE32" s="141">
        <v>245362</v>
      </c>
      <c r="DF32" s="141">
        <v>125562</v>
      </c>
      <c r="DG32" s="141">
        <v>119800</v>
      </c>
      <c r="DH32" s="141">
        <v>0</v>
      </c>
      <c r="DI32" s="141">
        <v>0</v>
      </c>
      <c r="DJ32" s="141">
        <v>0</v>
      </c>
      <c r="DK32" s="141">
        <v>97841</v>
      </c>
      <c r="DL32" s="141">
        <v>18</v>
      </c>
      <c r="DM32" s="141">
        <v>6</v>
      </c>
      <c r="DN32" s="141">
        <v>97817</v>
      </c>
      <c r="DO32" s="141">
        <v>0</v>
      </c>
      <c r="DP32" s="141">
        <v>0</v>
      </c>
      <c r="DQ32" s="141">
        <v>0</v>
      </c>
      <c r="DR32" s="141">
        <v>0</v>
      </c>
      <c r="DS32" s="141">
        <v>0</v>
      </c>
      <c r="DT32" s="141">
        <v>0</v>
      </c>
      <c r="DU32" s="141">
        <v>0</v>
      </c>
      <c r="DV32" s="141">
        <v>2754312</v>
      </c>
      <c r="DW32" s="141">
        <v>0</v>
      </c>
      <c r="DX32" s="73">
        <f t="shared" si="11"/>
        <v>0</v>
      </c>
      <c r="DY32" s="141">
        <v>0</v>
      </c>
      <c r="DZ32" s="141">
        <v>960304</v>
      </c>
      <c r="EA32" s="141">
        <v>0</v>
      </c>
      <c r="EB32" s="141">
        <v>781852</v>
      </c>
      <c r="EC32" s="74">
        <v>0</v>
      </c>
      <c r="ED32" s="141">
        <v>1012155</v>
      </c>
      <c r="EE32" s="141">
        <v>0</v>
      </c>
      <c r="EF32" s="141">
        <v>25049099</v>
      </c>
      <c r="EG32" s="71"/>
      <c r="EH32" s="141">
        <v>395342</v>
      </c>
      <c r="EI32" s="141">
        <v>16388</v>
      </c>
      <c r="EJ32" s="141">
        <v>378954</v>
      </c>
      <c r="EK32" s="141">
        <v>-38185</v>
      </c>
      <c r="EL32" s="141">
        <v>-35788</v>
      </c>
      <c r="EM32" s="71"/>
      <c r="EN32" s="141">
        <v>63688</v>
      </c>
      <c r="EO32" s="141">
        <v>63336</v>
      </c>
      <c r="EP32" s="141">
        <v>0</v>
      </c>
      <c r="EQ32" s="141">
        <v>18692</v>
      </c>
      <c r="ER32" s="73">
        <f t="shared" si="12"/>
        <v>1326771</v>
      </c>
      <c r="ES32" s="141">
        <v>15651089</v>
      </c>
      <c r="ET32" s="141">
        <v>-1609288</v>
      </c>
      <c r="EU32" s="141">
        <v>3922776</v>
      </c>
      <c r="EV32" s="141">
        <v>2368370</v>
      </c>
      <c r="EW32" s="141">
        <v>2210518</v>
      </c>
      <c r="EX32" s="141">
        <v>1696885</v>
      </c>
      <c r="EY32" s="73">
        <f t="shared" si="13"/>
        <v>84641</v>
      </c>
      <c r="EZ32" s="141">
        <v>84641</v>
      </c>
      <c r="FA32" s="141">
        <v>31496</v>
      </c>
      <c r="FB32" s="141">
        <v>53145</v>
      </c>
      <c r="FC32" s="141">
        <v>0</v>
      </c>
      <c r="FD32" s="141">
        <v>0</v>
      </c>
      <c r="FE32" s="141">
        <v>2523805</v>
      </c>
      <c r="FF32" s="141">
        <v>4138875</v>
      </c>
      <c r="FG32" s="141">
        <v>1692545</v>
      </c>
      <c r="FH32" s="141">
        <v>2166334</v>
      </c>
      <c r="FI32" s="73">
        <f t="shared" si="14"/>
        <v>121201</v>
      </c>
      <c r="FJ32" s="141">
        <v>16865035</v>
      </c>
      <c r="FK32" s="379">
        <f t="shared" si="15"/>
        <v>2.6</v>
      </c>
      <c r="FL32" s="141">
        <v>14412425</v>
      </c>
      <c r="FM32" s="141">
        <v>271914</v>
      </c>
      <c r="FN32" s="141">
        <v>7395390</v>
      </c>
      <c r="FO32" s="141">
        <v>12387343</v>
      </c>
      <c r="FP32" s="390">
        <v>0.60799999999999998</v>
      </c>
      <c r="FQ32" s="380">
        <v>96.6</v>
      </c>
      <c r="FR32" s="381">
        <v>24.6</v>
      </c>
      <c r="FS32" s="380">
        <v>14.2</v>
      </c>
      <c r="FT32" s="380">
        <v>11.2</v>
      </c>
      <c r="FU32" s="381">
        <v>13.3</v>
      </c>
      <c r="FV32" s="380">
        <v>19.399999999999999</v>
      </c>
      <c r="FW32" s="382">
        <v>13.3</v>
      </c>
      <c r="FX32" s="383">
        <v>2.5</v>
      </c>
      <c r="FY32" s="141">
        <v>17385493</v>
      </c>
      <c r="FZ32" s="384">
        <f t="shared" si="16"/>
        <v>118.4</v>
      </c>
      <c r="GA32" s="141">
        <v>3058063</v>
      </c>
      <c r="GB32" s="141">
        <v>1794965</v>
      </c>
      <c r="GC32" s="141">
        <v>684235</v>
      </c>
      <c r="GD32" s="141">
        <v>578863</v>
      </c>
      <c r="GE32" s="107">
        <v>0</v>
      </c>
      <c r="GF32" s="385"/>
      <c r="GG32" s="386"/>
      <c r="GH32" s="380">
        <v>99.6</v>
      </c>
      <c r="GI32" s="380">
        <v>60.8</v>
      </c>
      <c r="GJ32" s="380">
        <v>99.2</v>
      </c>
      <c r="GK32" s="141">
        <v>456</v>
      </c>
      <c r="GL32" s="391" t="s">
        <v>646</v>
      </c>
      <c r="GM32" s="391">
        <v>12.8</v>
      </c>
      <c r="GN32" s="117">
        <v>20</v>
      </c>
      <c r="GO32" s="391" t="s">
        <v>646</v>
      </c>
      <c r="GP32" s="392">
        <v>17.8</v>
      </c>
      <c r="GQ32" s="387">
        <v>30</v>
      </c>
      <c r="GR32" s="381">
        <v>2.5</v>
      </c>
      <c r="GS32" s="388">
        <v>25</v>
      </c>
      <c r="GT32" s="388">
        <v>35</v>
      </c>
      <c r="GU32" s="393">
        <v>45.4</v>
      </c>
      <c r="GV32" s="388">
        <v>350</v>
      </c>
      <c r="GW32" s="394"/>
      <c r="GX32" s="100">
        <f t="shared" si="17"/>
        <v>14684</v>
      </c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  <c r="HW32" s="394"/>
      <c r="HX32" s="394"/>
    </row>
    <row r="33" spans="1:232" x14ac:dyDescent="0.15">
      <c r="B33" s="89" t="s">
        <v>55</v>
      </c>
      <c r="C33" s="141">
        <v>79506234</v>
      </c>
      <c r="D33" s="73">
        <f t="shared" si="0"/>
        <v>25818947</v>
      </c>
      <c r="E33" s="141">
        <v>798603</v>
      </c>
      <c r="F33" s="141">
        <v>25020344</v>
      </c>
      <c r="G33" s="73">
        <f t="shared" si="1"/>
        <v>6032558</v>
      </c>
      <c r="H33" s="141">
        <v>1596262</v>
      </c>
      <c r="I33" s="141">
        <v>4436296</v>
      </c>
      <c r="J33" s="141">
        <v>32985412</v>
      </c>
      <c r="K33" s="141">
        <v>15168028</v>
      </c>
      <c r="L33" s="141">
        <v>13432590</v>
      </c>
      <c r="M33" s="141">
        <v>4048220</v>
      </c>
      <c r="N33" s="141">
        <v>4637234</v>
      </c>
      <c r="O33" s="141">
        <v>6956248</v>
      </c>
      <c r="P33" s="141">
        <v>3997656</v>
      </c>
      <c r="Q33" s="141">
        <v>2958592</v>
      </c>
      <c r="R33" s="141">
        <v>803662</v>
      </c>
      <c r="S33" s="74"/>
      <c r="T33" s="73">
        <f t="shared" si="2"/>
        <v>14553169</v>
      </c>
      <c r="U33" s="141">
        <v>63870</v>
      </c>
      <c r="V33" s="141">
        <v>534146</v>
      </c>
      <c r="W33" s="141">
        <v>383001</v>
      </c>
      <c r="X33" s="141">
        <v>11967084</v>
      </c>
      <c r="Y33" s="141">
        <v>0</v>
      </c>
      <c r="Z33" s="141">
        <v>0</v>
      </c>
      <c r="AA33" s="141">
        <v>5852</v>
      </c>
      <c r="AB33" s="141">
        <v>175120</v>
      </c>
      <c r="AC33" s="141">
        <v>1424096</v>
      </c>
      <c r="AD33" s="141">
        <v>491545</v>
      </c>
      <c r="AE33" s="141">
        <v>24296521</v>
      </c>
      <c r="AF33" s="141">
        <v>23576430</v>
      </c>
      <c r="AG33" s="141">
        <v>720091</v>
      </c>
      <c r="AH33" s="141">
        <v>64643</v>
      </c>
      <c r="AI33" s="141">
        <v>1651937</v>
      </c>
      <c r="AJ33" s="73">
        <f t="shared" si="3"/>
        <v>2059827</v>
      </c>
      <c r="AK33" s="141">
        <v>1709630</v>
      </c>
      <c r="AL33" s="141">
        <v>350197</v>
      </c>
      <c r="AM33" s="141">
        <v>69117622</v>
      </c>
      <c r="AN33" s="73">
        <f t="shared" si="4"/>
        <v>33368539</v>
      </c>
      <c r="AO33" s="141">
        <v>22232507</v>
      </c>
      <c r="AP33" s="141">
        <v>2752694</v>
      </c>
      <c r="AQ33" s="74"/>
      <c r="AR33" s="141">
        <v>8383338</v>
      </c>
      <c r="AS33" s="141">
        <v>472722</v>
      </c>
      <c r="AT33" s="141">
        <v>0</v>
      </c>
      <c r="AU33" s="141">
        <v>0</v>
      </c>
      <c r="AV33" s="141">
        <v>16773820</v>
      </c>
      <c r="AW33" s="141">
        <v>11383469</v>
      </c>
      <c r="AX33" s="141">
        <v>3050947</v>
      </c>
      <c r="AY33" s="141">
        <v>95720</v>
      </c>
      <c r="AZ33" s="141">
        <v>5390351</v>
      </c>
      <c r="BA33" s="141">
        <v>341</v>
      </c>
      <c r="BB33" s="141">
        <v>3478294</v>
      </c>
      <c r="BC33" s="141">
        <v>3150657</v>
      </c>
      <c r="BD33" s="141">
        <v>329108</v>
      </c>
      <c r="BE33" s="141">
        <v>2163401</v>
      </c>
      <c r="BF33" s="141">
        <v>1500000</v>
      </c>
      <c r="BG33" s="141">
        <v>0</v>
      </c>
      <c r="BH33" s="141">
        <v>448598</v>
      </c>
      <c r="BI33" s="141">
        <v>0</v>
      </c>
      <c r="BJ33" s="141">
        <v>3546790</v>
      </c>
      <c r="BK33" s="141">
        <v>3292045</v>
      </c>
      <c r="BL33" s="141">
        <v>2557178</v>
      </c>
      <c r="BM33" s="141">
        <v>937721</v>
      </c>
      <c r="BN33" s="141">
        <v>0</v>
      </c>
      <c r="BO33" s="141">
        <v>526655</v>
      </c>
      <c r="BP33" s="141">
        <v>10708800</v>
      </c>
      <c r="BQ33" s="73">
        <f t="shared" si="5"/>
        <v>6162300</v>
      </c>
      <c r="BR33" s="73">
        <f t="shared" si="6"/>
        <v>4546500</v>
      </c>
      <c r="BS33" s="141">
        <v>0</v>
      </c>
      <c r="BT33" s="141">
        <v>0</v>
      </c>
      <c r="BU33" s="141">
        <v>4546500</v>
      </c>
      <c r="BV33" s="141">
        <v>0</v>
      </c>
      <c r="BW33" s="141">
        <v>232102551</v>
      </c>
      <c r="BX33" s="71"/>
      <c r="BY33" s="141">
        <v>26924263</v>
      </c>
      <c r="BZ33" s="141">
        <v>18803841</v>
      </c>
      <c r="CA33" s="141">
        <v>1024029</v>
      </c>
      <c r="CB33" s="141">
        <v>2280015</v>
      </c>
      <c r="CC33" s="141">
        <v>85251086</v>
      </c>
      <c r="CD33" s="141">
        <v>24149254</v>
      </c>
      <c r="CE33" s="141">
        <v>355435</v>
      </c>
      <c r="CF33" s="141">
        <v>26358931</v>
      </c>
      <c r="CG33" s="141">
        <v>29643341</v>
      </c>
      <c r="CH33" s="141">
        <v>2144552</v>
      </c>
      <c r="CI33" s="141">
        <v>2599573</v>
      </c>
      <c r="CJ33" s="141">
        <v>19595408</v>
      </c>
      <c r="CK33" s="141">
        <v>19143942</v>
      </c>
      <c r="CL33" s="83">
        <f t="shared" si="7"/>
        <v>451466</v>
      </c>
      <c r="CM33" s="141">
        <v>28345574</v>
      </c>
      <c r="CN33" s="141">
        <v>22924472</v>
      </c>
      <c r="CO33" s="102"/>
      <c r="CP33" s="141">
        <v>2559771</v>
      </c>
      <c r="CQ33" s="141">
        <v>1592481</v>
      </c>
      <c r="CR33" s="141">
        <v>21099424</v>
      </c>
      <c r="CS33" s="141">
        <v>2119292</v>
      </c>
      <c r="CT33" s="141">
        <v>7155395</v>
      </c>
      <c r="CU33" s="141">
        <v>5340368</v>
      </c>
      <c r="CV33" s="73">
        <f t="shared" si="8"/>
        <v>7203207</v>
      </c>
      <c r="CW33" s="141">
        <v>6962607</v>
      </c>
      <c r="CX33" s="141">
        <v>240600</v>
      </c>
      <c r="CY33" s="73">
        <f t="shared" si="9"/>
        <v>0</v>
      </c>
      <c r="CZ33" s="141">
        <v>0</v>
      </c>
      <c r="DA33" s="141">
        <v>0</v>
      </c>
      <c r="DB33" s="73">
        <f t="shared" si="10"/>
        <v>7135353</v>
      </c>
      <c r="DC33" s="141">
        <v>6900608</v>
      </c>
      <c r="DD33" s="141">
        <v>234745</v>
      </c>
      <c r="DE33" s="141">
        <v>13090754</v>
      </c>
      <c r="DF33" s="141">
        <v>3189690</v>
      </c>
      <c r="DG33" s="141">
        <v>9569606</v>
      </c>
      <c r="DH33" s="141">
        <v>89397</v>
      </c>
      <c r="DI33" s="141">
        <v>242061</v>
      </c>
      <c r="DJ33" s="141">
        <v>0</v>
      </c>
      <c r="DK33" s="141">
        <v>7624349</v>
      </c>
      <c r="DL33" s="141">
        <v>4162800</v>
      </c>
      <c r="DM33" s="141">
        <v>146300</v>
      </c>
      <c r="DN33" s="141">
        <v>3315249</v>
      </c>
      <c r="DO33" s="141">
        <v>1412480</v>
      </c>
      <c r="DP33" s="141">
        <v>1412480</v>
      </c>
      <c r="DQ33" s="141">
        <v>0</v>
      </c>
      <c r="DR33" s="141">
        <v>0</v>
      </c>
      <c r="DS33" s="141">
        <v>730373</v>
      </c>
      <c r="DT33" s="141">
        <v>0</v>
      </c>
      <c r="DU33" s="141">
        <v>0</v>
      </c>
      <c r="DV33" s="141">
        <v>21786512</v>
      </c>
      <c r="DW33" s="141">
        <v>0</v>
      </c>
      <c r="DX33" s="73">
        <f t="shared" si="11"/>
        <v>0</v>
      </c>
      <c r="DY33" s="141">
        <v>0</v>
      </c>
      <c r="DZ33" s="141">
        <v>7154188</v>
      </c>
      <c r="EA33" s="141">
        <v>0</v>
      </c>
      <c r="EB33" s="141">
        <v>6492514</v>
      </c>
      <c r="EC33" s="74">
        <v>0</v>
      </c>
      <c r="ED33" s="141">
        <v>8139806</v>
      </c>
      <c r="EE33" s="141">
        <v>0</v>
      </c>
      <c r="EF33" s="141">
        <v>227452704</v>
      </c>
      <c r="EG33" s="71"/>
      <c r="EH33" s="141">
        <v>4649847</v>
      </c>
      <c r="EI33" s="141">
        <v>565681</v>
      </c>
      <c r="EJ33" s="141">
        <v>4084166</v>
      </c>
      <c r="EK33" s="141">
        <v>792121</v>
      </c>
      <c r="EL33" s="141">
        <v>3454946</v>
      </c>
      <c r="EM33" s="71"/>
      <c r="EN33" s="141">
        <v>493940</v>
      </c>
      <c r="EO33" s="141">
        <v>480137</v>
      </c>
      <c r="EP33" s="141">
        <v>1569128</v>
      </c>
      <c r="EQ33" s="141">
        <v>581214</v>
      </c>
      <c r="ER33" s="73">
        <f t="shared" si="12"/>
        <v>14088514</v>
      </c>
      <c r="ES33" s="141">
        <v>119715774</v>
      </c>
      <c r="ET33" s="141">
        <v>-20720713</v>
      </c>
      <c r="EU33" s="141">
        <v>24994747</v>
      </c>
      <c r="EV33" s="141">
        <v>17233105</v>
      </c>
      <c r="EW33" s="141">
        <v>23753193</v>
      </c>
      <c r="EX33" s="141">
        <v>19595383</v>
      </c>
      <c r="EY33" s="73">
        <f t="shared" si="13"/>
        <v>4709967</v>
      </c>
      <c r="EZ33" s="141">
        <v>4709967</v>
      </c>
      <c r="FA33" s="141">
        <v>155372</v>
      </c>
      <c r="FB33" s="141">
        <v>4545498</v>
      </c>
      <c r="FC33" s="141">
        <v>0</v>
      </c>
      <c r="FD33" s="141">
        <v>0</v>
      </c>
      <c r="FE33" s="141">
        <v>19607585</v>
      </c>
      <c r="FF33" s="141">
        <v>19153398</v>
      </c>
      <c r="FG33" s="141">
        <v>2119292</v>
      </c>
      <c r="FH33" s="141">
        <v>16616545</v>
      </c>
      <c r="FI33" s="73">
        <f t="shared" si="14"/>
        <v>7355822</v>
      </c>
      <c r="FJ33" s="141">
        <v>135786640</v>
      </c>
      <c r="FK33" s="379">
        <f t="shared" si="15"/>
        <v>3.6</v>
      </c>
      <c r="FL33" s="141">
        <v>108552522</v>
      </c>
      <c r="FM33" s="141">
        <v>4546549</v>
      </c>
      <c r="FN33" s="141">
        <v>66558571</v>
      </c>
      <c r="FO33" s="141">
        <v>90329572</v>
      </c>
      <c r="FP33" s="390">
        <v>0.74299999999999999</v>
      </c>
      <c r="FQ33" s="380">
        <v>93.3</v>
      </c>
      <c r="FR33" s="381">
        <v>20.5</v>
      </c>
      <c r="FS33" s="380">
        <v>18.399999999999999</v>
      </c>
      <c r="FT33" s="380">
        <v>16.7</v>
      </c>
      <c r="FU33" s="381">
        <v>12.3</v>
      </c>
      <c r="FV33" s="380">
        <v>12.3</v>
      </c>
      <c r="FW33" s="382">
        <v>12.1</v>
      </c>
      <c r="FX33" s="383">
        <v>6.9</v>
      </c>
      <c r="FY33" s="141">
        <v>166024739</v>
      </c>
      <c r="FZ33" s="384">
        <f t="shared" si="16"/>
        <v>146.80000000000001</v>
      </c>
      <c r="GA33" s="141">
        <v>38728630</v>
      </c>
      <c r="GB33" s="141">
        <v>20411320</v>
      </c>
      <c r="GC33" s="141">
        <v>5506700</v>
      </c>
      <c r="GD33" s="141">
        <v>12810610</v>
      </c>
      <c r="GE33" s="107">
        <v>0</v>
      </c>
      <c r="GF33" s="385"/>
      <c r="GG33" s="386"/>
      <c r="GH33" s="380">
        <v>99.5</v>
      </c>
      <c r="GI33" s="380">
        <v>39.200000000000003</v>
      </c>
      <c r="GJ33" s="380">
        <v>98.9</v>
      </c>
      <c r="GK33" s="141">
        <v>2765</v>
      </c>
      <c r="GL33" s="391" t="s">
        <v>646</v>
      </c>
      <c r="GM33" s="391">
        <v>11.25</v>
      </c>
      <c r="GN33" s="117">
        <v>20</v>
      </c>
      <c r="GO33" s="391" t="s">
        <v>646</v>
      </c>
      <c r="GP33" s="392">
        <v>16.25</v>
      </c>
      <c r="GQ33" s="387">
        <v>30</v>
      </c>
      <c r="GR33" s="381">
        <v>6.9</v>
      </c>
      <c r="GS33" s="388">
        <v>25</v>
      </c>
      <c r="GT33" s="388">
        <v>35</v>
      </c>
      <c r="GU33" s="393" t="s">
        <v>646</v>
      </c>
      <c r="GV33" s="388">
        <v>350</v>
      </c>
      <c r="GW33" s="394"/>
      <c r="GX33" s="100">
        <f t="shared" si="17"/>
        <v>113099</v>
      </c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  <c r="HW33" s="394"/>
      <c r="HX33" s="394"/>
    </row>
    <row r="34" spans="1:232" x14ac:dyDescent="0.15">
      <c r="B34" s="89" t="s">
        <v>57</v>
      </c>
      <c r="C34" s="141">
        <v>9094551</v>
      </c>
      <c r="D34" s="73">
        <f t="shared" si="0"/>
        <v>2382639</v>
      </c>
      <c r="E34" s="141">
        <v>91740</v>
      </c>
      <c r="F34" s="141">
        <v>2290899</v>
      </c>
      <c r="G34" s="73">
        <f t="shared" si="1"/>
        <v>469901</v>
      </c>
      <c r="H34" s="141">
        <v>189373</v>
      </c>
      <c r="I34" s="141">
        <v>280528</v>
      </c>
      <c r="J34" s="141">
        <v>4861547</v>
      </c>
      <c r="K34" s="141">
        <v>2041754</v>
      </c>
      <c r="L34" s="141">
        <v>1635750</v>
      </c>
      <c r="M34" s="141">
        <v>1148105</v>
      </c>
      <c r="N34" s="141">
        <v>466689</v>
      </c>
      <c r="O34" s="141">
        <v>726001</v>
      </c>
      <c r="P34" s="141">
        <v>398204</v>
      </c>
      <c r="Q34" s="141">
        <v>327797</v>
      </c>
      <c r="R34" s="141">
        <v>159131</v>
      </c>
      <c r="S34" s="74"/>
      <c r="T34" s="73">
        <f t="shared" si="2"/>
        <v>1690480</v>
      </c>
      <c r="U34" s="141">
        <v>5906</v>
      </c>
      <c r="V34" s="141">
        <v>49226</v>
      </c>
      <c r="W34" s="141">
        <v>35147</v>
      </c>
      <c r="X34" s="141">
        <v>1400604</v>
      </c>
      <c r="Y34" s="141">
        <v>37856</v>
      </c>
      <c r="Z34" s="141">
        <v>0</v>
      </c>
      <c r="AA34" s="141">
        <v>907</v>
      </c>
      <c r="AB34" s="141">
        <v>27141</v>
      </c>
      <c r="AC34" s="141">
        <v>133693</v>
      </c>
      <c r="AD34" s="141">
        <v>56378</v>
      </c>
      <c r="AE34" s="141">
        <v>4194792</v>
      </c>
      <c r="AF34" s="141">
        <v>3753121</v>
      </c>
      <c r="AG34" s="141">
        <v>441671</v>
      </c>
      <c r="AH34" s="141">
        <v>7805</v>
      </c>
      <c r="AI34" s="141">
        <v>45180</v>
      </c>
      <c r="AJ34" s="73">
        <f t="shared" si="3"/>
        <v>332384</v>
      </c>
      <c r="AK34" s="141">
        <v>188499</v>
      </c>
      <c r="AL34" s="141">
        <v>143885</v>
      </c>
      <c r="AM34" s="141">
        <v>6273404</v>
      </c>
      <c r="AN34" s="73">
        <f t="shared" si="4"/>
        <v>2591633</v>
      </c>
      <c r="AO34" s="141">
        <v>1335878</v>
      </c>
      <c r="AP34" s="141">
        <v>328481</v>
      </c>
      <c r="AQ34" s="74"/>
      <c r="AR34" s="141">
        <v>927274</v>
      </c>
      <c r="AS34" s="141">
        <v>8371</v>
      </c>
      <c r="AT34" s="141">
        <v>0</v>
      </c>
      <c r="AU34" s="141">
        <v>0</v>
      </c>
      <c r="AV34" s="141">
        <v>2169996</v>
      </c>
      <c r="AW34" s="141">
        <v>1453027</v>
      </c>
      <c r="AX34" s="141">
        <v>161319</v>
      </c>
      <c r="AY34" s="141">
        <v>22320</v>
      </c>
      <c r="AZ34" s="141">
        <v>716969</v>
      </c>
      <c r="BA34" s="141">
        <v>34050</v>
      </c>
      <c r="BB34" s="141">
        <v>27865</v>
      </c>
      <c r="BC34" s="141">
        <v>4023</v>
      </c>
      <c r="BD34" s="141">
        <v>861127</v>
      </c>
      <c r="BE34" s="141">
        <v>464691</v>
      </c>
      <c r="BF34" s="141">
        <v>0</v>
      </c>
      <c r="BG34" s="141">
        <v>0</v>
      </c>
      <c r="BH34" s="141">
        <v>460150</v>
      </c>
      <c r="BI34" s="141">
        <v>0</v>
      </c>
      <c r="BJ34" s="141">
        <v>720083</v>
      </c>
      <c r="BK34" s="141">
        <v>705761</v>
      </c>
      <c r="BL34" s="141">
        <v>241569</v>
      </c>
      <c r="BM34" s="141">
        <v>1200</v>
      </c>
      <c r="BN34" s="141">
        <v>0</v>
      </c>
      <c r="BO34" s="141">
        <v>0</v>
      </c>
      <c r="BP34" s="141">
        <v>810013</v>
      </c>
      <c r="BQ34" s="73">
        <f t="shared" si="5"/>
        <v>490100</v>
      </c>
      <c r="BR34" s="73">
        <f t="shared" si="6"/>
        <v>319913</v>
      </c>
      <c r="BS34" s="141">
        <v>0</v>
      </c>
      <c r="BT34" s="141">
        <v>0</v>
      </c>
      <c r="BU34" s="141">
        <v>319913</v>
      </c>
      <c r="BV34" s="141">
        <v>0</v>
      </c>
      <c r="BW34" s="141">
        <v>27149449</v>
      </c>
      <c r="BX34" s="71"/>
      <c r="BY34" s="141">
        <v>4149172</v>
      </c>
      <c r="BZ34" s="141">
        <v>2617756</v>
      </c>
      <c r="CA34" s="141">
        <v>362620</v>
      </c>
      <c r="CB34" s="141">
        <v>401231</v>
      </c>
      <c r="CC34" s="141">
        <v>7572269</v>
      </c>
      <c r="CD34" s="141">
        <v>2576704</v>
      </c>
      <c r="CE34" s="141">
        <v>4664</v>
      </c>
      <c r="CF34" s="141">
        <v>3037936</v>
      </c>
      <c r="CG34" s="141">
        <v>1687720</v>
      </c>
      <c r="CH34" s="141">
        <v>1690</v>
      </c>
      <c r="CI34" s="141">
        <v>263525</v>
      </c>
      <c r="CJ34" s="141">
        <v>2780047</v>
      </c>
      <c r="CK34" s="141">
        <v>2616319</v>
      </c>
      <c r="CL34" s="83">
        <f t="shared" si="7"/>
        <v>163728</v>
      </c>
      <c r="CM34" s="141">
        <v>3465803</v>
      </c>
      <c r="CN34" s="141">
        <v>2520497</v>
      </c>
      <c r="CO34" s="102"/>
      <c r="CP34" s="141">
        <v>392756</v>
      </c>
      <c r="CQ34" s="141">
        <v>166125</v>
      </c>
      <c r="CR34" s="141">
        <v>3527105</v>
      </c>
      <c r="CS34" s="141">
        <v>1377280</v>
      </c>
      <c r="CT34" s="141">
        <v>963738</v>
      </c>
      <c r="CU34" s="141">
        <v>768534</v>
      </c>
      <c r="CV34" s="73">
        <f t="shared" si="8"/>
        <v>511399</v>
      </c>
      <c r="CW34" s="141">
        <v>269203</v>
      </c>
      <c r="CX34" s="141">
        <v>242196</v>
      </c>
      <c r="CY34" s="73">
        <f t="shared" si="9"/>
        <v>0</v>
      </c>
      <c r="CZ34" s="141">
        <v>0</v>
      </c>
      <c r="DA34" s="141">
        <v>0</v>
      </c>
      <c r="DB34" s="73">
        <f t="shared" si="10"/>
        <v>506582</v>
      </c>
      <c r="DC34" s="141">
        <v>266506</v>
      </c>
      <c r="DD34" s="141">
        <v>240076</v>
      </c>
      <c r="DE34" s="141">
        <v>710756</v>
      </c>
      <c r="DF34" s="141">
        <v>328149</v>
      </c>
      <c r="DG34" s="141">
        <v>382607</v>
      </c>
      <c r="DH34" s="141">
        <v>0</v>
      </c>
      <c r="DI34" s="141">
        <v>0</v>
      </c>
      <c r="DJ34" s="141">
        <v>6081</v>
      </c>
      <c r="DK34" s="141">
        <v>1105887</v>
      </c>
      <c r="DL34" s="141">
        <v>235374</v>
      </c>
      <c r="DM34" s="141">
        <v>449</v>
      </c>
      <c r="DN34" s="141">
        <v>870064</v>
      </c>
      <c r="DO34" s="141">
        <v>186473</v>
      </c>
      <c r="DP34" s="141">
        <v>186473</v>
      </c>
      <c r="DQ34" s="141">
        <v>19836</v>
      </c>
      <c r="DR34" s="141">
        <v>0</v>
      </c>
      <c r="DS34" s="141">
        <v>0</v>
      </c>
      <c r="DT34" s="141">
        <v>0</v>
      </c>
      <c r="DU34" s="141">
        <v>0</v>
      </c>
      <c r="DV34" s="141">
        <v>2886946</v>
      </c>
      <c r="DW34" s="141">
        <v>0</v>
      </c>
      <c r="DX34" s="73">
        <f t="shared" si="11"/>
        <v>0</v>
      </c>
      <c r="DY34" s="141">
        <v>0</v>
      </c>
      <c r="DZ34" s="141">
        <v>993726</v>
      </c>
      <c r="EA34" s="141">
        <v>0</v>
      </c>
      <c r="EB34" s="141">
        <v>1018657</v>
      </c>
      <c r="EC34" s="74">
        <v>0</v>
      </c>
      <c r="ED34" s="141">
        <v>874563</v>
      </c>
      <c r="EE34" s="141">
        <v>0</v>
      </c>
      <c r="EF34" s="141">
        <v>26556664</v>
      </c>
      <c r="EG34" s="71"/>
      <c r="EH34" s="141">
        <v>592785</v>
      </c>
      <c r="EI34" s="141">
        <v>19500</v>
      </c>
      <c r="EJ34" s="141">
        <v>573285</v>
      </c>
      <c r="EK34" s="141">
        <v>-132476</v>
      </c>
      <c r="EL34" s="141">
        <v>290404</v>
      </c>
      <c r="EM34" s="71"/>
      <c r="EN34" s="141">
        <v>60102</v>
      </c>
      <c r="EO34" s="141">
        <v>59635</v>
      </c>
      <c r="EP34" s="141">
        <v>0</v>
      </c>
      <c r="EQ34" s="141">
        <v>24579</v>
      </c>
      <c r="ER34" s="73">
        <f t="shared" si="12"/>
        <v>1548731</v>
      </c>
      <c r="ES34" s="141">
        <v>15203137</v>
      </c>
      <c r="ET34" s="141">
        <v>-1885418</v>
      </c>
      <c r="EU34" s="141">
        <v>3614502</v>
      </c>
      <c r="EV34" s="141">
        <v>2189601</v>
      </c>
      <c r="EW34" s="141">
        <v>1761211</v>
      </c>
      <c r="EX34" s="141">
        <v>2780047</v>
      </c>
      <c r="EY34" s="73">
        <f t="shared" si="13"/>
        <v>122216</v>
      </c>
      <c r="EZ34" s="141">
        <v>122216</v>
      </c>
      <c r="FA34" s="141">
        <v>19755</v>
      </c>
      <c r="FB34" s="141">
        <v>102461</v>
      </c>
      <c r="FC34" s="141">
        <v>0</v>
      </c>
      <c r="FD34" s="141">
        <v>0</v>
      </c>
      <c r="FE34" s="141">
        <v>2134624</v>
      </c>
      <c r="FF34" s="141">
        <v>3283499</v>
      </c>
      <c r="FG34" s="141">
        <v>1375862</v>
      </c>
      <c r="FH34" s="141">
        <v>2209430</v>
      </c>
      <c r="FI34" s="73">
        <f t="shared" si="14"/>
        <v>590241</v>
      </c>
      <c r="FJ34" s="141">
        <v>16495770</v>
      </c>
      <c r="FK34" s="379">
        <f t="shared" si="15"/>
        <v>4.0999999999999996</v>
      </c>
      <c r="FL34" s="141">
        <v>13742090</v>
      </c>
      <c r="FM34" s="141">
        <v>319913</v>
      </c>
      <c r="FN34" s="141">
        <v>7861502</v>
      </c>
      <c r="FO34" s="141">
        <v>11614623</v>
      </c>
      <c r="FP34" s="390">
        <v>0.69199999999999995</v>
      </c>
      <c r="FQ34" s="380">
        <v>97.8</v>
      </c>
      <c r="FR34" s="381">
        <v>24</v>
      </c>
      <c r="FS34" s="380">
        <v>12.2</v>
      </c>
      <c r="FT34" s="380">
        <v>17.899999999999999</v>
      </c>
      <c r="FU34" s="381">
        <v>12.7</v>
      </c>
      <c r="FV34" s="380">
        <v>15.4</v>
      </c>
      <c r="FW34" s="382">
        <v>13.5</v>
      </c>
      <c r="FX34" s="383">
        <v>9.3000000000000007</v>
      </c>
      <c r="FY34" s="141">
        <v>25328974</v>
      </c>
      <c r="FZ34" s="384">
        <f t="shared" si="16"/>
        <v>180.1</v>
      </c>
      <c r="GA34" s="141">
        <v>6491901</v>
      </c>
      <c r="GB34" s="141">
        <v>1537495</v>
      </c>
      <c r="GC34" s="141">
        <v>1626813</v>
      </c>
      <c r="GD34" s="141">
        <v>3327593</v>
      </c>
      <c r="GE34" s="107">
        <v>0</v>
      </c>
      <c r="GF34" s="385"/>
      <c r="GG34" s="386"/>
      <c r="GH34" s="380">
        <v>99.1</v>
      </c>
      <c r="GI34" s="380">
        <v>34</v>
      </c>
      <c r="GJ34" s="380">
        <v>97.8</v>
      </c>
      <c r="GK34" s="141">
        <v>368</v>
      </c>
      <c r="GL34" s="391" t="s">
        <v>646</v>
      </c>
      <c r="GM34" s="391">
        <v>12.85</v>
      </c>
      <c r="GN34" s="117">
        <v>20</v>
      </c>
      <c r="GO34" s="391" t="s">
        <v>646</v>
      </c>
      <c r="GP34" s="392">
        <v>17.850000000000001</v>
      </c>
      <c r="GQ34" s="387">
        <v>30</v>
      </c>
      <c r="GR34" s="381">
        <v>9.3000000000000007</v>
      </c>
      <c r="GS34" s="388">
        <v>25</v>
      </c>
      <c r="GT34" s="388">
        <v>35</v>
      </c>
      <c r="GU34" s="393">
        <v>50.4</v>
      </c>
      <c r="GV34" s="388">
        <v>350</v>
      </c>
      <c r="GW34" s="394"/>
      <c r="GX34" s="100">
        <f t="shared" si="17"/>
        <v>14062</v>
      </c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  <c r="HW34" s="394"/>
      <c r="HX34" s="394"/>
    </row>
    <row r="35" spans="1:232" x14ac:dyDescent="0.15">
      <c r="B35" s="89" t="s">
        <v>59</v>
      </c>
      <c r="C35" s="141">
        <v>6939330</v>
      </c>
      <c r="D35" s="73">
        <f t="shared" si="0"/>
        <v>2953537</v>
      </c>
      <c r="E35" s="141">
        <v>90649</v>
      </c>
      <c r="F35" s="141">
        <v>2862888</v>
      </c>
      <c r="G35" s="73">
        <f t="shared" si="1"/>
        <v>290240</v>
      </c>
      <c r="H35" s="141">
        <v>141949</v>
      </c>
      <c r="I35" s="141">
        <v>148291</v>
      </c>
      <c r="J35" s="141">
        <v>2659317</v>
      </c>
      <c r="K35" s="141">
        <v>1105932</v>
      </c>
      <c r="L35" s="141">
        <v>1282204</v>
      </c>
      <c r="M35" s="141">
        <v>255586</v>
      </c>
      <c r="N35" s="141">
        <v>366365</v>
      </c>
      <c r="O35" s="141">
        <v>569923</v>
      </c>
      <c r="P35" s="141">
        <v>301305</v>
      </c>
      <c r="Q35" s="141">
        <v>268618</v>
      </c>
      <c r="R35" s="141">
        <v>104109</v>
      </c>
      <c r="S35" s="74"/>
      <c r="T35" s="73">
        <f t="shared" si="2"/>
        <v>1441529</v>
      </c>
      <c r="U35" s="141">
        <v>7179</v>
      </c>
      <c r="V35" s="141">
        <v>60026</v>
      </c>
      <c r="W35" s="141">
        <v>43018</v>
      </c>
      <c r="X35" s="141">
        <v>1199904</v>
      </c>
      <c r="Y35" s="141">
        <v>31357</v>
      </c>
      <c r="Z35" s="141">
        <v>0</v>
      </c>
      <c r="AA35" s="141">
        <v>762</v>
      </c>
      <c r="AB35" s="141">
        <v>22813</v>
      </c>
      <c r="AC35" s="141">
        <v>76470</v>
      </c>
      <c r="AD35" s="141">
        <v>66024</v>
      </c>
      <c r="AE35" s="141">
        <v>5028842</v>
      </c>
      <c r="AF35" s="141">
        <v>4583856</v>
      </c>
      <c r="AG35" s="141">
        <v>444986</v>
      </c>
      <c r="AH35" s="141">
        <v>6231</v>
      </c>
      <c r="AI35" s="141">
        <v>248541</v>
      </c>
      <c r="AJ35" s="73">
        <f t="shared" si="3"/>
        <v>224623</v>
      </c>
      <c r="AK35" s="141">
        <v>162092</v>
      </c>
      <c r="AL35" s="141">
        <v>62531</v>
      </c>
      <c r="AM35" s="141">
        <v>5461221</v>
      </c>
      <c r="AN35" s="73">
        <f t="shared" si="4"/>
        <v>2664576</v>
      </c>
      <c r="AO35" s="141">
        <v>991329</v>
      </c>
      <c r="AP35" s="141">
        <v>902267</v>
      </c>
      <c r="AQ35" s="74"/>
      <c r="AR35" s="141">
        <v>770980</v>
      </c>
      <c r="AS35" s="141">
        <v>119080</v>
      </c>
      <c r="AT35" s="141">
        <v>0</v>
      </c>
      <c r="AU35" s="141">
        <v>0</v>
      </c>
      <c r="AV35" s="141">
        <v>1969169</v>
      </c>
      <c r="AW35" s="141">
        <v>1364849</v>
      </c>
      <c r="AX35" s="141">
        <v>443952</v>
      </c>
      <c r="AY35" s="141">
        <v>53896</v>
      </c>
      <c r="AZ35" s="141">
        <v>604320</v>
      </c>
      <c r="BA35" s="141">
        <v>16990</v>
      </c>
      <c r="BB35" s="141">
        <v>33517</v>
      </c>
      <c r="BC35" s="141">
        <v>1121</v>
      </c>
      <c r="BD35" s="141">
        <v>20161</v>
      </c>
      <c r="BE35" s="141">
        <v>3694</v>
      </c>
      <c r="BF35" s="141">
        <v>0</v>
      </c>
      <c r="BG35" s="141">
        <v>0</v>
      </c>
      <c r="BH35" s="141">
        <v>3694</v>
      </c>
      <c r="BI35" s="141">
        <v>0</v>
      </c>
      <c r="BJ35" s="141">
        <v>416992</v>
      </c>
      <c r="BK35" s="141">
        <v>291906</v>
      </c>
      <c r="BL35" s="141">
        <v>322397</v>
      </c>
      <c r="BM35" s="141">
        <v>970</v>
      </c>
      <c r="BN35" s="141">
        <v>1379</v>
      </c>
      <c r="BO35" s="141">
        <v>0</v>
      </c>
      <c r="BP35" s="141">
        <v>562000</v>
      </c>
      <c r="BQ35" s="73">
        <f t="shared" si="5"/>
        <v>311600</v>
      </c>
      <c r="BR35" s="73">
        <f t="shared" si="6"/>
        <v>250400</v>
      </c>
      <c r="BS35" s="141">
        <v>0</v>
      </c>
      <c r="BT35" s="141">
        <v>0</v>
      </c>
      <c r="BU35" s="141">
        <v>250400</v>
      </c>
      <c r="BV35" s="141">
        <v>0</v>
      </c>
      <c r="BW35" s="141">
        <v>22848380</v>
      </c>
      <c r="BX35" s="71"/>
      <c r="BY35" s="141">
        <v>3503853</v>
      </c>
      <c r="BZ35" s="141">
        <v>2095056</v>
      </c>
      <c r="CA35" s="141">
        <v>301807</v>
      </c>
      <c r="CB35" s="141">
        <v>445500</v>
      </c>
      <c r="CC35" s="141">
        <v>6863205</v>
      </c>
      <c r="CD35" s="141">
        <v>2370275</v>
      </c>
      <c r="CE35" s="141">
        <v>9655</v>
      </c>
      <c r="CF35" s="141">
        <v>2922711</v>
      </c>
      <c r="CG35" s="141">
        <v>1221106</v>
      </c>
      <c r="CH35" s="141">
        <v>2457</v>
      </c>
      <c r="CI35" s="141">
        <v>337001</v>
      </c>
      <c r="CJ35" s="141">
        <v>1471959</v>
      </c>
      <c r="CK35" s="141">
        <v>1420480</v>
      </c>
      <c r="CL35" s="83">
        <f t="shared" si="7"/>
        <v>51479</v>
      </c>
      <c r="CM35" s="141">
        <v>3368355</v>
      </c>
      <c r="CN35" s="141">
        <v>2526262</v>
      </c>
      <c r="CO35" s="102"/>
      <c r="CP35" s="141">
        <v>509371</v>
      </c>
      <c r="CQ35" s="141">
        <v>52141</v>
      </c>
      <c r="CR35" s="141">
        <v>3299045</v>
      </c>
      <c r="CS35" s="141">
        <v>1401958</v>
      </c>
      <c r="CT35" s="141">
        <v>477456</v>
      </c>
      <c r="CU35" s="141">
        <v>264551</v>
      </c>
      <c r="CV35" s="73">
        <f t="shared" si="8"/>
        <v>784933</v>
      </c>
      <c r="CW35" s="141">
        <v>553094</v>
      </c>
      <c r="CX35" s="141">
        <v>231839</v>
      </c>
      <c r="CY35" s="73">
        <f t="shared" si="9"/>
        <v>0</v>
      </c>
      <c r="CZ35" s="141">
        <v>0</v>
      </c>
      <c r="DA35" s="141">
        <v>0</v>
      </c>
      <c r="DB35" s="73">
        <f t="shared" si="10"/>
        <v>778489</v>
      </c>
      <c r="DC35" s="141">
        <v>547909</v>
      </c>
      <c r="DD35" s="141">
        <v>230580</v>
      </c>
      <c r="DE35" s="141">
        <v>830849</v>
      </c>
      <c r="DF35" s="141">
        <v>349365</v>
      </c>
      <c r="DG35" s="141">
        <v>447936</v>
      </c>
      <c r="DH35" s="141">
        <v>0</v>
      </c>
      <c r="DI35" s="141">
        <v>33548</v>
      </c>
      <c r="DJ35" s="141">
        <v>0</v>
      </c>
      <c r="DK35" s="141">
        <v>186087</v>
      </c>
      <c r="DL35" s="141">
        <v>147826</v>
      </c>
      <c r="DM35" s="141">
        <v>1</v>
      </c>
      <c r="DN35" s="141">
        <v>38260</v>
      </c>
      <c r="DO35" s="141">
        <v>190000</v>
      </c>
      <c r="DP35" s="141">
        <v>190000</v>
      </c>
      <c r="DQ35" s="141">
        <v>0</v>
      </c>
      <c r="DR35" s="141">
        <v>0</v>
      </c>
      <c r="DS35" s="141">
        <v>0</v>
      </c>
      <c r="DT35" s="141">
        <v>0</v>
      </c>
      <c r="DU35" s="141">
        <v>0</v>
      </c>
      <c r="DV35" s="141">
        <v>2229801</v>
      </c>
      <c r="DW35" s="141">
        <v>0</v>
      </c>
      <c r="DX35" s="73">
        <f t="shared" si="11"/>
        <v>0</v>
      </c>
      <c r="DY35" s="141">
        <v>0</v>
      </c>
      <c r="DZ35" s="141">
        <v>815063</v>
      </c>
      <c r="EA35" s="141">
        <v>0</v>
      </c>
      <c r="EB35" s="141">
        <v>564654</v>
      </c>
      <c r="EC35" s="74">
        <v>0</v>
      </c>
      <c r="ED35" s="141">
        <v>850084</v>
      </c>
      <c r="EE35" s="141">
        <v>0</v>
      </c>
      <c r="EF35" s="141">
        <v>21995295</v>
      </c>
      <c r="EG35" s="71"/>
      <c r="EH35" s="141">
        <v>853085</v>
      </c>
      <c r="EI35" s="141">
        <v>221936</v>
      </c>
      <c r="EJ35" s="141">
        <v>631149</v>
      </c>
      <c r="EK35" s="141">
        <v>339243</v>
      </c>
      <c r="EL35" s="141">
        <v>487069</v>
      </c>
      <c r="EM35" s="71"/>
      <c r="EN35" s="141">
        <v>55177</v>
      </c>
      <c r="EO35" s="141">
        <v>54765</v>
      </c>
      <c r="EP35" s="141">
        <v>0</v>
      </c>
      <c r="EQ35" s="141">
        <v>30467</v>
      </c>
      <c r="ER35" s="73">
        <f t="shared" si="12"/>
        <v>1383898</v>
      </c>
      <c r="ES35" s="141">
        <v>13586065</v>
      </c>
      <c r="ET35" s="141">
        <v>-1658534</v>
      </c>
      <c r="EU35" s="141">
        <v>3079997</v>
      </c>
      <c r="EV35" s="141">
        <v>1827996</v>
      </c>
      <c r="EW35" s="141">
        <v>1899841</v>
      </c>
      <c r="EX35" s="141">
        <v>1471959</v>
      </c>
      <c r="EY35" s="73">
        <f t="shared" si="13"/>
        <v>259338</v>
      </c>
      <c r="EZ35" s="141">
        <v>259338</v>
      </c>
      <c r="FA35" s="141">
        <v>21252</v>
      </c>
      <c r="FB35" s="141">
        <v>238086</v>
      </c>
      <c r="FC35" s="141">
        <v>0</v>
      </c>
      <c r="FD35" s="141">
        <v>0</v>
      </c>
      <c r="FE35" s="141">
        <v>2481167</v>
      </c>
      <c r="FF35" s="141">
        <v>3009661</v>
      </c>
      <c r="FG35" s="141">
        <v>1401663</v>
      </c>
      <c r="FH35" s="141">
        <v>1768477</v>
      </c>
      <c r="FI35" s="73">
        <f t="shared" si="14"/>
        <v>421074</v>
      </c>
      <c r="FJ35" s="141">
        <v>14391514</v>
      </c>
      <c r="FK35" s="379">
        <f t="shared" si="15"/>
        <v>5</v>
      </c>
      <c r="FL35" s="141">
        <v>12335824</v>
      </c>
      <c r="FM35" s="141">
        <v>250465</v>
      </c>
      <c r="FN35" s="141">
        <v>6133890</v>
      </c>
      <c r="FO35" s="141">
        <v>10717746</v>
      </c>
      <c r="FP35" s="390">
        <v>0.58699999999999997</v>
      </c>
      <c r="FQ35" s="380">
        <v>96.2</v>
      </c>
      <c r="FR35" s="381">
        <v>23</v>
      </c>
      <c r="FS35" s="380">
        <v>14.7</v>
      </c>
      <c r="FT35" s="380">
        <v>11.4</v>
      </c>
      <c r="FU35" s="381">
        <v>13.9</v>
      </c>
      <c r="FV35" s="380">
        <v>20</v>
      </c>
      <c r="FW35" s="382">
        <v>12.8</v>
      </c>
      <c r="FX35" s="383">
        <v>4.5999999999999996</v>
      </c>
      <c r="FY35" s="141">
        <v>13432321</v>
      </c>
      <c r="FZ35" s="384">
        <f t="shared" si="16"/>
        <v>106.7</v>
      </c>
      <c r="GA35" s="141">
        <v>6989282</v>
      </c>
      <c r="GB35" s="141">
        <v>2474632</v>
      </c>
      <c r="GC35" s="141">
        <v>51316</v>
      </c>
      <c r="GD35" s="141">
        <v>4463334</v>
      </c>
      <c r="GE35" s="107">
        <v>0</v>
      </c>
      <c r="GF35" s="385"/>
      <c r="GG35" s="386"/>
      <c r="GH35" s="380">
        <v>99.5</v>
      </c>
      <c r="GI35" s="380">
        <v>35.700000000000003</v>
      </c>
      <c r="GJ35" s="380">
        <v>98.5</v>
      </c>
      <c r="GK35" s="141">
        <v>318</v>
      </c>
      <c r="GL35" s="391" t="s">
        <v>646</v>
      </c>
      <c r="GM35" s="391">
        <v>12.99</v>
      </c>
      <c r="GN35" s="117">
        <v>20</v>
      </c>
      <c r="GO35" s="391" t="s">
        <v>646</v>
      </c>
      <c r="GP35" s="392">
        <v>17.989999999999998</v>
      </c>
      <c r="GQ35" s="387">
        <v>30</v>
      </c>
      <c r="GR35" s="381">
        <v>4.5999999999999996</v>
      </c>
      <c r="GS35" s="388">
        <v>25</v>
      </c>
      <c r="GT35" s="388">
        <v>35</v>
      </c>
      <c r="GU35" s="393" t="s">
        <v>646</v>
      </c>
      <c r="GV35" s="388">
        <v>350</v>
      </c>
      <c r="GW35" s="394"/>
      <c r="GX35" s="100">
        <f t="shared" si="17"/>
        <v>12586</v>
      </c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  <c r="HW35" s="394"/>
      <c r="HX35" s="394"/>
    </row>
    <row r="36" spans="1:232" x14ac:dyDescent="0.15">
      <c r="B36" s="89" t="s">
        <v>61</v>
      </c>
      <c r="C36" s="141">
        <v>10134053</v>
      </c>
      <c r="D36" s="73">
        <f t="shared" si="0"/>
        <v>4441100</v>
      </c>
      <c r="E36" s="141">
        <v>131922</v>
      </c>
      <c r="F36" s="141">
        <v>4309178</v>
      </c>
      <c r="G36" s="73">
        <f t="shared" si="1"/>
        <v>334263</v>
      </c>
      <c r="H36" s="141">
        <v>160192</v>
      </c>
      <c r="I36" s="141">
        <v>174071</v>
      </c>
      <c r="J36" s="141">
        <v>4002075</v>
      </c>
      <c r="K36" s="141">
        <v>1474671</v>
      </c>
      <c r="L36" s="141">
        <v>1942356</v>
      </c>
      <c r="M36" s="141">
        <v>533746</v>
      </c>
      <c r="N36" s="141">
        <v>381962</v>
      </c>
      <c r="O36" s="141">
        <v>828931</v>
      </c>
      <c r="P36" s="141">
        <v>420872</v>
      </c>
      <c r="Q36" s="141">
        <v>408059</v>
      </c>
      <c r="R36" s="141">
        <v>137357</v>
      </c>
      <c r="S36" s="74"/>
      <c r="T36" s="73">
        <f t="shared" si="2"/>
        <v>2001576</v>
      </c>
      <c r="U36" s="141">
        <v>11106</v>
      </c>
      <c r="V36" s="141">
        <v>92693</v>
      </c>
      <c r="W36" s="141">
        <v>66302</v>
      </c>
      <c r="X36" s="141">
        <v>1627359</v>
      </c>
      <c r="Y36" s="141">
        <v>73467</v>
      </c>
      <c r="Z36" s="141">
        <v>0</v>
      </c>
      <c r="AA36" s="141">
        <v>1000</v>
      </c>
      <c r="AB36" s="141">
        <v>29924</v>
      </c>
      <c r="AC36" s="141">
        <v>99725</v>
      </c>
      <c r="AD36" s="141">
        <v>109644</v>
      </c>
      <c r="AE36" s="141">
        <v>4484304</v>
      </c>
      <c r="AF36" s="141">
        <v>4283527</v>
      </c>
      <c r="AG36" s="141">
        <v>200777</v>
      </c>
      <c r="AH36" s="141">
        <v>11143</v>
      </c>
      <c r="AI36" s="141">
        <v>75491</v>
      </c>
      <c r="AJ36" s="73">
        <f t="shared" si="3"/>
        <v>370268</v>
      </c>
      <c r="AK36" s="141">
        <v>272449</v>
      </c>
      <c r="AL36" s="141">
        <v>97819</v>
      </c>
      <c r="AM36" s="141">
        <v>7503921</v>
      </c>
      <c r="AN36" s="73">
        <f t="shared" si="4"/>
        <v>2730079</v>
      </c>
      <c r="AO36" s="141">
        <v>915210</v>
      </c>
      <c r="AP36" s="141">
        <v>846911</v>
      </c>
      <c r="AQ36" s="74"/>
      <c r="AR36" s="141">
        <v>967958</v>
      </c>
      <c r="AS36" s="141">
        <v>204431</v>
      </c>
      <c r="AT36" s="141">
        <v>0</v>
      </c>
      <c r="AU36" s="141">
        <v>0</v>
      </c>
      <c r="AV36" s="141">
        <v>2263223</v>
      </c>
      <c r="AW36" s="141">
        <v>1630979</v>
      </c>
      <c r="AX36" s="141">
        <v>350845</v>
      </c>
      <c r="AY36" s="141">
        <v>0</v>
      </c>
      <c r="AZ36" s="141">
        <v>632244</v>
      </c>
      <c r="BA36" s="141">
        <v>500</v>
      </c>
      <c r="BB36" s="141">
        <v>94901</v>
      </c>
      <c r="BC36" s="141">
        <v>92051</v>
      </c>
      <c r="BD36" s="141">
        <v>12421</v>
      </c>
      <c r="BE36" s="141">
        <v>69110</v>
      </c>
      <c r="BF36" s="141">
        <v>2848</v>
      </c>
      <c r="BG36" s="141">
        <v>0</v>
      </c>
      <c r="BH36" s="141">
        <v>57825</v>
      </c>
      <c r="BI36" s="141">
        <v>0</v>
      </c>
      <c r="BJ36" s="141">
        <v>609640</v>
      </c>
      <c r="BK36" s="141">
        <v>451006</v>
      </c>
      <c r="BL36" s="141">
        <v>491667</v>
      </c>
      <c r="BM36" s="141">
        <v>0</v>
      </c>
      <c r="BN36" s="141">
        <v>0</v>
      </c>
      <c r="BO36" s="141">
        <v>0</v>
      </c>
      <c r="BP36" s="141">
        <v>1777653</v>
      </c>
      <c r="BQ36" s="73">
        <f t="shared" si="5"/>
        <v>1448200</v>
      </c>
      <c r="BR36" s="73">
        <f t="shared" si="6"/>
        <v>329453</v>
      </c>
      <c r="BS36" s="141">
        <v>0</v>
      </c>
      <c r="BT36" s="141">
        <v>0</v>
      </c>
      <c r="BU36" s="141">
        <v>329453</v>
      </c>
      <c r="BV36" s="141">
        <v>0</v>
      </c>
      <c r="BW36" s="141">
        <v>30146372</v>
      </c>
      <c r="BX36" s="71"/>
      <c r="BY36" s="141">
        <v>5338523</v>
      </c>
      <c r="BZ36" s="141">
        <v>3119697</v>
      </c>
      <c r="CA36" s="141">
        <v>206655</v>
      </c>
      <c r="CB36" s="141">
        <v>997801</v>
      </c>
      <c r="CC36" s="141">
        <v>8491223</v>
      </c>
      <c r="CD36" s="141">
        <v>2738241</v>
      </c>
      <c r="CE36" s="141">
        <v>3956</v>
      </c>
      <c r="CF36" s="141">
        <v>4042107</v>
      </c>
      <c r="CG36" s="141">
        <v>1201800</v>
      </c>
      <c r="CH36" s="141">
        <v>3937</v>
      </c>
      <c r="CI36" s="141">
        <v>501182</v>
      </c>
      <c r="CJ36" s="141">
        <v>2758697</v>
      </c>
      <c r="CK36" s="141">
        <v>2633357</v>
      </c>
      <c r="CL36" s="83">
        <f t="shared" si="7"/>
        <v>125340</v>
      </c>
      <c r="CM36" s="141">
        <v>5032824</v>
      </c>
      <c r="CN36" s="141">
        <v>3422142</v>
      </c>
      <c r="CO36" s="102"/>
      <c r="CP36" s="141">
        <v>785533</v>
      </c>
      <c r="CQ36" s="141">
        <v>71816</v>
      </c>
      <c r="CR36" s="141">
        <v>2245106</v>
      </c>
      <c r="CS36" s="141">
        <v>908773</v>
      </c>
      <c r="CT36" s="141">
        <v>428313</v>
      </c>
      <c r="CU36" s="141">
        <v>356199</v>
      </c>
      <c r="CV36" s="73">
        <f t="shared" si="8"/>
        <v>202321</v>
      </c>
      <c r="CW36" s="141">
        <v>202321</v>
      </c>
      <c r="CX36" s="141">
        <v>0</v>
      </c>
      <c r="CY36" s="73">
        <f t="shared" si="9"/>
        <v>0</v>
      </c>
      <c r="CZ36" s="141">
        <v>0</v>
      </c>
      <c r="DA36" s="141">
        <v>0</v>
      </c>
      <c r="DB36" s="73">
        <f t="shared" si="10"/>
        <v>130000</v>
      </c>
      <c r="DC36" s="141">
        <v>130000</v>
      </c>
      <c r="DD36" s="141">
        <v>0</v>
      </c>
      <c r="DE36" s="141">
        <v>2526061</v>
      </c>
      <c r="DF36" s="141">
        <v>717848</v>
      </c>
      <c r="DG36" s="141">
        <v>1806876</v>
      </c>
      <c r="DH36" s="141">
        <v>1337</v>
      </c>
      <c r="DI36" s="141">
        <v>0</v>
      </c>
      <c r="DJ36" s="141">
        <v>0</v>
      </c>
      <c r="DK36" s="141">
        <v>301134</v>
      </c>
      <c r="DL36" s="141">
        <v>233911</v>
      </c>
      <c r="DM36" s="141">
        <v>176</v>
      </c>
      <c r="DN36" s="141">
        <v>67047</v>
      </c>
      <c r="DO36" s="141">
        <v>0</v>
      </c>
      <c r="DP36" s="141">
        <v>0</v>
      </c>
      <c r="DQ36" s="141">
        <v>0</v>
      </c>
      <c r="DR36" s="141">
        <v>0</v>
      </c>
      <c r="DS36" s="141">
        <v>0</v>
      </c>
      <c r="DT36" s="141">
        <v>0</v>
      </c>
      <c r="DU36" s="141">
        <v>0</v>
      </c>
      <c r="DV36" s="141">
        <v>2747812</v>
      </c>
      <c r="DW36" s="141">
        <v>0</v>
      </c>
      <c r="DX36" s="73">
        <f t="shared" si="11"/>
        <v>0</v>
      </c>
      <c r="DY36" s="141">
        <v>0</v>
      </c>
      <c r="DZ36" s="141">
        <v>1064559</v>
      </c>
      <c r="EA36" s="141">
        <v>0</v>
      </c>
      <c r="EB36" s="141">
        <v>720394</v>
      </c>
      <c r="EC36" s="74">
        <v>0</v>
      </c>
      <c r="ED36" s="141">
        <v>962859</v>
      </c>
      <c r="EE36" s="141">
        <v>0</v>
      </c>
      <c r="EF36" s="141">
        <v>29513196</v>
      </c>
      <c r="EG36" s="71"/>
      <c r="EH36" s="141">
        <v>633176</v>
      </c>
      <c r="EI36" s="141">
        <v>74269</v>
      </c>
      <c r="EJ36" s="141">
        <v>558907</v>
      </c>
      <c r="EK36" s="141">
        <v>107901</v>
      </c>
      <c r="EL36" s="141">
        <v>493380</v>
      </c>
      <c r="EM36" s="71"/>
      <c r="EN36" s="141">
        <v>75033</v>
      </c>
      <c r="EO36" s="141">
        <v>77363</v>
      </c>
      <c r="EP36" s="141">
        <v>4542</v>
      </c>
      <c r="EQ36" s="141">
        <v>93394</v>
      </c>
      <c r="ER36" s="73">
        <f t="shared" si="12"/>
        <v>1592254</v>
      </c>
      <c r="ES36" s="141">
        <v>16878077</v>
      </c>
      <c r="ET36" s="141">
        <v>-2008500</v>
      </c>
      <c r="EU36" s="141">
        <v>4817258</v>
      </c>
      <c r="EV36" s="141">
        <v>2928432</v>
      </c>
      <c r="EW36" s="141">
        <v>2262323</v>
      </c>
      <c r="EX36" s="141">
        <v>2758697</v>
      </c>
      <c r="EY36" s="73">
        <f t="shared" si="13"/>
        <v>723348</v>
      </c>
      <c r="EZ36" s="141">
        <v>723348</v>
      </c>
      <c r="FA36" s="141">
        <v>39542</v>
      </c>
      <c r="FB36" s="141">
        <v>683669</v>
      </c>
      <c r="FC36" s="141">
        <v>0</v>
      </c>
      <c r="FD36" s="141">
        <v>0</v>
      </c>
      <c r="FE36" s="141">
        <v>3056361</v>
      </c>
      <c r="FF36" s="141">
        <v>2096625</v>
      </c>
      <c r="FG36" s="141">
        <v>908773</v>
      </c>
      <c r="FH36" s="141">
        <v>2172131</v>
      </c>
      <c r="FI36" s="73">
        <f t="shared" si="14"/>
        <v>366658</v>
      </c>
      <c r="FJ36" s="141">
        <v>18253401</v>
      </c>
      <c r="FK36" s="379">
        <f t="shared" si="15"/>
        <v>3.5</v>
      </c>
      <c r="FL36" s="141">
        <v>15545424</v>
      </c>
      <c r="FM36" s="141">
        <v>329453</v>
      </c>
      <c r="FN36" s="141">
        <v>8904668</v>
      </c>
      <c r="FO36" s="141">
        <v>13188195</v>
      </c>
      <c r="FP36" s="390">
        <v>0.68300000000000005</v>
      </c>
      <c r="FQ36" s="380">
        <v>92.8</v>
      </c>
      <c r="FR36" s="381">
        <v>28.5</v>
      </c>
      <c r="FS36" s="380">
        <v>13.3</v>
      </c>
      <c r="FT36" s="380">
        <v>15.9</v>
      </c>
      <c r="FU36" s="381">
        <v>13.1</v>
      </c>
      <c r="FV36" s="380">
        <v>8.9</v>
      </c>
      <c r="FW36" s="382">
        <v>12.6</v>
      </c>
      <c r="FX36" s="383">
        <v>7.6</v>
      </c>
      <c r="FY36" s="141">
        <v>27510314</v>
      </c>
      <c r="FZ36" s="384">
        <f t="shared" si="16"/>
        <v>173.3</v>
      </c>
      <c r="GA36" s="141">
        <v>7699351</v>
      </c>
      <c r="GB36" s="141">
        <v>4338403</v>
      </c>
      <c r="GC36" s="141">
        <v>984966</v>
      </c>
      <c r="GD36" s="141">
        <v>2375982</v>
      </c>
      <c r="GE36" s="107">
        <v>0</v>
      </c>
      <c r="GF36" s="385">
        <v>5298</v>
      </c>
      <c r="GG36" s="386">
        <f>IF(GF36=0,"-",ROUND(GF36/(GX36)*100,1))</f>
        <v>33.4</v>
      </c>
      <c r="GH36" s="380">
        <v>99.8</v>
      </c>
      <c r="GI36" s="380">
        <v>44.3</v>
      </c>
      <c r="GJ36" s="380">
        <v>99.4</v>
      </c>
      <c r="GK36" s="141">
        <v>474</v>
      </c>
      <c r="GL36" s="391" t="s">
        <v>646</v>
      </c>
      <c r="GM36" s="391">
        <v>12.72</v>
      </c>
      <c r="GN36" s="117">
        <v>20</v>
      </c>
      <c r="GO36" s="391" t="s">
        <v>646</v>
      </c>
      <c r="GP36" s="392">
        <v>17.72</v>
      </c>
      <c r="GQ36" s="387">
        <v>30</v>
      </c>
      <c r="GR36" s="381">
        <v>7.6</v>
      </c>
      <c r="GS36" s="388">
        <v>25</v>
      </c>
      <c r="GT36" s="388">
        <v>35</v>
      </c>
      <c r="GU36" s="393">
        <v>44.9</v>
      </c>
      <c r="GV36" s="388">
        <v>350</v>
      </c>
      <c r="GW36" s="394"/>
      <c r="GX36" s="100">
        <f t="shared" si="17"/>
        <v>15875</v>
      </c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  <c r="HW36" s="394"/>
      <c r="HX36" s="394"/>
    </row>
    <row r="37" spans="1:232" x14ac:dyDescent="0.15">
      <c r="B37" s="89" t="s">
        <v>63</v>
      </c>
      <c r="C37" s="141">
        <v>7575204</v>
      </c>
      <c r="D37" s="73">
        <f t="shared" si="0"/>
        <v>3657430</v>
      </c>
      <c r="E37" s="141">
        <v>99419</v>
      </c>
      <c r="F37" s="141">
        <v>3558011</v>
      </c>
      <c r="G37" s="73">
        <f t="shared" si="1"/>
        <v>251450</v>
      </c>
      <c r="H37" s="141">
        <v>110793</v>
      </c>
      <c r="I37" s="141">
        <v>140657</v>
      </c>
      <c r="J37" s="141">
        <v>2851216</v>
      </c>
      <c r="K37" s="141">
        <v>1127957</v>
      </c>
      <c r="L37" s="141">
        <v>1373449</v>
      </c>
      <c r="M37" s="141">
        <v>317240</v>
      </c>
      <c r="N37" s="141">
        <v>322052</v>
      </c>
      <c r="O37" s="141">
        <v>376408</v>
      </c>
      <c r="P37" s="141">
        <v>196567</v>
      </c>
      <c r="Q37" s="141">
        <v>179841</v>
      </c>
      <c r="R37" s="141">
        <v>112113</v>
      </c>
      <c r="S37" s="74"/>
      <c r="T37" s="73">
        <f t="shared" si="2"/>
        <v>1594222</v>
      </c>
      <c r="U37" s="141">
        <v>8909</v>
      </c>
      <c r="V37" s="141">
        <v>74433</v>
      </c>
      <c r="W37" s="141">
        <v>53304</v>
      </c>
      <c r="X37" s="141">
        <v>1326431</v>
      </c>
      <c r="Y37" s="141">
        <v>0</v>
      </c>
      <c r="Z37" s="141">
        <v>0</v>
      </c>
      <c r="AA37" s="141">
        <v>827</v>
      </c>
      <c r="AB37" s="141">
        <v>24744</v>
      </c>
      <c r="AC37" s="141">
        <v>105574</v>
      </c>
      <c r="AD37" s="141">
        <v>89408</v>
      </c>
      <c r="AE37" s="141">
        <v>4050732</v>
      </c>
      <c r="AF37" s="141">
        <v>3803041</v>
      </c>
      <c r="AG37" s="141">
        <v>247691</v>
      </c>
      <c r="AH37" s="141">
        <v>7962</v>
      </c>
      <c r="AI37" s="141">
        <v>93122</v>
      </c>
      <c r="AJ37" s="73">
        <f t="shared" si="3"/>
        <v>238384</v>
      </c>
      <c r="AK37" s="141">
        <v>198037</v>
      </c>
      <c r="AL37" s="141">
        <v>40347</v>
      </c>
      <c r="AM37" s="141">
        <v>5606195</v>
      </c>
      <c r="AN37" s="73">
        <f t="shared" si="4"/>
        <v>2164053</v>
      </c>
      <c r="AO37" s="141">
        <v>850035</v>
      </c>
      <c r="AP37" s="141">
        <v>769942</v>
      </c>
      <c r="AQ37" s="74"/>
      <c r="AR37" s="141">
        <v>544076</v>
      </c>
      <c r="AS37" s="141">
        <v>1388</v>
      </c>
      <c r="AT37" s="141">
        <v>0</v>
      </c>
      <c r="AU37" s="141">
        <v>0</v>
      </c>
      <c r="AV37" s="141">
        <v>2130740</v>
      </c>
      <c r="AW37" s="141">
        <v>1601101</v>
      </c>
      <c r="AX37" s="141">
        <v>327517</v>
      </c>
      <c r="AY37" s="141">
        <v>211928</v>
      </c>
      <c r="AZ37" s="141">
        <v>529639</v>
      </c>
      <c r="BA37" s="141">
        <v>14301</v>
      </c>
      <c r="BB37" s="141">
        <v>18258</v>
      </c>
      <c r="BC37" s="141">
        <v>1643</v>
      </c>
      <c r="BD37" s="141">
        <v>19654</v>
      </c>
      <c r="BE37" s="141">
        <v>23213</v>
      </c>
      <c r="BF37" s="141">
        <v>0</v>
      </c>
      <c r="BG37" s="141">
        <v>0</v>
      </c>
      <c r="BH37" s="141">
        <v>5683</v>
      </c>
      <c r="BI37" s="141">
        <v>0</v>
      </c>
      <c r="BJ37" s="141">
        <v>834364</v>
      </c>
      <c r="BK37" s="141">
        <v>822805</v>
      </c>
      <c r="BL37" s="141">
        <v>182458</v>
      </c>
      <c r="BM37" s="141">
        <v>144</v>
      </c>
      <c r="BN37" s="141">
        <v>0</v>
      </c>
      <c r="BO37" s="141">
        <v>0</v>
      </c>
      <c r="BP37" s="141">
        <v>692400</v>
      </c>
      <c r="BQ37" s="73">
        <f t="shared" si="5"/>
        <v>414800</v>
      </c>
      <c r="BR37" s="73">
        <f t="shared" si="6"/>
        <v>277600</v>
      </c>
      <c r="BS37" s="141">
        <v>0</v>
      </c>
      <c r="BT37" s="141">
        <v>0</v>
      </c>
      <c r="BU37" s="141">
        <v>277600</v>
      </c>
      <c r="BV37" s="141">
        <v>0</v>
      </c>
      <c r="BW37" s="141">
        <v>23268429</v>
      </c>
      <c r="BX37" s="71"/>
      <c r="BY37" s="141">
        <v>3283396</v>
      </c>
      <c r="BZ37" s="141">
        <v>2048758</v>
      </c>
      <c r="CA37" s="141">
        <v>50899</v>
      </c>
      <c r="CB37" s="141">
        <v>485625</v>
      </c>
      <c r="CC37" s="141">
        <v>6843276</v>
      </c>
      <c r="CD37" s="141">
        <v>2213324</v>
      </c>
      <c r="CE37" s="141">
        <v>7775</v>
      </c>
      <c r="CF37" s="141">
        <v>2992666</v>
      </c>
      <c r="CG37" s="141">
        <v>1123217</v>
      </c>
      <c r="CH37" s="141">
        <v>61</v>
      </c>
      <c r="CI37" s="141">
        <v>506233</v>
      </c>
      <c r="CJ37" s="141">
        <v>1904711</v>
      </c>
      <c r="CK37" s="141">
        <v>1864543</v>
      </c>
      <c r="CL37" s="83">
        <f t="shared" si="7"/>
        <v>40168</v>
      </c>
      <c r="CM37" s="141">
        <v>4089916</v>
      </c>
      <c r="CN37" s="141">
        <v>3194912</v>
      </c>
      <c r="CO37" s="102"/>
      <c r="CP37" s="141">
        <v>378362</v>
      </c>
      <c r="CQ37" s="141">
        <v>26534</v>
      </c>
      <c r="CR37" s="141">
        <v>2652660</v>
      </c>
      <c r="CS37" s="141">
        <v>322858</v>
      </c>
      <c r="CT37" s="141">
        <v>589393</v>
      </c>
      <c r="CU37" s="141">
        <v>450910</v>
      </c>
      <c r="CV37" s="73">
        <f t="shared" si="8"/>
        <v>367793</v>
      </c>
      <c r="CW37" s="141">
        <v>74952</v>
      </c>
      <c r="CX37" s="141">
        <v>292841</v>
      </c>
      <c r="CY37" s="73">
        <f t="shared" si="9"/>
        <v>0</v>
      </c>
      <c r="CZ37" s="141">
        <v>0</v>
      </c>
      <c r="DA37" s="141">
        <v>0</v>
      </c>
      <c r="DB37" s="73">
        <f t="shared" si="10"/>
        <v>367793</v>
      </c>
      <c r="DC37" s="141">
        <v>74952</v>
      </c>
      <c r="DD37" s="141">
        <v>292841</v>
      </c>
      <c r="DE37" s="141">
        <v>1100080</v>
      </c>
      <c r="DF37" s="141">
        <v>559031</v>
      </c>
      <c r="DG37" s="141">
        <v>457163</v>
      </c>
      <c r="DH37" s="141">
        <v>83886</v>
      </c>
      <c r="DI37" s="141">
        <v>0</v>
      </c>
      <c r="DJ37" s="141">
        <v>13086</v>
      </c>
      <c r="DK37" s="141">
        <v>417771</v>
      </c>
      <c r="DL37" s="141">
        <v>200587</v>
      </c>
      <c r="DM37" s="141">
        <v>101</v>
      </c>
      <c r="DN37" s="141">
        <v>217083</v>
      </c>
      <c r="DO37" s="141">
        <v>0</v>
      </c>
      <c r="DP37" s="141">
        <v>0</v>
      </c>
      <c r="DQ37" s="141">
        <v>0</v>
      </c>
      <c r="DR37" s="141">
        <v>0</v>
      </c>
      <c r="DS37" s="141">
        <v>288</v>
      </c>
      <c r="DT37" s="141">
        <v>0</v>
      </c>
      <c r="DU37" s="141">
        <v>0</v>
      </c>
      <c r="DV37" s="141">
        <v>2169098</v>
      </c>
      <c r="DW37" s="141">
        <v>0</v>
      </c>
      <c r="DX37" s="73">
        <f t="shared" si="11"/>
        <v>0</v>
      </c>
      <c r="DY37" s="141">
        <v>0</v>
      </c>
      <c r="DZ37" s="141">
        <v>827066</v>
      </c>
      <c r="EA37" s="141">
        <v>0</v>
      </c>
      <c r="EB37" s="141">
        <v>511482</v>
      </c>
      <c r="EC37" s="74">
        <v>0</v>
      </c>
      <c r="ED37" s="141">
        <v>822209</v>
      </c>
      <c r="EE37" s="141">
        <v>0</v>
      </c>
      <c r="EF37" s="141">
        <v>22500816</v>
      </c>
      <c r="EG37" s="71"/>
      <c r="EH37" s="141">
        <v>767613</v>
      </c>
      <c r="EI37" s="141">
        <v>37270</v>
      </c>
      <c r="EJ37" s="141">
        <v>730343</v>
      </c>
      <c r="EK37" s="141">
        <v>-92462</v>
      </c>
      <c r="EL37" s="141">
        <v>108125</v>
      </c>
      <c r="EM37" s="71"/>
      <c r="EN37" s="141">
        <v>58435</v>
      </c>
      <c r="EO37" s="141">
        <v>58292</v>
      </c>
      <c r="EP37" s="141">
        <v>2584</v>
      </c>
      <c r="EQ37" s="141">
        <v>15800</v>
      </c>
      <c r="ER37" s="73">
        <f t="shared" si="12"/>
        <v>1794422</v>
      </c>
      <c r="ES37" s="141">
        <v>13429641</v>
      </c>
      <c r="ET37" s="141">
        <v>-2082444</v>
      </c>
      <c r="EU37" s="141">
        <v>2900651</v>
      </c>
      <c r="EV37" s="141">
        <v>1821513</v>
      </c>
      <c r="EW37" s="141">
        <v>1801176</v>
      </c>
      <c r="EX37" s="141">
        <v>1904711</v>
      </c>
      <c r="EY37" s="73">
        <f t="shared" si="13"/>
        <v>249346</v>
      </c>
      <c r="EZ37" s="141">
        <v>249060</v>
      </c>
      <c r="FA37" s="141">
        <v>22827</v>
      </c>
      <c r="FB37" s="141">
        <v>221900</v>
      </c>
      <c r="FC37" s="141">
        <v>286</v>
      </c>
      <c r="FD37" s="141">
        <v>0</v>
      </c>
      <c r="FE37" s="141">
        <v>3244705</v>
      </c>
      <c r="FF37" s="141">
        <v>2492890</v>
      </c>
      <c r="FG37" s="141">
        <v>322858</v>
      </c>
      <c r="FH37" s="141">
        <v>1718190</v>
      </c>
      <c r="FI37" s="73">
        <f t="shared" si="14"/>
        <v>432803</v>
      </c>
      <c r="FJ37" s="141">
        <v>14744472</v>
      </c>
      <c r="FK37" s="379">
        <f t="shared" si="15"/>
        <v>5.7</v>
      </c>
      <c r="FL37" s="141">
        <v>12587411</v>
      </c>
      <c r="FM37" s="141">
        <v>277727</v>
      </c>
      <c r="FN37" s="141">
        <v>6882355</v>
      </c>
      <c r="FO37" s="141">
        <v>10685396</v>
      </c>
      <c r="FP37" s="390">
        <v>0.66400000000000003</v>
      </c>
      <c r="FQ37" s="380">
        <v>94.7</v>
      </c>
      <c r="FR37" s="381">
        <v>21.9</v>
      </c>
      <c r="FS37" s="380">
        <v>13.5</v>
      </c>
      <c r="FT37" s="380">
        <v>14.4</v>
      </c>
      <c r="FU37" s="381">
        <v>19.600000000000001</v>
      </c>
      <c r="FV37" s="380">
        <v>12.7</v>
      </c>
      <c r="FW37" s="382">
        <v>12.5</v>
      </c>
      <c r="FX37" s="383">
        <v>3.7</v>
      </c>
      <c r="FY37" s="141">
        <v>15338789</v>
      </c>
      <c r="FZ37" s="384">
        <f t="shared" si="16"/>
        <v>119.2</v>
      </c>
      <c r="GA37" s="141">
        <v>4234304</v>
      </c>
      <c r="GB37" s="141">
        <v>3241602</v>
      </c>
      <c r="GC37" s="141">
        <v>147692</v>
      </c>
      <c r="GD37" s="141">
        <v>845010</v>
      </c>
      <c r="GE37" s="107">
        <v>0</v>
      </c>
      <c r="GF37" s="385"/>
      <c r="GG37" s="386"/>
      <c r="GH37" s="380">
        <v>99.2</v>
      </c>
      <c r="GI37" s="380">
        <v>14.3</v>
      </c>
      <c r="GJ37" s="380">
        <v>96.4</v>
      </c>
      <c r="GK37" s="141">
        <v>318</v>
      </c>
      <c r="GL37" s="391" t="s">
        <v>646</v>
      </c>
      <c r="GM37" s="391">
        <v>12.96</v>
      </c>
      <c r="GN37" s="117">
        <v>20</v>
      </c>
      <c r="GO37" s="391" t="s">
        <v>646</v>
      </c>
      <c r="GP37" s="392">
        <v>17.96</v>
      </c>
      <c r="GQ37" s="387">
        <v>30</v>
      </c>
      <c r="GR37" s="381">
        <v>3.7</v>
      </c>
      <c r="GS37" s="388">
        <v>25</v>
      </c>
      <c r="GT37" s="388">
        <v>35</v>
      </c>
      <c r="GU37" s="393" t="s">
        <v>646</v>
      </c>
      <c r="GV37" s="388">
        <v>350</v>
      </c>
      <c r="GW37" s="394"/>
      <c r="GX37" s="100">
        <f t="shared" si="17"/>
        <v>12865</v>
      </c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  <c r="HW37" s="394"/>
      <c r="HX37" s="394"/>
    </row>
    <row r="38" spans="1:232" x14ac:dyDescent="0.15">
      <c r="B38" s="89" t="s">
        <v>65</v>
      </c>
      <c r="C38" s="141">
        <v>5489303</v>
      </c>
      <c r="D38" s="73">
        <f t="shared" si="0"/>
        <v>2439112</v>
      </c>
      <c r="E38" s="141">
        <v>87794</v>
      </c>
      <c r="F38" s="141">
        <v>2351318</v>
      </c>
      <c r="G38" s="73">
        <f t="shared" si="1"/>
        <v>213612</v>
      </c>
      <c r="H38" s="141">
        <v>82522</v>
      </c>
      <c r="I38" s="141">
        <v>131090</v>
      </c>
      <c r="J38" s="141">
        <v>1994155</v>
      </c>
      <c r="K38" s="141">
        <v>636318</v>
      </c>
      <c r="L38" s="141">
        <v>1038761</v>
      </c>
      <c r="M38" s="141">
        <v>272576</v>
      </c>
      <c r="N38" s="141">
        <v>288580</v>
      </c>
      <c r="O38" s="141">
        <v>396199</v>
      </c>
      <c r="P38" s="141">
        <v>179508</v>
      </c>
      <c r="Q38" s="141">
        <v>216691</v>
      </c>
      <c r="R38" s="141">
        <v>115465</v>
      </c>
      <c r="S38" s="74"/>
      <c r="T38" s="73">
        <f t="shared" si="2"/>
        <v>1296307</v>
      </c>
      <c r="U38" s="141">
        <v>6033</v>
      </c>
      <c r="V38" s="141">
        <v>50222</v>
      </c>
      <c r="W38" s="141">
        <v>35805</v>
      </c>
      <c r="X38" s="141">
        <v>1108713</v>
      </c>
      <c r="Y38" s="141">
        <v>813</v>
      </c>
      <c r="Z38" s="141">
        <v>0</v>
      </c>
      <c r="AA38" s="141">
        <v>839</v>
      </c>
      <c r="AB38" s="141">
        <v>25110</v>
      </c>
      <c r="AC38" s="141">
        <v>68772</v>
      </c>
      <c r="AD38" s="141">
        <v>39608</v>
      </c>
      <c r="AE38" s="141">
        <v>5326030</v>
      </c>
      <c r="AF38" s="141">
        <v>5018612</v>
      </c>
      <c r="AG38" s="141">
        <v>307418</v>
      </c>
      <c r="AH38" s="141">
        <v>5700</v>
      </c>
      <c r="AI38" s="141">
        <v>4356</v>
      </c>
      <c r="AJ38" s="73">
        <f t="shared" si="3"/>
        <v>193791</v>
      </c>
      <c r="AK38" s="141">
        <v>110030</v>
      </c>
      <c r="AL38" s="141">
        <v>83761</v>
      </c>
      <c r="AM38" s="141">
        <v>4607589</v>
      </c>
      <c r="AN38" s="73">
        <f t="shared" si="4"/>
        <v>1938706</v>
      </c>
      <c r="AO38" s="141">
        <v>758044</v>
      </c>
      <c r="AP38" s="141">
        <v>491303</v>
      </c>
      <c r="AQ38" s="74"/>
      <c r="AR38" s="141">
        <v>689359</v>
      </c>
      <c r="AS38" s="141">
        <v>990</v>
      </c>
      <c r="AT38" s="141">
        <v>0</v>
      </c>
      <c r="AU38" s="141">
        <v>0</v>
      </c>
      <c r="AV38" s="141">
        <v>1654597</v>
      </c>
      <c r="AW38" s="141">
        <v>925843</v>
      </c>
      <c r="AX38" s="141">
        <v>216717</v>
      </c>
      <c r="AY38" s="141">
        <v>0</v>
      </c>
      <c r="AZ38" s="141">
        <v>728754</v>
      </c>
      <c r="BA38" s="141">
        <v>8618</v>
      </c>
      <c r="BB38" s="141">
        <v>11505</v>
      </c>
      <c r="BC38" s="141">
        <v>5653</v>
      </c>
      <c r="BD38" s="141">
        <v>680839</v>
      </c>
      <c r="BE38" s="141">
        <v>515687</v>
      </c>
      <c r="BF38" s="141">
        <v>0</v>
      </c>
      <c r="BG38" s="141">
        <v>0</v>
      </c>
      <c r="BH38" s="141">
        <v>484724</v>
      </c>
      <c r="BI38" s="141">
        <v>0</v>
      </c>
      <c r="BJ38" s="141">
        <v>427481</v>
      </c>
      <c r="BK38" s="141">
        <v>419538</v>
      </c>
      <c r="BL38" s="141">
        <v>137316</v>
      </c>
      <c r="BM38" s="141">
        <v>0</v>
      </c>
      <c r="BN38" s="141">
        <v>86</v>
      </c>
      <c r="BO38" s="141">
        <v>0</v>
      </c>
      <c r="BP38" s="141">
        <v>370315</v>
      </c>
      <c r="BQ38" s="73">
        <f t="shared" si="5"/>
        <v>181100</v>
      </c>
      <c r="BR38" s="73">
        <f t="shared" si="6"/>
        <v>189215</v>
      </c>
      <c r="BS38" s="141">
        <v>0</v>
      </c>
      <c r="BT38" s="141">
        <v>0</v>
      </c>
      <c r="BU38" s="141">
        <v>189215</v>
      </c>
      <c r="BV38" s="141">
        <v>0</v>
      </c>
      <c r="BW38" s="141">
        <v>20875889</v>
      </c>
      <c r="BX38" s="71"/>
      <c r="BY38" s="141">
        <v>3568920</v>
      </c>
      <c r="BZ38" s="141">
        <v>2101329</v>
      </c>
      <c r="CA38" s="141">
        <v>304517</v>
      </c>
      <c r="CB38" s="141">
        <v>485452</v>
      </c>
      <c r="CC38" s="141">
        <v>5221554</v>
      </c>
      <c r="CD38" s="141">
        <v>2042615</v>
      </c>
      <c r="CE38" s="141">
        <v>4662</v>
      </c>
      <c r="CF38" s="141">
        <v>1871364</v>
      </c>
      <c r="CG38" s="141">
        <v>952860</v>
      </c>
      <c r="CH38" s="141">
        <v>4787</v>
      </c>
      <c r="CI38" s="141">
        <v>345266</v>
      </c>
      <c r="CJ38" s="141">
        <v>1410143</v>
      </c>
      <c r="CK38" s="141">
        <v>1334018</v>
      </c>
      <c r="CL38" s="83">
        <f t="shared" si="7"/>
        <v>76125</v>
      </c>
      <c r="CM38" s="141">
        <v>3005875</v>
      </c>
      <c r="CN38" s="141">
        <v>2307278</v>
      </c>
      <c r="CO38" s="102"/>
      <c r="CP38" s="141">
        <v>336628</v>
      </c>
      <c r="CQ38" s="141">
        <v>38793</v>
      </c>
      <c r="CR38" s="141">
        <v>2828975</v>
      </c>
      <c r="CS38" s="141">
        <v>1165586</v>
      </c>
      <c r="CT38" s="141">
        <v>574810</v>
      </c>
      <c r="CU38" s="141">
        <v>347842</v>
      </c>
      <c r="CV38" s="73">
        <f t="shared" si="8"/>
        <v>621450</v>
      </c>
      <c r="CW38" s="141">
        <v>294668</v>
      </c>
      <c r="CX38" s="141">
        <v>326782</v>
      </c>
      <c r="CY38" s="73">
        <f t="shared" si="9"/>
        <v>283750</v>
      </c>
      <c r="CZ38" s="141">
        <v>236463</v>
      </c>
      <c r="DA38" s="141">
        <v>47287</v>
      </c>
      <c r="DB38" s="73">
        <f t="shared" si="10"/>
        <v>337700</v>
      </c>
      <c r="DC38" s="141">
        <v>58205</v>
      </c>
      <c r="DD38" s="141">
        <v>279495</v>
      </c>
      <c r="DE38" s="141">
        <v>368486</v>
      </c>
      <c r="DF38" s="141">
        <v>34193</v>
      </c>
      <c r="DG38" s="141">
        <v>334293</v>
      </c>
      <c r="DH38" s="141">
        <v>0</v>
      </c>
      <c r="DI38" s="141">
        <v>0</v>
      </c>
      <c r="DJ38" s="141">
        <v>0</v>
      </c>
      <c r="DK38" s="141">
        <v>1528719</v>
      </c>
      <c r="DL38" s="141">
        <v>392885</v>
      </c>
      <c r="DM38" s="141">
        <v>52</v>
      </c>
      <c r="DN38" s="141">
        <v>1135782</v>
      </c>
      <c r="DO38" s="141">
        <v>154200</v>
      </c>
      <c r="DP38" s="141">
        <v>154200</v>
      </c>
      <c r="DQ38" s="141">
        <v>0</v>
      </c>
      <c r="DR38" s="141">
        <v>0</v>
      </c>
      <c r="DS38" s="141">
        <v>0</v>
      </c>
      <c r="DT38" s="141">
        <v>0</v>
      </c>
      <c r="DU38" s="141">
        <v>0</v>
      </c>
      <c r="DV38" s="141">
        <v>2455646</v>
      </c>
      <c r="DW38" s="141">
        <v>0</v>
      </c>
      <c r="DX38" s="73">
        <f t="shared" si="11"/>
        <v>0</v>
      </c>
      <c r="DY38" s="141">
        <v>0</v>
      </c>
      <c r="DZ38" s="141">
        <v>999110</v>
      </c>
      <c r="EA38" s="141">
        <v>0</v>
      </c>
      <c r="EB38" s="141">
        <v>656182</v>
      </c>
      <c r="EC38" s="74">
        <v>0</v>
      </c>
      <c r="ED38" s="141">
        <v>800354</v>
      </c>
      <c r="EE38" s="141">
        <v>0</v>
      </c>
      <c r="EF38" s="141">
        <v>20581311</v>
      </c>
      <c r="EG38" s="71"/>
      <c r="EH38" s="141">
        <v>294578</v>
      </c>
      <c r="EI38" s="141">
        <v>12602</v>
      </c>
      <c r="EJ38" s="141">
        <v>281976</v>
      </c>
      <c r="EK38" s="141">
        <v>-137562</v>
      </c>
      <c r="EL38" s="141">
        <v>255323</v>
      </c>
      <c r="EM38" s="71"/>
      <c r="EN38" s="141">
        <v>51254</v>
      </c>
      <c r="EO38" s="141">
        <v>51579</v>
      </c>
      <c r="EP38" s="141">
        <v>47</v>
      </c>
      <c r="EQ38" s="141">
        <v>6743</v>
      </c>
      <c r="ER38" s="73">
        <f t="shared" si="12"/>
        <v>1301833</v>
      </c>
      <c r="ES38" s="141">
        <v>12272413</v>
      </c>
      <c r="ET38" s="141">
        <v>-1492138</v>
      </c>
      <c r="EU38" s="141">
        <v>3200253</v>
      </c>
      <c r="EV38" s="141">
        <v>1908424</v>
      </c>
      <c r="EW38" s="141">
        <v>1253048</v>
      </c>
      <c r="EX38" s="141">
        <v>1410143</v>
      </c>
      <c r="EY38" s="73">
        <f t="shared" si="13"/>
        <v>93710</v>
      </c>
      <c r="EZ38" s="141">
        <v>93710</v>
      </c>
      <c r="FA38" s="141">
        <v>2065</v>
      </c>
      <c r="FB38" s="141">
        <v>91645</v>
      </c>
      <c r="FC38" s="141">
        <v>0</v>
      </c>
      <c r="FD38" s="141">
        <v>0</v>
      </c>
      <c r="FE38" s="141">
        <v>1992490</v>
      </c>
      <c r="FF38" s="141">
        <v>2532217</v>
      </c>
      <c r="FG38" s="141">
        <v>1119312</v>
      </c>
      <c r="FH38" s="141">
        <v>1929517</v>
      </c>
      <c r="FI38" s="73">
        <f t="shared" si="14"/>
        <v>1058595</v>
      </c>
      <c r="FJ38" s="141">
        <v>13469973</v>
      </c>
      <c r="FK38" s="379">
        <f t="shared" si="15"/>
        <v>2.4</v>
      </c>
      <c r="FL38" s="141">
        <v>11393151</v>
      </c>
      <c r="FM38" s="141">
        <v>189215</v>
      </c>
      <c r="FN38" s="141">
        <v>5092761</v>
      </c>
      <c r="FO38" s="141">
        <v>9944175</v>
      </c>
      <c r="FP38" s="390">
        <v>0.51900000000000002</v>
      </c>
      <c r="FQ38" s="380">
        <v>92.5</v>
      </c>
      <c r="FR38" s="381">
        <v>26.3</v>
      </c>
      <c r="FS38" s="380">
        <v>10.6</v>
      </c>
      <c r="FT38" s="380">
        <v>11.9</v>
      </c>
      <c r="FU38" s="381">
        <v>12.6</v>
      </c>
      <c r="FV38" s="380">
        <v>13.9</v>
      </c>
      <c r="FW38" s="382">
        <v>16.3</v>
      </c>
      <c r="FX38" s="383">
        <v>6.2</v>
      </c>
      <c r="FY38" s="141">
        <v>14728951</v>
      </c>
      <c r="FZ38" s="384">
        <f t="shared" si="16"/>
        <v>127.2</v>
      </c>
      <c r="GA38" s="141">
        <v>4193535</v>
      </c>
      <c r="GB38" s="141">
        <v>1383033</v>
      </c>
      <c r="GC38" s="141">
        <v>216198</v>
      </c>
      <c r="GD38" s="141">
        <v>2594304</v>
      </c>
      <c r="GE38" s="107">
        <v>0</v>
      </c>
      <c r="GF38" s="385"/>
      <c r="GG38" s="386"/>
      <c r="GH38" s="380">
        <v>99</v>
      </c>
      <c r="GI38" s="380">
        <v>31.3</v>
      </c>
      <c r="GJ38" s="380">
        <v>97.2</v>
      </c>
      <c r="GK38" s="141">
        <v>325</v>
      </c>
      <c r="GL38" s="391" t="s">
        <v>646</v>
      </c>
      <c r="GM38" s="391">
        <v>13.11</v>
      </c>
      <c r="GN38" s="117">
        <v>20</v>
      </c>
      <c r="GO38" s="391" t="s">
        <v>646</v>
      </c>
      <c r="GP38" s="392">
        <v>18.11</v>
      </c>
      <c r="GQ38" s="387">
        <v>30</v>
      </c>
      <c r="GR38" s="381">
        <v>6.2</v>
      </c>
      <c r="GS38" s="388">
        <v>25</v>
      </c>
      <c r="GT38" s="388">
        <v>35</v>
      </c>
      <c r="GU38" s="393">
        <v>26.4</v>
      </c>
      <c r="GV38" s="388">
        <v>350</v>
      </c>
      <c r="GW38" s="394"/>
      <c r="GX38" s="100">
        <f t="shared" si="17"/>
        <v>11582</v>
      </c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  <c r="HW38" s="394"/>
      <c r="HX38" s="394"/>
    </row>
    <row r="39" spans="1:232" s="112" customFormat="1" x14ac:dyDescent="0.15">
      <c r="A39" s="126"/>
      <c r="B39" s="126" t="s">
        <v>67</v>
      </c>
      <c r="C39" s="137">
        <v>782773724</v>
      </c>
      <c r="D39" s="127">
        <f t="shared" si="0"/>
        <v>299984211</v>
      </c>
      <c r="E39" s="137">
        <v>8480443</v>
      </c>
      <c r="F39" s="137">
        <v>291503768</v>
      </c>
      <c r="G39" s="127">
        <f t="shared" si="1"/>
        <v>47958915</v>
      </c>
      <c r="H39" s="137">
        <v>14229031</v>
      </c>
      <c r="I39" s="137">
        <v>33729884</v>
      </c>
      <c r="J39" s="137">
        <v>318046097</v>
      </c>
      <c r="K39" s="137">
        <v>127115528</v>
      </c>
      <c r="L39" s="137">
        <v>142599884</v>
      </c>
      <c r="M39" s="137">
        <v>43132630</v>
      </c>
      <c r="N39" s="137">
        <v>34813783</v>
      </c>
      <c r="O39" s="137">
        <v>65460022</v>
      </c>
      <c r="P39" s="137">
        <v>34784625</v>
      </c>
      <c r="Q39" s="137">
        <v>30675397</v>
      </c>
      <c r="R39" s="137">
        <v>10374283</v>
      </c>
      <c r="S39" s="129">
        <f>SUM(S8:S38)</f>
        <v>0</v>
      </c>
      <c r="T39" s="129">
        <f>SUM(T8:T38)</f>
        <v>142549269</v>
      </c>
      <c r="U39" s="137">
        <v>733377</v>
      </c>
      <c r="V39" s="137">
        <v>6123470</v>
      </c>
      <c r="W39" s="137">
        <v>4382298</v>
      </c>
      <c r="X39" s="137">
        <v>117206201</v>
      </c>
      <c r="Y39" s="137">
        <v>644022</v>
      </c>
      <c r="Z39" s="137">
        <v>0</v>
      </c>
      <c r="AA39" s="137">
        <v>63718</v>
      </c>
      <c r="AB39" s="137">
        <v>1906615</v>
      </c>
      <c r="AC39" s="137">
        <v>11489568</v>
      </c>
      <c r="AD39" s="137">
        <v>5527701</v>
      </c>
      <c r="AE39" s="137">
        <v>242822241</v>
      </c>
      <c r="AF39" s="137">
        <v>231097156</v>
      </c>
      <c r="AG39" s="137">
        <v>11724978</v>
      </c>
      <c r="AH39" s="137">
        <v>627406</v>
      </c>
      <c r="AI39" s="137">
        <v>12375111</v>
      </c>
      <c r="AJ39" s="129">
        <f>SUM(AJ8:AJ38)</f>
        <v>29581084</v>
      </c>
      <c r="AK39" s="137">
        <v>21944442</v>
      </c>
      <c r="AL39" s="137">
        <v>7636642</v>
      </c>
      <c r="AM39" s="137">
        <v>601974647</v>
      </c>
      <c r="AN39" s="129">
        <f>SUM(AN8:AN38)</f>
        <v>283172418</v>
      </c>
      <c r="AO39" s="137">
        <v>147627749</v>
      </c>
      <c r="AP39" s="137">
        <v>64675362</v>
      </c>
      <c r="AQ39" s="129">
        <f>SUM(AQ8:AQ38)</f>
        <v>0</v>
      </c>
      <c r="AR39" s="137">
        <v>70869307</v>
      </c>
      <c r="AS39" s="137">
        <v>18702368</v>
      </c>
      <c r="AT39" s="137">
        <v>24778</v>
      </c>
      <c r="AU39" s="137">
        <v>274613</v>
      </c>
      <c r="AV39" s="137">
        <v>173770426</v>
      </c>
      <c r="AW39" s="137">
        <v>119634738</v>
      </c>
      <c r="AX39" s="137">
        <v>29225291</v>
      </c>
      <c r="AY39" s="137">
        <v>3845060</v>
      </c>
      <c r="AZ39" s="137">
        <v>54135688</v>
      </c>
      <c r="BA39" s="137">
        <v>3253786</v>
      </c>
      <c r="BB39" s="137">
        <v>11923981</v>
      </c>
      <c r="BC39" s="137">
        <v>9406970</v>
      </c>
      <c r="BD39" s="137">
        <v>29247951</v>
      </c>
      <c r="BE39" s="137">
        <v>49866886</v>
      </c>
      <c r="BF39" s="137">
        <v>13267995</v>
      </c>
      <c r="BG39" s="137">
        <v>3179145</v>
      </c>
      <c r="BH39" s="137">
        <v>32005048</v>
      </c>
      <c r="BI39" s="137">
        <v>205259</v>
      </c>
      <c r="BJ39" s="137">
        <v>46161838</v>
      </c>
      <c r="BK39" s="137">
        <v>32947156</v>
      </c>
      <c r="BL39" s="137">
        <v>45571255</v>
      </c>
      <c r="BM39" s="137">
        <v>7299002</v>
      </c>
      <c r="BN39" s="137">
        <v>14341</v>
      </c>
      <c r="BO39" s="137">
        <v>9989533</v>
      </c>
      <c r="BP39" s="137">
        <v>102530251</v>
      </c>
      <c r="BQ39" s="127">
        <f t="shared" si="5"/>
        <v>75198228</v>
      </c>
      <c r="BR39" s="127">
        <f t="shared" si="6"/>
        <v>27332023</v>
      </c>
      <c r="BS39" s="137">
        <v>0</v>
      </c>
      <c r="BT39" s="137">
        <v>0</v>
      </c>
      <c r="BU39" s="137">
        <v>27332023</v>
      </c>
      <c r="BV39" s="137">
        <v>0</v>
      </c>
      <c r="BW39" s="137">
        <v>2287952667</v>
      </c>
      <c r="BX39" s="129"/>
      <c r="BY39" s="137">
        <v>311864508</v>
      </c>
      <c r="BZ39" s="137">
        <v>198005013</v>
      </c>
      <c r="CA39" s="137">
        <v>15709379</v>
      </c>
      <c r="CB39" s="137">
        <v>40819373</v>
      </c>
      <c r="CC39" s="137">
        <v>723282790</v>
      </c>
      <c r="CD39" s="137">
        <v>221116689</v>
      </c>
      <c r="CE39" s="137">
        <v>1536912</v>
      </c>
      <c r="CF39" s="137">
        <v>271725831</v>
      </c>
      <c r="CG39" s="137">
        <v>195388917</v>
      </c>
      <c r="CH39" s="137">
        <v>10312201</v>
      </c>
      <c r="CI39" s="137">
        <v>23179030</v>
      </c>
      <c r="CJ39" s="137">
        <v>159897534</v>
      </c>
      <c r="CK39" s="137">
        <v>154106883</v>
      </c>
      <c r="CL39" s="129">
        <f>SUM(CL8:CL38)</f>
        <v>5790651</v>
      </c>
      <c r="CM39" s="137">
        <v>319332047</v>
      </c>
      <c r="CN39" s="137">
        <v>232955636</v>
      </c>
      <c r="CO39" s="129"/>
      <c r="CP39" s="137">
        <v>44007318</v>
      </c>
      <c r="CQ39" s="137">
        <v>16853465</v>
      </c>
      <c r="CR39" s="137">
        <v>225016940</v>
      </c>
      <c r="CS39" s="137">
        <v>35666189</v>
      </c>
      <c r="CT39" s="137">
        <v>60664349</v>
      </c>
      <c r="CU39" s="137">
        <v>44899121</v>
      </c>
      <c r="CV39" s="127">
        <f t="shared" si="8"/>
        <v>68245871</v>
      </c>
      <c r="CW39" s="137">
        <v>46085509</v>
      </c>
      <c r="CX39" s="137">
        <v>22160362</v>
      </c>
      <c r="CY39" s="127">
        <f t="shared" si="9"/>
        <v>11762871</v>
      </c>
      <c r="CZ39" s="137">
        <v>9610372</v>
      </c>
      <c r="DA39" s="137">
        <v>2152499</v>
      </c>
      <c r="DB39" s="127">
        <f t="shared" si="10"/>
        <v>49922179</v>
      </c>
      <c r="DC39" s="137">
        <v>34382692</v>
      </c>
      <c r="DD39" s="137">
        <v>15539487</v>
      </c>
      <c r="DE39" s="137">
        <v>193344271</v>
      </c>
      <c r="DF39" s="137">
        <v>92166194</v>
      </c>
      <c r="DG39" s="137">
        <v>95205291</v>
      </c>
      <c r="DH39" s="137">
        <v>2123302</v>
      </c>
      <c r="DI39" s="137">
        <v>3693281</v>
      </c>
      <c r="DJ39" s="137">
        <v>180318</v>
      </c>
      <c r="DK39" s="137">
        <v>78428423</v>
      </c>
      <c r="DL39" s="137">
        <v>24227083</v>
      </c>
      <c r="DM39" s="137">
        <v>3367470</v>
      </c>
      <c r="DN39" s="137">
        <v>50833870</v>
      </c>
      <c r="DO39" s="137">
        <v>6268006</v>
      </c>
      <c r="DP39" s="137">
        <v>6262006</v>
      </c>
      <c r="DQ39" s="137">
        <v>538094</v>
      </c>
      <c r="DR39" s="137">
        <v>1296889</v>
      </c>
      <c r="DS39" s="137">
        <v>6014496</v>
      </c>
      <c r="DT39" s="137">
        <v>0</v>
      </c>
      <c r="DU39" s="137">
        <v>0</v>
      </c>
      <c r="DV39" s="137">
        <v>201328065</v>
      </c>
      <c r="DW39" s="137">
        <v>71916</v>
      </c>
      <c r="DX39" s="127">
        <f t="shared" si="11"/>
        <v>0</v>
      </c>
      <c r="DY39" s="137">
        <v>0</v>
      </c>
      <c r="DZ39" s="137">
        <v>74462418</v>
      </c>
      <c r="EA39" s="137">
        <v>41057</v>
      </c>
      <c r="EB39" s="137">
        <v>52787746</v>
      </c>
      <c r="EC39" s="129">
        <v>0</v>
      </c>
      <c r="ED39" s="137">
        <v>73549716</v>
      </c>
      <c r="EE39" s="137">
        <v>0</v>
      </c>
      <c r="EF39" s="137">
        <v>2241810863</v>
      </c>
      <c r="EG39" s="129"/>
      <c r="EH39" s="137">
        <v>46141804</v>
      </c>
      <c r="EI39" s="137">
        <v>14126668</v>
      </c>
      <c r="EJ39" s="137">
        <v>32015136</v>
      </c>
      <c r="EK39" s="137">
        <v>-5355020</v>
      </c>
      <c r="EL39" s="137">
        <v>13935791</v>
      </c>
      <c r="EM39" s="129"/>
      <c r="EN39" s="129">
        <f>SUM(EN8:EN38)</f>
        <v>5083707</v>
      </c>
      <c r="EO39" s="129">
        <v>5046141</v>
      </c>
      <c r="EP39" s="137">
        <v>20057385</v>
      </c>
      <c r="EQ39" s="137">
        <v>7002476</v>
      </c>
      <c r="ER39" s="127">
        <f t="shared" si="12"/>
        <v>134038922</v>
      </c>
      <c r="ES39" s="137">
        <v>1184949237</v>
      </c>
      <c r="ET39" s="137">
        <v>-187528787</v>
      </c>
      <c r="EU39" s="137">
        <v>282441068</v>
      </c>
      <c r="EV39" s="137">
        <v>179550627</v>
      </c>
      <c r="EW39" s="137">
        <v>196586336</v>
      </c>
      <c r="EX39" s="137">
        <v>154486134</v>
      </c>
      <c r="EY39" s="127">
        <f t="shared" si="13"/>
        <v>49918904</v>
      </c>
      <c r="EZ39" s="137">
        <v>49892546</v>
      </c>
      <c r="FA39" s="137">
        <v>7451371</v>
      </c>
      <c r="FB39" s="137">
        <v>42061171</v>
      </c>
      <c r="FC39" s="137">
        <v>26358</v>
      </c>
      <c r="FD39" s="137">
        <v>0</v>
      </c>
      <c r="FE39" s="137">
        <v>218080105</v>
      </c>
      <c r="FF39" s="137">
        <v>194999610</v>
      </c>
      <c r="FG39" s="137">
        <v>35139144</v>
      </c>
      <c r="FH39" s="137">
        <v>156658949</v>
      </c>
      <c r="FI39" s="127">
        <f t="shared" si="14"/>
        <v>73418234</v>
      </c>
      <c r="FJ39" s="137">
        <v>1326589340</v>
      </c>
      <c r="FK39" s="396">
        <f t="shared" si="15"/>
        <v>2.9</v>
      </c>
      <c r="FL39" s="137">
        <v>1077633800</v>
      </c>
      <c r="FM39" s="137">
        <v>31763575</v>
      </c>
      <c r="FN39" s="137">
        <v>662590720</v>
      </c>
      <c r="FO39" s="137">
        <v>894465693</v>
      </c>
      <c r="FP39" s="397">
        <v>0.754</v>
      </c>
      <c r="FQ39" s="398">
        <v>94.5</v>
      </c>
      <c r="FR39" s="399">
        <v>24.1</v>
      </c>
      <c r="FS39" s="398">
        <v>16.399999999999999</v>
      </c>
      <c r="FT39" s="398">
        <v>13</v>
      </c>
      <c r="FU39" s="399">
        <v>15.4</v>
      </c>
      <c r="FV39" s="398">
        <v>11.3</v>
      </c>
      <c r="FW39" s="400">
        <v>12.7</v>
      </c>
      <c r="FX39" s="401">
        <v>3</v>
      </c>
      <c r="FY39" s="137">
        <v>1423635632</v>
      </c>
      <c r="FZ39" s="402">
        <f t="shared" si="16"/>
        <v>128.30000000000001</v>
      </c>
      <c r="GA39" s="137">
        <v>481321435</v>
      </c>
      <c r="GB39" s="137">
        <v>197294008</v>
      </c>
      <c r="GC39" s="137">
        <v>41674573</v>
      </c>
      <c r="GD39" s="137">
        <v>242352854</v>
      </c>
      <c r="GE39" s="129">
        <v>0</v>
      </c>
      <c r="GF39" s="137">
        <f>SUM(GF8:GF38)</f>
        <v>17704</v>
      </c>
      <c r="GG39" s="403">
        <f>IF(GF39=0,"-",ROUND(GF39/GY39*100,1))</f>
        <v>4.7</v>
      </c>
      <c r="GH39" s="398">
        <v>99.5</v>
      </c>
      <c r="GI39" s="398">
        <v>37.5</v>
      </c>
      <c r="GJ39" s="398">
        <v>98.7</v>
      </c>
      <c r="GK39" s="129">
        <f>SUM(GK8:GK38)</f>
        <v>30120</v>
      </c>
      <c r="GL39" s="404" t="s">
        <v>646</v>
      </c>
      <c r="GM39" s="404" t="s">
        <v>646</v>
      </c>
      <c r="GN39" s="405" t="s">
        <v>646</v>
      </c>
      <c r="GO39" s="404" t="s">
        <v>646</v>
      </c>
      <c r="GP39" s="404" t="s">
        <v>646</v>
      </c>
      <c r="GQ39" s="405" t="s">
        <v>646</v>
      </c>
      <c r="GR39" s="399">
        <v>3</v>
      </c>
      <c r="GS39" s="403" t="s">
        <v>646</v>
      </c>
      <c r="GT39" s="403" t="s">
        <v>646</v>
      </c>
      <c r="GU39" s="406" t="s">
        <v>646</v>
      </c>
      <c r="GV39" s="403" t="s">
        <v>646</v>
      </c>
      <c r="GW39" s="407"/>
      <c r="GX39" s="128">
        <f t="shared" si="17"/>
        <v>1109397</v>
      </c>
      <c r="GY39" s="408">
        <f>GX12+GX13+GX16+GX17+GX19+GX23+GX26+GX27+GX30+GX31+GX36</f>
        <v>372775</v>
      </c>
      <c r="GZ39" s="408"/>
      <c r="HA39" s="408"/>
      <c r="HB39" s="408"/>
      <c r="HC39" s="408"/>
      <c r="HD39" s="408"/>
      <c r="HE39" s="408"/>
      <c r="HF39" s="408"/>
      <c r="HG39" s="408"/>
      <c r="HH39" s="408"/>
      <c r="HI39" s="408"/>
      <c r="HJ39" s="408"/>
      <c r="HK39" s="408"/>
      <c r="HL39" s="408"/>
      <c r="HM39" s="408"/>
      <c r="HN39" s="408"/>
      <c r="HO39" s="408"/>
      <c r="HP39" s="408"/>
      <c r="HQ39" s="408"/>
      <c r="HR39" s="408"/>
      <c r="HS39" s="408"/>
      <c r="HT39" s="408"/>
      <c r="HU39" s="408"/>
      <c r="HV39" s="408"/>
      <c r="HW39" s="408"/>
      <c r="HX39" s="408"/>
    </row>
    <row r="40" spans="1:232" x14ac:dyDescent="0.15">
      <c r="B40" s="89" t="s">
        <v>69</v>
      </c>
      <c r="C40" s="141">
        <v>4930797</v>
      </c>
      <c r="D40" s="73">
        <f t="shared" si="0"/>
        <v>1891592</v>
      </c>
      <c r="E40" s="141">
        <v>56350</v>
      </c>
      <c r="F40" s="141">
        <v>1835242</v>
      </c>
      <c r="G40" s="73">
        <f t="shared" si="1"/>
        <v>475688</v>
      </c>
      <c r="H40" s="141">
        <v>59697</v>
      </c>
      <c r="I40" s="141">
        <v>415991</v>
      </c>
      <c r="J40" s="141">
        <v>1981999</v>
      </c>
      <c r="K40" s="141">
        <v>629369</v>
      </c>
      <c r="L40" s="141">
        <v>928035</v>
      </c>
      <c r="M40" s="141">
        <v>398359</v>
      </c>
      <c r="N40" s="141">
        <v>118481</v>
      </c>
      <c r="O40" s="141">
        <v>390035</v>
      </c>
      <c r="P40" s="141">
        <v>183094</v>
      </c>
      <c r="Q40" s="141">
        <v>206941</v>
      </c>
      <c r="R40" s="141">
        <v>57775</v>
      </c>
      <c r="S40" s="74"/>
      <c r="T40" s="73">
        <f t="shared" ref="T40:T52" si="18">SUM(U40:AC40)</f>
        <v>873456</v>
      </c>
      <c r="U40" s="141">
        <v>4518</v>
      </c>
      <c r="V40" s="141">
        <v>37822</v>
      </c>
      <c r="W40" s="141">
        <v>27141</v>
      </c>
      <c r="X40" s="141">
        <v>666821</v>
      </c>
      <c r="Y40" s="141">
        <v>44349</v>
      </c>
      <c r="Z40" s="141">
        <v>0</v>
      </c>
      <c r="AA40" s="141">
        <v>416</v>
      </c>
      <c r="AB40" s="141">
        <v>12441</v>
      </c>
      <c r="AC40" s="141">
        <v>79948</v>
      </c>
      <c r="AD40" s="141">
        <v>53632</v>
      </c>
      <c r="AE40" s="141">
        <v>2001267</v>
      </c>
      <c r="AF40" s="141">
        <v>1867550</v>
      </c>
      <c r="AG40" s="141">
        <v>133717</v>
      </c>
      <c r="AH40" s="141">
        <v>2424</v>
      </c>
      <c r="AI40" s="141">
        <v>67489</v>
      </c>
      <c r="AJ40" s="73">
        <f t="shared" ref="AJ40:AJ52" si="19">AK40+AL40</f>
        <v>211776</v>
      </c>
      <c r="AK40" s="141">
        <v>176692</v>
      </c>
      <c r="AL40" s="141">
        <v>35084</v>
      </c>
      <c r="AM40" s="141">
        <v>2990906</v>
      </c>
      <c r="AN40" s="73">
        <f t="shared" ref="AN40:AN52" si="20">SUM(AO40:AR40)</f>
        <v>1077272</v>
      </c>
      <c r="AO40" s="141">
        <v>195700</v>
      </c>
      <c r="AP40" s="141">
        <v>533931</v>
      </c>
      <c r="AQ40" s="74"/>
      <c r="AR40" s="141">
        <v>347641</v>
      </c>
      <c r="AS40" s="141">
        <v>0</v>
      </c>
      <c r="AT40" s="141">
        <v>0</v>
      </c>
      <c r="AU40" s="141">
        <v>0</v>
      </c>
      <c r="AV40" s="141">
        <v>992544</v>
      </c>
      <c r="AW40" s="141">
        <v>629170</v>
      </c>
      <c r="AX40" s="141">
        <v>227264</v>
      </c>
      <c r="AY40" s="141">
        <v>0</v>
      </c>
      <c r="AZ40" s="141">
        <v>363374</v>
      </c>
      <c r="BA40" s="141">
        <v>14550</v>
      </c>
      <c r="BB40" s="141">
        <v>90600</v>
      </c>
      <c r="BC40" s="141">
        <v>86255</v>
      </c>
      <c r="BD40" s="141">
        <v>257122</v>
      </c>
      <c r="BE40" s="141">
        <v>178201</v>
      </c>
      <c r="BF40" s="141">
        <v>0</v>
      </c>
      <c r="BG40" s="141">
        <v>0</v>
      </c>
      <c r="BH40" s="141">
        <v>128712</v>
      </c>
      <c r="BI40" s="141">
        <v>0</v>
      </c>
      <c r="BJ40" s="141">
        <v>382610</v>
      </c>
      <c r="BK40" s="141">
        <v>279982</v>
      </c>
      <c r="BL40" s="141">
        <v>204018</v>
      </c>
      <c r="BM40" s="141">
        <v>70</v>
      </c>
      <c r="BN40" s="141">
        <v>0</v>
      </c>
      <c r="BO40" s="141">
        <v>0</v>
      </c>
      <c r="BP40" s="141">
        <v>811809</v>
      </c>
      <c r="BQ40" s="73">
        <f t="shared" si="5"/>
        <v>621500</v>
      </c>
      <c r="BR40" s="73">
        <f t="shared" si="6"/>
        <v>190309</v>
      </c>
      <c r="BS40" s="141">
        <v>0</v>
      </c>
      <c r="BT40" s="141">
        <v>0</v>
      </c>
      <c r="BU40" s="141">
        <v>190309</v>
      </c>
      <c r="BV40" s="141">
        <v>0</v>
      </c>
      <c r="BW40" s="141">
        <v>14106426</v>
      </c>
      <c r="BX40" s="71"/>
      <c r="BY40" s="141">
        <v>2379623</v>
      </c>
      <c r="BZ40" s="141">
        <v>1349472</v>
      </c>
      <c r="CA40" s="141">
        <v>20606</v>
      </c>
      <c r="CB40" s="141">
        <v>515113</v>
      </c>
      <c r="CC40" s="141">
        <v>3520083</v>
      </c>
      <c r="CD40" s="141">
        <v>1189167</v>
      </c>
      <c r="CE40" s="141">
        <v>5223</v>
      </c>
      <c r="CF40" s="141">
        <v>1924323</v>
      </c>
      <c r="CG40" s="141">
        <v>235741</v>
      </c>
      <c r="CH40" s="141">
        <v>22121</v>
      </c>
      <c r="CI40" s="141">
        <v>143508</v>
      </c>
      <c r="CJ40" s="141">
        <v>1315029</v>
      </c>
      <c r="CK40" s="141">
        <v>1274589</v>
      </c>
      <c r="CL40" s="83">
        <f t="shared" ref="CL40:CL52" si="21">IF(CK40="","",CJ40-CK40)</f>
        <v>40440</v>
      </c>
      <c r="CM40" s="141">
        <v>2581799</v>
      </c>
      <c r="CN40" s="141">
        <v>1754955</v>
      </c>
      <c r="CO40" s="102"/>
      <c r="CP40" s="141">
        <v>462652</v>
      </c>
      <c r="CQ40" s="141">
        <v>76494</v>
      </c>
      <c r="CR40" s="141">
        <v>783332</v>
      </c>
      <c r="CS40" s="141">
        <v>1824</v>
      </c>
      <c r="CT40" s="141">
        <v>54472</v>
      </c>
      <c r="CU40" s="141">
        <v>51054</v>
      </c>
      <c r="CV40" s="73">
        <f t="shared" si="8"/>
        <v>262137</v>
      </c>
      <c r="CW40" s="141">
        <v>0</v>
      </c>
      <c r="CX40" s="141">
        <v>262137</v>
      </c>
      <c r="CY40" s="73">
        <f t="shared" si="9"/>
        <v>0</v>
      </c>
      <c r="CZ40" s="141">
        <v>0</v>
      </c>
      <c r="DA40" s="141">
        <v>0</v>
      </c>
      <c r="DB40" s="73">
        <f t="shared" si="10"/>
        <v>261470</v>
      </c>
      <c r="DC40" s="141">
        <v>0</v>
      </c>
      <c r="DD40" s="141">
        <v>261470</v>
      </c>
      <c r="DE40" s="141">
        <v>1113293</v>
      </c>
      <c r="DF40" s="141">
        <v>210552</v>
      </c>
      <c r="DG40" s="141">
        <v>902180</v>
      </c>
      <c r="DH40" s="141">
        <v>0</v>
      </c>
      <c r="DI40" s="141">
        <v>0</v>
      </c>
      <c r="DJ40" s="141">
        <v>971</v>
      </c>
      <c r="DK40" s="141">
        <v>947014</v>
      </c>
      <c r="DL40" s="141">
        <v>459991</v>
      </c>
      <c r="DM40" s="141">
        <v>0</v>
      </c>
      <c r="DN40" s="141">
        <v>487023</v>
      </c>
      <c r="DO40" s="141">
        <v>165229</v>
      </c>
      <c r="DP40" s="141">
        <v>165229</v>
      </c>
      <c r="DQ40" s="141">
        <v>1699</v>
      </c>
      <c r="DR40" s="141">
        <v>0</v>
      </c>
      <c r="DS40" s="141">
        <v>0</v>
      </c>
      <c r="DT40" s="141">
        <v>0</v>
      </c>
      <c r="DU40" s="141">
        <v>0</v>
      </c>
      <c r="DV40" s="141">
        <v>1134808</v>
      </c>
      <c r="DW40" s="141">
        <v>0</v>
      </c>
      <c r="DX40" s="73">
        <f t="shared" si="11"/>
        <v>0</v>
      </c>
      <c r="DY40" s="141">
        <v>0</v>
      </c>
      <c r="DZ40" s="141">
        <v>441762</v>
      </c>
      <c r="EA40" s="141">
        <v>0</v>
      </c>
      <c r="EB40" s="141">
        <v>245858</v>
      </c>
      <c r="EC40" s="74">
        <v>0</v>
      </c>
      <c r="ED40" s="141">
        <v>446576</v>
      </c>
      <c r="EE40" s="141">
        <v>0</v>
      </c>
      <c r="EF40" s="141">
        <v>14017675</v>
      </c>
      <c r="EG40" s="71"/>
      <c r="EH40" s="141">
        <v>88751</v>
      </c>
      <c r="EI40" s="141">
        <v>35181</v>
      </c>
      <c r="EJ40" s="141">
        <v>53570</v>
      </c>
      <c r="EK40" s="141">
        <v>-226412</v>
      </c>
      <c r="EL40" s="141">
        <v>233579</v>
      </c>
      <c r="EM40" s="71"/>
      <c r="EN40" s="141">
        <v>30927</v>
      </c>
      <c r="EO40" s="141">
        <v>31646</v>
      </c>
      <c r="EP40" s="141">
        <v>50201</v>
      </c>
      <c r="EQ40" s="141">
        <v>89476</v>
      </c>
      <c r="ER40" s="73">
        <f t="shared" si="12"/>
        <v>1317654</v>
      </c>
      <c r="ES40" s="141">
        <v>7919351</v>
      </c>
      <c r="ET40" s="141">
        <v>-1645216</v>
      </c>
      <c r="EU40" s="141">
        <v>2120739</v>
      </c>
      <c r="EV40" s="141">
        <v>1231940</v>
      </c>
      <c r="EW40" s="141">
        <v>955347</v>
      </c>
      <c r="EX40" s="141">
        <v>1276333</v>
      </c>
      <c r="EY40" s="73">
        <f t="shared" si="13"/>
        <v>276264</v>
      </c>
      <c r="EZ40" s="141">
        <v>275293</v>
      </c>
      <c r="FA40" s="141">
        <v>69868</v>
      </c>
      <c r="FB40" s="141">
        <v>204864</v>
      </c>
      <c r="FC40" s="141">
        <v>971</v>
      </c>
      <c r="FD40" s="141">
        <v>0</v>
      </c>
      <c r="FE40" s="141">
        <v>2030154</v>
      </c>
      <c r="FF40" s="141">
        <v>749454</v>
      </c>
      <c r="FG40" s="141">
        <v>1824</v>
      </c>
      <c r="FH40" s="141">
        <v>908737</v>
      </c>
      <c r="FI40" s="73">
        <f t="shared" si="14"/>
        <v>1158788</v>
      </c>
      <c r="FJ40" s="141">
        <v>9475816</v>
      </c>
      <c r="FK40" s="379">
        <f t="shared" si="15"/>
        <v>0.7</v>
      </c>
      <c r="FL40" s="141">
        <v>7243083</v>
      </c>
      <c r="FM40" s="141">
        <v>190309</v>
      </c>
      <c r="FN40" s="141">
        <v>4212331</v>
      </c>
      <c r="FO40" s="141">
        <v>6081279</v>
      </c>
      <c r="FP40" s="390">
        <v>0.71699999999999997</v>
      </c>
      <c r="FQ40" s="380">
        <v>98.7</v>
      </c>
      <c r="FR40" s="381">
        <v>27.8</v>
      </c>
      <c r="FS40" s="380">
        <v>12.2</v>
      </c>
      <c r="FT40" s="380">
        <v>16.7</v>
      </c>
      <c r="FU40" s="381">
        <v>23.4</v>
      </c>
      <c r="FV40" s="380">
        <v>5.3</v>
      </c>
      <c r="FW40" s="382">
        <v>11.7</v>
      </c>
      <c r="FX40" s="383">
        <v>6.6</v>
      </c>
      <c r="FY40" s="141">
        <v>12194000</v>
      </c>
      <c r="FZ40" s="384">
        <f t="shared" si="16"/>
        <v>164</v>
      </c>
      <c r="GA40" s="141">
        <v>5676151</v>
      </c>
      <c r="GB40" s="141">
        <v>2261854</v>
      </c>
      <c r="GC40" s="141">
        <v>975913</v>
      </c>
      <c r="GD40" s="141">
        <v>2438384</v>
      </c>
      <c r="GE40" s="107">
        <v>0</v>
      </c>
      <c r="GF40" s="385"/>
      <c r="GG40" s="386"/>
      <c r="GH40" s="380">
        <v>100</v>
      </c>
      <c r="GI40" s="380">
        <v>19.7</v>
      </c>
      <c r="GJ40" s="380">
        <v>96.5</v>
      </c>
      <c r="GK40" s="141">
        <v>235</v>
      </c>
      <c r="GL40" s="391" t="s">
        <v>646</v>
      </c>
      <c r="GM40" s="391">
        <v>13.91</v>
      </c>
      <c r="GN40" s="117">
        <v>20</v>
      </c>
      <c r="GO40" s="391" t="s">
        <v>646</v>
      </c>
      <c r="GP40" s="392">
        <v>18.91</v>
      </c>
      <c r="GQ40" s="387">
        <v>30</v>
      </c>
      <c r="GR40" s="381">
        <v>6.6</v>
      </c>
      <c r="GS40" s="388">
        <v>25</v>
      </c>
      <c r="GT40" s="388">
        <v>35</v>
      </c>
      <c r="GU40" s="393" t="s">
        <v>646</v>
      </c>
      <c r="GV40" s="388">
        <v>350</v>
      </c>
      <c r="GW40" s="394"/>
      <c r="GX40" s="100">
        <f t="shared" si="17"/>
        <v>7433</v>
      </c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  <c r="HW40" s="394"/>
      <c r="HX40" s="394"/>
    </row>
    <row r="41" spans="1:232" x14ac:dyDescent="0.15">
      <c r="B41" s="89" t="s">
        <v>71</v>
      </c>
      <c r="C41" s="141">
        <v>1705297</v>
      </c>
      <c r="D41" s="73">
        <f t="shared" si="0"/>
        <v>966630</v>
      </c>
      <c r="E41" s="141">
        <v>34120</v>
      </c>
      <c r="F41" s="141">
        <v>932510</v>
      </c>
      <c r="G41" s="73">
        <f t="shared" si="1"/>
        <v>38832</v>
      </c>
      <c r="H41" s="141">
        <v>21519</v>
      </c>
      <c r="I41" s="141">
        <v>17313</v>
      </c>
      <c r="J41" s="141">
        <v>609122</v>
      </c>
      <c r="K41" s="141">
        <v>168052</v>
      </c>
      <c r="L41" s="141">
        <v>316919</v>
      </c>
      <c r="M41" s="141">
        <v>124151</v>
      </c>
      <c r="N41" s="141">
        <v>49569</v>
      </c>
      <c r="O41" s="141">
        <v>0</v>
      </c>
      <c r="P41" s="141">
        <v>0</v>
      </c>
      <c r="Q41" s="141">
        <v>0</v>
      </c>
      <c r="R41" s="141">
        <v>59366</v>
      </c>
      <c r="S41" s="74"/>
      <c r="T41" s="73">
        <f t="shared" si="18"/>
        <v>445559</v>
      </c>
      <c r="U41" s="141">
        <v>2545</v>
      </c>
      <c r="V41" s="141">
        <v>21095</v>
      </c>
      <c r="W41" s="141">
        <v>14961</v>
      </c>
      <c r="X41" s="141">
        <v>373798</v>
      </c>
      <c r="Y41" s="141">
        <v>7540</v>
      </c>
      <c r="Z41" s="141">
        <v>0</v>
      </c>
      <c r="AA41" s="141">
        <v>418</v>
      </c>
      <c r="AB41" s="141">
        <v>12498</v>
      </c>
      <c r="AC41" s="141">
        <v>12704</v>
      </c>
      <c r="AD41" s="141">
        <v>8762</v>
      </c>
      <c r="AE41" s="141">
        <v>2872735</v>
      </c>
      <c r="AF41" s="141">
        <v>2620116</v>
      </c>
      <c r="AG41" s="141">
        <v>252619</v>
      </c>
      <c r="AH41" s="141">
        <v>2467</v>
      </c>
      <c r="AI41" s="141">
        <v>38557</v>
      </c>
      <c r="AJ41" s="73">
        <f t="shared" si="19"/>
        <v>52972</v>
      </c>
      <c r="AK41" s="141">
        <v>40685</v>
      </c>
      <c r="AL41" s="141">
        <v>12287</v>
      </c>
      <c r="AM41" s="141">
        <v>1724281</v>
      </c>
      <c r="AN41" s="73">
        <f t="shared" si="20"/>
        <v>177170</v>
      </c>
      <c r="AO41" s="141">
        <v>0</v>
      </c>
      <c r="AP41" s="141">
        <v>3285</v>
      </c>
      <c r="AQ41" s="74"/>
      <c r="AR41" s="141">
        <v>173885</v>
      </c>
      <c r="AS41" s="141">
        <v>32835</v>
      </c>
      <c r="AT41" s="141">
        <v>164648</v>
      </c>
      <c r="AU41" s="141">
        <v>0</v>
      </c>
      <c r="AV41" s="141">
        <v>482223</v>
      </c>
      <c r="AW41" s="141">
        <v>268509</v>
      </c>
      <c r="AX41" s="141">
        <v>0</v>
      </c>
      <c r="AY41" s="141">
        <v>0</v>
      </c>
      <c r="AZ41" s="141">
        <v>213714</v>
      </c>
      <c r="BA41" s="141">
        <v>0</v>
      </c>
      <c r="BB41" s="141">
        <v>4968</v>
      </c>
      <c r="BC41" s="141">
        <v>0</v>
      </c>
      <c r="BD41" s="141">
        <v>77194</v>
      </c>
      <c r="BE41" s="141">
        <v>276026</v>
      </c>
      <c r="BF41" s="141">
        <v>200000</v>
      </c>
      <c r="BG41" s="141">
        <v>0</v>
      </c>
      <c r="BH41" s="141">
        <v>76026</v>
      </c>
      <c r="BI41" s="141">
        <v>0</v>
      </c>
      <c r="BJ41" s="141">
        <v>641059</v>
      </c>
      <c r="BK41" s="141">
        <v>405104</v>
      </c>
      <c r="BL41" s="141">
        <v>123002</v>
      </c>
      <c r="BM41" s="141">
        <v>5927</v>
      </c>
      <c r="BN41" s="141">
        <v>0</v>
      </c>
      <c r="BO41" s="141">
        <v>0</v>
      </c>
      <c r="BP41" s="141">
        <v>303458</v>
      </c>
      <c r="BQ41" s="73">
        <f t="shared" si="5"/>
        <v>230700</v>
      </c>
      <c r="BR41" s="73">
        <f t="shared" si="6"/>
        <v>72758</v>
      </c>
      <c r="BS41" s="141">
        <v>0</v>
      </c>
      <c r="BT41" s="141">
        <v>0</v>
      </c>
      <c r="BU41" s="141">
        <v>72758</v>
      </c>
      <c r="BV41" s="141">
        <v>0</v>
      </c>
      <c r="BW41" s="141">
        <v>8817926</v>
      </c>
      <c r="BX41" s="71"/>
      <c r="BY41" s="141">
        <v>1779799</v>
      </c>
      <c r="BZ41" s="141">
        <v>986321</v>
      </c>
      <c r="CA41" s="141">
        <v>115937</v>
      </c>
      <c r="CB41" s="141">
        <v>324307</v>
      </c>
      <c r="CC41" s="141">
        <v>855039</v>
      </c>
      <c r="CD41" s="141">
        <v>598522</v>
      </c>
      <c r="CE41" s="141">
        <v>990</v>
      </c>
      <c r="CF41" s="141">
        <v>247398</v>
      </c>
      <c r="CG41" s="141">
        <v>0</v>
      </c>
      <c r="CH41" s="141">
        <v>0</v>
      </c>
      <c r="CI41" s="141">
        <v>8129</v>
      </c>
      <c r="CJ41" s="141">
        <v>593923</v>
      </c>
      <c r="CK41" s="141">
        <v>573309</v>
      </c>
      <c r="CL41" s="83">
        <f t="shared" si="21"/>
        <v>20614</v>
      </c>
      <c r="CM41" s="141">
        <v>1671860</v>
      </c>
      <c r="CN41" s="141">
        <v>1251578</v>
      </c>
      <c r="CO41" s="102"/>
      <c r="CP41" s="141">
        <v>207864</v>
      </c>
      <c r="CQ41" s="141">
        <v>146607</v>
      </c>
      <c r="CR41" s="141">
        <v>1196187</v>
      </c>
      <c r="CS41" s="141">
        <v>405777</v>
      </c>
      <c r="CT41" s="141">
        <v>148568</v>
      </c>
      <c r="CU41" s="141">
        <v>57782</v>
      </c>
      <c r="CV41" s="73">
        <f t="shared" si="8"/>
        <v>0</v>
      </c>
      <c r="CW41" s="141">
        <v>0</v>
      </c>
      <c r="CX41" s="141">
        <v>0</v>
      </c>
      <c r="CY41" s="73">
        <f t="shared" si="9"/>
        <v>0</v>
      </c>
      <c r="CZ41" s="141">
        <v>0</v>
      </c>
      <c r="DA41" s="141">
        <v>0</v>
      </c>
      <c r="DB41" s="73">
        <f t="shared" si="10"/>
        <v>0</v>
      </c>
      <c r="DC41" s="141">
        <v>0</v>
      </c>
      <c r="DD41" s="141">
        <v>0</v>
      </c>
      <c r="DE41" s="141">
        <v>371911</v>
      </c>
      <c r="DF41" s="141">
        <v>89222</v>
      </c>
      <c r="DG41" s="141">
        <v>251892</v>
      </c>
      <c r="DH41" s="141">
        <v>13516</v>
      </c>
      <c r="DI41" s="141">
        <v>0</v>
      </c>
      <c r="DJ41" s="141">
        <v>229493</v>
      </c>
      <c r="DK41" s="141">
        <v>483355</v>
      </c>
      <c r="DL41" s="141">
        <v>406968</v>
      </c>
      <c r="DM41" s="141">
        <v>0</v>
      </c>
      <c r="DN41" s="141">
        <v>76387</v>
      </c>
      <c r="DO41" s="141">
        <v>0</v>
      </c>
      <c r="DP41" s="141">
        <v>0</v>
      </c>
      <c r="DQ41" s="141">
        <v>0</v>
      </c>
      <c r="DR41" s="141">
        <v>0</v>
      </c>
      <c r="DS41" s="141">
        <v>2744</v>
      </c>
      <c r="DT41" s="141">
        <v>0</v>
      </c>
      <c r="DU41" s="141">
        <v>0</v>
      </c>
      <c r="DV41" s="141">
        <v>1008267</v>
      </c>
      <c r="DW41" s="141">
        <v>100906</v>
      </c>
      <c r="DX41" s="73">
        <f t="shared" si="11"/>
        <v>0</v>
      </c>
      <c r="DY41" s="141">
        <v>0</v>
      </c>
      <c r="DZ41" s="141">
        <v>378839</v>
      </c>
      <c r="EA41" s="141">
        <v>0</v>
      </c>
      <c r="EB41" s="141">
        <v>178314</v>
      </c>
      <c r="EC41" s="74">
        <v>0</v>
      </c>
      <c r="ED41" s="141">
        <v>339208</v>
      </c>
      <c r="EE41" s="141">
        <v>0</v>
      </c>
      <c r="EF41" s="141">
        <v>8339185</v>
      </c>
      <c r="EG41" s="71"/>
      <c r="EH41" s="141">
        <v>478741</v>
      </c>
      <c r="EI41" s="141">
        <v>130493</v>
      </c>
      <c r="EJ41" s="141">
        <v>348248</v>
      </c>
      <c r="EK41" s="141">
        <v>-56856</v>
      </c>
      <c r="EL41" s="141">
        <v>150112</v>
      </c>
      <c r="EM41" s="71"/>
      <c r="EN41" s="141">
        <v>18279</v>
      </c>
      <c r="EO41" s="141">
        <v>18526</v>
      </c>
      <c r="EP41" s="141">
        <v>228840</v>
      </c>
      <c r="EQ41" s="141">
        <v>0</v>
      </c>
      <c r="ER41" s="73">
        <f t="shared" si="12"/>
        <v>1032212</v>
      </c>
      <c r="ES41" s="141">
        <v>5094186</v>
      </c>
      <c r="ET41" s="141">
        <v>-1331343</v>
      </c>
      <c r="EU41" s="141">
        <v>1599898</v>
      </c>
      <c r="EV41" s="141">
        <v>872517</v>
      </c>
      <c r="EW41" s="141">
        <v>240348</v>
      </c>
      <c r="EX41" s="141">
        <v>593923</v>
      </c>
      <c r="EY41" s="73">
        <f t="shared" si="13"/>
        <v>133519</v>
      </c>
      <c r="EZ41" s="141">
        <v>127952</v>
      </c>
      <c r="FA41" s="141">
        <v>14235</v>
      </c>
      <c r="FB41" s="141">
        <v>106720</v>
      </c>
      <c r="FC41" s="141">
        <v>5567</v>
      </c>
      <c r="FD41" s="141">
        <v>0</v>
      </c>
      <c r="FE41" s="141">
        <v>865107</v>
      </c>
      <c r="FF41" s="141">
        <v>1064190</v>
      </c>
      <c r="FG41" s="141">
        <v>376277</v>
      </c>
      <c r="FH41" s="141">
        <v>842018</v>
      </c>
      <c r="FI41" s="73">
        <f t="shared" si="14"/>
        <v>607785</v>
      </c>
      <c r="FJ41" s="141">
        <v>5946788</v>
      </c>
      <c r="FK41" s="379">
        <f t="shared" si="15"/>
        <v>7.1</v>
      </c>
      <c r="FL41" s="141">
        <v>4814277</v>
      </c>
      <c r="FM41" s="141">
        <v>72758</v>
      </c>
      <c r="FN41" s="141">
        <v>1762371</v>
      </c>
      <c r="FO41" s="141">
        <v>4388113</v>
      </c>
      <c r="FP41" s="390">
        <v>0.41599999999999998</v>
      </c>
      <c r="FQ41" s="380">
        <v>97.2</v>
      </c>
      <c r="FR41" s="381">
        <v>31.6</v>
      </c>
      <c r="FS41" s="380">
        <v>3.7</v>
      </c>
      <c r="FT41" s="380">
        <v>12</v>
      </c>
      <c r="FU41" s="381">
        <v>15.2</v>
      </c>
      <c r="FV41" s="380">
        <v>15.7</v>
      </c>
      <c r="FW41" s="382">
        <v>16.3</v>
      </c>
      <c r="FX41" s="383">
        <v>5.8</v>
      </c>
      <c r="FY41" s="141">
        <v>5507052</v>
      </c>
      <c r="FZ41" s="384">
        <f t="shared" si="16"/>
        <v>112.7</v>
      </c>
      <c r="GA41" s="141">
        <v>2355732</v>
      </c>
      <c r="GB41" s="141">
        <v>1531684</v>
      </c>
      <c r="GC41" s="141">
        <v>76269</v>
      </c>
      <c r="GD41" s="141">
        <v>747779</v>
      </c>
      <c r="GE41" s="107">
        <v>0</v>
      </c>
      <c r="GF41" s="385"/>
      <c r="GG41" s="386"/>
      <c r="GH41" s="380">
        <v>99.4</v>
      </c>
      <c r="GI41" s="380">
        <v>25.3</v>
      </c>
      <c r="GJ41" s="380">
        <v>97.6</v>
      </c>
      <c r="GK41" s="141">
        <v>152</v>
      </c>
      <c r="GL41" s="391" t="s">
        <v>646</v>
      </c>
      <c r="GM41" s="391">
        <v>15</v>
      </c>
      <c r="GN41" s="117">
        <v>20</v>
      </c>
      <c r="GO41" s="391" t="s">
        <v>646</v>
      </c>
      <c r="GP41" s="392">
        <v>20</v>
      </c>
      <c r="GQ41" s="387">
        <v>30</v>
      </c>
      <c r="GR41" s="381">
        <v>5.8</v>
      </c>
      <c r="GS41" s="388">
        <v>25</v>
      </c>
      <c r="GT41" s="388">
        <v>35</v>
      </c>
      <c r="GU41" s="393" t="s">
        <v>646</v>
      </c>
      <c r="GV41" s="388">
        <v>350</v>
      </c>
      <c r="GW41" s="394"/>
      <c r="GX41" s="100">
        <f t="shared" si="17"/>
        <v>4887</v>
      </c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  <c r="HW41" s="394"/>
      <c r="HX41" s="394"/>
    </row>
    <row r="42" spans="1:232" x14ac:dyDescent="0.15">
      <c r="B42" s="89" t="s">
        <v>73</v>
      </c>
      <c r="C42" s="141">
        <v>1072069</v>
      </c>
      <c r="D42" s="73">
        <f t="shared" si="0"/>
        <v>370474</v>
      </c>
      <c r="E42" s="141">
        <v>16582</v>
      </c>
      <c r="F42" s="141">
        <v>353892</v>
      </c>
      <c r="G42" s="73">
        <f t="shared" si="1"/>
        <v>40819</v>
      </c>
      <c r="H42" s="141">
        <v>22776</v>
      </c>
      <c r="I42" s="141">
        <v>18043</v>
      </c>
      <c r="J42" s="141">
        <v>555723</v>
      </c>
      <c r="K42" s="141">
        <v>107144</v>
      </c>
      <c r="L42" s="141">
        <v>214311</v>
      </c>
      <c r="M42" s="141">
        <v>234210</v>
      </c>
      <c r="N42" s="141">
        <v>55875</v>
      </c>
      <c r="O42" s="141">
        <v>0</v>
      </c>
      <c r="P42" s="141">
        <v>0</v>
      </c>
      <c r="Q42" s="141">
        <v>0</v>
      </c>
      <c r="R42" s="141">
        <v>62986</v>
      </c>
      <c r="S42" s="74"/>
      <c r="T42" s="73">
        <f t="shared" si="18"/>
        <v>281505</v>
      </c>
      <c r="U42" s="141">
        <v>973</v>
      </c>
      <c r="V42" s="141">
        <v>8100</v>
      </c>
      <c r="W42" s="141">
        <v>5769</v>
      </c>
      <c r="X42" s="141">
        <v>210521</v>
      </c>
      <c r="Y42" s="141">
        <v>25212</v>
      </c>
      <c r="Z42" s="141">
        <v>0</v>
      </c>
      <c r="AA42" s="141">
        <v>394</v>
      </c>
      <c r="AB42" s="141">
        <v>11785</v>
      </c>
      <c r="AC42" s="141">
        <v>18751</v>
      </c>
      <c r="AD42" s="141">
        <v>2053</v>
      </c>
      <c r="AE42" s="141">
        <v>2453189</v>
      </c>
      <c r="AF42" s="141">
        <v>2189334</v>
      </c>
      <c r="AG42" s="141">
        <v>263855</v>
      </c>
      <c r="AH42" s="141">
        <v>1305</v>
      </c>
      <c r="AI42" s="141">
        <v>9191</v>
      </c>
      <c r="AJ42" s="73">
        <f t="shared" si="19"/>
        <v>76043</v>
      </c>
      <c r="AK42" s="141">
        <v>42818</v>
      </c>
      <c r="AL42" s="141">
        <v>33225</v>
      </c>
      <c r="AM42" s="141">
        <v>739254</v>
      </c>
      <c r="AN42" s="73">
        <f t="shared" si="20"/>
        <v>126641</v>
      </c>
      <c r="AO42" s="141">
        <v>0</v>
      </c>
      <c r="AP42" s="141">
        <v>0</v>
      </c>
      <c r="AQ42" s="74"/>
      <c r="AR42" s="141">
        <v>126641</v>
      </c>
      <c r="AS42" s="141">
        <v>0</v>
      </c>
      <c r="AT42" s="141">
        <v>0</v>
      </c>
      <c r="AU42" s="141">
        <v>0</v>
      </c>
      <c r="AV42" s="141">
        <v>426696</v>
      </c>
      <c r="AW42" s="141">
        <v>148200</v>
      </c>
      <c r="AX42" s="141">
        <v>0</v>
      </c>
      <c r="AY42" s="141">
        <v>0</v>
      </c>
      <c r="AZ42" s="141">
        <v>278496</v>
      </c>
      <c r="BA42" s="141">
        <v>0</v>
      </c>
      <c r="BB42" s="141">
        <v>5988</v>
      </c>
      <c r="BC42" s="141">
        <v>715</v>
      </c>
      <c r="BD42" s="141">
        <v>41213</v>
      </c>
      <c r="BE42" s="141">
        <v>95657</v>
      </c>
      <c r="BF42" s="141">
        <v>73000</v>
      </c>
      <c r="BG42" s="141">
        <v>0</v>
      </c>
      <c r="BH42" s="141">
        <v>20726</v>
      </c>
      <c r="BI42" s="141">
        <v>0</v>
      </c>
      <c r="BJ42" s="141">
        <v>380747</v>
      </c>
      <c r="BK42" s="141">
        <v>312962</v>
      </c>
      <c r="BL42" s="141">
        <v>67897</v>
      </c>
      <c r="BM42" s="141">
        <v>0</v>
      </c>
      <c r="BN42" s="141">
        <v>0</v>
      </c>
      <c r="BO42" s="141">
        <v>0</v>
      </c>
      <c r="BP42" s="141">
        <v>535208</v>
      </c>
      <c r="BQ42" s="73">
        <f t="shared" si="5"/>
        <v>488100</v>
      </c>
      <c r="BR42" s="73">
        <f t="shared" si="6"/>
        <v>47108</v>
      </c>
      <c r="BS42" s="141">
        <v>0</v>
      </c>
      <c r="BT42" s="141">
        <v>0</v>
      </c>
      <c r="BU42" s="141">
        <v>47108</v>
      </c>
      <c r="BV42" s="141">
        <v>0</v>
      </c>
      <c r="BW42" s="141">
        <v>6251001</v>
      </c>
      <c r="BX42" s="71"/>
      <c r="BY42" s="141">
        <v>943316</v>
      </c>
      <c r="BZ42" s="141">
        <v>484060</v>
      </c>
      <c r="CA42" s="141">
        <v>19273</v>
      </c>
      <c r="CB42" s="141">
        <v>179946</v>
      </c>
      <c r="CC42" s="141">
        <v>554993</v>
      </c>
      <c r="CD42" s="141">
        <v>391932</v>
      </c>
      <c r="CE42" s="141">
        <v>474</v>
      </c>
      <c r="CF42" s="141">
        <v>130202</v>
      </c>
      <c r="CG42" s="141">
        <v>0</v>
      </c>
      <c r="CH42" s="141">
        <v>5505</v>
      </c>
      <c r="CI42" s="141">
        <v>26880</v>
      </c>
      <c r="CJ42" s="141">
        <v>588095</v>
      </c>
      <c r="CK42" s="141">
        <v>554485</v>
      </c>
      <c r="CL42" s="83">
        <f t="shared" si="21"/>
        <v>33610</v>
      </c>
      <c r="CM42" s="141">
        <v>981837</v>
      </c>
      <c r="CN42" s="141">
        <v>675177</v>
      </c>
      <c r="CO42" s="102"/>
      <c r="CP42" s="141">
        <v>142622</v>
      </c>
      <c r="CQ42" s="141">
        <v>15196</v>
      </c>
      <c r="CR42" s="141">
        <v>960160</v>
      </c>
      <c r="CS42" s="141">
        <v>158949</v>
      </c>
      <c r="CT42" s="141">
        <v>309685</v>
      </c>
      <c r="CU42" s="141">
        <v>263698</v>
      </c>
      <c r="CV42" s="73">
        <f t="shared" si="8"/>
        <v>123904</v>
      </c>
      <c r="CW42" s="141">
        <v>3536</v>
      </c>
      <c r="CX42" s="141">
        <v>120368</v>
      </c>
      <c r="CY42" s="73">
        <f t="shared" si="9"/>
        <v>0</v>
      </c>
      <c r="CZ42" s="141">
        <v>0</v>
      </c>
      <c r="DA42" s="141">
        <v>0</v>
      </c>
      <c r="DB42" s="73">
        <f t="shared" si="10"/>
        <v>0</v>
      </c>
      <c r="DC42" s="141">
        <v>0</v>
      </c>
      <c r="DD42" s="141">
        <v>0</v>
      </c>
      <c r="DE42" s="141">
        <v>701545</v>
      </c>
      <c r="DF42" s="141">
        <v>80444</v>
      </c>
      <c r="DG42" s="141">
        <v>621101</v>
      </c>
      <c r="DH42" s="141">
        <v>0</v>
      </c>
      <c r="DI42" s="141">
        <v>0</v>
      </c>
      <c r="DJ42" s="141">
        <v>7405</v>
      </c>
      <c r="DK42" s="141">
        <v>410815</v>
      </c>
      <c r="DL42" s="141">
        <v>342015</v>
      </c>
      <c r="DM42" s="141">
        <v>0</v>
      </c>
      <c r="DN42" s="141">
        <v>68800</v>
      </c>
      <c r="DO42" s="141">
        <v>70272</v>
      </c>
      <c r="DP42" s="141">
        <v>70272</v>
      </c>
      <c r="DQ42" s="141">
        <v>70272</v>
      </c>
      <c r="DR42" s="141">
        <v>0</v>
      </c>
      <c r="DS42" s="141">
        <v>0</v>
      </c>
      <c r="DT42" s="141">
        <v>0</v>
      </c>
      <c r="DU42" s="141">
        <v>0</v>
      </c>
      <c r="DV42" s="141">
        <v>803271</v>
      </c>
      <c r="DW42" s="141">
        <v>230100</v>
      </c>
      <c r="DX42" s="73">
        <f t="shared" si="11"/>
        <v>0</v>
      </c>
      <c r="DY42" s="141">
        <v>0</v>
      </c>
      <c r="DZ42" s="141">
        <v>225077</v>
      </c>
      <c r="EA42" s="141">
        <v>0</v>
      </c>
      <c r="EB42" s="141">
        <v>140343</v>
      </c>
      <c r="EC42" s="74">
        <v>0</v>
      </c>
      <c r="ED42" s="141">
        <v>195323</v>
      </c>
      <c r="EE42" s="141">
        <v>0</v>
      </c>
      <c r="EF42" s="141">
        <v>6036905</v>
      </c>
      <c r="EG42" s="71"/>
      <c r="EH42" s="141">
        <v>214096</v>
      </c>
      <c r="EI42" s="141">
        <v>720</v>
      </c>
      <c r="EJ42" s="141">
        <v>213376</v>
      </c>
      <c r="EK42" s="141">
        <v>-99586</v>
      </c>
      <c r="EL42" s="141">
        <v>169429</v>
      </c>
      <c r="EM42" s="71"/>
      <c r="EN42" s="141">
        <v>9079</v>
      </c>
      <c r="EO42" s="141">
        <v>9267</v>
      </c>
      <c r="EP42" s="141">
        <v>84931</v>
      </c>
      <c r="EQ42" s="141">
        <v>5772</v>
      </c>
      <c r="ER42" s="73">
        <f t="shared" si="12"/>
        <v>658141</v>
      </c>
      <c r="ES42" s="141">
        <v>3873107</v>
      </c>
      <c r="ET42" s="141">
        <v>-794647</v>
      </c>
      <c r="EU42" s="141">
        <v>863116</v>
      </c>
      <c r="EV42" s="141">
        <v>439037</v>
      </c>
      <c r="EW42" s="141">
        <v>125183</v>
      </c>
      <c r="EX42" s="141">
        <v>588095</v>
      </c>
      <c r="EY42" s="73">
        <f t="shared" si="13"/>
        <v>142051</v>
      </c>
      <c r="EZ42" s="141">
        <v>141951</v>
      </c>
      <c r="FA42" s="141">
        <v>21386</v>
      </c>
      <c r="FB42" s="141">
        <v>120565</v>
      </c>
      <c r="FC42" s="141">
        <v>100</v>
      </c>
      <c r="FD42" s="141">
        <v>0</v>
      </c>
      <c r="FE42" s="141">
        <v>763760</v>
      </c>
      <c r="FF42" s="141">
        <v>818161</v>
      </c>
      <c r="FG42" s="141">
        <v>158949</v>
      </c>
      <c r="FH42" s="141">
        <v>681035</v>
      </c>
      <c r="FI42" s="73">
        <f t="shared" si="14"/>
        <v>472257</v>
      </c>
      <c r="FJ42" s="141">
        <v>4453658</v>
      </c>
      <c r="FK42" s="379">
        <f t="shared" si="15"/>
        <v>5.9</v>
      </c>
      <c r="FL42" s="141">
        <v>3595965</v>
      </c>
      <c r="FM42" s="141">
        <v>47108</v>
      </c>
      <c r="FN42" s="141">
        <v>1125740</v>
      </c>
      <c r="FO42" s="141">
        <v>3315074</v>
      </c>
      <c r="FP42" s="390">
        <v>0.35499999999999998</v>
      </c>
      <c r="FQ42" s="380">
        <v>94.8</v>
      </c>
      <c r="FR42" s="381">
        <v>22.8</v>
      </c>
      <c r="FS42" s="380">
        <v>3.4</v>
      </c>
      <c r="FT42" s="380">
        <v>16</v>
      </c>
      <c r="FU42" s="381">
        <v>17.100000000000001</v>
      </c>
      <c r="FV42" s="380">
        <v>16.100000000000001</v>
      </c>
      <c r="FW42" s="382">
        <v>17.100000000000001</v>
      </c>
      <c r="FX42" s="383">
        <v>15.1</v>
      </c>
      <c r="FY42" s="141">
        <v>6953092</v>
      </c>
      <c r="FZ42" s="384">
        <f t="shared" si="16"/>
        <v>190.9</v>
      </c>
      <c r="GA42" s="141">
        <v>2205739</v>
      </c>
      <c r="GB42" s="141">
        <v>1696990</v>
      </c>
      <c r="GC42" s="141">
        <v>0</v>
      </c>
      <c r="GD42" s="141">
        <v>508749</v>
      </c>
      <c r="GE42" s="107">
        <v>0</v>
      </c>
      <c r="GF42" s="385"/>
      <c r="GG42" s="386"/>
      <c r="GH42" s="380">
        <v>99.1</v>
      </c>
      <c r="GI42" s="380">
        <v>21</v>
      </c>
      <c r="GJ42" s="380">
        <v>97</v>
      </c>
      <c r="GK42" s="141">
        <v>85</v>
      </c>
      <c r="GL42" s="391" t="s">
        <v>646</v>
      </c>
      <c r="GM42" s="391">
        <v>15</v>
      </c>
      <c r="GN42" s="117">
        <v>20</v>
      </c>
      <c r="GO42" s="391" t="s">
        <v>646</v>
      </c>
      <c r="GP42" s="392">
        <v>20</v>
      </c>
      <c r="GQ42" s="387">
        <v>30</v>
      </c>
      <c r="GR42" s="381">
        <v>15.1</v>
      </c>
      <c r="GS42" s="388">
        <v>25</v>
      </c>
      <c r="GT42" s="388">
        <v>35</v>
      </c>
      <c r="GU42" s="393">
        <v>109.2</v>
      </c>
      <c r="GV42" s="388">
        <v>350</v>
      </c>
      <c r="GW42" s="394"/>
      <c r="GX42" s="100">
        <f t="shared" si="17"/>
        <v>3643</v>
      </c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  <c r="HW42" s="394"/>
      <c r="HX42" s="394"/>
    </row>
    <row r="43" spans="1:232" x14ac:dyDescent="0.15">
      <c r="B43" s="89" t="s">
        <v>75</v>
      </c>
      <c r="C43" s="141">
        <v>2428232</v>
      </c>
      <c r="D43" s="73">
        <f t="shared" si="0"/>
        <v>780207</v>
      </c>
      <c r="E43" s="141">
        <v>26597</v>
      </c>
      <c r="F43" s="141">
        <v>753610</v>
      </c>
      <c r="G43" s="73">
        <f t="shared" si="1"/>
        <v>166037</v>
      </c>
      <c r="H43" s="141">
        <v>49799</v>
      </c>
      <c r="I43" s="141">
        <v>116238</v>
      </c>
      <c r="J43" s="141">
        <v>1081768</v>
      </c>
      <c r="K43" s="141">
        <v>500120</v>
      </c>
      <c r="L43" s="141">
        <v>403617</v>
      </c>
      <c r="M43" s="141">
        <v>166624</v>
      </c>
      <c r="N43" s="141">
        <v>131127</v>
      </c>
      <c r="O43" s="141">
        <v>225575</v>
      </c>
      <c r="P43" s="141">
        <v>135898</v>
      </c>
      <c r="Q43" s="141">
        <v>89677</v>
      </c>
      <c r="R43" s="141">
        <v>32530</v>
      </c>
      <c r="S43" s="74"/>
      <c r="T43" s="73">
        <f t="shared" si="18"/>
        <v>460824</v>
      </c>
      <c r="U43" s="141">
        <v>1873</v>
      </c>
      <c r="V43" s="141">
        <v>15647</v>
      </c>
      <c r="W43" s="141">
        <v>11198</v>
      </c>
      <c r="X43" s="141">
        <v>384563</v>
      </c>
      <c r="Y43" s="141">
        <v>0</v>
      </c>
      <c r="Z43" s="141">
        <v>0</v>
      </c>
      <c r="AA43" s="141">
        <v>240</v>
      </c>
      <c r="AB43" s="141">
        <v>7187</v>
      </c>
      <c r="AC43" s="141">
        <v>40116</v>
      </c>
      <c r="AD43" s="141">
        <v>18887</v>
      </c>
      <c r="AE43" s="141">
        <v>2016749</v>
      </c>
      <c r="AF43" s="141">
        <v>1778591</v>
      </c>
      <c r="AG43" s="141">
        <v>238158</v>
      </c>
      <c r="AH43" s="141">
        <v>2899</v>
      </c>
      <c r="AI43" s="141">
        <v>588</v>
      </c>
      <c r="AJ43" s="73">
        <f t="shared" si="19"/>
        <v>97210</v>
      </c>
      <c r="AK43" s="141">
        <v>56621</v>
      </c>
      <c r="AL43" s="141">
        <v>40589</v>
      </c>
      <c r="AM43" s="141">
        <v>1614905</v>
      </c>
      <c r="AN43" s="73">
        <f t="shared" si="20"/>
        <v>306674</v>
      </c>
      <c r="AO43" s="141">
        <v>0</v>
      </c>
      <c r="AP43" s="141">
        <v>122304</v>
      </c>
      <c r="AQ43" s="74"/>
      <c r="AR43" s="141">
        <v>184370</v>
      </c>
      <c r="AS43" s="141">
        <v>259158</v>
      </c>
      <c r="AT43" s="141">
        <v>0</v>
      </c>
      <c r="AU43" s="141">
        <v>0</v>
      </c>
      <c r="AV43" s="141">
        <v>556819</v>
      </c>
      <c r="AW43" s="141">
        <v>363243</v>
      </c>
      <c r="AX43" s="141">
        <v>54661</v>
      </c>
      <c r="AY43" s="141">
        <v>0</v>
      </c>
      <c r="AZ43" s="141">
        <v>193576</v>
      </c>
      <c r="BA43" s="141">
        <v>7200</v>
      </c>
      <c r="BB43" s="141">
        <v>37455</v>
      </c>
      <c r="BC43" s="141">
        <v>4232</v>
      </c>
      <c r="BD43" s="141">
        <v>207398</v>
      </c>
      <c r="BE43" s="141">
        <v>104249</v>
      </c>
      <c r="BF43" s="141">
        <v>0</v>
      </c>
      <c r="BG43" s="141">
        <v>0</v>
      </c>
      <c r="BH43" s="141">
        <v>104249</v>
      </c>
      <c r="BI43" s="141">
        <v>0</v>
      </c>
      <c r="BJ43" s="141">
        <v>565701</v>
      </c>
      <c r="BK43" s="141">
        <v>548043</v>
      </c>
      <c r="BL43" s="141">
        <v>131566</v>
      </c>
      <c r="BM43" s="141">
        <v>0</v>
      </c>
      <c r="BN43" s="141">
        <v>0</v>
      </c>
      <c r="BO43" s="141">
        <v>0</v>
      </c>
      <c r="BP43" s="141">
        <v>464954</v>
      </c>
      <c r="BQ43" s="73">
        <f t="shared" si="5"/>
        <v>383300</v>
      </c>
      <c r="BR43" s="73">
        <f t="shared" si="6"/>
        <v>81654</v>
      </c>
      <c r="BS43" s="141">
        <v>0</v>
      </c>
      <c r="BT43" s="141">
        <v>0</v>
      </c>
      <c r="BU43" s="141">
        <v>81654</v>
      </c>
      <c r="BV43" s="141">
        <v>0</v>
      </c>
      <c r="BW43" s="141">
        <v>8740966</v>
      </c>
      <c r="BX43" s="71"/>
      <c r="BY43" s="141">
        <v>1447023</v>
      </c>
      <c r="BZ43" s="141">
        <v>934268</v>
      </c>
      <c r="CA43" s="141">
        <v>23684</v>
      </c>
      <c r="CB43" s="141">
        <v>165320</v>
      </c>
      <c r="CC43" s="141">
        <v>1603614</v>
      </c>
      <c r="CD43" s="141">
        <v>971345</v>
      </c>
      <c r="CE43" s="141">
        <v>8</v>
      </c>
      <c r="CF43" s="141">
        <v>589375</v>
      </c>
      <c r="CG43" s="141">
        <v>0</v>
      </c>
      <c r="CH43" s="141">
        <v>0</v>
      </c>
      <c r="CI43" s="141">
        <v>42886</v>
      </c>
      <c r="CJ43" s="141">
        <v>747771</v>
      </c>
      <c r="CK43" s="141">
        <v>705304</v>
      </c>
      <c r="CL43" s="83">
        <f t="shared" si="21"/>
        <v>42467</v>
      </c>
      <c r="CM43" s="141">
        <v>1335793</v>
      </c>
      <c r="CN43" s="141">
        <v>913976</v>
      </c>
      <c r="CO43" s="102"/>
      <c r="CP43" s="141">
        <v>223051</v>
      </c>
      <c r="CQ43" s="141">
        <v>12872</v>
      </c>
      <c r="CR43" s="141">
        <v>768052</v>
      </c>
      <c r="CS43" s="141">
        <v>72329</v>
      </c>
      <c r="CT43" s="141">
        <v>114080</v>
      </c>
      <c r="CU43" s="141">
        <v>81453</v>
      </c>
      <c r="CV43" s="73">
        <f t="shared" si="8"/>
        <v>320000</v>
      </c>
      <c r="CW43" s="141">
        <v>320000</v>
      </c>
      <c r="CX43" s="141">
        <v>0</v>
      </c>
      <c r="CY43" s="73">
        <f t="shared" si="9"/>
        <v>0</v>
      </c>
      <c r="CZ43" s="141">
        <v>0</v>
      </c>
      <c r="DA43" s="141">
        <v>0</v>
      </c>
      <c r="DB43" s="73">
        <f t="shared" si="10"/>
        <v>320000</v>
      </c>
      <c r="DC43" s="141">
        <v>320000</v>
      </c>
      <c r="DD43" s="141">
        <v>0</v>
      </c>
      <c r="DE43" s="141">
        <v>780160</v>
      </c>
      <c r="DF43" s="141">
        <v>644809</v>
      </c>
      <c r="DG43" s="141">
        <v>133391</v>
      </c>
      <c r="DH43" s="141">
        <v>0</v>
      </c>
      <c r="DI43" s="141">
        <v>0</v>
      </c>
      <c r="DJ43" s="141">
        <v>0</v>
      </c>
      <c r="DK43" s="141">
        <v>656472</v>
      </c>
      <c r="DL43" s="141">
        <v>613952</v>
      </c>
      <c r="DM43" s="141">
        <v>0</v>
      </c>
      <c r="DN43" s="141">
        <v>42520</v>
      </c>
      <c r="DO43" s="141">
        <v>149000</v>
      </c>
      <c r="DP43" s="141">
        <v>149000</v>
      </c>
      <c r="DQ43" s="141">
        <v>0</v>
      </c>
      <c r="DR43" s="141">
        <v>0</v>
      </c>
      <c r="DS43" s="141">
        <v>0</v>
      </c>
      <c r="DT43" s="141">
        <v>0</v>
      </c>
      <c r="DU43" s="141">
        <v>0</v>
      </c>
      <c r="DV43" s="141">
        <v>818589</v>
      </c>
      <c r="DW43" s="141">
        <v>0</v>
      </c>
      <c r="DX43" s="73">
        <f t="shared" si="11"/>
        <v>0</v>
      </c>
      <c r="DY43" s="141">
        <v>0</v>
      </c>
      <c r="DZ43" s="141">
        <v>311636</v>
      </c>
      <c r="EA43" s="141">
        <v>0</v>
      </c>
      <c r="EB43" s="141">
        <v>215107</v>
      </c>
      <c r="EC43" s="74">
        <v>0</v>
      </c>
      <c r="ED43" s="141">
        <v>291846</v>
      </c>
      <c r="EE43" s="141">
        <v>0</v>
      </c>
      <c r="EF43" s="141">
        <v>8319346</v>
      </c>
      <c r="EG43" s="71"/>
      <c r="EH43" s="141">
        <v>421620</v>
      </c>
      <c r="EI43" s="141">
        <v>58279</v>
      </c>
      <c r="EJ43" s="141">
        <v>363341</v>
      </c>
      <c r="EK43" s="141">
        <v>-184702</v>
      </c>
      <c r="EL43" s="141">
        <v>429250</v>
      </c>
      <c r="EM43" s="71"/>
      <c r="EN43" s="141">
        <v>16567</v>
      </c>
      <c r="EO43" s="141">
        <v>16675</v>
      </c>
      <c r="EP43" s="141">
        <v>44723</v>
      </c>
      <c r="EQ43" s="141">
        <v>4422</v>
      </c>
      <c r="ER43" s="73">
        <f t="shared" si="12"/>
        <v>937378</v>
      </c>
      <c r="ES43" s="141">
        <v>4960121</v>
      </c>
      <c r="ET43" s="141">
        <v>-1065278</v>
      </c>
      <c r="EU43" s="141">
        <v>1331037</v>
      </c>
      <c r="EV43" s="141">
        <v>866972</v>
      </c>
      <c r="EW43" s="141">
        <v>446275</v>
      </c>
      <c r="EX43" s="141">
        <v>714752</v>
      </c>
      <c r="EY43" s="73">
        <f t="shared" si="13"/>
        <v>86737</v>
      </c>
      <c r="EZ43" s="141">
        <v>86737</v>
      </c>
      <c r="FA43" s="141">
        <v>9947</v>
      </c>
      <c r="FB43" s="141">
        <v>74830</v>
      </c>
      <c r="FC43" s="141">
        <v>0</v>
      </c>
      <c r="FD43" s="141">
        <v>0</v>
      </c>
      <c r="FE43" s="141">
        <v>1021779</v>
      </c>
      <c r="FF43" s="141">
        <v>645667</v>
      </c>
      <c r="FG43" s="141">
        <v>72329</v>
      </c>
      <c r="FH43" s="141">
        <v>647660</v>
      </c>
      <c r="FI43" s="73">
        <f t="shared" si="14"/>
        <v>709872</v>
      </c>
      <c r="FJ43" s="141">
        <v>5603779</v>
      </c>
      <c r="FK43" s="379">
        <f t="shared" si="15"/>
        <v>8</v>
      </c>
      <c r="FL43" s="141">
        <v>4442642</v>
      </c>
      <c r="FM43" s="141">
        <v>81654</v>
      </c>
      <c r="FN43" s="141">
        <v>2096820</v>
      </c>
      <c r="FO43" s="141">
        <v>3875998</v>
      </c>
      <c r="FP43" s="390">
        <v>0.54800000000000004</v>
      </c>
      <c r="FQ43" s="380">
        <v>98.9</v>
      </c>
      <c r="FR43" s="381">
        <v>28.7</v>
      </c>
      <c r="FS43" s="380">
        <v>8.4</v>
      </c>
      <c r="FT43" s="380">
        <v>15.5</v>
      </c>
      <c r="FU43" s="381">
        <v>20.3</v>
      </c>
      <c r="FV43" s="380">
        <v>10.5</v>
      </c>
      <c r="FW43" s="382">
        <v>13.3</v>
      </c>
      <c r="FX43" s="383">
        <v>6.1</v>
      </c>
      <c r="FY43" s="141">
        <v>7221448</v>
      </c>
      <c r="FZ43" s="384">
        <f t="shared" si="16"/>
        <v>159.6</v>
      </c>
      <c r="GA43" s="141">
        <v>1700841</v>
      </c>
      <c r="GB43" s="141">
        <v>1269495</v>
      </c>
      <c r="GC43" s="141">
        <v>0</v>
      </c>
      <c r="GD43" s="141">
        <v>431346</v>
      </c>
      <c r="GE43" s="107">
        <v>0</v>
      </c>
      <c r="GF43" s="385"/>
      <c r="GG43" s="386"/>
      <c r="GH43" s="380">
        <v>99.1</v>
      </c>
      <c r="GI43" s="380">
        <v>33.4</v>
      </c>
      <c r="GJ43" s="380">
        <v>98</v>
      </c>
      <c r="GK43" s="141">
        <v>157</v>
      </c>
      <c r="GL43" s="391" t="s">
        <v>646</v>
      </c>
      <c r="GM43" s="391">
        <v>15</v>
      </c>
      <c r="GN43" s="117">
        <v>20</v>
      </c>
      <c r="GO43" s="391" t="s">
        <v>646</v>
      </c>
      <c r="GP43" s="392">
        <v>20</v>
      </c>
      <c r="GQ43" s="387">
        <v>30</v>
      </c>
      <c r="GR43" s="381">
        <v>6.1</v>
      </c>
      <c r="GS43" s="388">
        <v>25</v>
      </c>
      <c r="GT43" s="388">
        <v>35</v>
      </c>
      <c r="GU43" s="393">
        <v>21.1</v>
      </c>
      <c r="GV43" s="388">
        <v>350</v>
      </c>
      <c r="GW43" s="394"/>
      <c r="GX43" s="100">
        <f t="shared" si="17"/>
        <v>4524</v>
      </c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  <c r="HW43" s="394"/>
      <c r="HX43" s="394"/>
    </row>
    <row r="44" spans="1:232" x14ac:dyDescent="0.15">
      <c r="B44" s="89" t="s">
        <v>77</v>
      </c>
      <c r="C44" s="141">
        <v>4243288</v>
      </c>
      <c r="D44" s="73">
        <f t="shared" si="0"/>
        <v>2209324</v>
      </c>
      <c r="E44" s="141">
        <v>72652</v>
      </c>
      <c r="F44" s="141">
        <v>2136672</v>
      </c>
      <c r="G44" s="73">
        <f t="shared" si="1"/>
        <v>118623</v>
      </c>
      <c r="H44" s="141">
        <v>59580</v>
      </c>
      <c r="I44" s="141">
        <v>59043</v>
      </c>
      <c r="J44" s="141">
        <v>1598497</v>
      </c>
      <c r="K44" s="141">
        <v>554099</v>
      </c>
      <c r="L44" s="141">
        <v>838139</v>
      </c>
      <c r="M44" s="141">
        <v>194410</v>
      </c>
      <c r="N44" s="141">
        <v>188826</v>
      </c>
      <c r="O44" s="141">
        <v>0</v>
      </c>
      <c r="P44" s="141">
        <v>0</v>
      </c>
      <c r="Q44" s="141">
        <v>0</v>
      </c>
      <c r="R44" s="141">
        <v>90687</v>
      </c>
      <c r="S44" s="74"/>
      <c r="T44" s="73">
        <f t="shared" si="18"/>
        <v>1108263</v>
      </c>
      <c r="U44" s="141">
        <v>5586</v>
      </c>
      <c r="V44" s="141">
        <v>46517</v>
      </c>
      <c r="W44" s="141">
        <v>33178</v>
      </c>
      <c r="X44" s="141">
        <v>938960</v>
      </c>
      <c r="Y44" s="141">
        <v>12495</v>
      </c>
      <c r="Z44" s="141">
        <v>0</v>
      </c>
      <c r="AA44" s="141">
        <v>668</v>
      </c>
      <c r="AB44" s="141">
        <v>19983</v>
      </c>
      <c r="AC44" s="141">
        <v>50876</v>
      </c>
      <c r="AD44" s="141">
        <v>63090</v>
      </c>
      <c r="AE44" s="141">
        <v>3646122</v>
      </c>
      <c r="AF44" s="141">
        <v>3460666</v>
      </c>
      <c r="AG44" s="141">
        <v>185456</v>
      </c>
      <c r="AH44" s="141">
        <v>5580</v>
      </c>
      <c r="AI44" s="141">
        <v>35045</v>
      </c>
      <c r="AJ44" s="73">
        <f t="shared" si="19"/>
        <v>282967</v>
      </c>
      <c r="AK44" s="141">
        <v>185806</v>
      </c>
      <c r="AL44" s="141">
        <v>97161</v>
      </c>
      <c r="AM44" s="141">
        <v>3530024</v>
      </c>
      <c r="AN44" s="73">
        <f t="shared" si="20"/>
        <v>1060205</v>
      </c>
      <c r="AO44" s="141">
        <v>0</v>
      </c>
      <c r="AP44" s="141">
        <v>593001</v>
      </c>
      <c r="AQ44" s="74"/>
      <c r="AR44" s="141">
        <v>467204</v>
      </c>
      <c r="AS44" s="141">
        <v>50831</v>
      </c>
      <c r="AT44" s="141">
        <v>0</v>
      </c>
      <c r="AU44" s="141">
        <v>0</v>
      </c>
      <c r="AV44" s="141">
        <v>1377436</v>
      </c>
      <c r="AW44" s="141">
        <v>927637</v>
      </c>
      <c r="AX44" s="141">
        <v>255028</v>
      </c>
      <c r="AY44" s="141">
        <v>0</v>
      </c>
      <c r="AZ44" s="141">
        <v>449799</v>
      </c>
      <c r="BA44" s="141">
        <v>212</v>
      </c>
      <c r="BB44" s="141">
        <v>13755</v>
      </c>
      <c r="BC44" s="141">
        <v>411</v>
      </c>
      <c r="BD44" s="141">
        <v>1270369</v>
      </c>
      <c r="BE44" s="141">
        <v>95068</v>
      </c>
      <c r="BF44" s="141">
        <v>0</v>
      </c>
      <c r="BG44" s="141">
        <v>0</v>
      </c>
      <c r="BH44" s="141">
        <v>50771</v>
      </c>
      <c r="BI44" s="141">
        <v>0</v>
      </c>
      <c r="BJ44" s="141">
        <v>876017</v>
      </c>
      <c r="BK44" s="141">
        <v>614279</v>
      </c>
      <c r="BL44" s="141">
        <v>265612</v>
      </c>
      <c r="BM44" s="141">
        <v>0</v>
      </c>
      <c r="BN44" s="141">
        <v>0</v>
      </c>
      <c r="BO44" s="141">
        <v>0</v>
      </c>
      <c r="BP44" s="141">
        <v>830700</v>
      </c>
      <c r="BQ44" s="73">
        <f t="shared" si="5"/>
        <v>658700</v>
      </c>
      <c r="BR44" s="73">
        <f t="shared" si="6"/>
        <v>172000</v>
      </c>
      <c r="BS44" s="141">
        <v>0</v>
      </c>
      <c r="BT44" s="141">
        <v>0</v>
      </c>
      <c r="BU44" s="141">
        <v>172000</v>
      </c>
      <c r="BV44" s="141">
        <v>0</v>
      </c>
      <c r="BW44" s="141">
        <v>17734023</v>
      </c>
      <c r="BX44" s="71"/>
      <c r="BY44" s="141">
        <v>3119019</v>
      </c>
      <c r="BZ44" s="141">
        <v>1633780</v>
      </c>
      <c r="CA44" s="141">
        <v>199609</v>
      </c>
      <c r="CB44" s="141">
        <v>731749</v>
      </c>
      <c r="CC44" s="141">
        <v>3754171</v>
      </c>
      <c r="CD44" s="141">
        <v>1361830</v>
      </c>
      <c r="CE44" s="141">
        <v>32</v>
      </c>
      <c r="CF44" s="141">
        <v>2048108</v>
      </c>
      <c r="CG44" s="141">
        <v>0</v>
      </c>
      <c r="CH44" s="141">
        <v>86069</v>
      </c>
      <c r="CI44" s="141">
        <v>258132</v>
      </c>
      <c r="CJ44" s="141">
        <v>851710</v>
      </c>
      <c r="CK44" s="141">
        <v>825495</v>
      </c>
      <c r="CL44" s="83">
        <f t="shared" si="21"/>
        <v>26215</v>
      </c>
      <c r="CM44" s="141">
        <v>3225428</v>
      </c>
      <c r="CN44" s="141">
        <v>2187484</v>
      </c>
      <c r="CO44" s="102"/>
      <c r="CP44" s="141">
        <v>381047</v>
      </c>
      <c r="CQ44" s="141">
        <v>247005</v>
      </c>
      <c r="CR44" s="141">
        <v>1906486</v>
      </c>
      <c r="CS44" s="141">
        <v>518857</v>
      </c>
      <c r="CT44" s="141">
        <v>530279</v>
      </c>
      <c r="CU44" s="141">
        <v>447306</v>
      </c>
      <c r="CV44" s="73">
        <f t="shared" si="8"/>
        <v>282799</v>
      </c>
      <c r="CW44" s="141">
        <v>9283</v>
      </c>
      <c r="CX44" s="141">
        <v>273516</v>
      </c>
      <c r="CY44" s="73">
        <f t="shared" si="9"/>
        <v>0</v>
      </c>
      <c r="CZ44" s="141">
        <v>0</v>
      </c>
      <c r="DA44" s="141">
        <v>0</v>
      </c>
      <c r="DB44" s="73">
        <f t="shared" si="10"/>
        <v>273516</v>
      </c>
      <c r="DC44" s="141">
        <v>0</v>
      </c>
      <c r="DD44" s="141">
        <v>273516</v>
      </c>
      <c r="DE44" s="141">
        <v>1697310</v>
      </c>
      <c r="DF44" s="141">
        <v>816335</v>
      </c>
      <c r="DG44" s="141">
        <v>880645</v>
      </c>
      <c r="DH44" s="141">
        <v>330</v>
      </c>
      <c r="DI44" s="141">
        <v>0</v>
      </c>
      <c r="DJ44" s="141">
        <v>11500</v>
      </c>
      <c r="DK44" s="141">
        <v>1018486</v>
      </c>
      <c r="DL44" s="141">
        <v>308000</v>
      </c>
      <c r="DM44" s="141">
        <v>455</v>
      </c>
      <c r="DN44" s="141">
        <v>710031</v>
      </c>
      <c r="DO44" s="141">
        <v>86000</v>
      </c>
      <c r="DP44" s="141">
        <v>86000</v>
      </c>
      <c r="DQ44" s="141">
        <v>86000</v>
      </c>
      <c r="DR44" s="141">
        <v>0</v>
      </c>
      <c r="DS44" s="141">
        <v>0</v>
      </c>
      <c r="DT44" s="141">
        <v>0</v>
      </c>
      <c r="DU44" s="141">
        <v>0</v>
      </c>
      <c r="DV44" s="141">
        <v>1666996</v>
      </c>
      <c r="DW44" s="141">
        <v>0</v>
      </c>
      <c r="DX44" s="73">
        <f t="shared" si="11"/>
        <v>0</v>
      </c>
      <c r="DY44" s="141">
        <v>0</v>
      </c>
      <c r="DZ44" s="141">
        <v>664120</v>
      </c>
      <c r="EA44" s="141">
        <v>0</v>
      </c>
      <c r="EB44" s="141">
        <v>407741</v>
      </c>
      <c r="EC44" s="74">
        <v>0</v>
      </c>
      <c r="ED44" s="141">
        <v>595135</v>
      </c>
      <c r="EE44" s="141">
        <v>0</v>
      </c>
      <c r="EF44" s="141">
        <v>17584111</v>
      </c>
      <c r="EG44" s="71"/>
      <c r="EH44" s="141">
        <v>149912</v>
      </c>
      <c r="EI44" s="141">
        <v>74023</v>
      </c>
      <c r="EJ44" s="141">
        <v>75889</v>
      </c>
      <c r="EK44" s="141">
        <v>-538390</v>
      </c>
      <c r="EL44" s="141">
        <v>-230390</v>
      </c>
      <c r="EM44" s="71"/>
      <c r="EN44" s="141">
        <v>43763</v>
      </c>
      <c r="EO44" s="141">
        <v>43013</v>
      </c>
      <c r="EP44" s="141">
        <v>54562</v>
      </c>
      <c r="EQ44" s="141">
        <v>9787</v>
      </c>
      <c r="ER44" s="73">
        <f t="shared" si="12"/>
        <v>1256623</v>
      </c>
      <c r="ES44" s="141">
        <v>9157030</v>
      </c>
      <c r="ET44" s="141">
        <v>-1487392</v>
      </c>
      <c r="EU44" s="141">
        <v>2842814</v>
      </c>
      <c r="EV44" s="141">
        <v>1559504</v>
      </c>
      <c r="EW44" s="141">
        <v>989163</v>
      </c>
      <c r="EX44" s="141">
        <v>837793</v>
      </c>
      <c r="EY44" s="73">
        <f t="shared" si="13"/>
        <v>459000</v>
      </c>
      <c r="EZ44" s="141">
        <v>458105</v>
      </c>
      <c r="FA44" s="141">
        <v>21487</v>
      </c>
      <c r="FB44" s="141">
        <v>436288</v>
      </c>
      <c r="FC44" s="141">
        <v>895</v>
      </c>
      <c r="FD44" s="141">
        <v>0</v>
      </c>
      <c r="FE44" s="141">
        <v>1813426</v>
      </c>
      <c r="FF44" s="141">
        <v>1713909</v>
      </c>
      <c r="FG44" s="141">
        <v>518530</v>
      </c>
      <c r="FH44" s="141">
        <v>1325607</v>
      </c>
      <c r="FI44" s="73">
        <f t="shared" si="14"/>
        <v>512798</v>
      </c>
      <c r="FJ44" s="141">
        <v>10494510</v>
      </c>
      <c r="FK44" s="379">
        <f t="shared" si="15"/>
        <v>0.8</v>
      </c>
      <c r="FL44" s="141">
        <v>8861631</v>
      </c>
      <c r="FM44" s="141">
        <v>172991</v>
      </c>
      <c r="FN44" s="141">
        <v>4316236</v>
      </c>
      <c r="FO44" s="141">
        <v>7776902</v>
      </c>
      <c r="FP44" s="390">
        <v>0.56499999999999995</v>
      </c>
      <c r="FQ44" s="380">
        <v>94.2</v>
      </c>
      <c r="FR44" s="381">
        <v>29.8</v>
      </c>
      <c r="FS44" s="380">
        <v>10.6</v>
      </c>
      <c r="FT44" s="380">
        <v>9</v>
      </c>
      <c r="FU44" s="381">
        <v>17.2</v>
      </c>
      <c r="FV44" s="380">
        <v>12.2</v>
      </c>
      <c r="FW44" s="382">
        <v>13.9</v>
      </c>
      <c r="FX44" s="383">
        <v>1.5</v>
      </c>
      <c r="FY44" s="141">
        <v>9579120</v>
      </c>
      <c r="FZ44" s="384">
        <f t="shared" si="16"/>
        <v>106</v>
      </c>
      <c r="GA44" s="141">
        <v>8717607</v>
      </c>
      <c r="GB44" s="141">
        <v>1315221</v>
      </c>
      <c r="GC44" s="141">
        <v>794224</v>
      </c>
      <c r="GD44" s="141">
        <v>6608162</v>
      </c>
      <c r="GE44" s="107">
        <v>0</v>
      </c>
      <c r="GF44" s="385">
        <v>639</v>
      </c>
      <c r="GG44" s="386">
        <f>IF(GF44=0,"-",ROUND(GF44/(GX44)*100,1))</f>
        <v>7.1</v>
      </c>
      <c r="GH44" s="380">
        <v>99.4</v>
      </c>
      <c r="GI44" s="380">
        <v>39.1</v>
      </c>
      <c r="GJ44" s="380">
        <v>98.8</v>
      </c>
      <c r="GK44" s="141">
        <v>274</v>
      </c>
      <c r="GL44" s="391" t="s">
        <v>646</v>
      </c>
      <c r="GM44" s="391">
        <v>13.51</v>
      </c>
      <c r="GN44" s="117">
        <v>20</v>
      </c>
      <c r="GO44" s="391" t="s">
        <v>646</v>
      </c>
      <c r="GP44" s="392">
        <v>18.510000000000002</v>
      </c>
      <c r="GQ44" s="387">
        <v>30</v>
      </c>
      <c r="GR44" s="381">
        <v>1.5</v>
      </c>
      <c r="GS44" s="388">
        <v>25</v>
      </c>
      <c r="GT44" s="388">
        <v>35</v>
      </c>
      <c r="GU44" s="393" t="s">
        <v>646</v>
      </c>
      <c r="GV44" s="388">
        <v>350</v>
      </c>
      <c r="GW44" s="394"/>
      <c r="GX44" s="100">
        <f t="shared" si="17"/>
        <v>9035</v>
      </c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  <c r="HW44" s="394"/>
      <c r="HX44" s="394"/>
    </row>
    <row r="45" spans="1:232" x14ac:dyDescent="0.15">
      <c r="B45" s="89" t="s">
        <v>79</v>
      </c>
      <c r="C45" s="141">
        <v>3793298</v>
      </c>
      <c r="D45" s="73">
        <f t="shared" si="0"/>
        <v>377406</v>
      </c>
      <c r="E45" s="141">
        <v>12932</v>
      </c>
      <c r="F45" s="141">
        <v>364474</v>
      </c>
      <c r="G45" s="73">
        <f t="shared" si="1"/>
        <v>164008</v>
      </c>
      <c r="H45" s="141">
        <v>50142</v>
      </c>
      <c r="I45" s="141">
        <v>113866</v>
      </c>
      <c r="J45" s="141">
        <v>3138180</v>
      </c>
      <c r="K45" s="141">
        <v>1717595</v>
      </c>
      <c r="L45" s="141">
        <v>749872</v>
      </c>
      <c r="M45" s="141">
        <v>651108</v>
      </c>
      <c r="N45" s="141">
        <v>91468</v>
      </c>
      <c r="O45" s="141">
        <v>0</v>
      </c>
      <c r="P45" s="141">
        <v>0</v>
      </c>
      <c r="Q45" s="141">
        <v>0</v>
      </c>
      <c r="R45" s="141">
        <v>57360</v>
      </c>
      <c r="S45" s="74"/>
      <c r="T45" s="73">
        <f t="shared" si="18"/>
        <v>315394</v>
      </c>
      <c r="U45" s="141">
        <v>1042</v>
      </c>
      <c r="V45" s="141">
        <v>8712</v>
      </c>
      <c r="W45" s="141">
        <v>6234</v>
      </c>
      <c r="X45" s="141">
        <v>231918</v>
      </c>
      <c r="Y45" s="141">
        <v>0</v>
      </c>
      <c r="Z45" s="141">
        <v>0</v>
      </c>
      <c r="AA45" s="141">
        <v>123</v>
      </c>
      <c r="AB45" s="141">
        <v>3672</v>
      </c>
      <c r="AC45" s="141">
        <v>63693</v>
      </c>
      <c r="AD45" s="141">
        <v>11081</v>
      </c>
      <c r="AE45" s="141">
        <v>5138</v>
      </c>
      <c r="AF45" s="141">
        <v>0</v>
      </c>
      <c r="AG45" s="141">
        <v>5138</v>
      </c>
      <c r="AH45" s="141">
        <v>1104</v>
      </c>
      <c r="AI45" s="141">
        <v>76</v>
      </c>
      <c r="AJ45" s="73">
        <f t="shared" si="19"/>
        <v>95423</v>
      </c>
      <c r="AK45" s="141">
        <v>70231</v>
      </c>
      <c r="AL45" s="141">
        <v>25192</v>
      </c>
      <c r="AM45" s="141">
        <v>685385</v>
      </c>
      <c r="AN45" s="73">
        <f t="shared" si="20"/>
        <v>114435</v>
      </c>
      <c r="AO45" s="141">
        <v>0</v>
      </c>
      <c r="AP45" s="141">
        <v>0</v>
      </c>
      <c r="AQ45" s="74"/>
      <c r="AR45" s="141">
        <v>114435</v>
      </c>
      <c r="AS45" s="141">
        <v>45742</v>
      </c>
      <c r="AT45" s="141">
        <v>0</v>
      </c>
      <c r="AU45" s="141">
        <v>0</v>
      </c>
      <c r="AV45" s="141">
        <v>289555</v>
      </c>
      <c r="AW45" s="141">
        <v>132955</v>
      </c>
      <c r="AX45" s="141">
        <v>0</v>
      </c>
      <c r="AY45" s="141">
        <v>0</v>
      </c>
      <c r="AZ45" s="141">
        <v>156600</v>
      </c>
      <c r="BA45" s="141">
        <v>0</v>
      </c>
      <c r="BB45" s="141">
        <v>3809</v>
      </c>
      <c r="BC45" s="141">
        <v>0</v>
      </c>
      <c r="BD45" s="141">
        <v>46319</v>
      </c>
      <c r="BE45" s="141">
        <v>162420</v>
      </c>
      <c r="BF45" s="141">
        <v>0</v>
      </c>
      <c r="BG45" s="141">
        <v>0</v>
      </c>
      <c r="BH45" s="141">
        <v>162420</v>
      </c>
      <c r="BI45" s="141">
        <v>0</v>
      </c>
      <c r="BJ45" s="141">
        <v>596494</v>
      </c>
      <c r="BK45" s="141">
        <v>551785</v>
      </c>
      <c r="BL45" s="141">
        <v>102720</v>
      </c>
      <c r="BM45" s="141">
        <v>0</v>
      </c>
      <c r="BN45" s="141">
        <v>0</v>
      </c>
      <c r="BO45" s="141">
        <v>0</v>
      </c>
      <c r="BP45" s="141">
        <v>0</v>
      </c>
      <c r="BQ45" s="73">
        <f t="shared" si="5"/>
        <v>0</v>
      </c>
      <c r="BR45" s="73">
        <f t="shared" si="6"/>
        <v>0</v>
      </c>
      <c r="BS45" s="141">
        <v>0</v>
      </c>
      <c r="BT45" s="141">
        <v>0</v>
      </c>
      <c r="BU45" s="141">
        <v>0</v>
      </c>
      <c r="BV45" s="141">
        <v>0</v>
      </c>
      <c r="BW45" s="141">
        <v>6165576</v>
      </c>
      <c r="BX45" s="71"/>
      <c r="BY45" s="141">
        <v>1390809</v>
      </c>
      <c r="BZ45" s="141">
        <v>729337</v>
      </c>
      <c r="CA45" s="141">
        <v>117963</v>
      </c>
      <c r="CB45" s="141">
        <v>262749</v>
      </c>
      <c r="CC45" s="141">
        <v>626649</v>
      </c>
      <c r="CD45" s="141">
        <v>298351</v>
      </c>
      <c r="CE45" s="141">
        <v>1232</v>
      </c>
      <c r="CF45" s="141">
        <v>313300</v>
      </c>
      <c r="CG45" s="141">
        <v>0</v>
      </c>
      <c r="CH45" s="141">
        <v>11105</v>
      </c>
      <c r="CI45" s="141">
        <v>2661</v>
      </c>
      <c r="CJ45" s="141">
        <v>63360</v>
      </c>
      <c r="CK45" s="141">
        <v>59159</v>
      </c>
      <c r="CL45" s="83">
        <f t="shared" si="21"/>
        <v>4201</v>
      </c>
      <c r="CM45" s="141">
        <v>957250</v>
      </c>
      <c r="CN45" s="141">
        <v>642687</v>
      </c>
      <c r="CO45" s="102"/>
      <c r="CP45" s="141">
        <v>174133</v>
      </c>
      <c r="CQ45" s="141">
        <v>14983</v>
      </c>
      <c r="CR45" s="141">
        <v>697641</v>
      </c>
      <c r="CS45" s="141">
        <v>339006</v>
      </c>
      <c r="CT45" s="141">
        <v>198751</v>
      </c>
      <c r="CU45" s="141">
        <v>190986</v>
      </c>
      <c r="CV45" s="73">
        <f t="shared" si="8"/>
        <v>0</v>
      </c>
      <c r="CW45" s="141">
        <v>0</v>
      </c>
      <c r="CX45" s="141">
        <v>0</v>
      </c>
      <c r="CY45" s="73">
        <f t="shared" si="9"/>
        <v>0</v>
      </c>
      <c r="CZ45" s="141">
        <v>0</v>
      </c>
      <c r="DA45" s="141">
        <v>0</v>
      </c>
      <c r="DB45" s="73">
        <f t="shared" si="10"/>
        <v>0</v>
      </c>
      <c r="DC45" s="141">
        <v>0</v>
      </c>
      <c r="DD45" s="141">
        <v>0</v>
      </c>
      <c r="DE45" s="141">
        <v>633043</v>
      </c>
      <c r="DF45" s="141">
        <v>449427</v>
      </c>
      <c r="DG45" s="141">
        <v>183616</v>
      </c>
      <c r="DH45" s="141">
        <v>0</v>
      </c>
      <c r="DI45" s="141">
        <v>0</v>
      </c>
      <c r="DJ45" s="141">
        <v>0</v>
      </c>
      <c r="DK45" s="141">
        <v>375823</v>
      </c>
      <c r="DL45" s="141">
        <v>276083</v>
      </c>
      <c r="DM45" s="141">
        <v>0</v>
      </c>
      <c r="DN45" s="141">
        <v>99740</v>
      </c>
      <c r="DO45" s="141">
        <v>0</v>
      </c>
      <c r="DP45" s="141">
        <v>0</v>
      </c>
      <c r="DQ45" s="141">
        <v>0</v>
      </c>
      <c r="DR45" s="141">
        <v>0</v>
      </c>
      <c r="DS45" s="141">
        <v>0</v>
      </c>
      <c r="DT45" s="141">
        <v>0</v>
      </c>
      <c r="DU45" s="141">
        <v>0</v>
      </c>
      <c r="DV45" s="141">
        <v>802676</v>
      </c>
      <c r="DW45" s="141">
        <v>435225</v>
      </c>
      <c r="DX45" s="73">
        <f t="shared" si="11"/>
        <v>0</v>
      </c>
      <c r="DY45" s="141">
        <v>0</v>
      </c>
      <c r="DZ45" s="141">
        <v>122817</v>
      </c>
      <c r="EA45" s="141">
        <v>0</v>
      </c>
      <c r="EB45" s="141">
        <v>93733</v>
      </c>
      <c r="EC45" s="74">
        <v>0</v>
      </c>
      <c r="ED45" s="141">
        <v>150901</v>
      </c>
      <c r="EE45" s="141">
        <v>0</v>
      </c>
      <c r="EF45" s="141">
        <v>5562234</v>
      </c>
      <c r="EG45" s="71"/>
      <c r="EH45" s="141">
        <v>603342</v>
      </c>
      <c r="EI45" s="141">
        <v>65338</v>
      </c>
      <c r="EJ45" s="141">
        <v>538004</v>
      </c>
      <c r="EK45" s="141">
        <v>-13781</v>
      </c>
      <c r="EL45" s="141">
        <v>262302</v>
      </c>
      <c r="EM45" s="71"/>
      <c r="EN45" s="141">
        <v>8434</v>
      </c>
      <c r="EO45" s="141">
        <v>8498</v>
      </c>
      <c r="EP45" s="141">
        <v>0</v>
      </c>
      <c r="EQ45" s="141">
        <v>59</v>
      </c>
      <c r="ER45" s="73">
        <f t="shared" si="12"/>
        <v>662799</v>
      </c>
      <c r="ES45" s="141">
        <v>4183375</v>
      </c>
      <c r="ET45" s="141">
        <v>-661754</v>
      </c>
      <c r="EU45" s="141">
        <v>1244695</v>
      </c>
      <c r="EV45" s="141">
        <v>654851</v>
      </c>
      <c r="EW45" s="141">
        <v>173780</v>
      </c>
      <c r="EX45" s="141">
        <v>63360</v>
      </c>
      <c r="EY45" s="73">
        <f t="shared" si="13"/>
        <v>419330</v>
      </c>
      <c r="EZ45" s="141">
        <v>419330</v>
      </c>
      <c r="FA45" s="141">
        <v>346751</v>
      </c>
      <c r="FB45" s="141">
        <v>72579</v>
      </c>
      <c r="FC45" s="141">
        <v>0</v>
      </c>
      <c r="FD45" s="141">
        <v>0</v>
      </c>
      <c r="FE45" s="141">
        <v>677210</v>
      </c>
      <c r="FF45" s="141">
        <v>598996</v>
      </c>
      <c r="FG45" s="141">
        <v>338528</v>
      </c>
      <c r="FH45" s="141">
        <v>727405</v>
      </c>
      <c r="FI45" s="73">
        <f t="shared" si="14"/>
        <v>337011</v>
      </c>
      <c r="FJ45" s="141">
        <v>4241787</v>
      </c>
      <c r="FK45" s="379">
        <f t="shared" si="15"/>
        <v>13.4</v>
      </c>
      <c r="FL45" s="141">
        <v>4029988</v>
      </c>
      <c r="FM45" s="141">
        <v>0</v>
      </c>
      <c r="FN45" s="141">
        <v>3085964</v>
      </c>
      <c r="FO45" s="141">
        <v>2491095</v>
      </c>
      <c r="FP45" s="390">
        <v>1.2989999999999999</v>
      </c>
      <c r="FQ45" s="380">
        <v>74.2</v>
      </c>
      <c r="FR45" s="381">
        <v>29.7</v>
      </c>
      <c r="FS45" s="380">
        <v>4</v>
      </c>
      <c r="FT45" s="380">
        <v>1.5</v>
      </c>
      <c r="FU45" s="381">
        <v>13.8</v>
      </c>
      <c r="FV45" s="380">
        <v>10.8</v>
      </c>
      <c r="FW45" s="382">
        <v>14.2</v>
      </c>
      <c r="FX45" s="383">
        <v>3.8</v>
      </c>
      <c r="FY45" s="141">
        <v>171779</v>
      </c>
      <c r="FZ45" s="384">
        <f t="shared" si="16"/>
        <v>4.3</v>
      </c>
      <c r="GA45" s="141">
        <v>10081711</v>
      </c>
      <c r="GB45" s="141">
        <v>4770838</v>
      </c>
      <c r="GC45" s="141">
        <v>0</v>
      </c>
      <c r="GD45" s="141">
        <v>5310873</v>
      </c>
      <c r="GE45" s="107">
        <v>0</v>
      </c>
      <c r="GF45" s="385"/>
      <c r="GG45" s="386"/>
      <c r="GH45" s="380">
        <v>99.9</v>
      </c>
      <c r="GI45" s="380">
        <v>41.2</v>
      </c>
      <c r="GJ45" s="380">
        <v>99.6</v>
      </c>
      <c r="GK45" s="141">
        <v>112</v>
      </c>
      <c r="GL45" s="391" t="s">
        <v>646</v>
      </c>
      <c r="GM45" s="391">
        <v>15</v>
      </c>
      <c r="GN45" s="117">
        <v>20</v>
      </c>
      <c r="GO45" s="391" t="s">
        <v>646</v>
      </c>
      <c r="GP45" s="392">
        <v>20</v>
      </c>
      <c r="GQ45" s="387">
        <v>30</v>
      </c>
      <c r="GR45" s="381">
        <v>3.8</v>
      </c>
      <c r="GS45" s="388">
        <v>25</v>
      </c>
      <c r="GT45" s="388">
        <v>35</v>
      </c>
      <c r="GU45" s="393" t="s">
        <v>646</v>
      </c>
      <c r="GV45" s="388">
        <v>350</v>
      </c>
      <c r="GW45" s="394"/>
      <c r="GX45" s="100">
        <f t="shared" si="17"/>
        <v>4030</v>
      </c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  <c r="HW45" s="394"/>
      <c r="HX45" s="394"/>
    </row>
    <row r="46" spans="1:232" x14ac:dyDescent="0.15">
      <c r="B46" s="89" t="s">
        <v>81</v>
      </c>
      <c r="C46" s="141">
        <v>1841604</v>
      </c>
      <c r="D46" s="73">
        <f t="shared" si="0"/>
        <v>649701</v>
      </c>
      <c r="E46" s="141">
        <v>25242</v>
      </c>
      <c r="F46" s="141">
        <v>624459</v>
      </c>
      <c r="G46" s="73">
        <f t="shared" si="1"/>
        <v>67666</v>
      </c>
      <c r="H46" s="141">
        <v>32098</v>
      </c>
      <c r="I46" s="141">
        <v>35568</v>
      </c>
      <c r="J46" s="141">
        <v>999880</v>
      </c>
      <c r="K46" s="141">
        <v>335787</v>
      </c>
      <c r="L46" s="141">
        <v>413956</v>
      </c>
      <c r="M46" s="141">
        <v>246717</v>
      </c>
      <c r="N46" s="141">
        <v>76438</v>
      </c>
      <c r="O46" s="141">
        <v>0</v>
      </c>
      <c r="P46" s="141">
        <v>0</v>
      </c>
      <c r="Q46" s="141">
        <v>0</v>
      </c>
      <c r="R46" s="141">
        <v>49351</v>
      </c>
      <c r="S46" s="74"/>
      <c r="T46" s="73">
        <f t="shared" si="18"/>
        <v>439408</v>
      </c>
      <c r="U46" s="141">
        <v>1637</v>
      </c>
      <c r="V46" s="141">
        <v>13615</v>
      </c>
      <c r="W46" s="141">
        <v>9693</v>
      </c>
      <c r="X46" s="141">
        <v>327373</v>
      </c>
      <c r="Y46" s="141">
        <v>52283</v>
      </c>
      <c r="Z46" s="141">
        <v>0</v>
      </c>
      <c r="AA46" s="141">
        <v>346</v>
      </c>
      <c r="AB46" s="141">
        <v>10355</v>
      </c>
      <c r="AC46" s="141">
        <v>24106</v>
      </c>
      <c r="AD46" s="141">
        <v>11336</v>
      </c>
      <c r="AE46" s="141">
        <v>2415335</v>
      </c>
      <c r="AF46" s="141">
        <v>2160456</v>
      </c>
      <c r="AG46" s="141">
        <v>254879</v>
      </c>
      <c r="AH46" s="141">
        <v>1861</v>
      </c>
      <c r="AI46" s="141">
        <v>13420</v>
      </c>
      <c r="AJ46" s="73">
        <f t="shared" si="19"/>
        <v>110662</v>
      </c>
      <c r="AK46" s="141">
        <v>93250</v>
      </c>
      <c r="AL46" s="141">
        <v>17412</v>
      </c>
      <c r="AM46" s="141">
        <v>1351144</v>
      </c>
      <c r="AN46" s="73">
        <f t="shared" si="20"/>
        <v>294939</v>
      </c>
      <c r="AO46" s="141">
        <v>0</v>
      </c>
      <c r="AP46" s="141">
        <v>33392</v>
      </c>
      <c r="AQ46" s="74"/>
      <c r="AR46" s="141">
        <v>261547</v>
      </c>
      <c r="AS46" s="141">
        <v>8730</v>
      </c>
      <c r="AT46" s="141">
        <v>0</v>
      </c>
      <c r="AU46" s="141">
        <v>0</v>
      </c>
      <c r="AV46" s="141">
        <v>583870</v>
      </c>
      <c r="AW46" s="141">
        <v>289999</v>
      </c>
      <c r="AX46" s="141">
        <v>16226</v>
      </c>
      <c r="AY46" s="141">
        <v>18511</v>
      </c>
      <c r="AZ46" s="141">
        <v>293871</v>
      </c>
      <c r="BA46" s="141">
        <v>248</v>
      </c>
      <c r="BB46" s="141">
        <v>55618</v>
      </c>
      <c r="BC46" s="141">
        <v>11229</v>
      </c>
      <c r="BD46" s="141">
        <v>126435</v>
      </c>
      <c r="BE46" s="141">
        <v>549781</v>
      </c>
      <c r="BF46" s="141">
        <v>336000</v>
      </c>
      <c r="BG46" s="141">
        <v>0</v>
      </c>
      <c r="BH46" s="141">
        <v>193186</v>
      </c>
      <c r="BI46" s="141">
        <v>0</v>
      </c>
      <c r="BJ46" s="141">
        <v>98045</v>
      </c>
      <c r="BK46" s="141">
        <v>71783</v>
      </c>
      <c r="BL46" s="141">
        <v>166909</v>
      </c>
      <c r="BM46" s="141">
        <v>537</v>
      </c>
      <c r="BN46" s="141">
        <v>0</v>
      </c>
      <c r="BO46" s="141">
        <v>0</v>
      </c>
      <c r="BP46" s="141">
        <v>385677</v>
      </c>
      <c r="BQ46" s="73">
        <f t="shared" si="5"/>
        <v>311100</v>
      </c>
      <c r="BR46" s="73">
        <f t="shared" si="6"/>
        <v>74577</v>
      </c>
      <c r="BS46" s="141">
        <v>0</v>
      </c>
      <c r="BT46" s="141">
        <v>0</v>
      </c>
      <c r="BU46" s="141">
        <v>74577</v>
      </c>
      <c r="BV46" s="141">
        <v>0</v>
      </c>
      <c r="BW46" s="141">
        <v>8200456</v>
      </c>
      <c r="BX46" s="71"/>
      <c r="BY46" s="141">
        <v>1819075</v>
      </c>
      <c r="BZ46" s="141">
        <v>951850</v>
      </c>
      <c r="CA46" s="141">
        <v>158609</v>
      </c>
      <c r="CB46" s="141">
        <v>363980</v>
      </c>
      <c r="CC46" s="141">
        <v>1154511</v>
      </c>
      <c r="CD46" s="141">
        <v>751758</v>
      </c>
      <c r="CE46" s="141">
        <v>6848</v>
      </c>
      <c r="CF46" s="141">
        <v>377937</v>
      </c>
      <c r="CG46" s="141">
        <v>0</v>
      </c>
      <c r="CH46" s="141">
        <v>9433</v>
      </c>
      <c r="CI46" s="141">
        <v>8535</v>
      </c>
      <c r="CJ46" s="141">
        <v>695327</v>
      </c>
      <c r="CK46" s="141">
        <v>670494</v>
      </c>
      <c r="CL46" s="83">
        <f t="shared" si="21"/>
        <v>24833</v>
      </c>
      <c r="CM46" s="141">
        <v>1366996</v>
      </c>
      <c r="CN46" s="141">
        <v>849309</v>
      </c>
      <c r="CO46" s="102"/>
      <c r="CP46" s="141">
        <v>324142</v>
      </c>
      <c r="CQ46" s="141">
        <v>119267</v>
      </c>
      <c r="CR46" s="141">
        <v>676321</v>
      </c>
      <c r="CS46" s="141">
        <v>279370</v>
      </c>
      <c r="CT46" s="141">
        <v>184825</v>
      </c>
      <c r="CU46" s="141">
        <v>161626</v>
      </c>
      <c r="CV46" s="73">
        <f t="shared" si="8"/>
        <v>0</v>
      </c>
      <c r="CW46" s="141">
        <v>0</v>
      </c>
      <c r="CX46" s="141">
        <v>0</v>
      </c>
      <c r="CY46" s="73">
        <f t="shared" si="9"/>
        <v>0</v>
      </c>
      <c r="CZ46" s="141">
        <v>0</v>
      </c>
      <c r="DA46" s="141">
        <v>0</v>
      </c>
      <c r="DB46" s="73">
        <f t="shared" si="10"/>
        <v>0</v>
      </c>
      <c r="DC46" s="141">
        <v>0</v>
      </c>
      <c r="DD46" s="141">
        <v>0</v>
      </c>
      <c r="DE46" s="141">
        <v>629469</v>
      </c>
      <c r="DF46" s="141">
        <v>435141</v>
      </c>
      <c r="DG46" s="141">
        <v>194328</v>
      </c>
      <c r="DH46" s="141">
        <v>0</v>
      </c>
      <c r="DI46" s="141">
        <v>0</v>
      </c>
      <c r="DJ46" s="141">
        <v>29104</v>
      </c>
      <c r="DK46" s="141">
        <v>205141</v>
      </c>
      <c r="DL46" s="141">
        <v>20030</v>
      </c>
      <c r="DM46" s="141">
        <v>0</v>
      </c>
      <c r="DN46" s="141">
        <v>185111</v>
      </c>
      <c r="DO46" s="141">
        <v>0</v>
      </c>
      <c r="DP46" s="141">
        <v>0</v>
      </c>
      <c r="DQ46" s="141">
        <v>0</v>
      </c>
      <c r="DR46" s="141">
        <v>0</v>
      </c>
      <c r="DS46" s="141">
        <v>0</v>
      </c>
      <c r="DT46" s="141">
        <v>0</v>
      </c>
      <c r="DU46" s="141">
        <v>0</v>
      </c>
      <c r="DV46" s="141">
        <v>1382914</v>
      </c>
      <c r="DW46" s="141">
        <v>319848</v>
      </c>
      <c r="DX46" s="73">
        <f t="shared" si="11"/>
        <v>0</v>
      </c>
      <c r="DY46" s="141">
        <v>0</v>
      </c>
      <c r="DZ46" s="141">
        <v>376550</v>
      </c>
      <c r="EA46" s="141">
        <v>0</v>
      </c>
      <c r="EB46" s="141">
        <v>357162</v>
      </c>
      <c r="EC46" s="74">
        <v>0</v>
      </c>
      <c r="ED46" s="141">
        <v>318029</v>
      </c>
      <c r="EE46" s="141">
        <v>0</v>
      </c>
      <c r="EF46" s="141">
        <v>8078125</v>
      </c>
      <c r="EG46" s="71"/>
      <c r="EH46" s="141">
        <v>122331</v>
      </c>
      <c r="EI46" s="141">
        <v>45646</v>
      </c>
      <c r="EJ46" s="141">
        <v>76685</v>
      </c>
      <c r="EK46" s="141">
        <v>4902</v>
      </c>
      <c r="EL46" s="141">
        <v>-311068</v>
      </c>
      <c r="EM46" s="71"/>
      <c r="EN46" s="141">
        <v>14741</v>
      </c>
      <c r="EO46" s="141">
        <v>14793</v>
      </c>
      <c r="EP46" s="141">
        <v>336181</v>
      </c>
      <c r="EQ46" s="141">
        <v>22780</v>
      </c>
      <c r="ER46" s="73">
        <f t="shared" si="12"/>
        <v>444690</v>
      </c>
      <c r="ES46" s="141">
        <v>4758895</v>
      </c>
      <c r="ET46" s="141">
        <v>-876367</v>
      </c>
      <c r="EU46" s="141">
        <v>1640505</v>
      </c>
      <c r="EV46" s="141">
        <v>839428</v>
      </c>
      <c r="EW46" s="141">
        <v>285623</v>
      </c>
      <c r="EX46" s="141">
        <v>695327</v>
      </c>
      <c r="EY46" s="73">
        <f t="shared" si="13"/>
        <v>78274</v>
      </c>
      <c r="EZ46" s="141">
        <v>78274</v>
      </c>
      <c r="FA46" s="141">
        <v>2914</v>
      </c>
      <c r="FB46" s="141">
        <v>75360</v>
      </c>
      <c r="FC46" s="141">
        <v>0</v>
      </c>
      <c r="FD46" s="141">
        <v>0</v>
      </c>
      <c r="FE46" s="141">
        <v>865377</v>
      </c>
      <c r="FF46" s="141">
        <v>582997</v>
      </c>
      <c r="FG46" s="141">
        <v>278953</v>
      </c>
      <c r="FH46" s="141">
        <v>1189661</v>
      </c>
      <c r="FI46" s="73">
        <f t="shared" si="14"/>
        <v>175167</v>
      </c>
      <c r="FJ46" s="141">
        <v>5512931</v>
      </c>
      <c r="FK46" s="379">
        <f t="shared" si="15"/>
        <v>1.7</v>
      </c>
      <c r="FL46" s="141">
        <v>4437572</v>
      </c>
      <c r="FM46" s="141">
        <v>74577</v>
      </c>
      <c r="FN46" s="141">
        <v>1799122</v>
      </c>
      <c r="FO46" s="141">
        <v>3959578</v>
      </c>
      <c r="FP46" s="390">
        <v>0.46899999999999997</v>
      </c>
      <c r="FQ46" s="380">
        <v>94.9</v>
      </c>
      <c r="FR46" s="381">
        <v>30.5</v>
      </c>
      <c r="FS46" s="380">
        <v>5.3</v>
      </c>
      <c r="FT46" s="380">
        <v>15.1</v>
      </c>
      <c r="FU46" s="381">
        <v>15.9</v>
      </c>
      <c r="FV46" s="380">
        <v>8.1</v>
      </c>
      <c r="FW46" s="382">
        <v>17.600000000000001</v>
      </c>
      <c r="FX46" s="383">
        <v>11.1</v>
      </c>
      <c r="FY46" s="141">
        <v>7586093</v>
      </c>
      <c r="FZ46" s="384">
        <f t="shared" si="16"/>
        <v>168.1</v>
      </c>
      <c r="GA46" s="141">
        <v>1071814</v>
      </c>
      <c r="GB46" s="141">
        <v>519804</v>
      </c>
      <c r="GC46" s="141">
        <v>38472</v>
      </c>
      <c r="GD46" s="141">
        <v>513538</v>
      </c>
      <c r="GE46" s="107">
        <v>0</v>
      </c>
      <c r="GF46" s="385"/>
      <c r="GG46" s="386"/>
      <c r="GH46" s="380">
        <v>99.3</v>
      </c>
      <c r="GI46" s="380">
        <v>21.6</v>
      </c>
      <c r="GJ46" s="380">
        <v>95.1</v>
      </c>
      <c r="GK46" s="141">
        <v>162</v>
      </c>
      <c r="GL46" s="391" t="s">
        <v>646</v>
      </c>
      <c r="GM46" s="391">
        <v>15</v>
      </c>
      <c r="GN46" s="117">
        <v>20</v>
      </c>
      <c r="GO46" s="391" t="s">
        <v>646</v>
      </c>
      <c r="GP46" s="392">
        <v>20</v>
      </c>
      <c r="GQ46" s="387">
        <v>30</v>
      </c>
      <c r="GR46" s="381">
        <v>11.1</v>
      </c>
      <c r="GS46" s="388">
        <v>25</v>
      </c>
      <c r="GT46" s="388">
        <v>35</v>
      </c>
      <c r="GU46" s="393">
        <v>105.8</v>
      </c>
      <c r="GV46" s="388">
        <v>350</v>
      </c>
      <c r="GW46" s="394"/>
      <c r="GX46" s="100">
        <f t="shared" si="17"/>
        <v>4512</v>
      </c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  <c r="HW46" s="394"/>
      <c r="HX46" s="394"/>
    </row>
    <row r="47" spans="1:232" x14ac:dyDescent="0.15">
      <c r="B47" s="89" t="s">
        <v>83</v>
      </c>
      <c r="C47" s="141">
        <v>1375419</v>
      </c>
      <c r="D47" s="73">
        <f t="shared" si="0"/>
        <v>659445</v>
      </c>
      <c r="E47" s="141">
        <v>22748</v>
      </c>
      <c r="F47" s="141">
        <v>636697</v>
      </c>
      <c r="G47" s="73">
        <f t="shared" si="1"/>
        <v>35196</v>
      </c>
      <c r="H47" s="141">
        <v>21993</v>
      </c>
      <c r="I47" s="141">
        <v>13203</v>
      </c>
      <c r="J47" s="141">
        <v>502425</v>
      </c>
      <c r="K47" s="141">
        <v>190221</v>
      </c>
      <c r="L47" s="141">
        <v>252045</v>
      </c>
      <c r="M47" s="141">
        <v>60159</v>
      </c>
      <c r="N47" s="141">
        <v>135830</v>
      </c>
      <c r="O47" s="141">
        <v>0</v>
      </c>
      <c r="P47" s="141">
        <v>0</v>
      </c>
      <c r="Q47" s="141">
        <v>0</v>
      </c>
      <c r="R47" s="141">
        <v>34228</v>
      </c>
      <c r="S47" s="74"/>
      <c r="T47" s="73">
        <f t="shared" si="18"/>
        <v>347019</v>
      </c>
      <c r="U47" s="141">
        <v>1643</v>
      </c>
      <c r="V47" s="141">
        <v>13718</v>
      </c>
      <c r="W47" s="141">
        <v>9806</v>
      </c>
      <c r="X47" s="141">
        <v>281412</v>
      </c>
      <c r="Y47" s="141">
        <v>16342</v>
      </c>
      <c r="Z47" s="141">
        <v>0</v>
      </c>
      <c r="AA47" s="141">
        <v>253</v>
      </c>
      <c r="AB47" s="141">
        <v>7562</v>
      </c>
      <c r="AC47" s="141">
        <v>16283</v>
      </c>
      <c r="AD47" s="141">
        <v>11292</v>
      </c>
      <c r="AE47" s="141">
        <v>2029303</v>
      </c>
      <c r="AF47" s="141">
        <v>1778108</v>
      </c>
      <c r="AG47" s="141">
        <v>251195</v>
      </c>
      <c r="AH47" s="141">
        <v>1911</v>
      </c>
      <c r="AI47" s="141">
        <v>34162</v>
      </c>
      <c r="AJ47" s="73">
        <f t="shared" si="19"/>
        <v>58517</v>
      </c>
      <c r="AK47" s="141">
        <v>32795</v>
      </c>
      <c r="AL47" s="141">
        <v>25722</v>
      </c>
      <c r="AM47" s="141">
        <v>1095349</v>
      </c>
      <c r="AN47" s="73">
        <f t="shared" si="20"/>
        <v>304414</v>
      </c>
      <c r="AO47" s="141">
        <v>0</v>
      </c>
      <c r="AP47" s="141">
        <v>155132</v>
      </c>
      <c r="AQ47" s="74"/>
      <c r="AR47" s="141">
        <v>149282</v>
      </c>
      <c r="AS47" s="141">
        <v>32050</v>
      </c>
      <c r="AT47" s="141">
        <v>0</v>
      </c>
      <c r="AU47" s="141">
        <v>0</v>
      </c>
      <c r="AV47" s="141">
        <v>532897</v>
      </c>
      <c r="AW47" s="141">
        <v>325792</v>
      </c>
      <c r="AX47" s="141">
        <v>63512</v>
      </c>
      <c r="AY47" s="141">
        <v>0</v>
      </c>
      <c r="AZ47" s="141">
        <v>207105</v>
      </c>
      <c r="BA47" s="141">
        <v>15534</v>
      </c>
      <c r="BB47" s="141">
        <v>45679</v>
      </c>
      <c r="BC47" s="141">
        <v>44430</v>
      </c>
      <c r="BD47" s="141">
        <v>366778</v>
      </c>
      <c r="BE47" s="141">
        <v>190351</v>
      </c>
      <c r="BF47" s="141">
        <v>0</v>
      </c>
      <c r="BG47" s="141">
        <v>0</v>
      </c>
      <c r="BH47" s="141">
        <v>178948</v>
      </c>
      <c r="BI47" s="141">
        <v>0</v>
      </c>
      <c r="BJ47" s="141">
        <v>208072</v>
      </c>
      <c r="BK47" s="141">
        <v>181399</v>
      </c>
      <c r="BL47" s="141">
        <v>48075</v>
      </c>
      <c r="BM47" s="141">
        <v>0</v>
      </c>
      <c r="BN47" s="141">
        <v>9616</v>
      </c>
      <c r="BO47" s="141">
        <v>0</v>
      </c>
      <c r="BP47" s="141">
        <v>190469</v>
      </c>
      <c r="BQ47" s="73">
        <f t="shared" si="5"/>
        <v>128900</v>
      </c>
      <c r="BR47" s="73">
        <f t="shared" si="6"/>
        <v>61569</v>
      </c>
      <c r="BS47" s="141">
        <v>0</v>
      </c>
      <c r="BT47" s="141">
        <v>0</v>
      </c>
      <c r="BU47" s="141">
        <v>61569</v>
      </c>
      <c r="BV47" s="141">
        <v>0</v>
      </c>
      <c r="BW47" s="141">
        <v>6569521</v>
      </c>
      <c r="BX47" s="71"/>
      <c r="BY47" s="141">
        <v>1152296</v>
      </c>
      <c r="BZ47" s="141">
        <v>638901</v>
      </c>
      <c r="CA47" s="141">
        <v>46306</v>
      </c>
      <c r="CB47" s="141">
        <v>201461</v>
      </c>
      <c r="CC47" s="141">
        <v>1180248</v>
      </c>
      <c r="CD47" s="141">
        <v>448427</v>
      </c>
      <c r="CE47" s="141">
        <v>2295</v>
      </c>
      <c r="CF47" s="141">
        <v>677661</v>
      </c>
      <c r="CG47" s="141">
        <v>0</v>
      </c>
      <c r="CH47" s="141">
        <v>0</v>
      </c>
      <c r="CI47" s="141">
        <v>51865</v>
      </c>
      <c r="CJ47" s="141">
        <v>416508</v>
      </c>
      <c r="CK47" s="141">
        <v>396418</v>
      </c>
      <c r="CL47" s="83">
        <f t="shared" si="21"/>
        <v>20090</v>
      </c>
      <c r="CM47" s="141">
        <v>1227548</v>
      </c>
      <c r="CN47" s="141">
        <v>905332</v>
      </c>
      <c r="CO47" s="102"/>
      <c r="CP47" s="141">
        <v>117434</v>
      </c>
      <c r="CQ47" s="141">
        <v>22159</v>
      </c>
      <c r="CR47" s="141">
        <v>801509</v>
      </c>
      <c r="CS47" s="141">
        <v>125015</v>
      </c>
      <c r="CT47" s="141">
        <v>233728</v>
      </c>
      <c r="CU47" s="141">
        <v>191682</v>
      </c>
      <c r="CV47" s="73">
        <f t="shared" si="8"/>
        <v>122027</v>
      </c>
      <c r="CW47" s="141">
        <v>0</v>
      </c>
      <c r="CX47" s="141">
        <v>122027</v>
      </c>
      <c r="CY47" s="73">
        <f t="shared" si="9"/>
        <v>0</v>
      </c>
      <c r="CZ47" s="141">
        <v>0</v>
      </c>
      <c r="DA47" s="141">
        <v>0</v>
      </c>
      <c r="DB47" s="73">
        <f t="shared" si="10"/>
        <v>122027</v>
      </c>
      <c r="DC47" s="141">
        <v>0</v>
      </c>
      <c r="DD47" s="141">
        <v>122027</v>
      </c>
      <c r="DE47" s="141">
        <v>273859</v>
      </c>
      <c r="DF47" s="141">
        <v>77625</v>
      </c>
      <c r="DG47" s="141">
        <v>196234</v>
      </c>
      <c r="DH47" s="141">
        <v>0</v>
      </c>
      <c r="DI47" s="141">
        <v>0</v>
      </c>
      <c r="DJ47" s="141">
        <v>0</v>
      </c>
      <c r="DK47" s="141">
        <v>762430</v>
      </c>
      <c r="DL47" s="141">
        <v>91001</v>
      </c>
      <c r="DM47" s="141">
        <v>128018</v>
      </c>
      <c r="DN47" s="141">
        <v>543411</v>
      </c>
      <c r="DO47" s="141">
        <v>0</v>
      </c>
      <c r="DP47" s="141">
        <v>0</v>
      </c>
      <c r="DQ47" s="141">
        <v>0</v>
      </c>
      <c r="DR47" s="141">
        <v>0</v>
      </c>
      <c r="DS47" s="141">
        <v>0</v>
      </c>
      <c r="DT47" s="141">
        <v>0</v>
      </c>
      <c r="DU47" s="141">
        <v>0</v>
      </c>
      <c r="DV47" s="141">
        <v>558382</v>
      </c>
      <c r="DW47" s="141">
        <v>0</v>
      </c>
      <c r="DX47" s="73">
        <f t="shared" si="11"/>
        <v>0</v>
      </c>
      <c r="DY47" s="141">
        <v>0</v>
      </c>
      <c r="DZ47" s="141">
        <v>199354</v>
      </c>
      <c r="EA47" s="141">
        <v>0</v>
      </c>
      <c r="EB47" s="141">
        <v>133802</v>
      </c>
      <c r="EC47" s="74">
        <v>0</v>
      </c>
      <c r="ED47" s="141">
        <v>220770</v>
      </c>
      <c r="EE47" s="141">
        <v>0</v>
      </c>
      <c r="EF47" s="141">
        <v>6394939</v>
      </c>
      <c r="EG47" s="71"/>
      <c r="EH47" s="141">
        <v>174582</v>
      </c>
      <c r="EI47" s="141">
        <v>8695</v>
      </c>
      <c r="EJ47" s="141">
        <v>165887</v>
      </c>
      <c r="EK47" s="141">
        <v>-15512</v>
      </c>
      <c r="EL47" s="141">
        <v>75489</v>
      </c>
      <c r="EM47" s="71"/>
      <c r="EN47" s="141">
        <v>13009</v>
      </c>
      <c r="EO47" s="141">
        <v>12959</v>
      </c>
      <c r="EP47" s="141">
        <v>2012</v>
      </c>
      <c r="EQ47" s="141">
        <v>45679</v>
      </c>
      <c r="ER47" s="73">
        <f t="shared" si="12"/>
        <v>470016</v>
      </c>
      <c r="ES47" s="141">
        <v>3799172</v>
      </c>
      <c r="ET47" s="141">
        <v>-577365</v>
      </c>
      <c r="EU47" s="141">
        <v>1017915</v>
      </c>
      <c r="EV47" s="141">
        <v>585215</v>
      </c>
      <c r="EW47" s="141">
        <v>300570</v>
      </c>
      <c r="EX47" s="141">
        <v>416508</v>
      </c>
      <c r="EY47" s="73">
        <f t="shared" si="13"/>
        <v>96609</v>
      </c>
      <c r="EZ47" s="141">
        <v>96609</v>
      </c>
      <c r="FA47" s="141">
        <v>16199</v>
      </c>
      <c r="FB47" s="141">
        <v>80410</v>
      </c>
      <c r="FC47" s="141">
        <v>0</v>
      </c>
      <c r="FD47" s="141">
        <v>0</v>
      </c>
      <c r="FE47" s="141">
        <v>787572</v>
      </c>
      <c r="FF47" s="141">
        <v>724143</v>
      </c>
      <c r="FG47" s="141">
        <v>117981</v>
      </c>
      <c r="FH47" s="141">
        <v>438639</v>
      </c>
      <c r="FI47" s="73">
        <f t="shared" si="14"/>
        <v>419999</v>
      </c>
      <c r="FJ47" s="141">
        <v>4201955</v>
      </c>
      <c r="FK47" s="379">
        <f t="shared" si="15"/>
        <v>4.7</v>
      </c>
      <c r="FL47" s="141">
        <v>3505057</v>
      </c>
      <c r="FM47" s="141">
        <v>61569</v>
      </c>
      <c r="FN47" s="141">
        <v>1375341</v>
      </c>
      <c r="FO47" s="141">
        <v>3153449</v>
      </c>
      <c r="FP47" s="390">
        <v>0.46700000000000003</v>
      </c>
      <c r="FQ47" s="380">
        <v>87.9</v>
      </c>
      <c r="FR47" s="381">
        <v>27.5</v>
      </c>
      <c r="FS47" s="380">
        <v>8.3000000000000007</v>
      </c>
      <c r="FT47" s="380">
        <v>11.5</v>
      </c>
      <c r="FU47" s="381">
        <v>15.6</v>
      </c>
      <c r="FV47" s="380">
        <v>12.6</v>
      </c>
      <c r="FW47" s="382">
        <v>11.7</v>
      </c>
      <c r="FX47" s="383">
        <v>4.5</v>
      </c>
      <c r="FY47" s="141">
        <v>4210558</v>
      </c>
      <c r="FZ47" s="384">
        <f t="shared" si="16"/>
        <v>118.1</v>
      </c>
      <c r="GA47" s="141">
        <v>3094458</v>
      </c>
      <c r="GB47" s="141">
        <v>1487576</v>
      </c>
      <c r="GC47" s="141">
        <v>135895</v>
      </c>
      <c r="GD47" s="141">
        <v>1470987</v>
      </c>
      <c r="GE47" s="107">
        <v>0</v>
      </c>
      <c r="GF47" s="385"/>
      <c r="GG47" s="386"/>
      <c r="GH47" s="380">
        <v>99</v>
      </c>
      <c r="GI47" s="380">
        <v>49.3</v>
      </c>
      <c r="GJ47" s="380">
        <v>98</v>
      </c>
      <c r="GK47" s="141">
        <v>101</v>
      </c>
      <c r="GL47" s="391" t="s">
        <v>646</v>
      </c>
      <c r="GM47" s="391">
        <v>15</v>
      </c>
      <c r="GN47" s="117">
        <v>20</v>
      </c>
      <c r="GO47" s="391" t="s">
        <v>646</v>
      </c>
      <c r="GP47" s="392">
        <v>20</v>
      </c>
      <c r="GQ47" s="387">
        <v>30</v>
      </c>
      <c r="GR47" s="381">
        <v>4.5</v>
      </c>
      <c r="GS47" s="388">
        <v>25</v>
      </c>
      <c r="GT47" s="388">
        <v>35</v>
      </c>
      <c r="GU47" s="393" t="s">
        <v>646</v>
      </c>
      <c r="GV47" s="388">
        <v>350</v>
      </c>
      <c r="GW47" s="394"/>
      <c r="GX47" s="100">
        <f t="shared" si="17"/>
        <v>3567</v>
      </c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  <c r="HW47" s="394"/>
      <c r="HX47" s="394"/>
    </row>
    <row r="48" spans="1:232" x14ac:dyDescent="0.15">
      <c r="B48" s="89" t="s">
        <v>85</v>
      </c>
      <c r="C48" s="141">
        <v>1514169</v>
      </c>
      <c r="D48" s="73">
        <f t="shared" si="0"/>
        <v>734758</v>
      </c>
      <c r="E48" s="141">
        <v>26030</v>
      </c>
      <c r="F48" s="141">
        <v>708728</v>
      </c>
      <c r="G48" s="73">
        <f t="shared" si="1"/>
        <v>55565</v>
      </c>
      <c r="H48" s="141">
        <v>29211</v>
      </c>
      <c r="I48" s="141">
        <v>26354</v>
      </c>
      <c r="J48" s="141">
        <v>567134</v>
      </c>
      <c r="K48" s="141">
        <v>179114</v>
      </c>
      <c r="L48" s="141">
        <v>302076</v>
      </c>
      <c r="M48" s="141">
        <v>85944</v>
      </c>
      <c r="N48" s="141">
        <v>99871</v>
      </c>
      <c r="O48" s="141">
        <v>0</v>
      </c>
      <c r="P48" s="141">
        <v>0</v>
      </c>
      <c r="Q48" s="141">
        <v>0</v>
      </c>
      <c r="R48" s="141">
        <v>48577</v>
      </c>
      <c r="S48" s="74"/>
      <c r="T48" s="73">
        <f t="shared" si="18"/>
        <v>461942</v>
      </c>
      <c r="U48" s="141">
        <v>1857</v>
      </c>
      <c r="V48" s="141">
        <v>15406</v>
      </c>
      <c r="W48" s="141">
        <v>10934</v>
      </c>
      <c r="X48" s="141">
        <v>353074</v>
      </c>
      <c r="Y48" s="141">
        <v>44106</v>
      </c>
      <c r="Z48" s="141">
        <v>0</v>
      </c>
      <c r="AA48" s="141">
        <v>346</v>
      </c>
      <c r="AB48" s="141">
        <v>10355</v>
      </c>
      <c r="AC48" s="141">
        <v>25864</v>
      </c>
      <c r="AD48" s="141">
        <v>15402</v>
      </c>
      <c r="AE48" s="141">
        <v>2423521</v>
      </c>
      <c r="AF48" s="141">
        <v>2240712</v>
      </c>
      <c r="AG48" s="141">
        <v>182809</v>
      </c>
      <c r="AH48" s="141">
        <v>1993</v>
      </c>
      <c r="AI48" s="141">
        <v>2117</v>
      </c>
      <c r="AJ48" s="73">
        <f t="shared" si="19"/>
        <v>113999</v>
      </c>
      <c r="AK48" s="141">
        <v>57692</v>
      </c>
      <c r="AL48" s="141">
        <v>56307</v>
      </c>
      <c r="AM48" s="141">
        <v>1227169</v>
      </c>
      <c r="AN48" s="73">
        <f t="shared" si="20"/>
        <v>293546</v>
      </c>
      <c r="AO48" s="141">
        <v>0</v>
      </c>
      <c r="AP48" s="141">
        <v>372</v>
      </c>
      <c r="AQ48" s="74"/>
      <c r="AR48" s="141">
        <v>293174</v>
      </c>
      <c r="AS48" s="141">
        <v>0</v>
      </c>
      <c r="AT48" s="141">
        <v>0</v>
      </c>
      <c r="AU48" s="141">
        <v>0</v>
      </c>
      <c r="AV48" s="141">
        <v>591894</v>
      </c>
      <c r="AW48" s="141">
        <v>325289</v>
      </c>
      <c r="AX48" s="141">
        <v>46419</v>
      </c>
      <c r="AY48" s="141">
        <v>2135</v>
      </c>
      <c r="AZ48" s="141">
        <v>266605</v>
      </c>
      <c r="BA48" s="141">
        <v>16805</v>
      </c>
      <c r="BB48" s="141">
        <v>3181</v>
      </c>
      <c r="BC48" s="141">
        <v>0</v>
      </c>
      <c r="BD48" s="141">
        <v>25580</v>
      </c>
      <c r="BE48" s="141">
        <v>57883</v>
      </c>
      <c r="BF48" s="141">
        <v>0</v>
      </c>
      <c r="BG48" s="141">
        <v>0</v>
      </c>
      <c r="BH48" s="141">
        <v>56669</v>
      </c>
      <c r="BI48" s="141">
        <v>0</v>
      </c>
      <c r="BJ48" s="141">
        <v>92889</v>
      </c>
      <c r="BK48" s="141">
        <v>86888</v>
      </c>
      <c r="BL48" s="141">
        <v>92272</v>
      </c>
      <c r="BM48" s="141">
        <v>1000</v>
      </c>
      <c r="BN48" s="141">
        <v>8805</v>
      </c>
      <c r="BO48" s="141">
        <v>0</v>
      </c>
      <c r="BP48" s="141">
        <v>122600</v>
      </c>
      <c r="BQ48" s="73">
        <f t="shared" si="5"/>
        <v>60800</v>
      </c>
      <c r="BR48" s="73">
        <f t="shared" si="6"/>
        <v>61800</v>
      </c>
      <c r="BS48" s="141">
        <v>0</v>
      </c>
      <c r="BT48" s="141">
        <v>0</v>
      </c>
      <c r="BU48" s="141">
        <v>61800</v>
      </c>
      <c r="BV48" s="141">
        <v>0</v>
      </c>
      <c r="BW48" s="141">
        <v>6795188</v>
      </c>
      <c r="BX48" s="71"/>
      <c r="BY48" s="141">
        <v>1317607</v>
      </c>
      <c r="BZ48" s="141">
        <v>715768</v>
      </c>
      <c r="CA48" s="141">
        <v>63396</v>
      </c>
      <c r="CB48" s="141">
        <v>253842</v>
      </c>
      <c r="CC48" s="141">
        <v>1310192</v>
      </c>
      <c r="CD48" s="141">
        <v>781925</v>
      </c>
      <c r="CE48" s="141">
        <v>4522</v>
      </c>
      <c r="CF48" s="141">
        <v>465523</v>
      </c>
      <c r="CG48" s="141">
        <v>0</v>
      </c>
      <c r="CH48" s="141">
        <v>253</v>
      </c>
      <c r="CI48" s="141">
        <v>57969</v>
      </c>
      <c r="CJ48" s="141">
        <v>583746</v>
      </c>
      <c r="CK48" s="141">
        <v>559665</v>
      </c>
      <c r="CL48" s="83">
        <f t="shared" si="21"/>
        <v>24081</v>
      </c>
      <c r="CM48" s="141">
        <v>1348944</v>
      </c>
      <c r="CN48" s="141">
        <v>946718</v>
      </c>
      <c r="CO48" s="102"/>
      <c r="CP48" s="141">
        <v>201002</v>
      </c>
      <c r="CQ48" s="141">
        <v>16637</v>
      </c>
      <c r="CR48" s="141">
        <v>891187</v>
      </c>
      <c r="CS48" s="141">
        <v>189177</v>
      </c>
      <c r="CT48" s="141">
        <v>209269</v>
      </c>
      <c r="CU48" s="141">
        <v>164866</v>
      </c>
      <c r="CV48" s="73">
        <f t="shared" si="8"/>
        <v>155193</v>
      </c>
      <c r="CW48" s="141">
        <v>3789</v>
      </c>
      <c r="CX48" s="141">
        <v>151404</v>
      </c>
      <c r="CY48" s="73">
        <f t="shared" si="9"/>
        <v>0</v>
      </c>
      <c r="CZ48" s="141">
        <v>0</v>
      </c>
      <c r="DA48" s="141">
        <v>0</v>
      </c>
      <c r="DB48" s="73">
        <f t="shared" si="10"/>
        <v>155193</v>
      </c>
      <c r="DC48" s="141">
        <v>3789</v>
      </c>
      <c r="DD48" s="141">
        <v>151404</v>
      </c>
      <c r="DE48" s="141">
        <v>207127</v>
      </c>
      <c r="DF48" s="141">
        <v>28082</v>
      </c>
      <c r="DG48" s="141">
        <v>169309</v>
      </c>
      <c r="DH48" s="141">
        <v>9736</v>
      </c>
      <c r="DI48" s="141">
        <v>0</v>
      </c>
      <c r="DJ48" s="141">
        <v>0</v>
      </c>
      <c r="DK48" s="141">
        <v>178355</v>
      </c>
      <c r="DL48" s="141">
        <v>493</v>
      </c>
      <c r="DM48" s="141">
        <v>36</v>
      </c>
      <c r="DN48" s="141">
        <v>177826</v>
      </c>
      <c r="DO48" s="141">
        <v>0</v>
      </c>
      <c r="DP48" s="141">
        <v>0</v>
      </c>
      <c r="DQ48" s="141">
        <v>0</v>
      </c>
      <c r="DR48" s="141">
        <v>0</v>
      </c>
      <c r="DS48" s="141">
        <v>0</v>
      </c>
      <c r="DT48" s="141">
        <v>0</v>
      </c>
      <c r="DU48" s="141">
        <v>0</v>
      </c>
      <c r="DV48" s="141">
        <v>651032</v>
      </c>
      <c r="DW48" s="141">
        <v>0</v>
      </c>
      <c r="DX48" s="73">
        <f t="shared" si="11"/>
        <v>0</v>
      </c>
      <c r="DY48" s="141">
        <v>0</v>
      </c>
      <c r="DZ48" s="141">
        <v>246668</v>
      </c>
      <c r="EA48" s="141">
        <v>0</v>
      </c>
      <c r="EB48" s="141">
        <v>161260</v>
      </c>
      <c r="EC48" s="74">
        <v>0</v>
      </c>
      <c r="ED48" s="141">
        <v>243104</v>
      </c>
      <c r="EE48" s="141">
        <v>0</v>
      </c>
      <c r="EF48" s="141">
        <v>6504827</v>
      </c>
      <c r="EG48" s="71"/>
      <c r="EH48" s="141">
        <v>290361</v>
      </c>
      <c r="EI48" s="141">
        <v>15136</v>
      </c>
      <c r="EJ48" s="141">
        <v>275225</v>
      </c>
      <c r="EK48" s="141">
        <v>98337</v>
      </c>
      <c r="EL48" s="141">
        <v>98830</v>
      </c>
      <c r="EM48" s="71"/>
      <c r="EN48" s="141">
        <v>15697</v>
      </c>
      <c r="EO48" s="141">
        <v>14995</v>
      </c>
      <c r="EP48" s="141">
        <v>1214</v>
      </c>
      <c r="EQ48" s="141">
        <v>233</v>
      </c>
      <c r="ER48" s="73">
        <f t="shared" si="12"/>
        <v>466878</v>
      </c>
      <c r="ES48" s="141">
        <v>4465604</v>
      </c>
      <c r="ET48" s="141">
        <v>-528132</v>
      </c>
      <c r="EU48" s="141">
        <v>1209871</v>
      </c>
      <c r="EV48" s="141">
        <v>653444</v>
      </c>
      <c r="EW48" s="141">
        <v>327065</v>
      </c>
      <c r="EX48" s="141">
        <v>583746</v>
      </c>
      <c r="EY48" s="73">
        <f t="shared" si="13"/>
        <v>102291</v>
      </c>
      <c r="EZ48" s="141">
        <v>102291</v>
      </c>
      <c r="FA48" s="141">
        <v>9658</v>
      </c>
      <c r="FB48" s="141">
        <v>84197</v>
      </c>
      <c r="FC48" s="141">
        <v>0</v>
      </c>
      <c r="FD48" s="141">
        <v>0</v>
      </c>
      <c r="FE48" s="141">
        <v>983132</v>
      </c>
      <c r="FF48" s="141">
        <v>786821</v>
      </c>
      <c r="FG48" s="141">
        <v>160151</v>
      </c>
      <c r="FH48" s="141">
        <v>516215</v>
      </c>
      <c r="FI48" s="73">
        <f t="shared" si="14"/>
        <v>194234</v>
      </c>
      <c r="FJ48" s="141">
        <v>4703375</v>
      </c>
      <c r="FK48" s="379">
        <f t="shared" si="15"/>
        <v>6.4</v>
      </c>
      <c r="FL48" s="141">
        <v>4240275</v>
      </c>
      <c r="FM48" s="141">
        <v>61819</v>
      </c>
      <c r="FN48" s="141">
        <v>1594951</v>
      </c>
      <c r="FO48" s="141">
        <v>3835362</v>
      </c>
      <c r="FP48" s="390">
        <v>0.42499999999999999</v>
      </c>
      <c r="FQ48" s="380">
        <v>86.5</v>
      </c>
      <c r="FR48" s="381">
        <v>27.4</v>
      </c>
      <c r="FS48" s="380">
        <v>7.5</v>
      </c>
      <c r="FT48" s="380">
        <v>13.4</v>
      </c>
      <c r="FU48" s="381">
        <v>15.7</v>
      </c>
      <c r="FV48" s="380">
        <v>10.6</v>
      </c>
      <c r="FW48" s="382">
        <v>11.6</v>
      </c>
      <c r="FX48" s="383">
        <v>6.6</v>
      </c>
      <c r="FY48" s="141">
        <v>5700845</v>
      </c>
      <c r="FZ48" s="384">
        <f t="shared" si="16"/>
        <v>132.5</v>
      </c>
      <c r="GA48" s="141">
        <v>2980703</v>
      </c>
      <c r="GB48" s="141">
        <v>1293964</v>
      </c>
      <c r="GC48" s="141">
        <v>275101</v>
      </c>
      <c r="GD48" s="141">
        <v>1411638</v>
      </c>
      <c r="GE48" s="107">
        <v>0</v>
      </c>
      <c r="GF48" s="385">
        <v>109</v>
      </c>
      <c r="GG48" s="386">
        <f>IF(GF48=0,"-",ROUND(GF48/(GX48)*100,1))</f>
        <v>2.5</v>
      </c>
      <c r="GH48" s="380">
        <v>99.2</v>
      </c>
      <c r="GI48" s="380">
        <v>18</v>
      </c>
      <c r="GJ48" s="380">
        <v>96.5</v>
      </c>
      <c r="GK48" s="141">
        <v>119</v>
      </c>
      <c r="GL48" s="391" t="s">
        <v>646</v>
      </c>
      <c r="GM48" s="391">
        <v>15</v>
      </c>
      <c r="GN48" s="117">
        <v>20</v>
      </c>
      <c r="GO48" s="391" t="s">
        <v>646</v>
      </c>
      <c r="GP48" s="392">
        <v>20</v>
      </c>
      <c r="GQ48" s="387">
        <v>30</v>
      </c>
      <c r="GR48" s="381">
        <v>6.6</v>
      </c>
      <c r="GS48" s="388">
        <v>25</v>
      </c>
      <c r="GT48" s="388">
        <v>35</v>
      </c>
      <c r="GU48" s="393" t="s">
        <v>646</v>
      </c>
      <c r="GV48" s="388">
        <v>350</v>
      </c>
      <c r="GW48" s="394"/>
      <c r="GX48" s="100">
        <f t="shared" si="17"/>
        <v>4302</v>
      </c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  <c r="HW48" s="394"/>
      <c r="HX48" s="394"/>
    </row>
    <row r="49" spans="1:232" x14ac:dyDescent="0.15">
      <c r="B49" s="89" t="s">
        <v>87</v>
      </c>
      <c r="C49" s="141">
        <v>476710</v>
      </c>
      <c r="D49" s="73">
        <f t="shared" si="0"/>
        <v>202254</v>
      </c>
      <c r="E49" s="141">
        <v>7667</v>
      </c>
      <c r="F49" s="141">
        <v>194587</v>
      </c>
      <c r="G49" s="73">
        <f t="shared" si="1"/>
        <v>29050</v>
      </c>
      <c r="H49" s="141">
        <v>15007</v>
      </c>
      <c r="I49" s="141">
        <v>14043</v>
      </c>
      <c r="J49" s="141">
        <v>223600</v>
      </c>
      <c r="K49" s="141">
        <v>63225</v>
      </c>
      <c r="L49" s="141">
        <v>116389</v>
      </c>
      <c r="M49" s="141">
        <v>43986</v>
      </c>
      <c r="N49" s="141">
        <v>1112</v>
      </c>
      <c r="O49" s="141">
        <v>0</v>
      </c>
      <c r="P49" s="141">
        <v>0</v>
      </c>
      <c r="Q49" s="141">
        <v>0</v>
      </c>
      <c r="R49" s="141">
        <v>30587</v>
      </c>
      <c r="S49" s="74"/>
      <c r="T49" s="73">
        <f t="shared" si="18"/>
        <v>156962</v>
      </c>
      <c r="U49" s="141">
        <v>497</v>
      </c>
      <c r="V49" s="141">
        <v>4144</v>
      </c>
      <c r="W49" s="141">
        <v>2951</v>
      </c>
      <c r="X49" s="141">
        <v>115179</v>
      </c>
      <c r="Y49" s="141">
        <v>18907</v>
      </c>
      <c r="Z49" s="141">
        <v>0</v>
      </c>
      <c r="AA49" s="141">
        <v>135</v>
      </c>
      <c r="AB49" s="141">
        <v>4021</v>
      </c>
      <c r="AC49" s="141">
        <v>11128</v>
      </c>
      <c r="AD49" s="141">
        <v>1513</v>
      </c>
      <c r="AE49" s="141">
        <v>1783379</v>
      </c>
      <c r="AF49" s="141">
        <v>1586066</v>
      </c>
      <c r="AG49" s="141">
        <v>197313</v>
      </c>
      <c r="AH49" s="141">
        <v>673</v>
      </c>
      <c r="AI49" s="141">
        <v>1664</v>
      </c>
      <c r="AJ49" s="73">
        <f t="shared" si="19"/>
        <v>22456</v>
      </c>
      <c r="AK49" s="141">
        <v>9867</v>
      </c>
      <c r="AL49" s="141">
        <v>12589</v>
      </c>
      <c r="AM49" s="141">
        <v>482144</v>
      </c>
      <c r="AN49" s="73">
        <f t="shared" si="20"/>
        <v>51242</v>
      </c>
      <c r="AO49" s="141">
        <v>0</v>
      </c>
      <c r="AP49" s="141">
        <v>0</v>
      </c>
      <c r="AQ49" s="74"/>
      <c r="AR49" s="141">
        <v>51242</v>
      </c>
      <c r="AS49" s="141">
        <v>994</v>
      </c>
      <c r="AT49" s="141">
        <v>0</v>
      </c>
      <c r="AU49" s="141">
        <v>0</v>
      </c>
      <c r="AV49" s="141">
        <v>251514</v>
      </c>
      <c r="AW49" s="141">
        <v>127086</v>
      </c>
      <c r="AX49" s="141">
        <v>0</v>
      </c>
      <c r="AY49" s="141">
        <v>0</v>
      </c>
      <c r="AZ49" s="141">
        <v>124428</v>
      </c>
      <c r="BA49" s="141">
        <v>276</v>
      </c>
      <c r="BB49" s="141">
        <v>37645</v>
      </c>
      <c r="BC49" s="141">
        <v>35074</v>
      </c>
      <c r="BD49" s="141">
        <v>7663</v>
      </c>
      <c r="BE49" s="141">
        <v>207065</v>
      </c>
      <c r="BF49" s="141">
        <v>0</v>
      </c>
      <c r="BG49" s="141">
        <v>23372</v>
      </c>
      <c r="BH49" s="141">
        <v>183693</v>
      </c>
      <c r="BI49" s="141">
        <v>0</v>
      </c>
      <c r="BJ49" s="141">
        <v>119667</v>
      </c>
      <c r="BK49" s="141">
        <v>105714</v>
      </c>
      <c r="BL49" s="141">
        <v>67558</v>
      </c>
      <c r="BM49" s="141">
        <v>0</v>
      </c>
      <c r="BN49" s="141">
        <v>7209</v>
      </c>
      <c r="BO49" s="141">
        <v>0</v>
      </c>
      <c r="BP49" s="141">
        <v>558000</v>
      </c>
      <c r="BQ49" s="73">
        <f t="shared" si="5"/>
        <v>558000</v>
      </c>
      <c r="BR49" s="73">
        <f t="shared" si="6"/>
        <v>0</v>
      </c>
      <c r="BS49" s="141">
        <v>0</v>
      </c>
      <c r="BT49" s="141">
        <v>0</v>
      </c>
      <c r="BU49" s="141">
        <v>0</v>
      </c>
      <c r="BV49" s="141">
        <v>0</v>
      </c>
      <c r="BW49" s="141">
        <v>4205200</v>
      </c>
      <c r="BX49" s="71"/>
      <c r="BY49" s="141">
        <v>766151</v>
      </c>
      <c r="BZ49" s="141">
        <v>464337</v>
      </c>
      <c r="CA49" s="141">
        <v>23895</v>
      </c>
      <c r="CB49" s="141">
        <v>86272</v>
      </c>
      <c r="CC49" s="141">
        <v>408570</v>
      </c>
      <c r="CD49" s="141">
        <v>207029</v>
      </c>
      <c r="CE49" s="141">
        <v>1033</v>
      </c>
      <c r="CF49" s="141">
        <v>155156</v>
      </c>
      <c r="CG49" s="141">
        <v>0</v>
      </c>
      <c r="CH49" s="141">
        <v>207</v>
      </c>
      <c r="CI49" s="141">
        <v>45145</v>
      </c>
      <c r="CJ49" s="141">
        <v>388500</v>
      </c>
      <c r="CK49" s="141">
        <v>378940</v>
      </c>
      <c r="CL49" s="83">
        <f t="shared" si="21"/>
        <v>9560</v>
      </c>
      <c r="CM49" s="141">
        <v>679851</v>
      </c>
      <c r="CN49" s="141">
        <v>470949</v>
      </c>
      <c r="CO49" s="102"/>
      <c r="CP49" s="141">
        <v>71406</v>
      </c>
      <c r="CQ49" s="141">
        <v>4948</v>
      </c>
      <c r="CR49" s="141">
        <v>422481</v>
      </c>
      <c r="CS49" s="141">
        <v>151352</v>
      </c>
      <c r="CT49" s="141">
        <v>103988</v>
      </c>
      <c r="CU49" s="141">
        <v>100352</v>
      </c>
      <c r="CV49" s="73">
        <f t="shared" si="8"/>
        <v>0</v>
      </c>
      <c r="CW49" s="141">
        <v>0</v>
      </c>
      <c r="CX49" s="141">
        <v>0</v>
      </c>
      <c r="CY49" s="73">
        <f t="shared" si="9"/>
        <v>0</v>
      </c>
      <c r="CZ49" s="141">
        <v>0</v>
      </c>
      <c r="DA49" s="141">
        <v>0</v>
      </c>
      <c r="DB49" s="73">
        <f t="shared" si="10"/>
        <v>0</v>
      </c>
      <c r="DC49" s="141">
        <v>0</v>
      </c>
      <c r="DD49" s="141">
        <v>0</v>
      </c>
      <c r="DE49" s="141">
        <v>632985</v>
      </c>
      <c r="DF49" s="141">
        <v>2427</v>
      </c>
      <c r="DG49" s="141">
        <v>630558</v>
      </c>
      <c r="DH49" s="141">
        <v>0</v>
      </c>
      <c r="DI49" s="141">
        <v>0</v>
      </c>
      <c r="DJ49" s="141">
        <v>0</v>
      </c>
      <c r="DK49" s="141">
        <v>385516</v>
      </c>
      <c r="DL49" s="141">
        <v>54101</v>
      </c>
      <c r="DM49" s="141">
        <v>64</v>
      </c>
      <c r="DN49" s="141">
        <v>331351</v>
      </c>
      <c r="DO49" s="141">
        <v>0</v>
      </c>
      <c r="DP49" s="141">
        <v>0</v>
      </c>
      <c r="DQ49" s="141">
        <v>0</v>
      </c>
      <c r="DR49" s="141">
        <v>0</v>
      </c>
      <c r="DS49" s="141">
        <v>0</v>
      </c>
      <c r="DT49" s="141">
        <v>0</v>
      </c>
      <c r="DU49" s="141">
        <v>0</v>
      </c>
      <c r="DV49" s="141">
        <v>431001</v>
      </c>
      <c r="DW49" s="141">
        <v>105132</v>
      </c>
      <c r="DX49" s="73">
        <f t="shared" si="11"/>
        <v>0</v>
      </c>
      <c r="DY49" s="141">
        <v>0</v>
      </c>
      <c r="DZ49" s="141">
        <v>126451</v>
      </c>
      <c r="EA49" s="141">
        <v>0</v>
      </c>
      <c r="EB49" s="141">
        <v>65951</v>
      </c>
      <c r="EC49" s="74">
        <v>0</v>
      </c>
      <c r="ED49" s="141">
        <v>98862</v>
      </c>
      <c r="EE49" s="141">
        <v>0</v>
      </c>
      <c r="EF49" s="141">
        <v>4120003</v>
      </c>
      <c r="EG49" s="71"/>
      <c r="EH49" s="141">
        <v>85197</v>
      </c>
      <c r="EI49" s="141">
        <v>8114</v>
      </c>
      <c r="EJ49" s="141">
        <v>77083</v>
      </c>
      <c r="EK49" s="141">
        <v>-28631</v>
      </c>
      <c r="EL49" s="141">
        <v>48842</v>
      </c>
      <c r="EM49" s="71"/>
      <c r="EN49" s="141">
        <v>4909</v>
      </c>
      <c r="EO49" s="141">
        <v>4893</v>
      </c>
      <c r="EP49" s="141">
        <v>23372</v>
      </c>
      <c r="EQ49" s="141">
        <v>35074</v>
      </c>
      <c r="ER49" s="73">
        <f t="shared" si="12"/>
        <v>324761</v>
      </c>
      <c r="ES49" s="141">
        <v>2449824</v>
      </c>
      <c r="ET49" s="141">
        <v>-382534</v>
      </c>
      <c r="EU49" s="141">
        <v>694622</v>
      </c>
      <c r="EV49" s="141">
        <v>418390</v>
      </c>
      <c r="EW49" s="141">
        <v>102071</v>
      </c>
      <c r="EX49" s="141">
        <v>388500</v>
      </c>
      <c r="EY49" s="73">
        <f t="shared" si="13"/>
        <v>82709</v>
      </c>
      <c r="EZ49" s="141">
        <v>82709</v>
      </c>
      <c r="FA49" s="141">
        <v>290</v>
      </c>
      <c r="FB49" s="141">
        <v>82419</v>
      </c>
      <c r="FC49" s="141">
        <v>0</v>
      </c>
      <c r="FD49" s="141">
        <v>0</v>
      </c>
      <c r="FE49" s="141">
        <v>410854</v>
      </c>
      <c r="FF49" s="141">
        <v>303150</v>
      </c>
      <c r="FG49" s="141">
        <v>91269</v>
      </c>
      <c r="FH49" s="141">
        <v>382542</v>
      </c>
      <c r="FI49" s="73">
        <f t="shared" si="14"/>
        <v>382713</v>
      </c>
      <c r="FJ49" s="141">
        <v>2747161</v>
      </c>
      <c r="FK49" s="379">
        <f t="shared" si="15"/>
        <v>3.4</v>
      </c>
      <c r="FL49" s="141">
        <v>2226714</v>
      </c>
      <c r="FM49" s="141">
        <v>23913</v>
      </c>
      <c r="FN49" s="141">
        <v>515819</v>
      </c>
      <c r="FO49" s="141">
        <v>2101885</v>
      </c>
      <c r="FP49" s="390">
        <v>0.26</v>
      </c>
      <c r="FQ49" s="380">
        <v>80.5</v>
      </c>
      <c r="FR49" s="381">
        <v>29.6</v>
      </c>
      <c r="FS49" s="380">
        <v>4.5</v>
      </c>
      <c r="FT49" s="380">
        <v>16.100000000000001</v>
      </c>
      <c r="FU49" s="381">
        <v>15.4</v>
      </c>
      <c r="FV49" s="380">
        <v>3.6</v>
      </c>
      <c r="FW49" s="382">
        <v>11.1</v>
      </c>
      <c r="FX49" s="383">
        <v>8</v>
      </c>
      <c r="FY49" s="141">
        <v>3520804</v>
      </c>
      <c r="FZ49" s="384">
        <f t="shared" si="16"/>
        <v>156.4</v>
      </c>
      <c r="GA49" s="141">
        <v>2368909</v>
      </c>
      <c r="GB49" s="141">
        <v>1102632</v>
      </c>
      <c r="GC49" s="141">
        <v>252344</v>
      </c>
      <c r="GD49" s="141">
        <v>1013933</v>
      </c>
      <c r="GE49" s="107">
        <v>0</v>
      </c>
      <c r="GF49" s="385"/>
      <c r="GG49" s="386"/>
      <c r="GH49" s="380">
        <v>99.9</v>
      </c>
      <c r="GI49" s="380">
        <v>29.3</v>
      </c>
      <c r="GJ49" s="380">
        <v>99.6</v>
      </c>
      <c r="GK49" s="141">
        <v>75</v>
      </c>
      <c r="GL49" s="391" t="s">
        <v>646</v>
      </c>
      <c r="GM49" s="391">
        <v>15</v>
      </c>
      <c r="GN49" s="117">
        <v>20</v>
      </c>
      <c r="GO49" s="391" t="s">
        <v>646</v>
      </c>
      <c r="GP49" s="391">
        <v>20</v>
      </c>
      <c r="GQ49" s="387">
        <v>30</v>
      </c>
      <c r="GR49" s="381">
        <v>8</v>
      </c>
      <c r="GS49" s="388">
        <v>25</v>
      </c>
      <c r="GT49" s="388">
        <v>35</v>
      </c>
      <c r="GU49" s="393" t="s">
        <v>646</v>
      </c>
      <c r="GV49" s="388">
        <v>350</v>
      </c>
      <c r="GW49" s="394"/>
      <c r="GX49" s="100">
        <f t="shared" si="17"/>
        <v>2251</v>
      </c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  <c r="HW49" s="394"/>
      <c r="HX49" s="394"/>
    </row>
    <row r="50" spans="1:232" s="112" customFormat="1" x14ac:dyDescent="0.15">
      <c r="A50" s="126"/>
      <c r="B50" s="126" t="s">
        <v>89</v>
      </c>
      <c r="C50" s="137">
        <v>23380883</v>
      </c>
      <c r="D50" s="127">
        <f t="shared" si="0"/>
        <v>8841791</v>
      </c>
      <c r="E50" s="137">
        <v>300920</v>
      </c>
      <c r="F50" s="137">
        <v>8540871</v>
      </c>
      <c r="G50" s="127">
        <f t="shared" si="1"/>
        <v>1191484</v>
      </c>
      <c r="H50" s="137">
        <v>361822</v>
      </c>
      <c r="I50" s="137">
        <v>829662</v>
      </c>
      <c r="J50" s="137">
        <v>11258328</v>
      </c>
      <c r="K50" s="137">
        <v>4444726</v>
      </c>
      <c r="L50" s="137">
        <v>4535359</v>
      </c>
      <c r="M50" s="137">
        <v>2205668</v>
      </c>
      <c r="N50" s="137">
        <v>948597</v>
      </c>
      <c r="O50" s="137">
        <v>615610</v>
      </c>
      <c r="P50" s="137">
        <v>318992</v>
      </c>
      <c r="Q50" s="137">
        <v>296618</v>
      </c>
      <c r="R50" s="137">
        <v>523447</v>
      </c>
      <c r="S50" s="127"/>
      <c r="T50" s="127">
        <f t="shared" si="18"/>
        <v>4890332</v>
      </c>
      <c r="U50" s="137">
        <v>22171</v>
      </c>
      <c r="V50" s="137">
        <v>184776</v>
      </c>
      <c r="W50" s="137">
        <v>131865</v>
      </c>
      <c r="X50" s="137">
        <v>3883619</v>
      </c>
      <c r="Y50" s="137">
        <v>221234</v>
      </c>
      <c r="Z50" s="137">
        <v>0</v>
      </c>
      <c r="AA50" s="137">
        <v>3339</v>
      </c>
      <c r="AB50" s="137">
        <v>99859</v>
      </c>
      <c r="AC50" s="137">
        <v>343469</v>
      </c>
      <c r="AD50" s="137">
        <v>197048</v>
      </c>
      <c r="AE50" s="137">
        <v>21646738</v>
      </c>
      <c r="AF50" s="137">
        <v>19681599</v>
      </c>
      <c r="AG50" s="137">
        <v>1965139</v>
      </c>
      <c r="AH50" s="137">
        <v>22217</v>
      </c>
      <c r="AI50" s="137">
        <v>202309</v>
      </c>
      <c r="AJ50" s="127">
        <f t="shared" si="19"/>
        <v>1122025</v>
      </c>
      <c r="AK50" s="137">
        <v>766457</v>
      </c>
      <c r="AL50" s="137">
        <v>355568</v>
      </c>
      <c r="AM50" s="137">
        <v>15440561</v>
      </c>
      <c r="AN50" s="127">
        <f t="shared" si="20"/>
        <v>3806538</v>
      </c>
      <c r="AO50" s="137">
        <v>195700</v>
      </c>
      <c r="AP50" s="137">
        <v>1441417</v>
      </c>
      <c r="AQ50" s="127"/>
      <c r="AR50" s="137">
        <v>2169421</v>
      </c>
      <c r="AS50" s="137">
        <v>430340</v>
      </c>
      <c r="AT50" s="137">
        <v>164648</v>
      </c>
      <c r="AU50" s="137">
        <v>0</v>
      </c>
      <c r="AV50" s="137">
        <v>6085448</v>
      </c>
      <c r="AW50" s="137">
        <v>3537880</v>
      </c>
      <c r="AX50" s="137">
        <v>663110</v>
      </c>
      <c r="AY50" s="137">
        <v>20646</v>
      </c>
      <c r="AZ50" s="137">
        <v>2547568</v>
      </c>
      <c r="BA50" s="137">
        <v>54825</v>
      </c>
      <c r="BB50" s="137">
        <v>298698</v>
      </c>
      <c r="BC50" s="137">
        <v>182346</v>
      </c>
      <c r="BD50" s="137">
        <v>2426071</v>
      </c>
      <c r="BE50" s="137">
        <v>1916701</v>
      </c>
      <c r="BF50" s="137">
        <v>609000</v>
      </c>
      <c r="BG50" s="137">
        <v>23372</v>
      </c>
      <c r="BH50" s="137">
        <v>1155400</v>
      </c>
      <c r="BI50" s="137">
        <v>0</v>
      </c>
      <c r="BJ50" s="137">
        <v>3961301</v>
      </c>
      <c r="BK50" s="137">
        <v>3157939</v>
      </c>
      <c r="BL50" s="137">
        <v>1269629</v>
      </c>
      <c r="BM50" s="137">
        <v>7534</v>
      </c>
      <c r="BN50" s="137">
        <v>25630</v>
      </c>
      <c r="BO50" s="137">
        <v>0</v>
      </c>
      <c r="BP50" s="137">
        <v>4202875</v>
      </c>
      <c r="BQ50" s="127">
        <f t="shared" si="5"/>
        <v>3441100</v>
      </c>
      <c r="BR50" s="127">
        <f t="shared" si="6"/>
        <v>761775</v>
      </c>
      <c r="BS50" s="137">
        <v>0</v>
      </c>
      <c r="BT50" s="137">
        <v>0</v>
      </c>
      <c r="BU50" s="137">
        <v>761775</v>
      </c>
      <c r="BV50" s="137">
        <v>0</v>
      </c>
      <c r="BW50" s="137">
        <v>87586283</v>
      </c>
      <c r="BX50" s="127"/>
      <c r="BY50" s="137">
        <v>16114718</v>
      </c>
      <c r="BZ50" s="137">
        <v>8888094</v>
      </c>
      <c r="CA50" s="137">
        <v>789278</v>
      </c>
      <c r="CB50" s="137">
        <v>3084739</v>
      </c>
      <c r="CC50" s="137">
        <v>14968070</v>
      </c>
      <c r="CD50" s="137">
        <v>7000286</v>
      </c>
      <c r="CE50" s="137">
        <v>22657</v>
      </c>
      <c r="CF50" s="137">
        <v>6928983</v>
      </c>
      <c r="CG50" s="137">
        <v>235741</v>
      </c>
      <c r="CH50" s="137">
        <v>134693</v>
      </c>
      <c r="CI50" s="137">
        <v>645710</v>
      </c>
      <c r="CJ50" s="137">
        <v>6243969</v>
      </c>
      <c r="CK50" s="137">
        <v>5997858</v>
      </c>
      <c r="CL50" s="127">
        <f t="shared" si="21"/>
        <v>246111</v>
      </c>
      <c r="CM50" s="137">
        <v>15377306</v>
      </c>
      <c r="CN50" s="137">
        <v>10598165</v>
      </c>
      <c r="CO50" s="129"/>
      <c r="CP50" s="137">
        <v>2305353</v>
      </c>
      <c r="CQ50" s="137">
        <v>676168</v>
      </c>
      <c r="CR50" s="137">
        <v>9103356</v>
      </c>
      <c r="CS50" s="137">
        <v>2241656</v>
      </c>
      <c r="CT50" s="137">
        <v>2087645</v>
      </c>
      <c r="CU50" s="137">
        <v>1710805</v>
      </c>
      <c r="CV50" s="127">
        <f t="shared" si="8"/>
        <v>1266060</v>
      </c>
      <c r="CW50" s="137">
        <v>336608</v>
      </c>
      <c r="CX50" s="137">
        <v>929452</v>
      </c>
      <c r="CY50" s="127">
        <f t="shared" si="9"/>
        <v>0</v>
      </c>
      <c r="CZ50" s="137">
        <v>0</v>
      </c>
      <c r="DA50" s="137">
        <v>0</v>
      </c>
      <c r="DB50" s="127">
        <f t="shared" si="10"/>
        <v>1132206</v>
      </c>
      <c r="DC50" s="137">
        <v>323789</v>
      </c>
      <c r="DD50" s="137">
        <v>808417</v>
      </c>
      <c r="DE50" s="137">
        <v>7040702</v>
      </c>
      <c r="DF50" s="137">
        <v>2834064</v>
      </c>
      <c r="DG50" s="137">
        <v>4163254</v>
      </c>
      <c r="DH50" s="137">
        <v>23582</v>
      </c>
      <c r="DI50" s="137">
        <v>0</v>
      </c>
      <c r="DJ50" s="137">
        <v>278473</v>
      </c>
      <c r="DK50" s="137">
        <v>5423407</v>
      </c>
      <c r="DL50" s="137">
        <v>2572634</v>
      </c>
      <c r="DM50" s="137">
        <v>128573</v>
      </c>
      <c r="DN50" s="137">
        <v>2722200</v>
      </c>
      <c r="DO50" s="137">
        <v>470501</v>
      </c>
      <c r="DP50" s="137">
        <v>470501</v>
      </c>
      <c r="DQ50" s="137">
        <v>157971</v>
      </c>
      <c r="DR50" s="137">
        <v>0</v>
      </c>
      <c r="DS50" s="137">
        <v>2744</v>
      </c>
      <c r="DT50" s="137">
        <v>0</v>
      </c>
      <c r="DU50" s="137">
        <v>0</v>
      </c>
      <c r="DV50" s="137">
        <v>9257936</v>
      </c>
      <c r="DW50" s="137">
        <v>1191211</v>
      </c>
      <c r="DX50" s="127">
        <f t="shared" si="11"/>
        <v>0</v>
      </c>
      <c r="DY50" s="137">
        <v>0</v>
      </c>
      <c r="DZ50" s="137">
        <v>3093274</v>
      </c>
      <c r="EA50" s="137">
        <v>0</v>
      </c>
      <c r="EB50" s="137">
        <v>1999271</v>
      </c>
      <c r="EC50" s="127">
        <v>0</v>
      </c>
      <c r="ED50" s="137">
        <v>2899754</v>
      </c>
      <c r="EE50" s="137">
        <v>0</v>
      </c>
      <c r="EF50" s="137">
        <v>84957350</v>
      </c>
      <c r="EG50" s="127"/>
      <c r="EH50" s="137">
        <v>2628933</v>
      </c>
      <c r="EI50" s="137">
        <v>441625</v>
      </c>
      <c r="EJ50" s="137">
        <v>2187308</v>
      </c>
      <c r="EK50" s="137">
        <v>-1060631</v>
      </c>
      <c r="EL50" s="137">
        <v>926375</v>
      </c>
      <c r="EM50" s="127"/>
      <c r="EN50" s="129">
        <f>SUM(EN40:EN49)</f>
        <v>175405</v>
      </c>
      <c r="EO50" s="129">
        <v>175265</v>
      </c>
      <c r="EP50" s="137">
        <v>826036</v>
      </c>
      <c r="EQ50" s="137">
        <v>213282</v>
      </c>
      <c r="ER50" s="127">
        <f t="shared" si="12"/>
        <v>7571152</v>
      </c>
      <c r="ES50" s="137">
        <v>50660665</v>
      </c>
      <c r="ET50" s="137">
        <v>-9350028</v>
      </c>
      <c r="EU50" s="137">
        <v>14565212</v>
      </c>
      <c r="EV50" s="137">
        <v>8121298</v>
      </c>
      <c r="EW50" s="137">
        <v>3945425</v>
      </c>
      <c r="EX50" s="137">
        <v>6158337</v>
      </c>
      <c r="EY50" s="127">
        <f t="shared" si="13"/>
        <v>1876784</v>
      </c>
      <c r="EZ50" s="137">
        <v>1869251</v>
      </c>
      <c r="FA50" s="137">
        <v>512735</v>
      </c>
      <c r="FB50" s="137">
        <v>1338232</v>
      </c>
      <c r="FC50" s="137">
        <v>7533</v>
      </c>
      <c r="FD50" s="137">
        <v>0</v>
      </c>
      <c r="FE50" s="137">
        <v>10218371</v>
      </c>
      <c r="FF50" s="137">
        <v>7987488</v>
      </c>
      <c r="FG50" s="137">
        <v>2114791</v>
      </c>
      <c r="FH50" s="137">
        <v>7659519</v>
      </c>
      <c r="FI50" s="127">
        <f t="shared" si="14"/>
        <v>4970624</v>
      </c>
      <c r="FJ50" s="137">
        <v>57381760</v>
      </c>
      <c r="FK50" s="396">
        <f t="shared" si="15"/>
        <v>4.5</v>
      </c>
      <c r="FL50" s="137">
        <v>47397204</v>
      </c>
      <c r="FM50" s="137">
        <v>786698</v>
      </c>
      <c r="FN50" s="137">
        <v>21884695</v>
      </c>
      <c r="FO50" s="137">
        <v>40978735</v>
      </c>
      <c r="FP50" s="397">
        <v>0.54900000000000004</v>
      </c>
      <c r="FQ50" s="398">
        <v>92.3</v>
      </c>
      <c r="FR50" s="399">
        <v>28.7</v>
      </c>
      <c r="FS50" s="398">
        <v>7.6</v>
      </c>
      <c r="FT50" s="398">
        <v>12.5</v>
      </c>
      <c r="FU50" s="399">
        <v>17.5</v>
      </c>
      <c r="FV50" s="398">
        <v>10.6</v>
      </c>
      <c r="FW50" s="400">
        <v>13.9</v>
      </c>
      <c r="FX50" s="401">
        <v>6.2</v>
      </c>
      <c r="FY50" s="137">
        <v>62644791</v>
      </c>
      <c r="FZ50" s="402">
        <f t="shared" si="16"/>
        <v>130</v>
      </c>
      <c r="GA50" s="137">
        <v>40253665</v>
      </c>
      <c r="GB50" s="137">
        <v>17250058</v>
      </c>
      <c r="GC50" s="137">
        <v>2548218</v>
      </c>
      <c r="GD50" s="137">
        <v>20455389</v>
      </c>
      <c r="GE50" s="129">
        <v>0</v>
      </c>
      <c r="GF50" s="129">
        <f>SUM(GF40:GF49)</f>
        <v>748</v>
      </c>
      <c r="GG50" s="403">
        <f>IF(GF50=0,"-",ROUND(GF50/GY50*100,1))</f>
        <v>5.6</v>
      </c>
      <c r="GH50" s="398">
        <v>99.5</v>
      </c>
      <c r="GI50" s="398">
        <v>24.9</v>
      </c>
      <c r="GJ50" s="398">
        <v>97.7</v>
      </c>
      <c r="GK50" s="129">
        <f>SUM(GK40:GK49)</f>
        <v>1472</v>
      </c>
      <c r="GL50" s="404" t="s">
        <v>646</v>
      </c>
      <c r="GM50" s="404" t="s">
        <v>646</v>
      </c>
      <c r="GN50" s="405" t="s">
        <v>646</v>
      </c>
      <c r="GO50" s="404" t="s">
        <v>646</v>
      </c>
      <c r="GP50" s="404" t="s">
        <v>646</v>
      </c>
      <c r="GQ50" s="405" t="s">
        <v>646</v>
      </c>
      <c r="GR50" s="399">
        <v>6.2</v>
      </c>
      <c r="GS50" s="406" t="s">
        <v>646</v>
      </c>
      <c r="GT50" s="406" t="s">
        <v>646</v>
      </c>
      <c r="GU50" s="406" t="s">
        <v>646</v>
      </c>
      <c r="GV50" s="404" t="s">
        <v>646</v>
      </c>
      <c r="GW50" s="407"/>
      <c r="GX50" s="128">
        <f t="shared" si="17"/>
        <v>48184</v>
      </c>
      <c r="GY50" s="408">
        <f>GX44+GX48</f>
        <v>13337</v>
      </c>
      <c r="GZ50" s="408"/>
      <c r="HA50" s="408"/>
      <c r="HB50" s="408"/>
      <c r="HC50" s="408"/>
      <c r="HD50" s="408"/>
      <c r="HE50" s="408"/>
      <c r="HF50" s="408"/>
      <c r="HG50" s="408"/>
      <c r="HH50" s="408"/>
      <c r="HI50" s="408"/>
      <c r="HJ50" s="408"/>
      <c r="HK50" s="408"/>
      <c r="HL50" s="408"/>
      <c r="HM50" s="408"/>
      <c r="HN50" s="408"/>
      <c r="HO50" s="408"/>
      <c r="HP50" s="408"/>
      <c r="HQ50" s="408"/>
      <c r="HR50" s="408"/>
      <c r="HS50" s="408"/>
      <c r="HT50" s="408"/>
      <c r="HU50" s="408"/>
      <c r="HV50" s="408"/>
      <c r="HW50" s="408"/>
      <c r="HX50" s="408"/>
    </row>
    <row r="51" spans="1:232" s="112" customFormat="1" x14ac:dyDescent="0.15">
      <c r="A51" s="126"/>
      <c r="B51" s="126" t="s">
        <v>91</v>
      </c>
      <c r="C51" s="137">
        <v>806154607</v>
      </c>
      <c r="D51" s="127">
        <f t="shared" si="0"/>
        <v>308826002</v>
      </c>
      <c r="E51" s="137">
        <v>8781363</v>
      </c>
      <c r="F51" s="137">
        <v>300044639</v>
      </c>
      <c r="G51" s="127">
        <f t="shared" si="1"/>
        <v>49150399</v>
      </c>
      <c r="H51" s="137">
        <v>14590853</v>
      </c>
      <c r="I51" s="137">
        <v>34559546</v>
      </c>
      <c r="J51" s="137">
        <v>329304425</v>
      </c>
      <c r="K51" s="137">
        <v>131560254</v>
      </c>
      <c r="L51" s="137">
        <v>147135243</v>
      </c>
      <c r="M51" s="137">
        <v>45338298</v>
      </c>
      <c r="N51" s="137">
        <v>35762380</v>
      </c>
      <c r="O51" s="137">
        <v>66075632</v>
      </c>
      <c r="P51" s="137">
        <v>35103617</v>
      </c>
      <c r="Q51" s="137">
        <v>30972015</v>
      </c>
      <c r="R51" s="137">
        <v>10897730</v>
      </c>
      <c r="S51" s="127"/>
      <c r="T51" s="127">
        <f t="shared" si="18"/>
        <v>147439601</v>
      </c>
      <c r="U51" s="137">
        <v>755548</v>
      </c>
      <c r="V51" s="137">
        <v>6308246</v>
      </c>
      <c r="W51" s="137">
        <v>4514163</v>
      </c>
      <c r="X51" s="137">
        <v>121089820</v>
      </c>
      <c r="Y51" s="137">
        <v>865256</v>
      </c>
      <c r="Z51" s="137">
        <v>0</v>
      </c>
      <c r="AA51" s="137">
        <v>67057</v>
      </c>
      <c r="AB51" s="137">
        <v>2006474</v>
      </c>
      <c r="AC51" s="137">
        <v>11833037</v>
      </c>
      <c r="AD51" s="137">
        <v>5724749</v>
      </c>
      <c r="AE51" s="137">
        <v>264468979</v>
      </c>
      <c r="AF51" s="137">
        <v>250778755</v>
      </c>
      <c r="AG51" s="137">
        <v>13690117</v>
      </c>
      <c r="AH51" s="137">
        <v>649623</v>
      </c>
      <c r="AI51" s="137">
        <v>12577420</v>
      </c>
      <c r="AJ51" s="127">
        <f t="shared" si="19"/>
        <v>30703109</v>
      </c>
      <c r="AK51" s="137">
        <v>22710899</v>
      </c>
      <c r="AL51" s="137">
        <v>7992210</v>
      </c>
      <c r="AM51" s="137">
        <v>617415208</v>
      </c>
      <c r="AN51" s="127">
        <f t="shared" si="20"/>
        <v>286978956</v>
      </c>
      <c r="AO51" s="137">
        <v>147823449</v>
      </c>
      <c r="AP51" s="137">
        <v>66116779</v>
      </c>
      <c r="AQ51" s="127"/>
      <c r="AR51" s="137">
        <v>73038728</v>
      </c>
      <c r="AS51" s="137">
        <v>19132708</v>
      </c>
      <c r="AT51" s="137">
        <v>189426</v>
      </c>
      <c r="AU51" s="137">
        <v>274613</v>
      </c>
      <c r="AV51" s="137">
        <v>179855874</v>
      </c>
      <c r="AW51" s="137">
        <v>123172618</v>
      </c>
      <c r="AX51" s="137">
        <v>29888401</v>
      </c>
      <c r="AY51" s="137">
        <v>3865706</v>
      </c>
      <c r="AZ51" s="137">
        <v>56683256</v>
      </c>
      <c r="BA51" s="137">
        <v>3308611</v>
      </c>
      <c r="BB51" s="137">
        <v>12222679</v>
      </c>
      <c r="BC51" s="137">
        <v>9589316</v>
      </c>
      <c r="BD51" s="137">
        <v>31674022</v>
      </c>
      <c r="BE51" s="137">
        <v>51783587</v>
      </c>
      <c r="BF51" s="137">
        <v>13876995</v>
      </c>
      <c r="BG51" s="137">
        <v>3202517</v>
      </c>
      <c r="BH51" s="137">
        <v>33160448</v>
      </c>
      <c r="BI51" s="137">
        <v>205259</v>
      </c>
      <c r="BJ51" s="137">
        <v>50123139</v>
      </c>
      <c r="BK51" s="137">
        <v>36105095</v>
      </c>
      <c r="BL51" s="137">
        <v>46840884</v>
      </c>
      <c r="BM51" s="137">
        <v>7306536</v>
      </c>
      <c r="BN51" s="137">
        <v>39971</v>
      </c>
      <c r="BO51" s="137">
        <v>9989533</v>
      </c>
      <c r="BP51" s="137">
        <v>106733126</v>
      </c>
      <c r="BQ51" s="127">
        <f t="shared" si="5"/>
        <v>78639328</v>
      </c>
      <c r="BR51" s="127">
        <f t="shared" si="6"/>
        <v>28093798</v>
      </c>
      <c r="BS51" s="137">
        <v>0</v>
      </c>
      <c r="BT51" s="137">
        <v>0</v>
      </c>
      <c r="BU51" s="137">
        <v>28093798</v>
      </c>
      <c r="BV51" s="137">
        <v>0</v>
      </c>
      <c r="BW51" s="137">
        <v>2375538950</v>
      </c>
      <c r="BX51" s="127"/>
      <c r="BY51" s="137">
        <v>327979226</v>
      </c>
      <c r="BZ51" s="137">
        <v>206893107</v>
      </c>
      <c r="CA51" s="137">
        <v>16498657</v>
      </c>
      <c r="CB51" s="137">
        <v>43904112</v>
      </c>
      <c r="CC51" s="137">
        <v>738250860</v>
      </c>
      <c r="CD51" s="137">
        <v>228116975</v>
      </c>
      <c r="CE51" s="137">
        <v>1559569</v>
      </c>
      <c r="CF51" s="137">
        <v>278654814</v>
      </c>
      <c r="CG51" s="137">
        <v>195624658</v>
      </c>
      <c r="CH51" s="137">
        <v>10446894</v>
      </c>
      <c r="CI51" s="137">
        <v>23824740</v>
      </c>
      <c r="CJ51" s="137">
        <v>166141503</v>
      </c>
      <c r="CK51" s="137">
        <v>160104741</v>
      </c>
      <c r="CL51" s="127">
        <f t="shared" si="21"/>
        <v>6036762</v>
      </c>
      <c r="CM51" s="137">
        <v>334709353</v>
      </c>
      <c r="CN51" s="137">
        <v>243553801</v>
      </c>
      <c r="CO51" s="129"/>
      <c r="CP51" s="137">
        <v>46312671</v>
      </c>
      <c r="CQ51" s="137">
        <v>17529633</v>
      </c>
      <c r="CR51" s="137">
        <v>234120296</v>
      </c>
      <c r="CS51" s="137">
        <v>37907845</v>
      </c>
      <c r="CT51" s="137">
        <v>62751994</v>
      </c>
      <c r="CU51" s="137">
        <v>46609926</v>
      </c>
      <c r="CV51" s="127">
        <f t="shared" si="8"/>
        <v>69511931</v>
      </c>
      <c r="CW51" s="137">
        <v>46422117</v>
      </c>
      <c r="CX51" s="137">
        <v>23089814</v>
      </c>
      <c r="CY51" s="127">
        <f t="shared" si="9"/>
        <v>11762871</v>
      </c>
      <c r="CZ51" s="137">
        <v>9610372</v>
      </c>
      <c r="DA51" s="137">
        <v>2152499</v>
      </c>
      <c r="DB51" s="127">
        <f t="shared" si="10"/>
        <v>51054385</v>
      </c>
      <c r="DC51" s="137">
        <v>34706481</v>
      </c>
      <c r="DD51" s="137">
        <v>16347904</v>
      </c>
      <c r="DE51" s="137">
        <v>200384973</v>
      </c>
      <c r="DF51" s="137">
        <v>95000258</v>
      </c>
      <c r="DG51" s="137">
        <v>99368545</v>
      </c>
      <c r="DH51" s="137">
        <v>2146884</v>
      </c>
      <c r="DI51" s="137">
        <v>3693281</v>
      </c>
      <c r="DJ51" s="137">
        <v>458791</v>
      </c>
      <c r="DK51" s="137">
        <v>83851830</v>
      </c>
      <c r="DL51" s="137">
        <v>26799717</v>
      </c>
      <c r="DM51" s="137">
        <v>3496043</v>
      </c>
      <c r="DN51" s="137">
        <v>53556070</v>
      </c>
      <c r="DO51" s="137">
        <v>6738507</v>
      </c>
      <c r="DP51" s="137">
        <v>6732507</v>
      </c>
      <c r="DQ51" s="137">
        <v>696065</v>
      </c>
      <c r="DR51" s="137">
        <v>1296889</v>
      </c>
      <c r="DS51" s="137">
        <v>6017240</v>
      </c>
      <c r="DT51" s="137">
        <v>0</v>
      </c>
      <c r="DU51" s="137">
        <v>0</v>
      </c>
      <c r="DV51" s="137">
        <v>210586001</v>
      </c>
      <c r="DW51" s="137">
        <v>1263127</v>
      </c>
      <c r="DX51" s="127">
        <f t="shared" si="11"/>
        <v>0</v>
      </c>
      <c r="DY51" s="137">
        <v>0</v>
      </c>
      <c r="DZ51" s="137">
        <v>77555692</v>
      </c>
      <c r="EA51" s="137">
        <v>41057</v>
      </c>
      <c r="EB51" s="137">
        <v>54787017</v>
      </c>
      <c r="EC51" s="127">
        <v>0</v>
      </c>
      <c r="ED51" s="137">
        <v>76449470</v>
      </c>
      <c r="EE51" s="137">
        <v>0</v>
      </c>
      <c r="EF51" s="137">
        <v>2326768213</v>
      </c>
      <c r="EG51" s="127"/>
      <c r="EH51" s="137">
        <v>48770737</v>
      </c>
      <c r="EI51" s="137">
        <v>14568293</v>
      </c>
      <c r="EJ51" s="137">
        <v>34202444</v>
      </c>
      <c r="EK51" s="137">
        <v>-6415651</v>
      </c>
      <c r="EL51" s="137">
        <v>14862166</v>
      </c>
      <c r="EM51" s="127"/>
      <c r="EN51" s="129">
        <f>EN39+EN50</f>
        <v>5259112</v>
      </c>
      <c r="EO51" s="129">
        <v>5221406</v>
      </c>
      <c r="EP51" s="137">
        <v>20883421</v>
      </c>
      <c r="EQ51" s="137">
        <v>7215758</v>
      </c>
      <c r="ER51" s="127">
        <f t="shared" si="12"/>
        <v>141610074</v>
      </c>
      <c r="ES51" s="137">
        <v>1235609902</v>
      </c>
      <c r="ET51" s="137">
        <v>-196878815</v>
      </c>
      <c r="EU51" s="137">
        <v>297006280</v>
      </c>
      <c r="EV51" s="137">
        <v>187671925</v>
      </c>
      <c r="EW51" s="137">
        <v>200531761</v>
      </c>
      <c r="EX51" s="137">
        <v>160644471</v>
      </c>
      <c r="EY51" s="127">
        <f t="shared" si="13"/>
        <v>51795688</v>
      </c>
      <c r="EZ51" s="137">
        <v>51761797</v>
      </c>
      <c r="FA51" s="137">
        <v>7964106</v>
      </c>
      <c r="FB51" s="137">
        <v>43399403</v>
      </c>
      <c r="FC51" s="137">
        <v>33891</v>
      </c>
      <c r="FD51" s="137">
        <v>0</v>
      </c>
      <c r="FE51" s="137">
        <v>228298476</v>
      </c>
      <c r="FF51" s="137">
        <v>202987098</v>
      </c>
      <c r="FG51" s="137">
        <v>37253935</v>
      </c>
      <c r="FH51" s="137">
        <v>164318468</v>
      </c>
      <c r="FI51" s="127">
        <f t="shared" si="14"/>
        <v>78388858</v>
      </c>
      <c r="FJ51" s="137">
        <v>1383971100</v>
      </c>
      <c r="FK51" s="396">
        <f t="shared" si="15"/>
        <v>3</v>
      </c>
      <c r="FL51" s="137">
        <v>1125031004</v>
      </c>
      <c r="FM51" s="137">
        <v>32550273</v>
      </c>
      <c r="FN51" s="137">
        <v>684475415</v>
      </c>
      <c r="FO51" s="137">
        <v>935444428</v>
      </c>
      <c r="FP51" s="397">
        <v>0.745</v>
      </c>
      <c r="FQ51" s="398">
        <v>94.4</v>
      </c>
      <c r="FR51" s="399">
        <v>24.3</v>
      </c>
      <c r="FS51" s="398">
        <v>16</v>
      </c>
      <c r="FT51" s="398">
        <v>13</v>
      </c>
      <c r="FU51" s="399">
        <v>15.5</v>
      </c>
      <c r="FV51" s="398">
        <v>11.3</v>
      </c>
      <c r="FW51" s="400">
        <v>12.8</v>
      </c>
      <c r="FX51" s="401">
        <v>3.1</v>
      </c>
      <c r="FY51" s="137">
        <v>1486280423</v>
      </c>
      <c r="FZ51" s="402">
        <f t="shared" si="16"/>
        <v>128.4</v>
      </c>
      <c r="GA51" s="137">
        <v>521575100</v>
      </c>
      <c r="GB51" s="137">
        <v>214544066</v>
      </c>
      <c r="GC51" s="137">
        <v>44222791</v>
      </c>
      <c r="GD51" s="137">
        <v>262808243</v>
      </c>
      <c r="GE51" s="129">
        <v>0</v>
      </c>
      <c r="GF51" s="129">
        <f>GF39+GF50</f>
        <v>18452</v>
      </c>
      <c r="GG51" s="403">
        <f>IF(GF51=0,"-",ROUND(GF51/GY51*100,1))</f>
        <v>4.8</v>
      </c>
      <c r="GH51" s="398">
        <v>99.5</v>
      </c>
      <c r="GI51" s="398">
        <v>36.9</v>
      </c>
      <c r="GJ51" s="398">
        <v>98.6</v>
      </c>
      <c r="GK51" s="129">
        <f>GK39+GK50</f>
        <v>31592</v>
      </c>
      <c r="GL51" s="404" t="s">
        <v>646</v>
      </c>
      <c r="GM51" s="404" t="s">
        <v>646</v>
      </c>
      <c r="GN51" s="405" t="s">
        <v>646</v>
      </c>
      <c r="GO51" s="404" t="s">
        <v>646</v>
      </c>
      <c r="GP51" s="404" t="s">
        <v>646</v>
      </c>
      <c r="GQ51" s="405" t="s">
        <v>646</v>
      </c>
      <c r="GR51" s="399">
        <v>3.1</v>
      </c>
      <c r="GS51" s="406" t="s">
        <v>646</v>
      </c>
      <c r="GT51" s="406" t="s">
        <v>646</v>
      </c>
      <c r="GU51" s="406" t="s">
        <v>646</v>
      </c>
      <c r="GV51" s="404" t="s">
        <v>646</v>
      </c>
      <c r="GW51" s="407"/>
      <c r="GX51" s="128">
        <f t="shared" si="17"/>
        <v>1157581</v>
      </c>
      <c r="GY51" s="408">
        <f>GY39+GY50</f>
        <v>386112</v>
      </c>
      <c r="GZ51" s="408"/>
      <c r="HA51" s="408"/>
      <c r="HB51" s="408"/>
      <c r="HC51" s="408"/>
      <c r="HD51" s="408"/>
      <c r="HE51" s="408"/>
      <c r="HF51" s="408"/>
      <c r="HG51" s="408"/>
      <c r="HH51" s="408"/>
      <c r="HI51" s="408"/>
      <c r="HJ51" s="408"/>
      <c r="HK51" s="408"/>
      <c r="HL51" s="408"/>
      <c r="HM51" s="408"/>
      <c r="HN51" s="408"/>
      <c r="HO51" s="408"/>
      <c r="HP51" s="408"/>
      <c r="HQ51" s="408"/>
      <c r="HR51" s="408"/>
      <c r="HS51" s="408"/>
      <c r="HT51" s="408"/>
      <c r="HU51" s="408"/>
      <c r="HV51" s="408"/>
      <c r="HW51" s="408"/>
      <c r="HX51" s="408"/>
    </row>
    <row r="52" spans="1:232" s="108" customFormat="1" x14ac:dyDescent="0.15">
      <c r="B52" s="108" t="s">
        <v>0</v>
      </c>
      <c r="C52" s="138">
        <v>1748457074</v>
      </c>
      <c r="D52" s="109">
        <f t="shared" si="0"/>
        <v>604333000</v>
      </c>
      <c r="E52" s="138">
        <v>14879904</v>
      </c>
      <c r="F52" s="138">
        <v>589453096</v>
      </c>
      <c r="G52" s="109">
        <f t="shared" si="1"/>
        <v>175752869</v>
      </c>
      <c r="H52" s="138">
        <v>37113360</v>
      </c>
      <c r="I52" s="138">
        <v>138639509</v>
      </c>
      <c r="J52" s="138">
        <v>701932381</v>
      </c>
      <c r="K52" s="138">
        <v>275365948</v>
      </c>
      <c r="L52" s="138">
        <v>321966773</v>
      </c>
      <c r="M52" s="138">
        <v>98184786</v>
      </c>
      <c r="N52" s="138">
        <v>71789361</v>
      </c>
      <c r="O52" s="138">
        <v>140206198</v>
      </c>
      <c r="P52" s="138">
        <v>71182454</v>
      </c>
      <c r="Q52" s="138">
        <v>69023744</v>
      </c>
      <c r="R52" s="138">
        <v>19148487</v>
      </c>
      <c r="S52" s="109"/>
      <c r="T52" s="109">
        <f t="shared" si="18"/>
        <v>273869131</v>
      </c>
      <c r="U52" s="138">
        <v>1273357</v>
      </c>
      <c r="V52" s="138">
        <v>10638349</v>
      </c>
      <c r="W52" s="138">
        <v>7618713</v>
      </c>
      <c r="X52" s="138">
        <v>217059650</v>
      </c>
      <c r="Y52" s="138">
        <v>1001206</v>
      </c>
      <c r="Z52" s="138">
        <v>0</v>
      </c>
      <c r="AA52" s="138">
        <v>123550</v>
      </c>
      <c r="AB52" s="138">
        <v>4364769</v>
      </c>
      <c r="AC52" s="138">
        <v>31789537</v>
      </c>
      <c r="AD52" s="138">
        <v>10059201</v>
      </c>
      <c r="AE52" s="138">
        <v>353692752</v>
      </c>
      <c r="AF52" s="138">
        <v>337695540</v>
      </c>
      <c r="AG52" s="138">
        <v>15996954</v>
      </c>
      <c r="AH52" s="138">
        <v>1616584</v>
      </c>
      <c r="AI52" s="138">
        <v>21173483</v>
      </c>
      <c r="AJ52" s="109">
        <f t="shared" si="19"/>
        <v>103511589</v>
      </c>
      <c r="AK52" s="138">
        <v>85887747</v>
      </c>
      <c r="AL52" s="138">
        <v>17623842</v>
      </c>
      <c r="AM52" s="138">
        <v>1300569749</v>
      </c>
      <c r="AN52" s="109">
        <f t="shared" si="20"/>
        <v>667916108</v>
      </c>
      <c r="AO52" s="138">
        <v>374758446</v>
      </c>
      <c r="AP52" s="138">
        <v>141167000</v>
      </c>
      <c r="AQ52" s="109"/>
      <c r="AR52" s="138">
        <v>151990662</v>
      </c>
      <c r="AS52" s="138">
        <v>46997252</v>
      </c>
      <c r="AT52" s="138">
        <v>189426</v>
      </c>
      <c r="AU52" s="138">
        <v>284339</v>
      </c>
      <c r="AV52" s="138">
        <v>314813624</v>
      </c>
      <c r="AW52" s="138">
        <v>221269755</v>
      </c>
      <c r="AX52" s="138">
        <v>35193762</v>
      </c>
      <c r="AY52" s="138">
        <v>5187698</v>
      </c>
      <c r="AZ52" s="138">
        <v>93543869</v>
      </c>
      <c r="BA52" s="138">
        <v>3715176</v>
      </c>
      <c r="BB52" s="138">
        <v>50475068</v>
      </c>
      <c r="BC52" s="138">
        <v>30585280</v>
      </c>
      <c r="BD52" s="138">
        <v>33800849</v>
      </c>
      <c r="BE52" s="138">
        <v>72927052</v>
      </c>
      <c r="BF52" s="138">
        <v>22196824</v>
      </c>
      <c r="BG52" s="138">
        <v>11159195</v>
      </c>
      <c r="BH52" s="138">
        <v>36085952</v>
      </c>
      <c r="BI52" s="138">
        <v>205259</v>
      </c>
      <c r="BJ52" s="138">
        <v>99907895</v>
      </c>
      <c r="BK52" s="138">
        <v>74193741</v>
      </c>
      <c r="BL52" s="138">
        <v>120135546</v>
      </c>
      <c r="BM52" s="138">
        <v>15715123</v>
      </c>
      <c r="BN52" s="138">
        <v>927420</v>
      </c>
      <c r="BO52" s="138">
        <v>22279862</v>
      </c>
      <c r="BP52" s="138">
        <v>234939866</v>
      </c>
      <c r="BQ52" s="109">
        <f t="shared" si="5"/>
        <v>182783268</v>
      </c>
      <c r="BR52" s="109">
        <f t="shared" si="6"/>
        <v>52156598</v>
      </c>
      <c r="BS52" s="138">
        <v>0</v>
      </c>
      <c r="BT52" s="138">
        <v>0</v>
      </c>
      <c r="BU52" s="138">
        <v>52156598</v>
      </c>
      <c r="BV52" s="138">
        <v>0</v>
      </c>
      <c r="BW52" s="138">
        <v>4776751429</v>
      </c>
      <c r="BX52" s="109"/>
      <c r="BY52" s="138">
        <v>720814831</v>
      </c>
      <c r="BZ52" s="138">
        <v>489934672</v>
      </c>
      <c r="CA52" s="138">
        <v>40584200</v>
      </c>
      <c r="CB52" s="138">
        <v>66164833</v>
      </c>
      <c r="CC52" s="138">
        <v>1544235315</v>
      </c>
      <c r="CD52" s="138">
        <v>450879886</v>
      </c>
      <c r="CE52" s="138">
        <v>4712884</v>
      </c>
      <c r="CF52" s="138">
        <v>507798872</v>
      </c>
      <c r="CG52" s="138">
        <v>499353111</v>
      </c>
      <c r="CH52" s="138">
        <v>41229303</v>
      </c>
      <c r="CI52" s="138">
        <v>40237970</v>
      </c>
      <c r="CJ52" s="138">
        <v>398537596</v>
      </c>
      <c r="CK52" s="138">
        <v>374041433</v>
      </c>
      <c r="CL52" s="109">
        <f t="shared" si="21"/>
        <v>24496163</v>
      </c>
      <c r="CM52" s="138">
        <v>564481956</v>
      </c>
      <c r="CN52" s="138">
        <v>410708171</v>
      </c>
      <c r="CO52" s="110"/>
      <c r="CP52" s="138">
        <v>79777547</v>
      </c>
      <c r="CQ52" s="138">
        <v>43199717</v>
      </c>
      <c r="CR52" s="138">
        <v>421004155</v>
      </c>
      <c r="CS52" s="138">
        <v>46711036</v>
      </c>
      <c r="CT52" s="138">
        <v>144149060</v>
      </c>
      <c r="CU52" s="138">
        <v>109232299</v>
      </c>
      <c r="CV52" s="109">
        <f t="shared" si="8"/>
        <v>107468354</v>
      </c>
      <c r="CW52" s="138">
        <v>53506006</v>
      </c>
      <c r="CX52" s="138">
        <v>53962348</v>
      </c>
      <c r="CY52" s="109">
        <f t="shared" si="9"/>
        <v>11762871</v>
      </c>
      <c r="CZ52" s="138">
        <v>9610372</v>
      </c>
      <c r="DA52" s="138">
        <v>2152499</v>
      </c>
      <c r="DB52" s="109">
        <f t="shared" si="10"/>
        <v>82305314</v>
      </c>
      <c r="DC52" s="138">
        <v>41355064</v>
      </c>
      <c r="DD52" s="138">
        <v>40950250</v>
      </c>
      <c r="DE52" s="138">
        <v>445324988</v>
      </c>
      <c r="DF52" s="138">
        <v>226734246</v>
      </c>
      <c r="DG52" s="138">
        <v>208613739</v>
      </c>
      <c r="DH52" s="138">
        <v>2146884</v>
      </c>
      <c r="DI52" s="138">
        <v>4149728</v>
      </c>
      <c r="DJ52" s="138">
        <v>547175</v>
      </c>
      <c r="DK52" s="138">
        <v>134042266</v>
      </c>
      <c r="DL52" s="138">
        <v>70958438</v>
      </c>
      <c r="DM52" s="138">
        <v>3496043</v>
      </c>
      <c r="DN52" s="138">
        <v>59587785</v>
      </c>
      <c r="DO52" s="138">
        <v>7923831</v>
      </c>
      <c r="DP52" s="138">
        <v>7632681</v>
      </c>
      <c r="DQ52" s="138">
        <v>696065</v>
      </c>
      <c r="DR52" s="138">
        <v>1296889</v>
      </c>
      <c r="DS52" s="138">
        <v>10876808</v>
      </c>
      <c r="DT52" s="138">
        <v>0</v>
      </c>
      <c r="DU52" s="138">
        <v>0</v>
      </c>
      <c r="DV52" s="138">
        <v>396654193</v>
      </c>
      <c r="DW52" s="138">
        <v>1263127</v>
      </c>
      <c r="DX52" s="109">
        <f t="shared" si="11"/>
        <v>28046612</v>
      </c>
      <c r="DY52" s="138">
        <v>28046612</v>
      </c>
      <c r="DZ52" s="138">
        <v>129057996</v>
      </c>
      <c r="EA52" s="138">
        <v>41057</v>
      </c>
      <c r="EB52" s="138">
        <v>97152210</v>
      </c>
      <c r="EC52" s="109">
        <v>0</v>
      </c>
      <c r="ED52" s="138">
        <v>138994204</v>
      </c>
      <c r="EE52" s="138">
        <v>0</v>
      </c>
      <c r="EF52" s="138">
        <v>4687642831</v>
      </c>
      <c r="EG52" s="109"/>
      <c r="EH52" s="138">
        <v>89108598</v>
      </c>
      <c r="EI52" s="138">
        <v>21285598</v>
      </c>
      <c r="EJ52" s="138">
        <v>67823000</v>
      </c>
      <c r="EK52" s="138">
        <v>-10883739</v>
      </c>
      <c r="EL52" s="138">
        <v>46232970</v>
      </c>
      <c r="EM52" s="109"/>
      <c r="EN52" s="110">
        <f>EN6+EN7+EN51</f>
        <v>8837685</v>
      </c>
      <c r="EO52" s="110">
        <v>8784421</v>
      </c>
      <c r="EP52" s="138">
        <v>37159928</v>
      </c>
      <c r="EQ52" s="138">
        <v>30357535</v>
      </c>
      <c r="ER52" s="109">
        <f t="shared" si="12"/>
        <v>275950127</v>
      </c>
      <c r="ES52" s="138">
        <v>2424496708</v>
      </c>
      <c r="ET52" s="138">
        <v>-376354125</v>
      </c>
      <c r="EU52" s="138">
        <v>625475839</v>
      </c>
      <c r="EV52" s="138">
        <v>421113729</v>
      </c>
      <c r="EW52" s="138">
        <v>418710738</v>
      </c>
      <c r="EX52" s="138">
        <v>367779207</v>
      </c>
      <c r="EY52" s="109">
        <f t="shared" si="13"/>
        <v>114583209</v>
      </c>
      <c r="EZ52" s="138">
        <v>114517790</v>
      </c>
      <c r="FA52" s="138">
        <v>12989713</v>
      </c>
      <c r="FB52" s="138">
        <v>100898403</v>
      </c>
      <c r="FC52" s="138">
        <v>65419</v>
      </c>
      <c r="FD52" s="138">
        <v>0</v>
      </c>
      <c r="FE52" s="138">
        <v>369398612</v>
      </c>
      <c r="FF52" s="138">
        <v>360314931</v>
      </c>
      <c r="FG52" s="138">
        <v>41181831</v>
      </c>
      <c r="FH52" s="138">
        <v>313278282</v>
      </c>
      <c r="FI52" s="109">
        <f t="shared" si="14"/>
        <v>142967507</v>
      </c>
      <c r="FJ52" s="138">
        <v>2712508325</v>
      </c>
      <c r="FK52" s="409">
        <f t="shared" si="15"/>
        <v>3</v>
      </c>
      <c r="FL52" s="138">
        <v>2179041487</v>
      </c>
      <c r="FM52" s="138">
        <v>80519010</v>
      </c>
      <c r="FN52" s="138">
        <v>1446646409</v>
      </c>
      <c r="FO52" s="138">
        <v>1785912889</v>
      </c>
      <c r="FP52" s="410">
        <v>0.81699999999999995</v>
      </c>
      <c r="FQ52" s="411">
        <v>94.4</v>
      </c>
      <c r="FR52" s="142">
        <v>26.2</v>
      </c>
      <c r="FS52" s="411">
        <v>17.3</v>
      </c>
      <c r="FT52" s="411">
        <v>15.4</v>
      </c>
      <c r="FU52" s="142">
        <v>13.1</v>
      </c>
      <c r="FV52" s="411">
        <v>9.5</v>
      </c>
      <c r="FW52" s="412">
        <v>11.3</v>
      </c>
      <c r="FX52" s="413">
        <v>2.7</v>
      </c>
      <c r="FY52" s="138">
        <v>3584541442</v>
      </c>
      <c r="FZ52" s="414">
        <f t="shared" si="16"/>
        <v>158.6</v>
      </c>
      <c r="GA52" s="138">
        <v>895415891</v>
      </c>
      <c r="GB52" s="138">
        <v>479605271</v>
      </c>
      <c r="GC52" s="138">
        <v>45930731</v>
      </c>
      <c r="GD52" s="138">
        <v>369879889</v>
      </c>
      <c r="GE52" s="110">
        <v>0</v>
      </c>
      <c r="GF52" s="119">
        <f>SUM(GF6:GF7,GF51)</f>
        <v>18452</v>
      </c>
      <c r="GG52" s="120">
        <f>IF(GF52=0,"-",ROUND(GF52/GY52*100,1))</f>
        <v>4.8</v>
      </c>
      <c r="GH52" s="411">
        <v>99.5</v>
      </c>
      <c r="GI52" s="411">
        <v>35.6</v>
      </c>
      <c r="GJ52" s="411">
        <v>98.7</v>
      </c>
      <c r="GK52" s="110">
        <f>GK6+GK7+GK51</f>
        <v>74573</v>
      </c>
      <c r="GL52" s="415" t="s">
        <v>646</v>
      </c>
      <c r="GM52" s="415" t="s">
        <v>646</v>
      </c>
      <c r="GN52" s="416" t="s">
        <v>646</v>
      </c>
      <c r="GO52" s="415" t="s">
        <v>646</v>
      </c>
      <c r="GP52" s="415" t="s">
        <v>646</v>
      </c>
      <c r="GQ52" s="416" t="s">
        <v>646</v>
      </c>
      <c r="GR52" s="417">
        <v>2.7</v>
      </c>
      <c r="GS52" s="418" t="s">
        <v>646</v>
      </c>
      <c r="GT52" s="418" t="s">
        <v>646</v>
      </c>
      <c r="GU52" s="124" t="s">
        <v>646</v>
      </c>
      <c r="GV52" s="415" t="s">
        <v>646</v>
      </c>
      <c r="GX52" s="111">
        <f t="shared" si="17"/>
        <v>2259560</v>
      </c>
      <c r="GY52" s="419">
        <f>GY51</f>
        <v>386112</v>
      </c>
    </row>
    <row r="53" spans="1:232" x14ac:dyDescent="0.15">
      <c r="S53" s="75"/>
      <c r="CK53" s="89"/>
      <c r="CL53" s="84"/>
      <c r="EK53" s="420">
        <f>EK8+EK10+EK12+EK14+EK23+EK24+EK25+EK27+EK31+EK32+EK37+EK43+EK44+EK45+EK47+EK48</f>
        <v>-3452849</v>
      </c>
      <c r="FL53" s="394">
        <f>FL44+FL47+FL45</f>
        <v>16396676</v>
      </c>
      <c r="FM53" s="394">
        <f>FM44+FM47+FM45</f>
        <v>234560</v>
      </c>
      <c r="GG53" s="89" t="s">
        <v>647</v>
      </c>
      <c r="GK53" s="130"/>
      <c r="GY53" s="101" t="s">
        <v>648</v>
      </c>
      <c r="GZ53" s="101"/>
    </row>
    <row r="54" spans="1:232" x14ac:dyDescent="0.15">
      <c r="S54" s="75"/>
      <c r="CK54" s="89"/>
      <c r="CL54" s="84"/>
      <c r="EK54" s="420">
        <f>EK51-EK53</f>
        <v>-2962802</v>
      </c>
      <c r="EO54" s="423"/>
      <c r="FL54" s="394">
        <f>FL39+FL53</f>
        <v>1094030476</v>
      </c>
      <c r="FM54" s="394">
        <f>FM39+FM53</f>
        <v>31998135</v>
      </c>
      <c r="GF54" s="89" t="s">
        <v>649</v>
      </c>
      <c r="GH54" s="388"/>
      <c r="GI54" s="388"/>
      <c r="GJ54" s="388"/>
      <c r="GK54" s="272"/>
    </row>
    <row r="55" spans="1:232" x14ac:dyDescent="0.15">
      <c r="S55" s="75"/>
      <c r="CK55" s="89"/>
      <c r="CL55" s="84"/>
      <c r="GK55" s="130"/>
    </row>
    <row r="56" spans="1:232" x14ac:dyDescent="0.15">
      <c r="B56" s="89" t="s">
        <v>650</v>
      </c>
      <c r="C56" s="89" t="str">
        <f t="shared" ref="C56:AB56" si="22">IF(SUM(C8:C38)=C39,"ok","エラー")</f>
        <v>ok</v>
      </c>
      <c r="D56" s="89" t="str">
        <f t="shared" si="22"/>
        <v>ok</v>
      </c>
      <c r="E56" s="89" t="str">
        <f t="shared" si="22"/>
        <v>ok</v>
      </c>
      <c r="F56" s="89" t="str">
        <f t="shared" si="22"/>
        <v>ok</v>
      </c>
      <c r="G56" s="89" t="str">
        <f t="shared" si="22"/>
        <v>ok</v>
      </c>
      <c r="H56" s="89" t="str">
        <f t="shared" si="22"/>
        <v>ok</v>
      </c>
      <c r="I56" s="89" t="str">
        <f t="shared" si="22"/>
        <v>ok</v>
      </c>
      <c r="J56" s="89" t="str">
        <f t="shared" si="22"/>
        <v>ok</v>
      </c>
      <c r="K56" s="89" t="str">
        <f t="shared" si="22"/>
        <v>ok</v>
      </c>
      <c r="L56" s="89" t="str">
        <f t="shared" si="22"/>
        <v>ok</v>
      </c>
      <c r="M56" s="89" t="str">
        <f t="shared" si="22"/>
        <v>ok</v>
      </c>
      <c r="N56" s="89" t="str">
        <f t="shared" si="22"/>
        <v>ok</v>
      </c>
      <c r="O56" s="89" t="str">
        <f t="shared" si="22"/>
        <v>ok</v>
      </c>
      <c r="P56" s="89" t="str">
        <f t="shared" si="22"/>
        <v>ok</v>
      </c>
      <c r="Q56" s="89" t="str">
        <f t="shared" si="22"/>
        <v>ok</v>
      </c>
      <c r="R56" s="89" t="str">
        <f t="shared" si="22"/>
        <v>ok</v>
      </c>
      <c r="S56" s="75" t="str">
        <f t="shared" si="22"/>
        <v>ok</v>
      </c>
      <c r="T56" s="89" t="str">
        <f t="shared" si="22"/>
        <v>ok</v>
      </c>
      <c r="U56" s="89" t="str">
        <f t="shared" si="22"/>
        <v>ok</v>
      </c>
      <c r="V56" s="89" t="str">
        <f t="shared" si="22"/>
        <v>ok</v>
      </c>
      <c r="W56" s="89" t="str">
        <f t="shared" si="22"/>
        <v>ok</v>
      </c>
      <c r="X56" s="89" t="str">
        <f t="shared" si="22"/>
        <v>ok</v>
      </c>
      <c r="Y56" s="89" t="str">
        <f t="shared" si="22"/>
        <v>ok</v>
      </c>
      <c r="Z56" s="89" t="str">
        <f t="shared" si="22"/>
        <v>ok</v>
      </c>
      <c r="AA56" s="89" t="str">
        <f t="shared" si="22"/>
        <v>ok</v>
      </c>
      <c r="AB56" s="89" t="str">
        <f t="shared" si="22"/>
        <v>ok</v>
      </c>
      <c r="AD56" s="89" t="str">
        <f t="shared" ref="AD56:BI56" si="23">IF(SUM(AD8:AD38)=AD39,"ok","エラー")</f>
        <v>ok</v>
      </c>
      <c r="AE56" s="89" t="str">
        <f t="shared" si="23"/>
        <v>ok</v>
      </c>
      <c r="AF56" s="89" t="str">
        <f t="shared" si="23"/>
        <v>ok</v>
      </c>
      <c r="AG56" s="89" t="str">
        <f t="shared" si="23"/>
        <v>ok</v>
      </c>
      <c r="AH56" s="89" t="str">
        <f t="shared" si="23"/>
        <v>ok</v>
      </c>
      <c r="AI56" s="89" t="str">
        <f t="shared" si="23"/>
        <v>ok</v>
      </c>
      <c r="AJ56" s="89" t="str">
        <f t="shared" si="23"/>
        <v>ok</v>
      </c>
      <c r="AK56" s="89" t="str">
        <f t="shared" si="23"/>
        <v>ok</v>
      </c>
      <c r="AL56" s="89" t="str">
        <f t="shared" si="23"/>
        <v>ok</v>
      </c>
      <c r="AM56" s="89" t="str">
        <f t="shared" si="23"/>
        <v>ok</v>
      </c>
      <c r="AN56" s="89" t="str">
        <f t="shared" si="23"/>
        <v>ok</v>
      </c>
      <c r="AO56" s="89" t="str">
        <f t="shared" si="23"/>
        <v>ok</v>
      </c>
      <c r="AP56" s="89" t="str">
        <f t="shared" si="23"/>
        <v>ok</v>
      </c>
      <c r="AQ56" s="89" t="str">
        <f t="shared" si="23"/>
        <v>ok</v>
      </c>
      <c r="AR56" s="89" t="str">
        <f t="shared" si="23"/>
        <v>ok</v>
      </c>
      <c r="AS56" s="89" t="str">
        <f t="shared" si="23"/>
        <v>ok</v>
      </c>
      <c r="AT56" s="89" t="str">
        <f t="shared" si="23"/>
        <v>ok</v>
      </c>
      <c r="AU56" s="89" t="str">
        <f t="shared" si="23"/>
        <v>ok</v>
      </c>
      <c r="AV56" s="89" t="str">
        <f t="shared" si="23"/>
        <v>ok</v>
      </c>
      <c r="AW56" s="89" t="str">
        <f t="shared" si="23"/>
        <v>ok</v>
      </c>
      <c r="AX56" s="89" t="str">
        <f t="shared" si="23"/>
        <v>ok</v>
      </c>
      <c r="AY56" s="89" t="str">
        <f t="shared" si="23"/>
        <v>ok</v>
      </c>
      <c r="AZ56" s="89" t="str">
        <f t="shared" si="23"/>
        <v>ok</v>
      </c>
      <c r="BA56" s="89" t="str">
        <f t="shared" si="23"/>
        <v>ok</v>
      </c>
      <c r="BB56" s="89" t="str">
        <f t="shared" si="23"/>
        <v>ok</v>
      </c>
      <c r="BC56" s="89" t="str">
        <f t="shared" si="23"/>
        <v>ok</v>
      </c>
      <c r="BD56" s="89" t="str">
        <f t="shared" si="23"/>
        <v>ok</v>
      </c>
      <c r="BE56" s="89" t="str">
        <f t="shared" si="23"/>
        <v>ok</v>
      </c>
      <c r="BF56" s="89" t="str">
        <f t="shared" si="23"/>
        <v>ok</v>
      </c>
      <c r="BG56" s="89" t="str">
        <f t="shared" si="23"/>
        <v>ok</v>
      </c>
      <c r="BH56" s="89" t="str">
        <f t="shared" si="23"/>
        <v>ok</v>
      </c>
      <c r="BI56" s="89" t="str">
        <f t="shared" si="23"/>
        <v>ok</v>
      </c>
      <c r="BJ56" s="89" t="str">
        <f t="shared" ref="BJ56:CK56" si="24">IF(SUM(BJ8:BJ38)=BJ39,"ok","エラー")</f>
        <v>ok</v>
      </c>
      <c r="BK56" s="89" t="str">
        <f t="shared" si="24"/>
        <v>ok</v>
      </c>
      <c r="BL56" s="89" t="str">
        <f t="shared" si="24"/>
        <v>ok</v>
      </c>
      <c r="BM56" s="89" t="str">
        <f t="shared" si="24"/>
        <v>ok</v>
      </c>
      <c r="BN56" s="89" t="str">
        <f t="shared" si="24"/>
        <v>ok</v>
      </c>
      <c r="BO56" s="89" t="str">
        <f t="shared" si="24"/>
        <v>ok</v>
      </c>
      <c r="BP56" s="89" t="str">
        <f t="shared" si="24"/>
        <v>ok</v>
      </c>
      <c r="BQ56" s="89" t="str">
        <f t="shared" si="24"/>
        <v>ok</v>
      </c>
      <c r="BR56" s="89" t="str">
        <f t="shared" si="24"/>
        <v>ok</v>
      </c>
      <c r="BS56" s="89" t="str">
        <f t="shared" si="24"/>
        <v>ok</v>
      </c>
      <c r="BT56" s="89" t="str">
        <f t="shared" si="24"/>
        <v>ok</v>
      </c>
      <c r="BU56" s="89" t="str">
        <f t="shared" si="24"/>
        <v>ok</v>
      </c>
      <c r="BV56" s="89" t="str">
        <f t="shared" si="24"/>
        <v>ok</v>
      </c>
      <c r="BW56" s="89" t="str">
        <f t="shared" si="24"/>
        <v>ok</v>
      </c>
      <c r="BX56" s="89" t="str">
        <f t="shared" si="24"/>
        <v>ok</v>
      </c>
      <c r="BY56" s="89" t="str">
        <f t="shared" si="24"/>
        <v>ok</v>
      </c>
      <c r="BZ56" s="89" t="str">
        <f t="shared" si="24"/>
        <v>ok</v>
      </c>
      <c r="CA56" s="89" t="str">
        <f t="shared" si="24"/>
        <v>ok</v>
      </c>
      <c r="CB56" s="89" t="str">
        <f t="shared" si="24"/>
        <v>ok</v>
      </c>
      <c r="CC56" s="89" t="str">
        <f t="shared" si="24"/>
        <v>ok</v>
      </c>
      <c r="CD56" s="89" t="str">
        <f t="shared" si="24"/>
        <v>ok</v>
      </c>
      <c r="CE56" s="89" t="str">
        <f t="shared" si="24"/>
        <v>ok</v>
      </c>
      <c r="CF56" s="89" t="str">
        <f t="shared" si="24"/>
        <v>ok</v>
      </c>
      <c r="CG56" s="89" t="str">
        <f t="shared" si="24"/>
        <v>ok</v>
      </c>
      <c r="CH56" s="89" t="str">
        <f t="shared" si="24"/>
        <v>ok</v>
      </c>
      <c r="CI56" s="89" t="str">
        <f t="shared" si="24"/>
        <v>ok</v>
      </c>
      <c r="CJ56" s="89" t="str">
        <f t="shared" si="24"/>
        <v>ok</v>
      </c>
      <c r="CK56" s="89" t="str">
        <f t="shared" si="24"/>
        <v>ok</v>
      </c>
      <c r="CL56" s="84"/>
      <c r="CM56" s="89" t="str">
        <f t="shared" ref="CM56:DR56" si="25">IF(SUM(CM8:CM38)=CM39,"ok","エラー")</f>
        <v>ok</v>
      </c>
      <c r="CN56" s="89" t="str">
        <f t="shared" si="25"/>
        <v>ok</v>
      </c>
      <c r="CO56" s="89" t="str">
        <f t="shared" si="25"/>
        <v>ok</v>
      </c>
      <c r="CP56" s="89" t="str">
        <f t="shared" si="25"/>
        <v>ok</v>
      </c>
      <c r="CQ56" s="89" t="str">
        <f t="shared" si="25"/>
        <v>ok</v>
      </c>
      <c r="CR56" s="89" t="str">
        <f t="shared" si="25"/>
        <v>ok</v>
      </c>
      <c r="CS56" s="89" t="str">
        <f t="shared" si="25"/>
        <v>ok</v>
      </c>
      <c r="CT56" s="89" t="str">
        <f t="shared" si="25"/>
        <v>ok</v>
      </c>
      <c r="CU56" s="89" t="str">
        <f t="shared" si="25"/>
        <v>ok</v>
      </c>
      <c r="CV56" s="89" t="str">
        <f t="shared" si="25"/>
        <v>ok</v>
      </c>
      <c r="CW56" s="89" t="str">
        <f t="shared" si="25"/>
        <v>ok</v>
      </c>
      <c r="CX56" s="89" t="str">
        <f t="shared" si="25"/>
        <v>ok</v>
      </c>
      <c r="CY56" s="89" t="str">
        <f t="shared" si="25"/>
        <v>ok</v>
      </c>
      <c r="CZ56" s="89" t="str">
        <f t="shared" si="25"/>
        <v>ok</v>
      </c>
      <c r="DA56" s="89" t="str">
        <f t="shared" si="25"/>
        <v>ok</v>
      </c>
      <c r="DB56" s="89" t="str">
        <f t="shared" si="25"/>
        <v>ok</v>
      </c>
      <c r="DC56" s="89" t="str">
        <f t="shared" si="25"/>
        <v>ok</v>
      </c>
      <c r="DD56" s="89" t="str">
        <f t="shared" si="25"/>
        <v>ok</v>
      </c>
      <c r="DE56" s="89" t="str">
        <f t="shared" si="25"/>
        <v>ok</v>
      </c>
      <c r="DF56" s="89" t="str">
        <f t="shared" si="25"/>
        <v>ok</v>
      </c>
      <c r="DG56" s="89" t="str">
        <f t="shared" si="25"/>
        <v>ok</v>
      </c>
      <c r="DH56" s="89" t="str">
        <f t="shared" si="25"/>
        <v>ok</v>
      </c>
      <c r="DI56" s="89" t="str">
        <f t="shared" si="25"/>
        <v>ok</v>
      </c>
      <c r="DJ56" s="89" t="str">
        <f t="shared" si="25"/>
        <v>ok</v>
      </c>
      <c r="DK56" s="89" t="str">
        <f t="shared" si="25"/>
        <v>ok</v>
      </c>
      <c r="DL56" s="89" t="str">
        <f t="shared" si="25"/>
        <v>ok</v>
      </c>
      <c r="DM56" s="89" t="str">
        <f t="shared" si="25"/>
        <v>ok</v>
      </c>
      <c r="DN56" s="89" t="str">
        <f t="shared" si="25"/>
        <v>ok</v>
      </c>
      <c r="DO56" s="89" t="str">
        <f t="shared" si="25"/>
        <v>ok</v>
      </c>
      <c r="DP56" s="89" t="str">
        <f t="shared" si="25"/>
        <v>ok</v>
      </c>
      <c r="DQ56" s="89" t="str">
        <f t="shared" si="25"/>
        <v>ok</v>
      </c>
      <c r="DR56" s="89" t="str">
        <f t="shared" si="25"/>
        <v>ok</v>
      </c>
      <c r="DS56" s="89" t="str">
        <f t="shared" ref="DS56:EX56" si="26">IF(SUM(DS8:DS38)=DS39,"ok","エラー")</f>
        <v>ok</v>
      </c>
      <c r="DT56" s="89" t="str">
        <f t="shared" si="26"/>
        <v>ok</v>
      </c>
      <c r="DU56" s="89" t="str">
        <f t="shared" si="26"/>
        <v>ok</v>
      </c>
      <c r="DV56" s="89" t="str">
        <f t="shared" si="26"/>
        <v>ok</v>
      </c>
      <c r="DW56" s="89" t="str">
        <f t="shared" si="26"/>
        <v>ok</v>
      </c>
      <c r="DX56" s="89" t="str">
        <f t="shared" si="26"/>
        <v>ok</v>
      </c>
      <c r="DY56" s="89" t="str">
        <f t="shared" si="26"/>
        <v>ok</v>
      </c>
      <c r="DZ56" s="89" t="str">
        <f t="shared" si="26"/>
        <v>ok</v>
      </c>
      <c r="EA56" s="89" t="str">
        <f t="shared" si="26"/>
        <v>ok</v>
      </c>
      <c r="EB56" s="89" t="str">
        <f t="shared" si="26"/>
        <v>ok</v>
      </c>
      <c r="EC56" s="89" t="str">
        <f t="shared" si="26"/>
        <v>ok</v>
      </c>
      <c r="ED56" s="89" t="str">
        <f t="shared" si="26"/>
        <v>ok</v>
      </c>
      <c r="EE56" s="89" t="str">
        <f t="shared" si="26"/>
        <v>ok</v>
      </c>
      <c r="EF56" s="89" t="str">
        <f t="shared" si="26"/>
        <v>ok</v>
      </c>
      <c r="EG56" s="89" t="str">
        <f t="shared" si="26"/>
        <v>ok</v>
      </c>
      <c r="EH56" s="89" t="str">
        <f t="shared" si="26"/>
        <v>ok</v>
      </c>
      <c r="EI56" s="89" t="str">
        <f t="shared" si="26"/>
        <v>ok</v>
      </c>
      <c r="EJ56" s="89" t="str">
        <f t="shared" si="26"/>
        <v>ok</v>
      </c>
      <c r="EK56" s="89" t="str">
        <f t="shared" si="26"/>
        <v>ok</v>
      </c>
      <c r="EL56" s="89" t="str">
        <f t="shared" si="26"/>
        <v>ok</v>
      </c>
      <c r="EM56" s="89" t="str">
        <f t="shared" si="26"/>
        <v>ok</v>
      </c>
      <c r="EN56" s="89" t="str">
        <f t="shared" si="26"/>
        <v>ok</v>
      </c>
      <c r="EO56" s="89" t="str">
        <f t="shared" si="26"/>
        <v>ok</v>
      </c>
      <c r="EP56" s="89" t="str">
        <f t="shared" si="26"/>
        <v>ok</v>
      </c>
      <c r="EQ56" s="89" t="str">
        <f t="shared" si="26"/>
        <v>ok</v>
      </c>
      <c r="ER56" s="89" t="str">
        <f t="shared" si="26"/>
        <v>ok</v>
      </c>
      <c r="ES56" s="89" t="str">
        <f t="shared" si="26"/>
        <v>ok</v>
      </c>
      <c r="ET56" s="89" t="str">
        <f t="shared" si="26"/>
        <v>ok</v>
      </c>
      <c r="EU56" s="89" t="str">
        <f t="shared" si="26"/>
        <v>ok</v>
      </c>
      <c r="EV56" s="89" t="str">
        <f t="shared" si="26"/>
        <v>ok</v>
      </c>
      <c r="EW56" s="89" t="str">
        <f t="shared" si="26"/>
        <v>ok</v>
      </c>
      <c r="EX56" s="89" t="str">
        <f t="shared" si="26"/>
        <v>ok</v>
      </c>
      <c r="EY56" s="89" t="str">
        <f t="shared" ref="EY56:FJ56" si="27">IF(SUM(EY8:EY38)=EY39,"ok","エラー")</f>
        <v>ok</v>
      </c>
      <c r="EZ56" s="89" t="str">
        <f t="shared" si="27"/>
        <v>ok</v>
      </c>
      <c r="FA56" s="89" t="str">
        <f t="shared" si="27"/>
        <v>ok</v>
      </c>
      <c r="FB56" s="89" t="str">
        <f t="shared" si="27"/>
        <v>ok</v>
      </c>
      <c r="FC56" s="89" t="str">
        <f t="shared" si="27"/>
        <v>ok</v>
      </c>
      <c r="FD56" s="89" t="str">
        <f t="shared" si="27"/>
        <v>ok</v>
      </c>
      <c r="FE56" s="89" t="str">
        <f t="shared" si="27"/>
        <v>ok</v>
      </c>
      <c r="FF56" s="89" t="str">
        <f t="shared" si="27"/>
        <v>ok</v>
      </c>
      <c r="FG56" s="89" t="str">
        <f t="shared" si="27"/>
        <v>ok</v>
      </c>
      <c r="FH56" s="89" t="str">
        <f t="shared" si="27"/>
        <v>ok</v>
      </c>
      <c r="FI56" s="89" t="str">
        <f t="shared" si="27"/>
        <v>ok</v>
      </c>
      <c r="FJ56" s="89" t="str">
        <f t="shared" si="27"/>
        <v>ok</v>
      </c>
      <c r="FL56" s="89" t="str">
        <f>IF(SUM(FL8:FL38)=FL39,"ok","エラー")</f>
        <v>ok</v>
      </c>
      <c r="FM56" s="89" t="str">
        <f>IF(SUM(FM8:FM38)=FM39,"ok","エラー")</f>
        <v>ok</v>
      </c>
      <c r="FN56" s="89" t="str">
        <f>IF(SUM(FN8:FN38)=FN39,"ok","エラー")</f>
        <v>ok</v>
      </c>
      <c r="FO56" s="89" t="str">
        <f>IF(SUM(FO8:FO38)=FO39,"ok","エラー")</f>
        <v>ok</v>
      </c>
      <c r="FY56" s="89" t="str">
        <f>IF(SUM(FY8:FY38)=FY39,"ok","エラー")</f>
        <v>ok</v>
      </c>
      <c r="GA56" s="89" t="str">
        <f t="shared" ref="GA56:GF56" si="28">IF(SUM(GA8:GA38)=GA39,"ok","エラー")</f>
        <v>ok</v>
      </c>
      <c r="GB56" s="89" t="str">
        <f t="shared" si="28"/>
        <v>ok</v>
      </c>
      <c r="GC56" s="89" t="str">
        <f t="shared" si="28"/>
        <v>ok</v>
      </c>
      <c r="GD56" s="89" t="str">
        <f t="shared" si="28"/>
        <v>ok</v>
      </c>
      <c r="GE56" s="89" t="str">
        <f t="shared" si="28"/>
        <v>ok</v>
      </c>
      <c r="GF56" s="89" t="str">
        <f t="shared" si="28"/>
        <v>ok</v>
      </c>
      <c r="GK56" s="130" t="str">
        <f>IF(SUM(GK8:GK38)=GK39,"ok","エラー")</f>
        <v>ok</v>
      </c>
    </row>
    <row r="57" spans="1:232" x14ac:dyDescent="0.15">
      <c r="B57" s="89" t="s">
        <v>650</v>
      </c>
      <c r="C57" s="89" t="str">
        <f t="shared" ref="C57:AB57" si="29">IF(SUM(C40:C49)=C50,"ok","エラー")</f>
        <v>ok</v>
      </c>
      <c r="D57" s="89" t="str">
        <f t="shared" si="29"/>
        <v>ok</v>
      </c>
      <c r="E57" s="89" t="str">
        <f t="shared" si="29"/>
        <v>ok</v>
      </c>
      <c r="F57" s="89" t="str">
        <f t="shared" si="29"/>
        <v>ok</v>
      </c>
      <c r="G57" s="89" t="str">
        <f t="shared" si="29"/>
        <v>ok</v>
      </c>
      <c r="H57" s="89" t="str">
        <f t="shared" si="29"/>
        <v>ok</v>
      </c>
      <c r="I57" s="89" t="str">
        <f t="shared" si="29"/>
        <v>ok</v>
      </c>
      <c r="J57" s="89" t="str">
        <f t="shared" si="29"/>
        <v>ok</v>
      </c>
      <c r="K57" s="89" t="str">
        <f t="shared" si="29"/>
        <v>ok</v>
      </c>
      <c r="L57" s="89" t="str">
        <f t="shared" si="29"/>
        <v>ok</v>
      </c>
      <c r="M57" s="89" t="str">
        <f t="shared" si="29"/>
        <v>ok</v>
      </c>
      <c r="N57" s="89" t="str">
        <f t="shared" si="29"/>
        <v>ok</v>
      </c>
      <c r="O57" s="89" t="str">
        <f t="shared" si="29"/>
        <v>ok</v>
      </c>
      <c r="P57" s="89" t="str">
        <f t="shared" si="29"/>
        <v>ok</v>
      </c>
      <c r="Q57" s="89" t="str">
        <f t="shared" si="29"/>
        <v>ok</v>
      </c>
      <c r="R57" s="89" t="str">
        <f t="shared" si="29"/>
        <v>ok</v>
      </c>
      <c r="S57" s="75" t="str">
        <f t="shared" si="29"/>
        <v>ok</v>
      </c>
      <c r="T57" s="89" t="str">
        <f t="shared" si="29"/>
        <v>ok</v>
      </c>
      <c r="U57" s="89" t="str">
        <f t="shared" si="29"/>
        <v>ok</v>
      </c>
      <c r="V57" s="89" t="str">
        <f t="shared" si="29"/>
        <v>ok</v>
      </c>
      <c r="W57" s="89" t="str">
        <f t="shared" si="29"/>
        <v>ok</v>
      </c>
      <c r="X57" s="89" t="str">
        <f t="shared" si="29"/>
        <v>ok</v>
      </c>
      <c r="Y57" s="89" t="str">
        <f t="shared" si="29"/>
        <v>ok</v>
      </c>
      <c r="Z57" s="89" t="str">
        <f t="shared" si="29"/>
        <v>ok</v>
      </c>
      <c r="AA57" s="89" t="str">
        <f t="shared" si="29"/>
        <v>ok</v>
      </c>
      <c r="AB57" s="89" t="str">
        <f t="shared" si="29"/>
        <v>ok</v>
      </c>
      <c r="AD57" s="89" t="str">
        <f t="shared" ref="AD57:BI57" si="30">IF(SUM(AD40:AD49)=AD50,"ok","エラー")</f>
        <v>ok</v>
      </c>
      <c r="AE57" s="89" t="str">
        <f t="shared" si="30"/>
        <v>ok</v>
      </c>
      <c r="AF57" s="89" t="str">
        <f t="shared" si="30"/>
        <v>ok</v>
      </c>
      <c r="AG57" s="89" t="str">
        <f t="shared" si="30"/>
        <v>ok</v>
      </c>
      <c r="AH57" s="89" t="str">
        <f t="shared" si="30"/>
        <v>ok</v>
      </c>
      <c r="AI57" s="89" t="str">
        <f t="shared" si="30"/>
        <v>ok</v>
      </c>
      <c r="AJ57" s="89" t="str">
        <f t="shared" si="30"/>
        <v>ok</v>
      </c>
      <c r="AK57" s="89" t="str">
        <f t="shared" si="30"/>
        <v>ok</v>
      </c>
      <c r="AL57" s="89" t="str">
        <f t="shared" si="30"/>
        <v>ok</v>
      </c>
      <c r="AM57" s="89" t="str">
        <f t="shared" si="30"/>
        <v>ok</v>
      </c>
      <c r="AN57" s="89" t="str">
        <f t="shared" si="30"/>
        <v>ok</v>
      </c>
      <c r="AO57" s="89" t="str">
        <f t="shared" si="30"/>
        <v>ok</v>
      </c>
      <c r="AP57" s="89" t="str">
        <f t="shared" si="30"/>
        <v>ok</v>
      </c>
      <c r="AQ57" s="89" t="str">
        <f t="shared" si="30"/>
        <v>ok</v>
      </c>
      <c r="AR57" s="89" t="str">
        <f t="shared" si="30"/>
        <v>ok</v>
      </c>
      <c r="AS57" s="89" t="str">
        <f t="shared" si="30"/>
        <v>ok</v>
      </c>
      <c r="AT57" s="89" t="str">
        <f t="shared" si="30"/>
        <v>ok</v>
      </c>
      <c r="AU57" s="89" t="str">
        <f t="shared" si="30"/>
        <v>ok</v>
      </c>
      <c r="AV57" s="89" t="str">
        <f t="shared" si="30"/>
        <v>ok</v>
      </c>
      <c r="AW57" s="89" t="str">
        <f t="shared" si="30"/>
        <v>ok</v>
      </c>
      <c r="AX57" s="89" t="str">
        <f t="shared" si="30"/>
        <v>ok</v>
      </c>
      <c r="AY57" s="89" t="str">
        <f t="shared" si="30"/>
        <v>ok</v>
      </c>
      <c r="AZ57" s="89" t="str">
        <f t="shared" si="30"/>
        <v>ok</v>
      </c>
      <c r="BA57" s="89" t="str">
        <f t="shared" si="30"/>
        <v>ok</v>
      </c>
      <c r="BB57" s="89" t="str">
        <f t="shared" si="30"/>
        <v>ok</v>
      </c>
      <c r="BC57" s="89" t="str">
        <f t="shared" si="30"/>
        <v>ok</v>
      </c>
      <c r="BD57" s="89" t="str">
        <f t="shared" si="30"/>
        <v>ok</v>
      </c>
      <c r="BE57" s="89" t="str">
        <f t="shared" si="30"/>
        <v>ok</v>
      </c>
      <c r="BF57" s="89" t="str">
        <f t="shared" si="30"/>
        <v>ok</v>
      </c>
      <c r="BG57" s="89" t="str">
        <f t="shared" si="30"/>
        <v>ok</v>
      </c>
      <c r="BH57" s="89" t="str">
        <f t="shared" si="30"/>
        <v>ok</v>
      </c>
      <c r="BI57" s="89" t="str">
        <f t="shared" si="30"/>
        <v>ok</v>
      </c>
      <c r="BJ57" s="89" t="str">
        <f t="shared" ref="BJ57:CK57" si="31">IF(SUM(BJ40:BJ49)=BJ50,"ok","エラー")</f>
        <v>ok</v>
      </c>
      <c r="BK57" s="89" t="str">
        <f t="shared" si="31"/>
        <v>ok</v>
      </c>
      <c r="BL57" s="89" t="str">
        <f t="shared" si="31"/>
        <v>ok</v>
      </c>
      <c r="BM57" s="89" t="str">
        <f t="shared" si="31"/>
        <v>ok</v>
      </c>
      <c r="BN57" s="89" t="str">
        <f t="shared" si="31"/>
        <v>ok</v>
      </c>
      <c r="BO57" s="89" t="str">
        <f t="shared" si="31"/>
        <v>ok</v>
      </c>
      <c r="BP57" s="89" t="str">
        <f t="shared" si="31"/>
        <v>ok</v>
      </c>
      <c r="BQ57" s="89" t="str">
        <f t="shared" si="31"/>
        <v>ok</v>
      </c>
      <c r="BR57" s="89" t="str">
        <f t="shared" si="31"/>
        <v>ok</v>
      </c>
      <c r="BS57" s="89" t="str">
        <f t="shared" si="31"/>
        <v>ok</v>
      </c>
      <c r="BT57" s="89" t="str">
        <f t="shared" si="31"/>
        <v>ok</v>
      </c>
      <c r="BU57" s="89" t="str">
        <f t="shared" si="31"/>
        <v>ok</v>
      </c>
      <c r="BV57" s="89" t="str">
        <f t="shared" si="31"/>
        <v>ok</v>
      </c>
      <c r="BW57" s="89" t="str">
        <f t="shared" si="31"/>
        <v>ok</v>
      </c>
      <c r="BX57" s="89" t="str">
        <f t="shared" si="31"/>
        <v>ok</v>
      </c>
      <c r="BY57" s="89" t="str">
        <f t="shared" si="31"/>
        <v>ok</v>
      </c>
      <c r="BZ57" s="89" t="str">
        <f t="shared" si="31"/>
        <v>ok</v>
      </c>
      <c r="CA57" s="89" t="str">
        <f t="shared" si="31"/>
        <v>ok</v>
      </c>
      <c r="CB57" s="89" t="str">
        <f t="shared" si="31"/>
        <v>ok</v>
      </c>
      <c r="CC57" s="89" t="str">
        <f t="shared" si="31"/>
        <v>ok</v>
      </c>
      <c r="CD57" s="89" t="str">
        <f t="shared" si="31"/>
        <v>ok</v>
      </c>
      <c r="CE57" s="89" t="str">
        <f t="shared" si="31"/>
        <v>ok</v>
      </c>
      <c r="CF57" s="89" t="str">
        <f t="shared" si="31"/>
        <v>ok</v>
      </c>
      <c r="CG57" s="89" t="str">
        <f t="shared" si="31"/>
        <v>ok</v>
      </c>
      <c r="CH57" s="89" t="str">
        <f t="shared" si="31"/>
        <v>ok</v>
      </c>
      <c r="CI57" s="89" t="str">
        <f t="shared" si="31"/>
        <v>ok</v>
      </c>
      <c r="CJ57" s="89" t="str">
        <f t="shared" si="31"/>
        <v>ok</v>
      </c>
      <c r="CK57" s="89" t="str">
        <f t="shared" si="31"/>
        <v>ok</v>
      </c>
      <c r="CL57" s="84"/>
      <c r="CM57" s="89" t="str">
        <f t="shared" ref="CM57:DR57" si="32">IF(SUM(CM40:CM49)=CM50,"ok","エラー")</f>
        <v>ok</v>
      </c>
      <c r="CN57" s="89" t="str">
        <f t="shared" si="32"/>
        <v>ok</v>
      </c>
      <c r="CO57" s="89" t="str">
        <f t="shared" si="32"/>
        <v>ok</v>
      </c>
      <c r="CP57" s="89" t="str">
        <f t="shared" si="32"/>
        <v>ok</v>
      </c>
      <c r="CQ57" s="89" t="str">
        <f t="shared" si="32"/>
        <v>ok</v>
      </c>
      <c r="CR57" s="89" t="str">
        <f t="shared" si="32"/>
        <v>ok</v>
      </c>
      <c r="CS57" s="89" t="str">
        <f t="shared" si="32"/>
        <v>ok</v>
      </c>
      <c r="CT57" s="89" t="str">
        <f t="shared" si="32"/>
        <v>ok</v>
      </c>
      <c r="CU57" s="89" t="str">
        <f t="shared" si="32"/>
        <v>ok</v>
      </c>
      <c r="CV57" s="89" t="str">
        <f t="shared" si="32"/>
        <v>ok</v>
      </c>
      <c r="CW57" s="89" t="str">
        <f t="shared" si="32"/>
        <v>ok</v>
      </c>
      <c r="CX57" s="89" t="str">
        <f t="shared" si="32"/>
        <v>ok</v>
      </c>
      <c r="CY57" s="89" t="str">
        <f t="shared" si="32"/>
        <v>ok</v>
      </c>
      <c r="CZ57" s="89" t="str">
        <f t="shared" si="32"/>
        <v>ok</v>
      </c>
      <c r="DA57" s="89" t="str">
        <f t="shared" si="32"/>
        <v>ok</v>
      </c>
      <c r="DB57" s="89" t="str">
        <f t="shared" si="32"/>
        <v>ok</v>
      </c>
      <c r="DC57" s="89" t="str">
        <f t="shared" si="32"/>
        <v>ok</v>
      </c>
      <c r="DD57" s="89" t="str">
        <f t="shared" si="32"/>
        <v>ok</v>
      </c>
      <c r="DE57" s="89" t="str">
        <f t="shared" si="32"/>
        <v>ok</v>
      </c>
      <c r="DF57" s="89" t="str">
        <f t="shared" si="32"/>
        <v>ok</v>
      </c>
      <c r="DG57" s="89" t="str">
        <f t="shared" si="32"/>
        <v>ok</v>
      </c>
      <c r="DH57" s="89" t="str">
        <f t="shared" si="32"/>
        <v>ok</v>
      </c>
      <c r="DI57" s="89" t="str">
        <f t="shared" si="32"/>
        <v>ok</v>
      </c>
      <c r="DJ57" s="89" t="str">
        <f t="shared" si="32"/>
        <v>ok</v>
      </c>
      <c r="DK57" s="89" t="str">
        <f t="shared" si="32"/>
        <v>ok</v>
      </c>
      <c r="DL57" s="89" t="str">
        <f t="shared" si="32"/>
        <v>ok</v>
      </c>
      <c r="DM57" s="89" t="str">
        <f t="shared" si="32"/>
        <v>ok</v>
      </c>
      <c r="DN57" s="89" t="str">
        <f t="shared" si="32"/>
        <v>ok</v>
      </c>
      <c r="DO57" s="89" t="str">
        <f t="shared" si="32"/>
        <v>ok</v>
      </c>
      <c r="DP57" s="89" t="str">
        <f t="shared" si="32"/>
        <v>ok</v>
      </c>
      <c r="DQ57" s="89" t="str">
        <f t="shared" si="32"/>
        <v>ok</v>
      </c>
      <c r="DR57" s="89" t="str">
        <f t="shared" si="32"/>
        <v>ok</v>
      </c>
      <c r="DS57" s="89" t="str">
        <f t="shared" ref="DS57:EX57" si="33">IF(SUM(DS40:DS49)=DS50,"ok","エラー")</f>
        <v>ok</v>
      </c>
      <c r="DT57" s="89" t="str">
        <f t="shared" si="33"/>
        <v>ok</v>
      </c>
      <c r="DU57" s="89" t="str">
        <f t="shared" si="33"/>
        <v>ok</v>
      </c>
      <c r="DV57" s="89" t="str">
        <f t="shared" si="33"/>
        <v>ok</v>
      </c>
      <c r="DW57" s="89" t="str">
        <f t="shared" si="33"/>
        <v>ok</v>
      </c>
      <c r="DX57" s="89" t="str">
        <f t="shared" si="33"/>
        <v>ok</v>
      </c>
      <c r="DY57" s="89" t="str">
        <f t="shared" si="33"/>
        <v>ok</v>
      </c>
      <c r="DZ57" s="89" t="str">
        <f t="shared" si="33"/>
        <v>ok</v>
      </c>
      <c r="EA57" s="89" t="str">
        <f t="shared" si="33"/>
        <v>ok</v>
      </c>
      <c r="EB57" s="89" t="str">
        <f t="shared" si="33"/>
        <v>ok</v>
      </c>
      <c r="EC57" s="89" t="str">
        <f t="shared" si="33"/>
        <v>ok</v>
      </c>
      <c r="ED57" s="89" t="str">
        <f t="shared" si="33"/>
        <v>ok</v>
      </c>
      <c r="EE57" s="89" t="str">
        <f t="shared" si="33"/>
        <v>ok</v>
      </c>
      <c r="EF57" s="89" t="str">
        <f t="shared" si="33"/>
        <v>ok</v>
      </c>
      <c r="EG57" s="89" t="str">
        <f t="shared" si="33"/>
        <v>ok</v>
      </c>
      <c r="EH57" s="89" t="str">
        <f t="shared" si="33"/>
        <v>ok</v>
      </c>
      <c r="EI57" s="89" t="str">
        <f t="shared" si="33"/>
        <v>ok</v>
      </c>
      <c r="EJ57" s="89" t="str">
        <f t="shared" si="33"/>
        <v>ok</v>
      </c>
      <c r="EK57" s="89" t="str">
        <f t="shared" si="33"/>
        <v>ok</v>
      </c>
      <c r="EL57" s="89" t="str">
        <f t="shared" si="33"/>
        <v>ok</v>
      </c>
      <c r="EM57" s="89" t="str">
        <f t="shared" si="33"/>
        <v>ok</v>
      </c>
      <c r="EN57" s="89" t="str">
        <f t="shared" si="33"/>
        <v>ok</v>
      </c>
      <c r="EO57" s="89" t="str">
        <f t="shared" si="33"/>
        <v>ok</v>
      </c>
      <c r="EP57" s="89" t="str">
        <f t="shared" si="33"/>
        <v>ok</v>
      </c>
      <c r="EQ57" s="89" t="str">
        <f t="shared" si="33"/>
        <v>ok</v>
      </c>
      <c r="ER57" s="89" t="str">
        <f t="shared" si="33"/>
        <v>ok</v>
      </c>
      <c r="ES57" s="89" t="str">
        <f t="shared" si="33"/>
        <v>ok</v>
      </c>
      <c r="ET57" s="89" t="str">
        <f t="shared" si="33"/>
        <v>ok</v>
      </c>
      <c r="EU57" s="89" t="str">
        <f t="shared" si="33"/>
        <v>ok</v>
      </c>
      <c r="EV57" s="89" t="str">
        <f t="shared" si="33"/>
        <v>ok</v>
      </c>
      <c r="EW57" s="89" t="str">
        <f t="shared" si="33"/>
        <v>ok</v>
      </c>
      <c r="EX57" s="89" t="str">
        <f t="shared" si="33"/>
        <v>ok</v>
      </c>
      <c r="EY57" s="89" t="str">
        <f t="shared" ref="EY57:FJ57" si="34">IF(SUM(EY40:EY49)=EY50,"ok","エラー")</f>
        <v>ok</v>
      </c>
      <c r="EZ57" s="89" t="str">
        <f t="shared" si="34"/>
        <v>ok</v>
      </c>
      <c r="FA57" s="89" t="str">
        <f t="shared" si="34"/>
        <v>ok</v>
      </c>
      <c r="FB57" s="89" t="str">
        <f t="shared" si="34"/>
        <v>ok</v>
      </c>
      <c r="FC57" s="89" t="str">
        <f t="shared" si="34"/>
        <v>ok</v>
      </c>
      <c r="FD57" s="89" t="str">
        <f t="shared" si="34"/>
        <v>ok</v>
      </c>
      <c r="FE57" s="89" t="str">
        <f t="shared" si="34"/>
        <v>ok</v>
      </c>
      <c r="FF57" s="89" t="str">
        <f t="shared" si="34"/>
        <v>ok</v>
      </c>
      <c r="FG57" s="89" t="str">
        <f t="shared" si="34"/>
        <v>ok</v>
      </c>
      <c r="FH57" s="89" t="str">
        <f t="shared" si="34"/>
        <v>ok</v>
      </c>
      <c r="FI57" s="89" t="str">
        <f t="shared" si="34"/>
        <v>ok</v>
      </c>
      <c r="FJ57" s="89" t="str">
        <f t="shared" si="34"/>
        <v>ok</v>
      </c>
      <c r="FL57" s="89" t="str">
        <f>IF(SUM(FL40:FL49)=FL50,"ok","エラー")</f>
        <v>ok</v>
      </c>
      <c r="FM57" s="89" t="str">
        <f>IF(SUM(FM40:FM49)=FM50,"ok","エラー")</f>
        <v>ok</v>
      </c>
      <c r="FN57" s="89" t="str">
        <f>IF(SUM(FN40:FN49)=FN50,"ok","エラー")</f>
        <v>ok</v>
      </c>
      <c r="FO57" s="89" t="str">
        <f>IF(SUM(FO40:FO49)=FO50,"ok","エラー")</f>
        <v>ok</v>
      </c>
      <c r="FY57" s="89" t="str">
        <f>IF(SUM(FY40:FY49)=FY50,"ok","エラー")</f>
        <v>ok</v>
      </c>
      <c r="GA57" s="89" t="str">
        <f t="shared" ref="GA57:GF57" si="35">IF(SUM(GA40:GA49)=GA50,"ok","エラー")</f>
        <v>ok</v>
      </c>
      <c r="GB57" s="89" t="str">
        <f t="shared" si="35"/>
        <v>ok</v>
      </c>
      <c r="GC57" s="89" t="str">
        <f t="shared" si="35"/>
        <v>ok</v>
      </c>
      <c r="GD57" s="89" t="str">
        <f t="shared" si="35"/>
        <v>ok</v>
      </c>
      <c r="GE57" s="89" t="str">
        <f t="shared" si="35"/>
        <v>ok</v>
      </c>
      <c r="GF57" s="89" t="str">
        <f t="shared" si="35"/>
        <v>ok</v>
      </c>
      <c r="GK57" s="130" t="str">
        <f>IF(SUM(GK40:GK49)=GK50,"ok","エラー")</f>
        <v>ok</v>
      </c>
    </row>
    <row r="58" spans="1:232" x14ac:dyDescent="0.15">
      <c r="B58" s="89" t="s">
        <v>650</v>
      </c>
      <c r="C58" s="89" t="str">
        <f t="shared" ref="C58:AB58" si="36">IF(C39+C50=C51,"ok","エラー")</f>
        <v>ok</v>
      </c>
      <c r="D58" s="89" t="str">
        <f t="shared" si="36"/>
        <v>ok</v>
      </c>
      <c r="E58" s="89" t="str">
        <f t="shared" si="36"/>
        <v>ok</v>
      </c>
      <c r="F58" s="89" t="str">
        <f t="shared" si="36"/>
        <v>ok</v>
      </c>
      <c r="G58" s="89" t="str">
        <f t="shared" si="36"/>
        <v>ok</v>
      </c>
      <c r="H58" s="89" t="str">
        <f t="shared" si="36"/>
        <v>ok</v>
      </c>
      <c r="I58" s="89" t="str">
        <f t="shared" si="36"/>
        <v>ok</v>
      </c>
      <c r="J58" s="89" t="str">
        <f t="shared" si="36"/>
        <v>ok</v>
      </c>
      <c r="K58" s="89" t="str">
        <f t="shared" si="36"/>
        <v>ok</v>
      </c>
      <c r="L58" s="89" t="str">
        <f t="shared" si="36"/>
        <v>ok</v>
      </c>
      <c r="M58" s="89" t="str">
        <f t="shared" si="36"/>
        <v>ok</v>
      </c>
      <c r="N58" s="89" t="str">
        <f t="shared" si="36"/>
        <v>ok</v>
      </c>
      <c r="O58" s="89" t="str">
        <f t="shared" si="36"/>
        <v>ok</v>
      </c>
      <c r="P58" s="89" t="str">
        <f t="shared" si="36"/>
        <v>ok</v>
      </c>
      <c r="Q58" s="89" t="str">
        <f t="shared" si="36"/>
        <v>ok</v>
      </c>
      <c r="R58" s="89" t="str">
        <f t="shared" si="36"/>
        <v>ok</v>
      </c>
      <c r="S58" s="75" t="str">
        <f t="shared" si="36"/>
        <v>ok</v>
      </c>
      <c r="T58" s="89" t="str">
        <f t="shared" si="36"/>
        <v>ok</v>
      </c>
      <c r="U58" s="89" t="str">
        <f t="shared" si="36"/>
        <v>ok</v>
      </c>
      <c r="V58" s="89" t="str">
        <f t="shared" si="36"/>
        <v>ok</v>
      </c>
      <c r="W58" s="89" t="str">
        <f t="shared" si="36"/>
        <v>ok</v>
      </c>
      <c r="X58" s="89" t="str">
        <f t="shared" si="36"/>
        <v>ok</v>
      </c>
      <c r="Y58" s="89" t="str">
        <f t="shared" si="36"/>
        <v>ok</v>
      </c>
      <c r="Z58" s="89" t="str">
        <f t="shared" si="36"/>
        <v>ok</v>
      </c>
      <c r="AA58" s="89" t="str">
        <f t="shared" si="36"/>
        <v>ok</v>
      </c>
      <c r="AB58" s="89" t="str">
        <f t="shared" si="36"/>
        <v>ok</v>
      </c>
      <c r="AD58" s="89" t="str">
        <f t="shared" ref="AD58:BI58" si="37">IF(AD39+AD50=AD51,"ok","エラー")</f>
        <v>ok</v>
      </c>
      <c r="AE58" s="89" t="str">
        <f t="shared" si="37"/>
        <v>ok</v>
      </c>
      <c r="AF58" s="89" t="str">
        <f t="shared" si="37"/>
        <v>ok</v>
      </c>
      <c r="AG58" s="89" t="str">
        <f t="shared" si="37"/>
        <v>ok</v>
      </c>
      <c r="AH58" s="89" t="str">
        <f t="shared" si="37"/>
        <v>ok</v>
      </c>
      <c r="AI58" s="89" t="str">
        <f t="shared" si="37"/>
        <v>ok</v>
      </c>
      <c r="AJ58" s="89" t="str">
        <f t="shared" si="37"/>
        <v>ok</v>
      </c>
      <c r="AK58" s="89" t="str">
        <f t="shared" si="37"/>
        <v>ok</v>
      </c>
      <c r="AL58" s="89" t="str">
        <f t="shared" si="37"/>
        <v>ok</v>
      </c>
      <c r="AM58" s="89" t="str">
        <f t="shared" si="37"/>
        <v>ok</v>
      </c>
      <c r="AN58" s="89" t="str">
        <f t="shared" si="37"/>
        <v>ok</v>
      </c>
      <c r="AO58" s="89" t="str">
        <f t="shared" si="37"/>
        <v>ok</v>
      </c>
      <c r="AP58" s="89" t="str">
        <f t="shared" si="37"/>
        <v>ok</v>
      </c>
      <c r="AQ58" s="89" t="str">
        <f t="shared" si="37"/>
        <v>ok</v>
      </c>
      <c r="AR58" s="89" t="str">
        <f t="shared" si="37"/>
        <v>ok</v>
      </c>
      <c r="AS58" s="89" t="str">
        <f t="shared" si="37"/>
        <v>ok</v>
      </c>
      <c r="AT58" s="89" t="str">
        <f t="shared" si="37"/>
        <v>ok</v>
      </c>
      <c r="AU58" s="89" t="str">
        <f t="shared" si="37"/>
        <v>ok</v>
      </c>
      <c r="AV58" s="89" t="str">
        <f t="shared" si="37"/>
        <v>ok</v>
      </c>
      <c r="AW58" s="89" t="str">
        <f t="shared" si="37"/>
        <v>ok</v>
      </c>
      <c r="AX58" s="89" t="str">
        <f t="shared" si="37"/>
        <v>ok</v>
      </c>
      <c r="AY58" s="89" t="str">
        <f t="shared" si="37"/>
        <v>ok</v>
      </c>
      <c r="AZ58" s="89" t="str">
        <f t="shared" si="37"/>
        <v>ok</v>
      </c>
      <c r="BA58" s="89" t="str">
        <f t="shared" si="37"/>
        <v>ok</v>
      </c>
      <c r="BB58" s="89" t="str">
        <f t="shared" si="37"/>
        <v>ok</v>
      </c>
      <c r="BC58" s="89" t="str">
        <f t="shared" si="37"/>
        <v>ok</v>
      </c>
      <c r="BD58" s="89" t="str">
        <f t="shared" si="37"/>
        <v>ok</v>
      </c>
      <c r="BE58" s="89" t="str">
        <f t="shared" si="37"/>
        <v>ok</v>
      </c>
      <c r="BF58" s="89" t="str">
        <f t="shared" si="37"/>
        <v>ok</v>
      </c>
      <c r="BG58" s="89" t="str">
        <f t="shared" si="37"/>
        <v>ok</v>
      </c>
      <c r="BH58" s="89" t="str">
        <f t="shared" si="37"/>
        <v>ok</v>
      </c>
      <c r="BI58" s="89" t="str">
        <f t="shared" si="37"/>
        <v>ok</v>
      </c>
      <c r="BJ58" s="89" t="str">
        <f t="shared" ref="BJ58:CK58" si="38">IF(BJ39+BJ50=BJ51,"ok","エラー")</f>
        <v>ok</v>
      </c>
      <c r="BK58" s="89" t="str">
        <f t="shared" si="38"/>
        <v>ok</v>
      </c>
      <c r="BL58" s="89" t="str">
        <f t="shared" si="38"/>
        <v>ok</v>
      </c>
      <c r="BM58" s="89" t="str">
        <f t="shared" si="38"/>
        <v>ok</v>
      </c>
      <c r="BN58" s="89" t="str">
        <f t="shared" si="38"/>
        <v>ok</v>
      </c>
      <c r="BO58" s="89" t="str">
        <f t="shared" si="38"/>
        <v>ok</v>
      </c>
      <c r="BP58" s="89" t="str">
        <f t="shared" si="38"/>
        <v>ok</v>
      </c>
      <c r="BQ58" s="89" t="str">
        <f t="shared" si="38"/>
        <v>ok</v>
      </c>
      <c r="BR58" s="89" t="str">
        <f t="shared" si="38"/>
        <v>ok</v>
      </c>
      <c r="BS58" s="89" t="str">
        <f t="shared" si="38"/>
        <v>ok</v>
      </c>
      <c r="BT58" s="89" t="str">
        <f t="shared" si="38"/>
        <v>ok</v>
      </c>
      <c r="BU58" s="89" t="str">
        <f t="shared" si="38"/>
        <v>ok</v>
      </c>
      <c r="BV58" s="89" t="str">
        <f t="shared" si="38"/>
        <v>ok</v>
      </c>
      <c r="BW58" s="89" t="str">
        <f t="shared" si="38"/>
        <v>ok</v>
      </c>
      <c r="BX58" s="89" t="str">
        <f t="shared" si="38"/>
        <v>ok</v>
      </c>
      <c r="BY58" s="89" t="str">
        <f t="shared" si="38"/>
        <v>ok</v>
      </c>
      <c r="BZ58" s="89" t="str">
        <f t="shared" si="38"/>
        <v>ok</v>
      </c>
      <c r="CA58" s="89" t="str">
        <f t="shared" si="38"/>
        <v>ok</v>
      </c>
      <c r="CB58" s="89" t="str">
        <f t="shared" si="38"/>
        <v>ok</v>
      </c>
      <c r="CC58" s="89" t="str">
        <f t="shared" si="38"/>
        <v>ok</v>
      </c>
      <c r="CD58" s="89" t="str">
        <f t="shared" si="38"/>
        <v>ok</v>
      </c>
      <c r="CE58" s="89" t="str">
        <f t="shared" si="38"/>
        <v>ok</v>
      </c>
      <c r="CF58" s="89" t="str">
        <f t="shared" si="38"/>
        <v>ok</v>
      </c>
      <c r="CG58" s="89" t="str">
        <f t="shared" si="38"/>
        <v>ok</v>
      </c>
      <c r="CH58" s="89" t="str">
        <f t="shared" si="38"/>
        <v>ok</v>
      </c>
      <c r="CI58" s="89" t="str">
        <f t="shared" si="38"/>
        <v>ok</v>
      </c>
      <c r="CJ58" s="89" t="str">
        <f t="shared" si="38"/>
        <v>ok</v>
      </c>
      <c r="CK58" s="89" t="str">
        <f t="shared" si="38"/>
        <v>ok</v>
      </c>
      <c r="CL58" s="84"/>
      <c r="CM58" s="89" t="str">
        <f t="shared" ref="CM58:DR58" si="39">IF(CM39+CM50=CM51,"ok","エラー")</f>
        <v>ok</v>
      </c>
      <c r="CN58" s="89" t="str">
        <f t="shared" si="39"/>
        <v>ok</v>
      </c>
      <c r="CO58" s="89" t="str">
        <f t="shared" si="39"/>
        <v>ok</v>
      </c>
      <c r="CP58" s="89" t="str">
        <f t="shared" si="39"/>
        <v>ok</v>
      </c>
      <c r="CQ58" s="89" t="str">
        <f t="shared" si="39"/>
        <v>ok</v>
      </c>
      <c r="CR58" s="89" t="str">
        <f t="shared" si="39"/>
        <v>ok</v>
      </c>
      <c r="CS58" s="89" t="str">
        <f t="shared" si="39"/>
        <v>ok</v>
      </c>
      <c r="CT58" s="89" t="str">
        <f t="shared" si="39"/>
        <v>ok</v>
      </c>
      <c r="CU58" s="89" t="str">
        <f t="shared" si="39"/>
        <v>ok</v>
      </c>
      <c r="CV58" s="89" t="str">
        <f t="shared" si="39"/>
        <v>ok</v>
      </c>
      <c r="CW58" s="89" t="str">
        <f t="shared" si="39"/>
        <v>ok</v>
      </c>
      <c r="CX58" s="89" t="str">
        <f t="shared" si="39"/>
        <v>ok</v>
      </c>
      <c r="CY58" s="89" t="str">
        <f t="shared" si="39"/>
        <v>ok</v>
      </c>
      <c r="CZ58" s="89" t="str">
        <f t="shared" si="39"/>
        <v>ok</v>
      </c>
      <c r="DA58" s="89" t="str">
        <f t="shared" si="39"/>
        <v>ok</v>
      </c>
      <c r="DB58" s="89" t="str">
        <f t="shared" si="39"/>
        <v>ok</v>
      </c>
      <c r="DC58" s="89" t="str">
        <f t="shared" si="39"/>
        <v>ok</v>
      </c>
      <c r="DD58" s="89" t="str">
        <f t="shared" si="39"/>
        <v>ok</v>
      </c>
      <c r="DE58" s="89" t="str">
        <f t="shared" si="39"/>
        <v>ok</v>
      </c>
      <c r="DF58" s="89" t="str">
        <f t="shared" si="39"/>
        <v>ok</v>
      </c>
      <c r="DG58" s="89" t="str">
        <f t="shared" si="39"/>
        <v>ok</v>
      </c>
      <c r="DH58" s="89" t="str">
        <f t="shared" si="39"/>
        <v>ok</v>
      </c>
      <c r="DI58" s="89" t="str">
        <f t="shared" si="39"/>
        <v>ok</v>
      </c>
      <c r="DJ58" s="89" t="str">
        <f t="shared" si="39"/>
        <v>ok</v>
      </c>
      <c r="DK58" s="89" t="str">
        <f t="shared" si="39"/>
        <v>ok</v>
      </c>
      <c r="DL58" s="89" t="str">
        <f t="shared" si="39"/>
        <v>ok</v>
      </c>
      <c r="DM58" s="89" t="str">
        <f t="shared" si="39"/>
        <v>ok</v>
      </c>
      <c r="DN58" s="89" t="str">
        <f t="shared" si="39"/>
        <v>ok</v>
      </c>
      <c r="DO58" s="89" t="str">
        <f t="shared" si="39"/>
        <v>ok</v>
      </c>
      <c r="DP58" s="89" t="str">
        <f t="shared" si="39"/>
        <v>ok</v>
      </c>
      <c r="DQ58" s="89" t="str">
        <f t="shared" si="39"/>
        <v>ok</v>
      </c>
      <c r="DR58" s="89" t="str">
        <f t="shared" si="39"/>
        <v>ok</v>
      </c>
      <c r="DS58" s="89" t="str">
        <f t="shared" ref="DS58:EX58" si="40">IF(DS39+DS50=DS51,"ok","エラー")</f>
        <v>ok</v>
      </c>
      <c r="DT58" s="89" t="str">
        <f t="shared" si="40"/>
        <v>ok</v>
      </c>
      <c r="DU58" s="89" t="str">
        <f t="shared" si="40"/>
        <v>ok</v>
      </c>
      <c r="DV58" s="89" t="str">
        <f t="shared" si="40"/>
        <v>ok</v>
      </c>
      <c r="DW58" s="89" t="str">
        <f t="shared" si="40"/>
        <v>ok</v>
      </c>
      <c r="DX58" s="89" t="str">
        <f t="shared" si="40"/>
        <v>ok</v>
      </c>
      <c r="DY58" s="89" t="str">
        <f t="shared" si="40"/>
        <v>ok</v>
      </c>
      <c r="DZ58" s="89" t="str">
        <f t="shared" si="40"/>
        <v>ok</v>
      </c>
      <c r="EA58" s="89" t="str">
        <f t="shared" si="40"/>
        <v>ok</v>
      </c>
      <c r="EB58" s="89" t="str">
        <f t="shared" si="40"/>
        <v>ok</v>
      </c>
      <c r="EC58" s="89" t="str">
        <f t="shared" si="40"/>
        <v>ok</v>
      </c>
      <c r="ED58" s="89" t="str">
        <f t="shared" si="40"/>
        <v>ok</v>
      </c>
      <c r="EE58" s="89" t="str">
        <f t="shared" si="40"/>
        <v>ok</v>
      </c>
      <c r="EF58" s="89" t="str">
        <f t="shared" si="40"/>
        <v>ok</v>
      </c>
      <c r="EG58" s="89" t="str">
        <f t="shared" si="40"/>
        <v>ok</v>
      </c>
      <c r="EH58" s="89" t="str">
        <f t="shared" si="40"/>
        <v>ok</v>
      </c>
      <c r="EI58" s="89" t="str">
        <f t="shared" si="40"/>
        <v>ok</v>
      </c>
      <c r="EJ58" s="89" t="str">
        <f t="shared" si="40"/>
        <v>ok</v>
      </c>
      <c r="EK58" s="89" t="str">
        <f t="shared" si="40"/>
        <v>ok</v>
      </c>
      <c r="EL58" s="89" t="str">
        <f t="shared" si="40"/>
        <v>ok</v>
      </c>
      <c r="EM58" s="89" t="str">
        <f t="shared" si="40"/>
        <v>ok</v>
      </c>
      <c r="EN58" s="89" t="str">
        <f t="shared" si="40"/>
        <v>ok</v>
      </c>
      <c r="EO58" s="89" t="str">
        <f t="shared" si="40"/>
        <v>ok</v>
      </c>
      <c r="EP58" s="89" t="str">
        <f t="shared" si="40"/>
        <v>ok</v>
      </c>
      <c r="EQ58" s="89" t="str">
        <f t="shared" si="40"/>
        <v>ok</v>
      </c>
      <c r="ER58" s="89" t="str">
        <f t="shared" si="40"/>
        <v>ok</v>
      </c>
      <c r="ES58" s="89" t="str">
        <f t="shared" si="40"/>
        <v>ok</v>
      </c>
      <c r="ET58" s="89" t="str">
        <f t="shared" si="40"/>
        <v>ok</v>
      </c>
      <c r="EU58" s="89" t="str">
        <f t="shared" si="40"/>
        <v>ok</v>
      </c>
      <c r="EV58" s="89" t="str">
        <f t="shared" si="40"/>
        <v>ok</v>
      </c>
      <c r="EW58" s="89" t="str">
        <f t="shared" si="40"/>
        <v>ok</v>
      </c>
      <c r="EX58" s="89" t="str">
        <f t="shared" si="40"/>
        <v>ok</v>
      </c>
      <c r="EY58" s="89" t="str">
        <f t="shared" ref="EY58:FJ58" si="41">IF(EY39+EY50=EY51,"ok","エラー")</f>
        <v>ok</v>
      </c>
      <c r="EZ58" s="89" t="str">
        <f t="shared" si="41"/>
        <v>ok</v>
      </c>
      <c r="FA58" s="89" t="str">
        <f t="shared" si="41"/>
        <v>ok</v>
      </c>
      <c r="FB58" s="89" t="str">
        <f t="shared" si="41"/>
        <v>ok</v>
      </c>
      <c r="FC58" s="89" t="str">
        <f t="shared" si="41"/>
        <v>ok</v>
      </c>
      <c r="FD58" s="89" t="str">
        <f t="shared" si="41"/>
        <v>ok</v>
      </c>
      <c r="FE58" s="89" t="str">
        <f t="shared" si="41"/>
        <v>ok</v>
      </c>
      <c r="FF58" s="89" t="str">
        <f t="shared" si="41"/>
        <v>ok</v>
      </c>
      <c r="FG58" s="89" t="str">
        <f t="shared" si="41"/>
        <v>ok</v>
      </c>
      <c r="FH58" s="89" t="str">
        <f t="shared" si="41"/>
        <v>ok</v>
      </c>
      <c r="FI58" s="89" t="str">
        <f t="shared" si="41"/>
        <v>ok</v>
      </c>
      <c r="FJ58" s="89" t="str">
        <f t="shared" si="41"/>
        <v>ok</v>
      </c>
      <c r="FL58" s="89" t="str">
        <f>IF(FL39+FL50=FL51,"ok","エラー")</f>
        <v>ok</v>
      </c>
      <c r="FM58" s="89" t="str">
        <f>IF(FM39+FM50=FM51,"ok","エラー")</f>
        <v>ok</v>
      </c>
      <c r="FN58" s="89" t="str">
        <f>IF(FN39+FN50=FN51,"ok","エラー")</f>
        <v>ok</v>
      </c>
      <c r="FO58" s="89" t="str">
        <f>IF(FO39+FO50=FO51,"ok","エラー")</f>
        <v>ok</v>
      </c>
      <c r="FY58" s="89" t="str">
        <f>IF(FY39+FY50=FY51,"ok","エラー")</f>
        <v>ok</v>
      </c>
      <c r="GA58" s="89" t="str">
        <f t="shared" ref="GA58:GF58" si="42">IF(GA39+GA50=GA51,"ok","エラー")</f>
        <v>ok</v>
      </c>
      <c r="GB58" s="89" t="str">
        <f t="shared" si="42"/>
        <v>ok</v>
      </c>
      <c r="GC58" s="89" t="str">
        <f t="shared" si="42"/>
        <v>ok</v>
      </c>
      <c r="GD58" s="89" t="str">
        <f t="shared" si="42"/>
        <v>ok</v>
      </c>
      <c r="GE58" s="89" t="str">
        <f t="shared" si="42"/>
        <v>ok</v>
      </c>
      <c r="GF58" s="89" t="str">
        <f t="shared" si="42"/>
        <v>ok</v>
      </c>
      <c r="GK58" s="130" t="str">
        <f>IF(GK39+GK50=GK51,"ok","エラー")</f>
        <v>ok</v>
      </c>
    </row>
    <row r="59" spans="1:232" x14ac:dyDescent="0.15">
      <c r="B59" s="122" t="s">
        <v>650</v>
      </c>
      <c r="C59" s="89" t="str">
        <f t="shared" ref="C59:AB59" si="43">IF(C6+C7+C51=C52,"ok","エラー")</f>
        <v>ok</v>
      </c>
      <c r="D59" s="89" t="str">
        <f t="shared" si="43"/>
        <v>ok</v>
      </c>
      <c r="E59" s="89" t="str">
        <f t="shared" si="43"/>
        <v>ok</v>
      </c>
      <c r="F59" s="89" t="str">
        <f t="shared" si="43"/>
        <v>ok</v>
      </c>
      <c r="G59" s="89" t="str">
        <f t="shared" si="43"/>
        <v>ok</v>
      </c>
      <c r="H59" s="89" t="str">
        <f t="shared" si="43"/>
        <v>ok</v>
      </c>
      <c r="I59" s="89" t="str">
        <f t="shared" si="43"/>
        <v>ok</v>
      </c>
      <c r="J59" s="89" t="str">
        <f t="shared" si="43"/>
        <v>ok</v>
      </c>
      <c r="K59" s="89" t="str">
        <f t="shared" si="43"/>
        <v>ok</v>
      </c>
      <c r="L59" s="89" t="str">
        <f t="shared" si="43"/>
        <v>ok</v>
      </c>
      <c r="M59" s="89" t="str">
        <f t="shared" si="43"/>
        <v>ok</v>
      </c>
      <c r="N59" s="89" t="str">
        <f t="shared" si="43"/>
        <v>ok</v>
      </c>
      <c r="O59" s="89" t="str">
        <f t="shared" si="43"/>
        <v>ok</v>
      </c>
      <c r="P59" s="89" t="str">
        <f t="shared" si="43"/>
        <v>ok</v>
      </c>
      <c r="Q59" s="89" t="str">
        <f t="shared" si="43"/>
        <v>ok</v>
      </c>
      <c r="R59" s="89" t="str">
        <f t="shared" si="43"/>
        <v>ok</v>
      </c>
      <c r="S59" s="75" t="str">
        <f t="shared" si="43"/>
        <v>ok</v>
      </c>
      <c r="T59" s="89" t="str">
        <f t="shared" si="43"/>
        <v>ok</v>
      </c>
      <c r="U59" s="89" t="str">
        <f t="shared" si="43"/>
        <v>ok</v>
      </c>
      <c r="V59" s="89" t="str">
        <f t="shared" si="43"/>
        <v>ok</v>
      </c>
      <c r="W59" s="89" t="str">
        <f t="shared" si="43"/>
        <v>ok</v>
      </c>
      <c r="X59" s="89" t="str">
        <f t="shared" si="43"/>
        <v>ok</v>
      </c>
      <c r="Y59" s="89" t="str">
        <f t="shared" si="43"/>
        <v>ok</v>
      </c>
      <c r="Z59" s="89" t="str">
        <f t="shared" si="43"/>
        <v>ok</v>
      </c>
      <c r="AA59" s="89" t="str">
        <f t="shared" si="43"/>
        <v>ok</v>
      </c>
      <c r="AB59" s="89" t="str">
        <f t="shared" si="43"/>
        <v>ok</v>
      </c>
      <c r="AD59" s="89" t="str">
        <f t="shared" ref="AD59:BI59" si="44">IF(AD6+AD7+AD51=AD52,"ok","エラー")</f>
        <v>ok</v>
      </c>
      <c r="AE59" s="89" t="str">
        <f t="shared" si="44"/>
        <v>ok</v>
      </c>
      <c r="AF59" s="89" t="str">
        <f t="shared" si="44"/>
        <v>ok</v>
      </c>
      <c r="AG59" s="89" t="str">
        <f t="shared" si="44"/>
        <v>ok</v>
      </c>
      <c r="AH59" s="89" t="str">
        <f t="shared" si="44"/>
        <v>ok</v>
      </c>
      <c r="AI59" s="89" t="str">
        <f t="shared" si="44"/>
        <v>ok</v>
      </c>
      <c r="AJ59" s="89" t="str">
        <f t="shared" si="44"/>
        <v>ok</v>
      </c>
      <c r="AK59" s="89" t="str">
        <f t="shared" si="44"/>
        <v>ok</v>
      </c>
      <c r="AL59" s="89" t="str">
        <f t="shared" si="44"/>
        <v>ok</v>
      </c>
      <c r="AM59" s="89" t="str">
        <f t="shared" si="44"/>
        <v>ok</v>
      </c>
      <c r="AN59" s="89" t="str">
        <f t="shared" si="44"/>
        <v>ok</v>
      </c>
      <c r="AO59" s="89" t="str">
        <f t="shared" si="44"/>
        <v>ok</v>
      </c>
      <c r="AP59" s="89" t="str">
        <f t="shared" si="44"/>
        <v>ok</v>
      </c>
      <c r="AQ59" s="89" t="str">
        <f t="shared" si="44"/>
        <v>ok</v>
      </c>
      <c r="AR59" s="89" t="str">
        <f t="shared" si="44"/>
        <v>ok</v>
      </c>
      <c r="AS59" s="89" t="str">
        <f t="shared" si="44"/>
        <v>ok</v>
      </c>
      <c r="AT59" s="89" t="str">
        <f t="shared" si="44"/>
        <v>ok</v>
      </c>
      <c r="AU59" s="89" t="str">
        <f t="shared" si="44"/>
        <v>ok</v>
      </c>
      <c r="AV59" s="89" t="str">
        <f t="shared" si="44"/>
        <v>ok</v>
      </c>
      <c r="AW59" s="89" t="str">
        <f t="shared" si="44"/>
        <v>ok</v>
      </c>
      <c r="AX59" s="89" t="str">
        <f t="shared" si="44"/>
        <v>ok</v>
      </c>
      <c r="AY59" s="89" t="str">
        <f t="shared" si="44"/>
        <v>ok</v>
      </c>
      <c r="AZ59" s="89" t="str">
        <f t="shared" si="44"/>
        <v>ok</v>
      </c>
      <c r="BA59" s="89" t="str">
        <f t="shared" si="44"/>
        <v>ok</v>
      </c>
      <c r="BB59" s="89" t="str">
        <f t="shared" si="44"/>
        <v>ok</v>
      </c>
      <c r="BC59" s="89" t="str">
        <f t="shared" si="44"/>
        <v>ok</v>
      </c>
      <c r="BD59" s="89" t="str">
        <f t="shared" si="44"/>
        <v>ok</v>
      </c>
      <c r="BE59" s="89" t="str">
        <f t="shared" si="44"/>
        <v>ok</v>
      </c>
      <c r="BF59" s="89" t="str">
        <f t="shared" si="44"/>
        <v>ok</v>
      </c>
      <c r="BG59" s="89" t="str">
        <f t="shared" si="44"/>
        <v>ok</v>
      </c>
      <c r="BH59" s="89" t="str">
        <f t="shared" si="44"/>
        <v>ok</v>
      </c>
      <c r="BI59" s="89" t="str">
        <f t="shared" si="44"/>
        <v>ok</v>
      </c>
      <c r="BJ59" s="89" t="str">
        <f t="shared" ref="BJ59:CK59" si="45">IF(BJ6+BJ7+BJ51=BJ52,"ok","エラー")</f>
        <v>ok</v>
      </c>
      <c r="BK59" s="89" t="str">
        <f t="shared" si="45"/>
        <v>ok</v>
      </c>
      <c r="BL59" s="89" t="str">
        <f t="shared" si="45"/>
        <v>ok</v>
      </c>
      <c r="BM59" s="89" t="str">
        <f t="shared" si="45"/>
        <v>ok</v>
      </c>
      <c r="BN59" s="89" t="str">
        <f t="shared" si="45"/>
        <v>ok</v>
      </c>
      <c r="BO59" s="89" t="str">
        <f t="shared" si="45"/>
        <v>ok</v>
      </c>
      <c r="BP59" s="89" t="str">
        <f t="shared" si="45"/>
        <v>ok</v>
      </c>
      <c r="BQ59" s="89" t="str">
        <f t="shared" si="45"/>
        <v>ok</v>
      </c>
      <c r="BR59" s="89" t="str">
        <f t="shared" si="45"/>
        <v>ok</v>
      </c>
      <c r="BS59" s="89" t="str">
        <f t="shared" si="45"/>
        <v>ok</v>
      </c>
      <c r="BT59" s="89" t="str">
        <f t="shared" si="45"/>
        <v>ok</v>
      </c>
      <c r="BU59" s="89" t="str">
        <f t="shared" si="45"/>
        <v>ok</v>
      </c>
      <c r="BV59" s="89" t="str">
        <f t="shared" si="45"/>
        <v>ok</v>
      </c>
      <c r="BW59" s="89" t="str">
        <f t="shared" si="45"/>
        <v>ok</v>
      </c>
      <c r="BX59" s="89" t="str">
        <f t="shared" si="45"/>
        <v>ok</v>
      </c>
      <c r="BY59" s="89" t="str">
        <f t="shared" si="45"/>
        <v>ok</v>
      </c>
      <c r="BZ59" s="89" t="str">
        <f t="shared" si="45"/>
        <v>ok</v>
      </c>
      <c r="CA59" s="89" t="str">
        <f t="shared" si="45"/>
        <v>ok</v>
      </c>
      <c r="CB59" s="89" t="str">
        <f t="shared" si="45"/>
        <v>ok</v>
      </c>
      <c r="CC59" s="89" t="str">
        <f t="shared" si="45"/>
        <v>ok</v>
      </c>
      <c r="CD59" s="89" t="str">
        <f t="shared" si="45"/>
        <v>ok</v>
      </c>
      <c r="CE59" s="89" t="str">
        <f t="shared" si="45"/>
        <v>ok</v>
      </c>
      <c r="CF59" s="89" t="str">
        <f t="shared" si="45"/>
        <v>ok</v>
      </c>
      <c r="CG59" s="89" t="str">
        <f t="shared" si="45"/>
        <v>ok</v>
      </c>
      <c r="CH59" s="89" t="str">
        <f t="shared" si="45"/>
        <v>ok</v>
      </c>
      <c r="CI59" s="89" t="str">
        <f t="shared" si="45"/>
        <v>ok</v>
      </c>
      <c r="CJ59" s="89" t="str">
        <f t="shared" si="45"/>
        <v>ok</v>
      </c>
      <c r="CK59" s="89" t="str">
        <f t="shared" si="45"/>
        <v>ok</v>
      </c>
      <c r="CL59" s="84"/>
      <c r="CM59" s="89" t="str">
        <f t="shared" ref="CM59:DR59" si="46">IF(CM6+CM7+CM51=CM52,"ok","エラー")</f>
        <v>ok</v>
      </c>
      <c r="CN59" s="89" t="str">
        <f t="shared" si="46"/>
        <v>ok</v>
      </c>
      <c r="CO59" s="89" t="str">
        <f t="shared" si="46"/>
        <v>ok</v>
      </c>
      <c r="CP59" s="89" t="str">
        <f t="shared" si="46"/>
        <v>ok</v>
      </c>
      <c r="CQ59" s="89" t="str">
        <f t="shared" si="46"/>
        <v>ok</v>
      </c>
      <c r="CR59" s="89" t="str">
        <f t="shared" si="46"/>
        <v>ok</v>
      </c>
      <c r="CS59" s="89" t="str">
        <f t="shared" si="46"/>
        <v>ok</v>
      </c>
      <c r="CT59" s="89" t="str">
        <f t="shared" si="46"/>
        <v>ok</v>
      </c>
      <c r="CU59" s="89" t="str">
        <f t="shared" si="46"/>
        <v>ok</v>
      </c>
      <c r="CV59" s="89" t="str">
        <f t="shared" si="46"/>
        <v>ok</v>
      </c>
      <c r="CW59" s="89" t="str">
        <f t="shared" si="46"/>
        <v>ok</v>
      </c>
      <c r="CX59" s="89" t="str">
        <f t="shared" si="46"/>
        <v>ok</v>
      </c>
      <c r="CY59" s="89" t="str">
        <f t="shared" si="46"/>
        <v>ok</v>
      </c>
      <c r="CZ59" s="89" t="str">
        <f t="shared" si="46"/>
        <v>ok</v>
      </c>
      <c r="DA59" s="89" t="str">
        <f t="shared" si="46"/>
        <v>ok</v>
      </c>
      <c r="DB59" s="89" t="str">
        <f t="shared" si="46"/>
        <v>ok</v>
      </c>
      <c r="DC59" s="89" t="str">
        <f t="shared" si="46"/>
        <v>ok</v>
      </c>
      <c r="DD59" s="89" t="str">
        <f t="shared" si="46"/>
        <v>ok</v>
      </c>
      <c r="DE59" s="89" t="str">
        <f t="shared" si="46"/>
        <v>ok</v>
      </c>
      <c r="DF59" s="89" t="str">
        <f t="shared" si="46"/>
        <v>ok</v>
      </c>
      <c r="DG59" s="89" t="str">
        <f t="shared" si="46"/>
        <v>ok</v>
      </c>
      <c r="DH59" s="89" t="str">
        <f t="shared" si="46"/>
        <v>ok</v>
      </c>
      <c r="DI59" s="89" t="str">
        <f t="shared" si="46"/>
        <v>ok</v>
      </c>
      <c r="DJ59" s="89" t="str">
        <f t="shared" si="46"/>
        <v>ok</v>
      </c>
      <c r="DK59" s="89" t="str">
        <f t="shared" si="46"/>
        <v>ok</v>
      </c>
      <c r="DL59" s="89" t="str">
        <f t="shared" si="46"/>
        <v>ok</v>
      </c>
      <c r="DM59" s="89" t="str">
        <f t="shared" si="46"/>
        <v>ok</v>
      </c>
      <c r="DN59" s="89" t="str">
        <f t="shared" si="46"/>
        <v>ok</v>
      </c>
      <c r="DO59" s="89" t="str">
        <f t="shared" si="46"/>
        <v>ok</v>
      </c>
      <c r="DP59" s="89" t="str">
        <f t="shared" si="46"/>
        <v>ok</v>
      </c>
      <c r="DQ59" s="89" t="str">
        <f t="shared" si="46"/>
        <v>ok</v>
      </c>
      <c r="DR59" s="89" t="str">
        <f t="shared" si="46"/>
        <v>ok</v>
      </c>
      <c r="DS59" s="89" t="str">
        <f t="shared" ref="DS59:EX59" si="47">IF(DS6+DS7+DS51=DS52,"ok","エラー")</f>
        <v>ok</v>
      </c>
      <c r="DT59" s="89" t="str">
        <f t="shared" si="47"/>
        <v>ok</v>
      </c>
      <c r="DU59" s="89" t="str">
        <f t="shared" si="47"/>
        <v>ok</v>
      </c>
      <c r="DV59" s="89" t="str">
        <f t="shared" si="47"/>
        <v>ok</v>
      </c>
      <c r="DW59" s="89" t="str">
        <f t="shared" si="47"/>
        <v>ok</v>
      </c>
      <c r="DX59" s="89" t="str">
        <f t="shared" si="47"/>
        <v>ok</v>
      </c>
      <c r="DY59" s="89" t="str">
        <f t="shared" si="47"/>
        <v>ok</v>
      </c>
      <c r="DZ59" s="89" t="str">
        <f t="shared" si="47"/>
        <v>ok</v>
      </c>
      <c r="EA59" s="89" t="str">
        <f t="shared" si="47"/>
        <v>ok</v>
      </c>
      <c r="EB59" s="89" t="str">
        <f t="shared" si="47"/>
        <v>ok</v>
      </c>
      <c r="EC59" s="89" t="str">
        <f t="shared" si="47"/>
        <v>ok</v>
      </c>
      <c r="ED59" s="89" t="str">
        <f t="shared" si="47"/>
        <v>ok</v>
      </c>
      <c r="EE59" s="89" t="str">
        <f t="shared" si="47"/>
        <v>ok</v>
      </c>
      <c r="EF59" s="89" t="str">
        <f t="shared" si="47"/>
        <v>ok</v>
      </c>
      <c r="EG59" s="89" t="str">
        <f t="shared" si="47"/>
        <v>ok</v>
      </c>
      <c r="EH59" s="89" t="str">
        <f t="shared" si="47"/>
        <v>ok</v>
      </c>
      <c r="EI59" s="89" t="str">
        <f t="shared" si="47"/>
        <v>ok</v>
      </c>
      <c r="EJ59" s="89" t="str">
        <f t="shared" si="47"/>
        <v>ok</v>
      </c>
      <c r="EK59" s="89" t="str">
        <f t="shared" si="47"/>
        <v>ok</v>
      </c>
      <c r="EL59" s="89" t="str">
        <f t="shared" si="47"/>
        <v>ok</v>
      </c>
      <c r="EM59" s="89" t="str">
        <f t="shared" si="47"/>
        <v>ok</v>
      </c>
      <c r="EN59" s="89" t="str">
        <f t="shared" si="47"/>
        <v>ok</v>
      </c>
      <c r="EO59" s="89" t="str">
        <f t="shared" si="47"/>
        <v>ok</v>
      </c>
      <c r="EP59" s="89" t="str">
        <f t="shared" si="47"/>
        <v>ok</v>
      </c>
      <c r="EQ59" s="89" t="str">
        <f t="shared" si="47"/>
        <v>ok</v>
      </c>
      <c r="ER59" s="89" t="str">
        <f t="shared" si="47"/>
        <v>ok</v>
      </c>
      <c r="ES59" s="89" t="str">
        <f t="shared" si="47"/>
        <v>ok</v>
      </c>
      <c r="ET59" s="89" t="str">
        <f t="shared" si="47"/>
        <v>ok</v>
      </c>
      <c r="EU59" s="89" t="str">
        <f t="shared" si="47"/>
        <v>ok</v>
      </c>
      <c r="EV59" s="89" t="str">
        <f t="shared" si="47"/>
        <v>ok</v>
      </c>
      <c r="EW59" s="89" t="str">
        <f t="shared" si="47"/>
        <v>ok</v>
      </c>
      <c r="EX59" s="89" t="str">
        <f t="shared" si="47"/>
        <v>ok</v>
      </c>
      <c r="EY59" s="89" t="str">
        <f t="shared" ref="EY59:FJ59" si="48">IF(EY6+EY7+EY51=EY52,"ok","エラー")</f>
        <v>ok</v>
      </c>
      <c r="EZ59" s="89" t="str">
        <f t="shared" si="48"/>
        <v>ok</v>
      </c>
      <c r="FA59" s="89" t="str">
        <f t="shared" si="48"/>
        <v>ok</v>
      </c>
      <c r="FB59" s="89" t="str">
        <f t="shared" si="48"/>
        <v>ok</v>
      </c>
      <c r="FC59" s="89" t="str">
        <f t="shared" si="48"/>
        <v>ok</v>
      </c>
      <c r="FD59" s="89" t="str">
        <f t="shared" si="48"/>
        <v>ok</v>
      </c>
      <c r="FE59" s="89" t="str">
        <f t="shared" si="48"/>
        <v>ok</v>
      </c>
      <c r="FF59" s="89" t="str">
        <f t="shared" si="48"/>
        <v>ok</v>
      </c>
      <c r="FG59" s="89" t="str">
        <f t="shared" si="48"/>
        <v>ok</v>
      </c>
      <c r="FH59" s="89" t="str">
        <f t="shared" si="48"/>
        <v>ok</v>
      </c>
      <c r="FI59" s="89" t="str">
        <f t="shared" si="48"/>
        <v>ok</v>
      </c>
      <c r="FJ59" s="89" t="str">
        <f t="shared" si="48"/>
        <v>ok</v>
      </c>
      <c r="FL59" s="89" t="str">
        <f>IF(FL6+FL7+FL51=FL52,"ok","エラー")</f>
        <v>ok</v>
      </c>
      <c r="FM59" s="89" t="str">
        <f>IF(FM6+FM7+FM51=FM52,"ok","エラー")</f>
        <v>ok</v>
      </c>
      <c r="FN59" s="89" t="str">
        <f>IF(FN6+FN7+FN51=FN52,"ok","エラー")</f>
        <v>ok</v>
      </c>
      <c r="FO59" s="89" t="str">
        <f>IF(FO6+FO7+FO51=FO52,"ok","エラー")</f>
        <v>ok</v>
      </c>
      <c r="FY59" s="89" t="str">
        <f>IF(FY6+FY7+FY51=FY52,"ok","エラー")</f>
        <v>ok</v>
      </c>
      <c r="GA59" s="89" t="str">
        <f>IF(GA6+GA7+GA51=GA52,"ok","エラー")</f>
        <v>ok</v>
      </c>
      <c r="GB59" s="89" t="str">
        <f>IF(GB6+GB7+GB51=GB52,"ok","エラー")</f>
        <v>ok</v>
      </c>
      <c r="GC59" s="89" t="str">
        <f>IF(GC6+GC7+GC51=GC52,"ok","エラー")</f>
        <v>ok</v>
      </c>
      <c r="GD59" s="89" t="str">
        <f>IF(GD6+GD7+GD51=GD52,"ok","エラー")</f>
        <v>ok</v>
      </c>
      <c r="GE59" s="89" t="str">
        <f>IF(GE6+GE7+GE51=GE52,"ok","エラー")</f>
        <v>ok</v>
      </c>
      <c r="GF59" s="89" t="str">
        <f>IF(GF40+GF51=GF52,"ok","エラー")</f>
        <v>ok</v>
      </c>
      <c r="GK59" s="89" t="str">
        <f>IF(GK6+GK7+GK51=GK52,"ok","エラー")</f>
        <v>ok</v>
      </c>
    </row>
    <row r="66" spans="145:146" x14ac:dyDescent="0.15">
      <c r="EO66" s="421"/>
      <c r="EP66" s="422"/>
    </row>
    <row r="67" spans="145:146" x14ac:dyDescent="0.15">
      <c r="EO67" s="421"/>
      <c r="EP67" s="422"/>
    </row>
    <row r="68" spans="145:146" x14ac:dyDescent="0.15">
      <c r="EO68" s="421"/>
      <c r="EP68" s="422"/>
    </row>
    <row r="69" spans="145:146" x14ac:dyDescent="0.15">
      <c r="EO69" s="421"/>
      <c r="EP69" s="422"/>
    </row>
    <row r="70" spans="145:146" x14ac:dyDescent="0.15">
      <c r="EO70" s="421"/>
      <c r="EP70" s="422"/>
    </row>
    <row r="71" spans="145:146" x14ac:dyDescent="0.15">
      <c r="EO71" s="421"/>
      <c r="EP71" s="422"/>
    </row>
    <row r="72" spans="145:146" x14ac:dyDescent="0.15">
      <c r="EO72" s="421"/>
      <c r="EP72" s="422"/>
    </row>
    <row r="73" spans="145:146" x14ac:dyDescent="0.15">
      <c r="EO73" s="421"/>
      <c r="EP73" s="422"/>
    </row>
    <row r="74" spans="145:146" x14ac:dyDescent="0.15">
      <c r="EO74" s="421"/>
      <c r="EP74" s="422"/>
    </row>
    <row r="75" spans="145:146" x14ac:dyDescent="0.15">
      <c r="EO75" s="421"/>
      <c r="EP75" s="422"/>
    </row>
    <row r="76" spans="145:146" x14ac:dyDescent="0.15">
      <c r="EO76" s="421"/>
      <c r="EP76" s="422"/>
    </row>
    <row r="77" spans="145:146" x14ac:dyDescent="0.15">
      <c r="EO77" s="421"/>
      <c r="EP77" s="422"/>
    </row>
    <row r="78" spans="145:146" x14ac:dyDescent="0.15">
      <c r="EO78" s="421"/>
      <c r="EP78" s="422"/>
    </row>
    <row r="79" spans="145:146" x14ac:dyDescent="0.15">
      <c r="EO79" s="421"/>
      <c r="EP79" s="422"/>
    </row>
    <row r="80" spans="145:146" x14ac:dyDescent="0.15">
      <c r="EO80" s="421"/>
      <c r="EP80" s="422"/>
    </row>
    <row r="81" spans="145:146" x14ac:dyDescent="0.15">
      <c r="EO81" s="421"/>
      <c r="EP81" s="422"/>
    </row>
    <row r="82" spans="145:146" x14ac:dyDescent="0.15">
      <c r="EO82" s="421"/>
      <c r="EP82" s="422"/>
    </row>
    <row r="83" spans="145:146" x14ac:dyDescent="0.15">
      <c r="EO83" s="421"/>
      <c r="EP83" s="422"/>
    </row>
    <row r="84" spans="145:146" x14ac:dyDescent="0.15">
      <c r="EO84" s="421"/>
      <c r="EP84" s="422"/>
    </row>
    <row r="85" spans="145:146" x14ac:dyDescent="0.15">
      <c r="EO85" s="421"/>
      <c r="EP85" s="422"/>
    </row>
    <row r="86" spans="145:146" x14ac:dyDescent="0.15">
      <c r="EO86" s="421"/>
      <c r="EP86" s="422"/>
    </row>
    <row r="87" spans="145:146" x14ac:dyDescent="0.15">
      <c r="EO87" s="421"/>
      <c r="EP87" s="422"/>
    </row>
    <row r="88" spans="145:146" x14ac:dyDescent="0.15">
      <c r="EO88" s="421"/>
      <c r="EP88" s="422"/>
    </row>
    <row r="89" spans="145:146" x14ac:dyDescent="0.15">
      <c r="EO89" s="421"/>
      <c r="EP89" s="422"/>
    </row>
    <row r="90" spans="145:146" x14ac:dyDescent="0.15">
      <c r="EO90" s="421"/>
      <c r="EP90" s="422"/>
    </row>
    <row r="91" spans="145:146" x14ac:dyDescent="0.15">
      <c r="EO91" s="421"/>
      <c r="EP91" s="422"/>
    </row>
    <row r="92" spans="145:146" x14ac:dyDescent="0.15">
      <c r="EO92" s="421"/>
      <c r="EP92" s="422"/>
    </row>
    <row r="93" spans="145:146" x14ac:dyDescent="0.15">
      <c r="EO93" s="421"/>
      <c r="EP93" s="422"/>
    </row>
    <row r="94" spans="145:146" x14ac:dyDescent="0.15">
      <c r="EO94" s="421"/>
      <c r="EP94" s="422"/>
    </row>
    <row r="95" spans="145:146" x14ac:dyDescent="0.15">
      <c r="EO95" s="421"/>
      <c r="EP95" s="422"/>
    </row>
    <row r="96" spans="145:146" x14ac:dyDescent="0.15">
      <c r="EO96" s="421"/>
      <c r="EP96" s="422"/>
    </row>
    <row r="97" spans="145:146" x14ac:dyDescent="0.15">
      <c r="EO97" s="421"/>
      <c r="EP97" s="422"/>
    </row>
    <row r="98" spans="145:146" x14ac:dyDescent="0.15">
      <c r="EO98" s="421"/>
      <c r="EP98" s="422"/>
    </row>
    <row r="99" spans="145:146" x14ac:dyDescent="0.15">
      <c r="EO99" s="421"/>
      <c r="EP99" s="422"/>
    </row>
    <row r="100" spans="145:146" x14ac:dyDescent="0.15">
      <c r="EO100" s="421"/>
      <c r="EP100" s="422"/>
    </row>
    <row r="101" spans="145:146" x14ac:dyDescent="0.15">
      <c r="EO101" s="421"/>
      <c r="EP101" s="422"/>
    </row>
    <row r="102" spans="145:146" x14ac:dyDescent="0.15">
      <c r="EO102" s="421"/>
      <c r="EP102" s="422"/>
    </row>
    <row r="103" spans="145:146" x14ac:dyDescent="0.15">
      <c r="EO103" s="421"/>
      <c r="EP103" s="422"/>
    </row>
    <row r="104" spans="145:146" x14ac:dyDescent="0.15">
      <c r="EO104" s="421"/>
      <c r="EP104" s="422"/>
    </row>
    <row r="105" spans="145:146" x14ac:dyDescent="0.15">
      <c r="EO105" s="421"/>
      <c r="EP105" s="422"/>
    </row>
    <row r="106" spans="145:146" x14ac:dyDescent="0.15">
      <c r="EO106" s="421"/>
      <c r="EP106" s="422"/>
    </row>
  </sheetData>
  <mergeCells count="3">
    <mergeCell ref="GH2:GJ2"/>
    <mergeCell ref="FQ2:FW2"/>
    <mergeCell ref="GL2:GV2"/>
  </mergeCells>
  <phoneticPr fontId="3"/>
  <pageMargins left="0.59055118110236227" right="0.59055118110236227" top="0.98425196850393704" bottom="0.98425196850393704" header="0.51181102362204722" footer="0.51181102362204722"/>
  <pageSetup paperSize="9" fitToWidth="0" orientation="portrait" r:id="rId1"/>
  <colBreaks count="1" manualBreakCount="1">
    <brk id="189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7">
    <tabColor indexed="15"/>
    <pageSetUpPr fitToPage="1"/>
  </sheetPr>
  <dimension ref="A1:HX106"/>
  <sheetViews>
    <sheetView view="pageBreakPreview" zoomScaleNormal="90" zoomScaleSheetLayoutView="100" workbookViewId="0">
      <pane xSplit="2" ySplit="5" topLeftCell="BM6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5" width="13.6640625" style="174" customWidth="1"/>
    <col min="76" max="76" width="5.6640625" style="174" customWidth="1"/>
    <col min="77" max="136" width="13.6640625" style="174" customWidth="1"/>
    <col min="137" max="137" width="13.109375" style="174" customWidth="1"/>
    <col min="138" max="142" width="13.6640625" style="174" customWidth="1"/>
    <col min="143" max="143" width="3.6640625" style="174" customWidth="1"/>
    <col min="144" max="166" width="13.6640625" style="174" customWidth="1"/>
    <col min="167" max="167" width="12.33203125" style="174" bestFit="1" customWidth="1"/>
    <col min="168" max="171" width="13.6640625" style="174" customWidth="1"/>
    <col min="172" max="172" width="10.6640625" style="174" customWidth="1"/>
    <col min="173" max="179" width="8.6640625" style="174" customWidth="1"/>
    <col min="180" max="180" width="10.6640625" style="174" customWidth="1"/>
    <col min="181" max="181" width="13.6640625" style="174" customWidth="1"/>
    <col min="182" max="182" width="10.6640625" style="174" customWidth="1"/>
    <col min="183" max="188" width="13.6640625" style="174" customWidth="1"/>
    <col min="189" max="189" width="10.6640625" style="174" customWidth="1"/>
    <col min="190" max="192" width="9.6640625" style="174" customWidth="1"/>
    <col min="193" max="193" width="10.6640625" style="62" customWidth="1"/>
    <col min="194" max="194" width="8.5546875" style="174" bestFit="1" customWidth="1"/>
    <col min="195" max="195" width="10.33203125" style="174" bestFit="1" customWidth="1"/>
    <col min="196" max="196" width="8.5546875" style="174" bestFit="1" customWidth="1"/>
    <col min="197" max="197" width="9.6640625" style="174" bestFit="1" customWidth="1"/>
    <col min="198" max="198" width="10.33203125" style="174" bestFit="1" customWidth="1"/>
    <col min="199" max="199" width="8.5546875" style="174" bestFit="1" customWidth="1"/>
    <col min="200" max="200" width="11.88671875" style="174" bestFit="1" customWidth="1"/>
    <col min="201" max="201" width="10.33203125" style="174" bestFit="1" customWidth="1"/>
    <col min="202" max="202" width="8.5546875" style="174" bestFit="1" customWidth="1"/>
    <col min="203" max="203" width="9.6640625" style="174" bestFit="1" customWidth="1"/>
    <col min="204" max="204" width="10.33203125" style="174" bestFit="1" customWidth="1"/>
    <col min="205" max="232" width="13.6640625" style="174" customWidth="1"/>
  </cols>
  <sheetData>
    <row r="1" spans="2:232" x14ac:dyDescent="0.15">
      <c r="B1" s="98">
        <v>1</v>
      </c>
      <c r="C1" s="98">
        <v>2</v>
      </c>
      <c r="D1" s="98">
        <v>3</v>
      </c>
      <c r="E1" s="98">
        <v>4</v>
      </c>
      <c r="F1" s="98">
        <v>5</v>
      </c>
      <c r="G1" s="98">
        <v>6</v>
      </c>
      <c r="H1" s="98">
        <v>7</v>
      </c>
      <c r="I1" s="98">
        <v>8</v>
      </c>
      <c r="J1" s="98">
        <v>9</v>
      </c>
      <c r="K1" s="98">
        <v>10</v>
      </c>
      <c r="L1" s="98">
        <v>11</v>
      </c>
      <c r="M1" s="98">
        <v>12</v>
      </c>
      <c r="N1" s="98">
        <v>13</v>
      </c>
      <c r="O1" s="98">
        <v>14</v>
      </c>
      <c r="P1" s="98">
        <v>15</v>
      </c>
      <c r="Q1" s="98">
        <v>16</v>
      </c>
      <c r="R1" s="98">
        <v>17</v>
      </c>
      <c r="S1" s="98">
        <v>18</v>
      </c>
      <c r="T1" s="98">
        <v>19</v>
      </c>
      <c r="U1" s="98">
        <v>20</v>
      </c>
      <c r="V1" s="98">
        <v>21</v>
      </c>
      <c r="W1" s="98">
        <v>22</v>
      </c>
      <c r="X1" s="98">
        <v>23</v>
      </c>
      <c r="Y1" s="98">
        <v>24</v>
      </c>
      <c r="Z1" s="98">
        <v>25</v>
      </c>
      <c r="AA1" s="98">
        <v>26</v>
      </c>
      <c r="AB1" s="98">
        <v>27</v>
      </c>
      <c r="AC1" s="98">
        <v>28</v>
      </c>
      <c r="AD1" s="98">
        <v>29</v>
      </c>
      <c r="AE1" s="98">
        <v>30</v>
      </c>
      <c r="AF1" s="98">
        <v>31</v>
      </c>
      <c r="AG1" s="98">
        <v>32</v>
      </c>
      <c r="AH1" s="98">
        <v>33</v>
      </c>
      <c r="AI1" s="98">
        <v>34</v>
      </c>
      <c r="AJ1" s="98">
        <v>35</v>
      </c>
      <c r="AK1" s="98">
        <v>36</v>
      </c>
      <c r="AL1" s="98">
        <v>37</v>
      </c>
      <c r="AM1" s="98">
        <v>38</v>
      </c>
      <c r="AN1" s="98">
        <v>39</v>
      </c>
      <c r="AO1" s="98">
        <v>40</v>
      </c>
      <c r="AP1" s="98">
        <v>41</v>
      </c>
      <c r="AQ1" s="98">
        <v>42</v>
      </c>
      <c r="AR1" s="98">
        <v>43</v>
      </c>
      <c r="AS1" s="98">
        <v>44</v>
      </c>
      <c r="AT1" s="98">
        <v>45</v>
      </c>
      <c r="AU1" s="98">
        <v>46</v>
      </c>
      <c r="AV1" s="98">
        <v>47</v>
      </c>
      <c r="AW1" s="98">
        <v>48</v>
      </c>
      <c r="AX1" s="98">
        <v>49</v>
      </c>
      <c r="AY1" s="98">
        <v>50</v>
      </c>
      <c r="AZ1" s="98">
        <v>51</v>
      </c>
      <c r="BA1" s="98">
        <v>52</v>
      </c>
      <c r="BB1" s="98">
        <v>53</v>
      </c>
      <c r="BC1" s="98">
        <v>54</v>
      </c>
      <c r="BD1" s="98">
        <v>55</v>
      </c>
      <c r="BE1" s="98">
        <v>56</v>
      </c>
      <c r="BF1" s="98">
        <v>57</v>
      </c>
      <c r="BG1" s="98">
        <v>58</v>
      </c>
      <c r="BH1" s="98">
        <v>59</v>
      </c>
      <c r="BI1" s="98">
        <v>60</v>
      </c>
      <c r="BJ1" s="98">
        <v>61</v>
      </c>
      <c r="BK1" s="98">
        <v>62</v>
      </c>
      <c r="BL1" s="98">
        <v>63</v>
      </c>
      <c r="BM1" s="98">
        <v>64</v>
      </c>
      <c r="BN1" s="98">
        <v>65</v>
      </c>
      <c r="BO1" s="98">
        <v>66</v>
      </c>
      <c r="BP1" s="98">
        <v>67</v>
      </c>
      <c r="BQ1" s="98">
        <v>68</v>
      </c>
      <c r="BR1" s="98">
        <v>69</v>
      </c>
      <c r="BS1" s="98">
        <v>70</v>
      </c>
      <c r="BT1" s="98">
        <v>71</v>
      </c>
      <c r="BU1" s="98">
        <v>72</v>
      </c>
      <c r="BV1" s="98">
        <v>73</v>
      </c>
      <c r="BW1" s="98">
        <v>74</v>
      </c>
      <c r="BX1" s="98">
        <v>75</v>
      </c>
      <c r="BY1" s="98">
        <v>76</v>
      </c>
      <c r="BZ1" s="98">
        <v>77</v>
      </c>
      <c r="CA1" s="98">
        <v>78</v>
      </c>
      <c r="CB1" s="98">
        <v>79</v>
      </c>
      <c r="CC1" s="98">
        <v>80</v>
      </c>
      <c r="CD1" s="98">
        <v>81</v>
      </c>
      <c r="CE1" s="98">
        <v>82</v>
      </c>
      <c r="CF1" s="98">
        <v>83</v>
      </c>
      <c r="CG1" s="98">
        <v>84</v>
      </c>
      <c r="CH1" s="98">
        <v>85</v>
      </c>
      <c r="CI1" s="98">
        <v>86</v>
      </c>
      <c r="CJ1" s="98">
        <v>87</v>
      </c>
      <c r="CK1" s="98">
        <v>88</v>
      </c>
      <c r="CL1" s="98">
        <v>89</v>
      </c>
      <c r="CM1" s="98">
        <v>90</v>
      </c>
      <c r="CN1" s="98">
        <v>91</v>
      </c>
      <c r="CO1" s="98">
        <v>92</v>
      </c>
      <c r="CP1" s="98">
        <v>93</v>
      </c>
      <c r="CQ1" s="98">
        <v>94</v>
      </c>
      <c r="CR1" s="98">
        <v>95</v>
      </c>
      <c r="CS1" s="98">
        <v>96</v>
      </c>
      <c r="CT1" s="98">
        <v>97</v>
      </c>
      <c r="CU1" s="98">
        <v>98</v>
      </c>
      <c r="CV1" s="98">
        <v>99</v>
      </c>
      <c r="CW1" s="98">
        <v>100</v>
      </c>
      <c r="CX1" s="98">
        <v>101</v>
      </c>
      <c r="CY1" s="98">
        <v>102</v>
      </c>
      <c r="CZ1" s="98">
        <v>103</v>
      </c>
      <c r="DA1" s="98">
        <v>104</v>
      </c>
      <c r="DB1" s="98">
        <v>105</v>
      </c>
      <c r="DC1" s="98">
        <v>106</v>
      </c>
      <c r="DD1" s="98">
        <v>107</v>
      </c>
      <c r="DE1" s="98">
        <v>108</v>
      </c>
      <c r="DF1" s="98">
        <v>109</v>
      </c>
      <c r="DG1" s="98">
        <v>110</v>
      </c>
      <c r="DH1" s="98">
        <v>111</v>
      </c>
      <c r="DI1" s="98">
        <v>112</v>
      </c>
      <c r="DJ1" s="98">
        <v>113</v>
      </c>
      <c r="DK1" s="98">
        <v>114</v>
      </c>
      <c r="DL1" s="98">
        <v>115</v>
      </c>
      <c r="DM1" s="98">
        <v>116</v>
      </c>
      <c r="DN1" s="98">
        <v>117</v>
      </c>
      <c r="DO1" s="98">
        <v>118</v>
      </c>
      <c r="DP1" s="98">
        <v>119</v>
      </c>
      <c r="DQ1" s="98">
        <v>120</v>
      </c>
      <c r="DR1" s="98">
        <v>121</v>
      </c>
      <c r="DS1" s="98">
        <v>122</v>
      </c>
      <c r="DT1" s="98">
        <v>123</v>
      </c>
      <c r="DU1" s="98">
        <v>124</v>
      </c>
      <c r="DV1" s="98">
        <v>125</v>
      </c>
      <c r="DW1" s="98">
        <v>126</v>
      </c>
      <c r="DX1" s="98">
        <v>127</v>
      </c>
      <c r="DY1" s="98">
        <v>128</v>
      </c>
      <c r="DZ1" s="98">
        <v>129</v>
      </c>
      <c r="EA1" s="98">
        <v>130</v>
      </c>
      <c r="EB1" s="98">
        <v>131</v>
      </c>
      <c r="EC1" s="98">
        <v>132</v>
      </c>
      <c r="ED1" s="98">
        <v>133</v>
      </c>
      <c r="EE1" s="98">
        <v>134</v>
      </c>
      <c r="EF1" s="98">
        <v>135</v>
      </c>
      <c r="EG1" s="98">
        <v>136</v>
      </c>
      <c r="EH1" s="98">
        <v>137</v>
      </c>
      <c r="EI1" s="98">
        <v>138</v>
      </c>
      <c r="EJ1" s="98">
        <v>139</v>
      </c>
      <c r="EK1" s="98">
        <v>140</v>
      </c>
      <c r="EL1" s="98">
        <v>141</v>
      </c>
      <c r="EM1" s="98">
        <v>142</v>
      </c>
      <c r="EN1" s="98">
        <v>143</v>
      </c>
      <c r="EO1" s="98">
        <v>144</v>
      </c>
      <c r="EP1" s="98">
        <v>145</v>
      </c>
      <c r="EQ1" s="98">
        <v>146</v>
      </c>
      <c r="ER1" s="98">
        <v>147</v>
      </c>
      <c r="ES1" s="98">
        <v>148</v>
      </c>
      <c r="ET1" s="98">
        <v>149</v>
      </c>
      <c r="EU1" s="98">
        <v>150</v>
      </c>
      <c r="EV1" s="98">
        <v>151</v>
      </c>
      <c r="EW1" s="98">
        <v>152</v>
      </c>
      <c r="EX1" s="98">
        <v>153</v>
      </c>
      <c r="EY1" s="98">
        <v>154</v>
      </c>
      <c r="EZ1" s="98">
        <v>155</v>
      </c>
      <c r="FA1" s="98">
        <v>156</v>
      </c>
      <c r="FB1" s="98">
        <v>157</v>
      </c>
      <c r="FC1" s="98">
        <v>158</v>
      </c>
      <c r="FD1" s="98">
        <v>159</v>
      </c>
      <c r="FE1" s="98">
        <v>160</v>
      </c>
      <c r="FF1" s="98">
        <v>161</v>
      </c>
      <c r="FG1" s="98">
        <v>162</v>
      </c>
      <c r="FH1" s="98">
        <v>163</v>
      </c>
      <c r="FI1" s="98">
        <v>164</v>
      </c>
      <c r="FJ1" s="98">
        <v>165</v>
      </c>
      <c r="FK1" s="98">
        <v>166</v>
      </c>
      <c r="FL1" s="98">
        <v>167</v>
      </c>
      <c r="FM1" s="98">
        <v>168</v>
      </c>
      <c r="FN1" s="98">
        <v>169</v>
      </c>
      <c r="FO1" s="98">
        <v>170</v>
      </c>
      <c r="FP1" s="98">
        <v>171</v>
      </c>
      <c r="FQ1" s="98">
        <v>172</v>
      </c>
      <c r="FR1" s="98">
        <v>173</v>
      </c>
      <c r="FS1" s="98">
        <v>174</v>
      </c>
      <c r="FT1" s="98">
        <v>175</v>
      </c>
      <c r="FU1" s="98">
        <v>176</v>
      </c>
      <c r="FV1" s="98">
        <v>177</v>
      </c>
      <c r="FW1" s="98">
        <v>178</v>
      </c>
      <c r="FX1" s="98">
        <v>179</v>
      </c>
      <c r="FY1" s="98">
        <v>180</v>
      </c>
      <c r="FZ1" s="98">
        <v>181</v>
      </c>
      <c r="GA1" s="98">
        <v>182</v>
      </c>
      <c r="GB1" s="98">
        <v>183</v>
      </c>
      <c r="GC1" s="98">
        <v>184</v>
      </c>
      <c r="GD1" s="98">
        <v>185</v>
      </c>
      <c r="GE1" s="98">
        <v>186</v>
      </c>
      <c r="GF1" s="98">
        <v>187</v>
      </c>
      <c r="GG1" s="98">
        <v>188</v>
      </c>
      <c r="GH1" s="98">
        <v>189</v>
      </c>
      <c r="GI1" s="98">
        <v>190</v>
      </c>
      <c r="GJ1" s="98">
        <v>191</v>
      </c>
      <c r="GK1" s="98">
        <v>192</v>
      </c>
      <c r="GL1" s="98">
        <v>193</v>
      </c>
      <c r="GM1" s="98">
        <v>194</v>
      </c>
      <c r="GN1" s="98">
        <v>195</v>
      </c>
      <c r="GO1" s="98">
        <v>196</v>
      </c>
      <c r="GP1" s="98">
        <v>197</v>
      </c>
      <c r="GQ1" s="98">
        <v>198</v>
      </c>
      <c r="GR1" s="98">
        <v>199</v>
      </c>
      <c r="GS1" s="98">
        <v>200</v>
      </c>
      <c r="GT1" s="98">
        <v>201</v>
      </c>
      <c r="GU1" s="98">
        <v>202</v>
      </c>
      <c r="GV1" s="98">
        <v>203</v>
      </c>
    </row>
    <row r="2" spans="2:232" x14ac:dyDescent="0.15">
      <c r="C2" s="131" t="s">
        <v>338</v>
      </c>
      <c r="D2" s="94"/>
      <c r="E2" s="131" t="s">
        <v>339</v>
      </c>
      <c r="F2" s="131" t="s">
        <v>340</v>
      </c>
      <c r="G2" s="94"/>
      <c r="H2" s="131" t="s">
        <v>341</v>
      </c>
      <c r="I2" s="131" t="s">
        <v>342</v>
      </c>
      <c r="J2" s="131" t="s">
        <v>343</v>
      </c>
      <c r="K2" s="131" t="s">
        <v>344</v>
      </c>
      <c r="L2" s="131" t="s">
        <v>345</v>
      </c>
      <c r="M2" s="131" t="s">
        <v>346</v>
      </c>
      <c r="N2" s="131" t="s">
        <v>347</v>
      </c>
      <c r="O2" s="131" t="s">
        <v>348</v>
      </c>
      <c r="P2" s="131" t="s">
        <v>349</v>
      </c>
      <c r="Q2" s="131" t="s">
        <v>350</v>
      </c>
      <c r="R2" s="131" t="s">
        <v>351</v>
      </c>
      <c r="S2" s="93" t="s">
        <v>352</v>
      </c>
      <c r="T2" s="95"/>
      <c r="U2" s="131" t="s">
        <v>354</v>
      </c>
      <c r="V2" s="131" t="s">
        <v>355</v>
      </c>
      <c r="W2" s="131" t="s">
        <v>664</v>
      </c>
      <c r="X2" s="131" t="s">
        <v>357</v>
      </c>
      <c r="Y2" s="131" t="s">
        <v>653</v>
      </c>
      <c r="Z2" s="131" t="s">
        <v>358</v>
      </c>
      <c r="AA2" s="131" t="s">
        <v>359</v>
      </c>
      <c r="AB2" s="131" t="s">
        <v>361</v>
      </c>
      <c r="AC2" s="131" t="s">
        <v>654</v>
      </c>
      <c r="AD2" s="131" t="s">
        <v>665</v>
      </c>
      <c r="AE2" s="131" t="s">
        <v>666</v>
      </c>
      <c r="AF2" s="131" t="s">
        <v>365</v>
      </c>
      <c r="AG2" s="131" t="s">
        <v>366</v>
      </c>
      <c r="AH2" s="131" t="s">
        <v>667</v>
      </c>
      <c r="AI2" s="131" t="s">
        <v>668</v>
      </c>
      <c r="AJ2" s="89"/>
      <c r="AK2" s="131" t="s">
        <v>669</v>
      </c>
      <c r="AL2" s="131" t="s">
        <v>369</v>
      </c>
      <c r="AM2" s="131" t="s">
        <v>371</v>
      </c>
      <c r="AN2" s="29"/>
      <c r="AO2" s="131" t="s">
        <v>670</v>
      </c>
      <c r="AP2" s="131" t="s">
        <v>671</v>
      </c>
      <c r="AQ2" s="96" t="s">
        <v>352</v>
      </c>
      <c r="AR2" s="131" t="s">
        <v>373</v>
      </c>
      <c r="AS2" s="131" t="s">
        <v>672</v>
      </c>
      <c r="AT2" s="131" t="s">
        <v>673</v>
      </c>
      <c r="AU2" s="131" t="s">
        <v>678</v>
      </c>
      <c r="AV2" s="131" t="s">
        <v>376</v>
      </c>
      <c r="AW2" s="131" t="s">
        <v>377</v>
      </c>
      <c r="AX2" s="131" t="s">
        <v>378</v>
      </c>
      <c r="AY2" s="131" t="s">
        <v>379</v>
      </c>
      <c r="AZ2" s="131" t="s">
        <v>380</v>
      </c>
      <c r="BA2" s="131" t="s">
        <v>381</v>
      </c>
      <c r="BB2" s="131" t="s">
        <v>382</v>
      </c>
      <c r="BC2" s="131" t="s">
        <v>383</v>
      </c>
      <c r="BD2" s="131" t="s">
        <v>384</v>
      </c>
      <c r="BE2" s="131" t="s">
        <v>385</v>
      </c>
      <c r="BF2" s="131" t="s">
        <v>386</v>
      </c>
      <c r="BG2" s="131" t="s">
        <v>387</v>
      </c>
      <c r="BH2" s="131" t="s">
        <v>388</v>
      </c>
      <c r="BI2" s="131" t="s">
        <v>389</v>
      </c>
      <c r="BJ2" s="131" t="s">
        <v>390</v>
      </c>
      <c r="BK2" s="131" t="s">
        <v>391</v>
      </c>
      <c r="BL2" s="131" t="s">
        <v>392</v>
      </c>
      <c r="BM2" s="131" t="s">
        <v>393</v>
      </c>
      <c r="BN2" s="131" t="s">
        <v>394</v>
      </c>
      <c r="BO2" s="131" t="s">
        <v>395</v>
      </c>
      <c r="BP2" s="131" t="s">
        <v>396</v>
      </c>
      <c r="BQ2" s="132"/>
      <c r="BR2" s="132"/>
      <c r="BS2" s="131" t="s">
        <v>679</v>
      </c>
      <c r="BT2" s="131" t="s">
        <v>399</v>
      </c>
      <c r="BU2" s="131" t="s">
        <v>655</v>
      </c>
      <c r="BV2" s="131" t="s">
        <v>680</v>
      </c>
      <c r="BW2" s="131" t="s">
        <v>401</v>
      </c>
      <c r="BX2" s="89"/>
      <c r="BY2" s="131" t="s">
        <v>402</v>
      </c>
      <c r="BZ2" s="131" t="s">
        <v>403</v>
      </c>
      <c r="CA2" s="131" t="s">
        <v>659</v>
      </c>
      <c r="CB2" s="131" t="s">
        <v>405</v>
      </c>
      <c r="CC2" s="131" t="s">
        <v>406</v>
      </c>
      <c r="CD2" s="131" t="s">
        <v>407</v>
      </c>
      <c r="CE2" s="131" t="s">
        <v>408</v>
      </c>
      <c r="CF2" s="131" t="s">
        <v>409</v>
      </c>
      <c r="CG2" s="131" t="s">
        <v>410</v>
      </c>
      <c r="CH2" s="131" t="s">
        <v>411</v>
      </c>
      <c r="CI2" s="131" t="s">
        <v>412</v>
      </c>
      <c r="CJ2" s="131" t="s">
        <v>413</v>
      </c>
      <c r="CK2" s="131" t="s">
        <v>414</v>
      </c>
      <c r="CL2" s="81"/>
      <c r="CM2" s="131" t="s">
        <v>415</v>
      </c>
      <c r="CN2" s="131" t="s">
        <v>416</v>
      </c>
      <c r="CO2" s="96" t="s">
        <v>417</v>
      </c>
      <c r="CP2" s="131" t="s">
        <v>418</v>
      </c>
      <c r="CQ2" s="131" t="s">
        <v>419</v>
      </c>
      <c r="CR2" s="131" t="s">
        <v>420</v>
      </c>
      <c r="CS2" s="131" t="s">
        <v>421</v>
      </c>
      <c r="CT2" s="131" t="s">
        <v>422</v>
      </c>
      <c r="CU2" s="131" t="s">
        <v>423</v>
      </c>
      <c r="CV2" s="28"/>
      <c r="CW2" s="131" t="s">
        <v>424</v>
      </c>
      <c r="CX2" s="131" t="s">
        <v>425</v>
      </c>
      <c r="CY2" s="89"/>
      <c r="CZ2" s="131" t="s">
        <v>426</v>
      </c>
      <c r="DA2" s="131" t="s">
        <v>427</v>
      </c>
      <c r="DB2" s="89"/>
      <c r="DC2" s="131" t="s">
        <v>428</v>
      </c>
      <c r="DD2" s="131" t="s">
        <v>429</v>
      </c>
      <c r="DE2" s="131" t="s">
        <v>430</v>
      </c>
      <c r="DF2" s="131" t="s">
        <v>431</v>
      </c>
      <c r="DG2" s="131" t="s">
        <v>432</v>
      </c>
      <c r="DH2" s="131" t="s">
        <v>433</v>
      </c>
      <c r="DI2" s="131" t="s">
        <v>434</v>
      </c>
      <c r="DJ2" s="131" t="s">
        <v>435</v>
      </c>
      <c r="DK2" s="131" t="s">
        <v>436</v>
      </c>
      <c r="DL2" s="131" t="s">
        <v>437</v>
      </c>
      <c r="DM2" s="131" t="s">
        <v>438</v>
      </c>
      <c r="DN2" s="131" t="s">
        <v>439</v>
      </c>
      <c r="DO2" s="131" t="s">
        <v>440</v>
      </c>
      <c r="DP2" s="131" t="s">
        <v>441</v>
      </c>
      <c r="DQ2" s="131" t="s">
        <v>442</v>
      </c>
      <c r="DR2" s="131" t="s">
        <v>443</v>
      </c>
      <c r="DS2" s="131" t="s">
        <v>444</v>
      </c>
      <c r="DT2" s="131" t="s">
        <v>445</v>
      </c>
      <c r="DU2" s="131" t="s">
        <v>446</v>
      </c>
      <c r="DV2" s="131" t="s">
        <v>447</v>
      </c>
      <c r="DW2" s="131" t="s">
        <v>448</v>
      </c>
      <c r="DX2" s="89"/>
      <c r="DY2" s="131" t="s">
        <v>449</v>
      </c>
      <c r="DZ2" s="133" t="s">
        <v>450</v>
      </c>
      <c r="EA2" s="131" t="s">
        <v>451</v>
      </c>
      <c r="EB2" s="131" t="s">
        <v>452</v>
      </c>
      <c r="EC2" s="96" t="s">
        <v>453</v>
      </c>
      <c r="ED2" s="131" t="s">
        <v>454</v>
      </c>
      <c r="EE2" s="131" t="s">
        <v>455</v>
      </c>
      <c r="EF2" s="131" t="s">
        <v>456</v>
      </c>
      <c r="EG2" s="89"/>
      <c r="EH2" s="131" t="s">
        <v>457</v>
      </c>
      <c r="EI2" s="131" t="s">
        <v>458</v>
      </c>
      <c r="EJ2" s="131" t="s">
        <v>459</v>
      </c>
      <c r="EK2" s="131" t="s">
        <v>460</v>
      </c>
      <c r="EL2" s="131" t="s">
        <v>461</v>
      </c>
      <c r="EM2" s="89"/>
      <c r="EN2" s="133" t="s">
        <v>462</v>
      </c>
      <c r="EO2" s="146" t="s">
        <v>463</v>
      </c>
      <c r="EP2" s="131" t="s">
        <v>464</v>
      </c>
      <c r="EQ2" s="131" t="s">
        <v>465</v>
      </c>
      <c r="ER2" s="89"/>
      <c r="ES2" s="131" t="s">
        <v>466</v>
      </c>
      <c r="ET2" s="131" t="s">
        <v>467</v>
      </c>
      <c r="EU2" s="131" t="s">
        <v>468</v>
      </c>
      <c r="EV2" s="131" t="s">
        <v>469</v>
      </c>
      <c r="EW2" s="131" t="s">
        <v>470</v>
      </c>
      <c r="EX2" s="131" t="s">
        <v>471</v>
      </c>
      <c r="EY2" s="28"/>
      <c r="EZ2" s="131" t="s">
        <v>472</v>
      </c>
      <c r="FA2" s="131" t="s">
        <v>473</v>
      </c>
      <c r="FB2" s="131" t="s">
        <v>474</v>
      </c>
      <c r="FC2" s="131" t="s">
        <v>475</v>
      </c>
      <c r="FD2" s="131" t="s">
        <v>476</v>
      </c>
      <c r="FE2" s="131" t="s">
        <v>477</v>
      </c>
      <c r="FF2" s="131" t="s">
        <v>478</v>
      </c>
      <c r="FG2" s="131" t="s">
        <v>479</v>
      </c>
      <c r="FH2" s="131" t="s">
        <v>480</v>
      </c>
      <c r="FI2" s="89"/>
      <c r="FJ2" s="131" t="s">
        <v>481</v>
      </c>
      <c r="FK2" s="89"/>
      <c r="FL2" s="134" t="s">
        <v>482</v>
      </c>
      <c r="FM2" s="135" t="s">
        <v>483</v>
      </c>
      <c r="FN2" s="135" t="s">
        <v>484</v>
      </c>
      <c r="FO2" s="135" t="s">
        <v>485</v>
      </c>
      <c r="FP2" s="147" t="s">
        <v>486</v>
      </c>
      <c r="FQ2" s="562" t="s">
        <v>487</v>
      </c>
      <c r="FR2" s="561"/>
      <c r="FS2" s="561"/>
      <c r="FT2" s="561"/>
      <c r="FU2" s="561"/>
      <c r="FV2" s="561"/>
      <c r="FW2" s="561"/>
      <c r="FX2" s="135" t="s">
        <v>488</v>
      </c>
      <c r="FY2" s="131" t="s">
        <v>681</v>
      </c>
      <c r="FZ2" s="89"/>
      <c r="GA2" s="131" t="s">
        <v>490</v>
      </c>
      <c r="GB2" s="131" t="s">
        <v>491</v>
      </c>
      <c r="GC2" s="131" t="s">
        <v>492</v>
      </c>
      <c r="GD2" s="131" t="s">
        <v>493</v>
      </c>
      <c r="GE2" s="96" t="s">
        <v>494</v>
      </c>
      <c r="GF2" s="171" t="s">
        <v>495</v>
      </c>
      <c r="GG2" s="89"/>
      <c r="GH2" s="560" t="s">
        <v>496</v>
      </c>
      <c r="GI2" s="561"/>
      <c r="GJ2" s="561"/>
      <c r="GK2" s="134" t="s">
        <v>497</v>
      </c>
      <c r="GL2" s="560" t="s">
        <v>498</v>
      </c>
      <c r="GM2" s="561"/>
      <c r="GN2" s="561"/>
      <c r="GO2" s="561"/>
      <c r="GP2" s="561"/>
      <c r="GQ2" s="561"/>
      <c r="GR2" s="561"/>
      <c r="GS2" s="561"/>
      <c r="GT2" s="561"/>
      <c r="GU2" s="561"/>
      <c r="GV2" s="561"/>
    </row>
    <row r="3" spans="2:232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92"/>
      <c r="AC3" s="92"/>
      <c r="AD3" s="92" t="s">
        <v>499</v>
      </c>
      <c r="AE3" s="30" t="s">
        <v>160</v>
      </c>
      <c r="AF3" s="30"/>
      <c r="AG3" s="30"/>
      <c r="AH3" s="30" t="s">
        <v>500</v>
      </c>
      <c r="AI3" s="30" t="s">
        <v>164</v>
      </c>
      <c r="AJ3" s="30" t="s">
        <v>165</v>
      </c>
      <c r="AK3" s="30"/>
      <c r="AL3" s="30"/>
      <c r="AM3" s="30" t="s">
        <v>166</v>
      </c>
      <c r="AN3" s="30"/>
      <c r="AO3" s="30"/>
      <c r="AP3" s="30"/>
      <c r="AQ3" s="30"/>
      <c r="AR3" s="30"/>
      <c r="AS3" s="30"/>
      <c r="AT3" s="30"/>
      <c r="AU3" s="30" t="s">
        <v>501</v>
      </c>
      <c r="AV3" s="30" t="s">
        <v>172</v>
      </c>
      <c r="AW3" s="30"/>
      <c r="AX3" s="30"/>
      <c r="AY3" s="30"/>
      <c r="AZ3" s="30"/>
      <c r="BA3" s="30"/>
      <c r="BB3" s="30" t="s">
        <v>176</v>
      </c>
      <c r="BC3" s="30"/>
      <c r="BD3" s="30" t="s">
        <v>502</v>
      </c>
      <c r="BE3" s="30" t="s">
        <v>503</v>
      </c>
      <c r="BF3" s="30"/>
      <c r="BG3" s="30"/>
      <c r="BH3" s="30"/>
      <c r="BI3" s="30"/>
      <c r="BJ3" s="30" t="s">
        <v>504</v>
      </c>
      <c r="BK3" s="30"/>
      <c r="BL3" s="30" t="s">
        <v>505</v>
      </c>
      <c r="BM3" s="30"/>
      <c r="BN3" s="30"/>
      <c r="BO3" s="30"/>
      <c r="BP3" s="30" t="s">
        <v>307</v>
      </c>
      <c r="BQ3" s="30"/>
      <c r="BR3" s="30"/>
      <c r="BS3" s="30"/>
      <c r="BT3" s="30"/>
      <c r="BU3" s="30"/>
      <c r="BV3" s="30"/>
      <c r="BW3" s="30" t="s">
        <v>506</v>
      </c>
      <c r="BX3" s="89"/>
      <c r="BY3" s="30" t="s">
        <v>507</v>
      </c>
      <c r="BZ3" s="30"/>
      <c r="CA3" s="30"/>
      <c r="CB3" s="30"/>
      <c r="CC3" s="30" t="s">
        <v>508</v>
      </c>
      <c r="CD3" s="30"/>
      <c r="CE3" s="30"/>
      <c r="CF3" s="30"/>
      <c r="CG3" s="30"/>
      <c r="CH3" s="30"/>
      <c r="CI3" s="30"/>
      <c r="CJ3" s="30" t="s">
        <v>509</v>
      </c>
      <c r="CK3" s="30"/>
      <c r="CL3" s="82"/>
      <c r="CM3" s="30" t="s">
        <v>510</v>
      </c>
      <c r="CN3" s="30"/>
      <c r="CO3" s="30"/>
      <c r="CP3" s="30"/>
      <c r="CQ3" s="30" t="s">
        <v>214</v>
      </c>
      <c r="CR3" s="30" t="s">
        <v>215</v>
      </c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 t="s">
        <v>222</v>
      </c>
      <c r="DF3" s="30"/>
      <c r="DG3" s="30"/>
      <c r="DH3" s="30"/>
      <c r="DI3" s="30"/>
      <c r="DJ3" s="30" t="s">
        <v>227</v>
      </c>
      <c r="DK3" s="30" t="s">
        <v>311</v>
      </c>
      <c r="DL3" s="30"/>
      <c r="DM3" s="30"/>
      <c r="DN3" s="30"/>
      <c r="DO3" s="30" t="s">
        <v>232</v>
      </c>
      <c r="DP3" s="30"/>
      <c r="DQ3" s="30"/>
      <c r="DR3" s="30"/>
      <c r="DS3" s="30" t="s">
        <v>511</v>
      </c>
      <c r="DT3" s="30"/>
      <c r="DU3" s="30"/>
      <c r="DV3" s="30" t="s">
        <v>512</v>
      </c>
      <c r="DW3" s="30"/>
      <c r="DX3" s="30"/>
      <c r="DY3" s="30"/>
      <c r="DZ3" s="30"/>
      <c r="EA3" s="30"/>
      <c r="EB3" s="30"/>
      <c r="EC3" s="30"/>
      <c r="ED3" s="30"/>
      <c r="EE3" s="30" t="s">
        <v>513</v>
      </c>
      <c r="EF3" s="30" t="s">
        <v>514</v>
      </c>
      <c r="EG3" s="89"/>
      <c r="EH3" s="30" t="s">
        <v>515</v>
      </c>
      <c r="EI3" s="30" t="s">
        <v>516</v>
      </c>
      <c r="EJ3" s="30" t="s">
        <v>517</v>
      </c>
      <c r="EK3" s="30" t="s">
        <v>518</v>
      </c>
      <c r="EL3" s="30" t="s">
        <v>250</v>
      </c>
      <c r="EM3" s="89"/>
      <c r="EN3" s="30" t="s">
        <v>259</v>
      </c>
      <c r="EO3" s="30" t="s">
        <v>519</v>
      </c>
      <c r="EP3" s="30" t="s">
        <v>503</v>
      </c>
      <c r="EQ3" s="30" t="s">
        <v>176</v>
      </c>
      <c r="ER3" s="30" t="s">
        <v>520</v>
      </c>
      <c r="ES3" s="30" t="s">
        <v>506</v>
      </c>
      <c r="ET3" s="30" t="s">
        <v>521</v>
      </c>
      <c r="EU3" s="30" t="s">
        <v>507</v>
      </c>
      <c r="EV3" s="30" t="s">
        <v>522</v>
      </c>
      <c r="EW3" s="30" t="s">
        <v>508</v>
      </c>
      <c r="EX3" s="30" t="s">
        <v>509</v>
      </c>
      <c r="EY3" s="30" t="s">
        <v>279</v>
      </c>
      <c r="EZ3" s="30" t="s">
        <v>304</v>
      </c>
      <c r="FA3" s="30"/>
      <c r="FB3" s="30"/>
      <c r="FC3" s="30" t="s">
        <v>523</v>
      </c>
      <c r="FD3" s="30" t="s">
        <v>524</v>
      </c>
      <c r="FE3" s="30" t="s">
        <v>510</v>
      </c>
      <c r="FF3" s="30" t="s">
        <v>215</v>
      </c>
      <c r="FG3" s="30" t="s">
        <v>525</v>
      </c>
      <c r="FH3" s="30" t="s">
        <v>512</v>
      </c>
      <c r="FI3" s="30" t="s">
        <v>520</v>
      </c>
      <c r="FJ3" s="30" t="s">
        <v>514</v>
      </c>
      <c r="FK3" s="30" t="s">
        <v>517</v>
      </c>
      <c r="FL3" s="30" t="s">
        <v>526</v>
      </c>
      <c r="FM3" s="30" t="s">
        <v>527</v>
      </c>
      <c r="FN3" s="30" t="s">
        <v>290</v>
      </c>
      <c r="FO3" s="30" t="s">
        <v>291</v>
      </c>
      <c r="FP3" s="30" t="s">
        <v>293</v>
      </c>
      <c r="FQ3" s="30" t="s">
        <v>528</v>
      </c>
      <c r="FR3" s="89"/>
      <c r="FS3" s="89"/>
      <c r="FT3" s="89"/>
      <c r="FU3" s="89"/>
      <c r="FV3" s="89"/>
      <c r="FW3" s="89"/>
      <c r="FX3" s="30" t="s">
        <v>529</v>
      </c>
      <c r="FY3" s="30" t="s">
        <v>308</v>
      </c>
      <c r="FZ3" s="30" t="s">
        <v>530</v>
      </c>
      <c r="GA3" s="30" t="s">
        <v>312</v>
      </c>
      <c r="GB3" s="89"/>
      <c r="GC3" s="89"/>
      <c r="GD3" s="89"/>
      <c r="GE3" s="89"/>
      <c r="GF3" s="30" t="s">
        <v>531</v>
      </c>
      <c r="GG3" s="30" t="s">
        <v>530</v>
      </c>
      <c r="GH3" s="30" t="s">
        <v>532</v>
      </c>
      <c r="GI3" s="89"/>
      <c r="GJ3" s="89"/>
      <c r="GK3" s="30" t="s">
        <v>533</v>
      </c>
      <c r="GL3" s="89" t="s">
        <v>534</v>
      </c>
      <c r="GO3" s="89" t="s">
        <v>535</v>
      </c>
      <c r="GR3" s="89" t="s">
        <v>529</v>
      </c>
      <c r="GU3" s="89" t="s">
        <v>536</v>
      </c>
    </row>
    <row r="4" spans="2:232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 t="s">
        <v>548</v>
      </c>
      <c r="AC4" s="139" t="s">
        <v>549</v>
      </c>
      <c r="AD4" s="30"/>
      <c r="AE4" s="30"/>
      <c r="AF4" s="30" t="s">
        <v>161</v>
      </c>
      <c r="AG4" s="30" t="s">
        <v>162</v>
      </c>
      <c r="AH4" s="30" t="s">
        <v>550</v>
      </c>
      <c r="AI4" s="30"/>
      <c r="AJ4" s="30"/>
      <c r="AK4" s="30" t="s">
        <v>551</v>
      </c>
      <c r="AL4" s="30" t="s">
        <v>552</v>
      </c>
      <c r="AM4" s="30"/>
      <c r="AN4" s="30" t="s">
        <v>553</v>
      </c>
      <c r="AO4" s="30"/>
      <c r="AP4" s="30"/>
      <c r="AQ4" s="30"/>
      <c r="AR4" s="30" t="s">
        <v>554</v>
      </c>
      <c r="AS4" s="30" t="s">
        <v>222</v>
      </c>
      <c r="AT4" s="30" t="s">
        <v>227</v>
      </c>
      <c r="AU4" s="30" t="s">
        <v>555</v>
      </c>
      <c r="AV4" s="30"/>
      <c r="AW4" s="31" t="s">
        <v>173</v>
      </c>
      <c r="AX4" s="30"/>
      <c r="AY4" s="30"/>
      <c r="AZ4" s="30" t="s">
        <v>175</v>
      </c>
      <c r="BA4" s="30"/>
      <c r="BB4" s="30"/>
      <c r="BC4" s="30" t="s">
        <v>556</v>
      </c>
      <c r="BD4" s="30"/>
      <c r="BE4" s="30"/>
      <c r="BF4" s="30" t="s">
        <v>557</v>
      </c>
      <c r="BG4" s="30" t="s">
        <v>558</v>
      </c>
      <c r="BH4" s="30" t="s">
        <v>559</v>
      </c>
      <c r="BI4" s="30" t="s">
        <v>560</v>
      </c>
      <c r="BJ4" s="30"/>
      <c r="BK4" s="30" t="s">
        <v>561</v>
      </c>
      <c r="BL4" s="30"/>
      <c r="BM4" s="30" t="s">
        <v>562</v>
      </c>
      <c r="BN4" s="30" t="s">
        <v>563</v>
      </c>
      <c r="BO4" s="30" t="s">
        <v>564</v>
      </c>
      <c r="BP4" s="30"/>
      <c r="BQ4" s="30" t="s">
        <v>191</v>
      </c>
      <c r="BR4" s="30" t="s">
        <v>273</v>
      </c>
      <c r="BS4" s="30"/>
      <c r="BT4" s="30" t="s">
        <v>565</v>
      </c>
      <c r="BU4" s="31"/>
      <c r="BV4" s="30" t="s">
        <v>193</v>
      </c>
      <c r="BW4" s="30"/>
      <c r="BX4" s="89"/>
      <c r="BY4" s="30"/>
      <c r="BZ4" s="30" t="s">
        <v>522</v>
      </c>
      <c r="CA4" s="30" t="s">
        <v>566</v>
      </c>
      <c r="CB4" s="30" t="s">
        <v>567</v>
      </c>
      <c r="CC4" s="30"/>
      <c r="CD4" s="30" t="s">
        <v>568</v>
      </c>
      <c r="CE4" s="30" t="s">
        <v>569</v>
      </c>
      <c r="CF4" s="30" t="s">
        <v>570</v>
      </c>
      <c r="CG4" s="30" t="s">
        <v>571</v>
      </c>
      <c r="CH4" s="30" t="s">
        <v>572</v>
      </c>
      <c r="CI4" s="30" t="s">
        <v>573</v>
      </c>
      <c r="CJ4" s="30"/>
      <c r="CK4" s="30" t="s">
        <v>574</v>
      </c>
      <c r="CL4" s="82" t="s">
        <v>575</v>
      </c>
      <c r="CM4" s="30"/>
      <c r="CN4" s="30" t="s">
        <v>576</v>
      </c>
      <c r="CO4" s="30" t="s">
        <v>577</v>
      </c>
      <c r="CP4" s="30" t="s">
        <v>578</v>
      </c>
      <c r="CQ4" s="30"/>
      <c r="CR4" s="30"/>
      <c r="CS4" s="30" t="s">
        <v>579</v>
      </c>
      <c r="CT4" s="30" t="s">
        <v>580</v>
      </c>
      <c r="CU4" s="30"/>
      <c r="CV4" s="30" t="s">
        <v>581</v>
      </c>
      <c r="CW4" s="30"/>
      <c r="CX4" s="30"/>
      <c r="CY4" s="30"/>
      <c r="CZ4" s="30"/>
      <c r="DA4" s="30"/>
      <c r="DB4" s="30"/>
      <c r="DC4" s="30"/>
      <c r="DD4" s="30"/>
      <c r="DE4" s="30"/>
      <c r="DF4" s="30" t="s">
        <v>582</v>
      </c>
      <c r="DG4" s="30" t="s">
        <v>583</v>
      </c>
      <c r="DH4" s="30" t="s">
        <v>584</v>
      </c>
      <c r="DI4" s="30" t="s">
        <v>585</v>
      </c>
      <c r="DJ4" s="30"/>
      <c r="DK4" s="30"/>
      <c r="DL4" s="30" t="s">
        <v>313</v>
      </c>
      <c r="DM4" s="30" t="s">
        <v>558</v>
      </c>
      <c r="DN4" s="30" t="s">
        <v>315</v>
      </c>
      <c r="DO4" s="30"/>
      <c r="DP4" s="30" t="s">
        <v>586</v>
      </c>
      <c r="DQ4" s="30"/>
      <c r="DR4" s="30"/>
      <c r="DS4" s="30"/>
      <c r="DT4" s="30" t="s">
        <v>586</v>
      </c>
      <c r="DU4" s="30"/>
      <c r="DV4" s="30"/>
      <c r="DW4" s="30" t="s">
        <v>587</v>
      </c>
      <c r="DX4" s="30" t="s">
        <v>588</v>
      </c>
      <c r="DY4" s="30"/>
      <c r="DZ4" s="30" t="s">
        <v>589</v>
      </c>
      <c r="EA4" s="30" t="s">
        <v>590</v>
      </c>
      <c r="EB4" s="30" t="s">
        <v>591</v>
      </c>
      <c r="EC4" s="30" t="s">
        <v>592</v>
      </c>
      <c r="ED4" s="30" t="s">
        <v>593</v>
      </c>
      <c r="EE4" s="30"/>
      <c r="EF4" s="30"/>
      <c r="EG4" s="89"/>
      <c r="EH4" s="89"/>
      <c r="EI4" s="89"/>
      <c r="EJ4" s="89"/>
      <c r="EK4" s="89"/>
      <c r="EL4" s="89"/>
      <c r="EM4" s="89"/>
      <c r="EN4" s="29"/>
      <c r="EO4" s="145" t="s">
        <v>682</v>
      </c>
      <c r="EP4" s="30"/>
      <c r="EQ4" s="30"/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595</v>
      </c>
      <c r="EZ4" s="30" t="s">
        <v>595</v>
      </c>
      <c r="FA4" s="30" t="s">
        <v>223</v>
      </c>
      <c r="FB4" s="30" t="s">
        <v>224</v>
      </c>
      <c r="FC4" s="30"/>
      <c r="FD4" s="30"/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595</v>
      </c>
      <c r="FJ4" s="30" t="s">
        <v>595</v>
      </c>
      <c r="FK4" s="30" t="s">
        <v>596</v>
      </c>
      <c r="FL4" s="30" t="s">
        <v>597</v>
      </c>
      <c r="FM4" s="30" t="s">
        <v>598</v>
      </c>
      <c r="FN4" s="30" t="s">
        <v>599</v>
      </c>
      <c r="FO4" s="30" t="s">
        <v>599</v>
      </c>
      <c r="FP4" s="30" t="s">
        <v>600</v>
      </c>
      <c r="FQ4" s="30" t="s">
        <v>596</v>
      </c>
      <c r="FR4" s="30" t="s">
        <v>507</v>
      </c>
      <c r="FS4" s="30" t="s">
        <v>508</v>
      </c>
      <c r="FT4" s="30" t="s">
        <v>509</v>
      </c>
      <c r="FU4" s="30" t="s">
        <v>510</v>
      </c>
      <c r="FV4" s="30" t="s">
        <v>215</v>
      </c>
      <c r="FW4" s="30" t="s">
        <v>512</v>
      </c>
      <c r="FX4" s="30" t="s">
        <v>596</v>
      </c>
      <c r="FY4" s="89"/>
      <c r="FZ4" s="30" t="s">
        <v>601</v>
      </c>
      <c r="GA4" s="89"/>
      <c r="GB4" s="30" t="s">
        <v>313</v>
      </c>
      <c r="GC4" s="30" t="s">
        <v>558</v>
      </c>
      <c r="GD4" s="30" t="s">
        <v>315</v>
      </c>
      <c r="GE4" s="30" t="s">
        <v>602</v>
      </c>
      <c r="GF4" s="30" t="s">
        <v>603</v>
      </c>
      <c r="GG4" s="30" t="s">
        <v>601</v>
      </c>
      <c r="GH4" s="30" t="s">
        <v>604</v>
      </c>
      <c r="GI4" s="30" t="s">
        <v>605</v>
      </c>
      <c r="GJ4" s="30" t="s">
        <v>606</v>
      </c>
      <c r="GK4" s="79" t="s">
        <v>683</v>
      </c>
      <c r="GL4" s="30" t="s">
        <v>608</v>
      </c>
      <c r="GM4" s="89" t="s">
        <v>609</v>
      </c>
      <c r="GN4" s="89" t="s">
        <v>610</v>
      </c>
      <c r="GO4" s="89" t="s">
        <v>608</v>
      </c>
      <c r="GP4" s="89" t="s">
        <v>609</v>
      </c>
      <c r="GQ4" s="89" t="s">
        <v>610</v>
      </c>
      <c r="GR4" s="89" t="s">
        <v>596</v>
      </c>
      <c r="GS4" s="89" t="s">
        <v>609</v>
      </c>
      <c r="GT4" s="89" t="s">
        <v>610</v>
      </c>
      <c r="GU4" s="89" t="s">
        <v>611</v>
      </c>
      <c r="GV4" s="89" t="s">
        <v>609</v>
      </c>
    </row>
    <row r="5" spans="2:232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 t="s">
        <v>617</v>
      </c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 t="s">
        <v>571</v>
      </c>
      <c r="AP5" s="30" t="s">
        <v>618</v>
      </c>
      <c r="AQ5" s="30" t="s">
        <v>619</v>
      </c>
      <c r="AR5" s="30" t="s">
        <v>620</v>
      </c>
      <c r="AS5" s="30"/>
      <c r="AT5" s="30"/>
      <c r="AU5" s="30" t="s">
        <v>621</v>
      </c>
      <c r="AV5" s="30"/>
      <c r="AW5" s="30"/>
      <c r="AX5" s="30" t="s">
        <v>622</v>
      </c>
      <c r="AY5" s="30" t="s">
        <v>222</v>
      </c>
      <c r="AZ5" s="30"/>
      <c r="BA5" s="30" t="s">
        <v>222</v>
      </c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 t="s">
        <v>623</v>
      </c>
      <c r="BT5" s="47" t="s">
        <v>624</v>
      </c>
      <c r="BU5" s="30" t="s">
        <v>625</v>
      </c>
      <c r="BV5" s="30"/>
      <c r="BW5" s="30"/>
      <c r="BX5" s="89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82"/>
      <c r="CM5" s="30"/>
      <c r="CN5" s="30"/>
      <c r="CO5" s="30"/>
      <c r="CP5" s="30"/>
      <c r="CQ5" s="30"/>
      <c r="CR5" s="30"/>
      <c r="CS5" s="30"/>
      <c r="CT5" s="30"/>
      <c r="CU5" s="30" t="s">
        <v>626</v>
      </c>
      <c r="CV5" s="30"/>
      <c r="CW5" s="30" t="s">
        <v>627</v>
      </c>
      <c r="CX5" s="30" t="s">
        <v>628</v>
      </c>
      <c r="CY5" s="30" t="s">
        <v>629</v>
      </c>
      <c r="CZ5" s="30" t="s">
        <v>630</v>
      </c>
      <c r="DA5" s="30" t="s">
        <v>631</v>
      </c>
      <c r="DB5" s="30" t="s">
        <v>587</v>
      </c>
      <c r="DC5" s="30" t="s">
        <v>632</v>
      </c>
      <c r="DD5" s="30" t="s">
        <v>633</v>
      </c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 t="s">
        <v>634</v>
      </c>
      <c r="DR5" s="30" t="s">
        <v>629</v>
      </c>
      <c r="DS5" s="30"/>
      <c r="DT5" s="30"/>
      <c r="DU5" s="30" t="s">
        <v>629</v>
      </c>
      <c r="DV5" s="30"/>
      <c r="DW5" s="30"/>
      <c r="DX5" s="30"/>
      <c r="DY5" s="30" t="s">
        <v>635</v>
      </c>
      <c r="DZ5" s="48"/>
      <c r="EA5" s="30"/>
      <c r="EB5" s="30"/>
      <c r="EC5" s="30" t="s">
        <v>636</v>
      </c>
      <c r="ED5" s="30"/>
      <c r="EE5" s="30"/>
      <c r="EF5" s="30"/>
      <c r="EG5" s="89"/>
      <c r="EH5" s="89"/>
      <c r="EI5" s="89"/>
      <c r="EJ5" s="89"/>
      <c r="EK5" s="89"/>
      <c r="EL5" s="89"/>
      <c r="EM5" s="89"/>
      <c r="EN5" s="89"/>
      <c r="EO5" s="89" t="s">
        <v>637</v>
      </c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30" t="s">
        <v>595</v>
      </c>
      <c r="FB5" s="30" t="s">
        <v>595</v>
      </c>
      <c r="FC5" s="89"/>
      <c r="FD5" s="89"/>
      <c r="FE5" s="89"/>
      <c r="FF5" s="89"/>
      <c r="FG5" s="89"/>
      <c r="FH5" s="89"/>
      <c r="FI5" s="89"/>
      <c r="FJ5" s="89"/>
      <c r="FK5" s="89" t="s">
        <v>638</v>
      </c>
      <c r="FL5" s="89"/>
      <c r="FM5" s="30" t="s">
        <v>639</v>
      </c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30" t="s">
        <v>600</v>
      </c>
      <c r="FY5" s="89"/>
      <c r="FZ5" s="89" t="s">
        <v>638</v>
      </c>
      <c r="GA5" s="89"/>
      <c r="GB5" s="89"/>
      <c r="GC5" s="89"/>
      <c r="GD5" s="89"/>
      <c r="GE5" s="30" t="s">
        <v>640</v>
      </c>
      <c r="GF5" s="89"/>
      <c r="GG5" s="89" t="s">
        <v>641</v>
      </c>
      <c r="GH5" s="70"/>
      <c r="GI5" s="89"/>
      <c r="GJ5" s="89"/>
      <c r="GK5" s="89" t="s">
        <v>642</v>
      </c>
      <c r="GL5" s="89"/>
      <c r="GM5" s="43" t="s">
        <v>643</v>
      </c>
      <c r="GN5" s="30" t="s">
        <v>644</v>
      </c>
      <c r="GO5" s="89"/>
      <c r="GP5" s="43" t="s">
        <v>643</v>
      </c>
      <c r="GQ5" s="30" t="s">
        <v>644</v>
      </c>
      <c r="GR5" s="89"/>
      <c r="GS5" s="43" t="s">
        <v>643</v>
      </c>
      <c r="GT5" s="30" t="s">
        <v>644</v>
      </c>
      <c r="GV5" s="30" t="s">
        <v>643</v>
      </c>
      <c r="GX5" s="89" t="s">
        <v>645</v>
      </c>
    </row>
    <row r="6" spans="2:232" s="89" customFormat="1" x14ac:dyDescent="0.15">
      <c r="B6" s="106" t="s">
        <v>1</v>
      </c>
      <c r="C6" s="141">
        <v>750030203</v>
      </c>
      <c r="D6" s="73">
        <f t="shared" ref="D6:D52" si="0">E6+F6</f>
        <v>219398128</v>
      </c>
      <c r="E6" s="141">
        <v>4659619</v>
      </c>
      <c r="F6" s="141">
        <v>214738509</v>
      </c>
      <c r="G6" s="73">
        <f t="shared" ref="G6:G52" si="1">H6+I6</f>
        <v>108275166</v>
      </c>
      <c r="H6" s="141">
        <v>19676200</v>
      </c>
      <c r="I6" s="141">
        <v>88598966</v>
      </c>
      <c r="J6" s="141">
        <v>302707473</v>
      </c>
      <c r="K6" s="141">
        <v>118592401</v>
      </c>
      <c r="L6" s="141">
        <v>142774412</v>
      </c>
      <c r="M6" s="141">
        <v>41081101</v>
      </c>
      <c r="N6" s="141">
        <v>27758051</v>
      </c>
      <c r="O6" s="141">
        <v>60963039</v>
      </c>
      <c r="P6" s="141">
        <v>29638847</v>
      </c>
      <c r="Q6" s="141">
        <v>31324192</v>
      </c>
      <c r="R6" s="141">
        <v>5977023</v>
      </c>
      <c r="S6" s="74"/>
      <c r="T6" s="73">
        <f t="shared" ref="T6:T38" si="2">SUM(U6:AC6)</f>
        <v>99914805</v>
      </c>
      <c r="U6" s="141">
        <v>452651</v>
      </c>
      <c r="V6" s="141">
        <v>3592122</v>
      </c>
      <c r="W6" s="141">
        <v>4050020</v>
      </c>
      <c r="X6" s="141">
        <v>72542405</v>
      </c>
      <c r="Y6" s="141">
        <v>0</v>
      </c>
      <c r="Z6" s="141">
        <v>0</v>
      </c>
      <c r="AA6" s="141">
        <v>0</v>
      </c>
      <c r="AB6" s="141">
        <v>1504835</v>
      </c>
      <c r="AC6" s="141">
        <v>17772772</v>
      </c>
      <c r="AD6" s="141">
        <v>13476007</v>
      </c>
      <c r="AE6" s="141">
        <v>72484739</v>
      </c>
      <c r="AF6" s="141">
        <v>71185317</v>
      </c>
      <c r="AG6" s="141">
        <v>1299298</v>
      </c>
      <c r="AH6" s="141">
        <v>801068</v>
      </c>
      <c r="AI6" s="141">
        <v>4543648</v>
      </c>
      <c r="AJ6" s="73">
        <f t="shared" ref="AJ6:AJ38" si="3">AK6+AL6</f>
        <v>67986756</v>
      </c>
      <c r="AK6" s="141">
        <v>60521807</v>
      </c>
      <c r="AL6" s="141">
        <v>7464949</v>
      </c>
      <c r="AM6" s="141">
        <v>597577347</v>
      </c>
      <c r="AN6" s="73">
        <f t="shared" ref="AN6:AN38" si="4">SUM(AO6:AR6)</f>
        <v>312169583</v>
      </c>
      <c r="AO6" s="141">
        <v>196548158</v>
      </c>
      <c r="AP6" s="141">
        <v>58360248</v>
      </c>
      <c r="AQ6" s="74"/>
      <c r="AR6" s="141">
        <v>57261177</v>
      </c>
      <c r="AS6" s="141">
        <v>22706956</v>
      </c>
      <c r="AT6" s="141">
        <v>0</v>
      </c>
      <c r="AU6" s="141">
        <v>0</v>
      </c>
      <c r="AV6" s="141">
        <v>101349008</v>
      </c>
      <c r="AW6" s="141">
        <v>73684809</v>
      </c>
      <c r="AX6" s="141">
        <v>0</v>
      </c>
      <c r="AY6" s="141">
        <v>528034</v>
      </c>
      <c r="AZ6" s="141">
        <v>27664199</v>
      </c>
      <c r="BA6" s="141">
        <v>208835</v>
      </c>
      <c r="BB6" s="141">
        <v>23548530</v>
      </c>
      <c r="BC6" s="141">
        <v>8574626</v>
      </c>
      <c r="BD6" s="141">
        <v>781789</v>
      </c>
      <c r="BE6" s="141">
        <v>4702018</v>
      </c>
      <c r="BF6" s="141">
        <v>357640</v>
      </c>
      <c r="BG6" s="141">
        <v>0</v>
      </c>
      <c r="BH6" s="141">
        <v>1886889</v>
      </c>
      <c r="BI6" s="141">
        <v>0</v>
      </c>
      <c r="BJ6" s="141">
        <v>28031823</v>
      </c>
      <c r="BK6" s="141">
        <v>13041029</v>
      </c>
      <c r="BL6" s="141">
        <v>64713045</v>
      </c>
      <c r="BM6" s="141">
        <v>7478195</v>
      </c>
      <c r="BN6" s="141">
        <v>239801</v>
      </c>
      <c r="BO6" s="141">
        <v>9441631</v>
      </c>
      <c r="BP6" s="141">
        <v>156043500</v>
      </c>
      <c r="BQ6" s="73">
        <f t="shared" ref="BQ6:BQ52" si="5">BP6-BR6-BV6</f>
        <v>88797500</v>
      </c>
      <c r="BR6" s="73">
        <f t="shared" ref="BR6:BR52" si="6">BS6+BT6+BU6</f>
        <v>67246000</v>
      </c>
      <c r="BS6" s="141">
        <v>0</v>
      </c>
      <c r="BT6" s="140">
        <v>0</v>
      </c>
      <c r="BU6" s="141">
        <v>67246000</v>
      </c>
      <c r="BV6" s="141">
        <v>0</v>
      </c>
      <c r="BW6" s="141">
        <v>2003680509</v>
      </c>
      <c r="BX6" s="71"/>
      <c r="BY6" s="141">
        <v>307224797</v>
      </c>
      <c r="BZ6" s="141">
        <v>222301947</v>
      </c>
      <c r="CA6" s="141">
        <v>20346718</v>
      </c>
      <c r="CB6" s="141">
        <v>15539618</v>
      </c>
      <c r="CC6" s="141">
        <v>675282683</v>
      </c>
      <c r="CD6" s="141">
        <v>171647868</v>
      </c>
      <c r="CE6" s="141">
        <v>2628892</v>
      </c>
      <c r="CF6" s="141">
        <v>204803066</v>
      </c>
      <c r="CG6" s="141">
        <v>260481997</v>
      </c>
      <c r="CH6" s="141">
        <v>20715061</v>
      </c>
      <c r="CI6" s="141">
        <v>15005799</v>
      </c>
      <c r="CJ6" s="141">
        <v>204626078</v>
      </c>
      <c r="CK6" s="141">
        <v>188081578</v>
      </c>
      <c r="CL6" s="83">
        <f t="shared" ref="CL6:CL38" si="7">IF(CK6="","",CJ6-CK6)</f>
        <v>16544500</v>
      </c>
      <c r="CM6" s="141">
        <v>161107397</v>
      </c>
      <c r="CN6" s="141">
        <v>116354901</v>
      </c>
      <c r="CO6" s="102"/>
      <c r="CP6" s="141">
        <v>24463991</v>
      </c>
      <c r="CQ6" s="141">
        <v>20032088</v>
      </c>
      <c r="CR6" s="141">
        <v>191659491</v>
      </c>
      <c r="CS6" s="141">
        <v>9202769</v>
      </c>
      <c r="CT6" s="141">
        <v>110222285</v>
      </c>
      <c r="CU6" s="141">
        <v>100086156</v>
      </c>
      <c r="CV6" s="73">
        <f t="shared" ref="CV6:CV52" si="8">CW6+CX6</f>
        <v>29030180</v>
      </c>
      <c r="CW6" s="141">
        <v>229748</v>
      </c>
      <c r="CX6" s="141">
        <v>28800432</v>
      </c>
      <c r="CY6" s="73">
        <f t="shared" ref="CY6:CY52" si="9">CZ6+DA6</f>
        <v>0</v>
      </c>
      <c r="CZ6" s="141">
        <v>0</v>
      </c>
      <c r="DA6" s="141">
        <v>0</v>
      </c>
      <c r="DB6" s="73">
        <f t="shared" ref="DB6:DB52" si="10">DC6+DD6</f>
        <v>24221973</v>
      </c>
      <c r="DC6" s="141">
        <v>0</v>
      </c>
      <c r="DD6" s="141">
        <v>24221973</v>
      </c>
      <c r="DE6" s="141">
        <v>213337472</v>
      </c>
      <c r="DF6" s="141">
        <v>115894095</v>
      </c>
      <c r="DG6" s="141">
        <v>92647491</v>
      </c>
      <c r="DH6" s="141">
        <v>0</v>
      </c>
      <c r="DI6" s="141">
        <v>239304</v>
      </c>
      <c r="DJ6" s="141">
        <v>52410</v>
      </c>
      <c r="DK6" s="141">
        <v>48016005</v>
      </c>
      <c r="DL6" s="141">
        <v>46706101</v>
      </c>
      <c r="DM6" s="141">
        <v>0</v>
      </c>
      <c r="DN6" s="141">
        <v>1309904</v>
      </c>
      <c r="DO6" s="141">
        <v>1695851</v>
      </c>
      <c r="DP6" s="141">
        <v>1016951</v>
      </c>
      <c r="DQ6" s="141">
        <v>0</v>
      </c>
      <c r="DR6" s="141">
        <v>0</v>
      </c>
      <c r="DS6" s="141">
        <v>6303708</v>
      </c>
      <c r="DT6" s="141">
        <v>0</v>
      </c>
      <c r="DU6" s="141">
        <v>0</v>
      </c>
      <c r="DV6" s="141">
        <v>132817203</v>
      </c>
      <c r="DW6" s="141">
        <v>0</v>
      </c>
      <c r="DX6" s="73">
        <f t="shared" ref="DX6:DX52" si="11">DY6</f>
        <v>10914924</v>
      </c>
      <c r="DY6" s="141">
        <v>10914924</v>
      </c>
      <c r="DZ6" s="141">
        <v>38141325</v>
      </c>
      <c r="EA6" s="141">
        <v>0</v>
      </c>
      <c r="EB6" s="141">
        <v>33961091</v>
      </c>
      <c r="EC6" s="74">
        <v>0</v>
      </c>
      <c r="ED6" s="141">
        <v>47881591</v>
      </c>
      <c r="EE6" s="141">
        <v>0</v>
      </c>
      <c r="EF6" s="141">
        <v>1962155183</v>
      </c>
      <c r="EG6" s="71"/>
      <c r="EH6" s="141">
        <v>41525326</v>
      </c>
      <c r="EI6" s="141">
        <v>10728862</v>
      </c>
      <c r="EJ6" s="141">
        <v>30796464</v>
      </c>
      <c r="EK6" s="141">
        <v>17755435</v>
      </c>
      <c r="EL6" s="141">
        <v>64103896</v>
      </c>
      <c r="EM6" s="71"/>
      <c r="EN6" s="141">
        <v>2752412</v>
      </c>
      <c r="EO6" s="141">
        <v>2732197</v>
      </c>
      <c r="EP6" s="141">
        <v>359490</v>
      </c>
      <c r="EQ6" s="141">
        <v>12629216</v>
      </c>
      <c r="ER6" s="73">
        <f t="shared" ref="ER6:ER52" si="12">ES6-ET6-C6-R6-T6-AD6-AE6-BR6-EP6-EQ6</f>
        <v>88119801</v>
      </c>
      <c r="ES6" s="141">
        <v>954403045</v>
      </c>
      <c r="ET6" s="141">
        <v>-155834239</v>
      </c>
      <c r="EU6" s="141">
        <v>252539241</v>
      </c>
      <c r="EV6" s="141">
        <v>182738273</v>
      </c>
      <c r="EW6" s="141">
        <v>168525723</v>
      </c>
      <c r="EX6" s="141">
        <v>179128924</v>
      </c>
      <c r="EY6" s="73">
        <f t="shared" ref="EY6:EY52" si="13">EZ6+FC6+FD6</f>
        <v>56179097</v>
      </c>
      <c r="EZ6" s="141">
        <v>56178687</v>
      </c>
      <c r="FA6" s="141">
        <v>4528183</v>
      </c>
      <c r="FB6" s="141">
        <v>51370922</v>
      </c>
      <c r="FC6" s="141">
        <v>410</v>
      </c>
      <c r="FD6" s="141">
        <v>0</v>
      </c>
      <c r="FE6" s="141">
        <v>98261258</v>
      </c>
      <c r="FF6" s="141">
        <v>151333281</v>
      </c>
      <c r="FG6" s="141">
        <v>4600790</v>
      </c>
      <c r="FH6" s="141">
        <v>104156625</v>
      </c>
      <c r="FI6" s="73">
        <f t="shared" ref="FI6:FI52" si="14">FJ6-EU6-EW6-EX6-EY6-FE6-FF6-FH6</f>
        <v>58587809</v>
      </c>
      <c r="FJ6" s="141">
        <v>1068711958</v>
      </c>
      <c r="FK6" s="379">
        <f t="shared" ref="FK6:FK52" si="15">ROUND(EJ6/(FL6+FM6)*100,1)</f>
        <v>3.4</v>
      </c>
      <c r="FL6" s="141">
        <v>806951996</v>
      </c>
      <c r="FM6" s="141">
        <v>92626628</v>
      </c>
      <c r="FN6" s="141">
        <v>578971411</v>
      </c>
      <c r="FO6" s="141">
        <v>650156728</v>
      </c>
      <c r="FP6" s="143">
        <v>0.92300000000000004</v>
      </c>
      <c r="FQ6" s="380">
        <v>85.1</v>
      </c>
      <c r="FR6" s="143">
        <v>25.7</v>
      </c>
      <c r="FS6" s="380">
        <v>17.2</v>
      </c>
      <c r="FT6" s="380">
        <v>15.8</v>
      </c>
      <c r="FU6" s="381">
        <v>9</v>
      </c>
      <c r="FV6" s="380">
        <v>7.4</v>
      </c>
      <c r="FW6" s="382">
        <v>8.6</v>
      </c>
      <c r="FX6" s="383">
        <v>1.8</v>
      </c>
      <c r="FY6" s="141">
        <v>1702596158</v>
      </c>
      <c r="FZ6" s="384">
        <f t="shared" ref="FZ6:FZ52" si="16">ROUND(FY6/(FL6+FM6)*100,1)</f>
        <v>189.3</v>
      </c>
      <c r="GA6" s="141">
        <v>277058304</v>
      </c>
      <c r="GB6" s="141">
        <v>212730563</v>
      </c>
      <c r="GC6" s="141">
        <v>0</v>
      </c>
      <c r="GD6" s="141">
        <v>64327741</v>
      </c>
      <c r="GE6" s="107">
        <v>0</v>
      </c>
      <c r="GF6" s="385"/>
      <c r="GG6" s="386"/>
      <c r="GH6" s="380">
        <v>99.5</v>
      </c>
      <c r="GI6" s="380">
        <v>65.599999999999994</v>
      </c>
      <c r="GJ6" s="380">
        <v>98.6</v>
      </c>
      <c r="GK6" s="141">
        <v>33923</v>
      </c>
      <c r="GL6" s="153" t="s">
        <v>646</v>
      </c>
      <c r="GM6" s="143">
        <v>11.25</v>
      </c>
      <c r="GN6" s="117">
        <v>20</v>
      </c>
      <c r="GO6" s="153" t="s">
        <v>646</v>
      </c>
      <c r="GP6" s="143">
        <v>16.25</v>
      </c>
      <c r="GQ6" s="387">
        <v>30</v>
      </c>
      <c r="GR6" s="380">
        <v>1.8</v>
      </c>
      <c r="GS6" s="388">
        <v>25</v>
      </c>
      <c r="GT6" s="388">
        <v>35</v>
      </c>
      <c r="GU6" s="143" t="s">
        <v>646</v>
      </c>
      <c r="GV6" s="389">
        <v>400</v>
      </c>
      <c r="GX6" s="100">
        <f t="shared" ref="GX6:GX52" si="17">ROUND((FL6+FM6)/1000,0)</f>
        <v>899579</v>
      </c>
    </row>
    <row r="7" spans="2:232" s="89" customFormat="1" x14ac:dyDescent="0.15">
      <c r="B7" s="106" t="s">
        <v>3</v>
      </c>
      <c r="C7" s="141">
        <v>151638686</v>
      </c>
      <c r="D7" s="73">
        <f t="shared" si="0"/>
        <v>60474086</v>
      </c>
      <c r="E7" s="141">
        <v>1350786</v>
      </c>
      <c r="F7" s="141">
        <v>59123300</v>
      </c>
      <c r="G7" s="73">
        <f t="shared" si="1"/>
        <v>8888044</v>
      </c>
      <c r="H7" s="141">
        <v>2352007</v>
      </c>
      <c r="I7" s="141">
        <v>6536037</v>
      </c>
      <c r="J7" s="141">
        <v>59092389</v>
      </c>
      <c r="K7" s="141">
        <v>23043215</v>
      </c>
      <c r="L7" s="141">
        <v>23732312</v>
      </c>
      <c r="M7" s="141">
        <v>11421437</v>
      </c>
      <c r="N7" s="141">
        <v>5762357</v>
      </c>
      <c r="O7" s="141">
        <v>10832471</v>
      </c>
      <c r="P7" s="141">
        <v>5916556</v>
      </c>
      <c r="Q7" s="141">
        <v>4915915</v>
      </c>
      <c r="R7" s="141">
        <v>2097707</v>
      </c>
      <c r="S7" s="74"/>
      <c r="T7" s="73">
        <f t="shared" si="2"/>
        <v>23083681</v>
      </c>
      <c r="U7" s="141">
        <v>130784</v>
      </c>
      <c r="V7" s="141">
        <v>1033288</v>
      </c>
      <c r="W7" s="141">
        <v>1160951</v>
      </c>
      <c r="X7" s="141">
        <v>18524781</v>
      </c>
      <c r="Y7" s="141">
        <v>137226</v>
      </c>
      <c r="Z7" s="141">
        <v>0</v>
      </c>
      <c r="AA7" s="141">
        <v>0</v>
      </c>
      <c r="AB7" s="141">
        <v>491329</v>
      </c>
      <c r="AC7" s="141">
        <v>1605322</v>
      </c>
      <c r="AD7" s="141">
        <v>2325663</v>
      </c>
      <c r="AE7" s="141">
        <v>43389355</v>
      </c>
      <c r="AF7" s="141">
        <v>42427629</v>
      </c>
      <c r="AG7" s="141">
        <v>961652</v>
      </c>
      <c r="AH7" s="141">
        <v>271499</v>
      </c>
      <c r="AI7" s="141">
        <v>3202918</v>
      </c>
      <c r="AJ7" s="73">
        <f t="shared" si="3"/>
        <v>5553036</v>
      </c>
      <c r="AK7" s="141">
        <v>3604927</v>
      </c>
      <c r="AL7" s="141">
        <v>1948109</v>
      </c>
      <c r="AM7" s="141">
        <v>141939766</v>
      </c>
      <c r="AN7" s="73">
        <f t="shared" si="4"/>
        <v>63198407</v>
      </c>
      <c r="AO7" s="141">
        <v>33766471</v>
      </c>
      <c r="AP7" s="141">
        <v>14660821</v>
      </c>
      <c r="AQ7" s="74"/>
      <c r="AR7" s="141">
        <v>14771115</v>
      </c>
      <c r="AS7" s="141">
        <v>4979133</v>
      </c>
      <c r="AT7" s="141">
        <v>0</v>
      </c>
      <c r="AU7" s="141">
        <v>9618</v>
      </c>
      <c r="AV7" s="141">
        <v>25824608</v>
      </c>
      <c r="AW7" s="141">
        <v>17670166</v>
      </c>
      <c r="AX7" s="141">
        <v>5283076</v>
      </c>
      <c r="AY7" s="141">
        <v>93888</v>
      </c>
      <c r="AZ7" s="141">
        <v>8154442</v>
      </c>
      <c r="BA7" s="141">
        <v>20564</v>
      </c>
      <c r="BB7" s="141">
        <v>7537187</v>
      </c>
      <c r="BC7" s="141">
        <v>6943218</v>
      </c>
      <c r="BD7" s="141">
        <v>305909</v>
      </c>
      <c r="BE7" s="141">
        <v>3552740</v>
      </c>
      <c r="BF7" s="141">
        <v>2633520</v>
      </c>
      <c r="BG7" s="141">
        <v>4176</v>
      </c>
      <c r="BH7" s="141">
        <v>845050</v>
      </c>
      <c r="BI7" s="141">
        <v>0</v>
      </c>
      <c r="BJ7" s="141">
        <v>2351626</v>
      </c>
      <c r="BK7" s="141">
        <v>1429977</v>
      </c>
      <c r="BL7" s="141">
        <v>7298925</v>
      </c>
      <c r="BM7" s="141">
        <v>1261195</v>
      </c>
      <c r="BN7" s="141">
        <v>309751</v>
      </c>
      <c r="BO7" s="141">
        <v>2084611</v>
      </c>
      <c r="BP7" s="141">
        <v>42982500</v>
      </c>
      <c r="BQ7" s="73">
        <f t="shared" si="5"/>
        <v>14213500</v>
      </c>
      <c r="BR7" s="73">
        <f t="shared" si="6"/>
        <v>28769000</v>
      </c>
      <c r="BS7" s="141">
        <v>0</v>
      </c>
      <c r="BT7" s="140">
        <v>0</v>
      </c>
      <c r="BU7" s="141">
        <v>28769000</v>
      </c>
      <c r="BV7" s="141">
        <v>0</v>
      </c>
      <c r="BW7" s="141">
        <v>469487091</v>
      </c>
      <c r="BX7" s="71"/>
      <c r="BY7" s="141">
        <v>86141854</v>
      </c>
      <c r="BZ7" s="141">
        <v>60969579</v>
      </c>
      <c r="CA7" s="141">
        <v>4640142</v>
      </c>
      <c r="CB7" s="141">
        <v>5761556</v>
      </c>
      <c r="CC7" s="141">
        <v>159222889</v>
      </c>
      <c r="CD7" s="141">
        <v>42541403</v>
      </c>
      <c r="CE7" s="141">
        <v>449018</v>
      </c>
      <c r="CF7" s="141">
        <v>64383550</v>
      </c>
      <c r="CG7" s="141">
        <v>44902585</v>
      </c>
      <c r="CH7" s="141">
        <v>4732275</v>
      </c>
      <c r="CI7" s="141">
        <v>2214034</v>
      </c>
      <c r="CJ7" s="141">
        <v>39692617</v>
      </c>
      <c r="CK7" s="141">
        <v>36133834</v>
      </c>
      <c r="CL7" s="83">
        <f t="shared" si="7"/>
        <v>3558783</v>
      </c>
      <c r="CM7" s="141">
        <v>51860346</v>
      </c>
      <c r="CN7" s="141">
        <v>38072507</v>
      </c>
      <c r="CO7" s="102"/>
      <c r="CP7" s="141">
        <v>5813985</v>
      </c>
      <c r="CQ7" s="141">
        <v>5515607</v>
      </c>
      <c r="CR7" s="141">
        <v>24918045</v>
      </c>
      <c r="CS7" s="141">
        <v>18748</v>
      </c>
      <c r="CT7" s="141">
        <v>7059860</v>
      </c>
      <c r="CU7" s="141">
        <v>3549685</v>
      </c>
      <c r="CV7" s="73">
        <f t="shared" si="8"/>
        <v>7753396</v>
      </c>
      <c r="CW7" s="141">
        <v>6764051</v>
      </c>
      <c r="CX7" s="141">
        <v>989345</v>
      </c>
      <c r="CY7" s="73">
        <f t="shared" si="9"/>
        <v>0</v>
      </c>
      <c r="CZ7" s="141">
        <v>0</v>
      </c>
      <c r="DA7" s="141">
        <v>0</v>
      </c>
      <c r="DB7" s="73">
        <f t="shared" si="10"/>
        <v>7608255</v>
      </c>
      <c r="DC7" s="141">
        <v>6635033</v>
      </c>
      <c r="DD7" s="141">
        <v>973222</v>
      </c>
      <c r="DE7" s="141">
        <v>32412252</v>
      </c>
      <c r="DF7" s="141">
        <v>15967623</v>
      </c>
      <c r="DG7" s="141">
        <v>16068220</v>
      </c>
      <c r="DH7" s="141">
        <v>0</v>
      </c>
      <c r="DI7" s="141">
        <v>64590</v>
      </c>
      <c r="DJ7" s="141">
        <v>14620</v>
      </c>
      <c r="DK7" s="141">
        <v>25560260</v>
      </c>
      <c r="DL7" s="141">
        <v>10241007</v>
      </c>
      <c r="DM7" s="141">
        <v>8678297</v>
      </c>
      <c r="DN7" s="141">
        <v>6640956</v>
      </c>
      <c r="DO7" s="141">
        <v>77000</v>
      </c>
      <c r="DP7" s="141">
        <v>0</v>
      </c>
      <c r="DQ7" s="141">
        <v>0</v>
      </c>
      <c r="DR7" s="141">
        <v>0</v>
      </c>
      <c r="DS7" s="141">
        <v>999131</v>
      </c>
      <c r="DT7" s="141">
        <v>0</v>
      </c>
      <c r="DU7" s="141">
        <v>0</v>
      </c>
      <c r="DV7" s="141">
        <v>34813042</v>
      </c>
      <c r="DW7" s="141">
        <v>0</v>
      </c>
      <c r="DX7" s="73">
        <f t="shared" si="11"/>
        <v>0</v>
      </c>
      <c r="DY7" s="141">
        <v>0</v>
      </c>
      <c r="DZ7" s="141">
        <v>12779252</v>
      </c>
      <c r="EA7" s="141">
        <v>0</v>
      </c>
      <c r="EB7" s="141">
        <v>8821826</v>
      </c>
      <c r="EC7" s="74">
        <v>0</v>
      </c>
      <c r="ED7" s="141">
        <v>13196447</v>
      </c>
      <c r="EE7" s="141">
        <v>0</v>
      </c>
      <c r="EF7" s="141">
        <v>461227663</v>
      </c>
      <c r="EG7" s="71"/>
      <c r="EH7" s="141">
        <v>8259428</v>
      </c>
      <c r="EI7" s="141">
        <v>967248</v>
      </c>
      <c r="EJ7" s="141">
        <v>7292180</v>
      </c>
      <c r="EK7" s="141">
        <v>5862344</v>
      </c>
      <c r="EL7" s="141">
        <v>13469831</v>
      </c>
      <c r="EM7" s="71"/>
      <c r="EN7" s="141">
        <v>826161</v>
      </c>
      <c r="EO7" s="141">
        <v>826158</v>
      </c>
      <c r="EP7" s="141">
        <v>2707672</v>
      </c>
      <c r="EQ7" s="141">
        <v>6772642</v>
      </c>
      <c r="ER7" s="73">
        <f t="shared" si="12"/>
        <v>23887163</v>
      </c>
      <c r="ES7" s="141">
        <v>228937876</v>
      </c>
      <c r="ET7" s="141">
        <v>-55733693</v>
      </c>
      <c r="EU7" s="141">
        <v>72725961</v>
      </c>
      <c r="EV7" s="141">
        <v>48247394</v>
      </c>
      <c r="EW7" s="141">
        <v>42007660</v>
      </c>
      <c r="EX7" s="141">
        <v>39559693</v>
      </c>
      <c r="EY7" s="73">
        <f t="shared" si="13"/>
        <v>7071736</v>
      </c>
      <c r="EZ7" s="141">
        <v>7066276</v>
      </c>
      <c r="FA7" s="141">
        <v>819391</v>
      </c>
      <c r="FB7" s="141">
        <v>6244966</v>
      </c>
      <c r="FC7" s="141">
        <v>5460</v>
      </c>
      <c r="FD7" s="141">
        <v>0</v>
      </c>
      <c r="FE7" s="141">
        <v>36714100</v>
      </c>
      <c r="FF7" s="141">
        <v>21718749</v>
      </c>
      <c r="FG7" s="141">
        <v>18748</v>
      </c>
      <c r="FH7" s="141">
        <v>27673578</v>
      </c>
      <c r="FI7" s="73">
        <f t="shared" si="14"/>
        <v>29276376</v>
      </c>
      <c r="FJ7" s="141">
        <v>276747853</v>
      </c>
      <c r="FK7" s="379">
        <f t="shared" si="15"/>
        <v>3.1</v>
      </c>
      <c r="FL7" s="141">
        <v>207244910</v>
      </c>
      <c r="FM7" s="141">
        <v>28769166</v>
      </c>
      <c r="FN7" s="141">
        <v>131657516</v>
      </c>
      <c r="FO7" s="141">
        <v>174085145</v>
      </c>
      <c r="FP7" s="143">
        <v>0.78700000000000003</v>
      </c>
      <c r="FQ7" s="380">
        <v>93.7</v>
      </c>
      <c r="FR7" s="143">
        <v>29.1</v>
      </c>
      <c r="FS7" s="380">
        <v>16.3</v>
      </c>
      <c r="FT7" s="380">
        <v>15.9</v>
      </c>
      <c r="FU7" s="381">
        <v>13</v>
      </c>
      <c r="FV7" s="380">
        <v>6.8</v>
      </c>
      <c r="FW7" s="382">
        <v>10.9</v>
      </c>
      <c r="FX7" s="383">
        <v>6.1</v>
      </c>
      <c r="FY7" s="141">
        <v>481398264</v>
      </c>
      <c r="FZ7" s="384">
        <f t="shared" si="16"/>
        <v>204</v>
      </c>
      <c r="GA7" s="141">
        <v>65474161</v>
      </c>
      <c r="GB7" s="141">
        <v>16171849</v>
      </c>
      <c r="GC7" s="141">
        <v>9664618</v>
      </c>
      <c r="GD7" s="141">
        <v>39637694</v>
      </c>
      <c r="GE7" s="107">
        <v>0</v>
      </c>
      <c r="GF7" s="385"/>
      <c r="GG7" s="386"/>
      <c r="GH7" s="380">
        <v>99.4</v>
      </c>
      <c r="GI7" s="380">
        <v>65.099999999999994</v>
      </c>
      <c r="GJ7" s="380">
        <v>98.6</v>
      </c>
      <c r="GK7" s="141">
        <v>9528</v>
      </c>
      <c r="GL7" s="153" t="s">
        <v>646</v>
      </c>
      <c r="GM7" s="143">
        <v>11.25</v>
      </c>
      <c r="GN7" s="117">
        <v>20</v>
      </c>
      <c r="GO7" s="153" t="s">
        <v>646</v>
      </c>
      <c r="GP7" s="143">
        <v>16.25</v>
      </c>
      <c r="GQ7" s="387">
        <v>30</v>
      </c>
      <c r="GR7" s="380">
        <v>6.1</v>
      </c>
      <c r="GS7" s="388">
        <v>25</v>
      </c>
      <c r="GT7" s="388">
        <v>35</v>
      </c>
      <c r="GU7" s="143" t="s">
        <v>646</v>
      </c>
      <c r="GV7" s="389">
        <v>400</v>
      </c>
      <c r="GX7" s="100">
        <f t="shared" si="17"/>
        <v>236014</v>
      </c>
    </row>
    <row r="8" spans="2:232" x14ac:dyDescent="0.15">
      <c r="B8" s="89" t="s">
        <v>5</v>
      </c>
      <c r="C8" s="141">
        <v>24602340</v>
      </c>
      <c r="D8" s="73">
        <f t="shared" si="0"/>
        <v>9211699</v>
      </c>
      <c r="E8" s="141">
        <v>309739</v>
      </c>
      <c r="F8" s="141">
        <v>8901960</v>
      </c>
      <c r="G8" s="73">
        <f t="shared" si="1"/>
        <v>1461004</v>
      </c>
      <c r="H8" s="141">
        <v>452946</v>
      </c>
      <c r="I8" s="141">
        <v>1008058</v>
      </c>
      <c r="J8" s="141">
        <v>10004780</v>
      </c>
      <c r="K8" s="141">
        <v>4126451</v>
      </c>
      <c r="L8" s="141">
        <v>4243928</v>
      </c>
      <c r="M8" s="141">
        <v>1338143</v>
      </c>
      <c r="N8" s="141">
        <v>1488339</v>
      </c>
      <c r="O8" s="141">
        <v>1967700</v>
      </c>
      <c r="P8" s="141">
        <v>1098374</v>
      </c>
      <c r="Q8" s="141">
        <v>869326</v>
      </c>
      <c r="R8" s="141">
        <v>363363</v>
      </c>
      <c r="S8" s="74"/>
      <c r="T8" s="73">
        <f t="shared" si="2"/>
        <v>5076178</v>
      </c>
      <c r="U8" s="141">
        <v>26036</v>
      </c>
      <c r="V8" s="141">
        <v>205912</v>
      </c>
      <c r="W8" s="141">
        <v>231529</v>
      </c>
      <c r="X8" s="141">
        <v>4221220</v>
      </c>
      <c r="Y8" s="141">
        <v>39450</v>
      </c>
      <c r="Z8" s="141">
        <v>0</v>
      </c>
      <c r="AA8" s="141">
        <v>0</v>
      </c>
      <c r="AB8" s="141">
        <v>70949</v>
      </c>
      <c r="AC8" s="141">
        <v>281082</v>
      </c>
      <c r="AD8" s="141">
        <v>448979</v>
      </c>
      <c r="AE8" s="141">
        <v>14725512</v>
      </c>
      <c r="AF8" s="141">
        <v>14420144</v>
      </c>
      <c r="AG8" s="141">
        <v>305368</v>
      </c>
      <c r="AH8" s="141">
        <v>30193</v>
      </c>
      <c r="AI8" s="141">
        <v>331074</v>
      </c>
      <c r="AJ8" s="73">
        <f t="shared" si="3"/>
        <v>1240363</v>
      </c>
      <c r="AK8" s="141">
        <v>876768</v>
      </c>
      <c r="AL8" s="141">
        <v>363595</v>
      </c>
      <c r="AM8" s="141">
        <v>25956579</v>
      </c>
      <c r="AN8" s="73">
        <f t="shared" si="4"/>
        <v>12594810</v>
      </c>
      <c r="AO8" s="141">
        <v>7618060</v>
      </c>
      <c r="AP8" s="141">
        <v>2252004</v>
      </c>
      <c r="AQ8" s="74"/>
      <c r="AR8" s="141">
        <v>2724746</v>
      </c>
      <c r="AS8" s="141">
        <v>206950</v>
      </c>
      <c r="AT8" s="141">
        <v>0</v>
      </c>
      <c r="AU8" s="141">
        <v>0</v>
      </c>
      <c r="AV8" s="141">
        <v>6243056</v>
      </c>
      <c r="AW8" s="141">
        <v>3996618</v>
      </c>
      <c r="AX8" s="141">
        <v>988192</v>
      </c>
      <c r="AY8" s="141">
        <v>162725</v>
      </c>
      <c r="AZ8" s="141">
        <v>2246438</v>
      </c>
      <c r="BA8" s="141">
        <v>16149</v>
      </c>
      <c r="BB8" s="141">
        <v>3232289</v>
      </c>
      <c r="BC8" s="141">
        <v>3026928</v>
      </c>
      <c r="BD8" s="141">
        <v>1105555</v>
      </c>
      <c r="BE8" s="141">
        <v>372847</v>
      </c>
      <c r="BF8" s="141">
        <v>0</v>
      </c>
      <c r="BG8" s="141">
        <v>0</v>
      </c>
      <c r="BH8" s="141">
        <v>245989</v>
      </c>
      <c r="BI8" s="141">
        <v>0</v>
      </c>
      <c r="BJ8" s="141">
        <v>492300</v>
      </c>
      <c r="BK8" s="141">
        <v>202509</v>
      </c>
      <c r="BL8" s="141">
        <v>1096940</v>
      </c>
      <c r="BM8" s="141">
        <v>0</v>
      </c>
      <c r="BN8" s="141">
        <v>0</v>
      </c>
      <c r="BO8" s="141">
        <v>552236</v>
      </c>
      <c r="BP8" s="141">
        <v>2440200</v>
      </c>
      <c r="BQ8" s="73">
        <f t="shared" si="5"/>
        <v>783300</v>
      </c>
      <c r="BR8" s="73">
        <f t="shared" si="6"/>
        <v>1656900</v>
      </c>
      <c r="BS8" s="141">
        <v>0</v>
      </c>
      <c r="BT8" s="141">
        <v>0</v>
      </c>
      <c r="BU8" s="141">
        <v>1656900</v>
      </c>
      <c r="BV8" s="141">
        <v>0</v>
      </c>
      <c r="BW8" s="141">
        <v>87757768</v>
      </c>
      <c r="BX8" s="71"/>
      <c r="BY8" s="141">
        <v>12453354</v>
      </c>
      <c r="BZ8" s="141">
        <v>8026766</v>
      </c>
      <c r="CA8" s="141">
        <v>655982</v>
      </c>
      <c r="CB8" s="141">
        <v>1580604</v>
      </c>
      <c r="CC8" s="141">
        <v>32284206</v>
      </c>
      <c r="CD8" s="141">
        <v>8053929</v>
      </c>
      <c r="CE8" s="141">
        <v>28473</v>
      </c>
      <c r="CF8" s="141">
        <v>12870889</v>
      </c>
      <c r="CG8" s="141">
        <v>10058556</v>
      </c>
      <c r="CH8" s="141">
        <v>7672</v>
      </c>
      <c r="CI8" s="141">
        <v>1264387</v>
      </c>
      <c r="CJ8" s="141">
        <v>6696131</v>
      </c>
      <c r="CK8" s="141">
        <v>6401719</v>
      </c>
      <c r="CL8" s="83">
        <f t="shared" si="7"/>
        <v>294412</v>
      </c>
      <c r="CM8" s="141">
        <v>9945169</v>
      </c>
      <c r="CN8" s="141">
        <v>7128019</v>
      </c>
      <c r="CO8" s="102"/>
      <c r="CP8" s="141">
        <v>1242307</v>
      </c>
      <c r="CQ8" s="141">
        <v>563604</v>
      </c>
      <c r="CR8" s="141">
        <v>6884289</v>
      </c>
      <c r="CS8" s="141">
        <v>1187510</v>
      </c>
      <c r="CT8" s="141">
        <v>938179</v>
      </c>
      <c r="CU8" s="141">
        <v>846344</v>
      </c>
      <c r="CV8" s="73">
        <f t="shared" si="8"/>
        <v>3273574</v>
      </c>
      <c r="CW8" s="141">
        <v>1941305</v>
      </c>
      <c r="CX8" s="141">
        <v>1332269</v>
      </c>
      <c r="CY8" s="73">
        <f t="shared" si="9"/>
        <v>1022547</v>
      </c>
      <c r="CZ8" s="141">
        <v>829999</v>
      </c>
      <c r="DA8" s="141">
        <v>192548</v>
      </c>
      <c r="DB8" s="73">
        <f t="shared" si="10"/>
        <v>2165478</v>
      </c>
      <c r="DC8" s="141">
        <v>1080323</v>
      </c>
      <c r="DD8" s="141">
        <v>1085155</v>
      </c>
      <c r="DE8" s="141">
        <v>2700537</v>
      </c>
      <c r="DF8" s="141">
        <v>1322240</v>
      </c>
      <c r="DG8" s="141">
        <v>1277778</v>
      </c>
      <c r="DH8" s="141">
        <v>100519</v>
      </c>
      <c r="DI8" s="141">
        <v>0</v>
      </c>
      <c r="DJ8" s="141">
        <v>94104</v>
      </c>
      <c r="DK8" s="141">
        <v>5084263</v>
      </c>
      <c r="DL8" s="141">
        <v>1770365</v>
      </c>
      <c r="DM8" s="141">
        <v>678000</v>
      </c>
      <c r="DN8" s="141">
        <v>2635898</v>
      </c>
      <c r="DO8" s="141">
        <v>669168</v>
      </c>
      <c r="DP8" s="141">
        <v>669168</v>
      </c>
      <c r="DQ8" s="141">
        <v>85000</v>
      </c>
      <c r="DR8" s="141">
        <v>417620</v>
      </c>
      <c r="DS8" s="141">
        <v>0</v>
      </c>
      <c r="DT8" s="141">
        <v>0</v>
      </c>
      <c r="DU8" s="141">
        <v>0</v>
      </c>
      <c r="DV8" s="141">
        <v>7945621</v>
      </c>
      <c r="DW8" s="141">
        <v>0</v>
      </c>
      <c r="DX8" s="73">
        <f t="shared" si="11"/>
        <v>0</v>
      </c>
      <c r="DY8" s="141">
        <v>0</v>
      </c>
      <c r="DZ8" s="141">
        <v>3087565</v>
      </c>
      <c r="EA8" s="141">
        <v>0</v>
      </c>
      <c r="EB8" s="141">
        <v>2197497</v>
      </c>
      <c r="EC8" s="74">
        <v>0</v>
      </c>
      <c r="ED8" s="141">
        <v>2660559</v>
      </c>
      <c r="EE8" s="141">
        <v>0</v>
      </c>
      <c r="EF8" s="141">
        <v>85320446</v>
      </c>
      <c r="EG8" s="71"/>
      <c r="EH8" s="141">
        <v>2437322</v>
      </c>
      <c r="EI8" s="141">
        <v>160975</v>
      </c>
      <c r="EJ8" s="141">
        <v>2276347</v>
      </c>
      <c r="EK8" s="141">
        <v>1476636</v>
      </c>
      <c r="EL8" s="141">
        <v>3247001</v>
      </c>
      <c r="EM8" s="71"/>
      <c r="EN8" s="141">
        <v>190658</v>
      </c>
      <c r="EO8" s="141">
        <v>190853</v>
      </c>
      <c r="EP8" s="141">
        <v>17523</v>
      </c>
      <c r="EQ8" s="141">
        <v>3231859</v>
      </c>
      <c r="ER8" s="73">
        <f t="shared" si="12"/>
        <v>3341929</v>
      </c>
      <c r="ES8" s="141">
        <v>45246565</v>
      </c>
      <c r="ET8" s="141">
        <v>-8218018</v>
      </c>
      <c r="EU8" s="141">
        <v>11277162</v>
      </c>
      <c r="EV8" s="141">
        <v>7272091</v>
      </c>
      <c r="EW8" s="141">
        <v>7534571</v>
      </c>
      <c r="EX8" s="141">
        <v>6667195</v>
      </c>
      <c r="EY8" s="73">
        <f t="shared" si="13"/>
        <v>971711</v>
      </c>
      <c r="EZ8" s="141">
        <v>958887</v>
      </c>
      <c r="FA8" s="141">
        <v>74401</v>
      </c>
      <c r="FB8" s="141">
        <v>830737</v>
      </c>
      <c r="FC8" s="141">
        <v>12824</v>
      </c>
      <c r="FD8" s="141">
        <v>0</v>
      </c>
      <c r="FE8" s="141">
        <v>6964999</v>
      </c>
      <c r="FF8" s="141">
        <v>6274883</v>
      </c>
      <c r="FG8" s="141">
        <v>1187510</v>
      </c>
      <c r="FH8" s="141">
        <v>6160454</v>
      </c>
      <c r="FI8" s="73">
        <f t="shared" si="14"/>
        <v>5176286</v>
      </c>
      <c r="FJ8" s="141">
        <v>51027261</v>
      </c>
      <c r="FK8" s="379">
        <f t="shared" si="15"/>
        <v>5.0999999999999996</v>
      </c>
      <c r="FL8" s="141">
        <v>41735372</v>
      </c>
      <c r="FM8" s="141">
        <v>3246544</v>
      </c>
      <c r="FN8" s="141">
        <v>21543487</v>
      </c>
      <c r="FO8" s="141">
        <v>35963631</v>
      </c>
      <c r="FP8" s="390">
        <v>0.61499999999999999</v>
      </c>
      <c r="FQ8" s="380">
        <v>92.4</v>
      </c>
      <c r="FR8" s="381">
        <v>24.4</v>
      </c>
      <c r="FS8" s="380">
        <v>16.7</v>
      </c>
      <c r="FT8" s="380">
        <v>14.8</v>
      </c>
      <c r="FU8" s="381">
        <v>12.5</v>
      </c>
      <c r="FV8" s="380">
        <v>9.6</v>
      </c>
      <c r="FW8" s="382">
        <v>12.7</v>
      </c>
      <c r="FX8" s="383">
        <v>6</v>
      </c>
      <c r="FY8" s="141">
        <v>58261587</v>
      </c>
      <c r="FZ8" s="384">
        <f t="shared" si="16"/>
        <v>129.5</v>
      </c>
      <c r="GA8" s="141">
        <v>13218074</v>
      </c>
      <c r="GB8" s="141">
        <v>5119565</v>
      </c>
      <c r="GC8" s="141">
        <v>718453</v>
      </c>
      <c r="GD8" s="141">
        <v>7380056</v>
      </c>
      <c r="GE8" s="107">
        <v>0</v>
      </c>
      <c r="GF8" s="385"/>
      <c r="GG8" s="386"/>
      <c r="GH8" s="380">
        <v>99.4</v>
      </c>
      <c r="GI8" s="380">
        <v>63.3</v>
      </c>
      <c r="GJ8" s="380">
        <v>98.8</v>
      </c>
      <c r="GK8" s="141">
        <v>1304</v>
      </c>
      <c r="GL8" s="391" t="s">
        <v>646</v>
      </c>
      <c r="GM8" s="391">
        <v>11.34</v>
      </c>
      <c r="GN8" s="117">
        <v>20</v>
      </c>
      <c r="GO8" s="391" t="s">
        <v>646</v>
      </c>
      <c r="GP8" s="392">
        <v>16.34</v>
      </c>
      <c r="GQ8" s="387">
        <v>30</v>
      </c>
      <c r="GR8" s="381">
        <v>6</v>
      </c>
      <c r="GS8" s="388">
        <v>25</v>
      </c>
      <c r="GT8" s="388">
        <v>35</v>
      </c>
      <c r="GU8" s="393" t="s">
        <v>646</v>
      </c>
      <c r="GV8" s="388">
        <v>350</v>
      </c>
      <c r="GW8" s="394"/>
      <c r="GX8" s="100">
        <f t="shared" si="17"/>
        <v>44982</v>
      </c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  <c r="HW8" s="394"/>
      <c r="HX8" s="394"/>
    </row>
    <row r="9" spans="2:232" x14ac:dyDescent="0.15">
      <c r="B9" s="89" t="s">
        <v>7</v>
      </c>
      <c r="C9" s="141">
        <v>70522289</v>
      </c>
      <c r="D9" s="73">
        <f t="shared" si="0"/>
        <v>31140674</v>
      </c>
      <c r="E9" s="141">
        <v>683692</v>
      </c>
      <c r="F9" s="141">
        <v>30456982</v>
      </c>
      <c r="G9" s="73">
        <f t="shared" si="1"/>
        <v>3948775</v>
      </c>
      <c r="H9" s="141">
        <v>1157602</v>
      </c>
      <c r="I9" s="141">
        <v>2791173</v>
      </c>
      <c r="J9" s="141">
        <v>25477724</v>
      </c>
      <c r="K9" s="141">
        <v>10220810</v>
      </c>
      <c r="L9" s="141">
        <v>12475491</v>
      </c>
      <c r="M9" s="141">
        <v>2586085</v>
      </c>
      <c r="N9" s="141">
        <v>2619051</v>
      </c>
      <c r="O9" s="141">
        <v>5953681</v>
      </c>
      <c r="P9" s="141">
        <v>3184729</v>
      </c>
      <c r="Q9" s="141">
        <v>2768952</v>
      </c>
      <c r="R9" s="141">
        <v>2074377</v>
      </c>
      <c r="S9" s="74"/>
      <c r="T9" s="73">
        <f t="shared" si="2"/>
        <v>10948454</v>
      </c>
      <c r="U9" s="141">
        <v>87934</v>
      </c>
      <c r="V9" s="141">
        <v>696872</v>
      </c>
      <c r="W9" s="141">
        <v>784862</v>
      </c>
      <c r="X9" s="141">
        <v>8609467</v>
      </c>
      <c r="Y9" s="141">
        <v>0</v>
      </c>
      <c r="Z9" s="141">
        <v>0</v>
      </c>
      <c r="AA9" s="141">
        <v>0</v>
      </c>
      <c r="AB9" s="141">
        <v>122670</v>
      </c>
      <c r="AC9" s="141">
        <v>646649</v>
      </c>
      <c r="AD9" s="141">
        <v>782950</v>
      </c>
      <c r="AE9" s="141">
        <v>9528562</v>
      </c>
      <c r="AF9" s="141">
        <v>8969183</v>
      </c>
      <c r="AG9" s="141">
        <v>559338</v>
      </c>
      <c r="AH9" s="141">
        <v>45671</v>
      </c>
      <c r="AI9" s="141">
        <v>1040317</v>
      </c>
      <c r="AJ9" s="73">
        <f t="shared" si="3"/>
        <v>2048219</v>
      </c>
      <c r="AK9" s="141">
        <v>1750565</v>
      </c>
      <c r="AL9" s="141">
        <v>297654</v>
      </c>
      <c r="AM9" s="141">
        <v>52310637</v>
      </c>
      <c r="AN9" s="73">
        <f t="shared" si="4"/>
        <v>19212392</v>
      </c>
      <c r="AO9" s="141">
        <v>13329727</v>
      </c>
      <c r="AP9" s="141">
        <v>447207</v>
      </c>
      <c r="AQ9" s="74"/>
      <c r="AR9" s="141">
        <v>5435458</v>
      </c>
      <c r="AS9" s="141">
        <v>1590953</v>
      </c>
      <c r="AT9" s="141">
        <v>0</v>
      </c>
      <c r="AU9" s="141">
        <v>0</v>
      </c>
      <c r="AV9" s="141">
        <v>11796369</v>
      </c>
      <c r="AW9" s="141">
        <v>8335939</v>
      </c>
      <c r="AX9" s="141">
        <v>0</v>
      </c>
      <c r="AY9" s="141">
        <v>64866</v>
      </c>
      <c r="AZ9" s="141">
        <v>3460430</v>
      </c>
      <c r="BA9" s="141">
        <v>0</v>
      </c>
      <c r="BB9" s="141">
        <v>406928</v>
      </c>
      <c r="BC9" s="141">
        <v>295979</v>
      </c>
      <c r="BD9" s="141">
        <v>405925</v>
      </c>
      <c r="BE9" s="141">
        <v>441842</v>
      </c>
      <c r="BF9" s="141">
        <v>0</v>
      </c>
      <c r="BG9" s="141">
        <v>157730</v>
      </c>
      <c r="BH9" s="141">
        <v>145737</v>
      </c>
      <c r="BI9" s="141">
        <v>0</v>
      </c>
      <c r="BJ9" s="141">
        <v>5153072</v>
      </c>
      <c r="BK9" s="141">
        <v>3803363</v>
      </c>
      <c r="BL9" s="141">
        <v>3051603</v>
      </c>
      <c r="BM9" s="141">
        <v>109439</v>
      </c>
      <c r="BN9" s="141">
        <v>0</v>
      </c>
      <c r="BO9" s="141">
        <v>365100</v>
      </c>
      <c r="BP9" s="141">
        <v>11991384</v>
      </c>
      <c r="BQ9" s="73">
        <f t="shared" si="5"/>
        <v>3159900</v>
      </c>
      <c r="BR9" s="73">
        <f t="shared" si="6"/>
        <v>8831484</v>
      </c>
      <c r="BS9" s="141">
        <v>0</v>
      </c>
      <c r="BT9" s="141">
        <v>0</v>
      </c>
      <c r="BU9" s="141">
        <v>8831484</v>
      </c>
      <c r="BV9" s="141">
        <v>0</v>
      </c>
      <c r="BW9" s="141">
        <v>182548599</v>
      </c>
      <c r="BX9" s="71"/>
      <c r="BY9" s="141">
        <v>26960905</v>
      </c>
      <c r="BZ9" s="141">
        <v>16781941</v>
      </c>
      <c r="CA9" s="141">
        <v>1259382</v>
      </c>
      <c r="CB9" s="141">
        <v>4289537</v>
      </c>
      <c r="CC9" s="141">
        <v>65733165</v>
      </c>
      <c r="CD9" s="141">
        <v>17665804</v>
      </c>
      <c r="CE9" s="141">
        <v>178387</v>
      </c>
      <c r="CF9" s="141">
        <v>28980847</v>
      </c>
      <c r="CG9" s="141">
        <v>17606083</v>
      </c>
      <c r="CH9" s="141">
        <v>979745</v>
      </c>
      <c r="CI9" s="141">
        <v>321801</v>
      </c>
      <c r="CJ9" s="141">
        <v>9510056</v>
      </c>
      <c r="CK9" s="141">
        <v>9220812</v>
      </c>
      <c r="CL9" s="83">
        <f t="shared" si="7"/>
        <v>289244</v>
      </c>
      <c r="CM9" s="141">
        <v>24096679</v>
      </c>
      <c r="CN9" s="141">
        <v>16851572</v>
      </c>
      <c r="CO9" s="102"/>
      <c r="CP9" s="141">
        <v>3839195</v>
      </c>
      <c r="CQ9" s="141">
        <v>1298260</v>
      </c>
      <c r="CR9" s="141">
        <v>14832829</v>
      </c>
      <c r="CS9" s="141">
        <v>1359197</v>
      </c>
      <c r="CT9" s="141">
        <v>3930600</v>
      </c>
      <c r="CU9" s="141">
        <v>3930531</v>
      </c>
      <c r="CV9" s="73">
        <f t="shared" si="8"/>
        <v>5338601</v>
      </c>
      <c r="CW9" s="141">
        <v>4798812</v>
      </c>
      <c r="CX9" s="141">
        <v>539789</v>
      </c>
      <c r="CY9" s="73">
        <f t="shared" si="9"/>
        <v>2290802</v>
      </c>
      <c r="CZ9" s="141">
        <v>1905297</v>
      </c>
      <c r="DA9" s="141">
        <v>385505</v>
      </c>
      <c r="DB9" s="73">
        <f t="shared" si="10"/>
        <v>2868703</v>
      </c>
      <c r="DC9" s="141">
        <v>2736434</v>
      </c>
      <c r="DD9" s="141">
        <v>132269</v>
      </c>
      <c r="DE9" s="141">
        <v>10523392</v>
      </c>
      <c r="DF9" s="141">
        <v>4199143</v>
      </c>
      <c r="DG9" s="141">
        <v>6324249</v>
      </c>
      <c r="DH9" s="141">
        <v>0</v>
      </c>
      <c r="DI9" s="141">
        <v>0</v>
      </c>
      <c r="DJ9" s="141">
        <v>0</v>
      </c>
      <c r="DK9" s="141">
        <v>8681346</v>
      </c>
      <c r="DL9" s="141">
        <v>4700880</v>
      </c>
      <c r="DM9" s="141">
        <v>2490674</v>
      </c>
      <c r="DN9" s="141">
        <v>1489792</v>
      </c>
      <c r="DO9" s="141">
        <v>98600</v>
      </c>
      <c r="DP9" s="141">
        <v>98600</v>
      </c>
      <c r="DQ9" s="141">
        <v>98600</v>
      </c>
      <c r="DR9" s="141">
        <v>0</v>
      </c>
      <c r="DS9" s="141">
        <v>79354</v>
      </c>
      <c r="DT9" s="141">
        <v>0</v>
      </c>
      <c r="DU9" s="141">
        <v>0</v>
      </c>
      <c r="DV9" s="141">
        <v>14805105</v>
      </c>
      <c r="DW9" s="141">
        <v>0</v>
      </c>
      <c r="DX9" s="73">
        <f t="shared" si="11"/>
        <v>0</v>
      </c>
      <c r="DY9" s="141">
        <v>0</v>
      </c>
      <c r="DZ9" s="141">
        <v>5287619</v>
      </c>
      <c r="EA9" s="141">
        <v>0</v>
      </c>
      <c r="EB9" s="141">
        <v>3623829</v>
      </c>
      <c r="EC9" s="74">
        <v>0</v>
      </c>
      <c r="ED9" s="141">
        <v>5766230</v>
      </c>
      <c r="EE9" s="141">
        <v>0</v>
      </c>
      <c r="EF9" s="141">
        <v>176619691</v>
      </c>
      <c r="EG9" s="71"/>
      <c r="EH9" s="141">
        <v>5928908</v>
      </c>
      <c r="EI9" s="141">
        <v>402821</v>
      </c>
      <c r="EJ9" s="141">
        <v>5526087</v>
      </c>
      <c r="EK9" s="141">
        <v>1722724</v>
      </c>
      <c r="EL9" s="141">
        <v>6423604</v>
      </c>
      <c r="EM9" s="71"/>
      <c r="EN9" s="141">
        <v>401558</v>
      </c>
      <c r="EO9" s="141">
        <v>408802</v>
      </c>
      <c r="EP9" s="141">
        <v>158730</v>
      </c>
      <c r="EQ9" s="141">
        <v>392674</v>
      </c>
      <c r="ER9" s="73">
        <f t="shared" si="12"/>
        <v>8563509</v>
      </c>
      <c r="ES9" s="141">
        <v>93902303</v>
      </c>
      <c r="ET9" s="141">
        <v>-17900726</v>
      </c>
      <c r="EU9" s="141">
        <v>24808695</v>
      </c>
      <c r="EV9" s="141">
        <v>15598491</v>
      </c>
      <c r="EW9" s="141">
        <v>17061532</v>
      </c>
      <c r="EX9" s="141">
        <v>9389284</v>
      </c>
      <c r="EY9" s="73">
        <f t="shared" si="13"/>
        <v>4305554</v>
      </c>
      <c r="EZ9" s="141">
        <v>4305554</v>
      </c>
      <c r="FA9" s="141">
        <v>776028</v>
      </c>
      <c r="FB9" s="141">
        <v>3529526</v>
      </c>
      <c r="FC9" s="141">
        <v>0</v>
      </c>
      <c r="FD9" s="141">
        <v>0</v>
      </c>
      <c r="FE9" s="141">
        <v>16584593</v>
      </c>
      <c r="FF9" s="141">
        <v>12532043</v>
      </c>
      <c r="FG9" s="141">
        <v>1359197</v>
      </c>
      <c r="FH9" s="141">
        <v>11698040</v>
      </c>
      <c r="FI9" s="73">
        <f t="shared" si="14"/>
        <v>9494380</v>
      </c>
      <c r="FJ9" s="141">
        <v>105874121</v>
      </c>
      <c r="FK9" s="379">
        <f t="shared" si="15"/>
        <v>6.1</v>
      </c>
      <c r="FL9" s="141">
        <v>81461848</v>
      </c>
      <c r="FM9" s="141">
        <v>8831484</v>
      </c>
      <c r="FN9" s="141">
        <v>56119684</v>
      </c>
      <c r="FO9" s="141">
        <v>65698542</v>
      </c>
      <c r="FP9" s="390">
        <v>0.88900000000000001</v>
      </c>
      <c r="FQ9" s="380">
        <v>84.9</v>
      </c>
      <c r="FR9" s="381">
        <v>24.6</v>
      </c>
      <c r="FS9" s="380">
        <v>16.7</v>
      </c>
      <c r="FT9" s="380">
        <v>9.6999999999999993</v>
      </c>
      <c r="FU9" s="381">
        <v>13.4</v>
      </c>
      <c r="FV9" s="380">
        <v>8.6999999999999993</v>
      </c>
      <c r="FW9" s="382">
        <v>10.7</v>
      </c>
      <c r="FX9" s="383">
        <v>2.8</v>
      </c>
      <c r="FY9" s="141">
        <v>89407265</v>
      </c>
      <c r="FZ9" s="384">
        <f t="shared" si="16"/>
        <v>99</v>
      </c>
      <c r="GA9" s="141">
        <v>27866780</v>
      </c>
      <c r="GB9" s="141">
        <v>13181976</v>
      </c>
      <c r="GC9" s="141">
        <v>3850599</v>
      </c>
      <c r="GD9" s="141">
        <v>10834205</v>
      </c>
      <c r="GE9" s="107">
        <v>0</v>
      </c>
      <c r="GF9" s="385"/>
      <c r="GG9" s="386"/>
      <c r="GH9" s="380">
        <v>99.4</v>
      </c>
      <c r="GI9" s="380">
        <v>48.4</v>
      </c>
      <c r="GJ9" s="380">
        <v>97.9</v>
      </c>
      <c r="GK9" s="141">
        <v>2393</v>
      </c>
      <c r="GL9" s="391" t="s">
        <v>646</v>
      </c>
      <c r="GM9" s="391">
        <v>11.25</v>
      </c>
      <c r="GN9" s="117">
        <v>20</v>
      </c>
      <c r="GO9" s="391" t="s">
        <v>646</v>
      </c>
      <c r="GP9" s="392">
        <v>16.25</v>
      </c>
      <c r="GQ9" s="387">
        <v>30</v>
      </c>
      <c r="GR9" s="381">
        <v>2.8</v>
      </c>
      <c r="GS9" s="388">
        <v>25</v>
      </c>
      <c r="GT9" s="388">
        <v>35</v>
      </c>
      <c r="GU9" s="393" t="s">
        <v>646</v>
      </c>
      <c r="GV9" s="388">
        <v>350</v>
      </c>
      <c r="GW9" s="394"/>
      <c r="GX9" s="100">
        <f t="shared" si="17"/>
        <v>90293</v>
      </c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  <c r="HW9" s="394"/>
      <c r="HX9" s="394"/>
    </row>
    <row r="10" spans="2:232" x14ac:dyDescent="0.15">
      <c r="B10" s="89" t="s">
        <v>9</v>
      </c>
      <c r="C10" s="141">
        <v>17090481</v>
      </c>
      <c r="D10" s="73">
        <f t="shared" si="0"/>
        <v>6932031</v>
      </c>
      <c r="E10" s="141">
        <v>177535</v>
      </c>
      <c r="F10" s="141">
        <v>6754496</v>
      </c>
      <c r="G10" s="73">
        <f t="shared" si="1"/>
        <v>1603310</v>
      </c>
      <c r="H10" s="141">
        <v>302181</v>
      </c>
      <c r="I10" s="141">
        <v>1301129</v>
      </c>
      <c r="J10" s="141">
        <v>6423072</v>
      </c>
      <c r="K10" s="141">
        <v>2687434</v>
      </c>
      <c r="L10" s="141">
        <v>2895371</v>
      </c>
      <c r="M10" s="141">
        <v>829283</v>
      </c>
      <c r="N10" s="141">
        <v>551021</v>
      </c>
      <c r="O10" s="141">
        <v>1454319</v>
      </c>
      <c r="P10" s="141">
        <v>824792</v>
      </c>
      <c r="Q10" s="141">
        <v>629527</v>
      </c>
      <c r="R10" s="141">
        <v>224442</v>
      </c>
      <c r="S10" s="74"/>
      <c r="T10" s="73">
        <f t="shared" si="2"/>
        <v>3058497</v>
      </c>
      <c r="U10" s="141">
        <v>20107</v>
      </c>
      <c r="V10" s="141">
        <v>158951</v>
      </c>
      <c r="W10" s="141">
        <v>178656</v>
      </c>
      <c r="X10" s="141">
        <v>2306958</v>
      </c>
      <c r="Y10" s="141">
        <v>59298</v>
      </c>
      <c r="Z10" s="141">
        <v>0</v>
      </c>
      <c r="AA10" s="141">
        <v>0</v>
      </c>
      <c r="AB10" s="141">
        <v>32116</v>
      </c>
      <c r="AC10" s="141">
        <v>302411</v>
      </c>
      <c r="AD10" s="141">
        <v>231029</v>
      </c>
      <c r="AE10" s="141">
        <v>4197097</v>
      </c>
      <c r="AF10" s="141">
        <v>3641456</v>
      </c>
      <c r="AG10" s="141">
        <v>555641</v>
      </c>
      <c r="AH10" s="141">
        <v>12500</v>
      </c>
      <c r="AI10" s="141">
        <v>146478</v>
      </c>
      <c r="AJ10" s="73">
        <f t="shared" si="3"/>
        <v>923031</v>
      </c>
      <c r="AK10" s="141">
        <v>653684</v>
      </c>
      <c r="AL10" s="141">
        <v>269347</v>
      </c>
      <c r="AM10" s="141">
        <v>11348125</v>
      </c>
      <c r="AN10" s="73">
        <f t="shared" si="4"/>
        <v>3319376</v>
      </c>
      <c r="AO10" s="141">
        <v>1233093</v>
      </c>
      <c r="AP10" s="141">
        <v>1116892</v>
      </c>
      <c r="AQ10" s="74"/>
      <c r="AR10" s="141">
        <v>969391</v>
      </c>
      <c r="AS10" s="141">
        <v>850279</v>
      </c>
      <c r="AT10" s="141">
        <v>0</v>
      </c>
      <c r="AU10" s="141">
        <v>0</v>
      </c>
      <c r="AV10" s="141">
        <v>3106965</v>
      </c>
      <c r="AW10" s="141">
        <v>1928146</v>
      </c>
      <c r="AX10" s="141">
        <v>479454</v>
      </c>
      <c r="AY10" s="141">
        <v>74574</v>
      </c>
      <c r="AZ10" s="141">
        <v>1178819</v>
      </c>
      <c r="BA10" s="141">
        <v>21476</v>
      </c>
      <c r="BB10" s="141">
        <v>44221</v>
      </c>
      <c r="BC10" s="141">
        <v>1963</v>
      </c>
      <c r="BD10" s="141">
        <v>153932</v>
      </c>
      <c r="BE10" s="141">
        <v>86165</v>
      </c>
      <c r="BF10" s="141">
        <v>0</v>
      </c>
      <c r="BG10" s="141">
        <v>0</v>
      </c>
      <c r="BH10" s="141">
        <v>76242</v>
      </c>
      <c r="BI10" s="141">
        <v>0</v>
      </c>
      <c r="BJ10" s="141">
        <v>175915</v>
      </c>
      <c r="BK10" s="141">
        <v>110684</v>
      </c>
      <c r="BL10" s="141">
        <v>741359</v>
      </c>
      <c r="BM10" s="141">
        <v>125479</v>
      </c>
      <c r="BN10" s="141">
        <v>2126</v>
      </c>
      <c r="BO10" s="141">
        <v>254413</v>
      </c>
      <c r="BP10" s="141">
        <v>2090900</v>
      </c>
      <c r="BQ10" s="73">
        <f t="shared" si="5"/>
        <v>1790900</v>
      </c>
      <c r="BR10" s="73">
        <f t="shared" si="6"/>
        <v>300000</v>
      </c>
      <c r="BS10" s="141">
        <v>0</v>
      </c>
      <c r="BT10" s="141">
        <v>0</v>
      </c>
      <c r="BU10" s="141">
        <v>300000</v>
      </c>
      <c r="BV10" s="141">
        <v>0</v>
      </c>
      <c r="BW10" s="141">
        <v>43631137</v>
      </c>
      <c r="BX10" s="71"/>
      <c r="BY10" s="141">
        <v>7550131</v>
      </c>
      <c r="BZ10" s="141">
        <v>4400592</v>
      </c>
      <c r="CA10" s="141">
        <v>342530</v>
      </c>
      <c r="CB10" s="141">
        <v>1375916</v>
      </c>
      <c r="CC10" s="141">
        <v>12010835</v>
      </c>
      <c r="CD10" s="141">
        <v>3336086</v>
      </c>
      <c r="CE10" s="141">
        <v>10436</v>
      </c>
      <c r="CF10" s="141">
        <v>6543782</v>
      </c>
      <c r="CG10" s="141">
        <v>1530167</v>
      </c>
      <c r="CH10" s="141">
        <v>15795</v>
      </c>
      <c r="CI10" s="141">
        <v>574469</v>
      </c>
      <c r="CJ10" s="141">
        <v>3201023</v>
      </c>
      <c r="CK10" s="141">
        <v>3054286</v>
      </c>
      <c r="CL10" s="83">
        <f t="shared" si="7"/>
        <v>146737</v>
      </c>
      <c r="CM10" s="141">
        <v>7932267</v>
      </c>
      <c r="CN10" s="141">
        <v>5762698</v>
      </c>
      <c r="CO10" s="102"/>
      <c r="CP10" s="141">
        <v>839550</v>
      </c>
      <c r="CQ10" s="141">
        <v>257553</v>
      </c>
      <c r="CR10" s="141">
        <v>3172702</v>
      </c>
      <c r="CS10" s="141">
        <v>2521</v>
      </c>
      <c r="CT10" s="141">
        <v>978211</v>
      </c>
      <c r="CU10" s="141">
        <v>795415</v>
      </c>
      <c r="CV10" s="73">
        <f t="shared" si="8"/>
        <v>1153896</v>
      </c>
      <c r="CW10" s="141">
        <v>798925</v>
      </c>
      <c r="CX10" s="141">
        <v>354971</v>
      </c>
      <c r="CY10" s="73">
        <f t="shared" si="9"/>
        <v>158136</v>
      </c>
      <c r="CZ10" s="141">
        <v>158136</v>
      </c>
      <c r="DA10" s="141">
        <v>0</v>
      </c>
      <c r="DB10" s="73">
        <f t="shared" si="10"/>
        <v>822640</v>
      </c>
      <c r="DC10" s="141">
        <v>637885</v>
      </c>
      <c r="DD10" s="141">
        <v>184755</v>
      </c>
      <c r="DE10" s="141">
        <v>3552709</v>
      </c>
      <c r="DF10" s="141">
        <v>2101123</v>
      </c>
      <c r="DG10" s="141">
        <v>1451586</v>
      </c>
      <c r="DH10" s="141">
        <v>0</v>
      </c>
      <c r="DI10" s="141">
        <v>0</v>
      </c>
      <c r="DJ10" s="141">
        <v>0</v>
      </c>
      <c r="DK10" s="141">
        <v>198746</v>
      </c>
      <c r="DL10" s="141">
        <v>1704</v>
      </c>
      <c r="DM10" s="141">
        <v>0</v>
      </c>
      <c r="DN10" s="141">
        <v>197042</v>
      </c>
      <c r="DO10" s="141">
        <v>844896</v>
      </c>
      <c r="DP10" s="141">
        <v>844896</v>
      </c>
      <c r="DQ10" s="141">
        <v>0</v>
      </c>
      <c r="DR10" s="141">
        <v>829864</v>
      </c>
      <c r="DS10" s="141">
        <v>121300</v>
      </c>
      <c r="DT10" s="141">
        <v>0</v>
      </c>
      <c r="DU10" s="141">
        <v>0</v>
      </c>
      <c r="DV10" s="141">
        <v>4022320</v>
      </c>
      <c r="DW10" s="141">
        <v>0</v>
      </c>
      <c r="DX10" s="73">
        <f t="shared" si="11"/>
        <v>0</v>
      </c>
      <c r="DY10" s="141">
        <v>0</v>
      </c>
      <c r="DZ10" s="141">
        <v>1474952</v>
      </c>
      <c r="EA10" s="141">
        <v>20323</v>
      </c>
      <c r="EB10" s="141">
        <v>1035884</v>
      </c>
      <c r="EC10" s="74">
        <v>0</v>
      </c>
      <c r="ED10" s="141">
        <v>1491161</v>
      </c>
      <c r="EE10" s="141">
        <v>0</v>
      </c>
      <c r="EF10" s="141">
        <v>42864482</v>
      </c>
      <c r="EG10" s="71"/>
      <c r="EH10" s="141">
        <v>766655</v>
      </c>
      <c r="EI10" s="141">
        <v>255843</v>
      </c>
      <c r="EJ10" s="141">
        <v>510812</v>
      </c>
      <c r="EK10" s="141">
        <v>280128</v>
      </c>
      <c r="EL10" s="141">
        <v>281832</v>
      </c>
      <c r="EM10" s="71"/>
      <c r="EN10" s="141">
        <v>104993</v>
      </c>
      <c r="EO10" s="141">
        <v>103387</v>
      </c>
      <c r="EP10" s="141">
        <v>0</v>
      </c>
      <c r="EQ10" s="141">
        <v>41638</v>
      </c>
      <c r="ER10" s="73">
        <f t="shared" si="12"/>
        <v>1632934</v>
      </c>
      <c r="ES10" s="141">
        <v>24814046</v>
      </c>
      <c r="ET10" s="141">
        <v>-1962072</v>
      </c>
      <c r="EU10" s="141">
        <v>6988811</v>
      </c>
      <c r="EV10" s="141">
        <v>4124666</v>
      </c>
      <c r="EW10" s="141">
        <v>2708795</v>
      </c>
      <c r="EX10" s="141">
        <v>3201023</v>
      </c>
      <c r="EY10" s="73">
        <f t="shared" si="13"/>
        <v>774959</v>
      </c>
      <c r="EZ10" s="141">
        <v>774959</v>
      </c>
      <c r="FA10" s="141">
        <v>154527</v>
      </c>
      <c r="FB10" s="141">
        <v>620432</v>
      </c>
      <c r="FC10" s="141">
        <v>0</v>
      </c>
      <c r="FD10" s="141">
        <v>0</v>
      </c>
      <c r="FE10" s="141">
        <v>5440014</v>
      </c>
      <c r="FF10" s="141">
        <v>2580452</v>
      </c>
      <c r="FG10" s="141">
        <v>2521</v>
      </c>
      <c r="FH10" s="141">
        <v>3196172</v>
      </c>
      <c r="FI10" s="73">
        <f t="shared" si="14"/>
        <v>1119237</v>
      </c>
      <c r="FJ10" s="141">
        <v>26009463</v>
      </c>
      <c r="FK10" s="379">
        <f t="shared" si="15"/>
        <v>2.2000000000000002</v>
      </c>
      <c r="FL10" s="141">
        <v>21314054</v>
      </c>
      <c r="FM10" s="141">
        <v>2356857</v>
      </c>
      <c r="FN10" s="141">
        <v>13754491</v>
      </c>
      <c r="FO10" s="141">
        <v>17395947</v>
      </c>
      <c r="FP10" s="390">
        <v>0.85399999999999998</v>
      </c>
      <c r="FQ10" s="380">
        <v>93</v>
      </c>
      <c r="FR10" s="381">
        <v>28.4</v>
      </c>
      <c r="FS10" s="380">
        <v>11.5</v>
      </c>
      <c r="FT10" s="380">
        <v>13.7</v>
      </c>
      <c r="FU10" s="381">
        <v>19.3</v>
      </c>
      <c r="FV10" s="380">
        <v>6.2</v>
      </c>
      <c r="FW10" s="382">
        <v>13</v>
      </c>
      <c r="FX10" s="383">
        <v>1.1000000000000001</v>
      </c>
      <c r="FY10" s="141">
        <v>35686642</v>
      </c>
      <c r="FZ10" s="384">
        <f t="shared" si="16"/>
        <v>150.80000000000001</v>
      </c>
      <c r="GA10" s="141">
        <v>7241708</v>
      </c>
      <c r="GB10" s="141">
        <v>4933526</v>
      </c>
      <c r="GC10" s="141">
        <v>0</v>
      </c>
      <c r="GD10" s="141">
        <v>2308182</v>
      </c>
      <c r="GE10" s="107">
        <v>0</v>
      </c>
      <c r="GF10" s="385"/>
      <c r="GG10" s="386"/>
      <c r="GH10" s="380">
        <v>99.4</v>
      </c>
      <c r="GI10" s="380">
        <v>45.7</v>
      </c>
      <c r="GJ10" s="380">
        <v>97.9</v>
      </c>
      <c r="GK10" s="141">
        <v>608</v>
      </c>
      <c r="GL10" s="391" t="s">
        <v>646</v>
      </c>
      <c r="GM10" s="391">
        <v>12.18</v>
      </c>
      <c r="GN10" s="117">
        <v>20</v>
      </c>
      <c r="GO10" s="391" t="s">
        <v>646</v>
      </c>
      <c r="GP10" s="392">
        <v>17.18</v>
      </c>
      <c r="GQ10" s="387">
        <v>30</v>
      </c>
      <c r="GR10" s="381">
        <v>1.1000000000000001</v>
      </c>
      <c r="GS10" s="388">
        <v>25</v>
      </c>
      <c r="GT10" s="388">
        <v>35</v>
      </c>
      <c r="GU10" s="393" t="s">
        <v>646</v>
      </c>
      <c r="GV10" s="388">
        <v>350</v>
      </c>
      <c r="GW10" s="394"/>
      <c r="GX10" s="100">
        <f t="shared" si="17"/>
        <v>23671</v>
      </c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  <c r="HW10" s="394"/>
      <c r="HX10" s="394"/>
    </row>
    <row r="11" spans="2:232" x14ac:dyDescent="0.15">
      <c r="B11" s="89" t="s">
        <v>11</v>
      </c>
      <c r="C11" s="141">
        <v>69667524</v>
      </c>
      <c r="D11" s="73">
        <f t="shared" si="0"/>
        <v>29455376</v>
      </c>
      <c r="E11" s="141">
        <v>648464</v>
      </c>
      <c r="F11" s="141">
        <v>28806912</v>
      </c>
      <c r="G11" s="73">
        <f t="shared" si="1"/>
        <v>4062237</v>
      </c>
      <c r="H11" s="141">
        <v>1217939</v>
      </c>
      <c r="I11" s="141">
        <v>2844298</v>
      </c>
      <c r="J11" s="141">
        <v>27089195</v>
      </c>
      <c r="K11" s="141">
        <v>9954593</v>
      </c>
      <c r="L11" s="141">
        <v>13283007</v>
      </c>
      <c r="M11" s="141">
        <v>3222806</v>
      </c>
      <c r="N11" s="141">
        <v>1767907</v>
      </c>
      <c r="O11" s="141">
        <v>5927202</v>
      </c>
      <c r="P11" s="141">
        <v>2974473</v>
      </c>
      <c r="Q11" s="141">
        <v>2952729</v>
      </c>
      <c r="R11" s="141">
        <v>590201</v>
      </c>
      <c r="S11" s="74"/>
      <c r="T11" s="73">
        <f t="shared" si="2"/>
        <v>10662433</v>
      </c>
      <c r="U11" s="141">
        <v>80753</v>
      </c>
      <c r="V11" s="141">
        <v>638669</v>
      </c>
      <c r="W11" s="141">
        <v>718157</v>
      </c>
      <c r="X11" s="141">
        <v>8358580</v>
      </c>
      <c r="Y11" s="141">
        <v>0</v>
      </c>
      <c r="Z11" s="141">
        <v>0</v>
      </c>
      <c r="AA11" s="141">
        <v>0</v>
      </c>
      <c r="AB11" s="141">
        <v>115739</v>
      </c>
      <c r="AC11" s="141">
        <v>750535</v>
      </c>
      <c r="AD11" s="141">
        <v>763200</v>
      </c>
      <c r="AE11" s="141">
        <v>3397950</v>
      </c>
      <c r="AF11" s="141">
        <v>3149627</v>
      </c>
      <c r="AG11" s="141">
        <v>248217</v>
      </c>
      <c r="AH11" s="141">
        <v>40062</v>
      </c>
      <c r="AI11" s="141">
        <v>769227</v>
      </c>
      <c r="AJ11" s="73">
        <f t="shared" si="3"/>
        <v>2360952</v>
      </c>
      <c r="AK11" s="141">
        <v>1817652</v>
      </c>
      <c r="AL11" s="141">
        <v>543300</v>
      </c>
      <c r="AM11" s="141">
        <v>42636840</v>
      </c>
      <c r="AN11" s="73">
        <f t="shared" si="4"/>
        <v>15579979</v>
      </c>
      <c r="AO11" s="141">
        <v>7333862</v>
      </c>
      <c r="AP11" s="141">
        <v>3366263</v>
      </c>
      <c r="AQ11" s="74"/>
      <c r="AR11" s="141">
        <v>4879854</v>
      </c>
      <c r="AS11" s="141">
        <v>2062573</v>
      </c>
      <c r="AT11" s="141">
        <v>0</v>
      </c>
      <c r="AU11" s="141">
        <v>0</v>
      </c>
      <c r="AV11" s="141">
        <v>10364911</v>
      </c>
      <c r="AW11" s="141">
        <v>7173038</v>
      </c>
      <c r="AX11" s="141">
        <v>1378344</v>
      </c>
      <c r="AY11" s="141">
        <v>316760</v>
      </c>
      <c r="AZ11" s="141">
        <v>3191873</v>
      </c>
      <c r="BA11" s="141">
        <v>0</v>
      </c>
      <c r="BB11" s="141">
        <v>503584</v>
      </c>
      <c r="BC11" s="141">
        <v>358908</v>
      </c>
      <c r="BD11" s="141">
        <v>766855</v>
      </c>
      <c r="BE11" s="141">
        <v>1281547</v>
      </c>
      <c r="BF11" s="141">
        <v>0</v>
      </c>
      <c r="BG11" s="141">
        <v>0</v>
      </c>
      <c r="BH11" s="141">
        <v>1258671</v>
      </c>
      <c r="BI11" s="141">
        <v>22540</v>
      </c>
      <c r="BJ11" s="141">
        <v>1323000</v>
      </c>
      <c r="BK11" s="141">
        <v>434904</v>
      </c>
      <c r="BL11" s="141">
        <v>3398873</v>
      </c>
      <c r="BM11" s="141">
        <v>398192</v>
      </c>
      <c r="BN11" s="141">
        <v>17394</v>
      </c>
      <c r="BO11" s="141">
        <v>353584</v>
      </c>
      <c r="BP11" s="141">
        <v>5840000</v>
      </c>
      <c r="BQ11" s="73">
        <f t="shared" si="5"/>
        <v>5840000</v>
      </c>
      <c r="BR11" s="73">
        <f t="shared" si="6"/>
        <v>0</v>
      </c>
      <c r="BS11" s="141">
        <v>0</v>
      </c>
      <c r="BT11" s="141">
        <v>0</v>
      </c>
      <c r="BU11" s="141">
        <v>0</v>
      </c>
      <c r="BV11" s="141">
        <v>0</v>
      </c>
      <c r="BW11" s="141">
        <v>154367159</v>
      </c>
      <c r="BX11" s="71"/>
      <c r="BY11" s="141">
        <v>26173263</v>
      </c>
      <c r="BZ11" s="141">
        <v>17145894</v>
      </c>
      <c r="CA11" s="141">
        <v>1247513</v>
      </c>
      <c r="CB11" s="141">
        <v>3044663</v>
      </c>
      <c r="CC11" s="141">
        <v>52202006</v>
      </c>
      <c r="CD11" s="141">
        <v>14039523</v>
      </c>
      <c r="CE11" s="141">
        <v>72741</v>
      </c>
      <c r="CF11" s="141">
        <v>25413881</v>
      </c>
      <c r="CG11" s="141">
        <v>9778482</v>
      </c>
      <c r="CH11" s="141">
        <v>544404</v>
      </c>
      <c r="CI11" s="141">
        <v>2352975</v>
      </c>
      <c r="CJ11" s="141">
        <v>5975388</v>
      </c>
      <c r="CK11" s="141">
        <v>5682004</v>
      </c>
      <c r="CL11" s="83">
        <f t="shared" si="7"/>
        <v>293384</v>
      </c>
      <c r="CM11" s="141">
        <v>24221904</v>
      </c>
      <c r="CN11" s="141">
        <v>18541570</v>
      </c>
      <c r="CO11" s="102"/>
      <c r="CP11" s="141">
        <v>2640405</v>
      </c>
      <c r="CQ11" s="141">
        <v>2739577</v>
      </c>
      <c r="CR11" s="141">
        <v>8807835</v>
      </c>
      <c r="CS11" s="141">
        <v>8791</v>
      </c>
      <c r="CT11" s="141">
        <v>3041459</v>
      </c>
      <c r="CU11" s="141">
        <v>2141712</v>
      </c>
      <c r="CV11" s="73">
        <f t="shared" si="8"/>
        <v>2919663</v>
      </c>
      <c r="CW11" s="141">
        <v>2790740</v>
      </c>
      <c r="CX11" s="141">
        <v>128923</v>
      </c>
      <c r="CY11" s="73">
        <f t="shared" si="9"/>
        <v>0</v>
      </c>
      <c r="CZ11" s="141">
        <v>0</v>
      </c>
      <c r="DA11" s="141">
        <v>0</v>
      </c>
      <c r="DB11" s="73">
        <f t="shared" si="10"/>
        <v>2872326</v>
      </c>
      <c r="DC11" s="141">
        <v>2751869</v>
      </c>
      <c r="DD11" s="141">
        <v>120457</v>
      </c>
      <c r="DE11" s="141">
        <v>16046337</v>
      </c>
      <c r="DF11" s="141">
        <v>7360728</v>
      </c>
      <c r="DG11" s="141">
        <v>8647420</v>
      </c>
      <c r="DH11" s="141">
        <v>12909</v>
      </c>
      <c r="DI11" s="141">
        <v>25280</v>
      </c>
      <c r="DJ11" s="141">
        <v>0</v>
      </c>
      <c r="DK11" s="141">
        <v>2475602</v>
      </c>
      <c r="DL11" s="141">
        <v>220822</v>
      </c>
      <c r="DM11" s="141">
        <v>0</v>
      </c>
      <c r="DN11" s="141">
        <v>2254780</v>
      </c>
      <c r="DO11" s="141">
        <v>0</v>
      </c>
      <c r="DP11" s="141">
        <v>0</v>
      </c>
      <c r="DQ11" s="141">
        <v>0</v>
      </c>
      <c r="DR11" s="141">
        <v>0</v>
      </c>
      <c r="DS11" s="141">
        <v>379436</v>
      </c>
      <c r="DT11" s="141">
        <v>0</v>
      </c>
      <c r="DU11" s="141">
        <v>0</v>
      </c>
      <c r="DV11" s="141">
        <v>12215708</v>
      </c>
      <c r="DW11" s="141">
        <v>0</v>
      </c>
      <c r="DX11" s="73">
        <f t="shared" si="11"/>
        <v>0</v>
      </c>
      <c r="DY11" s="141">
        <v>0</v>
      </c>
      <c r="DZ11" s="141">
        <v>4484130</v>
      </c>
      <c r="EA11" s="141">
        <v>0</v>
      </c>
      <c r="EB11" s="141">
        <v>2879622</v>
      </c>
      <c r="EC11" s="74">
        <v>0</v>
      </c>
      <c r="ED11" s="141">
        <v>4514409</v>
      </c>
      <c r="EE11" s="141">
        <v>0</v>
      </c>
      <c r="EF11" s="141">
        <v>151237056</v>
      </c>
      <c r="EG11" s="71"/>
      <c r="EH11" s="141">
        <v>3130103</v>
      </c>
      <c r="EI11" s="141">
        <v>516460</v>
      </c>
      <c r="EJ11" s="141">
        <v>2613643</v>
      </c>
      <c r="EK11" s="141">
        <v>2178739</v>
      </c>
      <c r="EL11" s="141">
        <v>2399561</v>
      </c>
      <c r="EM11" s="71"/>
      <c r="EN11" s="141">
        <v>385567</v>
      </c>
      <c r="EO11" s="141">
        <v>378869</v>
      </c>
      <c r="EP11" s="141">
        <v>229811</v>
      </c>
      <c r="EQ11" s="141">
        <v>503362</v>
      </c>
      <c r="ER11" s="73">
        <f t="shared" si="12"/>
        <v>5526454</v>
      </c>
      <c r="ES11" s="141">
        <v>85121370</v>
      </c>
      <c r="ET11" s="141">
        <v>-6219565</v>
      </c>
      <c r="EU11" s="141">
        <v>24168125</v>
      </c>
      <c r="EV11" s="141">
        <v>15849853</v>
      </c>
      <c r="EW11" s="141">
        <v>13601968</v>
      </c>
      <c r="EX11" s="141">
        <v>5974644</v>
      </c>
      <c r="EY11" s="73">
        <f t="shared" si="13"/>
        <v>4793602</v>
      </c>
      <c r="EZ11" s="141">
        <v>4793602</v>
      </c>
      <c r="FA11" s="141">
        <v>186390</v>
      </c>
      <c r="FB11" s="141">
        <v>4596549</v>
      </c>
      <c r="FC11" s="141">
        <v>0</v>
      </c>
      <c r="FD11" s="141">
        <v>0</v>
      </c>
      <c r="FE11" s="141">
        <v>17506205</v>
      </c>
      <c r="FF11" s="141">
        <v>7542239</v>
      </c>
      <c r="FG11" s="141">
        <v>8791</v>
      </c>
      <c r="FH11" s="141">
        <v>9667846</v>
      </c>
      <c r="FI11" s="73">
        <f t="shared" si="14"/>
        <v>4956203</v>
      </c>
      <c r="FJ11" s="141">
        <v>88210832</v>
      </c>
      <c r="FK11" s="379">
        <f t="shared" si="15"/>
        <v>3.3</v>
      </c>
      <c r="FL11" s="141">
        <v>74379965</v>
      </c>
      <c r="FM11" s="141">
        <v>5059400</v>
      </c>
      <c r="FN11" s="141">
        <v>55019494</v>
      </c>
      <c r="FO11" s="141">
        <v>58168480</v>
      </c>
      <c r="FP11" s="390">
        <v>0.97299999999999998</v>
      </c>
      <c r="FQ11" s="380">
        <v>93.9</v>
      </c>
      <c r="FR11" s="381">
        <v>29.8</v>
      </c>
      <c r="FS11" s="380">
        <v>16.100000000000001</v>
      </c>
      <c r="FT11" s="380">
        <v>7.5</v>
      </c>
      <c r="FU11" s="381">
        <v>19.2</v>
      </c>
      <c r="FV11" s="380">
        <v>6.9</v>
      </c>
      <c r="FW11" s="382">
        <v>11.3</v>
      </c>
      <c r="FX11" s="383">
        <v>-1.2</v>
      </c>
      <c r="FY11" s="141">
        <v>55713749</v>
      </c>
      <c r="FZ11" s="384">
        <f t="shared" si="16"/>
        <v>70.099999999999994</v>
      </c>
      <c r="GA11" s="141">
        <v>36226935</v>
      </c>
      <c r="GB11" s="141">
        <v>13006966</v>
      </c>
      <c r="GC11" s="141">
        <v>0</v>
      </c>
      <c r="GD11" s="141">
        <v>23219969</v>
      </c>
      <c r="GE11" s="107">
        <v>0</v>
      </c>
      <c r="GF11" s="385"/>
      <c r="GG11" s="386"/>
      <c r="GH11" s="380">
        <v>99.6</v>
      </c>
      <c r="GI11" s="380">
        <v>73.3</v>
      </c>
      <c r="GJ11" s="380">
        <v>98.8</v>
      </c>
      <c r="GK11" s="141">
        <v>2551</v>
      </c>
      <c r="GL11" s="391" t="s">
        <v>646</v>
      </c>
      <c r="GM11" s="391">
        <v>11.25</v>
      </c>
      <c r="GN11" s="117">
        <v>20</v>
      </c>
      <c r="GO11" s="391" t="s">
        <v>646</v>
      </c>
      <c r="GP11" s="392">
        <v>16.25</v>
      </c>
      <c r="GQ11" s="387">
        <v>30</v>
      </c>
      <c r="GR11" s="381">
        <v>-1.2</v>
      </c>
      <c r="GS11" s="388">
        <v>25</v>
      </c>
      <c r="GT11" s="388">
        <v>35</v>
      </c>
      <c r="GU11" s="393" t="s">
        <v>646</v>
      </c>
      <c r="GV11" s="388">
        <v>350</v>
      </c>
      <c r="GW11" s="394"/>
      <c r="GX11" s="100">
        <f t="shared" si="17"/>
        <v>79439</v>
      </c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  <c r="HW11" s="394"/>
      <c r="HX11" s="394"/>
    </row>
    <row r="12" spans="2:232" x14ac:dyDescent="0.15">
      <c r="B12" s="89" t="s">
        <v>13</v>
      </c>
      <c r="C12" s="141">
        <v>11622416</v>
      </c>
      <c r="D12" s="73">
        <f t="shared" si="0"/>
        <v>3818710</v>
      </c>
      <c r="E12" s="141">
        <v>123061</v>
      </c>
      <c r="F12" s="141">
        <v>3695649</v>
      </c>
      <c r="G12" s="73">
        <f t="shared" si="1"/>
        <v>840120</v>
      </c>
      <c r="H12" s="141">
        <v>276089</v>
      </c>
      <c r="I12" s="141">
        <v>564031</v>
      </c>
      <c r="J12" s="141">
        <v>5219744</v>
      </c>
      <c r="K12" s="141">
        <v>1923514</v>
      </c>
      <c r="L12" s="141">
        <v>2037353</v>
      </c>
      <c r="M12" s="141">
        <v>705139</v>
      </c>
      <c r="N12" s="141">
        <v>639901</v>
      </c>
      <c r="O12" s="141">
        <v>974755</v>
      </c>
      <c r="P12" s="141">
        <v>524794</v>
      </c>
      <c r="Q12" s="141">
        <v>449961</v>
      </c>
      <c r="R12" s="141">
        <v>191778</v>
      </c>
      <c r="S12" s="74"/>
      <c r="T12" s="73">
        <f t="shared" si="2"/>
        <v>2031716</v>
      </c>
      <c r="U12" s="141">
        <v>10785</v>
      </c>
      <c r="V12" s="141">
        <v>85246</v>
      </c>
      <c r="W12" s="141">
        <v>95797</v>
      </c>
      <c r="X12" s="141">
        <v>1682714</v>
      </c>
      <c r="Y12" s="141">
        <v>0</v>
      </c>
      <c r="Z12" s="141">
        <v>0</v>
      </c>
      <c r="AA12" s="141">
        <v>0</v>
      </c>
      <c r="AB12" s="141">
        <v>26120</v>
      </c>
      <c r="AC12" s="141">
        <v>131054</v>
      </c>
      <c r="AD12" s="141">
        <v>202379</v>
      </c>
      <c r="AE12" s="141">
        <v>4578405</v>
      </c>
      <c r="AF12" s="141">
        <v>4305119</v>
      </c>
      <c r="AG12" s="141">
        <v>273286</v>
      </c>
      <c r="AH12" s="141">
        <v>13203</v>
      </c>
      <c r="AI12" s="141">
        <v>18819</v>
      </c>
      <c r="AJ12" s="73">
        <f t="shared" si="3"/>
        <v>359147</v>
      </c>
      <c r="AK12" s="141">
        <v>237433</v>
      </c>
      <c r="AL12" s="141">
        <v>121714</v>
      </c>
      <c r="AM12" s="141">
        <v>9364024</v>
      </c>
      <c r="AN12" s="73">
        <f t="shared" si="4"/>
        <v>3811658</v>
      </c>
      <c r="AO12" s="141">
        <v>2074719</v>
      </c>
      <c r="AP12" s="141">
        <v>601893</v>
      </c>
      <c r="AQ12" s="74"/>
      <c r="AR12" s="141">
        <v>1135046</v>
      </c>
      <c r="AS12" s="141">
        <v>137404</v>
      </c>
      <c r="AT12" s="141">
        <v>0</v>
      </c>
      <c r="AU12" s="141">
        <v>0</v>
      </c>
      <c r="AV12" s="141">
        <v>2053380</v>
      </c>
      <c r="AW12" s="141">
        <v>1226176</v>
      </c>
      <c r="AX12" s="141">
        <v>260407</v>
      </c>
      <c r="AY12" s="141">
        <v>6296</v>
      </c>
      <c r="AZ12" s="141">
        <v>827204</v>
      </c>
      <c r="BA12" s="141">
        <v>250</v>
      </c>
      <c r="BB12" s="141">
        <v>188879</v>
      </c>
      <c r="BC12" s="141">
        <v>63556</v>
      </c>
      <c r="BD12" s="141">
        <v>644721</v>
      </c>
      <c r="BE12" s="141">
        <v>564566</v>
      </c>
      <c r="BF12" s="141">
        <v>0</v>
      </c>
      <c r="BG12" s="141">
        <v>0</v>
      </c>
      <c r="BH12" s="141">
        <v>443589</v>
      </c>
      <c r="BI12" s="141">
        <v>0</v>
      </c>
      <c r="BJ12" s="141">
        <v>491878</v>
      </c>
      <c r="BK12" s="141">
        <v>348454</v>
      </c>
      <c r="BL12" s="141">
        <v>721385</v>
      </c>
      <c r="BM12" s="141">
        <v>0</v>
      </c>
      <c r="BN12" s="141">
        <v>0</v>
      </c>
      <c r="BO12" s="141">
        <v>244413</v>
      </c>
      <c r="BP12" s="141">
        <v>2337654</v>
      </c>
      <c r="BQ12" s="73">
        <f t="shared" si="5"/>
        <v>1306000</v>
      </c>
      <c r="BR12" s="73">
        <f t="shared" si="6"/>
        <v>1031654</v>
      </c>
      <c r="BS12" s="141">
        <v>0</v>
      </c>
      <c r="BT12" s="141">
        <v>0</v>
      </c>
      <c r="BU12" s="141">
        <v>1031654</v>
      </c>
      <c r="BV12" s="141">
        <v>0</v>
      </c>
      <c r="BW12" s="141">
        <v>35384350</v>
      </c>
      <c r="BX12" s="71"/>
      <c r="BY12" s="141">
        <v>4707612</v>
      </c>
      <c r="BZ12" s="141">
        <v>2692270</v>
      </c>
      <c r="CA12" s="141">
        <v>271094</v>
      </c>
      <c r="CB12" s="141">
        <v>830398</v>
      </c>
      <c r="CC12" s="141">
        <v>10664977</v>
      </c>
      <c r="CD12" s="141">
        <v>3451739</v>
      </c>
      <c r="CE12" s="141">
        <v>66374</v>
      </c>
      <c r="CF12" s="141">
        <v>4090854</v>
      </c>
      <c r="CG12" s="141">
        <v>2806189</v>
      </c>
      <c r="CH12" s="141">
        <v>6162</v>
      </c>
      <c r="CI12" s="141">
        <v>243659</v>
      </c>
      <c r="CJ12" s="141">
        <v>2752835</v>
      </c>
      <c r="CK12" s="141">
        <v>2561481</v>
      </c>
      <c r="CL12" s="83">
        <f t="shared" si="7"/>
        <v>191354</v>
      </c>
      <c r="CM12" s="141">
        <v>4173456</v>
      </c>
      <c r="CN12" s="141">
        <v>2936006</v>
      </c>
      <c r="CO12" s="102"/>
      <c r="CP12" s="141">
        <v>500938</v>
      </c>
      <c r="CQ12" s="141">
        <v>180114</v>
      </c>
      <c r="CR12" s="141">
        <v>4724086</v>
      </c>
      <c r="CS12" s="141">
        <v>350986</v>
      </c>
      <c r="CT12" s="141">
        <v>394378</v>
      </c>
      <c r="CU12" s="141">
        <v>353873</v>
      </c>
      <c r="CV12" s="73">
        <f t="shared" si="8"/>
        <v>3006929</v>
      </c>
      <c r="CW12" s="141">
        <v>1867720</v>
      </c>
      <c r="CX12" s="141">
        <v>1139209</v>
      </c>
      <c r="CY12" s="73">
        <f t="shared" si="9"/>
        <v>1600000</v>
      </c>
      <c r="CZ12" s="141">
        <v>1600000</v>
      </c>
      <c r="DA12" s="141">
        <v>0</v>
      </c>
      <c r="DB12" s="73">
        <f t="shared" si="10"/>
        <v>1345971</v>
      </c>
      <c r="DC12" s="141">
        <v>214434</v>
      </c>
      <c r="DD12" s="141">
        <v>1131537</v>
      </c>
      <c r="DE12" s="141">
        <v>3100730</v>
      </c>
      <c r="DF12" s="141">
        <v>1407861</v>
      </c>
      <c r="DG12" s="141">
        <v>1692869</v>
      </c>
      <c r="DH12" s="141">
        <v>0</v>
      </c>
      <c r="DI12" s="141">
        <v>0</v>
      </c>
      <c r="DJ12" s="141">
        <v>0</v>
      </c>
      <c r="DK12" s="141">
        <v>1528160</v>
      </c>
      <c r="DL12" s="141">
        <v>974260</v>
      </c>
      <c r="DM12" s="141">
        <v>0</v>
      </c>
      <c r="DN12" s="141">
        <v>553900</v>
      </c>
      <c r="DO12" s="141">
        <v>0</v>
      </c>
      <c r="DP12" s="141">
        <v>0</v>
      </c>
      <c r="DQ12" s="141">
        <v>0</v>
      </c>
      <c r="DR12" s="141">
        <v>0</v>
      </c>
      <c r="DS12" s="141">
        <v>0</v>
      </c>
      <c r="DT12" s="141">
        <v>0</v>
      </c>
      <c r="DU12" s="141">
        <v>0</v>
      </c>
      <c r="DV12" s="141">
        <v>2876443</v>
      </c>
      <c r="DW12" s="141">
        <v>0</v>
      </c>
      <c r="DX12" s="73">
        <f t="shared" si="11"/>
        <v>0</v>
      </c>
      <c r="DY12" s="141">
        <v>0</v>
      </c>
      <c r="DZ12" s="141">
        <v>1077269</v>
      </c>
      <c r="EA12" s="141">
        <v>0</v>
      </c>
      <c r="EB12" s="141">
        <v>793987</v>
      </c>
      <c r="EC12" s="74">
        <v>0</v>
      </c>
      <c r="ED12" s="141">
        <v>1005187</v>
      </c>
      <c r="EE12" s="141">
        <v>0</v>
      </c>
      <c r="EF12" s="141">
        <v>34708413</v>
      </c>
      <c r="EG12" s="71"/>
      <c r="EH12" s="141">
        <v>675937</v>
      </c>
      <c r="EI12" s="141">
        <v>331397</v>
      </c>
      <c r="EJ12" s="141">
        <v>344540</v>
      </c>
      <c r="EK12" s="141">
        <v>-3914</v>
      </c>
      <c r="EL12" s="141">
        <v>970346</v>
      </c>
      <c r="EM12" s="71"/>
      <c r="EN12" s="141">
        <v>74412</v>
      </c>
      <c r="EO12" s="141">
        <v>73807</v>
      </c>
      <c r="EP12" s="141">
        <v>0</v>
      </c>
      <c r="EQ12" s="141">
        <v>3975</v>
      </c>
      <c r="ER12" s="73">
        <f t="shared" si="12"/>
        <v>1657066</v>
      </c>
      <c r="ES12" s="141">
        <v>18639897</v>
      </c>
      <c r="ET12" s="141">
        <v>-2679492</v>
      </c>
      <c r="EU12" s="141">
        <v>4200796</v>
      </c>
      <c r="EV12" s="141">
        <v>2402686</v>
      </c>
      <c r="EW12" s="141">
        <v>2584302</v>
      </c>
      <c r="EX12" s="141">
        <v>2735414</v>
      </c>
      <c r="EY12" s="73">
        <f t="shared" si="13"/>
        <v>810733</v>
      </c>
      <c r="EZ12" s="141">
        <v>810733</v>
      </c>
      <c r="FA12" s="141">
        <v>22111</v>
      </c>
      <c r="FB12" s="141">
        <v>788622</v>
      </c>
      <c r="FC12" s="141">
        <v>0</v>
      </c>
      <c r="FD12" s="141">
        <v>0</v>
      </c>
      <c r="FE12" s="141">
        <v>2824186</v>
      </c>
      <c r="FF12" s="141">
        <v>4176892</v>
      </c>
      <c r="FG12" s="141">
        <v>350986</v>
      </c>
      <c r="FH12" s="141">
        <v>2169946</v>
      </c>
      <c r="FI12" s="73">
        <f t="shared" si="14"/>
        <v>1141183</v>
      </c>
      <c r="FJ12" s="141">
        <v>20643452</v>
      </c>
      <c r="FK12" s="379">
        <f t="shared" si="15"/>
        <v>1.9</v>
      </c>
      <c r="FL12" s="141">
        <v>16487631</v>
      </c>
      <c r="FM12" s="141">
        <v>1421011</v>
      </c>
      <c r="FN12" s="141">
        <v>9579581</v>
      </c>
      <c r="FO12" s="141">
        <v>13917380</v>
      </c>
      <c r="FP12" s="390">
        <v>0.71699999999999997</v>
      </c>
      <c r="FQ12" s="380">
        <v>91</v>
      </c>
      <c r="FR12" s="381">
        <v>22.1</v>
      </c>
      <c r="FS12" s="380">
        <v>14</v>
      </c>
      <c r="FT12" s="380">
        <v>14.8</v>
      </c>
      <c r="FU12" s="381">
        <v>12.9</v>
      </c>
      <c r="FV12" s="380">
        <v>15.4</v>
      </c>
      <c r="FW12" s="382">
        <v>11.1</v>
      </c>
      <c r="FX12" s="383">
        <v>8.5</v>
      </c>
      <c r="FY12" s="141">
        <v>27336134</v>
      </c>
      <c r="FZ12" s="384">
        <f t="shared" si="16"/>
        <v>152.6</v>
      </c>
      <c r="GA12" s="141">
        <v>8495934</v>
      </c>
      <c r="GB12" s="141">
        <v>4339749</v>
      </c>
      <c r="GC12" s="141">
        <v>0</v>
      </c>
      <c r="GD12" s="141">
        <v>4156185</v>
      </c>
      <c r="GE12" s="107">
        <v>0</v>
      </c>
      <c r="GF12" s="385">
        <v>714</v>
      </c>
      <c r="GG12" s="386">
        <f>IF(GF12=0,"-",ROUND(GF12/(GX12)*100,1))</f>
        <v>4</v>
      </c>
      <c r="GH12" s="380">
        <v>99.5</v>
      </c>
      <c r="GI12" s="380">
        <v>56.3</v>
      </c>
      <c r="GJ12" s="380">
        <v>98.5</v>
      </c>
      <c r="GK12" s="141">
        <v>474</v>
      </c>
      <c r="GL12" s="391" t="s">
        <v>646</v>
      </c>
      <c r="GM12" s="391">
        <v>12.6</v>
      </c>
      <c r="GN12" s="117">
        <v>20</v>
      </c>
      <c r="GO12" s="391" t="s">
        <v>646</v>
      </c>
      <c r="GP12" s="392">
        <v>17.600000000000001</v>
      </c>
      <c r="GQ12" s="387">
        <v>30</v>
      </c>
      <c r="GR12" s="381">
        <v>8.5</v>
      </c>
      <c r="GS12" s="388">
        <v>25</v>
      </c>
      <c r="GT12" s="388">
        <v>35</v>
      </c>
      <c r="GU12" s="393">
        <v>14.2</v>
      </c>
      <c r="GV12" s="388">
        <v>350</v>
      </c>
      <c r="GW12" s="394"/>
      <c r="GX12" s="100">
        <f t="shared" si="17"/>
        <v>17909</v>
      </c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  <c r="HW12" s="394"/>
      <c r="HX12" s="394"/>
    </row>
    <row r="13" spans="2:232" ht="12.75" customHeight="1" x14ac:dyDescent="0.15">
      <c r="B13" s="89" t="s">
        <v>15</v>
      </c>
      <c r="C13" s="141">
        <v>50949915</v>
      </c>
      <c r="D13" s="73">
        <f t="shared" si="0"/>
        <v>20845442</v>
      </c>
      <c r="E13" s="141">
        <v>594154</v>
      </c>
      <c r="F13" s="141">
        <v>20251288</v>
      </c>
      <c r="G13" s="73">
        <f t="shared" si="1"/>
        <v>2882516</v>
      </c>
      <c r="H13" s="141">
        <v>821477</v>
      </c>
      <c r="I13" s="141">
        <v>2061039</v>
      </c>
      <c r="J13" s="141">
        <v>19879577</v>
      </c>
      <c r="K13" s="141">
        <v>8033500</v>
      </c>
      <c r="L13" s="141">
        <v>8936254</v>
      </c>
      <c r="M13" s="141">
        <v>2659646</v>
      </c>
      <c r="N13" s="141">
        <v>1667884</v>
      </c>
      <c r="O13" s="141">
        <v>4081208</v>
      </c>
      <c r="P13" s="141">
        <v>2196851</v>
      </c>
      <c r="Q13" s="141">
        <v>1884357</v>
      </c>
      <c r="R13" s="141">
        <v>616628</v>
      </c>
      <c r="S13" s="74"/>
      <c r="T13" s="73">
        <f t="shared" si="2"/>
        <v>9241941</v>
      </c>
      <c r="U13" s="141">
        <v>59308</v>
      </c>
      <c r="V13" s="141">
        <v>468542</v>
      </c>
      <c r="W13" s="141">
        <v>526391</v>
      </c>
      <c r="X13" s="141">
        <v>7499539</v>
      </c>
      <c r="Y13" s="141">
        <v>65539</v>
      </c>
      <c r="Z13" s="141">
        <v>0</v>
      </c>
      <c r="AA13" s="141">
        <v>0</v>
      </c>
      <c r="AB13" s="141">
        <v>119781</v>
      </c>
      <c r="AC13" s="141">
        <v>502841</v>
      </c>
      <c r="AD13" s="141">
        <v>590153</v>
      </c>
      <c r="AE13" s="141">
        <v>14058991</v>
      </c>
      <c r="AF13" s="141">
        <v>13391349</v>
      </c>
      <c r="AG13" s="141">
        <v>667642</v>
      </c>
      <c r="AH13" s="141">
        <v>41465</v>
      </c>
      <c r="AI13" s="141">
        <v>742031</v>
      </c>
      <c r="AJ13" s="73">
        <f t="shared" si="3"/>
        <v>2027617</v>
      </c>
      <c r="AK13" s="141">
        <v>1569620</v>
      </c>
      <c r="AL13" s="141">
        <v>457997</v>
      </c>
      <c r="AM13" s="141">
        <v>44500203</v>
      </c>
      <c r="AN13" s="73">
        <f t="shared" si="4"/>
        <v>15333179</v>
      </c>
      <c r="AO13" s="141">
        <v>7781895</v>
      </c>
      <c r="AP13" s="141">
        <v>3566892</v>
      </c>
      <c r="AQ13" s="74"/>
      <c r="AR13" s="141">
        <v>3984392</v>
      </c>
      <c r="AS13" s="141">
        <v>1319352</v>
      </c>
      <c r="AT13" s="141">
        <v>0</v>
      </c>
      <c r="AU13" s="141">
        <v>0</v>
      </c>
      <c r="AV13" s="141">
        <v>9799642</v>
      </c>
      <c r="AW13" s="141">
        <v>7605877</v>
      </c>
      <c r="AX13" s="141">
        <v>1809531</v>
      </c>
      <c r="AY13" s="141">
        <v>443796</v>
      </c>
      <c r="AZ13" s="141">
        <v>2193765</v>
      </c>
      <c r="BA13" s="141">
        <v>66938</v>
      </c>
      <c r="BB13" s="141">
        <v>265402</v>
      </c>
      <c r="BC13" s="141">
        <v>107701</v>
      </c>
      <c r="BD13" s="141">
        <v>746120</v>
      </c>
      <c r="BE13" s="141">
        <v>3302670</v>
      </c>
      <c r="BF13" s="141">
        <v>0</v>
      </c>
      <c r="BG13" s="141">
        <v>0</v>
      </c>
      <c r="BH13" s="141">
        <v>2702670</v>
      </c>
      <c r="BI13" s="141">
        <v>0</v>
      </c>
      <c r="BJ13" s="141">
        <v>5227301</v>
      </c>
      <c r="BK13" s="141">
        <v>620038</v>
      </c>
      <c r="BL13" s="141">
        <v>2290534</v>
      </c>
      <c r="BM13" s="141">
        <v>577641</v>
      </c>
      <c r="BN13" s="141">
        <v>0</v>
      </c>
      <c r="BO13" s="141">
        <v>345232</v>
      </c>
      <c r="BP13" s="141">
        <v>5925100</v>
      </c>
      <c r="BQ13" s="73">
        <f t="shared" si="5"/>
        <v>4925100</v>
      </c>
      <c r="BR13" s="73">
        <f t="shared" si="6"/>
        <v>1000000</v>
      </c>
      <c r="BS13" s="141">
        <v>0</v>
      </c>
      <c r="BT13" s="141">
        <v>0</v>
      </c>
      <c r="BU13" s="141">
        <v>1000000</v>
      </c>
      <c r="BV13" s="141">
        <v>0</v>
      </c>
      <c r="BW13" s="141">
        <v>150325713</v>
      </c>
      <c r="BX13" s="71"/>
      <c r="BY13" s="141">
        <v>21138373</v>
      </c>
      <c r="BZ13" s="141">
        <v>13807367</v>
      </c>
      <c r="CA13" s="141">
        <v>951454</v>
      </c>
      <c r="CB13" s="141">
        <v>2628448</v>
      </c>
      <c r="CC13" s="141">
        <v>47832663</v>
      </c>
      <c r="CD13" s="141">
        <v>12641591</v>
      </c>
      <c r="CE13" s="141">
        <v>79330</v>
      </c>
      <c r="CF13" s="141">
        <v>22915445</v>
      </c>
      <c r="CG13" s="141">
        <v>9755441</v>
      </c>
      <c r="CH13" s="141">
        <v>884843</v>
      </c>
      <c r="CI13" s="141">
        <v>1555293</v>
      </c>
      <c r="CJ13" s="141">
        <v>8071156</v>
      </c>
      <c r="CK13" s="141">
        <v>7981210</v>
      </c>
      <c r="CL13" s="83">
        <f t="shared" si="7"/>
        <v>89946</v>
      </c>
      <c r="CM13" s="141">
        <v>20149816</v>
      </c>
      <c r="CN13" s="141">
        <v>14818509</v>
      </c>
      <c r="CO13" s="102"/>
      <c r="CP13" s="141">
        <v>2767109</v>
      </c>
      <c r="CQ13" s="141">
        <v>2264144</v>
      </c>
      <c r="CR13" s="141">
        <v>10917944</v>
      </c>
      <c r="CS13" s="141">
        <v>24481</v>
      </c>
      <c r="CT13" s="141">
        <v>3723898</v>
      </c>
      <c r="CU13" s="141">
        <v>2911588</v>
      </c>
      <c r="CV13" s="73">
        <f t="shared" si="8"/>
        <v>3495901</v>
      </c>
      <c r="CW13" s="141">
        <v>1941821</v>
      </c>
      <c r="CX13" s="141">
        <v>1554080</v>
      </c>
      <c r="CY13" s="73">
        <f t="shared" si="9"/>
        <v>0</v>
      </c>
      <c r="CZ13" s="141">
        <v>0</v>
      </c>
      <c r="DA13" s="141">
        <v>0</v>
      </c>
      <c r="DB13" s="73">
        <f t="shared" si="10"/>
        <v>2190016</v>
      </c>
      <c r="DC13" s="141">
        <v>1922982</v>
      </c>
      <c r="DD13" s="141">
        <v>267034</v>
      </c>
      <c r="DE13" s="141">
        <v>15686536</v>
      </c>
      <c r="DF13" s="141">
        <v>9526415</v>
      </c>
      <c r="DG13" s="141">
        <v>6127636</v>
      </c>
      <c r="DH13" s="141">
        <v>32485</v>
      </c>
      <c r="DI13" s="141">
        <v>0</v>
      </c>
      <c r="DJ13" s="141">
        <v>141194</v>
      </c>
      <c r="DK13" s="141">
        <v>6317433</v>
      </c>
      <c r="DL13" s="141">
        <v>2855828</v>
      </c>
      <c r="DM13" s="141">
        <v>15</v>
      </c>
      <c r="DN13" s="141">
        <v>3461590</v>
      </c>
      <c r="DO13" s="141">
        <v>539984</v>
      </c>
      <c r="DP13" s="141">
        <v>539984</v>
      </c>
      <c r="DQ13" s="141">
        <v>0</v>
      </c>
      <c r="DR13" s="141">
        <v>0</v>
      </c>
      <c r="DS13" s="141">
        <v>525489</v>
      </c>
      <c r="DT13" s="141">
        <v>0</v>
      </c>
      <c r="DU13" s="141">
        <v>0</v>
      </c>
      <c r="DV13" s="141">
        <v>12411159</v>
      </c>
      <c r="DW13" s="141">
        <v>0</v>
      </c>
      <c r="DX13" s="73">
        <f t="shared" si="11"/>
        <v>0</v>
      </c>
      <c r="DY13" s="141">
        <v>0</v>
      </c>
      <c r="DZ13" s="141">
        <v>5393165</v>
      </c>
      <c r="EA13" s="141">
        <v>0</v>
      </c>
      <c r="EB13" s="141">
        <v>2521878</v>
      </c>
      <c r="EC13" s="74">
        <v>0</v>
      </c>
      <c r="ED13" s="141">
        <v>4496082</v>
      </c>
      <c r="EE13" s="141">
        <v>0</v>
      </c>
      <c r="EF13" s="141">
        <v>145995891</v>
      </c>
      <c r="EG13" s="71"/>
      <c r="EH13" s="141">
        <v>4329822</v>
      </c>
      <c r="EI13" s="141">
        <v>1755185</v>
      </c>
      <c r="EJ13" s="141">
        <v>2574637</v>
      </c>
      <c r="EK13" s="141">
        <v>1954599</v>
      </c>
      <c r="EL13" s="141">
        <v>4810427</v>
      </c>
      <c r="EM13" s="71"/>
      <c r="EN13" s="141">
        <v>352698</v>
      </c>
      <c r="EO13" s="141">
        <v>349941</v>
      </c>
      <c r="EP13" s="141">
        <v>0</v>
      </c>
      <c r="EQ13" s="141">
        <v>192883</v>
      </c>
      <c r="ER13" s="73">
        <f t="shared" si="12"/>
        <v>8194528</v>
      </c>
      <c r="ES13" s="141">
        <v>75499093</v>
      </c>
      <c r="ET13" s="141">
        <v>-9345946</v>
      </c>
      <c r="EU13" s="141">
        <v>19219668</v>
      </c>
      <c r="EV13" s="141">
        <v>12771534</v>
      </c>
      <c r="EW13" s="141">
        <v>12343600</v>
      </c>
      <c r="EX13" s="141">
        <v>7472640</v>
      </c>
      <c r="EY13" s="73">
        <f t="shared" si="13"/>
        <v>3962117</v>
      </c>
      <c r="EZ13" s="141">
        <v>3956043</v>
      </c>
      <c r="FA13" s="141">
        <v>1211901</v>
      </c>
      <c r="FB13" s="141">
        <v>2711657</v>
      </c>
      <c r="FC13" s="141">
        <v>6074</v>
      </c>
      <c r="FD13" s="141">
        <v>0</v>
      </c>
      <c r="FE13" s="141">
        <v>12778945</v>
      </c>
      <c r="FF13" s="141">
        <v>9409416</v>
      </c>
      <c r="FG13" s="141">
        <v>24481</v>
      </c>
      <c r="FH13" s="141">
        <v>9827792</v>
      </c>
      <c r="FI13" s="73">
        <f t="shared" si="14"/>
        <v>5605757</v>
      </c>
      <c r="FJ13" s="141">
        <v>80619935</v>
      </c>
      <c r="FK13" s="379">
        <f t="shared" si="15"/>
        <v>3.5</v>
      </c>
      <c r="FL13" s="141">
        <v>67033043</v>
      </c>
      <c r="FM13" s="141">
        <v>7285366</v>
      </c>
      <c r="FN13" s="141">
        <v>42081146</v>
      </c>
      <c r="FO13" s="141">
        <v>55472495</v>
      </c>
      <c r="FP13" s="390">
        <v>0.79400000000000004</v>
      </c>
      <c r="FQ13" s="380">
        <v>89.9</v>
      </c>
      <c r="FR13" s="381">
        <v>26.1</v>
      </c>
      <c r="FS13" s="380">
        <v>15.1</v>
      </c>
      <c r="FT13" s="380">
        <v>10.3</v>
      </c>
      <c r="FU13" s="381">
        <v>15.4</v>
      </c>
      <c r="FV13" s="380">
        <v>6</v>
      </c>
      <c r="FW13" s="382">
        <v>13.4</v>
      </c>
      <c r="FX13" s="383">
        <v>-0.8</v>
      </c>
      <c r="FY13" s="141">
        <v>45480526</v>
      </c>
      <c r="FZ13" s="384">
        <f t="shared" si="16"/>
        <v>61.2</v>
      </c>
      <c r="GA13" s="141">
        <v>35071203</v>
      </c>
      <c r="GB13" s="141">
        <v>17017117</v>
      </c>
      <c r="GC13" s="141">
        <v>2531196</v>
      </c>
      <c r="GD13" s="141">
        <v>15522890</v>
      </c>
      <c r="GE13" s="107">
        <v>0</v>
      </c>
      <c r="GF13" s="385">
        <v>912</v>
      </c>
      <c r="GG13" s="386">
        <f>IF(GF13=0,"-",ROUND(GF13/(GX13)*100,1))</f>
        <v>1.2</v>
      </c>
      <c r="GH13" s="380">
        <v>99.8</v>
      </c>
      <c r="GI13" s="380">
        <v>84.5</v>
      </c>
      <c r="GJ13" s="380">
        <v>99.5</v>
      </c>
      <c r="GK13" s="141">
        <v>2047</v>
      </c>
      <c r="GL13" s="391" t="s">
        <v>646</v>
      </c>
      <c r="GM13" s="391">
        <v>11.25</v>
      </c>
      <c r="GN13" s="117">
        <v>20</v>
      </c>
      <c r="GO13" s="391" t="s">
        <v>646</v>
      </c>
      <c r="GP13" s="392">
        <v>16.25</v>
      </c>
      <c r="GQ13" s="387">
        <v>30</v>
      </c>
      <c r="GR13" s="381">
        <v>-0.8</v>
      </c>
      <c r="GS13" s="388">
        <v>25</v>
      </c>
      <c r="GT13" s="388">
        <v>35</v>
      </c>
      <c r="GU13" s="393" t="s">
        <v>646</v>
      </c>
      <c r="GV13" s="388">
        <v>350</v>
      </c>
      <c r="GW13" s="394"/>
      <c r="GX13" s="100">
        <f t="shared" si="17"/>
        <v>74318</v>
      </c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  <c r="HW13" s="394"/>
      <c r="HX13" s="394"/>
    </row>
    <row r="14" spans="2:232" x14ac:dyDescent="0.15">
      <c r="B14" s="89" t="s">
        <v>17</v>
      </c>
      <c r="C14" s="141">
        <v>11321107</v>
      </c>
      <c r="D14" s="73">
        <f t="shared" si="0"/>
        <v>4093974</v>
      </c>
      <c r="E14" s="141">
        <v>137258</v>
      </c>
      <c r="F14" s="141">
        <v>3956716</v>
      </c>
      <c r="G14" s="73">
        <f t="shared" si="1"/>
        <v>659259</v>
      </c>
      <c r="H14" s="141">
        <v>207640</v>
      </c>
      <c r="I14" s="141">
        <v>451619</v>
      </c>
      <c r="J14" s="141">
        <v>4784942</v>
      </c>
      <c r="K14" s="141">
        <v>1618814</v>
      </c>
      <c r="L14" s="141">
        <v>2162513</v>
      </c>
      <c r="M14" s="141">
        <v>794373</v>
      </c>
      <c r="N14" s="141">
        <v>692956</v>
      </c>
      <c r="O14" s="141">
        <v>864999</v>
      </c>
      <c r="P14" s="141">
        <v>412800</v>
      </c>
      <c r="Q14" s="141">
        <v>452199</v>
      </c>
      <c r="R14" s="141">
        <v>177250</v>
      </c>
      <c r="S14" s="74"/>
      <c r="T14" s="73">
        <f t="shared" si="2"/>
        <v>2290258</v>
      </c>
      <c r="U14" s="141">
        <v>11715</v>
      </c>
      <c r="V14" s="141">
        <v>92545</v>
      </c>
      <c r="W14" s="141">
        <v>103960</v>
      </c>
      <c r="X14" s="141">
        <v>1919775</v>
      </c>
      <c r="Y14" s="141">
        <v>0</v>
      </c>
      <c r="Z14" s="141">
        <v>0</v>
      </c>
      <c r="AA14" s="141">
        <v>0</v>
      </c>
      <c r="AB14" s="141">
        <v>34583</v>
      </c>
      <c r="AC14" s="141">
        <v>127680</v>
      </c>
      <c r="AD14" s="141">
        <v>221356</v>
      </c>
      <c r="AE14" s="141">
        <v>6155689</v>
      </c>
      <c r="AF14" s="141">
        <v>5755065</v>
      </c>
      <c r="AG14" s="141">
        <v>400624</v>
      </c>
      <c r="AH14" s="141">
        <v>14135</v>
      </c>
      <c r="AI14" s="141">
        <v>44383</v>
      </c>
      <c r="AJ14" s="73">
        <f t="shared" si="3"/>
        <v>455667</v>
      </c>
      <c r="AK14" s="141">
        <v>334325</v>
      </c>
      <c r="AL14" s="141">
        <v>121342</v>
      </c>
      <c r="AM14" s="141">
        <v>10768402</v>
      </c>
      <c r="AN14" s="73">
        <f t="shared" si="4"/>
        <v>4347761</v>
      </c>
      <c r="AO14" s="141">
        <v>2004884</v>
      </c>
      <c r="AP14" s="141">
        <v>1345174</v>
      </c>
      <c r="AQ14" s="74"/>
      <c r="AR14" s="141">
        <v>997703</v>
      </c>
      <c r="AS14" s="141">
        <v>103534</v>
      </c>
      <c r="AT14" s="141">
        <v>0</v>
      </c>
      <c r="AU14" s="141">
        <v>0</v>
      </c>
      <c r="AV14" s="141">
        <v>2802053</v>
      </c>
      <c r="AW14" s="141">
        <v>1756751</v>
      </c>
      <c r="AX14" s="141">
        <v>488569</v>
      </c>
      <c r="AY14" s="141">
        <v>35741</v>
      </c>
      <c r="AZ14" s="141">
        <v>1045302</v>
      </c>
      <c r="BA14" s="141">
        <v>860</v>
      </c>
      <c r="BB14" s="141">
        <v>420592</v>
      </c>
      <c r="BC14" s="141">
        <v>392250</v>
      </c>
      <c r="BD14" s="141">
        <v>632278</v>
      </c>
      <c r="BE14" s="141">
        <v>1152837</v>
      </c>
      <c r="BF14" s="141">
        <v>0</v>
      </c>
      <c r="BG14" s="141">
        <v>0</v>
      </c>
      <c r="BH14" s="141">
        <v>1148048</v>
      </c>
      <c r="BI14" s="141">
        <v>0</v>
      </c>
      <c r="BJ14" s="141">
        <v>296196</v>
      </c>
      <c r="BK14" s="141">
        <v>93624</v>
      </c>
      <c r="BL14" s="141">
        <v>711258</v>
      </c>
      <c r="BM14" s="141">
        <v>171630</v>
      </c>
      <c r="BN14" s="141">
        <v>0</v>
      </c>
      <c r="BO14" s="141">
        <v>248322</v>
      </c>
      <c r="BP14" s="141">
        <v>5673841</v>
      </c>
      <c r="BQ14" s="73">
        <f t="shared" si="5"/>
        <v>4618400</v>
      </c>
      <c r="BR14" s="73">
        <f t="shared" si="6"/>
        <v>1055441</v>
      </c>
      <c r="BS14" s="141">
        <v>0</v>
      </c>
      <c r="BT14" s="141">
        <v>0</v>
      </c>
      <c r="BU14" s="141">
        <v>1055441</v>
      </c>
      <c r="BV14" s="141">
        <v>0</v>
      </c>
      <c r="BW14" s="141">
        <v>43137302</v>
      </c>
      <c r="BX14" s="71"/>
      <c r="BY14" s="141">
        <v>6168832</v>
      </c>
      <c r="BZ14" s="141">
        <v>3756364</v>
      </c>
      <c r="CA14" s="141">
        <v>405898</v>
      </c>
      <c r="CB14" s="141">
        <v>845542</v>
      </c>
      <c r="CC14" s="141">
        <v>12756066</v>
      </c>
      <c r="CD14" s="141">
        <v>3307783</v>
      </c>
      <c r="CE14" s="141">
        <v>18785</v>
      </c>
      <c r="CF14" s="141">
        <v>6068288</v>
      </c>
      <c r="CG14" s="141">
        <v>2725243</v>
      </c>
      <c r="CH14" s="141">
        <v>0</v>
      </c>
      <c r="CI14" s="141">
        <v>635917</v>
      </c>
      <c r="CJ14" s="141">
        <v>2518230</v>
      </c>
      <c r="CK14" s="141">
        <v>2390744</v>
      </c>
      <c r="CL14" s="83">
        <f t="shared" si="7"/>
        <v>127486</v>
      </c>
      <c r="CM14" s="141">
        <v>4167501</v>
      </c>
      <c r="CN14" s="141">
        <v>2695733</v>
      </c>
      <c r="CO14" s="102"/>
      <c r="CP14" s="141">
        <v>486120</v>
      </c>
      <c r="CQ14" s="141">
        <v>302080</v>
      </c>
      <c r="CR14" s="141">
        <v>4142002</v>
      </c>
      <c r="CS14" s="141">
        <v>626863</v>
      </c>
      <c r="CT14" s="141">
        <v>516242</v>
      </c>
      <c r="CU14" s="141">
        <v>432156</v>
      </c>
      <c r="CV14" s="73">
        <f t="shared" si="8"/>
        <v>2127401</v>
      </c>
      <c r="CW14" s="141">
        <v>1779591</v>
      </c>
      <c r="CX14" s="141">
        <v>347810</v>
      </c>
      <c r="CY14" s="73">
        <f t="shared" si="9"/>
        <v>980673</v>
      </c>
      <c r="CZ14" s="141">
        <v>980000</v>
      </c>
      <c r="DA14" s="141">
        <v>673</v>
      </c>
      <c r="DB14" s="73">
        <f t="shared" si="10"/>
        <v>931851</v>
      </c>
      <c r="DC14" s="141">
        <v>787418</v>
      </c>
      <c r="DD14" s="141">
        <v>144433</v>
      </c>
      <c r="DE14" s="141">
        <v>6067894</v>
      </c>
      <c r="DF14" s="141">
        <v>1242625</v>
      </c>
      <c r="DG14" s="141">
        <v>4748039</v>
      </c>
      <c r="DH14" s="141">
        <v>77230</v>
      </c>
      <c r="DI14" s="141">
        <v>0</v>
      </c>
      <c r="DJ14" s="141">
        <v>0</v>
      </c>
      <c r="DK14" s="141">
        <v>3269878</v>
      </c>
      <c r="DL14" s="141">
        <v>1024760</v>
      </c>
      <c r="DM14" s="141">
        <v>70</v>
      </c>
      <c r="DN14" s="141">
        <v>2245048</v>
      </c>
      <c r="DO14" s="141">
        <v>500</v>
      </c>
      <c r="DP14" s="141">
        <v>0</v>
      </c>
      <c r="DQ14" s="141">
        <v>0</v>
      </c>
      <c r="DR14" s="141">
        <v>0</v>
      </c>
      <c r="DS14" s="141">
        <v>155560</v>
      </c>
      <c r="DT14" s="141">
        <v>0</v>
      </c>
      <c r="DU14" s="141">
        <v>0</v>
      </c>
      <c r="DV14" s="141">
        <v>3345674</v>
      </c>
      <c r="DW14" s="141">
        <v>0</v>
      </c>
      <c r="DX14" s="73">
        <f t="shared" si="11"/>
        <v>0</v>
      </c>
      <c r="DY14" s="141">
        <v>0</v>
      </c>
      <c r="DZ14" s="141">
        <v>1313803</v>
      </c>
      <c r="EA14" s="141">
        <v>0</v>
      </c>
      <c r="EB14" s="141">
        <v>895766</v>
      </c>
      <c r="EC14" s="74">
        <v>0</v>
      </c>
      <c r="ED14" s="141">
        <v>1136105</v>
      </c>
      <c r="EE14" s="141">
        <v>0</v>
      </c>
      <c r="EF14" s="141">
        <v>42894217</v>
      </c>
      <c r="EG14" s="71"/>
      <c r="EH14" s="141">
        <v>243085</v>
      </c>
      <c r="EI14" s="141">
        <v>86906</v>
      </c>
      <c r="EJ14" s="141">
        <v>156179</v>
      </c>
      <c r="EK14" s="141">
        <v>62555</v>
      </c>
      <c r="EL14" s="141">
        <v>1114965</v>
      </c>
      <c r="EM14" s="71"/>
      <c r="EN14" s="141">
        <v>84443</v>
      </c>
      <c r="EO14" s="141">
        <v>83995</v>
      </c>
      <c r="EP14" s="141">
        <v>52340</v>
      </c>
      <c r="EQ14" s="141">
        <v>420474</v>
      </c>
      <c r="ER14" s="73">
        <f t="shared" si="12"/>
        <v>1884480</v>
      </c>
      <c r="ES14" s="141">
        <v>20179795</v>
      </c>
      <c r="ET14" s="141">
        <v>-3398600</v>
      </c>
      <c r="EU14" s="141">
        <v>5681005</v>
      </c>
      <c r="EV14" s="141">
        <v>3499482</v>
      </c>
      <c r="EW14" s="141">
        <v>2646314</v>
      </c>
      <c r="EX14" s="141">
        <v>2518230</v>
      </c>
      <c r="EY14" s="73">
        <f t="shared" si="13"/>
        <v>397277</v>
      </c>
      <c r="EZ14" s="141">
        <v>397277</v>
      </c>
      <c r="FA14" s="141">
        <v>21605</v>
      </c>
      <c r="FB14" s="141">
        <v>298442</v>
      </c>
      <c r="FC14" s="141">
        <v>0</v>
      </c>
      <c r="FD14" s="141">
        <v>0</v>
      </c>
      <c r="FE14" s="141">
        <v>2681781</v>
      </c>
      <c r="FF14" s="141">
        <v>3793356</v>
      </c>
      <c r="FG14" s="141">
        <v>626863</v>
      </c>
      <c r="FH14" s="141">
        <v>2547549</v>
      </c>
      <c r="FI14" s="73">
        <f t="shared" si="14"/>
        <v>3069798</v>
      </c>
      <c r="FJ14" s="141">
        <v>23335310</v>
      </c>
      <c r="FK14" s="379">
        <f t="shared" si="15"/>
        <v>0.8</v>
      </c>
      <c r="FL14" s="141">
        <v>18089742</v>
      </c>
      <c r="FM14" s="141">
        <v>1453776</v>
      </c>
      <c r="FN14" s="141">
        <v>9750279</v>
      </c>
      <c r="FO14" s="141">
        <v>15505344</v>
      </c>
      <c r="FP14" s="390">
        <v>0.65900000000000003</v>
      </c>
      <c r="FQ14" s="380">
        <v>89.5</v>
      </c>
      <c r="FR14" s="381">
        <v>26.9</v>
      </c>
      <c r="FS14" s="380">
        <v>12</v>
      </c>
      <c r="FT14" s="380">
        <v>12.4</v>
      </c>
      <c r="FU14" s="381">
        <v>10.7</v>
      </c>
      <c r="FV14" s="380">
        <v>14.4</v>
      </c>
      <c r="FW14" s="382">
        <v>12</v>
      </c>
      <c r="FX14" s="383">
        <v>4.7</v>
      </c>
      <c r="FY14" s="141">
        <v>31785141</v>
      </c>
      <c r="FZ14" s="384">
        <f t="shared" si="16"/>
        <v>162.6</v>
      </c>
      <c r="GA14" s="141">
        <v>8451818</v>
      </c>
      <c r="GB14" s="141">
        <v>3965133</v>
      </c>
      <c r="GC14" s="141">
        <v>188690</v>
      </c>
      <c r="GD14" s="141">
        <v>4297995</v>
      </c>
      <c r="GE14" s="107">
        <v>0</v>
      </c>
      <c r="GF14" s="385"/>
      <c r="GG14" s="386"/>
      <c r="GH14" s="380">
        <v>99.4</v>
      </c>
      <c r="GI14" s="380">
        <v>63.6</v>
      </c>
      <c r="GJ14" s="380">
        <v>98.4</v>
      </c>
      <c r="GK14" s="141">
        <v>579</v>
      </c>
      <c r="GL14" s="391" t="s">
        <v>646</v>
      </c>
      <c r="GM14" s="391">
        <v>12.52</v>
      </c>
      <c r="GN14" s="117">
        <v>20</v>
      </c>
      <c r="GO14" s="391" t="s">
        <v>646</v>
      </c>
      <c r="GP14" s="392">
        <v>17.52</v>
      </c>
      <c r="GQ14" s="387">
        <v>30</v>
      </c>
      <c r="GR14" s="381">
        <v>4.7</v>
      </c>
      <c r="GS14" s="388">
        <v>25</v>
      </c>
      <c r="GT14" s="388">
        <v>35</v>
      </c>
      <c r="GU14" s="393">
        <v>10</v>
      </c>
      <c r="GV14" s="388">
        <v>350</v>
      </c>
      <c r="GW14" s="394"/>
      <c r="GX14" s="100">
        <f t="shared" si="17"/>
        <v>19544</v>
      </c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  <c r="HW14" s="394"/>
      <c r="HX14" s="394"/>
    </row>
    <row r="15" spans="2:232" x14ac:dyDescent="0.15">
      <c r="B15" s="89" t="s">
        <v>19</v>
      </c>
      <c r="C15" s="141">
        <v>21739500</v>
      </c>
      <c r="D15" s="73">
        <f t="shared" si="0"/>
        <v>7347587</v>
      </c>
      <c r="E15" s="141">
        <v>238014</v>
      </c>
      <c r="F15" s="141">
        <v>7109573</v>
      </c>
      <c r="G15" s="73">
        <f t="shared" si="1"/>
        <v>1437631</v>
      </c>
      <c r="H15" s="141">
        <v>510985</v>
      </c>
      <c r="I15" s="141">
        <v>926646</v>
      </c>
      <c r="J15" s="141">
        <v>9123761</v>
      </c>
      <c r="K15" s="141">
        <v>3500869</v>
      </c>
      <c r="L15" s="141">
        <v>4139761</v>
      </c>
      <c r="M15" s="141">
        <v>1285310</v>
      </c>
      <c r="N15" s="141">
        <v>1054068</v>
      </c>
      <c r="O15" s="141">
        <v>1863648</v>
      </c>
      <c r="P15" s="141">
        <v>948204</v>
      </c>
      <c r="Q15" s="141">
        <v>915444</v>
      </c>
      <c r="R15" s="141">
        <v>219294</v>
      </c>
      <c r="S15" s="74"/>
      <c r="T15" s="73">
        <f t="shared" si="2"/>
        <v>3865814</v>
      </c>
      <c r="U15" s="141">
        <v>20716</v>
      </c>
      <c r="V15" s="141">
        <v>163896</v>
      </c>
      <c r="W15" s="141">
        <v>184343</v>
      </c>
      <c r="X15" s="141">
        <v>3204550</v>
      </c>
      <c r="Y15" s="141">
        <v>0</v>
      </c>
      <c r="Z15" s="141">
        <v>0</v>
      </c>
      <c r="AA15" s="141">
        <v>0</v>
      </c>
      <c r="AB15" s="141">
        <v>42931</v>
      </c>
      <c r="AC15" s="141">
        <v>249378</v>
      </c>
      <c r="AD15" s="141">
        <v>312402</v>
      </c>
      <c r="AE15" s="141">
        <v>8854632</v>
      </c>
      <c r="AF15" s="141">
        <v>8143735</v>
      </c>
      <c r="AG15" s="141">
        <v>710897</v>
      </c>
      <c r="AH15" s="141">
        <v>19919</v>
      </c>
      <c r="AI15" s="141">
        <v>901594</v>
      </c>
      <c r="AJ15" s="73">
        <f t="shared" si="3"/>
        <v>790340</v>
      </c>
      <c r="AK15" s="141">
        <v>539541</v>
      </c>
      <c r="AL15" s="141">
        <v>250799</v>
      </c>
      <c r="AM15" s="141">
        <v>23809984</v>
      </c>
      <c r="AN15" s="73">
        <f t="shared" si="4"/>
        <v>12420462</v>
      </c>
      <c r="AO15" s="141">
        <v>7034034</v>
      </c>
      <c r="AP15" s="141">
        <v>3013472</v>
      </c>
      <c r="AQ15" s="74"/>
      <c r="AR15" s="141">
        <v>2372956</v>
      </c>
      <c r="AS15" s="141">
        <v>316903</v>
      </c>
      <c r="AT15" s="141">
        <v>0</v>
      </c>
      <c r="AU15" s="141">
        <v>0</v>
      </c>
      <c r="AV15" s="141">
        <v>5064480</v>
      </c>
      <c r="AW15" s="141">
        <v>3296062</v>
      </c>
      <c r="AX15" s="141">
        <v>1311106</v>
      </c>
      <c r="AY15" s="141">
        <v>5590</v>
      </c>
      <c r="AZ15" s="141">
        <v>1768418</v>
      </c>
      <c r="BA15" s="141">
        <v>33351</v>
      </c>
      <c r="BB15" s="141">
        <v>563790</v>
      </c>
      <c r="BC15" s="141">
        <v>512477</v>
      </c>
      <c r="BD15" s="141">
        <v>191346</v>
      </c>
      <c r="BE15" s="141">
        <v>2364203</v>
      </c>
      <c r="BF15" s="141">
        <v>0</v>
      </c>
      <c r="BG15" s="141">
        <v>2293266</v>
      </c>
      <c r="BH15" s="141">
        <v>70937</v>
      </c>
      <c r="BI15" s="141">
        <v>0</v>
      </c>
      <c r="BJ15" s="141">
        <v>549882</v>
      </c>
      <c r="BK15" s="141">
        <v>497695</v>
      </c>
      <c r="BL15" s="141">
        <v>1090903</v>
      </c>
      <c r="BM15" s="141">
        <v>12330</v>
      </c>
      <c r="BN15" s="141">
        <v>0</v>
      </c>
      <c r="BO15" s="141">
        <v>269223</v>
      </c>
      <c r="BP15" s="141">
        <v>3303097</v>
      </c>
      <c r="BQ15" s="73">
        <f t="shared" si="5"/>
        <v>1486600</v>
      </c>
      <c r="BR15" s="73">
        <f t="shared" si="6"/>
        <v>1816497</v>
      </c>
      <c r="BS15" s="141">
        <v>0</v>
      </c>
      <c r="BT15" s="141">
        <v>0</v>
      </c>
      <c r="BU15" s="141">
        <v>1816497</v>
      </c>
      <c r="BV15" s="141">
        <v>0</v>
      </c>
      <c r="BW15" s="141">
        <v>73641180</v>
      </c>
      <c r="BX15" s="71"/>
      <c r="BY15" s="141">
        <v>5981881</v>
      </c>
      <c r="BZ15" s="141">
        <v>3839906</v>
      </c>
      <c r="CA15" s="141">
        <v>662146</v>
      </c>
      <c r="CB15" s="141">
        <v>273727</v>
      </c>
      <c r="CC15" s="141">
        <v>29781791</v>
      </c>
      <c r="CD15" s="141">
        <v>7127500</v>
      </c>
      <c r="CE15" s="141">
        <v>1909</v>
      </c>
      <c r="CF15" s="141">
        <v>11388253</v>
      </c>
      <c r="CG15" s="141">
        <v>9469420</v>
      </c>
      <c r="CH15" s="141">
        <v>896397</v>
      </c>
      <c r="CI15" s="141">
        <v>897382</v>
      </c>
      <c r="CJ15" s="141">
        <v>7711914</v>
      </c>
      <c r="CK15" s="141">
        <v>7370528</v>
      </c>
      <c r="CL15" s="83">
        <f t="shared" si="7"/>
        <v>341386</v>
      </c>
      <c r="CM15" s="141">
        <v>9829621</v>
      </c>
      <c r="CN15" s="141">
        <v>8022150</v>
      </c>
      <c r="CO15" s="102"/>
      <c r="CP15" s="141">
        <v>616851</v>
      </c>
      <c r="CQ15" s="141">
        <v>146153</v>
      </c>
      <c r="CR15" s="141">
        <v>6699061</v>
      </c>
      <c r="CS15" s="141">
        <v>2580396</v>
      </c>
      <c r="CT15" s="141">
        <v>1305413</v>
      </c>
      <c r="CU15" s="141">
        <v>733141</v>
      </c>
      <c r="CV15" s="73">
        <f t="shared" si="8"/>
        <v>1351908</v>
      </c>
      <c r="CW15" s="141">
        <v>1351908</v>
      </c>
      <c r="CX15" s="141">
        <v>0</v>
      </c>
      <c r="CY15" s="73">
        <f t="shared" si="9"/>
        <v>0</v>
      </c>
      <c r="CZ15" s="141">
        <v>0</v>
      </c>
      <c r="DA15" s="141">
        <v>0</v>
      </c>
      <c r="DB15" s="73">
        <f t="shared" si="10"/>
        <v>1328100</v>
      </c>
      <c r="DC15" s="141">
        <v>1328100</v>
      </c>
      <c r="DD15" s="141">
        <v>0</v>
      </c>
      <c r="DE15" s="141">
        <v>3844570</v>
      </c>
      <c r="DF15" s="141">
        <v>1128541</v>
      </c>
      <c r="DG15" s="141">
        <v>2641234</v>
      </c>
      <c r="DH15" s="141">
        <v>0</v>
      </c>
      <c r="DI15" s="141">
        <v>0</v>
      </c>
      <c r="DJ15" s="141">
        <v>0</v>
      </c>
      <c r="DK15" s="141">
        <v>973913</v>
      </c>
      <c r="DL15" s="141">
        <v>110452</v>
      </c>
      <c r="DM15" s="141">
        <v>410</v>
      </c>
      <c r="DN15" s="141">
        <v>863051</v>
      </c>
      <c r="DO15" s="141">
        <v>24044</v>
      </c>
      <c r="DP15" s="141">
        <v>24044</v>
      </c>
      <c r="DQ15" s="141">
        <v>24044</v>
      </c>
      <c r="DR15" s="141">
        <v>0</v>
      </c>
      <c r="DS15" s="141">
        <v>0</v>
      </c>
      <c r="DT15" s="141">
        <v>0</v>
      </c>
      <c r="DU15" s="141">
        <v>0</v>
      </c>
      <c r="DV15" s="141">
        <v>6541179</v>
      </c>
      <c r="DW15" s="141">
        <v>0</v>
      </c>
      <c r="DX15" s="73">
        <f t="shared" si="11"/>
        <v>0</v>
      </c>
      <c r="DY15" s="141">
        <v>0</v>
      </c>
      <c r="DZ15" s="141">
        <v>2343250</v>
      </c>
      <c r="EA15" s="141">
        <v>0</v>
      </c>
      <c r="EB15" s="141">
        <v>1637170</v>
      </c>
      <c r="EC15" s="74">
        <v>0</v>
      </c>
      <c r="ED15" s="141">
        <v>2560759</v>
      </c>
      <c r="EE15" s="141">
        <v>0</v>
      </c>
      <c r="EF15" s="141">
        <v>71534127</v>
      </c>
      <c r="EG15" s="71"/>
      <c r="EH15" s="141">
        <v>2107053</v>
      </c>
      <c r="EI15" s="141">
        <v>22212</v>
      </c>
      <c r="EJ15" s="141">
        <v>2084841</v>
      </c>
      <c r="EK15" s="141">
        <v>187146</v>
      </c>
      <c r="EL15" s="141">
        <v>2342523</v>
      </c>
      <c r="EM15" s="71"/>
      <c r="EN15" s="141">
        <v>143096</v>
      </c>
      <c r="EO15" s="141">
        <v>142655</v>
      </c>
      <c r="EP15" s="141">
        <v>2293266</v>
      </c>
      <c r="EQ15" s="141">
        <v>55031</v>
      </c>
      <c r="ER15" s="73">
        <f t="shared" si="12"/>
        <v>2971181</v>
      </c>
      <c r="ES15" s="141">
        <v>35011561</v>
      </c>
      <c r="ET15" s="141">
        <v>-7116056</v>
      </c>
      <c r="EU15" s="141">
        <v>5471435</v>
      </c>
      <c r="EV15" s="141">
        <v>3421598</v>
      </c>
      <c r="EW15" s="141">
        <v>7247194</v>
      </c>
      <c r="EX15" s="141">
        <v>7692060</v>
      </c>
      <c r="EY15" s="73">
        <f t="shared" si="13"/>
        <v>1795112</v>
      </c>
      <c r="EZ15" s="141">
        <v>1795112</v>
      </c>
      <c r="FA15" s="141">
        <v>104604</v>
      </c>
      <c r="FB15" s="141">
        <v>1672613</v>
      </c>
      <c r="FC15" s="141">
        <v>0</v>
      </c>
      <c r="FD15" s="141">
        <v>0</v>
      </c>
      <c r="FE15" s="141">
        <v>6725803</v>
      </c>
      <c r="FF15" s="141">
        <v>5702122</v>
      </c>
      <c r="FG15" s="141">
        <v>2399437</v>
      </c>
      <c r="FH15" s="141">
        <v>4936209</v>
      </c>
      <c r="FI15" s="73">
        <f t="shared" si="14"/>
        <v>450629</v>
      </c>
      <c r="FJ15" s="141">
        <v>40020564</v>
      </c>
      <c r="FK15" s="379">
        <f t="shared" si="15"/>
        <v>6.2</v>
      </c>
      <c r="FL15" s="141">
        <v>30981957</v>
      </c>
      <c r="FM15" s="141">
        <v>2525968</v>
      </c>
      <c r="FN15" s="141">
        <v>17931039</v>
      </c>
      <c r="FO15" s="141">
        <v>26074774</v>
      </c>
      <c r="FP15" s="390">
        <v>0.71599999999999997</v>
      </c>
      <c r="FQ15" s="380">
        <v>94.6</v>
      </c>
      <c r="FR15" s="381">
        <v>15.5</v>
      </c>
      <c r="FS15" s="380">
        <v>21</v>
      </c>
      <c r="FT15" s="380">
        <v>16.399999999999999</v>
      </c>
      <c r="FU15" s="381">
        <v>15.3</v>
      </c>
      <c r="FV15" s="380">
        <v>12.6</v>
      </c>
      <c r="FW15" s="382">
        <v>13.5</v>
      </c>
      <c r="FX15" s="383">
        <v>6.7</v>
      </c>
      <c r="FY15" s="141">
        <v>59034084</v>
      </c>
      <c r="FZ15" s="384">
        <f t="shared" si="16"/>
        <v>176.2</v>
      </c>
      <c r="GA15" s="141">
        <v>12033732</v>
      </c>
      <c r="GB15" s="141">
        <v>4378189</v>
      </c>
      <c r="GC15" s="141">
        <v>1033824</v>
      </c>
      <c r="GD15" s="141">
        <v>6621719</v>
      </c>
      <c r="GE15" s="107">
        <v>0</v>
      </c>
      <c r="GF15" s="385"/>
      <c r="GG15" s="386"/>
      <c r="GH15" s="380">
        <v>99.4</v>
      </c>
      <c r="GI15" s="380">
        <v>41.1</v>
      </c>
      <c r="GJ15" s="380">
        <v>98.1</v>
      </c>
      <c r="GK15" s="141">
        <v>584</v>
      </c>
      <c r="GL15" s="391" t="s">
        <v>646</v>
      </c>
      <c r="GM15" s="391">
        <v>11.66</v>
      </c>
      <c r="GN15" s="117">
        <v>20</v>
      </c>
      <c r="GO15" s="391" t="s">
        <v>646</v>
      </c>
      <c r="GP15" s="392">
        <v>16.66</v>
      </c>
      <c r="GQ15" s="387">
        <v>30</v>
      </c>
      <c r="GR15" s="381">
        <v>6.7</v>
      </c>
      <c r="GS15" s="388">
        <v>25</v>
      </c>
      <c r="GT15" s="388">
        <v>35</v>
      </c>
      <c r="GU15" s="393">
        <v>28.5</v>
      </c>
      <c r="GV15" s="388">
        <v>350</v>
      </c>
      <c r="GW15" s="394"/>
      <c r="GX15" s="100">
        <f t="shared" si="17"/>
        <v>33508</v>
      </c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  <c r="HW15" s="394"/>
      <c r="HX15" s="394"/>
    </row>
    <row r="16" spans="2:232" x14ac:dyDescent="0.15">
      <c r="B16" s="89" t="s">
        <v>21</v>
      </c>
      <c r="C16" s="141">
        <v>55731372</v>
      </c>
      <c r="D16" s="73">
        <f t="shared" si="0"/>
        <v>22650451</v>
      </c>
      <c r="E16" s="141">
        <v>670269</v>
      </c>
      <c r="F16" s="141">
        <v>21980182</v>
      </c>
      <c r="G16" s="73">
        <f t="shared" si="1"/>
        <v>2855361</v>
      </c>
      <c r="H16" s="141">
        <v>777142</v>
      </c>
      <c r="I16" s="141">
        <v>2078219</v>
      </c>
      <c r="J16" s="141">
        <v>21577436</v>
      </c>
      <c r="K16" s="141">
        <v>8373143</v>
      </c>
      <c r="L16" s="141">
        <v>10250828</v>
      </c>
      <c r="M16" s="141">
        <v>2616598</v>
      </c>
      <c r="N16" s="141">
        <v>1983586</v>
      </c>
      <c r="O16" s="141">
        <v>4622184</v>
      </c>
      <c r="P16" s="141">
        <v>2419323</v>
      </c>
      <c r="Q16" s="141">
        <v>2202861</v>
      </c>
      <c r="R16" s="141">
        <v>664733</v>
      </c>
      <c r="S16" s="74"/>
      <c r="T16" s="73">
        <f t="shared" si="2"/>
        <v>10556662</v>
      </c>
      <c r="U16" s="141">
        <v>65022</v>
      </c>
      <c r="V16" s="141">
        <v>512313</v>
      </c>
      <c r="W16" s="141">
        <v>574360</v>
      </c>
      <c r="X16" s="141">
        <v>8602413</v>
      </c>
      <c r="Y16" s="141">
        <v>78172</v>
      </c>
      <c r="Z16" s="141">
        <v>0</v>
      </c>
      <c r="AA16" s="141">
        <v>0</v>
      </c>
      <c r="AB16" s="141">
        <v>130663</v>
      </c>
      <c r="AC16" s="141">
        <v>593719</v>
      </c>
      <c r="AD16" s="141">
        <v>870689</v>
      </c>
      <c r="AE16" s="141">
        <v>15340478</v>
      </c>
      <c r="AF16" s="141">
        <v>14886480</v>
      </c>
      <c r="AG16" s="141">
        <v>453998</v>
      </c>
      <c r="AH16" s="141">
        <v>52392</v>
      </c>
      <c r="AI16" s="141">
        <v>442301</v>
      </c>
      <c r="AJ16" s="73">
        <f t="shared" si="3"/>
        <v>2033665</v>
      </c>
      <c r="AK16" s="141">
        <v>1548348</v>
      </c>
      <c r="AL16" s="141">
        <v>485317</v>
      </c>
      <c r="AM16" s="141">
        <v>48718492</v>
      </c>
      <c r="AN16" s="73">
        <f t="shared" si="4"/>
        <v>18170810</v>
      </c>
      <c r="AO16" s="141">
        <v>9839974</v>
      </c>
      <c r="AP16" s="141">
        <v>3934007</v>
      </c>
      <c r="AQ16" s="74"/>
      <c r="AR16" s="141">
        <v>4396829</v>
      </c>
      <c r="AS16" s="141">
        <v>1364591</v>
      </c>
      <c r="AT16" s="141">
        <v>0</v>
      </c>
      <c r="AU16" s="141">
        <v>0</v>
      </c>
      <c r="AV16" s="141">
        <v>12736956</v>
      </c>
      <c r="AW16" s="141">
        <v>9923554</v>
      </c>
      <c r="AX16" s="141">
        <v>1667267</v>
      </c>
      <c r="AY16" s="141">
        <v>39616</v>
      </c>
      <c r="AZ16" s="141">
        <v>2813402</v>
      </c>
      <c r="BA16" s="141">
        <v>20730</v>
      </c>
      <c r="BB16" s="141">
        <v>258490</v>
      </c>
      <c r="BC16" s="141">
        <v>201358</v>
      </c>
      <c r="BD16" s="141">
        <v>476570</v>
      </c>
      <c r="BE16" s="141">
        <v>722543</v>
      </c>
      <c r="BF16" s="141">
        <v>0</v>
      </c>
      <c r="BG16" s="141">
        <v>0</v>
      </c>
      <c r="BH16" s="141">
        <v>720174</v>
      </c>
      <c r="BI16" s="141">
        <v>0</v>
      </c>
      <c r="BJ16" s="141">
        <v>3495837</v>
      </c>
      <c r="BK16" s="141">
        <v>1693675</v>
      </c>
      <c r="BL16" s="141">
        <v>1517816</v>
      </c>
      <c r="BM16" s="141">
        <v>25249</v>
      </c>
      <c r="BN16" s="141">
        <v>0</v>
      </c>
      <c r="BO16" s="141">
        <v>364535</v>
      </c>
      <c r="BP16" s="141">
        <v>13186298</v>
      </c>
      <c r="BQ16" s="73">
        <f t="shared" si="5"/>
        <v>7366100</v>
      </c>
      <c r="BR16" s="73">
        <f t="shared" si="6"/>
        <v>5820198</v>
      </c>
      <c r="BS16" s="141">
        <v>0</v>
      </c>
      <c r="BT16" s="141">
        <v>0</v>
      </c>
      <c r="BU16" s="141">
        <v>5820198</v>
      </c>
      <c r="BV16" s="141">
        <v>0</v>
      </c>
      <c r="BW16" s="141">
        <v>166805294</v>
      </c>
      <c r="BX16" s="71"/>
      <c r="BY16" s="141">
        <v>20813105</v>
      </c>
      <c r="BZ16" s="141">
        <v>13583653</v>
      </c>
      <c r="CA16" s="141">
        <v>1290100</v>
      </c>
      <c r="CB16" s="141">
        <v>2395480</v>
      </c>
      <c r="CC16" s="141">
        <v>57284864</v>
      </c>
      <c r="CD16" s="141">
        <v>15324264</v>
      </c>
      <c r="CE16" s="141">
        <v>67064</v>
      </c>
      <c r="CF16" s="141">
        <v>27181833</v>
      </c>
      <c r="CG16" s="141">
        <v>12829603</v>
      </c>
      <c r="CH16" s="141">
        <v>590882</v>
      </c>
      <c r="CI16" s="141">
        <v>1279288</v>
      </c>
      <c r="CJ16" s="141">
        <v>10933869</v>
      </c>
      <c r="CK16" s="141">
        <v>10538449</v>
      </c>
      <c r="CL16" s="83">
        <f t="shared" si="7"/>
        <v>395420</v>
      </c>
      <c r="CM16" s="141">
        <v>22059322</v>
      </c>
      <c r="CN16" s="141">
        <v>16156744</v>
      </c>
      <c r="CO16" s="102"/>
      <c r="CP16" s="141">
        <v>2423685</v>
      </c>
      <c r="CQ16" s="141">
        <v>1336010</v>
      </c>
      <c r="CR16" s="141">
        <v>15865721</v>
      </c>
      <c r="CS16" s="141">
        <v>4519708</v>
      </c>
      <c r="CT16" s="141">
        <v>2199760</v>
      </c>
      <c r="CU16" s="141">
        <v>2187771</v>
      </c>
      <c r="CV16" s="73">
        <f t="shared" si="8"/>
        <v>5360398</v>
      </c>
      <c r="CW16" s="141">
        <v>2693893</v>
      </c>
      <c r="CX16" s="141">
        <v>2666505</v>
      </c>
      <c r="CY16" s="73">
        <f t="shared" si="9"/>
        <v>1512498</v>
      </c>
      <c r="CZ16" s="141">
        <v>998128</v>
      </c>
      <c r="DA16" s="141">
        <v>514370</v>
      </c>
      <c r="DB16" s="73">
        <f t="shared" si="10"/>
        <v>3710071</v>
      </c>
      <c r="DC16" s="141">
        <v>1668369</v>
      </c>
      <c r="DD16" s="141">
        <v>2041702</v>
      </c>
      <c r="DE16" s="141">
        <v>16091099</v>
      </c>
      <c r="DF16" s="141">
        <v>6907394</v>
      </c>
      <c r="DG16" s="141">
        <v>7521998</v>
      </c>
      <c r="DH16" s="141">
        <v>78</v>
      </c>
      <c r="DI16" s="141">
        <v>1661629</v>
      </c>
      <c r="DJ16" s="141">
        <v>19294</v>
      </c>
      <c r="DK16" s="141">
        <v>4043495</v>
      </c>
      <c r="DL16" s="141">
        <v>936405</v>
      </c>
      <c r="DM16" s="141">
        <v>1000118</v>
      </c>
      <c r="DN16" s="141">
        <v>2106972</v>
      </c>
      <c r="DO16" s="141">
        <v>0</v>
      </c>
      <c r="DP16" s="141">
        <v>0</v>
      </c>
      <c r="DQ16" s="141">
        <v>0</v>
      </c>
      <c r="DR16" s="141">
        <v>0</v>
      </c>
      <c r="DS16" s="141">
        <v>17928</v>
      </c>
      <c r="DT16" s="141">
        <v>0</v>
      </c>
      <c r="DU16" s="141">
        <v>0</v>
      </c>
      <c r="DV16" s="141">
        <v>14281117</v>
      </c>
      <c r="DW16" s="141">
        <v>0</v>
      </c>
      <c r="DX16" s="73">
        <f t="shared" si="11"/>
        <v>0</v>
      </c>
      <c r="DY16" s="141">
        <v>0</v>
      </c>
      <c r="DZ16" s="141">
        <v>5403402</v>
      </c>
      <c r="EA16" s="141">
        <v>0</v>
      </c>
      <c r="EB16" s="141">
        <v>3734253</v>
      </c>
      <c r="EC16" s="74">
        <v>0</v>
      </c>
      <c r="ED16" s="141">
        <v>5143462</v>
      </c>
      <c r="EE16" s="141">
        <v>0</v>
      </c>
      <c r="EF16" s="141">
        <v>162745824</v>
      </c>
      <c r="EG16" s="71"/>
      <c r="EH16" s="141">
        <v>4059470</v>
      </c>
      <c r="EI16" s="141">
        <v>1601894</v>
      </c>
      <c r="EJ16" s="141">
        <v>2457576</v>
      </c>
      <c r="EK16" s="141">
        <v>763901</v>
      </c>
      <c r="EL16" s="141">
        <v>1989866</v>
      </c>
      <c r="EM16" s="71"/>
      <c r="EN16" s="141">
        <v>397289</v>
      </c>
      <c r="EO16" s="141">
        <v>397681</v>
      </c>
      <c r="EP16" s="141">
        <v>503443</v>
      </c>
      <c r="EQ16" s="141">
        <v>254445</v>
      </c>
      <c r="ER16" s="73">
        <f t="shared" si="12"/>
        <v>7831476</v>
      </c>
      <c r="ES16" s="141">
        <v>83216326</v>
      </c>
      <c r="ET16" s="141">
        <v>-14357170</v>
      </c>
      <c r="EU16" s="141">
        <v>18873190</v>
      </c>
      <c r="EV16" s="141">
        <v>12271936</v>
      </c>
      <c r="EW16" s="141">
        <v>15236521</v>
      </c>
      <c r="EX16" s="141">
        <v>10690950</v>
      </c>
      <c r="EY16" s="73">
        <f t="shared" si="13"/>
        <v>2327781</v>
      </c>
      <c r="EZ16" s="141">
        <v>2308850</v>
      </c>
      <c r="FA16" s="141">
        <v>445175</v>
      </c>
      <c r="FB16" s="141">
        <v>1863597</v>
      </c>
      <c r="FC16" s="141">
        <v>18931</v>
      </c>
      <c r="FD16" s="141">
        <v>0</v>
      </c>
      <c r="FE16" s="141">
        <v>14996362</v>
      </c>
      <c r="FF16" s="141">
        <v>15058042</v>
      </c>
      <c r="FG16" s="141">
        <v>4517508</v>
      </c>
      <c r="FH16" s="141">
        <v>11202229</v>
      </c>
      <c r="FI16" s="73">
        <f t="shared" si="14"/>
        <v>5128951</v>
      </c>
      <c r="FJ16" s="141">
        <v>93514026</v>
      </c>
      <c r="FK16" s="379">
        <f t="shared" si="15"/>
        <v>3</v>
      </c>
      <c r="FL16" s="141">
        <v>74476665</v>
      </c>
      <c r="FM16" s="141">
        <v>8016801</v>
      </c>
      <c r="FN16" s="141">
        <v>46864189</v>
      </c>
      <c r="FO16" s="141">
        <v>62419763</v>
      </c>
      <c r="FP16" s="390">
        <v>0.78200000000000003</v>
      </c>
      <c r="FQ16" s="380">
        <v>92.3</v>
      </c>
      <c r="FR16" s="381">
        <v>21.9</v>
      </c>
      <c r="FS16" s="380">
        <v>16.7</v>
      </c>
      <c r="FT16" s="380">
        <v>12.3</v>
      </c>
      <c r="FU16" s="381">
        <v>14.1</v>
      </c>
      <c r="FV16" s="380">
        <v>13.3</v>
      </c>
      <c r="FW16" s="382">
        <v>12.5</v>
      </c>
      <c r="FX16" s="383">
        <v>0</v>
      </c>
      <c r="FY16" s="141">
        <v>113684951</v>
      </c>
      <c r="FZ16" s="384">
        <f t="shared" si="16"/>
        <v>137.80000000000001</v>
      </c>
      <c r="GA16" s="141">
        <v>33150299</v>
      </c>
      <c r="GB16" s="141">
        <v>13602431</v>
      </c>
      <c r="GC16" s="141">
        <v>5396896</v>
      </c>
      <c r="GD16" s="141">
        <v>14150972</v>
      </c>
      <c r="GE16" s="107">
        <v>0</v>
      </c>
      <c r="GF16" s="385">
        <v>5012</v>
      </c>
      <c r="GG16" s="386">
        <f>IF(GF16=0,"-",ROUND(GF16/(GX16)*100,1))</f>
        <v>6.1</v>
      </c>
      <c r="GH16" s="380">
        <v>99.9</v>
      </c>
      <c r="GI16" s="380">
        <v>64.2</v>
      </c>
      <c r="GJ16" s="380">
        <v>99.5</v>
      </c>
      <c r="GK16" s="141">
        <v>2159</v>
      </c>
      <c r="GL16" s="391" t="s">
        <v>646</v>
      </c>
      <c r="GM16" s="391">
        <v>11.25</v>
      </c>
      <c r="GN16" s="117">
        <v>20</v>
      </c>
      <c r="GO16" s="391" t="s">
        <v>646</v>
      </c>
      <c r="GP16" s="392">
        <v>16.25</v>
      </c>
      <c r="GQ16" s="387">
        <v>30</v>
      </c>
      <c r="GR16" s="381">
        <v>0</v>
      </c>
      <c r="GS16" s="388">
        <v>25</v>
      </c>
      <c r="GT16" s="388">
        <v>35</v>
      </c>
      <c r="GU16" s="393" t="s">
        <v>646</v>
      </c>
      <c r="GV16" s="388">
        <v>350</v>
      </c>
      <c r="GW16" s="394"/>
      <c r="GX16" s="100">
        <f t="shared" si="17"/>
        <v>82493</v>
      </c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  <c r="HW16" s="394"/>
      <c r="HX16" s="394"/>
    </row>
    <row r="17" spans="2:232" x14ac:dyDescent="0.15">
      <c r="B17" s="89" t="s">
        <v>23</v>
      </c>
      <c r="C17" s="141">
        <v>49126112</v>
      </c>
      <c r="D17" s="73">
        <f t="shared" si="0"/>
        <v>18462229</v>
      </c>
      <c r="E17" s="141">
        <v>491762</v>
      </c>
      <c r="F17" s="141">
        <v>17970467</v>
      </c>
      <c r="G17" s="73">
        <f t="shared" si="1"/>
        <v>2992651</v>
      </c>
      <c r="H17" s="141">
        <v>784591</v>
      </c>
      <c r="I17" s="141">
        <v>2208060</v>
      </c>
      <c r="J17" s="141">
        <v>21437648</v>
      </c>
      <c r="K17" s="141">
        <v>8376537</v>
      </c>
      <c r="L17" s="141">
        <v>9527898</v>
      </c>
      <c r="M17" s="141">
        <v>3294619</v>
      </c>
      <c r="N17" s="141">
        <v>1612337</v>
      </c>
      <c r="O17" s="141">
        <v>4280612</v>
      </c>
      <c r="P17" s="141">
        <v>2230335</v>
      </c>
      <c r="Q17" s="141">
        <v>2050277</v>
      </c>
      <c r="R17" s="141">
        <v>516373</v>
      </c>
      <c r="S17" s="74"/>
      <c r="T17" s="73">
        <f t="shared" si="2"/>
        <v>7849797</v>
      </c>
      <c r="U17" s="141">
        <v>52083</v>
      </c>
      <c r="V17" s="141">
        <v>411823</v>
      </c>
      <c r="W17" s="141">
        <v>462982</v>
      </c>
      <c r="X17" s="141">
        <v>6227774</v>
      </c>
      <c r="Y17" s="141">
        <v>90364</v>
      </c>
      <c r="Z17" s="141">
        <v>0</v>
      </c>
      <c r="AA17" s="141">
        <v>0</v>
      </c>
      <c r="AB17" s="141">
        <v>101544</v>
      </c>
      <c r="AC17" s="141">
        <v>503227</v>
      </c>
      <c r="AD17" s="141">
        <v>591835</v>
      </c>
      <c r="AE17" s="141">
        <v>2576434</v>
      </c>
      <c r="AF17" s="141">
        <v>2337838</v>
      </c>
      <c r="AG17" s="141">
        <v>238596</v>
      </c>
      <c r="AH17" s="141">
        <v>38659</v>
      </c>
      <c r="AI17" s="141">
        <v>303792</v>
      </c>
      <c r="AJ17" s="73">
        <f t="shared" si="3"/>
        <v>1516052</v>
      </c>
      <c r="AK17" s="141">
        <v>1109100</v>
      </c>
      <c r="AL17" s="141">
        <v>406952</v>
      </c>
      <c r="AM17" s="141">
        <v>31209289</v>
      </c>
      <c r="AN17" s="73">
        <f t="shared" si="4"/>
        <v>10756246</v>
      </c>
      <c r="AO17" s="141">
        <v>4498342</v>
      </c>
      <c r="AP17" s="141">
        <v>3304183</v>
      </c>
      <c r="AQ17" s="74"/>
      <c r="AR17" s="141">
        <v>2953721</v>
      </c>
      <c r="AS17" s="141">
        <v>3023119</v>
      </c>
      <c r="AT17" s="141">
        <v>12849</v>
      </c>
      <c r="AU17" s="141">
        <v>0</v>
      </c>
      <c r="AV17" s="141">
        <v>8012546</v>
      </c>
      <c r="AW17" s="141">
        <v>5198840</v>
      </c>
      <c r="AX17" s="141">
        <v>1406310</v>
      </c>
      <c r="AY17" s="141">
        <v>115934</v>
      </c>
      <c r="AZ17" s="141">
        <v>2813706</v>
      </c>
      <c r="BA17" s="141">
        <v>68896</v>
      </c>
      <c r="BB17" s="141">
        <v>275312</v>
      </c>
      <c r="BC17" s="141">
        <v>191389</v>
      </c>
      <c r="BD17" s="141">
        <v>297869</v>
      </c>
      <c r="BE17" s="141">
        <v>967901</v>
      </c>
      <c r="BF17" s="141">
        <v>300000</v>
      </c>
      <c r="BG17" s="141">
        <v>0</v>
      </c>
      <c r="BH17" s="141">
        <v>614787</v>
      </c>
      <c r="BI17" s="141">
        <v>0</v>
      </c>
      <c r="BJ17" s="141">
        <v>1286809</v>
      </c>
      <c r="BK17" s="141">
        <v>556119</v>
      </c>
      <c r="BL17" s="141">
        <v>3468387</v>
      </c>
      <c r="BM17" s="141">
        <v>796681</v>
      </c>
      <c r="BN17" s="141">
        <v>5745</v>
      </c>
      <c r="BO17" s="141">
        <v>318745</v>
      </c>
      <c r="BP17" s="141">
        <v>4262700</v>
      </c>
      <c r="BQ17" s="73">
        <f t="shared" si="5"/>
        <v>2996600</v>
      </c>
      <c r="BR17" s="73">
        <f t="shared" si="6"/>
        <v>1266100</v>
      </c>
      <c r="BS17" s="141">
        <v>0</v>
      </c>
      <c r="BT17" s="141">
        <v>0</v>
      </c>
      <c r="BU17" s="141">
        <v>1266100</v>
      </c>
      <c r="BV17" s="141">
        <v>0</v>
      </c>
      <c r="BW17" s="141">
        <v>112299867</v>
      </c>
      <c r="BX17" s="71"/>
      <c r="BY17" s="141">
        <v>17452373</v>
      </c>
      <c r="BZ17" s="141">
        <v>10928846</v>
      </c>
      <c r="CA17" s="141">
        <v>713057</v>
      </c>
      <c r="CB17" s="141">
        <v>2719458</v>
      </c>
      <c r="CC17" s="141">
        <v>37426671</v>
      </c>
      <c r="CD17" s="141">
        <v>9812149</v>
      </c>
      <c r="CE17" s="141">
        <v>75090</v>
      </c>
      <c r="CF17" s="141">
        <v>19844475</v>
      </c>
      <c r="CG17" s="141">
        <v>6052555</v>
      </c>
      <c r="CH17" s="141">
        <v>0</v>
      </c>
      <c r="CI17" s="141">
        <v>1642402</v>
      </c>
      <c r="CJ17" s="141">
        <v>5222661</v>
      </c>
      <c r="CK17" s="141">
        <v>4943532</v>
      </c>
      <c r="CL17" s="83">
        <f t="shared" si="7"/>
        <v>279129</v>
      </c>
      <c r="CM17" s="141">
        <v>18078040</v>
      </c>
      <c r="CN17" s="141">
        <v>10833160</v>
      </c>
      <c r="CO17" s="102"/>
      <c r="CP17" s="141">
        <v>4234355</v>
      </c>
      <c r="CQ17" s="141">
        <v>1062360</v>
      </c>
      <c r="CR17" s="141">
        <v>7198021</v>
      </c>
      <c r="CS17" s="141">
        <v>7165</v>
      </c>
      <c r="CT17" s="141">
        <v>3443772</v>
      </c>
      <c r="CU17" s="141">
        <v>1946125</v>
      </c>
      <c r="CV17" s="73">
        <f t="shared" si="8"/>
        <v>1567039</v>
      </c>
      <c r="CW17" s="141">
        <v>979577</v>
      </c>
      <c r="CX17" s="141">
        <v>587462</v>
      </c>
      <c r="CY17" s="73">
        <f t="shared" si="9"/>
        <v>0</v>
      </c>
      <c r="CZ17" s="141">
        <v>0</v>
      </c>
      <c r="DA17" s="141">
        <v>0</v>
      </c>
      <c r="DB17" s="73">
        <f t="shared" si="10"/>
        <v>1532288</v>
      </c>
      <c r="DC17" s="141">
        <v>972386</v>
      </c>
      <c r="DD17" s="141">
        <v>559902</v>
      </c>
      <c r="DE17" s="141">
        <v>12860719</v>
      </c>
      <c r="DF17" s="141">
        <v>6226166</v>
      </c>
      <c r="DG17" s="141">
        <v>6623796</v>
      </c>
      <c r="DH17" s="141">
        <v>5012</v>
      </c>
      <c r="DI17" s="141">
        <v>5745</v>
      </c>
      <c r="DJ17" s="141">
        <v>26019</v>
      </c>
      <c r="DK17" s="141">
        <v>1440661</v>
      </c>
      <c r="DL17" s="141">
        <v>600560</v>
      </c>
      <c r="DM17" s="141">
        <v>0</v>
      </c>
      <c r="DN17" s="141">
        <v>840101</v>
      </c>
      <c r="DO17" s="141">
        <v>11229</v>
      </c>
      <c r="DP17" s="141">
        <v>11229</v>
      </c>
      <c r="DQ17" s="141">
        <v>11229</v>
      </c>
      <c r="DR17" s="141">
        <v>0</v>
      </c>
      <c r="DS17" s="141">
        <v>796640</v>
      </c>
      <c r="DT17" s="141">
        <v>0</v>
      </c>
      <c r="DU17" s="141">
        <v>0</v>
      </c>
      <c r="DV17" s="141">
        <v>8517660</v>
      </c>
      <c r="DW17" s="141">
        <v>0</v>
      </c>
      <c r="DX17" s="73">
        <f t="shared" si="11"/>
        <v>0</v>
      </c>
      <c r="DY17" s="141">
        <v>0</v>
      </c>
      <c r="DZ17" s="141">
        <v>3376870</v>
      </c>
      <c r="EA17" s="141">
        <v>0</v>
      </c>
      <c r="EB17" s="141">
        <v>2030510</v>
      </c>
      <c r="EC17" s="74">
        <v>0</v>
      </c>
      <c r="ED17" s="141">
        <v>3110280</v>
      </c>
      <c r="EE17" s="141">
        <v>0</v>
      </c>
      <c r="EF17" s="141">
        <v>110093054</v>
      </c>
      <c r="EG17" s="71"/>
      <c r="EH17" s="141">
        <v>2206813</v>
      </c>
      <c r="EI17" s="141">
        <v>1261069</v>
      </c>
      <c r="EJ17" s="141">
        <v>945744</v>
      </c>
      <c r="EK17" s="141">
        <v>-168375</v>
      </c>
      <c r="EL17" s="141">
        <v>132185</v>
      </c>
      <c r="EM17" s="71"/>
      <c r="EN17" s="141">
        <v>287730</v>
      </c>
      <c r="EO17" s="141">
        <v>283504</v>
      </c>
      <c r="EP17" s="141">
        <v>353114</v>
      </c>
      <c r="EQ17" s="141">
        <v>273944</v>
      </c>
      <c r="ER17" s="73">
        <f t="shared" si="12"/>
        <v>3285387</v>
      </c>
      <c r="ES17" s="141">
        <v>60699210</v>
      </c>
      <c r="ET17" s="141">
        <v>-5139886</v>
      </c>
      <c r="EU17" s="141">
        <v>15513951</v>
      </c>
      <c r="EV17" s="141">
        <v>9512151</v>
      </c>
      <c r="EW17" s="141">
        <v>9963425</v>
      </c>
      <c r="EX17" s="141">
        <v>5222661</v>
      </c>
      <c r="EY17" s="73">
        <f t="shared" si="13"/>
        <v>4448166</v>
      </c>
      <c r="EZ17" s="141">
        <v>4446115</v>
      </c>
      <c r="FA17" s="141">
        <v>353790</v>
      </c>
      <c r="FB17" s="141">
        <v>4088920</v>
      </c>
      <c r="FC17" s="141">
        <v>2051</v>
      </c>
      <c r="FD17" s="141">
        <v>0</v>
      </c>
      <c r="FE17" s="141">
        <v>13658680</v>
      </c>
      <c r="FF17" s="141">
        <v>5745706</v>
      </c>
      <c r="FG17" s="141">
        <v>7165</v>
      </c>
      <c r="FH17" s="141">
        <v>6694904</v>
      </c>
      <c r="FI17" s="73">
        <f t="shared" si="14"/>
        <v>2384790</v>
      </c>
      <c r="FJ17" s="141">
        <v>63632283</v>
      </c>
      <c r="FK17" s="379">
        <f t="shared" si="15"/>
        <v>1.7</v>
      </c>
      <c r="FL17" s="141">
        <v>52811400</v>
      </c>
      <c r="FM17" s="141">
        <v>2983497</v>
      </c>
      <c r="FN17" s="141">
        <v>39381505</v>
      </c>
      <c r="FO17" s="141">
        <v>41719343</v>
      </c>
      <c r="FP17" s="390">
        <v>0.96199999999999997</v>
      </c>
      <c r="FQ17" s="380">
        <v>88.6</v>
      </c>
      <c r="FR17" s="381">
        <v>26</v>
      </c>
      <c r="FS17" s="380">
        <v>15.3</v>
      </c>
      <c r="FT17" s="380">
        <v>9</v>
      </c>
      <c r="FU17" s="381">
        <v>19.399999999999999</v>
      </c>
      <c r="FV17" s="380">
        <v>6</v>
      </c>
      <c r="FW17" s="382">
        <v>11.2</v>
      </c>
      <c r="FX17" s="383">
        <v>-1.7</v>
      </c>
      <c r="FY17" s="141">
        <v>46778621</v>
      </c>
      <c r="FZ17" s="384">
        <f t="shared" si="16"/>
        <v>83.8</v>
      </c>
      <c r="GA17" s="141">
        <v>24037925</v>
      </c>
      <c r="GB17" s="141">
        <v>7669420</v>
      </c>
      <c r="GC17" s="141">
        <v>0</v>
      </c>
      <c r="GD17" s="141">
        <v>16368505</v>
      </c>
      <c r="GE17" s="107">
        <v>0</v>
      </c>
      <c r="GF17" s="385">
        <v>471</v>
      </c>
      <c r="GG17" s="386">
        <f>IF(GF17=0,"-",ROUND(GF17/(GX17)*100,1))</f>
        <v>0.8</v>
      </c>
      <c r="GH17" s="380">
        <v>99.7</v>
      </c>
      <c r="GI17" s="380">
        <v>53.3</v>
      </c>
      <c r="GJ17" s="380">
        <v>98.6</v>
      </c>
      <c r="GK17" s="141">
        <v>1625</v>
      </c>
      <c r="GL17" s="391" t="s">
        <v>646</v>
      </c>
      <c r="GM17" s="391">
        <v>11.25</v>
      </c>
      <c r="GN17" s="117">
        <v>20</v>
      </c>
      <c r="GO17" s="391" t="s">
        <v>646</v>
      </c>
      <c r="GP17" s="392">
        <v>16.25</v>
      </c>
      <c r="GQ17" s="387">
        <v>30</v>
      </c>
      <c r="GR17" s="381">
        <v>-1.7</v>
      </c>
      <c r="GS17" s="388">
        <v>25</v>
      </c>
      <c r="GT17" s="388">
        <v>35</v>
      </c>
      <c r="GU17" s="393" t="s">
        <v>646</v>
      </c>
      <c r="GV17" s="388">
        <v>350</v>
      </c>
      <c r="GW17" s="394"/>
      <c r="GX17" s="100">
        <f t="shared" si="17"/>
        <v>55795</v>
      </c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  <c r="HW17" s="394"/>
      <c r="HX17" s="394"/>
    </row>
    <row r="18" spans="2:232" x14ac:dyDescent="0.15">
      <c r="B18" s="89" t="s">
        <v>25</v>
      </c>
      <c r="C18" s="141">
        <v>38651962</v>
      </c>
      <c r="D18" s="73">
        <f t="shared" si="0"/>
        <v>14153753</v>
      </c>
      <c r="E18" s="141">
        <v>432017</v>
      </c>
      <c r="F18" s="141">
        <v>13721736</v>
      </c>
      <c r="G18" s="73">
        <f t="shared" si="1"/>
        <v>2683072</v>
      </c>
      <c r="H18" s="141">
        <v>738275</v>
      </c>
      <c r="I18" s="141">
        <v>1944797</v>
      </c>
      <c r="J18" s="141">
        <v>16266140</v>
      </c>
      <c r="K18" s="141">
        <v>7173347</v>
      </c>
      <c r="L18" s="141">
        <v>6802357</v>
      </c>
      <c r="M18" s="141">
        <v>2013803</v>
      </c>
      <c r="N18" s="141">
        <v>1762132</v>
      </c>
      <c r="O18" s="141">
        <v>3380427</v>
      </c>
      <c r="P18" s="141">
        <v>1911734</v>
      </c>
      <c r="Q18" s="141">
        <v>1468693</v>
      </c>
      <c r="R18" s="141">
        <v>461542</v>
      </c>
      <c r="S18" s="74"/>
      <c r="T18" s="73">
        <f t="shared" si="2"/>
        <v>7356319</v>
      </c>
      <c r="U18" s="141">
        <v>40420</v>
      </c>
      <c r="V18" s="141">
        <v>319639</v>
      </c>
      <c r="W18" s="141">
        <v>359383</v>
      </c>
      <c r="X18" s="141">
        <v>6059196</v>
      </c>
      <c r="Y18" s="141">
        <v>0</v>
      </c>
      <c r="Z18" s="141">
        <v>0</v>
      </c>
      <c r="AA18" s="141">
        <v>0</v>
      </c>
      <c r="AB18" s="141">
        <v>90578</v>
      </c>
      <c r="AC18" s="141">
        <v>487103</v>
      </c>
      <c r="AD18" s="141">
        <v>720179</v>
      </c>
      <c r="AE18" s="141">
        <v>14697176</v>
      </c>
      <c r="AF18" s="141">
        <v>14114988</v>
      </c>
      <c r="AG18" s="141">
        <v>582188</v>
      </c>
      <c r="AH18" s="141">
        <v>34475</v>
      </c>
      <c r="AI18" s="141">
        <v>778114</v>
      </c>
      <c r="AJ18" s="73">
        <f t="shared" si="3"/>
        <v>1429863</v>
      </c>
      <c r="AK18" s="141">
        <v>919061</v>
      </c>
      <c r="AL18" s="141">
        <v>510802</v>
      </c>
      <c r="AM18" s="141">
        <v>37903266</v>
      </c>
      <c r="AN18" s="73">
        <f t="shared" si="4"/>
        <v>18520460</v>
      </c>
      <c r="AO18" s="141">
        <v>10310441</v>
      </c>
      <c r="AP18" s="141">
        <v>4051966</v>
      </c>
      <c r="AQ18" s="74"/>
      <c r="AR18" s="141">
        <v>4158053</v>
      </c>
      <c r="AS18" s="141">
        <v>960969</v>
      </c>
      <c r="AT18" s="141">
        <v>0</v>
      </c>
      <c r="AU18" s="141">
        <v>52696</v>
      </c>
      <c r="AV18" s="141">
        <v>8486838</v>
      </c>
      <c r="AW18" s="141">
        <v>5691375</v>
      </c>
      <c r="AX18" s="141">
        <v>1784278</v>
      </c>
      <c r="AY18" s="141">
        <v>92597</v>
      </c>
      <c r="AZ18" s="141">
        <v>2795463</v>
      </c>
      <c r="BA18" s="141">
        <v>9763</v>
      </c>
      <c r="BB18" s="141">
        <v>729199</v>
      </c>
      <c r="BC18" s="141">
        <v>632573</v>
      </c>
      <c r="BD18" s="141">
        <v>993814</v>
      </c>
      <c r="BE18" s="141">
        <v>143195</v>
      </c>
      <c r="BF18" s="141">
        <v>0</v>
      </c>
      <c r="BG18" s="141">
        <v>0</v>
      </c>
      <c r="BH18" s="141">
        <v>143000</v>
      </c>
      <c r="BI18" s="141">
        <v>0</v>
      </c>
      <c r="BJ18" s="141">
        <v>800643</v>
      </c>
      <c r="BK18" s="141">
        <v>416896</v>
      </c>
      <c r="BL18" s="141">
        <v>1315096</v>
      </c>
      <c r="BM18" s="141">
        <v>280675</v>
      </c>
      <c r="BN18" s="141">
        <v>0</v>
      </c>
      <c r="BO18" s="141">
        <v>315811</v>
      </c>
      <c r="BP18" s="141">
        <v>8179592</v>
      </c>
      <c r="BQ18" s="73">
        <f t="shared" si="5"/>
        <v>4104900</v>
      </c>
      <c r="BR18" s="73">
        <f t="shared" si="6"/>
        <v>4074692</v>
      </c>
      <c r="BS18" s="141">
        <v>0</v>
      </c>
      <c r="BT18" s="141">
        <v>0</v>
      </c>
      <c r="BU18" s="141">
        <v>4074692</v>
      </c>
      <c r="BV18" s="141">
        <v>0</v>
      </c>
      <c r="BW18" s="141">
        <v>122733969</v>
      </c>
      <c r="BX18" s="71"/>
      <c r="BY18" s="141">
        <v>17859623</v>
      </c>
      <c r="BZ18" s="141">
        <v>12381217</v>
      </c>
      <c r="CA18" s="141">
        <v>723657</v>
      </c>
      <c r="CB18" s="141">
        <v>1526253</v>
      </c>
      <c r="CC18" s="141">
        <v>48082738</v>
      </c>
      <c r="CD18" s="141">
        <v>12748760</v>
      </c>
      <c r="CE18" s="141">
        <v>30668</v>
      </c>
      <c r="CF18" s="141">
        <v>18578439</v>
      </c>
      <c r="CG18" s="141">
        <v>13678753</v>
      </c>
      <c r="CH18" s="141">
        <v>1417523</v>
      </c>
      <c r="CI18" s="141">
        <v>1628022</v>
      </c>
      <c r="CJ18" s="141">
        <v>9141711</v>
      </c>
      <c r="CK18" s="141">
        <v>8767087</v>
      </c>
      <c r="CL18" s="83">
        <f t="shared" si="7"/>
        <v>374624</v>
      </c>
      <c r="CM18" s="141">
        <v>14048565</v>
      </c>
      <c r="CN18" s="141">
        <v>10234752</v>
      </c>
      <c r="CO18" s="102"/>
      <c r="CP18" s="141">
        <v>1668253</v>
      </c>
      <c r="CQ18" s="141">
        <v>429775</v>
      </c>
      <c r="CR18" s="141">
        <v>11076203</v>
      </c>
      <c r="CS18" s="141">
        <v>920740</v>
      </c>
      <c r="CT18" s="141">
        <v>3142369</v>
      </c>
      <c r="CU18" s="141">
        <v>2612605</v>
      </c>
      <c r="CV18" s="73">
        <f t="shared" si="8"/>
        <v>5584528</v>
      </c>
      <c r="CW18" s="141">
        <v>5584528</v>
      </c>
      <c r="CX18" s="141">
        <v>0</v>
      </c>
      <c r="CY18" s="73">
        <f t="shared" si="9"/>
        <v>1783866</v>
      </c>
      <c r="CZ18" s="141">
        <v>1783866</v>
      </c>
      <c r="DA18" s="141">
        <v>0</v>
      </c>
      <c r="DB18" s="73">
        <f t="shared" si="10"/>
        <v>3733184</v>
      </c>
      <c r="DC18" s="141">
        <v>3733184</v>
      </c>
      <c r="DD18" s="141">
        <v>0</v>
      </c>
      <c r="DE18" s="141">
        <v>7950200</v>
      </c>
      <c r="DF18" s="141">
        <v>2630858</v>
      </c>
      <c r="DG18" s="141">
        <v>5310702</v>
      </c>
      <c r="DH18" s="141">
        <v>3397</v>
      </c>
      <c r="DI18" s="141">
        <v>5243</v>
      </c>
      <c r="DJ18" s="141">
        <v>0</v>
      </c>
      <c r="DK18" s="141">
        <v>1571598</v>
      </c>
      <c r="DL18" s="141">
        <v>426248</v>
      </c>
      <c r="DM18" s="141">
        <v>0</v>
      </c>
      <c r="DN18" s="141">
        <v>1145350</v>
      </c>
      <c r="DO18" s="141">
        <v>999472</v>
      </c>
      <c r="DP18" s="141">
        <v>999472</v>
      </c>
      <c r="DQ18" s="141">
        <v>372921</v>
      </c>
      <c r="DR18" s="141">
        <v>100000</v>
      </c>
      <c r="DS18" s="141">
        <v>254369</v>
      </c>
      <c r="DT18" s="141">
        <v>0</v>
      </c>
      <c r="DU18" s="141">
        <v>0</v>
      </c>
      <c r="DV18" s="141">
        <v>10442038</v>
      </c>
      <c r="DW18" s="141">
        <v>0</v>
      </c>
      <c r="DX18" s="73">
        <f t="shared" si="11"/>
        <v>0</v>
      </c>
      <c r="DY18" s="141">
        <v>0</v>
      </c>
      <c r="DZ18" s="141">
        <v>3699548</v>
      </c>
      <c r="EA18" s="141">
        <v>0</v>
      </c>
      <c r="EB18" s="141">
        <v>2629017</v>
      </c>
      <c r="EC18" s="74">
        <v>0</v>
      </c>
      <c r="ED18" s="141">
        <v>4113473</v>
      </c>
      <c r="EE18" s="141">
        <v>0</v>
      </c>
      <c r="EF18" s="141">
        <v>121856292</v>
      </c>
      <c r="EG18" s="71"/>
      <c r="EH18" s="141">
        <v>877677</v>
      </c>
      <c r="EI18" s="141">
        <v>327826</v>
      </c>
      <c r="EJ18" s="141">
        <v>549851</v>
      </c>
      <c r="EK18" s="141">
        <v>132955</v>
      </c>
      <c r="EL18" s="141">
        <v>731368</v>
      </c>
      <c r="EM18" s="71"/>
      <c r="EN18" s="141">
        <v>264642</v>
      </c>
      <c r="EO18" s="141">
        <v>263693</v>
      </c>
      <c r="EP18" s="141">
        <v>150</v>
      </c>
      <c r="EQ18" s="141">
        <v>98108</v>
      </c>
      <c r="ER18" s="73">
        <f t="shared" si="12"/>
        <v>3665039</v>
      </c>
      <c r="ES18" s="141">
        <v>61974349</v>
      </c>
      <c r="ET18" s="141">
        <v>-7750818</v>
      </c>
      <c r="EU18" s="141">
        <v>16325712</v>
      </c>
      <c r="EV18" s="141">
        <v>11350137</v>
      </c>
      <c r="EW18" s="141">
        <v>11872114</v>
      </c>
      <c r="EX18" s="141">
        <v>9006684</v>
      </c>
      <c r="EY18" s="73">
        <f t="shared" si="13"/>
        <v>2818020</v>
      </c>
      <c r="EZ18" s="141">
        <v>2818020</v>
      </c>
      <c r="FA18" s="141">
        <v>212054</v>
      </c>
      <c r="FB18" s="141">
        <v>2604053</v>
      </c>
      <c r="FC18" s="141">
        <v>0</v>
      </c>
      <c r="FD18" s="141">
        <v>0</v>
      </c>
      <c r="FE18" s="141">
        <v>9295485</v>
      </c>
      <c r="FF18" s="141">
        <v>10096902</v>
      </c>
      <c r="FG18" s="141">
        <v>645219</v>
      </c>
      <c r="FH18" s="141">
        <v>8153389</v>
      </c>
      <c r="FI18" s="73">
        <f t="shared" si="14"/>
        <v>1279184</v>
      </c>
      <c r="FJ18" s="141">
        <v>68847490</v>
      </c>
      <c r="FK18" s="379">
        <f t="shared" si="15"/>
        <v>0.9</v>
      </c>
      <c r="FL18" s="141">
        <v>55329280</v>
      </c>
      <c r="FM18" s="141">
        <v>5612523</v>
      </c>
      <c r="FN18" s="141">
        <v>32305331</v>
      </c>
      <c r="FO18" s="141">
        <v>46501062</v>
      </c>
      <c r="FP18" s="390">
        <v>0.72399999999999998</v>
      </c>
      <c r="FQ18" s="380">
        <v>96.6</v>
      </c>
      <c r="FR18" s="381">
        <v>25.9</v>
      </c>
      <c r="FS18" s="380">
        <v>18.3</v>
      </c>
      <c r="FT18" s="380">
        <v>14.1</v>
      </c>
      <c r="FU18" s="381">
        <v>11.8</v>
      </c>
      <c r="FV18" s="380">
        <v>12.9</v>
      </c>
      <c r="FW18" s="382">
        <v>12.1</v>
      </c>
      <c r="FX18" s="383">
        <v>3.7</v>
      </c>
      <c r="FY18" s="141">
        <v>95029111</v>
      </c>
      <c r="FZ18" s="384">
        <f t="shared" si="16"/>
        <v>155.9</v>
      </c>
      <c r="GA18" s="141">
        <v>11222752</v>
      </c>
      <c r="GB18" s="141">
        <v>7401906</v>
      </c>
      <c r="GC18" s="141">
        <v>0</v>
      </c>
      <c r="GD18" s="141">
        <v>3820846</v>
      </c>
      <c r="GE18" s="107">
        <v>0</v>
      </c>
      <c r="GF18" s="385"/>
      <c r="GG18" s="386"/>
      <c r="GH18" s="380">
        <v>99.3</v>
      </c>
      <c r="GI18" s="380">
        <v>44</v>
      </c>
      <c r="GJ18" s="380">
        <v>98.1</v>
      </c>
      <c r="GK18" s="141">
        <v>1721</v>
      </c>
      <c r="GL18" s="391" t="s">
        <v>646</v>
      </c>
      <c r="GM18" s="391">
        <v>11.25</v>
      </c>
      <c r="GN18" s="117">
        <v>20</v>
      </c>
      <c r="GO18" s="391" t="s">
        <v>646</v>
      </c>
      <c r="GP18" s="392">
        <v>16.25</v>
      </c>
      <c r="GQ18" s="387">
        <v>30</v>
      </c>
      <c r="GR18" s="381">
        <v>3.7</v>
      </c>
      <c r="GS18" s="388">
        <v>25</v>
      </c>
      <c r="GT18" s="388">
        <v>35</v>
      </c>
      <c r="GU18" s="393" t="s">
        <v>646</v>
      </c>
      <c r="GV18" s="388">
        <v>350</v>
      </c>
      <c r="GW18" s="394"/>
      <c r="GX18" s="100">
        <f t="shared" si="17"/>
        <v>60942</v>
      </c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  <c r="HW18" s="394"/>
      <c r="HX18" s="394"/>
    </row>
    <row r="19" spans="2:232" x14ac:dyDescent="0.15">
      <c r="B19" s="89" t="s">
        <v>27</v>
      </c>
      <c r="C19" s="141">
        <v>19949656</v>
      </c>
      <c r="D19" s="73">
        <f t="shared" si="0"/>
        <v>4945450</v>
      </c>
      <c r="E19" s="141">
        <v>169522</v>
      </c>
      <c r="F19" s="141">
        <v>4775928</v>
      </c>
      <c r="G19" s="73">
        <f t="shared" si="1"/>
        <v>1659364</v>
      </c>
      <c r="H19" s="141">
        <v>480876</v>
      </c>
      <c r="I19" s="141">
        <v>1178488</v>
      </c>
      <c r="J19" s="141">
        <v>10177477</v>
      </c>
      <c r="K19" s="141">
        <v>3607823</v>
      </c>
      <c r="L19" s="141">
        <v>3708780</v>
      </c>
      <c r="M19" s="141">
        <v>2391475</v>
      </c>
      <c r="N19" s="141">
        <v>1217653</v>
      </c>
      <c r="O19" s="141">
        <v>1453860</v>
      </c>
      <c r="P19" s="141">
        <v>676120</v>
      </c>
      <c r="Q19" s="141">
        <v>777740</v>
      </c>
      <c r="R19" s="141">
        <v>215871</v>
      </c>
      <c r="S19" s="74"/>
      <c r="T19" s="73">
        <f t="shared" si="2"/>
        <v>3013708</v>
      </c>
      <c r="U19" s="141">
        <v>13976</v>
      </c>
      <c r="V19" s="141">
        <v>110879</v>
      </c>
      <c r="W19" s="141">
        <v>124973</v>
      </c>
      <c r="X19" s="141">
        <v>2371182</v>
      </c>
      <c r="Y19" s="141">
        <v>48003</v>
      </c>
      <c r="Z19" s="141">
        <v>0</v>
      </c>
      <c r="AA19" s="141">
        <v>0</v>
      </c>
      <c r="AB19" s="141">
        <v>34726</v>
      </c>
      <c r="AC19" s="141">
        <v>309969</v>
      </c>
      <c r="AD19" s="141">
        <v>364181</v>
      </c>
      <c r="AE19" s="141">
        <v>2445052</v>
      </c>
      <c r="AF19" s="141">
        <v>1986442</v>
      </c>
      <c r="AG19" s="141">
        <v>458610</v>
      </c>
      <c r="AH19" s="141">
        <v>17119</v>
      </c>
      <c r="AI19" s="141">
        <v>215576</v>
      </c>
      <c r="AJ19" s="73">
        <f t="shared" si="3"/>
        <v>749839</v>
      </c>
      <c r="AK19" s="141">
        <v>518067</v>
      </c>
      <c r="AL19" s="141">
        <v>231772</v>
      </c>
      <c r="AM19" s="141">
        <v>12313360</v>
      </c>
      <c r="AN19" s="73">
        <f t="shared" si="4"/>
        <v>5228211</v>
      </c>
      <c r="AO19" s="141">
        <v>2497836</v>
      </c>
      <c r="AP19" s="141">
        <v>1136781</v>
      </c>
      <c r="AQ19" s="74"/>
      <c r="AR19" s="141">
        <v>1593594</v>
      </c>
      <c r="AS19" s="141">
        <v>422707</v>
      </c>
      <c r="AT19" s="141">
        <v>0</v>
      </c>
      <c r="AU19" s="141">
        <v>0</v>
      </c>
      <c r="AV19" s="141">
        <v>3281908</v>
      </c>
      <c r="AW19" s="141">
        <v>1965808</v>
      </c>
      <c r="AX19" s="141">
        <v>604507</v>
      </c>
      <c r="AY19" s="141">
        <v>7602</v>
      </c>
      <c r="AZ19" s="141">
        <v>1316100</v>
      </c>
      <c r="BA19" s="141">
        <v>89220</v>
      </c>
      <c r="BB19" s="141">
        <v>404613</v>
      </c>
      <c r="BC19" s="141">
        <v>178234</v>
      </c>
      <c r="BD19" s="141">
        <v>11414458</v>
      </c>
      <c r="BE19" s="141">
        <v>8850530</v>
      </c>
      <c r="BF19" s="141">
        <v>0</v>
      </c>
      <c r="BG19" s="141">
        <v>0</v>
      </c>
      <c r="BH19" s="141">
        <v>8788891</v>
      </c>
      <c r="BI19" s="141">
        <v>50000</v>
      </c>
      <c r="BJ19" s="141">
        <v>514570</v>
      </c>
      <c r="BK19" s="141">
        <v>135712</v>
      </c>
      <c r="BL19" s="141">
        <v>2883085</v>
      </c>
      <c r="BM19" s="141">
        <v>2083742</v>
      </c>
      <c r="BN19" s="141">
        <v>0</v>
      </c>
      <c r="BO19" s="141">
        <v>233883</v>
      </c>
      <c r="BP19" s="141">
        <v>3887400</v>
      </c>
      <c r="BQ19" s="73">
        <f t="shared" si="5"/>
        <v>1922600</v>
      </c>
      <c r="BR19" s="73">
        <f t="shared" si="6"/>
        <v>1964800</v>
      </c>
      <c r="BS19" s="141">
        <v>0</v>
      </c>
      <c r="BT19" s="141">
        <v>0</v>
      </c>
      <c r="BU19" s="141">
        <v>1964800</v>
      </c>
      <c r="BV19" s="141">
        <v>0</v>
      </c>
      <c r="BW19" s="141">
        <v>70520926</v>
      </c>
      <c r="BX19" s="71"/>
      <c r="BY19" s="141">
        <v>6072818</v>
      </c>
      <c r="BZ19" s="141">
        <v>3736769</v>
      </c>
      <c r="CA19" s="141">
        <v>534711</v>
      </c>
      <c r="CB19" s="141">
        <v>439938</v>
      </c>
      <c r="CC19" s="141">
        <v>14677337</v>
      </c>
      <c r="CD19" s="141">
        <v>4289493</v>
      </c>
      <c r="CE19" s="141">
        <v>1572</v>
      </c>
      <c r="CF19" s="141">
        <v>6366806</v>
      </c>
      <c r="CG19" s="141">
        <v>3497749</v>
      </c>
      <c r="CH19" s="141">
        <v>22114</v>
      </c>
      <c r="CI19" s="141">
        <v>499603</v>
      </c>
      <c r="CJ19" s="141">
        <v>5010707</v>
      </c>
      <c r="CK19" s="141">
        <v>4575829</v>
      </c>
      <c r="CL19" s="83">
        <f t="shared" si="7"/>
        <v>434878</v>
      </c>
      <c r="CM19" s="141">
        <v>10966342</v>
      </c>
      <c r="CN19" s="141">
        <v>7126732</v>
      </c>
      <c r="CO19" s="102"/>
      <c r="CP19" s="141">
        <v>685317</v>
      </c>
      <c r="CQ19" s="141">
        <v>114141</v>
      </c>
      <c r="CR19" s="141">
        <v>10499603</v>
      </c>
      <c r="CS19" s="141">
        <v>2311281</v>
      </c>
      <c r="CT19" s="141">
        <v>2463741</v>
      </c>
      <c r="CU19" s="141">
        <v>1895416</v>
      </c>
      <c r="CV19" s="73">
        <f t="shared" si="8"/>
        <v>1242023</v>
      </c>
      <c r="CW19" s="141">
        <v>1076150</v>
      </c>
      <c r="CX19" s="141">
        <v>165873</v>
      </c>
      <c r="CY19" s="73">
        <f t="shared" si="9"/>
        <v>0</v>
      </c>
      <c r="CZ19" s="141">
        <v>0</v>
      </c>
      <c r="DA19" s="141">
        <v>0</v>
      </c>
      <c r="DB19" s="73">
        <f t="shared" si="10"/>
        <v>1237823</v>
      </c>
      <c r="DC19" s="141">
        <v>1071950</v>
      </c>
      <c r="DD19" s="141">
        <v>165873</v>
      </c>
      <c r="DE19" s="141">
        <v>3970175</v>
      </c>
      <c r="DF19" s="141">
        <v>1077910</v>
      </c>
      <c r="DG19" s="141">
        <v>2870269</v>
      </c>
      <c r="DH19" s="141">
        <v>21974</v>
      </c>
      <c r="DI19" s="141">
        <v>0</v>
      </c>
      <c r="DJ19" s="141">
        <v>21</v>
      </c>
      <c r="DK19" s="141">
        <v>12524076</v>
      </c>
      <c r="DL19" s="141">
        <v>68050</v>
      </c>
      <c r="DM19" s="141">
        <v>932859</v>
      </c>
      <c r="DN19" s="141">
        <v>11523167</v>
      </c>
      <c r="DO19" s="141">
        <v>257689</v>
      </c>
      <c r="DP19" s="141">
        <v>257689</v>
      </c>
      <c r="DQ19" s="141">
        <v>0</v>
      </c>
      <c r="DR19" s="141">
        <v>0</v>
      </c>
      <c r="DS19" s="141">
        <v>1935700</v>
      </c>
      <c r="DT19" s="141">
        <v>0</v>
      </c>
      <c r="DU19" s="141">
        <v>0</v>
      </c>
      <c r="DV19" s="141">
        <v>4039541</v>
      </c>
      <c r="DW19" s="141">
        <v>0</v>
      </c>
      <c r="DX19" s="73">
        <f t="shared" si="11"/>
        <v>0</v>
      </c>
      <c r="DY19" s="141">
        <v>0</v>
      </c>
      <c r="DZ19" s="141">
        <v>1514188</v>
      </c>
      <c r="EA19" s="141">
        <v>0</v>
      </c>
      <c r="EB19" s="141">
        <v>1079734</v>
      </c>
      <c r="EC19" s="74">
        <v>0</v>
      </c>
      <c r="ED19" s="141">
        <v>1445619</v>
      </c>
      <c r="EE19" s="141">
        <v>0</v>
      </c>
      <c r="EF19" s="141">
        <v>70068150</v>
      </c>
      <c r="EG19" s="71"/>
      <c r="EH19" s="141">
        <v>452776</v>
      </c>
      <c r="EI19" s="141">
        <v>67775</v>
      </c>
      <c r="EJ19" s="141">
        <v>385001</v>
      </c>
      <c r="EK19" s="141">
        <v>249289</v>
      </c>
      <c r="EL19" s="141">
        <v>317339</v>
      </c>
      <c r="EM19" s="71"/>
      <c r="EN19" s="141">
        <v>100131</v>
      </c>
      <c r="EO19" s="141">
        <v>98840</v>
      </c>
      <c r="EP19" s="141">
        <v>795816</v>
      </c>
      <c r="EQ19" s="141">
        <v>271287</v>
      </c>
      <c r="ER19" s="73">
        <f t="shared" si="12"/>
        <v>2180575</v>
      </c>
      <c r="ES19" s="141">
        <v>26005587</v>
      </c>
      <c r="ET19" s="141">
        <v>-5195359</v>
      </c>
      <c r="EU19" s="141">
        <v>5338815</v>
      </c>
      <c r="EV19" s="141">
        <v>3114568</v>
      </c>
      <c r="EW19" s="141">
        <v>3356569</v>
      </c>
      <c r="EX19" s="141">
        <v>4506183</v>
      </c>
      <c r="EY19" s="73">
        <f t="shared" si="13"/>
        <v>787983</v>
      </c>
      <c r="EZ19" s="141">
        <v>787962</v>
      </c>
      <c r="FA19" s="141">
        <v>46345</v>
      </c>
      <c r="FB19" s="141">
        <v>737029</v>
      </c>
      <c r="FC19" s="141">
        <v>21</v>
      </c>
      <c r="FD19" s="141">
        <v>0</v>
      </c>
      <c r="FE19" s="141">
        <v>5478980</v>
      </c>
      <c r="FF19" s="141">
        <v>6501454</v>
      </c>
      <c r="FG19" s="141">
        <v>2311163</v>
      </c>
      <c r="FH19" s="141">
        <v>3110255</v>
      </c>
      <c r="FI19" s="73">
        <f t="shared" si="14"/>
        <v>1667931</v>
      </c>
      <c r="FJ19" s="141">
        <v>30748170</v>
      </c>
      <c r="FK19" s="379">
        <f t="shared" si="15"/>
        <v>1.6</v>
      </c>
      <c r="FL19" s="141">
        <v>22548065</v>
      </c>
      <c r="FM19" s="141">
        <v>1964847</v>
      </c>
      <c r="FN19" s="141">
        <v>16003053</v>
      </c>
      <c r="FO19" s="141">
        <v>17988995</v>
      </c>
      <c r="FP19" s="390">
        <v>0.93100000000000005</v>
      </c>
      <c r="FQ19" s="380">
        <v>99.5</v>
      </c>
      <c r="FR19" s="381">
        <v>19.600000000000001</v>
      </c>
      <c r="FS19" s="380">
        <v>12.4</v>
      </c>
      <c r="FT19" s="380">
        <v>17.3</v>
      </c>
      <c r="FU19" s="381">
        <v>17.7</v>
      </c>
      <c r="FV19" s="380">
        <v>19.5</v>
      </c>
      <c r="FW19" s="382">
        <v>11.6</v>
      </c>
      <c r="FX19" s="383">
        <v>9.9</v>
      </c>
      <c r="FY19" s="141">
        <v>61866870</v>
      </c>
      <c r="FZ19" s="384">
        <f t="shared" si="16"/>
        <v>252.4</v>
      </c>
      <c r="GA19" s="141">
        <v>16929357</v>
      </c>
      <c r="GB19" s="141">
        <v>1695999</v>
      </c>
      <c r="GC19" s="141">
        <v>935600</v>
      </c>
      <c r="GD19" s="141">
        <v>14297758</v>
      </c>
      <c r="GE19" s="107">
        <v>0</v>
      </c>
      <c r="GF19" s="385">
        <v>1594</v>
      </c>
      <c r="GG19" s="386">
        <f>IF(GF19=0,"-",ROUND(GF19/(GX19)*100,1))</f>
        <v>6.5</v>
      </c>
      <c r="GH19" s="380">
        <v>99.6</v>
      </c>
      <c r="GI19" s="380">
        <v>87.7</v>
      </c>
      <c r="GJ19" s="380">
        <v>99.1</v>
      </c>
      <c r="GK19" s="141">
        <v>512</v>
      </c>
      <c r="GL19" s="391" t="s">
        <v>646</v>
      </c>
      <c r="GM19" s="391">
        <v>12.12</v>
      </c>
      <c r="GN19" s="117">
        <v>20</v>
      </c>
      <c r="GO19" s="391" t="s">
        <v>646</v>
      </c>
      <c r="GP19" s="392">
        <v>17.12</v>
      </c>
      <c r="GQ19" s="387">
        <v>30</v>
      </c>
      <c r="GR19" s="381">
        <v>9.9</v>
      </c>
      <c r="GS19" s="388">
        <v>25</v>
      </c>
      <c r="GT19" s="388">
        <v>35</v>
      </c>
      <c r="GU19" s="393">
        <v>42.8</v>
      </c>
      <c r="GV19" s="388">
        <v>350</v>
      </c>
      <c r="GW19" s="394"/>
      <c r="GX19" s="100">
        <f t="shared" si="17"/>
        <v>24513</v>
      </c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  <c r="HW19" s="394"/>
      <c r="HX19" s="394"/>
    </row>
    <row r="20" spans="2:232" x14ac:dyDescent="0.15">
      <c r="B20" s="89" t="s">
        <v>29</v>
      </c>
      <c r="C20" s="141">
        <v>13480407</v>
      </c>
      <c r="D20" s="73">
        <f t="shared" si="0"/>
        <v>6104335</v>
      </c>
      <c r="E20" s="141">
        <v>184230</v>
      </c>
      <c r="F20" s="141">
        <v>5920105</v>
      </c>
      <c r="G20" s="73">
        <f t="shared" si="1"/>
        <v>518753</v>
      </c>
      <c r="H20" s="141">
        <v>203058</v>
      </c>
      <c r="I20" s="141">
        <v>315695</v>
      </c>
      <c r="J20" s="141">
        <v>5055713</v>
      </c>
      <c r="K20" s="141">
        <v>1994922</v>
      </c>
      <c r="L20" s="141">
        <v>2340980</v>
      </c>
      <c r="M20" s="141">
        <v>611016</v>
      </c>
      <c r="N20" s="141">
        <v>589979</v>
      </c>
      <c r="O20" s="141">
        <v>971209</v>
      </c>
      <c r="P20" s="141">
        <v>524132</v>
      </c>
      <c r="Q20" s="141">
        <v>447077</v>
      </c>
      <c r="R20" s="141">
        <v>212774</v>
      </c>
      <c r="S20" s="74"/>
      <c r="T20" s="73">
        <f t="shared" si="2"/>
        <v>2940657</v>
      </c>
      <c r="U20" s="141">
        <v>17363</v>
      </c>
      <c r="V20" s="141">
        <v>137176</v>
      </c>
      <c r="W20" s="141">
        <v>154112</v>
      </c>
      <c r="X20" s="141">
        <v>2418404</v>
      </c>
      <c r="Y20" s="141">
        <v>46616</v>
      </c>
      <c r="Z20" s="141">
        <v>0</v>
      </c>
      <c r="AA20" s="141">
        <v>0</v>
      </c>
      <c r="AB20" s="141">
        <v>41957</v>
      </c>
      <c r="AC20" s="141">
        <v>125029</v>
      </c>
      <c r="AD20" s="141">
        <v>197081</v>
      </c>
      <c r="AE20" s="141">
        <v>8112998</v>
      </c>
      <c r="AF20" s="141">
        <v>7953109</v>
      </c>
      <c r="AG20" s="141">
        <v>159889</v>
      </c>
      <c r="AH20" s="141">
        <v>16909</v>
      </c>
      <c r="AI20" s="141">
        <v>1021219</v>
      </c>
      <c r="AJ20" s="73">
        <f t="shared" si="3"/>
        <v>902553</v>
      </c>
      <c r="AK20" s="141">
        <v>560988</v>
      </c>
      <c r="AL20" s="141">
        <v>341565</v>
      </c>
      <c r="AM20" s="141">
        <v>13263002</v>
      </c>
      <c r="AN20" s="73">
        <f t="shared" si="4"/>
        <v>5629692</v>
      </c>
      <c r="AO20" s="141">
        <v>3042188</v>
      </c>
      <c r="AP20" s="141">
        <v>1121697</v>
      </c>
      <c r="AQ20" s="74"/>
      <c r="AR20" s="141">
        <v>1465807</v>
      </c>
      <c r="AS20" s="141">
        <v>295594</v>
      </c>
      <c r="AT20" s="141">
        <v>0</v>
      </c>
      <c r="AU20" s="141">
        <v>0</v>
      </c>
      <c r="AV20" s="141">
        <v>3279597</v>
      </c>
      <c r="AW20" s="141">
        <v>2057717</v>
      </c>
      <c r="AX20" s="141">
        <v>496004</v>
      </c>
      <c r="AY20" s="141">
        <v>67507</v>
      </c>
      <c r="AZ20" s="141">
        <v>1221880</v>
      </c>
      <c r="BA20" s="141">
        <v>8296</v>
      </c>
      <c r="BB20" s="141">
        <v>42225</v>
      </c>
      <c r="BC20" s="141">
        <v>27282</v>
      </c>
      <c r="BD20" s="141">
        <v>110771</v>
      </c>
      <c r="BE20" s="141">
        <v>293172</v>
      </c>
      <c r="BF20" s="141">
        <v>0</v>
      </c>
      <c r="BG20" s="141">
        <v>0</v>
      </c>
      <c r="BH20" s="141">
        <v>252832</v>
      </c>
      <c r="BI20" s="141">
        <v>0</v>
      </c>
      <c r="BJ20" s="141">
        <v>778577</v>
      </c>
      <c r="BK20" s="141">
        <v>703191</v>
      </c>
      <c r="BL20" s="141">
        <v>1851379</v>
      </c>
      <c r="BM20" s="141">
        <v>1065002</v>
      </c>
      <c r="BN20" s="141">
        <v>0</v>
      </c>
      <c r="BO20" s="141">
        <v>257485</v>
      </c>
      <c r="BP20" s="141">
        <v>2062400</v>
      </c>
      <c r="BQ20" s="73">
        <f t="shared" si="5"/>
        <v>389400</v>
      </c>
      <c r="BR20" s="73">
        <f t="shared" si="6"/>
        <v>1673000</v>
      </c>
      <c r="BS20" s="141">
        <v>0</v>
      </c>
      <c r="BT20" s="141">
        <v>0</v>
      </c>
      <c r="BU20" s="141">
        <v>1673000</v>
      </c>
      <c r="BV20" s="141">
        <v>0</v>
      </c>
      <c r="BW20" s="141">
        <v>48565721</v>
      </c>
      <c r="BX20" s="71"/>
      <c r="BY20" s="141">
        <v>8207444</v>
      </c>
      <c r="BZ20" s="141">
        <v>4996293</v>
      </c>
      <c r="CA20" s="141">
        <v>384593</v>
      </c>
      <c r="CB20" s="141">
        <v>1293381</v>
      </c>
      <c r="CC20" s="141">
        <v>15553622</v>
      </c>
      <c r="CD20" s="141">
        <v>4758008</v>
      </c>
      <c r="CE20" s="141">
        <v>6683</v>
      </c>
      <c r="CF20" s="141">
        <v>6720572</v>
      </c>
      <c r="CG20" s="141">
        <v>3941480</v>
      </c>
      <c r="CH20" s="141">
        <v>9275</v>
      </c>
      <c r="CI20" s="141">
        <v>117604</v>
      </c>
      <c r="CJ20" s="141">
        <v>3203693</v>
      </c>
      <c r="CK20" s="141">
        <v>3083875</v>
      </c>
      <c r="CL20" s="83">
        <f t="shared" si="7"/>
        <v>119818</v>
      </c>
      <c r="CM20" s="141">
        <v>5875136</v>
      </c>
      <c r="CN20" s="141">
        <v>4543589</v>
      </c>
      <c r="CO20" s="102"/>
      <c r="CP20" s="141">
        <v>842206</v>
      </c>
      <c r="CQ20" s="141">
        <v>288015</v>
      </c>
      <c r="CR20" s="141">
        <v>4195415</v>
      </c>
      <c r="CS20" s="141">
        <v>788718</v>
      </c>
      <c r="CT20" s="141">
        <v>1415096</v>
      </c>
      <c r="CU20" s="141">
        <v>1154097</v>
      </c>
      <c r="CV20" s="73">
        <f t="shared" si="8"/>
        <v>998442</v>
      </c>
      <c r="CW20" s="141">
        <v>76814</v>
      </c>
      <c r="CX20" s="141">
        <v>921628</v>
      </c>
      <c r="CY20" s="73">
        <f t="shared" si="9"/>
        <v>0</v>
      </c>
      <c r="CZ20" s="141">
        <v>0</v>
      </c>
      <c r="DA20" s="141">
        <v>0</v>
      </c>
      <c r="DB20" s="73">
        <f t="shared" si="10"/>
        <v>981110</v>
      </c>
      <c r="DC20" s="141">
        <v>61192</v>
      </c>
      <c r="DD20" s="141">
        <v>919918</v>
      </c>
      <c r="DE20" s="141">
        <v>2586421</v>
      </c>
      <c r="DF20" s="141">
        <v>520168</v>
      </c>
      <c r="DG20" s="141">
        <v>2000918</v>
      </c>
      <c r="DH20" s="141">
        <v>65335</v>
      </c>
      <c r="DI20" s="141">
        <v>0</v>
      </c>
      <c r="DJ20" s="141">
        <v>4969</v>
      </c>
      <c r="DK20" s="141">
        <v>1850904</v>
      </c>
      <c r="DL20" s="141">
        <v>812320</v>
      </c>
      <c r="DM20" s="141">
        <v>0</v>
      </c>
      <c r="DN20" s="141">
        <v>1038584</v>
      </c>
      <c r="DO20" s="141">
        <v>0</v>
      </c>
      <c r="DP20" s="141">
        <v>0</v>
      </c>
      <c r="DQ20" s="141">
        <v>0</v>
      </c>
      <c r="DR20" s="141">
        <v>0</v>
      </c>
      <c r="DS20" s="141">
        <v>1057000</v>
      </c>
      <c r="DT20" s="141">
        <v>0</v>
      </c>
      <c r="DU20" s="141">
        <v>0</v>
      </c>
      <c r="DV20" s="141">
        <v>4768512</v>
      </c>
      <c r="DW20" s="141">
        <v>0</v>
      </c>
      <c r="DX20" s="73">
        <f t="shared" si="11"/>
        <v>0</v>
      </c>
      <c r="DY20" s="141">
        <v>0</v>
      </c>
      <c r="DZ20" s="141">
        <v>1737010</v>
      </c>
      <c r="EA20" s="141">
        <v>0</v>
      </c>
      <c r="EB20" s="141">
        <v>1270788</v>
      </c>
      <c r="EC20" s="74">
        <v>0</v>
      </c>
      <c r="ED20" s="141">
        <v>1760714</v>
      </c>
      <c r="EE20" s="141">
        <v>0</v>
      </c>
      <c r="EF20" s="141">
        <v>47591131</v>
      </c>
      <c r="EG20" s="71"/>
      <c r="EH20" s="141">
        <v>974590</v>
      </c>
      <c r="EI20" s="141">
        <v>118362</v>
      </c>
      <c r="EJ20" s="141">
        <v>856228</v>
      </c>
      <c r="EK20" s="141">
        <v>153037</v>
      </c>
      <c r="EL20" s="141">
        <v>1651424</v>
      </c>
      <c r="EM20" s="71"/>
      <c r="EN20" s="141">
        <v>108699</v>
      </c>
      <c r="EO20" s="141">
        <v>108989</v>
      </c>
      <c r="EP20" s="141">
        <v>40340</v>
      </c>
      <c r="EQ20" s="141">
        <v>33672</v>
      </c>
      <c r="ER20" s="73">
        <f t="shared" si="12"/>
        <v>2476353</v>
      </c>
      <c r="ES20" s="141">
        <v>24960826</v>
      </c>
      <c r="ET20" s="141">
        <v>-4206456</v>
      </c>
      <c r="EU20" s="141">
        <v>7008419</v>
      </c>
      <c r="EV20" s="141">
        <v>4170553</v>
      </c>
      <c r="EW20" s="141">
        <v>3546597</v>
      </c>
      <c r="EX20" s="141">
        <v>3097884</v>
      </c>
      <c r="EY20" s="73">
        <f t="shared" si="13"/>
        <v>1532298</v>
      </c>
      <c r="EZ20" s="141">
        <v>1530129</v>
      </c>
      <c r="FA20" s="141">
        <v>71248</v>
      </c>
      <c r="FB20" s="141">
        <v>1455489</v>
      </c>
      <c r="FC20" s="141">
        <v>2169</v>
      </c>
      <c r="FD20" s="141">
        <v>0</v>
      </c>
      <c r="FE20" s="141">
        <v>3747949</v>
      </c>
      <c r="FF20" s="141">
        <v>3602745</v>
      </c>
      <c r="FG20" s="141">
        <v>788718</v>
      </c>
      <c r="FH20" s="141">
        <v>3710979</v>
      </c>
      <c r="FI20" s="73">
        <f t="shared" si="14"/>
        <v>1960880</v>
      </c>
      <c r="FJ20" s="141">
        <v>28207751</v>
      </c>
      <c r="FK20" s="379">
        <f t="shared" si="15"/>
        <v>3.5</v>
      </c>
      <c r="FL20" s="141">
        <v>22981803</v>
      </c>
      <c r="FM20" s="141">
        <v>1673868</v>
      </c>
      <c r="FN20" s="141">
        <v>11821444</v>
      </c>
      <c r="FO20" s="141">
        <v>19776179</v>
      </c>
      <c r="FP20" s="390">
        <v>0.63100000000000001</v>
      </c>
      <c r="FQ20" s="380">
        <v>86.6</v>
      </c>
      <c r="FR20" s="381">
        <v>27.2</v>
      </c>
      <c r="FS20" s="380">
        <v>13.8</v>
      </c>
      <c r="FT20" s="380">
        <v>9.4</v>
      </c>
      <c r="FU20" s="381">
        <v>13.3</v>
      </c>
      <c r="FV20" s="380">
        <v>8.6</v>
      </c>
      <c r="FW20" s="382">
        <v>13.4</v>
      </c>
      <c r="FX20" s="383">
        <v>-1.1000000000000001</v>
      </c>
      <c r="FY20" s="141">
        <v>30355893</v>
      </c>
      <c r="FZ20" s="384">
        <f t="shared" si="16"/>
        <v>123.1</v>
      </c>
      <c r="GA20" s="141">
        <v>11176096</v>
      </c>
      <c r="GB20" s="141">
        <v>4159434</v>
      </c>
      <c r="GC20" s="141">
        <v>0</v>
      </c>
      <c r="GD20" s="141">
        <v>7016662</v>
      </c>
      <c r="GE20" s="107">
        <v>0</v>
      </c>
      <c r="GF20" s="385"/>
      <c r="GG20" s="386"/>
      <c r="GH20" s="380">
        <v>99.6</v>
      </c>
      <c r="GI20" s="380">
        <v>52.2</v>
      </c>
      <c r="GJ20" s="380">
        <v>98.9</v>
      </c>
      <c r="GK20" s="141">
        <v>830</v>
      </c>
      <c r="GL20" s="391" t="s">
        <v>646</v>
      </c>
      <c r="GM20" s="391">
        <v>12.11</v>
      </c>
      <c r="GN20" s="117">
        <v>20</v>
      </c>
      <c r="GO20" s="391" t="s">
        <v>646</v>
      </c>
      <c r="GP20" s="392">
        <v>17.11</v>
      </c>
      <c r="GQ20" s="387">
        <v>30</v>
      </c>
      <c r="GR20" s="381">
        <v>-1.1000000000000001</v>
      </c>
      <c r="GS20" s="388">
        <v>25</v>
      </c>
      <c r="GT20" s="388">
        <v>35</v>
      </c>
      <c r="GU20" s="393" t="s">
        <v>646</v>
      </c>
      <c r="GV20" s="388">
        <v>350</v>
      </c>
      <c r="GW20" s="394"/>
      <c r="GX20" s="100">
        <f t="shared" si="17"/>
        <v>24656</v>
      </c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  <c r="HW20" s="394"/>
      <c r="HX20" s="394"/>
    </row>
    <row r="21" spans="2:232" x14ac:dyDescent="0.15">
      <c r="B21" s="89" t="s">
        <v>31</v>
      </c>
      <c r="C21" s="141">
        <v>28659334</v>
      </c>
      <c r="D21" s="73">
        <f t="shared" si="0"/>
        <v>11397122</v>
      </c>
      <c r="E21" s="141">
        <v>362179</v>
      </c>
      <c r="F21" s="141">
        <v>11034943</v>
      </c>
      <c r="G21" s="73">
        <f t="shared" si="1"/>
        <v>1439011</v>
      </c>
      <c r="H21" s="141">
        <v>567947</v>
      </c>
      <c r="I21" s="141">
        <v>871064</v>
      </c>
      <c r="J21" s="141">
        <v>11403132</v>
      </c>
      <c r="K21" s="141">
        <v>4672552</v>
      </c>
      <c r="L21" s="141">
        <v>5315336</v>
      </c>
      <c r="M21" s="141">
        <v>1122898</v>
      </c>
      <c r="N21" s="141">
        <v>1578608</v>
      </c>
      <c r="O21" s="141">
        <v>2489188</v>
      </c>
      <c r="P21" s="141">
        <v>1330580</v>
      </c>
      <c r="Q21" s="141">
        <v>1158608</v>
      </c>
      <c r="R21" s="141">
        <v>357657</v>
      </c>
      <c r="S21" s="74"/>
      <c r="T21" s="73">
        <f t="shared" si="2"/>
        <v>5958982</v>
      </c>
      <c r="U21" s="141">
        <v>32613</v>
      </c>
      <c r="V21" s="141">
        <v>257516</v>
      </c>
      <c r="W21" s="141">
        <v>289189</v>
      </c>
      <c r="X21" s="141">
        <v>5030825</v>
      </c>
      <c r="Y21" s="141">
        <v>0</v>
      </c>
      <c r="Z21" s="141">
        <v>0</v>
      </c>
      <c r="AA21" s="141">
        <v>0</v>
      </c>
      <c r="AB21" s="141">
        <v>69991</v>
      </c>
      <c r="AC21" s="141">
        <v>278848</v>
      </c>
      <c r="AD21" s="141">
        <v>381609</v>
      </c>
      <c r="AE21" s="141">
        <v>15791789</v>
      </c>
      <c r="AF21" s="141">
        <v>15229050</v>
      </c>
      <c r="AG21" s="141">
        <v>562739</v>
      </c>
      <c r="AH21" s="141">
        <v>33414</v>
      </c>
      <c r="AI21" s="141">
        <v>342855</v>
      </c>
      <c r="AJ21" s="73">
        <f t="shared" si="3"/>
        <v>751934</v>
      </c>
      <c r="AK21" s="141">
        <v>452333</v>
      </c>
      <c r="AL21" s="141">
        <v>299601</v>
      </c>
      <c r="AM21" s="141">
        <v>33603576</v>
      </c>
      <c r="AN21" s="73">
        <f t="shared" si="4"/>
        <v>15197149</v>
      </c>
      <c r="AO21" s="141">
        <v>9475323</v>
      </c>
      <c r="AP21" s="141">
        <v>2310240</v>
      </c>
      <c r="AQ21" s="74"/>
      <c r="AR21" s="141">
        <v>3411586</v>
      </c>
      <c r="AS21" s="141">
        <v>831840</v>
      </c>
      <c r="AT21" s="141">
        <v>0</v>
      </c>
      <c r="AU21" s="141">
        <v>0</v>
      </c>
      <c r="AV21" s="141">
        <v>9758383</v>
      </c>
      <c r="AW21" s="141">
        <v>7016985</v>
      </c>
      <c r="AX21" s="141">
        <v>942991</v>
      </c>
      <c r="AY21" s="141">
        <v>50464</v>
      </c>
      <c r="AZ21" s="141">
        <v>2741398</v>
      </c>
      <c r="BA21" s="141">
        <v>443547</v>
      </c>
      <c r="BB21" s="141">
        <v>122378</v>
      </c>
      <c r="BC21" s="141">
        <v>89058</v>
      </c>
      <c r="BD21" s="141">
        <v>46168</v>
      </c>
      <c r="BE21" s="141">
        <v>2117190</v>
      </c>
      <c r="BF21" s="141">
        <v>1466725</v>
      </c>
      <c r="BG21" s="141">
        <v>432000</v>
      </c>
      <c r="BH21" s="141">
        <v>217700</v>
      </c>
      <c r="BI21" s="141">
        <v>0</v>
      </c>
      <c r="BJ21" s="141">
        <v>1794855</v>
      </c>
      <c r="BK21" s="141">
        <v>1712887</v>
      </c>
      <c r="BL21" s="141">
        <v>1280370</v>
      </c>
      <c r="BM21" s="141">
        <v>29508</v>
      </c>
      <c r="BN21" s="141">
        <v>0</v>
      </c>
      <c r="BO21" s="141">
        <v>303060</v>
      </c>
      <c r="BP21" s="141">
        <v>3491600</v>
      </c>
      <c r="BQ21" s="73">
        <f t="shared" si="5"/>
        <v>1391600</v>
      </c>
      <c r="BR21" s="73">
        <f t="shared" si="6"/>
        <v>2100000</v>
      </c>
      <c r="BS21" s="141">
        <v>0</v>
      </c>
      <c r="BT21" s="141">
        <v>0</v>
      </c>
      <c r="BU21" s="141">
        <v>2100000</v>
      </c>
      <c r="BV21" s="141">
        <v>0</v>
      </c>
      <c r="BW21" s="141">
        <v>104492094</v>
      </c>
      <c r="BX21" s="71"/>
      <c r="BY21" s="141">
        <v>11275015</v>
      </c>
      <c r="BZ21" s="141">
        <v>7478985</v>
      </c>
      <c r="CA21" s="141">
        <v>634015</v>
      </c>
      <c r="CB21" s="141">
        <v>1120130</v>
      </c>
      <c r="CC21" s="141">
        <v>39387235</v>
      </c>
      <c r="CD21" s="141">
        <v>11568014</v>
      </c>
      <c r="CE21" s="141">
        <v>76828</v>
      </c>
      <c r="CF21" s="141">
        <v>13247673</v>
      </c>
      <c r="CG21" s="141">
        <v>12717676</v>
      </c>
      <c r="CH21" s="141">
        <v>589430</v>
      </c>
      <c r="CI21" s="141">
        <v>1187084</v>
      </c>
      <c r="CJ21" s="141">
        <v>6180937</v>
      </c>
      <c r="CK21" s="141">
        <v>5949021</v>
      </c>
      <c r="CL21" s="83">
        <f t="shared" si="7"/>
        <v>231916</v>
      </c>
      <c r="CM21" s="141">
        <v>10856320</v>
      </c>
      <c r="CN21" s="141">
        <v>7749166</v>
      </c>
      <c r="CO21" s="102"/>
      <c r="CP21" s="141">
        <v>1448096</v>
      </c>
      <c r="CQ21" s="141">
        <v>370453</v>
      </c>
      <c r="CR21" s="141">
        <v>9796388</v>
      </c>
      <c r="CS21" s="141">
        <v>2850764</v>
      </c>
      <c r="CT21" s="141">
        <v>2052486</v>
      </c>
      <c r="CU21" s="141">
        <v>1770822</v>
      </c>
      <c r="CV21" s="73">
        <f t="shared" si="8"/>
        <v>1531534</v>
      </c>
      <c r="CW21" s="141">
        <v>1531534</v>
      </c>
      <c r="CX21" s="141">
        <v>0</v>
      </c>
      <c r="CY21" s="73">
        <f t="shared" si="9"/>
        <v>0</v>
      </c>
      <c r="CZ21" s="141">
        <v>0</v>
      </c>
      <c r="DA21" s="141">
        <v>0</v>
      </c>
      <c r="DB21" s="73">
        <f t="shared" si="10"/>
        <v>1512078</v>
      </c>
      <c r="DC21" s="141">
        <v>1512078</v>
      </c>
      <c r="DD21" s="141">
        <v>0</v>
      </c>
      <c r="DE21" s="141">
        <v>9281979</v>
      </c>
      <c r="DF21" s="141">
        <v>2358787</v>
      </c>
      <c r="DG21" s="141">
        <v>3634425</v>
      </c>
      <c r="DH21" s="141">
        <v>492646</v>
      </c>
      <c r="DI21" s="141">
        <v>2796121</v>
      </c>
      <c r="DJ21" s="141">
        <v>0</v>
      </c>
      <c r="DK21" s="141">
        <v>6126635</v>
      </c>
      <c r="DL21" s="141">
        <v>1656472</v>
      </c>
      <c r="DM21" s="141">
        <v>310235</v>
      </c>
      <c r="DN21" s="141">
        <v>4159928</v>
      </c>
      <c r="DO21" s="141">
        <v>580915</v>
      </c>
      <c r="DP21" s="141">
        <v>580915</v>
      </c>
      <c r="DQ21" s="141">
        <v>64380</v>
      </c>
      <c r="DR21" s="141">
        <v>0</v>
      </c>
      <c r="DS21" s="141">
        <v>30036</v>
      </c>
      <c r="DT21" s="141">
        <v>0</v>
      </c>
      <c r="DU21" s="141">
        <v>0</v>
      </c>
      <c r="DV21" s="141">
        <v>9323353</v>
      </c>
      <c r="DW21" s="141">
        <v>0</v>
      </c>
      <c r="DX21" s="73">
        <f t="shared" si="11"/>
        <v>0</v>
      </c>
      <c r="DY21" s="141">
        <v>0</v>
      </c>
      <c r="DZ21" s="141">
        <v>3478130</v>
      </c>
      <c r="EA21" s="141">
        <v>0</v>
      </c>
      <c r="EB21" s="141">
        <v>2426499</v>
      </c>
      <c r="EC21" s="74">
        <v>0</v>
      </c>
      <c r="ED21" s="141">
        <v>3418724</v>
      </c>
      <c r="EE21" s="141">
        <v>0</v>
      </c>
      <c r="EF21" s="141">
        <v>103209266</v>
      </c>
      <c r="EG21" s="71"/>
      <c r="EH21" s="141">
        <v>1282828</v>
      </c>
      <c r="EI21" s="141">
        <v>148103</v>
      </c>
      <c r="EJ21" s="141">
        <v>1134725</v>
      </c>
      <c r="EK21" s="141">
        <v>-578162</v>
      </c>
      <c r="EL21" s="141">
        <v>-388415</v>
      </c>
      <c r="EM21" s="71"/>
      <c r="EN21" s="141">
        <v>229733</v>
      </c>
      <c r="EO21" s="141">
        <v>229177</v>
      </c>
      <c r="EP21" s="141">
        <v>1899490</v>
      </c>
      <c r="EQ21" s="141">
        <v>93473</v>
      </c>
      <c r="ER21" s="73">
        <f t="shared" si="12"/>
        <v>5339632</v>
      </c>
      <c r="ES21" s="141">
        <v>51182785</v>
      </c>
      <c r="ET21" s="141">
        <v>-9399181</v>
      </c>
      <c r="EU21" s="141">
        <v>10079324</v>
      </c>
      <c r="EV21" s="141">
        <v>6466453</v>
      </c>
      <c r="EW21" s="141">
        <v>9374538</v>
      </c>
      <c r="EX21" s="141">
        <v>6157387</v>
      </c>
      <c r="EY21" s="73">
        <f t="shared" si="13"/>
        <v>3547696</v>
      </c>
      <c r="EZ21" s="141">
        <v>3547696</v>
      </c>
      <c r="FA21" s="141">
        <v>121444</v>
      </c>
      <c r="FB21" s="141">
        <v>3310279</v>
      </c>
      <c r="FC21" s="141">
        <v>0</v>
      </c>
      <c r="FD21" s="141">
        <v>0</v>
      </c>
      <c r="FE21" s="141">
        <v>7291014</v>
      </c>
      <c r="FF21" s="141">
        <v>8570667</v>
      </c>
      <c r="FG21" s="141">
        <v>2850226</v>
      </c>
      <c r="FH21" s="141">
        <v>7316656</v>
      </c>
      <c r="FI21" s="73">
        <f t="shared" si="14"/>
        <v>6961856</v>
      </c>
      <c r="FJ21" s="141">
        <v>59299138</v>
      </c>
      <c r="FK21" s="379">
        <f t="shared" si="15"/>
        <v>2.2999999999999998</v>
      </c>
      <c r="FL21" s="141">
        <v>46294482</v>
      </c>
      <c r="FM21" s="141">
        <v>4104385</v>
      </c>
      <c r="FN21" s="141">
        <v>24596081</v>
      </c>
      <c r="FO21" s="141">
        <v>39825131</v>
      </c>
      <c r="FP21" s="390">
        <v>0.64200000000000002</v>
      </c>
      <c r="FQ21" s="380">
        <v>86.8</v>
      </c>
      <c r="FR21" s="381">
        <v>19.2</v>
      </c>
      <c r="FS21" s="380">
        <v>18.100000000000001</v>
      </c>
      <c r="FT21" s="380">
        <v>12.2</v>
      </c>
      <c r="FU21" s="381">
        <v>10.199999999999999</v>
      </c>
      <c r="FV21" s="380">
        <v>11.7</v>
      </c>
      <c r="FW21" s="382">
        <v>13.6</v>
      </c>
      <c r="FX21" s="383">
        <v>-0.9</v>
      </c>
      <c r="FY21" s="141">
        <v>59573994</v>
      </c>
      <c r="FZ21" s="384">
        <f t="shared" si="16"/>
        <v>118.2</v>
      </c>
      <c r="GA21" s="141">
        <v>28053889</v>
      </c>
      <c r="GB21" s="141">
        <v>14077469</v>
      </c>
      <c r="GC21" s="141">
        <v>1874064</v>
      </c>
      <c r="GD21" s="141">
        <v>12102356</v>
      </c>
      <c r="GE21" s="107">
        <v>0</v>
      </c>
      <c r="GF21" s="385"/>
      <c r="GG21" s="386"/>
      <c r="GH21" s="380">
        <v>99.1</v>
      </c>
      <c r="GI21" s="380">
        <v>44.2</v>
      </c>
      <c r="GJ21" s="380">
        <v>97.3</v>
      </c>
      <c r="GK21" s="141">
        <v>1108</v>
      </c>
      <c r="GL21" s="391" t="s">
        <v>646</v>
      </c>
      <c r="GM21" s="391">
        <v>11.25</v>
      </c>
      <c r="GN21" s="117">
        <v>20</v>
      </c>
      <c r="GO21" s="391" t="s">
        <v>646</v>
      </c>
      <c r="GP21" s="392">
        <v>16.25</v>
      </c>
      <c r="GQ21" s="387">
        <v>30</v>
      </c>
      <c r="GR21" s="381">
        <v>-0.9</v>
      </c>
      <c r="GS21" s="388">
        <v>25</v>
      </c>
      <c r="GT21" s="388">
        <v>35</v>
      </c>
      <c r="GU21" s="393" t="s">
        <v>646</v>
      </c>
      <c r="GV21" s="388">
        <v>350</v>
      </c>
      <c r="GW21" s="394"/>
      <c r="GX21" s="100">
        <f t="shared" si="17"/>
        <v>50399</v>
      </c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  <c r="HW21" s="394"/>
      <c r="HX21" s="394"/>
    </row>
    <row r="22" spans="2:232" x14ac:dyDescent="0.15">
      <c r="B22" s="89" t="s">
        <v>33</v>
      </c>
      <c r="C22" s="141">
        <v>11631490</v>
      </c>
      <c r="D22" s="73">
        <f t="shared" si="0"/>
        <v>5220208</v>
      </c>
      <c r="E22" s="141">
        <v>174886</v>
      </c>
      <c r="F22" s="141">
        <v>5045322</v>
      </c>
      <c r="G22" s="73">
        <f t="shared" si="1"/>
        <v>435596</v>
      </c>
      <c r="H22" s="141">
        <v>198678</v>
      </c>
      <c r="I22" s="141">
        <v>236918</v>
      </c>
      <c r="J22" s="141">
        <v>4384744</v>
      </c>
      <c r="K22" s="141">
        <v>1580135</v>
      </c>
      <c r="L22" s="141">
        <v>2084445</v>
      </c>
      <c r="M22" s="141">
        <v>651624</v>
      </c>
      <c r="N22" s="141">
        <v>479490</v>
      </c>
      <c r="O22" s="141">
        <v>891859</v>
      </c>
      <c r="P22" s="141">
        <v>458442</v>
      </c>
      <c r="Q22" s="141">
        <v>433417</v>
      </c>
      <c r="R22" s="141">
        <v>249373</v>
      </c>
      <c r="S22" s="74"/>
      <c r="T22" s="73">
        <f t="shared" si="2"/>
        <v>2643606</v>
      </c>
      <c r="U22" s="141">
        <v>15601</v>
      </c>
      <c r="V22" s="141">
        <v>122683</v>
      </c>
      <c r="W22" s="141">
        <v>137323</v>
      </c>
      <c r="X22" s="141">
        <v>2200747</v>
      </c>
      <c r="Y22" s="141">
        <v>18591</v>
      </c>
      <c r="Z22" s="141">
        <v>0</v>
      </c>
      <c r="AA22" s="141">
        <v>0</v>
      </c>
      <c r="AB22" s="141">
        <v>46721</v>
      </c>
      <c r="AC22" s="141">
        <v>101940</v>
      </c>
      <c r="AD22" s="141">
        <v>152292</v>
      </c>
      <c r="AE22" s="141">
        <v>7952430</v>
      </c>
      <c r="AF22" s="141">
        <v>7722135</v>
      </c>
      <c r="AG22" s="141">
        <v>230295</v>
      </c>
      <c r="AH22" s="141">
        <v>14022</v>
      </c>
      <c r="AI22" s="141">
        <v>196528</v>
      </c>
      <c r="AJ22" s="73">
        <f t="shared" si="3"/>
        <v>609824</v>
      </c>
      <c r="AK22" s="141">
        <v>311117</v>
      </c>
      <c r="AL22" s="141">
        <v>298707</v>
      </c>
      <c r="AM22" s="141">
        <v>10216989</v>
      </c>
      <c r="AN22" s="73">
        <f t="shared" si="4"/>
        <v>4209680</v>
      </c>
      <c r="AO22" s="141">
        <v>1525347</v>
      </c>
      <c r="AP22" s="141">
        <v>1401209</v>
      </c>
      <c r="AQ22" s="74"/>
      <c r="AR22" s="141">
        <v>1283124</v>
      </c>
      <c r="AS22" s="141">
        <v>271905</v>
      </c>
      <c r="AT22" s="141">
        <v>0</v>
      </c>
      <c r="AU22" s="141">
        <v>0</v>
      </c>
      <c r="AV22" s="141">
        <v>3156476</v>
      </c>
      <c r="AW22" s="141">
        <v>1958788</v>
      </c>
      <c r="AX22" s="141">
        <v>631702</v>
      </c>
      <c r="AY22" s="141">
        <v>7557</v>
      </c>
      <c r="AZ22" s="141">
        <v>1197688</v>
      </c>
      <c r="BA22" s="141">
        <v>9481</v>
      </c>
      <c r="BB22" s="141">
        <v>135493</v>
      </c>
      <c r="BC22" s="141">
        <v>16467</v>
      </c>
      <c r="BD22" s="141">
        <v>592677</v>
      </c>
      <c r="BE22" s="141">
        <v>165939</v>
      </c>
      <c r="BF22" s="141">
        <v>0</v>
      </c>
      <c r="BG22" s="141">
        <v>0</v>
      </c>
      <c r="BH22" s="141">
        <v>153927</v>
      </c>
      <c r="BI22" s="141">
        <v>0</v>
      </c>
      <c r="BJ22" s="141">
        <v>65045</v>
      </c>
      <c r="BK22" s="141">
        <v>16862</v>
      </c>
      <c r="BL22" s="141">
        <v>467188</v>
      </c>
      <c r="BM22" s="141">
        <v>52143</v>
      </c>
      <c r="BN22" s="141">
        <v>0</v>
      </c>
      <c r="BO22" s="141">
        <v>0</v>
      </c>
      <c r="BP22" s="141">
        <v>2260600</v>
      </c>
      <c r="BQ22" s="73">
        <f t="shared" si="5"/>
        <v>953000</v>
      </c>
      <c r="BR22" s="73">
        <f t="shared" si="6"/>
        <v>1307600</v>
      </c>
      <c r="BS22" s="141">
        <v>0</v>
      </c>
      <c r="BT22" s="141">
        <v>0</v>
      </c>
      <c r="BU22" s="141">
        <v>1307600</v>
      </c>
      <c r="BV22" s="141">
        <v>0</v>
      </c>
      <c r="BW22" s="141">
        <v>40509972</v>
      </c>
      <c r="BX22" s="71"/>
      <c r="BY22" s="141">
        <v>6126766</v>
      </c>
      <c r="BZ22" s="141">
        <v>3458584</v>
      </c>
      <c r="CA22" s="141">
        <v>486561</v>
      </c>
      <c r="CB22" s="141">
        <v>1042023</v>
      </c>
      <c r="CC22" s="141">
        <v>12779569</v>
      </c>
      <c r="CD22" s="141">
        <v>3982771</v>
      </c>
      <c r="CE22" s="141">
        <v>31720</v>
      </c>
      <c r="CF22" s="141">
        <v>5871901</v>
      </c>
      <c r="CG22" s="141">
        <v>2253277</v>
      </c>
      <c r="CH22" s="141">
        <v>4296</v>
      </c>
      <c r="CI22" s="141">
        <v>635604</v>
      </c>
      <c r="CJ22" s="141">
        <v>3080138</v>
      </c>
      <c r="CK22" s="141">
        <v>2957132</v>
      </c>
      <c r="CL22" s="83">
        <f t="shared" si="7"/>
        <v>123006</v>
      </c>
      <c r="CM22" s="141">
        <v>5743084</v>
      </c>
      <c r="CN22" s="141">
        <v>4411220</v>
      </c>
      <c r="CO22" s="102"/>
      <c r="CP22" s="141">
        <v>597499</v>
      </c>
      <c r="CQ22" s="141">
        <v>225088</v>
      </c>
      <c r="CR22" s="141">
        <v>3576299</v>
      </c>
      <c r="CS22" s="141">
        <v>513739</v>
      </c>
      <c r="CT22" s="141">
        <v>731560</v>
      </c>
      <c r="CU22" s="141">
        <v>560870</v>
      </c>
      <c r="CV22" s="73">
        <f t="shared" si="8"/>
        <v>1272176</v>
      </c>
      <c r="CW22" s="141">
        <v>4733</v>
      </c>
      <c r="CX22" s="141">
        <v>1267443</v>
      </c>
      <c r="CY22" s="73">
        <f t="shared" si="9"/>
        <v>0</v>
      </c>
      <c r="CZ22" s="141">
        <v>0</v>
      </c>
      <c r="DA22" s="141">
        <v>0</v>
      </c>
      <c r="DB22" s="73">
        <f t="shared" si="10"/>
        <v>1153576</v>
      </c>
      <c r="DC22" s="141">
        <v>0</v>
      </c>
      <c r="DD22" s="141">
        <v>1153576</v>
      </c>
      <c r="DE22" s="141">
        <v>1872710</v>
      </c>
      <c r="DF22" s="141">
        <v>913747</v>
      </c>
      <c r="DG22" s="141">
        <v>897093</v>
      </c>
      <c r="DH22" s="141">
        <v>61870</v>
      </c>
      <c r="DI22" s="141">
        <v>0</v>
      </c>
      <c r="DJ22" s="141">
        <v>14593</v>
      </c>
      <c r="DK22" s="141">
        <v>2395868</v>
      </c>
      <c r="DL22" s="141">
        <v>24800</v>
      </c>
      <c r="DM22" s="141">
        <v>1637479</v>
      </c>
      <c r="DN22" s="141">
        <v>733589</v>
      </c>
      <c r="DO22" s="141">
        <v>0</v>
      </c>
      <c r="DP22" s="141">
        <v>0</v>
      </c>
      <c r="DQ22" s="141">
        <v>0</v>
      </c>
      <c r="DR22" s="141">
        <v>0</v>
      </c>
      <c r="DS22" s="141">
        <v>34809</v>
      </c>
      <c r="DT22" s="141">
        <v>0</v>
      </c>
      <c r="DU22" s="141">
        <v>0</v>
      </c>
      <c r="DV22" s="141">
        <v>4599306</v>
      </c>
      <c r="DW22" s="141">
        <v>0</v>
      </c>
      <c r="DX22" s="73">
        <f t="shared" si="11"/>
        <v>0</v>
      </c>
      <c r="DY22" s="141">
        <v>0</v>
      </c>
      <c r="DZ22" s="141">
        <v>1867558</v>
      </c>
      <c r="EA22" s="141">
        <v>0</v>
      </c>
      <c r="EB22" s="141">
        <v>1081312</v>
      </c>
      <c r="EC22" s="74">
        <v>0</v>
      </c>
      <c r="ED22" s="141">
        <v>1650436</v>
      </c>
      <c r="EE22" s="141">
        <v>0</v>
      </c>
      <c r="EF22" s="141">
        <v>40448230</v>
      </c>
      <c r="EG22" s="71"/>
      <c r="EH22" s="141">
        <v>61742</v>
      </c>
      <c r="EI22" s="141">
        <v>42261</v>
      </c>
      <c r="EJ22" s="141">
        <v>19481</v>
      </c>
      <c r="EK22" s="141">
        <v>2619</v>
      </c>
      <c r="EL22" s="141">
        <v>27419</v>
      </c>
      <c r="EM22" s="71"/>
      <c r="EN22" s="141">
        <v>101692</v>
      </c>
      <c r="EO22" s="141">
        <v>101838</v>
      </c>
      <c r="EP22" s="141">
        <v>0</v>
      </c>
      <c r="EQ22" s="141">
        <v>66087</v>
      </c>
      <c r="ER22" s="73">
        <f t="shared" si="12"/>
        <v>954074</v>
      </c>
      <c r="ES22" s="141">
        <v>22643213</v>
      </c>
      <c r="ET22" s="141">
        <v>-2313739</v>
      </c>
      <c r="EU22" s="141">
        <v>5424625</v>
      </c>
      <c r="EV22" s="141">
        <v>3215113</v>
      </c>
      <c r="EW22" s="141">
        <v>3044888</v>
      </c>
      <c r="EX22" s="141">
        <v>3033484</v>
      </c>
      <c r="EY22" s="73">
        <f t="shared" si="13"/>
        <v>399249</v>
      </c>
      <c r="EZ22" s="141">
        <v>397965</v>
      </c>
      <c r="FA22" s="141">
        <v>75279</v>
      </c>
      <c r="FB22" s="141">
        <v>317716</v>
      </c>
      <c r="FC22" s="141">
        <v>1284</v>
      </c>
      <c r="FD22" s="141">
        <v>0</v>
      </c>
      <c r="FE22" s="141">
        <v>4031230</v>
      </c>
      <c r="FF22" s="141">
        <v>3093245</v>
      </c>
      <c r="FG22" s="141">
        <v>476377</v>
      </c>
      <c r="FH22" s="141">
        <v>3693003</v>
      </c>
      <c r="FI22" s="73">
        <f t="shared" si="14"/>
        <v>2175486</v>
      </c>
      <c r="FJ22" s="141">
        <v>24895210</v>
      </c>
      <c r="FK22" s="379">
        <f t="shared" si="15"/>
        <v>0.1</v>
      </c>
      <c r="FL22" s="141">
        <v>20923728</v>
      </c>
      <c r="FM22" s="141">
        <v>1560478</v>
      </c>
      <c r="FN22" s="141">
        <v>10482923</v>
      </c>
      <c r="FO22" s="141">
        <v>18205058</v>
      </c>
      <c r="FP22" s="390">
        <v>0.60799999999999998</v>
      </c>
      <c r="FQ22" s="380">
        <v>92.5</v>
      </c>
      <c r="FR22" s="381">
        <v>23.6</v>
      </c>
      <c r="FS22" s="380">
        <v>13.2</v>
      </c>
      <c r="FT22" s="380">
        <v>13.2</v>
      </c>
      <c r="FU22" s="381">
        <v>16.7</v>
      </c>
      <c r="FV22" s="380">
        <v>9.6</v>
      </c>
      <c r="FW22" s="382">
        <v>15.5</v>
      </c>
      <c r="FX22" s="383">
        <v>2.1</v>
      </c>
      <c r="FY22" s="141">
        <v>29063420</v>
      </c>
      <c r="FZ22" s="384">
        <f t="shared" si="16"/>
        <v>129.30000000000001</v>
      </c>
      <c r="GA22" s="141">
        <v>11216068</v>
      </c>
      <c r="GB22" s="141">
        <v>2494535</v>
      </c>
      <c r="GC22" s="141">
        <v>2152753</v>
      </c>
      <c r="GD22" s="141">
        <v>6568780</v>
      </c>
      <c r="GE22" s="107">
        <v>0</v>
      </c>
      <c r="GF22" s="385"/>
      <c r="GG22" s="386"/>
      <c r="GH22" s="380">
        <v>99.5</v>
      </c>
      <c r="GI22" s="380">
        <v>50.5</v>
      </c>
      <c r="GJ22" s="380">
        <v>98.7</v>
      </c>
      <c r="GK22" s="141">
        <v>531</v>
      </c>
      <c r="GL22" s="391" t="s">
        <v>646</v>
      </c>
      <c r="GM22" s="391">
        <v>12.27</v>
      </c>
      <c r="GN22" s="117">
        <v>20</v>
      </c>
      <c r="GO22" s="391" t="s">
        <v>646</v>
      </c>
      <c r="GP22" s="392">
        <v>17.27</v>
      </c>
      <c r="GQ22" s="387">
        <v>30</v>
      </c>
      <c r="GR22" s="381">
        <v>2.1</v>
      </c>
      <c r="GS22" s="388">
        <v>25</v>
      </c>
      <c r="GT22" s="388">
        <v>35</v>
      </c>
      <c r="GU22" s="393" t="s">
        <v>646</v>
      </c>
      <c r="GV22" s="388">
        <v>350</v>
      </c>
      <c r="GW22" s="394"/>
      <c r="GX22" s="100">
        <f t="shared" si="17"/>
        <v>22484</v>
      </c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  <c r="HW22" s="394"/>
      <c r="HX22" s="394"/>
    </row>
    <row r="23" spans="2:232" x14ac:dyDescent="0.15">
      <c r="B23" s="89" t="s">
        <v>35</v>
      </c>
      <c r="C23" s="141">
        <v>14020492</v>
      </c>
      <c r="D23" s="73">
        <f t="shared" si="0"/>
        <v>5484605</v>
      </c>
      <c r="E23" s="141">
        <v>186871</v>
      </c>
      <c r="F23" s="141">
        <v>5297734</v>
      </c>
      <c r="G23" s="73">
        <f t="shared" si="1"/>
        <v>713903</v>
      </c>
      <c r="H23" s="141">
        <v>261748</v>
      </c>
      <c r="I23" s="141">
        <v>452155</v>
      </c>
      <c r="J23" s="141">
        <v>5499068</v>
      </c>
      <c r="K23" s="141">
        <v>2576627</v>
      </c>
      <c r="L23" s="141">
        <v>2285797</v>
      </c>
      <c r="M23" s="141">
        <v>588668</v>
      </c>
      <c r="N23" s="141">
        <v>927480</v>
      </c>
      <c r="O23" s="141">
        <v>1196369</v>
      </c>
      <c r="P23" s="141">
        <v>699307</v>
      </c>
      <c r="Q23" s="141">
        <v>497062</v>
      </c>
      <c r="R23" s="141">
        <v>189696</v>
      </c>
      <c r="S23" s="74"/>
      <c r="T23" s="73">
        <f t="shared" si="2"/>
        <v>3070174</v>
      </c>
      <c r="U23" s="141">
        <v>15556</v>
      </c>
      <c r="V23" s="141">
        <v>122954</v>
      </c>
      <c r="W23" s="141">
        <v>138184</v>
      </c>
      <c r="X23" s="141">
        <v>2612016</v>
      </c>
      <c r="Y23" s="141">
        <v>0</v>
      </c>
      <c r="Z23" s="141">
        <v>0</v>
      </c>
      <c r="AA23" s="141">
        <v>0</v>
      </c>
      <c r="AB23" s="141">
        <v>37204</v>
      </c>
      <c r="AC23" s="141">
        <v>144260</v>
      </c>
      <c r="AD23" s="141">
        <v>210860</v>
      </c>
      <c r="AE23" s="141">
        <v>9660083</v>
      </c>
      <c r="AF23" s="141">
        <v>9336166</v>
      </c>
      <c r="AG23" s="141">
        <v>323917</v>
      </c>
      <c r="AH23" s="141">
        <v>18385</v>
      </c>
      <c r="AI23" s="141">
        <v>166826</v>
      </c>
      <c r="AJ23" s="73">
        <f t="shared" si="3"/>
        <v>525808</v>
      </c>
      <c r="AK23" s="141">
        <v>329461</v>
      </c>
      <c r="AL23" s="141">
        <v>196347</v>
      </c>
      <c r="AM23" s="141">
        <v>15226635</v>
      </c>
      <c r="AN23" s="73">
        <f t="shared" si="4"/>
        <v>7661035</v>
      </c>
      <c r="AO23" s="141">
        <v>4505239</v>
      </c>
      <c r="AP23" s="141">
        <v>1500659</v>
      </c>
      <c r="AQ23" s="74"/>
      <c r="AR23" s="141">
        <v>1655137</v>
      </c>
      <c r="AS23" s="141">
        <v>73287</v>
      </c>
      <c r="AT23" s="141">
        <v>0</v>
      </c>
      <c r="AU23" s="141">
        <v>0</v>
      </c>
      <c r="AV23" s="141">
        <v>3754275</v>
      </c>
      <c r="AW23" s="141">
        <v>2310665</v>
      </c>
      <c r="AX23" s="141">
        <v>653467</v>
      </c>
      <c r="AY23" s="141">
        <v>625</v>
      </c>
      <c r="AZ23" s="141">
        <v>1443610</v>
      </c>
      <c r="BA23" s="141">
        <v>0</v>
      </c>
      <c r="BB23" s="141">
        <v>676194</v>
      </c>
      <c r="BC23" s="141">
        <v>493997</v>
      </c>
      <c r="BD23" s="141">
        <v>93147</v>
      </c>
      <c r="BE23" s="141">
        <v>46352</v>
      </c>
      <c r="BF23" s="141">
        <v>6925</v>
      </c>
      <c r="BG23" s="141">
        <v>0</v>
      </c>
      <c r="BH23" s="141">
        <v>32115</v>
      </c>
      <c r="BI23" s="141">
        <v>0</v>
      </c>
      <c r="BJ23" s="141">
        <v>679658</v>
      </c>
      <c r="BK23" s="141">
        <v>662688</v>
      </c>
      <c r="BL23" s="141">
        <v>303653</v>
      </c>
      <c r="BM23" s="141">
        <v>25003</v>
      </c>
      <c r="BN23" s="141">
        <v>0</v>
      </c>
      <c r="BO23" s="141">
        <v>0</v>
      </c>
      <c r="BP23" s="141">
        <v>2283200</v>
      </c>
      <c r="BQ23" s="73">
        <f t="shared" si="5"/>
        <v>598600</v>
      </c>
      <c r="BR23" s="73">
        <f t="shared" si="6"/>
        <v>1684600</v>
      </c>
      <c r="BS23" s="141">
        <v>0</v>
      </c>
      <c r="BT23" s="141">
        <v>0</v>
      </c>
      <c r="BU23" s="141">
        <v>1684600</v>
      </c>
      <c r="BV23" s="141">
        <v>0</v>
      </c>
      <c r="BW23" s="141">
        <v>50925438</v>
      </c>
      <c r="BX23" s="71"/>
      <c r="BY23" s="141">
        <v>7015517</v>
      </c>
      <c r="BZ23" s="141">
        <v>4823204</v>
      </c>
      <c r="CA23" s="141">
        <v>230479</v>
      </c>
      <c r="CB23" s="141">
        <v>560732</v>
      </c>
      <c r="CC23" s="141">
        <v>18914384</v>
      </c>
      <c r="CD23" s="141">
        <v>4996793</v>
      </c>
      <c r="CE23" s="141">
        <v>47219</v>
      </c>
      <c r="CF23" s="141">
        <v>7502353</v>
      </c>
      <c r="CG23" s="141">
        <v>5907986</v>
      </c>
      <c r="CH23" s="141">
        <v>14464</v>
      </c>
      <c r="CI23" s="141">
        <v>445409</v>
      </c>
      <c r="CJ23" s="141">
        <v>4118915</v>
      </c>
      <c r="CK23" s="141">
        <v>3889069</v>
      </c>
      <c r="CL23" s="83">
        <f t="shared" si="7"/>
        <v>229846</v>
      </c>
      <c r="CM23" s="141">
        <v>6011460</v>
      </c>
      <c r="CN23" s="141">
        <v>4296150</v>
      </c>
      <c r="CO23" s="102"/>
      <c r="CP23" s="141">
        <v>813996</v>
      </c>
      <c r="CQ23" s="141">
        <v>250585</v>
      </c>
      <c r="CR23" s="141">
        <v>4621031</v>
      </c>
      <c r="CS23" s="141">
        <v>432485</v>
      </c>
      <c r="CT23" s="141">
        <v>1718184</v>
      </c>
      <c r="CU23" s="141">
        <v>1351965</v>
      </c>
      <c r="CV23" s="73">
        <f t="shared" si="8"/>
        <v>1558820</v>
      </c>
      <c r="CW23" s="141">
        <v>6000</v>
      </c>
      <c r="CX23" s="141">
        <v>1552820</v>
      </c>
      <c r="CY23" s="73">
        <f t="shared" si="9"/>
        <v>0</v>
      </c>
      <c r="CZ23" s="141">
        <v>0</v>
      </c>
      <c r="DA23" s="141">
        <v>0</v>
      </c>
      <c r="DB23" s="73">
        <f t="shared" si="10"/>
        <v>1551918</v>
      </c>
      <c r="DC23" s="141">
        <v>0</v>
      </c>
      <c r="DD23" s="141">
        <v>1551918</v>
      </c>
      <c r="DE23" s="141">
        <v>826068</v>
      </c>
      <c r="DF23" s="141">
        <v>212577</v>
      </c>
      <c r="DG23" s="141">
        <v>578209</v>
      </c>
      <c r="DH23" s="141">
        <v>0</v>
      </c>
      <c r="DI23" s="141">
        <v>0</v>
      </c>
      <c r="DJ23" s="141">
        <v>0</v>
      </c>
      <c r="DK23" s="141">
        <v>2467824</v>
      </c>
      <c r="DL23" s="141">
        <v>1829976</v>
      </c>
      <c r="DM23" s="141">
        <v>461632</v>
      </c>
      <c r="DN23" s="141">
        <v>176216</v>
      </c>
      <c r="DO23" s="141">
        <v>198082</v>
      </c>
      <c r="DP23" s="141">
        <v>198082</v>
      </c>
      <c r="DQ23" s="141">
        <v>0</v>
      </c>
      <c r="DR23" s="141">
        <v>0</v>
      </c>
      <c r="DS23" s="141">
        <v>25000</v>
      </c>
      <c r="DT23" s="141">
        <v>0</v>
      </c>
      <c r="DU23" s="141">
        <v>0</v>
      </c>
      <c r="DV23" s="141">
        <v>5428192</v>
      </c>
      <c r="DW23" s="141">
        <v>0</v>
      </c>
      <c r="DX23" s="73">
        <f t="shared" si="11"/>
        <v>0</v>
      </c>
      <c r="DY23" s="141">
        <v>0</v>
      </c>
      <c r="DZ23" s="141">
        <v>1928439</v>
      </c>
      <c r="EA23" s="141">
        <v>0</v>
      </c>
      <c r="EB23" s="141">
        <v>1541625</v>
      </c>
      <c r="EC23" s="74">
        <v>0</v>
      </c>
      <c r="ED23" s="141">
        <v>1958127</v>
      </c>
      <c r="EE23" s="141">
        <v>0</v>
      </c>
      <c r="EF23" s="141">
        <v>49877058</v>
      </c>
      <c r="EG23" s="71"/>
      <c r="EH23" s="141">
        <v>1048380</v>
      </c>
      <c r="EI23" s="141">
        <v>2411</v>
      </c>
      <c r="EJ23" s="141">
        <v>1045969</v>
      </c>
      <c r="EK23" s="141">
        <v>383281</v>
      </c>
      <c r="EL23" s="141">
        <v>2206332</v>
      </c>
      <c r="EM23" s="71"/>
      <c r="EN23" s="141">
        <v>117641</v>
      </c>
      <c r="EO23" s="141">
        <v>117801</v>
      </c>
      <c r="EP23" s="141">
        <v>14237</v>
      </c>
      <c r="EQ23" s="141">
        <v>675557</v>
      </c>
      <c r="ER23" s="73">
        <f t="shared" si="12"/>
        <v>1820439</v>
      </c>
      <c r="ES23" s="141">
        <v>27169690</v>
      </c>
      <c r="ET23" s="141">
        <v>-4176448</v>
      </c>
      <c r="EU23" s="141">
        <v>6458221</v>
      </c>
      <c r="EV23" s="141">
        <v>4490461</v>
      </c>
      <c r="EW23" s="141">
        <v>4153373</v>
      </c>
      <c r="EX23" s="141">
        <v>4118915</v>
      </c>
      <c r="EY23" s="73">
        <f t="shared" si="13"/>
        <v>135066</v>
      </c>
      <c r="EZ23" s="141">
        <v>135066</v>
      </c>
      <c r="FA23" s="141">
        <v>3671</v>
      </c>
      <c r="FB23" s="141">
        <v>131313</v>
      </c>
      <c r="FC23" s="141">
        <v>0</v>
      </c>
      <c r="FD23" s="141">
        <v>0</v>
      </c>
      <c r="FE23" s="141">
        <v>4364481</v>
      </c>
      <c r="FF23" s="141">
        <v>4106988</v>
      </c>
      <c r="FG23" s="141">
        <v>279158</v>
      </c>
      <c r="FH23" s="141">
        <v>4154057</v>
      </c>
      <c r="FI23" s="73">
        <f t="shared" si="14"/>
        <v>2806657</v>
      </c>
      <c r="FJ23" s="141">
        <v>30297758</v>
      </c>
      <c r="FK23" s="379">
        <f t="shared" si="15"/>
        <v>3.9</v>
      </c>
      <c r="FL23" s="141">
        <v>24855227</v>
      </c>
      <c r="FM23" s="141">
        <v>1684787</v>
      </c>
      <c r="FN23" s="141">
        <v>12291497</v>
      </c>
      <c r="FO23" s="141">
        <v>21618599</v>
      </c>
      <c r="FP23" s="390">
        <v>0.58899999999999997</v>
      </c>
      <c r="FQ23" s="380">
        <v>94.3</v>
      </c>
      <c r="FR23" s="381">
        <v>23.4</v>
      </c>
      <c r="FS23" s="380">
        <v>15</v>
      </c>
      <c r="FT23" s="380">
        <v>14.9</v>
      </c>
      <c r="FU23" s="381">
        <v>14.6</v>
      </c>
      <c r="FV23" s="380">
        <v>11.9</v>
      </c>
      <c r="FW23" s="382">
        <v>13.7</v>
      </c>
      <c r="FX23" s="383">
        <v>3.9</v>
      </c>
      <c r="FY23" s="141">
        <v>39426868</v>
      </c>
      <c r="FZ23" s="384">
        <f t="shared" si="16"/>
        <v>148.6</v>
      </c>
      <c r="GA23" s="141">
        <v>4252434</v>
      </c>
      <c r="GB23" s="141">
        <v>2489184</v>
      </c>
      <c r="GC23" s="141">
        <v>482900</v>
      </c>
      <c r="GD23" s="141">
        <v>1280350</v>
      </c>
      <c r="GE23" s="107">
        <v>0</v>
      </c>
      <c r="GF23" s="385">
        <v>1709</v>
      </c>
      <c r="GG23" s="386">
        <f>IF(GF23=0,"-",ROUND(GF23/(GX23)*100,1))</f>
        <v>6.4</v>
      </c>
      <c r="GH23" s="380">
        <v>99.4</v>
      </c>
      <c r="GI23" s="380">
        <v>52.4</v>
      </c>
      <c r="GJ23" s="380">
        <v>98.4</v>
      </c>
      <c r="GK23" s="141">
        <v>740</v>
      </c>
      <c r="GL23" s="391" t="s">
        <v>646</v>
      </c>
      <c r="GM23" s="391">
        <v>11.99</v>
      </c>
      <c r="GN23" s="117">
        <v>20</v>
      </c>
      <c r="GO23" s="391" t="s">
        <v>646</v>
      </c>
      <c r="GP23" s="392">
        <v>16.989999999999998</v>
      </c>
      <c r="GQ23" s="387">
        <v>30</v>
      </c>
      <c r="GR23" s="381">
        <v>3.9</v>
      </c>
      <c r="GS23" s="388">
        <v>25</v>
      </c>
      <c r="GT23" s="388">
        <v>35</v>
      </c>
      <c r="GU23" s="393">
        <v>24</v>
      </c>
      <c r="GV23" s="388">
        <v>350</v>
      </c>
      <c r="GW23" s="394"/>
      <c r="GX23" s="100">
        <f t="shared" si="17"/>
        <v>26540</v>
      </c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  <c r="HW23" s="394"/>
      <c r="HX23" s="394"/>
    </row>
    <row r="24" spans="2:232" x14ac:dyDescent="0.15">
      <c r="B24" s="89" t="s">
        <v>37</v>
      </c>
      <c r="C24" s="141">
        <v>16745335</v>
      </c>
      <c r="D24" s="73">
        <f t="shared" si="0"/>
        <v>5852972</v>
      </c>
      <c r="E24" s="141">
        <v>199001</v>
      </c>
      <c r="F24" s="141">
        <v>5653971</v>
      </c>
      <c r="G24" s="73">
        <f t="shared" si="1"/>
        <v>972718</v>
      </c>
      <c r="H24" s="141">
        <v>378096</v>
      </c>
      <c r="I24" s="141">
        <v>594622</v>
      </c>
      <c r="J24" s="141">
        <v>7379576</v>
      </c>
      <c r="K24" s="141">
        <v>3247248</v>
      </c>
      <c r="L24" s="141">
        <v>3088807</v>
      </c>
      <c r="M24" s="141">
        <v>878415</v>
      </c>
      <c r="N24" s="141">
        <v>825728</v>
      </c>
      <c r="O24" s="141">
        <v>1528483</v>
      </c>
      <c r="P24" s="141">
        <v>859007</v>
      </c>
      <c r="Q24" s="141">
        <v>669476</v>
      </c>
      <c r="R24" s="141">
        <v>198731</v>
      </c>
      <c r="S24" s="74"/>
      <c r="T24" s="73">
        <f t="shared" si="2"/>
        <v>3304170</v>
      </c>
      <c r="U24" s="141">
        <v>16739</v>
      </c>
      <c r="V24" s="141">
        <v>132283</v>
      </c>
      <c r="W24" s="141">
        <v>148648</v>
      </c>
      <c r="X24" s="141">
        <v>2751794</v>
      </c>
      <c r="Y24" s="141">
        <v>21658</v>
      </c>
      <c r="Z24" s="141">
        <v>0</v>
      </c>
      <c r="AA24" s="141">
        <v>0</v>
      </c>
      <c r="AB24" s="141">
        <v>39011</v>
      </c>
      <c r="AC24" s="141">
        <v>194037</v>
      </c>
      <c r="AD24" s="141">
        <v>351567</v>
      </c>
      <c r="AE24" s="141">
        <v>6198271</v>
      </c>
      <c r="AF24" s="141">
        <v>5875971</v>
      </c>
      <c r="AG24" s="141">
        <v>322300</v>
      </c>
      <c r="AH24" s="141">
        <v>14721</v>
      </c>
      <c r="AI24" s="141">
        <v>73197</v>
      </c>
      <c r="AJ24" s="73">
        <f t="shared" si="3"/>
        <v>688600</v>
      </c>
      <c r="AK24" s="141">
        <v>303093</v>
      </c>
      <c r="AL24" s="141">
        <v>385507</v>
      </c>
      <c r="AM24" s="141">
        <v>13914218</v>
      </c>
      <c r="AN24" s="73">
        <f t="shared" si="4"/>
        <v>5243963</v>
      </c>
      <c r="AO24" s="141">
        <v>1671939</v>
      </c>
      <c r="AP24" s="141">
        <v>1993565</v>
      </c>
      <c r="AQ24" s="74"/>
      <c r="AR24" s="141">
        <v>1578459</v>
      </c>
      <c r="AS24" s="141">
        <v>174957</v>
      </c>
      <c r="AT24" s="141">
        <v>0</v>
      </c>
      <c r="AU24" s="141">
        <v>0</v>
      </c>
      <c r="AV24" s="141">
        <v>3780773</v>
      </c>
      <c r="AW24" s="141">
        <v>2617418</v>
      </c>
      <c r="AX24" s="141">
        <v>949165</v>
      </c>
      <c r="AY24" s="141">
        <v>15346</v>
      </c>
      <c r="AZ24" s="141">
        <v>1163355</v>
      </c>
      <c r="BA24" s="141">
        <v>0</v>
      </c>
      <c r="BB24" s="141">
        <v>130612</v>
      </c>
      <c r="BC24" s="141">
        <v>57164</v>
      </c>
      <c r="BD24" s="141">
        <v>2389608</v>
      </c>
      <c r="BE24" s="141">
        <v>1165753</v>
      </c>
      <c r="BF24" s="141">
        <v>0</v>
      </c>
      <c r="BG24" s="141">
        <v>410398</v>
      </c>
      <c r="BH24" s="141">
        <v>755355</v>
      </c>
      <c r="BI24" s="141">
        <v>0</v>
      </c>
      <c r="BJ24" s="141">
        <v>1210563</v>
      </c>
      <c r="BK24" s="141">
        <v>1087365</v>
      </c>
      <c r="BL24" s="141">
        <v>884297</v>
      </c>
      <c r="BM24" s="141">
        <v>693</v>
      </c>
      <c r="BN24" s="141">
        <v>0</v>
      </c>
      <c r="BO24" s="141">
        <v>0</v>
      </c>
      <c r="BP24" s="141">
        <v>2954735</v>
      </c>
      <c r="BQ24" s="73">
        <f t="shared" si="5"/>
        <v>1503800</v>
      </c>
      <c r="BR24" s="73">
        <f t="shared" si="6"/>
        <v>1450935</v>
      </c>
      <c r="BS24" s="141">
        <v>0</v>
      </c>
      <c r="BT24" s="141">
        <v>0</v>
      </c>
      <c r="BU24" s="141">
        <v>1450935</v>
      </c>
      <c r="BV24" s="141">
        <v>0</v>
      </c>
      <c r="BW24" s="141">
        <v>54005151</v>
      </c>
      <c r="BX24" s="71"/>
      <c r="BY24" s="141">
        <v>5895434</v>
      </c>
      <c r="BZ24" s="141">
        <v>3601524</v>
      </c>
      <c r="CA24" s="141">
        <v>360179</v>
      </c>
      <c r="CB24" s="141">
        <v>769764</v>
      </c>
      <c r="CC24" s="141">
        <v>16217748</v>
      </c>
      <c r="CD24" s="141">
        <v>4848274</v>
      </c>
      <c r="CE24" s="141">
        <v>13362</v>
      </c>
      <c r="CF24" s="141">
        <v>8426872</v>
      </c>
      <c r="CG24" s="141">
        <v>2186469</v>
      </c>
      <c r="CH24" s="141">
        <v>3009</v>
      </c>
      <c r="CI24" s="141">
        <v>739542</v>
      </c>
      <c r="CJ24" s="141">
        <v>3913349</v>
      </c>
      <c r="CK24" s="141">
        <v>3750020</v>
      </c>
      <c r="CL24" s="83">
        <f t="shared" si="7"/>
        <v>163329</v>
      </c>
      <c r="CM24" s="141">
        <v>8651746</v>
      </c>
      <c r="CN24" s="141">
        <v>5906494</v>
      </c>
      <c r="CO24" s="102"/>
      <c r="CP24" s="141">
        <v>1866228</v>
      </c>
      <c r="CQ24" s="141">
        <v>446315</v>
      </c>
      <c r="CR24" s="141">
        <v>6010944</v>
      </c>
      <c r="CS24" s="141">
        <v>1886801</v>
      </c>
      <c r="CT24" s="141">
        <v>1798485</v>
      </c>
      <c r="CU24" s="141">
        <v>472320</v>
      </c>
      <c r="CV24" s="73">
        <f t="shared" si="8"/>
        <v>1513645</v>
      </c>
      <c r="CW24" s="141">
        <v>1513645</v>
      </c>
      <c r="CX24" s="141">
        <v>0</v>
      </c>
      <c r="CY24" s="73">
        <f t="shared" si="9"/>
        <v>0</v>
      </c>
      <c r="CZ24" s="141">
        <v>0</v>
      </c>
      <c r="DA24" s="141">
        <v>0</v>
      </c>
      <c r="DB24" s="73">
        <f t="shared" si="10"/>
        <v>1494780</v>
      </c>
      <c r="DC24" s="141">
        <v>1494780</v>
      </c>
      <c r="DD24" s="141">
        <v>0</v>
      </c>
      <c r="DE24" s="141">
        <v>3270479</v>
      </c>
      <c r="DF24" s="141">
        <v>1322699</v>
      </c>
      <c r="DG24" s="141">
        <v>1947780</v>
      </c>
      <c r="DH24" s="141">
        <v>0</v>
      </c>
      <c r="DI24" s="141">
        <v>0</v>
      </c>
      <c r="DJ24" s="141">
        <v>0</v>
      </c>
      <c r="DK24" s="141">
        <v>2559562</v>
      </c>
      <c r="DL24" s="141">
        <v>241336</v>
      </c>
      <c r="DM24" s="141">
        <v>0</v>
      </c>
      <c r="DN24" s="141">
        <v>2318226</v>
      </c>
      <c r="DO24" s="141">
        <v>676837</v>
      </c>
      <c r="DP24" s="141">
        <v>676837</v>
      </c>
      <c r="DQ24" s="141">
        <v>0</v>
      </c>
      <c r="DR24" s="141">
        <v>0</v>
      </c>
      <c r="DS24" s="141">
        <v>0</v>
      </c>
      <c r="DT24" s="141">
        <v>0</v>
      </c>
      <c r="DU24" s="141">
        <v>0</v>
      </c>
      <c r="DV24" s="141">
        <v>4925426</v>
      </c>
      <c r="DW24" s="141">
        <v>0</v>
      </c>
      <c r="DX24" s="73">
        <f t="shared" si="11"/>
        <v>0</v>
      </c>
      <c r="DY24" s="141">
        <v>0</v>
      </c>
      <c r="DZ24" s="141">
        <v>1755544</v>
      </c>
      <c r="EA24" s="141">
        <v>0</v>
      </c>
      <c r="EB24" s="141">
        <v>1505847</v>
      </c>
      <c r="EC24" s="74">
        <v>0</v>
      </c>
      <c r="ED24" s="141">
        <v>1663995</v>
      </c>
      <c r="EE24" s="141">
        <v>0</v>
      </c>
      <c r="EF24" s="141">
        <v>52567840</v>
      </c>
      <c r="EG24" s="71"/>
      <c r="EH24" s="141">
        <v>1437311</v>
      </c>
      <c r="EI24" s="141">
        <v>8964</v>
      </c>
      <c r="EJ24" s="141">
        <v>1428347</v>
      </c>
      <c r="EK24" s="141">
        <v>340982</v>
      </c>
      <c r="EL24" s="141">
        <v>582318</v>
      </c>
      <c r="EM24" s="71"/>
      <c r="EN24" s="141">
        <v>119367</v>
      </c>
      <c r="EO24" s="141">
        <v>118326</v>
      </c>
      <c r="EP24" s="141">
        <v>414168</v>
      </c>
      <c r="EQ24" s="141">
        <v>92630</v>
      </c>
      <c r="ER24" s="73">
        <f t="shared" si="12"/>
        <v>5344258</v>
      </c>
      <c r="ES24" s="141">
        <v>26812795</v>
      </c>
      <c r="ET24" s="141">
        <v>-7287270</v>
      </c>
      <c r="EU24" s="141">
        <v>5253651</v>
      </c>
      <c r="EV24" s="141">
        <v>3104929</v>
      </c>
      <c r="EW24" s="141">
        <v>3931791</v>
      </c>
      <c r="EX24" s="141">
        <v>3913349</v>
      </c>
      <c r="EY24" s="73">
        <f t="shared" si="13"/>
        <v>714046</v>
      </c>
      <c r="EZ24" s="141">
        <v>714046</v>
      </c>
      <c r="FA24" s="141">
        <v>91943</v>
      </c>
      <c r="FB24" s="141">
        <v>622103</v>
      </c>
      <c r="FC24" s="141">
        <v>0</v>
      </c>
      <c r="FD24" s="141">
        <v>0</v>
      </c>
      <c r="FE24" s="141">
        <v>6155923</v>
      </c>
      <c r="FF24" s="141">
        <v>5399124</v>
      </c>
      <c r="FG24" s="141">
        <v>1885814</v>
      </c>
      <c r="FH24" s="141">
        <v>3749354</v>
      </c>
      <c r="FI24" s="73">
        <f t="shared" si="14"/>
        <v>3545516</v>
      </c>
      <c r="FJ24" s="141">
        <v>32662754</v>
      </c>
      <c r="FK24" s="379">
        <f t="shared" si="15"/>
        <v>5.5</v>
      </c>
      <c r="FL24" s="141">
        <v>23772420</v>
      </c>
      <c r="FM24" s="141">
        <v>1998533</v>
      </c>
      <c r="FN24" s="141">
        <v>14113058</v>
      </c>
      <c r="FO24" s="141">
        <v>19981251</v>
      </c>
      <c r="FP24" s="390">
        <v>0.73299999999999998</v>
      </c>
      <c r="FQ24" s="380">
        <v>98.9</v>
      </c>
      <c r="FR24" s="381">
        <v>19.399999999999999</v>
      </c>
      <c r="FS24" s="380">
        <v>14</v>
      </c>
      <c r="FT24" s="380">
        <v>14.7</v>
      </c>
      <c r="FU24" s="381">
        <v>17.899999999999999</v>
      </c>
      <c r="FV24" s="380">
        <v>15.7</v>
      </c>
      <c r="FW24" s="382">
        <v>13.3</v>
      </c>
      <c r="FX24" s="383">
        <v>6.5</v>
      </c>
      <c r="FY24" s="141">
        <v>33737503</v>
      </c>
      <c r="FZ24" s="384">
        <f t="shared" si="16"/>
        <v>130.9</v>
      </c>
      <c r="GA24" s="141">
        <v>18443156</v>
      </c>
      <c r="GB24" s="141">
        <v>4956070</v>
      </c>
      <c r="GC24" s="141">
        <v>38683</v>
      </c>
      <c r="GD24" s="141">
        <v>13448403</v>
      </c>
      <c r="GE24" s="107">
        <v>0</v>
      </c>
      <c r="GF24" s="385"/>
      <c r="GG24" s="386"/>
      <c r="GH24" s="380">
        <v>99.5</v>
      </c>
      <c r="GI24" s="380">
        <v>81.900000000000006</v>
      </c>
      <c r="GJ24" s="380">
        <v>99.1</v>
      </c>
      <c r="GK24" s="141">
        <v>549</v>
      </c>
      <c r="GL24" s="391" t="s">
        <v>646</v>
      </c>
      <c r="GM24" s="391">
        <v>12.03</v>
      </c>
      <c r="GN24" s="117">
        <v>20</v>
      </c>
      <c r="GO24" s="391" t="s">
        <v>646</v>
      </c>
      <c r="GP24" s="392">
        <v>17.03</v>
      </c>
      <c r="GQ24" s="387">
        <v>30</v>
      </c>
      <c r="GR24" s="381">
        <v>6.5</v>
      </c>
      <c r="GS24" s="388">
        <v>25</v>
      </c>
      <c r="GT24" s="388">
        <v>35</v>
      </c>
      <c r="GU24" s="393" t="s">
        <v>646</v>
      </c>
      <c r="GV24" s="388">
        <v>350</v>
      </c>
      <c r="GW24" s="394"/>
      <c r="GX24" s="100">
        <f t="shared" si="17"/>
        <v>25771</v>
      </c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  <c r="HW24" s="394"/>
      <c r="HX24" s="394"/>
    </row>
    <row r="25" spans="2:232" x14ac:dyDescent="0.15">
      <c r="B25" s="89" t="s">
        <v>39</v>
      </c>
      <c r="C25" s="141">
        <v>23795183</v>
      </c>
      <c r="D25" s="73">
        <f t="shared" si="0"/>
        <v>9768182</v>
      </c>
      <c r="E25" s="141">
        <v>300840</v>
      </c>
      <c r="F25" s="141">
        <v>9467342</v>
      </c>
      <c r="G25" s="73">
        <f t="shared" si="1"/>
        <v>1344477</v>
      </c>
      <c r="H25" s="141">
        <v>467160</v>
      </c>
      <c r="I25" s="141">
        <v>877317</v>
      </c>
      <c r="J25" s="141">
        <v>9280123</v>
      </c>
      <c r="K25" s="141">
        <v>3368581</v>
      </c>
      <c r="L25" s="141">
        <v>4731738</v>
      </c>
      <c r="M25" s="141">
        <v>1105737</v>
      </c>
      <c r="N25" s="141">
        <v>1079799</v>
      </c>
      <c r="O25" s="141">
        <v>1910123</v>
      </c>
      <c r="P25" s="141">
        <v>920202</v>
      </c>
      <c r="Q25" s="141">
        <v>989921</v>
      </c>
      <c r="R25" s="141">
        <v>342343</v>
      </c>
      <c r="S25" s="74"/>
      <c r="T25" s="73">
        <f t="shared" si="2"/>
        <v>4766769</v>
      </c>
      <c r="U25" s="141">
        <v>27576</v>
      </c>
      <c r="V25" s="141">
        <v>217974</v>
      </c>
      <c r="W25" s="141">
        <v>244980</v>
      </c>
      <c r="X25" s="141">
        <v>3950940</v>
      </c>
      <c r="Y25" s="141">
        <v>29503</v>
      </c>
      <c r="Z25" s="141">
        <v>0</v>
      </c>
      <c r="AA25" s="141">
        <v>0</v>
      </c>
      <c r="AB25" s="141">
        <v>66477</v>
      </c>
      <c r="AC25" s="141">
        <v>229319</v>
      </c>
      <c r="AD25" s="141">
        <v>395026</v>
      </c>
      <c r="AE25" s="141">
        <v>9236803</v>
      </c>
      <c r="AF25" s="141">
        <v>8617629</v>
      </c>
      <c r="AG25" s="141">
        <v>619174</v>
      </c>
      <c r="AH25" s="141">
        <v>25872</v>
      </c>
      <c r="AI25" s="141">
        <v>22977</v>
      </c>
      <c r="AJ25" s="73">
        <f t="shared" si="3"/>
        <v>1328810</v>
      </c>
      <c r="AK25" s="141">
        <v>945274</v>
      </c>
      <c r="AL25" s="141">
        <v>383536</v>
      </c>
      <c r="AM25" s="141">
        <v>21664700</v>
      </c>
      <c r="AN25" s="73">
        <f t="shared" si="4"/>
        <v>9908190</v>
      </c>
      <c r="AO25" s="141">
        <v>5076017</v>
      </c>
      <c r="AP25" s="141">
        <v>2705035</v>
      </c>
      <c r="AQ25" s="74"/>
      <c r="AR25" s="141">
        <v>2127138</v>
      </c>
      <c r="AS25" s="141">
        <v>622672</v>
      </c>
      <c r="AT25" s="141">
        <v>0</v>
      </c>
      <c r="AU25" s="141">
        <v>215337</v>
      </c>
      <c r="AV25" s="141">
        <v>5271639</v>
      </c>
      <c r="AW25" s="141">
        <v>3109986</v>
      </c>
      <c r="AX25" s="141">
        <v>1004424</v>
      </c>
      <c r="AY25" s="141">
        <v>8495</v>
      </c>
      <c r="AZ25" s="141">
        <v>2161653</v>
      </c>
      <c r="BA25" s="141">
        <v>110</v>
      </c>
      <c r="BB25" s="141">
        <v>216840</v>
      </c>
      <c r="BC25" s="141">
        <v>210049</v>
      </c>
      <c r="BD25" s="141">
        <v>858741</v>
      </c>
      <c r="BE25" s="141">
        <v>916491</v>
      </c>
      <c r="BF25" s="141">
        <v>0</v>
      </c>
      <c r="BG25" s="141">
        <v>0</v>
      </c>
      <c r="BH25" s="141">
        <v>871892</v>
      </c>
      <c r="BI25" s="141">
        <v>0</v>
      </c>
      <c r="BJ25" s="141">
        <v>442911</v>
      </c>
      <c r="BK25" s="141">
        <v>283747</v>
      </c>
      <c r="BL25" s="141">
        <v>753937</v>
      </c>
      <c r="BM25" s="141">
        <v>4324</v>
      </c>
      <c r="BN25" s="141">
        <v>4289</v>
      </c>
      <c r="BO25" s="141">
        <v>0</v>
      </c>
      <c r="BP25" s="141">
        <v>5925200</v>
      </c>
      <c r="BQ25" s="73">
        <f t="shared" si="5"/>
        <v>4446400</v>
      </c>
      <c r="BR25" s="73">
        <f t="shared" si="6"/>
        <v>1478800</v>
      </c>
      <c r="BS25" s="141">
        <v>0</v>
      </c>
      <c r="BT25" s="141">
        <v>0</v>
      </c>
      <c r="BU25" s="141">
        <v>1478800</v>
      </c>
      <c r="BV25" s="141">
        <v>0</v>
      </c>
      <c r="BW25" s="141">
        <v>76179579</v>
      </c>
      <c r="BX25" s="71"/>
      <c r="BY25" s="141">
        <v>10269733</v>
      </c>
      <c r="BZ25" s="141">
        <v>6118219</v>
      </c>
      <c r="CA25" s="141">
        <v>662196</v>
      </c>
      <c r="CB25" s="141">
        <v>1596016</v>
      </c>
      <c r="CC25" s="141">
        <v>27052222</v>
      </c>
      <c r="CD25" s="141">
        <v>6805615</v>
      </c>
      <c r="CE25" s="141">
        <v>38947</v>
      </c>
      <c r="CF25" s="141">
        <v>13190793</v>
      </c>
      <c r="CG25" s="141">
        <v>6745064</v>
      </c>
      <c r="CH25" s="141">
        <v>3919</v>
      </c>
      <c r="CI25" s="141">
        <v>267212</v>
      </c>
      <c r="CJ25" s="141">
        <v>7766766</v>
      </c>
      <c r="CK25" s="141">
        <v>7520063</v>
      </c>
      <c r="CL25" s="83">
        <f t="shared" si="7"/>
        <v>246703</v>
      </c>
      <c r="CM25" s="141">
        <v>9642117</v>
      </c>
      <c r="CN25" s="141">
        <v>7504069</v>
      </c>
      <c r="CO25" s="102"/>
      <c r="CP25" s="141">
        <v>922879</v>
      </c>
      <c r="CQ25" s="141">
        <v>342159</v>
      </c>
      <c r="CR25" s="141">
        <v>4789420</v>
      </c>
      <c r="CS25" s="141">
        <v>712136</v>
      </c>
      <c r="CT25" s="141">
        <v>1228650</v>
      </c>
      <c r="CU25" s="141">
        <v>1214699</v>
      </c>
      <c r="CV25" s="73">
        <f t="shared" si="8"/>
        <v>1358556</v>
      </c>
      <c r="CW25" s="141">
        <v>483112</v>
      </c>
      <c r="CX25" s="141">
        <v>875444</v>
      </c>
      <c r="CY25" s="73">
        <f t="shared" si="9"/>
        <v>737652</v>
      </c>
      <c r="CZ25" s="141">
        <v>0</v>
      </c>
      <c r="DA25" s="141">
        <v>737652</v>
      </c>
      <c r="DB25" s="73">
        <f t="shared" si="10"/>
        <v>593633</v>
      </c>
      <c r="DC25" s="141">
        <v>465112</v>
      </c>
      <c r="DD25" s="141">
        <v>128521</v>
      </c>
      <c r="DE25" s="141">
        <v>7861959</v>
      </c>
      <c r="DF25" s="141">
        <v>1979310</v>
      </c>
      <c r="DG25" s="141">
        <v>5824253</v>
      </c>
      <c r="DH25" s="141">
        <v>29246</v>
      </c>
      <c r="DI25" s="141">
        <v>29150</v>
      </c>
      <c r="DJ25" s="141">
        <v>0</v>
      </c>
      <c r="DK25" s="141">
        <v>1646318</v>
      </c>
      <c r="DL25" s="141">
        <v>150640</v>
      </c>
      <c r="DM25" s="141">
        <v>206020</v>
      </c>
      <c r="DN25" s="141">
        <v>1289658</v>
      </c>
      <c r="DO25" s="141">
        <v>0</v>
      </c>
      <c r="DP25" s="141">
        <v>0</v>
      </c>
      <c r="DQ25" s="141">
        <v>0</v>
      </c>
      <c r="DR25" s="141">
        <v>0</v>
      </c>
      <c r="DS25" s="141">
        <v>21866</v>
      </c>
      <c r="DT25" s="141">
        <v>0</v>
      </c>
      <c r="DU25" s="141">
        <v>0</v>
      </c>
      <c r="DV25" s="141">
        <v>6033549</v>
      </c>
      <c r="DW25" s="141">
        <v>30077</v>
      </c>
      <c r="DX25" s="73">
        <f t="shared" si="11"/>
        <v>0</v>
      </c>
      <c r="DY25" s="141">
        <v>0</v>
      </c>
      <c r="DZ25" s="141">
        <v>2374505</v>
      </c>
      <c r="EA25" s="141">
        <v>0</v>
      </c>
      <c r="EB25" s="141">
        <v>1409792</v>
      </c>
      <c r="EC25" s="74">
        <v>0</v>
      </c>
      <c r="ED25" s="141">
        <v>2219175</v>
      </c>
      <c r="EE25" s="141">
        <v>0</v>
      </c>
      <c r="EF25" s="141">
        <v>75426109</v>
      </c>
      <c r="EG25" s="71"/>
      <c r="EH25" s="141">
        <v>753470</v>
      </c>
      <c r="EI25" s="141">
        <v>107182</v>
      </c>
      <c r="EJ25" s="141">
        <v>646288</v>
      </c>
      <c r="EK25" s="141">
        <v>362541</v>
      </c>
      <c r="EL25" s="141">
        <v>513181</v>
      </c>
      <c r="EM25" s="71"/>
      <c r="EN25" s="141">
        <v>184495</v>
      </c>
      <c r="EO25" s="141">
        <v>184615</v>
      </c>
      <c r="EP25" s="141">
        <v>0</v>
      </c>
      <c r="EQ25" s="141">
        <v>216110</v>
      </c>
      <c r="ER25" s="73">
        <f t="shared" si="12"/>
        <v>2501875</v>
      </c>
      <c r="ES25" s="141">
        <v>38777333</v>
      </c>
      <c r="ET25" s="141">
        <v>-3955576</v>
      </c>
      <c r="EU25" s="141">
        <v>9345180</v>
      </c>
      <c r="EV25" s="141">
        <v>5638717</v>
      </c>
      <c r="EW25" s="141">
        <v>6416485</v>
      </c>
      <c r="EX25" s="141">
        <v>7625882</v>
      </c>
      <c r="EY25" s="73">
        <f t="shared" si="13"/>
        <v>1674292</v>
      </c>
      <c r="EZ25" s="141">
        <v>1674292</v>
      </c>
      <c r="FA25" s="141">
        <v>367285</v>
      </c>
      <c r="FB25" s="141">
        <v>1305232</v>
      </c>
      <c r="FC25" s="141">
        <v>0</v>
      </c>
      <c r="FD25" s="141">
        <v>0</v>
      </c>
      <c r="FE25" s="141">
        <v>6946481</v>
      </c>
      <c r="FF25" s="141">
        <v>4205007</v>
      </c>
      <c r="FG25" s="141">
        <v>712136</v>
      </c>
      <c r="FH25" s="141">
        <v>4736566</v>
      </c>
      <c r="FI25" s="73">
        <f t="shared" si="14"/>
        <v>1029546</v>
      </c>
      <c r="FJ25" s="141">
        <v>41979439</v>
      </c>
      <c r="FK25" s="379">
        <f t="shared" si="15"/>
        <v>1.7</v>
      </c>
      <c r="FL25" s="141">
        <v>34500110</v>
      </c>
      <c r="FM25" s="141">
        <v>2912678</v>
      </c>
      <c r="FN25" s="141">
        <v>20414188</v>
      </c>
      <c r="FO25" s="141">
        <v>29031817</v>
      </c>
      <c r="FP25" s="390">
        <v>0.73099999999999998</v>
      </c>
      <c r="FQ25" s="380">
        <v>95.8</v>
      </c>
      <c r="FR25" s="381">
        <v>24.6</v>
      </c>
      <c r="FS25" s="380">
        <v>16.899999999999999</v>
      </c>
      <c r="FT25" s="380">
        <v>18.600000000000001</v>
      </c>
      <c r="FU25" s="381">
        <v>14.7</v>
      </c>
      <c r="FV25" s="380">
        <v>8.1</v>
      </c>
      <c r="FW25" s="382">
        <v>12.1</v>
      </c>
      <c r="FX25" s="383">
        <v>7</v>
      </c>
      <c r="FY25" s="141">
        <v>44052324</v>
      </c>
      <c r="FZ25" s="384">
        <f t="shared" si="16"/>
        <v>117.7</v>
      </c>
      <c r="GA25" s="141">
        <v>14547669</v>
      </c>
      <c r="GB25" s="141">
        <v>4247670</v>
      </c>
      <c r="GC25" s="141">
        <v>1671740</v>
      </c>
      <c r="GD25" s="141">
        <v>8628259</v>
      </c>
      <c r="GE25" s="107">
        <v>0</v>
      </c>
      <c r="GF25" s="385"/>
      <c r="GG25" s="386"/>
      <c r="GH25" s="380">
        <v>99.6</v>
      </c>
      <c r="GI25" s="380">
        <v>52.7</v>
      </c>
      <c r="GJ25" s="380">
        <v>98.7</v>
      </c>
      <c r="GK25" s="141">
        <v>1045</v>
      </c>
      <c r="GL25" s="391" t="s">
        <v>646</v>
      </c>
      <c r="GM25" s="391">
        <v>11.53</v>
      </c>
      <c r="GN25" s="117">
        <v>20</v>
      </c>
      <c r="GO25" s="391" t="s">
        <v>646</v>
      </c>
      <c r="GP25" s="392">
        <v>16.53</v>
      </c>
      <c r="GQ25" s="387">
        <v>30</v>
      </c>
      <c r="GR25" s="381">
        <v>7</v>
      </c>
      <c r="GS25" s="388">
        <v>25</v>
      </c>
      <c r="GT25" s="388">
        <v>35</v>
      </c>
      <c r="GU25" s="393" t="s">
        <v>646</v>
      </c>
      <c r="GV25" s="388">
        <v>350</v>
      </c>
      <c r="GW25" s="394"/>
      <c r="GX25" s="100">
        <f t="shared" si="17"/>
        <v>37413</v>
      </c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  <c r="HW25" s="394"/>
      <c r="HX25" s="394"/>
    </row>
    <row r="26" spans="2:232" x14ac:dyDescent="0.15">
      <c r="B26" s="89" t="s">
        <v>41</v>
      </c>
      <c r="C26" s="141">
        <v>24045625</v>
      </c>
      <c r="D26" s="73">
        <f t="shared" si="0"/>
        <v>10413757</v>
      </c>
      <c r="E26" s="141">
        <v>229753</v>
      </c>
      <c r="F26" s="141">
        <v>10184004</v>
      </c>
      <c r="G26" s="73">
        <f t="shared" si="1"/>
        <v>1082565</v>
      </c>
      <c r="H26" s="141">
        <v>387418</v>
      </c>
      <c r="I26" s="141">
        <v>695147</v>
      </c>
      <c r="J26" s="141">
        <v>9424552</v>
      </c>
      <c r="K26" s="141">
        <v>4386294</v>
      </c>
      <c r="L26" s="141">
        <v>4020124</v>
      </c>
      <c r="M26" s="141">
        <v>1003098</v>
      </c>
      <c r="N26" s="141">
        <v>679320</v>
      </c>
      <c r="O26" s="141">
        <v>2200188</v>
      </c>
      <c r="P26" s="141">
        <v>1320127</v>
      </c>
      <c r="Q26" s="141">
        <v>880061</v>
      </c>
      <c r="R26" s="141">
        <v>274976</v>
      </c>
      <c r="S26" s="74"/>
      <c r="T26" s="73">
        <f t="shared" si="2"/>
        <v>3653525</v>
      </c>
      <c r="U26" s="141">
        <v>29806</v>
      </c>
      <c r="V26" s="141">
        <v>235208</v>
      </c>
      <c r="W26" s="141">
        <v>264013</v>
      </c>
      <c r="X26" s="141">
        <v>2893981</v>
      </c>
      <c r="Y26" s="141">
        <v>1781</v>
      </c>
      <c r="Z26" s="141">
        <v>0</v>
      </c>
      <c r="AA26" s="141">
        <v>0</v>
      </c>
      <c r="AB26" s="141">
        <v>54006</v>
      </c>
      <c r="AC26" s="141">
        <v>174730</v>
      </c>
      <c r="AD26" s="141">
        <v>399491</v>
      </c>
      <c r="AE26" s="141">
        <v>2521736</v>
      </c>
      <c r="AF26" s="141">
        <v>2438147</v>
      </c>
      <c r="AG26" s="141">
        <v>83589</v>
      </c>
      <c r="AH26" s="141">
        <v>17378</v>
      </c>
      <c r="AI26" s="141">
        <v>807986</v>
      </c>
      <c r="AJ26" s="73">
        <f t="shared" si="3"/>
        <v>861305</v>
      </c>
      <c r="AK26" s="141">
        <v>562807</v>
      </c>
      <c r="AL26" s="141">
        <v>298498</v>
      </c>
      <c r="AM26" s="141">
        <v>22976715</v>
      </c>
      <c r="AN26" s="73">
        <f t="shared" si="4"/>
        <v>5282917</v>
      </c>
      <c r="AO26" s="141">
        <v>1691429</v>
      </c>
      <c r="AP26" s="141">
        <v>2093645</v>
      </c>
      <c r="AQ26" s="74"/>
      <c r="AR26" s="141">
        <v>1497843</v>
      </c>
      <c r="AS26" s="141">
        <v>916785</v>
      </c>
      <c r="AT26" s="141">
        <v>0</v>
      </c>
      <c r="AU26" s="141">
        <v>0</v>
      </c>
      <c r="AV26" s="141">
        <v>5920120</v>
      </c>
      <c r="AW26" s="141">
        <v>2748336</v>
      </c>
      <c r="AX26" s="141">
        <v>916756</v>
      </c>
      <c r="AY26" s="141">
        <v>3460</v>
      </c>
      <c r="AZ26" s="141">
        <v>3171784</v>
      </c>
      <c r="BA26" s="141">
        <v>1785000</v>
      </c>
      <c r="BB26" s="141">
        <v>472347</v>
      </c>
      <c r="BC26" s="141">
        <v>266287</v>
      </c>
      <c r="BD26" s="141">
        <v>204123</v>
      </c>
      <c r="BE26" s="141">
        <v>3634870</v>
      </c>
      <c r="BF26" s="141">
        <v>0</v>
      </c>
      <c r="BG26" s="141">
        <v>0</v>
      </c>
      <c r="BH26" s="141">
        <v>3634785</v>
      </c>
      <c r="BI26" s="141">
        <v>0</v>
      </c>
      <c r="BJ26" s="141">
        <v>6830605</v>
      </c>
      <c r="BK26" s="141">
        <v>868290</v>
      </c>
      <c r="BL26" s="141">
        <v>7384371</v>
      </c>
      <c r="BM26" s="141">
        <v>233687</v>
      </c>
      <c r="BN26" s="141">
        <v>0</v>
      </c>
      <c r="BO26" s="141">
        <v>6000000</v>
      </c>
      <c r="BP26" s="141">
        <v>3653666</v>
      </c>
      <c r="BQ26" s="73">
        <f t="shared" si="5"/>
        <v>2872600</v>
      </c>
      <c r="BR26" s="73">
        <f t="shared" si="6"/>
        <v>781066</v>
      </c>
      <c r="BS26" s="141">
        <v>0</v>
      </c>
      <c r="BT26" s="141">
        <v>0</v>
      </c>
      <c r="BU26" s="141">
        <v>781066</v>
      </c>
      <c r="BV26" s="141">
        <v>0</v>
      </c>
      <c r="BW26" s="141">
        <v>83658839</v>
      </c>
      <c r="BX26" s="71"/>
      <c r="BY26" s="141">
        <v>10112325</v>
      </c>
      <c r="BZ26" s="141">
        <v>6675195</v>
      </c>
      <c r="CA26" s="141">
        <v>581435</v>
      </c>
      <c r="CB26" s="141">
        <v>993712</v>
      </c>
      <c r="CC26" s="141">
        <v>17885344</v>
      </c>
      <c r="CD26" s="141">
        <v>4795770</v>
      </c>
      <c r="CE26" s="141">
        <v>103188</v>
      </c>
      <c r="CF26" s="141">
        <v>9827924</v>
      </c>
      <c r="CG26" s="141">
        <v>2250127</v>
      </c>
      <c r="CH26" s="141">
        <v>38157</v>
      </c>
      <c r="CI26" s="141">
        <v>870178</v>
      </c>
      <c r="CJ26" s="141">
        <v>2887549</v>
      </c>
      <c r="CK26" s="141">
        <v>2699364</v>
      </c>
      <c r="CL26" s="83">
        <f t="shared" si="7"/>
        <v>188185</v>
      </c>
      <c r="CM26" s="141">
        <v>9546201</v>
      </c>
      <c r="CN26" s="141">
        <v>7048756</v>
      </c>
      <c r="CO26" s="102"/>
      <c r="CP26" s="141">
        <v>1701109</v>
      </c>
      <c r="CQ26" s="141">
        <v>337749</v>
      </c>
      <c r="CR26" s="141">
        <v>3074790</v>
      </c>
      <c r="CS26" s="141">
        <v>3145</v>
      </c>
      <c r="CT26" s="141">
        <v>1305287</v>
      </c>
      <c r="CU26" s="141">
        <v>1017436</v>
      </c>
      <c r="CV26" s="73">
        <f t="shared" si="8"/>
        <v>410366</v>
      </c>
      <c r="CW26" s="141">
        <v>340735</v>
      </c>
      <c r="CX26" s="141">
        <v>69631</v>
      </c>
      <c r="CY26" s="73">
        <f t="shared" si="9"/>
        <v>93198</v>
      </c>
      <c r="CZ26" s="141">
        <v>93198</v>
      </c>
      <c r="DA26" s="141">
        <v>0</v>
      </c>
      <c r="DB26" s="73">
        <f t="shared" si="10"/>
        <v>291200</v>
      </c>
      <c r="DC26" s="141">
        <v>224645</v>
      </c>
      <c r="DD26" s="141">
        <v>66555</v>
      </c>
      <c r="DE26" s="141">
        <v>25133490</v>
      </c>
      <c r="DF26" s="141">
        <v>19365821</v>
      </c>
      <c r="DG26" s="141">
        <v>5767669</v>
      </c>
      <c r="DH26" s="141">
        <v>0</v>
      </c>
      <c r="DI26" s="141">
        <v>0</v>
      </c>
      <c r="DJ26" s="141">
        <v>12539</v>
      </c>
      <c r="DK26" s="141">
        <v>3581450</v>
      </c>
      <c r="DL26" s="141">
        <v>35683</v>
      </c>
      <c r="DM26" s="141">
        <v>2542110</v>
      </c>
      <c r="DN26" s="141">
        <v>1003657</v>
      </c>
      <c r="DO26" s="141">
        <v>0</v>
      </c>
      <c r="DP26" s="141">
        <v>0</v>
      </c>
      <c r="DQ26" s="141">
        <v>0</v>
      </c>
      <c r="DR26" s="141">
        <v>0</v>
      </c>
      <c r="DS26" s="141">
        <v>5797</v>
      </c>
      <c r="DT26" s="141">
        <v>0</v>
      </c>
      <c r="DU26" s="141">
        <v>0</v>
      </c>
      <c r="DV26" s="141">
        <v>4632101</v>
      </c>
      <c r="DW26" s="141">
        <v>0</v>
      </c>
      <c r="DX26" s="73">
        <f t="shared" si="11"/>
        <v>0</v>
      </c>
      <c r="DY26" s="141">
        <v>0</v>
      </c>
      <c r="DZ26" s="141">
        <v>1644465</v>
      </c>
      <c r="EA26" s="141">
        <v>0</v>
      </c>
      <c r="EB26" s="141">
        <v>1245487</v>
      </c>
      <c r="EC26" s="74">
        <v>0</v>
      </c>
      <c r="ED26" s="141">
        <v>1644953</v>
      </c>
      <c r="EE26" s="141">
        <v>0</v>
      </c>
      <c r="EF26" s="141">
        <v>77209335</v>
      </c>
      <c r="EG26" s="71"/>
      <c r="EH26" s="141">
        <v>6449504</v>
      </c>
      <c r="EI26" s="141">
        <v>4983096</v>
      </c>
      <c r="EJ26" s="141">
        <v>1466408</v>
      </c>
      <c r="EK26" s="141">
        <v>-901882</v>
      </c>
      <c r="EL26" s="141">
        <v>-866199</v>
      </c>
      <c r="EM26" s="71"/>
      <c r="EN26" s="141">
        <v>136868</v>
      </c>
      <c r="EO26" s="141">
        <v>139126</v>
      </c>
      <c r="EP26" s="141">
        <v>6344</v>
      </c>
      <c r="EQ26" s="141">
        <v>466419</v>
      </c>
      <c r="ER26" s="73">
        <f t="shared" si="12"/>
        <v>8929960</v>
      </c>
      <c r="ES26" s="141">
        <v>30912731</v>
      </c>
      <c r="ET26" s="141">
        <v>-10166411</v>
      </c>
      <c r="EU26" s="141">
        <v>9156458</v>
      </c>
      <c r="EV26" s="141">
        <v>5975349</v>
      </c>
      <c r="EW26" s="141">
        <v>4230897</v>
      </c>
      <c r="EX26" s="141">
        <v>2887549</v>
      </c>
      <c r="EY26" s="73">
        <f t="shared" si="13"/>
        <v>2493501</v>
      </c>
      <c r="EZ26" s="141">
        <v>2480962</v>
      </c>
      <c r="FA26" s="141">
        <v>1627644</v>
      </c>
      <c r="FB26" s="141">
        <v>853318</v>
      </c>
      <c r="FC26" s="141">
        <v>12539</v>
      </c>
      <c r="FD26" s="141">
        <v>0</v>
      </c>
      <c r="FE26" s="141">
        <v>6353164</v>
      </c>
      <c r="FF26" s="141">
        <v>2228305</v>
      </c>
      <c r="FG26" s="141">
        <v>3145</v>
      </c>
      <c r="FH26" s="141">
        <v>3665129</v>
      </c>
      <c r="FI26" s="73">
        <f t="shared" si="14"/>
        <v>3657061</v>
      </c>
      <c r="FJ26" s="141">
        <v>34672064</v>
      </c>
      <c r="FK26" s="379">
        <f t="shared" si="15"/>
        <v>4.9000000000000004</v>
      </c>
      <c r="FL26" s="141">
        <v>27273835</v>
      </c>
      <c r="FM26" s="141">
        <v>2453259</v>
      </c>
      <c r="FN26" s="141">
        <v>19102100</v>
      </c>
      <c r="FO26" s="141">
        <v>21540247</v>
      </c>
      <c r="FP26" s="390">
        <v>0.92600000000000005</v>
      </c>
      <c r="FQ26" s="380">
        <v>91.5</v>
      </c>
      <c r="FR26" s="381">
        <v>30.8</v>
      </c>
      <c r="FS26" s="380">
        <v>14.2</v>
      </c>
      <c r="FT26" s="380">
        <v>9.6999999999999993</v>
      </c>
      <c r="FU26" s="381">
        <v>18.7</v>
      </c>
      <c r="FV26" s="380">
        <v>5.2</v>
      </c>
      <c r="FW26" s="382">
        <v>12</v>
      </c>
      <c r="FX26" s="383">
        <v>2.7</v>
      </c>
      <c r="FY26" s="141">
        <v>57576089</v>
      </c>
      <c r="FZ26" s="384">
        <f t="shared" si="16"/>
        <v>193.7</v>
      </c>
      <c r="GA26" s="141">
        <v>23608464</v>
      </c>
      <c r="GB26" s="141">
        <v>5219600</v>
      </c>
      <c r="GC26" s="141">
        <v>5605796</v>
      </c>
      <c r="GD26" s="141">
        <v>12783068</v>
      </c>
      <c r="GE26" s="107">
        <v>0</v>
      </c>
      <c r="GF26" s="385">
        <v>2844</v>
      </c>
      <c r="GG26" s="386">
        <f>IF(GF26=0,"-",ROUND(GF26/(GX26)*100,1))</f>
        <v>9.6</v>
      </c>
      <c r="GH26" s="380">
        <v>99.6</v>
      </c>
      <c r="GI26" s="380">
        <v>45.8</v>
      </c>
      <c r="GJ26" s="380">
        <v>98.7</v>
      </c>
      <c r="GK26" s="141">
        <v>1028</v>
      </c>
      <c r="GL26" s="391" t="s">
        <v>646</v>
      </c>
      <c r="GM26" s="391">
        <v>11.82</v>
      </c>
      <c r="GN26" s="117">
        <v>20</v>
      </c>
      <c r="GO26" s="391" t="s">
        <v>646</v>
      </c>
      <c r="GP26" s="392">
        <v>16.82</v>
      </c>
      <c r="GQ26" s="387">
        <v>30</v>
      </c>
      <c r="GR26" s="381">
        <v>2.7</v>
      </c>
      <c r="GS26" s="388">
        <v>25</v>
      </c>
      <c r="GT26" s="388">
        <v>35</v>
      </c>
      <c r="GU26" s="393">
        <v>13.3</v>
      </c>
      <c r="GV26" s="388">
        <v>350</v>
      </c>
      <c r="GW26" s="394"/>
      <c r="GX26" s="100">
        <f t="shared" si="17"/>
        <v>29727</v>
      </c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  <c r="HW26" s="394"/>
      <c r="HX26" s="394"/>
    </row>
    <row r="27" spans="2:232" x14ac:dyDescent="0.15">
      <c r="B27" s="89" t="s">
        <v>43</v>
      </c>
      <c r="C27" s="141">
        <v>8797739</v>
      </c>
      <c r="D27" s="73">
        <f t="shared" si="0"/>
        <v>3479434</v>
      </c>
      <c r="E27" s="141">
        <v>116204</v>
      </c>
      <c r="F27" s="141">
        <v>3363230</v>
      </c>
      <c r="G27" s="73">
        <f t="shared" si="1"/>
        <v>574425</v>
      </c>
      <c r="H27" s="141">
        <v>140522</v>
      </c>
      <c r="I27" s="141">
        <v>433903</v>
      </c>
      <c r="J27" s="141">
        <v>3582675</v>
      </c>
      <c r="K27" s="141">
        <v>1349774</v>
      </c>
      <c r="L27" s="141">
        <v>1408637</v>
      </c>
      <c r="M27" s="141">
        <v>799355</v>
      </c>
      <c r="N27" s="141">
        <v>349659</v>
      </c>
      <c r="O27" s="141">
        <v>691932</v>
      </c>
      <c r="P27" s="141">
        <v>386409</v>
      </c>
      <c r="Q27" s="141">
        <v>305523</v>
      </c>
      <c r="R27" s="141">
        <v>125643</v>
      </c>
      <c r="S27" s="74"/>
      <c r="T27" s="73">
        <f t="shared" si="2"/>
        <v>1851137</v>
      </c>
      <c r="U27" s="141">
        <v>10011</v>
      </c>
      <c r="V27" s="141">
        <v>79037</v>
      </c>
      <c r="W27" s="141">
        <v>88747</v>
      </c>
      <c r="X27" s="141">
        <v>1544503</v>
      </c>
      <c r="Y27" s="141">
        <v>0</v>
      </c>
      <c r="Z27" s="141">
        <v>0</v>
      </c>
      <c r="AA27" s="141">
        <v>0</v>
      </c>
      <c r="AB27" s="141">
        <v>24710</v>
      </c>
      <c r="AC27" s="141">
        <v>104129</v>
      </c>
      <c r="AD27" s="141">
        <v>143688</v>
      </c>
      <c r="AE27" s="141">
        <v>5685287</v>
      </c>
      <c r="AF27" s="141">
        <v>5454399</v>
      </c>
      <c r="AG27" s="141">
        <v>230888</v>
      </c>
      <c r="AH27" s="141">
        <v>10922</v>
      </c>
      <c r="AI27" s="141">
        <v>249259</v>
      </c>
      <c r="AJ27" s="73">
        <f t="shared" si="3"/>
        <v>288570</v>
      </c>
      <c r="AK27" s="141">
        <v>255084</v>
      </c>
      <c r="AL27" s="141">
        <v>33486</v>
      </c>
      <c r="AM27" s="141">
        <v>6891162</v>
      </c>
      <c r="AN27" s="73">
        <f t="shared" si="4"/>
        <v>2858420</v>
      </c>
      <c r="AO27" s="141">
        <v>1298135</v>
      </c>
      <c r="AP27" s="141">
        <v>760645</v>
      </c>
      <c r="AQ27" s="74"/>
      <c r="AR27" s="141">
        <v>799640</v>
      </c>
      <c r="AS27" s="141">
        <v>118721</v>
      </c>
      <c r="AT27" s="141">
        <v>0</v>
      </c>
      <c r="AU27" s="141">
        <v>0</v>
      </c>
      <c r="AV27" s="141">
        <v>1918130</v>
      </c>
      <c r="AW27" s="141">
        <v>1108789</v>
      </c>
      <c r="AX27" s="141">
        <v>287367</v>
      </c>
      <c r="AY27" s="141">
        <v>1970</v>
      </c>
      <c r="AZ27" s="141">
        <v>809341</v>
      </c>
      <c r="BA27" s="141">
        <v>45910</v>
      </c>
      <c r="BB27" s="141">
        <v>17894</v>
      </c>
      <c r="BC27" s="141">
        <v>1018</v>
      </c>
      <c r="BD27" s="141">
        <v>71209</v>
      </c>
      <c r="BE27" s="141">
        <v>73737</v>
      </c>
      <c r="BF27" s="141">
        <v>13298</v>
      </c>
      <c r="BG27" s="141">
        <v>0</v>
      </c>
      <c r="BH27" s="141">
        <v>60439</v>
      </c>
      <c r="BI27" s="141">
        <v>0</v>
      </c>
      <c r="BJ27" s="141">
        <v>949530</v>
      </c>
      <c r="BK27" s="141">
        <v>489512</v>
      </c>
      <c r="BL27" s="141">
        <v>680309</v>
      </c>
      <c r="BM27" s="141">
        <v>425497</v>
      </c>
      <c r="BN27" s="141">
        <v>0</v>
      </c>
      <c r="BO27" s="141">
        <v>0</v>
      </c>
      <c r="BP27" s="141">
        <v>2996090</v>
      </c>
      <c r="BQ27" s="73">
        <f t="shared" si="5"/>
        <v>1922800</v>
      </c>
      <c r="BR27" s="73">
        <f t="shared" si="6"/>
        <v>1073290</v>
      </c>
      <c r="BS27" s="141">
        <v>0</v>
      </c>
      <c r="BT27" s="141">
        <v>0</v>
      </c>
      <c r="BU27" s="141">
        <v>1073290</v>
      </c>
      <c r="BV27" s="141">
        <v>0</v>
      </c>
      <c r="BW27" s="141">
        <v>30750306</v>
      </c>
      <c r="BX27" s="71"/>
      <c r="BY27" s="141">
        <v>4517196</v>
      </c>
      <c r="BZ27" s="141">
        <v>2688688</v>
      </c>
      <c r="CA27" s="141">
        <v>152711</v>
      </c>
      <c r="CB27" s="141">
        <v>794651</v>
      </c>
      <c r="CC27" s="141">
        <v>8384860</v>
      </c>
      <c r="CD27" s="141">
        <v>2860611</v>
      </c>
      <c r="CE27" s="141">
        <v>10935</v>
      </c>
      <c r="CF27" s="141">
        <v>3581327</v>
      </c>
      <c r="CG27" s="141">
        <v>1714362</v>
      </c>
      <c r="CH27" s="141">
        <v>3905</v>
      </c>
      <c r="CI27" s="141">
        <v>213690</v>
      </c>
      <c r="CJ27" s="141">
        <v>2046902</v>
      </c>
      <c r="CK27" s="141">
        <v>1965726</v>
      </c>
      <c r="CL27" s="83">
        <f t="shared" si="7"/>
        <v>81176</v>
      </c>
      <c r="CM27" s="141">
        <v>3210372</v>
      </c>
      <c r="CN27" s="141">
        <v>2222814</v>
      </c>
      <c r="CO27" s="102"/>
      <c r="CP27" s="141">
        <v>294765</v>
      </c>
      <c r="CQ27" s="141">
        <v>111891</v>
      </c>
      <c r="CR27" s="141">
        <v>4311881</v>
      </c>
      <c r="CS27" s="141">
        <v>1793841</v>
      </c>
      <c r="CT27" s="141">
        <v>758216</v>
      </c>
      <c r="CU27" s="141">
        <v>148895</v>
      </c>
      <c r="CV27" s="73">
        <f t="shared" si="8"/>
        <v>1411067</v>
      </c>
      <c r="CW27" s="141">
        <v>890571</v>
      </c>
      <c r="CX27" s="141">
        <v>520496</v>
      </c>
      <c r="CY27" s="73">
        <f t="shared" si="9"/>
        <v>529989</v>
      </c>
      <c r="CZ27" s="141">
        <v>416550</v>
      </c>
      <c r="DA27" s="141">
        <v>113439</v>
      </c>
      <c r="DB27" s="73">
        <f t="shared" si="10"/>
        <v>872718</v>
      </c>
      <c r="DC27" s="141">
        <v>469021</v>
      </c>
      <c r="DD27" s="141">
        <v>403697</v>
      </c>
      <c r="DE27" s="141">
        <v>2811554</v>
      </c>
      <c r="DF27" s="141">
        <v>362316</v>
      </c>
      <c r="DG27" s="141">
        <v>2449238</v>
      </c>
      <c r="DH27" s="141">
        <v>0</v>
      </c>
      <c r="DI27" s="141">
        <v>0</v>
      </c>
      <c r="DJ27" s="141">
        <v>0</v>
      </c>
      <c r="DK27" s="141">
        <v>848245</v>
      </c>
      <c r="DL27" s="141">
        <v>251007</v>
      </c>
      <c r="DM27" s="141">
        <v>524081</v>
      </c>
      <c r="DN27" s="141">
        <v>73157</v>
      </c>
      <c r="DO27" s="141">
        <v>0</v>
      </c>
      <c r="DP27" s="141">
        <v>0</v>
      </c>
      <c r="DQ27" s="141">
        <v>0</v>
      </c>
      <c r="DR27" s="141">
        <v>0</v>
      </c>
      <c r="DS27" s="141">
        <v>423691</v>
      </c>
      <c r="DT27" s="141">
        <v>0</v>
      </c>
      <c r="DU27" s="141">
        <v>0</v>
      </c>
      <c r="DV27" s="141">
        <v>2895514</v>
      </c>
      <c r="DW27" s="141">
        <v>0</v>
      </c>
      <c r="DX27" s="73">
        <f t="shared" si="11"/>
        <v>0</v>
      </c>
      <c r="DY27" s="141">
        <v>0</v>
      </c>
      <c r="DZ27" s="141">
        <v>1046618</v>
      </c>
      <c r="EA27" s="141">
        <v>0</v>
      </c>
      <c r="EB27" s="141">
        <v>826631</v>
      </c>
      <c r="EC27" s="74">
        <v>0</v>
      </c>
      <c r="ED27" s="141">
        <v>1018569</v>
      </c>
      <c r="EE27" s="141">
        <v>0</v>
      </c>
      <c r="EF27" s="141">
        <v>29562106</v>
      </c>
      <c r="EG27" s="71"/>
      <c r="EH27" s="141">
        <v>1188200</v>
      </c>
      <c r="EI27" s="141">
        <v>19169</v>
      </c>
      <c r="EJ27" s="141">
        <v>1169031</v>
      </c>
      <c r="EK27" s="141">
        <v>679519</v>
      </c>
      <c r="EL27" s="141">
        <v>917378</v>
      </c>
      <c r="EM27" s="71"/>
      <c r="EN27" s="141">
        <v>68775</v>
      </c>
      <c r="EO27" s="141">
        <v>67759</v>
      </c>
      <c r="EP27" s="141">
        <v>13298</v>
      </c>
      <c r="EQ27" s="141">
        <v>12452</v>
      </c>
      <c r="ER27" s="73">
        <f t="shared" si="12"/>
        <v>1572505</v>
      </c>
      <c r="ES27" s="141">
        <v>16614416</v>
      </c>
      <c r="ET27" s="141">
        <v>-2660623</v>
      </c>
      <c r="EU27" s="141">
        <v>4097274</v>
      </c>
      <c r="EV27" s="141">
        <v>2478035</v>
      </c>
      <c r="EW27" s="141">
        <v>1854505</v>
      </c>
      <c r="EX27" s="141">
        <v>2046902</v>
      </c>
      <c r="EY27" s="73">
        <f t="shared" si="13"/>
        <v>453346</v>
      </c>
      <c r="EZ27" s="141">
        <v>453346</v>
      </c>
      <c r="FA27" s="141">
        <v>13293</v>
      </c>
      <c r="FB27" s="141">
        <v>440053</v>
      </c>
      <c r="FC27" s="141">
        <v>0</v>
      </c>
      <c r="FD27" s="141">
        <v>0</v>
      </c>
      <c r="FE27" s="141">
        <v>2279434</v>
      </c>
      <c r="FF27" s="141">
        <v>4136516</v>
      </c>
      <c r="FG27" s="141">
        <v>1793152</v>
      </c>
      <c r="FH27" s="141">
        <v>2262512</v>
      </c>
      <c r="FI27" s="73">
        <f t="shared" si="14"/>
        <v>956350</v>
      </c>
      <c r="FJ27" s="141">
        <v>18086839</v>
      </c>
      <c r="FK27" s="379">
        <f t="shared" si="15"/>
        <v>7.2</v>
      </c>
      <c r="FL27" s="141">
        <v>15070394</v>
      </c>
      <c r="FM27" s="141">
        <v>1073290</v>
      </c>
      <c r="FN27" s="141">
        <v>7608347</v>
      </c>
      <c r="FO27" s="141">
        <v>13062746</v>
      </c>
      <c r="FP27" s="390">
        <v>0.61</v>
      </c>
      <c r="FQ27" s="380">
        <v>91.4</v>
      </c>
      <c r="FR27" s="381">
        <v>24.1</v>
      </c>
      <c r="FS27" s="380">
        <v>11</v>
      </c>
      <c r="FT27" s="380">
        <v>12.1</v>
      </c>
      <c r="FU27" s="381">
        <v>12.2</v>
      </c>
      <c r="FV27" s="380">
        <v>18.8</v>
      </c>
      <c r="FW27" s="382">
        <v>12.6</v>
      </c>
      <c r="FX27" s="383">
        <v>3.3</v>
      </c>
      <c r="FY27" s="141">
        <v>23389436</v>
      </c>
      <c r="FZ27" s="384">
        <f t="shared" si="16"/>
        <v>144.9</v>
      </c>
      <c r="GA27" s="141">
        <v>4208414</v>
      </c>
      <c r="GB27" s="141">
        <v>2310649</v>
      </c>
      <c r="GC27" s="141">
        <v>524256</v>
      </c>
      <c r="GD27" s="141">
        <v>1373509</v>
      </c>
      <c r="GE27" s="107">
        <v>0</v>
      </c>
      <c r="GF27" s="385">
        <v>328</v>
      </c>
      <c r="GG27" s="386">
        <f>IF(GF27=0,"-",ROUND(GF27/(GX27)*100,1))</f>
        <v>2</v>
      </c>
      <c r="GH27" s="380">
        <v>99.5</v>
      </c>
      <c r="GI27" s="380">
        <v>61.1</v>
      </c>
      <c r="GJ27" s="380">
        <v>98.6</v>
      </c>
      <c r="GK27" s="141">
        <v>411</v>
      </c>
      <c r="GL27" s="391" t="s">
        <v>646</v>
      </c>
      <c r="GM27" s="391">
        <v>12.7</v>
      </c>
      <c r="GN27" s="117">
        <v>20</v>
      </c>
      <c r="GO27" s="391" t="s">
        <v>646</v>
      </c>
      <c r="GP27" s="392">
        <v>17.7</v>
      </c>
      <c r="GQ27" s="387">
        <v>30</v>
      </c>
      <c r="GR27" s="381">
        <v>3.3</v>
      </c>
      <c r="GS27" s="388">
        <v>25</v>
      </c>
      <c r="GT27" s="388">
        <v>35</v>
      </c>
      <c r="GU27" s="393">
        <v>14.2</v>
      </c>
      <c r="GV27" s="388">
        <v>350</v>
      </c>
      <c r="GW27" s="394"/>
      <c r="GX27" s="100">
        <f t="shared" si="17"/>
        <v>16144</v>
      </c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  <c r="HW27" s="394"/>
      <c r="HX27" s="394"/>
    </row>
    <row r="28" spans="2:232" x14ac:dyDescent="0.15">
      <c r="B28" s="89" t="s">
        <v>45</v>
      </c>
      <c r="C28" s="141">
        <v>12321858</v>
      </c>
      <c r="D28" s="73">
        <f t="shared" si="0"/>
        <v>5251134</v>
      </c>
      <c r="E28" s="141">
        <v>179536</v>
      </c>
      <c r="F28" s="141">
        <v>5071598</v>
      </c>
      <c r="G28" s="73">
        <f t="shared" si="1"/>
        <v>563688</v>
      </c>
      <c r="H28" s="141">
        <v>208373</v>
      </c>
      <c r="I28" s="141">
        <v>355315</v>
      </c>
      <c r="J28" s="141">
        <v>4627436</v>
      </c>
      <c r="K28" s="141">
        <v>1994534</v>
      </c>
      <c r="L28" s="141">
        <v>2118840</v>
      </c>
      <c r="M28" s="141">
        <v>465637</v>
      </c>
      <c r="N28" s="141">
        <v>649207</v>
      </c>
      <c r="O28" s="141">
        <v>983903</v>
      </c>
      <c r="P28" s="141">
        <v>548162</v>
      </c>
      <c r="Q28" s="141">
        <v>435741</v>
      </c>
      <c r="R28" s="141">
        <v>207919</v>
      </c>
      <c r="S28" s="74"/>
      <c r="T28" s="73">
        <f t="shared" si="2"/>
        <v>2845564</v>
      </c>
      <c r="U28" s="141">
        <v>15217</v>
      </c>
      <c r="V28" s="141">
        <v>120296</v>
      </c>
      <c r="W28" s="141">
        <v>135215</v>
      </c>
      <c r="X28" s="141">
        <v>2410127</v>
      </c>
      <c r="Y28" s="141">
        <v>0</v>
      </c>
      <c r="Z28" s="141">
        <v>0</v>
      </c>
      <c r="AA28" s="141">
        <v>0</v>
      </c>
      <c r="AB28" s="141">
        <v>41032</v>
      </c>
      <c r="AC28" s="141">
        <v>123677</v>
      </c>
      <c r="AD28" s="141">
        <v>247728</v>
      </c>
      <c r="AE28" s="141">
        <v>9579518</v>
      </c>
      <c r="AF28" s="141">
        <v>9394243</v>
      </c>
      <c r="AG28" s="141">
        <v>185275</v>
      </c>
      <c r="AH28" s="141">
        <v>14831</v>
      </c>
      <c r="AI28" s="141">
        <v>123437</v>
      </c>
      <c r="AJ28" s="73">
        <f t="shared" si="3"/>
        <v>434432</v>
      </c>
      <c r="AK28" s="141">
        <v>383252</v>
      </c>
      <c r="AL28" s="141">
        <v>51180</v>
      </c>
      <c r="AM28" s="141">
        <v>13914744</v>
      </c>
      <c r="AN28" s="73">
        <f t="shared" si="4"/>
        <v>5804806</v>
      </c>
      <c r="AO28" s="141">
        <v>3595777</v>
      </c>
      <c r="AP28" s="141">
        <v>772963</v>
      </c>
      <c r="AQ28" s="74"/>
      <c r="AR28" s="141">
        <v>1436066</v>
      </c>
      <c r="AS28" s="141">
        <v>646860</v>
      </c>
      <c r="AT28" s="141">
        <v>0</v>
      </c>
      <c r="AU28" s="141">
        <v>0</v>
      </c>
      <c r="AV28" s="141">
        <v>3202158</v>
      </c>
      <c r="AW28" s="141">
        <v>1960525</v>
      </c>
      <c r="AX28" s="141">
        <v>322881</v>
      </c>
      <c r="AY28" s="141">
        <v>24199</v>
      </c>
      <c r="AZ28" s="141">
        <v>1241633</v>
      </c>
      <c r="BA28" s="141">
        <v>787</v>
      </c>
      <c r="BB28" s="141">
        <v>70210</v>
      </c>
      <c r="BC28" s="141">
        <v>54700</v>
      </c>
      <c r="BD28" s="141">
        <v>108678</v>
      </c>
      <c r="BE28" s="141">
        <v>82190</v>
      </c>
      <c r="BF28" s="141">
        <v>0</v>
      </c>
      <c r="BG28" s="141">
        <v>0</v>
      </c>
      <c r="BH28" s="141">
        <v>64591</v>
      </c>
      <c r="BI28" s="141">
        <v>0</v>
      </c>
      <c r="BJ28" s="141">
        <v>102639</v>
      </c>
      <c r="BK28" s="141">
        <v>102639</v>
      </c>
      <c r="BL28" s="141">
        <v>318763</v>
      </c>
      <c r="BM28" s="141">
        <v>1606</v>
      </c>
      <c r="BN28" s="141">
        <v>0</v>
      </c>
      <c r="BO28" s="141">
        <v>0</v>
      </c>
      <c r="BP28" s="141">
        <v>2310300</v>
      </c>
      <c r="BQ28" s="73">
        <f t="shared" si="5"/>
        <v>1184700</v>
      </c>
      <c r="BR28" s="73">
        <f t="shared" si="6"/>
        <v>1125600</v>
      </c>
      <c r="BS28" s="141">
        <v>0</v>
      </c>
      <c r="BT28" s="141">
        <v>0</v>
      </c>
      <c r="BU28" s="141">
        <v>1125600</v>
      </c>
      <c r="BV28" s="141">
        <v>0</v>
      </c>
      <c r="BW28" s="141">
        <v>45884969</v>
      </c>
      <c r="BX28" s="71"/>
      <c r="BY28" s="141">
        <v>6449182</v>
      </c>
      <c r="BZ28" s="141">
        <v>3687630</v>
      </c>
      <c r="CA28" s="141">
        <v>319353</v>
      </c>
      <c r="CB28" s="141">
        <v>1232144</v>
      </c>
      <c r="CC28" s="141">
        <v>16329240</v>
      </c>
      <c r="CD28" s="141">
        <v>4722184</v>
      </c>
      <c r="CE28" s="141">
        <v>22904</v>
      </c>
      <c r="CF28" s="141">
        <v>6617845</v>
      </c>
      <c r="CG28" s="141">
        <v>4809401</v>
      </c>
      <c r="CH28" s="141">
        <v>0</v>
      </c>
      <c r="CI28" s="141">
        <v>156876</v>
      </c>
      <c r="CJ28" s="141">
        <v>3335034</v>
      </c>
      <c r="CK28" s="141">
        <v>3204007</v>
      </c>
      <c r="CL28" s="83">
        <f t="shared" si="7"/>
        <v>131027</v>
      </c>
      <c r="CM28" s="141">
        <v>5198982</v>
      </c>
      <c r="CN28" s="141">
        <v>3809772</v>
      </c>
      <c r="CO28" s="102"/>
      <c r="CP28" s="141">
        <v>698441</v>
      </c>
      <c r="CQ28" s="141">
        <v>111395</v>
      </c>
      <c r="CR28" s="141">
        <v>5580909</v>
      </c>
      <c r="CS28" s="141">
        <v>2125998</v>
      </c>
      <c r="CT28" s="141">
        <v>1144646</v>
      </c>
      <c r="CU28" s="141">
        <v>814388</v>
      </c>
      <c r="CV28" s="73">
        <f t="shared" si="8"/>
        <v>1422125</v>
      </c>
      <c r="CW28" s="141">
        <v>175781</v>
      </c>
      <c r="CX28" s="141">
        <v>1246344</v>
      </c>
      <c r="CY28" s="73">
        <f t="shared" si="9"/>
        <v>0</v>
      </c>
      <c r="CZ28" s="141">
        <v>0</v>
      </c>
      <c r="DA28" s="141">
        <v>0</v>
      </c>
      <c r="DB28" s="73">
        <f t="shared" si="10"/>
        <v>1418223</v>
      </c>
      <c r="DC28" s="141">
        <v>173199</v>
      </c>
      <c r="DD28" s="141">
        <v>1245024</v>
      </c>
      <c r="DE28" s="141">
        <v>2150943</v>
      </c>
      <c r="DF28" s="141">
        <v>1304368</v>
      </c>
      <c r="DG28" s="141">
        <v>836556</v>
      </c>
      <c r="DH28" s="141">
        <v>10019</v>
      </c>
      <c r="DI28" s="141">
        <v>0</v>
      </c>
      <c r="DJ28" s="141">
        <v>0</v>
      </c>
      <c r="DK28" s="141">
        <v>1451416</v>
      </c>
      <c r="DL28" s="141">
        <v>922326</v>
      </c>
      <c r="DM28" s="141">
        <v>301676</v>
      </c>
      <c r="DN28" s="141">
        <v>227414</v>
      </c>
      <c r="DO28" s="141">
        <v>0</v>
      </c>
      <c r="DP28" s="141">
        <v>0</v>
      </c>
      <c r="DQ28" s="141">
        <v>0</v>
      </c>
      <c r="DR28" s="141">
        <v>0</v>
      </c>
      <c r="DS28" s="141">
        <v>0</v>
      </c>
      <c r="DT28" s="141">
        <v>0</v>
      </c>
      <c r="DU28" s="141">
        <v>0</v>
      </c>
      <c r="DV28" s="141">
        <v>4708656</v>
      </c>
      <c r="DW28" s="141">
        <v>0</v>
      </c>
      <c r="DX28" s="73">
        <f t="shared" si="11"/>
        <v>0</v>
      </c>
      <c r="DY28" s="141">
        <v>0</v>
      </c>
      <c r="DZ28" s="141">
        <v>1696588</v>
      </c>
      <c r="EA28" s="141">
        <v>0</v>
      </c>
      <c r="EB28" s="141">
        <v>1223890</v>
      </c>
      <c r="EC28" s="74">
        <v>0</v>
      </c>
      <c r="ED28" s="141">
        <v>1714530</v>
      </c>
      <c r="EE28" s="141">
        <v>0</v>
      </c>
      <c r="EF28" s="141">
        <v>45315757</v>
      </c>
      <c r="EG28" s="71"/>
      <c r="EH28" s="141">
        <v>569212</v>
      </c>
      <c r="EI28" s="141">
        <v>0</v>
      </c>
      <c r="EJ28" s="141">
        <v>569212</v>
      </c>
      <c r="EK28" s="141">
        <v>466573</v>
      </c>
      <c r="EL28" s="141">
        <v>1388899</v>
      </c>
      <c r="EM28" s="71"/>
      <c r="EN28" s="141">
        <v>108736</v>
      </c>
      <c r="EO28" s="141">
        <v>109565</v>
      </c>
      <c r="EP28" s="141">
        <v>77</v>
      </c>
      <c r="EQ28" s="141">
        <v>15312</v>
      </c>
      <c r="ER28" s="73">
        <f t="shared" si="12"/>
        <v>1450391</v>
      </c>
      <c r="ES28" s="141">
        <v>25217418</v>
      </c>
      <c r="ET28" s="141">
        <v>-2576549</v>
      </c>
      <c r="EU28" s="141">
        <v>5741156</v>
      </c>
      <c r="EV28" s="141">
        <v>3350440</v>
      </c>
      <c r="EW28" s="141">
        <v>3770919</v>
      </c>
      <c r="EX28" s="141">
        <v>3321412</v>
      </c>
      <c r="EY28" s="73">
        <f t="shared" si="13"/>
        <v>248218</v>
      </c>
      <c r="EZ28" s="141">
        <v>248218</v>
      </c>
      <c r="FA28" s="141">
        <v>41299</v>
      </c>
      <c r="FB28" s="141">
        <v>196900</v>
      </c>
      <c r="FC28" s="141">
        <v>0</v>
      </c>
      <c r="FD28" s="141">
        <v>0</v>
      </c>
      <c r="FE28" s="141">
        <v>3806034</v>
      </c>
      <c r="FF28" s="141">
        <v>5152156</v>
      </c>
      <c r="FG28" s="141">
        <v>2125841</v>
      </c>
      <c r="FH28" s="141">
        <v>3694386</v>
      </c>
      <c r="FI28" s="73">
        <f t="shared" si="14"/>
        <v>1490474</v>
      </c>
      <c r="FJ28" s="141">
        <v>27224755</v>
      </c>
      <c r="FK28" s="379">
        <f t="shared" si="15"/>
        <v>2.2999999999999998</v>
      </c>
      <c r="FL28" s="141">
        <v>23202761</v>
      </c>
      <c r="FM28" s="141">
        <v>1550488</v>
      </c>
      <c r="FN28" s="141">
        <v>10978119</v>
      </c>
      <c r="FO28" s="141">
        <v>20372362</v>
      </c>
      <c r="FP28" s="390">
        <v>0.56100000000000005</v>
      </c>
      <c r="FQ28" s="380">
        <v>92.7</v>
      </c>
      <c r="FR28" s="381">
        <v>22.5</v>
      </c>
      <c r="FS28" s="380">
        <v>14.8</v>
      </c>
      <c r="FT28" s="380">
        <v>13.1</v>
      </c>
      <c r="FU28" s="381">
        <v>13.4</v>
      </c>
      <c r="FV28" s="380">
        <v>14.9</v>
      </c>
      <c r="FW28" s="382">
        <v>13.6</v>
      </c>
      <c r="FX28" s="383">
        <v>3.6</v>
      </c>
      <c r="FY28" s="141">
        <v>35547816</v>
      </c>
      <c r="FZ28" s="384">
        <f t="shared" si="16"/>
        <v>143.6</v>
      </c>
      <c r="GA28" s="141">
        <v>7717624</v>
      </c>
      <c r="GB28" s="141">
        <v>4856679</v>
      </c>
      <c r="GC28" s="141">
        <v>591400</v>
      </c>
      <c r="GD28" s="141">
        <v>2269545</v>
      </c>
      <c r="GE28" s="107">
        <v>0</v>
      </c>
      <c r="GF28" s="385"/>
      <c r="GG28" s="386"/>
      <c r="GH28" s="380">
        <v>99.5</v>
      </c>
      <c r="GI28" s="380">
        <v>48</v>
      </c>
      <c r="GJ28" s="380">
        <v>98.7</v>
      </c>
      <c r="GK28" s="141">
        <v>588</v>
      </c>
      <c r="GL28" s="391" t="s">
        <v>646</v>
      </c>
      <c r="GM28" s="391">
        <v>12.1</v>
      </c>
      <c r="GN28" s="117">
        <v>20</v>
      </c>
      <c r="GO28" s="391" t="s">
        <v>646</v>
      </c>
      <c r="GP28" s="392">
        <v>17.100000000000001</v>
      </c>
      <c r="GQ28" s="387">
        <v>30</v>
      </c>
      <c r="GR28" s="381">
        <v>3.6</v>
      </c>
      <c r="GS28" s="388">
        <v>25</v>
      </c>
      <c r="GT28" s="388">
        <v>35</v>
      </c>
      <c r="GU28" s="393" t="s">
        <v>646</v>
      </c>
      <c r="GV28" s="388">
        <v>350</v>
      </c>
      <c r="GW28" s="394"/>
      <c r="GX28" s="100">
        <f t="shared" si="17"/>
        <v>24753</v>
      </c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  <c r="HW28" s="394"/>
      <c r="HX28" s="394"/>
    </row>
    <row r="29" spans="2:232" x14ac:dyDescent="0.15">
      <c r="B29" s="89" t="s">
        <v>47</v>
      </c>
      <c r="C29" s="141">
        <v>17588634</v>
      </c>
      <c r="D29" s="73">
        <f t="shared" si="0"/>
        <v>5538864</v>
      </c>
      <c r="E29" s="141">
        <v>195791</v>
      </c>
      <c r="F29" s="141">
        <v>5343073</v>
      </c>
      <c r="G29" s="73">
        <f t="shared" si="1"/>
        <v>1221543</v>
      </c>
      <c r="H29" s="141">
        <v>459730</v>
      </c>
      <c r="I29" s="141">
        <v>761813</v>
      </c>
      <c r="J29" s="141">
        <v>7873939</v>
      </c>
      <c r="K29" s="141">
        <v>3632318</v>
      </c>
      <c r="L29" s="141">
        <v>3179956</v>
      </c>
      <c r="M29" s="141">
        <v>994710</v>
      </c>
      <c r="N29" s="141">
        <v>1155301</v>
      </c>
      <c r="O29" s="141">
        <v>1613809</v>
      </c>
      <c r="P29" s="141">
        <v>916677</v>
      </c>
      <c r="Q29" s="141">
        <v>697132</v>
      </c>
      <c r="R29" s="141">
        <v>188525</v>
      </c>
      <c r="S29" s="74"/>
      <c r="T29" s="73">
        <f t="shared" si="2"/>
        <v>3605586</v>
      </c>
      <c r="U29" s="141">
        <v>15844</v>
      </c>
      <c r="V29" s="141">
        <v>125255</v>
      </c>
      <c r="W29" s="141">
        <v>140789</v>
      </c>
      <c r="X29" s="141">
        <v>2972574</v>
      </c>
      <c r="Y29" s="141">
        <v>0</v>
      </c>
      <c r="Z29" s="141">
        <v>0</v>
      </c>
      <c r="AA29" s="141">
        <v>0</v>
      </c>
      <c r="AB29" s="141">
        <v>36940</v>
      </c>
      <c r="AC29" s="141">
        <v>314184</v>
      </c>
      <c r="AD29" s="141">
        <v>230575</v>
      </c>
      <c r="AE29" s="141">
        <v>8092333</v>
      </c>
      <c r="AF29" s="141">
        <v>7750221</v>
      </c>
      <c r="AG29" s="141">
        <v>342112</v>
      </c>
      <c r="AH29" s="141">
        <v>18566</v>
      </c>
      <c r="AI29" s="141">
        <v>109858</v>
      </c>
      <c r="AJ29" s="73">
        <f t="shared" si="3"/>
        <v>1163960</v>
      </c>
      <c r="AK29" s="141">
        <v>926648</v>
      </c>
      <c r="AL29" s="141">
        <v>237312</v>
      </c>
      <c r="AM29" s="141">
        <v>20696353</v>
      </c>
      <c r="AN29" s="73">
        <f t="shared" si="4"/>
        <v>10978229</v>
      </c>
      <c r="AO29" s="141">
        <v>7447068</v>
      </c>
      <c r="AP29" s="141">
        <v>1240398</v>
      </c>
      <c r="AQ29" s="74"/>
      <c r="AR29" s="141">
        <v>2290763</v>
      </c>
      <c r="AS29" s="141">
        <v>807843</v>
      </c>
      <c r="AT29" s="141">
        <v>0</v>
      </c>
      <c r="AU29" s="141">
        <v>0</v>
      </c>
      <c r="AV29" s="141">
        <v>4696839</v>
      </c>
      <c r="AW29" s="141">
        <v>3019204</v>
      </c>
      <c r="AX29" s="141">
        <v>598312</v>
      </c>
      <c r="AY29" s="141">
        <v>0</v>
      </c>
      <c r="AZ29" s="141">
        <v>1677635</v>
      </c>
      <c r="BA29" s="141">
        <v>191075</v>
      </c>
      <c r="BB29" s="141">
        <v>593164</v>
      </c>
      <c r="BC29" s="141">
        <v>542051</v>
      </c>
      <c r="BD29" s="141">
        <v>988367</v>
      </c>
      <c r="BE29" s="141">
        <v>292210</v>
      </c>
      <c r="BF29" s="141">
        <v>0</v>
      </c>
      <c r="BG29" s="141">
        <v>0</v>
      </c>
      <c r="BH29" s="141">
        <v>292210</v>
      </c>
      <c r="BI29" s="141">
        <v>0</v>
      </c>
      <c r="BJ29" s="141">
        <v>427931</v>
      </c>
      <c r="BK29" s="141">
        <v>350209</v>
      </c>
      <c r="BL29" s="141">
        <v>589348</v>
      </c>
      <c r="BM29" s="141">
        <v>5000</v>
      </c>
      <c r="BN29" s="141">
        <v>0</v>
      </c>
      <c r="BO29" s="141">
        <v>0</v>
      </c>
      <c r="BP29" s="141">
        <v>3847238</v>
      </c>
      <c r="BQ29" s="73">
        <f t="shared" si="5"/>
        <v>1769700</v>
      </c>
      <c r="BR29" s="73">
        <f t="shared" si="6"/>
        <v>2077538</v>
      </c>
      <c r="BS29" s="141">
        <v>0</v>
      </c>
      <c r="BT29" s="141">
        <v>0</v>
      </c>
      <c r="BU29" s="141">
        <v>2077538</v>
      </c>
      <c r="BV29" s="141">
        <v>0</v>
      </c>
      <c r="BW29" s="141">
        <v>63129487</v>
      </c>
      <c r="BX29" s="71"/>
      <c r="BY29" s="141">
        <v>7383113</v>
      </c>
      <c r="BZ29" s="141">
        <v>4973536</v>
      </c>
      <c r="CA29" s="141">
        <v>443347</v>
      </c>
      <c r="CB29" s="141">
        <v>506305</v>
      </c>
      <c r="CC29" s="141">
        <v>22317355</v>
      </c>
      <c r="CD29" s="141">
        <v>4870154</v>
      </c>
      <c r="CE29" s="141">
        <v>61871</v>
      </c>
      <c r="CF29" s="141">
        <v>6870344</v>
      </c>
      <c r="CG29" s="141">
        <v>9812590</v>
      </c>
      <c r="CH29" s="141">
        <v>17808</v>
      </c>
      <c r="CI29" s="141">
        <v>684538</v>
      </c>
      <c r="CJ29" s="141">
        <v>4164864</v>
      </c>
      <c r="CK29" s="141">
        <v>3876200</v>
      </c>
      <c r="CL29" s="83">
        <f t="shared" si="7"/>
        <v>288664</v>
      </c>
      <c r="CM29" s="141">
        <v>8213454</v>
      </c>
      <c r="CN29" s="141">
        <v>6477140</v>
      </c>
      <c r="CO29" s="102"/>
      <c r="CP29" s="141">
        <v>751263</v>
      </c>
      <c r="CQ29" s="141">
        <v>180849</v>
      </c>
      <c r="CR29" s="141">
        <v>7390383</v>
      </c>
      <c r="CS29" s="141">
        <v>1626229</v>
      </c>
      <c r="CT29" s="141">
        <v>2837521</v>
      </c>
      <c r="CU29" s="141">
        <v>645516</v>
      </c>
      <c r="CV29" s="73">
        <f t="shared" si="8"/>
        <v>1718430</v>
      </c>
      <c r="CW29" s="141">
        <v>1550619</v>
      </c>
      <c r="CX29" s="141">
        <v>167811</v>
      </c>
      <c r="CY29" s="73">
        <f t="shared" si="9"/>
        <v>0</v>
      </c>
      <c r="CZ29" s="141">
        <v>0</v>
      </c>
      <c r="DA29" s="141">
        <v>0</v>
      </c>
      <c r="DB29" s="73">
        <f t="shared" si="10"/>
        <v>1700547</v>
      </c>
      <c r="DC29" s="141">
        <v>1534682</v>
      </c>
      <c r="DD29" s="141">
        <v>165865</v>
      </c>
      <c r="DE29" s="141">
        <v>4253693</v>
      </c>
      <c r="DF29" s="141">
        <v>2645421</v>
      </c>
      <c r="DG29" s="141">
        <v>1053145</v>
      </c>
      <c r="DH29" s="141">
        <v>0</v>
      </c>
      <c r="DI29" s="141">
        <v>555127</v>
      </c>
      <c r="DJ29" s="141">
        <v>0</v>
      </c>
      <c r="DK29" s="141">
        <v>2864952</v>
      </c>
      <c r="DL29" s="141">
        <v>547327</v>
      </c>
      <c r="DM29" s="141">
        <v>569764</v>
      </c>
      <c r="DN29" s="141">
        <v>1747861</v>
      </c>
      <c r="DO29" s="141">
        <v>0</v>
      </c>
      <c r="DP29" s="141">
        <v>0</v>
      </c>
      <c r="DQ29" s="141">
        <v>0</v>
      </c>
      <c r="DR29" s="141">
        <v>0</v>
      </c>
      <c r="DS29" s="141">
        <v>5000</v>
      </c>
      <c r="DT29" s="141">
        <v>0</v>
      </c>
      <c r="DU29" s="141">
        <v>0</v>
      </c>
      <c r="DV29" s="141">
        <v>5623963</v>
      </c>
      <c r="DW29" s="141">
        <v>0</v>
      </c>
      <c r="DX29" s="73">
        <f t="shared" si="11"/>
        <v>0</v>
      </c>
      <c r="DY29" s="141">
        <v>0</v>
      </c>
      <c r="DZ29" s="141">
        <v>1882817</v>
      </c>
      <c r="EA29" s="141">
        <v>0</v>
      </c>
      <c r="EB29" s="141">
        <v>1672810</v>
      </c>
      <c r="EC29" s="74">
        <v>0</v>
      </c>
      <c r="ED29" s="141">
        <v>2068336</v>
      </c>
      <c r="EE29" s="141">
        <v>0</v>
      </c>
      <c r="EF29" s="141">
        <v>62397626</v>
      </c>
      <c r="EG29" s="71"/>
      <c r="EH29" s="141">
        <v>731861</v>
      </c>
      <c r="EI29" s="141">
        <v>242766</v>
      </c>
      <c r="EJ29" s="141">
        <v>489095</v>
      </c>
      <c r="EK29" s="141">
        <v>138886</v>
      </c>
      <c r="EL29" s="141">
        <v>686213</v>
      </c>
      <c r="EM29" s="71"/>
      <c r="EN29" s="141">
        <v>119764</v>
      </c>
      <c r="EO29" s="141">
        <v>119161</v>
      </c>
      <c r="EP29" s="141">
        <v>85939</v>
      </c>
      <c r="EQ29" s="141">
        <v>592492</v>
      </c>
      <c r="ER29" s="73">
        <f t="shared" si="12"/>
        <v>2865414</v>
      </c>
      <c r="ES29" s="141">
        <v>29724219</v>
      </c>
      <c r="ET29" s="141">
        <v>-5602817</v>
      </c>
      <c r="EU29" s="141">
        <v>6851792</v>
      </c>
      <c r="EV29" s="141">
        <v>4664146</v>
      </c>
      <c r="EW29" s="141">
        <v>5761599</v>
      </c>
      <c r="EX29" s="141">
        <v>4164864</v>
      </c>
      <c r="EY29" s="73">
        <f t="shared" si="13"/>
        <v>549678</v>
      </c>
      <c r="EZ29" s="141">
        <v>549678</v>
      </c>
      <c r="FA29" s="141">
        <v>139503</v>
      </c>
      <c r="FB29" s="141">
        <v>410175</v>
      </c>
      <c r="FC29" s="141">
        <v>0</v>
      </c>
      <c r="FD29" s="141">
        <v>0</v>
      </c>
      <c r="FE29" s="141">
        <v>5541819</v>
      </c>
      <c r="FF29" s="141">
        <v>4911135</v>
      </c>
      <c r="FG29" s="141">
        <v>1625575</v>
      </c>
      <c r="FH29" s="141">
        <v>4183604</v>
      </c>
      <c r="FI29" s="73">
        <f t="shared" si="14"/>
        <v>2630684</v>
      </c>
      <c r="FJ29" s="141">
        <v>34595175</v>
      </c>
      <c r="FK29" s="379">
        <f t="shared" si="15"/>
        <v>1.7</v>
      </c>
      <c r="FL29" s="141">
        <v>26766857</v>
      </c>
      <c r="FM29" s="141">
        <v>2079291</v>
      </c>
      <c r="FN29" s="141">
        <v>14953545</v>
      </c>
      <c r="FO29" s="141">
        <v>22710966</v>
      </c>
      <c r="FP29" s="390">
        <v>0.68799999999999994</v>
      </c>
      <c r="FQ29" s="380">
        <v>96.8</v>
      </c>
      <c r="FR29" s="381">
        <v>22.2</v>
      </c>
      <c r="FS29" s="380">
        <v>19.100000000000001</v>
      </c>
      <c r="FT29" s="380">
        <v>13.8</v>
      </c>
      <c r="FU29" s="381">
        <v>14.1</v>
      </c>
      <c r="FV29" s="380">
        <v>14.3</v>
      </c>
      <c r="FW29" s="382">
        <v>12.9</v>
      </c>
      <c r="FX29" s="383">
        <v>3.7</v>
      </c>
      <c r="FY29" s="141">
        <v>52126033</v>
      </c>
      <c r="FZ29" s="384">
        <f t="shared" si="16"/>
        <v>180.7</v>
      </c>
      <c r="GA29" s="141">
        <v>8267145</v>
      </c>
      <c r="GB29" s="141">
        <v>2295139</v>
      </c>
      <c r="GC29" s="141">
        <v>781920</v>
      </c>
      <c r="GD29" s="141">
        <v>5190086</v>
      </c>
      <c r="GE29" s="107">
        <v>0</v>
      </c>
      <c r="GF29" s="385"/>
      <c r="GG29" s="386"/>
      <c r="GH29" s="380">
        <v>99.2</v>
      </c>
      <c r="GI29" s="380">
        <v>40.1</v>
      </c>
      <c r="GJ29" s="380">
        <v>97.7</v>
      </c>
      <c r="GK29" s="141">
        <v>733</v>
      </c>
      <c r="GL29" s="391" t="s">
        <v>646</v>
      </c>
      <c r="GM29" s="391">
        <v>11.86</v>
      </c>
      <c r="GN29" s="117">
        <v>20</v>
      </c>
      <c r="GO29" s="391" t="s">
        <v>646</v>
      </c>
      <c r="GP29" s="392">
        <v>16.86</v>
      </c>
      <c r="GQ29" s="387">
        <v>30</v>
      </c>
      <c r="GR29" s="381">
        <v>3.7</v>
      </c>
      <c r="GS29" s="388">
        <v>25</v>
      </c>
      <c r="GT29" s="388">
        <v>35</v>
      </c>
      <c r="GU29" s="393">
        <v>15.2</v>
      </c>
      <c r="GV29" s="388">
        <v>350</v>
      </c>
      <c r="GW29" s="394"/>
      <c r="GX29" s="100">
        <f t="shared" si="17"/>
        <v>28846</v>
      </c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  <c r="HW29" s="394"/>
      <c r="HX29" s="394"/>
    </row>
    <row r="30" spans="2:232" x14ac:dyDescent="0.15">
      <c r="B30" s="89" t="s">
        <v>49</v>
      </c>
      <c r="C30" s="141">
        <v>18095378</v>
      </c>
      <c r="D30" s="73">
        <f t="shared" si="0"/>
        <v>4801531</v>
      </c>
      <c r="E30" s="141">
        <v>151986</v>
      </c>
      <c r="F30" s="141">
        <v>4649545</v>
      </c>
      <c r="G30" s="73">
        <f t="shared" si="1"/>
        <v>1644645</v>
      </c>
      <c r="H30" s="141">
        <v>416168</v>
      </c>
      <c r="I30" s="141">
        <v>1228477</v>
      </c>
      <c r="J30" s="141">
        <v>9078321</v>
      </c>
      <c r="K30" s="141">
        <v>4140285</v>
      </c>
      <c r="L30" s="141">
        <v>2867999</v>
      </c>
      <c r="M30" s="141">
        <v>2009421</v>
      </c>
      <c r="N30" s="141">
        <v>748501</v>
      </c>
      <c r="O30" s="141">
        <v>1678157</v>
      </c>
      <c r="P30" s="141">
        <v>1035237</v>
      </c>
      <c r="Q30" s="141">
        <v>642920</v>
      </c>
      <c r="R30" s="141">
        <v>147881</v>
      </c>
      <c r="S30" s="74"/>
      <c r="T30" s="73">
        <f t="shared" si="2"/>
        <v>2699770</v>
      </c>
      <c r="U30" s="141">
        <v>13101</v>
      </c>
      <c r="V30" s="141">
        <v>103879</v>
      </c>
      <c r="W30" s="141">
        <v>117036</v>
      </c>
      <c r="X30" s="141">
        <v>2087927</v>
      </c>
      <c r="Y30" s="141">
        <v>2217</v>
      </c>
      <c r="Z30" s="141">
        <v>0</v>
      </c>
      <c r="AA30" s="141">
        <v>0</v>
      </c>
      <c r="AB30" s="141">
        <v>29148</v>
      </c>
      <c r="AC30" s="141">
        <v>346462</v>
      </c>
      <c r="AD30" s="141">
        <v>244392</v>
      </c>
      <c r="AE30" s="141">
        <v>1084212</v>
      </c>
      <c r="AF30" s="141">
        <v>867055</v>
      </c>
      <c r="AG30" s="141">
        <v>217157</v>
      </c>
      <c r="AH30" s="141">
        <v>13914</v>
      </c>
      <c r="AI30" s="141">
        <v>461075</v>
      </c>
      <c r="AJ30" s="73">
        <f t="shared" si="3"/>
        <v>474854</v>
      </c>
      <c r="AK30" s="141">
        <v>359733</v>
      </c>
      <c r="AL30" s="141">
        <v>115121</v>
      </c>
      <c r="AM30" s="141">
        <v>10699509</v>
      </c>
      <c r="AN30" s="73">
        <f t="shared" si="4"/>
        <v>4176158</v>
      </c>
      <c r="AO30" s="141">
        <v>2014468</v>
      </c>
      <c r="AP30" s="141">
        <v>1296192</v>
      </c>
      <c r="AQ30" s="74"/>
      <c r="AR30" s="141">
        <v>865498</v>
      </c>
      <c r="AS30" s="141">
        <v>98030</v>
      </c>
      <c r="AT30" s="141">
        <v>0</v>
      </c>
      <c r="AU30" s="141">
        <v>0</v>
      </c>
      <c r="AV30" s="141">
        <v>4618072</v>
      </c>
      <c r="AW30" s="141">
        <v>4003428</v>
      </c>
      <c r="AX30" s="141">
        <v>578787</v>
      </c>
      <c r="AY30" s="141">
        <v>6585</v>
      </c>
      <c r="AZ30" s="141">
        <v>614644</v>
      </c>
      <c r="BA30" s="141">
        <v>5564</v>
      </c>
      <c r="BB30" s="141">
        <v>35634</v>
      </c>
      <c r="BC30" s="141">
        <v>2502</v>
      </c>
      <c r="BD30" s="141">
        <v>21845</v>
      </c>
      <c r="BE30" s="141">
        <v>1524211</v>
      </c>
      <c r="BF30" s="141">
        <v>0</v>
      </c>
      <c r="BG30" s="141">
        <v>1427060</v>
      </c>
      <c r="BH30" s="141">
        <v>10719</v>
      </c>
      <c r="BI30" s="141">
        <v>0</v>
      </c>
      <c r="BJ30" s="141">
        <v>467217</v>
      </c>
      <c r="BK30" s="141">
        <v>318799</v>
      </c>
      <c r="BL30" s="141">
        <v>827320</v>
      </c>
      <c r="BM30" s="141">
        <v>273903</v>
      </c>
      <c r="BN30" s="141">
        <v>0</v>
      </c>
      <c r="BO30" s="141">
        <v>0</v>
      </c>
      <c r="BP30" s="141">
        <v>3986373</v>
      </c>
      <c r="BQ30" s="73">
        <f t="shared" si="5"/>
        <v>2673300</v>
      </c>
      <c r="BR30" s="73">
        <f t="shared" si="6"/>
        <v>1313073</v>
      </c>
      <c r="BS30" s="141">
        <v>0</v>
      </c>
      <c r="BT30" s="141">
        <v>0</v>
      </c>
      <c r="BU30" s="141">
        <v>1313073</v>
      </c>
      <c r="BV30" s="141">
        <v>0</v>
      </c>
      <c r="BW30" s="141">
        <v>45401657</v>
      </c>
      <c r="BX30" s="71"/>
      <c r="BY30" s="141">
        <v>6053679</v>
      </c>
      <c r="BZ30" s="141">
        <v>3602045</v>
      </c>
      <c r="CA30" s="141">
        <v>300490</v>
      </c>
      <c r="CB30" s="141">
        <v>986882</v>
      </c>
      <c r="CC30" s="141">
        <v>13721279</v>
      </c>
      <c r="CD30" s="141">
        <v>3574009</v>
      </c>
      <c r="CE30" s="141">
        <v>49214</v>
      </c>
      <c r="CF30" s="141">
        <v>7036031</v>
      </c>
      <c r="CG30" s="141">
        <v>2751646</v>
      </c>
      <c r="CH30" s="141">
        <v>5938</v>
      </c>
      <c r="CI30" s="141">
        <v>304441</v>
      </c>
      <c r="CJ30" s="141">
        <v>2005239</v>
      </c>
      <c r="CK30" s="141">
        <v>1910694</v>
      </c>
      <c r="CL30" s="83">
        <f t="shared" si="7"/>
        <v>94545</v>
      </c>
      <c r="CM30" s="141">
        <v>5891784</v>
      </c>
      <c r="CN30" s="141">
        <v>4400588</v>
      </c>
      <c r="CO30" s="102"/>
      <c r="CP30" s="141">
        <v>927801</v>
      </c>
      <c r="CQ30" s="141">
        <v>501025</v>
      </c>
      <c r="CR30" s="141">
        <v>4131078</v>
      </c>
      <c r="CS30" s="141">
        <v>7384</v>
      </c>
      <c r="CT30" s="141">
        <v>1160201</v>
      </c>
      <c r="CU30" s="141">
        <v>307191</v>
      </c>
      <c r="CV30" s="73">
        <f t="shared" si="8"/>
        <v>1875053</v>
      </c>
      <c r="CW30" s="141">
        <v>790089</v>
      </c>
      <c r="CX30" s="141">
        <v>1084964</v>
      </c>
      <c r="CY30" s="73">
        <f t="shared" si="9"/>
        <v>0</v>
      </c>
      <c r="CZ30" s="141">
        <v>0</v>
      </c>
      <c r="DA30" s="141">
        <v>0</v>
      </c>
      <c r="DB30" s="73">
        <f t="shared" si="10"/>
        <v>1870660</v>
      </c>
      <c r="DC30" s="141">
        <v>787528</v>
      </c>
      <c r="DD30" s="141">
        <v>1083132</v>
      </c>
      <c r="DE30" s="141">
        <v>6227888</v>
      </c>
      <c r="DF30" s="141">
        <v>3346574</v>
      </c>
      <c r="DG30" s="141">
        <v>2671314</v>
      </c>
      <c r="DH30" s="141">
        <v>210000</v>
      </c>
      <c r="DI30" s="141">
        <v>0</v>
      </c>
      <c r="DJ30" s="141">
        <v>0</v>
      </c>
      <c r="DK30" s="141">
        <v>1478023</v>
      </c>
      <c r="DL30" s="141">
        <v>1452891</v>
      </c>
      <c r="DM30" s="141">
        <v>875</v>
      </c>
      <c r="DN30" s="141">
        <v>24257</v>
      </c>
      <c r="DO30" s="141">
        <v>500</v>
      </c>
      <c r="DP30" s="141">
        <v>0</v>
      </c>
      <c r="DQ30" s="141">
        <v>0</v>
      </c>
      <c r="DR30" s="141">
        <v>0</v>
      </c>
      <c r="DS30" s="141">
        <v>270985</v>
      </c>
      <c r="DT30" s="141">
        <v>0</v>
      </c>
      <c r="DU30" s="141">
        <v>0</v>
      </c>
      <c r="DV30" s="141">
        <v>4468648</v>
      </c>
      <c r="DW30" s="141">
        <v>0</v>
      </c>
      <c r="DX30" s="73">
        <f t="shared" si="11"/>
        <v>0</v>
      </c>
      <c r="DY30" s="141">
        <v>0</v>
      </c>
      <c r="DZ30" s="141">
        <v>1079763</v>
      </c>
      <c r="EA30" s="141">
        <v>23329</v>
      </c>
      <c r="EB30" s="141">
        <v>804279</v>
      </c>
      <c r="EC30" s="74">
        <v>0</v>
      </c>
      <c r="ED30" s="141">
        <v>1134217</v>
      </c>
      <c r="EE30" s="141">
        <v>0</v>
      </c>
      <c r="EF30" s="141">
        <v>44750128</v>
      </c>
      <c r="EG30" s="71"/>
      <c r="EH30" s="141">
        <v>651529</v>
      </c>
      <c r="EI30" s="141">
        <v>117216</v>
      </c>
      <c r="EJ30" s="141">
        <v>534313</v>
      </c>
      <c r="EK30" s="141">
        <v>215514</v>
      </c>
      <c r="EL30" s="141">
        <v>1668405</v>
      </c>
      <c r="EM30" s="71"/>
      <c r="EN30" s="141">
        <v>87456</v>
      </c>
      <c r="EO30" s="141">
        <v>86689</v>
      </c>
      <c r="EP30" s="141">
        <v>1513492</v>
      </c>
      <c r="EQ30" s="141">
        <v>34100</v>
      </c>
      <c r="ER30" s="73">
        <f t="shared" si="12"/>
        <v>1508121</v>
      </c>
      <c r="ES30" s="141">
        <v>22285547</v>
      </c>
      <c r="ET30" s="141">
        <v>-4354872</v>
      </c>
      <c r="EU30" s="141">
        <v>5538508</v>
      </c>
      <c r="EV30" s="141">
        <v>3282324</v>
      </c>
      <c r="EW30" s="141">
        <v>3332996</v>
      </c>
      <c r="EX30" s="141">
        <v>1945743</v>
      </c>
      <c r="EY30" s="73">
        <f t="shared" si="13"/>
        <v>1095445</v>
      </c>
      <c r="EZ30" s="141">
        <v>1095445</v>
      </c>
      <c r="FA30" s="141">
        <v>227528</v>
      </c>
      <c r="FB30" s="141">
        <v>846917</v>
      </c>
      <c r="FC30" s="141">
        <v>0</v>
      </c>
      <c r="FD30" s="141">
        <v>0</v>
      </c>
      <c r="FE30" s="141">
        <v>4445655</v>
      </c>
      <c r="FF30" s="141">
        <v>3894838</v>
      </c>
      <c r="FG30" s="141">
        <v>7384</v>
      </c>
      <c r="FH30" s="141">
        <v>3761958</v>
      </c>
      <c r="FI30" s="73">
        <f t="shared" si="14"/>
        <v>1973747</v>
      </c>
      <c r="FJ30" s="141">
        <v>25988890</v>
      </c>
      <c r="FK30" s="379">
        <f t="shared" si="15"/>
        <v>2.6</v>
      </c>
      <c r="FL30" s="141">
        <v>19313079</v>
      </c>
      <c r="FM30" s="141">
        <v>1313073</v>
      </c>
      <c r="FN30" s="141">
        <v>14336829</v>
      </c>
      <c r="FO30" s="141">
        <v>15203884</v>
      </c>
      <c r="FP30" s="390">
        <v>0.97099999999999997</v>
      </c>
      <c r="FQ30" s="380">
        <v>90.6</v>
      </c>
      <c r="FR30" s="381">
        <v>25.2</v>
      </c>
      <c r="FS30" s="380">
        <v>15.3</v>
      </c>
      <c r="FT30" s="380">
        <v>8.9</v>
      </c>
      <c r="FU30" s="381">
        <v>18.5</v>
      </c>
      <c r="FV30" s="380">
        <v>10.1</v>
      </c>
      <c r="FW30" s="382">
        <v>10.3</v>
      </c>
      <c r="FX30" s="383">
        <v>-1.3</v>
      </c>
      <c r="FY30" s="141">
        <v>19790985</v>
      </c>
      <c r="FZ30" s="384">
        <f t="shared" si="16"/>
        <v>96</v>
      </c>
      <c r="GA30" s="141">
        <v>14434973</v>
      </c>
      <c r="GB30" s="141">
        <v>7522206</v>
      </c>
      <c r="GC30" s="141">
        <v>1636641</v>
      </c>
      <c r="GD30" s="141">
        <v>5276126</v>
      </c>
      <c r="GE30" s="107">
        <v>0</v>
      </c>
      <c r="GF30" s="385">
        <v>0</v>
      </c>
      <c r="GG30" s="384">
        <f>ROUND(GF30/(FL30+FM30)*100,1)</f>
        <v>0</v>
      </c>
      <c r="GH30" s="380">
        <v>99.4</v>
      </c>
      <c r="GI30" s="380">
        <v>74.5</v>
      </c>
      <c r="GJ30" s="380">
        <v>98.4</v>
      </c>
      <c r="GK30" s="141">
        <v>554</v>
      </c>
      <c r="GL30" s="391" t="s">
        <v>646</v>
      </c>
      <c r="GM30" s="391">
        <v>12.44</v>
      </c>
      <c r="GN30" s="117">
        <v>20</v>
      </c>
      <c r="GO30" s="391" t="s">
        <v>646</v>
      </c>
      <c r="GP30" s="392">
        <v>17.440000000000001</v>
      </c>
      <c r="GQ30" s="387">
        <v>30</v>
      </c>
      <c r="GR30" s="381">
        <v>-1.3</v>
      </c>
      <c r="GS30" s="388">
        <v>25</v>
      </c>
      <c r="GT30" s="388">
        <v>35</v>
      </c>
      <c r="GU30" s="393" t="s">
        <v>646</v>
      </c>
      <c r="GV30" s="388">
        <v>350</v>
      </c>
      <c r="GW30" s="394"/>
      <c r="GX30" s="100">
        <f t="shared" si="17"/>
        <v>20626</v>
      </c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  <c r="HW30" s="394"/>
      <c r="HX30" s="394"/>
    </row>
    <row r="31" spans="2:232" x14ac:dyDescent="0.15">
      <c r="B31" s="89" t="s">
        <v>51</v>
      </c>
      <c r="C31" s="141">
        <v>10180294</v>
      </c>
      <c r="D31" s="73">
        <f t="shared" si="0"/>
        <v>3232795</v>
      </c>
      <c r="E31" s="141">
        <v>94301</v>
      </c>
      <c r="F31" s="141">
        <v>3138494</v>
      </c>
      <c r="G31" s="73">
        <f t="shared" si="1"/>
        <v>464022</v>
      </c>
      <c r="H31" s="141">
        <v>163740</v>
      </c>
      <c r="I31" s="141">
        <v>300282</v>
      </c>
      <c r="J31" s="141">
        <v>5119586</v>
      </c>
      <c r="K31" s="141">
        <v>2277181</v>
      </c>
      <c r="L31" s="141">
        <v>1448573</v>
      </c>
      <c r="M31" s="141">
        <v>1332972</v>
      </c>
      <c r="N31" s="141">
        <v>360481</v>
      </c>
      <c r="O31" s="141">
        <v>917979</v>
      </c>
      <c r="P31" s="141">
        <v>589435</v>
      </c>
      <c r="Q31" s="141">
        <v>328544</v>
      </c>
      <c r="R31" s="141">
        <v>136139</v>
      </c>
      <c r="S31" s="74"/>
      <c r="T31" s="73">
        <f t="shared" si="2"/>
        <v>1503450</v>
      </c>
      <c r="U31" s="141">
        <v>9191</v>
      </c>
      <c r="V31" s="141">
        <v>72651</v>
      </c>
      <c r="W31" s="141">
        <v>81650</v>
      </c>
      <c r="X31" s="141">
        <v>1228846</v>
      </c>
      <c r="Y31" s="141">
        <v>0</v>
      </c>
      <c r="Z31" s="141">
        <v>0</v>
      </c>
      <c r="AA31" s="141">
        <v>0</v>
      </c>
      <c r="AB31" s="141">
        <v>18644</v>
      </c>
      <c r="AC31" s="141">
        <v>92468</v>
      </c>
      <c r="AD31" s="141">
        <v>115960</v>
      </c>
      <c r="AE31" s="141">
        <v>2487380</v>
      </c>
      <c r="AF31" s="141">
        <v>2385970</v>
      </c>
      <c r="AG31" s="141">
        <v>101410</v>
      </c>
      <c r="AH31" s="141">
        <v>8015</v>
      </c>
      <c r="AI31" s="141">
        <v>706</v>
      </c>
      <c r="AJ31" s="73">
        <f t="shared" si="3"/>
        <v>250353</v>
      </c>
      <c r="AK31" s="141">
        <v>192237</v>
      </c>
      <c r="AL31" s="141">
        <v>58116</v>
      </c>
      <c r="AM31" s="141">
        <v>7366089</v>
      </c>
      <c r="AN31" s="73">
        <f t="shared" si="4"/>
        <v>2834704</v>
      </c>
      <c r="AO31" s="141">
        <v>1342841</v>
      </c>
      <c r="AP31" s="141">
        <v>874860</v>
      </c>
      <c r="AQ31" s="74"/>
      <c r="AR31" s="141">
        <v>617003</v>
      </c>
      <c r="AS31" s="141">
        <v>81735</v>
      </c>
      <c r="AT31" s="141">
        <v>0</v>
      </c>
      <c r="AU31" s="141">
        <v>0</v>
      </c>
      <c r="AV31" s="141">
        <v>2091064</v>
      </c>
      <c r="AW31" s="141">
        <v>1623989</v>
      </c>
      <c r="AX31" s="141">
        <v>368606</v>
      </c>
      <c r="AY31" s="141">
        <v>839</v>
      </c>
      <c r="AZ31" s="141">
        <v>467075</v>
      </c>
      <c r="BA31" s="141">
        <v>1605</v>
      </c>
      <c r="BB31" s="141">
        <v>239445</v>
      </c>
      <c r="BC31" s="141">
        <v>178373</v>
      </c>
      <c r="BD31" s="141">
        <v>16498</v>
      </c>
      <c r="BE31" s="141">
        <v>314882</v>
      </c>
      <c r="BF31" s="141">
        <v>9036</v>
      </c>
      <c r="BG31" s="141">
        <v>0</v>
      </c>
      <c r="BH31" s="141">
        <v>292666</v>
      </c>
      <c r="BI31" s="141">
        <v>0</v>
      </c>
      <c r="BJ31" s="141">
        <v>344798</v>
      </c>
      <c r="BK31" s="141">
        <v>312843</v>
      </c>
      <c r="BL31" s="141">
        <v>534165</v>
      </c>
      <c r="BM31" s="141">
        <v>15225</v>
      </c>
      <c r="BN31" s="141">
        <v>0</v>
      </c>
      <c r="BO31" s="141">
        <v>0</v>
      </c>
      <c r="BP31" s="141">
        <v>2953100</v>
      </c>
      <c r="BQ31" s="73">
        <f t="shared" si="5"/>
        <v>1650500</v>
      </c>
      <c r="BR31" s="73">
        <f t="shared" si="6"/>
        <v>1302600</v>
      </c>
      <c r="BS31" s="141">
        <v>0</v>
      </c>
      <c r="BT31" s="141">
        <v>0</v>
      </c>
      <c r="BU31" s="141">
        <v>1302600</v>
      </c>
      <c r="BV31" s="141">
        <v>0</v>
      </c>
      <c r="BW31" s="141">
        <v>28542338</v>
      </c>
      <c r="BX31" s="71"/>
      <c r="BY31" s="141">
        <v>3371513</v>
      </c>
      <c r="BZ31" s="141">
        <v>1814995</v>
      </c>
      <c r="CA31" s="141">
        <v>258130</v>
      </c>
      <c r="CB31" s="141">
        <v>610666</v>
      </c>
      <c r="CC31" s="141">
        <v>8384617</v>
      </c>
      <c r="CD31" s="141">
        <v>2519081</v>
      </c>
      <c r="CE31" s="141">
        <v>2173</v>
      </c>
      <c r="CF31" s="141">
        <v>4076709</v>
      </c>
      <c r="CG31" s="141">
        <v>1721401</v>
      </c>
      <c r="CH31" s="141">
        <v>318</v>
      </c>
      <c r="CI31" s="141">
        <v>64885</v>
      </c>
      <c r="CJ31" s="141">
        <v>3198618</v>
      </c>
      <c r="CK31" s="141">
        <v>2963552</v>
      </c>
      <c r="CL31" s="83">
        <f t="shared" si="7"/>
        <v>235066</v>
      </c>
      <c r="CM31" s="141">
        <v>3550772</v>
      </c>
      <c r="CN31" s="141">
        <v>2578388</v>
      </c>
      <c r="CO31" s="102"/>
      <c r="CP31" s="141">
        <v>570000</v>
      </c>
      <c r="CQ31" s="141">
        <v>89849</v>
      </c>
      <c r="CR31" s="141">
        <v>3239372</v>
      </c>
      <c r="CS31" s="141">
        <v>273461</v>
      </c>
      <c r="CT31" s="141">
        <v>31358</v>
      </c>
      <c r="CU31" s="141">
        <v>17056</v>
      </c>
      <c r="CV31" s="73">
        <f t="shared" si="8"/>
        <v>861608</v>
      </c>
      <c r="CW31" s="141">
        <v>701173</v>
      </c>
      <c r="CX31" s="141">
        <v>160435</v>
      </c>
      <c r="CY31" s="73">
        <f t="shared" si="9"/>
        <v>0</v>
      </c>
      <c r="CZ31" s="141">
        <v>0</v>
      </c>
      <c r="DA31" s="141">
        <v>0</v>
      </c>
      <c r="DB31" s="73">
        <f t="shared" si="10"/>
        <v>853000</v>
      </c>
      <c r="DC31" s="141">
        <v>693000</v>
      </c>
      <c r="DD31" s="141">
        <v>160000</v>
      </c>
      <c r="DE31" s="141">
        <v>2878984</v>
      </c>
      <c r="DF31" s="141">
        <v>1075213</v>
      </c>
      <c r="DG31" s="141">
        <v>1334859</v>
      </c>
      <c r="DH31" s="141">
        <v>346776</v>
      </c>
      <c r="DI31" s="141">
        <v>122136</v>
      </c>
      <c r="DJ31" s="141">
        <v>0</v>
      </c>
      <c r="DK31" s="141">
        <v>236211</v>
      </c>
      <c r="DL31" s="141">
        <v>170591</v>
      </c>
      <c r="DM31" s="141">
        <v>0</v>
      </c>
      <c r="DN31" s="141">
        <v>65620</v>
      </c>
      <c r="DO31" s="141">
        <v>35000</v>
      </c>
      <c r="DP31" s="141">
        <v>0</v>
      </c>
      <c r="DQ31" s="141">
        <v>0</v>
      </c>
      <c r="DR31" s="141">
        <v>0</v>
      </c>
      <c r="DS31" s="141">
        <v>2825</v>
      </c>
      <c r="DT31" s="141">
        <v>0</v>
      </c>
      <c r="DU31" s="141">
        <v>0</v>
      </c>
      <c r="DV31" s="141">
        <v>2319001</v>
      </c>
      <c r="DW31" s="141">
        <v>0</v>
      </c>
      <c r="DX31" s="73">
        <f t="shared" si="11"/>
        <v>0</v>
      </c>
      <c r="DY31" s="141">
        <v>0</v>
      </c>
      <c r="DZ31" s="141">
        <v>904666</v>
      </c>
      <c r="EA31" s="141">
        <v>0</v>
      </c>
      <c r="EB31" s="141">
        <v>638228</v>
      </c>
      <c r="EC31" s="74">
        <v>0</v>
      </c>
      <c r="ED31" s="141">
        <v>776101</v>
      </c>
      <c r="EE31" s="141">
        <v>0</v>
      </c>
      <c r="EF31" s="141">
        <v>27306762</v>
      </c>
      <c r="EG31" s="71"/>
      <c r="EH31" s="141">
        <v>1235576</v>
      </c>
      <c r="EI31" s="141">
        <v>49975</v>
      </c>
      <c r="EJ31" s="141">
        <v>1185601</v>
      </c>
      <c r="EK31" s="141">
        <v>872758</v>
      </c>
      <c r="EL31" s="141">
        <v>1034313</v>
      </c>
      <c r="EM31" s="71"/>
      <c r="EN31" s="141">
        <v>55635</v>
      </c>
      <c r="EO31" s="141">
        <v>57226</v>
      </c>
      <c r="EP31" s="141">
        <v>141108</v>
      </c>
      <c r="EQ31" s="141">
        <v>234891</v>
      </c>
      <c r="ER31" s="73">
        <f t="shared" si="12"/>
        <v>968298</v>
      </c>
      <c r="ES31" s="141">
        <v>14431238</v>
      </c>
      <c r="ET31" s="141">
        <v>-2638882</v>
      </c>
      <c r="EU31" s="141">
        <v>2877614</v>
      </c>
      <c r="EV31" s="141">
        <v>1603771</v>
      </c>
      <c r="EW31" s="141">
        <v>1886067</v>
      </c>
      <c r="EX31" s="141">
        <v>3177872</v>
      </c>
      <c r="EY31" s="73">
        <f t="shared" si="13"/>
        <v>603937</v>
      </c>
      <c r="EZ31" s="141">
        <v>603937</v>
      </c>
      <c r="FA31" s="141">
        <v>198829</v>
      </c>
      <c r="FB31" s="141">
        <v>365757</v>
      </c>
      <c r="FC31" s="141">
        <v>0</v>
      </c>
      <c r="FD31" s="141">
        <v>0</v>
      </c>
      <c r="FE31" s="141">
        <v>2336007</v>
      </c>
      <c r="FF31" s="141">
        <v>2868744</v>
      </c>
      <c r="FG31" s="141">
        <v>251510</v>
      </c>
      <c r="FH31" s="141">
        <v>1791709</v>
      </c>
      <c r="FI31" s="73">
        <f t="shared" si="14"/>
        <v>292594</v>
      </c>
      <c r="FJ31" s="141">
        <v>15834544</v>
      </c>
      <c r="FK31" s="379">
        <f t="shared" si="15"/>
        <v>8.3000000000000007</v>
      </c>
      <c r="FL31" s="141">
        <v>13042726</v>
      </c>
      <c r="FM31" s="141">
        <v>1302716</v>
      </c>
      <c r="FN31" s="141">
        <v>8290139</v>
      </c>
      <c r="FO31" s="141">
        <v>10647938</v>
      </c>
      <c r="FP31" s="390">
        <v>0.81</v>
      </c>
      <c r="FQ31" s="380">
        <v>90.8</v>
      </c>
      <c r="FR31" s="381">
        <v>18</v>
      </c>
      <c r="FS31" s="380">
        <v>12.5</v>
      </c>
      <c r="FT31" s="380">
        <v>21.4</v>
      </c>
      <c r="FU31" s="381">
        <v>14</v>
      </c>
      <c r="FV31" s="380">
        <v>13.4</v>
      </c>
      <c r="FW31" s="382">
        <v>11.2</v>
      </c>
      <c r="FX31" s="383">
        <v>13.1</v>
      </c>
      <c r="FY31" s="141">
        <v>35358001</v>
      </c>
      <c r="FZ31" s="384">
        <f t="shared" si="16"/>
        <v>246.5</v>
      </c>
      <c r="GA31" s="141">
        <v>4138954</v>
      </c>
      <c r="GB31" s="141">
        <v>2310404</v>
      </c>
      <c r="GC31" s="141">
        <v>0</v>
      </c>
      <c r="GD31" s="141">
        <v>1828550</v>
      </c>
      <c r="GE31" s="107">
        <v>0</v>
      </c>
      <c r="GF31" s="385"/>
      <c r="GG31" s="384">
        <f>ROUND(GF31/(FL31+FM31)*100,1)</f>
        <v>0</v>
      </c>
      <c r="GH31" s="380">
        <v>99.4</v>
      </c>
      <c r="GI31" s="380">
        <v>43.3</v>
      </c>
      <c r="GJ31" s="380">
        <v>98.1</v>
      </c>
      <c r="GK31" s="141">
        <v>292</v>
      </c>
      <c r="GL31" s="391" t="s">
        <v>646</v>
      </c>
      <c r="GM31" s="391">
        <v>12.83</v>
      </c>
      <c r="GN31" s="117">
        <v>20</v>
      </c>
      <c r="GO31" s="391" t="s">
        <v>646</v>
      </c>
      <c r="GP31" s="392">
        <v>17.829999999999998</v>
      </c>
      <c r="GQ31" s="387">
        <v>30</v>
      </c>
      <c r="GR31" s="381">
        <v>13.1</v>
      </c>
      <c r="GS31" s="388">
        <v>25</v>
      </c>
      <c r="GT31" s="388">
        <v>35</v>
      </c>
      <c r="GU31" s="393">
        <v>107.2</v>
      </c>
      <c r="GV31" s="388">
        <v>350</v>
      </c>
      <c r="GW31" s="394"/>
      <c r="GX31" s="100">
        <f t="shared" si="17"/>
        <v>14345</v>
      </c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  <c r="HW31" s="394"/>
      <c r="HX31" s="394"/>
    </row>
    <row r="32" spans="2:232" x14ac:dyDescent="0.15">
      <c r="B32" s="89" t="s">
        <v>53</v>
      </c>
      <c r="C32" s="141">
        <v>8299677</v>
      </c>
      <c r="D32" s="73">
        <f t="shared" si="0"/>
        <v>3459469</v>
      </c>
      <c r="E32" s="141">
        <v>105594</v>
      </c>
      <c r="F32" s="141">
        <v>3353875</v>
      </c>
      <c r="G32" s="73">
        <f t="shared" si="1"/>
        <v>428617</v>
      </c>
      <c r="H32" s="141">
        <v>147522</v>
      </c>
      <c r="I32" s="141">
        <v>281095</v>
      </c>
      <c r="J32" s="141">
        <v>3185921</v>
      </c>
      <c r="K32" s="141">
        <v>1253341</v>
      </c>
      <c r="L32" s="141">
        <v>1513264</v>
      </c>
      <c r="M32" s="141">
        <v>386255</v>
      </c>
      <c r="N32" s="141">
        <v>404763</v>
      </c>
      <c r="O32" s="141">
        <v>711547</v>
      </c>
      <c r="P32" s="141">
        <v>378702</v>
      </c>
      <c r="Q32" s="141">
        <v>332845</v>
      </c>
      <c r="R32" s="141">
        <v>109525</v>
      </c>
      <c r="S32" s="74"/>
      <c r="T32" s="73">
        <f t="shared" si="2"/>
        <v>1697305</v>
      </c>
      <c r="U32" s="141">
        <v>10017</v>
      </c>
      <c r="V32" s="141">
        <v>79220</v>
      </c>
      <c r="W32" s="141">
        <v>89071</v>
      </c>
      <c r="X32" s="141">
        <v>1411583</v>
      </c>
      <c r="Y32" s="141">
        <v>0</v>
      </c>
      <c r="Z32" s="141">
        <v>0</v>
      </c>
      <c r="AA32" s="141">
        <v>0</v>
      </c>
      <c r="AB32" s="141">
        <v>21548</v>
      </c>
      <c r="AC32" s="141">
        <v>85866</v>
      </c>
      <c r="AD32" s="141">
        <v>145648</v>
      </c>
      <c r="AE32" s="141">
        <v>5090008</v>
      </c>
      <c r="AF32" s="141">
        <v>4922874</v>
      </c>
      <c r="AG32" s="141">
        <v>167134</v>
      </c>
      <c r="AH32" s="141">
        <v>8975</v>
      </c>
      <c r="AI32" s="141">
        <v>106866</v>
      </c>
      <c r="AJ32" s="73">
        <f t="shared" si="3"/>
        <v>304851</v>
      </c>
      <c r="AK32" s="141">
        <v>265600</v>
      </c>
      <c r="AL32" s="141">
        <v>39251</v>
      </c>
      <c r="AM32" s="141">
        <v>7419314</v>
      </c>
      <c r="AN32" s="73">
        <f t="shared" si="4"/>
        <v>3010217</v>
      </c>
      <c r="AO32" s="141">
        <v>1754775</v>
      </c>
      <c r="AP32" s="141">
        <v>482499</v>
      </c>
      <c r="AQ32" s="74"/>
      <c r="AR32" s="141">
        <v>772943</v>
      </c>
      <c r="AS32" s="141">
        <v>69273</v>
      </c>
      <c r="AT32" s="141">
        <v>0</v>
      </c>
      <c r="AU32" s="141">
        <v>0</v>
      </c>
      <c r="AV32" s="141">
        <v>1783274</v>
      </c>
      <c r="AW32" s="141">
        <v>1059871</v>
      </c>
      <c r="AX32" s="141">
        <v>295582</v>
      </c>
      <c r="AY32" s="141">
        <v>280</v>
      </c>
      <c r="AZ32" s="141">
        <v>723403</v>
      </c>
      <c r="BA32" s="141">
        <v>0</v>
      </c>
      <c r="BB32" s="141">
        <v>19271</v>
      </c>
      <c r="BC32" s="141">
        <v>972</v>
      </c>
      <c r="BD32" s="141">
        <v>66656</v>
      </c>
      <c r="BE32" s="141">
        <v>50418</v>
      </c>
      <c r="BF32" s="141">
        <v>0</v>
      </c>
      <c r="BG32" s="141">
        <v>0</v>
      </c>
      <c r="BH32" s="141">
        <v>47564</v>
      </c>
      <c r="BI32" s="141">
        <v>0</v>
      </c>
      <c r="BJ32" s="141">
        <v>79488</v>
      </c>
      <c r="BK32" s="141">
        <v>21919</v>
      </c>
      <c r="BL32" s="141">
        <v>157724</v>
      </c>
      <c r="BM32" s="141">
        <v>0</v>
      </c>
      <c r="BN32" s="141">
        <v>0</v>
      </c>
      <c r="BO32" s="141">
        <v>0</v>
      </c>
      <c r="BP32" s="141">
        <v>1097000</v>
      </c>
      <c r="BQ32" s="73">
        <f t="shared" si="5"/>
        <v>139600</v>
      </c>
      <c r="BR32" s="73">
        <f t="shared" si="6"/>
        <v>957400</v>
      </c>
      <c r="BS32" s="141">
        <v>0</v>
      </c>
      <c r="BT32" s="141">
        <v>0</v>
      </c>
      <c r="BU32" s="141">
        <v>957400</v>
      </c>
      <c r="BV32" s="141">
        <v>0</v>
      </c>
      <c r="BW32" s="141">
        <v>26436000</v>
      </c>
      <c r="BX32" s="71"/>
      <c r="BY32" s="141">
        <v>4500959</v>
      </c>
      <c r="BZ32" s="141">
        <v>2642991</v>
      </c>
      <c r="CA32" s="141">
        <v>177175</v>
      </c>
      <c r="CB32" s="141">
        <v>821977</v>
      </c>
      <c r="CC32" s="141">
        <v>8716772</v>
      </c>
      <c r="CD32" s="141">
        <v>2613658</v>
      </c>
      <c r="CE32" s="141">
        <v>6766</v>
      </c>
      <c r="CF32" s="141">
        <v>3890986</v>
      </c>
      <c r="CG32" s="141">
        <v>2129954</v>
      </c>
      <c r="CH32" s="141">
        <v>7177</v>
      </c>
      <c r="CI32" s="141">
        <v>68231</v>
      </c>
      <c r="CJ32" s="141">
        <v>1685729</v>
      </c>
      <c r="CK32" s="141">
        <v>1597963</v>
      </c>
      <c r="CL32" s="83">
        <f t="shared" si="7"/>
        <v>87766</v>
      </c>
      <c r="CM32" s="141">
        <v>3013820</v>
      </c>
      <c r="CN32" s="141">
        <v>2079015</v>
      </c>
      <c r="CO32" s="102"/>
      <c r="CP32" s="141">
        <v>300801</v>
      </c>
      <c r="CQ32" s="141">
        <v>87088</v>
      </c>
      <c r="CR32" s="141">
        <v>4203342</v>
      </c>
      <c r="CS32" s="141">
        <v>1730293</v>
      </c>
      <c r="CT32" s="141">
        <v>536408</v>
      </c>
      <c r="CU32" s="141">
        <v>477551</v>
      </c>
      <c r="CV32" s="73">
        <f t="shared" si="8"/>
        <v>1340655</v>
      </c>
      <c r="CW32" s="141">
        <v>304728</v>
      </c>
      <c r="CX32" s="141">
        <v>1035927</v>
      </c>
      <c r="CY32" s="73">
        <f t="shared" si="9"/>
        <v>143527</v>
      </c>
      <c r="CZ32" s="141">
        <v>67438</v>
      </c>
      <c r="DA32" s="141">
        <v>76089</v>
      </c>
      <c r="DB32" s="73">
        <f t="shared" si="10"/>
        <v>1197128</v>
      </c>
      <c r="DC32" s="141">
        <v>237290</v>
      </c>
      <c r="DD32" s="141">
        <v>959838</v>
      </c>
      <c r="DE32" s="141">
        <v>328266</v>
      </c>
      <c r="DF32" s="141">
        <v>169306</v>
      </c>
      <c r="DG32" s="141">
        <v>158960</v>
      </c>
      <c r="DH32" s="141">
        <v>0</v>
      </c>
      <c r="DI32" s="141">
        <v>0</v>
      </c>
      <c r="DJ32" s="141">
        <v>0</v>
      </c>
      <c r="DK32" s="141">
        <v>749669</v>
      </c>
      <c r="DL32" s="141">
        <v>857</v>
      </c>
      <c r="DM32" s="141">
        <v>512375</v>
      </c>
      <c r="DN32" s="141">
        <v>236437</v>
      </c>
      <c r="DO32" s="141">
        <v>0</v>
      </c>
      <c r="DP32" s="141">
        <v>0</v>
      </c>
      <c r="DQ32" s="141">
        <v>0</v>
      </c>
      <c r="DR32" s="141">
        <v>0</v>
      </c>
      <c r="DS32" s="141">
        <v>0</v>
      </c>
      <c r="DT32" s="141">
        <v>0</v>
      </c>
      <c r="DU32" s="141">
        <v>0</v>
      </c>
      <c r="DV32" s="141">
        <v>2720691</v>
      </c>
      <c r="DW32" s="141">
        <v>0</v>
      </c>
      <c r="DX32" s="73">
        <f t="shared" si="11"/>
        <v>0</v>
      </c>
      <c r="DY32" s="141">
        <v>0</v>
      </c>
      <c r="DZ32" s="141">
        <v>936096</v>
      </c>
      <c r="EA32" s="141">
        <v>0</v>
      </c>
      <c r="EB32" s="141">
        <v>787331</v>
      </c>
      <c r="EC32" s="74">
        <v>0</v>
      </c>
      <c r="ED32" s="141">
        <v>997263</v>
      </c>
      <c r="EE32" s="141">
        <v>0</v>
      </c>
      <c r="EF32" s="141">
        <v>26006336</v>
      </c>
      <c r="EG32" s="71"/>
      <c r="EH32" s="141">
        <v>429664</v>
      </c>
      <c r="EI32" s="141">
        <v>12525</v>
      </c>
      <c r="EJ32" s="141">
        <v>417139</v>
      </c>
      <c r="EK32" s="141">
        <v>355220</v>
      </c>
      <c r="EL32" s="141">
        <v>356077</v>
      </c>
      <c r="EM32" s="71"/>
      <c r="EN32" s="141">
        <v>63688</v>
      </c>
      <c r="EO32" s="141">
        <v>63532</v>
      </c>
      <c r="EP32" s="141">
        <v>2854</v>
      </c>
      <c r="EQ32" s="141">
        <v>17882</v>
      </c>
      <c r="ER32" s="73">
        <f t="shared" si="12"/>
        <v>989063</v>
      </c>
      <c r="ES32" s="141">
        <v>15351138</v>
      </c>
      <c r="ET32" s="141">
        <v>-1958224</v>
      </c>
      <c r="EU32" s="141">
        <v>4047260</v>
      </c>
      <c r="EV32" s="141">
        <v>2431535</v>
      </c>
      <c r="EW32" s="141">
        <v>2106020</v>
      </c>
      <c r="EX32" s="141">
        <v>1627089</v>
      </c>
      <c r="EY32" s="73">
        <f t="shared" si="13"/>
        <v>97732</v>
      </c>
      <c r="EZ32" s="141">
        <v>97732</v>
      </c>
      <c r="FA32" s="141">
        <v>1541</v>
      </c>
      <c r="FB32" s="141">
        <v>96191</v>
      </c>
      <c r="FC32" s="141">
        <v>0</v>
      </c>
      <c r="FD32" s="141">
        <v>0</v>
      </c>
      <c r="FE32" s="141">
        <v>2155505</v>
      </c>
      <c r="FF32" s="141">
        <v>3942595</v>
      </c>
      <c r="FG32" s="141">
        <v>1730128</v>
      </c>
      <c r="FH32" s="141">
        <v>2131941</v>
      </c>
      <c r="FI32" s="73">
        <f t="shared" si="14"/>
        <v>771556</v>
      </c>
      <c r="FJ32" s="141">
        <v>16879698</v>
      </c>
      <c r="FK32" s="379">
        <f t="shared" si="15"/>
        <v>2.8</v>
      </c>
      <c r="FL32" s="141">
        <v>14023515</v>
      </c>
      <c r="FM32" s="141">
        <v>957496</v>
      </c>
      <c r="FN32" s="141">
        <v>7157068</v>
      </c>
      <c r="FO32" s="141">
        <v>12074688</v>
      </c>
      <c r="FP32" s="390">
        <v>0.61599999999999999</v>
      </c>
      <c r="FQ32" s="380">
        <v>94.1</v>
      </c>
      <c r="FR32" s="381">
        <v>24.8</v>
      </c>
      <c r="FS32" s="380">
        <v>13.5</v>
      </c>
      <c r="FT32" s="380">
        <v>10.5</v>
      </c>
      <c r="FU32" s="381">
        <v>12.6</v>
      </c>
      <c r="FV32" s="380">
        <v>19.3</v>
      </c>
      <c r="FW32" s="382">
        <v>12.7</v>
      </c>
      <c r="FX32" s="383">
        <v>1.9</v>
      </c>
      <c r="FY32" s="141">
        <v>18735553</v>
      </c>
      <c r="FZ32" s="384">
        <f t="shared" si="16"/>
        <v>125.1</v>
      </c>
      <c r="GA32" s="141">
        <v>2774196</v>
      </c>
      <c r="GB32" s="141">
        <v>1544947</v>
      </c>
      <c r="GC32" s="141">
        <v>684229</v>
      </c>
      <c r="GD32" s="141">
        <v>545020</v>
      </c>
      <c r="GE32" s="107">
        <v>0</v>
      </c>
      <c r="GF32" s="385"/>
      <c r="GG32" s="386"/>
      <c r="GH32" s="380">
        <v>99.5</v>
      </c>
      <c r="GI32" s="380">
        <v>71.2</v>
      </c>
      <c r="GJ32" s="380">
        <v>99.1</v>
      </c>
      <c r="GK32" s="141">
        <v>470</v>
      </c>
      <c r="GL32" s="391" t="s">
        <v>646</v>
      </c>
      <c r="GM32" s="391">
        <v>12.78</v>
      </c>
      <c r="GN32" s="117">
        <v>20</v>
      </c>
      <c r="GO32" s="391" t="s">
        <v>646</v>
      </c>
      <c r="GP32" s="392">
        <v>17.78</v>
      </c>
      <c r="GQ32" s="387">
        <v>30</v>
      </c>
      <c r="GR32" s="381">
        <v>1.9</v>
      </c>
      <c r="GS32" s="388">
        <v>25</v>
      </c>
      <c r="GT32" s="388">
        <v>35</v>
      </c>
      <c r="GU32" s="393">
        <v>54.9</v>
      </c>
      <c r="GV32" s="388">
        <v>350</v>
      </c>
      <c r="GW32" s="394"/>
      <c r="GX32" s="100">
        <f t="shared" si="17"/>
        <v>14981</v>
      </c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  <c r="HW32" s="394"/>
      <c r="HX32" s="394"/>
    </row>
    <row r="33" spans="1:232" x14ac:dyDescent="0.15">
      <c r="B33" s="89" t="s">
        <v>55</v>
      </c>
      <c r="C33" s="141">
        <v>77467415</v>
      </c>
      <c r="D33" s="73">
        <f t="shared" si="0"/>
        <v>25332283</v>
      </c>
      <c r="E33" s="141">
        <v>798787</v>
      </c>
      <c r="F33" s="141">
        <v>24533496</v>
      </c>
      <c r="G33" s="73">
        <f t="shared" si="1"/>
        <v>5706229</v>
      </c>
      <c r="H33" s="141">
        <v>1562755</v>
      </c>
      <c r="I33" s="141">
        <v>4143474</v>
      </c>
      <c r="J33" s="141">
        <v>32115667</v>
      </c>
      <c r="K33" s="141">
        <v>15275377</v>
      </c>
      <c r="L33" s="141">
        <v>12708367</v>
      </c>
      <c r="M33" s="141">
        <v>3793210</v>
      </c>
      <c r="N33" s="141">
        <v>4429839</v>
      </c>
      <c r="O33" s="141">
        <v>6812982</v>
      </c>
      <c r="P33" s="141">
        <v>4020609</v>
      </c>
      <c r="Q33" s="141">
        <v>2792373</v>
      </c>
      <c r="R33" s="141">
        <v>823047</v>
      </c>
      <c r="S33" s="74"/>
      <c r="T33" s="73">
        <f t="shared" si="2"/>
        <v>14041303</v>
      </c>
      <c r="U33" s="141">
        <v>71987</v>
      </c>
      <c r="V33" s="141">
        <v>570543</v>
      </c>
      <c r="W33" s="141">
        <v>642622</v>
      </c>
      <c r="X33" s="141">
        <v>11555086</v>
      </c>
      <c r="Y33" s="141">
        <v>0</v>
      </c>
      <c r="Z33" s="141">
        <v>0</v>
      </c>
      <c r="AA33" s="141">
        <v>0</v>
      </c>
      <c r="AB33" s="141">
        <v>161579</v>
      </c>
      <c r="AC33" s="141">
        <v>1039486</v>
      </c>
      <c r="AD33" s="141">
        <v>1327645</v>
      </c>
      <c r="AE33" s="141">
        <v>25252571</v>
      </c>
      <c r="AF33" s="141">
        <v>24549343</v>
      </c>
      <c r="AG33" s="141">
        <v>703228</v>
      </c>
      <c r="AH33" s="141">
        <v>72678</v>
      </c>
      <c r="AI33" s="141">
        <v>1709541</v>
      </c>
      <c r="AJ33" s="73">
        <f t="shared" si="3"/>
        <v>2024620</v>
      </c>
      <c r="AK33" s="141">
        <v>1667768</v>
      </c>
      <c r="AL33" s="141">
        <v>356852</v>
      </c>
      <c r="AM33" s="141">
        <v>72710281</v>
      </c>
      <c r="AN33" s="73">
        <f t="shared" si="4"/>
        <v>32865711</v>
      </c>
      <c r="AO33" s="141">
        <v>22674820</v>
      </c>
      <c r="AP33" s="141">
        <v>2683710</v>
      </c>
      <c r="AQ33" s="74"/>
      <c r="AR33" s="141">
        <v>7507181</v>
      </c>
      <c r="AS33" s="141">
        <v>998978</v>
      </c>
      <c r="AT33" s="141">
        <v>0</v>
      </c>
      <c r="AU33" s="141">
        <v>0</v>
      </c>
      <c r="AV33" s="141">
        <v>15741761</v>
      </c>
      <c r="AW33" s="141">
        <v>10334275</v>
      </c>
      <c r="AX33" s="141">
        <v>2928239</v>
      </c>
      <c r="AY33" s="141">
        <v>256574</v>
      </c>
      <c r="AZ33" s="141">
        <v>5407486</v>
      </c>
      <c r="BA33" s="141">
        <v>18602</v>
      </c>
      <c r="BB33" s="141">
        <v>864335</v>
      </c>
      <c r="BC33" s="141">
        <v>535528</v>
      </c>
      <c r="BD33" s="141">
        <v>788291</v>
      </c>
      <c r="BE33" s="141">
        <v>3350967</v>
      </c>
      <c r="BF33" s="141">
        <v>3000000</v>
      </c>
      <c r="BG33" s="141">
        <v>0</v>
      </c>
      <c r="BH33" s="141">
        <v>187474</v>
      </c>
      <c r="BI33" s="141">
        <v>0</v>
      </c>
      <c r="BJ33" s="141">
        <v>3576592</v>
      </c>
      <c r="BK33" s="141">
        <v>3193388</v>
      </c>
      <c r="BL33" s="141">
        <v>2479279</v>
      </c>
      <c r="BM33" s="141">
        <v>1013410</v>
      </c>
      <c r="BN33" s="141">
        <v>0</v>
      </c>
      <c r="BO33" s="141">
        <v>400923</v>
      </c>
      <c r="BP33" s="141">
        <v>10951900</v>
      </c>
      <c r="BQ33" s="73">
        <f t="shared" si="5"/>
        <v>3561000</v>
      </c>
      <c r="BR33" s="73">
        <f t="shared" si="6"/>
        <v>7390900</v>
      </c>
      <c r="BS33" s="141">
        <v>0</v>
      </c>
      <c r="BT33" s="141">
        <v>0</v>
      </c>
      <c r="BU33" s="141">
        <v>7390900</v>
      </c>
      <c r="BV33" s="141">
        <v>0</v>
      </c>
      <c r="BW33" s="141">
        <v>233182226</v>
      </c>
      <c r="BX33" s="71"/>
      <c r="BY33" s="141">
        <v>28405519</v>
      </c>
      <c r="BZ33" s="141">
        <v>19157097</v>
      </c>
      <c r="CA33" s="141">
        <v>2158534</v>
      </c>
      <c r="CB33" s="141">
        <v>2210118</v>
      </c>
      <c r="CC33" s="141">
        <v>88805558</v>
      </c>
      <c r="CD33" s="141">
        <v>23604135</v>
      </c>
      <c r="CE33" s="141">
        <v>391198</v>
      </c>
      <c r="CF33" s="141">
        <v>30188262</v>
      </c>
      <c r="CG33" s="141">
        <v>30233095</v>
      </c>
      <c r="CH33" s="141">
        <v>1843180</v>
      </c>
      <c r="CI33" s="141">
        <v>2545658</v>
      </c>
      <c r="CJ33" s="141">
        <v>19872156</v>
      </c>
      <c r="CK33" s="141">
        <v>19313181</v>
      </c>
      <c r="CL33" s="83">
        <f t="shared" si="7"/>
        <v>558975</v>
      </c>
      <c r="CM33" s="141">
        <v>26104230</v>
      </c>
      <c r="CN33" s="141">
        <v>20789234</v>
      </c>
      <c r="CO33" s="102"/>
      <c r="CP33" s="141">
        <v>2481835</v>
      </c>
      <c r="CQ33" s="141">
        <v>1561498</v>
      </c>
      <c r="CR33" s="141">
        <v>22650583</v>
      </c>
      <c r="CS33" s="141">
        <v>2326502</v>
      </c>
      <c r="CT33" s="141">
        <v>6334342</v>
      </c>
      <c r="CU33" s="141">
        <v>5673736</v>
      </c>
      <c r="CV33" s="73">
        <f t="shared" si="8"/>
        <v>7484629</v>
      </c>
      <c r="CW33" s="141">
        <v>7019875</v>
      </c>
      <c r="CX33" s="141">
        <v>464754</v>
      </c>
      <c r="CY33" s="73">
        <f t="shared" si="9"/>
        <v>0</v>
      </c>
      <c r="CZ33" s="141">
        <v>0</v>
      </c>
      <c r="DA33" s="141">
        <v>0</v>
      </c>
      <c r="DB33" s="73">
        <f t="shared" si="10"/>
        <v>7205185</v>
      </c>
      <c r="DC33" s="141">
        <v>6962481</v>
      </c>
      <c r="DD33" s="141">
        <v>242704</v>
      </c>
      <c r="DE33" s="141">
        <v>10497754</v>
      </c>
      <c r="DF33" s="141">
        <v>3905990</v>
      </c>
      <c r="DG33" s="141">
        <v>6075166</v>
      </c>
      <c r="DH33" s="141">
        <v>102110</v>
      </c>
      <c r="DI33" s="141">
        <v>414488</v>
      </c>
      <c r="DJ33" s="141">
        <v>8595</v>
      </c>
      <c r="DK33" s="141">
        <v>8134019</v>
      </c>
      <c r="DL33" s="141">
        <v>4095700</v>
      </c>
      <c r="DM33" s="141">
        <v>555500</v>
      </c>
      <c r="DN33" s="141">
        <v>3482819</v>
      </c>
      <c r="DO33" s="141">
        <v>1435515</v>
      </c>
      <c r="DP33" s="141">
        <v>1435515</v>
      </c>
      <c r="DQ33" s="141">
        <v>0</v>
      </c>
      <c r="DR33" s="141">
        <v>0</v>
      </c>
      <c r="DS33" s="141">
        <v>805711</v>
      </c>
      <c r="DT33" s="141">
        <v>0</v>
      </c>
      <c r="DU33" s="141">
        <v>0</v>
      </c>
      <c r="DV33" s="141">
        <v>21354298</v>
      </c>
      <c r="DW33" s="141">
        <v>0</v>
      </c>
      <c r="DX33" s="73">
        <f t="shared" si="11"/>
        <v>0</v>
      </c>
      <c r="DY33" s="141">
        <v>0</v>
      </c>
      <c r="DZ33" s="141">
        <v>6993656</v>
      </c>
      <c r="EA33" s="141">
        <v>0</v>
      </c>
      <c r="EB33" s="141">
        <v>6336611</v>
      </c>
      <c r="EC33" s="74">
        <v>0</v>
      </c>
      <c r="ED33" s="141">
        <v>8024028</v>
      </c>
      <c r="EE33" s="141">
        <v>0</v>
      </c>
      <c r="EF33" s="141">
        <v>229635436</v>
      </c>
      <c r="EG33" s="71"/>
      <c r="EH33" s="141">
        <v>3546790</v>
      </c>
      <c r="EI33" s="141">
        <v>254745</v>
      </c>
      <c r="EJ33" s="141">
        <v>3292045</v>
      </c>
      <c r="EK33" s="141">
        <v>98657</v>
      </c>
      <c r="EL33" s="141">
        <v>1194379</v>
      </c>
      <c r="EM33" s="71"/>
      <c r="EN33" s="141">
        <v>493940</v>
      </c>
      <c r="EO33" s="141">
        <v>482133</v>
      </c>
      <c r="EP33" s="141">
        <v>3100134</v>
      </c>
      <c r="EQ33" s="141">
        <v>584824</v>
      </c>
      <c r="ER33" s="73">
        <f t="shared" si="12"/>
        <v>10347439</v>
      </c>
      <c r="ES33" s="141">
        <v>118984659</v>
      </c>
      <c r="ET33" s="141">
        <v>-21350619</v>
      </c>
      <c r="EU33" s="141">
        <v>26880324</v>
      </c>
      <c r="EV33" s="141">
        <v>17939654</v>
      </c>
      <c r="EW33" s="141">
        <v>21277464</v>
      </c>
      <c r="EX33" s="141">
        <v>19872134</v>
      </c>
      <c r="EY33" s="73">
        <f t="shared" si="13"/>
        <v>4156179</v>
      </c>
      <c r="EZ33" s="141">
        <v>4156179</v>
      </c>
      <c r="FA33" s="141">
        <v>149238</v>
      </c>
      <c r="FB33" s="141">
        <v>3996531</v>
      </c>
      <c r="FC33" s="141">
        <v>0</v>
      </c>
      <c r="FD33" s="141">
        <v>0</v>
      </c>
      <c r="FE33" s="141">
        <v>17284073</v>
      </c>
      <c r="FF33" s="141">
        <v>20971424</v>
      </c>
      <c r="FG33" s="141">
        <v>2326502</v>
      </c>
      <c r="FH33" s="141">
        <v>16332098</v>
      </c>
      <c r="FI33" s="73">
        <f t="shared" si="14"/>
        <v>10014792</v>
      </c>
      <c r="FJ33" s="141">
        <v>136788488</v>
      </c>
      <c r="FK33" s="379">
        <f t="shared" si="15"/>
        <v>2.8</v>
      </c>
      <c r="FL33" s="141">
        <v>105412340</v>
      </c>
      <c r="FM33" s="141">
        <v>10180380</v>
      </c>
      <c r="FN33" s="141">
        <v>63344388</v>
      </c>
      <c r="FO33" s="141">
        <v>87893731</v>
      </c>
      <c r="FP33" s="390">
        <v>0.752</v>
      </c>
      <c r="FQ33" s="380">
        <v>93.1</v>
      </c>
      <c r="FR33" s="381">
        <v>22.1</v>
      </c>
      <c r="FS33" s="380">
        <v>17.600000000000001</v>
      </c>
      <c r="FT33" s="380">
        <v>16.600000000000001</v>
      </c>
      <c r="FU33" s="381">
        <v>11.5</v>
      </c>
      <c r="FV33" s="380">
        <v>12.4</v>
      </c>
      <c r="FW33" s="382">
        <v>11.9</v>
      </c>
      <c r="FX33" s="383">
        <v>6.5</v>
      </c>
      <c r="FY33" s="141">
        <v>174459881</v>
      </c>
      <c r="FZ33" s="384">
        <f t="shared" si="16"/>
        <v>150.9</v>
      </c>
      <c r="GA33" s="141">
        <v>33052879</v>
      </c>
      <c r="GB33" s="141">
        <v>17748520</v>
      </c>
      <c r="GC33" s="141">
        <v>5360400</v>
      </c>
      <c r="GD33" s="141">
        <v>9943959</v>
      </c>
      <c r="GE33" s="107">
        <v>0</v>
      </c>
      <c r="GF33" s="385"/>
      <c r="GG33" s="386"/>
      <c r="GH33" s="380">
        <v>99.5</v>
      </c>
      <c r="GI33" s="380">
        <v>66.2</v>
      </c>
      <c r="GJ33" s="380">
        <v>98.9</v>
      </c>
      <c r="GK33" s="141">
        <v>2774</v>
      </c>
      <c r="GL33" s="391" t="s">
        <v>646</v>
      </c>
      <c r="GM33" s="391">
        <v>11.25</v>
      </c>
      <c r="GN33" s="117">
        <v>20</v>
      </c>
      <c r="GO33" s="391" t="s">
        <v>646</v>
      </c>
      <c r="GP33" s="392">
        <v>16.25</v>
      </c>
      <c r="GQ33" s="387">
        <v>30</v>
      </c>
      <c r="GR33" s="381">
        <v>6.5</v>
      </c>
      <c r="GS33" s="388">
        <v>25</v>
      </c>
      <c r="GT33" s="388">
        <v>35</v>
      </c>
      <c r="GU33" s="393" t="s">
        <v>646</v>
      </c>
      <c r="GV33" s="388">
        <v>350</v>
      </c>
      <c r="GW33" s="394"/>
      <c r="GX33" s="100">
        <f t="shared" si="17"/>
        <v>115593</v>
      </c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  <c r="HW33" s="394"/>
      <c r="HX33" s="394"/>
    </row>
    <row r="34" spans="1:232" x14ac:dyDescent="0.15">
      <c r="B34" s="89" t="s">
        <v>57</v>
      </c>
      <c r="C34" s="141">
        <v>8869906</v>
      </c>
      <c r="D34" s="73">
        <f t="shared" si="0"/>
        <v>2325103</v>
      </c>
      <c r="E34" s="141">
        <v>92644</v>
      </c>
      <c r="F34" s="141">
        <v>2232459</v>
      </c>
      <c r="G34" s="73">
        <f t="shared" si="1"/>
        <v>441345</v>
      </c>
      <c r="H34" s="141">
        <v>185569</v>
      </c>
      <c r="I34" s="141">
        <v>255776</v>
      </c>
      <c r="J34" s="141">
        <v>4752512</v>
      </c>
      <c r="K34" s="141">
        <v>2091351</v>
      </c>
      <c r="L34" s="141">
        <v>1599855</v>
      </c>
      <c r="M34" s="141">
        <v>1023183</v>
      </c>
      <c r="N34" s="141">
        <v>443528</v>
      </c>
      <c r="O34" s="141">
        <v>727020</v>
      </c>
      <c r="P34" s="141">
        <v>407989</v>
      </c>
      <c r="Q34" s="141">
        <v>319031</v>
      </c>
      <c r="R34" s="141">
        <v>168278</v>
      </c>
      <c r="S34" s="74"/>
      <c r="T34" s="73">
        <f t="shared" si="2"/>
        <v>1646978</v>
      </c>
      <c r="U34" s="141">
        <v>6797</v>
      </c>
      <c r="V34" s="141">
        <v>53564</v>
      </c>
      <c r="W34" s="141">
        <v>60046</v>
      </c>
      <c r="X34" s="141">
        <v>1369865</v>
      </c>
      <c r="Y34" s="141">
        <v>41071</v>
      </c>
      <c r="Z34" s="141">
        <v>0</v>
      </c>
      <c r="AA34" s="141">
        <v>0</v>
      </c>
      <c r="AB34" s="141">
        <v>25715</v>
      </c>
      <c r="AC34" s="141">
        <v>89920</v>
      </c>
      <c r="AD34" s="141">
        <v>146094</v>
      </c>
      <c r="AE34" s="141">
        <v>4152966</v>
      </c>
      <c r="AF34" s="141">
        <v>3712089</v>
      </c>
      <c r="AG34" s="141">
        <v>440877</v>
      </c>
      <c r="AH34" s="141">
        <v>8902</v>
      </c>
      <c r="AI34" s="141">
        <v>40958</v>
      </c>
      <c r="AJ34" s="73">
        <f t="shared" si="3"/>
        <v>322636</v>
      </c>
      <c r="AK34" s="141">
        <v>184326</v>
      </c>
      <c r="AL34" s="141">
        <v>138310</v>
      </c>
      <c r="AM34" s="141">
        <v>7065706</v>
      </c>
      <c r="AN34" s="73">
        <f t="shared" si="4"/>
        <v>2472525</v>
      </c>
      <c r="AO34" s="141">
        <v>1301137</v>
      </c>
      <c r="AP34" s="141">
        <v>295144</v>
      </c>
      <c r="AQ34" s="74"/>
      <c r="AR34" s="141">
        <v>876244</v>
      </c>
      <c r="AS34" s="141">
        <v>26498</v>
      </c>
      <c r="AT34" s="141">
        <v>0</v>
      </c>
      <c r="AU34" s="141">
        <v>0</v>
      </c>
      <c r="AV34" s="141">
        <v>2061046</v>
      </c>
      <c r="AW34" s="141">
        <v>1238762</v>
      </c>
      <c r="AX34" s="141">
        <v>144025</v>
      </c>
      <c r="AY34" s="141">
        <v>26041</v>
      </c>
      <c r="AZ34" s="141">
        <v>822284</v>
      </c>
      <c r="BA34" s="141">
        <v>19012</v>
      </c>
      <c r="BB34" s="141">
        <v>30181</v>
      </c>
      <c r="BC34" s="141">
        <v>11632</v>
      </c>
      <c r="BD34" s="141">
        <v>653463</v>
      </c>
      <c r="BE34" s="141">
        <v>65556</v>
      </c>
      <c r="BF34" s="141">
        <v>0</v>
      </c>
      <c r="BG34" s="141">
        <v>0</v>
      </c>
      <c r="BH34" s="141">
        <v>61756</v>
      </c>
      <c r="BI34" s="141">
        <v>0</v>
      </c>
      <c r="BJ34" s="141">
        <v>384766</v>
      </c>
      <c r="BK34" s="141">
        <v>384231</v>
      </c>
      <c r="BL34" s="141">
        <v>225103</v>
      </c>
      <c r="BM34" s="141">
        <v>0</v>
      </c>
      <c r="BN34" s="141">
        <v>0</v>
      </c>
      <c r="BO34" s="141">
        <v>0</v>
      </c>
      <c r="BP34" s="141">
        <v>1454949</v>
      </c>
      <c r="BQ34" s="73">
        <f t="shared" si="5"/>
        <v>271300</v>
      </c>
      <c r="BR34" s="73">
        <f t="shared" si="6"/>
        <v>1183649</v>
      </c>
      <c r="BS34" s="141">
        <v>0</v>
      </c>
      <c r="BT34" s="141">
        <v>0</v>
      </c>
      <c r="BU34" s="141">
        <v>1183649</v>
      </c>
      <c r="BV34" s="141">
        <v>0</v>
      </c>
      <c r="BW34" s="141">
        <v>27297488</v>
      </c>
      <c r="BX34" s="71"/>
      <c r="BY34" s="141">
        <v>4031584</v>
      </c>
      <c r="BZ34" s="141">
        <v>2668297</v>
      </c>
      <c r="CA34" s="141">
        <v>252312</v>
      </c>
      <c r="CB34" s="141">
        <v>333514</v>
      </c>
      <c r="CC34" s="141">
        <v>8603181</v>
      </c>
      <c r="CD34" s="141">
        <v>2669685</v>
      </c>
      <c r="CE34" s="141">
        <v>5634</v>
      </c>
      <c r="CF34" s="141">
        <v>3985276</v>
      </c>
      <c r="CG34" s="141">
        <v>1678786</v>
      </c>
      <c r="CH34" s="141">
        <v>488</v>
      </c>
      <c r="CI34" s="141">
        <v>263312</v>
      </c>
      <c r="CJ34" s="141">
        <v>2739414</v>
      </c>
      <c r="CK34" s="141">
        <v>2539669</v>
      </c>
      <c r="CL34" s="83">
        <f t="shared" si="7"/>
        <v>199745</v>
      </c>
      <c r="CM34" s="141">
        <v>3314821</v>
      </c>
      <c r="CN34" s="141">
        <v>2464531</v>
      </c>
      <c r="CO34" s="102"/>
      <c r="CP34" s="141">
        <v>373472</v>
      </c>
      <c r="CQ34" s="141">
        <v>172130</v>
      </c>
      <c r="CR34" s="141">
        <v>3039298</v>
      </c>
      <c r="CS34" s="141">
        <v>1369504</v>
      </c>
      <c r="CT34" s="141">
        <v>536383</v>
      </c>
      <c r="CU34" s="141">
        <v>337835</v>
      </c>
      <c r="CV34" s="73">
        <f t="shared" si="8"/>
        <v>543143</v>
      </c>
      <c r="CW34" s="141">
        <v>266434</v>
      </c>
      <c r="CX34" s="141">
        <v>276709</v>
      </c>
      <c r="CY34" s="73">
        <f t="shared" si="9"/>
        <v>0</v>
      </c>
      <c r="CZ34" s="141">
        <v>0</v>
      </c>
      <c r="DA34" s="141">
        <v>0</v>
      </c>
      <c r="DB34" s="73">
        <f t="shared" si="10"/>
        <v>536938</v>
      </c>
      <c r="DC34" s="141">
        <v>262544</v>
      </c>
      <c r="DD34" s="141">
        <v>274394</v>
      </c>
      <c r="DE34" s="141">
        <v>498790</v>
      </c>
      <c r="DF34" s="141">
        <v>167682</v>
      </c>
      <c r="DG34" s="141">
        <v>331108</v>
      </c>
      <c r="DH34" s="141">
        <v>0</v>
      </c>
      <c r="DI34" s="141">
        <v>0</v>
      </c>
      <c r="DJ34" s="141">
        <v>8007</v>
      </c>
      <c r="DK34" s="141">
        <v>1313800</v>
      </c>
      <c r="DL34" s="141">
        <v>321884</v>
      </c>
      <c r="DM34" s="141">
        <v>331332</v>
      </c>
      <c r="DN34" s="141">
        <v>660584</v>
      </c>
      <c r="DO34" s="141">
        <v>140328</v>
      </c>
      <c r="DP34" s="141">
        <v>140328</v>
      </c>
      <c r="DQ34" s="141">
        <v>19192</v>
      </c>
      <c r="DR34" s="141">
        <v>0</v>
      </c>
      <c r="DS34" s="141">
        <v>0</v>
      </c>
      <c r="DT34" s="141">
        <v>0</v>
      </c>
      <c r="DU34" s="141">
        <v>0</v>
      </c>
      <c r="DV34" s="141">
        <v>2716052</v>
      </c>
      <c r="DW34" s="141">
        <v>0</v>
      </c>
      <c r="DX34" s="73">
        <f t="shared" si="11"/>
        <v>0</v>
      </c>
      <c r="DY34" s="141">
        <v>0</v>
      </c>
      <c r="DZ34" s="141">
        <v>967827</v>
      </c>
      <c r="EA34" s="141">
        <v>0</v>
      </c>
      <c r="EB34" s="141">
        <v>924862</v>
      </c>
      <c r="EC34" s="74">
        <v>0</v>
      </c>
      <c r="ED34" s="141">
        <v>823363</v>
      </c>
      <c r="EE34" s="141">
        <v>0</v>
      </c>
      <c r="EF34" s="141">
        <v>26577405</v>
      </c>
      <c r="EG34" s="71"/>
      <c r="EH34" s="141">
        <v>720083</v>
      </c>
      <c r="EI34" s="141">
        <v>14322</v>
      </c>
      <c r="EJ34" s="141">
        <v>705761</v>
      </c>
      <c r="EK34" s="141">
        <v>321530</v>
      </c>
      <c r="EL34" s="141">
        <v>643414</v>
      </c>
      <c r="EM34" s="71"/>
      <c r="EN34" s="141">
        <v>60102</v>
      </c>
      <c r="EO34" s="141">
        <v>60317</v>
      </c>
      <c r="EP34" s="141">
        <v>0</v>
      </c>
      <c r="EQ34" s="141">
        <v>28833</v>
      </c>
      <c r="ER34" s="73">
        <f t="shared" si="12"/>
        <v>941035</v>
      </c>
      <c r="ES34" s="141">
        <v>14993124</v>
      </c>
      <c r="ET34" s="141">
        <v>-2144615</v>
      </c>
      <c r="EU34" s="141">
        <v>3525739</v>
      </c>
      <c r="EV34" s="141">
        <v>2266520</v>
      </c>
      <c r="EW34" s="141">
        <v>1828339</v>
      </c>
      <c r="EX34" s="141">
        <v>2739414</v>
      </c>
      <c r="EY34" s="73">
        <f t="shared" si="13"/>
        <v>162702</v>
      </c>
      <c r="EZ34" s="141">
        <v>154695</v>
      </c>
      <c r="FA34" s="141">
        <v>4289</v>
      </c>
      <c r="FB34" s="141">
        <v>150406</v>
      </c>
      <c r="FC34" s="141">
        <v>8007</v>
      </c>
      <c r="FD34" s="141">
        <v>0</v>
      </c>
      <c r="FE34" s="141">
        <v>2369880</v>
      </c>
      <c r="FF34" s="141">
        <v>2779039</v>
      </c>
      <c r="FG34" s="141">
        <v>1367512</v>
      </c>
      <c r="FH34" s="141">
        <v>2055767</v>
      </c>
      <c r="FI34" s="73">
        <f t="shared" si="14"/>
        <v>956776</v>
      </c>
      <c r="FJ34" s="141">
        <v>16417656</v>
      </c>
      <c r="FK34" s="379">
        <f t="shared" si="15"/>
        <v>4.9000000000000004</v>
      </c>
      <c r="FL34" s="141">
        <v>13233551</v>
      </c>
      <c r="FM34" s="141">
        <v>1183649</v>
      </c>
      <c r="FN34" s="141">
        <v>7500830</v>
      </c>
      <c r="FO34" s="141">
        <v>11170078</v>
      </c>
      <c r="FP34" s="390">
        <v>0.70899999999999996</v>
      </c>
      <c r="FQ34" s="380">
        <v>92.8</v>
      </c>
      <c r="FR34" s="381">
        <v>21.8</v>
      </c>
      <c r="FS34" s="380">
        <v>11.9</v>
      </c>
      <c r="FT34" s="380">
        <v>18.100000000000001</v>
      </c>
      <c r="FU34" s="381">
        <v>11.5</v>
      </c>
      <c r="FV34" s="380">
        <v>15.5</v>
      </c>
      <c r="FW34" s="382">
        <v>12.5</v>
      </c>
      <c r="FX34" s="383">
        <v>9.6</v>
      </c>
      <c r="FY34" s="141">
        <v>27169678</v>
      </c>
      <c r="FZ34" s="384">
        <f t="shared" si="16"/>
        <v>188.5</v>
      </c>
      <c r="GA34" s="141">
        <v>5846164</v>
      </c>
      <c r="GB34" s="141">
        <v>1302121</v>
      </c>
      <c r="GC34" s="141">
        <v>1626364</v>
      </c>
      <c r="GD34" s="141">
        <v>2917679</v>
      </c>
      <c r="GE34" s="107">
        <v>0</v>
      </c>
      <c r="GF34" s="385"/>
      <c r="GG34" s="386"/>
      <c r="GH34" s="380">
        <v>99.3</v>
      </c>
      <c r="GI34" s="380">
        <v>58.5</v>
      </c>
      <c r="GJ34" s="380">
        <v>97.5</v>
      </c>
      <c r="GK34" s="141">
        <v>373</v>
      </c>
      <c r="GL34" s="391" t="s">
        <v>646</v>
      </c>
      <c r="GM34" s="391">
        <v>12.82</v>
      </c>
      <c r="GN34" s="117">
        <v>20</v>
      </c>
      <c r="GO34" s="391" t="s">
        <v>646</v>
      </c>
      <c r="GP34" s="392">
        <v>17.82</v>
      </c>
      <c r="GQ34" s="387">
        <v>30</v>
      </c>
      <c r="GR34" s="381">
        <v>9.6</v>
      </c>
      <c r="GS34" s="388">
        <v>25</v>
      </c>
      <c r="GT34" s="388">
        <v>35</v>
      </c>
      <c r="GU34" s="393">
        <v>64.400000000000006</v>
      </c>
      <c r="GV34" s="388">
        <v>350</v>
      </c>
      <c r="GW34" s="394"/>
      <c r="GX34" s="100">
        <f t="shared" si="17"/>
        <v>14417</v>
      </c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  <c r="HW34" s="394"/>
      <c r="HX34" s="394"/>
    </row>
    <row r="35" spans="1:232" x14ac:dyDescent="0.15">
      <c r="B35" s="89" t="s">
        <v>59</v>
      </c>
      <c r="C35" s="141">
        <v>6885616</v>
      </c>
      <c r="D35" s="73">
        <f t="shared" si="0"/>
        <v>2933254</v>
      </c>
      <c r="E35" s="141">
        <v>90930</v>
      </c>
      <c r="F35" s="141">
        <v>2842324</v>
      </c>
      <c r="G35" s="73">
        <f t="shared" si="1"/>
        <v>265124</v>
      </c>
      <c r="H35" s="141">
        <v>137931</v>
      </c>
      <c r="I35" s="141">
        <v>127193</v>
      </c>
      <c r="J35" s="141">
        <v>2658784</v>
      </c>
      <c r="K35" s="141">
        <v>1123815</v>
      </c>
      <c r="L35" s="141">
        <v>1247820</v>
      </c>
      <c r="M35" s="141">
        <v>270319</v>
      </c>
      <c r="N35" s="141">
        <v>364987</v>
      </c>
      <c r="O35" s="141">
        <v>567825</v>
      </c>
      <c r="P35" s="141">
        <v>306059</v>
      </c>
      <c r="Q35" s="141">
        <v>261766</v>
      </c>
      <c r="R35" s="141">
        <v>103991</v>
      </c>
      <c r="S35" s="74"/>
      <c r="T35" s="73">
        <f t="shared" si="2"/>
        <v>1402889</v>
      </c>
      <c r="U35" s="141">
        <v>8140</v>
      </c>
      <c r="V35" s="141">
        <v>64359</v>
      </c>
      <c r="W35" s="141">
        <v>72341</v>
      </c>
      <c r="X35" s="141">
        <v>1158732</v>
      </c>
      <c r="Y35" s="141">
        <v>30041</v>
      </c>
      <c r="Z35" s="141">
        <v>0</v>
      </c>
      <c r="AA35" s="141">
        <v>0</v>
      </c>
      <c r="AB35" s="141">
        <v>20484</v>
      </c>
      <c r="AC35" s="141">
        <v>48792</v>
      </c>
      <c r="AD35" s="141">
        <v>103914</v>
      </c>
      <c r="AE35" s="141">
        <v>4852456</v>
      </c>
      <c r="AF35" s="141">
        <v>4423978</v>
      </c>
      <c r="AG35" s="141">
        <v>428478</v>
      </c>
      <c r="AH35" s="141">
        <v>7000</v>
      </c>
      <c r="AI35" s="141">
        <v>247275</v>
      </c>
      <c r="AJ35" s="73">
        <f t="shared" si="3"/>
        <v>202804</v>
      </c>
      <c r="AK35" s="141">
        <v>142495</v>
      </c>
      <c r="AL35" s="141">
        <v>60309</v>
      </c>
      <c r="AM35" s="141">
        <v>6240064</v>
      </c>
      <c r="AN35" s="73">
        <f t="shared" si="4"/>
        <v>2539252</v>
      </c>
      <c r="AO35" s="141">
        <v>889265</v>
      </c>
      <c r="AP35" s="141">
        <v>865789</v>
      </c>
      <c r="AQ35" s="74"/>
      <c r="AR35" s="141">
        <v>784198</v>
      </c>
      <c r="AS35" s="141">
        <v>100</v>
      </c>
      <c r="AT35" s="141">
        <v>0</v>
      </c>
      <c r="AU35" s="141">
        <v>0</v>
      </c>
      <c r="AV35" s="141">
        <v>1844396</v>
      </c>
      <c r="AW35" s="141">
        <v>1207995</v>
      </c>
      <c r="AX35" s="141">
        <v>394913</v>
      </c>
      <c r="AY35" s="141">
        <v>0</v>
      </c>
      <c r="AZ35" s="141">
        <v>636401</v>
      </c>
      <c r="BA35" s="141">
        <v>1954</v>
      </c>
      <c r="BB35" s="141">
        <v>34780</v>
      </c>
      <c r="BC35" s="141">
        <v>3816</v>
      </c>
      <c r="BD35" s="141">
        <v>22211</v>
      </c>
      <c r="BE35" s="141">
        <v>65663</v>
      </c>
      <c r="BF35" s="141">
        <v>0</v>
      </c>
      <c r="BG35" s="141">
        <v>0</v>
      </c>
      <c r="BH35" s="141">
        <v>65663</v>
      </c>
      <c r="BI35" s="141">
        <v>0</v>
      </c>
      <c r="BJ35" s="141">
        <v>217348</v>
      </c>
      <c r="BK35" s="141">
        <v>173882</v>
      </c>
      <c r="BL35" s="141">
        <v>182499</v>
      </c>
      <c r="BM35" s="141">
        <v>678</v>
      </c>
      <c r="BN35" s="141">
        <v>1379</v>
      </c>
      <c r="BO35" s="141">
        <v>0</v>
      </c>
      <c r="BP35" s="141">
        <v>955000</v>
      </c>
      <c r="BQ35" s="73">
        <f t="shared" si="5"/>
        <v>719900</v>
      </c>
      <c r="BR35" s="73">
        <f t="shared" si="6"/>
        <v>235100</v>
      </c>
      <c r="BS35" s="141">
        <v>0</v>
      </c>
      <c r="BT35" s="141">
        <v>0</v>
      </c>
      <c r="BU35" s="141">
        <v>235100</v>
      </c>
      <c r="BV35" s="141">
        <v>0</v>
      </c>
      <c r="BW35" s="141">
        <v>23367906</v>
      </c>
      <c r="BX35" s="71"/>
      <c r="BY35" s="141">
        <v>3234280</v>
      </c>
      <c r="BZ35" s="141">
        <v>2075966</v>
      </c>
      <c r="CA35" s="141">
        <v>99873</v>
      </c>
      <c r="CB35" s="141">
        <v>410294</v>
      </c>
      <c r="CC35" s="141">
        <v>7644405</v>
      </c>
      <c r="CD35" s="141">
        <v>2358254</v>
      </c>
      <c r="CE35" s="141">
        <v>12304</v>
      </c>
      <c r="CF35" s="141">
        <v>3675057</v>
      </c>
      <c r="CG35" s="141">
        <v>1218339</v>
      </c>
      <c r="CH35" s="141">
        <v>1695</v>
      </c>
      <c r="CI35" s="141">
        <v>378756</v>
      </c>
      <c r="CJ35" s="141">
        <v>1594747</v>
      </c>
      <c r="CK35" s="141">
        <v>1528807</v>
      </c>
      <c r="CL35" s="83">
        <f t="shared" si="7"/>
        <v>65940</v>
      </c>
      <c r="CM35" s="141">
        <v>3064859</v>
      </c>
      <c r="CN35" s="141">
        <v>2421084</v>
      </c>
      <c r="CO35" s="102"/>
      <c r="CP35" s="141">
        <v>255741</v>
      </c>
      <c r="CQ35" s="141">
        <v>64437</v>
      </c>
      <c r="CR35" s="141">
        <v>3117818</v>
      </c>
      <c r="CS35" s="141">
        <v>1449568</v>
      </c>
      <c r="CT35" s="141">
        <v>318453</v>
      </c>
      <c r="CU35" s="141">
        <v>178422</v>
      </c>
      <c r="CV35" s="73">
        <f t="shared" si="8"/>
        <v>753468</v>
      </c>
      <c r="CW35" s="141">
        <v>527826</v>
      </c>
      <c r="CX35" s="141">
        <v>225642</v>
      </c>
      <c r="CY35" s="73">
        <f t="shared" si="9"/>
        <v>0</v>
      </c>
      <c r="CZ35" s="141">
        <v>0</v>
      </c>
      <c r="DA35" s="141">
        <v>0</v>
      </c>
      <c r="DB35" s="73">
        <f t="shared" si="10"/>
        <v>747708</v>
      </c>
      <c r="DC35" s="141">
        <v>523362</v>
      </c>
      <c r="DD35" s="141">
        <v>224346</v>
      </c>
      <c r="DE35" s="141">
        <v>1026462</v>
      </c>
      <c r="DF35" s="141">
        <v>345303</v>
      </c>
      <c r="DG35" s="141">
        <v>681159</v>
      </c>
      <c r="DH35" s="141">
        <v>0</v>
      </c>
      <c r="DI35" s="141">
        <v>0</v>
      </c>
      <c r="DJ35" s="141">
        <v>9460</v>
      </c>
      <c r="DK35" s="141">
        <v>822721</v>
      </c>
      <c r="DL35" s="141">
        <v>310247</v>
      </c>
      <c r="DM35" s="141">
        <v>4</v>
      </c>
      <c r="DN35" s="141">
        <v>512470</v>
      </c>
      <c r="DO35" s="141">
        <v>200000</v>
      </c>
      <c r="DP35" s="141">
        <v>200000</v>
      </c>
      <c r="DQ35" s="141">
        <v>0</v>
      </c>
      <c r="DR35" s="141">
        <v>0</v>
      </c>
      <c r="DS35" s="141">
        <v>0</v>
      </c>
      <c r="DT35" s="141">
        <v>0</v>
      </c>
      <c r="DU35" s="141">
        <v>0</v>
      </c>
      <c r="DV35" s="141">
        <v>2171725</v>
      </c>
      <c r="DW35" s="141">
        <v>0</v>
      </c>
      <c r="DX35" s="73">
        <f t="shared" si="11"/>
        <v>0</v>
      </c>
      <c r="DY35" s="141">
        <v>0</v>
      </c>
      <c r="DZ35" s="141">
        <v>792226</v>
      </c>
      <c r="EA35" s="141">
        <v>0</v>
      </c>
      <c r="EB35" s="141">
        <v>571050</v>
      </c>
      <c r="EC35" s="74">
        <v>0</v>
      </c>
      <c r="ED35" s="141">
        <v>808449</v>
      </c>
      <c r="EE35" s="141">
        <v>0</v>
      </c>
      <c r="EF35" s="141">
        <v>22950914</v>
      </c>
      <c r="EG35" s="71"/>
      <c r="EH35" s="141">
        <v>416992</v>
      </c>
      <c r="EI35" s="141">
        <v>125086</v>
      </c>
      <c r="EJ35" s="141">
        <v>291906</v>
      </c>
      <c r="EK35" s="141">
        <v>118024</v>
      </c>
      <c r="EL35" s="141">
        <v>428271</v>
      </c>
      <c r="EM35" s="71"/>
      <c r="EN35" s="141">
        <v>55177</v>
      </c>
      <c r="EO35" s="141">
        <v>55015</v>
      </c>
      <c r="EP35" s="141">
        <v>0</v>
      </c>
      <c r="EQ35" s="141">
        <v>33754</v>
      </c>
      <c r="ER35" s="73">
        <f t="shared" si="12"/>
        <v>974583</v>
      </c>
      <c r="ES35" s="141">
        <v>13355866</v>
      </c>
      <c r="ET35" s="141">
        <v>-1236437</v>
      </c>
      <c r="EU35" s="141">
        <v>2812652</v>
      </c>
      <c r="EV35" s="141">
        <v>1812540</v>
      </c>
      <c r="EW35" s="141">
        <v>1835269</v>
      </c>
      <c r="EX35" s="141">
        <v>1594747</v>
      </c>
      <c r="EY35" s="73">
        <f t="shared" si="13"/>
        <v>135608</v>
      </c>
      <c r="EZ35" s="141">
        <v>135548</v>
      </c>
      <c r="FA35" s="141">
        <v>4166</v>
      </c>
      <c r="FB35" s="141">
        <v>131382</v>
      </c>
      <c r="FC35" s="141">
        <v>60</v>
      </c>
      <c r="FD35" s="141">
        <v>0</v>
      </c>
      <c r="FE35" s="141">
        <v>2149418</v>
      </c>
      <c r="FF35" s="141">
        <v>2855454</v>
      </c>
      <c r="FG35" s="141">
        <v>1449262</v>
      </c>
      <c r="FH35" s="141">
        <v>1713297</v>
      </c>
      <c r="FI35" s="73">
        <f t="shared" si="14"/>
        <v>1078866</v>
      </c>
      <c r="FJ35" s="141">
        <v>14175311</v>
      </c>
      <c r="FK35" s="379">
        <f t="shared" si="15"/>
        <v>2.2999999999999998</v>
      </c>
      <c r="FL35" s="141">
        <v>11983934</v>
      </c>
      <c r="FM35" s="141">
        <v>862034</v>
      </c>
      <c r="FN35" s="141">
        <v>5975868</v>
      </c>
      <c r="FO35" s="141">
        <v>10397607</v>
      </c>
      <c r="FP35" s="390">
        <v>0.6</v>
      </c>
      <c r="FQ35" s="380">
        <v>94.8</v>
      </c>
      <c r="FR35" s="381">
        <v>22</v>
      </c>
      <c r="FS35" s="380">
        <v>14.1</v>
      </c>
      <c r="FT35" s="380">
        <v>12.5</v>
      </c>
      <c r="FU35" s="381">
        <v>12.7</v>
      </c>
      <c r="FV35" s="380">
        <v>20.3</v>
      </c>
      <c r="FW35" s="382">
        <v>12.6</v>
      </c>
      <c r="FX35" s="383">
        <v>5.5</v>
      </c>
      <c r="FY35" s="141">
        <v>14290801</v>
      </c>
      <c r="FZ35" s="384">
        <f t="shared" si="16"/>
        <v>111.2</v>
      </c>
      <c r="GA35" s="141">
        <v>6806889</v>
      </c>
      <c r="GB35" s="141">
        <v>2326806</v>
      </c>
      <c r="GC35" s="141">
        <v>51315</v>
      </c>
      <c r="GD35" s="141">
        <v>4428768</v>
      </c>
      <c r="GE35" s="107">
        <v>0</v>
      </c>
      <c r="GF35" s="385"/>
      <c r="GG35" s="386"/>
      <c r="GH35" s="380">
        <v>99.5</v>
      </c>
      <c r="GI35" s="380">
        <v>55.4</v>
      </c>
      <c r="GJ35" s="380">
        <v>98.4</v>
      </c>
      <c r="GK35" s="141">
        <v>311</v>
      </c>
      <c r="GL35" s="391" t="s">
        <v>646</v>
      </c>
      <c r="GM35" s="391">
        <v>12.96</v>
      </c>
      <c r="GN35" s="117">
        <v>20</v>
      </c>
      <c r="GO35" s="391" t="s">
        <v>646</v>
      </c>
      <c r="GP35" s="392">
        <v>17.96</v>
      </c>
      <c r="GQ35" s="387">
        <v>30</v>
      </c>
      <c r="GR35" s="381">
        <v>5.5</v>
      </c>
      <c r="GS35" s="388">
        <v>25</v>
      </c>
      <c r="GT35" s="388">
        <v>35</v>
      </c>
      <c r="GU35" s="393" t="s">
        <v>646</v>
      </c>
      <c r="GV35" s="388">
        <v>350</v>
      </c>
      <c r="GW35" s="394"/>
      <c r="GX35" s="100">
        <f t="shared" si="17"/>
        <v>12846</v>
      </c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  <c r="HW35" s="394"/>
      <c r="HX35" s="394"/>
    </row>
    <row r="36" spans="1:232" x14ac:dyDescent="0.15">
      <c r="B36" s="89" t="s">
        <v>61</v>
      </c>
      <c r="C36" s="141">
        <v>9554771</v>
      </c>
      <c r="D36" s="73">
        <f t="shared" si="0"/>
        <v>4422102</v>
      </c>
      <c r="E36" s="141">
        <v>131355</v>
      </c>
      <c r="F36" s="141">
        <v>4290747</v>
      </c>
      <c r="G36" s="73">
        <f t="shared" si="1"/>
        <v>324423</v>
      </c>
      <c r="H36" s="141">
        <v>154533</v>
      </c>
      <c r="I36" s="141">
        <v>169890</v>
      </c>
      <c r="J36" s="141">
        <v>3559121</v>
      </c>
      <c r="K36" s="141">
        <v>1481801</v>
      </c>
      <c r="L36" s="141">
        <v>1605650</v>
      </c>
      <c r="M36" s="141">
        <v>420398</v>
      </c>
      <c r="N36" s="141">
        <v>364657</v>
      </c>
      <c r="O36" s="141">
        <v>748261</v>
      </c>
      <c r="P36" s="141">
        <v>417669</v>
      </c>
      <c r="Q36" s="141">
        <v>330592</v>
      </c>
      <c r="R36" s="141">
        <v>136128</v>
      </c>
      <c r="S36" s="74"/>
      <c r="T36" s="73">
        <f t="shared" si="2"/>
        <v>1959102</v>
      </c>
      <c r="U36" s="141">
        <v>12639</v>
      </c>
      <c r="V36" s="141">
        <v>99967</v>
      </c>
      <c r="W36" s="141">
        <v>112411</v>
      </c>
      <c r="X36" s="141">
        <v>1573995</v>
      </c>
      <c r="Y36" s="141">
        <v>73187</v>
      </c>
      <c r="Z36" s="141">
        <v>0</v>
      </c>
      <c r="AA36" s="141">
        <v>0</v>
      </c>
      <c r="AB36" s="141">
        <v>26755</v>
      </c>
      <c r="AC36" s="141">
        <v>60148</v>
      </c>
      <c r="AD36" s="141">
        <v>213752</v>
      </c>
      <c r="AE36" s="141">
        <v>4587290</v>
      </c>
      <c r="AF36" s="141">
        <v>4362211</v>
      </c>
      <c r="AG36" s="141">
        <v>225079</v>
      </c>
      <c r="AH36" s="141">
        <v>11405</v>
      </c>
      <c r="AI36" s="141">
        <v>77537</v>
      </c>
      <c r="AJ36" s="73">
        <f t="shared" si="3"/>
        <v>522322</v>
      </c>
      <c r="AK36" s="141">
        <v>273723</v>
      </c>
      <c r="AL36" s="141">
        <v>248599</v>
      </c>
      <c r="AM36" s="141">
        <v>8381978</v>
      </c>
      <c r="AN36" s="73">
        <f t="shared" si="4"/>
        <v>2604724</v>
      </c>
      <c r="AO36" s="141">
        <v>1003848</v>
      </c>
      <c r="AP36" s="141">
        <v>727731</v>
      </c>
      <c r="AQ36" s="74"/>
      <c r="AR36" s="141">
        <v>873145</v>
      </c>
      <c r="AS36" s="141">
        <v>43673</v>
      </c>
      <c r="AT36" s="141">
        <v>0</v>
      </c>
      <c r="AU36" s="141">
        <v>0</v>
      </c>
      <c r="AV36" s="141">
        <v>2133152</v>
      </c>
      <c r="AW36" s="141">
        <v>1596185</v>
      </c>
      <c r="AX36" s="141">
        <v>306845</v>
      </c>
      <c r="AY36" s="141">
        <v>0</v>
      </c>
      <c r="AZ36" s="141">
        <v>536967</v>
      </c>
      <c r="BA36" s="141">
        <v>6283</v>
      </c>
      <c r="BB36" s="141">
        <v>20199</v>
      </c>
      <c r="BC36" s="141">
        <v>16089</v>
      </c>
      <c r="BD36" s="141">
        <v>8179</v>
      </c>
      <c r="BE36" s="141">
        <v>105836</v>
      </c>
      <c r="BF36" s="141">
        <v>3396</v>
      </c>
      <c r="BG36" s="141">
        <v>0</v>
      </c>
      <c r="BH36" s="141">
        <v>95412</v>
      </c>
      <c r="BI36" s="141">
        <v>0</v>
      </c>
      <c r="BJ36" s="141">
        <v>464305</v>
      </c>
      <c r="BK36" s="141">
        <v>378427</v>
      </c>
      <c r="BL36" s="141">
        <v>518995</v>
      </c>
      <c r="BM36" s="141">
        <v>0</v>
      </c>
      <c r="BN36" s="141">
        <v>0</v>
      </c>
      <c r="BO36" s="141">
        <v>0</v>
      </c>
      <c r="BP36" s="141">
        <v>3008517</v>
      </c>
      <c r="BQ36" s="73">
        <f t="shared" si="5"/>
        <v>1800800</v>
      </c>
      <c r="BR36" s="73">
        <f t="shared" si="6"/>
        <v>1207717</v>
      </c>
      <c r="BS36" s="141">
        <v>0</v>
      </c>
      <c r="BT36" s="141">
        <v>0</v>
      </c>
      <c r="BU36" s="141">
        <v>1207717</v>
      </c>
      <c r="BV36" s="141">
        <v>0</v>
      </c>
      <c r="BW36" s="141">
        <v>31703468</v>
      </c>
      <c r="BX36" s="71"/>
      <c r="BY36" s="141">
        <v>5609131</v>
      </c>
      <c r="BZ36" s="141">
        <v>3235297</v>
      </c>
      <c r="CA36" s="141">
        <v>280498</v>
      </c>
      <c r="CB36" s="141">
        <v>1054178</v>
      </c>
      <c r="CC36" s="141">
        <v>9147589</v>
      </c>
      <c r="CD36" s="141">
        <v>2502449</v>
      </c>
      <c r="CE36" s="141">
        <v>3808</v>
      </c>
      <c r="CF36" s="141">
        <v>4888922</v>
      </c>
      <c r="CG36" s="141">
        <v>1275122</v>
      </c>
      <c r="CH36" s="141">
        <v>2710</v>
      </c>
      <c r="CI36" s="141">
        <v>474578</v>
      </c>
      <c r="CJ36" s="141">
        <v>3016663</v>
      </c>
      <c r="CK36" s="141">
        <v>2870412</v>
      </c>
      <c r="CL36" s="83">
        <f t="shared" si="7"/>
        <v>146251</v>
      </c>
      <c r="CM36" s="141">
        <v>4190812</v>
      </c>
      <c r="CN36" s="141">
        <v>2689162</v>
      </c>
      <c r="CO36" s="102"/>
      <c r="CP36" s="141">
        <v>738126</v>
      </c>
      <c r="CQ36" s="141">
        <v>42821</v>
      </c>
      <c r="CR36" s="141">
        <v>2084814</v>
      </c>
      <c r="CS36" s="141">
        <v>952201</v>
      </c>
      <c r="CT36" s="141">
        <v>483522</v>
      </c>
      <c r="CU36" s="141">
        <v>241626</v>
      </c>
      <c r="CV36" s="73">
        <f t="shared" si="8"/>
        <v>181252</v>
      </c>
      <c r="CW36" s="141">
        <v>181252</v>
      </c>
      <c r="CX36" s="141">
        <v>0</v>
      </c>
      <c r="CY36" s="73">
        <f t="shared" si="9"/>
        <v>0</v>
      </c>
      <c r="CZ36" s="141">
        <v>0</v>
      </c>
      <c r="DA36" s="141">
        <v>0</v>
      </c>
      <c r="DB36" s="73">
        <f t="shared" si="10"/>
        <v>130000</v>
      </c>
      <c r="DC36" s="141">
        <v>130000</v>
      </c>
      <c r="DD36" s="141">
        <v>0</v>
      </c>
      <c r="DE36" s="141">
        <v>3361648</v>
      </c>
      <c r="DF36" s="141">
        <v>1535055</v>
      </c>
      <c r="DG36" s="141">
        <v>1823748</v>
      </c>
      <c r="DH36" s="141">
        <v>2845</v>
      </c>
      <c r="DI36" s="141">
        <v>0</v>
      </c>
      <c r="DJ36" s="141">
        <v>35639</v>
      </c>
      <c r="DK36" s="141">
        <v>929111</v>
      </c>
      <c r="DL36" s="141">
        <v>193858</v>
      </c>
      <c r="DM36" s="141">
        <v>331021</v>
      </c>
      <c r="DN36" s="141">
        <v>404232</v>
      </c>
      <c r="DO36" s="141">
        <v>0</v>
      </c>
      <c r="DP36" s="141">
        <v>0</v>
      </c>
      <c r="DQ36" s="141">
        <v>0</v>
      </c>
      <c r="DR36" s="141">
        <v>0</v>
      </c>
      <c r="DS36" s="141">
        <v>0</v>
      </c>
      <c r="DT36" s="141">
        <v>0</v>
      </c>
      <c r="DU36" s="141">
        <v>0</v>
      </c>
      <c r="DV36" s="141">
        <v>2675600</v>
      </c>
      <c r="DW36" s="141">
        <v>0</v>
      </c>
      <c r="DX36" s="73">
        <f t="shared" si="11"/>
        <v>0</v>
      </c>
      <c r="DY36" s="141">
        <v>0</v>
      </c>
      <c r="DZ36" s="141">
        <v>1022270</v>
      </c>
      <c r="EA36" s="141">
        <v>0</v>
      </c>
      <c r="EB36" s="141">
        <v>728345</v>
      </c>
      <c r="EC36" s="74">
        <v>0</v>
      </c>
      <c r="ED36" s="141">
        <v>924985</v>
      </c>
      <c r="EE36" s="141">
        <v>0</v>
      </c>
      <c r="EF36" s="141">
        <v>31093828</v>
      </c>
      <c r="EG36" s="71"/>
      <c r="EH36" s="141">
        <v>609640</v>
      </c>
      <c r="EI36" s="141">
        <v>158634</v>
      </c>
      <c r="EJ36" s="141">
        <v>451006</v>
      </c>
      <c r="EK36" s="141">
        <v>72579</v>
      </c>
      <c r="EL36" s="141">
        <v>615969</v>
      </c>
      <c r="EM36" s="71"/>
      <c r="EN36" s="141">
        <v>75033</v>
      </c>
      <c r="EO36" s="141">
        <v>77431</v>
      </c>
      <c r="EP36" s="141">
        <v>4029</v>
      </c>
      <c r="EQ36" s="141">
        <v>18993</v>
      </c>
      <c r="ER36" s="73">
        <f t="shared" si="12"/>
        <v>1225862</v>
      </c>
      <c r="ES36" s="141">
        <v>16462448</v>
      </c>
      <c r="ET36" s="141">
        <v>-2445196</v>
      </c>
      <c r="EU36" s="141">
        <v>4976809</v>
      </c>
      <c r="EV36" s="141">
        <v>3012111</v>
      </c>
      <c r="EW36" s="141">
        <v>2082657</v>
      </c>
      <c r="EX36" s="141">
        <v>3016663</v>
      </c>
      <c r="EY36" s="73">
        <f t="shared" si="13"/>
        <v>707923</v>
      </c>
      <c r="EZ36" s="141">
        <v>678984</v>
      </c>
      <c r="FA36" s="141">
        <v>41717</v>
      </c>
      <c r="FB36" s="141">
        <v>636857</v>
      </c>
      <c r="FC36" s="141">
        <v>28939</v>
      </c>
      <c r="FD36" s="141">
        <v>0</v>
      </c>
      <c r="FE36" s="141">
        <v>2591627</v>
      </c>
      <c r="FF36" s="141">
        <v>1843609</v>
      </c>
      <c r="FG36" s="141">
        <v>952201</v>
      </c>
      <c r="FH36" s="141">
        <v>2112082</v>
      </c>
      <c r="FI36" s="73">
        <f t="shared" si="14"/>
        <v>966634</v>
      </c>
      <c r="FJ36" s="141">
        <v>18298004</v>
      </c>
      <c r="FK36" s="379">
        <f t="shared" si="15"/>
        <v>2.8</v>
      </c>
      <c r="FL36" s="141">
        <v>14982748</v>
      </c>
      <c r="FM36" s="141">
        <v>1207717</v>
      </c>
      <c r="FN36" s="141">
        <v>8376606</v>
      </c>
      <c r="FO36" s="141">
        <v>12721684</v>
      </c>
      <c r="FP36" s="390">
        <v>0.69199999999999995</v>
      </c>
      <c r="FQ36" s="380">
        <v>89.9</v>
      </c>
      <c r="FR36" s="381">
        <v>28.5</v>
      </c>
      <c r="FS36" s="380">
        <v>12.4</v>
      </c>
      <c r="FT36" s="380">
        <v>15.8</v>
      </c>
      <c r="FU36" s="381">
        <v>12.5</v>
      </c>
      <c r="FV36" s="380">
        <v>8.6</v>
      </c>
      <c r="FW36" s="382">
        <v>11.7</v>
      </c>
      <c r="FX36" s="383">
        <v>8.9</v>
      </c>
      <c r="FY36" s="141">
        <v>28366017</v>
      </c>
      <c r="FZ36" s="384">
        <f t="shared" si="16"/>
        <v>175.2</v>
      </c>
      <c r="GA36" s="141">
        <v>7458892</v>
      </c>
      <c r="GB36" s="141">
        <v>4107341</v>
      </c>
      <c r="GC36" s="141">
        <v>984790</v>
      </c>
      <c r="GD36" s="141">
        <v>2366761</v>
      </c>
      <c r="GE36" s="107">
        <v>0</v>
      </c>
      <c r="GF36" s="385">
        <v>6123</v>
      </c>
      <c r="GG36" s="386">
        <f>IF(GF36=0,"-",ROUND(GF36/(GX36)*100,1))</f>
        <v>37.799999999999997</v>
      </c>
      <c r="GH36" s="380">
        <v>99.7</v>
      </c>
      <c r="GI36" s="380">
        <v>76.2</v>
      </c>
      <c r="GJ36" s="380">
        <v>99.3</v>
      </c>
      <c r="GK36" s="141">
        <v>482</v>
      </c>
      <c r="GL36" s="391" t="s">
        <v>646</v>
      </c>
      <c r="GM36" s="391">
        <v>12.7</v>
      </c>
      <c r="GN36" s="117">
        <v>20</v>
      </c>
      <c r="GO36" s="391" t="s">
        <v>646</v>
      </c>
      <c r="GP36" s="392">
        <v>17.7</v>
      </c>
      <c r="GQ36" s="387">
        <v>30</v>
      </c>
      <c r="GR36" s="381">
        <v>8.9</v>
      </c>
      <c r="GS36" s="388">
        <v>25</v>
      </c>
      <c r="GT36" s="388">
        <v>35</v>
      </c>
      <c r="GU36" s="393">
        <v>55.5</v>
      </c>
      <c r="GV36" s="388">
        <v>350</v>
      </c>
      <c r="GW36" s="394"/>
      <c r="GX36" s="100">
        <f t="shared" si="17"/>
        <v>16190</v>
      </c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  <c r="HW36" s="394"/>
      <c r="HX36" s="394"/>
    </row>
    <row r="37" spans="1:232" x14ac:dyDescent="0.15">
      <c r="B37" s="89" t="s">
        <v>63</v>
      </c>
      <c r="C37" s="141">
        <v>7454449</v>
      </c>
      <c r="D37" s="73">
        <f t="shared" si="0"/>
        <v>3658890</v>
      </c>
      <c r="E37" s="141">
        <v>99252</v>
      </c>
      <c r="F37" s="141">
        <v>3559638</v>
      </c>
      <c r="G37" s="73">
        <f t="shared" si="1"/>
        <v>222737</v>
      </c>
      <c r="H37" s="141">
        <v>108870</v>
      </c>
      <c r="I37" s="141">
        <v>113867</v>
      </c>
      <c r="J37" s="141">
        <v>2767313</v>
      </c>
      <c r="K37" s="141">
        <v>1114464</v>
      </c>
      <c r="L37" s="141">
        <v>1310390</v>
      </c>
      <c r="M37" s="141">
        <v>309978</v>
      </c>
      <c r="N37" s="141">
        <v>329327</v>
      </c>
      <c r="O37" s="141">
        <v>365065</v>
      </c>
      <c r="P37" s="141">
        <v>194000</v>
      </c>
      <c r="Q37" s="141">
        <v>171065</v>
      </c>
      <c r="R37" s="141">
        <v>111277</v>
      </c>
      <c r="S37" s="74"/>
      <c r="T37" s="73">
        <f t="shared" si="2"/>
        <v>1526393</v>
      </c>
      <c r="U37" s="141">
        <v>10169</v>
      </c>
      <c r="V37" s="141">
        <v>80171</v>
      </c>
      <c r="W37" s="141">
        <v>89914</v>
      </c>
      <c r="X37" s="141">
        <v>1258938</v>
      </c>
      <c r="Y37" s="141">
        <v>0</v>
      </c>
      <c r="Z37" s="141">
        <v>0</v>
      </c>
      <c r="AA37" s="141">
        <v>0</v>
      </c>
      <c r="AB37" s="141">
        <v>22065</v>
      </c>
      <c r="AC37" s="141">
        <v>65136</v>
      </c>
      <c r="AD37" s="141">
        <v>122210</v>
      </c>
      <c r="AE37" s="141">
        <v>3859514</v>
      </c>
      <c r="AF37" s="141">
        <v>3595992</v>
      </c>
      <c r="AG37" s="141">
        <v>263522</v>
      </c>
      <c r="AH37" s="141">
        <v>9141</v>
      </c>
      <c r="AI37" s="141">
        <v>93658</v>
      </c>
      <c r="AJ37" s="73">
        <f t="shared" si="3"/>
        <v>220748</v>
      </c>
      <c r="AK37" s="141">
        <v>179920</v>
      </c>
      <c r="AL37" s="141">
        <v>40828</v>
      </c>
      <c r="AM37" s="141">
        <v>6372281</v>
      </c>
      <c r="AN37" s="73">
        <f t="shared" si="4"/>
        <v>2112550</v>
      </c>
      <c r="AO37" s="141">
        <v>883287</v>
      </c>
      <c r="AP37" s="141">
        <v>700043</v>
      </c>
      <c r="AQ37" s="74"/>
      <c r="AR37" s="141">
        <v>529220</v>
      </c>
      <c r="AS37" s="141">
        <v>67803</v>
      </c>
      <c r="AT37" s="141">
        <v>0</v>
      </c>
      <c r="AU37" s="141">
        <v>0</v>
      </c>
      <c r="AV37" s="141">
        <v>1929596</v>
      </c>
      <c r="AW37" s="141">
        <v>1231391</v>
      </c>
      <c r="AX37" s="141">
        <v>294706</v>
      </c>
      <c r="AY37" s="141">
        <v>90851</v>
      </c>
      <c r="AZ37" s="141">
        <v>698205</v>
      </c>
      <c r="BA37" s="141">
        <v>14790</v>
      </c>
      <c r="BB37" s="141">
        <v>19252</v>
      </c>
      <c r="BC37" s="141">
        <v>1422</v>
      </c>
      <c r="BD37" s="141">
        <v>21511</v>
      </c>
      <c r="BE37" s="141">
        <v>19460</v>
      </c>
      <c r="BF37" s="141">
        <v>0</v>
      </c>
      <c r="BG37" s="141">
        <v>0</v>
      </c>
      <c r="BH37" s="141">
        <v>2957</v>
      </c>
      <c r="BI37" s="141">
        <v>0</v>
      </c>
      <c r="BJ37" s="141">
        <v>166715</v>
      </c>
      <c r="BK37" s="141">
        <v>160704</v>
      </c>
      <c r="BL37" s="141">
        <v>192547</v>
      </c>
      <c r="BM37" s="141">
        <v>144</v>
      </c>
      <c r="BN37" s="141">
        <v>0</v>
      </c>
      <c r="BO37" s="141">
        <v>0</v>
      </c>
      <c r="BP37" s="141">
        <v>1081600</v>
      </c>
      <c r="BQ37" s="73">
        <f t="shared" si="5"/>
        <v>236400</v>
      </c>
      <c r="BR37" s="73">
        <f t="shared" si="6"/>
        <v>845200</v>
      </c>
      <c r="BS37" s="141">
        <v>0</v>
      </c>
      <c r="BT37" s="141">
        <v>0</v>
      </c>
      <c r="BU37" s="141">
        <v>845200</v>
      </c>
      <c r="BV37" s="141">
        <v>0</v>
      </c>
      <c r="BW37" s="141">
        <v>23200352</v>
      </c>
      <c r="BX37" s="71"/>
      <c r="BY37" s="141">
        <v>3566507</v>
      </c>
      <c r="BZ37" s="141">
        <v>2089067</v>
      </c>
      <c r="CA37" s="141">
        <v>288238</v>
      </c>
      <c r="CB37" s="141">
        <v>493127</v>
      </c>
      <c r="CC37" s="141">
        <v>7668235</v>
      </c>
      <c r="CD37" s="141">
        <v>2215933</v>
      </c>
      <c r="CE37" s="141">
        <v>11761</v>
      </c>
      <c r="CF37" s="141">
        <v>3790068</v>
      </c>
      <c r="CG37" s="141">
        <v>1172598</v>
      </c>
      <c r="CH37" s="141">
        <v>0</v>
      </c>
      <c r="CI37" s="141">
        <v>477875</v>
      </c>
      <c r="CJ37" s="141">
        <v>1836388</v>
      </c>
      <c r="CK37" s="141">
        <v>1785801</v>
      </c>
      <c r="CL37" s="83">
        <f t="shared" si="7"/>
        <v>50587</v>
      </c>
      <c r="CM37" s="141">
        <v>3890802</v>
      </c>
      <c r="CN37" s="141">
        <v>3016174</v>
      </c>
      <c r="CO37" s="102"/>
      <c r="CP37" s="141">
        <v>331250</v>
      </c>
      <c r="CQ37" s="141">
        <v>27467</v>
      </c>
      <c r="CR37" s="141">
        <v>2366145</v>
      </c>
      <c r="CS37" s="141">
        <v>318502</v>
      </c>
      <c r="CT37" s="141">
        <v>427390</v>
      </c>
      <c r="CU37" s="141">
        <v>330235</v>
      </c>
      <c r="CV37" s="73">
        <f t="shared" si="8"/>
        <v>371065</v>
      </c>
      <c r="CW37" s="141">
        <v>73014</v>
      </c>
      <c r="CX37" s="141">
        <v>298051</v>
      </c>
      <c r="CY37" s="73">
        <f t="shared" si="9"/>
        <v>0</v>
      </c>
      <c r="CZ37" s="141">
        <v>0</v>
      </c>
      <c r="DA37" s="141">
        <v>0</v>
      </c>
      <c r="DB37" s="73">
        <f t="shared" si="10"/>
        <v>371065</v>
      </c>
      <c r="DC37" s="141">
        <v>73014</v>
      </c>
      <c r="DD37" s="141">
        <v>298051</v>
      </c>
      <c r="DE37" s="141">
        <v>787719</v>
      </c>
      <c r="DF37" s="141">
        <v>385198</v>
      </c>
      <c r="DG37" s="141">
        <v>347467</v>
      </c>
      <c r="DH37" s="141">
        <v>55054</v>
      </c>
      <c r="DI37" s="141">
        <v>0</v>
      </c>
      <c r="DJ37" s="141">
        <v>0</v>
      </c>
      <c r="DK37" s="141">
        <v>125439</v>
      </c>
      <c r="DL37" s="141">
        <v>1149</v>
      </c>
      <c r="DM37" s="141">
        <v>110711</v>
      </c>
      <c r="DN37" s="141">
        <v>13579</v>
      </c>
      <c r="DO37" s="141">
        <v>0</v>
      </c>
      <c r="DP37" s="141">
        <v>0</v>
      </c>
      <c r="DQ37" s="141">
        <v>0</v>
      </c>
      <c r="DR37" s="141">
        <v>0</v>
      </c>
      <c r="DS37" s="141">
        <v>432</v>
      </c>
      <c r="DT37" s="141">
        <v>0</v>
      </c>
      <c r="DU37" s="141">
        <v>0</v>
      </c>
      <c r="DV37" s="141">
        <v>2096854</v>
      </c>
      <c r="DW37" s="141">
        <v>0</v>
      </c>
      <c r="DX37" s="73">
        <f t="shared" si="11"/>
        <v>0</v>
      </c>
      <c r="DY37" s="141">
        <v>0</v>
      </c>
      <c r="DZ37" s="141">
        <v>789443</v>
      </c>
      <c r="EA37" s="141">
        <v>0</v>
      </c>
      <c r="EB37" s="141">
        <v>504749</v>
      </c>
      <c r="EC37" s="74">
        <v>0</v>
      </c>
      <c r="ED37" s="141">
        <v>802662</v>
      </c>
      <c r="EE37" s="141">
        <v>0</v>
      </c>
      <c r="EF37" s="141">
        <v>22365988</v>
      </c>
      <c r="EG37" s="71"/>
      <c r="EH37" s="141">
        <v>834364</v>
      </c>
      <c r="EI37" s="141">
        <v>11559</v>
      </c>
      <c r="EJ37" s="141">
        <v>822805</v>
      </c>
      <c r="EK37" s="141">
        <v>662101</v>
      </c>
      <c r="EL37" s="141">
        <v>663250</v>
      </c>
      <c r="EM37" s="71"/>
      <c r="EN37" s="141">
        <v>58435</v>
      </c>
      <c r="EO37" s="141">
        <v>58496</v>
      </c>
      <c r="EP37" s="141">
        <v>2880</v>
      </c>
      <c r="EQ37" s="141">
        <v>16390</v>
      </c>
      <c r="ER37" s="73">
        <f t="shared" si="12"/>
        <v>853143</v>
      </c>
      <c r="ES37" s="141">
        <v>13082984</v>
      </c>
      <c r="ET37" s="141">
        <v>-1708472</v>
      </c>
      <c r="EU37" s="141">
        <v>3165475</v>
      </c>
      <c r="EV37" s="141">
        <v>1854478</v>
      </c>
      <c r="EW37" s="141">
        <v>1733630</v>
      </c>
      <c r="EX37" s="141">
        <v>1836388</v>
      </c>
      <c r="EY37" s="73">
        <f t="shared" si="13"/>
        <v>250312</v>
      </c>
      <c r="EZ37" s="141">
        <v>250312</v>
      </c>
      <c r="FA37" s="141">
        <v>33758</v>
      </c>
      <c r="FB37" s="141">
        <v>215950</v>
      </c>
      <c r="FC37" s="141">
        <v>0</v>
      </c>
      <c r="FD37" s="141">
        <v>0</v>
      </c>
      <c r="FE37" s="141">
        <v>2971828</v>
      </c>
      <c r="FF37" s="141">
        <v>2199674</v>
      </c>
      <c r="FG37" s="141">
        <v>318502</v>
      </c>
      <c r="FH37" s="141">
        <v>1659948</v>
      </c>
      <c r="FI37" s="73">
        <f t="shared" si="14"/>
        <v>139837</v>
      </c>
      <c r="FJ37" s="141">
        <v>13957092</v>
      </c>
      <c r="FK37" s="379">
        <f t="shared" si="15"/>
        <v>6.3</v>
      </c>
      <c r="FL37" s="141">
        <v>12124253</v>
      </c>
      <c r="FM37" s="141">
        <v>1011693</v>
      </c>
      <c r="FN37" s="141">
        <v>6685527</v>
      </c>
      <c r="FO37" s="141">
        <v>10318889</v>
      </c>
      <c r="FP37" s="390">
        <v>0.68100000000000005</v>
      </c>
      <c r="FQ37" s="380">
        <v>93.6</v>
      </c>
      <c r="FR37" s="381">
        <v>23.5</v>
      </c>
      <c r="FS37" s="380">
        <v>12.9</v>
      </c>
      <c r="FT37" s="380">
        <v>13.7</v>
      </c>
      <c r="FU37" s="381">
        <v>19.7</v>
      </c>
      <c r="FV37" s="380">
        <v>11.5</v>
      </c>
      <c r="FW37" s="382">
        <v>12</v>
      </c>
      <c r="FX37" s="383">
        <v>3</v>
      </c>
      <c r="FY37" s="141">
        <v>16510932</v>
      </c>
      <c r="FZ37" s="384">
        <f t="shared" si="16"/>
        <v>125.7</v>
      </c>
      <c r="GA37" s="141">
        <v>3822216</v>
      </c>
      <c r="GB37" s="141">
        <v>3041015</v>
      </c>
      <c r="GC37" s="141">
        <v>147591</v>
      </c>
      <c r="GD37" s="141">
        <v>633610</v>
      </c>
      <c r="GE37" s="107">
        <v>0</v>
      </c>
      <c r="GF37" s="385"/>
      <c r="GG37" s="386"/>
      <c r="GH37" s="380">
        <v>99.3</v>
      </c>
      <c r="GI37" s="380">
        <v>17</v>
      </c>
      <c r="GJ37" s="380">
        <v>96.6</v>
      </c>
      <c r="GK37" s="141">
        <v>314</v>
      </c>
      <c r="GL37" s="391" t="s">
        <v>646</v>
      </c>
      <c r="GM37" s="391">
        <v>12.94</v>
      </c>
      <c r="GN37" s="117">
        <v>20</v>
      </c>
      <c r="GO37" s="391" t="s">
        <v>646</v>
      </c>
      <c r="GP37" s="392">
        <v>17.940000000000001</v>
      </c>
      <c r="GQ37" s="387">
        <v>30</v>
      </c>
      <c r="GR37" s="381">
        <v>3</v>
      </c>
      <c r="GS37" s="388">
        <v>25</v>
      </c>
      <c r="GT37" s="388">
        <v>35</v>
      </c>
      <c r="GU37" s="393" t="s">
        <v>646</v>
      </c>
      <c r="GV37" s="388">
        <v>350</v>
      </c>
      <c r="GW37" s="394"/>
      <c r="GX37" s="100">
        <f t="shared" si="17"/>
        <v>13136</v>
      </c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  <c r="HW37" s="394"/>
      <c r="HX37" s="394"/>
    </row>
    <row r="38" spans="1:232" x14ac:dyDescent="0.15">
      <c r="B38" s="89" t="s">
        <v>65</v>
      </c>
      <c r="C38" s="141">
        <v>5391389</v>
      </c>
      <c r="D38" s="73">
        <f t="shared" si="0"/>
        <v>2377544</v>
      </c>
      <c r="E38" s="141">
        <v>88642</v>
      </c>
      <c r="F38" s="141">
        <v>2288902</v>
      </c>
      <c r="G38" s="73">
        <f t="shared" si="1"/>
        <v>221604</v>
      </c>
      <c r="H38" s="141">
        <v>80284</v>
      </c>
      <c r="I38" s="141">
        <v>141320</v>
      </c>
      <c r="J38" s="141">
        <v>1981303</v>
      </c>
      <c r="K38" s="141">
        <v>651792</v>
      </c>
      <c r="L38" s="141">
        <v>1009768</v>
      </c>
      <c r="M38" s="141">
        <v>271086</v>
      </c>
      <c r="N38" s="141">
        <v>266595</v>
      </c>
      <c r="O38" s="141">
        <v>394817</v>
      </c>
      <c r="P38" s="141">
        <v>184225</v>
      </c>
      <c r="Q38" s="141">
        <v>210592</v>
      </c>
      <c r="R38" s="141">
        <v>115453</v>
      </c>
      <c r="S38" s="74"/>
      <c r="T38" s="73">
        <f t="shared" si="2"/>
        <v>1291982</v>
      </c>
      <c r="U38" s="141">
        <v>6969</v>
      </c>
      <c r="V38" s="141">
        <v>54912</v>
      </c>
      <c r="W38" s="141">
        <v>61549</v>
      </c>
      <c r="X38" s="141">
        <v>1100137</v>
      </c>
      <c r="Y38" s="141">
        <v>1633</v>
      </c>
      <c r="Z38" s="141">
        <v>0</v>
      </c>
      <c r="AA38" s="141">
        <v>0</v>
      </c>
      <c r="AB38" s="141">
        <v>22576</v>
      </c>
      <c r="AC38" s="141">
        <v>44206</v>
      </c>
      <c r="AD38" s="141">
        <v>82873</v>
      </c>
      <c r="AE38" s="141">
        <v>5069612</v>
      </c>
      <c r="AF38" s="141">
        <v>4768240</v>
      </c>
      <c r="AG38" s="141">
        <v>301372</v>
      </c>
      <c r="AH38" s="141">
        <v>6274</v>
      </c>
      <c r="AI38" s="141">
        <v>3586</v>
      </c>
      <c r="AJ38" s="73">
        <f t="shared" si="3"/>
        <v>202513</v>
      </c>
      <c r="AK38" s="141">
        <v>116981</v>
      </c>
      <c r="AL38" s="141">
        <v>85532</v>
      </c>
      <c r="AM38" s="141">
        <v>5316340</v>
      </c>
      <c r="AN38" s="73">
        <f t="shared" si="4"/>
        <v>1836596</v>
      </c>
      <c r="AO38" s="141">
        <v>766078</v>
      </c>
      <c r="AP38" s="141">
        <v>453589</v>
      </c>
      <c r="AQ38" s="74"/>
      <c r="AR38" s="141">
        <v>616929</v>
      </c>
      <c r="AS38" s="141">
        <v>222162</v>
      </c>
      <c r="AT38" s="141">
        <v>0</v>
      </c>
      <c r="AU38" s="141">
        <v>0</v>
      </c>
      <c r="AV38" s="141">
        <v>1637563</v>
      </c>
      <c r="AW38" s="141">
        <v>903727</v>
      </c>
      <c r="AX38" s="141">
        <v>160956</v>
      </c>
      <c r="AY38" s="141">
        <v>81753</v>
      </c>
      <c r="AZ38" s="141">
        <v>733836</v>
      </c>
      <c r="BA38" s="141">
        <v>41068</v>
      </c>
      <c r="BB38" s="141">
        <v>57209</v>
      </c>
      <c r="BC38" s="141">
        <v>52554</v>
      </c>
      <c r="BD38" s="141">
        <v>567016</v>
      </c>
      <c r="BE38" s="141">
        <v>437275</v>
      </c>
      <c r="BF38" s="141">
        <v>0</v>
      </c>
      <c r="BG38" s="141">
        <v>0</v>
      </c>
      <c r="BH38" s="141">
        <v>437136</v>
      </c>
      <c r="BI38" s="141">
        <v>0</v>
      </c>
      <c r="BJ38" s="141">
        <v>427007</v>
      </c>
      <c r="BK38" s="141">
        <v>373351</v>
      </c>
      <c r="BL38" s="141">
        <v>151941</v>
      </c>
      <c r="BM38" s="141">
        <v>0</v>
      </c>
      <c r="BN38" s="141">
        <v>60</v>
      </c>
      <c r="BO38" s="141">
        <v>0</v>
      </c>
      <c r="BP38" s="141">
        <v>789021</v>
      </c>
      <c r="BQ38" s="73">
        <f t="shared" si="5"/>
        <v>295500</v>
      </c>
      <c r="BR38" s="73">
        <f t="shared" si="6"/>
        <v>493521</v>
      </c>
      <c r="BS38" s="141">
        <v>0</v>
      </c>
      <c r="BT38" s="141">
        <v>1848</v>
      </c>
      <c r="BU38" s="141">
        <v>491673</v>
      </c>
      <c r="BV38" s="141">
        <v>0</v>
      </c>
      <c r="BW38" s="141">
        <v>21547054</v>
      </c>
      <c r="BX38" s="71"/>
      <c r="BY38" s="141">
        <v>3658656</v>
      </c>
      <c r="BZ38" s="141">
        <v>2173319</v>
      </c>
      <c r="CA38" s="141">
        <v>291834</v>
      </c>
      <c r="CB38" s="141">
        <v>507189</v>
      </c>
      <c r="CC38" s="141">
        <v>5735020</v>
      </c>
      <c r="CD38" s="141">
        <v>2082411</v>
      </c>
      <c r="CE38" s="141">
        <v>4737</v>
      </c>
      <c r="CF38" s="141">
        <v>2486279</v>
      </c>
      <c r="CG38" s="141">
        <v>904208</v>
      </c>
      <c r="CH38" s="141">
        <v>4414</v>
      </c>
      <c r="CI38" s="141">
        <v>252971</v>
      </c>
      <c r="CJ38" s="141">
        <v>1541502</v>
      </c>
      <c r="CK38" s="141">
        <v>1453541</v>
      </c>
      <c r="CL38" s="83">
        <f t="shared" si="7"/>
        <v>87961</v>
      </c>
      <c r="CM38" s="141">
        <v>2958420</v>
      </c>
      <c r="CN38" s="141">
        <v>2260957</v>
      </c>
      <c r="CO38" s="102"/>
      <c r="CP38" s="141">
        <v>309061</v>
      </c>
      <c r="CQ38" s="141">
        <v>38372</v>
      </c>
      <c r="CR38" s="141">
        <v>2462018</v>
      </c>
      <c r="CS38" s="141">
        <v>1138810</v>
      </c>
      <c r="CT38" s="141">
        <v>355794</v>
      </c>
      <c r="CU38" s="141">
        <v>257647</v>
      </c>
      <c r="CV38" s="73">
        <f t="shared" si="8"/>
        <v>641337</v>
      </c>
      <c r="CW38" s="141">
        <v>294618</v>
      </c>
      <c r="CX38" s="141">
        <v>346719</v>
      </c>
      <c r="CY38" s="73">
        <f t="shared" si="9"/>
        <v>283896</v>
      </c>
      <c r="CZ38" s="141">
        <v>237308</v>
      </c>
      <c r="DA38" s="141">
        <v>46588</v>
      </c>
      <c r="DB38" s="73">
        <f t="shared" si="10"/>
        <v>357441</v>
      </c>
      <c r="DC38" s="141">
        <v>57310</v>
      </c>
      <c r="DD38" s="141">
        <v>300131</v>
      </c>
      <c r="DE38" s="141">
        <v>880168</v>
      </c>
      <c r="DF38" s="141">
        <v>379355</v>
      </c>
      <c r="DG38" s="141">
        <v>498400</v>
      </c>
      <c r="DH38" s="141">
        <v>2413</v>
      </c>
      <c r="DI38" s="141">
        <v>0</v>
      </c>
      <c r="DJ38" s="141">
        <v>0</v>
      </c>
      <c r="DK38" s="141">
        <v>1247372</v>
      </c>
      <c r="DL38" s="141">
        <v>273658</v>
      </c>
      <c r="DM38" s="141">
        <v>92</v>
      </c>
      <c r="DN38" s="141">
        <v>973622</v>
      </c>
      <c r="DO38" s="141">
        <v>154000</v>
      </c>
      <c r="DP38" s="141">
        <v>154000</v>
      </c>
      <c r="DQ38" s="141">
        <v>0</v>
      </c>
      <c r="DR38" s="141">
        <v>0</v>
      </c>
      <c r="DS38" s="141">
        <v>0</v>
      </c>
      <c r="DT38" s="141">
        <v>0</v>
      </c>
      <c r="DU38" s="141">
        <v>0</v>
      </c>
      <c r="DV38" s="141">
        <v>2444045</v>
      </c>
      <c r="DW38" s="141">
        <v>0</v>
      </c>
      <c r="DX38" s="73">
        <f t="shared" si="11"/>
        <v>0</v>
      </c>
      <c r="DY38" s="141">
        <v>0</v>
      </c>
      <c r="DZ38" s="141">
        <v>985884</v>
      </c>
      <c r="EA38" s="141">
        <v>0</v>
      </c>
      <c r="EB38" s="141">
        <v>643187</v>
      </c>
      <c r="EC38" s="74">
        <v>0</v>
      </c>
      <c r="ED38" s="141">
        <v>814974</v>
      </c>
      <c r="EE38" s="141">
        <v>0</v>
      </c>
      <c r="EF38" s="141">
        <v>21119573</v>
      </c>
      <c r="EG38" s="71"/>
      <c r="EH38" s="141">
        <v>427481</v>
      </c>
      <c r="EI38" s="141">
        <v>7943</v>
      </c>
      <c r="EJ38" s="141">
        <v>419538</v>
      </c>
      <c r="EK38" s="141">
        <v>46187</v>
      </c>
      <c r="EL38" s="141">
        <v>319845</v>
      </c>
      <c r="EM38" s="71"/>
      <c r="EN38" s="141">
        <v>51254</v>
      </c>
      <c r="EO38" s="141">
        <v>52299</v>
      </c>
      <c r="EP38" s="141">
        <v>139</v>
      </c>
      <c r="EQ38" s="141">
        <v>2312</v>
      </c>
      <c r="ER38" s="73">
        <f t="shared" si="12"/>
        <v>1123652</v>
      </c>
      <c r="ES38" s="141">
        <v>11957583</v>
      </c>
      <c r="ET38" s="141">
        <v>-1613350</v>
      </c>
      <c r="EU38" s="141">
        <v>3311974</v>
      </c>
      <c r="EV38" s="141">
        <v>2173319</v>
      </c>
      <c r="EW38" s="141">
        <v>1237715</v>
      </c>
      <c r="EX38" s="141">
        <v>1541502</v>
      </c>
      <c r="EY38" s="73">
        <f t="shared" si="13"/>
        <v>142795</v>
      </c>
      <c r="EZ38" s="141">
        <v>142795</v>
      </c>
      <c r="FA38" s="141">
        <v>4575</v>
      </c>
      <c r="FB38" s="141">
        <v>138220</v>
      </c>
      <c r="FC38" s="141">
        <v>0</v>
      </c>
      <c r="FD38" s="141">
        <v>0</v>
      </c>
      <c r="FE38" s="141">
        <v>1960983</v>
      </c>
      <c r="FF38" s="141">
        <v>2191374</v>
      </c>
      <c r="FG38" s="141">
        <v>1106931</v>
      </c>
      <c r="FH38" s="141">
        <v>1934348</v>
      </c>
      <c r="FI38" s="73">
        <f t="shared" si="14"/>
        <v>822761</v>
      </c>
      <c r="FJ38" s="141">
        <v>13143452</v>
      </c>
      <c r="FK38" s="379">
        <f t="shared" si="15"/>
        <v>3.6</v>
      </c>
      <c r="FL38" s="141">
        <v>10942942</v>
      </c>
      <c r="FM38" s="141">
        <v>677236</v>
      </c>
      <c r="FN38" s="141">
        <v>4932258</v>
      </c>
      <c r="FO38" s="141">
        <v>9700498</v>
      </c>
      <c r="FP38" s="390">
        <v>0.52400000000000002</v>
      </c>
      <c r="FQ38" s="380">
        <v>94.2</v>
      </c>
      <c r="FR38" s="381">
        <v>27.3</v>
      </c>
      <c r="FS38" s="380">
        <v>10.5</v>
      </c>
      <c r="FT38" s="380">
        <v>13</v>
      </c>
      <c r="FU38" s="381">
        <v>12.1</v>
      </c>
      <c r="FV38" s="380">
        <v>14.1</v>
      </c>
      <c r="FW38" s="382">
        <v>16.399999999999999</v>
      </c>
      <c r="FX38" s="383">
        <v>7.4</v>
      </c>
      <c r="FY38" s="141">
        <v>15692654</v>
      </c>
      <c r="FZ38" s="384">
        <f t="shared" si="16"/>
        <v>135</v>
      </c>
      <c r="GA38" s="141">
        <v>3149539</v>
      </c>
      <c r="GB38" s="141">
        <v>990148</v>
      </c>
      <c r="GC38" s="141">
        <v>216146</v>
      </c>
      <c r="GD38" s="141">
        <v>1943245</v>
      </c>
      <c r="GE38" s="107">
        <v>0</v>
      </c>
      <c r="GF38" s="385"/>
      <c r="GG38" s="386"/>
      <c r="GH38" s="380">
        <v>98.9</v>
      </c>
      <c r="GI38" s="380">
        <v>51.5</v>
      </c>
      <c r="GJ38" s="380">
        <v>97.1</v>
      </c>
      <c r="GK38" s="141">
        <v>338</v>
      </c>
      <c r="GL38" s="391" t="s">
        <v>646</v>
      </c>
      <c r="GM38" s="391">
        <v>13.1</v>
      </c>
      <c r="GN38" s="117">
        <v>20</v>
      </c>
      <c r="GO38" s="391" t="s">
        <v>646</v>
      </c>
      <c r="GP38" s="392">
        <v>18.100000000000001</v>
      </c>
      <c r="GQ38" s="387">
        <v>30</v>
      </c>
      <c r="GR38" s="381">
        <v>7.4</v>
      </c>
      <c r="GS38" s="388">
        <v>25</v>
      </c>
      <c r="GT38" s="388">
        <v>35</v>
      </c>
      <c r="GU38" s="393">
        <v>43.7</v>
      </c>
      <c r="GV38" s="388">
        <v>350</v>
      </c>
      <c r="GW38" s="394"/>
      <c r="GX38" s="100">
        <f t="shared" si="17"/>
        <v>11620</v>
      </c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  <c r="HW38" s="394"/>
      <c r="HX38" s="394"/>
    </row>
    <row r="39" spans="1:232" s="112" customFormat="1" x14ac:dyDescent="0.15">
      <c r="A39" s="126"/>
      <c r="B39" s="126" t="s">
        <v>67</v>
      </c>
      <c r="C39" s="137">
        <v>764259666</v>
      </c>
      <c r="D39" s="127">
        <f t="shared" si="0"/>
        <v>294110960</v>
      </c>
      <c r="E39" s="137">
        <v>8458269</v>
      </c>
      <c r="F39" s="137">
        <v>285652691</v>
      </c>
      <c r="G39" s="127">
        <f t="shared" si="1"/>
        <v>45670725</v>
      </c>
      <c r="H39" s="137">
        <v>13957845</v>
      </c>
      <c r="I39" s="137">
        <v>31712880</v>
      </c>
      <c r="J39" s="137">
        <v>311190982</v>
      </c>
      <c r="K39" s="137">
        <v>127809227</v>
      </c>
      <c r="L39" s="137">
        <v>136349887</v>
      </c>
      <c r="M39" s="137">
        <v>41775260</v>
      </c>
      <c r="N39" s="137">
        <v>33084084</v>
      </c>
      <c r="O39" s="137">
        <v>64225311</v>
      </c>
      <c r="P39" s="137">
        <v>34899499</v>
      </c>
      <c r="Q39" s="137">
        <v>29325812</v>
      </c>
      <c r="R39" s="137">
        <v>10515208</v>
      </c>
      <c r="S39" s="129">
        <f>SUM(S8:S38)</f>
        <v>0</v>
      </c>
      <c r="T39" s="129">
        <f>SUM(T8:T38)</f>
        <v>138361119</v>
      </c>
      <c r="U39" s="137">
        <v>834191</v>
      </c>
      <c r="V39" s="137">
        <v>6594935</v>
      </c>
      <c r="W39" s="137">
        <v>7413233</v>
      </c>
      <c r="X39" s="137">
        <v>112594388</v>
      </c>
      <c r="Y39" s="137">
        <v>647124</v>
      </c>
      <c r="Z39" s="137">
        <v>0</v>
      </c>
      <c r="AA39" s="137">
        <v>0</v>
      </c>
      <c r="AB39" s="137">
        <v>1728963</v>
      </c>
      <c r="AC39" s="137">
        <v>8548285</v>
      </c>
      <c r="AD39" s="137">
        <v>11311737</v>
      </c>
      <c r="AE39" s="137">
        <v>239823235</v>
      </c>
      <c r="AF39" s="137">
        <v>228460248</v>
      </c>
      <c r="AG39" s="137">
        <v>11362840</v>
      </c>
      <c r="AH39" s="137">
        <v>691117</v>
      </c>
      <c r="AI39" s="137">
        <v>11589050</v>
      </c>
      <c r="AJ39" s="129">
        <f>SUM(AJ8:AJ38)</f>
        <v>28016252</v>
      </c>
      <c r="AK39" s="137">
        <v>20287004</v>
      </c>
      <c r="AL39" s="137">
        <v>7729248</v>
      </c>
      <c r="AM39" s="137">
        <v>654778857</v>
      </c>
      <c r="AN39" s="129">
        <f>SUM(AN8:AN38)</f>
        <v>266521862</v>
      </c>
      <c r="AO39" s="137">
        <v>147515848</v>
      </c>
      <c r="AP39" s="137">
        <v>52416347</v>
      </c>
      <c r="AQ39" s="129">
        <f>SUM(AQ8:AQ38)</f>
        <v>0</v>
      </c>
      <c r="AR39" s="137">
        <v>66589667</v>
      </c>
      <c r="AS39" s="137">
        <v>18728050</v>
      </c>
      <c r="AT39" s="137">
        <v>12849</v>
      </c>
      <c r="AU39" s="137">
        <v>268033</v>
      </c>
      <c r="AV39" s="137">
        <v>162327418</v>
      </c>
      <c r="AW39" s="137">
        <v>109206220</v>
      </c>
      <c r="AX39" s="137">
        <v>24453693</v>
      </c>
      <c r="AY39" s="137">
        <v>2008643</v>
      </c>
      <c r="AZ39" s="137">
        <v>53121198</v>
      </c>
      <c r="BA39" s="137">
        <v>2920717</v>
      </c>
      <c r="BB39" s="137">
        <v>11090962</v>
      </c>
      <c r="BC39" s="137">
        <v>8524277</v>
      </c>
      <c r="BD39" s="137">
        <v>25458602</v>
      </c>
      <c r="BE39" s="137">
        <v>34973018</v>
      </c>
      <c r="BF39" s="137">
        <v>4799380</v>
      </c>
      <c r="BG39" s="137">
        <v>4720454</v>
      </c>
      <c r="BH39" s="137">
        <v>23895928</v>
      </c>
      <c r="BI39" s="137">
        <v>72540</v>
      </c>
      <c r="BJ39" s="137">
        <v>39217953</v>
      </c>
      <c r="BK39" s="137">
        <v>20508607</v>
      </c>
      <c r="BL39" s="137">
        <v>42070427</v>
      </c>
      <c r="BM39" s="137">
        <v>7726881</v>
      </c>
      <c r="BN39" s="137">
        <v>30993</v>
      </c>
      <c r="BO39" s="137">
        <v>10826965</v>
      </c>
      <c r="BP39" s="137">
        <v>127180655</v>
      </c>
      <c r="BQ39" s="127">
        <f t="shared" si="5"/>
        <v>68681300</v>
      </c>
      <c r="BR39" s="127">
        <f t="shared" si="6"/>
        <v>58499355</v>
      </c>
      <c r="BS39" s="137">
        <v>0</v>
      </c>
      <c r="BT39" s="137">
        <v>1848</v>
      </c>
      <c r="BU39" s="137">
        <v>58497507</v>
      </c>
      <c r="BV39" s="137">
        <v>0</v>
      </c>
      <c r="BW39" s="137">
        <v>2301933309</v>
      </c>
      <c r="BX39" s="129"/>
      <c r="BY39" s="137">
        <v>313015823</v>
      </c>
      <c r="BZ39" s="137">
        <v>199042517</v>
      </c>
      <c r="CA39" s="137">
        <v>17419477</v>
      </c>
      <c r="CB39" s="137">
        <v>39286767</v>
      </c>
      <c r="CC39" s="137">
        <v>773985554</v>
      </c>
      <c r="CD39" s="137">
        <v>210146430</v>
      </c>
      <c r="CE39" s="137">
        <v>1532081</v>
      </c>
      <c r="CF39" s="137">
        <v>336118986</v>
      </c>
      <c r="CG39" s="137">
        <v>195211822</v>
      </c>
      <c r="CH39" s="137">
        <v>7915720</v>
      </c>
      <c r="CI39" s="137">
        <v>23043642</v>
      </c>
      <c r="CJ39" s="137">
        <v>154934284</v>
      </c>
      <c r="CK39" s="137">
        <v>148345778</v>
      </c>
      <c r="CL39" s="129">
        <f>SUM(CL8:CL38)</f>
        <v>6588506</v>
      </c>
      <c r="CM39" s="137">
        <v>298597874</v>
      </c>
      <c r="CN39" s="137">
        <v>217775948</v>
      </c>
      <c r="CO39" s="129"/>
      <c r="CP39" s="137">
        <v>38168654</v>
      </c>
      <c r="CQ39" s="137">
        <v>15942957</v>
      </c>
      <c r="CR39" s="137">
        <v>205462224</v>
      </c>
      <c r="CS39" s="137">
        <v>36199720</v>
      </c>
      <c r="CT39" s="137">
        <v>51252004</v>
      </c>
      <c r="CU39" s="137">
        <v>37758984</v>
      </c>
      <c r="CV39" s="127">
        <f t="shared" si="8"/>
        <v>63669232</v>
      </c>
      <c r="CW39" s="137">
        <v>44337523</v>
      </c>
      <c r="CX39" s="137">
        <v>19331709</v>
      </c>
      <c r="CY39" s="127">
        <f t="shared" si="9"/>
        <v>11136784</v>
      </c>
      <c r="CZ39" s="137">
        <v>9069920</v>
      </c>
      <c r="DA39" s="137">
        <v>2066864</v>
      </c>
      <c r="DB39" s="127">
        <f t="shared" si="10"/>
        <v>49577359</v>
      </c>
      <c r="DC39" s="137">
        <v>34566572</v>
      </c>
      <c r="DD39" s="137">
        <v>15010787</v>
      </c>
      <c r="DE39" s="137">
        <v>188931873</v>
      </c>
      <c r="DF39" s="137">
        <v>87425894</v>
      </c>
      <c r="DG39" s="137">
        <v>94149043</v>
      </c>
      <c r="DH39" s="137">
        <v>1631918</v>
      </c>
      <c r="DI39" s="137">
        <v>5614919</v>
      </c>
      <c r="DJ39" s="137">
        <v>374434</v>
      </c>
      <c r="DK39" s="137">
        <v>88938710</v>
      </c>
      <c r="DL39" s="137">
        <v>26983056</v>
      </c>
      <c r="DM39" s="137">
        <v>13497053</v>
      </c>
      <c r="DN39" s="137">
        <v>48458601</v>
      </c>
      <c r="DO39" s="137">
        <v>6866759</v>
      </c>
      <c r="DP39" s="137">
        <v>6830759</v>
      </c>
      <c r="DQ39" s="137">
        <v>675366</v>
      </c>
      <c r="DR39" s="137">
        <v>1347484</v>
      </c>
      <c r="DS39" s="137">
        <v>6948928</v>
      </c>
      <c r="DT39" s="137">
        <v>0</v>
      </c>
      <c r="DU39" s="137">
        <v>0</v>
      </c>
      <c r="DV39" s="137">
        <v>197349051</v>
      </c>
      <c r="DW39" s="137">
        <v>30077</v>
      </c>
      <c r="DX39" s="127">
        <f t="shared" si="11"/>
        <v>0</v>
      </c>
      <c r="DY39" s="137">
        <v>0</v>
      </c>
      <c r="DZ39" s="137">
        <v>72339266</v>
      </c>
      <c r="EA39" s="137">
        <v>43652</v>
      </c>
      <c r="EB39" s="137">
        <v>51202470</v>
      </c>
      <c r="EC39" s="129">
        <v>0</v>
      </c>
      <c r="ED39" s="137">
        <v>71666927</v>
      </c>
      <c r="EE39" s="137">
        <v>0</v>
      </c>
      <c r="EF39" s="137">
        <v>2251348471</v>
      </c>
      <c r="EG39" s="129"/>
      <c r="EH39" s="137">
        <v>50584838</v>
      </c>
      <c r="EI39" s="137">
        <v>13214682</v>
      </c>
      <c r="EJ39" s="137">
        <v>37370156</v>
      </c>
      <c r="EK39" s="137">
        <v>12646347</v>
      </c>
      <c r="EL39" s="137">
        <v>38403490</v>
      </c>
      <c r="EM39" s="129"/>
      <c r="EN39" s="129">
        <f>SUM(EN8:EN38)</f>
        <v>5083707</v>
      </c>
      <c r="EO39" s="129">
        <v>5065522</v>
      </c>
      <c r="EP39" s="137">
        <v>11642722</v>
      </c>
      <c r="EQ39" s="137">
        <v>8975863</v>
      </c>
      <c r="ER39" s="127">
        <f t="shared" si="12"/>
        <v>102920655</v>
      </c>
      <c r="ES39" s="137">
        <v>1165230115</v>
      </c>
      <c r="ET39" s="137">
        <v>-181079445</v>
      </c>
      <c r="EU39" s="137">
        <v>284419820</v>
      </c>
      <c r="EV39" s="137">
        <v>181119641</v>
      </c>
      <c r="EW39" s="137">
        <v>189562654</v>
      </c>
      <c r="EX39" s="137">
        <v>152796148</v>
      </c>
      <c r="EY39" s="127">
        <f t="shared" si="13"/>
        <v>47293038</v>
      </c>
      <c r="EZ39" s="137">
        <v>47200139</v>
      </c>
      <c r="FA39" s="137">
        <v>6827181</v>
      </c>
      <c r="FB39" s="137">
        <v>39962966</v>
      </c>
      <c r="FC39" s="137">
        <v>92899</v>
      </c>
      <c r="FD39" s="137">
        <v>0</v>
      </c>
      <c r="FE39" s="137">
        <v>203718538</v>
      </c>
      <c r="FF39" s="137">
        <v>178366146</v>
      </c>
      <c r="FG39" s="137">
        <v>35490915</v>
      </c>
      <c r="FH39" s="137">
        <v>154024179</v>
      </c>
      <c r="FI39" s="127">
        <f t="shared" si="14"/>
        <v>85706402</v>
      </c>
      <c r="FJ39" s="137">
        <v>1295886925</v>
      </c>
      <c r="FK39" s="396">
        <f t="shared" si="15"/>
        <v>3.3</v>
      </c>
      <c r="FL39" s="137">
        <v>1037349727</v>
      </c>
      <c r="FM39" s="137">
        <v>90545125</v>
      </c>
      <c r="FN39" s="137">
        <v>633294094</v>
      </c>
      <c r="FO39" s="137">
        <v>863079109</v>
      </c>
      <c r="FP39" s="397">
        <v>0.76400000000000001</v>
      </c>
      <c r="FQ39" s="398">
        <v>92</v>
      </c>
      <c r="FR39" s="399">
        <v>24.1</v>
      </c>
      <c r="FS39" s="398">
        <v>15.8</v>
      </c>
      <c r="FT39" s="398">
        <v>12.8</v>
      </c>
      <c r="FU39" s="399">
        <v>14.5</v>
      </c>
      <c r="FV39" s="398">
        <v>11</v>
      </c>
      <c r="FW39" s="400">
        <v>12.3</v>
      </c>
      <c r="FX39" s="401">
        <v>3</v>
      </c>
      <c r="FY39" s="137">
        <v>1475288559</v>
      </c>
      <c r="FZ39" s="402">
        <f t="shared" si="16"/>
        <v>130.80000000000001</v>
      </c>
      <c r="GA39" s="137">
        <v>446922178</v>
      </c>
      <c r="GB39" s="137">
        <v>184311914</v>
      </c>
      <c r="GC39" s="137">
        <v>39086246</v>
      </c>
      <c r="GD39" s="137">
        <v>223524018</v>
      </c>
      <c r="GE39" s="129">
        <v>0</v>
      </c>
      <c r="GF39" s="137">
        <f>SUM(GF8:GF38)</f>
        <v>19707</v>
      </c>
      <c r="GG39" s="403">
        <f>IF(GF39=0,"-",ROUND(GF39/GY39*100,1))</f>
        <v>5.2</v>
      </c>
      <c r="GH39" s="398">
        <v>99.5</v>
      </c>
      <c r="GI39" s="398">
        <v>59.1</v>
      </c>
      <c r="GJ39" s="398">
        <v>98.6</v>
      </c>
      <c r="GK39" s="129">
        <f>SUM(GK8:GK38)</f>
        <v>30028</v>
      </c>
      <c r="GL39" s="404" t="s">
        <v>646</v>
      </c>
      <c r="GM39" s="404" t="s">
        <v>646</v>
      </c>
      <c r="GN39" s="405" t="s">
        <v>646</v>
      </c>
      <c r="GO39" s="404" t="s">
        <v>646</v>
      </c>
      <c r="GP39" s="404" t="s">
        <v>646</v>
      </c>
      <c r="GQ39" s="405" t="s">
        <v>646</v>
      </c>
      <c r="GR39" s="399">
        <v>3</v>
      </c>
      <c r="GS39" s="403" t="s">
        <v>646</v>
      </c>
      <c r="GT39" s="403" t="s">
        <v>646</v>
      </c>
      <c r="GU39" s="406" t="s">
        <v>646</v>
      </c>
      <c r="GV39" s="403" t="s">
        <v>646</v>
      </c>
      <c r="GW39" s="407"/>
      <c r="GX39" s="128">
        <f t="shared" si="17"/>
        <v>1127895</v>
      </c>
      <c r="GY39" s="408">
        <f>GX12+GX13+GX16+GX17+GX19+GX23+GX26+GX27+GX30+GX31+GX36</f>
        <v>378600</v>
      </c>
      <c r="GZ39" s="408"/>
      <c r="HA39" s="408"/>
      <c r="HB39" s="408"/>
      <c r="HC39" s="408"/>
      <c r="HD39" s="408"/>
      <c r="HE39" s="408"/>
      <c r="HF39" s="408"/>
      <c r="HG39" s="408"/>
      <c r="HH39" s="408"/>
      <c r="HI39" s="408"/>
      <c r="HJ39" s="408"/>
      <c r="HK39" s="408"/>
      <c r="HL39" s="408"/>
      <c r="HM39" s="408"/>
      <c r="HN39" s="408"/>
      <c r="HO39" s="408"/>
      <c r="HP39" s="408"/>
      <c r="HQ39" s="408"/>
      <c r="HR39" s="408"/>
      <c r="HS39" s="408"/>
      <c r="HT39" s="408"/>
      <c r="HU39" s="408"/>
      <c r="HV39" s="408"/>
      <c r="HW39" s="408"/>
      <c r="HX39" s="408"/>
    </row>
    <row r="40" spans="1:232" x14ac:dyDescent="0.15">
      <c r="B40" s="89" t="s">
        <v>69</v>
      </c>
      <c r="C40" s="141">
        <v>5028272</v>
      </c>
      <c r="D40" s="73">
        <f t="shared" si="0"/>
        <v>1863478</v>
      </c>
      <c r="E40" s="141">
        <v>56286</v>
      </c>
      <c r="F40" s="141">
        <v>1807192</v>
      </c>
      <c r="G40" s="73">
        <f t="shared" si="1"/>
        <v>618451</v>
      </c>
      <c r="H40" s="141">
        <v>57420</v>
      </c>
      <c r="I40" s="141">
        <v>561031</v>
      </c>
      <c r="J40" s="141">
        <v>2005387</v>
      </c>
      <c r="K40" s="141">
        <v>654422</v>
      </c>
      <c r="L40" s="141">
        <v>945779</v>
      </c>
      <c r="M40" s="141">
        <v>378922</v>
      </c>
      <c r="N40" s="141">
        <v>115183</v>
      </c>
      <c r="O40" s="141">
        <v>390910</v>
      </c>
      <c r="P40" s="141">
        <v>184654</v>
      </c>
      <c r="Q40" s="141">
        <v>206256</v>
      </c>
      <c r="R40" s="141">
        <v>55929</v>
      </c>
      <c r="S40" s="74"/>
      <c r="T40" s="73">
        <f t="shared" ref="T40:T52" si="18">SUM(U40:AC40)</f>
        <v>869475</v>
      </c>
      <c r="U40" s="141">
        <v>5107</v>
      </c>
      <c r="V40" s="141">
        <v>40376</v>
      </c>
      <c r="W40" s="141">
        <v>45388</v>
      </c>
      <c r="X40" s="141">
        <v>624546</v>
      </c>
      <c r="Y40" s="141">
        <v>42930</v>
      </c>
      <c r="Z40" s="141">
        <v>0</v>
      </c>
      <c r="AA40" s="141">
        <v>0</v>
      </c>
      <c r="AB40" s="141">
        <v>10828</v>
      </c>
      <c r="AC40" s="141">
        <v>100300</v>
      </c>
      <c r="AD40" s="141">
        <v>63218</v>
      </c>
      <c r="AE40" s="141">
        <v>2052273</v>
      </c>
      <c r="AF40" s="141">
        <v>1900232</v>
      </c>
      <c r="AG40" s="141">
        <v>152041</v>
      </c>
      <c r="AH40" s="141">
        <v>2714</v>
      </c>
      <c r="AI40" s="141">
        <v>76586</v>
      </c>
      <c r="AJ40" s="73">
        <f t="shared" ref="AJ40:AJ52" si="19">AK40+AL40</f>
        <v>208837</v>
      </c>
      <c r="AK40" s="141">
        <v>172776</v>
      </c>
      <c r="AL40" s="141">
        <v>36061</v>
      </c>
      <c r="AM40" s="141">
        <v>3096434</v>
      </c>
      <c r="AN40" s="73">
        <f t="shared" ref="AN40:AN52" si="20">SUM(AO40:AR40)</f>
        <v>927653</v>
      </c>
      <c r="AO40" s="141">
        <v>192979</v>
      </c>
      <c r="AP40" s="141">
        <v>416587</v>
      </c>
      <c r="AQ40" s="74"/>
      <c r="AR40" s="141">
        <v>318087</v>
      </c>
      <c r="AS40" s="141">
        <v>313873</v>
      </c>
      <c r="AT40" s="141">
        <v>0</v>
      </c>
      <c r="AU40" s="141">
        <v>0</v>
      </c>
      <c r="AV40" s="141">
        <v>888062</v>
      </c>
      <c r="AW40" s="141">
        <v>548982</v>
      </c>
      <c r="AX40" s="141">
        <v>176026</v>
      </c>
      <c r="AY40" s="141">
        <v>12675</v>
      </c>
      <c r="AZ40" s="141">
        <v>339080</v>
      </c>
      <c r="BA40" s="141">
        <v>250</v>
      </c>
      <c r="BB40" s="141">
        <v>20617</v>
      </c>
      <c r="BC40" s="141">
        <v>17229</v>
      </c>
      <c r="BD40" s="141">
        <v>133168</v>
      </c>
      <c r="BE40" s="141">
        <v>112465</v>
      </c>
      <c r="BF40" s="141">
        <v>38299</v>
      </c>
      <c r="BG40" s="141">
        <v>0</v>
      </c>
      <c r="BH40" s="141">
        <v>20638</v>
      </c>
      <c r="BI40" s="141">
        <v>0</v>
      </c>
      <c r="BJ40" s="141">
        <v>84935</v>
      </c>
      <c r="BK40" s="141">
        <v>53026</v>
      </c>
      <c r="BL40" s="141">
        <v>111526</v>
      </c>
      <c r="BM40" s="141">
        <v>12737</v>
      </c>
      <c r="BN40" s="141">
        <v>0</v>
      </c>
      <c r="BO40" s="141">
        <v>0</v>
      </c>
      <c r="BP40" s="141">
        <v>1240051</v>
      </c>
      <c r="BQ40" s="73">
        <f t="shared" si="5"/>
        <v>683400</v>
      </c>
      <c r="BR40" s="73">
        <f t="shared" si="6"/>
        <v>556651</v>
      </c>
      <c r="BS40" s="141">
        <v>0</v>
      </c>
      <c r="BT40" s="141">
        <v>0</v>
      </c>
      <c r="BU40" s="141">
        <v>556651</v>
      </c>
      <c r="BV40" s="141">
        <v>0</v>
      </c>
      <c r="BW40" s="141">
        <v>14044562</v>
      </c>
      <c r="BX40" s="71"/>
      <c r="BY40" s="141">
        <v>2283400</v>
      </c>
      <c r="BZ40" s="141">
        <v>1319049</v>
      </c>
      <c r="CA40" s="141">
        <v>26626</v>
      </c>
      <c r="CB40" s="141">
        <v>520929</v>
      </c>
      <c r="CC40" s="141">
        <v>3782960</v>
      </c>
      <c r="CD40" s="141">
        <v>1102396</v>
      </c>
      <c r="CE40" s="141">
        <v>5385</v>
      </c>
      <c r="CF40" s="141">
        <v>2248004</v>
      </c>
      <c r="CG40" s="141">
        <v>266623</v>
      </c>
      <c r="CH40" s="141">
        <v>1935</v>
      </c>
      <c r="CI40" s="141">
        <v>158617</v>
      </c>
      <c r="CJ40" s="141">
        <v>1244577</v>
      </c>
      <c r="CK40" s="141">
        <v>1196480</v>
      </c>
      <c r="CL40" s="83">
        <f t="shared" ref="CL40:CL52" si="21">IF(CK40="","",CJ40-CK40)</f>
        <v>48097</v>
      </c>
      <c r="CM40" s="141">
        <v>2288071</v>
      </c>
      <c r="CN40" s="141">
        <v>1534704</v>
      </c>
      <c r="CO40" s="102"/>
      <c r="CP40" s="141">
        <v>291076</v>
      </c>
      <c r="CQ40" s="141">
        <v>78190</v>
      </c>
      <c r="CR40" s="141">
        <v>584704</v>
      </c>
      <c r="CS40" s="141">
        <v>1982</v>
      </c>
      <c r="CT40" s="141">
        <v>64871</v>
      </c>
      <c r="CU40" s="141">
        <v>61541</v>
      </c>
      <c r="CV40" s="73">
        <f t="shared" si="8"/>
        <v>249293</v>
      </c>
      <c r="CW40" s="141">
        <v>1109</v>
      </c>
      <c r="CX40" s="141">
        <v>248184</v>
      </c>
      <c r="CY40" s="73">
        <f t="shared" si="9"/>
        <v>0</v>
      </c>
      <c r="CZ40" s="141">
        <v>0</v>
      </c>
      <c r="DA40" s="141">
        <v>0</v>
      </c>
      <c r="DB40" s="73">
        <f t="shared" si="10"/>
        <v>231193</v>
      </c>
      <c r="DC40" s="141">
        <v>0</v>
      </c>
      <c r="DD40" s="141">
        <v>231193</v>
      </c>
      <c r="DE40" s="141">
        <v>1332773</v>
      </c>
      <c r="DF40" s="141">
        <v>663556</v>
      </c>
      <c r="DG40" s="141">
        <v>669217</v>
      </c>
      <c r="DH40" s="141">
        <v>0</v>
      </c>
      <c r="DI40" s="141">
        <v>0</v>
      </c>
      <c r="DJ40" s="141">
        <v>2737</v>
      </c>
      <c r="DK40" s="141">
        <v>692886</v>
      </c>
      <c r="DL40" s="141">
        <v>238614</v>
      </c>
      <c r="DM40" s="141">
        <v>0</v>
      </c>
      <c r="DN40" s="141">
        <v>454272</v>
      </c>
      <c r="DO40" s="141">
        <v>205473</v>
      </c>
      <c r="DP40" s="141">
        <v>205473</v>
      </c>
      <c r="DQ40" s="141">
        <v>1666</v>
      </c>
      <c r="DR40" s="141">
        <v>0</v>
      </c>
      <c r="DS40" s="141">
        <v>12560</v>
      </c>
      <c r="DT40" s="141">
        <v>0</v>
      </c>
      <c r="DU40" s="141">
        <v>0</v>
      </c>
      <c r="DV40" s="141">
        <v>1153621</v>
      </c>
      <c r="DW40" s="141">
        <v>0</v>
      </c>
      <c r="DX40" s="73">
        <f t="shared" si="11"/>
        <v>0</v>
      </c>
      <c r="DY40" s="141">
        <v>0</v>
      </c>
      <c r="DZ40" s="141">
        <v>432332</v>
      </c>
      <c r="EA40" s="141">
        <v>0</v>
      </c>
      <c r="EB40" s="141">
        <v>283081</v>
      </c>
      <c r="EC40" s="74">
        <v>0</v>
      </c>
      <c r="ED40" s="141">
        <v>438196</v>
      </c>
      <c r="EE40" s="141">
        <v>0</v>
      </c>
      <c r="EF40" s="141">
        <v>13661952</v>
      </c>
      <c r="EG40" s="71"/>
      <c r="EH40" s="141">
        <v>382610</v>
      </c>
      <c r="EI40" s="141">
        <v>102628</v>
      </c>
      <c r="EJ40" s="141">
        <v>279982</v>
      </c>
      <c r="EK40" s="141">
        <v>226956</v>
      </c>
      <c r="EL40" s="141">
        <v>427271</v>
      </c>
      <c r="EM40" s="71"/>
      <c r="EN40" s="141">
        <v>30927</v>
      </c>
      <c r="EO40" s="141">
        <v>31899</v>
      </c>
      <c r="EP40" s="141">
        <v>91827</v>
      </c>
      <c r="EQ40" s="141">
        <v>20578</v>
      </c>
      <c r="ER40" s="73">
        <f t="shared" si="12"/>
        <v>445121</v>
      </c>
      <c r="ES40" s="141">
        <v>8071881</v>
      </c>
      <c r="ET40" s="141">
        <v>-1111463</v>
      </c>
      <c r="EU40" s="141">
        <v>2030084</v>
      </c>
      <c r="EV40" s="141">
        <v>1208838</v>
      </c>
      <c r="EW40" s="141">
        <v>1017762</v>
      </c>
      <c r="EX40" s="141">
        <v>1205322</v>
      </c>
      <c r="EY40" s="73">
        <f t="shared" si="13"/>
        <v>298554</v>
      </c>
      <c r="EZ40" s="141">
        <v>295817</v>
      </c>
      <c r="FA40" s="141">
        <v>58503</v>
      </c>
      <c r="FB40" s="141">
        <v>237314</v>
      </c>
      <c r="FC40" s="141">
        <v>2737</v>
      </c>
      <c r="FD40" s="141">
        <v>0</v>
      </c>
      <c r="FE40" s="141">
        <v>1825981</v>
      </c>
      <c r="FF40" s="141">
        <v>535640</v>
      </c>
      <c r="FG40" s="141">
        <v>1982</v>
      </c>
      <c r="FH40" s="141">
        <v>931679</v>
      </c>
      <c r="FI40" s="73">
        <f t="shared" si="14"/>
        <v>955712</v>
      </c>
      <c r="FJ40" s="141">
        <v>8800734</v>
      </c>
      <c r="FK40" s="379">
        <f t="shared" si="15"/>
        <v>3.6</v>
      </c>
      <c r="FL40" s="141">
        <v>6914543</v>
      </c>
      <c r="FM40" s="141">
        <v>766737</v>
      </c>
      <c r="FN40" s="141">
        <v>3937571</v>
      </c>
      <c r="FO40" s="141">
        <v>5837803</v>
      </c>
      <c r="FP40" s="390">
        <v>0.74299999999999999</v>
      </c>
      <c r="FQ40" s="380">
        <v>90.2</v>
      </c>
      <c r="FR40" s="381">
        <v>24.7</v>
      </c>
      <c r="FS40" s="380">
        <v>12.5</v>
      </c>
      <c r="FT40" s="380">
        <v>14.8</v>
      </c>
      <c r="FU40" s="381">
        <v>20.100000000000001</v>
      </c>
      <c r="FV40" s="380">
        <v>5.3</v>
      </c>
      <c r="FW40" s="382">
        <v>10.9</v>
      </c>
      <c r="FX40" s="383">
        <v>5.7</v>
      </c>
      <c r="FY40" s="141">
        <v>12656780</v>
      </c>
      <c r="FZ40" s="384">
        <f t="shared" si="16"/>
        <v>164.8</v>
      </c>
      <c r="GA40" s="141">
        <v>4857848</v>
      </c>
      <c r="GB40" s="141">
        <v>1801862</v>
      </c>
      <c r="GC40" s="141">
        <v>975913</v>
      </c>
      <c r="GD40" s="141">
        <v>2080073</v>
      </c>
      <c r="GE40" s="107">
        <v>0</v>
      </c>
      <c r="GF40" s="385"/>
      <c r="GG40" s="386"/>
      <c r="GH40" s="380">
        <v>99.8</v>
      </c>
      <c r="GI40" s="380">
        <v>28.7</v>
      </c>
      <c r="GJ40" s="380">
        <v>95.8</v>
      </c>
      <c r="GK40" s="141">
        <v>233</v>
      </c>
      <c r="GL40" s="391" t="s">
        <v>646</v>
      </c>
      <c r="GM40" s="391">
        <v>13.84</v>
      </c>
      <c r="GN40" s="117">
        <v>20</v>
      </c>
      <c r="GO40" s="391" t="s">
        <v>646</v>
      </c>
      <c r="GP40" s="392">
        <v>18.84</v>
      </c>
      <c r="GQ40" s="387">
        <v>30</v>
      </c>
      <c r="GR40" s="381">
        <v>5.7</v>
      </c>
      <c r="GS40" s="388">
        <v>25</v>
      </c>
      <c r="GT40" s="388">
        <v>35</v>
      </c>
      <c r="GU40" s="393" t="s">
        <v>646</v>
      </c>
      <c r="GV40" s="388">
        <v>350</v>
      </c>
      <c r="GW40" s="394"/>
      <c r="GX40" s="100">
        <f t="shared" si="17"/>
        <v>7681</v>
      </c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  <c r="HW40" s="394"/>
      <c r="HX40" s="394"/>
    </row>
    <row r="41" spans="1:232" x14ac:dyDescent="0.15">
      <c r="B41" s="89" t="s">
        <v>71</v>
      </c>
      <c r="C41" s="141">
        <v>1696049</v>
      </c>
      <c r="D41" s="73">
        <f t="shared" si="0"/>
        <v>968953</v>
      </c>
      <c r="E41" s="141">
        <v>34538</v>
      </c>
      <c r="F41" s="141">
        <v>934415</v>
      </c>
      <c r="G41" s="73">
        <f t="shared" si="1"/>
        <v>41656</v>
      </c>
      <c r="H41" s="141">
        <v>20593</v>
      </c>
      <c r="I41" s="141">
        <v>21063</v>
      </c>
      <c r="J41" s="141">
        <v>597636</v>
      </c>
      <c r="K41" s="141">
        <v>171208</v>
      </c>
      <c r="L41" s="141">
        <v>309995</v>
      </c>
      <c r="M41" s="141">
        <v>116433</v>
      </c>
      <c r="N41" s="141">
        <v>48427</v>
      </c>
      <c r="O41" s="141">
        <v>0</v>
      </c>
      <c r="P41" s="141">
        <v>0</v>
      </c>
      <c r="Q41" s="141">
        <v>0</v>
      </c>
      <c r="R41" s="141">
        <v>58565</v>
      </c>
      <c r="S41" s="74"/>
      <c r="T41" s="73">
        <f t="shared" si="18"/>
        <v>457823</v>
      </c>
      <c r="U41" s="141">
        <v>3008</v>
      </c>
      <c r="V41" s="141">
        <v>23558</v>
      </c>
      <c r="W41" s="141">
        <v>26281</v>
      </c>
      <c r="X41" s="141">
        <v>379451</v>
      </c>
      <c r="Y41" s="141">
        <v>7286</v>
      </c>
      <c r="Z41" s="141">
        <v>0</v>
      </c>
      <c r="AA41" s="141">
        <v>0</v>
      </c>
      <c r="AB41" s="141">
        <v>11200</v>
      </c>
      <c r="AC41" s="141">
        <v>7039</v>
      </c>
      <c r="AD41" s="141">
        <v>19528</v>
      </c>
      <c r="AE41" s="141">
        <v>2831294</v>
      </c>
      <c r="AF41" s="141">
        <v>2594494</v>
      </c>
      <c r="AG41" s="141">
        <v>236800</v>
      </c>
      <c r="AH41" s="141">
        <v>2756</v>
      </c>
      <c r="AI41" s="141">
        <v>44244</v>
      </c>
      <c r="AJ41" s="73">
        <f t="shared" si="19"/>
        <v>50181</v>
      </c>
      <c r="AK41" s="141">
        <v>38095</v>
      </c>
      <c r="AL41" s="141">
        <v>12086</v>
      </c>
      <c r="AM41" s="141">
        <v>1409928</v>
      </c>
      <c r="AN41" s="73">
        <f t="shared" si="20"/>
        <v>172796</v>
      </c>
      <c r="AO41" s="141">
        <v>0</v>
      </c>
      <c r="AP41" s="141">
        <v>3800</v>
      </c>
      <c r="AQ41" s="74"/>
      <c r="AR41" s="141">
        <v>168996</v>
      </c>
      <c r="AS41" s="141">
        <v>21301</v>
      </c>
      <c r="AT41" s="141">
        <v>5493</v>
      </c>
      <c r="AU41" s="141">
        <v>0</v>
      </c>
      <c r="AV41" s="141">
        <v>483879</v>
      </c>
      <c r="AW41" s="141">
        <v>218947</v>
      </c>
      <c r="AX41" s="141">
        <v>1819</v>
      </c>
      <c r="AY41" s="141">
        <v>0</v>
      </c>
      <c r="AZ41" s="141">
        <v>264932</v>
      </c>
      <c r="BA41" s="141">
        <v>0</v>
      </c>
      <c r="BB41" s="141">
        <v>4916</v>
      </c>
      <c r="BC41" s="141">
        <v>0</v>
      </c>
      <c r="BD41" s="141">
        <v>25432</v>
      </c>
      <c r="BE41" s="141">
        <v>375552</v>
      </c>
      <c r="BF41" s="141">
        <v>300000</v>
      </c>
      <c r="BG41" s="141">
        <v>0</v>
      </c>
      <c r="BH41" s="141">
        <v>75552</v>
      </c>
      <c r="BI41" s="141">
        <v>0</v>
      </c>
      <c r="BJ41" s="141">
        <v>288199</v>
      </c>
      <c r="BK41" s="141">
        <v>188109</v>
      </c>
      <c r="BL41" s="141">
        <v>86087</v>
      </c>
      <c r="BM41" s="141">
        <v>5375</v>
      </c>
      <c r="BN41" s="141">
        <v>0</v>
      </c>
      <c r="BO41" s="141">
        <v>0</v>
      </c>
      <c r="BP41" s="141">
        <v>650386</v>
      </c>
      <c r="BQ41" s="73">
        <f t="shared" si="5"/>
        <v>374500</v>
      </c>
      <c r="BR41" s="73">
        <f t="shared" si="6"/>
        <v>275886</v>
      </c>
      <c r="BS41" s="141">
        <v>0</v>
      </c>
      <c r="BT41" s="141">
        <v>0</v>
      </c>
      <c r="BU41" s="141">
        <v>275886</v>
      </c>
      <c r="BV41" s="141">
        <v>0</v>
      </c>
      <c r="BW41" s="141">
        <v>8484819</v>
      </c>
      <c r="BX41" s="71"/>
      <c r="BY41" s="141">
        <v>1841814</v>
      </c>
      <c r="BZ41" s="141">
        <v>1014385</v>
      </c>
      <c r="CA41" s="141">
        <v>157406</v>
      </c>
      <c r="CB41" s="141">
        <v>317954</v>
      </c>
      <c r="CC41" s="141">
        <v>931029</v>
      </c>
      <c r="CD41" s="141">
        <v>581533</v>
      </c>
      <c r="CE41" s="141">
        <v>705</v>
      </c>
      <c r="CF41" s="141">
        <v>338638</v>
      </c>
      <c r="CG41" s="141">
        <v>0</v>
      </c>
      <c r="CH41" s="141">
        <v>0</v>
      </c>
      <c r="CI41" s="141">
        <v>10153</v>
      </c>
      <c r="CJ41" s="141">
        <v>593452</v>
      </c>
      <c r="CK41" s="141">
        <v>569543</v>
      </c>
      <c r="CL41" s="83">
        <f t="shared" si="21"/>
        <v>23909</v>
      </c>
      <c r="CM41" s="141">
        <v>1298369</v>
      </c>
      <c r="CN41" s="141">
        <v>871069</v>
      </c>
      <c r="CO41" s="102"/>
      <c r="CP41" s="141">
        <v>197742</v>
      </c>
      <c r="CQ41" s="141">
        <v>157935</v>
      </c>
      <c r="CR41" s="141">
        <v>904971</v>
      </c>
      <c r="CS41" s="141">
        <v>365000</v>
      </c>
      <c r="CT41" s="141">
        <v>110831</v>
      </c>
      <c r="CU41" s="141">
        <v>57117</v>
      </c>
      <c r="CV41" s="73">
        <f t="shared" si="8"/>
        <v>0</v>
      </c>
      <c r="CW41" s="141">
        <v>0</v>
      </c>
      <c r="CX41" s="141">
        <v>0</v>
      </c>
      <c r="CY41" s="73">
        <f t="shared" si="9"/>
        <v>0</v>
      </c>
      <c r="CZ41" s="141">
        <v>0</v>
      </c>
      <c r="DA41" s="141">
        <v>0</v>
      </c>
      <c r="DB41" s="73">
        <f t="shared" si="10"/>
        <v>0</v>
      </c>
      <c r="DC41" s="141">
        <v>0</v>
      </c>
      <c r="DD41" s="141">
        <v>0</v>
      </c>
      <c r="DE41" s="141">
        <v>643998</v>
      </c>
      <c r="DF41" s="141">
        <v>256897</v>
      </c>
      <c r="DG41" s="141">
        <v>373621</v>
      </c>
      <c r="DH41" s="141">
        <v>0</v>
      </c>
      <c r="DI41" s="141">
        <v>0</v>
      </c>
      <c r="DJ41" s="141">
        <v>192765</v>
      </c>
      <c r="DK41" s="141">
        <v>301297</v>
      </c>
      <c r="DL41" s="141">
        <v>195505</v>
      </c>
      <c r="DM41" s="141">
        <v>75592</v>
      </c>
      <c r="DN41" s="141">
        <v>30200</v>
      </c>
      <c r="DO41" s="141">
        <v>0</v>
      </c>
      <c r="DP41" s="141">
        <v>0</v>
      </c>
      <c r="DQ41" s="141">
        <v>0</v>
      </c>
      <c r="DR41" s="141">
        <v>0</v>
      </c>
      <c r="DS41" s="141">
        <v>3344</v>
      </c>
      <c r="DT41" s="141">
        <v>0</v>
      </c>
      <c r="DU41" s="141">
        <v>0</v>
      </c>
      <c r="DV41" s="141">
        <v>974786</v>
      </c>
      <c r="DW41" s="141">
        <v>87749</v>
      </c>
      <c r="DX41" s="73">
        <f t="shared" si="11"/>
        <v>0</v>
      </c>
      <c r="DY41" s="141">
        <v>0</v>
      </c>
      <c r="DZ41" s="141">
        <v>366869</v>
      </c>
      <c r="EA41" s="141">
        <v>0</v>
      </c>
      <c r="EB41" s="141">
        <v>168664</v>
      </c>
      <c r="EC41" s="74">
        <v>0</v>
      </c>
      <c r="ED41" s="141">
        <v>325695</v>
      </c>
      <c r="EE41" s="141">
        <v>0</v>
      </c>
      <c r="EF41" s="141">
        <v>7843760</v>
      </c>
      <c r="EG41" s="71"/>
      <c r="EH41" s="141">
        <v>641059</v>
      </c>
      <c r="EI41" s="141">
        <v>235955</v>
      </c>
      <c r="EJ41" s="141">
        <v>405104</v>
      </c>
      <c r="EK41" s="141">
        <v>216995</v>
      </c>
      <c r="EL41" s="141">
        <v>112500</v>
      </c>
      <c r="EM41" s="71"/>
      <c r="EN41" s="141">
        <v>18279</v>
      </c>
      <c r="EO41" s="141">
        <v>18823</v>
      </c>
      <c r="EP41" s="141">
        <v>300000</v>
      </c>
      <c r="EQ41" s="141">
        <v>0</v>
      </c>
      <c r="ER41" s="73">
        <f t="shared" si="12"/>
        <v>601515</v>
      </c>
      <c r="ES41" s="141">
        <v>5066015</v>
      </c>
      <c r="ET41" s="141">
        <v>-1174645</v>
      </c>
      <c r="EU41" s="141">
        <v>1647879</v>
      </c>
      <c r="EV41" s="141">
        <v>892368</v>
      </c>
      <c r="EW41" s="141">
        <v>171743</v>
      </c>
      <c r="EX41" s="141">
        <v>593452</v>
      </c>
      <c r="EY41" s="73">
        <f t="shared" si="13"/>
        <v>302921</v>
      </c>
      <c r="EZ41" s="141">
        <v>188736</v>
      </c>
      <c r="FA41" s="141">
        <v>28527</v>
      </c>
      <c r="FB41" s="141">
        <v>154229</v>
      </c>
      <c r="FC41" s="141">
        <v>114185</v>
      </c>
      <c r="FD41" s="141">
        <v>0</v>
      </c>
      <c r="FE41" s="141">
        <v>857959</v>
      </c>
      <c r="FF41" s="141">
        <v>798976</v>
      </c>
      <c r="FG41" s="141">
        <v>365000</v>
      </c>
      <c r="FH41" s="141">
        <v>811004</v>
      </c>
      <c r="FI41" s="73">
        <f t="shared" si="14"/>
        <v>415667</v>
      </c>
      <c r="FJ41" s="141">
        <v>5599601</v>
      </c>
      <c r="FK41" s="379">
        <f t="shared" si="15"/>
        <v>8</v>
      </c>
      <c r="FL41" s="141">
        <v>4761693</v>
      </c>
      <c r="FM41" s="141">
        <v>275886</v>
      </c>
      <c r="FN41" s="141">
        <v>1740726</v>
      </c>
      <c r="FO41" s="141">
        <v>4335220</v>
      </c>
      <c r="FP41" s="390">
        <v>0.436</v>
      </c>
      <c r="FQ41" s="380">
        <v>90.5</v>
      </c>
      <c r="FR41" s="381">
        <v>31.5</v>
      </c>
      <c r="FS41" s="380">
        <v>3.4</v>
      </c>
      <c r="FT41" s="380">
        <v>11.6</v>
      </c>
      <c r="FU41" s="381">
        <v>13.5</v>
      </c>
      <c r="FV41" s="380">
        <v>13.5</v>
      </c>
      <c r="FW41" s="382">
        <v>14.8</v>
      </c>
      <c r="FX41" s="383">
        <v>5.6</v>
      </c>
      <c r="FY41" s="141">
        <v>5776903</v>
      </c>
      <c r="FZ41" s="384">
        <f t="shared" si="16"/>
        <v>114.7</v>
      </c>
      <c r="GA41" s="141">
        <v>2148402</v>
      </c>
      <c r="GB41" s="141">
        <v>1324716</v>
      </c>
      <c r="GC41" s="141">
        <v>76269</v>
      </c>
      <c r="GD41" s="141">
        <v>747417</v>
      </c>
      <c r="GE41" s="107">
        <v>0</v>
      </c>
      <c r="GF41" s="385"/>
      <c r="GG41" s="386"/>
      <c r="GH41" s="380">
        <v>99.4</v>
      </c>
      <c r="GI41" s="380">
        <v>24.4</v>
      </c>
      <c r="GJ41" s="380">
        <v>97.6</v>
      </c>
      <c r="GK41" s="141">
        <v>155</v>
      </c>
      <c r="GL41" s="391" t="s">
        <v>646</v>
      </c>
      <c r="GM41" s="391">
        <v>14.98</v>
      </c>
      <c r="GN41" s="117">
        <v>20</v>
      </c>
      <c r="GO41" s="391" t="s">
        <v>646</v>
      </c>
      <c r="GP41" s="392">
        <v>19.98</v>
      </c>
      <c r="GQ41" s="387">
        <v>30</v>
      </c>
      <c r="GR41" s="381">
        <v>5.6</v>
      </c>
      <c r="GS41" s="388">
        <v>25</v>
      </c>
      <c r="GT41" s="388">
        <v>35</v>
      </c>
      <c r="GU41" s="393" t="s">
        <v>646</v>
      </c>
      <c r="GV41" s="388">
        <v>350</v>
      </c>
      <c r="GW41" s="394"/>
      <c r="GX41" s="100">
        <f t="shared" si="17"/>
        <v>5038</v>
      </c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  <c r="HW41" s="394"/>
      <c r="HX41" s="394"/>
    </row>
    <row r="42" spans="1:232" x14ac:dyDescent="0.15">
      <c r="B42" s="89" t="s">
        <v>73</v>
      </c>
      <c r="C42" s="141">
        <v>1074771</v>
      </c>
      <c r="D42" s="73">
        <f t="shared" si="0"/>
        <v>381238</v>
      </c>
      <c r="E42" s="141">
        <v>16977</v>
      </c>
      <c r="F42" s="141">
        <v>364261</v>
      </c>
      <c r="G42" s="73">
        <f t="shared" si="1"/>
        <v>42296</v>
      </c>
      <c r="H42" s="141">
        <v>21674</v>
      </c>
      <c r="I42" s="141">
        <v>20622</v>
      </c>
      <c r="J42" s="141">
        <v>551075</v>
      </c>
      <c r="K42" s="141">
        <v>110151</v>
      </c>
      <c r="L42" s="141">
        <v>200487</v>
      </c>
      <c r="M42" s="141">
        <v>240379</v>
      </c>
      <c r="N42" s="141">
        <v>53133</v>
      </c>
      <c r="O42" s="141">
        <v>0</v>
      </c>
      <c r="P42" s="141">
        <v>0</v>
      </c>
      <c r="Q42" s="141">
        <v>0</v>
      </c>
      <c r="R42" s="141">
        <v>69529</v>
      </c>
      <c r="S42" s="74"/>
      <c r="T42" s="73">
        <f t="shared" si="18"/>
        <v>281599</v>
      </c>
      <c r="U42" s="141">
        <v>1129</v>
      </c>
      <c r="V42" s="141">
        <v>8898</v>
      </c>
      <c r="W42" s="141">
        <v>9965</v>
      </c>
      <c r="X42" s="141">
        <v>217001</v>
      </c>
      <c r="Y42" s="141">
        <v>21145</v>
      </c>
      <c r="Z42" s="141">
        <v>0</v>
      </c>
      <c r="AA42" s="141">
        <v>0</v>
      </c>
      <c r="AB42" s="141">
        <v>12235</v>
      </c>
      <c r="AC42" s="141">
        <v>11226</v>
      </c>
      <c r="AD42" s="141">
        <v>29834</v>
      </c>
      <c r="AE42" s="141">
        <v>2427177</v>
      </c>
      <c r="AF42" s="141">
        <v>2145753</v>
      </c>
      <c r="AG42" s="141">
        <v>281424</v>
      </c>
      <c r="AH42" s="141">
        <v>1615</v>
      </c>
      <c r="AI42" s="141">
        <v>9709</v>
      </c>
      <c r="AJ42" s="73">
        <f t="shared" si="19"/>
        <v>70874</v>
      </c>
      <c r="AK42" s="141">
        <v>36455</v>
      </c>
      <c r="AL42" s="141">
        <v>34419</v>
      </c>
      <c r="AM42" s="141">
        <v>715304</v>
      </c>
      <c r="AN42" s="73">
        <f t="shared" si="20"/>
        <v>123097</v>
      </c>
      <c r="AO42" s="141">
        <v>0</v>
      </c>
      <c r="AP42" s="141">
        <v>0</v>
      </c>
      <c r="AQ42" s="74"/>
      <c r="AR42" s="141">
        <v>123097</v>
      </c>
      <c r="AS42" s="141">
        <v>0</v>
      </c>
      <c r="AT42" s="141">
        <v>1105</v>
      </c>
      <c r="AU42" s="141">
        <v>0</v>
      </c>
      <c r="AV42" s="141">
        <v>386854</v>
      </c>
      <c r="AW42" s="141">
        <v>147306</v>
      </c>
      <c r="AX42" s="141">
        <v>0</v>
      </c>
      <c r="AY42" s="141">
        <v>0</v>
      </c>
      <c r="AZ42" s="141">
        <v>239548</v>
      </c>
      <c r="BA42" s="141">
        <v>0</v>
      </c>
      <c r="BB42" s="141">
        <v>7181</v>
      </c>
      <c r="BC42" s="141">
        <v>200</v>
      </c>
      <c r="BD42" s="141">
        <v>16535</v>
      </c>
      <c r="BE42" s="141">
        <v>282951</v>
      </c>
      <c r="BF42" s="141">
        <v>200000</v>
      </c>
      <c r="BG42" s="141">
        <v>0</v>
      </c>
      <c r="BH42" s="141">
        <v>74583</v>
      </c>
      <c r="BI42" s="141">
        <v>0</v>
      </c>
      <c r="BJ42" s="141">
        <v>365138</v>
      </c>
      <c r="BK42" s="141">
        <v>170805</v>
      </c>
      <c r="BL42" s="141">
        <v>36838</v>
      </c>
      <c r="BM42" s="141">
        <v>0</v>
      </c>
      <c r="BN42" s="141">
        <v>0</v>
      </c>
      <c r="BO42" s="141">
        <v>0</v>
      </c>
      <c r="BP42" s="141">
        <v>470278</v>
      </c>
      <c r="BQ42" s="73">
        <f t="shared" si="5"/>
        <v>347400</v>
      </c>
      <c r="BR42" s="73">
        <f t="shared" si="6"/>
        <v>122878</v>
      </c>
      <c r="BS42" s="141">
        <v>0</v>
      </c>
      <c r="BT42" s="141">
        <v>0</v>
      </c>
      <c r="BU42" s="141">
        <v>122878</v>
      </c>
      <c r="BV42" s="141">
        <v>0</v>
      </c>
      <c r="BW42" s="141">
        <v>6246187</v>
      </c>
      <c r="BX42" s="71"/>
      <c r="BY42" s="141">
        <v>1036342</v>
      </c>
      <c r="BZ42" s="141">
        <v>511085</v>
      </c>
      <c r="CA42" s="141">
        <v>103109</v>
      </c>
      <c r="CB42" s="141">
        <v>171894</v>
      </c>
      <c r="CC42" s="141">
        <v>651083</v>
      </c>
      <c r="CD42" s="141">
        <v>391852</v>
      </c>
      <c r="CE42" s="141">
        <v>794</v>
      </c>
      <c r="CF42" s="141">
        <v>222310</v>
      </c>
      <c r="CG42" s="141">
        <v>0</v>
      </c>
      <c r="CH42" s="141">
        <v>5511</v>
      </c>
      <c r="CI42" s="141">
        <v>30616</v>
      </c>
      <c r="CJ42" s="141">
        <v>561154</v>
      </c>
      <c r="CK42" s="141">
        <v>529131</v>
      </c>
      <c r="CL42" s="83">
        <f t="shared" si="21"/>
        <v>32023</v>
      </c>
      <c r="CM42" s="141">
        <v>958614</v>
      </c>
      <c r="CN42" s="141">
        <v>688912</v>
      </c>
      <c r="CO42" s="102"/>
      <c r="CP42" s="141">
        <v>130092</v>
      </c>
      <c r="CQ42" s="141">
        <v>14130</v>
      </c>
      <c r="CR42" s="141">
        <v>849023</v>
      </c>
      <c r="CS42" s="141">
        <v>156722</v>
      </c>
      <c r="CT42" s="141">
        <v>222659</v>
      </c>
      <c r="CU42" s="141">
        <v>179666</v>
      </c>
      <c r="CV42" s="73">
        <f t="shared" si="8"/>
        <v>131060</v>
      </c>
      <c r="CW42" s="141">
        <v>2599</v>
      </c>
      <c r="CX42" s="141">
        <v>128461</v>
      </c>
      <c r="CY42" s="73">
        <f t="shared" si="9"/>
        <v>0</v>
      </c>
      <c r="CZ42" s="141">
        <v>0</v>
      </c>
      <c r="DA42" s="141">
        <v>0</v>
      </c>
      <c r="DB42" s="73">
        <f t="shared" si="10"/>
        <v>0</v>
      </c>
      <c r="DC42" s="141">
        <v>0</v>
      </c>
      <c r="DD42" s="141">
        <v>0</v>
      </c>
      <c r="DE42" s="141">
        <v>522184</v>
      </c>
      <c r="DF42" s="141">
        <v>78245</v>
      </c>
      <c r="DG42" s="141">
        <v>443939</v>
      </c>
      <c r="DH42" s="141">
        <v>0</v>
      </c>
      <c r="DI42" s="141">
        <v>0</v>
      </c>
      <c r="DJ42" s="141">
        <v>2100</v>
      </c>
      <c r="DK42" s="141">
        <v>447258</v>
      </c>
      <c r="DL42" s="141">
        <v>380210</v>
      </c>
      <c r="DM42" s="141">
        <v>0</v>
      </c>
      <c r="DN42" s="141">
        <v>67048</v>
      </c>
      <c r="DO42" s="141">
        <v>67889</v>
      </c>
      <c r="DP42" s="141">
        <v>67889</v>
      </c>
      <c r="DQ42" s="141">
        <v>67889</v>
      </c>
      <c r="DR42" s="141">
        <v>0</v>
      </c>
      <c r="DS42" s="141">
        <v>0</v>
      </c>
      <c r="DT42" s="141">
        <v>0</v>
      </c>
      <c r="DU42" s="141">
        <v>0</v>
      </c>
      <c r="DV42" s="141">
        <v>755663</v>
      </c>
      <c r="DW42" s="141">
        <v>221500</v>
      </c>
      <c r="DX42" s="73">
        <f t="shared" si="11"/>
        <v>0</v>
      </c>
      <c r="DY42" s="141">
        <v>0</v>
      </c>
      <c r="DZ42" s="141">
        <v>211246</v>
      </c>
      <c r="EA42" s="141">
        <v>0</v>
      </c>
      <c r="EB42" s="141">
        <v>135793</v>
      </c>
      <c r="EC42" s="74">
        <v>0</v>
      </c>
      <c r="ED42" s="141">
        <v>187124</v>
      </c>
      <c r="EE42" s="141">
        <v>0</v>
      </c>
      <c r="EF42" s="141">
        <v>5865440</v>
      </c>
      <c r="EG42" s="71"/>
      <c r="EH42" s="141">
        <v>380747</v>
      </c>
      <c r="EI42" s="141">
        <v>67785</v>
      </c>
      <c r="EJ42" s="141">
        <v>312962</v>
      </c>
      <c r="EK42" s="141">
        <v>142157</v>
      </c>
      <c r="EL42" s="141">
        <v>322367</v>
      </c>
      <c r="EM42" s="71"/>
      <c r="EN42" s="141">
        <v>9079</v>
      </c>
      <c r="EO42" s="141">
        <v>9487</v>
      </c>
      <c r="EP42" s="141">
        <v>272368</v>
      </c>
      <c r="EQ42" s="141">
        <v>5350</v>
      </c>
      <c r="ER42" s="73">
        <f t="shared" si="12"/>
        <v>492135</v>
      </c>
      <c r="ES42" s="141">
        <v>3884525</v>
      </c>
      <c r="ET42" s="141">
        <v>-891116</v>
      </c>
      <c r="EU42" s="141">
        <v>951458</v>
      </c>
      <c r="EV42" s="141">
        <v>460083</v>
      </c>
      <c r="EW42" s="141">
        <v>157064</v>
      </c>
      <c r="EX42" s="141">
        <v>561154</v>
      </c>
      <c r="EY42" s="73">
        <f t="shared" si="13"/>
        <v>143111</v>
      </c>
      <c r="EZ42" s="141">
        <v>142743</v>
      </c>
      <c r="FA42" s="141">
        <v>35062</v>
      </c>
      <c r="FB42" s="141">
        <v>107681</v>
      </c>
      <c r="FC42" s="141">
        <v>368</v>
      </c>
      <c r="FD42" s="141">
        <v>0</v>
      </c>
      <c r="FE42" s="141">
        <v>690297</v>
      </c>
      <c r="FF42" s="141">
        <v>731827</v>
      </c>
      <c r="FG42" s="141">
        <v>156722</v>
      </c>
      <c r="FH42" s="141">
        <v>637574</v>
      </c>
      <c r="FI42" s="73">
        <f t="shared" si="14"/>
        <v>522409</v>
      </c>
      <c r="FJ42" s="141">
        <v>4394894</v>
      </c>
      <c r="FK42" s="379">
        <f t="shared" si="15"/>
        <v>8.4</v>
      </c>
      <c r="FL42" s="141">
        <v>3566569</v>
      </c>
      <c r="FM42" s="141">
        <v>169253</v>
      </c>
      <c r="FN42" s="141">
        <v>1135653</v>
      </c>
      <c r="FO42" s="141">
        <v>3282360</v>
      </c>
      <c r="FP42" s="390">
        <v>0.372</v>
      </c>
      <c r="FQ42" s="380">
        <v>92.3</v>
      </c>
      <c r="FR42" s="381">
        <v>23.8</v>
      </c>
      <c r="FS42" s="380">
        <v>3.6</v>
      </c>
      <c r="FT42" s="380">
        <v>15</v>
      </c>
      <c r="FU42" s="381">
        <v>15.6</v>
      </c>
      <c r="FV42" s="380">
        <v>16.5</v>
      </c>
      <c r="FW42" s="382">
        <v>15.7</v>
      </c>
      <c r="FX42" s="383">
        <v>15.1</v>
      </c>
      <c r="FY42" s="141">
        <v>6972369</v>
      </c>
      <c r="FZ42" s="384">
        <f t="shared" si="16"/>
        <v>186.6</v>
      </c>
      <c r="GA42" s="141">
        <v>1888650</v>
      </c>
      <c r="GB42" s="141">
        <v>1427975</v>
      </c>
      <c r="GC42" s="141">
        <v>0</v>
      </c>
      <c r="GD42" s="141">
        <v>460675</v>
      </c>
      <c r="GE42" s="107">
        <v>0</v>
      </c>
      <c r="GF42" s="385"/>
      <c r="GG42" s="386"/>
      <c r="GH42" s="380">
        <v>99.5</v>
      </c>
      <c r="GI42" s="380">
        <v>28.5</v>
      </c>
      <c r="GJ42" s="380">
        <v>97</v>
      </c>
      <c r="GK42" s="141">
        <v>88</v>
      </c>
      <c r="GL42" s="391" t="s">
        <v>646</v>
      </c>
      <c r="GM42" s="391">
        <v>15</v>
      </c>
      <c r="GN42" s="117">
        <v>20</v>
      </c>
      <c r="GO42" s="391" t="s">
        <v>646</v>
      </c>
      <c r="GP42" s="392">
        <v>20</v>
      </c>
      <c r="GQ42" s="387">
        <v>30</v>
      </c>
      <c r="GR42" s="381">
        <v>15.1</v>
      </c>
      <c r="GS42" s="388">
        <v>25</v>
      </c>
      <c r="GT42" s="388">
        <v>35</v>
      </c>
      <c r="GU42" s="393">
        <v>108</v>
      </c>
      <c r="GV42" s="388">
        <v>350</v>
      </c>
      <c r="GW42" s="394"/>
      <c r="GX42" s="100">
        <f t="shared" si="17"/>
        <v>3736</v>
      </c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  <c r="HW42" s="394"/>
      <c r="HX42" s="394"/>
    </row>
    <row r="43" spans="1:232" x14ac:dyDescent="0.15">
      <c r="B43" s="89" t="s">
        <v>75</v>
      </c>
      <c r="C43" s="141">
        <v>2380820</v>
      </c>
      <c r="D43" s="73">
        <f t="shared" si="0"/>
        <v>760396</v>
      </c>
      <c r="E43" s="141">
        <v>26698</v>
      </c>
      <c r="F43" s="141">
        <v>733698</v>
      </c>
      <c r="G43" s="73">
        <f t="shared" si="1"/>
        <v>179289</v>
      </c>
      <c r="H43" s="141">
        <v>48691</v>
      </c>
      <c r="I43" s="141">
        <v>130598</v>
      </c>
      <c r="J43" s="141">
        <v>1055504</v>
      </c>
      <c r="K43" s="141">
        <v>502874</v>
      </c>
      <c r="L43" s="141">
        <v>382125</v>
      </c>
      <c r="M43" s="141">
        <v>159165</v>
      </c>
      <c r="N43" s="141">
        <v>121628</v>
      </c>
      <c r="O43" s="141">
        <v>222702</v>
      </c>
      <c r="P43" s="141">
        <v>137469</v>
      </c>
      <c r="Q43" s="141">
        <v>85233</v>
      </c>
      <c r="R43" s="141">
        <v>34505</v>
      </c>
      <c r="S43" s="74"/>
      <c r="T43" s="73">
        <f t="shared" si="18"/>
        <v>452940</v>
      </c>
      <c r="U43" s="141">
        <v>2139</v>
      </c>
      <c r="V43" s="141">
        <v>16880</v>
      </c>
      <c r="W43" s="141">
        <v>18944</v>
      </c>
      <c r="X43" s="141">
        <v>377326</v>
      </c>
      <c r="Y43" s="141">
        <v>0</v>
      </c>
      <c r="Z43" s="141">
        <v>0</v>
      </c>
      <c r="AA43" s="141">
        <v>0</v>
      </c>
      <c r="AB43" s="141">
        <v>6854</v>
      </c>
      <c r="AC43" s="141">
        <v>30797</v>
      </c>
      <c r="AD43" s="141">
        <v>41422</v>
      </c>
      <c r="AE43" s="141">
        <v>2003715</v>
      </c>
      <c r="AF43" s="141">
        <v>1766322</v>
      </c>
      <c r="AG43" s="141">
        <v>237393</v>
      </c>
      <c r="AH43" s="141">
        <v>3146</v>
      </c>
      <c r="AI43" s="141">
        <v>614</v>
      </c>
      <c r="AJ43" s="73">
        <f t="shared" si="19"/>
        <v>94883</v>
      </c>
      <c r="AK43" s="141">
        <v>52649</v>
      </c>
      <c r="AL43" s="141">
        <v>42234</v>
      </c>
      <c r="AM43" s="141">
        <v>1450608</v>
      </c>
      <c r="AN43" s="73">
        <f t="shared" si="20"/>
        <v>284162</v>
      </c>
      <c r="AO43" s="141">
        <v>0</v>
      </c>
      <c r="AP43" s="141">
        <v>112856</v>
      </c>
      <c r="AQ43" s="74"/>
      <c r="AR43" s="141">
        <v>171306</v>
      </c>
      <c r="AS43" s="141">
        <v>173259</v>
      </c>
      <c r="AT43" s="141">
        <v>0</v>
      </c>
      <c r="AU43" s="141">
        <v>0</v>
      </c>
      <c r="AV43" s="141">
        <v>560723</v>
      </c>
      <c r="AW43" s="141">
        <v>305623</v>
      </c>
      <c r="AX43" s="141">
        <v>52512</v>
      </c>
      <c r="AY43" s="141">
        <v>0</v>
      </c>
      <c r="AZ43" s="141">
        <v>255100</v>
      </c>
      <c r="BA43" s="141">
        <v>29100</v>
      </c>
      <c r="BB43" s="141">
        <v>33636</v>
      </c>
      <c r="BC43" s="141">
        <v>0</v>
      </c>
      <c r="BD43" s="141">
        <v>224063</v>
      </c>
      <c r="BE43" s="141">
        <v>32054</v>
      </c>
      <c r="BF43" s="141">
        <v>0</v>
      </c>
      <c r="BG43" s="141">
        <v>0</v>
      </c>
      <c r="BH43" s="141">
        <v>32054</v>
      </c>
      <c r="BI43" s="141">
        <v>0</v>
      </c>
      <c r="BJ43" s="141">
        <v>17597</v>
      </c>
      <c r="BK43" s="141">
        <v>10130</v>
      </c>
      <c r="BL43" s="141">
        <v>105677</v>
      </c>
      <c r="BM43" s="141">
        <v>0</v>
      </c>
      <c r="BN43" s="141">
        <v>0</v>
      </c>
      <c r="BO43" s="141">
        <v>0</v>
      </c>
      <c r="BP43" s="141">
        <v>626109</v>
      </c>
      <c r="BQ43" s="73">
        <f t="shared" si="5"/>
        <v>345300</v>
      </c>
      <c r="BR43" s="73">
        <f t="shared" si="6"/>
        <v>280809</v>
      </c>
      <c r="BS43" s="141">
        <v>0</v>
      </c>
      <c r="BT43" s="141">
        <v>0</v>
      </c>
      <c r="BU43" s="141">
        <v>280809</v>
      </c>
      <c r="BV43" s="141">
        <v>0</v>
      </c>
      <c r="BW43" s="141">
        <v>8062512</v>
      </c>
      <c r="BX43" s="71"/>
      <c r="BY43" s="141">
        <v>1508566</v>
      </c>
      <c r="BZ43" s="141">
        <v>937838</v>
      </c>
      <c r="CA43" s="141">
        <v>115516</v>
      </c>
      <c r="CB43" s="141">
        <v>135446</v>
      </c>
      <c r="CC43" s="141">
        <v>1479978</v>
      </c>
      <c r="CD43" s="141">
        <v>642091</v>
      </c>
      <c r="CE43" s="141">
        <v>384</v>
      </c>
      <c r="CF43" s="141">
        <v>794954</v>
      </c>
      <c r="CG43" s="141">
        <v>0</v>
      </c>
      <c r="CH43" s="141">
        <v>0</v>
      </c>
      <c r="CI43" s="141">
        <v>42549</v>
      </c>
      <c r="CJ43" s="141">
        <v>758535</v>
      </c>
      <c r="CK43" s="141">
        <v>710229</v>
      </c>
      <c r="CL43" s="83">
        <f t="shared" si="21"/>
        <v>48306</v>
      </c>
      <c r="CM43" s="141">
        <v>1303536</v>
      </c>
      <c r="CN43" s="141">
        <v>930433</v>
      </c>
      <c r="CO43" s="102"/>
      <c r="CP43" s="141">
        <v>160713</v>
      </c>
      <c r="CQ43" s="141">
        <v>18050</v>
      </c>
      <c r="CR43" s="141">
        <v>742284</v>
      </c>
      <c r="CS43" s="141">
        <v>22532</v>
      </c>
      <c r="CT43" s="141">
        <v>104826</v>
      </c>
      <c r="CU43" s="141">
        <v>93961</v>
      </c>
      <c r="CV43" s="73">
        <f t="shared" si="8"/>
        <v>349000</v>
      </c>
      <c r="CW43" s="141">
        <v>349000</v>
      </c>
      <c r="CX43" s="141">
        <v>0</v>
      </c>
      <c r="CY43" s="73">
        <f t="shared" si="9"/>
        <v>0</v>
      </c>
      <c r="CZ43" s="141">
        <v>0</v>
      </c>
      <c r="DA43" s="141">
        <v>0</v>
      </c>
      <c r="DB43" s="73">
        <f t="shared" si="10"/>
        <v>349000</v>
      </c>
      <c r="DC43" s="141">
        <v>349000</v>
      </c>
      <c r="DD43" s="141">
        <v>0</v>
      </c>
      <c r="DE43" s="141">
        <v>650576</v>
      </c>
      <c r="DF43" s="141">
        <v>292573</v>
      </c>
      <c r="DG43" s="141">
        <v>357349</v>
      </c>
      <c r="DH43" s="141">
        <v>0</v>
      </c>
      <c r="DI43" s="141">
        <v>0</v>
      </c>
      <c r="DJ43" s="141">
        <v>0</v>
      </c>
      <c r="DK43" s="141">
        <v>128133</v>
      </c>
      <c r="DL43" s="141">
        <v>66981</v>
      </c>
      <c r="DM43" s="141">
        <v>0</v>
      </c>
      <c r="DN43" s="141">
        <v>61152</v>
      </c>
      <c r="DO43" s="141">
        <v>121000</v>
      </c>
      <c r="DP43" s="141">
        <v>121000</v>
      </c>
      <c r="DQ43" s="141">
        <v>0</v>
      </c>
      <c r="DR43" s="141">
        <v>0</v>
      </c>
      <c r="DS43" s="141">
        <v>0</v>
      </c>
      <c r="DT43" s="141">
        <v>0</v>
      </c>
      <c r="DU43" s="141">
        <v>0</v>
      </c>
      <c r="DV43" s="141">
        <v>786153</v>
      </c>
      <c r="DW43" s="141">
        <v>0</v>
      </c>
      <c r="DX43" s="73">
        <f t="shared" si="11"/>
        <v>0</v>
      </c>
      <c r="DY43" s="141">
        <v>0</v>
      </c>
      <c r="DZ43" s="141">
        <v>296337</v>
      </c>
      <c r="EA43" s="141">
        <v>0</v>
      </c>
      <c r="EB43" s="141">
        <v>209080</v>
      </c>
      <c r="EC43" s="74">
        <v>0</v>
      </c>
      <c r="ED43" s="141">
        <v>280736</v>
      </c>
      <c r="EE43" s="141">
        <v>0</v>
      </c>
      <c r="EF43" s="141">
        <v>7496811</v>
      </c>
      <c r="EG43" s="71"/>
      <c r="EH43" s="141">
        <v>565701</v>
      </c>
      <c r="EI43" s="141">
        <v>17658</v>
      </c>
      <c r="EJ43" s="141">
        <v>548043</v>
      </c>
      <c r="EK43" s="141">
        <v>537913</v>
      </c>
      <c r="EL43" s="141">
        <v>604894</v>
      </c>
      <c r="EM43" s="71"/>
      <c r="EN43" s="141">
        <v>16567</v>
      </c>
      <c r="EO43" s="141">
        <v>16793</v>
      </c>
      <c r="EP43" s="141">
        <v>15633</v>
      </c>
      <c r="EQ43" s="141">
        <v>614</v>
      </c>
      <c r="ER43" s="73">
        <f t="shared" si="12"/>
        <v>295005</v>
      </c>
      <c r="ES43" s="141">
        <v>4916548</v>
      </c>
      <c r="ET43" s="141">
        <v>-588915</v>
      </c>
      <c r="EU43" s="141">
        <v>1401844</v>
      </c>
      <c r="EV43" s="141">
        <v>862594</v>
      </c>
      <c r="EW43" s="141">
        <v>357858</v>
      </c>
      <c r="EX43" s="141">
        <v>725522</v>
      </c>
      <c r="EY43" s="73">
        <f t="shared" si="13"/>
        <v>85810</v>
      </c>
      <c r="EZ43" s="141">
        <v>85810</v>
      </c>
      <c r="FA43" s="141">
        <v>15148</v>
      </c>
      <c r="FB43" s="141">
        <v>70008</v>
      </c>
      <c r="FC43" s="141">
        <v>0</v>
      </c>
      <c r="FD43" s="141">
        <v>0</v>
      </c>
      <c r="FE43" s="141">
        <v>999311</v>
      </c>
      <c r="FF43" s="141">
        <v>602375</v>
      </c>
      <c r="FG43" s="141">
        <v>22532</v>
      </c>
      <c r="FH43" s="141">
        <v>617991</v>
      </c>
      <c r="FI43" s="73">
        <f t="shared" si="14"/>
        <v>149051</v>
      </c>
      <c r="FJ43" s="141">
        <v>4939762</v>
      </c>
      <c r="FK43" s="379">
        <f t="shared" si="15"/>
        <v>12.1</v>
      </c>
      <c r="FL43" s="141">
        <v>4262464</v>
      </c>
      <c r="FM43" s="141">
        <v>280809</v>
      </c>
      <c r="FN43" s="141">
        <v>1974180</v>
      </c>
      <c r="FO43" s="141">
        <v>3750452</v>
      </c>
      <c r="FP43" s="390">
        <v>0.55800000000000005</v>
      </c>
      <c r="FQ43" s="380">
        <v>95.5</v>
      </c>
      <c r="FR43" s="381">
        <v>29.3</v>
      </c>
      <c r="FS43" s="380">
        <v>7.5</v>
      </c>
      <c r="FT43" s="380">
        <v>15.2</v>
      </c>
      <c r="FU43" s="381">
        <v>18.8</v>
      </c>
      <c r="FV43" s="380">
        <v>10.6</v>
      </c>
      <c r="FW43" s="382">
        <v>12.3</v>
      </c>
      <c r="FX43" s="383">
        <v>7</v>
      </c>
      <c r="FY43" s="141">
        <v>7461798</v>
      </c>
      <c r="FZ43" s="384">
        <f t="shared" si="16"/>
        <v>164.2</v>
      </c>
      <c r="GA43" s="141">
        <v>1148618</v>
      </c>
      <c r="GB43" s="141">
        <v>655543</v>
      </c>
      <c r="GC43" s="141">
        <v>0</v>
      </c>
      <c r="GD43" s="141">
        <v>493075</v>
      </c>
      <c r="GE43" s="107">
        <v>0</v>
      </c>
      <c r="GF43" s="385"/>
      <c r="GG43" s="386"/>
      <c r="GH43" s="380">
        <v>99.2</v>
      </c>
      <c r="GI43" s="380">
        <v>48.5</v>
      </c>
      <c r="GJ43" s="380">
        <v>98.2</v>
      </c>
      <c r="GK43" s="141">
        <v>158</v>
      </c>
      <c r="GL43" s="391" t="s">
        <v>646</v>
      </c>
      <c r="GM43" s="391">
        <v>15</v>
      </c>
      <c r="GN43" s="117">
        <v>20</v>
      </c>
      <c r="GO43" s="391" t="s">
        <v>646</v>
      </c>
      <c r="GP43" s="392">
        <v>20</v>
      </c>
      <c r="GQ43" s="387">
        <v>30</v>
      </c>
      <c r="GR43" s="381">
        <v>7</v>
      </c>
      <c r="GS43" s="388">
        <v>25</v>
      </c>
      <c r="GT43" s="388">
        <v>35</v>
      </c>
      <c r="GU43" s="393">
        <v>42.7</v>
      </c>
      <c r="GV43" s="388">
        <v>350</v>
      </c>
      <c r="GW43" s="394"/>
      <c r="GX43" s="100">
        <f t="shared" si="17"/>
        <v>4543</v>
      </c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  <c r="HW43" s="394"/>
      <c r="HX43" s="394"/>
    </row>
    <row r="44" spans="1:232" x14ac:dyDescent="0.15">
      <c r="B44" s="89" t="s">
        <v>77</v>
      </c>
      <c r="C44" s="141">
        <v>4165271</v>
      </c>
      <c r="D44" s="73">
        <f t="shared" si="0"/>
        <v>2185765</v>
      </c>
      <c r="E44" s="141">
        <v>72530</v>
      </c>
      <c r="F44" s="141">
        <v>2113235</v>
      </c>
      <c r="G44" s="73">
        <f t="shared" si="1"/>
        <v>104412</v>
      </c>
      <c r="H44" s="141">
        <v>52581</v>
      </c>
      <c r="I44" s="141">
        <v>51831</v>
      </c>
      <c r="J44" s="141">
        <v>1579531</v>
      </c>
      <c r="K44" s="141">
        <v>565703</v>
      </c>
      <c r="L44" s="141">
        <v>804557</v>
      </c>
      <c r="M44" s="141">
        <v>197357</v>
      </c>
      <c r="N44" s="141">
        <v>176109</v>
      </c>
      <c r="O44" s="141">
        <v>0</v>
      </c>
      <c r="P44" s="141">
        <v>0</v>
      </c>
      <c r="Q44" s="141">
        <v>0</v>
      </c>
      <c r="R44" s="141">
        <v>90056</v>
      </c>
      <c r="S44" s="74"/>
      <c r="T44" s="73">
        <f t="shared" si="18"/>
        <v>1080714</v>
      </c>
      <c r="U44" s="141">
        <v>6440</v>
      </c>
      <c r="V44" s="141">
        <v>50764</v>
      </c>
      <c r="W44" s="141">
        <v>56927</v>
      </c>
      <c r="X44" s="141">
        <v>906329</v>
      </c>
      <c r="Y44" s="141">
        <v>13943</v>
      </c>
      <c r="Z44" s="141">
        <v>0</v>
      </c>
      <c r="AA44" s="141">
        <v>0</v>
      </c>
      <c r="AB44" s="141">
        <v>17844</v>
      </c>
      <c r="AC44" s="141">
        <v>28467</v>
      </c>
      <c r="AD44" s="141">
        <v>66762</v>
      </c>
      <c r="AE44" s="141">
        <v>3580333</v>
      </c>
      <c r="AF44" s="141">
        <v>3392732</v>
      </c>
      <c r="AG44" s="141">
        <v>187601</v>
      </c>
      <c r="AH44" s="141">
        <v>6210</v>
      </c>
      <c r="AI44" s="141">
        <v>28294</v>
      </c>
      <c r="AJ44" s="73">
        <f t="shared" si="19"/>
        <v>290539</v>
      </c>
      <c r="AK44" s="141">
        <v>181690</v>
      </c>
      <c r="AL44" s="141">
        <v>108849</v>
      </c>
      <c r="AM44" s="141">
        <v>4371525</v>
      </c>
      <c r="AN44" s="73">
        <f t="shared" si="20"/>
        <v>939182</v>
      </c>
      <c r="AO44" s="141">
        <v>0</v>
      </c>
      <c r="AP44" s="141">
        <v>492521</v>
      </c>
      <c r="AQ44" s="74"/>
      <c r="AR44" s="141">
        <v>446661</v>
      </c>
      <c r="AS44" s="141">
        <v>133195</v>
      </c>
      <c r="AT44" s="141">
        <v>0</v>
      </c>
      <c r="AU44" s="141">
        <v>0</v>
      </c>
      <c r="AV44" s="141">
        <v>1319723</v>
      </c>
      <c r="AW44" s="141">
        <v>787470</v>
      </c>
      <c r="AX44" s="141">
        <v>218230</v>
      </c>
      <c r="AY44" s="141">
        <v>9098</v>
      </c>
      <c r="AZ44" s="141">
        <v>532253</v>
      </c>
      <c r="BA44" s="141">
        <v>1039</v>
      </c>
      <c r="BB44" s="141">
        <v>19234</v>
      </c>
      <c r="BC44" s="141">
        <v>7393</v>
      </c>
      <c r="BD44" s="141">
        <v>782484</v>
      </c>
      <c r="BE44" s="141">
        <v>89317</v>
      </c>
      <c r="BF44" s="141">
        <v>0</v>
      </c>
      <c r="BG44" s="141">
        <v>0</v>
      </c>
      <c r="BH44" s="141">
        <v>36925</v>
      </c>
      <c r="BI44" s="141">
        <v>0</v>
      </c>
      <c r="BJ44" s="141">
        <v>741537</v>
      </c>
      <c r="BK44" s="141">
        <v>50796</v>
      </c>
      <c r="BL44" s="141">
        <v>398429</v>
      </c>
      <c r="BM44" s="141">
        <v>0</v>
      </c>
      <c r="BN44" s="141">
        <v>0</v>
      </c>
      <c r="BO44" s="141">
        <v>0</v>
      </c>
      <c r="BP44" s="141">
        <v>1201300</v>
      </c>
      <c r="BQ44" s="73">
        <f t="shared" si="5"/>
        <v>561300</v>
      </c>
      <c r="BR44" s="73">
        <f t="shared" si="6"/>
        <v>640000</v>
      </c>
      <c r="BS44" s="141">
        <v>0</v>
      </c>
      <c r="BT44" s="141">
        <v>0</v>
      </c>
      <c r="BU44" s="141">
        <v>640000</v>
      </c>
      <c r="BV44" s="141">
        <v>0</v>
      </c>
      <c r="BW44" s="141">
        <v>18231728</v>
      </c>
      <c r="BX44" s="71"/>
      <c r="BY44" s="141">
        <v>3276449</v>
      </c>
      <c r="BZ44" s="141">
        <v>1679542</v>
      </c>
      <c r="CA44" s="141">
        <v>260215</v>
      </c>
      <c r="CB44" s="141">
        <v>767572</v>
      </c>
      <c r="CC44" s="141">
        <v>4207956</v>
      </c>
      <c r="CD44" s="141">
        <v>1350250</v>
      </c>
      <c r="CE44" s="141">
        <v>2534</v>
      </c>
      <c r="CF44" s="141">
        <v>2620005</v>
      </c>
      <c r="CG44" s="141">
        <v>0</v>
      </c>
      <c r="CH44" s="141">
        <v>4631</v>
      </c>
      <c r="CI44" s="141">
        <v>230336</v>
      </c>
      <c r="CJ44" s="141">
        <v>832052</v>
      </c>
      <c r="CK44" s="141">
        <v>802434</v>
      </c>
      <c r="CL44" s="83">
        <f t="shared" si="21"/>
        <v>29618</v>
      </c>
      <c r="CM44" s="141">
        <v>2730548</v>
      </c>
      <c r="CN44" s="141">
        <v>1927970</v>
      </c>
      <c r="CO44" s="102"/>
      <c r="CP44" s="141">
        <v>315799</v>
      </c>
      <c r="CQ44" s="141">
        <v>190225</v>
      </c>
      <c r="CR44" s="141">
        <v>1813146</v>
      </c>
      <c r="CS44" s="141">
        <v>530645</v>
      </c>
      <c r="CT44" s="141">
        <v>542172</v>
      </c>
      <c r="CU44" s="141">
        <v>420824</v>
      </c>
      <c r="CV44" s="73">
        <f t="shared" si="8"/>
        <v>290452</v>
      </c>
      <c r="CW44" s="141">
        <v>6946</v>
      </c>
      <c r="CX44" s="141">
        <v>283506</v>
      </c>
      <c r="CY44" s="73">
        <f t="shared" si="9"/>
        <v>0</v>
      </c>
      <c r="CZ44" s="141">
        <v>0</v>
      </c>
      <c r="DA44" s="141">
        <v>0</v>
      </c>
      <c r="DB44" s="73">
        <f t="shared" si="10"/>
        <v>283506</v>
      </c>
      <c r="DC44" s="141">
        <v>0</v>
      </c>
      <c r="DD44" s="141">
        <v>283506</v>
      </c>
      <c r="DE44" s="141">
        <v>2046433</v>
      </c>
      <c r="DF44" s="141">
        <v>1276492</v>
      </c>
      <c r="DG44" s="141">
        <v>769579</v>
      </c>
      <c r="DH44" s="141">
        <v>362</v>
      </c>
      <c r="DI44" s="141">
        <v>0</v>
      </c>
      <c r="DJ44" s="141">
        <v>895</v>
      </c>
      <c r="DK44" s="141">
        <v>637209</v>
      </c>
      <c r="DL44" s="141">
        <v>26000</v>
      </c>
      <c r="DM44" s="141">
        <v>175748</v>
      </c>
      <c r="DN44" s="141">
        <v>435461</v>
      </c>
      <c r="DO44" s="141">
        <v>31400</v>
      </c>
      <c r="DP44" s="141">
        <v>31400</v>
      </c>
      <c r="DQ44" s="141">
        <v>31400</v>
      </c>
      <c r="DR44" s="141">
        <v>0</v>
      </c>
      <c r="DS44" s="141">
        <v>0</v>
      </c>
      <c r="DT44" s="141">
        <v>0</v>
      </c>
      <c r="DU44" s="141">
        <v>0</v>
      </c>
      <c r="DV44" s="141">
        <v>1589398</v>
      </c>
      <c r="DW44" s="141">
        <v>0</v>
      </c>
      <c r="DX44" s="73">
        <f t="shared" si="11"/>
        <v>0</v>
      </c>
      <c r="DY44" s="141">
        <v>0</v>
      </c>
      <c r="DZ44" s="141">
        <v>614972</v>
      </c>
      <c r="EA44" s="141">
        <v>0</v>
      </c>
      <c r="EB44" s="141">
        <v>391793</v>
      </c>
      <c r="EC44" s="74">
        <v>0</v>
      </c>
      <c r="ED44" s="141">
        <v>582633</v>
      </c>
      <c r="EE44" s="141">
        <v>0</v>
      </c>
      <c r="EF44" s="141">
        <v>17355711</v>
      </c>
      <c r="EG44" s="71"/>
      <c r="EH44" s="141">
        <v>876017</v>
      </c>
      <c r="EI44" s="141">
        <v>261738</v>
      </c>
      <c r="EJ44" s="141">
        <v>614279</v>
      </c>
      <c r="EK44" s="141">
        <v>563483</v>
      </c>
      <c r="EL44" s="141">
        <v>589483</v>
      </c>
      <c r="EM44" s="71"/>
      <c r="EN44" s="141">
        <v>43763</v>
      </c>
      <c r="EO44" s="141">
        <v>43154</v>
      </c>
      <c r="EP44" s="141">
        <v>63686</v>
      </c>
      <c r="EQ44" s="141">
        <v>16425</v>
      </c>
      <c r="ER44" s="73">
        <f t="shared" si="12"/>
        <v>1122585</v>
      </c>
      <c r="ES44" s="141">
        <v>8989346</v>
      </c>
      <c r="ET44" s="141">
        <v>-1836486</v>
      </c>
      <c r="EU44" s="141">
        <v>2967508</v>
      </c>
      <c r="EV44" s="141">
        <v>1513253</v>
      </c>
      <c r="EW44" s="141">
        <v>951047</v>
      </c>
      <c r="EX44" s="141">
        <v>814489</v>
      </c>
      <c r="EY44" s="73">
        <f t="shared" si="13"/>
        <v>355492</v>
      </c>
      <c r="EZ44" s="141">
        <v>354597</v>
      </c>
      <c r="FA44" s="141">
        <v>60943</v>
      </c>
      <c r="FB44" s="141">
        <v>293292</v>
      </c>
      <c r="FC44" s="141">
        <v>895</v>
      </c>
      <c r="FD44" s="141">
        <v>0</v>
      </c>
      <c r="FE44" s="141">
        <v>1613239</v>
      </c>
      <c r="FF44" s="141">
        <v>1651979</v>
      </c>
      <c r="FG44" s="141">
        <v>530343</v>
      </c>
      <c r="FH44" s="141">
        <v>1259239</v>
      </c>
      <c r="FI44" s="73">
        <f t="shared" si="14"/>
        <v>336822</v>
      </c>
      <c r="FJ44" s="141">
        <v>9949815</v>
      </c>
      <c r="FK44" s="379">
        <f t="shared" si="15"/>
        <v>6.7</v>
      </c>
      <c r="FL44" s="141">
        <v>8596503</v>
      </c>
      <c r="FM44" s="141">
        <v>640437</v>
      </c>
      <c r="FN44" s="141">
        <v>4150577</v>
      </c>
      <c r="FO44" s="141">
        <v>7583786</v>
      </c>
      <c r="FP44" s="390">
        <v>0.57699999999999996</v>
      </c>
      <c r="FQ44" s="380">
        <v>88.9</v>
      </c>
      <c r="FR44" s="381">
        <v>29.8</v>
      </c>
      <c r="FS44" s="380">
        <v>9.4</v>
      </c>
      <c r="FT44" s="380">
        <v>8.5</v>
      </c>
      <c r="FU44" s="381">
        <v>15.4</v>
      </c>
      <c r="FV44" s="380">
        <v>11.7</v>
      </c>
      <c r="FW44" s="382">
        <v>12.8</v>
      </c>
      <c r="FX44" s="383">
        <v>2.2999999999999998</v>
      </c>
      <c r="FY44" s="141">
        <v>9573915</v>
      </c>
      <c r="FZ44" s="384">
        <f t="shared" si="16"/>
        <v>103.6</v>
      </c>
      <c r="GA44" s="141">
        <v>7749892</v>
      </c>
      <c r="GB44" s="141">
        <v>1007221</v>
      </c>
      <c r="GC44" s="141">
        <v>793769</v>
      </c>
      <c r="GD44" s="141">
        <v>5948902</v>
      </c>
      <c r="GE44" s="107">
        <v>0</v>
      </c>
      <c r="GF44" s="385">
        <v>639</v>
      </c>
      <c r="GG44" s="386">
        <f>IF(GF44=0,"-",ROUND(GF44/(GX44)*100,1))</f>
        <v>6.9</v>
      </c>
      <c r="GH44" s="380">
        <v>99.5</v>
      </c>
      <c r="GI44" s="380">
        <v>53.3</v>
      </c>
      <c r="GJ44" s="380">
        <v>98.8</v>
      </c>
      <c r="GK44" s="141">
        <v>279</v>
      </c>
      <c r="GL44" s="391" t="s">
        <v>646</v>
      </c>
      <c r="GM44" s="391">
        <v>13.47</v>
      </c>
      <c r="GN44" s="117">
        <v>20</v>
      </c>
      <c r="GO44" s="391" t="s">
        <v>646</v>
      </c>
      <c r="GP44" s="392">
        <v>18.47</v>
      </c>
      <c r="GQ44" s="387">
        <v>30</v>
      </c>
      <c r="GR44" s="381">
        <v>2.2999999999999998</v>
      </c>
      <c r="GS44" s="388">
        <v>25</v>
      </c>
      <c r="GT44" s="388">
        <v>35</v>
      </c>
      <c r="GU44" s="393" t="s">
        <v>646</v>
      </c>
      <c r="GV44" s="388">
        <v>350</v>
      </c>
      <c r="GW44" s="394"/>
      <c r="GX44" s="100">
        <f t="shared" si="17"/>
        <v>9237</v>
      </c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  <c r="HW44" s="394"/>
      <c r="HX44" s="394"/>
    </row>
    <row r="45" spans="1:232" x14ac:dyDescent="0.15">
      <c r="B45" s="89" t="s">
        <v>79</v>
      </c>
      <c r="C45" s="141">
        <v>3906021</v>
      </c>
      <c r="D45" s="73">
        <f t="shared" si="0"/>
        <v>372594</v>
      </c>
      <c r="E45" s="141">
        <v>13112</v>
      </c>
      <c r="F45" s="141">
        <v>359482</v>
      </c>
      <c r="G45" s="73">
        <f t="shared" si="1"/>
        <v>342039</v>
      </c>
      <c r="H45" s="141">
        <v>57605</v>
      </c>
      <c r="I45" s="141">
        <v>284434</v>
      </c>
      <c r="J45" s="141">
        <v>3085795</v>
      </c>
      <c r="K45" s="141">
        <v>1727308</v>
      </c>
      <c r="L45" s="141">
        <v>733006</v>
      </c>
      <c r="M45" s="141">
        <v>605490</v>
      </c>
      <c r="N45" s="141">
        <v>84718</v>
      </c>
      <c r="O45" s="141">
        <v>0</v>
      </c>
      <c r="P45" s="141">
        <v>0</v>
      </c>
      <c r="Q45" s="141">
        <v>0</v>
      </c>
      <c r="R45" s="141">
        <v>61519</v>
      </c>
      <c r="S45" s="74"/>
      <c r="T45" s="73">
        <f t="shared" si="18"/>
        <v>327491</v>
      </c>
      <c r="U45" s="141">
        <v>1180</v>
      </c>
      <c r="V45" s="141">
        <v>9366</v>
      </c>
      <c r="W45" s="141">
        <v>10552</v>
      </c>
      <c r="X45" s="141">
        <v>221404</v>
      </c>
      <c r="Y45" s="141">
        <v>0</v>
      </c>
      <c r="Z45" s="141">
        <v>0</v>
      </c>
      <c r="AA45" s="141">
        <v>0</v>
      </c>
      <c r="AB45" s="141">
        <v>3305</v>
      </c>
      <c r="AC45" s="141">
        <v>81684</v>
      </c>
      <c r="AD45" s="141">
        <v>63362</v>
      </c>
      <c r="AE45" s="141">
        <v>4992</v>
      </c>
      <c r="AF45" s="141">
        <v>0</v>
      </c>
      <c r="AG45" s="141">
        <v>4992</v>
      </c>
      <c r="AH45" s="141">
        <v>1153</v>
      </c>
      <c r="AI45" s="141">
        <v>0</v>
      </c>
      <c r="AJ45" s="73">
        <f t="shared" si="19"/>
        <v>90171</v>
      </c>
      <c r="AK45" s="141">
        <v>66072</v>
      </c>
      <c r="AL45" s="141">
        <v>24099</v>
      </c>
      <c r="AM45" s="141">
        <v>879409</v>
      </c>
      <c r="AN45" s="73">
        <f t="shared" si="20"/>
        <v>110468</v>
      </c>
      <c r="AO45" s="141">
        <v>0</v>
      </c>
      <c r="AP45" s="141">
        <v>0</v>
      </c>
      <c r="AQ45" s="74"/>
      <c r="AR45" s="141">
        <v>110468</v>
      </c>
      <c r="AS45" s="141">
        <v>10687</v>
      </c>
      <c r="AT45" s="141">
        <v>0</v>
      </c>
      <c r="AU45" s="141">
        <v>0</v>
      </c>
      <c r="AV45" s="141">
        <v>282171</v>
      </c>
      <c r="AW45" s="141">
        <v>127677</v>
      </c>
      <c r="AX45" s="141">
        <v>0</v>
      </c>
      <c r="AY45" s="141">
        <v>0</v>
      </c>
      <c r="AZ45" s="141">
        <v>154494</v>
      </c>
      <c r="BA45" s="141">
        <v>10471</v>
      </c>
      <c r="BB45" s="141">
        <v>2851</v>
      </c>
      <c r="BC45" s="141">
        <v>0</v>
      </c>
      <c r="BD45" s="141">
        <v>42043</v>
      </c>
      <c r="BE45" s="141">
        <v>512193</v>
      </c>
      <c r="BF45" s="141">
        <v>0</v>
      </c>
      <c r="BG45" s="141">
        <v>0</v>
      </c>
      <c r="BH45" s="141">
        <v>512193</v>
      </c>
      <c r="BI45" s="141">
        <v>0</v>
      </c>
      <c r="BJ45" s="141">
        <v>424435</v>
      </c>
      <c r="BK45" s="141">
        <v>402845</v>
      </c>
      <c r="BL45" s="141">
        <v>96630</v>
      </c>
      <c r="BM45" s="141">
        <v>0</v>
      </c>
      <c r="BN45" s="141">
        <v>0</v>
      </c>
      <c r="BO45" s="141">
        <v>0</v>
      </c>
      <c r="BP45" s="141">
        <v>0</v>
      </c>
      <c r="BQ45" s="73">
        <f t="shared" si="5"/>
        <v>0</v>
      </c>
      <c r="BR45" s="73">
        <f t="shared" si="6"/>
        <v>0</v>
      </c>
      <c r="BS45" s="141">
        <v>0</v>
      </c>
      <c r="BT45" s="141">
        <v>0</v>
      </c>
      <c r="BU45" s="141">
        <v>0</v>
      </c>
      <c r="BV45" s="141">
        <v>0</v>
      </c>
      <c r="BW45" s="141">
        <v>6694441</v>
      </c>
      <c r="BX45" s="71"/>
      <c r="BY45" s="141">
        <v>1391899</v>
      </c>
      <c r="BZ45" s="141">
        <v>747326</v>
      </c>
      <c r="CA45" s="141">
        <v>115937</v>
      </c>
      <c r="CB45" s="141">
        <v>243870</v>
      </c>
      <c r="CC45" s="141">
        <v>772680</v>
      </c>
      <c r="CD45" s="141">
        <v>307675</v>
      </c>
      <c r="CE45" s="141">
        <v>5455</v>
      </c>
      <c r="CF45" s="141">
        <v>454368</v>
      </c>
      <c r="CG45" s="141">
        <v>0</v>
      </c>
      <c r="CH45" s="141">
        <v>2363</v>
      </c>
      <c r="CI45" s="141">
        <v>2819</v>
      </c>
      <c r="CJ45" s="141">
        <v>68798</v>
      </c>
      <c r="CK45" s="141">
        <v>63641</v>
      </c>
      <c r="CL45" s="83">
        <f t="shared" si="21"/>
        <v>5157</v>
      </c>
      <c r="CM45" s="141">
        <v>898338</v>
      </c>
      <c r="CN45" s="141">
        <v>602539</v>
      </c>
      <c r="CO45" s="102"/>
      <c r="CP45" s="141">
        <v>158680</v>
      </c>
      <c r="CQ45" s="141">
        <v>18998</v>
      </c>
      <c r="CR45" s="141">
        <v>738948</v>
      </c>
      <c r="CS45" s="141">
        <v>331171</v>
      </c>
      <c r="CT45" s="141">
        <v>157550</v>
      </c>
      <c r="CU45" s="141">
        <v>148713</v>
      </c>
      <c r="CV45" s="73">
        <f t="shared" si="8"/>
        <v>0</v>
      </c>
      <c r="CW45" s="141">
        <v>0</v>
      </c>
      <c r="CX45" s="141">
        <v>0</v>
      </c>
      <c r="CY45" s="73">
        <f t="shared" si="9"/>
        <v>0</v>
      </c>
      <c r="CZ45" s="141">
        <v>0</v>
      </c>
      <c r="DA45" s="141">
        <v>0</v>
      </c>
      <c r="DB45" s="73">
        <f t="shared" si="10"/>
        <v>0</v>
      </c>
      <c r="DC45" s="141">
        <v>0</v>
      </c>
      <c r="DD45" s="141">
        <v>0</v>
      </c>
      <c r="DE45" s="141">
        <v>803740</v>
      </c>
      <c r="DF45" s="141">
        <v>234855</v>
      </c>
      <c r="DG45" s="141">
        <v>568885</v>
      </c>
      <c r="DH45" s="141">
        <v>0</v>
      </c>
      <c r="DI45" s="141">
        <v>0</v>
      </c>
      <c r="DJ45" s="141">
        <v>0</v>
      </c>
      <c r="DK45" s="141">
        <v>597556</v>
      </c>
      <c r="DL45" s="141">
        <v>507073</v>
      </c>
      <c r="DM45" s="141">
        <v>0</v>
      </c>
      <c r="DN45" s="141">
        <v>90483</v>
      </c>
      <c r="DO45" s="141">
        <v>0</v>
      </c>
      <c r="DP45" s="141">
        <v>0</v>
      </c>
      <c r="DQ45" s="141">
        <v>0</v>
      </c>
      <c r="DR45" s="141">
        <v>0</v>
      </c>
      <c r="DS45" s="141">
        <v>0</v>
      </c>
      <c r="DT45" s="141">
        <v>0</v>
      </c>
      <c r="DU45" s="141">
        <v>0</v>
      </c>
      <c r="DV45" s="141">
        <v>806990</v>
      </c>
      <c r="DW45" s="141">
        <v>435890</v>
      </c>
      <c r="DX45" s="73">
        <f t="shared" si="11"/>
        <v>0</v>
      </c>
      <c r="DY45" s="141">
        <v>0</v>
      </c>
      <c r="DZ45" s="141">
        <v>128182</v>
      </c>
      <c r="EA45" s="141">
        <v>0</v>
      </c>
      <c r="EB45" s="141">
        <v>93564</v>
      </c>
      <c r="EC45" s="74">
        <v>0</v>
      </c>
      <c r="ED45" s="141">
        <v>149354</v>
      </c>
      <c r="EE45" s="141">
        <v>0</v>
      </c>
      <c r="EF45" s="141">
        <v>6097947</v>
      </c>
      <c r="EG45" s="71"/>
      <c r="EH45" s="141">
        <v>596494</v>
      </c>
      <c r="EI45" s="141">
        <v>44709</v>
      </c>
      <c r="EJ45" s="141">
        <v>551785</v>
      </c>
      <c r="EK45" s="141">
        <v>148940</v>
      </c>
      <c r="EL45" s="141">
        <v>656013</v>
      </c>
      <c r="EM45" s="71"/>
      <c r="EN45" s="141">
        <v>8434</v>
      </c>
      <c r="EO45" s="141">
        <v>8492</v>
      </c>
      <c r="EP45" s="141">
        <v>0</v>
      </c>
      <c r="EQ45" s="141">
        <v>51</v>
      </c>
      <c r="ER45" s="73">
        <f t="shared" si="12"/>
        <v>510552</v>
      </c>
      <c r="ES45" s="141">
        <v>4364538</v>
      </c>
      <c r="ET45" s="141">
        <v>-509450</v>
      </c>
      <c r="EU45" s="141">
        <v>1247957</v>
      </c>
      <c r="EV45" s="141">
        <v>676273</v>
      </c>
      <c r="EW45" s="141">
        <v>172175</v>
      </c>
      <c r="EX45" s="141">
        <v>68798</v>
      </c>
      <c r="EY45" s="73">
        <f t="shared" si="13"/>
        <v>241943</v>
      </c>
      <c r="EZ45" s="141">
        <v>241943</v>
      </c>
      <c r="FA45" s="141">
        <v>148418</v>
      </c>
      <c r="FB45" s="141">
        <v>93525</v>
      </c>
      <c r="FC45" s="141">
        <v>0</v>
      </c>
      <c r="FD45" s="141">
        <v>0</v>
      </c>
      <c r="FE45" s="141">
        <v>585619</v>
      </c>
      <c r="FF45" s="141">
        <v>651556</v>
      </c>
      <c r="FG45" s="141">
        <v>330791</v>
      </c>
      <c r="FH45" s="141">
        <v>738194</v>
      </c>
      <c r="FI45" s="73">
        <f t="shared" si="14"/>
        <v>571252</v>
      </c>
      <c r="FJ45" s="141">
        <v>4277494</v>
      </c>
      <c r="FK45" s="379">
        <f t="shared" si="15"/>
        <v>13.8</v>
      </c>
      <c r="FL45" s="141">
        <v>4006778</v>
      </c>
      <c r="FM45" s="141">
        <v>0</v>
      </c>
      <c r="FN45" s="141">
        <v>3063975</v>
      </c>
      <c r="FO45" s="141">
        <v>2471761</v>
      </c>
      <c r="FP45" s="390">
        <v>1.4319999999999999</v>
      </c>
      <c r="FQ45" s="380">
        <v>70.099999999999994</v>
      </c>
      <c r="FR45" s="381">
        <v>28.6</v>
      </c>
      <c r="FS45" s="380">
        <v>3.8</v>
      </c>
      <c r="FT45" s="380">
        <v>1.6</v>
      </c>
      <c r="FU45" s="381">
        <v>12.6</v>
      </c>
      <c r="FV45" s="380">
        <v>9.9</v>
      </c>
      <c r="FW45" s="382">
        <v>13.7</v>
      </c>
      <c r="FX45" s="383">
        <v>4</v>
      </c>
      <c r="FY45" s="141">
        <v>230938</v>
      </c>
      <c r="FZ45" s="384">
        <f t="shared" si="16"/>
        <v>5.8</v>
      </c>
      <c r="GA45" s="141">
        <v>9868308</v>
      </c>
      <c r="GB45" s="141">
        <v>4494755</v>
      </c>
      <c r="GC45" s="141">
        <v>0</v>
      </c>
      <c r="GD45" s="141">
        <v>5373553</v>
      </c>
      <c r="GE45" s="107">
        <v>0</v>
      </c>
      <c r="GF45" s="385"/>
      <c r="GG45" s="386"/>
      <c r="GH45" s="380">
        <v>99.8</v>
      </c>
      <c r="GI45" s="380">
        <v>96.2</v>
      </c>
      <c r="GJ45" s="380">
        <v>99.6</v>
      </c>
      <c r="GK45" s="141">
        <v>113</v>
      </c>
      <c r="GL45" s="391" t="s">
        <v>646</v>
      </c>
      <c r="GM45" s="391">
        <v>15</v>
      </c>
      <c r="GN45" s="117">
        <v>20</v>
      </c>
      <c r="GO45" s="391" t="s">
        <v>646</v>
      </c>
      <c r="GP45" s="392">
        <v>20</v>
      </c>
      <c r="GQ45" s="387">
        <v>30</v>
      </c>
      <c r="GR45" s="381">
        <v>4</v>
      </c>
      <c r="GS45" s="388">
        <v>25</v>
      </c>
      <c r="GT45" s="388">
        <v>35</v>
      </c>
      <c r="GU45" s="393" t="s">
        <v>646</v>
      </c>
      <c r="GV45" s="388">
        <v>350</v>
      </c>
      <c r="GW45" s="394"/>
      <c r="GX45" s="100">
        <f t="shared" si="17"/>
        <v>4007</v>
      </c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  <c r="HW45" s="394"/>
      <c r="HX45" s="394"/>
    </row>
    <row r="46" spans="1:232" x14ac:dyDescent="0.15">
      <c r="B46" s="89" t="s">
        <v>81</v>
      </c>
      <c r="C46" s="141">
        <v>1937937</v>
      </c>
      <c r="D46" s="73">
        <f t="shared" si="0"/>
        <v>647346</v>
      </c>
      <c r="E46" s="141">
        <v>25386</v>
      </c>
      <c r="F46" s="141">
        <v>621960</v>
      </c>
      <c r="G46" s="73">
        <f t="shared" si="1"/>
        <v>74091</v>
      </c>
      <c r="H46" s="141">
        <v>30636</v>
      </c>
      <c r="I46" s="141">
        <v>43455</v>
      </c>
      <c r="J46" s="141">
        <v>1096171</v>
      </c>
      <c r="K46" s="141">
        <v>410475</v>
      </c>
      <c r="L46" s="141">
        <v>395392</v>
      </c>
      <c r="M46" s="141">
        <v>286816</v>
      </c>
      <c r="N46" s="141">
        <v>73880</v>
      </c>
      <c r="O46" s="141">
        <v>0</v>
      </c>
      <c r="P46" s="141">
        <v>0</v>
      </c>
      <c r="Q46" s="141">
        <v>0</v>
      </c>
      <c r="R46" s="141">
        <v>49161</v>
      </c>
      <c r="S46" s="74"/>
      <c r="T46" s="73">
        <f t="shared" si="18"/>
        <v>438342</v>
      </c>
      <c r="U46" s="141">
        <v>1894</v>
      </c>
      <c r="V46" s="141">
        <v>14948</v>
      </c>
      <c r="W46" s="141">
        <v>16769</v>
      </c>
      <c r="X46" s="141">
        <v>328937</v>
      </c>
      <c r="Y46" s="141">
        <v>52035</v>
      </c>
      <c r="Z46" s="141">
        <v>0</v>
      </c>
      <c r="AA46" s="141">
        <v>0</v>
      </c>
      <c r="AB46" s="141">
        <v>9320</v>
      </c>
      <c r="AC46" s="141">
        <v>14439</v>
      </c>
      <c r="AD46" s="141">
        <v>37859</v>
      </c>
      <c r="AE46" s="141">
        <v>2419975</v>
      </c>
      <c r="AF46" s="141">
        <v>2171711</v>
      </c>
      <c r="AG46" s="141">
        <v>248264</v>
      </c>
      <c r="AH46" s="141">
        <v>2009</v>
      </c>
      <c r="AI46" s="141">
        <v>20328</v>
      </c>
      <c r="AJ46" s="73">
        <f t="shared" si="19"/>
        <v>107278</v>
      </c>
      <c r="AK46" s="141">
        <v>91263</v>
      </c>
      <c r="AL46" s="141">
        <v>16015</v>
      </c>
      <c r="AM46" s="141">
        <v>1330770</v>
      </c>
      <c r="AN46" s="73">
        <f t="shared" si="20"/>
        <v>261828</v>
      </c>
      <c r="AO46" s="141">
        <v>0</v>
      </c>
      <c r="AP46" s="141">
        <v>26056</v>
      </c>
      <c r="AQ46" s="74"/>
      <c r="AR46" s="141">
        <v>235772</v>
      </c>
      <c r="AS46" s="141">
        <v>17764</v>
      </c>
      <c r="AT46" s="141">
        <v>0</v>
      </c>
      <c r="AU46" s="141">
        <v>0</v>
      </c>
      <c r="AV46" s="141">
        <v>541145</v>
      </c>
      <c r="AW46" s="141">
        <v>254350</v>
      </c>
      <c r="AX46" s="141">
        <v>12342</v>
      </c>
      <c r="AY46" s="141">
        <v>3962</v>
      </c>
      <c r="AZ46" s="141">
        <v>286795</v>
      </c>
      <c r="BA46" s="141">
        <v>802</v>
      </c>
      <c r="BB46" s="141">
        <v>48400</v>
      </c>
      <c r="BC46" s="141">
        <v>4015</v>
      </c>
      <c r="BD46" s="141">
        <v>11436</v>
      </c>
      <c r="BE46" s="141">
        <v>158005</v>
      </c>
      <c r="BF46" s="141">
        <v>0</v>
      </c>
      <c r="BG46" s="141">
        <v>0</v>
      </c>
      <c r="BH46" s="141">
        <v>106745</v>
      </c>
      <c r="BI46" s="141">
        <v>0</v>
      </c>
      <c r="BJ46" s="141">
        <v>129256</v>
      </c>
      <c r="BK46" s="141">
        <v>67421</v>
      </c>
      <c r="BL46" s="141">
        <v>154606</v>
      </c>
      <c r="BM46" s="141">
        <v>537</v>
      </c>
      <c r="BN46" s="141">
        <v>0</v>
      </c>
      <c r="BO46" s="141">
        <v>0</v>
      </c>
      <c r="BP46" s="141">
        <v>557524</v>
      </c>
      <c r="BQ46" s="73">
        <f t="shared" si="5"/>
        <v>277300</v>
      </c>
      <c r="BR46" s="73">
        <f t="shared" si="6"/>
        <v>280224</v>
      </c>
      <c r="BS46" s="141">
        <v>0</v>
      </c>
      <c r="BT46" s="141">
        <v>0</v>
      </c>
      <c r="BU46" s="141">
        <v>280224</v>
      </c>
      <c r="BV46" s="141">
        <v>0</v>
      </c>
      <c r="BW46" s="141">
        <v>7944031</v>
      </c>
      <c r="BX46" s="71"/>
      <c r="BY46" s="141">
        <v>1792211</v>
      </c>
      <c r="BZ46" s="141">
        <v>965113</v>
      </c>
      <c r="CA46" s="141">
        <v>124423</v>
      </c>
      <c r="CB46" s="141">
        <v>354197</v>
      </c>
      <c r="CC46" s="141">
        <v>1239290</v>
      </c>
      <c r="CD46" s="141">
        <v>699030</v>
      </c>
      <c r="CE46" s="141">
        <v>3371</v>
      </c>
      <c r="CF46" s="141">
        <v>529447</v>
      </c>
      <c r="CG46" s="141">
        <v>0</v>
      </c>
      <c r="CH46" s="141">
        <v>773</v>
      </c>
      <c r="CI46" s="141">
        <v>6669</v>
      </c>
      <c r="CJ46" s="141">
        <v>886856</v>
      </c>
      <c r="CK46" s="141">
        <v>857562</v>
      </c>
      <c r="CL46" s="83">
        <f t="shared" si="21"/>
        <v>29294</v>
      </c>
      <c r="CM46" s="141">
        <v>1256473</v>
      </c>
      <c r="CN46" s="141">
        <v>775402</v>
      </c>
      <c r="CO46" s="102"/>
      <c r="CP46" s="141">
        <v>302008</v>
      </c>
      <c r="CQ46" s="141">
        <v>132377</v>
      </c>
      <c r="CR46" s="141">
        <v>578624</v>
      </c>
      <c r="CS46" s="141">
        <v>318033</v>
      </c>
      <c r="CT46" s="141">
        <v>120844</v>
      </c>
      <c r="CU46" s="141">
        <v>111272</v>
      </c>
      <c r="CV46" s="73">
        <f t="shared" si="8"/>
        <v>0</v>
      </c>
      <c r="CW46" s="141">
        <v>0</v>
      </c>
      <c r="CX46" s="141">
        <v>0</v>
      </c>
      <c r="CY46" s="73">
        <f t="shared" si="9"/>
        <v>0</v>
      </c>
      <c r="CZ46" s="141">
        <v>0</v>
      </c>
      <c r="DA46" s="141">
        <v>0</v>
      </c>
      <c r="DB46" s="73">
        <f t="shared" si="10"/>
        <v>0</v>
      </c>
      <c r="DC46" s="141">
        <v>0</v>
      </c>
      <c r="DD46" s="141">
        <v>0</v>
      </c>
      <c r="DE46" s="141">
        <v>528297</v>
      </c>
      <c r="DF46" s="141">
        <v>194643</v>
      </c>
      <c r="DG46" s="141">
        <v>333654</v>
      </c>
      <c r="DH46" s="141">
        <v>0</v>
      </c>
      <c r="DI46" s="141">
        <v>0</v>
      </c>
      <c r="DJ46" s="141">
        <v>32543</v>
      </c>
      <c r="DK46" s="141">
        <v>180952</v>
      </c>
      <c r="DL46" s="141">
        <v>96029</v>
      </c>
      <c r="DM46" s="141">
        <v>1</v>
      </c>
      <c r="DN46" s="141">
        <v>84922</v>
      </c>
      <c r="DO46" s="141">
        <v>0</v>
      </c>
      <c r="DP46" s="141">
        <v>0</v>
      </c>
      <c r="DQ46" s="141">
        <v>0</v>
      </c>
      <c r="DR46" s="141">
        <v>0</v>
      </c>
      <c r="DS46" s="141">
        <v>0</v>
      </c>
      <c r="DT46" s="141">
        <v>0</v>
      </c>
      <c r="DU46" s="141">
        <v>0</v>
      </c>
      <c r="DV46" s="141">
        <v>1218363</v>
      </c>
      <c r="DW46" s="141">
        <v>316781</v>
      </c>
      <c r="DX46" s="73">
        <f t="shared" si="11"/>
        <v>0</v>
      </c>
      <c r="DY46" s="141">
        <v>0</v>
      </c>
      <c r="DZ46" s="141">
        <v>382964</v>
      </c>
      <c r="EA46" s="141">
        <v>0</v>
      </c>
      <c r="EB46" s="141">
        <v>191250</v>
      </c>
      <c r="EC46" s="74">
        <v>0</v>
      </c>
      <c r="ED46" s="141">
        <v>316043</v>
      </c>
      <c r="EE46" s="141">
        <v>0</v>
      </c>
      <c r="EF46" s="141">
        <v>7845986</v>
      </c>
      <c r="EG46" s="71"/>
      <c r="EH46" s="141">
        <v>98045</v>
      </c>
      <c r="EI46" s="141">
        <v>26262</v>
      </c>
      <c r="EJ46" s="141">
        <v>71783</v>
      </c>
      <c r="EK46" s="141">
        <v>4362</v>
      </c>
      <c r="EL46" s="141">
        <v>100391</v>
      </c>
      <c r="EM46" s="71"/>
      <c r="EN46" s="141">
        <v>14741</v>
      </c>
      <c r="EO46" s="141">
        <v>15035</v>
      </c>
      <c r="EP46" s="141">
        <v>9248</v>
      </c>
      <c r="EQ46" s="141">
        <v>15564</v>
      </c>
      <c r="ER46" s="73">
        <f t="shared" si="12"/>
        <v>370700</v>
      </c>
      <c r="ES46" s="141">
        <v>4885283</v>
      </c>
      <c r="ET46" s="141">
        <v>-673727</v>
      </c>
      <c r="EU46" s="141">
        <v>1614900</v>
      </c>
      <c r="EV46" s="141">
        <v>882557</v>
      </c>
      <c r="EW46" s="141">
        <v>245599</v>
      </c>
      <c r="EX46" s="141">
        <v>886856</v>
      </c>
      <c r="EY46" s="73">
        <f t="shared" si="13"/>
        <v>92775</v>
      </c>
      <c r="EZ46" s="141">
        <v>81641</v>
      </c>
      <c r="FA46" s="141">
        <v>1995</v>
      </c>
      <c r="FB46" s="141">
        <v>79646</v>
      </c>
      <c r="FC46" s="141">
        <v>11134</v>
      </c>
      <c r="FD46" s="141">
        <v>0</v>
      </c>
      <c r="FE46" s="141">
        <v>806833</v>
      </c>
      <c r="FF46" s="141">
        <v>513775</v>
      </c>
      <c r="FG46" s="141">
        <v>318033</v>
      </c>
      <c r="FH46" s="141">
        <v>1025871</v>
      </c>
      <c r="FI46" s="73">
        <f t="shared" si="14"/>
        <v>274356</v>
      </c>
      <c r="FJ46" s="141">
        <v>5460965</v>
      </c>
      <c r="FK46" s="379">
        <f t="shared" si="15"/>
        <v>1.5</v>
      </c>
      <c r="FL46" s="141">
        <v>4423070</v>
      </c>
      <c r="FM46" s="141">
        <v>280224</v>
      </c>
      <c r="FN46" s="141">
        <v>1776430</v>
      </c>
      <c r="FO46" s="141">
        <v>3939445</v>
      </c>
      <c r="FP46" s="390">
        <v>0.48799999999999999</v>
      </c>
      <c r="FQ46" s="380">
        <v>94.7</v>
      </c>
      <c r="FR46" s="381">
        <v>30.5</v>
      </c>
      <c r="FS46" s="380">
        <v>4.8</v>
      </c>
      <c r="FT46" s="380">
        <v>17.899999999999999</v>
      </c>
      <c r="FU46" s="381">
        <v>14.4</v>
      </c>
      <c r="FV46" s="380">
        <v>7.9</v>
      </c>
      <c r="FW46" s="382">
        <v>16.600000000000001</v>
      </c>
      <c r="FX46" s="383">
        <v>10.5</v>
      </c>
      <c r="FY46" s="141">
        <v>7870910</v>
      </c>
      <c r="FZ46" s="384">
        <f t="shared" si="16"/>
        <v>167.3</v>
      </c>
      <c r="GA46" s="141">
        <v>1395859</v>
      </c>
      <c r="GB46" s="141">
        <v>835774</v>
      </c>
      <c r="GC46" s="141">
        <v>38472</v>
      </c>
      <c r="GD46" s="141">
        <v>521613</v>
      </c>
      <c r="GE46" s="107">
        <v>0</v>
      </c>
      <c r="GF46" s="385"/>
      <c r="GG46" s="386"/>
      <c r="GH46" s="380">
        <v>99.1</v>
      </c>
      <c r="GI46" s="380">
        <v>64.099999999999994</v>
      </c>
      <c r="GJ46" s="380">
        <v>94.7</v>
      </c>
      <c r="GK46" s="141">
        <v>155</v>
      </c>
      <c r="GL46" s="391" t="s">
        <v>646</v>
      </c>
      <c r="GM46" s="391">
        <v>15</v>
      </c>
      <c r="GN46" s="117">
        <v>20</v>
      </c>
      <c r="GO46" s="391" t="s">
        <v>646</v>
      </c>
      <c r="GP46" s="392">
        <v>20</v>
      </c>
      <c r="GQ46" s="387">
        <v>30</v>
      </c>
      <c r="GR46" s="381">
        <v>10.5</v>
      </c>
      <c r="GS46" s="388">
        <v>25</v>
      </c>
      <c r="GT46" s="388">
        <v>35</v>
      </c>
      <c r="GU46" s="393">
        <v>100.9</v>
      </c>
      <c r="GV46" s="388">
        <v>350</v>
      </c>
      <c r="GW46" s="394"/>
      <c r="GX46" s="100">
        <f t="shared" si="17"/>
        <v>4703</v>
      </c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  <c r="HW46" s="394"/>
      <c r="HX46" s="394"/>
    </row>
    <row r="47" spans="1:232" x14ac:dyDescent="0.15">
      <c r="B47" s="89" t="s">
        <v>83</v>
      </c>
      <c r="C47" s="141">
        <v>1356383</v>
      </c>
      <c r="D47" s="73">
        <f t="shared" si="0"/>
        <v>651770</v>
      </c>
      <c r="E47" s="141">
        <v>22663</v>
      </c>
      <c r="F47" s="141">
        <v>629107</v>
      </c>
      <c r="G47" s="73">
        <f t="shared" si="1"/>
        <v>37842</v>
      </c>
      <c r="H47" s="141">
        <v>23406</v>
      </c>
      <c r="I47" s="141">
        <v>14436</v>
      </c>
      <c r="J47" s="141">
        <v>488189</v>
      </c>
      <c r="K47" s="141">
        <v>192102</v>
      </c>
      <c r="L47" s="141">
        <v>239602</v>
      </c>
      <c r="M47" s="141">
        <v>56485</v>
      </c>
      <c r="N47" s="141">
        <v>137383</v>
      </c>
      <c r="O47" s="141">
        <v>0</v>
      </c>
      <c r="P47" s="141">
        <v>0</v>
      </c>
      <c r="Q47" s="141">
        <v>0</v>
      </c>
      <c r="R47" s="141">
        <v>37129</v>
      </c>
      <c r="S47" s="74"/>
      <c r="T47" s="73">
        <f t="shared" si="18"/>
        <v>345155</v>
      </c>
      <c r="U47" s="141">
        <v>1881</v>
      </c>
      <c r="V47" s="141">
        <v>14849</v>
      </c>
      <c r="W47" s="141">
        <v>16673</v>
      </c>
      <c r="X47" s="141">
        <v>278858</v>
      </c>
      <c r="Y47" s="141">
        <v>16711</v>
      </c>
      <c r="Z47" s="141">
        <v>0</v>
      </c>
      <c r="AA47" s="141">
        <v>0</v>
      </c>
      <c r="AB47" s="141">
        <v>7360</v>
      </c>
      <c r="AC47" s="141">
        <v>8823</v>
      </c>
      <c r="AD47" s="141">
        <v>26729</v>
      </c>
      <c r="AE47" s="141">
        <v>1867031</v>
      </c>
      <c r="AF47" s="141">
        <v>1633034</v>
      </c>
      <c r="AG47" s="141">
        <v>233997</v>
      </c>
      <c r="AH47" s="141">
        <v>2064</v>
      </c>
      <c r="AI47" s="141">
        <v>30884</v>
      </c>
      <c r="AJ47" s="73">
        <f t="shared" si="19"/>
        <v>55577</v>
      </c>
      <c r="AK47" s="141">
        <v>29739</v>
      </c>
      <c r="AL47" s="141">
        <v>25838</v>
      </c>
      <c r="AM47" s="141">
        <v>1195644</v>
      </c>
      <c r="AN47" s="73">
        <f t="shared" si="20"/>
        <v>287670</v>
      </c>
      <c r="AO47" s="141">
        <v>0</v>
      </c>
      <c r="AP47" s="141">
        <v>154706</v>
      </c>
      <c r="AQ47" s="74"/>
      <c r="AR47" s="141">
        <v>132964</v>
      </c>
      <c r="AS47" s="141">
        <v>22239</v>
      </c>
      <c r="AT47" s="141">
        <v>0</v>
      </c>
      <c r="AU47" s="141">
        <v>0</v>
      </c>
      <c r="AV47" s="141">
        <v>505189</v>
      </c>
      <c r="AW47" s="141">
        <v>305376</v>
      </c>
      <c r="AX47" s="141">
        <v>64104</v>
      </c>
      <c r="AY47" s="141">
        <v>668</v>
      </c>
      <c r="AZ47" s="141">
        <v>199813</v>
      </c>
      <c r="BA47" s="141">
        <v>20270</v>
      </c>
      <c r="BB47" s="141">
        <v>2885</v>
      </c>
      <c r="BC47" s="141">
        <v>914</v>
      </c>
      <c r="BD47" s="141">
        <v>116839</v>
      </c>
      <c r="BE47" s="141">
        <v>301233</v>
      </c>
      <c r="BF47" s="141">
        <v>0</v>
      </c>
      <c r="BG47" s="141">
        <v>0</v>
      </c>
      <c r="BH47" s="141">
        <v>301233</v>
      </c>
      <c r="BI47" s="141">
        <v>0</v>
      </c>
      <c r="BJ47" s="141">
        <v>68077</v>
      </c>
      <c r="BK47" s="141">
        <v>54446</v>
      </c>
      <c r="BL47" s="141">
        <v>53839</v>
      </c>
      <c r="BM47" s="141">
        <v>0</v>
      </c>
      <c r="BN47" s="141">
        <v>6262</v>
      </c>
      <c r="BO47" s="141">
        <v>0</v>
      </c>
      <c r="BP47" s="141">
        <v>515905</v>
      </c>
      <c r="BQ47" s="73">
        <f t="shared" si="5"/>
        <v>367600</v>
      </c>
      <c r="BR47" s="73">
        <f t="shared" si="6"/>
        <v>148305</v>
      </c>
      <c r="BS47" s="141">
        <v>0</v>
      </c>
      <c r="BT47" s="141">
        <v>0</v>
      </c>
      <c r="BU47" s="141">
        <v>148305</v>
      </c>
      <c r="BV47" s="141">
        <v>0</v>
      </c>
      <c r="BW47" s="141">
        <v>6480563</v>
      </c>
      <c r="BX47" s="71"/>
      <c r="BY47" s="141">
        <v>1162877</v>
      </c>
      <c r="BZ47" s="141">
        <v>653644</v>
      </c>
      <c r="CA47" s="141">
        <v>55098</v>
      </c>
      <c r="CB47" s="141">
        <v>186833</v>
      </c>
      <c r="CC47" s="141">
        <v>1371359</v>
      </c>
      <c r="CD47" s="141">
        <v>463362</v>
      </c>
      <c r="CE47" s="141">
        <v>2538</v>
      </c>
      <c r="CF47" s="141">
        <v>842497</v>
      </c>
      <c r="CG47" s="141">
        <v>0</v>
      </c>
      <c r="CH47" s="141">
        <v>0</v>
      </c>
      <c r="CI47" s="141">
        <v>62962</v>
      </c>
      <c r="CJ47" s="141">
        <v>440401</v>
      </c>
      <c r="CK47" s="141">
        <v>418496</v>
      </c>
      <c r="CL47" s="83">
        <f t="shared" si="21"/>
        <v>21905</v>
      </c>
      <c r="CM47" s="141">
        <v>1006462</v>
      </c>
      <c r="CN47" s="141">
        <v>740478</v>
      </c>
      <c r="CO47" s="102"/>
      <c r="CP47" s="141">
        <v>94563</v>
      </c>
      <c r="CQ47" s="141">
        <v>21143</v>
      </c>
      <c r="CR47" s="141">
        <v>736312</v>
      </c>
      <c r="CS47" s="141">
        <v>122004</v>
      </c>
      <c r="CT47" s="141">
        <v>172686</v>
      </c>
      <c r="CU47" s="141">
        <v>141116</v>
      </c>
      <c r="CV47" s="73">
        <f t="shared" si="8"/>
        <v>132127</v>
      </c>
      <c r="CW47" s="141">
        <v>0</v>
      </c>
      <c r="CX47" s="141">
        <v>132127</v>
      </c>
      <c r="CY47" s="73">
        <f t="shared" si="9"/>
        <v>0</v>
      </c>
      <c r="CZ47" s="141">
        <v>0</v>
      </c>
      <c r="DA47" s="141">
        <v>0</v>
      </c>
      <c r="DB47" s="73">
        <f t="shared" si="10"/>
        <v>132127</v>
      </c>
      <c r="DC47" s="141">
        <v>0</v>
      </c>
      <c r="DD47" s="141">
        <v>132127</v>
      </c>
      <c r="DE47" s="141">
        <v>781903</v>
      </c>
      <c r="DF47" s="141">
        <v>72676</v>
      </c>
      <c r="DG47" s="141">
        <v>709227</v>
      </c>
      <c r="DH47" s="141">
        <v>0</v>
      </c>
      <c r="DI47" s="141">
        <v>0</v>
      </c>
      <c r="DJ47" s="141">
        <v>0</v>
      </c>
      <c r="DK47" s="141">
        <v>214473</v>
      </c>
      <c r="DL47" s="141">
        <v>27704</v>
      </c>
      <c r="DM47" s="141">
        <v>0</v>
      </c>
      <c r="DN47" s="141">
        <v>186769</v>
      </c>
      <c r="DO47" s="141">
        <v>0</v>
      </c>
      <c r="DP47" s="141">
        <v>0</v>
      </c>
      <c r="DQ47" s="141">
        <v>0</v>
      </c>
      <c r="DR47" s="141">
        <v>0</v>
      </c>
      <c r="DS47" s="141">
        <v>0</v>
      </c>
      <c r="DT47" s="141">
        <v>0</v>
      </c>
      <c r="DU47" s="141">
        <v>0</v>
      </c>
      <c r="DV47" s="141">
        <v>537561</v>
      </c>
      <c r="DW47" s="141">
        <v>0</v>
      </c>
      <c r="DX47" s="73">
        <f t="shared" si="11"/>
        <v>0</v>
      </c>
      <c r="DY47" s="141">
        <v>0</v>
      </c>
      <c r="DZ47" s="141">
        <v>185431</v>
      </c>
      <c r="EA47" s="141">
        <v>0</v>
      </c>
      <c r="EB47" s="141">
        <v>129953</v>
      </c>
      <c r="EC47" s="74">
        <v>0</v>
      </c>
      <c r="ED47" s="141">
        <v>216806</v>
      </c>
      <c r="EE47" s="141">
        <v>0</v>
      </c>
      <c r="EF47" s="141">
        <v>6272491</v>
      </c>
      <c r="EG47" s="71"/>
      <c r="EH47" s="141">
        <v>208072</v>
      </c>
      <c r="EI47" s="141">
        <v>26673</v>
      </c>
      <c r="EJ47" s="141">
        <v>181399</v>
      </c>
      <c r="EK47" s="141">
        <v>126953</v>
      </c>
      <c r="EL47" s="141">
        <v>154657</v>
      </c>
      <c r="EM47" s="71"/>
      <c r="EN47" s="141">
        <v>13009</v>
      </c>
      <c r="EO47" s="141">
        <v>13076</v>
      </c>
      <c r="EP47" s="141">
        <v>0</v>
      </c>
      <c r="EQ47" s="141">
        <v>2885</v>
      </c>
      <c r="ER47" s="73">
        <f t="shared" si="12"/>
        <v>232939</v>
      </c>
      <c r="ES47" s="141">
        <v>3634491</v>
      </c>
      <c r="ET47" s="141">
        <v>-382065</v>
      </c>
      <c r="EU47" s="141">
        <v>1027950</v>
      </c>
      <c r="EV47" s="141">
        <v>595591</v>
      </c>
      <c r="EW47" s="141">
        <v>292902</v>
      </c>
      <c r="EX47" s="141">
        <v>440401</v>
      </c>
      <c r="EY47" s="73">
        <f t="shared" si="13"/>
        <v>70138</v>
      </c>
      <c r="EZ47" s="141">
        <v>70138</v>
      </c>
      <c r="FA47" s="141">
        <v>6261</v>
      </c>
      <c r="FB47" s="141">
        <v>63877</v>
      </c>
      <c r="FC47" s="141">
        <v>0</v>
      </c>
      <c r="FD47" s="141">
        <v>0</v>
      </c>
      <c r="FE47" s="141">
        <v>751671</v>
      </c>
      <c r="FF47" s="141">
        <v>664991</v>
      </c>
      <c r="FG47" s="141">
        <v>115921</v>
      </c>
      <c r="FH47" s="141">
        <v>436706</v>
      </c>
      <c r="FI47" s="73">
        <f t="shared" si="14"/>
        <v>123725</v>
      </c>
      <c r="FJ47" s="141">
        <v>3808484</v>
      </c>
      <c r="FK47" s="379">
        <f t="shared" si="15"/>
        <v>5.2</v>
      </c>
      <c r="FL47" s="141">
        <v>3312880</v>
      </c>
      <c r="FM47" s="141">
        <v>204277</v>
      </c>
      <c r="FN47" s="141">
        <v>1338110</v>
      </c>
      <c r="FO47" s="141">
        <v>2977315</v>
      </c>
      <c r="FP47" s="390">
        <v>0.49199999999999999</v>
      </c>
      <c r="FQ47" s="380">
        <v>88.8</v>
      </c>
      <c r="FR47" s="381">
        <v>28.7</v>
      </c>
      <c r="FS47" s="380">
        <v>8.1999999999999993</v>
      </c>
      <c r="FT47" s="380">
        <v>12.4</v>
      </c>
      <c r="FU47" s="381">
        <v>14.4</v>
      </c>
      <c r="FV47" s="380">
        <v>12.7</v>
      </c>
      <c r="FW47" s="382">
        <v>11.8</v>
      </c>
      <c r="FX47" s="383">
        <v>5.5</v>
      </c>
      <c r="FY47" s="141">
        <v>4416507</v>
      </c>
      <c r="FZ47" s="384">
        <f t="shared" si="16"/>
        <v>125.6</v>
      </c>
      <c r="GA47" s="141">
        <v>2510976</v>
      </c>
      <c r="GB47" s="141">
        <v>1396575</v>
      </c>
      <c r="GC47" s="141">
        <v>7877</v>
      </c>
      <c r="GD47" s="141">
        <v>1106524</v>
      </c>
      <c r="GE47" s="107">
        <v>0</v>
      </c>
      <c r="GF47" s="385"/>
      <c r="GG47" s="386"/>
      <c r="GH47" s="380">
        <v>99</v>
      </c>
      <c r="GI47" s="380">
        <v>47.3</v>
      </c>
      <c r="GJ47" s="380">
        <v>97.9</v>
      </c>
      <c r="GK47" s="141">
        <v>98</v>
      </c>
      <c r="GL47" s="391" t="s">
        <v>646</v>
      </c>
      <c r="GM47" s="391">
        <v>15</v>
      </c>
      <c r="GN47" s="117">
        <v>20</v>
      </c>
      <c r="GO47" s="391" t="s">
        <v>646</v>
      </c>
      <c r="GP47" s="392">
        <v>20</v>
      </c>
      <c r="GQ47" s="387">
        <v>30</v>
      </c>
      <c r="GR47" s="381">
        <v>5.5</v>
      </c>
      <c r="GS47" s="388">
        <v>25</v>
      </c>
      <c r="GT47" s="388">
        <v>35</v>
      </c>
      <c r="GU47" s="393" t="s">
        <v>646</v>
      </c>
      <c r="GV47" s="388">
        <v>350</v>
      </c>
      <c r="GW47" s="394"/>
      <c r="GX47" s="100">
        <f t="shared" si="17"/>
        <v>3517</v>
      </c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  <c r="HW47" s="394"/>
      <c r="HX47" s="394"/>
    </row>
    <row r="48" spans="1:232" x14ac:dyDescent="0.15">
      <c r="B48" s="89" t="s">
        <v>85</v>
      </c>
      <c r="C48" s="141">
        <v>1485491</v>
      </c>
      <c r="D48" s="73">
        <f t="shared" si="0"/>
        <v>722116</v>
      </c>
      <c r="E48" s="141">
        <v>26285</v>
      </c>
      <c r="F48" s="141">
        <v>695831</v>
      </c>
      <c r="G48" s="73">
        <f t="shared" si="1"/>
        <v>51090</v>
      </c>
      <c r="H48" s="141">
        <v>28748</v>
      </c>
      <c r="I48" s="141">
        <v>22342</v>
      </c>
      <c r="J48" s="141">
        <v>565493</v>
      </c>
      <c r="K48" s="141">
        <v>183559</v>
      </c>
      <c r="L48" s="141">
        <v>298807</v>
      </c>
      <c r="M48" s="141">
        <v>83127</v>
      </c>
      <c r="N48" s="141">
        <v>93335</v>
      </c>
      <c r="O48" s="141">
        <v>0</v>
      </c>
      <c r="P48" s="141">
        <v>0</v>
      </c>
      <c r="Q48" s="141">
        <v>0</v>
      </c>
      <c r="R48" s="141">
        <v>48894</v>
      </c>
      <c r="S48" s="74"/>
      <c r="T48" s="73">
        <f t="shared" si="18"/>
        <v>458709</v>
      </c>
      <c r="U48" s="141">
        <v>2171</v>
      </c>
      <c r="V48" s="141">
        <v>17094</v>
      </c>
      <c r="W48" s="141">
        <v>19149</v>
      </c>
      <c r="X48" s="141">
        <v>343174</v>
      </c>
      <c r="Y48" s="141">
        <v>53203</v>
      </c>
      <c r="Z48" s="141">
        <v>0</v>
      </c>
      <c r="AA48" s="141">
        <v>0</v>
      </c>
      <c r="AB48" s="141">
        <v>9267</v>
      </c>
      <c r="AC48" s="141">
        <v>14651</v>
      </c>
      <c r="AD48" s="141">
        <v>21087</v>
      </c>
      <c r="AE48" s="141">
        <v>2408234</v>
      </c>
      <c r="AF48" s="141">
        <v>2247223</v>
      </c>
      <c r="AG48" s="141">
        <v>161011</v>
      </c>
      <c r="AH48" s="141">
        <v>2173</v>
      </c>
      <c r="AI48" s="141">
        <v>2712</v>
      </c>
      <c r="AJ48" s="73">
        <f t="shared" si="19"/>
        <v>109636</v>
      </c>
      <c r="AK48" s="141">
        <v>54513</v>
      </c>
      <c r="AL48" s="141">
        <v>55123</v>
      </c>
      <c r="AM48" s="141">
        <v>1298680</v>
      </c>
      <c r="AN48" s="73">
        <f t="shared" si="20"/>
        <v>266604</v>
      </c>
      <c r="AO48" s="141">
        <v>0</v>
      </c>
      <c r="AP48" s="141">
        <v>543</v>
      </c>
      <c r="AQ48" s="74"/>
      <c r="AR48" s="141">
        <v>266061</v>
      </c>
      <c r="AS48" s="141">
        <v>35025</v>
      </c>
      <c r="AT48" s="141">
        <v>0</v>
      </c>
      <c r="AU48" s="141">
        <v>0</v>
      </c>
      <c r="AV48" s="141">
        <v>536997</v>
      </c>
      <c r="AW48" s="141">
        <v>310123</v>
      </c>
      <c r="AX48" s="141">
        <v>44584</v>
      </c>
      <c r="AY48" s="141">
        <v>277</v>
      </c>
      <c r="AZ48" s="141">
        <v>226874</v>
      </c>
      <c r="BA48" s="141">
        <v>4252</v>
      </c>
      <c r="BB48" s="141">
        <v>11321</v>
      </c>
      <c r="BC48" s="141">
        <v>7964</v>
      </c>
      <c r="BD48" s="141">
        <v>25471</v>
      </c>
      <c r="BE48" s="141">
        <v>18656</v>
      </c>
      <c r="BF48" s="141">
        <v>0</v>
      </c>
      <c r="BG48" s="141">
        <v>0</v>
      </c>
      <c r="BH48" s="141">
        <v>17517</v>
      </c>
      <c r="BI48" s="141">
        <v>0</v>
      </c>
      <c r="BJ48" s="141">
        <v>55865</v>
      </c>
      <c r="BK48" s="141">
        <v>55841</v>
      </c>
      <c r="BL48" s="141">
        <v>82298</v>
      </c>
      <c r="BM48" s="141">
        <v>1000</v>
      </c>
      <c r="BN48" s="141">
        <v>5760</v>
      </c>
      <c r="BO48" s="141">
        <v>0</v>
      </c>
      <c r="BP48" s="141">
        <v>383000</v>
      </c>
      <c r="BQ48" s="73">
        <f t="shared" si="5"/>
        <v>286600</v>
      </c>
      <c r="BR48" s="73">
        <f t="shared" si="6"/>
        <v>96400</v>
      </c>
      <c r="BS48" s="141">
        <v>0</v>
      </c>
      <c r="BT48" s="141">
        <v>0</v>
      </c>
      <c r="BU48" s="141">
        <v>96400</v>
      </c>
      <c r="BV48" s="141">
        <v>0</v>
      </c>
      <c r="BW48" s="141">
        <v>6949224</v>
      </c>
      <c r="BX48" s="71"/>
      <c r="BY48" s="141">
        <v>1402525</v>
      </c>
      <c r="BZ48" s="141">
        <v>754877</v>
      </c>
      <c r="CA48" s="141">
        <v>103144</v>
      </c>
      <c r="CB48" s="141">
        <v>250353</v>
      </c>
      <c r="CC48" s="141">
        <v>1143406</v>
      </c>
      <c r="CD48" s="141">
        <v>619441</v>
      </c>
      <c r="CE48" s="141">
        <v>4110</v>
      </c>
      <c r="CF48" s="141">
        <v>463508</v>
      </c>
      <c r="CG48" s="141">
        <v>0</v>
      </c>
      <c r="CH48" s="141">
        <v>773</v>
      </c>
      <c r="CI48" s="141">
        <v>55574</v>
      </c>
      <c r="CJ48" s="141">
        <v>576887</v>
      </c>
      <c r="CK48" s="141">
        <v>548686</v>
      </c>
      <c r="CL48" s="83">
        <f t="shared" si="21"/>
        <v>28201</v>
      </c>
      <c r="CM48" s="141">
        <v>1150770</v>
      </c>
      <c r="CN48" s="141">
        <v>789065</v>
      </c>
      <c r="CO48" s="102"/>
      <c r="CP48" s="141">
        <v>162745</v>
      </c>
      <c r="CQ48" s="141">
        <v>12372</v>
      </c>
      <c r="CR48" s="141">
        <v>1107450</v>
      </c>
      <c r="CS48" s="141">
        <v>146078</v>
      </c>
      <c r="CT48" s="141">
        <v>499970</v>
      </c>
      <c r="CU48" s="141">
        <v>133610</v>
      </c>
      <c r="CV48" s="73">
        <f t="shared" si="8"/>
        <v>146429</v>
      </c>
      <c r="CW48" s="141">
        <v>3789</v>
      </c>
      <c r="CX48" s="141">
        <v>142640</v>
      </c>
      <c r="CY48" s="73">
        <f t="shared" si="9"/>
        <v>0</v>
      </c>
      <c r="CZ48" s="141">
        <v>0</v>
      </c>
      <c r="DA48" s="141">
        <v>0</v>
      </c>
      <c r="DB48" s="73">
        <f t="shared" si="10"/>
        <v>146429</v>
      </c>
      <c r="DC48" s="141">
        <v>3789</v>
      </c>
      <c r="DD48" s="141">
        <v>142640</v>
      </c>
      <c r="DE48" s="141">
        <v>492346</v>
      </c>
      <c r="DF48" s="141">
        <v>115355</v>
      </c>
      <c r="DG48" s="141">
        <v>367418</v>
      </c>
      <c r="DH48" s="141">
        <v>9573</v>
      </c>
      <c r="DI48" s="141">
        <v>0</v>
      </c>
      <c r="DJ48" s="141">
        <v>0</v>
      </c>
      <c r="DK48" s="141">
        <v>241398</v>
      </c>
      <c r="DL48" s="141">
        <v>281</v>
      </c>
      <c r="DM48" s="141">
        <v>65048</v>
      </c>
      <c r="DN48" s="141">
        <v>176069</v>
      </c>
      <c r="DO48" s="141">
        <v>0</v>
      </c>
      <c r="DP48" s="141">
        <v>0</v>
      </c>
      <c r="DQ48" s="141">
        <v>0</v>
      </c>
      <c r="DR48" s="141">
        <v>0</v>
      </c>
      <c r="DS48" s="141">
        <v>0</v>
      </c>
      <c r="DT48" s="141">
        <v>0</v>
      </c>
      <c r="DU48" s="141">
        <v>0</v>
      </c>
      <c r="DV48" s="141">
        <v>639181</v>
      </c>
      <c r="DW48" s="141">
        <v>0</v>
      </c>
      <c r="DX48" s="73">
        <f t="shared" si="11"/>
        <v>0</v>
      </c>
      <c r="DY48" s="141">
        <v>0</v>
      </c>
      <c r="DZ48" s="141">
        <v>244461</v>
      </c>
      <c r="EA48" s="141">
        <v>0</v>
      </c>
      <c r="EB48" s="141">
        <v>151263</v>
      </c>
      <c r="EC48" s="74">
        <v>0</v>
      </c>
      <c r="ED48" s="141">
        <v>243457</v>
      </c>
      <c r="EE48" s="141">
        <v>0</v>
      </c>
      <c r="EF48" s="141">
        <v>6766335</v>
      </c>
      <c r="EG48" s="71"/>
      <c r="EH48" s="141">
        <v>182889</v>
      </c>
      <c r="EI48" s="141">
        <v>6001</v>
      </c>
      <c r="EJ48" s="141">
        <v>176888</v>
      </c>
      <c r="EK48" s="141">
        <v>56047</v>
      </c>
      <c r="EL48" s="141">
        <v>56328</v>
      </c>
      <c r="EM48" s="71"/>
      <c r="EN48" s="141">
        <v>15697</v>
      </c>
      <c r="EO48" s="141">
        <v>15147</v>
      </c>
      <c r="EP48" s="141">
        <v>1139</v>
      </c>
      <c r="EQ48" s="141">
        <v>10645</v>
      </c>
      <c r="ER48" s="73">
        <f t="shared" si="12"/>
        <v>293916</v>
      </c>
      <c r="ES48" s="141">
        <v>4424588</v>
      </c>
      <c r="ET48" s="141">
        <v>-399927</v>
      </c>
      <c r="EU48" s="141">
        <v>1291245</v>
      </c>
      <c r="EV48" s="141">
        <v>676683</v>
      </c>
      <c r="EW48" s="141">
        <v>342278</v>
      </c>
      <c r="EX48" s="141">
        <v>576887</v>
      </c>
      <c r="EY48" s="73">
        <f t="shared" si="13"/>
        <v>163653</v>
      </c>
      <c r="EZ48" s="141">
        <v>163653</v>
      </c>
      <c r="FA48" s="141">
        <v>29164</v>
      </c>
      <c r="FB48" s="141">
        <v>124916</v>
      </c>
      <c r="FC48" s="141">
        <v>0</v>
      </c>
      <c r="FD48" s="141">
        <v>0</v>
      </c>
      <c r="FE48" s="141">
        <v>820867</v>
      </c>
      <c r="FF48" s="141">
        <v>683336</v>
      </c>
      <c r="FG48" s="141">
        <v>146078</v>
      </c>
      <c r="FH48" s="141">
        <v>510376</v>
      </c>
      <c r="FI48" s="73">
        <f t="shared" si="14"/>
        <v>252984</v>
      </c>
      <c r="FJ48" s="141">
        <v>4641626</v>
      </c>
      <c r="FK48" s="379">
        <f t="shared" si="15"/>
        <v>4</v>
      </c>
      <c r="FL48" s="141">
        <v>4166861</v>
      </c>
      <c r="FM48" s="141">
        <v>228165</v>
      </c>
      <c r="FN48" s="141">
        <v>1540072</v>
      </c>
      <c r="FO48" s="141">
        <v>3785483</v>
      </c>
      <c r="FP48" s="390">
        <v>0.436</v>
      </c>
      <c r="FQ48" s="380">
        <v>86</v>
      </c>
      <c r="FR48" s="381">
        <v>29.3</v>
      </c>
      <c r="FS48" s="380">
        <v>7.8</v>
      </c>
      <c r="FT48" s="380">
        <v>13.2</v>
      </c>
      <c r="FU48" s="381">
        <v>14.1</v>
      </c>
      <c r="FV48" s="380">
        <v>9.9</v>
      </c>
      <c r="FW48" s="382">
        <v>11.5</v>
      </c>
      <c r="FX48" s="383">
        <v>6</v>
      </c>
      <c r="FY48" s="141">
        <v>6137910</v>
      </c>
      <c r="FZ48" s="384">
        <f t="shared" si="16"/>
        <v>139.69999999999999</v>
      </c>
      <c r="GA48" s="141">
        <v>2769017</v>
      </c>
      <c r="GB48" s="141">
        <v>1203471</v>
      </c>
      <c r="GC48" s="141">
        <v>275065</v>
      </c>
      <c r="GD48" s="141">
        <v>1290481</v>
      </c>
      <c r="GE48" s="107">
        <v>0</v>
      </c>
      <c r="GF48" s="385">
        <v>109</v>
      </c>
      <c r="GG48" s="386">
        <f>IF(GF48=0,"-",ROUND(GF48/(GX48)*100,1))</f>
        <v>2.5</v>
      </c>
      <c r="GH48" s="380">
        <v>99.2</v>
      </c>
      <c r="GI48" s="380">
        <v>24.7</v>
      </c>
      <c r="GJ48" s="380">
        <v>96.4</v>
      </c>
      <c r="GK48" s="141">
        <v>124</v>
      </c>
      <c r="GL48" s="391" t="s">
        <v>646</v>
      </c>
      <c r="GM48" s="391">
        <v>15</v>
      </c>
      <c r="GN48" s="117">
        <v>20</v>
      </c>
      <c r="GO48" s="391" t="s">
        <v>646</v>
      </c>
      <c r="GP48" s="392">
        <v>20</v>
      </c>
      <c r="GQ48" s="387">
        <v>30</v>
      </c>
      <c r="GR48" s="381">
        <v>6</v>
      </c>
      <c r="GS48" s="388">
        <v>25</v>
      </c>
      <c r="GT48" s="388">
        <v>35</v>
      </c>
      <c r="GU48" s="393" t="s">
        <v>646</v>
      </c>
      <c r="GV48" s="388">
        <v>350</v>
      </c>
      <c r="GW48" s="394"/>
      <c r="GX48" s="100">
        <f t="shared" si="17"/>
        <v>4395</v>
      </c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  <c r="HW48" s="394"/>
      <c r="HX48" s="394"/>
    </row>
    <row r="49" spans="1:232" x14ac:dyDescent="0.15">
      <c r="B49" s="89" t="s">
        <v>87</v>
      </c>
      <c r="C49" s="141">
        <v>489847</v>
      </c>
      <c r="D49" s="73">
        <f t="shared" si="0"/>
        <v>193249</v>
      </c>
      <c r="E49" s="141">
        <v>7830</v>
      </c>
      <c r="F49" s="141">
        <v>185419</v>
      </c>
      <c r="G49" s="73">
        <f t="shared" si="1"/>
        <v>29781</v>
      </c>
      <c r="H49" s="141">
        <v>14307</v>
      </c>
      <c r="I49" s="141">
        <v>15474</v>
      </c>
      <c r="J49" s="141">
        <v>246090</v>
      </c>
      <c r="K49" s="141">
        <v>72064</v>
      </c>
      <c r="L49" s="141">
        <v>129230</v>
      </c>
      <c r="M49" s="141">
        <v>44796</v>
      </c>
      <c r="N49" s="141">
        <v>1255</v>
      </c>
      <c r="O49" s="141">
        <v>0</v>
      </c>
      <c r="P49" s="141">
        <v>0</v>
      </c>
      <c r="Q49" s="141">
        <v>0</v>
      </c>
      <c r="R49" s="141">
        <v>27437</v>
      </c>
      <c r="S49" s="74"/>
      <c r="T49" s="73">
        <f t="shared" si="18"/>
        <v>170133</v>
      </c>
      <c r="U49" s="141">
        <v>581</v>
      </c>
      <c r="V49" s="141">
        <v>4568</v>
      </c>
      <c r="W49" s="141">
        <v>5101</v>
      </c>
      <c r="X49" s="141">
        <v>116373</v>
      </c>
      <c r="Y49" s="141">
        <v>32353</v>
      </c>
      <c r="Z49" s="141">
        <v>0</v>
      </c>
      <c r="AA49" s="141">
        <v>0</v>
      </c>
      <c r="AB49" s="141">
        <v>3618</v>
      </c>
      <c r="AC49" s="141">
        <v>7539</v>
      </c>
      <c r="AD49" s="141">
        <v>4550</v>
      </c>
      <c r="AE49" s="141">
        <v>1714002</v>
      </c>
      <c r="AF49" s="141">
        <v>1534029</v>
      </c>
      <c r="AG49" s="141">
        <v>179973</v>
      </c>
      <c r="AH49" s="141">
        <v>761</v>
      </c>
      <c r="AI49" s="141">
        <v>1476</v>
      </c>
      <c r="AJ49" s="73">
        <f t="shared" si="19"/>
        <v>22291</v>
      </c>
      <c r="AK49" s="141">
        <v>9342</v>
      </c>
      <c r="AL49" s="141">
        <v>12949</v>
      </c>
      <c r="AM49" s="141">
        <v>492408</v>
      </c>
      <c r="AN49" s="73">
        <f t="shared" si="20"/>
        <v>50072</v>
      </c>
      <c r="AO49" s="141">
        <v>0</v>
      </c>
      <c r="AP49" s="141">
        <v>0</v>
      </c>
      <c r="AQ49" s="74"/>
      <c r="AR49" s="141">
        <v>50072</v>
      </c>
      <c r="AS49" s="141">
        <v>0</v>
      </c>
      <c r="AT49" s="141">
        <v>0</v>
      </c>
      <c r="AU49" s="141">
        <v>0</v>
      </c>
      <c r="AV49" s="141">
        <v>223821</v>
      </c>
      <c r="AW49" s="141">
        <v>94999</v>
      </c>
      <c r="AX49" s="141">
        <v>0</v>
      </c>
      <c r="AY49" s="141">
        <v>0</v>
      </c>
      <c r="AZ49" s="141">
        <v>128822</v>
      </c>
      <c r="BA49" s="141">
        <v>2310</v>
      </c>
      <c r="BB49" s="141">
        <v>2872</v>
      </c>
      <c r="BC49" s="141">
        <v>387</v>
      </c>
      <c r="BD49" s="141">
        <v>11400</v>
      </c>
      <c r="BE49" s="141">
        <v>39193</v>
      </c>
      <c r="BF49" s="141">
        <v>0</v>
      </c>
      <c r="BG49" s="141">
        <v>0</v>
      </c>
      <c r="BH49" s="141">
        <v>39193</v>
      </c>
      <c r="BI49" s="141">
        <v>0</v>
      </c>
      <c r="BJ49" s="141">
        <v>33401</v>
      </c>
      <c r="BK49" s="141">
        <v>22309</v>
      </c>
      <c r="BL49" s="141">
        <v>71747</v>
      </c>
      <c r="BM49" s="141">
        <v>0</v>
      </c>
      <c r="BN49" s="141">
        <v>0</v>
      </c>
      <c r="BO49" s="141">
        <v>0</v>
      </c>
      <c r="BP49" s="141">
        <v>158000</v>
      </c>
      <c r="BQ49" s="73">
        <f t="shared" si="5"/>
        <v>158000</v>
      </c>
      <c r="BR49" s="73">
        <f t="shared" si="6"/>
        <v>0</v>
      </c>
      <c r="BS49" s="141">
        <v>0</v>
      </c>
      <c r="BT49" s="141">
        <v>0</v>
      </c>
      <c r="BU49" s="141">
        <v>0</v>
      </c>
      <c r="BV49" s="141">
        <v>0</v>
      </c>
      <c r="BW49" s="141">
        <v>3463339</v>
      </c>
      <c r="BX49" s="71"/>
      <c r="BY49" s="141">
        <v>776522</v>
      </c>
      <c r="BZ49" s="141">
        <v>474493</v>
      </c>
      <c r="CA49" s="141">
        <v>42478</v>
      </c>
      <c r="CB49" s="141">
        <v>73125</v>
      </c>
      <c r="CC49" s="141">
        <v>462225</v>
      </c>
      <c r="CD49" s="141">
        <v>206135</v>
      </c>
      <c r="CE49" s="141">
        <v>3628</v>
      </c>
      <c r="CF49" s="141">
        <v>213916</v>
      </c>
      <c r="CG49" s="141">
        <v>0</v>
      </c>
      <c r="CH49" s="141">
        <v>290</v>
      </c>
      <c r="CI49" s="141">
        <v>38156</v>
      </c>
      <c r="CJ49" s="141">
        <v>345839</v>
      </c>
      <c r="CK49" s="141">
        <v>334154</v>
      </c>
      <c r="CL49" s="83">
        <f t="shared" si="21"/>
        <v>11685</v>
      </c>
      <c r="CM49" s="141">
        <v>606435</v>
      </c>
      <c r="CN49" s="141">
        <v>431143</v>
      </c>
      <c r="CO49" s="102"/>
      <c r="CP49" s="141">
        <v>66826</v>
      </c>
      <c r="CQ49" s="141">
        <v>4633</v>
      </c>
      <c r="CR49" s="141">
        <v>310339</v>
      </c>
      <c r="CS49" s="141">
        <v>148722</v>
      </c>
      <c r="CT49" s="141">
        <v>40024</v>
      </c>
      <c r="CU49" s="141">
        <v>39524</v>
      </c>
      <c r="CV49" s="73">
        <f t="shared" si="8"/>
        <v>0</v>
      </c>
      <c r="CW49" s="141">
        <v>0</v>
      </c>
      <c r="CX49" s="141">
        <v>0</v>
      </c>
      <c r="CY49" s="73">
        <f t="shared" si="9"/>
        <v>0</v>
      </c>
      <c r="CZ49" s="141">
        <v>0</v>
      </c>
      <c r="DA49" s="141">
        <v>0</v>
      </c>
      <c r="DB49" s="73">
        <f t="shared" si="10"/>
        <v>0</v>
      </c>
      <c r="DC49" s="141">
        <v>0</v>
      </c>
      <c r="DD49" s="141">
        <v>0</v>
      </c>
      <c r="DE49" s="141">
        <v>198540</v>
      </c>
      <c r="DF49" s="141">
        <v>12936</v>
      </c>
      <c r="DG49" s="141">
        <v>185604</v>
      </c>
      <c r="DH49" s="141">
        <v>0</v>
      </c>
      <c r="DI49" s="141">
        <v>0</v>
      </c>
      <c r="DJ49" s="141">
        <v>0</v>
      </c>
      <c r="DK49" s="141">
        <v>169508</v>
      </c>
      <c r="DL49" s="141">
        <v>153021</v>
      </c>
      <c r="DM49" s="141">
        <v>61</v>
      </c>
      <c r="DN49" s="141">
        <v>16426</v>
      </c>
      <c r="DO49" s="141">
        <v>0</v>
      </c>
      <c r="DP49" s="141">
        <v>0</v>
      </c>
      <c r="DQ49" s="141">
        <v>0</v>
      </c>
      <c r="DR49" s="141">
        <v>0</v>
      </c>
      <c r="DS49" s="141">
        <v>0</v>
      </c>
      <c r="DT49" s="141">
        <v>0</v>
      </c>
      <c r="DU49" s="141">
        <v>0</v>
      </c>
      <c r="DV49" s="141">
        <v>469631</v>
      </c>
      <c r="DW49" s="141">
        <v>129764</v>
      </c>
      <c r="DX49" s="73">
        <f t="shared" si="11"/>
        <v>0</v>
      </c>
      <c r="DY49" s="141">
        <v>0</v>
      </c>
      <c r="DZ49" s="141">
        <v>129515</v>
      </c>
      <c r="EA49" s="141">
        <v>0</v>
      </c>
      <c r="EB49" s="141">
        <v>58675</v>
      </c>
      <c r="EC49" s="74">
        <v>0</v>
      </c>
      <c r="ED49" s="141">
        <v>93193</v>
      </c>
      <c r="EE49" s="141">
        <v>0</v>
      </c>
      <c r="EF49" s="141">
        <v>3343672</v>
      </c>
      <c r="EG49" s="71"/>
      <c r="EH49" s="141">
        <v>119667</v>
      </c>
      <c r="EI49" s="141">
        <v>13953</v>
      </c>
      <c r="EJ49" s="141">
        <v>105714</v>
      </c>
      <c r="EK49" s="141">
        <v>83405</v>
      </c>
      <c r="EL49" s="141">
        <v>236426</v>
      </c>
      <c r="EM49" s="71"/>
      <c r="EN49" s="141">
        <v>4909</v>
      </c>
      <c r="EO49" s="141">
        <v>4970</v>
      </c>
      <c r="EP49" s="141">
        <v>0</v>
      </c>
      <c r="EQ49" s="141">
        <v>834</v>
      </c>
      <c r="ER49" s="73">
        <f t="shared" si="12"/>
        <v>154985</v>
      </c>
      <c r="ES49" s="141">
        <v>2406730</v>
      </c>
      <c r="ET49" s="141">
        <v>-155058</v>
      </c>
      <c r="EU49" s="141">
        <v>710506</v>
      </c>
      <c r="EV49" s="141">
        <v>431781</v>
      </c>
      <c r="EW49" s="141">
        <v>97452</v>
      </c>
      <c r="EX49" s="141">
        <v>345839</v>
      </c>
      <c r="EY49" s="73">
        <f t="shared" si="13"/>
        <v>49740</v>
      </c>
      <c r="EZ49" s="141">
        <v>49740</v>
      </c>
      <c r="FA49" s="141">
        <v>136</v>
      </c>
      <c r="FB49" s="141">
        <v>49604</v>
      </c>
      <c r="FC49" s="141">
        <v>0</v>
      </c>
      <c r="FD49" s="141">
        <v>0</v>
      </c>
      <c r="FE49" s="141">
        <v>436710</v>
      </c>
      <c r="FF49" s="141">
        <v>213294</v>
      </c>
      <c r="FG49" s="141">
        <v>112265</v>
      </c>
      <c r="FH49" s="141">
        <v>421314</v>
      </c>
      <c r="FI49" s="73">
        <f t="shared" si="14"/>
        <v>167266</v>
      </c>
      <c r="FJ49" s="141">
        <v>2442121</v>
      </c>
      <c r="FK49" s="379">
        <f t="shared" si="15"/>
        <v>4.7</v>
      </c>
      <c r="FL49" s="141">
        <v>2166251</v>
      </c>
      <c r="FM49" s="141">
        <v>86860</v>
      </c>
      <c r="FN49" s="141">
        <v>509677</v>
      </c>
      <c r="FO49" s="141">
        <v>2037000</v>
      </c>
      <c r="FP49" s="390">
        <v>0.27600000000000002</v>
      </c>
      <c r="FQ49" s="380">
        <v>80.3</v>
      </c>
      <c r="FR49" s="381">
        <v>29.8</v>
      </c>
      <c r="FS49" s="380">
        <v>4.4000000000000004</v>
      </c>
      <c r="FT49" s="380">
        <v>15.5</v>
      </c>
      <c r="FU49" s="381">
        <v>16</v>
      </c>
      <c r="FV49" s="380">
        <v>3.5</v>
      </c>
      <c r="FW49" s="382">
        <v>11</v>
      </c>
      <c r="FX49" s="383">
        <v>8.1</v>
      </c>
      <c r="FY49" s="141">
        <v>3341744</v>
      </c>
      <c r="FZ49" s="384">
        <f t="shared" si="16"/>
        <v>148.30000000000001</v>
      </c>
      <c r="GA49" s="141">
        <v>2190458</v>
      </c>
      <c r="GB49" s="141">
        <v>1048531</v>
      </c>
      <c r="GC49" s="141">
        <v>275652</v>
      </c>
      <c r="GD49" s="141">
        <v>866275</v>
      </c>
      <c r="GE49" s="107">
        <v>0</v>
      </c>
      <c r="GF49" s="385"/>
      <c r="GG49" s="386"/>
      <c r="GH49" s="380">
        <v>99.8</v>
      </c>
      <c r="GI49" s="380">
        <v>92.3</v>
      </c>
      <c r="GJ49" s="380">
        <v>99.5</v>
      </c>
      <c r="GK49" s="141">
        <v>74</v>
      </c>
      <c r="GL49" s="391" t="s">
        <v>646</v>
      </c>
      <c r="GM49" s="391">
        <v>15</v>
      </c>
      <c r="GN49" s="117">
        <v>20</v>
      </c>
      <c r="GO49" s="391" t="s">
        <v>646</v>
      </c>
      <c r="GP49" s="391">
        <v>20</v>
      </c>
      <c r="GQ49" s="387">
        <v>30</v>
      </c>
      <c r="GR49" s="381">
        <v>8.1</v>
      </c>
      <c r="GS49" s="388">
        <v>25</v>
      </c>
      <c r="GT49" s="388">
        <v>35</v>
      </c>
      <c r="GU49" s="393" t="s">
        <v>646</v>
      </c>
      <c r="GV49" s="388">
        <v>350</v>
      </c>
      <c r="GW49" s="394"/>
      <c r="GX49" s="100">
        <f t="shared" si="17"/>
        <v>2253</v>
      </c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  <c r="HW49" s="394"/>
      <c r="HX49" s="394"/>
    </row>
    <row r="50" spans="1:232" s="112" customFormat="1" x14ac:dyDescent="0.15">
      <c r="A50" s="126"/>
      <c r="B50" s="126" t="s">
        <v>89</v>
      </c>
      <c r="C50" s="137">
        <v>23520862</v>
      </c>
      <c r="D50" s="127">
        <f t="shared" si="0"/>
        <v>8746905</v>
      </c>
      <c r="E50" s="137">
        <v>302305</v>
      </c>
      <c r="F50" s="137">
        <v>8444600</v>
      </c>
      <c r="G50" s="127">
        <f t="shared" si="1"/>
        <v>1520947</v>
      </c>
      <c r="H50" s="137">
        <v>355661</v>
      </c>
      <c r="I50" s="137">
        <v>1165286</v>
      </c>
      <c r="J50" s="137">
        <v>11270871</v>
      </c>
      <c r="K50" s="137">
        <v>4589866</v>
      </c>
      <c r="L50" s="137">
        <v>4438980</v>
      </c>
      <c r="M50" s="137">
        <v>2168970</v>
      </c>
      <c r="N50" s="137">
        <v>905051</v>
      </c>
      <c r="O50" s="137">
        <v>613612</v>
      </c>
      <c r="P50" s="137">
        <v>322123</v>
      </c>
      <c r="Q50" s="137">
        <v>291489</v>
      </c>
      <c r="R50" s="137">
        <v>532724</v>
      </c>
      <c r="S50" s="127"/>
      <c r="T50" s="127">
        <f t="shared" si="18"/>
        <v>4882381</v>
      </c>
      <c r="U50" s="137">
        <v>25530</v>
      </c>
      <c r="V50" s="137">
        <v>201301</v>
      </c>
      <c r="W50" s="137">
        <v>225749</v>
      </c>
      <c r="X50" s="137">
        <v>3793399</v>
      </c>
      <c r="Y50" s="137">
        <v>239606</v>
      </c>
      <c r="Z50" s="137">
        <v>0</v>
      </c>
      <c r="AA50" s="137">
        <v>0</v>
      </c>
      <c r="AB50" s="137">
        <v>91831</v>
      </c>
      <c r="AC50" s="137">
        <v>304965</v>
      </c>
      <c r="AD50" s="137">
        <v>374351</v>
      </c>
      <c r="AE50" s="137">
        <v>21309026</v>
      </c>
      <c r="AF50" s="137">
        <v>19385530</v>
      </c>
      <c r="AG50" s="137">
        <v>1923496</v>
      </c>
      <c r="AH50" s="137">
        <v>24601</v>
      </c>
      <c r="AI50" s="137">
        <v>214847</v>
      </c>
      <c r="AJ50" s="127">
        <f t="shared" si="19"/>
        <v>1100267</v>
      </c>
      <c r="AK50" s="137">
        <v>732594</v>
      </c>
      <c r="AL50" s="137">
        <v>367673</v>
      </c>
      <c r="AM50" s="137">
        <v>16240710</v>
      </c>
      <c r="AN50" s="127">
        <f t="shared" si="20"/>
        <v>3423532</v>
      </c>
      <c r="AO50" s="137">
        <v>192979</v>
      </c>
      <c r="AP50" s="137">
        <v>1207069</v>
      </c>
      <c r="AQ50" s="127"/>
      <c r="AR50" s="137">
        <v>2023484</v>
      </c>
      <c r="AS50" s="137">
        <v>727343</v>
      </c>
      <c r="AT50" s="137">
        <v>6598</v>
      </c>
      <c r="AU50" s="137">
        <v>0</v>
      </c>
      <c r="AV50" s="137">
        <v>5728564</v>
      </c>
      <c r="AW50" s="137">
        <v>3100853</v>
      </c>
      <c r="AX50" s="137">
        <v>569617</v>
      </c>
      <c r="AY50" s="137">
        <v>26680</v>
      </c>
      <c r="AZ50" s="137">
        <v>2627711</v>
      </c>
      <c r="BA50" s="137">
        <v>68494</v>
      </c>
      <c r="BB50" s="137">
        <v>153913</v>
      </c>
      <c r="BC50" s="137">
        <v>38102</v>
      </c>
      <c r="BD50" s="137">
        <v>1388871</v>
      </c>
      <c r="BE50" s="137">
        <v>1921619</v>
      </c>
      <c r="BF50" s="137">
        <v>538299</v>
      </c>
      <c r="BG50" s="137">
        <v>0</v>
      </c>
      <c r="BH50" s="137">
        <v>1216633</v>
      </c>
      <c r="BI50" s="137">
        <v>0</v>
      </c>
      <c r="BJ50" s="137">
        <v>2208440</v>
      </c>
      <c r="BK50" s="137">
        <v>1075728</v>
      </c>
      <c r="BL50" s="137">
        <v>1197677</v>
      </c>
      <c r="BM50" s="137">
        <v>19649</v>
      </c>
      <c r="BN50" s="137">
        <v>12022</v>
      </c>
      <c r="BO50" s="137">
        <v>0</v>
      </c>
      <c r="BP50" s="137">
        <v>5802553</v>
      </c>
      <c r="BQ50" s="127">
        <f t="shared" si="5"/>
        <v>3401400</v>
      </c>
      <c r="BR50" s="127">
        <f t="shared" si="6"/>
        <v>2401153</v>
      </c>
      <c r="BS50" s="137">
        <v>0</v>
      </c>
      <c r="BT50" s="137">
        <v>0</v>
      </c>
      <c r="BU50" s="137">
        <v>2401153</v>
      </c>
      <c r="BV50" s="137">
        <v>0</v>
      </c>
      <c r="BW50" s="137">
        <v>86601406</v>
      </c>
      <c r="BX50" s="127"/>
      <c r="BY50" s="137">
        <v>16472605</v>
      </c>
      <c r="BZ50" s="137">
        <v>9057352</v>
      </c>
      <c r="CA50" s="137">
        <v>1103952</v>
      </c>
      <c r="CB50" s="137">
        <v>3022173</v>
      </c>
      <c r="CC50" s="137">
        <v>16041966</v>
      </c>
      <c r="CD50" s="137">
        <v>6363765</v>
      </c>
      <c r="CE50" s="137">
        <v>28904</v>
      </c>
      <c r="CF50" s="137">
        <v>8727647</v>
      </c>
      <c r="CG50" s="137">
        <v>266623</v>
      </c>
      <c r="CH50" s="137">
        <v>16276</v>
      </c>
      <c r="CI50" s="137">
        <v>638451</v>
      </c>
      <c r="CJ50" s="137">
        <v>6308551</v>
      </c>
      <c r="CK50" s="137">
        <v>6030356</v>
      </c>
      <c r="CL50" s="127">
        <f t="shared" si="21"/>
        <v>278195</v>
      </c>
      <c r="CM50" s="137">
        <v>13497616</v>
      </c>
      <c r="CN50" s="137">
        <v>9291715</v>
      </c>
      <c r="CO50" s="129"/>
      <c r="CP50" s="137">
        <v>1880244</v>
      </c>
      <c r="CQ50" s="137">
        <v>648053</v>
      </c>
      <c r="CR50" s="137">
        <v>8365801</v>
      </c>
      <c r="CS50" s="137">
        <v>2142889</v>
      </c>
      <c r="CT50" s="137">
        <v>2036433</v>
      </c>
      <c r="CU50" s="137">
        <v>1387344</v>
      </c>
      <c r="CV50" s="127">
        <f t="shared" si="8"/>
        <v>1298361</v>
      </c>
      <c r="CW50" s="137">
        <v>363443</v>
      </c>
      <c r="CX50" s="137">
        <v>934918</v>
      </c>
      <c r="CY50" s="127">
        <f t="shared" si="9"/>
        <v>0</v>
      </c>
      <c r="CZ50" s="137">
        <v>0</v>
      </c>
      <c r="DA50" s="137">
        <v>0</v>
      </c>
      <c r="DB50" s="127">
        <f t="shared" si="10"/>
        <v>1142255</v>
      </c>
      <c r="DC50" s="137">
        <v>352789</v>
      </c>
      <c r="DD50" s="137">
        <v>789466</v>
      </c>
      <c r="DE50" s="137">
        <v>8000790</v>
      </c>
      <c r="DF50" s="137">
        <v>3198228</v>
      </c>
      <c r="DG50" s="137">
        <v>4778493</v>
      </c>
      <c r="DH50" s="137">
        <v>9935</v>
      </c>
      <c r="DI50" s="137">
        <v>0</v>
      </c>
      <c r="DJ50" s="137">
        <v>231040</v>
      </c>
      <c r="DK50" s="137">
        <v>3610670</v>
      </c>
      <c r="DL50" s="137">
        <v>1691418</v>
      </c>
      <c r="DM50" s="137">
        <v>316450</v>
      </c>
      <c r="DN50" s="137">
        <v>1602802</v>
      </c>
      <c r="DO50" s="137">
        <v>425762</v>
      </c>
      <c r="DP50" s="137">
        <v>425762</v>
      </c>
      <c r="DQ50" s="137">
        <v>100955</v>
      </c>
      <c r="DR50" s="137">
        <v>0</v>
      </c>
      <c r="DS50" s="137">
        <v>15904</v>
      </c>
      <c r="DT50" s="137">
        <v>0</v>
      </c>
      <c r="DU50" s="137">
        <v>0</v>
      </c>
      <c r="DV50" s="137">
        <v>8931347</v>
      </c>
      <c r="DW50" s="137">
        <v>1191684</v>
      </c>
      <c r="DX50" s="127">
        <f t="shared" si="11"/>
        <v>0</v>
      </c>
      <c r="DY50" s="137">
        <v>0</v>
      </c>
      <c r="DZ50" s="137">
        <v>2992309</v>
      </c>
      <c r="EA50" s="137">
        <v>0</v>
      </c>
      <c r="EB50" s="137">
        <v>1813116</v>
      </c>
      <c r="EC50" s="127">
        <v>0</v>
      </c>
      <c r="ED50" s="137">
        <v>2833237</v>
      </c>
      <c r="EE50" s="137">
        <v>0</v>
      </c>
      <c r="EF50" s="137">
        <v>82550105</v>
      </c>
      <c r="EG50" s="127"/>
      <c r="EH50" s="137">
        <v>4051301</v>
      </c>
      <c r="EI50" s="137">
        <v>803362</v>
      </c>
      <c r="EJ50" s="137">
        <v>3247939</v>
      </c>
      <c r="EK50" s="137">
        <v>2107211</v>
      </c>
      <c r="EL50" s="137">
        <v>3260330</v>
      </c>
      <c r="EM50" s="127"/>
      <c r="EN50" s="129">
        <f>SUM(EN40:EN49)</f>
        <v>175405</v>
      </c>
      <c r="EO50" s="129">
        <v>176876</v>
      </c>
      <c r="EP50" s="137">
        <v>753901</v>
      </c>
      <c r="EQ50" s="137">
        <v>72946</v>
      </c>
      <c r="ER50" s="127">
        <f t="shared" si="12"/>
        <v>4519453</v>
      </c>
      <c r="ES50" s="137">
        <v>50643945</v>
      </c>
      <c r="ET50" s="137">
        <v>-7722852</v>
      </c>
      <c r="EU50" s="137">
        <v>14891331</v>
      </c>
      <c r="EV50" s="137">
        <v>8200021</v>
      </c>
      <c r="EW50" s="137">
        <v>3805880</v>
      </c>
      <c r="EX50" s="137">
        <v>6218720</v>
      </c>
      <c r="EY50" s="127">
        <f t="shared" si="13"/>
        <v>1804137</v>
      </c>
      <c r="EZ50" s="137">
        <v>1674818</v>
      </c>
      <c r="FA50" s="137">
        <v>384157</v>
      </c>
      <c r="FB50" s="137">
        <v>1274092</v>
      </c>
      <c r="FC50" s="137">
        <v>129319</v>
      </c>
      <c r="FD50" s="137">
        <v>0</v>
      </c>
      <c r="FE50" s="137">
        <v>9388487</v>
      </c>
      <c r="FF50" s="137">
        <v>7047749</v>
      </c>
      <c r="FG50" s="137">
        <v>2099667</v>
      </c>
      <c r="FH50" s="137">
        <v>7389948</v>
      </c>
      <c r="FI50" s="127">
        <f t="shared" si="14"/>
        <v>3769244</v>
      </c>
      <c r="FJ50" s="137">
        <v>54315496</v>
      </c>
      <c r="FK50" s="396">
        <f t="shared" si="15"/>
        <v>6.6</v>
      </c>
      <c r="FL50" s="137">
        <v>46177612</v>
      </c>
      <c r="FM50" s="137">
        <v>2932648</v>
      </c>
      <c r="FN50" s="137">
        <v>21166971</v>
      </c>
      <c r="FO50" s="137">
        <v>40000625</v>
      </c>
      <c r="FP50" s="397">
        <v>0.57599999999999996</v>
      </c>
      <c r="FQ50" s="398">
        <v>88.5</v>
      </c>
      <c r="FR50" s="399">
        <v>28.5</v>
      </c>
      <c r="FS50" s="398">
        <v>7.3</v>
      </c>
      <c r="FT50" s="398">
        <v>12.2</v>
      </c>
      <c r="FU50" s="399">
        <v>15.8</v>
      </c>
      <c r="FV50" s="398">
        <v>10.1</v>
      </c>
      <c r="FW50" s="400">
        <v>13</v>
      </c>
      <c r="FX50" s="401">
        <v>6.2</v>
      </c>
      <c r="FY50" s="137">
        <v>64439774</v>
      </c>
      <c r="FZ50" s="402">
        <f t="shared" si="16"/>
        <v>131.19999999999999</v>
      </c>
      <c r="GA50" s="137">
        <v>36528028</v>
      </c>
      <c r="GB50" s="137">
        <v>15196423</v>
      </c>
      <c r="GC50" s="137">
        <v>2443017</v>
      </c>
      <c r="GD50" s="137">
        <v>18888588</v>
      </c>
      <c r="GE50" s="129">
        <v>0</v>
      </c>
      <c r="GF50" s="129">
        <f>SUM(GF40:GF49)</f>
        <v>748</v>
      </c>
      <c r="GG50" s="403">
        <f>IF(GF50=0,"-",ROUND(GF50/GY50*100,1))</f>
        <v>5.5</v>
      </c>
      <c r="GH50" s="398">
        <v>99.5</v>
      </c>
      <c r="GI50" s="398">
        <v>55.9</v>
      </c>
      <c r="GJ50" s="398">
        <v>97.5</v>
      </c>
      <c r="GK50" s="129">
        <f>SUM(GK40:GK49)</f>
        <v>1477</v>
      </c>
      <c r="GL50" s="404" t="s">
        <v>646</v>
      </c>
      <c r="GM50" s="404" t="s">
        <v>646</v>
      </c>
      <c r="GN50" s="405" t="s">
        <v>646</v>
      </c>
      <c r="GO50" s="404" t="s">
        <v>646</v>
      </c>
      <c r="GP50" s="404" t="s">
        <v>646</v>
      </c>
      <c r="GQ50" s="405" t="s">
        <v>646</v>
      </c>
      <c r="GR50" s="399">
        <v>6.2</v>
      </c>
      <c r="GS50" s="406" t="s">
        <v>646</v>
      </c>
      <c r="GT50" s="406" t="s">
        <v>646</v>
      </c>
      <c r="GU50" s="406" t="s">
        <v>646</v>
      </c>
      <c r="GV50" s="404" t="s">
        <v>646</v>
      </c>
      <c r="GW50" s="407"/>
      <c r="GX50" s="128">
        <f t="shared" si="17"/>
        <v>49110</v>
      </c>
      <c r="GY50" s="408">
        <f>GX44+GX48</f>
        <v>13632</v>
      </c>
      <c r="GZ50" s="408"/>
      <c r="HA50" s="408"/>
      <c r="HB50" s="408"/>
      <c r="HC50" s="408"/>
      <c r="HD50" s="408"/>
      <c r="HE50" s="408"/>
      <c r="HF50" s="408"/>
      <c r="HG50" s="408"/>
      <c r="HH50" s="408"/>
      <c r="HI50" s="408"/>
      <c r="HJ50" s="408"/>
      <c r="HK50" s="408"/>
      <c r="HL50" s="408"/>
      <c r="HM50" s="408"/>
      <c r="HN50" s="408"/>
      <c r="HO50" s="408"/>
      <c r="HP50" s="408"/>
      <c r="HQ50" s="408"/>
      <c r="HR50" s="408"/>
      <c r="HS50" s="408"/>
      <c r="HT50" s="408"/>
      <c r="HU50" s="408"/>
      <c r="HV50" s="408"/>
      <c r="HW50" s="408"/>
      <c r="HX50" s="408"/>
    </row>
    <row r="51" spans="1:232" s="112" customFormat="1" x14ac:dyDescent="0.15">
      <c r="A51" s="126"/>
      <c r="B51" s="126" t="s">
        <v>91</v>
      </c>
      <c r="C51" s="137">
        <v>787780528</v>
      </c>
      <c r="D51" s="127">
        <f t="shared" si="0"/>
        <v>302857865</v>
      </c>
      <c r="E51" s="137">
        <v>8760574</v>
      </c>
      <c r="F51" s="137">
        <v>294097291</v>
      </c>
      <c r="G51" s="127">
        <f t="shared" si="1"/>
        <v>47191672</v>
      </c>
      <c r="H51" s="137">
        <v>14313506</v>
      </c>
      <c r="I51" s="137">
        <v>32878166</v>
      </c>
      <c r="J51" s="137">
        <v>322461853</v>
      </c>
      <c r="K51" s="137">
        <v>132399093</v>
      </c>
      <c r="L51" s="137">
        <v>140788867</v>
      </c>
      <c r="M51" s="137">
        <v>43944230</v>
      </c>
      <c r="N51" s="137">
        <v>33989135</v>
      </c>
      <c r="O51" s="137">
        <v>64838923</v>
      </c>
      <c r="P51" s="137">
        <v>35221622</v>
      </c>
      <c r="Q51" s="137">
        <v>29617301</v>
      </c>
      <c r="R51" s="137">
        <v>11047932</v>
      </c>
      <c r="S51" s="127"/>
      <c r="T51" s="127">
        <f t="shared" si="18"/>
        <v>143243500</v>
      </c>
      <c r="U51" s="137">
        <v>859721</v>
      </c>
      <c r="V51" s="137">
        <v>6796236</v>
      </c>
      <c r="W51" s="137">
        <v>7638982</v>
      </c>
      <c r="X51" s="137">
        <v>116387787</v>
      </c>
      <c r="Y51" s="137">
        <v>886730</v>
      </c>
      <c r="Z51" s="137">
        <v>0</v>
      </c>
      <c r="AA51" s="137">
        <v>0</v>
      </c>
      <c r="AB51" s="137">
        <v>1820794</v>
      </c>
      <c r="AC51" s="137">
        <v>8853250</v>
      </c>
      <c r="AD51" s="137">
        <v>11686088</v>
      </c>
      <c r="AE51" s="137">
        <v>261132261</v>
      </c>
      <c r="AF51" s="137">
        <v>247845778</v>
      </c>
      <c r="AG51" s="137">
        <v>13286336</v>
      </c>
      <c r="AH51" s="137">
        <v>715718</v>
      </c>
      <c r="AI51" s="137">
        <v>11803897</v>
      </c>
      <c r="AJ51" s="127">
        <f t="shared" si="19"/>
        <v>29116519</v>
      </c>
      <c r="AK51" s="137">
        <v>21019598</v>
      </c>
      <c r="AL51" s="137">
        <v>8096921</v>
      </c>
      <c r="AM51" s="137">
        <v>671019567</v>
      </c>
      <c r="AN51" s="127">
        <f t="shared" si="20"/>
        <v>269945394</v>
      </c>
      <c r="AO51" s="137">
        <v>147708827</v>
      </c>
      <c r="AP51" s="137">
        <v>53623416</v>
      </c>
      <c r="AQ51" s="127"/>
      <c r="AR51" s="137">
        <v>68613151</v>
      </c>
      <c r="AS51" s="137">
        <v>19455393</v>
      </c>
      <c r="AT51" s="137">
        <v>19447</v>
      </c>
      <c r="AU51" s="137">
        <v>268033</v>
      </c>
      <c r="AV51" s="137">
        <v>168055982</v>
      </c>
      <c r="AW51" s="137">
        <v>112307073</v>
      </c>
      <c r="AX51" s="137">
        <v>25023310</v>
      </c>
      <c r="AY51" s="137">
        <v>2035323</v>
      </c>
      <c r="AZ51" s="137">
        <v>55748909</v>
      </c>
      <c r="BA51" s="137">
        <v>2989211</v>
      </c>
      <c r="BB51" s="137">
        <v>11244875</v>
      </c>
      <c r="BC51" s="137">
        <v>8562379</v>
      </c>
      <c r="BD51" s="137">
        <v>26847473</v>
      </c>
      <c r="BE51" s="137">
        <v>36894637</v>
      </c>
      <c r="BF51" s="137">
        <v>5337679</v>
      </c>
      <c r="BG51" s="137">
        <v>4720454</v>
      </c>
      <c r="BH51" s="137">
        <v>25112561</v>
      </c>
      <c r="BI51" s="137">
        <v>72540</v>
      </c>
      <c r="BJ51" s="137">
        <v>41426393</v>
      </c>
      <c r="BK51" s="137">
        <v>21584335</v>
      </c>
      <c r="BL51" s="137">
        <v>43268104</v>
      </c>
      <c r="BM51" s="137">
        <v>7746530</v>
      </c>
      <c r="BN51" s="137">
        <v>43015</v>
      </c>
      <c r="BO51" s="137">
        <v>10826965</v>
      </c>
      <c r="BP51" s="137">
        <v>132983208</v>
      </c>
      <c r="BQ51" s="127">
        <f t="shared" si="5"/>
        <v>72082700</v>
      </c>
      <c r="BR51" s="127">
        <f t="shared" si="6"/>
        <v>60900508</v>
      </c>
      <c r="BS51" s="137">
        <v>0</v>
      </c>
      <c r="BT51" s="137">
        <v>1848</v>
      </c>
      <c r="BU51" s="137">
        <v>60898660</v>
      </c>
      <c r="BV51" s="137">
        <v>0</v>
      </c>
      <c r="BW51" s="137">
        <v>2388534715</v>
      </c>
      <c r="BX51" s="127"/>
      <c r="BY51" s="137">
        <v>329488428</v>
      </c>
      <c r="BZ51" s="137">
        <v>208099869</v>
      </c>
      <c r="CA51" s="137">
        <v>18523429</v>
      </c>
      <c r="CB51" s="137">
        <v>42308940</v>
      </c>
      <c r="CC51" s="137">
        <v>790027520</v>
      </c>
      <c r="CD51" s="137">
        <v>216510195</v>
      </c>
      <c r="CE51" s="137">
        <v>1560985</v>
      </c>
      <c r="CF51" s="137">
        <v>344846633</v>
      </c>
      <c r="CG51" s="137">
        <v>195478445</v>
      </c>
      <c r="CH51" s="137">
        <v>7931996</v>
      </c>
      <c r="CI51" s="137">
        <v>23682093</v>
      </c>
      <c r="CJ51" s="137">
        <v>161242835</v>
      </c>
      <c r="CK51" s="137">
        <v>154376134</v>
      </c>
      <c r="CL51" s="127">
        <f t="shared" si="21"/>
        <v>6866701</v>
      </c>
      <c r="CM51" s="137">
        <v>312095490</v>
      </c>
      <c r="CN51" s="137">
        <v>227067663</v>
      </c>
      <c r="CO51" s="129"/>
      <c r="CP51" s="137">
        <v>40048898</v>
      </c>
      <c r="CQ51" s="137">
        <v>16591010</v>
      </c>
      <c r="CR51" s="137">
        <v>213828025</v>
      </c>
      <c r="CS51" s="137">
        <v>38342609</v>
      </c>
      <c r="CT51" s="137">
        <v>53288437</v>
      </c>
      <c r="CU51" s="137">
        <v>39146328</v>
      </c>
      <c r="CV51" s="127">
        <f t="shared" si="8"/>
        <v>64967593</v>
      </c>
      <c r="CW51" s="137">
        <v>44700966</v>
      </c>
      <c r="CX51" s="137">
        <v>20266627</v>
      </c>
      <c r="CY51" s="127">
        <f t="shared" si="9"/>
        <v>11136784</v>
      </c>
      <c r="CZ51" s="137">
        <v>9069920</v>
      </c>
      <c r="DA51" s="137">
        <v>2066864</v>
      </c>
      <c r="DB51" s="127">
        <f t="shared" si="10"/>
        <v>50719614</v>
      </c>
      <c r="DC51" s="137">
        <v>34919361</v>
      </c>
      <c r="DD51" s="137">
        <v>15800253</v>
      </c>
      <c r="DE51" s="137">
        <v>196932663</v>
      </c>
      <c r="DF51" s="137">
        <v>90624122</v>
      </c>
      <c r="DG51" s="137">
        <v>98927536</v>
      </c>
      <c r="DH51" s="137">
        <v>1641853</v>
      </c>
      <c r="DI51" s="137">
        <v>5614919</v>
      </c>
      <c r="DJ51" s="137">
        <v>605474</v>
      </c>
      <c r="DK51" s="137">
        <v>92549380</v>
      </c>
      <c r="DL51" s="137">
        <v>28674474</v>
      </c>
      <c r="DM51" s="137">
        <v>13813503</v>
      </c>
      <c r="DN51" s="137">
        <v>50061403</v>
      </c>
      <c r="DO51" s="137">
        <v>7292521</v>
      </c>
      <c r="DP51" s="137">
        <v>7256521</v>
      </c>
      <c r="DQ51" s="137">
        <v>776321</v>
      </c>
      <c r="DR51" s="137">
        <v>1347484</v>
      </c>
      <c r="DS51" s="137">
        <v>6964832</v>
      </c>
      <c r="DT51" s="137">
        <v>0</v>
      </c>
      <c r="DU51" s="137">
        <v>0</v>
      </c>
      <c r="DV51" s="137">
        <v>206280398</v>
      </c>
      <c r="DW51" s="137">
        <v>1221761</v>
      </c>
      <c r="DX51" s="127">
        <f t="shared" si="11"/>
        <v>0</v>
      </c>
      <c r="DY51" s="137">
        <v>0</v>
      </c>
      <c r="DZ51" s="137">
        <v>75331575</v>
      </c>
      <c r="EA51" s="137">
        <v>43652</v>
      </c>
      <c r="EB51" s="137">
        <v>53015586</v>
      </c>
      <c r="EC51" s="127">
        <v>0</v>
      </c>
      <c r="ED51" s="137">
        <v>74500164</v>
      </c>
      <c r="EE51" s="137">
        <v>0</v>
      </c>
      <c r="EF51" s="137">
        <v>2333898576</v>
      </c>
      <c r="EG51" s="127"/>
      <c r="EH51" s="137">
        <v>54636139</v>
      </c>
      <c r="EI51" s="137">
        <v>14018044</v>
      </c>
      <c r="EJ51" s="137">
        <v>40618095</v>
      </c>
      <c r="EK51" s="137">
        <v>14753558</v>
      </c>
      <c r="EL51" s="137">
        <v>41663820</v>
      </c>
      <c r="EM51" s="127"/>
      <c r="EN51" s="129">
        <f>EN39+EN50</f>
        <v>5259112</v>
      </c>
      <c r="EO51" s="129">
        <v>5242398</v>
      </c>
      <c r="EP51" s="137">
        <v>12396623</v>
      </c>
      <c r="EQ51" s="137">
        <v>9048809</v>
      </c>
      <c r="ER51" s="127">
        <f t="shared" si="12"/>
        <v>107440108</v>
      </c>
      <c r="ES51" s="137">
        <v>1215874060</v>
      </c>
      <c r="ET51" s="137">
        <v>-188802297</v>
      </c>
      <c r="EU51" s="137">
        <v>299311151</v>
      </c>
      <c r="EV51" s="137">
        <v>189319662</v>
      </c>
      <c r="EW51" s="137">
        <v>193368534</v>
      </c>
      <c r="EX51" s="137">
        <v>159014868</v>
      </c>
      <c r="EY51" s="127">
        <f t="shared" si="13"/>
        <v>49097175</v>
      </c>
      <c r="EZ51" s="137">
        <v>48874957</v>
      </c>
      <c r="FA51" s="137">
        <v>7211338</v>
      </c>
      <c r="FB51" s="137">
        <v>41237058</v>
      </c>
      <c r="FC51" s="137">
        <v>222218</v>
      </c>
      <c r="FD51" s="137">
        <v>0</v>
      </c>
      <c r="FE51" s="137">
        <v>213107025</v>
      </c>
      <c r="FF51" s="137">
        <v>185413895</v>
      </c>
      <c r="FG51" s="137">
        <v>37590582</v>
      </c>
      <c r="FH51" s="137">
        <v>161414127</v>
      </c>
      <c r="FI51" s="127">
        <f t="shared" si="14"/>
        <v>89475646</v>
      </c>
      <c r="FJ51" s="137">
        <v>1350202421</v>
      </c>
      <c r="FK51" s="396">
        <f t="shared" si="15"/>
        <v>3.5</v>
      </c>
      <c r="FL51" s="137">
        <v>1083527339</v>
      </c>
      <c r="FM51" s="137">
        <v>93477773</v>
      </c>
      <c r="FN51" s="137">
        <v>654461065</v>
      </c>
      <c r="FO51" s="137">
        <v>903079734</v>
      </c>
      <c r="FP51" s="397">
        <v>0.75600000000000001</v>
      </c>
      <c r="FQ51" s="398">
        <v>91.9</v>
      </c>
      <c r="FR51" s="399">
        <v>24.2</v>
      </c>
      <c r="FS51" s="398">
        <v>15.4</v>
      </c>
      <c r="FT51" s="398">
        <v>12.8</v>
      </c>
      <c r="FU51" s="399">
        <v>14.6</v>
      </c>
      <c r="FV51" s="398">
        <v>11</v>
      </c>
      <c r="FW51" s="400">
        <v>12.4</v>
      </c>
      <c r="FX51" s="401">
        <v>3.2</v>
      </c>
      <c r="FY51" s="137">
        <v>1539728333</v>
      </c>
      <c r="FZ51" s="402">
        <f t="shared" si="16"/>
        <v>130.80000000000001</v>
      </c>
      <c r="GA51" s="137">
        <v>483450206</v>
      </c>
      <c r="GB51" s="137">
        <v>199508337</v>
      </c>
      <c r="GC51" s="137">
        <v>41529263</v>
      </c>
      <c r="GD51" s="137">
        <v>242412606</v>
      </c>
      <c r="GE51" s="129">
        <v>0</v>
      </c>
      <c r="GF51" s="129">
        <f>GF39+GF50</f>
        <v>20455</v>
      </c>
      <c r="GG51" s="403">
        <f>IF(GF51=0,"-",ROUND(GF51/GY51*100,1))</f>
        <v>5.2</v>
      </c>
      <c r="GH51" s="398">
        <v>99.5</v>
      </c>
      <c r="GI51" s="398">
        <v>58.9</v>
      </c>
      <c r="GJ51" s="398">
        <v>98.5</v>
      </c>
      <c r="GK51" s="129">
        <f>GK39+GK50</f>
        <v>31505</v>
      </c>
      <c r="GL51" s="404" t="s">
        <v>646</v>
      </c>
      <c r="GM51" s="404" t="s">
        <v>646</v>
      </c>
      <c r="GN51" s="405" t="s">
        <v>646</v>
      </c>
      <c r="GO51" s="404" t="s">
        <v>646</v>
      </c>
      <c r="GP51" s="404" t="s">
        <v>646</v>
      </c>
      <c r="GQ51" s="405" t="s">
        <v>646</v>
      </c>
      <c r="GR51" s="399">
        <v>3.2</v>
      </c>
      <c r="GS51" s="406" t="s">
        <v>646</v>
      </c>
      <c r="GT51" s="406" t="s">
        <v>646</v>
      </c>
      <c r="GU51" s="406" t="s">
        <v>646</v>
      </c>
      <c r="GV51" s="404" t="s">
        <v>646</v>
      </c>
      <c r="GW51" s="407"/>
      <c r="GX51" s="128">
        <f t="shared" si="17"/>
        <v>1177005</v>
      </c>
      <c r="GY51" s="408">
        <f>GY39+GY50</f>
        <v>392232</v>
      </c>
      <c r="GZ51" s="408"/>
      <c r="HA51" s="408"/>
      <c r="HB51" s="408"/>
      <c r="HC51" s="408"/>
      <c r="HD51" s="408"/>
      <c r="HE51" s="408"/>
      <c r="HF51" s="408"/>
      <c r="HG51" s="408"/>
      <c r="HH51" s="408"/>
      <c r="HI51" s="408"/>
      <c r="HJ51" s="408"/>
      <c r="HK51" s="408"/>
      <c r="HL51" s="408"/>
      <c r="HM51" s="408"/>
      <c r="HN51" s="408"/>
      <c r="HO51" s="408"/>
      <c r="HP51" s="408"/>
      <c r="HQ51" s="408"/>
      <c r="HR51" s="408"/>
      <c r="HS51" s="408"/>
      <c r="HT51" s="408"/>
      <c r="HU51" s="408"/>
      <c r="HV51" s="408"/>
      <c r="HW51" s="408"/>
      <c r="HX51" s="408"/>
    </row>
    <row r="52" spans="1:232" s="108" customFormat="1" x14ac:dyDescent="0.15">
      <c r="B52" s="108" t="s">
        <v>0</v>
      </c>
      <c r="C52" s="138">
        <v>1689449417</v>
      </c>
      <c r="D52" s="109">
        <f t="shared" si="0"/>
        <v>582730079</v>
      </c>
      <c r="E52" s="138">
        <v>14770979</v>
      </c>
      <c r="F52" s="138">
        <v>567959100</v>
      </c>
      <c r="G52" s="109">
        <f t="shared" si="1"/>
        <v>164354882</v>
      </c>
      <c r="H52" s="138">
        <v>36341713</v>
      </c>
      <c r="I52" s="138">
        <v>128013169</v>
      </c>
      <c r="J52" s="138">
        <v>684261715</v>
      </c>
      <c r="K52" s="138">
        <v>274034709</v>
      </c>
      <c r="L52" s="138">
        <v>307295591</v>
      </c>
      <c r="M52" s="138">
        <v>96446768</v>
      </c>
      <c r="N52" s="138">
        <v>67509543</v>
      </c>
      <c r="O52" s="138">
        <v>136634433</v>
      </c>
      <c r="P52" s="138">
        <v>70777025</v>
      </c>
      <c r="Q52" s="138">
        <v>65857408</v>
      </c>
      <c r="R52" s="138">
        <v>19122662</v>
      </c>
      <c r="S52" s="109"/>
      <c r="T52" s="109">
        <f t="shared" si="18"/>
        <v>266241986</v>
      </c>
      <c r="U52" s="138">
        <v>1443156</v>
      </c>
      <c r="V52" s="138">
        <v>11421646</v>
      </c>
      <c r="W52" s="138">
        <v>12849953</v>
      </c>
      <c r="X52" s="138">
        <v>207454973</v>
      </c>
      <c r="Y52" s="138">
        <v>1023956</v>
      </c>
      <c r="Z52" s="138">
        <v>0</v>
      </c>
      <c r="AA52" s="138">
        <v>0</v>
      </c>
      <c r="AB52" s="138">
        <v>3816958</v>
      </c>
      <c r="AC52" s="138">
        <v>28231344</v>
      </c>
      <c r="AD52" s="138">
        <v>27487758</v>
      </c>
      <c r="AE52" s="138">
        <v>377006355</v>
      </c>
      <c r="AF52" s="138">
        <v>361458724</v>
      </c>
      <c r="AG52" s="138">
        <v>15547286</v>
      </c>
      <c r="AH52" s="138">
        <v>1788285</v>
      </c>
      <c r="AI52" s="138">
        <v>19550463</v>
      </c>
      <c r="AJ52" s="109">
        <f t="shared" si="19"/>
        <v>102656311</v>
      </c>
      <c r="AK52" s="138">
        <v>85146332</v>
      </c>
      <c r="AL52" s="138">
        <v>17509979</v>
      </c>
      <c r="AM52" s="138">
        <v>1410536680</v>
      </c>
      <c r="AN52" s="109">
        <f t="shared" si="20"/>
        <v>645313384</v>
      </c>
      <c r="AO52" s="138">
        <v>378023456</v>
      </c>
      <c r="AP52" s="138">
        <v>126644485</v>
      </c>
      <c r="AQ52" s="109"/>
      <c r="AR52" s="138">
        <v>140645443</v>
      </c>
      <c r="AS52" s="138">
        <v>47141482</v>
      </c>
      <c r="AT52" s="138">
        <v>19447</v>
      </c>
      <c r="AU52" s="138">
        <v>277651</v>
      </c>
      <c r="AV52" s="138">
        <v>295229598</v>
      </c>
      <c r="AW52" s="138">
        <v>203662048</v>
      </c>
      <c r="AX52" s="138">
        <v>30306386</v>
      </c>
      <c r="AY52" s="138">
        <v>2657245</v>
      </c>
      <c r="AZ52" s="138">
        <v>91567550</v>
      </c>
      <c r="BA52" s="138">
        <v>3218610</v>
      </c>
      <c r="BB52" s="138">
        <v>42330592</v>
      </c>
      <c r="BC52" s="138">
        <v>24080223</v>
      </c>
      <c r="BD52" s="138">
        <v>27935171</v>
      </c>
      <c r="BE52" s="138">
        <v>45149395</v>
      </c>
      <c r="BF52" s="138">
        <v>8328839</v>
      </c>
      <c r="BG52" s="138">
        <v>4724630</v>
      </c>
      <c r="BH52" s="138">
        <v>27844500</v>
      </c>
      <c r="BI52" s="138">
        <v>72540</v>
      </c>
      <c r="BJ52" s="138">
        <v>71809842</v>
      </c>
      <c r="BK52" s="138">
        <v>36055341</v>
      </c>
      <c r="BL52" s="138">
        <v>115280074</v>
      </c>
      <c r="BM52" s="138">
        <v>16485920</v>
      </c>
      <c r="BN52" s="138">
        <v>592567</v>
      </c>
      <c r="BO52" s="138">
        <v>22353207</v>
      </c>
      <c r="BP52" s="138">
        <v>332009208</v>
      </c>
      <c r="BQ52" s="109">
        <f t="shared" si="5"/>
        <v>175093700</v>
      </c>
      <c r="BR52" s="109">
        <f t="shared" si="6"/>
        <v>156915508</v>
      </c>
      <c r="BS52" s="138">
        <v>0</v>
      </c>
      <c r="BT52" s="138">
        <v>1848</v>
      </c>
      <c r="BU52" s="138">
        <v>156913660</v>
      </c>
      <c r="BV52" s="138">
        <v>0</v>
      </c>
      <c r="BW52" s="138">
        <v>4861702315</v>
      </c>
      <c r="BX52" s="109"/>
      <c r="BY52" s="138">
        <v>722855079</v>
      </c>
      <c r="BZ52" s="138">
        <v>491371395</v>
      </c>
      <c r="CA52" s="138">
        <v>43510289</v>
      </c>
      <c r="CB52" s="138">
        <v>63610114</v>
      </c>
      <c r="CC52" s="138">
        <v>1624533092</v>
      </c>
      <c r="CD52" s="138">
        <v>430699466</v>
      </c>
      <c r="CE52" s="138">
        <v>4638895</v>
      </c>
      <c r="CF52" s="138">
        <v>614033249</v>
      </c>
      <c r="CG52" s="138">
        <v>500863027</v>
      </c>
      <c r="CH52" s="138">
        <v>33379332</v>
      </c>
      <c r="CI52" s="138">
        <v>40901926</v>
      </c>
      <c r="CJ52" s="138">
        <v>405561530</v>
      </c>
      <c r="CK52" s="138">
        <v>378591546</v>
      </c>
      <c r="CL52" s="109">
        <f t="shared" si="21"/>
        <v>26969984</v>
      </c>
      <c r="CM52" s="138">
        <v>525063233</v>
      </c>
      <c r="CN52" s="138">
        <v>381495071</v>
      </c>
      <c r="CO52" s="110"/>
      <c r="CP52" s="138">
        <v>70326874</v>
      </c>
      <c r="CQ52" s="138">
        <v>42138705</v>
      </c>
      <c r="CR52" s="138">
        <v>430405561</v>
      </c>
      <c r="CS52" s="138">
        <v>47564126</v>
      </c>
      <c r="CT52" s="138">
        <v>170570582</v>
      </c>
      <c r="CU52" s="138">
        <v>142782169</v>
      </c>
      <c r="CV52" s="109">
        <f t="shared" si="8"/>
        <v>101751169</v>
      </c>
      <c r="CW52" s="138">
        <v>51694765</v>
      </c>
      <c r="CX52" s="138">
        <v>50056404</v>
      </c>
      <c r="CY52" s="109">
        <f t="shared" si="9"/>
        <v>11136784</v>
      </c>
      <c r="CZ52" s="138">
        <v>9069920</v>
      </c>
      <c r="DA52" s="138">
        <v>2066864</v>
      </c>
      <c r="DB52" s="109">
        <f t="shared" si="10"/>
        <v>82549842</v>
      </c>
      <c r="DC52" s="138">
        <v>41554394</v>
      </c>
      <c r="DD52" s="138">
        <v>40995448</v>
      </c>
      <c r="DE52" s="138">
        <v>442682387</v>
      </c>
      <c r="DF52" s="138">
        <v>222485840</v>
      </c>
      <c r="DG52" s="138">
        <v>207643247</v>
      </c>
      <c r="DH52" s="138">
        <v>1641853</v>
      </c>
      <c r="DI52" s="138">
        <v>5918813</v>
      </c>
      <c r="DJ52" s="138">
        <v>672504</v>
      </c>
      <c r="DK52" s="138">
        <v>166125645</v>
      </c>
      <c r="DL52" s="138">
        <v>85621582</v>
      </c>
      <c r="DM52" s="138">
        <v>22491800</v>
      </c>
      <c r="DN52" s="138">
        <v>58012263</v>
      </c>
      <c r="DO52" s="138">
        <v>9065372</v>
      </c>
      <c r="DP52" s="138">
        <v>8273472</v>
      </c>
      <c r="DQ52" s="138">
        <v>776321</v>
      </c>
      <c r="DR52" s="138">
        <v>1347484</v>
      </c>
      <c r="DS52" s="138">
        <v>14267671</v>
      </c>
      <c r="DT52" s="138">
        <v>0</v>
      </c>
      <c r="DU52" s="138">
        <v>0</v>
      </c>
      <c r="DV52" s="138">
        <v>373910643</v>
      </c>
      <c r="DW52" s="138">
        <v>1221761</v>
      </c>
      <c r="DX52" s="109">
        <f t="shared" si="11"/>
        <v>10914924</v>
      </c>
      <c r="DY52" s="138">
        <v>10914924</v>
      </c>
      <c r="DZ52" s="138">
        <v>126252152</v>
      </c>
      <c r="EA52" s="138">
        <v>43652</v>
      </c>
      <c r="EB52" s="138">
        <v>95798503</v>
      </c>
      <c r="EC52" s="109">
        <v>0</v>
      </c>
      <c r="ED52" s="138">
        <v>135578202</v>
      </c>
      <c r="EE52" s="138">
        <v>0</v>
      </c>
      <c r="EF52" s="138">
        <v>4757281422</v>
      </c>
      <c r="EG52" s="109"/>
      <c r="EH52" s="138">
        <v>104420893</v>
      </c>
      <c r="EI52" s="138">
        <v>25714154</v>
      </c>
      <c r="EJ52" s="138">
        <v>78706739</v>
      </c>
      <c r="EK52" s="138">
        <v>38371337</v>
      </c>
      <c r="EL52" s="138">
        <v>119237547</v>
      </c>
      <c r="EM52" s="109"/>
      <c r="EN52" s="110">
        <f>EN6+EN7+EN51</f>
        <v>8837685</v>
      </c>
      <c r="EO52" s="110">
        <v>8800753</v>
      </c>
      <c r="EP52" s="138">
        <v>15463785</v>
      </c>
      <c r="EQ52" s="138">
        <v>28450667</v>
      </c>
      <c r="ER52" s="109">
        <f t="shared" si="12"/>
        <v>219447072</v>
      </c>
      <c r="ES52" s="138">
        <v>2399214981</v>
      </c>
      <c r="ET52" s="138">
        <v>-400370229</v>
      </c>
      <c r="EU52" s="138">
        <v>624576353</v>
      </c>
      <c r="EV52" s="138">
        <v>420305329</v>
      </c>
      <c r="EW52" s="138">
        <v>403901917</v>
      </c>
      <c r="EX52" s="138">
        <v>377703485</v>
      </c>
      <c r="EY52" s="109">
        <f t="shared" si="13"/>
        <v>112348008</v>
      </c>
      <c r="EZ52" s="138">
        <v>112119920</v>
      </c>
      <c r="FA52" s="138">
        <v>12558912</v>
      </c>
      <c r="FB52" s="138">
        <v>98852946</v>
      </c>
      <c r="FC52" s="138">
        <v>228088</v>
      </c>
      <c r="FD52" s="138">
        <v>0</v>
      </c>
      <c r="FE52" s="138">
        <v>348082383</v>
      </c>
      <c r="FF52" s="138">
        <v>358465925</v>
      </c>
      <c r="FG52" s="138">
        <v>42210120</v>
      </c>
      <c r="FH52" s="138">
        <v>293244330</v>
      </c>
      <c r="FI52" s="109">
        <f t="shared" si="14"/>
        <v>177339831</v>
      </c>
      <c r="FJ52" s="138">
        <v>2695662232</v>
      </c>
      <c r="FK52" s="409">
        <f t="shared" si="15"/>
        <v>3.4</v>
      </c>
      <c r="FL52" s="138">
        <v>2097724245</v>
      </c>
      <c r="FM52" s="138">
        <v>214873567</v>
      </c>
      <c r="FN52" s="138">
        <v>1365089992</v>
      </c>
      <c r="FO52" s="138">
        <v>1727321607</v>
      </c>
      <c r="FP52" s="410">
        <v>0.82299999999999995</v>
      </c>
      <c r="FQ52" s="411">
        <v>89.3</v>
      </c>
      <c r="FR52" s="142">
        <v>25.3</v>
      </c>
      <c r="FS52" s="411">
        <v>16.3</v>
      </c>
      <c r="FT52" s="411">
        <v>14.3</v>
      </c>
      <c r="FU52" s="142">
        <v>12.2</v>
      </c>
      <c r="FV52" s="411">
        <v>9.1</v>
      </c>
      <c r="FW52" s="412">
        <v>10.7</v>
      </c>
      <c r="FX52" s="413">
        <v>2.9</v>
      </c>
      <c r="FY52" s="138">
        <v>3723722755</v>
      </c>
      <c r="FZ52" s="414">
        <f t="shared" si="16"/>
        <v>161</v>
      </c>
      <c r="GA52" s="138">
        <v>825982671</v>
      </c>
      <c r="GB52" s="138">
        <v>428410749</v>
      </c>
      <c r="GC52" s="138">
        <v>51193881</v>
      </c>
      <c r="GD52" s="138">
        <v>346378041</v>
      </c>
      <c r="GE52" s="110">
        <v>0</v>
      </c>
      <c r="GF52" s="119">
        <f>SUM(GF6:GF7,GF51)</f>
        <v>20455</v>
      </c>
      <c r="GG52" s="120">
        <f>IF(GF52=0,"-",ROUND(GF52/GY52*100,1))</f>
        <v>5.2</v>
      </c>
      <c r="GH52" s="411">
        <v>99.5</v>
      </c>
      <c r="GI52" s="411">
        <v>62.6</v>
      </c>
      <c r="GJ52" s="411">
        <v>98.6</v>
      </c>
      <c r="GK52" s="110">
        <f>GK6+GK7+GK51</f>
        <v>74956</v>
      </c>
      <c r="GL52" s="415" t="s">
        <v>646</v>
      </c>
      <c r="GM52" s="415" t="s">
        <v>646</v>
      </c>
      <c r="GN52" s="416" t="s">
        <v>646</v>
      </c>
      <c r="GO52" s="415" t="s">
        <v>646</v>
      </c>
      <c r="GP52" s="415" t="s">
        <v>646</v>
      </c>
      <c r="GQ52" s="416" t="s">
        <v>646</v>
      </c>
      <c r="GR52" s="417">
        <v>2.9</v>
      </c>
      <c r="GS52" s="418" t="s">
        <v>646</v>
      </c>
      <c r="GT52" s="418" t="s">
        <v>646</v>
      </c>
      <c r="GU52" s="124" t="s">
        <v>646</v>
      </c>
      <c r="GV52" s="415" t="s">
        <v>646</v>
      </c>
      <c r="GX52" s="111">
        <f t="shared" si="17"/>
        <v>2312598</v>
      </c>
      <c r="GY52" s="419">
        <f>GY51</f>
        <v>392232</v>
      </c>
    </row>
    <row r="53" spans="1:232" x14ac:dyDescent="0.15">
      <c r="S53" s="75"/>
      <c r="CK53" s="89"/>
      <c r="CL53" s="84"/>
      <c r="EK53" s="420">
        <f>EK8+EK10+EK12+EK14+EK23+EK24+EK25+EK27+EK31+EK32+EK37+EK43+EK44+EK45+EK47+EK48</f>
        <v>6905143</v>
      </c>
      <c r="FL53" s="394">
        <f>FL44+FL47+FL45</f>
        <v>15916161</v>
      </c>
      <c r="FM53" s="394">
        <f>FM44+FM47+FM45</f>
        <v>844714</v>
      </c>
      <c r="GG53" s="89" t="s">
        <v>647</v>
      </c>
      <c r="GK53" s="130"/>
      <c r="GY53" s="101" t="s">
        <v>648</v>
      </c>
      <c r="GZ53" s="101"/>
    </row>
    <row r="54" spans="1:232" x14ac:dyDescent="0.15">
      <c r="S54" s="75"/>
      <c r="CK54" s="89"/>
      <c r="CL54" s="84"/>
      <c r="EK54" s="420">
        <f>EK51-EK53</f>
        <v>7848415</v>
      </c>
      <c r="EO54" s="423"/>
      <c r="FL54" s="394">
        <f>FL39+FL53</f>
        <v>1053265888</v>
      </c>
      <c r="FM54" s="394">
        <f>FM39+FM53</f>
        <v>91389839</v>
      </c>
      <c r="GF54" s="89" t="s">
        <v>649</v>
      </c>
      <c r="GH54" s="388"/>
      <c r="GI54" s="388"/>
      <c r="GJ54" s="388"/>
      <c r="GK54" s="272"/>
    </row>
    <row r="55" spans="1:232" x14ac:dyDescent="0.15">
      <c r="S55" s="75"/>
      <c r="CK55" s="89"/>
      <c r="CL55" s="84"/>
      <c r="GK55" s="130"/>
    </row>
    <row r="56" spans="1:232" x14ac:dyDescent="0.15">
      <c r="B56" s="89" t="s">
        <v>650</v>
      </c>
      <c r="C56" s="89" t="str">
        <f t="shared" ref="C56:AB56" si="22">IF(SUM(C8:C38)=C39,"ok","エラー")</f>
        <v>ok</v>
      </c>
      <c r="D56" s="89" t="str">
        <f t="shared" si="22"/>
        <v>ok</v>
      </c>
      <c r="E56" s="89" t="str">
        <f t="shared" si="22"/>
        <v>ok</v>
      </c>
      <c r="F56" s="89" t="str">
        <f t="shared" si="22"/>
        <v>ok</v>
      </c>
      <c r="G56" s="89" t="str">
        <f t="shared" si="22"/>
        <v>ok</v>
      </c>
      <c r="H56" s="89" t="str">
        <f t="shared" si="22"/>
        <v>ok</v>
      </c>
      <c r="I56" s="89" t="str">
        <f t="shared" si="22"/>
        <v>ok</v>
      </c>
      <c r="J56" s="89" t="str">
        <f t="shared" si="22"/>
        <v>ok</v>
      </c>
      <c r="K56" s="89" t="str">
        <f t="shared" si="22"/>
        <v>ok</v>
      </c>
      <c r="L56" s="89" t="str">
        <f t="shared" si="22"/>
        <v>ok</v>
      </c>
      <c r="M56" s="89" t="str">
        <f t="shared" si="22"/>
        <v>ok</v>
      </c>
      <c r="N56" s="89" t="str">
        <f t="shared" si="22"/>
        <v>ok</v>
      </c>
      <c r="O56" s="89" t="str">
        <f t="shared" si="22"/>
        <v>ok</v>
      </c>
      <c r="P56" s="89" t="str">
        <f t="shared" si="22"/>
        <v>ok</v>
      </c>
      <c r="Q56" s="89" t="str">
        <f t="shared" si="22"/>
        <v>ok</v>
      </c>
      <c r="R56" s="89" t="str">
        <f t="shared" si="22"/>
        <v>ok</v>
      </c>
      <c r="S56" s="75" t="str">
        <f t="shared" si="22"/>
        <v>ok</v>
      </c>
      <c r="T56" s="89" t="str">
        <f t="shared" si="22"/>
        <v>ok</v>
      </c>
      <c r="U56" s="89" t="str">
        <f t="shared" si="22"/>
        <v>ok</v>
      </c>
      <c r="V56" s="89" t="str">
        <f t="shared" si="22"/>
        <v>ok</v>
      </c>
      <c r="W56" s="89" t="str">
        <f t="shared" si="22"/>
        <v>ok</v>
      </c>
      <c r="X56" s="89" t="str">
        <f t="shared" si="22"/>
        <v>ok</v>
      </c>
      <c r="Y56" s="89" t="str">
        <f t="shared" si="22"/>
        <v>ok</v>
      </c>
      <c r="Z56" s="89" t="str">
        <f t="shared" si="22"/>
        <v>ok</v>
      </c>
      <c r="AA56" s="89" t="str">
        <f t="shared" si="22"/>
        <v>ok</v>
      </c>
      <c r="AB56" s="89" t="str">
        <f t="shared" si="22"/>
        <v>ok</v>
      </c>
      <c r="AD56" s="89" t="str">
        <f t="shared" ref="AD56:BI56" si="23">IF(SUM(AD8:AD38)=AD39,"ok","エラー")</f>
        <v>ok</v>
      </c>
      <c r="AE56" s="89" t="str">
        <f t="shared" si="23"/>
        <v>ok</v>
      </c>
      <c r="AF56" s="89" t="str">
        <f t="shared" si="23"/>
        <v>ok</v>
      </c>
      <c r="AG56" s="89" t="str">
        <f t="shared" si="23"/>
        <v>ok</v>
      </c>
      <c r="AH56" s="89" t="str">
        <f t="shared" si="23"/>
        <v>ok</v>
      </c>
      <c r="AI56" s="89" t="str">
        <f t="shared" si="23"/>
        <v>ok</v>
      </c>
      <c r="AJ56" s="89" t="str">
        <f t="shared" si="23"/>
        <v>ok</v>
      </c>
      <c r="AK56" s="89" t="str">
        <f t="shared" si="23"/>
        <v>ok</v>
      </c>
      <c r="AL56" s="89" t="str">
        <f t="shared" si="23"/>
        <v>ok</v>
      </c>
      <c r="AM56" s="89" t="str">
        <f t="shared" si="23"/>
        <v>ok</v>
      </c>
      <c r="AN56" s="89" t="str">
        <f t="shared" si="23"/>
        <v>ok</v>
      </c>
      <c r="AO56" s="89" t="str">
        <f t="shared" si="23"/>
        <v>ok</v>
      </c>
      <c r="AP56" s="89" t="str">
        <f t="shared" si="23"/>
        <v>ok</v>
      </c>
      <c r="AQ56" s="89" t="str">
        <f t="shared" si="23"/>
        <v>ok</v>
      </c>
      <c r="AR56" s="89" t="str">
        <f t="shared" si="23"/>
        <v>ok</v>
      </c>
      <c r="AS56" s="89" t="str">
        <f t="shared" si="23"/>
        <v>ok</v>
      </c>
      <c r="AT56" s="89" t="str">
        <f t="shared" si="23"/>
        <v>ok</v>
      </c>
      <c r="AU56" s="89" t="str">
        <f t="shared" si="23"/>
        <v>ok</v>
      </c>
      <c r="AV56" s="89" t="str">
        <f t="shared" si="23"/>
        <v>ok</v>
      </c>
      <c r="AW56" s="89" t="str">
        <f t="shared" si="23"/>
        <v>ok</v>
      </c>
      <c r="AX56" s="89" t="str">
        <f t="shared" si="23"/>
        <v>ok</v>
      </c>
      <c r="AY56" s="89" t="str">
        <f t="shared" si="23"/>
        <v>ok</v>
      </c>
      <c r="AZ56" s="89" t="str">
        <f t="shared" si="23"/>
        <v>ok</v>
      </c>
      <c r="BA56" s="89" t="str">
        <f t="shared" si="23"/>
        <v>ok</v>
      </c>
      <c r="BB56" s="89" t="str">
        <f t="shared" si="23"/>
        <v>ok</v>
      </c>
      <c r="BC56" s="89" t="str">
        <f t="shared" si="23"/>
        <v>ok</v>
      </c>
      <c r="BD56" s="89" t="str">
        <f t="shared" si="23"/>
        <v>ok</v>
      </c>
      <c r="BE56" s="89" t="str">
        <f t="shared" si="23"/>
        <v>ok</v>
      </c>
      <c r="BF56" s="89" t="str">
        <f t="shared" si="23"/>
        <v>ok</v>
      </c>
      <c r="BG56" s="89" t="str">
        <f t="shared" si="23"/>
        <v>ok</v>
      </c>
      <c r="BH56" s="89" t="str">
        <f t="shared" si="23"/>
        <v>ok</v>
      </c>
      <c r="BI56" s="89" t="str">
        <f t="shared" si="23"/>
        <v>ok</v>
      </c>
      <c r="BJ56" s="89" t="str">
        <f t="shared" ref="BJ56:CK56" si="24">IF(SUM(BJ8:BJ38)=BJ39,"ok","エラー")</f>
        <v>ok</v>
      </c>
      <c r="BK56" s="89" t="str">
        <f t="shared" si="24"/>
        <v>ok</v>
      </c>
      <c r="BL56" s="89" t="str">
        <f t="shared" si="24"/>
        <v>ok</v>
      </c>
      <c r="BM56" s="89" t="str">
        <f t="shared" si="24"/>
        <v>ok</v>
      </c>
      <c r="BN56" s="89" t="str">
        <f t="shared" si="24"/>
        <v>ok</v>
      </c>
      <c r="BO56" s="89" t="str">
        <f t="shared" si="24"/>
        <v>ok</v>
      </c>
      <c r="BP56" s="89" t="str">
        <f t="shared" si="24"/>
        <v>ok</v>
      </c>
      <c r="BQ56" s="89" t="str">
        <f t="shared" si="24"/>
        <v>ok</v>
      </c>
      <c r="BR56" s="89" t="str">
        <f t="shared" si="24"/>
        <v>ok</v>
      </c>
      <c r="BS56" s="89" t="str">
        <f t="shared" si="24"/>
        <v>ok</v>
      </c>
      <c r="BT56" s="89" t="str">
        <f t="shared" si="24"/>
        <v>ok</v>
      </c>
      <c r="BU56" s="89" t="str">
        <f t="shared" si="24"/>
        <v>ok</v>
      </c>
      <c r="BV56" s="89" t="str">
        <f t="shared" si="24"/>
        <v>ok</v>
      </c>
      <c r="BW56" s="89" t="str">
        <f t="shared" si="24"/>
        <v>ok</v>
      </c>
      <c r="BX56" s="89" t="str">
        <f t="shared" si="24"/>
        <v>ok</v>
      </c>
      <c r="BY56" s="89" t="str">
        <f t="shared" si="24"/>
        <v>ok</v>
      </c>
      <c r="BZ56" s="89" t="str">
        <f t="shared" si="24"/>
        <v>ok</v>
      </c>
      <c r="CA56" s="89" t="str">
        <f t="shared" si="24"/>
        <v>ok</v>
      </c>
      <c r="CB56" s="89" t="str">
        <f t="shared" si="24"/>
        <v>ok</v>
      </c>
      <c r="CC56" s="89" t="str">
        <f t="shared" si="24"/>
        <v>ok</v>
      </c>
      <c r="CD56" s="89" t="str">
        <f t="shared" si="24"/>
        <v>ok</v>
      </c>
      <c r="CE56" s="89" t="str">
        <f t="shared" si="24"/>
        <v>ok</v>
      </c>
      <c r="CF56" s="89" t="str">
        <f t="shared" si="24"/>
        <v>ok</v>
      </c>
      <c r="CG56" s="89" t="str">
        <f t="shared" si="24"/>
        <v>ok</v>
      </c>
      <c r="CH56" s="89" t="str">
        <f t="shared" si="24"/>
        <v>ok</v>
      </c>
      <c r="CI56" s="89" t="str">
        <f t="shared" si="24"/>
        <v>ok</v>
      </c>
      <c r="CJ56" s="89" t="str">
        <f t="shared" si="24"/>
        <v>ok</v>
      </c>
      <c r="CK56" s="89" t="str">
        <f t="shared" si="24"/>
        <v>ok</v>
      </c>
      <c r="CL56" s="84"/>
      <c r="CM56" s="89" t="str">
        <f t="shared" ref="CM56:DR56" si="25">IF(SUM(CM8:CM38)=CM39,"ok","エラー")</f>
        <v>ok</v>
      </c>
      <c r="CN56" s="89" t="str">
        <f t="shared" si="25"/>
        <v>ok</v>
      </c>
      <c r="CO56" s="89" t="str">
        <f t="shared" si="25"/>
        <v>ok</v>
      </c>
      <c r="CP56" s="89" t="str">
        <f t="shared" si="25"/>
        <v>ok</v>
      </c>
      <c r="CQ56" s="89" t="str">
        <f t="shared" si="25"/>
        <v>ok</v>
      </c>
      <c r="CR56" s="89" t="str">
        <f t="shared" si="25"/>
        <v>ok</v>
      </c>
      <c r="CS56" s="89" t="str">
        <f t="shared" si="25"/>
        <v>ok</v>
      </c>
      <c r="CT56" s="89" t="str">
        <f t="shared" si="25"/>
        <v>ok</v>
      </c>
      <c r="CU56" s="89" t="str">
        <f t="shared" si="25"/>
        <v>ok</v>
      </c>
      <c r="CV56" s="89" t="str">
        <f t="shared" si="25"/>
        <v>ok</v>
      </c>
      <c r="CW56" s="89" t="str">
        <f t="shared" si="25"/>
        <v>ok</v>
      </c>
      <c r="CX56" s="89" t="str">
        <f t="shared" si="25"/>
        <v>ok</v>
      </c>
      <c r="CY56" s="89" t="str">
        <f t="shared" si="25"/>
        <v>ok</v>
      </c>
      <c r="CZ56" s="89" t="str">
        <f t="shared" si="25"/>
        <v>ok</v>
      </c>
      <c r="DA56" s="89" t="str">
        <f t="shared" si="25"/>
        <v>ok</v>
      </c>
      <c r="DB56" s="89" t="str">
        <f t="shared" si="25"/>
        <v>ok</v>
      </c>
      <c r="DC56" s="89" t="str">
        <f t="shared" si="25"/>
        <v>ok</v>
      </c>
      <c r="DD56" s="89" t="str">
        <f t="shared" si="25"/>
        <v>ok</v>
      </c>
      <c r="DE56" s="89" t="str">
        <f t="shared" si="25"/>
        <v>ok</v>
      </c>
      <c r="DF56" s="89" t="str">
        <f t="shared" si="25"/>
        <v>ok</v>
      </c>
      <c r="DG56" s="89" t="str">
        <f t="shared" si="25"/>
        <v>ok</v>
      </c>
      <c r="DH56" s="89" t="str">
        <f t="shared" si="25"/>
        <v>ok</v>
      </c>
      <c r="DI56" s="89" t="str">
        <f t="shared" si="25"/>
        <v>ok</v>
      </c>
      <c r="DJ56" s="89" t="str">
        <f t="shared" si="25"/>
        <v>ok</v>
      </c>
      <c r="DK56" s="89" t="str">
        <f t="shared" si="25"/>
        <v>ok</v>
      </c>
      <c r="DL56" s="89" t="str">
        <f t="shared" si="25"/>
        <v>ok</v>
      </c>
      <c r="DM56" s="89" t="str">
        <f t="shared" si="25"/>
        <v>ok</v>
      </c>
      <c r="DN56" s="89" t="str">
        <f t="shared" si="25"/>
        <v>ok</v>
      </c>
      <c r="DO56" s="89" t="str">
        <f t="shared" si="25"/>
        <v>ok</v>
      </c>
      <c r="DP56" s="89" t="str">
        <f t="shared" si="25"/>
        <v>ok</v>
      </c>
      <c r="DQ56" s="89" t="str">
        <f t="shared" si="25"/>
        <v>ok</v>
      </c>
      <c r="DR56" s="89" t="str">
        <f t="shared" si="25"/>
        <v>ok</v>
      </c>
      <c r="DS56" s="89" t="str">
        <f t="shared" ref="DS56:EX56" si="26">IF(SUM(DS8:DS38)=DS39,"ok","エラー")</f>
        <v>ok</v>
      </c>
      <c r="DT56" s="89" t="str">
        <f t="shared" si="26"/>
        <v>ok</v>
      </c>
      <c r="DU56" s="89" t="str">
        <f t="shared" si="26"/>
        <v>ok</v>
      </c>
      <c r="DV56" s="89" t="str">
        <f t="shared" si="26"/>
        <v>ok</v>
      </c>
      <c r="DW56" s="89" t="str">
        <f t="shared" si="26"/>
        <v>ok</v>
      </c>
      <c r="DX56" s="89" t="str">
        <f t="shared" si="26"/>
        <v>ok</v>
      </c>
      <c r="DY56" s="89" t="str">
        <f t="shared" si="26"/>
        <v>ok</v>
      </c>
      <c r="DZ56" s="89" t="str">
        <f t="shared" si="26"/>
        <v>ok</v>
      </c>
      <c r="EA56" s="89" t="str">
        <f t="shared" si="26"/>
        <v>ok</v>
      </c>
      <c r="EB56" s="89" t="str">
        <f t="shared" si="26"/>
        <v>ok</v>
      </c>
      <c r="EC56" s="89" t="str">
        <f t="shared" si="26"/>
        <v>ok</v>
      </c>
      <c r="ED56" s="89" t="str">
        <f t="shared" si="26"/>
        <v>ok</v>
      </c>
      <c r="EE56" s="89" t="str">
        <f t="shared" si="26"/>
        <v>ok</v>
      </c>
      <c r="EF56" s="89" t="str">
        <f t="shared" si="26"/>
        <v>ok</v>
      </c>
      <c r="EG56" s="89" t="str">
        <f t="shared" si="26"/>
        <v>ok</v>
      </c>
      <c r="EH56" s="89" t="str">
        <f t="shared" si="26"/>
        <v>ok</v>
      </c>
      <c r="EI56" s="89" t="str">
        <f t="shared" si="26"/>
        <v>ok</v>
      </c>
      <c r="EJ56" s="89" t="str">
        <f t="shared" si="26"/>
        <v>ok</v>
      </c>
      <c r="EK56" s="89" t="str">
        <f t="shared" si="26"/>
        <v>ok</v>
      </c>
      <c r="EL56" s="89" t="str">
        <f t="shared" si="26"/>
        <v>ok</v>
      </c>
      <c r="EM56" s="89" t="str">
        <f t="shared" si="26"/>
        <v>ok</v>
      </c>
      <c r="EN56" s="89" t="str">
        <f t="shared" si="26"/>
        <v>ok</v>
      </c>
      <c r="EO56" s="89" t="str">
        <f t="shared" si="26"/>
        <v>ok</v>
      </c>
      <c r="EP56" s="89" t="str">
        <f t="shared" si="26"/>
        <v>ok</v>
      </c>
      <c r="EQ56" s="89" t="str">
        <f t="shared" si="26"/>
        <v>ok</v>
      </c>
      <c r="ER56" s="89" t="str">
        <f t="shared" si="26"/>
        <v>ok</v>
      </c>
      <c r="ES56" s="89" t="str">
        <f t="shared" si="26"/>
        <v>ok</v>
      </c>
      <c r="ET56" s="89" t="str">
        <f t="shared" si="26"/>
        <v>ok</v>
      </c>
      <c r="EU56" s="89" t="str">
        <f t="shared" si="26"/>
        <v>ok</v>
      </c>
      <c r="EV56" s="89" t="str">
        <f t="shared" si="26"/>
        <v>ok</v>
      </c>
      <c r="EW56" s="89" t="str">
        <f t="shared" si="26"/>
        <v>ok</v>
      </c>
      <c r="EX56" s="89" t="str">
        <f t="shared" si="26"/>
        <v>ok</v>
      </c>
      <c r="EY56" s="89" t="str">
        <f t="shared" ref="EY56:FJ56" si="27">IF(SUM(EY8:EY38)=EY39,"ok","エラー")</f>
        <v>ok</v>
      </c>
      <c r="EZ56" s="89" t="str">
        <f t="shared" si="27"/>
        <v>ok</v>
      </c>
      <c r="FA56" s="89" t="str">
        <f t="shared" si="27"/>
        <v>ok</v>
      </c>
      <c r="FB56" s="89" t="str">
        <f t="shared" si="27"/>
        <v>ok</v>
      </c>
      <c r="FC56" s="89" t="str">
        <f t="shared" si="27"/>
        <v>ok</v>
      </c>
      <c r="FD56" s="89" t="str">
        <f t="shared" si="27"/>
        <v>ok</v>
      </c>
      <c r="FE56" s="89" t="str">
        <f t="shared" si="27"/>
        <v>ok</v>
      </c>
      <c r="FF56" s="89" t="str">
        <f t="shared" si="27"/>
        <v>ok</v>
      </c>
      <c r="FG56" s="89" t="str">
        <f t="shared" si="27"/>
        <v>ok</v>
      </c>
      <c r="FH56" s="89" t="str">
        <f t="shared" si="27"/>
        <v>ok</v>
      </c>
      <c r="FI56" s="89" t="str">
        <f t="shared" si="27"/>
        <v>ok</v>
      </c>
      <c r="FJ56" s="89" t="str">
        <f t="shared" si="27"/>
        <v>ok</v>
      </c>
      <c r="FL56" s="89" t="str">
        <f>IF(SUM(FL8:FL38)=FL39,"ok","エラー")</f>
        <v>ok</v>
      </c>
      <c r="FM56" s="89" t="str">
        <f>IF(SUM(FM8:FM38)=FM39,"ok","エラー")</f>
        <v>ok</v>
      </c>
      <c r="FN56" s="89" t="str">
        <f>IF(SUM(FN8:FN38)=FN39,"ok","エラー")</f>
        <v>ok</v>
      </c>
      <c r="FO56" s="89" t="str">
        <f>IF(SUM(FO8:FO38)=FO39,"ok","エラー")</f>
        <v>ok</v>
      </c>
      <c r="FY56" s="89" t="str">
        <f>IF(SUM(FY8:FY38)=FY39,"ok","エラー")</f>
        <v>ok</v>
      </c>
      <c r="GA56" s="89" t="str">
        <f t="shared" ref="GA56:GF56" si="28">IF(SUM(GA8:GA38)=GA39,"ok","エラー")</f>
        <v>ok</v>
      </c>
      <c r="GB56" s="89" t="str">
        <f t="shared" si="28"/>
        <v>ok</v>
      </c>
      <c r="GC56" s="89" t="str">
        <f t="shared" si="28"/>
        <v>ok</v>
      </c>
      <c r="GD56" s="89" t="str">
        <f t="shared" si="28"/>
        <v>ok</v>
      </c>
      <c r="GE56" s="89" t="str">
        <f t="shared" si="28"/>
        <v>ok</v>
      </c>
      <c r="GF56" s="89" t="str">
        <f t="shared" si="28"/>
        <v>ok</v>
      </c>
      <c r="GK56" s="130" t="str">
        <f>IF(SUM(GK8:GK38)=GK39,"ok","エラー")</f>
        <v>ok</v>
      </c>
    </row>
    <row r="57" spans="1:232" x14ac:dyDescent="0.15">
      <c r="B57" s="89" t="s">
        <v>650</v>
      </c>
      <c r="C57" s="89" t="str">
        <f t="shared" ref="C57:AB57" si="29">IF(SUM(C40:C49)=C50,"ok","エラー")</f>
        <v>ok</v>
      </c>
      <c r="D57" s="89" t="str">
        <f t="shared" si="29"/>
        <v>ok</v>
      </c>
      <c r="E57" s="89" t="str">
        <f t="shared" si="29"/>
        <v>ok</v>
      </c>
      <c r="F57" s="89" t="str">
        <f t="shared" si="29"/>
        <v>ok</v>
      </c>
      <c r="G57" s="89" t="str">
        <f t="shared" si="29"/>
        <v>ok</v>
      </c>
      <c r="H57" s="89" t="str">
        <f t="shared" si="29"/>
        <v>ok</v>
      </c>
      <c r="I57" s="89" t="str">
        <f t="shared" si="29"/>
        <v>ok</v>
      </c>
      <c r="J57" s="89" t="str">
        <f t="shared" si="29"/>
        <v>ok</v>
      </c>
      <c r="K57" s="89" t="str">
        <f t="shared" si="29"/>
        <v>ok</v>
      </c>
      <c r="L57" s="89" t="str">
        <f t="shared" si="29"/>
        <v>ok</v>
      </c>
      <c r="M57" s="89" t="str">
        <f t="shared" si="29"/>
        <v>ok</v>
      </c>
      <c r="N57" s="89" t="str">
        <f t="shared" si="29"/>
        <v>ok</v>
      </c>
      <c r="O57" s="89" t="str">
        <f t="shared" si="29"/>
        <v>ok</v>
      </c>
      <c r="P57" s="89" t="str">
        <f t="shared" si="29"/>
        <v>ok</v>
      </c>
      <c r="Q57" s="89" t="str">
        <f t="shared" si="29"/>
        <v>ok</v>
      </c>
      <c r="R57" s="89" t="str">
        <f t="shared" si="29"/>
        <v>ok</v>
      </c>
      <c r="S57" s="75" t="str">
        <f t="shared" si="29"/>
        <v>ok</v>
      </c>
      <c r="T57" s="89" t="str">
        <f t="shared" si="29"/>
        <v>ok</v>
      </c>
      <c r="U57" s="89" t="str">
        <f t="shared" si="29"/>
        <v>ok</v>
      </c>
      <c r="V57" s="89" t="str">
        <f t="shared" si="29"/>
        <v>ok</v>
      </c>
      <c r="W57" s="89" t="str">
        <f t="shared" si="29"/>
        <v>ok</v>
      </c>
      <c r="X57" s="89" t="str">
        <f t="shared" si="29"/>
        <v>ok</v>
      </c>
      <c r="Y57" s="89" t="str">
        <f t="shared" si="29"/>
        <v>ok</v>
      </c>
      <c r="Z57" s="89" t="str">
        <f t="shared" si="29"/>
        <v>ok</v>
      </c>
      <c r="AA57" s="89" t="str">
        <f t="shared" si="29"/>
        <v>ok</v>
      </c>
      <c r="AB57" s="89" t="str">
        <f t="shared" si="29"/>
        <v>ok</v>
      </c>
      <c r="AD57" s="89" t="str">
        <f t="shared" ref="AD57:BI57" si="30">IF(SUM(AD40:AD49)=AD50,"ok","エラー")</f>
        <v>ok</v>
      </c>
      <c r="AE57" s="89" t="str">
        <f t="shared" si="30"/>
        <v>ok</v>
      </c>
      <c r="AF57" s="89" t="str">
        <f t="shared" si="30"/>
        <v>ok</v>
      </c>
      <c r="AG57" s="89" t="str">
        <f t="shared" si="30"/>
        <v>ok</v>
      </c>
      <c r="AH57" s="89" t="str">
        <f t="shared" si="30"/>
        <v>ok</v>
      </c>
      <c r="AI57" s="89" t="str">
        <f t="shared" si="30"/>
        <v>ok</v>
      </c>
      <c r="AJ57" s="89" t="str">
        <f t="shared" si="30"/>
        <v>ok</v>
      </c>
      <c r="AK57" s="89" t="str">
        <f t="shared" si="30"/>
        <v>ok</v>
      </c>
      <c r="AL57" s="89" t="str">
        <f t="shared" si="30"/>
        <v>ok</v>
      </c>
      <c r="AM57" s="89" t="str">
        <f t="shared" si="30"/>
        <v>ok</v>
      </c>
      <c r="AN57" s="89" t="str">
        <f t="shared" si="30"/>
        <v>ok</v>
      </c>
      <c r="AO57" s="89" t="str">
        <f t="shared" si="30"/>
        <v>ok</v>
      </c>
      <c r="AP57" s="89" t="str">
        <f t="shared" si="30"/>
        <v>ok</v>
      </c>
      <c r="AQ57" s="89" t="str">
        <f t="shared" si="30"/>
        <v>ok</v>
      </c>
      <c r="AR57" s="89" t="str">
        <f t="shared" si="30"/>
        <v>ok</v>
      </c>
      <c r="AS57" s="89" t="str">
        <f t="shared" si="30"/>
        <v>ok</v>
      </c>
      <c r="AT57" s="89" t="str">
        <f t="shared" si="30"/>
        <v>ok</v>
      </c>
      <c r="AU57" s="89" t="str">
        <f t="shared" si="30"/>
        <v>ok</v>
      </c>
      <c r="AV57" s="89" t="str">
        <f t="shared" si="30"/>
        <v>ok</v>
      </c>
      <c r="AW57" s="89" t="str">
        <f t="shared" si="30"/>
        <v>ok</v>
      </c>
      <c r="AX57" s="89" t="str">
        <f t="shared" si="30"/>
        <v>ok</v>
      </c>
      <c r="AY57" s="89" t="str">
        <f t="shared" si="30"/>
        <v>ok</v>
      </c>
      <c r="AZ57" s="89" t="str">
        <f t="shared" si="30"/>
        <v>ok</v>
      </c>
      <c r="BA57" s="89" t="str">
        <f t="shared" si="30"/>
        <v>ok</v>
      </c>
      <c r="BB57" s="89" t="str">
        <f t="shared" si="30"/>
        <v>ok</v>
      </c>
      <c r="BC57" s="89" t="str">
        <f t="shared" si="30"/>
        <v>ok</v>
      </c>
      <c r="BD57" s="89" t="str">
        <f t="shared" si="30"/>
        <v>ok</v>
      </c>
      <c r="BE57" s="89" t="str">
        <f t="shared" si="30"/>
        <v>ok</v>
      </c>
      <c r="BF57" s="89" t="str">
        <f t="shared" si="30"/>
        <v>ok</v>
      </c>
      <c r="BG57" s="89" t="str">
        <f t="shared" si="30"/>
        <v>ok</v>
      </c>
      <c r="BH57" s="89" t="str">
        <f t="shared" si="30"/>
        <v>ok</v>
      </c>
      <c r="BI57" s="89" t="str">
        <f t="shared" si="30"/>
        <v>ok</v>
      </c>
      <c r="BJ57" s="89" t="str">
        <f t="shared" ref="BJ57:CK57" si="31">IF(SUM(BJ40:BJ49)=BJ50,"ok","エラー")</f>
        <v>ok</v>
      </c>
      <c r="BK57" s="89" t="str">
        <f t="shared" si="31"/>
        <v>ok</v>
      </c>
      <c r="BL57" s="89" t="str">
        <f t="shared" si="31"/>
        <v>ok</v>
      </c>
      <c r="BM57" s="89" t="str">
        <f t="shared" si="31"/>
        <v>ok</v>
      </c>
      <c r="BN57" s="89" t="str">
        <f t="shared" si="31"/>
        <v>ok</v>
      </c>
      <c r="BO57" s="89" t="str">
        <f t="shared" si="31"/>
        <v>ok</v>
      </c>
      <c r="BP57" s="89" t="str">
        <f t="shared" si="31"/>
        <v>ok</v>
      </c>
      <c r="BQ57" s="89" t="str">
        <f t="shared" si="31"/>
        <v>ok</v>
      </c>
      <c r="BR57" s="89" t="str">
        <f t="shared" si="31"/>
        <v>ok</v>
      </c>
      <c r="BS57" s="89" t="str">
        <f t="shared" si="31"/>
        <v>ok</v>
      </c>
      <c r="BT57" s="89" t="str">
        <f t="shared" si="31"/>
        <v>ok</v>
      </c>
      <c r="BU57" s="89" t="str">
        <f t="shared" si="31"/>
        <v>ok</v>
      </c>
      <c r="BV57" s="89" t="str">
        <f t="shared" si="31"/>
        <v>ok</v>
      </c>
      <c r="BW57" s="89" t="str">
        <f t="shared" si="31"/>
        <v>ok</v>
      </c>
      <c r="BX57" s="89" t="str">
        <f t="shared" si="31"/>
        <v>ok</v>
      </c>
      <c r="BY57" s="89" t="str">
        <f t="shared" si="31"/>
        <v>ok</v>
      </c>
      <c r="BZ57" s="89" t="str">
        <f t="shared" si="31"/>
        <v>ok</v>
      </c>
      <c r="CA57" s="89" t="str">
        <f t="shared" si="31"/>
        <v>ok</v>
      </c>
      <c r="CB57" s="89" t="str">
        <f t="shared" si="31"/>
        <v>ok</v>
      </c>
      <c r="CC57" s="89" t="str">
        <f t="shared" si="31"/>
        <v>ok</v>
      </c>
      <c r="CD57" s="89" t="str">
        <f t="shared" si="31"/>
        <v>ok</v>
      </c>
      <c r="CE57" s="89" t="str">
        <f t="shared" si="31"/>
        <v>ok</v>
      </c>
      <c r="CF57" s="89" t="str">
        <f t="shared" si="31"/>
        <v>ok</v>
      </c>
      <c r="CG57" s="89" t="str">
        <f t="shared" si="31"/>
        <v>ok</v>
      </c>
      <c r="CH57" s="89" t="str">
        <f t="shared" si="31"/>
        <v>ok</v>
      </c>
      <c r="CI57" s="89" t="str">
        <f t="shared" si="31"/>
        <v>ok</v>
      </c>
      <c r="CJ57" s="89" t="str">
        <f t="shared" si="31"/>
        <v>ok</v>
      </c>
      <c r="CK57" s="89" t="str">
        <f t="shared" si="31"/>
        <v>ok</v>
      </c>
      <c r="CL57" s="84"/>
      <c r="CM57" s="89" t="str">
        <f t="shared" ref="CM57:DR57" si="32">IF(SUM(CM40:CM49)=CM50,"ok","エラー")</f>
        <v>ok</v>
      </c>
      <c r="CN57" s="89" t="str">
        <f t="shared" si="32"/>
        <v>ok</v>
      </c>
      <c r="CO57" s="89" t="str">
        <f t="shared" si="32"/>
        <v>ok</v>
      </c>
      <c r="CP57" s="89" t="str">
        <f t="shared" si="32"/>
        <v>ok</v>
      </c>
      <c r="CQ57" s="89" t="str">
        <f t="shared" si="32"/>
        <v>ok</v>
      </c>
      <c r="CR57" s="89" t="str">
        <f t="shared" si="32"/>
        <v>ok</v>
      </c>
      <c r="CS57" s="89" t="str">
        <f t="shared" si="32"/>
        <v>ok</v>
      </c>
      <c r="CT57" s="89" t="str">
        <f t="shared" si="32"/>
        <v>ok</v>
      </c>
      <c r="CU57" s="89" t="str">
        <f t="shared" si="32"/>
        <v>ok</v>
      </c>
      <c r="CV57" s="89" t="str">
        <f t="shared" si="32"/>
        <v>ok</v>
      </c>
      <c r="CW57" s="89" t="str">
        <f t="shared" si="32"/>
        <v>ok</v>
      </c>
      <c r="CX57" s="89" t="str">
        <f t="shared" si="32"/>
        <v>ok</v>
      </c>
      <c r="CY57" s="89" t="str">
        <f t="shared" si="32"/>
        <v>ok</v>
      </c>
      <c r="CZ57" s="89" t="str">
        <f t="shared" si="32"/>
        <v>ok</v>
      </c>
      <c r="DA57" s="89" t="str">
        <f t="shared" si="32"/>
        <v>ok</v>
      </c>
      <c r="DB57" s="89" t="str">
        <f t="shared" si="32"/>
        <v>ok</v>
      </c>
      <c r="DC57" s="89" t="str">
        <f t="shared" si="32"/>
        <v>ok</v>
      </c>
      <c r="DD57" s="89" t="str">
        <f t="shared" si="32"/>
        <v>ok</v>
      </c>
      <c r="DE57" s="89" t="str">
        <f t="shared" si="32"/>
        <v>ok</v>
      </c>
      <c r="DF57" s="89" t="str">
        <f t="shared" si="32"/>
        <v>ok</v>
      </c>
      <c r="DG57" s="89" t="str">
        <f t="shared" si="32"/>
        <v>ok</v>
      </c>
      <c r="DH57" s="89" t="str">
        <f t="shared" si="32"/>
        <v>ok</v>
      </c>
      <c r="DI57" s="89" t="str">
        <f t="shared" si="32"/>
        <v>ok</v>
      </c>
      <c r="DJ57" s="89" t="str">
        <f t="shared" si="32"/>
        <v>ok</v>
      </c>
      <c r="DK57" s="89" t="str">
        <f t="shared" si="32"/>
        <v>ok</v>
      </c>
      <c r="DL57" s="89" t="str">
        <f t="shared" si="32"/>
        <v>ok</v>
      </c>
      <c r="DM57" s="89" t="str">
        <f t="shared" si="32"/>
        <v>ok</v>
      </c>
      <c r="DN57" s="89" t="str">
        <f t="shared" si="32"/>
        <v>ok</v>
      </c>
      <c r="DO57" s="89" t="str">
        <f t="shared" si="32"/>
        <v>ok</v>
      </c>
      <c r="DP57" s="89" t="str">
        <f t="shared" si="32"/>
        <v>ok</v>
      </c>
      <c r="DQ57" s="89" t="str">
        <f t="shared" si="32"/>
        <v>ok</v>
      </c>
      <c r="DR57" s="89" t="str">
        <f t="shared" si="32"/>
        <v>ok</v>
      </c>
      <c r="DS57" s="89" t="str">
        <f t="shared" ref="DS57:EX57" si="33">IF(SUM(DS40:DS49)=DS50,"ok","エラー")</f>
        <v>ok</v>
      </c>
      <c r="DT57" s="89" t="str">
        <f t="shared" si="33"/>
        <v>ok</v>
      </c>
      <c r="DU57" s="89" t="str">
        <f t="shared" si="33"/>
        <v>ok</v>
      </c>
      <c r="DV57" s="89" t="str">
        <f t="shared" si="33"/>
        <v>ok</v>
      </c>
      <c r="DW57" s="89" t="str">
        <f t="shared" si="33"/>
        <v>ok</v>
      </c>
      <c r="DX57" s="89" t="str">
        <f t="shared" si="33"/>
        <v>ok</v>
      </c>
      <c r="DY57" s="89" t="str">
        <f t="shared" si="33"/>
        <v>ok</v>
      </c>
      <c r="DZ57" s="89" t="str">
        <f t="shared" si="33"/>
        <v>ok</v>
      </c>
      <c r="EA57" s="89" t="str">
        <f t="shared" si="33"/>
        <v>ok</v>
      </c>
      <c r="EB57" s="89" t="str">
        <f t="shared" si="33"/>
        <v>ok</v>
      </c>
      <c r="EC57" s="89" t="str">
        <f t="shared" si="33"/>
        <v>ok</v>
      </c>
      <c r="ED57" s="89" t="str">
        <f t="shared" si="33"/>
        <v>ok</v>
      </c>
      <c r="EE57" s="89" t="str">
        <f t="shared" si="33"/>
        <v>ok</v>
      </c>
      <c r="EF57" s="89" t="str">
        <f t="shared" si="33"/>
        <v>ok</v>
      </c>
      <c r="EG57" s="89" t="str">
        <f t="shared" si="33"/>
        <v>ok</v>
      </c>
      <c r="EH57" s="89" t="str">
        <f t="shared" si="33"/>
        <v>ok</v>
      </c>
      <c r="EI57" s="89" t="str">
        <f t="shared" si="33"/>
        <v>ok</v>
      </c>
      <c r="EJ57" s="89" t="str">
        <f t="shared" si="33"/>
        <v>ok</v>
      </c>
      <c r="EK57" s="89" t="str">
        <f t="shared" si="33"/>
        <v>ok</v>
      </c>
      <c r="EL57" s="89" t="str">
        <f t="shared" si="33"/>
        <v>ok</v>
      </c>
      <c r="EM57" s="89" t="str">
        <f t="shared" si="33"/>
        <v>ok</v>
      </c>
      <c r="EN57" s="89" t="str">
        <f t="shared" si="33"/>
        <v>ok</v>
      </c>
      <c r="EO57" s="89" t="str">
        <f t="shared" si="33"/>
        <v>ok</v>
      </c>
      <c r="EP57" s="89" t="str">
        <f t="shared" si="33"/>
        <v>ok</v>
      </c>
      <c r="EQ57" s="89" t="str">
        <f t="shared" si="33"/>
        <v>ok</v>
      </c>
      <c r="ER57" s="89" t="str">
        <f t="shared" si="33"/>
        <v>ok</v>
      </c>
      <c r="ES57" s="89" t="str">
        <f t="shared" si="33"/>
        <v>ok</v>
      </c>
      <c r="ET57" s="89" t="str">
        <f t="shared" si="33"/>
        <v>ok</v>
      </c>
      <c r="EU57" s="89" t="str">
        <f t="shared" si="33"/>
        <v>ok</v>
      </c>
      <c r="EV57" s="89" t="str">
        <f t="shared" si="33"/>
        <v>ok</v>
      </c>
      <c r="EW57" s="89" t="str">
        <f t="shared" si="33"/>
        <v>ok</v>
      </c>
      <c r="EX57" s="89" t="str">
        <f t="shared" si="33"/>
        <v>ok</v>
      </c>
      <c r="EY57" s="89" t="str">
        <f t="shared" ref="EY57:FJ57" si="34">IF(SUM(EY40:EY49)=EY50,"ok","エラー")</f>
        <v>ok</v>
      </c>
      <c r="EZ57" s="89" t="str">
        <f t="shared" si="34"/>
        <v>ok</v>
      </c>
      <c r="FA57" s="89" t="str">
        <f t="shared" si="34"/>
        <v>ok</v>
      </c>
      <c r="FB57" s="89" t="str">
        <f t="shared" si="34"/>
        <v>ok</v>
      </c>
      <c r="FC57" s="89" t="str">
        <f t="shared" si="34"/>
        <v>ok</v>
      </c>
      <c r="FD57" s="89" t="str">
        <f t="shared" si="34"/>
        <v>ok</v>
      </c>
      <c r="FE57" s="89" t="str">
        <f t="shared" si="34"/>
        <v>ok</v>
      </c>
      <c r="FF57" s="89" t="str">
        <f t="shared" si="34"/>
        <v>ok</v>
      </c>
      <c r="FG57" s="89" t="str">
        <f t="shared" si="34"/>
        <v>ok</v>
      </c>
      <c r="FH57" s="89" t="str">
        <f t="shared" si="34"/>
        <v>ok</v>
      </c>
      <c r="FI57" s="89" t="str">
        <f t="shared" si="34"/>
        <v>ok</v>
      </c>
      <c r="FJ57" s="89" t="str">
        <f t="shared" si="34"/>
        <v>ok</v>
      </c>
      <c r="FL57" s="89" t="str">
        <f>IF(SUM(FL40:FL49)=FL50,"ok","エラー")</f>
        <v>ok</v>
      </c>
      <c r="FM57" s="89" t="str">
        <f>IF(SUM(FM40:FM49)=FM50,"ok","エラー")</f>
        <v>ok</v>
      </c>
      <c r="FN57" s="89" t="str">
        <f>IF(SUM(FN40:FN49)=FN50,"ok","エラー")</f>
        <v>ok</v>
      </c>
      <c r="FO57" s="89" t="str">
        <f>IF(SUM(FO40:FO49)=FO50,"ok","エラー")</f>
        <v>ok</v>
      </c>
      <c r="FY57" s="89" t="str">
        <f>IF(SUM(FY40:FY49)=FY50,"ok","エラー")</f>
        <v>ok</v>
      </c>
      <c r="GA57" s="89" t="str">
        <f t="shared" ref="GA57:GF57" si="35">IF(SUM(GA40:GA49)=GA50,"ok","エラー")</f>
        <v>ok</v>
      </c>
      <c r="GB57" s="89" t="str">
        <f t="shared" si="35"/>
        <v>ok</v>
      </c>
      <c r="GC57" s="89" t="str">
        <f t="shared" si="35"/>
        <v>ok</v>
      </c>
      <c r="GD57" s="89" t="str">
        <f t="shared" si="35"/>
        <v>ok</v>
      </c>
      <c r="GE57" s="89" t="str">
        <f t="shared" si="35"/>
        <v>ok</v>
      </c>
      <c r="GF57" s="89" t="str">
        <f t="shared" si="35"/>
        <v>ok</v>
      </c>
      <c r="GK57" s="130" t="str">
        <f>IF(SUM(GK40:GK49)=GK50,"ok","エラー")</f>
        <v>ok</v>
      </c>
    </row>
    <row r="58" spans="1:232" x14ac:dyDescent="0.15">
      <c r="B58" s="89" t="s">
        <v>650</v>
      </c>
      <c r="C58" s="89" t="str">
        <f t="shared" ref="C58:AB58" si="36">IF(C39+C50=C51,"ok","エラー")</f>
        <v>ok</v>
      </c>
      <c r="D58" s="89" t="str">
        <f t="shared" si="36"/>
        <v>ok</v>
      </c>
      <c r="E58" s="89" t="str">
        <f t="shared" si="36"/>
        <v>ok</v>
      </c>
      <c r="F58" s="89" t="str">
        <f t="shared" si="36"/>
        <v>ok</v>
      </c>
      <c r="G58" s="89" t="str">
        <f t="shared" si="36"/>
        <v>ok</v>
      </c>
      <c r="H58" s="89" t="str">
        <f t="shared" si="36"/>
        <v>ok</v>
      </c>
      <c r="I58" s="89" t="str">
        <f t="shared" si="36"/>
        <v>ok</v>
      </c>
      <c r="J58" s="89" t="str">
        <f t="shared" si="36"/>
        <v>ok</v>
      </c>
      <c r="K58" s="89" t="str">
        <f t="shared" si="36"/>
        <v>ok</v>
      </c>
      <c r="L58" s="89" t="str">
        <f t="shared" si="36"/>
        <v>ok</v>
      </c>
      <c r="M58" s="89" t="str">
        <f t="shared" si="36"/>
        <v>ok</v>
      </c>
      <c r="N58" s="89" t="str">
        <f t="shared" si="36"/>
        <v>ok</v>
      </c>
      <c r="O58" s="89" t="str">
        <f t="shared" si="36"/>
        <v>ok</v>
      </c>
      <c r="P58" s="89" t="str">
        <f t="shared" si="36"/>
        <v>ok</v>
      </c>
      <c r="Q58" s="89" t="str">
        <f t="shared" si="36"/>
        <v>ok</v>
      </c>
      <c r="R58" s="89" t="str">
        <f t="shared" si="36"/>
        <v>ok</v>
      </c>
      <c r="S58" s="75" t="str">
        <f t="shared" si="36"/>
        <v>ok</v>
      </c>
      <c r="T58" s="89" t="str">
        <f t="shared" si="36"/>
        <v>ok</v>
      </c>
      <c r="U58" s="89" t="str">
        <f t="shared" si="36"/>
        <v>ok</v>
      </c>
      <c r="V58" s="89" t="str">
        <f t="shared" si="36"/>
        <v>ok</v>
      </c>
      <c r="W58" s="89" t="str">
        <f t="shared" si="36"/>
        <v>ok</v>
      </c>
      <c r="X58" s="89" t="str">
        <f t="shared" si="36"/>
        <v>ok</v>
      </c>
      <c r="Y58" s="89" t="str">
        <f t="shared" si="36"/>
        <v>ok</v>
      </c>
      <c r="Z58" s="89" t="str">
        <f t="shared" si="36"/>
        <v>ok</v>
      </c>
      <c r="AA58" s="89" t="str">
        <f t="shared" si="36"/>
        <v>ok</v>
      </c>
      <c r="AB58" s="89" t="str">
        <f t="shared" si="36"/>
        <v>ok</v>
      </c>
      <c r="AD58" s="89" t="str">
        <f t="shared" ref="AD58:BI58" si="37">IF(AD39+AD50=AD51,"ok","エラー")</f>
        <v>ok</v>
      </c>
      <c r="AE58" s="89" t="str">
        <f t="shared" si="37"/>
        <v>ok</v>
      </c>
      <c r="AF58" s="89" t="str">
        <f t="shared" si="37"/>
        <v>ok</v>
      </c>
      <c r="AG58" s="89" t="str">
        <f t="shared" si="37"/>
        <v>ok</v>
      </c>
      <c r="AH58" s="89" t="str">
        <f t="shared" si="37"/>
        <v>ok</v>
      </c>
      <c r="AI58" s="89" t="str">
        <f t="shared" si="37"/>
        <v>ok</v>
      </c>
      <c r="AJ58" s="89" t="str">
        <f t="shared" si="37"/>
        <v>ok</v>
      </c>
      <c r="AK58" s="89" t="str">
        <f t="shared" si="37"/>
        <v>ok</v>
      </c>
      <c r="AL58" s="89" t="str">
        <f t="shared" si="37"/>
        <v>ok</v>
      </c>
      <c r="AM58" s="89" t="str">
        <f t="shared" si="37"/>
        <v>ok</v>
      </c>
      <c r="AN58" s="89" t="str">
        <f t="shared" si="37"/>
        <v>ok</v>
      </c>
      <c r="AO58" s="89" t="str">
        <f t="shared" si="37"/>
        <v>ok</v>
      </c>
      <c r="AP58" s="89" t="str">
        <f t="shared" si="37"/>
        <v>ok</v>
      </c>
      <c r="AQ58" s="89" t="str">
        <f t="shared" si="37"/>
        <v>ok</v>
      </c>
      <c r="AR58" s="89" t="str">
        <f t="shared" si="37"/>
        <v>ok</v>
      </c>
      <c r="AS58" s="89" t="str">
        <f t="shared" si="37"/>
        <v>ok</v>
      </c>
      <c r="AT58" s="89" t="str">
        <f t="shared" si="37"/>
        <v>ok</v>
      </c>
      <c r="AU58" s="89" t="str">
        <f t="shared" si="37"/>
        <v>ok</v>
      </c>
      <c r="AV58" s="89" t="str">
        <f t="shared" si="37"/>
        <v>ok</v>
      </c>
      <c r="AW58" s="89" t="str">
        <f t="shared" si="37"/>
        <v>ok</v>
      </c>
      <c r="AX58" s="89" t="str">
        <f t="shared" si="37"/>
        <v>ok</v>
      </c>
      <c r="AY58" s="89" t="str">
        <f t="shared" si="37"/>
        <v>ok</v>
      </c>
      <c r="AZ58" s="89" t="str">
        <f t="shared" si="37"/>
        <v>ok</v>
      </c>
      <c r="BA58" s="89" t="str">
        <f t="shared" si="37"/>
        <v>ok</v>
      </c>
      <c r="BB58" s="89" t="str">
        <f t="shared" si="37"/>
        <v>ok</v>
      </c>
      <c r="BC58" s="89" t="str">
        <f t="shared" si="37"/>
        <v>ok</v>
      </c>
      <c r="BD58" s="89" t="str">
        <f t="shared" si="37"/>
        <v>ok</v>
      </c>
      <c r="BE58" s="89" t="str">
        <f t="shared" si="37"/>
        <v>ok</v>
      </c>
      <c r="BF58" s="89" t="str">
        <f t="shared" si="37"/>
        <v>ok</v>
      </c>
      <c r="BG58" s="89" t="str">
        <f t="shared" si="37"/>
        <v>ok</v>
      </c>
      <c r="BH58" s="89" t="str">
        <f t="shared" si="37"/>
        <v>ok</v>
      </c>
      <c r="BI58" s="89" t="str">
        <f t="shared" si="37"/>
        <v>ok</v>
      </c>
      <c r="BJ58" s="89" t="str">
        <f t="shared" ref="BJ58:CK58" si="38">IF(BJ39+BJ50=BJ51,"ok","エラー")</f>
        <v>ok</v>
      </c>
      <c r="BK58" s="89" t="str">
        <f t="shared" si="38"/>
        <v>ok</v>
      </c>
      <c r="BL58" s="89" t="str">
        <f t="shared" si="38"/>
        <v>ok</v>
      </c>
      <c r="BM58" s="89" t="str">
        <f t="shared" si="38"/>
        <v>ok</v>
      </c>
      <c r="BN58" s="89" t="str">
        <f t="shared" si="38"/>
        <v>ok</v>
      </c>
      <c r="BO58" s="89" t="str">
        <f t="shared" si="38"/>
        <v>ok</v>
      </c>
      <c r="BP58" s="89" t="str">
        <f t="shared" si="38"/>
        <v>ok</v>
      </c>
      <c r="BQ58" s="89" t="str">
        <f t="shared" si="38"/>
        <v>ok</v>
      </c>
      <c r="BR58" s="89" t="str">
        <f t="shared" si="38"/>
        <v>ok</v>
      </c>
      <c r="BS58" s="89" t="str">
        <f t="shared" si="38"/>
        <v>ok</v>
      </c>
      <c r="BT58" s="89" t="str">
        <f t="shared" si="38"/>
        <v>ok</v>
      </c>
      <c r="BU58" s="89" t="str">
        <f t="shared" si="38"/>
        <v>ok</v>
      </c>
      <c r="BV58" s="89" t="str">
        <f t="shared" si="38"/>
        <v>ok</v>
      </c>
      <c r="BW58" s="89" t="str">
        <f t="shared" si="38"/>
        <v>ok</v>
      </c>
      <c r="BX58" s="89" t="str">
        <f t="shared" si="38"/>
        <v>ok</v>
      </c>
      <c r="BY58" s="89" t="str">
        <f t="shared" si="38"/>
        <v>ok</v>
      </c>
      <c r="BZ58" s="89" t="str">
        <f t="shared" si="38"/>
        <v>ok</v>
      </c>
      <c r="CA58" s="89" t="str">
        <f t="shared" si="38"/>
        <v>ok</v>
      </c>
      <c r="CB58" s="89" t="str">
        <f t="shared" si="38"/>
        <v>ok</v>
      </c>
      <c r="CC58" s="89" t="str">
        <f t="shared" si="38"/>
        <v>ok</v>
      </c>
      <c r="CD58" s="89" t="str">
        <f t="shared" si="38"/>
        <v>ok</v>
      </c>
      <c r="CE58" s="89" t="str">
        <f t="shared" si="38"/>
        <v>ok</v>
      </c>
      <c r="CF58" s="89" t="str">
        <f t="shared" si="38"/>
        <v>ok</v>
      </c>
      <c r="CG58" s="89" t="str">
        <f t="shared" si="38"/>
        <v>ok</v>
      </c>
      <c r="CH58" s="89" t="str">
        <f t="shared" si="38"/>
        <v>ok</v>
      </c>
      <c r="CI58" s="89" t="str">
        <f t="shared" si="38"/>
        <v>ok</v>
      </c>
      <c r="CJ58" s="89" t="str">
        <f t="shared" si="38"/>
        <v>ok</v>
      </c>
      <c r="CK58" s="89" t="str">
        <f t="shared" si="38"/>
        <v>ok</v>
      </c>
      <c r="CL58" s="84"/>
      <c r="CM58" s="89" t="str">
        <f t="shared" ref="CM58:DR58" si="39">IF(CM39+CM50=CM51,"ok","エラー")</f>
        <v>ok</v>
      </c>
      <c r="CN58" s="89" t="str">
        <f t="shared" si="39"/>
        <v>ok</v>
      </c>
      <c r="CO58" s="89" t="str">
        <f t="shared" si="39"/>
        <v>ok</v>
      </c>
      <c r="CP58" s="89" t="str">
        <f t="shared" si="39"/>
        <v>ok</v>
      </c>
      <c r="CQ58" s="89" t="str">
        <f t="shared" si="39"/>
        <v>ok</v>
      </c>
      <c r="CR58" s="89" t="str">
        <f t="shared" si="39"/>
        <v>ok</v>
      </c>
      <c r="CS58" s="89" t="str">
        <f t="shared" si="39"/>
        <v>ok</v>
      </c>
      <c r="CT58" s="89" t="str">
        <f t="shared" si="39"/>
        <v>ok</v>
      </c>
      <c r="CU58" s="89" t="str">
        <f t="shared" si="39"/>
        <v>ok</v>
      </c>
      <c r="CV58" s="89" t="str">
        <f t="shared" si="39"/>
        <v>ok</v>
      </c>
      <c r="CW58" s="89" t="str">
        <f t="shared" si="39"/>
        <v>ok</v>
      </c>
      <c r="CX58" s="89" t="str">
        <f t="shared" si="39"/>
        <v>ok</v>
      </c>
      <c r="CY58" s="89" t="str">
        <f t="shared" si="39"/>
        <v>ok</v>
      </c>
      <c r="CZ58" s="89" t="str">
        <f t="shared" si="39"/>
        <v>ok</v>
      </c>
      <c r="DA58" s="89" t="str">
        <f t="shared" si="39"/>
        <v>ok</v>
      </c>
      <c r="DB58" s="89" t="str">
        <f t="shared" si="39"/>
        <v>ok</v>
      </c>
      <c r="DC58" s="89" t="str">
        <f t="shared" si="39"/>
        <v>ok</v>
      </c>
      <c r="DD58" s="89" t="str">
        <f t="shared" si="39"/>
        <v>ok</v>
      </c>
      <c r="DE58" s="89" t="str">
        <f t="shared" si="39"/>
        <v>ok</v>
      </c>
      <c r="DF58" s="89" t="str">
        <f t="shared" si="39"/>
        <v>ok</v>
      </c>
      <c r="DG58" s="89" t="str">
        <f t="shared" si="39"/>
        <v>ok</v>
      </c>
      <c r="DH58" s="89" t="str">
        <f t="shared" si="39"/>
        <v>ok</v>
      </c>
      <c r="DI58" s="89" t="str">
        <f t="shared" si="39"/>
        <v>ok</v>
      </c>
      <c r="DJ58" s="89" t="str">
        <f t="shared" si="39"/>
        <v>ok</v>
      </c>
      <c r="DK58" s="89" t="str">
        <f t="shared" si="39"/>
        <v>ok</v>
      </c>
      <c r="DL58" s="89" t="str">
        <f t="shared" si="39"/>
        <v>ok</v>
      </c>
      <c r="DM58" s="89" t="str">
        <f t="shared" si="39"/>
        <v>ok</v>
      </c>
      <c r="DN58" s="89" t="str">
        <f t="shared" si="39"/>
        <v>ok</v>
      </c>
      <c r="DO58" s="89" t="str">
        <f t="shared" si="39"/>
        <v>ok</v>
      </c>
      <c r="DP58" s="89" t="str">
        <f t="shared" si="39"/>
        <v>ok</v>
      </c>
      <c r="DQ58" s="89" t="str">
        <f t="shared" si="39"/>
        <v>ok</v>
      </c>
      <c r="DR58" s="89" t="str">
        <f t="shared" si="39"/>
        <v>ok</v>
      </c>
      <c r="DS58" s="89" t="str">
        <f t="shared" ref="DS58:EX58" si="40">IF(DS39+DS50=DS51,"ok","エラー")</f>
        <v>ok</v>
      </c>
      <c r="DT58" s="89" t="str">
        <f t="shared" si="40"/>
        <v>ok</v>
      </c>
      <c r="DU58" s="89" t="str">
        <f t="shared" si="40"/>
        <v>ok</v>
      </c>
      <c r="DV58" s="89" t="str">
        <f t="shared" si="40"/>
        <v>ok</v>
      </c>
      <c r="DW58" s="89" t="str">
        <f t="shared" si="40"/>
        <v>ok</v>
      </c>
      <c r="DX58" s="89" t="str">
        <f t="shared" si="40"/>
        <v>ok</v>
      </c>
      <c r="DY58" s="89" t="str">
        <f t="shared" si="40"/>
        <v>ok</v>
      </c>
      <c r="DZ58" s="89" t="str">
        <f t="shared" si="40"/>
        <v>ok</v>
      </c>
      <c r="EA58" s="89" t="str">
        <f t="shared" si="40"/>
        <v>ok</v>
      </c>
      <c r="EB58" s="89" t="str">
        <f t="shared" si="40"/>
        <v>ok</v>
      </c>
      <c r="EC58" s="89" t="str">
        <f t="shared" si="40"/>
        <v>ok</v>
      </c>
      <c r="ED58" s="89" t="str">
        <f t="shared" si="40"/>
        <v>ok</v>
      </c>
      <c r="EE58" s="89" t="str">
        <f t="shared" si="40"/>
        <v>ok</v>
      </c>
      <c r="EF58" s="89" t="str">
        <f t="shared" si="40"/>
        <v>ok</v>
      </c>
      <c r="EG58" s="89" t="str">
        <f t="shared" si="40"/>
        <v>ok</v>
      </c>
      <c r="EH58" s="89" t="str">
        <f t="shared" si="40"/>
        <v>ok</v>
      </c>
      <c r="EI58" s="89" t="str">
        <f t="shared" si="40"/>
        <v>ok</v>
      </c>
      <c r="EJ58" s="89" t="str">
        <f t="shared" si="40"/>
        <v>ok</v>
      </c>
      <c r="EK58" s="89" t="str">
        <f t="shared" si="40"/>
        <v>ok</v>
      </c>
      <c r="EL58" s="89" t="str">
        <f t="shared" si="40"/>
        <v>ok</v>
      </c>
      <c r="EM58" s="89" t="str">
        <f t="shared" si="40"/>
        <v>ok</v>
      </c>
      <c r="EN58" s="89" t="str">
        <f t="shared" si="40"/>
        <v>ok</v>
      </c>
      <c r="EO58" s="89" t="str">
        <f t="shared" si="40"/>
        <v>ok</v>
      </c>
      <c r="EP58" s="89" t="str">
        <f t="shared" si="40"/>
        <v>ok</v>
      </c>
      <c r="EQ58" s="89" t="str">
        <f t="shared" si="40"/>
        <v>ok</v>
      </c>
      <c r="ER58" s="89" t="str">
        <f t="shared" si="40"/>
        <v>ok</v>
      </c>
      <c r="ES58" s="89" t="str">
        <f t="shared" si="40"/>
        <v>ok</v>
      </c>
      <c r="ET58" s="89" t="str">
        <f t="shared" si="40"/>
        <v>ok</v>
      </c>
      <c r="EU58" s="89" t="str">
        <f t="shared" si="40"/>
        <v>ok</v>
      </c>
      <c r="EV58" s="89" t="str">
        <f t="shared" si="40"/>
        <v>ok</v>
      </c>
      <c r="EW58" s="89" t="str">
        <f t="shared" si="40"/>
        <v>ok</v>
      </c>
      <c r="EX58" s="89" t="str">
        <f t="shared" si="40"/>
        <v>ok</v>
      </c>
      <c r="EY58" s="89" t="str">
        <f t="shared" ref="EY58:FJ58" si="41">IF(EY39+EY50=EY51,"ok","エラー")</f>
        <v>ok</v>
      </c>
      <c r="EZ58" s="89" t="str">
        <f t="shared" si="41"/>
        <v>ok</v>
      </c>
      <c r="FA58" s="89" t="str">
        <f t="shared" si="41"/>
        <v>ok</v>
      </c>
      <c r="FB58" s="89" t="str">
        <f t="shared" si="41"/>
        <v>ok</v>
      </c>
      <c r="FC58" s="89" t="str">
        <f t="shared" si="41"/>
        <v>ok</v>
      </c>
      <c r="FD58" s="89" t="str">
        <f t="shared" si="41"/>
        <v>ok</v>
      </c>
      <c r="FE58" s="89" t="str">
        <f t="shared" si="41"/>
        <v>ok</v>
      </c>
      <c r="FF58" s="89" t="str">
        <f t="shared" si="41"/>
        <v>ok</v>
      </c>
      <c r="FG58" s="89" t="str">
        <f t="shared" si="41"/>
        <v>ok</v>
      </c>
      <c r="FH58" s="89" t="str">
        <f t="shared" si="41"/>
        <v>ok</v>
      </c>
      <c r="FI58" s="89" t="str">
        <f t="shared" si="41"/>
        <v>ok</v>
      </c>
      <c r="FJ58" s="89" t="str">
        <f t="shared" si="41"/>
        <v>ok</v>
      </c>
      <c r="FL58" s="89" t="str">
        <f>IF(FL39+FL50=FL51,"ok","エラー")</f>
        <v>ok</v>
      </c>
      <c r="FM58" s="89" t="str">
        <f>IF(FM39+FM50=FM51,"ok","エラー")</f>
        <v>ok</v>
      </c>
      <c r="FN58" s="89" t="str">
        <f>IF(FN39+FN50=FN51,"ok","エラー")</f>
        <v>ok</v>
      </c>
      <c r="FO58" s="89" t="str">
        <f>IF(FO39+FO50=FO51,"ok","エラー")</f>
        <v>ok</v>
      </c>
      <c r="FY58" s="89" t="str">
        <f>IF(FY39+FY50=FY51,"ok","エラー")</f>
        <v>ok</v>
      </c>
      <c r="GA58" s="89" t="str">
        <f t="shared" ref="GA58:GF58" si="42">IF(GA39+GA50=GA51,"ok","エラー")</f>
        <v>ok</v>
      </c>
      <c r="GB58" s="89" t="str">
        <f t="shared" si="42"/>
        <v>ok</v>
      </c>
      <c r="GC58" s="89" t="str">
        <f t="shared" si="42"/>
        <v>ok</v>
      </c>
      <c r="GD58" s="89" t="str">
        <f t="shared" si="42"/>
        <v>ok</v>
      </c>
      <c r="GE58" s="89" t="str">
        <f t="shared" si="42"/>
        <v>ok</v>
      </c>
      <c r="GF58" s="89" t="str">
        <f t="shared" si="42"/>
        <v>ok</v>
      </c>
      <c r="GK58" s="130" t="str">
        <f>IF(GK39+GK50=GK51,"ok","エラー")</f>
        <v>ok</v>
      </c>
    </row>
    <row r="59" spans="1:232" x14ac:dyDescent="0.15">
      <c r="B59" s="122" t="s">
        <v>650</v>
      </c>
      <c r="C59" s="89" t="str">
        <f t="shared" ref="C59:AB59" si="43">IF(C6+C7+C51=C52,"ok","エラー")</f>
        <v>ok</v>
      </c>
      <c r="D59" s="89" t="str">
        <f t="shared" si="43"/>
        <v>ok</v>
      </c>
      <c r="E59" s="89" t="str">
        <f t="shared" si="43"/>
        <v>ok</v>
      </c>
      <c r="F59" s="89" t="str">
        <f t="shared" si="43"/>
        <v>ok</v>
      </c>
      <c r="G59" s="89" t="str">
        <f t="shared" si="43"/>
        <v>ok</v>
      </c>
      <c r="H59" s="89" t="str">
        <f t="shared" si="43"/>
        <v>ok</v>
      </c>
      <c r="I59" s="89" t="str">
        <f t="shared" si="43"/>
        <v>ok</v>
      </c>
      <c r="J59" s="89" t="str">
        <f t="shared" si="43"/>
        <v>ok</v>
      </c>
      <c r="K59" s="89" t="str">
        <f t="shared" si="43"/>
        <v>ok</v>
      </c>
      <c r="L59" s="89" t="str">
        <f t="shared" si="43"/>
        <v>ok</v>
      </c>
      <c r="M59" s="89" t="str">
        <f t="shared" si="43"/>
        <v>ok</v>
      </c>
      <c r="N59" s="89" t="str">
        <f t="shared" si="43"/>
        <v>ok</v>
      </c>
      <c r="O59" s="89" t="str">
        <f t="shared" si="43"/>
        <v>ok</v>
      </c>
      <c r="P59" s="89" t="str">
        <f t="shared" si="43"/>
        <v>ok</v>
      </c>
      <c r="Q59" s="89" t="str">
        <f t="shared" si="43"/>
        <v>ok</v>
      </c>
      <c r="R59" s="89" t="str">
        <f t="shared" si="43"/>
        <v>ok</v>
      </c>
      <c r="S59" s="75" t="str">
        <f t="shared" si="43"/>
        <v>ok</v>
      </c>
      <c r="T59" s="89" t="str">
        <f t="shared" si="43"/>
        <v>ok</v>
      </c>
      <c r="U59" s="89" t="str">
        <f t="shared" si="43"/>
        <v>ok</v>
      </c>
      <c r="V59" s="89" t="str">
        <f t="shared" si="43"/>
        <v>ok</v>
      </c>
      <c r="W59" s="89" t="str">
        <f t="shared" si="43"/>
        <v>ok</v>
      </c>
      <c r="X59" s="89" t="str">
        <f t="shared" si="43"/>
        <v>ok</v>
      </c>
      <c r="Y59" s="89" t="str">
        <f t="shared" si="43"/>
        <v>ok</v>
      </c>
      <c r="Z59" s="89" t="str">
        <f t="shared" si="43"/>
        <v>ok</v>
      </c>
      <c r="AA59" s="89" t="str">
        <f t="shared" si="43"/>
        <v>ok</v>
      </c>
      <c r="AB59" s="89" t="str">
        <f t="shared" si="43"/>
        <v>ok</v>
      </c>
      <c r="AD59" s="89" t="str">
        <f t="shared" ref="AD59:BI59" si="44">IF(AD6+AD7+AD51=AD52,"ok","エラー")</f>
        <v>ok</v>
      </c>
      <c r="AE59" s="89" t="str">
        <f t="shared" si="44"/>
        <v>ok</v>
      </c>
      <c r="AF59" s="89" t="str">
        <f t="shared" si="44"/>
        <v>ok</v>
      </c>
      <c r="AG59" s="89" t="str">
        <f t="shared" si="44"/>
        <v>ok</v>
      </c>
      <c r="AH59" s="89" t="str">
        <f t="shared" si="44"/>
        <v>ok</v>
      </c>
      <c r="AI59" s="89" t="str">
        <f t="shared" si="44"/>
        <v>ok</v>
      </c>
      <c r="AJ59" s="89" t="str">
        <f t="shared" si="44"/>
        <v>ok</v>
      </c>
      <c r="AK59" s="89" t="str">
        <f t="shared" si="44"/>
        <v>ok</v>
      </c>
      <c r="AL59" s="89" t="str">
        <f t="shared" si="44"/>
        <v>ok</v>
      </c>
      <c r="AM59" s="89" t="str">
        <f t="shared" si="44"/>
        <v>ok</v>
      </c>
      <c r="AN59" s="89" t="str">
        <f t="shared" si="44"/>
        <v>ok</v>
      </c>
      <c r="AO59" s="89" t="str">
        <f t="shared" si="44"/>
        <v>ok</v>
      </c>
      <c r="AP59" s="89" t="str">
        <f t="shared" si="44"/>
        <v>ok</v>
      </c>
      <c r="AQ59" s="89" t="str">
        <f t="shared" si="44"/>
        <v>ok</v>
      </c>
      <c r="AR59" s="89" t="str">
        <f t="shared" si="44"/>
        <v>ok</v>
      </c>
      <c r="AS59" s="89" t="str">
        <f t="shared" si="44"/>
        <v>ok</v>
      </c>
      <c r="AT59" s="89" t="str">
        <f t="shared" si="44"/>
        <v>ok</v>
      </c>
      <c r="AU59" s="89" t="str">
        <f t="shared" si="44"/>
        <v>ok</v>
      </c>
      <c r="AV59" s="89" t="str">
        <f t="shared" si="44"/>
        <v>ok</v>
      </c>
      <c r="AW59" s="89" t="str">
        <f t="shared" si="44"/>
        <v>ok</v>
      </c>
      <c r="AX59" s="89" t="str">
        <f t="shared" si="44"/>
        <v>ok</v>
      </c>
      <c r="AY59" s="89" t="str">
        <f t="shared" si="44"/>
        <v>ok</v>
      </c>
      <c r="AZ59" s="89" t="str">
        <f t="shared" si="44"/>
        <v>ok</v>
      </c>
      <c r="BA59" s="89" t="str">
        <f t="shared" si="44"/>
        <v>ok</v>
      </c>
      <c r="BB59" s="89" t="str">
        <f t="shared" si="44"/>
        <v>ok</v>
      </c>
      <c r="BC59" s="89" t="str">
        <f t="shared" si="44"/>
        <v>ok</v>
      </c>
      <c r="BD59" s="89" t="str">
        <f t="shared" si="44"/>
        <v>ok</v>
      </c>
      <c r="BE59" s="89" t="str">
        <f t="shared" si="44"/>
        <v>ok</v>
      </c>
      <c r="BF59" s="89" t="str">
        <f t="shared" si="44"/>
        <v>ok</v>
      </c>
      <c r="BG59" s="89" t="str">
        <f t="shared" si="44"/>
        <v>ok</v>
      </c>
      <c r="BH59" s="89" t="str">
        <f t="shared" si="44"/>
        <v>ok</v>
      </c>
      <c r="BI59" s="89" t="str">
        <f t="shared" si="44"/>
        <v>ok</v>
      </c>
      <c r="BJ59" s="89" t="str">
        <f t="shared" ref="BJ59:CK59" si="45">IF(BJ6+BJ7+BJ51=BJ52,"ok","エラー")</f>
        <v>ok</v>
      </c>
      <c r="BK59" s="89" t="str">
        <f t="shared" si="45"/>
        <v>ok</v>
      </c>
      <c r="BL59" s="89" t="str">
        <f t="shared" si="45"/>
        <v>ok</v>
      </c>
      <c r="BM59" s="89" t="str">
        <f t="shared" si="45"/>
        <v>ok</v>
      </c>
      <c r="BN59" s="89" t="str">
        <f t="shared" si="45"/>
        <v>ok</v>
      </c>
      <c r="BO59" s="89" t="str">
        <f t="shared" si="45"/>
        <v>ok</v>
      </c>
      <c r="BP59" s="89" t="str">
        <f t="shared" si="45"/>
        <v>ok</v>
      </c>
      <c r="BQ59" s="89" t="str">
        <f t="shared" si="45"/>
        <v>ok</v>
      </c>
      <c r="BR59" s="89" t="str">
        <f t="shared" si="45"/>
        <v>ok</v>
      </c>
      <c r="BS59" s="89" t="str">
        <f t="shared" si="45"/>
        <v>ok</v>
      </c>
      <c r="BT59" s="89" t="str">
        <f t="shared" si="45"/>
        <v>ok</v>
      </c>
      <c r="BU59" s="89" t="str">
        <f t="shared" si="45"/>
        <v>ok</v>
      </c>
      <c r="BV59" s="89" t="str">
        <f t="shared" si="45"/>
        <v>ok</v>
      </c>
      <c r="BW59" s="89" t="str">
        <f t="shared" si="45"/>
        <v>ok</v>
      </c>
      <c r="BX59" s="89" t="str">
        <f t="shared" si="45"/>
        <v>ok</v>
      </c>
      <c r="BY59" s="89" t="str">
        <f t="shared" si="45"/>
        <v>ok</v>
      </c>
      <c r="BZ59" s="89" t="str">
        <f t="shared" si="45"/>
        <v>ok</v>
      </c>
      <c r="CA59" s="89" t="str">
        <f t="shared" si="45"/>
        <v>ok</v>
      </c>
      <c r="CB59" s="89" t="str">
        <f t="shared" si="45"/>
        <v>ok</v>
      </c>
      <c r="CC59" s="89" t="str">
        <f t="shared" si="45"/>
        <v>ok</v>
      </c>
      <c r="CD59" s="89" t="str">
        <f t="shared" si="45"/>
        <v>ok</v>
      </c>
      <c r="CE59" s="89" t="str">
        <f t="shared" si="45"/>
        <v>ok</v>
      </c>
      <c r="CF59" s="89" t="str">
        <f t="shared" si="45"/>
        <v>ok</v>
      </c>
      <c r="CG59" s="89" t="str">
        <f t="shared" si="45"/>
        <v>ok</v>
      </c>
      <c r="CH59" s="89" t="str">
        <f t="shared" si="45"/>
        <v>ok</v>
      </c>
      <c r="CI59" s="89" t="str">
        <f t="shared" si="45"/>
        <v>ok</v>
      </c>
      <c r="CJ59" s="89" t="str">
        <f t="shared" si="45"/>
        <v>ok</v>
      </c>
      <c r="CK59" s="89" t="str">
        <f t="shared" si="45"/>
        <v>ok</v>
      </c>
      <c r="CL59" s="84"/>
      <c r="CM59" s="89" t="str">
        <f t="shared" ref="CM59:DR59" si="46">IF(CM6+CM7+CM51=CM52,"ok","エラー")</f>
        <v>ok</v>
      </c>
      <c r="CN59" s="89" t="str">
        <f t="shared" si="46"/>
        <v>ok</v>
      </c>
      <c r="CO59" s="89" t="str">
        <f t="shared" si="46"/>
        <v>ok</v>
      </c>
      <c r="CP59" s="89" t="str">
        <f t="shared" si="46"/>
        <v>ok</v>
      </c>
      <c r="CQ59" s="89" t="str">
        <f t="shared" si="46"/>
        <v>ok</v>
      </c>
      <c r="CR59" s="89" t="str">
        <f t="shared" si="46"/>
        <v>ok</v>
      </c>
      <c r="CS59" s="89" t="str">
        <f t="shared" si="46"/>
        <v>ok</v>
      </c>
      <c r="CT59" s="89" t="str">
        <f t="shared" si="46"/>
        <v>ok</v>
      </c>
      <c r="CU59" s="89" t="str">
        <f t="shared" si="46"/>
        <v>ok</v>
      </c>
      <c r="CV59" s="89" t="str">
        <f t="shared" si="46"/>
        <v>ok</v>
      </c>
      <c r="CW59" s="89" t="str">
        <f t="shared" si="46"/>
        <v>ok</v>
      </c>
      <c r="CX59" s="89" t="str">
        <f t="shared" si="46"/>
        <v>ok</v>
      </c>
      <c r="CY59" s="89" t="str">
        <f t="shared" si="46"/>
        <v>ok</v>
      </c>
      <c r="CZ59" s="89" t="str">
        <f t="shared" si="46"/>
        <v>ok</v>
      </c>
      <c r="DA59" s="89" t="str">
        <f t="shared" si="46"/>
        <v>ok</v>
      </c>
      <c r="DB59" s="89" t="str">
        <f t="shared" si="46"/>
        <v>ok</v>
      </c>
      <c r="DC59" s="89" t="str">
        <f t="shared" si="46"/>
        <v>ok</v>
      </c>
      <c r="DD59" s="89" t="str">
        <f t="shared" si="46"/>
        <v>ok</v>
      </c>
      <c r="DE59" s="89" t="str">
        <f t="shared" si="46"/>
        <v>ok</v>
      </c>
      <c r="DF59" s="89" t="str">
        <f t="shared" si="46"/>
        <v>ok</v>
      </c>
      <c r="DG59" s="89" t="str">
        <f t="shared" si="46"/>
        <v>ok</v>
      </c>
      <c r="DH59" s="89" t="str">
        <f t="shared" si="46"/>
        <v>ok</v>
      </c>
      <c r="DI59" s="89" t="str">
        <f t="shared" si="46"/>
        <v>ok</v>
      </c>
      <c r="DJ59" s="89" t="str">
        <f t="shared" si="46"/>
        <v>ok</v>
      </c>
      <c r="DK59" s="89" t="str">
        <f t="shared" si="46"/>
        <v>ok</v>
      </c>
      <c r="DL59" s="89" t="str">
        <f t="shared" si="46"/>
        <v>ok</v>
      </c>
      <c r="DM59" s="89" t="str">
        <f t="shared" si="46"/>
        <v>ok</v>
      </c>
      <c r="DN59" s="89" t="str">
        <f t="shared" si="46"/>
        <v>ok</v>
      </c>
      <c r="DO59" s="89" t="str">
        <f t="shared" si="46"/>
        <v>ok</v>
      </c>
      <c r="DP59" s="89" t="str">
        <f t="shared" si="46"/>
        <v>ok</v>
      </c>
      <c r="DQ59" s="89" t="str">
        <f t="shared" si="46"/>
        <v>ok</v>
      </c>
      <c r="DR59" s="89" t="str">
        <f t="shared" si="46"/>
        <v>ok</v>
      </c>
      <c r="DS59" s="89" t="str">
        <f t="shared" ref="DS59:EX59" si="47">IF(DS6+DS7+DS51=DS52,"ok","エラー")</f>
        <v>ok</v>
      </c>
      <c r="DT59" s="89" t="str">
        <f t="shared" si="47"/>
        <v>ok</v>
      </c>
      <c r="DU59" s="89" t="str">
        <f t="shared" si="47"/>
        <v>ok</v>
      </c>
      <c r="DV59" s="89" t="str">
        <f t="shared" si="47"/>
        <v>ok</v>
      </c>
      <c r="DW59" s="89" t="str">
        <f t="shared" si="47"/>
        <v>ok</v>
      </c>
      <c r="DX59" s="89" t="str">
        <f t="shared" si="47"/>
        <v>ok</v>
      </c>
      <c r="DY59" s="89" t="str">
        <f t="shared" si="47"/>
        <v>ok</v>
      </c>
      <c r="DZ59" s="89" t="str">
        <f t="shared" si="47"/>
        <v>ok</v>
      </c>
      <c r="EA59" s="89" t="str">
        <f t="shared" si="47"/>
        <v>ok</v>
      </c>
      <c r="EB59" s="89" t="str">
        <f t="shared" si="47"/>
        <v>ok</v>
      </c>
      <c r="EC59" s="89" t="str">
        <f t="shared" si="47"/>
        <v>ok</v>
      </c>
      <c r="ED59" s="89" t="str">
        <f t="shared" si="47"/>
        <v>ok</v>
      </c>
      <c r="EE59" s="89" t="str">
        <f t="shared" si="47"/>
        <v>ok</v>
      </c>
      <c r="EF59" s="89" t="str">
        <f t="shared" si="47"/>
        <v>ok</v>
      </c>
      <c r="EG59" s="89" t="str">
        <f t="shared" si="47"/>
        <v>ok</v>
      </c>
      <c r="EH59" s="89" t="str">
        <f t="shared" si="47"/>
        <v>ok</v>
      </c>
      <c r="EI59" s="89" t="str">
        <f t="shared" si="47"/>
        <v>ok</v>
      </c>
      <c r="EJ59" s="89" t="str">
        <f t="shared" si="47"/>
        <v>ok</v>
      </c>
      <c r="EK59" s="89" t="str">
        <f t="shared" si="47"/>
        <v>ok</v>
      </c>
      <c r="EL59" s="89" t="str">
        <f t="shared" si="47"/>
        <v>ok</v>
      </c>
      <c r="EM59" s="89" t="str">
        <f t="shared" si="47"/>
        <v>ok</v>
      </c>
      <c r="EN59" s="89" t="str">
        <f t="shared" si="47"/>
        <v>ok</v>
      </c>
      <c r="EO59" s="89" t="str">
        <f t="shared" si="47"/>
        <v>ok</v>
      </c>
      <c r="EP59" s="89" t="str">
        <f t="shared" si="47"/>
        <v>ok</v>
      </c>
      <c r="EQ59" s="89" t="str">
        <f t="shared" si="47"/>
        <v>ok</v>
      </c>
      <c r="ER59" s="89" t="str">
        <f t="shared" si="47"/>
        <v>ok</v>
      </c>
      <c r="ES59" s="89" t="str">
        <f t="shared" si="47"/>
        <v>ok</v>
      </c>
      <c r="ET59" s="89" t="str">
        <f t="shared" si="47"/>
        <v>ok</v>
      </c>
      <c r="EU59" s="89" t="str">
        <f t="shared" si="47"/>
        <v>ok</v>
      </c>
      <c r="EV59" s="89" t="str">
        <f t="shared" si="47"/>
        <v>ok</v>
      </c>
      <c r="EW59" s="89" t="str">
        <f t="shared" si="47"/>
        <v>ok</v>
      </c>
      <c r="EX59" s="89" t="str">
        <f t="shared" si="47"/>
        <v>ok</v>
      </c>
      <c r="EY59" s="89" t="str">
        <f t="shared" ref="EY59:FJ59" si="48">IF(EY6+EY7+EY51=EY52,"ok","エラー")</f>
        <v>ok</v>
      </c>
      <c r="EZ59" s="89" t="str">
        <f t="shared" si="48"/>
        <v>ok</v>
      </c>
      <c r="FA59" s="89" t="str">
        <f t="shared" si="48"/>
        <v>ok</v>
      </c>
      <c r="FB59" s="89" t="str">
        <f t="shared" si="48"/>
        <v>ok</v>
      </c>
      <c r="FC59" s="89" t="str">
        <f t="shared" si="48"/>
        <v>ok</v>
      </c>
      <c r="FD59" s="89" t="str">
        <f t="shared" si="48"/>
        <v>ok</v>
      </c>
      <c r="FE59" s="89" t="str">
        <f t="shared" si="48"/>
        <v>ok</v>
      </c>
      <c r="FF59" s="89" t="str">
        <f t="shared" si="48"/>
        <v>ok</v>
      </c>
      <c r="FG59" s="89" t="str">
        <f t="shared" si="48"/>
        <v>ok</v>
      </c>
      <c r="FH59" s="89" t="str">
        <f t="shared" si="48"/>
        <v>ok</v>
      </c>
      <c r="FI59" s="89" t="str">
        <f t="shared" si="48"/>
        <v>ok</v>
      </c>
      <c r="FJ59" s="89" t="str">
        <f t="shared" si="48"/>
        <v>ok</v>
      </c>
      <c r="FL59" s="89" t="str">
        <f>IF(FL6+FL7+FL51=FL52,"ok","エラー")</f>
        <v>ok</v>
      </c>
      <c r="FM59" s="89" t="str">
        <f>IF(FM6+FM7+FM51=FM52,"ok","エラー")</f>
        <v>ok</v>
      </c>
      <c r="FN59" s="89" t="str">
        <f>IF(FN6+FN7+FN51=FN52,"ok","エラー")</f>
        <v>ok</v>
      </c>
      <c r="FO59" s="89" t="str">
        <f>IF(FO6+FO7+FO51=FO52,"ok","エラー")</f>
        <v>ok</v>
      </c>
      <c r="FY59" s="89" t="str">
        <f>IF(FY6+FY7+FY51=FY52,"ok","エラー")</f>
        <v>ok</v>
      </c>
      <c r="GA59" s="89" t="str">
        <f>IF(GA6+GA7+GA51=GA52,"ok","エラー")</f>
        <v>ok</v>
      </c>
      <c r="GB59" s="89" t="str">
        <f>IF(GB6+GB7+GB51=GB52,"ok","エラー")</f>
        <v>ok</v>
      </c>
      <c r="GC59" s="89" t="str">
        <f>IF(GC6+GC7+GC51=GC52,"ok","エラー")</f>
        <v>ok</v>
      </c>
      <c r="GD59" s="89" t="str">
        <f>IF(GD6+GD7+GD51=GD52,"ok","エラー")</f>
        <v>ok</v>
      </c>
      <c r="GE59" s="89" t="str">
        <f>IF(GE6+GE7+GE51=GE52,"ok","エラー")</f>
        <v>ok</v>
      </c>
      <c r="GF59" s="89" t="str">
        <f>IF(GF40+GF51=GF52,"ok","エラー")</f>
        <v>ok</v>
      </c>
      <c r="GK59" s="89" t="str">
        <f>IF(GK6+GK7+GK51=GK52,"ok","エラー")</f>
        <v>ok</v>
      </c>
    </row>
    <row r="66" spans="145:146" x14ac:dyDescent="0.15">
      <c r="EO66" s="421"/>
      <c r="EP66" s="422"/>
    </row>
    <row r="67" spans="145:146" x14ac:dyDescent="0.15">
      <c r="EO67" s="421"/>
      <c r="EP67" s="422"/>
    </row>
    <row r="68" spans="145:146" x14ac:dyDescent="0.15">
      <c r="EO68" s="421"/>
      <c r="EP68" s="422"/>
    </row>
    <row r="69" spans="145:146" x14ac:dyDescent="0.15">
      <c r="EO69" s="421"/>
      <c r="EP69" s="422"/>
    </row>
    <row r="70" spans="145:146" x14ac:dyDescent="0.15">
      <c r="EO70" s="421"/>
      <c r="EP70" s="422"/>
    </row>
    <row r="71" spans="145:146" x14ac:dyDescent="0.15">
      <c r="EO71" s="421"/>
      <c r="EP71" s="422"/>
    </row>
    <row r="72" spans="145:146" x14ac:dyDescent="0.15">
      <c r="EO72" s="421"/>
      <c r="EP72" s="422"/>
    </row>
    <row r="73" spans="145:146" x14ac:dyDescent="0.15">
      <c r="EO73" s="421"/>
      <c r="EP73" s="422"/>
    </row>
    <row r="74" spans="145:146" x14ac:dyDescent="0.15">
      <c r="EO74" s="421"/>
      <c r="EP74" s="422"/>
    </row>
    <row r="75" spans="145:146" x14ac:dyDescent="0.15">
      <c r="EO75" s="421"/>
      <c r="EP75" s="422"/>
    </row>
    <row r="76" spans="145:146" x14ac:dyDescent="0.15">
      <c r="EO76" s="421"/>
      <c r="EP76" s="422"/>
    </row>
    <row r="77" spans="145:146" x14ac:dyDescent="0.15">
      <c r="EO77" s="421"/>
      <c r="EP77" s="422"/>
    </row>
    <row r="78" spans="145:146" x14ac:dyDescent="0.15">
      <c r="EO78" s="421"/>
      <c r="EP78" s="422"/>
    </row>
    <row r="79" spans="145:146" x14ac:dyDescent="0.15">
      <c r="EO79" s="421"/>
      <c r="EP79" s="422"/>
    </row>
    <row r="80" spans="145:146" x14ac:dyDescent="0.15">
      <c r="EO80" s="421"/>
      <c r="EP80" s="422"/>
    </row>
    <row r="81" spans="145:146" x14ac:dyDescent="0.15">
      <c r="EO81" s="421"/>
      <c r="EP81" s="422"/>
    </row>
    <row r="82" spans="145:146" x14ac:dyDescent="0.15">
      <c r="EO82" s="421"/>
      <c r="EP82" s="422"/>
    </row>
    <row r="83" spans="145:146" x14ac:dyDescent="0.15">
      <c r="EO83" s="421"/>
      <c r="EP83" s="422"/>
    </row>
    <row r="84" spans="145:146" x14ac:dyDescent="0.15">
      <c r="EO84" s="421"/>
      <c r="EP84" s="422"/>
    </row>
    <row r="85" spans="145:146" x14ac:dyDescent="0.15">
      <c r="EO85" s="421"/>
      <c r="EP85" s="422"/>
    </row>
    <row r="86" spans="145:146" x14ac:dyDescent="0.15">
      <c r="EO86" s="421"/>
      <c r="EP86" s="422"/>
    </row>
    <row r="87" spans="145:146" x14ac:dyDescent="0.15">
      <c r="EO87" s="421"/>
      <c r="EP87" s="422"/>
    </row>
    <row r="88" spans="145:146" x14ac:dyDescent="0.15">
      <c r="EO88" s="421"/>
      <c r="EP88" s="422"/>
    </row>
    <row r="89" spans="145:146" x14ac:dyDescent="0.15">
      <c r="EO89" s="421"/>
      <c r="EP89" s="422"/>
    </row>
    <row r="90" spans="145:146" x14ac:dyDescent="0.15">
      <c r="EO90" s="421"/>
      <c r="EP90" s="422"/>
    </row>
    <row r="91" spans="145:146" x14ac:dyDescent="0.15">
      <c r="EO91" s="421"/>
      <c r="EP91" s="422"/>
    </row>
    <row r="92" spans="145:146" x14ac:dyDescent="0.15">
      <c r="EO92" s="421"/>
      <c r="EP92" s="422"/>
    </row>
    <row r="93" spans="145:146" x14ac:dyDescent="0.15">
      <c r="EO93" s="421"/>
      <c r="EP93" s="422"/>
    </row>
    <row r="94" spans="145:146" x14ac:dyDescent="0.15">
      <c r="EO94" s="421"/>
      <c r="EP94" s="422"/>
    </row>
    <row r="95" spans="145:146" x14ac:dyDescent="0.15">
      <c r="EO95" s="421"/>
      <c r="EP95" s="422"/>
    </row>
    <row r="96" spans="145:146" x14ac:dyDescent="0.15">
      <c r="EO96" s="421"/>
      <c r="EP96" s="422"/>
    </row>
    <row r="97" spans="145:146" x14ac:dyDescent="0.15">
      <c r="EO97" s="421"/>
      <c r="EP97" s="422"/>
    </row>
    <row r="98" spans="145:146" x14ac:dyDescent="0.15">
      <c r="EO98" s="421"/>
      <c r="EP98" s="422"/>
    </row>
    <row r="99" spans="145:146" x14ac:dyDescent="0.15">
      <c r="EO99" s="421"/>
      <c r="EP99" s="422"/>
    </row>
    <row r="100" spans="145:146" x14ac:dyDescent="0.15">
      <c r="EO100" s="421"/>
      <c r="EP100" s="422"/>
    </row>
    <row r="101" spans="145:146" x14ac:dyDescent="0.15">
      <c r="EO101" s="421"/>
      <c r="EP101" s="422"/>
    </row>
    <row r="102" spans="145:146" x14ac:dyDescent="0.15">
      <c r="EO102" s="421"/>
      <c r="EP102" s="422"/>
    </row>
    <row r="103" spans="145:146" x14ac:dyDescent="0.15">
      <c r="EO103" s="421"/>
      <c r="EP103" s="422"/>
    </row>
    <row r="104" spans="145:146" x14ac:dyDescent="0.15">
      <c r="EO104" s="421"/>
      <c r="EP104" s="422"/>
    </row>
    <row r="105" spans="145:146" x14ac:dyDescent="0.15">
      <c r="EO105" s="421"/>
      <c r="EP105" s="422"/>
    </row>
    <row r="106" spans="145:146" x14ac:dyDescent="0.15">
      <c r="EO106" s="421"/>
      <c r="EP106" s="422"/>
    </row>
  </sheetData>
  <mergeCells count="3">
    <mergeCell ref="GH2:GJ2"/>
    <mergeCell ref="FQ2:FW2"/>
    <mergeCell ref="GL2:GV2"/>
  </mergeCells>
  <phoneticPr fontId="3"/>
  <pageMargins left="0.59055118110236227" right="0.59055118110236227" top="0.98425196850393704" bottom="0.98425196850393704" header="0.51181102362204722" footer="0.51181102362204722"/>
  <pageSetup paperSize="9" fitToWidth="0" orientation="portrait" r:id="rId1"/>
  <colBreaks count="1" manualBreakCount="1">
    <brk id="189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6">
    <tabColor indexed="15"/>
    <pageSetUpPr fitToPage="1"/>
  </sheetPr>
  <dimension ref="A1:HX106"/>
  <sheetViews>
    <sheetView view="pageBreakPreview" zoomScaleNormal="90" zoomScaleSheetLayoutView="100" workbookViewId="0">
      <pane xSplit="2" ySplit="5" topLeftCell="GF6" activePane="bottomRight" state="frozen"/>
      <selection activeCell="A5" sqref="A5"/>
      <selection pane="topRight" activeCell="A5" sqref="A5"/>
      <selection pane="bottomLeft" activeCell="A5" sqref="A5"/>
      <selection pane="bottomRight" activeCell="A5" sqref="A5"/>
    </sheetView>
  </sheetViews>
  <sheetFormatPr defaultRowHeight="12" x14ac:dyDescent="0.15"/>
  <cols>
    <col min="1" max="1" width="3.6640625" style="174" customWidth="1"/>
    <col min="2" max="2" width="10.6640625" style="174" customWidth="1"/>
    <col min="3" max="75" width="13.6640625" style="174" customWidth="1"/>
    <col min="76" max="76" width="5.6640625" style="174" customWidth="1"/>
    <col min="77" max="136" width="13.6640625" style="174" customWidth="1"/>
    <col min="137" max="137" width="13.109375" style="174" customWidth="1"/>
    <col min="138" max="142" width="13.6640625" style="174" customWidth="1"/>
    <col min="143" max="143" width="3.6640625" style="174" customWidth="1"/>
    <col min="144" max="166" width="13.6640625" style="174" customWidth="1"/>
    <col min="167" max="167" width="12.33203125" style="174" bestFit="1" customWidth="1"/>
    <col min="168" max="171" width="13.6640625" style="174" customWidth="1"/>
    <col min="172" max="172" width="10.6640625" style="174" customWidth="1"/>
    <col min="173" max="179" width="8.6640625" style="174" customWidth="1"/>
    <col min="180" max="180" width="10.6640625" style="174" customWidth="1"/>
    <col min="181" max="181" width="13.6640625" style="174" customWidth="1"/>
    <col min="182" max="182" width="10.6640625" style="174" customWidth="1"/>
    <col min="183" max="188" width="13.6640625" style="174" customWidth="1"/>
    <col min="189" max="189" width="10.6640625" style="174" customWidth="1"/>
    <col min="190" max="192" width="9.6640625" style="174" customWidth="1"/>
    <col min="193" max="193" width="10.6640625" style="62" customWidth="1"/>
    <col min="194" max="194" width="8.5546875" style="174" bestFit="1" customWidth="1"/>
    <col min="195" max="195" width="10.33203125" style="174" bestFit="1" customWidth="1"/>
    <col min="196" max="196" width="8.5546875" style="174" bestFit="1" customWidth="1"/>
    <col min="197" max="197" width="9.6640625" style="174" bestFit="1" customWidth="1"/>
    <col min="198" max="198" width="10.33203125" style="174" bestFit="1" customWidth="1"/>
    <col min="199" max="199" width="8.5546875" style="174" bestFit="1" customWidth="1"/>
    <col min="200" max="200" width="11.88671875" style="174" bestFit="1" customWidth="1"/>
    <col min="201" max="201" width="10.33203125" style="174" bestFit="1" customWidth="1"/>
    <col min="202" max="202" width="8.5546875" style="174" bestFit="1" customWidth="1"/>
    <col min="203" max="203" width="9.6640625" style="174" bestFit="1" customWidth="1"/>
    <col min="204" max="204" width="10.33203125" style="174" bestFit="1" customWidth="1"/>
    <col min="205" max="232" width="13.6640625" style="174" customWidth="1"/>
  </cols>
  <sheetData>
    <row r="1" spans="2:232" x14ac:dyDescent="0.15">
      <c r="B1" s="98">
        <v>1</v>
      </c>
      <c r="C1" s="98">
        <v>2</v>
      </c>
      <c r="D1" s="98">
        <v>3</v>
      </c>
      <c r="E1" s="98">
        <v>4</v>
      </c>
      <c r="F1" s="98">
        <v>5</v>
      </c>
      <c r="G1" s="98">
        <v>6</v>
      </c>
      <c r="H1" s="98">
        <v>7</v>
      </c>
      <c r="I1" s="98">
        <v>8</v>
      </c>
      <c r="J1" s="98">
        <v>9</v>
      </c>
      <c r="K1" s="98">
        <v>10</v>
      </c>
      <c r="L1" s="98">
        <v>11</v>
      </c>
      <c r="M1" s="98">
        <v>12</v>
      </c>
      <c r="N1" s="98">
        <v>13</v>
      </c>
      <c r="O1" s="98">
        <v>14</v>
      </c>
      <c r="P1" s="98">
        <v>15</v>
      </c>
      <c r="Q1" s="98">
        <v>16</v>
      </c>
      <c r="R1" s="98">
        <v>17</v>
      </c>
      <c r="S1" s="98">
        <v>18</v>
      </c>
      <c r="T1" s="98">
        <v>19</v>
      </c>
      <c r="U1" s="98">
        <v>20</v>
      </c>
      <c r="V1" s="98">
        <v>21</v>
      </c>
      <c r="W1" s="98">
        <v>22</v>
      </c>
      <c r="X1" s="98">
        <v>23</v>
      </c>
      <c r="Y1" s="98">
        <v>24</v>
      </c>
      <c r="Z1" s="98">
        <v>25</v>
      </c>
      <c r="AA1" s="98">
        <v>26</v>
      </c>
      <c r="AB1" s="98">
        <v>27</v>
      </c>
      <c r="AC1" s="98">
        <v>28</v>
      </c>
      <c r="AD1" s="98">
        <v>29</v>
      </c>
      <c r="AE1" s="98">
        <v>30</v>
      </c>
      <c r="AF1" s="98">
        <v>31</v>
      </c>
      <c r="AG1" s="98">
        <v>32</v>
      </c>
      <c r="AH1" s="98">
        <v>33</v>
      </c>
      <c r="AI1" s="98">
        <v>34</v>
      </c>
      <c r="AJ1" s="98">
        <v>35</v>
      </c>
      <c r="AK1" s="98">
        <v>36</v>
      </c>
      <c r="AL1" s="98">
        <v>37</v>
      </c>
      <c r="AM1" s="98">
        <v>38</v>
      </c>
      <c r="AN1" s="98">
        <v>39</v>
      </c>
      <c r="AO1" s="98">
        <v>40</v>
      </c>
      <c r="AP1" s="98">
        <v>41</v>
      </c>
      <c r="AQ1" s="98">
        <v>42</v>
      </c>
      <c r="AR1" s="98">
        <v>43</v>
      </c>
      <c r="AS1" s="98">
        <v>44</v>
      </c>
      <c r="AT1" s="98">
        <v>45</v>
      </c>
      <c r="AU1" s="98">
        <v>46</v>
      </c>
      <c r="AV1" s="98">
        <v>47</v>
      </c>
      <c r="AW1" s="98">
        <v>48</v>
      </c>
      <c r="AX1" s="98">
        <v>49</v>
      </c>
      <c r="AY1" s="98">
        <v>50</v>
      </c>
      <c r="AZ1" s="98">
        <v>51</v>
      </c>
      <c r="BA1" s="98">
        <v>52</v>
      </c>
      <c r="BB1" s="98">
        <v>53</v>
      </c>
      <c r="BC1" s="98">
        <v>54</v>
      </c>
      <c r="BD1" s="98">
        <v>55</v>
      </c>
      <c r="BE1" s="98">
        <v>56</v>
      </c>
      <c r="BF1" s="98">
        <v>57</v>
      </c>
      <c r="BG1" s="98">
        <v>58</v>
      </c>
      <c r="BH1" s="98">
        <v>59</v>
      </c>
      <c r="BI1" s="98">
        <v>60</v>
      </c>
      <c r="BJ1" s="98">
        <v>61</v>
      </c>
      <c r="BK1" s="98">
        <v>62</v>
      </c>
      <c r="BL1" s="98">
        <v>63</v>
      </c>
      <c r="BM1" s="98">
        <v>64</v>
      </c>
      <c r="BN1" s="98">
        <v>65</v>
      </c>
      <c r="BO1" s="98">
        <v>66</v>
      </c>
      <c r="BP1" s="98">
        <v>67</v>
      </c>
      <c r="BQ1" s="98">
        <v>68</v>
      </c>
      <c r="BR1" s="98">
        <v>69</v>
      </c>
      <c r="BS1" s="98">
        <v>70</v>
      </c>
      <c r="BT1" s="98">
        <v>71</v>
      </c>
      <c r="BU1" s="98">
        <v>72</v>
      </c>
      <c r="BV1" s="98">
        <v>73</v>
      </c>
      <c r="BW1" s="98">
        <v>74</v>
      </c>
      <c r="BX1" s="98">
        <v>75</v>
      </c>
      <c r="BY1" s="98">
        <v>76</v>
      </c>
      <c r="BZ1" s="98">
        <v>77</v>
      </c>
      <c r="CA1" s="98">
        <v>78</v>
      </c>
      <c r="CB1" s="98">
        <v>79</v>
      </c>
      <c r="CC1" s="98">
        <v>80</v>
      </c>
      <c r="CD1" s="98">
        <v>81</v>
      </c>
      <c r="CE1" s="98">
        <v>82</v>
      </c>
      <c r="CF1" s="98">
        <v>83</v>
      </c>
      <c r="CG1" s="98">
        <v>84</v>
      </c>
      <c r="CH1" s="98">
        <v>85</v>
      </c>
      <c r="CI1" s="98">
        <v>86</v>
      </c>
      <c r="CJ1" s="98">
        <v>87</v>
      </c>
      <c r="CK1" s="98">
        <v>88</v>
      </c>
      <c r="CL1" s="98">
        <v>89</v>
      </c>
      <c r="CM1" s="98">
        <v>90</v>
      </c>
      <c r="CN1" s="98">
        <v>91</v>
      </c>
      <c r="CO1" s="98">
        <v>92</v>
      </c>
      <c r="CP1" s="98">
        <v>93</v>
      </c>
      <c r="CQ1" s="98">
        <v>94</v>
      </c>
      <c r="CR1" s="98">
        <v>95</v>
      </c>
      <c r="CS1" s="98">
        <v>96</v>
      </c>
      <c r="CT1" s="98">
        <v>97</v>
      </c>
      <c r="CU1" s="98">
        <v>98</v>
      </c>
      <c r="CV1" s="98">
        <v>99</v>
      </c>
      <c r="CW1" s="98">
        <v>100</v>
      </c>
      <c r="CX1" s="98">
        <v>101</v>
      </c>
      <c r="CY1" s="98">
        <v>102</v>
      </c>
      <c r="CZ1" s="98">
        <v>103</v>
      </c>
      <c r="DA1" s="98">
        <v>104</v>
      </c>
      <c r="DB1" s="98">
        <v>105</v>
      </c>
      <c r="DC1" s="98">
        <v>106</v>
      </c>
      <c r="DD1" s="98">
        <v>107</v>
      </c>
      <c r="DE1" s="98">
        <v>108</v>
      </c>
      <c r="DF1" s="98">
        <v>109</v>
      </c>
      <c r="DG1" s="98">
        <v>110</v>
      </c>
      <c r="DH1" s="98">
        <v>111</v>
      </c>
      <c r="DI1" s="98">
        <v>112</v>
      </c>
      <c r="DJ1" s="98">
        <v>113</v>
      </c>
      <c r="DK1" s="98">
        <v>114</v>
      </c>
      <c r="DL1" s="98">
        <v>115</v>
      </c>
      <c r="DM1" s="98">
        <v>116</v>
      </c>
      <c r="DN1" s="98">
        <v>117</v>
      </c>
      <c r="DO1" s="98">
        <v>118</v>
      </c>
      <c r="DP1" s="98">
        <v>119</v>
      </c>
      <c r="DQ1" s="98">
        <v>120</v>
      </c>
      <c r="DR1" s="98">
        <v>121</v>
      </c>
      <c r="DS1" s="98">
        <v>122</v>
      </c>
      <c r="DT1" s="98">
        <v>123</v>
      </c>
      <c r="DU1" s="98">
        <v>124</v>
      </c>
      <c r="DV1" s="98">
        <v>125</v>
      </c>
      <c r="DW1" s="98">
        <v>126</v>
      </c>
      <c r="DX1" s="98">
        <v>127</v>
      </c>
      <c r="DY1" s="98">
        <v>128</v>
      </c>
      <c r="DZ1" s="98">
        <v>129</v>
      </c>
      <c r="EA1" s="98">
        <v>130</v>
      </c>
      <c r="EB1" s="98">
        <v>131</v>
      </c>
      <c r="EC1" s="98">
        <v>132</v>
      </c>
      <c r="ED1" s="98">
        <v>133</v>
      </c>
      <c r="EE1" s="98">
        <v>134</v>
      </c>
      <c r="EF1" s="98">
        <v>135</v>
      </c>
      <c r="EG1" s="98">
        <v>136</v>
      </c>
      <c r="EH1" s="98">
        <v>137</v>
      </c>
      <c r="EI1" s="98">
        <v>138</v>
      </c>
      <c r="EJ1" s="98">
        <v>139</v>
      </c>
      <c r="EK1" s="98">
        <v>140</v>
      </c>
      <c r="EL1" s="98">
        <v>141</v>
      </c>
      <c r="EM1" s="98">
        <v>142</v>
      </c>
      <c r="EN1" s="98">
        <v>143</v>
      </c>
      <c r="EO1" s="98">
        <v>144</v>
      </c>
      <c r="EP1" s="98">
        <v>145</v>
      </c>
      <c r="EQ1" s="98">
        <v>146</v>
      </c>
      <c r="ER1" s="98">
        <v>147</v>
      </c>
      <c r="ES1" s="98">
        <v>148</v>
      </c>
      <c r="ET1" s="98">
        <v>149</v>
      </c>
      <c r="EU1" s="98">
        <v>150</v>
      </c>
      <c r="EV1" s="98">
        <v>151</v>
      </c>
      <c r="EW1" s="98">
        <v>152</v>
      </c>
      <c r="EX1" s="98">
        <v>153</v>
      </c>
      <c r="EY1" s="98">
        <v>154</v>
      </c>
      <c r="EZ1" s="98">
        <v>155</v>
      </c>
      <c r="FA1" s="98">
        <v>156</v>
      </c>
      <c r="FB1" s="98">
        <v>157</v>
      </c>
      <c r="FC1" s="98">
        <v>158</v>
      </c>
      <c r="FD1" s="98">
        <v>159</v>
      </c>
      <c r="FE1" s="98">
        <v>160</v>
      </c>
      <c r="FF1" s="98">
        <v>161</v>
      </c>
      <c r="FG1" s="98">
        <v>162</v>
      </c>
      <c r="FH1" s="98">
        <v>163</v>
      </c>
      <c r="FI1" s="98">
        <v>164</v>
      </c>
      <c r="FJ1" s="98">
        <v>165</v>
      </c>
      <c r="FK1" s="98">
        <v>166</v>
      </c>
      <c r="FL1" s="98">
        <v>167</v>
      </c>
      <c r="FM1" s="98">
        <v>168</v>
      </c>
      <c r="FN1" s="98">
        <v>169</v>
      </c>
      <c r="FO1" s="98">
        <v>170</v>
      </c>
      <c r="FP1" s="98">
        <v>171</v>
      </c>
      <c r="FQ1" s="98">
        <v>172</v>
      </c>
      <c r="FR1" s="98">
        <v>173</v>
      </c>
      <c r="FS1" s="98">
        <v>174</v>
      </c>
      <c r="FT1" s="98">
        <v>175</v>
      </c>
      <c r="FU1" s="98">
        <v>176</v>
      </c>
      <c r="FV1" s="98">
        <v>177</v>
      </c>
      <c r="FW1" s="98">
        <v>178</v>
      </c>
      <c r="FX1" s="98">
        <v>179</v>
      </c>
      <c r="FY1" s="98">
        <v>180</v>
      </c>
      <c r="FZ1" s="98">
        <v>181</v>
      </c>
      <c r="GA1" s="98">
        <v>182</v>
      </c>
      <c r="GB1" s="98">
        <v>183</v>
      </c>
      <c r="GC1" s="98">
        <v>184</v>
      </c>
      <c r="GD1" s="98">
        <v>185</v>
      </c>
      <c r="GE1" s="98">
        <v>186</v>
      </c>
      <c r="GF1" s="98">
        <v>187</v>
      </c>
      <c r="GG1" s="98">
        <v>188</v>
      </c>
      <c r="GH1" s="98">
        <v>189</v>
      </c>
      <c r="GI1" s="98">
        <v>190</v>
      </c>
      <c r="GJ1" s="98">
        <v>191</v>
      </c>
      <c r="GK1" s="98">
        <v>192</v>
      </c>
      <c r="GL1" s="98">
        <v>193</v>
      </c>
      <c r="GM1" s="98">
        <v>194</v>
      </c>
      <c r="GN1" s="98">
        <v>195</v>
      </c>
      <c r="GO1" s="98">
        <v>196</v>
      </c>
      <c r="GP1" s="98">
        <v>197</v>
      </c>
      <c r="GQ1" s="98">
        <v>198</v>
      </c>
      <c r="GR1" s="98">
        <v>199</v>
      </c>
      <c r="GS1" s="98">
        <v>200</v>
      </c>
      <c r="GT1" s="98">
        <v>201</v>
      </c>
      <c r="GU1" s="98">
        <v>202</v>
      </c>
      <c r="GV1" s="98">
        <v>203</v>
      </c>
    </row>
    <row r="2" spans="2:232" x14ac:dyDescent="0.15">
      <c r="C2" s="131" t="s">
        <v>338</v>
      </c>
      <c r="D2" s="94"/>
      <c r="E2" s="131" t="s">
        <v>339</v>
      </c>
      <c r="F2" s="131" t="s">
        <v>340</v>
      </c>
      <c r="G2" s="94"/>
      <c r="H2" s="131" t="s">
        <v>341</v>
      </c>
      <c r="I2" s="131" t="s">
        <v>342</v>
      </c>
      <c r="J2" s="131" t="s">
        <v>343</v>
      </c>
      <c r="K2" s="131" t="s">
        <v>344</v>
      </c>
      <c r="L2" s="131" t="s">
        <v>345</v>
      </c>
      <c r="M2" s="131" t="s">
        <v>346</v>
      </c>
      <c r="N2" s="131" t="s">
        <v>347</v>
      </c>
      <c r="O2" s="131" t="s">
        <v>348</v>
      </c>
      <c r="P2" s="131" t="s">
        <v>349</v>
      </c>
      <c r="Q2" s="131" t="s">
        <v>350</v>
      </c>
      <c r="R2" s="131" t="s">
        <v>351</v>
      </c>
      <c r="S2" s="93" t="s">
        <v>352</v>
      </c>
      <c r="T2" s="95"/>
      <c r="U2" s="131" t="s">
        <v>354</v>
      </c>
      <c r="V2" s="131" t="s">
        <v>355</v>
      </c>
      <c r="W2" s="131" t="s">
        <v>664</v>
      </c>
      <c r="X2" s="131" t="s">
        <v>357</v>
      </c>
      <c r="Y2" s="131" t="s">
        <v>653</v>
      </c>
      <c r="Z2" s="131" t="s">
        <v>358</v>
      </c>
      <c r="AA2" s="131" t="s">
        <v>359</v>
      </c>
      <c r="AB2" s="131" t="s">
        <v>361</v>
      </c>
      <c r="AC2" s="131" t="s">
        <v>654</v>
      </c>
      <c r="AD2" s="131" t="s">
        <v>665</v>
      </c>
      <c r="AE2" s="131" t="s">
        <v>364</v>
      </c>
      <c r="AF2" s="131" t="s">
        <v>666</v>
      </c>
      <c r="AG2" s="131" t="s">
        <v>365</v>
      </c>
      <c r="AH2" s="131" t="s">
        <v>684</v>
      </c>
      <c r="AI2" s="131" t="s">
        <v>667</v>
      </c>
      <c r="AJ2" s="89"/>
      <c r="AK2" s="131" t="s">
        <v>685</v>
      </c>
      <c r="AL2" s="131" t="s">
        <v>686</v>
      </c>
      <c r="AM2" s="131" t="s">
        <v>370</v>
      </c>
      <c r="AN2" s="29"/>
      <c r="AO2" s="131" t="s">
        <v>372</v>
      </c>
      <c r="AP2" s="131" t="s">
        <v>670</v>
      </c>
      <c r="AQ2" s="96" t="s">
        <v>352</v>
      </c>
      <c r="AR2" s="131" t="s">
        <v>671</v>
      </c>
      <c r="AS2" s="131" t="s">
        <v>687</v>
      </c>
      <c r="AT2" s="131" t="s">
        <v>672</v>
      </c>
      <c r="AU2" s="131" t="s">
        <v>375</v>
      </c>
      <c r="AV2" s="131" t="s">
        <v>376</v>
      </c>
      <c r="AW2" s="131" t="s">
        <v>377</v>
      </c>
      <c r="AX2" s="131" t="s">
        <v>378</v>
      </c>
      <c r="AY2" s="131" t="s">
        <v>688</v>
      </c>
      <c r="AZ2" s="131" t="s">
        <v>381</v>
      </c>
      <c r="BA2" s="131" t="s">
        <v>689</v>
      </c>
      <c r="BB2" s="131" t="s">
        <v>690</v>
      </c>
      <c r="BC2" s="131" t="s">
        <v>691</v>
      </c>
      <c r="BD2" s="131" t="s">
        <v>692</v>
      </c>
      <c r="BE2" s="131" t="s">
        <v>390</v>
      </c>
      <c r="BF2" s="131" t="s">
        <v>386</v>
      </c>
      <c r="BG2" s="131" t="s">
        <v>387</v>
      </c>
      <c r="BH2" s="131" t="s">
        <v>388</v>
      </c>
      <c r="BI2" s="131" t="s">
        <v>389</v>
      </c>
      <c r="BJ2" s="131" t="s">
        <v>391</v>
      </c>
      <c r="BK2" s="131" t="s">
        <v>693</v>
      </c>
      <c r="BL2" s="131" t="s">
        <v>694</v>
      </c>
      <c r="BM2" s="131" t="s">
        <v>394</v>
      </c>
      <c r="BN2" s="131" t="s">
        <v>695</v>
      </c>
      <c r="BO2" s="131" t="s">
        <v>696</v>
      </c>
      <c r="BP2" s="131" t="s">
        <v>697</v>
      </c>
      <c r="BQ2" s="132"/>
      <c r="BR2" s="132"/>
      <c r="BS2" s="131" t="s">
        <v>679</v>
      </c>
      <c r="BT2" s="131" t="s">
        <v>399</v>
      </c>
      <c r="BU2" s="131" t="s">
        <v>655</v>
      </c>
      <c r="BV2" s="131" t="s">
        <v>680</v>
      </c>
      <c r="BW2" s="131" t="s">
        <v>698</v>
      </c>
      <c r="BX2" s="89"/>
      <c r="BY2" s="131" t="s">
        <v>402</v>
      </c>
      <c r="BZ2" s="131" t="s">
        <v>403</v>
      </c>
      <c r="CA2" s="131" t="s">
        <v>659</v>
      </c>
      <c r="CB2" s="131" t="s">
        <v>405</v>
      </c>
      <c r="CC2" s="131" t="s">
        <v>406</v>
      </c>
      <c r="CD2" s="131" t="s">
        <v>407</v>
      </c>
      <c r="CE2" s="131" t="s">
        <v>408</v>
      </c>
      <c r="CF2" s="131" t="s">
        <v>409</v>
      </c>
      <c r="CG2" s="131" t="s">
        <v>410</v>
      </c>
      <c r="CH2" s="131" t="s">
        <v>411</v>
      </c>
      <c r="CI2" s="131" t="s">
        <v>412</v>
      </c>
      <c r="CJ2" s="131" t="s">
        <v>413</v>
      </c>
      <c r="CK2" s="131" t="s">
        <v>414</v>
      </c>
      <c r="CL2" s="81"/>
      <c r="CM2" s="131" t="s">
        <v>415</v>
      </c>
      <c r="CN2" s="131" t="s">
        <v>416</v>
      </c>
      <c r="CO2" s="96" t="s">
        <v>417</v>
      </c>
      <c r="CP2" s="131" t="s">
        <v>418</v>
      </c>
      <c r="CQ2" s="131" t="s">
        <v>419</v>
      </c>
      <c r="CR2" s="131" t="s">
        <v>420</v>
      </c>
      <c r="CS2" s="131" t="s">
        <v>421</v>
      </c>
      <c r="CT2" s="131" t="s">
        <v>422</v>
      </c>
      <c r="CU2" s="131" t="s">
        <v>423</v>
      </c>
      <c r="CV2" s="28"/>
      <c r="CW2" s="131" t="s">
        <v>424</v>
      </c>
      <c r="CX2" s="131" t="s">
        <v>425</v>
      </c>
      <c r="CY2" s="89"/>
      <c r="CZ2" s="131" t="s">
        <v>426</v>
      </c>
      <c r="DA2" s="131" t="s">
        <v>427</v>
      </c>
      <c r="DB2" s="89"/>
      <c r="DC2" s="131" t="s">
        <v>428</v>
      </c>
      <c r="DD2" s="131" t="s">
        <v>429</v>
      </c>
      <c r="DE2" s="131" t="s">
        <v>430</v>
      </c>
      <c r="DF2" s="131" t="s">
        <v>431</v>
      </c>
      <c r="DG2" s="131" t="s">
        <v>432</v>
      </c>
      <c r="DH2" s="131" t="s">
        <v>433</v>
      </c>
      <c r="DI2" s="131" t="s">
        <v>434</v>
      </c>
      <c r="DJ2" s="131" t="s">
        <v>435</v>
      </c>
      <c r="DK2" s="131" t="s">
        <v>436</v>
      </c>
      <c r="DL2" s="131" t="s">
        <v>437</v>
      </c>
      <c r="DM2" s="131" t="s">
        <v>438</v>
      </c>
      <c r="DN2" s="131" t="s">
        <v>439</v>
      </c>
      <c r="DO2" s="131" t="s">
        <v>440</v>
      </c>
      <c r="DP2" s="131" t="s">
        <v>441</v>
      </c>
      <c r="DQ2" s="131" t="s">
        <v>442</v>
      </c>
      <c r="DR2" s="131" t="s">
        <v>443</v>
      </c>
      <c r="DS2" s="131" t="s">
        <v>444</v>
      </c>
      <c r="DT2" s="131" t="s">
        <v>445</v>
      </c>
      <c r="DU2" s="131" t="s">
        <v>446</v>
      </c>
      <c r="DV2" s="131" t="s">
        <v>447</v>
      </c>
      <c r="DW2" s="131" t="s">
        <v>448</v>
      </c>
      <c r="DX2" s="89"/>
      <c r="DY2" s="131" t="s">
        <v>449</v>
      </c>
      <c r="DZ2" s="133" t="s">
        <v>450</v>
      </c>
      <c r="EA2" s="131" t="s">
        <v>451</v>
      </c>
      <c r="EB2" s="131" t="s">
        <v>452</v>
      </c>
      <c r="EC2" s="96" t="s">
        <v>453</v>
      </c>
      <c r="ED2" s="131" t="s">
        <v>454</v>
      </c>
      <c r="EE2" s="131" t="s">
        <v>455</v>
      </c>
      <c r="EF2" s="131" t="s">
        <v>456</v>
      </c>
      <c r="EG2" s="89"/>
      <c r="EH2" s="131" t="s">
        <v>457</v>
      </c>
      <c r="EI2" s="131" t="s">
        <v>458</v>
      </c>
      <c r="EJ2" s="131" t="s">
        <v>459</v>
      </c>
      <c r="EK2" s="131" t="s">
        <v>460</v>
      </c>
      <c r="EL2" s="131" t="s">
        <v>461</v>
      </c>
      <c r="EM2" s="89"/>
      <c r="EN2" s="89"/>
      <c r="EO2" s="97" t="s">
        <v>699</v>
      </c>
      <c r="EP2" s="131" t="s">
        <v>464</v>
      </c>
      <c r="EQ2" s="131" t="s">
        <v>465</v>
      </c>
      <c r="ER2" s="89"/>
      <c r="ES2" s="131" t="s">
        <v>466</v>
      </c>
      <c r="ET2" s="131" t="s">
        <v>467</v>
      </c>
      <c r="EU2" s="131" t="s">
        <v>468</v>
      </c>
      <c r="EV2" s="131" t="s">
        <v>469</v>
      </c>
      <c r="EW2" s="131" t="s">
        <v>470</v>
      </c>
      <c r="EX2" s="131" t="s">
        <v>471</v>
      </c>
      <c r="EY2" s="28"/>
      <c r="EZ2" s="131" t="s">
        <v>472</v>
      </c>
      <c r="FA2" s="131" t="s">
        <v>473</v>
      </c>
      <c r="FB2" s="131" t="s">
        <v>474</v>
      </c>
      <c r="FC2" s="131" t="s">
        <v>475</v>
      </c>
      <c r="FD2" s="131" t="s">
        <v>476</v>
      </c>
      <c r="FE2" s="131" t="s">
        <v>477</v>
      </c>
      <c r="FF2" s="131" t="s">
        <v>478</v>
      </c>
      <c r="FG2" s="131" t="s">
        <v>479</v>
      </c>
      <c r="FH2" s="131" t="s">
        <v>480</v>
      </c>
      <c r="FI2" s="89"/>
      <c r="FJ2" s="131" t="s">
        <v>481</v>
      </c>
      <c r="FK2" s="89"/>
      <c r="FL2" s="134" t="s">
        <v>482</v>
      </c>
      <c r="FM2" s="135" t="s">
        <v>483</v>
      </c>
      <c r="FN2" s="135" t="s">
        <v>484</v>
      </c>
      <c r="FO2" s="135" t="s">
        <v>485</v>
      </c>
      <c r="FP2" s="80" t="s">
        <v>700</v>
      </c>
      <c r="FQ2" s="564" t="s">
        <v>701</v>
      </c>
      <c r="FR2" s="561"/>
      <c r="FS2" s="561"/>
      <c r="FT2" s="561"/>
      <c r="FU2" s="561"/>
      <c r="FV2" s="561"/>
      <c r="FW2" s="561"/>
      <c r="FX2" s="89"/>
      <c r="FY2" s="131" t="s">
        <v>681</v>
      </c>
      <c r="FZ2" s="89"/>
      <c r="GA2" s="131" t="s">
        <v>490</v>
      </c>
      <c r="GB2" s="131" t="s">
        <v>491</v>
      </c>
      <c r="GC2" s="131" t="s">
        <v>492</v>
      </c>
      <c r="GD2" s="131" t="s">
        <v>493</v>
      </c>
      <c r="GE2" s="96" t="s">
        <v>494</v>
      </c>
      <c r="GF2" s="46" t="s">
        <v>702</v>
      </c>
      <c r="GG2" s="89"/>
      <c r="GH2" s="563" t="s">
        <v>703</v>
      </c>
      <c r="GI2" s="561"/>
      <c r="GJ2" s="561"/>
      <c r="GK2" s="136" t="s">
        <v>704</v>
      </c>
      <c r="GL2" s="563" t="s">
        <v>705</v>
      </c>
      <c r="GM2" s="561"/>
      <c r="GN2" s="561"/>
      <c r="GO2" s="561"/>
      <c r="GP2" s="561"/>
      <c r="GQ2" s="561"/>
      <c r="GR2" s="561"/>
      <c r="GS2" s="561"/>
      <c r="GT2" s="561"/>
      <c r="GU2" s="561"/>
      <c r="GV2" s="561"/>
    </row>
    <row r="3" spans="2:232" x14ac:dyDescent="0.15">
      <c r="C3" s="30" t="s">
        <v>319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 t="s">
        <v>151</v>
      </c>
      <c r="S3" s="30"/>
      <c r="T3" s="30" t="s">
        <v>154</v>
      </c>
      <c r="U3" s="30"/>
      <c r="V3" s="30"/>
      <c r="W3" s="30"/>
      <c r="X3" s="30"/>
      <c r="Y3" s="30"/>
      <c r="Z3" s="30"/>
      <c r="AA3" s="30"/>
      <c r="AB3" s="92"/>
      <c r="AC3" s="92"/>
      <c r="AD3" s="92" t="s">
        <v>499</v>
      </c>
      <c r="AE3" s="30" t="s">
        <v>160</v>
      </c>
      <c r="AF3" s="30"/>
      <c r="AG3" s="30"/>
      <c r="AH3" s="30" t="s">
        <v>500</v>
      </c>
      <c r="AI3" s="30" t="s">
        <v>164</v>
      </c>
      <c r="AJ3" s="30" t="s">
        <v>165</v>
      </c>
      <c r="AK3" s="30"/>
      <c r="AL3" s="30"/>
      <c r="AM3" s="30" t="s">
        <v>166</v>
      </c>
      <c r="AN3" s="30"/>
      <c r="AO3" s="30"/>
      <c r="AP3" s="30"/>
      <c r="AQ3" s="30"/>
      <c r="AR3" s="30"/>
      <c r="AS3" s="30"/>
      <c r="AT3" s="30"/>
      <c r="AU3" s="30" t="s">
        <v>501</v>
      </c>
      <c r="AV3" s="30" t="s">
        <v>172</v>
      </c>
      <c r="AW3" s="30"/>
      <c r="AX3" s="30"/>
      <c r="AY3" s="30"/>
      <c r="AZ3" s="30"/>
      <c r="BA3" s="30"/>
      <c r="BB3" s="30" t="s">
        <v>176</v>
      </c>
      <c r="BC3" s="30"/>
      <c r="BD3" s="30" t="s">
        <v>502</v>
      </c>
      <c r="BE3" s="30" t="s">
        <v>503</v>
      </c>
      <c r="BF3" s="30"/>
      <c r="BG3" s="30"/>
      <c r="BH3" s="30"/>
      <c r="BI3" s="30"/>
      <c r="BJ3" s="30" t="s">
        <v>504</v>
      </c>
      <c r="BK3" s="30"/>
      <c r="BL3" s="30" t="s">
        <v>505</v>
      </c>
      <c r="BM3" s="30"/>
      <c r="BN3" s="30"/>
      <c r="BO3" s="30"/>
      <c r="BP3" s="30" t="s">
        <v>307</v>
      </c>
      <c r="BQ3" s="30"/>
      <c r="BR3" s="30"/>
      <c r="BS3" s="30"/>
      <c r="BT3" s="30"/>
      <c r="BU3" s="30"/>
      <c r="BV3" s="30"/>
      <c r="BW3" s="30" t="s">
        <v>506</v>
      </c>
      <c r="BX3" s="89"/>
      <c r="BY3" s="30" t="s">
        <v>507</v>
      </c>
      <c r="BZ3" s="30"/>
      <c r="CA3" s="30"/>
      <c r="CB3" s="30"/>
      <c r="CC3" s="30" t="s">
        <v>508</v>
      </c>
      <c r="CD3" s="30"/>
      <c r="CE3" s="30"/>
      <c r="CF3" s="30"/>
      <c r="CG3" s="30"/>
      <c r="CH3" s="30"/>
      <c r="CI3" s="30"/>
      <c r="CJ3" s="30" t="s">
        <v>509</v>
      </c>
      <c r="CK3" s="30"/>
      <c r="CL3" s="82"/>
      <c r="CM3" s="30" t="s">
        <v>510</v>
      </c>
      <c r="CN3" s="30"/>
      <c r="CO3" s="30"/>
      <c r="CP3" s="30"/>
      <c r="CQ3" s="30" t="s">
        <v>214</v>
      </c>
      <c r="CR3" s="30" t="s">
        <v>215</v>
      </c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 t="s">
        <v>222</v>
      </c>
      <c r="DF3" s="30"/>
      <c r="DG3" s="30"/>
      <c r="DH3" s="30"/>
      <c r="DI3" s="30"/>
      <c r="DJ3" s="30" t="s">
        <v>227</v>
      </c>
      <c r="DK3" s="30" t="s">
        <v>311</v>
      </c>
      <c r="DL3" s="30"/>
      <c r="DM3" s="30"/>
      <c r="DN3" s="30"/>
      <c r="DO3" s="30" t="s">
        <v>232</v>
      </c>
      <c r="DP3" s="30"/>
      <c r="DQ3" s="30"/>
      <c r="DR3" s="30"/>
      <c r="DS3" s="30" t="s">
        <v>511</v>
      </c>
      <c r="DT3" s="30"/>
      <c r="DU3" s="30"/>
      <c r="DV3" s="30" t="s">
        <v>512</v>
      </c>
      <c r="DW3" s="30"/>
      <c r="DX3" s="30"/>
      <c r="DY3" s="30"/>
      <c r="DZ3" s="30"/>
      <c r="EA3" s="30"/>
      <c r="EB3" s="30"/>
      <c r="EC3" s="30"/>
      <c r="ED3" s="30"/>
      <c r="EE3" s="30" t="s">
        <v>513</v>
      </c>
      <c r="EF3" s="30" t="s">
        <v>514</v>
      </c>
      <c r="EG3" s="89"/>
      <c r="EH3" s="30" t="s">
        <v>515</v>
      </c>
      <c r="EI3" s="30" t="s">
        <v>516</v>
      </c>
      <c r="EJ3" s="30" t="s">
        <v>517</v>
      </c>
      <c r="EK3" s="30" t="s">
        <v>518</v>
      </c>
      <c r="EL3" s="30" t="s">
        <v>250</v>
      </c>
      <c r="EM3" s="89"/>
      <c r="EN3" s="30" t="s">
        <v>259</v>
      </c>
      <c r="EO3" s="30" t="s">
        <v>519</v>
      </c>
      <c r="EP3" s="30" t="s">
        <v>503</v>
      </c>
      <c r="EQ3" s="30" t="s">
        <v>176</v>
      </c>
      <c r="ER3" s="30" t="s">
        <v>520</v>
      </c>
      <c r="ES3" s="30" t="s">
        <v>506</v>
      </c>
      <c r="ET3" s="30" t="s">
        <v>521</v>
      </c>
      <c r="EU3" s="30" t="s">
        <v>507</v>
      </c>
      <c r="EV3" s="30" t="s">
        <v>522</v>
      </c>
      <c r="EW3" s="30" t="s">
        <v>508</v>
      </c>
      <c r="EX3" s="30" t="s">
        <v>509</v>
      </c>
      <c r="EY3" s="30" t="s">
        <v>279</v>
      </c>
      <c r="EZ3" s="30" t="s">
        <v>304</v>
      </c>
      <c r="FA3" s="30"/>
      <c r="FB3" s="30"/>
      <c r="FC3" s="30" t="s">
        <v>523</v>
      </c>
      <c r="FD3" s="30" t="s">
        <v>524</v>
      </c>
      <c r="FE3" s="30" t="s">
        <v>510</v>
      </c>
      <c r="FF3" s="30" t="s">
        <v>215</v>
      </c>
      <c r="FG3" s="30" t="s">
        <v>525</v>
      </c>
      <c r="FH3" s="30" t="s">
        <v>512</v>
      </c>
      <c r="FI3" s="30" t="s">
        <v>520</v>
      </c>
      <c r="FJ3" s="30" t="s">
        <v>514</v>
      </c>
      <c r="FK3" s="30" t="s">
        <v>517</v>
      </c>
      <c r="FL3" s="30" t="s">
        <v>526</v>
      </c>
      <c r="FM3" s="30" t="s">
        <v>527</v>
      </c>
      <c r="FN3" s="30" t="s">
        <v>290</v>
      </c>
      <c r="FO3" s="30" t="s">
        <v>291</v>
      </c>
      <c r="FP3" s="30" t="s">
        <v>293</v>
      </c>
      <c r="FQ3" s="30" t="s">
        <v>528</v>
      </c>
      <c r="FR3" s="89"/>
      <c r="FS3" s="89"/>
      <c r="FT3" s="89"/>
      <c r="FU3" s="89"/>
      <c r="FV3" s="89"/>
      <c r="FW3" s="89"/>
      <c r="FX3" s="30" t="s">
        <v>529</v>
      </c>
      <c r="FY3" s="30" t="s">
        <v>308</v>
      </c>
      <c r="FZ3" s="30" t="s">
        <v>530</v>
      </c>
      <c r="GA3" s="30" t="s">
        <v>312</v>
      </c>
      <c r="GB3" s="89"/>
      <c r="GC3" s="89"/>
      <c r="GD3" s="89"/>
      <c r="GE3" s="89"/>
      <c r="GF3" s="30" t="s">
        <v>531</v>
      </c>
      <c r="GG3" s="30" t="s">
        <v>530</v>
      </c>
      <c r="GH3" s="30" t="s">
        <v>532</v>
      </c>
      <c r="GI3" s="89"/>
      <c r="GJ3" s="89"/>
      <c r="GK3" s="30" t="s">
        <v>706</v>
      </c>
      <c r="GL3" s="89" t="s">
        <v>534</v>
      </c>
      <c r="GO3" s="89" t="s">
        <v>535</v>
      </c>
      <c r="GR3" s="89" t="s">
        <v>529</v>
      </c>
      <c r="GU3" s="89" t="s">
        <v>536</v>
      </c>
    </row>
    <row r="4" spans="2:232" x14ac:dyDescent="0.15">
      <c r="C4" s="30"/>
      <c r="D4" s="30" t="s">
        <v>537</v>
      </c>
      <c r="E4" s="30"/>
      <c r="F4" s="30"/>
      <c r="G4" s="30" t="s">
        <v>538</v>
      </c>
      <c r="H4" s="30"/>
      <c r="I4" s="30"/>
      <c r="J4" s="30" t="s">
        <v>266</v>
      </c>
      <c r="K4" s="30"/>
      <c r="L4" s="30"/>
      <c r="M4" s="30"/>
      <c r="N4" s="30" t="s">
        <v>539</v>
      </c>
      <c r="O4" s="30" t="s">
        <v>540</v>
      </c>
      <c r="P4" s="30"/>
      <c r="Q4" s="30"/>
      <c r="R4" s="30"/>
      <c r="S4" s="30" t="s">
        <v>541</v>
      </c>
      <c r="T4" s="30"/>
      <c r="U4" s="30" t="s">
        <v>542</v>
      </c>
      <c r="V4" s="30" t="s">
        <v>543</v>
      </c>
      <c r="W4" s="30" t="s">
        <v>544</v>
      </c>
      <c r="X4" s="30" t="s">
        <v>545</v>
      </c>
      <c r="Y4" s="30" t="s">
        <v>546</v>
      </c>
      <c r="Z4" s="30" t="s">
        <v>660</v>
      </c>
      <c r="AA4" s="30" t="s">
        <v>661</v>
      </c>
      <c r="AB4" s="30" t="s">
        <v>548</v>
      </c>
      <c r="AC4" s="139" t="s">
        <v>549</v>
      </c>
      <c r="AD4" s="30"/>
      <c r="AE4" s="30"/>
      <c r="AF4" s="30" t="s">
        <v>161</v>
      </c>
      <c r="AG4" s="30" t="s">
        <v>162</v>
      </c>
      <c r="AH4" s="30" t="s">
        <v>550</v>
      </c>
      <c r="AI4" s="30"/>
      <c r="AJ4" s="30"/>
      <c r="AK4" s="30" t="s">
        <v>551</v>
      </c>
      <c r="AL4" s="30" t="s">
        <v>552</v>
      </c>
      <c r="AM4" s="30"/>
      <c r="AN4" s="30" t="s">
        <v>553</v>
      </c>
      <c r="AO4" s="30"/>
      <c r="AP4" s="30"/>
      <c r="AQ4" s="30"/>
      <c r="AR4" s="30" t="s">
        <v>554</v>
      </c>
      <c r="AS4" s="30" t="s">
        <v>222</v>
      </c>
      <c r="AT4" s="30" t="s">
        <v>227</v>
      </c>
      <c r="AU4" s="30" t="s">
        <v>555</v>
      </c>
      <c r="AV4" s="30"/>
      <c r="AW4" s="31" t="s">
        <v>173</v>
      </c>
      <c r="AX4" s="30"/>
      <c r="AY4" s="30"/>
      <c r="AZ4" s="30" t="s">
        <v>175</v>
      </c>
      <c r="BA4" s="30"/>
      <c r="BB4" s="30"/>
      <c r="BC4" s="30" t="s">
        <v>556</v>
      </c>
      <c r="BD4" s="30"/>
      <c r="BE4" s="30"/>
      <c r="BF4" s="30" t="s">
        <v>557</v>
      </c>
      <c r="BG4" s="30" t="s">
        <v>558</v>
      </c>
      <c r="BH4" s="30" t="s">
        <v>559</v>
      </c>
      <c r="BI4" s="30" t="s">
        <v>560</v>
      </c>
      <c r="BJ4" s="30"/>
      <c r="BK4" s="30" t="s">
        <v>561</v>
      </c>
      <c r="BL4" s="30"/>
      <c r="BM4" s="30" t="s">
        <v>562</v>
      </c>
      <c r="BN4" s="30" t="s">
        <v>563</v>
      </c>
      <c r="BO4" s="30" t="s">
        <v>564</v>
      </c>
      <c r="BP4" s="30"/>
      <c r="BQ4" s="30" t="s">
        <v>191</v>
      </c>
      <c r="BR4" s="30" t="s">
        <v>273</v>
      </c>
      <c r="BS4" s="30"/>
      <c r="BT4" s="30" t="s">
        <v>565</v>
      </c>
      <c r="BU4" s="31"/>
      <c r="BV4" s="30" t="s">
        <v>193</v>
      </c>
      <c r="BW4" s="30"/>
      <c r="BX4" s="89"/>
      <c r="BY4" s="30"/>
      <c r="BZ4" s="30" t="s">
        <v>522</v>
      </c>
      <c r="CA4" s="30" t="s">
        <v>566</v>
      </c>
      <c r="CB4" s="30" t="s">
        <v>567</v>
      </c>
      <c r="CC4" s="30"/>
      <c r="CD4" s="30" t="s">
        <v>568</v>
      </c>
      <c r="CE4" s="30" t="s">
        <v>569</v>
      </c>
      <c r="CF4" s="30" t="s">
        <v>570</v>
      </c>
      <c r="CG4" s="30" t="s">
        <v>571</v>
      </c>
      <c r="CH4" s="30" t="s">
        <v>572</v>
      </c>
      <c r="CI4" s="30" t="s">
        <v>573</v>
      </c>
      <c r="CJ4" s="30"/>
      <c r="CK4" s="30" t="s">
        <v>574</v>
      </c>
      <c r="CL4" s="82" t="s">
        <v>575</v>
      </c>
      <c r="CM4" s="30"/>
      <c r="CN4" s="30" t="s">
        <v>576</v>
      </c>
      <c r="CO4" s="30" t="s">
        <v>577</v>
      </c>
      <c r="CP4" s="30" t="s">
        <v>578</v>
      </c>
      <c r="CQ4" s="30"/>
      <c r="CR4" s="30"/>
      <c r="CS4" s="30" t="s">
        <v>579</v>
      </c>
      <c r="CT4" s="30" t="s">
        <v>580</v>
      </c>
      <c r="CU4" s="30"/>
      <c r="CV4" s="30" t="s">
        <v>581</v>
      </c>
      <c r="CW4" s="30"/>
      <c r="CX4" s="30"/>
      <c r="CY4" s="30"/>
      <c r="CZ4" s="30"/>
      <c r="DA4" s="30"/>
      <c r="DB4" s="30"/>
      <c r="DC4" s="30"/>
      <c r="DD4" s="30"/>
      <c r="DE4" s="30"/>
      <c r="DF4" s="30" t="s">
        <v>582</v>
      </c>
      <c r="DG4" s="30" t="s">
        <v>583</v>
      </c>
      <c r="DH4" s="30" t="s">
        <v>584</v>
      </c>
      <c r="DI4" s="30" t="s">
        <v>585</v>
      </c>
      <c r="DJ4" s="30"/>
      <c r="DK4" s="30"/>
      <c r="DL4" s="30" t="s">
        <v>313</v>
      </c>
      <c r="DM4" s="30" t="s">
        <v>558</v>
      </c>
      <c r="DN4" s="30" t="s">
        <v>315</v>
      </c>
      <c r="DO4" s="30"/>
      <c r="DP4" s="30" t="s">
        <v>586</v>
      </c>
      <c r="DQ4" s="30"/>
      <c r="DR4" s="30"/>
      <c r="DS4" s="30"/>
      <c r="DT4" s="30" t="s">
        <v>586</v>
      </c>
      <c r="DU4" s="30"/>
      <c r="DV4" s="30"/>
      <c r="DW4" s="30" t="s">
        <v>587</v>
      </c>
      <c r="DX4" s="30" t="s">
        <v>588</v>
      </c>
      <c r="DY4" s="30"/>
      <c r="DZ4" s="30" t="s">
        <v>589</v>
      </c>
      <c r="EA4" s="30" t="s">
        <v>590</v>
      </c>
      <c r="EB4" s="30" t="s">
        <v>591</v>
      </c>
      <c r="EC4" s="30" t="s">
        <v>592</v>
      </c>
      <c r="ED4" s="30" t="s">
        <v>593</v>
      </c>
      <c r="EE4" s="30"/>
      <c r="EF4" s="30"/>
      <c r="EG4" s="89"/>
      <c r="EH4" s="89"/>
      <c r="EI4" s="89"/>
      <c r="EJ4" s="89"/>
      <c r="EK4" s="89"/>
      <c r="EL4" s="89"/>
      <c r="EM4" s="89"/>
      <c r="EN4" s="29"/>
      <c r="EO4" s="32" t="s">
        <v>707</v>
      </c>
      <c r="EP4" s="30"/>
      <c r="EQ4" s="30"/>
      <c r="ER4" s="30" t="s">
        <v>595</v>
      </c>
      <c r="ES4" s="30" t="s">
        <v>595</v>
      </c>
      <c r="ET4" s="30" t="s">
        <v>595</v>
      </c>
      <c r="EU4" s="30" t="s">
        <v>595</v>
      </c>
      <c r="EV4" s="30" t="s">
        <v>595</v>
      </c>
      <c r="EW4" s="30" t="s">
        <v>595</v>
      </c>
      <c r="EX4" s="30" t="s">
        <v>595</v>
      </c>
      <c r="EY4" s="30" t="s">
        <v>595</v>
      </c>
      <c r="EZ4" s="30" t="s">
        <v>595</v>
      </c>
      <c r="FA4" s="30" t="s">
        <v>223</v>
      </c>
      <c r="FB4" s="30" t="s">
        <v>224</v>
      </c>
      <c r="FC4" s="30"/>
      <c r="FD4" s="30"/>
      <c r="FE4" s="30" t="s">
        <v>595</v>
      </c>
      <c r="FF4" s="30" t="s">
        <v>595</v>
      </c>
      <c r="FG4" s="30" t="s">
        <v>595</v>
      </c>
      <c r="FH4" s="30" t="s">
        <v>595</v>
      </c>
      <c r="FI4" s="30" t="s">
        <v>595</v>
      </c>
      <c r="FJ4" s="30" t="s">
        <v>595</v>
      </c>
      <c r="FK4" s="30" t="s">
        <v>596</v>
      </c>
      <c r="FL4" s="30" t="s">
        <v>597</v>
      </c>
      <c r="FM4" s="30" t="s">
        <v>598</v>
      </c>
      <c r="FN4" s="30" t="s">
        <v>599</v>
      </c>
      <c r="FO4" s="30" t="s">
        <v>599</v>
      </c>
      <c r="FP4" s="30" t="s">
        <v>600</v>
      </c>
      <c r="FQ4" s="30" t="s">
        <v>596</v>
      </c>
      <c r="FR4" s="30" t="s">
        <v>507</v>
      </c>
      <c r="FS4" s="30" t="s">
        <v>508</v>
      </c>
      <c r="FT4" s="30" t="s">
        <v>509</v>
      </c>
      <c r="FU4" s="30" t="s">
        <v>510</v>
      </c>
      <c r="FV4" s="30" t="s">
        <v>215</v>
      </c>
      <c r="FW4" s="30" t="s">
        <v>512</v>
      </c>
      <c r="FX4" s="30" t="s">
        <v>596</v>
      </c>
      <c r="FY4" s="89"/>
      <c r="FZ4" s="30" t="s">
        <v>601</v>
      </c>
      <c r="GA4" s="89"/>
      <c r="GB4" s="30" t="s">
        <v>313</v>
      </c>
      <c r="GC4" s="30" t="s">
        <v>558</v>
      </c>
      <c r="GD4" s="30" t="s">
        <v>315</v>
      </c>
      <c r="GE4" s="30" t="s">
        <v>602</v>
      </c>
      <c r="GF4" s="30" t="s">
        <v>603</v>
      </c>
      <c r="GG4" s="30" t="s">
        <v>601</v>
      </c>
      <c r="GH4" s="30" t="s">
        <v>604</v>
      </c>
      <c r="GI4" s="30" t="s">
        <v>605</v>
      </c>
      <c r="GJ4" s="30" t="s">
        <v>606</v>
      </c>
      <c r="GK4" s="79" t="s">
        <v>708</v>
      </c>
      <c r="GL4" s="30" t="s">
        <v>608</v>
      </c>
      <c r="GM4" s="89" t="s">
        <v>609</v>
      </c>
      <c r="GN4" s="89" t="s">
        <v>610</v>
      </c>
      <c r="GO4" s="89" t="s">
        <v>608</v>
      </c>
      <c r="GP4" s="89" t="s">
        <v>609</v>
      </c>
      <c r="GQ4" s="89" t="s">
        <v>610</v>
      </c>
      <c r="GR4" s="89" t="s">
        <v>596</v>
      </c>
      <c r="GS4" s="89" t="s">
        <v>609</v>
      </c>
      <c r="GT4" s="89" t="s">
        <v>610</v>
      </c>
      <c r="GU4" s="89" t="s">
        <v>611</v>
      </c>
      <c r="GV4" s="89" t="s">
        <v>609</v>
      </c>
    </row>
    <row r="5" spans="2:232" x14ac:dyDescent="0.15">
      <c r="C5" s="30"/>
      <c r="D5" s="30"/>
      <c r="E5" s="30" t="s">
        <v>612</v>
      </c>
      <c r="F5" s="30" t="s">
        <v>613</v>
      </c>
      <c r="G5" s="30"/>
      <c r="H5" s="30" t="s">
        <v>612</v>
      </c>
      <c r="I5" s="30" t="s">
        <v>142</v>
      </c>
      <c r="J5" s="30"/>
      <c r="K5" s="30" t="s">
        <v>614</v>
      </c>
      <c r="L5" s="30" t="s">
        <v>615</v>
      </c>
      <c r="M5" s="30" t="s">
        <v>616</v>
      </c>
      <c r="N5" s="30"/>
      <c r="O5" s="30"/>
      <c r="P5" s="30" t="s">
        <v>614</v>
      </c>
      <c r="Q5" s="30" t="s">
        <v>615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 t="s">
        <v>617</v>
      </c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 t="s">
        <v>571</v>
      </c>
      <c r="AP5" s="30" t="s">
        <v>618</v>
      </c>
      <c r="AQ5" s="30" t="s">
        <v>619</v>
      </c>
      <c r="AR5" s="30" t="s">
        <v>620</v>
      </c>
      <c r="AS5" s="30"/>
      <c r="AT5" s="30"/>
      <c r="AU5" s="30" t="s">
        <v>621</v>
      </c>
      <c r="AV5" s="30"/>
      <c r="AW5" s="30"/>
      <c r="AX5" s="30" t="s">
        <v>622</v>
      </c>
      <c r="AY5" s="30" t="s">
        <v>222</v>
      </c>
      <c r="AZ5" s="30"/>
      <c r="BA5" s="30" t="s">
        <v>222</v>
      </c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 t="s">
        <v>623</v>
      </c>
      <c r="BT5" s="47" t="s">
        <v>624</v>
      </c>
      <c r="BU5" s="30" t="s">
        <v>625</v>
      </c>
      <c r="BV5" s="30"/>
      <c r="BW5" s="30"/>
      <c r="BX5" s="89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82"/>
      <c r="CM5" s="30"/>
      <c r="CN5" s="30"/>
      <c r="CO5" s="30"/>
      <c r="CP5" s="30"/>
      <c r="CQ5" s="30"/>
      <c r="CR5" s="30"/>
      <c r="CS5" s="30"/>
      <c r="CT5" s="30"/>
      <c r="CU5" s="30" t="s">
        <v>626</v>
      </c>
      <c r="CV5" s="30"/>
      <c r="CW5" s="30" t="s">
        <v>627</v>
      </c>
      <c r="CX5" s="30" t="s">
        <v>628</v>
      </c>
      <c r="CY5" s="30" t="s">
        <v>629</v>
      </c>
      <c r="CZ5" s="30" t="s">
        <v>630</v>
      </c>
      <c r="DA5" s="30" t="s">
        <v>631</v>
      </c>
      <c r="DB5" s="30" t="s">
        <v>587</v>
      </c>
      <c r="DC5" s="30" t="s">
        <v>632</v>
      </c>
      <c r="DD5" s="30" t="s">
        <v>633</v>
      </c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 t="s">
        <v>634</v>
      </c>
      <c r="DR5" s="30" t="s">
        <v>629</v>
      </c>
      <c r="DS5" s="30"/>
      <c r="DT5" s="30"/>
      <c r="DU5" s="30" t="s">
        <v>629</v>
      </c>
      <c r="DV5" s="30"/>
      <c r="DW5" s="30"/>
      <c r="DX5" s="30"/>
      <c r="DY5" s="30" t="s">
        <v>635</v>
      </c>
      <c r="DZ5" s="48"/>
      <c r="EA5" s="30"/>
      <c r="EB5" s="30"/>
      <c r="EC5" s="30" t="s">
        <v>636</v>
      </c>
      <c r="ED5" s="30"/>
      <c r="EE5" s="30"/>
      <c r="EF5" s="30"/>
      <c r="EG5" s="89"/>
      <c r="EH5" s="89"/>
      <c r="EI5" s="89"/>
      <c r="EJ5" s="89"/>
      <c r="EK5" s="89"/>
      <c r="EL5" s="89"/>
      <c r="EM5" s="89"/>
      <c r="EN5" s="89"/>
      <c r="EO5" s="89" t="s">
        <v>637</v>
      </c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30" t="s">
        <v>595</v>
      </c>
      <c r="FB5" s="30" t="s">
        <v>595</v>
      </c>
      <c r="FC5" s="89"/>
      <c r="FD5" s="89"/>
      <c r="FE5" s="89"/>
      <c r="FF5" s="89"/>
      <c r="FG5" s="89"/>
      <c r="FH5" s="89"/>
      <c r="FI5" s="89"/>
      <c r="FJ5" s="89"/>
      <c r="FK5" s="89" t="s">
        <v>638</v>
      </c>
      <c r="FL5" s="89"/>
      <c r="FM5" s="30" t="s">
        <v>639</v>
      </c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30" t="s">
        <v>600</v>
      </c>
      <c r="FY5" s="89"/>
      <c r="FZ5" s="89" t="s">
        <v>638</v>
      </c>
      <c r="GA5" s="89"/>
      <c r="GB5" s="89"/>
      <c r="GC5" s="89"/>
      <c r="GD5" s="89"/>
      <c r="GE5" s="30" t="s">
        <v>640</v>
      </c>
      <c r="GF5" s="89"/>
      <c r="GG5" s="89" t="s">
        <v>641</v>
      </c>
      <c r="GH5" s="70"/>
      <c r="GI5" s="89"/>
      <c r="GJ5" s="89"/>
      <c r="GK5" s="89" t="s">
        <v>642</v>
      </c>
      <c r="GL5" s="89"/>
      <c r="GM5" s="43" t="s">
        <v>643</v>
      </c>
      <c r="GN5" s="30" t="s">
        <v>644</v>
      </c>
      <c r="GO5" s="89"/>
      <c r="GP5" s="43" t="s">
        <v>643</v>
      </c>
      <c r="GQ5" s="30" t="s">
        <v>644</v>
      </c>
      <c r="GR5" s="89"/>
      <c r="GS5" s="43" t="s">
        <v>643</v>
      </c>
      <c r="GT5" s="30" t="s">
        <v>644</v>
      </c>
      <c r="GV5" s="30" t="s">
        <v>643</v>
      </c>
      <c r="GX5" s="89" t="s">
        <v>645</v>
      </c>
    </row>
    <row r="6" spans="2:232" s="89" customFormat="1" x14ac:dyDescent="0.15">
      <c r="B6" s="106" t="s">
        <v>1</v>
      </c>
      <c r="C6" s="141">
        <v>744662939</v>
      </c>
      <c r="D6" s="73">
        <f t="shared" ref="D6:D52" si="0">E6+F6</f>
        <v>219942127</v>
      </c>
      <c r="E6" s="141">
        <v>4615173</v>
      </c>
      <c r="F6" s="141">
        <v>215326954</v>
      </c>
      <c r="G6" s="73">
        <f t="shared" ref="G6:G52" si="1">H6+I6</f>
        <v>109443737</v>
      </c>
      <c r="H6" s="141">
        <v>18973228</v>
      </c>
      <c r="I6" s="141">
        <v>90470509</v>
      </c>
      <c r="J6" s="141">
        <v>298789902</v>
      </c>
      <c r="K6" s="141">
        <v>114814252</v>
      </c>
      <c r="L6" s="141">
        <v>144063122</v>
      </c>
      <c r="M6" s="141">
        <v>39660923</v>
      </c>
      <c r="N6" s="141">
        <v>26281612</v>
      </c>
      <c r="O6" s="141">
        <v>60336382</v>
      </c>
      <c r="P6" s="141">
        <v>28692770</v>
      </c>
      <c r="Q6" s="141">
        <v>31643612</v>
      </c>
      <c r="R6" s="141">
        <v>5891416</v>
      </c>
      <c r="S6" s="74"/>
      <c r="T6" s="73">
        <f t="shared" ref="T6:T38" si="2">SUM(U6:AC6)</f>
        <v>84539404</v>
      </c>
      <c r="U6" s="141">
        <v>551185</v>
      </c>
      <c r="V6" s="141">
        <v>2341901</v>
      </c>
      <c r="W6" s="141">
        <v>2665242</v>
      </c>
      <c r="X6" s="141">
        <v>66663974</v>
      </c>
      <c r="Y6" s="141">
        <v>0</v>
      </c>
      <c r="Z6" s="141">
        <v>0</v>
      </c>
      <c r="AA6" s="141">
        <v>147</v>
      </c>
      <c r="AB6" s="141">
        <v>1295732</v>
      </c>
      <c r="AC6" s="141">
        <v>11021223</v>
      </c>
      <c r="AD6" s="141">
        <v>3311473</v>
      </c>
      <c r="AE6" s="141">
        <v>33866634</v>
      </c>
      <c r="AF6" s="141">
        <v>32835673</v>
      </c>
      <c r="AG6" s="141">
        <v>1030831</v>
      </c>
      <c r="AH6" s="141">
        <v>828261</v>
      </c>
      <c r="AI6" s="141">
        <v>4689842</v>
      </c>
      <c r="AJ6" s="73">
        <f t="shared" ref="AJ6:AJ38" si="3">AK6+AL6</f>
        <v>67489147</v>
      </c>
      <c r="AK6" s="141">
        <v>60081620</v>
      </c>
      <c r="AL6" s="141">
        <v>7407527</v>
      </c>
      <c r="AM6" s="141">
        <v>770142328</v>
      </c>
      <c r="AN6" s="73">
        <f t="shared" ref="AN6:AN38" si="4">SUM(AO6:AR6)</f>
        <v>305951695</v>
      </c>
      <c r="AO6" s="141">
        <v>199238848</v>
      </c>
      <c r="AP6" s="141">
        <v>55703901</v>
      </c>
      <c r="AQ6" s="74"/>
      <c r="AR6" s="141">
        <v>51008946</v>
      </c>
      <c r="AS6" s="141">
        <v>22112511</v>
      </c>
      <c r="AT6" s="141">
        <v>0</v>
      </c>
      <c r="AU6" s="141">
        <v>0</v>
      </c>
      <c r="AV6" s="141">
        <v>108919897</v>
      </c>
      <c r="AW6" s="141">
        <v>81463456</v>
      </c>
      <c r="AX6" s="141">
        <v>0</v>
      </c>
      <c r="AY6" s="141">
        <v>1136952</v>
      </c>
      <c r="AZ6" s="141">
        <v>27456441</v>
      </c>
      <c r="BA6" s="141">
        <v>180490</v>
      </c>
      <c r="BB6" s="141">
        <v>28500602</v>
      </c>
      <c r="BC6" s="141">
        <v>8242553</v>
      </c>
      <c r="BD6" s="141">
        <v>798946</v>
      </c>
      <c r="BE6" s="141">
        <v>5594025</v>
      </c>
      <c r="BF6" s="141">
        <v>2564</v>
      </c>
      <c r="BG6" s="141">
        <v>0</v>
      </c>
      <c r="BH6" s="141">
        <v>1978441</v>
      </c>
      <c r="BI6" s="141">
        <v>0</v>
      </c>
      <c r="BJ6" s="141">
        <v>7425281</v>
      </c>
      <c r="BK6" s="141">
        <v>2672095</v>
      </c>
      <c r="BL6" s="141">
        <v>55933229</v>
      </c>
      <c r="BM6" s="141">
        <v>8616630</v>
      </c>
      <c r="BN6" s="141">
        <v>322082</v>
      </c>
      <c r="BO6" s="141">
        <v>8536235</v>
      </c>
      <c r="BP6" s="141">
        <v>108576000</v>
      </c>
      <c r="BQ6" s="73">
        <f t="shared" ref="BQ6:BQ52" si="5">BP6-BR6-BV6</f>
        <v>69432000</v>
      </c>
      <c r="BR6" s="73">
        <f t="shared" ref="BR6:BR52" si="6">BS6+BT6+BU6</f>
        <v>39144000</v>
      </c>
      <c r="BS6" s="141">
        <v>0</v>
      </c>
      <c r="BT6" s="140">
        <v>0</v>
      </c>
      <c r="BU6" s="141">
        <v>39144000</v>
      </c>
      <c r="BV6" s="141">
        <v>0</v>
      </c>
      <c r="BW6" s="141">
        <v>2042685098</v>
      </c>
      <c r="BX6" s="71"/>
      <c r="BY6" s="141">
        <v>305795757</v>
      </c>
      <c r="BZ6" s="141">
        <v>223119987</v>
      </c>
      <c r="CA6" s="141">
        <v>19735387</v>
      </c>
      <c r="CB6" s="141">
        <v>13369464</v>
      </c>
      <c r="CC6" s="141">
        <v>589363207</v>
      </c>
      <c r="CD6" s="141">
        <v>117296868</v>
      </c>
      <c r="CE6" s="141">
        <v>3308939</v>
      </c>
      <c r="CF6" s="141">
        <v>174429555</v>
      </c>
      <c r="CG6" s="141">
        <v>265405356</v>
      </c>
      <c r="CH6" s="141">
        <v>15454758</v>
      </c>
      <c r="CI6" s="141">
        <v>13467731</v>
      </c>
      <c r="CJ6" s="141">
        <v>195500918</v>
      </c>
      <c r="CK6" s="141">
        <v>176804797</v>
      </c>
      <c r="CL6" s="83">
        <f t="shared" ref="CL6:CL38" si="7">IF(CK6="","",CJ6-CK6)</f>
        <v>18696121</v>
      </c>
      <c r="CM6" s="141">
        <v>137979209</v>
      </c>
      <c r="CN6" s="141">
        <v>85028718</v>
      </c>
      <c r="CO6" s="102"/>
      <c r="CP6" s="141">
        <v>24460601</v>
      </c>
      <c r="CQ6" s="141">
        <v>20704682</v>
      </c>
      <c r="CR6" s="141">
        <v>437719831</v>
      </c>
      <c r="CS6" s="141">
        <v>7716367</v>
      </c>
      <c r="CT6" s="141">
        <v>359261952</v>
      </c>
      <c r="CU6" s="141">
        <v>77605460</v>
      </c>
      <c r="CV6" s="73">
        <f t="shared" ref="CV6:CV52" si="8">CW6+CX6</f>
        <v>30015327</v>
      </c>
      <c r="CW6" s="141">
        <v>230905</v>
      </c>
      <c r="CX6" s="141">
        <v>29784422</v>
      </c>
      <c r="CY6" s="73">
        <f t="shared" ref="CY6:CY52" si="9">CZ6+DA6</f>
        <v>0</v>
      </c>
      <c r="CZ6" s="141">
        <v>0</v>
      </c>
      <c r="DA6" s="141">
        <v>0</v>
      </c>
      <c r="DB6" s="73">
        <f t="shared" ref="DB6:DB52" si="10">DC6+DD6</f>
        <v>25190397</v>
      </c>
      <c r="DC6" s="141">
        <v>0</v>
      </c>
      <c r="DD6" s="141">
        <v>25190397</v>
      </c>
      <c r="DE6" s="141">
        <v>177486388</v>
      </c>
      <c r="DF6" s="141">
        <v>99384965</v>
      </c>
      <c r="DG6" s="141">
        <v>74987076</v>
      </c>
      <c r="DH6" s="141">
        <v>0</v>
      </c>
      <c r="DI6" s="141">
        <v>322082</v>
      </c>
      <c r="DJ6" s="141">
        <v>294222</v>
      </c>
      <c r="DK6" s="141">
        <v>6985520</v>
      </c>
      <c r="DL6" s="141">
        <v>4779071</v>
      </c>
      <c r="DM6" s="141">
        <v>0</v>
      </c>
      <c r="DN6" s="141">
        <v>2206449</v>
      </c>
      <c r="DO6" s="141">
        <v>1950922</v>
      </c>
      <c r="DP6" s="141">
        <v>1179772</v>
      </c>
      <c r="DQ6" s="141">
        <v>0</v>
      </c>
      <c r="DR6" s="141">
        <v>0</v>
      </c>
      <c r="DS6" s="141">
        <v>9110252</v>
      </c>
      <c r="DT6" s="141">
        <v>0</v>
      </c>
      <c r="DU6" s="141">
        <v>0</v>
      </c>
      <c r="DV6" s="141">
        <v>131762367</v>
      </c>
      <c r="DW6" s="141">
        <v>0</v>
      </c>
      <c r="DX6" s="73">
        <f t="shared" ref="DX6:DX52" si="11">DY6</f>
        <v>12548713</v>
      </c>
      <c r="DY6" s="141">
        <v>12548713</v>
      </c>
      <c r="DZ6" s="141">
        <v>37757821</v>
      </c>
      <c r="EA6" s="141">
        <v>0</v>
      </c>
      <c r="EB6" s="141">
        <v>33983262</v>
      </c>
      <c r="EC6" s="74">
        <v>0</v>
      </c>
      <c r="ED6" s="141">
        <v>44923085</v>
      </c>
      <c r="EE6" s="141">
        <v>0</v>
      </c>
      <c r="EF6" s="141">
        <v>2014653275</v>
      </c>
      <c r="EG6" s="71"/>
      <c r="EH6" s="141">
        <v>28031823</v>
      </c>
      <c r="EI6" s="141">
        <v>14990794</v>
      </c>
      <c r="EJ6" s="141">
        <v>13041029</v>
      </c>
      <c r="EK6" s="141">
        <v>10368934</v>
      </c>
      <c r="EL6" s="141">
        <v>15145441</v>
      </c>
      <c r="EM6" s="71"/>
      <c r="EN6" s="141">
        <v>2754742</v>
      </c>
      <c r="EO6" s="141">
        <v>2739963</v>
      </c>
      <c r="EP6" s="141">
        <v>2564</v>
      </c>
      <c r="EQ6" s="141">
        <v>19988596</v>
      </c>
      <c r="ER6" s="73">
        <f t="shared" ref="ER6:ER52" si="12">ES6-ET6-C6-R6-T6-AD6-AE6-BR6-EP6-EQ6</f>
        <v>84796173</v>
      </c>
      <c r="ES6" s="141">
        <v>884615801</v>
      </c>
      <c r="ET6" s="141">
        <v>-131587398</v>
      </c>
      <c r="EU6" s="141">
        <v>255959789</v>
      </c>
      <c r="EV6" s="141">
        <v>185919820</v>
      </c>
      <c r="EW6" s="141">
        <v>169493204</v>
      </c>
      <c r="EX6" s="141">
        <v>168434979</v>
      </c>
      <c r="EY6" s="73">
        <f t="shared" ref="EY6:EY52" si="13">EZ6+FC6+FD6</f>
        <v>53266237</v>
      </c>
      <c r="EZ6" s="141">
        <v>53263895</v>
      </c>
      <c r="FA6" s="141">
        <v>8715034</v>
      </c>
      <c r="FB6" s="141">
        <v>44270596</v>
      </c>
      <c r="FC6" s="141">
        <v>2342</v>
      </c>
      <c r="FD6" s="141">
        <v>0</v>
      </c>
      <c r="FE6" s="141">
        <v>95579741</v>
      </c>
      <c r="FF6" s="141">
        <v>120510613</v>
      </c>
      <c r="FG6" s="141">
        <v>3191710</v>
      </c>
      <c r="FH6" s="141">
        <v>104670137</v>
      </c>
      <c r="FI6" s="73">
        <f t="shared" ref="FI6:FI52" si="14">FJ6-EU6-EW6-EX6-EY6-FE6-FF6-FH6</f>
        <v>20256676</v>
      </c>
      <c r="FJ6" s="141">
        <v>988171376</v>
      </c>
      <c r="FK6" s="379">
        <f t="shared" ref="FK6:FK52" si="15">ROUND(EJ6/(FL6+FM6)*100,1)</f>
        <v>1.5</v>
      </c>
      <c r="FL6" s="141">
        <v>825785761</v>
      </c>
      <c r="FM6" s="141">
        <v>39144874</v>
      </c>
      <c r="FN6" s="141">
        <v>621727850</v>
      </c>
      <c r="FO6" s="141">
        <v>654898101</v>
      </c>
      <c r="FP6" s="143">
        <v>0.93700000000000006</v>
      </c>
      <c r="FQ6" s="380">
        <v>94.3</v>
      </c>
      <c r="FR6" s="143">
        <v>28.7</v>
      </c>
      <c r="FS6" s="380">
        <v>18.399999999999999</v>
      </c>
      <c r="FT6" s="380">
        <v>19</v>
      </c>
      <c r="FU6" s="381">
        <v>9.1999999999999993</v>
      </c>
      <c r="FV6" s="380">
        <v>8</v>
      </c>
      <c r="FW6" s="382">
        <v>9.1999999999999993</v>
      </c>
      <c r="FX6" s="388">
        <v>2.7</v>
      </c>
      <c r="FY6" s="141">
        <v>1734634612</v>
      </c>
      <c r="FZ6" s="384">
        <f t="shared" ref="FZ6:FZ52" si="16">ROUND(FY6/(FL6+FM6)*100,1)</f>
        <v>200.6</v>
      </c>
      <c r="GA6" s="141">
        <v>231286828</v>
      </c>
      <c r="GB6" s="141">
        <v>166382102</v>
      </c>
      <c r="GC6" s="141">
        <v>0</v>
      </c>
      <c r="GD6" s="141">
        <v>64904726</v>
      </c>
      <c r="GE6" s="107">
        <v>0</v>
      </c>
      <c r="GF6" s="385"/>
      <c r="GG6" s="386"/>
      <c r="GH6" s="380">
        <v>98.1</v>
      </c>
      <c r="GI6" s="380">
        <v>38.1</v>
      </c>
      <c r="GJ6" s="380">
        <v>97.3</v>
      </c>
      <c r="GK6" s="141">
        <v>32619</v>
      </c>
      <c r="GL6" s="153" t="s">
        <v>646</v>
      </c>
      <c r="GM6" s="143">
        <v>11.25</v>
      </c>
      <c r="GN6" s="117">
        <v>20</v>
      </c>
      <c r="GO6" s="153" t="s">
        <v>646</v>
      </c>
      <c r="GP6" s="143">
        <v>16.25</v>
      </c>
      <c r="GQ6" s="387">
        <v>30</v>
      </c>
      <c r="GR6" s="380">
        <v>2.7</v>
      </c>
      <c r="GS6" s="388">
        <v>25</v>
      </c>
      <c r="GT6" s="388">
        <v>35</v>
      </c>
      <c r="GU6" s="143">
        <v>5.3</v>
      </c>
      <c r="GV6" s="389">
        <v>400</v>
      </c>
      <c r="GX6" s="100">
        <f t="shared" ref="GX6:GX52" si="17">ROUND((FL6+FM6)/1000,0)</f>
        <v>864931</v>
      </c>
    </row>
    <row r="7" spans="2:232" s="89" customFormat="1" x14ac:dyDescent="0.15">
      <c r="B7" s="106" t="s">
        <v>3</v>
      </c>
      <c r="C7" s="141">
        <v>151240872</v>
      </c>
      <c r="D7" s="73">
        <f t="shared" si="0"/>
        <v>61583111</v>
      </c>
      <c r="E7" s="141">
        <v>1353306</v>
      </c>
      <c r="F7" s="141">
        <v>60229805</v>
      </c>
      <c r="G7" s="73">
        <f t="shared" si="1"/>
        <v>8899255</v>
      </c>
      <c r="H7" s="141">
        <v>2311978</v>
      </c>
      <c r="I7" s="141">
        <v>6587277</v>
      </c>
      <c r="J7" s="141">
        <v>58145843</v>
      </c>
      <c r="K7" s="141">
        <v>22247273</v>
      </c>
      <c r="L7" s="141">
        <v>23920102</v>
      </c>
      <c r="M7" s="141">
        <v>11100102</v>
      </c>
      <c r="N7" s="141">
        <v>5475946</v>
      </c>
      <c r="O7" s="141">
        <v>10646990</v>
      </c>
      <c r="P7" s="141">
        <v>5714890</v>
      </c>
      <c r="Q7" s="141">
        <v>4932100</v>
      </c>
      <c r="R7" s="141">
        <v>2058401</v>
      </c>
      <c r="S7" s="74"/>
      <c r="T7" s="73">
        <f t="shared" si="2"/>
        <v>19997703</v>
      </c>
      <c r="U7" s="141">
        <v>162469</v>
      </c>
      <c r="V7" s="141">
        <v>688082</v>
      </c>
      <c r="W7" s="141">
        <v>778623</v>
      </c>
      <c r="X7" s="141">
        <v>16998799</v>
      </c>
      <c r="Y7" s="141">
        <v>130302</v>
      </c>
      <c r="Z7" s="141">
        <v>0</v>
      </c>
      <c r="AA7" s="141">
        <v>48</v>
      </c>
      <c r="AB7" s="141">
        <v>423156</v>
      </c>
      <c r="AC7" s="141">
        <v>816224</v>
      </c>
      <c r="AD7" s="141">
        <v>1169399</v>
      </c>
      <c r="AE7" s="141">
        <v>33695805</v>
      </c>
      <c r="AF7" s="141">
        <v>32779404</v>
      </c>
      <c r="AG7" s="141">
        <v>916308</v>
      </c>
      <c r="AH7" s="141">
        <v>291231</v>
      </c>
      <c r="AI7" s="141">
        <v>2820117</v>
      </c>
      <c r="AJ7" s="73">
        <f t="shared" si="3"/>
        <v>5596604</v>
      </c>
      <c r="AK7" s="141">
        <v>3633908</v>
      </c>
      <c r="AL7" s="141">
        <v>1962696</v>
      </c>
      <c r="AM7" s="141">
        <v>198223453</v>
      </c>
      <c r="AN7" s="73">
        <f t="shared" si="4"/>
        <v>60816659</v>
      </c>
      <c r="AO7" s="141">
        <v>33996806</v>
      </c>
      <c r="AP7" s="141">
        <v>13651130</v>
      </c>
      <c r="AQ7" s="74"/>
      <c r="AR7" s="141">
        <v>13168723</v>
      </c>
      <c r="AS7" s="141">
        <v>4442000</v>
      </c>
      <c r="AT7" s="141">
        <v>0</v>
      </c>
      <c r="AU7" s="141">
        <v>9756</v>
      </c>
      <c r="AV7" s="141">
        <v>25767605</v>
      </c>
      <c r="AW7" s="141">
        <v>16631211</v>
      </c>
      <c r="AX7" s="141">
        <v>5252024</v>
      </c>
      <c r="AY7" s="141">
        <v>449333</v>
      </c>
      <c r="AZ7" s="141">
        <v>9136394</v>
      </c>
      <c r="BA7" s="141">
        <v>10525</v>
      </c>
      <c r="BB7" s="141">
        <v>2643336</v>
      </c>
      <c r="BC7" s="141">
        <v>2079036</v>
      </c>
      <c r="BD7" s="141">
        <v>736290</v>
      </c>
      <c r="BE7" s="141">
        <v>6055591</v>
      </c>
      <c r="BF7" s="141">
        <v>0</v>
      </c>
      <c r="BG7" s="141">
        <v>1412095</v>
      </c>
      <c r="BH7" s="141">
        <v>4643472</v>
      </c>
      <c r="BI7" s="141">
        <v>0</v>
      </c>
      <c r="BJ7" s="141">
        <v>2781045</v>
      </c>
      <c r="BK7" s="141">
        <v>1440333</v>
      </c>
      <c r="BL7" s="141">
        <v>6257241</v>
      </c>
      <c r="BM7" s="141">
        <v>1296134</v>
      </c>
      <c r="BN7" s="141">
        <v>102532</v>
      </c>
      <c r="BO7" s="141">
        <v>1753461</v>
      </c>
      <c r="BP7" s="141">
        <v>44603900</v>
      </c>
      <c r="BQ7" s="73">
        <f t="shared" si="5"/>
        <v>23003400</v>
      </c>
      <c r="BR7" s="73">
        <f t="shared" si="6"/>
        <v>21600500</v>
      </c>
      <c r="BS7" s="141">
        <v>0</v>
      </c>
      <c r="BT7" s="140">
        <v>1005100</v>
      </c>
      <c r="BU7" s="141">
        <v>20595400</v>
      </c>
      <c r="BV7" s="141">
        <v>0</v>
      </c>
      <c r="BW7" s="141">
        <v>509918193</v>
      </c>
      <c r="BX7" s="71"/>
      <c r="BY7" s="141">
        <v>85338442</v>
      </c>
      <c r="BZ7" s="141">
        <v>60518248</v>
      </c>
      <c r="CA7" s="141">
        <v>4828974</v>
      </c>
      <c r="CB7" s="141">
        <v>5352563</v>
      </c>
      <c r="CC7" s="141">
        <v>134984651</v>
      </c>
      <c r="CD7" s="141">
        <v>31414716</v>
      </c>
      <c r="CE7" s="141">
        <v>724926</v>
      </c>
      <c r="CF7" s="141">
        <v>51643435</v>
      </c>
      <c r="CG7" s="141">
        <v>45143342</v>
      </c>
      <c r="CH7" s="141">
        <v>3822274</v>
      </c>
      <c r="CI7" s="141">
        <v>2235773</v>
      </c>
      <c r="CJ7" s="141">
        <v>38574500</v>
      </c>
      <c r="CK7" s="141">
        <v>34775817</v>
      </c>
      <c r="CL7" s="83">
        <f t="shared" si="7"/>
        <v>3798683</v>
      </c>
      <c r="CM7" s="141">
        <v>46956359</v>
      </c>
      <c r="CN7" s="141">
        <v>33135722</v>
      </c>
      <c r="CO7" s="102"/>
      <c r="CP7" s="141">
        <v>6877954</v>
      </c>
      <c r="CQ7" s="141">
        <v>5888610</v>
      </c>
      <c r="CR7" s="141">
        <v>108755820</v>
      </c>
      <c r="CS7" s="141">
        <v>16790</v>
      </c>
      <c r="CT7" s="141">
        <v>90971025</v>
      </c>
      <c r="CU7" s="141">
        <v>87315655</v>
      </c>
      <c r="CV7" s="73">
        <f t="shared" si="8"/>
        <v>8906888</v>
      </c>
      <c r="CW7" s="141">
        <v>6807512</v>
      </c>
      <c r="CX7" s="141">
        <v>2099376</v>
      </c>
      <c r="CY7" s="73">
        <f t="shared" si="9"/>
        <v>0</v>
      </c>
      <c r="CZ7" s="141">
        <v>0</v>
      </c>
      <c r="DA7" s="141">
        <v>0</v>
      </c>
      <c r="DB7" s="73">
        <f t="shared" si="10"/>
        <v>7652444</v>
      </c>
      <c r="DC7" s="141">
        <v>6643126</v>
      </c>
      <c r="DD7" s="141">
        <v>1009318</v>
      </c>
      <c r="DE7" s="141">
        <v>43536832</v>
      </c>
      <c r="DF7" s="141">
        <v>24360200</v>
      </c>
      <c r="DG7" s="141">
        <v>18790918</v>
      </c>
      <c r="DH7" s="141">
        <v>0</v>
      </c>
      <c r="DI7" s="141">
        <v>20214</v>
      </c>
      <c r="DJ7" s="141">
        <v>60373</v>
      </c>
      <c r="DK7" s="141">
        <v>8313723</v>
      </c>
      <c r="DL7" s="141">
        <v>6064285</v>
      </c>
      <c r="DM7" s="141">
        <v>25990</v>
      </c>
      <c r="DN7" s="141">
        <v>2223448</v>
      </c>
      <c r="DO7" s="141">
        <v>104000</v>
      </c>
      <c r="DP7" s="141">
        <v>0</v>
      </c>
      <c r="DQ7" s="141">
        <v>0</v>
      </c>
      <c r="DR7" s="141">
        <v>0</v>
      </c>
      <c r="DS7" s="141">
        <v>1101485</v>
      </c>
      <c r="DT7" s="141">
        <v>0</v>
      </c>
      <c r="DU7" s="141">
        <v>0</v>
      </c>
      <c r="DV7" s="141">
        <v>33951770</v>
      </c>
      <c r="DW7" s="141">
        <v>0</v>
      </c>
      <c r="DX7" s="73">
        <f t="shared" si="11"/>
        <v>0</v>
      </c>
      <c r="DY7" s="141">
        <v>0</v>
      </c>
      <c r="DZ7" s="141">
        <v>12560511</v>
      </c>
      <c r="EA7" s="141">
        <v>0</v>
      </c>
      <c r="EB7" s="141">
        <v>8667518</v>
      </c>
      <c r="EC7" s="74">
        <v>0</v>
      </c>
      <c r="ED7" s="141">
        <v>12707808</v>
      </c>
      <c r="EE7" s="141">
        <v>0</v>
      </c>
      <c r="EF7" s="141">
        <v>507566565</v>
      </c>
      <c r="EG7" s="71"/>
      <c r="EH7" s="141">
        <v>2351628</v>
      </c>
      <c r="EI7" s="141">
        <v>921792</v>
      </c>
      <c r="EJ7" s="141">
        <v>1429836</v>
      </c>
      <c r="EK7" s="141">
        <v>-10495</v>
      </c>
      <c r="EL7" s="141">
        <v>6053790</v>
      </c>
      <c r="EM7" s="71"/>
      <c r="EN7" s="141">
        <v>826447</v>
      </c>
      <c r="EO7" s="141">
        <v>831481</v>
      </c>
      <c r="EP7" s="141">
        <v>1715035</v>
      </c>
      <c r="EQ7" s="141">
        <v>1794377</v>
      </c>
      <c r="ER7" s="73">
        <f t="shared" si="12"/>
        <v>23932381</v>
      </c>
      <c r="ES7" s="141">
        <v>214433011</v>
      </c>
      <c r="ET7" s="141">
        <v>-42771462</v>
      </c>
      <c r="EU7" s="141">
        <v>72592961</v>
      </c>
      <c r="EV7" s="141">
        <v>48595733</v>
      </c>
      <c r="EW7" s="141">
        <v>39592056</v>
      </c>
      <c r="EX7" s="141">
        <v>38484910</v>
      </c>
      <c r="EY7" s="73">
        <f t="shared" si="13"/>
        <v>7803661</v>
      </c>
      <c r="EZ7" s="141">
        <v>7763508</v>
      </c>
      <c r="FA7" s="141">
        <v>992071</v>
      </c>
      <c r="FB7" s="141">
        <v>6754937</v>
      </c>
      <c r="FC7" s="141">
        <v>40153</v>
      </c>
      <c r="FD7" s="141">
        <v>0</v>
      </c>
      <c r="FE7" s="141">
        <v>38366122</v>
      </c>
      <c r="FF7" s="141">
        <v>23347178</v>
      </c>
      <c r="FG7" s="141">
        <v>16790</v>
      </c>
      <c r="FH7" s="141">
        <v>26933465</v>
      </c>
      <c r="FI7" s="73">
        <f t="shared" si="14"/>
        <v>7852107</v>
      </c>
      <c r="FJ7" s="141">
        <v>254972460</v>
      </c>
      <c r="FK7" s="379">
        <f t="shared" si="15"/>
        <v>0.6</v>
      </c>
      <c r="FL7" s="141">
        <v>204328980</v>
      </c>
      <c r="FM7" s="141">
        <v>20595416</v>
      </c>
      <c r="FN7" s="141">
        <v>136809228</v>
      </c>
      <c r="FO7" s="141">
        <v>169411859</v>
      </c>
      <c r="FP7" s="143">
        <v>0.81</v>
      </c>
      <c r="FQ7" s="380">
        <v>100.8</v>
      </c>
      <c r="FR7" s="143">
        <v>31.8</v>
      </c>
      <c r="FS7" s="380">
        <v>17.2</v>
      </c>
      <c r="FT7" s="380">
        <v>17</v>
      </c>
      <c r="FU7" s="381">
        <v>14.3</v>
      </c>
      <c r="FV7" s="380">
        <v>7.2</v>
      </c>
      <c r="FW7" s="382">
        <v>11.4</v>
      </c>
      <c r="FX7" s="388">
        <v>5.8</v>
      </c>
      <c r="FY7" s="141">
        <v>474549598</v>
      </c>
      <c r="FZ7" s="384">
        <f t="shared" si="16"/>
        <v>211</v>
      </c>
      <c r="GA7" s="141">
        <v>43396649</v>
      </c>
      <c r="GB7" s="141">
        <v>8564362</v>
      </c>
      <c r="GC7" s="141">
        <v>990497</v>
      </c>
      <c r="GD7" s="141">
        <v>33841790</v>
      </c>
      <c r="GE7" s="107">
        <v>0</v>
      </c>
      <c r="GF7" s="385"/>
      <c r="GG7" s="386"/>
      <c r="GH7" s="380">
        <v>98.4</v>
      </c>
      <c r="GI7" s="380">
        <v>41</v>
      </c>
      <c r="GJ7" s="380">
        <v>97.6</v>
      </c>
      <c r="GK7" s="141">
        <v>9385</v>
      </c>
      <c r="GL7" s="153" t="s">
        <v>646</v>
      </c>
      <c r="GM7" s="143">
        <v>11.25</v>
      </c>
      <c r="GN7" s="117">
        <v>20</v>
      </c>
      <c r="GO7" s="153" t="s">
        <v>646</v>
      </c>
      <c r="GP7" s="143">
        <v>16.25</v>
      </c>
      <c r="GQ7" s="387">
        <v>30</v>
      </c>
      <c r="GR7" s="380">
        <v>5.8</v>
      </c>
      <c r="GS7" s="388">
        <v>25</v>
      </c>
      <c r="GT7" s="388">
        <v>35</v>
      </c>
      <c r="GU7" s="143">
        <v>5</v>
      </c>
      <c r="GV7" s="389">
        <v>400</v>
      </c>
      <c r="GX7" s="100">
        <f t="shared" si="17"/>
        <v>224924</v>
      </c>
    </row>
    <row r="8" spans="2:232" x14ac:dyDescent="0.15">
      <c r="B8" s="89" t="s">
        <v>5</v>
      </c>
      <c r="C8" s="141">
        <v>24920869</v>
      </c>
      <c r="D8" s="73">
        <f t="shared" si="0"/>
        <v>9401290</v>
      </c>
      <c r="E8" s="141">
        <v>310280</v>
      </c>
      <c r="F8" s="141">
        <v>9091010</v>
      </c>
      <c r="G8" s="73">
        <f t="shared" si="1"/>
        <v>1532008</v>
      </c>
      <c r="H8" s="141">
        <v>436082</v>
      </c>
      <c r="I8" s="141">
        <v>1095926</v>
      </c>
      <c r="J8" s="141">
        <v>10112230</v>
      </c>
      <c r="K8" s="141">
        <v>4082631</v>
      </c>
      <c r="L8" s="141">
        <v>4358435</v>
      </c>
      <c r="M8" s="141">
        <v>1377145</v>
      </c>
      <c r="N8" s="141">
        <v>1423842</v>
      </c>
      <c r="O8" s="141">
        <v>1993870</v>
      </c>
      <c r="P8" s="141">
        <v>1093068</v>
      </c>
      <c r="Q8" s="141">
        <v>900802</v>
      </c>
      <c r="R8" s="141">
        <v>354209</v>
      </c>
      <c r="S8" s="74"/>
      <c r="T8" s="73">
        <f t="shared" si="2"/>
        <v>4412465</v>
      </c>
      <c r="U8" s="141">
        <v>32284</v>
      </c>
      <c r="V8" s="141">
        <v>136705</v>
      </c>
      <c r="W8" s="141">
        <v>154648</v>
      </c>
      <c r="X8" s="141">
        <v>3875454</v>
      </c>
      <c r="Y8" s="141">
        <v>37738</v>
      </c>
      <c r="Z8" s="141">
        <v>0</v>
      </c>
      <c r="AA8" s="141">
        <v>8</v>
      </c>
      <c r="AB8" s="141">
        <v>60149</v>
      </c>
      <c r="AC8" s="141">
        <v>115479</v>
      </c>
      <c r="AD8" s="141">
        <v>213234</v>
      </c>
      <c r="AE8" s="141">
        <v>13051961</v>
      </c>
      <c r="AF8" s="141">
        <v>12800693</v>
      </c>
      <c r="AG8" s="141">
        <v>251268</v>
      </c>
      <c r="AH8" s="141">
        <v>32410</v>
      </c>
      <c r="AI8" s="141">
        <v>369261</v>
      </c>
      <c r="AJ8" s="73">
        <f t="shared" si="3"/>
        <v>1144074</v>
      </c>
      <c r="AK8" s="141">
        <v>770675</v>
      </c>
      <c r="AL8" s="141">
        <v>373399</v>
      </c>
      <c r="AM8" s="141">
        <v>40236810</v>
      </c>
      <c r="AN8" s="73">
        <f t="shared" si="4"/>
        <v>12266900</v>
      </c>
      <c r="AO8" s="141">
        <v>7759492</v>
      </c>
      <c r="AP8" s="141">
        <v>2156237</v>
      </c>
      <c r="AQ8" s="74"/>
      <c r="AR8" s="141">
        <v>2351171</v>
      </c>
      <c r="AS8" s="141">
        <v>403849</v>
      </c>
      <c r="AT8" s="141">
        <v>0</v>
      </c>
      <c r="AU8" s="141">
        <v>0</v>
      </c>
      <c r="AV8" s="141">
        <v>6061887</v>
      </c>
      <c r="AW8" s="141">
        <v>3761467</v>
      </c>
      <c r="AX8" s="141">
        <v>948248</v>
      </c>
      <c r="AY8" s="141">
        <v>15904</v>
      </c>
      <c r="AZ8" s="141">
        <v>2300420</v>
      </c>
      <c r="BA8" s="141">
        <v>19504</v>
      </c>
      <c r="BB8" s="141">
        <v>692467</v>
      </c>
      <c r="BC8" s="141">
        <v>488957</v>
      </c>
      <c r="BD8" s="141">
        <v>1258809</v>
      </c>
      <c r="BE8" s="141">
        <v>423910</v>
      </c>
      <c r="BF8" s="141">
        <v>0</v>
      </c>
      <c r="BG8" s="141">
        <v>0</v>
      </c>
      <c r="BH8" s="141">
        <v>244172</v>
      </c>
      <c r="BI8" s="141">
        <v>30470</v>
      </c>
      <c r="BJ8" s="141">
        <v>345980</v>
      </c>
      <c r="BK8" s="141">
        <v>149809</v>
      </c>
      <c r="BL8" s="141">
        <v>994806</v>
      </c>
      <c r="BM8" s="141">
        <v>0</v>
      </c>
      <c r="BN8" s="141">
        <v>0</v>
      </c>
      <c r="BO8" s="141">
        <v>377674</v>
      </c>
      <c r="BP8" s="141">
        <v>3229100</v>
      </c>
      <c r="BQ8" s="73">
        <f t="shared" si="5"/>
        <v>1507500</v>
      </c>
      <c r="BR8" s="73">
        <f t="shared" si="6"/>
        <v>1721600</v>
      </c>
      <c r="BS8" s="141">
        <v>0</v>
      </c>
      <c r="BT8" s="141">
        <v>198200</v>
      </c>
      <c r="BU8" s="141">
        <v>1523400</v>
      </c>
      <c r="BV8" s="141">
        <v>0</v>
      </c>
      <c r="BW8" s="141">
        <v>97742252</v>
      </c>
      <c r="BX8" s="71"/>
      <c r="BY8" s="141">
        <v>12924444</v>
      </c>
      <c r="BZ8" s="141">
        <v>8124106</v>
      </c>
      <c r="CA8" s="141">
        <v>1117406</v>
      </c>
      <c r="CB8" s="141">
        <v>1490560</v>
      </c>
      <c r="CC8" s="141">
        <v>27341414</v>
      </c>
      <c r="CD8" s="141">
        <v>5755638</v>
      </c>
      <c r="CE8" s="141">
        <v>83818</v>
      </c>
      <c r="CF8" s="141">
        <v>10059350</v>
      </c>
      <c r="CG8" s="141">
        <v>10239445</v>
      </c>
      <c r="CH8" s="141">
        <v>7015</v>
      </c>
      <c r="CI8" s="141">
        <v>1191893</v>
      </c>
      <c r="CJ8" s="141">
        <v>7070799</v>
      </c>
      <c r="CK8" s="141">
        <v>6677672</v>
      </c>
      <c r="CL8" s="83">
        <f t="shared" si="7"/>
        <v>393127</v>
      </c>
      <c r="CM8" s="141">
        <v>9399109</v>
      </c>
      <c r="CN8" s="141">
        <v>6013065</v>
      </c>
      <c r="CO8" s="102"/>
      <c r="CP8" s="141">
        <v>1136755</v>
      </c>
      <c r="CQ8" s="141">
        <v>506740</v>
      </c>
      <c r="CR8" s="141">
        <v>26858105</v>
      </c>
      <c r="CS8" s="141">
        <v>1216733</v>
      </c>
      <c r="CT8" s="141">
        <v>20731736</v>
      </c>
      <c r="CU8" s="141">
        <v>1274855</v>
      </c>
      <c r="CV8" s="73">
        <f t="shared" si="8"/>
        <v>3547915</v>
      </c>
      <c r="CW8" s="141">
        <v>1980710</v>
      </c>
      <c r="CX8" s="141">
        <v>1567205</v>
      </c>
      <c r="CY8" s="73">
        <f t="shared" si="9"/>
        <v>1052044</v>
      </c>
      <c r="CZ8" s="141">
        <v>845850</v>
      </c>
      <c r="DA8" s="141">
        <v>206194</v>
      </c>
      <c r="DB8" s="73">
        <f t="shared" si="10"/>
        <v>2228837</v>
      </c>
      <c r="DC8" s="141">
        <v>1101208</v>
      </c>
      <c r="DD8" s="141">
        <v>1127629</v>
      </c>
      <c r="DE8" s="141">
        <v>3266716</v>
      </c>
      <c r="DF8" s="141">
        <v>1768517</v>
      </c>
      <c r="DG8" s="141">
        <v>1304052</v>
      </c>
      <c r="DH8" s="141">
        <v>183463</v>
      </c>
      <c r="DI8" s="141">
        <v>10684</v>
      </c>
      <c r="DJ8" s="141">
        <v>0</v>
      </c>
      <c r="DK8" s="141">
        <v>1172189</v>
      </c>
      <c r="DL8" s="141">
        <v>33</v>
      </c>
      <c r="DM8" s="141">
        <v>0</v>
      </c>
      <c r="DN8" s="141">
        <v>1172156</v>
      </c>
      <c r="DO8" s="141">
        <v>421849</v>
      </c>
      <c r="DP8" s="141">
        <v>421849</v>
      </c>
      <c r="DQ8" s="141">
        <v>38100</v>
      </c>
      <c r="DR8" s="141">
        <v>350000</v>
      </c>
      <c r="DS8" s="141">
        <v>0</v>
      </c>
      <c r="DT8" s="141">
        <v>0</v>
      </c>
      <c r="DU8" s="141">
        <v>0</v>
      </c>
      <c r="DV8" s="141">
        <v>7838588</v>
      </c>
      <c r="DW8" s="141">
        <v>0</v>
      </c>
      <c r="DX8" s="73">
        <f t="shared" si="11"/>
        <v>0</v>
      </c>
      <c r="DY8" s="141">
        <v>0</v>
      </c>
      <c r="DZ8" s="141">
        <v>3025014</v>
      </c>
      <c r="EA8" s="141">
        <v>0</v>
      </c>
      <c r="EB8" s="141">
        <v>2236719</v>
      </c>
      <c r="EC8" s="74">
        <v>0</v>
      </c>
      <c r="ED8" s="141">
        <v>2576855</v>
      </c>
      <c r="EE8" s="141">
        <v>0</v>
      </c>
      <c r="EF8" s="141">
        <v>96799953</v>
      </c>
      <c r="EG8" s="71"/>
      <c r="EH8" s="141">
        <v>942299</v>
      </c>
      <c r="EI8" s="141">
        <v>142588</v>
      </c>
      <c r="EJ8" s="141">
        <v>799711</v>
      </c>
      <c r="EK8" s="141">
        <v>499902</v>
      </c>
      <c r="EL8" s="141">
        <v>499935</v>
      </c>
      <c r="EM8" s="71"/>
      <c r="EN8" s="141">
        <v>190796</v>
      </c>
      <c r="EO8" s="141">
        <v>192736</v>
      </c>
      <c r="EP8" s="141">
        <v>47838</v>
      </c>
      <c r="EQ8" s="141">
        <v>691968</v>
      </c>
      <c r="ER8" s="73">
        <f t="shared" si="12"/>
        <v>4000583</v>
      </c>
      <c r="ES8" s="141">
        <v>42985148</v>
      </c>
      <c r="ET8" s="141">
        <v>-6429579</v>
      </c>
      <c r="EU8" s="141">
        <v>11800334</v>
      </c>
      <c r="EV8" s="141">
        <v>7437376</v>
      </c>
      <c r="EW8" s="141">
        <v>7305361</v>
      </c>
      <c r="EX8" s="141">
        <v>7070799</v>
      </c>
      <c r="EY8" s="73">
        <f t="shared" si="13"/>
        <v>878988</v>
      </c>
      <c r="EZ8" s="141">
        <v>878988</v>
      </c>
      <c r="FA8" s="141">
        <v>88374</v>
      </c>
      <c r="FB8" s="141">
        <v>716039</v>
      </c>
      <c r="FC8" s="141">
        <v>0</v>
      </c>
      <c r="FD8" s="141">
        <v>0</v>
      </c>
      <c r="FE8" s="141">
        <v>7552048</v>
      </c>
      <c r="FF8" s="141">
        <v>6970843</v>
      </c>
      <c r="FG8" s="141">
        <v>1216733</v>
      </c>
      <c r="FH8" s="141">
        <v>6027859</v>
      </c>
      <c r="FI8" s="73">
        <f t="shared" si="14"/>
        <v>866196</v>
      </c>
      <c r="FJ8" s="141">
        <v>48472428</v>
      </c>
      <c r="FK8" s="379">
        <f t="shared" si="15"/>
        <v>1.9</v>
      </c>
      <c r="FL8" s="141">
        <v>40506925</v>
      </c>
      <c r="FM8" s="141">
        <v>2554960</v>
      </c>
      <c r="FN8" s="141">
        <v>21827556</v>
      </c>
      <c r="FO8" s="141">
        <v>34637002</v>
      </c>
      <c r="FP8" s="390">
        <v>0.623</v>
      </c>
      <c r="FQ8" s="380">
        <v>98.5</v>
      </c>
      <c r="FR8" s="381">
        <v>26.8</v>
      </c>
      <c r="FS8" s="380">
        <v>17</v>
      </c>
      <c r="FT8" s="380">
        <v>16.5</v>
      </c>
      <c r="FU8" s="381">
        <v>13.1</v>
      </c>
      <c r="FV8" s="380">
        <v>10.3</v>
      </c>
      <c r="FW8" s="382">
        <v>13.1</v>
      </c>
      <c r="FX8" s="388">
        <v>7.2</v>
      </c>
      <c r="FY8" s="141">
        <v>62223107</v>
      </c>
      <c r="FZ8" s="384">
        <f t="shared" si="16"/>
        <v>144.5</v>
      </c>
      <c r="GA8" s="141">
        <v>7929796</v>
      </c>
      <c r="GB8" s="141">
        <v>2899200</v>
      </c>
      <c r="GC8" s="141">
        <v>40453</v>
      </c>
      <c r="GD8" s="141">
        <v>4990143</v>
      </c>
      <c r="GE8" s="107">
        <v>0</v>
      </c>
      <c r="GF8" s="385"/>
      <c r="GG8" s="386"/>
      <c r="GH8" s="380">
        <v>99</v>
      </c>
      <c r="GI8" s="380">
        <v>50.4</v>
      </c>
      <c r="GJ8" s="380">
        <v>98.3</v>
      </c>
      <c r="GK8" s="141">
        <v>1315</v>
      </c>
      <c r="GL8" s="391" t="s">
        <v>646</v>
      </c>
      <c r="GM8" s="391">
        <v>11.38</v>
      </c>
      <c r="GN8" s="117">
        <v>20</v>
      </c>
      <c r="GO8" s="391" t="s">
        <v>646</v>
      </c>
      <c r="GP8" s="392">
        <v>16.38</v>
      </c>
      <c r="GQ8" s="387">
        <v>30</v>
      </c>
      <c r="GR8" s="381">
        <v>7.2</v>
      </c>
      <c r="GS8" s="388">
        <v>25</v>
      </c>
      <c r="GT8" s="388">
        <v>35</v>
      </c>
      <c r="GU8" s="393">
        <v>11.6</v>
      </c>
      <c r="GV8" s="388">
        <v>350</v>
      </c>
      <c r="GW8" s="394"/>
      <c r="GX8" s="100">
        <f t="shared" si="17"/>
        <v>43062</v>
      </c>
      <c r="GY8" s="394"/>
      <c r="GZ8" s="394"/>
      <c r="HA8" s="394"/>
      <c r="HB8" s="394"/>
      <c r="HC8" s="394"/>
      <c r="HD8" s="394"/>
      <c r="HE8" s="394"/>
      <c r="HF8" s="394"/>
      <c r="HG8" s="394"/>
      <c r="HH8" s="394"/>
      <c r="HI8" s="394"/>
      <c r="HJ8" s="394"/>
      <c r="HK8" s="394"/>
      <c r="HL8" s="394"/>
      <c r="HM8" s="394"/>
      <c r="HN8" s="394"/>
      <c r="HO8" s="394"/>
      <c r="HP8" s="394"/>
      <c r="HQ8" s="394"/>
      <c r="HR8" s="394"/>
      <c r="HS8" s="394"/>
      <c r="HT8" s="394"/>
      <c r="HU8" s="394"/>
      <c r="HV8" s="394"/>
      <c r="HW8" s="394"/>
      <c r="HX8" s="394"/>
    </row>
    <row r="9" spans="2:232" x14ac:dyDescent="0.15">
      <c r="B9" s="89" t="s">
        <v>7</v>
      </c>
      <c r="C9" s="141">
        <v>70090257</v>
      </c>
      <c r="D9" s="73">
        <f t="shared" si="0"/>
        <v>31685869</v>
      </c>
      <c r="E9" s="141">
        <v>678001</v>
      </c>
      <c r="F9" s="141">
        <v>31007868</v>
      </c>
      <c r="G9" s="73">
        <f t="shared" si="1"/>
        <v>3799638</v>
      </c>
      <c r="H9" s="141">
        <v>1128649</v>
      </c>
      <c r="I9" s="141">
        <v>2670989</v>
      </c>
      <c r="J9" s="141">
        <v>25169044</v>
      </c>
      <c r="K9" s="141">
        <v>9987382</v>
      </c>
      <c r="L9" s="141">
        <v>12391770</v>
      </c>
      <c r="M9" s="141">
        <v>2596509</v>
      </c>
      <c r="N9" s="141">
        <v>2219059</v>
      </c>
      <c r="O9" s="141">
        <v>5878163</v>
      </c>
      <c r="P9" s="141">
        <v>3115663</v>
      </c>
      <c r="Q9" s="141">
        <v>2762500</v>
      </c>
      <c r="R9" s="141">
        <v>910880</v>
      </c>
      <c r="S9" s="74"/>
      <c r="T9" s="73">
        <f t="shared" si="2"/>
        <v>9352338</v>
      </c>
      <c r="U9" s="141">
        <v>107747</v>
      </c>
      <c r="V9" s="141">
        <v>457338</v>
      </c>
      <c r="W9" s="141">
        <v>519546</v>
      </c>
      <c r="X9" s="141">
        <v>7839562</v>
      </c>
      <c r="Y9" s="141">
        <v>0</v>
      </c>
      <c r="Z9" s="141">
        <v>0</v>
      </c>
      <c r="AA9" s="141">
        <v>14</v>
      </c>
      <c r="AB9" s="141">
        <v>105571</v>
      </c>
      <c r="AC9" s="141">
        <v>322560</v>
      </c>
      <c r="AD9" s="141">
        <v>380294</v>
      </c>
      <c r="AE9" s="141">
        <v>6704288</v>
      </c>
      <c r="AF9" s="141">
        <v>6096620</v>
      </c>
      <c r="AG9" s="141">
        <v>607644</v>
      </c>
      <c r="AH9" s="141">
        <v>45872</v>
      </c>
      <c r="AI9" s="141">
        <v>1082109</v>
      </c>
      <c r="AJ9" s="73">
        <f t="shared" si="3"/>
        <v>2076385</v>
      </c>
      <c r="AK9" s="141">
        <v>1763662</v>
      </c>
      <c r="AL9" s="141">
        <v>312723</v>
      </c>
      <c r="AM9" s="141">
        <v>81026975</v>
      </c>
      <c r="AN9" s="73">
        <f t="shared" si="4"/>
        <v>18820115</v>
      </c>
      <c r="AO9" s="141">
        <v>13378591</v>
      </c>
      <c r="AP9" s="141">
        <v>460285</v>
      </c>
      <c r="AQ9" s="74"/>
      <c r="AR9" s="141">
        <v>4981239</v>
      </c>
      <c r="AS9" s="141">
        <v>957082</v>
      </c>
      <c r="AT9" s="141">
        <v>0</v>
      </c>
      <c r="AU9" s="141">
        <v>0</v>
      </c>
      <c r="AV9" s="141">
        <v>11511642</v>
      </c>
      <c r="AW9" s="141">
        <v>7643232</v>
      </c>
      <c r="AX9" s="141">
        <v>0</v>
      </c>
      <c r="AY9" s="141">
        <v>64638</v>
      </c>
      <c r="AZ9" s="141">
        <v>3868410</v>
      </c>
      <c r="BA9" s="141">
        <v>411</v>
      </c>
      <c r="BB9" s="141">
        <v>336181</v>
      </c>
      <c r="BC9" s="141">
        <v>226607</v>
      </c>
      <c r="BD9" s="141">
        <v>155164</v>
      </c>
      <c r="BE9" s="141">
        <v>4084558</v>
      </c>
      <c r="BF9" s="141">
        <v>3478515</v>
      </c>
      <c r="BG9" s="141">
        <v>487426</v>
      </c>
      <c r="BH9" s="141">
        <v>72290</v>
      </c>
      <c r="BI9" s="141">
        <v>0</v>
      </c>
      <c r="BJ9" s="141">
        <v>5346862</v>
      </c>
      <c r="BK9" s="141">
        <v>4863542</v>
      </c>
      <c r="BL9" s="141">
        <v>2730041</v>
      </c>
      <c r="BM9" s="141">
        <v>132694</v>
      </c>
      <c r="BN9" s="141">
        <v>0</v>
      </c>
      <c r="BO9" s="141">
        <v>237073</v>
      </c>
      <c r="BP9" s="141">
        <v>8711489</v>
      </c>
      <c r="BQ9" s="73">
        <f t="shared" si="5"/>
        <v>2043800</v>
      </c>
      <c r="BR9" s="73">
        <f t="shared" si="6"/>
        <v>6667689</v>
      </c>
      <c r="BS9" s="141">
        <v>0</v>
      </c>
      <c r="BT9" s="141">
        <v>1014458</v>
      </c>
      <c r="BU9" s="141">
        <v>5653231</v>
      </c>
      <c r="BV9" s="141">
        <v>0</v>
      </c>
      <c r="BW9" s="141">
        <v>204545335</v>
      </c>
      <c r="BX9" s="71"/>
      <c r="BY9" s="141">
        <v>26580382</v>
      </c>
      <c r="BZ9" s="141">
        <v>16732732</v>
      </c>
      <c r="CA9" s="141">
        <v>1283319</v>
      </c>
      <c r="CB9" s="141">
        <v>3919490</v>
      </c>
      <c r="CC9" s="141">
        <v>54604275</v>
      </c>
      <c r="CD9" s="141">
        <v>12477854</v>
      </c>
      <c r="CE9" s="141">
        <v>229032</v>
      </c>
      <c r="CF9" s="141">
        <v>23351825</v>
      </c>
      <c r="CG9" s="141">
        <v>17785560</v>
      </c>
      <c r="CH9" s="141">
        <v>415923</v>
      </c>
      <c r="CI9" s="141">
        <v>343054</v>
      </c>
      <c r="CJ9" s="141">
        <v>9697736</v>
      </c>
      <c r="CK9" s="141">
        <v>9324114</v>
      </c>
      <c r="CL9" s="83">
        <f t="shared" si="7"/>
        <v>373622</v>
      </c>
      <c r="CM9" s="141">
        <v>21496420</v>
      </c>
      <c r="CN9" s="141">
        <v>12444007</v>
      </c>
      <c r="CO9" s="102"/>
      <c r="CP9" s="141">
        <v>3452052</v>
      </c>
      <c r="CQ9" s="141">
        <v>1054167</v>
      </c>
      <c r="CR9" s="141">
        <v>54900724</v>
      </c>
      <c r="CS9" s="141">
        <v>1258750</v>
      </c>
      <c r="CT9" s="141">
        <v>44771621</v>
      </c>
      <c r="CU9" s="141">
        <v>3946421</v>
      </c>
      <c r="CV9" s="73">
        <f t="shared" si="8"/>
        <v>5425180</v>
      </c>
      <c r="CW9" s="141">
        <v>4842742</v>
      </c>
      <c r="CX9" s="141">
        <v>582438</v>
      </c>
      <c r="CY9" s="73">
        <f t="shared" si="9"/>
        <v>2310557</v>
      </c>
      <c r="CZ9" s="141">
        <v>1870148</v>
      </c>
      <c r="DA9" s="141">
        <v>440409</v>
      </c>
      <c r="DB9" s="73">
        <f t="shared" si="10"/>
        <v>2940426</v>
      </c>
      <c r="DC9" s="141">
        <v>2827213</v>
      </c>
      <c r="DD9" s="141">
        <v>113213</v>
      </c>
      <c r="DE9" s="141">
        <v>8063263</v>
      </c>
      <c r="DF9" s="141">
        <v>2307306</v>
      </c>
      <c r="DG9" s="141">
        <v>5755957</v>
      </c>
      <c r="DH9" s="141">
        <v>0</v>
      </c>
      <c r="DI9" s="141">
        <v>0</v>
      </c>
      <c r="DJ9" s="141">
        <v>0</v>
      </c>
      <c r="DK9" s="141">
        <v>8021191</v>
      </c>
      <c r="DL9" s="141">
        <v>5924899</v>
      </c>
      <c r="DM9" s="141">
        <v>453075</v>
      </c>
      <c r="DN9" s="141">
        <v>1643217</v>
      </c>
      <c r="DO9" s="141">
        <v>185697</v>
      </c>
      <c r="DP9" s="141">
        <v>185697</v>
      </c>
      <c r="DQ9" s="141">
        <v>185697</v>
      </c>
      <c r="DR9" s="141">
        <v>0</v>
      </c>
      <c r="DS9" s="141">
        <v>108535</v>
      </c>
      <c r="DT9" s="141">
        <v>0</v>
      </c>
      <c r="DU9" s="141">
        <v>0</v>
      </c>
      <c r="DV9" s="141">
        <v>14679873</v>
      </c>
      <c r="DW9" s="141">
        <v>0</v>
      </c>
      <c r="DX9" s="73">
        <f t="shared" si="11"/>
        <v>0</v>
      </c>
      <c r="DY9" s="141">
        <v>0</v>
      </c>
      <c r="DZ9" s="141">
        <v>5111266</v>
      </c>
      <c r="EA9" s="141">
        <v>9148</v>
      </c>
      <c r="EB9" s="141">
        <v>3809086</v>
      </c>
      <c r="EC9" s="74">
        <v>0</v>
      </c>
      <c r="ED9" s="141">
        <v>5627123</v>
      </c>
      <c r="EE9" s="141">
        <v>0</v>
      </c>
      <c r="EF9" s="141">
        <v>199392263</v>
      </c>
      <c r="EG9" s="71"/>
      <c r="EH9" s="141">
        <v>5153072</v>
      </c>
      <c r="EI9" s="141">
        <v>1349709</v>
      </c>
      <c r="EJ9" s="141">
        <v>3803363</v>
      </c>
      <c r="EK9" s="141">
        <v>-1060179</v>
      </c>
      <c r="EL9" s="141">
        <v>1386205</v>
      </c>
      <c r="EM9" s="71"/>
      <c r="EN9" s="141">
        <v>401818</v>
      </c>
      <c r="EO9" s="141">
        <v>409396</v>
      </c>
      <c r="EP9" s="141">
        <v>3965941</v>
      </c>
      <c r="EQ9" s="141">
        <v>329638</v>
      </c>
      <c r="ER9" s="73">
        <f t="shared" si="12"/>
        <v>6990622</v>
      </c>
      <c r="ES9" s="141">
        <v>87483929</v>
      </c>
      <c r="ET9" s="141">
        <v>-17908018</v>
      </c>
      <c r="EU9" s="141">
        <v>24582959</v>
      </c>
      <c r="EV9" s="141">
        <v>15982582</v>
      </c>
      <c r="EW9" s="141">
        <v>15778358</v>
      </c>
      <c r="EX9" s="141">
        <v>9527884</v>
      </c>
      <c r="EY9" s="73">
        <f t="shared" si="13"/>
        <v>4467493</v>
      </c>
      <c r="EZ9" s="141">
        <v>4467493</v>
      </c>
      <c r="FA9" s="141">
        <v>380046</v>
      </c>
      <c r="FB9" s="141">
        <v>4087447</v>
      </c>
      <c r="FC9" s="141">
        <v>0</v>
      </c>
      <c r="FD9" s="141">
        <v>0</v>
      </c>
      <c r="FE9" s="141">
        <v>13822642</v>
      </c>
      <c r="FF9" s="141">
        <v>11506166</v>
      </c>
      <c r="FG9" s="141">
        <v>1258750</v>
      </c>
      <c r="FH9" s="141">
        <v>11689826</v>
      </c>
      <c r="FI9" s="73">
        <f t="shared" si="14"/>
        <v>8863547</v>
      </c>
      <c r="FJ9" s="141">
        <v>100238875</v>
      </c>
      <c r="FK9" s="379">
        <f t="shared" si="15"/>
        <v>4.4000000000000004</v>
      </c>
      <c r="FL9" s="141">
        <v>81057590</v>
      </c>
      <c r="FM9" s="141">
        <v>5653231</v>
      </c>
      <c r="FN9" s="141">
        <v>57897462</v>
      </c>
      <c r="FO9" s="141">
        <v>64026792</v>
      </c>
      <c r="FP9" s="390">
        <v>0.91100000000000003</v>
      </c>
      <c r="FQ9" s="380">
        <v>90.8</v>
      </c>
      <c r="FR9" s="381">
        <v>27</v>
      </c>
      <c r="FS9" s="380">
        <v>17.8</v>
      </c>
      <c r="FT9" s="380">
        <v>10.8</v>
      </c>
      <c r="FU9" s="381">
        <v>13.4</v>
      </c>
      <c r="FV9" s="380">
        <v>9.4</v>
      </c>
      <c r="FW9" s="382">
        <v>11.3</v>
      </c>
      <c r="FX9" s="388">
        <v>3.1</v>
      </c>
      <c r="FY9" s="141">
        <v>86636693</v>
      </c>
      <c r="FZ9" s="384">
        <f t="shared" si="16"/>
        <v>99.9</v>
      </c>
      <c r="GA9" s="141">
        <v>19488900</v>
      </c>
      <c r="GB9" s="141">
        <v>8481096</v>
      </c>
      <c r="GC9" s="141">
        <v>1517654</v>
      </c>
      <c r="GD9" s="141">
        <v>9490150</v>
      </c>
      <c r="GE9" s="107">
        <v>0</v>
      </c>
      <c r="GF9" s="385"/>
      <c r="GG9" s="386"/>
      <c r="GH9" s="380">
        <v>98.6</v>
      </c>
      <c r="GI9" s="380">
        <v>28.1</v>
      </c>
      <c r="GJ9" s="380">
        <v>96.9</v>
      </c>
      <c r="GK9" s="141">
        <v>2392</v>
      </c>
      <c r="GL9" s="391" t="s">
        <v>646</v>
      </c>
      <c r="GM9" s="391">
        <v>11.25</v>
      </c>
      <c r="GN9" s="117">
        <v>20</v>
      </c>
      <c r="GO9" s="391" t="s">
        <v>646</v>
      </c>
      <c r="GP9" s="392">
        <v>16.25</v>
      </c>
      <c r="GQ9" s="387">
        <v>30</v>
      </c>
      <c r="GR9" s="381">
        <v>3.1</v>
      </c>
      <c r="GS9" s="388">
        <v>25</v>
      </c>
      <c r="GT9" s="388">
        <v>35</v>
      </c>
      <c r="GU9" s="393" t="s">
        <v>646</v>
      </c>
      <c r="GV9" s="388">
        <v>350</v>
      </c>
      <c r="GW9" s="394"/>
      <c r="GX9" s="100">
        <f t="shared" si="17"/>
        <v>86711</v>
      </c>
      <c r="GY9" s="394"/>
      <c r="GZ9" s="394"/>
      <c r="HA9" s="394"/>
      <c r="HB9" s="394"/>
      <c r="HC9" s="394"/>
      <c r="HD9" s="394"/>
      <c r="HE9" s="394"/>
      <c r="HF9" s="394"/>
      <c r="HG9" s="394"/>
      <c r="HH9" s="394"/>
      <c r="HI9" s="394"/>
      <c r="HJ9" s="394"/>
      <c r="HK9" s="394"/>
      <c r="HL9" s="394"/>
      <c r="HM9" s="394"/>
      <c r="HN9" s="394"/>
      <c r="HO9" s="394"/>
      <c r="HP9" s="394"/>
      <c r="HQ9" s="394"/>
      <c r="HR9" s="394"/>
      <c r="HS9" s="394"/>
      <c r="HT9" s="394"/>
      <c r="HU9" s="394"/>
      <c r="HV9" s="394"/>
      <c r="HW9" s="394"/>
      <c r="HX9" s="394"/>
    </row>
    <row r="10" spans="2:232" x14ac:dyDescent="0.15">
      <c r="B10" s="89" t="s">
        <v>9</v>
      </c>
      <c r="C10" s="141">
        <v>17229498</v>
      </c>
      <c r="D10" s="73">
        <f t="shared" si="0"/>
        <v>7148236</v>
      </c>
      <c r="E10" s="141">
        <v>176206</v>
      </c>
      <c r="F10" s="141">
        <v>6972030</v>
      </c>
      <c r="G10" s="73">
        <f t="shared" si="1"/>
        <v>1514373</v>
      </c>
      <c r="H10" s="141">
        <v>288536</v>
      </c>
      <c r="I10" s="141">
        <v>1225837</v>
      </c>
      <c r="J10" s="141">
        <v>6456637</v>
      </c>
      <c r="K10" s="141">
        <v>2674733</v>
      </c>
      <c r="L10" s="141">
        <v>2944885</v>
      </c>
      <c r="M10" s="141">
        <v>824436</v>
      </c>
      <c r="N10" s="141">
        <v>528485</v>
      </c>
      <c r="O10" s="141">
        <v>1456786</v>
      </c>
      <c r="P10" s="141">
        <v>819185</v>
      </c>
      <c r="Q10" s="141">
        <v>637601</v>
      </c>
      <c r="R10" s="141">
        <v>174330</v>
      </c>
      <c r="S10" s="74"/>
      <c r="T10" s="73">
        <f t="shared" si="2"/>
        <v>2598928</v>
      </c>
      <c r="U10" s="141">
        <v>24931</v>
      </c>
      <c r="V10" s="141">
        <v>105622</v>
      </c>
      <c r="W10" s="141">
        <v>119585</v>
      </c>
      <c r="X10" s="141">
        <v>2102283</v>
      </c>
      <c r="Y10" s="141">
        <v>53014</v>
      </c>
      <c r="Z10" s="141">
        <v>0</v>
      </c>
      <c r="AA10" s="141">
        <v>4</v>
      </c>
      <c r="AB10" s="141">
        <v>27645</v>
      </c>
      <c r="AC10" s="141">
        <v>165844</v>
      </c>
      <c r="AD10" s="141">
        <v>102883</v>
      </c>
      <c r="AE10" s="141">
        <v>2449569</v>
      </c>
      <c r="AF10" s="141">
        <v>1915683</v>
      </c>
      <c r="AG10" s="141">
        <v>533886</v>
      </c>
      <c r="AH10" s="141">
        <v>12152</v>
      </c>
      <c r="AI10" s="141">
        <v>131817</v>
      </c>
      <c r="AJ10" s="73">
        <f t="shared" si="3"/>
        <v>852848</v>
      </c>
      <c r="AK10" s="141">
        <v>592556</v>
      </c>
      <c r="AL10" s="141">
        <v>260292</v>
      </c>
      <c r="AM10" s="141">
        <v>18447811</v>
      </c>
      <c r="AN10" s="73">
        <f t="shared" si="4"/>
        <v>3234830</v>
      </c>
      <c r="AO10" s="141">
        <v>1232078</v>
      </c>
      <c r="AP10" s="141">
        <v>1094966</v>
      </c>
      <c r="AQ10" s="74"/>
      <c r="AR10" s="141">
        <v>907786</v>
      </c>
      <c r="AS10" s="141">
        <v>825561</v>
      </c>
      <c r="AT10" s="141">
        <v>0</v>
      </c>
      <c r="AU10" s="141">
        <v>0</v>
      </c>
      <c r="AV10" s="141">
        <v>3118782</v>
      </c>
      <c r="AW10" s="141">
        <v>1977390</v>
      </c>
      <c r="AX10" s="141">
        <v>471094</v>
      </c>
      <c r="AY10" s="141">
        <v>121307</v>
      </c>
      <c r="AZ10" s="141">
        <v>1141392</v>
      </c>
      <c r="BA10" s="141">
        <v>9700</v>
      </c>
      <c r="BB10" s="141">
        <v>106598</v>
      </c>
      <c r="BC10" s="141">
        <v>65038</v>
      </c>
      <c r="BD10" s="141">
        <v>161059</v>
      </c>
      <c r="BE10" s="141">
        <v>564959</v>
      </c>
      <c r="BF10" s="141">
        <v>500000</v>
      </c>
      <c r="BG10" s="141">
        <v>0</v>
      </c>
      <c r="BH10" s="141">
        <v>64195</v>
      </c>
      <c r="BI10" s="141">
        <v>0</v>
      </c>
      <c r="BJ10" s="141">
        <v>446698</v>
      </c>
      <c r="BK10" s="141">
        <v>49355</v>
      </c>
      <c r="BL10" s="141">
        <v>678625</v>
      </c>
      <c r="BM10" s="141">
        <v>124787</v>
      </c>
      <c r="BN10" s="141">
        <v>2040</v>
      </c>
      <c r="BO10" s="141">
        <v>157924</v>
      </c>
      <c r="BP10" s="141">
        <v>3263000</v>
      </c>
      <c r="BQ10" s="73">
        <f t="shared" si="5"/>
        <v>1603900</v>
      </c>
      <c r="BR10" s="73">
        <f t="shared" si="6"/>
        <v>1659100</v>
      </c>
      <c r="BS10" s="141">
        <v>0</v>
      </c>
      <c r="BT10" s="141">
        <v>659100</v>
      </c>
      <c r="BU10" s="141">
        <v>1000000</v>
      </c>
      <c r="BV10" s="141">
        <v>0</v>
      </c>
      <c r="BW10" s="141">
        <v>50339557</v>
      </c>
      <c r="BX10" s="71"/>
      <c r="BY10" s="141">
        <v>7533229</v>
      </c>
      <c r="BZ10" s="141">
        <v>4327159</v>
      </c>
      <c r="CA10" s="141">
        <v>601678</v>
      </c>
      <c r="CB10" s="141">
        <v>1204019</v>
      </c>
      <c r="CC10" s="141">
        <v>9667816</v>
      </c>
      <c r="CD10" s="141">
        <v>2356044</v>
      </c>
      <c r="CE10" s="141">
        <v>26536</v>
      </c>
      <c r="CF10" s="141">
        <v>5226428</v>
      </c>
      <c r="CG10" s="141">
        <v>1463186</v>
      </c>
      <c r="CH10" s="141">
        <v>13654</v>
      </c>
      <c r="CI10" s="141">
        <v>581608</v>
      </c>
      <c r="CJ10" s="141">
        <v>3123629</v>
      </c>
      <c r="CK10" s="141">
        <v>2938028</v>
      </c>
      <c r="CL10" s="83">
        <f t="shared" si="7"/>
        <v>185601</v>
      </c>
      <c r="CM10" s="141">
        <v>6311458</v>
      </c>
      <c r="CN10" s="141">
        <v>4223867</v>
      </c>
      <c r="CO10" s="102"/>
      <c r="CP10" s="141">
        <v>843714</v>
      </c>
      <c r="CQ10" s="141">
        <v>306885</v>
      </c>
      <c r="CR10" s="141">
        <v>13886889</v>
      </c>
      <c r="CS10" s="141">
        <v>2260</v>
      </c>
      <c r="CT10" s="141">
        <v>11892439</v>
      </c>
      <c r="CU10" s="141">
        <v>1282395</v>
      </c>
      <c r="CV10" s="73">
        <f t="shared" si="8"/>
        <v>920676</v>
      </c>
      <c r="CW10" s="141">
        <v>843978</v>
      </c>
      <c r="CX10" s="141">
        <v>76698</v>
      </c>
      <c r="CY10" s="73">
        <f t="shared" si="9"/>
        <v>193567</v>
      </c>
      <c r="CZ10" s="141">
        <v>193567</v>
      </c>
      <c r="DA10" s="141">
        <v>0</v>
      </c>
      <c r="DB10" s="73">
        <f t="shared" si="10"/>
        <v>724199</v>
      </c>
      <c r="DC10" s="141">
        <v>647501</v>
      </c>
      <c r="DD10" s="141">
        <v>76698</v>
      </c>
      <c r="DE10" s="141">
        <v>4112136</v>
      </c>
      <c r="DF10" s="141">
        <v>2057721</v>
      </c>
      <c r="DG10" s="141">
        <v>2054415</v>
      </c>
      <c r="DH10" s="141">
        <v>0</v>
      </c>
      <c r="DI10" s="141">
        <v>0</v>
      </c>
      <c r="DJ10" s="141">
        <v>4469</v>
      </c>
      <c r="DK10" s="141">
        <v>203997</v>
      </c>
      <c r="DL10" s="141">
        <v>1632</v>
      </c>
      <c r="DM10" s="141">
        <v>0</v>
      </c>
      <c r="DN10" s="141">
        <v>202365</v>
      </c>
      <c r="DO10" s="141">
        <v>808706</v>
      </c>
      <c r="DP10" s="141">
        <v>808706</v>
      </c>
      <c r="DQ10" s="141">
        <v>0</v>
      </c>
      <c r="DR10" s="141">
        <v>794433</v>
      </c>
      <c r="DS10" s="141">
        <v>121500</v>
      </c>
      <c r="DT10" s="141">
        <v>0</v>
      </c>
      <c r="DU10" s="141">
        <v>0</v>
      </c>
      <c r="DV10" s="141">
        <v>3962928</v>
      </c>
      <c r="DW10" s="141">
        <v>0</v>
      </c>
      <c r="DX10" s="73">
        <f t="shared" si="11"/>
        <v>0</v>
      </c>
      <c r="DY10" s="141">
        <v>0</v>
      </c>
      <c r="DZ10" s="141">
        <v>1447798</v>
      </c>
      <c r="EA10" s="141">
        <v>10168</v>
      </c>
      <c r="EB10" s="141">
        <v>1044502</v>
      </c>
      <c r="EC10" s="74">
        <v>0</v>
      </c>
      <c r="ED10" s="141">
        <v>1460460</v>
      </c>
      <c r="EE10" s="141">
        <v>0</v>
      </c>
      <c r="EF10" s="141">
        <v>50043642</v>
      </c>
      <c r="EG10" s="71"/>
      <c r="EH10" s="141">
        <v>295915</v>
      </c>
      <c r="EI10" s="141">
        <v>65231</v>
      </c>
      <c r="EJ10" s="141">
        <v>230684</v>
      </c>
      <c r="EK10" s="141">
        <v>121329</v>
      </c>
      <c r="EL10" s="141">
        <v>-326839</v>
      </c>
      <c r="EM10" s="71"/>
      <c r="EN10" s="141">
        <v>105017</v>
      </c>
      <c r="EO10" s="141">
        <v>103712</v>
      </c>
      <c r="EP10" s="141">
        <v>500000</v>
      </c>
      <c r="EQ10" s="141">
        <v>103903</v>
      </c>
      <c r="ER10" s="73">
        <f t="shared" si="12"/>
        <v>1581692</v>
      </c>
      <c r="ES10" s="141">
        <v>22567360</v>
      </c>
      <c r="ET10" s="141">
        <v>-3832543</v>
      </c>
      <c r="EU10" s="141">
        <v>7106182</v>
      </c>
      <c r="EV10" s="141">
        <v>4107387</v>
      </c>
      <c r="EW10" s="141">
        <v>2565928</v>
      </c>
      <c r="EX10" s="141">
        <v>3123629</v>
      </c>
      <c r="EY10" s="73">
        <f t="shared" si="13"/>
        <v>884077</v>
      </c>
      <c r="EZ10" s="141">
        <v>879608</v>
      </c>
      <c r="FA10" s="141">
        <v>151904</v>
      </c>
      <c r="FB10" s="141">
        <v>727704</v>
      </c>
      <c r="FC10" s="141">
        <v>4469</v>
      </c>
      <c r="FD10" s="141">
        <v>0</v>
      </c>
      <c r="FE10" s="141">
        <v>4991032</v>
      </c>
      <c r="FF10" s="141">
        <v>3126897</v>
      </c>
      <c r="FG10" s="141">
        <v>2260</v>
      </c>
      <c r="FH10" s="141">
        <v>3160610</v>
      </c>
      <c r="FI10" s="73">
        <f t="shared" si="14"/>
        <v>1145633</v>
      </c>
      <c r="FJ10" s="141">
        <v>26103988</v>
      </c>
      <c r="FK10" s="379">
        <f t="shared" si="15"/>
        <v>1</v>
      </c>
      <c r="FL10" s="141">
        <v>21267525</v>
      </c>
      <c r="FM10" s="141">
        <v>1107285</v>
      </c>
      <c r="FN10" s="141">
        <v>15005843</v>
      </c>
      <c r="FO10" s="141">
        <v>16934204</v>
      </c>
      <c r="FP10" s="390">
        <v>0.88500000000000001</v>
      </c>
      <c r="FQ10" s="380">
        <v>94.8</v>
      </c>
      <c r="FR10" s="381">
        <v>29.9</v>
      </c>
      <c r="FS10" s="380">
        <v>11.4</v>
      </c>
      <c r="FT10" s="380">
        <v>13.7</v>
      </c>
      <c r="FU10" s="381">
        <v>18.899999999999999</v>
      </c>
      <c r="FV10" s="380">
        <v>6.5</v>
      </c>
      <c r="FW10" s="382">
        <v>13.2</v>
      </c>
      <c r="FX10" s="388">
        <v>3.4</v>
      </c>
      <c r="FY10" s="141">
        <v>36650028</v>
      </c>
      <c r="FZ10" s="384">
        <f t="shared" si="16"/>
        <v>163.80000000000001</v>
      </c>
      <c r="GA10" s="141">
        <v>6999203</v>
      </c>
      <c r="GB10" s="141">
        <v>4811822</v>
      </c>
      <c r="GC10" s="141">
        <v>0</v>
      </c>
      <c r="GD10" s="141">
        <v>2187381</v>
      </c>
      <c r="GE10" s="107">
        <v>0</v>
      </c>
      <c r="GF10" s="385"/>
      <c r="GG10" s="386"/>
      <c r="GH10" s="380">
        <v>98.8</v>
      </c>
      <c r="GI10" s="380">
        <v>31.9</v>
      </c>
      <c r="GJ10" s="380">
        <v>97</v>
      </c>
      <c r="GK10" s="141">
        <v>596</v>
      </c>
      <c r="GL10" s="391" t="s">
        <v>646</v>
      </c>
      <c r="GM10" s="391">
        <v>12.28</v>
      </c>
      <c r="GN10" s="117">
        <v>20</v>
      </c>
      <c r="GO10" s="391" t="s">
        <v>646</v>
      </c>
      <c r="GP10" s="392">
        <v>17.28</v>
      </c>
      <c r="GQ10" s="387">
        <v>30</v>
      </c>
      <c r="GR10" s="381">
        <v>3.4</v>
      </c>
      <c r="GS10" s="388">
        <v>25</v>
      </c>
      <c r="GT10" s="388">
        <v>35</v>
      </c>
      <c r="GU10" s="393" t="s">
        <v>646</v>
      </c>
      <c r="GV10" s="388">
        <v>350</v>
      </c>
      <c r="GW10" s="394"/>
      <c r="GX10" s="100">
        <f t="shared" si="17"/>
        <v>22375</v>
      </c>
      <c r="GY10" s="394"/>
      <c r="GZ10" s="394"/>
      <c r="HA10" s="394"/>
      <c r="HB10" s="394"/>
      <c r="HC10" s="394"/>
      <c r="HD10" s="394"/>
      <c r="HE10" s="394"/>
      <c r="HF10" s="394"/>
      <c r="HG10" s="394"/>
      <c r="HH10" s="394"/>
      <c r="HI10" s="394"/>
      <c r="HJ10" s="394"/>
      <c r="HK10" s="394"/>
      <c r="HL10" s="394"/>
      <c r="HM10" s="394"/>
      <c r="HN10" s="394"/>
      <c r="HO10" s="394"/>
      <c r="HP10" s="394"/>
      <c r="HQ10" s="394"/>
      <c r="HR10" s="394"/>
      <c r="HS10" s="394"/>
      <c r="HT10" s="394"/>
      <c r="HU10" s="394"/>
      <c r="HV10" s="394"/>
      <c r="HW10" s="394"/>
      <c r="HX10" s="394"/>
    </row>
    <row r="11" spans="2:232" x14ac:dyDescent="0.15">
      <c r="B11" s="89" t="s">
        <v>11</v>
      </c>
      <c r="C11" s="141">
        <v>67724631</v>
      </c>
      <c r="D11" s="73">
        <f t="shared" si="0"/>
        <v>29105064</v>
      </c>
      <c r="E11" s="141">
        <v>641707</v>
      </c>
      <c r="F11" s="141">
        <v>28463357</v>
      </c>
      <c r="G11" s="73">
        <f t="shared" si="1"/>
        <v>4418425</v>
      </c>
      <c r="H11" s="141">
        <v>1190180</v>
      </c>
      <c r="I11" s="141">
        <v>3228245</v>
      </c>
      <c r="J11" s="141">
        <v>25517185</v>
      </c>
      <c r="K11" s="141">
        <v>9417602</v>
      </c>
      <c r="L11" s="141">
        <v>12738768</v>
      </c>
      <c r="M11" s="141">
        <v>2718039</v>
      </c>
      <c r="N11" s="141">
        <v>1641452</v>
      </c>
      <c r="O11" s="141">
        <v>5655976</v>
      </c>
      <c r="P11" s="141">
        <v>2815633</v>
      </c>
      <c r="Q11" s="141">
        <v>2840343</v>
      </c>
      <c r="R11" s="141">
        <v>579961</v>
      </c>
      <c r="S11" s="74"/>
      <c r="T11" s="73">
        <f t="shared" si="2"/>
        <v>9082359</v>
      </c>
      <c r="U11" s="141">
        <v>99892</v>
      </c>
      <c r="V11" s="141">
        <v>423321</v>
      </c>
      <c r="W11" s="141">
        <v>479550</v>
      </c>
      <c r="X11" s="141">
        <v>7597262</v>
      </c>
      <c r="Y11" s="141">
        <v>0</v>
      </c>
      <c r="Z11" s="141">
        <v>0</v>
      </c>
      <c r="AA11" s="141">
        <v>14</v>
      </c>
      <c r="AB11" s="141">
        <v>99489</v>
      </c>
      <c r="AC11" s="141">
        <v>382831</v>
      </c>
      <c r="AD11" s="141">
        <v>348954</v>
      </c>
      <c r="AE11" s="141">
        <v>1071578</v>
      </c>
      <c r="AF11" s="141">
        <v>862213</v>
      </c>
      <c r="AG11" s="141">
        <v>209277</v>
      </c>
      <c r="AH11" s="141">
        <v>41674</v>
      </c>
      <c r="AI11" s="141">
        <v>752921</v>
      </c>
      <c r="AJ11" s="73">
        <f t="shared" si="3"/>
        <v>2289102</v>
      </c>
      <c r="AK11" s="141">
        <v>1745778</v>
      </c>
      <c r="AL11" s="141">
        <v>543324</v>
      </c>
      <c r="AM11" s="141">
        <v>70574679</v>
      </c>
      <c r="AN11" s="73">
        <f t="shared" si="4"/>
        <v>15395644</v>
      </c>
      <c r="AO11" s="141">
        <v>7425967</v>
      </c>
      <c r="AP11" s="141">
        <v>3482414</v>
      </c>
      <c r="AQ11" s="74"/>
      <c r="AR11" s="141">
        <v>4487263</v>
      </c>
      <c r="AS11" s="141">
        <v>1430118</v>
      </c>
      <c r="AT11" s="141">
        <v>0</v>
      </c>
      <c r="AU11" s="141">
        <v>0</v>
      </c>
      <c r="AV11" s="141">
        <v>10200677</v>
      </c>
      <c r="AW11" s="141">
        <v>6983683</v>
      </c>
      <c r="AX11" s="141">
        <v>1449382</v>
      </c>
      <c r="AY11" s="141">
        <v>240483</v>
      </c>
      <c r="AZ11" s="141">
        <v>3216994</v>
      </c>
      <c r="BA11" s="141">
        <v>0</v>
      </c>
      <c r="BB11" s="141">
        <v>537678</v>
      </c>
      <c r="BC11" s="141">
        <v>472814</v>
      </c>
      <c r="BD11" s="141">
        <v>1051620</v>
      </c>
      <c r="BE11" s="141">
        <v>2003524</v>
      </c>
      <c r="BF11" s="141">
        <v>800000</v>
      </c>
      <c r="BG11" s="141">
        <v>0</v>
      </c>
      <c r="BH11" s="141">
        <v>1160550</v>
      </c>
      <c r="BI11" s="141">
        <v>39956</v>
      </c>
      <c r="BJ11" s="141">
        <v>2089841</v>
      </c>
      <c r="BK11" s="141">
        <v>414184</v>
      </c>
      <c r="BL11" s="141">
        <v>4325030</v>
      </c>
      <c r="BM11" s="141">
        <v>838720</v>
      </c>
      <c r="BN11" s="141">
        <v>129148</v>
      </c>
      <c r="BO11" s="141">
        <v>227547</v>
      </c>
      <c r="BP11" s="141">
        <v>9315200</v>
      </c>
      <c r="BQ11" s="73">
        <f t="shared" si="5"/>
        <v>7615200</v>
      </c>
      <c r="BR11" s="73">
        <f t="shared" si="6"/>
        <v>1700000</v>
      </c>
      <c r="BS11" s="141">
        <v>0</v>
      </c>
      <c r="BT11" s="141">
        <v>0</v>
      </c>
      <c r="BU11" s="141">
        <v>1700000</v>
      </c>
      <c r="BV11" s="141">
        <v>0</v>
      </c>
      <c r="BW11" s="141">
        <v>181989429</v>
      </c>
      <c r="BX11" s="71"/>
      <c r="BY11" s="141">
        <v>25589086</v>
      </c>
      <c r="BZ11" s="141">
        <v>16666304</v>
      </c>
      <c r="CA11" s="141">
        <v>1451844</v>
      </c>
      <c r="CB11" s="141">
        <v>2870339</v>
      </c>
      <c r="CC11" s="141">
        <v>41201759</v>
      </c>
      <c r="CD11" s="141">
        <v>10292074</v>
      </c>
      <c r="CE11" s="141">
        <v>81417</v>
      </c>
      <c r="CF11" s="141">
        <v>18120847</v>
      </c>
      <c r="CG11" s="141">
        <v>9901290</v>
      </c>
      <c r="CH11" s="141">
        <v>442982</v>
      </c>
      <c r="CI11" s="141">
        <v>2363149</v>
      </c>
      <c r="CJ11" s="141">
        <v>5584435</v>
      </c>
      <c r="CK11" s="141">
        <v>5268174</v>
      </c>
      <c r="CL11" s="83">
        <f t="shared" si="7"/>
        <v>316261</v>
      </c>
      <c r="CM11" s="141">
        <v>22221756</v>
      </c>
      <c r="CN11" s="141">
        <v>15133189</v>
      </c>
      <c r="CO11" s="102"/>
      <c r="CP11" s="141">
        <v>2707252</v>
      </c>
      <c r="CQ11" s="141">
        <v>2783142</v>
      </c>
      <c r="CR11" s="141">
        <v>49099316</v>
      </c>
      <c r="CS11" s="141">
        <v>7932</v>
      </c>
      <c r="CT11" s="141">
        <v>41769268</v>
      </c>
      <c r="CU11" s="141">
        <v>2626903</v>
      </c>
      <c r="CV11" s="73">
        <f t="shared" si="8"/>
        <v>2810023</v>
      </c>
      <c r="CW11" s="141">
        <v>2659367</v>
      </c>
      <c r="CX11" s="141">
        <v>150656</v>
      </c>
      <c r="CY11" s="73">
        <f t="shared" si="9"/>
        <v>0</v>
      </c>
      <c r="CZ11" s="141">
        <v>0</v>
      </c>
      <c r="DA11" s="141">
        <v>0</v>
      </c>
      <c r="DB11" s="73">
        <f t="shared" si="10"/>
        <v>2765241</v>
      </c>
      <c r="DC11" s="141">
        <v>2623257</v>
      </c>
      <c r="DD11" s="141">
        <v>141984</v>
      </c>
      <c r="DE11" s="141">
        <v>16179367</v>
      </c>
      <c r="DF11" s="141">
        <v>4252843</v>
      </c>
      <c r="DG11" s="141">
        <v>11758729</v>
      </c>
      <c r="DH11" s="141">
        <v>20011</v>
      </c>
      <c r="DI11" s="141">
        <v>147784</v>
      </c>
      <c r="DJ11" s="141">
        <v>240576</v>
      </c>
      <c r="DK11" s="141">
        <v>4622867</v>
      </c>
      <c r="DL11" s="141">
        <v>204625</v>
      </c>
      <c r="DM11" s="141">
        <v>0</v>
      </c>
      <c r="DN11" s="141">
        <v>4418242</v>
      </c>
      <c r="DO11" s="141">
        <v>0</v>
      </c>
      <c r="DP11" s="141">
        <v>0</v>
      </c>
      <c r="DQ11" s="141">
        <v>0</v>
      </c>
      <c r="DR11" s="141">
        <v>0</v>
      </c>
      <c r="DS11" s="141">
        <v>1233827</v>
      </c>
      <c r="DT11" s="141">
        <v>0</v>
      </c>
      <c r="DU11" s="141">
        <v>0</v>
      </c>
      <c r="DV11" s="141">
        <v>11910298</v>
      </c>
      <c r="DW11" s="141">
        <v>0</v>
      </c>
      <c r="DX11" s="73">
        <f t="shared" si="11"/>
        <v>0</v>
      </c>
      <c r="DY11" s="141">
        <v>0</v>
      </c>
      <c r="DZ11" s="141">
        <v>4463247</v>
      </c>
      <c r="EA11" s="141">
        <v>0</v>
      </c>
      <c r="EB11" s="141">
        <v>2964579</v>
      </c>
      <c r="EC11" s="74">
        <v>0</v>
      </c>
      <c r="ED11" s="141">
        <v>4342728</v>
      </c>
      <c r="EE11" s="141">
        <v>0</v>
      </c>
      <c r="EF11" s="141">
        <v>180666429</v>
      </c>
      <c r="EG11" s="71"/>
      <c r="EH11" s="141">
        <v>1323000</v>
      </c>
      <c r="EI11" s="141">
        <v>888096</v>
      </c>
      <c r="EJ11" s="141">
        <v>434904</v>
      </c>
      <c r="EK11" s="141">
        <v>20720</v>
      </c>
      <c r="EL11" s="141">
        <v>-574655</v>
      </c>
      <c r="EM11" s="71"/>
      <c r="EN11" s="141">
        <v>385787</v>
      </c>
      <c r="EO11" s="141">
        <v>376101</v>
      </c>
      <c r="EP11" s="141">
        <v>950531</v>
      </c>
      <c r="EQ11" s="141">
        <v>536059</v>
      </c>
      <c r="ER11" s="73">
        <f t="shared" si="12"/>
        <v>7898455</v>
      </c>
      <c r="ES11" s="141">
        <v>78849157</v>
      </c>
      <c r="ET11" s="141">
        <v>-11043371</v>
      </c>
      <c r="EU11" s="141">
        <v>23470048</v>
      </c>
      <c r="EV11" s="141">
        <v>15516573</v>
      </c>
      <c r="EW11" s="141">
        <v>11437160</v>
      </c>
      <c r="EX11" s="141">
        <v>5583693</v>
      </c>
      <c r="EY11" s="73">
        <f t="shared" si="13"/>
        <v>5064789</v>
      </c>
      <c r="EZ11" s="141">
        <v>5057313</v>
      </c>
      <c r="FA11" s="141">
        <v>147245</v>
      </c>
      <c r="FB11" s="141">
        <v>4889851</v>
      </c>
      <c r="FC11" s="141">
        <v>7476</v>
      </c>
      <c r="FD11" s="141">
        <v>0</v>
      </c>
      <c r="FE11" s="141">
        <v>17552620</v>
      </c>
      <c r="FF11" s="141">
        <v>9081407</v>
      </c>
      <c r="FG11" s="141">
        <v>7932</v>
      </c>
      <c r="FH11" s="141">
        <v>9361564</v>
      </c>
      <c r="FI11" s="73">
        <f t="shared" si="14"/>
        <v>7018247</v>
      </c>
      <c r="FJ11" s="141">
        <v>88569528</v>
      </c>
      <c r="FK11" s="379">
        <f t="shared" si="15"/>
        <v>0.6</v>
      </c>
      <c r="FL11" s="141">
        <v>73488042</v>
      </c>
      <c r="FM11" s="141">
        <v>1717885</v>
      </c>
      <c r="FN11" s="141">
        <v>55936325</v>
      </c>
      <c r="FO11" s="141">
        <v>56827570</v>
      </c>
      <c r="FP11" s="390">
        <v>0.98799999999999999</v>
      </c>
      <c r="FQ11" s="380">
        <v>95.2</v>
      </c>
      <c r="FR11" s="381">
        <v>30.4</v>
      </c>
      <c r="FS11" s="380">
        <v>15</v>
      </c>
      <c r="FT11" s="380">
        <v>7.3</v>
      </c>
      <c r="FU11" s="381">
        <v>20.3</v>
      </c>
      <c r="FV11" s="380">
        <v>7</v>
      </c>
      <c r="FW11" s="382">
        <v>11.7</v>
      </c>
      <c r="FX11" s="388">
        <v>-2.1</v>
      </c>
      <c r="FY11" s="141">
        <v>55555753</v>
      </c>
      <c r="FZ11" s="384">
        <f t="shared" si="16"/>
        <v>73.900000000000006</v>
      </c>
      <c r="GA11" s="141">
        <v>35010004</v>
      </c>
      <c r="GB11" s="141">
        <v>12786144</v>
      </c>
      <c r="GC11" s="141">
        <v>0</v>
      </c>
      <c r="GD11" s="141">
        <v>22223860</v>
      </c>
      <c r="GE11" s="107">
        <v>0</v>
      </c>
      <c r="GF11" s="385"/>
      <c r="GG11" s="386"/>
      <c r="GH11" s="380">
        <v>97.9</v>
      </c>
      <c r="GI11" s="380">
        <v>38.200000000000003</v>
      </c>
      <c r="GJ11" s="380">
        <v>97</v>
      </c>
      <c r="GK11" s="141">
        <v>2470</v>
      </c>
      <c r="GL11" s="391" t="s">
        <v>646</v>
      </c>
      <c r="GM11" s="391">
        <v>11.25</v>
      </c>
      <c r="GN11" s="117">
        <v>20</v>
      </c>
      <c r="GO11" s="391" t="s">
        <v>646</v>
      </c>
      <c r="GP11" s="392">
        <v>16.25</v>
      </c>
      <c r="GQ11" s="387">
        <v>30</v>
      </c>
      <c r="GR11" s="381">
        <v>-2.1</v>
      </c>
      <c r="GS11" s="388">
        <v>25</v>
      </c>
      <c r="GT11" s="388">
        <v>35</v>
      </c>
      <c r="GU11" s="393" t="s">
        <v>646</v>
      </c>
      <c r="GV11" s="388">
        <v>350</v>
      </c>
      <c r="GW11" s="394"/>
      <c r="GX11" s="100">
        <f t="shared" si="17"/>
        <v>75206</v>
      </c>
      <c r="GY11" s="394"/>
      <c r="GZ11" s="394"/>
      <c r="HA11" s="394"/>
      <c r="HB11" s="394"/>
      <c r="HC11" s="394"/>
      <c r="HD11" s="394"/>
      <c r="HE11" s="394"/>
      <c r="HF11" s="394"/>
      <c r="HG11" s="394"/>
      <c r="HH11" s="394"/>
      <c r="HI11" s="394"/>
      <c r="HJ11" s="394"/>
      <c r="HK11" s="394"/>
      <c r="HL11" s="394"/>
      <c r="HM11" s="394"/>
      <c r="HN11" s="394"/>
      <c r="HO11" s="394"/>
      <c r="HP11" s="394"/>
      <c r="HQ11" s="394"/>
      <c r="HR11" s="394"/>
      <c r="HS11" s="394"/>
      <c r="HT11" s="394"/>
      <c r="HU11" s="394"/>
      <c r="HV11" s="394"/>
      <c r="HW11" s="394"/>
      <c r="HX11" s="394"/>
    </row>
    <row r="12" spans="2:232" x14ac:dyDescent="0.15">
      <c r="B12" s="89" t="s">
        <v>13</v>
      </c>
      <c r="C12" s="141">
        <v>11607959</v>
      </c>
      <c r="D12" s="73">
        <f t="shared" si="0"/>
        <v>3883713</v>
      </c>
      <c r="E12" s="141">
        <v>122232</v>
      </c>
      <c r="F12" s="141">
        <v>3761481</v>
      </c>
      <c r="G12" s="73">
        <f t="shared" si="1"/>
        <v>749788</v>
      </c>
      <c r="H12" s="141">
        <v>270195</v>
      </c>
      <c r="I12" s="141">
        <v>479593</v>
      </c>
      <c r="J12" s="141">
        <v>5291510</v>
      </c>
      <c r="K12" s="141">
        <v>1907936</v>
      </c>
      <c r="L12" s="141">
        <v>2117242</v>
      </c>
      <c r="M12" s="141">
        <v>715368</v>
      </c>
      <c r="N12" s="141">
        <v>572693</v>
      </c>
      <c r="O12" s="141">
        <v>986079</v>
      </c>
      <c r="P12" s="141">
        <v>520164</v>
      </c>
      <c r="Q12" s="141">
        <v>465915</v>
      </c>
      <c r="R12" s="141">
        <v>187953</v>
      </c>
      <c r="S12" s="74"/>
      <c r="T12" s="73">
        <f t="shared" si="2"/>
        <v>1762477</v>
      </c>
      <c r="U12" s="141">
        <v>13390</v>
      </c>
      <c r="V12" s="141">
        <v>56714</v>
      </c>
      <c r="W12" s="141">
        <v>64182</v>
      </c>
      <c r="X12" s="141">
        <v>1545766</v>
      </c>
      <c r="Y12" s="141">
        <v>0</v>
      </c>
      <c r="Z12" s="141">
        <v>0</v>
      </c>
      <c r="AA12" s="141">
        <v>3</v>
      </c>
      <c r="AB12" s="141">
        <v>22442</v>
      </c>
      <c r="AC12" s="141">
        <v>59980</v>
      </c>
      <c r="AD12" s="141">
        <v>77595</v>
      </c>
      <c r="AE12" s="141">
        <v>3830458</v>
      </c>
      <c r="AF12" s="141">
        <v>3569394</v>
      </c>
      <c r="AG12" s="141">
        <v>261064</v>
      </c>
      <c r="AH12" s="141">
        <v>14170</v>
      </c>
      <c r="AI12" s="141">
        <v>23063</v>
      </c>
      <c r="AJ12" s="73">
        <f t="shared" si="3"/>
        <v>387645</v>
      </c>
      <c r="AK12" s="141">
        <v>245926</v>
      </c>
      <c r="AL12" s="141">
        <v>141719</v>
      </c>
      <c r="AM12" s="141">
        <v>14509452</v>
      </c>
      <c r="AN12" s="73">
        <f t="shared" si="4"/>
        <v>3768285</v>
      </c>
      <c r="AO12" s="141">
        <v>2181167</v>
      </c>
      <c r="AP12" s="141">
        <v>583193</v>
      </c>
      <c r="AQ12" s="74"/>
      <c r="AR12" s="141">
        <v>1003925</v>
      </c>
      <c r="AS12" s="141">
        <v>101766</v>
      </c>
      <c r="AT12" s="141">
        <v>0</v>
      </c>
      <c r="AU12" s="141">
        <v>0</v>
      </c>
      <c r="AV12" s="141">
        <v>2115495</v>
      </c>
      <c r="AW12" s="141">
        <v>1301903</v>
      </c>
      <c r="AX12" s="141">
        <v>255544</v>
      </c>
      <c r="AY12" s="141">
        <v>71603</v>
      </c>
      <c r="AZ12" s="141">
        <v>813592</v>
      </c>
      <c r="BA12" s="141">
        <v>425</v>
      </c>
      <c r="BB12" s="141">
        <v>161101</v>
      </c>
      <c r="BC12" s="141">
        <v>34537</v>
      </c>
      <c r="BD12" s="141">
        <v>591859</v>
      </c>
      <c r="BE12" s="141">
        <v>398252</v>
      </c>
      <c r="BF12" s="141">
        <v>0</v>
      </c>
      <c r="BG12" s="141">
        <v>0</v>
      </c>
      <c r="BH12" s="141">
        <v>325058</v>
      </c>
      <c r="BI12" s="141">
        <v>0</v>
      </c>
      <c r="BJ12" s="141">
        <v>488133</v>
      </c>
      <c r="BK12" s="141">
        <v>450690</v>
      </c>
      <c r="BL12" s="141">
        <v>507776</v>
      </c>
      <c r="BM12" s="141">
        <v>0</v>
      </c>
      <c r="BN12" s="141">
        <v>0</v>
      </c>
      <c r="BO12" s="141">
        <v>152216</v>
      </c>
      <c r="BP12" s="141">
        <v>2111973</v>
      </c>
      <c r="BQ12" s="73">
        <f t="shared" si="5"/>
        <v>1079600</v>
      </c>
      <c r="BR12" s="73">
        <f t="shared" si="6"/>
        <v>1032373</v>
      </c>
      <c r="BS12" s="141">
        <v>0</v>
      </c>
      <c r="BT12" s="141">
        <v>33500</v>
      </c>
      <c r="BU12" s="141">
        <v>998873</v>
      </c>
      <c r="BV12" s="141">
        <v>0</v>
      </c>
      <c r="BW12" s="141">
        <v>38775361</v>
      </c>
      <c r="BX12" s="71"/>
      <c r="BY12" s="141">
        <v>4363068</v>
      </c>
      <c r="BZ12" s="141">
        <v>2562197</v>
      </c>
      <c r="CA12" s="141">
        <v>172743</v>
      </c>
      <c r="CB12" s="141">
        <v>787759</v>
      </c>
      <c r="CC12" s="141">
        <v>8587626</v>
      </c>
      <c r="CD12" s="141">
        <v>2340948</v>
      </c>
      <c r="CE12" s="141">
        <v>84593</v>
      </c>
      <c r="CF12" s="141">
        <v>3138150</v>
      </c>
      <c r="CG12" s="141">
        <v>2765116</v>
      </c>
      <c r="CH12" s="141">
        <v>5171</v>
      </c>
      <c r="CI12" s="141">
        <v>253648</v>
      </c>
      <c r="CJ12" s="141">
        <v>2751127</v>
      </c>
      <c r="CK12" s="141">
        <v>2508167</v>
      </c>
      <c r="CL12" s="83">
        <f t="shared" si="7"/>
        <v>242960</v>
      </c>
      <c r="CM12" s="141">
        <v>3779732</v>
      </c>
      <c r="CN12" s="141">
        <v>2214044</v>
      </c>
      <c r="CO12" s="102"/>
      <c r="CP12" s="141">
        <v>573570</v>
      </c>
      <c r="CQ12" s="141">
        <v>163787</v>
      </c>
      <c r="CR12" s="141">
        <v>12498732</v>
      </c>
      <c r="CS12" s="141">
        <v>342276</v>
      </c>
      <c r="CT12" s="141">
        <v>7891891</v>
      </c>
      <c r="CU12" s="141">
        <v>266398</v>
      </c>
      <c r="CV12" s="73">
        <f t="shared" si="8"/>
        <v>3429207</v>
      </c>
      <c r="CW12" s="141">
        <v>2137788</v>
      </c>
      <c r="CX12" s="141">
        <v>1291419</v>
      </c>
      <c r="CY12" s="73">
        <f t="shared" si="9"/>
        <v>1919748</v>
      </c>
      <c r="CZ12" s="141">
        <v>1919748</v>
      </c>
      <c r="DA12" s="141">
        <v>0</v>
      </c>
      <c r="DB12" s="73">
        <f t="shared" si="10"/>
        <v>1397035</v>
      </c>
      <c r="DC12" s="141">
        <v>206672</v>
      </c>
      <c r="DD12" s="141">
        <v>1190363</v>
      </c>
      <c r="DE12" s="141">
        <v>2134596</v>
      </c>
      <c r="DF12" s="141">
        <v>1136018</v>
      </c>
      <c r="DG12" s="141">
        <v>998578</v>
      </c>
      <c r="DH12" s="141">
        <v>0</v>
      </c>
      <c r="DI12" s="141">
        <v>0</v>
      </c>
      <c r="DJ12" s="141">
        <v>0</v>
      </c>
      <c r="DK12" s="141">
        <v>1194124</v>
      </c>
      <c r="DL12" s="141">
        <v>408289</v>
      </c>
      <c r="DM12" s="141">
        <v>0</v>
      </c>
      <c r="DN12" s="141">
        <v>785835</v>
      </c>
      <c r="DO12" s="141">
        <v>0</v>
      </c>
      <c r="DP12" s="141">
        <v>0</v>
      </c>
      <c r="DQ12" s="141">
        <v>0</v>
      </c>
      <c r="DR12" s="141">
        <v>0</v>
      </c>
      <c r="DS12" s="141">
        <v>0</v>
      </c>
      <c r="DT12" s="141">
        <v>0</v>
      </c>
      <c r="DU12" s="141">
        <v>0</v>
      </c>
      <c r="DV12" s="141">
        <v>2810691</v>
      </c>
      <c r="DW12" s="141">
        <v>0</v>
      </c>
      <c r="DX12" s="73">
        <f t="shared" si="11"/>
        <v>0</v>
      </c>
      <c r="DY12" s="141">
        <v>0</v>
      </c>
      <c r="DZ12" s="141">
        <v>1065978</v>
      </c>
      <c r="EA12" s="141">
        <v>0</v>
      </c>
      <c r="EB12" s="141">
        <v>792753</v>
      </c>
      <c r="EC12" s="74">
        <v>0</v>
      </c>
      <c r="ED12" s="141">
        <v>951960</v>
      </c>
      <c r="EE12" s="141">
        <v>0</v>
      </c>
      <c r="EF12" s="141">
        <v>38283483</v>
      </c>
      <c r="EG12" s="71"/>
      <c r="EH12" s="141">
        <v>491878</v>
      </c>
      <c r="EI12" s="141">
        <v>143424</v>
      </c>
      <c r="EJ12" s="141">
        <v>348454</v>
      </c>
      <c r="EK12" s="141">
        <v>-102236</v>
      </c>
      <c r="EL12" s="141">
        <v>306053</v>
      </c>
      <c r="EM12" s="71"/>
      <c r="EN12" s="141">
        <v>74431</v>
      </c>
      <c r="EO12" s="141">
        <v>74351</v>
      </c>
      <c r="EP12" s="141">
        <v>50261</v>
      </c>
      <c r="EQ12" s="141">
        <v>3444</v>
      </c>
      <c r="ER12" s="73">
        <f t="shared" si="12"/>
        <v>2005869</v>
      </c>
      <c r="ES12" s="141">
        <v>17480612</v>
      </c>
      <c r="ET12" s="141">
        <v>-3077777</v>
      </c>
      <c r="EU12" s="141">
        <v>3904245</v>
      </c>
      <c r="EV12" s="141">
        <v>2302227</v>
      </c>
      <c r="EW12" s="141">
        <v>2556726</v>
      </c>
      <c r="EX12" s="141">
        <v>2723913</v>
      </c>
      <c r="EY12" s="73">
        <f t="shared" si="13"/>
        <v>419663</v>
      </c>
      <c r="EZ12" s="141">
        <v>419663</v>
      </c>
      <c r="FA12" s="141">
        <v>73535</v>
      </c>
      <c r="FB12" s="141">
        <v>346128</v>
      </c>
      <c r="FC12" s="141">
        <v>0</v>
      </c>
      <c r="FD12" s="141">
        <v>0</v>
      </c>
      <c r="FE12" s="141">
        <v>3051401</v>
      </c>
      <c r="FF12" s="141">
        <v>4727144</v>
      </c>
      <c r="FG12" s="141">
        <v>342276</v>
      </c>
      <c r="FH12" s="141">
        <v>2118864</v>
      </c>
      <c r="FI12" s="73">
        <f t="shared" si="14"/>
        <v>564555</v>
      </c>
      <c r="FJ12" s="141">
        <v>20066511</v>
      </c>
      <c r="FK12" s="379">
        <f t="shared" si="15"/>
        <v>2</v>
      </c>
      <c r="FL12" s="141">
        <v>16273201</v>
      </c>
      <c r="FM12" s="141">
        <v>998873</v>
      </c>
      <c r="FN12" s="141">
        <v>9965275</v>
      </c>
      <c r="FO12" s="141">
        <v>13541587</v>
      </c>
      <c r="FP12" s="390">
        <v>0.73499999999999999</v>
      </c>
      <c r="FQ12" s="380">
        <v>94</v>
      </c>
      <c r="FR12" s="381">
        <v>21.6</v>
      </c>
      <c r="FS12" s="380">
        <v>14.4</v>
      </c>
      <c r="FT12" s="380">
        <v>15.7</v>
      </c>
      <c r="FU12" s="381">
        <v>14.1</v>
      </c>
      <c r="FV12" s="380">
        <v>15.8</v>
      </c>
      <c r="FW12" s="382">
        <v>11.6</v>
      </c>
      <c r="FX12" s="388">
        <v>8.6999999999999993</v>
      </c>
      <c r="FY12" s="141">
        <v>27559961</v>
      </c>
      <c r="FZ12" s="384">
        <f t="shared" si="16"/>
        <v>159.6</v>
      </c>
      <c r="GA12" s="141">
        <v>7411363</v>
      </c>
      <c r="GB12" s="141">
        <v>3365489</v>
      </c>
      <c r="GC12" s="141">
        <v>0</v>
      </c>
      <c r="GD12" s="141">
        <v>4045874</v>
      </c>
      <c r="GE12" s="107">
        <v>0</v>
      </c>
      <c r="GF12" s="385">
        <v>1459</v>
      </c>
      <c r="GG12" s="386">
        <f>IF(GF12=0,"-",ROUND(GF12/(GX12)*100,1))</f>
        <v>8.4</v>
      </c>
      <c r="GH12" s="380">
        <v>98.7</v>
      </c>
      <c r="GI12" s="380">
        <v>34.6</v>
      </c>
      <c r="GJ12" s="380">
        <v>97.5</v>
      </c>
      <c r="GK12" s="141">
        <v>445</v>
      </c>
      <c r="GL12" s="391" t="s">
        <v>646</v>
      </c>
      <c r="GM12" s="391">
        <v>12.63</v>
      </c>
      <c r="GN12" s="117">
        <v>20</v>
      </c>
      <c r="GO12" s="391" t="s">
        <v>646</v>
      </c>
      <c r="GP12" s="392">
        <v>17.63</v>
      </c>
      <c r="GQ12" s="387">
        <v>30</v>
      </c>
      <c r="GR12" s="381">
        <v>8.6999999999999993</v>
      </c>
      <c r="GS12" s="388">
        <v>25</v>
      </c>
      <c r="GT12" s="388">
        <v>35</v>
      </c>
      <c r="GU12" s="393">
        <v>29.3</v>
      </c>
      <c r="GV12" s="388">
        <v>350</v>
      </c>
      <c r="GW12" s="394"/>
      <c r="GX12" s="100">
        <f t="shared" si="17"/>
        <v>17272</v>
      </c>
      <c r="GY12" s="394"/>
      <c r="GZ12" s="394"/>
      <c r="HA12" s="394"/>
      <c r="HB12" s="394"/>
      <c r="HC12" s="394"/>
      <c r="HD12" s="394"/>
      <c r="HE12" s="394"/>
      <c r="HF12" s="394"/>
      <c r="HG12" s="394"/>
      <c r="HH12" s="394"/>
      <c r="HI12" s="394"/>
      <c r="HJ12" s="394"/>
      <c r="HK12" s="394"/>
      <c r="HL12" s="394"/>
      <c r="HM12" s="394"/>
      <c r="HN12" s="394"/>
      <c r="HO12" s="394"/>
      <c r="HP12" s="394"/>
      <c r="HQ12" s="394"/>
      <c r="HR12" s="394"/>
      <c r="HS12" s="394"/>
      <c r="HT12" s="394"/>
      <c r="HU12" s="394"/>
      <c r="HV12" s="394"/>
      <c r="HW12" s="394"/>
      <c r="HX12" s="394"/>
    </row>
    <row r="13" spans="2:232" ht="12.75" customHeight="1" x14ac:dyDescent="0.15">
      <c r="B13" s="89" t="s">
        <v>15</v>
      </c>
      <c r="C13" s="141">
        <v>50498700</v>
      </c>
      <c r="D13" s="73">
        <f t="shared" si="0"/>
        <v>21221708</v>
      </c>
      <c r="E13" s="141">
        <v>592790</v>
      </c>
      <c r="F13" s="141">
        <v>20628918</v>
      </c>
      <c r="G13" s="73">
        <f t="shared" si="1"/>
        <v>2908740</v>
      </c>
      <c r="H13" s="141">
        <v>806939</v>
      </c>
      <c r="I13" s="141">
        <v>2101801</v>
      </c>
      <c r="J13" s="141">
        <v>19237831</v>
      </c>
      <c r="K13" s="141">
        <v>7845084</v>
      </c>
      <c r="L13" s="141">
        <v>8847871</v>
      </c>
      <c r="M13" s="141">
        <v>2294409</v>
      </c>
      <c r="N13" s="141">
        <v>1585261</v>
      </c>
      <c r="O13" s="141">
        <v>4000428</v>
      </c>
      <c r="P13" s="141">
        <v>2143286</v>
      </c>
      <c r="Q13" s="141">
        <v>1857142</v>
      </c>
      <c r="R13" s="141">
        <v>605083</v>
      </c>
      <c r="S13" s="74"/>
      <c r="T13" s="73">
        <f t="shared" si="2"/>
        <v>7966053</v>
      </c>
      <c r="U13" s="141">
        <v>73776</v>
      </c>
      <c r="V13" s="141">
        <v>312333</v>
      </c>
      <c r="W13" s="141">
        <v>353179</v>
      </c>
      <c r="X13" s="141">
        <v>6841446</v>
      </c>
      <c r="Y13" s="141">
        <v>34921</v>
      </c>
      <c r="Z13" s="141">
        <v>0</v>
      </c>
      <c r="AA13" s="141">
        <v>14</v>
      </c>
      <c r="AB13" s="141">
        <v>102712</v>
      </c>
      <c r="AC13" s="141">
        <v>247672</v>
      </c>
      <c r="AD13" s="141">
        <v>378668</v>
      </c>
      <c r="AE13" s="141">
        <v>10654443</v>
      </c>
      <c r="AF13" s="141">
        <v>9929608</v>
      </c>
      <c r="AG13" s="141">
        <v>724835</v>
      </c>
      <c r="AH13" s="141">
        <v>44336</v>
      </c>
      <c r="AI13" s="141">
        <v>682878</v>
      </c>
      <c r="AJ13" s="73">
        <f t="shared" si="3"/>
        <v>2124560</v>
      </c>
      <c r="AK13" s="141">
        <v>1649779</v>
      </c>
      <c r="AL13" s="141">
        <v>474781</v>
      </c>
      <c r="AM13" s="141">
        <v>69353223</v>
      </c>
      <c r="AN13" s="73">
        <f t="shared" si="4"/>
        <v>14968336</v>
      </c>
      <c r="AO13" s="141">
        <v>7783734</v>
      </c>
      <c r="AP13" s="141">
        <v>3410550</v>
      </c>
      <c r="AQ13" s="74"/>
      <c r="AR13" s="141">
        <v>3774052</v>
      </c>
      <c r="AS13" s="141">
        <v>3032998</v>
      </c>
      <c r="AT13" s="141">
        <v>0</v>
      </c>
      <c r="AU13" s="141">
        <v>0</v>
      </c>
      <c r="AV13" s="141">
        <v>9463311</v>
      </c>
      <c r="AW13" s="141">
        <v>7283043</v>
      </c>
      <c r="AX13" s="141">
        <v>1774590</v>
      </c>
      <c r="AY13" s="141">
        <v>408619</v>
      </c>
      <c r="AZ13" s="141">
        <v>2180268</v>
      </c>
      <c r="BA13" s="141">
        <v>69384</v>
      </c>
      <c r="BB13" s="141">
        <v>1121662</v>
      </c>
      <c r="BC13" s="141">
        <v>964053</v>
      </c>
      <c r="BD13" s="141">
        <v>154008</v>
      </c>
      <c r="BE13" s="141">
        <v>4518439</v>
      </c>
      <c r="BF13" s="141">
        <v>1300000</v>
      </c>
      <c r="BG13" s="141">
        <v>0</v>
      </c>
      <c r="BH13" s="141">
        <v>3217171</v>
      </c>
      <c r="BI13" s="141">
        <v>0</v>
      </c>
      <c r="BJ13" s="141">
        <v>4582010</v>
      </c>
      <c r="BK13" s="141">
        <v>645657</v>
      </c>
      <c r="BL13" s="141">
        <v>2149344</v>
      </c>
      <c r="BM13" s="141">
        <v>569884</v>
      </c>
      <c r="BN13" s="141">
        <v>0</v>
      </c>
      <c r="BO13" s="141">
        <v>221637</v>
      </c>
      <c r="BP13" s="141">
        <v>5592410</v>
      </c>
      <c r="BQ13" s="73">
        <f t="shared" si="5"/>
        <v>3592410</v>
      </c>
      <c r="BR13" s="73">
        <f t="shared" si="6"/>
        <v>2000000</v>
      </c>
      <c r="BS13" s="141">
        <v>0</v>
      </c>
      <c r="BT13" s="141">
        <v>0</v>
      </c>
      <c r="BU13" s="141">
        <v>2000000</v>
      </c>
      <c r="BV13" s="141">
        <v>0</v>
      </c>
      <c r="BW13" s="141">
        <v>169889128</v>
      </c>
      <c r="BX13" s="71"/>
      <c r="BY13" s="141">
        <v>20749388</v>
      </c>
      <c r="BZ13" s="141">
        <v>13704135</v>
      </c>
      <c r="CA13" s="141">
        <v>690887</v>
      </c>
      <c r="CB13" s="141">
        <v>2606573</v>
      </c>
      <c r="CC13" s="141">
        <v>38183031</v>
      </c>
      <c r="CD13" s="141">
        <v>8799767</v>
      </c>
      <c r="CE13" s="141">
        <v>150554</v>
      </c>
      <c r="CF13" s="141">
        <v>17528577</v>
      </c>
      <c r="CG13" s="141">
        <v>9631603</v>
      </c>
      <c r="CH13" s="141">
        <v>505775</v>
      </c>
      <c r="CI13" s="141">
        <v>1566235</v>
      </c>
      <c r="CJ13" s="141">
        <v>8198556</v>
      </c>
      <c r="CK13" s="141">
        <v>8091610</v>
      </c>
      <c r="CL13" s="83">
        <f t="shared" si="7"/>
        <v>106946</v>
      </c>
      <c r="CM13" s="141">
        <v>16826362</v>
      </c>
      <c r="CN13" s="141">
        <v>10300276</v>
      </c>
      <c r="CO13" s="102"/>
      <c r="CP13" s="141">
        <v>2852832</v>
      </c>
      <c r="CQ13" s="141">
        <v>1735297</v>
      </c>
      <c r="CR13" s="141">
        <v>45885817</v>
      </c>
      <c r="CS13" s="141">
        <v>23581</v>
      </c>
      <c r="CT13" s="141">
        <v>38281004</v>
      </c>
      <c r="CU13" s="141">
        <v>37546850</v>
      </c>
      <c r="CV13" s="73">
        <f t="shared" si="8"/>
        <v>3730430</v>
      </c>
      <c r="CW13" s="141">
        <v>2275853</v>
      </c>
      <c r="CX13" s="141">
        <v>1454577</v>
      </c>
      <c r="CY13" s="73">
        <f t="shared" si="9"/>
        <v>0</v>
      </c>
      <c r="CZ13" s="141">
        <v>0</v>
      </c>
      <c r="DA13" s="141">
        <v>0</v>
      </c>
      <c r="DB13" s="73">
        <f t="shared" si="10"/>
        <v>2438949</v>
      </c>
      <c r="DC13" s="141">
        <v>2006332</v>
      </c>
      <c r="DD13" s="141">
        <v>432617</v>
      </c>
      <c r="DE13" s="141">
        <v>16306426</v>
      </c>
      <c r="DF13" s="141">
        <v>9338560</v>
      </c>
      <c r="DG13" s="141">
        <v>6916630</v>
      </c>
      <c r="DH13" s="141">
        <v>51236</v>
      </c>
      <c r="DI13" s="141">
        <v>0</v>
      </c>
      <c r="DJ13" s="141">
        <v>0</v>
      </c>
      <c r="DK13" s="141">
        <v>3614470</v>
      </c>
      <c r="DL13" s="141">
        <v>344405</v>
      </c>
      <c r="DM13" s="141">
        <v>16</v>
      </c>
      <c r="DN13" s="141">
        <v>3270049</v>
      </c>
      <c r="DO13" s="141">
        <v>641051</v>
      </c>
      <c r="DP13" s="141">
        <v>641051</v>
      </c>
      <c r="DQ13" s="141">
        <v>0</v>
      </c>
      <c r="DR13" s="141">
        <v>0</v>
      </c>
      <c r="DS13" s="141">
        <v>542638</v>
      </c>
      <c r="DT13" s="141">
        <v>0</v>
      </c>
      <c r="DU13" s="141">
        <v>0</v>
      </c>
      <c r="DV13" s="141">
        <v>11978791</v>
      </c>
      <c r="DW13" s="141">
        <v>0</v>
      </c>
      <c r="DX13" s="73">
        <f t="shared" si="11"/>
        <v>0</v>
      </c>
      <c r="DY13" s="141">
        <v>0</v>
      </c>
      <c r="DZ13" s="141">
        <v>5277876</v>
      </c>
      <c r="EA13" s="141">
        <v>0</v>
      </c>
      <c r="EB13" s="141">
        <v>2438532</v>
      </c>
      <c r="EC13" s="74">
        <v>0</v>
      </c>
      <c r="ED13" s="141">
        <v>4262366</v>
      </c>
      <c r="EE13" s="141">
        <v>0</v>
      </c>
      <c r="EF13" s="141">
        <v>164661827</v>
      </c>
      <c r="EG13" s="71"/>
      <c r="EH13" s="141">
        <v>5227301</v>
      </c>
      <c r="EI13" s="141">
        <v>4607263</v>
      </c>
      <c r="EJ13" s="141">
        <v>620038</v>
      </c>
      <c r="EK13" s="141">
        <v>-25619</v>
      </c>
      <c r="EL13" s="141">
        <v>-981214</v>
      </c>
      <c r="EM13" s="71"/>
      <c r="EN13" s="141">
        <v>352876</v>
      </c>
      <c r="EO13" s="141">
        <v>351082</v>
      </c>
      <c r="EP13" s="141">
        <v>1300000</v>
      </c>
      <c r="EQ13" s="141">
        <v>1037083</v>
      </c>
      <c r="ER13" s="73">
        <f t="shared" si="12"/>
        <v>6886882</v>
      </c>
      <c r="ES13" s="141">
        <v>70147283</v>
      </c>
      <c r="ET13" s="141">
        <v>-11179629</v>
      </c>
      <c r="EU13" s="141">
        <v>19010020</v>
      </c>
      <c r="EV13" s="141">
        <v>12717305</v>
      </c>
      <c r="EW13" s="141">
        <v>10332960</v>
      </c>
      <c r="EX13" s="141">
        <v>7593143</v>
      </c>
      <c r="EY13" s="73">
        <f t="shared" si="13"/>
        <v>4793974</v>
      </c>
      <c r="EZ13" s="141">
        <v>4793974</v>
      </c>
      <c r="FA13" s="141">
        <v>769398</v>
      </c>
      <c r="FB13" s="141">
        <v>3973340</v>
      </c>
      <c r="FC13" s="141">
        <v>0</v>
      </c>
      <c r="FD13" s="141">
        <v>0</v>
      </c>
      <c r="FE13" s="141">
        <v>12918863</v>
      </c>
      <c r="FF13" s="141">
        <v>9346159</v>
      </c>
      <c r="FG13" s="141">
        <v>23581</v>
      </c>
      <c r="FH13" s="141">
        <v>9519261</v>
      </c>
      <c r="FI13" s="73">
        <f t="shared" si="14"/>
        <v>2639877</v>
      </c>
      <c r="FJ13" s="141">
        <v>76154257</v>
      </c>
      <c r="FK13" s="379">
        <f t="shared" si="15"/>
        <v>0.9</v>
      </c>
      <c r="FL13" s="141">
        <v>65285213</v>
      </c>
      <c r="FM13" s="141">
        <v>5072984</v>
      </c>
      <c r="FN13" s="141">
        <v>43332678</v>
      </c>
      <c r="FO13" s="141">
        <v>53273297</v>
      </c>
      <c r="FP13" s="390">
        <v>0.81399999999999995</v>
      </c>
      <c r="FQ13" s="380">
        <v>92.2</v>
      </c>
      <c r="FR13" s="381">
        <v>27.8</v>
      </c>
      <c r="FS13" s="380">
        <v>14.9</v>
      </c>
      <c r="FT13" s="380">
        <v>11.2</v>
      </c>
      <c r="FU13" s="381">
        <v>15.2</v>
      </c>
      <c r="FV13" s="380">
        <v>6.5</v>
      </c>
      <c r="FW13" s="382">
        <v>13.8</v>
      </c>
      <c r="FX13" s="388">
        <v>-0.4</v>
      </c>
      <c r="FY13" s="141">
        <v>47536636</v>
      </c>
      <c r="FZ13" s="384">
        <f t="shared" si="16"/>
        <v>67.599999999999994</v>
      </c>
      <c r="GA13" s="141">
        <v>31456440</v>
      </c>
      <c r="GB13" s="141">
        <v>14161289</v>
      </c>
      <c r="GC13" s="141">
        <v>2531181</v>
      </c>
      <c r="GD13" s="141">
        <v>14763970</v>
      </c>
      <c r="GE13" s="107">
        <v>0</v>
      </c>
      <c r="GF13" s="385">
        <v>1280</v>
      </c>
      <c r="GG13" s="386">
        <f>IF(GF13=0,"-",ROUND(GF13/(GX13)*100,1))</f>
        <v>1.8</v>
      </c>
      <c r="GH13" s="380">
        <v>98.7</v>
      </c>
      <c r="GI13" s="380">
        <v>53.2</v>
      </c>
      <c r="GJ13" s="380">
        <v>98.4</v>
      </c>
      <c r="GK13" s="141">
        <v>2065</v>
      </c>
      <c r="GL13" s="391" t="s">
        <v>646</v>
      </c>
      <c r="GM13" s="391">
        <v>11.25</v>
      </c>
      <c r="GN13" s="117">
        <v>20</v>
      </c>
      <c r="GO13" s="391" t="s">
        <v>646</v>
      </c>
      <c r="GP13" s="392">
        <v>16.25</v>
      </c>
      <c r="GQ13" s="387">
        <v>30</v>
      </c>
      <c r="GR13" s="381">
        <v>-0.4</v>
      </c>
      <c r="GS13" s="388">
        <v>25</v>
      </c>
      <c r="GT13" s="388">
        <v>35</v>
      </c>
      <c r="GU13" s="393" t="s">
        <v>646</v>
      </c>
      <c r="GV13" s="388">
        <v>350</v>
      </c>
      <c r="GW13" s="394"/>
      <c r="GX13" s="100">
        <f t="shared" si="17"/>
        <v>70358</v>
      </c>
      <c r="GY13" s="394"/>
      <c r="GZ13" s="394"/>
      <c r="HA13" s="394"/>
      <c r="HB13" s="394"/>
      <c r="HC13" s="394"/>
      <c r="HD13" s="394"/>
      <c r="HE13" s="394"/>
      <c r="HF13" s="394"/>
      <c r="HG13" s="394"/>
      <c r="HH13" s="394"/>
      <c r="HI13" s="394"/>
      <c r="HJ13" s="394"/>
      <c r="HK13" s="394"/>
      <c r="HL13" s="394"/>
      <c r="HM13" s="394"/>
      <c r="HN13" s="394"/>
      <c r="HO13" s="394"/>
      <c r="HP13" s="394"/>
      <c r="HQ13" s="394"/>
      <c r="HR13" s="394"/>
      <c r="HS13" s="394"/>
      <c r="HT13" s="394"/>
      <c r="HU13" s="394"/>
      <c r="HV13" s="394"/>
      <c r="HW13" s="394"/>
      <c r="HX13" s="394"/>
    </row>
    <row r="14" spans="2:232" x14ac:dyDescent="0.15">
      <c r="B14" s="89" t="s">
        <v>17</v>
      </c>
      <c r="C14" s="141">
        <v>11333031</v>
      </c>
      <c r="D14" s="73">
        <f t="shared" si="0"/>
        <v>4186396</v>
      </c>
      <c r="E14" s="141">
        <v>137828</v>
      </c>
      <c r="F14" s="141">
        <v>4048568</v>
      </c>
      <c r="G14" s="73">
        <f t="shared" si="1"/>
        <v>644102</v>
      </c>
      <c r="H14" s="141">
        <v>191695</v>
      </c>
      <c r="I14" s="141">
        <v>452407</v>
      </c>
      <c r="J14" s="141">
        <v>4768845</v>
      </c>
      <c r="K14" s="141">
        <v>1574404</v>
      </c>
      <c r="L14" s="141">
        <v>2229273</v>
      </c>
      <c r="M14" s="141">
        <v>754152</v>
      </c>
      <c r="N14" s="141">
        <v>643975</v>
      </c>
      <c r="O14" s="141">
        <v>867946</v>
      </c>
      <c r="P14" s="141">
        <v>403919</v>
      </c>
      <c r="Q14" s="141">
        <v>464027</v>
      </c>
      <c r="R14" s="141">
        <v>174686</v>
      </c>
      <c r="S14" s="74"/>
      <c r="T14" s="73">
        <f t="shared" si="2"/>
        <v>2001941</v>
      </c>
      <c r="U14" s="141">
        <v>14551</v>
      </c>
      <c r="V14" s="141">
        <v>61649</v>
      </c>
      <c r="W14" s="141">
        <v>69796</v>
      </c>
      <c r="X14" s="141">
        <v>1772960</v>
      </c>
      <c r="Y14" s="141">
        <v>0</v>
      </c>
      <c r="Z14" s="141">
        <v>0</v>
      </c>
      <c r="AA14" s="141">
        <v>4</v>
      </c>
      <c r="AB14" s="141">
        <v>29767</v>
      </c>
      <c r="AC14" s="141">
        <v>53214</v>
      </c>
      <c r="AD14" s="141">
        <v>99972</v>
      </c>
      <c r="AE14" s="141">
        <v>5151591</v>
      </c>
      <c r="AF14" s="141">
        <v>4796126</v>
      </c>
      <c r="AG14" s="141">
        <v>355465</v>
      </c>
      <c r="AH14" s="141">
        <v>15013</v>
      </c>
      <c r="AI14" s="141">
        <v>49116</v>
      </c>
      <c r="AJ14" s="73">
        <f t="shared" si="3"/>
        <v>449087</v>
      </c>
      <c r="AK14" s="141">
        <v>323962</v>
      </c>
      <c r="AL14" s="141">
        <v>125125</v>
      </c>
      <c r="AM14" s="141">
        <v>16727181</v>
      </c>
      <c r="AN14" s="73">
        <f t="shared" si="4"/>
        <v>4450637</v>
      </c>
      <c r="AO14" s="141">
        <v>2172207</v>
      </c>
      <c r="AP14" s="141">
        <v>1386808</v>
      </c>
      <c r="AQ14" s="74"/>
      <c r="AR14" s="141">
        <v>891622</v>
      </c>
      <c r="AS14" s="141">
        <v>239249</v>
      </c>
      <c r="AT14" s="141">
        <v>0</v>
      </c>
      <c r="AU14" s="141">
        <v>0</v>
      </c>
      <c r="AV14" s="141">
        <v>2807069</v>
      </c>
      <c r="AW14" s="141">
        <v>1774498</v>
      </c>
      <c r="AX14" s="141">
        <v>508079</v>
      </c>
      <c r="AY14" s="141">
        <v>25976</v>
      </c>
      <c r="AZ14" s="141">
        <v>1032571</v>
      </c>
      <c r="BA14" s="141">
        <v>2773</v>
      </c>
      <c r="BB14" s="141">
        <v>30765</v>
      </c>
      <c r="BC14" s="141">
        <v>3794</v>
      </c>
      <c r="BD14" s="141">
        <v>726623</v>
      </c>
      <c r="BE14" s="141">
        <v>544448</v>
      </c>
      <c r="BF14" s="141">
        <v>0</v>
      </c>
      <c r="BG14" s="141">
        <v>0</v>
      </c>
      <c r="BH14" s="141">
        <v>540187</v>
      </c>
      <c r="BI14" s="141">
        <v>0</v>
      </c>
      <c r="BJ14" s="141">
        <v>211129</v>
      </c>
      <c r="BK14" s="141">
        <v>78455</v>
      </c>
      <c r="BL14" s="141">
        <v>694268</v>
      </c>
      <c r="BM14" s="141">
        <v>175571</v>
      </c>
      <c r="BN14" s="141">
        <v>0</v>
      </c>
      <c r="BO14" s="141">
        <v>154143</v>
      </c>
      <c r="BP14" s="141">
        <v>2980703</v>
      </c>
      <c r="BQ14" s="73">
        <f t="shared" si="5"/>
        <v>1739700</v>
      </c>
      <c r="BR14" s="73">
        <f t="shared" si="6"/>
        <v>1241003</v>
      </c>
      <c r="BS14" s="141">
        <v>0</v>
      </c>
      <c r="BT14" s="141">
        <v>147264</v>
      </c>
      <c r="BU14" s="141">
        <v>1093739</v>
      </c>
      <c r="BV14" s="141">
        <v>0</v>
      </c>
      <c r="BW14" s="141">
        <v>43996623</v>
      </c>
      <c r="BX14" s="71"/>
      <c r="BY14" s="141">
        <v>5813380</v>
      </c>
      <c r="BZ14" s="141">
        <v>3609588</v>
      </c>
      <c r="CA14" s="141">
        <v>229729</v>
      </c>
      <c r="CB14" s="141">
        <v>837298</v>
      </c>
      <c r="CC14" s="141">
        <v>10627835</v>
      </c>
      <c r="CD14" s="141">
        <v>2207895</v>
      </c>
      <c r="CE14" s="141">
        <v>40571</v>
      </c>
      <c r="CF14" s="141">
        <v>4886265</v>
      </c>
      <c r="CG14" s="141">
        <v>2828160</v>
      </c>
      <c r="CH14" s="141">
        <v>0</v>
      </c>
      <c r="CI14" s="141">
        <v>664514</v>
      </c>
      <c r="CJ14" s="141">
        <v>2485753</v>
      </c>
      <c r="CK14" s="141">
        <v>2336683</v>
      </c>
      <c r="CL14" s="83">
        <f t="shared" si="7"/>
        <v>149070</v>
      </c>
      <c r="CM14" s="141">
        <v>3865700</v>
      </c>
      <c r="CN14" s="141">
        <v>1966549</v>
      </c>
      <c r="CO14" s="102"/>
      <c r="CP14" s="141">
        <v>493007</v>
      </c>
      <c r="CQ14" s="141">
        <v>311669</v>
      </c>
      <c r="CR14" s="141">
        <v>12958392</v>
      </c>
      <c r="CS14" s="141">
        <v>655329</v>
      </c>
      <c r="CT14" s="141">
        <v>9168173</v>
      </c>
      <c r="CU14" s="141">
        <v>503223</v>
      </c>
      <c r="CV14" s="73">
        <f t="shared" si="8"/>
        <v>2347078</v>
      </c>
      <c r="CW14" s="141">
        <v>1779331</v>
      </c>
      <c r="CX14" s="141">
        <v>567747</v>
      </c>
      <c r="CY14" s="73">
        <f t="shared" si="9"/>
        <v>980515</v>
      </c>
      <c r="CZ14" s="141">
        <v>980000</v>
      </c>
      <c r="DA14" s="141">
        <v>515</v>
      </c>
      <c r="DB14" s="73">
        <f t="shared" si="10"/>
        <v>994284</v>
      </c>
      <c r="DC14" s="141">
        <v>786462</v>
      </c>
      <c r="DD14" s="141">
        <v>207822</v>
      </c>
      <c r="DE14" s="141">
        <v>2463566</v>
      </c>
      <c r="DF14" s="141">
        <v>650578</v>
      </c>
      <c r="DG14" s="141">
        <v>1735758</v>
      </c>
      <c r="DH14" s="141">
        <v>77230</v>
      </c>
      <c r="DI14" s="141">
        <v>0</v>
      </c>
      <c r="DJ14" s="141">
        <v>0</v>
      </c>
      <c r="DK14" s="141">
        <v>1658991</v>
      </c>
      <c r="DL14" s="141">
        <v>340000</v>
      </c>
      <c r="DM14" s="141">
        <v>35</v>
      </c>
      <c r="DN14" s="141">
        <v>1318956</v>
      </c>
      <c r="DO14" s="141">
        <v>0</v>
      </c>
      <c r="DP14" s="141">
        <v>0</v>
      </c>
      <c r="DQ14" s="141">
        <v>0</v>
      </c>
      <c r="DR14" s="141">
        <v>0</v>
      </c>
      <c r="DS14" s="141">
        <v>155780</v>
      </c>
      <c r="DT14" s="141">
        <v>0</v>
      </c>
      <c r="DU14" s="141">
        <v>0</v>
      </c>
      <c r="DV14" s="141">
        <v>3359361</v>
      </c>
      <c r="DW14" s="141">
        <v>0</v>
      </c>
      <c r="DX14" s="73">
        <f t="shared" si="11"/>
        <v>0</v>
      </c>
      <c r="DY14" s="141">
        <v>0</v>
      </c>
      <c r="DZ14" s="141">
        <v>1315952</v>
      </c>
      <c r="EA14" s="141">
        <v>0</v>
      </c>
      <c r="EB14" s="141">
        <v>915868</v>
      </c>
      <c r="EC14" s="74">
        <v>0</v>
      </c>
      <c r="ED14" s="141">
        <v>1127541</v>
      </c>
      <c r="EE14" s="141">
        <v>0</v>
      </c>
      <c r="EF14" s="141">
        <v>43700427</v>
      </c>
      <c r="EG14" s="71"/>
      <c r="EH14" s="141">
        <v>296196</v>
      </c>
      <c r="EI14" s="141">
        <v>202572</v>
      </c>
      <c r="EJ14" s="141">
        <v>93624</v>
      </c>
      <c r="EK14" s="141">
        <v>15169</v>
      </c>
      <c r="EL14" s="141">
        <v>391294</v>
      </c>
      <c r="EM14" s="71"/>
      <c r="EN14" s="141">
        <v>84463</v>
      </c>
      <c r="EO14" s="141">
        <v>85120</v>
      </c>
      <c r="EP14" s="141">
        <v>20000</v>
      </c>
      <c r="EQ14" s="141">
        <v>30685</v>
      </c>
      <c r="ER14" s="73">
        <f t="shared" si="12"/>
        <v>1818943</v>
      </c>
      <c r="ES14" s="141">
        <v>18776234</v>
      </c>
      <c r="ET14" s="141">
        <v>-3095618</v>
      </c>
      <c r="EU14" s="141">
        <v>5376552</v>
      </c>
      <c r="EV14" s="141">
        <v>3394375</v>
      </c>
      <c r="EW14" s="141">
        <v>2588505</v>
      </c>
      <c r="EX14" s="141">
        <v>2485753</v>
      </c>
      <c r="EY14" s="73">
        <f t="shared" si="13"/>
        <v>429885</v>
      </c>
      <c r="EZ14" s="141">
        <v>429885</v>
      </c>
      <c r="FA14" s="141">
        <v>88333</v>
      </c>
      <c r="FB14" s="141">
        <v>264322</v>
      </c>
      <c r="FC14" s="141">
        <v>0</v>
      </c>
      <c r="FD14" s="141">
        <v>0</v>
      </c>
      <c r="FE14" s="141">
        <v>2665621</v>
      </c>
      <c r="FF14" s="141">
        <v>4130438</v>
      </c>
      <c r="FG14" s="141">
        <v>655329</v>
      </c>
      <c r="FH14" s="141">
        <v>2546416</v>
      </c>
      <c r="FI14" s="73">
        <f t="shared" si="14"/>
        <v>1352486</v>
      </c>
      <c r="FJ14" s="141">
        <v>21575656</v>
      </c>
      <c r="FK14" s="379">
        <f t="shared" si="15"/>
        <v>0.5</v>
      </c>
      <c r="FL14" s="141">
        <v>17626333</v>
      </c>
      <c r="FM14" s="141">
        <v>1093739</v>
      </c>
      <c r="FN14" s="141">
        <v>10114233</v>
      </c>
      <c r="FO14" s="141">
        <v>14970282</v>
      </c>
      <c r="FP14" s="390">
        <v>0.67700000000000005</v>
      </c>
      <c r="FQ14" s="380">
        <v>93.4</v>
      </c>
      <c r="FR14" s="381">
        <v>27.2</v>
      </c>
      <c r="FS14" s="380">
        <v>12.6</v>
      </c>
      <c r="FT14" s="380">
        <v>12.9</v>
      </c>
      <c r="FU14" s="381">
        <v>11.6</v>
      </c>
      <c r="FV14" s="380">
        <v>15.2</v>
      </c>
      <c r="FW14" s="382">
        <v>12.8</v>
      </c>
      <c r="FX14" s="388">
        <v>5.4</v>
      </c>
      <c r="FY14" s="141">
        <v>28502044</v>
      </c>
      <c r="FZ14" s="384">
        <f t="shared" si="16"/>
        <v>152.30000000000001</v>
      </c>
      <c r="GA14" s="141">
        <v>6329986</v>
      </c>
      <c r="GB14" s="141">
        <v>2940373</v>
      </c>
      <c r="GC14" s="141">
        <v>188620</v>
      </c>
      <c r="GD14" s="141">
        <v>3200993</v>
      </c>
      <c r="GE14" s="107">
        <v>0</v>
      </c>
      <c r="GF14" s="385"/>
      <c r="GG14" s="386"/>
      <c r="GH14" s="380">
        <v>98.1</v>
      </c>
      <c r="GI14" s="380">
        <v>42.3</v>
      </c>
      <c r="GJ14" s="380">
        <v>97</v>
      </c>
      <c r="GK14" s="141">
        <v>570</v>
      </c>
      <c r="GL14" s="391" t="s">
        <v>646</v>
      </c>
      <c r="GM14" s="391">
        <v>12.56</v>
      </c>
      <c r="GN14" s="117">
        <v>20</v>
      </c>
      <c r="GO14" s="391" t="s">
        <v>646</v>
      </c>
      <c r="GP14" s="392">
        <v>17.559999999999999</v>
      </c>
      <c r="GQ14" s="387">
        <v>30</v>
      </c>
      <c r="GR14" s="381">
        <v>5.4</v>
      </c>
      <c r="GS14" s="388">
        <v>25</v>
      </c>
      <c r="GT14" s="388">
        <v>35</v>
      </c>
      <c r="GU14" s="393">
        <v>21.4</v>
      </c>
      <c r="GV14" s="388">
        <v>350</v>
      </c>
      <c r="GW14" s="394"/>
      <c r="GX14" s="100">
        <f t="shared" si="17"/>
        <v>18720</v>
      </c>
      <c r="GY14" s="394"/>
      <c r="GZ14" s="394"/>
      <c r="HA14" s="394"/>
      <c r="HB14" s="394"/>
      <c r="HC14" s="394"/>
      <c r="HD14" s="394"/>
      <c r="HE14" s="394"/>
      <c r="HF14" s="394"/>
      <c r="HG14" s="394"/>
      <c r="HH14" s="394"/>
      <c r="HI14" s="394"/>
      <c r="HJ14" s="394"/>
      <c r="HK14" s="394"/>
      <c r="HL14" s="394"/>
      <c r="HM14" s="394"/>
      <c r="HN14" s="394"/>
      <c r="HO14" s="394"/>
      <c r="HP14" s="394"/>
      <c r="HQ14" s="394"/>
      <c r="HR14" s="394"/>
      <c r="HS14" s="394"/>
      <c r="HT14" s="394"/>
      <c r="HU14" s="394"/>
      <c r="HV14" s="394"/>
      <c r="HW14" s="394"/>
      <c r="HX14" s="394"/>
    </row>
    <row r="15" spans="2:232" x14ac:dyDescent="0.15">
      <c r="B15" s="89" t="s">
        <v>19</v>
      </c>
      <c r="C15" s="141">
        <v>21808780</v>
      </c>
      <c r="D15" s="73">
        <f t="shared" si="0"/>
        <v>7388221</v>
      </c>
      <c r="E15" s="141">
        <v>236517</v>
      </c>
      <c r="F15" s="141">
        <v>7151704</v>
      </c>
      <c r="G15" s="73">
        <f t="shared" si="1"/>
        <v>1355830</v>
      </c>
      <c r="H15" s="141">
        <v>478544</v>
      </c>
      <c r="I15" s="141">
        <v>877286</v>
      </c>
      <c r="J15" s="141">
        <v>9251396</v>
      </c>
      <c r="K15" s="141">
        <v>3521300</v>
      </c>
      <c r="L15" s="141">
        <v>4257054</v>
      </c>
      <c r="M15" s="141">
        <v>1275218</v>
      </c>
      <c r="N15" s="141">
        <v>1033236</v>
      </c>
      <c r="O15" s="141">
        <v>1893720</v>
      </c>
      <c r="P15" s="141">
        <v>953680</v>
      </c>
      <c r="Q15" s="141">
        <v>940040</v>
      </c>
      <c r="R15" s="141">
        <v>216011</v>
      </c>
      <c r="S15" s="74"/>
      <c r="T15" s="73">
        <f t="shared" si="2"/>
        <v>3327067</v>
      </c>
      <c r="U15" s="141">
        <v>25596</v>
      </c>
      <c r="V15" s="141">
        <v>108488</v>
      </c>
      <c r="W15" s="141">
        <v>122922</v>
      </c>
      <c r="X15" s="141">
        <v>2932225</v>
      </c>
      <c r="Y15" s="141">
        <v>0</v>
      </c>
      <c r="Z15" s="141">
        <v>0</v>
      </c>
      <c r="AA15" s="141">
        <v>5</v>
      </c>
      <c r="AB15" s="141">
        <v>36967</v>
      </c>
      <c r="AC15" s="141">
        <v>100864</v>
      </c>
      <c r="AD15" s="141">
        <v>151627</v>
      </c>
      <c r="AE15" s="141">
        <v>7327623</v>
      </c>
      <c r="AF15" s="141">
        <v>6665847</v>
      </c>
      <c r="AG15" s="141">
        <v>661776</v>
      </c>
      <c r="AH15" s="141">
        <v>19996</v>
      </c>
      <c r="AI15" s="141">
        <v>910124</v>
      </c>
      <c r="AJ15" s="73">
        <f t="shared" si="3"/>
        <v>797130</v>
      </c>
      <c r="AK15" s="141">
        <v>536775</v>
      </c>
      <c r="AL15" s="141">
        <v>260355</v>
      </c>
      <c r="AM15" s="141">
        <v>33574068</v>
      </c>
      <c r="AN15" s="73">
        <f t="shared" si="4"/>
        <v>12470064</v>
      </c>
      <c r="AO15" s="141">
        <v>7458200</v>
      </c>
      <c r="AP15" s="141">
        <v>2841916</v>
      </c>
      <c r="AQ15" s="74"/>
      <c r="AR15" s="141">
        <v>2169948</v>
      </c>
      <c r="AS15" s="141">
        <v>1220937</v>
      </c>
      <c r="AT15" s="141">
        <v>0</v>
      </c>
      <c r="AU15" s="141">
        <v>0</v>
      </c>
      <c r="AV15" s="141">
        <v>5127064</v>
      </c>
      <c r="AW15" s="141">
        <v>3351543</v>
      </c>
      <c r="AX15" s="141">
        <v>1287347</v>
      </c>
      <c r="AY15" s="141">
        <v>9128</v>
      </c>
      <c r="AZ15" s="141">
        <v>1775521</v>
      </c>
      <c r="BA15" s="141">
        <v>40228</v>
      </c>
      <c r="BB15" s="141">
        <v>2706883</v>
      </c>
      <c r="BC15" s="141">
        <v>2666913</v>
      </c>
      <c r="BD15" s="141">
        <v>96326</v>
      </c>
      <c r="BE15" s="141">
        <v>566747</v>
      </c>
      <c r="BF15" s="141">
        <v>0</v>
      </c>
      <c r="BG15" s="141">
        <v>252051</v>
      </c>
      <c r="BH15" s="141">
        <v>314696</v>
      </c>
      <c r="BI15" s="141">
        <v>0</v>
      </c>
      <c r="BJ15" s="141">
        <v>1292724</v>
      </c>
      <c r="BK15" s="141">
        <v>795329</v>
      </c>
      <c r="BL15" s="141">
        <v>973585</v>
      </c>
      <c r="BM15" s="141">
        <v>10706</v>
      </c>
      <c r="BN15" s="141">
        <v>0</v>
      </c>
      <c r="BO15" s="141">
        <v>168437</v>
      </c>
      <c r="BP15" s="141">
        <v>6124817</v>
      </c>
      <c r="BQ15" s="73">
        <f t="shared" si="5"/>
        <v>4335957</v>
      </c>
      <c r="BR15" s="73">
        <f t="shared" si="6"/>
        <v>1788860</v>
      </c>
      <c r="BS15" s="141">
        <v>0</v>
      </c>
      <c r="BT15" s="141">
        <v>22459</v>
      </c>
      <c r="BU15" s="141">
        <v>1766401</v>
      </c>
      <c r="BV15" s="141">
        <v>0</v>
      </c>
      <c r="BW15" s="141">
        <v>85020572</v>
      </c>
      <c r="BX15" s="71"/>
      <c r="BY15" s="141">
        <v>6038600</v>
      </c>
      <c r="BZ15" s="141">
        <v>3935366</v>
      </c>
      <c r="CA15" s="141">
        <v>635966</v>
      </c>
      <c r="CB15" s="141">
        <v>285225</v>
      </c>
      <c r="CC15" s="141">
        <v>25767073</v>
      </c>
      <c r="CD15" s="141">
        <v>4889688</v>
      </c>
      <c r="CE15" s="141">
        <v>3315</v>
      </c>
      <c r="CF15" s="141">
        <v>9552974</v>
      </c>
      <c r="CG15" s="141">
        <v>9686132</v>
      </c>
      <c r="CH15" s="141">
        <v>911473</v>
      </c>
      <c r="CI15" s="141">
        <v>722901</v>
      </c>
      <c r="CJ15" s="141">
        <v>5386955</v>
      </c>
      <c r="CK15" s="141">
        <v>5008179</v>
      </c>
      <c r="CL15" s="83">
        <f t="shared" si="7"/>
        <v>378776</v>
      </c>
      <c r="CM15" s="141">
        <v>8730207</v>
      </c>
      <c r="CN15" s="141">
        <v>6136542</v>
      </c>
      <c r="CO15" s="102"/>
      <c r="CP15" s="141">
        <v>1227004</v>
      </c>
      <c r="CQ15" s="141">
        <v>198970</v>
      </c>
      <c r="CR15" s="141">
        <v>20909337</v>
      </c>
      <c r="CS15" s="141">
        <v>2573457</v>
      </c>
      <c r="CT15" s="141">
        <v>15630691</v>
      </c>
      <c r="CU15" s="141">
        <v>854642</v>
      </c>
      <c r="CV15" s="73">
        <f t="shared" si="8"/>
        <v>1386873</v>
      </c>
      <c r="CW15" s="141">
        <v>1386873</v>
      </c>
      <c r="CX15" s="141">
        <v>0</v>
      </c>
      <c r="CY15" s="73">
        <f t="shared" si="9"/>
        <v>0</v>
      </c>
      <c r="CZ15" s="141">
        <v>0</v>
      </c>
      <c r="DA15" s="141">
        <v>0</v>
      </c>
      <c r="DB15" s="73">
        <f t="shared" si="10"/>
        <v>1365671</v>
      </c>
      <c r="DC15" s="141">
        <v>1365671</v>
      </c>
      <c r="DD15" s="141">
        <v>0</v>
      </c>
      <c r="DE15" s="141">
        <v>6627824</v>
      </c>
      <c r="DF15" s="141">
        <v>3115550</v>
      </c>
      <c r="DG15" s="141">
        <v>3512274</v>
      </c>
      <c r="DH15" s="141">
        <v>0</v>
      </c>
      <c r="DI15" s="141">
        <v>0</v>
      </c>
      <c r="DJ15" s="141">
        <v>1346</v>
      </c>
      <c r="DK15" s="141">
        <v>2802032</v>
      </c>
      <c r="DL15" s="141">
        <v>38132</v>
      </c>
      <c r="DM15" s="141">
        <v>2187</v>
      </c>
      <c r="DN15" s="141">
        <v>2761713</v>
      </c>
      <c r="DO15" s="141">
        <v>25507</v>
      </c>
      <c r="DP15" s="141">
        <v>25507</v>
      </c>
      <c r="DQ15" s="141">
        <v>25507</v>
      </c>
      <c r="DR15" s="141">
        <v>0</v>
      </c>
      <c r="DS15" s="141">
        <v>0</v>
      </c>
      <c r="DT15" s="141">
        <v>0</v>
      </c>
      <c r="DU15" s="141">
        <v>0</v>
      </c>
      <c r="DV15" s="141">
        <v>6582839</v>
      </c>
      <c r="DW15" s="141">
        <v>0</v>
      </c>
      <c r="DX15" s="73">
        <f t="shared" si="11"/>
        <v>0</v>
      </c>
      <c r="DY15" s="141">
        <v>0</v>
      </c>
      <c r="DZ15" s="141">
        <v>2289024</v>
      </c>
      <c r="EA15" s="141">
        <v>0</v>
      </c>
      <c r="EB15" s="141">
        <v>1770925</v>
      </c>
      <c r="EC15" s="74">
        <v>0</v>
      </c>
      <c r="ED15" s="141">
        <v>2522890</v>
      </c>
      <c r="EE15" s="141">
        <v>0</v>
      </c>
      <c r="EF15" s="141">
        <v>83070690</v>
      </c>
      <c r="EG15" s="71"/>
      <c r="EH15" s="141">
        <v>1949882</v>
      </c>
      <c r="EI15" s="141">
        <v>52187</v>
      </c>
      <c r="EJ15" s="141">
        <v>1897695</v>
      </c>
      <c r="EK15" s="141">
        <v>102366</v>
      </c>
      <c r="EL15" s="141">
        <v>140498</v>
      </c>
      <c r="EM15" s="71"/>
      <c r="EN15" s="141">
        <v>143063</v>
      </c>
      <c r="EO15" s="141">
        <v>143536</v>
      </c>
      <c r="EP15" s="141">
        <v>252051</v>
      </c>
      <c r="EQ15" s="141">
        <v>38541</v>
      </c>
      <c r="ER15" s="73">
        <f t="shared" si="12"/>
        <v>3736101</v>
      </c>
      <c r="ES15" s="141">
        <v>32851104</v>
      </c>
      <c r="ET15" s="141">
        <v>-5795557</v>
      </c>
      <c r="EU15" s="141">
        <v>5471034</v>
      </c>
      <c r="EV15" s="141">
        <v>3495902</v>
      </c>
      <c r="EW15" s="141">
        <v>7135120</v>
      </c>
      <c r="EX15" s="141">
        <v>5361735</v>
      </c>
      <c r="EY15" s="73">
        <f t="shared" si="13"/>
        <v>548319</v>
      </c>
      <c r="EZ15" s="141">
        <v>548273</v>
      </c>
      <c r="FA15" s="141">
        <v>27012</v>
      </c>
      <c r="FB15" s="141">
        <v>521261</v>
      </c>
      <c r="FC15" s="141">
        <v>46</v>
      </c>
      <c r="FD15" s="141">
        <v>0</v>
      </c>
      <c r="FE15" s="141">
        <v>7091407</v>
      </c>
      <c r="FF15" s="141">
        <v>5814969</v>
      </c>
      <c r="FG15" s="141">
        <v>2446032</v>
      </c>
      <c r="FH15" s="141">
        <v>5042469</v>
      </c>
      <c r="FI15" s="73">
        <f t="shared" si="14"/>
        <v>231726</v>
      </c>
      <c r="FJ15" s="141">
        <v>36696779</v>
      </c>
      <c r="FK15" s="379">
        <f t="shared" si="15"/>
        <v>5.9</v>
      </c>
      <c r="FL15" s="141">
        <v>30244838</v>
      </c>
      <c r="FM15" s="141">
        <v>1766401</v>
      </c>
      <c r="FN15" s="141">
        <v>18476308</v>
      </c>
      <c r="FO15" s="141">
        <v>25133205</v>
      </c>
      <c r="FP15" s="390">
        <v>0.72799999999999998</v>
      </c>
      <c r="FQ15" s="380">
        <v>99.5</v>
      </c>
      <c r="FR15" s="381">
        <v>16.7</v>
      </c>
      <c r="FS15" s="380">
        <v>22</v>
      </c>
      <c r="FT15" s="380">
        <v>16.600000000000001</v>
      </c>
      <c r="FU15" s="381">
        <v>15.7</v>
      </c>
      <c r="FV15" s="380">
        <v>13.4</v>
      </c>
      <c r="FW15" s="382">
        <v>14.5</v>
      </c>
      <c r="FX15" s="388">
        <v>6.7</v>
      </c>
      <c r="FY15" s="141">
        <v>63101515</v>
      </c>
      <c r="FZ15" s="384">
        <f t="shared" si="16"/>
        <v>197.1</v>
      </c>
      <c r="GA15" s="141">
        <v>12024022</v>
      </c>
      <c r="GB15" s="141">
        <v>3967737</v>
      </c>
      <c r="GC15" s="141">
        <v>2226680</v>
      </c>
      <c r="GD15" s="141">
        <v>5829605</v>
      </c>
      <c r="GE15" s="107">
        <v>0</v>
      </c>
      <c r="GF15" s="385"/>
      <c r="GG15" s="386"/>
      <c r="GH15" s="380">
        <v>99</v>
      </c>
      <c r="GI15" s="380">
        <v>32.4</v>
      </c>
      <c r="GJ15" s="380">
        <v>97.6</v>
      </c>
      <c r="GK15" s="141">
        <v>588</v>
      </c>
      <c r="GL15" s="391" t="s">
        <v>646</v>
      </c>
      <c r="GM15" s="391">
        <v>11.72</v>
      </c>
      <c r="GN15" s="117">
        <v>20</v>
      </c>
      <c r="GO15" s="391" t="s">
        <v>646</v>
      </c>
      <c r="GP15" s="392">
        <v>16.72</v>
      </c>
      <c r="GQ15" s="387">
        <v>30</v>
      </c>
      <c r="GR15" s="381">
        <v>6.7</v>
      </c>
      <c r="GS15" s="388">
        <v>25</v>
      </c>
      <c r="GT15" s="388">
        <v>35</v>
      </c>
      <c r="GU15" s="393">
        <v>41</v>
      </c>
      <c r="GV15" s="388">
        <v>350</v>
      </c>
      <c r="GW15" s="394"/>
      <c r="GX15" s="100">
        <f t="shared" si="17"/>
        <v>32011</v>
      </c>
      <c r="GY15" s="394"/>
      <c r="GZ15" s="394"/>
      <c r="HA15" s="394"/>
      <c r="HB15" s="394"/>
      <c r="HC15" s="394"/>
      <c r="HD15" s="394"/>
      <c r="HE15" s="394"/>
      <c r="HF15" s="394"/>
      <c r="HG15" s="394"/>
      <c r="HH15" s="394"/>
      <c r="HI15" s="394"/>
      <c r="HJ15" s="394"/>
      <c r="HK15" s="394"/>
      <c r="HL15" s="394"/>
      <c r="HM15" s="394"/>
      <c r="HN15" s="394"/>
      <c r="HO15" s="394"/>
      <c r="HP15" s="394"/>
      <c r="HQ15" s="394"/>
      <c r="HR15" s="394"/>
      <c r="HS15" s="394"/>
      <c r="HT15" s="394"/>
      <c r="HU15" s="394"/>
      <c r="HV15" s="394"/>
      <c r="HW15" s="394"/>
      <c r="HX15" s="394"/>
    </row>
    <row r="16" spans="2:232" x14ac:dyDescent="0.15">
      <c r="B16" s="89" t="s">
        <v>21</v>
      </c>
      <c r="C16" s="141">
        <v>56213570</v>
      </c>
      <c r="D16" s="73">
        <f t="shared" si="0"/>
        <v>23031693</v>
      </c>
      <c r="E16" s="141">
        <v>667840</v>
      </c>
      <c r="F16" s="141">
        <v>22363853</v>
      </c>
      <c r="G16" s="73">
        <f t="shared" si="1"/>
        <v>2899844</v>
      </c>
      <c r="H16" s="141">
        <v>737798</v>
      </c>
      <c r="I16" s="141">
        <v>2162046</v>
      </c>
      <c r="J16" s="141">
        <v>21760730</v>
      </c>
      <c r="K16" s="141">
        <v>8328760</v>
      </c>
      <c r="L16" s="141">
        <v>10484332</v>
      </c>
      <c r="M16" s="141">
        <v>2608441</v>
      </c>
      <c r="N16" s="141">
        <v>1891278</v>
      </c>
      <c r="O16" s="141">
        <v>4652421</v>
      </c>
      <c r="P16" s="141">
        <v>2404567</v>
      </c>
      <c r="Q16" s="141">
        <v>2247854</v>
      </c>
      <c r="R16" s="141">
        <v>651652</v>
      </c>
      <c r="S16" s="74"/>
      <c r="T16" s="73">
        <f t="shared" si="2"/>
        <v>9177401</v>
      </c>
      <c r="U16" s="141">
        <v>81450</v>
      </c>
      <c r="V16" s="141">
        <v>344760</v>
      </c>
      <c r="W16" s="141">
        <v>389732</v>
      </c>
      <c r="X16" s="141">
        <v>7882528</v>
      </c>
      <c r="Y16" s="141">
        <v>71707</v>
      </c>
      <c r="Z16" s="141">
        <v>0</v>
      </c>
      <c r="AA16" s="141">
        <v>15</v>
      </c>
      <c r="AB16" s="141">
        <v>111891</v>
      </c>
      <c r="AC16" s="141">
        <v>295318</v>
      </c>
      <c r="AD16" s="141">
        <v>437071</v>
      </c>
      <c r="AE16" s="141">
        <v>12560746</v>
      </c>
      <c r="AF16" s="141">
        <v>12163990</v>
      </c>
      <c r="AG16" s="141">
        <v>396756</v>
      </c>
      <c r="AH16" s="141">
        <v>53441</v>
      </c>
      <c r="AI16" s="141">
        <v>462665</v>
      </c>
      <c r="AJ16" s="73">
        <f t="shared" si="3"/>
        <v>1857512</v>
      </c>
      <c r="AK16" s="141">
        <v>1360732</v>
      </c>
      <c r="AL16" s="141">
        <v>496780</v>
      </c>
      <c r="AM16" s="141">
        <v>74905512</v>
      </c>
      <c r="AN16" s="73">
        <f t="shared" si="4"/>
        <v>17778847</v>
      </c>
      <c r="AO16" s="141">
        <v>9828171</v>
      </c>
      <c r="AP16" s="141">
        <v>3855258</v>
      </c>
      <c r="AQ16" s="74"/>
      <c r="AR16" s="141">
        <v>4095418</v>
      </c>
      <c r="AS16" s="141">
        <v>1193646</v>
      </c>
      <c r="AT16" s="141">
        <v>0</v>
      </c>
      <c r="AU16" s="141">
        <v>0</v>
      </c>
      <c r="AV16" s="141">
        <v>13808812</v>
      </c>
      <c r="AW16" s="141">
        <v>10997100</v>
      </c>
      <c r="AX16" s="141">
        <v>1663727</v>
      </c>
      <c r="AY16" s="141">
        <v>389832</v>
      </c>
      <c r="AZ16" s="141">
        <v>2811712</v>
      </c>
      <c r="BA16" s="141">
        <v>4239</v>
      </c>
      <c r="BB16" s="141">
        <v>121111</v>
      </c>
      <c r="BC16" s="141">
        <v>58301</v>
      </c>
      <c r="BD16" s="141">
        <v>364805</v>
      </c>
      <c r="BE16" s="141">
        <v>3673753</v>
      </c>
      <c r="BF16" s="141">
        <v>1000000</v>
      </c>
      <c r="BG16" s="141">
        <v>7133</v>
      </c>
      <c r="BH16" s="141">
        <v>2493927</v>
      </c>
      <c r="BI16" s="141">
        <v>0</v>
      </c>
      <c r="BJ16" s="141">
        <v>2516713</v>
      </c>
      <c r="BK16" s="141">
        <v>1654938</v>
      </c>
      <c r="BL16" s="141">
        <v>1353554</v>
      </c>
      <c r="BM16" s="141">
        <v>26982</v>
      </c>
      <c r="BN16" s="141">
        <v>0</v>
      </c>
      <c r="BO16" s="141">
        <v>235295</v>
      </c>
      <c r="BP16" s="141">
        <v>14942295</v>
      </c>
      <c r="BQ16" s="73">
        <f t="shared" si="5"/>
        <v>9463000</v>
      </c>
      <c r="BR16" s="73">
        <f t="shared" si="6"/>
        <v>5479295</v>
      </c>
      <c r="BS16" s="141">
        <v>0</v>
      </c>
      <c r="BT16" s="141">
        <v>0</v>
      </c>
      <c r="BU16" s="141">
        <v>5479295</v>
      </c>
      <c r="BV16" s="141">
        <v>0</v>
      </c>
      <c r="BW16" s="141">
        <v>193100613</v>
      </c>
      <c r="BX16" s="71"/>
      <c r="BY16" s="141">
        <v>21324218</v>
      </c>
      <c r="BZ16" s="141">
        <v>13845465</v>
      </c>
      <c r="CA16" s="141">
        <v>1443717</v>
      </c>
      <c r="CB16" s="141">
        <v>2387003</v>
      </c>
      <c r="CC16" s="141">
        <v>46573177</v>
      </c>
      <c r="CD16" s="141">
        <v>10490328</v>
      </c>
      <c r="CE16" s="141">
        <v>166256</v>
      </c>
      <c r="CF16" s="141">
        <v>21585699</v>
      </c>
      <c r="CG16" s="141">
        <v>12826949</v>
      </c>
      <c r="CH16" s="141">
        <v>233968</v>
      </c>
      <c r="CI16" s="141">
        <v>1266537</v>
      </c>
      <c r="CJ16" s="141">
        <v>10097769</v>
      </c>
      <c r="CK16" s="141">
        <v>9613597</v>
      </c>
      <c r="CL16" s="83">
        <f t="shared" si="7"/>
        <v>484172</v>
      </c>
      <c r="CM16" s="141">
        <v>16402252</v>
      </c>
      <c r="CN16" s="141">
        <v>11061173</v>
      </c>
      <c r="CO16" s="102"/>
      <c r="CP16" s="141">
        <v>2571450</v>
      </c>
      <c r="CQ16" s="141">
        <v>1406996</v>
      </c>
      <c r="CR16" s="141">
        <v>56874790</v>
      </c>
      <c r="CS16" s="141">
        <v>4478123</v>
      </c>
      <c r="CT16" s="141">
        <v>42065012</v>
      </c>
      <c r="CU16" s="141">
        <v>2567773</v>
      </c>
      <c r="CV16" s="73">
        <f t="shared" si="8"/>
        <v>5820627</v>
      </c>
      <c r="CW16" s="141">
        <v>3052549</v>
      </c>
      <c r="CX16" s="141">
        <v>2768078</v>
      </c>
      <c r="CY16" s="73">
        <f t="shared" si="9"/>
        <v>1557263</v>
      </c>
      <c r="CZ16" s="141">
        <v>1024839</v>
      </c>
      <c r="DA16" s="141">
        <v>532424</v>
      </c>
      <c r="DB16" s="73">
        <f t="shared" si="10"/>
        <v>3906551</v>
      </c>
      <c r="DC16" s="141">
        <v>1998684</v>
      </c>
      <c r="DD16" s="141">
        <v>1907867</v>
      </c>
      <c r="DE16" s="141">
        <v>19074539</v>
      </c>
      <c r="DF16" s="141">
        <v>8494736</v>
      </c>
      <c r="DG16" s="141">
        <v>7798319</v>
      </c>
      <c r="DH16" s="141">
        <v>117</v>
      </c>
      <c r="DI16" s="141">
        <v>2781367</v>
      </c>
      <c r="DJ16" s="141">
        <v>30594</v>
      </c>
      <c r="DK16" s="141">
        <v>3906031</v>
      </c>
      <c r="DL16" s="141">
        <v>2308848</v>
      </c>
      <c r="DM16" s="141">
        <v>2856</v>
      </c>
      <c r="DN16" s="141">
        <v>1594327</v>
      </c>
      <c r="DO16" s="141">
        <v>0</v>
      </c>
      <c r="DP16" s="141">
        <v>0</v>
      </c>
      <c r="DQ16" s="141">
        <v>0</v>
      </c>
      <c r="DR16" s="141">
        <v>0</v>
      </c>
      <c r="DS16" s="141">
        <v>22706</v>
      </c>
      <c r="DT16" s="141">
        <v>0</v>
      </c>
      <c r="DU16" s="141">
        <v>0</v>
      </c>
      <c r="DV16" s="141">
        <v>13891704</v>
      </c>
      <c r="DW16" s="141">
        <v>0</v>
      </c>
      <c r="DX16" s="73">
        <f t="shared" si="11"/>
        <v>0</v>
      </c>
      <c r="DY16" s="141">
        <v>0</v>
      </c>
      <c r="DZ16" s="141">
        <v>5195110</v>
      </c>
      <c r="EA16" s="141">
        <v>50</v>
      </c>
      <c r="EB16" s="141">
        <v>3718946</v>
      </c>
      <c r="EC16" s="74">
        <v>0</v>
      </c>
      <c r="ED16" s="141">
        <v>4977598</v>
      </c>
      <c r="EE16" s="141">
        <v>0</v>
      </c>
      <c r="EF16" s="141">
        <v>189604776</v>
      </c>
      <c r="EG16" s="71"/>
      <c r="EH16" s="141">
        <v>3495837</v>
      </c>
      <c r="EI16" s="141">
        <v>1802162</v>
      </c>
      <c r="EJ16" s="141">
        <v>1693675</v>
      </c>
      <c r="EK16" s="141">
        <v>38737</v>
      </c>
      <c r="EL16" s="141">
        <v>1354718</v>
      </c>
      <c r="EM16" s="71"/>
      <c r="EN16" s="141">
        <v>397596</v>
      </c>
      <c r="EO16" s="141">
        <v>399690</v>
      </c>
      <c r="EP16" s="141">
        <v>2079826</v>
      </c>
      <c r="EQ16" s="141">
        <v>107765</v>
      </c>
      <c r="ER16" s="73">
        <f t="shared" si="12"/>
        <v>7203222</v>
      </c>
      <c r="ES16" s="141">
        <v>79093881</v>
      </c>
      <c r="ET16" s="141">
        <v>-14816667</v>
      </c>
      <c r="EU16" s="141">
        <v>19198797</v>
      </c>
      <c r="EV16" s="141">
        <v>12474518</v>
      </c>
      <c r="EW16" s="141">
        <v>13828413</v>
      </c>
      <c r="EX16" s="141">
        <v>9854657</v>
      </c>
      <c r="EY16" s="73">
        <f t="shared" si="13"/>
        <v>2699072</v>
      </c>
      <c r="EZ16" s="141">
        <v>2699072</v>
      </c>
      <c r="FA16" s="141">
        <v>269487</v>
      </c>
      <c r="FB16" s="141">
        <v>2429468</v>
      </c>
      <c r="FC16" s="141">
        <v>0</v>
      </c>
      <c r="FD16" s="141">
        <v>0</v>
      </c>
      <c r="FE16" s="141">
        <v>13271127</v>
      </c>
      <c r="FF16" s="141">
        <v>16120475</v>
      </c>
      <c r="FG16" s="141">
        <v>4472123</v>
      </c>
      <c r="FH16" s="141">
        <v>10893302</v>
      </c>
      <c r="FI16" s="73">
        <f t="shared" si="14"/>
        <v>4548868</v>
      </c>
      <c r="FJ16" s="141">
        <v>90414711</v>
      </c>
      <c r="FK16" s="379">
        <f t="shared" si="15"/>
        <v>2.1</v>
      </c>
      <c r="FL16" s="141">
        <v>74045498</v>
      </c>
      <c r="FM16" s="141">
        <v>5479295</v>
      </c>
      <c r="FN16" s="141">
        <v>48526829</v>
      </c>
      <c r="FO16" s="141">
        <v>60721841</v>
      </c>
      <c r="FP16" s="390">
        <v>0.79700000000000004</v>
      </c>
      <c r="FQ16" s="380">
        <v>95.7</v>
      </c>
      <c r="FR16" s="381">
        <v>23.6</v>
      </c>
      <c r="FS16" s="380">
        <v>16.5</v>
      </c>
      <c r="FT16" s="380">
        <v>12.3</v>
      </c>
      <c r="FU16" s="381">
        <v>14.7</v>
      </c>
      <c r="FV16" s="380">
        <v>14.5</v>
      </c>
      <c r="FW16" s="382">
        <v>12.8</v>
      </c>
      <c r="FX16" s="388">
        <v>-0.4</v>
      </c>
      <c r="FY16" s="141">
        <v>111037102</v>
      </c>
      <c r="FZ16" s="384">
        <f t="shared" si="16"/>
        <v>139.6</v>
      </c>
      <c r="GA16" s="141">
        <v>29826978</v>
      </c>
      <c r="GB16" s="141">
        <v>12666026</v>
      </c>
      <c r="GC16" s="141">
        <v>4396778</v>
      </c>
      <c r="GD16" s="141">
        <v>12764174</v>
      </c>
      <c r="GE16" s="107">
        <v>0</v>
      </c>
      <c r="GF16" s="385">
        <v>5223</v>
      </c>
      <c r="GG16" s="386">
        <f>IF(GF16=0,"-",ROUND(GF16/(GX16)*100,1))</f>
        <v>6.6</v>
      </c>
      <c r="GH16" s="380">
        <v>99.3</v>
      </c>
      <c r="GI16" s="380">
        <v>36.200000000000003</v>
      </c>
      <c r="GJ16" s="380">
        <v>98.8</v>
      </c>
      <c r="GK16" s="141">
        <v>2182</v>
      </c>
      <c r="GL16" s="391" t="s">
        <v>646</v>
      </c>
      <c r="GM16" s="391">
        <v>11.25</v>
      </c>
      <c r="GN16" s="117">
        <v>20</v>
      </c>
      <c r="GO16" s="391" t="s">
        <v>646</v>
      </c>
      <c r="GP16" s="392">
        <v>16.25</v>
      </c>
      <c r="GQ16" s="387">
        <v>30</v>
      </c>
      <c r="GR16" s="381">
        <v>-0.4</v>
      </c>
      <c r="GS16" s="388">
        <v>25</v>
      </c>
      <c r="GT16" s="388">
        <v>35</v>
      </c>
      <c r="GU16" s="393" t="s">
        <v>646</v>
      </c>
      <c r="GV16" s="388">
        <v>350</v>
      </c>
      <c r="GW16" s="394"/>
      <c r="GX16" s="100">
        <f t="shared" si="17"/>
        <v>79525</v>
      </c>
      <c r="GY16" s="394"/>
      <c r="GZ16" s="394"/>
      <c r="HA16" s="394"/>
      <c r="HB16" s="394"/>
      <c r="HC16" s="394"/>
      <c r="HD16" s="394"/>
      <c r="HE16" s="394"/>
      <c r="HF16" s="394"/>
      <c r="HG16" s="394"/>
      <c r="HH16" s="394"/>
      <c r="HI16" s="394"/>
      <c r="HJ16" s="394"/>
      <c r="HK16" s="394"/>
      <c r="HL16" s="394"/>
      <c r="HM16" s="394"/>
      <c r="HN16" s="394"/>
      <c r="HO16" s="394"/>
      <c r="HP16" s="394"/>
      <c r="HQ16" s="394"/>
      <c r="HR16" s="394"/>
      <c r="HS16" s="394"/>
      <c r="HT16" s="394"/>
      <c r="HU16" s="394"/>
      <c r="HV16" s="394"/>
      <c r="HW16" s="394"/>
      <c r="HX16" s="394"/>
    </row>
    <row r="17" spans="2:232" x14ac:dyDescent="0.15">
      <c r="B17" s="89" t="s">
        <v>23</v>
      </c>
      <c r="C17" s="141">
        <v>48074377</v>
      </c>
      <c r="D17" s="73">
        <f t="shared" si="0"/>
        <v>18682907</v>
      </c>
      <c r="E17" s="141">
        <v>487621</v>
      </c>
      <c r="F17" s="141">
        <v>18195286</v>
      </c>
      <c r="G17" s="73">
        <f t="shared" si="1"/>
        <v>3029028</v>
      </c>
      <c r="H17" s="141">
        <v>753093</v>
      </c>
      <c r="I17" s="141">
        <v>2275935</v>
      </c>
      <c r="J17" s="141">
        <v>20349667</v>
      </c>
      <c r="K17" s="141">
        <v>8110839</v>
      </c>
      <c r="L17" s="141">
        <v>9263332</v>
      </c>
      <c r="M17" s="141">
        <v>2738059</v>
      </c>
      <c r="N17" s="141">
        <v>1528332</v>
      </c>
      <c r="O17" s="141">
        <v>4152550</v>
      </c>
      <c r="P17" s="141">
        <v>2160332</v>
      </c>
      <c r="Q17" s="141">
        <v>1992218</v>
      </c>
      <c r="R17" s="141">
        <v>506887</v>
      </c>
      <c r="S17" s="74"/>
      <c r="T17" s="73">
        <f t="shared" si="2"/>
        <v>6718049</v>
      </c>
      <c r="U17" s="141">
        <v>64521</v>
      </c>
      <c r="V17" s="141">
        <v>273352</v>
      </c>
      <c r="W17" s="141">
        <v>309506</v>
      </c>
      <c r="X17" s="141">
        <v>5662078</v>
      </c>
      <c r="Y17" s="141">
        <v>77489</v>
      </c>
      <c r="Z17" s="141">
        <v>0</v>
      </c>
      <c r="AA17" s="141">
        <v>12</v>
      </c>
      <c r="AB17" s="141">
        <v>87167</v>
      </c>
      <c r="AC17" s="141">
        <v>243924</v>
      </c>
      <c r="AD17" s="141">
        <v>309647</v>
      </c>
      <c r="AE17" s="141">
        <v>1228556</v>
      </c>
      <c r="AF17" s="141">
        <v>997998</v>
      </c>
      <c r="AG17" s="141">
        <v>230558</v>
      </c>
      <c r="AH17" s="141">
        <v>40415</v>
      </c>
      <c r="AI17" s="141">
        <v>321686</v>
      </c>
      <c r="AJ17" s="73">
        <f t="shared" si="3"/>
        <v>1509638</v>
      </c>
      <c r="AK17" s="141">
        <v>1107437</v>
      </c>
      <c r="AL17" s="141">
        <v>402201</v>
      </c>
      <c r="AM17" s="141">
        <v>51616215</v>
      </c>
      <c r="AN17" s="73">
        <f t="shared" si="4"/>
        <v>10618638</v>
      </c>
      <c r="AO17" s="141">
        <v>4413795</v>
      </c>
      <c r="AP17" s="141">
        <v>3329140</v>
      </c>
      <c r="AQ17" s="74"/>
      <c r="AR17" s="141">
        <v>2875703</v>
      </c>
      <c r="AS17" s="141">
        <v>2356242</v>
      </c>
      <c r="AT17" s="141">
        <v>21206</v>
      </c>
      <c r="AU17" s="141">
        <v>0</v>
      </c>
      <c r="AV17" s="141">
        <v>8395442</v>
      </c>
      <c r="AW17" s="141">
        <v>5659366</v>
      </c>
      <c r="AX17" s="141">
        <v>1438037</v>
      </c>
      <c r="AY17" s="141">
        <v>377624</v>
      </c>
      <c r="AZ17" s="141">
        <v>2736076</v>
      </c>
      <c r="BA17" s="141">
        <v>79122</v>
      </c>
      <c r="BB17" s="141">
        <v>193066</v>
      </c>
      <c r="BC17" s="141">
        <v>113426</v>
      </c>
      <c r="BD17" s="141">
        <v>126174</v>
      </c>
      <c r="BE17" s="141">
        <v>1492941</v>
      </c>
      <c r="BF17" s="141">
        <v>1300000</v>
      </c>
      <c r="BG17" s="141">
        <v>0</v>
      </c>
      <c r="BH17" s="141">
        <v>122913</v>
      </c>
      <c r="BI17" s="141">
        <v>0</v>
      </c>
      <c r="BJ17" s="141">
        <v>1560941</v>
      </c>
      <c r="BK17" s="141">
        <v>441824</v>
      </c>
      <c r="BL17" s="141">
        <v>2531048</v>
      </c>
      <c r="BM17" s="141">
        <v>617902</v>
      </c>
      <c r="BN17" s="141">
        <v>10346</v>
      </c>
      <c r="BO17" s="141">
        <v>202895</v>
      </c>
      <c r="BP17" s="141">
        <v>2336200</v>
      </c>
      <c r="BQ17" s="73">
        <f t="shared" si="5"/>
        <v>2336200</v>
      </c>
      <c r="BR17" s="73">
        <f t="shared" si="6"/>
        <v>0</v>
      </c>
      <c r="BS17" s="141">
        <v>0</v>
      </c>
      <c r="BT17" s="141">
        <v>0</v>
      </c>
      <c r="BU17" s="141">
        <v>0</v>
      </c>
      <c r="BV17" s="141">
        <v>0</v>
      </c>
      <c r="BW17" s="141">
        <v>126961282</v>
      </c>
      <c r="BX17" s="71"/>
      <c r="BY17" s="141">
        <v>17113715</v>
      </c>
      <c r="BZ17" s="141">
        <v>10685067</v>
      </c>
      <c r="CA17" s="141">
        <v>753071</v>
      </c>
      <c r="CB17" s="141">
        <v>2691651</v>
      </c>
      <c r="CC17" s="141">
        <v>29903274</v>
      </c>
      <c r="CD17" s="141">
        <v>6947673</v>
      </c>
      <c r="CE17" s="141">
        <v>139687</v>
      </c>
      <c r="CF17" s="141">
        <v>15193167</v>
      </c>
      <c r="CG17" s="141">
        <v>5979851</v>
      </c>
      <c r="CH17" s="141">
        <v>0</v>
      </c>
      <c r="CI17" s="141">
        <v>1642896</v>
      </c>
      <c r="CJ17" s="141">
        <v>5220937</v>
      </c>
      <c r="CK17" s="141">
        <v>4878770</v>
      </c>
      <c r="CL17" s="83">
        <f t="shared" si="7"/>
        <v>342167</v>
      </c>
      <c r="CM17" s="141">
        <v>15983188</v>
      </c>
      <c r="CN17" s="141">
        <v>9259665</v>
      </c>
      <c r="CO17" s="102"/>
      <c r="CP17" s="141">
        <v>3740144</v>
      </c>
      <c r="CQ17" s="141">
        <v>1256055</v>
      </c>
      <c r="CR17" s="141">
        <v>36735159</v>
      </c>
      <c r="CS17" s="141">
        <v>6421</v>
      </c>
      <c r="CT17" s="141">
        <v>32927985</v>
      </c>
      <c r="CU17" s="141">
        <v>3456112</v>
      </c>
      <c r="CV17" s="73">
        <f t="shared" si="8"/>
        <v>1870545</v>
      </c>
      <c r="CW17" s="141">
        <v>998872</v>
      </c>
      <c r="CX17" s="141">
        <v>871673</v>
      </c>
      <c r="CY17" s="73">
        <f t="shared" si="9"/>
        <v>0</v>
      </c>
      <c r="CZ17" s="141">
        <v>0</v>
      </c>
      <c r="DA17" s="141">
        <v>0</v>
      </c>
      <c r="DB17" s="73">
        <f t="shared" si="10"/>
        <v>1735804</v>
      </c>
      <c r="DC17" s="141">
        <v>992734</v>
      </c>
      <c r="DD17" s="141">
        <v>743070</v>
      </c>
      <c r="DE17" s="141">
        <v>8862319</v>
      </c>
      <c r="DF17" s="141">
        <v>4348728</v>
      </c>
      <c r="DG17" s="141">
        <v>4502113</v>
      </c>
      <c r="DH17" s="141">
        <v>1132</v>
      </c>
      <c r="DI17" s="141">
        <v>10346</v>
      </c>
      <c r="DJ17" s="141">
        <v>22038</v>
      </c>
      <c r="DK17" s="141">
        <v>1037254</v>
      </c>
      <c r="DL17" s="141">
        <v>570</v>
      </c>
      <c r="DM17" s="141">
        <v>0</v>
      </c>
      <c r="DN17" s="141">
        <v>1036684</v>
      </c>
      <c r="DO17" s="141">
        <v>9379</v>
      </c>
      <c r="DP17" s="141">
        <v>9379</v>
      </c>
      <c r="DQ17" s="141">
        <v>9379</v>
      </c>
      <c r="DR17" s="141">
        <v>0</v>
      </c>
      <c r="DS17" s="141">
        <v>617860</v>
      </c>
      <c r="DT17" s="141">
        <v>0</v>
      </c>
      <c r="DU17" s="141">
        <v>0</v>
      </c>
      <c r="DV17" s="141">
        <v>8355295</v>
      </c>
      <c r="DW17" s="141">
        <v>0</v>
      </c>
      <c r="DX17" s="73">
        <f t="shared" si="11"/>
        <v>0</v>
      </c>
      <c r="DY17" s="141">
        <v>0</v>
      </c>
      <c r="DZ17" s="141">
        <v>3450761</v>
      </c>
      <c r="EA17" s="141">
        <v>0</v>
      </c>
      <c r="EB17" s="141">
        <v>1944157</v>
      </c>
      <c r="EC17" s="74">
        <v>0</v>
      </c>
      <c r="ED17" s="141">
        <v>2960377</v>
      </c>
      <c r="EE17" s="141">
        <v>0</v>
      </c>
      <c r="EF17" s="141">
        <v>125116473</v>
      </c>
      <c r="EG17" s="71"/>
      <c r="EH17" s="141">
        <v>1844809</v>
      </c>
      <c r="EI17" s="141">
        <v>730690</v>
      </c>
      <c r="EJ17" s="141">
        <v>1114119</v>
      </c>
      <c r="EK17" s="141">
        <v>230295</v>
      </c>
      <c r="EL17" s="141">
        <v>-1069135</v>
      </c>
      <c r="EM17" s="71"/>
      <c r="EN17" s="141">
        <v>288014</v>
      </c>
      <c r="EO17" s="141">
        <v>283233</v>
      </c>
      <c r="EP17" s="141">
        <v>1370028</v>
      </c>
      <c r="EQ17" s="141">
        <v>192120</v>
      </c>
      <c r="ER17" s="73">
        <f t="shared" si="12"/>
        <v>4418034</v>
      </c>
      <c r="ES17" s="141">
        <v>56877931</v>
      </c>
      <c r="ET17" s="141">
        <v>-5939767</v>
      </c>
      <c r="EU17" s="141">
        <v>15179836</v>
      </c>
      <c r="EV17" s="141">
        <v>9446786</v>
      </c>
      <c r="EW17" s="141">
        <v>8647434</v>
      </c>
      <c r="EX17" s="141">
        <v>5220937</v>
      </c>
      <c r="EY17" s="73">
        <f t="shared" si="13"/>
        <v>2399207</v>
      </c>
      <c r="EZ17" s="141">
        <v>2399207</v>
      </c>
      <c r="FA17" s="141">
        <v>259792</v>
      </c>
      <c r="FB17" s="141">
        <v>2138283</v>
      </c>
      <c r="FC17" s="141">
        <v>0</v>
      </c>
      <c r="FD17" s="141">
        <v>0</v>
      </c>
      <c r="FE17" s="141">
        <v>13479997</v>
      </c>
      <c r="FF17" s="141">
        <v>7161686</v>
      </c>
      <c r="FG17" s="141">
        <v>6421</v>
      </c>
      <c r="FH17" s="141">
        <v>6610121</v>
      </c>
      <c r="FI17" s="73">
        <f t="shared" si="14"/>
        <v>2273671</v>
      </c>
      <c r="FJ17" s="141">
        <v>60972889</v>
      </c>
      <c r="FK17" s="379">
        <f t="shared" si="15"/>
        <v>2.1</v>
      </c>
      <c r="FL17" s="141">
        <v>52033622</v>
      </c>
      <c r="FM17" s="141">
        <v>1414823</v>
      </c>
      <c r="FN17" s="141">
        <v>39710469</v>
      </c>
      <c r="FO17" s="141">
        <v>40724709</v>
      </c>
      <c r="FP17" s="390">
        <v>0.97</v>
      </c>
      <c r="FQ17" s="380">
        <v>94.1</v>
      </c>
      <c r="FR17" s="381">
        <v>27.7</v>
      </c>
      <c r="FS17" s="380">
        <v>15.6</v>
      </c>
      <c r="FT17" s="380">
        <v>9.8000000000000007</v>
      </c>
      <c r="FU17" s="381">
        <v>20.2</v>
      </c>
      <c r="FV17" s="380">
        <v>6.8</v>
      </c>
      <c r="FW17" s="382">
        <v>12</v>
      </c>
      <c r="FX17" s="388">
        <v>-2.2999999999999998</v>
      </c>
      <c r="FY17" s="141">
        <v>47459453</v>
      </c>
      <c r="FZ17" s="384">
        <f t="shared" si="16"/>
        <v>88.8</v>
      </c>
      <c r="GA17" s="141">
        <v>22954051</v>
      </c>
      <c r="GB17" s="141">
        <v>6810860</v>
      </c>
      <c r="GC17" s="141">
        <v>0</v>
      </c>
      <c r="GD17" s="141">
        <v>16143191</v>
      </c>
      <c r="GE17" s="107">
        <v>0</v>
      </c>
      <c r="GF17" s="385">
        <v>723</v>
      </c>
      <c r="GG17" s="386">
        <f>IF(GF17=0,"-",ROUND(GF17/(GX17)*100,1))</f>
        <v>1.4</v>
      </c>
      <c r="GH17" s="380">
        <v>98.9</v>
      </c>
      <c r="GI17" s="380">
        <v>35.4</v>
      </c>
      <c r="GJ17" s="380">
        <v>97.4</v>
      </c>
      <c r="GK17" s="141">
        <v>1609</v>
      </c>
      <c r="GL17" s="391" t="s">
        <v>646</v>
      </c>
      <c r="GM17" s="391">
        <v>11.25</v>
      </c>
      <c r="GN17" s="117">
        <v>20</v>
      </c>
      <c r="GO17" s="391" t="s">
        <v>646</v>
      </c>
      <c r="GP17" s="392">
        <v>16.25</v>
      </c>
      <c r="GQ17" s="387">
        <v>30</v>
      </c>
      <c r="GR17" s="381">
        <v>-2.2999999999999998</v>
      </c>
      <c r="GS17" s="388">
        <v>25</v>
      </c>
      <c r="GT17" s="388">
        <v>35</v>
      </c>
      <c r="GU17" s="393" t="s">
        <v>646</v>
      </c>
      <c r="GV17" s="388">
        <v>350</v>
      </c>
      <c r="GW17" s="394"/>
      <c r="GX17" s="100">
        <f t="shared" si="17"/>
        <v>53448</v>
      </c>
      <c r="GY17" s="394"/>
      <c r="GZ17" s="394"/>
      <c r="HA17" s="394"/>
      <c r="HB17" s="394"/>
      <c r="HC17" s="394"/>
      <c r="HD17" s="394"/>
      <c r="HE17" s="394"/>
      <c r="HF17" s="394"/>
      <c r="HG17" s="394"/>
      <c r="HH17" s="394"/>
      <c r="HI17" s="394"/>
      <c r="HJ17" s="394"/>
      <c r="HK17" s="394"/>
      <c r="HL17" s="394"/>
      <c r="HM17" s="394"/>
      <c r="HN17" s="394"/>
      <c r="HO17" s="394"/>
      <c r="HP17" s="394"/>
      <c r="HQ17" s="394"/>
      <c r="HR17" s="394"/>
      <c r="HS17" s="394"/>
      <c r="HT17" s="394"/>
      <c r="HU17" s="394"/>
      <c r="HV17" s="394"/>
      <c r="HW17" s="394"/>
      <c r="HX17" s="394"/>
    </row>
    <row r="18" spans="2:232" x14ac:dyDescent="0.15">
      <c r="B18" s="89" t="s">
        <v>25</v>
      </c>
      <c r="C18" s="141">
        <v>39295806</v>
      </c>
      <c r="D18" s="73">
        <f t="shared" si="0"/>
        <v>14623870</v>
      </c>
      <c r="E18" s="141">
        <v>432857</v>
      </c>
      <c r="F18" s="141">
        <v>14191013</v>
      </c>
      <c r="G18" s="73">
        <f t="shared" si="1"/>
        <v>2635215</v>
      </c>
      <c r="H18" s="141">
        <v>738089</v>
      </c>
      <c r="I18" s="141">
        <v>1897126</v>
      </c>
      <c r="J18" s="141">
        <v>16554505</v>
      </c>
      <c r="K18" s="141">
        <v>7126736</v>
      </c>
      <c r="L18" s="141">
        <v>7029621</v>
      </c>
      <c r="M18" s="141">
        <v>2120552</v>
      </c>
      <c r="N18" s="141">
        <v>1675996</v>
      </c>
      <c r="O18" s="141">
        <v>3414623</v>
      </c>
      <c r="P18" s="141">
        <v>1898500</v>
      </c>
      <c r="Q18" s="141">
        <v>1516123</v>
      </c>
      <c r="R18" s="141">
        <v>448493</v>
      </c>
      <c r="S18" s="74"/>
      <c r="T18" s="73">
        <f t="shared" si="2"/>
        <v>6348095</v>
      </c>
      <c r="U18" s="141">
        <v>50046</v>
      </c>
      <c r="V18" s="141">
        <v>212041</v>
      </c>
      <c r="W18" s="141">
        <v>240114</v>
      </c>
      <c r="X18" s="141">
        <v>5565264</v>
      </c>
      <c r="Y18" s="141">
        <v>0</v>
      </c>
      <c r="Z18" s="141">
        <v>0</v>
      </c>
      <c r="AA18" s="141">
        <v>11</v>
      </c>
      <c r="AB18" s="141">
        <v>77123</v>
      </c>
      <c r="AC18" s="141">
        <v>203496</v>
      </c>
      <c r="AD18" s="141">
        <v>322997</v>
      </c>
      <c r="AE18" s="141">
        <v>12040133</v>
      </c>
      <c r="AF18" s="141">
        <v>11487623</v>
      </c>
      <c r="AG18" s="141">
        <v>552494</v>
      </c>
      <c r="AH18" s="141">
        <v>35929</v>
      </c>
      <c r="AI18" s="141">
        <v>816961</v>
      </c>
      <c r="AJ18" s="73">
        <f t="shared" si="3"/>
        <v>1409337</v>
      </c>
      <c r="AK18" s="141">
        <v>881846</v>
      </c>
      <c r="AL18" s="141">
        <v>527491</v>
      </c>
      <c r="AM18" s="141">
        <v>56051669</v>
      </c>
      <c r="AN18" s="73">
        <f t="shared" si="4"/>
        <v>17660598</v>
      </c>
      <c r="AO18" s="141">
        <v>10183518</v>
      </c>
      <c r="AP18" s="141">
        <v>3773582</v>
      </c>
      <c r="AQ18" s="74"/>
      <c r="AR18" s="141">
        <v>3703498</v>
      </c>
      <c r="AS18" s="141">
        <v>622720</v>
      </c>
      <c r="AT18" s="141">
        <v>0</v>
      </c>
      <c r="AU18" s="141">
        <v>53004</v>
      </c>
      <c r="AV18" s="141">
        <v>8041067</v>
      </c>
      <c r="AW18" s="141">
        <v>5376593</v>
      </c>
      <c r="AX18" s="141">
        <v>1677186</v>
      </c>
      <c r="AY18" s="141">
        <v>29045</v>
      </c>
      <c r="AZ18" s="141">
        <v>2664474</v>
      </c>
      <c r="BA18" s="141">
        <v>16632</v>
      </c>
      <c r="BB18" s="141">
        <v>497382</v>
      </c>
      <c r="BC18" s="141">
        <v>401773</v>
      </c>
      <c r="BD18" s="141">
        <v>214034</v>
      </c>
      <c r="BE18" s="141">
        <v>166991</v>
      </c>
      <c r="BF18" s="141">
        <v>0</v>
      </c>
      <c r="BG18" s="141">
        <v>0</v>
      </c>
      <c r="BH18" s="141">
        <v>166991</v>
      </c>
      <c r="BI18" s="141">
        <v>0</v>
      </c>
      <c r="BJ18" s="141">
        <v>1472347</v>
      </c>
      <c r="BK18" s="141">
        <v>1384925</v>
      </c>
      <c r="BL18" s="141">
        <v>1129955</v>
      </c>
      <c r="BM18" s="141">
        <v>291872</v>
      </c>
      <c r="BN18" s="141">
        <v>0</v>
      </c>
      <c r="BO18" s="141">
        <v>201513</v>
      </c>
      <c r="BP18" s="141">
        <v>6653321</v>
      </c>
      <c r="BQ18" s="73">
        <f t="shared" si="5"/>
        <v>2553898</v>
      </c>
      <c r="BR18" s="73">
        <f t="shared" si="6"/>
        <v>4099423</v>
      </c>
      <c r="BS18" s="141">
        <v>0</v>
      </c>
      <c r="BT18" s="141">
        <v>0</v>
      </c>
      <c r="BU18" s="141">
        <v>4099423</v>
      </c>
      <c r="BV18" s="141">
        <v>0</v>
      </c>
      <c r="BW18" s="141">
        <v>134997521</v>
      </c>
      <c r="BX18" s="71"/>
      <c r="BY18" s="141">
        <v>18095890</v>
      </c>
      <c r="BZ18" s="141">
        <v>12556789</v>
      </c>
      <c r="CA18" s="141">
        <v>726420</v>
      </c>
      <c r="CB18" s="141">
        <v>1556725</v>
      </c>
      <c r="CC18" s="141">
        <v>39264963</v>
      </c>
      <c r="CD18" s="141">
        <v>8792765</v>
      </c>
      <c r="CE18" s="141">
        <v>94585</v>
      </c>
      <c r="CF18" s="141">
        <v>14270863</v>
      </c>
      <c r="CG18" s="141">
        <v>13483605</v>
      </c>
      <c r="CH18" s="141">
        <v>1060500</v>
      </c>
      <c r="CI18" s="141">
        <v>1562090</v>
      </c>
      <c r="CJ18" s="141">
        <v>8699029</v>
      </c>
      <c r="CK18" s="141">
        <v>8245924</v>
      </c>
      <c r="CL18" s="83">
        <f t="shared" si="7"/>
        <v>453105</v>
      </c>
      <c r="CM18" s="141">
        <v>10973924</v>
      </c>
      <c r="CN18" s="141">
        <v>7160341</v>
      </c>
      <c r="CO18" s="102"/>
      <c r="CP18" s="141">
        <v>1756097</v>
      </c>
      <c r="CQ18" s="141">
        <v>448634</v>
      </c>
      <c r="CR18" s="141">
        <v>38084365</v>
      </c>
      <c r="CS18" s="141">
        <v>838798</v>
      </c>
      <c r="CT18" s="141">
        <v>30080905</v>
      </c>
      <c r="CU18" s="141">
        <v>3071672</v>
      </c>
      <c r="CV18" s="73">
        <f t="shared" si="8"/>
        <v>5920236</v>
      </c>
      <c r="CW18" s="141">
        <v>5920236</v>
      </c>
      <c r="CX18" s="141">
        <v>0</v>
      </c>
      <c r="CY18" s="73">
        <f t="shared" si="9"/>
        <v>1724296</v>
      </c>
      <c r="CZ18" s="141">
        <v>1724296</v>
      </c>
      <c r="DA18" s="141">
        <v>0</v>
      </c>
      <c r="DB18" s="73">
        <f t="shared" si="10"/>
        <v>3740601</v>
      </c>
      <c r="DC18" s="141">
        <v>3740601</v>
      </c>
      <c r="DD18" s="141">
        <v>0</v>
      </c>
      <c r="DE18" s="141">
        <v>5098181</v>
      </c>
      <c r="DF18" s="141">
        <v>1761014</v>
      </c>
      <c r="DG18" s="141">
        <v>3335170</v>
      </c>
      <c r="DH18" s="141">
        <v>0</v>
      </c>
      <c r="DI18" s="141">
        <v>1997</v>
      </c>
      <c r="DJ18" s="141">
        <v>148649</v>
      </c>
      <c r="DK18" s="141">
        <v>1311217</v>
      </c>
      <c r="DL18" s="141">
        <v>739306</v>
      </c>
      <c r="DM18" s="141">
        <v>0</v>
      </c>
      <c r="DN18" s="141">
        <v>571911</v>
      </c>
      <c r="DO18" s="141">
        <v>657655</v>
      </c>
      <c r="DP18" s="141">
        <v>657655</v>
      </c>
      <c r="DQ18" s="141">
        <v>26800</v>
      </c>
      <c r="DR18" s="141">
        <v>100000</v>
      </c>
      <c r="DS18" s="141">
        <v>273334</v>
      </c>
      <c r="DT18" s="141">
        <v>0</v>
      </c>
      <c r="DU18" s="141">
        <v>0</v>
      </c>
      <c r="DV18" s="141">
        <v>11141037</v>
      </c>
      <c r="DW18" s="141">
        <v>0</v>
      </c>
      <c r="DX18" s="73">
        <f t="shared" si="11"/>
        <v>0</v>
      </c>
      <c r="DY18" s="141">
        <v>0</v>
      </c>
      <c r="DZ18" s="141">
        <v>3693380</v>
      </c>
      <c r="EA18" s="141">
        <v>0</v>
      </c>
      <c r="EB18" s="141">
        <v>3437049</v>
      </c>
      <c r="EC18" s="74">
        <v>0</v>
      </c>
      <c r="ED18" s="141">
        <v>4010608</v>
      </c>
      <c r="EE18" s="141">
        <v>0</v>
      </c>
      <c r="EF18" s="141">
        <v>134196878</v>
      </c>
      <c r="EG18" s="71"/>
      <c r="EH18" s="141">
        <v>800643</v>
      </c>
      <c r="EI18" s="141">
        <v>383747</v>
      </c>
      <c r="EJ18" s="141">
        <v>416896</v>
      </c>
      <c r="EK18" s="141">
        <v>-968029</v>
      </c>
      <c r="EL18" s="141">
        <v>-65323</v>
      </c>
      <c r="EM18" s="71"/>
      <c r="EN18" s="141">
        <v>264654</v>
      </c>
      <c r="EO18" s="141">
        <v>265269</v>
      </c>
      <c r="EP18" s="141">
        <v>0</v>
      </c>
      <c r="EQ18" s="141">
        <v>102164</v>
      </c>
      <c r="ER18" s="73">
        <f t="shared" si="12"/>
        <v>5975683</v>
      </c>
      <c r="ES18" s="141">
        <v>58544457</v>
      </c>
      <c r="ET18" s="141">
        <v>-10088337</v>
      </c>
      <c r="EU18" s="141">
        <v>16585090</v>
      </c>
      <c r="EV18" s="141">
        <v>11616623</v>
      </c>
      <c r="EW18" s="141">
        <v>10962281</v>
      </c>
      <c r="EX18" s="141">
        <v>8680487</v>
      </c>
      <c r="EY18" s="73">
        <f t="shared" si="13"/>
        <v>1743648</v>
      </c>
      <c r="EZ18" s="141">
        <v>1712932</v>
      </c>
      <c r="FA18" s="141">
        <v>57143</v>
      </c>
      <c r="FB18" s="141">
        <v>1655789</v>
      </c>
      <c r="FC18" s="141">
        <v>30716</v>
      </c>
      <c r="FD18" s="141">
        <v>0</v>
      </c>
      <c r="FE18" s="141">
        <v>8417462</v>
      </c>
      <c r="FF18" s="141">
        <v>10681612</v>
      </c>
      <c r="FG18" s="141">
        <v>558473</v>
      </c>
      <c r="FH18" s="141">
        <v>8929450</v>
      </c>
      <c r="FI18" s="73">
        <f t="shared" si="14"/>
        <v>1832121</v>
      </c>
      <c r="FJ18" s="141">
        <v>67832151</v>
      </c>
      <c r="FK18" s="379">
        <f t="shared" si="15"/>
        <v>0.7</v>
      </c>
      <c r="FL18" s="141">
        <v>54406157</v>
      </c>
      <c r="FM18" s="141">
        <v>4099423</v>
      </c>
      <c r="FN18" s="141">
        <v>33547148</v>
      </c>
      <c r="FO18" s="141">
        <v>45057790</v>
      </c>
      <c r="FP18" s="390">
        <v>0.74</v>
      </c>
      <c r="FQ18" s="380">
        <v>100.6</v>
      </c>
      <c r="FR18" s="381">
        <v>27.7</v>
      </c>
      <c r="FS18" s="380">
        <v>18.399999999999999</v>
      </c>
      <c r="FT18" s="380">
        <v>14.4</v>
      </c>
      <c r="FU18" s="381">
        <v>12.4</v>
      </c>
      <c r="FV18" s="380">
        <v>13.5</v>
      </c>
      <c r="FW18" s="382">
        <v>12.7</v>
      </c>
      <c r="FX18" s="388">
        <v>4.0999999999999996</v>
      </c>
      <c r="FY18" s="141">
        <v>95616606</v>
      </c>
      <c r="FZ18" s="384">
        <f t="shared" si="16"/>
        <v>163.4</v>
      </c>
      <c r="GA18" s="141">
        <v>9794156</v>
      </c>
      <c r="GB18" s="141">
        <v>6975659</v>
      </c>
      <c r="GC18" s="141">
        <v>0</v>
      </c>
      <c r="GD18" s="141">
        <v>2818497</v>
      </c>
      <c r="GE18" s="107">
        <v>0</v>
      </c>
      <c r="GF18" s="385"/>
      <c r="GG18" s="386"/>
      <c r="GH18" s="380">
        <v>98.9</v>
      </c>
      <c r="GI18" s="380">
        <v>30.5</v>
      </c>
      <c r="GJ18" s="380">
        <v>97.6</v>
      </c>
      <c r="GK18" s="141">
        <v>1725</v>
      </c>
      <c r="GL18" s="391" t="s">
        <v>646</v>
      </c>
      <c r="GM18" s="391">
        <v>11.25</v>
      </c>
      <c r="GN18" s="117">
        <v>20</v>
      </c>
      <c r="GO18" s="391" t="s">
        <v>646</v>
      </c>
      <c r="GP18" s="392">
        <v>16.25</v>
      </c>
      <c r="GQ18" s="387">
        <v>30</v>
      </c>
      <c r="GR18" s="381">
        <v>4.0999999999999996</v>
      </c>
      <c r="GS18" s="388">
        <v>25</v>
      </c>
      <c r="GT18" s="388">
        <v>35</v>
      </c>
      <c r="GU18" s="393">
        <v>3.3</v>
      </c>
      <c r="GV18" s="388">
        <v>350</v>
      </c>
      <c r="GW18" s="394"/>
      <c r="GX18" s="100">
        <f t="shared" si="17"/>
        <v>58506</v>
      </c>
      <c r="GY18" s="394"/>
      <c r="GZ18" s="394"/>
      <c r="HA18" s="394"/>
      <c r="HB18" s="394"/>
      <c r="HC18" s="394"/>
      <c r="HD18" s="394"/>
      <c r="HE18" s="394"/>
      <c r="HF18" s="394"/>
      <c r="HG18" s="394"/>
      <c r="HH18" s="394"/>
      <c r="HI18" s="394"/>
      <c r="HJ18" s="394"/>
      <c r="HK18" s="394"/>
      <c r="HL18" s="394"/>
      <c r="HM18" s="394"/>
      <c r="HN18" s="394"/>
      <c r="HO18" s="394"/>
      <c r="HP18" s="394"/>
      <c r="HQ18" s="394"/>
      <c r="HR18" s="394"/>
      <c r="HS18" s="394"/>
      <c r="HT18" s="394"/>
      <c r="HU18" s="394"/>
      <c r="HV18" s="394"/>
      <c r="HW18" s="394"/>
      <c r="HX18" s="394"/>
    </row>
    <row r="19" spans="2:232" x14ac:dyDescent="0.15">
      <c r="B19" s="89" t="s">
        <v>27</v>
      </c>
      <c r="C19" s="141">
        <v>19643731</v>
      </c>
      <c r="D19" s="73">
        <f t="shared" si="0"/>
        <v>5116148</v>
      </c>
      <c r="E19" s="141">
        <v>171246</v>
      </c>
      <c r="F19" s="141">
        <v>4944902</v>
      </c>
      <c r="G19" s="73">
        <f t="shared" si="1"/>
        <v>1436079</v>
      </c>
      <c r="H19" s="141">
        <v>370309</v>
      </c>
      <c r="I19" s="141">
        <v>1065770</v>
      </c>
      <c r="J19" s="141">
        <v>9805049</v>
      </c>
      <c r="K19" s="141">
        <v>3561401</v>
      </c>
      <c r="L19" s="141">
        <v>3817514</v>
      </c>
      <c r="M19" s="141">
        <v>1979074</v>
      </c>
      <c r="N19" s="141">
        <v>1326880</v>
      </c>
      <c r="O19" s="141">
        <v>1471340</v>
      </c>
      <c r="P19" s="141">
        <v>670454</v>
      </c>
      <c r="Q19" s="141">
        <v>800886</v>
      </c>
      <c r="R19" s="141">
        <v>186424</v>
      </c>
      <c r="S19" s="74"/>
      <c r="T19" s="73">
        <f t="shared" si="2"/>
        <v>2596244</v>
      </c>
      <c r="U19" s="141">
        <v>17087</v>
      </c>
      <c r="V19" s="141">
        <v>72531</v>
      </c>
      <c r="W19" s="141">
        <v>82390</v>
      </c>
      <c r="X19" s="141">
        <v>2178612</v>
      </c>
      <c r="Y19" s="141">
        <v>45764</v>
      </c>
      <c r="Z19" s="141">
        <v>0</v>
      </c>
      <c r="AA19" s="141">
        <v>4</v>
      </c>
      <c r="AB19" s="141">
        <v>29746</v>
      </c>
      <c r="AC19" s="141">
        <v>170110</v>
      </c>
      <c r="AD19" s="141">
        <v>109271</v>
      </c>
      <c r="AE19" s="141">
        <v>1204666</v>
      </c>
      <c r="AF19" s="141">
        <v>776278</v>
      </c>
      <c r="AG19" s="141">
        <v>428388</v>
      </c>
      <c r="AH19" s="141">
        <v>18059</v>
      </c>
      <c r="AI19" s="141">
        <v>192746</v>
      </c>
      <c r="AJ19" s="73">
        <f t="shared" si="3"/>
        <v>730326</v>
      </c>
      <c r="AK19" s="141">
        <v>504001</v>
      </c>
      <c r="AL19" s="141">
        <v>226325</v>
      </c>
      <c r="AM19" s="141">
        <v>19856656</v>
      </c>
      <c r="AN19" s="73">
        <f t="shared" si="4"/>
        <v>5089167</v>
      </c>
      <c r="AO19" s="141">
        <v>2609232</v>
      </c>
      <c r="AP19" s="141">
        <v>1085472</v>
      </c>
      <c r="AQ19" s="74"/>
      <c r="AR19" s="141">
        <v>1394463</v>
      </c>
      <c r="AS19" s="141">
        <v>443739</v>
      </c>
      <c r="AT19" s="141">
        <v>0</v>
      </c>
      <c r="AU19" s="141">
        <v>0</v>
      </c>
      <c r="AV19" s="141">
        <v>3200308</v>
      </c>
      <c r="AW19" s="141">
        <v>1890548</v>
      </c>
      <c r="AX19" s="141">
        <v>606967</v>
      </c>
      <c r="AY19" s="141">
        <v>3195</v>
      </c>
      <c r="AZ19" s="141">
        <v>1309760</v>
      </c>
      <c r="BA19" s="141">
        <v>104446</v>
      </c>
      <c r="BB19" s="141">
        <v>234078</v>
      </c>
      <c r="BC19" s="141">
        <v>38940</v>
      </c>
      <c r="BD19" s="141">
        <v>2307645</v>
      </c>
      <c r="BE19" s="141">
        <v>8622126</v>
      </c>
      <c r="BF19" s="141">
        <v>298433</v>
      </c>
      <c r="BG19" s="141">
        <v>1010000</v>
      </c>
      <c r="BH19" s="141">
        <v>6816547</v>
      </c>
      <c r="BI19" s="141">
        <v>50000</v>
      </c>
      <c r="BJ19" s="141">
        <v>282779</v>
      </c>
      <c r="BK19" s="141">
        <v>133171</v>
      </c>
      <c r="BL19" s="141">
        <v>4311408</v>
      </c>
      <c r="BM19" s="141">
        <v>3607558</v>
      </c>
      <c r="BN19" s="141">
        <v>0</v>
      </c>
      <c r="BO19" s="141">
        <v>132222</v>
      </c>
      <c r="BP19" s="141">
        <v>5082100</v>
      </c>
      <c r="BQ19" s="73">
        <f t="shared" si="5"/>
        <v>3898100</v>
      </c>
      <c r="BR19" s="73">
        <f t="shared" si="6"/>
        <v>1184000</v>
      </c>
      <c r="BS19" s="141">
        <v>0</v>
      </c>
      <c r="BT19" s="141">
        <v>430600</v>
      </c>
      <c r="BU19" s="141">
        <v>753400</v>
      </c>
      <c r="BV19" s="141">
        <v>0</v>
      </c>
      <c r="BW19" s="141">
        <v>68578567</v>
      </c>
      <c r="BX19" s="71"/>
      <c r="BY19" s="141">
        <v>5829586</v>
      </c>
      <c r="BZ19" s="141">
        <v>3623665</v>
      </c>
      <c r="CA19" s="141">
        <v>294403</v>
      </c>
      <c r="CB19" s="141">
        <v>582676</v>
      </c>
      <c r="CC19" s="141">
        <v>12056921</v>
      </c>
      <c r="CD19" s="141">
        <v>2922201</v>
      </c>
      <c r="CE19" s="141">
        <v>21058</v>
      </c>
      <c r="CF19" s="141">
        <v>5144209</v>
      </c>
      <c r="CG19" s="141">
        <v>3446066</v>
      </c>
      <c r="CH19" s="141">
        <v>51974</v>
      </c>
      <c r="CI19" s="141">
        <v>471413</v>
      </c>
      <c r="CJ19" s="141">
        <v>6146105</v>
      </c>
      <c r="CK19" s="141">
        <v>5612942</v>
      </c>
      <c r="CL19" s="83">
        <f t="shared" si="7"/>
        <v>533163</v>
      </c>
      <c r="CM19" s="141">
        <v>7815553</v>
      </c>
      <c r="CN19" s="141">
        <v>4723278</v>
      </c>
      <c r="CO19" s="102"/>
      <c r="CP19" s="141">
        <v>746270</v>
      </c>
      <c r="CQ19" s="141">
        <v>111242</v>
      </c>
      <c r="CR19" s="141">
        <v>18072429</v>
      </c>
      <c r="CS19" s="141">
        <v>2247778</v>
      </c>
      <c r="CT19" s="141">
        <v>12257224</v>
      </c>
      <c r="CU19" s="141">
        <v>1665662</v>
      </c>
      <c r="CV19" s="73">
        <f t="shared" si="8"/>
        <v>1437895</v>
      </c>
      <c r="CW19" s="141">
        <v>1068488</v>
      </c>
      <c r="CX19" s="141">
        <v>369407</v>
      </c>
      <c r="CY19" s="73">
        <f t="shared" si="9"/>
        <v>0</v>
      </c>
      <c r="CZ19" s="141">
        <v>0</v>
      </c>
      <c r="DA19" s="141">
        <v>0</v>
      </c>
      <c r="DB19" s="73">
        <f t="shared" si="10"/>
        <v>1433465</v>
      </c>
      <c r="DC19" s="141">
        <v>1064058</v>
      </c>
      <c r="DD19" s="141">
        <v>369407</v>
      </c>
      <c r="DE19" s="141">
        <v>5230251</v>
      </c>
      <c r="DF19" s="141">
        <v>2003828</v>
      </c>
      <c r="DG19" s="141">
        <v>3213971</v>
      </c>
      <c r="DH19" s="141">
        <v>12406</v>
      </c>
      <c r="DI19" s="141">
        <v>0</v>
      </c>
      <c r="DJ19" s="141">
        <v>571</v>
      </c>
      <c r="DK19" s="141">
        <v>3338973</v>
      </c>
      <c r="DL19" s="141">
        <v>67181</v>
      </c>
      <c r="DM19" s="141">
        <v>447204</v>
      </c>
      <c r="DN19" s="141">
        <v>2824588</v>
      </c>
      <c r="DO19" s="141">
        <v>285916</v>
      </c>
      <c r="DP19" s="141">
        <v>285916</v>
      </c>
      <c r="DQ19" s="141">
        <v>0</v>
      </c>
      <c r="DR19" s="141">
        <v>0</v>
      </c>
      <c r="DS19" s="141">
        <v>5105800</v>
      </c>
      <c r="DT19" s="141">
        <v>0</v>
      </c>
      <c r="DU19" s="141">
        <v>0</v>
      </c>
      <c r="DV19" s="141">
        <v>4070650</v>
      </c>
      <c r="DW19" s="141">
        <v>0</v>
      </c>
      <c r="DX19" s="73">
        <f t="shared" si="11"/>
        <v>0</v>
      </c>
      <c r="DY19" s="141">
        <v>0</v>
      </c>
      <c r="DZ19" s="141">
        <v>1508543</v>
      </c>
      <c r="EA19" s="141">
        <v>0</v>
      </c>
      <c r="EB19" s="141">
        <v>1165775</v>
      </c>
      <c r="EC19" s="74">
        <v>0</v>
      </c>
      <c r="ED19" s="141">
        <v>1396332</v>
      </c>
      <c r="EE19" s="141">
        <v>0</v>
      </c>
      <c r="EF19" s="141">
        <v>68063997</v>
      </c>
      <c r="EG19" s="71"/>
      <c r="EH19" s="141">
        <v>514570</v>
      </c>
      <c r="EI19" s="141">
        <v>378858</v>
      </c>
      <c r="EJ19" s="141">
        <v>135712</v>
      </c>
      <c r="EK19" s="141">
        <v>2541</v>
      </c>
      <c r="EL19" s="141">
        <v>781289</v>
      </c>
      <c r="EM19" s="71"/>
      <c r="EN19" s="141">
        <v>100182</v>
      </c>
      <c r="EO19" s="141">
        <v>99661</v>
      </c>
      <c r="EP19" s="141">
        <v>5827915</v>
      </c>
      <c r="EQ19" s="141">
        <v>160848</v>
      </c>
      <c r="ER19" s="73">
        <f t="shared" si="12"/>
        <v>2009410</v>
      </c>
      <c r="ES19" s="141">
        <v>23758395</v>
      </c>
      <c r="ET19" s="141">
        <v>-9164114</v>
      </c>
      <c r="EU19" s="141">
        <v>5084197</v>
      </c>
      <c r="EV19" s="141">
        <v>3041302</v>
      </c>
      <c r="EW19" s="141">
        <v>3375556</v>
      </c>
      <c r="EX19" s="141">
        <v>5720349</v>
      </c>
      <c r="EY19" s="73">
        <f t="shared" si="13"/>
        <v>597437</v>
      </c>
      <c r="EZ19" s="141">
        <v>597366</v>
      </c>
      <c r="FA19" s="141">
        <v>3771</v>
      </c>
      <c r="FB19" s="141">
        <v>593546</v>
      </c>
      <c r="FC19" s="141">
        <v>71</v>
      </c>
      <c r="FD19" s="141">
        <v>0</v>
      </c>
      <c r="FE19" s="141">
        <v>6068599</v>
      </c>
      <c r="FF19" s="141">
        <v>7332142</v>
      </c>
      <c r="FG19" s="141">
        <v>2245725</v>
      </c>
      <c r="FH19" s="141">
        <v>3135835</v>
      </c>
      <c r="FI19" s="73">
        <f t="shared" si="14"/>
        <v>1093824</v>
      </c>
      <c r="FJ19" s="141">
        <v>32407939</v>
      </c>
      <c r="FK19" s="379">
        <f t="shared" si="15"/>
        <v>0.6</v>
      </c>
      <c r="FL19" s="141">
        <v>22803442</v>
      </c>
      <c r="FM19" s="141">
        <v>753414</v>
      </c>
      <c r="FN19" s="141">
        <v>17081791</v>
      </c>
      <c r="FO19" s="141">
        <v>17866203</v>
      </c>
      <c r="FP19" s="390">
        <v>0.94899999999999995</v>
      </c>
      <c r="FQ19" s="380">
        <v>109.4</v>
      </c>
      <c r="FR19" s="381">
        <v>21.7</v>
      </c>
      <c r="FS19" s="380">
        <v>13.3</v>
      </c>
      <c r="FT19" s="380">
        <v>20.399999999999999</v>
      </c>
      <c r="FU19" s="381">
        <v>18.7</v>
      </c>
      <c r="FV19" s="380">
        <v>20.7</v>
      </c>
      <c r="FW19" s="382">
        <v>12.8</v>
      </c>
      <c r="FX19" s="388">
        <v>12</v>
      </c>
      <c r="FY19" s="141">
        <v>62555299</v>
      </c>
      <c r="FZ19" s="384">
        <f t="shared" si="16"/>
        <v>265.60000000000002</v>
      </c>
      <c r="GA19" s="141">
        <v>13194172</v>
      </c>
      <c r="GB19" s="141">
        <v>1627949</v>
      </c>
      <c r="GC19" s="141">
        <v>2741</v>
      </c>
      <c r="GD19" s="141">
        <v>11563482</v>
      </c>
      <c r="GE19" s="107">
        <v>0</v>
      </c>
      <c r="GF19" s="385">
        <v>1979</v>
      </c>
      <c r="GG19" s="386">
        <f>IF(GF19=0,"-",ROUND(GF19/(GX19)*100,1))</f>
        <v>8.4</v>
      </c>
      <c r="GH19" s="380">
        <v>96.3</v>
      </c>
      <c r="GI19" s="380">
        <v>41.3</v>
      </c>
      <c r="GJ19" s="380">
        <v>95.8</v>
      </c>
      <c r="GK19" s="141">
        <v>501</v>
      </c>
      <c r="GL19" s="391" t="s">
        <v>646</v>
      </c>
      <c r="GM19" s="391">
        <v>12.19</v>
      </c>
      <c r="GN19" s="117">
        <v>20</v>
      </c>
      <c r="GO19" s="391" t="s">
        <v>646</v>
      </c>
      <c r="GP19" s="392">
        <v>17.190000000000001</v>
      </c>
      <c r="GQ19" s="387">
        <v>30</v>
      </c>
      <c r="GR19" s="381">
        <v>12</v>
      </c>
      <c r="GS19" s="388">
        <v>25</v>
      </c>
      <c r="GT19" s="388">
        <v>35</v>
      </c>
      <c r="GU19" s="393">
        <v>83</v>
      </c>
      <c r="GV19" s="388">
        <v>350</v>
      </c>
      <c r="GW19" s="394"/>
      <c r="GX19" s="100">
        <f t="shared" si="17"/>
        <v>23557</v>
      </c>
      <c r="GY19" s="394"/>
      <c r="GZ19" s="394"/>
      <c r="HA19" s="394"/>
      <c r="HB19" s="394"/>
      <c r="HC19" s="394"/>
      <c r="HD19" s="394"/>
      <c r="HE19" s="394"/>
      <c r="HF19" s="394"/>
      <c r="HG19" s="394"/>
      <c r="HH19" s="394"/>
      <c r="HI19" s="394"/>
      <c r="HJ19" s="394"/>
      <c r="HK19" s="394"/>
      <c r="HL19" s="394"/>
      <c r="HM19" s="394"/>
      <c r="HN19" s="394"/>
      <c r="HO19" s="394"/>
      <c r="HP19" s="394"/>
      <c r="HQ19" s="394"/>
      <c r="HR19" s="394"/>
      <c r="HS19" s="394"/>
      <c r="HT19" s="394"/>
      <c r="HU19" s="394"/>
      <c r="HV19" s="394"/>
      <c r="HW19" s="394"/>
      <c r="HX19" s="394"/>
    </row>
    <row r="20" spans="2:232" x14ac:dyDescent="0.15">
      <c r="B20" s="89" t="s">
        <v>29</v>
      </c>
      <c r="C20" s="141">
        <v>13683204</v>
      </c>
      <c r="D20" s="73">
        <f t="shared" si="0"/>
        <v>6229060</v>
      </c>
      <c r="E20" s="141">
        <v>185260</v>
      </c>
      <c r="F20" s="141">
        <v>6043800</v>
      </c>
      <c r="G20" s="73">
        <f t="shared" si="1"/>
        <v>502871</v>
      </c>
      <c r="H20" s="141">
        <v>201094</v>
      </c>
      <c r="I20" s="141">
        <v>301777</v>
      </c>
      <c r="J20" s="141">
        <v>5176620</v>
      </c>
      <c r="K20" s="141">
        <v>2000588</v>
      </c>
      <c r="L20" s="141">
        <v>2420410</v>
      </c>
      <c r="M20" s="141">
        <v>647062</v>
      </c>
      <c r="N20" s="141">
        <v>555849</v>
      </c>
      <c r="O20" s="141">
        <v>989096</v>
      </c>
      <c r="P20" s="141">
        <v>526825</v>
      </c>
      <c r="Q20" s="141">
        <v>462271</v>
      </c>
      <c r="R20" s="141">
        <v>209344</v>
      </c>
      <c r="S20" s="74"/>
      <c r="T20" s="73">
        <f t="shared" si="2"/>
        <v>2569886</v>
      </c>
      <c r="U20" s="141">
        <v>21659</v>
      </c>
      <c r="V20" s="141">
        <v>91608</v>
      </c>
      <c r="W20" s="141">
        <v>103406</v>
      </c>
      <c r="X20" s="141">
        <v>2230842</v>
      </c>
      <c r="Y20" s="141">
        <v>43457</v>
      </c>
      <c r="Z20" s="141">
        <v>0</v>
      </c>
      <c r="AA20" s="141">
        <v>5</v>
      </c>
      <c r="AB20" s="141">
        <v>36049</v>
      </c>
      <c r="AC20" s="141">
        <v>42860</v>
      </c>
      <c r="AD20" s="141">
        <v>108998</v>
      </c>
      <c r="AE20" s="141">
        <v>6726601</v>
      </c>
      <c r="AF20" s="141">
        <v>6574470</v>
      </c>
      <c r="AG20" s="141">
        <v>152131</v>
      </c>
      <c r="AH20" s="141">
        <v>17511</v>
      </c>
      <c r="AI20" s="141">
        <v>910759</v>
      </c>
      <c r="AJ20" s="73">
        <f t="shared" si="3"/>
        <v>878885</v>
      </c>
      <c r="AK20" s="141">
        <v>548188</v>
      </c>
      <c r="AL20" s="141">
        <v>330697</v>
      </c>
      <c r="AM20" s="141">
        <v>20901717</v>
      </c>
      <c r="AN20" s="73">
        <f t="shared" si="4"/>
        <v>5409021</v>
      </c>
      <c r="AO20" s="141">
        <v>2957369</v>
      </c>
      <c r="AP20" s="141">
        <v>1086705</v>
      </c>
      <c r="AQ20" s="74"/>
      <c r="AR20" s="141">
        <v>1364947</v>
      </c>
      <c r="AS20" s="141">
        <v>355793</v>
      </c>
      <c r="AT20" s="141">
        <v>0</v>
      </c>
      <c r="AU20" s="141">
        <v>0</v>
      </c>
      <c r="AV20" s="141">
        <v>3210276</v>
      </c>
      <c r="AW20" s="141">
        <v>1974856</v>
      </c>
      <c r="AX20" s="141">
        <v>483605</v>
      </c>
      <c r="AY20" s="141">
        <v>22005</v>
      </c>
      <c r="AZ20" s="141">
        <v>1235420</v>
      </c>
      <c r="BA20" s="141">
        <v>2404</v>
      </c>
      <c r="BB20" s="141">
        <v>45440</v>
      </c>
      <c r="BC20" s="141">
        <v>31976</v>
      </c>
      <c r="BD20" s="141">
        <v>56335</v>
      </c>
      <c r="BE20" s="141">
        <v>1321883</v>
      </c>
      <c r="BF20" s="141">
        <v>643312</v>
      </c>
      <c r="BG20" s="141">
        <v>0</v>
      </c>
      <c r="BH20" s="141">
        <v>678571</v>
      </c>
      <c r="BI20" s="141">
        <v>0</v>
      </c>
      <c r="BJ20" s="141">
        <v>759228</v>
      </c>
      <c r="BK20" s="141">
        <v>708204</v>
      </c>
      <c r="BL20" s="141">
        <v>1586417</v>
      </c>
      <c r="BM20" s="141">
        <v>1145028</v>
      </c>
      <c r="BN20" s="141">
        <v>0</v>
      </c>
      <c r="BO20" s="141">
        <v>159549</v>
      </c>
      <c r="BP20" s="141">
        <v>2774312</v>
      </c>
      <c r="BQ20" s="73">
        <f t="shared" si="5"/>
        <v>1539312</v>
      </c>
      <c r="BR20" s="73">
        <f t="shared" si="6"/>
        <v>1235000</v>
      </c>
      <c r="BS20" s="141">
        <v>0</v>
      </c>
      <c r="BT20" s="141">
        <v>0</v>
      </c>
      <c r="BU20" s="141">
        <v>1235000</v>
      </c>
      <c r="BV20" s="141">
        <v>0</v>
      </c>
      <c r="BW20" s="141">
        <v>55760796</v>
      </c>
      <c r="BX20" s="71"/>
      <c r="BY20" s="141">
        <v>7948727</v>
      </c>
      <c r="BZ20" s="141">
        <v>4901800</v>
      </c>
      <c r="CA20" s="141">
        <v>285731</v>
      </c>
      <c r="CB20" s="141">
        <v>1248157</v>
      </c>
      <c r="CC20" s="141">
        <v>12497309</v>
      </c>
      <c r="CD20" s="141">
        <v>3264523</v>
      </c>
      <c r="CE20" s="141">
        <v>31327</v>
      </c>
      <c r="CF20" s="141">
        <v>5173613</v>
      </c>
      <c r="CG20" s="141">
        <v>3917440</v>
      </c>
      <c r="CH20" s="141">
        <v>6902</v>
      </c>
      <c r="CI20" s="141">
        <v>103504</v>
      </c>
      <c r="CJ20" s="141">
        <v>3145803</v>
      </c>
      <c r="CK20" s="141">
        <v>2994616</v>
      </c>
      <c r="CL20" s="83">
        <f t="shared" si="7"/>
        <v>151187</v>
      </c>
      <c r="CM20" s="141">
        <v>5408154</v>
      </c>
      <c r="CN20" s="141">
        <v>3687583</v>
      </c>
      <c r="CO20" s="102"/>
      <c r="CP20" s="141">
        <v>862730</v>
      </c>
      <c r="CQ20" s="141">
        <v>287273</v>
      </c>
      <c r="CR20" s="141">
        <v>15030834</v>
      </c>
      <c r="CS20" s="141">
        <v>807220</v>
      </c>
      <c r="CT20" s="141">
        <v>12217925</v>
      </c>
      <c r="CU20" s="141">
        <v>782283</v>
      </c>
      <c r="CV20" s="73">
        <f t="shared" si="8"/>
        <v>1158329</v>
      </c>
      <c r="CW20" s="141">
        <v>78088</v>
      </c>
      <c r="CX20" s="141">
        <v>1080241</v>
      </c>
      <c r="CY20" s="73">
        <f t="shared" si="9"/>
        <v>0</v>
      </c>
      <c r="CZ20" s="141">
        <v>0</v>
      </c>
      <c r="DA20" s="141">
        <v>0</v>
      </c>
      <c r="DB20" s="73">
        <f t="shared" si="10"/>
        <v>1067955</v>
      </c>
      <c r="DC20" s="141">
        <v>65568</v>
      </c>
      <c r="DD20" s="141">
        <v>1002387</v>
      </c>
      <c r="DE20" s="141">
        <v>4149174</v>
      </c>
      <c r="DF20" s="141">
        <v>874190</v>
      </c>
      <c r="DG20" s="141">
        <v>3162828</v>
      </c>
      <c r="DH20" s="141">
        <v>112156</v>
      </c>
      <c r="DI20" s="141">
        <v>0</v>
      </c>
      <c r="DJ20" s="141">
        <v>12659</v>
      </c>
      <c r="DK20" s="141">
        <v>637925</v>
      </c>
      <c r="DL20" s="141">
        <v>358697</v>
      </c>
      <c r="DM20" s="141">
        <v>0</v>
      </c>
      <c r="DN20" s="141">
        <v>279228</v>
      </c>
      <c r="DO20" s="141">
        <v>0</v>
      </c>
      <c r="DP20" s="141">
        <v>0</v>
      </c>
      <c r="DQ20" s="141">
        <v>0</v>
      </c>
      <c r="DR20" s="141">
        <v>0</v>
      </c>
      <c r="DS20" s="141">
        <v>1137550</v>
      </c>
      <c r="DT20" s="141">
        <v>0</v>
      </c>
      <c r="DU20" s="141">
        <v>0</v>
      </c>
      <c r="DV20" s="141">
        <v>4726811</v>
      </c>
      <c r="DW20" s="141">
        <v>0</v>
      </c>
      <c r="DX20" s="73">
        <f t="shared" si="11"/>
        <v>0</v>
      </c>
      <c r="DY20" s="141">
        <v>0</v>
      </c>
      <c r="DZ20" s="141">
        <v>1713756</v>
      </c>
      <c r="EA20" s="141">
        <v>0</v>
      </c>
      <c r="EB20" s="141">
        <v>1264553</v>
      </c>
      <c r="EC20" s="74">
        <v>0</v>
      </c>
      <c r="ED20" s="141">
        <v>1748502</v>
      </c>
      <c r="EE20" s="141">
        <v>0</v>
      </c>
      <c r="EF20" s="141">
        <v>54982219</v>
      </c>
      <c r="EG20" s="71"/>
      <c r="EH20" s="141">
        <v>778577</v>
      </c>
      <c r="EI20" s="141">
        <v>75386</v>
      </c>
      <c r="EJ20" s="141">
        <v>703191</v>
      </c>
      <c r="EK20" s="141">
        <v>-5013</v>
      </c>
      <c r="EL20" s="141">
        <v>353684</v>
      </c>
      <c r="EM20" s="71"/>
      <c r="EN20" s="141">
        <v>108768</v>
      </c>
      <c r="EO20" s="141">
        <v>109994</v>
      </c>
      <c r="EP20" s="141">
        <v>643312</v>
      </c>
      <c r="EQ20" s="141">
        <v>38348</v>
      </c>
      <c r="ER20" s="73">
        <f t="shared" si="12"/>
        <v>2228503</v>
      </c>
      <c r="ES20" s="141">
        <v>23315544</v>
      </c>
      <c r="ET20" s="141">
        <v>-4127652</v>
      </c>
      <c r="EU20" s="141">
        <v>6757337</v>
      </c>
      <c r="EV20" s="141">
        <v>4118196</v>
      </c>
      <c r="EW20" s="141">
        <v>3511977</v>
      </c>
      <c r="EX20" s="141">
        <v>3039455</v>
      </c>
      <c r="EY20" s="73">
        <f t="shared" si="13"/>
        <v>1366750</v>
      </c>
      <c r="EZ20" s="141">
        <v>1357691</v>
      </c>
      <c r="FA20" s="141">
        <v>90538</v>
      </c>
      <c r="FB20" s="141">
        <v>1259762</v>
      </c>
      <c r="FC20" s="141">
        <v>9059</v>
      </c>
      <c r="FD20" s="141">
        <v>0</v>
      </c>
      <c r="FE20" s="141">
        <v>3958041</v>
      </c>
      <c r="FF20" s="141">
        <v>3547663</v>
      </c>
      <c r="FG20" s="141">
        <v>807220</v>
      </c>
      <c r="FH20" s="141">
        <v>3706058</v>
      </c>
      <c r="FI20" s="73">
        <f t="shared" si="14"/>
        <v>777338</v>
      </c>
      <c r="FJ20" s="141">
        <v>26664619</v>
      </c>
      <c r="FK20" s="379">
        <f t="shared" si="15"/>
        <v>3</v>
      </c>
      <c r="FL20" s="141">
        <v>22217324</v>
      </c>
      <c r="FM20" s="141">
        <v>1235053</v>
      </c>
      <c r="FN20" s="141">
        <v>12265833</v>
      </c>
      <c r="FO20" s="141">
        <v>18849933</v>
      </c>
      <c r="FP20" s="390">
        <v>0.64800000000000002</v>
      </c>
      <c r="FQ20" s="380">
        <v>93</v>
      </c>
      <c r="FR20" s="381">
        <v>28.6</v>
      </c>
      <c r="FS20" s="380">
        <v>14.6</v>
      </c>
      <c r="FT20" s="380">
        <v>10.199999999999999</v>
      </c>
      <c r="FU20" s="381">
        <v>14.4</v>
      </c>
      <c r="FV20" s="380">
        <v>9.6</v>
      </c>
      <c r="FW20" s="382">
        <v>14.6</v>
      </c>
      <c r="FX20" s="388">
        <v>-1.3</v>
      </c>
      <c r="FY20" s="141">
        <v>31377368</v>
      </c>
      <c r="FZ20" s="384">
        <f t="shared" si="16"/>
        <v>133.80000000000001</v>
      </c>
      <c r="GA20" s="141">
        <v>9578024</v>
      </c>
      <c r="GB20" s="141">
        <v>3347114</v>
      </c>
      <c r="GC20" s="141">
        <v>0</v>
      </c>
      <c r="GD20" s="141">
        <v>6230910</v>
      </c>
      <c r="GE20" s="107">
        <v>0</v>
      </c>
      <c r="GF20" s="385"/>
      <c r="GG20" s="386"/>
      <c r="GH20" s="380">
        <v>99.3</v>
      </c>
      <c r="GI20" s="380">
        <v>41</v>
      </c>
      <c r="GJ20" s="380">
        <v>98.4</v>
      </c>
      <c r="GK20" s="141">
        <v>830</v>
      </c>
      <c r="GL20" s="391" t="s">
        <v>646</v>
      </c>
      <c r="GM20" s="391">
        <v>12.19</v>
      </c>
      <c r="GN20" s="117">
        <v>20</v>
      </c>
      <c r="GO20" s="391" t="s">
        <v>646</v>
      </c>
      <c r="GP20" s="392">
        <v>17.190000000000001</v>
      </c>
      <c r="GQ20" s="387">
        <v>30</v>
      </c>
      <c r="GR20" s="381">
        <v>-1.3</v>
      </c>
      <c r="GS20" s="388">
        <v>25</v>
      </c>
      <c r="GT20" s="388">
        <v>35</v>
      </c>
      <c r="GU20" s="393" t="s">
        <v>646</v>
      </c>
      <c r="GV20" s="388">
        <v>350</v>
      </c>
      <c r="GW20" s="394"/>
      <c r="GX20" s="100">
        <f t="shared" si="17"/>
        <v>23452</v>
      </c>
      <c r="GY20" s="394"/>
      <c r="GZ20" s="394"/>
      <c r="HA20" s="394"/>
      <c r="HB20" s="394"/>
      <c r="HC20" s="394"/>
      <c r="HD20" s="394"/>
      <c r="HE20" s="394"/>
      <c r="HF20" s="394"/>
      <c r="HG20" s="394"/>
      <c r="HH20" s="394"/>
      <c r="HI20" s="394"/>
      <c r="HJ20" s="394"/>
      <c r="HK20" s="394"/>
      <c r="HL20" s="394"/>
      <c r="HM20" s="394"/>
      <c r="HN20" s="394"/>
      <c r="HO20" s="394"/>
      <c r="HP20" s="394"/>
      <c r="HQ20" s="394"/>
      <c r="HR20" s="394"/>
      <c r="HS20" s="394"/>
      <c r="HT20" s="394"/>
      <c r="HU20" s="394"/>
      <c r="HV20" s="394"/>
      <c r="HW20" s="394"/>
      <c r="HX20" s="394"/>
    </row>
    <row r="21" spans="2:232" x14ac:dyDescent="0.15">
      <c r="B21" s="89" t="s">
        <v>31</v>
      </c>
      <c r="C21" s="141">
        <v>28738769</v>
      </c>
      <c r="D21" s="73">
        <f t="shared" si="0"/>
        <v>11604819</v>
      </c>
      <c r="E21" s="141">
        <v>372718</v>
      </c>
      <c r="F21" s="141">
        <v>11232101</v>
      </c>
      <c r="G21" s="73">
        <f t="shared" si="1"/>
        <v>1452228</v>
      </c>
      <c r="H21" s="141">
        <v>537355</v>
      </c>
      <c r="I21" s="141">
        <v>914873</v>
      </c>
      <c r="J21" s="141">
        <v>11355803</v>
      </c>
      <c r="K21" s="141">
        <v>4680795</v>
      </c>
      <c r="L21" s="141">
        <v>5330382</v>
      </c>
      <c r="M21" s="141">
        <v>1055541</v>
      </c>
      <c r="N21" s="141">
        <v>1492161</v>
      </c>
      <c r="O21" s="141">
        <v>2499507</v>
      </c>
      <c r="P21" s="141">
        <v>1334255</v>
      </c>
      <c r="Q21" s="141">
        <v>1165252</v>
      </c>
      <c r="R21" s="141">
        <v>350976</v>
      </c>
      <c r="S21" s="74"/>
      <c r="T21" s="73">
        <f t="shared" si="2"/>
        <v>5209734</v>
      </c>
      <c r="U21" s="141">
        <v>40584</v>
      </c>
      <c r="V21" s="141">
        <v>171871</v>
      </c>
      <c r="W21" s="141">
        <v>194470</v>
      </c>
      <c r="X21" s="141">
        <v>4625708</v>
      </c>
      <c r="Y21" s="141">
        <v>0</v>
      </c>
      <c r="Z21" s="141">
        <v>0</v>
      </c>
      <c r="AA21" s="141">
        <v>8</v>
      </c>
      <c r="AB21" s="141">
        <v>59966</v>
      </c>
      <c r="AC21" s="141">
        <v>117127</v>
      </c>
      <c r="AD21" s="141">
        <v>206314</v>
      </c>
      <c r="AE21" s="141">
        <v>13592654</v>
      </c>
      <c r="AF21" s="141">
        <v>13100826</v>
      </c>
      <c r="AG21" s="141">
        <v>491828</v>
      </c>
      <c r="AH21" s="141">
        <v>35401</v>
      </c>
      <c r="AI21" s="141">
        <v>353426</v>
      </c>
      <c r="AJ21" s="73">
        <f t="shared" si="3"/>
        <v>822322</v>
      </c>
      <c r="AK21" s="141">
        <v>513773</v>
      </c>
      <c r="AL21" s="141">
        <v>308549</v>
      </c>
      <c r="AM21" s="141">
        <v>49002173</v>
      </c>
      <c r="AN21" s="73">
        <f t="shared" si="4"/>
        <v>15007568</v>
      </c>
      <c r="AO21" s="141">
        <v>9582558</v>
      </c>
      <c r="AP21" s="141">
        <v>2301893</v>
      </c>
      <c r="AQ21" s="74"/>
      <c r="AR21" s="141">
        <v>3123117</v>
      </c>
      <c r="AS21" s="141">
        <v>803712</v>
      </c>
      <c r="AT21" s="141">
        <v>0</v>
      </c>
      <c r="AU21" s="141">
        <v>0</v>
      </c>
      <c r="AV21" s="141">
        <v>10589460</v>
      </c>
      <c r="AW21" s="141">
        <v>7687853</v>
      </c>
      <c r="AX21" s="141">
        <v>975785</v>
      </c>
      <c r="AY21" s="141">
        <v>1320</v>
      </c>
      <c r="AZ21" s="141">
        <v>2901607</v>
      </c>
      <c r="BA21" s="141">
        <v>674758</v>
      </c>
      <c r="BB21" s="141">
        <v>83813</v>
      </c>
      <c r="BC21" s="141">
        <v>53606</v>
      </c>
      <c r="BD21" s="141">
        <v>47219</v>
      </c>
      <c r="BE21" s="141">
        <v>601201</v>
      </c>
      <c r="BF21" s="141">
        <v>217527</v>
      </c>
      <c r="BG21" s="141">
        <v>96000</v>
      </c>
      <c r="BH21" s="141">
        <v>287674</v>
      </c>
      <c r="BI21" s="141">
        <v>0</v>
      </c>
      <c r="BJ21" s="141">
        <v>1923826</v>
      </c>
      <c r="BK21" s="141">
        <v>1863005</v>
      </c>
      <c r="BL21" s="141">
        <v>1672557</v>
      </c>
      <c r="BM21" s="141">
        <v>625108</v>
      </c>
      <c r="BN21" s="141">
        <v>0</v>
      </c>
      <c r="BO21" s="141">
        <v>191797</v>
      </c>
      <c r="BP21" s="141">
        <v>5680350</v>
      </c>
      <c r="BQ21" s="73">
        <f t="shared" si="5"/>
        <v>2800350</v>
      </c>
      <c r="BR21" s="73">
        <f t="shared" si="6"/>
        <v>2880000</v>
      </c>
      <c r="BS21" s="141">
        <v>0</v>
      </c>
      <c r="BT21" s="141">
        <v>0</v>
      </c>
      <c r="BU21" s="141">
        <v>2880000</v>
      </c>
      <c r="BV21" s="141">
        <v>0</v>
      </c>
      <c r="BW21" s="141">
        <v>118910195</v>
      </c>
      <c r="BX21" s="71"/>
      <c r="BY21" s="141">
        <v>11557493</v>
      </c>
      <c r="BZ21" s="141">
        <v>7630657</v>
      </c>
      <c r="CA21" s="141">
        <v>721150</v>
      </c>
      <c r="CB21" s="141">
        <v>1142130</v>
      </c>
      <c r="CC21" s="141">
        <v>32642162</v>
      </c>
      <c r="CD21" s="141">
        <v>8278381</v>
      </c>
      <c r="CE21" s="141">
        <v>138996</v>
      </c>
      <c r="CF21" s="141">
        <v>10596276</v>
      </c>
      <c r="CG21" s="141">
        <v>12388973</v>
      </c>
      <c r="CH21" s="141">
        <v>217536</v>
      </c>
      <c r="CI21" s="141">
        <v>1021970</v>
      </c>
      <c r="CJ21" s="141">
        <v>5645706</v>
      </c>
      <c r="CK21" s="141">
        <v>5351423</v>
      </c>
      <c r="CL21" s="83">
        <f t="shared" si="7"/>
        <v>294283</v>
      </c>
      <c r="CM21" s="141">
        <v>9652813</v>
      </c>
      <c r="CN21" s="141">
        <v>5127983</v>
      </c>
      <c r="CO21" s="102"/>
      <c r="CP21" s="141">
        <v>2029333</v>
      </c>
      <c r="CQ21" s="141">
        <v>243642</v>
      </c>
      <c r="CR21" s="141">
        <v>31646790</v>
      </c>
      <c r="CS21" s="141">
        <v>2829066</v>
      </c>
      <c r="CT21" s="141">
        <v>24874640</v>
      </c>
      <c r="CU21" s="141">
        <v>1522331</v>
      </c>
      <c r="CV21" s="73">
        <f t="shared" si="8"/>
        <v>2010280</v>
      </c>
      <c r="CW21" s="141">
        <v>2010280</v>
      </c>
      <c r="CX21" s="141">
        <v>0</v>
      </c>
      <c r="CY21" s="73">
        <f t="shared" si="9"/>
        <v>0</v>
      </c>
      <c r="CZ21" s="141">
        <v>0</v>
      </c>
      <c r="DA21" s="141">
        <v>0</v>
      </c>
      <c r="DB21" s="73">
        <f t="shared" si="10"/>
        <v>1539269</v>
      </c>
      <c r="DC21" s="141">
        <v>1539269</v>
      </c>
      <c r="DD21" s="141">
        <v>0</v>
      </c>
      <c r="DE21" s="141">
        <v>9691330</v>
      </c>
      <c r="DF21" s="141">
        <v>2160450</v>
      </c>
      <c r="DG21" s="141">
        <v>3398224</v>
      </c>
      <c r="DH21" s="141">
        <v>612632</v>
      </c>
      <c r="DI21" s="141">
        <v>3520024</v>
      </c>
      <c r="DJ21" s="141">
        <v>2892</v>
      </c>
      <c r="DK21" s="141">
        <v>6423016</v>
      </c>
      <c r="DL21" s="141">
        <v>3964602</v>
      </c>
      <c r="DM21" s="141">
        <v>1300081</v>
      </c>
      <c r="DN21" s="141">
        <v>1158333</v>
      </c>
      <c r="DO21" s="141">
        <v>585890</v>
      </c>
      <c r="DP21" s="141">
        <v>585890</v>
      </c>
      <c r="DQ21" s="141">
        <v>70053</v>
      </c>
      <c r="DR21" s="141">
        <v>0</v>
      </c>
      <c r="DS21" s="141">
        <v>34874</v>
      </c>
      <c r="DT21" s="141">
        <v>0</v>
      </c>
      <c r="DU21" s="141">
        <v>0</v>
      </c>
      <c r="DV21" s="141">
        <v>8988732</v>
      </c>
      <c r="DW21" s="141">
        <v>0</v>
      </c>
      <c r="DX21" s="73">
        <f t="shared" si="11"/>
        <v>0</v>
      </c>
      <c r="DY21" s="141">
        <v>0</v>
      </c>
      <c r="DZ21" s="141">
        <v>3368482</v>
      </c>
      <c r="EA21" s="141">
        <v>0</v>
      </c>
      <c r="EB21" s="141">
        <v>2283394</v>
      </c>
      <c r="EC21" s="74">
        <v>0</v>
      </c>
      <c r="ED21" s="141">
        <v>3336856</v>
      </c>
      <c r="EE21" s="141">
        <v>0</v>
      </c>
      <c r="EF21" s="141">
        <v>117115340</v>
      </c>
      <c r="EG21" s="71"/>
      <c r="EH21" s="141">
        <v>1794855</v>
      </c>
      <c r="EI21" s="141">
        <v>81968</v>
      </c>
      <c r="EJ21" s="141">
        <v>1712887</v>
      </c>
      <c r="EK21" s="141">
        <v>-150118</v>
      </c>
      <c r="EL21" s="141">
        <v>3596957</v>
      </c>
      <c r="EM21" s="71"/>
      <c r="EN21" s="141">
        <v>229749</v>
      </c>
      <c r="EO21" s="141">
        <v>230463</v>
      </c>
      <c r="EP21" s="141">
        <v>313527</v>
      </c>
      <c r="EQ21" s="141">
        <v>59265</v>
      </c>
      <c r="ER21" s="73">
        <f t="shared" si="12"/>
        <v>6233786</v>
      </c>
      <c r="ES21" s="141">
        <v>48133848</v>
      </c>
      <c r="ET21" s="141">
        <v>-9451177</v>
      </c>
      <c r="EU21" s="141">
        <v>10257650</v>
      </c>
      <c r="EV21" s="141">
        <v>6517893</v>
      </c>
      <c r="EW21" s="141">
        <v>8631151</v>
      </c>
      <c r="EX21" s="141">
        <v>5621919</v>
      </c>
      <c r="EY21" s="73">
        <f t="shared" si="13"/>
        <v>1842399</v>
      </c>
      <c r="EZ21" s="141">
        <v>1842307</v>
      </c>
      <c r="FA21" s="141">
        <v>76490</v>
      </c>
      <c r="FB21" s="141">
        <v>1705389</v>
      </c>
      <c r="FC21" s="141">
        <v>92</v>
      </c>
      <c r="FD21" s="141">
        <v>0</v>
      </c>
      <c r="FE21" s="141">
        <v>7282776</v>
      </c>
      <c r="FF21" s="141">
        <v>7904511</v>
      </c>
      <c r="FG21" s="141">
        <v>2827957</v>
      </c>
      <c r="FH21" s="141">
        <v>7131306</v>
      </c>
      <c r="FI21" s="73">
        <f t="shared" si="14"/>
        <v>7118458</v>
      </c>
      <c r="FJ21" s="141">
        <v>55790170</v>
      </c>
      <c r="FK21" s="379">
        <f t="shared" si="15"/>
        <v>3.6</v>
      </c>
      <c r="FL21" s="141">
        <v>44989955</v>
      </c>
      <c r="FM21" s="141">
        <v>3162950</v>
      </c>
      <c r="FN21" s="141">
        <v>25192191</v>
      </c>
      <c r="FO21" s="141">
        <v>38309235</v>
      </c>
      <c r="FP21" s="390">
        <v>0.66100000000000003</v>
      </c>
      <c r="FQ21" s="380">
        <v>87.4</v>
      </c>
      <c r="FR21" s="381">
        <v>20.100000000000001</v>
      </c>
      <c r="FS21" s="380">
        <v>17.600000000000001</v>
      </c>
      <c r="FT21" s="380">
        <v>11.7</v>
      </c>
      <c r="FU21" s="381">
        <v>10.6</v>
      </c>
      <c r="FV21" s="380">
        <v>12.1</v>
      </c>
      <c r="FW21" s="382">
        <v>13.8</v>
      </c>
      <c r="FX21" s="388">
        <v>-0.3</v>
      </c>
      <c r="FY21" s="141">
        <v>62031415</v>
      </c>
      <c r="FZ21" s="384">
        <f t="shared" si="16"/>
        <v>128.80000000000001</v>
      </c>
      <c r="GA21" s="141">
        <v>24043679</v>
      </c>
      <c r="GB21" s="141">
        <v>13887722</v>
      </c>
      <c r="GC21" s="141">
        <v>1995829</v>
      </c>
      <c r="GD21" s="141">
        <v>8160128</v>
      </c>
      <c r="GE21" s="107">
        <v>0</v>
      </c>
      <c r="GF21" s="385"/>
      <c r="GG21" s="386"/>
      <c r="GH21" s="380">
        <v>98.3</v>
      </c>
      <c r="GI21" s="380">
        <v>36.299999999999997</v>
      </c>
      <c r="GJ21" s="380">
        <v>96.6</v>
      </c>
      <c r="GK21" s="141">
        <v>1102</v>
      </c>
      <c r="GL21" s="391" t="s">
        <v>646</v>
      </c>
      <c r="GM21" s="391">
        <v>11.28</v>
      </c>
      <c r="GN21" s="117">
        <v>20</v>
      </c>
      <c r="GO21" s="391" t="s">
        <v>646</v>
      </c>
      <c r="GP21" s="392">
        <v>16.28</v>
      </c>
      <c r="GQ21" s="387">
        <v>30</v>
      </c>
      <c r="GR21" s="381">
        <v>-0.3</v>
      </c>
      <c r="GS21" s="388">
        <v>25</v>
      </c>
      <c r="GT21" s="388">
        <v>35</v>
      </c>
      <c r="GU21" s="393" t="s">
        <v>646</v>
      </c>
      <c r="GV21" s="388">
        <v>350</v>
      </c>
      <c r="GW21" s="394"/>
      <c r="GX21" s="100">
        <f t="shared" si="17"/>
        <v>48153</v>
      </c>
      <c r="GY21" s="394"/>
      <c r="GZ21" s="394"/>
      <c r="HA21" s="394"/>
      <c r="HB21" s="394"/>
      <c r="HC21" s="394"/>
      <c r="HD21" s="394"/>
      <c r="HE21" s="394"/>
      <c r="HF21" s="394"/>
      <c r="HG21" s="394"/>
      <c r="HH21" s="394"/>
      <c r="HI21" s="394"/>
      <c r="HJ21" s="394"/>
      <c r="HK21" s="394"/>
      <c r="HL21" s="394"/>
      <c r="HM21" s="394"/>
      <c r="HN21" s="394"/>
      <c r="HO21" s="394"/>
      <c r="HP21" s="394"/>
      <c r="HQ21" s="394"/>
      <c r="HR21" s="394"/>
      <c r="HS21" s="394"/>
      <c r="HT21" s="394"/>
      <c r="HU21" s="394"/>
      <c r="HV21" s="394"/>
      <c r="HW21" s="394"/>
      <c r="HX21" s="394"/>
    </row>
    <row r="22" spans="2:232" x14ac:dyDescent="0.15">
      <c r="B22" s="89" t="s">
        <v>33</v>
      </c>
      <c r="C22" s="141">
        <v>11953078</v>
      </c>
      <c r="D22" s="73">
        <f t="shared" si="0"/>
        <v>5434737</v>
      </c>
      <c r="E22" s="141">
        <v>176844</v>
      </c>
      <c r="F22" s="141">
        <v>5257893</v>
      </c>
      <c r="G22" s="73">
        <f t="shared" si="1"/>
        <v>477218</v>
      </c>
      <c r="H22" s="141">
        <v>202050</v>
      </c>
      <c r="I22" s="141">
        <v>275168</v>
      </c>
      <c r="J22" s="141">
        <v>4473049</v>
      </c>
      <c r="K22" s="141">
        <v>1582897</v>
      </c>
      <c r="L22" s="141">
        <v>2152682</v>
      </c>
      <c r="M22" s="141">
        <v>668157</v>
      </c>
      <c r="N22" s="141">
        <v>448477</v>
      </c>
      <c r="O22" s="141">
        <v>906067</v>
      </c>
      <c r="P22" s="141">
        <v>460605</v>
      </c>
      <c r="Q22" s="141">
        <v>445462</v>
      </c>
      <c r="R22" s="141">
        <v>246033</v>
      </c>
      <c r="S22" s="74"/>
      <c r="T22" s="73">
        <f t="shared" si="2"/>
        <v>2323815</v>
      </c>
      <c r="U22" s="141">
        <v>19770</v>
      </c>
      <c r="V22" s="141">
        <v>83484</v>
      </c>
      <c r="W22" s="141">
        <v>93977</v>
      </c>
      <c r="X22" s="141">
        <v>2028935</v>
      </c>
      <c r="Y22" s="141">
        <v>17872</v>
      </c>
      <c r="Z22" s="141">
        <v>0</v>
      </c>
      <c r="AA22" s="141">
        <v>6</v>
      </c>
      <c r="AB22" s="141">
        <v>40240</v>
      </c>
      <c r="AC22" s="141">
        <v>39531</v>
      </c>
      <c r="AD22" s="141">
        <v>95685</v>
      </c>
      <c r="AE22" s="141">
        <v>6870433</v>
      </c>
      <c r="AF22" s="141">
        <v>6649398</v>
      </c>
      <c r="AG22" s="141">
        <v>221035</v>
      </c>
      <c r="AH22" s="141">
        <v>15011</v>
      </c>
      <c r="AI22" s="141">
        <v>187640</v>
      </c>
      <c r="AJ22" s="73">
        <f t="shared" si="3"/>
        <v>591259</v>
      </c>
      <c r="AK22" s="141">
        <v>292608</v>
      </c>
      <c r="AL22" s="141">
        <v>298651</v>
      </c>
      <c r="AM22" s="141">
        <v>19203324</v>
      </c>
      <c r="AN22" s="73">
        <f t="shared" si="4"/>
        <v>4507399</v>
      </c>
      <c r="AO22" s="141">
        <v>1911177</v>
      </c>
      <c r="AP22" s="141">
        <v>1392824</v>
      </c>
      <c r="AQ22" s="74"/>
      <c r="AR22" s="141">
        <v>1203398</v>
      </c>
      <c r="AS22" s="141">
        <v>136984</v>
      </c>
      <c r="AT22" s="141">
        <v>11498</v>
      </c>
      <c r="AU22" s="141">
        <v>0</v>
      </c>
      <c r="AV22" s="141">
        <v>3130391</v>
      </c>
      <c r="AW22" s="141">
        <v>1931356</v>
      </c>
      <c r="AX22" s="141">
        <v>633083</v>
      </c>
      <c r="AY22" s="141">
        <v>1984</v>
      </c>
      <c r="AZ22" s="141">
        <v>1199035</v>
      </c>
      <c r="BA22" s="141">
        <v>714</v>
      </c>
      <c r="BB22" s="141">
        <v>119837</v>
      </c>
      <c r="BC22" s="141">
        <v>9214</v>
      </c>
      <c r="BD22" s="141">
        <v>524842</v>
      </c>
      <c r="BE22" s="141">
        <v>225807</v>
      </c>
      <c r="BF22" s="141">
        <v>0</v>
      </c>
      <c r="BG22" s="141">
        <v>0</v>
      </c>
      <c r="BH22" s="141">
        <v>213113</v>
      </c>
      <c r="BI22" s="141">
        <v>0</v>
      </c>
      <c r="BJ22" s="141">
        <v>51328</v>
      </c>
      <c r="BK22" s="141">
        <v>13037</v>
      </c>
      <c r="BL22" s="141">
        <v>459160</v>
      </c>
      <c r="BM22" s="141">
        <v>65216</v>
      </c>
      <c r="BN22" s="141">
        <v>0</v>
      </c>
      <c r="BO22" s="141">
        <v>0</v>
      </c>
      <c r="BP22" s="141">
        <v>1860598</v>
      </c>
      <c r="BQ22" s="73">
        <f t="shared" si="5"/>
        <v>1127498</v>
      </c>
      <c r="BR22" s="73">
        <f t="shared" si="6"/>
        <v>733100</v>
      </c>
      <c r="BS22" s="141">
        <v>0</v>
      </c>
      <c r="BT22" s="141">
        <v>0</v>
      </c>
      <c r="BU22" s="141">
        <v>733100</v>
      </c>
      <c r="BV22" s="141">
        <v>0</v>
      </c>
      <c r="BW22" s="141">
        <v>47858241</v>
      </c>
      <c r="BX22" s="71"/>
      <c r="BY22" s="141">
        <v>6108506</v>
      </c>
      <c r="BZ22" s="141">
        <v>3455224</v>
      </c>
      <c r="CA22" s="141">
        <v>542582</v>
      </c>
      <c r="CB22" s="141">
        <v>978619</v>
      </c>
      <c r="CC22" s="141">
        <v>10912559</v>
      </c>
      <c r="CD22" s="141">
        <v>3021162</v>
      </c>
      <c r="CE22" s="141">
        <v>56179</v>
      </c>
      <c r="CF22" s="141">
        <v>4758838</v>
      </c>
      <c r="CG22" s="141">
        <v>2452441</v>
      </c>
      <c r="CH22" s="141">
        <v>4296</v>
      </c>
      <c r="CI22" s="141">
        <v>619643</v>
      </c>
      <c r="CJ22" s="141">
        <v>3134302</v>
      </c>
      <c r="CK22" s="141">
        <v>2976181</v>
      </c>
      <c r="CL22" s="83">
        <f t="shared" si="7"/>
        <v>158121</v>
      </c>
      <c r="CM22" s="141">
        <v>5375329</v>
      </c>
      <c r="CN22" s="141">
        <v>3726803</v>
      </c>
      <c r="CO22" s="102"/>
      <c r="CP22" s="141">
        <v>596726</v>
      </c>
      <c r="CQ22" s="141">
        <v>116278</v>
      </c>
      <c r="CR22" s="141">
        <v>14740600</v>
      </c>
      <c r="CS22" s="141">
        <v>521322</v>
      </c>
      <c r="CT22" s="141">
        <v>12068556</v>
      </c>
      <c r="CU22" s="141">
        <v>1584866</v>
      </c>
      <c r="CV22" s="73">
        <f t="shared" si="8"/>
        <v>1327197</v>
      </c>
      <c r="CW22" s="141">
        <v>12946</v>
      </c>
      <c r="CX22" s="141">
        <v>1314251</v>
      </c>
      <c r="CY22" s="73">
        <f t="shared" si="9"/>
        <v>0</v>
      </c>
      <c r="CZ22" s="141">
        <v>0</v>
      </c>
      <c r="DA22" s="141">
        <v>0</v>
      </c>
      <c r="DB22" s="73">
        <f t="shared" si="10"/>
        <v>1145141</v>
      </c>
      <c r="DC22" s="141">
        <v>0</v>
      </c>
      <c r="DD22" s="141">
        <v>1145141</v>
      </c>
      <c r="DE22" s="141">
        <v>2064999</v>
      </c>
      <c r="DF22" s="141">
        <v>803366</v>
      </c>
      <c r="DG22" s="141">
        <v>1212819</v>
      </c>
      <c r="DH22" s="141">
        <v>48814</v>
      </c>
      <c r="DI22" s="141">
        <v>0</v>
      </c>
      <c r="DJ22" s="141">
        <v>89695</v>
      </c>
      <c r="DK22" s="141">
        <v>699032</v>
      </c>
      <c r="DL22" s="141">
        <v>23100</v>
      </c>
      <c r="DM22" s="141">
        <v>28600</v>
      </c>
      <c r="DN22" s="141">
        <v>647332</v>
      </c>
      <c r="DO22" s="141">
        <v>0</v>
      </c>
      <c r="DP22" s="141">
        <v>0</v>
      </c>
      <c r="DQ22" s="141">
        <v>0</v>
      </c>
      <c r="DR22" s="141">
        <v>0</v>
      </c>
      <c r="DS22" s="141">
        <v>47879</v>
      </c>
      <c r="DT22" s="141">
        <v>0</v>
      </c>
      <c r="DU22" s="141">
        <v>0</v>
      </c>
      <c r="DV22" s="141">
        <v>4504017</v>
      </c>
      <c r="DW22" s="141">
        <v>0</v>
      </c>
      <c r="DX22" s="73">
        <f t="shared" si="11"/>
        <v>0</v>
      </c>
      <c r="DY22" s="141">
        <v>0</v>
      </c>
      <c r="DZ22" s="141">
        <v>1829044</v>
      </c>
      <c r="EA22" s="141">
        <v>0</v>
      </c>
      <c r="EB22" s="141">
        <v>1045930</v>
      </c>
      <c r="EC22" s="74">
        <v>0</v>
      </c>
      <c r="ED22" s="141">
        <v>1629043</v>
      </c>
      <c r="EE22" s="141">
        <v>0</v>
      </c>
      <c r="EF22" s="141">
        <v>47793196</v>
      </c>
      <c r="EG22" s="71"/>
      <c r="EH22" s="141">
        <v>65045</v>
      </c>
      <c r="EI22" s="141">
        <v>48183</v>
      </c>
      <c r="EJ22" s="141">
        <v>16862</v>
      </c>
      <c r="EK22" s="141">
        <v>3825</v>
      </c>
      <c r="EL22" s="141">
        <v>26925</v>
      </c>
      <c r="EM22" s="71"/>
      <c r="EN22" s="141">
        <v>101764</v>
      </c>
      <c r="EO22" s="141">
        <v>103332</v>
      </c>
      <c r="EP22" s="141">
        <v>649</v>
      </c>
      <c r="EQ22" s="141">
        <v>49731</v>
      </c>
      <c r="ER22" s="73">
        <f t="shared" si="12"/>
        <v>1696465</v>
      </c>
      <c r="ES22" s="141">
        <v>21504055</v>
      </c>
      <c r="ET22" s="141">
        <v>-2464934</v>
      </c>
      <c r="EU22" s="141">
        <v>5471008</v>
      </c>
      <c r="EV22" s="141">
        <v>3210287</v>
      </c>
      <c r="EW22" s="141">
        <v>2774177</v>
      </c>
      <c r="EX22" s="141">
        <v>3083554</v>
      </c>
      <c r="EY22" s="73">
        <f t="shared" si="13"/>
        <v>488738</v>
      </c>
      <c r="EZ22" s="141">
        <v>485257</v>
      </c>
      <c r="FA22" s="141">
        <v>21562</v>
      </c>
      <c r="FB22" s="141">
        <v>460581</v>
      </c>
      <c r="FC22" s="141">
        <v>3481</v>
      </c>
      <c r="FD22" s="141">
        <v>0</v>
      </c>
      <c r="FE22" s="141">
        <v>4163576</v>
      </c>
      <c r="FF22" s="141">
        <v>3851383</v>
      </c>
      <c r="FG22" s="141">
        <v>442701</v>
      </c>
      <c r="FH22" s="141">
        <v>3611346</v>
      </c>
      <c r="FI22" s="73">
        <f t="shared" si="14"/>
        <v>460162</v>
      </c>
      <c r="FJ22" s="141">
        <v>23903944</v>
      </c>
      <c r="FK22" s="379">
        <f t="shared" si="15"/>
        <v>0.1</v>
      </c>
      <c r="FL22" s="141">
        <v>20431347</v>
      </c>
      <c r="FM22" s="141">
        <v>1171666</v>
      </c>
      <c r="FN22" s="141">
        <v>10925354</v>
      </c>
      <c r="FO22" s="141">
        <v>17423805</v>
      </c>
      <c r="FP22" s="390">
        <v>0.628</v>
      </c>
      <c r="FQ22" s="380">
        <v>98.6</v>
      </c>
      <c r="FR22" s="381">
        <v>25.5</v>
      </c>
      <c r="FS22" s="380">
        <v>13</v>
      </c>
      <c r="FT22" s="380">
        <v>14.5</v>
      </c>
      <c r="FU22" s="381">
        <v>18.3</v>
      </c>
      <c r="FV22" s="380">
        <v>10.199999999999999</v>
      </c>
      <c r="FW22" s="382">
        <v>16.5</v>
      </c>
      <c r="FX22" s="388">
        <v>2.2999999999999998</v>
      </c>
      <c r="FY22" s="141">
        <v>29759952</v>
      </c>
      <c r="FZ22" s="384">
        <f t="shared" si="16"/>
        <v>137.80000000000001</v>
      </c>
      <c r="GA22" s="141">
        <v>8974127</v>
      </c>
      <c r="GB22" s="141">
        <v>2469735</v>
      </c>
      <c r="GC22" s="141">
        <v>515274</v>
      </c>
      <c r="GD22" s="141">
        <v>5989118</v>
      </c>
      <c r="GE22" s="107">
        <v>0</v>
      </c>
      <c r="GF22" s="385"/>
      <c r="GG22" s="386"/>
      <c r="GH22" s="380">
        <v>99.1</v>
      </c>
      <c r="GI22" s="380">
        <v>40.5</v>
      </c>
      <c r="GJ22" s="380">
        <v>98.2</v>
      </c>
      <c r="GK22" s="141">
        <v>530</v>
      </c>
      <c r="GL22" s="391" t="s">
        <v>646</v>
      </c>
      <c r="GM22" s="391">
        <v>12.35</v>
      </c>
      <c r="GN22" s="117">
        <v>20</v>
      </c>
      <c r="GO22" s="391" t="s">
        <v>646</v>
      </c>
      <c r="GP22" s="392">
        <v>17.350000000000001</v>
      </c>
      <c r="GQ22" s="387">
        <v>30</v>
      </c>
      <c r="GR22" s="381">
        <v>2.2999999999999998</v>
      </c>
      <c r="GS22" s="388">
        <v>25</v>
      </c>
      <c r="GT22" s="388">
        <v>35</v>
      </c>
      <c r="GU22" s="393" t="s">
        <v>646</v>
      </c>
      <c r="GV22" s="388">
        <v>350</v>
      </c>
      <c r="GW22" s="394"/>
      <c r="GX22" s="100">
        <f t="shared" si="17"/>
        <v>21603</v>
      </c>
      <c r="GY22" s="394"/>
      <c r="GZ22" s="394"/>
      <c r="HA22" s="394"/>
      <c r="HB22" s="394"/>
      <c r="HC22" s="394"/>
      <c r="HD22" s="394"/>
      <c r="HE22" s="394"/>
      <c r="HF22" s="394"/>
      <c r="HG22" s="394"/>
      <c r="HH22" s="394"/>
      <c r="HI22" s="394"/>
      <c r="HJ22" s="394"/>
      <c r="HK22" s="394"/>
      <c r="HL22" s="394"/>
      <c r="HM22" s="394"/>
      <c r="HN22" s="394"/>
      <c r="HO22" s="394"/>
      <c r="HP22" s="394"/>
      <c r="HQ22" s="394"/>
      <c r="HR22" s="394"/>
      <c r="HS22" s="394"/>
      <c r="HT22" s="394"/>
      <c r="HU22" s="394"/>
      <c r="HV22" s="394"/>
      <c r="HW22" s="394"/>
      <c r="HX22" s="394"/>
    </row>
    <row r="23" spans="2:232" x14ac:dyDescent="0.15">
      <c r="B23" s="89" t="s">
        <v>35</v>
      </c>
      <c r="C23" s="141">
        <v>14079236</v>
      </c>
      <c r="D23" s="73">
        <f t="shared" si="0"/>
        <v>5577970</v>
      </c>
      <c r="E23" s="141">
        <v>188267</v>
      </c>
      <c r="F23" s="141">
        <v>5389703</v>
      </c>
      <c r="G23" s="73">
        <f t="shared" si="1"/>
        <v>702483</v>
      </c>
      <c r="H23" s="141">
        <v>258691</v>
      </c>
      <c r="I23" s="141">
        <v>443792</v>
      </c>
      <c r="J23" s="141">
        <v>5537183</v>
      </c>
      <c r="K23" s="141">
        <v>2566086</v>
      </c>
      <c r="L23" s="141">
        <v>2340262</v>
      </c>
      <c r="M23" s="141">
        <v>582931</v>
      </c>
      <c r="N23" s="141">
        <v>861201</v>
      </c>
      <c r="O23" s="141">
        <v>1206872</v>
      </c>
      <c r="P23" s="141">
        <v>697443</v>
      </c>
      <c r="Q23" s="141">
        <v>509429</v>
      </c>
      <c r="R23" s="141">
        <v>185911</v>
      </c>
      <c r="S23" s="74"/>
      <c r="T23" s="73">
        <f t="shared" si="2"/>
        <v>2675344</v>
      </c>
      <c r="U23" s="141">
        <v>19294</v>
      </c>
      <c r="V23" s="141">
        <v>81739</v>
      </c>
      <c r="W23" s="141">
        <v>92539</v>
      </c>
      <c r="X23" s="141">
        <v>2400076</v>
      </c>
      <c r="Y23" s="141">
        <v>0</v>
      </c>
      <c r="Z23" s="141">
        <v>0</v>
      </c>
      <c r="AA23" s="141">
        <v>4</v>
      </c>
      <c r="AB23" s="141">
        <v>31836</v>
      </c>
      <c r="AC23" s="141">
        <v>49856</v>
      </c>
      <c r="AD23" s="141">
        <v>116212</v>
      </c>
      <c r="AE23" s="141">
        <v>8490132</v>
      </c>
      <c r="AF23" s="141">
        <v>8173116</v>
      </c>
      <c r="AG23" s="141">
        <v>317016</v>
      </c>
      <c r="AH23" s="141">
        <v>18683</v>
      </c>
      <c r="AI23" s="141">
        <v>154657</v>
      </c>
      <c r="AJ23" s="73">
        <f t="shared" si="3"/>
        <v>515148</v>
      </c>
      <c r="AK23" s="141">
        <v>324511</v>
      </c>
      <c r="AL23" s="141">
        <v>190637</v>
      </c>
      <c r="AM23" s="141">
        <v>24657114</v>
      </c>
      <c r="AN23" s="73">
        <f t="shared" si="4"/>
        <v>7542068</v>
      </c>
      <c r="AO23" s="141">
        <v>4579855</v>
      </c>
      <c r="AP23" s="141">
        <v>1391843</v>
      </c>
      <c r="AQ23" s="74"/>
      <c r="AR23" s="141">
        <v>1570370</v>
      </c>
      <c r="AS23" s="141">
        <v>182400</v>
      </c>
      <c r="AT23" s="141">
        <v>0</v>
      </c>
      <c r="AU23" s="141">
        <v>0</v>
      </c>
      <c r="AV23" s="141">
        <v>3696897</v>
      </c>
      <c r="AW23" s="141">
        <v>2224622</v>
      </c>
      <c r="AX23" s="141">
        <v>616196</v>
      </c>
      <c r="AY23" s="141">
        <v>7136</v>
      </c>
      <c r="AZ23" s="141">
        <v>1472275</v>
      </c>
      <c r="BA23" s="141">
        <v>8911</v>
      </c>
      <c r="BB23" s="141">
        <v>292010</v>
      </c>
      <c r="BC23" s="141">
        <v>113381</v>
      </c>
      <c r="BD23" s="141">
        <v>84517</v>
      </c>
      <c r="BE23" s="141">
        <v>38804</v>
      </c>
      <c r="BF23" s="141">
        <v>7130</v>
      </c>
      <c r="BG23" s="141">
        <v>0</v>
      </c>
      <c r="BH23" s="141">
        <v>26247</v>
      </c>
      <c r="BI23" s="141">
        <v>0</v>
      </c>
      <c r="BJ23" s="141">
        <v>138949</v>
      </c>
      <c r="BK23" s="141">
        <v>112705</v>
      </c>
      <c r="BL23" s="141">
        <v>378636</v>
      </c>
      <c r="BM23" s="141">
        <v>25003</v>
      </c>
      <c r="BN23" s="141">
        <v>0</v>
      </c>
      <c r="BO23" s="141">
        <v>0</v>
      </c>
      <c r="BP23" s="141">
        <v>3030700</v>
      </c>
      <c r="BQ23" s="73">
        <f t="shared" si="5"/>
        <v>1661900</v>
      </c>
      <c r="BR23" s="73">
        <f t="shared" si="6"/>
        <v>1368800</v>
      </c>
      <c r="BS23" s="141">
        <v>0</v>
      </c>
      <c r="BT23" s="141">
        <v>67100</v>
      </c>
      <c r="BU23" s="141">
        <v>1301700</v>
      </c>
      <c r="BV23" s="141">
        <v>0</v>
      </c>
      <c r="BW23" s="141">
        <v>58552950</v>
      </c>
      <c r="BX23" s="71"/>
      <c r="BY23" s="141">
        <v>7417118</v>
      </c>
      <c r="BZ23" s="141">
        <v>4901595</v>
      </c>
      <c r="CA23" s="141">
        <v>500589</v>
      </c>
      <c r="CB23" s="141">
        <v>592876</v>
      </c>
      <c r="CC23" s="141">
        <v>15902210</v>
      </c>
      <c r="CD23" s="141">
        <v>3523869</v>
      </c>
      <c r="CE23" s="141">
        <v>63609</v>
      </c>
      <c r="CF23" s="141">
        <v>6005218</v>
      </c>
      <c r="CG23" s="141">
        <v>5877219</v>
      </c>
      <c r="CH23" s="141">
        <v>11407</v>
      </c>
      <c r="CI23" s="141">
        <v>420788</v>
      </c>
      <c r="CJ23" s="141">
        <v>4042687</v>
      </c>
      <c r="CK23" s="141">
        <v>3776080</v>
      </c>
      <c r="CL23" s="83">
        <f t="shared" si="7"/>
        <v>266607</v>
      </c>
      <c r="CM23" s="141">
        <v>5865030</v>
      </c>
      <c r="CN23" s="141">
        <v>3615620</v>
      </c>
      <c r="CO23" s="102"/>
      <c r="CP23" s="141">
        <v>866101</v>
      </c>
      <c r="CQ23" s="141">
        <v>236623</v>
      </c>
      <c r="CR23" s="141">
        <v>16576047</v>
      </c>
      <c r="CS23" s="141">
        <v>397340</v>
      </c>
      <c r="CT23" s="141">
        <v>13561692</v>
      </c>
      <c r="CU23" s="141">
        <v>1405525</v>
      </c>
      <c r="CV23" s="73">
        <f t="shared" si="8"/>
        <v>1711710</v>
      </c>
      <c r="CW23" s="141">
        <v>6000</v>
      </c>
      <c r="CX23" s="141">
        <v>1705710</v>
      </c>
      <c r="CY23" s="73">
        <f t="shared" si="9"/>
        <v>0</v>
      </c>
      <c r="CZ23" s="141">
        <v>0</v>
      </c>
      <c r="DA23" s="141">
        <v>0</v>
      </c>
      <c r="DB23" s="73">
        <f t="shared" si="10"/>
        <v>1676644</v>
      </c>
      <c r="DC23" s="141">
        <v>0</v>
      </c>
      <c r="DD23" s="141">
        <v>1676644</v>
      </c>
      <c r="DE23" s="141">
        <v>1922988</v>
      </c>
      <c r="DF23" s="141">
        <v>686269</v>
      </c>
      <c r="DG23" s="141">
        <v>1234013</v>
      </c>
      <c r="DH23" s="141">
        <v>0</v>
      </c>
      <c r="DI23" s="141">
        <v>0</v>
      </c>
      <c r="DJ23" s="141">
        <v>772</v>
      </c>
      <c r="DK23" s="141">
        <v>486640</v>
      </c>
      <c r="DL23" s="141">
        <v>222422</v>
      </c>
      <c r="DM23" s="141">
        <v>0</v>
      </c>
      <c r="DN23" s="141">
        <v>264218</v>
      </c>
      <c r="DO23" s="141">
        <v>113356</v>
      </c>
      <c r="DP23" s="141">
        <v>113356</v>
      </c>
      <c r="DQ23" s="141">
        <v>0</v>
      </c>
      <c r="DR23" s="141">
        <v>0</v>
      </c>
      <c r="DS23" s="141">
        <v>25000</v>
      </c>
      <c r="DT23" s="141">
        <v>0</v>
      </c>
      <c r="DU23" s="141">
        <v>0</v>
      </c>
      <c r="DV23" s="141">
        <v>5284821</v>
      </c>
      <c r="DW23" s="141">
        <v>0</v>
      </c>
      <c r="DX23" s="73">
        <f t="shared" si="11"/>
        <v>0</v>
      </c>
      <c r="DY23" s="141">
        <v>0</v>
      </c>
      <c r="DZ23" s="141">
        <v>1877004</v>
      </c>
      <c r="EA23" s="141">
        <v>0</v>
      </c>
      <c r="EB23" s="141">
        <v>1563089</v>
      </c>
      <c r="EC23" s="74">
        <v>0</v>
      </c>
      <c r="ED23" s="141">
        <v>1844727</v>
      </c>
      <c r="EE23" s="141">
        <v>0</v>
      </c>
      <c r="EF23" s="141">
        <v>57873292</v>
      </c>
      <c r="EG23" s="71"/>
      <c r="EH23" s="141">
        <v>679658</v>
      </c>
      <c r="EI23" s="141">
        <v>16970</v>
      </c>
      <c r="EJ23" s="141">
        <v>662688</v>
      </c>
      <c r="EK23" s="141">
        <v>549983</v>
      </c>
      <c r="EL23" s="141">
        <v>765275</v>
      </c>
      <c r="EM23" s="71"/>
      <c r="EN23" s="141">
        <v>117611</v>
      </c>
      <c r="EO23" s="141">
        <v>118721</v>
      </c>
      <c r="EP23" s="141">
        <v>12557</v>
      </c>
      <c r="EQ23" s="141">
        <v>291536</v>
      </c>
      <c r="ER23" s="73">
        <f t="shared" si="12"/>
        <v>2398608</v>
      </c>
      <c r="ES23" s="141">
        <v>25565518</v>
      </c>
      <c r="ET23" s="141">
        <v>-4052818</v>
      </c>
      <c r="EU23" s="141">
        <v>6883255</v>
      </c>
      <c r="EV23" s="141">
        <v>4606495</v>
      </c>
      <c r="EW23" s="141">
        <v>4023381</v>
      </c>
      <c r="EX23" s="141">
        <v>4042687</v>
      </c>
      <c r="EY23" s="73">
        <f t="shared" si="13"/>
        <v>235849</v>
      </c>
      <c r="EZ23" s="141">
        <v>235777</v>
      </c>
      <c r="FA23" s="141">
        <v>49946</v>
      </c>
      <c r="FB23" s="141">
        <v>185825</v>
      </c>
      <c r="FC23" s="141">
        <v>72</v>
      </c>
      <c r="FD23" s="141">
        <v>0</v>
      </c>
      <c r="FE23" s="141">
        <v>4813845</v>
      </c>
      <c r="FF23" s="141">
        <v>4184191</v>
      </c>
      <c r="FG23" s="141">
        <v>251270</v>
      </c>
      <c r="FH23" s="141">
        <v>4022657</v>
      </c>
      <c r="FI23" s="73">
        <f t="shared" si="14"/>
        <v>732813</v>
      </c>
      <c r="FJ23" s="141">
        <v>28938678</v>
      </c>
      <c r="FK23" s="379">
        <f t="shared" si="15"/>
        <v>2.6</v>
      </c>
      <c r="FL23" s="141">
        <v>24000852</v>
      </c>
      <c r="FM23" s="141">
        <v>1301770</v>
      </c>
      <c r="FN23" s="141">
        <v>12537738</v>
      </c>
      <c r="FO23" s="141">
        <v>20721440</v>
      </c>
      <c r="FP23" s="390">
        <v>0.59899999999999998</v>
      </c>
      <c r="FQ23" s="380">
        <v>100.1</v>
      </c>
      <c r="FR23" s="381">
        <v>26.6</v>
      </c>
      <c r="FS23" s="380">
        <v>15.6</v>
      </c>
      <c r="FT23" s="380">
        <v>15.6</v>
      </c>
      <c r="FU23" s="381">
        <v>15.1</v>
      </c>
      <c r="FV23" s="380">
        <v>12.1</v>
      </c>
      <c r="FW23" s="382">
        <v>14.2</v>
      </c>
      <c r="FX23" s="388">
        <v>5.6</v>
      </c>
      <c r="FY23" s="141">
        <v>41032738</v>
      </c>
      <c r="FZ23" s="384">
        <f t="shared" si="16"/>
        <v>162.19999999999999</v>
      </c>
      <c r="GA23" s="141">
        <v>1823651</v>
      </c>
      <c r="GB23" s="141">
        <v>666133</v>
      </c>
      <c r="GC23" s="141">
        <v>21269</v>
      </c>
      <c r="GD23" s="141">
        <v>1136249</v>
      </c>
      <c r="GE23" s="107">
        <v>0</v>
      </c>
      <c r="GF23" s="385">
        <v>1486</v>
      </c>
      <c r="GG23" s="386">
        <f>IF(GF23=0,"-",ROUND(GF23/(GX23)*100,1))</f>
        <v>5.9</v>
      </c>
      <c r="GH23" s="380">
        <v>98.8</v>
      </c>
      <c r="GI23" s="380">
        <v>43.3</v>
      </c>
      <c r="GJ23" s="380">
        <v>97.9</v>
      </c>
      <c r="GK23" s="141">
        <v>746</v>
      </c>
      <c r="GL23" s="391" t="s">
        <v>646</v>
      </c>
      <c r="GM23" s="391">
        <v>12.06</v>
      </c>
      <c r="GN23" s="117">
        <v>20</v>
      </c>
      <c r="GO23" s="391" t="s">
        <v>646</v>
      </c>
      <c r="GP23" s="392">
        <v>17.059999999999999</v>
      </c>
      <c r="GQ23" s="387">
        <v>30</v>
      </c>
      <c r="GR23" s="381">
        <v>5.6</v>
      </c>
      <c r="GS23" s="388">
        <v>25</v>
      </c>
      <c r="GT23" s="388">
        <v>35</v>
      </c>
      <c r="GU23" s="393">
        <v>44.3</v>
      </c>
      <c r="GV23" s="388">
        <v>350</v>
      </c>
      <c r="GW23" s="394"/>
      <c r="GX23" s="100">
        <f t="shared" si="17"/>
        <v>25303</v>
      </c>
      <c r="GY23" s="394"/>
      <c r="GZ23" s="394"/>
      <c r="HA23" s="394"/>
      <c r="HB23" s="394"/>
      <c r="HC23" s="394"/>
      <c r="HD23" s="394"/>
      <c r="HE23" s="394"/>
      <c r="HF23" s="394"/>
      <c r="HG23" s="394"/>
      <c r="HH23" s="394"/>
      <c r="HI23" s="394"/>
      <c r="HJ23" s="394"/>
      <c r="HK23" s="394"/>
      <c r="HL23" s="394"/>
      <c r="HM23" s="394"/>
      <c r="HN23" s="394"/>
      <c r="HO23" s="394"/>
      <c r="HP23" s="394"/>
      <c r="HQ23" s="394"/>
      <c r="HR23" s="394"/>
      <c r="HS23" s="394"/>
      <c r="HT23" s="394"/>
      <c r="HU23" s="394"/>
      <c r="HV23" s="394"/>
      <c r="HW23" s="394"/>
      <c r="HX23" s="394"/>
    </row>
    <row r="24" spans="2:232" x14ac:dyDescent="0.15">
      <c r="B24" s="89" t="s">
        <v>37</v>
      </c>
      <c r="C24" s="141">
        <v>16697030</v>
      </c>
      <c r="D24" s="73">
        <f t="shared" si="0"/>
        <v>5998206</v>
      </c>
      <c r="E24" s="141">
        <v>200340</v>
      </c>
      <c r="F24" s="141">
        <v>5797866</v>
      </c>
      <c r="G24" s="73">
        <f t="shared" si="1"/>
        <v>940259</v>
      </c>
      <c r="H24" s="141">
        <v>345733</v>
      </c>
      <c r="I24" s="141">
        <v>594526</v>
      </c>
      <c r="J24" s="141">
        <v>7296958</v>
      </c>
      <c r="K24" s="141">
        <v>3079844</v>
      </c>
      <c r="L24" s="141">
        <v>3151127</v>
      </c>
      <c r="M24" s="141">
        <v>900881</v>
      </c>
      <c r="N24" s="141">
        <v>782240</v>
      </c>
      <c r="O24" s="141">
        <v>1497575</v>
      </c>
      <c r="P24" s="141">
        <v>815579</v>
      </c>
      <c r="Q24" s="141">
        <v>681996</v>
      </c>
      <c r="R24" s="141">
        <v>194784</v>
      </c>
      <c r="S24" s="74"/>
      <c r="T24" s="73">
        <f t="shared" si="2"/>
        <v>2878478</v>
      </c>
      <c r="U24" s="141">
        <v>20762</v>
      </c>
      <c r="V24" s="141">
        <v>87971</v>
      </c>
      <c r="W24" s="141">
        <v>99619</v>
      </c>
      <c r="X24" s="141">
        <v>2535190</v>
      </c>
      <c r="Y24" s="141">
        <v>20614</v>
      </c>
      <c r="Z24" s="141">
        <v>0</v>
      </c>
      <c r="AA24" s="141">
        <v>5</v>
      </c>
      <c r="AB24" s="141">
        <v>33385</v>
      </c>
      <c r="AC24" s="141">
        <v>80932</v>
      </c>
      <c r="AD24" s="141">
        <v>112214</v>
      </c>
      <c r="AE24" s="141">
        <v>5129278</v>
      </c>
      <c r="AF24" s="141">
        <v>4833451</v>
      </c>
      <c r="AG24" s="141">
        <v>295827</v>
      </c>
      <c r="AH24" s="141">
        <v>15001</v>
      </c>
      <c r="AI24" s="141">
        <v>87160</v>
      </c>
      <c r="AJ24" s="73">
        <f t="shared" si="3"/>
        <v>686647</v>
      </c>
      <c r="AK24" s="141">
        <v>295108</v>
      </c>
      <c r="AL24" s="141">
        <v>391539</v>
      </c>
      <c r="AM24" s="141">
        <v>22589988</v>
      </c>
      <c r="AN24" s="73">
        <f t="shared" si="4"/>
        <v>5040822</v>
      </c>
      <c r="AO24" s="141">
        <v>1712732</v>
      </c>
      <c r="AP24" s="141">
        <v>1898808</v>
      </c>
      <c r="AQ24" s="74"/>
      <c r="AR24" s="141">
        <v>1429282</v>
      </c>
      <c r="AS24" s="141">
        <v>341639</v>
      </c>
      <c r="AT24" s="141">
        <v>0</v>
      </c>
      <c r="AU24" s="141">
        <v>0</v>
      </c>
      <c r="AV24" s="141">
        <v>3664710</v>
      </c>
      <c r="AW24" s="141">
        <v>2643773</v>
      </c>
      <c r="AX24" s="141">
        <v>907092</v>
      </c>
      <c r="AY24" s="141">
        <v>127228</v>
      </c>
      <c r="AZ24" s="141">
        <v>1020937</v>
      </c>
      <c r="BA24" s="141">
        <v>21587</v>
      </c>
      <c r="BB24" s="141">
        <v>245916</v>
      </c>
      <c r="BC24" s="141">
        <v>182585</v>
      </c>
      <c r="BD24" s="141">
        <v>2907318</v>
      </c>
      <c r="BE24" s="141">
        <v>1186583</v>
      </c>
      <c r="BF24" s="141">
        <v>0</v>
      </c>
      <c r="BG24" s="141">
        <v>80412</v>
      </c>
      <c r="BH24" s="141">
        <v>1106171</v>
      </c>
      <c r="BI24" s="141">
        <v>0</v>
      </c>
      <c r="BJ24" s="141">
        <v>747842</v>
      </c>
      <c r="BK24" s="141">
        <v>573814</v>
      </c>
      <c r="BL24" s="141">
        <v>842528</v>
      </c>
      <c r="BM24" s="141">
        <v>756</v>
      </c>
      <c r="BN24" s="141">
        <v>0</v>
      </c>
      <c r="BO24" s="141">
        <v>0</v>
      </c>
      <c r="BP24" s="141">
        <v>3812201</v>
      </c>
      <c r="BQ24" s="73">
        <f t="shared" si="5"/>
        <v>2319575</v>
      </c>
      <c r="BR24" s="73">
        <f t="shared" si="6"/>
        <v>1492626</v>
      </c>
      <c r="BS24" s="141">
        <v>0</v>
      </c>
      <c r="BT24" s="141">
        <v>0</v>
      </c>
      <c r="BU24" s="141">
        <v>1492626</v>
      </c>
      <c r="BV24" s="141">
        <v>0</v>
      </c>
      <c r="BW24" s="141">
        <v>61797678</v>
      </c>
      <c r="BX24" s="71"/>
      <c r="BY24" s="141">
        <v>5767056</v>
      </c>
      <c r="BZ24" s="141">
        <v>3561666</v>
      </c>
      <c r="CA24" s="141">
        <v>258622</v>
      </c>
      <c r="CB24" s="141">
        <v>741546</v>
      </c>
      <c r="CC24" s="141">
        <v>12869966</v>
      </c>
      <c r="CD24" s="141">
        <v>3253676</v>
      </c>
      <c r="CE24" s="141">
        <v>34546</v>
      </c>
      <c r="CF24" s="141">
        <v>6779800</v>
      </c>
      <c r="CG24" s="141">
        <v>2131169</v>
      </c>
      <c r="CH24" s="141">
        <v>4688</v>
      </c>
      <c r="CI24" s="141">
        <v>665767</v>
      </c>
      <c r="CJ24" s="141">
        <v>3806574</v>
      </c>
      <c r="CK24" s="141">
        <v>3609529</v>
      </c>
      <c r="CL24" s="83">
        <f t="shared" si="7"/>
        <v>197045</v>
      </c>
      <c r="CM24" s="141">
        <v>8467507</v>
      </c>
      <c r="CN24" s="141">
        <v>5037051</v>
      </c>
      <c r="CO24" s="102"/>
      <c r="CP24" s="141">
        <v>2019092</v>
      </c>
      <c r="CQ24" s="141">
        <v>246816</v>
      </c>
      <c r="CR24" s="141">
        <v>17913732</v>
      </c>
      <c r="CS24" s="141">
        <v>1837346</v>
      </c>
      <c r="CT24" s="141">
        <v>13471061</v>
      </c>
      <c r="CU24" s="141">
        <v>932043</v>
      </c>
      <c r="CV24" s="73">
        <f t="shared" si="8"/>
        <v>1832328</v>
      </c>
      <c r="CW24" s="141">
        <v>1525853</v>
      </c>
      <c r="CX24" s="141">
        <v>306475</v>
      </c>
      <c r="CY24" s="73">
        <f t="shared" si="9"/>
        <v>0</v>
      </c>
      <c r="CZ24" s="141">
        <v>0</v>
      </c>
      <c r="DA24" s="141">
        <v>0</v>
      </c>
      <c r="DB24" s="73">
        <f t="shared" si="10"/>
        <v>1514470</v>
      </c>
      <c r="DC24" s="141">
        <v>1514470</v>
      </c>
      <c r="DD24" s="141">
        <v>0</v>
      </c>
      <c r="DE24" s="141">
        <v>4669956</v>
      </c>
      <c r="DF24" s="141">
        <v>2240661</v>
      </c>
      <c r="DG24" s="141">
        <v>2429295</v>
      </c>
      <c r="DH24" s="141">
        <v>0</v>
      </c>
      <c r="DI24" s="141">
        <v>0</v>
      </c>
      <c r="DJ24" s="141">
        <v>0</v>
      </c>
      <c r="DK24" s="141">
        <v>1870538</v>
      </c>
      <c r="DL24" s="141">
        <v>290325</v>
      </c>
      <c r="DM24" s="141">
        <v>26849</v>
      </c>
      <c r="DN24" s="141">
        <v>1553364</v>
      </c>
      <c r="DO24" s="141">
        <v>233786</v>
      </c>
      <c r="DP24" s="141">
        <v>233786</v>
      </c>
      <c r="DQ24" s="141">
        <v>0</v>
      </c>
      <c r="DR24" s="141">
        <v>0</v>
      </c>
      <c r="DS24" s="141">
        <v>0</v>
      </c>
      <c r="DT24" s="141">
        <v>0</v>
      </c>
      <c r="DU24" s="141">
        <v>0</v>
      </c>
      <c r="DV24" s="141">
        <v>4741184</v>
      </c>
      <c r="DW24" s="141">
        <v>0</v>
      </c>
      <c r="DX24" s="73">
        <f t="shared" si="11"/>
        <v>0</v>
      </c>
      <c r="DY24" s="141">
        <v>0</v>
      </c>
      <c r="DZ24" s="141">
        <v>1690584</v>
      </c>
      <c r="EA24" s="141">
        <v>0</v>
      </c>
      <c r="EB24" s="141">
        <v>1456471</v>
      </c>
      <c r="EC24" s="74">
        <v>0</v>
      </c>
      <c r="ED24" s="141">
        <v>1594091</v>
      </c>
      <c r="EE24" s="141">
        <v>0</v>
      </c>
      <c r="EF24" s="141">
        <v>60587115</v>
      </c>
      <c r="EG24" s="71"/>
      <c r="EH24" s="141">
        <v>1210563</v>
      </c>
      <c r="EI24" s="141">
        <v>123198</v>
      </c>
      <c r="EJ24" s="141">
        <v>1087365</v>
      </c>
      <c r="EK24" s="141">
        <v>513551</v>
      </c>
      <c r="EL24" s="141">
        <v>803876</v>
      </c>
      <c r="EM24" s="71"/>
      <c r="EN24" s="141">
        <v>119184</v>
      </c>
      <c r="EO24" s="141">
        <v>119452</v>
      </c>
      <c r="EP24" s="141">
        <v>80412</v>
      </c>
      <c r="EQ24" s="141">
        <v>208988</v>
      </c>
      <c r="ER24" s="73">
        <f t="shared" si="12"/>
        <v>5425522</v>
      </c>
      <c r="ES24" s="141">
        <v>25026785</v>
      </c>
      <c r="ET24" s="141">
        <v>-7192547</v>
      </c>
      <c r="EU24" s="141">
        <v>5136565</v>
      </c>
      <c r="EV24" s="141">
        <v>3118736</v>
      </c>
      <c r="EW24" s="141">
        <v>3477866</v>
      </c>
      <c r="EX24" s="141">
        <v>3806511</v>
      </c>
      <c r="EY24" s="73">
        <f t="shared" si="13"/>
        <v>511310</v>
      </c>
      <c r="EZ24" s="141">
        <v>511310</v>
      </c>
      <c r="FA24" s="141">
        <v>89278</v>
      </c>
      <c r="FB24" s="141">
        <v>422032</v>
      </c>
      <c r="FC24" s="141">
        <v>0</v>
      </c>
      <c r="FD24" s="141">
        <v>0</v>
      </c>
      <c r="FE24" s="141">
        <v>6549323</v>
      </c>
      <c r="FF24" s="141">
        <v>5641410</v>
      </c>
      <c r="FG24" s="141">
        <v>1836247</v>
      </c>
      <c r="FH24" s="141">
        <v>3644193</v>
      </c>
      <c r="FI24" s="73">
        <f t="shared" si="14"/>
        <v>2241591</v>
      </c>
      <c r="FJ24" s="141">
        <v>31008769</v>
      </c>
      <c r="FK24" s="379">
        <f t="shared" si="15"/>
        <v>4.4000000000000004</v>
      </c>
      <c r="FL24" s="141">
        <v>23257232</v>
      </c>
      <c r="FM24" s="141">
        <v>1492626</v>
      </c>
      <c r="FN24" s="141">
        <v>14503903</v>
      </c>
      <c r="FO24" s="141">
        <v>19347238</v>
      </c>
      <c r="FP24" s="390">
        <v>0.749</v>
      </c>
      <c r="FQ24" s="380">
        <v>99</v>
      </c>
      <c r="FR24" s="381">
        <v>20.399999999999999</v>
      </c>
      <c r="FS24" s="380">
        <v>13.9</v>
      </c>
      <c r="FT24" s="380">
        <v>15.2</v>
      </c>
      <c r="FU24" s="381">
        <v>18.100000000000001</v>
      </c>
      <c r="FV24" s="380">
        <v>16.2</v>
      </c>
      <c r="FW24" s="382">
        <v>13.7</v>
      </c>
      <c r="FX24" s="388">
        <v>6.2</v>
      </c>
      <c r="FY24" s="141">
        <v>34532788</v>
      </c>
      <c r="FZ24" s="384">
        <f t="shared" si="16"/>
        <v>139.5</v>
      </c>
      <c r="GA24" s="141">
        <v>17049347</v>
      </c>
      <c r="GB24" s="141">
        <v>4714734</v>
      </c>
      <c r="GC24" s="141">
        <v>449081</v>
      </c>
      <c r="GD24" s="141">
        <v>11885532</v>
      </c>
      <c r="GE24" s="107">
        <v>0</v>
      </c>
      <c r="GF24" s="385"/>
      <c r="GG24" s="386"/>
      <c r="GH24" s="380">
        <v>97.8</v>
      </c>
      <c r="GI24" s="380">
        <v>52.7</v>
      </c>
      <c r="GJ24" s="380">
        <v>97.3</v>
      </c>
      <c r="GK24" s="141">
        <v>545</v>
      </c>
      <c r="GL24" s="391" t="s">
        <v>646</v>
      </c>
      <c r="GM24" s="391">
        <v>12.1</v>
      </c>
      <c r="GN24" s="117">
        <v>20</v>
      </c>
      <c r="GO24" s="391" t="s">
        <v>646</v>
      </c>
      <c r="GP24" s="392">
        <v>17.100000000000001</v>
      </c>
      <c r="GQ24" s="387">
        <v>30</v>
      </c>
      <c r="GR24" s="381">
        <v>6.2</v>
      </c>
      <c r="GS24" s="388">
        <v>25</v>
      </c>
      <c r="GT24" s="388">
        <v>35</v>
      </c>
      <c r="GU24" s="393" t="s">
        <v>646</v>
      </c>
      <c r="GV24" s="388">
        <v>350</v>
      </c>
      <c r="GW24" s="394"/>
      <c r="GX24" s="100">
        <f t="shared" si="17"/>
        <v>24750</v>
      </c>
      <c r="GY24" s="394"/>
      <c r="GZ24" s="394"/>
      <c r="HA24" s="394"/>
      <c r="HB24" s="394"/>
      <c r="HC24" s="394"/>
      <c r="HD24" s="394"/>
      <c r="HE24" s="394"/>
      <c r="HF24" s="394"/>
      <c r="HG24" s="394"/>
      <c r="HH24" s="394"/>
      <c r="HI24" s="394"/>
      <c r="HJ24" s="394"/>
      <c r="HK24" s="394"/>
      <c r="HL24" s="394"/>
      <c r="HM24" s="394"/>
      <c r="HN24" s="394"/>
      <c r="HO24" s="394"/>
      <c r="HP24" s="394"/>
      <c r="HQ24" s="394"/>
      <c r="HR24" s="394"/>
      <c r="HS24" s="394"/>
      <c r="HT24" s="394"/>
      <c r="HU24" s="394"/>
      <c r="HV24" s="394"/>
      <c r="HW24" s="394"/>
      <c r="HX24" s="394"/>
    </row>
    <row r="25" spans="2:232" x14ac:dyDescent="0.15">
      <c r="B25" s="89" t="s">
        <v>39</v>
      </c>
      <c r="C25" s="141">
        <v>24009805</v>
      </c>
      <c r="D25" s="73">
        <f t="shared" si="0"/>
        <v>9909630</v>
      </c>
      <c r="E25" s="141">
        <v>299973</v>
      </c>
      <c r="F25" s="141">
        <v>9609657</v>
      </c>
      <c r="G25" s="73">
        <f t="shared" si="1"/>
        <v>1293571</v>
      </c>
      <c r="H25" s="141">
        <v>447468</v>
      </c>
      <c r="I25" s="141">
        <v>846103</v>
      </c>
      <c r="J25" s="141">
        <v>9426074</v>
      </c>
      <c r="K25" s="141">
        <v>3361167</v>
      </c>
      <c r="L25" s="141">
        <v>4861072</v>
      </c>
      <c r="M25" s="141">
        <v>1127131</v>
      </c>
      <c r="N25" s="141">
        <v>1053693</v>
      </c>
      <c r="O25" s="141">
        <v>1930939</v>
      </c>
      <c r="P25" s="141">
        <v>917594</v>
      </c>
      <c r="Q25" s="141">
        <v>1013345</v>
      </c>
      <c r="R25" s="141">
        <v>325218</v>
      </c>
      <c r="S25" s="74"/>
      <c r="T25" s="73">
        <f t="shared" si="2"/>
        <v>4132184</v>
      </c>
      <c r="U25" s="141">
        <v>34186</v>
      </c>
      <c r="V25" s="141">
        <v>144848</v>
      </c>
      <c r="W25" s="141">
        <v>164031</v>
      </c>
      <c r="X25" s="141">
        <v>3612847</v>
      </c>
      <c r="Y25" s="141">
        <v>25285</v>
      </c>
      <c r="Z25" s="141">
        <v>0</v>
      </c>
      <c r="AA25" s="141">
        <v>8</v>
      </c>
      <c r="AB25" s="141">
        <v>55045</v>
      </c>
      <c r="AC25" s="141">
        <v>95934</v>
      </c>
      <c r="AD25" s="141">
        <v>228151</v>
      </c>
      <c r="AE25" s="141">
        <v>7473414</v>
      </c>
      <c r="AF25" s="141">
        <v>6870006</v>
      </c>
      <c r="AG25" s="141">
        <v>603408</v>
      </c>
      <c r="AH25" s="141">
        <v>24071</v>
      </c>
      <c r="AI25" s="141">
        <v>25641</v>
      </c>
      <c r="AJ25" s="73">
        <f t="shared" si="3"/>
        <v>1309206</v>
      </c>
      <c r="AK25" s="141">
        <v>906940</v>
      </c>
      <c r="AL25" s="141">
        <v>402266</v>
      </c>
      <c r="AM25" s="141">
        <v>35746811</v>
      </c>
      <c r="AN25" s="73">
        <f t="shared" si="4"/>
        <v>9508119</v>
      </c>
      <c r="AO25" s="141">
        <v>5022364</v>
      </c>
      <c r="AP25" s="141">
        <v>2568825</v>
      </c>
      <c r="AQ25" s="74"/>
      <c r="AR25" s="141">
        <v>1916930</v>
      </c>
      <c r="AS25" s="141">
        <v>628016</v>
      </c>
      <c r="AT25" s="141">
        <v>0</v>
      </c>
      <c r="AU25" s="141">
        <v>218643</v>
      </c>
      <c r="AV25" s="141">
        <v>5183314</v>
      </c>
      <c r="AW25" s="141">
        <v>3007551</v>
      </c>
      <c r="AX25" s="141">
        <v>952624</v>
      </c>
      <c r="AY25" s="141">
        <v>1032</v>
      </c>
      <c r="AZ25" s="141">
        <v>2175763</v>
      </c>
      <c r="BA25" s="141">
        <v>1248</v>
      </c>
      <c r="BB25" s="141">
        <v>1292983</v>
      </c>
      <c r="BC25" s="141">
        <v>1285728</v>
      </c>
      <c r="BD25" s="141">
        <v>530495</v>
      </c>
      <c r="BE25" s="141">
        <v>435738</v>
      </c>
      <c r="BF25" s="141">
        <v>0</v>
      </c>
      <c r="BG25" s="141">
        <v>0</v>
      </c>
      <c r="BH25" s="141">
        <v>435738</v>
      </c>
      <c r="BI25" s="141">
        <v>0</v>
      </c>
      <c r="BJ25" s="141">
        <v>145345</v>
      </c>
      <c r="BK25" s="141">
        <v>39467</v>
      </c>
      <c r="BL25" s="141">
        <v>580876</v>
      </c>
      <c r="BM25" s="141">
        <v>4992</v>
      </c>
      <c r="BN25" s="141">
        <v>0</v>
      </c>
      <c r="BO25" s="141">
        <v>0</v>
      </c>
      <c r="BP25" s="141">
        <v>5800300</v>
      </c>
      <c r="BQ25" s="73">
        <f t="shared" si="5"/>
        <v>3770800</v>
      </c>
      <c r="BR25" s="73">
        <f t="shared" si="6"/>
        <v>2029500</v>
      </c>
      <c r="BS25" s="141">
        <v>0</v>
      </c>
      <c r="BT25" s="141">
        <v>0</v>
      </c>
      <c r="BU25" s="141">
        <v>2029500</v>
      </c>
      <c r="BV25" s="141">
        <v>0</v>
      </c>
      <c r="BW25" s="141">
        <v>87462195</v>
      </c>
      <c r="BX25" s="71"/>
      <c r="BY25" s="141">
        <v>9739575</v>
      </c>
      <c r="BZ25" s="141">
        <v>6044172</v>
      </c>
      <c r="CA25" s="141">
        <v>269755</v>
      </c>
      <c r="CB25" s="141">
        <v>1564256</v>
      </c>
      <c r="CC25" s="141">
        <v>22290525</v>
      </c>
      <c r="CD25" s="141">
        <v>4909958</v>
      </c>
      <c r="CE25" s="141">
        <v>83374</v>
      </c>
      <c r="CF25" s="141">
        <v>10316338</v>
      </c>
      <c r="CG25" s="141">
        <v>6749248</v>
      </c>
      <c r="CH25" s="141">
        <v>653</v>
      </c>
      <c r="CI25" s="141">
        <v>230076</v>
      </c>
      <c r="CJ25" s="141">
        <v>6913966</v>
      </c>
      <c r="CK25" s="141">
        <v>6640285</v>
      </c>
      <c r="CL25" s="83">
        <f t="shared" si="7"/>
        <v>273681</v>
      </c>
      <c r="CM25" s="141">
        <v>8695868</v>
      </c>
      <c r="CN25" s="141">
        <v>5877998</v>
      </c>
      <c r="CO25" s="102"/>
      <c r="CP25" s="141">
        <v>883426</v>
      </c>
      <c r="CQ25" s="141">
        <v>379290</v>
      </c>
      <c r="CR25" s="141">
        <v>24709240</v>
      </c>
      <c r="CS25" s="141">
        <v>687584</v>
      </c>
      <c r="CT25" s="141">
        <v>19247931</v>
      </c>
      <c r="CU25" s="141">
        <v>596623</v>
      </c>
      <c r="CV25" s="73">
        <f t="shared" si="8"/>
        <v>1569081</v>
      </c>
      <c r="CW25" s="141">
        <v>508494</v>
      </c>
      <c r="CX25" s="141">
        <v>1060587</v>
      </c>
      <c r="CY25" s="73">
        <f t="shared" si="9"/>
        <v>780914</v>
      </c>
      <c r="CZ25" s="141">
        <v>0</v>
      </c>
      <c r="DA25" s="141">
        <v>780914</v>
      </c>
      <c r="DB25" s="73">
        <f t="shared" si="10"/>
        <v>628733</v>
      </c>
      <c r="DC25" s="141">
        <v>490494</v>
      </c>
      <c r="DD25" s="141">
        <v>138239</v>
      </c>
      <c r="DE25" s="141">
        <v>6337936</v>
      </c>
      <c r="DF25" s="141">
        <v>1711180</v>
      </c>
      <c r="DG25" s="141">
        <v>4601542</v>
      </c>
      <c r="DH25" s="141">
        <v>25214</v>
      </c>
      <c r="DI25" s="141">
        <v>0</v>
      </c>
      <c r="DJ25" s="141">
        <v>0</v>
      </c>
      <c r="DK25" s="141">
        <v>2025552</v>
      </c>
      <c r="DL25" s="141">
        <v>20900</v>
      </c>
      <c r="DM25" s="141">
        <v>1253440</v>
      </c>
      <c r="DN25" s="141">
        <v>751212</v>
      </c>
      <c r="DO25" s="141">
        <v>0</v>
      </c>
      <c r="DP25" s="141">
        <v>0</v>
      </c>
      <c r="DQ25" s="141">
        <v>0</v>
      </c>
      <c r="DR25" s="141">
        <v>0</v>
      </c>
      <c r="DS25" s="141">
        <v>21830</v>
      </c>
      <c r="DT25" s="141">
        <v>0</v>
      </c>
      <c r="DU25" s="141">
        <v>0</v>
      </c>
      <c r="DV25" s="141">
        <v>5905502</v>
      </c>
      <c r="DW25" s="141">
        <v>25738</v>
      </c>
      <c r="DX25" s="73">
        <f t="shared" si="11"/>
        <v>0</v>
      </c>
      <c r="DY25" s="141">
        <v>0</v>
      </c>
      <c r="DZ25" s="141">
        <v>2272376</v>
      </c>
      <c r="EA25" s="141">
        <v>0</v>
      </c>
      <c r="EB25" s="141">
        <v>1506664</v>
      </c>
      <c r="EC25" s="74">
        <v>0</v>
      </c>
      <c r="ED25" s="141">
        <v>2100724</v>
      </c>
      <c r="EE25" s="141">
        <v>0</v>
      </c>
      <c r="EF25" s="141">
        <v>87019284</v>
      </c>
      <c r="EG25" s="71"/>
      <c r="EH25" s="141">
        <v>442911</v>
      </c>
      <c r="EI25" s="141">
        <v>159164</v>
      </c>
      <c r="EJ25" s="141">
        <v>283747</v>
      </c>
      <c r="EK25" s="141">
        <v>244280</v>
      </c>
      <c r="EL25" s="141">
        <v>265180</v>
      </c>
      <c r="EM25" s="71"/>
      <c r="EN25" s="141">
        <v>184634</v>
      </c>
      <c r="EO25" s="141">
        <v>185181</v>
      </c>
      <c r="EP25" s="141">
        <v>0</v>
      </c>
      <c r="EQ25" s="141">
        <v>1291869</v>
      </c>
      <c r="ER25" s="73">
        <f t="shared" si="12"/>
        <v>2791546</v>
      </c>
      <c r="ES25" s="141">
        <v>36411486</v>
      </c>
      <c r="ET25" s="141">
        <v>-5870201</v>
      </c>
      <c r="EU25" s="141">
        <v>8810340</v>
      </c>
      <c r="EV25" s="141">
        <v>5522340</v>
      </c>
      <c r="EW25" s="141">
        <v>6330039</v>
      </c>
      <c r="EX25" s="141">
        <v>6786858</v>
      </c>
      <c r="EY25" s="73">
        <f t="shared" si="13"/>
        <v>1313725</v>
      </c>
      <c r="EZ25" s="141">
        <v>1313725</v>
      </c>
      <c r="FA25" s="141">
        <v>251535</v>
      </c>
      <c r="FB25" s="141">
        <v>1061187</v>
      </c>
      <c r="FC25" s="141">
        <v>0</v>
      </c>
      <c r="FD25" s="141">
        <v>0</v>
      </c>
      <c r="FE25" s="141">
        <v>6654148</v>
      </c>
      <c r="FF25" s="141">
        <v>5498989</v>
      </c>
      <c r="FG25" s="141">
        <v>687584</v>
      </c>
      <c r="FH25" s="141">
        <v>4578280</v>
      </c>
      <c r="FI25" s="73">
        <f t="shared" si="14"/>
        <v>1866397</v>
      </c>
      <c r="FJ25" s="141">
        <v>41838776</v>
      </c>
      <c r="FK25" s="379">
        <f t="shared" si="15"/>
        <v>0.8</v>
      </c>
      <c r="FL25" s="141">
        <v>33537761</v>
      </c>
      <c r="FM25" s="141">
        <v>2029551</v>
      </c>
      <c r="FN25" s="141">
        <v>20987733</v>
      </c>
      <c r="FO25" s="141">
        <v>27901154</v>
      </c>
      <c r="FP25" s="390">
        <v>0.748</v>
      </c>
      <c r="FQ25" s="380">
        <v>96.2</v>
      </c>
      <c r="FR25" s="381">
        <v>24.3</v>
      </c>
      <c r="FS25" s="380">
        <v>17.399999999999999</v>
      </c>
      <c r="FT25" s="380">
        <v>18.8</v>
      </c>
      <c r="FU25" s="381">
        <v>14.7</v>
      </c>
      <c r="FV25" s="380">
        <v>8</v>
      </c>
      <c r="FW25" s="382">
        <v>12.2</v>
      </c>
      <c r="FX25" s="388">
        <v>6.7</v>
      </c>
      <c r="FY25" s="141">
        <v>45647187</v>
      </c>
      <c r="FZ25" s="384">
        <f t="shared" si="16"/>
        <v>128.30000000000001</v>
      </c>
      <c r="GA25" s="141">
        <v>13773243</v>
      </c>
      <c r="GB25" s="141">
        <v>4097030</v>
      </c>
      <c r="GC25" s="141">
        <v>1465720</v>
      </c>
      <c r="GD25" s="141">
        <v>8210493</v>
      </c>
      <c r="GE25" s="107">
        <v>0</v>
      </c>
      <c r="GF25" s="385"/>
      <c r="GG25" s="386"/>
      <c r="GH25" s="380">
        <v>99</v>
      </c>
      <c r="GI25" s="380">
        <v>37.9</v>
      </c>
      <c r="GJ25" s="380">
        <v>98</v>
      </c>
      <c r="GK25" s="141">
        <v>1032</v>
      </c>
      <c r="GL25" s="391" t="s">
        <v>646</v>
      </c>
      <c r="GM25" s="391">
        <v>11.59</v>
      </c>
      <c r="GN25" s="117">
        <v>20</v>
      </c>
      <c r="GO25" s="391" t="s">
        <v>646</v>
      </c>
      <c r="GP25" s="392">
        <v>16.59</v>
      </c>
      <c r="GQ25" s="387">
        <v>30</v>
      </c>
      <c r="GR25" s="381">
        <v>6.7</v>
      </c>
      <c r="GS25" s="388">
        <v>25</v>
      </c>
      <c r="GT25" s="388">
        <v>35</v>
      </c>
      <c r="GU25" s="393" t="s">
        <v>646</v>
      </c>
      <c r="GV25" s="388">
        <v>350</v>
      </c>
      <c r="GW25" s="394"/>
      <c r="GX25" s="100">
        <f t="shared" si="17"/>
        <v>35567</v>
      </c>
      <c r="GY25" s="394"/>
      <c r="GZ25" s="394"/>
      <c r="HA25" s="394"/>
      <c r="HB25" s="394"/>
      <c r="HC25" s="394"/>
      <c r="HD25" s="394"/>
      <c r="HE25" s="394"/>
      <c r="HF25" s="394"/>
      <c r="HG25" s="394"/>
      <c r="HH25" s="394"/>
      <c r="HI25" s="394"/>
      <c r="HJ25" s="394"/>
      <c r="HK25" s="394"/>
      <c r="HL25" s="394"/>
      <c r="HM25" s="394"/>
      <c r="HN25" s="394"/>
      <c r="HO25" s="394"/>
      <c r="HP25" s="394"/>
      <c r="HQ25" s="394"/>
      <c r="HR25" s="394"/>
      <c r="HS25" s="394"/>
      <c r="HT25" s="394"/>
      <c r="HU25" s="394"/>
      <c r="HV25" s="394"/>
      <c r="HW25" s="394"/>
      <c r="HX25" s="394"/>
    </row>
    <row r="26" spans="2:232" x14ac:dyDescent="0.15">
      <c r="B26" s="89" t="s">
        <v>41</v>
      </c>
      <c r="C26" s="141">
        <v>24205568</v>
      </c>
      <c r="D26" s="73">
        <f t="shared" si="0"/>
        <v>10527948</v>
      </c>
      <c r="E26" s="141">
        <v>229261</v>
      </c>
      <c r="F26" s="141">
        <v>10298687</v>
      </c>
      <c r="G26" s="73">
        <f t="shared" si="1"/>
        <v>1017467</v>
      </c>
      <c r="H26" s="141">
        <v>372068</v>
      </c>
      <c r="I26" s="141">
        <v>645399</v>
      </c>
      <c r="J26" s="141">
        <v>9468637</v>
      </c>
      <c r="K26" s="141">
        <v>4320165</v>
      </c>
      <c r="L26" s="141">
        <v>4199517</v>
      </c>
      <c r="M26" s="141">
        <v>933864</v>
      </c>
      <c r="N26" s="141">
        <v>672495</v>
      </c>
      <c r="O26" s="141">
        <v>2223804</v>
      </c>
      <c r="P26" s="141">
        <v>1303501</v>
      </c>
      <c r="Q26" s="141">
        <v>920303</v>
      </c>
      <c r="R26" s="141">
        <v>269338</v>
      </c>
      <c r="S26" s="74"/>
      <c r="T26" s="73">
        <f t="shared" si="2"/>
        <v>3119128</v>
      </c>
      <c r="U26" s="141">
        <v>37130</v>
      </c>
      <c r="V26" s="141">
        <v>157270</v>
      </c>
      <c r="W26" s="141">
        <v>177994</v>
      </c>
      <c r="X26" s="141">
        <v>2628303</v>
      </c>
      <c r="Y26" s="141">
        <v>1684</v>
      </c>
      <c r="Z26" s="141">
        <v>0</v>
      </c>
      <c r="AA26" s="141">
        <v>6</v>
      </c>
      <c r="AB26" s="141">
        <v>46251</v>
      </c>
      <c r="AC26" s="141">
        <v>70490</v>
      </c>
      <c r="AD26" s="141">
        <v>176161</v>
      </c>
      <c r="AE26" s="141">
        <v>1304993</v>
      </c>
      <c r="AF26" s="141">
        <v>1208820</v>
      </c>
      <c r="AG26" s="141">
        <v>96173</v>
      </c>
      <c r="AH26" s="141">
        <v>17617</v>
      </c>
      <c r="AI26" s="141">
        <v>804522</v>
      </c>
      <c r="AJ26" s="73">
        <f t="shared" si="3"/>
        <v>980619</v>
      </c>
      <c r="AK26" s="141">
        <v>685876</v>
      </c>
      <c r="AL26" s="141">
        <v>294743</v>
      </c>
      <c r="AM26" s="141">
        <v>32168226</v>
      </c>
      <c r="AN26" s="73">
        <f t="shared" si="4"/>
        <v>5111264</v>
      </c>
      <c r="AO26" s="141">
        <v>1652883</v>
      </c>
      <c r="AP26" s="141">
        <v>2057105</v>
      </c>
      <c r="AQ26" s="74"/>
      <c r="AR26" s="141">
        <v>1401276</v>
      </c>
      <c r="AS26" s="141">
        <v>1094959</v>
      </c>
      <c r="AT26" s="141">
        <v>8202</v>
      </c>
      <c r="AU26" s="141">
        <v>0</v>
      </c>
      <c r="AV26" s="141">
        <v>5329146</v>
      </c>
      <c r="AW26" s="141">
        <v>2890488</v>
      </c>
      <c r="AX26" s="141">
        <v>907364</v>
      </c>
      <c r="AY26" s="141">
        <v>542</v>
      </c>
      <c r="AZ26" s="141">
        <v>2438658</v>
      </c>
      <c r="BA26" s="141">
        <v>1042000</v>
      </c>
      <c r="BB26" s="141">
        <v>186222</v>
      </c>
      <c r="BC26" s="141">
        <v>11128</v>
      </c>
      <c r="BD26" s="141">
        <v>59707</v>
      </c>
      <c r="BE26" s="141">
        <v>7512225</v>
      </c>
      <c r="BF26" s="141">
        <v>1630880</v>
      </c>
      <c r="BG26" s="141">
        <v>400000</v>
      </c>
      <c r="BH26" s="141">
        <v>5418634</v>
      </c>
      <c r="BI26" s="141">
        <v>0</v>
      </c>
      <c r="BJ26" s="141">
        <v>4765562</v>
      </c>
      <c r="BK26" s="141">
        <v>821520</v>
      </c>
      <c r="BL26" s="141">
        <v>4662288</v>
      </c>
      <c r="BM26" s="141">
        <v>88126</v>
      </c>
      <c r="BN26" s="141">
        <v>0</v>
      </c>
      <c r="BO26" s="141">
        <v>3500000</v>
      </c>
      <c r="BP26" s="141">
        <v>11199987</v>
      </c>
      <c r="BQ26" s="73">
        <f t="shared" si="5"/>
        <v>9824800</v>
      </c>
      <c r="BR26" s="73">
        <f t="shared" si="6"/>
        <v>1375187</v>
      </c>
      <c r="BS26" s="141">
        <v>0</v>
      </c>
      <c r="BT26" s="141">
        <v>0</v>
      </c>
      <c r="BU26" s="141">
        <v>1375187</v>
      </c>
      <c r="BV26" s="141">
        <v>0</v>
      </c>
      <c r="BW26" s="141">
        <v>96761309</v>
      </c>
      <c r="BX26" s="71"/>
      <c r="BY26" s="141">
        <v>10249463</v>
      </c>
      <c r="BZ26" s="141">
        <v>6781512</v>
      </c>
      <c r="CA26" s="141">
        <v>631748</v>
      </c>
      <c r="CB26" s="141">
        <v>956082</v>
      </c>
      <c r="CC26" s="141">
        <v>14342252</v>
      </c>
      <c r="CD26" s="141">
        <v>3457140</v>
      </c>
      <c r="CE26" s="141">
        <v>146298</v>
      </c>
      <c r="CF26" s="141">
        <v>8055855</v>
      </c>
      <c r="CG26" s="141">
        <v>2110425</v>
      </c>
      <c r="CH26" s="141">
        <v>37034</v>
      </c>
      <c r="CI26" s="141">
        <v>535500</v>
      </c>
      <c r="CJ26" s="141">
        <v>3057828</v>
      </c>
      <c r="CK26" s="141">
        <v>2866683</v>
      </c>
      <c r="CL26" s="83">
        <f t="shared" si="7"/>
        <v>191145</v>
      </c>
      <c r="CM26" s="141">
        <v>8770987</v>
      </c>
      <c r="CN26" s="141">
        <v>5974357</v>
      </c>
      <c r="CO26" s="102"/>
      <c r="CP26" s="141">
        <v>1658939</v>
      </c>
      <c r="CQ26" s="141">
        <v>314870</v>
      </c>
      <c r="CR26" s="141">
        <v>19118197</v>
      </c>
      <c r="CS26" s="141">
        <v>2799</v>
      </c>
      <c r="CT26" s="141">
        <v>16063345</v>
      </c>
      <c r="CU26" s="141">
        <v>1968979</v>
      </c>
      <c r="CV26" s="73">
        <f t="shared" si="8"/>
        <v>1164830</v>
      </c>
      <c r="CW26" s="141">
        <v>272858</v>
      </c>
      <c r="CX26" s="141">
        <v>891972</v>
      </c>
      <c r="CY26" s="73">
        <f t="shared" si="9"/>
        <v>686856</v>
      </c>
      <c r="CZ26" s="141">
        <v>55550</v>
      </c>
      <c r="DA26" s="141">
        <v>631306</v>
      </c>
      <c r="DB26" s="73">
        <f t="shared" si="10"/>
        <v>359065</v>
      </c>
      <c r="DC26" s="141">
        <v>201945</v>
      </c>
      <c r="DD26" s="141">
        <v>157120</v>
      </c>
      <c r="DE26" s="141">
        <v>23928366</v>
      </c>
      <c r="DF26" s="141">
        <v>15516735</v>
      </c>
      <c r="DG26" s="141">
        <v>8411631</v>
      </c>
      <c r="DH26" s="141">
        <v>0</v>
      </c>
      <c r="DI26" s="141">
        <v>0</v>
      </c>
      <c r="DJ26" s="141">
        <v>78947</v>
      </c>
      <c r="DK26" s="141">
        <v>4022025</v>
      </c>
      <c r="DL26" s="141">
        <v>9013</v>
      </c>
      <c r="DM26" s="141">
        <v>549678</v>
      </c>
      <c r="DN26" s="141">
        <v>3463334</v>
      </c>
      <c r="DO26" s="141">
        <v>0</v>
      </c>
      <c r="DP26" s="141">
        <v>0</v>
      </c>
      <c r="DQ26" s="141">
        <v>0</v>
      </c>
      <c r="DR26" s="141">
        <v>0</v>
      </c>
      <c r="DS26" s="141">
        <v>10748</v>
      </c>
      <c r="DT26" s="141">
        <v>0</v>
      </c>
      <c r="DU26" s="141">
        <v>0</v>
      </c>
      <c r="DV26" s="141">
        <v>4537021</v>
      </c>
      <c r="DW26" s="141">
        <v>0</v>
      </c>
      <c r="DX26" s="73">
        <f t="shared" si="11"/>
        <v>0</v>
      </c>
      <c r="DY26" s="141">
        <v>0</v>
      </c>
      <c r="DZ26" s="141">
        <v>1604532</v>
      </c>
      <c r="EA26" s="141">
        <v>0</v>
      </c>
      <c r="EB26" s="141">
        <v>1245768</v>
      </c>
      <c r="EC26" s="74">
        <v>0</v>
      </c>
      <c r="ED26" s="141">
        <v>1583713</v>
      </c>
      <c r="EE26" s="141">
        <v>0</v>
      </c>
      <c r="EF26" s="141">
        <v>88430704</v>
      </c>
      <c r="EG26" s="71"/>
      <c r="EH26" s="141">
        <v>8330605</v>
      </c>
      <c r="EI26" s="141">
        <v>5962315</v>
      </c>
      <c r="EJ26" s="141">
        <v>2368290</v>
      </c>
      <c r="EK26" s="141">
        <v>246771</v>
      </c>
      <c r="EL26" s="141">
        <v>-1375096</v>
      </c>
      <c r="EM26" s="71"/>
      <c r="EN26" s="141">
        <v>136954</v>
      </c>
      <c r="EO26" s="141">
        <v>138890</v>
      </c>
      <c r="EP26" s="141">
        <v>2093578</v>
      </c>
      <c r="EQ26" s="141">
        <v>181075</v>
      </c>
      <c r="ER26" s="73">
        <f t="shared" si="12"/>
        <v>7554690</v>
      </c>
      <c r="ES26" s="141">
        <v>29092805</v>
      </c>
      <c r="ET26" s="141">
        <v>-11186913</v>
      </c>
      <c r="EU26" s="141">
        <v>9151776</v>
      </c>
      <c r="EV26" s="141">
        <v>5922386</v>
      </c>
      <c r="EW26" s="141">
        <v>4018056</v>
      </c>
      <c r="EX26" s="141">
        <v>3057828</v>
      </c>
      <c r="EY26" s="73">
        <f t="shared" si="13"/>
        <v>1011413</v>
      </c>
      <c r="EZ26" s="141">
        <v>989122</v>
      </c>
      <c r="FA26" s="141">
        <v>213959</v>
      </c>
      <c r="FB26" s="141">
        <v>775163</v>
      </c>
      <c r="FC26" s="141">
        <v>22291</v>
      </c>
      <c r="FD26" s="141">
        <v>0</v>
      </c>
      <c r="FE26" s="141">
        <v>6258797</v>
      </c>
      <c r="FF26" s="141">
        <v>4434509</v>
      </c>
      <c r="FG26" s="141">
        <v>2799</v>
      </c>
      <c r="FH26" s="141">
        <v>3561673</v>
      </c>
      <c r="FI26" s="73">
        <f t="shared" si="14"/>
        <v>4201177</v>
      </c>
      <c r="FJ26" s="141">
        <v>35695229</v>
      </c>
      <c r="FK26" s="379">
        <f t="shared" si="15"/>
        <v>8.5</v>
      </c>
      <c r="FL26" s="141">
        <v>26356707</v>
      </c>
      <c r="FM26" s="141">
        <v>1375187</v>
      </c>
      <c r="FN26" s="141">
        <v>19310716</v>
      </c>
      <c r="FO26" s="141">
        <v>20590933</v>
      </c>
      <c r="FP26" s="390">
        <v>0.94899999999999995</v>
      </c>
      <c r="FQ26" s="380">
        <v>93.3</v>
      </c>
      <c r="FR26" s="381">
        <v>31.8</v>
      </c>
      <c r="FS26" s="380">
        <v>14.1</v>
      </c>
      <c r="FT26" s="380">
        <v>9.5</v>
      </c>
      <c r="FU26" s="381">
        <v>19.2</v>
      </c>
      <c r="FV26" s="380">
        <v>5.4</v>
      </c>
      <c r="FW26" s="382">
        <v>12.2</v>
      </c>
      <c r="FX26" s="388">
        <v>2</v>
      </c>
      <c r="FY26" s="141">
        <v>56621786</v>
      </c>
      <c r="FZ26" s="384">
        <f t="shared" si="16"/>
        <v>204.2</v>
      </c>
      <c r="GA26" s="141">
        <v>22161799</v>
      </c>
      <c r="GB26" s="141">
        <v>4183917</v>
      </c>
      <c r="GC26" s="141">
        <v>2563686</v>
      </c>
      <c r="GD26" s="141">
        <v>15414196</v>
      </c>
      <c r="GE26" s="107">
        <v>0</v>
      </c>
      <c r="GF26" s="385">
        <v>2844</v>
      </c>
      <c r="GG26" s="386">
        <f>IF(GF26=0,"-",ROUND(GF26/(GX26)*100,1))</f>
        <v>10.3</v>
      </c>
      <c r="GH26" s="380">
        <v>99.1</v>
      </c>
      <c r="GI26" s="380">
        <v>39.6</v>
      </c>
      <c r="GJ26" s="380">
        <v>98.1</v>
      </c>
      <c r="GK26" s="141">
        <v>1023</v>
      </c>
      <c r="GL26" s="391" t="s">
        <v>646</v>
      </c>
      <c r="GM26" s="391">
        <v>11.92</v>
      </c>
      <c r="GN26" s="117">
        <v>20</v>
      </c>
      <c r="GO26" s="391" t="s">
        <v>646</v>
      </c>
      <c r="GP26" s="392">
        <v>16.920000000000002</v>
      </c>
      <c r="GQ26" s="387">
        <v>30</v>
      </c>
      <c r="GR26" s="381">
        <v>2</v>
      </c>
      <c r="GS26" s="388">
        <v>25</v>
      </c>
      <c r="GT26" s="388">
        <v>35</v>
      </c>
      <c r="GU26" s="393">
        <v>4.8</v>
      </c>
      <c r="GV26" s="388">
        <v>350</v>
      </c>
      <c r="GW26" s="394"/>
      <c r="GX26" s="100">
        <f t="shared" si="17"/>
        <v>27732</v>
      </c>
      <c r="GY26" s="394"/>
      <c r="GZ26" s="394"/>
      <c r="HA26" s="394"/>
      <c r="HB26" s="394"/>
      <c r="HC26" s="394"/>
      <c r="HD26" s="394"/>
      <c r="HE26" s="394"/>
      <c r="HF26" s="394"/>
      <c r="HG26" s="394"/>
      <c r="HH26" s="394"/>
      <c r="HI26" s="394"/>
      <c r="HJ26" s="394"/>
      <c r="HK26" s="394"/>
      <c r="HL26" s="394"/>
      <c r="HM26" s="394"/>
      <c r="HN26" s="394"/>
      <c r="HO26" s="394"/>
      <c r="HP26" s="394"/>
      <c r="HQ26" s="394"/>
      <c r="HR26" s="394"/>
      <c r="HS26" s="394"/>
      <c r="HT26" s="394"/>
      <c r="HU26" s="394"/>
      <c r="HV26" s="394"/>
      <c r="HW26" s="394"/>
      <c r="HX26" s="394"/>
    </row>
    <row r="27" spans="2:232" x14ac:dyDescent="0.15">
      <c r="B27" s="89" t="s">
        <v>43</v>
      </c>
      <c r="C27" s="141">
        <v>8933950</v>
      </c>
      <c r="D27" s="73">
        <f t="shared" si="0"/>
        <v>3590470</v>
      </c>
      <c r="E27" s="141">
        <v>116404</v>
      </c>
      <c r="F27" s="141">
        <v>3474066</v>
      </c>
      <c r="G27" s="73">
        <f t="shared" si="1"/>
        <v>586642</v>
      </c>
      <c r="H27" s="141">
        <v>133856</v>
      </c>
      <c r="I27" s="141">
        <v>452786</v>
      </c>
      <c r="J27" s="141">
        <v>3613340</v>
      </c>
      <c r="K27" s="141">
        <v>1330320</v>
      </c>
      <c r="L27" s="141">
        <v>1456916</v>
      </c>
      <c r="M27" s="141">
        <v>801205</v>
      </c>
      <c r="N27" s="141">
        <v>334780</v>
      </c>
      <c r="O27" s="141">
        <v>692503</v>
      </c>
      <c r="P27" s="141">
        <v>378924</v>
      </c>
      <c r="Q27" s="141">
        <v>313579</v>
      </c>
      <c r="R27" s="141">
        <v>127990</v>
      </c>
      <c r="S27" s="74"/>
      <c r="T27" s="73">
        <f t="shared" si="2"/>
        <v>1612456</v>
      </c>
      <c r="U27" s="141">
        <v>12498</v>
      </c>
      <c r="V27" s="141">
        <v>52880</v>
      </c>
      <c r="W27" s="141">
        <v>59724</v>
      </c>
      <c r="X27" s="141">
        <v>1421734</v>
      </c>
      <c r="Y27" s="141">
        <v>0</v>
      </c>
      <c r="Z27" s="141">
        <v>0</v>
      </c>
      <c r="AA27" s="141">
        <v>3</v>
      </c>
      <c r="AB27" s="141">
        <v>22013</v>
      </c>
      <c r="AC27" s="141">
        <v>43604</v>
      </c>
      <c r="AD27" s="141">
        <v>66799</v>
      </c>
      <c r="AE27" s="141">
        <v>4792820</v>
      </c>
      <c r="AF27" s="141">
        <v>4597368</v>
      </c>
      <c r="AG27" s="141">
        <v>195452</v>
      </c>
      <c r="AH27" s="141">
        <v>11201</v>
      </c>
      <c r="AI27" s="141">
        <v>138394</v>
      </c>
      <c r="AJ27" s="73">
        <f t="shared" si="3"/>
        <v>271767</v>
      </c>
      <c r="AK27" s="141">
        <v>236298</v>
      </c>
      <c r="AL27" s="141">
        <v>35469</v>
      </c>
      <c r="AM27" s="141">
        <v>12324545</v>
      </c>
      <c r="AN27" s="73">
        <f t="shared" si="4"/>
        <v>2880135</v>
      </c>
      <c r="AO27" s="141">
        <v>1403463</v>
      </c>
      <c r="AP27" s="141">
        <v>772536</v>
      </c>
      <c r="AQ27" s="74"/>
      <c r="AR27" s="141">
        <v>704136</v>
      </c>
      <c r="AS27" s="141">
        <v>179133</v>
      </c>
      <c r="AT27" s="141">
        <v>0</v>
      </c>
      <c r="AU27" s="141">
        <v>0</v>
      </c>
      <c r="AV27" s="141">
        <v>1924994</v>
      </c>
      <c r="AW27" s="141">
        <v>1118754</v>
      </c>
      <c r="AX27" s="141">
        <v>295806</v>
      </c>
      <c r="AY27" s="141">
        <v>49350</v>
      </c>
      <c r="AZ27" s="141">
        <v>806240</v>
      </c>
      <c r="BA27" s="141">
        <v>29706</v>
      </c>
      <c r="BB27" s="141">
        <v>21420</v>
      </c>
      <c r="BC27" s="141">
        <v>2969</v>
      </c>
      <c r="BD27" s="141">
        <v>174314</v>
      </c>
      <c r="BE27" s="141">
        <v>393379</v>
      </c>
      <c r="BF27" s="141">
        <v>277379</v>
      </c>
      <c r="BG27" s="141">
        <v>0</v>
      </c>
      <c r="BH27" s="141">
        <v>116000</v>
      </c>
      <c r="BI27" s="141">
        <v>0</v>
      </c>
      <c r="BJ27" s="141">
        <v>430141</v>
      </c>
      <c r="BK27" s="141">
        <v>191087</v>
      </c>
      <c r="BL27" s="141">
        <v>578523</v>
      </c>
      <c r="BM27" s="141">
        <v>432147</v>
      </c>
      <c r="BN27" s="141">
        <v>0</v>
      </c>
      <c r="BO27" s="141">
        <v>0</v>
      </c>
      <c r="BP27" s="141">
        <v>4511758</v>
      </c>
      <c r="BQ27" s="73">
        <f t="shared" si="5"/>
        <v>3717101</v>
      </c>
      <c r="BR27" s="73">
        <f t="shared" si="6"/>
        <v>794657</v>
      </c>
      <c r="BS27" s="141">
        <v>0</v>
      </c>
      <c r="BT27" s="141">
        <v>0</v>
      </c>
      <c r="BU27" s="141">
        <v>794657</v>
      </c>
      <c r="BV27" s="141">
        <v>0</v>
      </c>
      <c r="BW27" s="141">
        <v>36314451</v>
      </c>
      <c r="BX27" s="71"/>
      <c r="BY27" s="141">
        <v>4406108</v>
      </c>
      <c r="BZ27" s="141">
        <v>2596164</v>
      </c>
      <c r="CA27" s="141">
        <v>199023</v>
      </c>
      <c r="CB27" s="141">
        <v>746508</v>
      </c>
      <c r="CC27" s="141">
        <v>6791613</v>
      </c>
      <c r="CD27" s="141">
        <v>1967975</v>
      </c>
      <c r="CE27" s="141">
        <v>25727</v>
      </c>
      <c r="CF27" s="141">
        <v>2815601</v>
      </c>
      <c r="CG27" s="141">
        <v>1763239</v>
      </c>
      <c r="CH27" s="141">
        <v>2012</v>
      </c>
      <c r="CI27" s="141">
        <v>217059</v>
      </c>
      <c r="CJ27" s="141">
        <v>1886080</v>
      </c>
      <c r="CK27" s="141">
        <v>1791773</v>
      </c>
      <c r="CL27" s="83">
        <f t="shared" si="7"/>
        <v>94307</v>
      </c>
      <c r="CM27" s="141">
        <v>2848832</v>
      </c>
      <c r="CN27" s="141">
        <v>1770443</v>
      </c>
      <c r="CO27" s="102"/>
      <c r="CP27" s="141">
        <v>309802</v>
      </c>
      <c r="CQ27" s="141">
        <v>99503</v>
      </c>
      <c r="CR27" s="141">
        <v>11109610</v>
      </c>
      <c r="CS27" s="141">
        <v>1755522</v>
      </c>
      <c r="CT27" s="141">
        <v>7462019</v>
      </c>
      <c r="CU27" s="141">
        <v>176884</v>
      </c>
      <c r="CV27" s="73">
        <f t="shared" si="8"/>
        <v>1552105</v>
      </c>
      <c r="CW27" s="141">
        <v>869066</v>
      </c>
      <c r="CX27" s="141">
        <v>683039</v>
      </c>
      <c r="CY27" s="73">
        <f t="shared" si="9"/>
        <v>646249</v>
      </c>
      <c r="CZ27" s="141">
        <v>413144</v>
      </c>
      <c r="DA27" s="141">
        <v>233105</v>
      </c>
      <c r="DB27" s="73">
        <f t="shared" si="10"/>
        <v>820561</v>
      </c>
      <c r="DC27" s="141">
        <v>450922</v>
      </c>
      <c r="DD27" s="141">
        <v>369639</v>
      </c>
      <c r="DE27" s="141">
        <v>4706438</v>
      </c>
      <c r="DF27" s="141">
        <v>537282</v>
      </c>
      <c r="DG27" s="141">
        <v>4169156</v>
      </c>
      <c r="DH27" s="141">
        <v>0</v>
      </c>
      <c r="DI27" s="141">
        <v>0</v>
      </c>
      <c r="DJ27" s="141">
        <v>0</v>
      </c>
      <c r="DK27" s="141">
        <v>237584</v>
      </c>
      <c r="DL27" s="141">
        <v>97585</v>
      </c>
      <c r="DM27" s="141">
        <v>0</v>
      </c>
      <c r="DN27" s="141">
        <v>139999</v>
      </c>
      <c r="DO27" s="141">
        <v>0</v>
      </c>
      <c r="DP27" s="141">
        <v>0</v>
      </c>
      <c r="DQ27" s="141">
        <v>0</v>
      </c>
      <c r="DR27" s="141">
        <v>0</v>
      </c>
      <c r="DS27" s="141">
        <v>431294</v>
      </c>
      <c r="DT27" s="141">
        <v>0</v>
      </c>
      <c r="DU27" s="141">
        <v>0</v>
      </c>
      <c r="DV27" s="141">
        <v>2847859</v>
      </c>
      <c r="DW27" s="141">
        <v>0</v>
      </c>
      <c r="DX27" s="73">
        <f t="shared" si="11"/>
        <v>0</v>
      </c>
      <c r="DY27" s="141">
        <v>0</v>
      </c>
      <c r="DZ27" s="141">
        <v>1028925</v>
      </c>
      <c r="EA27" s="141">
        <v>0</v>
      </c>
      <c r="EB27" s="141">
        <v>824846</v>
      </c>
      <c r="EC27" s="74">
        <v>0</v>
      </c>
      <c r="ED27" s="141">
        <v>989292</v>
      </c>
      <c r="EE27" s="141">
        <v>0</v>
      </c>
      <c r="EF27" s="141">
        <v>35364921</v>
      </c>
      <c r="EG27" s="71"/>
      <c r="EH27" s="141">
        <v>949530</v>
      </c>
      <c r="EI27" s="141">
        <v>460018</v>
      </c>
      <c r="EJ27" s="141">
        <v>489512</v>
      </c>
      <c r="EK27" s="141">
        <v>298425</v>
      </c>
      <c r="EL27" s="141">
        <v>126199</v>
      </c>
      <c r="EM27" s="71"/>
      <c r="EN27" s="141">
        <v>68789</v>
      </c>
      <c r="EO27" s="141">
        <v>68320</v>
      </c>
      <c r="EP27" s="141">
        <v>277379</v>
      </c>
      <c r="EQ27" s="141">
        <v>14511</v>
      </c>
      <c r="ER27" s="73">
        <f t="shared" si="12"/>
        <v>1482723</v>
      </c>
      <c r="ES27" s="141">
        <v>15545216</v>
      </c>
      <c r="ET27" s="141">
        <v>-2558069</v>
      </c>
      <c r="EU27" s="141">
        <v>4034465</v>
      </c>
      <c r="EV27" s="141">
        <v>2437960</v>
      </c>
      <c r="EW27" s="141">
        <v>1812994</v>
      </c>
      <c r="EX27" s="141">
        <v>1886080</v>
      </c>
      <c r="EY27" s="73">
        <f t="shared" si="13"/>
        <v>472475</v>
      </c>
      <c r="EZ27" s="141">
        <v>472475</v>
      </c>
      <c r="FA27" s="141">
        <v>13051</v>
      </c>
      <c r="FB27" s="141">
        <v>459424</v>
      </c>
      <c r="FC27" s="141">
        <v>0</v>
      </c>
      <c r="FD27" s="141">
        <v>0</v>
      </c>
      <c r="FE27" s="141">
        <v>2323945</v>
      </c>
      <c r="FF27" s="141">
        <v>4075906</v>
      </c>
      <c r="FG27" s="141">
        <v>1751765</v>
      </c>
      <c r="FH27" s="141">
        <v>2215059</v>
      </c>
      <c r="FI27" s="73">
        <f t="shared" si="14"/>
        <v>332831</v>
      </c>
      <c r="FJ27" s="141">
        <v>17153755</v>
      </c>
      <c r="FK27" s="379">
        <f t="shared" si="15"/>
        <v>3.2</v>
      </c>
      <c r="FL27" s="141">
        <v>14559554</v>
      </c>
      <c r="FM27" s="141">
        <v>794657</v>
      </c>
      <c r="FN27" s="141">
        <v>7854185</v>
      </c>
      <c r="FO27" s="141">
        <v>12444154</v>
      </c>
      <c r="FP27" s="390">
        <v>0.621</v>
      </c>
      <c r="FQ27" s="380">
        <v>94.3</v>
      </c>
      <c r="FR27" s="381">
        <v>25.6</v>
      </c>
      <c r="FS27" s="380">
        <v>11</v>
      </c>
      <c r="FT27" s="380">
        <v>12.1</v>
      </c>
      <c r="FU27" s="381">
        <v>11.5</v>
      </c>
      <c r="FV27" s="380">
        <v>20.2</v>
      </c>
      <c r="FW27" s="382">
        <v>13.3</v>
      </c>
      <c r="FX27" s="388">
        <v>3.1</v>
      </c>
      <c r="FY27" s="141">
        <v>22359072</v>
      </c>
      <c r="FZ27" s="384">
        <f t="shared" si="16"/>
        <v>145.6</v>
      </c>
      <c r="GA27" s="141">
        <v>3433906</v>
      </c>
      <c r="GB27" s="141">
        <v>2072940</v>
      </c>
      <c r="GC27" s="141">
        <v>175</v>
      </c>
      <c r="GD27" s="141">
        <v>1360791</v>
      </c>
      <c r="GE27" s="107">
        <v>0</v>
      </c>
      <c r="GF27" s="385">
        <v>383</v>
      </c>
      <c r="GG27" s="386">
        <f>IF(GF27=0,"-",ROUND(GF27/(GX27)*100,1))</f>
        <v>2.5</v>
      </c>
      <c r="GH27" s="380">
        <v>98.8</v>
      </c>
      <c r="GI27" s="380">
        <v>45.2</v>
      </c>
      <c r="GJ27" s="380">
        <v>98</v>
      </c>
      <c r="GK27" s="141">
        <v>409</v>
      </c>
      <c r="GL27" s="391" t="s">
        <v>646</v>
      </c>
      <c r="GM27" s="391">
        <v>12.75</v>
      </c>
      <c r="GN27" s="117">
        <v>20</v>
      </c>
      <c r="GO27" s="391" t="s">
        <v>646</v>
      </c>
      <c r="GP27" s="392">
        <v>17.75</v>
      </c>
      <c r="GQ27" s="387">
        <v>30</v>
      </c>
      <c r="GR27" s="381">
        <v>3.1</v>
      </c>
      <c r="GS27" s="388">
        <v>25</v>
      </c>
      <c r="GT27" s="388">
        <v>35</v>
      </c>
      <c r="GU27" s="393">
        <v>10.3</v>
      </c>
      <c r="GV27" s="388">
        <v>350</v>
      </c>
      <c r="GW27" s="394"/>
      <c r="GX27" s="100">
        <f t="shared" si="17"/>
        <v>15354</v>
      </c>
      <c r="GY27" s="394"/>
      <c r="GZ27" s="394"/>
      <c r="HA27" s="394"/>
      <c r="HB27" s="394"/>
      <c r="HC27" s="394"/>
      <c r="HD27" s="394"/>
      <c r="HE27" s="394"/>
      <c r="HF27" s="394"/>
      <c r="HG27" s="394"/>
      <c r="HH27" s="394"/>
      <c r="HI27" s="394"/>
      <c r="HJ27" s="394"/>
      <c r="HK27" s="394"/>
      <c r="HL27" s="394"/>
      <c r="HM27" s="394"/>
      <c r="HN27" s="394"/>
      <c r="HO27" s="394"/>
      <c r="HP27" s="394"/>
      <c r="HQ27" s="394"/>
      <c r="HR27" s="394"/>
      <c r="HS27" s="394"/>
      <c r="HT27" s="394"/>
      <c r="HU27" s="394"/>
      <c r="HV27" s="394"/>
      <c r="HW27" s="394"/>
      <c r="HX27" s="394"/>
    </row>
    <row r="28" spans="2:232" x14ac:dyDescent="0.15">
      <c r="B28" s="89" t="s">
        <v>45</v>
      </c>
      <c r="C28" s="141">
        <v>12693659</v>
      </c>
      <c r="D28" s="73">
        <f t="shared" si="0"/>
        <v>5528228</v>
      </c>
      <c r="E28" s="141">
        <v>181713</v>
      </c>
      <c r="F28" s="141">
        <v>5346515</v>
      </c>
      <c r="G28" s="73">
        <f t="shared" si="1"/>
        <v>548477</v>
      </c>
      <c r="H28" s="141">
        <v>203381</v>
      </c>
      <c r="I28" s="141">
        <v>345096</v>
      </c>
      <c r="J28" s="141">
        <v>4772847</v>
      </c>
      <c r="K28" s="141">
        <v>2000344</v>
      </c>
      <c r="L28" s="141">
        <v>2209931</v>
      </c>
      <c r="M28" s="141">
        <v>514056</v>
      </c>
      <c r="N28" s="141">
        <v>603252</v>
      </c>
      <c r="O28" s="141">
        <v>1007133</v>
      </c>
      <c r="P28" s="141">
        <v>554336</v>
      </c>
      <c r="Q28" s="141">
        <v>452797</v>
      </c>
      <c r="R28" s="141">
        <v>204283</v>
      </c>
      <c r="S28" s="74"/>
      <c r="T28" s="73">
        <f t="shared" si="2"/>
        <v>2482690</v>
      </c>
      <c r="U28" s="141">
        <v>18916</v>
      </c>
      <c r="V28" s="141">
        <v>80063</v>
      </c>
      <c r="W28" s="141">
        <v>90489</v>
      </c>
      <c r="X28" s="141">
        <v>2218160</v>
      </c>
      <c r="Y28" s="141">
        <v>0</v>
      </c>
      <c r="Z28" s="141">
        <v>0</v>
      </c>
      <c r="AA28" s="141">
        <v>5</v>
      </c>
      <c r="AB28" s="141">
        <v>35208</v>
      </c>
      <c r="AC28" s="141">
        <v>39849</v>
      </c>
      <c r="AD28" s="141">
        <v>117243</v>
      </c>
      <c r="AE28" s="141">
        <v>8388917</v>
      </c>
      <c r="AF28" s="141">
        <v>8199893</v>
      </c>
      <c r="AG28" s="141">
        <v>189024</v>
      </c>
      <c r="AH28" s="141">
        <v>16081</v>
      </c>
      <c r="AI28" s="141">
        <v>56444</v>
      </c>
      <c r="AJ28" s="73">
        <f t="shared" si="3"/>
        <v>376926</v>
      </c>
      <c r="AK28" s="141">
        <v>323225</v>
      </c>
      <c r="AL28" s="141">
        <v>53701</v>
      </c>
      <c r="AM28" s="141">
        <v>22282845</v>
      </c>
      <c r="AN28" s="73">
        <f t="shared" si="4"/>
        <v>5878033</v>
      </c>
      <c r="AO28" s="141">
        <v>3705336</v>
      </c>
      <c r="AP28" s="141">
        <v>801404</v>
      </c>
      <c r="AQ28" s="74"/>
      <c r="AR28" s="141">
        <v>1371293</v>
      </c>
      <c r="AS28" s="141">
        <v>504342</v>
      </c>
      <c r="AT28" s="141">
        <v>0</v>
      </c>
      <c r="AU28" s="141">
        <v>0</v>
      </c>
      <c r="AV28" s="141">
        <v>3433392</v>
      </c>
      <c r="AW28" s="141">
        <v>2156065</v>
      </c>
      <c r="AX28" s="141">
        <v>343670</v>
      </c>
      <c r="AY28" s="141">
        <v>95253</v>
      </c>
      <c r="AZ28" s="141">
        <v>1277327</v>
      </c>
      <c r="BA28" s="141">
        <v>20258</v>
      </c>
      <c r="BB28" s="141">
        <v>35086</v>
      </c>
      <c r="BC28" s="141">
        <v>19547</v>
      </c>
      <c r="BD28" s="141">
        <v>56834</v>
      </c>
      <c r="BE28" s="141">
        <v>121589</v>
      </c>
      <c r="BF28" s="141">
        <v>100000</v>
      </c>
      <c r="BG28" s="141">
        <v>0</v>
      </c>
      <c r="BH28" s="141">
        <v>21509</v>
      </c>
      <c r="BI28" s="141">
        <v>0</v>
      </c>
      <c r="BJ28" s="141">
        <v>360361</v>
      </c>
      <c r="BK28" s="141">
        <v>357331</v>
      </c>
      <c r="BL28" s="141">
        <v>247243</v>
      </c>
      <c r="BM28" s="141">
        <v>1607</v>
      </c>
      <c r="BN28" s="141">
        <v>0</v>
      </c>
      <c r="BO28" s="141">
        <v>0</v>
      </c>
      <c r="BP28" s="141">
        <v>2384900</v>
      </c>
      <c r="BQ28" s="73">
        <f t="shared" si="5"/>
        <v>1247200</v>
      </c>
      <c r="BR28" s="73">
        <f t="shared" si="6"/>
        <v>1137700</v>
      </c>
      <c r="BS28" s="141">
        <v>0</v>
      </c>
      <c r="BT28" s="141">
        <v>0</v>
      </c>
      <c r="BU28" s="141">
        <v>1137700</v>
      </c>
      <c r="BV28" s="141">
        <v>0</v>
      </c>
      <c r="BW28" s="141">
        <v>53258493</v>
      </c>
      <c r="BX28" s="71"/>
      <c r="BY28" s="141">
        <v>6339770</v>
      </c>
      <c r="BZ28" s="141">
        <v>3639399</v>
      </c>
      <c r="CA28" s="141">
        <v>359886</v>
      </c>
      <c r="CB28" s="141">
        <v>1160208</v>
      </c>
      <c r="CC28" s="141">
        <v>13550506</v>
      </c>
      <c r="CD28" s="141">
        <v>3257365</v>
      </c>
      <c r="CE28" s="141">
        <v>44133</v>
      </c>
      <c r="CF28" s="141">
        <v>5201186</v>
      </c>
      <c r="CG28" s="141">
        <v>4921490</v>
      </c>
      <c r="CH28" s="141">
        <v>0</v>
      </c>
      <c r="CI28" s="141">
        <v>126332</v>
      </c>
      <c r="CJ28" s="141">
        <v>3395813</v>
      </c>
      <c r="CK28" s="141">
        <v>3215757</v>
      </c>
      <c r="CL28" s="83">
        <f t="shared" si="7"/>
        <v>180056</v>
      </c>
      <c r="CM28" s="141">
        <v>4930971</v>
      </c>
      <c r="CN28" s="141">
        <v>3152305</v>
      </c>
      <c r="CO28" s="102"/>
      <c r="CP28" s="141">
        <v>673812</v>
      </c>
      <c r="CQ28" s="141">
        <v>116065</v>
      </c>
      <c r="CR28" s="141">
        <v>17477133</v>
      </c>
      <c r="CS28" s="141">
        <v>2071868</v>
      </c>
      <c r="CT28" s="141">
        <v>12953281</v>
      </c>
      <c r="CU28" s="141">
        <v>1681444</v>
      </c>
      <c r="CV28" s="73">
        <f t="shared" si="8"/>
        <v>1504093</v>
      </c>
      <c r="CW28" s="141">
        <v>173931</v>
      </c>
      <c r="CX28" s="141">
        <v>1330162</v>
      </c>
      <c r="CY28" s="73">
        <f t="shared" si="9"/>
        <v>0</v>
      </c>
      <c r="CZ28" s="141">
        <v>0</v>
      </c>
      <c r="DA28" s="141">
        <v>0</v>
      </c>
      <c r="DB28" s="73">
        <f t="shared" si="10"/>
        <v>1499699</v>
      </c>
      <c r="DC28" s="141">
        <v>170937</v>
      </c>
      <c r="DD28" s="141">
        <v>1328762</v>
      </c>
      <c r="DE28" s="141">
        <v>2278871</v>
      </c>
      <c r="DF28" s="141">
        <v>1291701</v>
      </c>
      <c r="DG28" s="141">
        <v>987170</v>
      </c>
      <c r="DH28" s="141">
        <v>0</v>
      </c>
      <c r="DI28" s="141">
        <v>0</v>
      </c>
      <c r="DJ28" s="141">
        <v>0</v>
      </c>
      <c r="DK28" s="141">
        <v>437747</v>
      </c>
      <c r="DL28" s="141">
        <v>357362</v>
      </c>
      <c r="DM28" s="141">
        <v>3</v>
      </c>
      <c r="DN28" s="141">
        <v>80382</v>
      </c>
      <c r="DO28" s="141">
        <v>0</v>
      </c>
      <c r="DP28" s="141">
        <v>0</v>
      </c>
      <c r="DQ28" s="141">
        <v>0</v>
      </c>
      <c r="DR28" s="141">
        <v>0</v>
      </c>
      <c r="DS28" s="141">
        <v>0</v>
      </c>
      <c r="DT28" s="141">
        <v>0</v>
      </c>
      <c r="DU28" s="141">
        <v>0</v>
      </c>
      <c r="DV28" s="141">
        <v>4628978</v>
      </c>
      <c r="DW28" s="141">
        <v>0</v>
      </c>
      <c r="DX28" s="73">
        <f t="shared" si="11"/>
        <v>0</v>
      </c>
      <c r="DY28" s="141">
        <v>0</v>
      </c>
      <c r="DZ28" s="141">
        <v>1664481</v>
      </c>
      <c r="EA28" s="141">
        <v>0</v>
      </c>
      <c r="EB28" s="141">
        <v>1238050</v>
      </c>
      <c r="EC28" s="74">
        <v>0</v>
      </c>
      <c r="ED28" s="141">
        <v>1657202</v>
      </c>
      <c r="EE28" s="141">
        <v>0</v>
      </c>
      <c r="EF28" s="141">
        <v>53155854</v>
      </c>
      <c r="EG28" s="71"/>
      <c r="EH28" s="141">
        <v>102639</v>
      </c>
      <c r="EI28" s="141">
        <v>0</v>
      </c>
      <c r="EJ28" s="141">
        <v>102639</v>
      </c>
      <c r="EK28" s="141">
        <v>-254692</v>
      </c>
      <c r="EL28" s="141">
        <v>2670</v>
      </c>
      <c r="EM28" s="71"/>
      <c r="EN28" s="141">
        <v>108872</v>
      </c>
      <c r="EO28" s="141">
        <v>110106</v>
      </c>
      <c r="EP28" s="141">
        <v>100080</v>
      </c>
      <c r="EQ28" s="141">
        <v>35000</v>
      </c>
      <c r="ER28" s="73">
        <f t="shared" si="12"/>
        <v>2305496</v>
      </c>
      <c r="ES28" s="141">
        <v>23902873</v>
      </c>
      <c r="ET28" s="141">
        <v>-3562195</v>
      </c>
      <c r="EU28" s="141">
        <v>5702292</v>
      </c>
      <c r="EV28" s="141">
        <v>3300938</v>
      </c>
      <c r="EW28" s="141">
        <v>3638873</v>
      </c>
      <c r="EX28" s="141">
        <v>3386437</v>
      </c>
      <c r="EY28" s="73">
        <f t="shared" si="13"/>
        <v>242452</v>
      </c>
      <c r="EZ28" s="141">
        <v>242452</v>
      </c>
      <c r="FA28" s="141">
        <v>43079</v>
      </c>
      <c r="FB28" s="141">
        <v>199373</v>
      </c>
      <c r="FC28" s="141">
        <v>0</v>
      </c>
      <c r="FD28" s="141">
        <v>0</v>
      </c>
      <c r="FE28" s="141">
        <v>4197312</v>
      </c>
      <c r="FF28" s="141">
        <v>6038600</v>
      </c>
      <c r="FG28" s="141">
        <v>2071554</v>
      </c>
      <c r="FH28" s="141">
        <v>3613268</v>
      </c>
      <c r="FI28" s="73">
        <f t="shared" si="14"/>
        <v>543195</v>
      </c>
      <c r="FJ28" s="141">
        <v>27362429</v>
      </c>
      <c r="FK28" s="379">
        <f t="shared" si="15"/>
        <v>0.4</v>
      </c>
      <c r="FL28" s="141">
        <v>22703713</v>
      </c>
      <c r="FM28" s="141">
        <v>1137770</v>
      </c>
      <c r="FN28" s="141">
        <v>11496832</v>
      </c>
      <c r="FO28" s="141">
        <v>19705272</v>
      </c>
      <c r="FP28" s="390">
        <v>0.56999999999999995</v>
      </c>
      <c r="FQ28" s="380">
        <v>97.6</v>
      </c>
      <c r="FR28" s="381">
        <v>23.6</v>
      </c>
      <c r="FS28" s="380">
        <v>15.1</v>
      </c>
      <c r="FT28" s="380">
        <v>14.1</v>
      </c>
      <c r="FU28" s="381">
        <v>13.9</v>
      </c>
      <c r="FV28" s="380">
        <v>16.399999999999999</v>
      </c>
      <c r="FW28" s="382">
        <v>14.1</v>
      </c>
      <c r="FX28" s="388">
        <v>4.7</v>
      </c>
      <c r="FY28" s="141">
        <v>36441522</v>
      </c>
      <c r="FZ28" s="384">
        <f t="shared" si="16"/>
        <v>152.80000000000001</v>
      </c>
      <c r="GA28" s="141">
        <v>6330793</v>
      </c>
      <c r="GB28" s="141">
        <v>3934348</v>
      </c>
      <c r="GC28" s="141">
        <v>289724</v>
      </c>
      <c r="GD28" s="141">
        <v>2106721</v>
      </c>
      <c r="GE28" s="107">
        <v>0</v>
      </c>
      <c r="GF28" s="385"/>
      <c r="GG28" s="386"/>
      <c r="GH28" s="380">
        <v>99.2</v>
      </c>
      <c r="GI28" s="380">
        <v>47.5</v>
      </c>
      <c r="GJ28" s="380">
        <v>98.2</v>
      </c>
      <c r="GK28" s="141">
        <v>598</v>
      </c>
      <c r="GL28" s="391" t="s">
        <v>646</v>
      </c>
      <c r="GM28" s="391">
        <v>12.16</v>
      </c>
      <c r="GN28" s="117">
        <v>20</v>
      </c>
      <c r="GO28" s="391" t="s">
        <v>646</v>
      </c>
      <c r="GP28" s="392">
        <v>17.16</v>
      </c>
      <c r="GQ28" s="387">
        <v>30</v>
      </c>
      <c r="GR28" s="381">
        <v>4.7</v>
      </c>
      <c r="GS28" s="388">
        <v>25</v>
      </c>
      <c r="GT28" s="388">
        <v>35</v>
      </c>
      <c r="GU28" s="393">
        <v>5.4</v>
      </c>
      <c r="GV28" s="388">
        <v>350</v>
      </c>
      <c r="GW28" s="394"/>
      <c r="GX28" s="100">
        <f t="shared" si="17"/>
        <v>23841</v>
      </c>
      <c r="GY28" s="394"/>
      <c r="GZ28" s="394"/>
      <c r="HA28" s="394"/>
      <c r="HB28" s="394"/>
      <c r="HC28" s="394"/>
      <c r="HD28" s="394"/>
      <c r="HE28" s="394"/>
      <c r="HF28" s="394"/>
      <c r="HG28" s="394"/>
      <c r="HH28" s="394"/>
      <c r="HI28" s="394"/>
      <c r="HJ28" s="394"/>
      <c r="HK28" s="394"/>
      <c r="HL28" s="394"/>
      <c r="HM28" s="394"/>
      <c r="HN28" s="394"/>
      <c r="HO28" s="394"/>
      <c r="HP28" s="394"/>
      <c r="HQ28" s="394"/>
      <c r="HR28" s="394"/>
      <c r="HS28" s="394"/>
      <c r="HT28" s="394"/>
      <c r="HU28" s="394"/>
      <c r="HV28" s="394"/>
      <c r="HW28" s="394"/>
      <c r="HX28" s="394"/>
    </row>
    <row r="29" spans="2:232" x14ac:dyDescent="0.15">
      <c r="B29" s="89" t="s">
        <v>47</v>
      </c>
      <c r="C29" s="141">
        <v>18229782</v>
      </c>
      <c r="D29" s="73">
        <f t="shared" si="0"/>
        <v>5651447</v>
      </c>
      <c r="E29" s="141">
        <v>196153</v>
      </c>
      <c r="F29" s="141">
        <v>5455294</v>
      </c>
      <c r="G29" s="73">
        <f t="shared" si="1"/>
        <v>1657397</v>
      </c>
      <c r="H29" s="141">
        <v>452961</v>
      </c>
      <c r="I29" s="141">
        <v>1204436</v>
      </c>
      <c r="J29" s="141">
        <v>8019115</v>
      </c>
      <c r="K29" s="141">
        <v>3618269</v>
      </c>
      <c r="L29" s="141">
        <v>3246654</v>
      </c>
      <c r="M29" s="141">
        <v>1039438</v>
      </c>
      <c r="N29" s="141">
        <v>1094921</v>
      </c>
      <c r="O29" s="141">
        <v>1627271</v>
      </c>
      <c r="P29" s="141">
        <v>914833</v>
      </c>
      <c r="Q29" s="141">
        <v>712438</v>
      </c>
      <c r="R29" s="141">
        <v>185320</v>
      </c>
      <c r="S29" s="74"/>
      <c r="T29" s="73">
        <f t="shared" si="2"/>
        <v>3096631</v>
      </c>
      <c r="U29" s="141">
        <v>19564</v>
      </c>
      <c r="V29" s="141">
        <v>83001</v>
      </c>
      <c r="W29" s="141">
        <v>94213</v>
      </c>
      <c r="X29" s="141">
        <v>2746742</v>
      </c>
      <c r="Y29" s="141">
        <v>0</v>
      </c>
      <c r="Z29" s="141">
        <v>0</v>
      </c>
      <c r="AA29" s="141">
        <v>4</v>
      </c>
      <c r="AB29" s="141">
        <v>31710</v>
      </c>
      <c r="AC29" s="141">
        <v>121397</v>
      </c>
      <c r="AD29" s="141">
        <v>105580</v>
      </c>
      <c r="AE29" s="141">
        <v>6539891</v>
      </c>
      <c r="AF29" s="141">
        <v>6224092</v>
      </c>
      <c r="AG29" s="141">
        <v>315799</v>
      </c>
      <c r="AH29" s="141">
        <v>18364</v>
      </c>
      <c r="AI29" s="141">
        <v>113698</v>
      </c>
      <c r="AJ29" s="73">
        <f t="shared" si="3"/>
        <v>1104810</v>
      </c>
      <c r="AK29" s="141">
        <v>863356</v>
      </c>
      <c r="AL29" s="141">
        <v>241454</v>
      </c>
      <c r="AM29" s="141">
        <v>30825079</v>
      </c>
      <c r="AN29" s="73">
        <f t="shared" si="4"/>
        <v>11027425</v>
      </c>
      <c r="AO29" s="141">
        <v>7709852</v>
      </c>
      <c r="AP29" s="141">
        <v>1273013</v>
      </c>
      <c r="AQ29" s="74"/>
      <c r="AR29" s="141">
        <v>2044560</v>
      </c>
      <c r="AS29" s="141">
        <v>1934117</v>
      </c>
      <c r="AT29" s="141">
        <v>0</v>
      </c>
      <c r="AU29" s="141">
        <v>0</v>
      </c>
      <c r="AV29" s="141">
        <v>4581171</v>
      </c>
      <c r="AW29" s="141">
        <v>2750082</v>
      </c>
      <c r="AX29" s="141">
        <v>535673</v>
      </c>
      <c r="AY29" s="141">
        <v>6612</v>
      </c>
      <c r="AZ29" s="141">
        <v>1831089</v>
      </c>
      <c r="BA29" s="141">
        <v>330682</v>
      </c>
      <c r="BB29" s="141">
        <v>537785</v>
      </c>
      <c r="BC29" s="141">
        <v>477580</v>
      </c>
      <c r="BD29" s="141">
        <v>409551</v>
      </c>
      <c r="BE29" s="141">
        <v>268938</v>
      </c>
      <c r="BF29" s="141">
        <v>0</v>
      </c>
      <c r="BG29" s="141">
        <v>0</v>
      </c>
      <c r="BH29" s="141">
        <v>268938</v>
      </c>
      <c r="BI29" s="141">
        <v>0</v>
      </c>
      <c r="BJ29" s="141">
        <v>194905</v>
      </c>
      <c r="BK29" s="141">
        <v>181312</v>
      </c>
      <c r="BL29" s="141">
        <v>697980</v>
      </c>
      <c r="BM29" s="141">
        <v>5000</v>
      </c>
      <c r="BN29" s="141">
        <v>0</v>
      </c>
      <c r="BO29" s="141">
        <v>0</v>
      </c>
      <c r="BP29" s="141">
        <v>4860729</v>
      </c>
      <c r="BQ29" s="73">
        <f t="shared" si="5"/>
        <v>3358400</v>
      </c>
      <c r="BR29" s="73">
        <f t="shared" si="6"/>
        <v>1502329</v>
      </c>
      <c r="BS29" s="141">
        <v>0</v>
      </c>
      <c r="BT29" s="141">
        <v>99000</v>
      </c>
      <c r="BU29" s="141">
        <v>1403329</v>
      </c>
      <c r="BV29" s="141">
        <v>0</v>
      </c>
      <c r="BW29" s="141">
        <v>71770214</v>
      </c>
      <c r="BX29" s="71"/>
      <c r="BY29" s="141">
        <v>7193919</v>
      </c>
      <c r="BZ29" s="141">
        <v>4923017</v>
      </c>
      <c r="CA29" s="141">
        <v>300012</v>
      </c>
      <c r="CB29" s="141">
        <v>523190</v>
      </c>
      <c r="CC29" s="141">
        <v>21091983</v>
      </c>
      <c r="CD29" s="141">
        <v>4532564</v>
      </c>
      <c r="CE29" s="141">
        <v>107930</v>
      </c>
      <c r="CF29" s="141">
        <v>5534183</v>
      </c>
      <c r="CG29" s="141">
        <v>10251097</v>
      </c>
      <c r="CH29" s="141">
        <v>15673</v>
      </c>
      <c r="CI29" s="141">
        <v>650536</v>
      </c>
      <c r="CJ29" s="141">
        <v>4231640</v>
      </c>
      <c r="CK29" s="141">
        <v>3914518</v>
      </c>
      <c r="CL29" s="83">
        <f t="shared" si="7"/>
        <v>317122</v>
      </c>
      <c r="CM29" s="141">
        <v>7263607</v>
      </c>
      <c r="CN29" s="141">
        <v>4959617</v>
      </c>
      <c r="CO29" s="102"/>
      <c r="CP29" s="141">
        <v>807168</v>
      </c>
      <c r="CQ29" s="141">
        <v>242174</v>
      </c>
      <c r="CR29" s="141">
        <v>17615590</v>
      </c>
      <c r="CS29" s="141">
        <v>1688434</v>
      </c>
      <c r="CT29" s="141">
        <v>12744362</v>
      </c>
      <c r="CU29" s="141">
        <v>477208</v>
      </c>
      <c r="CV29" s="73">
        <f t="shared" si="8"/>
        <v>1827458</v>
      </c>
      <c r="CW29" s="141">
        <v>1561340</v>
      </c>
      <c r="CX29" s="141">
        <v>266118</v>
      </c>
      <c r="CY29" s="73">
        <f t="shared" si="9"/>
        <v>0</v>
      </c>
      <c r="CZ29" s="141">
        <v>0</v>
      </c>
      <c r="DA29" s="141">
        <v>0</v>
      </c>
      <c r="DB29" s="73">
        <f t="shared" si="10"/>
        <v>1721203</v>
      </c>
      <c r="DC29" s="141">
        <v>1549483</v>
      </c>
      <c r="DD29" s="141">
        <v>171720</v>
      </c>
      <c r="DE29" s="141">
        <v>7281398</v>
      </c>
      <c r="DF29" s="141">
        <v>5711689</v>
      </c>
      <c r="DG29" s="141">
        <v>1309263</v>
      </c>
      <c r="DH29" s="141">
        <v>0</v>
      </c>
      <c r="DI29" s="141">
        <v>260446</v>
      </c>
      <c r="DJ29" s="141">
        <v>1847</v>
      </c>
      <c r="DK29" s="141">
        <v>883448</v>
      </c>
      <c r="DL29" s="141">
        <v>183217</v>
      </c>
      <c r="DM29" s="141">
        <v>76</v>
      </c>
      <c r="DN29" s="141">
        <v>700155</v>
      </c>
      <c r="DO29" s="141">
        <v>0</v>
      </c>
      <c r="DP29" s="141">
        <v>0</v>
      </c>
      <c r="DQ29" s="141">
        <v>0</v>
      </c>
      <c r="DR29" s="141">
        <v>0</v>
      </c>
      <c r="DS29" s="141">
        <v>5000</v>
      </c>
      <c r="DT29" s="141">
        <v>0</v>
      </c>
      <c r="DU29" s="141">
        <v>0</v>
      </c>
      <c r="DV29" s="141">
        <v>5531678</v>
      </c>
      <c r="DW29" s="141">
        <v>0</v>
      </c>
      <c r="DX29" s="73">
        <f t="shared" si="11"/>
        <v>0</v>
      </c>
      <c r="DY29" s="141">
        <v>0</v>
      </c>
      <c r="DZ29" s="141">
        <v>1851637</v>
      </c>
      <c r="EA29" s="141">
        <v>0</v>
      </c>
      <c r="EB29" s="141">
        <v>1634947</v>
      </c>
      <c r="EC29" s="74">
        <v>0</v>
      </c>
      <c r="ED29" s="141">
        <v>2045094</v>
      </c>
      <c r="EE29" s="141">
        <v>0</v>
      </c>
      <c r="EF29" s="141">
        <v>71342284</v>
      </c>
      <c r="EG29" s="71"/>
      <c r="EH29" s="141">
        <v>427930</v>
      </c>
      <c r="EI29" s="141">
        <v>77721</v>
      </c>
      <c r="EJ29" s="141">
        <v>350209</v>
      </c>
      <c r="EK29" s="141">
        <v>168897</v>
      </c>
      <c r="EL29" s="141">
        <v>352114</v>
      </c>
      <c r="EM29" s="71"/>
      <c r="EN29" s="141">
        <v>119807</v>
      </c>
      <c r="EO29" s="141">
        <v>120536</v>
      </c>
      <c r="EP29" s="141">
        <v>77045</v>
      </c>
      <c r="EQ29" s="141">
        <v>536931</v>
      </c>
      <c r="ER29" s="73">
        <f t="shared" si="12"/>
        <v>2845287</v>
      </c>
      <c r="ES29" s="141">
        <v>28175568</v>
      </c>
      <c r="ET29" s="141">
        <v>-4943228</v>
      </c>
      <c r="EU29" s="141">
        <v>6646079</v>
      </c>
      <c r="EV29" s="141">
        <v>4637999</v>
      </c>
      <c r="EW29" s="141">
        <v>5546346</v>
      </c>
      <c r="EX29" s="141">
        <v>4231640</v>
      </c>
      <c r="EY29" s="73">
        <f t="shared" si="13"/>
        <v>453658</v>
      </c>
      <c r="EZ29" s="141">
        <v>453611</v>
      </c>
      <c r="FA29" s="141">
        <v>35763</v>
      </c>
      <c r="FB29" s="141">
        <v>417848</v>
      </c>
      <c r="FC29" s="141">
        <v>47</v>
      </c>
      <c r="FD29" s="141">
        <v>0</v>
      </c>
      <c r="FE29" s="141">
        <v>5551056</v>
      </c>
      <c r="FF29" s="141">
        <v>5143016</v>
      </c>
      <c r="FG29" s="141">
        <v>1687708</v>
      </c>
      <c r="FH29" s="141">
        <v>4191035</v>
      </c>
      <c r="FI29" s="73">
        <f t="shared" si="14"/>
        <v>928036</v>
      </c>
      <c r="FJ29" s="141">
        <v>32690866</v>
      </c>
      <c r="FK29" s="379">
        <f t="shared" si="15"/>
        <v>1.3</v>
      </c>
      <c r="FL29" s="141">
        <v>26407673</v>
      </c>
      <c r="FM29" s="141">
        <v>1403329</v>
      </c>
      <c r="FN29" s="141">
        <v>15812664</v>
      </c>
      <c r="FO29" s="141">
        <v>22043251</v>
      </c>
      <c r="FP29" s="390">
        <v>0.7</v>
      </c>
      <c r="FQ29" s="380">
        <v>102.5</v>
      </c>
      <c r="FR29" s="381">
        <v>23.1</v>
      </c>
      <c r="FS29" s="380">
        <v>19.600000000000001</v>
      </c>
      <c r="FT29" s="380">
        <v>15.1</v>
      </c>
      <c r="FU29" s="381">
        <v>15</v>
      </c>
      <c r="FV29" s="380">
        <v>15.3</v>
      </c>
      <c r="FW29" s="382">
        <v>13.9</v>
      </c>
      <c r="FX29" s="388">
        <v>4.3</v>
      </c>
      <c r="FY29" s="141">
        <v>52154995</v>
      </c>
      <c r="FZ29" s="384">
        <f t="shared" si="16"/>
        <v>187.5</v>
      </c>
      <c r="GA29" s="141">
        <v>5694403</v>
      </c>
      <c r="GB29" s="141">
        <v>1747812</v>
      </c>
      <c r="GC29" s="141">
        <v>212156</v>
      </c>
      <c r="GD29" s="141">
        <v>3734435</v>
      </c>
      <c r="GE29" s="107">
        <v>0</v>
      </c>
      <c r="GF29" s="385"/>
      <c r="GG29" s="386"/>
      <c r="GH29" s="380">
        <v>98.9</v>
      </c>
      <c r="GI29" s="380">
        <v>32.5</v>
      </c>
      <c r="GJ29" s="380">
        <v>97.2</v>
      </c>
      <c r="GK29" s="141">
        <v>733</v>
      </c>
      <c r="GL29" s="391" t="s">
        <v>646</v>
      </c>
      <c r="GM29" s="391">
        <v>11.91</v>
      </c>
      <c r="GN29" s="117">
        <v>20</v>
      </c>
      <c r="GO29" s="391" t="s">
        <v>646</v>
      </c>
      <c r="GP29" s="392">
        <v>16.91</v>
      </c>
      <c r="GQ29" s="387">
        <v>30</v>
      </c>
      <c r="GR29" s="381">
        <v>4.3</v>
      </c>
      <c r="GS29" s="388">
        <v>25</v>
      </c>
      <c r="GT29" s="388">
        <v>35</v>
      </c>
      <c r="GU29" s="393">
        <v>35.9</v>
      </c>
      <c r="GV29" s="388">
        <v>350</v>
      </c>
      <c r="GW29" s="394"/>
      <c r="GX29" s="100">
        <f t="shared" si="17"/>
        <v>27811</v>
      </c>
      <c r="GY29" s="394"/>
      <c r="GZ29" s="394"/>
      <c r="HA29" s="394"/>
      <c r="HB29" s="394"/>
      <c r="HC29" s="394"/>
      <c r="HD29" s="394"/>
      <c r="HE29" s="394"/>
      <c r="HF29" s="394"/>
      <c r="HG29" s="394"/>
      <c r="HH29" s="394"/>
      <c r="HI29" s="394"/>
      <c r="HJ29" s="394"/>
      <c r="HK29" s="394"/>
      <c r="HL29" s="394"/>
      <c r="HM29" s="394"/>
      <c r="HN29" s="394"/>
      <c r="HO29" s="394"/>
      <c r="HP29" s="394"/>
      <c r="HQ29" s="394"/>
      <c r="HR29" s="394"/>
      <c r="HS29" s="394"/>
      <c r="HT29" s="394"/>
      <c r="HU29" s="394"/>
      <c r="HV29" s="394"/>
      <c r="HW29" s="394"/>
      <c r="HX29" s="394"/>
    </row>
    <row r="30" spans="2:232" x14ac:dyDescent="0.15">
      <c r="B30" s="89" t="s">
        <v>49</v>
      </c>
      <c r="C30" s="141">
        <v>18412843</v>
      </c>
      <c r="D30" s="73">
        <f t="shared" si="0"/>
        <v>4860152</v>
      </c>
      <c r="E30" s="141">
        <v>151735</v>
      </c>
      <c r="F30" s="141">
        <v>4708417</v>
      </c>
      <c r="G30" s="73">
        <f t="shared" si="1"/>
        <v>2067783</v>
      </c>
      <c r="H30" s="141">
        <v>305760</v>
      </c>
      <c r="I30" s="141">
        <v>1762023</v>
      </c>
      <c r="J30" s="141">
        <v>8987130</v>
      </c>
      <c r="K30" s="141">
        <v>4002064</v>
      </c>
      <c r="L30" s="141">
        <v>2896389</v>
      </c>
      <c r="M30" s="141">
        <v>2028181</v>
      </c>
      <c r="N30" s="141">
        <v>710292</v>
      </c>
      <c r="O30" s="141">
        <v>1647109</v>
      </c>
      <c r="P30" s="141">
        <v>1001322</v>
      </c>
      <c r="Q30" s="141">
        <v>645787</v>
      </c>
      <c r="R30" s="141">
        <v>145687</v>
      </c>
      <c r="S30" s="74"/>
      <c r="T30" s="73">
        <f t="shared" si="2"/>
        <v>2300261</v>
      </c>
      <c r="U30" s="141">
        <v>16079</v>
      </c>
      <c r="V30" s="141">
        <v>68185</v>
      </c>
      <c r="W30" s="141">
        <v>77327</v>
      </c>
      <c r="X30" s="141">
        <v>1907925</v>
      </c>
      <c r="Y30" s="141">
        <v>2025</v>
      </c>
      <c r="Z30" s="141">
        <v>0</v>
      </c>
      <c r="AA30" s="141">
        <v>4</v>
      </c>
      <c r="AB30" s="141">
        <v>25121</v>
      </c>
      <c r="AC30" s="141">
        <v>203595</v>
      </c>
      <c r="AD30" s="141">
        <v>116188</v>
      </c>
      <c r="AE30" s="141">
        <v>322110</v>
      </c>
      <c r="AF30" s="141">
        <v>159582</v>
      </c>
      <c r="AG30" s="141">
        <v>162528</v>
      </c>
      <c r="AH30" s="141">
        <v>14100</v>
      </c>
      <c r="AI30" s="141">
        <v>460071</v>
      </c>
      <c r="AJ30" s="73">
        <f t="shared" si="3"/>
        <v>455276</v>
      </c>
      <c r="AK30" s="141">
        <v>338459</v>
      </c>
      <c r="AL30" s="141">
        <v>116817</v>
      </c>
      <c r="AM30" s="141">
        <v>16730818</v>
      </c>
      <c r="AN30" s="73">
        <f t="shared" si="4"/>
        <v>4331800</v>
      </c>
      <c r="AO30" s="141">
        <v>2060267</v>
      </c>
      <c r="AP30" s="141">
        <v>1480242</v>
      </c>
      <c r="AQ30" s="74"/>
      <c r="AR30" s="141">
        <v>791291</v>
      </c>
      <c r="AS30" s="141">
        <v>264789</v>
      </c>
      <c r="AT30" s="141">
        <v>0</v>
      </c>
      <c r="AU30" s="141">
        <v>0</v>
      </c>
      <c r="AV30" s="141">
        <v>3596923</v>
      </c>
      <c r="AW30" s="141">
        <v>2972908</v>
      </c>
      <c r="AX30" s="141">
        <v>659908</v>
      </c>
      <c r="AY30" s="141">
        <v>1400</v>
      </c>
      <c r="AZ30" s="141">
        <v>624015</v>
      </c>
      <c r="BA30" s="141">
        <v>525</v>
      </c>
      <c r="BB30" s="141">
        <v>37132</v>
      </c>
      <c r="BC30" s="141">
        <v>2992</v>
      </c>
      <c r="BD30" s="141">
        <v>28462</v>
      </c>
      <c r="BE30" s="141">
        <v>121461</v>
      </c>
      <c r="BF30" s="141">
        <v>0</v>
      </c>
      <c r="BG30" s="141">
        <v>0</v>
      </c>
      <c r="BH30" s="141">
        <v>20620</v>
      </c>
      <c r="BI30" s="141">
        <v>0</v>
      </c>
      <c r="BJ30" s="141">
        <v>361425</v>
      </c>
      <c r="BK30" s="141">
        <v>197833</v>
      </c>
      <c r="BL30" s="141">
        <v>951089</v>
      </c>
      <c r="BM30" s="141">
        <v>276272</v>
      </c>
      <c r="BN30" s="141">
        <v>0</v>
      </c>
      <c r="BO30" s="141">
        <v>0</v>
      </c>
      <c r="BP30" s="141">
        <v>1684710</v>
      </c>
      <c r="BQ30" s="73">
        <f t="shared" si="5"/>
        <v>1423138</v>
      </c>
      <c r="BR30" s="73">
        <f t="shared" si="6"/>
        <v>261572</v>
      </c>
      <c r="BS30" s="141">
        <v>0</v>
      </c>
      <c r="BT30" s="141">
        <v>0</v>
      </c>
      <c r="BU30" s="141">
        <v>261572</v>
      </c>
      <c r="BV30" s="141">
        <v>0</v>
      </c>
      <c r="BW30" s="141">
        <v>45738556</v>
      </c>
      <c r="BX30" s="71"/>
      <c r="BY30" s="141">
        <v>5985892</v>
      </c>
      <c r="BZ30" s="141">
        <v>3537415</v>
      </c>
      <c r="CA30" s="141">
        <v>289639</v>
      </c>
      <c r="CB30" s="141">
        <v>1007043</v>
      </c>
      <c r="CC30" s="141">
        <v>11166434</v>
      </c>
      <c r="CD30" s="141">
        <v>2410627</v>
      </c>
      <c r="CE30" s="141">
        <v>64464</v>
      </c>
      <c r="CF30" s="141">
        <v>5637152</v>
      </c>
      <c r="CG30" s="141">
        <v>2761706</v>
      </c>
      <c r="CH30" s="141">
        <v>6172</v>
      </c>
      <c r="CI30" s="141">
        <v>286313</v>
      </c>
      <c r="CJ30" s="141">
        <v>1964492</v>
      </c>
      <c r="CK30" s="141">
        <v>1857473</v>
      </c>
      <c r="CL30" s="83">
        <f t="shared" si="7"/>
        <v>107019</v>
      </c>
      <c r="CM30" s="141">
        <v>5037003</v>
      </c>
      <c r="CN30" s="141">
        <v>3716984</v>
      </c>
      <c r="CO30" s="102"/>
      <c r="CP30" s="141">
        <v>891169</v>
      </c>
      <c r="CQ30" s="141">
        <v>675786</v>
      </c>
      <c r="CR30" s="141">
        <v>12651122</v>
      </c>
      <c r="CS30" s="141">
        <v>7156</v>
      </c>
      <c r="CT30" s="141">
        <v>9253173</v>
      </c>
      <c r="CU30" s="141">
        <v>71084</v>
      </c>
      <c r="CV30" s="73">
        <f t="shared" si="8"/>
        <v>1981004</v>
      </c>
      <c r="CW30" s="141">
        <v>845344</v>
      </c>
      <c r="CX30" s="141">
        <v>1135660</v>
      </c>
      <c r="CY30" s="73">
        <f t="shared" si="9"/>
        <v>0</v>
      </c>
      <c r="CZ30" s="141">
        <v>0</v>
      </c>
      <c r="DA30" s="141">
        <v>0</v>
      </c>
      <c r="DB30" s="73">
        <f t="shared" si="10"/>
        <v>1923163</v>
      </c>
      <c r="DC30" s="141">
        <v>843192</v>
      </c>
      <c r="DD30" s="141">
        <v>1079971</v>
      </c>
      <c r="DE30" s="141">
        <v>3377199</v>
      </c>
      <c r="DF30" s="141">
        <v>2124195</v>
      </c>
      <c r="DG30" s="141">
        <v>1103004</v>
      </c>
      <c r="DH30" s="141">
        <v>150000</v>
      </c>
      <c r="DI30" s="141">
        <v>0</v>
      </c>
      <c r="DJ30" s="141">
        <v>0</v>
      </c>
      <c r="DK30" s="141">
        <v>1134500</v>
      </c>
      <c r="DL30" s="141">
        <v>919530</v>
      </c>
      <c r="DM30" s="141">
        <v>1129</v>
      </c>
      <c r="DN30" s="141">
        <v>213841</v>
      </c>
      <c r="DO30" s="141">
        <v>0</v>
      </c>
      <c r="DP30" s="141">
        <v>0</v>
      </c>
      <c r="DQ30" s="141">
        <v>0</v>
      </c>
      <c r="DR30" s="141">
        <v>0</v>
      </c>
      <c r="DS30" s="141">
        <v>272260</v>
      </c>
      <c r="DT30" s="141">
        <v>0</v>
      </c>
      <c r="DU30" s="141">
        <v>0</v>
      </c>
      <c r="DV30" s="141">
        <v>3006651</v>
      </c>
      <c r="DW30" s="141">
        <v>0</v>
      </c>
      <c r="DX30" s="73">
        <f t="shared" si="11"/>
        <v>0</v>
      </c>
      <c r="DY30" s="141">
        <v>0</v>
      </c>
      <c r="DZ30" s="141">
        <v>1037899</v>
      </c>
      <c r="EA30" s="141">
        <v>20810</v>
      </c>
      <c r="EB30" s="141">
        <v>815396</v>
      </c>
      <c r="EC30" s="74">
        <v>0</v>
      </c>
      <c r="ED30" s="141">
        <v>1132546</v>
      </c>
      <c r="EE30" s="141">
        <v>0</v>
      </c>
      <c r="EF30" s="141">
        <v>45271339</v>
      </c>
      <c r="EG30" s="71"/>
      <c r="EH30" s="141">
        <v>467217</v>
      </c>
      <c r="EI30" s="141">
        <v>148418</v>
      </c>
      <c r="EJ30" s="141">
        <v>318799</v>
      </c>
      <c r="EK30" s="141">
        <v>120966</v>
      </c>
      <c r="EL30" s="141">
        <v>1040496</v>
      </c>
      <c r="EM30" s="71"/>
      <c r="EN30" s="141">
        <v>87497</v>
      </c>
      <c r="EO30" s="141">
        <v>86740</v>
      </c>
      <c r="EP30" s="141">
        <v>100841</v>
      </c>
      <c r="EQ30" s="141">
        <v>34753</v>
      </c>
      <c r="ER30" s="73">
        <f t="shared" si="12"/>
        <v>1379913</v>
      </c>
      <c r="ES30" s="141">
        <v>21311189</v>
      </c>
      <c r="ET30" s="141">
        <v>-1762979</v>
      </c>
      <c r="EU30" s="141">
        <v>5465318</v>
      </c>
      <c r="EV30" s="141">
        <v>3242927</v>
      </c>
      <c r="EW30" s="141">
        <v>2678473</v>
      </c>
      <c r="EX30" s="141">
        <v>1904249</v>
      </c>
      <c r="EY30" s="73">
        <f t="shared" si="13"/>
        <v>544067</v>
      </c>
      <c r="EZ30" s="141">
        <v>544067</v>
      </c>
      <c r="FA30" s="141">
        <v>152735</v>
      </c>
      <c r="FB30" s="141">
        <v>376332</v>
      </c>
      <c r="FC30" s="141">
        <v>0</v>
      </c>
      <c r="FD30" s="141">
        <v>0</v>
      </c>
      <c r="FE30" s="141">
        <v>4349496</v>
      </c>
      <c r="FF30" s="141">
        <v>3737068</v>
      </c>
      <c r="FG30" s="141">
        <v>7156</v>
      </c>
      <c r="FH30" s="141">
        <v>2314957</v>
      </c>
      <c r="FI30" s="73">
        <f t="shared" si="14"/>
        <v>1613323</v>
      </c>
      <c r="FJ30" s="141">
        <v>22606951</v>
      </c>
      <c r="FK30" s="379">
        <f t="shared" si="15"/>
        <v>1.6</v>
      </c>
      <c r="FL30" s="141">
        <v>19329817</v>
      </c>
      <c r="FM30" s="141">
        <v>261572</v>
      </c>
      <c r="FN30" s="141">
        <v>14866506</v>
      </c>
      <c r="FO30" s="141">
        <v>15036395</v>
      </c>
      <c r="FP30" s="390">
        <v>0.98799999999999999</v>
      </c>
      <c r="FQ30" s="380">
        <v>95.8</v>
      </c>
      <c r="FR30" s="381">
        <v>27.3</v>
      </c>
      <c r="FS30" s="380">
        <v>13.5</v>
      </c>
      <c r="FT30" s="380">
        <v>9.6</v>
      </c>
      <c r="FU30" s="381">
        <v>19.399999999999999</v>
      </c>
      <c r="FV30" s="380">
        <v>11.6</v>
      </c>
      <c r="FW30" s="382">
        <v>11.1</v>
      </c>
      <c r="FX30" s="388">
        <v>-0.7</v>
      </c>
      <c r="FY30" s="141">
        <v>17715306</v>
      </c>
      <c r="FZ30" s="384">
        <f t="shared" si="16"/>
        <v>90.4</v>
      </c>
      <c r="GA30" s="141">
        <v>14394728</v>
      </c>
      <c r="GB30" s="141">
        <v>6069315</v>
      </c>
      <c r="GC30" s="141">
        <v>3062826</v>
      </c>
      <c r="GD30" s="141">
        <v>5262587</v>
      </c>
      <c r="GE30" s="107">
        <v>0</v>
      </c>
      <c r="GF30" s="385">
        <v>0</v>
      </c>
      <c r="GG30" s="384">
        <f>ROUND(GF30/(FL30+FM30)*100,1)</f>
        <v>0</v>
      </c>
      <c r="GH30" s="380">
        <v>96.4</v>
      </c>
      <c r="GI30" s="380">
        <v>40.9</v>
      </c>
      <c r="GJ30" s="380">
        <v>95.3</v>
      </c>
      <c r="GK30" s="141">
        <v>546</v>
      </c>
      <c r="GL30" s="391" t="s">
        <v>646</v>
      </c>
      <c r="GM30" s="391">
        <v>12.52</v>
      </c>
      <c r="GN30" s="117">
        <v>20</v>
      </c>
      <c r="GO30" s="391" t="s">
        <v>646</v>
      </c>
      <c r="GP30" s="392">
        <v>17.52</v>
      </c>
      <c r="GQ30" s="387">
        <v>30</v>
      </c>
      <c r="GR30" s="381">
        <v>-0.7</v>
      </c>
      <c r="GS30" s="388">
        <v>25</v>
      </c>
      <c r="GT30" s="388">
        <v>35</v>
      </c>
      <c r="GU30" s="393" t="s">
        <v>646</v>
      </c>
      <c r="GV30" s="388">
        <v>350</v>
      </c>
      <c r="GW30" s="394"/>
      <c r="GX30" s="100">
        <f t="shared" si="17"/>
        <v>19591</v>
      </c>
      <c r="GY30" s="394"/>
      <c r="GZ30" s="394"/>
      <c r="HA30" s="394"/>
      <c r="HB30" s="394"/>
      <c r="HC30" s="394"/>
      <c r="HD30" s="394"/>
      <c r="HE30" s="394"/>
      <c r="HF30" s="394"/>
      <c r="HG30" s="394"/>
      <c r="HH30" s="394"/>
      <c r="HI30" s="394"/>
      <c r="HJ30" s="394"/>
      <c r="HK30" s="394"/>
      <c r="HL30" s="394"/>
      <c r="HM30" s="394"/>
      <c r="HN30" s="394"/>
      <c r="HO30" s="394"/>
      <c r="HP30" s="394"/>
      <c r="HQ30" s="394"/>
      <c r="HR30" s="394"/>
      <c r="HS30" s="394"/>
      <c r="HT30" s="394"/>
      <c r="HU30" s="394"/>
      <c r="HV30" s="394"/>
      <c r="HW30" s="394"/>
      <c r="HX30" s="394"/>
    </row>
    <row r="31" spans="2:232" x14ac:dyDescent="0.15">
      <c r="B31" s="89" t="s">
        <v>51</v>
      </c>
      <c r="C31" s="141">
        <v>10256610</v>
      </c>
      <c r="D31" s="73">
        <f t="shared" si="0"/>
        <v>3308587</v>
      </c>
      <c r="E31" s="141">
        <v>95188</v>
      </c>
      <c r="F31" s="141">
        <v>3213399</v>
      </c>
      <c r="G31" s="73">
        <f t="shared" si="1"/>
        <v>447161</v>
      </c>
      <c r="H31" s="141">
        <v>156605</v>
      </c>
      <c r="I31" s="141">
        <v>290556</v>
      </c>
      <c r="J31" s="141">
        <v>5172365</v>
      </c>
      <c r="K31" s="141">
        <v>2268666</v>
      </c>
      <c r="L31" s="141">
        <v>1449240</v>
      </c>
      <c r="M31" s="141">
        <v>1395326</v>
      </c>
      <c r="N31" s="141">
        <v>327273</v>
      </c>
      <c r="O31" s="141">
        <v>918357</v>
      </c>
      <c r="P31" s="141">
        <v>588024</v>
      </c>
      <c r="Q31" s="141">
        <v>330333</v>
      </c>
      <c r="R31" s="141">
        <v>143734</v>
      </c>
      <c r="S31" s="74"/>
      <c r="T31" s="73">
        <f t="shared" si="2"/>
        <v>1302645</v>
      </c>
      <c r="U31" s="141">
        <v>11396</v>
      </c>
      <c r="V31" s="141">
        <v>48286</v>
      </c>
      <c r="W31" s="141">
        <v>54682</v>
      </c>
      <c r="X31" s="141">
        <v>1126848</v>
      </c>
      <c r="Y31" s="141">
        <v>0</v>
      </c>
      <c r="Z31" s="141">
        <v>0</v>
      </c>
      <c r="AA31" s="141">
        <v>2</v>
      </c>
      <c r="AB31" s="141">
        <v>15982</v>
      </c>
      <c r="AC31" s="141">
        <v>45449</v>
      </c>
      <c r="AD31" s="141">
        <v>63920</v>
      </c>
      <c r="AE31" s="141">
        <v>1913539</v>
      </c>
      <c r="AF31" s="141">
        <v>1803636</v>
      </c>
      <c r="AG31" s="141">
        <v>109903</v>
      </c>
      <c r="AH31" s="141">
        <v>8747</v>
      </c>
      <c r="AI31" s="141">
        <v>992</v>
      </c>
      <c r="AJ31" s="73">
        <f t="shared" si="3"/>
        <v>266014</v>
      </c>
      <c r="AK31" s="141">
        <v>207368</v>
      </c>
      <c r="AL31" s="141">
        <v>58646</v>
      </c>
      <c r="AM31" s="141">
        <v>11439064</v>
      </c>
      <c r="AN31" s="73">
        <f t="shared" si="4"/>
        <v>2663439</v>
      </c>
      <c r="AO31" s="141">
        <v>1374990</v>
      </c>
      <c r="AP31" s="141">
        <v>762870</v>
      </c>
      <c r="AQ31" s="74"/>
      <c r="AR31" s="141">
        <v>525579</v>
      </c>
      <c r="AS31" s="141">
        <v>177198</v>
      </c>
      <c r="AT31" s="141">
        <v>0</v>
      </c>
      <c r="AU31" s="141">
        <v>0</v>
      </c>
      <c r="AV31" s="141">
        <v>2084357</v>
      </c>
      <c r="AW31" s="141">
        <v>1599105</v>
      </c>
      <c r="AX31" s="141">
        <v>332515</v>
      </c>
      <c r="AY31" s="141">
        <v>12401</v>
      </c>
      <c r="AZ31" s="141">
        <v>485252</v>
      </c>
      <c r="BA31" s="141">
        <v>10019</v>
      </c>
      <c r="BB31" s="141">
        <v>500070</v>
      </c>
      <c r="BC31" s="141">
        <v>434287</v>
      </c>
      <c r="BD31" s="141">
        <v>13832</v>
      </c>
      <c r="BE31" s="141">
        <v>814767</v>
      </c>
      <c r="BF31" s="141">
        <v>10058</v>
      </c>
      <c r="BG31" s="141">
        <v>0</v>
      </c>
      <c r="BH31" s="141">
        <v>225721</v>
      </c>
      <c r="BI31" s="141">
        <v>0</v>
      </c>
      <c r="BJ31" s="141">
        <v>121518</v>
      </c>
      <c r="BK31" s="141">
        <v>78972</v>
      </c>
      <c r="BL31" s="141">
        <v>1356032</v>
      </c>
      <c r="BM31" s="141">
        <v>934731</v>
      </c>
      <c r="BN31" s="141">
        <v>0</v>
      </c>
      <c r="BO31" s="141">
        <v>0</v>
      </c>
      <c r="BP31" s="141">
        <v>2287300</v>
      </c>
      <c r="BQ31" s="73">
        <f t="shared" si="5"/>
        <v>1364000</v>
      </c>
      <c r="BR31" s="73">
        <f t="shared" si="6"/>
        <v>923300</v>
      </c>
      <c r="BS31" s="141">
        <v>0</v>
      </c>
      <c r="BT31" s="141">
        <v>0</v>
      </c>
      <c r="BU31" s="141">
        <v>923300</v>
      </c>
      <c r="BV31" s="141">
        <v>0</v>
      </c>
      <c r="BW31" s="141">
        <v>32573141</v>
      </c>
      <c r="BX31" s="71"/>
      <c r="BY31" s="141">
        <v>3272285</v>
      </c>
      <c r="BZ31" s="141">
        <v>1839157</v>
      </c>
      <c r="CA31" s="141">
        <v>175949</v>
      </c>
      <c r="CB31" s="141">
        <v>548532</v>
      </c>
      <c r="CC31" s="141">
        <v>6711293</v>
      </c>
      <c r="CD31" s="141">
        <v>1713134</v>
      </c>
      <c r="CE31" s="141">
        <v>15270</v>
      </c>
      <c r="CF31" s="141">
        <v>3249571</v>
      </c>
      <c r="CG31" s="141">
        <v>1672950</v>
      </c>
      <c r="CH31" s="141">
        <v>474</v>
      </c>
      <c r="CI31" s="141">
        <v>59894</v>
      </c>
      <c r="CJ31" s="141">
        <v>3146457</v>
      </c>
      <c r="CK31" s="141">
        <v>2878143</v>
      </c>
      <c r="CL31" s="83">
        <f t="shared" si="7"/>
        <v>268314</v>
      </c>
      <c r="CM31" s="141">
        <v>3451810</v>
      </c>
      <c r="CN31" s="141">
        <v>1973267</v>
      </c>
      <c r="CO31" s="102"/>
      <c r="CP31" s="141">
        <v>574753</v>
      </c>
      <c r="CQ31" s="141">
        <v>88494</v>
      </c>
      <c r="CR31" s="141">
        <v>9397522</v>
      </c>
      <c r="CS31" s="141">
        <v>276983</v>
      </c>
      <c r="CT31" s="141">
        <v>5785434</v>
      </c>
      <c r="CU31" s="141">
        <v>19679</v>
      </c>
      <c r="CV31" s="73">
        <f t="shared" si="8"/>
        <v>855023</v>
      </c>
      <c r="CW31" s="141">
        <v>731403</v>
      </c>
      <c r="CX31" s="141">
        <v>123620</v>
      </c>
      <c r="CY31" s="73">
        <f t="shared" si="9"/>
        <v>0</v>
      </c>
      <c r="CZ31" s="141">
        <v>0</v>
      </c>
      <c r="DA31" s="141">
        <v>0</v>
      </c>
      <c r="DB31" s="73">
        <f t="shared" si="10"/>
        <v>850000</v>
      </c>
      <c r="DC31" s="141">
        <v>726380</v>
      </c>
      <c r="DD31" s="141">
        <v>123620</v>
      </c>
      <c r="DE31" s="141">
        <v>3678820</v>
      </c>
      <c r="DF31" s="141">
        <v>1023635</v>
      </c>
      <c r="DG31" s="141">
        <v>1922628</v>
      </c>
      <c r="DH31" s="141">
        <v>622500</v>
      </c>
      <c r="DI31" s="141">
        <v>110057</v>
      </c>
      <c r="DJ31" s="141">
        <v>0</v>
      </c>
      <c r="DK31" s="141">
        <v>173725</v>
      </c>
      <c r="DL31" s="141">
        <v>53554</v>
      </c>
      <c r="DM31" s="141">
        <v>0</v>
      </c>
      <c r="DN31" s="141">
        <v>120171</v>
      </c>
      <c r="DO31" s="141">
        <v>0</v>
      </c>
      <c r="DP31" s="141">
        <v>0</v>
      </c>
      <c r="DQ31" s="141">
        <v>0</v>
      </c>
      <c r="DR31" s="141">
        <v>0</v>
      </c>
      <c r="DS31" s="141">
        <v>8165</v>
      </c>
      <c r="DT31" s="141">
        <v>0</v>
      </c>
      <c r="DU31" s="141">
        <v>0</v>
      </c>
      <c r="DV31" s="141">
        <v>2299772</v>
      </c>
      <c r="DW31" s="141">
        <v>0</v>
      </c>
      <c r="DX31" s="73">
        <f t="shared" si="11"/>
        <v>0</v>
      </c>
      <c r="DY31" s="141">
        <v>0</v>
      </c>
      <c r="DZ31" s="141">
        <v>877679</v>
      </c>
      <c r="EA31" s="141">
        <v>0</v>
      </c>
      <c r="EB31" s="141">
        <v>662343</v>
      </c>
      <c r="EC31" s="74">
        <v>0</v>
      </c>
      <c r="ED31" s="141">
        <v>758061</v>
      </c>
      <c r="EE31" s="141">
        <v>0</v>
      </c>
      <c r="EF31" s="141">
        <v>32228343</v>
      </c>
      <c r="EG31" s="71"/>
      <c r="EH31" s="141">
        <v>344798</v>
      </c>
      <c r="EI31" s="141">
        <v>31955</v>
      </c>
      <c r="EJ31" s="141">
        <v>312843</v>
      </c>
      <c r="EK31" s="141">
        <v>233871</v>
      </c>
      <c r="EL31" s="141">
        <v>277367</v>
      </c>
      <c r="EM31" s="71"/>
      <c r="EN31" s="141">
        <v>55599</v>
      </c>
      <c r="EO31" s="141">
        <v>57540</v>
      </c>
      <c r="EP31" s="141">
        <v>142496</v>
      </c>
      <c r="EQ31" s="141">
        <v>492797</v>
      </c>
      <c r="ER31" s="73">
        <f t="shared" si="12"/>
        <v>1605403</v>
      </c>
      <c r="ES31" s="141">
        <v>13689195</v>
      </c>
      <c r="ET31" s="141">
        <v>-3155249</v>
      </c>
      <c r="EU31" s="141">
        <v>2796898</v>
      </c>
      <c r="EV31" s="141">
        <v>1615931</v>
      </c>
      <c r="EW31" s="141">
        <v>1779806</v>
      </c>
      <c r="EX31" s="141">
        <v>3120081</v>
      </c>
      <c r="EY31" s="73">
        <f t="shared" si="13"/>
        <v>1163985</v>
      </c>
      <c r="EZ31" s="141">
        <v>1163985</v>
      </c>
      <c r="FA31" s="141">
        <v>149831</v>
      </c>
      <c r="FB31" s="141">
        <v>950447</v>
      </c>
      <c r="FC31" s="141">
        <v>0</v>
      </c>
      <c r="FD31" s="141">
        <v>0</v>
      </c>
      <c r="FE31" s="141">
        <v>2278194</v>
      </c>
      <c r="FF31" s="141">
        <v>3359497</v>
      </c>
      <c r="FG31" s="141">
        <v>265410</v>
      </c>
      <c r="FH31" s="141">
        <v>1801253</v>
      </c>
      <c r="FI31" s="73">
        <f t="shared" si="14"/>
        <v>199932</v>
      </c>
      <c r="FJ31" s="141">
        <v>16499646</v>
      </c>
      <c r="FK31" s="379">
        <f t="shared" si="15"/>
        <v>2.2999999999999998</v>
      </c>
      <c r="FL31" s="141">
        <v>12715961</v>
      </c>
      <c r="FM31" s="141">
        <v>923404</v>
      </c>
      <c r="FN31" s="141">
        <v>8487604</v>
      </c>
      <c r="FO31" s="141">
        <v>10296500</v>
      </c>
      <c r="FP31" s="390">
        <v>0.83</v>
      </c>
      <c r="FQ31" s="380">
        <v>95.9</v>
      </c>
      <c r="FR31" s="381">
        <v>19.100000000000001</v>
      </c>
      <c r="FS31" s="380">
        <v>12.2</v>
      </c>
      <c r="FT31" s="380">
        <v>22.7</v>
      </c>
      <c r="FU31" s="381">
        <v>14.8</v>
      </c>
      <c r="FV31" s="380">
        <v>14.6</v>
      </c>
      <c r="FW31" s="382">
        <v>12.1</v>
      </c>
      <c r="FX31" s="388">
        <v>13.9</v>
      </c>
      <c r="FY31" s="141">
        <v>35368453</v>
      </c>
      <c r="FZ31" s="384">
        <f t="shared" si="16"/>
        <v>259.3</v>
      </c>
      <c r="GA31" s="141">
        <v>4204445</v>
      </c>
      <c r="GB31" s="141">
        <v>2148849</v>
      </c>
      <c r="GC31" s="141">
        <v>0</v>
      </c>
      <c r="GD31" s="141">
        <v>2055596</v>
      </c>
      <c r="GE31" s="107">
        <v>0</v>
      </c>
      <c r="GF31" s="385">
        <v>0</v>
      </c>
      <c r="GG31" s="384">
        <f>ROUND(GF31/(FL31+FM31)*100,1)</f>
        <v>0</v>
      </c>
      <c r="GH31" s="380">
        <v>99</v>
      </c>
      <c r="GI31" s="380">
        <v>42.9</v>
      </c>
      <c r="GJ31" s="380">
        <v>97.5</v>
      </c>
      <c r="GK31" s="141">
        <v>308</v>
      </c>
      <c r="GL31" s="391" t="s">
        <v>646</v>
      </c>
      <c r="GM31" s="391">
        <v>12.89</v>
      </c>
      <c r="GN31" s="117">
        <v>20</v>
      </c>
      <c r="GO31" s="391" t="s">
        <v>646</v>
      </c>
      <c r="GP31" s="392">
        <v>17.89</v>
      </c>
      <c r="GQ31" s="387">
        <v>30</v>
      </c>
      <c r="GR31" s="381">
        <v>13.9</v>
      </c>
      <c r="GS31" s="388">
        <v>25</v>
      </c>
      <c r="GT31" s="388">
        <v>35</v>
      </c>
      <c r="GU31" s="393">
        <v>121</v>
      </c>
      <c r="GV31" s="388">
        <v>350</v>
      </c>
      <c r="GW31" s="394"/>
      <c r="GX31" s="100">
        <f t="shared" si="17"/>
        <v>13639</v>
      </c>
      <c r="GY31" s="394"/>
      <c r="GZ31" s="394"/>
      <c r="HA31" s="394"/>
      <c r="HB31" s="394"/>
      <c r="HC31" s="394"/>
      <c r="HD31" s="394"/>
      <c r="HE31" s="394"/>
      <c r="HF31" s="394"/>
      <c r="HG31" s="394"/>
      <c r="HH31" s="394"/>
      <c r="HI31" s="394"/>
      <c r="HJ31" s="394"/>
      <c r="HK31" s="394"/>
      <c r="HL31" s="394"/>
      <c r="HM31" s="394"/>
      <c r="HN31" s="394"/>
      <c r="HO31" s="394"/>
      <c r="HP31" s="394"/>
      <c r="HQ31" s="394"/>
      <c r="HR31" s="394"/>
      <c r="HS31" s="394"/>
      <c r="HT31" s="394"/>
      <c r="HU31" s="394"/>
      <c r="HV31" s="394"/>
      <c r="HW31" s="394"/>
      <c r="HX31" s="394"/>
    </row>
    <row r="32" spans="2:232" x14ac:dyDescent="0.15">
      <c r="B32" s="89" t="s">
        <v>53</v>
      </c>
      <c r="C32" s="141">
        <v>8581704</v>
      </c>
      <c r="D32" s="73">
        <f t="shared" si="0"/>
        <v>3584168</v>
      </c>
      <c r="E32" s="141">
        <v>104979</v>
      </c>
      <c r="F32" s="141">
        <v>3479189</v>
      </c>
      <c r="G32" s="73">
        <f t="shared" si="1"/>
        <v>489378</v>
      </c>
      <c r="H32" s="141">
        <v>153073</v>
      </c>
      <c r="I32" s="141">
        <v>336305</v>
      </c>
      <c r="J32" s="141">
        <v>3285759</v>
      </c>
      <c r="K32" s="141">
        <v>1260874</v>
      </c>
      <c r="L32" s="141">
        <v>1586763</v>
      </c>
      <c r="M32" s="141">
        <v>406085</v>
      </c>
      <c r="N32" s="141">
        <v>385360</v>
      </c>
      <c r="O32" s="141">
        <v>730376</v>
      </c>
      <c r="P32" s="141">
        <v>381574</v>
      </c>
      <c r="Q32" s="141">
        <v>348802</v>
      </c>
      <c r="R32" s="141">
        <v>107871</v>
      </c>
      <c r="S32" s="74"/>
      <c r="T32" s="73">
        <f t="shared" si="2"/>
        <v>1473298</v>
      </c>
      <c r="U32" s="141">
        <v>12376</v>
      </c>
      <c r="V32" s="141">
        <v>52482</v>
      </c>
      <c r="W32" s="141">
        <v>59513</v>
      </c>
      <c r="X32" s="141">
        <v>1297177</v>
      </c>
      <c r="Y32" s="141">
        <v>0</v>
      </c>
      <c r="Z32" s="141">
        <v>0</v>
      </c>
      <c r="AA32" s="141">
        <v>3</v>
      </c>
      <c r="AB32" s="141">
        <v>18537</v>
      </c>
      <c r="AC32" s="141">
        <v>33210</v>
      </c>
      <c r="AD32" s="141">
        <v>68923</v>
      </c>
      <c r="AE32" s="141">
        <v>4363518</v>
      </c>
      <c r="AF32" s="141">
        <v>4212111</v>
      </c>
      <c r="AG32" s="141">
        <v>151407</v>
      </c>
      <c r="AH32" s="141">
        <v>9308</v>
      </c>
      <c r="AI32" s="141">
        <v>97787</v>
      </c>
      <c r="AJ32" s="73">
        <f t="shared" si="3"/>
        <v>300233</v>
      </c>
      <c r="AK32" s="141">
        <v>258641</v>
      </c>
      <c r="AL32" s="141">
        <v>41592</v>
      </c>
      <c r="AM32" s="141">
        <v>12222327</v>
      </c>
      <c r="AN32" s="73">
        <f t="shared" si="4"/>
        <v>2940332</v>
      </c>
      <c r="AO32" s="141">
        <v>1747500</v>
      </c>
      <c r="AP32" s="141">
        <v>455716</v>
      </c>
      <c r="AQ32" s="74"/>
      <c r="AR32" s="141">
        <v>737116</v>
      </c>
      <c r="AS32" s="141">
        <v>182851</v>
      </c>
      <c r="AT32" s="141">
        <v>0</v>
      </c>
      <c r="AU32" s="141">
        <v>0</v>
      </c>
      <c r="AV32" s="141">
        <v>1782452</v>
      </c>
      <c r="AW32" s="141">
        <v>1056902</v>
      </c>
      <c r="AX32" s="141">
        <v>273068</v>
      </c>
      <c r="AY32" s="141">
        <v>135</v>
      </c>
      <c r="AZ32" s="141">
        <v>725550</v>
      </c>
      <c r="BA32" s="141">
        <v>10712</v>
      </c>
      <c r="BB32" s="141">
        <v>27772</v>
      </c>
      <c r="BC32" s="141">
        <v>8374</v>
      </c>
      <c r="BD32" s="141">
        <v>51208</v>
      </c>
      <c r="BE32" s="141">
        <v>44169</v>
      </c>
      <c r="BF32" s="141">
        <v>0</v>
      </c>
      <c r="BG32" s="141">
        <v>0</v>
      </c>
      <c r="BH32" s="141">
        <v>44169</v>
      </c>
      <c r="BI32" s="141">
        <v>0</v>
      </c>
      <c r="BJ32" s="141">
        <v>44466</v>
      </c>
      <c r="BK32" s="141">
        <v>6971</v>
      </c>
      <c r="BL32" s="141">
        <v>183163</v>
      </c>
      <c r="BM32" s="141">
        <v>0</v>
      </c>
      <c r="BN32" s="141">
        <v>0</v>
      </c>
      <c r="BO32" s="141">
        <v>0</v>
      </c>
      <c r="BP32" s="141">
        <v>1204900</v>
      </c>
      <c r="BQ32" s="73">
        <f t="shared" si="5"/>
        <v>449800</v>
      </c>
      <c r="BR32" s="73">
        <f t="shared" si="6"/>
        <v>755100</v>
      </c>
      <c r="BS32" s="141">
        <v>0</v>
      </c>
      <c r="BT32" s="141">
        <v>55100</v>
      </c>
      <c r="BU32" s="141">
        <v>700000</v>
      </c>
      <c r="BV32" s="141">
        <v>0</v>
      </c>
      <c r="BW32" s="141">
        <v>30563099</v>
      </c>
      <c r="BX32" s="71"/>
      <c r="BY32" s="141">
        <v>4559488</v>
      </c>
      <c r="BZ32" s="141">
        <v>2635352</v>
      </c>
      <c r="CA32" s="141">
        <v>266314</v>
      </c>
      <c r="CB32" s="141">
        <v>809877</v>
      </c>
      <c r="CC32" s="141">
        <v>7246908</v>
      </c>
      <c r="CD32" s="141">
        <v>1783103</v>
      </c>
      <c r="CE32" s="141">
        <v>17829</v>
      </c>
      <c r="CF32" s="141">
        <v>3216163</v>
      </c>
      <c r="CG32" s="141">
        <v>2158431</v>
      </c>
      <c r="CH32" s="141">
        <v>6169</v>
      </c>
      <c r="CI32" s="141">
        <v>65183</v>
      </c>
      <c r="CJ32" s="141">
        <v>1466923</v>
      </c>
      <c r="CK32" s="141">
        <v>1361093</v>
      </c>
      <c r="CL32" s="83">
        <f t="shared" si="7"/>
        <v>105830</v>
      </c>
      <c r="CM32" s="141">
        <v>2914712</v>
      </c>
      <c r="CN32" s="141">
        <v>1820237</v>
      </c>
      <c r="CO32" s="102"/>
      <c r="CP32" s="141">
        <v>316339</v>
      </c>
      <c r="CQ32" s="141">
        <v>106012</v>
      </c>
      <c r="CR32" s="141">
        <v>10660172</v>
      </c>
      <c r="CS32" s="141">
        <v>1691213</v>
      </c>
      <c r="CT32" s="141">
        <v>6776306</v>
      </c>
      <c r="CU32" s="141">
        <v>296863</v>
      </c>
      <c r="CV32" s="73">
        <f t="shared" si="8"/>
        <v>1466126</v>
      </c>
      <c r="CW32" s="141">
        <v>412027</v>
      </c>
      <c r="CX32" s="141">
        <v>1054099</v>
      </c>
      <c r="CY32" s="73">
        <f t="shared" si="9"/>
        <v>207762</v>
      </c>
      <c r="CZ32" s="141">
        <v>119331</v>
      </c>
      <c r="DA32" s="141">
        <v>88431</v>
      </c>
      <c r="DB32" s="73">
        <f t="shared" si="10"/>
        <v>1210864</v>
      </c>
      <c r="DC32" s="141">
        <v>287273</v>
      </c>
      <c r="DD32" s="141">
        <v>923591</v>
      </c>
      <c r="DE32" s="141">
        <v>743989</v>
      </c>
      <c r="DF32" s="141">
        <v>384708</v>
      </c>
      <c r="DG32" s="141">
        <v>359281</v>
      </c>
      <c r="DH32" s="141">
        <v>0</v>
      </c>
      <c r="DI32" s="141">
        <v>0</v>
      </c>
      <c r="DJ32" s="141">
        <v>0</v>
      </c>
      <c r="DK32" s="141">
        <v>70508</v>
      </c>
      <c r="DL32" s="141">
        <v>749</v>
      </c>
      <c r="DM32" s="141">
        <v>2</v>
      </c>
      <c r="DN32" s="141">
        <v>69757</v>
      </c>
      <c r="DO32" s="141">
        <v>0</v>
      </c>
      <c r="DP32" s="141">
        <v>0</v>
      </c>
      <c r="DQ32" s="141">
        <v>0</v>
      </c>
      <c r="DR32" s="141">
        <v>0</v>
      </c>
      <c r="DS32" s="141">
        <v>0</v>
      </c>
      <c r="DT32" s="141">
        <v>0</v>
      </c>
      <c r="DU32" s="141">
        <v>0</v>
      </c>
      <c r="DV32" s="141">
        <v>2674899</v>
      </c>
      <c r="DW32" s="141">
        <v>0</v>
      </c>
      <c r="DX32" s="73">
        <f t="shared" si="11"/>
        <v>0</v>
      </c>
      <c r="DY32" s="141">
        <v>0</v>
      </c>
      <c r="DZ32" s="141">
        <v>898637</v>
      </c>
      <c r="EA32" s="141">
        <v>0</v>
      </c>
      <c r="EB32" s="141">
        <v>795369</v>
      </c>
      <c r="EC32" s="74">
        <v>0</v>
      </c>
      <c r="ED32" s="141">
        <v>980892</v>
      </c>
      <c r="EE32" s="141">
        <v>0</v>
      </c>
      <c r="EF32" s="141">
        <v>30443611</v>
      </c>
      <c r="EG32" s="71"/>
      <c r="EH32" s="141">
        <v>119488</v>
      </c>
      <c r="EI32" s="141">
        <v>57569</v>
      </c>
      <c r="EJ32" s="141">
        <v>61919</v>
      </c>
      <c r="EK32" s="141">
        <v>44948</v>
      </c>
      <c r="EL32" s="141">
        <v>45697</v>
      </c>
      <c r="EM32" s="71"/>
      <c r="EN32" s="141">
        <v>63714</v>
      </c>
      <c r="EO32" s="141">
        <v>64200</v>
      </c>
      <c r="EP32" s="141">
        <v>0</v>
      </c>
      <c r="EQ32" s="141">
        <v>27768</v>
      </c>
      <c r="ER32" s="73">
        <f t="shared" si="12"/>
        <v>1328090</v>
      </c>
      <c r="ES32" s="141">
        <v>14604622</v>
      </c>
      <c r="ET32" s="141">
        <v>-2101650</v>
      </c>
      <c r="EU32" s="141">
        <v>4174233</v>
      </c>
      <c r="EV32" s="141">
        <v>2425833</v>
      </c>
      <c r="EW32" s="141">
        <v>2273301</v>
      </c>
      <c r="EX32" s="141">
        <v>1407876</v>
      </c>
      <c r="EY32" s="73">
        <f t="shared" si="13"/>
        <v>80129</v>
      </c>
      <c r="EZ32" s="141">
        <v>80129</v>
      </c>
      <c r="FA32" s="141">
        <v>2079</v>
      </c>
      <c r="FB32" s="141">
        <v>78050</v>
      </c>
      <c r="FC32" s="141">
        <v>0</v>
      </c>
      <c r="FD32" s="141">
        <v>0</v>
      </c>
      <c r="FE32" s="141">
        <v>2411836</v>
      </c>
      <c r="FF32" s="141">
        <v>4024383</v>
      </c>
      <c r="FG32" s="141">
        <v>1688050</v>
      </c>
      <c r="FH32" s="141">
        <v>2085880</v>
      </c>
      <c r="FI32" s="73">
        <f t="shared" si="14"/>
        <v>129146</v>
      </c>
      <c r="FJ32" s="141">
        <v>16586784</v>
      </c>
      <c r="FK32" s="379">
        <f t="shared" si="15"/>
        <v>0.4</v>
      </c>
      <c r="FL32" s="141">
        <v>13533727</v>
      </c>
      <c r="FM32" s="141">
        <v>700149</v>
      </c>
      <c r="FN32" s="141">
        <v>7299021</v>
      </c>
      <c r="FO32" s="141">
        <v>11515067</v>
      </c>
      <c r="FP32" s="390">
        <v>0.625</v>
      </c>
      <c r="FQ32" s="380">
        <v>98.4</v>
      </c>
      <c r="FR32" s="381">
        <v>27.6</v>
      </c>
      <c r="FS32" s="380">
        <v>14.1</v>
      </c>
      <c r="FT32" s="380">
        <v>9.6999999999999993</v>
      </c>
      <c r="FU32" s="381">
        <v>12.6</v>
      </c>
      <c r="FV32" s="380">
        <v>20.399999999999999</v>
      </c>
      <c r="FW32" s="382">
        <v>13.3</v>
      </c>
      <c r="FX32" s="388">
        <v>1.3</v>
      </c>
      <c r="FY32" s="141">
        <v>19236516</v>
      </c>
      <c r="FZ32" s="384">
        <f t="shared" si="16"/>
        <v>135.1</v>
      </c>
      <c r="GA32" s="141">
        <v>2032091</v>
      </c>
      <c r="GB32" s="141">
        <v>1504090</v>
      </c>
      <c r="GC32" s="141">
        <v>171854</v>
      </c>
      <c r="GD32" s="141">
        <v>356147</v>
      </c>
      <c r="GE32" s="107">
        <v>0</v>
      </c>
      <c r="GF32" s="385"/>
      <c r="GG32" s="386"/>
      <c r="GH32" s="380">
        <v>99.1</v>
      </c>
      <c r="GI32" s="380">
        <v>60.6</v>
      </c>
      <c r="GJ32" s="380">
        <v>98.4</v>
      </c>
      <c r="GK32" s="141">
        <v>465</v>
      </c>
      <c r="GL32" s="391" t="s">
        <v>646</v>
      </c>
      <c r="GM32" s="391">
        <v>12.84</v>
      </c>
      <c r="GN32" s="117">
        <v>20</v>
      </c>
      <c r="GO32" s="391" t="s">
        <v>646</v>
      </c>
      <c r="GP32" s="392">
        <v>17.84</v>
      </c>
      <c r="GQ32" s="387">
        <v>30</v>
      </c>
      <c r="GR32" s="381">
        <v>1.3</v>
      </c>
      <c r="GS32" s="388">
        <v>25</v>
      </c>
      <c r="GT32" s="388">
        <v>35</v>
      </c>
      <c r="GU32" s="393">
        <v>71.900000000000006</v>
      </c>
      <c r="GV32" s="388">
        <v>350</v>
      </c>
      <c r="GW32" s="394"/>
      <c r="GX32" s="100">
        <f t="shared" si="17"/>
        <v>14234</v>
      </c>
      <c r="GY32" s="394"/>
      <c r="GZ32" s="394"/>
      <c r="HA32" s="394"/>
      <c r="HB32" s="394"/>
      <c r="HC32" s="394"/>
      <c r="HD32" s="394"/>
      <c r="HE32" s="394"/>
      <c r="HF32" s="394"/>
      <c r="HG32" s="394"/>
      <c r="HH32" s="394"/>
      <c r="HI32" s="394"/>
      <c r="HJ32" s="394"/>
      <c r="HK32" s="394"/>
      <c r="HL32" s="394"/>
      <c r="HM32" s="394"/>
      <c r="HN32" s="394"/>
      <c r="HO32" s="394"/>
      <c r="HP32" s="394"/>
      <c r="HQ32" s="394"/>
      <c r="HR32" s="394"/>
      <c r="HS32" s="394"/>
      <c r="HT32" s="394"/>
      <c r="HU32" s="394"/>
      <c r="HV32" s="394"/>
      <c r="HW32" s="394"/>
      <c r="HX32" s="394"/>
    </row>
    <row r="33" spans="1:232" x14ac:dyDescent="0.15">
      <c r="B33" s="89" t="s">
        <v>55</v>
      </c>
      <c r="C33" s="141">
        <v>77710422</v>
      </c>
      <c r="D33" s="73">
        <f t="shared" si="0"/>
        <v>26061338</v>
      </c>
      <c r="E33" s="141">
        <v>797009</v>
      </c>
      <c r="F33" s="141">
        <v>25264329</v>
      </c>
      <c r="G33" s="73">
        <f t="shared" si="1"/>
        <v>5344212</v>
      </c>
      <c r="H33" s="141">
        <v>1543541</v>
      </c>
      <c r="I33" s="141">
        <v>3800671</v>
      </c>
      <c r="J33" s="141">
        <v>32181767</v>
      </c>
      <c r="K33" s="141">
        <v>15131175</v>
      </c>
      <c r="L33" s="141">
        <v>13205634</v>
      </c>
      <c r="M33" s="141">
        <v>3506297</v>
      </c>
      <c r="N33" s="141">
        <v>4134197</v>
      </c>
      <c r="O33" s="141">
        <v>6901473</v>
      </c>
      <c r="P33" s="141">
        <v>3994544</v>
      </c>
      <c r="Q33" s="141">
        <v>2906929</v>
      </c>
      <c r="R33" s="141">
        <v>804676</v>
      </c>
      <c r="S33" s="74"/>
      <c r="T33" s="73">
        <f t="shared" si="2"/>
        <v>12122788</v>
      </c>
      <c r="U33" s="141">
        <v>87855</v>
      </c>
      <c r="V33" s="141">
        <v>373421</v>
      </c>
      <c r="W33" s="141">
        <v>425242</v>
      </c>
      <c r="X33" s="141">
        <v>10627307</v>
      </c>
      <c r="Y33" s="141">
        <v>0</v>
      </c>
      <c r="Z33" s="141">
        <v>0</v>
      </c>
      <c r="AA33" s="141">
        <v>19</v>
      </c>
      <c r="AB33" s="141">
        <v>137964</v>
      </c>
      <c r="AC33" s="141">
        <v>470980</v>
      </c>
      <c r="AD33" s="141">
        <v>498358</v>
      </c>
      <c r="AE33" s="141">
        <v>20160144</v>
      </c>
      <c r="AF33" s="141">
        <v>19570502</v>
      </c>
      <c r="AG33" s="141">
        <v>589642</v>
      </c>
      <c r="AH33" s="141">
        <v>74467</v>
      </c>
      <c r="AI33" s="141">
        <v>1723223</v>
      </c>
      <c r="AJ33" s="73">
        <f t="shared" si="3"/>
        <v>2006300</v>
      </c>
      <c r="AK33" s="141">
        <v>1637450</v>
      </c>
      <c r="AL33" s="141">
        <v>368850</v>
      </c>
      <c r="AM33" s="141">
        <v>107429905</v>
      </c>
      <c r="AN33" s="73">
        <f t="shared" si="4"/>
        <v>33908796</v>
      </c>
      <c r="AO33" s="141">
        <v>23990491</v>
      </c>
      <c r="AP33" s="141">
        <v>2717929</v>
      </c>
      <c r="AQ33" s="74"/>
      <c r="AR33" s="141">
        <v>7200376</v>
      </c>
      <c r="AS33" s="141">
        <v>1037928</v>
      </c>
      <c r="AT33" s="141">
        <v>0</v>
      </c>
      <c r="AU33" s="141">
        <v>0</v>
      </c>
      <c r="AV33" s="141">
        <v>15370013</v>
      </c>
      <c r="AW33" s="141">
        <v>9887448</v>
      </c>
      <c r="AX33" s="141">
        <v>0</v>
      </c>
      <c r="AY33" s="141">
        <v>124897</v>
      </c>
      <c r="AZ33" s="141">
        <v>5482565</v>
      </c>
      <c r="BA33" s="141">
        <v>179669</v>
      </c>
      <c r="BB33" s="141">
        <v>691473</v>
      </c>
      <c r="BC33" s="141">
        <v>313593</v>
      </c>
      <c r="BD33" s="141">
        <v>190919</v>
      </c>
      <c r="BE33" s="141">
        <v>2935821</v>
      </c>
      <c r="BF33" s="141">
        <v>2500000</v>
      </c>
      <c r="BG33" s="141">
        <v>0</v>
      </c>
      <c r="BH33" s="141">
        <v>249836</v>
      </c>
      <c r="BI33" s="141">
        <v>0</v>
      </c>
      <c r="BJ33" s="141">
        <v>3259850</v>
      </c>
      <c r="BK33" s="141">
        <v>2914042</v>
      </c>
      <c r="BL33" s="141">
        <v>3413745</v>
      </c>
      <c r="BM33" s="141">
        <v>1846029</v>
      </c>
      <c r="BN33" s="141">
        <v>0</v>
      </c>
      <c r="BO33" s="141">
        <v>259658</v>
      </c>
      <c r="BP33" s="141">
        <v>11258900</v>
      </c>
      <c r="BQ33" s="73">
        <f t="shared" si="5"/>
        <v>3931100</v>
      </c>
      <c r="BR33" s="73">
        <f t="shared" si="6"/>
        <v>7327800</v>
      </c>
      <c r="BS33" s="141">
        <v>0</v>
      </c>
      <c r="BT33" s="141">
        <v>0</v>
      </c>
      <c r="BU33" s="141">
        <v>7327800</v>
      </c>
      <c r="BV33" s="141">
        <v>0</v>
      </c>
      <c r="BW33" s="141">
        <v>259651004</v>
      </c>
      <c r="BX33" s="71"/>
      <c r="BY33" s="141">
        <v>27563311</v>
      </c>
      <c r="BZ33" s="141">
        <v>18991151</v>
      </c>
      <c r="CA33" s="141">
        <v>1695728</v>
      </c>
      <c r="CB33" s="141">
        <v>2035979</v>
      </c>
      <c r="CC33" s="141">
        <v>75404623</v>
      </c>
      <c r="CD33" s="141">
        <v>16097463</v>
      </c>
      <c r="CE33" s="141">
        <v>521061</v>
      </c>
      <c r="CF33" s="141">
        <v>24005577</v>
      </c>
      <c r="CG33" s="141">
        <v>30804596</v>
      </c>
      <c r="CH33" s="141">
        <v>1585036</v>
      </c>
      <c r="CI33" s="141">
        <v>2390890</v>
      </c>
      <c r="CJ33" s="141">
        <v>20371299</v>
      </c>
      <c r="CK33" s="141">
        <v>19644712</v>
      </c>
      <c r="CL33" s="83">
        <f t="shared" si="7"/>
        <v>726587</v>
      </c>
      <c r="CM33" s="141">
        <v>21481721</v>
      </c>
      <c r="CN33" s="141">
        <v>16251834</v>
      </c>
      <c r="CO33" s="102"/>
      <c r="CP33" s="141">
        <v>2196035</v>
      </c>
      <c r="CQ33" s="141">
        <v>1546907</v>
      </c>
      <c r="CR33" s="141">
        <v>70861489</v>
      </c>
      <c r="CS33" s="141">
        <v>2252835</v>
      </c>
      <c r="CT33" s="141">
        <v>53552533</v>
      </c>
      <c r="CU33" s="141">
        <v>4416600</v>
      </c>
      <c r="CV33" s="73">
        <f t="shared" si="8"/>
        <v>7873183</v>
      </c>
      <c r="CW33" s="141">
        <v>7242055</v>
      </c>
      <c r="CX33" s="141">
        <v>631128</v>
      </c>
      <c r="CY33" s="73">
        <f t="shared" si="9"/>
        <v>0</v>
      </c>
      <c r="CZ33" s="141">
        <v>0</v>
      </c>
      <c r="DA33" s="141">
        <v>0</v>
      </c>
      <c r="DB33" s="73">
        <f t="shared" si="10"/>
        <v>7426108</v>
      </c>
      <c r="DC33" s="141">
        <v>7180351</v>
      </c>
      <c r="DD33" s="141">
        <v>245757</v>
      </c>
      <c r="DE33" s="141">
        <v>10670142</v>
      </c>
      <c r="DF33" s="141">
        <v>3148456</v>
      </c>
      <c r="DG33" s="141">
        <v>7011961</v>
      </c>
      <c r="DH33" s="141">
        <v>88673</v>
      </c>
      <c r="DI33" s="141">
        <v>421052</v>
      </c>
      <c r="DJ33" s="141">
        <v>67278</v>
      </c>
      <c r="DK33" s="141">
        <v>4121180</v>
      </c>
      <c r="DL33" s="141">
        <v>2047500</v>
      </c>
      <c r="DM33" s="141">
        <v>433900</v>
      </c>
      <c r="DN33" s="141">
        <v>1639780</v>
      </c>
      <c r="DO33" s="141">
        <v>1466536</v>
      </c>
      <c r="DP33" s="141">
        <v>1466536</v>
      </c>
      <c r="DQ33" s="141">
        <v>0</v>
      </c>
      <c r="DR33" s="141">
        <v>0</v>
      </c>
      <c r="DS33" s="141">
        <v>1636411</v>
      </c>
      <c r="DT33" s="141">
        <v>0</v>
      </c>
      <c r="DU33" s="141">
        <v>0</v>
      </c>
      <c r="DV33" s="141">
        <v>20883515</v>
      </c>
      <c r="DW33" s="141">
        <v>0</v>
      </c>
      <c r="DX33" s="73">
        <f t="shared" si="11"/>
        <v>0</v>
      </c>
      <c r="DY33" s="141">
        <v>0</v>
      </c>
      <c r="DZ33" s="141">
        <v>6928716</v>
      </c>
      <c r="EA33" s="141">
        <v>0</v>
      </c>
      <c r="EB33" s="141">
        <v>6184714</v>
      </c>
      <c r="EC33" s="74">
        <v>0</v>
      </c>
      <c r="ED33" s="141">
        <v>7770082</v>
      </c>
      <c r="EE33" s="141">
        <v>0</v>
      </c>
      <c r="EF33" s="141">
        <v>256074412</v>
      </c>
      <c r="EG33" s="71"/>
      <c r="EH33" s="141">
        <v>3576592</v>
      </c>
      <c r="EI33" s="141">
        <v>383204</v>
      </c>
      <c r="EJ33" s="141">
        <v>3193388</v>
      </c>
      <c r="EK33" s="141">
        <v>279346</v>
      </c>
      <c r="EL33" s="141">
        <v>-151960</v>
      </c>
      <c r="EM33" s="71"/>
      <c r="EN33" s="141">
        <v>494074</v>
      </c>
      <c r="EO33" s="141">
        <v>485928</v>
      </c>
      <c r="EP33" s="141">
        <v>2620047</v>
      </c>
      <c r="EQ33" s="141">
        <v>526239</v>
      </c>
      <c r="ER33" s="73">
        <f t="shared" si="12"/>
        <v>11504215</v>
      </c>
      <c r="ES33" s="141">
        <v>111370855</v>
      </c>
      <c r="ET33" s="141">
        <v>-21903834</v>
      </c>
      <c r="EU33" s="141">
        <v>26031934</v>
      </c>
      <c r="EV33" s="141">
        <v>17683736</v>
      </c>
      <c r="EW33" s="141">
        <v>19043890</v>
      </c>
      <c r="EX33" s="141">
        <v>20371299</v>
      </c>
      <c r="EY33" s="73">
        <f t="shared" si="13"/>
        <v>4627631</v>
      </c>
      <c r="EZ33" s="141">
        <v>4573953</v>
      </c>
      <c r="FA33" s="141">
        <v>206909</v>
      </c>
      <c r="FB33" s="141">
        <v>4358071</v>
      </c>
      <c r="FC33" s="141">
        <v>53678</v>
      </c>
      <c r="FD33" s="141">
        <v>0</v>
      </c>
      <c r="FE33" s="141">
        <v>16220248</v>
      </c>
      <c r="FF33" s="141">
        <v>20704430</v>
      </c>
      <c r="FG33" s="141">
        <v>2252835</v>
      </c>
      <c r="FH33" s="141">
        <v>15981235</v>
      </c>
      <c r="FI33" s="73">
        <f t="shared" si="14"/>
        <v>6717430</v>
      </c>
      <c r="FJ33" s="141">
        <v>129698097</v>
      </c>
      <c r="FK33" s="379">
        <f t="shared" si="15"/>
        <v>2.9</v>
      </c>
      <c r="FL33" s="141">
        <v>103757437</v>
      </c>
      <c r="FM33" s="141">
        <v>7327845</v>
      </c>
      <c r="FN33" s="141">
        <v>65773551</v>
      </c>
      <c r="FO33" s="141">
        <v>85350810</v>
      </c>
      <c r="FP33" s="390">
        <v>0.76600000000000001</v>
      </c>
      <c r="FQ33" s="380">
        <v>96.3</v>
      </c>
      <c r="FR33" s="381">
        <v>23</v>
      </c>
      <c r="FS33" s="380">
        <v>16.899999999999999</v>
      </c>
      <c r="FT33" s="380">
        <v>18.100000000000001</v>
      </c>
      <c r="FU33" s="381">
        <v>11.4</v>
      </c>
      <c r="FV33" s="380">
        <v>13.1</v>
      </c>
      <c r="FW33" s="382">
        <v>12.7</v>
      </c>
      <c r="FX33" s="388">
        <v>6.3</v>
      </c>
      <c r="FY33" s="141">
        <v>182821162</v>
      </c>
      <c r="FZ33" s="384">
        <f t="shared" si="16"/>
        <v>164.6</v>
      </c>
      <c r="GA33" s="141">
        <v>28106334</v>
      </c>
      <c r="GB33" s="141">
        <v>16652820</v>
      </c>
      <c r="GC33" s="141">
        <v>4804900</v>
      </c>
      <c r="GD33" s="141">
        <v>6648614</v>
      </c>
      <c r="GE33" s="107">
        <v>0</v>
      </c>
      <c r="GF33" s="385"/>
      <c r="GG33" s="386"/>
      <c r="GH33" s="380">
        <v>98.7</v>
      </c>
      <c r="GI33" s="380">
        <v>51.5</v>
      </c>
      <c r="GJ33" s="380">
        <v>98.1</v>
      </c>
      <c r="GK33" s="141">
        <v>2716</v>
      </c>
      <c r="GL33" s="391" t="s">
        <v>646</v>
      </c>
      <c r="GM33" s="391">
        <v>11.25</v>
      </c>
      <c r="GN33" s="117">
        <v>20</v>
      </c>
      <c r="GO33" s="391" t="s">
        <v>646</v>
      </c>
      <c r="GP33" s="392">
        <v>16.25</v>
      </c>
      <c r="GQ33" s="387">
        <v>30</v>
      </c>
      <c r="GR33" s="381">
        <v>6.3</v>
      </c>
      <c r="GS33" s="388">
        <v>25</v>
      </c>
      <c r="GT33" s="388">
        <v>35</v>
      </c>
      <c r="GU33" s="393" t="s">
        <v>646</v>
      </c>
      <c r="GV33" s="388">
        <v>350</v>
      </c>
      <c r="GW33" s="394"/>
      <c r="GX33" s="100">
        <f t="shared" si="17"/>
        <v>111085</v>
      </c>
      <c r="GY33" s="394"/>
      <c r="GZ33" s="394"/>
      <c r="HA33" s="394"/>
      <c r="HB33" s="394"/>
      <c r="HC33" s="394"/>
      <c r="HD33" s="394"/>
      <c r="HE33" s="394"/>
      <c r="HF33" s="394"/>
      <c r="HG33" s="394"/>
      <c r="HH33" s="394"/>
      <c r="HI33" s="394"/>
      <c r="HJ33" s="394"/>
      <c r="HK33" s="394"/>
      <c r="HL33" s="394"/>
      <c r="HM33" s="394"/>
      <c r="HN33" s="394"/>
      <c r="HO33" s="394"/>
      <c r="HP33" s="394"/>
      <c r="HQ33" s="394"/>
      <c r="HR33" s="394"/>
      <c r="HS33" s="394"/>
      <c r="HT33" s="394"/>
      <c r="HU33" s="394"/>
      <c r="HV33" s="394"/>
      <c r="HW33" s="394"/>
      <c r="HX33" s="394"/>
    </row>
    <row r="34" spans="1:232" x14ac:dyDescent="0.15">
      <c r="B34" s="89" t="s">
        <v>57</v>
      </c>
      <c r="C34" s="141">
        <v>8763348</v>
      </c>
      <c r="D34" s="73">
        <f t="shared" si="0"/>
        <v>2393923</v>
      </c>
      <c r="E34" s="141">
        <v>93562</v>
      </c>
      <c r="F34" s="141">
        <v>2300361</v>
      </c>
      <c r="G34" s="73">
        <f t="shared" si="1"/>
        <v>407218</v>
      </c>
      <c r="H34" s="141">
        <v>180960</v>
      </c>
      <c r="I34" s="141">
        <v>226258</v>
      </c>
      <c r="J34" s="141">
        <v>4664892</v>
      </c>
      <c r="K34" s="141">
        <v>1988049</v>
      </c>
      <c r="L34" s="141">
        <v>1634223</v>
      </c>
      <c r="M34" s="141">
        <v>998514</v>
      </c>
      <c r="N34" s="141">
        <v>410850</v>
      </c>
      <c r="O34" s="141">
        <v>713136</v>
      </c>
      <c r="P34" s="141">
        <v>388437</v>
      </c>
      <c r="Q34" s="141">
        <v>324699</v>
      </c>
      <c r="R34" s="141">
        <v>137764</v>
      </c>
      <c r="S34" s="74"/>
      <c r="T34" s="73">
        <f t="shared" si="2"/>
        <v>1445750</v>
      </c>
      <c r="U34" s="141">
        <v>8509</v>
      </c>
      <c r="V34" s="141">
        <v>36033</v>
      </c>
      <c r="W34" s="141">
        <v>40767</v>
      </c>
      <c r="X34" s="141">
        <v>1262815</v>
      </c>
      <c r="Y34" s="141">
        <v>41659</v>
      </c>
      <c r="Z34" s="141">
        <v>0</v>
      </c>
      <c r="AA34" s="141">
        <v>3</v>
      </c>
      <c r="AB34" s="141">
        <v>22061</v>
      </c>
      <c r="AC34" s="141">
        <v>33903</v>
      </c>
      <c r="AD34" s="141">
        <v>57781</v>
      </c>
      <c r="AE34" s="141">
        <v>3306559</v>
      </c>
      <c r="AF34" s="141">
        <v>2900855</v>
      </c>
      <c r="AG34" s="141">
        <v>405704</v>
      </c>
      <c r="AH34" s="141">
        <v>9786</v>
      </c>
      <c r="AI34" s="141">
        <v>39515</v>
      </c>
      <c r="AJ34" s="73">
        <f t="shared" si="3"/>
        <v>321014</v>
      </c>
      <c r="AK34" s="141">
        <v>183175</v>
      </c>
      <c r="AL34" s="141">
        <v>137839</v>
      </c>
      <c r="AM34" s="141">
        <v>11732627</v>
      </c>
      <c r="AN34" s="73">
        <f t="shared" si="4"/>
        <v>2489781</v>
      </c>
      <c r="AO34" s="141">
        <v>1396683</v>
      </c>
      <c r="AP34" s="141">
        <v>284629</v>
      </c>
      <c r="AQ34" s="74"/>
      <c r="AR34" s="141">
        <v>808469</v>
      </c>
      <c r="AS34" s="141">
        <v>93381</v>
      </c>
      <c r="AT34" s="141">
        <v>1923</v>
      </c>
      <c r="AU34" s="141">
        <v>0</v>
      </c>
      <c r="AV34" s="141">
        <v>2071965</v>
      </c>
      <c r="AW34" s="141">
        <v>1236612</v>
      </c>
      <c r="AX34" s="141">
        <v>139453</v>
      </c>
      <c r="AY34" s="141">
        <v>0</v>
      </c>
      <c r="AZ34" s="141">
        <v>835353</v>
      </c>
      <c r="BA34" s="141">
        <v>17755</v>
      </c>
      <c r="BB34" s="141">
        <v>23337</v>
      </c>
      <c r="BC34" s="141">
        <v>7704</v>
      </c>
      <c r="BD34" s="141">
        <v>486999</v>
      </c>
      <c r="BE34" s="141">
        <v>165462</v>
      </c>
      <c r="BF34" s="141">
        <v>0</v>
      </c>
      <c r="BG34" s="141">
        <v>0</v>
      </c>
      <c r="BH34" s="141">
        <v>161258</v>
      </c>
      <c r="BI34" s="141">
        <v>0</v>
      </c>
      <c r="BJ34" s="141">
        <v>230914</v>
      </c>
      <c r="BK34" s="141">
        <v>206574</v>
      </c>
      <c r="BL34" s="141">
        <v>230141</v>
      </c>
      <c r="BM34" s="141">
        <v>0</v>
      </c>
      <c r="BN34" s="141">
        <v>0</v>
      </c>
      <c r="BO34" s="141">
        <v>0</v>
      </c>
      <c r="BP34" s="141">
        <v>1577195</v>
      </c>
      <c r="BQ34" s="73">
        <f t="shared" si="5"/>
        <v>641500</v>
      </c>
      <c r="BR34" s="73">
        <f t="shared" si="6"/>
        <v>935695</v>
      </c>
      <c r="BS34" s="141">
        <v>0</v>
      </c>
      <c r="BT34" s="141">
        <v>82500</v>
      </c>
      <c r="BU34" s="141">
        <v>853195</v>
      </c>
      <c r="BV34" s="141">
        <v>0</v>
      </c>
      <c r="BW34" s="141">
        <v>30600157</v>
      </c>
      <c r="BX34" s="71"/>
      <c r="BY34" s="141">
        <v>3768693</v>
      </c>
      <c r="BZ34" s="141">
        <v>2650840</v>
      </c>
      <c r="CA34" s="141">
        <v>75385</v>
      </c>
      <c r="CB34" s="141">
        <v>281276</v>
      </c>
      <c r="CC34" s="141">
        <v>6957019</v>
      </c>
      <c r="CD34" s="141">
        <v>2435027</v>
      </c>
      <c r="CE34" s="141">
        <v>18965</v>
      </c>
      <c r="CF34" s="141">
        <v>2507468</v>
      </c>
      <c r="CG34" s="141">
        <v>1737093</v>
      </c>
      <c r="CH34" s="141">
        <v>2505</v>
      </c>
      <c r="CI34" s="141">
        <v>255961</v>
      </c>
      <c r="CJ34" s="141">
        <v>2529291</v>
      </c>
      <c r="CK34" s="141">
        <v>2293658</v>
      </c>
      <c r="CL34" s="83">
        <f t="shared" si="7"/>
        <v>235633</v>
      </c>
      <c r="CM34" s="141">
        <v>2942936</v>
      </c>
      <c r="CN34" s="141">
        <v>1870063</v>
      </c>
      <c r="CO34" s="102"/>
      <c r="CP34" s="141">
        <v>387616</v>
      </c>
      <c r="CQ34" s="141">
        <v>156224</v>
      </c>
      <c r="CR34" s="141">
        <v>9801777</v>
      </c>
      <c r="CS34" s="141">
        <v>1370155</v>
      </c>
      <c r="CT34" s="141">
        <v>6967762</v>
      </c>
      <c r="CU34" s="141">
        <v>780751</v>
      </c>
      <c r="CV34" s="73">
        <f t="shared" si="8"/>
        <v>795493</v>
      </c>
      <c r="CW34" s="141">
        <v>264817</v>
      </c>
      <c r="CX34" s="141">
        <v>530676</v>
      </c>
      <c r="CY34" s="73">
        <f t="shared" si="9"/>
        <v>0</v>
      </c>
      <c r="CZ34" s="141">
        <v>0</v>
      </c>
      <c r="DA34" s="141">
        <v>0</v>
      </c>
      <c r="DB34" s="73">
        <f t="shared" si="10"/>
        <v>790308</v>
      </c>
      <c r="DC34" s="141">
        <v>262132</v>
      </c>
      <c r="DD34" s="141">
        <v>528176</v>
      </c>
      <c r="DE34" s="141">
        <v>714790</v>
      </c>
      <c r="DF34" s="141">
        <v>342344</v>
      </c>
      <c r="DG34" s="141">
        <v>372351</v>
      </c>
      <c r="DH34" s="141">
        <v>95</v>
      </c>
      <c r="DI34" s="141">
        <v>0</v>
      </c>
      <c r="DJ34" s="141">
        <v>3950</v>
      </c>
      <c r="DK34" s="141">
        <v>678110</v>
      </c>
      <c r="DL34" s="141">
        <v>176541</v>
      </c>
      <c r="DM34" s="141">
        <v>3952</v>
      </c>
      <c r="DN34" s="141">
        <v>497617</v>
      </c>
      <c r="DO34" s="141">
        <v>12537</v>
      </c>
      <c r="DP34" s="141">
        <v>12537</v>
      </c>
      <c r="DQ34" s="141">
        <v>12537</v>
      </c>
      <c r="DR34" s="141">
        <v>0</v>
      </c>
      <c r="DS34" s="141">
        <v>0</v>
      </c>
      <c r="DT34" s="141">
        <v>0</v>
      </c>
      <c r="DU34" s="141">
        <v>0</v>
      </c>
      <c r="DV34" s="141">
        <v>2650064</v>
      </c>
      <c r="DW34" s="141">
        <v>0</v>
      </c>
      <c r="DX34" s="73">
        <f t="shared" si="11"/>
        <v>0</v>
      </c>
      <c r="DY34" s="141">
        <v>0</v>
      </c>
      <c r="DZ34" s="141">
        <v>875407</v>
      </c>
      <c r="EA34" s="141">
        <v>0</v>
      </c>
      <c r="EB34" s="141">
        <v>952932</v>
      </c>
      <c r="EC34" s="74">
        <v>0</v>
      </c>
      <c r="ED34" s="141">
        <v>821725</v>
      </c>
      <c r="EE34" s="141">
        <v>0</v>
      </c>
      <c r="EF34" s="141">
        <v>30215391</v>
      </c>
      <c r="EG34" s="71"/>
      <c r="EH34" s="141">
        <v>384766</v>
      </c>
      <c r="EI34" s="141">
        <v>535</v>
      </c>
      <c r="EJ34" s="141">
        <v>384231</v>
      </c>
      <c r="EK34" s="141">
        <v>177657</v>
      </c>
      <c r="EL34" s="141">
        <v>354198</v>
      </c>
      <c r="EM34" s="71"/>
      <c r="EN34" s="141">
        <v>60139</v>
      </c>
      <c r="EO34" s="141">
        <v>61149</v>
      </c>
      <c r="EP34" s="141">
        <v>0</v>
      </c>
      <c r="EQ34" s="141">
        <v>22095</v>
      </c>
      <c r="ER34" s="73">
        <f t="shared" si="12"/>
        <v>1294016</v>
      </c>
      <c r="ES34" s="141">
        <v>13720988</v>
      </c>
      <c r="ET34" s="141">
        <v>-2242020</v>
      </c>
      <c r="EU34" s="141">
        <v>3318065</v>
      </c>
      <c r="EV34" s="141">
        <v>2293955</v>
      </c>
      <c r="EW34" s="141">
        <v>1735856</v>
      </c>
      <c r="EX34" s="141">
        <v>2529291</v>
      </c>
      <c r="EY34" s="73">
        <f t="shared" si="13"/>
        <v>76275</v>
      </c>
      <c r="EZ34" s="141">
        <v>76148</v>
      </c>
      <c r="FA34" s="141">
        <v>807</v>
      </c>
      <c r="FB34" s="141">
        <v>75246</v>
      </c>
      <c r="FC34" s="141">
        <v>127</v>
      </c>
      <c r="FD34" s="141">
        <v>0</v>
      </c>
      <c r="FE34" s="141">
        <v>2130616</v>
      </c>
      <c r="FF34" s="141">
        <v>3477875</v>
      </c>
      <c r="FG34" s="141">
        <v>1367772</v>
      </c>
      <c r="FH34" s="141">
        <v>1973026</v>
      </c>
      <c r="FI34" s="73">
        <f t="shared" si="14"/>
        <v>337238</v>
      </c>
      <c r="FJ34" s="141">
        <v>15578242</v>
      </c>
      <c r="FK34" s="379">
        <f t="shared" si="15"/>
        <v>2.8</v>
      </c>
      <c r="FL34" s="141">
        <v>12762125</v>
      </c>
      <c r="FM34" s="141">
        <v>853195</v>
      </c>
      <c r="FN34" s="141">
        <v>7757108</v>
      </c>
      <c r="FO34" s="141">
        <v>10663411</v>
      </c>
      <c r="FP34" s="390">
        <v>0.73299999999999998</v>
      </c>
      <c r="FQ34" s="380">
        <v>96.9</v>
      </c>
      <c r="FR34" s="381">
        <v>23.4</v>
      </c>
      <c r="FS34" s="380">
        <v>12.6</v>
      </c>
      <c r="FT34" s="380">
        <v>18.3</v>
      </c>
      <c r="FU34" s="381">
        <v>11.8</v>
      </c>
      <c r="FV34" s="380">
        <v>16.8</v>
      </c>
      <c r="FW34" s="382">
        <v>13</v>
      </c>
      <c r="FX34" s="388">
        <v>10.1</v>
      </c>
      <c r="FY34" s="141">
        <v>28254398</v>
      </c>
      <c r="FZ34" s="384">
        <f t="shared" si="16"/>
        <v>207.5</v>
      </c>
      <c r="GA34" s="141">
        <v>4594120</v>
      </c>
      <c r="GB34" s="141">
        <v>980237</v>
      </c>
      <c r="GC34" s="141">
        <v>1295032</v>
      </c>
      <c r="GD34" s="141">
        <v>2318851</v>
      </c>
      <c r="GE34" s="107">
        <v>0</v>
      </c>
      <c r="GF34" s="385"/>
      <c r="GG34" s="386"/>
      <c r="GH34" s="380">
        <v>97.5</v>
      </c>
      <c r="GI34" s="380">
        <v>35.700000000000003</v>
      </c>
      <c r="GJ34" s="380">
        <v>95.6</v>
      </c>
      <c r="GK34" s="141">
        <v>377</v>
      </c>
      <c r="GL34" s="391" t="s">
        <v>646</v>
      </c>
      <c r="GM34" s="391">
        <v>12.89</v>
      </c>
      <c r="GN34" s="117">
        <v>20</v>
      </c>
      <c r="GO34" s="391" t="s">
        <v>646</v>
      </c>
      <c r="GP34" s="392">
        <v>17.89</v>
      </c>
      <c r="GQ34" s="387">
        <v>30</v>
      </c>
      <c r="GR34" s="381">
        <v>10.1</v>
      </c>
      <c r="GS34" s="388">
        <v>25</v>
      </c>
      <c r="GT34" s="388">
        <v>35</v>
      </c>
      <c r="GU34" s="393">
        <v>85.2</v>
      </c>
      <c r="GV34" s="388">
        <v>350</v>
      </c>
      <c r="GW34" s="394"/>
      <c r="GX34" s="100">
        <f t="shared" si="17"/>
        <v>13615</v>
      </c>
      <c r="GY34" s="394"/>
      <c r="GZ34" s="394"/>
      <c r="HA34" s="394"/>
      <c r="HB34" s="394"/>
      <c r="HC34" s="394"/>
      <c r="HD34" s="394"/>
      <c r="HE34" s="394"/>
      <c r="HF34" s="394"/>
      <c r="HG34" s="394"/>
      <c r="HH34" s="394"/>
      <c r="HI34" s="394"/>
      <c r="HJ34" s="394"/>
      <c r="HK34" s="394"/>
      <c r="HL34" s="394"/>
      <c r="HM34" s="394"/>
      <c r="HN34" s="394"/>
      <c r="HO34" s="394"/>
      <c r="HP34" s="394"/>
      <c r="HQ34" s="394"/>
      <c r="HR34" s="394"/>
      <c r="HS34" s="394"/>
      <c r="HT34" s="394"/>
      <c r="HU34" s="394"/>
      <c r="HV34" s="394"/>
      <c r="HW34" s="394"/>
      <c r="HX34" s="394"/>
    </row>
    <row r="35" spans="1:232" x14ac:dyDescent="0.15">
      <c r="B35" s="89" t="s">
        <v>59</v>
      </c>
      <c r="C35" s="141">
        <v>6882500</v>
      </c>
      <c r="D35" s="73">
        <f t="shared" si="0"/>
        <v>2917984</v>
      </c>
      <c r="E35" s="141">
        <v>90659</v>
      </c>
      <c r="F35" s="141">
        <v>2827325</v>
      </c>
      <c r="G35" s="73">
        <f t="shared" si="1"/>
        <v>295771</v>
      </c>
      <c r="H35" s="141">
        <v>134065</v>
      </c>
      <c r="I35" s="141">
        <v>161706</v>
      </c>
      <c r="J35" s="141">
        <v>2664172</v>
      </c>
      <c r="K35" s="141">
        <v>1103389</v>
      </c>
      <c r="L35" s="141">
        <v>1274611</v>
      </c>
      <c r="M35" s="141">
        <v>270403</v>
      </c>
      <c r="N35" s="141">
        <v>344429</v>
      </c>
      <c r="O35" s="141">
        <v>566953</v>
      </c>
      <c r="P35" s="141">
        <v>300135</v>
      </c>
      <c r="Q35" s="141">
        <v>266818</v>
      </c>
      <c r="R35" s="141">
        <v>102302</v>
      </c>
      <c r="S35" s="74"/>
      <c r="T35" s="73">
        <f t="shared" si="2"/>
        <v>1223702</v>
      </c>
      <c r="U35" s="141">
        <v>10096</v>
      </c>
      <c r="V35" s="141">
        <v>42769</v>
      </c>
      <c r="W35" s="141">
        <v>48408</v>
      </c>
      <c r="X35" s="141">
        <v>1059976</v>
      </c>
      <c r="Y35" s="141">
        <v>27608</v>
      </c>
      <c r="Z35" s="141">
        <v>0</v>
      </c>
      <c r="AA35" s="141">
        <v>2</v>
      </c>
      <c r="AB35" s="141">
        <v>17607</v>
      </c>
      <c r="AC35" s="141">
        <v>17236</v>
      </c>
      <c r="AD35" s="141">
        <v>68067</v>
      </c>
      <c r="AE35" s="141">
        <v>4177428</v>
      </c>
      <c r="AF35" s="141">
        <v>3795266</v>
      </c>
      <c r="AG35" s="141">
        <v>382162</v>
      </c>
      <c r="AH35" s="141">
        <v>7053</v>
      </c>
      <c r="AI35" s="141">
        <v>264425</v>
      </c>
      <c r="AJ35" s="73">
        <f t="shared" si="3"/>
        <v>203324</v>
      </c>
      <c r="AK35" s="141">
        <v>141990</v>
      </c>
      <c r="AL35" s="141">
        <v>61334</v>
      </c>
      <c r="AM35" s="141">
        <v>10721551</v>
      </c>
      <c r="AN35" s="73">
        <f t="shared" si="4"/>
        <v>2572685</v>
      </c>
      <c r="AO35" s="141">
        <v>1001046</v>
      </c>
      <c r="AP35" s="141">
        <v>868912</v>
      </c>
      <c r="AQ35" s="74"/>
      <c r="AR35" s="141">
        <v>702727</v>
      </c>
      <c r="AS35" s="141">
        <v>340529</v>
      </c>
      <c r="AT35" s="141">
        <v>0</v>
      </c>
      <c r="AU35" s="141">
        <v>0</v>
      </c>
      <c r="AV35" s="141">
        <v>1869942</v>
      </c>
      <c r="AW35" s="141">
        <v>1232222</v>
      </c>
      <c r="AX35" s="141">
        <v>389958</v>
      </c>
      <c r="AY35" s="141">
        <v>98</v>
      </c>
      <c r="AZ35" s="141">
        <v>637720</v>
      </c>
      <c r="BA35" s="141">
        <v>10011</v>
      </c>
      <c r="BB35" s="141">
        <v>47594</v>
      </c>
      <c r="BC35" s="141">
        <v>4781</v>
      </c>
      <c r="BD35" s="141">
        <v>25673</v>
      </c>
      <c r="BE35" s="141">
        <v>4283</v>
      </c>
      <c r="BF35" s="141">
        <v>0</v>
      </c>
      <c r="BG35" s="141">
        <v>0</v>
      </c>
      <c r="BH35" s="141">
        <v>4283</v>
      </c>
      <c r="BI35" s="141">
        <v>0</v>
      </c>
      <c r="BJ35" s="141">
        <v>433269</v>
      </c>
      <c r="BK35" s="141">
        <v>421710</v>
      </c>
      <c r="BL35" s="141">
        <v>131866</v>
      </c>
      <c r="BM35" s="141">
        <v>2200</v>
      </c>
      <c r="BN35" s="141">
        <v>1379</v>
      </c>
      <c r="BO35" s="141">
        <v>0</v>
      </c>
      <c r="BP35" s="141">
        <v>1011200</v>
      </c>
      <c r="BQ35" s="73">
        <f t="shared" si="5"/>
        <v>380200</v>
      </c>
      <c r="BR35" s="73">
        <f t="shared" si="6"/>
        <v>631000</v>
      </c>
      <c r="BS35" s="141">
        <v>0</v>
      </c>
      <c r="BT35" s="141">
        <v>0</v>
      </c>
      <c r="BU35" s="141">
        <v>631000</v>
      </c>
      <c r="BV35" s="141">
        <v>0</v>
      </c>
      <c r="BW35" s="141">
        <v>27174179</v>
      </c>
      <c r="BX35" s="71"/>
      <c r="BY35" s="141">
        <v>3155346</v>
      </c>
      <c r="BZ35" s="141">
        <v>2024895</v>
      </c>
      <c r="CA35" s="141">
        <v>116600</v>
      </c>
      <c r="CB35" s="141">
        <v>384887</v>
      </c>
      <c r="CC35" s="141">
        <v>6311626</v>
      </c>
      <c r="CD35" s="141">
        <v>1701630</v>
      </c>
      <c r="CE35" s="141">
        <v>20820</v>
      </c>
      <c r="CF35" s="141">
        <v>2992242</v>
      </c>
      <c r="CG35" s="141">
        <v>1242312</v>
      </c>
      <c r="CH35" s="141">
        <v>2439</v>
      </c>
      <c r="CI35" s="141">
        <v>352183</v>
      </c>
      <c r="CJ35" s="141">
        <v>1740784</v>
      </c>
      <c r="CK35" s="141">
        <v>1652467</v>
      </c>
      <c r="CL35" s="83">
        <f t="shared" si="7"/>
        <v>88317</v>
      </c>
      <c r="CM35" s="141">
        <v>2988271</v>
      </c>
      <c r="CN35" s="141">
        <v>2027632</v>
      </c>
      <c r="CO35" s="102"/>
      <c r="CP35" s="141">
        <v>264552</v>
      </c>
      <c r="CQ35" s="141">
        <v>40169</v>
      </c>
      <c r="CR35" s="141">
        <v>8726749</v>
      </c>
      <c r="CS35" s="141">
        <v>1389925</v>
      </c>
      <c r="CT35" s="141">
        <v>5905692</v>
      </c>
      <c r="CU35" s="141">
        <v>206936</v>
      </c>
      <c r="CV35" s="73">
        <f t="shared" si="8"/>
        <v>737075</v>
      </c>
      <c r="CW35" s="141">
        <v>511569</v>
      </c>
      <c r="CX35" s="141">
        <v>225506</v>
      </c>
      <c r="CY35" s="73">
        <f t="shared" si="9"/>
        <v>0</v>
      </c>
      <c r="CZ35" s="141">
        <v>0</v>
      </c>
      <c r="DA35" s="141">
        <v>0</v>
      </c>
      <c r="DB35" s="73">
        <f t="shared" si="10"/>
        <v>729688</v>
      </c>
      <c r="DC35" s="141">
        <v>505535</v>
      </c>
      <c r="DD35" s="141">
        <v>224153</v>
      </c>
      <c r="DE35" s="141">
        <v>987219</v>
      </c>
      <c r="DF35" s="141">
        <v>693199</v>
      </c>
      <c r="DG35" s="141">
        <v>294020</v>
      </c>
      <c r="DH35" s="141">
        <v>0</v>
      </c>
      <c r="DI35" s="141">
        <v>0</v>
      </c>
      <c r="DJ35" s="141">
        <v>1276</v>
      </c>
      <c r="DK35" s="141">
        <v>685293</v>
      </c>
      <c r="DL35" s="141">
        <v>211173</v>
      </c>
      <c r="DM35" s="141">
        <v>7</v>
      </c>
      <c r="DN35" s="141">
        <v>474113</v>
      </c>
      <c r="DO35" s="141">
        <v>180000</v>
      </c>
      <c r="DP35" s="141">
        <v>180000</v>
      </c>
      <c r="DQ35" s="141">
        <v>0</v>
      </c>
      <c r="DR35" s="141">
        <v>0</v>
      </c>
      <c r="DS35" s="141">
        <v>5208</v>
      </c>
      <c r="DT35" s="141">
        <v>0</v>
      </c>
      <c r="DU35" s="141">
        <v>0</v>
      </c>
      <c r="DV35" s="141">
        <v>2134890</v>
      </c>
      <c r="DW35" s="141">
        <v>0</v>
      </c>
      <c r="DX35" s="73">
        <f t="shared" si="11"/>
        <v>0</v>
      </c>
      <c r="DY35" s="141">
        <v>0</v>
      </c>
      <c r="DZ35" s="141">
        <v>750868</v>
      </c>
      <c r="EA35" s="141">
        <v>0</v>
      </c>
      <c r="EB35" s="141">
        <v>585703</v>
      </c>
      <c r="EC35" s="74">
        <v>0</v>
      </c>
      <c r="ED35" s="141">
        <v>798319</v>
      </c>
      <c r="EE35" s="141">
        <v>0</v>
      </c>
      <c r="EF35" s="141">
        <v>26956831</v>
      </c>
      <c r="EG35" s="71"/>
      <c r="EH35" s="141">
        <v>217348</v>
      </c>
      <c r="EI35" s="141">
        <v>43466</v>
      </c>
      <c r="EJ35" s="141">
        <v>173882</v>
      </c>
      <c r="EK35" s="141">
        <v>-247828</v>
      </c>
      <c r="EL35" s="141">
        <v>37125</v>
      </c>
      <c r="EM35" s="71"/>
      <c r="EN35" s="141">
        <v>55198</v>
      </c>
      <c r="EO35" s="141">
        <v>55417</v>
      </c>
      <c r="EP35" s="141">
        <v>0</v>
      </c>
      <c r="EQ35" s="141">
        <v>46740</v>
      </c>
      <c r="ER35" s="73">
        <f t="shared" si="12"/>
        <v>1229532</v>
      </c>
      <c r="ES35" s="141">
        <v>12461052</v>
      </c>
      <c r="ET35" s="141">
        <v>-1900219</v>
      </c>
      <c r="EU35" s="141">
        <v>2727129</v>
      </c>
      <c r="EV35" s="141">
        <v>1750586</v>
      </c>
      <c r="EW35" s="141">
        <v>1692424</v>
      </c>
      <c r="EX35" s="141">
        <v>1740784</v>
      </c>
      <c r="EY35" s="73">
        <f t="shared" si="13"/>
        <v>200161</v>
      </c>
      <c r="EZ35" s="141">
        <v>200161</v>
      </c>
      <c r="FA35" s="141">
        <v>24744</v>
      </c>
      <c r="FB35" s="141">
        <v>175417</v>
      </c>
      <c r="FC35" s="141">
        <v>0</v>
      </c>
      <c r="FD35" s="141">
        <v>0</v>
      </c>
      <c r="FE35" s="141">
        <v>2232079</v>
      </c>
      <c r="FF35" s="141">
        <v>2968338</v>
      </c>
      <c r="FG35" s="141">
        <v>1389603</v>
      </c>
      <c r="FH35" s="141">
        <v>1675542</v>
      </c>
      <c r="FI35" s="73">
        <f t="shared" si="14"/>
        <v>907466</v>
      </c>
      <c r="FJ35" s="141">
        <v>14143923</v>
      </c>
      <c r="FK35" s="379">
        <f t="shared" si="15"/>
        <v>1.4</v>
      </c>
      <c r="FL35" s="141">
        <v>11496217</v>
      </c>
      <c r="FM35" s="141">
        <v>631109</v>
      </c>
      <c r="FN35" s="141">
        <v>6072764</v>
      </c>
      <c r="FO35" s="141">
        <v>9873074</v>
      </c>
      <c r="FP35" s="390">
        <v>0.61499999999999999</v>
      </c>
      <c r="FQ35" s="380">
        <v>95.4</v>
      </c>
      <c r="FR35" s="381">
        <v>21.8</v>
      </c>
      <c r="FS35" s="380">
        <v>13.5</v>
      </c>
      <c r="FT35" s="380">
        <v>13.6</v>
      </c>
      <c r="FU35" s="381">
        <v>13.2</v>
      </c>
      <c r="FV35" s="380">
        <v>20.2</v>
      </c>
      <c r="FW35" s="382">
        <v>12.8</v>
      </c>
      <c r="FX35" s="388">
        <v>5.8</v>
      </c>
      <c r="FY35" s="141">
        <v>14864608</v>
      </c>
      <c r="FZ35" s="384">
        <f t="shared" si="16"/>
        <v>122.6</v>
      </c>
      <c r="GA35" s="141">
        <v>6049831</v>
      </c>
      <c r="GB35" s="141">
        <v>2016559</v>
      </c>
      <c r="GC35" s="141">
        <v>51311</v>
      </c>
      <c r="GD35" s="141">
        <v>3981961</v>
      </c>
      <c r="GE35" s="107">
        <v>0</v>
      </c>
      <c r="GF35" s="385"/>
      <c r="GG35" s="386"/>
      <c r="GH35" s="380">
        <v>98.6</v>
      </c>
      <c r="GI35" s="380">
        <v>36.4</v>
      </c>
      <c r="GJ35" s="380">
        <v>97.4</v>
      </c>
      <c r="GK35" s="141">
        <v>299</v>
      </c>
      <c r="GL35" s="391" t="s">
        <v>646</v>
      </c>
      <c r="GM35" s="391">
        <v>13.04</v>
      </c>
      <c r="GN35" s="117">
        <v>20</v>
      </c>
      <c r="GO35" s="391" t="s">
        <v>646</v>
      </c>
      <c r="GP35" s="392">
        <v>18.04</v>
      </c>
      <c r="GQ35" s="387">
        <v>30</v>
      </c>
      <c r="GR35" s="381">
        <v>5.8</v>
      </c>
      <c r="GS35" s="388">
        <v>25</v>
      </c>
      <c r="GT35" s="388">
        <v>35</v>
      </c>
      <c r="GU35" s="393" t="s">
        <v>646</v>
      </c>
      <c r="GV35" s="388">
        <v>350</v>
      </c>
      <c r="GW35" s="394"/>
      <c r="GX35" s="100">
        <f t="shared" si="17"/>
        <v>12127</v>
      </c>
      <c r="GY35" s="394"/>
      <c r="GZ35" s="394"/>
      <c r="HA35" s="394"/>
      <c r="HB35" s="394"/>
      <c r="HC35" s="394"/>
      <c r="HD35" s="394"/>
      <c r="HE35" s="394"/>
      <c r="HF35" s="394"/>
      <c r="HG35" s="394"/>
      <c r="HH35" s="394"/>
      <c r="HI35" s="394"/>
      <c r="HJ35" s="394"/>
      <c r="HK35" s="394"/>
      <c r="HL35" s="394"/>
      <c r="HM35" s="394"/>
      <c r="HN35" s="394"/>
      <c r="HO35" s="394"/>
      <c r="HP35" s="394"/>
      <c r="HQ35" s="394"/>
      <c r="HR35" s="394"/>
      <c r="HS35" s="394"/>
      <c r="HT35" s="394"/>
      <c r="HU35" s="394"/>
      <c r="HV35" s="394"/>
      <c r="HW35" s="394"/>
      <c r="HX35" s="394"/>
    </row>
    <row r="36" spans="1:232" x14ac:dyDescent="0.15">
      <c r="B36" s="89" t="s">
        <v>61</v>
      </c>
      <c r="C36" s="141">
        <v>9692818</v>
      </c>
      <c r="D36" s="73">
        <f t="shared" si="0"/>
        <v>4577406</v>
      </c>
      <c r="E36" s="141">
        <v>131136</v>
      </c>
      <c r="F36" s="141">
        <v>4446270</v>
      </c>
      <c r="G36" s="73">
        <f t="shared" si="1"/>
        <v>318842</v>
      </c>
      <c r="H36" s="141">
        <v>155345</v>
      </c>
      <c r="I36" s="141">
        <v>163497</v>
      </c>
      <c r="J36" s="141">
        <v>3553576</v>
      </c>
      <c r="K36" s="141">
        <v>1415294</v>
      </c>
      <c r="L36" s="141">
        <v>1635583</v>
      </c>
      <c r="M36" s="141">
        <v>451427</v>
      </c>
      <c r="N36" s="141">
        <v>345967</v>
      </c>
      <c r="O36" s="141">
        <v>765349</v>
      </c>
      <c r="P36" s="141">
        <v>416897</v>
      </c>
      <c r="Q36" s="141">
        <v>348452</v>
      </c>
      <c r="R36" s="141">
        <v>133527</v>
      </c>
      <c r="S36" s="74"/>
      <c r="T36" s="73">
        <f t="shared" si="2"/>
        <v>1706891</v>
      </c>
      <c r="U36" s="141">
        <v>15673</v>
      </c>
      <c r="V36" s="141">
        <v>66364</v>
      </c>
      <c r="W36" s="141">
        <v>75058</v>
      </c>
      <c r="X36" s="141">
        <v>1440400</v>
      </c>
      <c r="Y36" s="141">
        <v>68980</v>
      </c>
      <c r="Z36" s="141">
        <v>0</v>
      </c>
      <c r="AA36" s="141">
        <v>3</v>
      </c>
      <c r="AB36" s="141">
        <v>22924</v>
      </c>
      <c r="AC36" s="141">
        <v>17489</v>
      </c>
      <c r="AD36" s="141">
        <v>102614</v>
      </c>
      <c r="AE36" s="141">
        <v>3567681</v>
      </c>
      <c r="AF36" s="141">
        <v>3377615</v>
      </c>
      <c r="AG36" s="141">
        <v>190066</v>
      </c>
      <c r="AH36" s="141">
        <v>11212</v>
      </c>
      <c r="AI36" s="141">
        <v>73248</v>
      </c>
      <c r="AJ36" s="73">
        <f t="shared" si="3"/>
        <v>355135</v>
      </c>
      <c r="AK36" s="141">
        <v>269072</v>
      </c>
      <c r="AL36" s="141">
        <v>86063</v>
      </c>
      <c r="AM36" s="141">
        <v>14436360</v>
      </c>
      <c r="AN36" s="73">
        <f t="shared" si="4"/>
        <v>2477383</v>
      </c>
      <c r="AO36" s="141">
        <v>1029657</v>
      </c>
      <c r="AP36" s="141">
        <v>705327</v>
      </c>
      <c r="AQ36" s="74"/>
      <c r="AR36" s="141">
        <v>742399</v>
      </c>
      <c r="AS36" s="141">
        <v>982101</v>
      </c>
      <c r="AT36" s="141">
        <v>0</v>
      </c>
      <c r="AU36" s="141">
        <v>0</v>
      </c>
      <c r="AV36" s="141">
        <v>2173300</v>
      </c>
      <c r="AW36" s="141">
        <v>1288646</v>
      </c>
      <c r="AX36" s="141">
        <v>296655</v>
      </c>
      <c r="AY36" s="141">
        <v>168</v>
      </c>
      <c r="AZ36" s="141">
        <v>884654</v>
      </c>
      <c r="BA36" s="141">
        <v>83928</v>
      </c>
      <c r="BB36" s="141">
        <v>41768</v>
      </c>
      <c r="BC36" s="141">
        <v>37765</v>
      </c>
      <c r="BD36" s="141">
        <v>9077</v>
      </c>
      <c r="BE36" s="141">
        <v>83918</v>
      </c>
      <c r="BF36" s="141">
        <v>4213</v>
      </c>
      <c r="BG36" s="141">
        <v>0</v>
      </c>
      <c r="BH36" s="141">
        <v>72279</v>
      </c>
      <c r="BI36" s="141">
        <v>0</v>
      </c>
      <c r="BJ36" s="141">
        <v>251846</v>
      </c>
      <c r="BK36" s="141">
        <v>182097</v>
      </c>
      <c r="BL36" s="141">
        <v>439752</v>
      </c>
      <c r="BM36" s="141">
        <v>0</v>
      </c>
      <c r="BN36" s="141">
        <v>0</v>
      </c>
      <c r="BO36" s="141">
        <v>0</v>
      </c>
      <c r="BP36" s="141">
        <v>2673794</v>
      </c>
      <c r="BQ36" s="73">
        <f t="shared" si="5"/>
        <v>1822123</v>
      </c>
      <c r="BR36" s="73">
        <f t="shared" si="6"/>
        <v>851671</v>
      </c>
      <c r="BS36" s="141">
        <v>0</v>
      </c>
      <c r="BT36" s="141">
        <v>0</v>
      </c>
      <c r="BU36" s="141">
        <v>851671</v>
      </c>
      <c r="BV36" s="141">
        <v>0</v>
      </c>
      <c r="BW36" s="141">
        <v>35752941</v>
      </c>
      <c r="BX36" s="71"/>
      <c r="BY36" s="141">
        <v>5310011</v>
      </c>
      <c r="BZ36" s="141">
        <v>3135918</v>
      </c>
      <c r="CA36" s="141">
        <v>148692</v>
      </c>
      <c r="CB36" s="141">
        <v>1007233</v>
      </c>
      <c r="CC36" s="141">
        <v>7400923</v>
      </c>
      <c r="CD36" s="141">
        <v>1877059</v>
      </c>
      <c r="CE36" s="141">
        <v>29868</v>
      </c>
      <c r="CF36" s="141">
        <v>3683138</v>
      </c>
      <c r="CG36" s="141">
        <v>1342038</v>
      </c>
      <c r="CH36" s="141">
        <v>2396</v>
      </c>
      <c r="CI36" s="141">
        <v>466424</v>
      </c>
      <c r="CJ36" s="141">
        <v>2930383</v>
      </c>
      <c r="CK36" s="141">
        <v>2748144</v>
      </c>
      <c r="CL36" s="83">
        <f t="shared" si="7"/>
        <v>182239</v>
      </c>
      <c r="CM36" s="141">
        <v>3638276</v>
      </c>
      <c r="CN36" s="141">
        <v>1924833</v>
      </c>
      <c r="CO36" s="102"/>
      <c r="CP36" s="141">
        <v>698080</v>
      </c>
      <c r="CQ36" s="141">
        <v>74908</v>
      </c>
      <c r="CR36" s="141">
        <v>9927095</v>
      </c>
      <c r="CS36" s="141">
        <v>900803</v>
      </c>
      <c r="CT36" s="141">
        <v>8198289</v>
      </c>
      <c r="CU36" s="141">
        <v>335475</v>
      </c>
      <c r="CV36" s="73">
        <f t="shared" si="8"/>
        <v>389536</v>
      </c>
      <c r="CW36" s="141">
        <v>389536</v>
      </c>
      <c r="CX36" s="141">
        <v>0</v>
      </c>
      <c r="CY36" s="73">
        <f t="shared" si="9"/>
        <v>0</v>
      </c>
      <c r="CZ36" s="141">
        <v>0</v>
      </c>
      <c r="DA36" s="141">
        <v>0</v>
      </c>
      <c r="DB36" s="73">
        <f t="shared" si="10"/>
        <v>240178</v>
      </c>
      <c r="DC36" s="141">
        <v>240178</v>
      </c>
      <c r="DD36" s="141">
        <v>0</v>
      </c>
      <c r="DE36" s="141">
        <v>3242115</v>
      </c>
      <c r="DF36" s="141">
        <v>1833341</v>
      </c>
      <c r="DG36" s="141">
        <v>1408774</v>
      </c>
      <c r="DH36" s="141">
        <v>0</v>
      </c>
      <c r="DI36" s="141">
        <v>0</v>
      </c>
      <c r="DJ36" s="141">
        <v>0</v>
      </c>
      <c r="DK36" s="141">
        <v>155244</v>
      </c>
      <c r="DL36" s="141">
        <v>95498</v>
      </c>
      <c r="DM36" s="141">
        <v>197</v>
      </c>
      <c r="DN36" s="141">
        <v>59549</v>
      </c>
      <c r="DO36" s="141">
        <v>0</v>
      </c>
      <c r="DP36" s="141">
        <v>0</v>
      </c>
      <c r="DQ36" s="141">
        <v>0</v>
      </c>
      <c r="DR36" s="141">
        <v>0</v>
      </c>
      <c r="DS36" s="141">
        <v>0</v>
      </c>
      <c r="DT36" s="141">
        <v>0</v>
      </c>
      <c r="DU36" s="141">
        <v>0</v>
      </c>
      <c r="DV36" s="141">
        <v>2609681</v>
      </c>
      <c r="DW36" s="141">
        <v>0</v>
      </c>
      <c r="DX36" s="73">
        <f t="shared" si="11"/>
        <v>0</v>
      </c>
      <c r="DY36" s="141">
        <v>0</v>
      </c>
      <c r="DZ36" s="141">
        <v>979585</v>
      </c>
      <c r="EA36" s="141">
        <v>0</v>
      </c>
      <c r="EB36" s="141">
        <v>717657</v>
      </c>
      <c r="EC36" s="74">
        <v>0</v>
      </c>
      <c r="ED36" s="141">
        <v>912439</v>
      </c>
      <c r="EE36" s="141">
        <v>0</v>
      </c>
      <c r="EF36" s="141">
        <v>35288636</v>
      </c>
      <c r="EG36" s="71"/>
      <c r="EH36" s="141">
        <v>464305</v>
      </c>
      <c r="EI36" s="141">
        <v>85878</v>
      </c>
      <c r="EJ36" s="141">
        <v>378427</v>
      </c>
      <c r="EK36" s="141">
        <v>196330</v>
      </c>
      <c r="EL36" s="141">
        <v>287615</v>
      </c>
      <c r="EM36" s="71"/>
      <c r="EN36" s="141">
        <v>75077</v>
      </c>
      <c r="EO36" s="141">
        <v>77614</v>
      </c>
      <c r="EP36" s="141">
        <v>5227</v>
      </c>
      <c r="EQ36" s="141">
        <v>40022</v>
      </c>
      <c r="ER36" s="73">
        <f t="shared" si="12"/>
        <v>1309082</v>
      </c>
      <c r="ES36" s="141">
        <v>15214743</v>
      </c>
      <c r="ET36" s="141">
        <v>-2194790</v>
      </c>
      <c r="EU36" s="141">
        <v>4885779</v>
      </c>
      <c r="EV36" s="141">
        <v>2958728</v>
      </c>
      <c r="EW36" s="141">
        <v>1929462</v>
      </c>
      <c r="EX36" s="141">
        <v>2930383</v>
      </c>
      <c r="EY36" s="73">
        <f t="shared" si="13"/>
        <v>351682</v>
      </c>
      <c r="EZ36" s="141">
        <v>351682</v>
      </c>
      <c r="FA36" s="141">
        <v>146360</v>
      </c>
      <c r="FB36" s="141">
        <v>205322</v>
      </c>
      <c r="FC36" s="141">
        <v>0</v>
      </c>
      <c r="FD36" s="141">
        <v>0</v>
      </c>
      <c r="FE36" s="141">
        <v>2609375</v>
      </c>
      <c r="FF36" s="141">
        <v>1952870</v>
      </c>
      <c r="FG36" s="141">
        <v>900798</v>
      </c>
      <c r="FH36" s="141">
        <v>2059109</v>
      </c>
      <c r="FI36" s="73">
        <f t="shared" si="14"/>
        <v>226568</v>
      </c>
      <c r="FJ36" s="141">
        <v>16945228</v>
      </c>
      <c r="FK36" s="379">
        <f t="shared" si="15"/>
        <v>2.5</v>
      </c>
      <c r="FL36" s="141">
        <v>14258907</v>
      </c>
      <c r="FM36" s="141">
        <v>851671</v>
      </c>
      <c r="FN36" s="141">
        <v>8576273</v>
      </c>
      <c r="FO36" s="141">
        <v>11959998</v>
      </c>
      <c r="FP36" s="390">
        <v>0.70799999999999996</v>
      </c>
      <c r="FQ36" s="380">
        <v>92.7</v>
      </c>
      <c r="FR36" s="381">
        <v>31</v>
      </c>
      <c r="FS36" s="380">
        <v>12.6</v>
      </c>
      <c r="FT36" s="380">
        <v>19.3</v>
      </c>
      <c r="FU36" s="381">
        <v>9.4</v>
      </c>
      <c r="FV36" s="380">
        <v>7.4</v>
      </c>
      <c r="FW36" s="382">
        <v>12.7</v>
      </c>
      <c r="FX36" s="388">
        <v>9.4</v>
      </c>
      <c r="FY36" s="141">
        <v>28227912</v>
      </c>
      <c r="FZ36" s="384">
        <f t="shared" si="16"/>
        <v>186.8</v>
      </c>
      <c r="GA36" s="141">
        <v>6628589</v>
      </c>
      <c r="GB36" s="141">
        <v>3916879</v>
      </c>
      <c r="GC36" s="141">
        <v>653769</v>
      </c>
      <c r="GD36" s="141">
        <v>2057941</v>
      </c>
      <c r="GE36" s="107">
        <v>0</v>
      </c>
      <c r="GF36" s="385">
        <v>6999</v>
      </c>
      <c r="GG36" s="386">
        <f>IF(GF36=0,"-",ROUND(GF36/(GX36)*100,1))</f>
        <v>46.3</v>
      </c>
      <c r="GH36" s="380">
        <v>98.7</v>
      </c>
      <c r="GI36" s="380">
        <v>44.3</v>
      </c>
      <c r="GJ36" s="380">
        <v>98.4</v>
      </c>
      <c r="GK36" s="141">
        <v>482</v>
      </c>
      <c r="GL36" s="391" t="s">
        <v>646</v>
      </c>
      <c r="GM36" s="391">
        <v>12.77</v>
      </c>
      <c r="GN36" s="117">
        <v>20</v>
      </c>
      <c r="GO36" s="391" t="s">
        <v>646</v>
      </c>
      <c r="GP36" s="392">
        <v>17.77</v>
      </c>
      <c r="GQ36" s="387">
        <v>30</v>
      </c>
      <c r="GR36" s="381">
        <v>9.4</v>
      </c>
      <c r="GS36" s="388">
        <v>25</v>
      </c>
      <c r="GT36" s="388">
        <v>35</v>
      </c>
      <c r="GU36" s="393">
        <v>69.400000000000006</v>
      </c>
      <c r="GV36" s="388">
        <v>350</v>
      </c>
      <c r="GW36" s="394"/>
      <c r="GX36" s="100">
        <f t="shared" si="17"/>
        <v>15111</v>
      </c>
      <c r="GY36" s="394"/>
      <c r="GZ36" s="394"/>
      <c r="HA36" s="394"/>
      <c r="HB36" s="394"/>
      <c r="HC36" s="394"/>
      <c r="HD36" s="394"/>
      <c r="HE36" s="394"/>
      <c r="HF36" s="394"/>
      <c r="HG36" s="394"/>
      <c r="HH36" s="394"/>
      <c r="HI36" s="394"/>
      <c r="HJ36" s="394"/>
      <c r="HK36" s="394"/>
      <c r="HL36" s="394"/>
      <c r="HM36" s="394"/>
      <c r="HN36" s="394"/>
      <c r="HO36" s="394"/>
      <c r="HP36" s="394"/>
      <c r="HQ36" s="394"/>
      <c r="HR36" s="394"/>
      <c r="HS36" s="394"/>
      <c r="HT36" s="394"/>
      <c r="HU36" s="394"/>
      <c r="HV36" s="394"/>
      <c r="HW36" s="394"/>
      <c r="HX36" s="394"/>
    </row>
    <row r="37" spans="1:232" x14ac:dyDescent="0.15">
      <c r="B37" s="89" t="s">
        <v>63</v>
      </c>
      <c r="C37" s="141">
        <v>7399711</v>
      </c>
      <c r="D37" s="73">
        <f t="shared" si="0"/>
        <v>3571066</v>
      </c>
      <c r="E37" s="141">
        <v>99470</v>
      </c>
      <c r="F37" s="141">
        <v>3471596</v>
      </c>
      <c r="G37" s="73">
        <f t="shared" si="1"/>
        <v>238414</v>
      </c>
      <c r="H37" s="141">
        <v>103177</v>
      </c>
      <c r="I37" s="141">
        <v>135237</v>
      </c>
      <c r="J37" s="141">
        <v>2811296</v>
      </c>
      <c r="K37" s="141">
        <v>1112224</v>
      </c>
      <c r="L37" s="141">
        <v>1362041</v>
      </c>
      <c r="M37" s="141">
        <v>306032</v>
      </c>
      <c r="N37" s="141">
        <v>299810</v>
      </c>
      <c r="O37" s="141">
        <v>372560</v>
      </c>
      <c r="P37" s="141">
        <v>194899</v>
      </c>
      <c r="Q37" s="141">
        <v>177661</v>
      </c>
      <c r="R37" s="141">
        <v>113776</v>
      </c>
      <c r="S37" s="74"/>
      <c r="T37" s="73">
        <f t="shared" si="2"/>
        <v>1316780</v>
      </c>
      <c r="U37" s="141">
        <v>12737</v>
      </c>
      <c r="V37" s="141">
        <v>53898</v>
      </c>
      <c r="W37" s="141">
        <v>60891</v>
      </c>
      <c r="X37" s="141">
        <v>1147510</v>
      </c>
      <c r="Y37" s="141">
        <v>0</v>
      </c>
      <c r="Z37" s="141">
        <v>0</v>
      </c>
      <c r="AA37" s="141">
        <v>3</v>
      </c>
      <c r="AB37" s="141">
        <v>19746</v>
      </c>
      <c r="AC37" s="141">
        <v>21995</v>
      </c>
      <c r="AD37" s="141">
        <v>86288</v>
      </c>
      <c r="AE37" s="141">
        <v>3114835</v>
      </c>
      <c r="AF37" s="141">
        <v>2892456</v>
      </c>
      <c r="AG37" s="141">
        <v>222379</v>
      </c>
      <c r="AH37" s="141">
        <v>9260</v>
      </c>
      <c r="AI37" s="141">
        <v>135790</v>
      </c>
      <c r="AJ37" s="73">
        <f t="shared" si="3"/>
        <v>193596</v>
      </c>
      <c r="AK37" s="141">
        <v>152437</v>
      </c>
      <c r="AL37" s="141">
        <v>41159</v>
      </c>
      <c r="AM37" s="141">
        <v>10842031</v>
      </c>
      <c r="AN37" s="73">
        <f t="shared" si="4"/>
        <v>2025531</v>
      </c>
      <c r="AO37" s="141">
        <v>876242</v>
      </c>
      <c r="AP37" s="141">
        <v>663437</v>
      </c>
      <c r="AQ37" s="74"/>
      <c r="AR37" s="141">
        <v>485852</v>
      </c>
      <c r="AS37" s="141">
        <v>193300</v>
      </c>
      <c r="AT37" s="141">
        <v>0</v>
      </c>
      <c r="AU37" s="141">
        <v>0</v>
      </c>
      <c r="AV37" s="141">
        <v>1812457</v>
      </c>
      <c r="AW37" s="141">
        <v>1143402</v>
      </c>
      <c r="AX37" s="141">
        <v>283019</v>
      </c>
      <c r="AY37" s="141">
        <v>45215</v>
      </c>
      <c r="AZ37" s="141">
        <v>669055</v>
      </c>
      <c r="BA37" s="141">
        <v>17104</v>
      </c>
      <c r="BB37" s="141">
        <v>23032</v>
      </c>
      <c r="BC37" s="141">
        <v>4649</v>
      </c>
      <c r="BD37" s="141">
        <v>14951</v>
      </c>
      <c r="BE37" s="141">
        <v>137579</v>
      </c>
      <c r="BF37" s="141">
        <v>0</v>
      </c>
      <c r="BG37" s="141">
        <v>0</v>
      </c>
      <c r="BH37" s="141">
        <v>130007</v>
      </c>
      <c r="BI37" s="141">
        <v>0</v>
      </c>
      <c r="BJ37" s="141">
        <v>66268</v>
      </c>
      <c r="BK37" s="141">
        <v>51085</v>
      </c>
      <c r="BL37" s="141">
        <v>140086</v>
      </c>
      <c r="BM37" s="141">
        <v>32</v>
      </c>
      <c r="BN37" s="141">
        <v>0</v>
      </c>
      <c r="BO37" s="141">
        <v>0</v>
      </c>
      <c r="BP37" s="141">
        <v>1542900</v>
      </c>
      <c r="BQ37" s="73">
        <f t="shared" si="5"/>
        <v>813700</v>
      </c>
      <c r="BR37" s="73">
        <f t="shared" si="6"/>
        <v>729200</v>
      </c>
      <c r="BS37" s="141">
        <v>0</v>
      </c>
      <c r="BT37" s="141">
        <v>0</v>
      </c>
      <c r="BU37" s="141">
        <v>729200</v>
      </c>
      <c r="BV37" s="141">
        <v>0</v>
      </c>
      <c r="BW37" s="141">
        <v>26949340</v>
      </c>
      <c r="BX37" s="71"/>
      <c r="BY37" s="141">
        <v>4071639</v>
      </c>
      <c r="BZ37" s="141">
        <v>2506832</v>
      </c>
      <c r="CA37" s="141">
        <v>267356</v>
      </c>
      <c r="CB37" s="141">
        <v>508403</v>
      </c>
      <c r="CC37" s="141">
        <v>6024885</v>
      </c>
      <c r="CD37" s="141">
        <v>1572336</v>
      </c>
      <c r="CE37" s="141">
        <v>23045</v>
      </c>
      <c r="CF37" s="141">
        <v>2888390</v>
      </c>
      <c r="CG37" s="141">
        <v>1118787</v>
      </c>
      <c r="CH37" s="141">
        <v>0</v>
      </c>
      <c r="CI37" s="141">
        <v>422327</v>
      </c>
      <c r="CJ37" s="141">
        <v>1772380</v>
      </c>
      <c r="CK37" s="141">
        <v>1702779</v>
      </c>
      <c r="CL37" s="83">
        <f t="shared" si="7"/>
        <v>69601</v>
      </c>
      <c r="CM37" s="141">
        <v>3743522</v>
      </c>
      <c r="CN37" s="141">
        <v>2562009</v>
      </c>
      <c r="CO37" s="102"/>
      <c r="CP37" s="141">
        <v>381742</v>
      </c>
      <c r="CQ37" s="141">
        <v>30997</v>
      </c>
      <c r="CR37" s="141">
        <v>7649173</v>
      </c>
      <c r="CS37" s="141">
        <v>322298</v>
      </c>
      <c r="CT37" s="141">
        <v>6319522</v>
      </c>
      <c r="CU37" s="141">
        <v>242676</v>
      </c>
      <c r="CV37" s="73">
        <f t="shared" si="8"/>
        <v>475556</v>
      </c>
      <c r="CW37" s="141">
        <v>151766</v>
      </c>
      <c r="CX37" s="141">
        <v>323790</v>
      </c>
      <c r="CY37" s="73">
        <f t="shared" si="9"/>
        <v>0</v>
      </c>
      <c r="CZ37" s="141">
        <v>0</v>
      </c>
      <c r="DA37" s="141">
        <v>0</v>
      </c>
      <c r="DB37" s="73">
        <f t="shared" si="10"/>
        <v>393448</v>
      </c>
      <c r="DC37" s="141">
        <v>69658</v>
      </c>
      <c r="DD37" s="141">
        <v>323790</v>
      </c>
      <c r="DE37" s="141">
        <v>1382832</v>
      </c>
      <c r="DF37" s="141">
        <v>507213</v>
      </c>
      <c r="DG37" s="141">
        <v>559023</v>
      </c>
      <c r="DH37" s="141">
        <v>31283</v>
      </c>
      <c r="DI37" s="141">
        <v>0</v>
      </c>
      <c r="DJ37" s="141">
        <v>0</v>
      </c>
      <c r="DK37" s="141">
        <v>12660</v>
      </c>
      <c r="DL37" s="141">
        <v>1723</v>
      </c>
      <c r="DM37" s="141">
        <v>4</v>
      </c>
      <c r="DN37" s="141">
        <v>10933</v>
      </c>
      <c r="DO37" s="141">
        <v>0</v>
      </c>
      <c r="DP37" s="141">
        <v>0</v>
      </c>
      <c r="DQ37" s="141">
        <v>0</v>
      </c>
      <c r="DR37" s="141">
        <v>0</v>
      </c>
      <c r="DS37" s="141">
        <v>108</v>
      </c>
      <c r="DT37" s="141">
        <v>0</v>
      </c>
      <c r="DU37" s="141">
        <v>0</v>
      </c>
      <c r="DV37" s="141">
        <v>2094429</v>
      </c>
      <c r="DW37" s="141">
        <v>0</v>
      </c>
      <c r="DX37" s="73">
        <f t="shared" si="11"/>
        <v>0</v>
      </c>
      <c r="DY37" s="141">
        <v>0</v>
      </c>
      <c r="DZ37" s="141">
        <v>772769</v>
      </c>
      <c r="EA37" s="141">
        <v>0</v>
      </c>
      <c r="EB37" s="141">
        <v>508494</v>
      </c>
      <c r="EC37" s="74">
        <v>0</v>
      </c>
      <c r="ED37" s="141">
        <v>802729</v>
      </c>
      <c r="EE37" s="141">
        <v>0</v>
      </c>
      <c r="EF37" s="141">
        <v>26782625</v>
      </c>
      <c r="EG37" s="71"/>
      <c r="EH37" s="141">
        <v>166715</v>
      </c>
      <c r="EI37" s="141">
        <v>6011</v>
      </c>
      <c r="EJ37" s="141">
        <v>160704</v>
      </c>
      <c r="EK37" s="141">
        <v>109619</v>
      </c>
      <c r="EL37" s="141">
        <v>111342</v>
      </c>
      <c r="EM37" s="71"/>
      <c r="EN37" s="141">
        <v>58486</v>
      </c>
      <c r="EO37" s="141">
        <v>58705</v>
      </c>
      <c r="EP37" s="141">
        <v>104049</v>
      </c>
      <c r="EQ37" s="141">
        <v>18845</v>
      </c>
      <c r="ER37" s="73">
        <f t="shared" si="12"/>
        <v>1049015</v>
      </c>
      <c r="ES37" s="141">
        <v>12040650</v>
      </c>
      <c r="ET37" s="141">
        <v>-1891849</v>
      </c>
      <c r="EU37" s="141">
        <v>3713767</v>
      </c>
      <c r="EV37" s="141">
        <v>2317116</v>
      </c>
      <c r="EW37" s="141">
        <v>1552333</v>
      </c>
      <c r="EX37" s="141">
        <v>1772380</v>
      </c>
      <c r="EY37" s="73">
        <f t="shared" si="13"/>
        <v>261739</v>
      </c>
      <c r="EZ37" s="141">
        <v>261739</v>
      </c>
      <c r="FA37" s="141">
        <v>18539</v>
      </c>
      <c r="FB37" s="141">
        <v>242117</v>
      </c>
      <c r="FC37" s="141">
        <v>0</v>
      </c>
      <c r="FD37" s="141">
        <v>0</v>
      </c>
      <c r="FE37" s="141">
        <v>3120116</v>
      </c>
      <c r="FF37" s="141">
        <v>1642817</v>
      </c>
      <c r="FG37" s="141">
        <v>322298</v>
      </c>
      <c r="FH37" s="141">
        <v>1669832</v>
      </c>
      <c r="FI37" s="73">
        <f t="shared" si="14"/>
        <v>32800</v>
      </c>
      <c r="FJ37" s="141">
        <v>13765784</v>
      </c>
      <c r="FK37" s="379">
        <f t="shared" si="15"/>
        <v>1.3</v>
      </c>
      <c r="FL37" s="141">
        <v>11543428</v>
      </c>
      <c r="FM37" s="141">
        <v>729263</v>
      </c>
      <c r="FN37" s="141">
        <v>6749944</v>
      </c>
      <c r="FO37" s="141">
        <v>9647329</v>
      </c>
      <c r="FP37" s="390">
        <v>0.70099999999999996</v>
      </c>
      <c r="FQ37" s="380">
        <v>98.4</v>
      </c>
      <c r="FR37" s="381">
        <v>30.2</v>
      </c>
      <c r="FS37" s="380">
        <v>12.3</v>
      </c>
      <c r="FT37" s="380">
        <v>14.5</v>
      </c>
      <c r="FU37" s="381">
        <v>21.6</v>
      </c>
      <c r="FV37" s="380">
        <v>6.8</v>
      </c>
      <c r="FW37" s="382">
        <v>12.9</v>
      </c>
      <c r="FX37" s="388">
        <v>2.2000000000000002</v>
      </c>
      <c r="FY37" s="141">
        <v>17215133</v>
      </c>
      <c r="FZ37" s="384">
        <f t="shared" si="16"/>
        <v>140.30000000000001</v>
      </c>
      <c r="GA37" s="141">
        <v>3699734</v>
      </c>
      <c r="GB37" s="141">
        <v>3039866</v>
      </c>
      <c r="GC37" s="141">
        <v>36880</v>
      </c>
      <c r="GD37" s="141">
        <v>622988</v>
      </c>
      <c r="GE37" s="107">
        <v>0</v>
      </c>
      <c r="GF37" s="385"/>
      <c r="GG37" s="386"/>
      <c r="GH37" s="380">
        <v>99.1</v>
      </c>
      <c r="GI37" s="380">
        <v>21.1</v>
      </c>
      <c r="GJ37" s="380">
        <v>96.5</v>
      </c>
      <c r="GK37" s="141">
        <v>376</v>
      </c>
      <c r="GL37" s="391" t="s">
        <v>646</v>
      </c>
      <c r="GM37" s="391">
        <v>13.02</v>
      </c>
      <c r="GN37" s="117">
        <v>20</v>
      </c>
      <c r="GO37" s="391" t="s">
        <v>646</v>
      </c>
      <c r="GP37" s="392">
        <v>18.02</v>
      </c>
      <c r="GQ37" s="387">
        <v>30</v>
      </c>
      <c r="GR37" s="381">
        <v>2.2000000000000002</v>
      </c>
      <c r="GS37" s="388">
        <v>25</v>
      </c>
      <c r="GT37" s="388">
        <v>35</v>
      </c>
      <c r="GU37" s="393" t="s">
        <v>646</v>
      </c>
      <c r="GV37" s="388">
        <v>350</v>
      </c>
      <c r="GW37" s="394"/>
      <c r="GX37" s="100">
        <f t="shared" si="17"/>
        <v>12273</v>
      </c>
      <c r="GY37" s="394"/>
      <c r="GZ37" s="394"/>
      <c r="HA37" s="394"/>
      <c r="HB37" s="394"/>
      <c r="HC37" s="394"/>
      <c r="HD37" s="394"/>
      <c r="HE37" s="394"/>
      <c r="HF37" s="394"/>
      <c r="HG37" s="394"/>
      <c r="HH37" s="394"/>
      <c r="HI37" s="394"/>
      <c r="HJ37" s="394"/>
      <c r="HK37" s="394"/>
      <c r="HL37" s="394"/>
      <c r="HM37" s="394"/>
      <c r="HN37" s="394"/>
      <c r="HO37" s="394"/>
      <c r="HP37" s="394"/>
      <c r="HQ37" s="394"/>
      <c r="HR37" s="394"/>
      <c r="HS37" s="394"/>
      <c r="HT37" s="394"/>
      <c r="HU37" s="394"/>
      <c r="HV37" s="394"/>
      <c r="HW37" s="394"/>
      <c r="HX37" s="394"/>
    </row>
    <row r="38" spans="1:232" x14ac:dyDescent="0.15">
      <c r="B38" s="89" t="s">
        <v>65</v>
      </c>
      <c r="C38" s="141">
        <v>5448212</v>
      </c>
      <c r="D38" s="73">
        <f t="shared" si="0"/>
        <v>2451182</v>
      </c>
      <c r="E38" s="141">
        <v>89871</v>
      </c>
      <c r="F38" s="141">
        <v>2361311</v>
      </c>
      <c r="G38" s="73">
        <f t="shared" si="1"/>
        <v>218170</v>
      </c>
      <c r="H38" s="141">
        <v>77231</v>
      </c>
      <c r="I38" s="141">
        <v>140939</v>
      </c>
      <c r="J38" s="141">
        <v>1987384</v>
      </c>
      <c r="K38" s="141">
        <v>635502</v>
      </c>
      <c r="L38" s="141">
        <v>1033047</v>
      </c>
      <c r="M38" s="141">
        <v>266681</v>
      </c>
      <c r="N38" s="141">
        <v>251103</v>
      </c>
      <c r="O38" s="141">
        <v>394964</v>
      </c>
      <c r="P38" s="141">
        <v>179779</v>
      </c>
      <c r="Q38" s="141">
        <v>215185</v>
      </c>
      <c r="R38" s="141">
        <v>113620</v>
      </c>
      <c r="S38" s="74"/>
      <c r="T38" s="73">
        <f t="shared" si="2"/>
        <v>1139225</v>
      </c>
      <c r="U38" s="141">
        <v>8778</v>
      </c>
      <c r="V38" s="141">
        <v>37101</v>
      </c>
      <c r="W38" s="141">
        <v>41817</v>
      </c>
      <c r="X38" s="141">
        <v>1015135</v>
      </c>
      <c r="Y38" s="141">
        <v>1658</v>
      </c>
      <c r="Z38" s="141">
        <v>0</v>
      </c>
      <c r="AA38" s="141">
        <v>3</v>
      </c>
      <c r="AB38" s="141">
        <v>19398</v>
      </c>
      <c r="AC38" s="141">
        <v>15335</v>
      </c>
      <c r="AD38" s="141">
        <v>51249</v>
      </c>
      <c r="AE38" s="141">
        <v>4652123</v>
      </c>
      <c r="AF38" s="141">
        <v>4383665</v>
      </c>
      <c r="AG38" s="141">
        <v>268458</v>
      </c>
      <c r="AH38" s="141">
        <v>7125</v>
      </c>
      <c r="AI38" s="141">
        <v>4530</v>
      </c>
      <c r="AJ38" s="73">
        <f t="shared" si="3"/>
        <v>202389</v>
      </c>
      <c r="AK38" s="141">
        <v>114949</v>
      </c>
      <c r="AL38" s="141">
        <v>87440</v>
      </c>
      <c r="AM38" s="141">
        <v>9219721</v>
      </c>
      <c r="AN38" s="73">
        <f t="shared" si="4"/>
        <v>1811408</v>
      </c>
      <c r="AO38" s="141">
        <v>796582</v>
      </c>
      <c r="AP38" s="141">
        <v>432808</v>
      </c>
      <c r="AQ38" s="74"/>
      <c r="AR38" s="141">
        <v>582018</v>
      </c>
      <c r="AS38" s="141">
        <v>183095</v>
      </c>
      <c r="AT38" s="141">
        <v>0</v>
      </c>
      <c r="AU38" s="141">
        <v>0</v>
      </c>
      <c r="AV38" s="141">
        <v>1525062</v>
      </c>
      <c r="AW38" s="141">
        <v>839258</v>
      </c>
      <c r="AX38" s="141">
        <v>194159</v>
      </c>
      <c r="AY38" s="141">
        <v>6744</v>
      </c>
      <c r="AZ38" s="141">
        <v>685804</v>
      </c>
      <c r="BA38" s="141">
        <v>856</v>
      </c>
      <c r="BB38" s="141">
        <v>13697</v>
      </c>
      <c r="BC38" s="141">
        <v>7824</v>
      </c>
      <c r="BD38" s="141">
        <v>779311</v>
      </c>
      <c r="BE38" s="141">
        <v>503018</v>
      </c>
      <c r="BF38" s="141">
        <v>104608</v>
      </c>
      <c r="BG38" s="141">
        <v>0</v>
      </c>
      <c r="BH38" s="141">
        <v>398188</v>
      </c>
      <c r="BI38" s="141">
        <v>0</v>
      </c>
      <c r="BJ38" s="141">
        <v>273775</v>
      </c>
      <c r="BK38" s="141">
        <v>268923</v>
      </c>
      <c r="BL38" s="141">
        <v>152942</v>
      </c>
      <c r="BM38" s="141">
        <v>0</v>
      </c>
      <c r="BN38" s="141">
        <v>0</v>
      </c>
      <c r="BO38" s="141">
        <v>0</v>
      </c>
      <c r="BP38" s="141">
        <v>1030842</v>
      </c>
      <c r="BQ38" s="73">
        <f t="shared" si="5"/>
        <v>438900</v>
      </c>
      <c r="BR38" s="73">
        <f t="shared" si="6"/>
        <v>591942</v>
      </c>
      <c r="BS38" s="141">
        <v>0</v>
      </c>
      <c r="BT38" s="141">
        <v>39756</v>
      </c>
      <c r="BU38" s="141">
        <v>552186</v>
      </c>
      <c r="BV38" s="141">
        <v>0</v>
      </c>
      <c r="BW38" s="141">
        <v>25116841</v>
      </c>
      <c r="BX38" s="71"/>
      <c r="BY38" s="141">
        <v>3498625</v>
      </c>
      <c r="BZ38" s="141">
        <v>2124552</v>
      </c>
      <c r="CA38" s="141">
        <v>229022</v>
      </c>
      <c r="CB38" s="141">
        <v>470159</v>
      </c>
      <c r="CC38" s="141">
        <v>4664166</v>
      </c>
      <c r="CD38" s="141">
        <v>1437264</v>
      </c>
      <c r="CE38" s="141">
        <v>22297</v>
      </c>
      <c r="CF38" s="141">
        <v>1928813</v>
      </c>
      <c r="CG38" s="141">
        <v>1036391</v>
      </c>
      <c r="CH38" s="141">
        <v>4544</v>
      </c>
      <c r="CI38" s="141">
        <v>234857</v>
      </c>
      <c r="CJ38" s="141">
        <v>1670714</v>
      </c>
      <c r="CK38" s="141">
        <v>1557978</v>
      </c>
      <c r="CL38" s="83">
        <f t="shared" si="7"/>
        <v>112736</v>
      </c>
      <c r="CM38" s="141">
        <v>2660688</v>
      </c>
      <c r="CN38" s="141">
        <v>1768124</v>
      </c>
      <c r="CO38" s="102"/>
      <c r="CP38" s="141">
        <v>370675</v>
      </c>
      <c r="CQ38" s="141">
        <v>45293</v>
      </c>
      <c r="CR38" s="141">
        <v>7903367</v>
      </c>
      <c r="CS38" s="141">
        <v>1124061</v>
      </c>
      <c r="CT38" s="141">
        <v>5746053</v>
      </c>
      <c r="CU38" s="141">
        <v>379380</v>
      </c>
      <c r="CV38" s="73">
        <f t="shared" si="8"/>
        <v>642031</v>
      </c>
      <c r="CW38" s="141">
        <v>293967</v>
      </c>
      <c r="CX38" s="141">
        <v>348064</v>
      </c>
      <c r="CY38" s="73">
        <f t="shared" si="9"/>
        <v>283653</v>
      </c>
      <c r="CZ38" s="141">
        <v>237754</v>
      </c>
      <c r="DA38" s="141">
        <v>45899</v>
      </c>
      <c r="DB38" s="73">
        <f t="shared" si="10"/>
        <v>358378</v>
      </c>
      <c r="DC38" s="141">
        <v>56213</v>
      </c>
      <c r="DD38" s="141">
        <v>302165</v>
      </c>
      <c r="DE38" s="141">
        <v>574347</v>
      </c>
      <c r="DF38" s="141">
        <v>171591</v>
      </c>
      <c r="DG38" s="141">
        <v>398557</v>
      </c>
      <c r="DH38" s="141">
        <v>4199</v>
      </c>
      <c r="DI38" s="141">
        <v>0</v>
      </c>
      <c r="DJ38" s="141">
        <v>0</v>
      </c>
      <c r="DK38" s="141">
        <v>1009352</v>
      </c>
      <c r="DL38" s="141">
        <v>100416</v>
      </c>
      <c r="DM38" s="141">
        <v>48</v>
      </c>
      <c r="DN38" s="141">
        <v>908888</v>
      </c>
      <c r="DO38" s="141">
        <v>214200</v>
      </c>
      <c r="DP38" s="141">
        <v>214200</v>
      </c>
      <c r="DQ38" s="141">
        <v>0</v>
      </c>
      <c r="DR38" s="141">
        <v>0</v>
      </c>
      <c r="DS38" s="141">
        <v>0</v>
      </c>
      <c r="DT38" s="141">
        <v>0</v>
      </c>
      <c r="DU38" s="141">
        <v>0</v>
      </c>
      <c r="DV38" s="141">
        <v>2449082</v>
      </c>
      <c r="DW38" s="141">
        <v>0</v>
      </c>
      <c r="DX38" s="73">
        <f t="shared" si="11"/>
        <v>0</v>
      </c>
      <c r="DY38" s="141">
        <v>0</v>
      </c>
      <c r="DZ38" s="141">
        <v>967421</v>
      </c>
      <c r="EA38" s="141">
        <v>0</v>
      </c>
      <c r="EB38" s="141">
        <v>651869</v>
      </c>
      <c r="EC38" s="74">
        <v>0</v>
      </c>
      <c r="ED38" s="141">
        <v>829792</v>
      </c>
      <c r="EE38" s="141">
        <v>0</v>
      </c>
      <c r="EF38" s="141">
        <v>24689834</v>
      </c>
      <c r="EG38" s="71"/>
      <c r="EH38" s="141">
        <v>427007</v>
      </c>
      <c r="EI38" s="141">
        <v>53656</v>
      </c>
      <c r="EJ38" s="141">
        <v>373351</v>
      </c>
      <c r="EK38" s="141">
        <v>104428</v>
      </c>
      <c r="EL38" s="141">
        <v>100236</v>
      </c>
      <c r="EM38" s="71"/>
      <c r="EN38" s="141">
        <v>51262</v>
      </c>
      <c r="EO38" s="141">
        <v>53102</v>
      </c>
      <c r="EP38" s="141">
        <v>104830</v>
      </c>
      <c r="EQ38" s="141">
        <v>9280</v>
      </c>
      <c r="ER38" s="73">
        <f t="shared" si="12"/>
        <v>1444636</v>
      </c>
      <c r="ES38" s="141">
        <v>11411554</v>
      </c>
      <c r="ET38" s="141">
        <v>-2143563</v>
      </c>
      <c r="EU38" s="141">
        <v>3160720</v>
      </c>
      <c r="EV38" s="141">
        <v>2124552</v>
      </c>
      <c r="EW38" s="141">
        <v>1216070</v>
      </c>
      <c r="EX38" s="141">
        <v>1670714</v>
      </c>
      <c r="EY38" s="73">
        <f t="shared" si="13"/>
        <v>124846</v>
      </c>
      <c r="EZ38" s="141">
        <v>124846</v>
      </c>
      <c r="FA38" s="141">
        <v>8516</v>
      </c>
      <c r="FB38" s="141">
        <v>114931</v>
      </c>
      <c r="FC38" s="141">
        <v>0</v>
      </c>
      <c r="FD38" s="141">
        <v>0</v>
      </c>
      <c r="FE38" s="141">
        <v>2057211</v>
      </c>
      <c r="FF38" s="141">
        <v>2312508</v>
      </c>
      <c r="FG38" s="141">
        <v>1110909</v>
      </c>
      <c r="FH38" s="141">
        <v>1932701</v>
      </c>
      <c r="FI38" s="73">
        <f t="shared" si="14"/>
        <v>653340</v>
      </c>
      <c r="FJ38" s="141">
        <v>13128110</v>
      </c>
      <c r="FK38" s="379">
        <f t="shared" si="15"/>
        <v>3.3</v>
      </c>
      <c r="FL38" s="141">
        <v>10762341</v>
      </c>
      <c r="FM38" s="141">
        <v>552186</v>
      </c>
      <c r="FN38" s="141">
        <v>5087048</v>
      </c>
      <c r="FO38" s="141">
        <v>9491856</v>
      </c>
      <c r="FP38" s="390">
        <v>0.53400000000000003</v>
      </c>
      <c r="FQ38" s="380">
        <v>95.6</v>
      </c>
      <c r="FR38" s="381">
        <v>26.2</v>
      </c>
      <c r="FS38" s="380">
        <v>10.5</v>
      </c>
      <c r="FT38" s="380">
        <v>14.6</v>
      </c>
      <c r="FU38" s="381">
        <v>12.7</v>
      </c>
      <c r="FV38" s="380">
        <v>14.1</v>
      </c>
      <c r="FW38" s="382">
        <v>16.7</v>
      </c>
      <c r="FX38" s="388">
        <v>7.4</v>
      </c>
      <c r="FY38" s="141">
        <v>16357174</v>
      </c>
      <c r="FZ38" s="384">
        <f t="shared" si="16"/>
        <v>144.6</v>
      </c>
      <c r="GA38" s="141">
        <v>2339304</v>
      </c>
      <c r="GB38" s="141">
        <v>716491</v>
      </c>
      <c r="GC38" s="141">
        <v>216054</v>
      </c>
      <c r="GD38" s="141">
        <v>1406759</v>
      </c>
      <c r="GE38" s="107">
        <v>0</v>
      </c>
      <c r="GF38" s="385"/>
      <c r="GG38" s="386"/>
      <c r="GH38" s="380">
        <v>98.1</v>
      </c>
      <c r="GI38" s="380">
        <v>32.200000000000003</v>
      </c>
      <c r="GJ38" s="380">
        <v>96.1</v>
      </c>
      <c r="GK38" s="141">
        <v>332</v>
      </c>
      <c r="GL38" s="391" t="s">
        <v>646</v>
      </c>
      <c r="GM38" s="391">
        <v>13.14</v>
      </c>
      <c r="GN38" s="117">
        <v>20</v>
      </c>
      <c r="GO38" s="391" t="s">
        <v>646</v>
      </c>
      <c r="GP38" s="392">
        <v>18.14</v>
      </c>
      <c r="GQ38" s="387">
        <v>30</v>
      </c>
      <c r="GR38" s="381">
        <v>7.4</v>
      </c>
      <c r="GS38" s="388">
        <v>25</v>
      </c>
      <c r="GT38" s="388">
        <v>35</v>
      </c>
      <c r="GU38" s="393">
        <v>59.3</v>
      </c>
      <c r="GV38" s="388">
        <v>350</v>
      </c>
      <c r="GW38" s="394"/>
      <c r="GX38" s="100">
        <f t="shared" si="17"/>
        <v>11315</v>
      </c>
      <c r="GY38" s="394"/>
      <c r="GZ38" s="394"/>
      <c r="HA38" s="394"/>
      <c r="HB38" s="394"/>
      <c r="HC38" s="394"/>
      <c r="HD38" s="394"/>
      <c r="HE38" s="394"/>
      <c r="HF38" s="394"/>
      <c r="HG38" s="394"/>
      <c r="HH38" s="394"/>
      <c r="HI38" s="394"/>
      <c r="HJ38" s="394"/>
      <c r="HK38" s="394"/>
      <c r="HL38" s="394"/>
      <c r="HM38" s="394"/>
      <c r="HN38" s="394"/>
      <c r="HO38" s="394"/>
      <c r="HP38" s="394"/>
      <c r="HQ38" s="394"/>
      <c r="HR38" s="394"/>
      <c r="HS38" s="394"/>
      <c r="HT38" s="394"/>
      <c r="HU38" s="394"/>
      <c r="HV38" s="394"/>
      <c r="HW38" s="394"/>
      <c r="HX38" s="394"/>
    </row>
    <row r="39" spans="1:232" s="112" customFormat="1" x14ac:dyDescent="0.15">
      <c r="A39" s="126"/>
      <c r="B39" s="126" t="s">
        <v>67</v>
      </c>
      <c r="C39" s="137">
        <v>764813458</v>
      </c>
      <c r="D39" s="127">
        <f t="shared" si="0"/>
        <v>299253436</v>
      </c>
      <c r="E39" s="137">
        <v>8455667</v>
      </c>
      <c r="F39" s="137">
        <v>290797769</v>
      </c>
      <c r="G39" s="127">
        <f t="shared" si="1"/>
        <v>45928632</v>
      </c>
      <c r="H39" s="137">
        <v>13354523</v>
      </c>
      <c r="I39" s="137">
        <v>32574109</v>
      </c>
      <c r="J39" s="137">
        <v>308722596</v>
      </c>
      <c r="K39" s="137">
        <v>125596520</v>
      </c>
      <c r="L39" s="137">
        <v>137926581</v>
      </c>
      <c r="M39" s="137">
        <v>39900614</v>
      </c>
      <c r="N39" s="137">
        <v>31178839</v>
      </c>
      <c r="O39" s="137">
        <v>64014946</v>
      </c>
      <c r="P39" s="137">
        <v>34347957</v>
      </c>
      <c r="Q39" s="137">
        <v>29666989</v>
      </c>
      <c r="R39" s="137">
        <v>9098723</v>
      </c>
      <c r="S39" s="129">
        <f>SUM(S8:S38)</f>
        <v>0</v>
      </c>
      <c r="T39" s="129">
        <f>SUM(T8:T38)</f>
        <v>119475103</v>
      </c>
      <c r="U39" s="137">
        <v>1033133</v>
      </c>
      <c r="V39" s="137">
        <v>4378128</v>
      </c>
      <c r="W39" s="137">
        <v>4959317</v>
      </c>
      <c r="X39" s="137">
        <v>103129070</v>
      </c>
      <c r="Y39" s="137">
        <v>571475</v>
      </c>
      <c r="Z39" s="137">
        <v>0</v>
      </c>
      <c r="AA39" s="137">
        <v>204</v>
      </c>
      <c r="AB39" s="137">
        <v>1481712</v>
      </c>
      <c r="AC39" s="137">
        <v>3922064</v>
      </c>
      <c r="AD39" s="137">
        <v>5378958</v>
      </c>
      <c r="AE39" s="137">
        <v>192162682</v>
      </c>
      <c r="AF39" s="137">
        <v>181589201</v>
      </c>
      <c r="AG39" s="137">
        <v>10573353</v>
      </c>
      <c r="AH39" s="137">
        <v>713466</v>
      </c>
      <c r="AI39" s="137">
        <v>11427269</v>
      </c>
      <c r="AJ39" s="129">
        <f>SUM(AJ8:AJ38)</f>
        <v>27468514</v>
      </c>
      <c r="AK39" s="137">
        <v>19776553</v>
      </c>
      <c r="AL39" s="137">
        <v>7691961</v>
      </c>
      <c r="AM39" s="137">
        <v>1021356477</v>
      </c>
      <c r="AN39" s="129">
        <f>SUM(AN8:AN38)</f>
        <v>263655070</v>
      </c>
      <c r="AO39" s="137">
        <v>150937199</v>
      </c>
      <c r="AP39" s="137">
        <v>51376647</v>
      </c>
      <c r="AQ39" s="129">
        <f>SUM(AQ8:AQ38)</f>
        <v>0</v>
      </c>
      <c r="AR39" s="137">
        <v>61341224</v>
      </c>
      <c r="AS39" s="137">
        <v>22444174</v>
      </c>
      <c r="AT39" s="137">
        <v>42829</v>
      </c>
      <c r="AU39" s="137">
        <v>271647</v>
      </c>
      <c r="AV39" s="137">
        <v>160881778</v>
      </c>
      <c r="AW39" s="137">
        <v>107642269</v>
      </c>
      <c r="AX39" s="137">
        <v>21299834</v>
      </c>
      <c r="AY39" s="137">
        <v>2260874</v>
      </c>
      <c r="AZ39" s="137">
        <v>53239509</v>
      </c>
      <c r="BA39" s="137">
        <v>2809711</v>
      </c>
      <c r="BB39" s="137">
        <v>11005359</v>
      </c>
      <c r="BC39" s="137">
        <v>8544836</v>
      </c>
      <c r="BD39" s="137">
        <v>13659690</v>
      </c>
      <c r="BE39" s="137">
        <v>43977273</v>
      </c>
      <c r="BF39" s="137">
        <v>14172055</v>
      </c>
      <c r="BG39" s="137">
        <v>2333022</v>
      </c>
      <c r="BH39" s="137">
        <v>25417653</v>
      </c>
      <c r="BI39" s="137">
        <v>120426</v>
      </c>
      <c r="BJ39" s="137">
        <v>35196975</v>
      </c>
      <c r="BK39" s="137">
        <v>20251568</v>
      </c>
      <c r="BL39" s="137">
        <v>41084464</v>
      </c>
      <c r="BM39" s="137">
        <v>11848923</v>
      </c>
      <c r="BN39" s="137">
        <v>142913</v>
      </c>
      <c r="BO39" s="137">
        <v>6579580</v>
      </c>
      <c r="BP39" s="137">
        <v>140530184</v>
      </c>
      <c r="BQ39" s="127">
        <f t="shared" si="5"/>
        <v>84400662</v>
      </c>
      <c r="BR39" s="127">
        <f t="shared" si="6"/>
        <v>56129522</v>
      </c>
      <c r="BS39" s="137">
        <v>0</v>
      </c>
      <c r="BT39" s="137">
        <v>2849037</v>
      </c>
      <c r="BU39" s="137">
        <v>53280485</v>
      </c>
      <c r="BV39" s="137">
        <v>0</v>
      </c>
      <c r="BW39" s="137">
        <v>2598502020</v>
      </c>
      <c r="BX39" s="129"/>
      <c r="BY39" s="137">
        <v>309868011</v>
      </c>
      <c r="BZ39" s="137">
        <v>198253891</v>
      </c>
      <c r="CA39" s="137">
        <v>16734966</v>
      </c>
      <c r="CB39" s="137">
        <v>37926279</v>
      </c>
      <c r="CC39" s="137">
        <v>638558126</v>
      </c>
      <c r="CD39" s="137">
        <v>148767131</v>
      </c>
      <c r="CE39" s="137">
        <v>2587160</v>
      </c>
      <c r="CF39" s="137">
        <v>263403776</v>
      </c>
      <c r="CG39" s="137">
        <v>196474008</v>
      </c>
      <c r="CH39" s="137">
        <v>5558371</v>
      </c>
      <c r="CI39" s="137">
        <v>21755145</v>
      </c>
      <c r="CJ39" s="137">
        <v>151315952</v>
      </c>
      <c r="CK39" s="137">
        <v>143337152</v>
      </c>
      <c r="CL39" s="129">
        <f>SUM(CL8:CL38)</f>
        <v>7978800</v>
      </c>
      <c r="CM39" s="137">
        <v>259943698</v>
      </c>
      <c r="CN39" s="137">
        <v>167480739</v>
      </c>
      <c r="CO39" s="129"/>
      <c r="CP39" s="137">
        <v>38888237</v>
      </c>
      <c r="CQ39" s="137">
        <v>15330908</v>
      </c>
      <c r="CR39" s="137">
        <v>720280294</v>
      </c>
      <c r="CS39" s="137">
        <v>35585368</v>
      </c>
      <c r="CT39" s="137">
        <v>560637525</v>
      </c>
      <c r="CU39" s="137">
        <v>76940536</v>
      </c>
      <c r="CV39" s="127">
        <f t="shared" si="8"/>
        <v>69519123</v>
      </c>
      <c r="CW39" s="137">
        <v>46808127</v>
      </c>
      <c r="CX39" s="137">
        <v>22710996</v>
      </c>
      <c r="CY39" s="127">
        <f t="shared" si="9"/>
        <v>12343424</v>
      </c>
      <c r="CZ39" s="137">
        <v>9384227</v>
      </c>
      <c r="DA39" s="137">
        <v>2959197</v>
      </c>
      <c r="DB39" s="127">
        <f t="shared" si="10"/>
        <v>51565938</v>
      </c>
      <c r="DC39" s="137">
        <v>35514393</v>
      </c>
      <c r="DD39" s="137">
        <v>16051545</v>
      </c>
      <c r="DE39" s="137">
        <v>189822093</v>
      </c>
      <c r="DF39" s="137">
        <v>82997604</v>
      </c>
      <c r="DG39" s="137">
        <v>97231506</v>
      </c>
      <c r="DH39" s="137">
        <v>2041161</v>
      </c>
      <c r="DI39" s="137">
        <v>7263757</v>
      </c>
      <c r="DJ39" s="137">
        <v>707559</v>
      </c>
      <c r="DK39" s="137">
        <v>58647415</v>
      </c>
      <c r="DL39" s="137">
        <v>19511827</v>
      </c>
      <c r="DM39" s="137">
        <v>4503339</v>
      </c>
      <c r="DN39" s="137">
        <v>34632249</v>
      </c>
      <c r="DO39" s="137">
        <v>5842065</v>
      </c>
      <c r="DP39" s="137">
        <v>5842065</v>
      </c>
      <c r="DQ39" s="137">
        <v>368073</v>
      </c>
      <c r="DR39" s="137">
        <v>1244433</v>
      </c>
      <c r="DS39" s="137">
        <v>11818307</v>
      </c>
      <c r="DT39" s="137">
        <v>0</v>
      </c>
      <c r="DU39" s="137">
        <v>0</v>
      </c>
      <c r="DV39" s="137">
        <v>193081641</v>
      </c>
      <c r="DW39" s="137">
        <v>25738</v>
      </c>
      <c r="DX39" s="127">
        <f t="shared" si="11"/>
        <v>0</v>
      </c>
      <c r="DY39" s="137">
        <v>0</v>
      </c>
      <c r="DZ39" s="137">
        <v>70833751</v>
      </c>
      <c r="EA39" s="137">
        <v>40176</v>
      </c>
      <c r="EB39" s="137">
        <v>52177080</v>
      </c>
      <c r="EC39" s="129">
        <v>0</v>
      </c>
      <c r="ED39" s="137">
        <v>69552667</v>
      </c>
      <c r="EE39" s="137">
        <v>0</v>
      </c>
      <c r="EF39" s="137">
        <v>2555216069</v>
      </c>
      <c r="EG39" s="129"/>
      <c r="EH39" s="137">
        <v>43285951</v>
      </c>
      <c r="EI39" s="137">
        <v>18562142</v>
      </c>
      <c r="EJ39" s="137">
        <v>24723809</v>
      </c>
      <c r="EK39" s="137">
        <v>1510242</v>
      </c>
      <c r="EL39" s="137">
        <v>8862726</v>
      </c>
      <c r="EM39" s="129"/>
      <c r="EN39" s="129">
        <f>SUM(EN8:EN38)</f>
        <v>5085875</v>
      </c>
      <c r="EO39" s="129">
        <f>SUM(EO8:EO38)</f>
        <v>5089277</v>
      </c>
      <c r="EP39" s="137">
        <v>23040420</v>
      </c>
      <c r="EQ39" s="137">
        <v>7260011</v>
      </c>
      <c r="ER39" s="127">
        <f t="shared" si="12"/>
        <v>111632024</v>
      </c>
      <c r="ES39" s="137">
        <v>1091914037</v>
      </c>
      <c r="ET39" s="137">
        <v>-197076864</v>
      </c>
      <c r="EU39" s="137">
        <v>281893904</v>
      </c>
      <c r="EV39" s="137">
        <v>181339550</v>
      </c>
      <c r="EW39" s="137">
        <v>174180277</v>
      </c>
      <c r="EX39" s="137">
        <v>149337005</v>
      </c>
      <c r="EY39" s="127">
        <f t="shared" si="13"/>
        <v>40295836</v>
      </c>
      <c r="EZ39" s="137">
        <v>40164211</v>
      </c>
      <c r="FA39" s="137">
        <v>3911761</v>
      </c>
      <c r="FB39" s="137">
        <v>35865695</v>
      </c>
      <c r="FC39" s="137">
        <v>131625</v>
      </c>
      <c r="FD39" s="137">
        <v>0</v>
      </c>
      <c r="FE39" s="137">
        <v>200044809</v>
      </c>
      <c r="FF39" s="137">
        <v>190499902</v>
      </c>
      <c r="FG39" s="137">
        <v>34907271</v>
      </c>
      <c r="FH39" s="137">
        <v>150803987</v>
      </c>
      <c r="FI39" s="127">
        <f t="shared" si="14"/>
        <v>62449992</v>
      </c>
      <c r="FJ39" s="137">
        <v>1249505712</v>
      </c>
      <c r="FK39" s="396">
        <f t="shared" si="15"/>
        <v>2.2999999999999998</v>
      </c>
      <c r="FL39" s="137">
        <v>1017660464</v>
      </c>
      <c r="FM39" s="137">
        <v>59647266</v>
      </c>
      <c r="FN39" s="137">
        <v>652978885</v>
      </c>
      <c r="FO39" s="137">
        <v>834885337</v>
      </c>
      <c r="FP39" s="397">
        <v>0.78</v>
      </c>
      <c r="FQ39" s="398">
        <v>95.7</v>
      </c>
      <c r="FR39" s="399">
        <v>25.5</v>
      </c>
      <c r="FS39" s="398">
        <v>15.8</v>
      </c>
      <c r="FT39" s="398">
        <v>13.6</v>
      </c>
      <c r="FU39" s="399">
        <v>14.9</v>
      </c>
      <c r="FV39" s="398">
        <v>11.6</v>
      </c>
      <c r="FW39" s="400">
        <v>12.9</v>
      </c>
      <c r="FX39" s="402">
        <v>3.2</v>
      </c>
      <c r="FY39" s="137">
        <v>1496453682</v>
      </c>
      <c r="FZ39" s="402">
        <f t="shared" si="16"/>
        <v>138.9</v>
      </c>
      <c r="GA39" s="137">
        <v>387331219</v>
      </c>
      <c r="GB39" s="137">
        <v>159660235</v>
      </c>
      <c r="GC39" s="137">
        <v>28709647</v>
      </c>
      <c r="GD39" s="137">
        <v>198961337</v>
      </c>
      <c r="GE39" s="129">
        <v>0</v>
      </c>
      <c r="GF39" s="137">
        <f>SUM(GF8:GF38)</f>
        <v>22376</v>
      </c>
      <c r="GG39" s="403">
        <f>IF(GF39=0,"-",ROUND(GF39/GY39*100,1))</f>
        <v>6.2</v>
      </c>
      <c r="GH39" s="398">
        <v>98.6</v>
      </c>
      <c r="GI39" s="398">
        <v>37.700000000000003</v>
      </c>
      <c r="GJ39" s="398">
        <v>97.6</v>
      </c>
      <c r="GK39" s="129">
        <f>SUM(GK8:GK38)</f>
        <v>29907</v>
      </c>
      <c r="GL39" s="404" t="s">
        <v>646</v>
      </c>
      <c r="GM39" s="404" t="s">
        <v>646</v>
      </c>
      <c r="GN39" s="405" t="s">
        <v>646</v>
      </c>
      <c r="GO39" s="404" t="s">
        <v>646</v>
      </c>
      <c r="GP39" s="404" t="s">
        <v>646</v>
      </c>
      <c r="GQ39" s="405" t="s">
        <v>646</v>
      </c>
      <c r="GR39" s="399">
        <v>3.2</v>
      </c>
      <c r="GS39" s="403" t="s">
        <v>646</v>
      </c>
      <c r="GT39" s="403" t="s">
        <v>646</v>
      </c>
      <c r="GU39" s="406" t="s">
        <v>646</v>
      </c>
      <c r="GV39" s="403" t="s">
        <v>646</v>
      </c>
      <c r="GW39" s="407"/>
      <c r="GX39" s="128">
        <f t="shared" si="17"/>
        <v>1077308</v>
      </c>
      <c r="GY39" s="408">
        <f>GX12+GX13+GX16+GX17+GX19+GX23+GX26+GX27+GX30+GX31+GX36</f>
        <v>360890</v>
      </c>
      <c r="GZ39" s="408"/>
      <c r="HA39" s="408"/>
      <c r="HB39" s="408"/>
      <c r="HC39" s="408"/>
      <c r="HD39" s="408"/>
      <c r="HE39" s="408"/>
      <c r="HF39" s="408"/>
      <c r="HG39" s="408"/>
      <c r="HH39" s="408"/>
      <c r="HI39" s="408"/>
      <c r="HJ39" s="408"/>
      <c r="HK39" s="408"/>
      <c r="HL39" s="408"/>
      <c r="HM39" s="408"/>
      <c r="HN39" s="408"/>
      <c r="HO39" s="408"/>
      <c r="HP39" s="408"/>
      <c r="HQ39" s="408"/>
      <c r="HR39" s="408"/>
      <c r="HS39" s="408"/>
      <c r="HT39" s="408"/>
      <c r="HU39" s="408"/>
      <c r="HV39" s="408"/>
      <c r="HW39" s="408"/>
      <c r="HX39" s="408"/>
    </row>
    <row r="40" spans="1:232" x14ac:dyDescent="0.15">
      <c r="B40" s="89" t="s">
        <v>69</v>
      </c>
      <c r="C40" s="141">
        <v>4917399</v>
      </c>
      <c r="D40" s="73">
        <f t="shared" si="0"/>
        <v>1847562</v>
      </c>
      <c r="E40" s="141">
        <v>55561</v>
      </c>
      <c r="F40" s="141">
        <v>1792001</v>
      </c>
      <c r="G40" s="73">
        <f t="shared" si="1"/>
        <v>657634</v>
      </c>
      <c r="H40" s="141">
        <v>50702</v>
      </c>
      <c r="I40" s="141">
        <v>606932</v>
      </c>
      <c r="J40" s="141">
        <v>1886578</v>
      </c>
      <c r="K40" s="141">
        <v>621226</v>
      </c>
      <c r="L40" s="141">
        <v>901427</v>
      </c>
      <c r="M40" s="141">
        <v>337661</v>
      </c>
      <c r="N40" s="141">
        <v>108995</v>
      </c>
      <c r="O40" s="141">
        <v>382882</v>
      </c>
      <c r="P40" s="141">
        <v>180200</v>
      </c>
      <c r="Q40" s="141">
        <v>202682</v>
      </c>
      <c r="R40" s="141">
        <v>55014</v>
      </c>
      <c r="S40" s="74"/>
      <c r="T40" s="73">
        <f t="shared" ref="T40:T52" si="18">SUM(U40:AC40)</f>
        <v>749167</v>
      </c>
      <c r="U40" s="141">
        <v>6354</v>
      </c>
      <c r="V40" s="141">
        <v>26883</v>
      </c>
      <c r="W40" s="141">
        <v>30360</v>
      </c>
      <c r="X40" s="141">
        <v>565097</v>
      </c>
      <c r="Y40" s="141">
        <v>39809</v>
      </c>
      <c r="Z40" s="141">
        <v>0</v>
      </c>
      <c r="AA40" s="141">
        <v>1</v>
      </c>
      <c r="AB40" s="141">
        <v>9315</v>
      </c>
      <c r="AC40" s="141">
        <v>71348</v>
      </c>
      <c r="AD40" s="141">
        <v>53239</v>
      </c>
      <c r="AE40" s="141">
        <v>1264838</v>
      </c>
      <c r="AF40" s="141">
        <v>1181955</v>
      </c>
      <c r="AG40" s="141">
        <v>82883</v>
      </c>
      <c r="AH40" s="141">
        <v>2934</v>
      </c>
      <c r="AI40" s="141">
        <v>73611</v>
      </c>
      <c r="AJ40" s="73">
        <f t="shared" ref="AJ40:AJ52" si="19">AK40+AL40</f>
        <v>194799</v>
      </c>
      <c r="AK40" s="141">
        <v>159683</v>
      </c>
      <c r="AL40" s="141">
        <v>35116</v>
      </c>
      <c r="AM40" s="141">
        <v>5790101</v>
      </c>
      <c r="AN40" s="73">
        <f t="shared" ref="AN40:AN52" si="20">SUM(AO40:AR40)</f>
        <v>907126</v>
      </c>
      <c r="AO40" s="141">
        <v>174215</v>
      </c>
      <c r="AP40" s="141">
        <v>417205</v>
      </c>
      <c r="AQ40" s="74"/>
      <c r="AR40" s="141">
        <v>315706</v>
      </c>
      <c r="AS40" s="141">
        <v>449135</v>
      </c>
      <c r="AT40" s="141">
        <v>0</v>
      </c>
      <c r="AU40" s="141">
        <v>0</v>
      </c>
      <c r="AV40" s="141">
        <v>955093</v>
      </c>
      <c r="AW40" s="141">
        <v>596425</v>
      </c>
      <c r="AX40" s="141">
        <v>177722</v>
      </c>
      <c r="AY40" s="141">
        <v>34186</v>
      </c>
      <c r="AZ40" s="141">
        <v>358668</v>
      </c>
      <c r="BA40" s="141">
        <v>12588</v>
      </c>
      <c r="BB40" s="141">
        <v>379998</v>
      </c>
      <c r="BC40" s="141">
        <v>375919</v>
      </c>
      <c r="BD40" s="141">
        <v>32941</v>
      </c>
      <c r="BE40" s="141">
        <v>193977</v>
      </c>
      <c r="BF40" s="141">
        <v>0</v>
      </c>
      <c r="BG40" s="141">
        <v>50000</v>
      </c>
      <c r="BH40" s="141">
        <v>100000</v>
      </c>
      <c r="BI40" s="141">
        <v>0</v>
      </c>
      <c r="BJ40" s="141">
        <v>341991</v>
      </c>
      <c r="BK40" s="141">
        <v>60872</v>
      </c>
      <c r="BL40" s="141">
        <v>96098</v>
      </c>
      <c r="BM40" s="141">
        <v>18707</v>
      </c>
      <c r="BN40" s="141">
        <v>0</v>
      </c>
      <c r="BO40" s="141">
        <v>0</v>
      </c>
      <c r="BP40" s="141">
        <v>2231985</v>
      </c>
      <c r="BQ40" s="73">
        <f t="shared" si="5"/>
        <v>1822238</v>
      </c>
      <c r="BR40" s="73">
        <f t="shared" si="6"/>
        <v>409747</v>
      </c>
      <c r="BS40" s="141">
        <v>0</v>
      </c>
      <c r="BT40" s="141">
        <v>0</v>
      </c>
      <c r="BU40" s="141">
        <v>409747</v>
      </c>
      <c r="BV40" s="141">
        <v>0</v>
      </c>
      <c r="BW40" s="141">
        <v>17333185</v>
      </c>
      <c r="BX40" s="71"/>
      <c r="BY40" s="141">
        <v>2389189</v>
      </c>
      <c r="BZ40" s="141">
        <v>1327774</v>
      </c>
      <c r="CA40" s="141">
        <v>123516</v>
      </c>
      <c r="CB40" s="141">
        <v>523508</v>
      </c>
      <c r="CC40" s="141">
        <v>2899010</v>
      </c>
      <c r="CD40" s="141">
        <v>840687</v>
      </c>
      <c r="CE40" s="141">
        <v>13114</v>
      </c>
      <c r="CF40" s="141">
        <v>1675572</v>
      </c>
      <c r="CG40" s="141">
        <v>239863</v>
      </c>
      <c r="CH40" s="141">
        <v>3714</v>
      </c>
      <c r="CI40" s="141">
        <v>126060</v>
      </c>
      <c r="CJ40" s="141">
        <v>1178783</v>
      </c>
      <c r="CK40" s="141">
        <v>1119998</v>
      </c>
      <c r="CL40" s="83">
        <f t="shared" ref="CL40:CL52" si="21">IF(CK40="","",CJ40-CK40)</f>
        <v>58785</v>
      </c>
      <c r="CM40" s="141">
        <v>2173941</v>
      </c>
      <c r="CN40" s="141">
        <v>1363036</v>
      </c>
      <c r="CO40" s="102"/>
      <c r="CP40" s="141">
        <v>289993</v>
      </c>
      <c r="CQ40" s="141">
        <v>88676</v>
      </c>
      <c r="CR40" s="141">
        <v>3884403</v>
      </c>
      <c r="CS40" s="141">
        <v>1878</v>
      </c>
      <c r="CT40" s="141">
        <v>3276559</v>
      </c>
      <c r="CU40" s="141">
        <v>88597</v>
      </c>
      <c r="CV40" s="73">
        <f t="shared" si="8"/>
        <v>278602</v>
      </c>
      <c r="CW40" s="141">
        <v>1147</v>
      </c>
      <c r="CX40" s="141">
        <v>277455</v>
      </c>
      <c r="CY40" s="73">
        <f t="shared" si="9"/>
        <v>0</v>
      </c>
      <c r="CZ40" s="141">
        <v>0</v>
      </c>
      <c r="DA40" s="141">
        <v>0</v>
      </c>
      <c r="DB40" s="73">
        <f t="shared" si="10"/>
        <v>242421</v>
      </c>
      <c r="DC40" s="141">
        <v>0</v>
      </c>
      <c r="DD40" s="141">
        <v>242421</v>
      </c>
      <c r="DE40" s="141">
        <v>2719480</v>
      </c>
      <c r="DF40" s="141">
        <v>1873954</v>
      </c>
      <c r="DG40" s="141">
        <v>845187</v>
      </c>
      <c r="DH40" s="141">
        <v>0</v>
      </c>
      <c r="DI40" s="141">
        <v>0</v>
      </c>
      <c r="DJ40" s="141">
        <v>1017</v>
      </c>
      <c r="DK40" s="141">
        <v>526045</v>
      </c>
      <c r="DL40" s="141">
        <v>146211</v>
      </c>
      <c r="DM40" s="141">
        <v>9</v>
      </c>
      <c r="DN40" s="141">
        <v>379825</v>
      </c>
      <c r="DO40" s="141">
        <v>184213</v>
      </c>
      <c r="DP40" s="141">
        <v>184213</v>
      </c>
      <c r="DQ40" s="141">
        <v>1634</v>
      </c>
      <c r="DR40" s="141">
        <v>0</v>
      </c>
      <c r="DS40" s="141">
        <v>17870</v>
      </c>
      <c r="DT40" s="141">
        <v>0</v>
      </c>
      <c r="DU40" s="141">
        <v>0</v>
      </c>
      <c r="DV40" s="141">
        <v>1185623</v>
      </c>
      <c r="DW40" s="141">
        <v>0</v>
      </c>
      <c r="DX40" s="73">
        <f t="shared" si="11"/>
        <v>0</v>
      </c>
      <c r="DY40" s="141">
        <v>0</v>
      </c>
      <c r="DZ40" s="141">
        <v>423566</v>
      </c>
      <c r="EA40" s="141">
        <v>0</v>
      </c>
      <c r="EB40" s="141">
        <v>317073</v>
      </c>
      <c r="EC40" s="74">
        <v>0</v>
      </c>
      <c r="ED40" s="141">
        <v>444967</v>
      </c>
      <c r="EE40" s="141">
        <v>0</v>
      </c>
      <c r="EF40" s="141">
        <v>17248250</v>
      </c>
      <c r="EG40" s="71"/>
      <c r="EH40" s="141">
        <v>84935</v>
      </c>
      <c r="EI40" s="141">
        <v>31909</v>
      </c>
      <c r="EJ40" s="141">
        <v>53026</v>
      </c>
      <c r="EK40" s="141">
        <v>-7846</v>
      </c>
      <c r="EL40" s="141">
        <v>138365</v>
      </c>
      <c r="EM40" s="71"/>
      <c r="EN40" s="141">
        <v>30899</v>
      </c>
      <c r="EO40" s="141">
        <v>31916</v>
      </c>
      <c r="EP40" s="141">
        <v>93977</v>
      </c>
      <c r="EQ40" s="141">
        <v>379930</v>
      </c>
      <c r="ER40" s="73">
        <f t="shared" si="12"/>
        <v>735880</v>
      </c>
      <c r="ES40" s="141">
        <v>7042591</v>
      </c>
      <c r="ET40" s="141">
        <v>-1616600</v>
      </c>
      <c r="EU40" s="141">
        <v>2174081</v>
      </c>
      <c r="EV40" s="141">
        <v>1232310</v>
      </c>
      <c r="EW40" s="141">
        <v>843053</v>
      </c>
      <c r="EX40" s="141">
        <v>1138527</v>
      </c>
      <c r="EY40" s="73">
        <f t="shared" si="13"/>
        <v>270753</v>
      </c>
      <c r="EZ40" s="141">
        <v>269936</v>
      </c>
      <c r="FA40" s="141">
        <v>98023</v>
      </c>
      <c r="FB40" s="141">
        <v>171574</v>
      </c>
      <c r="FC40" s="141">
        <v>817</v>
      </c>
      <c r="FD40" s="141">
        <v>0</v>
      </c>
      <c r="FE40" s="141">
        <v>1770019</v>
      </c>
      <c r="FF40" s="141">
        <v>647121</v>
      </c>
      <c r="FG40" s="141">
        <v>1878</v>
      </c>
      <c r="FH40" s="141">
        <v>951126</v>
      </c>
      <c r="FI40" s="73">
        <f t="shared" si="14"/>
        <v>779576</v>
      </c>
      <c r="FJ40" s="141">
        <v>8574256</v>
      </c>
      <c r="FK40" s="379">
        <f t="shared" si="15"/>
        <v>0.7</v>
      </c>
      <c r="FL40" s="141">
        <v>6661733</v>
      </c>
      <c r="FM40" s="141">
        <v>409747</v>
      </c>
      <c r="FN40" s="141">
        <v>4280318</v>
      </c>
      <c r="FO40" s="141">
        <v>5461299</v>
      </c>
      <c r="FP40" s="390">
        <v>0.79600000000000004</v>
      </c>
      <c r="FQ40" s="380">
        <v>100.4</v>
      </c>
      <c r="FR40" s="381">
        <v>30.6</v>
      </c>
      <c r="FS40" s="380">
        <v>11.7</v>
      </c>
      <c r="FT40" s="380">
        <v>16</v>
      </c>
      <c r="FU40" s="381">
        <v>21</v>
      </c>
      <c r="FV40" s="380">
        <v>7.4</v>
      </c>
      <c r="FW40" s="382">
        <v>12.7</v>
      </c>
      <c r="FX40" s="388">
        <v>4.8</v>
      </c>
      <c r="FY40" s="141">
        <v>12613208</v>
      </c>
      <c r="FZ40" s="384">
        <f t="shared" si="16"/>
        <v>178.4</v>
      </c>
      <c r="GA40" s="141">
        <v>4223900</v>
      </c>
      <c r="GB40" s="141">
        <v>1601547</v>
      </c>
      <c r="GC40" s="141">
        <v>975913</v>
      </c>
      <c r="GD40" s="141">
        <v>1646440</v>
      </c>
      <c r="GE40" s="107">
        <v>0</v>
      </c>
      <c r="GF40" s="385"/>
      <c r="GG40" s="386"/>
      <c r="GH40" s="380">
        <v>98.4</v>
      </c>
      <c r="GI40" s="380">
        <v>7.8</v>
      </c>
      <c r="GJ40" s="380">
        <v>94.3</v>
      </c>
      <c r="GK40" s="141">
        <v>238</v>
      </c>
      <c r="GL40" s="391" t="s">
        <v>646</v>
      </c>
      <c r="GM40" s="391">
        <v>14.02</v>
      </c>
      <c r="GN40" s="117">
        <v>20</v>
      </c>
      <c r="GO40" s="391" t="s">
        <v>646</v>
      </c>
      <c r="GP40" s="392">
        <v>19.02</v>
      </c>
      <c r="GQ40" s="387">
        <v>30</v>
      </c>
      <c r="GR40" s="381">
        <v>4.8</v>
      </c>
      <c r="GS40" s="388">
        <v>25</v>
      </c>
      <c r="GT40" s="388">
        <v>35</v>
      </c>
      <c r="GU40" s="393" t="s">
        <v>646</v>
      </c>
      <c r="GV40" s="388">
        <v>350</v>
      </c>
      <c r="GW40" s="394"/>
      <c r="GX40" s="100">
        <f t="shared" si="17"/>
        <v>7071</v>
      </c>
      <c r="GY40" s="394"/>
      <c r="GZ40" s="394"/>
      <c r="HA40" s="394"/>
      <c r="HB40" s="394"/>
      <c r="HC40" s="394"/>
      <c r="HD40" s="394"/>
      <c r="HE40" s="394"/>
      <c r="HF40" s="394"/>
      <c r="HG40" s="394"/>
      <c r="HH40" s="394"/>
      <c r="HI40" s="394"/>
      <c r="HJ40" s="394"/>
      <c r="HK40" s="394"/>
      <c r="HL40" s="394"/>
      <c r="HM40" s="394"/>
      <c r="HN40" s="394"/>
      <c r="HO40" s="394"/>
      <c r="HP40" s="394"/>
      <c r="HQ40" s="394"/>
      <c r="HR40" s="394"/>
      <c r="HS40" s="394"/>
      <c r="HT40" s="394"/>
      <c r="HU40" s="394"/>
      <c r="HV40" s="394"/>
      <c r="HW40" s="394"/>
      <c r="HX40" s="394"/>
    </row>
    <row r="41" spans="1:232" x14ac:dyDescent="0.15">
      <c r="B41" s="89" t="s">
        <v>71</v>
      </c>
      <c r="C41" s="141">
        <v>1779301</v>
      </c>
      <c r="D41" s="73">
        <f t="shared" si="0"/>
        <v>1025308</v>
      </c>
      <c r="E41" s="141">
        <v>34985</v>
      </c>
      <c r="F41" s="141">
        <v>990323</v>
      </c>
      <c r="G41" s="73">
        <f t="shared" si="1"/>
        <v>38089</v>
      </c>
      <c r="H41" s="141">
        <v>20681</v>
      </c>
      <c r="I41" s="141">
        <v>17408</v>
      </c>
      <c r="J41" s="141">
        <v>631524</v>
      </c>
      <c r="K41" s="141">
        <v>176667</v>
      </c>
      <c r="L41" s="141">
        <v>325202</v>
      </c>
      <c r="M41" s="141">
        <v>129655</v>
      </c>
      <c r="N41" s="141">
        <v>45825</v>
      </c>
      <c r="O41" s="141">
        <v>0</v>
      </c>
      <c r="P41" s="141">
        <v>0</v>
      </c>
      <c r="Q41" s="141">
        <v>0</v>
      </c>
      <c r="R41" s="141">
        <v>57812</v>
      </c>
      <c r="S41" s="74"/>
      <c r="T41" s="73">
        <f t="shared" si="18"/>
        <v>408256</v>
      </c>
      <c r="U41" s="141">
        <v>3886</v>
      </c>
      <c r="V41" s="141">
        <v>16357</v>
      </c>
      <c r="W41" s="141">
        <v>18308</v>
      </c>
      <c r="X41" s="141">
        <v>351669</v>
      </c>
      <c r="Y41" s="141">
        <v>6801</v>
      </c>
      <c r="Z41" s="141">
        <v>0</v>
      </c>
      <c r="AA41" s="141">
        <v>1</v>
      </c>
      <c r="AB41" s="141">
        <v>9650</v>
      </c>
      <c r="AC41" s="141">
        <v>1584</v>
      </c>
      <c r="AD41" s="141">
        <v>10994</v>
      </c>
      <c r="AE41" s="141">
        <v>2542709</v>
      </c>
      <c r="AF41" s="141">
        <v>2277516</v>
      </c>
      <c r="AG41" s="141">
        <v>265193</v>
      </c>
      <c r="AH41" s="141">
        <v>2898</v>
      </c>
      <c r="AI41" s="141">
        <v>46546</v>
      </c>
      <c r="AJ41" s="73">
        <f t="shared" si="19"/>
        <v>46503</v>
      </c>
      <c r="AK41" s="141">
        <v>34385</v>
      </c>
      <c r="AL41" s="141">
        <v>12118</v>
      </c>
      <c r="AM41" s="141">
        <v>2807653</v>
      </c>
      <c r="AN41" s="73">
        <f t="shared" si="20"/>
        <v>161527</v>
      </c>
      <c r="AO41" s="141">
        <v>0</v>
      </c>
      <c r="AP41" s="141">
        <v>0</v>
      </c>
      <c r="AQ41" s="74"/>
      <c r="AR41" s="141">
        <v>161527</v>
      </c>
      <c r="AS41" s="141">
        <v>0</v>
      </c>
      <c r="AT41" s="141">
        <v>45364</v>
      </c>
      <c r="AU41" s="141">
        <v>0</v>
      </c>
      <c r="AV41" s="141">
        <v>535716</v>
      </c>
      <c r="AW41" s="141">
        <v>271523</v>
      </c>
      <c r="AX41" s="141">
        <v>0</v>
      </c>
      <c r="AY41" s="141">
        <v>0</v>
      </c>
      <c r="AZ41" s="141">
        <v>264193</v>
      </c>
      <c r="BA41" s="141">
        <v>0</v>
      </c>
      <c r="BB41" s="141">
        <v>37669</v>
      </c>
      <c r="BC41" s="141">
        <v>27111</v>
      </c>
      <c r="BD41" s="141">
        <v>23611</v>
      </c>
      <c r="BE41" s="141">
        <v>247615</v>
      </c>
      <c r="BF41" s="141">
        <v>100000</v>
      </c>
      <c r="BG41" s="141">
        <v>0</v>
      </c>
      <c r="BH41" s="141">
        <v>147599</v>
      </c>
      <c r="BI41" s="141">
        <v>0</v>
      </c>
      <c r="BJ41" s="141">
        <v>141086</v>
      </c>
      <c r="BK41" s="141">
        <v>64920</v>
      </c>
      <c r="BL41" s="141">
        <v>96271</v>
      </c>
      <c r="BM41" s="141">
        <v>5089</v>
      </c>
      <c r="BN41" s="141">
        <v>0</v>
      </c>
      <c r="BO41" s="141">
        <v>0</v>
      </c>
      <c r="BP41" s="141">
        <v>404401</v>
      </c>
      <c r="BQ41" s="73">
        <f t="shared" si="5"/>
        <v>182199</v>
      </c>
      <c r="BR41" s="73">
        <f t="shared" si="6"/>
        <v>222202</v>
      </c>
      <c r="BS41" s="141">
        <v>0</v>
      </c>
      <c r="BT41" s="141">
        <v>0</v>
      </c>
      <c r="BU41" s="141">
        <v>222202</v>
      </c>
      <c r="BV41" s="141">
        <v>0</v>
      </c>
      <c r="BW41" s="141">
        <v>9189041</v>
      </c>
      <c r="BX41" s="71"/>
      <c r="BY41" s="141">
        <v>1974706</v>
      </c>
      <c r="BZ41" s="141">
        <v>1052140</v>
      </c>
      <c r="CA41" s="141">
        <v>274562</v>
      </c>
      <c r="CB41" s="141">
        <v>303148</v>
      </c>
      <c r="CC41" s="141">
        <v>623891</v>
      </c>
      <c r="CD41" s="141">
        <v>409372</v>
      </c>
      <c r="CE41" s="141">
        <v>5106</v>
      </c>
      <c r="CF41" s="141">
        <v>197580</v>
      </c>
      <c r="CG41" s="141">
        <v>0</v>
      </c>
      <c r="CH41" s="141">
        <v>0</v>
      </c>
      <c r="CI41" s="141">
        <v>11833</v>
      </c>
      <c r="CJ41" s="141">
        <v>596353</v>
      </c>
      <c r="CK41" s="141">
        <v>565222</v>
      </c>
      <c r="CL41" s="83">
        <f t="shared" si="21"/>
        <v>31131</v>
      </c>
      <c r="CM41" s="141">
        <v>1142587</v>
      </c>
      <c r="CN41" s="141">
        <v>633364</v>
      </c>
      <c r="CO41" s="102"/>
      <c r="CP41" s="141">
        <v>200993</v>
      </c>
      <c r="CQ41" s="141">
        <v>145980</v>
      </c>
      <c r="CR41" s="141">
        <v>2847209</v>
      </c>
      <c r="CS41" s="141">
        <v>429572</v>
      </c>
      <c r="CT41" s="141">
        <v>2025632</v>
      </c>
      <c r="CU41" s="141">
        <v>60504</v>
      </c>
      <c r="CV41" s="73">
        <f t="shared" si="8"/>
        <v>0</v>
      </c>
      <c r="CW41" s="141">
        <v>0</v>
      </c>
      <c r="CX41" s="141">
        <v>0</v>
      </c>
      <c r="CY41" s="73">
        <f t="shared" si="9"/>
        <v>0</v>
      </c>
      <c r="CZ41" s="141">
        <v>0</v>
      </c>
      <c r="DA41" s="141">
        <v>0</v>
      </c>
      <c r="DB41" s="73">
        <f t="shared" si="10"/>
        <v>0</v>
      </c>
      <c r="DC41" s="141">
        <v>0</v>
      </c>
      <c r="DD41" s="141">
        <v>0</v>
      </c>
      <c r="DE41" s="141">
        <v>342333</v>
      </c>
      <c r="DF41" s="141">
        <v>116945</v>
      </c>
      <c r="DG41" s="141">
        <v>178726</v>
      </c>
      <c r="DH41" s="141">
        <v>0</v>
      </c>
      <c r="DI41" s="141">
        <v>0</v>
      </c>
      <c r="DJ41" s="141">
        <v>199528</v>
      </c>
      <c r="DK41" s="141">
        <v>32460</v>
      </c>
      <c r="DL41" s="141">
        <v>32460</v>
      </c>
      <c r="DM41" s="141">
        <v>0</v>
      </c>
      <c r="DN41" s="141">
        <v>0</v>
      </c>
      <c r="DO41" s="141">
        <v>1500</v>
      </c>
      <c r="DP41" s="141">
        <v>0</v>
      </c>
      <c r="DQ41" s="141">
        <v>0</v>
      </c>
      <c r="DR41" s="141">
        <v>0</v>
      </c>
      <c r="DS41" s="141">
        <v>3544</v>
      </c>
      <c r="DT41" s="141">
        <v>0</v>
      </c>
      <c r="DU41" s="141">
        <v>0</v>
      </c>
      <c r="DV41" s="141">
        <v>990751</v>
      </c>
      <c r="DW41" s="141">
        <v>93152</v>
      </c>
      <c r="DX41" s="73">
        <f t="shared" si="11"/>
        <v>0</v>
      </c>
      <c r="DY41" s="141">
        <v>0</v>
      </c>
      <c r="DZ41" s="141">
        <v>347326</v>
      </c>
      <c r="EA41" s="141">
        <v>0</v>
      </c>
      <c r="EB41" s="141">
        <v>168279</v>
      </c>
      <c r="EC41" s="74">
        <v>0</v>
      </c>
      <c r="ED41" s="141">
        <v>325218</v>
      </c>
      <c r="EE41" s="141">
        <v>0</v>
      </c>
      <c r="EF41" s="141">
        <v>8900842</v>
      </c>
      <c r="EG41" s="71"/>
      <c r="EH41" s="141">
        <v>288199</v>
      </c>
      <c r="EI41" s="141">
        <v>100090</v>
      </c>
      <c r="EJ41" s="141">
        <v>188109</v>
      </c>
      <c r="EK41" s="141">
        <v>123189</v>
      </c>
      <c r="EL41" s="141">
        <v>55649</v>
      </c>
      <c r="EM41" s="71"/>
      <c r="EN41" s="141">
        <v>18284</v>
      </c>
      <c r="EO41" s="141">
        <v>19093</v>
      </c>
      <c r="EP41" s="141">
        <v>216920</v>
      </c>
      <c r="EQ41" s="141">
        <v>27111</v>
      </c>
      <c r="ER41" s="73">
        <f t="shared" si="12"/>
        <v>420643</v>
      </c>
      <c r="ES41" s="141">
        <v>4801970</v>
      </c>
      <c r="ET41" s="141">
        <v>-883978</v>
      </c>
      <c r="EU41" s="141">
        <v>1799383</v>
      </c>
      <c r="EV41" s="141">
        <v>934817</v>
      </c>
      <c r="EW41" s="141">
        <v>162296</v>
      </c>
      <c r="EX41" s="141">
        <v>596353</v>
      </c>
      <c r="EY41" s="73">
        <f t="shared" si="13"/>
        <v>142228</v>
      </c>
      <c r="EZ41" s="141">
        <v>131883</v>
      </c>
      <c r="FA41" s="141">
        <v>23707</v>
      </c>
      <c r="FB41" s="141">
        <v>69114</v>
      </c>
      <c r="FC41" s="141">
        <v>10345</v>
      </c>
      <c r="FD41" s="141">
        <v>0</v>
      </c>
      <c r="FE41" s="141">
        <v>903286</v>
      </c>
      <c r="FF41" s="141">
        <v>842722</v>
      </c>
      <c r="FG41" s="141">
        <v>429572</v>
      </c>
      <c r="FH41" s="141">
        <v>836587</v>
      </c>
      <c r="FI41" s="73">
        <f t="shared" si="14"/>
        <v>114894</v>
      </c>
      <c r="FJ41" s="141">
        <v>5397749</v>
      </c>
      <c r="FK41" s="379">
        <f t="shared" si="15"/>
        <v>3.9</v>
      </c>
      <c r="FL41" s="141">
        <v>4555280</v>
      </c>
      <c r="FM41" s="141">
        <v>222202</v>
      </c>
      <c r="FN41" s="141">
        <v>1825185</v>
      </c>
      <c r="FO41" s="141">
        <v>4104458</v>
      </c>
      <c r="FP41" s="390">
        <v>0.45900000000000002</v>
      </c>
      <c r="FQ41" s="380">
        <v>99.8</v>
      </c>
      <c r="FR41" s="381">
        <v>36.5</v>
      </c>
      <c r="FS41" s="380">
        <v>3.3</v>
      </c>
      <c r="FT41" s="380">
        <v>12.5</v>
      </c>
      <c r="FU41" s="381">
        <v>14.9</v>
      </c>
      <c r="FV41" s="380">
        <v>14.2</v>
      </c>
      <c r="FW41" s="382">
        <v>16.100000000000001</v>
      </c>
      <c r="FX41" s="388">
        <v>6.3</v>
      </c>
      <c r="FY41" s="141">
        <v>5696060</v>
      </c>
      <c r="FZ41" s="384">
        <f t="shared" si="16"/>
        <v>119.2</v>
      </c>
      <c r="GA41" s="141">
        <v>2222658</v>
      </c>
      <c r="GB41" s="141">
        <v>1429212</v>
      </c>
      <c r="GC41" s="141">
        <v>677</v>
      </c>
      <c r="GD41" s="141">
        <v>792769</v>
      </c>
      <c r="GE41" s="107">
        <v>0</v>
      </c>
      <c r="GF41" s="385"/>
      <c r="GG41" s="386"/>
      <c r="GH41" s="380">
        <v>99.3</v>
      </c>
      <c r="GI41" s="380">
        <v>25.7</v>
      </c>
      <c r="GJ41" s="380">
        <v>97.4</v>
      </c>
      <c r="GK41" s="141">
        <v>153</v>
      </c>
      <c r="GL41" s="391" t="s">
        <v>646</v>
      </c>
      <c r="GM41" s="391">
        <v>15</v>
      </c>
      <c r="GN41" s="117">
        <v>20</v>
      </c>
      <c r="GO41" s="391" t="s">
        <v>646</v>
      </c>
      <c r="GP41" s="392">
        <v>20</v>
      </c>
      <c r="GQ41" s="387">
        <v>30</v>
      </c>
      <c r="GR41" s="381">
        <v>6.3</v>
      </c>
      <c r="GS41" s="388">
        <v>25</v>
      </c>
      <c r="GT41" s="388">
        <v>35</v>
      </c>
      <c r="GU41" s="393" t="s">
        <v>646</v>
      </c>
      <c r="GV41" s="388">
        <v>350</v>
      </c>
      <c r="GW41" s="394"/>
      <c r="GX41" s="100">
        <f t="shared" si="17"/>
        <v>4777</v>
      </c>
      <c r="GY41" s="394"/>
      <c r="GZ41" s="394"/>
      <c r="HA41" s="394"/>
      <c r="HB41" s="394"/>
      <c r="HC41" s="394"/>
      <c r="HD41" s="394"/>
      <c r="HE41" s="394"/>
      <c r="HF41" s="394"/>
      <c r="HG41" s="394"/>
      <c r="HH41" s="394"/>
      <c r="HI41" s="394"/>
      <c r="HJ41" s="394"/>
      <c r="HK41" s="394"/>
      <c r="HL41" s="394"/>
      <c r="HM41" s="394"/>
      <c r="HN41" s="394"/>
      <c r="HO41" s="394"/>
      <c r="HP41" s="394"/>
      <c r="HQ41" s="394"/>
      <c r="HR41" s="394"/>
      <c r="HS41" s="394"/>
      <c r="HT41" s="394"/>
      <c r="HU41" s="394"/>
      <c r="HV41" s="394"/>
      <c r="HW41" s="394"/>
      <c r="HX41" s="394"/>
    </row>
    <row r="42" spans="1:232" x14ac:dyDescent="0.15">
      <c r="B42" s="89" t="s">
        <v>73</v>
      </c>
      <c r="C42" s="141">
        <v>1138842</v>
      </c>
      <c r="D42" s="73">
        <f t="shared" si="0"/>
        <v>398919</v>
      </c>
      <c r="E42" s="141">
        <v>17272</v>
      </c>
      <c r="F42" s="141">
        <v>381647</v>
      </c>
      <c r="G42" s="73">
        <f t="shared" si="1"/>
        <v>43440</v>
      </c>
      <c r="H42" s="141">
        <v>17513</v>
      </c>
      <c r="I42" s="141">
        <v>25927</v>
      </c>
      <c r="J42" s="141">
        <v>599036</v>
      </c>
      <c r="K42" s="141">
        <v>113406</v>
      </c>
      <c r="L42" s="141">
        <v>222721</v>
      </c>
      <c r="M42" s="141">
        <v>262852</v>
      </c>
      <c r="N42" s="141">
        <v>51020</v>
      </c>
      <c r="O42" s="141">
        <v>0</v>
      </c>
      <c r="P42" s="141">
        <v>0</v>
      </c>
      <c r="Q42" s="141">
        <v>0</v>
      </c>
      <c r="R42" s="141">
        <v>68794</v>
      </c>
      <c r="S42" s="74"/>
      <c r="T42" s="73">
        <f t="shared" si="18"/>
        <v>248462</v>
      </c>
      <c r="U42" s="141">
        <v>1436</v>
      </c>
      <c r="V42" s="141">
        <v>6061</v>
      </c>
      <c r="W42" s="141">
        <v>6805</v>
      </c>
      <c r="X42" s="141">
        <v>203324</v>
      </c>
      <c r="Y42" s="141">
        <v>17301</v>
      </c>
      <c r="Z42" s="141">
        <v>0</v>
      </c>
      <c r="AA42" s="141">
        <v>1</v>
      </c>
      <c r="AB42" s="141">
        <v>10509</v>
      </c>
      <c r="AC42" s="141">
        <v>3025</v>
      </c>
      <c r="AD42" s="141">
        <v>7779</v>
      </c>
      <c r="AE42" s="141">
        <v>2178965</v>
      </c>
      <c r="AF42" s="141">
        <v>1904034</v>
      </c>
      <c r="AG42" s="141">
        <v>274931</v>
      </c>
      <c r="AH42" s="141">
        <v>1677</v>
      </c>
      <c r="AI42" s="141">
        <v>9678</v>
      </c>
      <c r="AJ42" s="73">
        <f t="shared" si="19"/>
        <v>65257</v>
      </c>
      <c r="AK42" s="141">
        <v>30518</v>
      </c>
      <c r="AL42" s="141">
        <v>34739</v>
      </c>
      <c r="AM42" s="141">
        <v>1598638</v>
      </c>
      <c r="AN42" s="73">
        <f t="shared" si="20"/>
        <v>122262</v>
      </c>
      <c r="AO42" s="141">
        <v>0</v>
      </c>
      <c r="AP42" s="141">
        <v>0</v>
      </c>
      <c r="AQ42" s="74"/>
      <c r="AR42" s="141">
        <v>122262</v>
      </c>
      <c r="AS42" s="141">
        <v>0</v>
      </c>
      <c r="AT42" s="141">
        <v>0</v>
      </c>
      <c r="AU42" s="141">
        <v>0</v>
      </c>
      <c r="AV42" s="141">
        <v>374705</v>
      </c>
      <c r="AW42" s="141">
        <v>153873</v>
      </c>
      <c r="AX42" s="141">
        <v>0</v>
      </c>
      <c r="AY42" s="141">
        <v>0</v>
      </c>
      <c r="AZ42" s="141">
        <v>220832</v>
      </c>
      <c r="BA42" s="141">
        <v>0</v>
      </c>
      <c r="BB42" s="141">
        <v>6819</v>
      </c>
      <c r="BC42" s="141">
        <v>212</v>
      </c>
      <c r="BD42" s="141">
        <v>12906</v>
      </c>
      <c r="BE42" s="141">
        <v>577827</v>
      </c>
      <c r="BF42" s="141">
        <v>250000</v>
      </c>
      <c r="BG42" s="141">
        <v>0</v>
      </c>
      <c r="BH42" s="141">
        <v>133693</v>
      </c>
      <c r="BI42" s="141">
        <v>0</v>
      </c>
      <c r="BJ42" s="141">
        <v>223124</v>
      </c>
      <c r="BK42" s="141">
        <v>154242</v>
      </c>
      <c r="BL42" s="141">
        <v>48946</v>
      </c>
      <c r="BM42" s="141">
        <v>0</v>
      </c>
      <c r="BN42" s="141">
        <v>0</v>
      </c>
      <c r="BO42" s="141">
        <v>0</v>
      </c>
      <c r="BP42" s="141">
        <v>1298071</v>
      </c>
      <c r="BQ42" s="73">
        <f t="shared" si="5"/>
        <v>1160816</v>
      </c>
      <c r="BR42" s="73">
        <f t="shared" si="6"/>
        <v>137255</v>
      </c>
      <c r="BS42" s="141">
        <v>0</v>
      </c>
      <c r="BT42" s="141">
        <v>0</v>
      </c>
      <c r="BU42" s="141">
        <v>137255</v>
      </c>
      <c r="BV42" s="141">
        <v>0</v>
      </c>
      <c r="BW42" s="141">
        <v>7860490</v>
      </c>
      <c r="BX42" s="71"/>
      <c r="BY42" s="141">
        <v>953710</v>
      </c>
      <c r="BZ42" s="141">
        <v>477119</v>
      </c>
      <c r="CA42" s="141">
        <v>64956</v>
      </c>
      <c r="CB42" s="141">
        <v>168018</v>
      </c>
      <c r="CC42" s="141">
        <v>445691</v>
      </c>
      <c r="CD42" s="141">
        <v>287338</v>
      </c>
      <c r="CE42" s="141">
        <v>2210</v>
      </c>
      <c r="CF42" s="141">
        <v>124067</v>
      </c>
      <c r="CG42" s="141">
        <v>0</v>
      </c>
      <c r="CH42" s="141">
        <v>5504</v>
      </c>
      <c r="CI42" s="141">
        <v>26572</v>
      </c>
      <c r="CJ42" s="141">
        <v>530953</v>
      </c>
      <c r="CK42" s="141">
        <v>501701</v>
      </c>
      <c r="CL42" s="83">
        <f t="shared" si="21"/>
        <v>29252</v>
      </c>
      <c r="CM42" s="141">
        <v>963408</v>
      </c>
      <c r="CN42" s="141">
        <v>652259</v>
      </c>
      <c r="CO42" s="102"/>
      <c r="CP42" s="141">
        <v>118402</v>
      </c>
      <c r="CQ42" s="141">
        <v>19700</v>
      </c>
      <c r="CR42" s="141">
        <v>1885506</v>
      </c>
      <c r="CS42" s="141">
        <v>169922</v>
      </c>
      <c r="CT42" s="141">
        <v>1170177</v>
      </c>
      <c r="CU42" s="141">
        <v>137999</v>
      </c>
      <c r="CV42" s="73">
        <f t="shared" si="8"/>
        <v>141165</v>
      </c>
      <c r="CW42" s="141">
        <v>3759</v>
      </c>
      <c r="CX42" s="141">
        <v>137406</v>
      </c>
      <c r="CY42" s="73">
        <f t="shared" si="9"/>
        <v>0</v>
      </c>
      <c r="CZ42" s="141">
        <v>0</v>
      </c>
      <c r="DA42" s="141">
        <v>0</v>
      </c>
      <c r="DB42" s="73">
        <f t="shared" si="10"/>
        <v>0</v>
      </c>
      <c r="DC42" s="141">
        <v>0</v>
      </c>
      <c r="DD42" s="141">
        <v>0</v>
      </c>
      <c r="DE42" s="141">
        <v>1359416</v>
      </c>
      <c r="DF42" s="141">
        <v>57614</v>
      </c>
      <c r="DG42" s="141">
        <v>1301802</v>
      </c>
      <c r="DH42" s="141">
        <v>0</v>
      </c>
      <c r="DI42" s="141">
        <v>0</v>
      </c>
      <c r="DJ42" s="141">
        <v>100667</v>
      </c>
      <c r="DK42" s="141">
        <v>394550</v>
      </c>
      <c r="DL42" s="141">
        <v>147470</v>
      </c>
      <c r="DM42" s="141">
        <v>0</v>
      </c>
      <c r="DN42" s="141">
        <v>247080</v>
      </c>
      <c r="DO42" s="141">
        <v>68034</v>
      </c>
      <c r="DP42" s="141">
        <v>66534</v>
      </c>
      <c r="DQ42" s="141">
        <v>66534</v>
      </c>
      <c r="DR42" s="141">
        <v>0</v>
      </c>
      <c r="DS42" s="141">
        <v>0</v>
      </c>
      <c r="DT42" s="141">
        <v>0</v>
      </c>
      <c r="DU42" s="141">
        <v>0</v>
      </c>
      <c r="DV42" s="141">
        <v>773717</v>
      </c>
      <c r="DW42" s="141">
        <v>233500</v>
      </c>
      <c r="DX42" s="73">
        <f t="shared" si="11"/>
        <v>0</v>
      </c>
      <c r="DY42" s="141">
        <v>0</v>
      </c>
      <c r="DZ42" s="141">
        <v>217776</v>
      </c>
      <c r="EA42" s="141">
        <v>0</v>
      </c>
      <c r="EB42" s="141">
        <v>130767</v>
      </c>
      <c r="EC42" s="74">
        <v>0</v>
      </c>
      <c r="ED42" s="141">
        <v>184945</v>
      </c>
      <c r="EE42" s="141">
        <v>0</v>
      </c>
      <c r="EF42" s="141">
        <v>7495352</v>
      </c>
      <c r="EG42" s="71"/>
      <c r="EH42" s="141">
        <v>365138</v>
      </c>
      <c r="EI42" s="141">
        <v>194333</v>
      </c>
      <c r="EJ42" s="141">
        <v>170805</v>
      </c>
      <c r="EK42" s="141">
        <v>16563</v>
      </c>
      <c r="EL42" s="141">
        <v>-85967</v>
      </c>
      <c r="EM42" s="71"/>
      <c r="EN42" s="141">
        <v>9062</v>
      </c>
      <c r="EO42" s="141">
        <v>9709</v>
      </c>
      <c r="EP42" s="141">
        <v>325119</v>
      </c>
      <c r="EQ42" s="141">
        <v>4904</v>
      </c>
      <c r="ER42" s="73">
        <f t="shared" si="12"/>
        <v>539431</v>
      </c>
      <c r="ES42" s="141">
        <v>3644519</v>
      </c>
      <c r="ET42" s="141">
        <v>-1005032</v>
      </c>
      <c r="EU42" s="141">
        <v>881311</v>
      </c>
      <c r="EV42" s="141">
        <v>434754</v>
      </c>
      <c r="EW42" s="141">
        <v>125359</v>
      </c>
      <c r="EX42" s="141">
        <v>530953</v>
      </c>
      <c r="EY42" s="73">
        <f t="shared" si="13"/>
        <v>223298</v>
      </c>
      <c r="EZ42" s="141">
        <v>223270</v>
      </c>
      <c r="FA42" s="141">
        <v>11045</v>
      </c>
      <c r="FB42" s="141">
        <v>212225</v>
      </c>
      <c r="FC42" s="141">
        <v>28</v>
      </c>
      <c r="FD42" s="141">
        <v>0</v>
      </c>
      <c r="FE42" s="141">
        <v>792896</v>
      </c>
      <c r="FF42" s="141">
        <v>782341</v>
      </c>
      <c r="FG42" s="141">
        <v>169922</v>
      </c>
      <c r="FH42" s="141">
        <v>661462</v>
      </c>
      <c r="FI42" s="73">
        <f t="shared" si="14"/>
        <v>286793</v>
      </c>
      <c r="FJ42" s="141">
        <v>4284413</v>
      </c>
      <c r="FK42" s="379">
        <f t="shared" si="15"/>
        <v>4.9000000000000004</v>
      </c>
      <c r="FL42" s="141">
        <v>3367650</v>
      </c>
      <c r="FM42" s="141">
        <v>137255</v>
      </c>
      <c r="FN42" s="141">
        <v>1169118</v>
      </c>
      <c r="FO42" s="141">
        <v>3074723</v>
      </c>
      <c r="FP42" s="390">
        <v>0.38800000000000001</v>
      </c>
      <c r="FQ42" s="380">
        <v>96.9</v>
      </c>
      <c r="FR42" s="381">
        <v>23</v>
      </c>
      <c r="FS42" s="380">
        <v>3.5</v>
      </c>
      <c r="FT42" s="380">
        <v>15</v>
      </c>
      <c r="FU42" s="381">
        <v>15.7</v>
      </c>
      <c r="FV42" s="380">
        <v>19.899999999999999</v>
      </c>
      <c r="FW42" s="382">
        <v>17.3</v>
      </c>
      <c r="FX42" s="388">
        <v>15.3</v>
      </c>
      <c r="FY42" s="141">
        <v>7031222</v>
      </c>
      <c r="FZ42" s="384">
        <f t="shared" si="16"/>
        <v>200.6</v>
      </c>
      <c r="GA42" s="141">
        <v>1715975</v>
      </c>
      <c r="GB42" s="141">
        <v>1247765</v>
      </c>
      <c r="GC42" s="141">
        <v>0</v>
      </c>
      <c r="GD42" s="141">
        <v>468210</v>
      </c>
      <c r="GE42" s="107">
        <v>0</v>
      </c>
      <c r="GF42" s="385"/>
      <c r="GG42" s="386"/>
      <c r="GH42" s="380">
        <v>99.2</v>
      </c>
      <c r="GI42" s="380">
        <v>28.5</v>
      </c>
      <c r="GJ42" s="380">
        <v>96.5</v>
      </c>
      <c r="GK42" s="141">
        <v>83</v>
      </c>
      <c r="GL42" s="391" t="s">
        <v>646</v>
      </c>
      <c r="GM42" s="391">
        <v>15</v>
      </c>
      <c r="GN42" s="117">
        <v>20</v>
      </c>
      <c r="GO42" s="391" t="s">
        <v>646</v>
      </c>
      <c r="GP42" s="392">
        <v>20</v>
      </c>
      <c r="GQ42" s="387">
        <v>30</v>
      </c>
      <c r="GR42" s="381">
        <v>15.3</v>
      </c>
      <c r="GS42" s="388">
        <v>25</v>
      </c>
      <c r="GT42" s="388">
        <v>35</v>
      </c>
      <c r="GU42" s="393">
        <v>132</v>
      </c>
      <c r="GV42" s="388">
        <v>350</v>
      </c>
      <c r="GW42" s="394"/>
      <c r="GX42" s="100">
        <f t="shared" si="17"/>
        <v>3505</v>
      </c>
      <c r="GY42" s="394"/>
      <c r="GZ42" s="394"/>
      <c r="HA42" s="394"/>
      <c r="HB42" s="394"/>
      <c r="HC42" s="394"/>
      <c r="HD42" s="394"/>
      <c r="HE42" s="394"/>
      <c r="HF42" s="394"/>
      <c r="HG42" s="394"/>
      <c r="HH42" s="394"/>
      <c r="HI42" s="394"/>
      <c r="HJ42" s="394"/>
      <c r="HK42" s="394"/>
      <c r="HL42" s="394"/>
      <c r="HM42" s="394"/>
      <c r="HN42" s="394"/>
      <c r="HO42" s="394"/>
      <c r="HP42" s="394"/>
      <c r="HQ42" s="394"/>
      <c r="HR42" s="394"/>
      <c r="HS42" s="394"/>
      <c r="HT42" s="394"/>
      <c r="HU42" s="394"/>
      <c r="HV42" s="394"/>
      <c r="HW42" s="394"/>
      <c r="HX42" s="394"/>
    </row>
    <row r="43" spans="1:232" x14ac:dyDescent="0.15">
      <c r="B43" s="89" t="s">
        <v>75</v>
      </c>
      <c r="C43" s="141">
        <v>2363092</v>
      </c>
      <c r="D43" s="73">
        <f t="shared" si="0"/>
        <v>756983</v>
      </c>
      <c r="E43" s="141">
        <v>26415</v>
      </c>
      <c r="F43" s="141">
        <v>730568</v>
      </c>
      <c r="G43" s="73">
        <f t="shared" si="1"/>
        <v>151827</v>
      </c>
      <c r="H43" s="141">
        <v>48862</v>
      </c>
      <c r="I43" s="141">
        <v>102965</v>
      </c>
      <c r="J43" s="141">
        <v>1081832</v>
      </c>
      <c r="K43" s="141">
        <v>507572</v>
      </c>
      <c r="L43" s="141">
        <v>405782</v>
      </c>
      <c r="M43" s="141">
        <v>157141</v>
      </c>
      <c r="N43" s="141">
        <v>105309</v>
      </c>
      <c r="O43" s="141">
        <v>227510</v>
      </c>
      <c r="P43" s="141">
        <v>137308</v>
      </c>
      <c r="Q43" s="141">
        <v>90202</v>
      </c>
      <c r="R43" s="141">
        <v>33740</v>
      </c>
      <c r="S43" s="74"/>
      <c r="T43" s="73">
        <f t="shared" si="18"/>
        <v>395718</v>
      </c>
      <c r="U43" s="141">
        <v>2657</v>
      </c>
      <c r="V43" s="141">
        <v>11275</v>
      </c>
      <c r="W43" s="141">
        <v>12789</v>
      </c>
      <c r="X43" s="141">
        <v>348134</v>
      </c>
      <c r="Y43" s="141">
        <v>0</v>
      </c>
      <c r="Z43" s="141">
        <v>0</v>
      </c>
      <c r="AA43" s="141">
        <v>1</v>
      </c>
      <c r="AB43" s="141">
        <v>5851</v>
      </c>
      <c r="AC43" s="141">
        <v>15011</v>
      </c>
      <c r="AD43" s="141">
        <v>20444</v>
      </c>
      <c r="AE43" s="141">
        <v>1754500</v>
      </c>
      <c r="AF43" s="141">
        <v>1505015</v>
      </c>
      <c r="AG43" s="141">
        <v>249485</v>
      </c>
      <c r="AH43" s="141">
        <v>3167</v>
      </c>
      <c r="AI43" s="141">
        <v>663</v>
      </c>
      <c r="AJ43" s="73">
        <f t="shared" si="19"/>
        <v>91918</v>
      </c>
      <c r="AK43" s="141">
        <v>49910</v>
      </c>
      <c r="AL43" s="141">
        <v>42008</v>
      </c>
      <c r="AM43" s="141">
        <v>2739763</v>
      </c>
      <c r="AN43" s="73">
        <f t="shared" si="20"/>
        <v>246022</v>
      </c>
      <c r="AO43" s="141">
        <v>0</v>
      </c>
      <c r="AP43" s="141">
        <v>100078</v>
      </c>
      <c r="AQ43" s="74"/>
      <c r="AR43" s="141">
        <v>145944</v>
      </c>
      <c r="AS43" s="141">
        <v>17797</v>
      </c>
      <c r="AT43" s="141">
        <v>0</v>
      </c>
      <c r="AU43" s="141">
        <v>0</v>
      </c>
      <c r="AV43" s="141">
        <v>518221</v>
      </c>
      <c r="AW43" s="141">
        <v>295825</v>
      </c>
      <c r="AX43" s="141">
        <v>48410</v>
      </c>
      <c r="AY43" s="141">
        <v>231</v>
      </c>
      <c r="AZ43" s="141">
        <v>222396</v>
      </c>
      <c r="BA43" s="141">
        <v>0</v>
      </c>
      <c r="BB43" s="141">
        <v>34159</v>
      </c>
      <c r="BC43" s="141">
        <v>949</v>
      </c>
      <c r="BD43" s="141">
        <v>277037</v>
      </c>
      <c r="BE43" s="141">
        <v>14707</v>
      </c>
      <c r="BF43" s="141">
        <v>0</v>
      </c>
      <c r="BG43" s="141">
        <v>0</v>
      </c>
      <c r="BH43" s="141">
        <v>14707</v>
      </c>
      <c r="BI43" s="141">
        <v>0</v>
      </c>
      <c r="BJ43" s="141">
        <v>24562</v>
      </c>
      <c r="BK43" s="141">
        <v>19987</v>
      </c>
      <c r="BL43" s="141">
        <v>111706</v>
      </c>
      <c r="BM43" s="141">
        <v>0</v>
      </c>
      <c r="BN43" s="141">
        <v>0</v>
      </c>
      <c r="BO43" s="141">
        <v>0</v>
      </c>
      <c r="BP43" s="141">
        <v>815770</v>
      </c>
      <c r="BQ43" s="73">
        <f t="shared" si="5"/>
        <v>585842</v>
      </c>
      <c r="BR43" s="73">
        <f t="shared" si="6"/>
        <v>229928</v>
      </c>
      <c r="BS43" s="141">
        <v>0</v>
      </c>
      <c r="BT43" s="141">
        <v>21519</v>
      </c>
      <c r="BU43" s="141">
        <v>208409</v>
      </c>
      <c r="BV43" s="141">
        <v>0</v>
      </c>
      <c r="BW43" s="141">
        <v>9199167</v>
      </c>
      <c r="BX43" s="71"/>
      <c r="BY43" s="141">
        <v>1428121</v>
      </c>
      <c r="BZ43" s="141">
        <v>901988</v>
      </c>
      <c r="CA43" s="141">
        <v>85919</v>
      </c>
      <c r="CB43" s="141">
        <v>139490</v>
      </c>
      <c r="CC43" s="141">
        <v>1130575</v>
      </c>
      <c r="CD43" s="141">
        <v>513950</v>
      </c>
      <c r="CE43" s="141">
        <v>6137</v>
      </c>
      <c r="CF43" s="141">
        <v>576430</v>
      </c>
      <c r="CG43" s="141">
        <v>0</v>
      </c>
      <c r="CH43" s="141">
        <v>0</v>
      </c>
      <c r="CI43" s="141">
        <v>34058</v>
      </c>
      <c r="CJ43" s="141">
        <v>754874</v>
      </c>
      <c r="CK43" s="141">
        <v>697782</v>
      </c>
      <c r="CL43" s="83">
        <f t="shared" si="21"/>
        <v>57092</v>
      </c>
      <c r="CM43" s="141">
        <v>1419366</v>
      </c>
      <c r="CN43" s="141">
        <v>984375</v>
      </c>
      <c r="CO43" s="102"/>
      <c r="CP43" s="141">
        <v>167021</v>
      </c>
      <c r="CQ43" s="141">
        <v>18042</v>
      </c>
      <c r="CR43" s="141">
        <v>2646301</v>
      </c>
      <c r="CS43" s="141">
        <v>24690</v>
      </c>
      <c r="CT43" s="141">
        <v>1974586</v>
      </c>
      <c r="CU43" s="141">
        <v>240715</v>
      </c>
      <c r="CV43" s="73">
        <f t="shared" si="8"/>
        <v>381998</v>
      </c>
      <c r="CW43" s="141">
        <v>339426</v>
      </c>
      <c r="CX43" s="141">
        <v>42572</v>
      </c>
      <c r="CY43" s="73">
        <f t="shared" si="9"/>
        <v>0</v>
      </c>
      <c r="CZ43" s="141">
        <v>0</v>
      </c>
      <c r="DA43" s="141">
        <v>0</v>
      </c>
      <c r="DB43" s="73">
        <f t="shared" si="10"/>
        <v>381998</v>
      </c>
      <c r="DC43" s="141">
        <v>339426</v>
      </c>
      <c r="DD43" s="141">
        <v>42572</v>
      </c>
      <c r="DE43" s="141">
        <v>623008</v>
      </c>
      <c r="DF43" s="141">
        <v>38595</v>
      </c>
      <c r="DG43" s="141">
        <v>533327</v>
      </c>
      <c r="DH43" s="141">
        <v>0</v>
      </c>
      <c r="DI43" s="141">
        <v>0</v>
      </c>
      <c r="DJ43" s="141">
        <v>0</v>
      </c>
      <c r="DK43" s="141">
        <v>317514</v>
      </c>
      <c r="DL43" s="141">
        <v>183628</v>
      </c>
      <c r="DM43" s="141">
        <v>0</v>
      </c>
      <c r="DN43" s="141">
        <v>133886</v>
      </c>
      <c r="DO43" s="141">
        <v>78002</v>
      </c>
      <c r="DP43" s="141">
        <v>78002</v>
      </c>
      <c r="DQ43" s="141">
        <v>0</v>
      </c>
      <c r="DR43" s="141">
        <v>0</v>
      </c>
      <c r="DS43" s="141">
        <v>0</v>
      </c>
      <c r="DT43" s="141">
        <v>0</v>
      </c>
      <c r="DU43" s="141">
        <v>0</v>
      </c>
      <c r="DV43" s="141">
        <v>765767</v>
      </c>
      <c r="DW43" s="141">
        <v>0</v>
      </c>
      <c r="DX43" s="73">
        <f t="shared" si="11"/>
        <v>0</v>
      </c>
      <c r="DY43" s="141">
        <v>0</v>
      </c>
      <c r="DZ43" s="141">
        <v>292637</v>
      </c>
      <c r="EA43" s="141">
        <v>0</v>
      </c>
      <c r="EB43" s="141">
        <v>204450</v>
      </c>
      <c r="EC43" s="74">
        <v>0</v>
      </c>
      <c r="ED43" s="141">
        <v>268680</v>
      </c>
      <c r="EE43" s="141">
        <v>0</v>
      </c>
      <c r="EF43" s="141">
        <v>9181570</v>
      </c>
      <c r="EG43" s="71"/>
      <c r="EH43" s="141">
        <v>17597</v>
      </c>
      <c r="EI43" s="141">
        <v>7467</v>
      </c>
      <c r="EJ43" s="141">
        <v>10130</v>
      </c>
      <c r="EK43" s="141">
        <v>-9857</v>
      </c>
      <c r="EL43" s="141">
        <v>173771</v>
      </c>
      <c r="EM43" s="71"/>
      <c r="EN43" s="141">
        <v>16571</v>
      </c>
      <c r="EO43" s="141">
        <v>16932</v>
      </c>
      <c r="EP43" s="141">
        <v>0</v>
      </c>
      <c r="EQ43" s="141">
        <v>1145</v>
      </c>
      <c r="ER43" s="73">
        <f t="shared" si="12"/>
        <v>412884</v>
      </c>
      <c r="ES43" s="141">
        <v>4570661</v>
      </c>
      <c r="ET43" s="141">
        <v>-640790</v>
      </c>
      <c r="EU43" s="141">
        <v>1338003</v>
      </c>
      <c r="EV43" s="141">
        <v>848461</v>
      </c>
      <c r="EW43" s="141">
        <v>373538</v>
      </c>
      <c r="EX43" s="141">
        <v>721894</v>
      </c>
      <c r="EY43" s="73">
        <f t="shared" si="13"/>
        <v>54446</v>
      </c>
      <c r="EZ43" s="141">
        <v>54446</v>
      </c>
      <c r="FA43" s="141">
        <v>248</v>
      </c>
      <c r="FB43" s="141">
        <v>53112</v>
      </c>
      <c r="FC43" s="141">
        <v>0</v>
      </c>
      <c r="FD43" s="141">
        <v>0</v>
      </c>
      <c r="FE43" s="141">
        <v>1095718</v>
      </c>
      <c r="FF43" s="141">
        <v>875777</v>
      </c>
      <c r="FG43" s="141">
        <v>24690</v>
      </c>
      <c r="FH43" s="141">
        <v>598048</v>
      </c>
      <c r="FI43" s="73">
        <f t="shared" si="14"/>
        <v>136430</v>
      </c>
      <c r="FJ43" s="141">
        <v>5193854</v>
      </c>
      <c r="FK43" s="379">
        <f t="shared" si="15"/>
        <v>0.2</v>
      </c>
      <c r="FL43" s="141">
        <v>4125144</v>
      </c>
      <c r="FM43" s="141">
        <v>208409</v>
      </c>
      <c r="FN43" s="141">
        <v>2058925</v>
      </c>
      <c r="FO43" s="141">
        <v>3562485</v>
      </c>
      <c r="FP43" s="390">
        <v>0.57099999999999995</v>
      </c>
      <c r="FQ43" s="380">
        <v>104.2</v>
      </c>
      <c r="FR43" s="381">
        <v>30.4</v>
      </c>
      <c r="FS43" s="380">
        <v>8.6</v>
      </c>
      <c r="FT43" s="380">
        <v>16.600000000000001</v>
      </c>
      <c r="FU43" s="381">
        <v>20.6</v>
      </c>
      <c r="FV43" s="380">
        <v>12.4</v>
      </c>
      <c r="FW43" s="382">
        <v>13.3</v>
      </c>
      <c r="FX43" s="388">
        <v>8.1</v>
      </c>
      <c r="FY43" s="141">
        <v>7545918</v>
      </c>
      <c r="FZ43" s="384">
        <f t="shared" si="16"/>
        <v>174.1</v>
      </c>
      <c r="GA43" s="141">
        <v>1052539</v>
      </c>
      <c r="GB43" s="141">
        <v>588562</v>
      </c>
      <c r="GC43" s="141">
        <v>0</v>
      </c>
      <c r="GD43" s="141">
        <v>463977</v>
      </c>
      <c r="GE43" s="107">
        <v>0</v>
      </c>
      <c r="GF43" s="385"/>
      <c r="GG43" s="386"/>
      <c r="GH43" s="380">
        <v>98.9</v>
      </c>
      <c r="GI43" s="380">
        <v>37</v>
      </c>
      <c r="GJ43" s="380">
        <v>97.9</v>
      </c>
      <c r="GK43" s="141">
        <v>155</v>
      </c>
      <c r="GL43" s="391" t="s">
        <v>646</v>
      </c>
      <c r="GM43" s="391">
        <v>15</v>
      </c>
      <c r="GN43" s="117">
        <v>20</v>
      </c>
      <c r="GO43" s="391" t="s">
        <v>646</v>
      </c>
      <c r="GP43" s="392">
        <v>20</v>
      </c>
      <c r="GQ43" s="387">
        <v>30</v>
      </c>
      <c r="GR43" s="381">
        <v>8.1</v>
      </c>
      <c r="GS43" s="388">
        <v>25</v>
      </c>
      <c r="GT43" s="388">
        <v>35</v>
      </c>
      <c r="GU43" s="393">
        <v>41.1</v>
      </c>
      <c r="GV43" s="388">
        <v>350</v>
      </c>
      <c r="GW43" s="394"/>
      <c r="GX43" s="100">
        <f t="shared" si="17"/>
        <v>4334</v>
      </c>
      <c r="GY43" s="394"/>
      <c r="GZ43" s="394"/>
      <c r="HA43" s="394"/>
      <c r="HB43" s="394"/>
      <c r="HC43" s="394"/>
      <c r="HD43" s="394"/>
      <c r="HE43" s="394"/>
      <c r="HF43" s="394"/>
      <c r="HG43" s="394"/>
      <c r="HH43" s="394"/>
      <c r="HI43" s="394"/>
      <c r="HJ43" s="394"/>
      <c r="HK43" s="394"/>
      <c r="HL43" s="394"/>
      <c r="HM43" s="394"/>
      <c r="HN43" s="394"/>
      <c r="HO43" s="394"/>
      <c r="HP43" s="394"/>
      <c r="HQ43" s="394"/>
      <c r="HR43" s="394"/>
      <c r="HS43" s="394"/>
      <c r="HT43" s="394"/>
      <c r="HU43" s="394"/>
      <c r="HV43" s="394"/>
      <c r="HW43" s="394"/>
      <c r="HX43" s="394"/>
    </row>
    <row r="44" spans="1:232" x14ac:dyDescent="0.15">
      <c r="B44" s="89" t="s">
        <v>77</v>
      </c>
      <c r="C44" s="141">
        <v>4245699</v>
      </c>
      <c r="D44" s="73">
        <f t="shared" si="0"/>
        <v>2275442</v>
      </c>
      <c r="E44" s="141">
        <v>73729</v>
      </c>
      <c r="F44" s="141">
        <v>2201713</v>
      </c>
      <c r="G44" s="73">
        <f t="shared" si="1"/>
        <v>101614</v>
      </c>
      <c r="H44" s="141">
        <v>49712</v>
      </c>
      <c r="I44" s="141">
        <v>51902</v>
      </c>
      <c r="J44" s="141">
        <v>1592254</v>
      </c>
      <c r="K44" s="141">
        <v>569698</v>
      </c>
      <c r="L44" s="141">
        <v>824178</v>
      </c>
      <c r="M44" s="141">
        <v>186464</v>
      </c>
      <c r="N44" s="141">
        <v>161463</v>
      </c>
      <c r="O44" s="141">
        <v>0</v>
      </c>
      <c r="P44" s="141">
        <v>0</v>
      </c>
      <c r="Q44" s="141">
        <v>0</v>
      </c>
      <c r="R44" s="141">
        <v>87618</v>
      </c>
      <c r="S44" s="74"/>
      <c r="T44" s="73">
        <f t="shared" si="18"/>
        <v>943980</v>
      </c>
      <c r="U44" s="141">
        <v>8049</v>
      </c>
      <c r="V44" s="141">
        <v>34093</v>
      </c>
      <c r="W44" s="141">
        <v>38578</v>
      </c>
      <c r="X44" s="141">
        <v>828360</v>
      </c>
      <c r="Y44" s="141">
        <v>12915</v>
      </c>
      <c r="Z44" s="141">
        <v>0</v>
      </c>
      <c r="AA44" s="141">
        <v>2</v>
      </c>
      <c r="AB44" s="141">
        <v>15165</v>
      </c>
      <c r="AC44" s="141">
        <v>6818</v>
      </c>
      <c r="AD44" s="141">
        <v>60382</v>
      </c>
      <c r="AE44" s="141">
        <v>3080017</v>
      </c>
      <c r="AF44" s="141">
        <v>2907161</v>
      </c>
      <c r="AG44" s="141">
        <v>172856</v>
      </c>
      <c r="AH44" s="141">
        <v>6680</v>
      </c>
      <c r="AI44" s="141">
        <v>12280</v>
      </c>
      <c r="AJ44" s="73">
        <f t="shared" si="19"/>
        <v>269584</v>
      </c>
      <c r="AK44" s="141">
        <v>169667</v>
      </c>
      <c r="AL44" s="141">
        <v>99917</v>
      </c>
      <c r="AM44" s="141">
        <v>7520613</v>
      </c>
      <c r="AN44" s="73">
        <f t="shared" si="20"/>
        <v>883286</v>
      </c>
      <c r="AO44" s="141">
        <v>0</v>
      </c>
      <c r="AP44" s="141">
        <v>461982</v>
      </c>
      <c r="AQ44" s="74"/>
      <c r="AR44" s="141">
        <v>421304</v>
      </c>
      <c r="AS44" s="141">
        <v>270408</v>
      </c>
      <c r="AT44" s="141">
        <v>32145</v>
      </c>
      <c r="AU44" s="141">
        <v>0</v>
      </c>
      <c r="AV44" s="141">
        <v>1300301</v>
      </c>
      <c r="AW44" s="141">
        <v>773485</v>
      </c>
      <c r="AX44" s="141">
        <v>205470</v>
      </c>
      <c r="AY44" s="141">
        <v>18516</v>
      </c>
      <c r="AZ44" s="141">
        <v>526816</v>
      </c>
      <c r="BA44" s="141">
        <v>1030</v>
      </c>
      <c r="BB44" s="141">
        <v>12449</v>
      </c>
      <c r="BC44" s="141">
        <v>654</v>
      </c>
      <c r="BD44" s="141">
        <v>445838</v>
      </c>
      <c r="BE44" s="141">
        <v>551111</v>
      </c>
      <c r="BF44" s="141">
        <v>136000</v>
      </c>
      <c r="BG44" s="141">
        <v>0</v>
      </c>
      <c r="BH44" s="141">
        <v>394077</v>
      </c>
      <c r="BI44" s="141">
        <v>0</v>
      </c>
      <c r="BJ44" s="141">
        <v>342028</v>
      </c>
      <c r="BK44" s="141">
        <v>52742</v>
      </c>
      <c r="BL44" s="141">
        <v>360860</v>
      </c>
      <c r="BM44" s="141">
        <v>0</v>
      </c>
      <c r="BN44" s="141">
        <v>0</v>
      </c>
      <c r="BO44" s="141">
        <v>0</v>
      </c>
      <c r="BP44" s="141">
        <v>1170646</v>
      </c>
      <c r="BQ44" s="73">
        <f t="shared" si="5"/>
        <v>687646</v>
      </c>
      <c r="BR44" s="73">
        <f t="shared" si="6"/>
        <v>483000</v>
      </c>
      <c r="BS44" s="141">
        <v>0</v>
      </c>
      <c r="BT44" s="141">
        <v>0</v>
      </c>
      <c r="BU44" s="141">
        <v>483000</v>
      </c>
      <c r="BV44" s="141">
        <v>0</v>
      </c>
      <c r="BW44" s="141">
        <v>20410086</v>
      </c>
      <c r="BX44" s="71"/>
      <c r="BY44" s="141">
        <v>2982482</v>
      </c>
      <c r="BZ44" s="141">
        <v>1640609</v>
      </c>
      <c r="CA44" s="141">
        <v>83786</v>
      </c>
      <c r="CB44" s="141">
        <v>705118</v>
      </c>
      <c r="CC44" s="141">
        <v>3111814</v>
      </c>
      <c r="CD44" s="141">
        <v>950050</v>
      </c>
      <c r="CE44" s="141">
        <v>16312</v>
      </c>
      <c r="CF44" s="141">
        <v>1860879</v>
      </c>
      <c r="CG44" s="141">
        <v>0</v>
      </c>
      <c r="CH44" s="141">
        <v>25530</v>
      </c>
      <c r="CI44" s="141">
        <v>258443</v>
      </c>
      <c r="CJ44" s="141">
        <v>875032</v>
      </c>
      <c r="CK44" s="141">
        <v>839011</v>
      </c>
      <c r="CL44" s="83">
        <f t="shared" si="21"/>
        <v>36021</v>
      </c>
      <c r="CM44" s="141">
        <v>2410401</v>
      </c>
      <c r="CN44" s="141">
        <v>1332234</v>
      </c>
      <c r="CO44" s="102"/>
      <c r="CP44" s="141">
        <v>348212</v>
      </c>
      <c r="CQ44" s="141">
        <v>156904</v>
      </c>
      <c r="CR44" s="141">
        <v>6231631</v>
      </c>
      <c r="CS44" s="141">
        <v>514059</v>
      </c>
      <c r="CT44" s="141">
        <v>4965832</v>
      </c>
      <c r="CU44" s="141">
        <v>316080</v>
      </c>
      <c r="CV44" s="73">
        <f t="shared" si="8"/>
        <v>356587</v>
      </c>
      <c r="CW44" s="141">
        <v>5749</v>
      </c>
      <c r="CX44" s="141">
        <v>350838</v>
      </c>
      <c r="CY44" s="73">
        <f t="shared" si="9"/>
        <v>0</v>
      </c>
      <c r="CZ44" s="141">
        <v>0</v>
      </c>
      <c r="DA44" s="141">
        <v>0</v>
      </c>
      <c r="DB44" s="73">
        <f t="shared" si="10"/>
        <v>309581</v>
      </c>
      <c r="DC44" s="141">
        <v>0</v>
      </c>
      <c r="DD44" s="141">
        <v>309581</v>
      </c>
      <c r="DE44" s="141">
        <v>1819989</v>
      </c>
      <c r="DF44" s="141">
        <v>992159</v>
      </c>
      <c r="DG44" s="141">
        <v>827458</v>
      </c>
      <c r="DH44" s="141">
        <v>372</v>
      </c>
      <c r="DI44" s="141">
        <v>0</v>
      </c>
      <c r="DJ44" s="141">
        <v>153236</v>
      </c>
      <c r="DK44" s="141">
        <v>355592</v>
      </c>
      <c r="DL44" s="141">
        <v>114000</v>
      </c>
      <c r="DM44" s="141">
        <v>261</v>
      </c>
      <c r="DN44" s="141">
        <v>241331</v>
      </c>
      <c r="DO44" s="141">
        <v>8000</v>
      </c>
      <c r="DP44" s="141">
        <v>8000</v>
      </c>
      <c r="DQ44" s="141">
        <v>8000</v>
      </c>
      <c r="DR44" s="141">
        <v>0</v>
      </c>
      <c r="DS44" s="141">
        <v>0</v>
      </c>
      <c r="DT44" s="141">
        <v>0</v>
      </c>
      <c r="DU44" s="141">
        <v>0</v>
      </c>
      <c r="DV44" s="141">
        <v>1563468</v>
      </c>
      <c r="DW44" s="141">
        <v>0</v>
      </c>
      <c r="DX44" s="73">
        <f t="shared" si="11"/>
        <v>0</v>
      </c>
      <c r="DY44" s="141">
        <v>0</v>
      </c>
      <c r="DZ44" s="141">
        <v>586034</v>
      </c>
      <c r="EA44" s="141">
        <v>0</v>
      </c>
      <c r="EB44" s="141">
        <v>397808</v>
      </c>
      <c r="EC44" s="74">
        <v>0</v>
      </c>
      <c r="ED44" s="141">
        <v>579626</v>
      </c>
      <c r="EE44" s="141">
        <v>0</v>
      </c>
      <c r="EF44" s="141">
        <v>19668549</v>
      </c>
      <c r="EG44" s="71"/>
      <c r="EH44" s="141">
        <v>741537</v>
      </c>
      <c r="EI44" s="141">
        <v>690741</v>
      </c>
      <c r="EJ44" s="141">
        <v>50796</v>
      </c>
      <c r="EK44" s="141">
        <v>-1946</v>
      </c>
      <c r="EL44" s="141">
        <v>-23946</v>
      </c>
      <c r="EM44" s="71"/>
      <c r="EN44" s="141">
        <v>43796</v>
      </c>
      <c r="EO44" s="141">
        <v>43407</v>
      </c>
      <c r="EP44" s="141">
        <v>357124</v>
      </c>
      <c r="EQ44" s="141">
        <v>9684</v>
      </c>
      <c r="ER44" s="73">
        <f t="shared" si="12"/>
        <v>1263724</v>
      </c>
      <c r="ES44" s="141">
        <v>8424376</v>
      </c>
      <c r="ET44" s="141">
        <v>-2106852</v>
      </c>
      <c r="EU44" s="141">
        <v>2744649</v>
      </c>
      <c r="EV44" s="141">
        <v>1524816</v>
      </c>
      <c r="EW44" s="141">
        <v>914469</v>
      </c>
      <c r="EX44" s="141">
        <v>858823</v>
      </c>
      <c r="EY44" s="73">
        <f t="shared" si="13"/>
        <v>316698</v>
      </c>
      <c r="EZ44" s="141">
        <v>298270</v>
      </c>
      <c r="FA44" s="141">
        <v>7523</v>
      </c>
      <c r="FB44" s="141">
        <v>290375</v>
      </c>
      <c r="FC44" s="141">
        <v>18428</v>
      </c>
      <c r="FD44" s="141">
        <v>0</v>
      </c>
      <c r="FE44" s="141">
        <v>1784064</v>
      </c>
      <c r="FF44" s="141">
        <v>1587365</v>
      </c>
      <c r="FG44" s="141">
        <v>513666</v>
      </c>
      <c r="FH44" s="141">
        <v>1240355</v>
      </c>
      <c r="FI44" s="73">
        <f t="shared" si="14"/>
        <v>343268</v>
      </c>
      <c r="FJ44" s="141">
        <v>9789691</v>
      </c>
      <c r="FK44" s="379">
        <f t="shared" si="15"/>
        <v>0.6</v>
      </c>
      <c r="FL44" s="141">
        <v>8266991</v>
      </c>
      <c r="FM44" s="141">
        <v>483394</v>
      </c>
      <c r="FN44" s="141">
        <v>4265430</v>
      </c>
      <c r="FO44" s="141">
        <v>7176257</v>
      </c>
      <c r="FP44" s="390">
        <v>0.59799999999999998</v>
      </c>
      <c r="FQ44" s="380">
        <v>93.2</v>
      </c>
      <c r="FR44" s="381">
        <v>30.8</v>
      </c>
      <c r="FS44" s="380">
        <v>10</v>
      </c>
      <c r="FT44" s="380">
        <v>9.6999999999999993</v>
      </c>
      <c r="FU44" s="381">
        <v>16.2</v>
      </c>
      <c r="FV44" s="380">
        <v>11.8</v>
      </c>
      <c r="FW44" s="382">
        <v>13.6</v>
      </c>
      <c r="FX44" s="388">
        <v>3.5</v>
      </c>
      <c r="FY44" s="141">
        <v>9175049</v>
      </c>
      <c r="FZ44" s="384">
        <f t="shared" si="16"/>
        <v>104.9</v>
      </c>
      <c r="GA44" s="141">
        <v>7149608</v>
      </c>
      <c r="GB44" s="141">
        <v>981221</v>
      </c>
      <c r="GC44" s="141">
        <v>618021</v>
      </c>
      <c r="GD44" s="141">
        <v>5550366</v>
      </c>
      <c r="GE44" s="107">
        <v>0</v>
      </c>
      <c r="GF44" s="385">
        <v>639</v>
      </c>
      <c r="GG44" s="386">
        <f>IF(GF44=0,"-",ROUND(GF44/(GX44)*100,1))</f>
        <v>7.3</v>
      </c>
      <c r="GH44" s="380">
        <v>99.1</v>
      </c>
      <c r="GI44" s="380">
        <v>43.7</v>
      </c>
      <c r="GJ44" s="380">
        <v>98.3</v>
      </c>
      <c r="GK44" s="141">
        <v>271</v>
      </c>
      <c r="GL44" s="391" t="s">
        <v>646</v>
      </c>
      <c r="GM44" s="391">
        <v>13.57</v>
      </c>
      <c r="GN44" s="117">
        <v>20</v>
      </c>
      <c r="GO44" s="391" t="s">
        <v>646</v>
      </c>
      <c r="GP44" s="392">
        <v>18.57</v>
      </c>
      <c r="GQ44" s="387">
        <v>30</v>
      </c>
      <c r="GR44" s="381">
        <v>3.5</v>
      </c>
      <c r="GS44" s="388">
        <v>25</v>
      </c>
      <c r="GT44" s="388">
        <v>35</v>
      </c>
      <c r="GU44" s="393" t="s">
        <v>646</v>
      </c>
      <c r="GV44" s="388">
        <v>350</v>
      </c>
      <c r="GW44" s="394"/>
      <c r="GX44" s="100">
        <f t="shared" si="17"/>
        <v>8750</v>
      </c>
      <c r="GY44" s="394"/>
      <c r="GZ44" s="394"/>
      <c r="HA44" s="394"/>
      <c r="HB44" s="394"/>
      <c r="HC44" s="394"/>
      <c r="HD44" s="394"/>
      <c r="HE44" s="394"/>
      <c r="HF44" s="394"/>
      <c r="HG44" s="394"/>
      <c r="HH44" s="394"/>
      <c r="HI44" s="394"/>
      <c r="HJ44" s="394"/>
      <c r="HK44" s="394"/>
      <c r="HL44" s="394"/>
      <c r="HM44" s="394"/>
      <c r="HN44" s="394"/>
      <c r="HO44" s="394"/>
      <c r="HP44" s="394"/>
      <c r="HQ44" s="394"/>
      <c r="HR44" s="394"/>
      <c r="HS44" s="394"/>
      <c r="HT44" s="394"/>
      <c r="HU44" s="394"/>
      <c r="HV44" s="394"/>
      <c r="HW44" s="394"/>
      <c r="HX44" s="394"/>
    </row>
    <row r="45" spans="1:232" x14ac:dyDescent="0.15">
      <c r="B45" s="89" t="s">
        <v>79</v>
      </c>
      <c r="C45" s="141">
        <v>3577156</v>
      </c>
      <c r="D45" s="73">
        <f t="shared" si="0"/>
        <v>380053</v>
      </c>
      <c r="E45" s="141">
        <v>13259</v>
      </c>
      <c r="F45" s="141">
        <v>366794</v>
      </c>
      <c r="G45" s="73">
        <f t="shared" si="1"/>
        <v>130705</v>
      </c>
      <c r="H45" s="141">
        <v>28380</v>
      </c>
      <c r="I45" s="141">
        <v>102325</v>
      </c>
      <c r="J45" s="141">
        <v>2881152</v>
      </c>
      <c r="K45" s="141">
        <v>1652641</v>
      </c>
      <c r="L45" s="141">
        <v>720527</v>
      </c>
      <c r="M45" s="141">
        <v>487672</v>
      </c>
      <c r="N45" s="141">
        <v>164158</v>
      </c>
      <c r="O45" s="141">
        <v>0</v>
      </c>
      <c r="P45" s="141">
        <v>0</v>
      </c>
      <c r="Q45" s="141">
        <v>0</v>
      </c>
      <c r="R45" s="141">
        <v>25913</v>
      </c>
      <c r="S45" s="74"/>
      <c r="T45" s="73">
        <f t="shared" si="18"/>
        <v>286593</v>
      </c>
      <c r="U45" s="141">
        <v>1442</v>
      </c>
      <c r="V45" s="141">
        <v>6130</v>
      </c>
      <c r="W45" s="141">
        <v>6976</v>
      </c>
      <c r="X45" s="141">
        <v>204024</v>
      </c>
      <c r="Y45" s="141">
        <v>0</v>
      </c>
      <c r="Z45" s="141">
        <v>0</v>
      </c>
      <c r="AA45" s="141">
        <v>0</v>
      </c>
      <c r="AB45" s="141">
        <v>2845</v>
      </c>
      <c r="AC45" s="141">
        <v>65176</v>
      </c>
      <c r="AD45" s="141">
        <v>10978</v>
      </c>
      <c r="AE45" s="141">
        <v>7334</v>
      </c>
      <c r="AF45" s="141">
        <v>0</v>
      </c>
      <c r="AG45" s="141">
        <v>7334</v>
      </c>
      <c r="AH45" s="141">
        <v>1246</v>
      </c>
      <c r="AI45" s="141">
        <v>0</v>
      </c>
      <c r="AJ45" s="73">
        <f t="shared" si="19"/>
        <v>89414</v>
      </c>
      <c r="AK45" s="141">
        <v>64771</v>
      </c>
      <c r="AL45" s="141">
        <v>24643</v>
      </c>
      <c r="AM45" s="141">
        <v>1322625</v>
      </c>
      <c r="AN45" s="73">
        <f t="shared" si="20"/>
        <v>114085</v>
      </c>
      <c r="AO45" s="141">
        <v>0</v>
      </c>
      <c r="AP45" s="141">
        <v>0</v>
      </c>
      <c r="AQ45" s="74"/>
      <c r="AR45" s="141">
        <v>114085</v>
      </c>
      <c r="AS45" s="141">
        <v>5203</v>
      </c>
      <c r="AT45" s="141">
        <v>0</v>
      </c>
      <c r="AU45" s="141">
        <v>0</v>
      </c>
      <c r="AV45" s="141">
        <v>275949</v>
      </c>
      <c r="AW45" s="141">
        <v>130668</v>
      </c>
      <c r="AX45" s="141">
        <v>0</v>
      </c>
      <c r="AY45" s="141">
        <v>2544</v>
      </c>
      <c r="AZ45" s="141">
        <v>145281</v>
      </c>
      <c r="BA45" s="141">
        <v>179</v>
      </c>
      <c r="BB45" s="141">
        <v>3574</v>
      </c>
      <c r="BC45" s="141">
        <v>501</v>
      </c>
      <c r="BD45" s="141">
        <v>12879</v>
      </c>
      <c r="BE45" s="141">
        <v>2443</v>
      </c>
      <c r="BF45" s="141">
        <v>0</v>
      </c>
      <c r="BG45" s="141">
        <v>0</v>
      </c>
      <c r="BH45" s="141">
        <v>2443</v>
      </c>
      <c r="BI45" s="141">
        <v>0</v>
      </c>
      <c r="BJ45" s="141">
        <v>553044</v>
      </c>
      <c r="BK45" s="141">
        <v>437960</v>
      </c>
      <c r="BL45" s="141">
        <v>29594</v>
      </c>
      <c r="BM45" s="141">
        <v>0</v>
      </c>
      <c r="BN45" s="141">
        <v>0</v>
      </c>
      <c r="BO45" s="141">
        <v>0</v>
      </c>
      <c r="BP45" s="141">
        <v>0</v>
      </c>
      <c r="BQ45" s="73">
        <f t="shared" si="5"/>
        <v>0</v>
      </c>
      <c r="BR45" s="73">
        <f t="shared" si="6"/>
        <v>0</v>
      </c>
      <c r="BS45" s="141">
        <v>0</v>
      </c>
      <c r="BT45" s="141">
        <v>0</v>
      </c>
      <c r="BU45" s="141">
        <v>0</v>
      </c>
      <c r="BV45" s="141">
        <v>0</v>
      </c>
      <c r="BW45" s="141">
        <v>6198742</v>
      </c>
      <c r="BX45" s="71"/>
      <c r="BY45" s="141">
        <v>1250946</v>
      </c>
      <c r="BZ45" s="141">
        <v>739415</v>
      </c>
      <c r="CA45" s="141">
        <v>33269</v>
      </c>
      <c r="CB45" s="141">
        <v>198635</v>
      </c>
      <c r="CC45" s="141">
        <v>558336</v>
      </c>
      <c r="CD45" s="141">
        <v>218579</v>
      </c>
      <c r="CE45" s="141">
        <v>4394</v>
      </c>
      <c r="CF45" s="141">
        <v>327093</v>
      </c>
      <c r="CG45" s="141">
        <v>0</v>
      </c>
      <c r="CH45" s="141">
        <v>5870</v>
      </c>
      <c r="CI45" s="141">
        <v>2400</v>
      </c>
      <c r="CJ45" s="141">
        <v>68798</v>
      </c>
      <c r="CK45" s="141">
        <v>62678</v>
      </c>
      <c r="CL45" s="83">
        <f t="shared" si="21"/>
        <v>6120</v>
      </c>
      <c r="CM45" s="141">
        <v>710289</v>
      </c>
      <c r="CN45" s="141">
        <v>449522</v>
      </c>
      <c r="CO45" s="102"/>
      <c r="CP45" s="141">
        <v>151192</v>
      </c>
      <c r="CQ45" s="141">
        <v>16154</v>
      </c>
      <c r="CR45" s="141">
        <v>1608529</v>
      </c>
      <c r="CS45" s="141">
        <v>334430</v>
      </c>
      <c r="CT45" s="141">
        <v>1072814</v>
      </c>
      <c r="CU45" s="141">
        <v>91854</v>
      </c>
      <c r="CV45" s="73">
        <f t="shared" si="8"/>
        <v>0</v>
      </c>
      <c r="CW45" s="141">
        <v>0</v>
      </c>
      <c r="CX45" s="141">
        <v>0</v>
      </c>
      <c r="CY45" s="73">
        <f t="shared" si="9"/>
        <v>0</v>
      </c>
      <c r="CZ45" s="141">
        <v>0</v>
      </c>
      <c r="DA45" s="141">
        <v>0</v>
      </c>
      <c r="DB45" s="73">
        <f t="shared" si="10"/>
        <v>0</v>
      </c>
      <c r="DC45" s="141">
        <v>0</v>
      </c>
      <c r="DD45" s="141">
        <v>0</v>
      </c>
      <c r="DE45" s="141">
        <v>317531</v>
      </c>
      <c r="DF45" s="141">
        <v>51418</v>
      </c>
      <c r="DG45" s="141">
        <v>266113</v>
      </c>
      <c r="DH45" s="141">
        <v>0</v>
      </c>
      <c r="DI45" s="141">
        <v>0</v>
      </c>
      <c r="DJ45" s="141">
        <v>0</v>
      </c>
      <c r="DK45" s="141">
        <v>365292</v>
      </c>
      <c r="DL45" s="141">
        <v>300372</v>
      </c>
      <c r="DM45" s="141">
        <v>0</v>
      </c>
      <c r="DN45" s="141">
        <v>64920</v>
      </c>
      <c r="DO45" s="141">
        <v>0</v>
      </c>
      <c r="DP45" s="141">
        <v>0</v>
      </c>
      <c r="DQ45" s="141">
        <v>0</v>
      </c>
      <c r="DR45" s="141">
        <v>0</v>
      </c>
      <c r="DS45" s="141">
        <v>0</v>
      </c>
      <c r="DT45" s="141">
        <v>0</v>
      </c>
      <c r="DU45" s="141">
        <v>0</v>
      </c>
      <c r="DV45" s="141">
        <v>878432</v>
      </c>
      <c r="DW45" s="141">
        <v>516918</v>
      </c>
      <c r="DX45" s="73">
        <f t="shared" si="11"/>
        <v>0</v>
      </c>
      <c r="DY45" s="141">
        <v>0</v>
      </c>
      <c r="DZ45" s="141">
        <v>117081</v>
      </c>
      <c r="EA45" s="141">
        <v>0</v>
      </c>
      <c r="EB45" s="141">
        <v>100318</v>
      </c>
      <c r="EC45" s="74">
        <v>0</v>
      </c>
      <c r="ED45" s="141">
        <v>144115</v>
      </c>
      <c r="EE45" s="141">
        <v>0</v>
      </c>
      <c r="EF45" s="141">
        <v>5774307</v>
      </c>
      <c r="EG45" s="71"/>
      <c r="EH45" s="141">
        <v>424435</v>
      </c>
      <c r="EI45" s="141">
        <v>21590</v>
      </c>
      <c r="EJ45" s="141">
        <v>402845</v>
      </c>
      <c r="EK45" s="141">
        <v>-35115</v>
      </c>
      <c r="EL45" s="141">
        <v>265257</v>
      </c>
      <c r="EM45" s="71"/>
      <c r="EN45" s="141">
        <v>8438</v>
      </c>
      <c r="EO45" s="141">
        <v>8642</v>
      </c>
      <c r="EP45" s="141">
        <v>0</v>
      </c>
      <c r="EQ45" s="141">
        <v>452</v>
      </c>
      <c r="ER45" s="73">
        <f t="shared" si="12"/>
        <v>542872</v>
      </c>
      <c r="ES45" s="141">
        <v>3909220</v>
      </c>
      <c r="ET45" s="141">
        <v>-542078</v>
      </c>
      <c r="EU45" s="141">
        <v>1165094</v>
      </c>
      <c r="EV45" s="141">
        <v>671468</v>
      </c>
      <c r="EW45" s="141">
        <v>179502</v>
      </c>
      <c r="EX45" s="141">
        <v>68798</v>
      </c>
      <c r="EY45" s="73">
        <f t="shared" si="13"/>
        <v>307478</v>
      </c>
      <c r="EZ45" s="141">
        <v>307478</v>
      </c>
      <c r="FA45" s="141">
        <v>42621</v>
      </c>
      <c r="FB45" s="141">
        <v>264857</v>
      </c>
      <c r="FC45" s="141">
        <v>0</v>
      </c>
      <c r="FD45" s="141">
        <v>0</v>
      </c>
      <c r="FE45" s="141">
        <v>519986</v>
      </c>
      <c r="FF45" s="141">
        <v>611627</v>
      </c>
      <c r="FG45" s="141">
        <v>333904</v>
      </c>
      <c r="FH45" s="141">
        <v>813684</v>
      </c>
      <c r="FI45" s="73">
        <f t="shared" si="14"/>
        <v>360694</v>
      </c>
      <c r="FJ45" s="141">
        <v>4026863</v>
      </c>
      <c r="FK45" s="379">
        <f t="shared" si="15"/>
        <v>9.4</v>
      </c>
      <c r="FL45" s="141">
        <v>4287726</v>
      </c>
      <c r="FM45" s="141">
        <v>0</v>
      </c>
      <c r="FN45" s="141">
        <v>3274522</v>
      </c>
      <c r="FO45" s="141">
        <v>2307076</v>
      </c>
      <c r="FP45" s="390">
        <v>1.512</v>
      </c>
      <c r="FQ45" s="380">
        <v>74.599999999999994</v>
      </c>
      <c r="FR45" s="381">
        <v>29.7</v>
      </c>
      <c r="FS45" s="380">
        <v>4.3</v>
      </c>
      <c r="FT45" s="380">
        <v>1.8</v>
      </c>
      <c r="FU45" s="381">
        <v>12.3</v>
      </c>
      <c r="FV45" s="380">
        <v>10.6</v>
      </c>
      <c r="FW45" s="382">
        <v>15.9</v>
      </c>
      <c r="FX45" s="388">
        <v>4.9000000000000004</v>
      </c>
      <c r="FY45" s="141">
        <v>294579</v>
      </c>
      <c r="FZ45" s="384">
        <f t="shared" si="16"/>
        <v>6.9</v>
      </c>
      <c r="GA45" s="141">
        <v>9782945</v>
      </c>
      <c r="GB45" s="141">
        <v>3987682</v>
      </c>
      <c r="GC45" s="141">
        <v>0</v>
      </c>
      <c r="GD45" s="141">
        <v>5795263</v>
      </c>
      <c r="GE45" s="107">
        <v>0</v>
      </c>
      <c r="GF45" s="385"/>
      <c r="GG45" s="386"/>
      <c r="GH45" s="380">
        <v>93.6</v>
      </c>
      <c r="GI45" s="380">
        <v>33.200000000000003</v>
      </c>
      <c r="GJ45" s="380">
        <v>93.4</v>
      </c>
      <c r="GK45" s="141">
        <v>114</v>
      </c>
      <c r="GL45" s="391" t="s">
        <v>646</v>
      </c>
      <c r="GM45" s="391">
        <v>15</v>
      </c>
      <c r="GN45" s="117">
        <v>20</v>
      </c>
      <c r="GO45" s="391" t="s">
        <v>646</v>
      </c>
      <c r="GP45" s="392">
        <v>20</v>
      </c>
      <c r="GQ45" s="387">
        <v>30</v>
      </c>
      <c r="GR45" s="381">
        <v>4.9000000000000004</v>
      </c>
      <c r="GS45" s="388">
        <v>25</v>
      </c>
      <c r="GT45" s="388">
        <v>35</v>
      </c>
      <c r="GU45" s="393" t="s">
        <v>646</v>
      </c>
      <c r="GV45" s="388">
        <v>350</v>
      </c>
      <c r="GW45" s="394"/>
      <c r="GX45" s="100">
        <f t="shared" si="17"/>
        <v>4288</v>
      </c>
      <c r="GY45" s="394"/>
      <c r="GZ45" s="394"/>
      <c r="HA45" s="394"/>
      <c r="HB45" s="394"/>
      <c r="HC45" s="394"/>
      <c r="HD45" s="394"/>
      <c r="HE45" s="394"/>
      <c r="HF45" s="394"/>
      <c r="HG45" s="394"/>
      <c r="HH45" s="394"/>
      <c r="HI45" s="394"/>
      <c r="HJ45" s="394"/>
      <c r="HK45" s="394"/>
      <c r="HL45" s="394"/>
      <c r="HM45" s="394"/>
      <c r="HN45" s="394"/>
      <c r="HO45" s="394"/>
      <c r="HP45" s="394"/>
      <c r="HQ45" s="394"/>
      <c r="HR45" s="394"/>
      <c r="HS45" s="394"/>
      <c r="HT45" s="394"/>
      <c r="HU45" s="394"/>
      <c r="HV45" s="394"/>
      <c r="HW45" s="394"/>
      <c r="HX45" s="394"/>
    </row>
    <row r="46" spans="1:232" x14ac:dyDescent="0.15">
      <c r="B46" s="89" t="s">
        <v>81</v>
      </c>
      <c r="C46" s="141">
        <v>1878219</v>
      </c>
      <c r="D46" s="73">
        <f t="shared" si="0"/>
        <v>668200</v>
      </c>
      <c r="E46" s="141">
        <v>25666</v>
      </c>
      <c r="F46" s="141">
        <v>642534</v>
      </c>
      <c r="G46" s="73">
        <f t="shared" si="1"/>
        <v>84785</v>
      </c>
      <c r="H46" s="141">
        <v>29057</v>
      </c>
      <c r="I46" s="141">
        <v>55728</v>
      </c>
      <c r="J46" s="141">
        <v>1008914</v>
      </c>
      <c r="K46" s="141">
        <v>343610</v>
      </c>
      <c r="L46" s="141">
        <v>431075</v>
      </c>
      <c r="M46" s="141">
        <v>230781</v>
      </c>
      <c r="N46" s="141">
        <v>71521</v>
      </c>
      <c r="O46" s="141">
        <v>0</v>
      </c>
      <c r="P46" s="141">
        <v>0</v>
      </c>
      <c r="Q46" s="141">
        <v>0</v>
      </c>
      <c r="R46" s="141">
        <v>48507</v>
      </c>
      <c r="S46" s="74"/>
      <c r="T46" s="73">
        <f t="shared" si="18"/>
        <v>384852</v>
      </c>
      <c r="U46" s="141">
        <v>2376</v>
      </c>
      <c r="V46" s="141">
        <v>10054</v>
      </c>
      <c r="W46" s="141">
        <v>11346</v>
      </c>
      <c r="X46" s="141">
        <v>305147</v>
      </c>
      <c r="Y46" s="141">
        <v>44672</v>
      </c>
      <c r="Z46" s="141">
        <v>0</v>
      </c>
      <c r="AA46" s="141">
        <v>1</v>
      </c>
      <c r="AB46" s="141">
        <v>8027</v>
      </c>
      <c r="AC46" s="141">
        <v>3229</v>
      </c>
      <c r="AD46" s="141">
        <v>13430</v>
      </c>
      <c r="AE46" s="141">
        <v>2111862</v>
      </c>
      <c r="AF46" s="141">
        <v>1876298</v>
      </c>
      <c r="AG46" s="141">
        <v>235564</v>
      </c>
      <c r="AH46" s="141">
        <v>2271</v>
      </c>
      <c r="AI46" s="141">
        <v>16095</v>
      </c>
      <c r="AJ46" s="73">
        <f t="shared" si="19"/>
        <v>101833</v>
      </c>
      <c r="AK46" s="141">
        <v>85048</v>
      </c>
      <c r="AL46" s="141">
        <v>16785</v>
      </c>
      <c r="AM46" s="141">
        <v>2753583</v>
      </c>
      <c r="AN46" s="73">
        <f t="shared" si="20"/>
        <v>230763</v>
      </c>
      <c r="AO46" s="141">
        <v>0</v>
      </c>
      <c r="AP46" s="141">
        <v>17605</v>
      </c>
      <c r="AQ46" s="74"/>
      <c r="AR46" s="141">
        <v>213158</v>
      </c>
      <c r="AS46" s="141">
        <v>26268</v>
      </c>
      <c r="AT46" s="141">
        <v>1982</v>
      </c>
      <c r="AU46" s="141">
        <v>0</v>
      </c>
      <c r="AV46" s="141">
        <v>556736</v>
      </c>
      <c r="AW46" s="141">
        <v>261296</v>
      </c>
      <c r="AX46" s="141">
        <v>8420</v>
      </c>
      <c r="AY46" s="141">
        <v>8635</v>
      </c>
      <c r="AZ46" s="141">
        <v>295440</v>
      </c>
      <c r="BA46" s="141">
        <v>5722</v>
      </c>
      <c r="BB46" s="141">
        <v>44996</v>
      </c>
      <c r="BC46" s="141">
        <v>220</v>
      </c>
      <c r="BD46" s="141">
        <v>8486</v>
      </c>
      <c r="BE46" s="141">
        <v>227472</v>
      </c>
      <c r="BF46" s="141">
        <v>0</v>
      </c>
      <c r="BG46" s="141">
        <v>0</v>
      </c>
      <c r="BH46" s="141">
        <v>151834</v>
      </c>
      <c r="BI46" s="141">
        <v>0</v>
      </c>
      <c r="BJ46" s="141">
        <v>89960</v>
      </c>
      <c r="BK46" s="141">
        <v>63229</v>
      </c>
      <c r="BL46" s="141">
        <v>84208</v>
      </c>
      <c r="BM46" s="141">
        <v>555</v>
      </c>
      <c r="BN46" s="141">
        <v>0</v>
      </c>
      <c r="BO46" s="141">
        <v>0</v>
      </c>
      <c r="BP46" s="141">
        <v>822913</v>
      </c>
      <c r="BQ46" s="73">
        <f t="shared" si="5"/>
        <v>607803</v>
      </c>
      <c r="BR46" s="73">
        <f t="shared" si="6"/>
        <v>215110</v>
      </c>
      <c r="BS46" s="141">
        <v>0</v>
      </c>
      <c r="BT46" s="141">
        <v>0</v>
      </c>
      <c r="BU46" s="141">
        <v>215110</v>
      </c>
      <c r="BV46" s="141">
        <v>0</v>
      </c>
      <c r="BW46" s="141">
        <v>9145423</v>
      </c>
      <c r="BX46" s="71"/>
      <c r="BY46" s="141">
        <v>1681541</v>
      </c>
      <c r="BZ46" s="141">
        <v>926997</v>
      </c>
      <c r="CA46" s="141">
        <v>80737</v>
      </c>
      <c r="CB46" s="141">
        <v>327180</v>
      </c>
      <c r="CC46" s="141">
        <v>886382</v>
      </c>
      <c r="CD46" s="141">
        <v>503053</v>
      </c>
      <c r="CE46" s="141">
        <v>4222</v>
      </c>
      <c r="CF46" s="141">
        <v>370865</v>
      </c>
      <c r="CG46" s="141">
        <v>0</v>
      </c>
      <c r="CH46" s="141">
        <v>677</v>
      </c>
      <c r="CI46" s="141">
        <v>7465</v>
      </c>
      <c r="CJ46" s="141">
        <v>696996</v>
      </c>
      <c r="CK46" s="141">
        <v>659163</v>
      </c>
      <c r="CL46" s="83">
        <f t="shared" si="21"/>
        <v>37833</v>
      </c>
      <c r="CM46" s="141">
        <v>1170674</v>
      </c>
      <c r="CN46" s="141">
        <v>607583</v>
      </c>
      <c r="CO46" s="102"/>
      <c r="CP46" s="141">
        <v>315546</v>
      </c>
      <c r="CQ46" s="141">
        <v>141277</v>
      </c>
      <c r="CR46" s="141">
        <v>2171306</v>
      </c>
      <c r="CS46" s="141">
        <v>324850</v>
      </c>
      <c r="CT46" s="141">
        <v>1706032</v>
      </c>
      <c r="CU46" s="141">
        <v>158846</v>
      </c>
      <c r="CV46" s="73">
        <f t="shared" si="8"/>
        <v>0</v>
      </c>
      <c r="CW46" s="141">
        <v>0</v>
      </c>
      <c r="CX46" s="141">
        <v>0</v>
      </c>
      <c r="CY46" s="73">
        <f t="shared" si="9"/>
        <v>0</v>
      </c>
      <c r="CZ46" s="141">
        <v>0</v>
      </c>
      <c r="DA46" s="141">
        <v>0</v>
      </c>
      <c r="DB46" s="73">
        <f t="shared" si="10"/>
        <v>0</v>
      </c>
      <c r="DC46" s="141">
        <v>0</v>
      </c>
      <c r="DD46" s="141">
        <v>0</v>
      </c>
      <c r="DE46" s="141">
        <v>978658</v>
      </c>
      <c r="DF46" s="141">
        <v>586084</v>
      </c>
      <c r="DG46" s="141">
        <v>392574</v>
      </c>
      <c r="DH46" s="141">
        <v>0</v>
      </c>
      <c r="DI46" s="141">
        <v>0</v>
      </c>
      <c r="DJ46" s="141">
        <v>19663</v>
      </c>
      <c r="DK46" s="141">
        <v>83097</v>
      </c>
      <c r="DL46" s="141">
        <v>52122</v>
      </c>
      <c r="DM46" s="141">
        <v>1</v>
      </c>
      <c r="DN46" s="141">
        <v>30974</v>
      </c>
      <c r="DO46" s="141">
        <v>0</v>
      </c>
      <c r="DP46" s="141">
        <v>0</v>
      </c>
      <c r="DQ46" s="141">
        <v>0</v>
      </c>
      <c r="DR46" s="141">
        <v>0</v>
      </c>
      <c r="DS46" s="141">
        <v>0</v>
      </c>
      <c r="DT46" s="141">
        <v>0</v>
      </c>
      <c r="DU46" s="141">
        <v>0</v>
      </c>
      <c r="DV46" s="141">
        <v>1186573</v>
      </c>
      <c r="DW46" s="141">
        <v>320161</v>
      </c>
      <c r="DX46" s="73">
        <f t="shared" si="11"/>
        <v>0</v>
      </c>
      <c r="DY46" s="141">
        <v>0</v>
      </c>
      <c r="DZ46" s="141">
        <v>370893</v>
      </c>
      <c r="EA46" s="141">
        <v>0</v>
      </c>
      <c r="EB46" s="141">
        <v>177877</v>
      </c>
      <c r="EC46" s="74">
        <v>0</v>
      </c>
      <c r="ED46" s="141">
        <v>306317</v>
      </c>
      <c r="EE46" s="141">
        <v>0</v>
      </c>
      <c r="EF46" s="141">
        <v>9016167</v>
      </c>
      <c r="EG46" s="71"/>
      <c r="EH46" s="141">
        <v>129256</v>
      </c>
      <c r="EI46" s="141">
        <v>61835</v>
      </c>
      <c r="EJ46" s="141">
        <v>67421</v>
      </c>
      <c r="EK46" s="141">
        <v>3595</v>
      </c>
      <c r="EL46" s="141">
        <v>55717</v>
      </c>
      <c r="EM46" s="71"/>
      <c r="EN46" s="141">
        <v>14787</v>
      </c>
      <c r="EO46" s="141">
        <v>15421</v>
      </c>
      <c r="EP46" s="141">
        <v>30929</v>
      </c>
      <c r="EQ46" s="141">
        <v>11433</v>
      </c>
      <c r="ER46" s="73">
        <f t="shared" si="12"/>
        <v>625011</v>
      </c>
      <c r="ES46" s="141">
        <v>4439141</v>
      </c>
      <c r="ET46" s="141">
        <v>-880212</v>
      </c>
      <c r="EU46" s="141">
        <v>1515043</v>
      </c>
      <c r="EV46" s="141">
        <v>856265</v>
      </c>
      <c r="EW46" s="141">
        <v>269990</v>
      </c>
      <c r="EX46" s="141">
        <v>696996</v>
      </c>
      <c r="EY46" s="73">
        <f t="shared" si="13"/>
        <v>136396</v>
      </c>
      <c r="EZ46" s="141">
        <v>131803</v>
      </c>
      <c r="FA46" s="141">
        <v>2187</v>
      </c>
      <c r="FB46" s="141">
        <v>129616</v>
      </c>
      <c r="FC46" s="141">
        <v>4593</v>
      </c>
      <c r="FD46" s="141">
        <v>0</v>
      </c>
      <c r="FE46" s="141">
        <v>810144</v>
      </c>
      <c r="FF46" s="141">
        <v>573484</v>
      </c>
      <c r="FG46" s="141">
        <v>324850</v>
      </c>
      <c r="FH46" s="141">
        <v>993799</v>
      </c>
      <c r="FI46" s="73">
        <f t="shared" si="14"/>
        <v>194245</v>
      </c>
      <c r="FJ46" s="141">
        <v>5190097</v>
      </c>
      <c r="FK46" s="379">
        <f t="shared" si="15"/>
        <v>1.5</v>
      </c>
      <c r="FL46" s="141">
        <v>4287880</v>
      </c>
      <c r="FM46" s="141">
        <v>215110</v>
      </c>
      <c r="FN46" s="141">
        <v>1901249</v>
      </c>
      <c r="FO46" s="141">
        <v>3779478</v>
      </c>
      <c r="FP46" s="390">
        <v>0.51200000000000001</v>
      </c>
      <c r="FQ46" s="380">
        <v>94.9</v>
      </c>
      <c r="FR46" s="381">
        <v>29.7</v>
      </c>
      <c r="FS46" s="380">
        <v>5.8</v>
      </c>
      <c r="FT46" s="380">
        <v>15.1</v>
      </c>
      <c r="FU46" s="381">
        <v>14.3</v>
      </c>
      <c r="FV46" s="380">
        <v>8.6999999999999993</v>
      </c>
      <c r="FW46" s="382">
        <v>18.3</v>
      </c>
      <c r="FX46" s="388">
        <v>10.6</v>
      </c>
      <c r="FY46" s="141">
        <v>8170948</v>
      </c>
      <c r="FZ46" s="384">
        <f t="shared" si="16"/>
        <v>181.5</v>
      </c>
      <c r="GA46" s="141">
        <v>1321652</v>
      </c>
      <c r="GB46" s="141">
        <v>739745</v>
      </c>
      <c r="GC46" s="141">
        <v>38471</v>
      </c>
      <c r="GD46" s="141">
        <v>543436</v>
      </c>
      <c r="GE46" s="107">
        <v>0</v>
      </c>
      <c r="GF46" s="385"/>
      <c r="GG46" s="386"/>
      <c r="GH46" s="380">
        <v>91.6</v>
      </c>
      <c r="GI46" s="380">
        <v>14.7</v>
      </c>
      <c r="GJ46" s="380">
        <v>87.7</v>
      </c>
      <c r="GK46" s="141">
        <v>158</v>
      </c>
      <c r="GL46" s="391" t="s">
        <v>646</v>
      </c>
      <c r="GM46" s="391">
        <v>15</v>
      </c>
      <c r="GN46" s="117">
        <v>20</v>
      </c>
      <c r="GO46" s="391" t="s">
        <v>646</v>
      </c>
      <c r="GP46" s="392">
        <v>20</v>
      </c>
      <c r="GQ46" s="387">
        <v>30</v>
      </c>
      <c r="GR46" s="381">
        <v>10.6</v>
      </c>
      <c r="GS46" s="388">
        <v>25</v>
      </c>
      <c r="GT46" s="388">
        <v>35</v>
      </c>
      <c r="GU46" s="393">
        <v>109.9</v>
      </c>
      <c r="GV46" s="388">
        <v>350</v>
      </c>
      <c r="GW46" s="394"/>
      <c r="GX46" s="100">
        <f t="shared" si="17"/>
        <v>4503</v>
      </c>
      <c r="GY46" s="394"/>
      <c r="GZ46" s="394"/>
      <c r="HA46" s="394"/>
      <c r="HB46" s="394"/>
      <c r="HC46" s="394"/>
      <c r="HD46" s="394"/>
      <c r="HE46" s="394"/>
      <c r="HF46" s="394"/>
      <c r="HG46" s="394"/>
      <c r="HH46" s="394"/>
      <c r="HI46" s="394"/>
      <c r="HJ46" s="394"/>
      <c r="HK46" s="394"/>
      <c r="HL46" s="394"/>
      <c r="HM46" s="394"/>
      <c r="HN46" s="394"/>
      <c r="HO46" s="394"/>
      <c r="HP46" s="394"/>
      <c r="HQ46" s="394"/>
      <c r="HR46" s="394"/>
      <c r="HS46" s="394"/>
      <c r="HT46" s="394"/>
      <c r="HU46" s="394"/>
      <c r="HV46" s="394"/>
      <c r="HW46" s="394"/>
      <c r="HX46" s="394"/>
    </row>
    <row r="47" spans="1:232" x14ac:dyDescent="0.15">
      <c r="B47" s="89" t="s">
        <v>83</v>
      </c>
      <c r="C47" s="141">
        <v>1395559</v>
      </c>
      <c r="D47" s="73">
        <f t="shared" si="0"/>
        <v>675083</v>
      </c>
      <c r="E47" s="141">
        <v>22907</v>
      </c>
      <c r="F47" s="141">
        <v>652176</v>
      </c>
      <c r="G47" s="73">
        <f t="shared" si="1"/>
        <v>35899</v>
      </c>
      <c r="H47" s="141">
        <v>19517</v>
      </c>
      <c r="I47" s="141">
        <v>16382</v>
      </c>
      <c r="J47" s="141">
        <v>515575</v>
      </c>
      <c r="K47" s="141">
        <v>194072</v>
      </c>
      <c r="L47" s="141">
        <v>258357</v>
      </c>
      <c r="M47" s="141">
        <v>63146</v>
      </c>
      <c r="N47" s="141">
        <v>128892</v>
      </c>
      <c r="O47" s="141">
        <v>0</v>
      </c>
      <c r="P47" s="141">
        <v>0</v>
      </c>
      <c r="Q47" s="141">
        <v>0</v>
      </c>
      <c r="R47" s="141">
        <v>36615</v>
      </c>
      <c r="S47" s="74"/>
      <c r="T47" s="73">
        <f t="shared" si="18"/>
        <v>304093</v>
      </c>
      <c r="U47" s="141">
        <v>2346</v>
      </c>
      <c r="V47" s="141">
        <v>9934</v>
      </c>
      <c r="W47" s="141">
        <v>11226</v>
      </c>
      <c r="X47" s="141">
        <v>257200</v>
      </c>
      <c r="Y47" s="141">
        <v>15478</v>
      </c>
      <c r="Z47" s="141">
        <v>0</v>
      </c>
      <c r="AA47" s="141">
        <v>1</v>
      </c>
      <c r="AB47" s="141">
        <v>6339</v>
      </c>
      <c r="AC47" s="141">
        <v>1569</v>
      </c>
      <c r="AD47" s="141">
        <v>14186</v>
      </c>
      <c r="AE47" s="141">
        <v>1550638</v>
      </c>
      <c r="AF47" s="141">
        <v>1338703</v>
      </c>
      <c r="AG47" s="141">
        <v>211935</v>
      </c>
      <c r="AH47" s="141">
        <v>2145</v>
      </c>
      <c r="AI47" s="141">
        <v>33066</v>
      </c>
      <c r="AJ47" s="73">
        <f t="shared" si="19"/>
        <v>55450</v>
      </c>
      <c r="AK47" s="141">
        <v>30390</v>
      </c>
      <c r="AL47" s="141">
        <v>25060</v>
      </c>
      <c r="AM47" s="141">
        <v>2251849</v>
      </c>
      <c r="AN47" s="73">
        <f t="shared" si="20"/>
        <v>276771</v>
      </c>
      <c r="AO47" s="141">
        <v>0</v>
      </c>
      <c r="AP47" s="141">
        <v>152060</v>
      </c>
      <c r="AQ47" s="74"/>
      <c r="AR47" s="141">
        <v>124711</v>
      </c>
      <c r="AS47" s="141">
        <v>25319</v>
      </c>
      <c r="AT47" s="141">
        <v>0</v>
      </c>
      <c r="AU47" s="141">
        <v>0</v>
      </c>
      <c r="AV47" s="141">
        <v>479976</v>
      </c>
      <c r="AW47" s="141">
        <v>284048</v>
      </c>
      <c r="AX47" s="141">
        <v>67727</v>
      </c>
      <c r="AY47" s="141">
        <v>1361</v>
      </c>
      <c r="AZ47" s="141">
        <v>195928</v>
      </c>
      <c r="BA47" s="141">
        <v>20000</v>
      </c>
      <c r="BB47" s="141">
        <v>2587</v>
      </c>
      <c r="BC47" s="141">
        <v>0</v>
      </c>
      <c r="BD47" s="141">
        <v>6358</v>
      </c>
      <c r="BE47" s="141">
        <v>329053</v>
      </c>
      <c r="BF47" s="141">
        <v>140000</v>
      </c>
      <c r="BG47" s="141">
        <v>0</v>
      </c>
      <c r="BH47" s="141">
        <v>189053</v>
      </c>
      <c r="BI47" s="141">
        <v>0</v>
      </c>
      <c r="BJ47" s="141">
        <v>47481</v>
      </c>
      <c r="BK47" s="141">
        <v>27952</v>
      </c>
      <c r="BL47" s="141">
        <v>39121</v>
      </c>
      <c r="BM47" s="141">
        <v>0</v>
      </c>
      <c r="BN47" s="141">
        <v>0</v>
      </c>
      <c r="BO47" s="141">
        <v>0</v>
      </c>
      <c r="BP47" s="141">
        <v>495421</v>
      </c>
      <c r="BQ47" s="73">
        <f t="shared" si="5"/>
        <v>347729</v>
      </c>
      <c r="BR47" s="73">
        <f t="shared" si="6"/>
        <v>147692</v>
      </c>
      <c r="BS47" s="141">
        <v>0</v>
      </c>
      <c r="BT47" s="141">
        <v>0</v>
      </c>
      <c r="BU47" s="141">
        <v>147692</v>
      </c>
      <c r="BV47" s="141">
        <v>0</v>
      </c>
      <c r="BW47" s="141">
        <v>7043598</v>
      </c>
      <c r="BX47" s="71"/>
      <c r="BY47" s="141">
        <v>1178308</v>
      </c>
      <c r="BZ47" s="141">
        <v>621992</v>
      </c>
      <c r="CA47" s="141">
        <v>121383</v>
      </c>
      <c r="CB47" s="141">
        <v>176349</v>
      </c>
      <c r="CC47" s="141">
        <v>1016061</v>
      </c>
      <c r="CD47" s="141">
        <v>316479</v>
      </c>
      <c r="CE47" s="141">
        <v>4710</v>
      </c>
      <c r="CF47" s="141">
        <v>636386</v>
      </c>
      <c r="CG47" s="141">
        <v>0</v>
      </c>
      <c r="CH47" s="141">
        <v>0</v>
      </c>
      <c r="CI47" s="141">
        <v>58486</v>
      </c>
      <c r="CJ47" s="141">
        <v>431514</v>
      </c>
      <c r="CK47" s="141">
        <v>404961</v>
      </c>
      <c r="CL47" s="83">
        <f t="shared" si="21"/>
        <v>26553</v>
      </c>
      <c r="CM47" s="141">
        <v>892126</v>
      </c>
      <c r="CN47" s="141">
        <v>562266</v>
      </c>
      <c r="CO47" s="102"/>
      <c r="CP47" s="141">
        <v>111287</v>
      </c>
      <c r="CQ47" s="141">
        <v>22043</v>
      </c>
      <c r="CR47" s="141">
        <v>2187075</v>
      </c>
      <c r="CS47" s="141">
        <v>97019</v>
      </c>
      <c r="CT47" s="141">
        <v>1608250</v>
      </c>
      <c r="CU47" s="141">
        <v>253767</v>
      </c>
      <c r="CV47" s="73">
        <f t="shared" si="8"/>
        <v>158354</v>
      </c>
      <c r="CW47" s="141">
        <v>0</v>
      </c>
      <c r="CX47" s="141">
        <v>158354</v>
      </c>
      <c r="CY47" s="73">
        <f t="shared" si="9"/>
        <v>0</v>
      </c>
      <c r="CZ47" s="141">
        <v>0</v>
      </c>
      <c r="DA47" s="141">
        <v>0</v>
      </c>
      <c r="DB47" s="73">
        <f t="shared" si="10"/>
        <v>158354</v>
      </c>
      <c r="DC47" s="141">
        <v>0</v>
      </c>
      <c r="DD47" s="141">
        <v>158354</v>
      </c>
      <c r="DE47" s="141">
        <v>680571</v>
      </c>
      <c r="DF47" s="141">
        <v>67793</v>
      </c>
      <c r="DG47" s="141">
        <v>612778</v>
      </c>
      <c r="DH47" s="141">
        <v>0</v>
      </c>
      <c r="DI47" s="141">
        <v>0</v>
      </c>
      <c r="DJ47" s="141">
        <v>0</v>
      </c>
      <c r="DK47" s="141">
        <v>24266</v>
      </c>
      <c r="DL47" s="141">
        <v>14852</v>
      </c>
      <c r="DM47" s="141">
        <v>1</v>
      </c>
      <c r="DN47" s="141">
        <v>9413</v>
      </c>
      <c r="DO47" s="141">
        <v>0</v>
      </c>
      <c r="DP47" s="141">
        <v>0</v>
      </c>
      <c r="DQ47" s="141">
        <v>0</v>
      </c>
      <c r="DR47" s="141">
        <v>0</v>
      </c>
      <c r="DS47" s="141">
        <v>0</v>
      </c>
      <c r="DT47" s="141">
        <v>0</v>
      </c>
      <c r="DU47" s="141">
        <v>0</v>
      </c>
      <c r="DV47" s="141">
        <v>543557</v>
      </c>
      <c r="DW47" s="141">
        <v>0</v>
      </c>
      <c r="DX47" s="73">
        <f t="shared" si="11"/>
        <v>0</v>
      </c>
      <c r="DY47" s="141">
        <v>0</v>
      </c>
      <c r="DZ47" s="141">
        <v>181453</v>
      </c>
      <c r="EA47" s="141">
        <v>0</v>
      </c>
      <c r="EB47" s="141">
        <v>131750</v>
      </c>
      <c r="EC47" s="74">
        <v>0</v>
      </c>
      <c r="ED47" s="141">
        <v>224395</v>
      </c>
      <c r="EE47" s="141">
        <v>0</v>
      </c>
      <c r="EF47" s="141">
        <v>6975521</v>
      </c>
      <c r="EG47" s="71"/>
      <c r="EH47" s="141">
        <v>68077</v>
      </c>
      <c r="EI47" s="141">
        <v>13631</v>
      </c>
      <c r="EJ47" s="141">
        <v>54446</v>
      </c>
      <c r="EK47" s="141">
        <v>26494</v>
      </c>
      <c r="EL47" s="141">
        <v>-98654</v>
      </c>
      <c r="EM47" s="71"/>
      <c r="EN47" s="141">
        <v>13001</v>
      </c>
      <c r="EO47" s="141">
        <v>13266</v>
      </c>
      <c r="EP47" s="141">
        <v>143812</v>
      </c>
      <c r="EQ47" s="141">
        <v>2587</v>
      </c>
      <c r="ER47" s="73">
        <f t="shared" si="12"/>
        <v>367232</v>
      </c>
      <c r="ES47" s="141">
        <v>3303236</v>
      </c>
      <c r="ET47" s="141">
        <v>-659178</v>
      </c>
      <c r="EU47" s="141">
        <v>1069558</v>
      </c>
      <c r="EV47" s="141">
        <v>577717</v>
      </c>
      <c r="EW47" s="141">
        <v>265469</v>
      </c>
      <c r="EX47" s="141">
        <v>431514</v>
      </c>
      <c r="EY47" s="73">
        <f t="shared" si="13"/>
        <v>98092</v>
      </c>
      <c r="EZ47" s="141">
        <v>98092</v>
      </c>
      <c r="FA47" s="141">
        <v>5615</v>
      </c>
      <c r="FB47" s="141">
        <v>92477</v>
      </c>
      <c r="FC47" s="141">
        <v>0</v>
      </c>
      <c r="FD47" s="141">
        <v>0</v>
      </c>
      <c r="FE47" s="141">
        <v>734829</v>
      </c>
      <c r="FF47" s="141">
        <v>801419</v>
      </c>
      <c r="FG47" s="141">
        <v>91002</v>
      </c>
      <c r="FH47" s="141">
        <v>448546</v>
      </c>
      <c r="FI47" s="73">
        <f t="shared" si="14"/>
        <v>44910</v>
      </c>
      <c r="FJ47" s="141">
        <v>3894337</v>
      </c>
      <c r="FK47" s="379">
        <f t="shared" si="15"/>
        <v>1.7</v>
      </c>
      <c r="FL47" s="141">
        <v>3151525</v>
      </c>
      <c r="FM47" s="141">
        <v>147692</v>
      </c>
      <c r="FN47" s="141">
        <v>1436178</v>
      </c>
      <c r="FO47" s="141">
        <v>2776299</v>
      </c>
      <c r="FP47" s="390">
        <v>0.51200000000000001</v>
      </c>
      <c r="FQ47" s="380">
        <v>99.3</v>
      </c>
      <c r="FR47" s="381">
        <v>32</v>
      </c>
      <c r="FS47" s="380">
        <v>8.1999999999999993</v>
      </c>
      <c r="FT47" s="380">
        <v>13.3</v>
      </c>
      <c r="FU47" s="381">
        <v>17.100000000000001</v>
      </c>
      <c r="FV47" s="380">
        <v>14.9</v>
      </c>
      <c r="FW47" s="382">
        <v>13.2</v>
      </c>
      <c r="FX47" s="388">
        <v>6.2</v>
      </c>
      <c r="FY47" s="141">
        <v>4319098</v>
      </c>
      <c r="FZ47" s="384">
        <f t="shared" si="16"/>
        <v>130.9</v>
      </c>
      <c r="GA47" s="141">
        <v>2597736</v>
      </c>
      <c r="GB47" s="141">
        <v>1368871</v>
      </c>
      <c r="GC47" s="141">
        <v>7877</v>
      </c>
      <c r="GD47" s="141">
        <v>1220988</v>
      </c>
      <c r="GE47" s="107">
        <v>0</v>
      </c>
      <c r="GF47" s="385"/>
      <c r="GG47" s="386"/>
      <c r="GH47" s="380">
        <v>98.8</v>
      </c>
      <c r="GI47" s="380">
        <v>49.6</v>
      </c>
      <c r="GJ47" s="380">
        <v>97.8</v>
      </c>
      <c r="GK47" s="141">
        <v>96</v>
      </c>
      <c r="GL47" s="391" t="s">
        <v>646</v>
      </c>
      <c r="GM47" s="391">
        <v>15</v>
      </c>
      <c r="GN47" s="117">
        <v>20</v>
      </c>
      <c r="GO47" s="391" t="s">
        <v>646</v>
      </c>
      <c r="GP47" s="392">
        <v>20</v>
      </c>
      <c r="GQ47" s="387">
        <v>30</v>
      </c>
      <c r="GR47" s="381">
        <v>6.2</v>
      </c>
      <c r="GS47" s="388">
        <v>25</v>
      </c>
      <c r="GT47" s="388">
        <v>35</v>
      </c>
      <c r="GU47" s="393" t="s">
        <v>646</v>
      </c>
      <c r="GV47" s="388">
        <v>350</v>
      </c>
      <c r="GW47" s="394"/>
      <c r="GX47" s="100">
        <f t="shared" si="17"/>
        <v>3299</v>
      </c>
      <c r="GY47" s="394"/>
      <c r="GZ47" s="394"/>
      <c r="HA47" s="394"/>
      <c r="HB47" s="394"/>
      <c r="HC47" s="394"/>
      <c r="HD47" s="394"/>
      <c r="HE47" s="394"/>
      <c r="HF47" s="394"/>
      <c r="HG47" s="394"/>
      <c r="HH47" s="394"/>
      <c r="HI47" s="394"/>
      <c r="HJ47" s="394"/>
      <c r="HK47" s="394"/>
      <c r="HL47" s="394"/>
      <c r="HM47" s="394"/>
      <c r="HN47" s="394"/>
      <c r="HO47" s="394"/>
      <c r="HP47" s="394"/>
      <c r="HQ47" s="394"/>
      <c r="HR47" s="394"/>
      <c r="HS47" s="394"/>
      <c r="HT47" s="394"/>
      <c r="HU47" s="394"/>
      <c r="HV47" s="394"/>
      <c r="HW47" s="394"/>
      <c r="HX47" s="394"/>
    </row>
    <row r="48" spans="1:232" x14ac:dyDescent="0.15">
      <c r="B48" s="89" t="s">
        <v>85</v>
      </c>
      <c r="C48" s="141">
        <v>1511887</v>
      </c>
      <c r="D48" s="73">
        <f t="shared" si="0"/>
        <v>748896</v>
      </c>
      <c r="E48" s="141">
        <v>26436</v>
      </c>
      <c r="F48" s="141">
        <v>722460</v>
      </c>
      <c r="G48" s="73">
        <f t="shared" si="1"/>
        <v>49451</v>
      </c>
      <c r="H48" s="141">
        <v>26494</v>
      </c>
      <c r="I48" s="141">
        <v>22957</v>
      </c>
      <c r="J48" s="141">
        <v>574368</v>
      </c>
      <c r="K48" s="141">
        <v>184429</v>
      </c>
      <c r="L48" s="141">
        <v>307459</v>
      </c>
      <c r="M48" s="141">
        <v>82480</v>
      </c>
      <c r="N48" s="141">
        <v>86538</v>
      </c>
      <c r="O48" s="141">
        <v>0</v>
      </c>
      <c r="P48" s="141">
        <v>0</v>
      </c>
      <c r="Q48" s="141">
        <v>0</v>
      </c>
      <c r="R48" s="141">
        <v>48219</v>
      </c>
      <c r="S48" s="74"/>
      <c r="T48" s="73">
        <f t="shared" si="18"/>
        <v>380545</v>
      </c>
      <c r="U48" s="141">
        <v>2757</v>
      </c>
      <c r="V48" s="141">
        <v>11631</v>
      </c>
      <c r="W48" s="141">
        <v>13055</v>
      </c>
      <c r="X48" s="141">
        <v>315156</v>
      </c>
      <c r="Y48" s="141">
        <v>26129</v>
      </c>
      <c r="Z48" s="141">
        <v>0</v>
      </c>
      <c r="AA48" s="141">
        <v>1</v>
      </c>
      <c r="AB48" s="141">
        <v>7982</v>
      </c>
      <c r="AC48" s="141">
        <v>3834</v>
      </c>
      <c r="AD48" s="141">
        <v>19213</v>
      </c>
      <c r="AE48" s="141">
        <v>2121677</v>
      </c>
      <c r="AF48" s="141">
        <v>1932910</v>
      </c>
      <c r="AG48" s="141">
        <v>188767</v>
      </c>
      <c r="AH48" s="141">
        <v>2407</v>
      </c>
      <c r="AI48" s="141">
        <v>2696</v>
      </c>
      <c r="AJ48" s="73">
        <f t="shared" si="19"/>
        <v>101519</v>
      </c>
      <c r="AK48" s="141">
        <v>47723</v>
      </c>
      <c r="AL48" s="141">
        <v>53796</v>
      </c>
      <c r="AM48" s="141">
        <v>2582119</v>
      </c>
      <c r="AN48" s="73">
        <f t="shared" si="20"/>
        <v>231121</v>
      </c>
      <c r="AO48" s="141">
        <v>0</v>
      </c>
      <c r="AP48" s="141">
        <v>361</v>
      </c>
      <c r="AQ48" s="74"/>
      <c r="AR48" s="141">
        <v>230760</v>
      </c>
      <c r="AS48" s="141">
        <v>65448</v>
      </c>
      <c r="AT48" s="141">
        <v>0</v>
      </c>
      <c r="AU48" s="141">
        <v>0</v>
      </c>
      <c r="AV48" s="141">
        <v>498884</v>
      </c>
      <c r="AW48" s="141">
        <v>273017</v>
      </c>
      <c r="AX48" s="141">
        <v>40622</v>
      </c>
      <c r="AY48" s="141">
        <v>360</v>
      </c>
      <c r="AZ48" s="141">
        <v>225867</v>
      </c>
      <c r="BA48" s="141">
        <v>263</v>
      </c>
      <c r="BB48" s="141">
        <v>7433</v>
      </c>
      <c r="BC48" s="141">
        <v>3965</v>
      </c>
      <c r="BD48" s="141">
        <v>17520</v>
      </c>
      <c r="BE48" s="141">
        <v>91545</v>
      </c>
      <c r="BF48" s="141">
        <v>50000</v>
      </c>
      <c r="BG48" s="141">
        <v>0</v>
      </c>
      <c r="BH48" s="141">
        <v>39572</v>
      </c>
      <c r="BI48" s="141">
        <v>0</v>
      </c>
      <c r="BJ48" s="141">
        <v>39867</v>
      </c>
      <c r="BK48" s="141">
        <v>35288</v>
      </c>
      <c r="BL48" s="141">
        <v>85000</v>
      </c>
      <c r="BM48" s="141">
        <v>1100</v>
      </c>
      <c r="BN48" s="141">
        <v>0</v>
      </c>
      <c r="BO48" s="141">
        <v>0</v>
      </c>
      <c r="BP48" s="141">
        <v>330244</v>
      </c>
      <c r="BQ48" s="73">
        <f t="shared" si="5"/>
        <v>158244</v>
      </c>
      <c r="BR48" s="73">
        <f t="shared" si="6"/>
        <v>172000</v>
      </c>
      <c r="BS48" s="141">
        <v>0</v>
      </c>
      <c r="BT48" s="141">
        <v>0</v>
      </c>
      <c r="BU48" s="141">
        <v>172000</v>
      </c>
      <c r="BV48" s="141">
        <v>0</v>
      </c>
      <c r="BW48" s="141">
        <v>7840775</v>
      </c>
      <c r="BX48" s="71"/>
      <c r="BY48" s="141">
        <v>1346165</v>
      </c>
      <c r="BZ48" s="141">
        <v>741711</v>
      </c>
      <c r="CA48" s="141">
        <v>82427</v>
      </c>
      <c r="CB48" s="141">
        <v>239121</v>
      </c>
      <c r="CC48" s="141">
        <v>1064883</v>
      </c>
      <c r="CD48" s="141">
        <v>537319</v>
      </c>
      <c r="CE48" s="141">
        <v>5754</v>
      </c>
      <c r="CF48" s="141">
        <v>475344</v>
      </c>
      <c r="CG48" s="141">
        <v>0</v>
      </c>
      <c r="CH48" s="141">
        <v>10</v>
      </c>
      <c r="CI48" s="141">
        <v>46456</v>
      </c>
      <c r="CJ48" s="141">
        <v>584335</v>
      </c>
      <c r="CK48" s="141">
        <v>549674</v>
      </c>
      <c r="CL48" s="83">
        <f t="shared" si="21"/>
        <v>34661</v>
      </c>
      <c r="CM48" s="141">
        <v>1107789</v>
      </c>
      <c r="CN48" s="141">
        <v>676749</v>
      </c>
      <c r="CO48" s="102"/>
      <c r="CP48" s="141">
        <v>153816</v>
      </c>
      <c r="CQ48" s="141">
        <v>14102</v>
      </c>
      <c r="CR48" s="141">
        <v>2464578</v>
      </c>
      <c r="CS48" s="141">
        <v>113998</v>
      </c>
      <c r="CT48" s="141">
        <v>1781555</v>
      </c>
      <c r="CU48" s="141">
        <v>215347</v>
      </c>
      <c r="CV48" s="73">
        <f t="shared" si="8"/>
        <v>267018</v>
      </c>
      <c r="CW48" s="141">
        <v>4071</v>
      </c>
      <c r="CX48" s="141">
        <v>262947</v>
      </c>
      <c r="CY48" s="73">
        <f t="shared" si="9"/>
        <v>0</v>
      </c>
      <c r="CZ48" s="141">
        <v>0</v>
      </c>
      <c r="DA48" s="141">
        <v>0</v>
      </c>
      <c r="DB48" s="73">
        <f t="shared" si="10"/>
        <v>162816</v>
      </c>
      <c r="DC48" s="141">
        <v>3686</v>
      </c>
      <c r="DD48" s="141">
        <v>159130</v>
      </c>
      <c r="DE48" s="141">
        <v>404955</v>
      </c>
      <c r="DF48" s="141">
        <v>177181</v>
      </c>
      <c r="DG48" s="141">
        <v>218231</v>
      </c>
      <c r="DH48" s="141">
        <v>9543</v>
      </c>
      <c r="DI48" s="141">
        <v>0</v>
      </c>
      <c r="DJ48" s="141">
        <v>0</v>
      </c>
      <c r="DK48" s="141">
        <v>72758</v>
      </c>
      <c r="DL48" s="141">
        <v>307</v>
      </c>
      <c r="DM48" s="141">
        <v>78</v>
      </c>
      <c r="DN48" s="141">
        <v>72373</v>
      </c>
      <c r="DO48" s="141">
        <v>0</v>
      </c>
      <c r="DP48" s="141">
        <v>0</v>
      </c>
      <c r="DQ48" s="141">
        <v>0</v>
      </c>
      <c r="DR48" s="141">
        <v>0</v>
      </c>
      <c r="DS48" s="141">
        <v>0</v>
      </c>
      <c r="DT48" s="141">
        <v>0</v>
      </c>
      <c r="DU48" s="141">
        <v>0</v>
      </c>
      <c r="DV48" s="141">
        <v>660345</v>
      </c>
      <c r="DW48" s="141">
        <v>0</v>
      </c>
      <c r="DX48" s="73">
        <f t="shared" si="11"/>
        <v>0</v>
      </c>
      <c r="DY48" s="141">
        <v>0</v>
      </c>
      <c r="DZ48" s="141">
        <v>239112</v>
      </c>
      <c r="EA48" s="141">
        <v>0</v>
      </c>
      <c r="EB48" s="141">
        <v>175788</v>
      </c>
      <c r="EC48" s="74">
        <v>0</v>
      </c>
      <c r="ED48" s="141">
        <v>245445</v>
      </c>
      <c r="EE48" s="141">
        <v>0</v>
      </c>
      <c r="EF48" s="141">
        <v>7719910</v>
      </c>
      <c r="EG48" s="71"/>
      <c r="EH48" s="141">
        <v>120865</v>
      </c>
      <c r="EI48" s="141">
        <v>24</v>
      </c>
      <c r="EJ48" s="141">
        <v>120841</v>
      </c>
      <c r="EK48" s="141">
        <v>45553</v>
      </c>
      <c r="EL48" s="141">
        <v>-4140</v>
      </c>
      <c r="EM48" s="71"/>
      <c r="EN48" s="141">
        <v>15718</v>
      </c>
      <c r="EO48" s="141">
        <v>15346</v>
      </c>
      <c r="EP48" s="141">
        <v>51973</v>
      </c>
      <c r="EQ48" s="141">
        <v>5393</v>
      </c>
      <c r="ER48" s="73">
        <f t="shared" si="12"/>
        <v>446063</v>
      </c>
      <c r="ES48" s="141">
        <v>4083948</v>
      </c>
      <c r="ET48" s="141">
        <v>-673022</v>
      </c>
      <c r="EU48" s="141">
        <v>1249800</v>
      </c>
      <c r="EV48" s="141">
        <v>703071</v>
      </c>
      <c r="EW48" s="141">
        <v>312416</v>
      </c>
      <c r="EX48" s="141">
        <v>584335</v>
      </c>
      <c r="EY48" s="73">
        <f t="shared" si="13"/>
        <v>164435</v>
      </c>
      <c r="EZ48" s="141">
        <v>164435</v>
      </c>
      <c r="FA48" s="141">
        <v>59946</v>
      </c>
      <c r="FB48" s="141">
        <v>94946</v>
      </c>
      <c r="FC48" s="141">
        <v>0</v>
      </c>
      <c r="FD48" s="141">
        <v>0</v>
      </c>
      <c r="FE48" s="141">
        <v>870534</v>
      </c>
      <c r="FF48" s="141">
        <v>835353</v>
      </c>
      <c r="FG48" s="141">
        <v>113998</v>
      </c>
      <c r="FH48" s="141">
        <v>533273</v>
      </c>
      <c r="FI48" s="73">
        <f t="shared" si="14"/>
        <v>85959</v>
      </c>
      <c r="FJ48" s="141">
        <v>4636105</v>
      </c>
      <c r="FK48" s="379">
        <f t="shared" si="15"/>
        <v>2.9</v>
      </c>
      <c r="FL48" s="141">
        <v>3941729</v>
      </c>
      <c r="FM48" s="141">
        <v>172534</v>
      </c>
      <c r="FN48" s="141">
        <v>1588587</v>
      </c>
      <c r="FO48" s="141">
        <v>3523647</v>
      </c>
      <c r="FP48" s="390">
        <v>0.45400000000000001</v>
      </c>
      <c r="FQ48" s="380">
        <v>91.3</v>
      </c>
      <c r="FR48" s="381">
        <v>30.3</v>
      </c>
      <c r="FS48" s="380">
        <v>7.6</v>
      </c>
      <c r="FT48" s="380">
        <v>14.3</v>
      </c>
      <c r="FU48" s="381">
        <v>15.2</v>
      </c>
      <c r="FV48" s="380">
        <v>11.2</v>
      </c>
      <c r="FW48" s="382">
        <v>12.3</v>
      </c>
      <c r="FX48" s="388">
        <v>5.9</v>
      </c>
      <c r="FY48" s="141">
        <v>6303596</v>
      </c>
      <c r="FZ48" s="384">
        <f t="shared" si="16"/>
        <v>153.19999999999999</v>
      </c>
      <c r="GA48" s="141">
        <v>2480135</v>
      </c>
      <c r="GB48" s="141">
        <v>1138190</v>
      </c>
      <c r="GC48" s="141">
        <v>210017</v>
      </c>
      <c r="GD48" s="141">
        <v>1131928</v>
      </c>
      <c r="GE48" s="107">
        <v>0</v>
      </c>
      <c r="GF48" s="385">
        <v>109</v>
      </c>
      <c r="GG48" s="386">
        <f>IF(GF48=0,"-",ROUND(GF48/(GX48)*100,1))</f>
        <v>2.6</v>
      </c>
      <c r="GH48" s="380">
        <v>98.9</v>
      </c>
      <c r="GI48" s="380">
        <v>21.9</v>
      </c>
      <c r="GJ48" s="380">
        <v>96.3</v>
      </c>
      <c r="GK48" s="141">
        <v>125</v>
      </c>
      <c r="GL48" s="391" t="s">
        <v>646</v>
      </c>
      <c r="GM48" s="391">
        <v>15</v>
      </c>
      <c r="GN48" s="117">
        <v>20</v>
      </c>
      <c r="GO48" s="391" t="s">
        <v>646</v>
      </c>
      <c r="GP48" s="392">
        <v>20</v>
      </c>
      <c r="GQ48" s="387">
        <v>30</v>
      </c>
      <c r="GR48" s="381">
        <v>5.9</v>
      </c>
      <c r="GS48" s="388">
        <v>25</v>
      </c>
      <c r="GT48" s="388">
        <v>35</v>
      </c>
      <c r="GU48" s="393">
        <v>15.9</v>
      </c>
      <c r="GV48" s="388">
        <v>350</v>
      </c>
      <c r="GW48" s="394"/>
      <c r="GX48" s="100">
        <f t="shared" si="17"/>
        <v>4114</v>
      </c>
      <c r="GY48" s="394"/>
      <c r="GZ48" s="394"/>
      <c r="HA48" s="394"/>
      <c r="HB48" s="394"/>
      <c r="HC48" s="394"/>
      <c r="HD48" s="394"/>
      <c r="HE48" s="394"/>
      <c r="HF48" s="394"/>
      <c r="HG48" s="394"/>
      <c r="HH48" s="394"/>
      <c r="HI48" s="394"/>
      <c r="HJ48" s="394"/>
      <c r="HK48" s="394"/>
      <c r="HL48" s="394"/>
      <c r="HM48" s="394"/>
      <c r="HN48" s="394"/>
      <c r="HO48" s="394"/>
      <c r="HP48" s="394"/>
      <c r="HQ48" s="394"/>
      <c r="HR48" s="394"/>
      <c r="HS48" s="394"/>
      <c r="HT48" s="394"/>
      <c r="HU48" s="394"/>
      <c r="HV48" s="394"/>
      <c r="HW48" s="394"/>
      <c r="HX48" s="394"/>
    </row>
    <row r="49" spans="1:232" x14ac:dyDescent="0.15">
      <c r="B49" s="89" t="s">
        <v>87</v>
      </c>
      <c r="C49" s="141">
        <v>465290</v>
      </c>
      <c r="D49" s="73">
        <f t="shared" si="0"/>
        <v>203001</v>
      </c>
      <c r="E49" s="141">
        <v>7967</v>
      </c>
      <c r="F49" s="141">
        <v>195034</v>
      </c>
      <c r="G49" s="73">
        <f t="shared" si="1"/>
        <v>30455</v>
      </c>
      <c r="H49" s="141">
        <v>13844</v>
      </c>
      <c r="I49" s="141">
        <v>16611</v>
      </c>
      <c r="J49" s="141">
        <v>211591</v>
      </c>
      <c r="K49" s="141">
        <v>59772</v>
      </c>
      <c r="L49" s="141">
        <v>106262</v>
      </c>
      <c r="M49" s="141">
        <v>45557</v>
      </c>
      <c r="N49" s="141">
        <v>1116</v>
      </c>
      <c r="O49" s="141">
        <v>0</v>
      </c>
      <c r="P49" s="141">
        <v>0</v>
      </c>
      <c r="Q49" s="141">
        <v>0</v>
      </c>
      <c r="R49" s="141">
        <v>29312</v>
      </c>
      <c r="S49" s="74"/>
      <c r="T49" s="73">
        <f t="shared" si="18"/>
        <v>126685</v>
      </c>
      <c r="U49" s="141">
        <v>748</v>
      </c>
      <c r="V49" s="141">
        <v>3155</v>
      </c>
      <c r="W49" s="141">
        <v>3539</v>
      </c>
      <c r="X49" s="141">
        <v>108428</v>
      </c>
      <c r="Y49" s="141">
        <v>3975</v>
      </c>
      <c r="Z49" s="141">
        <v>0</v>
      </c>
      <c r="AA49" s="141">
        <v>0</v>
      </c>
      <c r="AB49" s="141">
        <v>3506</v>
      </c>
      <c r="AC49" s="141">
        <v>3334</v>
      </c>
      <c r="AD49" s="141">
        <v>3694</v>
      </c>
      <c r="AE49" s="141">
        <v>1514276</v>
      </c>
      <c r="AF49" s="141">
        <v>1337094</v>
      </c>
      <c r="AG49" s="141">
        <v>177182</v>
      </c>
      <c r="AH49" s="141">
        <v>799</v>
      </c>
      <c r="AI49" s="141">
        <v>1502</v>
      </c>
      <c r="AJ49" s="73">
        <f t="shared" si="19"/>
        <v>21693</v>
      </c>
      <c r="AK49" s="141">
        <v>8994</v>
      </c>
      <c r="AL49" s="141">
        <v>12699</v>
      </c>
      <c r="AM49" s="141">
        <v>1021946</v>
      </c>
      <c r="AN49" s="73">
        <f t="shared" si="20"/>
        <v>46381</v>
      </c>
      <c r="AO49" s="141">
        <v>0</v>
      </c>
      <c r="AP49" s="141">
        <v>0</v>
      </c>
      <c r="AQ49" s="74"/>
      <c r="AR49" s="141">
        <v>46381</v>
      </c>
      <c r="AS49" s="141">
        <v>570</v>
      </c>
      <c r="AT49" s="141">
        <v>13584</v>
      </c>
      <c r="AU49" s="141">
        <v>0</v>
      </c>
      <c r="AV49" s="141">
        <v>214245</v>
      </c>
      <c r="AW49" s="141">
        <v>119079</v>
      </c>
      <c r="AX49" s="141">
        <v>0</v>
      </c>
      <c r="AY49" s="141">
        <v>0</v>
      </c>
      <c r="AZ49" s="141">
        <v>95166</v>
      </c>
      <c r="BA49" s="141">
        <v>552</v>
      </c>
      <c r="BB49" s="141">
        <v>3726</v>
      </c>
      <c r="BC49" s="141">
        <v>0</v>
      </c>
      <c r="BD49" s="141">
        <v>9881</v>
      </c>
      <c r="BE49" s="141">
        <v>43961</v>
      </c>
      <c r="BF49" s="141">
        <v>0</v>
      </c>
      <c r="BG49" s="141">
        <v>0</v>
      </c>
      <c r="BH49" s="141">
        <v>43961</v>
      </c>
      <c r="BI49" s="141">
        <v>0</v>
      </c>
      <c r="BJ49" s="141">
        <v>26842</v>
      </c>
      <c r="BK49" s="141">
        <v>19955</v>
      </c>
      <c r="BL49" s="141">
        <v>54179</v>
      </c>
      <c r="BM49" s="141">
        <v>0</v>
      </c>
      <c r="BN49" s="141">
        <v>0</v>
      </c>
      <c r="BO49" s="141">
        <v>0</v>
      </c>
      <c r="BP49" s="141">
        <v>238879</v>
      </c>
      <c r="BQ49" s="73">
        <f t="shared" si="5"/>
        <v>169000</v>
      </c>
      <c r="BR49" s="73">
        <f t="shared" si="6"/>
        <v>69879</v>
      </c>
      <c r="BS49" s="141">
        <v>0</v>
      </c>
      <c r="BT49" s="141">
        <v>1100</v>
      </c>
      <c r="BU49" s="141">
        <v>68779</v>
      </c>
      <c r="BV49" s="141">
        <v>0</v>
      </c>
      <c r="BW49" s="141">
        <v>3776910</v>
      </c>
      <c r="BX49" s="71"/>
      <c r="BY49" s="141">
        <v>768614</v>
      </c>
      <c r="BZ49" s="141">
        <v>487295</v>
      </c>
      <c r="CA49" s="141">
        <v>36319</v>
      </c>
      <c r="CB49" s="141">
        <v>63954</v>
      </c>
      <c r="CC49" s="141">
        <v>368900</v>
      </c>
      <c r="CD49" s="141">
        <v>151569</v>
      </c>
      <c r="CE49" s="141">
        <v>3119</v>
      </c>
      <c r="CF49" s="141">
        <v>165404</v>
      </c>
      <c r="CG49" s="141">
        <v>0</v>
      </c>
      <c r="CH49" s="141">
        <v>471</v>
      </c>
      <c r="CI49" s="141">
        <v>48337</v>
      </c>
      <c r="CJ49" s="141">
        <v>334179</v>
      </c>
      <c r="CK49" s="141">
        <v>318805</v>
      </c>
      <c r="CL49" s="83">
        <f t="shared" si="21"/>
        <v>15374</v>
      </c>
      <c r="CM49" s="141">
        <v>631056</v>
      </c>
      <c r="CN49" s="141">
        <v>434518</v>
      </c>
      <c r="CO49" s="102"/>
      <c r="CP49" s="141">
        <v>75138</v>
      </c>
      <c r="CQ49" s="141">
        <v>11772</v>
      </c>
      <c r="CR49" s="141">
        <v>896768</v>
      </c>
      <c r="CS49" s="141">
        <v>147718</v>
      </c>
      <c r="CT49" s="141">
        <v>634512</v>
      </c>
      <c r="CU49" s="141">
        <v>47414</v>
      </c>
      <c r="CV49" s="73">
        <f t="shared" si="8"/>
        <v>0</v>
      </c>
      <c r="CW49" s="141">
        <v>0</v>
      </c>
      <c r="CX49" s="141">
        <v>0</v>
      </c>
      <c r="CY49" s="73">
        <f t="shared" si="9"/>
        <v>0</v>
      </c>
      <c r="CZ49" s="141">
        <v>0</v>
      </c>
      <c r="DA49" s="141">
        <v>0</v>
      </c>
      <c r="DB49" s="73">
        <f t="shared" si="10"/>
        <v>0</v>
      </c>
      <c r="DC49" s="141">
        <v>0</v>
      </c>
      <c r="DD49" s="141">
        <v>0</v>
      </c>
      <c r="DE49" s="141">
        <v>165908</v>
      </c>
      <c r="DF49" s="141">
        <v>4084</v>
      </c>
      <c r="DG49" s="141">
        <v>161824</v>
      </c>
      <c r="DH49" s="141">
        <v>0</v>
      </c>
      <c r="DI49" s="141">
        <v>0</v>
      </c>
      <c r="DJ49" s="141">
        <v>79371</v>
      </c>
      <c r="DK49" s="141">
        <v>32343</v>
      </c>
      <c r="DL49" s="141">
        <v>11607</v>
      </c>
      <c r="DM49" s="141">
        <v>221</v>
      </c>
      <c r="DN49" s="141">
        <v>20515</v>
      </c>
      <c r="DO49" s="141">
        <v>0</v>
      </c>
      <c r="DP49" s="141">
        <v>0</v>
      </c>
      <c r="DQ49" s="141">
        <v>0</v>
      </c>
      <c r="DR49" s="141">
        <v>0</v>
      </c>
      <c r="DS49" s="141">
        <v>0</v>
      </c>
      <c r="DT49" s="141">
        <v>0</v>
      </c>
      <c r="DU49" s="141">
        <v>0</v>
      </c>
      <c r="DV49" s="141">
        <v>454598</v>
      </c>
      <c r="DW49" s="141">
        <v>130569</v>
      </c>
      <c r="DX49" s="73">
        <f t="shared" si="11"/>
        <v>0</v>
      </c>
      <c r="DY49" s="141">
        <v>0</v>
      </c>
      <c r="DZ49" s="141">
        <v>123920</v>
      </c>
      <c r="EA49" s="141">
        <v>0</v>
      </c>
      <c r="EB49" s="141">
        <v>61252</v>
      </c>
      <c r="EC49" s="74">
        <v>0</v>
      </c>
      <c r="ED49" s="141">
        <v>102879</v>
      </c>
      <c r="EE49" s="141">
        <v>0</v>
      </c>
      <c r="EF49" s="141">
        <v>3743509</v>
      </c>
      <c r="EG49" s="71"/>
      <c r="EH49" s="141">
        <v>33401</v>
      </c>
      <c r="EI49" s="141">
        <v>11092</v>
      </c>
      <c r="EJ49" s="141">
        <v>22309</v>
      </c>
      <c r="EK49" s="141">
        <v>2354</v>
      </c>
      <c r="EL49" s="141">
        <v>13961</v>
      </c>
      <c r="EM49" s="71"/>
      <c r="EN49" s="141">
        <v>4903</v>
      </c>
      <c r="EO49" s="141">
        <v>5079</v>
      </c>
      <c r="EP49" s="141">
        <v>0</v>
      </c>
      <c r="EQ49" s="141">
        <v>3726</v>
      </c>
      <c r="ER49" s="73">
        <f t="shared" si="12"/>
        <v>84832</v>
      </c>
      <c r="ES49" s="141">
        <v>2140056</v>
      </c>
      <c r="ET49" s="141">
        <v>-157638</v>
      </c>
      <c r="EU49" s="141">
        <v>715954</v>
      </c>
      <c r="EV49" s="141">
        <v>457860</v>
      </c>
      <c r="EW49" s="141">
        <v>96059</v>
      </c>
      <c r="EX49" s="141">
        <v>334179</v>
      </c>
      <c r="EY49" s="73">
        <f t="shared" si="13"/>
        <v>83903</v>
      </c>
      <c r="EZ49" s="141">
        <v>78016</v>
      </c>
      <c r="FA49" s="141">
        <v>912</v>
      </c>
      <c r="FB49" s="141">
        <v>77104</v>
      </c>
      <c r="FC49" s="141">
        <v>5887</v>
      </c>
      <c r="FD49" s="141">
        <v>0</v>
      </c>
      <c r="FE49" s="141">
        <v>424541</v>
      </c>
      <c r="FF49" s="141">
        <v>174900</v>
      </c>
      <c r="FG49" s="141">
        <v>110621</v>
      </c>
      <c r="FH49" s="141">
        <v>402095</v>
      </c>
      <c r="FI49" s="73">
        <f t="shared" si="14"/>
        <v>32662</v>
      </c>
      <c r="FJ49" s="141">
        <v>2264293</v>
      </c>
      <c r="FK49" s="379">
        <f t="shared" si="15"/>
        <v>1.1000000000000001</v>
      </c>
      <c r="FL49" s="141">
        <v>1999983</v>
      </c>
      <c r="FM49" s="141">
        <v>68779</v>
      </c>
      <c r="FN49" s="141">
        <v>531806</v>
      </c>
      <c r="FO49" s="141">
        <v>1869855</v>
      </c>
      <c r="FP49" s="390">
        <v>0.29499999999999998</v>
      </c>
      <c r="FQ49" s="380">
        <v>90</v>
      </c>
      <c r="FR49" s="381">
        <v>34.200000000000003</v>
      </c>
      <c r="FS49" s="380">
        <v>4.7</v>
      </c>
      <c r="FT49" s="380">
        <v>16.399999999999999</v>
      </c>
      <c r="FU49" s="381">
        <v>18.8</v>
      </c>
      <c r="FV49" s="380">
        <v>3.4</v>
      </c>
      <c r="FW49" s="382">
        <v>12.4</v>
      </c>
      <c r="FX49" s="388">
        <v>7.5</v>
      </c>
      <c r="FY49" s="141">
        <v>3517898</v>
      </c>
      <c r="FZ49" s="384">
        <f t="shared" si="16"/>
        <v>170</v>
      </c>
      <c r="GA49" s="141">
        <v>2060142</v>
      </c>
      <c r="GB49" s="141">
        <v>895510</v>
      </c>
      <c r="GC49" s="141">
        <v>275591</v>
      </c>
      <c r="GD49" s="141">
        <v>889041</v>
      </c>
      <c r="GE49" s="107">
        <v>0</v>
      </c>
      <c r="GF49" s="385"/>
      <c r="GG49" s="386"/>
      <c r="GH49" s="380">
        <v>95.6</v>
      </c>
      <c r="GI49" s="380">
        <v>22.6</v>
      </c>
      <c r="GJ49" s="380">
        <v>95.3</v>
      </c>
      <c r="GK49" s="141">
        <v>78</v>
      </c>
      <c r="GL49" s="391" t="s">
        <v>646</v>
      </c>
      <c r="GM49" s="391">
        <v>15</v>
      </c>
      <c r="GN49" s="117">
        <v>20</v>
      </c>
      <c r="GO49" s="391" t="s">
        <v>646</v>
      </c>
      <c r="GP49" s="391">
        <v>20</v>
      </c>
      <c r="GQ49" s="387">
        <v>30</v>
      </c>
      <c r="GR49" s="381">
        <v>7.5</v>
      </c>
      <c r="GS49" s="388">
        <v>25</v>
      </c>
      <c r="GT49" s="388">
        <v>35</v>
      </c>
      <c r="GU49" s="393" t="s">
        <v>646</v>
      </c>
      <c r="GV49" s="388">
        <v>350</v>
      </c>
      <c r="GW49" s="394"/>
      <c r="GX49" s="100">
        <f t="shared" si="17"/>
        <v>2069</v>
      </c>
      <c r="GY49" s="394"/>
      <c r="GZ49" s="394"/>
      <c r="HA49" s="394"/>
      <c r="HB49" s="394"/>
      <c r="HC49" s="394"/>
      <c r="HD49" s="394"/>
      <c r="HE49" s="394"/>
      <c r="HF49" s="394"/>
      <c r="HG49" s="394"/>
      <c r="HH49" s="394"/>
      <c r="HI49" s="394"/>
      <c r="HJ49" s="394"/>
      <c r="HK49" s="394"/>
      <c r="HL49" s="394"/>
      <c r="HM49" s="394"/>
      <c r="HN49" s="394"/>
      <c r="HO49" s="394"/>
      <c r="HP49" s="394"/>
      <c r="HQ49" s="394"/>
      <c r="HR49" s="394"/>
      <c r="HS49" s="394"/>
      <c r="HT49" s="394"/>
      <c r="HU49" s="394"/>
      <c r="HV49" s="394"/>
      <c r="HW49" s="394"/>
      <c r="HX49" s="394"/>
    </row>
    <row r="50" spans="1:232" s="112" customFormat="1" x14ac:dyDescent="0.15">
      <c r="A50" s="126"/>
      <c r="B50" s="126" t="s">
        <v>89</v>
      </c>
      <c r="C50" s="137">
        <v>23272444</v>
      </c>
      <c r="D50" s="127">
        <f t="shared" si="0"/>
        <v>8979447</v>
      </c>
      <c r="E50" s="137">
        <v>304197</v>
      </c>
      <c r="F50" s="137">
        <v>8675250</v>
      </c>
      <c r="G50" s="127">
        <f t="shared" si="1"/>
        <v>1323899</v>
      </c>
      <c r="H50" s="137">
        <v>304762</v>
      </c>
      <c r="I50" s="137">
        <v>1019137</v>
      </c>
      <c r="J50" s="137">
        <v>10982824</v>
      </c>
      <c r="K50" s="137">
        <v>4423093</v>
      </c>
      <c r="L50" s="137">
        <v>4502990</v>
      </c>
      <c r="M50" s="137">
        <v>1983409</v>
      </c>
      <c r="N50" s="137">
        <v>924837</v>
      </c>
      <c r="O50" s="137">
        <v>610392</v>
      </c>
      <c r="P50" s="137">
        <v>317508</v>
      </c>
      <c r="Q50" s="137">
        <v>292884</v>
      </c>
      <c r="R50" s="137">
        <v>491544</v>
      </c>
      <c r="S50" s="127"/>
      <c r="T50" s="127">
        <f t="shared" si="18"/>
        <v>4228351</v>
      </c>
      <c r="U50" s="137">
        <v>32051</v>
      </c>
      <c r="V50" s="137">
        <v>135573</v>
      </c>
      <c r="W50" s="137">
        <v>152982</v>
      </c>
      <c r="X50" s="137">
        <v>3486539</v>
      </c>
      <c r="Y50" s="137">
        <v>167080</v>
      </c>
      <c r="Z50" s="137">
        <v>0</v>
      </c>
      <c r="AA50" s="137">
        <v>9</v>
      </c>
      <c r="AB50" s="137">
        <v>79189</v>
      </c>
      <c r="AC50" s="137">
        <v>174928</v>
      </c>
      <c r="AD50" s="137">
        <v>214339</v>
      </c>
      <c r="AE50" s="137">
        <v>18126816</v>
      </c>
      <c r="AF50" s="137">
        <v>16260686</v>
      </c>
      <c r="AG50" s="137">
        <v>1866130</v>
      </c>
      <c r="AH50" s="137">
        <v>26224</v>
      </c>
      <c r="AI50" s="137">
        <v>196137</v>
      </c>
      <c r="AJ50" s="127">
        <f t="shared" si="19"/>
        <v>1037970</v>
      </c>
      <c r="AK50" s="137">
        <v>681089</v>
      </c>
      <c r="AL50" s="137">
        <v>356881</v>
      </c>
      <c r="AM50" s="137">
        <v>30388890</v>
      </c>
      <c r="AN50" s="127">
        <f t="shared" si="20"/>
        <v>3219344</v>
      </c>
      <c r="AO50" s="137">
        <v>174215</v>
      </c>
      <c r="AP50" s="137">
        <v>1149291</v>
      </c>
      <c r="AQ50" s="127"/>
      <c r="AR50" s="137">
        <v>1895838</v>
      </c>
      <c r="AS50" s="137">
        <v>860148</v>
      </c>
      <c r="AT50" s="137">
        <v>93075</v>
      </c>
      <c r="AU50" s="137">
        <v>0</v>
      </c>
      <c r="AV50" s="137">
        <v>5709826</v>
      </c>
      <c r="AW50" s="137">
        <v>3159239</v>
      </c>
      <c r="AX50" s="137">
        <v>548371</v>
      </c>
      <c r="AY50" s="137">
        <v>65833</v>
      </c>
      <c r="AZ50" s="137">
        <v>2550587</v>
      </c>
      <c r="BA50" s="137">
        <v>40334</v>
      </c>
      <c r="BB50" s="137">
        <v>533410</v>
      </c>
      <c r="BC50" s="137">
        <v>409531</v>
      </c>
      <c r="BD50" s="137">
        <v>847457</v>
      </c>
      <c r="BE50" s="137">
        <v>2279711</v>
      </c>
      <c r="BF50" s="137">
        <v>676000</v>
      </c>
      <c r="BG50" s="137">
        <v>50000</v>
      </c>
      <c r="BH50" s="137">
        <v>1216939</v>
      </c>
      <c r="BI50" s="137">
        <v>0</v>
      </c>
      <c r="BJ50" s="137">
        <v>1829985</v>
      </c>
      <c r="BK50" s="137">
        <v>937147</v>
      </c>
      <c r="BL50" s="137">
        <v>1005983</v>
      </c>
      <c r="BM50" s="137">
        <v>25451</v>
      </c>
      <c r="BN50" s="137">
        <v>0</v>
      </c>
      <c r="BO50" s="137">
        <v>0</v>
      </c>
      <c r="BP50" s="137">
        <v>7808330</v>
      </c>
      <c r="BQ50" s="127">
        <f t="shared" si="5"/>
        <v>5721517</v>
      </c>
      <c r="BR50" s="127">
        <f t="shared" si="6"/>
        <v>2086813</v>
      </c>
      <c r="BS50" s="137">
        <v>0</v>
      </c>
      <c r="BT50" s="137">
        <v>22619</v>
      </c>
      <c r="BU50" s="137">
        <v>2064194</v>
      </c>
      <c r="BV50" s="137">
        <v>0</v>
      </c>
      <c r="BW50" s="137">
        <v>97997417</v>
      </c>
      <c r="BX50" s="127"/>
      <c r="BY50" s="137">
        <v>15953782</v>
      </c>
      <c r="BZ50" s="137">
        <v>8917040</v>
      </c>
      <c r="CA50" s="137">
        <v>986874</v>
      </c>
      <c r="CB50" s="137">
        <v>2844521</v>
      </c>
      <c r="CC50" s="137">
        <v>12105543</v>
      </c>
      <c r="CD50" s="137">
        <v>4728396</v>
      </c>
      <c r="CE50" s="137">
        <v>65078</v>
      </c>
      <c r="CF50" s="137">
        <v>6409620</v>
      </c>
      <c r="CG50" s="137">
        <v>239863</v>
      </c>
      <c r="CH50" s="137">
        <v>41776</v>
      </c>
      <c r="CI50" s="137">
        <v>620110</v>
      </c>
      <c r="CJ50" s="137">
        <v>6051817</v>
      </c>
      <c r="CK50" s="137">
        <v>5718995</v>
      </c>
      <c r="CL50" s="127">
        <f t="shared" si="21"/>
        <v>332822</v>
      </c>
      <c r="CM50" s="137">
        <v>12621637</v>
      </c>
      <c r="CN50" s="137">
        <v>7695906</v>
      </c>
      <c r="CO50" s="129"/>
      <c r="CP50" s="137">
        <v>1931600</v>
      </c>
      <c r="CQ50" s="137">
        <v>634650</v>
      </c>
      <c r="CR50" s="137">
        <v>26823306</v>
      </c>
      <c r="CS50" s="137">
        <v>2158136</v>
      </c>
      <c r="CT50" s="137">
        <v>20215949</v>
      </c>
      <c r="CU50" s="137">
        <v>1611123</v>
      </c>
      <c r="CV50" s="127">
        <f t="shared" si="8"/>
        <v>1583724</v>
      </c>
      <c r="CW50" s="137">
        <v>354152</v>
      </c>
      <c r="CX50" s="137">
        <v>1229572</v>
      </c>
      <c r="CY50" s="127">
        <f t="shared" si="9"/>
        <v>0</v>
      </c>
      <c r="CZ50" s="137">
        <v>0</v>
      </c>
      <c r="DA50" s="137">
        <v>0</v>
      </c>
      <c r="DB50" s="127">
        <f t="shared" si="10"/>
        <v>1255170</v>
      </c>
      <c r="DC50" s="137">
        <v>343112</v>
      </c>
      <c r="DD50" s="137">
        <v>912058</v>
      </c>
      <c r="DE50" s="137">
        <v>9411849</v>
      </c>
      <c r="DF50" s="137">
        <v>3965827</v>
      </c>
      <c r="DG50" s="137">
        <v>5338020</v>
      </c>
      <c r="DH50" s="137">
        <v>9915</v>
      </c>
      <c r="DI50" s="137">
        <v>0</v>
      </c>
      <c r="DJ50" s="137">
        <v>553482</v>
      </c>
      <c r="DK50" s="137">
        <v>2203917</v>
      </c>
      <c r="DL50" s="137">
        <v>1003029</v>
      </c>
      <c r="DM50" s="137">
        <v>571</v>
      </c>
      <c r="DN50" s="137">
        <v>1200317</v>
      </c>
      <c r="DO50" s="137">
        <v>339749</v>
      </c>
      <c r="DP50" s="137">
        <v>336749</v>
      </c>
      <c r="DQ50" s="137">
        <v>76168</v>
      </c>
      <c r="DR50" s="137">
        <v>0</v>
      </c>
      <c r="DS50" s="137">
        <v>21414</v>
      </c>
      <c r="DT50" s="137">
        <v>0</v>
      </c>
      <c r="DU50" s="137">
        <v>0</v>
      </c>
      <c r="DV50" s="137">
        <v>9002831</v>
      </c>
      <c r="DW50" s="137">
        <v>1294300</v>
      </c>
      <c r="DX50" s="127">
        <f t="shared" si="11"/>
        <v>0</v>
      </c>
      <c r="DY50" s="137">
        <v>0</v>
      </c>
      <c r="DZ50" s="137">
        <v>2899798</v>
      </c>
      <c r="EA50" s="137">
        <v>0</v>
      </c>
      <c r="EB50" s="137">
        <v>1865362</v>
      </c>
      <c r="EC50" s="127">
        <v>0</v>
      </c>
      <c r="ED50" s="137">
        <v>2826587</v>
      </c>
      <c r="EE50" s="137">
        <v>0</v>
      </c>
      <c r="EF50" s="137">
        <v>95723977</v>
      </c>
      <c r="EG50" s="127"/>
      <c r="EH50" s="137">
        <v>2273440</v>
      </c>
      <c r="EI50" s="137">
        <v>1132712</v>
      </c>
      <c r="EJ50" s="137">
        <v>1140728</v>
      </c>
      <c r="EK50" s="137">
        <v>162984</v>
      </c>
      <c r="EL50" s="137">
        <v>490013</v>
      </c>
      <c r="EM50" s="127"/>
      <c r="EN50" s="129">
        <f>SUM(EN40:EN49)</f>
        <v>175459</v>
      </c>
      <c r="EO50" s="129">
        <f>SUM(EO40:EO49)</f>
        <v>178811</v>
      </c>
      <c r="EP50" s="137">
        <v>1219854</v>
      </c>
      <c r="EQ50" s="137">
        <v>446365</v>
      </c>
      <c r="ER50" s="127">
        <f t="shared" si="12"/>
        <v>5438572</v>
      </c>
      <c r="ES50" s="137">
        <v>46359718</v>
      </c>
      <c r="ET50" s="137">
        <v>-9165380</v>
      </c>
      <c r="EU50" s="137">
        <v>14652876</v>
      </c>
      <c r="EV50" s="137">
        <v>8241539</v>
      </c>
      <c r="EW50" s="137">
        <v>3542151</v>
      </c>
      <c r="EX50" s="137">
        <v>5962372</v>
      </c>
      <c r="EY50" s="127">
        <f t="shared" si="13"/>
        <v>1797727</v>
      </c>
      <c r="EZ50" s="137">
        <v>1757629</v>
      </c>
      <c r="FA50" s="137">
        <v>251827</v>
      </c>
      <c r="FB50" s="137">
        <v>1455400</v>
      </c>
      <c r="FC50" s="137">
        <v>40098</v>
      </c>
      <c r="FD50" s="137">
        <v>0</v>
      </c>
      <c r="FE50" s="137">
        <v>9706017</v>
      </c>
      <c r="FF50" s="137">
        <v>7732109</v>
      </c>
      <c r="FG50" s="137">
        <v>2114103</v>
      </c>
      <c r="FH50" s="137">
        <v>7478975</v>
      </c>
      <c r="FI50" s="127">
        <f t="shared" si="14"/>
        <v>2379431</v>
      </c>
      <c r="FJ50" s="137">
        <v>53251658</v>
      </c>
      <c r="FK50" s="396">
        <f t="shared" si="15"/>
        <v>2.4</v>
      </c>
      <c r="FL50" s="137">
        <v>44645641</v>
      </c>
      <c r="FM50" s="137">
        <v>2065122</v>
      </c>
      <c r="FN50" s="137">
        <v>22331318</v>
      </c>
      <c r="FO50" s="137">
        <v>37635577</v>
      </c>
      <c r="FP50" s="397">
        <v>0.60499999999999998</v>
      </c>
      <c r="FQ50" s="398">
        <v>95</v>
      </c>
      <c r="FR50" s="399">
        <v>30.7</v>
      </c>
      <c r="FS50" s="398">
        <v>7.5</v>
      </c>
      <c r="FT50" s="398">
        <v>12.8</v>
      </c>
      <c r="FU50" s="399">
        <v>16.7</v>
      </c>
      <c r="FV50" s="398">
        <v>11.4</v>
      </c>
      <c r="FW50" s="400">
        <v>14.4</v>
      </c>
      <c r="FX50" s="402">
        <v>6.6</v>
      </c>
      <c r="FY50" s="137">
        <v>64667576</v>
      </c>
      <c r="FZ50" s="402">
        <f t="shared" si="16"/>
        <v>138.4</v>
      </c>
      <c r="GA50" s="137">
        <v>34607290</v>
      </c>
      <c r="GB50" s="137">
        <v>13978305</v>
      </c>
      <c r="GC50" s="137">
        <v>2126567</v>
      </c>
      <c r="GD50" s="137">
        <v>18502418</v>
      </c>
      <c r="GE50" s="129">
        <v>0</v>
      </c>
      <c r="GF50" s="129">
        <f>SUM(GF40:GF49)</f>
        <v>748</v>
      </c>
      <c r="GG50" s="403">
        <f>IF(GF50=0,"-",ROUND(GF50/GY50*100,1))</f>
        <v>5.8</v>
      </c>
      <c r="GH50" s="398">
        <v>97.3</v>
      </c>
      <c r="GI50" s="398">
        <v>20.9</v>
      </c>
      <c r="GJ50" s="398">
        <v>95.3</v>
      </c>
      <c r="GK50" s="129">
        <f>SUM(GK40:GK49)</f>
        <v>1471</v>
      </c>
      <c r="GL50" s="404" t="s">
        <v>646</v>
      </c>
      <c r="GM50" s="404" t="s">
        <v>646</v>
      </c>
      <c r="GN50" s="405" t="s">
        <v>646</v>
      </c>
      <c r="GO50" s="404" t="s">
        <v>646</v>
      </c>
      <c r="GP50" s="404" t="s">
        <v>646</v>
      </c>
      <c r="GQ50" s="405" t="s">
        <v>646</v>
      </c>
      <c r="GR50" s="399">
        <v>6.6</v>
      </c>
      <c r="GS50" s="406" t="s">
        <v>646</v>
      </c>
      <c r="GT50" s="406" t="s">
        <v>646</v>
      </c>
      <c r="GU50" s="406" t="s">
        <v>646</v>
      </c>
      <c r="GV50" s="404" t="s">
        <v>646</v>
      </c>
      <c r="GW50" s="407"/>
      <c r="GX50" s="128">
        <f t="shared" si="17"/>
        <v>46711</v>
      </c>
      <c r="GY50" s="408">
        <f>GX44+GX48</f>
        <v>12864</v>
      </c>
      <c r="GZ50" s="408"/>
      <c r="HA50" s="408"/>
      <c r="HB50" s="408"/>
      <c r="HC50" s="408"/>
      <c r="HD50" s="408"/>
      <c r="HE50" s="408"/>
      <c r="HF50" s="408"/>
      <c r="HG50" s="408"/>
      <c r="HH50" s="408"/>
      <c r="HI50" s="408"/>
      <c r="HJ50" s="408"/>
      <c r="HK50" s="408"/>
      <c r="HL50" s="408"/>
      <c r="HM50" s="408"/>
      <c r="HN50" s="408"/>
      <c r="HO50" s="408"/>
      <c r="HP50" s="408"/>
      <c r="HQ50" s="408"/>
      <c r="HR50" s="408"/>
      <c r="HS50" s="408"/>
      <c r="HT50" s="408"/>
      <c r="HU50" s="408"/>
      <c r="HV50" s="408"/>
      <c r="HW50" s="408"/>
      <c r="HX50" s="408"/>
    </row>
    <row r="51" spans="1:232" s="112" customFormat="1" x14ac:dyDescent="0.15">
      <c r="A51" s="126"/>
      <c r="B51" s="126" t="s">
        <v>91</v>
      </c>
      <c r="C51" s="137">
        <v>788085902</v>
      </c>
      <c r="D51" s="127">
        <f t="shared" si="0"/>
        <v>308232883</v>
      </c>
      <c r="E51" s="137">
        <v>8759864</v>
      </c>
      <c r="F51" s="137">
        <v>299473019</v>
      </c>
      <c r="G51" s="127">
        <f t="shared" si="1"/>
        <v>47252531</v>
      </c>
      <c r="H51" s="137">
        <v>13659285</v>
      </c>
      <c r="I51" s="137">
        <v>33593246</v>
      </c>
      <c r="J51" s="137">
        <v>319705420</v>
      </c>
      <c r="K51" s="137">
        <v>130019613</v>
      </c>
      <c r="L51" s="137">
        <v>142429571</v>
      </c>
      <c r="M51" s="137">
        <v>41884023</v>
      </c>
      <c r="N51" s="137">
        <v>32103676</v>
      </c>
      <c r="O51" s="137">
        <v>64625338</v>
      </c>
      <c r="P51" s="137">
        <v>34665465</v>
      </c>
      <c r="Q51" s="137">
        <v>29959873</v>
      </c>
      <c r="R51" s="137">
        <v>9590267</v>
      </c>
      <c r="S51" s="127"/>
      <c r="T51" s="127">
        <f t="shared" si="18"/>
        <v>123703454</v>
      </c>
      <c r="U51" s="137">
        <v>1065184</v>
      </c>
      <c r="V51" s="137">
        <v>4513701</v>
      </c>
      <c r="W51" s="137">
        <v>5112299</v>
      </c>
      <c r="X51" s="137">
        <v>106615609</v>
      </c>
      <c r="Y51" s="137">
        <v>738555</v>
      </c>
      <c r="Z51" s="137">
        <v>0</v>
      </c>
      <c r="AA51" s="137">
        <v>213</v>
      </c>
      <c r="AB51" s="137">
        <v>1560901</v>
      </c>
      <c r="AC51" s="137">
        <v>4096992</v>
      </c>
      <c r="AD51" s="137">
        <v>5593297</v>
      </c>
      <c r="AE51" s="137">
        <v>210289498</v>
      </c>
      <c r="AF51" s="137">
        <v>197849887</v>
      </c>
      <c r="AG51" s="137">
        <v>12439483</v>
      </c>
      <c r="AH51" s="137">
        <v>739690</v>
      </c>
      <c r="AI51" s="137">
        <v>11623406</v>
      </c>
      <c r="AJ51" s="127">
        <f t="shared" si="19"/>
        <v>28506484</v>
      </c>
      <c r="AK51" s="137">
        <v>20457642</v>
      </c>
      <c r="AL51" s="137">
        <v>8048842</v>
      </c>
      <c r="AM51" s="137">
        <v>1051745367</v>
      </c>
      <c r="AN51" s="127">
        <f t="shared" si="20"/>
        <v>266874414</v>
      </c>
      <c r="AO51" s="137">
        <v>151111414</v>
      </c>
      <c r="AP51" s="137">
        <v>52525938</v>
      </c>
      <c r="AQ51" s="127"/>
      <c r="AR51" s="137">
        <v>63237062</v>
      </c>
      <c r="AS51" s="137">
        <v>23304322</v>
      </c>
      <c r="AT51" s="137">
        <v>135904</v>
      </c>
      <c r="AU51" s="137">
        <v>271647</v>
      </c>
      <c r="AV51" s="137">
        <v>166591604</v>
      </c>
      <c r="AW51" s="137">
        <v>110801508</v>
      </c>
      <c r="AX51" s="137">
        <v>21848205</v>
      </c>
      <c r="AY51" s="137">
        <v>2326707</v>
      </c>
      <c r="AZ51" s="137">
        <v>55790096</v>
      </c>
      <c r="BA51" s="137">
        <v>2850045</v>
      </c>
      <c r="BB51" s="137">
        <v>11538769</v>
      </c>
      <c r="BC51" s="137">
        <v>8954367</v>
      </c>
      <c r="BD51" s="137">
        <v>14507147</v>
      </c>
      <c r="BE51" s="137">
        <v>46256984</v>
      </c>
      <c r="BF51" s="137">
        <v>14848055</v>
      </c>
      <c r="BG51" s="137">
        <v>2383022</v>
      </c>
      <c r="BH51" s="137">
        <v>26634592</v>
      </c>
      <c r="BI51" s="137">
        <v>120426</v>
      </c>
      <c r="BJ51" s="137">
        <v>37026960</v>
      </c>
      <c r="BK51" s="137">
        <v>21188715</v>
      </c>
      <c r="BL51" s="137">
        <v>42090447</v>
      </c>
      <c r="BM51" s="137">
        <v>11874374</v>
      </c>
      <c r="BN51" s="137">
        <v>142913</v>
      </c>
      <c r="BO51" s="137">
        <v>6579580</v>
      </c>
      <c r="BP51" s="137">
        <v>148338514</v>
      </c>
      <c r="BQ51" s="127">
        <f t="shared" si="5"/>
        <v>90122179</v>
      </c>
      <c r="BR51" s="127">
        <f t="shared" si="6"/>
        <v>58216335</v>
      </c>
      <c r="BS51" s="137">
        <v>0</v>
      </c>
      <c r="BT51" s="137">
        <v>2871656</v>
      </c>
      <c r="BU51" s="137">
        <v>55344679</v>
      </c>
      <c r="BV51" s="137">
        <v>0</v>
      </c>
      <c r="BW51" s="137">
        <v>2696499437</v>
      </c>
      <c r="BX51" s="127"/>
      <c r="BY51" s="137">
        <v>325821793</v>
      </c>
      <c r="BZ51" s="137">
        <v>207170931</v>
      </c>
      <c r="CA51" s="137">
        <v>17721840</v>
      </c>
      <c r="CB51" s="137">
        <v>40770800</v>
      </c>
      <c r="CC51" s="137">
        <v>650663669</v>
      </c>
      <c r="CD51" s="137">
        <v>153495527</v>
      </c>
      <c r="CE51" s="137">
        <v>2652238</v>
      </c>
      <c r="CF51" s="137">
        <v>269813396</v>
      </c>
      <c r="CG51" s="137">
        <v>196713871</v>
      </c>
      <c r="CH51" s="137">
        <v>5600147</v>
      </c>
      <c r="CI51" s="137">
        <v>22375255</v>
      </c>
      <c r="CJ51" s="137">
        <v>157367769</v>
      </c>
      <c r="CK51" s="137">
        <v>149056147</v>
      </c>
      <c r="CL51" s="127">
        <f t="shared" si="21"/>
        <v>8311622</v>
      </c>
      <c r="CM51" s="137">
        <v>272565335</v>
      </c>
      <c r="CN51" s="137">
        <v>175176645</v>
      </c>
      <c r="CO51" s="129"/>
      <c r="CP51" s="137">
        <v>40819837</v>
      </c>
      <c r="CQ51" s="137">
        <v>15965558</v>
      </c>
      <c r="CR51" s="137">
        <v>747103600</v>
      </c>
      <c r="CS51" s="137">
        <v>37743504</v>
      </c>
      <c r="CT51" s="137">
        <v>580853474</v>
      </c>
      <c r="CU51" s="137">
        <v>78551659</v>
      </c>
      <c r="CV51" s="127">
        <f t="shared" si="8"/>
        <v>71102847</v>
      </c>
      <c r="CW51" s="137">
        <v>47162279</v>
      </c>
      <c r="CX51" s="137">
        <v>23940568</v>
      </c>
      <c r="CY51" s="127">
        <f t="shared" si="9"/>
        <v>12343424</v>
      </c>
      <c r="CZ51" s="137">
        <v>9384227</v>
      </c>
      <c r="DA51" s="137">
        <v>2959197</v>
      </c>
      <c r="DB51" s="127">
        <f t="shared" si="10"/>
        <v>52821108</v>
      </c>
      <c r="DC51" s="137">
        <v>35857505</v>
      </c>
      <c r="DD51" s="137">
        <v>16963603</v>
      </c>
      <c r="DE51" s="137">
        <v>199233942</v>
      </c>
      <c r="DF51" s="137">
        <v>86963431</v>
      </c>
      <c r="DG51" s="137">
        <v>102569526</v>
      </c>
      <c r="DH51" s="137">
        <v>2051076</v>
      </c>
      <c r="DI51" s="137">
        <v>7263757</v>
      </c>
      <c r="DJ51" s="137">
        <v>1261041</v>
      </c>
      <c r="DK51" s="137">
        <v>60851332</v>
      </c>
      <c r="DL51" s="137">
        <v>20514856</v>
      </c>
      <c r="DM51" s="137">
        <v>4503910</v>
      </c>
      <c r="DN51" s="137">
        <v>35832566</v>
      </c>
      <c r="DO51" s="137">
        <v>6181814</v>
      </c>
      <c r="DP51" s="137">
        <v>6178814</v>
      </c>
      <c r="DQ51" s="137">
        <v>444241</v>
      </c>
      <c r="DR51" s="137">
        <v>1244433</v>
      </c>
      <c r="DS51" s="137">
        <v>11839721</v>
      </c>
      <c r="DT51" s="137">
        <v>0</v>
      </c>
      <c r="DU51" s="137">
        <v>0</v>
      </c>
      <c r="DV51" s="137">
        <v>202084472</v>
      </c>
      <c r="DW51" s="137">
        <v>1320038</v>
      </c>
      <c r="DX51" s="127">
        <f t="shared" si="11"/>
        <v>0</v>
      </c>
      <c r="DY51" s="137">
        <v>0</v>
      </c>
      <c r="DZ51" s="137">
        <v>73733549</v>
      </c>
      <c r="EA51" s="137">
        <v>40176</v>
      </c>
      <c r="EB51" s="137">
        <v>54042442</v>
      </c>
      <c r="EC51" s="127">
        <v>0</v>
      </c>
      <c r="ED51" s="137">
        <v>72379254</v>
      </c>
      <c r="EE51" s="137">
        <v>0</v>
      </c>
      <c r="EF51" s="137">
        <v>2650940046</v>
      </c>
      <c r="EG51" s="127"/>
      <c r="EH51" s="137">
        <v>45559391</v>
      </c>
      <c r="EI51" s="137">
        <v>19694854</v>
      </c>
      <c r="EJ51" s="137">
        <v>25864537</v>
      </c>
      <c r="EK51" s="137">
        <v>1673226</v>
      </c>
      <c r="EL51" s="137">
        <v>9352739</v>
      </c>
      <c r="EM51" s="127"/>
      <c r="EN51" s="129">
        <f>EN39+EN50</f>
        <v>5261334</v>
      </c>
      <c r="EO51" s="129">
        <f>EO39+EO50</f>
        <v>5268088</v>
      </c>
      <c r="EP51" s="137">
        <v>24260274</v>
      </c>
      <c r="EQ51" s="137">
        <v>7706376</v>
      </c>
      <c r="ER51" s="127">
        <f t="shared" si="12"/>
        <v>117070596</v>
      </c>
      <c r="ES51" s="137">
        <v>1138273755</v>
      </c>
      <c r="ET51" s="137">
        <v>-206242244</v>
      </c>
      <c r="EU51" s="137">
        <v>296546780</v>
      </c>
      <c r="EV51" s="137">
        <v>189581089</v>
      </c>
      <c r="EW51" s="137">
        <v>177722428</v>
      </c>
      <c r="EX51" s="137">
        <v>155299377</v>
      </c>
      <c r="EY51" s="127">
        <f t="shared" si="13"/>
        <v>42093563</v>
      </c>
      <c r="EZ51" s="137">
        <v>41921840</v>
      </c>
      <c r="FA51" s="137">
        <v>4163588</v>
      </c>
      <c r="FB51" s="137">
        <v>37321095</v>
      </c>
      <c r="FC51" s="137">
        <v>171723</v>
      </c>
      <c r="FD51" s="137">
        <v>0</v>
      </c>
      <c r="FE51" s="137">
        <v>209750826</v>
      </c>
      <c r="FF51" s="137">
        <v>198232011</v>
      </c>
      <c r="FG51" s="137">
        <v>37021374</v>
      </c>
      <c r="FH51" s="137">
        <v>158282962</v>
      </c>
      <c r="FI51" s="127">
        <f t="shared" si="14"/>
        <v>64829423</v>
      </c>
      <c r="FJ51" s="137">
        <v>1302757370</v>
      </c>
      <c r="FK51" s="396">
        <f t="shared" si="15"/>
        <v>2.2999999999999998</v>
      </c>
      <c r="FL51" s="137">
        <v>1062306105</v>
      </c>
      <c r="FM51" s="137">
        <v>61712388</v>
      </c>
      <c r="FN51" s="137">
        <v>675310203</v>
      </c>
      <c r="FO51" s="137">
        <v>872520914</v>
      </c>
      <c r="FP51" s="397">
        <v>0.77200000000000002</v>
      </c>
      <c r="FQ51" s="398">
        <v>95.7</v>
      </c>
      <c r="FR51" s="399">
        <v>25.7</v>
      </c>
      <c r="FS51" s="398">
        <v>15.5</v>
      </c>
      <c r="FT51" s="398">
        <v>13.5</v>
      </c>
      <c r="FU51" s="399">
        <v>15</v>
      </c>
      <c r="FV51" s="398">
        <v>11.6</v>
      </c>
      <c r="FW51" s="400">
        <v>13</v>
      </c>
      <c r="FX51" s="402">
        <v>3.4</v>
      </c>
      <c r="FY51" s="137">
        <v>1561121258</v>
      </c>
      <c r="FZ51" s="402">
        <f t="shared" si="16"/>
        <v>138.9</v>
      </c>
      <c r="GA51" s="137">
        <v>421938509</v>
      </c>
      <c r="GB51" s="137">
        <v>173638540</v>
      </c>
      <c r="GC51" s="137">
        <v>30836214</v>
      </c>
      <c r="GD51" s="137">
        <v>217463755</v>
      </c>
      <c r="GE51" s="129">
        <v>0</v>
      </c>
      <c r="GF51" s="129">
        <f>GF39+GF50</f>
        <v>23124</v>
      </c>
      <c r="GG51" s="403">
        <f>IF(GF51=0,"-",ROUND(GF51/GY51*100,1))</f>
        <v>6.2</v>
      </c>
      <c r="GH51" s="398">
        <v>98.6</v>
      </c>
      <c r="GI51" s="398">
        <v>36.9</v>
      </c>
      <c r="GJ51" s="398">
        <v>97.5</v>
      </c>
      <c r="GK51" s="129">
        <f>GK39+GK50</f>
        <v>31378</v>
      </c>
      <c r="GL51" s="404" t="s">
        <v>646</v>
      </c>
      <c r="GM51" s="404" t="s">
        <v>646</v>
      </c>
      <c r="GN51" s="405" t="s">
        <v>646</v>
      </c>
      <c r="GO51" s="404" t="s">
        <v>646</v>
      </c>
      <c r="GP51" s="404" t="s">
        <v>646</v>
      </c>
      <c r="GQ51" s="405" t="s">
        <v>646</v>
      </c>
      <c r="GR51" s="399">
        <v>3.4</v>
      </c>
      <c r="GS51" s="406" t="s">
        <v>646</v>
      </c>
      <c r="GT51" s="406" t="s">
        <v>646</v>
      </c>
      <c r="GU51" s="406" t="s">
        <v>646</v>
      </c>
      <c r="GV51" s="404" t="s">
        <v>646</v>
      </c>
      <c r="GW51" s="407"/>
      <c r="GX51" s="128">
        <f t="shared" si="17"/>
        <v>1124018</v>
      </c>
      <c r="GY51" s="408">
        <f>GY39+GY50</f>
        <v>373754</v>
      </c>
      <c r="GZ51" s="408"/>
      <c r="HA51" s="408"/>
      <c r="HB51" s="408"/>
      <c r="HC51" s="408"/>
      <c r="HD51" s="408"/>
      <c r="HE51" s="408"/>
      <c r="HF51" s="408"/>
      <c r="HG51" s="408"/>
      <c r="HH51" s="408"/>
      <c r="HI51" s="408"/>
      <c r="HJ51" s="408"/>
      <c r="HK51" s="408"/>
      <c r="HL51" s="408"/>
      <c r="HM51" s="408"/>
      <c r="HN51" s="408"/>
      <c r="HO51" s="408"/>
      <c r="HP51" s="408"/>
      <c r="HQ51" s="408"/>
      <c r="HR51" s="408"/>
      <c r="HS51" s="408"/>
      <c r="HT51" s="408"/>
      <c r="HU51" s="408"/>
      <c r="HV51" s="408"/>
      <c r="HW51" s="408"/>
      <c r="HX51" s="408"/>
    </row>
    <row r="52" spans="1:232" s="108" customFormat="1" x14ac:dyDescent="0.15">
      <c r="B52" s="108" t="s">
        <v>0</v>
      </c>
      <c r="C52" s="138">
        <v>1683989713</v>
      </c>
      <c r="D52" s="109">
        <f t="shared" si="0"/>
        <v>589758121</v>
      </c>
      <c r="E52" s="138">
        <v>14728343</v>
      </c>
      <c r="F52" s="138">
        <v>575029778</v>
      </c>
      <c r="G52" s="109">
        <f t="shared" si="1"/>
        <v>165595523</v>
      </c>
      <c r="H52" s="138">
        <v>34944491</v>
      </c>
      <c r="I52" s="138">
        <v>130651032</v>
      </c>
      <c r="J52" s="138">
        <v>676641165</v>
      </c>
      <c r="K52" s="138">
        <v>267081138</v>
      </c>
      <c r="L52" s="138">
        <v>310412795</v>
      </c>
      <c r="M52" s="138">
        <v>92645048</v>
      </c>
      <c r="N52" s="138">
        <v>63861234</v>
      </c>
      <c r="O52" s="138">
        <v>135608710</v>
      </c>
      <c r="P52" s="138">
        <v>69073125</v>
      </c>
      <c r="Q52" s="138">
        <v>66535585</v>
      </c>
      <c r="R52" s="138">
        <v>17540084</v>
      </c>
      <c r="S52" s="109"/>
      <c r="T52" s="109">
        <f t="shared" si="18"/>
        <v>228240561</v>
      </c>
      <c r="U52" s="138">
        <v>1778838</v>
      </c>
      <c r="V52" s="138">
        <v>7543684</v>
      </c>
      <c r="W52" s="138">
        <v>8556164</v>
      </c>
      <c r="X52" s="138">
        <v>190278382</v>
      </c>
      <c r="Y52" s="138">
        <v>868857</v>
      </c>
      <c r="Z52" s="138">
        <v>0</v>
      </c>
      <c r="AA52" s="138">
        <v>408</v>
      </c>
      <c r="AB52" s="138">
        <v>3279789</v>
      </c>
      <c r="AC52" s="138">
        <v>15934439</v>
      </c>
      <c r="AD52" s="138">
        <v>10074169</v>
      </c>
      <c r="AE52" s="138">
        <v>277851937</v>
      </c>
      <c r="AF52" s="138">
        <v>263464964</v>
      </c>
      <c r="AG52" s="138">
        <v>14386622</v>
      </c>
      <c r="AH52" s="138">
        <v>1859182</v>
      </c>
      <c r="AI52" s="138">
        <v>19133365</v>
      </c>
      <c r="AJ52" s="109">
        <f t="shared" si="19"/>
        <v>101592235</v>
      </c>
      <c r="AK52" s="138">
        <v>84173170</v>
      </c>
      <c r="AL52" s="138">
        <v>17419065</v>
      </c>
      <c r="AM52" s="138">
        <v>2020111148</v>
      </c>
      <c r="AN52" s="109">
        <f t="shared" si="20"/>
        <v>633642768</v>
      </c>
      <c r="AO52" s="138">
        <v>384347068</v>
      </c>
      <c r="AP52" s="138">
        <v>121880969</v>
      </c>
      <c r="AQ52" s="109"/>
      <c r="AR52" s="138">
        <v>127414731</v>
      </c>
      <c r="AS52" s="138">
        <v>49858833</v>
      </c>
      <c r="AT52" s="138">
        <v>135904</v>
      </c>
      <c r="AU52" s="138">
        <v>281403</v>
      </c>
      <c r="AV52" s="138">
        <v>301279106</v>
      </c>
      <c r="AW52" s="138">
        <v>208896175</v>
      </c>
      <c r="AX52" s="138">
        <v>27100229</v>
      </c>
      <c r="AY52" s="138">
        <v>3912992</v>
      </c>
      <c r="AZ52" s="138">
        <v>92382931</v>
      </c>
      <c r="BA52" s="138">
        <v>3041060</v>
      </c>
      <c r="BB52" s="138">
        <v>42682707</v>
      </c>
      <c r="BC52" s="138">
        <v>19275956</v>
      </c>
      <c r="BD52" s="138">
        <v>16042383</v>
      </c>
      <c r="BE52" s="138">
        <v>57906600</v>
      </c>
      <c r="BF52" s="138">
        <v>14850619</v>
      </c>
      <c r="BG52" s="138">
        <v>3795117</v>
      </c>
      <c r="BH52" s="138">
        <v>33256505</v>
      </c>
      <c r="BI52" s="138">
        <v>120426</v>
      </c>
      <c r="BJ52" s="138">
        <v>47233286</v>
      </c>
      <c r="BK52" s="138">
        <v>25301143</v>
      </c>
      <c r="BL52" s="138">
        <v>104280917</v>
      </c>
      <c r="BM52" s="138">
        <v>21787138</v>
      </c>
      <c r="BN52" s="138">
        <v>567527</v>
      </c>
      <c r="BO52" s="138">
        <v>16869276</v>
      </c>
      <c r="BP52" s="138">
        <v>301518414</v>
      </c>
      <c r="BQ52" s="109">
        <f t="shared" si="5"/>
        <v>182557579</v>
      </c>
      <c r="BR52" s="109">
        <f t="shared" si="6"/>
        <v>118960835</v>
      </c>
      <c r="BS52" s="138">
        <v>0</v>
      </c>
      <c r="BT52" s="138">
        <v>3876756</v>
      </c>
      <c r="BU52" s="138">
        <v>115084079</v>
      </c>
      <c r="BV52" s="138">
        <v>0</v>
      </c>
      <c r="BW52" s="138">
        <v>5249102728</v>
      </c>
      <c r="BX52" s="109"/>
      <c r="BY52" s="138">
        <v>716955992</v>
      </c>
      <c r="BZ52" s="138">
        <v>490809166</v>
      </c>
      <c r="CA52" s="138">
        <v>42286201</v>
      </c>
      <c r="CB52" s="138">
        <v>59492827</v>
      </c>
      <c r="CC52" s="138">
        <v>1375011527</v>
      </c>
      <c r="CD52" s="138">
        <v>302207111</v>
      </c>
      <c r="CE52" s="138">
        <v>6686103</v>
      </c>
      <c r="CF52" s="138">
        <v>495886386</v>
      </c>
      <c r="CG52" s="138">
        <v>507262569</v>
      </c>
      <c r="CH52" s="138">
        <v>24877179</v>
      </c>
      <c r="CI52" s="138">
        <v>38078759</v>
      </c>
      <c r="CJ52" s="138">
        <v>391443187</v>
      </c>
      <c r="CK52" s="138">
        <v>360636761</v>
      </c>
      <c r="CL52" s="109">
        <f t="shared" si="21"/>
        <v>30806426</v>
      </c>
      <c r="CM52" s="138">
        <v>457500903</v>
      </c>
      <c r="CN52" s="138">
        <v>293341085</v>
      </c>
      <c r="CO52" s="110"/>
      <c r="CP52" s="138">
        <v>72158392</v>
      </c>
      <c r="CQ52" s="138">
        <v>42558850</v>
      </c>
      <c r="CR52" s="138">
        <v>1293579251</v>
      </c>
      <c r="CS52" s="138">
        <v>45476661</v>
      </c>
      <c r="CT52" s="138">
        <v>1031086451</v>
      </c>
      <c r="CU52" s="138">
        <v>243472774</v>
      </c>
      <c r="CV52" s="109">
        <f t="shared" si="8"/>
        <v>110025062</v>
      </c>
      <c r="CW52" s="138">
        <v>54200696</v>
      </c>
      <c r="CX52" s="138">
        <v>55824366</v>
      </c>
      <c r="CY52" s="109">
        <f t="shared" si="9"/>
        <v>12343424</v>
      </c>
      <c r="CZ52" s="138">
        <v>9384227</v>
      </c>
      <c r="DA52" s="138">
        <v>2959197</v>
      </c>
      <c r="DB52" s="109">
        <f t="shared" si="10"/>
        <v>85663949</v>
      </c>
      <c r="DC52" s="138">
        <v>42500631</v>
      </c>
      <c r="DD52" s="138">
        <v>43163318</v>
      </c>
      <c r="DE52" s="138">
        <v>420257162</v>
      </c>
      <c r="DF52" s="138">
        <v>210708596</v>
      </c>
      <c r="DG52" s="138">
        <v>196347520</v>
      </c>
      <c r="DH52" s="138">
        <v>2051076</v>
      </c>
      <c r="DI52" s="138">
        <v>7606053</v>
      </c>
      <c r="DJ52" s="138">
        <v>1615636</v>
      </c>
      <c r="DK52" s="138">
        <v>76150575</v>
      </c>
      <c r="DL52" s="138">
        <v>31358212</v>
      </c>
      <c r="DM52" s="138">
        <v>4529900</v>
      </c>
      <c r="DN52" s="138">
        <v>40262463</v>
      </c>
      <c r="DO52" s="138">
        <v>8236736</v>
      </c>
      <c r="DP52" s="138">
        <v>7358586</v>
      </c>
      <c r="DQ52" s="138">
        <v>444241</v>
      </c>
      <c r="DR52" s="138">
        <v>1244433</v>
      </c>
      <c r="DS52" s="138">
        <v>22051458</v>
      </c>
      <c r="DT52" s="138">
        <v>0</v>
      </c>
      <c r="DU52" s="138">
        <v>0</v>
      </c>
      <c r="DV52" s="138">
        <v>367798609</v>
      </c>
      <c r="DW52" s="138">
        <v>1320038</v>
      </c>
      <c r="DX52" s="109">
        <f t="shared" si="11"/>
        <v>12548713</v>
      </c>
      <c r="DY52" s="138">
        <v>12548713</v>
      </c>
      <c r="DZ52" s="138">
        <v>124051881</v>
      </c>
      <c r="EA52" s="138">
        <v>40176</v>
      </c>
      <c r="EB52" s="138">
        <v>96693222</v>
      </c>
      <c r="EC52" s="109">
        <v>0</v>
      </c>
      <c r="ED52" s="138">
        <v>130010147</v>
      </c>
      <c r="EE52" s="138">
        <v>0</v>
      </c>
      <c r="EF52" s="138">
        <v>5173159886</v>
      </c>
      <c r="EG52" s="109"/>
      <c r="EH52" s="138">
        <v>75942842</v>
      </c>
      <c r="EI52" s="138">
        <v>35607440</v>
      </c>
      <c r="EJ52" s="138">
        <v>40335402</v>
      </c>
      <c r="EK52" s="138">
        <v>12031665</v>
      </c>
      <c r="EL52" s="138">
        <v>30551970</v>
      </c>
      <c r="EM52" s="109"/>
      <c r="EN52" s="110">
        <f>EN6+EN7+EN51</f>
        <v>8842523</v>
      </c>
      <c r="EO52" s="110">
        <f>EO6+EO7+EO51</f>
        <v>8839532</v>
      </c>
      <c r="EP52" s="138">
        <v>25977873</v>
      </c>
      <c r="EQ52" s="138">
        <v>29489349</v>
      </c>
      <c r="ER52" s="109">
        <f t="shared" si="12"/>
        <v>225799150</v>
      </c>
      <c r="ES52" s="138">
        <v>2237322567</v>
      </c>
      <c r="ET52" s="138">
        <v>-380601104</v>
      </c>
      <c r="EU52" s="138">
        <v>625099530</v>
      </c>
      <c r="EV52" s="138">
        <v>424096642</v>
      </c>
      <c r="EW52" s="138">
        <v>386807688</v>
      </c>
      <c r="EX52" s="138">
        <v>362219266</v>
      </c>
      <c r="EY52" s="109">
        <f t="shared" si="13"/>
        <v>103163461</v>
      </c>
      <c r="EZ52" s="138">
        <v>102949243</v>
      </c>
      <c r="FA52" s="138">
        <v>13870693</v>
      </c>
      <c r="FB52" s="138">
        <v>88346628</v>
      </c>
      <c r="FC52" s="138">
        <v>214218</v>
      </c>
      <c r="FD52" s="138">
        <v>0</v>
      </c>
      <c r="FE52" s="138">
        <v>343696689</v>
      </c>
      <c r="FF52" s="138">
        <v>342089802</v>
      </c>
      <c r="FG52" s="138">
        <v>40229874</v>
      </c>
      <c r="FH52" s="138">
        <v>289886564</v>
      </c>
      <c r="FI52" s="109">
        <f t="shared" si="14"/>
        <v>92938206</v>
      </c>
      <c r="FJ52" s="138">
        <v>2545901206</v>
      </c>
      <c r="FK52" s="409">
        <f t="shared" si="15"/>
        <v>1.8</v>
      </c>
      <c r="FL52" s="138">
        <v>2092420846</v>
      </c>
      <c r="FM52" s="138">
        <v>121452678</v>
      </c>
      <c r="FN52" s="138">
        <v>1433847281</v>
      </c>
      <c r="FO52" s="138">
        <v>1696830874</v>
      </c>
      <c r="FP52" s="410">
        <v>0.84</v>
      </c>
      <c r="FQ52" s="411">
        <v>95.7</v>
      </c>
      <c r="FR52" s="142">
        <v>27.5</v>
      </c>
      <c r="FS52" s="411">
        <v>16.8</v>
      </c>
      <c r="FT52" s="411">
        <v>16</v>
      </c>
      <c r="FU52" s="142">
        <v>12.6</v>
      </c>
      <c r="FV52" s="411">
        <v>9.6999999999999993</v>
      </c>
      <c r="FW52" s="412">
        <v>11.3</v>
      </c>
      <c r="FX52" s="414">
        <v>3.4</v>
      </c>
      <c r="FY52" s="138">
        <v>3770305468</v>
      </c>
      <c r="FZ52" s="414">
        <f t="shared" si="16"/>
        <v>170.3</v>
      </c>
      <c r="GA52" s="138">
        <v>696621986</v>
      </c>
      <c r="GB52" s="138">
        <v>348585004</v>
      </c>
      <c r="GC52" s="138">
        <v>31826711</v>
      </c>
      <c r="GD52" s="138">
        <v>316210271</v>
      </c>
      <c r="GE52" s="110">
        <v>0</v>
      </c>
      <c r="GF52" s="119">
        <f>SUM(GF6:GF7,GF51)</f>
        <v>23124</v>
      </c>
      <c r="GG52" s="120">
        <f>IF(GF52=0,"-",ROUND(GF52/GY52*100,1))</f>
        <v>6.2</v>
      </c>
      <c r="GH52" s="411">
        <v>98.3</v>
      </c>
      <c r="GI52" s="411">
        <v>37.700000000000003</v>
      </c>
      <c r="GJ52" s="411">
        <v>97.4</v>
      </c>
      <c r="GK52" s="110">
        <f>GK6+GK7+GK51</f>
        <v>73382</v>
      </c>
      <c r="GL52" s="415" t="s">
        <v>646</v>
      </c>
      <c r="GM52" s="415" t="s">
        <v>646</v>
      </c>
      <c r="GN52" s="416" t="s">
        <v>646</v>
      </c>
      <c r="GO52" s="415" t="s">
        <v>646</v>
      </c>
      <c r="GP52" s="415" t="s">
        <v>646</v>
      </c>
      <c r="GQ52" s="416" t="s">
        <v>646</v>
      </c>
      <c r="GR52" s="417">
        <v>3.4</v>
      </c>
      <c r="GS52" s="418" t="s">
        <v>646</v>
      </c>
      <c r="GT52" s="418" t="s">
        <v>646</v>
      </c>
      <c r="GU52" s="124" t="s">
        <v>646</v>
      </c>
      <c r="GV52" s="415" t="s">
        <v>646</v>
      </c>
      <c r="GX52" s="111">
        <f t="shared" si="17"/>
        <v>2213874</v>
      </c>
      <c r="GY52" s="419">
        <f>GY51</f>
        <v>373754</v>
      </c>
    </row>
    <row r="53" spans="1:232" x14ac:dyDescent="0.15">
      <c r="S53" s="75"/>
      <c r="CK53" s="89"/>
      <c r="CL53" s="84"/>
      <c r="EK53" s="420">
        <f>EK8+EK10+EK12+EK14+EK23+EK24+EK25+EK27+EK31+EK32+EK37+EK43+EK44+EK45+EK47+EK48</f>
        <v>2553970</v>
      </c>
      <c r="FL53" s="394">
        <f>FL44+FL47+FL45</f>
        <v>15706242</v>
      </c>
      <c r="FM53" s="394">
        <f>FM44+FM47+FM45</f>
        <v>631086</v>
      </c>
      <c r="GG53" s="89" t="s">
        <v>647</v>
      </c>
      <c r="GK53" s="130"/>
      <c r="GY53" s="101" t="s">
        <v>648</v>
      </c>
      <c r="GZ53" s="101"/>
    </row>
    <row r="54" spans="1:232" x14ac:dyDescent="0.15">
      <c r="S54" s="75"/>
      <c r="CK54" s="89"/>
      <c r="CL54" s="84"/>
      <c r="EK54" s="420">
        <f>EK51-EK53</f>
        <v>-880744</v>
      </c>
      <c r="EO54" s="423"/>
      <c r="FL54" s="394">
        <f>FL39+FL53</f>
        <v>1033366706</v>
      </c>
      <c r="FM54" s="394">
        <f>FM39+FM53</f>
        <v>60278352</v>
      </c>
      <c r="GF54" s="89" t="s">
        <v>649</v>
      </c>
      <c r="GH54" s="388"/>
      <c r="GI54" s="388"/>
      <c r="GJ54" s="388"/>
      <c r="GK54" s="272"/>
    </row>
    <row r="55" spans="1:232" x14ac:dyDescent="0.15">
      <c r="S55" s="75"/>
      <c r="CK55" s="89"/>
      <c r="CL55" s="84"/>
      <c r="GK55" s="130"/>
    </row>
    <row r="56" spans="1:232" x14ac:dyDescent="0.15">
      <c r="B56" s="89" t="s">
        <v>650</v>
      </c>
      <c r="C56" s="89" t="str">
        <f t="shared" ref="C56:AB56" si="22">IF(SUM(C8:C38)=C39,"ok","エラー")</f>
        <v>ok</v>
      </c>
      <c r="D56" s="89" t="str">
        <f t="shared" si="22"/>
        <v>ok</v>
      </c>
      <c r="E56" s="89" t="str">
        <f t="shared" si="22"/>
        <v>ok</v>
      </c>
      <c r="F56" s="89" t="str">
        <f t="shared" si="22"/>
        <v>ok</v>
      </c>
      <c r="G56" s="89" t="str">
        <f t="shared" si="22"/>
        <v>ok</v>
      </c>
      <c r="H56" s="89" t="str">
        <f t="shared" si="22"/>
        <v>ok</v>
      </c>
      <c r="I56" s="89" t="str">
        <f t="shared" si="22"/>
        <v>ok</v>
      </c>
      <c r="J56" s="89" t="str">
        <f t="shared" si="22"/>
        <v>ok</v>
      </c>
      <c r="K56" s="89" t="str">
        <f t="shared" si="22"/>
        <v>ok</v>
      </c>
      <c r="L56" s="89" t="str">
        <f t="shared" si="22"/>
        <v>ok</v>
      </c>
      <c r="M56" s="89" t="str">
        <f t="shared" si="22"/>
        <v>ok</v>
      </c>
      <c r="N56" s="89" t="str">
        <f t="shared" si="22"/>
        <v>ok</v>
      </c>
      <c r="O56" s="89" t="str">
        <f t="shared" si="22"/>
        <v>ok</v>
      </c>
      <c r="P56" s="89" t="str">
        <f t="shared" si="22"/>
        <v>ok</v>
      </c>
      <c r="Q56" s="89" t="str">
        <f t="shared" si="22"/>
        <v>ok</v>
      </c>
      <c r="R56" s="89" t="str">
        <f t="shared" si="22"/>
        <v>ok</v>
      </c>
      <c r="S56" s="75" t="str">
        <f t="shared" si="22"/>
        <v>ok</v>
      </c>
      <c r="T56" s="89" t="str">
        <f t="shared" si="22"/>
        <v>ok</v>
      </c>
      <c r="U56" s="89" t="str">
        <f t="shared" si="22"/>
        <v>ok</v>
      </c>
      <c r="V56" s="89" t="str">
        <f t="shared" si="22"/>
        <v>ok</v>
      </c>
      <c r="W56" s="89" t="str">
        <f t="shared" si="22"/>
        <v>ok</v>
      </c>
      <c r="X56" s="89" t="str">
        <f t="shared" si="22"/>
        <v>ok</v>
      </c>
      <c r="Y56" s="89" t="str">
        <f t="shared" si="22"/>
        <v>ok</v>
      </c>
      <c r="Z56" s="89" t="str">
        <f t="shared" si="22"/>
        <v>ok</v>
      </c>
      <c r="AA56" s="89" t="str">
        <f t="shared" si="22"/>
        <v>ok</v>
      </c>
      <c r="AB56" s="89" t="str">
        <f t="shared" si="22"/>
        <v>ok</v>
      </c>
      <c r="AD56" s="89" t="str">
        <f t="shared" ref="AD56:BI56" si="23">IF(SUM(AD8:AD38)=AD39,"ok","エラー")</f>
        <v>ok</v>
      </c>
      <c r="AE56" s="89" t="str">
        <f t="shared" si="23"/>
        <v>ok</v>
      </c>
      <c r="AF56" s="89" t="str">
        <f t="shared" si="23"/>
        <v>ok</v>
      </c>
      <c r="AG56" s="89" t="str">
        <f t="shared" si="23"/>
        <v>ok</v>
      </c>
      <c r="AH56" s="89" t="str">
        <f t="shared" si="23"/>
        <v>ok</v>
      </c>
      <c r="AI56" s="89" t="str">
        <f t="shared" si="23"/>
        <v>ok</v>
      </c>
      <c r="AJ56" s="89" t="str">
        <f t="shared" si="23"/>
        <v>ok</v>
      </c>
      <c r="AK56" s="89" t="str">
        <f t="shared" si="23"/>
        <v>ok</v>
      </c>
      <c r="AL56" s="89" t="str">
        <f t="shared" si="23"/>
        <v>ok</v>
      </c>
      <c r="AM56" s="89" t="str">
        <f t="shared" si="23"/>
        <v>ok</v>
      </c>
      <c r="AN56" s="89" t="str">
        <f t="shared" si="23"/>
        <v>ok</v>
      </c>
      <c r="AO56" s="89" t="str">
        <f t="shared" si="23"/>
        <v>ok</v>
      </c>
      <c r="AP56" s="89" t="str">
        <f t="shared" si="23"/>
        <v>ok</v>
      </c>
      <c r="AQ56" s="89" t="str">
        <f t="shared" si="23"/>
        <v>ok</v>
      </c>
      <c r="AR56" s="89" t="str">
        <f t="shared" si="23"/>
        <v>ok</v>
      </c>
      <c r="AS56" s="89" t="str">
        <f t="shared" si="23"/>
        <v>ok</v>
      </c>
      <c r="AT56" s="89" t="str">
        <f t="shared" si="23"/>
        <v>ok</v>
      </c>
      <c r="AU56" s="89" t="str">
        <f t="shared" si="23"/>
        <v>ok</v>
      </c>
      <c r="AV56" s="89" t="str">
        <f t="shared" si="23"/>
        <v>ok</v>
      </c>
      <c r="AW56" s="89" t="str">
        <f t="shared" si="23"/>
        <v>ok</v>
      </c>
      <c r="AX56" s="89" t="str">
        <f t="shared" si="23"/>
        <v>ok</v>
      </c>
      <c r="AY56" s="89" t="str">
        <f t="shared" si="23"/>
        <v>ok</v>
      </c>
      <c r="AZ56" s="89" t="str">
        <f t="shared" si="23"/>
        <v>ok</v>
      </c>
      <c r="BA56" s="89" t="str">
        <f t="shared" si="23"/>
        <v>ok</v>
      </c>
      <c r="BB56" s="89" t="str">
        <f t="shared" si="23"/>
        <v>ok</v>
      </c>
      <c r="BC56" s="89" t="str">
        <f t="shared" si="23"/>
        <v>ok</v>
      </c>
      <c r="BD56" s="89" t="str">
        <f t="shared" si="23"/>
        <v>ok</v>
      </c>
      <c r="BE56" s="89" t="str">
        <f t="shared" si="23"/>
        <v>ok</v>
      </c>
      <c r="BF56" s="89" t="str">
        <f t="shared" si="23"/>
        <v>ok</v>
      </c>
      <c r="BG56" s="89" t="str">
        <f t="shared" si="23"/>
        <v>ok</v>
      </c>
      <c r="BH56" s="89" t="str">
        <f t="shared" si="23"/>
        <v>ok</v>
      </c>
      <c r="BI56" s="89" t="str">
        <f t="shared" si="23"/>
        <v>ok</v>
      </c>
      <c r="BJ56" s="89" t="str">
        <f t="shared" ref="BJ56:CK56" si="24">IF(SUM(BJ8:BJ38)=BJ39,"ok","エラー")</f>
        <v>ok</v>
      </c>
      <c r="BK56" s="89" t="str">
        <f t="shared" si="24"/>
        <v>ok</v>
      </c>
      <c r="BL56" s="89" t="str">
        <f t="shared" si="24"/>
        <v>ok</v>
      </c>
      <c r="BM56" s="89" t="str">
        <f t="shared" si="24"/>
        <v>ok</v>
      </c>
      <c r="BN56" s="89" t="str">
        <f t="shared" si="24"/>
        <v>ok</v>
      </c>
      <c r="BO56" s="89" t="str">
        <f t="shared" si="24"/>
        <v>ok</v>
      </c>
      <c r="BP56" s="89" t="str">
        <f t="shared" si="24"/>
        <v>ok</v>
      </c>
      <c r="BQ56" s="89" t="str">
        <f t="shared" si="24"/>
        <v>ok</v>
      </c>
      <c r="BR56" s="89" t="str">
        <f t="shared" si="24"/>
        <v>ok</v>
      </c>
      <c r="BS56" s="89" t="str">
        <f t="shared" si="24"/>
        <v>ok</v>
      </c>
      <c r="BT56" s="89" t="str">
        <f t="shared" si="24"/>
        <v>ok</v>
      </c>
      <c r="BU56" s="89" t="str">
        <f t="shared" si="24"/>
        <v>ok</v>
      </c>
      <c r="BV56" s="89" t="str">
        <f t="shared" si="24"/>
        <v>ok</v>
      </c>
      <c r="BW56" s="89" t="str">
        <f t="shared" si="24"/>
        <v>ok</v>
      </c>
      <c r="BX56" s="89" t="str">
        <f t="shared" si="24"/>
        <v>ok</v>
      </c>
      <c r="BY56" s="89" t="str">
        <f t="shared" si="24"/>
        <v>ok</v>
      </c>
      <c r="BZ56" s="89" t="str">
        <f t="shared" si="24"/>
        <v>ok</v>
      </c>
      <c r="CA56" s="89" t="str">
        <f t="shared" si="24"/>
        <v>ok</v>
      </c>
      <c r="CB56" s="89" t="str">
        <f t="shared" si="24"/>
        <v>ok</v>
      </c>
      <c r="CC56" s="89" t="str">
        <f t="shared" si="24"/>
        <v>ok</v>
      </c>
      <c r="CD56" s="89" t="str">
        <f t="shared" si="24"/>
        <v>ok</v>
      </c>
      <c r="CE56" s="89" t="str">
        <f t="shared" si="24"/>
        <v>ok</v>
      </c>
      <c r="CF56" s="89" t="str">
        <f t="shared" si="24"/>
        <v>ok</v>
      </c>
      <c r="CG56" s="89" t="str">
        <f t="shared" si="24"/>
        <v>ok</v>
      </c>
      <c r="CH56" s="89" t="str">
        <f t="shared" si="24"/>
        <v>ok</v>
      </c>
      <c r="CI56" s="89" t="str">
        <f t="shared" si="24"/>
        <v>ok</v>
      </c>
      <c r="CJ56" s="89" t="str">
        <f t="shared" si="24"/>
        <v>ok</v>
      </c>
      <c r="CK56" s="89" t="str">
        <f t="shared" si="24"/>
        <v>ok</v>
      </c>
      <c r="CL56" s="84"/>
      <c r="CM56" s="89" t="str">
        <f t="shared" ref="CM56:DR56" si="25">IF(SUM(CM8:CM38)=CM39,"ok","エラー")</f>
        <v>ok</v>
      </c>
      <c r="CN56" s="89" t="str">
        <f t="shared" si="25"/>
        <v>ok</v>
      </c>
      <c r="CO56" s="89" t="str">
        <f t="shared" si="25"/>
        <v>ok</v>
      </c>
      <c r="CP56" s="89" t="str">
        <f t="shared" si="25"/>
        <v>ok</v>
      </c>
      <c r="CQ56" s="89" t="str">
        <f t="shared" si="25"/>
        <v>ok</v>
      </c>
      <c r="CR56" s="89" t="str">
        <f t="shared" si="25"/>
        <v>ok</v>
      </c>
      <c r="CS56" s="89" t="str">
        <f t="shared" si="25"/>
        <v>ok</v>
      </c>
      <c r="CT56" s="89" t="str">
        <f t="shared" si="25"/>
        <v>ok</v>
      </c>
      <c r="CU56" s="89" t="str">
        <f t="shared" si="25"/>
        <v>ok</v>
      </c>
      <c r="CV56" s="89" t="str">
        <f t="shared" si="25"/>
        <v>ok</v>
      </c>
      <c r="CW56" s="89" t="str">
        <f t="shared" si="25"/>
        <v>ok</v>
      </c>
      <c r="CX56" s="89" t="str">
        <f t="shared" si="25"/>
        <v>ok</v>
      </c>
      <c r="CY56" s="89" t="str">
        <f t="shared" si="25"/>
        <v>ok</v>
      </c>
      <c r="CZ56" s="89" t="str">
        <f t="shared" si="25"/>
        <v>ok</v>
      </c>
      <c r="DA56" s="89" t="str">
        <f t="shared" si="25"/>
        <v>ok</v>
      </c>
      <c r="DB56" s="89" t="str">
        <f t="shared" si="25"/>
        <v>ok</v>
      </c>
      <c r="DC56" s="89" t="str">
        <f t="shared" si="25"/>
        <v>ok</v>
      </c>
      <c r="DD56" s="89" t="str">
        <f t="shared" si="25"/>
        <v>ok</v>
      </c>
      <c r="DE56" s="89" t="str">
        <f t="shared" si="25"/>
        <v>ok</v>
      </c>
      <c r="DF56" s="89" t="str">
        <f t="shared" si="25"/>
        <v>ok</v>
      </c>
      <c r="DG56" s="89" t="str">
        <f t="shared" si="25"/>
        <v>ok</v>
      </c>
      <c r="DH56" s="89" t="str">
        <f t="shared" si="25"/>
        <v>ok</v>
      </c>
      <c r="DI56" s="89" t="str">
        <f t="shared" si="25"/>
        <v>ok</v>
      </c>
      <c r="DJ56" s="89" t="str">
        <f t="shared" si="25"/>
        <v>ok</v>
      </c>
      <c r="DK56" s="89" t="str">
        <f t="shared" si="25"/>
        <v>ok</v>
      </c>
      <c r="DL56" s="89" t="str">
        <f t="shared" si="25"/>
        <v>ok</v>
      </c>
      <c r="DM56" s="89" t="str">
        <f t="shared" si="25"/>
        <v>ok</v>
      </c>
      <c r="DN56" s="89" t="str">
        <f t="shared" si="25"/>
        <v>ok</v>
      </c>
      <c r="DO56" s="89" t="str">
        <f t="shared" si="25"/>
        <v>ok</v>
      </c>
      <c r="DP56" s="89" t="str">
        <f t="shared" si="25"/>
        <v>ok</v>
      </c>
      <c r="DQ56" s="89" t="str">
        <f t="shared" si="25"/>
        <v>ok</v>
      </c>
      <c r="DR56" s="89" t="str">
        <f t="shared" si="25"/>
        <v>ok</v>
      </c>
      <c r="DS56" s="89" t="str">
        <f t="shared" ref="DS56:EX56" si="26">IF(SUM(DS8:DS38)=DS39,"ok","エラー")</f>
        <v>ok</v>
      </c>
      <c r="DT56" s="89" t="str">
        <f t="shared" si="26"/>
        <v>ok</v>
      </c>
      <c r="DU56" s="89" t="str">
        <f t="shared" si="26"/>
        <v>ok</v>
      </c>
      <c r="DV56" s="89" t="str">
        <f t="shared" si="26"/>
        <v>ok</v>
      </c>
      <c r="DW56" s="89" t="str">
        <f t="shared" si="26"/>
        <v>ok</v>
      </c>
      <c r="DX56" s="89" t="str">
        <f t="shared" si="26"/>
        <v>ok</v>
      </c>
      <c r="DY56" s="89" t="str">
        <f t="shared" si="26"/>
        <v>ok</v>
      </c>
      <c r="DZ56" s="89" t="str">
        <f t="shared" si="26"/>
        <v>ok</v>
      </c>
      <c r="EA56" s="89" t="str">
        <f t="shared" si="26"/>
        <v>ok</v>
      </c>
      <c r="EB56" s="89" t="str">
        <f t="shared" si="26"/>
        <v>ok</v>
      </c>
      <c r="EC56" s="89" t="str">
        <f t="shared" si="26"/>
        <v>ok</v>
      </c>
      <c r="ED56" s="89" t="str">
        <f t="shared" si="26"/>
        <v>ok</v>
      </c>
      <c r="EE56" s="89" t="str">
        <f t="shared" si="26"/>
        <v>ok</v>
      </c>
      <c r="EF56" s="89" t="str">
        <f t="shared" si="26"/>
        <v>ok</v>
      </c>
      <c r="EG56" s="89" t="str">
        <f t="shared" si="26"/>
        <v>ok</v>
      </c>
      <c r="EH56" s="89" t="str">
        <f t="shared" si="26"/>
        <v>ok</v>
      </c>
      <c r="EI56" s="89" t="str">
        <f t="shared" si="26"/>
        <v>ok</v>
      </c>
      <c r="EJ56" s="89" t="str">
        <f t="shared" si="26"/>
        <v>ok</v>
      </c>
      <c r="EK56" s="89" t="str">
        <f t="shared" si="26"/>
        <v>ok</v>
      </c>
      <c r="EL56" s="89" t="str">
        <f t="shared" si="26"/>
        <v>ok</v>
      </c>
      <c r="EM56" s="89" t="str">
        <f t="shared" si="26"/>
        <v>ok</v>
      </c>
      <c r="EN56" s="89" t="str">
        <f t="shared" si="26"/>
        <v>ok</v>
      </c>
      <c r="EO56" s="89" t="str">
        <f t="shared" si="26"/>
        <v>ok</v>
      </c>
      <c r="EP56" s="89" t="str">
        <f t="shared" si="26"/>
        <v>ok</v>
      </c>
      <c r="EQ56" s="89" t="str">
        <f t="shared" si="26"/>
        <v>ok</v>
      </c>
      <c r="ER56" s="89" t="str">
        <f t="shared" si="26"/>
        <v>ok</v>
      </c>
      <c r="ES56" s="89" t="str">
        <f t="shared" si="26"/>
        <v>ok</v>
      </c>
      <c r="ET56" s="89" t="str">
        <f t="shared" si="26"/>
        <v>ok</v>
      </c>
      <c r="EU56" s="89" t="str">
        <f t="shared" si="26"/>
        <v>ok</v>
      </c>
      <c r="EV56" s="89" t="str">
        <f t="shared" si="26"/>
        <v>ok</v>
      </c>
      <c r="EW56" s="89" t="str">
        <f t="shared" si="26"/>
        <v>ok</v>
      </c>
      <c r="EX56" s="89" t="str">
        <f t="shared" si="26"/>
        <v>ok</v>
      </c>
      <c r="EY56" s="89" t="str">
        <f t="shared" ref="EY56:FJ56" si="27">IF(SUM(EY8:EY38)=EY39,"ok","エラー")</f>
        <v>ok</v>
      </c>
      <c r="EZ56" s="89" t="str">
        <f t="shared" si="27"/>
        <v>ok</v>
      </c>
      <c r="FA56" s="89" t="str">
        <f t="shared" si="27"/>
        <v>ok</v>
      </c>
      <c r="FB56" s="89" t="str">
        <f t="shared" si="27"/>
        <v>ok</v>
      </c>
      <c r="FC56" s="89" t="str">
        <f t="shared" si="27"/>
        <v>ok</v>
      </c>
      <c r="FD56" s="89" t="str">
        <f t="shared" si="27"/>
        <v>ok</v>
      </c>
      <c r="FE56" s="89" t="str">
        <f t="shared" si="27"/>
        <v>ok</v>
      </c>
      <c r="FF56" s="89" t="str">
        <f t="shared" si="27"/>
        <v>ok</v>
      </c>
      <c r="FG56" s="89" t="str">
        <f t="shared" si="27"/>
        <v>ok</v>
      </c>
      <c r="FH56" s="89" t="str">
        <f t="shared" si="27"/>
        <v>ok</v>
      </c>
      <c r="FI56" s="89" t="str">
        <f t="shared" si="27"/>
        <v>ok</v>
      </c>
      <c r="FJ56" s="89" t="str">
        <f t="shared" si="27"/>
        <v>ok</v>
      </c>
      <c r="FL56" s="89" t="str">
        <f>IF(SUM(FL8:FL38)=FL39,"ok","エラー")</f>
        <v>ok</v>
      </c>
      <c r="FM56" s="89" t="str">
        <f>IF(SUM(FM8:FM38)=FM39,"ok","エラー")</f>
        <v>ok</v>
      </c>
      <c r="FN56" s="89" t="str">
        <f>IF(SUM(FN8:FN38)=FN39,"ok","エラー")</f>
        <v>ok</v>
      </c>
      <c r="FO56" s="89" t="str">
        <f>IF(SUM(FO8:FO38)=FO39,"ok","エラー")</f>
        <v>ok</v>
      </c>
      <c r="FY56" s="89" t="str">
        <f>IF(SUM(FY8:FY38)=FY39,"ok","エラー")</f>
        <v>ok</v>
      </c>
      <c r="GA56" s="89" t="str">
        <f t="shared" ref="GA56:GF56" si="28">IF(SUM(GA8:GA38)=GA39,"ok","エラー")</f>
        <v>ok</v>
      </c>
      <c r="GB56" s="89" t="str">
        <f t="shared" si="28"/>
        <v>ok</v>
      </c>
      <c r="GC56" s="89" t="str">
        <f t="shared" si="28"/>
        <v>ok</v>
      </c>
      <c r="GD56" s="89" t="str">
        <f t="shared" si="28"/>
        <v>ok</v>
      </c>
      <c r="GE56" s="89" t="str">
        <f t="shared" si="28"/>
        <v>ok</v>
      </c>
      <c r="GF56" s="89" t="str">
        <f t="shared" si="28"/>
        <v>ok</v>
      </c>
      <c r="GK56" s="130" t="str">
        <f>IF(SUM(GK8:GK38)=GK39,"ok","エラー")</f>
        <v>ok</v>
      </c>
    </row>
    <row r="57" spans="1:232" x14ac:dyDescent="0.15">
      <c r="B57" s="89" t="s">
        <v>650</v>
      </c>
      <c r="C57" s="89" t="str">
        <f t="shared" ref="C57:AB57" si="29">IF(SUM(C40:C49)=C50,"ok","エラー")</f>
        <v>ok</v>
      </c>
      <c r="D57" s="89" t="str">
        <f t="shared" si="29"/>
        <v>ok</v>
      </c>
      <c r="E57" s="89" t="str">
        <f t="shared" si="29"/>
        <v>ok</v>
      </c>
      <c r="F57" s="89" t="str">
        <f t="shared" si="29"/>
        <v>ok</v>
      </c>
      <c r="G57" s="89" t="str">
        <f t="shared" si="29"/>
        <v>ok</v>
      </c>
      <c r="H57" s="89" t="str">
        <f t="shared" si="29"/>
        <v>ok</v>
      </c>
      <c r="I57" s="89" t="str">
        <f t="shared" si="29"/>
        <v>ok</v>
      </c>
      <c r="J57" s="89" t="str">
        <f t="shared" si="29"/>
        <v>ok</v>
      </c>
      <c r="K57" s="89" t="str">
        <f t="shared" si="29"/>
        <v>ok</v>
      </c>
      <c r="L57" s="89" t="str">
        <f t="shared" si="29"/>
        <v>ok</v>
      </c>
      <c r="M57" s="89" t="str">
        <f t="shared" si="29"/>
        <v>ok</v>
      </c>
      <c r="N57" s="89" t="str">
        <f t="shared" si="29"/>
        <v>ok</v>
      </c>
      <c r="O57" s="89" t="str">
        <f t="shared" si="29"/>
        <v>ok</v>
      </c>
      <c r="P57" s="89" t="str">
        <f t="shared" si="29"/>
        <v>ok</v>
      </c>
      <c r="Q57" s="89" t="str">
        <f t="shared" si="29"/>
        <v>ok</v>
      </c>
      <c r="R57" s="89" t="str">
        <f t="shared" si="29"/>
        <v>ok</v>
      </c>
      <c r="S57" s="75" t="str">
        <f t="shared" si="29"/>
        <v>ok</v>
      </c>
      <c r="T57" s="89" t="str">
        <f t="shared" si="29"/>
        <v>ok</v>
      </c>
      <c r="U57" s="89" t="str">
        <f t="shared" si="29"/>
        <v>ok</v>
      </c>
      <c r="V57" s="89" t="str">
        <f t="shared" si="29"/>
        <v>ok</v>
      </c>
      <c r="W57" s="89" t="str">
        <f t="shared" si="29"/>
        <v>ok</v>
      </c>
      <c r="X57" s="89" t="str">
        <f t="shared" si="29"/>
        <v>ok</v>
      </c>
      <c r="Y57" s="89" t="str">
        <f t="shared" si="29"/>
        <v>ok</v>
      </c>
      <c r="Z57" s="89" t="str">
        <f t="shared" si="29"/>
        <v>ok</v>
      </c>
      <c r="AA57" s="89" t="str">
        <f t="shared" si="29"/>
        <v>ok</v>
      </c>
      <c r="AB57" s="89" t="str">
        <f t="shared" si="29"/>
        <v>ok</v>
      </c>
      <c r="AD57" s="89" t="str">
        <f t="shared" ref="AD57:BI57" si="30">IF(SUM(AD40:AD49)=AD50,"ok","エラー")</f>
        <v>ok</v>
      </c>
      <c r="AE57" s="89" t="str">
        <f t="shared" si="30"/>
        <v>ok</v>
      </c>
      <c r="AF57" s="89" t="str">
        <f t="shared" si="30"/>
        <v>ok</v>
      </c>
      <c r="AG57" s="89" t="str">
        <f t="shared" si="30"/>
        <v>ok</v>
      </c>
      <c r="AH57" s="89" t="str">
        <f t="shared" si="30"/>
        <v>ok</v>
      </c>
      <c r="AI57" s="89" t="str">
        <f t="shared" si="30"/>
        <v>ok</v>
      </c>
      <c r="AJ57" s="89" t="str">
        <f t="shared" si="30"/>
        <v>ok</v>
      </c>
      <c r="AK57" s="89" t="str">
        <f t="shared" si="30"/>
        <v>ok</v>
      </c>
      <c r="AL57" s="89" t="str">
        <f t="shared" si="30"/>
        <v>ok</v>
      </c>
      <c r="AM57" s="89" t="str">
        <f t="shared" si="30"/>
        <v>ok</v>
      </c>
      <c r="AN57" s="89" t="str">
        <f t="shared" si="30"/>
        <v>ok</v>
      </c>
      <c r="AO57" s="89" t="str">
        <f t="shared" si="30"/>
        <v>ok</v>
      </c>
      <c r="AP57" s="89" t="str">
        <f t="shared" si="30"/>
        <v>ok</v>
      </c>
      <c r="AQ57" s="89" t="str">
        <f t="shared" si="30"/>
        <v>ok</v>
      </c>
      <c r="AR57" s="89" t="str">
        <f t="shared" si="30"/>
        <v>ok</v>
      </c>
      <c r="AS57" s="89" t="str">
        <f t="shared" si="30"/>
        <v>ok</v>
      </c>
      <c r="AT57" s="89" t="str">
        <f t="shared" si="30"/>
        <v>ok</v>
      </c>
      <c r="AU57" s="89" t="str">
        <f t="shared" si="30"/>
        <v>ok</v>
      </c>
      <c r="AV57" s="89" t="str">
        <f t="shared" si="30"/>
        <v>ok</v>
      </c>
      <c r="AW57" s="89" t="str">
        <f t="shared" si="30"/>
        <v>ok</v>
      </c>
      <c r="AX57" s="89" t="str">
        <f t="shared" si="30"/>
        <v>ok</v>
      </c>
      <c r="AY57" s="89" t="str">
        <f t="shared" si="30"/>
        <v>ok</v>
      </c>
      <c r="AZ57" s="89" t="str">
        <f t="shared" si="30"/>
        <v>ok</v>
      </c>
      <c r="BA57" s="89" t="str">
        <f t="shared" si="30"/>
        <v>ok</v>
      </c>
      <c r="BB57" s="89" t="str">
        <f t="shared" si="30"/>
        <v>ok</v>
      </c>
      <c r="BC57" s="89" t="str">
        <f t="shared" si="30"/>
        <v>ok</v>
      </c>
      <c r="BD57" s="89" t="str">
        <f t="shared" si="30"/>
        <v>ok</v>
      </c>
      <c r="BE57" s="89" t="str">
        <f t="shared" si="30"/>
        <v>ok</v>
      </c>
      <c r="BF57" s="89" t="str">
        <f t="shared" si="30"/>
        <v>ok</v>
      </c>
      <c r="BG57" s="89" t="str">
        <f t="shared" si="30"/>
        <v>ok</v>
      </c>
      <c r="BH57" s="89" t="str">
        <f t="shared" si="30"/>
        <v>ok</v>
      </c>
      <c r="BI57" s="89" t="str">
        <f t="shared" si="30"/>
        <v>ok</v>
      </c>
      <c r="BJ57" s="89" t="str">
        <f t="shared" ref="BJ57:CK57" si="31">IF(SUM(BJ40:BJ49)=BJ50,"ok","エラー")</f>
        <v>ok</v>
      </c>
      <c r="BK57" s="89" t="str">
        <f t="shared" si="31"/>
        <v>ok</v>
      </c>
      <c r="BL57" s="89" t="str">
        <f t="shared" si="31"/>
        <v>ok</v>
      </c>
      <c r="BM57" s="89" t="str">
        <f t="shared" si="31"/>
        <v>ok</v>
      </c>
      <c r="BN57" s="89" t="str">
        <f t="shared" si="31"/>
        <v>ok</v>
      </c>
      <c r="BO57" s="89" t="str">
        <f t="shared" si="31"/>
        <v>ok</v>
      </c>
      <c r="BP57" s="89" t="str">
        <f t="shared" si="31"/>
        <v>ok</v>
      </c>
      <c r="BQ57" s="89" t="str">
        <f t="shared" si="31"/>
        <v>ok</v>
      </c>
      <c r="BR57" s="89" t="str">
        <f t="shared" si="31"/>
        <v>ok</v>
      </c>
      <c r="BS57" s="89" t="str">
        <f t="shared" si="31"/>
        <v>ok</v>
      </c>
      <c r="BT57" s="89" t="str">
        <f t="shared" si="31"/>
        <v>ok</v>
      </c>
      <c r="BU57" s="89" t="str">
        <f t="shared" si="31"/>
        <v>ok</v>
      </c>
      <c r="BV57" s="89" t="str">
        <f t="shared" si="31"/>
        <v>ok</v>
      </c>
      <c r="BW57" s="89" t="str">
        <f t="shared" si="31"/>
        <v>ok</v>
      </c>
      <c r="BX57" s="89" t="str">
        <f t="shared" si="31"/>
        <v>ok</v>
      </c>
      <c r="BY57" s="89" t="str">
        <f t="shared" si="31"/>
        <v>ok</v>
      </c>
      <c r="BZ57" s="89" t="str">
        <f t="shared" si="31"/>
        <v>ok</v>
      </c>
      <c r="CA57" s="89" t="str">
        <f t="shared" si="31"/>
        <v>ok</v>
      </c>
      <c r="CB57" s="89" t="str">
        <f t="shared" si="31"/>
        <v>ok</v>
      </c>
      <c r="CC57" s="89" t="str">
        <f t="shared" si="31"/>
        <v>ok</v>
      </c>
      <c r="CD57" s="89" t="str">
        <f t="shared" si="31"/>
        <v>ok</v>
      </c>
      <c r="CE57" s="89" t="str">
        <f t="shared" si="31"/>
        <v>ok</v>
      </c>
      <c r="CF57" s="89" t="str">
        <f t="shared" si="31"/>
        <v>ok</v>
      </c>
      <c r="CG57" s="89" t="str">
        <f t="shared" si="31"/>
        <v>ok</v>
      </c>
      <c r="CH57" s="89" t="str">
        <f t="shared" si="31"/>
        <v>ok</v>
      </c>
      <c r="CI57" s="89" t="str">
        <f t="shared" si="31"/>
        <v>ok</v>
      </c>
      <c r="CJ57" s="89" t="str">
        <f t="shared" si="31"/>
        <v>ok</v>
      </c>
      <c r="CK57" s="89" t="str">
        <f t="shared" si="31"/>
        <v>ok</v>
      </c>
      <c r="CL57" s="84"/>
      <c r="CM57" s="89" t="str">
        <f t="shared" ref="CM57:DR57" si="32">IF(SUM(CM40:CM49)=CM50,"ok","エラー")</f>
        <v>ok</v>
      </c>
      <c r="CN57" s="89" t="str">
        <f t="shared" si="32"/>
        <v>ok</v>
      </c>
      <c r="CO57" s="89" t="str">
        <f t="shared" si="32"/>
        <v>ok</v>
      </c>
      <c r="CP57" s="89" t="str">
        <f t="shared" si="32"/>
        <v>ok</v>
      </c>
      <c r="CQ57" s="89" t="str">
        <f t="shared" si="32"/>
        <v>ok</v>
      </c>
      <c r="CR57" s="89" t="str">
        <f t="shared" si="32"/>
        <v>ok</v>
      </c>
      <c r="CS57" s="89" t="str">
        <f t="shared" si="32"/>
        <v>ok</v>
      </c>
      <c r="CT57" s="89" t="str">
        <f t="shared" si="32"/>
        <v>ok</v>
      </c>
      <c r="CU57" s="89" t="str">
        <f t="shared" si="32"/>
        <v>ok</v>
      </c>
      <c r="CV57" s="89" t="str">
        <f t="shared" si="32"/>
        <v>ok</v>
      </c>
      <c r="CW57" s="89" t="str">
        <f t="shared" si="32"/>
        <v>ok</v>
      </c>
      <c r="CX57" s="89" t="str">
        <f t="shared" si="32"/>
        <v>ok</v>
      </c>
      <c r="CY57" s="89" t="str">
        <f t="shared" si="32"/>
        <v>ok</v>
      </c>
      <c r="CZ57" s="89" t="str">
        <f t="shared" si="32"/>
        <v>ok</v>
      </c>
      <c r="DA57" s="89" t="str">
        <f t="shared" si="32"/>
        <v>ok</v>
      </c>
      <c r="DB57" s="89" t="str">
        <f t="shared" si="32"/>
        <v>ok</v>
      </c>
      <c r="DC57" s="89" t="str">
        <f t="shared" si="32"/>
        <v>ok</v>
      </c>
      <c r="DD57" s="89" t="str">
        <f t="shared" si="32"/>
        <v>ok</v>
      </c>
      <c r="DE57" s="89" t="str">
        <f t="shared" si="32"/>
        <v>ok</v>
      </c>
      <c r="DF57" s="89" t="str">
        <f t="shared" si="32"/>
        <v>ok</v>
      </c>
      <c r="DG57" s="89" t="str">
        <f t="shared" si="32"/>
        <v>ok</v>
      </c>
      <c r="DH57" s="89" t="str">
        <f t="shared" si="32"/>
        <v>ok</v>
      </c>
      <c r="DI57" s="89" t="str">
        <f t="shared" si="32"/>
        <v>ok</v>
      </c>
      <c r="DJ57" s="89" t="str">
        <f t="shared" si="32"/>
        <v>ok</v>
      </c>
      <c r="DK57" s="89" t="str">
        <f t="shared" si="32"/>
        <v>ok</v>
      </c>
      <c r="DL57" s="89" t="str">
        <f t="shared" si="32"/>
        <v>ok</v>
      </c>
      <c r="DM57" s="89" t="str">
        <f t="shared" si="32"/>
        <v>ok</v>
      </c>
      <c r="DN57" s="89" t="str">
        <f t="shared" si="32"/>
        <v>ok</v>
      </c>
      <c r="DO57" s="89" t="str">
        <f t="shared" si="32"/>
        <v>ok</v>
      </c>
      <c r="DP57" s="89" t="str">
        <f t="shared" si="32"/>
        <v>ok</v>
      </c>
      <c r="DQ57" s="89" t="str">
        <f t="shared" si="32"/>
        <v>ok</v>
      </c>
      <c r="DR57" s="89" t="str">
        <f t="shared" si="32"/>
        <v>ok</v>
      </c>
      <c r="DS57" s="89" t="str">
        <f t="shared" ref="DS57:EX57" si="33">IF(SUM(DS40:DS49)=DS50,"ok","エラー")</f>
        <v>ok</v>
      </c>
      <c r="DT57" s="89" t="str">
        <f t="shared" si="33"/>
        <v>ok</v>
      </c>
      <c r="DU57" s="89" t="str">
        <f t="shared" si="33"/>
        <v>ok</v>
      </c>
      <c r="DV57" s="89" t="str">
        <f t="shared" si="33"/>
        <v>ok</v>
      </c>
      <c r="DW57" s="89" t="str">
        <f t="shared" si="33"/>
        <v>ok</v>
      </c>
      <c r="DX57" s="89" t="str">
        <f t="shared" si="33"/>
        <v>ok</v>
      </c>
      <c r="DY57" s="89" t="str">
        <f t="shared" si="33"/>
        <v>ok</v>
      </c>
      <c r="DZ57" s="89" t="str">
        <f t="shared" si="33"/>
        <v>ok</v>
      </c>
      <c r="EA57" s="89" t="str">
        <f t="shared" si="33"/>
        <v>ok</v>
      </c>
      <c r="EB57" s="89" t="str">
        <f t="shared" si="33"/>
        <v>ok</v>
      </c>
      <c r="EC57" s="89" t="str">
        <f t="shared" si="33"/>
        <v>ok</v>
      </c>
      <c r="ED57" s="89" t="str">
        <f t="shared" si="33"/>
        <v>ok</v>
      </c>
      <c r="EE57" s="89" t="str">
        <f t="shared" si="33"/>
        <v>ok</v>
      </c>
      <c r="EF57" s="89" t="str">
        <f t="shared" si="33"/>
        <v>ok</v>
      </c>
      <c r="EG57" s="89" t="str">
        <f t="shared" si="33"/>
        <v>ok</v>
      </c>
      <c r="EH57" s="89" t="str">
        <f t="shared" si="33"/>
        <v>ok</v>
      </c>
      <c r="EI57" s="89" t="str">
        <f t="shared" si="33"/>
        <v>ok</v>
      </c>
      <c r="EJ57" s="89" t="str">
        <f t="shared" si="33"/>
        <v>ok</v>
      </c>
      <c r="EK57" s="89" t="str">
        <f t="shared" si="33"/>
        <v>ok</v>
      </c>
      <c r="EL57" s="89" t="str">
        <f t="shared" si="33"/>
        <v>ok</v>
      </c>
      <c r="EM57" s="89" t="str">
        <f t="shared" si="33"/>
        <v>ok</v>
      </c>
      <c r="EN57" s="89" t="str">
        <f t="shared" si="33"/>
        <v>ok</v>
      </c>
      <c r="EO57" s="89" t="str">
        <f t="shared" si="33"/>
        <v>ok</v>
      </c>
      <c r="EP57" s="89" t="str">
        <f t="shared" si="33"/>
        <v>ok</v>
      </c>
      <c r="EQ57" s="89" t="str">
        <f t="shared" si="33"/>
        <v>ok</v>
      </c>
      <c r="ER57" s="89" t="str">
        <f t="shared" si="33"/>
        <v>ok</v>
      </c>
      <c r="ES57" s="89" t="str">
        <f t="shared" si="33"/>
        <v>ok</v>
      </c>
      <c r="ET57" s="89" t="str">
        <f t="shared" si="33"/>
        <v>ok</v>
      </c>
      <c r="EU57" s="89" t="str">
        <f t="shared" si="33"/>
        <v>ok</v>
      </c>
      <c r="EV57" s="89" t="str">
        <f t="shared" si="33"/>
        <v>ok</v>
      </c>
      <c r="EW57" s="89" t="str">
        <f t="shared" si="33"/>
        <v>ok</v>
      </c>
      <c r="EX57" s="89" t="str">
        <f t="shared" si="33"/>
        <v>ok</v>
      </c>
      <c r="EY57" s="89" t="str">
        <f t="shared" ref="EY57:FJ57" si="34">IF(SUM(EY40:EY49)=EY50,"ok","エラー")</f>
        <v>ok</v>
      </c>
      <c r="EZ57" s="89" t="str">
        <f t="shared" si="34"/>
        <v>ok</v>
      </c>
      <c r="FA57" s="89" t="str">
        <f t="shared" si="34"/>
        <v>ok</v>
      </c>
      <c r="FB57" s="89" t="str">
        <f t="shared" si="34"/>
        <v>ok</v>
      </c>
      <c r="FC57" s="89" t="str">
        <f t="shared" si="34"/>
        <v>ok</v>
      </c>
      <c r="FD57" s="89" t="str">
        <f t="shared" si="34"/>
        <v>ok</v>
      </c>
      <c r="FE57" s="89" t="str">
        <f t="shared" si="34"/>
        <v>ok</v>
      </c>
      <c r="FF57" s="89" t="str">
        <f t="shared" si="34"/>
        <v>ok</v>
      </c>
      <c r="FG57" s="89" t="str">
        <f t="shared" si="34"/>
        <v>ok</v>
      </c>
      <c r="FH57" s="89" t="str">
        <f t="shared" si="34"/>
        <v>ok</v>
      </c>
      <c r="FI57" s="89" t="str">
        <f t="shared" si="34"/>
        <v>ok</v>
      </c>
      <c r="FJ57" s="89" t="str">
        <f t="shared" si="34"/>
        <v>ok</v>
      </c>
      <c r="FL57" s="89" t="str">
        <f>IF(SUM(FL40:FL49)=FL50,"ok","エラー")</f>
        <v>ok</v>
      </c>
      <c r="FM57" s="89" t="str">
        <f>IF(SUM(FM40:FM49)=FM50,"ok","エラー")</f>
        <v>ok</v>
      </c>
      <c r="FN57" s="89" t="str">
        <f>IF(SUM(FN40:FN49)=FN50,"ok","エラー")</f>
        <v>ok</v>
      </c>
      <c r="FO57" s="89" t="str">
        <f>IF(SUM(FO40:FO49)=FO50,"ok","エラー")</f>
        <v>ok</v>
      </c>
      <c r="FY57" s="89" t="str">
        <f>IF(SUM(FY40:FY49)=FY50,"ok","エラー")</f>
        <v>ok</v>
      </c>
      <c r="GA57" s="89" t="str">
        <f t="shared" ref="GA57:GF57" si="35">IF(SUM(GA40:GA49)=GA50,"ok","エラー")</f>
        <v>ok</v>
      </c>
      <c r="GB57" s="89" t="str">
        <f t="shared" si="35"/>
        <v>ok</v>
      </c>
      <c r="GC57" s="89" t="str">
        <f t="shared" si="35"/>
        <v>ok</v>
      </c>
      <c r="GD57" s="89" t="str">
        <f t="shared" si="35"/>
        <v>ok</v>
      </c>
      <c r="GE57" s="89" t="str">
        <f t="shared" si="35"/>
        <v>ok</v>
      </c>
      <c r="GF57" s="89" t="str">
        <f t="shared" si="35"/>
        <v>ok</v>
      </c>
      <c r="GK57" s="130" t="str">
        <f>IF(SUM(GK40:GK49)=GK50,"ok","エラー")</f>
        <v>ok</v>
      </c>
    </row>
    <row r="58" spans="1:232" x14ac:dyDescent="0.15">
      <c r="B58" s="89" t="s">
        <v>650</v>
      </c>
      <c r="C58" s="89" t="str">
        <f t="shared" ref="C58:AB58" si="36">IF(C39+C50=C51,"ok","エラー")</f>
        <v>ok</v>
      </c>
      <c r="D58" s="89" t="str">
        <f t="shared" si="36"/>
        <v>ok</v>
      </c>
      <c r="E58" s="89" t="str">
        <f t="shared" si="36"/>
        <v>ok</v>
      </c>
      <c r="F58" s="89" t="str">
        <f t="shared" si="36"/>
        <v>ok</v>
      </c>
      <c r="G58" s="89" t="str">
        <f t="shared" si="36"/>
        <v>ok</v>
      </c>
      <c r="H58" s="89" t="str">
        <f t="shared" si="36"/>
        <v>ok</v>
      </c>
      <c r="I58" s="89" t="str">
        <f t="shared" si="36"/>
        <v>ok</v>
      </c>
      <c r="J58" s="89" t="str">
        <f t="shared" si="36"/>
        <v>ok</v>
      </c>
      <c r="K58" s="89" t="str">
        <f t="shared" si="36"/>
        <v>ok</v>
      </c>
      <c r="L58" s="89" t="str">
        <f t="shared" si="36"/>
        <v>ok</v>
      </c>
      <c r="M58" s="89" t="str">
        <f t="shared" si="36"/>
        <v>ok</v>
      </c>
      <c r="N58" s="89" t="str">
        <f t="shared" si="36"/>
        <v>ok</v>
      </c>
      <c r="O58" s="89" t="str">
        <f t="shared" si="36"/>
        <v>ok</v>
      </c>
      <c r="P58" s="89" t="str">
        <f t="shared" si="36"/>
        <v>ok</v>
      </c>
      <c r="Q58" s="89" t="str">
        <f t="shared" si="36"/>
        <v>ok</v>
      </c>
      <c r="R58" s="89" t="str">
        <f t="shared" si="36"/>
        <v>ok</v>
      </c>
      <c r="S58" s="75" t="str">
        <f t="shared" si="36"/>
        <v>ok</v>
      </c>
      <c r="T58" s="89" t="str">
        <f t="shared" si="36"/>
        <v>ok</v>
      </c>
      <c r="U58" s="89" t="str">
        <f t="shared" si="36"/>
        <v>ok</v>
      </c>
      <c r="V58" s="89" t="str">
        <f t="shared" si="36"/>
        <v>ok</v>
      </c>
      <c r="W58" s="89" t="str">
        <f t="shared" si="36"/>
        <v>ok</v>
      </c>
      <c r="X58" s="89" t="str">
        <f t="shared" si="36"/>
        <v>ok</v>
      </c>
      <c r="Y58" s="89" t="str">
        <f t="shared" si="36"/>
        <v>ok</v>
      </c>
      <c r="Z58" s="89" t="str">
        <f t="shared" si="36"/>
        <v>ok</v>
      </c>
      <c r="AA58" s="89" t="str">
        <f t="shared" si="36"/>
        <v>ok</v>
      </c>
      <c r="AB58" s="89" t="str">
        <f t="shared" si="36"/>
        <v>ok</v>
      </c>
      <c r="AD58" s="89" t="str">
        <f t="shared" ref="AD58:BI58" si="37">IF(AD39+AD50=AD51,"ok","エラー")</f>
        <v>ok</v>
      </c>
      <c r="AE58" s="89" t="str">
        <f t="shared" si="37"/>
        <v>ok</v>
      </c>
      <c r="AF58" s="89" t="str">
        <f t="shared" si="37"/>
        <v>ok</v>
      </c>
      <c r="AG58" s="89" t="str">
        <f t="shared" si="37"/>
        <v>ok</v>
      </c>
      <c r="AH58" s="89" t="str">
        <f t="shared" si="37"/>
        <v>ok</v>
      </c>
      <c r="AI58" s="89" t="str">
        <f t="shared" si="37"/>
        <v>ok</v>
      </c>
      <c r="AJ58" s="89" t="str">
        <f t="shared" si="37"/>
        <v>ok</v>
      </c>
      <c r="AK58" s="89" t="str">
        <f t="shared" si="37"/>
        <v>ok</v>
      </c>
      <c r="AL58" s="89" t="str">
        <f t="shared" si="37"/>
        <v>ok</v>
      </c>
      <c r="AM58" s="89" t="str">
        <f t="shared" si="37"/>
        <v>ok</v>
      </c>
      <c r="AN58" s="89" t="str">
        <f t="shared" si="37"/>
        <v>ok</v>
      </c>
      <c r="AO58" s="89" t="str">
        <f t="shared" si="37"/>
        <v>ok</v>
      </c>
      <c r="AP58" s="89" t="str">
        <f t="shared" si="37"/>
        <v>ok</v>
      </c>
      <c r="AQ58" s="89" t="str">
        <f t="shared" si="37"/>
        <v>ok</v>
      </c>
      <c r="AR58" s="89" t="str">
        <f t="shared" si="37"/>
        <v>ok</v>
      </c>
      <c r="AS58" s="89" t="str">
        <f t="shared" si="37"/>
        <v>ok</v>
      </c>
      <c r="AT58" s="89" t="str">
        <f t="shared" si="37"/>
        <v>ok</v>
      </c>
      <c r="AU58" s="89" t="str">
        <f t="shared" si="37"/>
        <v>ok</v>
      </c>
      <c r="AV58" s="89" t="str">
        <f t="shared" si="37"/>
        <v>ok</v>
      </c>
      <c r="AW58" s="89" t="str">
        <f t="shared" si="37"/>
        <v>ok</v>
      </c>
      <c r="AX58" s="89" t="str">
        <f t="shared" si="37"/>
        <v>ok</v>
      </c>
      <c r="AY58" s="89" t="str">
        <f t="shared" si="37"/>
        <v>ok</v>
      </c>
      <c r="AZ58" s="89" t="str">
        <f t="shared" si="37"/>
        <v>ok</v>
      </c>
      <c r="BA58" s="89" t="str">
        <f t="shared" si="37"/>
        <v>ok</v>
      </c>
      <c r="BB58" s="89" t="str">
        <f t="shared" si="37"/>
        <v>ok</v>
      </c>
      <c r="BC58" s="89" t="str">
        <f t="shared" si="37"/>
        <v>ok</v>
      </c>
      <c r="BD58" s="89" t="str">
        <f t="shared" si="37"/>
        <v>ok</v>
      </c>
      <c r="BE58" s="89" t="str">
        <f t="shared" si="37"/>
        <v>ok</v>
      </c>
      <c r="BF58" s="89" t="str">
        <f t="shared" si="37"/>
        <v>ok</v>
      </c>
      <c r="BG58" s="89" t="str">
        <f t="shared" si="37"/>
        <v>ok</v>
      </c>
      <c r="BH58" s="89" t="str">
        <f t="shared" si="37"/>
        <v>ok</v>
      </c>
      <c r="BI58" s="89" t="str">
        <f t="shared" si="37"/>
        <v>ok</v>
      </c>
      <c r="BJ58" s="89" t="str">
        <f t="shared" ref="BJ58:CK58" si="38">IF(BJ39+BJ50=BJ51,"ok","エラー")</f>
        <v>ok</v>
      </c>
      <c r="BK58" s="89" t="str">
        <f t="shared" si="38"/>
        <v>ok</v>
      </c>
      <c r="BL58" s="89" t="str">
        <f t="shared" si="38"/>
        <v>ok</v>
      </c>
      <c r="BM58" s="89" t="str">
        <f t="shared" si="38"/>
        <v>ok</v>
      </c>
      <c r="BN58" s="89" t="str">
        <f t="shared" si="38"/>
        <v>ok</v>
      </c>
      <c r="BO58" s="89" t="str">
        <f t="shared" si="38"/>
        <v>ok</v>
      </c>
      <c r="BP58" s="89" t="str">
        <f t="shared" si="38"/>
        <v>ok</v>
      </c>
      <c r="BQ58" s="89" t="str">
        <f t="shared" si="38"/>
        <v>ok</v>
      </c>
      <c r="BR58" s="89" t="str">
        <f t="shared" si="38"/>
        <v>ok</v>
      </c>
      <c r="BS58" s="89" t="str">
        <f t="shared" si="38"/>
        <v>ok</v>
      </c>
      <c r="BT58" s="89" t="str">
        <f t="shared" si="38"/>
        <v>ok</v>
      </c>
      <c r="BU58" s="89" t="str">
        <f t="shared" si="38"/>
        <v>ok</v>
      </c>
      <c r="BV58" s="89" t="str">
        <f t="shared" si="38"/>
        <v>ok</v>
      </c>
      <c r="BW58" s="89" t="str">
        <f t="shared" si="38"/>
        <v>ok</v>
      </c>
      <c r="BX58" s="89" t="str">
        <f t="shared" si="38"/>
        <v>ok</v>
      </c>
      <c r="BY58" s="89" t="str">
        <f t="shared" si="38"/>
        <v>ok</v>
      </c>
      <c r="BZ58" s="89" t="str">
        <f t="shared" si="38"/>
        <v>ok</v>
      </c>
      <c r="CA58" s="89" t="str">
        <f t="shared" si="38"/>
        <v>ok</v>
      </c>
      <c r="CB58" s="89" t="str">
        <f t="shared" si="38"/>
        <v>ok</v>
      </c>
      <c r="CC58" s="89" t="str">
        <f t="shared" si="38"/>
        <v>ok</v>
      </c>
      <c r="CD58" s="89" t="str">
        <f t="shared" si="38"/>
        <v>ok</v>
      </c>
      <c r="CE58" s="89" t="str">
        <f t="shared" si="38"/>
        <v>ok</v>
      </c>
      <c r="CF58" s="89" t="str">
        <f t="shared" si="38"/>
        <v>ok</v>
      </c>
      <c r="CG58" s="89" t="str">
        <f t="shared" si="38"/>
        <v>ok</v>
      </c>
      <c r="CH58" s="89" t="str">
        <f t="shared" si="38"/>
        <v>ok</v>
      </c>
      <c r="CI58" s="89" t="str">
        <f t="shared" si="38"/>
        <v>ok</v>
      </c>
      <c r="CJ58" s="89" t="str">
        <f t="shared" si="38"/>
        <v>ok</v>
      </c>
      <c r="CK58" s="89" t="str">
        <f t="shared" si="38"/>
        <v>ok</v>
      </c>
      <c r="CL58" s="84"/>
      <c r="CM58" s="89" t="str">
        <f t="shared" ref="CM58:DR58" si="39">IF(CM39+CM50=CM51,"ok","エラー")</f>
        <v>ok</v>
      </c>
      <c r="CN58" s="89" t="str">
        <f t="shared" si="39"/>
        <v>ok</v>
      </c>
      <c r="CO58" s="89" t="str">
        <f t="shared" si="39"/>
        <v>ok</v>
      </c>
      <c r="CP58" s="89" t="str">
        <f t="shared" si="39"/>
        <v>ok</v>
      </c>
      <c r="CQ58" s="89" t="str">
        <f t="shared" si="39"/>
        <v>ok</v>
      </c>
      <c r="CR58" s="89" t="str">
        <f t="shared" si="39"/>
        <v>ok</v>
      </c>
      <c r="CS58" s="89" t="str">
        <f t="shared" si="39"/>
        <v>ok</v>
      </c>
      <c r="CT58" s="89" t="str">
        <f t="shared" si="39"/>
        <v>ok</v>
      </c>
      <c r="CU58" s="89" t="str">
        <f t="shared" si="39"/>
        <v>ok</v>
      </c>
      <c r="CV58" s="89" t="str">
        <f t="shared" si="39"/>
        <v>ok</v>
      </c>
      <c r="CW58" s="89" t="str">
        <f t="shared" si="39"/>
        <v>ok</v>
      </c>
      <c r="CX58" s="89" t="str">
        <f t="shared" si="39"/>
        <v>ok</v>
      </c>
      <c r="CY58" s="89" t="str">
        <f t="shared" si="39"/>
        <v>ok</v>
      </c>
      <c r="CZ58" s="89" t="str">
        <f t="shared" si="39"/>
        <v>ok</v>
      </c>
      <c r="DA58" s="89" t="str">
        <f t="shared" si="39"/>
        <v>ok</v>
      </c>
      <c r="DB58" s="89" t="str">
        <f t="shared" si="39"/>
        <v>ok</v>
      </c>
      <c r="DC58" s="89" t="str">
        <f t="shared" si="39"/>
        <v>ok</v>
      </c>
      <c r="DD58" s="89" t="str">
        <f t="shared" si="39"/>
        <v>ok</v>
      </c>
      <c r="DE58" s="89" t="str">
        <f t="shared" si="39"/>
        <v>ok</v>
      </c>
      <c r="DF58" s="89" t="str">
        <f t="shared" si="39"/>
        <v>ok</v>
      </c>
      <c r="DG58" s="89" t="str">
        <f t="shared" si="39"/>
        <v>ok</v>
      </c>
      <c r="DH58" s="89" t="str">
        <f t="shared" si="39"/>
        <v>ok</v>
      </c>
      <c r="DI58" s="89" t="str">
        <f t="shared" si="39"/>
        <v>ok</v>
      </c>
      <c r="DJ58" s="89" t="str">
        <f t="shared" si="39"/>
        <v>ok</v>
      </c>
      <c r="DK58" s="89" t="str">
        <f t="shared" si="39"/>
        <v>ok</v>
      </c>
      <c r="DL58" s="89" t="str">
        <f t="shared" si="39"/>
        <v>ok</v>
      </c>
      <c r="DM58" s="89" t="str">
        <f t="shared" si="39"/>
        <v>ok</v>
      </c>
      <c r="DN58" s="89" t="str">
        <f t="shared" si="39"/>
        <v>ok</v>
      </c>
      <c r="DO58" s="89" t="str">
        <f t="shared" si="39"/>
        <v>ok</v>
      </c>
      <c r="DP58" s="89" t="str">
        <f t="shared" si="39"/>
        <v>ok</v>
      </c>
      <c r="DQ58" s="89" t="str">
        <f t="shared" si="39"/>
        <v>ok</v>
      </c>
      <c r="DR58" s="89" t="str">
        <f t="shared" si="39"/>
        <v>ok</v>
      </c>
      <c r="DS58" s="89" t="str">
        <f t="shared" ref="DS58:EX58" si="40">IF(DS39+DS50=DS51,"ok","エラー")</f>
        <v>ok</v>
      </c>
      <c r="DT58" s="89" t="str">
        <f t="shared" si="40"/>
        <v>ok</v>
      </c>
      <c r="DU58" s="89" t="str">
        <f t="shared" si="40"/>
        <v>ok</v>
      </c>
      <c r="DV58" s="89" t="str">
        <f t="shared" si="40"/>
        <v>ok</v>
      </c>
      <c r="DW58" s="89" t="str">
        <f t="shared" si="40"/>
        <v>ok</v>
      </c>
      <c r="DX58" s="89" t="str">
        <f t="shared" si="40"/>
        <v>ok</v>
      </c>
      <c r="DY58" s="89" t="str">
        <f t="shared" si="40"/>
        <v>ok</v>
      </c>
      <c r="DZ58" s="89" t="str">
        <f t="shared" si="40"/>
        <v>ok</v>
      </c>
      <c r="EA58" s="89" t="str">
        <f t="shared" si="40"/>
        <v>ok</v>
      </c>
      <c r="EB58" s="89" t="str">
        <f t="shared" si="40"/>
        <v>ok</v>
      </c>
      <c r="EC58" s="89" t="str">
        <f t="shared" si="40"/>
        <v>ok</v>
      </c>
      <c r="ED58" s="89" t="str">
        <f t="shared" si="40"/>
        <v>ok</v>
      </c>
      <c r="EE58" s="89" t="str">
        <f t="shared" si="40"/>
        <v>ok</v>
      </c>
      <c r="EF58" s="89" t="str">
        <f t="shared" si="40"/>
        <v>ok</v>
      </c>
      <c r="EG58" s="89" t="str">
        <f t="shared" si="40"/>
        <v>ok</v>
      </c>
      <c r="EH58" s="89" t="str">
        <f t="shared" si="40"/>
        <v>ok</v>
      </c>
      <c r="EI58" s="89" t="str">
        <f t="shared" si="40"/>
        <v>ok</v>
      </c>
      <c r="EJ58" s="89" t="str">
        <f t="shared" si="40"/>
        <v>ok</v>
      </c>
      <c r="EK58" s="89" t="str">
        <f t="shared" si="40"/>
        <v>ok</v>
      </c>
      <c r="EL58" s="89" t="str">
        <f t="shared" si="40"/>
        <v>ok</v>
      </c>
      <c r="EM58" s="89" t="str">
        <f t="shared" si="40"/>
        <v>ok</v>
      </c>
      <c r="EN58" s="89" t="str">
        <f t="shared" si="40"/>
        <v>ok</v>
      </c>
      <c r="EO58" s="89" t="str">
        <f t="shared" si="40"/>
        <v>ok</v>
      </c>
      <c r="EP58" s="89" t="str">
        <f t="shared" si="40"/>
        <v>ok</v>
      </c>
      <c r="EQ58" s="89" t="str">
        <f t="shared" si="40"/>
        <v>ok</v>
      </c>
      <c r="ER58" s="89" t="str">
        <f t="shared" si="40"/>
        <v>ok</v>
      </c>
      <c r="ES58" s="89" t="str">
        <f t="shared" si="40"/>
        <v>ok</v>
      </c>
      <c r="ET58" s="89" t="str">
        <f t="shared" si="40"/>
        <v>ok</v>
      </c>
      <c r="EU58" s="89" t="str">
        <f t="shared" si="40"/>
        <v>ok</v>
      </c>
      <c r="EV58" s="89" t="str">
        <f t="shared" si="40"/>
        <v>ok</v>
      </c>
      <c r="EW58" s="89" t="str">
        <f t="shared" si="40"/>
        <v>ok</v>
      </c>
      <c r="EX58" s="89" t="str">
        <f t="shared" si="40"/>
        <v>ok</v>
      </c>
      <c r="EY58" s="89" t="str">
        <f t="shared" ref="EY58:FJ58" si="41">IF(EY39+EY50=EY51,"ok","エラー")</f>
        <v>ok</v>
      </c>
      <c r="EZ58" s="89" t="str">
        <f t="shared" si="41"/>
        <v>ok</v>
      </c>
      <c r="FA58" s="89" t="str">
        <f t="shared" si="41"/>
        <v>ok</v>
      </c>
      <c r="FB58" s="89" t="str">
        <f t="shared" si="41"/>
        <v>ok</v>
      </c>
      <c r="FC58" s="89" t="str">
        <f t="shared" si="41"/>
        <v>ok</v>
      </c>
      <c r="FD58" s="89" t="str">
        <f t="shared" si="41"/>
        <v>ok</v>
      </c>
      <c r="FE58" s="89" t="str">
        <f t="shared" si="41"/>
        <v>ok</v>
      </c>
      <c r="FF58" s="89" t="str">
        <f t="shared" si="41"/>
        <v>ok</v>
      </c>
      <c r="FG58" s="89" t="str">
        <f t="shared" si="41"/>
        <v>ok</v>
      </c>
      <c r="FH58" s="89" t="str">
        <f t="shared" si="41"/>
        <v>ok</v>
      </c>
      <c r="FI58" s="89" t="str">
        <f t="shared" si="41"/>
        <v>ok</v>
      </c>
      <c r="FJ58" s="89" t="str">
        <f t="shared" si="41"/>
        <v>ok</v>
      </c>
      <c r="FL58" s="89" t="str">
        <f>IF(FL39+FL50=FL51,"ok","エラー")</f>
        <v>ok</v>
      </c>
      <c r="FM58" s="89" t="str">
        <f>IF(FM39+FM50=FM51,"ok","エラー")</f>
        <v>ok</v>
      </c>
      <c r="FN58" s="89" t="str">
        <f>IF(FN39+FN50=FN51,"ok","エラー")</f>
        <v>ok</v>
      </c>
      <c r="FO58" s="89" t="str">
        <f>IF(FO39+FO50=FO51,"ok","エラー")</f>
        <v>ok</v>
      </c>
      <c r="FY58" s="89" t="str">
        <f>IF(FY39+FY50=FY51,"ok","エラー")</f>
        <v>ok</v>
      </c>
      <c r="GA58" s="89" t="str">
        <f t="shared" ref="GA58:GF58" si="42">IF(GA39+GA50=GA51,"ok","エラー")</f>
        <v>ok</v>
      </c>
      <c r="GB58" s="89" t="str">
        <f t="shared" si="42"/>
        <v>ok</v>
      </c>
      <c r="GC58" s="89" t="str">
        <f t="shared" si="42"/>
        <v>ok</v>
      </c>
      <c r="GD58" s="89" t="str">
        <f t="shared" si="42"/>
        <v>ok</v>
      </c>
      <c r="GE58" s="89" t="str">
        <f t="shared" si="42"/>
        <v>ok</v>
      </c>
      <c r="GF58" s="89" t="str">
        <f t="shared" si="42"/>
        <v>ok</v>
      </c>
      <c r="GK58" s="130" t="str">
        <f>IF(GK39+GK50=GK51,"ok","エラー")</f>
        <v>ok</v>
      </c>
    </row>
    <row r="59" spans="1:232" x14ac:dyDescent="0.15">
      <c r="B59" s="122" t="s">
        <v>650</v>
      </c>
      <c r="C59" s="89" t="str">
        <f t="shared" ref="C59:AB59" si="43">IF(C6+C7+C51=C52,"ok","エラー")</f>
        <v>ok</v>
      </c>
      <c r="D59" s="89" t="str">
        <f t="shared" si="43"/>
        <v>ok</v>
      </c>
      <c r="E59" s="89" t="str">
        <f t="shared" si="43"/>
        <v>ok</v>
      </c>
      <c r="F59" s="89" t="str">
        <f t="shared" si="43"/>
        <v>ok</v>
      </c>
      <c r="G59" s="89" t="str">
        <f t="shared" si="43"/>
        <v>ok</v>
      </c>
      <c r="H59" s="89" t="str">
        <f t="shared" si="43"/>
        <v>ok</v>
      </c>
      <c r="I59" s="89" t="str">
        <f t="shared" si="43"/>
        <v>ok</v>
      </c>
      <c r="J59" s="89" t="str">
        <f t="shared" si="43"/>
        <v>ok</v>
      </c>
      <c r="K59" s="89" t="str">
        <f t="shared" si="43"/>
        <v>ok</v>
      </c>
      <c r="L59" s="89" t="str">
        <f t="shared" si="43"/>
        <v>ok</v>
      </c>
      <c r="M59" s="89" t="str">
        <f t="shared" si="43"/>
        <v>ok</v>
      </c>
      <c r="N59" s="89" t="str">
        <f t="shared" si="43"/>
        <v>ok</v>
      </c>
      <c r="O59" s="89" t="str">
        <f t="shared" si="43"/>
        <v>ok</v>
      </c>
      <c r="P59" s="89" t="str">
        <f t="shared" si="43"/>
        <v>ok</v>
      </c>
      <c r="Q59" s="89" t="str">
        <f t="shared" si="43"/>
        <v>ok</v>
      </c>
      <c r="R59" s="89" t="str">
        <f t="shared" si="43"/>
        <v>ok</v>
      </c>
      <c r="S59" s="75" t="str">
        <f t="shared" si="43"/>
        <v>ok</v>
      </c>
      <c r="T59" s="89" t="str">
        <f t="shared" si="43"/>
        <v>ok</v>
      </c>
      <c r="U59" s="89" t="str">
        <f t="shared" si="43"/>
        <v>ok</v>
      </c>
      <c r="V59" s="89" t="str">
        <f t="shared" si="43"/>
        <v>ok</v>
      </c>
      <c r="W59" s="89" t="str">
        <f t="shared" si="43"/>
        <v>ok</v>
      </c>
      <c r="X59" s="89" t="str">
        <f t="shared" si="43"/>
        <v>ok</v>
      </c>
      <c r="Y59" s="89" t="str">
        <f t="shared" si="43"/>
        <v>ok</v>
      </c>
      <c r="Z59" s="89" t="str">
        <f t="shared" si="43"/>
        <v>ok</v>
      </c>
      <c r="AA59" s="89" t="str">
        <f t="shared" si="43"/>
        <v>ok</v>
      </c>
      <c r="AB59" s="89" t="str">
        <f t="shared" si="43"/>
        <v>ok</v>
      </c>
      <c r="AD59" s="89" t="str">
        <f t="shared" ref="AD59:BI59" si="44">IF(AD6+AD7+AD51=AD52,"ok","エラー")</f>
        <v>ok</v>
      </c>
      <c r="AE59" s="89" t="str">
        <f t="shared" si="44"/>
        <v>ok</v>
      </c>
      <c r="AF59" s="89" t="str">
        <f t="shared" si="44"/>
        <v>ok</v>
      </c>
      <c r="AG59" s="89" t="str">
        <f t="shared" si="44"/>
        <v>ok</v>
      </c>
      <c r="AH59" s="89" t="str">
        <f t="shared" si="44"/>
        <v>ok</v>
      </c>
      <c r="AI59" s="89" t="str">
        <f t="shared" si="44"/>
        <v>ok</v>
      </c>
      <c r="AJ59" s="89" t="str">
        <f t="shared" si="44"/>
        <v>ok</v>
      </c>
      <c r="AK59" s="89" t="str">
        <f t="shared" si="44"/>
        <v>ok</v>
      </c>
      <c r="AL59" s="89" t="str">
        <f t="shared" si="44"/>
        <v>ok</v>
      </c>
      <c r="AM59" s="89" t="str">
        <f t="shared" si="44"/>
        <v>ok</v>
      </c>
      <c r="AN59" s="89" t="str">
        <f t="shared" si="44"/>
        <v>ok</v>
      </c>
      <c r="AO59" s="89" t="str">
        <f t="shared" si="44"/>
        <v>ok</v>
      </c>
      <c r="AP59" s="89" t="str">
        <f t="shared" si="44"/>
        <v>ok</v>
      </c>
      <c r="AQ59" s="89" t="str">
        <f t="shared" si="44"/>
        <v>ok</v>
      </c>
      <c r="AR59" s="89" t="str">
        <f t="shared" si="44"/>
        <v>ok</v>
      </c>
      <c r="AS59" s="89" t="str">
        <f t="shared" si="44"/>
        <v>ok</v>
      </c>
      <c r="AT59" s="89" t="str">
        <f t="shared" si="44"/>
        <v>ok</v>
      </c>
      <c r="AU59" s="89" t="str">
        <f t="shared" si="44"/>
        <v>ok</v>
      </c>
      <c r="AV59" s="89" t="str">
        <f t="shared" si="44"/>
        <v>ok</v>
      </c>
      <c r="AW59" s="89" t="str">
        <f t="shared" si="44"/>
        <v>ok</v>
      </c>
      <c r="AX59" s="89" t="str">
        <f t="shared" si="44"/>
        <v>ok</v>
      </c>
      <c r="AY59" s="89" t="str">
        <f t="shared" si="44"/>
        <v>ok</v>
      </c>
      <c r="AZ59" s="89" t="str">
        <f t="shared" si="44"/>
        <v>ok</v>
      </c>
      <c r="BA59" s="89" t="str">
        <f t="shared" si="44"/>
        <v>ok</v>
      </c>
      <c r="BB59" s="89" t="str">
        <f t="shared" si="44"/>
        <v>ok</v>
      </c>
      <c r="BC59" s="89" t="str">
        <f t="shared" si="44"/>
        <v>ok</v>
      </c>
      <c r="BD59" s="89" t="str">
        <f t="shared" si="44"/>
        <v>ok</v>
      </c>
      <c r="BE59" s="89" t="str">
        <f t="shared" si="44"/>
        <v>ok</v>
      </c>
      <c r="BF59" s="89" t="str">
        <f t="shared" si="44"/>
        <v>ok</v>
      </c>
      <c r="BG59" s="89" t="str">
        <f t="shared" si="44"/>
        <v>ok</v>
      </c>
      <c r="BH59" s="89" t="str">
        <f t="shared" si="44"/>
        <v>ok</v>
      </c>
      <c r="BI59" s="89" t="str">
        <f t="shared" si="44"/>
        <v>ok</v>
      </c>
      <c r="BJ59" s="89" t="str">
        <f t="shared" ref="BJ59:CK59" si="45">IF(BJ6+BJ7+BJ51=BJ52,"ok","エラー")</f>
        <v>ok</v>
      </c>
      <c r="BK59" s="89" t="str">
        <f t="shared" si="45"/>
        <v>ok</v>
      </c>
      <c r="BL59" s="89" t="str">
        <f t="shared" si="45"/>
        <v>ok</v>
      </c>
      <c r="BM59" s="89" t="str">
        <f t="shared" si="45"/>
        <v>ok</v>
      </c>
      <c r="BN59" s="89" t="str">
        <f t="shared" si="45"/>
        <v>ok</v>
      </c>
      <c r="BO59" s="89" t="str">
        <f t="shared" si="45"/>
        <v>ok</v>
      </c>
      <c r="BP59" s="89" t="str">
        <f t="shared" si="45"/>
        <v>ok</v>
      </c>
      <c r="BQ59" s="89" t="str">
        <f t="shared" si="45"/>
        <v>ok</v>
      </c>
      <c r="BR59" s="89" t="str">
        <f t="shared" si="45"/>
        <v>ok</v>
      </c>
      <c r="BS59" s="89" t="str">
        <f t="shared" si="45"/>
        <v>ok</v>
      </c>
      <c r="BT59" s="89" t="str">
        <f t="shared" si="45"/>
        <v>ok</v>
      </c>
      <c r="BU59" s="89" t="str">
        <f t="shared" si="45"/>
        <v>ok</v>
      </c>
      <c r="BV59" s="89" t="str">
        <f t="shared" si="45"/>
        <v>ok</v>
      </c>
      <c r="BW59" s="89" t="str">
        <f t="shared" si="45"/>
        <v>ok</v>
      </c>
      <c r="BX59" s="89" t="str">
        <f t="shared" si="45"/>
        <v>ok</v>
      </c>
      <c r="BY59" s="89" t="str">
        <f t="shared" si="45"/>
        <v>ok</v>
      </c>
      <c r="BZ59" s="89" t="str">
        <f t="shared" si="45"/>
        <v>ok</v>
      </c>
      <c r="CA59" s="89" t="str">
        <f t="shared" si="45"/>
        <v>ok</v>
      </c>
      <c r="CB59" s="89" t="str">
        <f t="shared" si="45"/>
        <v>ok</v>
      </c>
      <c r="CC59" s="89" t="str">
        <f t="shared" si="45"/>
        <v>ok</v>
      </c>
      <c r="CD59" s="89" t="str">
        <f t="shared" si="45"/>
        <v>ok</v>
      </c>
      <c r="CE59" s="89" t="str">
        <f t="shared" si="45"/>
        <v>ok</v>
      </c>
      <c r="CF59" s="89" t="str">
        <f t="shared" si="45"/>
        <v>ok</v>
      </c>
      <c r="CG59" s="89" t="str">
        <f t="shared" si="45"/>
        <v>ok</v>
      </c>
      <c r="CH59" s="89" t="str">
        <f t="shared" si="45"/>
        <v>ok</v>
      </c>
      <c r="CI59" s="89" t="str">
        <f t="shared" si="45"/>
        <v>ok</v>
      </c>
      <c r="CJ59" s="89" t="str">
        <f t="shared" si="45"/>
        <v>ok</v>
      </c>
      <c r="CK59" s="89" t="str">
        <f t="shared" si="45"/>
        <v>ok</v>
      </c>
      <c r="CL59" s="84"/>
      <c r="CM59" s="89" t="str">
        <f t="shared" ref="CM59:DR59" si="46">IF(CM6+CM7+CM51=CM52,"ok","エラー")</f>
        <v>ok</v>
      </c>
      <c r="CN59" s="89" t="str">
        <f t="shared" si="46"/>
        <v>ok</v>
      </c>
      <c r="CO59" s="89" t="str">
        <f t="shared" si="46"/>
        <v>ok</v>
      </c>
      <c r="CP59" s="89" t="str">
        <f t="shared" si="46"/>
        <v>ok</v>
      </c>
      <c r="CQ59" s="89" t="str">
        <f t="shared" si="46"/>
        <v>ok</v>
      </c>
      <c r="CR59" s="89" t="str">
        <f t="shared" si="46"/>
        <v>ok</v>
      </c>
      <c r="CS59" s="89" t="str">
        <f t="shared" si="46"/>
        <v>ok</v>
      </c>
      <c r="CT59" s="89" t="str">
        <f t="shared" si="46"/>
        <v>ok</v>
      </c>
      <c r="CU59" s="89" t="str">
        <f t="shared" si="46"/>
        <v>ok</v>
      </c>
      <c r="CV59" s="89" t="str">
        <f t="shared" si="46"/>
        <v>ok</v>
      </c>
      <c r="CW59" s="89" t="str">
        <f t="shared" si="46"/>
        <v>ok</v>
      </c>
      <c r="CX59" s="89" t="str">
        <f t="shared" si="46"/>
        <v>ok</v>
      </c>
      <c r="CY59" s="89" t="str">
        <f t="shared" si="46"/>
        <v>ok</v>
      </c>
      <c r="CZ59" s="89" t="str">
        <f t="shared" si="46"/>
        <v>ok</v>
      </c>
      <c r="DA59" s="89" t="str">
        <f t="shared" si="46"/>
        <v>ok</v>
      </c>
      <c r="DB59" s="89" t="str">
        <f t="shared" si="46"/>
        <v>ok</v>
      </c>
      <c r="DC59" s="89" t="str">
        <f t="shared" si="46"/>
        <v>ok</v>
      </c>
      <c r="DD59" s="89" t="str">
        <f t="shared" si="46"/>
        <v>ok</v>
      </c>
      <c r="DE59" s="89" t="str">
        <f t="shared" si="46"/>
        <v>ok</v>
      </c>
      <c r="DF59" s="89" t="str">
        <f t="shared" si="46"/>
        <v>ok</v>
      </c>
      <c r="DG59" s="89" t="str">
        <f t="shared" si="46"/>
        <v>ok</v>
      </c>
      <c r="DH59" s="89" t="str">
        <f t="shared" si="46"/>
        <v>ok</v>
      </c>
      <c r="DI59" s="89" t="str">
        <f t="shared" si="46"/>
        <v>ok</v>
      </c>
      <c r="DJ59" s="89" t="str">
        <f t="shared" si="46"/>
        <v>ok</v>
      </c>
      <c r="DK59" s="89" t="str">
        <f t="shared" si="46"/>
        <v>ok</v>
      </c>
      <c r="DL59" s="89" t="str">
        <f t="shared" si="46"/>
        <v>ok</v>
      </c>
      <c r="DM59" s="89" t="str">
        <f t="shared" si="46"/>
        <v>ok</v>
      </c>
      <c r="DN59" s="89" t="str">
        <f t="shared" si="46"/>
        <v>ok</v>
      </c>
      <c r="DO59" s="89" t="str">
        <f t="shared" si="46"/>
        <v>ok</v>
      </c>
      <c r="DP59" s="89" t="str">
        <f t="shared" si="46"/>
        <v>ok</v>
      </c>
      <c r="DQ59" s="89" t="str">
        <f t="shared" si="46"/>
        <v>ok</v>
      </c>
      <c r="DR59" s="89" t="str">
        <f t="shared" si="46"/>
        <v>ok</v>
      </c>
      <c r="DS59" s="89" t="str">
        <f t="shared" ref="DS59:EX59" si="47">IF(DS6+DS7+DS51=DS52,"ok","エラー")</f>
        <v>ok</v>
      </c>
      <c r="DT59" s="89" t="str">
        <f t="shared" si="47"/>
        <v>ok</v>
      </c>
      <c r="DU59" s="89" t="str">
        <f t="shared" si="47"/>
        <v>ok</v>
      </c>
      <c r="DV59" s="89" t="str">
        <f t="shared" si="47"/>
        <v>ok</v>
      </c>
      <c r="DW59" s="89" t="str">
        <f t="shared" si="47"/>
        <v>ok</v>
      </c>
      <c r="DX59" s="89" t="str">
        <f t="shared" si="47"/>
        <v>ok</v>
      </c>
      <c r="DY59" s="89" t="str">
        <f t="shared" si="47"/>
        <v>ok</v>
      </c>
      <c r="DZ59" s="89" t="str">
        <f t="shared" si="47"/>
        <v>ok</v>
      </c>
      <c r="EA59" s="89" t="str">
        <f t="shared" si="47"/>
        <v>ok</v>
      </c>
      <c r="EB59" s="89" t="str">
        <f t="shared" si="47"/>
        <v>ok</v>
      </c>
      <c r="EC59" s="89" t="str">
        <f t="shared" si="47"/>
        <v>ok</v>
      </c>
      <c r="ED59" s="89" t="str">
        <f t="shared" si="47"/>
        <v>ok</v>
      </c>
      <c r="EE59" s="89" t="str">
        <f t="shared" si="47"/>
        <v>ok</v>
      </c>
      <c r="EF59" s="89" t="str">
        <f t="shared" si="47"/>
        <v>ok</v>
      </c>
      <c r="EG59" s="89" t="str">
        <f t="shared" si="47"/>
        <v>ok</v>
      </c>
      <c r="EH59" s="89" t="str">
        <f t="shared" si="47"/>
        <v>ok</v>
      </c>
      <c r="EI59" s="89" t="str">
        <f t="shared" si="47"/>
        <v>ok</v>
      </c>
      <c r="EJ59" s="89" t="str">
        <f t="shared" si="47"/>
        <v>ok</v>
      </c>
      <c r="EK59" s="89" t="str">
        <f t="shared" si="47"/>
        <v>ok</v>
      </c>
      <c r="EL59" s="89" t="str">
        <f t="shared" si="47"/>
        <v>ok</v>
      </c>
      <c r="EM59" s="89" t="str">
        <f t="shared" si="47"/>
        <v>ok</v>
      </c>
      <c r="EN59" s="89" t="str">
        <f t="shared" si="47"/>
        <v>ok</v>
      </c>
      <c r="EO59" s="89" t="str">
        <f t="shared" si="47"/>
        <v>ok</v>
      </c>
      <c r="EP59" s="89" t="str">
        <f t="shared" si="47"/>
        <v>ok</v>
      </c>
      <c r="EQ59" s="89" t="str">
        <f t="shared" si="47"/>
        <v>ok</v>
      </c>
      <c r="ER59" s="89" t="str">
        <f t="shared" si="47"/>
        <v>ok</v>
      </c>
      <c r="ES59" s="89" t="str">
        <f t="shared" si="47"/>
        <v>ok</v>
      </c>
      <c r="ET59" s="89" t="str">
        <f t="shared" si="47"/>
        <v>ok</v>
      </c>
      <c r="EU59" s="89" t="str">
        <f t="shared" si="47"/>
        <v>ok</v>
      </c>
      <c r="EV59" s="89" t="str">
        <f t="shared" si="47"/>
        <v>ok</v>
      </c>
      <c r="EW59" s="89" t="str">
        <f t="shared" si="47"/>
        <v>ok</v>
      </c>
      <c r="EX59" s="89" t="str">
        <f t="shared" si="47"/>
        <v>ok</v>
      </c>
      <c r="EY59" s="89" t="str">
        <f t="shared" ref="EY59:FJ59" si="48">IF(EY6+EY7+EY51=EY52,"ok","エラー")</f>
        <v>ok</v>
      </c>
      <c r="EZ59" s="89" t="str">
        <f t="shared" si="48"/>
        <v>ok</v>
      </c>
      <c r="FA59" s="89" t="str">
        <f t="shared" si="48"/>
        <v>ok</v>
      </c>
      <c r="FB59" s="89" t="str">
        <f t="shared" si="48"/>
        <v>ok</v>
      </c>
      <c r="FC59" s="89" t="str">
        <f t="shared" si="48"/>
        <v>ok</v>
      </c>
      <c r="FD59" s="89" t="str">
        <f t="shared" si="48"/>
        <v>ok</v>
      </c>
      <c r="FE59" s="89" t="str">
        <f t="shared" si="48"/>
        <v>ok</v>
      </c>
      <c r="FF59" s="89" t="str">
        <f t="shared" si="48"/>
        <v>ok</v>
      </c>
      <c r="FG59" s="89" t="str">
        <f t="shared" si="48"/>
        <v>ok</v>
      </c>
      <c r="FH59" s="89" t="str">
        <f t="shared" si="48"/>
        <v>ok</v>
      </c>
      <c r="FI59" s="89" t="str">
        <f t="shared" si="48"/>
        <v>ok</v>
      </c>
      <c r="FJ59" s="89" t="str">
        <f t="shared" si="48"/>
        <v>ok</v>
      </c>
      <c r="FL59" s="89" t="str">
        <f>IF(FL6+FL7+FL51=FL52,"ok","エラー")</f>
        <v>ok</v>
      </c>
      <c r="FM59" s="89" t="str">
        <f>IF(FM6+FM7+FM51=FM52,"ok","エラー")</f>
        <v>ok</v>
      </c>
      <c r="FN59" s="89" t="str">
        <f>IF(FN6+FN7+FN51=FN52,"ok","エラー")</f>
        <v>ok</v>
      </c>
      <c r="FO59" s="89" t="str">
        <f>IF(FO6+FO7+FO51=FO52,"ok","エラー")</f>
        <v>ok</v>
      </c>
      <c r="FY59" s="89" t="str">
        <f>IF(FY6+FY7+FY51=FY52,"ok","エラー")</f>
        <v>ok</v>
      </c>
      <c r="GA59" s="89" t="str">
        <f>IF(GA6+GA7+GA51=GA52,"ok","エラー")</f>
        <v>ok</v>
      </c>
      <c r="GB59" s="89" t="str">
        <f>IF(GB6+GB7+GB51=GB52,"ok","エラー")</f>
        <v>ok</v>
      </c>
      <c r="GC59" s="89" t="str">
        <f>IF(GC6+GC7+GC51=GC52,"ok","エラー")</f>
        <v>ok</v>
      </c>
      <c r="GD59" s="89" t="str">
        <f>IF(GD6+GD7+GD51=GD52,"ok","エラー")</f>
        <v>ok</v>
      </c>
      <c r="GE59" s="89" t="str">
        <f>IF(GE6+GE7+GE51=GE52,"ok","エラー")</f>
        <v>ok</v>
      </c>
      <c r="GF59" s="89" t="str">
        <f>IF(GF40+GF51=GF52,"ok","エラー")</f>
        <v>ok</v>
      </c>
      <c r="GK59" s="89" t="str">
        <f>IF(GK6+GK7+GK51=GK52,"ok","エラー")</f>
        <v>ok</v>
      </c>
    </row>
    <row r="66" spans="145:146" x14ac:dyDescent="0.15">
      <c r="EO66" s="421"/>
      <c r="EP66" s="422"/>
    </row>
    <row r="67" spans="145:146" x14ac:dyDescent="0.15">
      <c r="EO67" s="421"/>
      <c r="EP67" s="422"/>
    </row>
    <row r="68" spans="145:146" x14ac:dyDescent="0.15">
      <c r="EO68" s="421"/>
      <c r="EP68" s="422"/>
    </row>
    <row r="69" spans="145:146" x14ac:dyDescent="0.15">
      <c r="EO69" s="421"/>
      <c r="EP69" s="422"/>
    </row>
    <row r="70" spans="145:146" x14ac:dyDescent="0.15">
      <c r="EO70" s="421"/>
      <c r="EP70" s="422"/>
    </row>
    <row r="71" spans="145:146" x14ac:dyDescent="0.15">
      <c r="EO71" s="421"/>
      <c r="EP71" s="422"/>
    </row>
    <row r="72" spans="145:146" x14ac:dyDescent="0.15">
      <c r="EO72" s="421"/>
      <c r="EP72" s="422"/>
    </row>
    <row r="73" spans="145:146" x14ac:dyDescent="0.15">
      <c r="EO73" s="421"/>
      <c r="EP73" s="422"/>
    </row>
    <row r="74" spans="145:146" x14ac:dyDescent="0.15">
      <c r="EO74" s="421"/>
      <c r="EP74" s="422"/>
    </row>
    <row r="75" spans="145:146" x14ac:dyDescent="0.15">
      <c r="EO75" s="421"/>
      <c r="EP75" s="422"/>
    </row>
    <row r="76" spans="145:146" x14ac:dyDescent="0.15">
      <c r="EO76" s="421"/>
      <c r="EP76" s="422"/>
    </row>
    <row r="77" spans="145:146" x14ac:dyDescent="0.15">
      <c r="EO77" s="421"/>
      <c r="EP77" s="422"/>
    </row>
    <row r="78" spans="145:146" x14ac:dyDescent="0.15">
      <c r="EO78" s="421"/>
      <c r="EP78" s="422"/>
    </row>
    <row r="79" spans="145:146" x14ac:dyDescent="0.15">
      <c r="EO79" s="421"/>
      <c r="EP79" s="422"/>
    </row>
    <row r="80" spans="145:146" x14ac:dyDescent="0.15">
      <c r="EO80" s="421"/>
      <c r="EP80" s="422"/>
    </row>
    <row r="81" spans="145:146" x14ac:dyDescent="0.15">
      <c r="EO81" s="421"/>
      <c r="EP81" s="422"/>
    </row>
    <row r="82" spans="145:146" x14ac:dyDescent="0.15">
      <c r="EO82" s="421"/>
      <c r="EP82" s="422"/>
    </row>
    <row r="83" spans="145:146" x14ac:dyDescent="0.15">
      <c r="EO83" s="421"/>
      <c r="EP83" s="422"/>
    </row>
    <row r="84" spans="145:146" x14ac:dyDescent="0.15">
      <c r="EO84" s="421"/>
      <c r="EP84" s="422"/>
    </row>
    <row r="85" spans="145:146" x14ac:dyDescent="0.15">
      <c r="EO85" s="421"/>
      <c r="EP85" s="422"/>
    </row>
    <row r="86" spans="145:146" x14ac:dyDescent="0.15">
      <c r="EO86" s="421"/>
      <c r="EP86" s="422"/>
    </row>
    <row r="87" spans="145:146" x14ac:dyDescent="0.15">
      <c r="EO87" s="421"/>
      <c r="EP87" s="422"/>
    </row>
    <row r="88" spans="145:146" x14ac:dyDescent="0.15">
      <c r="EO88" s="421"/>
      <c r="EP88" s="422"/>
    </row>
    <row r="89" spans="145:146" x14ac:dyDescent="0.15">
      <c r="EO89" s="421"/>
      <c r="EP89" s="422"/>
    </row>
    <row r="90" spans="145:146" x14ac:dyDescent="0.15">
      <c r="EO90" s="421"/>
      <c r="EP90" s="422"/>
    </row>
    <row r="91" spans="145:146" x14ac:dyDescent="0.15">
      <c r="EO91" s="421"/>
      <c r="EP91" s="422"/>
    </row>
    <row r="92" spans="145:146" x14ac:dyDescent="0.15">
      <c r="EO92" s="421"/>
      <c r="EP92" s="422"/>
    </row>
    <row r="93" spans="145:146" x14ac:dyDescent="0.15">
      <c r="EO93" s="421"/>
      <c r="EP93" s="422"/>
    </row>
    <row r="94" spans="145:146" x14ac:dyDescent="0.15">
      <c r="EO94" s="421"/>
      <c r="EP94" s="422"/>
    </row>
    <row r="95" spans="145:146" x14ac:dyDescent="0.15">
      <c r="EO95" s="421"/>
      <c r="EP95" s="422"/>
    </row>
    <row r="96" spans="145:146" x14ac:dyDescent="0.15">
      <c r="EO96" s="421"/>
      <c r="EP96" s="422"/>
    </row>
    <row r="97" spans="145:146" x14ac:dyDescent="0.15">
      <c r="EO97" s="421"/>
      <c r="EP97" s="422"/>
    </row>
    <row r="98" spans="145:146" x14ac:dyDescent="0.15">
      <c r="EO98" s="421"/>
      <c r="EP98" s="422"/>
    </row>
    <row r="99" spans="145:146" x14ac:dyDescent="0.15">
      <c r="EO99" s="421"/>
      <c r="EP99" s="422"/>
    </row>
    <row r="100" spans="145:146" x14ac:dyDescent="0.15">
      <c r="EO100" s="421"/>
      <c r="EP100" s="422"/>
    </row>
    <row r="101" spans="145:146" x14ac:dyDescent="0.15">
      <c r="EO101" s="421"/>
      <c r="EP101" s="422"/>
    </row>
    <row r="102" spans="145:146" x14ac:dyDescent="0.15">
      <c r="EO102" s="421"/>
      <c r="EP102" s="422"/>
    </row>
    <row r="103" spans="145:146" x14ac:dyDescent="0.15">
      <c r="EO103" s="421"/>
      <c r="EP103" s="422"/>
    </row>
    <row r="104" spans="145:146" x14ac:dyDescent="0.15">
      <c r="EO104" s="421"/>
      <c r="EP104" s="422"/>
    </row>
    <row r="105" spans="145:146" x14ac:dyDescent="0.15">
      <c r="EO105" s="421"/>
      <c r="EP105" s="422"/>
    </row>
    <row r="106" spans="145:146" x14ac:dyDescent="0.15">
      <c r="EO106" s="421"/>
      <c r="EP106" s="422"/>
    </row>
  </sheetData>
  <mergeCells count="3">
    <mergeCell ref="GH2:GJ2"/>
    <mergeCell ref="FQ2:FW2"/>
    <mergeCell ref="GL2:GV2"/>
  </mergeCells>
  <phoneticPr fontId="3"/>
  <pageMargins left="0.59055118110236227" right="0.59055118110236227" top="0.98425196850393704" bottom="0.98425196850393704" header="0.51181102362204722" footer="0.51181102362204722"/>
  <pageSetup paperSize="9" fitToWidth="0" orientation="portrait" r:id="rId1"/>
  <colBreaks count="1" manualBreakCount="1">
    <brk id="189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40</vt:i4>
      </vt:variant>
      <vt:variant>
        <vt:lpstr>名前付き一覧</vt:lpstr>
      </vt:variant>
      <vt:variant>
        <vt:i4>33</vt:i4>
      </vt:variant>
    </vt:vector>
  </HeadingPairs>
  <TitlesOfParts>
    <vt:vector size="73" baseType="lpstr">
      <vt:lpstr>Sheet1</vt:lpstr>
      <vt:lpstr>決算推移</vt:lpstr>
      <vt:lpstr>財政指標</vt:lpstr>
      <vt:lpstr>健全化判断比率</vt:lpstr>
      <vt:lpstr>R6年度</vt:lpstr>
      <vt:lpstr>R5年度</vt:lpstr>
      <vt:lpstr>R4年度</vt:lpstr>
      <vt:lpstr>R3年度</vt:lpstr>
      <vt:lpstr>R2年度</vt:lpstr>
      <vt:lpstr>R1年度</vt:lpstr>
      <vt:lpstr>30年度</vt:lpstr>
      <vt:lpstr>29年度</vt:lpstr>
      <vt:lpstr>28年度</vt:lpstr>
      <vt:lpstr>27年度</vt:lpstr>
      <vt:lpstr>26年度</vt:lpstr>
      <vt:lpstr>25年度</vt:lpstr>
      <vt:lpstr>24年度</vt:lpstr>
      <vt:lpstr>23年度</vt:lpstr>
      <vt:lpstr>22年度</vt:lpstr>
      <vt:lpstr>21年度</vt:lpstr>
      <vt:lpstr>20年度</vt:lpstr>
      <vt:lpstr>19年度</vt:lpstr>
      <vt:lpstr>18年度</vt:lpstr>
      <vt:lpstr>17年度</vt:lpstr>
      <vt:lpstr>16年度</vt:lpstr>
      <vt:lpstr>15年度</vt:lpstr>
      <vt:lpstr>14年度</vt:lpstr>
      <vt:lpstr>13年度</vt:lpstr>
      <vt:lpstr>12年度</vt:lpstr>
      <vt:lpstr>11年度</vt:lpstr>
      <vt:lpstr>10年度</vt:lpstr>
      <vt:lpstr>9年度</vt:lpstr>
      <vt:lpstr>8年度</vt:lpstr>
      <vt:lpstr>7年度</vt:lpstr>
      <vt:lpstr>6年度</vt:lpstr>
      <vt:lpstr>5年度</vt:lpstr>
      <vt:lpstr>4年度</vt:lpstr>
      <vt:lpstr>3年度</vt:lpstr>
      <vt:lpstr>2年度</vt:lpstr>
      <vt:lpstr>1年度</vt:lpstr>
      <vt:lpstr>'27年度'!Print_Area</vt:lpstr>
      <vt:lpstr>'28年度'!Print_Area</vt:lpstr>
      <vt:lpstr>'29年度'!Print_Area</vt:lpstr>
      <vt:lpstr>'30年度'!Print_Area</vt:lpstr>
      <vt:lpstr>'R1年度'!Print_Area</vt:lpstr>
      <vt:lpstr>'R2年度'!Print_Area</vt:lpstr>
      <vt:lpstr>'R3年度'!Print_Area</vt:lpstr>
      <vt:lpstr>'R4年度'!Print_Area</vt:lpstr>
      <vt:lpstr>'R5年度'!Print_Area</vt:lpstr>
      <vt:lpstr>'R6年度'!Print_Area</vt:lpstr>
      <vt:lpstr>決算推移!Print_Area</vt:lpstr>
      <vt:lpstr>健全化判断比率!Print_Area</vt:lpstr>
      <vt:lpstr>財政指標!Print_Area</vt:lpstr>
      <vt:lpstr>'20年度'!Print_Titles</vt:lpstr>
      <vt:lpstr>'21年度'!Print_Titles</vt:lpstr>
      <vt:lpstr>'22年度'!Print_Titles</vt:lpstr>
      <vt:lpstr>'23年度'!Print_Titles</vt:lpstr>
      <vt:lpstr>'24年度'!Print_Titles</vt:lpstr>
      <vt:lpstr>'25年度'!Print_Titles</vt:lpstr>
      <vt:lpstr>'26年度'!Print_Titles</vt:lpstr>
      <vt:lpstr>'27年度'!Print_Titles</vt:lpstr>
      <vt:lpstr>'28年度'!Print_Titles</vt:lpstr>
      <vt:lpstr>'29年度'!Print_Titles</vt:lpstr>
      <vt:lpstr>'30年度'!Print_Titles</vt:lpstr>
      <vt:lpstr>'R1年度'!Print_Titles</vt:lpstr>
      <vt:lpstr>'R2年度'!Print_Titles</vt:lpstr>
      <vt:lpstr>'R3年度'!Print_Titles</vt:lpstr>
      <vt:lpstr>'R4年度'!Print_Titles</vt:lpstr>
      <vt:lpstr>'R5年度'!Print_Titles</vt:lpstr>
      <vt:lpstr>'R6年度'!Print_Titles</vt:lpstr>
      <vt:lpstr>決算推移!Print_Titles</vt:lpstr>
      <vt:lpstr>健全化判断比率!Print_Titles</vt:lpstr>
      <vt:lpstr>財政指標!Print_Titles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瀧川　佳典</dc:creator>
  <cp:lastModifiedBy>大山　拓郎</cp:lastModifiedBy>
  <cp:lastPrinted>2022-11-02T05:17:27Z</cp:lastPrinted>
  <dcterms:created xsi:type="dcterms:W3CDTF">2006-07-21T02:41:22Z</dcterms:created>
  <dcterms:modified xsi:type="dcterms:W3CDTF">2026-02-24T05:45:38Z</dcterms:modified>
</cp:coreProperties>
</file>